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drawingml.chart+xml" PartName="/xl/charts/chart1.xml"/>
  <Override ContentType="application/vnd.openxmlformats-officedocument.drawingml.chart+xml" PartName="/xl/charts/chart2.xml"/>
  <Override ContentType="application/vnd.openxmlformats-officedocument.drawingml.chart+xml" PartName="/xl/charts/chart3.xml"/>
  <Override ContentType="application/vnd.openxmlformats-officedocument.drawingml.chart+xml" PartName="/xl/charts/chart4.xml"/>
  <Override ContentType="application/vnd.openxmlformats-officedocument.drawingml.chart+xml" PartName="/xl/charts/chart5.xml"/>
  <Override ContentType="application/vnd.openxmlformats-officedocument.drawingml.chart+xml" PartName="/xl/charts/chart6.xml"/>
  <Override ContentType="application/vnd.openxmlformats-officedocument.drawingml.chart+xml" PartName="/xl/charts/chart7.xml"/>
  <Override ContentType="application/vnd.openxmlformats-officedocument.drawingml.chart+xml" PartName="/xl/charts/chart8.xml"/>
  <Override ContentType="application/vnd.openxmlformats-officedocument.drawingml.chart+xml" PartName="/xl/charts/chart9.xml"/>
  <Override ContentType="application/vnd.openxmlformats-officedocument.drawingml.chart+xml" PartName="/xl/charts/chart10.xml"/>
  <Override ContentType="application/vnd.openxmlformats-officedocument.drawingml.chart+xml" PartName="/xl/charts/chart11.xml"/>
  <Override ContentType="application/vnd.openxmlformats-officedocument.drawingml.chart+xml" PartName="/xl/charts/chart12.xml"/>
  <Override ContentType="application/vnd.openxmlformats-officedocument.drawingml.chart+xml" PartName="/xl/charts/chart13.xml"/>
  <Override ContentType="application/vnd.openxmlformats-officedocument.drawingml.chart+xml" PartName="/xl/charts/chart14.xml"/>
  <Override ContentType="application/vnd.openxmlformats-officedocument.drawingml.chart+xml" PartName="/xl/charts/chart15.xml"/>
  <Override ContentType="application/vnd.openxmlformats-officedocument.drawingml.chart+xml" PartName="/xl/charts/chart16.xml"/>
  <Override ContentType="application/vnd.openxmlformats-officedocument.drawingml.chart+xml" PartName="/xl/charts/chart17.xml"/>
  <Override ContentType="application/vnd.openxmlformats-officedocument.drawingml.chart+xml" PartName="/xl/charts/chart18.xml"/>
  <Override ContentType="application/vnd.openxmlformats-officedocument.drawingml.chart+xml" PartName="/xl/charts/chart19.xml"/>
  <Override ContentType="application/vnd.openxmlformats-officedocument.drawingml.chart+xml" PartName="/xl/charts/chart20.xml"/>
  <Override ContentType="application/vnd.openxmlformats-officedocument.drawingml.chart+xml" PartName="/xl/charts/chart21.xml"/>
  <Override ContentType="application/vnd.openxmlformats-officedocument.drawingml.chart+xml" PartName="/xl/charts/chart22.xml"/>
  <Override ContentType="application/vnd.openxmlformats-officedocument.drawingml.chart+xml" PartName="/xl/charts/chart23.xml"/>
  <Override ContentType="application/vnd.openxmlformats-officedocument.drawingml.chart+xml" PartName="/xl/charts/chart24.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spreadsheetml.comments+xml" PartName="/xl/comments3.xml"/>
  <Override ContentType="application/vnd.openxmlformats-officedocument.spreadsheetml.comments+xml" PartName="/xl/comments4.xml"/>
  <Override ContentType="application/vnd.openxmlformats-officedocument.spreadsheetml.comments+xml" PartName="/xl/comments5.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spreadsheetml.externalLink+xml" PartName="/xl/externalLinks/externalLink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ms-office.vbaProject" PartName="/xl/vbaProject.bin"/>
  <Override ContentType="application/vnd.ms-excel.sheet.macroEnabled.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P:\Bloomberg\Macroprudential Analytic Support Projects\Economic Balance Sheets-Insurance\Q2 2019\Risk Free\"/>
    </mc:Choice>
  </mc:AlternateContent>
  <bookViews>
    <workbookView xWindow="120" yWindow="105" windowWidth="11265" windowHeight="10230" tabRatio="925"/>
  </bookViews>
  <sheets>
    <sheet name="Instructions &amp; Dashboard" sheetId="28" r:id="rId1"/>
    <sheet name="Results" sheetId="20" r:id="rId2"/>
    <sheet name="Charts" sheetId="24" r:id="rId3"/>
    <sheet name="All Curves" sheetId="2" r:id="rId4"/>
    <sheet name="Quick Check Base Case" sheetId="38" r:id="rId5"/>
    <sheet name="Quick Check" sheetId="39" r:id="rId6"/>
    <sheet name="Bond Data" sheetId="5" r:id="rId7"/>
    <sheet name="Swap and Yield Curves" sheetId="23" r:id="rId8"/>
    <sheet name="Splines" sheetId="26" r:id="rId9"/>
    <sheet name="Interpolations USD" sheetId="30" r:id="rId10"/>
    <sheet name="Interpolations Euro" sheetId="31" r:id="rId11"/>
    <sheet name="Interpolations GBP" sheetId="32" r:id="rId12"/>
    <sheet name="Interpolations CHF" sheetId="33" r:id="rId13"/>
    <sheet name="Interpolations CAD" sheetId="34" r:id="rId14"/>
    <sheet name="Interpolations JPY" sheetId="35" r:id="rId15"/>
    <sheet name="Interpolations AUD" sheetId="36" r:id="rId16"/>
    <sheet name="Interpolations NZD" sheetId="37" r:id="rId17"/>
    <sheet name="Interpolations HKD" sheetId="41" r:id="rId18"/>
    <sheet name="USD Yield Curve" sheetId="1" r:id="rId19"/>
    <sheet name="Euro Yield Curve" sheetId="9" r:id="rId20"/>
    <sheet name="GBP Yield Curve" sheetId="6" r:id="rId21"/>
    <sheet name="CHF Yield Curve" sheetId="7" r:id="rId22"/>
    <sheet name="CAD Yield Curve" sheetId="8" r:id="rId23"/>
    <sheet name="JPY Yield Curve" sheetId="22" r:id="rId24"/>
    <sheet name="Australia Yield Curve" sheetId="10" r:id="rId25"/>
    <sheet name="NZ Yield Curve" sheetId="11" r:id="rId26"/>
    <sheet name="Hong Kong Yield Curve" sheetId="40" r:id="rId27"/>
  </sheets>
  <functionGroups builtInGroupCount="18"/>
  <externalReferences>
    <externalReference r:id="rId28"/>
  </externalReferences>
  <definedNames>
    <definedName name="_AtRisk_SimSetting_AutomaticallyGenerateReports" hidden="1">TRUE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localSheetId="8" hidden="1">FALSE</definedName>
    <definedName name="_AtRisk_SimSetting_LiveUpdate" hidden="1">TRUE</definedName>
    <definedName name="_AtRisk_SimSetting_LiveUpdatePeriod" hidden="1">-1</definedName>
    <definedName name="_AtRisk_SimSetting_RandomNumberGenerator" hidden="1">0</definedName>
    <definedName name="_AtRisk_SimSetting_ReportsList" localSheetId="8" hidden="1">813</definedName>
    <definedName name="_AtRisk_SimSetting_ReportsList" hidden="1">16</definedName>
    <definedName name="_AtRisk_SimSetting_SimName001" hidden="1">1</definedName>
    <definedName name="_AtRisk_SimSetting_SimName002" hidden="1">2</definedName>
    <definedName name="_AtRisk_SimSetting_SimName003" hidden="1">3</definedName>
    <definedName name="_AtRisk_SimSetting_SimNameCount" hidden="1">3</definedName>
    <definedName name="_AtRisk_SimSetting_SmartSensitivityAnalysisEnabled" hidden="1">TRUE</definedName>
    <definedName name="_AtRisk_SimSetting_StatisticFunctionUpdating" hidden="1">1</definedName>
    <definedName name="_AtRisk_SimSetting_StdRecalcBehavior" hidden="1">1</definedName>
    <definedName name="_AtRisk_SimSetting_StdRecalcWithoutRiskStatic" hidden="1">0</definedName>
    <definedName name="_AtRisk_SimSetting_StdRecalcWithoutRiskStaticPercentile" hidden="1">0.5</definedName>
    <definedName name="ALMOutput" localSheetId="26">#REF!</definedName>
    <definedName name="ALMOutput" localSheetId="15">#REF!</definedName>
    <definedName name="ALMOutput" localSheetId="13">#REF!</definedName>
    <definedName name="ALMOutput" localSheetId="12">#REF!</definedName>
    <definedName name="ALMOutput" localSheetId="10">#REF!</definedName>
    <definedName name="ALMOutput" localSheetId="11">#REF!</definedName>
    <definedName name="ALMOutput" localSheetId="17">#REF!</definedName>
    <definedName name="ALMOutput" localSheetId="14">#REF!</definedName>
    <definedName name="ALMOutput" localSheetId="16">#REF!</definedName>
    <definedName name="ALMOutput">#REF!</definedName>
    <definedName name="ALMStorage" localSheetId="26">#REF!</definedName>
    <definedName name="ALMStorage" localSheetId="15">#REF!</definedName>
    <definedName name="ALMStorage" localSheetId="13">#REF!</definedName>
    <definedName name="ALMStorage" localSheetId="12">#REF!</definedName>
    <definedName name="ALMStorage" localSheetId="10">#REF!</definedName>
    <definedName name="ALMStorage" localSheetId="11">#REF!</definedName>
    <definedName name="ALMStorage" localSheetId="17">#REF!</definedName>
    <definedName name="ALMStorage" localSheetId="14">#REF!</definedName>
    <definedName name="ALMStorage" localSheetId="16">#REF!</definedName>
    <definedName name="ALMStorage">#REF!</definedName>
    <definedName name="Copyoutput" localSheetId="26">#REF!</definedName>
    <definedName name="Copyoutput" localSheetId="15">#REF!</definedName>
    <definedName name="Copyoutput" localSheetId="13">#REF!</definedName>
    <definedName name="Copyoutput" localSheetId="12">#REF!</definedName>
    <definedName name="Copyoutput" localSheetId="10">#REF!</definedName>
    <definedName name="Copyoutput" localSheetId="11">#REF!</definedName>
    <definedName name="Copyoutput" localSheetId="17">#REF!</definedName>
    <definedName name="Copyoutput" localSheetId="14">#REF!</definedName>
    <definedName name="Copyoutput" localSheetId="16">#REF!</definedName>
    <definedName name="Copyoutput">#REF!</definedName>
    <definedName name="dataraw" localSheetId="26">#REF!</definedName>
    <definedName name="dataraw" localSheetId="15">#REF!</definedName>
    <definedName name="dataraw" localSheetId="13">#REF!</definedName>
    <definedName name="dataraw" localSheetId="12">#REF!</definedName>
    <definedName name="dataraw" localSheetId="10">#REF!</definedName>
    <definedName name="dataraw" localSheetId="11">#REF!</definedName>
    <definedName name="dataraw" localSheetId="17">#REF!</definedName>
    <definedName name="dataraw" localSheetId="14">#REF!</definedName>
    <definedName name="dataraw" localSheetId="16">#REF!</definedName>
    <definedName name="dataraw">#REF!</definedName>
    <definedName name="in" localSheetId="26">#REF!</definedName>
    <definedName name="in" localSheetId="15">#REF!</definedName>
    <definedName name="in" localSheetId="13">#REF!</definedName>
    <definedName name="in" localSheetId="12">#REF!</definedName>
    <definedName name="in" localSheetId="10">#REF!</definedName>
    <definedName name="in" localSheetId="11">#REF!</definedName>
    <definedName name="in" localSheetId="17">#REF!</definedName>
    <definedName name="in" localSheetId="14">#REF!</definedName>
    <definedName name="in" localSheetId="16">#REF!</definedName>
    <definedName name="in" localSheetId="8">Splines!#REF!</definedName>
    <definedName name="in">#REF!</definedName>
    <definedName name="inn" localSheetId="26">#REF!</definedName>
    <definedName name="inn" localSheetId="15">#REF!</definedName>
    <definedName name="inn" localSheetId="13">#REF!</definedName>
    <definedName name="inn" localSheetId="12">#REF!</definedName>
    <definedName name="inn" localSheetId="10">#REF!</definedName>
    <definedName name="inn" localSheetId="11">#REF!</definedName>
    <definedName name="inn" localSheetId="17">#REF!</definedName>
    <definedName name="inn" localSheetId="14">#REF!</definedName>
    <definedName name="inn" localSheetId="16">#REF!</definedName>
    <definedName name="inn">#REF!</definedName>
    <definedName name="KeyRateShocks" localSheetId="26">'Interpolations USD'!#REF!</definedName>
    <definedName name="KeyRateShocks" localSheetId="15">'Interpolations AUD'!#REF!</definedName>
    <definedName name="KeyRateShocks" localSheetId="13">'Interpolations CAD'!#REF!</definedName>
    <definedName name="KeyRateShocks" localSheetId="12">'Interpolations CHF'!#REF!</definedName>
    <definedName name="KeyRateShocks" localSheetId="10">'Interpolations Euro'!#REF!</definedName>
    <definedName name="KeyRateShocks" localSheetId="11">'Interpolations GBP'!#REF!</definedName>
    <definedName name="KeyRateShocks" localSheetId="17">'Interpolations HKD'!#REF!</definedName>
    <definedName name="KeyRateShocks" localSheetId="14">'Interpolations JPY'!#REF!</definedName>
    <definedName name="KeyRateShocks" localSheetId="16">'Interpolations NZD'!#REF!</definedName>
    <definedName name="KeyRateShocks">'Interpolations USD'!#REF!</definedName>
    <definedName name="Markets" localSheetId="26">#REF!</definedName>
    <definedName name="Markets" localSheetId="15">#REF!</definedName>
    <definedName name="Markets" localSheetId="13">#REF!</definedName>
    <definedName name="Markets" localSheetId="12">#REF!</definedName>
    <definedName name="Markets" localSheetId="10">#REF!</definedName>
    <definedName name="Markets" localSheetId="11">#REF!</definedName>
    <definedName name="Markets" localSheetId="17">#REF!</definedName>
    <definedName name="Markets" localSheetId="14">#REF!</definedName>
    <definedName name="Markets" localSheetId="16">#REF!</definedName>
    <definedName name="Markets">#REF!</definedName>
    <definedName name="MaturityBucket">[1]CoD!$S$1</definedName>
    <definedName name="out" localSheetId="26">#REF!</definedName>
    <definedName name="out" localSheetId="15">#REF!</definedName>
    <definedName name="out" localSheetId="13">#REF!</definedName>
    <definedName name="out" localSheetId="12">#REF!</definedName>
    <definedName name="out" localSheetId="10">#REF!</definedName>
    <definedName name="out" localSheetId="11">#REF!</definedName>
    <definedName name="out" localSheetId="17">#REF!</definedName>
    <definedName name="out" localSheetId="14">#REF!</definedName>
    <definedName name="out" localSheetId="16">#REF!</definedName>
    <definedName name="out" localSheetId="8">Splines!#REF!</definedName>
    <definedName name="out">#REF!</definedName>
    <definedName name="Pal_Workbook_GUID" hidden="1">"EIDGLM9HHIT7G5NJL7E4MFBF"</definedName>
    <definedName name="PortfolioInputs" localSheetId="26">#REF!</definedName>
    <definedName name="PortfolioInputs" localSheetId="15">#REF!</definedName>
    <definedName name="PortfolioInputs" localSheetId="13">#REF!</definedName>
    <definedName name="PortfolioInputs" localSheetId="12">#REF!</definedName>
    <definedName name="PortfolioInputs" localSheetId="10">#REF!</definedName>
    <definedName name="PortfolioInputs" localSheetId="11">#REF!</definedName>
    <definedName name="PortfolioInputs" localSheetId="17">#REF!</definedName>
    <definedName name="PortfolioInputs" localSheetId="14">#REF!</definedName>
    <definedName name="PortfolioInputs" localSheetId="16">#REF!</definedName>
    <definedName name="PortfolioInputs">#REF!</definedName>
    <definedName name="PricingData" localSheetId="26">#REF!</definedName>
    <definedName name="PricingData" localSheetId="15">#REF!</definedName>
    <definedName name="PricingData" localSheetId="13">#REF!</definedName>
    <definedName name="PricingData" localSheetId="12">#REF!</definedName>
    <definedName name="PricingData" localSheetId="10">#REF!</definedName>
    <definedName name="PricingData" localSheetId="11">#REF!</definedName>
    <definedName name="PricingData" localSheetId="17">#REF!</definedName>
    <definedName name="PricingData" localSheetId="14">#REF!</definedName>
    <definedName name="PricingData" localSheetId="16">#REF!</definedName>
    <definedName name="PricingData">#REF!</definedName>
    <definedName name="rates" localSheetId="26">'Interpolations USD'!#REF!</definedName>
    <definedName name="rates" localSheetId="15">'Interpolations AUD'!#REF!</definedName>
    <definedName name="rates" localSheetId="13">'Interpolations CAD'!#REF!</definedName>
    <definedName name="rates" localSheetId="12">'Interpolations CHF'!#REF!</definedName>
    <definedName name="rates" localSheetId="10">'Interpolations Euro'!#REF!</definedName>
    <definedName name="rates" localSheetId="11">'Interpolations GBP'!#REF!</definedName>
    <definedName name="rates" localSheetId="17">'Interpolations HKD'!#REF!</definedName>
    <definedName name="rates" localSheetId="14">'Interpolations JPY'!#REF!</definedName>
    <definedName name="rates" localSheetId="16">'Interpolations NZD'!#REF!</definedName>
    <definedName name="rates">'Interpolations USD'!#REF!</definedName>
    <definedName name="rawdata10" localSheetId="26">#REF!</definedName>
    <definedName name="rawdata10" localSheetId="15">#REF!</definedName>
    <definedName name="rawdata10" localSheetId="13">#REF!</definedName>
    <definedName name="rawdata10" localSheetId="12">#REF!</definedName>
    <definedName name="rawdata10" localSheetId="10">#REF!</definedName>
    <definedName name="rawdata10" localSheetId="11">#REF!</definedName>
    <definedName name="rawdata10" localSheetId="17">#REF!</definedName>
    <definedName name="rawdata10" localSheetId="14">#REF!</definedName>
    <definedName name="rawdata10" localSheetId="16">#REF!</definedName>
    <definedName name="rawdata10">#REF!</definedName>
    <definedName name="RiskAfterRecalcMacro" hidden="1">""</definedName>
    <definedName name="RiskAfterSimMacro" hidden="1">""</definedName>
    <definedName name="riskATSTbaselineRequested" hidden="1">TRUE</definedName>
    <definedName name="riskATSTboxGraph" hidden="1">TRUE</definedName>
    <definedName name="riskATSTcomparisonGraph" hidden="1">TRUE</definedName>
    <definedName name="riskATSThistogramGraph" hidden="1">FALSE</definedName>
    <definedName name="riskATSToutputStatistic" hidden="1">4</definedName>
    <definedName name="riskATSTprintReport" hidden="1">FALSE</definedName>
    <definedName name="riskATSTreportsInActiveBook" hidden="1">FALSE</definedName>
    <definedName name="riskATSTreportsSelected" hidden="1">TRUE</definedName>
    <definedName name="riskATSTsequentialStress" hidden="1">TRUE</definedName>
    <definedName name="riskATSTsummaryReport" hidden="1">TRUE</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localSheetId="8" hidden="1">100</definedName>
    <definedName name="RiskNumIterations" hidden="1">40000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2</definedName>
    <definedName name="RiskUpdateDisplay" hidden="1">TRUE</definedName>
    <definedName name="RiskUseDifferentSeedForEachSim" localSheetId="8" hidden="1">FALSE</definedName>
    <definedName name="RiskUseDifferentSeedForEachSim" hidden="1">TRUE</definedName>
    <definedName name="RiskUseFixedSeed" hidden="1">FALSE</definedName>
    <definedName name="RiskUseMultipleCPUs" hidden="1">TRUE</definedName>
    <definedName name="security_id" localSheetId="26">#REF!</definedName>
    <definedName name="security_id" localSheetId="15">#REF!</definedName>
    <definedName name="security_id" localSheetId="13">#REF!</definedName>
    <definedName name="security_id" localSheetId="12">#REF!</definedName>
    <definedName name="security_id" localSheetId="10">#REF!</definedName>
    <definedName name="security_id" localSheetId="11">#REF!</definedName>
    <definedName name="security_id" localSheetId="17">#REF!</definedName>
    <definedName name="security_id" localSheetId="14">#REF!</definedName>
    <definedName name="security_id" localSheetId="16">#REF!</definedName>
    <definedName name="security_id">#REF!</definedName>
    <definedName name="solver_adj" localSheetId="24" hidden="1">'Australia Yield Curve'!$B$6:$B$10</definedName>
    <definedName name="solver_adj" localSheetId="22" hidden="1">'CAD Yield Curve'!$B$6:$B$10</definedName>
    <definedName name="solver_adj" localSheetId="21" hidden="1">'CHF Yield Curve'!$B$6:$B$10</definedName>
    <definedName name="solver_adj" localSheetId="19" hidden="1">'Euro Yield Curve'!$B$6:$B$10</definedName>
    <definedName name="solver_adj" localSheetId="20" hidden="1">'GBP Yield Curve'!$B$6:$B$10</definedName>
    <definedName name="solver_adj" localSheetId="26" hidden="1">'Hong Kong Yield Curve'!$B$6:$B$10</definedName>
    <definedName name="solver_adj" localSheetId="17" hidden="1">'Interpolations HKD'!$K$52:$K$55</definedName>
    <definedName name="solver_adj" localSheetId="16" hidden="1">'Interpolations NZD'!$K$52:$K$55</definedName>
    <definedName name="solver_adj" localSheetId="23" hidden="1">'JPY Yield Curve'!$B$6:$B$10</definedName>
    <definedName name="solver_adj" localSheetId="25" hidden="1">'NZ Yield Curve'!$B$6:$B$10</definedName>
    <definedName name="solver_adj" localSheetId="18" hidden="1">'USD Yield Curve'!$B$6:$B$10</definedName>
    <definedName name="solver_cvg" localSheetId="24" hidden="1">0.0001</definedName>
    <definedName name="solver_cvg" localSheetId="22" hidden="1">0.0001</definedName>
    <definedName name="solver_cvg" localSheetId="21" hidden="1">0.0001</definedName>
    <definedName name="solver_cvg" localSheetId="19" hidden="1">0.0001</definedName>
    <definedName name="solver_cvg" localSheetId="20" hidden="1">0.0001</definedName>
    <definedName name="solver_cvg" localSheetId="26" hidden="1">0.0001</definedName>
    <definedName name="solver_cvg" localSheetId="17" hidden="1">0.0001</definedName>
    <definedName name="solver_cvg" localSheetId="16" hidden="1">0.0001</definedName>
    <definedName name="solver_cvg" localSheetId="23" hidden="1">0.0001</definedName>
    <definedName name="solver_cvg" localSheetId="25" hidden="1">0.0001</definedName>
    <definedName name="solver_cvg" localSheetId="18" hidden="1">0.0001</definedName>
    <definedName name="solver_drv" localSheetId="24" hidden="1">1</definedName>
    <definedName name="solver_drv" localSheetId="22" hidden="1">1</definedName>
    <definedName name="solver_drv" localSheetId="21" hidden="1">1</definedName>
    <definedName name="solver_drv" localSheetId="19" hidden="1">1</definedName>
    <definedName name="solver_drv" localSheetId="20" hidden="1">1</definedName>
    <definedName name="solver_drv" localSheetId="26" hidden="1">1</definedName>
    <definedName name="solver_drv" localSheetId="17" hidden="1">1</definedName>
    <definedName name="solver_drv" localSheetId="16" hidden="1">1</definedName>
    <definedName name="solver_drv" localSheetId="23" hidden="1">1</definedName>
    <definedName name="solver_drv" localSheetId="25" hidden="1">1</definedName>
    <definedName name="solver_drv" localSheetId="18" hidden="1">1</definedName>
    <definedName name="solver_eng" localSheetId="24" hidden="1">1</definedName>
    <definedName name="solver_eng" localSheetId="22" hidden="1">1</definedName>
    <definedName name="solver_eng" localSheetId="21" hidden="1">1</definedName>
    <definedName name="solver_eng" localSheetId="19" hidden="1">1</definedName>
    <definedName name="solver_eng" localSheetId="20" hidden="1">1</definedName>
    <definedName name="solver_eng" localSheetId="26" hidden="1">1</definedName>
    <definedName name="solver_eng" localSheetId="17" hidden="1">1</definedName>
    <definedName name="solver_eng" localSheetId="16" hidden="1">1</definedName>
    <definedName name="solver_eng" localSheetId="23" hidden="1">1</definedName>
    <definedName name="solver_eng" localSheetId="25" hidden="1">1</definedName>
    <definedName name="solver_eng" localSheetId="18" hidden="1">1</definedName>
    <definedName name="solver_est" localSheetId="24" hidden="1">1</definedName>
    <definedName name="solver_est" localSheetId="22" hidden="1">1</definedName>
    <definedName name="solver_est" localSheetId="21" hidden="1">1</definedName>
    <definedName name="solver_est" localSheetId="19" hidden="1">1</definedName>
    <definedName name="solver_est" localSheetId="20" hidden="1">1</definedName>
    <definedName name="solver_est" localSheetId="26" hidden="1">1</definedName>
    <definedName name="solver_est" localSheetId="17" hidden="1">1</definedName>
    <definedName name="solver_est" localSheetId="16" hidden="1">1</definedName>
    <definedName name="solver_est" localSheetId="23" hidden="1">1</definedName>
    <definedName name="solver_est" localSheetId="25" hidden="1">1</definedName>
    <definedName name="solver_est" localSheetId="18" hidden="1">1</definedName>
    <definedName name="solver_itr" localSheetId="24" hidden="1">100</definedName>
    <definedName name="solver_itr" localSheetId="22" hidden="1">100</definedName>
    <definedName name="solver_itr" localSheetId="21" hidden="1">100</definedName>
    <definedName name="solver_itr" localSheetId="19" hidden="1">100</definedName>
    <definedName name="solver_itr" localSheetId="20" hidden="1">100</definedName>
    <definedName name="solver_itr" localSheetId="26" hidden="1">100</definedName>
    <definedName name="solver_itr" localSheetId="17" hidden="1">2147483647</definedName>
    <definedName name="solver_itr" localSheetId="16" hidden="1">2147483647</definedName>
    <definedName name="solver_itr" localSheetId="23" hidden="1">100</definedName>
    <definedName name="solver_itr" localSheetId="25" hidden="1">100</definedName>
    <definedName name="solver_itr" localSheetId="18" hidden="1">100</definedName>
    <definedName name="solver_lin" localSheetId="24" hidden="1">2</definedName>
    <definedName name="solver_lin" localSheetId="22" hidden="1">2</definedName>
    <definedName name="solver_lin" localSheetId="21" hidden="1">2</definedName>
    <definedName name="solver_lin" localSheetId="19" hidden="1">2</definedName>
    <definedName name="solver_lin" localSheetId="20" hidden="1">2</definedName>
    <definedName name="solver_lin" localSheetId="26" hidden="1">2</definedName>
    <definedName name="solver_lin" localSheetId="23" hidden="1">2</definedName>
    <definedName name="solver_lin" localSheetId="25" hidden="1">2</definedName>
    <definedName name="solver_lin" localSheetId="18" hidden="1">2</definedName>
    <definedName name="solver_mip" localSheetId="24" hidden="1">2147483647</definedName>
    <definedName name="solver_mip" localSheetId="22" hidden="1">2147483647</definedName>
    <definedName name="solver_mip" localSheetId="21" hidden="1">2147483647</definedName>
    <definedName name="solver_mip" localSheetId="19" hidden="1">2147483647</definedName>
    <definedName name="solver_mip" localSheetId="20" hidden="1">2147483647</definedName>
    <definedName name="solver_mip" localSheetId="26" hidden="1">2147483647</definedName>
    <definedName name="solver_mip" localSheetId="17" hidden="1">2147483647</definedName>
    <definedName name="solver_mip" localSheetId="16" hidden="1">2147483647</definedName>
    <definedName name="solver_mip" localSheetId="23" hidden="1">2147483647</definedName>
    <definedName name="solver_mip" localSheetId="25" hidden="1">2147483647</definedName>
    <definedName name="solver_mip" localSheetId="18" hidden="1">2147483647</definedName>
    <definedName name="solver_mni" localSheetId="24" hidden="1">30</definedName>
    <definedName name="solver_mni" localSheetId="22" hidden="1">30</definedName>
    <definedName name="solver_mni" localSheetId="21" hidden="1">30</definedName>
    <definedName name="solver_mni" localSheetId="19" hidden="1">30</definedName>
    <definedName name="solver_mni" localSheetId="20" hidden="1">30</definedName>
    <definedName name="solver_mni" localSheetId="26" hidden="1">30</definedName>
    <definedName name="solver_mni" localSheetId="17" hidden="1">30</definedName>
    <definedName name="solver_mni" localSheetId="16" hidden="1">30</definedName>
    <definedName name="solver_mni" localSheetId="23" hidden="1">30</definedName>
    <definedName name="solver_mni" localSheetId="25" hidden="1">30</definedName>
    <definedName name="solver_mni" localSheetId="18" hidden="1">30</definedName>
    <definedName name="solver_mrt" localSheetId="24" hidden="1">0.075</definedName>
    <definedName name="solver_mrt" localSheetId="22" hidden="1">0.075</definedName>
    <definedName name="solver_mrt" localSheetId="21" hidden="1">0.075</definedName>
    <definedName name="solver_mrt" localSheetId="19" hidden="1">0.075</definedName>
    <definedName name="solver_mrt" localSheetId="20" hidden="1">0.075</definedName>
    <definedName name="solver_mrt" localSheetId="26" hidden="1">0.075</definedName>
    <definedName name="solver_mrt" localSheetId="17" hidden="1">0.075</definedName>
    <definedName name="solver_mrt" localSheetId="16" hidden="1">0.075</definedName>
    <definedName name="solver_mrt" localSheetId="23" hidden="1">0.075</definedName>
    <definedName name="solver_mrt" localSheetId="25" hidden="1">0.075</definedName>
    <definedName name="solver_mrt" localSheetId="18" hidden="1">0.075</definedName>
    <definedName name="solver_msl" localSheetId="24" hidden="1">2</definedName>
    <definedName name="solver_msl" localSheetId="22" hidden="1">2</definedName>
    <definedName name="solver_msl" localSheetId="21" hidden="1">2</definedName>
    <definedName name="solver_msl" localSheetId="19" hidden="1">2</definedName>
    <definedName name="solver_msl" localSheetId="20" hidden="1">2</definedName>
    <definedName name="solver_msl" localSheetId="26" hidden="1">2</definedName>
    <definedName name="solver_msl" localSheetId="17" hidden="1">2</definedName>
    <definedName name="solver_msl" localSheetId="16" hidden="1">2</definedName>
    <definedName name="solver_msl" localSheetId="23" hidden="1">2</definedName>
    <definedName name="solver_msl" localSheetId="25" hidden="1">2</definedName>
    <definedName name="solver_msl" localSheetId="18" hidden="1">2</definedName>
    <definedName name="solver_neg" localSheetId="24" hidden="1">2</definedName>
    <definedName name="solver_neg" localSheetId="22" hidden="1">2</definedName>
    <definedName name="solver_neg" localSheetId="21" hidden="1">2</definedName>
    <definedName name="solver_neg" localSheetId="19" hidden="1">2</definedName>
    <definedName name="solver_neg" localSheetId="20" hidden="1">2</definedName>
    <definedName name="solver_neg" localSheetId="26" hidden="1">2</definedName>
    <definedName name="solver_neg" localSheetId="17" hidden="1">2</definedName>
    <definedName name="solver_neg" localSheetId="16" hidden="1">2</definedName>
    <definedName name="solver_neg" localSheetId="23" hidden="1">2</definedName>
    <definedName name="solver_neg" localSheetId="25" hidden="1">2</definedName>
    <definedName name="solver_neg" localSheetId="18" hidden="1">2</definedName>
    <definedName name="solver_nod" localSheetId="24" hidden="1">2147483647</definedName>
    <definedName name="solver_nod" localSheetId="22" hidden="1">2147483647</definedName>
    <definedName name="solver_nod" localSheetId="21" hidden="1">2147483647</definedName>
    <definedName name="solver_nod" localSheetId="19" hidden="1">2147483647</definedName>
    <definedName name="solver_nod" localSheetId="20" hidden="1">2147483647</definedName>
    <definedName name="solver_nod" localSheetId="26" hidden="1">2147483647</definedName>
    <definedName name="solver_nod" localSheetId="17" hidden="1">2147483647</definedName>
    <definedName name="solver_nod" localSheetId="16" hidden="1">2147483647</definedName>
    <definedName name="solver_nod" localSheetId="23" hidden="1">2147483647</definedName>
    <definedName name="solver_nod" localSheetId="25" hidden="1">2147483647</definedName>
    <definedName name="solver_nod" localSheetId="18" hidden="1">2147483647</definedName>
    <definedName name="solver_num" localSheetId="24" hidden="1">0</definedName>
    <definedName name="solver_num" localSheetId="22" hidden="1">0</definedName>
    <definedName name="solver_num" localSheetId="21" hidden="1">0</definedName>
    <definedName name="solver_num" localSheetId="19" hidden="1">0</definedName>
    <definedName name="solver_num" localSheetId="20" hidden="1">0</definedName>
    <definedName name="solver_num" localSheetId="26" hidden="1">0</definedName>
    <definedName name="solver_num" localSheetId="17" hidden="1">0</definedName>
    <definedName name="solver_num" localSheetId="16" hidden="1">0</definedName>
    <definedName name="solver_num" localSheetId="23" hidden="1">0</definedName>
    <definedName name="solver_num" localSheetId="25" hidden="1">0</definedName>
    <definedName name="solver_num" localSheetId="18" hidden="1">0</definedName>
    <definedName name="solver_nwt" localSheetId="24" hidden="1">1</definedName>
    <definedName name="solver_nwt" localSheetId="22" hidden="1">1</definedName>
    <definedName name="solver_nwt" localSheetId="21" hidden="1">1</definedName>
    <definedName name="solver_nwt" localSheetId="19" hidden="1">1</definedName>
    <definedName name="solver_nwt" localSheetId="20" hidden="1">1</definedName>
    <definedName name="solver_nwt" localSheetId="26" hidden="1">1</definedName>
    <definedName name="solver_nwt" localSheetId="17" hidden="1">1</definedName>
    <definedName name="solver_nwt" localSheetId="16" hidden="1">1</definedName>
    <definedName name="solver_nwt" localSheetId="23" hidden="1">1</definedName>
    <definedName name="solver_nwt" localSheetId="25" hidden="1">1</definedName>
    <definedName name="solver_nwt" localSheetId="18" hidden="1">1</definedName>
    <definedName name="solver_opt" localSheetId="24" hidden="1">'Australia Yield Curve'!$D$269</definedName>
    <definedName name="solver_opt" localSheetId="22" hidden="1">'CAD Yield Curve'!$D$269</definedName>
    <definedName name="solver_opt" localSheetId="21" hidden="1">'CHF Yield Curve'!$D$269</definedName>
    <definedName name="solver_opt" localSheetId="19" hidden="1">'Euro Yield Curve'!$D$269</definedName>
    <definedName name="solver_opt" localSheetId="20" hidden="1">'GBP Yield Curve'!$D$270</definedName>
    <definedName name="solver_opt" localSheetId="26" hidden="1">'Hong Kong Yield Curve'!$D$372</definedName>
    <definedName name="solver_opt" localSheetId="17" hidden="1">'Interpolations HKD'!$K$71</definedName>
    <definedName name="solver_opt" localSheetId="16" hidden="1">'Interpolations NZD'!$K$71</definedName>
    <definedName name="solver_opt" localSheetId="23" hidden="1">'JPY Yield Curve'!$D$269</definedName>
    <definedName name="solver_opt" localSheetId="25" hidden="1">'NZ Yield Curve'!$D$269</definedName>
    <definedName name="solver_opt" localSheetId="18" hidden="1">'USD Yield Curve'!$D$278</definedName>
    <definedName name="solver_pre" localSheetId="24" hidden="1">0.000001</definedName>
    <definedName name="solver_pre" localSheetId="22" hidden="1">0.000001</definedName>
    <definedName name="solver_pre" localSheetId="21" hidden="1">0.000001</definedName>
    <definedName name="solver_pre" localSheetId="19" hidden="1">0.000001</definedName>
    <definedName name="solver_pre" localSheetId="20" hidden="1">0.000001</definedName>
    <definedName name="solver_pre" localSheetId="26" hidden="1">0.000001</definedName>
    <definedName name="solver_pre" localSheetId="17" hidden="1">0.000001</definedName>
    <definedName name="solver_pre" localSheetId="16" hidden="1">0.000001</definedName>
    <definedName name="solver_pre" localSheetId="23" hidden="1">0.000001</definedName>
    <definedName name="solver_pre" localSheetId="25" hidden="1">0.000001</definedName>
    <definedName name="solver_pre" localSheetId="18" hidden="1">0.000001</definedName>
    <definedName name="solver_rbv" localSheetId="24" hidden="1">1</definedName>
    <definedName name="solver_rbv" localSheetId="22" hidden="1">1</definedName>
    <definedName name="solver_rbv" localSheetId="21" hidden="1">1</definedName>
    <definedName name="solver_rbv" localSheetId="19" hidden="1">1</definedName>
    <definedName name="solver_rbv" localSheetId="20" hidden="1">1</definedName>
    <definedName name="solver_rbv" localSheetId="26" hidden="1">1</definedName>
    <definedName name="solver_rbv" localSheetId="17" hidden="1">1</definedName>
    <definedName name="solver_rbv" localSheetId="16" hidden="1">1</definedName>
    <definedName name="solver_rbv" localSheetId="23" hidden="1">1</definedName>
    <definedName name="solver_rbv" localSheetId="25" hidden="1">1</definedName>
    <definedName name="solver_rbv" localSheetId="18" hidden="1">1</definedName>
    <definedName name="solver_rlx" localSheetId="24" hidden="1">1</definedName>
    <definedName name="solver_rlx" localSheetId="22" hidden="1">1</definedName>
    <definedName name="solver_rlx" localSheetId="21" hidden="1">1</definedName>
    <definedName name="solver_rlx" localSheetId="19" hidden="1">1</definedName>
    <definedName name="solver_rlx" localSheetId="20" hidden="1">1</definedName>
    <definedName name="solver_rlx" localSheetId="26" hidden="1">1</definedName>
    <definedName name="solver_rlx" localSheetId="17" hidden="1">2</definedName>
    <definedName name="solver_rlx" localSheetId="16" hidden="1">2</definedName>
    <definedName name="solver_rlx" localSheetId="23" hidden="1">1</definedName>
    <definedName name="solver_rlx" localSheetId="25" hidden="1">1</definedName>
    <definedName name="solver_rlx" localSheetId="18" hidden="1">1</definedName>
    <definedName name="solver_rsd" localSheetId="24" hidden="1">0</definedName>
    <definedName name="solver_rsd" localSheetId="22" hidden="1">0</definedName>
    <definedName name="solver_rsd" localSheetId="21" hidden="1">0</definedName>
    <definedName name="solver_rsd" localSheetId="19" hidden="1">0</definedName>
    <definedName name="solver_rsd" localSheetId="20" hidden="1">0</definedName>
    <definedName name="solver_rsd" localSheetId="26" hidden="1">0</definedName>
    <definedName name="solver_rsd" localSheetId="17" hidden="1">0</definedName>
    <definedName name="solver_rsd" localSheetId="16" hidden="1">0</definedName>
    <definedName name="solver_rsd" localSheetId="23" hidden="1">0</definedName>
    <definedName name="solver_rsd" localSheetId="25" hidden="1">0</definedName>
    <definedName name="solver_rsd" localSheetId="18" hidden="1">0</definedName>
    <definedName name="solver_scl" localSheetId="24" hidden="1">2</definedName>
    <definedName name="solver_scl" localSheetId="22" hidden="1">2</definedName>
    <definedName name="solver_scl" localSheetId="21" hidden="1">2</definedName>
    <definedName name="solver_scl" localSheetId="19" hidden="1">2</definedName>
    <definedName name="solver_scl" localSheetId="20" hidden="1">2</definedName>
    <definedName name="solver_scl" localSheetId="26" hidden="1">2</definedName>
    <definedName name="solver_scl" localSheetId="17" hidden="1">1</definedName>
    <definedName name="solver_scl" localSheetId="16" hidden="1">1</definedName>
    <definedName name="solver_scl" localSheetId="23" hidden="1">2</definedName>
    <definedName name="solver_scl" localSheetId="25" hidden="1">2</definedName>
    <definedName name="solver_scl" localSheetId="18" hidden="1">2</definedName>
    <definedName name="solver_sho" localSheetId="24" hidden="1">2</definedName>
    <definedName name="solver_sho" localSheetId="22" hidden="1">2</definedName>
    <definedName name="solver_sho" localSheetId="21" hidden="1">2</definedName>
    <definedName name="solver_sho" localSheetId="19" hidden="1">2</definedName>
    <definedName name="solver_sho" localSheetId="20" hidden="1">2</definedName>
    <definedName name="solver_sho" localSheetId="26" hidden="1">2</definedName>
    <definedName name="solver_sho" localSheetId="17" hidden="1">2</definedName>
    <definedName name="solver_sho" localSheetId="16" hidden="1">2</definedName>
    <definedName name="solver_sho" localSheetId="23" hidden="1">2</definedName>
    <definedName name="solver_sho" localSheetId="25" hidden="1">2</definedName>
    <definedName name="solver_sho" localSheetId="18" hidden="1">2</definedName>
    <definedName name="solver_ssz" localSheetId="24" hidden="1">100</definedName>
    <definedName name="solver_ssz" localSheetId="22" hidden="1">100</definedName>
    <definedName name="solver_ssz" localSheetId="21" hidden="1">100</definedName>
    <definedName name="solver_ssz" localSheetId="19" hidden="1">100</definedName>
    <definedName name="solver_ssz" localSheetId="20" hidden="1">100</definedName>
    <definedName name="solver_ssz" localSheetId="26" hidden="1">100</definedName>
    <definedName name="solver_ssz" localSheetId="17" hidden="1">100</definedName>
    <definedName name="solver_ssz" localSheetId="16" hidden="1">100</definedName>
    <definedName name="solver_ssz" localSheetId="23" hidden="1">100</definedName>
    <definedName name="solver_ssz" localSheetId="25" hidden="1">100</definedName>
    <definedName name="solver_ssz" localSheetId="18" hidden="1">100</definedName>
    <definedName name="solver_tim" localSheetId="24" hidden="1">100</definedName>
    <definedName name="solver_tim" localSheetId="22" hidden="1">100</definedName>
    <definedName name="solver_tim" localSheetId="21" hidden="1">100</definedName>
    <definedName name="solver_tim" localSheetId="19" hidden="1">100</definedName>
    <definedName name="solver_tim" localSheetId="20" hidden="1">100</definedName>
    <definedName name="solver_tim" localSheetId="26" hidden="1">100</definedName>
    <definedName name="solver_tim" localSheetId="17" hidden="1">2147483647</definedName>
    <definedName name="solver_tim" localSheetId="16" hidden="1">2147483647</definedName>
    <definedName name="solver_tim" localSheetId="23" hidden="1">100</definedName>
    <definedName name="solver_tim" localSheetId="25" hidden="1">100</definedName>
    <definedName name="solver_tim" localSheetId="18" hidden="1">100</definedName>
    <definedName name="solver_tol" localSheetId="24" hidden="1">0.05</definedName>
    <definedName name="solver_tol" localSheetId="22" hidden="1">0.05</definedName>
    <definedName name="solver_tol" localSheetId="21" hidden="1">0.05</definedName>
    <definedName name="solver_tol" localSheetId="19" hidden="1">0.05</definedName>
    <definedName name="solver_tol" localSheetId="20" hidden="1">0.05</definedName>
    <definedName name="solver_tol" localSheetId="26" hidden="1">0.05</definedName>
    <definedName name="solver_tol" localSheetId="17" hidden="1">0.01</definedName>
    <definedName name="solver_tol" localSheetId="16" hidden="1">0.01</definedName>
    <definedName name="solver_tol" localSheetId="23" hidden="1">0.05</definedName>
    <definedName name="solver_tol" localSheetId="25" hidden="1">0.05</definedName>
    <definedName name="solver_tol" localSheetId="18" hidden="1">0.05</definedName>
    <definedName name="solver_typ" localSheetId="24" hidden="1">2</definedName>
    <definedName name="solver_typ" localSheetId="22" hidden="1">2</definedName>
    <definedName name="solver_typ" localSheetId="21" hidden="1">2</definedName>
    <definedName name="solver_typ" localSheetId="19" hidden="1">2</definedName>
    <definedName name="solver_typ" localSheetId="20" hidden="1">2</definedName>
    <definedName name="solver_typ" localSheetId="26" hidden="1">2</definedName>
    <definedName name="solver_typ" localSheetId="17" hidden="1">2</definedName>
    <definedName name="solver_typ" localSheetId="16" hidden="1">2</definedName>
    <definedName name="solver_typ" localSheetId="23" hidden="1">2</definedName>
    <definedName name="solver_typ" localSheetId="25" hidden="1">2</definedName>
    <definedName name="solver_typ" localSheetId="18" hidden="1">2</definedName>
    <definedName name="solver_val" localSheetId="24" hidden="1">0</definedName>
    <definedName name="solver_val" localSheetId="22" hidden="1">0</definedName>
    <definedName name="solver_val" localSheetId="21" hidden="1">0</definedName>
    <definedName name="solver_val" localSheetId="19" hidden="1">0</definedName>
    <definedName name="solver_val" localSheetId="20" hidden="1">0</definedName>
    <definedName name="solver_val" localSheetId="26" hidden="1">0</definedName>
    <definedName name="solver_val" localSheetId="17" hidden="1">0</definedName>
    <definedName name="solver_val" localSheetId="16" hidden="1">0</definedName>
    <definedName name="solver_val" localSheetId="23" hidden="1">0</definedName>
    <definedName name="solver_val" localSheetId="25" hidden="1">0</definedName>
    <definedName name="solver_val" localSheetId="18" hidden="1">0</definedName>
    <definedName name="solver_ver" localSheetId="24" hidden="1">3</definedName>
    <definedName name="solver_ver" localSheetId="22" hidden="1">3</definedName>
    <definedName name="solver_ver" localSheetId="21" hidden="1">3</definedName>
    <definedName name="solver_ver" localSheetId="19" hidden="1">3</definedName>
    <definedName name="solver_ver" localSheetId="20" hidden="1">3</definedName>
    <definedName name="solver_ver" localSheetId="26" hidden="1">3</definedName>
    <definedName name="solver_ver" localSheetId="17" hidden="1">3</definedName>
    <definedName name="solver_ver" localSheetId="16" hidden="1">3</definedName>
    <definedName name="solver_ver" localSheetId="23" hidden="1">3</definedName>
    <definedName name="solver_ver" localSheetId="25" hidden="1">3</definedName>
    <definedName name="solver_ver" localSheetId="18" hidden="1">3</definedName>
    <definedName name="spl" localSheetId="26">#REF!</definedName>
    <definedName name="spl" localSheetId="15">#REF!</definedName>
    <definedName name="spl" localSheetId="13">#REF!</definedName>
    <definedName name="spl" localSheetId="12">#REF!</definedName>
    <definedName name="spl" localSheetId="10">#REF!</definedName>
    <definedName name="spl" localSheetId="11">#REF!</definedName>
    <definedName name="spl" localSheetId="17">#REF!</definedName>
    <definedName name="spl" localSheetId="14">#REF!</definedName>
    <definedName name="spl" localSheetId="16">#REF!</definedName>
    <definedName name="spl" localSheetId="8">#REF!</definedName>
    <definedName name="spl">#REF!</definedName>
    <definedName name="Startportfolio" localSheetId="26">#REF!</definedName>
    <definedName name="Startportfolio" localSheetId="15">#REF!</definedName>
    <definedName name="Startportfolio" localSheetId="13">#REF!</definedName>
    <definedName name="Startportfolio" localSheetId="12">#REF!</definedName>
    <definedName name="Startportfolio" localSheetId="10">#REF!</definedName>
    <definedName name="Startportfolio" localSheetId="11">#REF!</definedName>
    <definedName name="Startportfolio" localSheetId="17">#REF!</definedName>
    <definedName name="Startportfolio" localSheetId="14">#REF!</definedName>
    <definedName name="Startportfolio" localSheetId="16">#REF!</definedName>
    <definedName name="Startportfolio">#REF!</definedName>
    <definedName name="SwapHistory" localSheetId="26">#REF!</definedName>
    <definedName name="SwapHistory" localSheetId="15">#REF!</definedName>
    <definedName name="SwapHistory" localSheetId="13">#REF!</definedName>
    <definedName name="SwapHistory" localSheetId="12">#REF!</definedName>
    <definedName name="SwapHistory" localSheetId="10">#REF!</definedName>
    <definedName name="SwapHistory" localSheetId="11">#REF!</definedName>
    <definedName name="SwapHistory" localSheetId="17">#REF!</definedName>
    <definedName name="SwapHistory" localSheetId="14">#REF!</definedName>
    <definedName name="SwapHistory" localSheetId="16">#REF!</definedName>
    <definedName name="SwapHistory">#REF!</definedName>
    <definedName name="SwapIndex" localSheetId="26">'Interpolations USD'!#REF!</definedName>
    <definedName name="SwapIndex" localSheetId="15">'Interpolations AUD'!#REF!</definedName>
    <definedName name="SwapIndex" localSheetId="13">'Interpolations CAD'!#REF!</definedName>
    <definedName name="SwapIndex" localSheetId="12">'Interpolations CHF'!#REF!</definedName>
    <definedName name="SwapIndex" localSheetId="10">'Interpolations Euro'!#REF!</definedName>
    <definedName name="SwapIndex" localSheetId="11">'Interpolations GBP'!#REF!</definedName>
    <definedName name="SwapIndex" localSheetId="17">'Interpolations HKD'!#REF!</definedName>
    <definedName name="SwapIndex" localSheetId="14">'Interpolations JPY'!#REF!</definedName>
    <definedName name="SwapIndex" localSheetId="16">'Interpolations NZD'!#REF!</definedName>
    <definedName name="SwapIndex">'Interpolations USD'!#REF!</definedName>
    <definedName name="Swapoutput" localSheetId="26">#REF!</definedName>
    <definedName name="Swapoutput" localSheetId="15">#REF!</definedName>
    <definedName name="Swapoutput" localSheetId="13">#REF!</definedName>
    <definedName name="Swapoutput" localSheetId="12">#REF!</definedName>
    <definedName name="Swapoutput" localSheetId="10">#REF!</definedName>
    <definedName name="Swapoutput" localSheetId="11">#REF!</definedName>
    <definedName name="Swapoutput" localSheetId="17">#REF!</definedName>
    <definedName name="Swapoutput" localSheetId="14">#REF!</definedName>
    <definedName name="Swapoutput" localSheetId="16">#REF!</definedName>
    <definedName name="Swapoutput">#REF!</definedName>
  </definedNames>
  <calcPr calcId="162913" concurrentCalc="0"/>
</workbook>
</file>

<file path=xl/calcChain.xml><?xml version="1.0" encoding="utf-8"?>
<calcChain xmlns="http://schemas.openxmlformats.org/spreadsheetml/2006/main">
  <c r="G5" i="11" l="1"/>
  <c r="H5" i="11"/>
  <c r="I5" i="11"/>
  <c r="J5" i="11"/>
  <c r="K5" i="11"/>
  <c r="F5" i="11"/>
  <c r="F4" i="11"/>
  <c r="H4" i="11"/>
  <c r="I4" i="11"/>
  <c r="J4" i="11"/>
  <c r="K4" i="11"/>
  <c r="J138" i="5"/>
  <c r="J139" i="5"/>
  <c r="J141" i="5"/>
  <c r="J142" i="5"/>
  <c r="J143" i="5"/>
  <c r="J144" i="5"/>
  <c r="J145" i="5"/>
  <c r="J3" i="5"/>
  <c r="J4" i="5"/>
  <c r="J5" i="5"/>
  <c r="J6" i="5"/>
  <c r="J7" i="5"/>
  <c r="J8" i="5"/>
  <c r="J9" i="5"/>
  <c r="J10" i="5"/>
  <c r="J11" i="5"/>
  <c r="J12" i="5"/>
  <c r="J13" i="5"/>
  <c r="J14" i="5"/>
  <c r="J15" i="5"/>
  <c r="J16" i="5"/>
  <c r="J17" i="5"/>
  <c r="J18" i="5"/>
  <c r="J19" i="5"/>
  <c r="J20" i="5"/>
  <c r="J21" i="5"/>
  <c r="J22" i="5"/>
  <c r="J23" i="5"/>
  <c r="J24" i="5"/>
  <c r="J25" i="5"/>
  <c r="J26" i="5"/>
  <c r="J27" i="5"/>
  <c r="J28" i="5"/>
  <c r="CL3" i="2"/>
  <c r="CK3" i="2"/>
  <c r="CJ3" i="2"/>
  <c r="CI3" i="2"/>
  <c r="CH3" i="2"/>
  <c r="CG3" i="2"/>
  <c r="CF3" i="2"/>
  <c r="CE4" i="2"/>
  <c r="CE5" i="2"/>
  <c r="CE6" i="2"/>
  <c r="CE7" i="2"/>
  <c r="CE8" i="2"/>
  <c r="CE9" i="2"/>
  <c r="CE10" i="2"/>
  <c r="CE11" i="2"/>
  <c r="CE12" i="2"/>
  <c r="CE13" i="2"/>
  <c r="CE14" i="2"/>
  <c r="CE15" i="2"/>
  <c r="CE16" i="2"/>
  <c r="CE17" i="2"/>
  <c r="CE18" i="2"/>
  <c r="CE19" i="2"/>
  <c r="CE20" i="2"/>
  <c r="CE21" i="2"/>
  <c r="CE22" i="2"/>
  <c r="CE23" i="2"/>
  <c r="CE24" i="2"/>
  <c r="CE25" i="2"/>
  <c r="CE26" i="2"/>
  <c r="CE27" i="2"/>
  <c r="CE28" i="2"/>
  <c r="CE29" i="2"/>
  <c r="CE30" i="2"/>
  <c r="CE31" i="2"/>
  <c r="CE32" i="2"/>
  <c r="CE33" i="2"/>
  <c r="CE34" i="2"/>
  <c r="CE35" i="2"/>
  <c r="CE36" i="2"/>
  <c r="CE37" i="2"/>
  <c r="CE38" i="2"/>
  <c r="CE39" i="2"/>
  <c r="CE40" i="2"/>
  <c r="CE41" i="2"/>
  <c r="CE42" i="2"/>
  <c r="CE43" i="2"/>
  <c r="CE44" i="2"/>
  <c r="CE45" i="2"/>
  <c r="CE46" i="2"/>
  <c r="CE47" i="2"/>
  <c r="CE48" i="2"/>
  <c r="CE49" i="2"/>
  <c r="CE50" i="2"/>
  <c r="CE51" i="2"/>
  <c r="CE52" i="2"/>
  <c r="CE53" i="2"/>
  <c r="CE54" i="2"/>
  <c r="CE55" i="2"/>
  <c r="CE56" i="2"/>
  <c r="CE57" i="2"/>
  <c r="CE58" i="2"/>
  <c r="CE59" i="2"/>
  <c r="CE60" i="2"/>
  <c r="CE61" i="2"/>
  <c r="CE62" i="2"/>
  <c r="CE63" i="2"/>
  <c r="CE64" i="2"/>
  <c r="CE65" i="2"/>
  <c r="CE66" i="2"/>
  <c r="CE67" i="2"/>
  <c r="CE68" i="2"/>
  <c r="CE69" i="2"/>
  <c r="CE70" i="2"/>
  <c r="CE71" i="2"/>
  <c r="CE72" i="2"/>
  <c r="CE73" i="2"/>
  <c r="CE74" i="2"/>
  <c r="CE75" i="2"/>
  <c r="CE76" i="2"/>
  <c r="CE77" i="2"/>
  <c r="CE78" i="2"/>
  <c r="CE79" i="2"/>
  <c r="CE80" i="2"/>
  <c r="CE81" i="2"/>
  <c r="CE82" i="2"/>
  <c r="CE83" i="2"/>
  <c r="CE84" i="2"/>
  <c r="CE85" i="2"/>
  <c r="CE86" i="2"/>
  <c r="CE87" i="2"/>
  <c r="CE88" i="2"/>
  <c r="CE89" i="2"/>
  <c r="CE90" i="2"/>
  <c r="CE91" i="2"/>
  <c r="CE92" i="2"/>
  <c r="CE93" i="2"/>
  <c r="CE94" i="2"/>
  <c r="CE95" i="2"/>
  <c r="CE96" i="2"/>
  <c r="CE97" i="2"/>
  <c r="CE98" i="2"/>
  <c r="CE99" i="2"/>
  <c r="CE100" i="2"/>
  <c r="CE101" i="2"/>
  <c r="CE102" i="2"/>
  <c r="CE103" i="2"/>
  <c r="CE104" i="2"/>
  <c r="CE105" i="2"/>
  <c r="CE106" i="2"/>
  <c r="CE107" i="2"/>
  <c r="CE108" i="2"/>
  <c r="CE109" i="2"/>
  <c r="CE110" i="2"/>
  <c r="CE111" i="2"/>
  <c r="CE112" i="2"/>
  <c r="CE113" i="2"/>
  <c r="CE114" i="2"/>
  <c r="CE3" i="2"/>
  <c r="F7" i="11"/>
  <c r="G7" i="11"/>
  <c r="H7" i="11"/>
  <c r="I7" i="11"/>
  <c r="J7" i="11"/>
  <c r="K7" i="11"/>
  <c r="E7" i="11"/>
  <c r="E10" i="9"/>
  <c r="E11" i="9"/>
  <c r="E12" i="9"/>
  <c r="E13" i="9"/>
  <c r="E14" i="9"/>
  <c r="E9" i="9"/>
  <c r="D36" i="41"/>
  <c r="D33" i="41"/>
  <c r="E33" i="41"/>
  <c r="D31" i="41"/>
  <c r="E31" i="41"/>
  <c r="D28" i="41"/>
  <c r="E28" i="41"/>
  <c r="D23" i="41"/>
  <c r="D24" i="41"/>
  <c r="E24" i="41"/>
  <c r="D25" i="41"/>
  <c r="E25" i="41"/>
  <c r="D26" i="41"/>
  <c r="E26" i="41"/>
  <c r="D22" i="41"/>
  <c r="BW117" i="2"/>
  <c r="BW118" i="2"/>
  <c r="BW119" i="2"/>
  <c r="BW120" i="2"/>
  <c r="BW121" i="2"/>
  <c r="BV117" i="2"/>
  <c r="BV118" i="2"/>
  <c r="BV119" i="2"/>
  <c r="BV120" i="2"/>
  <c r="BV121" i="2"/>
  <c r="BV116" i="2"/>
  <c r="AQ7" i="26"/>
  <c r="AQ8" i="26"/>
  <c r="AQ9" i="26"/>
  <c r="AQ10" i="26"/>
  <c r="AQ11" i="26"/>
  <c r="AQ12" i="26"/>
  <c r="AQ13" i="26"/>
  <c r="AQ14" i="26"/>
  <c r="AQ15" i="26"/>
  <c r="AQ16" i="26"/>
  <c r="AQ17" i="26"/>
  <c r="AQ18" i="26"/>
  <c r="AQ19" i="26"/>
  <c r="AQ20" i="26"/>
  <c r="AQ21" i="26"/>
  <c r="AQ22" i="26"/>
  <c r="AQ23" i="26"/>
  <c r="AQ24" i="26"/>
  <c r="AQ25" i="26"/>
  <c r="AQ26" i="26"/>
  <c r="AQ27" i="26"/>
  <c r="AQ28" i="26"/>
  <c r="AQ29" i="26"/>
  <c r="AQ30" i="26"/>
  <c r="AQ31" i="26"/>
  <c r="AQ32" i="26"/>
  <c r="AQ33" i="26"/>
  <c r="AQ34" i="26"/>
  <c r="AQ35" i="26"/>
  <c r="AQ36" i="26"/>
  <c r="AQ37" i="26"/>
  <c r="AQ38" i="26"/>
  <c r="AQ39" i="26"/>
  <c r="AQ40" i="26"/>
  <c r="AQ41" i="26"/>
  <c r="AQ42" i="26"/>
  <c r="AQ43" i="26"/>
  <c r="AQ44" i="26"/>
  <c r="AQ45" i="26"/>
  <c r="AQ46" i="26"/>
  <c r="AQ47" i="26"/>
  <c r="AQ48" i="26"/>
  <c r="AQ49" i="26"/>
  <c r="AQ50" i="26"/>
  <c r="AQ51" i="26"/>
  <c r="AQ52" i="26"/>
  <c r="AQ53" i="26"/>
  <c r="AQ54" i="26"/>
  <c r="AQ55" i="26"/>
  <c r="AQ56" i="26"/>
  <c r="AQ57" i="26"/>
  <c r="AQ58" i="26"/>
  <c r="AQ59" i="26"/>
  <c r="AQ60" i="26"/>
  <c r="AQ61" i="26"/>
  <c r="AQ62" i="26"/>
  <c r="AQ63" i="26"/>
  <c r="AQ64" i="26"/>
  <c r="AQ65" i="26"/>
  <c r="AQ66" i="26"/>
  <c r="AQ67" i="26"/>
  <c r="AQ68" i="26"/>
  <c r="AQ69" i="26"/>
  <c r="AQ70" i="26"/>
  <c r="AQ71" i="26"/>
  <c r="AQ72" i="26"/>
  <c r="AQ73" i="26"/>
  <c r="AQ74" i="26"/>
  <c r="AQ75" i="26"/>
  <c r="AQ76" i="26"/>
  <c r="AQ77" i="26"/>
  <c r="AQ78" i="26"/>
  <c r="AQ79" i="26"/>
  <c r="AQ80" i="26"/>
  <c r="AQ81" i="26"/>
  <c r="AQ82" i="26"/>
  <c r="AQ83" i="26"/>
  <c r="AQ84" i="26"/>
  <c r="AQ85" i="26"/>
  <c r="AQ86" i="26"/>
  <c r="AQ87" i="26"/>
  <c r="AQ88" i="26"/>
  <c r="AQ89" i="26"/>
  <c r="AQ90" i="26"/>
  <c r="AQ91" i="26"/>
  <c r="AQ92" i="26"/>
  <c r="AQ93" i="26"/>
  <c r="AQ94" i="26"/>
  <c r="AQ95" i="26"/>
  <c r="AQ96" i="26"/>
  <c r="AQ97" i="26"/>
  <c r="AQ98" i="26"/>
  <c r="AQ99" i="26"/>
  <c r="AQ100" i="26"/>
  <c r="AQ101" i="26"/>
  <c r="AQ102" i="26"/>
  <c r="AQ103" i="26"/>
  <c r="AQ104" i="26"/>
  <c r="AO35" i="26"/>
  <c r="AO36" i="26"/>
  <c r="AO37" i="26"/>
  <c r="AO38" i="26"/>
  <c r="AO39" i="26"/>
  <c r="H73" i="41"/>
  <c r="H74" i="41"/>
  <c r="H75" i="41"/>
  <c r="H76" i="41"/>
  <c r="H77" i="41"/>
  <c r="H78" i="41"/>
  <c r="H79" i="41"/>
  <c r="H80" i="41"/>
  <c r="H81" i="41"/>
  <c r="H72" i="41"/>
  <c r="J71" i="41"/>
  <c r="I71" i="41"/>
  <c r="J70" i="41"/>
  <c r="J69" i="41"/>
  <c r="K69" i="41"/>
  <c r="J68" i="41"/>
  <c r="K68" i="41"/>
  <c r="J67" i="41"/>
  <c r="K67" i="41"/>
  <c r="J66" i="41"/>
  <c r="K66" i="41"/>
  <c r="J65" i="41"/>
  <c r="K65" i="41"/>
  <c r="J64" i="41"/>
  <c r="K64" i="41"/>
  <c r="J63" i="41"/>
  <c r="K63" i="41"/>
  <c r="J62" i="41"/>
  <c r="K62" i="41"/>
  <c r="J61" i="41"/>
  <c r="K61" i="41"/>
  <c r="J60" i="41"/>
  <c r="K60" i="41"/>
  <c r="J59" i="41"/>
  <c r="K59" i="41"/>
  <c r="L58" i="41"/>
  <c r="M58" i="41"/>
  <c r="J58" i="41"/>
  <c r="K58" i="41"/>
  <c r="M57" i="41"/>
  <c r="J57" i="41"/>
  <c r="K57" i="41"/>
  <c r="E51" i="41"/>
  <c r="L50" i="41"/>
  <c r="N50" i="41"/>
  <c r="O50" i="41"/>
  <c r="E50" i="41"/>
  <c r="L49" i="41"/>
  <c r="N49" i="41"/>
  <c r="O49" i="41"/>
  <c r="E49" i="41"/>
  <c r="L48" i="41"/>
  <c r="N48" i="41"/>
  <c r="O48" i="41"/>
  <c r="E48" i="41"/>
  <c r="L47" i="41"/>
  <c r="N47" i="41"/>
  <c r="O47" i="41"/>
  <c r="E47" i="41"/>
  <c r="I70" i="41"/>
  <c r="L45" i="41"/>
  <c r="N45" i="41"/>
  <c r="O45" i="41"/>
  <c r="E45" i="41"/>
  <c r="L44" i="41"/>
  <c r="N44" i="41"/>
  <c r="O44" i="41"/>
  <c r="E44" i="41"/>
  <c r="L43" i="41"/>
  <c r="N43" i="41"/>
  <c r="O43" i="41"/>
  <c r="E43" i="41"/>
  <c r="L42" i="41"/>
  <c r="N42" i="41"/>
  <c r="O42" i="41"/>
  <c r="E42" i="41"/>
  <c r="E41" i="41"/>
  <c r="L40" i="41"/>
  <c r="N40" i="41"/>
  <c r="O40" i="41"/>
  <c r="E40" i="41"/>
  <c r="L39" i="41"/>
  <c r="N39" i="41"/>
  <c r="O39" i="41"/>
  <c r="E39" i="41"/>
  <c r="L38" i="41"/>
  <c r="N38" i="41"/>
  <c r="O38" i="41"/>
  <c r="E38" i="41"/>
  <c r="L37" i="41"/>
  <c r="N37" i="41"/>
  <c r="O37" i="41"/>
  <c r="E37" i="41"/>
  <c r="E36" i="41"/>
  <c r="L35" i="41"/>
  <c r="N35" i="41"/>
  <c r="O35" i="41"/>
  <c r="E35" i="41"/>
  <c r="L34" i="41"/>
  <c r="N34" i="41"/>
  <c r="O34" i="41"/>
  <c r="E34" i="41"/>
  <c r="L32" i="41"/>
  <c r="N32" i="41"/>
  <c r="O32" i="41"/>
  <c r="E32" i="41"/>
  <c r="E30" i="41"/>
  <c r="E29" i="41"/>
  <c r="E27" i="41"/>
  <c r="I23" i="41"/>
  <c r="I24" i="41"/>
  <c r="I25" i="41"/>
  <c r="I26" i="41"/>
  <c r="I27" i="41"/>
  <c r="I28" i="41"/>
  <c r="I29" i="41"/>
  <c r="I30" i="41"/>
  <c r="I31" i="41"/>
  <c r="I32" i="41"/>
  <c r="I33" i="41"/>
  <c r="I34" i="41"/>
  <c r="I35" i="41"/>
  <c r="I36" i="41"/>
  <c r="I37" i="41"/>
  <c r="I38" i="41"/>
  <c r="I39" i="41"/>
  <c r="I40" i="41"/>
  <c r="I41" i="41"/>
  <c r="I42" i="41"/>
  <c r="I43" i="41"/>
  <c r="I44" i="41"/>
  <c r="I45" i="41"/>
  <c r="I46" i="41"/>
  <c r="I47" i="41"/>
  <c r="I48" i="41"/>
  <c r="I49" i="41"/>
  <c r="I50" i="41"/>
  <c r="I51" i="41"/>
  <c r="E23" i="41"/>
  <c r="A150" i="5"/>
  <c r="A151" i="5"/>
  <c r="A152" i="5"/>
  <c r="A153" i="5"/>
  <c r="A154" i="5"/>
  <c r="A155" i="5"/>
  <c r="A156" i="5"/>
  <c r="A157" i="5"/>
  <c r="A158" i="5"/>
  <c r="A159" i="5"/>
  <c r="A160" i="5"/>
  <c r="A161" i="5"/>
  <c r="A162" i="5"/>
  <c r="A163" i="5"/>
  <c r="A164" i="5"/>
  <c r="A165" i="5"/>
  <c r="A166" i="5"/>
  <c r="A167" i="5"/>
  <c r="A168" i="5"/>
  <c r="A169" i="5"/>
  <c r="A170" i="5"/>
  <c r="A171" i="5"/>
  <c r="A172" i="5"/>
  <c r="A173" i="5"/>
  <c r="A174" i="5"/>
  <c r="A175" i="5"/>
  <c r="A176" i="5"/>
  <c r="A177" i="5"/>
  <c r="A178" i="5"/>
  <c r="A179" i="5"/>
  <c r="A180" i="5"/>
  <c r="A181" i="5"/>
  <c r="A182" i="5"/>
  <c r="A183" i="5"/>
  <c r="A184" i="5"/>
  <c r="A185" i="5"/>
  <c r="A186" i="5"/>
  <c r="A187" i="5"/>
  <c r="A188" i="5"/>
  <c r="A189" i="5"/>
  <c r="A190" i="5"/>
  <c r="A191" i="5"/>
  <c r="A192" i="5"/>
  <c r="B3" i="40"/>
  <c r="C3" i="40"/>
  <c r="C4" i="40"/>
  <c r="C5" i="40"/>
  <c r="C6" i="40"/>
  <c r="C7" i="40"/>
  <c r="C8" i="40"/>
  <c r="C9" i="40"/>
  <c r="C10" i="40"/>
  <c r="C11" i="40"/>
  <c r="C12" i="40"/>
  <c r="C13" i="40"/>
  <c r="C14" i="40"/>
  <c r="C15" i="40"/>
  <c r="C16" i="40"/>
  <c r="C17" i="40"/>
  <c r="C18" i="40"/>
  <c r="C19" i="40"/>
  <c r="C20" i="40"/>
  <c r="C21" i="40"/>
  <c r="C22" i="40"/>
  <c r="C23" i="40"/>
  <c r="C24" i="40"/>
  <c r="C25" i="40"/>
  <c r="C26" i="40"/>
  <c r="C27" i="40"/>
  <c r="C28" i="40"/>
  <c r="C29" i="40"/>
  <c r="C30" i="40"/>
  <c r="C31" i="40"/>
  <c r="C32" i="40"/>
  <c r="C33" i="40"/>
  <c r="C34" i="40"/>
  <c r="C35" i="40"/>
  <c r="C36" i="40"/>
  <c r="C37" i="40"/>
  <c r="A332" i="40"/>
  <c r="A371" i="40"/>
  <c r="A330" i="40"/>
  <c r="A369" i="40"/>
  <c r="A331" i="40"/>
  <c r="A370" i="40"/>
  <c r="A329" i="40"/>
  <c r="A368" i="40"/>
  <c r="A327" i="40"/>
  <c r="A366" i="40"/>
  <c r="A328" i="40"/>
  <c r="A367" i="40"/>
  <c r="A323" i="40"/>
  <c r="A362" i="40"/>
  <c r="A324" i="40"/>
  <c r="A363" i="40"/>
  <c r="A325" i="40"/>
  <c r="A364" i="40"/>
  <c r="A326" i="40"/>
  <c r="A365" i="40"/>
  <c r="B94" i="40"/>
  <c r="C363" i="40"/>
  <c r="E30" i="40"/>
  <c r="B96" i="40"/>
  <c r="F30" i="40"/>
  <c r="G30" i="40"/>
  <c r="H30" i="40"/>
  <c r="I30" i="40"/>
  <c r="J30" i="40"/>
  <c r="K30" i="40"/>
  <c r="C364" i="40"/>
  <c r="B98" i="40"/>
  <c r="C365" i="40"/>
  <c r="E32" i="40"/>
  <c r="B100" i="40"/>
  <c r="F32" i="40"/>
  <c r="G32" i="40"/>
  <c r="H32" i="40"/>
  <c r="I32" i="40"/>
  <c r="J32" i="40"/>
  <c r="K32" i="40"/>
  <c r="C366" i="40"/>
  <c r="B102" i="40"/>
  <c r="C367" i="40"/>
  <c r="E34" i="40"/>
  <c r="B104" i="40"/>
  <c r="F34" i="40"/>
  <c r="G34" i="40"/>
  <c r="H34" i="40"/>
  <c r="I34" i="40"/>
  <c r="J34" i="40"/>
  <c r="K34" i="40"/>
  <c r="C368" i="40"/>
  <c r="E35" i="40"/>
  <c r="B106" i="40"/>
  <c r="F35" i="40"/>
  <c r="G35" i="40"/>
  <c r="H35" i="40"/>
  <c r="I35" i="40"/>
  <c r="J35" i="40"/>
  <c r="K35" i="40"/>
  <c r="C369" i="40"/>
  <c r="E36" i="40"/>
  <c r="B108" i="40"/>
  <c r="F36" i="40"/>
  <c r="G36" i="40"/>
  <c r="H36" i="40"/>
  <c r="I36" i="40"/>
  <c r="J36" i="40"/>
  <c r="K36" i="40"/>
  <c r="C370" i="40"/>
  <c r="E37" i="40"/>
  <c r="B110" i="40"/>
  <c r="F37" i="40"/>
  <c r="G37" i="40"/>
  <c r="H37" i="40"/>
  <c r="I37" i="40"/>
  <c r="J37" i="40"/>
  <c r="K37" i="40"/>
  <c r="C371" i="40"/>
  <c r="D30" i="40"/>
  <c r="D32" i="40"/>
  <c r="D34" i="40"/>
  <c r="D35" i="40"/>
  <c r="D36" i="40"/>
  <c r="D37" i="40"/>
  <c r="K3" i="40"/>
  <c r="C337" i="40"/>
  <c r="C338" i="40"/>
  <c r="K5" i="40"/>
  <c r="C339" i="40"/>
  <c r="C340" i="40"/>
  <c r="K7" i="40"/>
  <c r="C341" i="40"/>
  <c r="C342" i="40"/>
  <c r="K9" i="40"/>
  <c r="C343" i="40"/>
  <c r="K10" i="40"/>
  <c r="C344" i="40"/>
  <c r="K11" i="40"/>
  <c r="C345" i="40"/>
  <c r="K12" i="40"/>
  <c r="C346" i="40"/>
  <c r="K13" i="40"/>
  <c r="C347" i="40"/>
  <c r="K14" i="40"/>
  <c r="C348" i="40"/>
  <c r="K15" i="40"/>
  <c r="C349" i="40"/>
  <c r="K16" i="40"/>
  <c r="C350" i="40"/>
  <c r="K17" i="40"/>
  <c r="C351" i="40"/>
  <c r="K18" i="40"/>
  <c r="C352" i="40"/>
  <c r="K19" i="40"/>
  <c r="C353" i="40"/>
  <c r="K20" i="40"/>
  <c r="C354" i="40"/>
  <c r="K21" i="40"/>
  <c r="C355" i="40"/>
  <c r="K22" i="40"/>
  <c r="C356" i="40"/>
  <c r="K23" i="40"/>
  <c r="C357" i="40"/>
  <c r="K24" i="40"/>
  <c r="C358" i="40"/>
  <c r="K25" i="40"/>
  <c r="C359" i="40"/>
  <c r="K26" i="40"/>
  <c r="C360" i="40"/>
  <c r="C361" i="40"/>
  <c r="K28" i="40"/>
  <c r="C362" i="40"/>
  <c r="K2" i="40"/>
  <c r="C336" i="40"/>
  <c r="J3" i="40"/>
  <c r="J5" i="40"/>
  <c r="J7" i="40"/>
  <c r="J9" i="40"/>
  <c r="J10" i="40"/>
  <c r="J11" i="40"/>
  <c r="J12" i="40"/>
  <c r="J13" i="40"/>
  <c r="J14" i="40"/>
  <c r="J15" i="40"/>
  <c r="J16" i="40"/>
  <c r="J17" i="40"/>
  <c r="J18" i="40"/>
  <c r="J19" i="40"/>
  <c r="J20" i="40"/>
  <c r="J21" i="40"/>
  <c r="J22" i="40"/>
  <c r="J23" i="40"/>
  <c r="J24" i="40"/>
  <c r="J25" i="40"/>
  <c r="J26" i="40"/>
  <c r="J28" i="40"/>
  <c r="J2" i="40"/>
  <c r="F2" i="40"/>
  <c r="G2" i="40"/>
  <c r="H2" i="40"/>
  <c r="I2" i="40"/>
  <c r="F3" i="40"/>
  <c r="G3" i="40"/>
  <c r="H3" i="40"/>
  <c r="I3" i="40"/>
  <c r="F5" i="40"/>
  <c r="G5" i="40"/>
  <c r="H5" i="40"/>
  <c r="I5" i="40"/>
  <c r="F7" i="40"/>
  <c r="G7" i="40"/>
  <c r="H7" i="40"/>
  <c r="I7" i="40"/>
  <c r="F9" i="40"/>
  <c r="G9" i="40"/>
  <c r="H9" i="40"/>
  <c r="I9" i="40"/>
  <c r="F10" i="40"/>
  <c r="G10" i="40"/>
  <c r="H10" i="40"/>
  <c r="I10" i="40"/>
  <c r="F11" i="40"/>
  <c r="G11" i="40"/>
  <c r="H11" i="40"/>
  <c r="I11" i="40"/>
  <c r="F12" i="40"/>
  <c r="G12" i="40"/>
  <c r="H12" i="40"/>
  <c r="I12" i="40"/>
  <c r="F13" i="40"/>
  <c r="G13" i="40"/>
  <c r="H13" i="40"/>
  <c r="I13" i="40"/>
  <c r="F14" i="40"/>
  <c r="G14" i="40"/>
  <c r="H14" i="40"/>
  <c r="I14" i="40"/>
  <c r="F15" i="40"/>
  <c r="G15" i="40"/>
  <c r="H15" i="40"/>
  <c r="I15" i="40"/>
  <c r="F16" i="40"/>
  <c r="G16" i="40"/>
  <c r="H16" i="40"/>
  <c r="I16" i="40"/>
  <c r="F17" i="40"/>
  <c r="G17" i="40"/>
  <c r="H17" i="40"/>
  <c r="I17" i="40"/>
  <c r="F18" i="40"/>
  <c r="G18" i="40"/>
  <c r="H18" i="40"/>
  <c r="I18" i="40"/>
  <c r="F19" i="40"/>
  <c r="G19" i="40"/>
  <c r="H19" i="40"/>
  <c r="I19" i="40"/>
  <c r="F20" i="40"/>
  <c r="G20" i="40"/>
  <c r="H20" i="40"/>
  <c r="I20" i="40"/>
  <c r="F21" i="40"/>
  <c r="G21" i="40"/>
  <c r="H21" i="40"/>
  <c r="I21" i="40"/>
  <c r="F22" i="40"/>
  <c r="G22" i="40"/>
  <c r="H22" i="40"/>
  <c r="I22" i="40"/>
  <c r="F23" i="40"/>
  <c r="G23" i="40"/>
  <c r="H23" i="40"/>
  <c r="I23" i="40"/>
  <c r="F24" i="40"/>
  <c r="G24" i="40"/>
  <c r="H24" i="40"/>
  <c r="I24" i="40"/>
  <c r="F25" i="40"/>
  <c r="G25" i="40"/>
  <c r="H25" i="40"/>
  <c r="I25" i="40"/>
  <c r="F26" i="40"/>
  <c r="G26" i="40"/>
  <c r="H26" i="40"/>
  <c r="I26" i="40"/>
  <c r="F28" i="40"/>
  <c r="G28" i="40"/>
  <c r="H28" i="40"/>
  <c r="I28" i="40"/>
  <c r="E2" i="40"/>
  <c r="B40" i="40"/>
  <c r="E3" i="40"/>
  <c r="B42" i="40"/>
  <c r="B44" i="40"/>
  <c r="E5" i="40"/>
  <c r="B48" i="40"/>
  <c r="E7" i="40"/>
  <c r="B50" i="40"/>
  <c r="C50" i="40"/>
  <c r="B52" i="40"/>
  <c r="E9" i="40"/>
  <c r="B54" i="40"/>
  <c r="E10" i="40"/>
  <c r="B56" i="40"/>
  <c r="E11" i="40"/>
  <c r="B58" i="40"/>
  <c r="E12" i="40"/>
  <c r="B60" i="40"/>
  <c r="E13" i="40"/>
  <c r="B62" i="40"/>
  <c r="E14" i="40"/>
  <c r="B64" i="40"/>
  <c r="E15" i="40"/>
  <c r="B66" i="40"/>
  <c r="E16" i="40"/>
  <c r="B68" i="40"/>
  <c r="E17" i="40"/>
  <c r="B70" i="40"/>
  <c r="E18" i="40"/>
  <c r="B72" i="40"/>
  <c r="E19" i="40"/>
  <c r="B74" i="40"/>
  <c r="E20" i="40"/>
  <c r="B76" i="40"/>
  <c r="E21" i="40"/>
  <c r="B78" i="40"/>
  <c r="E22" i="40"/>
  <c r="B80" i="40"/>
  <c r="E23" i="40"/>
  <c r="B82" i="40"/>
  <c r="E24" i="40"/>
  <c r="B84" i="40"/>
  <c r="E25" i="40"/>
  <c r="B86" i="40"/>
  <c r="E26" i="40"/>
  <c r="B88" i="40"/>
  <c r="B90" i="40"/>
  <c r="E28" i="40"/>
  <c r="B92" i="40"/>
  <c r="B46" i="40"/>
  <c r="D3" i="40"/>
  <c r="D4" i="40"/>
  <c r="D5" i="40"/>
  <c r="D7" i="40"/>
  <c r="D9" i="40"/>
  <c r="D10" i="40"/>
  <c r="D11" i="40"/>
  <c r="D12" i="40"/>
  <c r="D13" i="40"/>
  <c r="D14" i="40"/>
  <c r="D15" i="40"/>
  <c r="D16" i="40"/>
  <c r="D17" i="40"/>
  <c r="D18" i="40"/>
  <c r="D19" i="40"/>
  <c r="D20" i="40"/>
  <c r="D21" i="40"/>
  <c r="D22" i="40"/>
  <c r="D23" i="40"/>
  <c r="D24" i="40"/>
  <c r="D25" i="40"/>
  <c r="D26" i="40"/>
  <c r="D27" i="40"/>
  <c r="D28" i="40"/>
  <c r="D2" i="40"/>
  <c r="A322" i="40"/>
  <c r="A361" i="40"/>
  <c r="A321" i="40"/>
  <c r="A360" i="40"/>
  <c r="A320" i="40"/>
  <c r="A359" i="40"/>
  <c r="A319" i="40"/>
  <c r="A358" i="40"/>
  <c r="A318" i="40"/>
  <c r="A357" i="40"/>
  <c r="A317" i="40"/>
  <c r="A356" i="40"/>
  <c r="A316" i="40"/>
  <c r="A355" i="40"/>
  <c r="A315" i="40"/>
  <c r="A354" i="40"/>
  <c r="A314" i="40"/>
  <c r="A353" i="40"/>
  <c r="A313" i="40"/>
  <c r="A352" i="40"/>
  <c r="A312" i="40"/>
  <c r="A351" i="40"/>
  <c r="A311" i="40"/>
  <c r="A350" i="40"/>
  <c r="A310" i="40"/>
  <c r="A349" i="40"/>
  <c r="A309" i="40"/>
  <c r="A348" i="40"/>
  <c r="A308" i="40"/>
  <c r="A347" i="40"/>
  <c r="A307" i="40"/>
  <c r="A346" i="40"/>
  <c r="A306" i="40"/>
  <c r="A345" i="40"/>
  <c r="A305" i="40"/>
  <c r="A344" i="40"/>
  <c r="A304" i="40"/>
  <c r="A343" i="40"/>
  <c r="A303" i="40"/>
  <c r="A342" i="40"/>
  <c r="A302" i="40"/>
  <c r="A341" i="40"/>
  <c r="A301" i="40"/>
  <c r="A340" i="40"/>
  <c r="A300" i="40"/>
  <c r="A339" i="40"/>
  <c r="A299" i="40"/>
  <c r="A338" i="40"/>
  <c r="A298" i="40"/>
  <c r="A337" i="40"/>
  <c r="A297" i="40"/>
  <c r="A336" i="40"/>
  <c r="B5" i="40"/>
  <c r="BW116" i="2"/>
  <c r="C104" i="40"/>
  <c r="D104" i="40"/>
  <c r="E104" i="40"/>
  <c r="F104" i="40"/>
  <c r="G104" i="40"/>
  <c r="H104" i="40"/>
  <c r="C96" i="40"/>
  <c r="D96" i="40"/>
  <c r="E96" i="40"/>
  <c r="F96" i="40"/>
  <c r="G96" i="40"/>
  <c r="H96" i="40"/>
  <c r="I96" i="40"/>
  <c r="I254" i="40"/>
  <c r="I255" i="40"/>
  <c r="I256" i="40"/>
  <c r="I257" i="40"/>
  <c r="C106" i="40"/>
  <c r="D106" i="40"/>
  <c r="E106" i="40"/>
  <c r="F106" i="40"/>
  <c r="G106" i="40"/>
  <c r="G279" i="40"/>
  <c r="G280" i="40"/>
  <c r="C98" i="40"/>
  <c r="D98" i="40"/>
  <c r="E98" i="40"/>
  <c r="F98" i="40"/>
  <c r="G98" i="40"/>
  <c r="H98" i="40"/>
  <c r="I98" i="40"/>
  <c r="I259" i="40"/>
  <c r="I260" i="40"/>
  <c r="I261" i="40"/>
  <c r="I262" i="40"/>
  <c r="E22" i="41"/>
  <c r="F22" i="41"/>
  <c r="G22" i="41"/>
  <c r="H22" i="41"/>
  <c r="J22" i="41"/>
  <c r="AE5" i="39"/>
  <c r="E46" i="41"/>
  <c r="K70" i="41"/>
  <c r="K71" i="41"/>
  <c r="L59" i="41"/>
  <c r="B289" i="40"/>
  <c r="B290" i="40"/>
  <c r="B269" i="40"/>
  <c r="B270" i="40"/>
  <c r="F274" i="40"/>
  <c r="F275" i="40"/>
  <c r="B274" i="40"/>
  <c r="B279" i="40"/>
  <c r="B280" i="40"/>
  <c r="B281" i="40"/>
  <c r="B282" i="40"/>
  <c r="L21" i="40"/>
  <c r="M21" i="40"/>
  <c r="O21" i="40"/>
  <c r="C254" i="40"/>
  <c r="G254" i="40"/>
  <c r="E274" i="40"/>
  <c r="E275" i="40"/>
  <c r="E276" i="40"/>
  <c r="E277" i="40"/>
  <c r="G274" i="40"/>
  <c r="H274" i="40"/>
  <c r="H275" i="40"/>
  <c r="H276" i="40"/>
  <c r="H277" i="40"/>
  <c r="D274" i="40"/>
  <c r="D275" i="40"/>
  <c r="D276" i="40"/>
  <c r="D277" i="40"/>
  <c r="B93" i="40"/>
  <c r="C110" i="40"/>
  <c r="C102" i="40"/>
  <c r="C94" i="40"/>
  <c r="B284" i="40"/>
  <c r="B285" i="40"/>
  <c r="B286" i="40"/>
  <c r="B287" i="40"/>
  <c r="B105" i="40"/>
  <c r="B97" i="40"/>
  <c r="B254" i="40"/>
  <c r="B107" i="40"/>
  <c r="B99" i="40"/>
  <c r="B259" i="40"/>
  <c r="B260" i="40"/>
  <c r="B261" i="40"/>
  <c r="B262" i="40"/>
  <c r="B244" i="40"/>
  <c r="B264" i="40"/>
  <c r="B265" i="40"/>
  <c r="B266" i="40"/>
  <c r="B267" i="40"/>
  <c r="B111" i="40"/>
  <c r="B109" i="40"/>
  <c r="B103" i="40"/>
  <c r="B101" i="40"/>
  <c r="B95" i="40"/>
  <c r="B249" i="40"/>
  <c r="B250" i="40"/>
  <c r="B251" i="40"/>
  <c r="B252" i="40"/>
  <c r="C92" i="40"/>
  <c r="C100" i="40"/>
  <c r="C108" i="40"/>
  <c r="H106" i="40"/>
  <c r="H279" i="40"/>
  <c r="H280" i="40"/>
  <c r="H281" i="40"/>
  <c r="H282" i="40"/>
  <c r="I104" i="40"/>
  <c r="I274" i="40"/>
  <c r="I275" i="40"/>
  <c r="I276" i="40"/>
  <c r="I277" i="40"/>
  <c r="L37" i="40"/>
  <c r="M37" i="40"/>
  <c r="O37" i="40"/>
  <c r="L36" i="40"/>
  <c r="M36" i="40"/>
  <c r="O36" i="40"/>
  <c r="L35" i="40"/>
  <c r="M35" i="40"/>
  <c r="O35" i="40"/>
  <c r="L34" i="40"/>
  <c r="M34" i="40"/>
  <c r="O34" i="40"/>
  <c r="L32" i="40"/>
  <c r="M32" i="40"/>
  <c r="O32" i="40"/>
  <c r="L30" i="40"/>
  <c r="M30" i="40"/>
  <c r="O30" i="40"/>
  <c r="C90" i="40"/>
  <c r="L25" i="40"/>
  <c r="N25" i="40"/>
  <c r="L23" i="40"/>
  <c r="M23" i="40"/>
  <c r="O23" i="40"/>
  <c r="L9" i="40"/>
  <c r="M9" i="40"/>
  <c r="O9" i="40"/>
  <c r="L7" i="40"/>
  <c r="M7" i="40"/>
  <c r="O7" i="40"/>
  <c r="L5" i="40"/>
  <c r="N5" i="40"/>
  <c r="B91" i="40"/>
  <c r="L2" i="40"/>
  <c r="M2" i="40"/>
  <c r="O2" i="40"/>
  <c r="C40" i="40"/>
  <c r="D40" i="40"/>
  <c r="D114" i="40"/>
  <c r="L20" i="40"/>
  <c r="N20" i="40"/>
  <c r="L18" i="40"/>
  <c r="L16" i="40"/>
  <c r="N16" i="40"/>
  <c r="L14" i="40"/>
  <c r="L12" i="40"/>
  <c r="N12" i="40"/>
  <c r="L10" i="40"/>
  <c r="L28" i="40"/>
  <c r="N28" i="40"/>
  <c r="L26" i="40"/>
  <c r="N26" i="40"/>
  <c r="L24" i="40"/>
  <c r="N24" i="40"/>
  <c r="L22" i="40"/>
  <c r="N22" i="40"/>
  <c r="L19" i="40"/>
  <c r="M19" i="40"/>
  <c r="O19" i="40"/>
  <c r="L17" i="40"/>
  <c r="N17" i="40"/>
  <c r="L15" i="40"/>
  <c r="M15" i="40"/>
  <c r="O15" i="40"/>
  <c r="L13" i="40"/>
  <c r="M13" i="40"/>
  <c r="O13" i="40"/>
  <c r="L11" i="40"/>
  <c r="M11" i="40"/>
  <c r="O11" i="40"/>
  <c r="L3" i="40"/>
  <c r="M3" i="40"/>
  <c r="O3" i="40"/>
  <c r="B63" i="40"/>
  <c r="C64" i="40"/>
  <c r="D64" i="40"/>
  <c r="E64" i="40"/>
  <c r="E174" i="40"/>
  <c r="C80" i="40"/>
  <c r="D80" i="40"/>
  <c r="D214" i="40"/>
  <c r="B71" i="40"/>
  <c r="C88" i="40"/>
  <c r="C234" i="40"/>
  <c r="B57" i="40"/>
  <c r="C72" i="40"/>
  <c r="D72" i="40"/>
  <c r="D194" i="40"/>
  <c r="B67" i="40"/>
  <c r="B59" i="40"/>
  <c r="C60" i="40"/>
  <c r="C164" i="40"/>
  <c r="C68" i="40"/>
  <c r="D68" i="40"/>
  <c r="E68" i="40"/>
  <c r="E184" i="40"/>
  <c r="C76" i="40"/>
  <c r="D76" i="40"/>
  <c r="C84" i="40"/>
  <c r="C224" i="40"/>
  <c r="B51" i="40"/>
  <c r="B73" i="40"/>
  <c r="B69" i="40"/>
  <c r="B65" i="40"/>
  <c r="C66" i="40"/>
  <c r="D66" i="40"/>
  <c r="D179" i="40"/>
  <c r="C52" i="40"/>
  <c r="C144" i="40"/>
  <c r="B53" i="40"/>
  <c r="C54" i="40"/>
  <c r="C149" i="40"/>
  <c r="B55" i="40"/>
  <c r="C42" i="40"/>
  <c r="C119" i="40"/>
  <c r="B43" i="40"/>
  <c r="C44" i="40"/>
  <c r="C124" i="40"/>
  <c r="B45" i="40"/>
  <c r="C46" i="40"/>
  <c r="C129" i="40"/>
  <c r="B47" i="40"/>
  <c r="C48" i="40"/>
  <c r="C134" i="40"/>
  <c r="B49" i="40"/>
  <c r="D50" i="40"/>
  <c r="C56" i="40"/>
  <c r="C58" i="40"/>
  <c r="C159" i="40"/>
  <c r="B75" i="40"/>
  <c r="C74" i="40"/>
  <c r="B79" i="40"/>
  <c r="C78" i="40"/>
  <c r="C209" i="40"/>
  <c r="B83" i="40"/>
  <c r="C82" i="40"/>
  <c r="C219" i="40"/>
  <c r="B87" i="40"/>
  <c r="C86" i="40"/>
  <c r="C229" i="40"/>
  <c r="B41" i="40"/>
  <c r="B239" i="40"/>
  <c r="B234" i="40"/>
  <c r="B229" i="40"/>
  <c r="B224" i="40"/>
  <c r="B219" i="40"/>
  <c r="B214" i="40"/>
  <c r="B204" i="40"/>
  <c r="B199" i="40"/>
  <c r="B194" i="40"/>
  <c r="B174" i="40"/>
  <c r="B189" i="40"/>
  <c r="B209" i="40"/>
  <c r="B159" i="40"/>
  <c r="B154" i="40"/>
  <c r="B149" i="40"/>
  <c r="B179" i="40"/>
  <c r="B164" i="40"/>
  <c r="C139" i="40"/>
  <c r="B169" i="40"/>
  <c r="B144" i="40"/>
  <c r="B139" i="40"/>
  <c r="B134" i="40"/>
  <c r="B129" i="40"/>
  <c r="B124" i="40"/>
  <c r="B119" i="40"/>
  <c r="B114" i="40"/>
  <c r="B184" i="40"/>
  <c r="B61" i="40"/>
  <c r="C62" i="40"/>
  <c r="C169" i="40"/>
  <c r="C70" i="40"/>
  <c r="B77" i="40"/>
  <c r="B81" i="40"/>
  <c r="B85" i="40"/>
  <c r="B89" i="40"/>
  <c r="D51" i="35"/>
  <c r="C279" i="40"/>
  <c r="F279" i="40"/>
  <c r="F280" i="40"/>
  <c r="F254" i="40"/>
  <c r="F255" i="40"/>
  <c r="F256" i="40"/>
  <c r="F257" i="40"/>
  <c r="H254" i="40"/>
  <c r="C274" i="40"/>
  <c r="C275" i="40"/>
  <c r="C276" i="40"/>
  <c r="C277" i="40"/>
  <c r="N35" i="40"/>
  <c r="N34" i="40"/>
  <c r="B331" i="40"/>
  <c r="D279" i="40"/>
  <c r="D280" i="40"/>
  <c r="D281" i="40"/>
  <c r="D282" i="40"/>
  <c r="H259" i="40"/>
  <c r="H260" i="40"/>
  <c r="H261" i="40"/>
  <c r="H262" i="40"/>
  <c r="F259" i="40"/>
  <c r="F260" i="40"/>
  <c r="F261" i="40"/>
  <c r="F262" i="40"/>
  <c r="D90" i="40"/>
  <c r="E90" i="40"/>
  <c r="F90" i="40"/>
  <c r="G259" i="40"/>
  <c r="G260" i="40"/>
  <c r="G261" i="40"/>
  <c r="G262" i="40"/>
  <c r="E254" i="40"/>
  <c r="E255" i="40"/>
  <c r="E256" i="40"/>
  <c r="E257" i="40"/>
  <c r="D254" i="40"/>
  <c r="D255" i="40"/>
  <c r="D256" i="40"/>
  <c r="D257" i="40"/>
  <c r="E279" i="40"/>
  <c r="E280" i="40"/>
  <c r="E281" i="40"/>
  <c r="E282" i="40"/>
  <c r="E259" i="40"/>
  <c r="E260" i="40"/>
  <c r="E261" i="40"/>
  <c r="E262" i="40"/>
  <c r="J98" i="40"/>
  <c r="J259" i="40"/>
  <c r="J260" i="40"/>
  <c r="J261" i="40"/>
  <c r="J262" i="40"/>
  <c r="D259" i="40"/>
  <c r="D260" i="40"/>
  <c r="D261" i="40"/>
  <c r="D262" i="40"/>
  <c r="C259" i="40"/>
  <c r="C260" i="40"/>
  <c r="C261" i="40"/>
  <c r="C262" i="40"/>
  <c r="B330" i="40"/>
  <c r="F23" i="41"/>
  <c r="G23" i="41"/>
  <c r="F24" i="41"/>
  <c r="M59" i="41"/>
  <c r="L60" i="41"/>
  <c r="U22" i="41"/>
  <c r="N21" i="40"/>
  <c r="F276" i="40"/>
  <c r="F277" i="40"/>
  <c r="M25" i="40"/>
  <c r="O25" i="40"/>
  <c r="B291" i="40"/>
  <c r="B292" i="40"/>
  <c r="B332" i="40"/>
  <c r="N2" i="40"/>
  <c r="N36" i="40"/>
  <c r="N9" i="40"/>
  <c r="B271" i="40"/>
  <c r="B272" i="40"/>
  <c r="B328" i="40"/>
  <c r="G281" i="40"/>
  <c r="G282" i="40"/>
  <c r="N13" i="40"/>
  <c r="N32" i="40"/>
  <c r="B324" i="40"/>
  <c r="B326" i="40"/>
  <c r="M17" i="40"/>
  <c r="O17" i="40"/>
  <c r="N30" i="40"/>
  <c r="M5" i="40"/>
  <c r="O5" i="40"/>
  <c r="B327" i="40"/>
  <c r="D100" i="40"/>
  <c r="C264" i="40"/>
  <c r="D92" i="40"/>
  <c r="C244" i="40"/>
  <c r="B245" i="40"/>
  <c r="B246" i="40"/>
  <c r="B247" i="40"/>
  <c r="B323" i="40"/>
  <c r="B255" i="40"/>
  <c r="B256" i="40"/>
  <c r="B257" i="40"/>
  <c r="B325" i="40"/>
  <c r="D94" i="40"/>
  <c r="C249" i="40"/>
  <c r="N23" i="40"/>
  <c r="D102" i="40"/>
  <c r="C269" i="40"/>
  <c r="D108" i="40"/>
  <c r="C284" i="40"/>
  <c r="G255" i="40"/>
  <c r="G256" i="40"/>
  <c r="G257" i="40"/>
  <c r="C255" i="40"/>
  <c r="C256" i="40"/>
  <c r="C257" i="40"/>
  <c r="H255" i="40"/>
  <c r="H256" i="40"/>
  <c r="H257" i="40"/>
  <c r="G275" i="40"/>
  <c r="G276" i="40"/>
  <c r="G277" i="40"/>
  <c r="B275" i="40"/>
  <c r="B276" i="40"/>
  <c r="B277" i="40"/>
  <c r="B329" i="40"/>
  <c r="D110" i="40"/>
  <c r="C289" i="40"/>
  <c r="C290" i="40"/>
  <c r="C291" i="40"/>
  <c r="C292" i="40"/>
  <c r="C280" i="40"/>
  <c r="C281" i="40"/>
  <c r="C282" i="40"/>
  <c r="C114" i="40"/>
  <c r="C115" i="40"/>
  <c r="C116" i="40"/>
  <c r="C117" i="40"/>
  <c r="N7" i="40"/>
  <c r="N37" i="40"/>
  <c r="N19" i="40"/>
  <c r="J96" i="40"/>
  <c r="J254" i="40"/>
  <c r="I106" i="40"/>
  <c r="I279" i="40"/>
  <c r="I280" i="40"/>
  <c r="I281" i="40"/>
  <c r="I282" i="40"/>
  <c r="J104" i="40"/>
  <c r="J274" i="40"/>
  <c r="N3" i="40"/>
  <c r="C214" i="40"/>
  <c r="C215" i="40"/>
  <c r="C216" i="40"/>
  <c r="C217" i="40"/>
  <c r="N15" i="40"/>
  <c r="M24" i="40"/>
  <c r="O24" i="40"/>
  <c r="D88" i="40"/>
  <c r="D234" i="40"/>
  <c r="C174" i="40"/>
  <c r="C175" i="40"/>
  <c r="C176" i="40"/>
  <c r="D174" i="40"/>
  <c r="D175" i="40"/>
  <c r="D176" i="40"/>
  <c r="N11" i="40"/>
  <c r="N14" i="40"/>
  <c r="M14" i="40"/>
  <c r="O14" i="40"/>
  <c r="M22" i="40"/>
  <c r="O22" i="40"/>
  <c r="M16" i="40"/>
  <c r="O16" i="40"/>
  <c r="M20" i="40"/>
  <c r="O20" i="40"/>
  <c r="N10" i="40"/>
  <c r="M10" i="40"/>
  <c r="O10" i="40"/>
  <c r="M18" i="40"/>
  <c r="O18" i="40"/>
  <c r="N18" i="40"/>
  <c r="M26" i="40"/>
  <c r="O26" i="40"/>
  <c r="M28" i="40"/>
  <c r="O28" i="40"/>
  <c r="M12" i="40"/>
  <c r="O12" i="40"/>
  <c r="C204" i="40"/>
  <c r="C205" i="40"/>
  <c r="C206" i="40"/>
  <c r="C207" i="40"/>
  <c r="D84" i="40"/>
  <c r="D224" i="40"/>
  <c r="D60" i="40"/>
  <c r="D164" i="40"/>
  <c r="D165" i="40"/>
  <c r="D166" i="40"/>
  <c r="C194" i="40"/>
  <c r="C195" i="40"/>
  <c r="C196" i="40"/>
  <c r="C197" i="40"/>
  <c r="D184" i="40"/>
  <c r="D185" i="40"/>
  <c r="D186" i="40"/>
  <c r="D187" i="40"/>
  <c r="E72" i="40"/>
  <c r="E194" i="40"/>
  <c r="E195" i="40"/>
  <c r="E196" i="40"/>
  <c r="E197" i="40"/>
  <c r="C184" i="40"/>
  <c r="C185" i="40"/>
  <c r="C186" i="40"/>
  <c r="C187" i="40"/>
  <c r="C179" i="40"/>
  <c r="C180" i="40"/>
  <c r="C181" i="40"/>
  <c r="C170" i="40"/>
  <c r="C171" i="40"/>
  <c r="C172" i="40"/>
  <c r="E185" i="40"/>
  <c r="E186" i="40"/>
  <c r="E187" i="40"/>
  <c r="C220" i="40"/>
  <c r="C221" i="40"/>
  <c r="C222" i="40"/>
  <c r="B115" i="40"/>
  <c r="B116" i="40"/>
  <c r="B117" i="40"/>
  <c r="B297" i="40"/>
  <c r="B170" i="40"/>
  <c r="B171" i="40"/>
  <c r="B172" i="40"/>
  <c r="B308" i="40"/>
  <c r="B175" i="40"/>
  <c r="B176" i="40"/>
  <c r="B177" i="40"/>
  <c r="B309" i="40"/>
  <c r="D215" i="40"/>
  <c r="D216" i="40"/>
  <c r="B220" i="40"/>
  <c r="B221" i="40"/>
  <c r="B225" i="40"/>
  <c r="B226" i="40"/>
  <c r="B227" i="40"/>
  <c r="B319" i="40"/>
  <c r="B230" i="40"/>
  <c r="B231" i="40"/>
  <c r="B232" i="40"/>
  <c r="B320" i="40"/>
  <c r="B235" i="40"/>
  <c r="B236" i="40"/>
  <c r="B237" i="40"/>
  <c r="B321" i="40"/>
  <c r="D74" i="40"/>
  <c r="D56" i="40"/>
  <c r="D70" i="40"/>
  <c r="F64" i="40"/>
  <c r="B185" i="40"/>
  <c r="B186" i="40"/>
  <c r="B187" i="40"/>
  <c r="B311" i="40"/>
  <c r="B120" i="40"/>
  <c r="B121" i="40"/>
  <c r="B122" i="40"/>
  <c r="B298" i="40"/>
  <c r="B125" i="40"/>
  <c r="B126" i="40"/>
  <c r="B127" i="40"/>
  <c r="B299" i="40"/>
  <c r="B130" i="40"/>
  <c r="B131" i="40"/>
  <c r="B132" i="40"/>
  <c r="B300" i="40"/>
  <c r="B135" i="40"/>
  <c r="B136" i="40"/>
  <c r="B137" i="40"/>
  <c r="B301" i="40"/>
  <c r="B140" i="40"/>
  <c r="B141" i="40"/>
  <c r="B142" i="40"/>
  <c r="B302" i="40"/>
  <c r="B145" i="40"/>
  <c r="B146" i="40"/>
  <c r="B147" i="40"/>
  <c r="B303" i="40"/>
  <c r="C120" i="40"/>
  <c r="C121" i="40"/>
  <c r="C122" i="40"/>
  <c r="C125" i="40"/>
  <c r="C126" i="40"/>
  <c r="C127" i="40"/>
  <c r="C130" i="40"/>
  <c r="C131" i="40"/>
  <c r="C132" i="40"/>
  <c r="C135" i="40"/>
  <c r="C136" i="40"/>
  <c r="C137" i="40"/>
  <c r="C140" i="40"/>
  <c r="C141" i="40"/>
  <c r="C145" i="40"/>
  <c r="C146" i="40"/>
  <c r="C147" i="40"/>
  <c r="B155" i="40"/>
  <c r="B156" i="40"/>
  <c r="C160" i="40"/>
  <c r="C161" i="40"/>
  <c r="C162" i="40"/>
  <c r="C165" i="40"/>
  <c r="C166" i="40"/>
  <c r="C167" i="40"/>
  <c r="B210" i="40"/>
  <c r="B211" i="40"/>
  <c r="B190" i="40"/>
  <c r="B191" i="40"/>
  <c r="B192" i="40"/>
  <c r="B312" i="40"/>
  <c r="B195" i="40"/>
  <c r="B196" i="40"/>
  <c r="B197" i="40"/>
  <c r="B313" i="40"/>
  <c r="B200" i="40"/>
  <c r="B201" i="40"/>
  <c r="B202" i="40"/>
  <c r="B314" i="40"/>
  <c r="B205" i="40"/>
  <c r="B206" i="40"/>
  <c r="C210" i="40"/>
  <c r="C211" i="40"/>
  <c r="C212" i="40"/>
  <c r="C189" i="40"/>
  <c r="C199" i="40"/>
  <c r="C225" i="40"/>
  <c r="C226" i="40"/>
  <c r="C230" i="40"/>
  <c r="C231" i="40"/>
  <c r="C235" i="40"/>
  <c r="C236" i="40"/>
  <c r="D78" i="40"/>
  <c r="D46" i="40"/>
  <c r="D44" i="40"/>
  <c r="D54" i="40"/>
  <c r="E76" i="40"/>
  <c r="D62" i="40"/>
  <c r="B165" i="40"/>
  <c r="B166" i="40"/>
  <c r="B167" i="40"/>
  <c r="B307" i="40"/>
  <c r="B150" i="40"/>
  <c r="B151" i="40"/>
  <c r="B152" i="40"/>
  <c r="B304" i="40"/>
  <c r="E175" i="40"/>
  <c r="E176" i="40"/>
  <c r="E177" i="40"/>
  <c r="D180" i="40"/>
  <c r="D181" i="40"/>
  <c r="D182" i="40"/>
  <c r="D195" i="40"/>
  <c r="D196" i="40"/>
  <c r="D197" i="40"/>
  <c r="D204" i="40"/>
  <c r="B240" i="40"/>
  <c r="B241" i="40"/>
  <c r="B242" i="40"/>
  <c r="B322" i="40"/>
  <c r="D82" i="40"/>
  <c r="F68" i="40"/>
  <c r="E50" i="40"/>
  <c r="E80" i="40"/>
  <c r="C150" i="40"/>
  <c r="C151" i="40"/>
  <c r="C152" i="40"/>
  <c r="C154" i="40"/>
  <c r="B180" i="40"/>
  <c r="B181" i="40"/>
  <c r="D139" i="40"/>
  <c r="B160" i="40"/>
  <c r="B161" i="40"/>
  <c r="B215" i="40"/>
  <c r="B216" i="40"/>
  <c r="C239" i="40"/>
  <c r="D115" i="40"/>
  <c r="D116" i="40"/>
  <c r="D117" i="40"/>
  <c r="D86" i="40"/>
  <c r="D58" i="40"/>
  <c r="E66" i="40"/>
  <c r="D48" i="40"/>
  <c r="D42" i="40"/>
  <c r="D52" i="40"/>
  <c r="E40" i="40"/>
  <c r="K36" i="26"/>
  <c r="K37" i="26"/>
  <c r="K38" i="26"/>
  <c r="K39" i="26"/>
  <c r="F281" i="40"/>
  <c r="F282" i="40"/>
  <c r="K98" i="40"/>
  <c r="K259" i="40"/>
  <c r="K260" i="40"/>
  <c r="K261" i="40"/>
  <c r="K262" i="40"/>
  <c r="G24" i="41"/>
  <c r="F25" i="41"/>
  <c r="W22" i="41"/>
  <c r="V22" i="41"/>
  <c r="K22" i="41"/>
  <c r="M60" i="41"/>
  <c r="L61" i="41"/>
  <c r="E88" i="40"/>
  <c r="F88" i="40"/>
  <c r="E110" i="40"/>
  <c r="D289" i="40"/>
  <c r="D290" i="40"/>
  <c r="D291" i="40"/>
  <c r="D292" i="40"/>
  <c r="E102" i="40"/>
  <c r="D269" i="40"/>
  <c r="D270" i="40"/>
  <c r="D271" i="40"/>
  <c r="D272" i="40"/>
  <c r="C245" i="40"/>
  <c r="C246" i="40"/>
  <c r="C247" i="40"/>
  <c r="C285" i="40"/>
  <c r="C286" i="40"/>
  <c r="C287" i="40"/>
  <c r="E92" i="40"/>
  <c r="D244" i="40"/>
  <c r="J275" i="40"/>
  <c r="J276" i="40"/>
  <c r="J277" i="40"/>
  <c r="J255" i="40"/>
  <c r="J256" i="40"/>
  <c r="J257" i="40"/>
  <c r="E108" i="40"/>
  <c r="D284" i="40"/>
  <c r="C250" i="40"/>
  <c r="C251" i="40"/>
  <c r="C252" i="40"/>
  <c r="C265" i="40"/>
  <c r="C266" i="40"/>
  <c r="C267" i="40"/>
  <c r="C270" i="40"/>
  <c r="C271" i="40"/>
  <c r="C272" i="40"/>
  <c r="E94" i="40"/>
  <c r="D249" i="40"/>
  <c r="E100" i="40"/>
  <c r="D264" i="40"/>
  <c r="D265" i="40"/>
  <c r="D266" i="40"/>
  <c r="D267" i="40"/>
  <c r="E60" i="40"/>
  <c r="F60" i="40"/>
  <c r="K104" i="40"/>
  <c r="K274" i="40"/>
  <c r="K275" i="40"/>
  <c r="K276" i="40"/>
  <c r="K277" i="40"/>
  <c r="J106" i="40"/>
  <c r="J279" i="40"/>
  <c r="K96" i="40"/>
  <c r="K254" i="40"/>
  <c r="F72" i="40"/>
  <c r="G72" i="40"/>
  <c r="E84" i="40"/>
  <c r="E224" i="40"/>
  <c r="O38" i="40"/>
  <c r="P37" i="40"/>
  <c r="G90" i="40"/>
  <c r="F40" i="40"/>
  <c r="E114" i="40"/>
  <c r="D225" i="40"/>
  <c r="D226" i="40"/>
  <c r="D227" i="40"/>
  <c r="F80" i="40"/>
  <c r="E214" i="40"/>
  <c r="D239" i="40"/>
  <c r="E48" i="40"/>
  <c r="D134" i="40"/>
  <c r="E58" i="40"/>
  <c r="D159" i="40"/>
  <c r="B217" i="40"/>
  <c r="B317" i="40"/>
  <c r="D140" i="40"/>
  <c r="D141" i="40"/>
  <c r="D142" i="40"/>
  <c r="G68" i="40"/>
  <c r="F184" i="40"/>
  <c r="E54" i="40"/>
  <c r="D149" i="40"/>
  <c r="E46" i="40"/>
  <c r="D129" i="40"/>
  <c r="E78" i="40"/>
  <c r="D209" i="40"/>
  <c r="C232" i="40"/>
  <c r="C200" i="40"/>
  <c r="C201" i="40"/>
  <c r="B207" i="40"/>
  <c r="B315" i="40"/>
  <c r="B212" i="40"/>
  <c r="B316" i="40"/>
  <c r="C177" i="40"/>
  <c r="G64" i="40"/>
  <c r="F174" i="40"/>
  <c r="E74" i="40"/>
  <c r="D199" i="40"/>
  <c r="D217" i="40"/>
  <c r="D167" i="40"/>
  <c r="E86" i="40"/>
  <c r="D229" i="40"/>
  <c r="C155" i="40"/>
  <c r="C156" i="40"/>
  <c r="C157" i="40"/>
  <c r="E44" i="40"/>
  <c r="D124" i="40"/>
  <c r="C190" i="40"/>
  <c r="C191" i="40"/>
  <c r="E42" i="40"/>
  <c r="D119" i="40"/>
  <c r="F50" i="40"/>
  <c r="E139" i="40"/>
  <c r="E82" i="40"/>
  <c r="D219" i="40"/>
  <c r="D235" i="40"/>
  <c r="D236" i="40"/>
  <c r="D237" i="40"/>
  <c r="E62" i="40"/>
  <c r="D169" i="40"/>
  <c r="F76" i="40"/>
  <c r="E204" i="40"/>
  <c r="E56" i="40"/>
  <c r="D154" i="40"/>
  <c r="E52" i="40"/>
  <c r="D144" i="40"/>
  <c r="F66" i="40"/>
  <c r="E179" i="40"/>
  <c r="C240" i="40"/>
  <c r="C241" i="40"/>
  <c r="B162" i="40"/>
  <c r="B306" i="40"/>
  <c r="B182" i="40"/>
  <c r="B310" i="40"/>
  <c r="D205" i="40"/>
  <c r="D206" i="40"/>
  <c r="D207" i="40"/>
  <c r="D177" i="40"/>
  <c r="C237" i="40"/>
  <c r="C227" i="40"/>
  <c r="C182" i="40"/>
  <c r="B157" i="40"/>
  <c r="B305" i="40"/>
  <c r="C142" i="40"/>
  <c r="E70" i="40"/>
  <c r="D189" i="40"/>
  <c r="B222" i="40"/>
  <c r="B318" i="40"/>
  <c r="L98" i="40"/>
  <c r="L259" i="40"/>
  <c r="E164" i="40"/>
  <c r="E165" i="40"/>
  <c r="E166" i="40"/>
  <c r="E167" i="40"/>
  <c r="E234" i="40"/>
  <c r="E235" i="40"/>
  <c r="E236" i="40"/>
  <c r="E237" i="40"/>
  <c r="G25" i="41"/>
  <c r="F26" i="41"/>
  <c r="L22" i="41"/>
  <c r="T22" i="41"/>
  <c r="M61" i="41"/>
  <c r="L62" i="41"/>
  <c r="P3" i="40"/>
  <c r="L260" i="40"/>
  <c r="L261" i="40"/>
  <c r="L262" i="40"/>
  <c r="F100" i="40"/>
  <c r="E264" i="40"/>
  <c r="E265" i="40"/>
  <c r="E266" i="40"/>
  <c r="E267" i="40"/>
  <c r="F102" i="40"/>
  <c r="E269" i="40"/>
  <c r="E270" i="40"/>
  <c r="E271" i="40"/>
  <c r="E272" i="40"/>
  <c r="K255" i="40"/>
  <c r="K256" i="40"/>
  <c r="K257" i="40"/>
  <c r="D250" i="40"/>
  <c r="D251" i="40"/>
  <c r="D252" i="40"/>
  <c r="D285" i="40"/>
  <c r="D286" i="40"/>
  <c r="D287" i="40"/>
  <c r="D245" i="40"/>
  <c r="D246" i="40"/>
  <c r="D247" i="40"/>
  <c r="J280" i="40"/>
  <c r="J281" i="40"/>
  <c r="J282" i="40"/>
  <c r="F94" i="40"/>
  <c r="E249" i="40"/>
  <c r="E250" i="40"/>
  <c r="E251" i="40"/>
  <c r="E252" i="40"/>
  <c r="F108" i="40"/>
  <c r="E284" i="40"/>
  <c r="E285" i="40"/>
  <c r="E286" i="40"/>
  <c r="E287" i="40"/>
  <c r="F92" i="40"/>
  <c r="E244" i="40"/>
  <c r="E245" i="40"/>
  <c r="E246" i="40"/>
  <c r="E247" i="40"/>
  <c r="F110" i="40"/>
  <c r="E289" i="40"/>
  <c r="F194" i="40"/>
  <c r="F195" i="40"/>
  <c r="F196" i="40"/>
  <c r="M98" i="40"/>
  <c r="M259" i="40"/>
  <c r="M260" i="40"/>
  <c r="M261" i="40"/>
  <c r="M262" i="40"/>
  <c r="K106" i="40"/>
  <c r="K279" i="40"/>
  <c r="L96" i="40"/>
  <c r="L254" i="40"/>
  <c r="L104" i="40"/>
  <c r="L274" i="40"/>
  <c r="L275" i="40"/>
  <c r="L276" i="40"/>
  <c r="L277" i="40"/>
  <c r="P13" i="40"/>
  <c r="P35" i="40"/>
  <c r="P21" i="40"/>
  <c r="P12" i="40"/>
  <c r="P14" i="40"/>
  <c r="P32" i="40"/>
  <c r="P2" i="40"/>
  <c r="P7" i="40"/>
  <c r="P26" i="40"/>
  <c r="P34" i="40"/>
  <c r="F84" i="40"/>
  <c r="G84" i="40"/>
  <c r="P25" i="40"/>
  <c r="P18" i="40"/>
  <c r="P22" i="40"/>
  <c r="P9" i="40"/>
  <c r="P24" i="40"/>
  <c r="P15" i="40"/>
  <c r="P19" i="40"/>
  <c r="P36" i="40"/>
  <c r="P20" i="40"/>
  <c r="P23" i="40"/>
  <c r="P28" i="40"/>
  <c r="P30" i="40"/>
  <c r="P17" i="40"/>
  <c r="P5" i="40"/>
  <c r="P11" i="40"/>
  <c r="P16" i="40"/>
  <c r="P10" i="40"/>
  <c r="H90" i="40"/>
  <c r="G66" i="40"/>
  <c r="F179" i="40"/>
  <c r="D220" i="40"/>
  <c r="D221" i="40"/>
  <c r="D222" i="40"/>
  <c r="F78" i="40"/>
  <c r="E209" i="40"/>
  <c r="G88" i="40"/>
  <c r="F234" i="40"/>
  <c r="D190" i="40"/>
  <c r="D191" i="40"/>
  <c r="D192" i="40"/>
  <c r="G50" i="40"/>
  <c r="F139" i="40"/>
  <c r="D230" i="40"/>
  <c r="D231" i="40"/>
  <c r="F74" i="40"/>
  <c r="E199" i="40"/>
  <c r="H68" i="40"/>
  <c r="G184" i="40"/>
  <c r="F48" i="40"/>
  <c r="E134" i="40"/>
  <c r="C242" i="40"/>
  <c r="F56" i="40"/>
  <c r="E154" i="40"/>
  <c r="D120" i="40"/>
  <c r="D121" i="40"/>
  <c r="D122" i="40"/>
  <c r="C192" i="40"/>
  <c r="D210" i="40"/>
  <c r="D211" i="40"/>
  <c r="D212" i="40"/>
  <c r="F46" i="40"/>
  <c r="E129" i="40"/>
  <c r="F54" i="40"/>
  <c r="E149" i="40"/>
  <c r="E215" i="40"/>
  <c r="E216" i="40"/>
  <c r="E217" i="40"/>
  <c r="E205" i="40"/>
  <c r="E206" i="40"/>
  <c r="E207" i="40"/>
  <c r="F42" i="40"/>
  <c r="E119" i="40"/>
  <c r="D150" i="40"/>
  <c r="D151" i="40"/>
  <c r="D152" i="40"/>
  <c r="D135" i="40"/>
  <c r="D136" i="40"/>
  <c r="D137" i="40"/>
  <c r="G60" i="40"/>
  <c r="F164" i="40"/>
  <c r="G80" i="40"/>
  <c r="F214" i="40"/>
  <c r="G40" i="40"/>
  <c r="F114" i="40"/>
  <c r="D155" i="40"/>
  <c r="D156" i="40"/>
  <c r="D157" i="40"/>
  <c r="F62" i="40"/>
  <c r="E169" i="40"/>
  <c r="F44" i="40"/>
  <c r="E124" i="40"/>
  <c r="F175" i="40"/>
  <c r="F176" i="40"/>
  <c r="F177" i="40"/>
  <c r="D130" i="40"/>
  <c r="D131" i="40"/>
  <c r="D132" i="40"/>
  <c r="D160" i="40"/>
  <c r="D161" i="40"/>
  <c r="E239" i="40"/>
  <c r="E225" i="40"/>
  <c r="E226" i="40"/>
  <c r="H72" i="40"/>
  <c r="G194" i="40"/>
  <c r="D145" i="40"/>
  <c r="D146" i="40"/>
  <c r="D147" i="40"/>
  <c r="G76" i="40"/>
  <c r="F204" i="40"/>
  <c r="F82" i="40"/>
  <c r="E219" i="40"/>
  <c r="F70" i="40"/>
  <c r="E189" i="40"/>
  <c r="E180" i="40"/>
  <c r="E181" i="40"/>
  <c r="E182" i="40"/>
  <c r="F52" i="40"/>
  <c r="E144" i="40"/>
  <c r="D170" i="40"/>
  <c r="D171" i="40"/>
  <c r="D172" i="40"/>
  <c r="E140" i="40"/>
  <c r="E141" i="40"/>
  <c r="D125" i="40"/>
  <c r="D126" i="40"/>
  <c r="D127" i="40"/>
  <c r="F86" i="40"/>
  <c r="E229" i="40"/>
  <c r="D200" i="40"/>
  <c r="D201" i="40"/>
  <c r="D202" i="40"/>
  <c r="H64" i="40"/>
  <c r="G174" i="40"/>
  <c r="C202" i="40"/>
  <c r="F185" i="40"/>
  <c r="F186" i="40"/>
  <c r="F58" i="40"/>
  <c r="E159" i="40"/>
  <c r="D240" i="40"/>
  <c r="D241" i="40"/>
  <c r="D242" i="40"/>
  <c r="E115" i="40"/>
  <c r="E116" i="40"/>
  <c r="E117" i="40"/>
  <c r="AJ35" i="26"/>
  <c r="AJ36" i="26"/>
  <c r="AJ37" i="26"/>
  <c r="AJ38" i="26"/>
  <c r="AJ39" i="26"/>
  <c r="AE35" i="26"/>
  <c r="AE36" i="26"/>
  <c r="AE37" i="26"/>
  <c r="AE38" i="26"/>
  <c r="AE39" i="26"/>
  <c r="Z35" i="26"/>
  <c r="Z36" i="26"/>
  <c r="Z37" i="26"/>
  <c r="Z38" i="26"/>
  <c r="Z39" i="26"/>
  <c r="U35" i="26"/>
  <c r="U36" i="26"/>
  <c r="U37" i="26"/>
  <c r="U38" i="26"/>
  <c r="U39" i="26"/>
  <c r="P35" i="26"/>
  <c r="P36" i="26"/>
  <c r="P37" i="26"/>
  <c r="P38" i="26"/>
  <c r="P39" i="26"/>
  <c r="K35" i="26"/>
  <c r="F35" i="26"/>
  <c r="F36" i="26"/>
  <c r="F37" i="26"/>
  <c r="F38" i="26"/>
  <c r="F39" i="26"/>
  <c r="G26" i="41"/>
  <c r="F27" i="41"/>
  <c r="M62" i="41"/>
  <c r="L63" i="41"/>
  <c r="L255" i="40"/>
  <c r="L256" i="40"/>
  <c r="L257" i="40"/>
  <c r="E290" i="40"/>
  <c r="E291" i="40"/>
  <c r="E292" i="40"/>
  <c r="F224" i="40"/>
  <c r="F225" i="40"/>
  <c r="F226" i="40"/>
  <c r="K280" i="40"/>
  <c r="K281" i="40"/>
  <c r="K282" i="40"/>
  <c r="G110" i="40"/>
  <c r="F289" i="40"/>
  <c r="F290" i="40"/>
  <c r="F291" i="40"/>
  <c r="F292" i="40"/>
  <c r="G108" i="40"/>
  <c r="F284" i="40"/>
  <c r="G100" i="40"/>
  <c r="F264" i="40"/>
  <c r="G92" i="40"/>
  <c r="F244" i="40"/>
  <c r="G94" i="40"/>
  <c r="F249" i="40"/>
  <c r="G102" i="40"/>
  <c r="F269" i="40"/>
  <c r="M104" i="40"/>
  <c r="M274" i="40"/>
  <c r="M275" i="40"/>
  <c r="M276" i="40"/>
  <c r="M277" i="40"/>
  <c r="L106" i="40"/>
  <c r="L279" i="40"/>
  <c r="N98" i="40"/>
  <c r="N259" i="40"/>
  <c r="N260" i="40"/>
  <c r="N261" i="40"/>
  <c r="N262" i="40"/>
  <c r="M96" i="40"/>
  <c r="M254" i="40"/>
  <c r="M255" i="40"/>
  <c r="M256" i="40"/>
  <c r="M257" i="40"/>
  <c r="I90" i="40"/>
  <c r="G175" i="40"/>
  <c r="G176" i="40"/>
  <c r="G177" i="40"/>
  <c r="G52" i="40"/>
  <c r="F144" i="40"/>
  <c r="G82" i="40"/>
  <c r="F219" i="40"/>
  <c r="E240" i="40"/>
  <c r="E241" i="40"/>
  <c r="E242" i="40"/>
  <c r="E170" i="40"/>
  <c r="E171" i="40"/>
  <c r="E172" i="40"/>
  <c r="F215" i="40"/>
  <c r="F216" i="40"/>
  <c r="F217" i="40"/>
  <c r="E200" i="40"/>
  <c r="E201" i="40"/>
  <c r="E202" i="40"/>
  <c r="H88" i="40"/>
  <c r="G234" i="40"/>
  <c r="H66" i="40"/>
  <c r="G179" i="40"/>
  <c r="I64" i="40"/>
  <c r="H174" i="40"/>
  <c r="F239" i="40"/>
  <c r="E125" i="40"/>
  <c r="E126" i="40"/>
  <c r="E127" i="40"/>
  <c r="G62" i="40"/>
  <c r="F169" i="40"/>
  <c r="H60" i="40"/>
  <c r="G164" i="40"/>
  <c r="G42" i="40"/>
  <c r="F119" i="40"/>
  <c r="E130" i="40"/>
  <c r="E131" i="40"/>
  <c r="E132" i="40"/>
  <c r="F140" i="40"/>
  <c r="F141" i="40"/>
  <c r="F142" i="40"/>
  <c r="F187" i="40"/>
  <c r="E230" i="40"/>
  <c r="E231" i="40"/>
  <c r="E232" i="40"/>
  <c r="F205" i="40"/>
  <c r="F206" i="40"/>
  <c r="F207" i="40"/>
  <c r="G44" i="40"/>
  <c r="F124" i="40"/>
  <c r="H80" i="40"/>
  <c r="G214" i="40"/>
  <c r="H84" i="40"/>
  <c r="G224" i="40"/>
  <c r="E150" i="40"/>
  <c r="E151" i="40"/>
  <c r="E152" i="40"/>
  <c r="E155" i="40"/>
  <c r="E156" i="40"/>
  <c r="E157" i="40"/>
  <c r="E135" i="40"/>
  <c r="E136" i="40"/>
  <c r="E137" i="40"/>
  <c r="I68" i="40"/>
  <c r="H184" i="40"/>
  <c r="H50" i="40"/>
  <c r="G139" i="40"/>
  <c r="F235" i="40"/>
  <c r="F236" i="40"/>
  <c r="F237" i="40"/>
  <c r="G78" i="40"/>
  <c r="F209" i="40"/>
  <c r="E190" i="40"/>
  <c r="E191" i="40"/>
  <c r="E192" i="40"/>
  <c r="H76" i="40"/>
  <c r="G204" i="40"/>
  <c r="I72" i="40"/>
  <c r="H194" i="40"/>
  <c r="G54" i="40"/>
  <c r="F149" i="40"/>
  <c r="G56" i="40"/>
  <c r="F154" i="40"/>
  <c r="G70" i="40"/>
  <c r="F189" i="40"/>
  <c r="F115" i="40"/>
  <c r="F116" i="40"/>
  <c r="F117" i="40"/>
  <c r="G185" i="40"/>
  <c r="G186" i="40"/>
  <c r="G74" i="40"/>
  <c r="F199" i="40"/>
  <c r="E210" i="40"/>
  <c r="E211" i="40"/>
  <c r="E212" i="40"/>
  <c r="E160" i="40"/>
  <c r="E161" i="40"/>
  <c r="E162" i="40"/>
  <c r="G58" i="40"/>
  <c r="F159" i="40"/>
  <c r="G86" i="40"/>
  <c r="F229" i="40"/>
  <c r="E142" i="40"/>
  <c r="E145" i="40"/>
  <c r="E146" i="40"/>
  <c r="E147" i="40"/>
  <c r="E220" i="40"/>
  <c r="E221" i="40"/>
  <c r="G195" i="40"/>
  <c r="G196" i="40"/>
  <c r="E227" i="40"/>
  <c r="D162" i="40"/>
  <c r="H40" i="40"/>
  <c r="G114" i="40"/>
  <c r="F165" i="40"/>
  <c r="F166" i="40"/>
  <c r="F167" i="40"/>
  <c r="E120" i="40"/>
  <c r="E121" i="40"/>
  <c r="E122" i="40"/>
  <c r="G46" i="40"/>
  <c r="F129" i="40"/>
  <c r="G48" i="40"/>
  <c r="F134" i="40"/>
  <c r="D232" i="40"/>
  <c r="F180" i="40"/>
  <c r="F181" i="40"/>
  <c r="F197" i="40"/>
  <c r="D52" i="30"/>
  <c r="D47" i="30"/>
  <c r="D24" i="30"/>
  <c r="D25" i="30"/>
  <c r="D26" i="30"/>
  <c r="D27" i="30"/>
  <c r="D28" i="30"/>
  <c r="D29" i="30"/>
  <c r="D30" i="30"/>
  <c r="D31" i="30"/>
  <c r="D32" i="30"/>
  <c r="D33" i="30"/>
  <c r="D34" i="30"/>
  <c r="D35" i="30"/>
  <c r="D36" i="30"/>
  <c r="D37" i="30"/>
  <c r="D38" i="30"/>
  <c r="D39" i="30"/>
  <c r="D40" i="30"/>
  <c r="D41" i="30"/>
  <c r="D42" i="30"/>
  <c r="D23" i="30"/>
  <c r="D17" i="6"/>
  <c r="E17" i="6"/>
  <c r="F17" i="6"/>
  <c r="G17" i="6"/>
  <c r="H17" i="6"/>
  <c r="I17" i="6"/>
  <c r="J17" i="6"/>
  <c r="K17" i="6"/>
  <c r="D18" i="6"/>
  <c r="E18" i="6"/>
  <c r="F18" i="6"/>
  <c r="G18" i="6"/>
  <c r="H18" i="6"/>
  <c r="I18" i="6"/>
  <c r="J18" i="6"/>
  <c r="K18" i="6"/>
  <c r="E8" i="9"/>
  <c r="G27" i="41"/>
  <c r="F28" i="41"/>
  <c r="M63" i="41"/>
  <c r="L64" i="41"/>
  <c r="H94" i="40"/>
  <c r="G249" i="40"/>
  <c r="H100" i="40"/>
  <c r="G264" i="40"/>
  <c r="H110" i="40"/>
  <c r="G289" i="40"/>
  <c r="F270" i="40"/>
  <c r="F271" i="40"/>
  <c r="F272" i="40"/>
  <c r="F245" i="40"/>
  <c r="F246" i="40"/>
  <c r="F247" i="40"/>
  <c r="F285" i="40"/>
  <c r="F286" i="40"/>
  <c r="F287" i="40"/>
  <c r="L280" i="40"/>
  <c r="L281" i="40"/>
  <c r="L282" i="40"/>
  <c r="H102" i="40"/>
  <c r="G269" i="40"/>
  <c r="H92" i="40"/>
  <c r="G244" i="40"/>
  <c r="H108" i="40"/>
  <c r="G284" i="40"/>
  <c r="F250" i="40"/>
  <c r="F251" i="40"/>
  <c r="F252" i="40"/>
  <c r="F265" i="40"/>
  <c r="F266" i="40"/>
  <c r="F267" i="40"/>
  <c r="O98" i="40"/>
  <c r="O259" i="40"/>
  <c r="N104" i="40"/>
  <c r="N274" i="40"/>
  <c r="N96" i="40"/>
  <c r="N254" i="40"/>
  <c r="N255" i="40"/>
  <c r="N256" i="40"/>
  <c r="N257" i="40"/>
  <c r="M106" i="40"/>
  <c r="M279" i="40"/>
  <c r="M280" i="40"/>
  <c r="M281" i="40"/>
  <c r="M282" i="40"/>
  <c r="J90" i="40"/>
  <c r="F135" i="40"/>
  <c r="F136" i="40"/>
  <c r="F137" i="40"/>
  <c r="H46" i="40"/>
  <c r="G129" i="40"/>
  <c r="I40" i="40"/>
  <c r="H114" i="40"/>
  <c r="F200" i="40"/>
  <c r="F201" i="40"/>
  <c r="H70" i="40"/>
  <c r="G189" i="40"/>
  <c r="H56" i="40"/>
  <c r="G154" i="40"/>
  <c r="F210" i="40"/>
  <c r="F211" i="40"/>
  <c r="F212" i="40"/>
  <c r="H185" i="40"/>
  <c r="H186" i="40"/>
  <c r="H187" i="40"/>
  <c r="H44" i="40"/>
  <c r="G124" i="40"/>
  <c r="I88" i="40"/>
  <c r="H234" i="40"/>
  <c r="F220" i="40"/>
  <c r="F221" i="40"/>
  <c r="F222" i="40"/>
  <c r="H48" i="40"/>
  <c r="G134" i="40"/>
  <c r="J72" i="40"/>
  <c r="I194" i="40"/>
  <c r="G140" i="40"/>
  <c r="G141" i="40"/>
  <c r="G142" i="40"/>
  <c r="G225" i="40"/>
  <c r="G226" i="40"/>
  <c r="G227" i="40"/>
  <c r="I80" i="40"/>
  <c r="H214" i="40"/>
  <c r="F170" i="40"/>
  <c r="F171" i="40"/>
  <c r="F227" i="40"/>
  <c r="H82" i="40"/>
  <c r="G219" i="40"/>
  <c r="F182" i="40"/>
  <c r="G115" i="40"/>
  <c r="G116" i="40"/>
  <c r="G117" i="40"/>
  <c r="E222" i="40"/>
  <c r="F230" i="40"/>
  <c r="F231" i="40"/>
  <c r="F232" i="40"/>
  <c r="H58" i="40"/>
  <c r="G159" i="40"/>
  <c r="F155" i="40"/>
  <c r="F156" i="40"/>
  <c r="F157" i="40"/>
  <c r="I50" i="40"/>
  <c r="H139" i="40"/>
  <c r="I84" i="40"/>
  <c r="H224" i="40"/>
  <c r="G165" i="40"/>
  <c r="G166" i="40"/>
  <c r="H62" i="40"/>
  <c r="G169" i="40"/>
  <c r="F240" i="40"/>
  <c r="F241" i="40"/>
  <c r="F242" i="40"/>
  <c r="J64" i="40"/>
  <c r="I174" i="40"/>
  <c r="I66" i="40"/>
  <c r="H179" i="40"/>
  <c r="H195" i="40"/>
  <c r="H196" i="40"/>
  <c r="H197" i="40"/>
  <c r="I76" i="40"/>
  <c r="H204" i="40"/>
  <c r="G215" i="40"/>
  <c r="G216" i="40"/>
  <c r="H42" i="40"/>
  <c r="G119" i="40"/>
  <c r="G180" i="40"/>
  <c r="G181" i="40"/>
  <c r="G182" i="40"/>
  <c r="H52" i="40"/>
  <c r="G144" i="40"/>
  <c r="F160" i="40"/>
  <c r="F161" i="40"/>
  <c r="F162" i="40"/>
  <c r="H74" i="40"/>
  <c r="G199" i="40"/>
  <c r="F150" i="40"/>
  <c r="F151" i="40"/>
  <c r="F152" i="40"/>
  <c r="H78" i="40"/>
  <c r="G209" i="40"/>
  <c r="J68" i="40"/>
  <c r="I184" i="40"/>
  <c r="H175" i="40"/>
  <c r="H176" i="40"/>
  <c r="H177" i="40"/>
  <c r="F130" i="40"/>
  <c r="F131" i="40"/>
  <c r="F132" i="40"/>
  <c r="G197" i="40"/>
  <c r="H86" i="40"/>
  <c r="G229" i="40"/>
  <c r="G187" i="40"/>
  <c r="F190" i="40"/>
  <c r="F191" i="40"/>
  <c r="H54" i="40"/>
  <c r="G149" i="40"/>
  <c r="G205" i="40"/>
  <c r="G206" i="40"/>
  <c r="G207" i="40"/>
  <c r="F125" i="40"/>
  <c r="F126" i="40"/>
  <c r="F127" i="40"/>
  <c r="F120" i="40"/>
  <c r="F121" i="40"/>
  <c r="F122" i="40"/>
  <c r="I60" i="40"/>
  <c r="H164" i="40"/>
  <c r="G239" i="40"/>
  <c r="G235" i="40"/>
  <c r="G236" i="40"/>
  <c r="F145" i="40"/>
  <c r="F146" i="40"/>
  <c r="F147" i="40"/>
  <c r="J65" i="5"/>
  <c r="G28" i="41"/>
  <c r="F29" i="41"/>
  <c r="M64" i="41"/>
  <c r="L65" i="41"/>
  <c r="N275" i="40"/>
  <c r="N276" i="40"/>
  <c r="N277" i="40"/>
  <c r="H284" i="40"/>
  <c r="H285" i="40"/>
  <c r="H286" i="40"/>
  <c r="H287" i="40"/>
  <c r="I108" i="40"/>
  <c r="I102" i="40"/>
  <c r="H269" i="40"/>
  <c r="H270" i="40"/>
  <c r="H271" i="40"/>
  <c r="H272" i="40"/>
  <c r="H264" i="40"/>
  <c r="H265" i="40"/>
  <c r="H266" i="40"/>
  <c r="H267" i="40"/>
  <c r="I100" i="40"/>
  <c r="G245" i="40"/>
  <c r="G246" i="40"/>
  <c r="G247" i="40"/>
  <c r="G290" i="40"/>
  <c r="G291" i="40"/>
  <c r="G292" i="40"/>
  <c r="G250" i="40"/>
  <c r="G251" i="40"/>
  <c r="G252" i="40"/>
  <c r="O260" i="40"/>
  <c r="O261" i="40"/>
  <c r="O262" i="40"/>
  <c r="G285" i="40"/>
  <c r="G286" i="40"/>
  <c r="G287" i="40"/>
  <c r="G270" i="40"/>
  <c r="G271" i="40"/>
  <c r="G272" i="40"/>
  <c r="G265" i="40"/>
  <c r="G266" i="40"/>
  <c r="G267" i="40"/>
  <c r="H244" i="40"/>
  <c r="I92" i="40"/>
  <c r="H289" i="40"/>
  <c r="I110" i="40"/>
  <c r="I94" i="40"/>
  <c r="H249" i="40"/>
  <c r="N106" i="40"/>
  <c r="N279" i="40"/>
  <c r="O96" i="40"/>
  <c r="O254" i="40"/>
  <c r="O255" i="40"/>
  <c r="O256" i="40"/>
  <c r="O257" i="40"/>
  <c r="P98" i="40"/>
  <c r="P259" i="40"/>
  <c r="O104" i="40"/>
  <c r="O274" i="40"/>
  <c r="K90" i="40"/>
  <c r="H165" i="40"/>
  <c r="H166" i="40"/>
  <c r="H167" i="40"/>
  <c r="H225" i="40"/>
  <c r="H226" i="40"/>
  <c r="H227" i="40"/>
  <c r="J80" i="40"/>
  <c r="I214" i="40"/>
  <c r="G155" i="40"/>
  <c r="G156" i="40"/>
  <c r="G157" i="40"/>
  <c r="G240" i="40"/>
  <c r="G241" i="40"/>
  <c r="J60" i="40"/>
  <c r="I164" i="40"/>
  <c r="G150" i="40"/>
  <c r="G151" i="40"/>
  <c r="G152" i="40"/>
  <c r="F192" i="40"/>
  <c r="I86" i="40"/>
  <c r="H229" i="40"/>
  <c r="K68" i="40"/>
  <c r="J184" i="40"/>
  <c r="I74" i="40"/>
  <c r="H199" i="40"/>
  <c r="J66" i="40"/>
  <c r="I179" i="40"/>
  <c r="I62" i="40"/>
  <c r="H169" i="40"/>
  <c r="J84" i="40"/>
  <c r="I224" i="40"/>
  <c r="G135" i="40"/>
  <c r="G136" i="40"/>
  <c r="G137" i="40"/>
  <c r="J40" i="40"/>
  <c r="I114" i="40"/>
  <c r="G210" i="40"/>
  <c r="G211" i="40"/>
  <c r="I52" i="40"/>
  <c r="H144" i="40"/>
  <c r="I42" i="40"/>
  <c r="H119" i="40"/>
  <c r="H205" i="40"/>
  <c r="H206" i="40"/>
  <c r="H207" i="40"/>
  <c r="I175" i="40"/>
  <c r="I176" i="40"/>
  <c r="I177" i="40"/>
  <c r="I58" i="40"/>
  <c r="H159" i="40"/>
  <c r="F172" i="40"/>
  <c r="I195" i="40"/>
  <c r="I196" i="40"/>
  <c r="I197" i="40"/>
  <c r="H235" i="40"/>
  <c r="H236" i="40"/>
  <c r="H237" i="40"/>
  <c r="I56" i="40"/>
  <c r="H154" i="40"/>
  <c r="I78" i="40"/>
  <c r="H209" i="40"/>
  <c r="G145" i="40"/>
  <c r="G146" i="40"/>
  <c r="G147" i="40"/>
  <c r="K64" i="40"/>
  <c r="J174" i="40"/>
  <c r="G160" i="40"/>
  <c r="G161" i="40"/>
  <c r="G162" i="40"/>
  <c r="K72" i="40"/>
  <c r="J194" i="40"/>
  <c r="H115" i="40"/>
  <c r="H116" i="40"/>
  <c r="H117" i="40"/>
  <c r="I46" i="40"/>
  <c r="H129" i="40"/>
  <c r="G120" i="40"/>
  <c r="G121" i="40"/>
  <c r="G122" i="40"/>
  <c r="G217" i="40"/>
  <c r="J50" i="40"/>
  <c r="I139" i="40"/>
  <c r="G220" i="40"/>
  <c r="G221" i="40"/>
  <c r="G125" i="40"/>
  <c r="G126" i="40"/>
  <c r="G127" i="40"/>
  <c r="I70" i="40"/>
  <c r="H189" i="40"/>
  <c r="I54" i="40"/>
  <c r="H149" i="40"/>
  <c r="G237" i="40"/>
  <c r="H239" i="40"/>
  <c r="G230" i="40"/>
  <c r="G231" i="40"/>
  <c r="G232" i="40"/>
  <c r="I185" i="40"/>
  <c r="I186" i="40"/>
  <c r="G200" i="40"/>
  <c r="G201" i="40"/>
  <c r="G202" i="40"/>
  <c r="J76" i="40"/>
  <c r="I204" i="40"/>
  <c r="H180" i="40"/>
  <c r="H181" i="40"/>
  <c r="H182" i="40"/>
  <c r="G170" i="40"/>
  <c r="G171" i="40"/>
  <c r="G172" i="40"/>
  <c r="G167" i="40"/>
  <c r="H140" i="40"/>
  <c r="H141" i="40"/>
  <c r="I82" i="40"/>
  <c r="H219" i="40"/>
  <c r="H215" i="40"/>
  <c r="H216" i="40"/>
  <c r="H217" i="40"/>
  <c r="I48" i="40"/>
  <c r="H134" i="40"/>
  <c r="J88" i="40"/>
  <c r="I234" i="40"/>
  <c r="H124" i="40"/>
  <c r="I44" i="40"/>
  <c r="G190" i="40"/>
  <c r="G191" i="40"/>
  <c r="F202" i="40"/>
  <c r="G130" i="40"/>
  <c r="G131" i="40"/>
  <c r="G132" i="40"/>
  <c r="D46" i="33"/>
  <c r="D47" i="32"/>
  <c r="D42" i="32"/>
  <c r="D43" i="32"/>
  <c r="G29" i="41"/>
  <c r="F30" i="41"/>
  <c r="M65" i="41"/>
  <c r="L66" i="41"/>
  <c r="O275" i="40"/>
  <c r="O276" i="40"/>
  <c r="O277" i="40"/>
  <c r="I249" i="40"/>
  <c r="I250" i="40"/>
  <c r="I251" i="40"/>
  <c r="I252" i="40"/>
  <c r="J94" i="40"/>
  <c r="H245" i="40"/>
  <c r="H246" i="40"/>
  <c r="H247" i="40"/>
  <c r="H250" i="40"/>
  <c r="H251" i="40"/>
  <c r="H252" i="40"/>
  <c r="I284" i="40"/>
  <c r="I285" i="40"/>
  <c r="I286" i="40"/>
  <c r="I287" i="40"/>
  <c r="J108" i="40"/>
  <c r="N280" i="40"/>
  <c r="N281" i="40"/>
  <c r="N282" i="40"/>
  <c r="I289" i="40"/>
  <c r="I290" i="40"/>
  <c r="I291" i="40"/>
  <c r="I292" i="40"/>
  <c r="J110" i="40"/>
  <c r="P260" i="40"/>
  <c r="P261" i="40"/>
  <c r="P262" i="40"/>
  <c r="I244" i="40"/>
  <c r="I245" i="40"/>
  <c r="I246" i="40"/>
  <c r="I247" i="40"/>
  <c r="J92" i="40"/>
  <c r="I264" i="40"/>
  <c r="I265" i="40"/>
  <c r="I266" i="40"/>
  <c r="I267" i="40"/>
  <c r="J100" i="40"/>
  <c r="H290" i="40"/>
  <c r="H291" i="40"/>
  <c r="H292" i="40"/>
  <c r="I269" i="40"/>
  <c r="I270" i="40"/>
  <c r="I271" i="40"/>
  <c r="I272" i="40"/>
  <c r="J102" i="40"/>
  <c r="Q98" i="40"/>
  <c r="Q259" i="40"/>
  <c r="Q260" i="40"/>
  <c r="Q261" i="40"/>
  <c r="Q262" i="40"/>
  <c r="O106" i="40"/>
  <c r="O279" i="40"/>
  <c r="P104" i="40"/>
  <c r="P274" i="40"/>
  <c r="P275" i="40"/>
  <c r="P276" i="40"/>
  <c r="P277" i="40"/>
  <c r="P96" i="40"/>
  <c r="P254" i="40"/>
  <c r="P255" i="40"/>
  <c r="P256" i="40"/>
  <c r="P257" i="40"/>
  <c r="L90" i="40"/>
  <c r="I235" i="40"/>
  <c r="I236" i="40"/>
  <c r="I237" i="40"/>
  <c r="J48" i="40"/>
  <c r="I134" i="40"/>
  <c r="J70" i="40"/>
  <c r="I189" i="40"/>
  <c r="J78" i="40"/>
  <c r="I209" i="40"/>
  <c r="H120" i="40"/>
  <c r="H121" i="40"/>
  <c r="H122" i="40"/>
  <c r="I115" i="40"/>
  <c r="I116" i="40"/>
  <c r="I117" i="40"/>
  <c r="H230" i="40"/>
  <c r="H231" i="40"/>
  <c r="I140" i="40"/>
  <c r="I141" i="40"/>
  <c r="J46" i="40"/>
  <c r="I129" i="40"/>
  <c r="H160" i="40"/>
  <c r="H161" i="40"/>
  <c r="K40" i="40"/>
  <c r="J114" i="40"/>
  <c r="J185" i="40"/>
  <c r="J186" i="40"/>
  <c r="J187" i="40"/>
  <c r="I215" i="40"/>
  <c r="I216" i="40"/>
  <c r="K88" i="40"/>
  <c r="J234" i="40"/>
  <c r="J82" i="40"/>
  <c r="I219" i="40"/>
  <c r="I205" i="40"/>
  <c r="I206" i="40"/>
  <c r="H190" i="40"/>
  <c r="H191" i="40"/>
  <c r="L72" i="40"/>
  <c r="K194" i="40"/>
  <c r="H210" i="40"/>
  <c r="H211" i="40"/>
  <c r="H212" i="40"/>
  <c r="J56" i="40"/>
  <c r="I154" i="40"/>
  <c r="J62" i="40"/>
  <c r="I169" i="40"/>
  <c r="H200" i="40"/>
  <c r="H201" i="40"/>
  <c r="H202" i="40"/>
  <c r="J86" i="40"/>
  <c r="I229" i="40"/>
  <c r="I165" i="40"/>
  <c r="I166" i="40"/>
  <c r="G242" i="40"/>
  <c r="H220" i="40"/>
  <c r="H221" i="40"/>
  <c r="H222" i="40"/>
  <c r="K76" i="40"/>
  <c r="J204" i="40"/>
  <c r="J54" i="40"/>
  <c r="I149" i="40"/>
  <c r="J195" i="40"/>
  <c r="J196" i="40"/>
  <c r="J52" i="40"/>
  <c r="I144" i="40"/>
  <c r="H170" i="40"/>
  <c r="H171" i="40"/>
  <c r="K66" i="40"/>
  <c r="J179" i="40"/>
  <c r="J74" i="40"/>
  <c r="I199" i="40"/>
  <c r="K60" i="40"/>
  <c r="J164" i="40"/>
  <c r="J44" i="40"/>
  <c r="I124" i="40"/>
  <c r="I239" i="40"/>
  <c r="J175" i="40"/>
  <c r="J176" i="40"/>
  <c r="H155" i="40"/>
  <c r="H156" i="40"/>
  <c r="H157" i="40"/>
  <c r="J42" i="40"/>
  <c r="I119" i="40"/>
  <c r="I225" i="40"/>
  <c r="I226" i="40"/>
  <c r="I227" i="40"/>
  <c r="H125" i="40"/>
  <c r="H126" i="40"/>
  <c r="H127" i="40"/>
  <c r="G192" i="40"/>
  <c r="H135" i="40"/>
  <c r="H136" i="40"/>
  <c r="H137" i="40"/>
  <c r="H142" i="40"/>
  <c r="I187" i="40"/>
  <c r="H240" i="40"/>
  <c r="H241" i="40"/>
  <c r="H242" i="40"/>
  <c r="H150" i="40"/>
  <c r="H151" i="40"/>
  <c r="H152" i="40"/>
  <c r="G222" i="40"/>
  <c r="K50" i="40"/>
  <c r="J139" i="40"/>
  <c r="H130" i="40"/>
  <c r="H131" i="40"/>
  <c r="H132" i="40"/>
  <c r="L64" i="40"/>
  <c r="K174" i="40"/>
  <c r="J58" i="40"/>
  <c r="I159" i="40"/>
  <c r="H145" i="40"/>
  <c r="H146" i="40"/>
  <c r="H147" i="40"/>
  <c r="G212" i="40"/>
  <c r="K84" i="40"/>
  <c r="J224" i="40"/>
  <c r="I180" i="40"/>
  <c r="I181" i="40"/>
  <c r="I182" i="40"/>
  <c r="L68" i="40"/>
  <c r="K184" i="40"/>
  <c r="K80" i="40"/>
  <c r="J214" i="40"/>
  <c r="D46" i="35"/>
  <c r="D41" i="35"/>
  <c r="G30" i="41"/>
  <c r="F31" i="41"/>
  <c r="M66" i="41"/>
  <c r="L67" i="41"/>
  <c r="J244" i="40"/>
  <c r="K92" i="40"/>
  <c r="J289" i="40"/>
  <c r="K110" i="40"/>
  <c r="J284" i="40"/>
  <c r="K108" i="40"/>
  <c r="O280" i="40"/>
  <c r="O281" i="40"/>
  <c r="O282" i="40"/>
  <c r="J269" i="40"/>
  <c r="K102" i="40"/>
  <c r="J264" i="40"/>
  <c r="K100" i="40"/>
  <c r="J249" i="40"/>
  <c r="K94" i="40"/>
  <c r="P106" i="40"/>
  <c r="P279" i="40"/>
  <c r="P280" i="40"/>
  <c r="P281" i="40"/>
  <c r="P282" i="40"/>
  <c r="Q104" i="40"/>
  <c r="Q274" i="40"/>
  <c r="Q275" i="40"/>
  <c r="Q276" i="40"/>
  <c r="Q277" i="40"/>
  <c r="R98" i="40"/>
  <c r="R259" i="40"/>
  <c r="R260" i="40"/>
  <c r="R261" i="40"/>
  <c r="R262" i="40"/>
  <c r="Q96" i="40"/>
  <c r="Q254" i="40"/>
  <c r="Q255" i="40"/>
  <c r="Q256" i="40"/>
  <c r="Q257" i="40"/>
  <c r="M90" i="40"/>
  <c r="H162" i="40"/>
  <c r="J215" i="40"/>
  <c r="J216" i="40"/>
  <c r="J217" i="40"/>
  <c r="M68" i="40"/>
  <c r="L184" i="40"/>
  <c r="J225" i="40"/>
  <c r="J226" i="40"/>
  <c r="K58" i="40"/>
  <c r="J159" i="40"/>
  <c r="L50" i="40"/>
  <c r="K139" i="40"/>
  <c r="J165" i="40"/>
  <c r="J166" i="40"/>
  <c r="J167" i="40"/>
  <c r="K74" i="40"/>
  <c r="J199" i="40"/>
  <c r="K52" i="40"/>
  <c r="J144" i="40"/>
  <c r="I150" i="40"/>
  <c r="I151" i="40"/>
  <c r="I152" i="40"/>
  <c r="K86" i="40"/>
  <c r="J229" i="40"/>
  <c r="I170" i="40"/>
  <c r="I171" i="40"/>
  <c r="I172" i="40"/>
  <c r="K56" i="40"/>
  <c r="J154" i="40"/>
  <c r="K195" i="40"/>
  <c r="K196" i="40"/>
  <c r="K82" i="40"/>
  <c r="J219" i="40"/>
  <c r="L88" i="40"/>
  <c r="K234" i="40"/>
  <c r="K46" i="40"/>
  <c r="J129" i="40"/>
  <c r="I190" i="40"/>
  <c r="I191" i="40"/>
  <c r="I192" i="40"/>
  <c r="K48" i="40"/>
  <c r="J134" i="40"/>
  <c r="K175" i="40"/>
  <c r="K176" i="40"/>
  <c r="K42" i="40"/>
  <c r="J119" i="40"/>
  <c r="J177" i="40"/>
  <c r="I125" i="40"/>
  <c r="I126" i="40"/>
  <c r="I127" i="40"/>
  <c r="H172" i="40"/>
  <c r="L76" i="40"/>
  <c r="K204" i="40"/>
  <c r="I167" i="40"/>
  <c r="K62" i="40"/>
  <c r="J169" i="40"/>
  <c r="M72" i="40"/>
  <c r="L194" i="40"/>
  <c r="I207" i="40"/>
  <c r="I217" i="40"/>
  <c r="J115" i="40"/>
  <c r="J116" i="40"/>
  <c r="J117" i="40"/>
  <c r="I142" i="40"/>
  <c r="I210" i="40"/>
  <c r="I211" i="40"/>
  <c r="K70" i="40"/>
  <c r="J189" i="40"/>
  <c r="L80" i="40"/>
  <c r="K214" i="40"/>
  <c r="L84" i="40"/>
  <c r="K224" i="40"/>
  <c r="I160" i="40"/>
  <c r="I161" i="40"/>
  <c r="I162" i="40"/>
  <c r="M64" i="40"/>
  <c r="L174" i="40"/>
  <c r="J140" i="40"/>
  <c r="J141" i="40"/>
  <c r="J142" i="40"/>
  <c r="I240" i="40"/>
  <c r="I241" i="40"/>
  <c r="I242" i="40"/>
  <c r="K44" i="40"/>
  <c r="J124" i="40"/>
  <c r="L60" i="40"/>
  <c r="K164" i="40"/>
  <c r="J180" i="40"/>
  <c r="J181" i="40"/>
  <c r="K54" i="40"/>
  <c r="J149" i="40"/>
  <c r="J235" i="40"/>
  <c r="J236" i="40"/>
  <c r="I130" i="40"/>
  <c r="I131" i="40"/>
  <c r="I132" i="40"/>
  <c r="K78" i="40"/>
  <c r="J209" i="40"/>
  <c r="K185" i="40"/>
  <c r="K186" i="40"/>
  <c r="I120" i="40"/>
  <c r="I121" i="40"/>
  <c r="I122" i="40"/>
  <c r="J239" i="40"/>
  <c r="I200" i="40"/>
  <c r="I201" i="40"/>
  <c r="I202" i="40"/>
  <c r="L66" i="40"/>
  <c r="K179" i="40"/>
  <c r="I145" i="40"/>
  <c r="I146" i="40"/>
  <c r="I147" i="40"/>
  <c r="J197" i="40"/>
  <c r="J205" i="40"/>
  <c r="J206" i="40"/>
  <c r="J207" i="40"/>
  <c r="I230" i="40"/>
  <c r="I231" i="40"/>
  <c r="I232" i="40"/>
  <c r="I155" i="40"/>
  <c r="I156" i="40"/>
  <c r="I157" i="40"/>
  <c r="H192" i="40"/>
  <c r="I220" i="40"/>
  <c r="I221" i="40"/>
  <c r="I222" i="40"/>
  <c r="L40" i="40"/>
  <c r="K114" i="40"/>
  <c r="H232" i="40"/>
  <c r="I135" i="40"/>
  <c r="I136" i="40"/>
  <c r="I137" i="40"/>
  <c r="D51" i="37"/>
  <c r="G9" i="11"/>
  <c r="H9" i="11"/>
  <c r="I9" i="11"/>
  <c r="J9" i="11"/>
  <c r="K9" i="11"/>
  <c r="C250" i="11"/>
  <c r="E9" i="11"/>
  <c r="F9" i="11"/>
  <c r="D9" i="11"/>
  <c r="G6" i="9"/>
  <c r="G8" i="9"/>
  <c r="G9" i="9"/>
  <c r="G31" i="41"/>
  <c r="F32" i="41"/>
  <c r="M67" i="41"/>
  <c r="L68" i="41"/>
  <c r="L27" i="41"/>
  <c r="N27" i="41"/>
  <c r="O27" i="41"/>
  <c r="K264" i="40"/>
  <c r="L100" i="40"/>
  <c r="K289" i="40"/>
  <c r="K290" i="40"/>
  <c r="K291" i="40"/>
  <c r="K292" i="40"/>
  <c r="L110" i="40"/>
  <c r="J265" i="40"/>
  <c r="J266" i="40"/>
  <c r="J267" i="40"/>
  <c r="J290" i="40"/>
  <c r="J291" i="40"/>
  <c r="J292" i="40"/>
  <c r="K249" i="40"/>
  <c r="L94" i="40"/>
  <c r="K269" i="40"/>
  <c r="L102" i="40"/>
  <c r="K284" i="40"/>
  <c r="K285" i="40"/>
  <c r="K286" i="40"/>
  <c r="K287" i="40"/>
  <c r="L108" i="40"/>
  <c r="K244" i="40"/>
  <c r="L92" i="40"/>
  <c r="J250" i="40"/>
  <c r="J251" i="40"/>
  <c r="J252" i="40"/>
  <c r="J270" i="40"/>
  <c r="J271" i="40"/>
  <c r="J272" i="40"/>
  <c r="J285" i="40"/>
  <c r="J286" i="40"/>
  <c r="J287" i="40"/>
  <c r="J245" i="40"/>
  <c r="J246" i="40"/>
  <c r="J247" i="40"/>
  <c r="R104" i="40"/>
  <c r="R274" i="40"/>
  <c r="Q106" i="40"/>
  <c r="Q279" i="40"/>
  <c r="Q280" i="40"/>
  <c r="Q281" i="40"/>
  <c r="Q282" i="40"/>
  <c r="R96" i="40"/>
  <c r="R254" i="40"/>
  <c r="R255" i="40"/>
  <c r="R256" i="40"/>
  <c r="R257" i="40"/>
  <c r="S98" i="40"/>
  <c r="S259" i="40"/>
  <c r="N90" i="40"/>
  <c r="L44" i="40"/>
  <c r="K124" i="40"/>
  <c r="J120" i="40"/>
  <c r="J121" i="40"/>
  <c r="J122" i="40"/>
  <c r="J220" i="40"/>
  <c r="J221" i="40"/>
  <c r="J222" i="40"/>
  <c r="L52" i="40"/>
  <c r="K144" i="40"/>
  <c r="K239" i="40"/>
  <c r="J237" i="40"/>
  <c r="M60" i="40"/>
  <c r="L164" i="40"/>
  <c r="L175" i="40"/>
  <c r="L176" i="40"/>
  <c r="L177" i="40"/>
  <c r="L70" i="40"/>
  <c r="K189" i="40"/>
  <c r="K205" i="40"/>
  <c r="K206" i="40"/>
  <c r="J135" i="40"/>
  <c r="J136" i="40"/>
  <c r="J137" i="40"/>
  <c r="J155" i="40"/>
  <c r="J156" i="40"/>
  <c r="J157" i="40"/>
  <c r="L114" i="40"/>
  <c r="M40" i="40"/>
  <c r="K187" i="40"/>
  <c r="J150" i="40"/>
  <c r="J151" i="40"/>
  <c r="J152" i="40"/>
  <c r="J182" i="40"/>
  <c r="N64" i="40"/>
  <c r="M174" i="40"/>
  <c r="K225" i="40"/>
  <c r="K226" i="40"/>
  <c r="K227" i="40"/>
  <c r="M80" i="40"/>
  <c r="L214" i="40"/>
  <c r="L195" i="40"/>
  <c r="L196" i="40"/>
  <c r="L62" i="40"/>
  <c r="K169" i="40"/>
  <c r="M76" i="40"/>
  <c r="L204" i="40"/>
  <c r="L48" i="40"/>
  <c r="K134" i="40"/>
  <c r="J130" i="40"/>
  <c r="J131" i="40"/>
  <c r="J132" i="40"/>
  <c r="M88" i="40"/>
  <c r="L234" i="40"/>
  <c r="L56" i="40"/>
  <c r="K154" i="40"/>
  <c r="J230" i="40"/>
  <c r="J231" i="40"/>
  <c r="J200" i="40"/>
  <c r="J201" i="40"/>
  <c r="J160" i="40"/>
  <c r="J161" i="40"/>
  <c r="J162" i="40"/>
  <c r="J227" i="40"/>
  <c r="K115" i="40"/>
  <c r="K116" i="40"/>
  <c r="K117" i="40"/>
  <c r="M66" i="40"/>
  <c r="L179" i="40"/>
  <c r="J240" i="40"/>
  <c r="J241" i="40"/>
  <c r="J242" i="40"/>
  <c r="L78" i="40"/>
  <c r="K209" i="40"/>
  <c r="J190" i="40"/>
  <c r="J191" i="40"/>
  <c r="J192" i="40"/>
  <c r="M50" i="40"/>
  <c r="L139" i="40"/>
  <c r="N68" i="40"/>
  <c r="M184" i="40"/>
  <c r="K215" i="40"/>
  <c r="K216" i="40"/>
  <c r="K217" i="40"/>
  <c r="J170" i="40"/>
  <c r="J171" i="40"/>
  <c r="L42" i="40"/>
  <c r="K119" i="40"/>
  <c r="K235" i="40"/>
  <c r="K236" i="40"/>
  <c r="K237" i="40"/>
  <c r="L82" i="40"/>
  <c r="K219" i="40"/>
  <c r="J125" i="40"/>
  <c r="J126" i="40"/>
  <c r="J127" i="40"/>
  <c r="K180" i="40"/>
  <c r="K181" i="40"/>
  <c r="K182" i="40"/>
  <c r="J210" i="40"/>
  <c r="J211" i="40"/>
  <c r="L54" i="40"/>
  <c r="K149" i="40"/>
  <c r="K165" i="40"/>
  <c r="K166" i="40"/>
  <c r="M84" i="40"/>
  <c r="L224" i="40"/>
  <c r="I212" i="40"/>
  <c r="N72" i="40"/>
  <c r="M194" i="40"/>
  <c r="K177" i="40"/>
  <c r="L46" i="40"/>
  <c r="K129" i="40"/>
  <c r="K197" i="40"/>
  <c r="L86" i="40"/>
  <c r="K229" i="40"/>
  <c r="J145" i="40"/>
  <c r="J146" i="40"/>
  <c r="J147" i="40"/>
  <c r="L74" i="40"/>
  <c r="K199" i="40"/>
  <c r="K140" i="40"/>
  <c r="K141" i="40"/>
  <c r="K142" i="40"/>
  <c r="L58" i="40"/>
  <c r="K159" i="40"/>
  <c r="L185" i="40"/>
  <c r="L186" i="40"/>
  <c r="D46" i="37"/>
  <c r="G32" i="41"/>
  <c r="F33" i="41"/>
  <c r="M68" i="41"/>
  <c r="L69" i="41"/>
  <c r="L244" i="40"/>
  <c r="M92" i="40"/>
  <c r="L269" i="40"/>
  <c r="L270" i="40"/>
  <c r="L271" i="40"/>
  <c r="L272" i="40"/>
  <c r="M102" i="40"/>
  <c r="L289" i="40"/>
  <c r="L290" i="40"/>
  <c r="L291" i="40"/>
  <c r="L292" i="40"/>
  <c r="M110" i="40"/>
  <c r="K245" i="40"/>
  <c r="K246" i="40"/>
  <c r="K247" i="40"/>
  <c r="K270" i="40"/>
  <c r="K271" i="40"/>
  <c r="K272" i="40"/>
  <c r="R275" i="40"/>
  <c r="R276" i="40"/>
  <c r="R277" i="40"/>
  <c r="L284" i="40"/>
  <c r="M108" i="40"/>
  <c r="L249" i="40"/>
  <c r="L250" i="40"/>
  <c r="L251" i="40"/>
  <c r="L252" i="40"/>
  <c r="M94" i="40"/>
  <c r="L264" i="40"/>
  <c r="L265" i="40"/>
  <c r="L266" i="40"/>
  <c r="L267" i="40"/>
  <c r="M100" i="40"/>
  <c r="S260" i="40"/>
  <c r="S261" i="40"/>
  <c r="S262" i="40"/>
  <c r="K250" i="40"/>
  <c r="K251" i="40"/>
  <c r="K252" i="40"/>
  <c r="K265" i="40"/>
  <c r="K266" i="40"/>
  <c r="K267" i="40"/>
  <c r="S96" i="40"/>
  <c r="S254" i="40"/>
  <c r="S104" i="40"/>
  <c r="S274" i="40"/>
  <c r="S275" i="40"/>
  <c r="S276" i="40"/>
  <c r="S277" i="40"/>
  <c r="T98" i="40"/>
  <c r="T259" i="40"/>
  <c r="R106" i="40"/>
  <c r="R279" i="40"/>
  <c r="O90" i="40"/>
  <c r="K150" i="40"/>
  <c r="K151" i="40"/>
  <c r="K152" i="40"/>
  <c r="M56" i="40"/>
  <c r="L154" i="40"/>
  <c r="M48" i="40"/>
  <c r="L134" i="40"/>
  <c r="M70" i="40"/>
  <c r="L189" i="40"/>
  <c r="M52" i="40"/>
  <c r="L144" i="40"/>
  <c r="K160" i="40"/>
  <c r="K161" i="40"/>
  <c r="M86" i="40"/>
  <c r="L229" i="40"/>
  <c r="K220" i="40"/>
  <c r="K221" i="40"/>
  <c r="L235" i="40"/>
  <c r="L236" i="40"/>
  <c r="L237" i="40"/>
  <c r="L205" i="40"/>
  <c r="L206" i="40"/>
  <c r="L207" i="40"/>
  <c r="K207" i="40"/>
  <c r="L239" i="40"/>
  <c r="K125" i="40"/>
  <c r="K126" i="40"/>
  <c r="K127" i="40"/>
  <c r="M58" i="40"/>
  <c r="L159" i="40"/>
  <c r="K120" i="40"/>
  <c r="K121" i="40"/>
  <c r="K122" i="40"/>
  <c r="J172" i="40"/>
  <c r="N50" i="40"/>
  <c r="M139" i="40"/>
  <c r="L180" i="40"/>
  <c r="L181" i="40"/>
  <c r="L182" i="40"/>
  <c r="K155" i="40"/>
  <c r="K156" i="40"/>
  <c r="N88" i="40"/>
  <c r="M234" i="40"/>
  <c r="K135" i="40"/>
  <c r="K136" i="40"/>
  <c r="K137" i="40"/>
  <c r="N76" i="40"/>
  <c r="M204" i="40"/>
  <c r="M62" i="40"/>
  <c r="L169" i="40"/>
  <c r="N80" i="40"/>
  <c r="M214" i="40"/>
  <c r="M175" i="40"/>
  <c r="M176" i="40"/>
  <c r="M177" i="40"/>
  <c r="N40" i="40"/>
  <c r="M114" i="40"/>
  <c r="K190" i="40"/>
  <c r="K191" i="40"/>
  <c r="K145" i="40"/>
  <c r="K146" i="40"/>
  <c r="K147" i="40"/>
  <c r="M74" i="40"/>
  <c r="L199" i="40"/>
  <c r="M46" i="40"/>
  <c r="L129" i="40"/>
  <c r="N84" i="40"/>
  <c r="M224" i="40"/>
  <c r="L140" i="40"/>
  <c r="L141" i="40"/>
  <c r="L142" i="40"/>
  <c r="N66" i="40"/>
  <c r="M179" i="40"/>
  <c r="K170" i="40"/>
  <c r="K171" i="40"/>
  <c r="N60" i="40"/>
  <c r="M164" i="40"/>
  <c r="O72" i="40"/>
  <c r="N194" i="40"/>
  <c r="M54" i="40"/>
  <c r="L149" i="40"/>
  <c r="M185" i="40"/>
  <c r="M186" i="40"/>
  <c r="M187" i="40"/>
  <c r="K210" i="40"/>
  <c r="K211" i="40"/>
  <c r="J232" i="40"/>
  <c r="L215" i="40"/>
  <c r="L216" i="40"/>
  <c r="L217" i="40"/>
  <c r="K200" i="40"/>
  <c r="K201" i="40"/>
  <c r="L187" i="40"/>
  <c r="K230" i="40"/>
  <c r="K231" i="40"/>
  <c r="K232" i="40"/>
  <c r="K130" i="40"/>
  <c r="K131" i="40"/>
  <c r="K132" i="40"/>
  <c r="M195" i="40"/>
  <c r="M196" i="40"/>
  <c r="M197" i="40"/>
  <c r="L225" i="40"/>
  <c r="L226" i="40"/>
  <c r="L227" i="40"/>
  <c r="K167" i="40"/>
  <c r="J212" i="40"/>
  <c r="M82" i="40"/>
  <c r="L219" i="40"/>
  <c r="M42" i="40"/>
  <c r="L119" i="40"/>
  <c r="O68" i="40"/>
  <c r="N184" i="40"/>
  <c r="M78" i="40"/>
  <c r="L209" i="40"/>
  <c r="J202" i="40"/>
  <c r="L197" i="40"/>
  <c r="O64" i="40"/>
  <c r="N174" i="40"/>
  <c r="L115" i="40"/>
  <c r="L116" i="40"/>
  <c r="L117" i="40"/>
  <c r="L165" i="40"/>
  <c r="L166" i="40"/>
  <c r="K240" i="40"/>
  <c r="K241" i="40"/>
  <c r="M44" i="40"/>
  <c r="L124" i="40"/>
  <c r="I70" i="37"/>
  <c r="J70" i="37"/>
  <c r="M57" i="37"/>
  <c r="L58" i="37"/>
  <c r="M58" i="37"/>
  <c r="J71" i="37"/>
  <c r="H72" i="37"/>
  <c r="H73" i="37"/>
  <c r="H74" i="37"/>
  <c r="H75" i="37"/>
  <c r="H76" i="37"/>
  <c r="H77" i="37"/>
  <c r="H78" i="37"/>
  <c r="H79" i="37"/>
  <c r="H80" i="37"/>
  <c r="H81" i="37"/>
  <c r="J58" i="37"/>
  <c r="K58" i="37"/>
  <c r="J59" i="37"/>
  <c r="K59" i="37"/>
  <c r="J60" i="37"/>
  <c r="K60" i="37"/>
  <c r="J61" i="37"/>
  <c r="K61" i="37"/>
  <c r="J62" i="37"/>
  <c r="K62" i="37"/>
  <c r="J63" i="37"/>
  <c r="K63" i="37"/>
  <c r="J64" i="37"/>
  <c r="K64" i="37"/>
  <c r="J65" i="37"/>
  <c r="K65" i="37"/>
  <c r="J66" i="37"/>
  <c r="K66" i="37"/>
  <c r="J67" i="37"/>
  <c r="K67" i="37"/>
  <c r="J68" i="37"/>
  <c r="K68" i="37"/>
  <c r="J69" i="37"/>
  <c r="K69" i="37"/>
  <c r="J57" i="37"/>
  <c r="K57" i="37"/>
  <c r="I71" i="37"/>
  <c r="G33" i="41"/>
  <c r="F34" i="41"/>
  <c r="L70" i="41"/>
  <c r="M69" i="41"/>
  <c r="L29" i="41"/>
  <c r="N29" i="41"/>
  <c r="O29" i="41"/>
  <c r="M249" i="40"/>
  <c r="M250" i="40"/>
  <c r="M251" i="40"/>
  <c r="M252" i="40"/>
  <c r="N94" i="40"/>
  <c r="M269" i="40"/>
  <c r="M270" i="40"/>
  <c r="M271" i="40"/>
  <c r="M272" i="40"/>
  <c r="N102" i="40"/>
  <c r="T260" i="40"/>
  <c r="T261" i="40"/>
  <c r="T262" i="40"/>
  <c r="M264" i="40"/>
  <c r="M265" i="40"/>
  <c r="M266" i="40"/>
  <c r="M267" i="40"/>
  <c r="N100" i="40"/>
  <c r="M284" i="40"/>
  <c r="M285" i="40"/>
  <c r="M286" i="40"/>
  <c r="M287" i="40"/>
  <c r="N108" i="40"/>
  <c r="M289" i="40"/>
  <c r="N110" i="40"/>
  <c r="M244" i="40"/>
  <c r="M245" i="40"/>
  <c r="M246" i="40"/>
  <c r="M247" i="40"/>
  <c r="N92" i="40"/>
  <c r="R280" i="40"/>
  <c r="R281" i="40"/>
  <c r="R282" i="40"/>
  <c r="S255" i="40"/>
  <c r="S256" i="40"/>
  <c r="S257" i="40"/>
  <c r="L285" i="40"/>
  <c r="L286" i="40"/>
  <c r="L287" i="40"/>
  <c r="L245" i="40"/>
  <c r="L246" i="40"/>
  <c r="L247" i="40"/>
  <c r="T104" i="40"/>
  <c r="T274" i="40"/>
  <c r="T275" i="40"/>
  <c r="T276" i="40"/>
  <c r="T277" i="40"/>
  <c r="S106" i="40"/>
  <c r="S279" i="40"/>
  <c r="U98" i="40"/>
  <c r="U259" i="40"/>
  <c r="U260" i="40"/>
  <c r="U261" i="40"/>
  <c r="U262" i="40"/>
  <c r="T96" i="40"/>
  <c r="T254" i="40"/>
  <c r="P90" i="40"/>
  <c r="L210" i="40"/>
  <c r="L211" i="40"/>
  <c r="L212" i="40"/>
  <c r="M225" i="40"/>
  <c r="M226" i="40"/>
  <c r="N74" i="40"/>
  <c r="M199" i="40"/>
  <c r="O80" i="40"/>
  <c r="N214" i="40"/>
  <c r="M205" i="40"/>
  <c r="M206" i="40"/>
  <c r="M207" i="40"/>
  <c r="M140" i="40"/>
  <c r="M141" i="40"/>
  <c r="M142" i="40"/>
  <c r="N58" i="40"/>
  <c r="M159" i="40"/>
  <c r="P68" i="40"/>
  <c r="O184" i="40"/>
  <c r="K212" i="40"/>
  <c r="P72" i="40"/>
  <c r="O194" i="40"/>
  <c r="L170" i="40"/>
  <c r="L171" i="40"/>
  <c r="L172" i="40"/>
  <c r="L190" i="40"/>
  <c r="L191" i="40"/>
  <c r="L192" i="40"/>
  <c r="K242" i="40"/>
  <c r="N78" i="40"/>
  <c r="M209" i="40"/>
  <c r="M165" i="40"/>
  <c r="M166" i="40"/>
  <c r="M167" i="40"/>
  <c r="K172" i="40"/>
  <c r="O84" i="40"/>
  <c r="N224" i="40"/>
  <c r="L200" i="40"/>
  <c r="L201" i="40"/>
  <c r="L202" i="40"/>
  <c r="O40" i="40"/>
  <c r="N114" i="40"/>
  <c r="M215" i="40"/>
  <c r="M216" i="40"/>
  <c r="O76" i="40"/>
  <c r="N204" i="40"/>
  <c r="O50" i="40"/>
  <c r="N139" i="40"/>
  <c r="L160" i="40"/>
  <c r="L161" i="40"/>
  <c r="L145" i="40"/>
  <c r="L146" i="40"/>
  <c r="L147" i="40"/>
  <c r="N48" i="40"/>
  <c r="M134" i="40"/>
  <c r="N44" i="40"/>
  <c r="M124" i="40"/>
  <c r="N42" i="40"/>
  <c r="M119" i="40"/>
  <c r="L150" i="40"/>
  <c r="L151" i="40"/>
  <c r="L152" i="40"/>
  <c r="O66" i="40"/>
  <c r="N179" i="40"/>
  <c r="L135" i="40"/>
  <c r="L136" i="40"/>
  <c r="L137" i="40"/>
  <c r="N56" i="40"/>
  <c r="M154" i="40"/>
  <c r="P64" i="40"/>
  <c r="O174" i="40"/>
  <c r="L220" i="40"/>
  <c r="L221" i="40"/>
  <c r="N54" i="40"/>
  <c r="M149" i="40"/>
  <c r="N46" i="40"/>
  <c r="M129" i="40"/>
  <c r="M115" i="40"/>
  <c r="M116" i="40"/>
  <c r="M117" i="40"/>
  <c r="M235" i="40"/>
  <c r="M236" i="40"/>
  <c r="K157" i="40"/>
  <c r="M239" i="40"/>
  <c r="L230" i="40"/>
  <c r="L231" i="40"/>
  <c r="K162" i="40"/>
  <c r="L125" i="40"/>
  <c r="L126" i="40"/>
  <c r="L127" i="40"/>
  <c r="L120" i="40"/>
  <c r="L121" i="40"/>
  <c r="L122" i="40"/>
  <c r="L167" i="40"/>
  <c r="N175" i="40"/>
  <c r="N176" i="40"/>
  <c r="N177" i="40"/>
  <c r="N185" i="40"/>
  <c r="N186" i="40"/>
  <c r="N187" i="40"/>
  <c r="N82" i="40"/>
  <c r="M219" i="40"/>
  <c r="K202" i="40"/>
  <c r="N195" i="40"/>
  <c r="N196" i="40"/>
  <c r="N197" i="40"/>
  <c r="O60" i="40"/>
  <c r="N164" i="40"/>
  <c r="M180" i="40"/>
  <c r="M181" i="40"/>
  <c r="M182" i="40"/>
  <c r="L130" i="40"/>
  <c r="L131" i="40"/>
  <c r="L132" i="40"/>
  <c r="K192" i="40"/>
  <c r="N62" i="40"/>
  <c r="M169" i="40"/>
  <c r="O88" i="40"/>
  <c r="N234" i="40"/>
  <c r="L240" i="40"/>
  <c r="L241" i="40"/>
  <c r="K222" i="40"/>
  <c r="N86" i="40"/>
  <c r="M229" i="40"/>
  <c r="N52" i="40"/>
  <c r="M144" i="40"/>
  <c r="N70" i="40"/>
  <c r="M189" i="40"/>
  <c r="L155" i="40"/>
  <c r="L156" i="40"/>
  <c r="L157" i="40"/>
  <c r="L59" i="37"/>
  <c r="K70" i="37"/>
  <c r="K71" i="37"/>
  <c r="G34" i="41"/>
  <c r="F35" i="41"/>
  <c r="L30" i="41"/>
  <c r="N30" i="41"/>
  <c r="O30" i="41"/>
  <c r="L71" i="41"/>
  <c r="M70" i="41"/>
  <c r="T255" i="40"/>
  <c r="T256" i="40"/>
  <c r="T257" i="40"/>
  <c r="S280" i="40"/>
  <c r="S281" i="40"/>
  <c r="S282" i="40"/>
  <c r="N289" i="40"/>
  <c r="N290" i="40"/>
  <c r="N291" i="40"/>
  <c r="N292" i="40"/>
  <c r="O110" i="40"/>
  <c r="N264" i="40"/>
  <c r="O100" i="40"/>
  <c r="N269" i="40"/>
  <c r="O102" i="40"/>
  <c r="M290" i="40"/>
  <c r="M291" i="40"/>
  <c r="M292" i="40"/>
  <c r="N244" i="40"/>
  <c r="O92" i="40"/>
  <c r="N284" i="40"/>
  <c r="O108" i="40"/>
  <c r="N249" i="40"/>
  <c r="N250" i="40"/>
  <c r="N251" i="40"/>
  <c r="N252" i="40"/>
  <c r="O94" i="40"/>
  <c r="U104" i="40"/>
  <c r="U274" i="40"/>
  <c r="U275" i="40"/>
  <c r="U276" i="40"/>
  <c r="U277" i="40"/>
  <c r="U96" i="40"/>
  <c r="U254" i="40"/>
  <c r="U255" i="40"/>
  <c r="U256" i="40"/>
  <c r="U257" i="40"/>
  <c r="T106" i="40"/>
  <c r="T279" i="40"/>
  <c r="V98" i="40"/>
  <c r="V259" i="40"/>
  <c r="V260" i="40"/>
  <c r="V261" i="40"/>
  <c r="V262" i="40"/>
  <c r="Q90" i="40"/>
  <c r="O70" i="40"/>
  <c r="N189" i="40"/>
  <c r="O62" i="40"/>
  <c r="N169" i="40"/>
  <c r="P60" i="40"/>
  <c r="O164" i="40"/>
  <c r="M220" i="40"/>
  <c r="M221" i="40"/>
  <c r="M222" i="40"/>
  <c r="N239" i="40"/>
  <c r="O54" i="40"/>
  <c r="N149" i="40"/>
  <c r="P66" i="40"/>
  <c r="O179" i="40"/>
  <c r="M120" i="40"/>
  <c r="M121" i="40"/>
  <c r="M122" i="40"/>
  <c r="O44" i="40"/>
  <c r="N124" i="40"/>
  <c r="N205" i="40"/>
  <c r="N206" i="40"/>
  <c r="P84" i="40"/>
  <c r="O224" i="40"/>
  <c r="M210" i="40"/>
  <c r="M211" i="40"/>
  <c r="O195" i="40"/>
  <c r="O196" i="40"/>
  <c r="O197" i="40"/>
  <c r="O185" i="40"/>
  <c r="O186" i="40"/>
  <c r="O187" i="40"/>
  <c r="P80" i="40"/>
  <c r="O214" i="40"/>
  <c r="M230" i="40"/>
  <c r="M231" i="40"/>
  <c r="L242" i="40"/>
  <c r="P88" i="40"/>
  <c r="O234" i="40"/>
  <c r="O82" i="40"/>
  <c r="N219" i="40"/>
  <c r="L232" i="40"/>
  <c r="O46" i="40"/>
  <c r="N129" i="40"/>
  <c r="L222" i="40"/>
  <c r="Q64" i="40"/>
  <c r="P174" i="40"/>
  <c r="N140" i="40"/>
  <c r="N141" i="40"/>
  <c r="N115" i="40"/>
  <c r="N116" i="40"/>
  <c r="N117" i="40"/>
  <c r="O78" i="40"/>
  <c r="N209" i="40"/>
  <c r="Q72" i="40"/>
  <c r="P194" i="40"/>
  <c r="Q68" i="40"/>
  <c r="P184" i="40"/>
  <c r="O58" i="40"/>
  <c r="N159" i="40"/>
  <c r="M200" i="40"/>
  <c r="M201" i="40"/>
  <c r="M202" i="40"/>
  <c r="M227" i="40"/>
  <c r="M145" i="40"/>
  <c r="M146" i="40"/>
  <c r="M147" i="40"/>
  <c r="O86" i="40"/>
  <c r="N229" i="40"/>
  <c r="M170" i="40"/>
  <c r="M171" i="40"/>
  <c r="M172" i="40"/>
  <c r="N165" i="40"/>
  <c r="N166" i="40"/>
  <c r="N167" i="40"/>
  <c r="M150" i="40"/>
  <c r="M151" i="40"/>
  <c r="M152" i="40"/>
  <c r="M155" i="40"/>
  <c r="M156" i="40"/>
  <c r="M157" i="40"/>
  <c r="O42" i="40"/>
  <c r="N119" i="40"/>
  <c r="M135" i="40"/>
  <c r="M136" i="40"/>
  <c r="M137" i="40"/>
  <c r="P50" i="40"/>
  <c r="O139" i="40"/>
  <c r="P76" i="40"/>
  <c r="O204" i="40"/>
  <c r="P40" i="40"/>
  <c r="O114" i="40"/>
  <c r="N225" i="40"/>
  <c r="N226" i="40"/>
  <c r="N215" i="40"/>
  <c r="N216" i="40"/>
  <c r="N217" i="40"/>
  <c r="O74" i="40"/>
  <c r="N199" i="40"/>
  <c r="M190" i="40"/>
  <c r="M191" i="40"/>
  <c r="O52" i="40"/>
  <c r="N144" i="40"/>
  <c r="N235" i="40"/>
  <c r="N236" i="40"/>
  <c r="M240" i="40"/>
  <c r="M241" i="40"/>
  <c r="M242" i="40"/>
  <c r="M237" i="40"/>
  <c r="M130" i="40"/>
  <c r="M131" i="40"/>
  <c r="M132" i="40"/>
  <c r="O175" i="40"/>
  <c r="O176" i="40"/>
  <c r="O177" i="40"/>
  <c r="O56" i="40"/>
  <c r="N154" i="40"/>
  <c r="N180" i="40"/>
  <c r="N181" i="40"/>
  <c r="M125" i="40"/>
  <c r="M126" i="40"/>
  <c r="M127" i="40"/>
  <c r="O48" i="40"/>
  <c r="N134" i="40"/>
  <c r="L162" i="40"/>
  <c r="M217" i="40"/>
  <c r="M160" i="40"/>
  <c r="M161" i="40"/>
  <c r="L60" i="37"/>
  <c r="M59" i="37"/>
  <c r="E8" i="11"/>
  <c r="F8" i="11"/>
  <c r="G8" i="11"/>
  <c r="H8" i="11"/>
  <c r="I8" i="11"/>
  <c r="J8" i="11"/>
  <c r="K8" i="11"/>
  <c r="C249" i="11"/>
  <c r="D3" i="11"/>
  <c r="D4" i="11"/>
  <c r="D5" i="11"/>
  <c r="D6" i="11"/>
  <c r="D7" i="11"/>
  <c r="D8" i="11"/>
  <c r="G35" i="41"/>
  <c r="F36" i="41"/>
  <c r="L72" i="41"/>
  <c r="M71" i="41"/>
  <c r="O284" i="40"/>
  <c r="P108" i="40"/>
  <c r="O264" i="40"/>
  <c r="P100" i="40"/>
  <c r="T280" i="40"/>
  <c r="T281" i="40"/>
  <c r="T282" i="40"/>
  <c r="N285" i="40"/>
  <c r="N286" i="40"/>
  <c r="N287" i="40"/>
  <c r="N265" i="40"/>
  <c r="N266" i="40"/>
  <c r="N267" i="40"/>
  <c r="O249" i="40"/>
  <c r="P94" i="40"/>
  <c r="O244" i="40"/>
  <c r="P92" i="40"/>
  <c r="O269" i="40"/>
  <c r="P102" i="40"/>
  <c r="O289" i="40"/>
  <c r="P110" i="40"/>
  <c r="N245" i="40"/>
  <c r="N246" i="40"/>
  <c r="N247" i="40"/>
  <c r="N270" i="40"/>
  <c r="N271" i="40"/>
  <c r="N272" i="40"/>
  <c r="V104" i="40"/>
  <c r="V274" i="40"/>
  <c r="W98" i="40"/>
  <c r="W259" i="40"/>
  <c r="U106" i="40"/>
  <c r="U279" i="40"/>
  <c r="U280" i="40"/>
  <c r="U281" i="40"/>
  <c r="U282" i="40"/>
  <c r="V96" i="40"/>
  <c r="V254" i="40"/>
  <c r="R90" i="40"/>
  <c r="M212" i="40"/>
  <c r="N155" i="40"/>
  <c r="N156" i="40"/>
  <c r="N157" i="40"/>
  <c r="P52" i="40"/>
  <c r="O144" i="40"/>
  <c r="P74" i="40"/>
  <c r="O199" i="40"/>
  <c r="Q40" i="40"/>
  <c r="P114" i="40"/>
  <c r="O140" i="40"/>
  <c r="O141" i="40"/>
  <c r="N230" i="40"/>
  <c r="N231" i="40"/>
  <c r="N160" i="40"/>
  <c r="N161" i="40"/>
  <c r="R68" i="40"/>
  <c r="Q184" i="40"/>
  <c r="P175" i="40"/>
  <c r="P176" i="40"/>
  <c r="P177" i="40"/>
  <c r="N130" i="40"/>
  <c r="N131" i="40"/>
  <c r="N132" i="40"/>
  <c r="N220" i="40"/>
  <c r="N221" i="40"/>
  <c r="N222" i="40"/>
  <c r="Q88" i="40"/>
  <c r="P234" i="40"/>
  <c r="P44" i="40"/>
  <c r="O124" i="40"/>
  <c r="O180" i="40"/>
  <c r="O181" i="40"/>
  <c r="P54" i="40"/>
  <c r="O149" i="40"/>
  <c r="P48" i="40"/>
  <c r="O134" i="40"/>
  <c r="N182" i="40"/>
  <c r="N237" i="40"/>
  <c r="M192" i="40"/>
  <c r="N227" i="40"/>
  <c r="O205" i="40"/>
  <c r="O206" i="40"/>
  <c r="Q50" i="40"/>
  <c r="P139" i="40"/>
  <c r="N120" i="40"/>
  <c r="N121" i="40"/>
  <c r="N122" i="40"/>
  <c r="P86" i="40"/>
  <c r="O229" i="40"/>
  <c r="P58" i="40"/>
  <c r="O159" i="40"/>
  <c r="N210" i="40"/>
  <c r="N211" i="40"/>
  <c r="N212" i="40"/>
  <c r="R64" i="40"/>
  <c r="Q174" i="40"/>
  <c r="P82" i="40"/>
  <c r="O219" i="40"/>
  <c r="O215" i="40"/>
  <c r="O216" i="40"/>
  <c r="N207" i="40"/>
  <c r="Q60" i="40"/>
  <c r="P164" i="40"/>
  <c r="N190" i="40"/>
  <c r="N191" i="40"/>
  <c r="N192" i="40"/>
  <c r="N145" i="40"/>
  <c r="N146" i="40"/>
  <c r="N147" i="40"/>
  <c r="O115" i="40"/>
  <c r="O116" i="40"/>
  <c r="O117" i="40"/>
  <c r="Q76" i="40"/>
  <c r="P204" i="40"/>
  <c r="P195" i="40"/>
  <c r="P196" i="40"/>
  <c r="P197" i="40"/>
  <c r="P78" i="40"/>
  <c r="O209" i="40"/>
  <c r="P46" i="40"/>
  <c r="O129" i="40"/>
  <c r="Q80" i="40"/>
  <c r="P214" i="40"/>
  <c r="O225" i="40"/>
  <c r="O226" i="40"/>
  <c r="Q66" i="40"/>
  <c r="P179" i="40"/>
  <c r="N240" i="40"/>
  <c r="N241" i="40"/>
  <c r="N242" i="40"/>
  <c r="N170" i="40"/>
  <c r="N171" i="40"/>
  <c r="P70" i="40"/>
  <c r="O189" i="40"/>
  <c r="M162" i="40"/>
  <c r="N135" i="40"/>
  <c r="N136" i="40"/>
  <c r="N137" i="40"/>
  <c r="P56" i="40"/>
  <c r="O154" i="40"/>
  <c r="N200" i="40"/>
  <c r="N201" i="40"/>
  <c r="P42" i="40"/>
  <c r="O119" i="40"/>
  <c r="P185" i="40"/>
  <c r="P186" i="40"/>
  <c r="P187" i="40"/>
  <c r="R72" i="40"/>
  <c r="Q194" i="40"/>
  <c r="N142" i="40"/>
  <c r="O235" i="40"/>
  <c r="O236" i="40"/>
  <c r="O237" i="40"/>
  <c r="M232" i="40"/>
  <c r="Q84" i="40"/>
  <c r="P224" i="40"/>
  <c r="N125" i="40"/>
  <c r="N126" i="40"/>
  <c r="N127" i="40"/>
  <c r="N150" i="40"/>
  <c r="N151" i="40"/>
  <c r="N152" i="40"/>
  <c r="O239" i="40"/>
  <c r="O165" i="40"/>
  <c r="O166" i="40"/>
  <c r="P62" i="40"/>
  <c r="O169" i="40"/>
  <c r="M60" i="37"/>
  <c r="L61" i="37"/>
  <c r="D37" i="33"/>
  <c r="D38" i="33"/>
  <c r="D39" i="33"/>
  <c r="D40" i="33"/>
  <c r="F37" i="41"/>
  <c r="G36" i="41"/>
  <c r="L73" i="41"/>
  <c r="M72" i="41"/>
  <c r="V255" i="40"/>
  <c r="V256" i="40"/>
  <c r="V257" i="40"/>
  <c r="P269" i="40"/>
  <c r="P270" i="40"/>
  <c r="P271" i="40"/>
  <c r="P272" i="40"/>
  <c r="Q102" i="40"/>
  <c r="P249" i="40"/>
  <c r="P250" i="40"/>
  <c r="P251" i="40"/>
  <c r="P252" i="40"/>
  <c r="Q94" i="40"/>
  <c r="P264" i="40"/>
  <c r="P265" i="40"/>
  <c r="P266" i="40"/>
  <c r="P267" i="40"/>
  <c r="Q100" i="40"/>
  <c r="O270" i="40"/>
  <c r="O271" i="40"/>
  <c r="O272" i="40"/>
  <c r="O250" i="40"/>
  <c r="O251" i="40"/>
  <c r="O252" i="40"/>
  <c r="O265" i="40"/>
  <c r="O266" i="40"/>
  <c r="O267" i="40"/>
  <c r="W260" i="40"/>
  <c r="W261" i="40"/>
  <c r="W262" i="40"/>
  <c r="P289" i="40"/>
  <c r="Q110" i="40"/>
  <c r="P244" i="40"/>
  <c r="Q92" i="40"/>
  <c r="P284" i="40"/>
  <c r="Q108" i="40"/>
  <c r="V275" i="40"/>
  <c r="V276" i="40"/>
  <c r="V277" i="40"/>
  <c r="O290" i="40"/>
  <c r="O291" i="40"/>
  <c r="O292" i="40"/>
  <c r="O245" i="40"/>
  <c r="O246" i="40"/>
  <c r="O247" i="40"/>
  <c r="O285" i="40"/>
  <c r="O286" i="40"/>
  <c r="O287" i="40"/>
  <c r="W96" i="40"/>
  <c r="W254" i="40"/>
  <c r="X98" i="40"/>
  <c r="X259" i="40"/>
  <c r="V106" i="40"/>
  <c r="V279" i="40"/>
  <c r="W104" i="40"/>
  <c r="W274" i="40"/>
  <c r="S90" i="40"/>
  <c r="P180" i="40"/>
  <c r="P181" i="40"/>
  <c r="P182" i="40"/>
  <c r="O130" i="40"/>
  <c r="O131" i="40"/>
  <c r="O132" i="40"/>
  <c r="Q86" i="40"/>
  <c r="P229" i="40"/>
  <c r="O135" i="40"/>
  <c r="O136" i="40"/>
  <c r="O137" i="40"/>
  <c r="O125" i="40"/>
  <c r="O126" i="40"/>
  <c r="O127" i="40"/>
  <c r="R88" i="40"/>
  <c r="Q234" i="40"/>
  <c r="O200" i="40"/>
  <c r="O201" i="40"/>
  <c r="O202" i="40"/>
  <c r="P239" i="40"/>
  <c r="Q56" i="40"/>
  <c r="P154" i="40"/>
  <c r="N172" i="40"/>
  <c r="P115" i="40"/>
  <c r="P116" i="40"/>
  <c r="P117" i="40"/>
  <c r="Q52" i="40"/>
  <c r="P144" i="40"/>
  <c r="O170" i="40"/>
  <c r="O171" i="40"/>
  <c r="O172" i="40"/>
  <c r="O167" i="40"/>
  <c r="P225" i="40"/>
  <c r="P226" i="40"/>
  <c r="O120" i="40"/>
  <c r="O121" i="40"/>
  <c r="O122" i="40"/>
  <c r="N202" i="40"/>
  <c r="R66" i="40"/>
  <c r="Q179" i="40"/>
  <c r="R80" i="40"/>
  <c r="Q214" i="40"/>
  <c r="R60" i="40"/>
  <c r="Q164" i="40"/>
  <c r="O217" i="40"/>
  <c r="Q175" i="40"/>
  <c r="Q176" i="40"/>
  <c r="Q177" i="40"/>
  <c r="O230" i="40"/>
  <c r="O231" i="40"/>
  <c r="O232" i="40"/>
  <c r="Q48" i="40"/>
  <c r="P134" i="40"/>
  <c r="Q44" i="40"/>
  <c r="P124" i="40"/>
  <c r="S68" i="40"/>
  <c r="R184" i="40"/>
  <c r="N232" i="40"/>
  <c r="R40" i="40"/>
  <c r="Q114" i="40"/>
  <c r="Q74" i="40"/>
  <c r="P199" i="40"/>
  <c r="P205" i="40"/>
  <c r="P206" i="40"/>
  <c r="P207" i="40"/>
  <c r="Q58" i="40"/>
  <c r="P159" i="40"/>
  <c r="R50" i="40"/>
  <c r="Q139" i="40"/>
  <c r="Q54" i="40"/>
  <c r="P149" i="40"/>
  <c r="Q185" i="40"/>
  <c r="Q186" i="40"/>
  <c r="Q187" i="40"/>
  <c r="Q195" i="40"/>
  <c r="Q196" i="40"/>
  <c r="O190" i="40"/>
  <c r="O191" i="40"/>
  <c r="P215" i="40"/>
  <c r="P216" i="40"/>
  <c r="Q46" i="40"/>
  <c r="P129" i="40"/>
  <c r="Q78" i="40"/>
  <c r="P209" i="40"/>
  <c r="R76" i="40"/>
  <c r="Q204" i="40"/>
  <c r="P165" i="40"/>
  <c r="P166" i="40"/>
  <c r="P167" i="40"/>
  <c r="Q82" i="40"/>
  <c r="P219" i="40"/>
  <c r="Q62" i="40"/>
  <c r="P169" i="40"/>
  <c r="O240" i="40"/>
  <c r="O241" i="40"/>
  <c r="R84" i="40"/>
  <c r="Q224" i="40"/>
  <c r="S72" i="40"/>
  <c r="R194" i="40"/>
  <c r="Q42" i="40"/>
  <c r="P119" i="40"/>
  <c r="O155" i="40"/>
  <c r="O156" i="40"/>
  <c r="Q70" i="40"/>
  <c r="P189" i="40"/>
  <c r="O227" i="40"/>
  <c r="O210" i="40"/>
  <c r="O211" i="40"/>
  <c r="O212" i="40"/>
  <c r="O220" i="40"/>
  <c r="O221" i="40"/>
  <c r="O222" i="40"/>
  <c r="S64" i="40"/>
  <c r="R174" i="40"/>
  <c r="O160" i="40"/>
  <c r="O161" i="40"/>
  <c r="P140" i="40"/>
  <c r="P141" i="40"/>
  <c r="P142" i="40"/>
  <c r="O207" i="40"/>
  <c r="O150" i="40"/>
  <c r="O151" i="40"/>
  <c r="O152" i="40"/>
  <c r="O182" i="40"/>
  <c r="P235" i="40"/>
  <c r="P236" i="40"/>
  <c r="P237" i="40"/>
  <c r="N162" i="40"/>
  <c r="O142" i="40"/>
  <c r="O145" i="40"/>
  <c r="O146" i="40"/>
  <c r="O147" i="40"/>
  <c r="L62" i="37"/>
  <c r="M61" i="37"/>
  <c r="A80" i="38"/>
  <c r="A81" i="38"/>
  <c r="A82" i="38"/>
  <c r="A83" i="38"/>
  <c r="A84" i="38"/>
  <c r="A85" i="38"/>
  <c r="A86" i="38"/>
  <c r="A87" i="38"/>
  <c r="A88" i="38"/>
  <c r="A89" i="38"/>
  <c r="A90" i="38"/>
  <c r="A91" i="38"/>
  <c r="A92" i="38"/>
  <c r="A93" i="38"/>
  <c r="A94" i="38"/>
  <c r="A95" i="38"/>
  <c r="A96" i="38"/>
  <c r="A97" i="38"/>
  <c r="A98" i="38"/>
  <c r="A99" i="38"/>
  <c r="A100" i="38"/>
  <c r="A101" i="38"/>
  <c r="A102" i="38"/>
  <c r="A103" i="38"/>
  <c r="A104" i="38"/>
  <c r="A105" i="38"/>
  <c r="A106" i="38"/>
  <c r="A107" i="38"/>
  <c r="A108" i="38"/>
  <c r="AF66" i="38"/>
  <c r="AF67" i="38"/>
  <c r="AF68" i="38"/>
  <c r="AF69" i="38"/>
  <c r="O56" i="38"/>
  <c r="R32" i="38"/>
  <c r="R65" i="38"/>
  <c r="R27" i="38"/>
  <c r="R60" i="38"/>
  <c r="R24" i="38"/>
  <c r="R57" i="38"/>
  <c r="R14" i="38"/>
  <c r="R47" i="38"/>
  <c r="R15" i="38"/>
  <c r="R48" i="38"/>
  <c r="R16" i="38"/>
  <c r="R49" i="38"/>
  <c r="R17" i="38"/>
  <c r="R50" i="38"/>
  <c r="R18" i="38"/>
  <c r="R51" i="38"/>
  <c r="R19" i="38"/>
  <c r="R52" i="38"/>
  <c r="R20" i="38"/>
  <c r="R53" i="38"/>
  <c r="R21" i="38"/>
  <c r="R54" i="38"/>
  <c r="R22" i="38"/>
  <c r="R55" i="38"/>
  <c r="R13" i="38"/>
  <c r="R46" i="38"/>
  <c r="Q42" i="38"/>
  <c r="Q75" i="38"/>
  <c r="Q37" i="38"/>
  <c r="Q70" i="38"/>
  <c r="Q32" i="38"/>
  <c r="Q65" i="38"/>
  <c r="Q27" i="38"/>
  <c r="Q60" i="38"/>
  <c r="Q24" i="38"/>
  <c r="Q57" i="38"/>
  <c r="Q14" i="38"/>
  <c r="Q47" i="38"/>
  <c r="Q15" i="38"/>
  <c r="Q48" i="38"/>
  <c r="Q16" i="38"/>
  <c r="Q49" i="38"/>
  <c r="Q17" i="38"/>
  <c r="Q50" i="38"/>
  <c r="Q18" i="38"/>
  <c r="Q51" i="38"/>
  <c r="Q19" i="38"/>
  <c r="Q52" i="38"/>
  <c r="Q20" i="38"/>
  <c r="Q53" i="38"/>
  <c r="Q21" i="38"/>
  <c r="Q54" i="38"/>
  <c r="Q22" i="38"/>
  <c r="Q55" i="38"/>
  <c r="Q13" i="38"/>
  <c r="Q46" i="38"/>
  <c r="P14" i="38"/>
  <c r="P47" i="38"/>
  <c r="P15" i="38"/>
  <c r="P48" i="38"/>
  <c r="P16" i="38"/>
  <c r="P49" i="38"/>
  <c r="P17" i="38"/>
  <c r="P50" i="38"/>
  <c r="P18" i="38"/>
  <c r="P51" i="38"/>
  <c r="P19" i="38"/>
  <c r="P52" i="38"/>
  <c r="P20" i="38"/>
  <c r="P53" i="38"/>
  <c r="P21" i="38"/>
  <c r="P54" i="38"/>
  <c r="P22" i="38"/>
  <c r="P55" i="38"/>
  <c r="P23" i="38"/>
  <c r="P56" i="38"/>
  <c r="P24" i="38"/>
  <c r="P57" i="38"/>
  <c r="P25" i="38"/>
  <c r="P58" i="38"/>
  <c r="P26" i="38"/>
  <c r="P59" i="38"/>
  <c r="P27" i="38"/>
  <c r="P60" i="38"/>
  <c r="P28" i="38"/>
  <c r="P61" i="38"/>
  <c r="P29" i="38"/>
  <c r="P62" i="38"/>
  <c r="P30" i="38"/>
  <c r="P63" i="38"/>
  <c r="P31" i="38"/>
  <c r="P64" i="38"/>
  <c r="P32" i="38"/>
  <c r="P65" i="38"/>
  <c r="P33" i="38"/>
  <c r="P66" i="38"/>
  <c r="P34" i="38"/>
  <c r="P67" i="38"/>
  <c r="P35" i="38"/>
  <c r="P68" i="38"/>
  <c r="P36" i="38"/>
  <c r="P69" i="38"/>
  <c r="P37" i="38"/>
  <c r="P70" i="38"/>
  <c r="P38" i="38"/>
  <c r="P71" i="38"/>
  <c r="P39" i="38"/>
  <c r="P72" i="38"/>
  <c r="P40" i="38"/>
  <c r="P73" i="38"/>
  <c r="P41" i="38"/>
  <c r="P74" i="38"/>
  <c r="P42" i="38"/>
  <c r="P75" i="38"/>
  <c r="P13" i="38"/>
  <c r="P46" i="38"/>
  <c r="Y46" i="38"/>
  <c r="O42" i="38"/>
  <c r="O75" i="38"/>
  <c r="O37" i="38"/>
  <c r="O70" i="38"/>
  <c r="O32" i="38"/>
  <c r="O65" i="38"/>
  <c r="O27" i="38"/>
  <c r="O60" i="38"/>
  <c r="O24" i="38"/>
  <c r="O57" i="38"/>
  <c r="O14" i="38"/>
  <c r="O47" i="38"/>
  <c r="O15" i="38"/>
  <c r="O48" i="38"/>
  <c r="O16" i="38"/>
  <c r="O49" i="38"/>
  <c r="O17" i="38"/>
  <c r="O50" i="38"/>
  <c r="O18" i="38"/>
  <c r="O51" i="38"/>
  <c r="O19" i="38"/>
  <c r="O52" i="38"/>
  <c r="O20" i="38"/>
  <c r="O53" i="38"/>
  <c r="O21" i="38"/>
  <c r="O54" i="38"/>
  <c r="O22" i="38"/>
  <c r="O55" i="38"/>
  <c r="O13" i="38"/>
  <c r="O46" i="38"/>
  <c r="N42" i="38"/>
  <c r="N75" i="38"/>
  <c r="N37" i="38"/>
  <c r="N70" i="38"/>
  <c r="N14" i="38"/>
  <c r="N47" i="38"/>
  <c r="N15" i="38"/>
  <c r="N48" i="38"/>
  <c r="N16" i="38"/>
  <c r="N49" i="38"/>
  <c r="N17" i="38"/>
  <c r="N50" i="38"/>
  <c r="N18" i="38"/>
  <c r="N51" i="38"/>
  <c r="N19" i="38"/>
  <c r="N52" i="38"/>
  <c r="N20" i="38"/>
  <c r="N53" i="38"/>
  <c r="N21" i="38"/>
  <c r="N54" i="38"/>
  <c r="N22" i="38"/>
  <c r="N55" i="38"/>
  <c r="N23" i="38"/>
  <c r="N56" i="38"/>
  <c r="N24" i="38"/>
  <c r="N57" i="38"/>
  <c r="N25" i="38"/>
  <c r="N58" i="38"/>
  <c r="N26" i="38"/>
  <c r="N59" i="38"/>
  <c r="N27" i="38"/>
  <c r="N60" i="38"/>
  <c r="N28" i="38"/>
  <c r="N61" i="38"/>
  <c r="N29" i="38"/>
  <c r="N62" i="38"/>
  <c r="N30" i="38"/>
  <c r="N63" i="38"/>
  <c r="N31" i="38"/>
  <c r="N64" i="38"/>
  <c r="N32" i="38"/>
  <c r="N65" i="38"/>
  <c r="N13" i="38"/>
  <c r="M37" i="38"/>
  <c r="M70" i="38"/>
  <c r="K37" i="38"/>
  <c r="K70" i="38"/>
  <c r="M42" i="38"/>
  <c r="M75" i="38"/>
  <c r="M14" i="38"/>
  <c r="M47" i="38"/>
  <c r="M15" i="38"/>
  <c r="M48" i="38"/>
  <c r="M16" i="38"/>
  <c r="M49" i="38"/>
  <c r="M17" i="38"/>
  <c r="M50" i="38"/>
  <c r="M18" i="38"/>
  <c r="M51" i="38"/>
  <c r="M19" i="38"/>
  <c r="M52" i="38"/>
  <c r="M20" i="38"/>
  <c r="M53" i="38"/>
  <c r="M21" i="38"/>
  <c r="M54" i="38"/>
  <c r="M22" i="38"/>
  <c r="M55" i="38"/>
  <c r="M23" i="38"/>
  <c r="M56" i="38"/>
  <c r="M24" i="38"/>
  <c r="M57" i="38"/>
  <c r="M25" i="38"/>
  <c r="M58" i="38"/>
  <c r="M26" i="38"/>
  <c r="M59" i="38"/>
  <c r="M27" i="38"/>
  <c r="M60" i="38"/>
  <c r="M28" i="38"/>
  <c r="M61" i="38"/>
  <c r="M29" i="38"/>
  <c r="M62" i="38"/>
  <c r="M30" i="38"/>
  <c r="M63" i="38"/>
  <c r="M31" i="38"/>
  <c r="M64" i="38"/>
  <c r="M32" i="38"/>
  <c r="M65" i="38"/>
  <c r="M13" i="38"/>
  <c r="L14" i="38"/>
  <c r="L47" i="38"/>
  <c r="L15" i="38"/>
  <c r="L48" i="38"/>
  <c r="L16" i="38"/>
  <c r="L49" i="38"/>
  <c r="L17" i="38"/>
  <c r="L50" i="38"/>
  <c r="L18" i="38"/>
  <c r="L51" i="38"/>
  <c r="L19" i="38"/>
  <c r="L52" i="38"/>
  <c r="L20" i="38"/>
  <c r="L53" i="38"/>
  <c r="L21" i="38"/>
  <c r="L54" i="38"/>
  <c r="L22" i="38"/>
  <c r="L55" i="38"/>
  <c r="L23" i="38"/>
  <c r="L56" i="38"/>
  <c r="L24" i="38"/>
  <c r="L57" i="38"/>
  <c r="L25" i="38"/>
  <c r="L58" i="38"/>
  <c r="L26" i="38"/>
  <c r="L59" i="38"/>
  <c r="L27" i="38"/>
  <c r="L60" i="38"/>
  <c r="L28" i="38"/>
  <c r="L61" i="38"/>
  <c r="L29" i="38"/>
  <c r="L62" i="38"/>
  <c r="L30" i="38"/>
  <c r="L63" i="38"/>
  <c r="L31" i="38"/>
  <c r="L64" i="38"/>
  <c r="L32" i="38"/>
  <c r="L65" i="38"/>
  <c r="L33" i="38"/>
  <c r="L66" i="38"/>
  <c r="L34" i="38"/>
  <c r="L67" i="38"/>
  <c r="L35" i="38"/>
  <c r="L68" i="38"/>
  <c r="L36" i="38"/>
  <c r="L69" i="38"/>
  <c r="L37" i="38"/>
  <c r="L70" i="38"/>
  <c r="L38" i="38"/>
  <c r="L71" i="38"/>
  <c r="L39" i="38"/>
  <c r="L72" i="38"/>
  <c r="L40" i="38"/>
  <c r="L73" i="38"/>
  <c r="L41" i="38"/>
  <c r="L74" i="38"/>
  <c r="L42" i="38"/>
  <c r="L75" i="38"/>
  <c r="L13" i="38"/>
  <c r="L46" i="38"/>
  <c r="K42" i="38"/>
  <c r="K75" i="38"/>
  <c r="K14" i="38"/>
  <c r="K47" i="38"/>
  <c r="K15" i="38"/>
  <c r="K48" i="38"/>
  <c r="K16" i="38"/>
  <c r="K49" i="38"/>
  <c r="K17" i="38"/>
  <c r="K50" i="38"/>
  <c r="K18" i="38"/>
  <c r="K51" i="38"/>
  <c r="K19" i="38"/>
  <c r="K52" i="38"/>
  <c r="K20" i="38"/>
  <c r="K53" i="38"/>
  <c r="K21" i="38"/>
  <c r="K54" i="38"/>
  <c r="K22" i="38"/>
  <c r="K55" i="38"/>
  <c r="K23" i="38"/>
  <c r="K56" i="38"/>
  <c r="K24" i="38"/>
  <c r="K57" i="38"/>
  <c r="K25" i="38"/>
  <c r="K58" i="38"/>
  <c r="K26" i="38"/>
  <c r="K59" i="38"/>
  <c r="K27" i="38"/>
  <c r="K60" i="38"/>
  <c r="K28" i="38"/>
  <c r="K61" i="38"/>
  <c r="K29" i="38"/>
  <c r="K62" i="38"/>
  <c r="K30" i="38"/>
  <c r="K63" i="38"/>
  <c r="K31" i="38"/>
  <c r="K64" i="38"/>
  <c r="K32" i="38"/>
  <c r="K65" i="38"/>
  <c r="K13" i="38"/>
  <c r="E53" i="38"/>
  <c r="E52" i="38"/>
  <c r="E51" i="38"/>
  <c r="E50" i="38"/>
  <c r="E49" i="38"/>
  <c r="E48" i="38"/>
  <c r="E47" i="38"/>
  <c r="E46" i="38"/>
  <c r="C48" i="38"/>
  <c r="C47" i="38"/>
  <c r="C46" i="38"/>
  <c r="I75" i="38"/>
  <c r="H75" i="38"/>
  <c r="G75" i="38"/>
  <c r="F75" i="38"/>
  <c r="E75" i="38"/>
  <c r="D75" i="38"/>
  <c r="C75" i="38"/>
  <c r="B75" i="38"/>
  <c r="I74" i="38"/>
  <c r="H74" i="38"/>
  <c r="G74" i="38"/>
  <c r="F74" i="38"/>
  <c r="E74" i="38"/>
  <c r="D74" i="38"/>
  <c r="C74" i="38"/>
  <c r="B74" i="38"/>
  <c r="I73" i="38"/>
  <c r="H73" i="38"/>
  <c r="G73" i="38"/>
  <c r="F73" i="38"/>
  <c r="E73" i="38"/>
  <c r="D73" i="38"/>
  <c r="C73" i="38"/>
  <c r="B73" i="38"/>
  <c r="I72" i="38"/>
  <c r="H72" i="38"/>
  <c r="G72" i="38"/>
  <c r="F72" i="38"/>
  <c r="E72" i="38"/>
  <c r="D72" i="38"/>
  <c r="C72" i="38"/>
  <c r="B72" i="38"/>
  <c r="I71" i="38"/>
  <c r="H71" i="38"/>
  <c r="G71" i="38"/>
  <c r="F71" i="38"/>
  <c r="E71" i="38"/>
  <c r="D71" i="38"/>
  <c r="C71" i="38"/>
  <c r="B71" i="38"/>
  <c r="I70" i="38"/>
  <c r="H70" i="38"/>
  <c r="G70" i="38"/>
  <c r="F70" i="38"/>
  <c r="E70" i="38"/>
  <c r="D70" i="38"/>
  <c r="C70" i="38"/>
  <c r="B70" i="38"/>
  <c r="I69" i="38"/>
  <c r="H69" i="38"/>
  <c r="G69" i="38"/>
  <c r="F69" i="38"/>
  <c r="E69" i="38"/>
  <c r="D69" i="38"/>
  <c r="C69" i="38"/>
  <c r="B69" i="38"/>
  <c r="I68" i="38"/>
  <c r="H68" i="38"/>
  <c r="G68" i="38"/>
  <c r="F68" i="38"/>
  <c r="E68" i="38"/>
  <c r="D68" i="38"/>
  <c r="C68" i="38"/>
  <c r="B68" i="38"/>
  <c r="I67" i="38"/>
  <c r="H67" i="38"/>
  <c r="G67" i="38"/>
  <c r="F67" i="38"/>
  <c r="E67" i="38"/>
  <c r="D67" i="38"/>
  <c r="C67" i="38"/>
  <c r="B67" i="38"/>
  <c r="I66" i="38"/>
  <c r="H66" i="38"/>
  <c r="G66" i="38"/>
  <c r="F66" i="38"/>
  <c r="E66" i="38"/>
  <c r="D66" i="38"/>
  <c r="C66" i="38"/>
  <c r="B66" i="38"/>
  <c r="I65" i="38"/>
  <c r="H65" i="38"/>
  <c r="G65" i="38"/>
  <c r="F65" i="38"/>
  <c r="E65" i="38"/>
  <c r="D65" i="38"/>
  <c r="C65" i="38"/>
  <c r="B65" i="38"/>
  <c r="I64" i="38"/>
  <c r="H64" i="38"/>
  <c r="G64" i="38"/>
  <c r="F64" i="38"/>
  <c r="E64" i="38"/>
  <c r="D64" i="38"/>
  <c r="C64" i="38"/>
  <c r="B64" i="38"/>
  <c r="I63" i="38"/>
  <c r="H63" i="38"/>
  <c r="G63" i="38"/>
  <c r="F63" i="38"/>
  <c r="E63" i="38"/>
  <c r="D63" i="38"/>
  <c r="C63" i="38"/>
  <c r="B63" i="38"/>
  <c r="I62" i="38"/>
  <c r="H62" i="38"/>
  <c r="G62" i="38"/>
  <c r="F62" i="38"/>
  <c r="E62" i="38"/>
  <c r="D62" i="38"/>
  <c r="C62" i="38"/>
  <c r="B62" i="38"/>
  <c r="I61" i="38"/>
  <c r="H61" i="38"/>
  <c r="G61" i="38"/>
  <c r="F61" i="38"/>
  <c r="E61" i="38"/>
  <c r="D61" i="38"/>
  <c r="C61" i="38"/>
  <c r="B61" i="38"/>
  <c r="I60" i="38"/>
  <c r="H60" i="38"/>
  <c r="G60" i="38"/>
  <c r="F60" i="38"/>
  <c r="E60" i="38"/>
  <c r="D60" i="38"/>
  <c r="C60" i="38"/>
  <c r="B60" i="38"/>
  <c r="I59" i="38"/>
  <c r="H59" i="38"/>
  <c r="G59" i="38"/>
  <c r="F59" i="38"/>
  <c r="E59" i="38"/>
  <c r="D59" i="38"/>
  <c r="C59" i="38"/>
  <c r="B59" i="38"/>
  <c r="I58" i="38"/>
  <c r="H58" i="38"/>
  <c r="G58" i="38"/>
  <c r="F58" i="38"/>
  <c r="E58" i="38"/>
  <c r="D58" i="38"/>
  <c r="C58" i="38"/>
  <c r="B58" i="38"/>
  <c r="I57" i="38"/>
  <c r="H57" i="38"/>
  <c r="G57" i="38"/>
  <c r="F57" i="38"/>
  <c r="E57" i="38"/>
  <c r="D57" i="38"/>
  <c r="C57" i="38"/>
  <c r="B57" i="38"/>
  <c r="I56" i="38"/>
  <c r="H56" i="38"/>
  <c r="G56" i="38"/>
  <c r="F56" i="38"/>
  <c r="E56" i="38"/>
  <c r="D56" i="38"/>
  <c r="C56" i="38"/>
  <c r="B56" i="38"/>
  <c r="I55" i="38"/>
  <c r="H55" i="38"/>
  <c r="G55" i="38"/>
  <c r="F55" i="38"/>
  <c r="E55" i="38"/>
  <c r="D55" i="38"/>
  <c r="C55" i="38"/>
  <c r="B55" i="38"/>
  <c r="I54" i="38"/>
  <c r="H54" i="38"/>
  <c r="G54" i="38"/>
  <c r="F54" i="38"/>
  <c r="E54" i="38"/>
  <c r="D54" i="38"/>
  <c r="C54" i="38"/>
  <c r="B54" i="38"/>
  <c r="I53" i="38"/>
  <c r="H53" i="38"/>
  <c r="G53" i="38"/>
  <c r="F53" i="38"/>
  <c r="D53" i="38"/>
  <c r="C53" i="38"/>
  <c r="B53" i="38"/>
  <c r="I52" i="38"/>
  <c r="H52" i="38"/>
  <c r="G52" i="38"/>
  <c r="F52" i="38"/>
  <c r="D52" i="38"/>
  <c r="C52" i="38"/>
  <c r="B52" i="38"/>
  <c r="I51" i="38"/>
  <c r="H51" i="38"/>
  <c r="G51" i="38"/>
  <c r="F51" i="38"/>
  <c r="D51" i="38"/>
  <c r="C51" i="38"/>
  <c r="B51" i="38"/>
  <c r="I50" i="38"/>
  <c r="H50" i="38"/>
  <c r="G50" i="38"/>
  <c r="F50" i="38"/>
  <c r="D50" i="38"/>
  <c r="C50" i="38"/>
  <c r="B50" i="38"/>
  <c r="I49" i="38"/>
  <c r="H49" i="38"/>
  <c r="G49" i="38"/>
  <c r="F49" i="38"/>
  <c r="D49" i="38"/>
  <c r="C49" i="38"/>
  <c r="B49" i="38"/>
  <c r="I48" i="38"/>
  <c r="H48" i="38"/>
  <c r="G48" i="38"/>
  <c r="F48" i="38"/>
  <c r="D48" i="38"/>
  <c r="B48" i="38"/>
  <c r="I47" i="38"/>
  <c r="H47" i="38"/>
  <c r="G47" i="38"/>
  <c r="F47" i="38"/>
  <c r="D47" i="38"/>
  <c r="B47" i="38"/>
  <c r="I46" i="38"/>
  <c r="H46" i="38"/>
  <c r="G46" i="38"/>
  <c r="F46" i="38"/>
  <c r="D46" i="38"/>
  <c r="B46" i="38"/>
  <c r="M46" i="38"/>
  <c r="V46" i="38"/>
  <c r="N46" i="38"/>
  <c r="W46" i="38"/>
  <c r="U46" i="38"/>
  <c r="G37" i="41"/>
  <c r="F38" i="41"/>
  <c r="M73" i="41"/>
  <c r="L74" i="41"/>
  <c r="V280" i="40"/>
  <c r="V281" i="40"/>
  <c r="V282" i="40"/>
  <c r="W255" i="40"/>
  <c r="W256" i="40"/>
  <c r="W257" i="40"/>
  <c r="Q244" i="40"/>
  <c r="Q245" i="40"/>
  <c r="Q246" i="40"/>
  <c r="Q247" i="40"/>
  <c r="R92" i="40"/>
  <c r="Q264" i="40"/>
  <c r="Q265" i="40"/>
  <c r="Q266" i="40"/>
  <c r="Q267" i="40"/>
  <c r="R100" i="40"/>
  <c r="Q269" i="40"/>
  <c r="Q270" i="40"/>
  <c r="Q271" i="40"/>
  <c r="Q272" i="40"/>
  <c r="R102" i="40"/>
  <c r="P245" i="40"/>
  <c r="P246" i="40"/>
  <c r="P247" i="40"/>
  <c r="Q284" i="40"/>
  <c r="Q285" i="40"/>
  <c r="Q286" i="40"/>
  <c r="Q287" i="40"/>
  <c r="R108" i="40"/>
  <c r="Q289" i="40"/>
  <c r="Q290" i="40"/>
  <c r="Q291" i="40"/>
  <c r="Q292" i="40"/>
  <c r="R110" i="40"/>
  <c r="Q249" i="40"/>
  <c r="Q250" i="40"/>
  <c r="Q251" i="40"/>
  <c r="Q252" i="40"/>
  <c r="R94" i="40"/>
  <c r="W275" i="40"/>
  <c r="W276" i="40"/>
  <c r="W277" i="40"/>
  <c r="X260" i="40"/>
  <c r="X261" i="40"/>
  <c r="X262" i="40"/>
  <c r="P285" i="40"/>
  <c r="P286" i="40"/>
  <c r="P287" i="40"/>
  <c r="P290" i="40"/>
  <c r="P291" i="40"/>
  <c r="P292" i="40"/>
  <c r="W106" i="40"/>
  <c r="W279" i="40"/>
  <c r="X96" i="40"/>
  <c r="X254" i="40"/>
  <c r="Y98" i="40"/>
  <c r="Y259" i="40"/>
  <c r="Y260" i="40"/>
  <c r="Y261" i="40"/>
  <c r="Y262" i="40"/>
  <c r="X104" i="40"/>
  <c r="X274" i="40"/>
  <c r="X275" i="40"/>
  <c r="X276" i="40"/>
  <c r="X277" i="40"/>
  <c r="T90" i="40"/>
  <c r="S76" i="40"/>
  <c r="R204" i="40"/>
  <c r="R48" i="40"/>
  <c r="Q134" i="40"/>
  <c r="S80" i="40"/>
  <c r="R214" i="40"/>
  <c r="R42" i="40"/>
  <c r="Q119" i="40"/>
  <c r="P220" i="40"/>
  <c r="P221" i="40"/>
  <c r="P222" i="40"/>
  <c r="P210" i="40"/>
  <c r="P211" i="40"/>
  <c r="P212" i="40"/>
  <c r="R185" i="40"/>
  <c r="R186" i="40"/>
  <c r="R175" i="40"/>
  <c r="R176" i="40"/>
  <c r="P190" i="40"/>
  <c r="P191" i="40"/>
  <c r="P192" i="40"/>
  <c r="O157" i="40"/>
  <c r="R195" i="40"/>
  <c r="R196" i="40"/>
  <c r="R197" i="40"/>
  <c r="P170" i="40"/>
  <c r="P171" i="40"/>
  <c r="Q205" i="40"/>
  <c r="Q206" i="40"/>
  <c r="Q207" i="40"/>
  <c r="O192" i="40"/>
  <c r="Q140" i="40"/>
  <c r="Q141" i="40"/>
  <c r="Q142" i="40"/>
  <c r="P200" i="40"/>
  <c r="P201" i="40"/>
  <c r="P202" i="40"/>
  <c r="S40" i="40"/>
  <c r="R114" i="40"/>
  <c r="Q215" i="40"/>
  <c r="Q216" i="40"/>
  <c r="Q217" i="40"/>
  <c r="S66" i="40"/>
  <c r="R179" i="40"/>
  <c r="R52" i="40"/>
  <c r="Q144" i="40"/>
  <c r="P155" i="40"/>
  <c r="P156" i="40"/>
  <c r="P157" i="40"/>
  <c r="Q235" i="40"/>
  <c r="Q236" i="40"/>
  <c r="T64" i="40"/>
  <c r="S174" i="40"/>
  <c r="R70" i="40"/>
  <c r="Q189" i="40"/>
  <c r="T72" i="40"/>
  <c r="S194" i="40"/>
  <c r="R62" i="40"/>
  <c r="Q169" i="40"/>
  <c r="P130" i="40"/>
  <c r="P131" i="40"/>
  <c r="P132" i="40"/>
  <c r="S50" i="40"/>
  <c r="R139" i="40"/>
  <c r="R74" i="40"/>
  <c r="Q199" i="40"/>
  <c r="P125" i="40"/>
  <c r="P126" i="40"/>
  <c r="P127" i="40"/>
  <c r="S60" i="40"/>
  <c r="R164" i="40"/>
  <c r="P145" i="40"/>
  <c r="P146" i="40"/>
  <c r="P147" i="40"/>
  <c r="S88" i="40"/>
  <c r="R234" i="40"/>
  <c r="O162" i="40"/>
  <c r="Q225" i="40"/>
  <c r="Q226" i="40"/>
  <c r="O242" i="40"/>
  <c r="R46" i="40"/>
  <c r="Q129" i="40"/>
  <c r="R54" i="40"/>
  <c r="Q149" i="40"/>
  <c r="P160" i="40"/>
  <c r="P161" i="40"/>
  <c r="P162" i="40"/>
  <c r="Q115" i="40"/>
  <c r="Q116" i="40"/>
  <c r="Q117" i="40"/>
  <c r="R44" i="40"/>
  <c r="Q124" i="40"/>
  <c r="Q180" i="40"/>
  <c r="Q181" i="40"/>
  <c r="Q182" i="40"/>
  <c r="P240" i="40"/>
  <c r="P241" i="40"/>
  <c r="P242" i="40"/>
  <c r="P230" i="40"/>
  <c r="P231" i="40"/>
  <c r="P232" i="40"/>
  <c r="P120" i="40"/>
  <c r="P121" i="40"/>
  <c r="P122" i="40"/>
  <c r="S84" i="40"/>
  <c r="R224" i="40"/>
  <c r="R82" i="40"/>
  <c r="Q219" i="40"/>
  <c r="R78" i="40"/>
  <c r="Q209" i="40"/>
  <c r="P217" i="40"/>
  <c r="Q197" i="40"/>
  <c r="P150" i="40"/>
  <c r="P151" i="40"/>
  <c r="P152" i="40"/>
  <c r="R58" i="40"/>
  <c r="Q159" i="40"/>
  <c r="T68" i="40"/>
  <c r="S184" i="40"/>
  <c r="P135" i="40"/>
  <c r="P136" i="40"/>
  <c r="P137" i="40"/>
  <c r="Q165" i="40"/>
  <c r="Q166" i="40"/>
  <c r="Q167" i="40"/>
  <c r="P227" i="40"/>
  <c r="R56" i="40"/>
  <c r="Q154" i="40"/>
  <c r="Q239" i="40"/>
  <c r="R86" i="40"/>
  <c r="Q229" i="40"/>
  <c r="T64" i="38"/>
  <c r="T60" i="38"/>
  <c r="T63" i="38"/>
  <c r="T59" i="38"/>
  <c r="X46" i="38"/>
  <c r="T65" i="38"/>
  <c r="T61" i="38"/>
  <c r="T57" i="38"/>
  <c r="T53" i="38"/>
  <c r="T49" i="38"/>
  <c r="U72" i="38"/>
  <c r="U68" i="38"/>
  <c r="U64" i="38"/>
  <c r="U60" i="38"/>
  <c r="U56" i="38"/>
  <c r="U52" i="38"/>
  <c r="U48" i="38"/>
  <c r="V64" i="38"/>
  <c r="V60" i="38"/>
  <c r="V56" i="38"/>
  <c r="V52" i="38"/>
  <c r="V48" i="38"/>
  <c r="V70" i="38"/>
  <c r="W63" i="38"/>
  <c r="W59" i="38"/>
  <c r="W55" i="38"/>
  <c r="W51" i="38"/>
  <c r="W47" i="38"/>
  <c r="X55" i="38"/>
  <c r="X51" i="38"/>
  <c r="X47" i="38"/>
  <c r="X70" i="38"/>
  <c r="Y74" i="38"/>
  <c r="Y70" i="38"/>
  <c r="Y66" i="38"/>
  <c r="Y62" i="38"/>
  <c r="Y58" i="38"/>
  <c r="Y54" i="38"/>
  <c r="Y50" i="38"/>
  <c r="Z46" i="38"/>
  <c r="Z52" i="38"/>
  <c r="Z48" i="38"/>
  <c r="Z65" i="38"/>
  <c r="AA55" i="38"/>
  <c r="AA51" i="38"/>
  <c r="AA47" i="38"/>
  <c r="T56" i="38"/>
  <c r="T52" i="38"/>
  <c r="T48" i="38"/>
  <c r="U75" i="38"/>
  <c r="U71" i="38"/>
  <c r="U67" i="38"/>
  <c r="U63" i="38"/>
  <c r="U59" i="38"/>
  <c r="U55" i="38"/>
  <c r="U51" i="38"/>
  <c r="U47" i="38"/>
  <c r="V63" i="38"/>
  <c r="V59" i="38"/>
  <c r="V55" i="38"/>
  <c r="V51" i="38"/>
  <c r="V47" i="38"/>
  <c r="W62" i="38"/>
  <c r="W58" i="38"/>
  <c r="W54" i="38"/>
  <c r="W50" i="38"/>
  <c r="W70" i="38"/>
  <c r="X54" i="38"/>
  <c r="X50" i="38"/>
  <c r="X57" i="38"/>
  <c r="X75" i="38"/>
  <c r="Y73" i="38"/>
  <c r="Y69" i="38"/>
  <c r="Y65" i="38"/>
  <c r="Y61" i="38"/>
  <c r="Y57" i="38"/>
  <c r="Y53" i="38"/>
  <c r="Y49" i="38"/>
  <c r="Z55" i="38"/>
  <c r="Z51" i="38"/>
  <c r="Z47" i="38"/>
  <c r="Z70" i="38"/>
  <c r="AA54" i="38"/>
  <c r="AA50" i="38"/>
  <c r="AA57" i="38"/>
  <c r="T55" i="38"/>
  <c r="T51" i="38"/>
  <c r="T47" i="38"/>
  <c r="U74" i="38"/>
  <c r="U70" i="38"/>
  <c r="U66" i="38"/>
  <c r="U62" i="38"/>
  <c r="U58" i="38"/>
  <c r="U54" i="38"/>
  <c r="U50" i="38"/>
  <c r="V62" i="38"/>
  <c r="V58" i="38"/>
  <c r="V54" i="38"/>
  <c r="V50" i="38"/>
  <c r="V75" i="38"/>
  <c r="W65" i="38"/>
  <c r="W61" i="38"/>
  <c r="W57" i="38"/>
  <c r="W53" i="38"/>
  <c r="W49" i="38"/>
  <c r="W75" i="38"/>
  <c r="X53" i="38"/>
  <c r="X49" i="38"/>
  <c r="X60" i="38"/>
  <c r="Y72" i="38"/>
  <c r="Y68" i="38"/>
  <c r="Y64" i="38"/>
  <c r="Y60" i="38"/>
  <c r="Y56" i="38"/>
  <c r="Y52" i="38"/>
  <c r="Y48" i="38"/>
  <c r="Z54" i="38"/>
  <c r="Z50" i="38"/>
  <c r="Z57" i="38"/>
  <c r="Z75" i="38"/>
  <c r="AA53" i="38"/>
  <c r="AA49" i="38"/>
  <c r="AA60" i="38"/>
  <c r="T62" i="38"/>
  <c r="T58" i="38"/>
  <c r="T54" i="38"/>
  <c r="T50" i="38"/>
  <c r="T75" i="38"/>
  <c r="U73" i="38"/>
  <c r="U69" i="38"/>
  <c r="U65" i="38"/>
  <c r="U61" i="38"/>
  <c r="U57" i="38"/>
  <c r="U53" i="38"/>
  <c r="U49" i="38"/>
  <c r="V65" i="38"/>
  <c r="V61" i="38"/>
  <c r="V57" i="38"/>
  <c r="V53" i="38"/>
  <c r="V49" i="38"/>
  <c r="T70" i="38"/>
  <c r="W64" i="38"/>
  <c r="W60" i="38"/>
  <c r="W56" i="38"/>
  <c r="W52" i="38"/>
  <c r="W48" i="38"/>
  <c r="X52" i="38"/>
  <c r="X48" i="38"/>
  <c r="X65" i="38"/>
  <c r="Y75" i="38"/>
  <c r="Y71" i="38"/>
  <c r="Y67" i="38"/>
  <c r="Y63" i="38"/>
  <c r="Y59" i="38"/>
  <c r="Y55" i="38"/>
  <c r="Y51" i="38"/>
  <c r="Y47" i="38"/>
  <c r="Z53" i="38"/>
  <c r="Z49" i="38"/>
  <c r="Z60" i="38"/>
  <c r="AA46" i="38"/>
  <c r="AA52" i="38"/>
  <c r="AA48" i="38"/>
  <c r="AA65" i="38"/>
  <c r="L63" i="37"/>
  <c r="M62" i="37"/>
  <c r="D24" i="35"/>
  <c r="E24" i="35"/>
  <c r="F24" i="35"/>
  <c r="G24" i="35"/>
  <c r="H24" i="35"/>
  <c r="J24" i="35"/>
  <c r="D23" i="35"/>
  <c r="E23" i="35"/>
  <c r="F23" i="35"/>
  <c r="G23" i="35"/>
  <c r="H23" i="35"/>
  <c r="J23" i="35"/>
  <c r="B1" i="26"/>
  <c r="L50" i="37"/>
  <c r="N50" i="37"/>
  <c r="O50" i="37"/>
  <c r="L49" i="37"/>
  <c r="N49" i="37"/>
  <c r="O49" i="37"/>
  <c r="L48" i="37"/>
  <c r="N48" i="37"/>
  <c r="O48" i="37"/>
  <c r="L47" i="37"/>
  <c r="N47" i="37"/>
  <c r="O47" i="37"/>
  <c r="L45" i="37"/>
  <c r="N45" i="37"/>
  <c r="O45" i="37"/>
  <c r="L44" i="37"/>
  <c r="N44" i="37"/>
  <c r="O44" i="37"/>
  <c r="L43" i="37"/>
  <c r="N43" i="37"/>
  <c r="O43" i="37"/>
  <c r="L42" i="37"/>
  <c r="N42" i="37"/>
  <c r="O42" i="37"/>
  <c r="L34" i="37"/>
  <c r="N34" i="37"/>
  <c r="O34" i="37"/>
  <c r="L35" i="37"/>
  <c r="N35" i="37"/>
  <c r="O35" i="37"/>
  <c r="L37" i="37"/>
  <c r="N37" i="37"/>
  <c r="O37" i="37"/>
  <c r="L38" i="37"/>
  <c r="N38" i="37"/>
  <c r="O38" i="37"/>
  <c r="L39" i="37"/>
  <c r="N39" i="37"/>
  <c r="O39" i="37"/>
  <c r="L40" i="37"/>
  <c r="N40" i="37"/>
  <c r="O40" i="37"/>
  <c r="E41" i="35"/>
  <c r="E42" i="35"/>
  <c r="E43" i="35"/>
  <c r="E44" i="35"/>
  <c r="E45" i="35"/>
  <c r="E46" i="35"/>
  <c r="E47" i="35"/>
  <c r="E48" i="35"/>
  <c r="E49" i="35"/>
  <c r="E50" i="35"/>
  <c r="AV117" i="2"/>
  <c r="AV120" i="2"/>
  <c r="AV118" i="2"/>
  <c r="AV119" i="2"/>
  <c r="AV121" i="2"/>
  <c r="E46" i="37"/>
  <c r="L6" i="39"/>
  <c r="L7" i="39"/>
  <c r="L8" i="39"/>
  <c r="L9" i="39"/>
  <c r="L10" i="39"/>
  <c r="L11" i="39"/>
  <c r="L12" i="39"/>
  <c r="L13" i="39"/>
  <c r="L14" i="39"/>
  <c r="L15" i="39"/>
  <c r="L16" i="39"/>
  <c r="L17" i="39"/>
  <c r="L18" i="39"/>
  <c r="L19" i="39"/>
  <c r="L20" i="39"/>
  <c r="L21" i="39"/>
  <c r="L22" i="39"/>
  <c r="L23" i="39"/>
  <c r="L24" i="39"/>
  <c r="L25" i="39"/>
  <c r="L26" i="39"/>
  <c r="L27" i="39"/>
  <c r="L28" i="39"/>
  <c r="L29" i="39"/>
  <c r="L30" i="39"/>
  <c r="L31" i="39"/>
  <c r="L32" i="39"/>
  <c r="L33" i="39"/>
  <c r="L34" i="39"/>
  <c r="A47" i="38"/>
  <c r="A48" i="38"/>
  <c r="A49" i="38"/>
  <c r="A50" i="38"/>
  <c r="A51" i="38"/>
  <c r="A52" i="38"/>
  <c r="A53" i="38"/>
  <c r="A54" i="38"/>
  <c r="A55" i="38"/>
  <c r="A56" i="38"/>
  <c r="A57" i="38"/>
  <c r="A58" i="38"/>
  <c r="A59" i="38"/>
  <c r="A60" i="38"/>
  <c r="A61" i="38"/>
  <c r="A62" i="38"/>
  <c r="A63" i="38"/>
  <c r="A64" i="38"/>
  <c r="A65" i="38"/>
  <c r="A66" i="38"/>
  <c r="A67" i="38"/>
  <c r="A68" i="38"/>
  <c r="A69" i="38"/>
  <c r="A70" i="38"/>
  <c r="A71" i="38"/>
  <c r="A72" i="38"/>
  <c r="A73" i="38"/>
  <c r="A74" i="38"/>
  <c r="A75" i="38"/>
  <c r="K46" i="38"/>
  <c r="T46" i="38"/>
  <c r="A14" i="38"/>
  <c r="A15" i="38"/>
  <c r="A16" i="38"/>
  <c r="A17" i="38"/>
  <c r="A18" i="38"/>
  <c r="A19" i="38"/>
  <c r="A20" i="38"/>
  <c r="A21" i="38"/>
  <c r="A22" i="38"/>
  <c r="A23" i="38"/>
  <c r="A24" i="38"/>
  <c r="A25" i="38"/>
  <c r="A26" i="38"/>
  <c r="A27" i="38"/>
  <c r="A28" i="38"/>
  <c r="A29" i="38"/>
  <c r="A30" i="38"/>
  <c r="A31" i="38"/>
  <c r="A32" i="38"/>
  <c r="A33" i="38"/>
  <c r="A34" i="38"/>
  <c r="A35" i="38"/>
  <c r="A36" i="38"/>
  <c r="A37" i="38"/>
  <c r="A38" i="38"/>
  <c r="A39" i="38"/>
  <c r="A40" i="38"/>
  <c r="A41" i="38"/>
  <c r="A42" i="38"/>
  <c r="D22" i="31"/>
  <c r="D23" i="31"/>
  <c r="E23" i="31"/>
  <c r="F23" i="31"/>
  <c r="G23" i="31"/>
  <c r="H23" i="31"/>
  <c r="J23" i="31"/>
  <c r="D24" i="31"/>
  <c r="E24" i="31"/>
  <c r="F24" i="31"/>
  <c r="G24" i="31"/>
  <c r="H24" i="31"/>
  <c r="J24" i="31"/>
  <c r="D25" i="31"/>
  <c r="E25" i="31"/>
  <c r="F25" i="31"/>
  <c r="G25" i="31"/>
  <c r="H25" i="31"/>
  <c r="J25" i="31"/>
  <c r="D26" i="31"/>
  <c r="E26" i="31"/>
  <c r="F26" i="31"/>
  <c r="G26" i="31"/>
  <c r="H26" i="31"/>
  <c r="J26" i="31"/>
  <c r="F3" i="9"/>
  <c r="B32" i="9"/>
  <c r="F4" i="9"/>
  <c r="B34" i="9"/>
  <c r="F5" i="9"/>
  <c r="B36" i="9"/>
  <c r="F6" i="9"/>
  <c r="F7" i="9"/>
  <c r="F8" i="9"/>
  <c r="F9" i="9"/>
  <c r="F10" i="9"/>
  <c r="F11" i="9"/>
  <c r="F12" i="9"/>
  <c r="F13" i="9"/>
  <c r="F14" i="9"/>
  <c r="F15" i="9"/>
  <c r="F16" i="9"/>
  <c r="F17" i="9"/>
  <c r="D33" i="36"/>
  <c r="E33" i="36"/>
  <c r="F33" i="36"/>
  <c r="D23" i="36"/>
  <c r="D24" i="36"/>
  <c r="E24" i="36"/>
  <c r="F24" i="36"/>
  <c r="G24" i="36"/>
  <c r="H24" i="36"/>
  <c r="J24" i="36"/>
  <c r="D25" i="36"/>
  <c r="D26" i="36"/>
  <c r="E26" i="36"/>
  <c r="F26" i="36"/>
  <c r="G26" i="36"/>
  <c r="H26" i="36"/>
  <c r="J26" i="36"/>
  <c r="D27" i="36"/>
  <c r="E27" i="36"/>
  <c r="F27" i="36"/>
  <c r="G27" i="36"/>
  <c r="H27" i="36"/>
  <c r="J27" i="36"/>
  <c r="D28" i="36"/>
  <c r="E28" i="36"/>
  <c r="F28" i="36"/>
  <c r="G28" i="36"/>
  <c r="H28" i="36"/>
  <c r="J28" i="36"/>
  <c r="D29" i="36"/>
  <c r="E29" i="36"/>
  <c r="F29" i="36"/>
  <c r="G29" i="36"/>
  <c r="H29" i="36"/>
  <c r="J29" i="36"/>
  <c r="D30" i="36"/>
  <c r="E30" i="36"/>
  <c r="F30" i="36"/>
  <c r="G30" i="36"/>
  <c r="H30" i="36"/>
  <c r="J30" i="36"/>
  <c r="D31" i="36"/>
  <c r="E31" i="36"/>
  <c r="F31" i="36"/>
  <c r="D22" i="36"/>
  <c r="E22" i="36"/>
  <c r="F22" i="36"/>
  <c r="G22" i="36"/>
  <c r="H22" i="36"/>
  <c r="J22" i="36"/>
  <c r="D36" i="34"/>
  <c r="E36" i="34"/>
  <c r="F36" i="34"/>
  <c r="D33" i="34"/>
  <c r="D23" i="34"/>
  <c r="E23" i="34"/>
  <c r="F23" i="34"/>
  <c r="G23" i="34"/>
  <c r="H23" i="34"/>
  <c r="J23" i="34"/>
  <c r="D24" i="34"/>
  <c r="E24" i="34"/>
  <c r="F24" i="34"/>
  <c r="G24" i="34"/>
  <c r="H24" i="34"/>
  <c r="J24" i="34"/>
  <c r="D25" i="34"/>
  <c r="E25" i="34"/>
  <c r="F25" i="34"/>
  <c r="G25" i="34"/>
  <c r="H25" i="34"/>
  <c r="J25" i="34"/>
  <c r="D26" i="34"/>
  <c r="D27" i="34"/>
  <c r="E27" i="34"/>
  <c r="F27" i="34"/>
  <c r="G27" i="34"/>
  <c r="H27" i="34"/>
  <c r="J27" i="34"/>
  <c r="D28" i="34"/>
  <c r="E28" i="34"/>
  <c r="F28" i="34"/>
  <c r="G28" i="34"/>
  <c r="H28" i="34"/>
  <c r="J28" i="34"/>
  <c r="D29" i="34"/>
  <c r="E29" i="34"/>
  <c r="F29" i="34"/>
  <c r="G29" i="34"/>
  <c r="H29" i="34"/>
  <c r="J29" i="34"/>
  <c r="D30" i="34"/>
  <c r="E30" i="34"/>
  <c r="F30" i="34"/>
  <c r="G30" i="34"/>
  <c r="H30" i="34"/>
  <c r="J30" i="34"/>
  <c r="D31" i="34"/>
  <c r="E31" i="34"/>
  <c r="F31" i="34"/>
  <c r="D22" i="34"/>
  <c r="D25" i="35"/>
  <c r="E25" i="35"/>
  <c r="F25" i="35"/>
  <c r="G25" i="35"/>
  <c r="H25" i="35"/>
  <c r="J25" i="35"/>
  <c r="D26" i="35"/>
  <c r="E26" i="35"/>
  <c r="F26" i="35"/>
  <c r="G26" i="35"/>
  <c r="H26" i="35"/>
  <c r="J26" i="35"/>
  <c r="D27" i="35"/>
  <c r="E27" i="35"/>
  <c r="F27" i="35"/>
  <c r="G27" i="35"/>
  <c r="H27" i="35"/>
  <c r="J27" i="35"/>
  <c r="D28" i="35"/>
  <c r="E28" i="35"/>
  <c r="F28" i="35"/>
  <c r="G28" i="35"/>
  <c r="H28" i="35"/>
  <c r="J28" i="35"/>
  <c r="D29" i="35"/>
  <c r="E29" i="35"/>
  <c r="F29" i="35"/>
  <c r="G29" i="35"/>
  <c r="H29" i="35"/>
  <c r="J29" i="35"/>
  <c r="D30" i="35"/>
  <c r="E30" i="35"/>
  <c r="F30" i="35"/>
  <c r="G30" i="35"/>
  <c r="H30" i="35"/>
  <c r="J30" i="35"/>
  <c r="AB13" i="39"/>
  <c r="D31" i="35"/>
  <c r="E31" i="35"/>
  <c r="F31" i="35"/>
  <c r="G31" i="35"/>
  <c r="H31" i="35"/>
  <c r="J31" i="35"/>
  <c r="D32" i="35"/>
  <c r="E32" i="35"/>
  <c r="F32" i="35"/>
  <c r="G32" i="35"/>
  <c r="H32" i="35"/>
  <c r="J32" i="35"/>
  <c r="D33" i="35"/>
  <c r="E33" i="35"/>
  <c r="F33" i="35"/>
  <c r="G33" i="35"/>
  <c r="H33" i="35"/>
  <c r="J33" i="35"/>
  <c r="D34" i="35"/>
  <c r="E34" i="35"/>
  <c r="F34" i="35"/>
  <c r="G34" i="35"/>
  <c r="H34" i="35"/>
  <c r="J34" i="35"/>
  <c r="AB17" i="39"/>
  <c r="D35" i="35"/>
  <c r="E35" i="35"/>
  <c r="F35" i="35"/>
  <c r="G35" i="35"/>
  <c r="H35" i="35"/>
  <c r="J35" i="35"/>
  <c r="D36" i="35"/>
  <c r="E36" i="35"/>
  <c r="F36" i="35"/>
  <c r="G36" i="35"/>
  <c r="H36" i="35"/>
  <c r="J36" i="35"/>
  <c r="D37" i="35"/>
  <c r="E37" i="35"/>
  <c r="F37" i="35"/>
  <c r="G37" i="35"/>
  <c r="H37" i="35"/>
  <c r="J37" i="35"/>
  <c r="D39" i="35"/>
  <c r="E39" i="35"/>
  <c r="F39" i="35"/>
  <c r="G39" i="35"/>
  <c r="H39" i="35"/>
  <c r="J39" i="35"/>
  <c r="D40" i="35"/>
  <c r="E40" i="35"/>
  <c r="F40" i="35"/>
  <c r="D22" i="35"/>
  <c r="E22" i="35"/>
  <c r="F22" i="35"/>
  <c r="G22" i="35"/>
  <c r="H22" i="35"/>
  <c r="J22" i="35"/>
  <c r="D46" i="34"/>
  <c r="E46" i="34"/>
  <c r="F46" i="34"/>
  <c r="D23" i="33"/>
  <c r="D24" i="33"/>
  <c r="E24" i="33"/>
  <c r="F24" i="33"/>
  <c r="G24" i="33"/>
  <c r="H24" i="33"/>
  <c r="J24" i="33"/>
  <c r="D25" i="33"/>
  <c r="E25" i="33"/>
  <c r="F25" i="33"/>
  <c r="G25" i="33"/>
  <c r="H25" i="33"/>
  <c r="J25" i="33"/>
  <c r="D26" i="33"/>
  <c r="E26" i="33"/>
  <c r="F26" i="33"/>
  <c r="G26" i="33"/>
  <c r="H26" i="33"/>
  <c r="J26" i="33"/>
  <c r="D27" i="33"/>
  <c r="D28" i="33"/>
  <c r="E28" i="33"/>
  <c r="F28" i="33"/>
  <c r="G28" i="33"/>
  <c r="H28" i="33"/>
  <c r="J28" i="33"/>
  <c r="D29" i="33"/>
  <c r="E29" i="33"/>
  <c r="F29" i="33"/>
  <c r="G29" i="33"/>
  <c r="H29" i="33"/>
  <c r="J29" i="33"/>
  <c r="D30" i="33"/>
  <c r="E30" i="33"/>
  <c r="F30" i="33"/>
  <c r="G30" i="33"/>
  <c r="H30" i="33"/>
  <c r="J30" i="33"/>
  <c r="D31" i="33"/>
  <c r="D32" i="33"/>
  <c r="E32" i="33"/>
  <c r="F32" i="33"/>
  <c r="G32" i="33"/>
  <c r="H32" i="33"/>
  <c r="J32" i="33"/>
  <c r="Z15" i="39"/>
  <c r="D33" i="33"/>
  <c r="E33" i="33"/>
  <c r="F33" i="33"/>
  <c r="G33" i="33"/>
  <c r="H33" i="33"/>
  <c r="J33" i="33"/>
  <c r="Z16" i="39"/>
  <c r="D34" i="33"/>
  <c r="E34" i="33"/>
  <c r="D35" i="33"/>
  <c r="D36" i="33"/>
  <c r="E36" i="33"/>
  <c r="F36" i="33"/>
  <c r="D22" i="33"/>
  <c r="E22" i="33"/>
  <c r="F22" i="33"/>
  <c r="G22" i="33"/>
  <c r="H22" i="33"/>
  <c r="J22" i="33"/>
  <c r="D23" i="32"/>
  <c r="E23" i="32"/>
  <c r="F23" i="32"/>
  <c r="G23" i="32"/>
  <c r="H23" i="32"/>
  <c r="J23" i="32"/>
  <c r="D24" i="32"/>
  <c r="E24" i="32"/>
  <c r="F24" i="32"/>
  <c r="G24" i="32"/>
  <c r="H24" i="32"/>
  <c r="J24" i="32"/>
  <c r="D25" i="32"/>
  <c r="E25" i="32"/>
  <c r="F25" i="32"/>
  <c r="G25" i="32"/>
  <c r="H25" i="32"/>
  <c r="J25" i="32"/>
  <c r="D26" i="32"/>
  <c r="E26" i="32"/>
  <c r="F26" i="32"/>
  <c r="G26" i="32"/>
  <c r="H26" i="32"/>
  <c r="J26" i="32"/>
  <c r="D27" i="32"/>
  <c r="E27" i="32"/>
  <c r="F27" i="32"/>
  <c r="G27" i="32"/>
  <c r="H27" i="32"/>
  <c r="J27" i="32"/>
  <c r="D28" i="32"/>
  <c r="E28" i="32"/>
  <c r="F28" i="32"/>
  <c r="G28" i="32"/>
  <c r="H28" i="32"/>
  <c r="J28" i="32"/>
  <c r="D29" i="32"/>
  <c r="E29" i="32"/>
  <c r="F29" i="32"/>
  <c r="G29" i="32"/>
  <c r="H29" i="32"/>
  <c r="J29" i="32"/>
  <c r="D30" i="32"/>
  <c r="E30" i="32"/>
  <c r="F30" i="32"/>
  <c r="G30" i="32"/>
  <c r="H30" i="32"/>
  <c r="J30" i="32"/>
  <c r="D31" i="32"/>
  <c r="E31" i="32"/>
  <c r="F31" i="32"/>
  <c r="G31" i="32"/>
  <c r="H31" i="32"/>
  <c r="J31" i="32"/>
  <c r="D32" i="32"/>
  <c r="D33" i="32"/>
  <c r="E33" i="32"/>
  <c r="F33" i="32"/>
  <c r="G33" i="32"/>
  <c r="H33" i="32"/>
  <c r="J33" i="32"/>
  <c r="Y16" i="39"/>
  <c r="D34" i="32"/>
  <c r="D35" i="32"/>
  <c r="E35" i="32"/>
  <c r="F35" i="32"/>
  <c r="G35" i="32"/>
  <c r="H35" i="32"/>
  <c r="J35" i="32"/>
  <c r="Y18" i="39"/>
  <c r="D36" i="32"/>
  <c r="E36" i="32"/>
  <c r="F36" i="32"/>
  <c r="G36" i="32"/>
  <c r="H36" i="32"/>
  <c r="J36" i="32"/>
  <c r="Y19" i="39"/>
  <c r="D37" i="32"/>
  <c r="E37" i="32"/>
  <c r="F37" i="32"/>
  <c r="G37" i="32"/>
  <c r="H37" i="32"/>
  <c r="J37" i="32"/>
  <c r="Y20" i="39"/>
  <c r="D38" i="32"/>
  <c r="D39" i="32"/>
  <c r="E39" i="32"/>
  <c r="F39" i="32"/>
  <c r="G39" i="32"/>
  <c r="H39" i="32"/>
  <c r="J39" i="32"/>
  <c r="Y22" i="39"/>
  <c r="D40" i="32"/>
  <c r="E40" i="32"/>
  <c r="F40" i="32"/>
  <c r="G40" i="32"/>
  <c r="H40" i="32"/>
  <c r="J40" i="32"/>
  <c r="Y23" i="39"/>
  <c r="D41" i="32"/>
  <c r="E41" i="32"/>
  <c r="F41" i="32"/>
  <c r="D22" i="32"/>
  <c r="E22" i="32"/>
  <c r="F22" i="32"/>
  <c r="G22" i="32"/>
  <c r="H22" i="32"/>
  <c r="J22" i="32"/>
  <c r="D37" i="31"/>
  <c r="E37" i="31"/>
  <c r="F37" i="31"/>
  <c r="G37" i="31"/>
  <c r="H37" i="31"/>
  <c r="J37" i="31"/>
  <c r="D38" i="31"/>
  <c r="D39" i="31"/>
  <c r="E39" i="31"/>
  <c r="F39" i="31"/>
  <c r="G39" i="31"/>
  <c r="H39" i="31"/>
  <c r="J39" i="31"/>
  <c r="X22" i="39"/>
  <c r="D40" i="31"/>
  <c r="D41" i="31"/>
  <c r="E41" i="31"/>
  <c r="F41" i="31"/>
  <c r="G41" i="31"/>
  <c r="H41" i="31"/>
  <c r="J41" i="31"/>
  <c r="X24" i="39"/>
  <c r="D42" i="31"/>
  <c r="D43" i="31"/>
  <c r="E43" i="31"/>
  <c r="F43" i="31"/>
  <c r="G43" i="31"/>
  <c r="H43" i="31"/>
  <c r="J43" i="31"/>
  <c r="X26" i="39"/>
  <c r="D44" i="31"/>
  <c r="E44" i="31"/>
  <c r="F44" i="31"/>
  <c r="G44" i="31"/>
  <c r="H44" i="31"/>
  <c r="J44" i="31"/>
  <c r="X27" i="39"/>
  <c r="D45" i="31"/>
  <c r="E45" i="31"/>
  <c r="F45" i="31"/>
  <c r="G45" i="31"/>
  <c r="H45" i="31"/>
  <c r="J45" i="31"/>
  <c r="X28" i="39"/>
  <c r="D46" i="31"/>
  <c r="D47" i="31"/>
  <c r="E47" i="31"/>
  <c r="F47" i="31"/>
  <c r="G47" i="31"/>
  <c r="H47" i="31"/>
  <c r="J47" i="31"/>
  <c r="X30" i="39"/>
  <c r="D48" i="31"/>
  <c r="D49" i="31"/>
  <c r="E49" i="31"/>
  <c r="F49" i="31"/>
  <c r="G49" i="31"/>
  <c r="H49" i="31"/>
  <c r="J49" i="31"/>
  <c r="X32" i="39"/>
  <c r="D50" i="31"/>
  <c r="D51" i="31"/>
  <c r="E51" i="31"/>
  <c r="F51" i="31"/>
  <c r="G51" i="31"/>
  <c r="H51" i="31"/>
  <c r="J51" i="31"/>
  <c r="X34" i="39"/>
  <c r="D27" i="31"/>
  <c r="D28" i="31"/>
  <c r="E28" i="31"/>
  <c r="F28" i="31"/>
  <c r="G28" i="31"/>
  <c r="H28" i="31"/>
  <c r="J28" i="31"/>
  <c r="D29" i="31"/>
  <c r="D30" i="31"/>
  <c r="E30" i="31"/>
  <c r="F30" i="31"/>
  <c r="G30" i="31"/>
  <c r="H30" i="31"/>
  <c r="J30" i="31"/>
  <c r="D31" i="31"/>
  <c r="E31" i="31"/>
  <c r="F31" i="31"/>
  <c r="G31" i="31"/>
  <c r="H31" i="31"/>
  <c r="J31" i="31"/>
  <c r="D32" i="31"/>
  <c r="E32" i="31"/>
  <c r="F32" i="31"/>
  <c r="G32" i="31"/>
  <c r="H32" i="31"/>
  <c r="J32" i="31"/>
  <c r="D33" i="31"/>
  <c r="D34" i="31"/>
  <c r="E34" i="31"/>
  <c r="F34" i="31"/>
  <c r="G34" i="31"/>
  <c r="H34" i="31"/>
  <c r="J34" i="31"/>
  <c r="D35" i="31"/>
  <c r="E35" i="31"/>
  <c r="F35" i="31"/>
  <c r="G35" i="31"/>
  <c r="H35" i="31"/>
  <c r="J35" i="31"/>
  <c r="X18" i="39"/>
  <c r="D36" i="31"/>
  <c r="E36" i="31"/>
  <c r="F36" i="31"/>
  <c r="G36" i="31"/>
  <c r="H36" i="31"/>
  <c r="J36" i="31"/>
  <c r="X19" i="39"/>
  <c r="E36" i="30"/>
  <c r="E40" i="30"/>
  <c r="D51" i="32"/>
  <c r="E51" i="32"/>
  <c r="F51" i="32"/>
  <c r="G51" i="32"/>
  <c r="H51" i="32"/>
  <c r="J51" i="32"/>
  <c r="Y34" i="39"/>
  <c r="B5" i="1"/>
  <c r="C116" i="2"/>
  <c r="J9" i="9"/>
  <c r="J42" i="5"/>
  <c r="J43" i="5"/>
  <c r="J44" i="5"/>
  <c r="J45" i="5"/>
  <c r="J46" i="5"/>
  <c r="J50" i="5"/>
  <c r="J51" i="5"/>
  <c r="J52" i="5"/>
  <c r="J53" i="5"/>
  <c r="J54" i="5"/>
  <c r="J55" i="5"/>
  <c r="J56" i="5"/>
  <c r="J57" i="5"/>
  <c r="J58" i="5"/>
  <c r="J59" i="5"/>
  <c r="J60" i="5"/>
  <c r="J61" i="5"/>
  <c r="J62" i="5"/>
  <c r="J63" i="5"/>
  <c r="J64" i="5"/>
  <c r="J66" i="5"/>
  <c r="J67" i="5"/>
  <c r="J71" i="5"/>
  <c r="J72" i="5"/>
  <c r="J73" i="5"/>
  <c r="J74" i="5"/>
  <c r="J75" i="5"/>
  <c r="J76" i="5"/>
  <c r="J77" i="5"/>
  <c r="J78" i="5"/>
  <c r="J79" i="5"/>
  <c r="J80" i="5"/>
  <c r="J81" i="5"/>
  <c r="J82" i="5"/>
  <c r="J83" i="5"/>
  <c r="J87" i="5"/>
  <c r="J88" i="5"/>
  <c r="J89" i="5"/>
  <c r="J90" i="5"/>
  <c r="J91" i="5"/>
  <c r="J92" i="5"/>
  <c r="J93" i="5"/>
  <c r="J94" i="5"/>
  <c r="J95" i="5"/>
  <c r="J96" i="5"/>
  <c r="J97" i="5"/>
  <c r="J98" i="5"/>
  <c r="J99" i="5"/>
  <c r="J100" i="5"/>
  <c r="J105" i="5"/>
  <c r="J106" i="5"/>
  <c r="J107" i="5"/>
  <c r="J108" i="5"/>
  <c r="J109" i="5"/>
  <c r="J110" i="5"/>
  <c r="J111" i="5"/>
  <c r="J112" i="5"/>
  <c r="J113" i="5"/>
  <c r="J114" i="5"/>
  <c r="J115" i="5"/>
  <c r="J116" i="5"/>
  <c r="J117" i="5"/>
  <c r="J118" i="5"/>
  <c r="J119" i="5"/>
  <c r="J123" i="5"/>
  <c r="J124" i="5"/>
  <c r="J125" i="5"/>
  <c r="J126" i="5"/>
  <c r="J127" i="5"/>
  <c r="J128" i="5"/>
  <c r="J129" i="5"/>
  <c r="J130" i="5"/>
  <c r="J131" i="5"/>
  <c r="J132" i="5"/>
  <c r="J133" i="5"/>
  <c r="J134" i="5"/>
  <c r="J31" i="5"/>
  <c r="J32" i="5"/>
  <c r="J33" i="5"/>
  <c r="J34" i="5"/>
  <c r="J35" i="5"/>
  <c r="J36" i="5"/>
  <c r="J37" i="5"/>
  <c r="J38" i="5"/>
  <c r="J39" i="5"/>
  <c r="J40" i="5"/>
  <c r="J41" i="5"/>
  <c r="B80" i="9"/>
  <c r="B81" i="9"/>
  <c r="B78" i="9"/>
  <c r="B79" i="9"/>
  <c r="B76" i="9"/>
  <c r="B77" i="9"/>
  <c r="B74" i="9"/>
  <c r="C74" i="9"/>
  <c r="B72" i="9"/>
  <c r="B73" i="9"/>
  <c r="B70" i="9"/>
  <c r="B68" i="9"/>
  <c r="B69" i="9"/>
  <c r="B66" i="9"/>
  <c r="B67" i="9"/>
  <c r="C78" i="9"/>
  <c r="C68" i="9"/>
  <c r="C80" i="9"/>
  <c r="D51" i="36"/>
  <c r="E51" i="36"/>
  <c r="F51" i="36"/>
  <c r="G51" i="36"/>
  <c r="H51" i="36"/>
  <c r="J51" i="36"/>
  <c r="AC34" i="39"/>
  <c r="D46" i="36"/>
  <c r="E46" i="36"/>
  <c r="F46" i="36"/>
  <c r="D22" i="37"/>
  <c r="E22" i="37"/>
  <c r="F22" i="37"/>
  <c r="G22" i="37"/>
  <c r="H22" i="37"/>
  <c r="J22" i="37"/>
  <c r="E52" i="30"/>
  <c r="E27" i="30"/>
  <c r="E31" i="30"/>
  <c r="E23" i="30"/>
  <c r="F23" i="30"/>
  <c r="G23" i="30"/>
  <c r="H23" i="30"/>
  <c r="J23" i="30"/>
  <c r="D41" i="37"/>
  <c r="D36" i="37"/>
  <c r="E36" i="37"/>
  <c r="F36" i="37"/>
  <c r="D33" i="37"/>
  <c r="E33" i="37"/>
  <c r="F33" i="37"/>
  <c r="D23" i="37"/>
  <c r="E23" i="37"/>
  <c r="F23" i="37"/>
  <c r="G23" i="37"/>
  <c r="H23" i="37"/>
  <c r="J23" i="37"/>
  <c r="D24" i="37"/>
  <c r="E24" i="37"/>
  <c r="F24" i="37"/>
  <c r="G24" i="37"/>
  <c r="H24" i="37"/>
  <c r="J24" i="37"/>
  <c r="D25" i="37"/>
  <c r="E25" i="37"/>
  <c r="F25" i="37"/>
  <c r="G25" i="37"/>
  <c r="H25" i="37"/>
  <c r="J25" i="37"/>
  <c r="AD8" i="39"/>
  <c r="D26" i="37"/>
  <c r="E26" i="37"/>
  <c r="F26" i="37"/>
  <c r="G26" i="37"/>
  <c r="H26" i="37"/>
  <c r="J26" i="37"/>
  <c r="D27" i="37"/>
  <c r="E27" i="37"/>
  <c r="F27" i="37"/>
  <c r="G27" i="37"/>
  <c r="H27" i="37"/>
  <c r="J27" i="37"/>
  <c r="AD10" i="39"/>
  <c r="D28" i="37"/>
  <c r="E28" i="37"/>
  <c r="F28" i="37"/>
  <c r="G28" i="37"/>
  <c r="H28" i="37"/>
  <c r="J28" i="37"/>
  <c r="D29" i="37"/>
  <c r="E29" i="37"/>
  <c r="F29" i="37"/>
  <c r="G29" i="37"/>
  <c r="H29" i="37"/>
  <c r="J29" i="37"/>
  <c r="AD12" i="39"/>
  <c r="D30" i="37"/>
  <c r="E30" i="37"/>
  <c r="F30" i="37"/>
  <c r="G30" i="37"/>
  <c r="H30" i="37"/>
  <c r="J30" i="37"/>
  <c r="D31" i="37"/>
  <c r="E31" i="37"/>
  <c r="F31" i="37"/>
  <c r="E50" i="37"/>
  <c r="E49" i="37"/>
  <c r="E48" i="37"/>
  <c r="E47" i="37"/>
  <c r="E45" i="37"/>
  <c r="E44" i="37"/>
  <c r="E43" i="37"/>
  <c r="E42" i="37"/>
  <c r="E40" i="37"/>
  <c r="E39" i="37"/>
  <c r="E38" i="37"/>
  <c r="E37" i="37"/>
  <c r="E35" i="37"/>
  <c r="E34" i="37"/>
  <c r="E32" i="37"/>
  <c r="I23" i="37"/>
  <c r="I24" i="37"/>
  <c r="I25" i="37"/>
  <c r="I26" i="37"/>
  <c r="I27" i="37"/>
  <c r="I28" i="37"/>
  <c r="I29" i="37"/>
  <c r="I30" i="37"/>
  <c r="I31" i="37"/>
  <c r="I32" i="37"/>
  <c r="I33" i="37"/>
  <c r="I34" i="37"/>
  <c r="I35" i="37"/>
  <c r="I36" i="37"/>
  <c r="I37" i="37"/>
  <c r="I38" i="37"/>
  <c r="I39" i="37"/>
  <c r="I40" i="37"/>
  <c r="I41" i="37"/>
  <c r="I42" i="37"/>
  <c r="I43" i="37"/>
  <c r="I44" i="37"/>
  <c r="I45" i="37"/>
  <c r="I46" i="37"/>
  <c r="I47" i="37"/>
  <c r="I48" i="37"/>
  <c r="I49" i="37"/>
  <c r="I50" i="37"/>
  <c r="I51" i="37"/>
  <c r="D41" i="36"/>
  <c r="E41" i="36"/>
  <c r="F41" i="36"/>
  <c r="D36" i="36"/>
  <c r="E36" i="36"/>
  <c r="F36" i="36"/>
  <c r="L50" i="36"/>
  <c r="N50" i="36"/>
  <c r="O50" i="36"/>
  <c r="E50" i="36"/>
  <c r="L49" i="36"/>
  <c r="N49" i="36"/>
  <c r="O49" i="36"/>
  <c r="E49" i="36"/>
  <c r="L48" i="36"/>
  <c r="N48" i="36"/>
  <c r="O48" i="36"/>
  <c r="E48" i="36"/>
  <c r="L47" i="36"/>
  <c r="N47" i="36"/>
  <c r="O47" i="36"/>
  <c r="E47" i="36"/>
  <c r="L45" i="36"/>
  <c r="N45" i="36"/>
  <c r="O45" i="36"/>
  <c r="E45" i="36"/>
  <c r="L44" i="36"/>
  <c r="N44" i="36"/>
  <c r="O44" i="36"/>
  <c r="E44" i="36"/>
  <c r="L43" i="36"/>
  <c r="N43" i="36"/>
  <c r="O43" i="36"/>
  <c r="E43" i="36"/>
  <c r="L42" i="36"/>
  <c r="N42" i="36"/>
  <c r="O42" i="36"/>
  <c r="E42" i="36"/>
  <c r="L40" i="36"/>
  <c r="N40" i="36"/>
  <c r="O40" i="36"/>
  <c r="E40" i="36"/>
  <c r="L39" i="36"/>
  <c r="N39" i="36"/>
  <c r="O39" i="36"/>
  <c r="E39" i="36"/>
  <c r="L38" i="36"/>
  <c r="N38" i="36"/>
  <c r="O38" i="36"/>
  <c r="E38" i="36"/>
  <c r="L37" i="36"/>
  <c r="N37" i="36"/>
  <c r="O37" i="36"/>
  <c r="E37" i="36"/>
  <c r="L35" i="36"/>
  <c r="N35" i="36"/>
  <c r="O35" i="36"/>
  <c r="E35" i="36"/>
  <c r="L34" i="36"/>
  <c r="N34" i="36"/>
  <c r="O34" i="36"/>
  <c r="E34" i="36"/>
  <c r="L32" i="36"/>
  <c r="N32" i="36"/>
  <c r="O32" i="36"/>
  <c r="E32" i="36"/>
  <c r="I23" i="36"/>
  <c r="I24" i="36"/>
  <c r="I25" i="36"/>
  <c r="I26" i="36"/>
  <c r="I27" i="36"/>
  <c r="I28" i="36"/>
  <c r="I29" i="36"/>
  <c r="I30" i="36"/>
  <c r="I31" i="36"/>
  <c r="I32" i="36"/>
  <c r="I33" i="36"/>
  <c r="I34" i="36"/>
  <c r="I35" i="36"/>
  <c r="I36" i="36"/>
  <c r="I37" i="36"/>
  <c r="I38" i="36"/>
  <c r="I39" i="36"/>
  <c r="I40" i="36"/>
  <c r="I41" i="36"/>
  <c r="I42" i="36"/>
  <c r="I43" i="36"/>
  <c r="I44" i="36"/>
  <c r="I45" i="36"/>
  <c r="I46" i="36"/>
  <c r="I47" i="36"/>
  <c r="I48" i="36"/>
  <c r="I49" i="36"/>
  <c r="I50" i="36"/>
  <c r="I51" i="36"/>
  <c r="E51" i="35"/>
  <c r="F51" i="35"/>
  <c r="G51" i="35"/>
  <c r="H51" i="35"/>
  <c r="J51" i="35"/>
  <c r="E38" i="35"/>
  <c r="I23" i="35"/>
  <c r="I24" i="35"/>
  <c r="I25" i="35"/>
  <c r="I26" i="35"/>
  <c r="I27" i="35"/>
  <c r="I28" i="35"/>
  <c r="I29" i="35"/>
  <c r="I30" i="35"/>
  <c r="I31" i="35"/>
  <c r="I32" i="35"/>
  <c r="I33" i="35"/>
  <c r="I34" i="35"/>
  <c r="I35" i="35"/>
  <c r="I36" i="35"/>
  <c r="I37" i="35"/>
  <c r="I38" i="35"/>
  <c r="I39" i="35"/>
  <c r="I40" i="35"/>
  <c r="I41" i="35"/>
  <c r="I42" i="35"/>
  <c r="I43" i="35"/>
  <c r="I44" i="35"/>
  <c r="I45" i="35"/>
  <c r="I46" i="35"/>
  <c r="I47" i="35"/>
  <c r="I48" i="35"/>
  <c r="I49" i="35"/>
  <c r="I50" i="35"/>
  <c r="I51" i="35"/>
  <c r="D51" i="34"/>
  <c r="E51" i="34"/>
  <c r="F51" i="34"/>
  <c r="G51" i="34"/>
  <c r="H51" i="34"/>
  <c r="J51" i="34"/>
  <c r="AA34" i="39"/>
  <c r="D41" i="34"/>
  <c r="E41" i="34"/>
  <c r="F41" i="34"/>
  <c r="L50" i="34"/>
  <c r="N50" i="34"/>
  <c r="O50" i="34"/>
  <c r="E50" i="34"/>
  <c r="L49" i="34"/>
  <c r="N49" i="34"/>
  <c r="O49" i="34"/>
  <c r="E49" i="34"/>
  <c r="L48" i="34"/>
  <c r="N48" i="34"/>
  <c r="O48" i="34"/>
  <c r="E48" i="34"/>
  <c r="L47" i="34"/>
  <c r="N47" i="34"/>
  <c r="O47" i="34"/>
  <c r="E47" i="34"/>
  <c r="L45" i="34"/>
  <c r="N45" i="34"/>
  <c r="O45" i="34"/>
  <c r="E45" i="34"/>
  <c r="L44" i="34"/>
  <c r="N44" i="34"/>
  <c r="O44" i="34"/>
  <c r="E44" i="34"/>
  <c r="L43" i="34"/>
  <c r="N43" i="34"/>
  <c r="O43" i="34"/>
  <c r="E43" i="34"/>
  <c r="L42" i="34"/>
  <c r="N42" i="34"/>
  <c r="O42" i="34"/>
  <c r="E42" i="34"/>
  <c r="L40" i="34"/>
  <c r="N40" i="34"/>
  <c r="O40" i="34"/>
  <c r="E40" i="34"/>
  <c r="L39" i="34"/>
  <c r="N39" i="34"/>
  <c r="O39" i="34"/>
  <c r="E39" i="34"/>
  <c r="L38" i="34"/>
  <c r="N38" i="34"/>
  <c r="O38" i="34"/>
  <c r="E38" i="34"/>
  <c r="L37" i="34"/>
  <c r="N37" i="34"/>
  <c r="O37" i="34"/>
  <c r="E37" i="34"/>
  <c r="L35" i="34"/>
  <c r="N35" i="34"/>
  <c r="O35" i="34"/>
  <c r="E35" i="34"/>
  <c r="L34" i="34"/>
  <c r="N34" i="34"/>
  <c r="O34" i="34"/>
  <c r="E34" i="34"/>
  <c r="E33" i="34"/>
  <c r="F33" i="34"/>
  <c r="L32" i="34"/>
  <c r="N32" i="34"/>
  <c r="O32" i="34"/>
  <c r="E32" i="34"/>
  <c r="E26" i="34"/>
  <c r="F26" i="34"/>
  <c r="G26" i="34"/>
  <c r="H26" i="34"/>
  <c r="J26" i="34"/>
  <c r="I23" i="34"/>
  <c r="I24" i="34"/>
  <c r="I25" i="34"/>
  <c r="I26" i="34"/>
  <c r="I27" i="34"/>
  <c r="I28" i="34"/>
  <c r="I29" i="34"/>
  <c r="I30" i="34"/>
  <c r="I31" i="34"/>
  <c r="I32" i="34"/>
  <c r="I33" i="34"/>
  <c r="I34" i="34"/>
  <c r="I35" i="34"/>
  <c r="I36" i="34"/>
  <c r="I37" i="34"/>
  <c r="I38" i="34"/>
  <c r="I39" i="34"/>
  <c r="I40" i="34"/>
  <c r="I41" i="34"/>
  <c r="I42" i="34"/>
  <c r="I43" i="34"/>
  <c r="I44" i="34"/>
  <c r="I45" i="34"/>
  <c r="I46" i="34"/>
  <c r="I47" i="34"/>
  <c r="I48" i="34"/>
  <c r="I49" i="34"/>
  <c r="I50" i="34"/>
  <c r="I51" i="34"/>
  <c r="D51" i="33"/>
  <c r="E51" i="33"/>
  <c r="F51" i="33"/>
  <c r="G51" i="33"/>
  <c r="H51" i="33"/>
  <c r="J51" i="33"/>
  <c r="Z34" i="39"/>
  <c r="E46" i="33"/>
  <c r="F46" i="33"/>
  <c r="D41" i="33"/>
  <c r="E41" i="33"/>
  <c r="F41" i="33"/>
  <c r="E23" i="33"/>
  <c r="F23" i="33"/>
  <c r="G23" i="33"/>
  <c r="H23" i="33"/>
  <c r="J23" i="33"/>
  <c r="E27" i="33"/>
  <c r="F27" i="33"/>
  <c r="G27" i="33"/>
  <c r="H27" i="33"/>
  <c r="J27" i="33"/>
  <c r="E31" i="33"/>
  <c r="F31" i="33"/>
  <c r="G31" i="33"/>
  <c r="H31" i="33"/>
  <c r="J31" i="33"/>
  <c r="E50" i="33"/>
  <c r="L49" i="33"/>
  <c r="N49" i="33"/>
  <c r="O49" i="33"/>
  <c r="E49" i="33"/>
  <c r="E48" i="33"/>
  <c r="E47" i="33"/>
  <c r="E45" i="33"/>
  <c r="E44" i="33"/>
  <c r="E43" i="33"/>
  <c r="E42" i="33"/>
  <c r="E40" i="33"/>
  <c r="E39" i="33"/>
  <c r="E38" i="33"/>
  <c r="E37" i="33"/>
  <c r="E35" i="33"/>
  <c r="I23" i="33"/>
  <c r="I24" i="33"/>
  <c r="I25" i="33"/>
  <c r="I26" i="33"/>
  <c r="I27" i="33"/>
  <c r="I28" i="33"/>
  <c r="I29" i="33"/>
  <c r="I30" i="33"/>
  <c r="I31" i="33"/>
  <c r="I32" i="33"/>
  <c r="I33" i="33"/>
  <c r="I34" i="33"/>
  <c r="I35" i="33"/>
  <c r="I36" i="33"/>
  <c r="I37" i="33"/>
  <c r="I38" i="33"/>
  <c r="I39" i="33"/>
  <c r="I40" i="33"/>
  <c r="I41" i="33"/>
  <c r="I42" i="33"/>
  <c r="I43" i="33"/>
  <c r="I44" i="33"/>
  <c r="I45" i="33"/>
  <c r="I46" i="33"/>
  <c r="I47" i="33"/>
  <c r="I48" i="33"/>
  <c r="I49" i="33"/>
  <c r="I50" i="33"/>
  <c r="I51" i="33"/>
  <c r="D46" i="32"/>
  <c r="E46" i="32"/>
  <c r="F46" i="32"/>
  <c r="E50" i="32"/>
  <c r="E49" i="32"/>
  <c r="E48" i="32"/>
  <c r="E47" i="32"/>
  <c r="E45" i="32"/>
  <c r="E44" i="32"/>
  <c r="E43" i="32"/>
  <c r="E42" i="32"/>
  <c r="E38" i="32"/>
  <c r="F38" i="32"/>
  <c r="G38" i="32"/>
  <c r="H38" i="32"/>
  <c r="J38" i="32"/>
  <c r="Y21" i="39"/>
  <c r="E34" i="32"/>
  <c r="E32" i="32"/>
  <c r="F32" i="32"/>
  <c r="G32" i="32"/>
  <c r="H32" i="32"/>
  <c r="J32" i="32"/>
  <c r="I23" i="32"/>
  <c r="I24" i="32"/>
  <c r="I25" i="32"/>
  <c r="I26" i="32"/>
  <c r="I27" i="32"/>
  <c r="I28" i="32"/>
  <c r="I29" i="32"/>
  <c r="I30" i="32"/>
  <c r="I31" i="32"/>
  <c r="I32" i="32"/>
  <c r="I33" i="32"/>
  <c r="I34" i="32"/>
  <c r="I35" i="32"/>
  <c r="I36" i="32"/>
  <c r="I37" i="32"/>
  <c r="I38" i="32"/>
  <c r="I39" i="32"/>
  <c r="I40" i="32"/>
  <c r="I41" i="32"/>
  <c r="I42" i="32"/>
  <c r="I43" i="32"/>
  <c r="I44" i="32"/>
  <c r="I45" i="32"/>
  <c r="I46" i="32"/>
  <c r="I47" i="32"/>
  <c r="I48" i="32"/>
  <c r="I49" i="32"/>
  <c r="I50" i="32"/>
  <c r="I51" i="32"/>
  <c r="E27" i="31"/>
  <c r="F27" i="31"/>
  <c r="G27" i="31"/>
  <c r="H27" i="31"/>
  <c r="J27" i="31"/>
  <c r="E29" i="31"/>
  <c r="F29" i="31"/>
  <c r="G29" i="31"/>
  <c r="H29" i="31"/>
  <c r="J29" i="31"/>
  <c r="E50" i="31"/>
  <c r="F50" i="31"/>
  <c r="G50" i="31"/>
  <c r="H50" i="31"/>
  <c r="J50" i="31"/>
  <c r="X33" i="39"/>
  <c r="E48" i="31"/>
  <c r="F48" i="31"/>
  <c r="G48" i="31"/>
  <c r="H48" i="31"/>
  <c r="J48" i="31"/>
  <c r="X31" i="39"/>
  <c r="E46" i="31"/>
  <c r="F46" i="31"/>
  <c r="G46" i="31"/>
  <c r="H46" i="31"/>
  <c r="J46" i="31"/>
  <c r="X29" i="39"/>
  <c r="E42" i="31"/>
  <c r="F42" i="31"/>
  <c r="G42" i="31"/>
  <c r="H42" i="31"/>
  <c r="J42" i="31"/>
  <c r="X25" i="39"/>
  <c r="E40" i="31"/>
  <c r="F40" i="31"/>
  <c r="G40" i="31"/>
  <c r="H40" i="31"/>
  <c r="J40" i="31"/>
  <c r="X23" i="39"/>
  <c r="E38" i="31"/>
  <c r="F38" i="31"/>
  <c r="G38" i="31"/>
  <c r="H38" i="31"/>
  <c r="J38" i="31"/>
  <c r="E33" i="31"/>
  <c r="F33" i="31"/>
  <c r="G33" i="31"/>
  <c r="H33" i="31"/>
  <c r="J33" i="31"/>
  <c r="I23" i="31"/>
  <c r="I24" i="31"/>
  <c r="I25" i="31"/>
  <c r="I26" i="31"/>
  <c r="I27" i="31"/>
  <c r="I28" i="31"/>
  <c r="I29" i="31"/>
  <c r="I30" i="31"/>
  <c r="I31" i="31"/>
  <c r="I32" i="31"/>
  <c r="I33" i="31"/>
  <c r="I34" i="31"/>
  <c r="I35" i="31"/>
  <c r="I36" i="31"/>
  <c r="I37" i="31"/>
  <c r="I38" i="31"/>
  <c r="I39" i="31"/>
  <c r="I40" i="31"/>
  <c r="I41" i="31"/>
  <c r="I42" i="31"/>
  <c r="I43" i="31"/>
  <c r="I44" i="31"/>
  <c r="I45" i="31"/>
  <c r="I46" i="31"/>
  <c r="I47" i="31"/>
  <c r="I48" i="31"/>
  <c r="I49" i="31"/>
  <c r="I50" i="31"/>
  <c r="I51" i="31"/>
  <c r="E25" i="36"/>
  <c r="F25" i="36"/>
  <c r="G25" i="36"/>
  <c r="H25" i="36"/>
  <c r="J25" i="36"/>
  <c r="E22" i="31"/>
  <c r="F22" i="31"/>
  <c r="G22" i="31"/>
  <c r="H22" i="31"/>
  <c r="J22" i="31"/>
  <c r="F34" i="32"/>
  <c r="G34" i="32"/>
  <c r="H34" i="32"/>
  <c r="J34" i="32"/>
  <c r="Y17" i="39"/>
  <c r="E51" i="30"/>
  <c r="E50" i="30"/>
  <c r="E49" i="30"/>
  <c r="E48" i="30"/>
  <c r="E47" i="30"/>
  <c r="E46" i="30"/>
  <c r="E45" i="30"/>
  <c r="E44" i="30"/>
  <c r="E43" i="30"/>
  <c r="E42" i="30"/>
  <c r="E41" i="30"/>
  <c r="E39" i="30"/>
  <c r="E38" i="30"/>
  <c r="E37" i="30"/>
  <c r="E35" i="30"/>
  <c r="E34" i="30"/>
  <c r="E33" i="30"/>
  <c r="E32" i="30"/>
  <c r="E30" i="30"/>
  <c r="E29" i="30"/>
  <c r="E28" i="30"/>
  <c r="E26" i="30"/>
  <c r="I24" i="30"/>
  <c r="I25" i="30"/>
  <c r="E24" i="30"/>
  <c r="F24" i="30"/>
  <c r="G24" i="30"/>
  <c r="E25" i="30"/>
  <c r="A5" i="26"/>
  <c r="B3" i="8"/>
  <c r="B3" i="1"/>
  <c r="B3" i="11"/>
  <c r="B3" i="10"/>
  <c r="B3" i="9"/>
  <c r="B3" i="6"/>
  <c r="AW198" i="6"/>
  <c r="B3" i="7"/>
  <c r="B3" i="22"/>
  <c r="I2" i="1"/>
  <c r="I3" i="1"/>
  <c r="I4" i="1"/>
  <c r="I5" i="1"/>
  <c r="I9" i="1"/>
  <c r="I8" i="1"/>
  <c r="B5" i="11"/>
  <c r="BN116" i="2"/>
  <c r="B5" i="10"/>
  <c r="BE116" i="2"/>
  <c r="B5" i="22"/>
  <c r="AV116" i="2"/>
  <c r="B5" i="8"/>
  <c r="B5" i="7"/>
  <c r="AD116" i="2"/>
  <c r="B5" i="6"/>
  <c r="U116" i="2"/>
  <c r="AL7" i="26"/>
  <c r="AL8" i="26"/>
  <c r="AL9" i="26"/>
  <c r="AL10" i="26"/>
  <c r="AL11" i="26"/>
  <c r="AL12" i="26"/>
  <c r="AL13" i="26"/>
  <c r="AL14" i="26"/>
  <c r="AL15" i="26"/>
  <c r="AL16" i="26"/>
  <c r="AL17" i="26"/>
  <c r="AL18" i="26"/>
  <c r="AL19" i="26"/>
  <c r="AL20" i="26"/>
  <c r="AL21" i="26"/>
  <c r="AL22" i="26"/>
  <c r="AL23" i="26"/>
  <c r="AL24" i="26"/>
  <c r="AL25" i="26"/>
  <c r="AL26" i="26"/>
  <c r="AL27" i="26"/>
  <c r="AL28" i="26"/>
  <c r="AL29" i="26"/>
  <c r="AL30" i="26"/>
  <c r="AL31" i="26"/>
  <c r="AL32" i="26"/>
  <c r="AL33" i="26"/>
  <c r="AL34" i="26"/>
  <c r="AL35" i="26"/>
  <c r="AL36" i="26"/>
  <c r="AL37" i="26"/>
  <c r="AL38" i="26"/>
  <c r="AL39" i="26"/>
  <c r="AL40" i="26"/>
  <c r="AL41" i="26"/>
  <c r="AL42" i="26"/>
  <c r="AL43" i="26"/>
  <c r="AL44" i="26"/>
  <c r="AL45" i="26"/>
  <c r="AL46" i="26"/>
  <c r="AL47" i="26"/>
  <c r="AL48" i="26"/>
  <c r="AL49" i="26"/>
  <c r="AL50" i="26"/>
  <c r="AL51" i="26"/>
  <c r="AL52" i="26"/>
  <c r="AL53" i="26"/>
  <c r="AL54" i="26"/>
  <c r="AL55" i="26"/>
  <c r="AL56" i="26"/>
  <c r="AL57" i="26"/>
  <c r="AL58" i="26"/>
  <c r="AL59" i="26"/>
  <c r="AL60" i="26"/>
  <c r="AL61" i="26"/>
  <c r="AL62" i="26"/>
  <c r="AL63" i="26"/>
  <c r="AL64" i="26"/>
  <c r="AL65" i="26"/>
  <c r="AL66" i="26"/>
  <c r="AL67" i="26"/>
  <c r="AL68" i="26"/>
  <c r="AL69" i="26"/>
  <c r="AL70" i="26"/>
  <c r="AL71" i="26"/>
  <c r="AL72" i="26"/>
  <c r="AL73" i="26"/>
  <c r="AL74" i="26"/>
  <c r="AL75" i="26"/>
  <c r="AL76" i="26"/>
  <c r="AL77" i="26"/>
  <c r="AL78" i="26"/>
  <c r="AL79" i="26"/>
  <c r="AL80" i="26"/>
  <c r="AL81" i="26"/>
  <c r="AL82" i="26"/>
  <c r="AL83" i="26"/>
  <c r="AL84" i="26"/>
  <c r="AL85" i="26"/>
  <c r="AL86" i="26"/>
  <c r="AL87" i="26"/>
  <c r="AL88" i="26"/>
  <c r="AL89" i="26"/>
  <c r="AL90" i="26"/>
  <c r="AL91" i="26"/>
  <c r="AL92" i="26"/>
  <c r="AL93" i="26"/>
  <c r="AL94" i="26"/>
  <c r="AL95" i="26"/>
  <c r="AL96" i="26"/>
  <c r="AL97" i="26"/>
  <c r="AL98" i="26"/>
  <c r="AL99" i="26"/>
  <c r="AL100" i="26"/>
  <c r="AL101" i="26"/>
  <c r="AL102" i="26"/>
  <c r="AL103" i="26"/>
  <c r="AL104" i="26"/>
  <c r="AG7" i="26"/>
  <c r="AG8" i="26"/>
  <c r="AG9" i="26"/>
  <c r="AG10" i="26"/>
  <c r="AG11" i="26"/>
  <c r="AG12" i="26"/>
  <c r="AG13" i="26"/>
  <c r="AG14" i="26"/>
  <c r="AG15" i="26"/>
  <c r="AG16" i="26"/>
  <c r="AG17" i="26"/>
  <c r="AG18" i="26"/>
  <c r="AG19" i="26"/>
  <c r="AG20" i="26"/>
  <c r="AG21" i="26"/>
  <c r="AG22" i="26"/>
  <c r="AG23" i="26"/>
  <c r="AG24" i="26"/>
  <c r="AG25" i="26"/>
  <c r="AG26" i="26"/>
  <c r="AG27" i="26"/>
  <c r="AG28" i="26"/>
  <c r="AG29" i="26"/>
  <c r="AG30" i="26"/>
  <c r="AG31" i="26"/>
  <c r="AG32" i="26"/>
  <c r="AG33" i="26"/>
  <c r="AG34" i="26"/>
  <c r="AG35" i="26"/>
  <c r="AG36" i="26"/>
  <c r="AG37" i="26"/>
  <c r="AG38" i="26"/>
  <c r="AG39" i="26"/>
  <c r="AG40" i="26"/>
  <c r="AG41" i="26"/>
  <c r="AG42" i="26"/>
  <c r="AG43" i="26"/>
  <c r="AG44" i="26"/>
  <c r="AG45" i="26"/>
  <c r="AG46" i="26"/>
  <c r="AG47" i="26"/>
  <c r="AG48" i="26"/>
  <c r="AG49" i="26"/>
  <c r="AG50" i="26"/>
  <c r="AG51" i="26"/>
  <c r="AG52" i="26"/>
  <c r="AG53" i="26"/>
  <c r="AG54" i="26"/>
  <c r="AG55" i="26"/>
  <c r="AG56" i="26"/>
  <c r="AG57" i="26"/>
  <c r="AG58" i="26"/>
  <c r="AG59" i="26"/>
  <c r="AG60" i="26"/>
  <c r="AG61" i="26"/>
  <c r="AG62" i="26"/>
  <c r="AG63" i="26"/>
  <c r="AG64" i="26"/>
  <c r="AG65" i="26"/>
  <c r="AG66" i="26"/>
  <c r="AG67" i="26"/>
  <c r="AG68" i="26"/>
  <c r="AG69" i="26"/>
  <c r="AG70" i="26"/>
  <c r="AG71" i="26"/>
  <c r="AG72" i="26"/>
  <c r="AG73" i="26"/>
  <c r="AG74" i="26"/>
  <c r="AG75" i="26"/>
  <c r="AG76" i="26"/>
  <c r="AG77" i="26"/>
  <c r="AG78" i="26"/>
  <c r="AG79" i="26"/>
  <c r="AG80" i="26"/>
  <c r="AG81" i="26"/>
  <c r="AG82" i="26"/>
  <c r="AG83" i="26"/>
  <c r="AG84" i="26"/>
  <c r="AG85" i="26"/>
  <c r="AG86" i="26"/>
  <c r="AG87" i="26"/>
  <c r="AG88" i="26"/>
  <c r="AG89" i="26"/>
  <c r="AG90" i="26"/>
  <c r="AG91" i="26"/>
  <c r="AG92" i="26"/>
  <c r="AG93" i="26"/>
  <c r="AG94" i="26"/>
  <c r="AG95" i="26"/>
  <c r="AG96" i="26"/>
  <c r="AG97" i="26"/>
  <c r="AG98" i="26"/>
  <c r="AG99" i="26"/>
  <c r="AG100" i="26"/>
  <c r="AG101" i="26"/>
  <c r="AG102" i="26"/>
  <c r="AG103" i="26"/>
  <c r="AG104" i="26"/>
  <c r="AB7" i="26"/>
  <c r="AB8" i="26"/>
  <c r="AB9" i="26"/>
  <c r="AB10" i="26"/>
  <c r="AB11" i="26"/>
  <c r="AB12" i="26"/>
  <c r="AB13" i="26"/>
  <c r="AB14" i="26"/>
  <c r="AB15" i="26"/>
  <c r="AB16" i="26"/>
  <c r="AB17" i="26"/>
  <c r="AB18" i="26"/>
  <c r="AB19" i="26"/>
  <c r="AB20" i="26"/>
  <c r="AB21" i="26"/>
  <c r="AB22" i="26"/>
  <c r="AB23" i="26"/>
  <c r="AB24" i="26"/>
  <c r="AB25" i="26"/>
  <c r="AB26" i="26"/>
  <c r="AB27" i="26"/>
  <c r="AB28" i="26"/>
  <c r="AB29" i="26"/>
  <c r="AB30" i="26"/>
  <c r="AB31" i="26"/>
  <c r="AB32" i="26"/>
  <c r="AB33" i="26"/>
  <c r="AB34" i="26"/>
  <c r="AB35" i="26"/>
  <c r="AB36" i="26"/>
  <c r="AB37" i="26"/>
  <c r="AB38" i="26"/>
  <c r="AB39" i="26"/>
  <c r="AB40" i="26"/>
  <c r="AB41" i="26"/>
  <c r="AB42" i="26"/>
  <c r="AB43" i="26"/>
  <c r="AB44" i="26"/>
  <c r="AB45" i="26"/>
  <c r="AB46" i="26"/>
  <c r="AB47" i="26"/>
  <c r="AB48" i="26"/>
  <c r="AB49" i="26"/>
  <c r="AB50" i="26"/>
  <c r="AB51" i="26"/>
  <c r="AB52" i="26"/>
  <c r="AB53" i="26"/>
  <c r="AB54" i="26"/>
  <c r="AB55" i="26"/>
  <c r="AB56" i="26"/>
  <c r="AB57" i="26"/>
  <c r="AB58" i="26"/>
  <c r="AB59" i="26"/>
  <c r="AB60" i="26"/>
  <c r="AB61" i="26"/>
  <c r="AB62" i="26"/>
  <c r="AB63" i="26"/>
  <c r="AB64" i="26"/>
  <c r="AB65" i="26"/>
  <c r="AB66" i="26"/>
  <c r="AB67" i="26"/>
  <c r="AB68" i="26"/>
  <c r="AB69" i="26"/>
  <c r="AB70" i="26"/>
  <c r="AB71" i="26"/>
  <c r="AB72" i="26"/>
  <c r="AB73" i="26"/>
  <c r="AB74" i="26"/>
  <c r="AB75" i="26"/>
  <c r="AB76" i="26"/>
  <c r="AB77" i="26"/>
  <c r="AB78" i="26"/>
  <c r="AB79" i="26"/>
  <c r="AB80" i="26"/>
  <c r="AB81" i="26"/>
  <c r="AB82" i="26"/>
  <c r="AB83" i="26"/>
  <c r="AB84" i="26"/>
  <c r="AB85" i="26"/>
  <c r="AB86" i="26"/>
  <c r="AB87" i="26"/>
  <c r="AB88" i="26"/>
  <c r="AB89" i="26"/>
  <c r="AB90" i="26"/>
  <c r="AB91" i="26"/>
  <c r="AB92" i="26"/>
  <c r="AB93" i="26"/>
  <c r="AB94" i="26"/>
  <c r="AB95" i="26"/>
  <c r="AB96" i="26"/>
  <c r="AB97" i="26"/>
  <c r="AB98" i="26"/>
  <c r="AB99" i="26"/>
  <c r="AB100" i="26"/>
  <c r="AB101" i="26"/>
  <c r="AB102" i="26"/>
  <c r="AB103" i="26"/>
  <c r="AB104" i="26"/>
  <c r="W7" i="26"/>
  <c r="W8" i="26"/>
  <c r="W9" i="26"/>
  <c r="W10" i="26"/>
  <c r="W11" i="26"/>
  <c r="W12" i="26"/>
  <c r="W13" i="26"/>
  <c r="W14" i="26"/>
  <c r="W15" i="26"/>
  <c r="W16" i="26"/>
  <c r="W17" i="26"/>
  <c r="W18" i="26"/>
  <c r="W19" i="26"/>
  <c r="W20" i="26"/>
  <c r="W21" i="26"/>
  <c r="W22" i="26"/>
  <c r="W23" i="26"/>
  <c r="W24" i="26"/>
  <c r="W25" i="26"/>
  <c r="W26" i="26"/>
  <c r="W27" i="26"/>
  <c r="W28" i="26"/>
  <c r="W29" i="26"/>
  <c r="W30" i="26"/>
  <c r="W31" i="26"/>
  <c r="W32" i="26"/>
  <c r="W33" i="26"/>
  <c r="W34" i="26"/>
  <c r="W35" i="26"/>
  <c r="W36" i="26"/>
  <c r="W37" i="26"/>
  <c r="W38" i="26"/>
  <c r="W39" i="26"/>
  <c r="W40" i="26"/>
  <c r="W41" i="26"/>
  <c r="W42" i="26"/>
  <c r="W43" i="26"/>
  <c r="W44" i="26"/>
  <c r="W45" i="26"/>
  <c r="W46" i="26"/>
  <c r="W47" i="26"/>
  <c r="W48" i="26"/>
  <c r="W49" i="26"/>
  <c r="W50" i="26"/>
  <c r="W51" i="26"/>
  <c r="W52" i="26"/>
  <c r="W53" i="26"/>
  <c r="W54" i="26"/>
  <c r="W55" i="26"/>
  <c r="W56" i="26"/>
  <c r="W57" i="26"/>
  <c r="W58" i="26"/>
  <c r="W59" i="26"/>
  <c r="W60" i="26"/>
  <c r="W61" i="26"/>
  <c r="W62" i="26"/>
  <c r="W63" i="26"/>
  <c r="W64" i="26"/>
  <c r="W65" i="26"/>
  <c r="W66" i="26"/>
  <c r="W67" i="26"/>
  <c r="W68" i="26"/>
  <c r="W69" i="26"/>
  <c r="W70" i="26"/>
  <c r="W71" i="26"/>
  <c r="W72" i="26"/>
  <c r="W73" i="26"/>
  <c r="W74" i="26"/>
  <c r="W75" i="26"/>
  <c r="W76" i="26"/>
  <c r="W77" i="26"/>
  <c r="W78" i="26"/>
  <c r="W79" i="26"/>
  <c r="W80" i="26"/>
  <c r="W81" i="26"/>
  <c r="W82" i="26"/>
  <c r="W83" i="26"/>
  <c r="W84" i="26"/>
  <c r="W85" i="26"/>
  <c r="W86" i="26"/>
  <c r="W87" i="26"/>
  <c r="W88" i="26"/>
  <c r="W89" i="26"/>
  <c r="W90" i="26"/>
  <c r="W91" i="26"/>
  <c r="W92" i="26"/>
  <c r="W93" i="26"/>
  <c r="W94" i="26"/>
  <c r="W95" i="26"/>
  <c r="W96" i="26"/>
  <c r="W97" i="26"/>
  <c r="W98" i="26"/>
  <c r="W99" i="26"/>
  <c r="W100" i="26"/>
  <c r="W101" i="26"/>
  <c r="W102" i="26"/>
  <c r="W103" i="26"/>
  <c r="W104" i="26"/>
  <c r="R7" i="26"/>
  <c r="R8" i="26"/>
  <c r="R9" i="26"/>
  <c r="R10" i="26"/>
  <c r="R11" i="26"/>
  <c r="R12" i="26"/>
  <c r="R13" i="26"/>
  <c r="R14" i="26"/>
  <c r="R15" i="26"/>
  <c r="R16" i="26"/>
  <c r="R17" i="26"/>
  <c r="R18" i="26"/>
  <c r="R19" i="26"/>
  <c r="R20" i="26"/>
  <c r="R21" i="26"/>
  <c r="R22" i="26"/>
  <c r="R23" i="26"/>
  <c r="R24" i="26"/>
  <c r="R25" i="26"/>
  <c r="R26" i="26"/>
  <c r="R27" i="26"/>
  <c r="R28" i="26"/>
  <c r="R29" i="26"/>
  <c r="R30" i="26"/>
  <c r="R31" i="26"/>
  <c r="R32" i="26"/>
  <c r="R33" i="26"/>
  <c r="R34" i="26"/>
  <c r="R35" i="26"/>
  <c r="R36" i="26"/>
  <c r="R37" i="26"/>
  <c r="R38" i="26"/>
  <c r="R39" i="26"/>
  <c r="R40" i="26"/>
  <c r="R41" i="26"/>
  <c r="R42" i="26"/>
  <c r="R43" i="26"/>
  <c r="R44" i="26"/>
  <c r="R45" i="26"/>
  <c r="R46" i="26"/>
  <c r="R47" i="26"/>
  <c r="R48" i="26"/>
  <c r="R49" i="26"/>
  <c r="R50" i="26"/>
  <c r="R51" i="26"/>
  <c r="R52" i="26"/>
  <c r="R53" i="26"/>
  <c r="R54" i="26"/>
  <c r="R55" i="26"/>
  <c r="R56" i="26"/>
  <c r="R57" i="26"/>
  <c r="R58" i="26"/>
  <c r="R59" i="26"/>
  <c r="R60" i="26"/>
  <c r="R61" i="26"/>
  <c r="R62" i="26"/>
  <c r="R63" i="26"/>
  <c r="R64" i="26"/>
  <c r="R65" i="26"/>
  <c r="R66" i="26"/>
  <c r="R67" i="26"/>
  <c r="R68" i="26"/>
  <c r="R69" i="26"/>
  <c r="R70" i="26"/>
  <c r="R71" i="26"/>
  <c r="R72" i="26"/>
  <c r="R73" i="26"/>
  <c r="R74" i="26"/>
  <c r="R75" i="26"/>
  <c r="R76" i="26"/>
  <c r="R77" i="26"/>
  <c r="R78" i="26"/>
  <c r="R79" i="26"/>
  <c r="R80" i="26"/>
  <c r="R81" i="26"/>
  <c r="R82" i="26"/>
  <c r="R83" i="26"/>
  <c r="R84" i="26"/>
  <c r="R85" i="26"/>
  <c r="R86" i="26"/>
  <c r="R87" i="26"/>
  <c r="R88" i="26"/>
  <c r="R89" i="26"/>
  <c r="R90" i="26"/>
  <c r="R91" i="26"/>
  <c r="R92" i="26"/>
  <c r="R93" i="26"/>
  <c r="R94" i="26"/>
  <c r="R95" i="26"/>
  <c r="R96" i="26"/>
  <c r="R97" i="26"/>
  <c r="R98" i="26"/>
  <c r="R99" i="26"/>
  <c r="R100" i="26"/>
  <c r="R101" i="26"/>
  <c r="R102" i="26"/>
  <c r="R103" i="26"/>
  <c r="R104" i="26"/>
  <c r="M7" i="26"/>
  <c r="M8" i="26"/>
  <c r="M9" i="26"/>
  <c r="M10" i="26"/>
  <c r="M11" i="26"/>
  <c r="M12" i="26"/>
  <c r="M13" i="26"/>
  <c r="M14" i="26"/>
  <c r="M15" i="26"/>
  <c r="M16" i="26"/>
  <c r="M17" i="26"/>
  <c r="M18" i="26"/>
  <c r="M19" i="26"/>
  <c r="M20" i="26"/>
  <c r="M21" i="26"/>
  <c r="M22" i="26"/>
  <c r="M23" i="26"/>
  <c r="M24" i="26"/>
  <c r="M25" i="26"/>
  <c r="M26" i="26"/>
  <c r="M27" i="26"/>
  <c r="M28" i="26"/>
  <c r="M29" i="26"/>
  <c r="M30" i="26"/>
  <c r="M31" i="26"/>
  <c r="M32" i="26"/>
  <c r="M33" i="26"/>
  <c r="M34" i="26"/>
  <c r="M35" i="26"/>
  <c r="M36" i="26"/>
  <c r="M37" i="26"/>
  <c r="M38" i="26"/>
  <c r="M39" i="26"/>
  <c r="M40" i="26"/>
  <c r="M41" i="26"/>
  <c r="M42" i="26"/>
  <c r="M43" i="26"/>
  <c r="M44" i="26"/>
  <c r="M45" i="26"/>
  <c r="M46" i="26"/>
  <c r="M47" i="26"/>
  <c r="M48" i="26"/>
  <c r="M49" i="26"/>
  <c r="M50" i="26"/>
  <c r="M51" i="26"/>
  <c r="M52" i="26"/>
  <c r="M53" i="26"/>
  <c r="M54" i="26"/>
  <c r="M55" i="26"/>
  <c r="M56" i="26"/>
  <c r="M57" i="26"/>
  <c r="M58" i="26"/>
  <c r="M59" i="26"/>
  <c r="M60" i="26"/>
  <c r="M61" i="26"/>
  <c r="M62" i="26"/>
  <c r="M63" i="26"/>
  <c r="M64" i="26"/>
  <c r="M65" i="26"/>
  <c r="M66" i="26"/>
  <c r="M67" i="26"/>
  <c r="M68" i="26"/>
  <c r="M69" i="26"/>
  <c r="M70" i="26"/>
  <c r="M71" i="26"/>
  <c r="M72" i="26"/>
  <c r="M73" i="26"/>
  <c r="M74" i="26"/>
  <c r="M75" i="26"/>
  <c r="M76" i="26"/>
  <c r="M77" i="26"/>
  <c r="M78" i="26"/>
  <c r="M79" i="26"/>
  <c r="M80" i="26"/>
  <c r="M81" i="26"/>
  <c r="M82" i="26"/>
  <c r="M83" i="26"/>
  <c r="M84" i="26"/>
  <c r="M85" i="26"/>
  <c r="M86" i="26"/>
  <c r="M87" i="26"/>
  <c r="M88" i="26"/>
  <c r="M89" i="26"/>
  <c r="M90" i="26"/>
  <c r="M91" i="26"/>
  <c r="M92" i="26"/>
  <c r="M93" i="26"/>
  <c r="M94" i="26"/>
  <c r="M95" i="26"/>
  <c r="M96" i="26"/>
  <c r="M97" i="26"/>
  <c r="M98" i="26"/>
  <c r="M99" i="26"/>
  <c r="M100" i="26"/>
  <c r="M101" i="26"/>
  <c r="M102" i="26"/>
  <c r="M103" i="26"/>
  <c r="M104" i="26"/>
  <c r="H7" i="26"/>
  <c r="H8" i="26"/>
  <c r="H9" i="26"/>
  <c r="H10" i="26"/>
  <c r="H11" i="26"/>
  <c r="H12" i="26"/>
  <c r="H13" i="26"/>
  <c r="H14" i="26"/>
  <c r="H15" i="26"/>
  <c r="H16" i="26"/>
  <c r="H17" i="26"/>
  <c r="H18" i="26"/>
  <c r="H19" i="26"/>
  <c r="H20" i="26"/>
  <c r="H21" i="26"/>
  <c r="H22" i="26"/>
  <c r="H23" i="26"/>
  <c r="H24" i="26"/>
  <c r="H25" i="26"/>
  <c r="H26" i="26"/>
  <c r="H27" i="26"/>
  <c r="H28" i="26"/>
  <c r="H29" i="26"/>
  <c r="H30" i="26"/>
  <c r="H31" i="26"/>
  <c r="H32" i="26"/>
  <c r="H33" i="26"/>
  <c r="H34" i="26"/>
  <c r="H35" i="26"/>
  <c r="H36" i="26"/>
  <c r="H37" i="26"/>
  <c r="H38" i="26"/>
  <c r="H39" i="26"/>
  <c r="H40" i="26"/>
  <c r="H41" i="26"/>
  <c r="H42" i="26"/>
  <c r="H43" i="26"/>
  <c r="H44" i="26"/>
  <c r="H45" i="26"/>
  <c r="H46" i="26"/>
  <c r="H47" i="26"/>
  <c r="H48" i="26"/>
  <c r="H49" i="26"/>
  <c r="H50" i="26"/>
  <c r="H51" i="26"/>
  <c r="H52" i="26"/>
  <c r="H53" i="26"/>
  <c r="H54" i="26"/>
  <c r="H55" i="26"/>
  <c r="H56" i="26"/>
  <c r="H57" i="26"/>
  <c r="H58" i="26"/>
  <c r="H59" i="26"/>
  <c r="H60" i="26"/>
  <c r="H61" i="26"/>
  <c r="H62" i="26"/>
  <c r="H63" i="26"/>
  <c r="H64" i="26"/>
  <c r="H65" i="26"/>
  <c r="H66" i="26"/>
  <c r="H67" i="26"/>
  <c r="H68" i="26"/>
  <c r="H69" i="26"/>
  <c r="H70" i="26"/>
  <c r="H71" i="26"/>
  <c r="H72" i="26"/>
  <c r="H73" i="26"/>
  <c r="H74" i="26"/>
  <c r="H75" i="26"/>
  <c r="H76" i="26"/>
  <c r="H77" i="26"/>
  <c r="H78" i="26"/>
  <c r="H79" i="26"/>
  <c r="H80" i="26"/>
  <c r="H81" i="26"/>
  <c r="H82" i="26"/>
  <c r="H83" i="26"/>
  <c r="H84" i="26"/>
  <c r="H85" i="26"/>
  <c r="H86" i="26"/>
  <c r="H87" i="26"/>
  <c r="H88" i="26"/>
  <c r="H89" i="26"/>
  <c r="H90" i="26"/>
  <c r="H91" i="26"/>
  <c r="H92" i="26"/>
  <c r="H93" i="26"/>
  <c r="H94" i="26"/>
  <c r="H95" i="26"/>
  <c r="H96" i="26"/>
  <c r="H97" i="26"/>
  <c r="H98" i="26"/>
  <c r="H99" i="26"/>
  <c r="H100" i="26"/>
  <c r="H101" i="26"/>
  <c r="H102" i="26"/>
  <c r="H103" i="26"/>
  <c r="H104" i="26"/>
  <c r="C117" i="2"/>
  <c r="C120" i="2"/>
  <c r="C118" i="2"/>
  <c r="C119" i="2"/>
  <c r="C121" i="2"/>
  <c r="BN117" i="2"/>
  <c r="BN120" i="2"/>
  <c r="BN118" i="2"/>
  <c r="BN119" i="2"/>
  <c r="BN121" i="2"/>
  <c r="BE117" i="2"/>
  <c r="BE120" i="2"/>
  <c r="BE118" i="2"/>
  <c r="BE119" i="2"/>
  <c r="BE121" i="2"/>
  <c r="AM116" i="2"/>
  <c r="AM117" i="2"/>
  <c r="AM120" i="2"/>
  <c r="AM118" i="2"/>
  <c r="AM119" i="2"/>
  <c r="AM121" i="2"/>
  <c r="U117" i="2"/>
  <c r="U120" i="2"/>
  <c r="U118" i="2"/>
  <c r="U119" i="2"/>
  <c r="U121" i="2"/>
  <c r="AD117" i="2"/>
  <c r="AD120" i="2"/>
  <c r="AD118" i="2"/>
  <c r="AD119" i="2"/>
  <c r="AD121" i="2"/>
  <c r="L116" i="2"/>
  <c r="L117" i="2"/>
  <c r="L120" i="2"/>
  <c r="L118" i="2"/>
  <c r="L119" i="2"/>
  <c r="L121" i="2"/>
  <c r="K23" i="1"/>
  <c r="C272" i="1"/>
  <c r="C7" i="26"/>
  <c r="C8" i="26"/>
  <c r="C9" i="26"/>
  <c r="B82" i="1"/>
  <c r="B83" i="1"/>
  <c r="B56" i="7"/>
  <c r="B70" i="7"/>
  <c r="C70" i="7"/>
  <c r="B62" i="7"/>
  <c r="J12" i="10"/>
  <c r="J13" i="10"/>
  <c r="J3" i="10"/>
  <c r="J4" i="10"/>
  <c r="J5" i="10"/>
  <c r="J6" i="10"/>
  <c r="J7" i="10"/>
  <c r="J8" i="10"/>
  <c r="J9" i="10"/>
  <c r="J10" i="10"/>
  <c r="J11" i="10"/>
  <c r="J2" i="10"/>
  <c r="E2" i="10"/>
  <c r="B30" i="10"/>
  <c r="F2" i="10"/>
  <c r="G2" i="10"/>
  <c r="H2" i="10"/>
  <c r="I2" i="10"/>
  <c r="K2" i="10"/>
  <c r="E3" i="10"/>
  <c r="B32" i="10"/>
  <c r="F3" i="10"/>
  <c r="G3" i="10"/>
  <c r="H3" i="10"/>
  <c r="I3" i="10"/>
  <c r="K3" i="10"/>
  <c r="C244" i="10"/>
  <c r="E4" i="10"/>
  <c r="B34" i="10"/>
  <c r="F4" i="10"/>
  <c r="G4" i="10"/>
  <c r="H4" i="10"/>
  <c r="I4" i="10"/>
  <c r="K4" i="10"/>
  <c r="E5" i="10"/>
  <c r="B36" i="10"/>
  <c r="F5" i="10"/>
  <c r="G5" i="10"/>
  <c r="H5" i="10"/>
  <c r="I5" i="10"/>
  <c r="K5" i="10"/>
  <c r="E6" i="10"/>
  <c r="B38" i="10"/>
  <c r="F6" i="10"/>
  <c r="G6" i="10"/>
  <c r="H6" i="10"/>
  <c r="I6" i="10"/>
  <c r="K6" i="10"/>
  <c r="E7" i="10"/>
  <c r="B40" i="10"/>
  <c r="F7" i="10"/>
  <c r="G7" i="10"/>
  <c r="H7" i="10"/>
  <c r="I7" i="10"/>
  <c r="K7" i="10"/>
  <c r="C248" i="10"/>
  <c r="E8" i="10"/>
  <c r="B42" i="10"/>
  <c r="F8" i="10"/>
  <c r="G8" i="10"/>
  <c r="H8" i="10"/>
  <c r="I8" i="10"/>
  <c r="K8" i="10"/>
  <c r="E9" i="10"/>
  <c r="B44" i="10"/>
  <c r="F9" i="10"/>
  <c r="G9" i="10"/>
  <c r="H9" i="10"/>
  <c r="I9" i="10"/>
  <c r="K9" i="10"/>
  <c r="C250" i="10"/>
  <c r="E10" i="10"/>
  <c r="B46" i="10"/>
  <c r="F10" i="10"/>
  <c r="G10" i="10"/>
  <c r="H10" i="10"/>
  <c r="I10" i="10"/>
  <c r="K10" i="10"/>
  <c r="E11" i="10"/>
  <c r="B48" i="10"/>
  <c r="F11" i="10"/>
  <c r="G11" i="10"/>
  <c r="H11" i="10"/>
  <c r="I11" i="10"/>
  <c r="K11" i="10"/>
  <c r="C252" i="10"/>
  <c r="E12" i="10"/>
  <c r="B50" i="10"/>
  <c r="F12" i="10"/>
  <c r="G12" i="10"/>
  <c r="H12" i="10"/>
  <c r="I12" i="10"/>
  <c r="K12" i="10"/>
  <c r="E13" i="10"/>
  <c r="B52" i="10"/>
  <c r="F13" i="10"/>
  <c r="G13" i="10"/>
  <c r="H13" i="10"/>
  <c r="I13" i="10"/>
  <c r="K13" i="10"/>
  <c r="D3" i="10"/>
  <c r="D4" i="10"/>
  <c r="D5" i="10"/>
  <c r="D6" i="10"/>
  <c r="D7" i="10"/>
  <c r="D8" i="10"/>
  <c r="D9" i="10"/>
  <c r="D10" i="10"/>
  <c r="D11" i="10"/>
  <c r="D12" i="10"/>
  <c r="D13" i="10"/>
  <c r="D2" i="10"/>
  <c r="J3" i="11"/>
  <c r="J6" i="11"/>
  <c r="J2" i="11"/>
  <c r="K2" i="11"/>
  <c r="C243" i="11"/>
  <c r="K3" i="11"/>
  <c r="C246" i="11"/>
  <c r="K6" i="11"/>
  <c r="C247" i="11"/>
  <c r="F2" i="11"/>
  <c r="B30" i="11"/>
  <c r="C30" i="11"/>
  <c r="D30" i="11"/>
  <c r="E30" i="11"/>
  <c r="H2" i="11"/>
  <c r="I2" i="11"/>
  <c r="E3" i="11"/>
  <c r="B32" i="11"/>
  <c r="F3" i="11"/>
  <c r="G3" i="11"/>
  <c r="H3" i="11"/>
  <c r="I3" i="11"/>
  <c r="E6" i="11"/>
  <c r="B38" i="11"/>
  <c r="F6" i="11"/>
  <c r="G6" i="11"/>
  <c r="H6" i="11"/>
  <c r="I6" i="11"/>
  <c r="D2" i="11"/>
  <c r="J3" i="8"/>
  <c r="J4" i="8"/>
  <c r="J5" i="8"/>
  <c r="J6" i="8"/>
  <c r="J7" i="8"/>
  <c r="J8" i="8"/>
  <c r="J9" i="8"/>
  <c r="J10" i="8"/>
  <c r="J11" i="8"/>
  <c r="J12" i="8"/>
  <c r="J13" i="8"/>
  <c r="J14" i="8"/>
  <c r="J15" i="8"/>
  <c r="J2" i="8"/>
  <c r="K2" i="8"/>
  <c r="C243" i="8"/>
  <c r="K3" i="8"/>
  <c r="C244" i="8"/>
  <c r="K4" i="8"/>
  <c r="C245" i="8"/>
  <c r="K5" i="8"/>
  <c r="C246" i="8"/>
  <c r="K6" i="8"/>
  <c r="C247" i="8"/>
  <c r="K7" i="8"/>
  <c r="C248" i="8"/>
  <c r="K8" i="8"/>
  <c r="C249" i="8"/>
  <c r="K9" i="8"/>
  <c r="C250" i="8"/>
  <c r="K10" i="8"/>
  <c r="C251" i="8"/>
  <c r="K11" i="8"/>
  <c r="C252" i="8"/>
  <c r="K12" i="8"/>
  <c r="C253" i="8"/>
  <c r="K13" i="8"/>
  <c r="C254" i="8"/>
  <c r="K14" i="8"/>
  <c r="C255" i="8"/>
  <c r="K15" i="8"/>
  <c r="J3" i="22"/>
  <c r="J4" i="22"/>
  <c r="J5" i="22"/>
  <c r="J6" i="22"/>
  <c r="J7" i="22"/>
  <c r="J8" i="22"/>
  <c r="J9" i="22"/>
  <c r="J10" i="22"/>
  <c r="J11" i="22"/>
  <c r="J12" i="22"/>
  <c r="J13" i="22"/>
  <c r="J14" i="22"/>
  <c r="J15" i="22"/>
  <c r="J16" i="22"/>
  <c r="K3" i="22"/>
  <c r="C244" i="22"/>
  <c r="K4" i="22"/>
  <c r="C245" i="22"/>
  <c r="K5" i="22"/>
  <c r="C246" i="22"/>
  <c r="K6" i="22"/>
  <c r="C247" i="22"/>
  <c r="K7" i="22"/>
  <c r="K8" i="22"/>
  <c r="C249" i="22"/>
  <c r="K9" i="22"/>
  <c r="C250" i="22"/>
  <c r="K10" i="22"/>
  <c r="C251" i="22"/>
  <c r="K11" i="22"/>
  <c r="C252" i="22"/>
  <c r="K12" i="22"/>
  <c r="C253" i="22"/>
  <c r="K13" i="22"/>
  <c r="C254" i="22"/>
  <c r="K14" i="22"/>
  <c r="C255" i="22"/>
  <c r="K15" i="22"/>
  <c r="K16" i="22"/>
  <c r="C257" i="22"/>
  <c r="H3" i="22"/>
  <c r="I3" i="22"/>
  <c r="H4" i="22"/>
  <c r="I4" i="22"/>
  <c r="H5" i="22"/>
  <c r="I5" i="22"/>
  <c r="H6" i="22"/>
  <c r="I6" i="22"/>
  <c r="H7" i="22"/>
  <c r="I7" i="22"/>
  <c r="H8" i="22"/>
  <c r="I8" i="22"/>
  <c r="H9" i="22"/>
  <c r="I9" i="22"/>
  <c r="H10" i="22"/>
  <c r="I10" i="22"/>
  <c r="H11" i="22"/>
  <c r="I11" i="22"/>
  <c r="H12" i="22"/>
  <c r="I12" i="22"/>
  <c r="H13" i="22"/>
  <c r="I13" i="22"/>
  <c r="H14" i="22"/>
  <c r="I14" i="22"/>
  <c r="H15" i="22"/>
  <c r="I15" i="22"/>
  <c r="H16" i="22"/>
  <c r="I16" i="22"/>
  <c r="F3" i="22"/>
  <c r="B32" i="22"/>
  <c r="B33" i="22"/>
  <c r="F4" i="22"/>
  <c r="B34" i="22"/>
  <c r="B35" i="22"/>
  <c r="E5" i="22"/>
  <c r="F5" i="22"/>
  <c r="G5" i="22"/>
  <c r="E6" i="22"/>
  <c r="B38" i="22"/>
  <c r="F6" i="22"/>
  <c r="G6" i="22"/>
  <c r="E7" i="22"/>
  <c r="B40" i="22"/>
  <c r="F7" i="22"/>
  <c r="G7" i="22"/>
  <c r="E8" i="22"/>
  <c r="B42" i="22"/>
  <c r="F8" i="22"/>
  <c r="G8" i="22"/>
  <c r="E9" i="22"/>
  <c r="B44" i="22"/>
  <c r="F9" i="22"/>
  <c r="G9" i="22"/>
  <c r="E10" i="22"/>
  <c r="B46" i="22"/>
  <c r="F10" i="22"/>
  <c r="G10" i="22"/>
  <c r="E11" i="22"/>
  <c r="B48" i="22"/>
  <c r="F11" i="22"/>
  <c r="G11" i="22"/>
  <c r="E12" i="22"/>
  <c r="B50" i="22"/>
  <c r="F12" i="22"/>
  <c r="G12" i="22"/>
  <c r="E13" i="22"/>
  <c r="B52" i="22"/>
  <c r="F13" i="22"/>
  <c r="G13" i="22"/>
  <c r="E14" i="22"/>
  <c r="B54" i="22"/>
  <c r="F14" i="22"/>
  <c r="G14" i="22"/>
  <c r="E15" i="22"/>
  <c r="B56" i="22"/>
  <c r="F15" i="22"/>
  <c r="G15" i="22"/>
  <c r="E16" i="22"/>
  <c r="B58" i="22"/>
  <c r="F16" i="22"/>
  <c r="G16" i="22"/>
  <c r="D3" i="22"/>
  <c r="D4" i="22"/>
  <c r="D5" i="22"/>
  <c r="D6" i="22"/>
  <c r="D7" i="22"/>
  <c r="D8" i="22"/>
  <c r="D9" i="22"/>
  <c r="D10" i="22"/>
  <c r="D11" i="22"/>
  <c r="D12" i="22"/>
  <c r="D13" i="22"/>
  <c r="D14" i="22"/>
  <c r="D15" i="22"/>
  <c r="D16" i="22"/>
  <c r="D2" i="22"/>
  <c r="H2" i="8"/>
  <c r="I2" i="8"/>
  <c r="H3" i="8"/>
  <c r="I3" i="8"/>
  <c r="H4" i="8"/>
  <c r="I4" i="8"/>
  <c r="H5" i="8"/>
  <c r="I5" i="8"/>
  <c r="H6" i="8"/>
  <c r="I6" i="8"/>
  <c r="H7" i="8"/>
  <c r="I7" i="8"/>
  <c r="H8" i="8"/>
  <c r="I8" i="8"/>
  <c r="H9" i="8"/>
  <c r="I9" i="8"/>
  <c r="H10" i="8"/>
  <c r="I10" i="8"/>
  <c r="H11" i="8"/>
  <c r="I11" i="8"/>
  <c r="H12" i="8"/>
  <c r="I12" i="8"/>
  <c r="H13" i="8"/>
  <c r="I13" i="8"/>
  <c r="H14" i="8"/>
  <c r="I14" i="8"/>
  <c r="H15" i="8"/>
  <c r="I15" i="8"/>
  <c r="F2" i="8"/>
  <c r="F3" i="8"/>
  <c r="B32" i="8"/>
  <c r="F4" i="8"/>
  <c r="B34" i="8"/>
  <c r="C34" i="8"/>
  <c r="D34" i="8"/>
  <c r="E34" i="8"/>
  <c r="F34" i="8"/>
  <c r="G34" i="8"/>
  <c r="E5" i="8"/>
  <c r="B36" i="8"/>
  <c r="F5" i="8"/>
  <c r="G5" i="8"/>
  <c r="E6" i="8"/>
  <c r="B38" i="8"/>
  <c r="F6" i="8"/>
  <c r="G6" i="8"/>
  <c r="E7" i="8"/>
  <c r="B40" i="8"/>
  <c r="F7" i="8"/>
  <c r="G7" i="8"/>
  <c r="E8" i="8"/>
  <c r="B42" i="8"/>
  <c r="F8" i="8"/>
  <c r="G8" i="8"/>
  <c r="E9" i="8"/>
  <c r="F9" i="8"/>
  <c r="G9" i="8"/>
  <c r="E10" i="8"/>
  <c r="B46" i="8"/>
  <c r="F10" i="8"/>
  <c r="G10" i="8"/>
  <c r="E11" i="8"/>
  <c r="B48" i="8"/>
  <c r="F11" i="8"/>
  <c r="G11" i="8"/>
  <c r="E12" i="8"/>
  <c r="B50" i="8"/>
  <c r="F12" i="8"/>
  <c r="G12" i="8"/>
  <c r="E13" i="8"/>
  <c r="B52" i="8"/>
  <c r="F13" i="8"/>
  <c r="G13" i="8"/>
  <c r="E14" i="8"/>
  <c r="B54" i="8"/>
  <c r="F14" i="8"/>
  <c r="G14" i="8"/>
  <c r="E15" i="8"/>
  <c r="B56" i="8"/>
  <c r="F15" i="8"/>
  <c r="G15" i="8"/>
  <c r="D3" i="8"/>
  <c r="D4" i="8"/>
  <c r="D5" i="8"/>
  <c r="D6" i="8"/>
  <c r="D7" i="8"/>
  <c r="D8" i="8"/>
  <c r="D9" i="8"/>
  <c r="D10" i="8"/>
  <c r="D11" i="8"/>
  <c r="D12" i="8"/>
  <c r="D13" i="8"/>
  <c r="D14" i="8"/>
  <c r="D15" i="8"/>
  <c r="D2" i="8"/>
  <c r="K3" i="7"/>
  <c r="C244" i="7"/>
  <c r="J3" i="7"/>
  <c r="J4" i="7"/>
  <c r="J5" i="7"/>
  <c r="J6" i="7"/>
  <c r="J7" i="7"/>
  <c r="J8" i="7"/>
  <c r="J9" i="7"/>
  <c r="J10" i="7"/>
  <c r="J11" i="7"/>
  <c r="J12" i="7"/>
  <c r="J13" i="7"/>
  <c r="J14" i="7"/>
  <c r="J2" i="7"/>
  <c r="K2" i="7"/>
  <c r="C243" i="7"/>
  <c r="K4" i="7"/>
  <c r="C245" i="7"/>
  <c r="K5" i="7"/>
  <c r="C246" i="7"/>
  <c r="K6" i="7"/>
  <c r="C247" i="7"/>
  <c r="K7" i="7"/>
  <c r="C248" i="7"/>
  <c r="K8" i="7"/>
  <c r="C249" i="7"/>
  <c r="K9" i="7"/>
  <c r="C250" i="7"/>
  <c r="K10" i="7"/>
  <c r="C251" i="7"/>
  <c r="K11" i="7"/>
  <c r="C252" i="7"/>
  <c r="K12" i="7"/>
  <c r="C253" i="7"/>
  <c r="K13" i="7"/>
  <c r="C254" i="7"/>
  <c r="K14" i="7"/>
  <c r="C255" i="7"/>
  <c r="I2" i="7"/>
  <c r="I3" i="7"/>
  <c r="I4" i="7"/>
  <c r="I5" i="7"/>
  <c r="I6" i="7"/>
  <c r="I7" i="7"/>
  <c r="I8" i="7"/>
  <c r="I9" i="7"/>
  <c r="I10" i="7"/>
  <c r="I11" i="7"/>
  <c r="I12" i="7"/>
  <c r="I13" i="7"/>
  <c r="I14" i="7"/>
  <c r="H2" i="7"/>
  <c r="H3" i="7"/>
  <c r="H4" i="7"/>
  <c r="H5" i="7"/>
  <c r="H6" i="7"/>
  <c r="H7" i="7"/>
  <c r="H8" i="7"/>
  <c r="H9" i="7"/>
  <c r="H10" i="7"/>
  <c r="H11" i="7"/>
  <c r="H12" i="7"/>
  <c r="H13" i="7"/>
  <c r="H14" i="7"/>
  <c r="G2" i="7"/>
  <c r="G3" i="7"/>
  <c r="G4" i="7"/>
  <c r="G5" i="7"/>
  <c r="G6" i="7"/>
  <c r="G7" i="7"/>
  <c r="G8" i="7"/>
  <c r="G9" i="7"/>
  <c r="G10" i="7"/>
  <c r="G11" i="7"/>
  <c r="G12" i="7"/>
  <c r="G13" i="7"/>
  <c r="G14" i="7"/>
  <c r="F2" i="7"/>
  <c r="F3" i="7"/>
  <c r="F4" i="7"/>
  <c r="F5" i="7"/>
  <c r="F6" i="7"/>
  <c r="F7" i="7"/>
  <c r="F8" i="7"/>
  <c r="F9" i="7"/>
  <c r="F10" i="7"/>
  <c r="F11" i="7"/>
  <c r="F12" i="7"/>
  <c r="F13" i="7"/>
  <c r="F14" i="7"/>
  <c r="E2" i="7"/>
  <c r="B30" i="7"/>
  <c r="E3" i="7"/>
  <c r="B32" i="7"/>
  <c r="E4" i="7"/>
  <c r="B34" i="7"/>
  <c r="E5" i="7"/>
  <c r="B36" i="7"/>
  <c r="E6" i="7"/>
  <c r="B38" i="7"/>
  <c r="E7" i="7"/>
  <c r="E8" i="7"/>
  <c r="B42" i="7"/>
  <c r="E9" i="7"/>
  <c r="B44" i="7"/>
  <c r="E10" i="7"/>
  <c r="B46" i="7"/>
  <c r="E11" i="7"/>
  <c r="B48" i="7"/>
  <c r="E12" i="7"/>
  <c r="B50" i="7"/>
  <c r="E13" i="7"/>
  <c r="B52" i="7"/>
  <c r="E14" i="7"/>
  <c r="B54" i="7"/>
  <c r="D3" i="7"/>
  <c r="D4" i="7"/>
  <c r="D5" i="7"/>
  <c r="D6" i="7"/>
  <c r="D7" i="7"/>
  <c r="D8" i="7"/>
  <c r="D9" i="7"/>
  <c r="D10" i="7"/>
  <c r="D11" i="7"/>
  <c r="D12" i="7"/>
  <c r="D13" i="7"/>
  <c r="D14" i="7"/>
  <c r="D2" i="7"/>
  <c r="J3" i="6"/>
  <c r="J4" i="6"/>
  <c r="J5" i="6"/>
  <c r="J6" i="6"/>
  <c r="J7" i="6"/>
  <c r="J8" i="6"/>
  <c r="J9" i="6"/>
  <c r="J10" i="6"/>
  <c r="J11" i="6"/>
  <c r="J12" i="6"/>
  <c r="J13" i="6"/>
  <c r="J14" i="6"/>
  <c r="J15" i="6"/>
  <c r="J16" i="6"/>
  <c r="J19" i="6"/>
  <c r="J2" i="6"/>
  <c r="K2" i="6"/>
  <c r="C243" i="6"/>
  <c r="K3" i="6"/>
  <c r="C244" i="6"/>
  <c r="K4" i="6"/>
  <c r="C245" i="6"/>
  <c r="K5" i="6"/>
  <c r="C246" i="6"/>
  <c r="K6" i="6"/>
  <c r="C247" i="6"/>
  <c r="K7" i="6"/>
  <c r="C248" i="6"/>
  <c r="K8" i="6"/>
  <c r="C249" i="6"/>
  <c r="K9" i="6"/>
  <c r="C250" i="6"/>
  <c r="K10" i="6"/>
  <c r="C251" i="6"/>
  <c r="K11" i="6"/>
  <c r="C252" i="6"/>
  <c r="K12" i="6"/>
  <c r="C253" i="6"/>
  <c r="K13" i="6"/>
  <c r="C254" i="6"/>
  <c r="K14" i="6"/>
  <c r="C255" i="6"/>
  <c r="K15" i="6"/>
  <c r="C256" i="6"/>
  <c r="K16" i="6"/>
  <c r="C257" i="6"/>
  <c r="C258" i="6"/>
  <c r="C259" i="6"/>
  <c r="K19" i="6"/>
  <c r="C260" i="6"/>
  <c r="H2" i="6"/>
  <c r="I2" i="6"/>
  <c r="H3" i="6"/>
  <c r="I3" i="6"/>
  <c r="H4" i="6"/>
  <c r="I4" i="6"/>
  <c r="H5" i="6"/>
  <c r="I5" i="6"/>
  <c r="H6" i="6"/>
  <c r="I6" i="6"/>
  <c r="H7" i="6"/>
  <c r="I7" i="6"/>
  <c r="H8" i="6"/>
  <c r="I8" i="6"/>
  <c r="H9" i="6"/>
  <c r="I9" i="6"/>
  <c r="H10" i="6"/>
  <c r="I10" i="6"/>
  <c r="H11" i="6"/>
  <c r="I11" i="6"/>
  <c r="H12" i="6"/>
  <c r="I12" i="6"/>
  <c r="H13" i="6"/>
  <c r="I13" i="6"/>
  <c r="H14" i="6"/>
  <c r="I14" i="6"/>
  <c r="H15" i="6"/>
  <c r="I15" i="6"/>
  <c r="H16" i="6"/>
  <c r="I16" i="6"/>
  <c r="H19" i="6"/>
  <c r="I19" i="6"/>
  <c r="G5" i="6"/>
  <c r="G6" i="6"/>
  <c r="G7" i="6"/>
  <c r="G8" i="6"/>
  <c r="G9" i="6"/>
  <c r="G10" i="6"/>
  <c r="G11" i="6"/>
  <c r="G12" i="6"/>
  <c r="G13" i="6"/>
  <c r="G14" i="6"/>
  <c r="G15" i="6"/>
  <c r="G16" i="6"/>
  <c r="G19" i="6"/>
  <c r="F2" i="6"/>
  <c r="B22" i="6"/>
  <c r="F3" i="6"/>
  <c r="B24" i="6"/>
  <c r="F4" i="6"/>
  <c r="B26" i="6"/>
  <c r="B27" i="6"/>
  <c r="E5" i="6"/>
  <c r="B28" i="6"/>
  <c r="F5" i="6"/>
  <c r="E6" i="6"/>
  <c r="B30" i="6"/>
  <c r="F6" i="6"/>
  <c r="E7" i="6"/>
  <c r="B32" i="6"/>
  <c r="F7" i="6"/>
  <c r="E8" i="6"/>
  <c r="B34" i="6"/>
  <c r="B108" i="6"/>
  <c r="B109" i="6"/>
  <c r="F8" i="6"/>
  <c r="E9" i="6"/>
  <c r="B36" i="6"/>
  <c r="F9" i="6"/>
  <c r="E10" i="6"/>
  <c r="B38" i="6"/>
  <c r="F10" i="6"/>
  <c r="E11" i="6"/>
  <c r="B40" i="6"/>
  <c r="F11" i="6"/>
  <c r="E12" i="6"/>
  <c r="B42" i="6"/>
  <c r="F12" i="6"/>
  <c r="E13" i="6"/>
  <c r="B44" i="6"/>
  <c r="F13" i="6"/>
  <c r="E14" i="6"/>
  <c r="B46" i="6"/>
  <c r="F14" i="6"/>
  <c r="E15" i="6"/>
  <c r="B48" i="6"/>
  <c r="F15" i="6"/>
  <c r="E16" i="6"/>
  <c r="B50" i="6"/>
  <c r="F16" i="6"/>
  <c r="B52" i="6"/>
  <c r="B54" i="6"/>
  <c r="E19" i="6"/>
  <c r="B56" i="6"/>
  <c r="F19" i="6"/>
  <c r="D19" i="6"/>
  <c r="D3" i="6"/>
  <c r="D4" i="6"/>
  <c r="D5" i="6"/>
  <c r="D6" i="6"/>
  <c r="D7" i="6"/>
  <c r="D8" i="6"/>
  <c r="D9" i="6"/>
  <c r="D10" i="6"/>
  <c r="D11" i="6"/>
  <c r="D12" i="6"/>
  <c r="D13" i="6"/>
  <c r="D14" i="6"/>
  <c r="D15" i="6"/>
  <c r="D16" i="6"/>
  <c r="D2" i="6"/>
  <c r="J3" i="9"/>
  <c r="J4" i="9"/>
  <c r="J5" i="9"/>
  <c r="J6" i="9"/>
  <c r="J7" i="9"/>
  <c r="J8" i="9"/>
  <c r="J10" i="9"/>
  <c r="J11" i="9"/>
  <c r="J12" i="9"/>
  <c r="J13" i="9"/>
  <c r="J14" i="9"/>
  <c r="J15" i="9"/>
  <c r="J16" i="9"/>
  <c r="J17" i="9"/>
  <c r="J2" i="9"/>
  <c r="K2" i="9"/>
  <c r="C243" i="9"/>
  <c r="K3" i="9"/>
  <c r="C244" i="9"/>
  <c r="K4" i="9"/>
  <c r="C245" i="9"/>
  <c r="K5" i="9"/>
  <c r="C246" i="9"/>
  <c r="K6" i="9"/>
  <c r="C247" i="9"/>
  <c r="K7" i="9"/>
  <c r="C248" i="9"/>
  <c r="K8" i="9"/>
  <c r="K9" i="9"/>
  <c r="C250" i="9"/>
  <c r="K10" i="9"/>
  <c r="K11" i="9"/>
  <c r="C252" i="9"/>
  <c r="K12" i="9"/>
  <c r="C253" i="9"/>
  <c r="K13" i="9"/>
  <c r="C254" i="9"/>
  <c r="K14" i="9"/>
  <c r="C255" i="9"/>
  <c r="K15" i="9"/>
  <c r="C256" i="9"/>
  <c r="K16" i="9"/>
  <c r="C257" i="9"/>
  <c r="K17" i="9"/>
  <c r="C258" i="9"/>
  <c r="I2" i="9"/>
  <c r="I3" i="9"/>
  <c r="I4" i="9"/>
  <c r="I5" i="9"/>
  <c r="I6" i="9"/>
  <c r="I7" i="9"/>
  <c r="I8" i="9"/>
  <c r="I9" i="9"/>
  <c r="I10" i="9"/>
  <c r="I11" i="9"/>
  <c r="I12" i="9"/>
  <c r="I13" i="9"/>
  <c r="I14" i="9"/>
  <c r="I15" i="9"/>
  <c r="I16" i="9"/>
  <c r="I17" i="9"/>
  <c r="H2" i="9"/>
  <c r="H3" i="9"/>
  <c r="H4" i="9"/>
  <c r="H5" i="9"/>
  <c r="H6" i="9"/>
  <c r="H7" i="9"/>
  <c r="H8" i="9"/>
  <c r="H9" i="9"/>
  <c r="H10" i="9"/>
  <c r="H11" i="9"/>
  <c r="H12" i="9"/>
  <c r="H13" i="9"/>
  <c r="H14" i="9"/>
  <c r="H15" i="9"/>
  <c r="H16" i="9"/>
  <c r="H17" i="9"/>
  <c r="F2" i="9"/>
  <c r="G7" i="9"/>
  <c r="G10" i="9"/>
  <c r="G11" i="9"/>
  <c r="G12" i="9"/>
  <c r="G13" i="9"/>
  <c r="G14" i="9"/>
  <c r="G15" i="9"/>
  <c r="G16" i="9"/>
  <c r="G17" i="9"/>
  <c r="E7" i="9"/>
  <c r="B40" i="9"/>
  <c r="B46" i="9"/>
  <c r="B47" i="9"/>
  <c r="B48" i="9"/>
  <c r="B52" i="9"/>
  <c r="E15" i="9"/>
  <c r="B56" i="9"/>
  <c r="E16" i="9"/>
  <c r="B58" i="9"/>
  <c r="E17" i="9"/>
  <c r="B60" i="9"/>
  <c r="D3" i="9"/>
  <c r="D4" i="9"/>
  <c r="D5" i="9"/>
  <c r="D6" i="9"/>
  <c r="D7" i="9"/>
  <c r="D8" i="9"/>
  <c r="D9" i="9"/>
  <c r="D10" i="9"/>
  <c r="D11" i="9"/>
  <c r="D12" i="9"/>
  <c r="D13" i="9"/>
  <c r="D14" i="9"/>
  <c r="D15" i="9"/>
  <c r="D16" i="9"/>
  <c r="D17" i="9"/>
  <c r="D2" i="9"/>
  <c r="J6" i="1"/>
  <c r="J7" i="1"/>
  <c r="J8" i="1"/>
  <c r="J9" i="1"/>
  <c r="J10" i="1"/>
  <c r="J11" i="1"/>
  <c r="J12" i="1"/>
  <c r="J13" i="1"/>
  <c r="J14" i="1"/>
  <c r="J15" i="1"/>
  <c r="J16" i="1"/>
  <c r="J17" i="1"/>
  <c r="J18" i="1"/>
  <c r="J19" i="1"/>
  <c r="J20" i="1"/>
  <c r="J21" i="1"/>
  <c r="J22" i="1"/>
  <c r="J23" i="1"/>
  <c r="J24" i="1"/>
  <c r="J25" i="1"/>
  <c r="J26" i="1"/>
  <c r="J27" i="1"/>
  <c r="J5" i="1"/>
  <c r="I6" i="1"/>
  <c r="I7" i="1"/>
  <c r="I10" i="1"/>
  <c r="I11" i="1"/>
  <c r="I12" i="1"/>
  <c r="I13" i="1"/>
  <c r="I14" i="1"/>
  <c r="I15" i="1"/>
  <c r="I16" i="1"/>
  <c r="I17" i="1"/>
  <c r="I18" i="1"/>
  <c r="I19" i="1"/>
  <c r="I20" i="1"/>
  <c r="I21" i="1"/>
  <c r="I22" i="1"/>
  <c r="I23" i="1"/>
  <c r="I24" i="1"/>
  <c r="I25" i="1"/>
  <c r="I26" i="1"/>
  <c r="I27" i="1"/>
  <c r="H5" i="1"/>
  <c r="H6" i="1"/>
  <c r="H7" i="1"/>
  <c r="H8" i="1"/>
  <c r="H9" i="1"/>
  <c r="H10" i="1"/>
  <c r="H11" i="1"/>
  <c r="H12" i="1"/>
  <c r="H13" i="1"/>
  <c r="H14" i="1"/>
  <c r="H15" i="1"/>
  <c r="H16" i="1"/>
  <c r="H17" i="1"/>
  <c r="H18" i="1"/>
  <c r="H19" i="1"/>
  <c r="H20" i="1"/>
  <c r="H21" i="1"/>
  <c r="H22" i="1"/>
  <c r="H23" i="1"/>
  <c r="H24" i="1"/>
  <c r="H25" i="1"/>
  <c r="H26" i="1"/>
  <c r="H27" i="1"/>
  <c r="F2" i="1"/>
  <c r="B30" i="1"/>
  <c r="C30" i="1"/>
  <c r="D30" i="1"/>
  <c r="F3" i="1"/>
  <c r="B32" i="1"/>
  <c r="C32" i="1"/>
  <c r="D32" i="1"/>
  <c r="F4" i="1"/>
  <c r="B34" i="1"/>
  <c r="E5" i="1"/>
  <c r="B36" i="1"/>
  <c r="F5" i="1"/>
  <c r="G5" i="1"/>
  <c r="E6" i="1"/>
  <c r="B38" i="1"/>
  <c r="F6" i="1"/>
  <c r="G6" i="1"/>
  <c r="E7" i="1"/>
  <c r="B40" i="1"/>
  <c r="F7" i="1"/>
  <c r="G7" i="1"/>
  <c r="E8" i="1"/>
  <c r="B42" i="1"/>
  <c r="F8" i="1"/>
  <c r="G8" i="1"/>
  <c r="E9" i="1"/>
  <c r="B44" i="1"/>
  <c r="F9" i="1"/>
  <c r="G9" i="1"/>
  <c r="E10" i="1"/>
  <c r="B46" i="1"/>
  <c r="F10" i="1"/>
  <c r="G10" i="1"/>
  <c r="E11" i="1"/>
  <c r="B48" i="1"/>
  <c r="F11" i="1"/>
  <c r="G11" i="1"/>
  <c r="E12" i="1"/>
  <c r="B50" i="1"/>
  <c r="F12" i="1"/>
  <c r="G12" i="1"/>
  <c r="E13" i="1"/>
  <c r="B52" i="1"/>
  <c r="F13" i="1"/>
  <c r="G13" i="1"/>
  <c r="E14" i="1"/>
  <c r="B54" i="1"/>
  <c r="F14" i="1"/>
  <c r="G14" i="1"/>
  <c r="E15" i="1"/>
  <c r="B56" i="1"/>
  <c r="F15" i="1"/>
  <c r="G15" i="1"/>
  <c r="E16" i="1"/>
  <c r="B58" i="1"/>
  <c r="F16" i="1"/>
  <c r="G16" i="1"/>
  <c r="E17" i="1"/>
  <c r="B60" i="1"/>
  <c r="F17" i="1"/>
  <c r="G17" i="1"/>
  <c r="E18" i="1"/>
  <c r="B62" i="1"/>
  <c r="F18" i="1"/>
  <c r="G18" i="1"/>
  <c r="E19" i="1"/>
  <c r="B64" i="1"/>
  <c r="F19" i="1"/>
  <c r="G19" i="1"/>
  <c r="E20" i="1"/>
  <c r="B66" i="1"/>
  <c r="F20" i="1"/>
  <c r="G20" i="1"/>
  <c r="E21" i="1"/>
  <c r="B68" i="1"/>
  <c r="F21" i="1"/>
  <c r="G21" i="1"/>
  <c r="E22" i="1"/>
  <c r="B70" i="1"/>
  <c r="F22" i="1"/>
  <c r="G22" i="1"/>
  <c r="E23" i="1"/>
  <c r="B72" i="1"/>
  <c r="F23" i="1"/>
  <c r="G23" i="1"/>
  <c r="E24" i="1"/>
  <c r="B74" i="1"/>
  <c r="F24" i="1"/>
  <c r="G24" i="1"/>
  <c r="E25" i="1"/>
  <c r="B76" i="1"/>
  <c r="F25" i="1"/>
  <c r="G25" i="1"/>
  <c r="E26" i="1"/>
  <c r="B78" i="1"/>
  <c r="F26" i="1"/>
  <c r="G26" i="1"/>
  <c r="E27" i="1"/>
  <c r="B80" i="1"/>
  <c r="F27" i="1"/>
  <c r="G27" i="1"/>
  <c r="C82" i="1"/>
  <c r="D82" i="1"/>
  <c r="D3" i="1"/>
  <c r="D4" i="1"/>
  <c r="D5" i="1"/>
  <c r="D6" i="1"/>
  <c r="D7" i="1"/>
  <c r="D8" i="1"/>
  <c r="D9" i="1"/>
  <c r="D10" i="1"/>
  <c r="D11" i="1"/>
  <c r="D12" i="1"/>
  <c r="D13" i="1"/>
  <c r="D14" i="1"/>
  <c r="D15" i="1"/>
  <c r="D16" i="1"/>
  <c r="D17" i="1"/>
  <c r="D18" i="1"/>
  <c r="D19" i="1"/>
  <c r="D20" i="1"/>
  <c r="D21" i="1"/>
  <c r="D22" i="1"/>
  <c r="D23" i="1"/>
  <c r="D24" i="1"/>
  <c r="D25" i="1"/>
  <c r="D26" i="1"/>
  <c r="D27" i="1"/>
  <c r="D2" i="1"/>
  <c r="AU116" i="2"/>
  <c r="AU117" i="2"/>
  <c r="AU118" i="2"/>
  <c r="AU119" i="2"/>
  <c r="AU120" i="2"/>
  <c r="AU121" i="2"/>
  <c r="A240" i="22"/>
  <c r="A239" i="22"/>
  <c r="A238" i="22"/>
  <c r="A237" i="22"/>
  <c r="A236" i="22"/>
  <c r="A235" i="22"/>
  <c r="A234" i="22"/>
  <c r="A233" i="22"/>
  <c r="A232" i="22"/>
  <c r="A231" i="22"/>
  <c r="A230" i="22"/>
  <c r="A229" i="22"/>
  <c r="A257" i="22"/>
  <c r="A228" i="22"/>
  <c r="A256" i="22"/>
  <c r="A227" i="22"/>
  <c r="A255" i="22"/>
  <c r="A226" i="22"/>
  <c r="A254" i="22"/>
  <c r="A225" i="22"/>
  <c r="A253" i="22"/>
  <c r="A224" i="22"/>
  <c r="A252" i="22"/>
  <c r="A223" i="22"/>
  <c r="A251" i="22"/>
  <c r="A222" i="22"/>
  <c r="A250" i="22"/>
  <c r="A221" i="22"/>
  <c r="A249" i="22"/>
  <c r="A220" i="22"/>
  <c r="A248" i="22"/>
  <c r="A219" i="22"/>
  <c r="A247" i="22"/>
  <c r="A218" i="22"/>
  <c r="A246" i="22"/>
  <c r="A217" i="22"/>
  <c r="A245" i="22"/>
  <c r="A216" i="22"/>
  <c r="A244" i="22"/>
  <c r="A215" i="22"/>
  <c r="A243" i="22"/>
  <c r="B80" i="22"/>
  <c r="B81" i="22"/>
  <c r="B78" i="22"/>
  <c r="B76" i="22"/>
  <c r="B74" i="22"/>
  <c r="C74" i="22"/>
  <c r="B72" i="22"/>
  <c r="C72" i="22"/>
  <c r="D72" i="22"/>
  <c r="E72" i="22"/>
  <c r="B70" i="22"/>
  <c r="B68" i="22"/>
  <c r="B69" i="22"/>
  <c r="B66" i="22"/>
  <c r="B64" i="22"/>
  <c r="C64" i="22"/>
  <c r="D64" i="22"/>
  <c r="B65" i="22"/>
  <c r="B62" i="22"/>
  <c r="B63" i="22"/>
  <c r="B60" i="22"/>
  <c r="B61" i="22"/>
  <c r="C256" i="22"/>
  <c r="Q9" i="22"/>
  <c r="Q15" i="22"/>
  <c r="Q8" i="22"/>
  <c r="Q14" i="22"/>
  <c r="Q7" i="22"/>
  <c r="Q13" i="22"/>
  <c r="C248" i="22"/>
  <c r="Q6" i="22"/>
  <c r="Q12" i="22"/>
  <c r="Q5" i="22"/>
  <c r="Q11" i="22"/>
  <c r="B36" i="22"/>
  <c r="Q4" i="22"/>
  <c r="Q10" i="22"/>
  <c r="Q16" i="22"/>
  <c r="B30" i="22"/>
  <c r="B31" i="22"/>
  <c r="C30" i="22"/>
  <c r="D30" i="22"/>
  <c r="E30" i="22"/>
  <c r="F30" i="22"/>
  <c r="G30" i="22"/>
  <c r="C62" i="22"/>
  <c r="D62" i="22"/>
  <c r="E62" i="22"/>
  <c r="B67" i="22"/>
  <c r="C66" i="22"/>
  <c r="D66" i="22"/>
  <c r="E66" i="22"/>
  <c r="F66" i="22"/>
  <c r="G66" i="22"/>
  <c r="H66" i="22"/>
  <c r="I66" i="22"/>
  <c r="J66" i="22"/>
  <c r="K66" i="22"/>
  <c r="L66" i="22"/>
  <c r="M66" i="22"/>
  <c r="N66" i="22"/>
  <c r="C68" i="22"/>
  <c r="B73" i="22"/>
  <c r="B75" i="22"/>
  <c r="BM116" i="2"/>
  <c r="BM117" i="2"/>
  <c r="BM118" i="2"/>
  <c r="BM119" i="2"/>
  <c r="BM120" i="2"/>
  <c r="BM121" i="2"/>
  <c r="BD116" i="2"/>
  <c r="BD117" i="2"/>
  <c r="BD118" i="2"/>
  <c r="BD119" i="2"/>
  <c r="BD120" i="2"/>
  <c r="BD121" i="2"/>
  <c r="AL116" i="2"/>
  <c r="AL117" i="2"/>
  <c r="AL118" i="2"/>
  <c r="AL119" i="2"/>
  <c r="AL120" i="2"/>
  <c r="AL121" i="2"/>
  <c r="AC116" i="2"/>
  <c r="AC117" i="2"/>
  <c r="AC118" i="2"/>
  <c r="AC119" i="2"/>
  <c r="AC120" i="2"/>
  <c r="AC121" i="2"/>
  <c r="T116" i="2"/>
  <c r="T117" i="2"/>
  <c r="T118" i="2"/>
  <c r="T119" i="2"/>
  <c r="T120" i="2"/>
  <c r="T121" i="2"/>
  <c r="K116" i="2"/>
  <c r="K117" i="2"/>
  <c r="K118" i="2"/>
  <c r="K119" i="2"/>
  <c r="K120" i="2"/>
  <c r="K121" i="2"/>
  <c r="A240" i="11"/>
  <c r="A239" i="11"/>
  <c r="A238" i="11"/>
  <c r="A237" i="11"/>
  <c r="A236" i="11"/>
  <c r="A235" i="11"/>
  <c r="A234" i="11"/>
  <c r="A233" i="11"/>
  <c r="A232" i="11"/>
  <c r="A231" i="11"/>
  <c r="A230" i="11"/>
  <c r="A229" i="11"/>
  <c r="A228" i="11"/>
  <c r="A227" i="11"/>
  <c r="A226" i="11"/>
  <c r="A225" i="11"/>
  <c r="A224" i="11"/>
  <c r="A223" i="11"/>
  <c r="A222" i="11"/>
  <c r="A250" i="11"/>
  <c r="A221" i="11"/>
  <c r="A249" i="11"/>
  <c r="A220" i="11"/>
  <c r="A248" i="11"/>
  <c r="A219" i="11"/>
  <c r="A247" i="11"/>
  <c r="A218" i="11"/>
  <c r="A246" i="11"/>
  <c r="A217" i="11"/>
  <c r="A245" i="11"/>
  <c r="A216" i="11"/>
  <c r="A244" i="11"/>
  <c r="A215" i="11"/>
  <c r="A243" i="11"/>
  <c r="B80" i="11"/>
  <c r="C80" i="11"/>
  <c r="B78" i="11"/>
  <c r="B76" i="11"/>
  <c r="B74" i="11"/>
  <c r="B72" i="11"/>
  <c r="C72" i="11"/>
  <c r="D72" i="11"/>
  <c r="E72" i="11"/>
  <c r="B70" i="11"/>
  <c r="B68" i="11"/>
  <c r="C68" i="11"/>
  <c r="D68" i="11"/>
  <c r="E68" i="11"/>
  <c r="F68" i="11"/>
  <c r="G68" i="11"/>
  <c r="H68" i="11"/>
  <c r="I68" i="11"/>
  <c r="J68" i="11"/>
  <c r="K68" i="11"/>
  <c r="L68" i="11"/>
  <c r="M68" i="11"/>
  <c r="N68" i="11"/>
  <c r="O68" i="11"/>
  <c r="P68" i="11"/>
  <c r="Q68" i="11"/>
  <c r="R68" i="11"/>
  <c r="S68" i="11"/>
  <c r="T68" i="11"/>
  <c r="U68" i="11"/>
  <c r="V68" i="11"/>
  <c r="W68" i="11"/>
  <c r="X68" i="11"/>
  <c r="Y68" i="11"/>
  <c r="Z68" i="11"/>
  <c r="AA68" i="11"/>
  <c r="AB68" i="11"/>
  <c r="AC68" i="11"/>
  <c r="AD68" i="11"/>
  <c r="AE68" i="11"/>
  <c r="AF68" i="11"/>
  <c r="AG68" i="11"/>
  <c r="AH68" i="11"/>
  <c r="AI68" i="11"/>
  <c r="AJ68" i="11"/>
  <c r="AK68" i="11"/>
  <c r="AL68" i="11"/>
  <c r="AM68" i="11"/>
  <c r="AN68" i="11"/>
  <c r="AO68" i="11"/>
  <c r="AP68" i="11"/>
  <c r="AQ68" i="11"/>
  <c r="AR68" i="11"/>
  <c r="AS68" i="11"/>
  <c r="AT68" i="11"/>
  <c r="AU68" i="11"/>
  <c r="AV68" i="11"/>
  <c r="AW68" i="11"/>
  <c r="AX68" i="11"/>
  <c r="AY68" i="11"/>
  <c r="AZ68" i="11"/>
  <c r="BA68" i="11"/>
  <c r="BB68" i="11"/>
  <c r="BC68" i="11"/>
  <c r="BD68" i="11"/>
  <c r="BE68" i="11"/>
  <c r="B66" i="11"/>
  <c r="B64" i="11"/>
  <c r="C64" i="11"/>
  <c r="D64" i="11"/>
  <c r="E64" i="11"/>
  <c r="F64" i="11"/>
  <c r="G64" i="11"/>
  <c r="H64" i="11"/>
  <c r="I64" i="11"/>
  <c r="J64" i="11"/>
  <c r="K64" i="11"/>
  <c r="L64" i="11"/>
  <c r="M64" i="11"/>
  <c r="N64" i="11"/>
  <c r="O64" i="11"/>
  <c r="P64" i="11"/>
  <c r="Q64" i="11"/>
  <c r="R64" i="11"/>
  <c r="S64" i="11"/>
  <c r="T64" i="11"/>
  <c r="U64" i="11"/>
  <c r="V64" i="11"/>
  <c r="W64" i="11"/>
  <c r="X64" i="11"/>
  <c r="Y64" i="11"/>
  <c r="Z64" i="11"/>
  <c r="AA64" i="11"/>
  <c r="AB64" i="11"/>
  <c r="AC64" i="11"/>
  <c r="AD64" i="11"/>
  <c r="AE64" i="11"/>
  <c r="AF64" i="11"/>
  <c r="AG64" i="11"/>
  <c r="AH64" i="11"/>
  <c r="AI64" i="11"/>
  <c r="AJ64" i="11"/>
  <c r="AK64" i="11"/>
  <c r="AL64" i="11"/>
  <c r="AM64" i="11"/>
  <c r="AN64" i="11"/>
  <c r="AO64" i="11"/>
  <c r="AP64" i="11"/>
  <c r="AQ64" i="11"/>
  <c r="AR64" i="11"/>
  <c r="AS64" i="11"/>
  <c r="AT64" i="11"/>
  <c r="AU64" i="11"/>
  <c r="AV64" i="11"/>
  <c r="AW64" i="11"/>
  <c r="AX64" i="11"/>
  <c r="AY64" i="11"/>
  <c r="AZ64" i="11"/>
  <c r="BA64" i="11"/>
  <c r="BB64" i="11"/>
  <c r="BC64" i="11"/>
  <c r="BD64" i="11"/>
  <c r="B62" i="11"/>
  <c r="B63" i="11"/>
  <c r="B60" i="11"/>
  <c r="C60" i="11"/>
  <c r="D60" i="11"/>
  <c r="E60" i="11"/>
  <c r="B58" i="11"/>
  <c r="B56" i="11"/>
  <c r="B54" i="11"/>
  <c r="B52" i="11"/>
  <c r="C52" i="11"/>
  <c r="B50" i="11"/>
  <c r="B48" i="11"/>
  <c r="C48" i="11"/>
  <c r="D48" i="11"/>
  <c r="E48" i="11"/>
  <c r="B46" i="11"/>
  <c r="B44" i="11"/>
  <c r="C44" i="11"/>
  <c r="B42" i="11"/>
  <c r="C42" i="11"/>
  <c r="D42" i="11"/>
  <c r="E42" i="11"/>
  <c r="F42" i="11"/>
  <c r="G42" i="11"/>
  <c r="H42" i="11"/>
  <c r="C248" i="11"/>
  <c r="B40" i="11"/>
  <c r="B41" i="11"/>
  <c r="B36" i="11"/>
  <c r="C36" i="11"/>
  <c r="D36" i="11"/>
  <c r="C244" i="11"/>
  <c r="A240" i="10"/>
  <c r="A239" i="10"/>
  <c r="A238" i="10"/>
  <c r="A237" i="10"/>
  <c r="A236" i="10"/>
  <c r="A235" i="10"/>
  <c r="A234" i="10"/>
  <c r="A233" i="10"/>
  <c r="A232" i="10"/>
  <c r="A231" i="10"/>
  <c r="A230" i="10"/>
  <c r="A229" i="10"/>
  <c r="A228" i="10"/>
  <c r="A227" i="10"/>
  <c r="A226" i="10"/>
  <c r="A254" i="10"/>
  <c r="A225" i="10"/>
  <c r="A253" i="10"/>
  <c r="A224" i="10"/>
  <c r="A252" i="10"/>
  <c r="A223" i="10"/>
  <c r="A251" i="10"/>
  <c r="A222" i="10"/>
  <c r="A250" i="10"/>
  <c r="A221" i="10"/>
  <c r="A249" i="10"/>
  <c r="A220" i="10"/>
  <c r="A248" i="10"/>
  <c r="A219" i="10"/>
  <c r="A247" i="10"/>
  <c r="A218" i="10"/>
  <c r="A246" i="10"/>
  <c r="A217" i="10"/>
  <c r="A245" i="10"/>
  <c r="A216" i="10"/>
  <c r="A244" i="10"/>
  <c r="A215" i="10"/>
  <c r="A243" i="10"/>
  <c r="B80" i="10"/>
  <c r="B78" i="10"/>
  <c r="B76" i="10"/>
  <c r="B74" i="10"/>
  <c r="B72" i="10"/>
  <c r="B70" i="10"/>
  <c r="B68" i="10"/>
  <c r="B66" i="10"/>
  <c r="B64" i="10"/>
  <c r="B62" i="10"/>
  <c r="B60" i="10"/>
  <c r="B58" i="10"/>
  <c r="B56" i="10"/>
  <c r="B54" i="10"/>
  <c r="C254" i="10"/>
  <c r="C253" i="10"/>
  <c r="C251" i="10"/>
  <c r="C249" i="10"/>
  <c r="C247" i="10"/>
  <c r="C246" i="10"/>
  <c r="C245" i="10"/>
  <c r="C243" i="10"/>
  <c r="A240" i="9"/>
  <c r="A239" i="9"/>
  <c r="A238" i="9"/>
  <c r="A237" i="9"/>
  <c r="A236" i="9"/>
  <c r="A235" i="9"/>
  <c r="A234" i="9"/>
  <c r="A233" i="9"/>
  <c r="A232" i="9"/>
  <c r="A231" i="9"/>
  <c r="A230" i="9"/>
  <c r="A258" i="9"/>
  <c r="A229" i="9"/>
  <c r="A257" i="9"/>
  <c r="A228" i="9"/>
  <c r="A256" i="9"/>
  <c r="A227" i="9"/>
  <c r="A255" i="9"/>
  <c r="A226" i="9"/>
  <c r="A254" i="9"/>
  <c r="A225" i="9"/>
  <c r="A253" i="9"/>
  <c r="A224" i="9"/>
  <c r="A252" i="9"/>
  <c r="A223" i="9"/>
  <c r="A251" i="9"/>
  <c r="A222" i="9"/>
  <c r="A250" i="9"/>
  <c r="A221" i="9"/>
  <c r="A249" i="9"/>
  <c r="A220" i="9"/>
  <c r="A248" i="9"/>
  <c r="A219" i="9"/>
  <c r="A247" i="9"/>
  <c r="A218" i="9"/>
  <c r="A246" i="9"/>
  <c r="A217" i="9"/>
  <c r="A245" i="9"/>
  <c r="A216" i="9"/>
  <c r="A244" i="9"/>
  <c r="A215" i="9"/>
  <c r="A243" i="9"/>
  <c r="B64" i="9"/>
  <c r="B62" i="9"/>
  <c r="B54" i="9"/>
  <c r="C54" i="9"/>
  <c r="D54" i="9"/>
  <c r="E54" i="9"/>
  <c r="F54" i="9"/>
  <c r="B50" i="9"/>
  <c r="C251" i="9"/>
  <c r="B44" i="9"/>
  <c r="C249" i="9"/>
  <c r="B38" i="9"/>
  <c r="B30" i="9"/>
  <c r="A240" i="8"/>
  <c r="A239" i="8"/>
  <c r="A238" i="8"/>
  <c r="A237" i="8"/>
  <c r="A236" i="8"/>
  <c r="A235" i="8"/>
  <c r="A234" i="8"/>
  <c r="A233" i="8"/>
  <c r="A232" i="8"/>
  <c r="A231" i="8"/>
  <c r="A230" i="8"/>
  <c r="A229" i="8"/>
  <c r="A228" i="8"/>
  <c r="A256" i="8"/>
  <c r="A227" i="8"/>
  <c r="A255" i="8"/>
  <c r="A226" i="8"/>
  <c r="A254" i="8"/>
  <c r="A225" i="8"/>
  <c r="A253" i="8"/>
  <c r="A224" i="8"/>
  <c r="A252" i="8"/>
  <c r="A223" i="8"/>
  <c r="A251" i="8"/>
  <c r="A222" i="8"/>
  <c r="A250" i="8"/>
  <c r="A221" i="8"/>
  <c r="A249" i="8"/>
  <c r="A220" i="8"/>
  <c r="A248" i="8"/>
  <c r="A219" i="8"/>
  <c r="A247" i="8"/>
  <c r="A218" i="8"/>
  <c r="A246" i="8"/>
  <c r="A217" i="8"/>
  <c r="A245" i="8"/>
  <c r="A216" i="8"/>
  <c r="A244" i="8"/>
  <c r="A215" i="8"/>
  <c r="A243" i="8"/>
  <c r="B80" i="8"/>
  <c r="C80" i="8"/>
  <c r="D80" i="8"/>
  <c r="E80" i="8"/>
  <c r="F80" i="8"/>
  <c r="G80" i="8"/>
  <c r="H80" i="8"/>
  <c r="I80" i="8"/>
  <c r="J80" i="8"/>
  <c r="K80" i="8"/>
  <c r="L80" i="8"/>
  <c r="M80" i="8"/>
  <c r="N80" i="8"/>
  <c r="O80" i="8"/>
  <c r="P80" i="8"/>
  <c r="Q80" i="8"/>
  <c r="R80" i="8"/>
  <c r="S80" i="8"/>
  <c r="T80" i="8"/>
  <c r="U80" i="8"/>
  <c r="V80" i="8"/>
  <c r="W80" i="8"/>
  <c r="X80" i="8"/>
  <c r="Y80" i="8"/>
  <c r="Z80" i="8"/>
  <c r="AA80" i="8"/>
  <c r="AB80" i="8"/>
  <c r="AC80" i="8"/>
  <c r="AD80" i="8"/>
  <c r="AE80" i="8"/>
  <c r="AF80" i="8"/>
  <c r="AG80" i="8"/>
  <c r="AH80" i="8"/>
  <c r="AI80" i="8"/>
  <c r="AJ80" i="8"/>
  <c r="AK80" i="8"/>
  <c r="AL80" i="8"/>
  <c r="AM80" i="8"/>
  <c r="AN80" i="8"/>
  <c r="AO80" i="8"/>
  <c r="AP80" i="8"/>
  <c r="AQ80" i="8"/>
  <c r="AR80" i="8"/>
  <c r="AS80" i="8"/>
  <c r="AT80" i="8"/>
  <c r="AU80" i="8"/>
  <c r="AV80" i="8"/>
  <c r="AW80" i="8"/>
  <c r="AX80" i="8"/>
  <c r="AY80" i="8"/>
  <c r="AZ80" i="8"/>
  <c r="B78" i="8"/>
  <c r="B76" i="8"/>
  <c r="B74" i="8"/>
  <c r="B72" i="8"/>
  <c r="B70" i="8"/>
  <c r="B68" i="8"/>
  <c r="B66" i="8"/>
  <c r="C66" i="8"/>
  <c r="D66" i="8"/>
  <c r="E66" i="8"/>
  <c r="F66" i="8"/>
  <c r="G66" i="8"/>
  <c r="H66" i="8"/>
  <c r="I66" i="8"/>
  <c r="J66" i="8"/>
  <c r="K66" i="8"/>
  <c r="L66" i="8"/>
  <c r="M66" i="8"/>
  <c r="N66" i="8"/>
  <c r="O66" i="8"/>
  <c r="P66" i="8"/>
  <c r="Q66" i="8"/>
  <c r="R66" i="8"/>
  <c r="S66" i="8"/>
  <c r="T66" i="8"/>
  <c r="U66" i="8"/>
  <c r="V66" i="8"/>
  <c r="B64" i="8"/>
  <c r="C64" i="8"/>
  <c r="D64" i="8"/>
  <c r="E64" i="8"/>
  <c r="F64" i="8"/>
  <c r="G64" i="8"/>
  <c r="H64" i="8"/>
  <c r="I64" i="8"/>
  <c r="J64" i="8"/>
  <c r="K64" i="8"/>
  <c r="L64" i="8"/>
  <c r="M64" i="8"/>
  <c r="N64" i="8"/>
  <c r="O64" i="8"/>
  <c r="B62" i="8"/>
  <c r="B60" i="8"/>
  <c r="B58" i="8"/>
  <c r="C58" i="8"/>
  <c r="C256" i="8"/>
  <c r="B44" i="8"/>
  <c r="A240" i="7"/>
  <c r="A239" i="7"/>
  <c r="A238" i="7"/>
  <c r="A237" i="7"/>
  <c r="A236" i="7"/>
  <c r="A235" i="7"/>
  <c r="A234" i="7"/>
  <c r="A233" i="7"/>
  <c r="A232" i="7"/>
  <c r="A231" i="7"/>
  <c r="A230" i="7"/>
  <c r="A229" i="7"/>
  <c r="A228" i="7"/>
  <c r="A227" i="7"/>
  <c r="A255" i="7"/>
  <c r="A226" i="7"/>
  <c r="A254" i="7"/>
  <c r="A225" i="7"/>
  <c r="A253" i="7"/>
  <c r="A224" i="7"/>
  <c r="A252" i="7"/>
  <c r="A223" i="7"/>
  <c r="A251" i="7"/>
  <c r="A222" i="7"/>
  <c r="A250" i="7"/>
  <c r="A221" i="7"/>
  <c r="A249" i="7"/>
  <c r="A220" i="7"/>
  <c r="A248" i="7"/>
  <c r="A219" i="7"/>
  <c r="A247" i="7"/>
  <c r="A218" i="7"/>
  <c r="A246" i="7"/>
  <c r="A217" i="7"/>
  <c r="A245" i="7"/>
  <c r="A216" i="7"/>
  <c r="A244" i="7"/>
  <c r="A215" i="7"/>
  <c r="A243" i="7"/>
  <c r="B80" i="7"/>
  <c r="B78" i="7"/>
  <c r="C78" i="7"/>
  <c r="B76" i="7"/>
  <c r="B74" i="7"/>
  <c r="B72" i="7"/>
  <c r="B68" i="7"/>
  <c r="C68" i="7"/>
  <c r="D68" i="7"/>
  <c r="E68" i="7"/>
  <c r="F68" i="7"/>
  <c r="B66" i="7"/>
  <c r="B67" i="7"/>
  <c r="B64" i="7"/>
  <c r="B60" i="7"/>
  <c r="B58" i="7"/>
  <c r="B40" i="7"/>
  <c r="A239" i="6"/>
  <c r="A238" i="6"/>
  <c r="A237" i="6"/>
  <c r="A236" i="6"/>
  <c r="A235" i="6"/>
  <c r="A234" i="6"/>
  <c r="A233" i="6"/>
  <c r="A232" i="6"/>
  <c r="A231" i="6"/>
  <c r="A260" i="6"/>
  <c r="A230" i="6"/>
  <c r="A259" i="6"/>
  <c r="A229" i="6"/>
  <c r="A258" i="6"/>
  <c r="A228" i="6"/>
  <c r="A257" i="6"/>
  <c r="A227" i="6"/>
  <c r="A256" i="6"/>
  <c r="A226" i="6"/>
  <c r="A255" i="6"/>
  <c r="A225" i="6"/>
  <c r="A254" i="6"/>
  <c r="A224" i="6"/>
  <c r="A253" i="6"/>
  <c r="A223" i="6"/>
  <c r="A252" i="6"/>
  <c r="A222" i="6"/>
  <c r="A251" i="6"/>
  <c r="A221" i="6"/>
  <c r="A250" i="6"/>
  <c r="A220" i="6"/>
  <c r="A249" i="6"/>
  <c r="A219" i="6"/>
  <c r="A248" i="6"/>
  <c r="A218" i="6"/>
  <c r="A247" i="6"/>
  <c r="A217" i="6"/>
  <c r="A246" i="6"/>
  <c r="A216" i="6"/>
  <c r="A245" i="6"/>
  <c r="A215" i="6"/>
  <c r="A244" i="6"/>
  <c r="A214" i="6"/>
  <c r="A243" i="6"/>
  <c r="D68" i="22"/>
  <c r="C40" i="11"/>
  <c r="D40" i="11"/>
  <c r="B47" i="11"/>
  <c r="C46" i="11"/>
  <c r="D46" i="11"/>
  <c r="E46" i="11"/>
  <c r="F46" i="11"/>
  <c r="B49" i="11"/>
  <c r="B53" i="11"/>
  <c r="B59" i="11"/>
  <c r="C58" i="11"/>
  <c r="B61" i="11"/>
  <c r="C62" i="11"/>
  <c r="D62" i="11"/>
  <c r="E62" i="11"/>
  <c r="F62" i="11"/>
  <c r="G62" i="11"/>
  <c r="H62" i="11"/>
  <c r="I62" i="11"/>
  <c r="J62" i="11"/>
  <c r="K62" i="11"/>
  <c r="L62" i="11"/>
  <c r="M62" i="11"/>
  <c r="N62" i="11"/>
  <c r="O62" i="11"/>
  <c r="P62" i="11"/>
  <c r="Q62" i="11"/>
  <c r="R62" i="11"/>
  <c r="S62" i="11"/>
  <c r="T62" i="11"/>
  <c r="U62" i="11"/>
  <c r="V62" i="11"/>
  <c r="W62" i="11"/>
  <c r="X62" i="11"/>
  <c r="Y62" i="11"/>
  <c r="Z62" i="11"/>
  <c r="AA62" i="11"/>
  <c r="AB62" i="11"/>
  <c r="B65" i="11"/>
  <c r="B67" i="11"/>
  <c r="C66" i="11"/>
  <c r="B71" i="11"/>
  <c r="C70" i="11"/>
  <c r="B73" i="11"/>
  <c r="B75" i="11"/>
  <c r="C74" i="11"/>
  <c r="B79" i="11"/>
  <c r="C78" i="11"/>
  <c r="D78" i="11"/>
  <c r="E78" i="11"/>
  <c r="F78" i="11"/>
  <c r="G78" i="11"/>
  <c r="B81" i="11"/>
  <c r="B57" i="10"/>
  <c r="C56" i="10"/>
  <c r="D56" i="10"/>
  <c r="E56" i="10"/>
  <c r="F56" i="10"/>
  <c r="B59" i="10"/>
  <c r="C58" i="10"/>
  <c r="D58" i="10"/>
  <c r="B63" i="10"/>
  <c r="C62" i="10"/>
  <c r="B65" i="10"/>
  <c r="C64" i="10"/>
  <c r="B67" i="10"/>
  <c r="C66" i="10"/>
  <c r="D66" i="10"/>
  <c r="E66" i="10"/>
  <c r="F66" i="10"/>
  <c r="G66" i="10"/>
  <c r="H66" i="10"/>
  <c r="I66" i="10"/>
  <c r="J66" i="10"/>
  <c r="B71" i="10"/>
  <c r="C70" i="10"/>
  <c r="B73" i="10"/>
  <c r="C72" i="10"/>
  <c r="B75" i="10"/>
  <c r="C74" i="10"/>
  <c r="B79" i="10"/>
  <c r="C78" i="10"/>
  <c r="D78" i="10"/>
  <c r="B81" i="10"/>
  <c r="C80" i="10"/>
  <c r="C64" i="9"/>
  <c r="D64" i="9"/>
  <c r="E64" i="9"/>
  <c r="B59" i="8"/>
  <c r="B65" i="8"/>
  <c r="B67" i="8"/>
  <c r="B75" i="8"/>
  <c r="C74" i="8"/>
  <c r="D74" i="8"/>
  <c r="E74" i="8"/>
  <c r="F74" i="8"/>
  <c r="G74" i="8"/>
  <c r="H74" i="8"/>
  <c r="I74" i="8"/>
  <c r="J74" i="8"/>
  <c r="K74" i="8"/>
  <c r="L74" i="8"/>
  <c r="M74" i="8"/>
  <c r="N74" i="8"/>
  <c r="O74" i="8"/>
  <c r="P74" i="8"/>
  <c r="Q74" i="8"/>
  <c r="R74" i="8"/>
  <c r="S74" i="8"/>
  <c r="T74" i="8"/>
  <c r="U74" i="8"/>
  <c r="V74" i="8"/>
  <c r="W74" i="8"/>
  <c r="X74" i="8"/>
  <c r="B61" i="7"/>
  <c r="C60" i="7"/>
  <c r="B69" i="7"/>
  <c r="B73" i="7"/>
  <c r="C72" i="7"/>
  <c r="B79" i="7"/>
  <c r="A247" i="1"/>
  <c r="A276" i="1"/>
  <c r="A246" i="1"/>
  <c r="A275" i="1"/>
  <c r="A244" i="1"/>
  <c r="A273" i="1"/>
  <c r="A245" i="1"/>
  <c r="A274" i="1"/>
  <c r="H2" i="1"/>
  <c r="K2" i="1"/>
  <c r="C251" i="1"/>
  <c r="H3" i="1"/>
  <c r="K3" i="1"/>
  <c r="C252" i="1"/>
  <c r="H4" i="1"/>
  <c r="K4" i="1"/>
  <c r="C253" i="1"/>
  <c r="K24" i="1"/>
  <c r="C273" i="1"/>
  <c r="K25" i="1"/>
  <c r="C274" i="1"/>
  <c r="K26" i="1"/>
  <c r="C275" i="1"/>
  <c r="K27" i="1"/>
  <c r="C276" i="1"/>
  <c r="K5" i="1"/>
  <c r="C254" i="1"/>
  <c r="K6" i="1"/>
  <c r="C255" i="1"/>
  <c r="K7" i="1"/>
  <c r="C256" i="1"/>
  <c r="K8" i="1"/>
  <c r="C257" i="1"/>
  <c r="K9" i="1"/>
  <c r="C258" i="1"/>
  <c r="K10" i="1"/>
  <c r="C259" i="1"/>
  <c r="K11" i="1"/>
  <c r="C260" i="1"/>
  <c r="K12" i="1"/>
  <c r="C261" i="1"/>
  <c r="K13" i="1"/>
  <c r="C262" i="1"/>
  <c r="K14" i="1"/>
  <c r="C263" i="1"/>
  <c r="K15" i="1"/>
  <c r="C264" i="1"/>
  <c r="K16" i="1"/>
  <c r="C265" i="1"/>
  <c r="K17" i="1"/>
  <c r="C266" i="1"/>
  <c r="K18" i="1"/>
  <c r="C267" i="1"/>
  <c r="K19" i="1"/>
  <c r="C268" i="1"/>
  <c r="K20" i="1"/>
  <c r="C269" i="1"/>
  <c r="K21" i="1"/>
  <c r="C270" i="1"/>
  <c r="K22" i="1"/>
  <c r="C271" i="1"/>
  <c r="B117" i="2"/>
  <c r="B118" i="2"/>
  <c r="B119" i="2"/>
  <c r="B120" i="2"/>
  <c r="B121" i="2"/>
  <c r="B116" i="2"/>
  <c r="A4" i="2"/>
  <c r="A125" i="2"/>
  <c r="BW125" i="2"/>
  <c r="BW4" i="2"/>
  <c r="A222" i="1"/>
  <c r="A251" i="1"/>
  <c r="A223" i="1"/>
  <c r="A252" i="1"/>
  <c r="A224" i="1"/>
  <c r="A253" i="1"/>
  <c r="A225" i="1"/>
  <c r="A254" i="1"/>
  <c r="A226" i="1"/>
  <c r="A255" i="1"/>
  <c r="A227" i="1"/>
  <c r="A256" i="1"/>
  <c r="A228" i="1"/>
  <c r="A257" i="1"/>
  <c r="A229" i="1"/>
  <c r="A258" i="1"/>
  <c r="A230" i="1"/>
  <c r="A259" i="1"/>
  <c r="A231" i="1"/>
  <c r="A260" i="1"/>
  <c r="A232" i="1"/>
  <c r="A261" i="1"/>
  <c r="A233" i="1"/>
  <c r="A262" i="1"/>
  <c r="A234" i="1"/>
  <c r="A263" i="1"/>
  <c r="A235" i="1"/>
  <c r="A264" i="1"/>
  <c r="A236" i="1"/>
  <c r="A265" i="1"/>
  <c r="A237" i="1"/>
  <c r="A266" i="1"/>
  <c r="A238" i="1"/>
  <c r="A267" i="1"/>
  <c r="A239" i="1"/>
  <c r="A268" i="1"/>
  <c r="A240" i="1"/>
  <c r="A269" i="1"/>
  <c r="A241" i="1"/>
  <c r="A270" i="1"/>
  <c r="A242" i="1"/>
  <c r="A271" i="1"/>
  <c r="A243" i="1"/>
  <c r="A272" i="1"/>
  <c r="D80" i="11"/>
  <c r="D74" i="11"/>
  <c r="E74" i="11"/>
  <c r="F74" i="11"/>
  <c r="G74" i="11"/>
  <c r="H74" i="11"/>
  <c r="I74" i="11"/>
  <c r="J74" i="11"/>
  <c r="K74" i="11"/>
  <c r="L74" i="11"/>
  <c r="M74" i="11"/>
  <c r="N74" i="11"/>
  <c r="O74" i="11"/>
  <c r="P74" i="11"/>
  <c r="Q74" i="11"/>
  <c r="R74" i="11"/>
  <c r="D70" i="11"/>
  <c r="E70" i="11"/>
  <c r="F70" i="11"/>
  <c r="G70" i="11"/>
  <c r="H70" i="11"/>
  <c r="I70" i="11"/>
  <c r="J70" i="11"/>
  <c r="K70" i="11"/>
  <c r="L70" i="11"/>
  <c r="M70" i="11"/>
  <c r="N70" i="11"/>
  <c r="O70" i="11"/>
  <c r="P70" i="11"/>
  <c r="Q70" i="11"/>
  <c r="R70" i="11"/>
  <c r="S70" i="11"/>
  <c r="T70" i="11"/>
  <c r="U70" i="11"/>
  <c r="V70" i="11"/>
  <c r="W70" i="11"/>
  <c r="X70" i="11"/>
  <c r="Y70" i="11"/>
  <c r="Z70" i="11"/>
  <c r="AA70" i="11"/>
  <c r="AB70" i="11"/>
  <c r="AC70" i="11"/>
  <c r="AD70" i="11"/>
  <c r="AE70" i="11"/>
  <c r="AF70" i="11"/>
  <c r="AG70" i="11"/>
  <c r="AH70" i="11"/>
  <c r="AI70" i="11"/>
  <c r="AJ70" i="11"/>
  <c r="AK70" i="11"/>
  <c r="AL70" i="11"/>
  <c r="AM70" i="11"/>
  <c r="AN70" i="11"/>
  <c r="AO70" i="11"/>
  <c r="AP70" i="11"/>
  <c r="AQ70" i="11"/>
  <c r="AR70" i="11"/>
  <c r="AS70" i="11"/>
  <c r="AT70" i="11"/>
  <c r="AU70" i="11"/>
  <c r="AV70" i="11"/>
  <c r="AW70" i="11"/>
  <c r="AX70" i="11"/>
  <c r="AY70" i="11"/>
  <c r="AZ70" i="11"/>
  <c r="BA70" i="11"/>
  <c r="BB70" i="11"/>
  <c r="BC70" i="11"/>
  <c r="BD70" i="11"/>
  <c r="BE70" i="11"/>
  <c r="BF70" i="11"/>
  <c r="D66" i="11"/>
  <c r="D58" i="11"/>
  <c r="E58" i="11"/>
  <c r="F58" i="11"/>
  <c r="G58" i="11"/>
  <c r="H58" i="11"/>
  <c r="I58" i="11"/>
  <c r="J58" i="11"/>
  <c r="K58" i="11"/>
  <c r="L58" i="11"/>
  <c r="M58" i="11"/>
  <c r="N58" i="11"/>
  <c r="O58" i="11"/>
  <c r="P58" i="11"/>
  <c r="Q58" i="11"/>
  <c r="R58" i="11"/>
  <c r="S58" i="11"/>
  <c r="T58" i="11"/>
  <c r="U58" i="11"/>
  <c r="V58" i="11"/>
  <c r="W58" i="11"/>
  <c r="X58" i="11"/>
  <c r="Y58" i="11"/>
  <c r="Z58" i="11"/>
  <c r="AA58" i="11"/>
  <c r="AB58" i="11"/>
  <c r="AC58" i="11"/>
  <c r="AD58" i="11"/>
  <c r="AE58" i="11"/>
  <c r="AF58" i="11"/>
  <c r="AG58" i="11"/>
  <c r="AH58" i="11"/>
  <c r="AI58" i="11"/>
  <c r="AJ58" i="11"/>
  <c r="AK58" i="11"/>
  <c r="AL58" i="11"/>
  <c r="AM58" i="11"/>
  <c r="AN58" i="11"/>
  <c r="AO58" i="11"/>
  <c r="AP58" i="11"/>
  <c r="AQ58" i="11"/>
  <c r="AR58" i="11"/>
  <c r="AS58" i="11"/>
  <c r="AT58" i="11"/>
  <c r="AU58" i="11"/>
  <c r="AV58" i="11"/>
  <c r="AW58" i="11"/>
  <c r="AX58" i="11"/>
  <c r="AY58" i="11"/>
  <c r="AZ58" i="11"/>
  <c r="BA58" i="11"/>
  <c r="BB58" i="11"/>
  <c r="BC58" i="11"/>
  <c r="BD58" i="11"/>
  <c r="BE58" i="11"/>
  <c r="BF58" i="11"/>
  <c r="BG58" i="11"/>
  <c r="BH58" i="11"/>
  <c r="BI58" i="11"/>
  <c r="BJ58" i="11"/>
  <c r="D52" i="11"/>
  <c r="E52" i="11"/>
  <c r="F52" i="11"/>
  <c r="G52" i="11"/>
  <c r="H52" i="11"/>
  <c r="I52" i="11"/>
  <c r="J52" i="11"/>
  <c r="K52" i="11"/>
  <c r="L52" i="11"/>
  <c r="M52" i="11"/>
  <c r="N52" i="11"/>
  <c r="O52" i="11"/>
  <c r="P52" i="11"/>
  <c r="Q52" i="11"/>
  <c r="R52" i="11"/>
  <c r="S52" i="11"/>
  <c r="T52" i="11"/>
  <c r="U52" i="11"/>
  <c r="V52" i="11"/>
  <c r="W52" i="11"/>
  <c r="X52" i="11"/>
  <c r="Y52" i="11"/>
  <c r="Z52" i="11"/>
  <c r="AA52" i="11"/>
  <c r="AB52" i="11"/>
  <c r="AC52" i="11"/>
  <c r="AD52" i="11"/>
  <c r="AE52" i="11"/>
  <c r="AF52" i="11"/>
  <c r="AG52" i="11"/>
  <c r="D80" i="10"/>
  <c r="E80" i="10"/>
  <c r="F80" i="10"/>
  <c r="G80" i="10"/>
  <c r="H80" i="10"/>
  <c r="I80" i="10"/>
  <c r="J80" i="10"/>
  <c r="K80" i="10"/>
  <c r="L80" i="10"/>
  <c r="M80" i="10"/>
  <c r="N80" i="10"/>
  <c r="D74" i="10"/>
  <c r="E74" i="10"/>
  <c r="F74" i="10"/>
  <c r="G74" i="10"/>
  <c r="H74" i="10"/>
  <c r="I74" i="10"/>
  <c r="J74" i="10"/>
  <c r="K74" i="10"/>
  <c r="L74" i="10"/>
  <c r="M74" i="10"/>
  <c r="D72" i="10"/>
  <c r="E72" i="10"/>
  <c r="F72" i="10"/>
  <c r="G72" i="10"/>
  <c r="H72" i="10"/>
  <c r="I72" i="10"/>
  <c r="J72" i="10"/>
  <c r="K72" i="10"/>
  <c r="L72" i="10"/>
  <c r="M72" i="10"/>
  <c r="D70" i="10"/>
  <c r="E70" i="10"/>
  <c r="F70" i="10"/>
  <c r="G70" i="10"/>
  <c r="H70" i="10"/>
  <c r="I70" i="10"/>
  <c r="D64" i="10"/>
  <c r="E64" i="10"/>
  <c r="F64" i="10"/>
  <c r="G64" i="10"/>
  <c r="H64" i="10"/>
  <c r="I64" i="10"/>
  <c r="J64" i="10"/>
  <c r="K64" i="10"/>
  <c r="L64" i="10"/>
  <c r="M64" i="10"/>
  <c r="N64" i="10"/>
  <c r="O64" i="10"/>
  <c r="P64" i="10"/>
  <c r="Q64" i="10"/>
  <c r="R64" i="10"/>
  <c r="S64" i="10"/>
  <c r="T64" i="10"/>
  <c r="U64" i="10"/>
  <c r="V64" i="10"/>
  <c r="W64" i="10"/>
  <c r="X64" i="10"/>
  <c r="Y64" i="10"/>
  <c r="Z64" i="10"/>
  <c r="AA64" i="10"/>
  <c r="AB64" i="10"/>
  <c r="AC64" i="10"/>
  <c r="D62" i="10"/>
  <c r="E62" i="10"/>
  <c r="F62" i="10"/>
  <c r="G62" i="10"/>
  <c r="D80" i="9"/>
  <c r="D78" i="9"/>
  <c r="E78" i="9"/>
  <c r="F78" i="9"/>
  <c r="D74" i="9"/>
  <c r="E74" i="9"/>
  <c r="F74" i="9"/>
  <c r="G74" i="9"/>
  <c r="H74" i="9"/>
  <c r="I74" i="9"/>
  <c r="J74" i="9"/>
  <c r="K74" i="9"/>
  <c r="L74" i="9"/>
  <c r="M74" i="9"/>
  <c r="D58" i="8"/>
  <c r="E58" i="8"/>
  <c r="F58" i="8"/>
  <c r="G58" i="8"/>
  <c r="H58" i="8"/>
  <c r="I58" i="8"/>
  <c r="J58" i="8"/>
  <c r="K58" i="8"/>
  <c r="L58" i="8"/>
  <c r="M58" i="8"/>
  <c r="N58" i="8"/>
  <c r="O58" i="8"/>
  <c r="D78" i="7"/>
  <c r="E78" i="7"/>
  <c r="F78" i="7"/>
  <c r="G78" i="7"/>
  <c r="H78" i="7"/>
  <c r="I78" i="7"/>
  <c r="D72" i="7"/>
  <c r="D60" i="7"/>
  <c r="E60" i="7"/>
  <c r="F60" i="7"/>
  <c r="G60" i="7"/>
  <c r="E66" i="11"/>
  <c r="F66" i="11"/>
  <c r="G66" i="11"/>
  <c r="H66" i="11"/>
  <c r="I66" i="11"/>
  <c r="J66" i="11"/>
  <c r="K66" i="11"/>
  <c r="L66" i="11"/>
  <c r="M66" i="11"/>
  <c r="N66" i="11"/>
  <c r="O66" i="11"/>
  <c r="P66" i="11"/>
  <c r="Q66" i="11"/>
  <c r="R66" i="11"/>
  <c r="S66" i="11"/>
  <c r="T66" i="11"/>
  <c r="U66" i="11"/>
  <c r="E80" i="11"/>
  <c r="E58" i="10"/>
  <c r="F58" i="10"/>
  <c r="G58" i="10"/>
  <c r="H58" i="10"/>
  <c r="I58" i="10"/>
  <c r="E80" i="9"/>
  <c r="F80" i="9"/>
  <c r="G80" i="9"/>
  <c r="H80" i="9"/>
  <c r="I80" i="9"/>
  <c r="E72" i="7"/>
  <c r="F72" i="7"/>
  <c r="G72" i="7"/>
  <c r="H72" i="7"/>
  <c r="I72" i="7"/>
  <c r="J72" i="7"/>
  <c r="K72" i="7"/>
  <c r="L72" i="7"/>
  <c r="M72" i="7"/>
  <c r="N72" i="7"/>
  <c r="O72" i="7"/>
  <c r="P72" i="7"/>
  <c r="Q72" i="7"/>
  <c r="R72" i="7"/>
  <c r="S72" i="7"/>
  <c r="T72" i="7"/>
  <c r="U72" i="7"/>
  <c r="V72" i="7"/>
  <c r="W72" i="7"/>
  <c r="X72" i="7"/>
  <c r="Y72" i="7"/>
  <c r="Z72" i="7"/>
  <c r="AA72" i="7"/>
  <c r="AB72" i="7"/>
  <c r="AC72" i="7"/>
  <c r="AD72" i="7"/>
  <c r="AE72" i="7"/>
  <c r="AF72" i="7"/>
  <c r="AG72" i="7"/>
  <c r="AH72" i="7"/>
  <c r="AI72" i="7"/>
  <c r="AJ72" i="7"/>
  <c r="AK72" i="7"/>
  <c r="AL72" i="7"/>
  <c r="AM72" i="7"/>
  <c r="AN72" i="7"/>
  <c r="AO72" i="7"/>
  <c r="AP72" i="7"/>
  <c r="AQ72" i="7"/>
  <c r="AR72" i="7"/>
  <c r="AS72" i="7"/>
  <c r="AT72" i="7"/>
  <c r="AU72" i="7"/>
  <c r="AV72" i="7"/>
  <c r="AW72" i="7"/>
  <c r="AX72" i="7"/>
  <c r="AY72" i="7"/>
  <c r="AZ72" i="7"/>
  <c r="F80" i="11"/>
  <c r="F72" i="11"/>
  <c r="G72" i="11"/>
  <c r="F60" i="11"/>
  <c r="G60" i="11"/>
  <c r="H60" i="11"/>
  <c r="I60" i="11"/>
  <c r="J60" i="11"/>
  <c r="K60" i="11"/>
  <c r="L60" i="11"/>
  <c r="M60" i="11"/>
  <c r="F48" i="11"/>
  <c r="G68" i="7"/>
  <c r="H68" i="7"/>
  <c r="I68" i="7"/>
  <c r="J68" i="7"/>
  <c r="K68" i="7"/>
  <c r="L68" i="7"/>
  <c r="M68" i="7"/>
  <c r="N68" i="7"/>
  <c r="O68" i="7"/>
  <c r="P68" i="7"/>
  <c r="Q68" i="7"/>
  <c r="R68" i="7"/>
  <c r="S68" i="7"/>
  <c r="T68" i="7"/>
  <c r="U68" i="7"/>
  <c r="V68" i="7"/>
  <c r="W68" i="7"/>
  <c r="X68" i="7"/>
  <c r="Y68" i="7"/>
  <c r="Z68" i="7"/>
  <c r="AA68" i="7"/>
  <c r="AB68" i="7"/>
  <c r="AC68" i="7"/>
  <c r="AD68" i="7"/>
  <c r="H30" i="22"/>
  <c r="I30" i="22"/>
  <c r="J30" i="22"/>
  <c r="K30" i="22"/>
  <c r="L30" i="22"/>
  <c r="M30" i="22"/>
  <c r="N30" i="22"/>
  <c r="O30" i="22"/>
  <c r="P30" i="22"/>
  <c r="G48" i="11"/>
  <c r="H48" i="11"/>
  <c r="I48" i="11"/>
  <c r="J48" i="11"/>
  <c r="K48" i="11"/>
  <c r="L48" i="11"/>
  <c r="M48" i="11"/>
  <c r="N48" i="11"/>
  <c r="O48" i="11"/>
  <c r="P48" i="11"/>
  <c r="Q48" i="11"/>
  <c r="R48" i="11"/>
  <c r="S48" i="11"/>
  <c r="G80" i="11"/>
  <c r="H72" i="11"/>
  <c r="I72" i="11"/>
  <c r="J72" i="11"/>
  <c r="K72" i="11"/>
  <c r="L72" i="11"/>
  <c r="M72" i="11"/>
  <c r="N72" i="11"/>
  <c r="H80" i="11"/>
  <c r="I80" i="11"/>
  <c r="J80" i="11"/>
  <c r="K80" i="11"/>
  <c r="L80" i="11"/>
  <c r="M80" i="11"/>
  <c r="N80" i="11"/>
  <c r="O80" i="11"/>
  <c r="P80" i="11"/>
  <c r="Q80" i="11"/>
  <c r="R80" i="11"/>
  <c r="S80" i="11"/>
  <c r="T80" i="11"/>
  <c r="U80" i="11"/>
  <c r="V80" i="11"/>
  <c r="AC62" i="11"/>
  <c r="AD62" i="11"/>
  <c r="AE62" i="11"/>
  <c r="AF62" i="11"/>
  <c r="AG62" i="11"/>
  <c r="AH62" i="11"/>
  <c r="AI62" i="11"/>
  <c r="AJ62" i="11"/>
  <c r="AK62" i="11"/>
  <c r="AL62" i="11"/>
  <c r="AM62" i="11"/>
  <c r="AN62" i="11"/>
  <c r="AO62" i="11"/>
  <c r="AP62" i="11"/>
  <c r="AQ62" i="11"/>
  <c r="AR62" i="11"/>
  <c r="AS62" i="11"/>
  <c r="AT62" i="11"/>
  <c r="AU62" i="11"/>
  <c r="AV62" i="11"/>
  <c r="AW62" i="11"/>
  <c r="AX62" i="11"/>
  <c r="AY62" i="11"/>
  <c r="AZ62" i="11"/>
  <c r="BA62" i="11"/>
  <c r="BB62" i="11"/>
  <c r="BC62" i="11"/>
  <c r="BD62" i="11"/>
  <c r="BE62" i="11"/>
  <c r="BF62" i="11"/>
  <c r="BG62" i="11"/>
  <c r="BH62" i="11"/>
  <c r="N60" i="11"/>
  <c r="O60" i="11"/>
  <c r="P60" i="11"/>
  <c r="Q60" i="11"/>
  <c r="R60" i="11"/>
  <c r="S60" i="11"/>
  <c r="T60" i="11"/>
  <c r="U60" i="11"/>
  <c r="V60" i="11"/>
  <c r="W60" i="11"/>
  <c r="X60" i="11"/>
  <c r="Y60" i="11"/>
  <c r="Z60" i="11"/>
  <c r="AA60" i="11"/>
  <c r="AB60" i="11"/>
  <c r="AC60" i="11"/>
  <c r="AD60" i="11"/>
  <c r="AE60" i="11"/>
  <c r="AF60" i="11"/>
  <c r="AG60" i="11"/>
  <c r="AH60" i="11"/>
  <c r="AI60" i="11"/>
  <c r="AJ60" i="11"/>
  <c r="AK60" i="11"/>
  <c r="AL60" i="11"/>
  <c r="AM60" i="11"/>
  <c r="AN60" i="11"/>
  <c r="AO60" i="11"/>
  <c r="AP60" i="11"/>
  <c r="AQ60" i="11"/>
  <c r="AR60" i="11"/>
  <c r="AS60" i="11"/>
  <c r="AT60" i="11"/>
  <c r="AU60" i="11"/>
  <c r="AV60" i="11"/>
  <c r="AW60" i="11"/>
  <c r="AX60" i="11"/>
  <c r="AY60" i="11"/>
  <c r="AZ60" i="11"/>
  <c r="BA60" i="11"/>
  <c r="BB60" i="11"/>
  <c r="BC60" i="11"/>
  <c r="BD60" i="11"/>
  <c r="BE60" i="11"/>
  <c r="BF60" i="11"/>
  <c r="BG60" i="11"/>
  <c r="BH60" i="11"/>
  <c r="N72" i="10"/>
  <c r="O72" i="10"/>
  <c r="P72" i="10"/>
  <c r="O72" i="11"/>
  <c r="P72" i="11"/>
  <c r="Q72" i="11"/>
  <c r="R72" i="11"/>
  <c r="S72" i="11"/>
  <c r="P64" i="8"/>
  <c r="Q64" i="8"/>
  <c r="R64" i="8"/>
  <c r="S64" i="8"/>
  <c r="T64" i="8"/>
  <c r="T48" i="11"/>
  <c r="U48" i="11"/>
  <c r="V48" i="11"/>
  <c r="W48" i="11"/>
  <c r="X48" i="11"/>
  <c r="Y48" i="11"/>
  <c r="Z48" i="11"/>
  <c r="AA48" i="11"/>
  <c r="AB48" i="11"/>
  <c r="AC48" i="11"/>
  <c r="U64" i="8"/>
  <c r="V64" i="8"/>
  <c r="W64" i="8"/>
  <c r="X64" i="8"/>
  <c r="Y64" i="8"/>
  <c r="Z64" i="8"/>
  <c r="AA64" i="8"/>
  <c r="AB64" i="8"/>
  <c r="AC64" i="8"/>
  <c r="AD64" i="8"/>
  <c r="AE64" i="8"/>
  <c r="AF64" i="8"/>
  <c r="AG64" i="8"/>
  <c r="AH64" i="8"/>
  <c r="AI64" i="8"/>
  <c r="AJ64" i="8"/>
  <c r="AK64" i="8"/>
  <c r="AL64" i="8"/>
  <c r="AM64" i="8"/>
  <c r="AN64" i="8"/>
  <c r="AO64" i="8"/>
  <c r="AP64" i="8"/>
  <c r="AQ64" i="8"/>
  <c r="AR64" i="8"/>
  <c r="AS64" i="8"/>
  <c r="AT64" i="8"/>
  <c r="AU64" i="8"/>
  <c r="AV64" i="8"/>
  <c r="AW64" i="8"/>
  <c r="AX64" i="8"/>
  <c r="AY64" i="8"/>
  <c r="AZ64" i="8"/>
  <c r="BA64" i="8"/>
  <c r="BB64" i="8"/>
  <c r="BC64" i="8"/>
  <c r="BD64" i="8"/>
  <c r="BA80" i="8"/>
  <c r="BB80" i="8"/>
  <c r="BC80" i="8"/>
  <c r="BD80" i="8"/>
  <c r="BE80" i="8"/>
  <c r="BF80" i="8"/>
  <c r="BG80" i="8"/>
  <c r="BA72" i="7"/>
  <c r="BB72" i="7"/>
  <c r="BC72" i="7"/>
  <c r="BD72" i="7"/>
  <c r="BE72" i="7"/>
  <c r="BF72" i="7"/>
  <c r="BG72" i="7"/>
  <c r="BH72" i="7"/>
  <c r="BI72" i="7"/>
  <c r="BJ72" i="7"/>
  <c r="A5" i="2"/>
  <c r="A126" i="2"/>
  <c r="BW126" i="2"/>
  <c r="BW5" i="2"/>
  <c r="C10" i="26"/>
  <c r="C11" i="26"/>
  <c r="C12" i="26"/>
  <c r="C13" i="26"/>
  <c r="C14" i="26"/>
  <c r="C15" i="26"/>
  <c r="C16" i="26"/>
  <c r="C17" i="26"/>
  <c r="C18" i="26"/>
  <c r="C19" i="26"/>
  <c r="C20" i="26"/>
  <c r="C21" i="26"/>
  <c r="C22" i="26"/>
  <c r="C23" i="26"/>
  <c r="C24" i="26"/>
  <c r="C25" i="26"/>
  <c r="C26" i="26"/>
  <c r="C27" i="26"/>
  <c r="C28" i="26"/>
  <c r="C29" i="26"/>
  <c r="C30" i="26"/>
  <c r="C31" i="26"/>
  <c r="C32" i="26"/>
  <c r="C33" i="26"/>
  <c r="C34" i="26"/>
  <c r="C35" i="26"/>
  <c r="C36" i="26"/>
  <c r="C37" i="26"/>
  <c r="C38" i="26"/>
  <c r="C39" i="26"/>
  <c r="C40" i="26"/>
  <c r="C41" i="26"/>
  <c r="C42" i="26"/>
  <c r="C43" i="26"/>
  <c r="C44" i="26"/>
  <c r="C45" i="26"/>
  <c r="C46" i="26"/>
  <c r="C47" i="26"/>
  <c r="C48" i="26"/>
  <c r="C49" i="26"/>
  <c r="C50" i="26"/>
  <c r="C51" i="26"/>
  <c r="C52" i="26"/>
  <c r="C53" i="26"/>
  <c r="C54" i="26"/>
  <c r="C55" i="26"/>
  <c r="C56" i="26"/>
  <c r="C57" i="26"/>
  <c r="C58" i="26"/>
  <c r="C59" i="26"/>
  <c r="C60" i="26"/>
  <c r="C61" i="26"/>
  <c r="C62" i="26"/>
  <c r="C63" i="26"/>
  <c r="C64" i="26"/>
  <c r="C65" i="26"/>
  <c r="C66" i="26"/>
  <c r="C67" i="26"/>
  <c r="C68" i="26"/>
  <c r="C69" i="26"/>
  <c r="C70" i="26"/>
  <c r="C71" i="26"/>
  <c r="C72" i="26"/>
  <c r="C73" i="26"/>
  <c r="C74" i="26"/>
  <c r="C75" i="26"/>
  <c r="C76" i="26"/>
  <c r="C77" i="26"/>
  <c r="C78" i="26"/>
  <c r="C79" i="26"/>
  <c r="C80" i="26"/>
  <c r="C81" i="26"/>
  <c r="C82" i="26"/>
  <c r="C83" i="26"/>
  <c r="C84" i="26"/>
  <c r="C85" i="26"/>
  <c r="C86" i="26"/>
  <c r="C87" i="26"/>
  <c r="C88" i="26"/>
  <c r="C89" i="26"/>
  <c r="C90" i="26"/>
  <c r="C91" i="26"/>
  <c r="C92" i="26"/>
  <c r="C93" i="26"/>
  <c r="C94" i="26"/>
  <c r="C95" i="26"/>
  <c r="C96" i="26"/>
  <c r="C97" i="26"/>
  <c r="C98" i="26"/>
  <c r="C99" i="26"/>
  <c r="C100" i="26"/>
  <c r="C101" i="26"/>
  <c r="C102" i="26"/>
  <c r="C103" i="26"/>
  <c r="C104" i="26"/>
  <c r="AS209" i="8"/>
  <c r="AS210" i="8"/>
  <c r="BA209" i="8"/>
  <c r="Q30" i="22"/>
  <c r="R30" i="22"/>
  <c r="S30" i="22"/>
  <c r="T30" i="22"/>
  <c r="U30" i="22"/>
  <c r="V30" i="22"/>
  <c r="W30" i="22"/>
  <c r="X30" i="22"/>
  <c r="Y30" i="22"/>
  <c r="BK58" i="11"/>
  <c r="BL58" i="11"/>
  <c r="BF68" i="11"/>
  <c r="BE64" i="11"/>
  <c r="BF64" i="11"/>
  <c r="BG64" i="11"/>
  <c r="BH64" i="11"/>
  <c r="BI64" i="11"/>
  <c r="BJ64" i="11"/>
  <c r="BK64" i="11"/>
  <c r="BL64" i="11"/>
  <c r="BH80" i="8"/>
  <c r="BI80" i="8"/>
  <c r="BJ80" i="8"/>
  <c r="BK80" i="8"/>
  <c r="BL80" i="8"/>
  <c r="BM80" i="8"/>
  <c r="BN80" i="8"/>
  <c r="BO80" i="8"/>
  <c r="BE64" i="8"/>
  <c r="O66" i="22"/>
  <c r="P66" i="22"/>
  <c r="Q66" i="22"/>
  <c r="F72" i="22"/>
  <c r="C60" i="8"/>
  <c r="D60" i="8"/>
  <c r="B61" i="8"/>
  <c r="C68" i="8"/>
  <c r="B69" i="8"/>
  <c r="C72" i="8"/>
  <c r="B73" i="8"/>
  <c r="C76" i="8"/>
  <c r="B77" i="8"/>
  <c r="E78" i="10"/>
  <c r="F78" i="10"/>
  <c r="F62" i="22"/>
  <c r="B81" i="8"/>
  <c r="E64" i="22"/>
  <c r="F64" i="22"/>
  <c r="G64" i="22"/>
  <c r="H64" i="22"/>
  <c r="I64" i="22"/>
  <c r="J64" i="22"/>
  <c r="K64" i="22"/>
  <c r="L64" i="22"/>
  <c r="M64" i="22"/>
  <c r="N64" i="22"/>
  <c r="E68" i="22"/>
  <c r="F68" i="22"/>
  <c r="C54" i="10"/>
  <c r="B55" i="10"/>
  <c r="D68" i="9"/>
  <c r="E68" i="9"/>
  <c r="F68" i="9"/>
  <c r="G68" i="9"/>
  <c r="H68" i="9"/>
  <c r="B65" i="9"/>
  <c r="D74" i="22"/>
  <c r="E74" i="22"/>
  <c r="F74" i="22"/>
  <c r="G74" i="22"/>
  <c r="C60" i="22"/>
  <c r="D60" i="22"/>
  <c r="D70" i="7"/>
  <c r="E70" i="7"/>
  <c r="D54" i="10"/>
  <c r="E54" i="10"/>
  <c r="Q72" i="10"/>
  <c r="BF64" i="8"/>
  <c r="BG64" i="8"/>
  <c r="BH64" i="8"/>
  <c r="BI64" i="8"/>
  <c r="BJ64" i="8"/>
  <c r="BG68" i="11"/>
  <c r="BH68" i="11"/>
  <c r="BI68" i="11"/>
  <c r="BJ68" i="11"/>
  <c r="G62" i="22"/>
  <c r="G56" i="10"/>
  <c r="H56" i="10"/>
  <c r="I56" i="10"/>
  <c r="J56" i="10"/>
  <c r="K56" i="10"/>
  <c r="L56" i="10"/>
  <c r="M56" i="10"/>
  <c r="N56" i="10"/>
  <c r="O56" i="10"/>
  <c r="P56" i="10"/>
  <c r="Q56" i="10"/>
  <c r="R56" i="10"/>
  <c r="S56" i="10"/>
  <c r="T56" i="10"/>
  <c r="U56" i="10"/>
  <c r="D76" i="8"/>
  <c r="E76" i="8"/>
  <c r="F76" i="8"/>
  <c r="G76" i="8"/>
  <c r="D72" i="8"/>
  <c r="E72" i="8"/>
  <c r="F72" i="8"/>
  <c r="G72" i="8"/>
  <c r="D68" i="8"/>
  <c r="G72" i="22"/>
  <c r="F64" i="9"/>
  <c r="E60" i="8"/>
  <c r="H62" i="22"/>
  <c r="I62" i="22"/>
  <c r="J62" i="22"/>
  <c r="BM58" i="11"/>
  <c r="BN58" i="11"/>
  <c r="BO58" i="11"/>
  <c r="BP58" i="11"/>
  <c r="BQ58" i="11"/>
  <c r="BG70" i="11"/>
  <c r="BH70" i="11"/>
  <c r="BI70" i="11"/>
  <c r="G78" i="9"/>
  <c r="H78" i="9"/>
  <c r="I78" i="9"/>
  <c r="G78" i="10"/>
  <c r="H78" i="10"/>
  <c r="I78" i="10"/>
  <c r="J78" i="10"/>
  <c r="K78" i="10"/>
  <c r="G68" i="22"/>
  <c r="E60" i="22"/>
  <c r="F70" i="7"/>
  <c r="G70" i="7"/>
  <c r="H72" i="22"/>
  <c r="I72" i="22"/>
  <c r="J72" i="22"/>
  <c r="K72" i="22"/>
  <c r="L72" i="22"/>
  <c r="E68" i="8"/>
  <c r="F68" i="8"/>
  <c r="G68" i="8"/>
  <c r="H68" i="8"/>
  <c r="I68" i="8"/>
  <c r="BI60" i="11"/>
  <c r="BJ60" i="11"/>
  <c r="BK60" i="11"/>
  <c r="BL60" i="11"/>
  <c r="BM60" i="11"/>
  <c r="BN60" i="11"/>
  <c r="R72" i="10"/>
  <c r="S72" i="10"/>
  <c r="T72" i="10"/>
  <c r="U72" i="10"/>
  <c r="J70" i="10"/>
  <c r="K70" i="10"/>
  <c r="F54" i="10"/>
  <c r="G54" i="10"/>
  <c r="H54" i="10"/>
  <c r="I54" i="10"/>
  <c r="J54" i="10"/>
  <c r="K54" i="10"/>
  <c r="L54" i="10"/>
  <c r="M54" i="10"/>
  <c r="N54" i="10"/>
  <c r="O54" i="10"/>
  <c r="P54" i="10"/>
  <c r="Q54" i="10"/>
  <c r="R54" i="10"/>
  <c r="S54" i="10"/>
  <c r="T54" i="10"/>
  <c r="U54" i="10"/>
  <c r="V54" i="10"/>
  <c r="K66" i="10"/>
  <c r="L66" i="10"/>
  <c r="M66" i="10"/>
  <c r="N74" i="10"/>
  <c r="F60" i="8"/>
  <c r="G64" i="9"/>
  <c r="H62" i="10"/>
  <c r="F60" i="22"/>
  <c r="G60" i="22"/>
  <c r="H68" i="22"/>
  <c r="I68" i="22"/>
  <c r="J68" i="22"/>
  <c r="K68" i="22"/>
  <c r="L68" i="22"/>
  <c r="M68" i="22"/>
  <c r="N68" i="22"/>
  <c r="O68" i="22"/>
  <c r="P68" i="22"/>
  <c r="Q68" i="22"/>
  <c r="R68" i="22"/>
  <c r="S68" i="22"/>
  <c r="R66" i="22"/>
  <c r="J80" i="9"/>
  <c r="K80" i="9"/>
  <c r="L80" i="9"/>
  <c r="M80" i="9"/>
  <c r="N80" i="9"/>
  <c r="O80" i="9"/>
  <c r="P80" i="9"/>
  <c r="Q80" i="9"/>
  <c r="R80" i="9"/>
  <c r="S80" i="9"/>
  <c r="T80" i="9"/>
  <c r="U80" i="9"/>
  <c r="V80" i="9"/>
  <c r="W80" i="9"/>
  <c r="X80" i="9"/>
  <c r="Y80" i="9"/>
  <c r="Z80" i="9"/>
  <c r="AA80" i="9"/>
  <c r="AB80" i="9"/>
  <c r="AC80" i="9"/>
  <c r="BI62" i="11"/>
  <c r="BJ62" i="11"/>
  <c r="S66" i="22"/>
  <c r="T66" i="22"/>
  <c r="U66" i="22"/>
  <c r="V66" i="22"/>
  <c r="W66" i="22"/>
  <c r="X66" i="22"/>
  <c r="Y66" i="22"/>
  <c r="H74" i="22"/>
  <c r="G60" i="8"/>
  <c r="H60" i="8"/>
  <c r="I60" i="8"/>
  <c r="J60" i="8"/>
  <c r="K60" i="8"/>
  <c r="L60" i="8"/>
  <c r="M60" i="8"/>
  <c r="N60" i="8"/>
  <c r="O60" i="8"/>
  <c r="P60" i="8"/>
  <c r="Q60" i="8"/>
  <c r="R60" i="8"/>
  <c r="J58" i="10"/>
  <c r="L70" i="10"/>
  <c r="M70" i="10"/>
  <c r="N70" i="10"/>
  <c r="O70" i="10"/>
  <c r="P70" i="10"/>
  <c r="Q70" i="10"/>
  <c r="H70" i="7"/>
  <c r="I70" i="7"/>
  <c r="I62" i="10"/>
  <c r="J62" i="10"/>
  <c r="H64" i="9"/>
  <c r="O74" i="10"/>
  <c r="P74" i="10"/>
  <c r="H60" i="22"/>
  <c r="I60" i="22"/>
  <c r="J60" i="22"/>
  <c r="K60" i="22"/>
  <c r="L60" i="22"/>
  <c r="M60" i="22"/>
  <c r="N60" i="22"/>
  <c r="BJ70" i="11"/>
  <c r="I68" i="9"/>
  <c r="J68" i="9"/>
  <c r="K68" i="9"/>
  <c r="L68" i="9"/>
  <c r="M68" i="9"/>
  <c r="N68" i="9"/>
  <c r="O68" i="9"/>
  <c r="P68" i="9"/>
  <c r="Q68" i="9"/>
  <c r="R68" i="9"/>
  <c r="S68" i="9"/>
  <c r="T68" i="9"/>
  <c r="U68" i="9"/>
  <c r="V68" i="9"/>
  <c r="W68" i="9"/>
  <c r="I64" i="9"/>
  <c r="J64" i="9"/>
  <c r="K64" i="9"/>
  <c r="H76" i="8"/>
  <c r="K58" i="10"/>
  <c r="L58" i="10"/>
  <c r="M58" i="10"/>
  <c r="N58" i="10"/>
  <c r="O58" i="10"/>
  <c r="P58" i="10"/>
  <c r="Q58" i="10"/>
  <c r="R58" i="10"/>
  <c r="S58" i="10"/>
  <c r="T58" i="10"/>
  <c r="U58" i="10"/>
  <c r="V58" i="10"/>
  <c r="W58" i="10"/>
  <c r="X58" i="10"/>
  <c r="Y58" i="10"/>
  <c r="Z58" i="10"/>
  <c r="AA58" i="10"/>
  <c r="J78" i="9"/>
  <c r="K78" i="9"/>
  <c r="I74" i="22"/>
  <c r="J74" i="22"/>
  <c r="K74" i="22"/>
  <c r="L74" i="22"/>
  <c r="M74" i="22"/>
  <c r="N74" i="22"/>
  <c r="O74" i="22"/>
  <c r="P74" i="22"/>
  <c r="Q74" i="22"/>
  <c r="R74" i="22"/>
  <c r="S74" i="22"/>
  <c r="T74" i="22"/>
  <c r="U74" i="22"/>
  <c r="V74" i="22"/>
  <c r="W74" i="22"/>
  <c r="X74" i="22"/>
  <c r="BK64" i="8"/>
  <c r="BL64" i="8"/>
  <c r="BM64" i="8"/>
  <c r="BN64" i="8"/>
  <c r="BO64" i="8"/>
  <c r="BP64" i="8"/>
  <c r="BQ64" i="8"/>
  <c r="K62" i="10"/>
  <c r="L62" i="10"/>
  <c r="M62" i="10"/>
  <c r="N62" i="10"/>
  <c r="V72" i="10"/>
  <c r="W72" i="10"/>
  <c r="X72" i="10"/>
  <c r="Y72" i="10"/>
  <c r="Z72" i="10"/>
  <c r="AA72" i="10"/>
  <c r="AB72" i="10"/>
  <c r="AC72" i="10"/>
  <c r="AD72" i="10"/>
  <c r="AE72" i="10"/>
  <c r="AF72" i="10"/>
  <c r="AG72" i="10"/>
  <c r="AH72" i="10"/>
  <c r="J70" i="7"/>
  <c r="K70" i="7"/>
  <c r="L70" i="7"/>
  <c r="M70" i="7"/>
  <c r="N70" i="7"/>
  <c r="O70" i="7"/>
  <c r="P70" i="7"/>
  <c r="Q70" i="7"/>
  <c r="R70" i="7"/>
  <c r="S70" i="7"/>
  <c r="T70" i="7"/>
  <c r="U70" i="7"/>
  <c r="V70" i="7"/>
  <c r="W70" i="7"/>
  <c r="I76" i="8"/>
  <c r="J76" i="8"/>
  <c r="K76" i="8"/>
  <c r="L76" i="8"/>
  <c r="M76" i="8"/>
  <c r="Q74" i="10"/>
  <c r="R74" i="10"/>
  <c r="S74" i="10"/>
  <c r="BK70" i="11"/>
  <c r="BL70" i="11"/>
  <c r="BM70" i="11"/>
  <c r="BN70" i="11"/>
  <c r="BO70" i="11"/>
  <c r="BP70" i="11"/>
  <c r="J68" i="8"/>
  <c r="K68" i="8"/>
  <c r="L68" i="8"/>
  <c r="M68" i="8"/>
  <c r="N68" i="8"/>
  <c r="O68" i="8"/>
  <c r="P68" i="8"/>
  <c r="Q68" i="8"/>
  <c r="R68" i="8"/>
  <c r="S68" i="8"/>
  <c r="T68" i="8"/>
  <c r="L78" i="10"/>
  <c r="M78" i="10"/>
  <c r="N78" i="10"/>
  <c r="O78" i="10"/>
  <c r="P78" i="10"/>
  <c r="Q78" i="10"/>
  <c r="BK72" i="7"/>
  <c r="BL72" i="7"/>
  <c r="BM72" i="7"/>
  <c r="BN72" i="7"/>
  <c r="BO72" i="7"/>
  <c r="BP72" i="7"/>
  <c r="BQ72" i="7"/>
  <c r="BR72" i="7"/>
  <c r="BS72" i="7"/>
  <c r="BT72" i="7"/>
  <c r="BU72" i="7"/>
  <c r="BV72" i="7"/>
  <c r="BW72" i="7"/>
  <c r="BX72" i="7"/>
  <c r="BR58" i="11"/>
  <c r="BS58" i="11"/>
  <c r="BT58" i="11"/>
  <c r="BM64" i="11"/>
  <c r="BN64" i="11"/>
  <c r="Z30" i="22"/>
  <c r="AA30" i="22"/>
  <c r="AB30" i="22"/>
  <c r="AC30" i="22"/>
  <c r="AD30" i="22"/>
  <c r="AE30" i="22"/>
  <c r="AF30" i="22"/>
  <c r="AG30" i="22"/>
  <c r="AH30" i="22"/>
  <c r="AI30" i="22"/>
  <c r="AJ30" i="22"/>
  <c r="AK30" i="22"/>
  <c r="AL30" i="22"/>
  <c r="T74" i="10"/>
  <c r="U74" i="10"/>
  <c r="O80" i="10"/>
  <c r="P80" i="10"/>
  <c r="Q80" i="10"/>
  <c r="R80" i="10"/>
  <c r="S80" i="10"/>
  <c r="T80" i="10"/>
  <c r="U80" i="10"/>
  <c r="V80" i="10"/>
  <c r="O64" i="22"/>
  <c r="P64" i="22"/>
  <c r="N76" i="8"/>
  <c r="O76" i="8"/>
  <c r="P76" i="8"/>
  <c r="Q76" i="8"/>
  <c r="R76" i="8"/>
  <c r="S76" i="8"/>
  <c r="T76" i="8"/>
  <c r="V74" i="10"/>
  <c r="W74" i="10"/>
  <c r="X74" i="10"/>
  <c r="O60" i="22"/>
  <c r="P60" i="22"/>
  <c r="Q60" i="22"/>
  <c r="R60" i="22"/>
  <c r="BQ70" i="11"/>
  <c r="BR70" i="11"/>
  <c r="BS70" i="11"/>
  <c r="BT70" i="11"/>
  <c r="BU70" i="11"/>
  <c r="BV70" i="11"/>
  <c r="BW70" i="11"/>
  <c r="BX70" i="11"/>
  <c r="BY70" i="11"/>
  <c r="BZ70" i="11"/>
  <c r="CA70" i="11"/>
  <c r="CB70" i="11"/>
  <c r="Q64" i="22"/>
  <c r="R64" i="22"/>
  <c r="R78" i="10"/>
  <c r="S78" i="10"/>
  <c r="T78" i="10"/>
  <c r="U78" i="10"/>
  <c r="V78" i="10"/>
  <c r="W78" i="10"/>
  <c r="X78" i="10"/>
  <c r="Y78" i="10"/>
  <c r="Z78" i="10"/>
  <c r="BR64" i="8"/>
  <c r="BS64" i="8"/>
  <c r="BT64" i="8"/>
  <c r="BU64" i="8"/>
  <c r="BV64" i="8"/>
  <c r="BW64" i="8"/>
  <c r="S64" i="22"/>
  <c r="T64" i="22"/>
  <c r="U64" i="22"/>
  <c r="V64" i="22"/>
  <c r="W64" i="22"/>
  <c r="X64" i="22"/>
  <c r="Y64" i="22"/>
  <c r="Z64" i="22"/>
  <c r="AA64" i="22"/>
  <c r="T68" i="22"/>
  <c r="U68" i="22"/>
  <c r="V68" i="22"/>
  <c r="W68" i="22"/>
  <c r="S60" i="22"/>
  <c r="T60" i="22"/>
  <c r="U60" i="22"/>
  <c r="V60" i="22"/>
  <c r="V56" i="10"/>
  <c r="W56" i="10"/>
  <c r="X56" i="10"/>
  <c r="Y56" i="10"/>
  <c r="Z56" i="10"/>
  <c r="AA56" i="10"/>
  <c r="W80" i="10"/>
  <c r="X80" i="10"/>
  <c r="Y80" i="10"/>
  <c r="Z80" i="10"/>
  <c r="X68" i="9"/>
  <c r="Y68" i="9"/>
  <c r="Y179" i="9"/>
  <c r="AA80" i="10"/>
  <c r="AB80" i="10"/>
  <c r="AB58" i="10"/>
  <c r="AC58" i="10"/>
  <c r="AD58" i="10"/>
  <c r="C44" i="10"/>
  <c r="B37" i="10"/>
  <c r="C44" i="7"/>
  <c r="D44" i="7"/>
  <c r="C36" i="7"/>
  <c r="L5" i="11"/>
  <c r="M5" i="11"/>
  <c r="O5" i="11"/>
  <c r="N5" i="11"/>
  <c r="B67" i="1"/>
  <c r="B43" i="11"/>
  <c r="C40" i="7"/>
  <c r="D40" i="7"/>
  <c r="E40" i="7"/>
  <c r="F40" i="7"/>
  <c r="B33" i="9"/>
  <c r="B39" i="11"/>
  <c r="C40" i="22"/>
  <c r="B35" i="6"/>
  <c r="BU58" i="11"/>
  <c r="BV58" i="11"/>
  <c r="BW58" i="11"/>
  <c r="BX58" i="11"/>
  <c r="BY58" i="11"/>
  <c r="C80" i="7"/>
  <c r="D80" i="7"/>
  <c r="E80" i="7"/>
  <c r="F80" i="7"/>
  <c r="G80" i="7"/>
  <c r="H80" i="7"/>
  <c r="I80" i="7"/>
  <c r="J80" i="7"/>
  <c r="K80" i="7"/>
  <c r="L80" i="7"/>
  <c r="M80" i="7"/>
  <c r="N80" i="7"/>
  <c r="O80" i="7"/>
  <c r="P80" i="7"/>
  <c r="Q80" i="7"/>
  <c r="R80" i="7"/>
  <c r="S80" i="7"/>
  <c r="T80" i="7"/>
  <c r="U80" i="7"/>
  <c r="V80" i="7"/>
  <c r="W80" i="7"/>
  <c r="X80" i="7"/>
  <c r="Y80" i="7"/>
  <c r="Z80" i="7"/>
  <c r="Z209" i="7"/>
  <c r="B81" i="7"/>
  <c r="C30" i="9"/>
  <c r="C84" i="9"/>
  <c r="C85" i="9"/>
  <c r="C86" i="9"/>
  <c r="C87" i="9"/>
  <c r="B31" i="9"/>
  <c r="B71" i="22"/>
  <c r="C70" i="22"/>
  <c r="D70" i="22"/>
  <c r="E70" i="22"/>
  <c r="F70" i="22"/>
  <c r="G70" i="22"/>
  <c r="H70" i="22"/>
  <c r="I70" i="22"/>
  <c r="M194" i="9"/>
  <c r="M195" i="9"/>
  <c r="N74" i="9"/>
  <c r="O74" i="9"/>
  <c r="P74" i="9"/>
  <c r="Q74" i="9"/>
  <c r="R74" i="9"/>
  <c r="S74" i="9"/>
  <c r="T74" i="9"/>
  <c r="U74" i="9"/>
  <c r="V74" i="9"/>
  <c r="W74" i="9"/>
  <c r="X74" i="9"/>
  <c r="Y74" i="9"/>
  <c r="Z74" i="9"/>
  <c r="AA74" i="9"/>
  <c r="AB74" i="9"/>
  <c r="AC74" i="9"/>
  <c r="AD74" i="9"/>
  <c r="AE74" i="9"/>
  <c r="AF74" i="9"/>
  <c r="AG74" i="9"/>
  <c r="AH74" i="9"/>
  <c r="AI74" i="9"/>
  <c r="AJ74" i="9"/>
  <c r="C64" i="7"/>
  <c r="D64" i="7"/>
  <c r="E64" i="7"/>
  <c r="F64" i="7"/>
  <c r="G64" i="7"/>
  <c r="H64" i="7"/>
  <c r="I64" i="7"/>
  <c r="J64" i="7"/>
  <c r="K64" i="7"/>
  <c r="L64" i="7"/>
  <c r="M64" i="7"/>
  <c r="N64" i="7"/>
  <c r="O64" i="7"/>
  <c r="P64" i="7"/>
  <c r="Q64" i="7"/>
  <c r="R64" i="7"/>
  <c r="S64" i="7"/>
  <c r="T64" i="7"/>
  <c r="U64" i="7"/>
  <c r="V64" i="7"/>
  <c r="W64" i="7"/>
  <c r="X64" i="7"/>
  <c r="Y64" i="7"/>
  <c r="Z64" i="7"/>
  <c r="AA64" i="7"/>
  <c r="AB64" i="7"/>
  <c r="AC64" i="7"/>
  <c r="AD64" i="7"/>
  <c r="AE64" i="7"/>
  <c r="AF64" i="7"/>
  <c r="AG64" i="7"/>
  <c r="AH64" i="7"/>
  <c r="AI64" i="7"/>
  <c r="AJ64" i="7"/>
  <c r="AK64" i="7"/>
  <c r="AL64" i="7"/>
  <c r="AM64" i="7"/>
  <c r="AN64" i="7"/>
  <c r="AO64" i="7"/>
  <c r="B65" i="7"/>
  <c r="C62" i="8"/>
  <c r="D62" i="8"/>
  <c r="E62" i="8"/>
  <c r="F62" i="8"/>
  <c r="G62" i="8"/>
  <c r="H62" i="8"/>
  <c r="B63" i="8"/>
  <c r="C78" i="22"/>
  <c r="D78" i="22"/>
  <c r="E78" i="22"/>
  <c r="F78" i="22"/>
  <c r="G78" i="22"/>
  <c r="H78" i="22"/>
  <c r="I78" i="22"/>
  <c r="J78" i="22"/>
  <c r="K78" i="22"/>
  <c r="L78" i="22"/>
  <c r="B79" i="22"/>
  <c r="C74" i="7"/>
  <c r="D74" i="7"/>
  <c r="E74" i="7"/>
  <c r="F74" i="7"/>
  <c r="G74" i="7"/>
  <c r="H74" i="7"/>
  <c r="I74" i="7"/>
  <c r="J74" i="7"/>
  <c r="K74" i="7"/>
  <c r="L74" i="7"/>
  <c r="M74" i="7"/>
  <c r="N74" i="7"/>
  <c r="O74" i="7"/>
  <c r="P74" i="7"/>
  <c r="Q74" i="7"/>
  <c r="R74" i="7"/>
  <c r="S74" i="7"/>
  <c r="T74" i="7"/>
  <c r="U74" i="7"/>
  <c r="V74" i="7"/>
  <c r="W74" i="7"/>
  <c r="B75" i="7"/>
  <c r="C30" i="6"/>
  <c r="D30" i="6"/>
  <c r="B31" i="6"/>
  <c r="C38" i="9"/>
  <c r="D38" i="9"/>
  <c r="E38" i="9"/>
  <c r="E104" i="9"/>
  <c r="E105" i="9"/>
  <c r="E106" i="9"/>
  <c r="E107" i="9"/>
  <c r="B39" i="9"/>
  <c r="B99" i="8"/>
  <c r="B100" i="8"/>
  <c r="B101" i="8"/>
  <c r="B102" i="8"/>
  <c r="B57" i="7"/>
  <c r="C56" i="7"/>
  <c r="D56" i="7"/>
  <c r="E56" i="7"/>
  <c r="F56" i="7"/>
  <c r="G56" i="7"/>
  <c r="H56" i="7"/>
  <c r="I56" i="7"/>
  <c r="J56" i="7"/>
  <c r="K56" i="7"/>
  <c r="L56" i="7"/>
  <c r="M56" i="7"/>
  <c r="N56" i="7"/>
  <c r="O56" i="7"/>
  <c r="P56" i="7"/>
  <c r="Q56" i="7"/>
  <c r="R56" i="7"/>
  <c r="S56" i="7"/>
  <c r="T56" i="7"/>
  <c r="U56" i="7"/>
  <c r="V56" i="7"/>
  <c r="W56" i="7"/>
  <c r="X56" i="7"/>
  <c r="Y56" i="7"/>
  <c r="Z56" i="7"/>
  <c r="AA56" i="7"/>
  <c r="AB56" i="7"/>
  <c r="AC56" i="7"/>
  <c r="AD56" i="7"/>
  <c r="AE56" i="7"/>
  <c r="AF56" i="7"/>
  <c r="AG56" i="7"/>
  <c r="AH56" i="7"/>
  <c r="AI56" i="7"/>
  <c r="AJ56" i="7"/>
  <c r="AK56" i="7"/>
  <c r="AL56" i="7"/>
  <c r="AM56" i="7"/>
  <c r="AN56" i="7"/>
  <c r="AO56" i="7"/>
  <c r="AP56" i="7"/>
  <c r="AQ56" i="7"/>
  <c r="AR56" i="7"/>
  <c r="AS56" i="7"/>
  <c r="AT56" i="7"/>
  <c r="AU56" i="7"/>
  <c r="AV56" i="7"/>
  <c r="AW56" i="7"/>
  <c r="AX56" i="7"/>
  <c r="AY56" i="7"/>
  <c r="AZ56" i="7"/>
  <c r="BA56" i="7"/>
  <c r="BB56" i="7"/>
  <c r="BC56" i="7"/>
  <c r="BD56" i="7"/>
  <c r="BE56" i="7"/>
  <c r="BF56" i="7"/>
  <c r="BG56" i="7"/>
  <c r="BH56" i="7"/>
  <c r="BI56" i="7"/>
  <c r="BJ56" i="7"/>
  <c r="BK56" i="7"/>
  <c r="BL56" i="7"/>
  <c r="BM56" i="7"/>
  <c r="BN56" i="7"/>
  <c r="BO56" i="7"/>
  <c r="BP56" i="7"/>
  <c r="BQ56" i="7"/>
  <c r="BR56" i="7"/>
  <c r="BS56" i="7"/>
  <c r="BT56" i="7"/>
  <c r="BU56" i="7"/>
  <c r="BV56" i="7"/>
  <c r="BW56" i="7"/>
  <c r="BX56" i="7"/>
  <c r="BY56" i="7"/>
  <c r="BZ56" i="7"/>
  <c r="CA56" i="7"/>
  <c r="CB56" i="7"/>
  <c r="CB57" i="7"/>
  <c r="CA57" i="7"/>
  <c r="BZ57" i="7"/>
  <c r="BY57" i="7"/>
  <c r="BX57" i="7"/>
  <c r="BW57" i="7"/>
  <c r="BV57" i="7"/>
  <c r="BU57" i="7"/>
  <c r="BT57" i="7"/>
  <c r="BS57" i="7"/>
  <c r="BR57" i="7"/>
  <c r="BQ57" i="7"/>
  <c r="BP57" i="7"/>
  <c r="BO57" i="7"/>
  <c r="BN57" i="7"/>
  <c r="BM57" i="7"/>
  <c r="BL57" i="7"/>
  <c r="BK57" i="7"/>
  <c r="BJ57" i="7"/>
  <c r="BI57" i="7"/>
  <c r="BH57" i="7"/>
  <c r="BG57" i="7"/>
  <c r="BF57" i="7"/>
  <c r="BE57" i="7"/>
  <c r="BD57" i="7"/>
  <c r="BC57" i="7"/>
  <c r="BB57" i="7"/>
  <c r="BA57" i="7"/>
  <c r="AZ57" i="7"/>
  <c r="AY57" i="7"/>
  <c r="AX57" i="7"/>
  <c r="AW57" i="7"/>
  <c r="AV57" i="7"/>
  <c r="AU57" i="7"/>
  <c r="AT57" i="7"/>
  <c r="AS57" i="7"/>
  <c r="AR57" i="7"/>
  <c r="AQ57" i="7"/>
  <c r="AP57" i="7"/>
  <c r="AO57" i="7"/>
  <c r="AN57" i="7"/>
  <c r="AM57" i="7"/>
  <c r="AL57" i="7"/>
  <c r="AK57" i="7"/>
  <c r="AJ57" i="7"/>
  <c r="AI57" i="7"/>
  <c r="AH57" i="7"/>
  <c r="AG57" i="7"/>
  <c r="AF57" i="7"/>
  <c r="AE57" i="7"/>
  <c r="AD57" i="7"/>
  <c r="AC57" i="7"/>
  <c r="AB57" i="7"/>
  <c r="AA57" i="7"/>
  <c r="Z57" i="7"/>
  <c r="Y57" i="7"/>
  <c r="X57" i="7"/>
  <c r="W57" i="7"/>
  <c r="V57" i="7"/>
  <c r="U57" i="7"/>
  <c r="T57" i="7"/>
  <c r="S57" i="7"/>
  <c r="R57" i="7"/>
  <c r="Q57" i="7"/>
  <c r="P57" i="7"/>
  <c r="O57" i="7"/>
  <c r="N57" i="7"/>
  <c r="M57" i="7"/>
  <c r="L57" i="7"/>
  <c r="K57" i="7"/>
  <c r="J57" i="7"/>
  <c r="I57" i="7"/>
  <c r="H57" i="7"/>
  <c r="G57" i="7"/>
  <c r="F57" i="7"/>
  <c r="E57" i="7"/>
  <c r="D57" i="7"/>
  <c r="C57" i="7"/>
  <c r="C62" i="7"/>
  <c r="D62" i="7"/>
  <c r="E62" i="7"/>
  <c r="F62" i="7"/>
  <c r="G62" i="7"/>
  <c r="H62" i="7"/>
  <c r="I62" i="7"/>
  <c r="J62" i="7"/>
  <c r="B63" i="7"/>
  <c r="B204" i="8"/>
  <c r="B206" i="8"/>
  <c r="B69" i="11"/>
  <c r="B55" i="11"/>
  <c r="C54" i="11"/>
  <c r="D54" i="11"/>
  <c r="E54" i="11"/>
  <c r="F54" i="11"/>
  <c r="G54" i="11"/>
  <c r="H54" i="11"/>
  <c r="I54" i="11"/>
  <c r="J54" i="11"/>
  <c r="K54" i="11"/>
  <c r="L54" i="11"/>
  <c r="M54" i="11"/>
  <c r="N54" i="11"/>
  <c r="O54" i="11"/>
  <c r="P54" i="11"/>
  <c r="Q54" i="11"/>
  <c r="R54" i="11"/>
  <c r="S54" i="11"/>
  <c r="T54" i="11"/>
  <c r="U54" i="11"/>
  <c r="V54" i="11"/>
  <c r="W54" i="11"/>
  <c r="X54" i="11"/>
  <c r="Y54" i="11"/>
  <c r="Z54" i="11"/>
  <c r="AA54" i="11"/>
  <c r="AB54" i="11"/>
  <c r="AC54" i="11"/>
  <c r="AD54" i="11"/>
  <c r="AE54" i="11"/>
  <c r="AF54" i="11"/>
  <c r="AG54" i="11"/>
  <c r="AH54" i="11"/>
  <c r="AI54" i="11"/>
  <c r="AJ54" i="11"/>
  <c r="AK54" i="11"/>
  <c r="AL54" i="11"/>
  <c r="AM54" i="11"/>
  <c r="AN54" i="11"/>
  <c r="AO54" i="11"/>
  <c r="AP54" i="11"/>
  <c r="AQ54" i="11"/>
  <c r="AR54" i="11"/>
  <c r="AS54" i="11"/>
  <c r="AT54" i="11"/>
  <c r="AU54" i="11"/>
  <c r="AV54" i="11"/>
  <c r="AW54" i="11"/>
  <c r="AX54" i="11"/>
  <c r="AY54" i="11"/>
  <c r="AZ54" i="11"/>
  <c r="BA54" i="11"/>
  <c r="BB54" i="11"/>
  <c r="BC54" i="11"/>
  <c r="BD54" i="11"/>
  <c r="BE54" i="11"/>
  <c r="BF54" i="11"/>
  <c r="BG54" i="11"/>
  <c r="BH54" i="11"/>
  <c r="BI54" i="11"/>
  <c r="BJ54" i="11"/>
  <c r="BK54" i="11"/>
  <c r="BL54" i="11"/>
  <c r="BM54" i="11"/>
  <c r="BN54" i="11"/>
  <c r="BO54" i="11"/>
  <c r="BP54" i="11"/>
  <c r="BQ54" i="11"/>
  <c r="BQ144" i="11"/>
  <c r="BQ145" i="11"/>
  <c r="B71" i="9"/>
  <c r="C70" i="9"/>
  <c r="D70" i="9"/>
  <c r="E70" i="9"/>
  <c r="F70" i="9"/>
  <c r="G70" i="9"/>
  <c r="H70" i="9"/>
  <c r="I70" i="9"/>
  <c r="J70" i="9"/>
  <c r="K70" i="9"/>
  <c r="L70" i="9"/>
  <c r="M70" i="9"/>
  <c r="N70" i="9"/>
  <c r="O70" i="9"/>
  <c r="P70" i="9"/>
  <c r="Q70" i="9"/>
  <c r="R70" i="9"/>
  <c r="S70" i="9"/>
  <c r="T70" i="9"/>
  <c r="U70" i="9"/>
  <c r="V70" i="9"/>
  <c r="W70" i="9"/>
  <c r="X70" i="9"/>
  <c r="Y70" i="9"/>
  <c r="Z70" i="9"/>
  <c r="AA70" i="9"/>
  <c r="B109" i="8"/>
  <c r="B110" i="8"/>
  <c r="B111" i="8"/>
  <c r="B112" i="8"/>
  <c r="B45" i="9"/>
  <c r="C38" i="7"/>
  <c r="C30" i="7"/>
  <c r="C84" i="7"/>
  <c r="C85" i="7"/>
  <c r="C86" i="7"/>
  <c r="C87" i="7"/>
  <c r="C46" i="22"/>
  <c r="C124" i="22"/>
  <c r="C125" i="22"/>
  <c r="B71" i="7"/>
  <c r="C50" i="9"/>
  <c r="D50" i="9"/>
  <c r="C36" i="22"/>
  <c r="C80" i="22"/>
  <c r="D80" i="22"/>
  <c r="E80" i="22"/>
  <c r="F80" i="22"/>
  <c r="G80" i="22"/>
  <c r="H80" i="22"/>
  <c r="I80" i="22"/>
  <c r="J80" i="22"/>
  <c r="K80" i="22"/>
  <c r="L80" i="22"/>
  <c r="M80" i="22"/>
  <c r="N80" i="22"/>
  <c r="O80" i="22"/>
  <c r="P80" i="22"/>
  <c r="Q80" i="22"/>
  <c r="R80" i="22"/>
  <c r="S80" i="22"/>
  <c r="T80" i="22"/>
  <c r="U80" i="22"/>
  <c r="V80" i="22"/>
  <c r="W80" i="22"/>
  <c r="X80" i="22"/>
  <c r="Y80" i="22"/>
  <c r="B199" i="22"/>
  <c r="B200" i="22"/>
  <c r="C169" i="10"/>
  <c r="C170" i="10"/>
  <c r="AE5" i="26"/>
  <c r="AO5" i="26"/>
  <c r="C52" i="22"/>
  <c r="C139" i="22"/>
  <c r="C140" i="22"/>
  <c r="C66" i="9"/>
  <c r="D66" i="9"/>
  <c r="E66" i="9"/>
  <c r="F66" i="9"/>
  <c r="G66" i="9"/>
  <c r="H66" i="9"/>
  <c r="I66" i="9"/>
  <c r="J66" i="9"/>
  <c r="K66" i="9"/>
  <c r="L66" i="9"/>
  <c r="M66" i="9"/>
  <c r="N66" i="9"/>
  <c r="O66" i="9"/>
  <c r="P66" i="9"/>
  <c r="Q66" i="9"/>
  <c r="R66" i="9"/>
  <c r="S66" i="9"/>
  <c r="T66" i="9"/>
  <c r="U66" i="9"/>
  <c r="V66" i="9"/>
  <c r="W66" i="9"/>
  <c r="X66" i="9"/>
  <c r="Y66" i="9"/>
  <c r="Z66" i="9"/>
  <c r="AA66" i="9"/>
  <c r="AB66" i="9"/>
  <c r="AC66" i="9"/>
  <c r="C56" i="8"/>
  <c r="D56" i="8"/>
  <c r="E56" i="8"/>
  <c r="F56" i="8"/>
  <c r="C32" i="9"/>
  <c r="D32" i="9"/>
  <c r="E32" i="9"/>
  <c r="C40" i="1"/>
  <c r="D40" i="1"/>
  <c r="B73" i="1"/>
  <c r="C50" i="8"/>
  <c r="C134" i="8"/>
  <c r="C135" i="8"/>
  <c r="C136" i="8"/>
  <c r="C137" i="8"/>
  <c r="C89" i="9"/>
  <c r="C90" i="9"/>
  <c r="B49" i="1"/>
  <c r="B41" i="1"/>
  <c r="C76" i="1"/>
  <c r="D76" i="1"/>
  <c r="B65" i="1"/>
  <c r="C56" i="1"/>
  <c r="D56" i="1"/>
  <c r="E56" i="1"/>
  <c r="F56" i="1"/>
  <c r="F151" i="1"/>
  <c r="F152" i="1"/>
  <c r="F153" i="1"/>
  <c r="L6" i="1"/>
  <c r="M6" i="1"/>
  <c r="O6" i="1"/>
  <c r="C36" i="1"/>
  <c r="D36" i="1"/>
  <c r="C66" i="1"/>
  <c r="D66" i="1"/>
  <c r="B53" i="1"/>
  <c r="L26" i="1"/>
  <c r="M26" i="1"/>
  <c r="O26" i="1"/>
  <c r="L18" i="1"/>
  <c r="M18" i="1"/>
  <c r="O18" i="1"/>
  <c r="L14" i="1"/>
  <c r="M14" i="1"/>
  <c r="O14" i="1"/>
  <c r="L10" i="1"/>
  <c r="M10" i="1"/>
  <c r="O10" i="1"/>
  <c r="P174" i="9"/>
  <c r="P176" i="9"/>
  <c r="BK169" i="8"/>
  <c r="BK171" i="8"/>
  <c r="M184" i="9"/>
  <c r="M185" i="9"/>
  <c r="H179" i="8"/>
  <c r="H180" i="8"/>
  <c r="AE209" i="8"/>
  <c r="AE211" i="8"/>
  <c r="B89" i="8"/>
  <c r="AB129" i="11"/>
  <c r="AB130" i="11"/>
  <c r="L7" i="11"/>
  <c r="N7" i="11"/>
  <c r="X179" i="9"/>
  <c r="X180" i="9"/>
  <c r="J174" i="8"/>
  <c r="J176" i="8"/>
  <c r="AP35" i="26"/>
  <c r="AP39" i="26"/>
  <c r="AP36" i="26"/>
  <c r="AP37" i="26"/>
  <c r="AP38" i="26"/>
  <c r="F34" i="33"/>
  <c r="C38" i="6"/>
  <c r="D38" i="6"/>
  <c r="E38" i="6"/>
  <c r="E118" i="6"/>
  <c r="E119" i="6"/>
  <c r="B119" i="9"/>
  <c r="B120" i="9"/>
  <c r="B121" i="9"/>
  <c r="B122" i="9"/>
  <c r="G56" i="1"/>
  <c r="H56" i="1"/>
  <c r="H151" i="1"/>
  <c r="H152" i="1"/>
  <c r="L17" i="1"/>
  <c r="M17" i="1"/>
  <c r="O17" i="1"/>
  <c r="C80" i="1"/>
  <c r="D80" i="1"/>
  <c r="E80" i="1"/>
  <c r="F80" i="1"/>
  <c r="B174" i="9"/>
  <c r="B175" i="9"/>
  <c r="G169" i="8"/>
  <c r="G170" i="8"/>
  <c r="V184" i="9"/>
  <c r="V185" i="9"/>
  <c r="AB194" i="9"/>
  <c r="AB196" i="9"/>
  <c r="D164" i="8"/>
  <c r="D165" i="8"/>
  <c r="J209" i="8"/>
  <c r="J210" i="8"/>
  <c r="BU169" i="8"/>
  <c r="T179" i="9"/>
  <c r="T180" i="9"/>
  <c r="P159" i="8"/>
  <c r="P160" i="8"/>
  <c r="P199" i="8"/>
  <c r="P201" i="8"/>
  <c r="Q179" i="9"/>
  <c r="P179" i="8"/>
  <c r="P181" i="8"/>
  <c r="BQ169" i="8"/>
  <c r="BQ171" i="8"/>
  <c r="O199" i="8"/>
  <c r="O201" i="8"/>
  <c r="O159" i="8"/>
  <c r="S184" i="9"/>
  <c r="S186" i="9"/>
  <c r="BP169" i="8"/>
  <c r="BP170" i="8"/>
  <c r="BO169" i="8"/>
  <c r="BO170" i="8"/>
  <c r="N194" i="9"/>
  <c r="N196" i="9"/>
  <c r="B144" i="9"/>
  <c r="B145" i="9"/>
  <c r="B146" i="9"/>
  <c r="B147" i="9"/>
  <c r="J194" i="9"/>
  <c r="J195" i="9"/>
  <c r="O174" i="8"/>
  <c r="O175" i="8"/>
  <c r="AJ209" i="8"/>
  <c r="AJ211" i="8"/>
  <c r="D169" i="8"/>
  <c r="D171" i="8"/>
  <c r="X184" i="9"/>
  <c r="X185" i="9"/>
  <c r="V174" i="9"/>
  <c r="V176" i="9"/>
  <c r="W209" i="9"/>
  <c r="W210" i="9"/>
  <c r="S174" i="9"/>
  <c r="S175" i="9"/>
  <c r="AA194" i="9"/>
  <c r="O179" i="8"/>
  <c r="O180" i="8"/>
  <c r="R174" i="9"/>
  <c r="R175" i="9"/>
  <c r="N199" i="8"/>
  <c r="N200" i="8"/>
  <c r="R209" i="9"/>
  <c r="R211" i="9"/>
  <c r="N159" i="8"/>
  <c r="N160" i="8"/>
  <c r="Q174" i="9"/>
  <c r="K174" i="9"/>
  <c r="K175" i="9"/>
  <c r="H199" i="8"/>
  <c r="H184" i="9"/>
  <c r="H185" i="9"/>
  <c r="B189" i="9"/>
  <c r="B191" i="9"/>
  <c r="R194" i="8"/>
  <c r="R195" i="8"/>
  <c r="S174" i="8"/>
  <c r="BD209" i="8"/>
  <c r="BD211" i="8"/>
  <c r="Y184" i="9"/>
  <c r="Y185" i="9"/>
  <c r="X209" i="9"/>
  <c r="X210" i="9"/>
  <c r="R199" i="8"/>
  <c r="R201" i="8"/>
  <c r="Q199" i="8"/>
  <c r="Q201" i="8"/>
  <c r="U184" i="9"/>
  <c r="U186" i="9"/>
  <c r="K199" i="8"/>
  <c r="K201" i="8"/>
  <c r="H179" i="9"/>
  <c r="H181" i="9"/>
  <c r="BI209" i="8"/>
  <c r="BI210" i="8"/>
  <c r="E179" i="9"/>
  <c r="E181" i="9"/>
  <c r="G174" i="9"/>
  <c r="G176" i="9"/>
  <c r="BF169" i="8"/>
  <c r="BF170" i="8"/>
  <c r="AK169" i="8"/>
  <c r="AK170" i="8"/>
  <c r="B204" i="9"/>
  <c r="B205" i="9"/>
  <c r="B159" i="8"/>
  <c r="B160" i="8"/>
  <c r="I209" i="8"/>
  <c r="I210" i="8"/>
  <c r="AA169" i="8"/>
  <c r="AA170" i="8"/>
  <c r="F209" i="8"/>
  <c r="F211" i="8"/>
  <c r="C154" i="8"/>
  <c r="C156" i="8"/>
  <c r="Q174" i="8"/>
  <c r="L6" i="9"/>
  <c r="N6" i="9"/>
  <c r="Z174" i="9"/>
  <c r="S179" i="8"/>
  <c r="S181" i="8"/>
  <c r="Q209" i="9"/>
  <c r="M199" i="8"/>
  <c r="M200" i="8"/>
  <c r="M159" i="8"/>
  <c r="M161" i="8"/>
  <c r="C179" i="8"/>
  <c r="C180" i="8"/>
  <c r="B164" i="9"/>
  <c r="B165" i="9"/>
  <c r="H194" i="9"/>
  <c r="H195" i="9"/>
  <c r="J194" i="8"/>
  <c r="J196" i="8"/>
  <c r="AL209" i="8"/>
  <c r="AL210" i="8"/>
  <c r="W209" i="8"/>
  <c r="W210" i="8"/>
  <c r="O169" i="8"/>
  <c r="O171" i="8"/>
  <c r="AC209" i="8"/>
  <c r="AC210" i="8"/>
  <c r="J169" i="8"/>
  <c r="J171" i="8"/>
  <c r="AI194" i="9"/>
  <c r="AI195" i="9"/>
  <c r="Z184" i="9"/>
  <c r="Z185" i="9"/>
  <c r="AG194" i="9"/>
  <c r="X174" i="9"/>
  <c r="X176" i="9"/>
  <c r="W184" i="9"/>
  <c r="W186" i="9"/>
  <c r="U174" i="9"/>
  <c r="U176" i="9"/>
  <c r="Q159" i="8"/>
  <c r="Q160" i="8"/>
  <c r="T209" i="9"/>
  <c r="T211" i="9"/>
  <c r="Q179" i="8"/>
  <c r="Q181" i="8"/>
  <c r="J159" i="8"/>
  <c r="J161" i="8"/>
  <c r="M174" i="9"/>
  <c r="M176" i="9"/>
  <c r="K179" i="9"/>
  <c r="K181" i="9"/>
  <c r="J169" i="9"/>
  <c r="J171" i="9"/>
  <c r="J179" i="9"/>
  <c r="J180" i="9"/>
  <c r="I199" i="8"/>
  <c r="N184" i="9"/>
  <c r="N185" i="9"/>
  <c r="J174" i="9"/>
  <c r="J176" i="9"/>
  <c r="K184" i="9"/>
  <c r="K185" i="9"/>
  <c r="H204" i="9"/>
  <c r="H205" i="9"/>
  <c r="E159" i="8"/>
  <c r="E161" i="8"/>
  <c r="D179" i="8"/>
  <c r="D181" i="8"/>
  <c r="O194" i="9"/>
  <c r="O195" i="9"/>
  <c r="BH209" i="8"/>
  <c r="D169" i="9"/>
  <c r="D170" i="9"/>
  <c r="C204" i="9"/>
  <c r="C205" i="9"/>
  <c r="BG209" i="8"/>
  <c r="BG211" i="8"/>
  <c r="E194" i="9"/>
  <c r="E195" i="9"/>
  <c r="Z209" i="8"/>
  <c r="Z211" i="8"/>
  <c r="B194" i="8"/>
  <c r="N154" i="8"/>
  <c r="N155" i="8"/>
  <c r="AO169" i="8"/>
  <c r="G154" i="8"/>
  <c r="G155" i="8"/>
  <c r="AW169" i="8"/>
  <c r="AW170" i="8"/>
  <c r="AE169" i="8"/>
  <c r="AE171" i="8"/>
  <c r="J154" i="8"/>
  <c r="J156" i="8"/>
  <c r="B174" i="8"/>
  <c r="B176" i="8"/>
  <c r="H209" i="8"/>
  <c r="H211" i="8"/>
  <c r="B119" i="8"/>
  <c r="B120" i="8"/>
  <c r="B121" i="8"/>
  <c r="B122" i="8"/>
  <c r="BF209" i="8"/>
  <c r="BF210" i="8"/>
  <c r="AQ169" i="8"/>
  <c r="AQ171" i="8"/>
  <c r="C164" i="8"/>
  <c r="C165" i="8"/>
  <c r="L15" i="9"/>
  <c r="N15" i="9"/>
  <c r="Y174" i="9"/>
  <c r="Y175" i="9"/>
  <c r="W179" i="9"/>
  <c r="W181" i="9"/>
  <c r="Z209" i="9"/>
  <c r="Z211" i="9"/>
  <c r="AF194" i="9"/>
  <c r="AF195" i="9"/>
  <c r="Y209" i="9"/>
  <c r="Y210" i="9"/>
  <c r="U179" i="9"/>
  <c r="U180" i="9"/>
  <c r="S199" i="8"/>
  <c r="S201" i="8"/>
  <c r="V209" i="9"/>
  <c r="V210" i="9"/>
  <c r="AC194" i="9"/>
  <c r="T174" i="9"/>
  <c r="T176" i="9"/>
  <c r="R159" i="8"/>
  <c r="R161" i="8"/>
  <c r="Y194" i="9"/>
  <c r="Y195" i="9"/>
  <c r="M179" i="9"/>
  <c r="L159" i="8"/>
  <c r="L160" i="8"/>
  <c r="L184" i="9"/>
  <c r="G179" i="8"/>
  <c r="G181" i="8"/>
  <c r="BK209" i="8"/>
  <c r="J209" i="9"/>
  <c r="J211" i="9"/>
  <c r="I184" i="9"/>
  <c r="D159" i="8"/>
  <c r="D160" i="8"/>
  <c r="D179" i="9"/>
  <c r="D180" i="9"/>
  <c r="G184" i="9"/>
  <c r="G185" i="9"/>
  <c r="B124" i="9"/>
  <c r="B125" i="9"/>
  <c r="B126" i="9"/>
  <c r="B127" i="9"/>
  <c r="B223" i="9"/>
  <c r="B179" i="9"/>
  <c r="B180" i="9"/>
  <c r="I194" i="9"/>
  <c r="I196" i="9"/>
  <c r="W194" i="8"/>
  <c r="W196" i="8"/>
  <c r="F154" i="8"/>
  <c r="F156" i="8"/>
  <c r="Z169" i="8"/>
  <c r="Z170" i="8"/>
  <c r="AP209" i="8"/>
  <c r="AP210" i="8"/>
  <c r="S194" i="8"/>
  <c r="S195" i="8"/>
  <c r="AO209" i="8"/>
  <c r="AO210" i="8"/>
  <c r="AC169" i="8"/>
  <c r="AC170" i="8"/>
  <c r="N194" i="8"/>
  <c r="N195" i="8"/>
  <c r="U169" i="8"/>
  <c r="U171" i="8"/>
  <c r="F169" i="8"/>
  <c r="B209" i="8"/>
  <c r="B210" i="8"/>
  <c r="U194" i="8"/>
  <c r="U196" i="8"/>
  <c r="AX169" i="8"/>
  <c r="AX170" i="8"/>
  <c r="L11" i="9"/>
  <c r="N11" i="9"/>
  <c r="D184" i="9"/>
  <c r="D186" i="9"/>
  <c r="C194" i="9"/>
  <c r="C196" i="9"/>
  <c r="B99" i="9"/>
  <c r="B100" i="9"/>
  <c r="B101" i="9"/>
  <c r="B102" i="9"/>
  <c r="C174" i="9"/>
  <c r="C175" i="9"/>
  <c r="B89" i="9"/>
  <c r="B90" i="9"/>
  <c r="B91" i="9"/>
  <c r="B92" i="9"/>
  <c r="B216" i="9"/>
  <c r="K194" i="9"/>
  <c r="K196" i="9"/>
  <c r="G194" i="9"/>
  <c r="G195" i="9"/>
  <c r="F184" i="9"/>
  <c r="F186" i="9"/>
  <c r="D204" i="9"/>
  <c r="D205" i="9"/>
  <c r="B134" i="9"/>
  <c r="B135" i="9"/>
  <c r="B136" i="9"/>
  <c r="B137" i="9"/>
  <c r="B169" i="9"/>
  <c r="B170" i="9"/>
  <c r="E204" i="9"/>
  <c r="E205" i="9"/>
  <c r="E169" i="9"/>
  <c r="E170" i="9"/>
  <c r="F204" i="9"/>
  <c r="F206" i="9"/>
  <c r="H174" i="9"/>
  <c r="H176" i="9"/>
  <c r="Q194" i="9"/>
  <c r="Q195" i="9"/>
  <c r="I174" i="9"/>
  <c r="I176" i="9"/>
  <c r="R194" i="9"/>
  <c r="R196" i="9"/>
  <c r="J204" i="9"/>
  <c r="J205" i="9"/>
  <c r="L209" i="9"/>
  <c r="L211" i="9"/>
  <c r="S194" i="9"/>
  <c r="S195" i="9"/>
  <c r="U194" i="9"/>
  <c r="U196" i="9"/>
  <c r="W194" i="9"/>
  <c r="W195" i="9"/>
  <c r="Q184" i="9"/>
  <c r="Q185" i="9"/>
  <c r="R184" i="9"/>
  <c r="R186" i="9"/>
  <c r="O179" i="9"/>
  <c r="O180" i="9"/>
  <c r="S209" i="9"/>
  <c r="S210" i="9"/>
  <c r="L9" i="9"/>
  <c r="N9" i="9"/>
  <c r="C184" i="9"/>
  <c r="C185" i="9"/>
  <c r="B184" i="9"/>
  <c r="B186" i="9"/>
  <c r="D194" i="9"/>
  <c r="D195" i="9"/>
  <c r="B209" i="9"/>
  <c r="B210" i="9"/>
  <c r="E209" i="9"/>
  <c r="E211" i="9"/>
  <c r="E184" i="9"/>
  <c r="E186" i="9"/>
  <c r="F209" i="9"/>
  <c r="F211" i="9"/>
  <c r="B104" i="9"/>
  <c r="B105" i="9"/>
  <c r="B106" i="9"/>
  <c r="B107" i="9"/>
  <c r="B219" i="9"/>
  <c r="B199" i="9"/>
  <c r="B200" i="9"/>
  <c r="F174" i="9"/>
  <c r="F176" i="9"/>
  <c r="H209" i="9"/>
  <c r="H210" i="9"/>
  <c r="G204" i="9"/>
  <c r="F169" i="9"/>
  <c r="F171" i="9"/>
  <c r="P194" i="9"/>
  <c r="P195" i="9"/>
  <c r="F179" i="9"/>
  <c r="F180" i="9"/>
  <c r="I209" i="9"/>
  <c r="I210" i="9"/>
  <c r="J184" i="9"/>
  <c r="J185" i="9"/>
  <c r="G179" i="9"/>
  <c r="G181" i="9"/>
  <c r="G169" i="9"/>
  <c r="G170" i="9"/>
  <c r="K209" i="9"/>
  <c r="H169" i="9"/>
  <c r="H170" i="9"/>
  <c r="I204" i="9"/>
  <c r="I206" i="9"/>
  <c r="T194" i="9"/>
  <c r="T196" i="9"/>
  <c r="M209" i="9"/>
  <c r="M211" i="9"/>
  <c r="O184" i="9"/>
  <c r="O185" i="9"/>
  <c r="N174" i="9"/>
  <c r="N175" i="9"/>
  <c r="V194" i="9"/>
  <c r="V195" i="9"/>
  <c r="L179" i="9"/>
  <c r="N179" i="9"/>
  <c r="N180" i="9"/>
  <c r="AL169" i="8"/>
  <c r="AL170" i="8"/>
  <c r="D194" i="8"/>
  <c r="D196" i="8"/>
  <c r="N169" i="8"/>
  <c r="N171" i="8"/>
  <c r="Q209" i="8"/>
  <c r="Q210" i="8"/>
  <c r="I154" i="8"/>
  <c r="I155" i="8"/>
  <c r="AX209" i="8"/>
  <c r="AX211" i="8"/>
  <c r="AH169" i="8"/>
  <c r="AH171" i="8"/>
  <c r="AB209" i="8"/>
  <c r="AB211" i="8"/>
  <c r="BA169" i="8"/>
  <c r="BA171" i="8"/>
  <c r="B189" i="8"/>
  <c r="B191" i="8"/>
  <c r="B184" i="8"/>
  <c r="B185" i="8"/>
  <c r="E194" i="8"/>
  <c r="E195" i="8"/>
  <c r="H174" i="8"/>
  <c r="H176" i="8"/>
  <c r="K169" i="8"/>
  <c r="K171" i="8"/>
  <c r="C149" i="8"/>
  <c r="C150" i="8"/>
  <c r="D174" i="8"/>
  <c r="D175" i="8"/>
  <c r="G174" i="8"/>
  <c r="G175" i="8"/>
  <c r="F164" i="8"/>
  <c r="F166" i="8"/>
  <c r="T169" i="8"/>
  <c r="T170" i="8"/>
  <c r="X209" i="8"/>
  <c r="X211" i="8"/>
  <c r="O194" i="8"/>
  <c r="O195" i="8"/>
  <c r="AD169" i="8"/>
  <c r="AD170" i="8"/>
  <c r="AQ209" i="8"/>
  <c r="AQ211" i="8"/>
  <c r="BE209" i="8"/>
  <c r="BE210" i="8"/>
  <c r="AG169" i="8"/>
  <c r="AG171" i="8"/>
  <c r="S169" i="8"/>
  <c r="S170" i="8"/>
  <c r="AD209" i="8"/>
  <c r="AD210" i="8"/>
  <c r="AZ209" i="8"/>
  <c r="AZ211" i="8"/>
  <c r="AK209" i="8"/>
  <c r="AK210" i="8"/>
  <c r="M154" i="8"/>
  <c r="M156" i="8"/>
  <c r="S209" i="8"/>
  <c r="S210" i="8"/>
  <c r="L194" i="8"/>
  <c r="L195" i="8"/>
  <c r="M169" i="8"/>
  <c r="M171" i="8"/>
  <c r="H194" i="8"/>
  <c r="H196" i="8"/>
  <c r="B129" i="8"/>
  <c r="B130" i="8"/>
  <c r="AT169" i="8"/>
  <c r="AT170" i="8"/>
  <c r="AU169" i="8"/>
  <c r="AU170" i="8"/>
  <c r="C189" i="8"/>
  <c r="C191" i="8"/>
  <c r="C159" i="8"/>
  <c r="C160" i="8"/>
  <c r="D189" i="8"/>
  <c r="D191" i="8"/>
  <c r="D199" i="8"/>
  <c r="D201" i="8"/>
  <c r="BJ209" i="8"/>
  <c r="BJ210" i="8"/>
  <c r="E189" i="8"/>
  <c r="F159" i="8"/>
  <c r="F161" i="8"/>
  <c r="F179" i="8"/>
  <c r="F181" i="8"/>
  <c r="G199" i="8"/>
  <c r="G201" i="8"/>
  <c r="BI169" i="8"/>
  <c r="BM209" i="8"/>
  <c r="BM210" i="8"/>
  <c r="BN209" i="8"/>
  <c r="BN211" i="8"/>
  <c r="I159" i="8"/>
  <c r="I161" i="8"/>
  <c r="K159" i="8"/>
  <c r="K160" i="8"/>
  <c r="K179" i="8"/>
  <c r="K181" i="8"/>
  <c r="BM169" i="8"/>
  <c r="BM170" i="8"/>
  <c r="BN169" i="8"/>
  <c r="BN171" i="8"/>
  <c r="M179" i="8"/>
  <c r="M181" i="8"/>
  <c r="AF209" i="8"/>
  <c r="AF210" i="8"/>
  <c r="G194" i="8"/>
  <c r="G195" i="8"/>
  <c r="P209" i="8"/>
  <c r="P210" i="8"/>
  <c r="AU209" i="8"/>
  <c r="AU210" i="8"/>
  <c r="G209" i="8"/>
  <c r="G211" i="8"/>
  <c r="AN169" i="8"/>
  <c r="AN170" i="8"/>
  <c r="AJ169" i="8"/>
  <c r="AJ171" i="8"/>
  <c r="AV169" i="8"/>
  <c r="AV171" i="8"/>
  <c r="E164" i="8"/>
  <c r="E166" i="8"/>
  <c r="B169" i="8"/>
  <c r="B170" i="8"/>
  <c r="C209" i="8"/>
  <c r="C211" i="8"/>
  <c r="E154" i="8"/>
  <c r="E156" i="8"/>
  <c r="F194" i="8"/>
  <c r="F195" i="8"/>
  <c r="L169" i="8"/>
  <c r="L170" i="8"/>
  <c r="B179" i="8"/>
  <c r="B181" i="8"/>
  <c r="D209" i="8"/>
  <c r="D211" i="8"/>
  <c r="L154" i="8"/>
  <c r="L155" i="8"/>
  <c r="H154" i="8"/>
  <c r="H155" i="8"/>
  <c r="T174" i="8"/>
  <c r="T175" i="8"/>
  <c r="AB169" i="8"/>
  <c r="Q194" i="8"/>
  <c r="Q195" i="8"/>
  <c r="AG209" i="8"/>
  <c r="AG211" i="8"/>
  <c r="AS169" i="8"/>
  <c r="AS170" i="8"/>
  <c r="AV209" i="8"/>
  <c r="AV210" i="8"/>
  <c r="AF169" i="8"/>
  <c r="AF170" i="8"/>
  <c r="G164" i="8"/>
  <c r="G165" i="8"/>
  <c r="AY209" i="8"/>
  <c r="AY211" i="8"/>
  <c r="AY169" i="8"/>
  <c r="AY170" i="8"/>
  <c r="V169" i="8"/>
  <c r="V171" i="8"/>
  <c r="M194" i="8"/>
  <c r="M196" i="8"/>
  <c r="R174" i="8"/>
  <c r="R175" i="8"/>
  <c r="K209" i="8"/>
  <c r="K210" i="8"/>
  <c r="M209" i="8"/>
  <c r="M211" i="8"/>
  <c r="E174" i="8"/>
  <c r="E176" i="8"/>
  <c r="B164" i="8"/>
  <c r="B166" i="8"/>
  <c r="U174" i="8"/>
  <c r="U176" i="8"/>
  <c r="AI209" i="8"/>
  <c r="AI211" i="8"/>
  <c r="AM209" i="8"/>
  <c r="AM211" i="8"/>
  <c r="BE169" i="8"/>
  <c r="BE171" i="8"/>
  <c r="E179" i="8"/>
  <c r="E180" i="8"/>
  <c r="BG169" i="8"/>
  <c r="BG170" i="8"/>
  <c r="BH169" i="8"/>
  <c r="BH170" i="8"/>
  <c r="F199" i="8"/>
  <c r="F200" i="8"/>
  <c r="BL209" i="8"/>
  <c r="BL211" i="8"/>
  <c r="G159" i="8"/>
  <c r="G160" i="8"/>
  <c r="H159" i="8"/>
  <c r="H161" i="8"/>
  <c r="I179" i="8"/>
  <c r="I180" i="8"/>
  <c r="J199" i="8"/>
  <c r="J179" i="8"/>
  <c r="J181" i="8"/>
  <c r="L179" i="8"/>
  <c r="L181" i="8"/>
  <c r="AH194" i="9"/>
  <c r="AH195" i="9"/>
  <c r="AA209" i="9"/>
  <c r="AA211" i="9"/>
  <c r="AA174" i="9"/>
  <c r="AA175" i="9"/>
  <c r="V179" i="9"/>
  <c r="V180" i="9"/>
  <c r="W174" i="9"/>
  <c r="W175" i="9"/>
  <c r="AE194" i="9"/>
  <c r="AE195" i="9"/>
  <c r="AD194" i="9"/>
  <c r="AD195" i="9"/>
  <c r="R179" i="8"/>
  <c r="R180" i="8"/>
  <c r="S179" i="9"/>
  <c r="S181" i="9"/>
  <c r="BT169" i="8"/>
  <c r="BT171" i="8"/>
  <c r="BS169" i="8"/>
  <c r="BS171" i="8"/>
  <c r="U209" i="9"/>
  <c r="U211" i="9"/>
  <c r="R179" i="9"/>
  <c r="R180" i="9"/>
  <c r="BR169" i="8"/>
  <c r="BR170" i="8"/>
  <c r="T184" i="9"/>
  <c r="T185" i="9"/>
  <c r="Z194" i="9"/>
  <c r="Z196" i="9"/>
  <c r="P179" i="9"/>
  <c r="P181" i="9"/>
  <c r="N179" i="8"/>
  <c r="N180" i="8"/>
  <c r="O174" i="9"/>
  <c r="O175" i="9"/>
  <c r="L199" i="8"/>
  <c r="L201" i="8"/>
  <c r="O209" i="9"/>
  <c r="O211" i="9"/>
  <c r="P184" i="9"/>
  <c r="P185" i="9"/>
  <c r="BL169" i="8"/>
  <c r="BL171" i="8"/>
  <c r="K169" i="9"/>
  <c r="K170" i="9"/>
  <c r="I179" i="9"/>
  <c r="I180" i="9"/>
  <c r="I169" i="9"/>
  <c r="I171" i="9"/>
  <c r="BJ169" i="8"/>
  <c r="BJ171" i="8"/>
  <c r="E199" i="8"/>
  <c r="E201" i="8"/>
  <c r="C199" i="8"/>
  <c r="C200" i="8"/>
  <c r="G209" i="9"/>
  <c r="B84" i="9"/>
  <c r="B85" i="9"/>
  <c r="B86" i="9"/>
  <c r="B87" i="9"/>
  <c r="B215" i="9"/>
  <c r="C179" i="9"/>
  <c r="C180" i="9"/>
  <c r="D174" i="9"/>
  <c r="D175" i="9"/>
  <c r="C169" i="9"/>
  <c r="C170" i="9"/>
  <c r="E174" i="9"/>
  <c r="E175" i="9"/>
  <c r="L194" i="9"/>
  <c r="L195" i="9"/>
  <c r="F194" i="9"/>
  <c r="F195" i="9"/>
  <c r="D209" i="9"/>
  <c r="D211" i="9"/>
  <c r="C209" i="9"/>
  <c r="C210" i="9"/>
  <c r="B194" i="9"/>
  <c r="B195" i="9"/>
  <c r="L174" i="8"/>
  <c r="L175" i="8"/>
  <c r="P194" i="8"/>
  <c r="P196" i="8"/>
  <c r="R169" i="8"/>
  <c r="R171" i="8"/>
  <c r="AZ169" i="8"/>
  <c r="AZ171" i="8"/>
  <c r="T209" i="8"/>
  <c r="T210" i="8"/>
  <c r="AT209" i="8"/>
  <c r="AT210" i="8"/>
  <c r="U209" i="8"/>
  <c r="U210" i="8"/>
  <c r="W169" i="8"/>
  <c r="W170" i="8"/>
  <c r="L209" i="8"/>
  <c r="L210" i="8"/>
  <c r="C169" i="8"/>
  <c r="C170" i="8"/>
  <c r="I169" i="8"/>
  <c r="I170" i="8"/>
  <c r="D154" i="8"/>
  <c r="D156" i="8"/>
  <c r="C174" i="8"/>
  <c r="C176" i="8"/>
  <c r="BB169" i="8"/>
  <c r="BB171" i="8"/>
  <c r="AA209" i="8"/>
  <c r="AA211" i="8"/>
  <c r="R209" i="8"/>
  <c r="R210" i="8"/>
  <c r="P169" i="8"/>
  <c r="P171" i="8"/>
  <c r="X194" i="9"/>
  <c r="X195" i="9"/>
  <c r="L174" i="9"/>
  <c r="L176" i="9"/>
  <c r="P209" i="9"/>
  <c r="P211" i="9"/>
  <c r="N209" i="9"/>
  <c r="N210" i="9"/>
  <c r="D144" i="9"/>
  <c r="D145" i="9"/>
  <c r="L13" i="6"/>
  <c r="M13" i="6"/>
  <c r="O13" i="6"/>
  <c r="L9" i="6"/>
  <c r="N9" i="6"/>
  <c r="G38" i="41"/>
  <c r="F39" i="41"/>
  <c r="M74" i="41"/>
  <c r="L75" i="41"/>
  <c r="L4" i="1"/>
  <c r="M4" i="1"/>
  <c r="O4" i="1"/>
  <c r="BR154" i="11"/>
  <c r="BR155" i="11"/>
  <c r="E184" i="7"/>
  <c r="E186" i="7"/>
  <c r="AI169" i="8"/>
  <c r="AI170" i="8"/>
  <c r="AW209" i="8"/>
  <c r="AW211" i="8"/>
  <c r="BB209" i="8"/>
  <c r="BB210" i="8"/>
  <c r="V209" i="8"/>
  <c r="V210" i="8"/>
  <c r="K154" i="8"/>
  <c r="K156" i="8"/>
  <c r="Y169" i="8"/>
  <c r="Y170" i="8"/>
  <c r="AM169" i="8"/>
  <c r="AM171" i="8"/>
  <c r="BD169" i="8"/>
  <c r="BD170" i="8"/>
  <c r="AR169" i="8"/>
  <c r="AR171" i="8"/>
  <c r="AH209" i="8"/>
  <c r="AH211" i="8"/>
  <c r="X169" i="8"/>
  <c r="X171" i="8"/>
  <c r="O209" i="8"/>
  <c r="O210" i="8"/>
  <c r="Y209" i="8"/>
  <c r="Y210" i="8"/>
  <c r="V194" i="8"/>
  <c r="V195" i="8"/>
  <c r="N174" i="8"/>
  <c r="N175" i="8"/>
  <c r="P174" i="8"/>
  <c r="P176" i="8"/>
  <c r="K194" i="8"/>
  <c r="K195" i="8"/>
  <c r="E209" i="8"/>
  <c r="E210" i="8"/>
  <c r="B94" i="8"/>
  <c r="B95" i="8"/>
  <c r="B96" i="8"/>
  <c r="B97" i="8"/>
  <c r="AP169" i="8"/>
  <c r="AP170" i="8"/>
  <c r="K174" i="8"/>
  <c r="K175" i="8"/>
  <c r="I194" i="8"/>
  <c r="I195" i="8"/>
  <c r="F174" i="8"/>
  <c r="F175" i="8"/>
  <c r="E169" i="8"/>
  <c r="E170" i="8"/>
  <c r="B149" i="8"/>
  <c r="B150" i="8"/>
  <c r="B151" i="8"/>
  <c r="B152" i="8"/>
  <c r="B154" i="8"/>
  <c r="B156" i="8"/>
  <c r="C194" i="8"/>
  <c r="C196" i="8"/>
  <c r="BC209" i="8"/>
  <c r="BC210" i="8"/>
  <c r="AR209" i="8"/>
  <c r="AR211" i="8"/>
  <c r="AN209" i="8"/>
  <c r="AN211" i="8"/>
  <c r="Q169" i="8"/>
  <c r="Q171" i="8"/>
  <c r="I174" i="8"/>
  <c r="I176" i="8"/>
  <c r="T194" i="8"/>
  <c r="T195" i="8"/>
  <c r="BC169" i="8"/>
  <c r="BC171" i="8"/>
  <c r="M174" i="8"/>
  <c r="M175" i="8"/>
  <c r="N209" i="8"/>
  <c r="N211" i="8"/>
  <c r="H169" i="8"/>
  <c r="H170" i="8"/>
  <c r="B199" i="8"/>
  <c r="B201" i="8"/>
  <c r="L14" i="9"/>
  <c r="M14" i="9"/>
  <c r="O14" i="9"/>
  <c r="L7" i="9"/>
  <c r="M7" i="9"/>
  <c r="O7" i="9"/>
  <c r="Y144" i="11"/>
  <c r="Y146" i="11"/>
  <c r="BJ189" i="7"/>
  <c r="BJ190" i="7"/>
  <c r="BJ169" i="11"/>
  <c r="BI189" i="7"/>
  <c r="BI190" i="7"/>
  <c r="BL154" i="11"/>
  <c r="BK154" i="11"/>
  <c r="BK156" i="11"/>
  <c r="C179" i="11"/>
  <c r="C181" i="11"/>
  <c r="AU169" i="11"/>
  <c r="BN149" i="7"/>
  <c r="BN150" i="7"/>
  <c r="AK159" i="11"/>
  <c r="BL184" i="11"/>
  <c r="V149" i="7"/>
  <c r="V150" i="7"/>
  <c r="H139" i="11"/>
  <c r="H140" i="11"/>
  <c r="M154" i="11"/>
  <c r="M155" i="11"/>
  <c r="BY154" i="11"/>
  <c r="BY155" i="11"/>
  <c r="R184" i="7"/>
  <c r="R185" i="7"/>
  <c r="BO189" i="7"/>
  <c r="BO190" i="7"/>
  <c r="BU154" i="11"/>
  <c r="BU156" i="11"/>
  <c r="J184" i="7"/>
  <c r="J186" i="7"/>
  <c r="BH164" i="11"/>
  <c r="BH165" i="11"/>
  <c r="BH179" i="11"/>
  <c r="BH180" i="11"/>
  <c r="BF184" i="11"/>
  <c r="BX184" i="11"/>
  <c r="BX186" i="11"/>
  <c r="BT189" i="7"/>
  <c r="BT190" i="7"/>
  <c r="BU184" i="11"/>
  <c r="BU185" i="11"/>
  <c r="BT184" i="11"/>
  <c r="BT186" i="11"/>
  <c r="BS184" i="11"/>
  <c r="BS185" i="11"/>
  <c r="BW154" i="11"/>
  <c r="BW156" i="11"/>
  <c r="BQ184" i="11"/>
  <c r="BQ186" i="11"/>
  <c r="N184" i="7"/>
  <c r="N186" i="7"/>
  <c r="BM184" i="11"/>
  <c r="BM186" i="11"/>
  <c r="L184" i="7"/>
  <c r="L185" i="7"/>
  <c r="BK189" i="7"/>
  <c r="BK191" i="7"/>
  <c r="BP144" i="11"/>
  <c r="BP154" i="11"/>
  <c r="BP155" i="11"/>
  <c r="BG189" i="7"/>
  <c r="BG190" i="7"/>
  <c r="BF179" i="11"/>
  <c r="AJ149" i="7"/>
  <c r="AJ151" i="7"/>
  <c r="BI154" i="11"/>
  <c r="BD154" i="11"/>
  <c r="BD156" i="11"/>
  <c r="AY184" i="11"/>
  <c r="T209" i="11"/>
  <c r="T210" i="11"/>
  <c r="X159" i="11"/>
  <c r="BW189" i="7"/>
  <c r="BW191" i="7"/>
  <c r="G184" i="7"/>
  <c r="G186" i="7"/>
  <c r="BH184" i="11"/>
  <c r="BH185" i="11"/>
  <c r="BI164" i="11"/>
  <c r="BG169" i="11"/>
  <c r="BG170" i="11"/>
  <c r="BF154" i="11"/>
  <c r="BF155" i="11"/>
  <c r="AA169" i="11"/>
  <c r="AA171" i="11"/>
  <c r="AM164" i="11"/>
  <c r="AM166" i="11"/>
  <c r="AS169" i="11"/>
  <c r="AS171" i="11"/>
  <c r="C174" i="11"/>
  <c r="C176" i="11"/>
  <c r="AZ159" i="11"/>
  <c r="AL189" i="7"/>
  <c r="AL191" i="7"/>
  <c r="BN189" i="7"/>
  <c r="BI169" i="11"/>
  <c r="BI171" i="11"/>
  <c r="BJ159" i="11"/>
  <c r="BJ160" i="11"/>
  <c r="BN154" i="11"/>
  <c r="BN156" i="11"/>
  <c r="BF169" i="11"/>
  <c r="BF170" i="11"/>
  <c r="AW169" i="11"/>
  <c r="AW170" i="11"/>
  <c r="AB149" i="7"/>
  <c r="AP184" i="11"/>
  <c r="AP186" i="11"/>
  <c r="AI184" i="11"/>
  <c r="AI185" i="11"/>
  <c r="AL164" i="11"/>
  <c r="AL165" i="11"/>
  <c r="AM179" i="11"/>
  <c r="B119" i="11"/>
  <c r="B120" i="11"/>
  <c r="B121" i="11"/>
  <c r="B122" i="11"/>
  <c r="AG159" i="11"/>
  <c r="T149" i="7"/>
  <c r="D151" i="1"/>
  <c r="D152" i="1"/>
  <c r="B171" i="1"/>
  <c r="B172" i="1"/>
  <c r="C216" i="1"/>
  <c r="C218" i="1"/>
  <c r="B176" i="1"/>
  <c r="B177" i="1"/>
  <c r="B121" i="1"/>
  <c r="B122" i="1"/>
  <c r="B123" i="1"/>
  <c r="B124" i="1"/>
  <c r="D86" i="1"/>
  <c r="D87" i="1"/>
  <c r="D88" i="1"/>
  <c r="D89" i="1"/>
  <c r="D91" i="1"/>
  <c r="D92" i="1"/>
  <c r="L4" i="6"/>
  <c r="N4" i="6"/>
  <c r="L2" i="1"/>
  <c r="M2" i="1"/>
  <c r="O2" i="1"/>
  <c r="C91" i="1"/>
  <c r="C92" i="1"/>
  <c r="C93" i="1"/>
  <c r="C94" i="1"/>
  <c r="B196" i="1"/>
  <c r="B197" i="1"/>
  <c r="L3" i="6"/>
  <c r="M3" i="6"/>
  <c r="O3" i="6"/>
  <c r="C111" i="1"/>
  <c r="C112" i="1"/>
  <c r="B161" i="1"/>
  <c r="B162" i="1"/>
  <c r="BM169" i="11"/>
  <c r="BL169" i="11"/>
  <c r="BL171" i="11"/>
  <c r="K184" i="7"/>
  <c r="K186" i="7"/>
  <c r="BO144" i="11"/>
  <c r="BO146" i="11"/>
  <c r="BJ184" i="11"/>
  <c r="BJ185" i="11"/>
  <c r="BI184" i="11"/>
  <c r="BI185" i="11"/>
  <c r="BM154" i="11"/>
  <c r="BI144" i="11"/>
  <c r="BI145" i="11"/>
  <c r="BE169" i="11"/>
  <c r="BE171" i="11"/>
  <c r="BJ154" i="11"/>
  <c r="BJ155" i="11"/>
  <c r="AL179" i="11"/>
  <c r="AL180" i="11"/>
  <c r="V209" i="7"/>
  <c r="V211" i="7"/>
  <c r="CA149" i="7"/>
  <c r="AA159" i="11"/>
  <c r="AA161" i="11"/>
  <c r="AU184" i="11"/>
  <c r="BG154" i="11"/>
  <c r="BG156" i="11"/>
  <c r="AH159" i="11"/>
  <c r="AI159" i="11"/>
  <c r="BH149" i="7"/>
  <c r="BH151" i="7"/>
  <c r="AF139" i="11"/>
  <c r="AF140" i="11"/>
  <c r="W179" i="11"/>
  <c r="W180" i="11"/>
  <c r="B184" i="11"/>
  <c r="B186" i="11"/>
  <c r="AT179" i="11"/>
  <c r="AT181" i="11"/>
  <c r="R139" i="11"/>
  <c r="R140" i="11"/>
  <c r="C209" i="11"/>
  <c r="AD179" i="11"/>
  <c r="AD181" i="11"/>
  <c r="D184" i="11"/>
  <c r="D185" i="11"/>
  <c r="BE154" i="11"/>
  <c r="R209" i="11"/>
  <c r="R210" i="11"/>
  <c r="L184" i="11"/>
  <c r="B119" i="7"/>
  <c r="B120" i="7"/>
  <c r="K179" i="7"/>
  <c r="K181" i="7"/>
  <c r="B149" i="7"/>
  <c r="K169" i="7"/>
  <c r="K170" i="7"/>
  <c r="G204" i="7"/>
  <c r="Q189" i="7"/>
  <c r="Q191" i="7"/>
  <c r="Y189" i="7"/>
  <c r="F179" i="7"/>
  <c r="F180" i="7"/>
  <c r="Z189" i="7"/>
  <c r="Z191" i="7"/>
  <c r="AU149" i="7"/>
  <c r="AU151" i="7"/>
  <c r="BS149" i="7"/>
  <c r="AF189" i="7"/>
  <c r="AF191" i="7"/>
  <c r="D194" i="7"/>
  <c r="N149" i="7"/>
  <c r="N150" i="7"/>
  <c r="AD169" i="7"/>
  <c r="AD171" i="7"/>
  <c r="AM189" i="7"/>
  <c r="AO149" i="7"/>
  <c r="AO150" i="7"/>
  <c r="B179" i="7"/>
  <c r="U149" i="7"/>
  <c r="U151" i="7"/>
  <c r="B199" i="7"/>
  <c r="B201" i="7"/>
  <c r="M194" i="7"/>
  <c r="M195" i="7"/>
  <c r="AC179" i="7"/>
  <c r="AC180" i="7"/>
  <c r="T189" i="7"/>
  <c r="T191" i="7"/>
  <c r="AK189" i="7"/>
  <c r="AK190" i="7"/>
  <c r="BQ149" i="7"/>
  <c r="BQ151" i="7"/>
  <c r="C119" i="7"/>
  <c r="C120" i="7"/>
  <c r="C121" i="7"/>
  <c r="C122" i="7"/>
  <c r="L149" i="7"/>
  <c r="L150" i="7"/>
  <c r="BM149" i="7"/>
  <c r="BM151" i="7"/>
  <c r="B159" i="7"/>
  <c r="B160" i="7"/>
  <c r="BT149" i="7"/>
  <c r="BT150" i="7"/>
  <c r="E189" i="7"/>
  <c r="L189" i="7"/>
  <c r="L190" i="7"/>
  <c r="I189" i="7"/>
  <c r="AK169" i="7"/>
  <c r="AK170" i="7"/>
  <c r="BZ149" i="7"/>
  <c r="F194" i="7"/>
  <c r="K209" i="7"/>
  <c r="K211" i="7"/>
  <c r="BR149" i="7"/>
  <c r="BR151" i="7"/>
  <c r="C164" i="7"/>
  <c r="BJ149" i="7"/>
  <c r="BJ151" i="7"/>
  <c r="C159" i="7"/>
  <c r="C160" i="7"/>
  <c r="AD189" i="7"/>
  <c r="BA189" i="7"/>
  <c r="BA191" i="7"/>
  <c r="C149" i="7"/>
  <c r="C150" i="7"/>
  <c r="U189" i="7"/>
  <c r="U191" i="7"/>
  <c r="T194" i="7"/>
  <c r="B169" i="7"/>
  <c r="B170" i="7"/>
  <c r="AZ149" i="7"/>
  <c r="J189" i="7"/>
  <c r="J191" i="7"/>
  <c r="G194" i="7"/>
  <c r="H204" i="7"/>
  <c r="H205" i="7"/>
  <c r="BW149" i="7"/>
  <c r="AY189" i="7"/>
  <c r="AY190" i="7"/>
  <c r="AS189" i="7"/>
  <c r="AH189" i="7"/>
  <c r="AH191" i="7"/>
  <c r="AZ189" i="7"/>
  <c r="AP189" i="7"/>
  <c r="AP190" i="7"/>
  <c r="W149" i="7"/>
  <c r="D184" i="7"/>
  <c r="D185" i="7"/>
  <c r="BD189" i="7"/>
  <c r="BD190" i="7"/>
  <c r="BE189" i="7"/>
  <c r="BE190" i="7"/>
  <c r="BF189" i="7"/>
  <c r="BF191" i="7"/>
  <c r="F184" i="7"/>
  <c r="F186" i="7"/>
  <c r="BH189" i="7"/>
  <c r="BH190" i="7"/>
  <c r="BL189" i="7"/>
  <c r="BL191" i="7"/>
  <c r="P184" i="7"/>
  <c r="BU189" i="7"/>
  <c r="BU191" i="7"/>
  <c r="BV189" i="7"/>
  <c r="BV191" i="7"/>
  <c r="AG189" i="7"/>
  <c r="AG191" i="7"/>
  <c r="BB149" i="7"/>
  <c r="BB150" i="7"/>
  <c r="E149" i="7"/>
  <c r="E150" i="7"/>
  <c r="X179" i="7"/>
  <c r="X181" i="7"/>
  <c r="B204" i="7"/>
  <c r="B206" i="7"/>
  <c r="AB179" i="7"/>
  <c r="AB180" i="7"/>
  <c r="AV149" i="7"/>
  <c r="AV151" i="7"/>
  <c r="E179" i="7"/>
  <c r="E180" i="7"/>
  <c r="AQ189" i="7"/>
  <c r="AQ190" i="7"/>
  <c r="G189" i="7"/>
  <c r="U169" i="7"/>
  <c r="U170" i="7"/>
  <c r="AI149" i="7"/>
  <c r="AW189" i="7"/>
  <c r="AW190" i="7"/>
  <c r="B129" i="7"/>
  <c r="B130" i="7"/>
  <c r="BY149" i="7"/>
  <c r="BY150" i="7"/>
  <c r="R189" i="7"/>
  <c r="R190" i="7"/>
  <c r="D164" i="7"/>
  <c r="C189" i="7"/>
  <c r="C191" i="7"/>
  <c r="AX189" i="7"/>
  <c r="AX190" i="7"/>
  <c r="AX149" i="7"/>
  <c r="AX150" i="7"/>
  <c r="AA179" i="7"/>
  <c r="AA181" i="7"/>
  <c r="AD149" i="7"/>
  <c r="AR149" i="7"/>
  <c r="AR150" i="7"/>
  <c r="Z179" i="7"/>
  <c r="Z180" i="7"/>
  <c r="N179" i="7"/>
  <c r="N180" i="7"/>
  <c r="H184" i="7"/>
  <c r="H186" i="7"/>
  <c r="I184" i="7"/>
  <c r="I185" i="7"/>
  <c r="BM189" i="7"/>
  <c r="BM191" i="7"/>
  <c r="O184" i="7"/>
  <c r="O186" i="7"/>
  <c r="BP189" i="7"/>
  <c r="BP190" i="7"/>
  <c r="Q184" i="7"/>
  <c r="Q185" i="7"/>
  <c r="BQ189" i="7"/>
  <c r="BQ191" i="7"/>
  <c r="BR189" i="7"/>
  <c r="BR191" i="7"/>
  <c r="S184" i="7"/>
  <c r="S186" i="7"/>
  <c r="BS189" i="7"/>
  <c r="BS190" i="7"/>
  <c r="T184" i="7"/>
  <c r="T186" i="7"/>
  <c r="U184" i="7"/>
  <c r="U185" i="7"/>
  <c r="V184" i="7"/>
  <c r="P139" i="11"/>
  <c r="P140" i="11"/>
  <c r="H194" i="11"/>
  <c r="H196" i="11"/>
  <c r="F184" i="11"/>
  <c r="F185" i="11"/>
  <c r="E164" i="11"/>
  <c r="E166" i="11"/>
  <c r="E169" i="11"/>
  <c r="E171" i="11"/>
  <c r="H179" i="11"/>
  <c r="H180" i="11"/>
  <c r="M139" i="11"/>
  <c r="M141" i="11"/>
  <c r="F204" i="11"/>
  <c r="E139" i="11"/>
  <c r="E140" i="11"/>
  <c r="M209" i="11"/>
  <c r="N159" i="11"/>
  <c r="N161" i="11"/>
  <c r="O194" i="11"/>
  <c r="O195" i="11"/>
  <c r="D159" i="11"/>
  <c r="D160" i="11"/>
  <c r="G154" i="11"/>
  <c r="I209" i="11"/>
  <c r="I211" i="11"/>
  <c r="I159" i="11"/>
  <c r="I160" i="11"/>
  <c r="J189" i="11"/>
  <c r="J191" i="11"/>
  <c r="K129" i="11"/>
  <c r="O184" i="11"/>
  <c r="O186" i="11"/>
  <c r="V139" i="11"/>
  <c r="V140" i="11"/>
  <c r="Y139" i="11"/>
  <c r="Y141" i="11"/>
  <c r="Z129" i="11"/>
  <c r="Z130" i="11"/>
  <c r="L159" i="11"/>
  <c r="L161" i="11"/>
  <c r="G179" i="11"/>
  <c r="N169" i="11"/>
  <c r="N171" i="11"/>
  <c r="D174" i="11"/>
  <c r="D175" i="11"/>
  <c r="I139" i="11"/>
  <c r="I140" i="11"/>
  <c r="K189" i="11"/>
  <c r="K191" i="11"/>
  <c r="X179" i="11"/>
  <c r="X181" i="11"/>
  <c r="Z184" i="11"/>
  <c r="P194" i="11"/>
  <c r="P196" i="11"/>
  <c r="P129" i="11"/>
  <c r="Q154" i="11"/>
  <c r="Q156" i="11"/>
  <c r="R174" i="11"/>
  <c r="S184" i="11"/>
  <c r="S186" i="11"/>
  <c r="T174" i="11"/>
  <c r="T176" i="11"/>
  <c r="AB179" i="11"/>
  <c r="AB180" i="11"/>
  <c r="AF164" i="11"/>
  <c r="AJ184" i="11"/>
  <c r="AJ186" i="11"/>
  <c r="AO159" i="11"/>
  <c r="AZ144" i="11"/>
  <c r="AZ146" i="11"/>
  <c r="BB184" i="11"/>
  <c r="BB186" i="11"/>
  <c r="BC169" i="11"/>
  <c r="BC171" i="11"/>
  <c r="BD179" i="11"/>
  <c r="BD180" i="11"/>
  <c r="BA179" i="11"/>
  <c r="BA180" i="11"/>
  <c r="AY154" i="11"/>
  <c r="AY156" i="11"/>
  <c r="AV164" i="11"/>
  <c r="AV166" i="11"/>
  <c r="AR154" i="11"/>
  <c r="AR156" i="11"/>
  <c r="AN164" i="11"/>
  <c r="AN165" i="11"/>
  <c r="AK169" i="11"/>
  <c r="G174" i="11"/>
  <c r="G175" i="11"/>
  <c r="N189" i="11"/>
  <c r="G194" i="11"/>
  <c r="G195" i="11"/>
  <c r="J184" i="11"/>
  <c r="V179" i="11"/>
  <c r="V181" i="11"/>
  <c r="Y159" i="11"/>
  <c r="Y161" i="11"/>
  <c r="L179" i="11"/>
  <c r="L180" i="11"/>
  <c r="Q159" i="11"/>
  <c r="Q160" i="11"/>
  <c r="R179" i="11"/>
  <c r="R181" i="11"/>
  <c r="S154" i="11"/>
  <c r="S156" i="11"/>
  <c r="T139" i="11"/>
  <c r="T140" i="11"/>
  <c r="AJ159" i="11"/>
  <c r="AJ160" i="11"/>
  <c r="Q169" i="11"/>
  <c r="B99" i="11"/>
  <c r="B100" i="11"/>
  <c r="B101" i="11"/>
  <c r="B102" i="11"/>
  <c r="E204" i="11"/>
  <c r="E129" i="11"/>
  <c r="E130" i="11"/>
  <c r="M159" i="11"/>
  <c r="F179" i="11"/>
  <c r="F180" i="11"/>
  <c r="H129" i="11"/>
  <c r="H130" i="11"/>
  <c r="N194" i="11"/>
  <c r="N196" i="11"/>
  <c r="O154" i="11"/>
  <c r="O155" i="11"/>
  <c r="D169" i="11"/>
  <c r="D171" i="11"/>
  <c r="H189" i="11"/>
  <c r="H190" i="11"/>
  <c r="I174" i="11"/>
  <c r="I175" i="11"/>
  <c r="J129" i="11"/>
  <c r="J131" i="11"/>
  <c r="K174" i="11"/>
  <c r="K175" i="11"/>
  <c r="V184" i="11"/>
  <c r="V186" i="11"/>
  <c r="Y164" i="11"/>
  <c r="Y165" i="11"/>
  <c r="L174" i="11"/>
  <c r="N139" i="11"/>
  <c r="N141" i="11"/>
  <c r="N129" i="11"/>
  <c r="H184" i="11"/>
  <c r="H185" i="11"/>
  <c r="K159" i="11"/>
  <c r="K161" i="11"/>
  <c r="Y179" i="11"/>
  <c r="Y181" i="11"/>
  <c r="L169" i="11"/>
  <c r="L171" i="11"/>
  <c r="P209" i="11"/>
  <c r="P211" i="11"/>
  <c r="R164" i="11"/>
  <c r="T159" i="11"/>
  <c r="AB139" i="11"/>
  <c r="AB141" i="11"/>
  <c r="AF179" i="11"/>
  <c r="AO164" i="11"/>
  <c r="AO166" i="11"/>
  <c r="AZ169" i="11"/>
  <c r="BC154" i="11"/>
  <c r="BC155" i="11"/>
  <c r="BC164" i="11"/>
  <c r="BA169" i="11"/>
  <c r="AX184" i="11"/>
  <c r="AX186" i="11"/>
  <c r="AV179" i="11"/>
  <c r="AR164" i="11"/>
  <c r="AR166" i="11"/>
  <c r="AK154" i="11"/>
  <c r="G144" i="11"/>
  <c r="G146" i="11"/>
  <c r="I129" i="11"/>
  <c r="I131" i="11"/>
  <c r="X129" i="11"/>
  <c r="Z154" i="11"/>
  <c r="Z155" i="11"/>
  <c r="P169" i="11"/>
  <c r="R129" i="11"/>
  <c r="R130" i="11"/>
  <c r="T154" i="11"/>
  <c r="U179" i="11"/>
  <c r="U180" i="11"/>
  <c r="AQ154" i="11"/>
  <c r="AZ164" i="11"/>
  <c r="AZ166" i="11"/>
  <c r="AY144" i="11"/>
  <c r="AY146" i="11"/>
  <c r="AT184" i="11"/>
  <c r="AT185" i="11"/>
  <c r="AN169" i="11"/>
  <c r="AN171" i="11"/>
  <c r="AE164" i="11"/>
  <c r="AE165" i="11"/>
  <c r="AC179" i="11"/>
  <c r="AC181" i="11"/>
  <c r="AC154" i="11"/>
  <c r="AC155" i="11"/>
  <c r="W154" i="11"/>
  <c r="W155" i="11"/>
  <c r="F129" i="11"/>
  <c r="F131" i="11"/>
  <c r="F114" i="11"/>
  <c r="F115" i="11"/>
  <c r="F116" i="11"/>
  <c r="F117" i="11"/>
  <c r="C159" i="11"/>
  <c r="C129" i="11"/>
  <c r="C130" i="11"/>
  <c r="B209" i="11"/>
  <c r="B210" i="11"/>
  <c r="B174" i="11"/>
  <c r="B175" i="11"/>
  <c r="B114" i="11"/>
  <c r="B115" i="11"/>
  <c r="B116" i="11"/>
  <c r="B117" i="11"/>
  <c r="H174" i="11"/>
  <c r="H176" i="11"/>
  <c r="H154" i="11"/>
  <c r="K209" i="11"/>
  <c r="K210" i="11"/>
  <c r="L129" i="11"/>
  <c r="R169" i="11"/>
  <c r="R171" i="11"/>
  <c r="T164" i="11"/>
  <c r="AF169" i="11"/>
  <c r="AF171" i="11"/>
  <c r="BB164" i="11"/>
  <c r="BA144" i="11"/>
  <c r="BA146" i="11"/>
  <c r="AV159" i="11"/>
  <c r="AV161" i="11"/>
  <c r="AN179" i="11"/>
  <c r="AN181" i="11"/>
  <c r="AE169" i="11"/>
  <c r="W159" i="11"/>
  <c r="W160" i="11"/>
  <c r="F194" i="11"/>
  <c r="B109" i="11"/>
  <c r="B110" i="11"/>
  <c r="B111" i="11"/>
  <c r="B112" i="11"/>
  <c r="B220" i="11"/>
  <c r="B144" i="11"/>
  <c r="AL184" i="11"/>
  <c r="AL185" i="11"/>
  <c r="Q189" i="11"/>
  <c r="Q190" i="11"/>
  <c r="B139" i="11"/>
  <c r="B140" i="11"/>
  <c r="E189" i="11"/>
  <c r="E191" i="11"/>
  <c r="M129" i="11"/>
  <c r="M131" i="11"/>
  <c r="AA164" i="11"/>
  <c r="AA166" i="11"/>
  <c r="E179" i="11"/>
  <c r="E181" i="11"/>
  <c r="N174" i="11"/>
  <c r="N176" i="11"/>
  <c r="O169" i="11"/>
  <c r="O170" i="11"/>
  <c r="D129" i="11"/>
  <c r="D131" i="11"/>
  <c r="G164" i="11"/>
  <c r="I179" i="11"/>
  <c r="I181" i="11"/>
  <c r="J194" i="11"/>
  <c r="J196" i="11"/>
  <c r="Y184" i="11"/>
  <c r="Y185" i="11"/>
  <c r="Z179" i="11"/>
  <c r="Z181" i="11"/>
  <c r="L154" i="11"/>
  <c r="L155" i="11"/>
  <c r="M164" i="11"/>
  <c r="D194" i="11"/>
  <c r="D195" i="11"/>
  <c r="K194" i="11"/>
  <c r="K195" i="11"/>
  <c r="X169" i="11"/>
  <c r="X170" i="11"/>
  <c r="L164" i="11"/>
  <c r="L165" i="11"/>
  <c r="P159" i="11"/>
  <c r="P161" i="11"/>
  <c r="Q164" i="11"/>
  <c r="Q165" i="11"/>
  <c r="T169" i="11"/>
  <c r="T171" i="11"/>
  <c r="U169" i="11"/>
  <c r="U171" i="11"/>
  <c r="AO184" i="11"/>
  <c r="AO185" i="11"/>
  <c r="AZ154" i="11"/>
  <c r="AZ156" i="11"/>
  <c r="BB159" i="11"/>
  <c r="BB161" i="11"/>
  <c r="BC184" i="11"/>
  <c r="BC186" i="11"/>
  <c r="BE179" i="11"/>
  <c r="BE181" i="11"/>
  <c r="BA159" i="11"/>
  <c r="BA161" i="11"/>
  <c r="AX159" i="11"/>
  <c r="AX160" i="11"/>
  <c r="AV154" i="11"/>
  <c r="AV156" i="11"/>
  <c r="AN154" i="11"/>
  <c r="C194" i="11"/>
  <c r="C196" i="11"/>
  <c r="O189" i="11"/>
  <c r="I189" i="11"/>
  <c r="I190" i="11"/>
  <c r="O164" i="11"/>
  <c r="O166" i="11"/>
  <c r="Z144" i="11"/>
  <c r="Z146" i="11"/>
  <c r="P164" i="11"/>
  <c r="P166" i="11"/>
  <c r="Q179" i="11"/>
  <c r="Q180" i="11"/>
  <c r="S209" i="11"/>
  <c r="S211" i="11"/>
  <c r="U159" i="11"/>
  <c r="U161" i="11"/>
  <c r="AJ179" i="11"/>
  <c r="AZ184" i="11"/>
  <c r="AZ186" i="11"/>
  <c r="BH154" i="11"/>
  <c r="BH155" i="11"/>
  <c r="AY169" i="11"/>
  <c r="AY171" i="11"/>
  <c r="AV169" i="11"/>
  <c r="AR159" i="11"/>
  <c r="AR161" i="11"/>
  <c r="AK179" i="11"/>
  <c r="AK181" i="11"/>
  <c r="AE184" i="11"/>
  <c r="AE186" i="11"/>
  <c r="AD154" i="11"/>
  <c r="AD184" i="11"/>
  <c r="AD185" i="11"/>
  <c r="W169" i="11"/>
  <c r="W171" i="11"/>
  <c r="C139" i="11"/>
  <c r="C140" i="11"/>
  <c r="F174" i="11"/>
  <c r="F176" i="11"/>
  <c r="C124" i="11"/>
  <c r="B89" i="11"/>
  <c r="B90" i="11"/>
  <c r="C184" i="11"/>
  <c r="C169" i="11"/>
  <c r="C170" i="11"/>
  <c r="C154" i="11"/>
  <c r="E194" i="11"/>
  <c r="E196" i="11"/>
  <c r="D204" i="11"/>
  <c r="J209" i="11"/>
  <c r="J211" i="11"/>
  <c r="H209" i="11"/>
  <c r="H211" i="11"/>
  <c r="G189" i="11"/>
  <c r="G190" i="11"/>
  <c r="N209" i="11"/>
  <c r="N211" i="11"/>
  <c r="D179" i="11"/>
  <c r="D180" i="11"/>
  <c r="J159" i="11"/>
  <c r="J160" i="11"/>
  <c r="O159" i="11"/>
  <c r="Y169" i="11"/>
  <c r="Y170" i="11"/>
  <c r="E154" i="11"/>
  <c r="E156" i="11"/>
  <c r="I184" i="11"/>
  <c r="I186" i="11"/>
  <c r="Z139" i="11"/>
  <c r="Z141" i="11"/>
  <c r="Q139" i="11"/>
  <c r="Q141" i="11"/>
  <c r="S139" i="11"/>
  <c r="AB184" i="11"/>
  <c r="AB185" i="11"/>
  <c r="AO179" i="11"/>
  <c r="BC179" i="11"/>
  <c r="BC180" i="11"/>
  <c r="BD159" i="11"/>
  <c r="AX179" i="11"/>
  <c r="AX180" i="11"/>
  <c r="AN184" i="11"/>
  <c r="AN186" i="11"/>
  <c r="K139" i="11"/>
  <c r="L209" i="11"/>
  <c r="L211" i="11"/>
  <c r="R159" i="11"/>
  <c r="R161" i="11"/>
  <c r="U154" i="11"/>
  <c r="U156" i="11"/>
  <c r="AX169" i="11"/>
  <c r="AX171" i="11"/>
  <c r="AK164" i="11"/>
  <c r="AK166" i="11"/>
  <c r="AC139" i="11"/>
  <c r="W139" i="11"/>
  <c r="W140" i="11"/>
  <c r="F159" i="11"/>
  <c r="F160" i="11"/>
  <c r="B129" i="11"/>
  <c r="B131" i="11"/>
  <c r="B154" i="11"/>
  <c r="N184" i="11"/>
  <c r="N186" i="11"/>
  <c r="V159" i="11"/>
  <c r="V160" i="11"/>
  <c r="Q174" i="11"/>
  <c r="Q176" i="11"/>
  <c r="S129" i="11"/>
  <c r="S131" i="11"/>
  <c r="AJ169" i="11"/>
  <c r="AJ170" i="11"/>
  <c r="BE159" i="11"/>
  <c r="AX164" i="11"/>
  <c r="AX165" i="11"/>
  <c r="AD139" i="11"/>
  <c r="AD140" i="11"/>
  <c r="B179" i="11"/>
  <c r="B149" i="11"/>
  <c r="B151" i="11"/>
  <c r="B104" i="11"/>
  <c r="B105" i="11"/>
  <c r="B106" i="11"/>
  <c r="B107" i="11"/>
  <c r="B84" i="11"/>
  <c r="B85" i="11"/>
  <c r="B86" i="11"/>
  <c r="B87" i="11"/>
  <c r="C114" i="11"/>
  <c r="C115" i="11"/>
  <c r="C116" i="11"/>
  <c r="C117" i="11"/>
  <c r="AE159" i="11"/>
  <c r="AE161" i="11"/>
  <c r="AY159" i="11"/>
  <c r="AY160" i="11"/>
  <c r="AO154" i="11"/>
  <c r="AO155" i="11"/>
  <c r="T184" i="11"/>
  <c r="T185" i="11"/>
  <c r="AH154" i="11"/>
  <c r="AH155" i="11"/>
  <c r="AU159" i="11"/>
  <c r="AU160" i="11"/>
  <c r="AP164" i="11"/>
  <c r="AP166" i="11"/>
  <c r="AS159" i="11"/>
  <c r="AS161" i="11"/>
  <c r="AH179" i="11"/>
  <c r="AI154" i="11"/>
  <c r="AI155" i="11"/>
  <c r="AW184" i="11"/>
  <c r="AW186" i="11"/>
  <c r="AL159" i="11"/>
  <c r="AS164" i="11"/>
  <c r="AS165" i="11"/>
  <c r="AP159" i="11"/>
  <c r="AA179" i="11"/>
  <c r="AA181" i="11"/>
  <c r="BF159" i="11"/>
  <c r="AU164" i="11"/>
  <c r="AU165" i="11"/>
  <c r="AW164" i="11"/>
  <c r="AW165" i="11"/>
  <c r="AI169" i="11"/>
  <c r="AI170" i="11"/>
  <c r="BE184" i="11"/>
  <c r="BG159" i="11"/>
  <c r="BG161" i="11"/>
  <c r="BH159" i="11"/>
  <c r="BH160" i="11"/>
  <c r="BI159" i="11"/>
  <c r="BI161" i="11"/>
  <c r="BI179" i="11"/>
  <c r="BI180" i="11"/>
  <c r="BK159" i="11"/>
  <c r="BO154" i="11"/>
  <c r="BO156" i="11"/>
  <c r="BL159" i="11"/>
  <c r="BL160" i="11"/>
  <c r="BK169" i="11"/>
  <c r="BK171" i="11"/>
  <c r="BS154" i="11"/>
  <c r="BS155" i="11"/>
  <c r="BN184" i="11"/>
  <c r="BN186" i="11"/>
  <c r="BP184" i="11"/>
  <c r="BR184" i="11"/>
  <c r="BR186" i="11"/>
  <c r="BV184" i="11"/>
  <c r="BV185" i="11"/>
  <c r="BY184" i="11"/>
  <c r="BY186" i="11"/>
  <c r="AQ169" i="11"/>
  <c r="G169" i="11"/>
  <c r="G171" i="11"/>
  <c r="H164" i="11"/>
  <c r="H165" i="11"/>
  <c r="E174" i="11"/>
  <c r="E175" i="11"/>
  <c r="N179" i="11"/>
  <c r="D209" i="11"/>
  <c r="D211" i="11"/>
  <c r="V154" i="11"/>
  <c r="V156" i="11"/>
  <c r="Z169" i="11"/>
  <c r="E114" i="11"/>
  <c r="E115" i="11"/>
  <c r="E116" i="11"/>
  <c r="E117" i="11"/>
  <c r="K154" i="11"/>
  <c r="Z164" i="11"/>
  <c r="Z165" i="11"/>
  <c r="Q209" i="11"/>
  <c r="Q211" i="11"/>
  <c r="S164" i="11"/>
  <c r="S166" i="11"/>
  <c r="AF184" i="11"/>
  <c r="AF185" i="11"/>
  <c r="BC159" i="11"/>
  <c r="BC160" i="11"/>
  <c r="BD164" i="11"/>
  <c r="AV184" i="11"/>
  <c r="AV185" i="11"/>
  <c r="O139" i="11"/>
  <c r="P154" i="11"/>
  <c r="P156" i="11"/>
  <c r="S174" i="11"/>
  <c r="AB154" i="11"/>
  <c r="AB155" i="11"/>
  <c r="AV144" i="11"/>
  <c r="AV146" i="11"/>
  <c r="AK184" i="11"/>
  <c r="AK185" i="11"/>
  <c r="AE154" i="11"/>
  <c r="AE155" i="11"/>
  <c r="B204" i="11"/>
  <c r="C109" i="11"/>
  <c r="C110" i="11"/>
  <c r="B169" i="11"/>
  <c r="B134" i="11"/>
  <c r="B136" i="11"/>
  <c r="D124" i="11"/>
  <c r="D125" i="11"/>
  <c r="R189" i="11"/>
  <c r="R190" i="11"/>
  <c r="AO169" i="11"/>
  <c r="AO170" i="11"/>
  <c r="AT159" i="11"/>
  <c r="AG179" i="11"/>
  <c r="AG180" i="11"/>
  <c r="F139" i="11"/>
  <c r="F140" i="11"/>
  <c r="C204" i="11"/>
  <c r="C206" i="11"/>
  <c r="C164" i="11"/>
  <c r="C165" i="11"/>
  <c r="F189" i="11"/>
  <c r="F190" i="11"/>
  <c r="AG154" i="11"/>
  <c r="AG155" i="11"/>
  <c r="S159" i="11"/>
  <c r="S160" i="11"/>
  <c r="AQ184" i="11"/>
  <c r="AC184" i="11"/>
  <c r="AC186" i="11"/>
  <c r="X154" i="11"/>
  <c r="X156" i="11"/>
  <c r="BD169" i="11"/>
  <c r="BD170" i="11"/>
  <c r="AC159" i="11"/>
  <c r="AH164" i="11"/>
  <c r="E124" i="11"/>
  <c r="E125" i="11"/>
  <c r="AW159" i="11"/>
  <c r="AW161" i="11"/>
  <c r="M194" i="11"/>
  <c r="M195" i="11"/>
  <c r="D114" i="11"/>
  <c r="D115" i="11"/>
  <c r="D116" i="11"/>
  <c r="D117" i="11"/>
  <c r="I169" i="11"/>
  <c r="I170" i="11"/>
  <c r="K164" i="11"/>
  <c r="X184" i="11"/>
  <c r="X185" i="11"/>
  <c r="L194" i="11"/>
  <c r="L196" i="11"/>
  <c r="D154" i="11"/>
  <c r="D155" i="11"/>
  <c r="V129" i="11"/>
  <c r="V131" i="11"/>
  <c r="P189" i="11"/>
  <c r="P190" i="11"/>
  <c r="R184" i="11"/>
  <c r="U164" i="11"/>
  <c r="U165" i="11"/>
  <c r="BB169" i="11"/>
  <c r="BB170" i="11"/>
  <c r="BE164" i="11"/>
  <c r="AY164" i="11"/>
  <c r="AY165" i="11"/>
  <c r="AR184" i="11"/>
  <c r="AG164" i="11"/>
  <c r="AG165" i="11"/>
  <c r="H169" i="11"/>
  <c r="X164" i="11"/>
  <c r="X165" i="11"/>
  <c r="Q129" i="11"/>
  <c r="T179" i="11"/>
  <c r="T180" i="11"/>
  <c r="AQ159" i="11"/>
  <c r="BA154" i="11"/>
  <c r="BA156" i="11"/>
  <c r="AT154" i="11"/>
  <c r="AT155" i="11"/>
  <c r="AE139" i="11"/>
  <c r="AE140" i="11"/>
  <c r="AD159" i="11"/>
  <c r="W129" i="11"/>
  <c r="W131" i="11"/>
  <c r="F209" i="11"/>
  <c r="F211" i="11"/>
  <c r="C99" i="11"/>
  <c r="C100" i="11"/>
  <c r="C189" i="11"/>
  <c r="C84" i="11"/>
  <c r="C85" i="11"/>
  <c r="J179" i="11"/>
  <c r="J181" i="11"/>
  <c r="P184" i="11"/>
  <c r="P185" i="11"/>
  <c r="S169" i="11"/>
  <c r="AB159" i="11"/>
  <c r="AB161" i="11"/>
  <c r="BB154" i="11"/>
  <c r="BB156" i="11"/>
  <c r="AX154" i="11"/>
  <c r="AX155" i="11"/>
  <c r="AR179" i="11"/>
  <c r="AR181" i="11"/>
  <c r="AD169" i="11"/>
  <c r="AD170" i="11"/>
  <c r="W184" i="11"/>
  <c r="B194" i="11"/>
  <c r="B196" i="11"/>
  <c r="B189" i="11"/>
  <c r="B191" i="11"/>
  <c r="AC169" i="11"/>
  <c r="AT164" i="11"/>
  <c r="AT165" i="11"/>
  <c r="BB179" i="11"/>
  <c r="BB181" i="11"/>
  <c r="U129" i="11"/>
  <c r="U130" i="11"/>
  <c r="F164" i="11"/>
  <c r="AH169" i="11"/>
  <c r="AH170" i="11"/>
  <c r="AM159" i="11"/>
  <c r="AM161" i="11"/>
  <c r="AS184" i="11"/>
  <c r="AS185" i="11"/>
  <c r="AI164" i="11"/>
  <c r="AI166" i="11"/>
  <c r="AM169" i="11"/>
  <c r="AW154" i="11"/>
  <c r="AW155" i="11"/>
  <c r="AL169" i="11"/>
  <c r="AL170" i="11"/>
  <c r="AS179" i="11"/>
  <c r="AS180" i="11"/>
  <c r="AA129" i="11"/>
  <c r="AA130" i="11"/>
  <c r="AU179" i="11"/>
  <c r="AU181" i="11"/>
  <c r="AM184" i="11"/>
  <c r="AM185" i="11"/>
  <c r="BF164" i="11"/>
  <c r="BF166" i="11"/>
  <c r="BG164" i="11"/>
  <c r="BG166" i="11"/>
  <c r="BG179" i="11"/>
  <c r="BG180" i="11"/>
  <c r="BG184" i="11"/>
  <c r="BG186" i="11"/>
  <c r="BH169" i="11"/>
  <c r="BH170" i="11"/>
  <c r="BM159" i="11"/>
  <c r="BM160" i="11"/>
  <c r="BQ154" i="11"/>
  <c r="BQ155" i="11"/>
  <c r="BT154" i="11"/>
  <c r="BT155" i="11"/>
  <c r="BV154" i="11"/>
  <c r="BX154" i="11"/>
  <c r="BX156" i="11"/>
  <c r="AP154" i="11"/>
  <c r="AP156" i="11"/>
  <c r="AW179" i="11"/>
  <c r="U194" i="7"/>
  <c r="U195" i="7"/>
  <c r="V179" i="7"/>
  <c r="V181" i="7"/>
  <c r="AP149" i="7"/>
  <c r="AP150" i="7"/>
  <c r="M184" i="11"/>
  <c r="BA164" i="11"/>
  <c r="BA166" i="11"/>
  <c r="D159" i="7"/>
  <c r="D160" i="7"/>
  <c r="BP149" i="7"/>
  <c r="BP151" i="7"/>
  <c r="AQ179" i="11"/>
  <c r="AQ181" i="11"/>
  <c r="I154" i="11"/>
  <c r="I155" i="11"/>
  <c r="F169" i="11"/>
  <c r="F170" i="11"/>
  <c r="AT169" i="11"/>
  <c r="Q194" i="11"/>
  <c r="Q195" i="11"/>
  <c r="AJ164" i="11"/>
  <c r="AJ166" i="11"/>
  <c r="O179" i="11"/>
  <c r="O181" i="11"/>
  <c r="J164" i="11"/>
  <c r="J166" i="11"/>
  <c r="M189" i="11"/>
  <c r="O189" i="7"/>
  <c r="O190" i="7"/>
  <c r="AH184" i="11"/>
  <c r="AH186" i="11"/>
  <c r="AL154" i="11"/>
  <c r="BC189" i="7"/>
  <c r="AA139" i="11"/>
  <c r="AA140" i="11"/>
  <c r="AS154" i="11"/>
  <c r="AU154" i="11"/>
  <c r="AU156" i="11"/>
  <c r="AI144" i="11"/>
  <c r="AI146" i="11"/>
  <c r="AA189" i="7"/>
  <c r="AA154" i="11"/>
  <c r="AA155" i="11"/>
  <c r="AI179" i="11"/>
  <c r="X189" i="7"/>
  <c r="X190" i="7"/>
  <c r="M189" i="7"/>
  <c r="AP179" i="11"/>
  <c r="AP181" i="11"/>
  <c r="AB169" i="11"/>
  <c r="AR169" i="11"/>
  <c r="AR170" i="11"/>
  <c r="I164" i="7"/>
  <c r="I166" i="7"/>
  <c r="AG169" i="11"/>
  <c r="U184" i="11"/>
  <c r="U185" i="11"/>
  <c r="AC164" i="11"/>
  <c r="AC165" i="11"/>
  <c r="BA184" i="11"/>
  <c r="X139" i="11"/>
  <c r="X141" i="11"/>
  <c r="AY179" i="11"/>
  <c r="AY181" i="11"/>
  <c r="U209" i="11"/>
  <c r="U210" i="11"/>
  <c r="O209" i="11"/>
  <c r="I164" i="11"/>
  <c r="I166" i="11"/>
  <c r="AU189" i="7"/>
  <c r="AU191" i="7"/>
  <c r="BZ184" i="11"/>
  <c r="BW184" i="11"/>
  <c r="BW186" i="11"/>
  <c r="C99" i="7"/>
  <c r="C100" i="7"/>
  <c r="C101" i="7"/>
  <c r="C102" i="7"/>
  <c r="BO184" i="11"/>
  <c r="BO185" i="11"/>
  <c r="M184" i="7"/>
  <c r="M185" i="7"/>
  <c r="BK184" i="11"/>
  <c r="BK185" i="11"/>
  <c r="C179" i="7"/>
  <c r="AC189" i="7"/>
  <c r="AC191" i="7"/>
  <c r="AW149" i="7"/>
  <c r="L4" i="7"/>
  <c r="N4" i="7"/>
  <c r="B189" i="7"/>
  <c r="B190" i="7"/>
  <c r="G149" i="7"/>
  <c r="G150" i="7"/>
  <c r="Z149" i="7"/>
  <c r="Z150" i="7"/>
  <c r="S149" i="7"/>
  <c r="S150" i="7"/>
  <c r="B184" i="7"/>
  <c r="B186" i="7"/>
  <c r="F204" i="7"/>
  <c r="I149" i="7"/>
  <c r="I151" i="7"/>
  <c r="H149" i="7"/>
  <c r="H151" i="7"/>
  <c r="S179" i="7"/>
  <c r="X169" i="7"/>
  <c r="X170" i="7"/>
  <c r="O179" i="7"/>
  <c r="O180" i="7"/>
  <c r="AH149" i="7"/>
  <c r="AT149" i="7"/>
  <c r="AT150" i="7"/>
  <c r="BK149" i="7"/>
  <c r="BB189" i="7"/>
  <c r="BB190" i="7"/>
  <c r="D149" i="7"/>
  <c r="D151" i="7"/>
  <c r="F164" i="7"/>
  <c r="F166" i="7"/>
  <c r="P179" i="7"/>
  <c r="P181" i="7"/>
  <c r="R194" i="7"/>
  <c r="X149" i="7"/>
  <c r="X150" i="7"/>
  <c r="E204" i="7"/>
  <c r="BI149" i="7"/>
  <c r="BI150" i="7"/>
  <c r="AK149" i="7"/>
  <c r="AK151" i="7"/>
  <c r="C209" i="7"/>
  <c r="C211" i="7"/>
  <c r="B99" i="7"/>
  <c r="B100" i="7"/>
  <c r="L6" i="11"/>
  <c r="M6" i="11"/>
  <c r="O6" i="11"/>
  <c r="D164" i="11"/>
  <c r="B199" i="11"/>
  <c r="B201" i="11"/>
  <c r="AD164" i="11"/>
  <c r="AZ179" i="11"/>
  <c r="AZ180" i="11"/>
  <c r="E159" i="11"/>
  <c r="E160" i="11"/>
  <c r="B159" i="11"/>
  <c r="B160" i="11"/>
  <c r="AN159" i="11"/>
  <c r="AN160" i="11"/>
  <c r="AA184" i="11"/>
  <c r="AA186" i="11"/>
  <c r="G139" i="11"/>
  <c r="E184" i="11"/>
  <c r="E185" i="11"/>
  <c r="E209" i="11"/>
  <c r="E211" i="11"/>
  <c r="G184" i="11"/>
  <c r="G186" i="11"/>
  <c r="M179" i="11"/>
  <c r="M169" i="11"/>
  <c r="M170" i="11"/>
  <c r="AP169" i="11"/>
  <c r="AP171" i="11"/>
  <c r="G209" i="11"/>
  <c r="G211" i="11"/>
  <c r="H159" i="11"/>
  <c r="M174" i="11"/>
  <c r="M175" i="11"/>
  <c r="N154" i="11"/>
  <c r="O129" i="11"/>
  <c r="O130" i="11"/>
  <c r="D84" i="11"/>
  <c r="D85" i="11"/>
  <c r="D86" i="11"/>
  <c r="D87" i="11"/>
  <c r="D139" i="11"/>
  <c r="D140" i="11"/>
  <c r="D189" i="11"/>
  <c r="G114" i="11"/>
  <c r="G115" i="11"/>
  <c r="G116" i="11"/>
  <c r="G117" i="11"/>
  <c r="I194" i="11"/>
  <c r="I144" i="11"/>
  <c r="I145" i="11"/>
  <c r="J169" i="11"/>
  <c r="J154" i="11"/>
  <c r="J156" i="11"/>
  <c r="K169" i="11"/>
  <c r="O144" i="11"/>
  <c r="O145" i="11"/>
  <c r="V164" i="11"/>
  <c r="V165" i="11"/>
  <c r="Y154" i="11"/>
  <c r="Y155" i="11"/>
  <c r="Z159" i="11"/>
  <c r="Z161" i="11"/>
  <c r="L189" i="11"/>
  <c r="L190" i="11"/>
  <c r="G129" i="11"/>
  <c r="N164" i="11"/>
  <c r="N165" i="11"/>
  <c r="O174" i="11"/>
  <c r="O175" i="11"/>
  <c r="G159" i="11"/>
  <c r="G160" i="11"/>
  <c r="J174" i="11"/>
  <c r="J176" i="11"/>
  <c r="K184" i="11"/>
  <c r="K186" i="11"/>
  <c r="V169" i="11"/>
  <c r="V171" i="11"/>
  <c r="Y129" i="11"/>
  <c r="Y131" i="11"/>
  <c r="L139" i="11"/>
  <c r="P179" i="11"/>
  <c r="P180" i="11"/>
  <c r="P174" i="11"/>
  <c r="P176" i="11"/>
  <c r="Q184" i="11"/>
  <c r="R154" i="11"/>
  <c r="R155" i="11"/>
  <c r="S179" i="11"/>
  <c r="T129" i="11"/>
  <c r="T131" i="11"/>
  <c r="U139" i="11"/>
  <c r="AB144" i="11"/>
  <c r="AB146" i="11"/>
  <c r="AB164" i="11"/>
  <c r="AF159" i="11"/>
  <c r="AF160" i="11"/>
  <c r="AJ154" i="11"/>
  <c r="AJ156" i="11"/>
  <c r="AO144" i="11"/>
  <c r="AO145" i="11"/>
  <c r="AQ164" i="11"/>
  <c r="BQ198" i="6"/>
  <c r="BQ200" i="6"/>
  <c r="BI193" i="6"/>
  <c r="BI195" i="6"/>
  <c r="CA198" i="6"/>
  <c r="CA200" i="6"/>
  <c r="M168" i="6"/>
  <c r="M170" i="6"/>
  <c r="B173" i="6"/>
  <c r="B175" i="6"/>
  <c r="BC193" i="6"/>
  <c r="AQ203" i="6"/>
  <c r="AQ205" i="6"/>
  <c r="AT198" i="6"/>
  <c r="AT199" i="6"/>
  <c r="X168" i="6"/>
  <c r="X170" i="6"/>
  <c r="BW168" i="6"/>
  <c r="AS168" i="6"/>
  <c r="AS170" i="6"/>
  <c r="AC193" i="6"/>
  <c r="AC195" i="6"/>
  <c r="BA168" i="6"/>
  <c r="BA170" i="6"/>
  <c r="AS198" i="6"/>
  <c r="G183" i="6"/>
  <c r="G184" i="6"/>
  <c r="AU178" i="6"/>
  <c r="BX208" i="6"/>
  <c r="BX209" i="6"/>
  <c r="BN203" i="6"/>
  <c r="BN205" i="6"/>
  <c r="BG168" i="6"/>
  <c r="BG170" i="6"/>
  <c r="T198" i="6"/>
  <c r="T200" i="6"/>
  <c r="BR203" i="6"/>
  <c r="I198" i="6"/>
  <c r="I200" i="6"/>
  <c r="AT178" i="6"/>
  <c r="AT180" i="6"/>
  <c r="BZ168" i="6"/>
  <c r="BZ169" i="6"/>
  <c r="X208" i="6"/>
  <c r="V173" i="6"/>
  <c r="AJ203" i="6"/>
  <c r="AJ204" i="6"/>
  <c r="AB198" i="6"/>
  <c r="AB200" i="6"/>
  <c r="BK208" i="6"/>
  <c r="BK210" i="6"/>
  <c r="W168" i="6"/>
  <c r="BO198" i="6"/>
  <c r="BO200" i="6"/>
  <c r="AG173" i="6"/>
  <c r="AG175" i="6"/>
  <c r="AS178" i="6"/>
  <c r="D173" i="6"/>
  <c r="BG198" i="6"/>
  <c r="BG199" i="6"/>
  <c r="AE183" i="6"/>
  <c r="AE185" i="6"/>
  <c r="BX178" i="6"/>
  <c r="BX180" i="6"/>
  <c r="O183" i="6"/>
  <c r="BL188" i="6"/>
  <c r="BL189" i="6"/>
  <c r="BA188" i="6"/>
  <c r="U198" i="6"/>
  <c r="U200" i="6"/>
  <c r="I178" i="6"/>
  <c r="J198" i="6"/>
  <c r="J200" i="6"/>
  <c r="BS198" i="6"/>
  <c r="BS199" i="6"/>
  <c r="BM173" i="6"/>
  <c r="BM175" i="6"/>
  <c r="F179" i="22"/>
  <c r="F180" i="22"/>
  <c r="H193" i="6"/>
  <c r="AI203" i="6"/>
  <c r="AI204" i="6"/>
  <c r="CB193" i="6"/>
  <c r="AH203" i="6"/>
  <c r="AH204" i="6"/>
  <c r="AL208" i="6"/>
  <c r="AL210" i="6"/>
  <c r="BS178" i="6"/>
  <c r="BS180" i="6"/>
  <c r="BE168" i="6"/>
  <c r="AK188" i="6"/>
  <c r="AK189" i="6"/>
  <c r="AC168" i="6"/>
  <c r="AC169" i="6"/>
  <c r="F178" i="6"/>
  <c r="F179" i="6"/>
  <c r="O173" i="6"/>
  <c r="O175" i="6"/>
  <c r="AX188" i="6"/>
  <c r="AX190" i="6"/>
  <c r="CB178" i="6"/>
  <c r="CB179" i="6"/>
  <c r="BA203" i="6"/>
  <c r="L208" i="6"/>
  <c r="L209" i="6"/>
  <c r="AD188" i="6"/>
  <c r="AD189" i="6"/>
  <c r="AN168" i="6"/>
  <c r="BL168" i="6"/>
  <c r="BL169" i="6"/>
  <c r="BH173" i="6"/>
  <c r="E208" i="6"/>
  <c r="E209" i="6"/>
  <c r="AP173" i="6"/>
  <c r="AP175" i="6"/>
  <c r="BQ183" i="6"/>
  <c r="BQ184" i="6"/>
  <c r="BM188" i="6"/>
  <c r="BM190" i="6"/>
  <c r="AW203" i="6"/>
  <c r="AW204" i="6"/>
  <c r="AI183" i="6"/>
  <c r="AI184" i="6"/>
  <c r="E203" i="6"/>
  <c r="M183" i="6"/>
  <c r="M185" i="6"/>
  <c r="BO178" i="6"/>
  <c r="BO179" i="6"/>
  <c r="J178" i="6"/>
  <c r="J180" i="6"/>
  <c r="AB203" i="6"/>
  <c r="X188" i="6"/>
  <c r="X189" i="6"/>
  <c r="BD198" i="6"/>
  <c r="BD199" i="6"/>
  <c r="AB168" i="6"/>
  <c r="AB169" i="6"/>
  <c r="G203" i="6"/>
  <c r="B149" i="22"/>
  <c r="B150" i="22"/>
  <c r="B151" i="22"/>
  <c r="B152" i="22"/>
  <c r="X149" i="10"/>
  <c r="X150" i="10"/>
  <c r="V209" i="10"/>
  <c r="V211" i="10"/>
  <c r="AA203" i="6"/>
  <c r="P183" i="6"/>
  <c r="P184" i="6"/>
  <c r="X193" i="6"/>
  <c r="X194" i="6"/>
  <c r="AR198" i="6"/>
  <c r="BG193" i="6"/>
  <c r="BR183" i="6"/>
  <c r="AP203" i="6"/>
  <c r="AP204" i="6"/>
  <c r="C188" i="6"/>
  <c r="C189" i="6"/>
  <c r="AL193" i="6"/>
  <c r="AL195" i="6"/>
  <c r="BG173" i="6"/>
  <c r="BG174" i="6"/>
  <c r="BV173" i="6"/>
  <c r="BV175" i="6"/>
  <c r="BI188" i="6"/>
  <c r="AY173" i="6"/>
  <c r="AP198" i="6"/>
  <c r="Y198" i="6"/>
  <c r="Y200" i="6"/>
  <c r="AD193" i="6"/>
  <c r="AD195" i="6"/>
  <c r="M193" i="6"/>
  <c r="U203" i="6"/>
  <c r="U204" i="6"/>
  <c r="CA183" i="6"/>
  <c r="CA184" i="6"/>
  <c r="P198" i="6"/>
  <c r="P199" i="6"/>
  <c r="AO193" i="6"/>
  <c r="BY188" i="6"/>
  <c r="BF193" i="6"/>
  <c r="BF194" i="6"/>
  <c r="Y193" i="6"/>
  <c r="BJ178" i="6"/>
  <c r="BJ179" i="6"/>
  <c r="AU183" i="6"/>
  <c r="AU184" i="6"/>
  <c r="BS173" i="6"/>
  <c r="BS174" i="6"/>
  <c r="F188" i="6"/>
  <c r="F190" i="6"/>
  <c r="AE208" i="6"/>
  <c r="S188" i="6"/>
  <c r="S190" i="6"/>
  <c r="AK173" i="6"/>
  <c r="AK175" i="6"/>
  <c r="AW178" i="6"/>
  <c r="BJ173" i="6"/>
  <c r="BJ175" i="6"/>
  <c r="CB208" i="6"/>
  <c r="CB209" i="6"/>
  <c r="BA193" i="6"/>
  <c r="BA195" i="6"/>
  <c r="S193" i="6"/>
  <c r="S194" i="6"/>
  <c r="I193" i="6"/>
  <c r="I194" i="6"/>
  <c r="AH188" i="6"/>
  <c r="AH190" i="6"/>
  <c r="AX203" i="6"/>
  <c r="AX204" i="6"/>
  <c r="BW208" i="6"/>
  <c r="BW209" i="6"/>
  <c r="BX203" i="6"/>
  <c r="BX205" i="6"/>
  <c r="BK193" i="6"/>
  <c r="BK194" i="6"/>
  <c r="BC203" i="6"/>
  <c r="BC204" i="6"/>
  <c r="AU198" i="6"/>
  <c r="AU200" i="6"/>
  <c r="AM173" i="6"/>
  <c r="AM175" i="6"/>
  <c r="AB173" i="6"/>
  <c r="AB174" i="6"/>
  <c r="M198" i="6"/>
  <c r="M199" i="6"/>
  <c r="AH208" i="6"/>
  <c r="AH210" i="6"/>
  <c r="P188" i="6"/>
  <c r="P190" i="6"/>
  <c r="K208" i="6"/>
  <c r="K209" i="6"/>
  <c r="BX198" i="6"/>
  <c r="BX199" i="6"/>
  <c r="S173" i="6"/>
  <c r="S174" i="6"/>
  <c r="M173" i="6"/>
  <c r="E188" i="6"/>
  <c r="AF203" i="6"/>
  <c r="AF204" i="6"/>
  <c r="BO193" i="6"/>
  <c r="BO195" i="6"/>
  <c r="AG178" i="6"/>
  <c r="P178" i="6"/>
  <c r="U178" i="6"/>
  <c r="U180" i="6"/>
  <c r="AI198" i="6"/>
  <c r="AI199" i="6"/>
  <c r="BL203" i="6"/>
  <c r="BL204" i="6"/>
  <c r="L5" i="6"/>
  <c r="M5" i="6"/>
  <c r="O5" i="6"/>
  <c r="Z149" i="10"/>
  <c r="Z150" i="10"/>
  <c r="U149" i="10"/>
  <c r="U151" i="10"/>
  <c r="AN198" i="6"/>
  <c r="BX183" i="6"/>
  <c r="AL178" i="6"/>
  <c r="AL179" i="6"/>
  <c r="I168" i="6"/>
  <c r="L188" i="6"/>
  <c r="Z188" i="6"/>
  <c r="C193" i="6"/>
  <c r="C195" i="6"/>
  <c r="AB208" i="6"/>
  <c r="AB210" i="6"/>
  <c r="AG198" i="6"/>
  <c r="AG200" i="6"/>
  <c r="AM168" i="6"/>
  <c r="AM170" i="6"/>
  <c r="AS193" i="6"/>
  <c r="AS195" i="6"/>
  <c r="AX173" i="6"/>
  <c r="AX174" i="6"/>
  <c r="BE178" i="6"/>
  <c r="BE179" i="6"/>
  <c r="BK173" i="6"/>
  <c r="BZ178" i="6"/>
  <c r="BZ180" i="6"/>
  <c r="BS168" i="6"/>
  <c r="BL193" i="6"/>
  <c r="BL195" i="6"/>
  <c r="BG208" i="6"/>
  <c r="AJ173" i="6"/>
  <c r="AJ174" i="6"/>
  <c r="H198" i="6"/>
  <c r="H199" i="6"/>
  <c r="C208" i="6"/>
  <c r="M178" i="6"/>
  <c r="M179" i="6"/>
  <c r="AA198" i="6"/>
  <c r="AA199" i="6"/>
  <c r="AK168" i="6"/>
  <c r="AK169" i="6"/>
  <c r="AR203" i="6"/>
  <c r="AZ188" i="6"/>
  <c r="AZ189" i="6"/>
  <c r="BI183" i="6"/>
  <c r="BI185" i="6"/>
  <c r="BP183" i="6"/>
  <c r="BP185" i="6"/>
  <c r="BT183" i="6"/>
  <c r="BZ203" i="6"/>
  <c r="BN168" i="6"/>
  <c r="BN169" i="6"/>
  <c r="BJ188" i="6"/>
  <c r="BJ189" i="6"/>
  <c r="BF188" i="6"/>
  <c r="BF190" i="6"/>
  <c r="BB193" i="6"/>
  <c r="AX193" i="6"/>
  <c r="AX194" i="6"/>
  <c r="AT193" i="6"/>
  <c r="AT194" i="6"/>
  <c r="AP168" i="6"/>
  <c r="AP170" i="6"/>
  <c r="AL203" i="6"/>
  <c r="AL205" i="6"/>
  <c r="AH183" i="6"/>
  <c r="AH185" i="6"/>
  <c r="AI208" i="6"/>
  <c r="T178" i="6"/>
  <c r="T180" i="6"/>
  <c r="G178" i="6"/>
  <c r="AK208" i="6"/>
  <c r="AK210" i="6"/>
  <c r="Z198" i="6"/>
  <c r="Z200" i="6"/>
  <c r="R168" i="6"/>
  <c r="R169" i="6"/>
  <c r="O178" i="6"/>
  <c r="E183" i="6"/>
  <c r="E185" i="6"/>
  <c r="AJ178" i="6"/>
  <c r="AJ179" i="6"/>
  <c r="AK183" i="6"/>
  <c r="AK184" i="6"/>
  <c r="BZ208" i="6"/>
  <c r="W193" i="6"/>
  <c r="W194" i="6"/>
  <c r="Q168" i="6"/>
  <c r="Q170" i="6"/>
  <c r="G188" i="6"/>
  <c r="G189" i="6"/>
  <c r="L168" i="6"/>
  <c r="E178" i="6"/>
  <c r="E180" i="6"/>
  <c r="B168" i="6"/>
  <c r="B170" i="6"/>
  <c r="BB178" i="6"/>
  <c r="BB179" i="6"/>
  <c r="BE183" i="6"/>
  <c r="BX193" i="6"/>
  <c r="BX194" i="6"/>
  <c r="AH193" i="6"/>
  <c r="AH194" i="6"/>
  <c r="BJ183" i="6"/>
  <c r="BJ184" i="6"/>
  <c r="Z168" i="6"/>
  <c r="Z170" i="6"/>
  <c r="AZ178" i="6"/>
  <c r="AZ179" i="6"/>
  <c r="AE193" i="6"/>
  <c r="BG188" i="6"/>
  <c r="AU193" i="6"/>
  <c r="BE188" i="6"/>
  <c r="BE190" i="6"/>
  <c r="T188" i="6"/>
  <c r="T190" i="6"/>
  <c r="CA193" i="6"/>
  <c r="AB178" i="6"/>
  <c r="Q188" i="6"/>
  <c r="Q190" i="6"/>
  <c r="BG178" i="6"/>
  <c r="AY168" i="6"/>
  <c r="E173" i="6"/>
  <c r="O168" i="6"/>
  <c r="O169" i="6"/>
  <c r="V193" i="6"/>
  <c r="V194" i="6"/>
  <c r="AC198" i="6"/>
  <c r="AC199" i="6"/>
  <c r="T208" i="6"/>
  <c r="AA178" i="6"/>
  <c r="AA179" i="6"/>
  <c r="AJ193" i="6"/>
  <c r="AJ195" i="6"/>
  <c r="AP193" i="6"/>
  <c r="AP195" i="6"/>
  <c r="BD208" i="6"/>
  <c r="BB203" i="6"/>
  <c r="BB204" i="6"/>
  <c r="BH203" i="6"/>
  <c r="BH204" i="6"/>
  <c r="BO188" i="6"/>
  <c r="BV188" i="6"/>
  <c r="BQ203" i="6"/>
  <c r="BQ205" i="6"/>
  <c r="BD193" i="6"/>
  <c r="AR193" i="6"/>
  <c r="AD203" i="6"/>
  <c r="B111" i="1"/>
  <c r="B112" i="1"/>
  <c r="B203" i="6"/>
  <c r="B204" i="6"/>
  <c r="V203" i="6"/>
  <c r="AG183" i="6"/>
  <c r="AM188" i="6"/>
  <c r="AM190" i="6"/>
  <c r="AW188" i="6"/>
  <c r="BD178" i="6"/>
  <c r="BD179" i="6"/>
  <c r="BM183" i="6"/>
  <c r="BM185" i="6"/>
  <c r="BS183" i="6"/>
  <c r="BS185" i="6"/>
  <c r="BW193" i="6"/>
  <c r="CA188" i="6"/>
  <c r="CA189" i="6"/>
  <c r="BL198" i="6"/>
  <c r="BH193" i="6"/>
  <c r="BH194" i="6"/>
  <c r="BD183" i="6"/>
  <c r="BD185" i="6"/>
  <c r="AZ173" i="6"/>
  <c r="AZ175" i="6"/>
  <c r="AV183" i="6"/>
  <c r="AR173" i="6"/>
  <c r="AR174" i="6"/>
  <c r="AN188" i="6"/>
  <c r="AN190" i="6"/>
  <c r="AJ188" i="6"/>
  <c r="AJ190" i="6"/>
  <c r="AF168" i="6"/>
  <c r="AF169" i="6"/>
  <c r="W203" i="6"/>
  <c r="W205" i="6"/>
  <c r="N183" i="6"/>
  <c r="N185" i="6"/>
  <c r="AF178" i="6"/>
  <c r="AF180" i="6"/>
  <c r="AA168" i="6"/>
  <c r="AA169" i="6"/>
  <c r="V178" i="6"/>
  <c r="V180" i="6"/>
  <c r="K198" i="6"/>
  <c r="K199" i="6"/>
  <c r="J168" i="6"/>
  <c r="J169" i="6"/>
  <c r="D188" i="6"/>
  <c r="L173" i="6"/>
  <c r="L174" i="6"/>
  <c r="BZ183" i="6"/>
  <c r="BS193" i="6"/>
  <c r="BS195" i="6"/>
  <c r="U173" i="6"/>
  <c r="U175" i="6"/>
  <c r="R208" i="6"/>
  <c r="R209" i="6"/>
  <c r="O198" i="6"/>
  <c r="O200" i="6"/>
  <c r="Q208" i="6"/>
  <c r="Q210" i="6"/>
  <c r="F183" i="6"/>
  <c r="F184" i="6"/>
  <c r="AK203" i="6"/>
  <c r="AK205" i="6"/>
  <c r="AV198" i="6"/>
  <c r="AV200" i="6"/>
  <c r="BY183" i="6"/>
  <c r="BQ168" i="6"/>
  <c r="BQ170" i="6"/>
  <c r="BP168" i="6"/>
  <c r="BP170" i="6"/>
  <c r="AW183" i="6"/>
  <c r="AW184" i="6"/>
  <c r="BO208" i="6"/>
  <c r="B188" i="6"/>
  <c r="AT173" i="6"/>
  <c r="AT174" i="6"/>
  <c r="AS188" i="6"/>
  <c r="BS203" i="6"/>
  <c r="AN173" i="6"/>
  <c r="AN174" i="6"/>
  <c r="J193" i="6"/>
  <c r="J195" i="6"/>
  <c r="AB193" i="6"/>
  <c r="AB194" i="6"/>
  <c r="AG168" i="6"/>
  <c r="AG169" i="6"/>
  <c r="T84" i="22"/>
  <c r="Q174" i="22"/>
  <c r="Q175" i="22"/>
  <c r="D149" i="10"/>
  <c r="S144" i="10"/>
  <c r="S146" i="10"/>
  <c r="T154" i="10"/>
  <c r="T155" i="10"/>
  <c r="S204" i="10"/>
  <c r="S205" i="10"/>
  <c r="AI200" i="6"/>
  <c r="AI201" i="6"/>
  <c r="AI238" i="6"/>
  <c r="U159" i="22"/>
  <c r="U160" i="22"/>
  <c r="O209" i="10"/>
  <c r="O211" i="10"/>
  <c r="G169" i="10"/>
  <c r="G171" i="10"/>
  <c r="F154" i="10"/>
  <c r="F156" i="10"/>
  <c r="C144" i="10"/>
  <c r="C174" i="10"/>
  <c r="BP198" i="6"/>
  <c r="BP200" i="6"/>
  <c r="P203" i="6"/>
  <c r="P205" i="6"/>
  <c r="B98" i="6"/>
  <c r="B99" i="6"/>
  <c r="H188" i="6"/>
  <c r="H190" i="6"/>
  <c r="Q193" i="6"/>
  <c r="Q194" i="6"/>
  <c r="T203" i="6"/>
  <c r="T205" i="6"/>
  <c r="AA183" i="6"/>
  <c r="AE178" i="6"/>
  <c r="Q203" i="6"/>
  <c r="Q204" i="6"/>
  <c r="AG208" i="6"/>
  <c r="AG209" i="6"/>
  <c r="AO208" i="6"/>
  <c r="AO210" i="6"/>
  <c r="AT208" i="6"/>
  <c r="AQ168" i="6"/>
  <c r="AQ169" i="6"/>
  <c r="AU203" i="6"/>
  <c r="AU204" i="6"/>
  <c r="AZ198" i="6"/>
  <c r="AZ199" i="6"/>
  <c r="BD188" i="6"/>
  <c r="BD189" i="6"/>
  <c r="BP208" i="6"/>
  <c r="BP209" i="6"/>
  <c r="BN173" i="6"/>
  <c r="BN175" i="6"/>
  <c r="BY193" i="6"/>
  <c r="BU188" i="6"/>
  <c r="BO173" i="6"/>
  <c r="BO175" i="6"/>
  <c r="BF173" i="6"/>
  <c r="BF174" i="6"/>
  <c r="AX178" i="6"/>
  <c r="AX179" i="6"/>
  <c r="AL183" i="6"/>
  <c r="Z183" i="6"/>
  <c r="Z184" i="6"/>
  <c r="C198" i="6"/>
  <c r="C199" i="6"/>
  <c r="F208" i="6"/>
  <c r="F210" i="6"/>
  <c r="B183" i="6"/>
  <c r="T173" i="6"/>
  <c r="T174" i="6"/>
  <c r="AC178" i="6"/>
  <c r="AC179" i="6"/>
  <c r="AI168" i="6"/>
  <c r="AI170" i="6"/>
  <c r="AO168" i="6"/>
  <c r="AT168" i="6"/>
  <c r="AT170" i="6"/>
  <c r="BI208" i="6"/>
  <c r="BI210" i="6"/>
  <c r="BH168" i="6"/>
  <c r="BH169" i="6"/>
  <c r="BN198" i="6"/>
  <c r="BN200" i="6"/>
  <c r="BR178" i="6"/>
  <c r="BR179" i="6"/>
  <c r="BU198" i="6"/>
  <c r="BU199" i="6"/>
  <c r="BX173" i="6"/>
  <c r="BX175" i="6"/>
  <c r="CB198" i="6"/>
  <c r="BT208" i="6"/>
  <c r="BT210" i="6"/>
  <c r="BJ193" i="6"/>
  <c r="BJ194" i="6"/>
  <c r="BN208" i="6"/>
  <c r="BN210" i="6"/>
  <c r="BD173" i="6"/>
  <c r="BH208" i="6"/>
  <c r="BH209" i="6"/>
  <c r="AW168" i="6"/>
  <c r="AW169" i="6"/>
  <c r="AU168" i="6"/>
  <c r="AR178" i="6"/>
  <c r="AN178" i="6"/>
  <c r="AN180" i="6"/>
  <c r="AS208" i="6"/>
  <c r="AS210" i="6"/>
  <c r="AI173" i="6"/>
  <c r="AD183" i="6"/>
  <c r="AD185" i="6"/>
  <c r="X203" i="6"/>
  <c r="X204" i="6"/>
  <c r="S198" i="6"/>
  <c r="S200" i="6"/>
  <c r="H178" i="6"/>
  <c r="AE173" i="6"/>
  <c r="AE174" i="6"/>
  <c r="AB183" i="6"/>
  <c r="AB184" i="6"/>
  <c r="Y173" i="6"/>
  <c r="Y174" i="6"/>
  <c r="Z208" i="6"/>
  <c r="Z209" i="6"/>
  <c r="I188" i="6"/>
  <c r="S208" i="6"/>
  <c r="S210" i="6"/>
  <c r="C173" i="6"/>
  <c r="AR188" i="6"/>
  <c r="AR190" i="6"/>
  <c r="AW193" i="6"/>
  <c r="AW195" i="6"/>
  <c r="BR173" i="6"/>
  <c r="BR174" i="6"/>
  <c r="BQ178" i="6"/>
  <c r="W188" i="6"/>
  <c r="S203" i="6"/>
  <c r="N193" i="6"/>
  <c r="N195" i="6"/>
  <c r="Q178" i="6"/>
  <c r="M203" i="6"/>
  <c r="M204" i="6"/>
  <c r="I183" i="6"/>
  <c r="F173" i="6"/>
  <c r="F175" i="6"/>
  <c r="C203" i="6"/>
  <c r="Y183" i="6"/>
  <c r="Y184" i="6"/>
  <c r="AQ208" i="6"/>
  <c r="AQ209" i="6"/>
  <c r="BU203" i="6"/>
  <c r="BU204" i="6"/>
  <c r="BW188" i="6"/>
  <c r="BW190" i="6"/>
  <c r="AX183" i="6"/>
  <c r="AX184" i="6"/>
  <c r="BL183" i="6"/>
  <c r="BF203" i="6"/>
  <c r="BF204" i="6"/>
  <c r="BU183" i="6"/>
  <c r="BU184" i="6"/>
  <c r="AV208" i="6"/>
  <c r="I173" i="6"/>
  <c r="I175" i="6"/>
  <c r="AJ198" i="6"/>
  <c r="AJ199" i="6"/>
  <c r="BV183" i="6"/>
  <c r="BV184" i="6"/>
  <c r="AI178" i="6"/>
  <c r="BY198" i="6"/>
  <c r="AQ198" i="6"/>
  <c r="AQ200" i="6"/>
  <c r="F203" i="6"/>
  <c r="F204" i="6"/>
  <c r="S183" i="6"/>
  <c r="AR183" i="6"/>
  <c r="U188" i="6"/>
  <c r="U190" i="6"/>
  <c r="L8" i="6"/>
  <c r="M8" i="6"/>
  <c r="O8" i="6"/>
  <c r="BB183" i="6"/>
  <c r="BB184" i="6"/>
  <c r="BC183" i="6"/>
  <c r="BC184" i="6"/>
  <c r="S178" i="6"/>
  <c r="S179" i="6"/>
  <c r="BT193" i="6"/>
  <c r="BT194" i="6"/>
  <c r="X198" i="6"/>
  <c r="X200" i="6"/>
  <c r="Z193" i="6"/>
  <c r="AV168" i="6"/>
  <c r="AV169" i="6"/>
  <c r="BO183" i="6"/>
  <c r="BO184" i="6"/>
  <c r="BE193" i="6"/>
  <c r="G208" i="6"/>
  <c r="G209" i="6"/>
  <c r="BK203" i="6"/>
  <c r="BK205" i="6"/>
  <c r="AP183" i="6"/>
  <c r="AP185" i="6"/>
  <c r="AA193" i="6"/>
  <c r="AA195" i="6"/>
  <c r="BX168" i="6"/>
  <c r="BK168" i="6"/>
  <c r="BK169" i="6"/>
  <c r="BA183" i="6"/>
  <c r="BA185" i="6"/>
  <c r="BM178" i="6"/>
  <c r="BM180" i="6"/>
  <c r="BN178" i="6"/>
  <c r="BI173" i="6"/>
  <c r="BI175" i="6"/>
  <c r="BT173" i="6"/>
  <c r="BT175" i="6"/>
  <c r="CA173" i="6"/>
  <c r="BM203" i="6"/>
  <c r="AO183" i="6"/>
  <c r="AO184" i="6"/>
  <c r="Q173" i="6"/>
  <c r="Q174" i="6"/>
  <c r="AM178" i="6"/>
  <c r="AM180" i="6"/>
  <c r="D178" i="6"/>
  <c r="B198" i="6"/>
  <c r="B200" i="6"/>
  <c r="H203" i="6"/>
  <c r="H205" i="6"/>
  <c r="K203" i="6"/>
  <c r="O203" i="6"/>
  <c r="E198" i="6"/>
  <c r="E200" i="6"/>
  <c r="K188" i="6"/>
  <c r="R178" i="6"/>
  <c r="R180" i="6"/>
  <c r="U193" i="6"/>
  <c r="U194" i="6"/>
  <c r="X183" i="6"/>
  <c r="X184" i="6"/>
  <c r="BN188" i="6"/>
  <c r="BN189" i="6"/>
  <c r="BZ173" i="6"/>
  <c r="BZ174" i="6"/>
  <c r="AV193" i="6"/>
  <c r="AV194" i="6"/>
  <c r="BE173" i="6"/>
  <c r="BE174" i="6"/>
  <c r="AN203" i="6"/>
  <c r="AN204" i="6"/>
  <c r="E168" i="6"/>
  <c r="H173" i="6"/>
  <c r="H175" i="6"/>
  <c r="L203" i="6"/>
  <c r="L205" i="6"/>
  <c r="D203" i="6"/>
  <c r="D204" i="6"/>
  <c r="Q183" i="6"/>
  <c r="Q184" i="6"/>
  <c r="U168" i="6"/>
  <c r="U170" i="6"/>
  <c r="Y203" i="6"/>
  <c r="Y204" i="6"/>
  <c r="AB188" i="6"/>
  <c r="AB190" i="6"/>
  <c r="AD168" i="6"/>
  <c r="AD170" i="6"/>
  <c r="AF188" i="6"/>
  <c r="AF190" i="6"/>
  <c r="L198" i="6"/>
  <c r="L200" i="6"/>
  <c r="R188" i="6"/>
  <c r="R189" i="6"/>
  <c r="AC208" i="6"/>
  <c r="AA173" i="6"/>
  <c r="AE198" i="6"/>
  <c r="AE200" i="6"/>
  <c r="AH168" i="6"/>
  <c r="AH170" i="6"/>
  <c r="AK178" i="6"/>
  <c r="AM198" i="6"/>
  <c r="AM199" i="6"/>
  <c r="AO173" i="6"/>
  <c r="AO174" i="6"/>
  <c r="AY208" i="6"/>
  <c r="BA208" i="6"/>
  <c r="BA209" i="6"/>
  <c r="BC208" i="6"/>
  <c r="AX168" i="6"/>
  <c r="AX170" i="6"/>
  <c r="AZ183" i="6"/>
  <c r="AZ184" i="6"/>
  <c r="BB198" i="6"/>
  <c r="BE198" i="6"/>
  <c r="BE199" i="6"/>
  <c r="BG183" i="6"/>
  <c r="BG184" i="6"/>
  <c r="BI178" i="6"/>
  <c r="BL173" i="6"/>
  <c r="BN183" i="6"/>
  <c r="CB203" i="6"/>
  <c r="CB205" i="6"/>
  <c r="BY173" i="6"/>
  <c r="BY174" i="6"/>
  <c r="BV203" i="6"/>
  <c r="BV204" i="6"/>
  <c r="BT188" i="6"/>
  <c r="BT190" i="6"/>
  <c r="BQ173" i="6"/>
  <c r="BQ174" i="6"/>
  <c r="BO203" i="6"/>
  <c r="BO205" i="6"/>
  <c r="BK183" i="6"/>
  <c r="BE203" i="6"/>
  <c r="BA173" i="6"/>
  <c r="BA174" i="6"/>
  <c r="AV203" i="6"/>
  <c r="AV204" i="6"/>
  <c r="AX208" i="6"/>
  <c r="AX210" i="6"/>
  <c r="L9" i="1"/>
  <c r="M9" i="1"/>
  <c r="O9" i="1"/>
  <c r="B131" i="1"/>
  <c r="B132" i="1"/>
  <c r="B133" i="1"/>
  <c r="B134" i="1"/>
  <c r="B231" i="1"/>
  <c r="B216" i="1"/>
  <c r="B218" i="1"/>
  <c r="L22" i="1"/>
  <c r="M22" i="1"/>
  <c r="O22" i="1"/>
  <c r="B124" i="8"/>
  <c r="B125" i="8"/>
  <c r="B88" i="6"/>
  <c r="B89" i="6"/>
  <c r="L12" i="6"/>
  <c r="N12" i="6"/>
  <c r="BJ180" i="6"/>
  <c r="BJ181" i="6"/>
  <c r="BJ234" i="6"/>
  <c r="Y204" i="10"/>
  <c r="Y205" i="10"/>
  <c r="AK84" i="22"/>
  <c r="AK85" i="22"/>
  <c r="Y154" i="10"/>
  <c r="Y155" i="10"/>
  <c r="X209" i="10"/>
  <c r="X210" i="10"/>
  <c r="Y169" i="10"/>
  <c r="Y170" i="10"/>
  <c r="T204" i="10"/>
  <c r="T205" i="10"/>
  <c r="G154" i="10"/>
  <c r="G156" i="10"/>
  <c r="D174" i="10"/>
  <c r="D175" i="10"/>
  <c r="F174" i="22"/>
  <c r="F175" i="22"/>
  <c r="AI84" i="22"/>
  <c r="T169" i="22"/>
  <c r="T170" i="22"/>
  <c r="P179" i="22"/>
  <c r="P181" i="22"/>
  <c r="U84" i="22"/>
  <c r="U86" i="22"/>
  <c r="AC154" i="10"/>
  <c r="AC155" i="10"/>
  <c r="AA154" i="10"/>
  <c r="AA155" i="10"/>
  <c r="Y149" i="10"/>
  <c r="Y209" i="10"/>
  <c r="V194" i="22"/>
  <c r="V195" i="22"/>
  <c r="W204" i="10"/>
  <c r="W205" i="10"/>
  <c r="AH189" i="10"/>
  <c r="AH191" i="10"/>
  <c r="W154" i="10"/>
  <c r="W155" i="10"/>
  <c r="V204" i="10"/>
  <c r="V205" i="10"/>
  <c r="T159" i="22"/>
  <c r="T160" i="22"/>
  <c r="U179" i="22"/>
  <c r="V149" i="10"/>
  <c r="V151" i="10"/>
  <c r="R144" i="10"/>
  <c r="AD84" i="22"/>
  <c r="AD85" i="22"/>
  <c r="AA84" i="22"/>
  <c r="N194" i="22"/>
  <c r="N196" i="22"/>
  <c r="X174" i="22"/>
  <c r="X176" i="22"/>
  <c r="K159" i="22"/>
  <c r="K160" i="22"/>
  <c r="W174" i="22"/>
  <c r="L164" i="10"/>
  <c r="L165" i="10"/>
  <c r="V174" i="22"/>
  <c r="K179" i="22"/>
  <c r="K180" i="22"/>
  <c r="J189" i="22"/>
  <c r="S209" i="22"/>
  <c r="S210" i="22"/>
  <c r="F159" i="22"/>
  <c r="I154" i="10"/>
  <c r="I155" i="10"/>
  <c r="G204" i="10"/>
  <c r="G205" i="10"/>
  <c r="M194" i="10"/>
  <c r="M195" i="10"/>
  <c r="D179" i="22"/>
  <c r="G184" i="10"/>
  <c r="G185" i="10"/>
  <c r="B159" i="10"/>
  <c r="B84" i="22"/>
  <c r="B85" i="22"/>
  <c r="F184" i="10"/>
  <c r="F186" i="10"/>
  <c r="AB154" i="10"/>
  <c r="AB156" i="10"/>
  <c r="Y169" i="22"/>
  <c r="Y171" i="22"/>
  <c r="W194" i="22"/>
  <c r="AJ84" i="22"/>
  <c r="AJ86" i="22"/>
  <c r="U194" i="22"/>
  <c r="U196" i="22"/>
  <c r="X154" i="10"/>
  <c r="X156" i="10"/>
  <c r="V169" i="22"/>
  <c r="V170" i="22"/>
  <c r="S159" i="22"/>
  <c r="U204" i="10"/>
  <c r="U206" i="10"/>
  <c r="AG84" i="22"/>
  <c r="T179" i="22"/>
  <c r="T180" i="22"/>
  <c r="R159" i="22"/>
  <c r="R161" i="22"/>
  <c r="AF84" i="22"/>
  <c r="AF86" i="22"/>
  <c r="T149" i="10"/>
  <c r="R149" i="10"/>
  <c r="R150" i="10"/>
  <c r="O194" i="22"/>
  <c r="O195" i="22"/>
  <c r="K169" i="10"/>
  <c r="K171" i="10"/>
  <c r="F204" i="10"/>
  <c r="B204" i="10"/>
  <c r="B205" i="10"/>
  <c r="C164" i="22"/>
  <c r="C166" i="22"/>
  <c r="B209" i="10"/>
  <c r="AA169" i="10"/>
  <c r="AA170" i="10"/>
  <c r="Z209" i="10"/>
  <c r="Z210" i="10"/>
  <c r="AL84" i="22"/>
  <c r="AL85" i="22"/>
  <c r="X169" i="22"/>
  <c r="X170" i="22"/>
  <c r="T144" i="10"/>
  <c r="X169" i="10"/>
  <c r="W209" i="10"/>
  <c r="W211" i="10"/>
  <c r="V179" i="22"/>
  <c r="AH84" i="22"/>
  <c r="T194" i="22"/>
  <c r="AF189" i="10"/>
  <c r="AF190" i="10"/>
  <c r="S179" i="22"/>
  <c r="S181" i="22"/>
  <c r="R169" i="22"/>
  <c r="R171" i="22"/>
  <c r="AC189" i="10"/>
  <c r="AC190" i="10"/>
  <c r="O144" i="10"/>
  <c r="O146" i="10"/>
  <c r="T194" i="10"/>
  <c r="T195" i="10"/>
  <c r="Y84" i="22"/>
  <c r="Y86" i="22"/>
  <c r="L179" i="22"/>
  <c r="L180" i="22"/>
  <c r="L169" i="22"/>
  <c r="L171" i="22"/>
  <c r="K164" i="10"/>
  <c r="K166" i="10"/>
  <c r="I159" i="22"/>
  <c r="I161" i="22"/>
  <c r="J194" i="22"/>
  <c r="Q194" i="10"/>
  <c r="Q195" i="10"/>
  <c r="M169" i="10"/>
  <c r="M171" i="10"/>
  <c r="L169" i="10"/>
  <c r="L170" i="10"/>
  <c r="U209" i="22"/>
  <c r="U211" i="22"/>
  <c r="N184" i="10"/>
  <c r="N185" i="10"/>
  <c r="H194" i="22"/>
  <c r="I189" i="22"/>
  <c r="I190" i="22"/>
  <c r="G204" i="22"/>
  <c r="G205" i="22"/>
  <c r="K184" i="10"/>
  <c r="K186" i="10"/>
  <c r="H204" i="10"/>
  <c r="E164" i="10"/>
  <c r="E166" i="10"/>
  <c r="C119" i="10"/>
  <c r="C120" i="10"/>
  <c r="C121" i="10"/>
  <c r="C122" i="10"/>
  <c r="G209" i="22"/>
  <c r="G211" i="22"/>
  <c r="K174" i="22"/>
  <c r="K176" i="22"/>
  <c r="B189" i="22"/>
  <c r="B129" i="22"/>
  <c r="B130" i="22"/>
  <c r="D209" i="22"/>
  <c r="F209" i="22"/>
  <c r="F210" i="22"/>
  <c r="P84" i="22"/>
  <c r="P86" i="22"/>
  <c r="N174" i="22"/>
  <c r="E189" i="22"/>
  <c r="E190" i="22"/>
  <c r="C194" i="22"/>
  <c r="C195" i="22"/>
  <c r="C159" i="22"/>
  <c r="C160" i="22"/>
  <c r="E179" i="22"/>
  <c r="E169" i="22"/>
  <c r="F184" i="22"/>
  <c r="F185" i="22"/>
  <c r="G164" i="22"/>
  <c r="P174" i="22"/>
  <c r="P176" i="22"/>
  <c r="E194" i="22"/>
  <c r="E195" i="22"/>
  <c r="G189" i="22"/>
  <c r="G191" i="22"/>
  <c r="E159" i="22"/>
  <c r="E161" i="22"/>
  <c r="F204" i="22"/>
  <c r="G179" i="22"/>
  <c r="G181" i="22"/>
  <c r="H184" i="22"/>
  <c r="H185" i="22"/>
  <c r="T209" i="22"/>
  <c r="T210" i="22"/>
  <c r="H204" i="22"/>
  <c r="H205" i="22"/>
  <c r="I169" i="22"/>
  <c r="I170" i="22"/>
  <c r="S174" i="22"/>
  <c r="S176" i="22"/>
  <c r="V84" i="22"/>
  <c r="V85" i="22"/>
  <c r="J169" i="22"/>
  <c r="J171" i="22"/>
  <c r="K189" i="22"/>
  <c r="K190" i="22"/>
  <c r="V209" i="22"/>
  <c r="V211" i="22"/>
  <c r="K194" i="22"/>
  <c r="K195" i="22"/>
  <c r="W209" i="22"/>
  <c r="M179" i="22"/>
  <c r="M181" i="22"/>
  <c r="N179" i="22"/>
  <c r="N180" i="22"/>
  <c r="M159" i="22"/>
  <c r="M161" i="22"/>
  <c r="AC84" i="22"/>
  <c r="AC85" i="22"/>
  <c r="Q179" i="22"/>
  <c r="Q181" i="22"/>
  <c r="O159" i="22"/>
  <c r="O161" i="22"/>
  <c r="P159" i="22"/>
  <c r="J84" i="22"/>
  <c r="J86" i="22"/>
  <c r="H174" i="22"/>
  <c r="H176" i="22"/>
  <c r="B209" i="22"/>
  <c r="B169" i="22"/>
  <c r="B109" i="22"/>
  <c r="B110" i="22"/>
  <c r="E84" i="22"/>
  <c r="E85" i="22"/>
  <c r="G174" i="22"/>
  <c r="G175" i="22"/>
  <c r="E184" i="22"/>
  <c r="D169" i="22"/>
  <c r="B124" i="22"/>
  <c r="B125" i="22"/>
  <c r="Q84" i="22"/>
  <c r="D194" i="22"/>
  <c r="F164" i="22"/>
  <c r="F165" i="22"/>
  <c r="F189" i="22"/>
  <c r="F191" i="22"/>
  <c r="D159" i="22"/>
  <c r="Q209" i="22"/>
  <c r="Q211" i="22"/>
  <c r="S84" i="22"/>
  <c r="S85" i="22"/>
  <c r="R209" i="22"/>
  <c r="R210" i="22"/>
  <c r="F194" i="22"/>
  <c r="F195" i="22"/>
  <c r="H164" i="22"/>
  <c r="H166" i="22"/>
  <c r="R174" i="22"/>
  <c r="R176" i="22"/>
  <c r="H169" i="22"/>
  <c r="H170" i="22"/>
  <c r="I179" i="22"/>
  <c r="J179" i="22"/>
  <c r="J180" i="22"/>
  <c r="W84" i="22"/>
  <c r="W86" i="22"/>
  <c r="K169" i="22"/>
  <c r="K170" i="22"/>
  <c r="X84" i="22"/>
  <c r="J159" i="22"/>
  <c r="L194" i="22"/>
  <c r="L196" i="22"/>
  <c r="M194" i="22"/>
  <c r="M196" i="22"/>
  <c r="O179" i="22"/>
  <c r="O180" i="22"/>
  <c r="P169" i="22"/>
  <c r="P194" i="22"/>
  <c r="P195" i="22"/>
  <c r="Q194" i="22"/>
  <c r="Q195" i="22"/>
  <c r="AE84" i="22"/>
  <c r="Q159" i="22"/>
  <c r="B164" i="10"/>
  <c r="B165" i="10"/>
  <c r="E209" i="10"/>
  <c r="D194" i="10"/>
  <c r="D195" i="10"/>
  <c r="C164" i="10"/>
  <c r="B194" i="10"/>
  <c r="B195" i="10"/>
  <c r="B149" i="10"/>
  <c r="B150" i="10"/>
  <c r="D189" i="10"/>
  <c r="D164" i="10"/>
  <c r="D165" i="10"/>
  <c r="C189" i="10"/>
  <c r="C191" i="10"/>
  <c r="E184" i="10"/>
  <c r="E186" i="10"/>
  <c r="P189" i="10"/>
  <c r="F149" i="10"/>
  <c r="H174" i="10"/>
  <c r="H176" i="10"/>
  <c r="I184" i="10"/>
  <c r="I185" i="10"/>
  <c r="J174" i="10"/>
  <c r="J176" i="10"/>
  <c r="R189" i="10"/>
  <c r="R191" i="10"/>
  <c r="G164" i="10"/>
  <c r="G165" i="10"/>
  <c r="J169" i="10"/>
  <c r="J170" i="10"/>
  <c r="I149" i="10"/>
  <c r="I151" i="10"/>
  <c r="K174" i="10"/>
  <c r="K175" i="10"/>
  <c r="L184" i="10"/>
  <c r="L185" i="10"/>
  <c r="I204" i="10"/>
  <c r="I206" i="10"/>
  <c r="J149" i="10"/>
  <c r="J151" i="10"/>
  <c r="T189" i="10"/>
  <c r="T190" i="10"/>
  <c r="J209" i="10"/>
  <c r="J210" i="10"/>
  <c r="K154" i="10"/>
  <c r="K156" i="10"/>
  <c r="K149" i="10"/>
  <c r="K151" i="10"/>
  <c r="M184" i="10"/>
  <c r="M185" i="10"/>
  <c r="I144" i="10"/>
  <c r="I146" i="10"/>
  <c r="L154" i="10"/>
  <c r="L155" i="10"/>
  <c r="M154" i="10"/>
  <c r="M156" i="10"/>
  <c r="W189" i="10"/>
  <c r="M149" i="10"/>
  <c r="M151" i="10"/>
  <c r="S194" i="10"/>
  <c r="S195" i="10"/>
  <c r="M204" i="10"/>
  <c r="M206" i="10"/>
  <c r="N209" i="10"/>
  <c r="N210" i="10"/>
  <c r="N204" i="10"/>
  <c r="N206" i="10"/>
  <c r="Z189" i="10"/>
  <c r="Z191" i="10"/>
  <c r="P209" i="10"/>
  <c r="S169" i="10"/>
  <c r="T169" i="10"/>
  <c r="T170" i="10"/>
  <c r="F174" i="10"/>
  <c r="F175" i="10"/>
  <c r="C204" i="10"/>
  <c r="C205" i="10"/>
  <c r="B169" i="10"/>
  <c r="B170" i="10"/>
  <c r="B109" i="10"/>
  <c r="B110" i="10"/>
  <c r="E194" i="10"/>
  <c r="E196" i="10"/>
  <c r="E174" i="10"/>
  <c r="E175" i="10"/>
  <c r="D204" i="10"/>
  <c r="D205" i="10"/>
  <c r="C149" i="10"/>
  <c r="C150" i="10"/>
  <c r="O189" i="10"/>
  <c r="O190" i="10"/>
  <c r="G194" i="10"/>
  <c r="G195" i="10"/>
  <c r="E169" i="10"/>
  <c r="E171" i="10"/>
  <c r="E204" i="10"/>
  <c r="E206" i="10"/>
  <c r="H184" i="10"/>
  <c r="H185" i="10"/>
  <c r="F209" i="10"/>
  <c r="F210" i="10"/>
  <c r="G149" i="10"/>
  <c r="L194" i="10"/>
  <c r="L195" i="10"/>
  <c r="H169" i="10"/>
  <c r="H170" i="10"/>
  <c r="J184" i="10"/>
  <c r="J185" i="10"/>
  <c r="H154" i="10"/>
  <c r="H156" i="10"/>
  <c r="I169" i="10"/>
  <c r="I170" i="10"/>
  <c r="H209" i="10"/>
  <c r="H211" i="10"/>
  <c r="H164" i="10"/>
  <c r="H165" i="10"/>
  <c r="N194" i="10"/>
  <c r="F144" i="10"/>
  <c r="F145" i="10"/>
  <c r="I164" i="10"/>
  <c r="I165" i="10"/>
  <c r="J154" i="10"/>
  <c r="K209" i="10"/>
  <c r="J144" i="10"/>
  <c r="J145" i="10"/>
  <c r="L204" i="10"/>
  <c r="L205" i="10"/>
  <c r="R194" i="10"/>
  <c r="O169" i="10"/>
  <c r="N149" i="10"/>
  <c r="N151" i="10"/>
  <c r="K144" i="10"/>
  <c r="K146" i="10"/>
  <c r="N154" i="10"/>
  <c r="N156" i="10"/>
  <c r="O154" i="10"/>
  <c r="O155" i="10"/>
  <c r="O149" i="10"/>
  <c r="O150" i="10"/>
  <c r="P154" i="10"/>
  <c r="P155" i="10"/>
  <c r="Q154" i="10"/>
  <c r="Q155" i="10"/>
  <c r="R169" i="10"/>
  <c r="AB189" i="10"/>
  <c r="AB190" i="10"/>
  <c r="P144" i="10"/>
  <c r="P146" i="10"/>
  <c r="S209" i="10"/>
  <c r="S211" i="10"/>
  <c r="AA209" i="10"/>
  <c r="AA210" i="10"/>
  <c r="Z154" i="10"/>
  <c r="Z156" i="10"/>
  <c r="X204" i="10"/>
  <c r="X206" i="10"/>
  <c r="Z169" i="10"/>
  <c r="W169" i="22"/>
  <c r="W171" i="22"/>
  <c r="AG189" i="10"/>
  <c r="AG191" i="10"/>
  <c r="W149" i="10"/>
  <c r="W150" i="10"/>
  <c r="V154" i="10"/>
  <c r="W169" i="10"/>
  <c r="W171" i="10"/>
  <c r="U169" i="22"/>
  <c r="U171" i="22"/>
  <c r="V169" i="10"/>
  <c r="V170" i="10"/>
  <c r="U154" i="10"/>
  <c r="U156" i="10"/>
  <c r="AD189" i="10"/>
  <c r="AD190" i="10"/>
  <c r="T209" i="10"/>
  <c r="T210" i="10"/>
  <c r="R179" i="22"/>
  <c r="R180" i="22"/>
  <c r="Q204" i="10"/>
  <c r="Q205" i="10"/>
  <c r="W194" i="10"/>
  <c r="AA189" i="10"/>
  <c r="AA190" i="10"/>
  <c r="P204" i="10"/>
  <c r="P205" i="10"/>
  <c r="Q149" i="10"/>
  <c r="Q150" i="10"/>
  <c r="P149" i="10"/>
  <c r="P151" i="10"/>
  <c r="N159" i="22"/>
  <c r="N160" i="22"/>
  <c r="Q169" i="10"/>
  <c r="Q170" i="10"/>
  <c r="U194" i="10"/>
  <c r="O169" i="22"/>
  <c r="O204" i="10"/>
  <c r="O205" i="10"/>
  <c r="Y189" i="10"/>
  <c r="Y191" i="10"/>
  <c r="N169" i="22"/>
  <c r="L144" i="10"/>
  <c r="P184" i="10"/>
  <c r="P185" i="10"/>
  <c r="M169" i="22"/>
  <c r="M170" i="22"/>
  <c r="M164" i="10"/>
  <c r="X189" i="10"/>
  <c r="X191" i="10"/>
  <c r="O184" i="10"/>
  <c r="O185" i="10"/>
  <c r="M209" i="10"/>
  <c r="M210" i="10"/>
  <c r="V189" i="10"/>
  <c r="L149" i="10"/>
  <c r="L151" i="10"/>
  <c r="P194" i="10"/>
  <c r="P195" i="10"/>
  <c r="H159" i="22"/>
  <c r="H160" i="22"/>
  <c r="J164" i="10"/>
  <c r="J165" i="10"/>
  <c r="U189" i="10"/>
  <c r="U191" i="10"/>
  <c r="O194" i="10"/>
  <c r="O195" i="10"/>
  <c r="G159" i="22"/>
  <c r="I209" i="10"/>
  <c r="I184" i="22"/>
  <c r="I186" i="22"/>
  <c r="H189" i="22"/>
  <c r="H191" i="22"/>
  <c r="G169" i="22"/>
  <c r="G171" i="22"/>
  <c r="G209" i="10"/>
  <c r="F169" i="22"/>
  <c r="F171" i="22"/>
  <c r="G184" i="22"/>
  <c r="G185" i="22"/>
  <c r="B139" i="22"/>
  <c r="B140" i="22"/>
  <c r="E164" i="22"/>
  <c r="E165" i="22"/>
  <c r="F194" i="10"/>
  <c r="D164" i="22"/>
  <c r="F169" i="10"/>
  <c r="F170" i="10"/>
  <c r="D209" i="10"/>
  <c r="D210" i="10"/>
  <c r="B184" i="10"/>
  <c r="B185" i="10"/>
  <c r="G84" i="22"/>
  <c r="B119" i="22"/>
  <c r="B120" i="22"/>
  <c r="AE189" i="10"/>
  <c r="AE191" i="10"/>
  <c r="S194" i="22"/>
  <c r="S195" i="22"/>
  <c r="U209" i="10"/>
  <c r="R194" i="22"/>
  <c r="R196" i="22"/>
  <c r="Q144" i="10"/>
  <c r="S169" i="22"/>
  <c r="U169" i="10"/>
  <c r="U171" i="10"/>
  <c r="R204" i="10"/>
  <c r="S149" i="10"/>
  <c r="S151" i="10"/>
  <c r="R154" i="10"/>
  <c r="R155" i="10"/>
  <c r="R209" i="10"/>
  <c r="Q169" i="22"/>
  <c r="V194" i="10"/>
  <c r="V196" i="10"/>
  <c r="Q209" i="10"/>
  <c r="Q211" i="10"/>
  <c r="M144" i="10"/>
  <c r="P169" i="10"/>
  <c r="P171" i="10"/>
  <c r="L159" i="22"/>
  <c r="Z84" i="22"/>
  <c r="Z85" i="22"/>
  <c r="N169" i="10"/>
  <c r="N170" i="10"/>
  <c r="U174" i="22"/>
  <c r="U176" i="22"/>
  <c r="L209" i="10"/>
  <c r="L210" i="10"/>
  <c r="J204" i="10"/>
  <c r="H144" i="10"/>
  <c r="T174" i="22"/>
  <c r="T175" i="22"/>
  <c r="G144" i="10"/>
  <c r="G145" i="10"/>
  <c r="S189" i="10"/>
  <c r="S191" i="10"/>
  <c r="G194" i="22"/>
  <c r="G195" i="22"/>
  <c r="H179" i="22"/>
  <c r="H181" i="22"/>
  <c r="H149" i="10"/>
  <c r="H151" i="10"/>
  <c r="D144" i="10"/>
  <c r="D146" i="10"/>
  <c r="Q189" i="10"/>
  <c r="Q190" i="10"/>
  <c r="F164" i="10"/>
  <c r="F165" i="10"/>
  <c r="I174" i="10"/>
  <c r="I176" i="10"/>
  <c r="R84" i="22"/>
  <c r="R85" i="22"/>
  <c r="P209" i="22"/>
  <c r="P211" i="22"/>
  <c r="K194" i="10"/>
  <c r="K195" i="10"/>
  <c r="O174" i="22"/>
  <c r="L3" i="22"/>
  <c r="B159" i="22"/>
  <c r="B161" i="22"/>
  <c r="O209" i="22"/>
  <c r="C209" i="10"/>
  <c r="C210" i="10"/>
  <c r="B179" i="10"/>
  <c r="B180" i="10"/>
  <c r="C184" i="10"/>
  <c r="D84" i="22"/>
  <c r="D85" i="22"/>
  <c r="B179" i="22"/>
  <c r="B180" i="22"/>
  <c r="E149" i="10"/>
  <c r="B199" i="10"/>
  <c r="B201" i="10"/>
  <c r="B174" i="22"/>
  <c r="B175" i="22"/>
  <c r="N144" i="10"/>
  <c r="N145" i="10"/>
  <c r="AB84" i="22"/>
  <c r="Y174" i="22"/>
  <c r="S154" i="10"/>
  <c r="K204" i="10"/>
  <c r="K206" i="10"/>
  <c r="I194" i="22"/>
  <c r="I196" i="22"/>
  <c r="E144" i="10"/>
  <c r="L14" i="22"/>
  <c r="N14" i="22"/>
  <c r="L11" i="22"/>
  <c r="M11" i="22"/>
  <c r="E174" i="22"/>
  <c r="B164" i="22"/>
  <c r="B166" i="22"/>
  <c r="D174" i="22"/>
  <c r="D175" i="22"/>
  <c r="K209" i="22"/>
  <c r="K211" i="22"/>
  <c r="O84" i="22"/>
  <c r="C169" i="22"/>
  <c r="C170" i="22"/>
  <c r="M84" i="22"/>
  <c r="M85" i="22"/>
  <c r="N209" i="22"/>
  <c r="N210" i="22"/>
  <c r="L174" i="22"/>
  <c r="L175" i="22"/>
  <c r="C174" i="22"/>
  <c r="L10" i="10"/>
  <c r="L4" i="10"/>
  <c r="M4" i="10"/>
  <c r="O4" i="10"/>
  <c r="B154" i="10"/>
  <c r="B144" i="10"/>
  <c r="B145" i="10"/>
  <c r="J194" i="10"/>
  <c r="J195" i="10"/>
  <c r="G189" i="10"/>
  <c r="G190" i="10"/>
  <c r="C154" i="10"/>
  <c r="K189" i="10"/>
  <c r="L189" i="10"/>
  <c r="L191" i="10"/>
  <c r="H189" i="10"/>
  <c r="H190" i="10"/>
  <c r="D154" i="10"/>
  <c r="D155" i="10"/>
  <c r="R203" i="6"/>
  <c r="BW173" i="6"/>
  <c r="AP188" i="6"/>
  <c r="AP190" i="6"/>
  <c r="D208" i="6"/>
  <c r="D209" i="6"/>
  <c r="F168" i="6"/>
  <c r="F170" i="6"/>
  <c r="K168" i="6"/>
  <c r="F193" i="6"/>
  <c r="F194" i="6"/>
  <c r="R193" i="6"/>
  <c r="R195" i="6"/>
  <c r="Y178" i="6"/>
  <c r="Y180" i="6"/>
  <c r="AJ208" i="6"/>
  <c r="AJ209" i="6"/>
  <c r="AF198" i="6"/>
  <c r="V208" i="6"/>
  <c r="V188" i="6"/>
  <c r="V190" i="6"/>
  <c r="AC203" i="6"/>
  <c r="AH198" i="6"/>
  <c r="AH199" i="6"/>
  <c r="AL173" i="6"/>
  <c r="AO178" i="6"/>
  <c r="AZ208" i="6"/>
  <c r="AV173" i="6"/>
  <c r="AV175" i="6"/>
  <c r="AY193" i="6"/>
  <c r="BC188" i="6"/>
  <c r="BF168" i="6"/>
  <c r="BI168" i="6"/>
  <c r="BI170" i="6"/>
  <c r="BM193" i="6"/>
  <c r="CA203" i="6"/>
  <c r="CA204" i="6"/>
  <c r="BW183" i="6"/>
  <c r="BW185" i="6"/>
  <c r="BT178" i="6"/>
  <c r="BT179" i="6"/>
  <c r="BP193" i="6"/>
  <c r="BP195" i="6"/>
  <c r="BJ203" i="6"/>
  <c r="BJ208" i="6"/>
  <c r="AV178" i="6"/>
  <c r="AV179" i="6"/>
  <c r="AN193" i="6"/>
  <c r="AF183" i="6"/>
  <c r="N188" i="6"/>
  <c r="N190" i="6"/>
  <c r="I208" i="6"/>
  <c r="I209" i="6"/>
  <c r="C168" i="6"/>
  <c r="C118" i="6"/>
  <c r="C119" i="6"/>
  <c r="C120" i="6"/>
  <c r="C121" i="6"/>
  <c r="R183" i="6"/>
  <c r="R184" i="6"/>
  <c r="Y188" i="6"/>
  <c r="Y190" i="6"/>
  <c r="AE203" i="6"/>
  <c r="AJ183" i="6"/>
  <c r="AN183" i="6"/>
  <c r="AQ193" i="6"/>
  <c r="AQ194" i="6"/>
  <c r="AU173" i="6"/>
  <c r="AU175" i="6"/>
  <c r="AY188" i="6"/>
  <c r="AY190" i="6"/>
  <c r="BB168" i="6"/>
  <c r="BF198" i="6"/>
  <c r="BF199" i="6"/>
  <c r="BJ198" i="6"/>
  <c r="BU208" i="6"/>
  <c r="BU209" i="6"/>
  <c r="BP203" i="6"/>
  <c r="BP204" i="6"/>
  <c r="BR198" i="6"/>
  <c r="BR199" i="6"/>
  <c r="CA208" i="6"/>
  <c r="CA209" i="6"/>
  <c r="BU178" i="6"/>
  <c r="BU179" i="6"/>
  <c r="BW178" i="6"/>
  <c r="BY203" i="6"/>
  <c r="BY204" i="6"/>
  <c r="CA168" i="6"/>
  <c r="CA169" i="6"/>
  <c r="BO168" i="6"/>
  <c r="BO170" i="6"/>
  <c r="BM198" i="6"/>
  <c r="BK178" i="6"/>
  <c r="BK179" i="6"/>
  <c r="BQ208" i="6"/>
  <c r="BQ209" i="6"/>
  <c r="BH183" i="6"/>
  <c r="BH184" i="6"/>
  <c r="BF178" i="6"/>
  <c r="BL208" i="6"/>
  <c r="BL210" i="6"/>
  <c r="BC178" i="6"/>
  <c r="BA198" i="6"/>
  <c r="BA199" i="6"/>
  <c r="AY183" i="6"/>
  <c r="AY185" i="6"/>
  <c r="BE208" i="6"/>
  <c r="BE209" i="6"/>
  <c r="AV188" i="6"/>
  <c r="AT188" i="6"/>
  <c r="AS173" i="6"/>
  <c r="AQ188" i="6"/>
  <c r="AQ189" i="6"/>
  <c r="AO188" i="6"/>
  <c r="AU208" i="6"/>
  <c r="AU209" i="6"/>
  <c r="AL168" i="6"/>
  <c r="AJ168" i="6"/>
  <c r="AJ169" i="6"/>
  <c r="AP208" i="6"/>
  <c r="AP209" i="6"/>
  <c r="AG188" i="6"/>
  <c r="AG190" i="6"/>
  <c r="AC183" i="6"/>
  <c r="Z203" i="6"/>
  <c r="Z205" i="6"/>
  <c r="V198" i="6"/>
  <c r="AA208" i="6"/>
  <c r="O193" i="6"/>
  <c r="O195" i="6"/>
  <c r="J173" i="6"/>
  <c r="J174" i="6"/>
  <c r="AN208" i="6"/>
  <c r="AN210" i="6"/>
  <c r="AE188" i="6"/>
  <c r="AE189" i="6"/>
  <c r="AC188" i="6"/>
  <c r="AC190" i="6"/>
  <c r="AA188" i="6"/>
  <c r="AA189" i="6"/>
  <c r="Z178" i="6"/>
  <c r="W198" i="6"/>
  <c r="W199" i="6"/>
  <c r="S168" i="6"/>
  <c r="O188" i="6"/>
  <c r="O189" i="6"/>
  <c r="H168" i="6"/>
  <c r="N203" i="6"/>
  <c r="N204" i="6"/>
  <c r="K173" i="6"/>
  <c r="N208" i="6"/>
  <c r="N210" i="6"/>
  <c r="M208" i="6"/>
  <c r="M210" i="6"/>
  <c r="C183" i="6"/>
  <c r="C185" i="6"/>
  <c r="AD198" i="6"/>
  <c r="BA178" i="6"/>
  <c r="BA179" i="6"/>
  <c r="AE168" i="6"/>
  <c r="BV198" i="6"/>
  <c r="BV168" i="6"/>
  <c r="BV169" i="6"/>
  <c r="AY178" i="6"/>
  <c r="AY180" i="6"/>
  <c r="AF208" i="6"/>
  <c r="AF210" i="6"/>
  <c r="AD208" i="6"/>
  <c r="T168" i="6"/>
  <c r="Y208" i="6"/>
  <c r="Y209" i="6"/>
  <c r="M188" i="6"/>
  <c r="O208" i="6"/>
  <c r="O210" i="6"/>
  <c r="P193" i="6"/>
  <c r="N168" i="6"/>
  <c r="N170" i="6"/>
  <c r="K193" i="6"/>
  <c r="I203" i="6"/>
  <c r="I204" i="6"/>
  <c r="G198" i="6"/>
  <c r="G173" i="6"/>
  <c r="G174" i="6"/>
  <c r="D198" i="6"/>
  <c r="AS203" i="6"/>
  <c r="AS204" i="6"/>
  <c r="AG193" i="6"/>
  <c r="AG195" i="6"/>
  <c r="BD203" i="6"/>
  <c r="BD204" i="6"/>
  <c r="AT183" i="6"/>
  <c r="AT184" i="6"/>
  <c r="J188" i="6"/>
  <c r="J189" i="6"/>
  <c r="BS188" i="6"/>
  <c r="CB183" i="6"/>
  <c r="CB184" i="6"/>
  <c r="BU168" i="6"/>
  <c r="BU169" i="6"/>
  <c r="BP178" i="6"/>
  <c r="BP180" i="6"/>
  <c r="BD168" i="6"/>
  <c r="BG203" i="6"/>
  <c r="BG204" i="6"/>
  <c r="AR168" i="6"/>
  <c r="BB173" i="6"/>
  <c r="BB175" i="6"/>
  <c r="AL188" i="6"/>
  <c r="AL189" i="6"/>
  <c r="BQ188" i="6"/>
  <c r="BQ189" i="6"/>
  <c r="BI203" i="6"/>
  <c r="BI205" i="6"/>
  <c r="CB168" i="6"/>
  <c r="CB169" i="6"/>
  <c r="BR188" i="6"/>
  <c r="BR189" i="6"/>
  <c r="W178" i="6"/>
  <c r="W179" i="6"/>
  <c r="AF173" i="6"/>
  <c r="AF174" i="6"/>
  <c r="AW173" i="6"/>
  <c r="AW174" i="6"/>
  <c r="BZ198" i="6"/>
  <c r="AZ203" i="6"/>
  <c r="B193" i="6"/>
  <c r="B194" i="6"/>
  <c r="AQ178" i="6"/>
  <c r="AQ179" i="6"/>
  <c r="BI198" i="6"/>
  <c r="BU173" i="6"/>
  <c r="BU174" i="6"/>
  <c r="BS208" i="6"/>
  <c r="BS209" i="6"/>
  <c r="BC173" i="6"/>
  <c r="BB208" i="6"/>
  <c r="AR208" i="6"/>
  <c r="AR210" i="6"/>
  <c r="W173" i="6"/>
  <c r="AM208" i="6"/>
  <c r="AM210" i="6"/>
  <c r="Q198" i="6"/>
  <c r="AP178" i="6"/>
  <c r="BU193" i="6"/>
  <c r="L178" i="6"/>
  <c r="L180" i="6"/>
  <c r="AK198" i="6"/>
  <c r="BX188" i="6"/>
  <c r="BX189" i="6"/>
  <c r="AO203" i="6"/>
  <c r="AH173" i="6"/>
  <c r="AH174" i="6"/>
  <c r="H208" i="6"/>
  <c r="G168" i="6"/>
  <c r="L19" i="6"/>
  <c r="N19" i="6"/>
  <c r="L10" i="6"/>
  <c r="M10" i="6"/>
  <c r="O10" i="6"/>
  <c r="L14" i="6"/>
  <c r="N14" i="6"/>
  <c r="L6" i="6"/>
  <c r="N6" i="6"/>
  <c r="AH178" i="6"/>
  <c r="AH179" i="6"/>
  <c r="C178" i="6"/>
  <c r="C179" i="6"/>
  <c r="AF193" i="6"/>
  <c r="AF194" i="6"/>
  <c r="CB173" i="6"/>
  <c r="CB174" i="6"/>
  <c r="Y168" i="6"/>
  <c r="J208" i="6"/>
  <c r="J209" i="6"/>
  <c r="BQ193" i="6"/>
  <c r="BF208" i="6"/>
  <c r="BF209" i="6"/>
  <c r="U208" i="6"/>
  <c r="U209" i="6"/>
  <c r="D168" i="6"/>
  <c r="D169" i="6"/>
  <c r="BR208" i="6"/>
  <c r="BR210" i="6"/>
  <c r="BC168" i="6"/>
  <c r="BC170" i="6"/>
  <c r="J183" i="6"/>
  <c r="J184" i="6"/>
  <c r="U183" i="6"/>
  <c r="U184" i="6"/>
  <c r="AD178" i="6"/>
  <c r="AD179" i="6"/>
  <c r="P173" i="6"/>
  <c r="P175" i="6"/>
  <c r="AD173" i="6"/>
  <c r="AD174" i="6"/>
  <c r="AL198" i="6"/>
  <c r="AS183" i="6"/>
  <c r="AS185" i="6"/>
  <c r="AY198" i="6"/>
  <c r="AY199" i="6"/>
  <c r="BF183" i="6"/>
  <c r="BF184" i="6"/>
  <c r="BM168" i="6"/>
  <c r="BM169" i="6"/>
  <c r="BW198" i="6"/>
  <c r="BW199" i="6"/>
  <c r="BP173" i="6"/>
  <c r="BP174" i="6"/>
  <c r="BB188" i="6"/>
  <c r="BB190" i="6"/>
  <c r="AM193" i="6"/>
  <c r="AM194" i="6"/>
  <c r="K178" i="6"/>
  <c r="AK193" i="6"/>
  <c r="AK195" i="6"/>
  <c r="BV208" i="6"/>
  <c r="BN193" i="6"/>
  <c r="BN195" i="6"/>
  <c r="AZ168" i="6"/>
  <c r="AZ170" i="6"/>
  <c r="AM183" i="6"/>
  <c r="AM184" i="6"/>
  <c r="R173" i="6"/>
  <c r="R175" i="6"/>
  <c r="N178" i="6"/>
  <c r="BJ168" i="6"/>
  <c r="BJ170" i="6"/>
  <c r="BZ188" i="6"/>
  <c r="BZ189" i="6"/>
  <c r="BT203" i="6"/>
  <c r="BT205" i="6"/>
  <c r="BY178" i="6"/>
  <c r="W183" i="6"/>
  <c r="AT203" i="6"/>
  <c r="AT204" i="6"/>
  <c r="BH178" i="6"/>
  <c r="BK198" i="6"/>
  <c r="BK200" i="6"/>
  <c r="B208" i="6"/>
  <c r="B210" i="6"/>
  <c r="BV193" i="6"/>
  <c r="BV195" i="6"/>
  <c r="AU188" i="6"/>
  <c r="AU190" i="6"/>
  <c r="BL178" i="6"/>
  <c r="BL179" i="6"/>
  <c r="BR193" i="6"/>
  <c r="BV178" i="6"/>
  <c r="BV180" i="6"/>
  <c r="BZ193" i="6"/>
  <c r="BZ194" i="6"/>
  <c r="BW203" i="6"/>
  <c r="BW204" i="6"/>
  <c r="BP188" i="6"/>
  <c r="BP189" i="6"/>
  <c r="V183" i="6"/>
  <c r="V184" i="6"/>
  <c r="AQ173" i="6"/>
  <c r="AQ174" i="6"/>
  <c r="AZ193" i="6"/>
  <c r="AZ194" i="6"/>
  <c r="T183" i="6"/>
  <c r="AI193" i="6"/>
  <c r="AI195" i="6"/>
  <c r="AQ183" i="6"/>
  <c r="AQ185" i="6"/>
  <c r="D118" i="6"/>
  <c r="D119" i="6"/>
  <c r="E193" i="6"/>
  <c r="G193" i="6"/>
  <c r="G194" i="6"/>
  <c r="F198" i="6"/>
  <c r="F199" i="6"/>
  <c r="P208" i="6"/>
  <c r="J203" i="6"/>
  <c r="J204" i="6"/>
  <c r="L183" i="6"/>
  <c r="L184" i="6"/>
  <c r="N173" i="6"/>
  <c r="N175" i="6"/>
  <c r="W208" i="6"/>
  <c r="B178" i="6"/>
  <c r="B179" i="6"/>
  <c r="H183" i="6"/>
  <c r="H184" i="6"/>
  <c r="L193" i="6"/>
  <c r="L195" i="6"/>
  <c r="P168" i="6"/>
  <c r="P170" i="6"/>
  <c r="R198" i="6"/>
  <c r="R200" i="6"/>
  <c r="T193" i="6"/>
  <c r="T195" i="6"/>
  <c r="V168" i="6"/>
  <c r="V169" i="6"/>
  <c r="X173" i="6"/>
  <c r="BH188" i="6"/>
  <c r="BH190" i="6"/>
  <c r="BC198" i="6"/>
  <c r="BC199" i="6"/>
  <c r="BT198" i="6"/>
  <c r="BT199" i="6"/>
  <c r="CB188" i="6"/>
  <c r="CB189" i="6"/>
  <c r="L13" i="1"/>
  <c r="L21" i="1"/>
  <c r="M21" i="1"/>
  <c r="O21" i="1"/>
  <c r="L5" i="1"/>
  <c r="M5" i="1"/>
  <c r="O5" i="1"/>
  <c r="B151" i="1"/>
  <c r="B152" i="1"/>
  <c r="B153" i="1"/>
  <c r="B154" i="1"/>
  <c r="BR168" i="6"/>
  <c r="D183" i="6"/>
  <c r="D184" i="6"/>
  <c r="X178" i="6"/>
  <c r="AY203" i="6"/>
  <c r="AY204" i="6"/>
  <c r="BY208" i="6"/>
  <c r="CA178" i="6"/>
  <c r="BH198" i="6"/>
  <c r="BH199" i="6"/>
  <c r="AX198" i="6"/>
  <c r="AW208" i="6"/>
  <c r="AG203" i="6"/>
  <c r="AG204" i="6"/>
  <c r="K183" i="6"/>
  <c r="K184" i="6"/>
  <c r="Z173" i="6"/>
  <c r="N198" i="6"/>
  <c r="AI188" i="6"/>
  <c r="AI190" i="6"/>
  <c r="AC173" i="6"/>
  <c r="AC174" i="6"/>
  <c r="BM208" i="6"/>
  <c r="AO198" i="6"/>
  <c r="AO199" i="6"/>
  <c r="D193" i="6"/>
  <c r="D194" i="6"/>
  <c r="BK188" i="6"/>
  <c r="BK189" i="6"/>
  <c r="BT168" i="6"/>
  <c r="AM203" i="6"/>
  <c r="AM204" i="6"/>
  <c r="L25" i="1"/>
  <c r="M25" i="1"/>
  <c r="O25" i="1"/>
  <c r="L16" i="6"/>
  <c r="N16" i="6"/>
  <c r="H209" i="22"/>
  <c r="F84" i="22"/>
  <c r="B184" i="22"/>
  <c r="L5" i="22"/>
  <c r="L12" i="10"/>
  <c r="M12" i="10"/>
  <c r="O12" i="10"/>
  <c r="L8" i="10"/>
  <c r="M8" i="10"/>
  <c r="O8" i="10"/>
  <c r="L10" i="22"/>
  <c r="N10" i="22"/>
  <c r="U195" i="8"/>
  <c r="L196" i="9"/>
  <c r="L197" i="9"/>
  <c r="AB131" i="11"/>
  <c r="AB132" i="11"/>
  <c r="D189" i="22"/>
  <c r="D191" i="22"/>
  <c r="E154" i="10"/>
  <c r="E155" i="10"/>
  <c r="G174" i="10"/>
  <c r="C179" i="22"/>
  <c r="C180" i="22"/>
  <c r="E189" i="10"/>
  <c r="J174" i="22"/>
  <c r="J176" i="22"/>
  <c r="F189" i="10"/>
  <c r="F190" i="10"/>
  <c r="M189" i="10"/>
  <c r="M190" i="10"/>
  <c r="D169" i="10"/>
  <c r="D170" i="10"/>
  <c r="C194" i="10"/>
  <c r="C195" i="10"/>
  <c r="I209" i="22"/>
  <c r="B89" i="22"/>
  <c r="B90" i="22"/>
  <c r="M209" i="22"/>
  <c r="M210" i="22"/>
  <c r="E209" i="22"/>
  <c r="E210" i="22"/>
  <c r="C84" i="22"/>
  <c r="C85" i="22"/>
  <c r="B204" i="22"/>
  <c r="B205" i="22"/>
  <c r="L84" i="22"/>
  <c r="N84" i="22"/>
  <c r="N85" i="22"/>
  <c r="L9" i="22"/>
  <c r="L6" i="10"/>
  <c r="L6" i="22"/>
  <c r="B89" i="10"/>
  <c r="B90" i="10"/>
  <c r="B91" i="10"/>
  <c r="C209" i="22"/>
  <c r="D184" i="10"/>
  <c r="D185" i="10"/>
  <c r="I194" i="10"/>
  <c r="I196" i="10"/>
  <c r="J189" i="10"/>
  <c r="I174" i="22"/>
  <c r="I176" i="22"/>
  <c r="H84" i="22"/>
  <c r="H85" i="22"/>
  <c r="K84" i="22"/>
  <c r="K85" i="22"/>
  <c r="H194" i="10"/>
  <c r="B189" i="10"/>
  <c r="I189" i="10"/>
  <c r="B174" i="10"/>
  <c r="B176" i="10"/>
  <c r="M174" i="22"/>
  <c r="L209" i="22"/>
  <c r="L210" i="22"/>
  <c r="C189" i="22"/>
  <c r="C190" i="22"/>
  <c r="J209" i="22"/>
  <c r="J210" i="22"/>
  <c r="D184" i="22"/>
  <c r="D186" i="22"/>
  <c r="C184" i="22"/>
  <c r="I84" i="22"/>
  <c r="L13" i="22"/>
  <c r="N13" i="22"/>
  <c r="L2" i="10"/>
  <c r="B119" i="10"/>
  <c r="B120" i="10"/>
  <c r="B121" i="10"/>
  <c r="B122" i="10"/>
  <c r="F185" i="9"/>
  <c r="AE210" i="8"/>
  <c r="BF211" i="8"/>
  <c r="BF212" i="8"/>
  <c r="F210" i="8"/>
  <c r="L15" i="22"/>
  <c r="M15" i="22"/>
  <c r="O15" i="22"/>
  <c r="L7" i="22"/>
  <c r="L13" i="10"/>
  <c r="N13" i="10"/>
  <c r="L11" i="10"/>
  <c r="M11" i="10"/>
  <c r="O11" i="10"/>
  <c r="L7" i="10"/>
  <c r="M7" i="10"/>
  <c r="O7" i="10"/>
  <c r="L3" i="10"/>
  <c r="M3" i="10"/>
  <c r="O3" i="10"/>
  <c r="I195" i="9"/>
  <c r="C176" i="9"/>
  <c r="C177" i="9"/>
  <c r="B206" i="9"/>
  <c r="B207" i="9"/>
  <c r="B239" i="9"/>
  <c r="AP211" i="8"/>
  <c r="AP212" i="8"/>
  <c r="Y186" i="9"/>
  <c r="Y187" i="9"/>
  <c r="E180" i="9"/>
  <c r="H180" i="9"/>
  <c r="AC211" i="8"/>
  <c r="AC212" i="8"/>
  <c r="C166" i="8"/>
  <c r="C167" i="8"/>
  <c r="C171" i="10"/>
  <c r="C172" i="10"/>
  <c r="Q175" i="9"/>
  <c r="Q176" i="9"/>
  <c r="M180" i="9"/>
  <c r="M181" i="9"/>
  <c r="AW171" i="8"/>
  <c r="AW172" i="8"/>
  <c r="AS211" i="8"/>
  <c r="AS212" i="8"/>
  <c r="B171" i="8"/>
  <c r="B172" i="8"/>
  <c r="B232" i="8"/>
  <c r="I211" i="8"/>
  <c r="BH210" i="8"/>
  <c r="BH211" i="8"/>
  <c r="C171" i="8"/>
  <c r="C172" i="8"/>
  <c r="Q196" i="9"/>
  <c r="Q197" i="9"/>
  <c r="BF171" i="8"/>
  <c r="N196" i="8"/>
  <c r="N197" i="8"/>
  <c r="AJ210" i="8"/>
  <c r="AJ212" i="8"/>
  <c r="AG170" i="8"/>
  <c r="J195" i="8"/>
  <c r="P195" i="8"/>
  <c r="V186" i="9"/>
  <c r="V187" i="9"/>
  <c r="W280" i="40"/>
  <c r="W281" i="40"/>
  <c r="W282" i="40"/>
  <c r="R289" i="40"/>
  <c r="S110" i="40"/>
  <c r="R264" i="40"/>
  <c r="S100" i="40"/>
  <c r="X255" i="40"/>
  <c r="X256" i="40"/>
  <c r="X257" i="40"/>
  <c r="R249" i="40"/>
  <c r="R250" i="40"/>
  <c r="R251" i="40"/>
  <c r="R252" i="40"/>
  <c r="S94" i="40"/>
  <c r="R284" i="40"/>
  <c r="S108" i="40"/>
  <c r="R269" i="40"/>
  <c r="S102" i="40"/>
  <c r="R244" i="40"/>
  <c r="S92" i="40"/>
  <c r="Y104" i="40"/>
  <c r="Y274" i="40"/>
  <c r="Y275" i="40"/>
  <c r="Y276" i="40"/>
  <c r="Y277" i="40"/>
  <c r="Z98" i="40"/>
  <c r="Z259" i="40"/>
  <c r="Z260" i="40"/>
  <c r="Z261" i="40"/>
  <c r="Z262" i="40"/>
  <c r="Y96" i="40"/>
  <c r="Y254" i="40"/>
  <c r="Y255" i="40"/>
  <c r="Y256" i="40"/>
  <c r="Y257" i="40"/>
  <c r="X106" i="40"/>
  <c r="X279" i="40"/>
  <c r="X280" i="40"/>
  <c r="X281" i="40"/>
  <c r="X282" i="40"/>
  <c r="U90" i="40"/>
  <c r="S86" i="40"/>
  <c r="R229" i="40"/>
  <c r="Q160" i="40"/>
  <c r="Q161" i="40"/>
  <c r="S78" i="40"/>
  <c r="R209" i="40"/>
  <c r="S46" i="40"/>
  <c r="R129" i="40"/>
  <c r="S74" i="40"/>
  <c r="R199" i="40"/>
  <c r="S175" i="40"/>
  <c r="S176" i="40"/>
  <c r="S52" i="40"/>
  <c r="R144" i="40"/>
  <c r="Q155" i="40"/>
  <c r="Q156" i="40"/>
  <c r="S185" i="40"/>
  <c r="S186" i="40"/>
  <c r="S58" i="40"/>
  <c r="R159" i="40"/>
  <c r="R225" i="40"/>
  <c r="R226" i="40"/>
  <c r="S44" i="40"/>
  <c r="R124" i="40"/>
  <c r="S54" i="40"/>
  <c r="R149" i="40"/>
  <c r="R235" i="40"/>
  <c r="R236" i="40"/>
  <c r="R237" i="40"/>
  <c r="S62" i="40"/>
  <c r="R169" i="40"/>
  <c r="Q190" i="40"/>
  <c r="Q191" i="40"/>
  <c r="R177" i="40"/>
  <c r="T80" i="40"/>
  <c r="S214" i="40"/>
  <c r="R205" i="40"/>
  <c r="R206" i="40"/>
  <c r="R207" i="40"/>
  <c r="Q125" i="40"/>
  <c r="Q126" i="40"/>
  <c r="Q127" i="40"/>
  <c r="T60" i="40"/>
  <c r="S164" i="40"/>
  <c r="T50" i="40"/>
  <c r="S139" i="40"/>
  <c r="T40" i="40"/>
  <c r="S114" i="40"/>
  <c r="Q120" i="40"/>
  <c r="Q121" i="40"/>
  <c r="Q122" i="40"/>
  <c r="Q240" i="40"/>
  <c r="Q241" i="40"/>
  <c r="Q242" i="40"/>
  <c r="S56" i="40"/>
  <c r="R154" i="40"/>
  <c r="U68" i="40"/>
  <c r="T184" i="40"/>
  <c r="Q220" i="40"/>
  <c r="Q221" i="40"/>
  <c r="Q130" i="40"/>
  <c r="Q131" i="40"/>
  <c r="Q132" i="40"/>
  <c r="R165" i="40"/>
  <c r="R166" i="40"/>
  <c r="R167" i="40"/>
  <c r="R140" i="40"/>
  <c r="R141" i="40"/>
  <c r="S195" i="40"/>
  <c r="S196" i="40"/>
  <c r="S197" i="40"/>
  <c r="S70" i="40"/>
  <c r="R189" i="40"/>
  <c r="U64" i="40"/>
  <c r="T174" i="40"/>
  <c r="R180" i="40"/>
  <c r="R181" i="40"/>
  <c r="P172" i="40"/>
  <c r="S42" i="40"/>
  <c r="R119" i="40"/>
  <c r="Q135" i="40"/>
  <c r="Q136" i="40"/>
  <c r="Q137" i="40"/>
  <c r="Q230" i="40"/>
  <c r="Q231" i="40"/>
  <c r="Q232" i="40"/>
  <c r="R239" i="40"/>
  <c r="Q210" i="40"/>
  <c r="Q211" i="40"/>
  <c r="Q212" i="40"/>
  <c r="S82" i="40"/>
  <c r="R219" i="40"/>
  <c r="T84" i="40"/>
  <c r="S224" i="40"/>
  <c r="Q150" i="40"/>
  <c r="Q151" i="40"/>
  <c r="Q152" i="40"/>
  <c r="Q227" i="40"/>
  <c r="T88" i="40"/>
  <c r="S234" i="40"/>
  <c r="Q200" i="40"/>
  <c r="Q201" i="40"/>
  <c r="Q170" i="40"/>
  <c r="Q171" i="40"/>
  <c r="Q172" i="40"/>
  <c r="U72" i="40"/>
  <c r="T194" i="40"/>
  <c r="Q237" i="40"/>
  <c r="Q145" i="40"/>
  <c r="Q146" i="40"/>
  <c r="Q147" i="40"/>
  <c r="T66" i="40"/>
  <c r="S179" i="40"/>
  <c r="R115" i="40"/>
  <c r="R116" i="40"/>
  <c r="R117" i="40"/>
  <c r="R187" i="40"/>
  <c r="R215" i="40"/>
  <c r="R216" i="40"/>
  <c r="S48" i="40"/>
  <c r="R134" i="40"/>
  <c r="T76" i="40"/>
  <c r="S204" i="40"/>
  <c r="L37" i="26"/>
  <c r="L39" i="26"/>
  <c r="L36" i="26"/>
  <c r="L38" i="26"/>
  <c r="AD154" i="10"/>
  <c r="AD155" i="10"/>
  <c r="AE58" i="10"/>
  <c r="W54" i="10"/>
  <c r="V144" i="10"/>
  <c r="AC174" i="9"/>
  <c r="AD66" i="9"/>
  <c r="CB71" i="11"/>
  <c r="CA71" i="11"/>
  <c r="BZ71" i="11"/>
  <c r="BY71" i="11"/>
  <c r="BX71" i="11"/>
  <c r="BW71" i="11"/>
  <c r="BV71" i="11"/>
  <c r="BU71" i="11"/>
  <c r="BT71" i="11"/>
  <c r="BS71" i="11"/>
  <c r="BR71" i="11"/>
  <c r="BQ71" i="11"/>
  <c r="BP71" i="11"/>
  <c r="BO71" i="11"/>
  <c r="BN71" i="11"/>
  <c r="BM71" i="11"/>
  <c r="BL71" i="11"/>
  <c r="BK71" i="11"/>
  <c r="BJ71" i="11"/>
  <c r="BI71" i="11"/>
  <c r="BH71" i="11"/>
  <c r="BG71" i="11"/>
  <c r="BF71" i="11"/>
  <c r="BE71" i="11"/>
  <c r="BD71" i="11"/>
  <c r="BC71" i="11"/>
  <c r="BB71" i="11"/>
  <c r="BA71" i="11"/>
  <c r="AZ71" i="11"/>
  <c r="AY71" i="11"/>
  <c r="AX71" i="11"/>
  <c r="AW71" i="11"/>
  <c r="AV71" i="11"/>
  <c r="AU71" i="11"/>
  <c r="AT71" i="11"/>
  <c r="AS71" i="11"/>
  <c r="AR71" i="11"/>
  <c r="AQ71" i="11"/>
  <c r="AP71" i="11"/>
  <c r="AO71" i="11"/>
  <c r="AN71" i="11"/>
  <c r="AM71" i="11"/>
  <c r="AL71" i="11"/>
  <c r="AK71" i="11"/>
  <c r="AJ71" i="11"/>
  <c r="AI71" i="11"/>
  <c r="AH71" i="11"/>
  <c r="AG71" i="11"/>
  <c r="AF71" i="11"/>
  <c r="AE71" i="11"/>
  <c r="AD71" i="11"/>
  <c r="AC71" i="11"/>
  <c r="AB71" i="11"/>
  <c r="AA71" i="11"/>
  <c r="Z71" i="11"/>
  <c r="Y71" i="11"/>
  <c r="X71" i="11"/>
  <c r="W71" i="11"/>
  <c r="V71" i="11"/>
  <c r="U71" i="11"/>
  <c r="T71" i="11"/>
  <c r="S71" i="11"/>
  <c r="R71" i="11"/>
  <c r="Q71" i="11"/>
  <c r="P71" i="11"/>
  <c r="O71" i="11"/>
  <c r="N71" i="11"/>
  <c r="M71" i="11"/>
  <c r="L71" i="11"/>
  <c r="K71" i="11"/>
  <c r="J71" i="11"/>
  <c r="I71" i="11"/>
  <c r="H71" i="11"/>
  <c r="G71" i="11"/>
  <c r="F71" i="11"/>
  <c r="E71" i="11"/>
  <c r="D71" i="11"/>
  <c r="C71" i="11"/>
  <c r="CB184" i="11"/>
  <c r="CB185" i="11"/>
  <c r="AC169" i="10"/>
  <c r="AD64" i="10"/>
  <c r="AB209" i="10"/>
  <c r="AB210" i="10"/>
  <c r="AC80" i="10"/>
  <c r="BP80" i="8"/>
  <c r="BO209" i="8"/>
  <c r="J164" i="22"/>
  <c r="J166" i="22"/>
  <c r="K62" i="22"/>
  <c r="CA184" i="11"/>
  <c r="CA186" i="11"/>
  <c r="AB174" i="9"/>
  <c r="AB175" i="9"/>
  <c r="AB169" i="10"/>
  <c r="AB170" i="10"/>
  <c r="M78" i="22"/>
  <c r="L204" i="22"/>
  <c r="L206" i="22"/>
  <c r="BO60" i="11"/>
  <c r="BN159" i="11"/>
  <c r="BN161" i="11"/>
  <c r="L189" i="22"/>
  <c r="L191" i="22"/>
  <c r="M72" i="22"/>
  <c r="U144" i="10"/>
  <c r="U145" i="10"/>
  <c r="O62" i="10"/>
  <c r="N164" i="10"/>
  <c r="L78" i="9"/>
  <c r="K204" i="9"/>
  <c r="K205" i="9"/>
  <c r="Z169" i="22"/>
  <c r="Z170" i="22"/>
  <c r="Q184" i="10"/>
  <c r="Q185" i="10"/>
  <c r="R70" i="10"/>
  <c r="BR54" i="11"/>
  <c r="N66" i="10"/>
  <c r="M174" i="10"/>
  <c r="M176" i="10"/>
  <c r="Z66" i="22"/>
  <c r="X209" i="22"/>
  <c r="L64" i="9"/>
  <c r="L174" i="10"/>
  <c r="I164" i="22"/>
  <c r="I166" i="22"/>
  <c r="J70" i="22"/>
  <c r="H78" i="11"/>
  <c r="G204" i="11"/>
  <c r="G46" i="11"/>
  <c r="F124" i="11"/>
  <c r="C46" i="6"/>
  <c r="B138" i="6"/>
  <c r="B139" i="6"/>
  <c r="B140" i="6"/>
  <c r="B141" i="6"/>
  <c r="S74" i="11"/>
  <c r="R194" i="11"/>
  <c r="R195" i="11"/>
  <c r="P58" i="8"/>
  <c r="O154" i="8"/>
  <c r="H60" i="7"/>
  <c r="G159" i="7"/>
  <c r="G161" i="7"/>
  <c r="J78" i="7"/>
  <c r="I204" i="7"/>
  <c r="I62" i="8"/>
  <c r="H164" i="8"/>
  <c r="C56" i="11"/>
  <c r="D56" i="11"/>
  <c r="B57" i="11"/>
  <c r="C44" i="22"/>
  <c r="C119" i="22"/>
  <c r="B45" i="22"/>
  <c r="B77" i="7"/>
  <c r="C76" i="7"/>
  <c r="D76" i="7"/>
  <c r="B71" i="8"/>
  <c r="C70" i="8"/>
  <c r="B79" i="8"/>
  <c r="C78" i="8"/>
  <c r="C36" i="9"/>
  <c r="B37" i="9"/>
  <c r="C50" i="11"/>
  <c r="B51" i="11"/>
  <c r="C42" i="6"/>
  <c r="D42" i="6"/>
  <c r="B43" i="6"/>
  <c r="L15" i="6"/>
  <c r="L11" i="6"/>
  <c r="L7" i="6"/>
  <c r="L16" i="22"/>
  <c r="M16" i="22"/>
  <c r="O16" i="22"/>
  <c r="L12" i="22"/>
  <c r="N12" i="22"/>
  <c r="L8" i="22"/>
  <c r="L12" i="8"/>
  <c r="M12" i="8"/>
  <c r="O12" i="8"/>
  <c r="B59" i="7"/>
  <c r="C58" i="7"/>
  <c r="D58" i="7"/>
  <c r="E58" i="7"/>
  <c r="F58" i="7"/>
  <c r="C60" i="10"/>
  <c r="B61" i="10"/>
  <c r="C68" i="10"/>
  <c r="B69" i="10"/>
  <c r="C76" i="10"/>
  <c r="B77" i="10"/>
  <c r="B77" i="22"/>
  <c r="C76" i="22"/>
  <c r="C66" i="7"/>
  <c r="C62" i="9"/>
  <c r="B63" i="9"/>
  <c r="C76" i="11"/>
  <c r="B77" i="11"/>
  <c r="B57" i="22"/>
  <c r="C56" i="22"/>
  <c r="B49" i="7"/>
  <c r="C48" i="7"/>
  <c r="B33" i="7"/>
  <c r="C32" i="7"/>
  <c r="D32" i="7"/>
  <c r="E32" i="7"/>
  <c r="F32" i="7"/>
  <c r="G32" i="7"/>
  <c r="H32" i="7"/>
  <c r="I32" i="7"/>
  <c r="I89" i="7"/>
  <c r="C36" i="10"/>
  <c r="D36" i="10"/>
  <c r="L4" i="8"/>
  <c r="N4" i="8"/>
  <c r="L13" i="8"/>
  <c r="N13" i="8"/>
  <c r="L5" i="8"/>
  <c r="N5" i="8"/>
  <c r="B75" i="9"/>
  <c r="L9" i="10"/>
  <c r="M9" i="10"/>
  <c r="O9" i="10"/>
  <c r="B35" i="8"/>
  <c r="B45" i="8"/>
  <c r="B41" i="10"/>
  <c r="V35" i="26"/>
  <c r="AK36" i="26"/>
  <c r="AF38" i="26"/>
  <c r="AA37" i="26"/>
  <c r="V36" i="26"/>
  <c r="Q38" i="26"/>
  <c r="G38" i="26"/>
  <c r="B37" i="26"/>
  <c r="AK37" i="26"/>
  <c r="AF35" i="26"/>
  <c r="AF39" i="26"/>
  <c r="AA38" i="26"/>
  <c r="V37" i="26"/>
  <c r="Q39" i="26"/>
  <c r="G39" i="26"/>
  <c r="B38" i="26"/>
  <c r="AK38" i="26"/>
  <c r="AF36" i="26"/>
  <c r="AA39" i="26"/>
  <c r="V38" i="26"/>
  <c r="Q36" i="26"/>
  <c r="G36" i="26"/>
  <c r="G35" i="26"/>
  <c r="B39" i="26"/>
  <c r="AK39" i="26"/>
  <c r="AF37" i="26"/>
  <c r="AA36" i="26"/>
  <c r="V39" i="26"/>
  <c r="Q37" i="26"/>
  <c r="G37" i="26"/>
  <c r="B36" i="26"/>
  <c r="F38" i="35"/>
  <c r="G38" i="35"/>
  <c r="H38" i="35"/>
  <c r="J38" i="35"/>
  <c r="AB21" i="39"/>
  <c r="E40" i="11"/>
  <c r="D109" i="11"/>
  <c r="D110" i="11"/>
  <c r="D111" i="11"/>
  <c r="D112" i="11"/>
  <c r="B45" i="11"/>
  <c r="B37" i="11"/>
  <c r="B31" i="11"/>
  <c r="C38" i="11"/>
  <c r="D38" i="11"/>
  <c r="C50" i="10"/>
  <c r="C134" i="10"/>
  <c r="B134" i="10"/>
  <c r="B135" i="10"/>
  <c r="B51" i="10"/>
  <c r="B53" i="10"/>
  <c r="C52" i="10"/>
  <c r="B139" i="10"/>
  <c r="B140" i="10"/>
  <c r="B141" i="10"/>
  <c r="B142" i="10"/>
  <c r="C48" i="10"/>
  <c r="B49" i="10"/>
  <c r="B129" i="10"/>
  <c r="B130" i="10"/>
  <c r="B47" i="10"/>
  <c r="C46" i="10"/>
  <c r="B124" i="10"/>
  <c r="B125" i="10"/>
  <c r="B126" i="10"/>
  <c r="B127" i="10"/>
  <c r="C42" i="10"/>
  <c r="B114" i="10"/>
  <c r="B115" i="10"/>
  <c r="B116" i="10"/>
  <c r="B117" i="10"/>
  <c r="B43" i="10"/>
  <c r="B39" i="10"/>
  <c r="C38" i="10"/>
  <c r="B104" i="10"/>
  <c r="B105" i="10"/>
  <c r="B106" i="10"/>
  <c r="B107" i="10"/>
  <c r="C34" i="10"/>
  <c r="B35" i="10"/>
  <c r="B94" i="10"/>
  <c r="B95" i="10"/>
  <c r="B96" i="10"/>
  <c r="B97" i="10"/>
  <c r="B31" i="10"/>
  <c r="C30" i="10"/>
  <c r="B84" i="10"/>
  <c r="B85" i="10"/>
  <c r="D44" i="10"/>
  <c r="L5" i="10"/>
  <c r="M5" i="10"/>
  <c r="O5" i="10"/>
  <c r="C32" i="10"/>
  <c r="B45" i="10"/>
  <c r="B99" i="10"/>
  <c r="B100" i="10"/>
  <c r="B101" i="10"/>
  <c r="B102" i="10"/>
  <c r="B218" i="10"/>
  <c r="B33" i="10"/>
  <c r="C40" i="10"/>
  <c r="C54" i="22"/>
  <c r="C144" i="22"/>
  <c r="B144" i="22"/>
  <c r="B145" i="22"/>
  <c r="B146" i="22"/>
  <c r="B147" i="22"/>
  <c r="B55" i="22"/>
  <c r="C38" i="22"/>
  <c r="D38" i="22"/>
  <c r="B39" i="22"/>
  <c r="B104" i="22"/>
  <c r="B105" i="22"/>
  <c r="B59" i="22"/>
  <c r="B154" i="22"/>
  <c r="B155" i="22"/>
  <c r="B156" i="22"/>
  <c r="B157" i="22"/>
  <c r="C50" i="22"/>
  <c r="B51" i="22"/>
  <c r="B134" i="22"/>
  <c r="B135" i="22"/>
  <c r="B43" i="22"/>
  <c r="C42" i="22"/>
  <c r="B114" i="22"/>
  <c r="B115" i="22"/>
  <c r="B47" i="22"/>
  <c r="B49" i="22"/>
  <c r="D52" i="22"/>
  <c r="L4" i="22"/>
  <c r="B53" i="22"/>
  <c r="B99" i="22"/>
  <c r="B100" i="22"/>
  <c r="B37" i="22"/>
  <c r="B41" i="22"/>
  <c r="D50" i="8"/>
  <c r="D94" i="8"/>
  <c r="D95" i="8"/>
  <c r="D96" i="8"/>
  <c r="D97" i="8"/>
  <c r="C46" i="8"/>
  <c r="B51" i="8"/>
  <c r="E94" i="8"/>
  <c r="E95" i="8"/>
  <c r="D104" i="9"/>
  <c r="D105" i="9"/>
  <c r="D106" i="9"/>
  <c r="D107" i="9"/>
  <c r="AO171" i="8"/>
  <c r="AO170" i="8"/>
  <c r="S175" i="8"/>
  <c r="S176" i="8"/>
  <c r="B195" i="8"/>
  <c r="B196" i="8"/>
  <c r="AV211" i="8"/>
  <c r="F171" i="8"/>
  <c r="F170" i="8"/>
  <c r="Q176" i="8"/>
  <c r="Q175" i="8"/>
  <c r="BA211" i="8"/>
  <c r="BA210" i="8"/>
  <c r="E131" i="11"/>
  <c r="B190" i="9"/>
  <c r="M196" i="9"/>
  <c r="M197" i="9"/>
  <c r="J155" i="8"/>
  <c r="J175" i="8"/>
  <c r="B205" i="8"/>
  <c r="L14" i="7"/>
  <c r="M14" i="7"/>
  <c r="O14" i="7"/>
  <c r="B154" i="7"/>
  <c r="L194" i="7"/>
  <c r="Q179" i="7"/>
  <c r="AT189" i="7"/>
  <c r="AJ189" i="7"/>
  <c r="W209" i="7"/>
  <c r="BG149" i="7"/>
  <c r="Y169" i="7"/>
  <c r="G164" i="7"/>
  <c r="AY149" i="7"/>
  <c r="B209" i="7"/>
  <c r="H194" i="7"/>
  <c r="D179" i="7"/>
  <c r="H169" i="7"/>
  <c r="J194" i="7"/>
  <c r="N194" i="7"/>
  <c r="O194" i="7"/>
  <c r="Q149" i="7"/>
  <c r="J209" i="7"/>
  <c r="K194" i="7"/>
  <c r="P209" i="7"/>
  <c r="T179" i="7"/>
  <c r="V194" i="7"/>
  <c r="Y179" i="7"/>
  <c r="AE149" i="7"/>
  <c r="B164" i="7"/>
  <c r="AB189" i="7"/>
  <c r="AJ169" i="7"/>
  <c r="AL149" i="7"/>
  <c r="AV189" i="7"/>
  <c r="BE149" i="7"/>
  <c r="BX149" i="7"/>
  <c r="BO149" i="7"/>
  <c r="AO189" i="7"/>
  <c r="Y149" i="7"/>
  <c r="S194" i="7"/>
  <c r="I179" i="7"/>
  <c r="B194" i="7"/>
  <c r="E164" i="7"/>
  <c r="F209" i="7"/>
  <c r="H189" i="7"/>
  <c r="M179" i="7"/>
  <c r="E159" i="7"/>
  <c r="J149" i="7"/>
  <c r="S189" i="7"/>
  <c r="V189" i="7"/>
  <c r="AF149" i="7"/>
  <c r="AN149" i="7"/>
  <c r="CB149" i="7"/>
  <c r="BD149" i="7"/>
  <c r="C184" i="7"/>
  <c r="L8" i="7"/>
  <c r="M8" i="7"/>
  <c r="O8" i="7"/>
  <c r="F169" i="7"/>
  <c r="AL169" i="7"/>
  <c r="D204" i="7"/>
  <c r="N189" i="7"/>
  <c r="N190" i="7"/>
  <c r="S209" i="7"/>
  <c r="S210" i="7"/>
  <c r="BC149" i="7"/>
  <c r="AC149" i="7"/>
  <c r="AC150" i="7"/>
  <c r="C194" i="7"/>
  <c r="F159" i="7"/>
  <c r="B109" i="7"/>
  <c r="B110" i="7"/>
  <c r="B111" i="7"/>
  <c r="B112" i="7"/>
  <c r="L179" i="7"/>
  <c r="L180" i="7"/>
  <c r="B174" i="7"/>
  <c r="D189" i="7"/>
  <c r="D190" i="7"/>
  <c r="E209" i="7"/>
  <c r="F189" i="7"/>
  <c r="F190" i="7"/>
  <c r="H179" i="7"/>
  <c r="F149" i="7"/>
  <c r="F150" i="7"/>
  <c r="I209" i="7"/>
  <c r="I211" i="7"/>
  <c r="K149" i="7"/>
  <c r="K151" i="7"/>
  <c r="O149" i="7"/>
  <c r="O150" i="7"/>
  <c r="P189" i="7"/>
  <c r="P190" i="7"/>
  <c r="R179" i="7"/>
  <c r="L209" i="7"/>
  <c r="L211" i="7"/>
  <c r="P194" i="7"/>
  <c r="P196" i="7"/>
  <c r="S169" i="7"/>
  <c r="S170" i="7"/>
  <c r="U179" i="7"/>
  <c r="U181" i="7"/>
  <c r="W179" i="7"/>
  <c r="W180" i="7"/>
  <c r="AA149" i="7"/>
  <c r="AA151" i="7"/>
  <c r="AE189" i="7"/>
  <c r="E194" i="7"/>
  <c r="M149" i="7"/>
  <c r="R149" i="7"/>
  <c r="R151" i="7"/>
  <c r="W169" i="7"/>
  <c r="AM149" i="7"/>
  <c r="AM150" i="7"/>
  <c r="AS149" i="7"/>
  <c r="BA149" i="7"/>
  <c r="BA150" i="7"/>
  <c r="BF149" i="7"/>
  <c r="BU149" i="7"/>
  <c r="BU150" i="7"/>
  <c r="BL149" i="7"/>
  <c r="BL150" i="7"/>
  <c r="AN189" i="7"/>
  <c r="AN191" i="7"/>
  <c r="AI189" i="7"/>
  <c r="Q194" i="7"/>
  <c r="Q196" i="7"/>
  <c r="C199" i="7"/>
  <c r="G179" i="7"/>
  <c r="K189" i="7"/>
  <c r="K191" i="7"/>
  <c r="P149" i="7"/>
  <c r="G209" i="7"/>
  <c r="G210" i="7"/>
  <c r="J179" i="7"/>
  <c r="T209" i="7"/>
  <c r="W189" i="7"/>
  <c r="W191" i="7"/>
  <c r="AB169" i="7"/>
  <c r="AB171" i="7"/>
  <c r="AG149" i="7"/>
  <c r="AR189" i="7"/>
  <c r="AR190" i="7"/>
  <c r="BV149" i="7"/>
  <c r="AQ149" i="7"/>
  <c r="I194" i="7"/>
  <c r="I195" i="7"/>
  <c r="C204" i="7"/>
  <c r="C205" i="7"/>
  <c r="L3" i="11"/>
  <c r="M3" i="11"/>
  <c r="O3" i="11"/>
  <c r="J139" i="11"/>
  <c r="W164" i="11"/>
  <c r="B124" i="11"/>
  <c r="BD184" i="11"/>
  <c r="AG184" i="11"/>
  <c r="AM154" i="11"/>
  <c r="AF154" i="11"/>
  <c r="AF156" i="11"/>
  <c r="F154" i="11"/>
  <c r="F155" i="11"/>
  <c r="K179" i="11"/>
  <c r="B164" i="11"/>
  <c r="B165" i="11"/>
  <c r="Z176" i="9"/>
  <c r="Z175" i="9"/>
  <c r="H201" i="8"/>
  <c r="H200" i="8"/>
  <c r="L210" i="9"/>
  <c r="BU170" i="8"/>
  <c r="BU171" i="8"/>
  <c r="N195" i="9"/>
  <c r="D166" i="8"/>
  <c r="AD211" i="8"/>
  <c r="AG210" i="8"/>
  <c r="AB170" i="8"/>
  <c r="AB171" i="8"/>
  <c r="AB145" i="11"/>
  <c r="E196" i="9"/>
  <c r="E197" i="9"/>
  <c r="AW199" i="6"/>
  <c r="AW200" i="6"/>
  <c r="C89" i="7"/>
  <c r="C90" i="7"/>
  <c r="Y180" i="9"/>
  <c r="Y181" i="9"/>
  <c r="Z204" i="10"/>
  <c r="AA78" i="10"/>
  <c r="AG196" i="9"/>
  <c r="AG195" i="9"/>
  <c r="X194" i="22"/>
  <c r="Y74" i="22"/>
  <c r="X70" i="7"/>
  <c r="W184" i="7"/>
  <c r="U68" i="8"/>
  <c r="T179" i="8"/>
  <c r="T199" i="8"/>
  <c r="U76" i="8"/>
  <c r="BY72" i="7"/>
  <c r="BX189" i="7"/>
  <c r="BX190" i="7"/>
  <c r="AB70" i="9"/>
  <c r="AA184" i="9"/>
  <c r="AA149" i="10"/>
  <c r="AB56" i="10"/>
  <c r="X68" i="22"/>
  <c r="W179" i="22"/>
  <c r="W180" i="22"/>
  <c r="AA169" i="22"/>
  <c r="AB64" i="22"/>
  <c r="AC209" i="9"/>
  <c r="AD80" i="9"/>
  <c r="V159" i="22"/>
  <c r="W60" i="22"/>
  <c r="BX64" i="8"/>
  <c r="BW169" i="8"/>
  <c r="AI196" i="9"/>
  <c r="AI197" i="9"/>
  <c r="AB209" i="9"/>
  <c r="AB210" i="9"/>
  <c r="Z68" i="9"/>
  <c r="AM30" i="22"/>
  <c r="AI72" i="10"/>
  <c r="BV169" i="8"/>
  <c r="R200" i="8"/>
  <c r="H72" i="8"/>
  <c r="G189" i="8"/>
  <c r="G191" i="8"/>
  <c r="Y74" i="10"/>
  <c r="X194" i="10"/>
  <c r="Z80" i="22"/>
  <c r="Y209" i="22"/>
  <c r="P175" i="9"/>
  <c r="BK68" i="11"/>
  <c r="BJ179" i="11"/>
  <c r="BJ180" i="11"/>
  <c r="S60" i="8"/>
  <c r="BN169" i="11"/>
  <c r="BO64" i="11"/>
  <c r="BK62" i="11"/>
  <c r="BJ164" i="11"/>
  <c r="F189" i="8"/>
  <c r="F191" i="8"/>
  <c r="AE179" i="11"/>
  <c r="H164" i="7"/>
  <c r="AN169" i="7"/>
  <c r="Y74" i="8"/>
  <c r="X194" i="8"/>
  <c r="AA80" i="7"/>
  <c r="T72" i="11"/>
  <c r="S189" i="11"/>
  <c r="AH52" i="11"/>
  <c r="AG139" i="11"/>
  <c r="W80" i="11"/>
  <c r="V209" i="11"/>
  <c r="AD48" i="11"/>
  <c r="AC129" i="11"/>
  <c r="W66" i="8"/>
  <c r="V174" i="8"/>
  <c r="V66" i="11"/>
  <c r="U174" i="11"/>
  <c r="X74" i="7"/>
  <c r="W194" i="7"/>
  <c r="AE68" i="7"/>
  <c r="AD179" i="7"/>
  <c r="A6" i="2"/>
  <c r="C32" i="22"/>
  <c r="L13" i="7"/>
  <c r="M13" i="7"/>
  <c r="O13" i="7"/>
  <c r="L9" i="7"/>
  <c r="L6" i="7"/>
  <c r="M6" i="7"/>
  <c r="O6" i="7"/>
  <c r="B57" i="8"/>
  <c r="L3" i="8"/>
  <c r="N3" i="8"/>
  <c r="L16" i="1"/>
  <c r="C46" i="7"/>
  <c r="D46" i="7"/>
  <c r="E46" i="7"/>
  <c r="L7" i="7"/>
  <c r="M7" i="7"/>
  <c r="O7" i="7"/>
  <c r="L12" i="7"/>
  <c r="M12" i="7"/>
  <c r="O12" i="7"/>
  <c r="L9" i="8"/>
  <c r="M9" i="8"/>
  <c r="O9" i="8"/>
  <c r="L14" i="8"/>
  <c r="M14" i="8"/>
  <c r="O14" i="8"/>
  <c r="L8" i="8"/>
  <c r="M8" i="8"/>
  <c r="O8" i="8"/>
  <c r="N189" i="10"/>
  <c r="I26" i="30"/>
  <c r="I27" i="30"/>
  <c r="A7" i="26"/>
  <c r="AO7" i="26"/>
  <c r="P5" i="26"/>
  <c r="A6" i="26"/>
  <c r="AO6" i="26"/>
  <c r="B194" i="22"/>
  <c r="AJ5" i="26"/>
  <c r="C76" i="9"/>
  <c r="BY168" i="6"/>
  <c r="L17" i="6"/>
  <c r="M17" i="6"/>
  <c r="O17" i="6"/>
  <c r="L18" i="6"/>
  <c r="N18" i="6"/>
  <c r="C72" i="9"/>
  <c r="L64" i="37"/>
  <c r="M63" i="37"/>
  <c r="F25" i="30"/>
  <c r="G25" i="30"/>
  <c r="F26" i="30"/>
  <c r="G26" i="30"/>
  <c r="AE196" i="9"/>
  <c r="AC195" i="9"/>
  <c r="AC196" i="9"/>
  <c r="P161" i="8"/>
  <c r="AA195" i="9"/>
  <c r="AA196" i="9"/>
  <c r="I201" i="8"/>
  <c r="I200" i="8"/>
  <c r="K210" i="9"/>
  <c r="K211" i="9"/>
  <c r="C161" i="8"/>
  <c r="G210" i="9"/>
  <c r="G211" i="9"/>
  <c r="R210" i="9"/>
  <c r="O181" i="9"/>
  <c r="K161" i="8"/>
  <c r="Z210" i="9"/>
  <c r="Y211" i="9"/>
  <c r="Y212" i="9"/>
  <c r="Q180" i="8"/>
  <c r="Q180" i="9"/>
  <c r="Q181" i="9"/>
  <c r="M180" i="8"/>
  <c r="Q210" i="9"/>
  <c r="Q211" i="9"/>
  <c r="P186" i="9"/>
  <c r="BI181" i="11"/>
  <c r="BP171" i="8"/>
  <c r="BP172" i="8"/>
  <c r="O161" i="8"/>
  <c r="O160" i="8"/>
  <c r="BL210" i="8"/>
  <c r="BK170" i="8"/>
  <c r="BK210" i="8"/>
  <c r="BK211" i="8"/>
  <c r="BH171" i="8"/>
  <c r="BH172" i="8"/>
  <c r="D180" i="8"/>
  <c r="D181" i="9"/>
  <c r="D182" i="9"/>
  <c r="G33" i="34"/>
  <c r="H33" i="34"/>
  <c r="J33" i="34"/>
  <c r="AA16" i="39"/>
  <c r="F34" i="34"/>
  <c r="G46" i="34"/>
  <c r="H46" i="34"/>
  <c r="J46" i="34"/>
  <c r="AA29" i="39"/>
  <c r="F47" i="34"/>
  <c r="H34" i="8"/>
  <c r="G94" i="8"/>
  <c r="C54" i="8"/>
  <c r="C144" i="8"/>
  <c r="B55" i="8"/>
  <c r="B144" i="8"/>
  <c r="B145" i="8"/>
  <c r="B146" i="8"/>
  <c r="B147" i="8"/>
  <c r="B43" i="8"/>
  <c r="C42" i="8"/>
  <c r="B114" i="8"/>
  <c r="B115" i="8"/>
  <c r="B116" i="8"/>
  <c r="B117" i="8"/>
  <c r="B104" i="8"/>
  <c r="B105" i="8"/>
  <c r="B106" i="8"/>
  <c r="B107" i="8"/>
  <c r="C38" i="8"/>
  <c r="D38" i="8"/>
  <c r="E38" i="8"/>
  <c r="F38" i="8"/>
  <c r="G38" i="8"/>
  <c r="F94" i="8"/>
  <c r="F95" i="8"/>
  <c r="F96" i="8"/>
  <c r="F97" i="8"/>
  <c r="B134" i="8"/>
  <c r="B135" i="8"/>
  <c r="C94" i="8"/>
  <c r="C95" i="8"/>
  <c r="L15" i="8"/>
  <c r="M15" i="8"/>
  <c r="O15" i="8"/>
  <c r="C44" i="8"/>
  <c r="E44" i="7"/>
  <c r="F44" i="7"/>
  <c r="D119" i="7"/>
  <c r="D120" i="7"/>
  <c r="D121" i="7"/>
  <c r="D122" i="7"/>
  <c r="B84" i="7"/>
  <c r="B85" i="7"/>
  <c r="B89" i="7"/>
  <c r="B90" i="7"/>
  <c r="B104" i="7"/>
  <c r="B41" i="7"/>
  <c r="J164" i="7"/>
  <c r="K62" i="7"/>
  <c r="C36" i="8"/>
  <c r="C99" i="8"/>
  <c r="C100" i="8"/>
  <c r="B37" i="8"/>
  <c r="B33" i="11"/>
  <c r="C32" i="11"/>
  <c r="L10" i="9"/>
  <c r="N10" i="9"/>
  <c r="L17" i="9"/>
  <c r="N17" i="9"/>
  <c r="L13" i="9"/>
  <c r="N13" i="9"/>
  <c r="L11" i="7"/>
  <c r="N11" i="7"/>
  <c r="L3" i="7"/>
  <c r="M3" i="7"/>
  <c r="O3" i="7"/>
  <c r="L10" i="7"/>
  <c r="N10" i="7"/>
  <c r="L2" i="6"/>
  <c r="D30" i="9"/>
  <c r="B53" i="9"/>
  <c r="C52" i="9"/>
  <c r="B181" i="1"/>
  <c r="B182" i="1"/>
  <c r="B183" i="1"/>
  <c r="B184" i="1"/>
  <c r="B69" i="1"/>
  <c r="L3" i="1"/>
  <c r="E30" i="1"/>
  <c r="C52" i="1"/>
  <c r="B141" i="1"/>
  <c r="B142" i="1"/>
  <c r="B143" i="1"/>
  <c r="B144" i="1"/>
  <c r="B233" i="1"/>
  <c r="B59" i="1"/>
  <c r="B156" i="1"/>
  <c r="B157" i="1"/>
  <c r="B96" i="1"/>
  <c r="B97" i="1"/>
  <c r="B35" i="1"/>
  <c r="C34" i="1"/>
  <c r="B91" i="1"/>
  <c r="B92" i="1"/>
  <c r="B33" i="1"/>
  <c r="C86" i="1"/>
  <c r="C87" i="1"/>
  <c r="C88" i="1"/>
  <c r="C89" i="1"/>
  <c r="E32" i="1"/>
  <c r="E151" i="1"/>
  <c r="E152" i="1"/>
  <c r="N14" i="1"/>
  <c r="B31" i="1"/>
  <c r="B86" i="1"/>
  <c r="B87" i="1"/>
  <c r="B88" i="1"/>
  <c r="B89" i="1"/>
  <c r="C101" i="1"/>
  <c r="C102" i="1"/>
  <c r="C103" i="1"/>
  <c r="C104" i="1"/>
  <c r="B37" i="1"/>
  <c r="C151" i="1"/>
  <c r="C152" i="1"/>
  <c r="B101" i="1"/>
  <c r="B102" i="1"/>
  <c r="C68" i="1"/>
  <c r="C58" i="1"/>
  <c r="C60" i="1"/>
  <c r="D60" i="1"/>
  <c r="B61" i="1"/>
  <c r="C44" i="1"/>
  <c r="D44" i="1"/>
  <c r="B45" i="1"/>
  <c r="B81" i="1"/>
  <c r="B211" i="1"/>
  <c r="B212" i="1"/>
  <c r="B213" i="1"/>
  <c r="B214" i="1"/>
  <c r="B77" i="1"/>
  <c r="B201" i="1"/>
  <c r="B202" i="1"/>
  <c r="B203" i="1"/>
  <c r="B204" i="1"/>
  <c r="L24" i="1"/>
  <c r="B75" i="1"/>
  <c r="C72" i="1"/>
  <c r="D72" i="1"/>
  <c r="B191" i="1"/>
  <c r="B192" i="1"/>
  <c r="B193" i="1"/>
  <c r="B194" i="1"/>
  <c r="L20" i="1"/>
  <c r="M20" i="1"/>
  <c r="O20" i="1"/>
  <c r="C64" i="1"/>
  <c r="N18" i="1"/>
  <c r="B57" i="1"/>
  <c r="L12" i="1"/>
  <c r="M12" i="1"/>
  <c r="O12" i="1"/>
  <c r="C48" i="1"/>
  <c r="N10" i="1"/>
  <c r="L8" i="1"/>
  <c r="M8" i="1"/>
  <c r="O8" i="1"/>
  <c r="L27" i="1"/>
  <c r="L23" i="1"/>
  <c r="L19" i="1"/>
  <c r="N19" i="1"/>
  <c r="L15" i="1"/>
  <c r="L11" i="1"/>
  <c r="L7" i="1"/>
  <c r="B136" i="1"/>
  <c r="B137" i="1"/>
  <c r="B138" i="1"/>
  <c r="B139" i="1"/>
  <c r="B51" i="1"/>
  <c r="C50" i="1"/>
  <c r="G151" i="1"/>
  <c r="G152" i="1"/>
  <c r="G153" i="1"/>
  <c r="G154" i="1"/>
  <c r="A8" i="26"/>
  <c r="F7" i="26"/>
  <c r="AJ7" i="26"/>
  <c r="U5" i="26"/>
  <c r="K5" i="26"/>
  <c r="Z5" i="26"/>
  <c r="P7" i="26"/>
  <c r="F5" i="26"/>
  <c r="C144" i="9"/>
  <c r="C145" i="9"/>
  <c r="C146" i="9"/>
  <c r="C147" i="9"/>
  <c r="Z186" i="9"/>
  <c r="S200" i="8"/>
  <c r="W185" i="9"/>
  <c r="BT170" i="8"/>
  <c r="U185" i="9"/>
  <c r="BQ170" i="8"/>
  <c r="M160" i="8"/>
  <c r="Q186" i="9"/>
  <c r="Q187" i="9"/>
  <c r="M175" i="9"/>
  <c r="M210" i="9"/>
  <c r="J170" i="9"/>
  <c r="N186" i="9"/>
  <c r="M186" i="9"/>
  <c r="M187" i="9"/>
  <c r="L186" i="9"/>
  <c r="L185" i="9"/>
  <c r="E190" i="8"/>
  <c r="E191" i="8"/>
  <c r="P196" i="9"/>
  <c r="J201" i="8"/>
  <c r="J200" i="8"/>
  <c r="BI171" i="8"/>
  <c r="BI170" i="8"/>
  <c r="G206" i="9"/>
  <c r="G205" i="9"/>
  <c r="D200" i="8"/>
  <c r="E185" i="7"/>
  <c r="F30" i="11"/>
  <c r="G30" i="11"/>
  <c r="E84" i="11"/>
  <c r="D44" i="22"/>
  <c r="B37" i="7"/>
  <c r="B31" i="7"/>
  <c r="B39" i="6"/>
  <c r="B47" i="6"/>
  <c r="C98" i="6"/>
  <c r="C99" i="6"/>
  <c r="C100" i="6"/>
  <c r="C101" i="6"/>
  <c r="C44" i="6"/>
  <c r="B133" i="6"/>
  <c r="B134" i="6"/>
  <c r="B135" i="6"/>
  <c r="B136" i="6"/>
  <c r="B45" i="6"/>
  <c r="C40" i="6"/>
  <c r="B41" i="6"/>
  <c r="B123" i="6"/>
  <c r="C36" i="6"/>
  <c r="B37" i="6"/>
  <c r="B113" i="6"/>
  <c r="B114" i="6"/>
  <c r="B115" i="6"/>
  <c r="B116" i="6"/>
  <c r="C32" i="6"/>
  <c r="B103" i="6"/>
  <c r="B104" i="6"/>
  <c r="B105" i="6"/>
  <c r="B106" i="6"/>
  <c r="B33" i="6"/>
  <c r="B29" i="6"/>
  <c r="C28" i="6"/>
  <c r="B93" i="6"/>
  <c r="B94" i="6"/>
  <c r="B95" i="6"/>
  <c r="B96" i="6"/>
  <c r="B25" i="6"/>
  <c r="C24" i="6"/>
  <c r="B83" i="6"/>
  <c r="B84" i="6"/>
  <c r="B85" i="6"/>
  <c r="B86" i="6"/>
  <c r="B23" i="6"/>
  <c r="B78" i="6"/>
  <c r="B79" i="6"/>
  <c r="C22" i="6"/>
  <c r="C34" i="6"/>
  <c r="C26" i="6"/>
  <c r="B128" i="6"/>
  <c r="B129" i="6"/>
  <c r="B130" i="6"/>
  <c r="B131" i="6"/>
  <c r="B118" i="6"/>
  <c r="B119" i="6"/>
  <c r="B55" i="9"/>
  <c r="B51" i="9"/>
  <c r="B43" i="1"/>
  <c r="B116" i="1"/>
  <c r="B117" i="1"/>
  <c r="C42" i="1"/>
  <c r="E82" i="1"/>
  <c r="D216" i="1"/>
  <c r="D218" i="1"/>
  <c r="W211" i="9"/>
  <c r="W212" i="9"/>
  <c r="U210" i="9"/>
  <c r="Q161" i="8"/>
  <c r="Q162" i="8"/>
  <c r="S176" i="9"/>
  <c r="S177" i="9"/>
  <c r="R176" i="9"/>
  <c r="R177" i="9"/>
  <c r="L180" i="9"/>
  <c r="L181" i="9"/>
  <c r="I211" i="9"/>
  <c r="I212" i="9"/>
  <c r="I186" i="9"/>
  <c r="I185" i="9"/>
  <c r="L9" i="11"/>
  <c r="M9" i="11"/>
  <c r="O9" i="11"/>
  <c r="B94" i="22"/>
  <c r="B95" i="22"/>
  <c r="C119" i="11"/>
  <c r="D44" i="11"/>
  <c r="G33" i="36"/>
  <c r="H33" i="36"/>
  <c r="J33" i="36"/>
  <c r="AC16" i="39"/>
  <c r="F34" i="36"/>
  <c r="G34" i="36"/>
  <c r="C48" i="22"/>
  <c r="C34" i="22"/>
  <c r="E109" i="7"/>
  <c r="E110" i="7"/>
  <c r="B114" i="7"/>
  <c r="B115" i="7"/>
  <c r="B116" i="7"/>
  <c r="B117" i="7"/>
  <c r="B43" i="7"/>
  <c r="C42" i="7"/>
  <c r="B94" i="7"/>
  <c r="B95" i="7"/>
  <c r="C34" i="7"/>
  <c r="B35" i="7"/>
  <c r="D38" i="7"/>
  <c r="C104" i="7"/>
  <c r="C105" i="7"/>
  <c r="C106" i="7"/>
  <c r="C107" i="7"/>
  <c r="D36" i="7"/>
  <c r="L2" i="7"/>
  <c r="B47" i="7"/>
  <c r="B39" i="7"/>
  <c r="B45" i="7"/>
  <c r="B124" i="7"/>
  <c r="D109" i="7"/>
  <c r="D110" i="7"/>
  <c r="D111" i="7"/>
  <c r="D112" i="7"/>
  <c r="L5" i="7"/>
  <c r="M5" i="7"/>
  <c r="O5" i="7"/>
  <c r="D30" i="7"/>
  <c r="E89" i="7"/>
  <c r="E90" i="7"/>
  <c r="E91" i="7"/>
  <c r="E92" i="7"/>
  <c r="F38" i="9"/>
  <c r="C60" i="9"/>
  <c r="D60" i="9"/>
  <c r="B159" i="9"/>
  <c r="B160" i="9"/>
  <c r="B161" i="9"/>
  <c r="B162" i="9"/>
  <c r="C40" i="9"/>
  <c r="D40" i="9"/>
  <c r="B109" i="9"/>
  <c r="B110" i="9"/>
  <c r="B111" i="9"/>
  <c r="B112" i="9"/>
  <c r="B35" i="9"/>
  <c r="C34" i="9"/>
  <c r="B94" i="9"/>
  <c r="B95" i="9"/>
  <c r="B96" i="9"/>
  <c r="B97" i="9"/>
  <c r="G54" i="9"/>
  <c r="F144" i="9"/>
  <c r="F145" i="9"/>
  <c r="F146" i="9"/>
  <c r="F147" i="9"/>
  <c r="B139" i="9"/>
  <c r="B140" i="9"/>
  <c r="L8" i="9"/>
  <c r="N8" i="9"/>
  <c r="B42" i="9"/>
  <c r="E144" i="9"/>
  <c r="E145" i="9"/>
  <c r="E146" i="9"/>
  <c r="E147" i="9"/>
  <c r="L12" i="9"/>
  <c r="N12" i="9"/>
  <c r="C46" i="9"/>
  <c r="L16" i="9"/>
  <c r="M16" i="9"/>
  <c r="O16" i="9"/>
  <c r="C134" i="9"/>
  <c r="C135" i="9"/>
  <c r="B57" i="9"/>
  <c r="C56" i="9"/>
  <c r="B149" i="9"/>
  <c r="C48" i="9"/>
  <c r="B49" i="9"/>
  <c r="B129" i="9"/>
  <c r="B130" i="9"/>
  <c r="B131" i="9"/>
  <c r="B132" i="9"/>
  <c r="C44" i="9"/>
  <c r="B61" i="9"/>
  <c r="B41" i="9"/>
  <c r="E76" i="1"/>
  <c r="D201" i="1"/>
  <c r="C161" i="1"/>
  <c r="B79" i="1"/>
  <c r="C78" i="1"/>
  <c r="B206" i="1"/>
  <c r="B207" i="1"/>
  <c r="B208" i="1"/>
  <c r="B209" i="1"/>
  <c r="B186" i="1"/>
  <c r="B187" i="1"/>
  <c r="B188" i="1"/>
  <c r="B189" i="1"/>
  <c r="B71" i="1"/>
  <c r="C70" i="1"/>
  <c r="E66" i="1"/>
  <c r="D176" i="1"/>
  <c r="D177" i="1"/>
  <c r="D178" i="1"/>
  <c r="D179" i="1"/>
  <c r="C201" i="1"/>
  <c r="C202" i="1"/>
  <c r="C203" i="1"/>
  <c r="C204" i="1"/>
  <c r="C74" i="1"/>
  <c r="Y176" i="9"/>
  <c r="Y177" i="9"/>
  <c r="J160" i="8"/>
  <c r="BN210" i="8"/>
  <c r="J175" i="9"/>
  <c r="H206" i="9"/>
  <c r="H207" i="9"/>
  <c r="L8" i="11"/>
  <c r="M8" i="11"/>
  <c r="O8" i="11"/>
  <c r="AK35" i="26"/>
  <c r="Q35" i="26"/>
  <c r="B35" i="26"/>
  <c r="L35" i="26"/>
  <c r="AA35" i="26"/>
  <c r="BN126" i="2"/>
  <c r="BN5" i="2"/>
  <c r="J5" i="20"/>
  <c r="BN125" i="2"/>
  <c r="BN4" i="2"/>
  <c r="J4" i="20"/>
  <c r="H114" i="11"/>
  <c r="I42" i="11"/>
  <c r="BE125" i="2"/>
  <c r="BE126" i="2"/>
  <c r="AV126" i="2"/>
  <c r="AV5" i="2"/>
  <c r="H5" i="20"/>
  <c r="AV125" i="2"/>
  <c r="AV4" i="2"/>
  <c r="H4" i="20"/>
  <c r="AM126" i="2"/>
  <c r="AM5" i="2"/>
  <c r="G5" i="20"/>
  <c r="AM125" i="2"/>
  <c r="AM4" i="2"/>
  <c r="G4" i="20"/>
  <c r="AD126" i="2"/>
  <c r="AD5" i="2"/>
  <c r="F5" i="20"/>
  <c r="AD125" i="2"/>
  <c r="AD4" i="2"/>
  <c r="F4" i="20"/>
  <c r="U126" i="2"/>
  <c r="U5" i="2"/>
  <c r="E5" i="20"/>
  <c r="U125" i="2"/>
  <c r="U4" i="2"/>
  <c r="E4" i="20"/>
  <c r="L125" i="2"/>
  <c r="L4" i="2"/>
  <c r="N4" i="2"/>
  <c r="L126" i="2"/>
  <c r="L5" i="2"/>
  <c r="D5" i="20"/>
  <c r="C125" i="2"/>
  <c r="C4" i="2"/>
  <c r="E4" i="2"/>
  <c r="C126" i="2"/>
  <c r="C5" i="2"/>
  <c r="E5" i="2"/>
  <c r="C4" i="20"/>
  <c r="I175" i="10"/>
  <c r="O196" i="9"/>
  <c r="O197" i="9"/>
  <c r="G36" i="37"/>
  <c r="H36" i="37"/>
  <c r="J36" i="37"/>
  <c r="AD19" i="39"/>
  <c r="F37" i="37"/>
  <c r="G31" i="37"/>
  <c r="H31" i="37"/>
  <c r="J31" i="37"/>
  <c r="AD14" i="39"/>
  <c r="F32" i="37"/>
  <c r="G32" i="37"/>
  <c r="F34" i="37"/>
  <c r="G33" i="37"/>
  <c r="H33" i="37"/>
  <c r="J33" i="37"/>
  <c r="AD16" i="39"/>
  <c r="E41" i="37"/>
  <c r="F41" i="37"/>
  <c r="AC12" i="39"/>
  <c r="AC7" i="39"/>
  <c r="G46" i="36"/>
  <c r="H46" i="36"/>
  <c r="J46" i="36"/>
  <c r="F47" i="36"/>
  <c r="F32" i="36"/>
  <c r="G32" i="36"/>
  <c r="G31" i="36"/>
  <c r="H31" i="36"/>
  <c r="J31" i="36"/>
  <c r="AC5" i="39"/>
  <c r="U22" i="36"/>
  <c r="AC9" i="39"/>
  <c r="AC11" i="39"/>
  <c r="G36" i="36"/>
  <c r="H36" i="36"/>
  <c r="J36" i="36"/>
  <c r="F37" i="36"/>
  <c r="AC13" i="39"/>
  <c r="AC8" i="39"/>
  <c r="AC10" i="39"/>
  <c r="F42" i="36"/>
  <c r="G41" i="36"/>
  <c r="H41" i="36"/>
  <c r="J41" i="36"/>
  <c r="E23" i="36"/>
  <c r="F23" i="36"/>
  <c r="G23" i="36"/>
  <c r="H23" i="36"/>
  <c r="J23" i="36"/>
  <c r="U22" i="35"/>
  <c r="AB5" i="39"/>
  <c r="AB11" i="39"/>
  <c r="AB12" i="39"/>
  <c r="G40" i="35"/>
  <c r="H40" i="35"/>
  <c r="J40" i="35"/>
  <c r="F41" i="35"/>
  <c r="G41" i="35"/>
  <c r="AB10" i="39"/>
  <c r="AB19" i="39"/>
  <c r="AB15" i="39"/>
  <c r="AB9" i="39"/>
  <c r="AB22" i="39"/>
  <c r="AB8" i="39"/>
  <c r="AB34" i="39"/>
  <c r="AB20" i="39"/>
  <c r="AB18" i="39"/>
  <c r="AB16" i="39"/>
  <c r="AB14" i="39"/>
  <c r="AB6" i="39"/>
  <c r="AB7" i="39"/>
  <c r="AA10" i="39"/>
  <c r="G31" i="34"/>
  <c r="H31" i="34"/>
  <c r="J31" i="34"/>
  <c r="F32" i="34"/>
  <c r="G32" i="34"/>
  <c r="G36" i="34"/>
  <c r="F37" i="34"/>
  <c r="AA11" i="39"/>
  <c r="AA7" i="39"/>
  <c r="AA8" i="39"/>
  <c r="AA12" i="39"/>
  <c r="AA6" i="39"/>
  <c r="AA9" i="39"/>
  <c r="AA13" i="39"/>
  <c r="F42" i="34"/>
  <c r="G41" i="34"/>
  <c r="H41" i="34"/>
  <c r="J41" i="34"/>
  <c r="E22" i="34"/>
  <c r="F22" i="34"/>
  <c r="G22" i="34"/>
  <c r="H22" i="34"/>
  <c r="J22" i="34"/>
  <c r="U22" i="33"/>
  <c r="Z5" i="39"/>
  <c r="Z14" i="39"/>
  <c r="Z11" i="39"/>
  <c r="Z7" i="39"/>
  <c r="Z10" i="39"/>
  <c r="Z6" i="39"/>
  <c r="Z13" i="39"/>
  <c r="F42" i="33"/>
  <c r="G41" i="33"/>
  <c r="H41" i="33"/>
  <c r="J41" i="33"/>
  <c r="F37" i="33"/>
  <c r="G36" i="33"/>
  <c r="H36" i="33"/>
  <c r="J36" i="33"/>
  <c r="Z8" i="39"/>
  <c r="Z12" i="39"/>
  <c r="Z9" i="39"/>
  <c r="F47" i="33"/>
  <c r="G46" i="33"/>
  <c r="H46" i="33"/>
  <c r="J46" i="33"/>
  <c r="G46" i="32"/>
  <c r="H46" i="32"/>
  <c r="J46" i="32"/>
  <c r="F47" i="32"/>
  <c r="G41" i="32"/>
  <c r="H41" i="32"/>
  <c r="J41" i="32"/>
  <c r="F42" i="32"/>
  <c r="Y7" i="39"/>
  <c r="Y11" i="39"/>
  <c r="Y15" i="39"/>
  <c r="Y14" i="39"/>
  <c r="Y10" i="39"/>
  <c r="Y6" i="39"/>
  <c r="Y5" i="39"/>
  <c r="U22" i="32"/>
  <c r="Y8" i="39"/>
  <c r="Y12" i="39"/>
  <c r="Y9" i="39"/>
  <c r="Y13" i="39"/>
  <c r="X20" i="39"/>
  <c r="X21" i="39"/>
  <c r="X8" i="39"/>
  <c r="X7" i="39"/>
  <c r="X11" i="39"/>
  <c r="X12" i="39"/>
  <c r="X9" i="39"/>
  <c r="U22" i="31"/>
  <c r="X5" i="39"/>
  <c r="X14" i="39"/>
  <c r="X6" i="39"/>
  <c r="X13" i="39"/>
  <c r="X17" i="39"/>
  <c r="X10" i="39"/>
  <c r="X16" i="39"/>
  <c r="X15" i="39"/>
  <c r="W5" i="39"/>
  <c r="U23" i="30"/>
  <c r="E36" i="11"/>
  <c r="D99" i="11"/>
  <c r="B91" i="11"/>
  <c r="B92" i="11"/>
  <c r="B216" i="11"/>
  <c r="C58" i="22"/>
  <c r="C99" i="22"/>
  <c r="D36" i="22"/>
  <c r="C109" i="22"/>
  <c r="D40" i="22"/>
  <c r="C151" i="8"/>
  <c r="C152" i="8"/>
  <c r="B90" i="8"/>
  <c r="B91" i="8"/>
  <c r="B53" i="8"/>
  <c r="C52" i="8"/>
  <c r="B139" i="8"/>
  <c r="B49" i="8"/>
  <c r="C48" i="8"/>
  <c r="B41" i="8"/>
  <c r="C40" i="8"/>
  <c r="B30" i="8"/>
  <c r="L2" i="8"/>
  <c r="L11" i="8"/>
  <c r="N11" i="8"/>
  <c r="L7" i="8"/>
  <c r="N7" i="8"/>
  <c r="B33" i="8"/>
  <c r="C32" i="8"/>
  <c r="B47" i="8"/>
  <c r="L10" i="8"/>
  <c r="N10" i="8"/>
  <c r="B39" i="8"/>
  <c r="L6" i="8"/>
  <c r="N6" i="8"/>
  <c r="B55" i="7"/>
  <c r="B144" i="7"/>
  <c r="C54" i="7"/>
  <c r="B53" i="7"/>
  <c r="B139" i="7"/>
  <c r="C52" i="7"/>
  <c r="B51" i="7"/>
  <c r="C50" i="7"/>
  <c r="B134" i="7"/>
  <c r="J32" i="7"/>
  <c r="B163" i="6"/>
  <c r="C56" i="6"/>
  <c r="B57" i="6"/>
  <c r="C54" i="6"/>
  <c r="B158" i="6"/>
  <c r="B55" i="6"/>
  <c r="C52" i="6"/>
  <c r="B53" i="6"/>
  <c r="B153" i="6"/>
  <c r="C50" i="6"/>
  <c r="B148" i="6"/>
  <c r="B51" i="6"/>
  <c r="C48" i="6"/>
  <c r="B49" i="6"/>
  <c r="B143" i="6"/>
  <c r="B110" i="6"/>
  <c r="B111" i="6"/>
  <c r="B220" i="6"/>
  <c r="C58" i="9"/>
  <c r="B154" i="9"/>
  <c r="B59" i="9"/>
  <c r="D36" i="9"/>
  <c r="C99" i="9"/>
  <c r="B166" i="1"/>
  <c r="C62" i="1"/>
  <c r="B63" i="1"/>
  <c r="C46" i="1"/>
  <c r="B126" i="1"/>
  <c r="B47" i="1"/>
  <c r="C54" i="1"/>
  <c r="B55" i="1"/>
  <c r="B146" i="1"/>
  <c r="C38" i="1"/>
  <c r="B106" i="1"/>
  <c r="B39" i="1"/>
  <c r="D101" i="1"/>
  <c r="E36" i="1"/>
  <c r="E40" i="1"/>
  <c r="D111" i="1"/>
  <c r="U22" i="37"/>
  <c r="AD5" i="39"/>
  <c r="AD13" i="39"/>
  <c r="AD9" i="39"/>
  <c r="AD11" i="39"/>
  <c r="AD6" i="39"/>
  <c r="AD7" i="39"/>
  <c r="D46" i="22"/>
  <c r="D48" i="7"/>
  <c r="C109" i="7"/>
  <c r="C110" i="7"/>
  <c r="B222" i="9"/>
  <c r="AZ210" i="8"/>
  <c r="B90" i="6"/>
  <c r="B91" i="6"/>
  <c r="B216" i="6"/>
  <c r="N13" i="6"/>
  <c r="B207" i="8"/>
  <c r="B239" i="8"/>
  <c r="B219" i="11"/>
  <c r="B221" i="11"/>
  <c r="D54" i="22"/>
  <c r="D54" i="8"/>
  <c r="D144" i="8"/>
  <c r="C129" i="7"/>
  <c r="C130" i="7"/>
  <c r="C128" i="6"/>
  <c r="C129" i="6"/>
  <c r="C130" i="6"/>
  <c r="C131" i="6"/>
  <c r="F38" i="6"/>
  <c r="N6" i="1"/>
  <c r="B131" i="8"/>
  <c r="B132" i="8"/>
  <c r="B224" i="8"/>
  <c r="E149" i="8"/>
  <c r="D149" i="8"/>
  <c r="D150" i="8"/>
  <c r="J177" i="8"/>
  <c r="B218" i="8"/>
  <c r="D89" i="7"/>
  <c r="D90" i="7"/>
  <c r="D91" i="7"/>
  <c r="D92" i="7"/>
  <c r="H89" i="7"/>
  <c r="H90" i="7"/>
  <c r="H91" i="7"/>
  <c r="H92" i="7"/>
  <c r="F89" i="7"/>
  <c r="F90" i="7"/>
  <c r="F91" i="7"/>
  <c r="F92" i="7"/>
  <c r="D124" i="7"/>
  <c r="M11" i="9"/>
  <c r="O11" i="9"/>
  <c r="C104" i="9"/>
  <c r="C105" i="9"/>
  <c r="C106" i="9"/>
  <c r="C107" i="9"/>
  <c r="G171" i="9"/>
  <c r="G172" i="9"/>
  <c r="X181" i="9"/>
  <c r="X182" i="9"/>
  <c r="I181" i="9"/>
  <c r="I182" i="9"/>
  <c r="T181" i="9"/>
  <c r="T182" i="9"/>
  <c r="X175" i="9"/>
  <c r="AH190" i="7"/>
  <c r="E160" i="8"/>
  <c r="W176" i="9"/>
  <c r="W177" i="9"/>
  <c r="F201" i="8"/>
  <c r="N201" i="8"/>
  <c r="N202" i="8"/>
  <c r="Z210" i="8"/>
  <c r="W195" i="8"/>
  <c r="W197" i="8"/>
  <c r="F35" i="36"/>
  <c r="G35" i="36"/>
  <c r="H35" i="36"/>
  <c r="J35" i="36"/>
  <c r="C124" i="7"/>
  <c r="C125" i="7"/>
  <c r="G89" i="7"/>
  <c r="G90" i="7"/>
  <c r="C109" i="9"/>
  <c r="E211" i="1"/>
  <c r="E212" i="1"/>
  <c r="E213" i="1"/>
  <c r="E214" i="1"/>
  <c r="B243" i="1"/>
  <c r="N26" i="1"/>
  <c r="C211" i="1"/>
  <c r="C212" i="1"/>
  <c r="C213" i="1"/>
  <c r="C214" i="1"/>
  <c r="D211" i="1"/>
  <c r="D212" i="1"/>
  <c r="D213" i="1"/>
  <c r="D214" i="1"/>
  <c r="BR171" i="8"/>
  <c r="BR172" i="8"/>
  <c r="AH170" i="8"/>
  <c r="AH172" i="8"/>
  <c r="I170" i="9"/>
  <c r="BB170" i="8"/>
  <c r="AA210" i="9"/>
  <c r="AO211" i="8"/>
  <c r="AO212" i="8"/>
  <c r="U175" i="8"/>
  <c r="D210" i="8"/>
  <c r="C149" i="11"/>
  <c r="C151" i="11"/>
  <c r="D154" i="7"/>
  <c r="C154" i="7"/>
  <c r="B201" i="22"/>
  <c r="B202" i="22"/>
  <c r="B238" i="22"/>
  <c r="AT211" i="8"/>
  <c r="AT212" i="8"/>
  <c r="X186" i="9"/>
  <c r="X187" i="9"/>
  <c r="AQ210" i="8"/>
  <c r="AQ212" i="8"/>
  <c r="N181" i="8"/>
  <c r="N182" i="8"/>
  <c r="H210" i="8"/>
  <c r="E181" i="8"/>
  <c r="E182" i="8"/>
  <c r="E155" i="8"/>
  <c r="E157" i="8"/>
  <c r="D210" i="9"/>
  <c r="N170" i="8"/>
  <c r="I204" i="22"/>
  <c r="I205" i="22"/>
  <c r="J204" i="22"/>
  <c r="J206" i="22"/>
  <c r="AF169" i="7"/>
  <c r="O169" i="7"/>
  <c r="O171" i="7"/>
  <c r="E144" i="11"/>
  <c r="E145" i="11"/>
  <c r="H209" i="7"/>
  <c r="H211" i="7"/>
  <c r="AT144" i="11"/>
  <c r="AT145" i="11"/>
  <c r="AC169" i="7"/>
  <c r="AC171" i="7"/>
  <c r="AH144" i="11"/>
  <c r="AH145" i="11"/>
  <c r="C144" i="11"/>
  <c r="C146" i="11"/>
  <c r="T144" i="11"/>
  <c r="AN144" i="11"/>
  <c r="J144" i="11"/>
  <c r="BJ144" i="11"/>
  <c r="BG144" i="11"/>
  <c r="BG146" i="11"/>
  <c r="AF144" i="11"/>
  <c r="AF146" i="11"/>
  <c r="AD144" i="11"/>
  <c r="AD145" i="11"/>
  <c r="D144" i="11"/>
  <c r="AE169" i="7"/>
  <c r="AE170" i="7"/>
  <c r="O209" i="7"/>
  <c r="O211" i="7"/>
  <c r="AQ144" i="11"/>
  <c r="P144" i="11"/>
  <c r="P145" i="11"/>
  <c r="Y209" i="7"/>
  <c r="Z8" i="26"/>
  <c r="AO8" i="26"/>
  <c r="C99" i="10"/>
  <c r="C100" i="10"/>
  <c r="C101" i="10"/>
  <c r="C102" i="10"/>
  <c r="E206" i="9"/>
  <c r="E207" i="9"/>
  <c r="R160" i="8"/>
  <c r="J169" i="7"/>
  <c r="Z169" i="7"/>
  <c r="P169" i="7"/>
  <c r="I169" i="7"/>
  <c r="M209" i="7"/>
  <c r="F155" i="8"/>
  <c r="B227" i="22"/>
  <c r="X196" i="9"/>
  <c r="X197" i="9"/>
  <c r="W211" i="8"/>
  <c r="W212" i="8"/>
  <c r="C171" i="9"/>
  <c r="C172" i="9"/>
  <c r="B186" i="8"/>
  <c r="B187" i="8"/>
  <c r="B235" i="8"/>
  <c r="J196" i="9"/>
  <c r="J197" i="9"/>
  <c r="AV170" i="8"/>
  <c r="AV172" i="8"/>
  <c r="S211" i="8"/>
  <c r="S212" i="8"/>
  <c r="AU211" i="8"/>
  <c r="AU212" i="8"/>
  <c r="AB186" i="11"/>
  <c r="AB187" i="11"/>
  <c r="AB235" i="11"/>
  <c r="K204" i="22"/>
  <c r="K206" i="22"/>
  <c r="D204" i="22"/>
  <c r="D205" i="22"/>
  <c r="E204" i="22"/>
  <c r="T169" i="7"/>
  <c r="AG169" i="7"/>
  <c r="AW144" i="11"/>
  <c r="D169" i="7"/>
  <c r="D170" i="7"/>
  <c r="W144" i="11"/>
  <c r="W145" i="11"/>
  <c r="AP144" i="11"/>
  <c r="AA144" i="11"/>
  <c r="AJ144" i="11"/>
  <c r="BC144" i="11"/>
  <c r="BC146" i="11"/>
  <c r="AM144" i="11"/>
  <c r="AK144" i="11"/>
  <c r="BB144" i="11"/>
  <c r="BB146" i="11"/>
  <c r="F144" i="11"/>
  <c r="F145" i="11"/>
  <c r="AC144" i="11"/>
  <c r="V144" i="11"/>
  <c r="AG144" i="11"/>
  <c r="BE144" i="11"/>
  <c r="U144" i="11"/>
  <c r="AX144" i="11"/>
  <c r="AX146" i="11"/>
  <c r="BH144" i="11"/>
  <c r="BH146" i="11"/>
  <c r="R209" i="7"/>
  <c r="AA169" i="7"/>
  <c r="AA170" i="7"/>
  <c r="R169" i="7"/>
  <c r="D209" i="7"/>
  <c r="AH169" i="7"/>
  <c r="AH170" i="7"/>
  <c r="Q169" i="7"/>
  <c r="M169" i="7"/>
  <c r="E169" i="7"/>
  <c r="X209" i="7"/>
  <c r="BK144" i="11"/>
  <c r="BK145" i="11"/>
  <c r="H144" i="11"/>
  <c r="H146" i="11"/>
  <c r="BN144" i="11"/>
  <c r="BN146" i="11"/>
  <c r="AK74" i="9"/>
  <c r="AJ194" i="9"/>
  <c r="BZ58" i="11"/>
  <c r="E154" i="7"/>
  <c r="T171" i="8"/>
  <c r="T172" i="8"/>
  <c r="K211" i="8"/>
  <c r="K212" i="8"/>
  <c r="B211" i="9"/>
  <c r="B212" i="9"/>
  <c r="B240" i="9"/>
  <c r="AY171" i="8"/>
  <c r="AY172" i="8"/>
  <c r="C206" i="9"/>
  <c r="C207" i="9"/>
  <c r="B176" i="9"/>
  <c r="B177" i="9"/>
  <c r="B233" i="9"/>
  <c r="B166" i="9"/>
  <c r="B167" i="9"/>
  <c r="B231" i="9"/>
  <c r="C204" i="22"/>
  <c r="C205" i="22"/>
  <c r="Q144" i="11"/>
  <c r="Q145" i="11"/>
  <c r="L144" i="11"/>
  <c r="L146" i="11"/>
  <c r="X144" i="11"/>
  <c r="X145" i="11"/>
  <c r="N169" i="7"/>
  <c r="N170" i="7"/>
  <c r="AL144" i="11"/>
  <c r="AL145" i="11"/>
  <c r="N144" i="11"/>
  <c r="N145" i="11"/>
  <c r="AE144" i="11"/>
  <c r="AE145" i="11"/>
  <c r="M144" i="11"/>
  <c r="M145" i="11"/>
  <c r="AR144" i="11"/>
  <c r="AR146" i="11"/>
  <c r="R144" i="11"/>
  <c r="R145" i="11"/>
  <c r="K144" i="11"/>
  <c r="K145" i="11"/>
  <c r="AU144" i="11"/>
  <c r="AU145" i="11"/>
  <c r="BD144" i="11"/>
  <c r="BD145" i="11"/>
  <c r="S144" i="11"/>
  <c r="S145" i="11"/>
  <c r="AM169" i="7"/>
  <c r="AM171" i="7"/>
  <c r="N209" i="7"/>
  <c r="N210" i="7"/>
  <c r="G169" i="7"/>
  <c r="G171" i="7"/>
  <c r="Q209" i="7"/>
  <c r="Q210" i="7"/>
  <c r="L169" i="7"/>
  <c r="L170" i="7"/>
  <c r="V169" i="7"/>
  <c r="V170" i="7"/>
  <c r="U209" i="7"/>
  <c r="U210" i="7"/>
  <c r="C169" i="7"/>
  <c r="C170" i="7"/>
  <c r="BF144" i="11"/>
  <c r="BF145" i="11"/>
  <c r="BL144" i="11"/>
  <c r="AI169" i="7"/>
  <c r="AS144" i="11"/>
  <c r="BM144" i="11"/>
  <c r="BM145" i="11"/>
  <c r="M162" i="8"/>
  <c r="J157" i="8"/>
  <c r="AE212" i="8"/>
  <c r="U197" i="8"/>
  <c r="J197" i="8"/>
  <c r="F212" i="8"/>
  <c r="N197" i="9"/>
  <c r="E182" i="9"/>
  <c r="S86" i="22"/>
  <c r="S87" i="22"/>
  <c r="H32" i="34"/>
  <c r="J32" i="34"/>
  <c r="AA15" i="39"/>
  <c r="F84" i="11"/>
  <c r="F85" i="11"/>
  <c r="F86" i="11"/>
  <c r="F87" i="11"/>
  <c r="B229" i="22"/>
  <c r="E119" i="7"/>
  <c r="B224" i="6"/>
  <c r="M9" i="9"/>
  <c r="O9" i="9"/>
  <c r="D89" i="9"/>
  <c r="D90" i="9"/>
  <c r="D146" i="9"/>
  <c r="D147" i="9"/>
  <c r="C91" i="9"/>
  <c r="C92" i="9"/>
  <c r="N17" i="1"/>
  <c r="BT172" i="8"/>
  <c r="BB172" i="8"/>
  <c r="H212" i="8"/>
  <c r="BK172" i="8"/>
  <c r="Z212" i="8"/>
  <c r="AH192" i="7"/>
  <c r="R212" i="9"/>
  <c r="D212" i="9"/>
  <c r="H171" i="9"/>
  <c r="H172" i="9"/>
  <c r="BO171" i="8"/>
  <c r="BO172" i="8"/>
  <c r="D93" i="1"/>
  <c r="D94" i="1"/>
  <c r="C186" i="9"/>
  <c r="C187" i="9"/>
  <c r="BD210" i="8"/>
  <c r="C180" i="6"/>
  <c r="C181" i="6"/>
  <c r="C234" i="6"/>
  <c r="BM211" i="8"/>
  <c r="BM212" i="8"/>
  <c r="I175" i="9"/>
  <c r="I177" i="9"/>
  <c r="O200" i="8"/>
  <c r="V175" i="9"/>
  <c r="O176" i="9"/>
  <c r="O177" i="9"/>
  <c r="Q200" i="8"/>
  <c r="J211" i="8"/>
  <c r="J212" i="8"/>
  <c r="H181" i="8"/>
  <c r="H182" i="8"/>
  <c r="I171" i="8"/>
  <c r="I172" i="8"/>
  <c r="AT171" i="8"/>
  <c r="AT172" i="8"/>
  <c r="BG171" i="8"/>
  <c r="BG172" i="8"/>
  <c r="AA176" i="9"/>
  <c r="AA177" i="9"/>
  <c r="C191" i="1"/>
  <c r="C192" i="1"/>
  <c r="C193" i="1"/>
  <c r="C194" i="1"/>
  <c r="C104" i="22"/>
  <c r="C105" i="22"/>
  <c r="B228" i="22"/>
  <c r="C159" i="9"/>
  <c r="C160" i="9"/>
  <c r="C161" i="9"/>
  <c r="C162" i="9"/>
  <c r="B217" i="9"/>
  <c r="N4" i="1"/>
  <c r="C176" i="1"/>
  <c r="C177" i="1"/>
  <c r="C178" i="1"/>
  <c r="C179" i="1"/>
  <c r="C121" i="1"/>
  <c r="C122" i="1"/>
  <c r="I56" i="1"/>
  <c r="I151" i="1"/>
  <c r="I152" i="1"/>
  <c r="I153" i="1"/>
  <c r="I154" i="1"/>
  <c r="N161" i="8"/>
  <c r="N162" i="8"/>
  <c r="H186" i="9"/>
  <c r="H187" i="9"/>
  <c r="S206" i="10"/>
  <c r="S207" i="10"/>
  <c r="S196" i="9"/>
  <c r="S197" i="9"/>
  <c r="BJ170" i="8"/>
  <c r="BJ172" i="8"/>
  <c r="W156" i="11"/>
  <c r="W157" i="11"/>
  <c r="BS191" i="7"/>
  <c r="BS192" i="7"/>
  <c r="Y171" i="8"/>
  <c r="Y172" i="8"/>
  <c r="G171" i="8"/>
  <c r="G172" i="8"/>
  <c r="X210" i="8"/>
  <c r="X212" i="8"/>
  <c r="O176" i="8"/>
  <c r="O177" i="8"/>
  <c r="K180" i="8"/>
  <c r="K182" i="8"/>
  <c r="K186" i="9"/>
  <c r="K187" i="9"/>
  <c r="T186" i="9"/>
  <c r="T187" i="9"/>
  <c r="U175" i="9"/>
  <c r="BJ191" i="7"/>
  <c r="BJ192" i="7"/>
  <c r="BI211" i="8"/>
  <c r="BI212" i="8"/>
  <c r="E171" i="9"/>
  <c r="E172" i="9"/>
  <c r="O186" i="9"/>
  <c r="O187" i="9"/>
  <c r="BS170" i="8"/>
  <c r="BS172" i="8"/>
  <c r="F185" i="7"/>
  <c r="F187" i="7"/>
  <c r="E165" i="8"/>
  <c r="O170" i="8"/>
  <c r="AE170" i="8"/>
  <c r="Y196" i="9"/>
  <c r="Y197" i="9"/>
  <c r="H210" i="11"/>
  <c r="H212" i="11"/>
  <c r="AH210" i="8"/>
  <c r="L175" i="9"/>
  <c r="D186" i="7"/>
  <c r="D187" i="7"/>
  <c r="Q211" i="8"/>
  <c r="Q212" i="8"/>
  <c r="B211" i="8"/>
  <c r="B212" i="8"/>
  <c r="B240" i="8"/>
  <c r="G210" i="8"/>
  <c r="BU190" i="7"/>
  <c r="BU192" i="7"/>
  <c r="G180" i="8"/>
  <c r="G182" i="8"/>
  <c r="J180" i="8"/>
  <c r="J182" i="8"/>
  <c r="B163" i="1"/>
  <c r="B164" i="1"/>
  <c r="B237" i="1"/>
  <c r="C101" i="11"/>
  <c r="C102" i="11"/>
  <c r="J186" i="9"/>
  <c r="J187" i="9"/>
  <c r="BK186" i="11"/>
  <c r="BK187" i="11"/>
  <c r="BK235" i="11"/>
  <c r="P200" i="8"/>
  <c r="P202" i="8"/>
  <c r="F160" i="8"/>
  <c r="F162" i="8"/>
  <c r="V211" i="9"/>
  <c r="V212" i="9"/>
  <c r="G161" i="8"/>
  <c r="G162" i="8"/>
  <c r="O181" i="8"/>
  <c r="O182" i="8"/>
  <c r="F170" i="9"/>
  <c r="F172" i="9"/>
  <c r="M6" i="9"/>
  <c r="O6" i="9"/>
  <c r="O28" i="9"/>
  <c r="P6" i="9"/>
  <c r="E196" i="8"/>
  <c r="E197" i="8"/>
  <c r="L156" i="8"/>
  <c r="L157" i="8"/>
  <c r="N181" i="9"/>
  <c r="N182" i="9"/>
  <c r="AF196" i="9"/>
  <c r="AF197" i="9"/>
  <c r="J181" i="9"/>
  <c r="J182" i="9"/>
  <c r="D161" i="8"/>
  <c r="D162" i="8"/>
  <c r="K180" i="7"/>
  <c r="K210" i="7"/>
  <c r="K212" i="7"/>
  <c r="M201" i="8"/>
  <c r="M202" i="8"/>
  <c r="AA210" i="8"/>
  <c r="BE5" i="2"/>
  <c r="BE4" i="2"/>
  <c r="M7" i="11"/>
  <c r="O7" i="11"/>
  <c r="I177" i="10"/>
  <c r="AG172" i="8"/>
  <c r="BQ172" i="8"/>
  <c r="S202" i="8"/>
  <c r="D182" i="8"/>
  <c r="R202" i="8"/>
  <c r="R162" i="8"/>
  <c r="D212" i="8"/>
  <c r="F157" i="8"/>
  <c r="J162" i="8"/>
  <c r="O202" i="8"/>
  <c r="AZ212" i="8"/>
  <c r="BD212" i="8"/>
  <c r="B227" i="9"/>
  <c r="U212" i="9"/>
  <c r="U187" i="9"/>
  <c r="I197" i="9"/>
  <c r="M177" i="9"/>
  <c r="B192" i="9"/>
  <c r="B236" i="9"/>
  <c r="J172" i="9"/>
  <c r="J177" i="9"/>
  <c r="H182" i="9"/>
  <c r="W187" i="9"/>
  <c r="Z212" i="9"/>
  <c r="AA212" i="9"/>
  <c r="F187" i="9"/>
  <c r="M212" i="9"/>
  <c r="U177" i="9"/>
  <c r="H32" i="36"/>
  <c r="J32" i="36"/>
  <c r="AC15" i="39"/>
  <c r="G34" i="33"/>
  <c r="F35" i="33"/>
  <c r="G35" i="33"/>
  <c r="H35" i="33"/>
  <c r="J35" i="33"/>
  <c r="Z18" i="39"/>
  <c r="B215" i="11"/>
  <c r="C104" i="11"/>
  <c r="C105" i="11"/>
  <c r="C106" i="11"/>
  <c r="B218" i="11"/>
  <c r="B222" i="11"/>
  <c r="B222" i="10"/>
  <c r="D50" i="10"/>
  <c r="D134" i="10"/>
  <c r="B219" i="10"/>
  <c r="B221" i="10"/>
  <c r="B226" i="10"/>
  <c r="B217" i="10"/>
  <c r="B217" i="8"/>
  <c r="B228" i="8"/>
  <c r="F104" i="8"/>
  <c r="F105" i="8"/>
  <c r="F106" i="8"/>
  <c r="F107" i="8"/>
  <c r="C104" i="8"/>
  <c r="C105" i="8"/>
  <c r="C106" i="8"/>
  <c r="C107" i="8"/>
  <c r="B226" i="6"/>
  <c r="B229" i="1"/>
  <c r="B242" i="1"/>
  <c r="AB195" i="9"/>
  <c r="K185" i="10"/>
  <c r="P180" i="8"/>
  <c r="C201" i="8"/>
  <c r="C202" i="8"/>
  <c r="S180" i="8"/>
  <c r="G175" i="9"/>
  <c r="AX171" i="8"/>
  <c r="AX172" i="8"/>
  <c r="K180" i="9"/>
  <c r="K182" i="9"/>
  <c r="W180" i="9"/>
  <c r="W182" i="9"/>
  <c r="G156" i="8"/>
  <c r="G157" i="8"/>
  <c r="AJ170" i="8"/>
  <c r="AJ172" i="8"/>
  <c r="B161" i="8"/>
  <c r="B162" i="8"/>
  <c r="B230" i="8"/>
  <c r="U181" i="9"/>
  <c r="U182" i="9"/>
  <c r="F181" i="9"/>
  <c r="F182" i="9"/>
  <c r="S185" i="9"/>
  <c r="S187" i="9"/>
  <c r="J210" i="9"/>
  <c r="J212" i="9"/>
  <c r="AL211" i="8"/>
  <c r="AL212" i="8"/>
  <c r="T175" i="9"/>
  <c r="T177" i="9"/>
  <c r="G186" i="9"/>
  <c r="G187" i="9"/>
  <c r="C181" i="8"/>
  <c r="C182" i="8"/>
  <c r="C190" i="8"/>
  <c r="C192" i="8"/>
  <c r="O210" i="9"/>
  <c r="O212" i="9"/>
  <c r="T210" i="9"/>
  <c r="M9" i="6"/>
  <c r="O9" i="6"/>
  <c r="AX210" i="8"/>
  <c r="K200" i="8"/>
  <c r="K202" i="8"/>
  <c r="T211" i="8"/>
  <c r="T212" i="8"/>
  <c r="J170" i="8"/>
  <c r="J172" i="8"/>
  <c r="X211" i="9"/>
  <c r="X212" i="9"/>
  <c r="S196" i="8"/>
  <c r="S197" i="8"/>
  <c r="C155" i="8"/>
  <c r="R196" i="8"/>
  <c r="R197" i="8"/>
  <c r="U170" i="8"/>
  <c r="U172" i="8"/>
  <c r="I160" i="8"/>
  <c r="D170" i="8"/>
  <c r="D172" i="8"/>
  <c r="L161" i="8"/>
  <c r="L162" i="8"/>
  <c r="G196" i="9"/>
  <c r="G197" i="9"/>
  <c r="K176" i="9"/>
  <c r="K177" i="9"/>
  <c r="AQ170" i="8"/>
  <c r="AQ172" i="8"/>
  <c r="D171" i="9"/>
  <c r="D172" i="9"/>
  <c r="B175" i="8"/>
  <c r="B177" i="8"/>
  <c r="B233" i="8"/>
  <c r="L196" i="8"/>
  <c r="L197" i="8"/>
  <c r="N156" i="8"/>
  <c r="N157" i="8"/>
  <c r="V170" i="8"/>
  <c r="V172" i="8"/>
  <c r="R170" i="8"/>
  <c r="R172" i="8"/>
  <c r="M15" i="9"/>
  <c r="O15" i="9"/>
  <c r="AB210" i="8"/>
  <c r="AB212" i="8"/>
  <c r="Z171" i="8"/>
  <c r="Z172" i="8"/>
  <c r="C211" i="9"/>
  <c r="C212" i="9"/>
  <c r="M210" i="8"/>
  <c r="M212" i="8"/>
  <c r="AK171" i="8"/>
  <c r="AK172" i="8"/>
  <c r="AI210" i="8"/>
  <c r="AI212" i="8"/>
  <c r="BE211" i="8"/>
  <c r="BE212" i="8"/>
  <c r="AF211" i="8"/>
  <c r="AF212" i="8"/>
  <c r="F196" i="8"/>
  <c r="F197" i="8"/>
  <c r="Q196" i="8"/>
  <c r="Q197" i="8"/>
  <c r="D190" i="8"/>
  <c r="D192" i="8"/>
  <c r="E210" i="9"/>
  <c r="E212" i="9"/>
  <c r="U211" i="8"/>
  <c r="U212" i="8"/>
  <c r="AF171" i="8"/>
  <c r="AF172" i="8"/>
  <c r="R185" i="9"/>
  <c r="R187" i="9"/>
  <c r="B201" i="9"/>
  <c r="B202" i="9"/>
  <c r="B238" i="9"/>
  <c r="AD196" i="9"/>
  <c r="AD197" i="9"/>
  <c r="AA171" i="8"/>
  <c r="AA172" i="8"/>
  <c r="D185" i="9"/>
  <c r="D187" i="9"/>
  <c r="D206" i="9"/>
  <c r="D207" i="9"/>
  <c r="H196" i="9"/>
  <c r="H197" i="9"/>
  <c r="B222" i="8"/>
  <c r="D176" i="8"/>
  <c r="D177" i="8"/>
  <c r="BL170" i="8"/>
  <c r="BL172" i="8"/>
  <c r="BG210" i="8"/>
  <c r="BG212" i="8"/>
  <c r="AC171" i="8"/>
  <c r="AC172" i="8"/>
  <c r="B181" i="9"/>
  <c r="B182" i="9"/>
  <c r="B234" i="9"/>
  <c r="E176" i="9"/>
  <c r="E177" i="9"/>
  <c r="B191" i="7"/>
  <c r="B192" i="7"/>
  <c r="B236" i="7"/>
  <c r="S171" i="8"/>
  <c r="S172" i="8"/>
  <c r="D196" i="9"/>
  <c r="D197" i="9"/>
  <c r="AS171" i="8"/>
  <c r="AS172" i="8"/>
  <c r="I181" i="8"/>
  <c r="I182" i="8"/>
  <c r="B165" i="8"/>
  <c r="B167" i="8"/>
  <c r="B231" i="8"/>
  <c r="K196" i="8"/>
  <c r="K197" i="8"/>
  <c r="BT189" i="6"/>
  <c r="BT191" i="6"/>
  <c r="BT236" i="6"/>
  <c r="T195" i="9"/>
  <c r="T197" i="9"/>
  <c r="K170" i="8"/>
  <c r="K172" i="8"/>
  <c r="Y145" i="11"/>
  <c r="Y147" i="11"/>
  <c r="P170" i="8"/>
  <c r="P172" i="8"/>
  <c r="AY210" i="8"/>
  <c r="AY212" i="8"/>
  <c r="AN171" i="8"/>
  <c r="AN172" i="8"/>
  <c r="AU171" i="8"/>
  <c r="AU172" i="8"/>
  <c r="V181" i="9"/>
  <c r="V182" i="9"/>
  <c r="AE190" i="10"/>
  <c r="AE192" i="10"/>
  <c r="K195" i="9"/>
  <c r="K197" i="9"/>
  <c r="AK211" i="8"/>
  <c r="AK212" i="8"/>
  <c r="G176" i="8"/>
  <c r="G177" i="8"/>
  <c r="L171" i="8"/>
  <c r="L172" i="8"/>
  <c r="M195" i="8"/>
  <c r="M197" i="8"/>
  <c r="G166" i="8"/>
  <c r="G167" i="8"/>
  <c r="K171" i="9"/>
  <c r="K172" i="9"/>
  <c r="H160" i="8"/>
  <c r="H162" i="8"/>
  <c r="H175" i="9"/>
  <c r="H177" i="9"/>
  <c r="G166" i="10"/>
  <c r="G167" i="10"/>
  <c r="G146" i="10"/>
  <c r="G147" i="10"/>
  <c r="AH196" i="9"/>
  <c r="AH197" i="9"/>
  <c r="F146" i="10"/>
  <c r="F147" i="10"/>
  <c r="S211" i="9"/>
  <c r="S212" i="9"/>
  <c r="AI171" i="8"/>
  <c r="AI172" i="8"/>
  <c r="H195" i="8"/>
  <c r="H197" i="8"/>
  <c r="M155" i="8"/>
  <c r="M157" i="8"/>
  <c r="BJ211" i="8"/>
  <c r="BJ212" i="8"/>
  <c r="P211" i="8"/>
  <c r="P212" i="8"/>
  <c r="W196" i="9"/>
  <c r="W197" i="9"/>
  <c r="G200" i="8"/>
  <c r="G202" i="8"/>
  <c r="H171" i="8"/>
  <c r="H172" i="8"/>
  <c r="B190" i="8"/>
  <c r="B192" i="8"/>
  <c r="B236" i="8"/>
  <c r="D176" i="9"/>
  <c r="D177" i="9"/>
  <c r="V196" i="9"/>
  <c r="V197" i="9"/>
  <c r="P180" i="9"/>
  <c r="P182" i="9"/>
  <c r="AD171" i="8"/>
  <c r="AD172" i="8"/>
  <c r="T196" i="8"/>
  <c r="T197" i="8"/>
  <c r="K176" i="8"/>
  <c r="K177" i="8"/>
  <c r="S180" i="9"/>
  <c r="S182" i="9"/>
  <c r="H211" i="9"/>
  <c r="H212" i="9"/>
  <c r="S180" i="22"/>
  <c r="S182" i="22"/>
  <c r="J206" i="9"/>
  <c r="J207" i="9"/>
  <c r="R181" i="9"/>
  <c r="R182" i="9"/>
  <c r="Q161" i="11"/>
  <c r="Q162" i="11"/>
  <c r="AR170" i="8"/>
  <c r="AR172" i="8"/>
  <c r="BE170" i="8"/>
  <c r="BE172" i="8"/>
  <c r="B180" i="8"/>
  <c r="B182" i="8"/>
  <c r="B234" i="8"/>
  <c r="B171" i="9"/>
  <c r="B172" i="9"/>
  <c r="B232" i="9"/>
  <c r="BN170" i="8"/>
  <c r="BN172" i="8"/>
  <c r="F165" i="8"/>
  <c r="F167" i="8"/>
  <c r="K155" i="8"/>
  <c r="K157" i="8"/>
  <c r="L211" i="8"/>
  <c r="L212" i="8"/>
  <c r="AR210" i="8"/>
  <c r="AR212" i="8"/>
  <c r="N211" i="9"/>
  <c r="N212" i="9"/>
  <c r="G190" i="22"/>
  <c r="G192" i="22"/>
  <c r="BK195" i="6"/>
  <c r="BK196" i="6"/>
  <c r="BK237" i="6"/>
  <c r="AK180" i="11"/>
  <c r="AK182" i="11"/>
  <c r="R176" i="8"/>
  <c r="R177" i="8"/>
  <c r="Y211" i="8"/>
  <c r="Y212" i="8"/>
  <c r="B218" i="9"/>
  <c r="C175" i="8"/>
  <c r="C177" i="8"/>
  <c r="T176" i="8"/>
  <c r="T177" i="8"/>
  <c r="F210" i="9"/>
  <c r="F212" i="9"/>
  <c r="F196" i="9"/>
  <c r="F197" i="9"/>
  <c r="L176" i="8"/>
  <c r="L177" i="8"/>
  <c r="C210" i="8"/>
  <c r="C212" i="8"/>
  <c r="D195" i="8"/>
  <c r="D197" i="8"/>
  <c r="R181" i="8"/>
  <c r="R182" i="8"/>
  <c r="G196" i="8"/>
  <c r="G197" i="8"/>
  <c r="L200" i="8"/>
  <c r="L202" i="8"/>
  <c r="Z195" i="9"/>
  <c r="Z197" i="9"/>
  <c r="C195" i="9"/>
  <c r="C197" i="9"/>
  <c r="D155" i="8"/>
  <c r="D157" i="8"/>
  <c r="F175" i="9"/>
  <c r="F177" i="9"/>
  <c r="W171" i="8"/>
  <c r="W172" i="8"/>
  <c r="E185" i="9"/>
  <c r="B185" i="9"/>
  <c r="B187" i="9"/>
  <c r="B235" i="9"/>
  <c r="AM210" i="8"/>
  <c r="AM212" i="8"/>
  <c r="E175" i="8"/>
  <c r="E177" i="8"/>
  <c r="E200" i="8"/>
  <c r="E202" i="8"/>
  <c r="I156" i="8"/>
  <c r="I157" i="8"/>
  <c r="AL171" i="8"/>
  <c r="AL172" i="8"/>
  <c r="BM171" i="8"/>
  <c r="BM172" i="8"/>
  <c r="B131" i="22"/>
  <c r="B132" i="22"/>
  <c r="B224" i="22"/>
  <c r="R195" i="9"/>
  <c r="R197" i="9"/>
  <c r="L180" i="8"/>
  <c r="L182" i="8"/>
  <c r="M170" i="8"/>
  <c r="M172" i="8"/>
  <c r="G180" i="9"/>
  <c r="G182" i="9"/>
  <c r="AZ170" i="8"/>
  <c r="AZ172" i="8"/>
  <c r="F180" i="8"/>
  <c r="F182" i="8"/>
  <c r="U195" i="9"/>
  <c r="U197" i="9"/>
  <c r="BA170" i="8"/>
  <c r="BA172" i="8"/>
  <c r="O196" i="8"/>
  <c r="O197" i="8"/>
  <c r="N176" i="9"/>
  <c r="N177" i="9"/>
  <c r="F205" i="9"/>
  <c r="F207" i="9"/>
  <c r="H175" i="8"/>
  <c r="H177" i="8"/>
  <c r="P210" i="9"/>
  <c r="P212" i="9"/>
  <c r="B196" i="9"/>
  <c r="B197" i="9"/>
  <c r="B237" i="9"/>
  <c r="C181" i="9"/>
  <c r="C182" i="9"/>
  <c r="I205" i="9"/>
  <c r="I207" i="9"/>
  <c r="R211" i="8"/>
  <c r="R212" i="8"/>
  <c r="H156" i="8"/>
  <c r="H157" i="8"/>
  <c r="B198" i="1"/>
  <c r="B199" i="1"/>
  <c r="B244" i="1"/>
  <c r="M12" i="6"/>
  <c r="O12" i="6"/>
  <c r="H210" i="7"/>
  <c r="C195" i="8"/>
  <c r="C197" i="8"/>
  <c r="L181" i="22"/>
  <c r="L182" i="22"/>
  <c r="B131" i="7"/>
  <c r="B132" i="7"/>
  <c r="B224" i="7"/>
  <c r="F176" i="8"/>
  <c r="F177" i="8"/>
  <c r="M176" i="8"/>
  <c r="M177" i="8"/>
  <c r="BR185" i="11"/>
  <c r="BR187" i="11"/>
  <c r="BR235" i="11"/>
  <c r="BX185" i="11"/>
  <c r="BX187" i="11"/>
  <c r="BX235" i="11"/>
  <c r="AR175" i="6"/>
  <c r="AR176" i="6"/>
  <c r="AR233" i="6"/>
  <c r="X180" i="11"/>
  <c r="AK171" i="7"/>
  <c r="AK172" i="7"/>
  <c r="F191" i="11"/>
  <c r="F192" i="11"/>
  <c r="BH195" i="6"/>
  <c r="BH196" i="6"/>
  <c r="BH237" i="6"/>
  <c r="C217" i="1"/>
  <c r="C219" i="1"/>
  <c r="AY170" i="11"/>
  <c r="AY172" i="11"/>
  <c r="U196" i="7"/>
  <c r="U197" i="7"/>
  <c r="B155" i="8"/>
  <c r="B157" i="8"/>
  <c r="B229" i="8"/>
  <c r="AR151" i="7"/>
  <c r="AR152" i="7"/>
  <c r="AR228" i="7"/>
  <c r="J165" i="11"/>
  <c r="J167" i="11"/>
  <c r="B113" i="1"/>
  <c r="B114" i="1"/>
  <c r="B227" i="1"/>
  <c r="I185" i="22"/>
  <c r="I187" i="22"/>
  <c r="R175" i="22"/>
  <c r="R177" i="22"/>
  <c r="BO145" i="11"/>
  <c r="BO147" i="11"/>
  <c r="BM185" i="11"/>
  <c r="BM187" i="11"/>
  <c r="BM235" i="11"/>
  <c r="Q186" i="7"/>
  <c r="Q187" i="7"/>
  <c r="BX155" i="11"/>
  <c r="BX157" i="11"/>
  <c r="H175" i="10"/>
  <c r="BW190" i="7"/>
  <c r="BW192" i="7"/>
  <c r="BR156" i="11"/>
  <c r="BR157" i="11"/>
  <c r="BW185" i="11"/>
  <c r="BW187" i="11"/>
  <c r="BW235" i="11"/>
  <c r="C195" i="11"/>
  <c r="R191" i="11"/>
  <c r="R192" i="11"/>
  <c r="BG165" i="11"/>
  <c r="BG167" i="11"/>
  <c r="X171" i="7"/>
  <c r="X172" i="7"/>
  <c r="AO146" i="11"/>
  <c r="AO147" i="11"/>
  <c r="N170" i="11"/>
  <c r="N172" i="11"/>
  <c r="E211" i="8"/>
  <c r="E212" i="8"/>
  <c r="U150" i="7"/>
  <c r="U152" i="7"/>
  <c r="U228" i="7"/>
  <c r="AR171" i="11"/>
  <c r="AR172" i="11"/>
  <c r="X186" i="11"/>
  <c r="X187" i="11"/>
  <c r="X235" i="11"/>
  <c r="BA190" i="7"/>
  <c r="BA192" i="7"/>
  <c r="P141" i="11"/>
  <c r="P142" i="11"/>
  <c r="W85" i="22"/>
  <c r="W87" i="22"/>
  <c r="M4" i="7"/>
  <c r="O4" i="7"/>
  <c r="BP169" i="6"/>
  <c r="BP171" i="6"/>
  <c r="BP232" i="6"/>
  <c r="G170" i="11"/>
  <c r="G172" i="11"/>
  <c r="U181" i="11"/>
  <c r="U182" i="11"/>
  <c r="B200" i="8"/>
  <c r="B202" i="8"/>
  <c r="B238" i="8"/>
  <c r="U186" i="11"/>
  <c r="U187" i="11"/>
  <c r="U235" i="11"/>
  <c r="BD181" i="11"/>
  <c r="BD182" i="11"/>
  <c r="W170" i="11"/>
  <c r="W172" i="11"/>
  <c r="AD170" i="7"/>
  <c r="AD172" i="7"/>
  <c r="X140" i="11"/>
  <c r="X142" i="11"/>
  <c r="H206" i="7"/>
  <c r="H207" i="7"/>
  <c r="AS170" i="11"/>
  <c r="AS172" i="11"/>
  <c r="AV165" i="11"/>
  <c r="AV167" i="11"/>
  <c r="AJ161" i="11"/>
  <c r="AJ162" i="11"/>
  <c r="B171" i="7"/>
  <c r="B172" i="7"/>
  <c r="B232" i="7"/>
  <c r="U170" i="11"/>
  <c r="U172" i="11"/>
  <c r="V196" i="8"/>
  <c r="V197" i="8"/>
  <c r="Q170" i="8"/>
  <c r="Q172" i="8"/>
  <c r="V161" i="11"/>
  <c r="V162" i="11"/>
  <c r="C161" i="7"/>
  <c r="C162" i="7"/>
  <c r="X170" i="8"/>
  <c r="X172" i="8"/>
  <c r="T189" i="6"/>
  <c r="T191" i="6"/>
  <c r="T236" i="6"/>
  <c r="AT200" i="6"/>
  <c r="AT201" i="6"/>
  <c r="AT238" i="6"/>
  <c r="N176" i="8"/>
  <c r="N177" i="8"/>
  <c r="AM170" i="8"/>
  <c r="AM172" i="8"/>
  <c r="BB211" i="8"/>
  <c r="BB212" i="8"/>
  <c r="O210" i="7"/>
  <c r="BB180" i="11"/>
  <c r="M4" i="6"/>
  <c r="O4" i="6"/>
  <c r="AX189" i="6"/>
  <c r="AX191" i="6"/>
  <c r="AX236" i="6"/>
  <c r="AK204" i="6"/>
  <c r="AK206" i="6"/>
  <c r="AK239" i="6"/>
  <c r="AO175" i="6"/>
  <c r="AO176" i="6"/>
  <c r="AO233" i="6"/>
  <c r="CB204" i="6"/>
  <c r="CB206" i="6"/>
  <c r="CB239" i="6"/>
  <c r="D161" i="11"/>
  <c r="D162" i="11"/>
  <c r="P160" i="11"/>
  <c r="P162" i="11"/>
  <c r="E195" i="11"/>
  <c r="E197" i="11"/>
  <c r="BA145" i="11"/>
  <c r="BA147" i="11"/>
  <c r="BM161" i="11"/>
  <c r="BM162" i="11"/>
  <c r="AE166" i="11"/>
  <c r="AE167" i="11"/>
  <c r="Q155" i="11"/>
  <c r="Q157" i="11"/>
  <c r="E186" i="11"/>
  <c r="E187" i="11"/>
  <c r="E235" i="11"/>
  <c r="N195" i="11"/>
  <c r="N197" i="11"/>
  <c r="AC185" i="11"/>
  <c r="AC187" i="11"/>
  <c r="AC235" i="11"/>
  <c r="M196" i="11"/>
  <c r="M197" i="11"/>
  <c r="H186" i="11"/>
  <c r="H187" i="11"/>
  <c r="H235" i="11"/>
  <c r="AG166" i="11"/>
  <c r="AG167" i="11"/>
  <c r="BJ150" i="7"/>
  <c r="BJ152" i="7"/>
  <c r="BJ228" i="7"/>
  <c r="C131" i="11"/>
  <c r="C132" i="11"/>
  <c r="AQ180" i="11"/>
  <c r="AQ182" i="11"/>
  <c r="W161" i="11"/>
  <c r="W162" i="11"/>
  <c r="H175" i="11"/>
  <c r="H177" i="11"/>
  <c r="AJ171" i="11"/>
  <c r="AJ172" i="11"/>
  <c r="BK170" i="11"/>
  <c r="BK172" i="11"/>
  <c r="Z156" i="11"/>
  <c r="Z157" i="11"/>
  <c r="AA141" i="11"/>
  <c r="AA142" i="11"/>
  <c r="I196" i="8"/>
  <c r="I197" i="8"/>
  <c r="R156" i="11"/>
  <c r="R157" i="11"/>
  <c r="BH150" i="7"/>
  <c r="BH152" i="7"/>
  <c r="BH228" i="7"/>
  <c r="BP156" i="11"/>
  <c r="BP157" i="11"/>
  <c r="B205" i="7"/>
  <c r="B207" i="7"/>
  <c r="B239" i="7"/>
  <c r="AW171" i="11"/>
  <c r="AW172" i="11"/>
  <c r="BD155" i="11"/>
  <c r="BD157" i="11"/>
  <c r="AJ150" i="7"/>
  <c r="AJ152" i="7"/>
  <c r="AJ228" i="7"/>
  <c r="E190" i="11"/>
  <c r="E192" i="11"/>
  <c r="P210" i="11"/>
  <c r="P212" i="11"/>
  <c r="I185" i="11"/>
  <c r="I187" i="11"/>
  <c r="I235" i="11"/>
  <c r="I191" i="22"/>
  <c r="I192" i="22"/>
  <c r="S175" i="22"/>
  <c r="S177" i="22"/>
  <c r="U85" i="22"/>
  <c r="U87" i="22"/>
  <c r="I186" i="7"/>
  <c r="I187" i="7"/>
  <c r="G170" i="10"/>
  <c r="G172" i="10"/>
  <c r="M180" i="22"/>
  <c r="BY156" i="11"/>
  <c r="BY157" i="11"/>
  <c r="X151" i="10"/>
  <c r="X152" i="10"/>
  <c r="J185" i="7"/>
  <c r="J187" i="7"/>
  <c r="BX195" i="6"/>
  <c r="BX196" i="6"/>
  <c r="BX237" i="6"/>
  <c r="BR180" i="6"/>
  <c r="BR181" i="6"/>
  <c r="BR234" i="6"/>
  <c r="BB171" i="11"/>
  <c r="BB172" i="11"/>
  <c r="Z145" i="11"/>
  <c r="Z147" i="11"/>
  <c r="AY145" i="11"/>
  <c r="AY147" i="11"/>
  <c r="B185" i="11"/>
  <c r="B187" i="11"/>
  <c r="B235" i="11"/>
  <c r="BG160" i="11"/>
  <c r="BG162" i="11"/>
  <c r="BS186" i="11"/>
  <c r="BS187" i="11"/>
  <c r="BS235" i="11"/>
  <c r="AN210" i="8"/>
  <c r="AN212" i="8"/>
  <c r="BN151" i="7"/>
  <c r="BN152" i="7"/>
  <c r="BN228" i="7"/>
  <c r="W141" i="11"/>
  <c r="W142" i="11"/>
  <c r="D196" i="11"/>
  <c r="D197" i="11"/>
  <c r="B200" i="11"/>
  <c r="AV186" i="11"/>
  <c r="AV187" i="11"/>
  <c r="AV235" i="11"/>
  <c r="P186" i="11"/>
  <c r="P187" i="11"/>
  <c r="P235" i="11"/>
  <c r="E210" i="6"/>
  <c r="E211" i="6"/>
  <c r="E240" i="6"/>
  <c r="B195" i="11"/>
  <c r="B197" i="11"/>
  <c r="B237" i="11"/>
  <c r="Y140" i="11"/>
  <c r="Y142" i="11"/>
  <c r="BN155" i="11"/>
  <c r="BN157" i="11"/>
  <c r="AF190" i="7"/>
  <c r="AF192" i="7"/>
  <c r="AX161" i="11"/>
  <c r="AX162" i="11"/>
  <c r="U160" i="11"/>
  <c r="U162" i="11"/>
  <c r="AL166" i="11"/>
  <c r="AL167" i="11"/>
  <c r="BC156" i="11"/>
  <c r="BC157" i="11"/>
  <c r="AW210" i="8"/>
  <c r="AW212" i="8"/>
  <c r="AH171" i="11"/>
  <c r="AH172" i="11"/>
  <c r="BI146" i="11"/>
  <c r="BI147" i="11"/>
  <c r="AD180" i="11"/>
  <c r="AD182" i="11"/>
  <c r="AU166" i="11"/>
  <c r="AU167" i="11"/>
  <c r="V180" i="11"/>
  <c r="V182" i="11"/>
  <c r="AZ145" i="11"/>
  <c r="AZ147" i="11"/>
  <c r="R211" i="11"/>
  <c r="R212" i="11"/>
  <c r="AW191" i="7"/>
  <c r="AW192" i="7"/>
  <c r="Y166" i="11"/>
  <c r="Y167" i="11"/>
  <c r="N175" i="11"/>
  <c r="N177" i="11"/>
  <c r="CA199" i="6"/>
  <c r="CA201" i="6"/>
  <c r="CA238" i="6"/>
  <c r="J199" i="6"/>
  <c r="BN170" i="6"/>
  <c r="BN171" i="6"/>
  <c r="BN232" i="6"/>
  <c r="AJ175" i="6"/>
  <c r="AJ176" i="6"/>
  <c r="AJ233" i="6"/>
  <c r="D150" i="7"/>
  <c r="D152" i="7"/>
  <c r="D228" i="7"/>
  <c r="F181" i="22"/>
  <c r="F182" i="22"/>
  <c r="I150" i="7"/>
  <c r="I152" i="7"/>
  <c r="I228" i="7"/>
  <c r="E179" i="6"/>
  <c r="E181" i="6"/>
  <c r="E234" i="6"/>
  <c r="BK155" i="11"/>
  <c r="BK157" i="11"/>
  <c r="BG171" i="11"/>
  <c r="BG172" i="11"/>
  <c r="V151" i="7"/>
  <c r="V152" i="7"/>
  <c r="V228" i="7"/>
  <c r="AI145" i="11"/>
  <c r="AI147" i="11"/>
  <c r="AX170" i="11"/>
  <c r="AX172" i="11"/>
  <c r="AG181" i="11"/>
  <c r="AG182" i="11"/>
  <c r="AX191" i="7"/>
  <c r="AX192" i="7"/>
  <c r="R191" i="7"/>
  <c r="R192" i="7"/>
  <c r="AV150" i="7"/>
  <c r="AV152" i="7"/>
  <c r="AV228" i="7"/>
  <c r="AH185" i="11"/>
  <c r="AH187" i="11"/>
  <c r="AH235" i="11"/>
  <c r="G176" i="11"/>
  <c r="G177" i="11"/>
  <c r="AU161" i="11"/>
  <c r="AU162" i="11"/>
  <c r="AX185" i="11"/>
  <c r="AX187" i="11"/>
  <c r="AX235" i="11"/>
  <c r="AL190" i="7"/>
  <c r="AL192" i="7"/>
  <c r="U171" i="7"/>
  <c r="U172" i="7"/>
  <c r="AE141" i="11"/>
  <c r="AE142" i="11"/>
  <c r="BG155" i="11"/>
  <c r="BG157" i="11"/>
  <c r="G39" i="41"/>
  <c r="F40" i="41"/>
  <c r="AD141" i="11"/>
  <c r="AD142" i="11"/>
  <c r="P155" i="11"/>
  <c r="P157" i="11"/>
  <c r="AM189" i="6"/>
  <c r="AM191" i="6"/>
  <c r="AM236" i="6"/>
  <c r="L76" i="41"/>
  <c r="M75" i="41"/>
  <c r="G170" i="22"/>
  <c r="G172" i="22"/>
  <c r="BA194" i="6"/>
  <c r="BA196" i="6"/>
  <c r="BA237" i="6"/>
  <c r="V210" i="7"/>
  <c r="V212" i="7"/>
  <c r="AO156" i="11"/>
  <c r="AO157" i="11"/>
  <c r="C111" i="11"/>
  <c r="C112" i="11"/>
  <c r="AB181" i="11"/>
  <c r="AB182" i="11"/>
  <c r="P191" i="11"/>
  <c r="P192" i="11"/>
  <c r="Y186" i="11"/>
  <c r="Y187" i="11"/>
  <c r="Y235" i="11"/>
  <c r="J161" i="11"/>
  <c r="J162" i="11"/>
  <c r="I176" i="11"/>
  <c r="I177" i="11"/>
  <c r="AA131" i="11"/>
  <c r="AA132" i="11"/>
  <c r="BC170" i="8"/>
  <c r="BC172" i="8"/>
  <c r="K171" i="7"/>
  <c r="K172" i="7"/>
  <c r="F181" i="7"/>
  <c r="F182" i="7"/>
  <c r="L191" i="7"/>
  <c r="L192" i="7"/>
  <c r="J150" i="10"/>
  <c r="BI191" i="7"/>
  <c r="BI192" i="7"/>
  <c r="M196" i="7"/>
  <c r="M197" i="7"/>
  <c r="I141" i="11"/>
  <c r="I142" i="11"/>
  <c r="M19" i="6"/>
  <c r="O19" i="6"/>
  <c r="BG145" i="11"/>
  <c r="F186" i="11"/>
  <c r="F187" i="11"/>
  <c r="F235" i="11"/>
  <c r="K150" i="10"/>
  <c r="K152" i="10"/>
  <c r="Q156" i="10"/>
  <c r="Q157" i="10"/>
  <c r="AF191" i="10"/>
  <c r="AF192" i="10"/>
  <c r="BA155" i="11"/>
  <c r="BA157" i="11"/>
  <c r="D171" i="7"/>
  <c r="D172" i="7"/>
  <c r="G210" i="6"/>
  <c r="G211" i="6"/>
  <c r="G240" i="6"/>
  <c r="D153" i="1"/>
  <c r="D154" i="1"/>
  <c r="C86" i="11"/>
  <c r="C87" i="11"/>
  <c r="K181" i="22"/>
  <c r="K182" i="22"/>
  <c r="BO191" i="7"/>
  <c r="BO192" i="7"/>
  <c r="AA156" i="10"/>
  <c r="AA157" i="10"/>
  <c r="N146" i="11"/>
  <c r="N147" i="11"/>
  <c r="Q181" i="11"/>
  <c r="Q182" i="11"/>
  <c r="BC211" i="8"/>
  <c r="BC212" i="8"/>
  <c r="I165" i="7"/>
  <c r="I167" i="7"/>
  <c r="F171" i="11"/>
  <c r="F172" i="11"/>
  <c r="BD171" i="11"/>
  <c r="BD172" i="11"/>
  <c r="L156" i="11"/>
  <c r="L157" i="11"/>
  <c r="S161" i="11"/>
  <c r="S162" i="11"/>
  <c r="AI171" i="11"/>
  <c r="AI172" i="11"/>
  <c r="BG191" i="7"/>
  <c r="BG192" i="7"/>
  <c r="K205" i="22"/>
  <c r="U186" i="7"/>
  <c r="U187" i="7"/>
  <c r="BG185" i="11"/>
  <c r="BG187" i="11"/>
  <c r="BG235" i="11"/>
  <c r="BH181" i="11"/>
  <c r="BH182" i="11"/>
  <c r="BR190" i="7"/>
  <c r="BR192" i="7"/>
  <c r="BT156" i="11"/>
  <c r="BT157" i="11"/>
  <c r="O160" i="22"/>
  <c r="O162" i="22"/>
  <c r="R146" i="11"/>
  <c r="R147" i="11"/>
  <c r="BD146" i="11"/>
  <c r="BD147" i="11"/>
  <c r="X166" i="11"/>
  <c r="X167" i="11"/>
  <c r="AF170" i="11"/>
  <c r="AF172" i="11"/>
  <c r="E171" i="8"/>
  <c r="E172" i="8"/>
  <c r="BC161" i="11"/>
  <c r="BC162" i="11"/>
  <c r="O185" i="7"/>
  <c r="O187" i="7"/>
  <c r="AG199" i="6"/>
  <c r="AG201" i="6"/>
  <c r="AG238" i="6"/>
  <c r="G210" i="11"/>
  <c r="G212" i="11"/>
  <c r="AP191" i="7"/>
  <c r="AP192" i="7"/>
  <c r="AJ185" i="11"/>
  <c r="AJ187" i="11"/>
  <c r="AJ235" i="11"/>
  <c r="AZ165" i="11"/>
  <c r="AZ167" i="11"/>
  <c r="BV185" i="6"/>
  <c r="BV186" i="6"/>
  <c r="BV235" i="6"/>
  <c r="N210" i="8"/>
  <c r="N212" i="8"/>
  <c r="Y180" i="11"/>
  <c r="Y182" i="11"/>
  <c r="AR165" i="11"/>
  <c r="AR167" i="11"/>
  <c r="AC180" i="11"/>
  <c r="AC182" i="11"/>
  <c r="G185" i="11"/>
  <c r="G187" i="11"/>
  <c r="G235" i="11"/>
  <c r="J155" i="11"/>
  <c r="J157" i="11"/>
  <c r="AO171" i="11"/>
  <c r="AO172" i="11"/>
  <c r="AJ165" i="11"/>
  <c r="AJ167" i="11"/>
  <c r="AA194" i="6"/>
  <c r="AA196" i="6"/>
  <c r="AA237" i="6"/>
  <c r="N14" i="9"/>
  <c r="BW210" i="6"/>
  <c r="BW211" i="6"/>
  <c r="BW240" i="6"/>
  <c r="S145" i="10"/>
  <c r="S147" i="10"/>
  <c r="B100" i="6"/>
  <c r="B101" i="6"/>
  <c r="B218" i="6"/>
  <c r="N155" i="10"/>
  <c r="N157" i="10"/>
  <c r="S210" i="10"/>
  <c r="S212" i="10"/>
  <c r="BH161" i="11"/>
  <c r="BH162" i="11"/>
  <c r="BL190" i="7"/>
  <c r="BL192" i="7"/>
  <c r="AJ189" i="6"/>
  <c r="AJ191" i="6"/>
  <c r="AJ236" i="6"/>
  <c r="F181" i="11"/>
  <c r="F182" i="11"/>
  <c r="L160" i="11"/>
  <c r="L162" i="11"/>
  <c r="AD186" i="11"/>
  <c r="AD187" i="11"/>
  <c r="AD235" i="11"/>
  <c r="B130" i="11"/>
  <c r="B132" i="11"/>
  <c r="B224" i="11"/>
  <c r="P175" i="8"/>
  <c r="P177" i="8"/>
  <c r="O211" i="8"/>
  <c r="O212" i="8"/>
  <c r="BD171" i="8"/>
  <c r="BD172" i="8"/>
  <c r="BO155" i="11"/>
  <c r="BO157" i="11"/>
  <c r="AN170" i="11"/>
  <c r="AN172" i="11"/>
  <c r="BK146" i="11"/>
  <c r="BK147" i="11"/>
  <c r="BN145" i="11"/>
  <c r="BE191" i="7"/>
  <c r="BE192" i="7"/>
  <c r="V155" i="11"/>
  <c r="V157" i="11"/>
  <c r="Q175" i="11"/>
  <c r="Q177" i="11"/>
  <c r="AD171" i="11"/>
  <c r="AD172" i="11"/>
  <c r="AL146" i="11"/>
  <c r="AL147" i="11"/>
  <c r="U211" i="7"/>
  <c r="U212" i="7"/>
  <c r="AY166" i="11"/>
  <c r="AY167" i="11"/>
  <c r="M146" i="11"/>
  <c r="M147" i="11"/>
  <c r="N6" i="11"/>
  <c r="AO151" i="7"/>
  <c r="AO152" i="7"/>
  <c r="AO228" i="7"/>
  <c r="B176" i="11"/>
  <c r="B177" i="11"/>
  <c r="B233" i="11"/>
  <c r="I191" i="11"/>
  <c r="I192" i="11"/>
  <c r="AX166" i="11"/>
  <c r="AX167" i="11"/>
  <c r="P180" i="7"/>
  <c r="P182" i="7"/>
  <c r="B121" i="22"/>
  <c r="B122" i="22"/>
  <c r="B222" i="22"/>
  <c r="S211" i="22"/>
  <c r="S212" i="22"/>
  <c r="G196" i="22"/>
  <c r="G197" i="22"/>
  <c r="J170" i="22"/>
  <c r="J172" i="22"/>
  <c r="BI186" i="11"/>
  <c r="BI187" i="11"/>
  <c r="BI235" i="11"/>
  <c r="M205" i="10"/>
  <c r="M207" i="10"/>
  <c r="T176" i="22"/>
  <c r="T177" i="22"/>
  <c r="AG170" i="6"/>
  <c r="AG171" i="6"/>
  <c r="AG232" i="6"/>
  <c r="BI170" i="11"/>
  <c r="BI172" i="11"/>
  <c r="I130" i="11"/>
  <c r="I132" i="11"/>
  <c r="C175" i="11"/>
  <c r="C177" i="11"/>
  <c r="T211" i="11"/>
  <c r="T212" i="11"/>
  <c r="BL170" i="11"/>
  <c r="BL172" i="11"/>
  <c r="N7" i="9"/>
  <c r="BE180" i="11"/>
  <c r="BE182" i="11"/>
  <c r="AM186" i="11"/>
  <c r="AM187" i="11"/>
  <c r="AM235" i="11"/>
  <c r="U166" i="11"/>
  <c r="U167" i="11"/>
  <c r="AQ191" i="7"/>
  <c r="AQ192" i="7"/>
  <c r="L181" i="11"/>
  <c r="L182" i="11"/>
  <c r="Q140" i="11"/>
  <c r="Q142" i="11"/>
  <c r="C190" i="7"/>
  <c r="C192" i="7"/>
  <c r="BY151" i="7"/>
  <c r="BY152" i="7"/>
  <c r="BY228" i="7"/>
  <c r="Q190" i="7"/>
  <c r="Q192" i="7"/>
  <c r="I210" i="11"/>
  <c r="I212" i="11"/>
  <c r="BX204" i="6"/>
  <c r="BX206" i="6"/>
  <c r="BX239" i="6"/>
  <c r="L145" i="11"/>
  <c r="S146" i="11"/>
  <c r="S147" i="11"/>
  <c r="N181" i="7"/>
  <c r="N182" i="7"/>
  <c r="AP171" i="8"/>
  <c r="AP172" i="8"/>
  <c r="BH186" i="11"/>
  <c r="BH187" i="11"/>
  <c r="BH235" i="11"/>
  <c r="W181" i="11"/>
  <c r="W182" i="11"/>
  <c r="J210" i="11"/>
  <c r="J212" i="11"/>
  <c r="BY185" i="11"/>
  <c r="BY187" i="11"/>
  <c r="BY235" i="11"/>
  <c r="F175" i="11"/>
  <c r="F177" i="11"/>
  <c r="M156" i="11"/>
  <c r="M157" i="11"/>
  <c r="M140" i="11"/>
  <c r="M142" i="11"/>
  <c r="K146" i="11"/>
  <c r="K147" i="11"/>
  <c r="D170" i="11"/>
  <c r="D172" i="11"/>
  <c r="V171" i="22"/>
  <c r="V172" i="22"/>
  <c r="X199" i="6"/>
  <c r="X201" i="6"/>
  <c r="X238" i="6"/>
  <c r="AM174" i="6"/>
  <c r="AM176" i="6"/>
  <c r="AM233" i="6"/>
  <c r="U161" i="22"/>
  <c r="U162" i="22"/>
  <c r="AK185" i="6"/>
  <c r="AK186" i="6"/>
  <c r="AK235" i="6"/>
  <c r="CA190" i="6"/>
  <c r="CA191" i="6"/>
  <c r="CA236" i="6"/>
  <c r="I175" i="8"/>
  <c r="I177" i="8"/>
  <c r="BJ156" i="11"/>
  <c r="BJ157" i="11"/>
  <c r="AY191" i="7"/>
  <c r="AY192" i="7"/>
  <c r="R131" i="11"/>
  <c r="R132" i="11"/>
  <c r="T130" i="11"/>
  <c r="T132" i="11"/>
  <c r="N3" i="6"/>
  <c r="BK190" i="7"/>
  <c r="BK192" i="7"/>
  <c r="AB156" i="11"/>
  <c r="AB157" i="11"/>
  <c r="AE160" i="11"/>
  <c r="AE162" i="11"/>
  <c r="V211" i="8"/>
  <c r="V212" i="8"/>
  <c r="W130" i="11"/>
  <c r="W132" i="11"/>
  <c r="AY155" i="11"/>
  <c r="AY157" i="11"/>
  <c r="AY200" i="6"/>
  <c r="AY201" i="6"/>
  <c r="AY238" i="6"/>
  <c r="AP151" i="7"/>
  <c r="AP152" i="7"/>
  <c r="AP228" i="7"/>
  <c r="M175" i="10"/>
  <c r="M177" i="10"/>
  <c r="P195" i="11"/>
  <c r="P197" i="11"/>
  <c r="G196" i="11"/>
  <c r="G197" i="11"/>
  <c r="K176" i="11"/>
  <c r="K177" i="11"/>
  <c r="AE185" i="11"/>
  <c r="AE187" i="11"/>
  <c r="AE235" i="11"/>
  <c r="AL186" i="11"/>
  <c r="AL187" i="11"/>
  <c r="AL235" i="11"/>
  <c r="AV145" i="11"/>
  <c r="AV147" i="11"/>
  <c r="R180" i="11"/>
  <c r="R182" i="11"/>
  <c r="AX156" i="11"/>
  <c r="AX157" i="11"/>
  <c r="S165" i="11"/>
  <c r="S167" i="11"/>
  <c r="AC181" i="7"/>
  <c r="AC182" i="7"/>
  <c r="X191" i="7"/>
  <c r="X192" i="7"/>
  <c r="BB151" i="7"/>
  <c r="BB152" i="7"/>
  <c r="BB228" i="7"/>
  <c r="I180" i="11"/>
  <c r="I182" i="11"/>
  <c r="BM150" i="7"/>
  <c r="BM152" i="7"/>
  <c r="BM228" i="7"/>
  <c r="AB191" i="10"/>
  <c r="AB192" i="10"/>
  <c r="I156" i="10"/>
  <c r="I157" i="10"/>
  <c r="Q196" i="10"/>
  <c r="Q197" i="10"/>
  <c r="H150" i="10"/>
  <c r="H152" i="10"/>
  <c r="U205" i="10"/>
  <c r="U207" i="10"/>
  <c r="E199" i="6"/>
  <c r="E201" i="6"/>
  <c r="E238" i="6"/>
  <c r="K170" i="10"/>
  <c r="K172" i="10"/>
  <c r="F211" i="22"/>
  <c r="F212" i="22"/>
  <c r="L186" i="10"/>
  <c r="L187" i="10"/>
  <c r="O186" i="10"/>
  <c r="O187" i="10"/>
  <c r="R156" i="10"/>
  <c r="R157" i="10"/>
  <c r="W210" i="10"/>
  <c r="W212" i="10"/>
  <c r="F166" i="22"/>
  <c r="F167" i="22"/>
  <c r="K161" i="22"/>
  <c r="K162" i="22"/>
  <c r="F186" i="22"/>
  <c r="F187" i="22"/>
  <c r="AQ199" i="6"/>
  <c r="AQ201" i="6"/>
  <c r="AQ238" i="6"/>
  <c r="I171" i="10"/>
  <c r="I172" i="10"/>
  <c r="AB155" i="10"/>
  <c r="AB157" i="10"/>
  <c r="O151" i="10"/>
  <c r="O152" i="10"/>
  <c r="AF85" i="22"/>
  <c r="AF87" i="22"/>
  <c r="AN175" i="6"/>
  <c r="AN176" i="6"/>
  <c r="AN233" i="6"/>
  <c r="B206" i="10"/>
  <c r="B207" i="10"/>
  <c r="B239" i="10"/>
  <c r="I161" i="11"/>
  <c r="I162" i="11"/>
  <c r="AZ155" i="11"/>
  <c r="AZ157" i="11"/>
  <c r="D126" i="11"/>
  <c r="D127" i="11"/>
  <c r="O174" i="6"/>
  <c r="O176" i="6"/>
  <c r="O233" i="6"/>
  <c r="BM189" i="6"/>
  <c r="BM191" i="6"/>
  <c r="BM236" i="6"/>
  <c r="U195" i="6"/>
  <c r="U196" i="6"/>
  <c r="U237" i="6"/>
  <c r="K185" i="7"/>
  <c r="K187" i="7"/>
  <c r="V196" i="22"/>
  <c r="V197" i="22"/>
  <c r="J181" i="22"/>
  <c r="J182" i="22"/>
  <c r="AD191" i="10"/>
  <c r="AD192" i="10"/>
  <c r="V195" i="10"/>
  <c r="V197" i="10"/>
  <c r="AV195" i="6"/>
  <c r="AV196" i="6"/>
  <c r="AV237" i="6"/>
  <c r="BN199" i="6"/>
  <c r="BN201" i="6"/>
  <c r="BN238" i="6"/>
  <c r="BC145" i="11"/>
  <c r="F146" i="11"/>
  <c r="F147" i="11"/>
  <c r="O180" i="11"/>
  <c r="O182" i="11"/>
  <c r="AC156" i="11"/>
  <c r="AC157" i="11"/>
  <c r="B111" i="22"/>
  <c r="B112" i="22"/>
  <c r="B220" i="22"/>
  <c r="E196" i="22"/>
  <c r="E197" i="22"/>
  <c r="BI160" i="11"/>
  <c r="BI162" i="11"/>
  <c r="F166" i="10"/>
  <c r="F167" i="10"/>
  <c r="K191" i="22"/>
  <c r="K192" i="22"/>
  <c r="G180" i="22"/>
  <c r="G182" i="22"/>
  <c r="BH171" i="11"/>
  <c r="BH172" i="11"/>
  <c r="W170" i="22"/>
  <c r="W172" i="22"/>
  <c r="R160" i="22"/>
  <c r="R162" i="22"/>
  <c r="BI194" i="6"/>
  <c r="BI196" i="6"/>
  <c r="BI237" i="6"/>
  <c r="AB175" i="6"/>
  <c r="AB176" i="6"/>
  <c r="AB233" i="6"/>
  <c r="M180" i="6"/>
  <c r="M181" i="6"/>
  <c r="M234" i="6"/>
  <c r="AL181" i="11"/>
  <c r="AL182" i="11"/>
  <c r="E161" i="11"/>
  <c r="E162" i="11"/>
  <c r="L170" i="11"/>
  <c r="L172" i="11"/>
  <c r="BQ150" i="7"/>
  <c r="BQ152" i="7"/>
  <c r="BQ228" i="7"/>
  <c r="B141" i="11"/>
  <c r="B142" i="11"/>
  <c r="B226" i="11"/>
  <c r="B126" i="22"/>
  <c r="B127" i="22"/>
  <c r="B223" i="22"/>
  <c r="B101" i="7"/>
  <c r="B102" i="7"/>
  <c r="B218" i="7"/>
  <c r="E160" i="22"/>
  <c r="E162" i="22"/>
  <c r="Y190" i="10"/>
  <c r="Y192" i="10"/>
  <c r="P145" i="10"/>
  <c r="P147" i="10"/>
  <c r="U150" i="10"/>
  <c r="U152" i="10"/>
  <c r="G185" i="7"/>
  <c r="G187" i="7"/>
  <c r="BU185" i="6"/>
  <c r="BU186" i="6"/>
  <c r="BU235" i="6"/>
  <c r="CB175" i="6"/>
  <c r="CB176" i="6"/>
  <c r="CB233" i="6"/>
  <c r="V195" i="6"/>
  <c r="V196" i="6"/>
  <c r="V237" i="6"/>
  <c r="BA181" i="11"/>
  <c r="BA182" i="11"/>
  <c r="F161" i="11"/>
  <c r="F162" i="11"/>
  <c r="BD191" i="7"/>
  <c r="BD192" i="7"/>
  <c r="AJ180" i="6"/>
  <c r="AJ181" i="6"/>
  <c r="AJ234" i="6"/>
  <c r="O176" i="11"/>
  <c r="O177" i="11"/>
  <c r="N4" i="10"/>
  <c r="L191" i="11"/>
  <c r="L192" i="11"/>
  <c r="H200" i="6"/>
  <c r="H201" i="6"/>
  <c r="H238" i="6"/>
  <c r="F130" i="11"/>
  <c r="F132" i="11"/>
  <c r="F205" i="6"/>
  <c r="F206" i="6"/>
  <c r="F239" i="6"/>
  <c r="P180" i="22"/>
  <c r="P182" i="22"/>
  <c r="L206" i="10"/>
  <c r="L207" i="10"/>
  <c r="AD194" i="6"/>
  <c r="AD196" i="6"/>
  <c r="AD237" i="6"/>
  <c r="AT146" i="11"/>
  <c r="AT147" i="11"/>
  <c r="M6" i="6"/>
  <c r="O6" i="6"/>
  <c r="S175" i="6"/>
  <c r="S176" i="6"/>
  <c r="S233" i="6"/>
  <c r="AT195" i="6"/>
  <c r="AT196" i="6"/>
  <c r="AT237" i="6"/>
  <c r="AP174" i="6"/>
  <c r="AP176" i="6"/>
  <c r="AP233" i="6"/>
  <c r="AF141" i="11"/>
  <c r="AF142" i="11"/>
  <c r="Y170" i="22"/>
  <c r="Y172" i="22"/>
  <c r="Z199" i="6"/>
  <c r="Z201" i="6"/>
  <c r="Z238" i="6"/>
  <c r="BY175" i="6"/>
  <c r="BY176" i="6"/>
  <c r="BY233" i="6"/>
  <c r="T186" i="11"/>
  <c r="T187" i="11"/>
  <c r="T235" i="11"/>
  <c r="P165" i="11"/>
  <c r="P167" i="11"/>
  <c r="BF156" i="11"/>
  <c r="BF157" i="11"/>
  <c r="BO194" i="6"/>
  <c r="BO196" i="6"/>
  <c r="BO237" i="6"/>
  <c r="M170" i="10"/>
  <c r="M172" i="10"/>
  <c r="R86" i="22"/>
  <c r="R87" i="22"/>
  <c r="D145" i="10"/>
  <c r="D147" i="10"/>
  <c r="L156" i="10"/>
  <c r="L157" i="10"/>
  <c r="K171" i="22"/>
  <c r="K172" i="22"/>
  <c r="T196" i="10"/>
  <c r="T197" i="10"/>
  <c r="N21" i="1"/>
  <c r="BJ186" i="11"/>
  <c r="BJ187" i="11"/>
  <c r="BJ235" i="11"/>
  <c r="M171" i="22"/>
  <c r="M172" i="22"/>
  <c r="BT191" i="7"/>
  <c r="BT192" i="7"/>
  <c r="T211" i="22"/>
  <c r="T212" i="22"/>
  <c r="N181" i="22"/>
  <c r="N182" i="22"/>
  <c r="BV190" i="7"/>
  <c r="BV192" i="7"/>
  <c r="J171" i="10"/>
  <c r="J172" i="10"/>
  <c r="T185" i="7"/>
  <c r="T187" i="7"/>
  <c r="BQ156" i="11"/>
  <c r="BQ157" i="11"/>
  <c r="N146" i="10"/>
  <c r="N147" i="10"/>
  <c r="BM190" i="7"/>
  <c r="BM192" i="7"/>
  <c r="X211" i="10"/>
  <c r="X212" i="10"/>
  <c r="Q196" i="22"/>
  <c r="Q197" i="22"/>
  <c r="AH190" i="10"/>
  <c r="AH192" i="10"/>
  <c r="AV174" i="6"/>
  <c r="AV176" i="6"/>
  <c r="AV233" i="6"/>
  <c r="B217" i="1"/>
  <c r="B219" i="1"/>
  <c r="B248" i="1"/>
  <c r="BO185" i="6"/>
  <c r="BO186" i="6"/>
  <c r="BO235" i="6"/>
  <c r="AW185" i="6"/>
  <c r="AW186" i="6"/>
  <c r="AW235" i="6"/>
  <c r="BT174" i="6"/>
  <c r="BT176" i="6"/>
  <c r="BT233" i="6"/>
  <c r="P200" i="6"/>
  <c r="P201" i="6"/>
  <c r="P238" i="6"/>
  <c r="Q169" i="6"/>
  <c r="Q171" i="6"/>
  <c r="Q232" i="6"/>
  <c r="BN190" i="6"/>
  <c r="BN191" i="6"/>
  <c r="BN236" i="6"/>
  <c r="S199" i="6"/>
  <c r="S201" i="6"/>
  <c r="S238" i="6"/>
  <c r="AS209" i="6"/>
  <c r="AS211" i="6"/>
  <c r="AS240" i="6"/>
  <c r="AW170" i="6"/>
  <c r="AW171" i="6"/>
  <c r="AW232" i="6"/>
  <c r="BF175" i="6"/>
  <c r="BF176" i="6"/>
  <c r="BF233" i="6"/>
  <c r="AJ194" i="6"/>
  <c r="AJ196" i="6"/>
  <c r="AJ237" i="6"/>
  <c r="M130" i="11"/>
  <c r="M132" i="11"/>
  <c r="Z180" i="11"/>
  <c r="Z182" i="11"/>
  <c r="V170" i="11"/>
  <c r="V172" i="11"/>
  <c r="R160" i="11"/>
  <c r="R162" i="11"/>
  <c r="X155" i="11"/>
  <c r="X157" i="11"/>
  <c r="AR180" i="11"/>
  <c r="AR182" i="11"/>
  <c r="AB181" i="7"/>
  <c r="AB182" i="7"/>
  <c r="D161" i="7"/>
  <c r="D162" i="7"/>
  <c r="F155" i="10"/>
  <c r="F157" i="10"/>
  <c r="AC170" i="6"/>
  <c r="AC171" i="6"/>
  <c r="AC232" i="6"/>
  <c r="Z140" i="11"/>
  <c r="Z142" i="11"/>
  <c r="J130" i="11"/>
  <c r="J132" i="11"/>
  <c r="BI209" i="6"/>
  <c r="BI211" i="6"/>
  <c r="BI240" i="6"/>
  <c r="E181" i="7"/>
  <c r="E182" i="7"/>
  <c r="AP184" i="6"/>
  <c r="AP186" i="6"/>
  <c r="AP235" i="6"/>
  <c r="AB189" i="6"/>
  <c r="AB191" i="6"/>
  <c r="AB236" i="6"/>
  <c r="AT180" i="11"/>
  <c r="AT182" i="11"/>
  <c r="O199" i="6"/>
  <c r="O201" i="6"/>
  <c r="O238" i="6"/>
  <c r="K196" i="11"/>
  <c r="K197" i="11"/>
  <c r="B211" i="11"/>
  <c r="B212" i="11"/>
  <c r="B240" i="11"/>
  <c r="AM160" i="11"/>
  <c r="AM162" i="11"/>
  <c r="O171" i="11"/>
  <c r="O172" i="11"/>
  <c r="BM146" i="11"/>
  <c r="BM147" i="11"/>
  <c r="AG174" i="6"/>
  <c r="AG176" i="6"/>
  <c r="AG233" i="6"/>
  <c r="BU200" i="6"/>
  <c r="BU201" i="6"/>
  <c r="BU238" i="6"/>
  <c r="B200" i="7"/>
  <c r="B202" i="7"/>
  <c r="B238" i="7"/>
  <c r="AC170" i="7"/>
  <c r="BW155" i="11"/>
  <c r="BW157" i="11"/>
  <c r="AN161" i="11"/>
  <c r="AN162" i="11"/>
  <c r="F141" i="11"/>
  <c r="F142" i="11"/>
  <c r="AI185" i="6"/>
  <c r="AI186" i="6"/>
  <c r="AI235" i="6"/>
  <c r="BJ190" i="6"/>
  <c r="BJ191" i="6"/>
  <c r="BJ236" i="6"/>
  <c r="AN185" i="11"/>
  <c r="AN187" i="11"/>
  <c r="AN235" i="11"/>
  <c r="AF200" i="6"/>
  <c r="AF199" i="6"/>
  <c r="W151" i="10"/>
  <c r="W152" i="10"/>
  <c r="O196" i="10"/>
  <c r="O197" i="10"/>
  <c r="N171" i="10"/>
  <c r="N172" i="10"/>
  <c r="K165" i="10"/>
  <c r="H190" i="22"/>
  <c r="H192" i="22"/>
  <c r="X155" i="10"/>
  <c r="X157" i="10"/>
  <c r="CB180" i="6"/>
  <c r="CB181" i="6"/>
  <c r="CB234" i="6"/>
  <c r="B205" i="6"/>
  <c r="B206" i="6"/>
  <c r="B239" i="6"/>
  <c r="BH205" i="6"/>
  <c r="BH206" i="6"/>
  <c r="BH239" i="6"/>
  <c r="O156" i="11"/>
  <c r="O157" i="11"/>
  <c r="J195" i="11"/>
  <c r="J197" i="11"/>
  <c r="S155" i="11"/>
  <c r="S157" i="11"/>
  <c r="C180" i="11"/>
  <c r="C182" i="11"/>
  <c r="BD184" i="6"/>
  <c r="BD186" i="6"/>
  <c r="BD235" i="6"/>
  <c r="AT186" i="11"/>
  <c r="AT187" i="11"/>
  <c r="AT235" i="11"/>
  <c r="BG181" i="11"/>
  <c r="BG182" i="11"/>
  <c r="AH146" i="11"/>
  <c r="AH147" i="11"/>
  <c r="AP170" i="11"/>
  <c r="AP172" i="11"/>
  <c r="H204" i="6"/>
  <c r="H206" i="6"/>
  <c r="H239" i="6"/>
  <c r="H141" i="11"/>
  <c r="H142" i="11"/>
  <c r="BJ195" i="6"/>
  <c r="BJ196" i="6"/>
  <c r="BJ237" i="6"/>
  <c r="N8" i="6"/>
  <c r="BA184" i="6"/>
  <c r="BA186" i="6"/>
  <c r="BA235" i="6"/>
  <c r="AR155" i="11"/>
  <c r="AR157" i="11"/>
  <c r="BN174" i="6"/>
  <c r="BN176" i="6"/>
  <c r="BN233" i="6"/>
  <c r="AK165" i="11"/>
  <c r="AK167" i="11"/>
  <c r="AV199" i="6"/>
  <c r="AV201" i="6"/>
  <c r="AV238" i="6"/>
  <c r="F165" i="7"/>
  <c r="F167" i="7"/>
  <c r="T204" i="6"/>
  <c r="T206" i="6"/>
  <c r="T239" i="6"/>
  <c r="AU180" i="11"/>
  <c r="AU182" i="11"/>
  <c r="Z181" i="7"/>
  <c r="Z182" i="7"/>
  <c r="AD146" i="11"/>
  <c r="AD147" i="11"/>
  <c r="AK186" i="11"/>
  <c r="AK187" i="11"/>
  <c r="AK235" i="11"/>
  <c r="D176" i="11"/>
  <c r="D177" i="11"/>
  <c r="H146" i="10"/>
  <c r="H145" i="10"/>
  <c r="E210" i="10"/>
  <c r="E211" i="10"/>
  <c r="B210" i="22"/>
  <c r="B211" i="22"/>
  <c r="G165" i="22"/>
  <c r="G166" i="22"/>
  <c r="B191" i="22"/>
  <c r="B190" i="22"/>
  <c r="J191" i="22"/>
  <c r="J190" i="22"/>
  <c r="BI180" i="6"/>
  <c r="BI179" i="6"/>
  <c r="AY210" i="6"/>
  <c r="AY209" i="6"/>
  <c r="K190" i="6"/>
  <c r="K189" i="6"/>
  <c r="C205" i="6"/>
  <c r="C204" i="6"/>
  <c r="Q180" i="6"/>
  <c r="Q179" i="6"/>
  <c r="BQ179" i="6"/>
  <c r="BQ180" i="6"/>
  <c r="C175" i="6"/>
  <c r="C174" i="6"/>
  <c r="D150" i="10"/>
  <c r="D151" i="10"/>
  <c r="AS190" i="6"/>
  <c r="AS189" i="6"/>
  <c r="BZ185" i="6"/>
  <c r="BZ184" i="6"/>
  <c r="BW195" i="6"/>
  <c r="BW194" i="6"/>
  <c r="AW190" i="6"/>
  <c r="AW189" i="6"/>
  <c r="BD195" i="6"/>
  <c r="BD194" i="6"/>
  <c r="BG180" i="6"/>
  <c r="BG179" i="6"/>
  <c r="AE195" i="6"/>
  <c r="AE194" i="6"/>
  <c r="AI209" i="6"/>
  <c r="AI210" i="6"/>
  <c r="BS170" i="6"/>
  <c r="BS169" i="6"/>
  <c r="I169" i="6"/>
  <c r="I170" i="6"/>
  <c r="AW180" i="6"/>
  <c r="AW179" i="6"/>
  <c r="Y195" i="6"/>
  <c r="Y194" i="6"/>
  <c r="BI190" i="6"/>
  <c r="BI189" i="6"/>
  <c r="AR200" i="6"/>
  <c r="AR199" i="6"/>
  <c r="AN169" i="6"/>
  <c r="AN170" i="6"/>
  <c r="H195" i="6"/>
  <c r="H194" i="6"/>
  <c r="BA190" i="6"/>
  <c r="BA189" i="6"/>
  <c r="AU179" i="6"/>
  <c r="AU180" i="6"/>
  <c r="AQ165" i="11"/>
  <c r="AQ166" i="11"/>
  <c r="AB166" i="11"/>
  <c r="AB165" i="11"/>
  <c r="S181" i="11"/>
  <c r="S180" i="11"/>
  <c r="J170" i="11"/>
  <c r="J171" i="11"/>
  <c r="D191" i="11"/>
  <c r="D190" i="11"/>
  <c r="N155" i="11"/>
  <c r="N156" i="11"/>
  <c r="AD165" i="11"/>
  <c r="AD166" i="11"/>
  <c r="E205" i="7"/>
  <c r="E206" i="7"/>
  <c r="BK151" i="7"/>
  <c r="BK150" i="7"/>
  <c r="AF171" i="7"/>
  <c r="AF170" i="7"/>
  <c r="C181" i="7"/>
  <c r="C180" i="7"/>
  <c r="M190" i="7"/>
  <c r="M191" i="7"/>
  <c r="AA191" i="7"/>
  <c r="AA190" i="7"/>
  <c r="AS156" i="11"/>
  <c r="AS155" i="11"/>
  <c r="AL155" i="11"/>
  <c r="AL156" i="11"/>
  <c r="M190" i="11"/>
  <c r="M191" i="11"/>
  <c r="S170" i="11"/>
  <c r="S171" i="11"/>
  <c r="C191" i="11"/>
  <c r="C190" i="11"/>
  <c r="AD160" i="11"/>
  <c r="AD161" i="11"/>
  <c r="AQ161" i="11"/>
  <c r="AQ160" i="11"/>
  <c r="H170" i="11"/>
  <c r="H171" i="11"/>
  <c r="BE165" i="11"/>
  <c r="BE166" i="11"/>
  <c r="R185" i="11"/>
  <c r="R186" i="11"/>
  <c r="AH165" i="11"/>
  <c r="AH166" i="11"/>
  <c r="T145" i="11"/>
  <c r="T146" i="11"/>
  <c r="B171" i="11"/>
  <c r="B170" i="11"/>
  <c r="S175" i="11"/>
  <c r="S176" i="11"/>
  <c r="AN145" i="11"/>
  <c r="AN146" i="11"/>
  <c r="K155" i="11"/>
  <c r="K156" i="11"/>
  <c r="J146" i="11"/>
  <c r="J145" i="11"/>
  <c r="BK160" i="11"/>
  <c r="BK161" i="11"/>
  <c r="BJ145" i="11"/>
  <c r="BJ146" i="11"/>
  <c r="AP160" i="11"/>
  <c r="AP161" i="11"/>
  <c r="B181" i="11"/>
  <c r="B180" i="11"/>
  <c r="BE161" i="11"/>
  <c r="BE160" i="11"/>
  <c r="AO181" i="11"/>
  <c r="AO180" i="11"/>
  <c r="O160" i="11"/>
  <c r="O161" i="11"/>
  <c r="D206" i="11"/>
  <c r="D205" i="11"/>
  <c r="C185" i="11"/>
  <c r="C186" i="11"/>
  <c r="AD155" i="11"/>
  <c r="AD156" i="11"/>
  <c r="AV170" i="11"/>
  <c r="AV171" i="11"/>
  <c r="AJ180" i="11"/>
  <c r="AJ181" i="11"/>
  <c r="O190" i="11"/>
  <c r="O191" i="11"/>
  <c r="F195" i="11"/>
  <c r="F196" i="11"/>
  <c r="T166" i="11"/>
  <c r="T165" i="11"/>
  <c r="H155" i="11"/>
  <c r="H156" i="11"/>
  <c r="AQ156" i="11"/>
  <c r="AQ155" i="11"/>
  <c r="P171" i="11"/>
  <c r="P170" i="11"/>
  <c r="D146" i="11"/>
  <c r="D145" i="11"/>
  <c r="AV181" i="11"/>
  <c r="AV180" i="11"/>
  <c r="BC165" i="11"/>
  <c r="BC166" i="11"/>
  <c r="AF180" i="11"/>
  <c r="AF181" i="11"/>
  <c r="R166" i="11"/>
  <c r="R165" i="11"/>
  <c r="L175" i="11"/>
  <c r="L176" i="11"/>
  <c r="M160" i="11"/>
  <c r="M161" i="11"/>
  <c r="Q170" i="11"/>
  <c r="Q171" i="11"/>
  <c r="N190" i="11"/>
  <c r="N191" i="11"/>
  <c r="AF165" i="11"/>
  <c r="AF166" i="11"/>
  <c r="R175" i="11"/>
  <c r="R176" i="11"/>
  <c r="Z185" i="11"/>
  <c r="Z186" i="11"/>
  <c r="K130" i="11"/>
  <c r="K131" i="11"/>
  <c r="G156" i="11"/>
  <c r="G155" i="11"/>
  <c r="M210" i="11"/>
  <c r="M211" i="11"/>
  <c r="D166" i="7"/>
  <c r="D165" i="7"/>
  <c r="AI150" i="7"/>
  <c r="AI151" i="7"/>
  <c r="AZ190" i="7"/>
  <c r="AZ191" i="7"/>
  <c r="BW150" i="7"/>
  <c r="BW151" i="7"/>
  <c r="AZ151" i="7"/>
  <c r="AZ150" i="7"/>
  <c r="BZ151" i="7"/>
  <c r="BZ150" i="7"/>
  <c r="AM191" i="7"/>
  <c r="AM190" i="7"/>
  <c r="D196" i="7"/>
  <c r="D195" i="7"/>
  <c r="G205" i="7"/>
  <c r="G206" i="7"/>
  <c r="B150" i="7"/>
  <c r="B151" i="7"/>
  <c r="L185" i="11"/>
  <c r="L186" i="11"/>
  <c r="AQ146" i="11"/>
  <c r="AQ145" i="11"/>
  <c r="AH161" i="11"/>
  <c r="AH160" i="11"/>
  <c r="CA151" i="7"/>
  <c r="CA150" i="7"/>
  <c r="BM171" i="11"/>
  <c r="BM170" i="11"/>
  <c r="T151" i="7"/>
  <c r="T150" i="7"/>
  <c r="AM181" i="11"/>
  <c r="AM180" i="11"/>
  <c r="AB150" i="7"/>
  <c r="AB151" i="7"/>
  <c r="BL145" i="11"/>
  <c r="BL146" i="11"/>
  <c r="BN191" i="7"/>
  <c r="BN190" i="7"/>
  <c r="AI171" i="7"/>
  <c r="AI170" i="7"/>
  <c r="AY186" i="11"/>
  <c r="AY185" i="11"/>
  <c r="AS145" i="11"/>
  <c r="AS146" i="11"/>
  <c r="AK160" i="11"/>
  <c r="AK161" i="11"/>
  <c r="BJ171" i="11"/>
  <c r="BJ170" i="11"/>
  <c r="B178" i="1"/>
  <c r="B179" i="1"/>
  <c r="B240" i="1"/>
  <c r="S190" i="10"/>
  <c r="S192" i="10"/>
  <c r="BH191" i="7"/>
  <c r="BH192" i="7"/>
  <c r="I166" i="10"/>
  <c r="I167" i="10"/>
  <c r="R181" i="22"/>
  <c r="R182" i="22"/>
  <c r="X171" i="22"/>
  <c r="X172" i="22"/>
  <c r="BH166" i="11"/>
  <c r="BH167" i="11"/>
  <c r="H210" i="10"/>
  <c r="H212" i="10"/>
  <c r="G206" i="10"/>
  <c r="G207" i="10"/>
  <c r="L186" i="7"/>
  <c r="L187" i="7"/>
  <c r="BV186" i="11"/>
  <c r="BV187" i="11"/>
  <c r="BV235" i="11"/>
  <c r="V171" i="10"/>
  <c r="V172" i="10"/>
  <c r="H171" i="10"/>
  <c r="H172" i="10"/>
  <c r="BS156" i="11"/>
  <c r="BS157" i="11"/>
  <c r="BQ190" i="7"/>
  <c r="BQ192" i="7"/>
  <c r="N169" i="6"/>
  <c r="N171" i="6"/>
  <c r="N232" i="6"/>
  <c r="BP184" i="6"/>
  <c r="BP186" i="6"/>
  <c r="BP235" i="6"/>
  <c r="AC180" i="6"/>
  <c r="AC181" i="6"/>
  <c r="AC234" i="6"/>
  <c r="K160" i="11"/>
  <c r="K162" i="11"/>
  <c r="AV160" i="11"/>
  <c r="AV162" i="11"/>
  <c r="BE170" i="11"/>
  <c r="BE172" i="11"/>
  <c r="M195" i="22"/>
  <c r="M197" i="22"/>
  <c r="R186" i="7"/>
  <c r="R187" i="7"/>
  <c r="E210" i="11"/>
  <c r="E212" i="11"/>
  <c r="I156" i="11"/>
  <c r="I157" i="11"/>
  <c r="AG156" i="11"/>
  <c r="AG157" i="11"/>
  <c r="T199" i="6"/>
  <c r="T201" i="6"/>
  <c r="T238" i="6"/>
  <c r="AG210" i="6"/>
  <c r="AG211" i="6"/>
  <c r="AG240" i="6"/>
  <c r="AC194" i="6"/>
  <c r="AC196" i="6"/>
  <c r="AC237" i="6"/>
  <c r="C141" i="11"/>
  <c r="C142" i="11"/>
  <c r="P175" i="11"/>
  <c r="P177" i="11"/>
  <c r="F189" i="6"/>
  <c r="F191" i="6"/>
  <c r="F236" i="6"/>
  <c r="BB185" i="11"/>
  <c r="BB187" i="11"/>
  <c r="BB235" i="11"/>
  <c r="L195" i="11"/>
  <c r="L197" i="11"/>
  <c r="E151" i="7"/>
  <c r="E152" i="7"/>
  <c r="E228" i="7"/>
  <c r="Z131" i="11"/>
  <c r="Z132" i="11"/>
  <c r="B161" i="7"/>
  <c r="B162" i="7"/>
  <c r="B230" i="7"/>
  <c r="BY180" i="6"/>
  <c r="BY179" i="6"/>
  <c r="AF184" i="6"/>
  <c r="AF185" i="6"/>
  <c r="L160" i="22"/>
  <c r="L161" i="22"/>
  <c r="I211" i="10"/>
  <c r="I210" i="10"/>
  <c r="L145" i="10"/>
  <c r="L146" i="10"/>
  <c r="P170" i="22"/>
  <c r="P171" i="22"/>
  <c r="J195" i="22"/>
  <c r="J196" i="22"/>
  <c r="T195" i="22"/>
  <c r="T196" i="22"/>
  <c r="X170" i="10"/>
  <c r="X171" i="10"/>
  <c r="S161" i="22"/>
  <c r="S160" i="22"/>
  <c r="D180" i="22"/>
  <c r="D181" i="22"/>
  <c r="F160" i="22"/>
  <c r="F161" i="22"/>
  <c r="V176" i="22"/>
  <c r="V175" i="22"/>
  <c r="BE204" i="6"/>
  <c r="BE205" i="6"/>
  <c r="BM204" i="6"/>
  <c r="BM205" i="6"/>
  <c r="AR184" i="6"/>
  <c r="AR185" i="6"/>
  <c r="BL184" i="6"/>
  <c r="BL185" i="6"/>
  <c r="I185" i="6"/>
  <c r="I184" i="6"/>
  <c r="BD174" i="6"/>
  <c r="BD175" i="6"/>
  <c r="AO169" i="6"/>
  <c r="AO170" i="6"/>
  <c r="BU190" i="6"/>
  <c r="BU189" i="6"/>
  <c r="AE179" i="6"/>
  <c r="AE180" i="6"/>
  <c r="BL199" i="6"/>
  <c r="BL200" i="6"/>
  <c r="AD204" i="6"/>
  <c r="AD205" i="6"/>
  <c r="T209" i="6"/>
  <c r="T210" i="6"/>
  <c r="AB179" i="6"/>
  <c r="AB180" i="6"/>
  <c r="BE184" i="6"/>
  <c r="BE185" i="6"/>
  <c r="BZ210" i="6"/>
  <c r="BZ209" i="6"/>
  <c r="G179" i="6"/>
  <c r="G180" i="6"/>
  <c r="BB194" i="6"/>
  <c r="BB195" i="6"/>
  <c r="BG209" i="6"/>
  <c r="BG210" i="6"/>
  <c r="BK174" i="6"/>
  <c r="BK175" i="6"/>
  <c r="Z190" i="6"/>
  <c r="Z189" i="6"/>
  <c r="E190" i="6"/>
  <c r="E189" i="6"/>
  <c r="CB194" i="6"/>
  <c r="CB195" i="6"/>
  <c r="O185" i="6"/>
  <c r="O184" i="6"/>
  <c r="V175" i="6"/>
  <c r="V174" i="6"/>
  <c r="BW169" i="6"/>
  <c r="BW170" i="6"/>
  <c r="L141" i="11"/>
  <c r="L140" i="11"/>
  <c r="M180" i="11"/>
  <c r="M181" i="11"/>
  <c r="D165" i="11"/>
  <c r="D166" i="11"/>
  <c r="T171" i="7"/>
  <c r="T170" i="7"/>
  <c r="F206" i="7"/>
  <c r="F205" i="7"/>
  <c r="O211" i="11"/>
  <c r="O210" i="11"/>
  <c r="AB170" i="11"/>
  <c r="AB171" i="11"/>
  <c r="BC190" i="7"/>
  <c r="BC191" i="7"/>
  <c r="AT171" i="11"/>
  <c r="AT170" i="11"/>
  <c r="M186" i="11"/>
  <c r="M185" i="11"/>
  <c r="AM170" i="11"/>
  <c r="AM171" i="11"/>
  <c r="AJ145" i="11"/>
  <c r="AJ146" i="11"/>
  <c r="B206" i="11"/>
  <c r="B205" i="11"/>
  <c r="AQ171" i="11"/>
  <c r="AQ170" i="11"/>
  <c r="AL160" i="11"/>
  <c r="AL161" i="11"/>
  <c r="B156" i="11"/>
  <c r="B155" i="11"/>
  <c r="K140" i="11"/>
  <c r="K141" i="11"/>
  <c r="C126" i="11"/>
  <c r="C125" i="11"/>
  <c r="AN155" i="11"/>
  <c r="AN156" i="11"/>
  <c r="M165" i="11"/>
  <c r="M166" i="11"/>
  <c r="B145" i="11"/>
  <c r="B146" i="11"/>
  <c r="BB166" i="11"/>
  <c r="BB165" i="11"/>
  <c r="C161" i="11"/>
  <c r="C160" i="11"/>
  <c r="BE145" i="11"/>
  <c r="BE146" i="11"/>
  <c r="AK156" i="11"/>
  <c r="AK155" i="11"/>
  <c r="T160" i="11"/>
  <c r="T161" i="11"/>
  <c r="E205" i="11"/>
  <c r="E206" i="11"/>
  <c r="J186" i="11"/>
  <c r="J185" i="11"/>
  <c r="P131" i="11"/>
  <c r="P130" i="11"/>
  <c r="G180" i="11"/>
  <c r="G181" i="11"/>
  <c r="AD150" i="7"/>
  <c r="AD151" i="7"/>
  <c r="R171" i="7"/>
  <c r="R170" i="7"/>
  <c r="D210" i="7"/>
  <c r="D211" i="7"/>
  <c r="P185" i="7"/>
  <c r="P186" i="7"/>
  <c r="AS190" i="7"/>
  <c r="AS191" i="7"/>
  <c r="AD190" i="7"/>
  <c r="AD191" i="7"/>
  <c r="I191" i="7"/>
  <c r="I190" i="7"/>
  <c r="M171" i="7"/>
  <c r="M170" i="7"/>
  <c r="Y190" i="7"/>
  <c r="Y191" i="7"/>
  <c r="C211" i="11"/>
  <c r="C210" i="11"/>
  <c r="AI161" i="11"/>
  <c r="AI160" i="11"/>
  <c r="BM156" i="11"/>
  <c r="BM155" i="11"/>
  <c r="AZ160" i="11"/>
  <c r="AZ161" i="11"/>
  <c r="BI166" i="11"/>
  <c r="BI165" i="11"/>
  <c r="X160" i="11"/>
  <c r="X161" i="11"/>
  <c r="BI156" i="11"/>
  <c r="BI155" i="11"/>
  <c r="BF181" i="11"/>
  <c r="BF180" i="11"/>
  <c r="BP146" i="11"/>
  <c r="BP145" i="11"/>
  <c r="BF185" i="11"/>
  <c r="BF186" i="11"/>
  <c r="BL156" i="11"/>
  <c r="BL155" i="11"/>
  <c r="H180" i="22"/>
  <c r="H182" i="22"/>
  <c r="H155" i="10"/>
  <c r="H157" i="10"/>
  <c r="BF190" i="7"/>
  <c r="BF192" i="7"/>
  <c r="B235" i="1"/>
  <c r="N185" i="7"/>
  <c r="N187" i="7"/>
  <c r="U210" i="22"/>
  <c r="U212" i="22"/>
  <c r="O210" i="10"/>
  <c r="O212" i="10"/>
  <c r="U174" i="6"/>
  <c r="U176" i="6"/>
  <c r="U233" i="6"/>
  <c r="AW194" i="6"/>
  <c r="AW196" i="6"/>
  <c r="AW237" i="6"/>
  <c r="AF170" i="6"/>
  <c r="AF171" i="6"/>
  <c r="AF232" i="6"/>
  <c r="BG175" i="6"/>
  <c r="BG176" i="6"/>
  <c r="BG233" i="6"/>
  <c r="AH189" i="6"/>
  <c r="AH191" i="6"/>
  <c r="AH236" i="6"/>
  <c r="AM169" i="6"/>
  <c r="AM171" i="6"/>
  <c r="AM232" i="6"/>
  <c r="S189" i="6"/>
  <c r="S191" i="6"/>
  <c r="S236" i="6"/>
  <c r="H189" i="6"/>
  <c r="H191" i="6"/>
  <c r="H236" i="6"/>
  <c r="E165" i="11"/>
  <c r="E167" i="11"/>
  <c r="V185" i="11"/>
  <c r="V187" i="11"/>
  <c r="V235" i="11"/>
  <c r="T170" i="11"/>
  <c r="T172" i="11"/>
  <c r="F210" i="11"/>
  <c r="F212" i="11"/>
  <c r="J180" i="11"/>
  <c r="J182" i="11"/>
  <c r="BB155" i="11"/>
  <c r="BB157" i="11"/>
  <c r="AC191" i="10"/>
  <c r="AC192" i="10"/>
  <c r="T206" i="10"/>
  <c r="T207" i="10"/>
  <c r="H191" i="11"/>
  <c r="H192" i="11"/>
  <c r="AA171" i="7"/>
  <c r="AA172" i="7"/>
  <c r="AI186" i="11"/>
  <c r="AI187" i="11"/>
  <c r="AI235" i="11"/>
  <c r="BE200" i="6"/>
  <c r="BE201" i="6"/>
  <c r="BE238" i="6"/>
  <c r="V130" i="11"/>
  <c r="V132" i="11"/>
  <c r="L166" i="11"/>
  <c r="L167" i="11"/>
  <c r="C166" i="11"/>
  <c r="C167" i="11"/>
  <c r="AM165" i="11"/>
  <c r="AM167" i="11"/>
  <c r="J175" i="11"/>
  <c r="J177" i="11"/>
  <c r="BP191" i="7"/>
  <c r="BP192" i="7"/>
  <c r="T175" i="11"/>
  <c r="T177" i="11"/>
  <c r="BC185" i="6"/>
  <c r="BC186" i="6"/>
  <c r="BC235" i="6"/>
  <c r="AA170" i="6"/>
  <c r="AA171" i="6"/>
  <c r="AA232" i="6"/>
  <c r="P185" i="6"/>
  <c r="P186" i="6"/>
  <c r="P235" i="6"/>
  <c r="Y175" i="22"/>
  <c r="Y176" i="22"/>
  <c r="Q146" i="10"/>
  <c r="Q145" i="10"/>
  <c r="G211" i="10"/>
  <c r="G210" i="10"/>
  <c r="N196" i="10"/>
  <c r="N195" i="10"/>
  <c r="W211" i="22"/>
  <c r="W210" i="22"/>
  <c r="R146" i="10"/>
  <c r="R145" i="10"/>
  <c r="AI86" i="22"/>
  <c r="AI85" i="22"/>
  <c r="BC210" i="6"/>
  <c r="BC209" i="6"/>
  <c r="AA175" i="6"/>
  <c r="AA174" i="6"/>
  <c r="O204" i="6"/>
  <c r="O205" i="6"/>
  <c r="BN180" i="6"/>
  <c r="BN179" i="6"/>
  <c r="Z194" i="6"/>
  <c r="Z195" i="6"/>
  <c r="AL185" i="6"/>
  <c r="AL184" i="6"/>
  <c r="AT210" i="6"/>
  <c r="AT209" i="6"/>
  <c r="C175" i="10"/>
  <c r="C176" i="10"/>
  <c r="T85" i="22"/>
  <c r="T86" i="22"/>
  <c r="BV190" i="6"/>
  <c r="BV189" i="6"/>
  <c r="E175" i="6"/>
  <c r="E174" i="6"/>
  <c r="AU194" i="6"/>
  <c r="AU195" i="6"/>
  <c r="L169" i="6"/>
  <c r="L170" i="6"/>
  <c r="O180" i="6"/>
  <c r="O179" i="6"/>
  <c r="BZ205" i="6"/>
  <c r="BZ204" i="6"/>
  <c r="BX185" i="6"/>
  <c r="BX184" i="6"/>
  <c r="P179" i="6"/>
  <c r="P180" i="6"/>
  <c r="BY190" i="6"/>
  <c r="BY189" i="6"/>
  <c r="AP199" i="6"/>
  <c r="AP200" i="6"/>
  <c r="BR184" i="6"/>
  <c r="BR185" i="6"/>
  <c r="BH175" i="6"/>
  <c r="BH174" i="6"/>
  <c r="BE169" i="6"/>
  <c r="BE170" i="6"/>
  <c r="I180" i="6"/>
  <c r="I179" i="6"/>
  <c r="W170" i="6"/>
  <c r="W169" i="6"/>
  <c r="BC195" i="6"/>
  <c r="BC194" i="6"/>
  <c r="Q186" i="11"/>
  <c r="Q185" i="11"/>
  <c r="G130" i="11"/>
  <c r="G131" i="11"/>
  <c r="I195" i="11"/>
  <c r="I196" i="11"/>
  <c r="G140" i="11"/>
  <c r="G141" i="11"/>
  <c r="AH151" i="7"/>
  <c r="AH150" i="7"/>
  <c r="AW151" i="7"/>
  <c r="AW150" i="7"/>
  <c r="AG170" i="11"/>
  <c r="AG171" i="11"/>
  <c r="AW146" i="11"/>
  <c r="AW145" i="11"/>
  <c r="AW180" i="11"/>
  <c r="AW181" i="11"/>
  <c r="AA146" i="11"/>
  <c r="AA145" i="11"/>
  <c r="W186" i="11"/>
  <c r="W185" i="11"/>
  <c r="AR186" i="11"/>
  <c r="AR185" i="11"/>
  <c r="K165" i="11"/>
  <c r="K166" i="11"/>
  <c r="AQ185" i="11"/>
  <c r="AQ186" i="11"/>
  <c r="O141" i="11"/>
  <c r="O140" i="11"/>
  <c r="Z171" i="11"/>
  <c r="Z170" i="11"/>
  <c r="BP186" i="11"/>
  <c r="BP185" i="11"/>
  <c r="BE186" i="11"/>
  <c r="BE185" i="11"/>
  <c r="AM145" i="11"/>
  <c r="AM146" i="11"/>
  <c r="S141" i="11"/>
  <c r="S140" i="11"/>
  <c r="AC145" i="11"/>
  <c r="AC146" i="11"/>
  <c r="V145" i="11"/>
  <c r="V146" i="11"/>
  <c r="AG146" i="11"/>
  <c r="AG145" i="11"/>
  <c r="X131" i="11"/>
  <c r="X130" i="11"/>
  <c r="AK170" i="11"/>
  <c r="AK171" i="11"/>
  <c r="R210" i="7"/>
  <c r="R211" i="7"/>
  <c r="G190" i="7"/>
  <c r="G191" i="7"/>
  <c r="W150" i="7"/>
  <c r="W151" i="7"/>
  <c r="T196" i="7"/>
  <c r="T195" i="7"/>
  <c r="F195" i="7"/>
  <c r="F196" i="7"/>
  <c r="B180" i="7"/>
  <c r="B181" i="7"/>
  <c r="BS151" i="7"/>
  <c r="BS150" i="7"/>
  <c r="E170" i="7"/>
  <c r="E171" i="7"/>
  <c r="BE155" i="11"/>
  <c r="BE156" i="11"/>
  <c r="X210" i="7"/>
  <c r="X211" i="7"/>
  <c r="AU186" i="11"/>
  <c r="AU185" i="11"/>
  <c r="AG160" i="11"/>
  <c r="AG161" i="11"/>
  <c r="AU170" i="11"/>
  <c r="AU171" i="11"/>
  <c r="H185" i="7"/>
  <c r="H187" i="7"/>
  <c r="Q210" i="22"/>
  <c r="Q212" i="22"/>
  <c r="R190" i="10"/>
  <c r="R192" i="10"/>
  <c r="X175" i="22"/>
  <c r="X177" i="22"/>
  <c r="B121" i="7"/>
  <c r="B122" i="7"/>
  <c r="B222" i="7"/>
  <c r="I171" i="22"/>
  <c r="I172" i="22"/>
  <c r="BT185" i="11"/>
  <c r="BT187" i="11"/>
  <c r="BT235" i="11"/>
  <c r="J166" i="10"/>
  <c r="J167" i="10"/>
  <c r="M186" i="10"/>
  <c r="M187" i="10"/>
  <c r="AJ85" i="22"/>
  <c r="AJ87" i="22"/>
  <c r="P150" i="10"/>
  <c r="P152" i="10"/>
  <c r="Z211" i="10"/>
  <c r="Z212" i="10"/>
  <c r="S185" i="7"/>
  <c r="S187" i="7"/>
  <c r="N5" i="6"/>
  <c r="X190" i="6"/>
  <c r="X191" i="6"/>
  <c r="X236" i="6"/>
  <c r="AQ210" i="6"/>
  <c r="AQ211" i="6"/>
  <c r="AQ240" i="6"/>
  <c r="U205" i="6"/>
  <c r="U206" i="6"/>
  <c r="U239" i="6"/>
  <c r="AZ190" i="6"/>
  <c r="AZ191" i="6"/>
  <c r="AZ236" i="6"/>
  <c r="BN204" i="6"/>
  <c r="BN206" i="6"/>
  <c r="BN239" i="6"/>
  <c r="BD190" i="6"/>
  <c r="BD191" i="6"/>
  <c r="BD236" i="6"/>
  <c r="I199" i="6"/>
  <c r="I201" i="6"/>
  <c r="I238" i="6"/>
  <c r="L210" i="6"/>
  <c r="L211" i="6"/>
  <c r="L240" i="6"/>
  <c r="AW160" i="11"/>
  <c r="AW162" i="11"/>
  <c r="Y156" i="11"/>
  <c r="Y157" i="11"/>
  <c r="O165" i="11"/>
  <c r="O167" i="11"/>
  <c r="S130" i="11"/>
  <c r="S132" i="11"/>
  <c r="AY161" i="11"/>
  <c r="AY162" i="11"/>
  <c r="BF171" i="11"/>
  <c r="BF172" i="11"/>
  <c r="BL161" i="11"/>
  <c r="BL162" i="11"/>
  <c r="BF165" i="11"/>
  <c r="BF167" i="11"/>
  <c r="AD184" i="6"/>
  <c r="AD186" i="6"/>
  <c r="AD235" i="6"/>
  <c r="K210" i="6"/>
  <c r="K211" i="6"/>
  <c r="K240" i="6"/>
  <c r="H131" i="11"/>
  <c r="H132" i="11"/>
  <c r="AT156" i="11"/>
  <c r="AT157" i="11"/>
  <c r="AL204" i="6"/>
  <c r="AL206" i="6"/>
  <c r="AL239" i="6"/>
  <c r="AX145" i="11"/>
  <c r="BH156" i="11"/>
  <c r="BH157" i="11"/>
  <c r="BA160" i="11"/>
  <c r="BA162" i="11"/>
  <c r="L211" i="10"/>
  <c r="L212" i="10"/>
  <c r="AH171" i="7"/>
  <c r="AH172" i="7"/>
  <c r="D181" i="11"/>
  <c r="D182" i="11"/>
  <c r="Q210" i="11"/>
  <c r="Q212" i="11"/>
  <c r="BN184" i="6"/>
  <c r="BN185" i="6"/>
  <c r="D180" i="6"/>
  <c r="D179" i="6"/>
  <c r="BX169" i="6"/>
  <c r="BX170" i="6"/>
  <c r="BY200" i="6"/>
  <c r="BY199" i="6"/>
  <c r="S204" i="6"/>
  <c r="S205" i="6"/>
  <c r="I190" i="6"/>
  <c r="I189" i="6"/>
  <c r="AR180" i="6"/>
  <c r="AR179" i="6"/>
  <c r="CB200" i="6"/>
  <c r="CB199" i="6"/>
  <c r="B185" i="6"/>
  <c r="B184" i="6"/>
  <c r="B190" i="6"/>
  <c r="B189" i="6"/>
  <c r="D189" i="6"/>
  <c r="D190" i="6"/>
  <c r="AV184" i="6"/>
  <c r="AV185" i="6"/>
  <c r="AG184" i="6"/>
  <c r="AG185" i="6"/>
  <c r="BD209" i="6"/>
  <c r="BD210" i="6"/>
  <c r="E206" i="22"/>
  <c r="E205" i="22"/>
  <c r="D174" i="6"/>
  <c r="D175" i="6"/>
  <c r="AS200" i="6"/>
  <c r="AS199" i="6"/>
  <c r="U140" i="11"/>
  <c r="U141" i="11"/>
  <c r="K170" i="11"/>
  <c r="K171" i="11"/>
  <c r="H160" i="11"/>
  <c r="H161" i="11"/>
  <c r="R196" i="7"/>
  <c r="R195" i="7"/>
  <c r="S181" i="7"/>
  <c r="S180" i="7"/>
  <c r="AG170" i="7"/>
  <c r="AG171" i="7"/>
  <c r="BZ186" i="11"/>
  <c r="BZ185" i="11"/>
  <c r="BA186" i="11"/>
  <c r="BA185" i="11"/>
  <c r="AI181" i="11"/>
  <c r="AI180" i="11"/>
  <c r="BV155" i="11"/>
  <c r="BV156" i="11"/>
  <c r="AP145" i="11"/>
  <c r="AP146" i="11"/>
  <c r="F166" i="11"/>
  <c r="F165" i="11"/>
  <c r="AC171" i="11"/>
  <c r="AC170" i="11"/>
  <c r="Q131" i="11"/>
  <c r="Q130" i="11"/>
  <c r="AC161" i="11"/>
  <c r="AC160" i="11"/>
  <c r="AT161" i="11"/>
  <c r="AT160" i="11"/>
  <c r="BD165" i="11"/>
  <c r="BD166" i="11"/>
  <c r="N180" i="11"/>
  <c r="N181" i="11"/>
  <c r="BF160" i="11"/>
  <c r="BF161" i="11"/>
  <c r="AH181" i="11"/>
  <c r="AH180" i="11"/>
  <c r="AK145" i="11"/>
  <c r="AK146" i="11"/>
  <c r="AC141" i="11"/>
  <c r="AC140" i="11"/>
  <c r="BD161" i="11"/>
  <c r="BD160" i="11"/>
  <c r="C155" i="11"/>
  <c r="C156" i="11"/>
  <c r="G165" i="11"/>
  <c r="G166" i="11"/>
  <c r="AE171" i="11"/>
  <c r="AE170" i="11"/>
  <c r="L130" i="11"/>
  <c r="L131" i="11"/>
  <c r="T155" i="11"/>
  <c r="T156" i="11"/>
  <c r="BA170" i="11"/>
  <c r="BA171" i="11"/>
  <c r="AZ171" i="11"/>
  <c r="AZ170" i="11"/>
  <c r="N130" i="11"/>
  <c r="N131" i="11"/>
  <c r="U145" i="11"/>
  <c r="U146" i="11"/>
  <c r="AO160" i="11"/>
  <c r="AO161" i="11"/>
  <c r="F205" i="11"/>
  <c r="F206" i="11"/>
  <c r="V185" i="7"/>
  <c r="V186" i="7"/>
  <c r="G196" i="7"/>
  <c r="G195" i="7"/>
  <c r="C165" i="7"/>
  <c r="C166" i="7"/>
  <c r="E190" i="7"/>
  <c r="E191" i="7"/>
  <c r="Q170" i="7"/>
  <c r="Q171" i="7"/>
  <c r="BL186" i="11"/>
  <c r="BL185" i="11"/>
  <c r="G206" i="22"/>
  <c r="G207" i="22"/>
  <c r="C113" i="1"/>
  <c r="C114" i="1"/>
  <c r="B126" i="8"/>
  <c r="B127" i="8"/>
  <c r="B223" i="8"/>
  <c r="B173" i="1"/>
  <c r="B174" i="1"/>
  <c r="B239" i="1"/>
  <c r="D120" i="6"/>
  <c r="D121" i="6"/>
  <c r="M186" i="7"/>
  <c r="M187" i="7"/>
  <c r="T156" i="10"/>
  <c r="T157" i="10"/>
  <c r="AK86" i="22"/>
  <c r="AK87" i="22"/>
  <c r="H165" i="22"/>
  <c r="H167" i="22"/>
  <c r="N211" i="10"/>
  <c r="N212" i="10"/>
  <c r="BU155" i="11"/>
  <c r="BU157" i="11"/>
  <c r="N9" i="1"/>
  <c r="J205" i="22"/>
  <c r="I206" i="22"/>
  <c r="I207" i="22"/>
  <c r="I174" i="6"/>
  <c r="I176" i="6"/>
  <c r="I233" i="6"/>
  <c r="D211" i="10"/>
  <c r="D212" i="10"/>
  <c r="V206" i="10"/>
  <c r="V207" i="10"/>
  <c r="F185" i="6"/>
  <c r="F186" i="6"/>
  <c r="F235" i="6"/>
  <c r="M184" i="6"/>
  <c r="M186" i="6"/>
  <c r="M235" i="6"/>
  <c r="CB210" i="6"/>
  <c r="CB211" i="6"/>
  <c r="CB240" i="6"/>
  <c r="E180" i="11"/>
  <c r="E182" i="11"/>
  <c r="AJ155" i="11"/>
  <c r="AJ157" i="11"/>
  <c r="BH145" i="11"/>
  <c r="BB145" i="11"/>
  <c r="AC156" i="10"/>
  <c r="AC157" i="10"/>
  <c r="O196" i="22"/>
  <c r="O197" i="22"/>
  <c r="V141" i="11"/>
  <c r="V142" i="11"/>
  <c r="AE175" i="6"/>
  <c r="AE176" i="6"/>
  <c r="AE233" i="6"/>
  <c r="BM184" i="6"/>
  <c r="BM186" i="6"/>
  <c r="BM235" i="6"/>
  <c r="H174" i="6"/>
  <c r="H176" i="6"/>
  <c r="H233" i="6"/>
  <c r="BJ161" i="11"/>
  <c r="BJ162" i="11"/>
  <c r="AU185" i="6"/>
  <c r="AU186" i="6"/>
  <c r="AU235" i="6"/>
  <c r="S210" i="11"/>
  <c r="S212" i="11"/>
  <c r="AK150" i="7"/>
  <c r="AK152" i="7"/>
  <c r="AK228" i="7"/>
  <c r="S150" i="10"/>
  <c r="S152" i="10"/>
  <c r="K190" i="11"/>
  <c r="K192" i="11"/>
  <c r="U169" i="6"/>
  <c r="U171" i="6"/>
  <c r="U232" i="6"/>
  <c r="E155" i="11"/>
  <c r="E157" i="11"/>
  <c r="O196" i="11"/>
  <c r="O197" i="11"/>
  <c r="AG190" i="7"/>
  <c r="AG192" i="7"/>
  <c r="AM200" i="6"/>
  <c r="AM201" i="6"/>
  <c r="AM238" i="6"/>
  <c r="Z169" i="6"/>
  <c r="Z171" i="6"/>
  <c r="Z232" i="6"/>
  <c r="AB209" i="6"/>
  <c r="AB211" i="6"/>
  <c r="AB240" i="6"/>
  <c r="AH195" i="6"/>
  <c r="AH196" i="6"/>
  <c r="AH237" i="6"/>
  <c r="AF189" i="6"/>
  <c r="AF191" i="6"/>
  <c r="AF236" i="6"/>
  <c r="BQ169" i="6"/>
  <c r="BQ171" i="6"/>
  <c r="BQ232" i="6"/>
  <c r="U155" i="11"/>
  <c r="U157" i="11"/>
  <c r="AK191" i="7"/>
  <c r="AK192" i="7"/>
  <c r="BC181" i="11"/>
  <c r="BC182" i="11"/>
  <c r="AA180" i="11"/>
  <c r="AA182" i="11"/>
  <c r="X171" i="11"/>
  <c r="X172" i="11"/>
  <c r="BQ185" i="11"/>
  <c r="BQ187" i="11"/>
  <c r="BQ235" i="11"/>
  <c r="E126" i="11"/>
  <c r="E127" i="11"/>
  <c r="B135" i="11"/>
  <c r="B137" i="11"/>
  <c r="B225" i="11"/>
  <c r="N210" i="11"/>
  <c r="N212" i="11"/>
  <c r="AF161" i="11"/>
  <c r="AF162" i="11"/>
  <c r="BP150" i="7"/>
  <c r="BP152" i="7"/>
  <c r="BP228" i="7"/>
  <c r="AR160" i="11"/>
  <c r="AR162" i="11"/>
  <c r="AN180" i="11"/>
  <c r="AN182" i="11"/>
  <c r="S185" i="11"/>
  <c r="S187" i="11"/>
  <c r="S235" i="11"/>
  <c r="J190" i="7"/>
  <c r="J192" i="7"/>
  <c r="D156" i="11"/>
  <c r="D157" i="11"/>
  <c r="AZ185" i="11"/>
  <c r="AZ187" i="11"/>
  <c r="AZ235" i="11"/>
  <c r="AO165" i="11"/>
  <c r="AO167" i="11"/>
  <c r="N140" i="11"/>
  <c r="N142" i="11"/>
  <c r="Q211" i="7"/>
  <c r="Q212" i="7"/>
  <c r="V171" i="7"/>
  <c r="V172" i="7"/>
  <c r="G170" i="7"/>
  <c r="E176" i="11"/>
  <c r="E177" i="11"/>
  <c r="BR150" i="7"/>
  <c r="BR152" i="7"/>
  <c r="BR228" i="7"/>
  <c r="AM170" i="7"/>
  <c r="T181" i="22"/>
  <c r="T182" i="22"/>
  <c r="T179" i="6"/>
  <c r="T181" i="6"/>
  <c r="T234" i="6"/>
  <c r="F180" i="6"/>
  <c r="F181" i="6"/>
  <c r="F234" i="6"/>
  <c r="BN185" i="11"/>
  <c r="BN187" i="11"/>
  <c r="BN235" i="11"/>
  <c r="BA169" i="6"/>
  <c r="BA171" i="6"/>
  <c r="BA232" i="6"/>
  <c r="N2" i="1"/>
  <c r="BU186" i="11"/>
  <c r="BU187" i="11"/>
  <c r="BU235" i="11"/>
  <c r="B150" i="11"/>
  <c r="B152" i="11"/>
  <c r="B228" i="11"/>
  <c r="U131" i="11"/>
  <c r="U132" i="11"/>
  <c r="N171" i="7"/>
  <c r="N172" i="7"/>
  <c r="G151" i="7"/>
  <c r="G152" i="7"/>
  <c r="G228" i="7"/>
  <c r="B190" i="11"/>
  <c r="B192" i="11"/>
  <c r="B236" i="11"/>
  <c r="C205" i="11"/>
  <c r="C207" i="11"/>
  <c r="AS181" i="11"/>
  <c r="AS182" i="11"/>
  <c r="H145" i="11"/>
  <c r="R141" i="11"/>
  <c r="R142" i="11"/>
  <c r="AA160" i="11"/>
  <c r="AA162" i="11"/>
  <c r="N211" i="7"/>
  <c r="N212" i="7"/>
  <c r="AP185" i="11"/>
  <c r="AP187" i="11"/>
  <c r="AP235" i="11"/>
  <c r="C171" i="11"/>
  <c r="C172" i="11"/>
  <c r="BC170" i="11"/>
  <c r="BC172" i="11"/>
  <c r="T141" i="11"/>
  <c r="T142" i="11"/>
  <c r="AA170" i="11"/>
  <c r="AA172" i="11"/>
  <c r="I171" i="11"/>
  <c r="I172" i="11"/>
  <c r="D186" i="11"/>
  <c r="D187" i="11"/>
  <c r="D235" i="11"/>
  <c r="O185" i="11"/>
  <c r="O187" i="11"/>
  <c r="O235" i="11"/>
  <c r="AO186" i="11"/>
  <c r="AO187" i="11"/>
  <c r="AO235" i="11"/>
  <c r="Y171" i="11"/>
  <c r="Y172" i="11"/>
  <c r="K211" i="11"/>
  <c r="K212" i="11"/>
  <c r="U190" i="7"/>
  <c r="U192" i="7"/>
  <c r="Z166" i="11"/>
  <c r="Z167" i="11"/>
  <c r="AI165" i="11"/>
  <c r="AI167" i="11"/>
  <c r="AU146" i="11"/>
  <c r="AU147" i="11"/>
  <c r="X180" i="7"/>
  <c r="X182" i="7"/>
  <c r="C171" i="7"/>
  <c r="C172" i="7"/>
  <c r="AE146" i="11"/>
  <c r="AE147" i="11"/>
  <c r="AU155" i="11"/>
  <c r="AU157" i="11"/>
  <c r="BK209" i="6"/>
  <c r="BK211" i="6"/>
  <c r="BK240" i="6"/>
  <c r="AN166" i="11"/>
  <c r="AN167" i="11"/>
  <c r="AW185" i="11"/>
  <c r="AW187" i="11"/>
  <c r="AW235" i="11"/>
  <c r="AS160" i="11"/>
  <c r="AS162" i="11"/>
  <c r="AH156" i="11"/>
  <c r="AH157" i="11"/>
  <c r="AB160" i="11"/>
  <c r="AB162" i="11"/>
  <c r="AP155" i="11"/>
  <c r="AP157" i="11"/>
  <c r="AA180" i="7"/>
  <c r="AA182" i="7"/>
  <c r="AE156" i="11"/>
  <c r="AE157" i="11"/>
  <c r="N160" i="11"/>
  <c r="N162" i="11"/>
  <c r="AR145" i="11"/>
  <c r="D130" i="11"/>
  <c r="D132" i="11"/>
  <c r="BT151" i="7"/>
  <c r="BT152" i="7"/>
  <c r="BT228" i="7"/>
  <c r="AA165" i="11"/>
  <c r="AA167" i="11"/>
  <c r="AU150" i="7"/>
  <c r="AU152" i="7"/>
  <c r="AU228" i="7"/>
  <c r="BF172" i="8"/>
  <c r="H186" i="10"/>
  <c r="H187" i="10"/>
  <c r="S195" i="6"/>
  <c r="S196" i="6"/>
  <c r="S237" i="6"/>
  <c r="AH209" i="6"/>
  <c r="AH211" i="6"/>
  <c r="AH240" i="6"/>
  <c r="BZ170" i="6"/>
  <c r="BZ171" i="6"/>
  <c r="BZ232" i="6"/>
  <c r="AB170" i="6"/>
  <c r="AB171" i="6"/>
  <c r="AB232" i="6"/>
  <c r="AH169" i="6"/>
  <c r="AH171" i="6"/>
  <c r="AH232" i="6"/>
  <c r="AK170" i="6"/>
  <c r="AK171" i="6"/>
  <c r="AK232" i="6"/>
  <c r="Q191" i="11"/>
  <c r="Q192" i="11"/>
  <c r="H195" i="11"/>
  <c r="H197" i="11"/>
  <c r="P204" i="6"/>
  <c r="P206" i="6"/>
  <c r="P239" i="6"/>
  <c r="BU175" i="6"/>
  <c r="BU176" i="6"/>
  <c r="BU233" i="6"/>
  <c r="AI194" i="6"/>
  <c r="AI196" i="6"/>
  <c r="AI237" i="6"/>
  <c r="BC185" i="11"/>
  <c r="BC187" i="11"/>
  <c r="BC235" i="11"/>
  <c r="V166" i="11"/>
  <c r="V167" i="11"/>
  <c r="V210" i="10"/>
  <c r="V212" i="10"/>
  <c r="S151" i="7"/>
  <c r="S152" i="7"/>
  <c r="S228" i="7"/>
  <c r="AE184" i="6"/>
  <c r="AE186" i="6"/>
  <c r="AE235" i="6"/>
  <c r="O170" i="7"/>
  <c r="C145" i="11"/>
  <c r="M169" i="6"/>
  <c r="M171" i="6"/>
  <c r="M232" i="6"/>
  <c r="AF186" i="11"/>
  <c r="AF187" i="11"/>
  <c r="AF235" i="11"/>
  <c r="V180" i="7"/>
  <c r="V182" i="7"/>
  <c r="Y160" i="11"/>
  <c r="Y162" i="11"/>
  <c r="AP165" i="11"/>
  <c r="AP167" i="11"/>
  <c r="AW166" i="11"/>
  <c r="AW167" i="11"/>
  <c r="AV155" i="11"/>
  <c r="AV157" i="11"/>
  <c r="AL171" i="11"/>
  <c r="AL172" i="11"/>
  <c r="H166" i="11"/>
  <c r="H167" i="11"/>
  <c r="E146" i="11"/>
  <c r="E147" i="11"/>
  <c r="L151" i="7"/>
  <c r="L152" i="7"/>
  <c r="L228" i="7"/>
  <c r="AF145" i="11"/>
  <c r="AX151" i="7"/>
  <c r="AX152" i="7"/>
  <c r="AX228" i="7"/>
  <c r="Z190" i="7"/>
  <c r="Z192" i="7"/>
  <c r="AY180" i="11"/>
  <c r="AY182" i="11"/>
  <c r="H181" i="11"/>
  <c r="H182" i="11"/>
  <c r="AU199" i="6"/>
  <c r="AU201" i="6"/>
  <c r="AU238" i="6"/>
  <c r="C151" i="7"/>
  <c r="C152" i="7"/>
  <c r="C228" i="7"/>
  <c r="Q166" i="11"/>
  <c r="Q167" i="11"/>
  <c r="AB195" i="6"/>
  <c r="AB196" i="6"/>
  <c r="AB237" i="6"/>
  <c r="K200" i="6"/>
  <c r="K201" i="6"/>
  <c r="K238" i="6"/>
  <c r="G191" i="11"/>
  <c r="G192" i="11"/>
  <c r="T190" i="7"/>
  <c r="T192" i="7"/>
  <c r="BS200" i="6"/>
  <c r="BS201" i="6"/>
  <c r="BS238" i="6"/>
  <c r="AX175" i="6"/>
  <c r="AX176" i="6"/>
  <c r="AX233" i="6"/>
  <c r="AU205" i="6"/>
  <c r="AU206" i="6"/>
  <c r="AU239" i="6"/>
  <c r="AE171" i="7"/>
  <c r="AE172" i="7"/>
  <c r="BO204" i="6"/>
  <c r="BO206" i="6"/>
  <c r="BO239" i="6"/>
  <c r="Y175" i="6"/>
  <c r="Y176" i="6"/>
  <c r="Y233" i="6"/>
  <c r="C190" i="6"/>
  <c r="C191" i="6"/>
  <c r="C236" i="6"/>
  <c r="J179" i="6"/>
  <c r="J181" i="6"/>
  <c r="J234" i="6"/>
  <c r="B169" i="6"/>
  <c r="B171" i="6"/>
  <c r="B232" i="6"/>
  <c r="AB199" i="6"/>
  <c r="AB201" i="6"/>
  <c r="AB238" i="6"/>
  <c r="AL209" i="6"/>
  <c r="AL211" i="6"/>
  <c r="AL240" i="6"/>
  <c r="AR189" i="6"/>
  <c r="AR191" i="6"/>
  <c r="AR236" i="6"/>
  <c r="X169" i="6"/>
  <c r="X171" i="6"/>
  <c r="X232" i="6"/>
  <c r="G161" i="11"/>
  <c r="G162" i="11"/>
  <c r="AA185" i="11"/>
  <c r="AA187" i="11"/>
  <c r="AA235" i="11"/>
  <c r="H150" i="7"/>
  <c r="H152" i="7"/>
  <c r="H228" i="7"/>
  <c r="O191" i="7"/>
  <c r="O192" i="7"/>
  <c r="U199" i="6"/>
  <c r="U201" i="6"/>
  <c r="U238" i="6"/>
  <c r="C141" i="22"/>
  <c r="C142" i="22"/>
  <c r="B141" i="22"/>
  <c r="B142" i="22"/>
  <c r="B226" i="22"/>
  <c r="H166" i="10"/>
  <c r="H167" i="10"/>
  <c r="P170" i="10"/>
  <c r="P172" i="10"/>
  <c r="U175" i="22"/>
  <c r="U177" i="22"/>
  <c r="J175" i="10"/>
  <c r="J177" i="10"/>
  <c r="H161" i="22"/>
  <c r="H162" i="22"/>
  <c r="I195" i="22"/>
  <c r="I197" i="22"/>
  <c r="K196" i="22"/>
  <c r="K197" i="22"/>
  <c r="BL205" i="6"/>
  <c r="BL206" i="6"/>
  <c r="BL239" i="6"/>
  <c r="BO186" i="11"/>
  <c r="BO187" i="11"/>
  <c r="BO235" i="11"/>
  <c r="AX185" i="6"/>
  <c r="AX186" i="6"/>
  <c r="AX235" i="6"/>
  <c r="J170" i="6"/>
  <c r="J171" i="6"/>
  <c r="J232" i="6"/>
  <c r="B174" i="6"/>
  <c r="B176" i="6"/>
  <c r="B233" i="6"/>
  <c r="L166" i="10"/>
  <c r="L167" i="10"/>
  <c r="AC166" i="11"/>
  <c r="AC167" i="11"/>
  <c r="AZ181" i="11"/>
  <c r="AZ182" i="11"/>
  <c r="O181" i="7"/>
  <c r="O182" i="7"/>
  <c r="BB191" i="7"/>
  <c r="BB192" i="7"/>
  <c r="BJ174" i="6"/>
  <c r="BJ176" i="6"/>
  <c r="BJ233" i="6"/>
  <c r="X146" i="11"/>
  <c r="X147" i="11"/>
  <c r="Y130" i="11"/>
  <c r="Y132" i="11"/>
  <c r="AP180" i="11"/>
  <c r="AP182" i="11"/>
  <c r="B185" i="7"/>
  <c r="B187" i="7"/>
  <c r="B235" i="7"/>
  <c r="BD180" i="6"/>
  <c r="BD181" i="6"/>
  <c r="BD234" i="6"/>
  <c r="I150" i="10"/>
  <c r="I152" i="10"/>
  <c r="R195" i="22"/>
  <c r="R197" i="22"/>
  <c r="J186" i="10"/>
  <c r="J187" i="10"/>
  <c r="Y85" i="22"/>
  <c r="Y87" i="22"/>
  <c r="BM174" i="6"/>
  <c r="BM176" i="6"/>
  <c r="BM233" i="6"/>
  <c r="BF189" i="6"/>
  <c r="BF191" i="6"/>
  <c r="BF236" i="6"/>
  <c r="BX210" i="6"/>
  <c r="BX211" i="6"/>
  <c r="BX240" i="6"/>
  <c r="Q146" i="11"/>
  <c r="Q147" i="11"/>
  <c r="BN209" i="6"/>
  <c r="BN211" i="6"/>
  <c r="BN240" i="6"/>
  <c r="Q209" i="6"/>
  <c r="Q211" i="6"/>
  <c r="Q240" i="6"/>
  <c r="AZ174" i="6"/>
  <c r="AZ176" i="6"/>
  <c r="AZ233" i="6"/>
  <c r="BZ175" i="6"/>
  <c r="BZ176" i="6"/>
  <c r="BZ233" i="6"/>
  <c r="O131" i="11"/>
  <c r="O132" i="11"/>
  <c r="AI205" i="6"/>
  <c r="AI206" i="6"/>
  <c r="AI239" i="6"/>
  <c r="BI151" i="7"/>
  <c r="BI152" i="7"/>
  <c r="BI228" i="7"/>
  <c r="AA156" i="11"/>
  <c r="AA157" i="11"/>
  <c r="BS179" i="6"/>
  <c r="BS181" i="6"/>
  <c r="BS234" i="6"/>
  <c r="AC190" i="7"/>
  <c r="AC192" i="7"/>
  <c r="AU190" i="7"/>
  <c r="AU192" i="7"/>
  <c r="U211" i="11"/>
  <c r="U212" i="11"/>
  <c r="N151" i="7"/>
  <c r="N152" i="7"/>
  <c r="N228" i="7"/>
  <c r="BQ199" i="6"/>
  <c r="BQ201" i="6"/>
  <c r="BQ238" i="6"/>
  <c r="U146" i="10"/>
  <c r="U147" i="10"/>
  <c r="L170" i="22"/>
  <c r="L172" i="22"/>
  <c r="B199" i="6"/>
  <c r="B201" i="6"/>
  <c r="B238" i="6"/>
  <c r="X185" i="6"/>
  <c r="X186" i="6"/>
  <c r="X235" i="6"/>
  <c r="S209" i="6"/>
  <c r="S211" i="6"/>
  <c r="S240" i="6"/>
  <c r="BG200" i="6"/>
  <c r="BG201" i="6"/>
  <c r="BG238" i="6"/>
  <c r="L199" i="6"/>
  <c r="L201" i="6"/>
  <c r="L238" i="6"/>
  <c r="R170" i="11"/>
  <c r="R172" i="11"/>
  <c r="N185" i="11"/>
  <c r="N187" i="11"/>
  <c r="N235" i="11"/>
  <c r="C210" i="7"/>
  <c r="C212" i="7"/>
  <c r="AS186" i="11"/>
  <c r="AS187" i="11"/>
  <c r="AS235" i="11"/>
  <c r="AW156" i="11"/>
  <c r="AW157" i="11"/>
  <c r="AB140" i="11"/>
  <c r="AB142" i="11"/>
  <c r="AS166" i="11"/>
  <c r="AS167" i="11"/>
  <c r="AT166" i="11"/>
  <c r="AT167" i="11"/>
  <c r="T181" i="11"/>
  <c r="T182" i="11"/>
  <c r="AI156" i="11"/>
  <c r="AI157" i="11"/>
  <c r="D210" i="11"/>
  <c r="D212" i="11"/>
  <c r="I165" i="11"/>
  <c r="I167" i="11"/>
  <c r="BA165" i="11"/>
  <c r="BA167" i="11"/>
  <c r="G145" i="11"/>
  <c r="G147" i="11"/>
  <c r="BB160" i="11"/>
  <c r="BB162" i="11"/>
  <c r="Q196" i="11"/>
  <c r="Q197" i="11"/>
  <c r="L210" i="11"/>
  <c r="L212" i="11"/>
  <c r="E141" i="11"/>
  <c r="E142" i="11"/>
  <c r="AX181" i="11"/>
  <c r="AX182" i="11"/>
  <c r="J190" i="11"/>
  <c r="J192" i="11"/>
  <c r="E170" i="11"/>
  <c r="E172" i="11"/>
  <c r="F170" i="22"/>
  <c r="F172" i="22"/>
  <c r="AL86" i="22"/>
  <c r="AL87" i="22"/>
  <c r="O145" i="10"/>
  <c r="O147" i="10"/>
  <c r="T171" i="22"/>
  <c r="T172" i="22"/>
  <c r="T211" i="10"/>
  <c r="T212" i="10"/>
  <c r="W206" i="10"/>
  <c r="W207" i="10"/>
  <c r="Z151" i="10"/>
  <c r="Z152" i="10"/>
  <c r="N186" i="10"/>
  <c r="N187" i="10"/>
  <c r="BH210" i="6"/>
  <c r="BH211" i="6"/>
  <c r="BH240" i="6"/>
  <c r="BT209" i="6"/>
  <c r="BT211" i="6"/>
  <c r="BT240" i="6"/>
  <c r="M176" i="11"/>
  <c r="M177" i="11"/>
  <c r="BO199" i="6"/>
  <c r="BO201" i="6"/>
  <c r="BO238" i="6"/>
  <c r="P181" i="11"/>
  <c r="P182" i="11"/>
  <c r="I145" i="10"/>
  <c r="I147" i="10"/>
  <c r="AX169" i="6"/>
  <c r="AX171" i="6"/>
  <c r="AX232" i="6"/>
  <c r="N150" i="10"/>
  <c r="N152" i="10"/>
  <c r="BI184" i="6"/>
  <c r="BI186" i="6"/>
  <c r="BI235" i="6"/>
  <c r="F174" i="6"/>
  <c r="F176" i="6"/>
  <c r="F233" i="6"/>
  <c r="C194" i="6"/>
  <c r="C196" i="6"/>
  <c r="C237" i="6"/>
  <c r="BX200" i="6"/>
  <c r="BX201" i="6"/>
  <c r="BX238" i="6"/>
  <c r="N205" i="10"/>
  <c r="N207" i="10"/>
  <c r="Q180" i="22"/>
  <c r="Q182" i="22"/>
  <c r="U195" i="22"/>
  <c r="U197" i="22"/>
  <c r="BK170" i="6"/>
  <c r="BK171" i="6"/>
  <c r="BK232" i="6"/>
  <c r="BG169" i="6"/>
  <c r="BG171" i="6"/>
  <c r="BG232" i="6"/>
  <c r="AQ170" i="6"/>
  <c r="AQ171" i="6"/>
  <c r="AQ232" i="6"/>
  <c r="O170" i="6"/>
  <c r="O171" i="6"/>
  <c r="O232" i="6"/>
  <c r="N161" i="22"/>
  <c r="N162" i="22"/>
  <c r="V210" i="22"/>
  <c r="V212" i="22"/>
  <c r="H186" i="22"/>
  <c r="H187" i="22"/>
  <c r="G186" i="10"/>
  <c r="G187" i="10"/>
  <c r="BD200" i="6"/>
  <c r="BD201" i="6"/>
  <c r="BD238" i="6"/>
  <c r="BR175" i="6"/>
  <c r="BR176" i="6"/>
  <c r="BR233" i="6"/>
  <c r="W204" i="6"/>
  <c r="W206" i="6"/>
  <c r="W239" i="6"/>
  <c r="T161" i="22"/>
  <c r="T162" i="22"/>
  <c r="CA185" i="6"/>
  <c r="CA186" i="6"/>
  <c r="CA235" i="6"/>
  <c r="AT151" i="7"/>
  <c r="AT152" i="7"/>
  <c r="AT228" i="7"/>
  <c r="U189" i="6"/>
  <c r="U191" i="6"/>
  <c r="U236" i="6"/>
  <c r="O146" i="11"/>
  <c r="O147" i="11"/>
  <c r="AT179" i="6"/>
  <c r="AT181" i="6"/>
  <c r="AT234" i="6"/>
  <c r="K175" i="22"/>
  <c r="K177" i="22"/>
  <c r="C165" i="22"/>
  <c r="C167" i="22"/>
  <c r="P186" i="10"/>
  <c r="P187" i="10"/>
  <c r="AX205" i="6"/>
  <c r="AX206" i="6"/>
  <c r="AX239" i="6"/>
  <c r="BE175" i="6"/>
  <c r="BE176" i="6"/>
  <c r="BE233" i="6"/>
  <c r="I146" i="11"/>
  <c r="I147" i="11"/>
  <c r="G155" i="10"/>
  <c r="G157" i="10"/>
  <c r="BC205" i="6"/>
  <c r="BC206" i="6"/>
  <c r="BC239" i="6"/>
  <c r="N166" i="11"/>
  <c r="N167" i="11"/>
  <c r="AJ205" i="6"/>
  <c r="AJ206" i="6"/>
  <c r="AJ239" i="6"/>
  <c r="M171" i="11"/>
  <c r="M172" i="11"/>
  <c r="AS194" i="6"/>
  <c r="AS196" i="6"/>
  <c r="AS237" i="6"/>
  <c r="S180" i="6"/>
  <c r="S181" i="6"/>
  <c r="S234" i="6"/>
  <c r="BF195" i="6"/>
  <c r="BF196" i="6"/>
  <c r="BF237" i="6"/>
  <c r="BP199" i="6"/>
  <c r="BP201" i="6"/>
  <c r="BP238" i="6"/>
  <c r="B161" i="11"/>
  <c r="B162" i="11"/>
  <c r="B230" i="11"/>
  <c r="Q176" i="22"/>
  <c r="Q177" i="22"/>
  <c r="X195" i="6"/>
  <c r="X196" i="6"/>
  <c r="X237" i="6"/>
  <c r="Z151" i="7"/>
  <c r="Z152" i="7"/>
  <c r="Z228" i="7"/>
  <c r="B91" i="22"/>
  <c r="B92" i="22"/>
  <c r="B216" i="22"/>
  <c r="S196" i="22"/>
  <c r="S197" i="22"/>
  <c r="AG190" i="10"/>
  <c r="AG192" i="10"/>
  <c r="J146" i="10"/>
  <c r="J147" i="10"/>
  <c r="L150" i="10"/>
  <c r="L152" i="10"/>
  <c r="Y156" i="10"/>
  <c r="Y157" i="10"/>
  <c r="BQ175" i="6"/>
  <c r="BQ176" i="6"/>
  <c r="BQ233" i="6"/>
  <c r="G210" i="22"/>
  <c r="G212" i="22"/>
  <c r="U170" i="22"/>
  <c r="U172" i="22"/>
  <c r="R210" i="6"/>
  <c r="R211" i="6"/>
  <c r="R240" i="6"/>
  <c r="G185" i="6"/>
  <c r="G186" i="6"/>
  <c r="G235" i="6"/>
  <c r="BK204" i="6"/>
  <c r="BK206" i="6"/>
  <c r="BK239" i="6"/>
  <c r="N194" i="6"/>
  <c r="N196" i="6"/>
  <c r="N237" i="6"/>
  <c r="Z160" i="11"/>
  <c r="Z162" i="11"/>
  <c r="AX195" i="6"/>
  <c r="AX196" i="6"/>
  <c r="AX237" i="6"/>
  <c r="X205" i="6"/>
  <c r="X206" i="6"/>
  <c r="X239" i="6"/>
  <c r="J194" i="6"/>
  <c r="J196" i="6"/>
  <c r="J237" i="6"/>
  <c r="AS169" i="6"/>
  <c r="AS171" i="6"/>
  <c r="AS232" i="6"/>
  <c r="BS184" i="6"/>
  <c r="BS186" i="6"/>
  <c r="BS235" i="6"/>
  <c r="AD190" i="6"/>
  <c r="AD191" i="6"/>
  <c r="AD236" i="6"/>
  <c r="BJ181" i="11"/>
  <c r="BJ182" i="11"/>
  <c r="K185" i="11"/>
  <c r="K187" i="11"/>
  <c r="K235" i="11"/>
  <c r="X151" i="7"/>
  <c r="X152" i="7"/>
  <c r="X228" i="7"/>
  <c r="C196" i="22"/>
  <c r="C197" i="22"/>
  <c r="D141" i="11"/>
  <c r="D142" i="11"/>
  <c r="W195" i="6"/>
  <c r="W196" i="6"/>
  <c r="W237" i="6"/>
  <c r="J211" i="10"/>
  <c r="J212" i="10"/>
  <c r="AK190" i="6"/>
  <c r="AK191" i="6"/>
  <c r="AK236" i="6"/>
  <c r="BL190" i="6"/>
  <c r="BL191" i="6"/>
  <c r="BL236" i="6"/>
  <c r="AA200" i="6"/>
  <c r="AA201" i="6"/>
  <c r="AA238" i="6"/>
  <c r="BU205" i="6"/>
  <c r="BU206" i="6"/>
  <c r="BU239" i="6"/>
  <c r="BI174" i="6"/>
  <c r="BI176" i="6"/>
  <c r="BI233" i="6"/>
  <c r="AL180" i="6"/>
  <c r="AL181" i="6"/>
  <c r="AL234" i="6"/>
  <c r="Q177" i="8"/>
  <c r="Q189" i="6"/>
  <c r="Q191" i="6"/>
  <c r="Q236" i="6"/>
  <c r="M200" i="6"/>
  <c r="M201" i="6"/>
  <c r="M238" i="6"/>
  <c r="AA180" i="6"/>
  <c r="AA181" i="6"/>
  <c r="AA234" i="6"/>
  <c r="U179" i="6"/>
  <c r="U181" i="6"/>
  <c r="U234" i="6"/>
  <c r="BE189" i="6"/>
  <c r="BE191" i="6"/>
  <c r="BE236" i="6"/>
  <c r="V179" i="6"/>
  <c r="V181" i="6"/>
  <c r="V234" i="6"/>
  <c r="BP210" i="6"/>
  <c r="BP211" i="6"/>
  <c r="BP240" i="6"/>
  <c r="D186" i="10"/>
  <c r="D187" i="10"/>
  <c r="AK209" i="6"/>
  <c r="AK211" i="6"/>
  <c r="AK240" i="6"/>
  <c r="AD86" i="22"/>
  <c r="AD87" i="22"/>
  <c r="Z86" i="22"/>
  <c r="Z87" i="22"/>
  <c r="BO174" i="6"/>
  <c r="BO176" i="6"/>
  <c r="BO233" i="6"/>
  <c r="AJ200" i="6"/>
  <c r="AJ201" i="6"/>
  <c r="AJ238" i="6"/>
  <c r="Q205" i="6"/>
  <c r="Q206" i="6"/>
  <c r="Q239" i="6"/>
  <c r="AZ180" i="6"/>
  <c r="AZ181" i="6"/>
  <c r="AZ234" i="6"/>
  <c r="BZ179" i="6"/>
  <c r="BZ181" i="6"/>
  <c r="BZ234" i="6"/>
  <c r="AT175" i="6"/>
  <c r="AT176" i="6"/>
  <c r="AT233" i="6"/>
  <c r="AH184" i="6"/>
  <c r="AH186" i="6"/>
  <c r="AH235" i="6"/>
  <c r="AN179" i="6"/>
  <c r="AN181" i="6"/>
  <c r="AN234" i="6"/>
  <c r="BH179" i="6"/>
  <c r="BH180" i="6"/>
  <c r="BV210" i="6"/>
  <c r="BV209" i="6"/>
  <c r="Y169" i="6"/>
  <c r="Y170" i="6"/>
  <c r="BU194" i="6"/>
  <c r="BU195" i="6"/>
  <c r="AR170" i="6"/>
  <c r="AR169" i="6"/>
  <c r="D200" i="6"/>
  <c r="D199" i="6"/>
  <c r="K194" i="6"/>
  <c r="K195" i="6"/>
  <c r="M190" i="6"/>
  <c r="M189" i="6"/>
  <c r="AE169" i="6"/>
  <c r="AE170" i="6"/>
  <c r="H169" i="6"/>
  <c r="H170" i="6"/>
  <c r="Z179" i="6"/>
  <c r="Z180" i="6"/>
  <c r="V199" i="6"/>
  <c r="V200" i="6"/>
  <c r="AO189" i="6"/>
  <c r="AO190" i="6"/>
  <c r="AV189" i="6"/>
  <c r="AV190" i="6"/>
  <c r="BC180" i="6"/>
  <c r="BC179" i="6"/>
  <c r="BJ199" i="6"/>
  <c r="BJ200" i="6"/>
  <c r="AE205" i="6"/>
  <c r="AE204" i="6"/>
  <c r="C169" i="6"/>
  <c r="C170" i="6"/>
  <c r="AN195" i="6"/>
  <c r="AN194" i="6"/>
  <c r="BM194" i="6"/>
  <c r="BM195" i="6"/>
  <c r="AY195" i="6"/>
  <c r="AY194" i="6"/>
  <c r="AL174" i="6"/>
  <c r="AL175" i="6"/>
  <c r="V209" i="6"/>
  <c r="V210" i="6"/>
  <c r="C155" i="10"/>
  <c r="C156" i="10"/>
  <c r="B155" i="10"/>
  <c r="B156" i="10"/>
  <c r="O86" i="22"/>
  <c r="O85" i="22"/>
  <c r="E175" i="22"/>
  <c r="E176" i="22"/>
  <c r="AB85" i="22"/>
  <c r="AB86" i="22"/>
  <c r="E150" i="10"/>
  <c r="E151" i="10"/>
  <c r="Q170" i="22"/>
  <c r="Q171" i="22"/>
  <c r="R205" i="10"/>
  <c r="R206" i="10"/>
  <c r="G161" i="22"/>
  <c r="G160" i="22"/>
  <c r="M166" i="10"/>
  <c r="M165" i="10"/>
  <c r="N171" i="22"/>
  <c r="N170" i="22"/>
  <c r="V155" i="10"/>
  <c r="V156" i="10"/>
  <c r="Z170" i="10"/>
  <c r="Z171" i="10"/>
  <c r="R196" i="10"/>
  <c r="R195" i="10"/>
  <c r="J155" i="10"/>
  <c r="J156" i="10"/>
  <c r="P211" i="10"/>
  <c r="P210" i="10"/>
  <c r="AE85" i="22"/>
  <c r="AE86" i="22"/>
  <c r="X85" i="22"/>
  <c r="X86" i="22"/>
  <c r="I181" i="22"/>
  <c r="I180" i="22"/>
  <c r="P160" i="22"/>
  <c r="P161" i="22"/>
  <c r="F206" i="22"/>
  <c r="F205" i="22"/>
  <c r="E180" i="22"/>
  <c r="E181" i="22"/>
  <c r="AH86" i="22"/>
  <c r="AH85" i="22"/>
  <c r="T146" i="10"/>
  <c r="T145" i="10"/>
  <c r="W195" i="22"/>
  <c r="W196" i="22"/>
  <c r="Y211" i="10"/>
  <c r="Y210" i="10"/>
  <c r="BK185" i="6"/>
  <c r="BK184" i="6"/>
  <c r="BL174" i="6"/>
  <c r="BL175" i="6"/>
  <c r="BB200" i="6"/>
  <c r="BB199" i="6"/>
  <c r="AK180" i="6"/>
  <c r="AK179" i="6"/>
  <c r="AC210" i="6"/>
  <c r="AC209" i="6"/>
  <c r="E170" i="6"/>
  <c r="E169" i="6"/>
  <c r="K205" i="6"/>
  <c r="K204" i="6"/>
  <c r="CA174" i="6"/>
  <c r="CA175" i="6"/>
  <c r="BE194" i="6"/>
  <c r="BE195" i="6"/>
  <c r="S185" i="6"/>
  <c r="S184" i="6"/>
  <c r="AI180" i="6"/>
  <c r="AI179" i="6"/>
  <c r="AV209" i="6"/>
  <c r="AV210" i="6"/>
  <c r="W189" i="6"/>
  <c r="W190" i="6"/>
  <c r="H180" i="6"/>
  <c r="H179" i="6"/>
  <c r="AI175" i="6"/>
  <c r="AI174" i="6"/>
  <c r="AU169" i="6"/>
  <c r="AU170" i="6"/>
  <c r="BY194" i="6"/>
  <c r="BY195" i="6"/>
  <c r="AA184" i="6"/>
  <c r="AA185" i="6"/>
  <c r="C145" i="10"/>
  <c r="C146" i="10"/>
  <c r="BS205" i="6"/>
  <c r="BS204" i="6"/>
  <c r="BO209" i="6"/>
  <c r="BO210" i="6"/>
  <c r="BY184" i="6"/>
  <c r="BY185" i="6"/>
  <c r="V205" i="6"/>
  <c r="V204" i="6"/>
  <c r="AR194" i="6"/>
  <c r="AR195" i="6"/>
  <c r="BO189" i="6"/>
  <c r="BO190" i="6"/>
  <c r="AY170" i="6"/>
  <c r="AY169" i="6"/>
  <c r="CA195" i="6"/>
  <c r="CA194" i="6"/>
  <c r="BG189" i="6"/>
  <c r="BG190" i="6"/>
  <c r="BT184" i="6"/>
  <c r="BT185" i="6"/>
  <c r="AR205" i="6"/>
  <c r="AR204" i="6"/>
  <c r="C209" i="6"/>
  <c r="C210" i="6"/>
  <c r="L190" i="6"/>
  <c r="L189" i="6"/>
  <c r="AN200" i="6"/>
  <c r="AN199" i="6"/>
  <c r="AG179" i="6"/>
  <c r="AG180" i="6"/>
  <c r="M174" i="6"/>
  <c r="M175" i="6"/>
  <c r="AE209" i="6"/>
  <c r="AE210" i="6"/>
  <c r="AO194" i="6"/>
  <c r="AO195" i="6"/>
  <c r="M195" i="6"/>
  <c r="M194" i="6"/>
  <c r="AY175" i="6"/>
  <c r="AY174" i="6"/>
  <c r="BG195" i="6"/>
  <c r="BG194" i="6"/>
  <c r="AA205" i="6"/>
  <c r="AA204" i="6"/>
  <c r="G204" i="6"/>
  <c r="G205" i="6"/>
  <c r="AB204" i="6"/>
  <c r="AB205" i="6"/>
  <c r="E204" i="6"/>
  <c r="E205" i="6"/>
  <c r="BA204" i="6"/>
  <c r="BA205" i="6"/>
  <c r="AS179" i="6"/>
  <c r="AS180" i="6"/>
  <c r="X210" i="6"/>
  <c r="X209" i="6"/>
  <c r="BR205" i="6"/>
  <c r="BR204" i="6"/>
  <c r="AA171" i="10"/>
  <c r="AA172" i="10"/>
  <c r="BP194" i="6"/>
  <c r="BP196" i="6"/>
  <c r="BP237" i="6"/>
  <c r="N195" i="22"/>
  <c r="N197" i="22"/>
  <c r="AZ200" i="6"/>
  <c r="AZ201" i="6"/>
  <c r="AZ238" i="6"/>
  <c r="AN209" i="6"/>
  <c r="AN211" i="6"/>
  <c r="AN240" i="6"/>
  <c r="M209" i="6"/>
  <c r="M211" i="6"/>
  <c r="M240" i="6"/>
  <c r="AC200" i="6"/>
  <c r="AC201" i="6"/>
  <c r="AC238" i="6"/>
  <c r="R170" i="6"/>
  <c r="R171" i="6"/>
  <c r="R232" i="6"/>
  <c r="AP169" i="6"/>
  <c r="AP171" i="6"/>
  <c r="AP232" i="6"/>
  <c r="BX174" i="6"/>
  <c r="BX176" i="6"/>
  <c r="BX233" i="6"/>
  <c r="BE180" i="6"/>
  <c r="BE181" i="6"/>
  <c r="BE234" i="6"/>
  <c r="V150" i="10"/>
  <c r="V152" i="10"/>
  <c r="I160" i="22"/>
  <c r="I162" i="22"/>
  <c r="R170" i="22"/>
  <c r="R172" i="22"/>
  <c r="O181" i="22"/>
  <c r="O182" i="22"/>
  <c r="Y206" i="10"/>
  <c r="Y207" i="10"/>
  <c r="B195" i="6"/>
  <c r="B196" i="6"/>
  <c r="B237" i="6"/>
  <c r="BI204" i="6"/>
  <c r="BI206" i="6"/>
  <c r="BI239" i="6"/>
  <c r="F211" i="10"/>
  <c r="F212" i="10"/>
  <c r="R194" i="6"/>
  <c r="R196" i="6"/>
  <c r="R237" i="6"/>
  <c r="R179" i="6"/>
  <c r="R181" i="6"/>
  <c r="R234" i="6"/>
  <c r="Q185" i="6"/>
  <c r="Q186" i="6"/>
  <c r="Q235" i="6"/>
  <c r="D210" i="6"/>
  <c r="D211" i="6"/>
  <c r="D240" i="6"/>
  <c r="AM179" i="6"/>
  <c r="AM181" i="6"/>
  <c r="AM234" i="6"/>
  <c r="C210" i="22"/>
  <c r="C211" i="22"/>
  <c r="B185" i="22"/>
  <c r="B186" i="22"/>
  <c r="BX179" i="6"/>
  <c r="BX181" i="6"/>
  <c r="BX234" i="6"/>
  <c r="R174" i="6"/>
  <c r="R176" i="6"/>
  <c r="R233" i="6"/>
  <c r="AU174" i="6"/>
  <c r="AU176" i="6"/>
  <c r="AU233" i="6"/>
  <c r="AP210" i="6"/>
  <c r="AP211" i="6"/>
  <c r="AP240" i="6"/>
  <c r="BF205" i="6"/>
  <c r="BF206" i="6"/>
  <c r="BF239" i="6"/>
  <c r="BB205" i="6"/>
  <c r="BB206" i="6"/>
  <c r="BB239" i="6"/>
  <c r="AW205" i="6"/>
  <c r="AW206" i="6"/>
  <c r="AW239" i="6"/>
  <c r="BG185" i="6"/>
  <c r="BG186" i="6"/>
  <c r="BG235" i="6"/>
  <c r="L175" i="6"/>
  <c r="L176" i="6"/>
  <c r="L233" i="6"/>
  <c r="Z185" i="6"/>
  <c r="Z186" i="6"/>
  <c r="Z235" i="6"/>
  <c r="BO180" i="6"/>
  <c r="BO181" i="6"/>
  <c r="BO234" i="6"/>
  <c r="BA175" i="6"/>
  <c r="BA176" i="6"/>
  <c r="BA233" i="6"/>
  <c r="AF205" i="6"/>
  <c r="AF206" i="6"/>
  <c r="AF239" i="6"/>
  <c r="T175" i="6"/>
  <c r="T176" i="6"/>
  <c r="T233" i="6"/>
  <c r="AH205" i="6"/>
  <c r="AH206" i="6"/>
  <c r="AH239" i="6"/>
  <c r="BQ204" i="6"/>
  <c r="BQ206" i="6"/>
  <c r="BQ239" i="6"/>
  <c r="AK174" i="6"/>
  <c r="AK176" i="6"/>
  <c r="AK233" i="6"/>
  <c r="AP205" i="6"/>
  <c r="AP206" i="6"/>
  <c r="AP239" i="6"/>
  <c r="BV174" i="6"/>
  <c r="BV176" i="6"/>
  <c r="BV233" i="6"/>
  <c r="AT169" i="6"/>
  <c r="AT171" i="6"/>
  <c r="AT232" i="6"/>
  <c r="Q195" i="6"/>
  <c r="Q196" i="6"/>
  <c r="Q237" i="6"/>
  <c r="L204" i="6"/>
  <c r="L206" i="6"/>
  <c r="L239" i="6"/>
  <c r="AE199" i="6"/>
  <c r="AE201" i="6"/>
  <c r="AE238" i="6"/>
  <c r="AB185" i="6"/>
  <c r="AB186" i="6"/>
  <c r="AB235" i="6"/>
  <c r="Y205" i="6"/>
  <c r="Y206" i="6"/>
  <c r="Y239" i="6"/>
  <c r="E184" i="6"/>
  <c r="E186" i="6"/>
  <c r="E235" i="6"/>
  <c r="Y199" i="6"/>
  <c r="Y201" i="6"/>
  <c r="Y238" i="6"/>
  <c r="AQ204" i="6"/>
  <c r="AQ206" i="6"/>
  <c r="AQ239" i="6"/>
  <c r="AO185" i="6"/>
  <c r="AO186" i="6"/>
  <c r="AO235" i="6"/>
  <c r="BS175" i="6"/>
  <c r="BS176" i="6"/>
  <c r="BS233" i="6"/>
  <c r="AV170" i="6"/>
  <c r="AV171" i="6"/>
  <c r="AV232" i="6"/>
  <c r="D170" i="6"/>
  <c r="D171" i="6"/>
  <c r="D232" i="6"/>
  <c r="O209" i="6"/>
  <c r="O211" i="6"/>
  <c r="O240" i="6"/>
  <c r="B146" i="10"/>
  <c r="B147" i="10"/>
  <c r="B227" i="10"/>
  <c r="Y179" i="6"/>
  <c r="Y181" i="6"/>
  <c r="Y234" i="6"/>
  <c r="B200" i="10"/>
  <c r="B202" i="10"/>
  <c r="B238" i="10"/>
  <c r="N10" i="6"/>
  <c r="U185" i="6"/>
  <c r="U186" i="6"/>
  <c r="U235" i="6"/>
  <c r="B160" i="22"/>
  <c r="B162" i="22"/>
  <c r="B230" i="22"/>
  <c r="AM209" i="6"/>
  <c r="AM211" i="6"/>
  <c r="AM240" i="6"/>
  <c r="B151" i="10"/>
  <c r="B152" i="10"/>
  <c r="B228" i="10"/>
  <c r="AV205" i="6"/>
  <c r="AV206" i="6"/>
  <c r="AV239" i="6"/>
  <c r="N184" i="6"/>
  <c r="N186" i="6"/>
  <c r="N235" i="6"/>
  <c r="Q175" i="6"/>
  <c r="Q176" i="6"/>
  <c r="Q233" i="6"/>
  <c r="N7" i="7"/>
  <c r="R190" i="6"/>
  <c r="R191" i="6"/>
  <c r="R236" i="6"/>
  <c r="AZ185" i="6"/>
  <c r="AZ186" i="6"/>
  <c r="AZ235" i="6"/>
  <c r="AN205" i="6"/>
  <c r="AN206" i="6"/>
  <c r="AN239" i="6"/>
  <c r="D205" i="6"/>
  <c r="D206" i="6"/>
  <c r="D239" i="6"/>
  <c r="AN189" i="6"/>
  <c r="AN191" i="6"/>
  <c r="AN236" i="6"/>
  <c r="C200" i="6"/>
  <c r="C201" i="6"/>
  <c r="C238" i="6"/>
  <c r="BW189" i="6"/>
  <c r="BW191" i="6"/>
  <c r="BW236" i="6"/>
  <c r="BN160" i="11"/>
  <c r="BN162" i="11"/>
  <c r="AT205" i="6"/>
  <c r="AT206" i="6"/>
  <c r="AT239" i="6"/>
  <c r="V185" i="6"/>
  <c r="V186" i="6"/>
  <c r="V235" i="6"/>
  <c r="BF210" i="6"/>
  <c r="BF211" i="6"/>
  <c r="BF240" i="6"/>
  <c r="W180" i="6"/>
  <c r="W181" i="6"/>
  <c r="W234" i="6"/>
  <c r="Y189" i="6"/>
  <c r="Y191" i="6"/>
  <c r="Y236" i="6"/>
  <c r="AY179" i="6"/>
  <c r="AY181" i="6"/>
  <c r="AY234" i="6"/>
  <c r="I210" i="6"/>
  <c r="I211" i="6"/>
  <c r="I240" i="6"/>
  <c r="F195" i="6"/>
  <c r="F196" i="6"/>
  <c r="F237" i="6"/>
  <c r="BV179" i="6"/>
  <c r="BV181" i="6"/>
  <c r="BV234" i="6"/>
  <c r="N11" i="22"/>
  <c r="BC169" i="6"/>
  <c r="BC171" i="6"/>
  <c r="BC232" i="6"/>
  <c r="BT180" i="6"/>
  <c r="BT181" i="6"/>
  <c r="BT234" i="6"/>
  <c r="BZ190" i="6"/>
  <c r="BZ191" i="6"/>
  <c r="BZ236" i="6"/>
  <c r="C211" i="10"/>
  <c r="C212" i="10"/>
  <c r="Y171" i="10"/>
  <c r="Y172" i="10"/>
  <c r="Y210" i="6"/>
  <c r="Y211" i="6"/>
  <c r="Y240" i="6"/>
  <c r="BK180" i="6"/>
  <c r="BK181" i="6"/>
  <c r="BK234" i="6"/>
  <c r="L171" i="10"/>
  <c r="L172" i="10"/>
  <c r="S177" i="8"/>
  <c r="K205" i="10"/>
  <c r="K207" i="10"/>
  <c r="AI169" i="6"/>
  <c r="AI171" i="6"/>
  <c r="AI232" i="6"/>
  <c r="J165" i="22"/>
  <c r="J167" i="22"/>
  <c r="AV180" i="6"/>
  <c r="AV181" i="6"/>
  <c r="AV234" i="6"/>
  <c r="G175" i="6"/>
  <c r="G176" i="6"/>
  <c r="G233" i="6"/>
  <c r="AP189" i="6"/>
  <c r="AP191" i="6"/>
  <c r="AP236" i="6"/>
  <c r="P174" i="6"/>
  <c r="P176" i="6"/>
  <c r="P233" i="6"/>
  <c r="BP175" i="6"/>
  <c r="BP176" i="6"/>
  <c r="BP233" i="6"/>
  <c r="AH200" i="6"/>
  <c r="AH201" i="6"/>
  <c r="AH238" i="6"/>
  <c r="G196" i="10"/>
  <c r="G197" i="10"/>
  <c r="O190" i="6"/>
  <c r="O191" i="6"/>
  <c r="O236" i="6"/>
  <c r="Q151" i="10"/>
  <c r="Q152" i="10"/>
  <c r="P175" i="22"/>
  <c r="P177" i="22"/>
  <c r="Q206" i="10"/>
  <c r="Q207" i="10"/>
  <c r="M196" i="10"/>
  <c r="M197" i="10"/>
  <c r="K210" i="22"/>
  <c r="K212" i="22"/>
  <c r="BV194" i="6"/>
  <c r="BV196" i="6"/>
  <c r="BV237" i="6"/>
  <c r="AQ195" i="6"/>
  <c r="AQ196" i="6"/>
  <c r="AQ237" i="6"/>
  <c r="BA180" i="6"/>
  <c r="BA181" i="6"/>
  <c r="BA234" i="6"/>
  <c r="Z204" i="6"/>
  <c r="Z206" i="6"/>
  <c r="Z239" i="6"/>
  <c r="D196" i="10"/>
  <c r="D197" i="10"/>
  <c r="P210" i="22"/>
  <c r="P212" i="22"/>
  <c r="R151" i="10"/>
  <c r="R152" i="10"/>
  <c r="F171" i="10"/>
  <c r="F172" i="10"/>
  <c r="Q191" i="10"/>
  <c r="Q192" i="10"/>
  <c r="BE210" i="6"/>
  <c r="BE211" i="6"/>
  <c r="BE240" i="6"/>
  <c r="BT195" i="6"/>
  <c r="BT196" i="6"/>
  <c r="BT237" i="6"/>
  <c r="C126" i="22"/>
  <c r="C127" i="22"/>
  <c r="AS205" i="6"/>
  <c r="AS206" i="6"/>
  <c r="AS239" i="6"/>
  <c r="BB174" i="6"/>
  <c r="BB176" i="6"/>
  <c r="BB233" i="6"/>
  <c r="C161" i="22"/>
  <c r="C162" i="22"/>
  <c r="R211" i="22"/>
  <c r="R212" i="22"/>
  <c r="P206" i="10"/>
  <c r="P207" i="10"/>
  <c r="K155" i="10"/>
  <c r="K157" i="10"/>
  <c r="BK199" i="6"/>
  <c r="BK201" i="6"/>
  <c r="BK238" i="6"/>
  <c r="BM170" i="6"/>
  <c r="BM171" i="6"/>
  <c r="BM232" i="6"/>
  <c r="Q171" i="10"/>
  <c r="Q172" i="10"/>
  <c r="V189" i="6"/>
  <c r="V191" i="6"/>
  <c r="V236" i="6"/>
  <c r="BP179" i="6"/>
  <c r="BP181" i="6"/>
  <c r="BP234" i="6"/>
  <c r="AE190" i="6"/>
  <c r="AE191" i="6"/>
  <c r="AE236" i="6"/>
  <c r="BO169" i="6"/>
  <c r="BO171" i="6"/>
  <c r="BO232" i="6"/>
  <c r="E185" i="10"/>
  <c r="E187" i="10"/>
  <c r="AG189" i="6"/>
  <c r="AG191" i="6"/>
  <c r="AG236" i="6"/>
  <c r="W200" i="6"/>
  <c r="W201" i="6"/>
  <c r="W238" i="6"/>
  <c r="C91" i="7"/>
  <c r="C92" i="7"/>
  <c r="C171" i="22"/>
  <c r="C172" i="22"/>
  <c r="F190" i="22"/>
  <c r="F192" i="22"/>
  <c r="K145" i="10"/>
  <c r="K147" i="10"/>
  <c r="S196" i="10"/>
  <c r="S197" i="10"/>
  <c r="V86" i="22"/>
  <c r="V87" i="22"/>
  <c r="Q210" i="10"/>
  <c r="Q212" i="10"/>
  <c r="BL180" i="6"/>
  <c r="BL181" i="6"/>
  <c r="BL234" i="6"/>
  <c r="P196" i="10"/>
  <c r="P197" i="10"/>
  <c r="BW205" i="6"/>
  <c r="BW206" i="6"/>
  <c r="BW239" i="6"/>
  <c r="AZ195" i="6"/>
  <c r="AZ196" i="6"/>
  <c r="AZ237" i="6"/>
  <c r="CA205" i="6"/>
  <c r="CA206" i="6"/>
  <c r="CA239" i="6"/>
  <c r="F169" i="6"/>
  <c r="F171" i="6"/>
  <c r="F232" i="6"/>
  <c r="I205" i="6"/>
  <c r="I206" i="6"/>
  <c r="I239" i="6"/>
  <c r="BU180" i="6"/>
  <c r="BU181" i="6"/>
  <c r="BU234" i="6"/>
  <c r="C184" i="6"/>
  <c r="C186" i="6"/>
  <c r="C235" i="6"/>
  <c r="AY189" i="6"/>
  <c r="AY191" i="6"/>
  <c r="AY236" i="6"/>
  <c r="B186" i="10"/>
  <c r="B187" i="10"/>
  <c r="B235" i="10"/>
  <c r="E195" i="10"/>
  <c r="E197" i="10"/>
  <c r="J190" i="6"/>
  <c r="J191" i="6"/>
  <c r="J236" i="6"/>
  <c r="I186" i="10"/>
  <c r="I187" i="10"/>
  <c r="P156" i="10"/>
  <c r="P157" i="10"/>
  <c r="AY205" i="6"/>
  <c r="AY206" i="6"/>
  <c r="AY239" i="6"/>
  <c r="BN194" i="6"/>
  <c r="BN196" i="6"/>
  <c r="BN237" i="6"/>
  <c r="X205" i="10"/>
  <c r="X207" i="10"/>
  <c r="G186" i="22"/>
  <c r="G187" i="22"/>
  <c r="AM195" i="6"/>
  <c r="AM196" i="6"/>
  <c r="AM237" i="6"/>
  <c r="BU210" i="6"/>
  <c r="BU211" i="6"/>
  <c r="BU240" i="6"/>
  <c r="B165" i="22"/>
  <c r="B167" i="22"/>
  <c r="B231" i="22"/>
  <c r="BH185" i="6"/>
  <c r="BH186" i="6"/>
  <c r="BH235" i="6"/>
  <c r="O191" i="10"/>
  <c r="O192" i="10"/>
  <c r="F176" i="10"/>
  <c r="F177" i="10"/>
  <c r="L179" i="6"/>
  <c r="L181" i="6"/>
  <c r="L234" i="6"/>
  <c r="AH175" i="6"/>
  <c r="AH176" i="6"/>
  <c r="AH233" i="6"/>
  <c r="D86" i="22"/>
  <c r="D87" i="22"/>
  <c r="W156" i="10"/>
  <c r="W157" i="10"/>
  <c r="F196" i="22"/>
  <c r="F197" i="22"/>
  <c r="M14" i="22"/>
  <c r="F176" i="22"/>
  <c r="F177" i="22"/>
  <c r="U155" i="10"/>
  <c r="U157" i="10"/>
  <c r="M205" i="6"/>
  <c r="M206" i="6"/>
  <c r="M239" i="6"/>
  <c r="G190" i="6"/>
  <c r="G191" i="6"/>
  <c r="G236" i="6"/>
  <c r="AP194" i="6"/>
  <c r="AP196" i="6"/>
  <c r="AP237" i="6"/>
  <c r="C206" i="10"/>
  <c r="C207" i="10"/>
  <c r="E176" i="10"/>
  <c r="E177" i="10"/>
  <c r="AL194" i="6"/>
  <c r="AL196" i="6"/>
  <c r="AL237" i="6"/>
  <c r="BV205" i="6"/>
  <c r="BV206" i="6"/>
  <c r="BV239" i="6"/>
  <c r="BA210" i="6"/>
  <c r="BA211" i="6"/>
  <c r="BA240" i="6"/>
  <c r="AF179" i="6"/>
  <c r="AF181" i="6"/>
  <c r="AF234" i="6"/>
  <c r="BB180" i="6"/>
  <c r="BB181" i="6"/>
  <c r="BB234" i="6"/>
  <c r="I195" i="6"/>
  <c r="I196" i="6"/>
  <c r="I237" i="6"/>
  <c r="BS194" i="6"/>
  <c r="BS196" i="6"/>
  <c r="BS237" i="6"/>
  <c r="BJ185" i="6"/>
  <c r="BJ186" i="6"/>
  <c r="BJ235" i="6"/>
  <c r="H206" i="22"/>
  <c r="H207" i="22"/>
  <c r="D206" i="22"/>
  <c r="D207" i="22"/>
  <c r="M155" i="10"/>
  <c r="M157" i="10"/>
  <c r="M160" i="22"/>
  <c r="M162" i="22"/>
  <c r="BQ185" i="6"/>
  <c r="BQ186" i="6"/>
  <c r="BQ235" i="6"/>
  <c r="P189" i="6"/>
  <c r="P191" i="6"/>
  <c r="P236" i="6"/>
  <c r="AD169" i="6"/>
  <c r="AD171" i="6"/>
  <c r="AD232" i="6"/>
  <c r="BH170" i="6"/>
  <c r="BH171" i="6"/>
  <c r="BH232" i="6"/>
  <c r="Z210" i="6"/>
  <c r="Z211" i="6"/>
  <c r="Z240" i="6"/>
  <c r="AX180" i="6"/>
  <c r="AX181" i="6"/>
  <c r="AX234" i="6"/>
  <c r="BL170" i="6"/>
  <c r="BL171" i="6"/>
  <c r="BL232" i="6"/>
  <c r="BL194" i="6"/>
  <c r="BL196" i="6"/>
  <c r="BL237" i="6"/>
  <c r="B86" i="22"/>
  <c r="B87" i="22"/>
  <c r="B215" i="22"/>
  <c r="BM179" i="6"/>
  <c r="BM181" i="6"/>
  <c r="BM234" i="6"/>
  <c r="Y185" i="6"/>
  <c r="Y186" i="6"/>
  <c r="Y235" i="6"/>
  <c r="K206" i="9"/>
  <c r="K207" i="9"/>
  <c r="AQ184" i="6"/>
  <c r="AQ186" i="6"/>
  <c r="AQ235" i="6"/>
  <c r="J185" i="6"/>
  <c r="J186" i="6"/>
  <c r="J235" i="6"/>
  <c r="BF185" i="6"/>
  <c r="BF186" i="6"/>
  <c r="BF235" i="6"/>
  <c r="AU189" i="6"/>
  <c r="AU191" i="6"/>
  <c r="AU236" i="6"/>
  <c r="BT204" i="6"/>
  <c r="BT206" i="6"/>
  <c r="BT239" i="6"/>
  <c r="B106" i="22"/>
  <c r="B107" i="22"/>
  <c r="B219" i="22"/>
  <c r="Q177" i="9"/>
  <c r="B101" i="22"/>
  <c r="B102" i="22"/>
  <c r="B218" i="22"/>
  <c r="G91" i="7"/>
  <c r="G92" i="7"/>
  <c r="BB189" i="6"/>
  <c r="BB191" i="6"/>
  <c r="BB236" i="6"/>
  <c r="AD175" i="6"/>
  <c r="AD176" i="6"/>
  <c r="AD233" i="6"/>
  <c r="B116" i="22"/>
  <c r="B117" i="22"/>
  <c r="B221" i="22"/>
  <c r="BH200" i="6"/>
  <c r="BH201" i="6"/>
  <c r="BH238" i="6"/>
  <c r="AQ175" i="6"/>
  <c r="AQ176" i="6"/>
  <c r="AQ233" i="6"/>
  <c r="L185" i="6"/>
  <c r="L186" i="6"/>
  <c r="L235" i="6"/>
  <c r="N22" i="1"/>
  <c r="BB185" i="6"/>
  <c r="BB186" i="6"/>
  <c r="BB235" i="6"/>
  <c r="F209" i="6"/>
  <c r="F211" i="6"/>
  <c r="F240" i="6"/>
  <c r="B166" i="10"/>
  <c r="B167" i="10"/>
  <c r="B231" i="10"/>
  <c r="AX209" i="6"/>
  <c r="AX211" i="6"/>
  <c r="AX240" i="6"/>
  <c r="AO209" i="6"/>
  <c r="AO211" i="6"/>
  <c r="AO240" i="6"/>
  <c r="D176" i="22"/>
  <c r="D177" i="22"/>
  <c r="AF175" i="6"/>
  <c r="AF176" i="6"/>
  <c r="AF233" i="6"/>
  <c r="L176" i="22"/>
  <c r="L177" i="22"/>
  <c r="BS210" i="6"/>
  <c r="BS211" i="6"/>
  <c r="BS240" i="6"/>
  <c r="AT185" i="6"/>
  <c r="AT186" i="6"/>
  <c r="AT235" i="6"/>
  <c r="CA210" i="6"/>
  <c r="CA211" i="6"/>
  <c r="CA240" i="6"/>
  <c r="BQ210" i="6"/>
  <c r="BQ211" i="6"/>
  <c r="BQ240" i="6"/>
  <c r="M211" i="10"/>
  <c r="M212" i="10"/>
  <c r="K196" i="10"/>
  <c r="K197" i="10"/>
  <c r="C157" i="8"/>
  <c r="G176" i="22"/>
  <c r="G177" i="22"/>
  <c r="AF209" i="6"/>
  <c r="AF211" i="6"/>
  <c r="AF240" i="6"/>
  <c r="F185" i="10"/>
  <c r="F187" i="10"/>
  <c r="P85" i="22"/>
  <c r="P87" i="22"/>
  <c r="B181" i="10"/>
  <c r="B182" i="10"/>
  <c r="B234" i="10"/>
  <c r="H171" i="22"/>
  <c r="H172" i="22"/>
  <c r="CA170" i="6"/>
  <c r="CA171" i="6"/>
  <c r="CA232" i="6"/>
  <c r="E166" i="22"/>
  <c r="E167" i="22"/>
  <c r="I205" i="10"/>
  <c r="I207" i="10"/>
  <c r="Z190" i="10"/>
  <c r="Z192" i="10"/>
  <c r="D156" i="10"/>
  <c r="D157" i="10"/>
  <c r="BU170" i="6"/>
  <c r="BU171" i="6"/>
  <c r="BU232" i="6"/>
  <c r="B131" i="10"/>
  <c r="B132" i="10"/>
  <c r="B224" i="10"/>
  <c r="AB211" i="10"/>
  <c r="AB212" i="10"/>
  <c r="L190" i="22"/>
  <c r="L192" i="22"/>
  <c r="BK190" i="6"/>
  <c r="BK191" i="6"/>
  <c r="BK236" i="6"/>
  <c r="B136" i="22"/>
  <c r="B137" i="22"/>
  <c r="B225" i="22"/>
  <c r="BB182" i="11"/>
  <c r="AY184" i="6"/>
  <c r="AY186" i="6"/>
  <c r="AY235" i="6"/>
  <c r="D176" i="10"/>
  <c r="D177" i="10"/>
  <c r="B209" i="6"/>
  <c r="B211" i="6"/>
  <c r="B240" i="6"/>
  <c r="N3" i="10"/>
  <c r="AS184" i="6"/>
  <c r="AS186" i="6"/>
  <c r="AS235" i="6"/>
  <c r="BW184" i="6"/>
  <c r="BW186" i="6"/>
  <c r="BW235" i="6"/>
  <c r="E156" i="10"/>
  <c r="E157" i="10"/>
  <c r="O156" i="10"/>
  <c r="O157" i="10"/>
  <c r="G212" i="8"/>
  <c r="C191" i="22"/>
  <c r="C192" i="22"/>
  <c r="D185" i="6"/>
  <c r="D186" i="6"/>
  <c r="D235" i="6"/>
  <c r="BQ190" i="6"/>
  <c r="BQ191" i="6"/>
  <c r="BQ236" i="6"/>
  <c r="L196" i="10"/>
  <c r="L197" i="10"/>
  <c r="P196" i="22"/>
  <c r="P197" i="22"/>
  <c r="AJ170" i="6"/>
  <c r="AJ171" i="6"/>
  <c r="AJ232" i="6"/>
  <c r="BY205" i="6"/>
  <c r="BY206" i="6"/>
  <c r="BY239" i="6"/>
  <c r="BF200" i="6"/>
  <c r="BF201" i="6"/>
  <c r="BF238" i="6"/>
  <c r="AA190" i="6"/>
  <c r="AA191" i="6"/>
  <c r="AA236" i="6"/>
  <c r="H175" i="22"/>
  <c r="H177" i="22"/>
  <c r="O206" i="10"/>
  <c r="O207" i="10"/>
  <c r="Z155" i="10"/>
  <c r="Z157" i="10"/>
  <c r="E205" i="10"/>
  <c r="E207" i="10"/>
  <c r="B196" i="10"/>
  <c r="B197" i="10"/>
  <c r="B237" i="10"/>
  <c r="AA191" i="10"/>
  <c r="AA192" i="10"/>
  <c r="G191" i="10"/>
  <c r="G192" i="10"/>
  <c r="N211" i="22"/>
  <c r="N212" i="22"/>
  <c r="AG205" i="6"/>
  <c r="AG206" i="6"/>
  <c r="AG239" i="6"/>
  <c r="M150" i="10"/>
  <c r="M152" i="10"/>
  <c r="B111" i="10"/>
  <c r="B112" i="10"/>
  <c r="B220" i="10"/>
  <c r="U190" i="10"/>
  <c r="U192" i="10"/>
  <c r="J175" i="6"/>
  <c r="J176" i="6"/>
  <c r="J233" i="6"/>
  <c r="AQ190" i="6"/>
  <c r="AQ191" i="6"/>
  <c r="AQ236" i="6"/>
  <c r="BL209" i="6"/>
  <c r="BL211" i="6"/>
  <c r="BL240" i="6"/>
  <c r="C190" i="10"/>
  <c r="C192" i="10"/>
  <c r="L195" i="22"/>
  <c r="L197" i="22"/>
  <c r="C151" i="10"/>
  <c r="C152" i="10"/>
  <c r="C206" i="22"/>
  <c r="C207" i="22"/>
  <c r="BG205" i="6"/>
  <c r="BG206" i="6"/>
  <c r="BG239" i="6"/>
  <c r="T171" i="10"/>
  <c r="T172" i="10"/>
  <c r="AR209" i="6"/>
  <c r="AR211" i="6"/>
  <c r="AR240" i="6"/>
  <c r="B86" i="10"/>
  <c r="B87" i="10"/>
  <c r="B215" i="10"/>
  <c r="BX191" i="7"/>
  <c r="BX192" i="7"/>
  <c r="M211" i="22"/>
  <c r="M212" i="22"/>
  <c r="BX190" i="6"/>
  <c r="BX191" i="6"/>
  <c r="BX236" i="6"/>
  <c r="BR200" i="6"/>
  <c r="BR201" i="6"/>
  <c r="BR238" i="6"/>
  <c r="E86" i="22"/>
  <c r="E87" i="22"/>
  <c r="BI169" i="6"/>
  <c r="BI171" i="6"/>
  <c r="BI232" i="6"/>
  <c r="T194" i="6"/>
  <c r="T196" i="6"/>
  <c r="T237" i="6"/>
  <c r="H191" i="10"/>
  <c r="H192" i="10"/>
  <c r="Q186" i="10"/>
  <c r="Q187" i="10"/>
  <c r="H86" i="22"/>
  <c r="H87" i="22"/>
  <c r="B206" i="22"/>
  <c r="B207" i="22"/>
  <c r="B239" i="22"/>
  <c r="E191" i="22"/>
  <c r="E192" i="22"/>
  <c r="L194" i="6"/>
  <c r="L196" i="6"/>
  <c r="L237" i="6"/>
  <c r="CB185" i="6"/>
  <c r="CB186" i="6"/>
  <c r="CB235" i="6"/>
  <c r="I175" i="22"/>
  <c r="I177" i="22"/>
  <c r="L211" i="22"/>
  <c r="L212" i="22"/>
  <c r="BD205" i="6"/>
  <c r="BD206" i="6"/>
  <c r="BD239" i="6"/>
  <c r="N209" i="6"/>
  <c r="N211" i="6"/>
  <c r="N240" i="6"/>
  <c r="AC175" i="6"/>
  <c r="AC176" i="6"/>
  <c r="AC233" i="6"/>
  <c r="E165" i="10"/>
  <c r="E167" i="10"/>
  <c r="B181" i="22"/>
  <c r="B182" i="22"/>
  <c r="B234" i="22"/>
  <c r="P197" i="8"/>
  <c r="BH212" i="8"/>
  <c r="I212" i="8"/>
  <c r="H185" i="6"/>
  <c r="H186" i="6"/>
  <c r="H235" i="6"/>
  <c r="N172" i="8"/>
  <c r="AZ169" i="6"/>
  <c r="AZ171" i="6"/>
  <c r="AZ232" i="6"/>
  <c r="J196" i="10"/>
  <c r="J197" i="10"/>
  <c r="O194" i="6"/>
  <c r="O196" i="6"/>
  <c r="O237" i="6"/>
  <c r="M13" i="1"/>
  <c r="O13" i="1"/>
  <c r="N13" i="1"/>
  <c r="E194" i="6"/>
  <c r="E195" i="6"/>
  <c r="T184" i="6"/>
  <c r="T185" i="6"/>
  <c r="BR194" i="6"/>
  <c r="BR195" i="6"/>
  <c r="W184" i="6"/>
  <c r="W185" i="6"/>
  <c r="K180" i="6"/>
  <c r="K179" i="6"/>
  <c r="BQ195" i="6"/>
  <c r="BQ194" i="6"/>
  <c r="H209" i="6"/>
  <c r="H210" i="6"/>
  <c r="AK199" i="6"/>
  <c r="AK200" i="6"/>
  <c r="Q200" i="6"/>
  <c r="Q199" i="6"/>
  <c r="BB209" i="6"/>
  <c r="BB210" i="6"/>
  <c r="BZ200" i="6"/>
  <c r="BZ199" i="6"/>
  <c r="BS189" i="6"/>
  <c r="BS190" i="6"/>
  <c r="G200" i="6"/>
  <c r="G199" i="6"/>
  <c r="P194" i="6"/>
  <c r="P195" i="6"/>
  <c r="T170" i="6"/>
  <c r="T169" i="6"/>
  <c r="AD199" i="6"/>
  <c r="AD200" i="6"/>
  <c r="K175" i="6"/>
  <c r="K174" i="6"/>
  <c r="S169" i="6"/>
  <c r="S170" i="6"/>
  <c r="AC185" i="6"/>
  <c r="AC184" i="6"/>
  <c r="AL170" i="6"/>
  <c r="AL169" i="6"/>
  <c r="AS175" i="6"/>
  <c r="AS174" i="6"/>
  <c r="BF180" i="6"/>
  <c r="BF179" i="6"/>
  <c r="BM200" i="6"/>
  <c r="BM199" i="6"/>
  <c r="BW180" i="6"/>
  <c r="BW179" i="6"/>
  <c r="BB170" i="6"/>
  <c r="BB169" i="6"/>
  <c r="AN184" i="6"/>
  <c r="AN185" i="6"/>
  <c r="BJ210" i="6"/>
  <c r="BJ209" i="6"/>
  <c r="BF169" i="6"/>
  <c r="BF170" i="6"/>
  <c r="AZ209" i="6"/>
  <c r="AZ210" i="6"/>
  <c r="AC204" i="6"/>
  <c r="AC205" i="6"/>
  <c r="K169" i="6"/>
  <c r="K170" i="6"/>
  <c r="BW174" i="6"/>
  <c r="BW175" i="6"/>
  <c r="S156" i="10"/>
  <c r="S155" i="10"/>
  <c r="O210" i="22"/>
  <c r="O211" i="22"/>
  <c r="M146" i="10"/>
  <c r="M145" i="10"/>
  <c r="R211" i="10"/>
  <c r="R210" i="10"/>
  <c r="U210" i="10"/>
  <c r="U211" i="10"/>
  <c r="G86" i="22"/>
  <c r="G85" i="22"/>
  <c r="D165" i="22"/>
  <c r="D166" i="22"/>
  <c r="O171" i="22"/>
  <c r="O170" i="22"/>
  <c r="W196" i="10"/>
  <c r="W195" i="10"/>
  <c r="R170" i="10"/>
  <c r="R171" i="10"/>
  <c r="O171" i="10"/>
  <c r="O170" i="10"/>
  <c r="K211" i="10"/>
  <c r="K210" i="10"/>
  <c r="G150" i="10"/>
  <c r="G151" i="10"/>
  <c r="S170" i="10"/>
  <c r="S171" i="10"/>
  <c r="W191" i="10"/>
  <c r="W190" i="10"/>
  <c r="F150" i="10"/>
  <c r="F151" i="10"/>
  <c r="C165" i="10"/>
  <c r="C166" i="10"/>
  <c r="Q161" i="22"/>
  <c r="Q160" i="22"/>
  <c r="J161" i="22"/>
  <c r="J160" i="22"/>
  <c r="D196" i="22"/>
  <c r="D195" i="22"/>
  <c r="D170" i="22"/>
  <c r="D171" i="22"/>
  <c r="E171" i="22"/>
  <c r="E170" i="22"/>
  <c r="D210" i="22"/>
  <c r="D211" i="22"/>
  <c r="H206" i="10"/>
  <c r="H205" i="10"/>
  <c r="H195" i="22"/>
  <c r="H196" i="22"/>
  <c r="V181" i="22"/>
  <c r="V180" i="22"/>
  <c r="B211" i="10"/>
  <c r="B210" i="10"/>
  <c r="F205" i="10"/>
  <c r="F206" i="10"/>
  <c r="T150" i="10"/>
  <c r="T151" i="10"/>
  <c r="AG85" i="22"/>
  <c r="AG86" i="22"/>
  <c r="B161" i="10"/>
  <c r="B160" i="10"/>
  <c r="W176" i="22"/>
  <c r="W175" i="22"/>
  <c r="AA85" i="22"/>
  <c r="AA86" i="22"/>
  <c r="U180" i="22"/>
  <c r="U181" i="22"/>
  <c r="Y151" i="10"/>
  <c r="Y150" i="10"/>
  <c r="AJ210" i="6"/>
  <c r="AJ211" i="6"/>
  <c r="AJ240" i="6"/>
  <c r="B176" i="22"/>
  <c r="B177" i="22"/>
  <c r="B233" i="22"/>
  <c r="BJ169" i="6"/>
  <c r="BJ171" i="6"/>
  <c r="BJ232" i="6"/>
  <c r="BV170" i="6"/>
  <c r="BV171" i="6"/>
  <c r="BV232" i="6"/>
  <c r="BP190" i="6"/>
  <c r="BP191" i="6"/>
  <c r="BP236" i="6"/>
  <c r="N189" i="6"/>
  <c r="N191" i="6"/>
  <c r="N236" i="6"/>
  <c r="BP205" i="6"/>
  <c r="BP206" i="6"/>
  <c r="BP239" i="6"/>
  <c r="M176" i="22"/>
  <c r="M175" i="22"/>
  <c r="N8" i="10"/>
  <c r="D190" i="22"/>
  <c r="D192" i="22"/>
  <c r="BQ146" i="11"/>
  <c r="BQ147" i="11"/>
  <c r="B136" i="10"/>
  <c r="B137" i="10"/>
  <c r="B225" i="10"/>
  <c r="AH180" i="6"/>
  <c r="AH181" i="6"/>
  <c r="AH234" i="6"/>
  <c r="U210" i="6"/>
  <c r="U211" i="6"/>
  <c r="U240" i="6"/>
  <c r="AG194" i="6"/>
  <c r="AG196" i="6"/>
  <c r="AG237" i="6"/>
  <c r="N199" i="6"/>
  <c r="N200" i="6"/>
  <c r="BY210" i="6"/>
  <c r="BY209" i="6"/>
  <c r="BR170" i="6"/>
  <c r="BR169" i="6"/>
  <c r="AO200" i="6"/>
  <c r="AO201" i="6"/>
  <c r="AO238" i="6"/>
  <c r="H195" i="10"/>
  <c r="H196" i="10"/>
  <c r="N9" i="22"/>
  <c r="M9" i="22"/>
  <c r="BM209" i="6"/>
  <c r="BM210" i="6"/>
  <c r="Z174" i="6"/>
  <c r="Z175" i="6"/>
  <c r="AX199" i="6"/>
  <c r="AX200" i="6"/>
  <c r="X175" i="6"/>
  <c r="X174" i="6"/>
  <c r="W210" i="6"/>
  <c r="W209" i="6"/>
  <c r="P209" i="6"/>
  <c r="P210" i="6"/>
  <c r="N179" i="6"/>
  <c r="N180" i="6"/>
  <c r="AL199" i="6"/>
  <c r="AL200" i="6"/>
  <c r="BC175" i="6"/>
  <c r="BC174" i="6"/>
  <c r="AD209" i="6"/>
  <c r="AD210" i="6"/>
  <c r="BV199" i="6"/>
  <c r="BV200" i="6"/>
  <c r="AA209" i="6"/>
  <c r="AA210" i="6"/>
  <c r="AT190" i="6"/>
  <c r="AT189" i="6"/>
  <c r="AJ184" i="6"/>
  <c r="AJ185" i="6"/>
  <c r="BJ204" i="6"/>
  <c r="BJ205" i="6"/>
  <c r="BC189" i="6"/>
  <c r="BC190" i="6"/>
  <c r="AO179" i="6"/>
  <c r="AO180" i="6"/>
  <c r="R205" i="6"/>
  <c r="R204" i="6"/>
  <c r="K190" i="10"/>
  <c r="K191" i="10"/>
  <c r="C175" i="22"/>
  <c r="C176" i="22"/>
  <c r="E146" i="10"/>
  <c r="E145" i="10"/>
  <c r="C185" i="10"/>
  <c r="C186" i="10"/>
  <c r="O175" i="22"/>
  <c r="O176" i="22"/>
  <c r="J205" i="10"/>
  <c r="J206" i="10"/>
  <c r="S171" i="22"/>
  <c r="S170" i="22"/>
  <c r="F196" i="10"/>
  <c r="F195" i="10"/>
  <c r="V191" i="10"/>
  <c r="V190" i="10"/>
  <c r="U195" i="10"/>
  <c r="U196" i="10"/>
  <c r="P190" i="10"/>
  <c r="P191" i="10"/>
  <c r="D190" i="10"/>
  <c r="D191" i="10"/>
  <c r="D161" i="22"/>
  <c r="D160" i="22"/>
  <c r="Q85" i="22"/>
  <c r="Q86" i="22"/>
  <c r="E186" i="22"/>
  <c r="E185" i="22"/>
  <c r="B170" i="22"/>
  <c r="B171" i="22"/>
  <c r="N175" i="22"/>
  <c r="N176" i="22"/>
  <c r="AM205" i="6"/>
  <c r="AM206" i="6"/>
  <c r="AM239" i="6"/>
  <c r="AW175" i="6"/>
  <c r="AW176" i="6"/>
  <c r="AW233" i="6"/>
  <c r="BA200" i="6"/>
  <c r="BA201" i="6"/>
  <c r="BA238" i="6"/>
  <c r="N205" i="6"/>
  <c r="N206" i="6"/>
  <c r="N239" i="6"/>
  <c r="AU210" i="6"/>
  <c r="AU211" i="6"/>
  <c r="AU240" i="6"/>
  <c r="AQ180" i="6"/>
  <c r="AQ181" i="6"/>
  <c r="AQ234" i="6"/>
  <c r="CB190" i="6"/>
  <c r="CB191" i="6"/>
  <c r="CB236" i="6"/>
  <c r="P169" i="6"/>
  <c r="P171" i="6"/>
  <c r="P232" i="6"/>
  <c r="J210" i="6"/>
  <c r="J211" i="6"/>
  <c r="J240" i="6"/>
  <c r="CB170" i="6"/>
  <c r="CB171" i="6"/>
  <c r="CB232" i="6"/>
  <c r="AF195" i="6"/>
  <c r="AF196" i="6"/>
  <c r="AF237" i="6"/>
  <c r="AA211" i="10"/>
  <c r="AA212" i="10"/>
  <c r="R185" i="6"/>
  <c r="R186" i="6"/>
  <c r="R235" i="6"/>
  <c r="M14" i="6"/>
  <c r="O14" i="6"/>
  <c r="BR209" i="6"/>
  <c r="BR211" i="6"/>
  <c r="BR240" i="6"/>
  <c r="BW200" i="6"/>
  <c r="BW201" i="6"/>
  <c r="BW238" i="6"/>
  <c r="D166" i="10"/>
  <c r="D167" i="10"/>
  <c r="K176" i="10"/>
  <c r="K177" i="10"/>
  <c r="U170" i="10"/>
  <c r="U172" i="10"/>
  <c r="T191" i="10"/>
  <c r="T192" i="10"/>
  <c r="J85" i="22"/>
  <c r="J87" i="22"/>
  <c r="E170" i="10"/>
  <c r="E172" i="10"/>
  <c r="BR190" i="6"/>
  <c r="BR191" i="6"/>
  <c r="BR236" i="6"/>
  <c r="X190" i="10"/>
  <c r="X192" i="10"/>
  <c r="B180" i="6"/>
  <c r="B181" i="6"/>
  <c r="B234" i="6"/>
  <c r="AL190" i="6"/>
  <c r="AL191" i="6"/>
  <c r="AL236" i="6"/>
  <c r="AD180" i="6"/>
  <c r="AD181" i="6"/>
  <c r="AD234" i="6"/>
  <c r="W170" i="10"/>
  <c r="W172" i="10"/>
  <c r="D206" i="10"/>
  <c r="D207" i="10"/>
  <c r="AC189" i="6"/>
  <c r="AC191" i="6"/>
  <c r="AC236" i="6"/>
  <c r="M86" i="22"/>
  <c r="M87" i="22"/>
  <c r="L190" i="10"/>
  <c r="L192" i="10"/>
  <c r="AC86" i="22"/>
  <c r="AC87" i="22"/>
  <c r="B171" i="10"/>
  <c r="B172" i="10"/>
  <c r="B232" i="10"/>
  <c r="M12" i="22"/>
  <c r="CB186" i="11"/>
  <c r="CB187" i="11"/>
  <c r="CB235" i="11"/>
  <c r="M10" i="22"/>
  <c r="M16" i="6"/>
  <c r="O16" i="6"/>
  <c r="D195" i="6"/>
  <c r="D196" i="6"/>
  <c r="D237" i="6"/>
  <c r="H202" i="8"/>
  <c r="D171" i="10"/>
  <c r="D172" i="10"/>
  <c r="N174" i="6"/>
  <c r="N176" i="6"/>
  <c r="N233" i="6"/>
  <c r="BH189" i="6"/>
  <c r="BH191" i="6"/>
  <c r="BH236" i="6"/>
  <c r="G160" i="7"/>
  <c r="G162" i="7"/>
  <c r="N5" i="1"/>
  <c r="F200" i="6"/>
  <c r="F201" i="6"/>
  <c r="F238" i="6"/>
  <c r="AK194" i="6"/>
  <c r="AK196" i="6"/>
  <c r="AK237" i="6"/>
  <c r="N12" i="10"/>
  <c r="AI189" i="6"/>
  <c r="AI191" i="6"/>
  <c r="AI236" i="6"/>
  <c r="V170" i="6"/>
  <c r="V171" i="6"/>
  <c r="V232" i="6"/>
  <c r="K185" i="6"/>
  <c r="K186" i="6"/>
  <c r="K235" i="6"/>
  <c r="I165" i="22"/>
  <c r="I167" i="22"/>
  <c r="AV212" i="8"/>
  <c r="M13" i="10"/>
  <c r="O13" i="10"/>
  <c r="N25" i="1"/>
  <c r="BC200" i="6"/>
  <c r="BC201" i="6"/>
  <c r="BC238" i="6"/>
  <c r="J205" i="6"/>
  <c r="J206" i="6"/>
  <c r="J239" i="6"/>
  <c r="BT200" i="6"/>
  <c r="BT201" i="6"/>
  <c r="BT238" i="6"/>
  <c r="G195" i="6"/>
  <c r="G196" i="6"/>
  <c r="G237" i="6"/>
  <c r="BZ195" i="6"/>
  <c r="BZ196" i="6"/>
  <c r="BZ237" i="6"/>
  <c r="R199" i="6"/>
  <c r="R201" i="6"/>
  <c r="R238" i="6"/>
  <c r="AM185" i="6"/>
  <c r="AM186" i="6"/>
  <c r="AM235" i="6"/>
  <c r="BT169" i="6"/>
  <c r="BT170" i="6"/>
  <c r="X179" i="6"/>
  <c r="X180" i="6"/>
  <c r="AO204" i="6"/>
  <c r="AO205" i="6"/>
  <c r="W174" i="6"/>
  <c r="W175" i="6"/>
  <c r="CA180" i="6"/>
  <c r="CA179" i="6"/>
  <c r="G169" i="6"/>
  <c r="G170" i="6"/>
  <c r="AP179" i="6"/>
  <c r="AP180" i="6"/>
  <c r="AZ204" i="6"/>
  <c r="AZ205" i="6"/>
  <c r="AW209" i="6"/>
  <c r="AW210" i="6"/>
  <c r="BI199" i="6"/>
  <c r="BI200" i="6"/>
  <c r="BD170" i="6"/>
  <c r="BD169" i="6"/>
  <c r="N10" i="10"/>
  <c r="M10" i="10"/>
  <c r="O10" i="10"/>
  <c r="M5" i="8"/>
  <c r="O5" i="8"/>
  <c r="M13" i="22"/>
  <c r="N7" i="10"/>
  <c r="J211" i="22"/>
  <c r="J212" i="22"/>
  <c r="B175" i="10"/>
  <c r="B177" i="10"/>
  <c r="B233" i="10"/>
  <c r="Z171" i="22"/>
  <c r="Z172" i="22"/>
  <c r="P177" i="9"/>
  <c r="Y182" i="9"/>
  <c r="I195" i="10"/>
  <c r="I197" i="10"/>
  <c r="AB176" i="9"/>
  <c r="AB177" i="9"/>
  <c r="L205" i="22"/>
  <c r="L207" i="22"/>
  <c r="B80" i="6"/>
  <c r="B81" i="6"/>
  <c r="B214" i="6"/>
  <c r="C181" i="22"/>
  <c r="C182" i="22"/>
  <c r="P187" i="9"/>
  <c r="E211" i="22"/>
  <c r="E212" i="22"/>
  <c r="J175" i="22"/>
  <c r="J177" i="22"/>
  <c r="N12" i="8"/>
  <c r="N9" i="10"/>
  <c r="CA185" i="11"/>
  <c r="CA187" i="11"/>
  <c r="CA235" i="11"/>
  <c r="D185" i="22"/>
  <c r="D187" i="22"/>
  <c r="M4" i="8"/>
  <c r="O4" i="8"/>
  <c r="F191" i="10"/>
  <c r="F192" i="10"/>
  <c r="C86" i="22"/>
  <c r="C87" i="22"/>
  <c r="AX212" i="8"/>
  <c r="F85" i="22"/>
  <c r="F86" i="22"/>
  <c r="H211" i="22"/>
  <c r="H210" i="22"/>
  <c r="I202" i="8"/>
  <c r="S211" i="7"/>
  <c r="S212" i="7"/>
  <c r="E132" i="11"/>
  <c r="M182" i="9"/>
  <c r="B91" i="7"/>
  <c r="B92" i="7"/>
  <c r="B216" i="7"/>
  <c r="C196" i="10"/>
  <c r="C197" i="10"/>
  <c r="K86" i="22"/>
  <c r="K87" i="22"/>
  <c r="AB171" i="10"/>
  <c r="AB172" i="10"/>
  <c r="AD156" i="10"/>
  <c r="AD157" i="10"/>
  <c r="N86" i="22"/>
  <c r="N87" i="22"/>
  <c r="M191" i="10"/>
  <c r="M192" i="10"/>
  <c r="I85" i="22"/>
  <c r="I86" i="22"/>
  <c r="I190" i="10"/>
  <c r="I191" i="10"/>
  <c r="L85" i="22"/>
  <c r="L86" i="22"/>
  <c r="E190" i="10"/>
  <c r="E191" i="10"/>
  <c r="C185" i="22"/>
  <c r="C186" i="22"/>
  <c r="B190" i="10"/>
  <c r="B191" i="10"/>
  <c r="N6" i="10"/>
  <c r="M6" i="10"/>
  <c r="O6" i="10"/>
  <c r="M2" i="10"/>
  <c r="O2" i="10"/>
  <c r="N2" i="10"/>
  <c r="J190" i="10"/>
  <c r="J191" i="10"/>
  <c r="I210" i="22"/>
  <c r="I211" i="22"/>
  <c r="G175" i="10"/>
  <c r="G176" i="10"/>
  <c r="N16" i="22"/>
  <c r="AG212" i="8"/>
  <c r="AD212" i="8"/>
  <c r="U177" i="8"/>
  <c r="M10" i="9"/>
  <c r="O10" i="9"/>
  <c r="C131" i="7"/>
  <c r="C132" i="7"/>
  <c r="P191" i="7"/>
  <c r="P192" i="7"/>
  <c r="L212" i="9"/>
  <c r="Z177" i="9"/>
  <c r="M10" i="7"/>
  <c r="O10" i="7"/>
  <c r="N11" i="10"/>
  <c r="AN190" i="7"/>
  <c r="AN192" i="7"/>
  <c r="B141" i="9"/>
  <c r="B142" i="9"/>
  <c r="B226" i="9"/>
  <c r="K190" i="7"/>
  <c r="K192" i="7"/>
  <c r="N15" i="22"/>
  <c r="R196" i="11"/>
  <c r="R197" i="11"/>
  <c r="S171" i="7"/>
  <c r="S172" i="7"/>
  <c r="M3" i="8"/>
  <c r="O3" i="8"/>
  <c r="F151" i="7"/>
  <c r="F152" i="7"/>
  <c r="F228" i="7"/>
  <c r="E187" i="9"/>
  <c r="N8" i="8"/>
  <c r="W181" i="22"/>
  <c r="W182" i="22"/>
  <c r="AB211" i="9"/>
  <c r="AB212" i="9"/>
  <c r="AA197" i="9"/>
  <c r="AC151" i="7"/>
  <c r="AC152" i="7"/>
  <c r="AC228" i="7"/>
  <c r="K150" i="7"/>
  <c r="K152" i="7"/>
  <c r="K228" i="7"/>
  <c r="AR191" i="7"/>
  <c r="AR192" i="7"/>
  <c r="M13" i="8"/>
  <c r="O13" i="8"/>
  <c r="Q195" i="7"/>
  <c r="Q197" i="7"/>
  <c r="M17" i="9"/>
  <c r="O17" i="9"/>
  <c r="I210" i="7"/>
  <c r="I212" i="7"/>
  <c r="B103" i="1"/>
  <c r="B104" i="1"/>
  <c r="B225" i="1"/>
  <c r="E120" i="6"/>
  <c r="E121" i="6"/>
  <c r="Q182" i="9"/>
  <c r="O182" i="9"/>
  <c r="AG197" i="9"/>
  <c r="N3" i="11"/>
  <c r="C197" i="11"/>
  <c r="O172" i="8"/>
  <c r="M13" i="9"/>
  <c r="O13" i="9"/>
  <c r="O151" i="7"/>
  <c r="O152" i="7"/>
  <c r="O228" i="7"/>
  <c r="G190" i="8"/>
  <c r="G192" i="8"/>
  <c r="B98" i="1"/>
  <c r="B99" i="1"/>
  <c r="B224" i="1"/>
  <c r="N6" i="7"/>
  <c r="P197" i="9"/>
  <c r="N8" i="7"/>
  <c r="F156" i="11"/>
  <c r="F157" i="11"/>
  <c r="L181" i="7"/>
  <c r="L182" i="7"/>
  <c r="I196" i="7"/>
  <c r="I197" i="7"/>
  <c r="D167" i="8"/>
  <c r="W190" i="7"/>
  <c r="W192" i="7"/>
  <c r="E153" i="1"/>
  <c r="E154" i="1"/>
  <c r="C136" i="9"/>
  <c r="C137" i="9"/>
  <c r="E111" i="7"/>
  <c r="E112" i="7"/>
  <c r="N14" i="7"/>
  <c r="BL212" i="8"/>
  <c r="C150" i="11"/>
  <c r="AM151" i="7"/>
  <c r="AM152" i="7"/>
  <c r="AM228" i="7"/>
  <c r="AB170" i="7"/>
  <c r="AB172" i="7"/>
  <c r="AA212" i="8"/>
  <c r="G211" i="7"/>
  <c r="G212" i="7"/>
  <c r="AB172" i="8"/>
  <c r="L177" i="9"/>
  <c r="N14" i="8"/>
  <c r="N191" i="7"/>
  <c r="N192" i="7"/>
  <c r="AF155" i="11"/>
  <c r="AF157" i="11"/>
  <c r="D191" i="7"/>
  <c r="D192" i="7"/>
  <c r="L210" i="7"/>
  <c r="L212" i="7"/>
  <c r="BA151" i="7"/>
  <c r="BA152" i="7"/>
  <c r="BA228" i="7"/>
  <c r="F190" i="8"/>
  <c r="F192" i="8"/>
  <c r="BL151" i="7"/>
  <c r="BL152" i="7"/>
  <c r="BL228" i="7"/>
  <c r="AB147" i="11"/>
  <c r="W181" i="7"/>
  <c r="W182" i="7"/>
  <c r="BA212" i="8"/>
  <c r="AO172" i="8"/>
  <c r="S289" i="40"/>
  <c r="S290" i="40"/>
  <c r="S291" i="40"/>
  <c r="S292" i="40"/>
  <c r="T110" i="40"/>
  <c r="S244" i="40"/>
  <c r="T92" i="40"/>
  <c r="R245" i="40"/>
  <c r="R246" i="40"/>
  <c r="R247" i="40"/>
  <c r="R285" i="40"/>
  <c r="R286" i="40"/>
  <c r="R287" i="40"/>
  <c r="R290" i="40"/>
  <c r="R291" i="40"/>
  <c r="R292" i="40"/>
  <c r="S284" i="40"/>
  <c r="T108" i="40"/>
  <c r="S269" i="40"/>
  <c r="T102" i="40"/>
  <c r="S249" i="40"/>
  <c r="T94" i="40"/>
  <c r="S264" i="40"/>
  <c r="T100" i="40"/>
  <c r="R270" i="40"/>
  <c r="R271" i="40"/>
  <c r="R272" i="40"/>
  <c r="R265" i="40"/>
  <c r="R266" i="40"/>
  <c r="R267" i="40"/>
  <c r="Y106" i="40"/>
  <c r="Y279" i="40"/>
  <c r="Y280" i="40"/>
  <c r="Y281" i="40"/>
  <c r="Y282" i="40"/>
  <c r="AA98" i="40"/>
  <c r="AA259" i="40"/>
  <c r="Z96" i="40"/>
  <c r="Z254" i="40"/>
  <c r="Z104" i="40"/>
  <c r="Z274" i="40"/>
  <c r="V90" i="40"/>
  <c r="S177" i="40"/>
  <c r="R135" i="40"/>
  <c r="R136" i="40"/>
  <c r="R137" i="40"/>
  <c r="S180" i="40"/>
  <c r="S181" i="40"/>
  <c r="S182" i="40"/>
  <c r="U84" i="40"/>
  <c r="T224" i="40"/>
  <c r="S239" i="40"/>
  <c r="T175" i="40"/>
  <c r="T176" i="40"/>
  <c r="T70" i="40"/>
  <c r="S189" i="40"/>
  <c r="T185" i="40"/>
  <c r="T186" i="40"/>
  <c r="T56" i="40"/>
  <c r="S154" i="40"/>
  <c r="U40" i="40"/>
  <c r="T114" i="40"/>
  <c r="S165" i="40"/>
  <c r="S166" i="40"/>
  <c r="S167" i="40"/>
  <c r="U80" i="40"/>
  <c r="T214" i="40"/>
  <c r="T54" i="40"/>
  <c r="S149" i="40"/>
  <c r="R210" i="40"/>
  <c r="R211" i="40"/>
  <c r="S205" i="40"/>
  <c r="S206" i="40"/>
  <c r="U66" i="40"/>
  <c r="T179" i="40"/>
  <c r="S235" i="40"/>
  <c r="S236" i="40"/>
  <c r="S237" i="40"/>
  <c r="V64" i="40"/>
  <c r="U174" i="40"/>
  <c r="R142" i="40"/>
  <c r="V68" i="40"/>
  <c r="U184" i="40"/>
  <c r="S140" i="40"/>
  <c r="S141" i="40"/>
  <c r="U60" i="40"/>
  <c r="T164" i="40"/>
  <c r="R170" i="40"/>
  <c r="R171" i="40"/>
  <c r="R125" i="40"/>
  <c r="R126" i="40"/>
  <c r="R127" i="40"/>
  <c r="R227" i="40"/>
  <c r="R145" i="40"/>
  <c r="R146" i="40"/>
  <c r="R147" i="40"/>
  <c r="R130" i="40"/>
  <c r="R131" i="40"/>
  <c r="R132" i="40"/>
  <c r="T78" i="40"/>
  <c r="S209" i="40"/>
  <c r="R230" i="40"/>
  <c r="R231" i="40"/>
  <c r="U76" i="40"/>
  <c r="T204" i="40"/>
  <c r="T48" i="40"/>
  <c r="S134" i="40"/>
  <c r="T195" i="40"/>
  <c r="T196" i="40"/>
  <c r="U88" i="40"/>
  <c r="T234" i="40"/>
  <c r="R220" i="40"/>
  <c r="R221" i="40"/>
  <c r="R222" i="40"/>
  <c r="R120" i="40"/>
  <c r="R121" i="40"/>
  <c r="R122" i="40"/>
  <c r="S115" i="40"/>
  <c r="S116" i="40"/>
  <c r="S117" i="40"/>
  <c r="U50" i="40"/>
  <c r="T139" i="40"/>
  <c r="T62" i="40"/>
  <c r="S169" i="40"/>
  <c r="R150" i="40"/>
  <c r="R151" i="40"/>
  <c r="R152" i="40"/>
  <c r="R160" i="40"/>
  <c r="R161" i="40"/>
  <c r="S187" i="40"/>
  <c r="R200" i="40"/>
  <c r="R201" i="40"/>
  <c r="T46" i="40"/>
  <c r="S129" i="40"/>
  <c r="T86" i="40"/>
  <c r="S229" i="40"/>
  <c r="R217" i="40"/>
  <c r="V72" i="40"/>
  <c r="U194" i="40"/>
  <c r="Q202" i="40"/>
  <c r="S225" i="40"/>
  <c r="S226" i="40"/>
  <c r="T82" i="40"/>
  <c r="S219" i="40"/>
  <c r="R240" i="40"/>
  <c r="R241" i="40"/>
  <c r="T42" i="40"/>
  <c r="S119" i="40"/>
  <c r="R182" i="40"/>
  <c r="R190" i="40"/>
  <c r="R191" i="40"/>
  <c r="Q222" i="40"/>
  <c r="R155" i="40"/>
  <c r="R156" i="40"/>
  <c r="R157" i="40"/>
  <c r="S215" i="40"/>
  <c r="S216" i="40"/>
  <c r="S217" i="40"/>
  <c r="Q192" i="40"/>
  <c r="T44" i="40"/>
  <c r="S124" i="40"/>
  <c r="T58" i="40"/>
  <c r="S159" i="40"/>
  <c r="Q157" i="40"/>
  <c r="T52" i="40"/>
  <c r="S144" i="40"/>
  <c r="T74" i="40"/>
  <c r="S199" i="40"/>
  <c r="Q162" i="40"/>
  <c r="B202" i="11"/>
  <c r="B238" i="11"/>
  <c r="S182" i="8"/>
  <c r="B220" i="7"/>
  <c r="AE197" i="9"/>
  <c r="G177" i="9"/>
  <c r="B241" i="1"/>
  <c r="Q212" i="9"/>
  <c r="B217" i="6"/>
  <c r="R150" i="7"/>
  <c r="R152" i="7"/>
  <c r="R228" i="7"/>
  <c r="BU151" i="7"/>
  <c r="BU152" i="7"/>
  <c r="BU228" i="7"/>
  <c r="X182" i="11"/>
  <c r="E167" i="8"/>
  <c r="AE172" i="8"/>
  <c r="D66" i="7"/>
  <c r="C174" i="7"/>
  <c r="C199" i="10"/>
  <c r="D76" i="10"/>
  <c r="C159" i="10"/>
  <c r="D60" i="10"/>
  <c r="N7" i="6"/>
  <c r="M7" i="6"/>
  <c r="O7" i="6"/>
  <c r="J62" i="8"/>
  <c r="I164" i="8"/>
  <c r="I60" i="7"/>
  <c r="H159" i="7"/>
  <c r="T74" i="11"/>
  <c r="S194" i="11"/>
  <c r="H46" i="11"/>
  <c r="G124" i="11"/>
  <c r="L169" i="9"/>
  <c r="M64" i="9"/>
  <c r="R184" i="10"/>
  <c r="S70" i="10"/>
  <c r="BO211" i="8"/>
  <c r="BO210" i="8"/>
  <c r="AD169" i="10"/>
  <c r="AE64" i="10"/>
  <c r="AE66" i="9"/>
  <c r="AD174" i="9"/>
  <c r="D76" i="11"/>
  <c r="C199" i="11"/>
  <c r="D76" i="22"/>
  <c r="C199" i="22"/>
  <c r="G58" i="7"/>
  <c r="F154" i="7"/>
  <c r="N11" i="6"/>
  <c r="M11" i="6"/>
  <c r="O11" i="6"/>
  <c r="D78" i="8"/>
  <c r="C204" i="8"/>
  <c r="E76" i="7"/>
  <c r="D199" i="7"/>
  <c r="I205" i="7"/>
  <c r="I206" i="7"/>
  <c r="O156" i="8"/>
  <c r="O155" i="8"/>
  <c r="G206" i="11"/>
  <c r="G205" i="11"/>
  <c r="K70" i="22"/>
  <c r="J184" i="22"/>
  <c r="X210" i="22"/>
  <c r="X211" i="22"/>
  <c r="O66" i="10"/>
  <c r="N174" i="10"/>
  <c r="N165" i="10"/>
  <c r="N166" i="10"/>
  <c r="BP60" i="11"/>
  <c r="BO159" i="11"/>
  <c r="BQ80" i="8"/>
  <c r="BP209" i="8"/>
  <c r="AC171" i="10"/>
  <c r="AC170" i="10"/>
  <c r="AC176" i="9"/>
  <c r="AC175" i="9"/>
  <c r="F191" i="7"/>
  <c r="F192" i="7"/>
  <c r="C206" i="7"/>
  <c r="C207" i="7"/>
  <c r="F172" i="8"/>
  <c r="B197" i="8"/>
  <c r="B237" i="8"/>
  <c r="D56" i="22"/>
  <c r="C149" i="22"/>
  <c r="C150" i="22"/>
  <c r="C151" i="22"/>
  <c r="C152" i="22"/>
  <c r="C179" i="10"/>
  <c r="D68" i="10"/>
  <c r="N15" i="6"/>
  <c r="M15" i="6"/>
  <c r="O15" i="6"/>
  <c r="D50" i="11"/>
  <c r="C134" i="11"/>
  <c r="E56" i="11"/>
  <c r="D149" i="11"/>
  <c r="K78" i="7"/>
  <c r="J204" i="7"/>
  <c r="Q58" i="8"/>
  <c r="P154" i="8"/>
  <c r="D46" i="6"/>
  <c r="C138" i="6"/>
  <c r="I78" i="11"/>
  <c r="H204" i="11"/>
  <c r="M78" i="9"/>
  <c r="L204" i="9"/>
  <c r="O164" i="10"/>
  <c r="P62" i="10"/>
  <c r="N72" i="22"/>
  <c r="M189" i="22"/>
  <c r="K164" i="22"/>
  <c r="L62" i="22"/>
  <c r="AC209" i="10"/>
  <c r="AD80" i="10"/>
  <c r="V146" i="10"/>
  <c r="V145" i="10"/>
  <c r="AF58" i="10"/>
  <c r="AE154" i="10"/>
  <c r="AA150" i="7"/>
  <c r="AA152" i="7"/>
  <c r="AA228" i="7"/>
  <c r="AH212" i="8"/>
  <c r="D62" i="9"/>
  <c r="C164" i="9"/>
  <c r="D70" i="8"/>
  <c r="C184" i="8"/>
  <c r="H165" i="8"/>
  <c r="H166" i="8"/>
  <c r="F126" i="11"/>
  <c r="F125" i="11"/>
  <c r="L176" i="10"/>
  <c r="L175" i="10"/>
  <c r="AA66" i="22"/>
  <c r="Z174" i="22"/>
  <c r="BR144" i="11"/>
  <c r="BS54" i="11"/>
  <c r="M204" i="22"/>
  <c r="N78" i="22"/>
  <c r="X54" i="10"/>
  <c r="W144" i="10"/>
  <c r="F40" i="11"/>
  <c r="E109" i="11"/>
  <c r="D32" i="10"/>
  <c r="C89" i="10"/>
  <c r="C90" i="10"/>
  <c r="C91" i="10"/>
  <c r="C92" i="10"/>
  <c r="E44" i="10"/>
  <c r="D119" i="10"/>
  <c r="D120" i="10"/>
  <c r="D121" i="10"/>
  <c r="D122" i="10"/>
  <c r="C129" i="10"/>
  <c r="C130" i="10"/>
  <c r="C131" i="10"/>
  <c r="C132" i="10"/>
  <c r="D48" i="10"/>
  <c r="N5" i="10"/>
  <c r="C104" i="10"/>
  <c r="C105" i="10"/>
  <c r="C106" i="10"/>
  <c r="C107" i="10"/>
  <c r="D38" i="10"/>
  <c r="C114" i="10"/>
  <c r="C115" i="10"/>
  <c r="C116" i="10"/>
  <c r="C117" i="10"/>
  <c r="D42" i="10"/>
  <c r="B223" i="10"/>
  <c r="C139" i="10"/>
  <c r="C140" i="10"/>
  <c r="C141" i="10"/>
  <c r="C142" i="10"/>
  <c r="D52" i="10"/>
  <c r="D40" i="10"/>
  <c r="C109" i="10"/>
  <c r="C110" i="10"/>
  <c r="C111" i="10"/>
  <c r="C112" i="10"/>
  <c r="D30" i="10"/>
  <c r="C84" i="10"/>
  <c r="C94" i="10"/>
  <c r="D34" i="10"/>
  <c r="D46" i="10"/>
  <c r="C124" i="10"/>
  <c r="C125" i="10"/>
  <c r="C126" i="10"/>
  <c r="C127" i="10"/>
  <c r="E52" i="22"/>
  <c r="D139" i="22"/>
  <c r="E46" i="22"/>
  <c r="D124" i="22"/>
  <c r="D42" i="22"/>
  <c r="C114" i="22"/>
  <c r="C115" i="22"/>
  <c r="C116" i="22"/>
  <c r="C117" i="22"/>
  <c r="C134" i="22"/>
  <c r="D50" i="22"/>
  <c r="D36" i="8"/>
  <c r="E36" i="8"/>
  <c r="C101" i="8"/>
  <c r="C102" i="8"/>
  <c r="C96" i="8"/>
  <c r="C97" i="8"/>
  <c r="D151" i="8"/>
  <c r="D152" i="8"/>
  <c r="E96" i="8"/>
  <c r="E97" i="8"/>
  <c r="D46" i="8"/>
  <c r="C124" i="8"/>
  <c r="C125" i="8"/>
  <c r="C126" i="8"/>
  <c r="C127" i="8"/>
  <c r="E50" i="8"/>
  <c r="D134" i="8"/>
  <c r="D135" i="8"/>
  <c r="D136" i="8"/>
  <c r="D137" i="8"/>
  <c r="N12" i="7"/>
  <c r="N13" i="7"/>
  <c r="N3" i="7"/>
  <c r="B86" i="7"/>
  <c r="B87" i="7"/>
  <c r="B215" i="7"/>
  <c r="B225" i="6"/>
  <c r="B120" i="6"/>
  <c r="B121" i="6"/>
  <c r="B222" i="6"/>
  <c r="N16" i="9"/>
  <c r="B225" i="9"/>
  <c r="B118" i="1"/>
  <c r="B119" i="1"/>
  <c r="B228" i="1"/>
  <c r="D217" i="1"/>
  <c r="D219" i="1"/>
  <c r="H153" i="1"/>
  <c r="H154" i="1"/>
  <c r="V161" i="22"/>
  <c r="V160" i="22"/>
  <c r="T200" i="8"/>
  <c r="T201" i="8"/>
  <c r="M11" i="7"/>
  <c r="O11" i="7"/>
  <c r="BY169" i="6"/>
  <c r="BY170" i="6"/>
  <c r="B195" i="22"/>
  <c r="B196" i="22"/>
  <c r="M9" i="7"/>
  <c r="O9" i="7"/>
  <c r="N9" i="7"/>
  <c r="G95" i="8"/>
  <c r="G96" i="8"/>
  <c r="G97" i="8"/>
  <c r="B93" i="1"/>
  <c r="B94" i="1"/>
  <c r="B223" i="1"/>
  <c r="B158" i="1"/>
  <c r="B159" i="1"/>
  <c r="B236" i="1"/>
  <c r="C120" i="22"/>
  <c r="C121" i="22"/>
  <c r="C122" i="22"/>
  <c r="E85" i="11"/>
  <c r="E86" i="11"/>
  <c r="E87" i="11"/>
  <c r="B166" i="11"/>
  <c r="B167" i="11"/>
  <c r="B231" i="11"/>
  <c r="N15" i="1"/>
  <c r="M15" i="1"/>
  <c r="O15" i="1"/>
  <c r="N15" i="8"/>
  <c r="AM155" i="11"/>
  <c r="AM156" i="11"/>
  <c r="BD185" i="11"/>
  <c r="BD186" i="11"/>
  <c r="AQ151" i="7"/>
  <c r="AQ150" i="7"/>
  <c r="T211" i="7"/>
  <c r="T210" i="7"/>
  <c r="P150" i="7"/>
  <c r="P151" i="7"/>
  <c r="G180" i="7"/>
  <c r="G181" i="7"/>
  <c r="AS151" i="7"/>
  <c r="AS150" i="7"/>
  <c r="W171" i="7"/>
  <c r="W170" i="7"/>
  <c r="AE191" i="7"/>
  <c r="AE190" i="7"/>
  <c r="H180" i="7"/>
  <c r="H181" i="7"/>
  <c r="B176" i="7"/>
  <c r="B175" i="7"/>
  <c r="F160" i="7"/>
  <c r="F161" i="7"/>
  <c r="BC150" i="7"/>
  <c r="BC151" i="7"/>
  <c r="D205" i="7"/>
  <c r="D206" i="7"/>
  <c r="C186" i="7"/>
  <c r="C185" i="7"/>
  <c r="CB150" i="7"/>
  <c r="CB151" i="7"/>
  <c r="AF151" i="7"/>
  <c r="AF150" i="7"/>
  <c r="P170" i="7"/>
  <c r="P171" i="7"/>
  <c r="M181" i="7"/>
  <c r="M180" i="7"/>
  <c r="E166" i="7"/>
  <c r="E165" i="7"/>
  <c r="Y150" i="7"/>
  <c r="Y151" i="7"/>
  <c r="BX150" i="7"/>
  <c r="BX151" i="7"/>
  <c r="AL151" i="7"/>
  <c r="AL150" i="7"/>
  <c r="Y181" i="7"/>
  <c r="Y180" i="7"/>
  <c r="P211" i="7"/>
  <c r="P210" i="7"/>
  <c r="Q150" i="7"/>
  <c r="Q151" i="7"/>
  <c r="J195" i="7"/>
  <c r="J196" i="7"/>
  <c r="AY150" i="7"/>
  <c r="AY151" i="7"/>
  <c r="Y170" i="7"/>
  <c r="Y171" i="7"/>
  <c r="AT190" i="7"/>
  <c r="AT191" i="7"/>
  <c r="B155" i="7"/>
  <c r="B156" i="7"/>
  <c r="J202" i="8"/>
  <c r="B126" i="11"/>
  <c r="B125" i="11"/>
  <c r="J140" i="11"/>
  <c r="J141" i="11"/>
  <c r="BV150" i="7"/>
  <c r="BV151" i="7"/>
  <c r="AG150" i="7"/>
  <c r="AG151" i="7"/>
  <c r="R181" i="7"/>
  <c r="R180" i="7"/>
  <c r="C195" i="7"/>
  <c r="C196" i="7"/>
  <c r="AL170" i="7"/>
  <c r="AL171" i="7"/>
  <c r="AN151" i="7"/>
  <c r="AN150" i="7"/>
  <c r="J150" i="7"/>
  <c r="J151" i="7"/>
  <c r="I171" i="7"/>
  <c r="I170" i="7"/>
  <c r="B195" i="7"/>
  <c r="B196" i="7"/>
  <c r="BE151" i="7"/>
  <c r="BE150" i="7"/>
  <c r="AJ170" i="7"/>
  <c r="AJ171" i="7"/>
  <c r="V196" i="7"/>
  <c r="V195" i="7"/>
  <c r="K196" i="7"/>
  <c r="K195" i="7"/>
  <c r="O196" i="7"/>
  <c r="O195" i="7"/>
  <c r="H170" i="7"/>
  <c r="H171" i="7"/>
  <c r="E156" i="7"/>
  <c r="E155" i="7"/>
  <c r="BG150" i="7"/>
  <c r="BG151" i="7"/>
  <c r="Q182" i="8"/>
  <c r="P195" i="7"/>
  <c r="P197" i="7"/>
  <c r="U180" i="7"/>
  <c r="U182" i="7"/>
  <c r="AG185" i="11"/>
  <c r="AG186" i="11"/>
  <c r="W166" i="11"/>
  <c r="W165" i="11"/>
  <c r="J181" i="7"/>
  <c r="J180" i="7"/>
  <c r="C201" i="7"/>
  <c r="C200" i="7"/>
  <c r="AI191" i="7"/>
  <c r="AI190" i="7"/>
  <c r="BF150" i="7"/>
  <c r="BF151" i="7"/>
  <c r="M151" i="7"/>
  <c r="M150" i="7"/>
  <c r="E210" i="7"/>
  <c r="E211" i="7"/>
  <c r="F170" i="7"/>
  <c r="F171" i="7"/>
  <c r="Z171" i="7"/>
  <c r="Z170" i="7"/>
  <c r="V191" i="7"/>
  <c r="V190" i="7"/>
  <c r="E160" i="7"/>
  <c r="E161" i="7"/>
  <c r="H190" i="7"/>
  <c r="H191" i="7"/>
  <c r="I181" i="7"/>
  <c r="I180" i="7"/>
  <c r="AO190" i="7"/>
  <c r="AO191" i="7"/>
  <c r="AV191" i="7"/>
  <c r="AV190" i="7"/>
  <c r="AB190" i="7"/>
  <c r="AB191" i="7"/>
  <c r="B165" i="7"/>
  <c r="B166" i="7"/>
  <c r="T181" i="7"/>
  <c r="T180" i="7"/>
  <c r="J211" i="7"/>
  <c r="J210" i="7"/>
  <c r="N196" i="7"/>
  <c r="N195" i="7"/>
  <c r="D181" i="7"/>
  <c r="D180" i="7"/>
  <c r="D155" i="7"/>
  <c r="D156" i="7"/>
  <c r="G165" i="7"/>
  <c r="G166" i="7"/>
  <c r="W210" i="7"/>
  <c r="W211" i="7"/>
  <c r="Q181" i="7"/>
  <c r="Q180" i="7"/>
  <c r="B96" i="7"/>
  <c r="B97" i="7"/>
  <c r="B217" i="7"/>
  <c r="K180" i="11"/>
  <c r="K181" i="11"/>
  <c r="E196" i="7"/>
  <c r="E195" i="7"/>
  <c r="J171" i="7"/>
  <c r="J170" i="7"/>
  <c r="BD150" i="7"/>
  <c r="BD151" i="7"/>
  <c r="S190" i="7"/>
  <c r="S191" i="7"/>
  <c r="F211" i="7"/>
  <c r="F210" i="7"/>
  <c r="S195" i="7"/>
  <c r="S196" i="7"/>
  <c r="BO150" i="7"/>
  <c r="BO151" i="7"/>
  <c r="AE150" i="7"/>
  <c r="AE151" i="7"/>
  <c r="M210" i="7"/>
  <c r="M211" i="7"/>
  <c r="H195" i="7"/>
  <c r="H196" i="7"/>
  <c r="B211" i="7"/>
  <c r="B210" i="7"/>
  <c r="C155" i="7"/>
  <c r="C156" i="7"/>
  <c r="AJ190" i="7"/>
  <c r="AJ191" i="7"/>
  <c r="L195" i="7"/>
  <c r="L196" i="7"/>
  <c r="K182" i="7"/>
  <c r="B96" i="22"/>
  <c r="B97" i="22"/>
  <c r="B217" i="22"/>
  <c r="C126" i="7"/>
  <c r="C127" i="7"/>
  <c r="BI172" i="8"/>
  <c r="N9" i="8"/>
  <c r="BK212" i="8"/>
  <c r="T212" i="9"/>
  <c r="P162" i="8"/>
  <c r="B92" i="10"/>
  <c r="B216" i="10"/>
  <c r="V177" i="9"/>
  <c r="K187" i="10"/>
  <c r="X177" i="9"/>
  <c r="AW201" i="6"/>
  <c r="AW238" i="6"/>
  <c r="J201" i="6"/>
  <c r="J238" i="6"/>
  <c r="BU172" i="8"/>
  <c r="M182" i="22"/>
  <c r="Q202" i="8"/>
  <c r="I172" i="9"/>
  <c r="I162" i="8"/>
  <c r="G212" i="9"/>
  <c r="C162" i="8"/>
  <c r="K212" i="9"/>
  <c r="AC197" i="9"/>
  <c r="L65" i="37"/>
  <c r="M64" i="37"/>
  <c r="D32" i="22"/>
  <c r="C89" i="22"/>
  <c r="C90" i="22"/>
  <c r="C91" i="22"/>
  <c r="C92" i="22"/>
  <c r="W66" i="11"/>
  <c r="V174" i="11"/>
  <c r="U72" i="11"/>
  <c r="T189" i="11"/>
  <c r="AP64" i="7"/>
  <c r="AO169" i="7"/>
  <c r="AE180" i="11"/>
  <c r="AE181" i="11"/>
  <c r="BN171" i="11"/>
  <c r="BN170" i="11"/>
  <c r="AA80" i="22"/>
  <c r="Z209" i="22"/>
  <c r="X60" i="22"/>
  <c r="W159" i="22"/>
  <c r="AB169" i="22"/>
  <c r="AC64" i="22"/>
  <c r="Y68" i="22"/>
  <c r="X179" i="22"/>
  <c r="AA150" i="10"/>
  <c r="AA151" i="10"/>
  <c r="AA185" i="9"/>
  <c r="AA186" i="9"/>
  <c r="Z205" i="10"/>
  <c r="Z206" i="10"/>
  <c r="D72" i="9"/>
  <c r="C189" i="9"/>
  <c r="AE7" i="26"/>
  <c r="U7" i="26"/>
  <c r="K7" i="26"/>
  <c r="Z7" i="26"/>
  <c r="A127" i="2"/>
  <c r="BW127" i="2"/>
  <c r="BW6" i="2"/>
  <c r="A7" i="2"/>
  <c r="W195" i="7"/>
  <c r="W196" i="7"/>
  <c r="V176" i="8"/>
  <c r="V175" i="8"/>
  <c r="AC131" i="11"/>
  <c r="AC130" i="11"/>
  <c r="V211" i="11"/>
  <c r="V210" i="11"/>
  <c r="AG140" i="11"/>
  <c r="AG141" i="11"/>
  <c r="AB80" i="7"/>
  <c r="AA209" i="7"/>
  <c r="X196" i="8"/>
  <c r="X195" i="8"/>
  <c r="BJ166" i="11"/>
  <c r="BJ165" i="11"/>
  <c r="X196" i="10"/>
  <c r="X195" i="10"/>
  <c r="AJ72" i="10"/>
  <c r="AI189" i="10"/>
  <c r="AA170" i="22"/>
  <c r="AA171" i="22"/>
  <c r="AB184" i="9"/>
  <c r="AC70" i="9"/>
  <c r="T180" i="8"/>
  <c r="T181" i="8"/>
  <c r="W186" i="7"/>
  <c r="W185" i="7"/>
  <c r="Z74" i="22"/>
  <c r="Y194" i="22"/>
  <c r="B215" i="6"/>
  <c r="L187" i="9"/>
  <c r="AJ8" i="26"/>
  <c r="N17" i="6"/>
  <c r="M16" i="1"/>
  <c r="O16" i="1"/>
  <c r="N16" i="1"/>
  <c r="AD180" i="7"/>
  <c r="AD181" i="7"/>
  <c r="Y74" i="7"/>
  <c r="X194" i="7"/>
  <c r="X66" i="8"/>
  <c r="W174" i="8"/>
  <c r="AE48" i="11"/>
  <c r="AD129" i="11"/>
  <c r="X80" i="11"/>
  <c r="W209" i="11"/>
  <c r="AI52" i="11"/>
  <c r="AH139" i="11"/>
  <c r="Z211" i="7"/>
  <c r="Z210" i="7"/>
  <c r="Z74" i="8"/>
  <c r="Y194" i="8"/>
  <c r="BL62" i="11"/>
  <c r="BK164" i="11"/>
  <c r="Y194" i="10"/>
  <c r="Z74" i="10"/>
  <c r="BV170" i="8"/>
  <c r="BV171" i="8"/>
  <c r="AN30" i="22"/>
  <c r="AM84" i="22"/>
  <c r="BW170" i="8"/>
  <c r="BW171" i="8"/>
  <c r="AD209" i="9"/>
  <c r="AE80" i="9"/>
  <c r="U179" i="8"/>
  <c r="V68" i="8"/>
  <c r="Y70" i="7"/>
  <c r="X184" i="7"/>
  <c r="X195" i="22"/>
  <c r="X196" i="22"/>
  <c r="B221" i="8"/>
  <c r="O162" i="8"/>
  <c r="P182" i="8"/>
  <c r="M182" i="8"/>
  <c r="K162" i="8"/>
  <c r="H177" i="10"/>
  <c r="M18" i="6"/>
  <c r="O18" i="6"/>
  <c r="C199" i="9"/>
  <c r="D76" i="9"/>
  <c r="AJ6" i="26"/>
  <c r="K6" i="26"/>
  <c r="Z6" i="26"/>
  <c r="AE6" i="26"/>
  <c r="U6" i="26"/>
  <c r="F6" i="26"/>
  <c r="P6" i="26"/>
  <c r="N190" i="10"/>
  <c r="N191" i="10"/>
  <c r="AF68" i="7"/>
  <c r="AE179" i="7"/>
  <c r="U175" i="11"/>
  <c r="U176" i="11"/>
  <c r="S190" i="11"/>
  <c r="S191" i="11"/>
  <c r="AN170" i="7"/>
  <c r="AN171" i="7"/>
  <c r="H165" i="7"/>
  <c r="H166" i="7"/>
  <c r="BP64" i="11"/>
  <c r="BO169" i="11"/>
  <c r="S159" i="8"/>
  <c r="T60" i="8"/>
  <c r="BK179" i="11"/>
  <c r="BL68" i="11"/>
  <c r="Y210" i="22"/>
  <c r="Y211" i="22"/>
  <c r="I72" i="8"/>
  <c r="H189" i="8"/>
  <c r="Z179" i="9"/>
  <c r="AA68" i="9"/>
  <c r="BY64" i="8"/>
  <c r="BX169" i="8"/>
  <c r="AC211" i="9"/>
  <c r="AC210" i="9"/>
  <c r="AC56" i="10"/>
  <c r="AB149" i="10"/>
  <c r="BZ72" i="7"/>
  <c r="BY189" i="7"/>
  <c r="U199" i="8"/>
  <c r="V76" i="8"/>
  <c r="AA204" i="10"/>
  <c r="AB78" i="10"/>
  <c r="F27" i="30"/>
  <c r="F28" i="30"/>
  <c r="J152" i="10"/>
  <c r="B219" i="8"/>
  <c r="B230" i="9"/>
  <c r="D202" i="8"/>
  <c r="G207" i="9"/>
  <c r="E162" i="8"/>
  <c r="M12" i="9"/>
  <c r="O12" i="9"/>
  <c r="I187" i="9"/>
  <c r="F202" i="8"/>
  <c r="L182" i="9"/>
  <c r="Z187" i="9"/>
  <c r="BI182" i="11"/>
  <c r="G47" i="34"/>
  <c r="F48" i="34"/>
  <c r="F35" i="34"/>
  <c r="G35" i="34"/>
  <c r="H35" i="34"/>
  <c r="G34" i="34"/>
  <c r="D44" i="8"/>
  <c r="C119" i="8"/>
  <c r="B136" i="8"/>
  <c r="B137" i="8"/>
  <c r="B225" i="8"/>
  <c r="E104" i="8"/>
  <c r="D104" i="8"/>
  <c r="D105" i="8"/>
  <c r="D42" i="8"/>
  <c r="C114" i="8"/>
  <c r="B227" i="8"/>
  <c r="I34" i="8"/>
  <c r="H94" i="8"/>
  <c r="H95" i="8"/>
  <c r="H96" i="8"/>
  <c r="H97" i="8"/>
  <c r="B105" i="7"/>
  <c r="B106" i="7"/>
  <c r="B107" i="7"/>
  <c r="B219" i="7"/>
  <c r="B219" i="6"/>
  <c r="B221" i="6"/>
  <c r="B245" i="1"/>
  <c r="K164" i="7"/>
  <c r="L62" i="7"/>
  <c r="D32" i="11"/>
  <c r="C89" i="11"/>
  <c r="C90" i="11"/>
  <c r="C91" i="11"/>
  <c r="C92" i="11"/>
  <c r="J166" i="7"/>
  <c r="J165" i="7"/>
  <c r="N2" i="6"/>
  <c r="M2" i="6"/>
  <c r="O2" i="6"/>
  <c r="D52" i="9"/>
  <c r="C139" i="9"/>
  <c r="E30" i="9"/>
  <c r="D84" i="9"/>
  <c r="D85" i="9"/>
  <c r="D86" i="9"/>
  <c r="D87" i="9"/>
  <c r="E86" i="1"/>
  <c r="E87" i="1"/>
  <c r="E88" i="1"/>
  <c r="E89" i="1"/>
  <c r="F30" i="1"/>
  <c r="B232" i="1"/>
  <c r="M19" i="1"/>
  <c r="O19" i="1"/>
  <c r="N20" i="1"/>
  <c r="M3" i="1"/>
  <c r="O3" i="1"/>
  <c r="N3" i="1"/>
  <c r="E44" i="1"/>
  <c r="E121" i="1"/>
  <c r="D121" i="1"/>
  <c r="D122" i="1"/>
  <c r="D123" i="1"/>
  <c r="D124" i="1"/>
  <c r="N11" i="1"/>
  <c r="M11" i="1"/>
  <c r="O11" i="1"/>
  <c r="M27" i="1"/>
  <c r="O27" i="1"/>
  <c r="N27" i="1"/>
  <c r="D48" i="1"/>
  <c r="C131" i="1"/>
  <c r="C132" i="1"/>
  <c r="C133" i="1"/>
  <c r="C134" i="1"/>
  <c r="D68" i="1"/>
  <c r="C181" i="1"/>
  <c r="F32" i="1"/>
  <c r="E91" i="1"/>
  <c r="C96" i="1"/>
  <c r="C97" i="1"/>
  <c r="C98" i="1"/>
  <c r="C99" i="1"/>
  <c r="D34" i="1"/>
  <c r="C141" i="1"/>
  <c r="C142" i="1"/>
  <c r="C143" i="1"/>
  <c r="C144" i="1"/>
  <c r="D52" i="1"/>
  <c r="C153" i="1"/>
  <c r="C154" i="1"/>
  <c r="N7" i="1"/>
  <c r="M7" i="1"/>
  <c r="O7" i="1"/>
  <c r="N23" i="1"/>
  <c r="M23" i="1"/>
  <c r="O23" i="1"/>
  <c r="N8" i="1"/>
  <c r="N12" i="1"/>
  <c r="D64" i="1"/>
  <c r="C171" i="1"/>
  <c r="C172" i="1"/>
  <c r="C173" i="1"/>
  <c r="C174" i="1"/>
  <c r="M24" i="1"/>
  <c r="O24" i="1"/>
  <c r="N24" i="1"/>
  <c r="B247" i="1"/>
  <c r="C156" i="1"/>
  <c r="C157" i="1"/>
  <c r="C158" i="1"/>
  <c r="C159" i="1"/>
  <c r="D58" i="1"/>
  <c r="B222" i="1"/>
  <c r="D50" i="1"/>
  <c r="C136" i="1"/>
  <c r="C137" i="1"/>
  <c r="C138" i="1"/>
  <c r="C139" i="1"/>
  <c r="K8" i="26"/>
  <c r="I28" i="30"/>
  <c r="A9" i="26"/>
  <c r="AO9" i="26"/>
  <c r="P8" i="26"/>
  <c r="F8" i="26"/>
  <c r="U8" i="26"/>
  <c r="AE8" i="26"/>
  <c r="E187" i="7"/>
  <c r="E192" i="8"/>
  <c r="N187" i="9"/>
  <c r="BN212" i="8"/>
  <c r="N9" i="11"/>
  <c r="F42" i="35"/>
  <c r="E44" i="22"/>
  <c r="D119" i="22"/>
  <c r="B92" i="8"/>
  <c r="B216" i="8"/>
  <c r="D34" i="6"/>
  <c r="C108" i="6"/>
  <c r="C109" i="6"/>
  <c r="C110" i="6"/>
  <c r="C111" i="6"/>
  <c r="D28" i="6"/>
  <c r="C93" i="6"/>
  <c r="C94" i="6"/>
  <c r="C95" i="6"/>
  <c r="C96" i="6"/>
  <c r="D32" i="6"/>
  <c r="C103" i="6"/>
  <c r="C104" i="6"/>
  <c r="C105" i="6"/>
  <c r="C106" i="6"/>
  <c r="B124" i="6"/>
  <c r="B125" i="6"/>
  <c r="B126" i="6"/>
  <c r="B223" i="6"/>
  <c r="D40" i="6"/>
  <c r="C123" i="6"/>
  <c r="C124" i="6"/>
  <c r="C125" i="6"/>
  <c r="C126" i="6"/>
  <c r="E30" i="6"/>
  <c r="D98" i="6"/>
  <c r="D99" i="6"/>
  <c r="D100" i="6"/>
  <c r="D101" i="6"/>
  <c r="D26" i="6"/>
  <c r="C88" i="6"/>
  <c r="D22" i="6"/>
  <c r="C78" i="6"/>
  <c r="C79" i="6"/>
  <c r="C80" i="6"/>
  <c r="C81" i="6"/>
  <c r="D24" i="6"/>
  <c r="C83" i="6"/>
  <c r="C84" i="6"/>
  <c r="C85" i="6"/>
  <c r="C86" i="6"/>
  <c r="C113" i="6"/>
  <c r="C114" i="6"/>
  <c r="C115" i="6"/>
  <c r="C116" i="6"/>
  <c r="D36" i="6"/>
  <c r="D44" i="6"/>
  <c r="C133" i="6"/>
  <c r="C134" i="6"/>
  <c r="C135" i="6"/>
  <c r="C136" i="6"/>
  <c r="D128" i="6"/>
  <c r="E42" i="6"/>
  <c r="G80" i="1"/>
  <c r="F211" i="1"/>
  <c r="F212" i="1"/>
  <c r="F213" i="1"/>
  <c r="F214" i="1"/>
  <c r="F82" i="1"/>
  <c r="E216" i="1"/>
  <c r="C116" i="1"/>
  <c r="C117" i="1"/>
  <c r="C118" i="1"/>
  <c r="C119" i="1"/>
  <c r="D42" i="1"/>
  <c r="F154" i="1"/>
  <c r="D99" i="8"/>
  <c r="D100" i="8"/>
  <c r="D101" i="8"/>
  <c r="D102" i="8"/>
  <c r="H38" i="8"/>
  <c r="G104" i="8"/>
  <c r="D119" i="11"/>
  <c r="E44" i="11"/>
  <c r="C120" i="11"/>
  <c r="C121" i="11"/>
  <c r="C122" i="11"/>
  <c r="B224" i="9"/>
  <c r="D34" i="22"/>
  <c r="C94" i="22"/>
  <c r="D48" i="22"/>
  <c r="C129" i="22"/>
  <c r="E38" i="22"/>
  <c r="D104" i="22"/>
  <c r="N5" i="7"/>
  <c r="E38" i="7"/>
  <c r="D104" i="7"/>
  <c r="D105" i="7"/>
  <c r="D106" i="7"/>
  <c r="D107" i="7"/>
  <c r="C94" i="7"/>
  <c r="C95" i="7"/>
  <c r="C96" i="7"/>
  <c r="C97" i="7"/>
  <c r="D34" i="7"/>
  <c r="B221" i="7"/>
  <c r="M2" i="7"/>
  <c r="O2" i="7"/>
  <c r="N2" i="7"/>
  <c r="E30" i="7"/>
  <c r="D84" i="7"/>
  <c r="D85" i="7"/>
  <c r="D86" i="7"/>
  <c r="D87" i="7"/>
  <c r="E36" i="7"/>
  <c r="D99" i="7"/>
  <c r="C114" i="7"/>
  <c r="C115" i="7"/>
  <c r="C116" i="7"/>
  <c r="C117" i="7"/>
  <c r="D42" i="7"/>
  <c r="G40" i="7"/>
  <c r="F109" i="7"/>
  <c r="B125" i="7"/>
  <c r="B126" i="7"/>
  <c r="B127" i="7"/>
  <c r="B223" i="7"/>
  <c r="G38" i="6"/>
  <c r="F118" i="6"/>
  <c r="F119" i="6"/>
  <c r="F120" i="6"/>
  <c r="F121" i="6"/>
  <c r="B220" i="9"/>
  <c r="D34" i="9"/>
  <c r="C94" i="9"/>
  <c r="D46" i="9"/>
  <c r="C124" i="9"/>
  <c r="B43" i="9"/>
  <c r="C42" i="9"/>
  <c r="B114" i="9"/>
  <c r="B115" i="9"/>
  <c r="B116" i="9"/>
  <c r="B117" i="9"/>
  <c r="H54" i="9"/>
  <c r="G144" i="9"/>
  <c r="G145" i="9"/>
  <c r="G146" i="9"/>
  <c r="G147" i="9"/>
  <c r="M8" i="9"/>
  <c r="O8" i="9"/>
  <c r="G38" i="9"/>
  <c r="F104" i="9"/>
  <c r="F105" i="9"/>
  <c r="F106" i="9"/>
  <c r="F107" i="9"/>
  <c r="E50" i="9"/>
  <c r="D134" i="9"/>
  <c r="D135" i="9"/>
  <c r="D136" i="9"/>
  <c r="D137" i="9"/>
  <c r="C129" i="9"/>
  <c r="D48" i="9"/>
  <c r="F32" i="9"/>
  <c r="E89" i="9"/>
  <c r="E90" i="9"/>
  <c r="E91" i="9"/>
  <c r="E92" i="9"/>
  <c r="B150" i="9"/>
  <c r="B151" i="9"/>
  <c r="B152" i="9"/>
  <c r="B228" i="9"/>
  <c r="D44" i="9"/>
  <c r="C119" i="9"/>
  <c r="C149" i="9"/>
  <c r="C150" i="9"/>
  <c r="C151" i="9"/>
  <c r="C152" i="9"/>
  <c r="D56" i="9"/>
  <c r="E176" i="1"/>
  <c r="E177" i="1"/>
  <c r="E178" i="1"/>
  <c r="E179" i="1"/>
  <c r="F66" i="1"/>
  <c r="D70" i="1"/>
  <c r="C186" i="1"/>
  <c r="C187" i="1"/>
  <c r="C188" i="1"/>
  <c r="C189" i="1"/>
  <c r="D78" i="1"/>
  <c r="C206" i="1"/>
  <c r="C207" i="1"/>
  <c r="C208" i="1"/>
  <c r="C209" i="1"/>
  <c r="C162" i="1"/>
  <c r="C163" i="1"/>
  <c r="J56" i="1"/>
  <c r="E60" i="1"/>
  <c r="D161" i="1"/>
  <c r="D162" i="1"/>
  <c r="D163" i="1"/>
  <c r="D164" i="1"/>
  <c r="E72" i="1"/>
  <c r="D191" i="1"/>
  <c r="D192" i="1"/>
  <c r="D193" i="1"/>
  <c r="D194" i="1"/>
  <c r="D202" i="1"/>
  <c r="D203" i="1"/>
  <c r="D74" i="1"/>
  <c r="C196" i="1"/>
  <c r="B246" i="1"/>
  <c r="F76" i="1"/>
  <c r="E201" i="1"/>
  <c r="N8" i="11"/>
  <c r="K167" i="10"/>
  <c r="AB197" i="9"/>
  <c r="J42" i="11"/>
  <c r="I114" i="11"/>
  <c r="H115" i="11"/>
  <c r="H116" i="11"/>
  <c r="D4" i="20"/>
  <c r="N5" i="2"/>
  <c r="M10" i="8"/>
  <c r="O10" i="8"/>
  <c r="H32" i="37"/>
  <c r="J32" i="37"/>
  <c r="AD15" i="39"/>
  <c r="F42" i="37"/>
  <c r="G41" i="37"/>
  <c r="H41" i="37"/>
  <c r="J41" i="37"/>
  <c r="AD24" i="39"/>
  <c r="F38" i="37"/>
  <c r="G37" i="37"/>
  <c r="G34" i="37"/>
  <c r="F35" i="37"/>
  <c r="G35" i="37"/>
  <c r="H35" i="37"/>
  <c r="J35" i="37"/>
  <c r="AD18" i="39"/>
  <c r="G47" i="36"/>
  <c r="F48" i="36"/>
  <c r="AC24" i="39"/>
  <c r="G37" i="36"/>
  <c r="F38" i="36"/>
  <c r="AC29" i="39"/>
  <c r="F43" i="36"/>
  <c r="G42" i="36"/>
  <c r="AC19" i="39"/>
  <c r="AC14" i="39"/>
  <c r="AC6" i="39"/>
  <c r="W22" i="36"/>
  <c r="V22" i="36"/>
  <c r="U23" i="36"/>
  <c r="W23" i="36"/>
  <c r="K22" i="36"/>
  <c r="AB23" i="39"/>
  <c r="K22" i="35"/>
  <c r="W22" i="35"/>
  <c r="V22" i="35"/>
  <c r="G42" i="34"/>
  <c r="F43" i="34"/>
  <c r="AA14" i="39"/>
  <c r="G37" i="34"/>
  <c r="F38" i="34"/>
  <c r="U22" i="34"/>
  <c r="AA5" i="39"/>
  <c r="H36" i="34"/>
  <c r="J36" i="34"/>
  <c r="AA24" i="39"/>
  <c r="Z19" i="39"/>
  <c r="Z29" i="39"/>
  <c r="G37" i="33"/>
  <c r="F38" i="33"/>
  <c r="F48" i="33"/>
  <c r="G47" i="33"/>
  <c r="Z24" i="39"/>
  <c r="F43" i="33"/>
  <c r="G42" i="33"/>
  <c r="K22" i="33"/>
  <c r="W22" i="33"/>
  <c r="V22" i="33"/>
  <c r="G42" i="32"/>
  <c r="F43" i="32"/>
  <c r="Y24" i="39"/>
  <c r="W22" i="32"/>
  <c r="V22" i="32"/>
  <c r="K22" i="32"/>
  <c r="F48" i="32"/>
  <c r="G47" i="32"/>
  <c r="Y29" i="39"/>
  <c r="K22" i="31"/>
  <c r="W22" i="31"/>
  <c r="V22" i="31"/>
  <c r="K23" i="30"/>
  <c r="W23" i="30"/>
  <c r="V23" i="30"/>
  <c r="D100" i="11"/>
  <c r="D101" i="11"/>
  <c r="D102" i="11"/>
  <c r="E38" i="11"/>
  <c r="D104" i="11"/>
  <c r="H30" i="11"/>
  <c r="G84" i="11"/>
  <c r="F36" i="11"/>
  <c r="E99" i="11"/>
  <c r="C135" i="10"/>
  <c r="C136" i="10"/>
  <c r="C137" i="10"/>
  <c r="E36" i="10"/>
  <c r="D99" i="10"/>
  <c r="C154" i="22"/>
  <c r="D58" i="22"/>
  <c r="E54" i="22"/>
  <c r="D144" i="22"/>
  <c r="D109" i="22"/>
  <c r="E40" i="22"/>
  <c r="C145" i="22"/>
  <c r="C146" i="22"/>
  <c r="C147" i="22"/>
  <c r="C110" i="22"/>
  <c r="C111" i="22"/>
  <c r="C112" i="22"/>
  <c r="D99" i="22"/>
  <c r="E36" i="22"/>
  <c r="C100" i="22"/>
  <c r="C101" i="22"/>
  <c r="C102" i="22"/>
  <c r="E150" i="8"/>
  <c r="E151" i="8"/>
  <c r="E152" i="8"/>
  <c r="G56" i="8"/>
  <c r="F149" i="8"/>
  <c r="C145" i="8"/>
  <c r="C146" i="8"/>
  <c r="C147" i="8"/>
  <c r="E54" i="8"/>
  <c r="D32" i="8"/>
  <c r="C89" i="8"/>
  <c r="D40" i="8"/>
  <c r="C109" i="8"/>
  <c r="C129" i="8"/>
  <c r="D48" i="8"/>
  <c r="B140" i="8"/>
  <c r="B141" i="8"/>
  <c r="B142" i="8"/>
  <c r="B226" i="8"/>
  <c r="M11" i="8"/>
  <c r="O11" i="8"/>
  <c r="B220" i="8"/>
  <c r="D52" i="8"/>
  <c r="C139" i="8"/>
  <c r="M2" i="8"/>
  <c r="O2" i="8"/>
  <c r="N2" i="8"/>
  <c r="M6" i="8"/>
  <c r="O6" i="8"/>
  <c r="M7" i="8"/>
  <c r="O7" i="8"/>
  <c r="C30" i="8"/>
  <c r="B31" i="8"/>
  <c r="B84" i="8"/>
  <c r="D54" i="7"/>
  <c r="C144" i="7"/>
  <c r="B145" i="7"/>
  <c r="B146" i="7"/>
  <c r="B147" i="7"/>
  <c r="B227" i="7"/>
  <c r="D52" i="7"/>
  <c r="C139" i="7"/>
  <c r="B140" i="7"/>
  <c r="B141" i="7"/>
  <c r="B142" i="7"/>
  <c r="B226" i="7"/>
  <c r="B135" i="7"/>
  <c r="B136" i="7"/>
  <c r="B137" i="7"/>
  <c r="B225" i="7"/>
  <c r="C134" i="7"/>
  <c r="D50" i="7"/>
  <c r="G44" i="7"/>
  <c r="F119" i="7"/>
  <c r="F46" i="7"/>
  <c r="E124" i="7"/>
  <c r="I90" i="7"/>
  <c r="I91" i="7"/>
  <c r="I92" i="7"/>
  <c r="K32" i="7"/>
  <c r="J89" i="7"/>
  <c r="E120" i="7"/>
  <c r="E121" i="7"/>
  <c r="E122" i="7"/>
  <c r="D125" i="7"/>
  <c r="D126" i="7"/>
  <c r="D127" i="7"/>
  <c r="C163" i="6"/>
  <c r="D56" i="6"/>
  <c r="B164" i="6"/>
  <c r="B165" i="6"/>
  <c r="B159" i="6"/>
  <c r="B160" i="6"/>
  <c r="B161" i="6"/>
  <c r="B230" i="6"/>
  <c r="C158" i="6"/>
  <c r="D54" i="6"/>
  <c r="B154" i="6"/>
  <c r="B155" i="6"/>
  <c r="B156" i="6"/>
  <c r="B229" i="6"/>
  <c r="D52" i="6"/>
  <c r="C153" i="6"/>
  <c r="B149" i="6"/>
  <c r="B150" i="6"/>
  <c r="B151" i="6"/>
  <c r="B228" i="6"/>
  <c r="D50" i="6"/>
  <c r="C148" i="6"/>
  <c r="B144" i="6"/>
  <c r="B145" i="6"/>
  <c r="B146" i="6"/>
  <c r="B227" i="6"/>
  <c r="C143" i="6"/>
  <c r="D48" i="6"/>
  <c r="E60" i="9"/>
  <c r="D159" i="9"/>
  <c r="B155" i="9"/>
  <c r="B156" i="9"/>
  <c r="B157" i="9"/>
  <c r="B229" i="9"/>
  <c r="D58" i="9"/>
  <c r="C154" i="9"/>
  <c r="D99" i="9"/>
  <c r="E36" i="9"/>
  <c r="D109" i="9"/>
  <c r="E40" i="9"/>
  <c r="C110" i="9"/>
  <c r="C111" i="9"/>
  <c r="C112" i="9"/>
  <c r="C100" i="9"/>
  <c r="C101" i="9"/>
  <c r="C102" i="9"/>
  <c r="C166" i="1"/>
  <c r="D62" i="1"/>
  <c r="B167" i="1"/>
  <c r="B168" i="1"/>
  <c r="B169" i="1"/>
  <c r="B238" i="1"/>
  <c r="B127" i="1"/>
  <c r="B128" i="1"/>
  <c r="B129" i="1"/>
  <c r="B230" i="1"/>
  <c r="B147" i="1"/>
  <c r="B148" i="1"/>
  <c r="C126" i="1"/>
  <c r="D46" i="1"/>
  <c r="C146" i="1"/>
  <c r="D54" i="1"/>
  <c r="F40" i="1"/>
  <c r="E111" i="1"/>
  <c r="E101" i="1"/>
  <c r="F36" i="1"/>
  <c r="B107" i="1"/>
  <c r="B108" i="1"/>
  <c r="B109" i="1"/>
  <c r="B226" i="1"/>
  <c r="D102" i="1"/>
  <c r="D103" i="1"/>
  <c r="D104" i="1"/>
  <c r="D38" i="1"/>
  <c r="C106" i="1"/>
  <c r="D112" i="1"/>
  <c r="D113" i="1"/>
  <c r="D114" i="1"/>
  <c r="K22" i="37"/>
  <c r="W22" i="37"/>
  <c r="V22" i="37"/>
  <c r="U23" i="37"/>
  <c r="W23" i="37"/>
  <c r="V23" i="37"/>
  <c r="U24" i="37"/>
  <c r="W24" i="37"/>
  <c r="V24" i="37"/>
  <c r="BB147" i="11"/>
  <c r="BN147" i="11"/>
  <c r="AM172" i="7"/>
  <c r="C111" i="7"/>
  <c r="C112" i="7"/>
  <c r="E48" i="7"/>
  <c r="D129" i="7"/>
  <c r="P146" i="11"/>
  <c r="P147" i="11"/>
  <c r="L171" i="7"/>
  <c r="L172" i="7"/>
  <c r="BF146" i="11"/>
  <c r="BF147" i="11"/>
  <c r="H147" i="11"/>
  <c r="AX147" i="11"/>
  <c r="BG147" i="11"/>
  <c r="L147" i="11"/>
  <c r="C147" i="11"/>
  <c r="C152" i="11"/>
  <c r="AF147" i="11"/>
  <c r="BH147" i="11"/>
  <c r="BC147" i="11"/>
  <c r="AR147" i="11"/>
  <c r="J207" i="22"/>
  <c r="K207" i="22"/>
  <c r="AC172" i="7"/>
  <c r="O172" i="7"/>
  <c r="O212" i="7"/>
  <c r="G172" i="7"/>
  <c r="H212" i="7"/>
  <c r="W146" i="11"/>
  <c r="W147" i="11"/>
  <c r="E50" i="10"/>
  <c r="E134" i="10"/>
  <c r="C123" i="1"/>
  <c r="C124" i="1"/>
  <c r="Y210" i="7"/>
  <c r="Y211" i="7"/>
  <c r="AJ195" i="9"/>
  <c r="AJ196" i="9"/>
  <c r="AL74" i="9"/>
  <c r="AK194" i="9"/>
  <c r="CA58" i="11"/>
  <c r="BZ154" i="11"/>
  <c r="D91" i="9"/>
  <c r="D92" i="9"/>
  <c r="C106" i="22"/>
  <c r="C107" i="22"/>
  <c r="O28" i="22"/>
  <c r="P2" i="22"/>
  <c r="F44" i="1"/>
  <c r="I4" i="20"/>
  <c r="CF4" i="2"/>
  <c r="O28" i="10"/>
  <c r="P9" i="10"/>
  <c r="I5" i="20"/>
  <c r="CF5" i="2"/>
  <c r="H34" i="33"/>
  <c r="J34" i="33"/>
  <c r="Z17" i="39"/>
  <c r="G40" i="41"/>
  <c r="F41" i="41"/>
  <c r="L77" i="41"/>
  <c r="M76" i="41"/>
  <c r="CA152" i="7"/>
  <c r="CA228" i="7"/>
  <c r="J197" i="22"/>
  <c r="L162" i="22"/>
  <c r="O162" i="11"/>
  <c r="H147" i="10"/>
  <c r="AS201" i="6"/>
  <c r="AS238" i="6"/>
  <c r="S206" i="6"/>
  <c r="S239" i="6"/>
  <c r="BP187" i="11"/>
  <c r="BP235" i="11"/>
  <c r="G212" i="10"/>
  <c r="BJ172" i="11"/>
  <c r="AS147" i="11"/>
  <c r="AI172" i="7"/>
  <c r="BL147" i="11"/>
  <c r="AM182" i="11"/>
  <c r="BM172" i="11"/>
  <c r="AH162" i="11"/>
  <c r="L187" i="11"/>
  <c r="L235" i="11"/>
  <c r="G207" i="7"/>
  <c r="AZ152" i="7"/>
  <c r="AZ228" i="7"/>
  <c r="AZ192" i="7"/>
  <c r="D167" i="7"/>
  <c r="G157" i="11"/>
  <c r="Z187" i="11"/>
  <c r="Z235" i="11"/>
  <c r="AF167" i="11"/>
  <c r="Q172" i="11"/>
  <c r="L177" i="11"/>
  <c r="AF182" i="11"/>
  <c r="AV182" i="11"/>
  <c r="P172" i="11"/>
  <c r="H157" i="11"/>
  <c r="F197" i="11"/>
  <c r="AJ182" i="11"/>
  <c r="AD157" i="11"/>
  <c r="D207" i="11"/>
  <c r="AO182" i="11"/>
  <c r="B182" i="11"/>
  <c r="B234" i="11"/>
  <c r="BJ147" i="11"/>
  <c r="J147" i="11"/>
  <c r="AN147" i="11"/>
  <c r="B172" i="11"/>
  <c r="B232" i="11"/>
  <c r="AH167" i="11"/>
  <c r="BE167" i="11"/>
  <c r="AQ162" i="11"/>
  <c r="C192" i="11"/>
  <c r="M192" i="11"/>
  <c r="AS157" i="11"/>
  <c r="M192" i="7"/>
  <c r="AF172" i="7"/>
  <c r="E207" i="7"/>
  <c r="N157" i="11"/>
  <c r="J172" i="11"/>
  <c r="AB167" i="11"/>
  <c r="AU181" i="6"/>
  <c r="AU234" i="6"/>
  <c r="H196" i="6"/>
  <c r="H237" i="6"/>
  <c r="AR201" i="6"/>
  <c r="AR238" i="6"/>
  <c r="Y196" i="6"/>
  <c r="Y237" i="6"/>
  <c r="I171" i="6"/>
  <c r="I232" i="6"/>
  <c r="AI211" i="6"/>
  <c r="AI240" i="6"/>
  <c r="BG181" i="6"/>
  <c r="BG234" i="6"/>
  <c r="AW191" i="6"/>
  <c r="AW236" i="6"/>
  <c r="BZ186" i="6"/>
  <c r="BZ235" i="6"/>
  <c r="D152" i="10"/>
  <c r="BQ181" i="6"/>
  <c r="BQ234" i="6"/>
  <c r="C206" i="6"/>
  <c r="C239" i="6"/>
  <c r="AY211" i="6"/>
  <c r="AY240" i="6"/>
  <c r="J192" i="22"/>
  <c r="G167" i="22"/>
  <c r="E212" i="10"/>
  <c r="BE147" i="11"/>
  <c r="AQ172" i="11"/>
  <c r="BZ211" i="6"/>
  <c r="BZ240" i="6"/>
  <c r="I212" i="10"/>
  <c r="N172" i="22"/>
  <c r="T152" i="7"/>
  <c r="T228" i="7"/>
  <c r="K132" i="11"/>
  <c r="D147" i="11"/>
  <c r="BK162" i="11"/>
  <c r="R187" i="11"/>
  <c r="R235" i="11"/>
  <c r="S172" i="11"/>
  <c r="BK152" i="7"/>
  <c r="BK228" i="7"/>
  <c r="S182" i="11"/>
  <c r="AN171" i="6"/>
  <c r="AN232" i="6"/>
  <c r="AW181" i="6"/>
  <c r="AW234" i="6"/>
  <c r="AE196" i="6"/>
  <c r="AE237" i="6"/>
  <c r="BW196" i="6"/>
  <c r="BW237" i="6"/>
  <c r="AS191" i="6"/>
  <c r="AS236" i="6"/>
  <c r="I191" i="6"/>
  <c r="I236" i="6"/>
  <c r="S142" i="11"/>
  <c r="AN157" i="11"/>
  <c r="BA172" i="11"/>
  <c r="AV186" i="6"/>
  <c r="AV235" i="6"/>
  <c r="B191" i="6"/>
  <c r="B236" i="6"/>
  <c r="B152" i="7"/>
  <c r="B228" i="7"/>
  <c r="R177" i="11"/>
  <c r="C176" i="6"/>
  <c r="C233" i="6"/>
  <c r="K191" i="6"/>
  <c r="K236" i="6"/>
  <c r="BI181" i="6"/>
  <c r="BI234" i="6"/>
  <c r="B192" i="22"/>
  <c r="B236" i="22"/>
  <c r="B212" i="22"/>
  <c r="B240" i="22"/>
  <c r="AC142" i="11"/>
  <c r="Q132" i="11"/>
  <c r="AG172" i="11"/>
  <c r="AF201" i="6"/>
  <c r="AF238" i="6"/>
  <c r="BD162" i="11"/>
  <c r="AK147" i="11"/>
  <c r="BD167" i="11"/>
  <c r="BF187" i="11"/>
  <c r="BF235" i="11"/>
  <c r="BF182" i="11"/>
  <c r="X162" i="11"/>
  <c r="AZ162" i="11"/>
  <c r="AI162" i="11"/>
  <c r="Y192" i="7"/>
  <c r="I192" i="7"/>
  <c r="AS192" i="7"/>
  <c r="D212" i="7"/>
  <c r="AD152" i="7"/>
  <c r="AD228" i="7"/>
  <c r="P132" i="11"/>
  <c r="E207" i="11"/>
  <c r="AK157" i="11"/>
  <c r="C162" i="11"/>
  <c r="B147" i="11"/>
  <c r="B227" i="11"/>
  <c r="K142" i="11"/>
  <c r="AL162" i="11"/>
  <c r="AM172" i="11"/>
  <c r="AT172" i="11"/>
  <c r="AB172" i="11"/>
  <c r="F207" i="7"/>
  <c r="D167" i="11"/>
  <c r="L142" i="11"/>
  <c r="V176" i="6"/>
  <c r="V233" i="6"/>
  <c r="CB196" i="6"/>
  <c r="CB237" i="6"/>
  <c r="Z191" i="6"/>
  <c r="Z236" i="6"/>
  <c r="BG211" i="6"/>
  <c r="BG240" i="6"/>
  <c r="G181" i="6"/>
  <c r="G234" i="6"/>
  <c r="BE186" i="6"/>
  <c r="BE235" i="6"/>
  <c r="BA206" i="6"/>
  <c r="BA239" i="6"/>
  <c r="AE87" i="22"/>
  <c r="C171" i="6"/>
  <c r="C232" i="6"/>
  <c r="M191" i="6"/>
  <c r="M236" i="6"/>
  <c r="BI157" i="11"/>
  <c r="BI167" i="11"/>
  <c r="M172" i="7"/>
  <c r="J187" i="11"/>
  <c r="J235" i="11"/>
  <c r="BB167" i="11"/>
  <c r="M182" i="11"/>
  <c r="E191" i="6"/>
  <c r="E236" i="6"/>
  <c r="BE206" i="6"/>
  <c r="BE239" i="6"/>
  <c r="S162" i="22"/>
  <c r="P172" i="22"/>
  <c r="AF186" i="6"/>
  <c r="AF235" i="6"/>
  <c r="T211" i="6"/>
  <c r="T240" i="6"/>
  <c r="BL201" i="6"/>
  <c r="BL238" i="6"/>
  <c r="BU191" i="6"/>
  <c r="BU236" i="6"/>
  <c r="BD176" i="6"/>
  <c r="BD233" i="6"/>
  <c r="BL186" i="6"/>
  <c r="BL235" i="6"/>
  <c r="BM206" i="6"/>
  <c r="BM239" i="6"/>
  <c r="V177" i="22"/>
  <c r="D182" i="22"/>
  <c r="X172" i="10"/>
  <c r="L147" i="10"/>
  <c r="BY181" i="6"/>
  <c r="BY234" i="6"/>
  <c r="BL187" i="11"/>
  <c r="BL235" i="11"/>
  <c r="E192" i="7"/>
  <c r="AZ172" i="11"/>
  <c r="F167" i="11"/>
  <c r="BA187" i="11"/>
  <c r="BA235" i="11"/>
  <c r="AG172" i="7"/>
  <c r="B186" i="6"/>
  <c r="B235" i="6"/>
  <c r="AG147" i="11"/>
  <c r="Q187" i="11"/>
  <c r="Q235" i="11"/>
  <c r="O181" i="6"/>
  <c r="O234" i="6"/>
  <c r="BN181" i="6"/>
  <c r="BN234" i="6"/>
  <c r="AA176" i="6"/>
  <c r="AA233" i="6"/>
  <c r="L191" i="6"/>
  <c r="L236" i="6"/>
  <c r="AM192" i="7"/>
  <c r="AC162" i="11"/>
  <c r="CB201" i="6"/>
  <c r="CB238" i="6"/>
  <c r="AU187" i="11"/>
  <c r="AU235" i="11"/>
  <c r="BC196" i="6"/>
  <c r="BC237" i="6"/>
  <c r="BC211" i="6"/>
  <c r="BC240" i="6"/>
  <c r="AK162" i="11"/>
  <c r="AY187" i="11"/>
  <c r="AY235" i="11"/>
  <c r="BN192" i="7"/>
  <c r="AB152" i="7"/>
  <c r="AB228" i="7"/>
  <c r="AQ147" i="11"/>
  <c r="D197" i="7"/>
  <c r="BZ152" i="7"/>
  <c r="BZ228" i="7"/>
  <c r="BW152" i="7"/>
  <c r="BW228" i="7"/>
  <c r="AI152" i="7"/>
  <c r="AI228" i="7"/>
  <c r="M212" i="11"/>
  <c r="N192" i="11"/>
  <c r="M162" i="11"/>
  <c r="R167" i="11"/>
  <c r="BC167" i="11"/>
  <c r="AQ157" i="11"/>
  <c r="T167" i="11"/>
  <c r="O192" i="11"/>
  <c r="AV172" i="11"/>
  <c r="C187" i="11"/>
  <c r="C235" i="11"/>
  <c r="BE162" i="11"/>
  <c r="AP162" i="11"/>
  <c r="K157" i="11"/>
  <c r="S177" i="11"/>
  <c r="T147" i="11"/>
  <c r="H172" i="11"/>
  <c r="AD162" i="11"/>
  <c r="AL157" i="11"/>
  <c r="AA192" i="7"/>
  <c r="C182" i="7"/>
  <c r="AD167" i="11"/>
  <c r="D192" i="11"/>
  <c r="AQ167" i="11"/>
  <c r="BA191" i="6"/>
  <c r="BA236" i="6"/>
  <c r="BI191" i="6"/>
  <c r="BI236" i="6"/>
  <c r="BS171" i="6"/>
  <c r="BS232" i="6"/>
  <c r="BD196" i="6"/>
  <c r="BD237" i="6"/>
  <c r="Q181" i="6"/>
  <c r="Q234" i="6"/>
  <c r="G197" i="7"/>
  <c r="F207" i="11"/>
  <c r="U147" i="11"/>
  <c r="T157" i="11"/>
  <c r="AE172" i="11"/>
  <c r="C157" i="11"/>
  <c r="AH182" i="11"/>
  <c r="N182" i="11"/>
  <c r="AT162" i="11"/>
  <c r="BV157" i="11"/>
  <c r="R197" i="7"/>
  <c r="K172" i="11"/>
  <c r="E207" i="22"/>
  <c r="AG186" i="6"/>
  <c r="AG235" i="6"/>
  <c r="D191" i="6"/>
  <c r="D236" i="6"/>
  <c r="AR181" i="6"/>
  <c r="AR234" i="6"/>
  <c r="BX171" i="6"/>
  <c r="BX232" i="6"/>
  <c r="BN186" i="6"/>
  <c r="BN235" i="6"/>
  <c r="AG162" i="11"/>
  <c r="X212" i="7"/>
  <c r="E172" i="7"/>
  <c r="B182" i="7"/>
  <c r="B234" i="7"/>
  <c r="T197" i="7"/>
  <c r="G192" i="7"/>
  <c r="AK172" i="11"/>
  <c r="AC147" i="11"/>
  <c r="AM147" i="11"/>
  <c r="O142" i="11"/>
  <c r="K167" i="11"/>
  <c r="W187" i="11"/>
  <c r="W235" i="11"/>
  <c r="AW182" i="11"/>
  <c r="AH152" i="7"/>
  <c r="AH228" i="7"/>
  <c r="I197" i="11"/>
  <c r="W171" i="6"/>
  <c r="W232" i="6"/>
  <c r="BE171" i="6"/>
  <c r="BE232" i="6"/>
  <c r="BR186" i="6"/>
  <c r="BR235" i="6"/>
  <c r="BY191" i="6"/>
  <c r="BY236" i="6"/>
  <c r="BX186" i="6"/>
  <c r="BX235" i="6"/>
  <c r="AU196" i="6"/>
  <c r="AU237" i="6"/>
  <c r="BV191" i="6"/>
  <c r="BV236" i="6"/>
  <c r="C177" i="10"/>
  <c r="AL186" i="6"/>
  <c r="AL235" i="6"/>
  <c r="AI87" i="22"/>
  <c r="W212" i="22"/>
  <c r="Y177" i="22"/>
  <c r="Q172" i="7"/>
  <c r="C167" i="7"/>
  <c r="V187" i="7"/>
  <c r="AO162" i="11"/>
  <c r="N132" i="11"/>
  <c r="L132" i="11"/>
  <c r="G167" i="11"/>
  <c r="BF162" i="11"/>
  <c r="AC172" i="11"/>
  <c r="AP147" i="11"/>
  <c r="AI182" i="11"/>
  <c r="BZ187" i="11"/>
  <c r="BZ235" i="11"/>
  <c r="S182" i="7"/>
  <c r="H162" i="11"/>
  <c r="U142" i="11"/>
  <c r="D176" i="6"/>
  <c r="D233" i="6"/>
  <c r="BD211" i="6"/>
  <c r="BD240" i="6"/>
  <c r="BY201" i="6"/>
  <c r="BY238" i="6"/>
  <c r="D181" i="6"/>
  <c r="D234" i="6"/>
  <c r="AU172" i="11"/>
  <c r="BE157" i="11"/>
  <c r="BS152" i="7"/>
  <c r="BS228" i="7"/>
  <c r="F197" i="7"/>
  <c r="W152" i="7"/>
  <c r="W228" i="7"/>
  <c r="R212" i="7"/>
  <c r="X132" i="11"/>
  <c r="V147" i="11"/>
  <c r="BE187" i="11"/>
  <c r="BE235" i="11"/>
  <c r="Z172" i="11"/>
  <c r="AQ187" i="11"/>
  <c r="AQ235" i="11"/>
  <c r="AR187" i="11"/>
  <c r="AR235" i="11"/>
  <c r="AA147" i="11"/>
  <c r="AW147" i="11"/>
  <c r="AW152" i="7"/>
  <c r="AW228" i="7"/>
  <c r="G142" i="11"/>
  <c r="G132" i="11"/>
  <c r="I181" i="6"/>
  <c r="I234" i="6"/>
  <c r="BH176" i="6"/>
  <c r="BH233" i="6"/>
  <c r="AP201" i="6"/>
  <c r="AP238" i="6"/>
  <c r="P181" i="6"/>
  <c r="P234" i="6"/>
  <c r="BZ206" i="6"/>
  <c r="BZ239" i="6"/>
  <c r="L171" i="6"/>
  <c r="L232" i="6"/>
  <c r="E176" i="6"/>
  <c r="E233" i="6"/>
  <c r="T87" i="22"/>
  <c r="AT211" i="6"/>
  <c r="AT240" i="6"/>
  <c r="Z196" i="6"/>
  <c r="Z237" i="6"/>
  <c r="O206" i="6"/>
  <c r="O239" i="6"/>
  <c r="R147" i="10"/>
  <c r="N197" i="10"/>
  <c r="Q147" i="10"/>
  <c r="B207" i="11"/>
  <c r="B239" i="11"/>
  <c r="BL157" i="11"/>
  <c r="BP147" i="11"/>
  <c r="BM157" i="11"/>
  <c r="C212" i="11"/>
  <c r="AD192" i="7"/>
  <c r="P187" i="7"/>
  <c r="R172" i="7"/>
  <c r="G182" i="11"/>
  <c r="T162" i="11"/>
  <c r="M167" i="11"/>
  <c r="C127" i="11"/>
  <c r="B157" i="11"/>
  <c r="B229" i="11"/>
  <c r="AJ147" i="11"/>
  <c r="M187" i="11"/>
  <c r="M235" i="11"/>
  <c r="BC192" i="7"/>
  <c r="O212" i="11"/>
  <c r="T172" i="7"/>
  <c r="BW171" i="6"/>
  <c r="BW232" i="6"/>
  <c r="O186" i="6"/>
  <c r="O235" i="6"/>
  <c r="BK176" i="6"/>
  <c r="BK233" i="6"/>
  <c r="BB196" i="6"/>
  <c r="BB237" i="6"/>
  <c r="AB181" i="6"/>
  <c r="AB234" i="6"/>
  <c r="AD206" i="6"/>
  <c r="AD239" i="6"/>
  <c r="AE181" i="6"/>
  <c r="AE234" i="6"/>
  <c r="AO171" i="6"/>
  <c r="AO232" i="6"/>
  <c r="I186" i="6"/>
  <c r="I235" i="6"/>
  <c r="AR186" i="6"/>
  <c r="AR235" i="6"/>
  <c r="F162" i="22"/>
  <c r="T197" i="22"/>
  <c r="X87" i="22"/>
  <c r="V157" i="10"/>
  <c r="M167" i="10"/>
  <c r="G206" i="6"/>
  <c r="G239" i="6"/>
  <c r="H181" i="6"/>
  <c r="H234" i="6"/>
  <c r="S186" i="6"/>
  <c r="S235" i="6"/>
  <c r="AK181" i="6"/>
  <c r="AK234" i="6"/>
  <c r="Y212" i="10"/>
  <c r="P162" i="22"/>
  <c r="AY196" i="6"/>
  <c r="AY237" i="6"/>
  <c r="AE206" i="6"/>
  <c r="AE239" i="6"/>
  <c r="K196" i="6"/>
  <c r="K237" i="6"/>
  <c r="AR171" i="6"/>
  <c r="AR232" i="6"/>
  <c r="Y171" i="6"/>
  <c r="Y232" i="6"/>
  <c r="BH181" i="6"/>
  <c r="BH234" i="6"/>
  <c r="AA206" i="6"/>
  <c r="AA239" i="6"/>
  <c r="B187" i="22"/>
  <c r="B235" i="22"/>
  <c r="AS181" i="6"/>
  <c r="AS234" i="6"/>
  <c r="AA186" i="6"/>
  <c r="AA235" i="6"/>
  <c r="E171" i="6"/>
  <c r="E232" i="6"/>
  <c r="BL176" i="6"/>
  <c r="BL233" i="6"/>
  <c r="E182" i="22"/>
  <c r="E177" i="22"/>
  <c r="AN196" i="6"/>
  <c r="AN237" i="6"/>
  <c r="BC181" i="6"/>
  <c r="BC234" i="6"/>
  <c r="AO191" i="6"/>
  <c r="AO236" i="6"/>
  <c r="AE171" i="6"/>
  <c r="AE232" i="6"/>
  <c r="H171" i="6"/>
  <c r="H232" i="6"/>
  <c r="C212" i="22"/>
  <c r="AB206" i="6"/>
  <c r="AB239" i="6"/>
  <c r="AY176" i="6"/>
  <c r="AY233" i="6"/>
  <c r="AO196" i="6"/>
  <c r="AO237" i="6"/>
  <c r="AN201" i="6"/>
  <c r="AN238" i="6"/>
  <c r="C211" i="6"/>
  <c r="C240" i="6"/>
  <c r="CA196" i="6"/>
  <c r="CA237" i="6"/>
  <c r="BO191" i="6"/>
  <c r="BO236" i="6"/>
  <c r="BY196" i="6"/>
  <c r="BY237" i="6"/>
  <c r="AI176" i="6"/>
  <c r="AI233" i="6"/>
  <c r="W191" i="6"/>
  <c r="W236" i="6"/>
  <c r="AI181" i="6"/>
  <c r="AI234" i="6"/>
  <c r="AC211" i="6"/>
  <c r="AC240" i="6"/>
  <c r="BB201" i="6"/>
  <c r="BB238" i="6"/>
  <c r="BK186" i="6"/>
  <c r="BK235" i="6"/>
  <c r="W197" i="22"/>
  <c r="O87" i="22"/>
  <c r="BM196" i="6"/>
  <c r="BM237" i="6"/>
  <c r="BV211" i="6"/>
  <c r="BV240" i="6"/>
  <c r="AE211" i="6"/>
  <c r="AE240" i="6"/>
  <c r="AG181" i="6"/>
  <c r="AG234" i="6"/>
  <c r="AR206" i="6"/>
  <c r="AR239" i="6"/>
  <c r="BG191" i="6"/>
  <c r="BG236" i="6"/>
  <c r="AY171" i="6"/>
  <c r="AY232" i="6"/>
  <c r="AR196" i="6"/>
  <c r="AR237" i="6"/>
  <c r="BY186" i="6"/>
  <c r="BY235" i="6"/>
  <c r="E206" i="6"/>
  <c r="E239" i="6"/>
  <c r="M196" i="6"/>
  <c r="M237" i="6"/>
  <c r="AU171" i="6"/>
  <c r="AU232" i="6"/>
  <c r="AV211" i="6"/>
  <c r="AV240" i="6"/>
  <c r="CA176" i="6"/>
  <c r="CA233" i="6"/>
  <c r="T147" i="10"/>
  <c r="P212" i="10"/>
  <c r="R197" i="10"/>
  <c r="X211" i="6"/>
  <c r="X240" i="6"/>
  <c r="BO211" i="6"/>
  <c r="BO240" i="6"/>
  <c r="AB87" i="22"/>
  <c r="D201" i="6"/>
  <c r="D238" i="6"/>
  <c r="BU196" i="6"/>
  <c r="BU237" i="6"/>
  <c r="R207" i="10"/>
  <c r="E152" i="10"/>
  <c r="B157" i="10"/>
  <c r="B229" i="10"/>
  <c r="V211" i="6"/>
  <c r="V240" i="6"/>
  <c r="Z181" i="6"/>
  <c r="Z234" i="6"/>
  <c r="M176" i="6"/>
  <c r="M233" i="6"/>
  <c r="BT186" i="6"/>
  <c r="BT235" i="6"/>
  <c r="V206" i="6"/>
  <c r="V239" i="6"/>
  <c r="C147" i="10"/>
  <c r="BE196" i="6"/>
  <c r="BE237" i="6"/>
  <c r="K206" i="6"/>
  <c r="K239" i="6"/>
  <c r="AH87" i="22"/>
  <c r="F207" i="22"/>
  <c r="I182" i="22"/>
  <c r="J157" i="10"/>
  <c r="Z172" i="10"/>
  <c r="G162" i="22"/>
  <c r="Q172" i="22"/>
  <c r="C157" i="10"/>
  <c r="AL176" i="6"/>
  <c r="AL233" i="6"/>
  <c r="BJ201" i="6"/>
  <c r="BJ238" i="6"/>
  <c r="AV191" i="6"/>
  <c r="AV236" i="6"/>
  <c r="V201" i="6"/>
  <c r="V238" i="6"/>
  <c r="BR206" i="6"/>
  <c r="BR239" i="6"/>
  <c r="BG196" i="6"/>
  <c r="BG237" i="6"/>
  <c r="BS206" i="6"/>
  <c r="BS239" i="6"/>
  <c r="AK201" i="6"/>
  <c r="AK238" i="6"/>
  <c r="B212" i="10"/>
  <c r="B240" i="10"/>
  <c r="J162" i="22"/>
  <c r="K171" i="6"/>
  <c r="K232" i="6"/>
  <c r="AS176" i="6"/>
  <c r="AS233" i="6"/>
  <c r="BY211" i="6"/>
  <c r="BY240" i="6"/>
  <c r="BF171" i="6"/>
  <c r="BF232" i="6"/>
  <c r="J207" i="10"/>
  <c r="BR171" i="6"/>
  <c r="BR232" i="6"/>
  <c r="N201" i="6"/>
  <c r="N238" i="6"/>
  <c r="S157" i="10"/>
  <c r="BJ211" i="6"/>
  <c r="BJ240" i="6"/>
  <c r="BB171" i="6"/>
  <c r="BB232" i="6"/>
  <c r="T171" i="6"/>
  <c r="T232" i="6"/>
  <c r="G201" i="6"/>
  <c r="G238" i="6"/>
  <c r="BZ201" i="6"/>
  <c r="BZ238" i="6"/>
  <c r="H211" i="6"/>
  <c r="H240" i="6"/>
  <c r="K181" i="6"/>
  <c r="K234" i="6"/>
  <c r="E196" i="6"/>
  <c r="E237" i="6"/>
  <c r="H197" i="10"/>
  <c r="BC191" i="6"/>
  <c r="BC236" i="6"/>
  <c r="AJ186" i="6"/>
  <c r="AJ235" i="6"/>
  <c r="AL201" i="6"/>
  <c r="AL238" i="6"/>
  <c r="M177" i="22"/>
  <c r="V192" i="10"/>
  <c r="O177" i="22"/>
  <c r="E147" i="10"/>
  <c r="BJ206" i="6"/>
  <c r="BJ239" i="6"/>
  <c r="S172" i="10"/>
  <c r="K212" i="10"/>
  <c r="G87" i="22"/>
  <c r="AC206" i="6"/>
  <c r="AC239" i="6"/>
  <c r="BF181" i="6"/>
  <c r="BF234" i="6"/>
  <c r="BS191" i="6"/>
  <c r="BS236" i="6"/>
  <c r="Y152" i="10"/>
  <c r="AA87" i="22"/>
  <c r="B162" i="10"/>
  <c r="B230" i="10"/>
  <c r="T152" i="10"/>
  <c r="H197" i="22"/>
  <c r="D212" i="22"/>
  <c r="D172" i="22"/>
  <c r="C167" i="10"/>
  <c r="G152" i="10"/>
  <c r="O172" i="10"/>
  <c r="D167" i="22"/>
  <c r="U212" i="10"/>
  <c r="M147" i="10"/>
  <c r="AZ211" i="6"/>
  <c r="AZ240" i="6"/>
  <c r="Q201" i="6"/>
  <c r="Q238" i="6"/>
  <c r="BR196" i="6"/>
  <c r="BR237" i="6"/>
  <c r="W177" i="22"/>
  <c r="H207" i="10"/>
  <c r="E172" i="22"/>
  <c r="AN186" i="6"/>
  <c r="AN235" i="6"/>
  <c r="BW181" i="6"/>
  <c r="BW234" i="6"/>
  <c r="AL171" i="6"/>
  <c r="AL232" i="6"/>
  <c r="BQ196" i="6"/>
  <c r="BQ237" i="6"/>
  <c r="T186" i="6"/>
  <c r="T235" i="6"/>
  <c r="BI201" i="6"/>
  <c r="BI238" i="6"/>
  <c r="BM201" i="6"/>
  <c r="BM238" i="6"/>
  <c r="AC186" i="6"/>
  <c r="AC235" i="6"/>
  <c r="W192" i="10"/>
  <c r="W197" i="10"/>
  <c r="K176" i="6"/>
  <c r="K233" i="6"/>
  <c r="E187" i="22"/>
  <c r="D162" i="22"/>
  <c r="S172" i="22"/>
  <c r="K192" i="10"/>
  <c r="AO181" i="6"/>
  <c r="AO234" i="6"/>
  <c r="AT191" i="6"/>
  <c r="AT236" i="6"/>
  <c r="W211" i="6"/>
  <c r="W240" i="6"/>
  <c r="U182" i="22"/>
  <c r="AG87" i="22"/>
  <c r="F207" i="10"/>
  <c r="V182" i="22"/>
  <c r="D197" i="22"/>
  <c r="Q162" i="22"/>
  <c r="F152" i="10"/>
  <c r="R172" i="10"/>
  <c r="O172" i="22"/>
  <c r="R212" i="10"/>
  <c r="O212" i="22"/>
  <c r="BW176" i="6"/>
  <c r="BW233" i="6"/>
  <c r="S171" i="6"/>
  <c r="S232" i="6"/>
  <c r="AD201" i="6"/>
  <c r="AD238" i="6"/>
  <c r="P196" i="6"/>
  <c r="P237" i="6"/>
  <c r="BB211" i="6"/>
  <c r="BB240" i="6"/>
  <c r="W186" i="6"/>
  <c r="W235" i="6"/>
  <c r="F197" i="10"/>
  <c r="R206" i="6"/>
  <c r="R239" i="6"/>
  <c r="X176" i="6"/>
  <c r="X233" i="6"/>
  <c r="B172" i="22"/>
  <c r="B232" i="22"/>
  <c r="Q87" i="22"/>
  <c r="D192" i="10"/>
  <c r="U197" i="10"/>
  <c r="C187" i="10"/>
  <c r="C177" i="22"/>
  <c r="AA211" i="6"/>
  <c r="AA240" i="6"/>
  <c r="AD211" i="6"/>
  <c r="AD240" i="6"/>
  <c r="P211" i="6"/>
  <c r="P240" i="6"/>
  <c r="Z176" i="6"/>
  <c r="Z233" i="6"/>
  <c r="N177" i="22"/>
  <c r="P192" i="10"/>
  <c r="BV201" i="6"/>
  <c r="BV238" i="6"/>
  <c r="BC176" i="6"/>
  <c r="BC233" i="6"/>
  <c r="N181" i="6"/>
  <c r="N234" i="6"/>
  <c r="AX201" i="6"/>
  <c r="AX238" i="6"/>
  <c r="BM211" i="6"/>
  <c r="BM240" i="6"/>
  <c r="H212" i="22"/>
  <c r="CA181" i="6"/>
  <c r="CA234" i="6"/>
  <c r="AW211" i="6"/>
  <c r="AW240" i="6"/>
  <c r="BD171" i="6"/>
  <c r="BD232" i="6"/>
  <c r="AP181" i="6"/>
  <c r="AP234" i="6"/>
  <c r="AO206" i="6"/>
  <c r="AO239" i="6"/>
  <c r="BT171" i="6"/>
  <c r="BT232" i="6"/>
  <c r="F87" i="22"/>
  <c r="AZ206" i="6"/>
  <c r="AZ239" i="6"/>
  <c r="G171" i="6"/>
  <c r="G232" i="6"/>
  <c r="W176" i="6"/>
  <c r="W233" i="6"/>
  <c r="X181" i="6"/>
  <c r="X234" i="6"/>
  <c r="P10" i="9"/>
  <c r="G177" i="10"/>
  <c r="J192" i="10"/>
  <c r="C187" i="22"/>
  <c r="L87" i="22"/>
  <c r="I87" i="22"/>
  <c r="I212" i="22"/>
  <c r="B192" i="10"/>
  <c r="B236" i="10"/>
  <c r="E192" i="10"/>
  <c r="I192" i="10"/>
  <c r="F127" i="11"/>
  <c r="P8" i="9"/>
  <c r="P12" i="9"/>
  <c r="P8" i="10"/>
  <c r="B197" i="22"/>
  <c r="B237" i="22"/>
  <c r="D106" i="8"/>
  <c r="D107" i="8"/>
  <c r="J172" i="7"/>
  <c r="BE152" i="7"/>
  <c r="BE228" i="7"/>
  <c r="AN152" i="7"/>
  <c r="AN228" i="7"/>
  <c r="Y182" i="7"/>
  <c r="H167" i="8"/>
  <c r="G182" i="7"/>
  <c r="N197" i="7"/>
  <c r="T182" i="7"/>
  <c r="V192" i="7"/>
  <c r="M152" i="7"/>
  <c r="M228" i="7"/>
  <c r="AI192" i="7"/>
  <c r="J182" i="7"/>
  <c r="AQ152" i="7"/>
  <c r="AQ228" i="7"/>
  <c r="P17" i="9"/>
  <c r="BG152" i="7"/>
  <c r="BG228" i="7"/>
  <c r="AJ172" i="7"/>
  <c r="BV152" i="7"/>
  <c r="BV228" i="7"/>
  <c r="J197" i="7"/>
  <c r="P16" i="9"/>
  <c r="K197" i="7"/>
  <c r="AL152" i="7"/>
  <c r="AL228" i="7"/>
  <c r="M182" i="7"/>
  <c r="AF152" i="7"/>
  <c r="AF228" i="7"/>
  <c r="C187" i="7"/>
  <c r="B177" i="7"/>
  <c r="B233" i="7"/>
  <c r="AE192" i="7"/>
  <c r="AS152" i="7"/>
  <c r="AS228" i="7"/>
  <c r="C197" i="7"/>
  <c r="AT192" i="7"/>
  <c r="AY152" i="7"/>
  <c r="AY228" i="7"/>
  <c r="BX152" i="7"/>
  <c r="BX228" i="7"/>
  <c r="P172" i="7"/>
  <c r="CB152" i="7"/>
  <c r="CB228" i="7"/>
  <c r="D207" i="7"/>
  <c r="F162" i="7"/>
  <c r="H182" i="7"/>
  <c r="O157" i="8"/>
  <c r="T202" i="8"/>
  <c r="N167" i="10"/>
  <c r="X212" i="22"/>
  <c r="I207" i="7"/>
  <c r="B212" i="7"/>
  <c r="B240" i="7"/>
  <c r="F212" i="7"/>
  <c r="E197" i="7"/>
  <c r="Q182" i="7"/>
  <c r="D182" i="7"/>
  <c r="J212" i="7"/>
  <c r="AV192" i="7"/>
  <c r="I182" i="7"/>
  <c r="Z172" i="7"/>
  <c r="C202" i="7"/>
  <c r="W167" i="11"/>
  <c r="T212" i="7"/>
  <c r="Z275" i="40"/>
  <c r="Z276" i="40"/>
  <c r="Z277" i="40"/>
  <c r="T284" i="40"/>
  <c r="U108" i="40"/>
  <c r="Z255" i="40"/>
  <c r="Z256" i="40"/>
  <c r="Z257" i="40"/>
  <c r="S250" i="40"/>
  <c r="S251" i="40"/>
  <c r="S252" i="40"/>
  <c r="S285" i="40"/>
  <c r="S286" i="40"/>
  <c r="S287" i="40"/>
  <c r="S245" i="40"/>
  <c r="S246" i="40"/>
  <c r="S247" i="40"/>
  <c r="T244" i="40"/>
  <c r="U92" i="40"/>
  <c r="T264" i="40"/>
  <c r="T265" i="40"/>
  <c r="T266" i="40"/>
  <c r="T267" i="40"/>
  <c r="U100" i="40"/>
  <c r="T269" i="40"/>
  <c r="T270" i="40"/>
  <c r="T271" i="40"/>
  <c r="T272" i="40"/>
  <c r="U102" i="40"/>
  <c r="T289" i="40"/>
  <c r="U110" i="40"/>
  <c r="T249" i="40"/>
  <c r="T250" i="40"/>
  <c r="T251" i="40"/>
  <c r="T252" i="40"/>
  <c r="U94" i="40"/>
  <c r="AA260" i="40"/>
  <c r="AA261" i="40"/>
  <c r="AA262" i="40"/>
  <c r="S265" i="40"/>
  <c r="S266" i="40"/>
  <c r="S267" i="40"/>
  <c r="S270" i="40"/>
  <c r="S271" i="40"/>
  <c r="S272" i="40"/>
  <c r="AA104" i="40"/>
  <c r="AA274" i="40"/>
  <c r="AA275" i="40"/>
  <c r="AA276" i="40"/>
  <c r="AA277" i="40"/>
  <c r="Z106" i="40"/>
  <c r="Z279" i="40"/>
  <c r="AA96" i="40"/>
  <c r="AA254" i="40"/>
  <c r="AB98" i="40"/>
  <c r="AB259" i="40"/>
  <c r="W90" i="40"/>
  <c r="S160" i="40"/>
  <c r="S161" i="40"/>
  <c r="W72" i="40"/>
  <c r="V194" i="40"/>
  <c r="T165" i="40"/>
  <c r="T166" i="40"/>
  <c r="T167" i="40"/>
  <c r="V66" i="40"/>
  <c r="U179" i="40"/>
  <c r="S155" i="40"/>
  <c r="S156" i="40"/>
  <c r="S157" i="40"/>
  <c r="T239" i="40"/>
  <c r="S200" i="40"/>
  <c r="S201" i="40"/>
  <c r="U44" i="40"/>
  <c r="T124" i="40"/>
  <c r="R192" i="40"/>
  <c r="S130" i="40"/>
  <c r="S131" i="40"/>
  <c r="S132" i="40"/>
  <c r="R202" i="40"/>
  <c r="U62" i="40"/>
  <c r="T169" i="40"/>
  <c r="V60" i="40"/>
  <c r="U164" i="40"/>
  <c r="U185" i="40"/>
  <c r="U186" i="40"/>
  <c r="U175" i="40"/>
  <c r="U176" i="40"/>
  <c r="U177" i="40"/>
  <c r="S150" i="40"/>
  <c r="S151" i="40"/>
  <c r="S152" i="40"/>
  <c r="V80" i="40"/>
  <c r="U214" i="40"/>
  <c r="T115" i="40"/>
  <c r="T116" i="40"/>
  <c r="T117" i="40"/>
  <c r="U56" i="40"/>
  <c r="T154" i="40"/>
  <c r="S190" i="40"/>
  <c r="S191" i="40"/>
  <c r="S192" i="40"/>
  <c r="T177" i="40"/>
  <c r="T225" i="40"/>
  <c r="T226" i="40"/>
  <c r="S220" i="40"/>
  <c r="S221" i="40"/>
  <c r="S222" i="40"/>
  <c r="S135" i="40"/>
  <c r="S136" i="40"/>
  <c r="S137" i="40"/>
  <c r="T215" i="40"/>
  <c r="T216" i="40"/>
  <c r="T217" i="40"/>
  <c r="U52" i="40"/>
  <c r="T144" i="40"/>
  <c r="U58" i="40"/>
  <c r="T159" i="40"/>
  <c r="R242" i="40"/>
  <c r="U82" i="40"/>
  <c r="T219" i="40"/>
  <c r="U195" i="40"/>
  <c r="U196" i="40"/>
  <c r="U197" i="40"/>
  <c r="S230" i="40"/>
  <c r="S231" i="40"/>
  <c r="S232" i="40"/>
  <c r="U46" i="40"/>
  <c r="T129" i="40"/>
  <c r="T140" i="40"/>
  <c r="T141" i="40"/>
  <c r="T197" i="40"/>
  <c r="U48" i="40"/>
  <c r="T134" i="40"/>
  <c r="U78" i="40"/>
  <c r="T209" i="40"/>
  <c r="W64" i="40"/>
  <c r="V174" i="40"/>
  <c r="T180" i="40"/>
  <c r="T181" i="40"/>
  <c r="S207" i="40"/>
  <c r="U54" i="40"/>
  <c r="T149" i="40"/>
  <c r="S240" i="40"/>
  <c r="S241" i="40"/>
  <c r="S242" i="40"/>
  <c r="V84" i="40"/>
  <c r="U224" i="40"/>
  <c r="S145" i="40"/>
  <c r="S146" i="40"/>
  <c r="S147" i="40"/>
  <c r="U42" i="40"/>
  <c r="T119" i="40"/>
  <c r="U86" i="40"/>
  <c r="T229" i="40"/>
  <c r="V88" i="40"/>
  <c r="U234" i="40"/>
  <c r="V76" i="40"/>
  <c r="U204" i="40"/>
  <c r="S210" i="40"/>
  <c r="S211" i="40"/>
  <c r="U74" i="40"/>
  <c r="T199" i="40"/>
  <c r="S125" i="40"/>
  <c r="S126" i="40"/>
  <c r="S127" i="40"/>
  <c r="S120" i="40"/>
  <c r="S121" i="40"/>
  <c r="S122" i="40"/>
  <c r="S227" i="40"/>
  <c r="R162" i="40"/>
  <c r="S170" i="40"/>
  <c r="S171" i="40"/>
  <c r="V50" i="40"/>
  <c r="U139" i="40"/>
  <c r="T235" i="40"/>
  <c r="T236" i="40"/>
  <c r="T237" i="40"/>
  <c r="T205" i="40"/>
  <c r="T206" i="40"/>
  <c r="R232" i="40"/>
  <c r="R172" i="40"/>
  <c r="S142" i="40"/>
  <c r="W68" i="40"/>
  <c r="V184" i="40"/>
  <c r="R212" i="40"/>
  <c r="V40" i="40"/>
  <c r="U114" i="40"/>
  <c r="T187" i="40"/>
  <c r="U70" i="40"/>
  <c r="T189" i="40"/>
  <c r="W146" i="10"/>
  <c r="W145" i="10"/>
  <c r="AB66" i="22"/>
  <c r="AA174" i="22"/>
  <c r="E70" i="8"/>
  <c r="D184" i="8"/>
  <c r="L164" i="22"/>
  <c r="M62" i="22"/>
  <c r="P164" i="10"/>
  <c r="Q62" i="10"/>
  <c r="H206" i="11"/>
  <c r="H205" i="11"/>
  <c r="P156" i="8"/>
  <c r="P155" i="8"/>
  <c r="D151" i="11"/>
  <c r="D150" i="11"/>
  <c r="AC172" i="10"/>
  <c r="BQ60" i="11"/>
  <c r="BP159" i="11"/>
  <c r="P66" i="10"/>
  <c r="O174" i="10"/>
  <c r="L70" i="22"/>
  <c r="K184" i="22"/>
  <c r="F76" i="7"/>
  <c r="E199" i="7"/>
  <c r="E76" i="22"/>
  <c r="D199" i="22"/>
  <c r="AE169" i="10"/>
  <c r="AF64" i="10"/>
  <c r="T70" i="10"/>
  <c r="S184" i="10"/>
  <c r="G125" i="11"/>
  <c r="G126" i="11"/>
  <c r="H160" i="7"/>
  <c r="H161" i="7"/>
  <c r="K62" i="8"/>
  <c r="J164" i="8"/>
  <c r="C161" i="10"/>
  <c r="C160" i="10"/>
  <c r="E66" i="7"/>
  <c r="D174" i="7"/>
  <c r="X144" i="10"/>
  <c r="Y54" i="10"/>
  <c r="BS144" i="11"/>
  <c r="BT54" i="11"/>
  <c r="C166" i="9"/>
  <c r="C165" i="9"/>
  <c r="V147" i="10"/>
  <c r="K166" i="22"/>
  <c r="K165" i="22"/>
  <c r="O165" i="10"/>
  <c r="O166" i="10"/>
  <c r="J78" i="11"/>
  <c r="I204" i="11"/>
  <c r="R58" i="8"/>
  <c r="Q154" i="8"/>
  <c r="F56" i="11"/>
  <c r="E149" i="11"/>
  <c r="E56" i="22"/>
  <c r="D149" i="22"/>
  <c r="BP210" i="8"/>
  <c r="BP211" i="8"/>
  <c r="C206" i="8"/>
  <c r="C205" i="8"/>
  <c r="F155" i="7"/>
  <c r="F156" i="7"/>
  <c r="C201" i="11"/>
  <c r="C200" i="11"/>
  <c r="AD170" i="10"/>
  <c r="AD171" i="10"/>
  <c r="R186" i="10"/>
  <c r="R185" i="10"/>
  <c r="I46" i="11"/>
  <c r="H124" i="11"/>
  <c r="J60" i="7"/>
  <c r="I159" i="7"/>
  <c r="E76" i="10"/>
  <c r="D199" i="10"/>
  <c r="N204" i="22"/>
  <c r="O78" i="22"/>
  <c r="BR146" i="11"/>
  <c r="BR145" i="11"/>
  <c r="L177" i="10"/>
  <c r="E62" i="9"/>
  <c r="D164" i="9"/>
  <c r="AE155" i="10"/>
  <c r="AE156" i="10"/>
  <c r="AD209" i="10"/>
  <c r="AE80" i="10"/>
  <c r="M190" i="22"/>
  <c r="M191" i="22"/>
  <c r="L206" i="9"/>
  <c r="L205" i="9"/>
  <c r="C139" i="6"/>
  <c r="C140" i="6"/>
  <c r="C141" i="6"/>
  <c r="J205" i="7"/>
  <c r="J206" i="7"/>
  <c r="C136" i="11"/>
  <c r="C135" i="11"/>
  <c r="D179" i="10"/>
  <c r="E68" i="10"/>
  <c r="AC177" i="9"/>
  <c r="BR80" i="8"/>
  <c r="BQ209" i="8"/>
  <c r="G207" i="11"/>
  <c r="E78" i="8"/>
  <c r="D204" i="8"/>
  <c r="H58" i="7"/>
  <c r="G154" i="7"/>
  <c r="E76" i="11"/>
  <c r="D199" i="11"/>
  <c r="AD175" i="9"/>
  <c r="AD176" i="9"/>
  <c r="N64" i="9"/>
  <c r="M169" i="9"/>
  <c r="S195" i="11"/>
  <c r="S196" i="11"/>
  <c r="C200" i="10"/>
  <c r="C201" i="10"/>
  <c r="BY171" i="6"/>
  <c r="BY232" i="6"/>
  <c r="M205" i="22"/>
  <c r="M206" i="22"/>
  <c r="Z176" i="22"/>
  <c r="Z175" i="22"/>
  <c r="C185" i="8"/>
  <c r="C186" i="8"/>
  <c r="AF154" i="10"/>
  <c r="AG58" i="10"/>
  <c r="AC210" i="10"/>
  <c r="AC211" i="10"/>
  <c r="N189" i="22"/>
  <c r="O72" i="22"/>
  <c r="M204" i="9"/>
  <c r="N78" i="9"/>
  <c r="E46" i="6"/>
  <c r="D138" i="6"/>
  <c r="L78" i="7"/>
  <c r="K204" i="7"/>
  <c r="E50" i="11"/>
  <c r="D134" i="11"/>
  <c r="C180" i="10"/>
  <c r="C181" i="10"/>
  <c r="BO161" i="11"/>
  <c r="BO160" i="11"/>
  <c r="N176" i="10"/>
  <c r="N175" i="10"/>
  <c r="J186" i="22"/>
  <c r="J185" i="22"/>
  <c r="D200" i="7"/>
  <c r="D201" i="7"/>
  <c r="C200" i="22"/>
  <c r="C201" i="22"/>
  <c r="AE174" i="9"/>
  <c r="AF66" i="9"/>
  <c r="BO212" i="8"/>
  <c r="L171" i="9"/>
  <c r="L170" i="9"/>
  <c r="U74" i="11"/>
  <c r="T194" i="11"/>
  <c r="I165" i="8"/>
  <c r="I166" i="8"/>
  <c r="D159" i="10"/>
  <c r="E60" i="10"/>
  <c r="C175" i="7"/>
  <c r="C176" i="7"/>
  <c r="G27" i="30"/>
  <c r="E110" i="11"/>
  <c r="E111" i="11"/>
  <c r="F109" i="11"/>
  <c r="F110" i="11"/>
  <c r="F111" i="11"/>
  <c r="F112" i="11"/>
  <c r="G40" i="11"/>
  <c r="C85" i="10"/>
  <c r="C86" i="10"/>
  <c r="C87" i="10"/>
  <c r="E42" i="10"/>
  <c r="D114" i="10"/>
  <c r="E46" i="10"/>
  <c r="D124" i="10"/>
  <c r="D125" i="10"/>
  <c r="D126" i="10"/>
  <c r="D127" i="10"/>
  <c r="E30" i="10"/>
  <c r="D84" i="10"/>
  <c r="D85" i="10"/>
  <c r="D86" i="10"/>
  <c r="D87" i="10"/>
  <c r="E52" i="10"/>
  <c r="D139" i="10"/>
  <c r="D140" i="10"/>
  <c r="D141" i="10"/>
  <c r="D142" i="10"/>
  <c r="F44" i="10"/>
  <c r="E119" i="10"/>
  <c r="E34" i="10"/>
  <c r="D94" i="10"/>
  <c r="E38" i="10"/>
  <c r="D104" i="10"/>
  <c r="D129" i="10"/>
  <c r="D130" i="10"/>
  <c r="D131" i="10"/>
  <c r="D132" i="10"/>
  <c r="E48" i="10"/>
  <c r="C95" i="10"/>
  <c r="C96" i="10"/>
  <c r="C97" i="10"/>
  <c r="E40" i="10"/>
  <c r="D109" i="10"/>
  <c r="E32" i="10"/>
  <c r="D89" i="10"/>
  <c r="D90" i="10"/>
  <c r="D91" i="10"/>
  <c r="D92" i="10"/>
  <c r="D125" i="22"/>
  <c r="D126" i="22"/>
  <c r="D127" i="22"/>
  <c r="E42" i="22"/>
  <c r="D114" i="22"/>
  <c r="E124" i="22"/>
  <c r="F46" i="22"/>
  <c r="E50" i="22"/>
  <c r="D134" i="22"/>
  <c r="D140" i="22"/>
  <c r="D141" i="22"/>
  <c r="D142" i="22"/>
  <c r="C135" i="22"/>
  <c r="C136" i="22"/>
  <c r="C137" i="22"/>
  <c r="F52" i="22"/>
  <c r="E139" i="22"/>
  <c r="F50" i="8"/>
  <c r="E134" i="8"/>
  <c r="E135" i="8"/>
  <c r="E136" i="8"/>
  <c r="E137" i="8"/>
  <c r="E46" i="8"/>
  <c r="D124" i="8"/>
  <c r="D125" i="8"/>
  <c r="D126" i="8"/>
  <c r="D127" i="8"/>
  <c r="N192" i="10"/>
  <c r="W197" i="7"/>
  <c r="AA187" i="9"/>
  <c r="AJ192" i="7"/>
  <c r="M212" i="7"/>
  <c r="AE152" i="7"/>
  <c r="AE228" i="7"/>
  <c r="S197" i="7"/>
  <c r="K182" i="11"/>
  <c r="W212" i="7"/>
  <c r="D157" i="7"/>
  <c r="AB192" i="7"/>
  <c r="AO192" i="7"/>
  <c r="H192" i="7"/>
  <c r="E212" i="7"/>
  <c r="AG187" i="11"/>
  <c r="AG235" i="11"/>
  <c r="E157" i="7"/>
  <c r="O197" i="7"/>
  <c r="V197" i="7"/>
  <c r="I172" i="7"/>
  <c r="R182" i="7"/>
  <c r="B127" i="11"/>
  <c r="B223" i="11"/>
  <c r="P212" i="7"/>
  <c r="E167" i="7"/>
  <c r="W172" i="7"/>
  <c r="AM157" i="11"/>
  <c r="V162" i="22"/>
  <c r="H172" i="7"/>
  <c r="B197" i="7"/>
  <c r="B237" i="7"/>
  <c r="J152" i="7"/>
  <c r="J228" i="7"/>
  <c r="AL172" i="7"/>
  <c r="AG152" i="7"/>
  <c r="AG228" i="7"/>
  <c r="J142" i="11"/>
  <c r="B157" i="7"/>
  <c r="B229" i="7"/>
  <c r="Y172" i="7"/>
  <c r="Q152" i="7"/>
  <c r="Q228" i="7"/>
  <c r="Y152" i="7"/>
  <c r="Y228" i="7"/>
  <c r="BC152" i="7"/>
  <c r="BC228" i="7"/>
  <c r="P3" i="9"/>
  <c r="P9" i="9"/>
  <c r="P5" i="9"/>
  <c r="P7" i="9"/>
  <c r="P15" i="9"/>
  <c r="P4" i="9"/>
  <c r="P11" i="9"/>
  <c r="P14" i="9"/>
  <c r="P2" i="9"/>
  <c r="P13" i="9"/>
  <c r="AC212" i="9"/>
  <c r="Z212" i="7"/>
  <c r="AA172" i="22"/>
  <c r="L197" i="7"/>
  <c r="C157" i="7"/>
  <c r="H197" i="7"/>
  <c r="BO152" i="7"/>
  <c r="BO228" i="7"/>
  <c r="S192" i="7"/>
  <c r="BD152" i="7"/>
  <c r="BD228" i="7"/>
  <c r="G167" i="7"/>
  <c r="B167" i="7"/>
  <c r="B231" i="7"/>
  <c r="E162" i="7"/>
  <c r="F172" i="7"/>
  <c r="BF152" i="7"/>
  <c r="BF228" i="7"/>
  <c r="P152" i="7"/>
  <c r="P228" i="7"/>
  <c r="BD187" i="11"/>
  <c r="BD235" i="11"/>
  <c r="X197" i="22"/>
  <c r="X197" i="8"/>
  <c r="AC132" i="11"/>
  <c r="V177" i="8"/>
  <c r="Y212" i="22"/>
  <c r="AN172" i="7"/>
  <c r="S192" i="11"/>
  <c r="U177" i="11"/>
  <c r="AE182" i="11"/>
  <c r="O20" i="6"/>
  <c r="P18" i="6"/>
  <c r="BZ189" i="7"/>
  <c r="CA72" i="7"/>
  <c r="BX171" i="8"/>
  <c r="BX170" i="8"/>
  <c r="Z181" i="9"/>
  <c r="Z180" i="9"/>
  <c r="H191" i="8"/>
  <c r="H190" i="8"/>
  <c r="BK180" i="11"/>
  <c r="BK181" i="11"/>
  <c r="BO170" i="11"/>
  <c r="BO171" i="11"/>
  <c r="AE180" i="7"/>
  <c r="AE181" i="7"/>
  <c r="C200" i="9"/>
  <c r="C201" i="9"/>
  <c r="V179" i="8"/>
  <c r="W68" i="8"/>
  <c r="AE209" i="9"/>
  <c r="AF80" i="9"/>
  <c r="AO30" i="22"/>
  <c r="AN84" i="22"/>
  <c r="Y195" i="10"/>
  <c r="Y196" i="10"/>
  <c r="AJ52" i="11"/>
  <c r="AI139" i="11"/>
  <c r="Y66" i="8"/>
  <c r="X174" i="8"/>
  <c r="AD182" i="7"/>
  <c r="W187" i="7"/>
  <c r="AB185" i="9"/>
  <c r="AB186" i="9"/>
  <c r="AI190" i="10"/>
  <c r="AI191" i="10"/>
  <c r="X197" i="10"/>
  <c r="AC80" i="7"/>
  <c r="AB209" i="7"/>
  <c r="V212" i="11"/>
  <c r="BN127" i="2"/>
  <c r="BN6" i="2"/>
  <c r="J6" i="20"/>
  <c r="BE127" i="2"/>
  <c r="AV127" i="2"/>
  <c r="AV6" i="2"/>
  <c r="H6" i="20"/>
  <c r="U127" i="2"/>
  <c r="U6" i="2"/>
  <c r="E6" i="20"/>
  <c r="AD127" i="2"/>
  <c r="AD6" i="2"/>
  <c r="F6" i="20"/>
  <c r="L127" i="2"/>
  <c r="L6" i="2"/>
  <c r="C127" i="2"/>
  <c r="C6" i="2"/>
  <c r="E6" i="2"/>
  <c r="C5" i="20"/>
  <c r="AM127" i="2"/>
  <c r="AM6" i="2"/>
  <c r="G6" i="20"/>
  <c r="C190" i="9"/>
  <c r="C191" i="9"/>
  <c r="AA152" i="10"/>
  <c r="Z68" i="22"/>
  <c r="Y179" i="22"/>
  <c r="AB80" i="22"/>
  <c r="AA209" i="22"/>
  <c r="BN172" i="11"/>
  <c r="T190" i="11"/>
  <c r="T191" i="11"/>
  <c r="V176" i="11"/>
  <c r="V175" i="11"/>
  <c r="W76" i="8"/>
  <c r="V199" i="8"/>
  <c r="AB150" i="10"/>
  <c r="AB151" i="10"/>
  <c r="BZ64" i="8"/>
  <c r="BY169" i="8"/>
  <c r="J72" i="8"/>
  <c r="I189" i="8"/>
  <c r="BQ64" i="11"/>
  <c r="BP169" i="11"/>
  <c r="AG68" i="7"/>
  <c r="AF179" i="7"/>
  <c r="X185" i="7"/>
  <c r="X186" i="7"/>
  <c r="U181" i="8"/>
  <c r="U180" i="8"/>
  <c r="AD210" i="9"/>
  <c r="AD211" i="9"/>
  <c r="BW172" i="8"/>
  <c r="BV172" i="8"/>
  <c r="BK166" i="11"/>
  <c r="BK165" i="11"/>
  <c r="AD131" i="11"/>
  <c r="AD130" i="11"/>
  <c r="Y195" i="22"/>
  <c r="Y196" i="22"/>
  <c r="T182" i="8"/>
  <c r="AJ189" i="10"/>
  <c r="AK72" i="10"/>
  <c r="AG142" i="11"/>
  <c r="E72" i="9"/>
  <c r="D189" i="9"/>
  <c r="W161" i="22"/>
  <c r="W160" i="22"/>
  <c r="V72" i="11"/>
  <c r="U189" i="11"/>
  <c r="X66" i="11"/>
  <c r="W174" i="11"/>
  <c r="L66" i="37"/>
  <c r="M65" i="37"/>
  <c r="H34" i="36"/>
  <c r="J34" i="36"/>
  <c r="AC17" i="39"/>
  <c r="AC78" i="10"/>
  <c r="AB204" i="10"/>
  <c r="U200" i="8"/>
  <c r="U201" i="8"/>
  <c r="AC149" i="10"/>
  <c r="AD56" i="10"/>
  <c r="U60" i="8"/>
  <c r="T159" i="8"/>
  <c r="Z70" i="7"/>
  <c r="Y184" i="7"/>
  <c r="BL164" i="11"/>
  <c r="BM62" i="11"/>
  <c r="Y195" i="8"/>
  <c r="Y196" i="8"/>
  <c r="W211" i="11"/>
  <c r="W210" i="11"/>
  <c r="AF48" i="11"/>
  <c r="AE129" i="11"/>
  <c r="X195" i="7"/>
  <c r="X196" i="7"/>
  <c r="Z194" i="22"/>
  <c r="AA74" i="22"/>
  <c r="Z207" i="10"/>
  <c r="AC169" i="22"/>
  <c r="AD64" i="22"/>
  <c r="Y60" i="22"/>
  <c r="X159" i="22"/>
  <c r="AO170" i="7"/>
  <c r="AO171" i="7"/>
  <c r="AA206" i="10"/>
  <c r="AA205" i="10"/>
  <c r="BY190" i="7"/>
  <c r="BY191" i="7"/>
  <c r="AB68" i="9"/>
  <c r="AA179" i="9"/>
  <c r="BM68" i="11"/>
  <c r="BL179" i="11"/>
  <c r="S161" i="8"/>
  <c r="S160" i="8"/>
  <c r="H167" i="7"/>
  <c r="E76" i="9"/>
  <c r="D199" i="9"/>
  <c r="AM85" i="22"/>
  <c r="AM86" i="22"/>
  <c r="Z194" i="10"/>
  <c r="AA74" i="10"/>
  <c r="AA74" i="8"/>
  <c r="Z194" i="8"/>
  <c r="AH141" i="11"/>
  <c r="AH140" i="11"/>
  <c r="Y80" i="11"/>
  <c r="X209" i="11"/>
  <c r="W176" i="8"/>
  <c r="W175" i="8"/>
  <c r="Z74" i="7"/>
  <c r="Y194" i="7"/>
  <c r="AC184" i="9"/>
  <c r="AD70" i="9"/>
  <c r="BJ167" i="11"/>
  <c r="AA211" i="7"/>
  <c r="AA210" i="7"/>
  <c r="A128" i="2"/>
  <c r="BW128" i="2"/>
  <c r="BW7" i="2"/>
  <c r="A8" i="2"/>
  <c r="X181" i="22"/>
  <c r="X180" i="22"/>
  <c r="AB171" i="22"/>
  <c r="AB170" i="22"/>
  <c r="Z211" i="22"/>
  <c r="Z210" i="22"/>
  <c r="AQ64" i="7"/>
  <c r="AP169" i="7"/>
  <c r="D89" i="22"/>
  <c r="E32" i="22"/>
  <c r="G28" i="30"/>
  <c r="F29" i="30"/>
  <c r="G48" i="34"/>
  <c r="F49" i="34"/>
  <c r="E42" i="8"/>
  <c r="D114" i="8"/>
  <c r="E105" i="8"/>
  <c r="E106" i="8"/>
  <c r="E107" i="8"/>
  <c r="C120" i="8"/>
  <c r="C121" i="8"/>
  <c r="C122" i="8"/>
  <c r="J34" i="8"/>
  <c r="I94" i="8"/>
  <c r="I95" i="8"/>
  <c r="I96" i="8"/>
  <c r="I97" i="8"/>
  <c r="C115" i="8"/>
  <c r="C116" i="8"/>
  <c r="C117" i="8"/>
  <c r="E44" i="8"/>
  <c r="D119" i="8"/>
  <c r="J167" i="7"/>
  <c r="E32" i="11"/>
  <c r="D89" i="11"/>
  <c r="L164" i="7"/>
  <c r="M62" i="7"/>
  <c r="K165" i="7"/>
  <c r="K166" i="7"/>
  <c r="C140" i="9"/>
  <c r="C141" i="9"/>
  <c r="C142" i="9"/>
  <c r="F30" i="9"/>
  <c r="E84" i="9"/>
  <c r="E85" i="9"/>
  <c r="E86" i="9"/>
  <c r="E87" i="9"/>
  <c r="E52" i="9"/>
  <c r="D139" i="9"/>
  <c r="D140" i="9"/>
  <c r="D141" i="9"/>
  <c r="D142" i="9"/>
  <c r="G30" i="1"/>
  <c r="F86" i="1"/>
  <c r="F87" i="1"/>
  <c r="F88" i="1"/>
  <c r="F89" i="1"/>
  <c r="E58" i="1"/>
  <c r="D156" i="1"/>
  <c r="D157" i="1"/>
  <c r="D158" i="1"/>
  <c r="D159" i="1"/>
  <c r="D171" i="1"/>
  <c r="E64" i="1"/>
  <c r="D141" i="1"/>
  <c r="E52" i="1"/>
  <c r="D96" i="1"/>
  <c r="E34" i="1"/>
  <c r="E92" i="1"/>
  <c r="E93" i="1"/>
  <c r="E94" i="1"/>
  <c r="C182" i="1"/>
  <c r="C183" i="1"/>
  <c r="C184" i="1"/>
  <c r="O28" i="1"/>
  <c r="F91" i="1"/>
  <c r="F92" i="1"/>
  <c r="F93" i="1"/>
  <c r="F94" i="1"/>
  <c r="G32" i="1"/>
  <c r="E68" i="1"/>
  <c r="D181" i="1"/>
  <c r="D182" i="1"/>
  <c r="D183" i="1"/>
  <c r="D184" i="1"/>
  <c r="E48" i="1"/>
  <c r="D131" i="1"/>
  <c r="D132" i="1"/>
  <c r="D133" i="1"/>
  <c r="D134" i="1"/>
  <c r="D136" i="1"/>
  <c r="D137" i="1"/>
  <c r="D138" i="1"/>
  <c r="D139" i="1"/>
  <c r="E50" i="1"/>
  <c r="Z9" i="26"/>
  <c r="AE9" i="26"/>
  <c r="AJ9" i="26"/>
  <c r="P9" i="26"/>
  <c r="K9" i="26"/>
  <c r="F9" i="26"/>
  <c r="U9" i="26"/>
  <c r="I29" i="30"/>
  <c r="A10" i="26"/>
  <c r="AO10" i="26"/>
  <c r="G42" i="35"/>
  <c r="F43" i="35"/>
  <c r="D120" i="22"/>
  <c r="D121" i="22"/>
  <c r="D122" i="22"/>
  <c r="E119" i="22"/>
  <c r="E120" i="22"/>
  <c r="E121" i="22"/>
  <c r="E122" i="22"/>
  <c r="F44" i="22"/>
  <c r="F42" i="6"/>
  <c r="E128" i="6"/>
  <c r="E36" i="6"/>
  <c r="D113" i="6"/>
  <c r="C89" i="6"/>
  <c r="C90" i="6"/>
  <c r="C91" i="6"/>
  <c r="D129" i="6"/>
  <c r="D130" i="6"/>
  <c r="D131" i="6"/>
  <c r="E44" i="6"/>
  <c r="D133" i="6"/>
  <c r="D134" i="6"/>
  <c r="D135" i="6"/>
  <c r="D136" i="6"/>
  <c r="E24" i="6"/>
  <c r="D83" i="6"/>
  <c r="D84" i="6"/>
  <c r="D85" i="6"/>
  <c r="D86" i="6"/>
  <c r="E22" i="6"/>
  <c r="D78" i="6"/>
  <c r="E26" i="6"/>
  <c r="D88" i="6"/>
  <c r="E98" i="6"/>
  <c r="E99" i="6"/>
  <c r="E100" i="6"/>
  <c r="E101" i="6"/>
  <c r="F30" i="6"/>
  <c r="E40" i="6"/>
  <c r="D123" i="6"/>
  <c r="D124" i="6"/>
  <c r="D125" i="6"/>
  <c r="D126" i="6"/>
  <c r="E32" i="6"/>
  <c r="D103" i="6"/>
  <c r="D104" i="6"/>
  <c r="D105" i="6"/>
  <c r="D106" i="6"/>
  <c r="E28" i="6"/>
  <c r="D93" i="6"/>
  <c r="D94" i="6"/>
  <c r="D95" i="6"/>
  <c r="D96" i="6"/>
  <c r="E34" i="6"/>
  <c r="D108" i="6"/>
  <c r="D116" i="1"/>
  <c r="D117" i="1"/>
  <c r="D118" i="1"/>
  <c r="D119" i="1"/>
  <c r="E42" i="1"/>
  <c r="E218" i="1"/>
  <c r="E217" i="1"/>
  <c r="G82" i="1"/>
  <c r="F216" i="1"/>
  <c r="H80" i="1"/>
  <c r="G211" i="1"/>
  <c r="G212" i="1"/>
  <c r="G213" i="1"/>
  <c r="G214" i="1"/>
  <c r="B166" i="6"/>
  <c r="B231" i="6"/>
  <c r="D204" i="1"/>
  <c r="C164" i="1"/>
  <c r="I38" i="8"/>
  <c r="H104" i="8"/>
  <c r="H105" i="8"/>
  <c r="H106" i="8"/>
  <c r="H107" i="8"/>
  <c r="F36" i="8"/>
  <c r="E99" i="8"/>
  <c r="G105" i="8"/>
  <c r="G106" i="8"/>
  <c r="G107" i="8"/>
  <c r="F44" i="11"/>
  <c r="E119" i="11"/>
  <c r="D120" i="11"/>
  <c r="D121" i="11"/>
  <c r="D122" i="11"/>
  <c r="H117" i="11"/>
  <c r="C130" i="22"/>
  <c r="C131" i="22"/>
  <c r="D129" i="22"/>
  <c r="E48" i="22"/>
  <c r="D105" i="22"/>
  <c r="D106" i="22"/>
  <c r="D107" i="22"/>
  <c r="C95" i="22"/>
  <c r="C96" i="22"/>
  <c r="C97" i="22"/>
  <c r="F38" i="22"/>
  <c r="E104" i="22"/>
  <c r="E34" i="22"/>
  <c r="D94" i="22"/>
  <c r="E42" i="7"/>
  <c r="D114" i="7"/>
  <c r="D115" i="7"/>
  <c r="D116" i="7"/>
  <c r="D117" i="7"/>
  <c r="D100" i="7"/>
  <c r="D101" i="7"/>
  <c r="D102" i="7"/>
  <c r="E99" i="7"/>
  <c r="F36" i="7"/>
  <c r="O28" i="7"/>
  <c r="P2" i="7"/>
  <c r="F110" i="7"/>
  <c r="F111" i="7"/>
  <c r="F112" i="7"/>
  <c r="F38" i="7"/>
  <c r="E104" i="7"/>
  <c r="H40" i="7"/>
  <c r="G109" i="7"/>
  <c r="G110" i="7"/>
  <c r="G111" i="7"/>
  <c r="G112" i="7"/>
  <c r="F30" i="7"/>
  <c r="E84" i="7"/>
  <c r="E85" i="7"/>
  <c r="E86" i="7"/>
  <c r="E87" i="7"/>
  <c r="E34" i="7"/>
  <c r="D94" i="7"/>
  <c r="H38" i="6"/>
  <c r="G118" i="6"/>
  <c r="E34" i="9"/>
  <c r="D94" i="9"/>
  <c r="D95" i="9"/>
  <c r="D96" i="9"/>
  <c r="D97" i="9"/>
  <c r="I54" i="9"/>
  <c r="H144" i="9"/>
  <c r="H145" i="9"/>
  <c r="H146" i="9"/>
  <c r="H147" i="9"/>
  <c r="C125" i="9"/>
  <c r="C126" i="9"/>
  <c r="C127" i="9"/>
  <c r="G104" i="9"/>
  <c r="G105" i="9"/>
  <c r="G106" i="9"/>
  <c r="G107" i="9"/>
  <c r="H38" i="9"/>
  <c r="B221" i="9"/>
  <c r="D124" i="9"/>
  <c r="D125" i="9"/>
  <c r="D126" i="9"/>
  <c r="D127" i="9"/>
  <c r="E46" i="9"/>
  <c r="C114" i="9"/>
  <c r="D42" i="9"/>
  <c r="C95" i="9"/>
  <c r="C96" i="9"/>
  <c r="F50" i="9"/>
  <c r="E134" i="9"/>
  <c r="E135" i="9"/>
  <c r="E136" i="9"/>
  <c r="E137" i="9"/>
  <c r="E56" i="9"/>
  <c r="D149" i="9"/>
  <c r="D150" i="9"/>
  <c r="D151" i="9"/>
  <c r="D152" i="9"/>
  <c r="E48" i="9"/>
  <c r="D129" i="9"/>
  <c r="C120" i="9"/>
  <c r="C121" i="9"/>
  <c r="C122" i="9"/>
  <c r="C130" i="9"/>
  <c r="C131" i="9"/>
  <c r="C132" i="9"/>
  <c r="E44" i="9"/>
  <c r="D119" i="9"/>
  <c r="D120" i="9"/>
  <c r="D121" i="9"/>
  <c r="D122" i="9"/>
  <c r="F89" i="9"/>
  <c r="F90" i="9"/>
  <c r="F91" i="9"/>
  <c r="F92" i="9"/>
  <c r="G32" i="9"/>
  <c r="G76" i="1"/>
  <c r="F201" i="1"/>
  <c r="F202" i="1"/>
  <c r="F203" i="1"/>
  <c r="F204" i="1"/>
  <c r="F72" i="1"/>
  <c r="E191" i="1"/>
  <c r="E192" i="1"/>
  <c r="E193" i="1"/>
  <c r="E194" i="1"/>
  <c r="E161" i="1"/>
  <c r="E162" i="1"/>
  <c r="E163" i="1"/>
  <c r="E164" i="1"/>
  <c r="F60" i="1"/>
  <c r="J151" i="1"/>
  <c r="J152" i="1"/>
  <c r="J153" i="1"/>
  <c r="J154" i="1"/>
  <c r="K56" i="1"/>
  <c r="E70" i="1"/>
  <c r="D186" i="1"/>
  <c r="C197" i="1"/>
  <c r="C198" i="1"/>
  <c r="C199" i="1"/>
  <c r="G66" i="1"/>
  <c r="F176" i="1"/>
  <c r="E202" i="1"/>
  <c r="E203" i="1"/>
  <c r="E204" i="1"/>
  <c r="E74" i="1"/>
  <c r="D196" i="1"/>
  <c r="D197" i="1"/>
  <c r="D198" i="1"/>
  <c r="D199" i="1"/>
  <c r="D206" i="1"/>
  <c r="D207" i="1"/>
  <c r="D208" i="1"/>
  <c r="D209" i="1"/>
  <c r="E78" i="1"/>
  <c r="B149" i="1"/>
  <c r="B234" i="1"/>
  <c r="E51" i="37"/>
  <c r="F51" i="37"/>
  <c r="I115" i="11"/>
  <c r="I116" i="11"/>
  <c r="I117" i="11"/>
  <c r="J114" i="11"/>
  <c r="K42" i="11"/>
  <c r="G38" i="37"/>
  <c r="F39" i="37"/>
  <c r="H34" i="37"/>
  <c r="J34" i="37"/>
  <c r="AD17" i="39"/>
  <c r="G42" i="37"/>
  <c r="F43" i="37"/>
  <c r="V23" i="36"/>
  <c r="G38" i="36"/>
  <c r="F39" i="36"/>
  <c r="G48" i="36"/>
  <c r="F49" i="36"/>
  <c r="K23" i="36"/>
  <c r="L22" i="36"/>
  <c r="T22" i="36"/>
  <c r="F44" i="36"/>
  <c r="G43" i="36"/>
  <c r="AC18" i="39"/>
  <c r="U23" i="35"/>
  <c r="W23" i="35"/>
  <c r="V23" i="35"/>
  <c r="L22" i="35"/>
  <c r="T22" i="35"/>
  <c r="AA19" i="39"/>
  <c r="F39" i="34"/>
  <c r="G38" i="34"/>
  <c r="G43" i="34"/>
  <c r="F44" i="34"/>
  <c r="H34" i="34"/>
  <c r="J34" i="34"/>
  <c r="J35" i="34"/>
  <c r="W22" i="34"/>
  <c r="V22" i="34"/>
  <c r="K22" i="34"/>
  <c r="L22" i="33"/>
  <c r="T22" i="33"/>
  <c r="F39" i="33"/>
  <c r="G38" i="33"/>
  <c r="G43" i="33"/>
  <c r="F44" i="33"/>
  <c r="U23" i="33"/>
  <c r="W23" i="33"/>
  <c r="V23" i="33"/>
  <c r="F49" i="33"/>
  <c r="G48" i="33"/>
  <c r="F49" i="32"/>
  <c r="G48" i="32"/>
  <c r="L22" i="32"/>
  <c r="T22" i="32"/>
  <c r="U23" i="32"/>
  <c r="W23" i="32"/>
  <c r="V23" i="32"/>
  <c r="G43" i="32"/>
  <c r="F44" i="32"/>
  <c r="U23" i="31"/>
  <c r="W23" i="31"/>
  <c r="V23" i="31"/>
  <c r="L22" i="31"/>
  <c r="T22" i="31"/>
  <c r="L23" i="30"/>
  <c r="T23" i="30"/>
  <c r="C107" i="11"/>
  <c r="E100" i="11"/>
  <c r="E101" i="11"/>
  <c r="E102" i="11"/>
  <c r="I30" i="11"/>
  <c r="H84" i="11"/>
  <c r="G36" i="11"/>
  <c r="F99" i="11"/>
  <c r="D105" i="11"/>
  <c r="D106" i="11"/>
  <c r="G85" i="11"/>
  <c r="G86" i="11"/>
  <c r="G87" i="11"/>
  <c r="F38" i="11"/>
  <c r="E104" i="11"/>
  <c r="D135" i="10"/>
  <c r="D136" i="10"/>
  <c r="D137" i="10"/>
  <c r="D100" i="10"/>
  <c r="D101" i="10"/>
  <c r="D102" i="10"/>
  <c r="E99" i="10"/>
  <c r="F36" i="10"/>
  <c r="E58" i="22"/>
  <c r="D154" i="22"/>
  <c r="C155" i="22"/>
  <c r="C156" i="22"/>
  <c r="C157" i="22"/>
  <c r="D100" i="22"/>
  <c r="D101" i="22"/>
  <c r="D102" i="22"/>
  <c r="E109" i="22"/>
  <c r="F40" i="22"/>
  <c r="D110" i="22"/>
  <c r="D111" i="22"/>
  <c r="D112" i="22"/>
  <c r="D145" i="22"/>
  <c r="D146" i="22"/>
  <c r="D147" i="22"/>
  <c r="F36" i="22"/>
  <c r="E99" i="22"/>
  <c r="E144" i="22"/>
  <c r="F54" i="22"/>
  <c r="F150" i="8"/>
  <c r="F151" i="8"/>
  <c r="F152" i="8"/>
  <c r="H56" i="8"/>
  <c r="G149" i="8"/>
  <c r="D145" i="8"/>
  <c r="D146" i="8"/>
  <c r="D147" i="8"/>
  <c r="F54" i="8"/>
  <c r="E144" i="8"/>
  <c r="D30" i="8"/>
  <c r="C84" i="8"/>
  <c r="C140" i="8"/>
  <c r="C141" i="8"/>
  <c r="C90" i="8"/>
  <c r="C91" i="8"/>
  <c r="C92" i="8"/>
  <c r="E52" i="8"/>
  <c r="D139" i="8"/>
  <c r="C110" i="8"/>
  <c r="C111" i="8"/>
  <c r="C112" i="8"/>
  <c r="E32" i="8"/>
  <c r="D89" i="8"/>
  <c r="B85" i="8"/>
  <c r="B86" i="8"/>
  <c r="B87" i="8"/>
  <c r="B215" i="8"/>
  <c r="E48" i="8"/>
  <c r="D129" i="8"/>
  <c r="E40" i="8"/>
  <c r="D109" i="8"/>
  <c r="O28" i="8"/>
  <c r="P11" i="8"/>
  <c r="C130" i="8"/>
  <c r="C131" i="8"/>
  <c r="C132" i="8"/>
  <c r="C145" i="7"/>
  <c r="C146" i="7"/>
  <c r="C147" i="7"/>
  <c r="E54" i="7"/>
  <c r="D144" i="7"/>
  <c r="C140" i="7"/>
  <c r="C141" i="7"/>
  <c r="C142" i="7"/>
  <c r="D139" i="7"/>
  <c r="E52" i="7"/>
  <c r="D134" i="7"/>
  <c r="E50" i="7"/>
  <c r="C135" i="7"/>
  <c r="C136" i="7"/>
  <c r="C137" i="7"/>
  <c r="F120" i="7"/>
  <c r="F121" i="7"/>
  <c r="F122" i="7"/>
  <c r="J90" i="7"/>
  <c r="J91" i="7"/>
  <c r="J92" i="7"/>
  <c r="E125" i="7"/>
  <c r="E126" i="7"/>
  <c r="E127" i="7"/>
  <c r="H44" i="7"/>
  <c r="G119" i="7"/>
  <c r="L32" i="7"/>
  <c r="K89" i="7"/>
  <c r="G46" i="7"/>
  <c r="F124" i="7"/>
  <c r="D163" i="6"/>
  <c r="E56" i="6"/>
  <c r="C164" i="6"/>
  <c r="C165" i="6"/>
  <c r="C166" i="6"/>
  <c r="C159" i="6"/>
  <c r="C160" i="6"/>
  <c r="E54" i="6"/>
  <c r="D158" i="6"/>
  <c r="E52" i="6"/>
  <c r="D153" i="6"/>
  <c r="C154" i="6"/>
  <c r="C155" i="6"/>
  <c r="C156" i="6"/>
  <c r="E50" i="6"/>
  <c r="D148" i="6"/>
  <c r="C149" i="6"/>
  <c r="C150" i="6"/>
  <c r="C151" i="6"/>
  <c r="C144" i="6"/>
  <c r="C145" i="6"/>
  <c r="C146" i="6"/>
  <c r="E48" i="6"/>
  <c r="D143" i="6"/>
  <c r="D160" i="9"/>
  <c r="D161" i="9"/>
  <c r="D162" i="9"/>
  <c r="E159" i="9"/>
  <c r="F60" i="9"/>
  <c r="D154" i="9"/>
  <c r="E58" i="9"/>
  <c r="C155" i="9"/>
  <c r="C156" i="9"/>
  <c r="C157" i="9"/>
  <c r="D100" i="9"/>
  <c r="D101" i="9"/>
  <c r="D102" i="9"/>
  <c r="E109" i="9"/>
  <c r="F40" i="9"/>
  <c r="D110" i="9"/>
  <c r="D111" i="9"/>
  <c r="D112" i="9"/>
  <c r="F36" i="9"/>
  <c r="E99" i="9"/>
  <c r="E62" i="1"/>
  <c r="D166" i="1"/>
  <c r="C167" i="1"/>
  <c r="C168" i="1"/>
  <c r="C169" i="1"/>
  <c r="C127" i="1"/>
  <c r="C128" i="1"/>
  <c r="C129" i="1"/>
  <c r="D146" i="1"/>
  <c r="E54" i="1"/>
  <c r="C147" i="1"/>
  <c r="C148" i="1"/>
  <c r="C149" i="1"/>
  <c r="E46" i="1"/>
  <c r="D126" i="1"/>
  <c r="G44" i="1"/>
  <c r="F121" i="1"/>
  <c r="E122" i="1"/>
  <c r="E123" i="1"/>
  <c r="E124" i="1"/>
  <c r="E38" i="1"/>
  <c r="D106" i="1"/>
  <c r="G36" i="1"/>
  <c r="F101" i="1"/>
  <c r="E102" i="1"/>
  <c r="E103" i="1"/>
  <c r="E104" i="1"/>
  <c r="E112" i="1"/>
  <c r="E113" i="1"/>
  <c r="E114" i="1"/>
  <c r="F111" i="1"/>
  <c r="G40" i="1"/>
  <c r="C107" i="1"/>
  <c r="C108" i="1"/>
  <c r="C109" i="1"/>
  <c r="L22" i="37"/>
  <c r="T22" i="37"/>
  <c r="K23" i="37"/>
  <c r="X24" i="37"/>
  <c r="U25" i="37"/>
  <c r="W25" i="37"/>
  <c r="V25" i="37"/>
  <c r="D130" i="7"/>
  <c r="D131" i="7"/>
  <c r="D132" i="7"/>
  <c r="E129" i="7"/>
  <c r="E130" i="7"/>
  <c r="E131" i="7"/>
  <c r="E132" i="7"/>
  <c r="F48" i="7"/>
  <c r="F50" i="10"/>
  <c r="P3" i="10"/>
  <c r="P4" i="10"/>
  <c r="P6" i="10"/>
  <c r="P15" i="22"/>
  <c r="P8" i="22"/>
  <c r="P16" i="22"/>
  <c r="P9" i="22"/>
  <c r="P13" i="22"/>
  <c r="P14" i="22"/>
  <c r="P12" i="22"/>
  <c r="P7" i="22"/>
  <c r="P11" i="22"/>
  <c r="P13" i="10"/>
  <c r="P7" i="10"/>
  <c r="P10" i="10"/>
  <c r="P5" i="10"/>
  <c r="P2" i="10"/>
  <c r="P12" i="10"/>
  <c r="P11" i="10"/>
  <c r="Y212" i="7"/>
  <c r="P10" i="22"/>
  <c r="AJ197" i="9"/>
  <c r="AK195" i="9"/>
  <c r="AK196" i="9"/>
  <c r="BZ155" i="11"/>
  <c r="BZ156" i="11"/>
  <c r="AM74" i="9"/>
  <c r="AL194" i="9"/>
  <c r="CB58" i="11"/>
  <c r="CA154" i="11"/>
  <c r="BE6" i="2"/>
  <c r="F42" i="41"/>
  <c r="G41" i="41"/>
  <c r="M77" i="41"/>
  <c r="L78" i="41"/>
  <c r="D202" i="7"/>
  <c r="H162" i="7"/>
  <c r="H207" i="11"/>
  <c r="P2" i="6"/>
  <c r="P10" i="6"/>
  <c r="P11" i="6"/>
  <c r="AE182" i="7"/>
  <c r="BK182" i="11"/>
  <c r="AM87" i="22"/>
  <c r="BK167" i="11"/>
  <c r="S197" i="11"/>
  <c r="AD177" i="9"/>
  <c r="L207" i="9"/>
  <c r="O167" i="10"/>
  <c r="P9" i="6"/>
  <c r="Y197" i="8"/>
  <c r="C202" i="10"/>
  <c r="AD172" i="10"/>
  <c r="F157" i="7"/>
  <c r="BP212" i="8"/>
  <c r="V177" i="11"/>
  <c r="Z177" i="22"/>
  <c r="C167" i="9"/>
  <c r="C162" i="10"/>
  <c r="AH142" i="11"/>
  <c r="L172" i="9"/>
  <c r="C202" i="22"/>
  <c r="C182" i="10"/>
  <c r="AC212" i="10"/>
  <c r="C137" i="11"/>
  <c r="BR147" i="11"/>
  <c r="U289" i="40"/>
  <c r="V110" i="40"/>
  <c r="U264" i="40"/>
  <c r="U265" i="40"/>
  <c r="U266" i="40"/>
  <c r="U267" i="40"/>
  <c r="V100" i="40"/>
  <c r="U284" i="40"/>
  <c r="U285" i="40"/>
  <c r="U286" i="40"/>
  <c r="U287" i="40"/>
  <c r="V108" i="40"/>
  <c r="T290" i="40"/>
  <c r="T291" i="40"/>
  <c r="T292" i="40"/>
  <c r="T285" i="40"/>
  <c r="T286" i="40"/>
  <c r="T287" i="40"/>
  <c r="AA255" i="40"/>
  <c r="AA256" i="40"/>
  <c r="AA257" i="40"/>
  <c r="U249" i="40"/>
  <c r="U250" i="40"/>
  <c r="U251" i="40"/>
  <c r="U252" i="40"/>
  <c r="V94" i="40"/>
  <c r="U269" i="40"/>
  <c r="U270" i="40"/>
  <c r="U271" i="40"/>
  <c r="U272" i="40"/>
  <c r="V102" i="40"/>
  <c r="U244" i="40"/>
  <c r="U245" i="40"/>
  <c r="U246" i="40"/>
  <c r="U247" i="40"/>
  <c r="V92" i="40"/>
  <c r="AB260" i="40"/>
  <c r="AB261" i="40"/>
  <c r="AB262" i="40"/>
  <c r="Z280" i="40"/>
  <c r="Z281" i="40"/>
  <c r="Z282" i="40"/>
  <c r="T245" i="40"/>
  <c r="T246" i="40"/>
  <c r="T247" i="40"/>
  <c r="AB96" i="40"/>
  <c r="AB254" i="40"/>
  <c r="AB104" i="40"/>
  <c r="AB274" i="40"/>
  <c r="AB275" i="40"/>
  <c r="AB276" i="40"/>
  <c r="AB277" i="40"/>
  <c r="AC98" i="40"/>
  <c r="AC259" i="40"/>
  <c r="AC260" i="40"/>
  <c r="AC261" i="40"/>
  <c r="AC262" i="40"/>
  <c r="AA106" i="40"/>
  <c r="AA279" i="40"/>
  <c r="X90" i="40"/>
  <c r="V74" i="40"/>
  <c r="U199" i="40"/>
  <c r="W88" i="40"/>
  <c r="V234" i="40"/>
  <c r="T120" i="40"/>
  <c r="T121" i="40"/>
  <c r="T122" i="40"/>
  <c r="V175" i="40"/>
  <c r="V176" i="40"/>
  <c r="V48" i="40"/>
  <c r="U134" i="40"/>
  <c r="T130" i="40"/>
  <c r="T131" i="40"/>
  <c r="T132" i="40"/>
  <c r="V52" i="40"/>
  <c r="U144" i="40"/>
  <c r="T155" i="40"/>
  <c r="T156" i="40"/>
  <c r="U187" i="40"/>
  <c r="W60" i="40"/>
  <c r="V164" i="40"/>
  <c r="T125" i="40"/>
  <c r="T126" i="40"/>
  <c r="T127" i="40"/>
  <c r="T190" i="40"/>
  <c r="T191" i="40"/>
  <c r="T192" i="40"/>
  <c r="U115" i="40"/>
  <c r="U116" i="40"/>
  <c r="U117" i="40"/>
  <c r="V185" i="40"/>
  <c r="V186" i="40"/>
  <c r="W50" i="40"/>
  <c r="V139" i="40"/>
  <c r="W76" i="40"/>
  <c r="V204" i="40"/>
  <c r="T230" i="40"/>
  <c r="T231" i="40"/>
  <c r="T232" i="40"/>
  <c r="V42" i="40"/>
  <c r="U119" i="40"/>
  <c r="U225" i="40"/>
  <c r="U226" i="40"/>
  <c r="U227" i="40"/>
  <c r="V78" i="40"/>
  <c r="U209" i="40"/>
  <c r="V46" i="40"/>
  <c r="U129" i="40"/>
  <c r="V82" i="40"/>
  <c r="U219" i="40"/>
  <c r="V58" i="40"/>
  <c r="U159" i="40"/>
  <c r="V56" i="40"/>
  <c r="U154" i="40"/>
  <c r="U215" i="40"/>
  <c r="U216" i="40"/>
  <c r="U217" i="40"/>
  <c r="T170" i="40"/>
  <c r="T171" i="40"/>
  <c r="T172" i="40"/>
  <c r="V44" i="40"/>
  <c r="U124" i="40"/>
  <c r="T240" i="40"/>
  <c r="T241" i="40"/>
  <c r="X72" i="40"/>
  <c r="W194" i="40"/>
  <c r="W40" i="40"/>
  <c r="V114" i="40"/>
  <c r="S172" i="40"/>
  <c r="T200" i="40"/>
  <c r="T201" i="40"/>
  <c r="T202" i="40"/>
  <c r="S212" i="40"/>
  <c r="U235" i="40"/>
  <c r="U236" i="40"/>
  <c r="T150" i="40"/>
  <c r="T151" i="40"/>
  <c r="T152" i="40"/>
  <c r="T182" i="40"/>
  <c r="X64" i="40"/>
  <c r="W174" i="40"/>
  <c r="T135" i="40"/>
  <c r="T136" i="40"/>
  <c r="T137" i="40"/>
  <c r="T142" i="40"/>
  <c r="T145" i="40"/>
  <c r="T146" i="40"/>
  <c r="T147" i="40"/>
  <c r="U165" i="40"/>
  <c r="U166" i="40"/>
  <c r="U167" i="40"/>
  <c r="U180" i="40"/>
  <c r="U181" i="40"/>
  <c r="U182" i="40"/>
  <c r="V70" i="40"/>
  <c r="U189" i="40"/>
  <c r="X68" i="40"/>
  <c r="W184" i="40"/>
  <c r="T207" i="40"/>
  <c r="U140" i="40"/>
  <c r="U141" i="40"/>
  <c r="U205" i="40"/>
  <c r="U206" i="40"/>
  <c r="U207" i="40"/>
  <c r="V86" i="40"/>
  <c r="U229" i="40"/>
  <c r="W84" i="40"/>
  <c r="V224" i="40"/>
  <c r="V54" i="40"/>
  <c r="U149" i="40"/>
  <c r="T210" i="40"/>
  <c r="T211" i="40"/>
  <c r="T220" i="40"/>
  <c r="T221" i="40"/>
  <c r="T222" i="40"/>
  <c r="T160" i="40"/>
  <c r="T161" i="40"/>
  <c r="T162" i="40"/>
  <c r="T227" i="40"/>
  <c r="W80" i="40"/>
  <c r="V214" i="40"/>
  <c r="V62" i="40"/>
  <c r="U169" i="40"/>
  <c r="S202" i="40"/>
  <c r="U239" i="40"/>
  <c r="W66" i="40"/>
  <c r="V179" i="40"/>
  <c r="V195" i="40"/>
  <c r="V196" i="40"/>
  <c r="S162" i="40"/>
  <c r="F60" i="10"/>
  <c r="E159" i="10"/>
  <c r="T195" i="11"/>
  <c r="T196" i="11"/>
  <c r="J187" i="22"/>
  <c r="BO162" i="11"/>
  <c r="M78" i="7"/>
  <c r="L204" i="7"/>
  <c r="M205" i="9"/>
  <c r="M206" i="9"/>
  <c r="C187" i="8"/>
  <c r="M207" i="22"/>
  <c r="I58" i="7"/>
  <c r="H154" i="7"/>
  <c r="BQ210" i="8"/>
  <c r="BQ211" i="8"/>
  <c r="F68" i="10"/>
  <c r="E179" i="10"/>
  <c r="J207" i="7"/>
  <c r="AE209" i="10"/>
  <c r="AF80" i="10"/>
  <c r="F76" i="10"/>
  <c r="E199" i="10"/>
  <c r="J46" i="11"/>
  <c r="I124" i="11"/>
  <c r="G56" i="11"/>
  <c r="F149" i="11"/>
  <c r="K78" i="11"/>
  <c r="J204" i="11"/>
  <c r="K167" i="22"/>
  <c r="Z54" i="10"/>
  <c r="Y144" i="10"/>
  <c r="L62" i="8"/>
  <c r="K164" i="8"/>
  <c r="AE170" i="10"/>
  <c r="AE171" i="10"/>
  <c r="G76" i="7"/>
  <c r="F199" i="7"/>
  <c r="P174" i="10"/>
  <c r="Q66" i="10"/>
  <c r="L166" i="22"/>
  <c r="L165" i="22"/>
  <c r="AC66" i="22"/>
  <c r="AB174" i="22"/>
  <c r="D160" i="10"/>
  <c r="D161" i="10"/>
  <c r="V74" i="11"/>
  <c r="U194" i="11"/>
  <c r="AG66" i="9"/>
  <c r="AF174" i="9"/>
  <c r="D136" i="11"/>
  <c r="D135" i="11"/>
  <c r="D139" i="6"/>
  <c r="D140" i="6"/>
  <c r="D141" i="6"/>
  <c r="O189" i="22"/>
  <c r="P72" i="22"/>
  <c r="AH58" i="10"/>
  <c r="AG154" i="10"/>
  <c r="M170" i="9"/>
  <c r="M171" i="9"/>
  <c r="D201" i="11"/>
  <c r="D200" i="11"/>
  <c r="D205" i="8"/>
  <c r="D206" i="8"/>
  <c r="BR209" i="8"/>
  <c r="BS80" i="8"/>
  <c r="D180" i="10"/>
  <c r="D181" i="10"/>
  <c r="AD210" i="10"/>
  <c r="AD211" i="10"/>
  <c r="D166" i="9"/>
  <c r="D165" i="9"/>
  <c r="I160" i="7"/>
  <c r="I161" i="7"/>
  <c r="D150" i="22"/>
  <c r="D151" i="22"/>
  <c r="D152" i="22"/>
  <c r="Q156" i="8"/>
  <c r="Q155" i="8"/>
  <c r="BU54" i="11"/>
  <c r="BT144" i="11"/>
  <c r="X145" i="10"/>
  <c r="X146" i="10"/>
  <c r="S186" i="10"/>
  <c r="S185" i="10"/>
  <c r="D200" i="22"/>
  <c r="D201" i="22"/>
  <c r="K185" i="22"/>
  <c r="K186" i="22"/>
  <c r="BP160" i="11"/>
  <c r="BP161" i="11"/>
  <c r="R62" i="10"/>
  <c r="Q164" i="10"/>
  <c r="D186" i="8"/>
  <c r="D185" i="8"/>
  <c r="C177" i="7"/>
  <c r="I167" i="8"/>
  <c r="AE175" i="9"/>
  <c r="AE176" i="9"/>
  <c r="N177" i="10"/>
  <c r="F50" i="11"/>
  <c r="E134" i="11"/>
  <c r="E138" i="6"/>
  <c r="E139" i="6"/>
  <c r="E140" i="6"/>
  <c r="E141" i="6"/>
  <c r="F46" i="6"/>
  <c r="N190" i="22"/>
  <c r="N191" i="22"/>
  <c r="AF155" i="10"/>
  <c r="AF156" i="10"/>
  <c r="N169" i="9"/>
  <c r="O64" i="9"/>
  <c r="F76" i="11"/>
  <c r="E199" i="11"/>
  <c r="F78" i="8"/>
  <c r="E204" i="8"/>
  <c r="M192" i="22"/>
  <c r="AE157" i="10"/>
  <c r="F62" i="9"/>
  <c r="E164" i="9"/>
  <c r="O204" i="22"/>
  <c r="P78" i="22"/>
  <c r="K60" i="7"/>
  <c r="J159" i="7"/>
  <c r="R187" i="10"/>
  <c r="C202" i="11"/>
  <c r="C207" i="8"/>
  <c r="E149" i="22"/>
  <c r="F56" i="22"/>
  <c r="S58" i="8"/>
  <c r="R154" i="8"/>
  <c r="D176" i="7"/>
  <c r="D175" i="7"/>
  <c r="T184" i="10"/>
  <c r="U70" i="10"/>
  <c r="F76" i="22"/>
  <c r="E199" i="22"/>
  <c r="M70" i="22"/>
  <c r="L184" i="22"/>
  <c r="BQ159" i="11"/>
  <c r="BR60" i="11"/>
  <c r="P157" i="8"/>
  <c r="P166" i="10"/>
  <c r="P165" i="10"/>
  <c r="F70" i="8"/>
  <c r="E184" i="8"/>
  <c r="W147" i="10"/>
  <c r="K206" i="7"/>
  <c r="K205" i="7"/>
  <c r="O78" i="9"/>
  <c r="N204" i="9"/>
  <c r="G155" i="7"/>
  <c r="G156" i="7"/>
  <c r="N205" i="22"/>
  <c r="N206" i="22"/>
  <c r="D201" i="10"/>
  <c r="D200" i="10"/>
  <c r="H125" i="11"/>
  <c r="H126" i="11"/>
  <c r="E150" i="11"/>
  <c r="E151" i="11"/>
  <c r="I206" i="11"/>
  <c r="I205" i="11"/>
  <c r="BS146" i="11"/>
  <c r="BS145" i="11"/>
  <c r="F66" i="7"/>
  <c r="E174" i="7"/>
  <c r="J165" i="8"/>
  <c r="J166" i="8"/>
  <c r="G127" i="11"/>
  <c r="AG64" i="10"/>
  <c r="AF169" i="10"/>
  <c r="E201" i="7"/>
  <c r="E200" i="7"/>
  <c r="O176" i="10"/>
  <c r="O175" i="10"/>
  <c r="D152" i="11"/>
  <c r="N62" i="22"/>
  <c r="M164" i="22"/>
  <c r="AA176" i="22"/>
  <c r="AA175" i="22"/>
  <c r="G109" i="11"/>
  <c r="G110" i="11"/>
  <c r="G111" i="11"/>
  <c r="G112" i="11"/>
  <c r="H40" i="11"/>
  <c r="E112" i="11"/>
  <c r="D105" i="10"/>
  <c r="D106" i="10"/>
  <c r="D107" i="10"/>
  <c r="E120" i="10"/>
  <c r="E121" i="10"/>
  <c r="E122" i="10"/>
  <c r="D115" i="10"/>
  <c r="D116" i="10"/>
  <c r="D117" i="10"/>
  <c r="F119" i="10"/>
  <c r="F120" i="10"/>
  <c r="F121" i="10"/>
  <c r="F122" i="10"/>
  <c r="G44" i="10"/>
  <c r="E84" i="10"/>
  <c r="F30" i="10"/>
  <c r="D110" i="10"/>
  <c r="D111" i="10"/>
  <c r="D112" i="10"/>
  <c r="E129" i="10"/>
  <c r="E130" i="10"/>
  <c r="E131" i="10"/>
  <c r="E132" i="10"/>
  <c r="F48" i="10"/>
  <c r="D95" i="10"/>
  <c r="D96" i="10"/>
  <c r="D97" i="10"/>
  <c r="F32" i="10"/>
  <c r="E89" i="10"/>
  <c r="E90" i="10"/>
  <c r="E91" i="10"/>
  <c r="E92" i="10"/>
  <c r="F38" i="10"/>
  <c r="E104" i="10"/>
  <c r="E105" i="10"/>
  <c r="E106" i="10"/>
  <c r="E107" i="10"/>
  <c r="F42" i="10"/>
  <c r="E114" i="10"/>
  <c r="E115" i="10"/>
  <c r="E116" i="10"/>
  <c r="E117" i="10"/>
  <c r="E109" i="10"/>
  <c r="E110" i="10"/>
  <c r="E111" i="10"/>
  <c r="E112" i="10"/>
  <c r="F40" i="10"/>
  <c r="E94" i="10"/>
  <c r="E95" i="10"/>
  <c r="E96" i="10"/>
  <c r="E97" i="10"/>
  <c r="F34" i="10"/>
  <c r="F52" i="10"/>
  <c r="E139" i="10"/>
  <c r="E140" i="10"/>
  <c r="E141" i="10"/>
  <c r="E142" i="10"/>
  <c r="F46" i="10"/>
  <c r="E124" i="10"/>
  <c r="E125" i="10"/>
  <c r="E126" i="10"/>
  <c r="E127" i="10"/>
  <c r="D135" i="22"/>
  <c r="D136" i="22"/>
  <c r="D137" i="22"/>
  <c r="D115" i="22"/>
  <c r="D116" i="22"/>
  <c r="D117" i="22"/>
  <c r="F50" i="22"/>
  <c r="E134" i="22"/>
  <c r="E114" i="22"/>
  <c r="E115" i="22"/>
  <c r="E116" i="22"/>
  <c r="E117" i="22"/>
  <c r="F42" i="22"/>
  <c r="E140" i="22"/>
  <c r="E141" i="22"/>
  <c r="E142" i="22"/>
  <c r="G46" i="22"/>
  <c r="F124" i="22"/>
  <c r="F139" i="22"/>
  <c r="G52" i="22"/>
  <c r="E125" i="22"/>
  <c r="E126" i="22"/>
  <c r="E127" i="22"/>
  <c r="F46" i="8"/>
  <c r="E124" i="8"/>
  <c r="G50" i="8"/>
  <c r="F134" i="8"/>
  <c r="S162" i="8"/>
  <c r="AO172" i="7"/>
  <c r="P4" i="6"/>
  <c r="P6" i="6"/>
  <c r="P3" i="6"/>
  <c r="P7" i="6"/>
  <c r="U202" i="8"/>
  <c r="W162" i="22"/>
  <c r="Z182" i="9"/>
  <c r="P19" i="6"/>
  <c r="P5" i="6"/>
  <c r="P16" i="6"/>
  <c r="P15" i="6"/>
  <c r="P17" i="6"/>
  <c r="P8" i="6"/>
  <c r="P12" i="6"/>
  <c r="P14" i="6"/>
  <c r="P13" i="6"/>
  <c r="AA207" i="10"/>
  <c r="Y197" i="22"/>
  <c r="X187" i="7"/>
  <c r="T192" i="11"/>
  <c r="C192" i="9"/>
  <c r="AB172" i="22"/>
  <c r="A129" i="2"/>
  <c r="BW129" i="2"/>
  <c r="BW8" i="2"/>
  <c r="A9" i="2"/>
  <c r="AA212" i="7"/>
  <c r="AC186" i="9"/>
  <c r="AC185" i="9"/>
  <c r="AA74" i="7"/>
  <c r="Z194" i="7"/>
  <c r="X210" i="11"/>
  <c r="X211" i="11"/>
  <c r="AB74" i="10"/>
  <c r="AA194" i="10"/>
  <c r="E199" i="9"/>
  <c r="F76" i="9"/>
  <c r="X160" i="22"/>
  <c r="X161" i="22"/>
  <c r="AC170" i="22"/>
  <c r="AC171" i="22"/>
  <c r="X197" i="7"/>
  <c r="AG48" i="11"/>
  <c r="AF129" i="11"/>
  <c r="V60" i="8"/>
  <c r="U159" i="8"/>
  <c r="W176" i="11"/>
  <c r="W175" i="11"/>
  <c r="AD132" i="11"/>
  <c r="U182" i="8"/>
  <c r="BY170" i="8"/>
  <c r="BY171" i="8"/>
  <c r="V200" i="8"/>
  <c r="V201" i="8"/>
  <c r="AB209" i="22"/>
  <c r="AC80" i="22"/>
  <c r="Y180" i="22"/>
  <c r="Y181" i="22"/>
  <c r="AI192" i="10"/>
  <c r="Z66" i="8"/>
  <c r="Y174" i="8"/>
  <c r="AI140" i="11"/>
  <c r="AI141" i="11"/>
  <c r="AN86" i="22"/>
  <c r="AN85" i="22"/>
  <c r="AE210" i="9"/>
  <c r="AE211" i="9"/>
  <c r="V180" i="8"/>
  <c r="V181" i="8"/>
  <c r="BO172" i="11"/>
  <c r="H192" i="8"/>
  <c r="BX172" i="8"/>
  <c r="BZ190" i="7"/>
  <c r="BZ191" i="7"/>
  <c r="F32" i="22"/>
  <c r="E89" i="22"/>
  <c r="AM128" i="2"/>
  <c r="AM7" i="2"/>
  <c r="G7" i="20"/>
  <c r="AD128" i="2"/>
  <c r="AD7" i="2"/>
  <c r="F7" i="20"/>
  <c r="C128" i="2"/>
  <c r="C7" i="2"/>
  <c r="E7" i="2"/>
  <c r="C6" i="20"/>
  <c r="BN128" i="2"/>
  <c r="BN7" i="2"/>
  <c r="J7" i="20"/>
  <c r="BE128" i="2"/>
  <c r="AV128" i="2"/>
  <c r="AV7" i="2"/>
  <c r="H7" i="20"/>
  <c r="U128" i="2"/>
  <c r="U7" i="2"/>
  <c r="E7" i="20"/>
  <c r="L128" i="2"/>
  <c r="L7" i="2"/>
  <c r="Z80" i="11"/>
  <c r="Y209" i="11"/>
  <c r="Z196" i="8"/>
  <c r="Z195" i="8"/>
  <c r="Z195" i="10"/>
  <c r="Z196" i="10"/>
  <c r="AA181" i="9"/>
  <c r="AA180" i="9"/>
  <c r="Z60" i="22"/>
  <c r="Y159" i="22"/>
  <c r="AA194" i="22"/>
  <c r="AB74" i="22"/>
  <c r="Y185" i="7"/>
  <c r="Y186" i="7"/>
  <c r="AB206" i="10"/>
  <c r="AB205" i="10"/>
  <c r="Y66" i="11"/>
  <c r="X174" i="11"/>
  <c r="U191" i="11"/>
  <c r="U190" i="11"/>
  <c r="D190" i="9"/>
  <c r="D191" i="9"/>
  <c r="AK189" i="10"/>
  <c r="AL72" i="10"/>
  <c r="BP170" i="11"/>
  <c r="BP171" i="11"/>
  <c r="I190" i="8"/>
  <c r="I191" i="8"/>
  <c r="CA64" i="8"/>
  <c r="BZ169" i="8"/>
  <c r="X76" i="8"/>
  <c r="W199" i="8"/>
  <c r="Z179" i="22"/>
  <c r="AA68" i="22"/>
  <c r="N6" i="2"/>
  <c r="D6" i="20"/>
  <c r="AB210" i="7"/>
  <c r="AB211" i="7"/>
  <c r="AB187" i="9"/>
  <c r="AK52" i="11"/>
  <c r="AJ139" i="11"/>
  <c r="Y197" i="10"/>
  <c r="AO84" i="22"/>
  <c r="AP30" i="22"/>
  <c r="C202" i="9"/>
  <c r="D90" i="22"/>
  <c r="D91" i="22"/>
  <c r="D92" i="22"/>
  <c r="AP171" i="7"/>
  <c r="AP170" i="7"/>
  <c r="Z212" i="22"/>
  <c r="X182" i="22"/>
  <c r="W177" i="8"/>
  <c r="AB74" i="8"/>
  <c r="AA194" i="8"/>
  <c r="BL181" i="11"/>
  <c r="BL180" i="11"/>
  <c r="AB179" i="9"/>
  <c r="AC68" i="9"/>
  <c r="BY192" i="7"/>
  <c r="Z195" i="22"/>
  <c r="Z196" i="22"/>
  <c r="W212" i="11"/>
  <c r="BN62" i="11"/>
  <c r="BM164" i="11"/>
  <c r="AA70" i="7"/>
  <c r="Z184" i="7"/>
  <c r="AE56" i="10"/>
  <c r="AD149" i="10"/>
  <c r="AC204" i="10"/>
  <c r="AD78" i="10"/>
  <c r="L67" i="37"/>
  <c r="M66" i="37"/>
  <c r="W72" i="11"/>
  <c r="V189" i="11"/>
  <c r="F72" i="9"/>
  <c r="E189" i="9"/>
  <c r="AJ191" i="10"/>
  <c r="AJ190" i="10"/>
  <c r="AD212" i="9"/>
  <c r="AF180" i="7"/>
  <c r="AF181" i="7"/>
  <c r="BQ169" i="11"/>
  <c r="BR64" i="11"/>
  <c r="K72" i="8"/>
  <c r="J189" i="8"/>
  <c r="AB152" i="10"/>
  <c r="AD80" i="7"/>
  <c r="AC209" i="7"/>
  <c r="AR64" i="7"/>
  <c r="AQ169" i="7"/>
  <c r="AE70" i="9"/>
  <c r="AD184" i="9"/>
  <c r="Y196" i="7"/>
  <c r="Y195" i="7"/>
  <c r="D200" i="9"/>
  <c r="D201" i="9"/>
  <c r="BN68" i="11"/>
  <c r="BM179" i="11"/>
  <c r="AD169" i="22"/>
  <c r="AE64" i="22"/>
  <c r="AE131" i="11"/>
  <c r="AE130" i="11"/>
  <c r="BL166" i="11"/>
  <c r="BL165" i="11"/>
  <c r="T160" i="8"/>
  <c r="T161" i="8"/>
  <c r="AC150" i="10"/>
  <c r="AC151" i="10"/>
  <c r="AH68" i="7"/>
  <c r="AG179" i="7"/>
  <c r="AA210" i="22"/>
  <c r="AA211" i="22"/>
  <c r="X176" i="8"/>
  <c r="X175" i="8"/>
  <c r="AG80" i="9"/>
  <c r="AF209" i="9"/>
  <c r="X68" i="8"/>
  <c r="W179" i="8"/>
  <c r="CB72" i="7"/>
  <c r="CA189" i="7"/>
  <c r="G29" i="30"/>
  <c r="F30" i="30"/>
  <c r="F50" i="34"/>
  <c r="G50" i="34"/>
  <c r="H50" i="34"/>
  <c r="J50" i="34"/>
  <c r="AA33" i="39"/>
  <c r="G49" i="34"/>
  <c r="D120" i="8"/>
  <c r="D121" i="8"/>
  <c r="D122" i="8"/>
  <c r="D115" i="8"/>
  <c r="D116" i="8"/>
  <c r="D117" i="8"/>
  <c r="F44" i="8"/>
  <c r="E119" i="8"/>
  <c r="E120" i="8"/>
  <c r="E121" i="8"/>
  <c r="E122" i="8"/>
  <c r="K34" i="8"/>
  <c r="J94" i="8"/>
  <c r="J95" i="8"/>
  <c r="J96" i="8"/>
  <c r="J97" i="8"/>
  <c r="F42" i="8"/>
  <c r="E114" i="8"/>
  <c r="K167" i="7"/>
  <c r="L165" i="7"/>
  <c r="L166" i="7"/>
  <c r="F32" i="11"/>
  <c r="E89" i="11"/>
  <c r="E90" i="11"/>
  <c r="E91" i="11"/>
  <c r="E92" i="11"/>
  <c r="N62" i="7"/>
  <c r="M164" i="7"/>
  <c r="D90" i="11"/>
  <c r="D91" i="11"/>
  <c r="D92" i="11"/>
  <c r="F52" i="9"/>
  <c r="E139" i="9"/>
  <c r="E140" i="9"/>
  <c r="E141" i="9"/>
  <c r="E142" i="9"/>
  <c r="F84" i="9"/>
  <c r="G30" i="9"/>
  <c r="H30" i="1"/>
  <c r="G86" i="1"/>
  <c r="G87" i="1"/>
  <c r="G88" i="1"/>
  <c r="G89" i="1"/>
  <c r="G91" i="1"/>
  <c r="G92" i="1"/>
  <c r="G93" i="1"/>
  <c r="G94" i="1"/>
  <c r="H32" i="1"/>
  <c r="P19" i="1"/>
  <c r="P4" i="1"/>
  <c r="P25" i="1"/>
  <c r="P15" i="1"/>
  <c r="P8" i="1"/>
  <c r="P13" i="1"/>
  <c r="P22" i="1"/>
  <c r="P2" i="1"/>
  <c r="P10" i="1"/>
  <c r="P27" i="1"/>
  <c r="P21" i="1"/>
  <c r="P12" i="1"/>
  <c r="P9" i="1"/>
  <c r="P18" i="1"/>
  <c r="P20" i="1"/>
  <c r="P23" i="1"/>
  <c r="P6" i="1"/>
  <c r="P3" i="1"/>
  <c r="P7" i="1"/>
  <c r="P17" i="1"/>
  <c r="P26" i="1"/>
  <c r="P16" i="1"/>
  <c r="P5" i="1"/>
  <c r="P14" i="1"/>
  <c r="D97" i="1"/>
  <c r="D98" i="1"/>
  <c r="D99" i="1"/>
  <c r="D142" i="1"/>
  <c r="D143" i="1"/>
  <c r="D144" i="1"/>
  <c r="D172" i="1"/>
  <c r="D173" i="1"/>
  <c r="D174" i="1"/>
  <c r="F58" i="1"/>
  <c r="E156" i="1"/>
  <c r="E157" i="1"/>
  <c r="E158" i="1"/>
  <c r="E159" i="1"/>
  <c r="P24" i="1"/>
  <c r="F48" i="1"/>
  <c r="E131" i="1"/>
  <c r="E132" i="1"/>
  <c r="E133" i="1"/>
  <c r="E134" i="1"/>
  <c r="E181" i="1"/>
  <c r="E182" i="1"/>
  <c r="E183" i="1"/>
  <c r="E184" i="1"/>
  <c r="F68" i="1"/>
  <c r="F34" i="1"/>
  <c r="E96" i="1"/>
  <c r="E97" i="1"/>
  <c r="E98" i="1"/>
  <c r="E99" i="1"/>
  <c r="F52" i="1"/>
  <c r="E141" i="1"/>
  <c r="F64" i="1"/>
  <c r="E171" i="1"/>
  <c r="P11" i="1"/>
  <c r="E136" i="1"/>
  <c r="E137" i="1"/>
  <c r="E138" i="1"/>
  <c r="E139" i="1"/>
  <c r="F50" i="1"/>
  <c r="I30" i="30"/>
  <c r="A11" i="26"/>
  <c r="AO11" i="26"/>
  <c r="U10" i="26"/>
  <c r="AJ10" i="26"/>
  <c r="AE10" i="26"/>
  <c r="Z10" i="26"/>
  <c r="P10" i="26"/>
  <c r="K10" i="26"/>
  <c r="F10" i="26"/>
  <c r="E219" i="1"/>
  <c r="G43" i="35"/>
  <c r="F44" i="35"/>
  <c r="F119" i="22"/>
  <c r="F120" i="22"/>
  <c r="F121" i="22"/>
  <c r="F122" i="22"/>
  <c r="G44" i="22"/>
  <c r="C132" i="22"/>
  <c r="D109" i="6"/>
  <c r="D110" i="6"/>
  <c r="F98" i="6"/>
  <c r="F99" i="6"/>
  <c r="F100" i="6"/>
  <c r="F101" i="6"/>
  <c r="G30" i="6"/>
  <c r="D89" i="6"/>
  <c r="D90" i="6"/>
  <c r="D79" i="6"/>
  <c r="D80" i="6"/>
  <c r="D114" i="6"/>
  <c r="D115" i="6"/>
  <c r="E129" i="6"/>
  <c r="E130" i="6"/>
  <c r="C161" i="6"/>
  <c r="F34" i="6"/>
  <c r="E108" i="6"/>
  <c r="E109" i="6"/>
  <c r="E110" i="6"/>
  <c r="E111" i="6"/>
  <c r="F28" i="6"/>
  <c r="E93" i="6"/>
  <c r="E94" i="6"/>
  <c r="E95" i="6"/>
  <c r="E96" i="6"/>
  <c r="F32" i="6"/>
  <c r="E103" i="6"/>
  <c r="E104" i="6"/>
  <c r="E105" i="6"/>
  <c r="E106" i="6"/>
  <c r="F40" i="6"/>
  <c r="E123" i="6"/>
  <c r="E124" i="6"/>
  <c r="E125" i="6"/>
  <c r="E126" i="6"/>
  <c r="F26" i="6"/>
  <c r="E88" i="6"/>
  <c r="E89" i="6"/>
  <c r="E90" i="6"/>
  <c r="E91" i="6"/>
  <c r="F22" i="6"/>
  <c r="E78" i="6"/>
  <c r="E83" i="6"/>
  <c r="F24" i="6"/>
  <c r="F44" i="6"/>
  <c r="E133" i="6"/>
  <c r="E134" i="6"/>
  <c r="E135" i="6"/>
  <c r="E136" i="6"/>
  <c r="F36" i="6"/>
  <c r="E113" i="6"/>
  <c r="E114" i="6"/>
  <c r="E115" i="6"/>
  <c r="E116" i="6"/>
  <c r="G42" i="6"/>
  <c r="F128" i="6"/>
  <c r="F129" i="6"/>
  <c r="F130" i="6"/>
  <c r="F131" i="6"/>
  <c r="F217" i="1"/>
  <c r="F218" i="1"/>
  <c r="F42" i="1"/>
  <c r="E116" i="1"/>
  <c r="E117" i="1"/>
  <c r="E118" i="1"/>
  <c r="E119" i="1"/>
  <c r="I80" i="1"/>
  <c r="H211" i="1"/>
  <c r="H212" i="1"/>
  <c r="H213" i="1"/>
  <c r="H214" i="1"/>
  <c r="H82" i="1"/>
  <c r="G216" i="1"/>
  <c r="C142" i="8"/>
  <c r="E100" i="8"/>
  <c r="E101" i="8"/>
  <c r="G36" i="8"/>
  <c r="F99" i="8"/>
  <c r="F100" i="8"/>
  <c r="F101" i="8"/>
  <c r="F102" i="8"/>
  <c r="J38" i="8"/>
  <c r="I104" i="8"/>
  <c r="E120" i="11"/>
  <c r="E121" i="11"/>
  <c r="E122" i="11"/>
  <c r="F119" i="11"/>
  <c r="G44" i="11"/>
  <c r="C97" i="9"/>
  <c r="K23" i="33"/>
  <c r="T23" i="33"/>
  <c r="K23" i="31"/>
  <c r="T23" i="31"/>
  <c r="D95" i="22"/>
  <c r="D96" i="22"/>
  <c r="F48" i="22"/>
  <c r="E129" i="22"/>
  <c r="E94" i="22"/>
  <c r="F34" i="22"/>
  <c r="D130" i="22"/>
  <c r="D131" i="22"/>
  <c r="D132" i="22"/>
  <c r="E105" i="22"/>
  <c r="E106" i="22"/>
  <c r="E107" i="22"/>
  <c r="G38" i="22"/>
  <c r="F104" i="22"/>
  <c r="D95" i="7"/>
  <c r="D96" i="7"/>
  <c r="E105" i="7"/>
  <c r="E106" i="7"/>
  <c r="E107" i="7"/>
  <c r="E94" i="7"/>
  <c r="F34" i="7"/>
  <c r="G38" i="7"/>
  <c r="F104" i="7"/>
  <c r="F105" i="7"/>
  <c r="F106" i="7"/>
  <c r="F107" i="7"/>
  <c r="P8" i="7"/>
  <c r="P10" i="7"/>
  <c r="P11" i="7"/>
  <c r="P3" i="7"/>
  <c r="P4" i="7"/>
  <c r="P9" i="7"/>
  <c r="P14" i="7"/>
  <c r="P13" i="7"/>
  <c r="P12" i="7"/>
  <c r="P7" i="7"/>
  <c r="P6" i="7"/>
  <c r="P5" i="7"/>
  <c r="F99" i="7"/>
  <c r="F100" i="7"/>
  <c r="F101" i="7"/>
  <c r="F102" i="7"/>
  <c r="G36" i="7"/>
  <c r="F84" i="7"/>
  <c r="F85" i="7"/>
  <c r="F86" i="7"/>
  <c r="F87" i="7"/>
  <c r="G30" i="7"/>
  <c r="I40" i="7"/>
  <c r="H109" i="7"/>
  <c r="H110" i="7"/>
  <c r="H111" i="7"/>
  <c r="H112" i="7"/>
  <c r="E100" i="7"/>
  <c r="E101" i="7"/>
  <c r="E102" i="7"/>
  <c r="E114" i="7"/>
  <c r="E115" i="7"/>
  <c r="E116" i="7"/>
  <c r="E117" i="7"/>
  <c r="F42" i="7"/>
  <c r="G119" i="6"/>
  <c r="G120" i="6"/>
  <c r="G121" i="6"/>
  <c r="I38" i="6"/>
  <c r="H118" i="6"/>
  <c r="H119" i="6"/>
  <c r="H120" i="6"/>
  <c r="H121" i="6"/>
  <c r="H104" i="9"/>
  <c r="H105" i="9"/>
  <c r="H106" i="9"/>
  <c r="H107" i="9"/>
  <c r="I38" i="9"/>
  <c r="E42" i="9"/>
  <c r="D114" i="9"/>
  <c r="D115" i="9"/>
  <c r="D116" i="9"/>
  <c r="D117" i="9"/>
  <c r="F46" i="9"/>
  <c r="E124" i="9"/>
  <c r="I144" i="9"/>
  <c r="I145" i="9"/>
  <c r="I146" i="9"/>
  <c r="I147" i="9"/>
  <c r="J54" i="9"/>
  <c r="C115" i="9"/>
  <c r="C116" i="9"/>
  <c r="C117" i="9"/>
  <c r="E94" i="9"/>
  <c r="E95" i="9"/>
  <c r="E96" i="9"/>
  <c r="E97" i="9"/>
  <c r="F34" i="9"/>
  <c r="G50" i="9"/>
  <c r="F134" i="9"/>
  <c r="H32" i="9"/>
  <c r="G89" i="9"/>
  <c r="G90" i="9"/>
  <c r="G91" i="9"/>
  <c r="G92" i="9"/>
  <c r="D130" i="9"/>
  <c r="D131" i="9"/>
  <c r="F56" i="9"/>
  <c r="E149" i="9"/>
  <c r="E150" i="9"/>
  <c r="E151" i="9"/>
  <c r="E152" i="9"/>
  <c r="E129" i="9"/>
  <c r="F48" i="9"/>
  <c r="E119" i="9"/>
  <c r="E120" i="9"/>
  <c r="E121" i="9"/>
  <c r="E122" i="9"/>
  <c r="F44" i="9"/>
  <c r="F78" i="1"/>
  <c r="E206" i="1"/>
  <c r="F177" i="1"/>
  <c r="F178" i="1"/>
  <c r="D187" i="1"/>
  <c r="D188" i="1"/>
  <c r="F161" i="1"/>
  <c r="G60" i="1"/>
  <c r="F74" i="1"/>
  <c r="E196" i="1"/>
  <c r="E197" i="1"/>
  <c r="E198" i="1"/>
  <c r="E199" i="1"/>
  <c r="H66" i="1"/>
  <c r="G176" i="1"/>
  <c r="F70" i="1"/>
  <c r="E186" i="1"/>
  <c r="K151" i="1"/>
  <c r="K152" i="1"/>
  <c r="K153" i="1"/>
  <c r="K154" i="1"/>
  <c r="L56" i="1"/>
  <c r="G72" i="1"/>
  <c r="F191" i="1"/>
  <c r="F192" i="1"/>
  <c r="F193" i="1"/>
  <c r="F194" i="1"/>
  <c r="H76" i="1"/>
  <c r="G201" i="1"/>
  <c r="G202" i="1"/>
  <c r="G203" i="1"/>
  <c r="G204" i="1"/>
  <c r="P6" i="8"/>
  <c r="P2" i="8"/>
  <c r="L42" i="11"/>
  <c r="K114" i="11"/>
  <c r="J115" i="11"/>
  <c r="J116" i="11"/>
  <c r="J117" i="11"/>
  <c r="K23" i="35"/>
  <c r="L23" i="35"/>
  <c r="F40" i="37"/>
  <c r="G40" i="37"/>
  <c r="H40" i="37"/>
  <c r="J40" i="37"/>
  <c r="AD23" i="39"/>
  <c r="G39" i="37"/>
  <c r="F44" i="37"/>
  <c r="G43" i="37"/>
  <c r="G44" i="36"/>
  <c r="F45" i="36"/>
  <c r="G45" i="36"/>
  <c r="H45" i="36"/>
  <c r="J45" i="36"/>
  <c r="F40" i="36"/>
  <c r="G40" i="36"/>
  <c r="H40" i="36"/>
  <c r="J40" i="36"/>
  <c r="G39" i="36"/>
  <c r="F50" i="36"/>
  <c r="G50" i="36"/>
  <c r="H50" i="36"/>
  <c r="J50" i="36"/>
  <c r="G49" i="36"/>
  <c r="L23" i="36"/>
  <c r="T23" i="36"/>
  <c r="U24" i="36"/>
  <c r="W24" i="36"/>
  <c r="V24" i="36"/>
  <c r="U24" i="35"/>
  <c r="W24" i="35"/>
  <c r="V24" i="35"/>
  <c r="U23" i="34"/>
  <c r="W23" i="34"/>
  <c r="V23" i="34"/>
  <c r="G39" i="34"/>
  <c r="F40" i="34"/>
  <c r="G40" i="34"/>
  <c r="H40" i="34"/>
  <c r="J40" i="34"/>
  <c r="AA18" i="39"/>
  <c r="AA17" i="39"/>
  <c r="L22" i="34"/>
  <c r="T22" i="34"/>
  <c r="F45" i="34"/>
  <c r="G45" i="34"/>
  <c r="H45" i="34"/>
  <c r="J45" i="34"/>
  <c r="G44" i="34"/>
  <c r="F40" i="33"/>
  <c r="G40" i="33"/>
  <c r="H40" i="33"/>
  <c r="J40" i="33"/>
  <c r="G39" i="33"/>
  <c r="U24" i="33"/>
  <c r="W24" i="33"/>
  <c r="V24" i="33"/>
  <c r="F50" i="33"/>
  <c r="G50" i="33"/>
  <c r="H50" i="33"/>
  <c r="J50" i="33"/>
  <c r="G49" i="33"/>
  <c r="F45" i="33"/>
  <c r="G45" i="33"/>
  <c r="H45" i="33"/>
  <c r="J45" i="33"/>
  <c r="G44" i="33"/>
  <c r="U24" i="32"/>
  <c r="W24" i="32"/>
  <c r="V24" i="32"/>
  <c r="K23" i="32"/>
  <c r="F45" i="32"/>
  <c r="G45" i="32"/>
  <c r="H45" i="32"/>
  <c r="J45" i="32"/>
  <c r="G44" i="32"/>
  <c r="F50" i="32"/>
  <c r="G50" i="32"/>
  <c r="H50" i="32"/>
  <c r="J50" i="32"/>
  <c r="G49" i="32"/>
  <c r="U24" i="31"/>
  <c r="W24" i="31"/>
  <c r="V24" i="31"/>
  <c r="D107" i="11"/>
  <c r="G38" i="11"/>
  <c r="F104" i="11"/>
  <c r="G99" i="11"/>
  <c r="H36" i="11"/>
  <c r="H85" i="11"/>
  <c r="H86" i="11"/>
  <c r="H87" i="11"/>
  <c r="I84" i="11"/>
  <c r="J30" i="11"/>
  <c r="E105" i="11"/>
  <c r="E106" i="11"/>
  <c r="E107" i="11"/>
  <c r="F100" i="11"/>
  <c r="F101" i="11"/>
  <c r="F102" i="11"/>
  <c r="E135" i="10"/>
  <c r="E136" i="10"/>
  <c r="E137" i="10"/>
  <c r="G50" i="10"/>
  <c r="F134" i="10"/>
  <c r="G36" i="10"/>
  <c r="F99" i="10"/>
  <c r="E100" i="10"/>
  <c r="E101" i="10"/>
  <c r="E102" i="10"/>
  <c r="D155" i="22"/>
  <c r="D156" i="22"/>
  <c r="D157" i="22"/>
  <c r="F58" i="22"/>
  <c r="E154" i="22"/>
  <c r="F144" i="22"/>
  <c r="G54" i="22"/>
  <c r="E110" i="22"/>
  <c r="E111" i="22"/>
  <c r="E112" i="22"/>
  <c r="E100" i="22"/>
  <c r="E101" i="22"/>
  <c r="E102" i="22"/>
  <c r="E145" i="22"/>
  <c r="E146" i="22"/>
  <c r="E147" i="22"/>
  <c r="G36" i="22"/>
  <c r="F99" i="22"/>
  <c r="F109" i="22"/>
  <c r="G40" i="22"/>
  <c r="G150" i="8"/>
  <c r="G151" i="8"/>
  <c r="G152" i="8"/>
  <c r="H149" i="8"/>
  <c r="I56" i="8"/>
  <c r="E145" i="8"/>
  <c r="E146" i="8"/>
  <c r="E147" i="8"/>
  <c r="G54" i="8"/>
  <c r="F144" i="8"/>
  <c r="P5" i="8"/>
  <c r="P14" i="8"/>
  <c r="P15" i="8"/>
  <c r="P3" i="8"/>
  <c r="P13" i="8"/>
  <c r="P9" i="8"/>
  <c r="P12" i="8"/>
  <c r="P8" i="8"/>
  <c r="P4" i="8"/>
  <c r="P10" i="8"/>
  <c r="F40" i="8"/>
  <c r="E109" i="8"/>
  <c r="F32" i="8"/>
  <c r="E89" i="8"/>
  <c r="F52" i="8"/>
  <c r="E139" i="8"/>
  <c r="P7" i="8"/>
  <c r="E30" i="8"/>
  <c r="D84" i="8"/>
  <c r="D130" i="8"/>
  <c r="D131" i="8"/>
  <c r="D132" i="8"/>
  <c r="D110" i="8"/>
  <c r="D111" i="8"/>
  <c r="D112" i="8"/>
  <c r="F48" i="8"/>
  <c r="E129" i="8"/>
  <c r="D90" i="8"/>
  <c r="D91" i="8"/>
  <c r="D92" i="8"/>
  <c r="D140" i="8"/>
  <c r="D141" i="8"/>
  <c r="D142" i="8"/>
  <c r="C85" i="8"/>
  <c r="C86" i="8"/>
  <c r="C87" i="8"/>
  <c r="D145" i="7"/>
  <c r="D146" i="7"/>
  <c r="D147" i="7"/>
  <c r="F54" i="7"/>
  <c r="E144" i="7"/>
  <c r="D140" i="7"/>
  <c r="D141" i="7"/>
  <c r="D142" i="7"/>
  <c r="F52" i="7"/>
  <c r="E139" i="7"/>
  <c r="F50" i="7"/>
  <c r="E134" i="7"/>
  <c r="D135" i="7"/>
  <c r="D136" i="7"/>
  <c r="D137" i="7"/>
  <c r="H46" i="7"/>
  <c r="G124" i="7"/>
  <c r="K90" i="7"/>
  <c r="K91" i="7"/>
  <c r="K92" i="7"/>
  <c r="M32" i="7"/>
  <c r="L89" i="7"/>
  <c r="G120" i="7"/>
  <c r="G121" i="7"/>
  <c r="G122" i="7"/>
  <c r="F125" i="7"/>
  <c r="F126" i="7"/>
  <c r="F127" i="7"/>
  <c r="I44" i="7"/>
  <c r="H119" i="7"/>
  <c r="F56" i="6"/>
  <c r="E163" i="6"/>
  <c r="D164" i="6"/>
  <c r="D165" i="6"/>
  <c r="D159" i="6"/>
  <c r="D160" i="6"/>
  <c r="F54" i="6"/>
  <c r="E158" i="6"/>
  <c r="D154" i="6"/>
  <c r="D155" i="6"/>
  <c r="D156" i="6"/>
  <c r="F52" i="6"/>
  <c r="E153" i="6"/>
  <c r="D149" i="6"/>
  <c r="D150" i="6"/>
  <c r="D151" i="6"/>
  <c r="E148" i="6"/>
  <c r="F50" i="6"/>
  <c r="D144" i="6"/>
  <c r="D145" i="6"/>
  <c r="D146" i="6"/>
  <c r="F48" i="6"/>
  <c r="E143" i="6"/>
  <c r="G60" i="9"/>
  <c r="F159" i="9"/>
  <c r="E160" i="9"/>
  <c r="E161" i="9"/>
  <c r="E162" i="9"/>
  <c r="F58" i="9"/>
  <c r="E154" i="9"/>
  <c r="D155" i="9"/>
  <c r="D156" i="9"/>
  <c r="D157" i="9"/>
  <c r="E100" i="9"/>
  <c r="E101" i="9"/>
  <c r="E102" i="9"/>
  <c r="E110" i="9"/>
  <c r="E111" i="9"/>
  <c r="E112" i="9"/>
  <c r="G36" i="9"/>
  <c r="F99" i="9"/>
  <c r="F109" i="9"/>
  <c r="G40" i="9"/>
  <c r="F62" i="1"/>
  <c r="E166" i="1"/>
  <c r="D167" i="1"/>
  <c r="D168" i="1"/>
  <c r="D169" i="1"/>
  <c r="F46" i="1"/>
  <c r="E126" i="1"/>
  <c r="E146" i="1"/>
  <c r="F54" i="1"/>
  <c r="D127" i="1"/>
  <c r="D128" i="1"/>
  <c r="D129" i="1"/>
  <c r="D147" i="1"/>
  <c r="D148" i="1"/>
  <c r="D149" i="1"/>
  <c r="F122" i="1"/>
  <c r="F123" i="1"/>
  <c r="F124" i="1"/>
  <c r="H44" i="1"/>
  <c r="G121" i="1"/>
  <c r="H40" i="1"/>
  <c r="G111" i="1"/>
  <c r="F102" i="1"/>
  <c r="F103" i="1"/>
  <c r="F104" i="1"/>
  <c r="D107" i="1"/>
  <c r="D108" i="1"/>
  <c r="D109" i="1"/>
  <c r="F112" i="1"/>
  <c r="F113" i="1"/>
  <c r="F114" i="1"/>
  <c r="G101" i="1"/>
  <c r="H36" i="1"/>
  <c r="F38" i="1"/>
  <c r="E106" i="1"/>
  <c r="K24" i="37"/>
  <c r="K25" i="37"/>
  <c r="T23" i="37"/>
  <c r="L23" i="37"/>
  <c r="X25" i="37"/>
  <c r="Y25" i="37"/>
  <c r="G48" i="7"/>
  <c r="F129" i="7"/>
  <c r="F130" i="7"/>
  <c r="F131" i="7"/>
  <c r="F132" i="7"/>
  <c r="BZ157" i="11"/>
  <c r="AM194" i="9"/>
  <c r="AN74" i="9"/>
  <c r="CA156" i="11"/>
  <c r="CA155" i="11"/>
  <c r="CB59" i="11"/>
  <c r="CA59" i="11"/>
  <c r="BZ59" i="11"/>
  <c r="BY59" i="11"/>
  <c r="CB154" i="11"/>
  <c r="AL195" i="9"/>
  <c r="AL196" i="9"/>
  <c r="AK197" i="9"/>
  <c r="H39" i="33"/>
  <c r="BE7" i="2"/>
  <c r="I6" i="20"/>
  <c r="CF6" i="2"/>
  <c r="H26" i="41"/>
  <c r="G42" i="41"/>
  <c r="F43" i="41"/>
  <c r="M78" i="41"/>
  <c r="L79" i="41"/>
  <c r="D202" i="9"/>
  <c r="AA177" i="22"/>
  <c r="D202" i="10"/>
  <c r="K207" i="7"/>
  <c r="D177" i="7"/>
  <c r="N192" i="22"/>
  <c r="S187" i="10"/>
  <c r="I162" i="7"/>
  <c r="BQ212" i="8"/>
  <c r="T197" i="11"/>
  <c r="H127" i="11"/>
  <c r="N207" i="22"/>
  <c r="AE177" i="9"/>
  <c r="BP162" i="11"/>
  <c r="D202" i="22"/>
  <c r="X147" i="10"/>
  <c r="D182" i="10"/>
  <c r="D207" i="8"/>
  <c r="M172" i="9"/>
  <c r="O177" i="10"/>
  <c r="D202" i="11"/>
  <c r="D162" i="10"/>
  <c r="M207" i="9"/>
  <c r="V269" i="40"/>
  <c r="W102" i="40"/>
  <c r="V244" i="40"/>
  <c r="W92" i="40"/>
  <c r="V249" i="40"/>
  <c r="W94" i="40"/>
  <c r="V284" i="40"/>
  <c r="W108" i="40"/>
  <c r="V289" i="40"/>
  <c r="W110" i="40"/>
  <c r="V264" i="40"/>
  <c r="W100" i="40"/>
  <c r="AA280" i="40"/>
  <c r="AA281" i="40"/>
  <c r="AA282" i="40"/>
  <c r="AB255" i="40"/>
  <c r="AB256" i="40"/>
  <c r="AB257" i="40"/>
  <c r="U290" i="40"/>
  <c r="U291" i="40"/>
  <c r="U292" i="40"/>
  <c r="AD98" i="40"/>
  <c r="AD259" i="40"/>
  <c r="AD260" i="40"/>
  <c r="AD261" i="40"/>
  <c r="AD262" i="40"/>
  <c r="AB106" i="40"/>
  <c r="AB279" i="40"/>
  <c r="AC104" i="40"/>
  <c r="AC274" i="40"/>
  <c r="AC275" i="40"/>
  <c r="AC276" i="40"/>
  <c r="AC277" i="40"/>
  <c r="AC96" i="40"/>
  <c r="AC254" i="40"/>
  <c r="AC255" i="40"/>
  <c r="AC256" i="40"/>
  <c r="AC257" i="40"/>
  <c r="Y90" i="40"/>
  <c r="W62" i="40"/>
  <c r="V169" i="40"/>
  <c r="X80" i="40"/>
  <c r="W214" i="40"/>
  <c r="U150" i="40"/>
  <c r="U151" i="40"/>
  <c r="U152" i="40"/>
  <c r="U155" i="40"/>
  <c r="U156" i="40"/>
  <c r="U157" i="40"/>
  <c r="U210" i="40"/>
  <c r="U211" i="40"/>
  <c r="U212" i="40"/>
  <c r="X76" i="40"/>
  <c r="W204" i="40"/>
  <c r="V165" i="40"/>
  <c r="V166" i="40"/>
  <c r="X88" i="40"/>
  <c r="W234" i="40"/>
  <c r="X66" i="40"/>
  <c r="W179" i="40"/>
  <c r="X84" i="40"/>
  <c r="W224" i="40"/>
  <c r="U190" i="40"/>
  <c r="U191" i="40"/>
  <c r="W175" i="40"/>
  <c r="W176" i="40"/>
  <c r="W177" i="40"/>
  <c r="V115" i="40"/>
  <c r="V116" i="40"/>
  <c r="V117" i="40"/>
  <c r="Y72" i="40"/>
  <c r="X194" i="40"/>
  <c r="U125" i="40"/>
  <c r="U126" i="40"/>
  <c r="U127" i="40"/>
  <c r="W56" i="40"/>
  <c r="V154" i="40"/>
  <c r="U130" i="40"/>
  <c r="U131" i="40"/>
  <c r="U132" i="40"/>
  <c r="W78" i="40"/>
  <c r="V209" i="40"/>
  <c r="U120" i="40"/>
  <c r="U121" i="40"/>
  <c r="U122" i="40"/>
  <c r="V140" i="40"/>
  <c r="V141" i="40"/>
  <c r="V142" i="40"/>
  <c r="V187" i="40"/>
  <c r="T157" i="40"/>
  <c r="U200" i="40"/>
  <c r="U201" i="40"/>
  <c r="V180" i="40"/>
  <c r="V181" i="40"/>
  <c r="V182" i="40"/>
  <c r="W195" i="40"/>
  <c r="W196" i="40"/>
  <c r="W58" i="40"/>
  <c r="V159" i="40"/>
  <c r="V215" i="40"/>
  <c r="V216" i="40"/>
  <c r="V217" i="40"/>
  <c r="W54" i="40"/>
  <c r="V149" i="40"/>
  <c r="U230" i="40"/>
  <c r="U231" i="40"/>
  <c r="W185" i="40"/>
  <c r="W186" i="40"/>
  <c r="W70" i="40"/>
  <c r="V189" i="40"/>
  <c r="Y64" i="40"/>
  <c r="X174" i="40"/>
  <c r="W44" i="40"/>
  <c r="V124" i="40"/>
  <c r="U220" i="40"/>
  <c r="U221" i="40"/>
  <c r="V205" i="40"/>
  <c r="V206" i="40"/>
  <c r="V207" i="40"/>
  <c r="X50" i="40"/>
  <c r="W139" i="40"/>
  <c r="X60" i="40"/>
  <c r="W164" i="40"/>
  <c r="U145" i="40"/>
  <c r="U146" i="40"/>
  <c r="U147" i="40"/>
  <c r="V235" i="40"/>
  <c r="V236" i="40"/>
  <c r="W74" i="40"/>
  <c r="V199" i="40"/>
  <c r="V239" i="40"/>
  <c r="W48" i="40"/>
  <c r="V134" i="40"/>
  <c r="V197" i="40"/>
  <c r="U240" i="40"/>
  <c r="U241" i="40"/>
  <c r="U242" i="40"/>
  <c r="U170" i="40"/>
  <c r="U171" i="40"/>
  <c r="U172" i="40"/>
  <c r="T212" i="40"/>
  <c r="V225" i="40"/>
  <c r="V226" i="40"/>
  <c r="V227" i="40"/>
  <c r="W86" i="40"/>
  <c r="V229" i="40"/>
  <c r="U142" i="40"/>
  <c r="Y68" i="40"/>
  <c r="X184" i="40"/>
  <c r="U237" i="40"/>
  <c r="X40" i="40"/>
  <c r="W114" i="40"/>
  <c r="T242" i="40"/>
  <c r="U160" i="40"/>
  <c r="U161" i="40"/>
  <c r="W82" i="40"/>
  <c r="V219" i="40"/>
  <c r="W46" i="40"/>
  <c r="V129" i="40"/>
  <c r="W42" i="40"/>
  <c r="V119" i="40"/>
  <c r="W52" i="40"/>
  <c r="V144" i="40"/>
  <c r="U135" i="40"/>
  <c r="U136" i="40"/>
  <c r="U137" i="40"/>
  <c r="V177" i="40"/>
  <c r="D137" i="11"/>
  <c r="L167" i="22"/>
  <c r="AF182" i="7"/>
  <c r="BP172" i="11"/>
  <c r="Z197" i="10"/>
  <c r="M166" i="22"/>
  <c r="M165" i="22"/>
  <c r="AH64" i="10"/>
  <c r="AG169" i="10"/>
  <c r="E175" i="7"/>
  <c r="E176" i="7"/>
  <c r="BQ161" i="11"/>
  <c r="BQ160" i="11"/>
  <c r="G76" i="22"/>
  <c r="F199" i="22"/>
  <c r="E150" i="22"/>
  <c r="E151" i="22"/>
  <c r="E152" i="22"/>
  <c r="J160" i="7"/>
  <c r="J161" i="7"/>
  <c r="E165" i="9"/>
  <c r="E166" i="9"/>
  <c r="E205" i="8"/>
  <c r="E206" i="8"/>
  <c r="P64" i="9"/>
  <c r="O169" i="9"/>
  <c r="E135" i="11"/>
  <c r="E136" i="11"/>
  <c r="S62" i="10"/>
  <c r="R164" i="10"/>
  <c r="BR211" i="8"/>
  <c r="BR210" i="8"/>
  <c r="AI58" i="10"/>
  <c r="AH154" i="10"/>
  <c r="W74" i="11"/>
  <c r="V194" i="11"/>
  <c r="AD66" i="22"/>
  <c r="AC174" i="22"/>
  <c r="P176" i="10"/>
  <c r="P175" i="10"/>
  <c r="Y145" i="10"/>
  <c r="Y146" i="10"/>
  <c r="L78" i="11"/>
  <c r="K204" i="11"/>
  <c r="J124" i="11"/>
  <c r="K46" i="11"/>
  <c r="AE210" i="10"/>
  <c r="AE211" i="10"/>
  <c r="L205" i="7"/>
  <c r="L206" i="7"/>
  <c r="O62" i="22"/>
  <c r="N164" i="22"/>
  <c r="G66" i="7"/>
  <c r="F174" i="7"/>
  <c r="I207" i="11"/>
  <c r="N205" i="9"/>
  <c r="N206" i="9"/>
  <c r="P167" i="10"/>
  <c r="L186" i="22"/>
  <c r="L185" i="22"/>
  <c r="U184" i="10"/>
  <c r="V70" i="10"/>
  <c r="R156" i="8"/>
  <c r="R155" i="8"/>
  <c r="L60" i="7"/>
  <c r="K159" i="7"/>
  <c r="G62" i="9"/>
  <c r="F164" i="9"/>
  <c r="G78" i="8"/>
  <c r="F204" i="8"/>
  <c r="N171" i="9"/>
  <c r="N170" i="9"/>
  <c r="G50" i="11"/>
  <c r="F134" i="11"/>
  <c r="BV54" i="11"/>
  <c r="BU144" i="11"/>
  <c r="P189" i="22"/>
  <c r="Q72" i="22"/>
  <c r="AF175" i="9"/>
  <c r="AF176" i="9"/>
  <c r="F200" i="7"/>
  <c r="F201" i="7"/>
  <c r="Z144" i="10"/>
  <c r="AA54" i="10"/>
  <c r="F150" i="11"/>
  <c r="F151" i="11"/>
  <c r="E200" i="10"/>
  <c r="E201" i="10"/>
  <c r="N78" i="7"/>
  <c r="M204" i="7"/>
  <c r="E202" i="7"/>
  <c r="J167" i="8"/>
  <c r="BS147" i="11"/>
  <c r="E152" i="11"/>
  <c r="O204" i="9"/>
  <c r="P78" i="9"/>
  <c r="E185" i="8"/>
  <c r="E186" i="8"/>
  <c r="M184" i="22"/>
  <c r="N70" i="22"/>
  <c r="T186" i="10"/>
  <c r="T185" i="10"/>
  <c r="T58" i="8"/>
  <c r="S154" i="8"/>
  <c r="Q78" i="22"/>
  <c r="P204" i="22"/>
  <c r="E201" i="11"/>
  <c r="E200" i="11"/>
  <c r="AF157" i="10"/>
  <c r="G46" i="6"/>
  <c r="F138" i="6"/>
  <c r="F139" i="6"/>
  <c r="F140" i="6"/>
  <c r="F141" i="6"/>
  <c r="D187" i="8"/>
  <c r="D167" i="9"/>
  <c r="O190" i="22"/>
  <c r="O191" i="22"/>
  <c r="AG174" i="9"/>
  <c r="AH66" i="9"/>
  <c r="H76" i="7"/>
  <c r="G199" i="7"/>
  <c r="K165" i="8"/>
  <c r="K166" i="8"/>
  <c r="H56" i="11"/>
  <c r="G149" i="11"/>
  <c r="G76" i="10"/>
  <c r="F199" i="10"/>
  <c r="E181" i="10"/>
  <c r="E180" i="10"/>
  <c r="H156" i="7"/>
  <c r="H155" i="7"/>
  <c r="E161" i="10"/>
  <c r="E160" i="10"/>
  <c r="AF171" i="10"/>
  <c r="AF170" i="10"/>
  <c r="G157" i="7"/>
  <c r="G70" i="8"/>
  <c r="F184" i="8"/>
  <c r="BS60" i="11"/>
  <c r="BR159" i="11"/>
  <c r="E200" i="22"/>
  <c r="E201" i="22"/>
  <c r="G56" i="22"/>
  <c r="F149" i="22"/>
  <c r="O205" i="22"/>
  <c r="O206" i="22"/>
  <c r="G76" i="11"/>
  <c r="F199" i="11"/>
  <c r="Q165" i="10"/>
  <c r="Q166" i="10"/>
  <c r="K187" i="22"/>
  <c r="BT146" i="11"/>
  <c r="BT145" i="11"/>
  <c r="Q157" i="8"/>
  <c r="AD212" i="10"/>
  <c r="BS209" i="8"/>
  <c r="BT80" i="8"/>
  <c r="AG156" i="10"/>
  <c r="AG155" i="10"/>
  <c r="U195" i="11"/>
  <c r="U196" i="11"/>
  <c r="AB175" i="22"/>
  <c r="AB176" i="22"/>
  <c r="R66" i="10"/>
  <c r="Q174" i="10"/>
  <c r="AE172" i="10"/>
  <c r="M62" i="8"/>
  <c r="L164" i="8"/>
  <c r="J205" i="11"/>
  <c r="J206" i="11"/>
  <c r="I126" i="11"/>
  <c r="I125" i="11"/>
  <c r="AG80" i="10"/>
  <c r="AF209" i="10"/>
  <c r="F179" i="10"/>
  <c r="G68" i="10"/>
  <c r="J58" i="7"/>
  <c r="I154" i="7"/>
  <c r="F159" i="10"/>
  <c r="G60" i="10"/>
  <c r="L23" i="33"/>
  <c r="L23" i="31"/>
  <c r="H109" i="11"/>
  <c r="H110" i="11"/>
  <c r="H111" i="11"/>
  <c r="H112" i="11"/>
  <c r="I40" i="11"/>
  <c r="G40" i="10"/>
  <c r="F109" i="10"/>
  <c r="F110" i="10"/>
  <c r="F111" i="10"/>
  <c r="F112" i="10"/>
  <c r="G119" i="10"/>
  <c r="G120" i="10"/>
  <c r="G121" i="10"/>
  <c r="G122" i="10"/>
  <c r="H44" i="10"/>
  <c r="G52" i="10"/>
  <c r="F139" i="10"/>
  <c r="F140" i="10"/>
  <c r="F141" i="10"/>
  <c r="F142" i="10"/>
  <c r="G38" i="10"/>
  <c r="F104" i="10"/>
  <c r="F105" i="10"/>
  <c r="F106" i="10"/>
  <c r="F107" i="10"/>
  <c r="F94" i="10"/>
  <c r="F95" i="10"/>
  <c r="F96" i="10"/>
  <c r="F97" i="10"/>
  <c r="G34" i="10"/>
  <c r="G48" i="10"/>
  <c r="F129" i="10"/>
  <c r="F130" i="10"/>
  <c r="F131" i="10"/>
  <c r="F132" i="10"/>
  <c r="G30" i="10"/>
  <c r="F84" i="10"/>
  <c r="F85" i="10"/>
  <c r="F86" i="10"/>
  <c r="F87" i="10"/>
  <c r="G46" i="10"/>
  <c r="F124" i="10"/>
  <c r="F114" i="10"/>
  <c r="F115" i="10"/>
  <c r="F116" i="10"/>
  <c r="F117" i="10"/>
  <c r="G42" i="10"/>
  <c r="F89" i="10"/>
  <c r="F90" i="10"/>
  <c r="F91" i="10"/>
  <c r="F92" i="10"/>
  <c r="G32" i="10"/>
  <c r="E85" i="10"/>
  <c r="E86" i="10"/>
  <c r="E87" i="10"/>
  <c r="F125" i="22"/>
  <c r="F126" i="22"/>
  <c r="F127" i="22"/>
  <c r="F114" i="22"/>
  <c r="F115" i="22"/>
  <c r="F116" i="22"/>
  <c r="F117" i="22"/>
  <c r="G42" i="22"/>
  <c r="G124" i="22"/>
  <c r="H46" i="22"/>
  <c r="H52" i="22"/>
  <c r="G139" i="22"/>
  <c r="G140" i="22"/>
  <c r="G141" i="22"/>
  <c r="G142" i="22"/>
  <c r="E135" i="22"/>
  <c r="E136" i="22"/>
  <c r="E137" i="22"/>
  <c r="F140" i="22"/>
  <c r="F141" i="22"/>
  <c r="F142" i="22"/>
  <c r="F134" i="22"/>
  <c r="G50" i="22"/>
  <c r="F135" i="8"/>
  <c r="F136" i="8"/>
  <c r="F137" i="8"/>
  <c r="H50" i="8"/>
  <c r="G134" i="8"/>
  <c r="G135" i="8"/>
  <c r="G136" i="8"/>
  <c r="G137" i="8"/>
  <c r="E125" i="8"/>
  <c r="E126" i="8"/>
  <c r="E127" i="8"/>
  <c r="G46" i="8"/>
  <c r="F124" i="8"/>
  <c r="BY172" i="8"/>
  <c r="T162" i="8"/>
  <c r="AE212" i="9"/>
  <c r="X177" i="8"/>
  <c r="Z197" i="22"/>
  <c r="AP172" i="7"/>
  <c r="U192" i="11"/>
  <c r="AN87" i="22"/>
  <c r="AI142" i="11"/>
  <c r="Y182" i="22"/>
  <c r="W177" i="11"/>
  <c r="F219" i="1"/>
  <c r="AE132" i="11"/>
  <c r="AJ192" i="10"/>
  <c r="BL182" i="11"/>
  <c r="Z197" i="8"/>
  <c r="X162" i="22"/>
  <c r="X212" i="11"/>
  <c r="CB189" i="7"/>
  <c r="CB73" i="7"/>
  <c r="CA73" i="7"/>
  <c r="BZ73" i="7"/>
  <c r="BY73" i="7"/>
  <c r="BX73" i="7"/>
  <c r="AF210" i="9"/>
  <c r="AF211" i="9"/>
  <c r="AG181" i="7"/>
  <c r="AG180" i="7"/>
  <c r="AC152" i="10"/>
  <c r="Y197" i="7"/>
  <c r="AF70" i="9"/>
  <c r="AE184" i="9"/>
  <c r="AQ171" i="7"/>
  <c r="AQ170" i="7"/>
  <c r="AC210" i="7"/>
  <c r="AC211" i="7"/>
  <c r="L72" i="8"/>
  <c r="K189" i="8"/>
  <c r="E191" i="9"/>
  <c r="E190" i="9"/>
  <c r="AC206" i="10"/>
  <c r="AC205" i="10"/>
  <c r="AE149" i="10"/>
  <c r="AF56" i="10"/>
  <c r="BO62" i="11"/>
  <c r="BN164" i="11"/>
  <c r="AC74" i="8"/>
  <c r="AB194" i="8"/>
  <c r="AL52" i="11"/>
  <c r="AK139" i="11"/>
  <c r="AB212" i="7"/>
  <c r="I192" i="8"/>
  <c r="X176" i="11"/>
  <c r="X175" i="11"/>
  <c r="AA80" i="11"/>
  <c r="Z209" i="11"/>
  <c r="N7" i="2"/>
  <c r="D7" i="20"/>
  <c r="E90" i="22"/>
  <c r="E91" i="22"/>
  <c r="E92" i="22"/>
  <c r="V202" i="8"/>
  <c r="U161" i="8"/>
  <c r="U160" i="8"/>
  <c r="AC187" i="9"/>
  <c r="W180" i="8"/>
  <c r="W181" i="8"/>
  <c r="AG209" i="9"/>
  <c r="AH80" i="9"/>
  <c r="AA212" i="22"/>
  <c r="AI68" i="7"/>
  <c r="AH179" i="7"/>
  <c r="AF64" i="22"/>
  <c r="AE169" i="22"/>
  <c r="AS64" i="7"/>
  <c r="AR169" i="7"/>
  <c r="AE80" i="7"/>
  <c r="AD209" i="7"/>
  <c r="BS64" i="11"/>
  <c r="BR169" i="11"/>
  <c r="G72" i="9"/>
  <c r="F189" i="9"/>
  <c r="V190" i="11"/>
  <c r="V191" i="11"/>
  <c r="L68" i="37"/>
  <c r="M67" i="37"/>
  <c r="AA179" i="22"/>
  <c r="AB68" i="22"/>
  <c r="W201" i="8"/>
  <c r="W200" i="8"/>
  <c r="D192" i="9"/>
  <c r="Z66" i="11"/>
  <c r="Y174" i="11"/>
  <c r="Y187" i="7"/>
  <c r="AC74" i="22"/>
  <c r="AB194" i="22"/>
  <c r="F89" i="22"/>
  <c r="G32" i="22"/>
  <c r="BZ192" i="7"/>
  <c r="V182" i="8"/>
  <c r="AC209" i="22"/>
  <c r="AD80" i="22"/>
  <c r="W60" i="8"/>
  <c r="V159" i="8"/>
  <c r="AC172" i="22"/>
  <c r="Z195" i="7"/>
  <c r="Z196" i="7"/>
  <c r="A130" i="2"/>
  <c r="BW130" i="2"/>
  <c r="BW9" i="2"/>
  <c r="A10" i="2"/>
  <c r="Y68" i="8"/>
  <c r="X179" i="8"/>
  <c r="AD171" i="22"/>
  <c r="AD170" i="22"/>
  <c r="BM180" i="11"/>
  <c r="BM181" i="11"/>
  <c r="BQ170" i="11"/>
  <c r="BQ171" i="11"/>
  <c r="X72" i="11"/>
  <c r="W189" i="11"/>
  <c r="Z185" i="7"/>
  <c r="Z186" i="7"/>
  <c r="AC179" i="9"/>
  <c r="AD68" i="9"/>
  <c r="AP84" i="22"/>
  <c r="AQ30" i="22"/>
  <c r="Z181" i="22"/>
  <c r="Z180" i="22"/>
  <c r="Y76" i="8"/>
  <c r="X199" i="8"/>
  <c r="BZ171" i="8"/>
  <c r="BZ170" i="8"/>
  <c r="AL189" i="10"/>
  <c r="AM72" i="10"/>
  <c r="AA195" i="22"/>
  <c r="AA196" i="22"/>
  <c r="Y160" i="22"/>
  <c r="Y161" i="22"/>
  <c r="Y175" i="8"/>
  <c r="Y176" i="8"/>
  <c r="AB210" i="22"/>
  <c r="AB211" i="22"/>
  <c r="AF131" i="11"/>
  <c r="AF130" i="11"/>
  <c r="G76" i="9"/>
  <c r="F199" i="9"/>
  <c r="AA196" i="10"/>
  <c r="AA195" i="10"/>
  <c r="AB74" i="7"/>
  <c r="AA194" i="7"/>
  <c r="C129" i="2"/>
  <c r="C8" i="2"/>
  <c r="E8" i="2"/>
  <c r="C7" i="20"/>
  <c r="AM129" i="2"/>
  <c r="AM8" i="2"/>
  <c r="G8" i="20"/>
  <c r="L129" i="2"/>
  <c r="L8" i="2"/>
  <c r="BE129" i="2"/>
  <c r="AV129" i="2"/>
  <c r="AV8" i="2"/>
  <c r="H8" i="20"/>
  <c r="BN129" i="2"/>
  <c r="BN8" i="2"/>
  <c r="J8" i="20"/>
  <c r="AD129" i="2"/>
  <c r="AD8" i="2"/>
  <c r="F8" i="20"/>
  <c r="U129" i="2"/>
  <c r="U8" i="2"/>
  <c r="E8" i="20"/>
  <c r="CA191" i="7"/>
  <c r="CA190" i="7"/>
  <c r="BL167" i="11"/>
  <c r="BO68" i="11"/>
  <c r="BN179" i="11"/>
  <c r="AD186" i="9"/>
  <c r="AD185" i="9"/>
  <c r="J191" i="8"/>
  <c r="J190" i="8"/>
  <c r="AD204" i="10"/>
  <c r="AE78" i="10"/>
  <c r="AD150" i="10"/>
  <c r="AD151" i="10"/>
  <c r="AB70" i="7"/>
  <c r="AA184" i="7"/>
  <c r="BM165" i="11"/>
  <c r="BM166" i="11"/>
  <c r="AB181" i="9"/>
  <c r="AB180" i="9"/>
  <c r="AA196" i="8"/>
  <c r="AA195" i="8"/>
  <c r="AO85" i="22"/>
  <c r="AO86" i="22"/>
  <c r="AJ141" i="11"/>
  <c r="AJ140" i="11"/>
  <c r="CB64" i="8"/>
  <c r="CA169" i="8"/>
  <c r="AK190" i="10"/>
  <c r="AK191" i="10"/>
  <c r="AB207" i="10"/>
  <c r="Z159" i="22"/>
  <c r="AA60" i="22"/>
  <c r="AA182" i="9"/>
  <c r="Y210" i="11"/>
  <c r="Y211" i="11"/>
  <c r="AA66" i="8"/>
  <c r="Z174" i="8"/>
  <c r="AH48" i="11"/>
  <c r="AG129" i="11"/>
  <c r="E201" i="9"/>
  <c r="E200" i="9"/>
  <c r="AC74" i="10"/>
  <c r="AB194" i="10"/>
  <c r="G30" i="30"/>
  <c r="F31" i="30"/>
  <c r="L167" i="7"/>
  <c r="H49" i="34"/>
  <c r="E115" i="8"/>
  <c r="E116" i="8"/>
  <c r="E117" i="8"/>
  <c r="G42" i="8"/>
  <c r="F114" i="8"/>
  <c r="K94" i="8"/>
  <c r="L34" i="8"/>
  <c r="G44" i="8"/>
  <c r="F119" i="8"/>
  <c r="F120" i="8"/>
  <c r="F121" i="8"/>
  <c r="F122" i="8"/>
  <c r="N164" i="7"/>
  <c r="O62" i="7"/>
  <c r="G32" i="11"/>
  <c r="F89" i="11"/>
  <c r="M165" i="7"/>
  <c r="M166" i="7"/>
  <c r="H30" i="9"/>
  <c r="G84" i="9"/>
  <c r="G85" i="9"/>
  <c r="G86" i="9"/>
  <c r="G87" i="9"/>
  <c r="F85" i="9"/>
  <c r="F86" i="9"/>
  <c r="F87" i="9"/>
  <c r="F139" i="9"/>
  <c r="F140" i="9"/>
  <c r="F141" i="9"/>
  <c r="F142" i="9"/>
  <c r="G52" i="9"/>
  <c r="H86" i="1"/>
  <c r="H87" i="1"/>
  <c r="H88" i="1"/>
  <c r="H89" i="1"/>
  <c r="I30" i="1"/>
  <c r="E172" i="1"/>
  <c r="E173" i="1"/>
  <c r="E174" i="1"/>
  <c r="E142" i="1"/>
  <c r="E143" i="1"/>
  <c r="E144" i="1"/>
  <c r="F181" i="1"/>
  <c r="F182" i="1"/>
  <c r="F183" i="1"/>
  <c r="F184" i="1"/>
  <c r="G68" i="1"/>
  <c r="F156" i="1"/>
  <c r="F157" i="1"/>
  <c r="F158" i="1"/>
  <c r="F159" i="1"/>
  <c r="G58" i="1"/>
  <c r="G64" i="1"/>
  <c r="F171" i="1"/>
  <c r="F172" i="1"/>
  <c r="F173" i="1"/>
  <c r="F174" i="1"/>
  <c r="F141" i="1"/>
  <c r="F142" i="1"/>
  <c r="F143" i="1"/>
  <c r="F144" i="1"/>
  <c r="G52" i="1"/>
  <c r="F96" i="1"/>
  <c r="G34" i="1"/>
  <c r="G48" i="1"/>
  <c r="F131" i="1"/>
  <c r="H91" i="1"/>
  <c r="H92" i="1"/>
  <c r="H93" i="1"/>
  <c r="H94" i="1"/>
  <c r="I32" i="1"/>
  <c r="G50" i="1"/>
  <c r="F136" i="1"/>
  <c r="Z11" i="26"/>
  <c r="F11" i="26"/>
  <c r="U11" i="26"/>
  <c r="AE11" i="26"/>
  <c r="P11" i="26"/>
  <c r="AJ11" i="26"/>
  <c r="K11" i="26"/>
  <c r="I31" i="30"/>
  <c r="A12" i="26"/>
  <c r="AO12" i="26"/>
  <c r="G44" i="35"/>
  <c r="F45" i="35"/>
  <c r="H44" i="22"/>
  <c r="G119" i="22"/>
  <c r="D111" i="6"/>
  <c r="D161" i="6"/>
  <c r="D166" i="6"/>
  <c r="H42" i="6"/>
  <c r="G128" i="6"/>
  <c r="G129" i="6"/>
  <c r="G130" i="6"/>
  <c r="G131" i="6"/>
  <c r="F113" i="6"/>
  <c r="F114" i="6"/>
  <c r="F115" i="6"/>
  <c r="F116" i="6"/>
  <c r="G36" i="6"/>
  <c r="G44" i="6"/>
  <c r="F133" i="6"/>
  <c r="F134" i="6"/>
  <c r="F135" i="6"/>
  <c r="F136" i="6"/>
  <c r="E84" i="6"/>
  <c r="E85" i="6"/>
  <c r="E86" i="6"/>
  <c r="F78" i="6"/>
  <c r="F79" i="6"/>
  <c r="F80" i="6"/>
  <c r="F81" i="6"/>
  <c r="G22" i="6"/>
  <c r="F88" i="6"/>
  <c r="F89" i="6"/>
  <c r="F90" i="6"/>
  <c r="F91" i="6"/>
  <c r="G26" i="6"/>
  <c r="G40" i="6"/>
  <c r="F123" i="6"/>
  <c r="F124" i="6"/>
  <c r="F125" i="6"/>
  <c r="F126" i="6"/>
  <c r="G32" i="6"/>
  <c r="F103" i="6"/>
  <c r="F104" i="6"/>
  <c r="F105" i="6"/>
  <c r="F106" i="6"/>
  <c r="G28" i="6"/>
  <c r="F93" i="6"/>
  <c r="F94" i="6"/>
  <c r="F95" i="6"/>
  <c r="F96" i="6"/>
  <c r="G34" i="6"/>
  <c r="F108" i="6"/>
  <c r="F109" i="6"/>
  <c r="F110" i="6"/>
  <c r="F111" i="6"/>
  <c r="E131" i="6"/>
  <c r="D116" i="6"/>
  <c r="D81" i="6"/>
  <c r="D91" i="6"/>
  <c r="H30" i="6"/>
  <c r="G98" i="6"/>
  <c r="G99" i="6"/>
  <c r="G100" i="6"/>
  <c r="G101" i="6"/>
  <c r="F83" i="6"/>
  <c r="F84" i="6"/>
  <c r="F85" i="6"/>
  <c r="F86" i="6"/>
  <c r="G24" i="6"/>
  <c r="E79" i="6"/>
  <c r="E80" i="6"/>
  <c r="E81" i="6"/>
  <c r="G218" i="1"/>
  <c r="G217" i="1"/>
  <c r="I82" i="1"/>
  <c r="H216" i="1"/>
  <c r="J80" i="1"/>
  <c r="I211" i="1"/>
  <c r="I212" i="1"/>
  <c r="I213" i="1"/>
  <c r="I214" i="1"/>
  <c r="F116" i="1"/>
  <c r="G42" i="1"/>
  <c r="D189" i="1"/>
  <c r="F179" i="1"/>
  <c r="D132" i="9"/>
  <c r="D97" i="7"/>
  <c r="E102" i="8"/>
  <c r="D97" i="22"/>
  <c r="H36" i="8"/>
  <c r="G99" i="8"/>
  <c r="G100" i="8"/>
  <c r="G101" i="8"/>
  <c r="G102" i="8"/>
  <c r="I105" i="8"/>
  <c r="I106" i="8"/>
  <c r="I107" i="8"/>
  <c r="K38" i="8"/>
  <c r="J104" i="8"/>
  <c r="J105" i="8"/>
  <c r="J106" i="8"/>
  <c r="J107" i="8"/>
  <c r="G119" i="11"/>
  <c r="H44" i="11"/>
  <c r="F120" i="11"/>
  <c r="F121" i="11"/>
  <c r="F122" i="11"/>
  <c r="K24" i="36"/>
  <c r="T24" i="36"/>
  <c r="H44" i="33"/>
  <c r="J44" i="33"/>
  <c r="Z27" i="39"/>
  <c r="F105" i="22"/>
  <c r="F106" i="22"/>
  <c r="E130" i="22"/>
  <c r="E131" i="22"/>
  <c r="E132" i="22"/>
  <c r="G104" i="22"/>
  <c r="H38" i="22"/>
  <c r="F129" i="22"/>
  <c r="G48" i="22"/>
  <c r="F94" i="22"/>
  <c r="G34" i="22"/>
  <c r="E95" i="22"/>
  <c r="E96" i="22"/>
  <c r="E97" i="22"/>
  <c r="G42" i="7"/>
  <c r="F114" i="7"/>
  <c r="F115" i="7"/>
  <c r="F116" i="7"/>
  <c r="F117" i="7"/>
  <c r="G99" i="7"/>
  <c r="H36" i="7"/>
  <c r="I109" i="7"/>
  <c r="I110" i="7"/>
  <c r="I111" i="7"/>
  <c r="I112" i="7"/>
  <c r="J40" i="7"/>
  <c r="H30" i="7"/>
  <c r="G84" i="7"/>
  <c r="G85" i="7"/>
  <c r="G86" i="7"/>
  <c r="G87" i="7"/>
  <c r="G34" i="7"/>
  <c r="F94" i="7"/>
  <c r="H38" i="7"/>
  <c r="G104" i="7"/>
  <c r="G105" i="7"/>
  <c r="G106" i="7"/>
  <c r="G107" i="7"/>
  <c r="E95" i="7"/>
  <c r="E96" i="7"/>
  <c r="J38" i="6"/>
  <c r="I118" i="6"/>
  <c r="I119" i="6"/>
  <c r="I120" i="6"/>
  <c r="I121" i="6"/>
  <c r="J144" i="9"/>
  <c r="K54" i="9"/>
  <c r="E114" i="9"/>
  <c r="E115" i="9"/>
  <c r="E116" i="9"/>
  <c r="E117" i="9"/>
  <c r="F42" i="9"/>
  <c r="F94" i="9"/>
  <c r="F95" i="9"/>
  <c r="F96" i="9"/>
  <c r="F97" i="9"/>
  <c r="G34" i="9"/>
  <c r="E125" i="9"/>
  <c r="E126" i="9"/>
  <c r="I104" i="9"/>
  <c r="I105" i="9"/>
  <c r="I106" i="9"/>
  <c r="I107" i="9"/>
  <c r="J38" i="9"/>
  <c r="F124" i="9"/>
  <c r="F125" i="9"/>
  <c r="F126" i="9"/>
  <c r="F127" i="9"/>
  <c r="G46" i="9"/>
  <c r="F135" i="9"/>
  <c r="F136" i="9"/>
  <c r="F137" i="9"/>
  <c r="H50" i="9"/>
  <c r="G134" i="9"/>
  <c r="G135" i="9"/>
  <c r="G136" i="9"/>
  <c r="G137" i="9"/>
  <c r="G48" i="9"/>
  <c r="F129" i="9"/>
  <c r="F130" i="9"/>
  <c r="F131" i="9"/>
  <c r="F132" i="9"/>
  <c r="G56" i="9"/>
  <c r="F149" i="9"/>
  <c r="F150" i="9"/>
  <c r="F151" i="9"/>
  <c r="F152" i="9"/>
  <c r="F119" i="9"/>
  <c r="F120" i="9"/>
  <c r="F121" i="9"/>
  <c r="F122" i="9"/>
  <c r="G44" i="9"/>
  <c r="E130" i="9"/>
  <c r="E131" i="9"/>
  <c r="E132" i="9"/>
  <c r="H89" i="9"/>
  <c r="H90" i="9"/>
  <c r="H91" i="9"/>
  <c r="H92" i="9"/>
  <c r="I32" i="9"/>
  <c r="M56" i="1"/>
  <c r="L151" i="1"/>
  <c r="L152" i="1"/>
  <c r="L153" i="1"/>
  <c r="L154" i="1"/>
  <c r="G177" i="1"/>
  <c r="G178" i="1"/>
  <c r="H72" i="1"/>
  <c r="G191" i="1"/>
  <c r="G192" i="1"/>
  <c r="G193" i="1"/>
  <c r="G194" i="1"/>
  <c r="I66" i="1"/>
  <c r="H176" i="1"/>
  <c r="E187" i="1"/>
  <c r="E188" i="1"/>
  <c r="E189" i="1"/>
  <c r="G161" i="1"/>
  <c r="H60" i="1"/>
  <c r="E207" i="1"/>
  <c r="E208" i="1"/>
  <c r="E209" i="1"/>
  <c r="I76" i="1"/>
  <c r="H201" i="1"/>
  <c r="H202" i="1"/>
  <c r="H203" i="1"/>
  <c r="H204" i="1"/>
  <c r="G70" i="1"/>
  <c r="F186" i="1"/>
  <c r="F187" i="1"/>
  <c r="F188" i="1"/>
  <c r="F189" i="1"/>
  <c r="G74" i="1"/>
  <c r="F196" i="1"/>
  <c r="F197" i="1"/>
  <c r="F198" i="1"/>
  <c r="F199" i="1"/>
  <c r="F162" i="1"/>
  <c r="F163" i="1"/>
  <c r="F164" i="1"/>
  <c r="G78" i="1"/>
  <c r="F206" i="1"/>
  <c r="F207" i="1"/>
  <c r="F208" i="1"/>
  <c r="F209" i="1"/>
  <c r="U26" i="37"/>
  <c r="W26" i="37"/>
  <c r="V26" i="37"/>
  <c r="Z26" i="37"/>
  <c r="H39" i="37"/>
  <c r="K115" i="11"/>
  <c r="K116" i="11"/>
  <c r="K117" i="11"/>
  <c r="M42" i="11"/>
  <c r="L114" i="11"/>
  <c r="H39" i="34"/>
  <c r="T23" i="35"/>
  <c r="K24" i="33"/>
  <c r="T24" i="33"/>
  <c r="G44" i="37"/>
  <c r="F45" i="37"/>
  <c r="H44" i="36"/>
  <c r="H49" i="36"/>
  <c r="H39" i="36"/>
  <c r="X24" i="36"/>
  <c r="U25" i="36"/>
  <c r="AC33" i="39"/>
  <c r="AC23" i="39"/>
  <c r="AC28" i="39"/>
  <c r="X24" i="35"/>
  <c r="U25" i="35"/>
  <c r="W25" i="35"/>
  <c r="V25" i="35"/>
  <c r="K24" i="35"/>
  <c r="U24" i="34"/>
  <c r="W24" i="34"/>
  <c r="V24" i="34"/>
  <c r="H44" i="34"/>
  <c r="J44" i="34"/>
  <c r="K23" i="34"/>
  <c r="AA28" i="39"/>
  <c r="AA23" i="39"/>
  <c r="X24" i="33"/>
  <c r="U25" i="33"/>
  <c r="W25" i="33"/>
  <c r="V25" i="33"/>
  <c r="H49" i="33"/>
  <c r="Z33" i="39"/>
  <c r="Z23" i="39"/>
  <c r="Z28" i="39"/>
  <c r="X24" i="32"/>
  <c r="U25" i="32"/>
  <c r="W25" i="32"/>
  <c r="V25" i="32"/>
  <c r="Y28" i="39"/>
  <c r="H49" i="32"/>
  <c r="J49" i="32"/>
  <c r="Y33" i="39"/>
  <c r="K24" i="32"/>
  <c r="L23" i="32"/>
  <c r="T23" i="32"/>
  <c r="H44" i="32"/>
  <c r="X24" i="31"/>
  <c r="U25" i="31"/>
  <c r="W25" i="31"/>
  <c r="V25" i="31"/>
  <c r="K24" i="31"/>
  <c r="K30" i="11"/>
  <c r="J84" i="11"/>
  <c r="I85" i="11"/>
  <c r="I86" i="11"/>
  <c r="I87" i="11"/>
  <c r="I36" i="11"/>
  <c r="H99" i="11"/>
  <c r="G100" i="11"/>
  <c r="G101" i="11"/>
  <c r="G102" i="11"/>
  <c r="F105" i="11"/>
  <c r="F106" i="11"/>
  <c r="F107" i="11"/>
  <c r="H38" i="11"/>
  <c r="G104" i="11"/>
  <c r="F135" i="10"/>
  <c r="F136" i="10"/>
  <c r="F137" i="10"/>
  <c r="H50" i="10"/>
  <c r="G134" i="10"/>
  <c r="F100" i="10"/>
  <c r="F101" i="10"/>
  <c r="F102" i="10"/>
  <c r="G99" i="10"/>
  <c r="H36" i="10"/>
  <c r="E155" i="22"/>
  <c r="E156" i="22"/>
  <c r="E157" i="22"/>
  <c r="G58" i="22"/>
  <c r="F154" i="22"/>
  <c r="F100" i="22"/>
  <c r="F101" i="22"/>
  <c r="F102" i="22"/>
  <c r="H40" i="22"/>
  <c r="G109" i="22"/>
  <c r="G99" i="22"/>
  <c r="H36" i="22"/>
  <c r="F110" i="22"/>
  <c r="F111" i="22"/>
  <c r="F112" i="22"/>
  <c r="H54" i="22"/>
  <c r="G144" i="22"/>
  <c r="F145" i="22"/>
  <c r="F146" i="22"/>
  <c r="F147" i="22"/>
  <c r="J56" i="8"/>
  <c r="I149" i="8"/>
  <c r="H150" i="8"/>
  <c r="H151" i="8"/>
  <c r="H152" i="8"/>
  <c r="F145" i="8"/>
  <c r="F146" i="8"/>
  <c r="F147" i="8"/>
  <c r="H54" i="8"/>
  <c r="G144" i="8"/>
  <c r="G52" i="8"/>
  <c r="F139" i="8"/>
  <c r="D85" i="8"/>
  <c r="D86" i="8"/>
  <c r="D87" i="8"/>
  <c r="E110" i="8"/>
  <c r="E111" i="8"/>
  <c r="E112" i="8"/>
  <c r="E130" i="8"/>
  <c r="E131" i="8"/>
  <c r="E132" i="8"/>
  <c r="F30" i="8"/>
  <c r="E84" i="8"/>
  <c r="E90" i="8"/>
  <c r="E91" i="8"/>
  <c r="E92" i="8"/>
  <c r="G40" i="8"/>
  <c r="F109" i="8"/>
  <c r="G48" i="8"/>
  <c r="F129" i="8"/>
  <c r="E140" i="8"/>
  <c r="E141" i="8"/>
  <c r="E142" i="8"/>
  <c r="G32" i="8"/>
  <c r="F89" i="8"/>
  <c r="E145" i="7"/>
  <c r="E146" i="7"/>
  <c r="E147" i="7"/>
  <c r="F144" i="7"/>
  <c r="G54" i="7"/>
  <c r="E140" i="7"/>
  <c r="E141" i="7"/>
  <c r="E142" i="7"/>
  <c r="G52" i="7"/>
  <c r="F139" i="7"/>
  <c r="E135" i="7"/>
  <c r="E136" i="7"/>
  <c r="E137" i="7"/>
  <c r="G50" i="7"/>
  <c r="F134" i="7"/>
  <c r="H120" i="7"/>
  <c r="H121" i="7"/>
  <c r="H122" i="7"/>
  <c r="J44" i="7"/>
  <c r="I119" i="7"/>
  <c r="L90" i="7"/>
  <c r="L91" i="7"/>
  <c r="L92" i="7"/>
  <c r="G125" i="7"/>
  <c r="G126" i="7"/>
  <c r="G127" i="7"/>
  <c r="M89" i="7"/>
  <c r="N32" i="7"/>
  <c r="I46" i="7"/>
  <c r="H124" i="7"/>
  <c r="E164" i="6"/>
  <c r="E165" i="6"/>
  <c r="E166" i="6"/>
  <c r="G56" i="6"/>
  <c r="F163" i="6"/>
  <c r="E159" i="6"/>
  <c r="E160" i="6"/>
  <c r="E161" i="6"/>
  <c r="G54" i="6"/>
  <c r="F158" i="6"/>
  <c r="G52" i="6"/>
  <c r="F153" i="6"/>
  <c r="E154" i="6"/>
  <c r="E155" i="6"/>
  <c r="G50" i="6"/>
  <c r="F148" i="6"/>
  <c r="E149" i="6"/>
  <c r="E150" i="6"/>
  <c r="E151" i="6"/>
  <c r="E144" i="6"/>
  <c r="E145" i="6"/>
  <c r="E146" i="6"/>
  <c r="G48" i="6"/>
  <c r="F143" i="6"/>
  <c r="H60" i="9"/>
  <c r="G159" i="9"/>
  <c r="F160" i="9"/>
  <c r="F161" i="9"/>
  <c r="F162" i="9"/>
  <c r="E155" i="9"/>
  <c r="E156" i="9"/>
  <c r="E157" i="9"/>
  <c r="F154" i="9"/>
  <c r="G58" i="9"/>
  <c r="F110" i="9"/>
  <c r="F111" i="9"/>
  <c r="F112" i="9"/>
  <c r="F100" i="9"/>
  <c r="F101" i="9"/>
  <c r="F102" i="9"/>
  <c r="G109" i="9"/>
  <c r="H40" i="9"/>
  <c r="G99" i="9"/>
  <c r="H36" i="9"/>
  <c r="E167" i="1"/>
  <c r="E168" i="1"/>
  <c r="E169" i="1"/>
  <c r="G62" i="1"/>
  <c r="F166" i="1"/>
  <c r="E147" i="1"/>
  <c r="E148" i="1"/>
  <c r="E149" i="1"/>
  <c r="G54" i="1"/>
  <c r="F146" i="1"/>
  <c r="E127" i="1"/>
  <c r="E128" i="1"/>
  <c r="E129" i="1"/>
  <c r="G46" i="1"/>
  <c r="F126" i="1"/>
  <c r="G122" i="1"/>
  <c r="G123" i="1"/>
  <c r="G124" i="1"/>
  <c r="I44" i="1"/>
  <c r="H121" i="1"/>
  <c r="F106" i="1"/>
  <c r="G38" i="1"/>
  <c r="H101" i="1"/>
  <c r="I36" i="1"/>
  <c r="G102" i="1"/>
  <c r="G103" i="1"/>
  <c r="G104" i="1"/>
  <c r="G112" i="1"/>
  <c r="G113" i="1"/>
  <c r="G114" i="1"/>
  <c r="E107" i="1"/>
  <c r="E108" i="1"/>
  <c r="E109" i="1"/>
  <c r="H111" i="1"/>
  <c r="I40" i="1"/>
  <c r="T24" i="37"/>
  <c r="L24" i="37"/>
  <c r="L25" i="37"/>
  <c r="T25" i="37"/>
  <c r="H43" i="33"/>
  <c r="H48" i="7"/>
  <c r="G129" i="7"/>
  <c r="G130" i="7"/>
  <c r="G131" i="7"/>
  <c r="G132" i="7"/>
  <c r="BZ236" i="7"/>
  <c r="CA157" i="11"/>
  <c r="CA229" i="11"/>
  <c r="CB156" i="11"/>
  <c r="CB155" i="11"/>
  <c r="BX59" i="11"/>
  <c r="BY229" i="11"/>
  <c r="AN194" i="9"/>
  <c r="AO74" i="9"/>
  <c r="BY236" i="7"/>
  <c r="AL197" i="9"/>
  <c r="BZ229" i="11"/>
  <c r="AM195" i="9"/>
  <c r="AM196" i="9"/>
  <c r="L24" i="36"/>
  <c r="J39" i="33"/>
  <c r="Z22" i="39"/>
  <c r="H38" i="33"/>
  <c r="BE8" i="2"/>
  <c r="I7" i="20"/>
  <c r="CF7" i="2"/>
  <c r="J26" i="41"/>
  <c r="AE9" i="39"/>
  <c r="H25" i="41"/>
  <c r="G43" i="41"/>
  <c r="F44" i="41"/>
  <c r="L80" i="41"/>
  <c r="M79" i="41"/>
  <c r="E187" i="8"/>
  <c r="F152" i="11"/>
  <c r="H157" i="7"/>
  <c r="E202" i="9"/>
  <c r="E202" i="10"/>
  <c r="AF177" i="9"/>
  <c r="F202" i="7"/>
  <c r="AE212" i="10"/>
  <c r="E167" i="9"/>
  <c r="U197" i="11"/>
  <c r="BR212" i="8"/>
  <c r="M167" i="22"/>
  <c r="BT147" i="11"/>
  <c r="E162" i="10"/>
  <c r="E182" i="10"/>
  <c r="V265" i="40"/>
  <c r="V266" i="40"/>
  <c r="V267" i="40"/>
  <c r="V285" i="40"/>
  <c r="V286" i="40"/>
  <c r="V287" i="40"/>
  <c r="V245" i="40"/>
  <c r="V246" i="40"/>
  <c r="V247" i="40"/>
  <c r="W264" i="40"/>
  <c r="X100" i="40"/>
  <c r="W284" i="40"/>
  <c r="X108" i="40"/>
  <c r="W244" i="40"/>
  <c r="X92" i="40"/>
  <c r="W289" i="40"/>
  <c r="X110" i="40"/>
  <c r="W249" i="40"/>
  <c r="X94" i="40"/>
  <c r="W269" i="40"/>
  <c r="X102" i="40"/>
  <c r="AB280" i="40"/>
  <c r="AB281" i="40"/>
  <c r="AB282" i="40"/>
  <c r="V290" i="40"/>
  <c r="V291" i="40"/>
  <c r="V292" i="40"/>
  <c r="V250" i="40"/>
  <c r="V251" i="40"/>
  <c r="V252" i="40"/>
  <c r="V270" i="40"/>
  <c r="V271" i="40"/>
  <c r="V272" i="40"/>
  <c r="AD96" i="40"/>
  <c r="AD254" i="40"/>
  <c r="AD255" i="40"/>
  <c r="AD256" i="40"/>
  <c r="AD257" i="40"/>
  <c r="AD104" i="40"/>
  <c r="AD274" i="40"/>
  <c r="AE98" i="40"/>
  <c r="AE259" i="40"/>
  <c r="AC106" i="40"/>
  <c r="AC279" i="40"/>
  <c r="AC280" i="40"/>
  <c r="AC281" i="40"/>
  <c r="AC282" i="40"/>
  <c r="Z90" i="40"/>
  <c r="U192" i="40"/>
  <c r="X185" i="40"/>
  <c r="X186" i="40"/>
  <c r="X187" i="40"/>
  <c r="Y50" i="40"/>
  <c r="X139" i="40"/>
  <c r="V190" i="40"/>
  <c r="V191" i="40"/>
  <c r="X78" i="40"/>
  <c r="W209" i="40"/>
  <c r="W235" i="40"/>
  <c r="W236" i="40"/>
  <c r="V145" i="40"/>
  <c r="V146" i="40"/>
  <c r="V147" i="40"/>
  <c r="X46" i="40"/>
  <c r="W129" i="40"/>
  <c r="U162" i="40"/>
  <c r="Z68" i="40"/>
  <c r="Y184" i="40"/>
  <c r="X86" i="40"/>
  <c r="W229" i="40"/>
  <c r="V200" i="40"/>
  <c r="V201" i="40"/>
  <c r="V237" i="40"/>
  <c r="Y60" i="40"/>
  <c r="X164" i="40"/>
  <c r="U222" i="40"/>
  <c r="X175" i="40"/>
  <c r="X176" i="40"/>
  <c r="X70" i="40"/>
  <c r="W189" i="40"/>
  <c r="U232" i="40"/>
  <c r="X54" i="40"/>
  <c r="W149" i="40"/>
  <c r="X58" i="40"/>
  <c r="W159" i="40"/>
  <c r="X195" i="40"/>
  <c r="X196" i="40"/>
  <c r="W180" i="40"/>
  <c r="W181" i="40"/>
  <c r="W182" i="40"/>
  <c r="Y88" i="40"/>
  <c r="X234" i="40"/>
  <c r="W205" i="40"/>
  <c r="W206" i="40"/>
  <c r="V170" i="40"/>
  <c r="V171" i="40"/>
  <c r="V120" i="40"/>
  <c r="V121" i="40"/>
  <c r="V122" i="40"/>
  <c r="W115" i="40"/>
  <c r="W116" i="40"/>
  <c r="W117" i="40"/>
  <c r="V230" i="40"/>
  <c r="V231" i="40"/>
  <c r="X48" i="40"/>
  <c r="W134" i="40"/>
  <c r="W165" i="40"/>
  <c r="W166" i="40"/>
  <c r="W167" i="40"/>
  <c r="V160" i="40"/>
  <c r="V161" i="40"/>
  <c r="V155" i="40"/>
  <c r="V156" i="40"/>
  <c r="X52" i="40"/>
  <c r="W144" i="40"/>
  <c r="X42" i="40"/>
  <c r="W119" i="40"/>
  <c r="V220" i="40"/>
  <c r="V221" i="40"/>
  <c r="Y40" i="40"/>
  <c r="X114" i="40"/>
  <c r="V240" i="40"/>
  <c r="V241" i="40"/>
  <c r="V242" i="40"/>
  <c r="X74" i="40"/>
  <c r="W199" i="40"/>
  <c r="V125" i="40"/>
  <c r="V126" i="40"/>
  <c r="V127" i="40"/>
  <c r="Z64" i="40"/>
  <c r="Y174" i="40"/>
  <c r="X56" i="40"/>
  <c r="W154" i="40"/>
  <c r="Z72" i="40"/>
  <c r="Y194" i="40"/>
  <c r="W225" i="40"/>
  <c r="W226" i="40"/>
  <c r="W227" i="40"/>
  <c r="Y76" i="40"/>
  <c r="X204" i="40"/>
  <c r="W215" i="40"/>
  <c r="W216" i="40"/>
  <c r="W217" i="40"/>
  <c r="X62" i="40"/>
  <c r="W169" i="40"/>
  <c r="V130" i="40"/>
  <c r="V131" i="40"/>
  <c r="V132" i="40"/>
  <c r="X82" i="40"/>
  <c r="W219" i="40"/>
  <c r="V135" i="40"/>
  <c r="V136" i="40"/>
  <c r="V137" i="40"/>
  <c r="W239" i="40"/>
  <c r="W140" i="40"/>
  <c r="W141" i="40"/>
  <c r="W142" i="40"/>
  <c r="X44" i="40"/>
  <c r="W124" i="40"/>
  <c r="W187" i="40"/>
  <c r="V150" i="40"/>
  <c r="V151" i="40"/>
  <c r="V152" i="40"/>
  <c r="W197" i="40"/>
  <c r="U202" i="40"/>
  <c r="V210" i="40"/>
  <c r="V211" i="40"/>
  <c r="V212" i="40"/>
  <c r="Y84" i="40"/>
  <c r="X224" i="40"/>
  <c r="Y66" i="40"/>
  <c r="X179" i="40"/>
  <c r="V167" i="40"/>
  <c r="Y80" i="40"/>
  <c r="X214" i="40"/>
  <c r="AG157" i="10"/>
  <c r="N172" i="9"/>
  <c r="AJ142" i="11"/>
  <c r="AC212" i="7"/>
  <c r="AQ172" i="7"/>
  <c r="K58" i="7"/>
  <c r="J154" i="7"/>
  <c r="AH80" i="10"/>
  <c r="AG209" i="10"/>
  <c r="BS211" i="8"/>
  <c r="BS210" i="8"/>
  <c r="H70" i="8"/>
  <c r="G184" i="8"/>
  <c r="G150" i="11"/>
  <c r="G151" i="11"/>
  <c r="G200" i="7"/>
  <c r="G201" i="7"/>
  <c r="O192" i="22"/>
  <c r="E202" i="11"/>
  <c r="U58" i="8"/>
  <c r="T154" i="8"/>
  <c r="M186" i="22"/>
  <c r="M185" i="22"/>
  <c r="O206" i="9"/>
  <c r="O205" i="9"/>
  <c r="Z146" i="10"/>
  <c r="Z145" i="10"/>
  <c r="H50" i="11"/>
  <c r="G134" i="11"/>
  <c r="H78" i="8"/>
  <c r="G204" i="8"/>
  <c r="M60" i="7"/>
  <c r="L159" i="7"/>
  <c r="U186" i="10"/>
  <c r="U185" i="10"/>
  <c r="N207" i="9"/>
  <c r="H66" i="7"/>
  <c r="G174" i="7"/>
  <c r="J125" i="11"/>
  <c r="J126" i="11"/>
  <c r="AE66" i="22"/>
  <c r="AD174" i="22"/>
  <c r="H76" i="22"/>
  <c r="G199" i="22"/>
  <c r="H60" i="10"/>
  <c r="G159" i="10"/>
  <c r="H68" i="10"/>
  <c r="G179" i="10"/>
  <c r="Q176" i="10"/>
  <c r="Q175" i="10"/>
  <c r="F200" i="11"/>
  <c r="F201" i="11"/>
  <c r="F150" i="22"/>
  <c r="F151" i="22"/>
  <c r="F152" i="22"/>
  <c r="BR161" i="11"/>
  <c r="BR160" i="11"/>
  <c r="I56" i="11"/>
  <c r="H149" i="11"/>
  <c r="I76" i="7"/>
  <c r="H199" i="7"/>
  <c r="H46" i="6"/>
  <c r="G138" i="6"/>
  <c r="G139" i="6"/>
  <c r="G140" i="6"/>
  <c r="G141" i="6"/>
  <c r="P206" i="22"/>
  <c r="P205" i="22"/>
  <c r="M205" i="7"/>
  <c r="M206" i="7"/>
  <c r="BU145" i="11"/>
  <c r="BU146" i="11"/>
  <c r="F165" i="9"/>
  <c r="F166" i="9"/>
  <c r="N166" i="22"/>
  <c r="N165" i="22"/>
  <c r="K205" i="11"/>
  <c r="K206" i="11"/>
  <c r="V196" i="11"/>
  <c r="V195" i="11"/>
  <c r="AH155" i="10"/>
  <c r="AH156" i="10"/>
  <c r="R166" i="10"/>
  <c r="R165" i="10"/>
  <c r="O171" i="9"/>
  <c r="O170" i="9"/>
  <c r="AG170" i="10"/>
  <c r="AG171" i="10"/>
  <c r="W182" i="8"/>
  <c r="F161" i="10"/>
  <c r="F160" i="10"/>
  <c r="F180" i="10"/>
  <c r="F181" i="10"/>
  <c r="I127" i="11"/>
  <c r="L165" i="8"/>
  <c r="L166" i="8"/>
  <c r="R174" i="10"/>
  <c r="S66" i="10"/>
  <c r="Q167" i="10"/>
  <c r="H76" i="11"/>
  <c r="G199" i="11"/>
  <c r="G149" i="22"/>
  <c r="H56" i="22"/>
  <c r="BT60" i="11"/>
  <c r="BS159" i="11"/>
  <c r="AF172" i="10"/>
  <c r="F201" i="10"/>
  <c r="F200" i="10"/>
  <c r="K167" i="8"/>
  <c r="AI66" i="9"/>
  <c r="AH174" i="9"/>
  <c r="Q204" i="22"/>
  <c r="R78" i="22"/>
  <c r="T187" i="10"/>
  <c r="O78" i="7"/>
  <c r="N204" i="7"/>
  <c r="R72" i="22"/>
  <c r="Q189" i="22"/>
  <c r="BW54" i="11"/>
  <c r="BV144" i="11"/>
  <c r="H62" i="9"/>
  <c r="G164" i="9"/>
  <c r="R157" i="8"/>
  <c r="L187" i="22"/>
  <c r="P62" i="22"/>
  <c r="O164" i="22"/>
  <c r="M78" i="11"/>
  <c r="L204" i="11"/>
  <c r="P177" i="10"/>
  <c r="X74" i="11"/>
  <c r="W194" i="11"/>
  <c r="AJ58" i="10"/>
  <c r="AI154" i="10"/>
  <c r="S164" i="10"/>
  <c r="T62" i="10"/>
  <c r="Q64" i="9"/>
  <c r="P169" i="9"/>
  <c r="BQ162" i="11"/>
  <c r="AH169" i="10"/>
  <c r="AI64" i="10"/>
  <c r="I156" i="7"/>
  <c r="I155" i="7"/>
  <c r="AF211" i="10"/>
  <c r="AF210" i="10"/>
  <c r="J207" i="11"/>
  <c r="N62" i="8"/>
  <c r="M164" i="8"/>
  <c r="AB177" i="22"/>
  <c r="BU80" i="8"/>
  <c r="BT209" i="8"/>
  <c r="O207" i="22"/>
  <c r="E202" i="22"/>
  <c r="F185" i="8"/>
  <c r="F186" i="8"/>
  <c r="H76" i="10"/>
  <c r="G199" i="10"/>
  <c r="AG176" i="9"/>
  <c r="AG175" i="9"/>
  <c r="S155" i="8"/>
  <c r="S156" i="8"/>
  <c r="O70" i="22"/>
  <c r="N184" i="22"/>
  <c r="P204" i="9"/>
  <c r="Q78" i="9"/>
  <c r="AA144" i="10"/>
  <c r="AB54" i="10"/>
  <c r="P191" i="22"/>
  <c r="P190" i="22"/>
  <c r="F135" i="11"/>
  <c r="F136" i="11"/>
  <c r="F205" i="8"/>
  <c r="F206" i="8"/>
  <c r="K161" i="7"/>
  <c r="K160" i="7"/>
  <c r="V184" i="10"/>
  <c r="W70" i="10"/>
  <c r="F175" i="7"/>
  <c r="F176" i="7"/>
  <c r="L207" i="7"/>
  <c r="L46" i="11"/>
  <c r="K124" i="11"/>
  <c r="Y147" i="10"/>
  <c r="AC175" i="22"/>
  <c r="AC176" i="22"/>
  <c r="E137" i="11"/>
  <c r="E207" i="8"/>
  <c r="J162" i="7"/>
  <c r="F200" i="22"/>
  <c r="F201" i="22"/>
  <c r="E177" i="7"/>
  <c r="J40" i="11"/>
  <c r="I109" i="11"/>
  <c r="I110" i="11"/>
  <c r="I111" i="11"/>
  <c r="I112" i="11"/>
  <c r="G89" i="10"/>
  <c r="G90" i="10"/>
  <c r="G91" i="10"/>
  <c r="G92" i="10"/>
  <c r="H32" i="10"/>
  <c r="F125" i="10"/>
  <c r="F126" i="10"/>
  <c r="F127" i="10"/>
  <c r="I44" i="10"/>
  <c r="H119" i="10"/>
  <c r="H120" i="10"/>
  <c r="H121" i="10"/>
  <c r="H122" i="10"/>
  <c r="H46" i="10"/>
  <c r="G124" i="10"/>
  <c r="G129" i="10"/>
  <c r="G130" i="10"/>
  <c r="G131" i="10"/>
  <c r="G132" i="10"/>
  <c r="H48" i="10"/>
  <c r="G104" i="10"/>
  <c r="G105" i="10"/>
  <c r="G106" i="10"/>
  <c r="G107" i="10"/>
  <c r="H38" i="10"/>
  <c r="G114" i="10"/>
  <c r="G115" i="10"/>
  <c r="G116" i="10"/>
  <c r="G117" i="10"/>
  <c r="H42" i="10"/>
  <c r="H34" i="10"/>
  <c r="G94" i="10"/>
  <c r="G95" i="10"/>
  <c r="G96" i="10"/>
  <c r="G97" i="10"/>
  <c r="G84" i="10"/>
  <c r="G85" i="10"/>
  <c r="G86" i="10"/>
  <c r="G87" i="10"/>
  <c r="H30" i="10"/>
  <c r="H52" i="10"/>
  <c r="G139" i="10"/>
  <c r="G140" i="10"/>
  <c r="G141" i="10"/>
  <c r="G142" i="10"/>
  <c r="H40" i="10"/>
  <c r="G109" i="10"/>
  <c r="G110" i="10"/>
  <c r="G111" i="10"/>
  <c r="G112" i="10"/>
  <c r="G134" i="22"/>
  <c r="H50" i="22"/>
  <c r="G114" i="22"/>
  <c r="G115" i="22"/>
  <c r="G116" i="22"/>
  <c r="G117" i="22"/>
  <c r="H42" i="22"/>
  <c r="F135" i="22"/>
  <c r="F136" i="22"/>
  <c r="F137" i="22"/>
  <c r="H139" i="22"/>
  <c r="H140" i="22"/>
  <c r="H141" i="22"/>
  <c r="H142" i="22"/>
  <c r="I52" i="22"/>
  <c r="I46" i="22"/>
  <c r="H124" i="22"/>
  <c r="H125" i="22"/>
  <c r="H126" i="22"/>
  <c r="H127" i="22"/>
  <c r="G125" i="22"/>
  <c r="G126" i="22"/>
  <c r="G127" i="22"/>
  <c r="G124" i="8"/>
  <c r="G125" i="8"/>
  <c r="G126" i="8"/>
  <c r="G127" i="8"/>
  <c r="H46" i="8"/>
  <c r="H134" i="8"/>
  <c r="I50" i="8"/>
  <c r="F125" i="8"/>
  <c r="F126" i="8"/>
  <c r="F127" i="8"/>
  <c r="BZ172" i="8"/>
  <c r="AB182" i="9"/>
  <c r="Z182" i="22"/>
  <c r="M167" i="7"/>
  <c r="AK192" i="10"/>
  <c r="AB212" i="22"/>
  <c r="Y177" i="8"/>
  <c r="BM182" i="11"/>
  <c r="AD172" i="22"/>
  <c r="Z197" i="7"/>
  <c r="AF212" i="9"/>
  <c r="AD152" i="10"/>
  <c r="L24" i="33"/>
  <c r="AG131" i="11"/>
  <c r="AG130" i="11"/>
  <c r="AB66" i="8"/>
  <c r="AA174" i="8"/>
  <c r="AB60" i="22"/>
  <c r="AA159" i="22"/>
  <c r="AO87" i="22"/>
  <c r="AA197" i="8"/>
  <c r="AD187" i="9"/>
  <c r="CA192" i="7"/>
  <c r="CA236" i="7"/>
  <c r="D8" i="20"/>
  <c r="N8" i="2"/>
  <c r="AA196" i="7"/>
  <c r="AA195" i="7"/>
  <c r="AA197" i="10"/>
  <c r="AF132" i="11"/>
  <c r="AC180" i="9"/>
  <c r="AC181" i="9"/>
  <c r="BQ172" i="11"/>
  <c r="X60" i="8"/>
  <c r="W159" i="8"/>
  <c r="AD209" i="22"/>
  <c r="AE80" i="22"/>
  <c r="F90" i="22"/>
  <c r="F91" i="22"/>
  <c r="F92" i="22"/>
  <c r="W202" i="8"/>
  <c r="AB179" i="22"/>
  <c r="AC68" i="22"/>
  <c r="V192" i="11"/>
  <c r="G189" i="9"/>
  <c r="H72" i="9"/>
  <c r="AG64" i="22"/>
  <c r="AF169" i="22"/>
  <c r="AG211" i="9"/>
  <c r="AG210" i="9"/>
  <c r="U162" i="8"/>
  <c r="Z210" i="11"/>
  <c r="Z211" i="11"/>
  <c r="AD74" i="8"/>
  <c r="AC194" i="8"/>
  <c r="AC207" i="10"/>
  <c r="AG70" i="9"/>
  <c r="AF184" i="9"/>
  <c r="AG182" i="7"/>
  <c r="CB191" i="7"/>
  <c r="CB190" i="7"/>
  <c r="AB196" i="10"/>
  <c r="AB195" i="10"/>
  <c r="AI48" i="11"/>
  <c r="AH129" i="11"/>
  <c r="Z161" i="22"/>
  <c r="Z160" i="22"/>
  <c r="AA186" i="7"/>
  <c r="AA185" i="7"/>
  <c r="AC74" i="7"/>
  <c r="AB194" i="7"/>
  <c r="X200" i="8"/>
  <c r="X201" i="8"/>
  <c r="AQ84" i="22"/>
  <c r="AR30" i="22"/>
  <c r="W190" i="11"/>
  <c r="W191" i="11"/>
  <c r="AC211" i="22"/>
  <c r="AC210" i="22"/>
  <c r="AB195" i="22"/>
  <c r="AB196" i="22"/>
  <c r="Y175" i="11"/>
  <c r="Y176" i="11"/>
  <c r="AA181" i="22"/>
  <c r="AA180" i="22"/>
  <c r="BR170" i="11"/>
  <c r="BR171" i="11"/>
  <c r="AR171" i="7"/>
  <c r="AR170" i="7"/>
  <c r="AH180" i="7"/>
  <c r="AH181" i="7"/>
  <c r="AB80" i="11"/>
  <c r="AA209" i="11"/>
  <c r="AF149" i="10"/>
  <c r="AG56" i="10"/>
  <c r="K191" i="8"/>
  <c r="K190" i="8"/>
  <c r="AC194" i="10"/>
  <c r="AD74" i="10"/>
  <c r="Y212" i="11"/>
  <c r="CA171" i="8"/>
  <c r="CA170" i="8"/>
  <c r="BM167" i="11"/>
  <c r="AC70" i="7"/>
  <c r="AB184" i="7"/>
  <c r="AF78" i="10"/>
  <c r="AE204" i="10"/>
  <c r="J192" i="8"/>
  <c r="BN181" i="11"/>
  <c r="BN180" i="11"/>
  <c r="F201" i="9"/>
  <c r="F200" i="9"/>
  <c r="Y162" i="22"/>
  <c r="AA197" i="22"/>
  <c r="AM189" i="10"/>
  <c r="AN72" i="10"/>
  <c r="Y199" i="8"/>
  <c r="Z76" i="8"/>
  <c r="AP85" i="22"/>
  <c r="AP86" i="22"/>
  <c r="Z187" i="7"/>
  <c r="Y72" i="11"/>
  <c r="X189" i="11"/>
  <c r="X180" i="8"/>
  <c r="X181" i="8"/>
  <c r="A131" i="2"/>
  <c r="BW131" i="2"/>
  <c r="BW10" i="2"/>
  <c r="A11" i="2"/>
  <c r="AD74" i="22"/>
  <c r="AC194" i="22"/>
  <c r="AA66" i="11"/>
  <c r="Z174" i="11"/>
  <c r="BT64" i="11"/>
  <c r="BS169" i="11"/>
  <c r="AD211" i="7"/>
  <c r="AD210" i="7"/>
  <c r="AT64" i="7"/>
  <c r="AS169" i="7"/>
  <c r="AJ68" i="7"/>
  <c r="AI179" i="7"/>
  <c r="X177" i="11"/>
  <c r="AK140" i="11"/>
  <c r="AK141" i="11"/>
  <c r="BN165" i="11"/>
  <c r="BN166" i="11"/>
  <c r="AE150" i="10"/>
  <c r="AE151" i="10"/>
  <c r="E192" i="9"/>
  <c r="L189" i="8"/>
  <c r="M72" i="8"/>
  <c r="Z176" i="8"/>
  <c r="Z175" i="8"/>
  <c r="CB65" i="8"/>
  <c r="CA65" i="8"/>
  <c r="BZ65" i="8"/>
  <c r="BY65" i="8"/>
  <c r="CB169" i="8"/>
  <c r="AD205" i="10"/>
  <c r="AD206" i="10"/>
  <c r="BP68" i="11"/>
  <c r="BO179" i="11"/>
  <c r="G199" i="9"/>
  <c r="H76" i="9"/>
  <c r="AL190" i="10"/>
  <c r="AL191" i="10"/>
  <c r="AE68" i="9"/>
  <c r="AD179" i="9"/>
  <c r="Z68" i="8"/>
  <c r="Y179" i="8"/>
  <c r="BE130" i="2"/>
  <c r="L130" i="2"/>
  <c r="L9" i="2"/>
  <c r="AV130" i="2"/>
  <c r="AV9" i="2"/>
  <c r="H9" i="20"/>
  <c r="U130" i="2"/>
  <c r="U9" i="2"/>
  <c r="E9" i="20"/>
  <c r="BN130" i="2"/>
  <c r="BN9" i="2"/>
  <c r="J9" i="20"/>
  <c r="AM130" i="2"/>
  <c r="AM9" i="2"/>
  <c r="G9" i="20"/>
  <c r="AD130" i="2"/>
  <c r="AD9" i="2"/>
  <c r="F9" i="20"/>
  <c r="C130" i="2"/>
  <c r="C9" i="2"/>
  <c r="E9" i="2"/>
  <c r="C8" i="20"/>
  <c r="V160" i="8"/>
  <c r="V161" i="8"/>
  <c r="G89" i="22"/>
  <c r="H32" i="22"/>
  <c r="L69" i="37"/>
  <c r="M68" i="37"/>
  <c r="F190" i="9"/>
  <c r="F191" i="9"/>
  <c r="AF80" i="7"/>
  <c r="AE209" i="7"/>
  <c r="AE170" i="22"/>
  <c r="AE171" i="22"/>
  <c r="AH209" i="9"/>
  <c r="AI80" i="9"/>
  <c r="AM52" i="11"/>
  <c r="AL139" i="11"/>
  <c r="AB195" i="8"/>
  <c r="AB196" i="8"/>
  <c r="BP62" i="11"/>
  <c r="BO164" i="11"/>
  <c r="AE185" i="9"/>
  <c r="AE186" i="9"/>
  <c r="BW73" i="7"/>
  <c r="BX236" i="7"/>
  <c r="G31" i="30"/>
  <c r="F32" i="30"/>
  <c r="Y26" i="37"/>
  <c r="W25" i="36"/>
  <c r="V25" i="36"/>
  <c r="Y25" i="36"/>
  <c r="K25" i="36"/>
  <c r="T25" i="36"/>
  <c r="J49" i="34"/>
  <c r="AA32" i="39"/>
  <c r="H48" i="34"/>
  <c r="M34" i="8"/>
  <c r="L94" i="8"/>
  <c r="L95" i="8"/>
  <c r="L96" i="8"/>
  <c r="L97" i="8"/>
  <c r="F115" i="8"/>
  <c r="F116" i="8"/>
  <c r="F117" i="8"/>
  <c r="H44" i="8"/>
  <c r="G119" i="8"/>
  <c r="G120" i="8"/>
  <c r="G121" i="8"/>
  <c r="G122" i="8"/>
  <c r="K95" i="8"/>
  <c r="K96" i="8"/>
  <c r="K97" i="8"/>
  <c r="H42" i="8"/>
  <c r="G114" i="8"/>
  <c r="H32" i="11"/>
  <c r="G89" i="11"/>
  <c r="G90" i="11"/>
  <c r="G91" i="11"/>
  <c r="G92" i="11"/>
  <c r="P62" i="7"/>
  <c r="O164" i="7"/>
  <c r="F90" i="11"/>
  <c r="F91" i="11"/>
  <c r="F92" i="11"/>
  <c r="N165" i="7"/>
  <c r="N166" i="7"/>
  <c r="H52" i="9"/>
  <c r="G139" i="9"/>
  <c r="G140" i="9"/>
  <c r="G141" i="9"/>
  <c r="G142" i="9"/>
  <c r="H84" i="9"/>
  <c r="H85" i="9"/>
  <c r="H86" i="9"/>
  <c r="H87" i="9"/>
  <c r="I30" i="9"/>
  <c r="I86" i="1"/>
  <c r="I87" i="1"/>
  <c r="I88" i="1"/>
  <c r="I89" i="1"/>
  <c r="J30" i="1"/>
  <c r="G131" i="1"/>
  <c r="G132" i="1"/>
  <c r="G133" i="1"/>
  <c r="G134" i="1"/>
  <c r="H48" i="1"/>
  <c r="F97" i="1"/>
  <c r="F98" i="1"/>
  <c r="F99" i="1"/>
  <c r="H64" i="1"/>
  <c r="G171" i="1"/>
  <c r="I91" i="1"/>
  <c r="I92" i="1"/>
  <c r="I93" i="1"/>
  <c r="I94" i="1"/>
  <c r="J32" i="1"/>
  <c r="F132" i="1"/>
  <c r="F133" i="1"/>
  <c r="F134" i="1"/>
  <c r="G96" i="1"/>
  <c r="G97" i="1"/>
  <c r="G98" i="1"/>
  <c r="G99" i="1"/>
  <c r="H34" i="1"/>
  <c r="H52" i="1"/>
  <c r="G141" i="1"/>
  <c r="G142" i="1"/>
  <c r="G143" i="1"/>
  <c r="G144" i="1"/>
  <c r="H58" i="1"/>
  <c r="G156" i="1"/>
  <c r="G157" i="1"/>
  <c r="G158" i="1"/>
  <c r="G159" i="1"/>
  <c r="G181" i="1"/>
  <c r="G182" i="1"/>
  <c r="G183" i="1"/>
  <c r="G184" i="1"/>
  <c r="H68" i="1"/>
  <c r="F137" i="1"/>
  <c r="F138" i="1"/>
  <c r="H50" i="1"/>
  <c r="G136" i="1"/>
  <c r="G137" i="1"/>
  <c r="G138" i="1"/>
  <c r="G139" i="1"/>
  <c r="I32" i="30"/>
  <c r="A13" i="26"/>
  <c r="AO13" i="26"/>
  <c r="Z12" i="26"/>
  <c r="AE12" i="26"/>
  <c r="U12" i="26"/>
  <c r="F12" i="26"/>
  <c r="P12" i="26"/>
  <c r="AJ12" i="26"/>
  <c r="K12" i="26"/>
  <c r="G45" i="35"/>
  <c r="F46" i="35"/>
  <c r="G120" i="22"/>
  <c r="G121" i="22"/>
  <c r="G122" i="22"/>
  <c r="I44" i="22"/>
  <c r="H119" i="22"/>
  <c r="H24" i="6"/>
  <c r="G83" i="6"/>
  <c r="G84" i="6"/>
  <c r="G85" i="6"/>
  <c r="G86" i="6"/>
  <c r="H26" i="6"/>
  <c r="G88" i="6"/>
  <c r="G89" i="6"/>
  <c r="G90" i="6"/>
  <c r="G91" i="6"/>
  <c r="H22" i="6"/>
  <c r="G78" i="6"/>
  <c r="G79" i="6"/>
  <c r="G80" i="6"/>
  <c r="G81" i="6"/>
  <c r="H36" i="6"/>
  <c r="G113" i="6"/>
  <c r="G114" i="6"/>
  <c r="G115" i="6"/>
  <c r="G116" i="6"/>
  <c r="H98" i="6"/>
  <c r="H99" i="6"/>
  <c r="H100" i="6"/>
  <c r="H101" i="6"/>
  <c r="I30" i="6"/>
  <c r="H34" i="6"/>
  <c r="G108" i="6"/>
  <c r="G109" i="6"/>
  <c r="G110" i="6"/>
  <c r="G111" i="6"/>
  <c r="H28" i="6"/>
  <c r="G93" i="6"/>
  <c r="G94" i="6"/>
  <c r="G95" i="6"/>
  <c r="G96" i="6"/>
  <c r="H32" i="6"/>
  <c r="G103" i="6"/>
  <c r="G104" i="6"/>
  <c r="G105" i="6"/>
  <c r="G106" i="6"/>
  <c r="G123" i="6"/>
  <c r="G124" i="6"/>
  <c r="G125" i="6"/>
  <c r="G126" i="6"/>
  <c r="H40" i="6"/>
  <c r="G133" i="6"/>
  <c r="G134" i="6"/>
  <c r="G135" i="6"/>
  <c r="G136" i="6"/>
  <c r="H44" i="6"/>
  <c r="I42" i="6"/>
  <c r="H128" i="6"/>
  <c r="H129" i="6"/>
  <c r="H130" i="6"/>
  <c r="H131" i="6"/>
  <c r="E127" i="9"/>
  <c r="G116" i="1"/>
  <c r="H42" i="1"/>
  <c r="H217" i="1"/>
  <c r="H218" i="1"/>
  <c r="F117" i="1"/>
  <c r="F118" i="1"/>
  <c r="K80" i="1"/>
  <c r="J211" i="1"/>
  <c r="J212" i="1"/>
  <c r="J213" i="1"/>
  <c r="J214" i="1"/>
  <c r="J82" i="1"/>
  <c r="I216" i="1"/>
  <c r="G219" i="1"/>
  <c r="E156" i="6"/>
  <c r="E97" i="7"/>
  <c r="G179" i="1"/>
  <c r="F107" i="22"/>
  <c r="L38" i="8"/>
  <c r="K104" i="8"/>
  <c r="H99" i="8"/>
  <c r="I36" i="8"/>
  <c r="I44" i="11"/>
  <c r="H119" i="11"/>
  <c r="G120" i="11"/>
  <c r="G121" i="11"/>
  <c r="G122" i="11"/>
  <c r="H48" i="22"/>
  <c r="G129" i="22"/>
  <c r="F130" i="22"/>
  <c r="F131" i="22"/>
  <c r="F132" i="22"/>
  <c r="H34" i="22"/>
  <c r="G94" i="22"/>
  <c r="I38" i="22"/>
  <c r="H104" i="22"/>
  <c r="F95" i="22"/>
  <c r="F96" i="22"/>
  <c r="G105" i="22"/>
  <c r="G106" i="22"/>
  <c r="G107" i="22"/>
  <c r="F95" i="7"/>
  <c r="F96" i="7"/>
  <c r="F97" i="7"/>
  <c r="I36" i="7"/>
  <c r="H99" i="7"/>
  <c r="H100" i="7"/>
  <c r="H101" i="7"/>
  <c r="H102" i="7"/>
  <c r="G94" i="7"/>
  <c r="H34" i="7"/>
  <c r="G100" i="7"/>
  <c r="G101" i="7"/>
  <c r="K40" i="7"/>
  <c r="J109" i="7"/>
  <c r="J110" i="7"/>
  <c r="J111" i="7"/>
  <c r="J112" i="7"/>
  <c r="I38" i="7"/>
  <c r="H104" i="7"/>
  <c r="H105" i="7"/>
  <c r="H106" i="7"/>
  <c r="H107" i="7"/>
  <c r="I30" i="7"/>
  <c r="H84" i="7"/>
  <c r="H85" i="7"/>
  <c r="H86" i="7"/>
  <c r="H87" i="7"/>
  <c r="H42" i="7"/>
  <c r="G114" i="7"/>
  <c r="G115" i="7"/>
  <c r="G116" i="7"/>
  <c r="G117" i="7"/>
  <c r="K38" i="6"/>
  <c r="J118" i="6"/>
  <c r="J119" i="6"/>
  <c r="J120" i="6"/>
  <c r="J121" i="6"/>
  <c r="K38" i="9"/>
  <c r="J104" i="9"/>
  <c r="J105" i="9"/>
  <c r="J106" i="9"/>
  <c r="J107" i="9"/>
  <c r="G94" i="9"/>
  <c r="H34" i="9"/>
  <c r="H46" i="9"/>
  <c r="G124" i="9"/>
  <c r="G125" i="9"/>
  <c r="G126" i="9"/>
  <c r="G127" i="9"/>
  <c r="G42" i="9"/>
  <c r="F114" i="9"/>
  <c r="F115" i="9"/>
  <c r="F116" i="9"/>
  <c r="F117" i="9"/>
  <c r="L54" i="9"/>
  <c r="K144" i="9"/>
  <c r="K145" i="9"/>
  <c r="K146" i="9"/>
  <c r="K147" i="9"/>
  <c r="J145" i="9"/>
  <c r="J146" i="9"/>
  <c r="J147" i="9"/>
  <c r="I50" i="9"/>
  <c r="H134" i="9"/>
  <c r="G119" i="9"/>
  <c r="G120" i="9"/>
  <c r="G121" i="9"/>
  <c r="G122" i="9"/>
  <c r="H44" i="9"/>
  <c r="H56" i="9"/>
  <c r="G149" i="9"/>
  <c r="G150" i="9"/>
  <c r="G151" i="9"/>
  <c r="G152" i="9"/>
  <c r="I89" i="9"/>
  <c r="I90" i="9"/>
  <c r="I91" i="9"/>
  <c r="I92" i="9"/>
  <c r="J32" i="9"/>
  <c r="H48" i="9"/>
  <c r="G129" i="9"/>
  <c r="G130" i="9"/>
  <c r="G131" i="9"/>
  <c r="G132" i="9"/>
  <c r="H70" i="1"/>
  <c r="G186" i="1"/>
  <c r="I72" i="1"/>
  <c r="H191" i="1"/>
  <c r="H192" i="1"/>
  <c r="H193" i="1"/>
  <c r="H194" i="1"/>
  <c r="N56" i="1"/>
  <c r="M151" i="1"/>
  <c r="I60" i="1"/>
  <c r="H161" i="1"/>
  <c r="H162" i="1"/>
  <c r="H163" i="1"/>
  <c r="H164" i="1"/>
  <c r="H177" i="1"/>
  <c r="H178" i="1"/>
  <c r="H78" i="1"/>
  <c r="G206" i="1"/>
  <c r="G207" i="1"/>
  <c r="G208" i="1"/>
  <c r="G209" i="1"/>
  <c r="H74" i="1"/>
  <c r="G196" i="1"/>
  <c r="J76" i="1"/>
  <c r="I201" i="1"/>
  <c r="I202" i="1"/>
  <c r="I203" i="1"/>
  <c r="I204" i="1"/>
  <c r="G162" i="1"/>
  <c r="G163" i="1"/>
  <c r="I176" i="1"/>
  <c r="I177" i="1"/>
  <c r="I178" i="1"/>
  <c r="I179" i="1"/>
  <c r="J66" i="1"/>
  <c r="X26" i="37"/>
  <c r="K26" i="37"/>
  <c r="L26" i="37"/>
  <c r="J39" i="37"/>
  <c r="AD22" i="39"/>
  <c r="H38" i="37"/>
  <c r="L115" i="11"/>
  <c r="L116" i="11"/>
  <c r="L117" i="11"/>
  <c r="M114" i="11"/>
  <c r="N42" i="11"/>
  <c r="J39" i="34"/>
  <c r="AA22" i="39"/>
  <c r="H38" i="34"/>
  <c r="G45" i="37"/>
  <c r="F46" i="37"/>
  <c r="J49" i="36"/>
  <c r="H48" i="36"/>
  <c r="L25" i="36"/>
  <c r="J39" i="36"/>
  <c r="H38" i="36"/>
  <c r="J44" i="36"/>
  <c r="H43" i="36"/>
  <c r="X25" i="35"/>
  <c r="Y25" i="35"/>
  <c r="K25" i="35"/>
  <c r="L24" i="35"/>
  <c r="T24" i="35"/>
  <c r="K24" i="34"/>
  <c r="L23" i="34"/>
  <c r="T23" i="34"/>
  <c r="AA27" i="39"/>
  <c r="H43" i="34"/>
  <c r="X24" i="34"/>
  <c r="U25" i="34"/>
  <c r="W25" i="34"/>
  <c r="V25" i="34"/>
  <c r="Y25" i="33"/>
  <c r="X25" i="33"/>
  <c r="K25" i="33"/>
  <c r="J49" i="33"/>
  <c r="H48" i="33"/>
  <c r="J43" i="33"/>
  <c r="H42" i="33"/>
  <c r="J42" i="33"/>
  <c r="L24" i="32"/>
  <c r="K25" i="32"/>
  <c r="T24" i="32"/>
  <c r="H48" i="32"/>
  <c r="J44" i="32"/>
  <c r="H43" i="32"/>
  <c r="Y32" i="39"/>
  <c r="Y25" i="32"/>
  <c r="X25" i="32"/>
  <c r="X25" i="31"/>
  <c r="Y25" i="31"/>
  <c r="L24" i="31"/>
  <c r="K25" i="31"/>
  <c r="T24" i="31"/>
  <c r="G105" i="11"/>
  <c r="G106" i="11"/>
  <c r="G107" i="11"/>
  <c r="I38" i="11"/>
  <c r="H104" i="11"/>
  <c r="H100" i="11"/>
  <c r="H101" i="11"/>
  <c r="H102" i="11"/>
  <c r="J36" i="11"/>
  <c r="I99" i="11"/>
  <c r="J85" i="11"/>
  <c r="J86" i="11"/>
  <c r="J87" i="11"/>
  <c r="K84" i="11"/>
  <c r="L30" i="11"/>
  <c r="G135" i="10"/>
  <c r="G136" i="10"/>
  <c r="G137" i="10"/>
  <c r="H134" i="10"/>
  <c r="I50" i="10"/>
  <c r="I36" i="10"/>
  <c r="H99" i="10"/>
  <c r="G100" i="10"/>
  <c r="G101" i="10"/>
  <c r="G102" i="10"/>
  <c r="F155" i="22"/>
  <c r="F156" i="22"/>
  <c r="F157" i="22"/>
  <c r="G154" i="22"/>
  <c r="H58" i="22"/>
  <c r="I54" i="22"/>
  <c r="H144" i="22"/>
  <c r="H99" i="22"/>
  <c r="I36" i="22"/>
  <c r="G100" i="22"/>
  <c r="G101" i="22"/>
  <c r="G102" i="22"/>
  <c r="G110" i="22"/>
  <c r="G111" i="22"/>
  <c r="G112" i="22"/>
  <c r="G145" i="22"/>
  <c r="G146" i="22"/>
  <c r="G147" i="22"/>
  <c r="I40" i="22"/>
  <c r="H109" i="22"/>
  <c r="I150" i="8"/>
  <c r="I151" i="8"/>
  <c r="I152" i="8"/>
  <c r="K56" i="8"/>
  <c r="J149" i="8"/>
  <c r="G145" i="8"/>
  <c r="G146" i="8"/>
  <c r="I54" i="8"/>
  <c r="H144" i="8"/>
  <c r="H32" i="8"/>
  <c r="G89" i="8"/>
  <c r="H52" i="8"/>
  <c r="G139" i="8"/>
  <c r="F110" i="8"/>
  <c r="F111" i="8"/>
  <c r="F112" i="8"/>
  <c r="F130" i="8"/>
  <c r="F131" i="8"/>
  <c r="F132" i="8"/>
  <c r="H40" i="8"/>
  <c r="G109" i="8"/>
  <c r="E85" i="8"/>
  <c r="E86" i="8"/>
  <c r="E87" i="8"/>
  <c r="F90" i="8"/>
  <c r="F91" i="8"/>
  <c r="F92" i="8"/>
  <c r="H48" i="8"/>
  <c r="G129" i="8"/>
  <c r="G30" i="8"/>
  <c r="F84" i="8"/>
  <c r="F140" i="8"/>
  <c r="F141" i="8"/>
  <c r="F142" i="8"/>
  <c r="H54" i="7"/>
  <c r="G144" i="7"/>
  <c r="F145" i="7"/>
  <c r="F146" i="7"/>
  <c r="F147" i="7"/>
  <c r="F140" i="7"/>
  <c r="F141" i="7"/>
  <c r="F142" i="7"/>
  <c r="H52" i="7"/>
  <c r="G139" i="7"/>
  <c r="F135" i="7"/>
  <c r="F136" i="7"/>
  <c r="F137" i="7"/>
  <c r="G134" i="7"/>
  <c r="H50" i="7"/>
  <c r="H125" i="7"/>
  <c r="H126" i="7"/>
  <c r="H127" i="7"/>
  <c r="J46" i="7"/>
  <c r="I124" i="7"/>
  <c r="M90" i="7"/>
  <c r="M91" i="7"/>
  <c r="M92" i="7"/>
  <c r="I120" i="7"/>
  <c r="I121" i="7"/>
  <c r="I122" i="7"/>
  <c r="K44" i="7"/>
  <c r="J119" i="7"/>
  <c r="O32" i="7"/>
  <c r="N89" i="7"/>
  <c r="F164" i="6"/>
  <c r="F165" i="6"/>
  <c r="F166" i="6"/>
  <c r="H56" i="6"/>
  <c r="G163" i="6"/>
  <c r="F159" i="6"/>
  <c r="F160" i="6"/>
  <c r="F161" i="6"/>
  <c r="G158" i="6"/>
  <c r="H54" i="6"/>
  <c r="F154" i="6"/>
  <c r="F155" i="6"/>
  <c r="F156" i="6"/>
  <c r="H52" i="6"/>
  <c r="G153" i="6"/>
  <c r="H50" i="6"/>
  <c r="G148" i="6"/>
  <c r="F149" i="6"/>
  <c r="F150" i="6"/>
  <c r="F151" i="6"/>
  <c r="F144" i="6"/>
  <c r="F145" i="6"/>
  <c r="F146" i="6"/>
  <c r="G143" i="6"/>
  <c r="H48" i="6"/>
  <c r="H159" i="9"/>
  <c r="I60" i="9"/>
  <c r="G160" i="9"/>
  <c r="G161" i="9"/>
  <c r="G162" i="9"/>
  <c r="G154" i="9"/>
  <c r="H58" i="9"/>
  <c r="F155" i="9"/>
  <c r="F156" i="9"/>
  <c r="F157" i="9"/>
  <c r="H99" i="9"/>
  <c r="I36" i="9"/>
  <c r="G100" i="9"/>
  <c r="G101" i="9"/>
  <c r="G102" i="9"/>
  <c r="H109" i="9"/>
  <c r="I40" i="9"/>
  <c r="G110" i="9"/>
  <c r="G111" i="9"/>
  <c r="G112" i="9"/>
  <c r="F167" i="1"/>
  <c r="F168" i="1"/>
  <c r="G166" i="1"/>
  <c r="H62" i="1"/>
  <c r="F127" i="1"/>
  <c r="F128" i="1"/>
  <c r="F129" i="1"/>
  <c r="F147" i="1"/>
  <c r="F148" i="1"/>
  <c r="F149" i="1"/>
  <c r="G126" i="1"/>
  <c r="H46" i="1"/>
  <c r="H54" i="1"/>
  <c r="G146" i="1"/>
  <c r="H122" i="1"/>
  <c r="H123" i="1"/>
  <c r="H124" i="1"/>
  <c r="J44" i="1"/>
  <c r="I121" i="1"/>
  <c r="H112" i="1"/>
  <c r="H113" i="1"/>
  <c r="H114" i="1"/>
  <c r="F107" i="1"/>
  <c r="F108" i="1"/>
  <c r="F109" i="1"/>
  <c r="H102" i="1"/>
  <c r="H103" i="1"/>
  <c r="H104" i="1"/>
  <c r="I101" i="1"/>
  <c r="J36" i="1"/>
  <c r="J40" i="1"/>
  <c r="I111" i="1"/>
  <c r="G106" i="1"/>
  <c r="H38" i="1"/>
  <c r="H129" i="7"/>
  <c r="H130" i="7"/>
  <c r="H131" i="7"/>
  <c r="H132" i="7"/>
  <c r="I48" i="7"/>
  <c r="U27" i="37"/>
  <c r="W27" i="37"/>
  <c r="V27" i="37"/>
  <c r="X27" i="37"/>
  <c r="X25" i="36"/>
  <c r="BZ232" i="8"/>
  <c r="AP74" i="9"/>
  <c r="AO194" i="9"/>
  <c r="CB157" i="11"/>
  <c r="CB229" i="11"/>
  <c r="AN196" i="9"/>
  <c r="AN195" i="9"/>
  <c r="AM197" i="9"/>
  <c r="BW59" i="11"/>
  <c r="BX229" i="11"/>
  <c r="J38" i="33"/>
  <c r="Z21" i="39"/>
  <c r="H37" i="33"/>
  <c r="J37" i="33"/>
  <c r="Z20" i="39"/>
  <c r="BE9" i="2"/>
  <c r="I8" i="20"/>
  <c r="CF8" i="2"/>
  <c r="J25" i="41"/>
  <c r="AE8" i="39"/>
  <c r="H24" i="41"/>
  <c r="G44" i="41"/>
  <c r="F45" i="41"/>
  <c r="L81" i="41"/>
  <c r="M80" i="41"/>
  <c r="AL192" i="10"/>
  <c r="W192" i="11"/>
  <c r="AC177" i="22"/>
  <c r="F207" i="8"/>
  <c r="S157" i="8"/>
  <c r="AH157" i="10"/>
  <c r="K207" i="11"/>
  <c r="F167" i="9"/>
  <c r="M207" i="7"/>
  <c r="G152" i="11"/>
  <c r="AH182" i="7"/>
  <c r="Y177" i="11"/>
  <c r="K162" i="7"/>
  <c r="F202" i="10"/>
  <c r="R167" i="10"/>
  <c r="V197" i="11"/>
  <c r="N167" i="22"/>
  <c r="P207" i="22"/>
  <c r="BR162" i="11"/>
  <c r="U187" i="10"/>
  <c r="Z147" i="10"/>
  <c r="I157" i="7"/>
  <c r="F182" i="10"/>
  <c r="G202" i="7"/>
  <c r="W270" i="40"/>
  <c r="W271" i="40"/>
  <c r="W272" i="40"/>
  <c r="W290" i="40"/>
  <c r="W291" i="40"/>
  <c r="W292" i="40"/>
  <c r="X249" i="40"/>
  <c r="Y94" i="40"/>
  <c r="X244" i="40"/>
  <c r="Y92" i="40"/>
  <c r="X264" i="40"/>
  <c r="X265" i="40"/>
  <c r="X266" i="40"/>
  <c r="X267" i="40"/>
  <c r="Y100" i="40"/>
  <c r="W285" i="40"/>
  <c r="W286" i="40"/>
  <c r="W287" i="40"/>
  <c r="AE260" i="40"/>
  <c r="AE261" i="40"/>
  <c r="AE262" i="40"/>
  <c r="W250" i="40"/>
  <c r="W251" i="40"/>
  <c r="W252" i="40"/>
  <c r="W245" i="40"/>
  <c r="W246" i="40"/>
  <c r="W247" i="40"/>
  <c r="W265" i="40"/>
  <c r="W266" i="40"/>
  <c r="W267" i="40"/>
  <c r="AD275" i="40"/>
  <c r="AD276" i="40"/>
  <c r="AD277" i="40"/>
  <c r="X269" i="40"/>
  <c r="X270" i="40"/>
  <c r="X271" i="40"/>
  <c r="X272" i="40"/>
  <c r="Y102" i="40"/>
  <c r="X289" i="40"/>
  <c r="Y110" i="40"/>
  <c r="X284" i="40"/>
  <c r="Y108" i="40"/>
  <c r="AE104" i="40"/>
  <c r="AE274" i="40"/>
  <c r="AD106" i="40"/>
  <c r="AD279" i="40"/>
  <c r="AF98" i="40"/>
  <c r="AF259" i="40"/>
  <c r="AE96" i="40"/>
  <c r="AE254" i="40"/>
  <c r="AE255" i="40"/>
  <c r="AE256" i="40"/>
  <c r="AE257" i="40"/>
  <c r="AA90" i="40"/>
  <c r="Z66" i="40"/>
  <c r="Y179" i="40"/>
  <c r="Y62" i="40"/>
  <c r="X169" i="40"/>
  <c r="Z76" i="40"/>
  <c r="Y204" i="40"/>
  <c r="AA64" i="40"/>
  <c r="Z174" i="40"/>
  <c r="X115" i="40"/>
  <c r="X116" i="40"/>
  <c r="X117" i="40"/>
  <c r="W150" i="40"/>
  <c r="W151" i="40"/>
  <c r="W152" i="40"/>
  <c r="W190" i="40"/>
  <c r="W191" i="40"/>
  <c r="W230" i="40"/>
  <c r="W231" i="40"/>
  <c r="W232" i="40"/>
  <c r="Y46" i="40"/>
  <c r="X129" i="40"/>
  <c r="X225" i="40"/>
  <c r="X226" i="40"/>
  <c r="Y44" i="40"/>
  <c r="X124" i="40"/>
  <c r="W220" i="40"/>
  <c r="W221" i="40"/>
  <c r="W222" i="40"/>
  <c r="Y56" i="40"/>
  <c r="X154" i="40"/>
  <c r="Y74" i="40"/>
  <c r="X199" i="40"/>
  <c r="Z40" i="40"/>
  <c r="Y114" i="40"/>
  <c r="W120" i="40"/>
  <c r="W121" i="40"/>
  <c r="W122" i="40"/>
  <c r="V162" i="40"/>
  <c r="W135" i="40"/>
  <c r="W136" i="40"/>
  <c r="W137" i="40"/>
  <c r="V232" i="40"/>
  <c r="W207" i="40"/>
  <c r="W160" i="40"/>
  <c r="W161" i="40"/>
  <c r="Y54" i="40"/>
  <c r="X149" i="40"/>
  <c r="AA68" i="40"/>
  <c r="Z184" i="40"/>
  <c r="W237" i="40"/>
  <c r="Z50" i="40"/>
  <c r="Y139" i="40"/>
  <c r="W240" i="40"/>
  <c r="W241" i="40"/>
  <c r="Y195" i="40"/>
  <c r="Y196" i="40"/>
  <c r="Y197" i="40"/>
  <c r="W145" i="40"/>
  <c r="W146" i="40"/>
  <c r="W147" i="40"/>
  <c r="Y78" i="40"/>
  <c r="X209" i="40"/>
  <c r="X215" i="40"/>
  <c r="X216" i="40"/>
  <c r="X180" i="40"/>
  <c r="X181" i="40"/>
  <c r="Z84" i="40"/>
  <c r="Y224" i="40"/>
  <c r="X239" i="40"/>
  <c r="W170" i="40"/>
  <c r="W171" i="40"/>
  <c r="AA72" i="40"/>
  <c r="Z194" i="40"/>
  <c r="Y175" i="40"/>
  <c r="Y176" i="40"/>
  <c r="Y177" i="40"/>
  <c r="Y42" i="40"/>
  <c r="X119" i="40"/>
  <c r="Y52" i="40"/>
  <c r="X144" i="40"/>
  <c r="X235" i="40"/>
  <c r="X236" i="40"/>
  <c r="X237" i="40"/>
  <c r="Y58" i="40"/>
  <c r="X159" i="40"/>
  <c r="Y70" i="40"/>
  <c r="X189" i="40"/>
  <c r="X165" i="40"/>
  <c r="X166" i="40"/>
  <c r="X167" i="40"/>
  <c r="Y86" i="40"/>
  <c r="X229" i="40"/>
  <c r="W210" i="40"/>
  <c r="W211" i="40"/>
  <c r="W212" i="40"/>
  <c r="V192" i="40"/>
  <c r="Z80" i="40"/>
  <c r="Y214" i="40"/>
  <c r="W125" i="40"/>
  <c r="W126" i="40"/>
  <c r="W127" i="40"/>
  <c r="Y82" i="40"/>
  <c r="X219" i="40"/>
  <c r="X205" i="40"/>
  <c r="X206" i="40"/>
  <c r="X207" i="40"/>
  <c r="W155" i="40"/>
  <c r="W156" i="40"/>
  <c r="W200" i="40"/>
  <c r="W201" i="40"/>
  <c r="W202" i="40"/>
  <c r="V222" i="40"/>
  <c r="V157" i="40"/>
  <c r="Y48" i="40"/>
  <c r="X134" i="40"/>
  <c r="V172" i="40"/>
  <c r="Z88" i="40"/>
  <c r="Y234" i="40"/>
  <c r="X197" i="40"/>
  <c r="X177" i="40"/>
  <c r="Z60" i="40"/>
  <c r="Y164" i="40"/>
  <c r="V202" i="40"/>
  <c r="Y185" i="40"/>
  <c r="Y186" i="40"/>
  <c r="W130" i="40"/>
  <c r="W131" i="40"/>
  <c r="W132" i="40"/>
  <c r="X140" i="40"/>
  <c r="X141" i="40"/>
  <c r="F202" i="22"/>
  <c r="BR172" i="11"/>
  <c r="AB197" i="22"/>
  <c r="K125" i="11"/>
  <c r="K126" i="11"/>
  <c r="AA146" i="10"/>
  <c r="AA145" i="10"/>
  <c r="N185" i="22"/>
  <c r="N186" i="22"/>
  <c r="AG177" i="9"/>
  <c r="F187" i="8"/>
  <c r="BT211" i="8"/>
  <c r="BT210" i="8"/>
  <c r="P171" i="9"/>
  <c r="P170" i="9"/>
  <c r="AI155" i="10"/>
  <c r="AI156" i="10"/>
  <c r="P164" i="22"/>
  <c r="Q62" i="22"/>
  <c r="I62" i="9"/>
  <c r="H164" i="9"/>
  <c r="Q191" i="22"/>
  <c r="Q190" i="22"/>
  <c r="AH176" i="9"/>
  <c r="AH175" i="9"/>
  <c r="I56" i="22"/>
  <c r="H149" i="22"/>
  <c r="H150" i="22"/>
  <c r="H151" i="22"/>
  <c r="H152" i="22"/>
  <c r="F162" i="10"/>
  <c r="J76" i="7"/>
  <c r="I199" i="7"/>
  <c r="H179" i="10"/>
  <c r="I68" i="10"/>
  <c r="I76" i="22"/>
  <c r="H199" i="22"/>
  <c r="G205" i="8"/>
  <c r="G206" i="8"/>
  <c r="L58" i="7"/>
  <c r="K154" i="7"/>
  <c r="M46" i="11"/>
  <c r="L124" i="11"/>
  <c r="W184" i="10"/>
  <c r="X70" i="10"/>
  <c r="P70" i="22"/>
  <c r="O184" i="22"/>
  <c r="BU209" i="8"/>
  <c r="BV80" i="8"/>
  <c r="AJ64" i="10"/>
  <c r="AI169" i="10"/>
  <c r="Q169" i="9"/>
  <c r="R64" i="9"/>
  <c r="AJ154" i="10"/>
  <c r="AK58" i="10"/>
  <c r="L206" i="11"/>
  <c r="L205" i="11"/>
  <c r="R189" i="22"/>
  <c r="S72" i="22"/>
  <c r="AI174" i="9"/>
  <c r="AJ66" i="9"/>
  <c r="G150" i="22"/>
  <c r="G151" i="22"/>
  <c r="G152" i="22"/>
  <c r="S174" i="10"/>
  <c r="T66" i="10"/>
  <c r="H150" i="11"/>
  <c r="H151" i="11"/>
  <c r="G161" i="10"/>
  <c r="G160" i="10"/>
  <c r="AD175" i="22"/>
  <c r="AD176" i="22"/>
  <c r="G175" i="7"/>
  <c r="G176" i="7"/>
  <c r="I78" i="8"/>
  <c r="H204" i="8"/>
  <c r="M187" i="22"/>
  <c r="AG211" i="10"/>
  <c r="AG210" i="10"/>
  <c r="F202" i="9"/>
  <c r="V185" i="10"/>
  <c r="V186" i="10"/>
  <c r="P192" i="22"/>
  <c r="Q204" i="9"/>
  <c r="R78" i="9"/>
  <c r="G200" i="10"/>
  <c r="G201" i="10"/>
  <c r="M166" i="8"/>
  <c r="M165" i="8"/>
  <c r="AF212" i="10"/>
  <c r="AH170" i="10"/>
  <c r="AH171" i="10"/>
  <c r="U62" i="10"/>
  <c r="T164" i="10"/>
  <c r="W195" i="11"/>
  <c r="W196" i="11"/>
  <c r="N78" i="11"/>
  <c r="M204" i="11"/>
  <c r="BV146" i="11"/>
  <c r="BV145" i="11"/>
  <c r="N205" i="7"/>
  <c r="N206" i="7"/>
  <c r="S78" i="22"/>
  <c r="R204" i="22"/>
  <c r="BS161" i="11"/>
  <c r="BS160" i="11"/>
  <c r="G200" i="11"/>
  <c r="G201" i="11"/>
  <c r="R175" i="10"/>
  <c r="R176" i="10"/>
  <c r="O172" i="9"/>
  <c r="H138" i="6"/>
  <c r="H139" i="6"/>
  <c r="H140" i="6"/>
  <c r="H141" i="6"/>
  <c r="I46" i="6"/>
  <c r="J56" i="11"/>
  <c r="I149" i="11"/>
  <c r="Q177" i="10"/>
  <c r="H159" i="10"/>
  <c r="I60" i="10"/>
  <c r="AF66" i="22"/>
  <c r="AE174" i="22"/>
  <c r="I66" i="7"/>
  <c r="H174" i="7"/>
  <c r="L161" i="7"/>
  <c r="L160" i="7"/>
  <c r="G136" i="11"/>
  <c r="G135" i="11"/>
  <c r="T156" i="8"/>
  <c r="T155" i="8"/>
  <c r="G185" i="8"/>
  <c r="G186" i="8"/>
  <c r="BS212" i="8"/>
  <c r="AH209" i="10"/>
  <c r="AI80" i="10"/>
  <c r="F177" i="7"/>
  <c r="F137" i="11"/>
  <c r="AC54" i="10"/>
  <c r="AB144" i="10"/>
  <c r="P205" i="9"/>
  <c r="P206" i="9"/>
  <c r="H199" i="10"/>
  <c r="I76" i="10"/>
  <c r="O62" i="8"/>
  <c r="N164" i="8"/>
  <c r="S165" i="10"/>
  <c r="S166" i="10"/>
  <c r="Y74" i="11"/>
  <c r="X194" i="11"/>
  <c r="O165" i="22"/>
  <c r="O166" i="22"/>
  <c r="G166" i="9"/>
  <c r="G165" i="9"/>
  <c r="BX54" i="11"/>
  <c r="BW144" i="11"/>
  <c r="P78" i="7"/>
  <c r="O204" i="7"/>
  <c r="Q206" i="22"/>
  <c r="Q205" i="22"/>
  <c r="BU60" i="11"/>
  <c r="BT159" i="11"/>
  <c r="I76" i="11"/>
  <c r="H199" i="11"/>
  <c r="L167" i="8"/>
  <c r="AG172" i="10"/>
  <c r="BU147" i="11"/>
  <c r="H200" i="7"/>
  <c r="H201" i="7"/>
  <c r="F202" i="11"/>
  <c r="G180" i="10"/>
  <c r="G181" i="10"/>
  <c r="G200" i="22"/>
  <c r="G201" i="22"/>
  <c r="J127" i="11"/>
  <c r="N60" i="7"/>
  <c r="M159" i="7"/>
  <c r="I50" i="11"/>
  <c r="H134" i="11"/>
  <c r="O207" i="9"/>
  <c r="V58" i="8"/>
  <c r="U154" i="8"/>
  <c r="I70" i="8"/>
  <c r="H184" i="8"/>
  <c r="J155" i="7"/>
  <c r="J156" i="7"/>
  <c r="U26" i="31"/>
  <c r="W26" i="31"/>
  <c r="V26" i="31"/>
  <c r="X26" i="31"/>
  <c r="K40" i="11"/>
  <c r="J109" i="11"/>
  <c r="J110" i="11"/>
  <c r="J111" i="11"/>
  <c r="J112" i="11"/>
  <c r="I38" i="10"/>
  <c r="H104" i="10"/>
  <c r="H105" i="10"/>
  <c r="H106" i="10"/>
  <c r="H107" i="10"/>
  <c r="G125" i="10"/>
  <c r="G126" i="10"/>
  <c r="G127" i="10"/>
  <c r="H139" i="10"/>
  <c r="I52" i="10"/>
  <c r="H94" i="10"/>
  <c r="H95" i="10"/>
  <c r="H96" i="10"/>
  <c r="H97" i="10"/>
  <c r="I34" i="10"/>
  <c r="H124" i="10"/>
  <c r="H125" i="10"/>
  <c r="H126" i="10"/>
  <c r="H127" i="10"/>
  <c r="I46" i="10"/>
  <c r="I30" i="10"/>
  <c r="H84" i="10"/>
  <c r="H85" i="10"/>
  <c r="H86" i="10"/>
  <c r="H87" i="10"/>
  <c r="H114" i="10"/>
  <c r="H115" i="10"/>
  <c r="H116" i="10"/>
  <c r="H117" i="10"/>
  <c r="I42" i="10"/>
  <c r="I48" i="10"/>
  <c r="H129" i="10"/>
  <c r="H130" i="10"/>
  <c r="H131" i="10"/>
  <c r="H132" i="10"/>
  <c r="I32" i="10"/>
  <c r="H89" i="10"/>
  <c r="H90" i="10"/>
  <c r="H91" i="10"/>
  <c r="H92" i="10"/>
  <c r="H109" i="10"/>
  <c r="H110" i="10"/>
  <c r="H111" i="10"/>
  <c r="H112" i="10"/>
  <c r="I40" i="10"/>
  <c r="J44" i="10"/>
  <c r="I119" i="10"/>
  <c r="I120" i="10"/>
  <c r="I121" i="10"/>
  <c r="I122" i="10"/>
  <c r="I139" i="22"/>
  <c r="I140" i="22"/>
  <c r="I141" i="22"/>
  <c r="I142" i="22"/>
  <c r="J52" i="22"/>
  <c r="I42" i="22"/>
  <c r="H114" i="22"/>
  <c r="H115" i="22"/>
  <c r="H116" i="22"/>
  <c r="H117" i="22"/>
  <c r="I50" i="22"/>
  <c r="H134" i="22"/>
  <c r="H135" i="22"/>
  <c r="H136" i="22"/>
  <c r="H137" i="22"/>
  <c r="J46" i="22"/>
  <c r="I124" i="22"/>
  <c r="I125" i="22"/>
  <c r="I126" i="22"/>
  <c r="I127" i="22"/>
  <c r="G135" i="22"/>
  <c r="G136" i="22"/>
  <c r="G137" i="22"/>
  <c r="J50" i="8"/>
  <c r="I134" i="8"/>
  <c r="I135" i="8"/>
  <c r="I136" i="8"/>
  <c r="I137" i="8"/>
  <c r="H135" i="8"/>
  <c r="H136" i="8"/>
  <c r="H137" i="8"/>
  <c r="H124" i="8"/>
  <c r="H125" i="8"/>
  <c r="H126" i="8"/>
  <c r="H127" i="8"/>
  <c r="I46" i="8"/>
  <c r="AE187" i="9"/>
  <c r="AE172" i="22"/>
  <c r="AD212" i="7"/>
  <c r="CA172" i="8"/>
  <c r="CA232" i="8"/>
  <c r="CB192" i="7"/>
  <c r="CB236" i="7"/>
  <c r="AC182" i="9"/>
  <c r="F192" i="9"/>
  <c r="Z177" i="8"/>
  <c r="BN182" i="11"/>
  <c r="AA187" i="7"/>
  <c r="AB197" i="10"/>
  <c r="U26" i="36"/>
  <c r="BP164" i="11"/>
  <c r="BQ62" i="11"/>
  <c r="AB197" i="8"/>
  <c r="AN52" i="11"/>
  <c r="AM139" i="11"/>
  <c r="G90" i="22"/>
  <c r="G91" i="22"/>
  <c r="G92" i="22"/>
  <c r="AD181" i="9"/>
  <c r="AD180" i="9"/>
  <c r="G200" i="9"/>
  <c r="G201" i="9"/>
  <c r="BX65" i="8"/>
  <c r="BY232" i="8"/>
  <c r="BN167" i="11"/>
  <c r="AS170" i="7"/>
  <c r="AS171" i="7"/>
  <c r="AB66" i="11"/>
  <c r="AA174" i="11"/>
  <c r="A12" i="2"/>
  <c r="A132" i="2"/>
  <c r="BW132" i="2"/>
  <c r="BW11" i="2"/>
  <c r="Z72" i="11"/>
  <c r="Y189" i="11"/>
  <c r="AN189" i="10"/>
  <c r="AO72" i="10"/>
  <c r="AF204" i="10"/>
  <c r="AG78" i="10"/>
  <c r="AH56" i="10"/>
  <c r="AG149" i="10"/>
  <c r="AS30" i="22"/>
  <c r="AR84" i="22"/>
  <c r="AH130" i="11"/>
  <c r="AH131" i="11"/>
  <c r="AC196" i="8"/>
  <c r="AC195" i="8"/>
  <c r="AG212" i="9"/>
  <c r="AF170" i="22"/>
  <c r="AF171" i="22"/>
  <c r="G190" i="9"/>
  <c r="G191" i="9"/>
  <c r="AB181" i="22"/>
  <c r="AB180" i="22"/>
  <c r="AD211" i="22"/>
  <c r="AD210" i="22"/>
  <c r="AA197" i="7"/>
  <c r="BV73" i="7"/>
  <c r="BW236" i="7"/>
  <c r="AJ80" i="9"/>
  <c r="AI209" i="9"/>
  <c r="AE210" i="7"/>
  <c r="AE211" i="7"/>
  <c r="Y180" i="8"/>
  <c r="Y181" i="8"/>
  <c r="AE179" i="9"/>
  <c r="AF68" i="9"/>
  <c r="N72" i="8"/>
  <c r="M189" i="8"/>
  <c r="AI180" i="7"/>
  <c r="AI181" i="7"/>
  <c r="AU64" i="7"/>
  <c r="AT169" i="7"/>
  <c r="BS171" i="11"/>
  <c r="BS170" i="11"/>
  <c r="U131" i="2"/>
  <c r="U10" i="2"/>
  <c r="E10" i="20"/>
  <c r="BE131" i="2"/>
  <c r="AD131" i="2"/>
  <c r="AD10" i="2"/>
  <c r="F10" i="20"/>
  <c r="L131" i="2"/>
  <c r="L10" i="2"/>
  <c r="C131" i="2"/>
  <c r="C10" i="2"/>
  <c r="E10" i="2"/>
  <c r="C9" i="20"/>
  <c r="AV131" i="2"/>
  <c r="AV10" i="2"/>
  <c r="H10" i="20"/>
  <c r="AM131" i="2"/>
  <c r="AM10" i="2"/>
  <c r="G10" i="20"/>
  <c r="BN131" i="2"/>
  <c r="BN10" i="2"/>
  <c r="J10" i="20"/>
  <c r="AA76" i="8"/>
  <c r="Z199" i="8"/>
  <c r="AM190" i="10"/>
  <c r="AM191" i="10"/>
  <c r="AE74" i="10"/>
  <c r="AD194" i="10"/>
  <c r="AF151" i="10"/>
  <c r="AF150" i="10"/>
  <c r="AA210" i="11"/>
  <c r="AA211" i="11"/>
  <c r="AQ85" i="22"/>
  <c r="AQ86" i="22"/>
  <c r="X202" i="8"/>
  <c r="AB196" i="7"/>
  <c r="AB195" i="7"/>
  <c r="AJ48" i="11"/>
  <c r="AI129" i="11"/>
  <c r="AF185" i="9"/>
  <c r="AF186" i="9"/>
  <c r="AE74" i="8"/>
  <c r="AD194" i="8"/>
  <c r="Z212" i="11"/>
  <c r="AH64" i="22"/>
  <c r="AG169" i="22"/>
  <c r="U26" i="32"/>
  <c r="W26" i="32"/>
  <c r="V26" i="32"/>
  <c r="X26" i="32"/>
  <c r="AH210" i="9"/>
  <c r="AH211" i="9"/>
  <c r="AG80" i="7"/>
  <c r="AF209" i="7"/>
  <c r="L70" i="37"/>
  <c r="M69" i="37"/>
  <c r="V162" i="8"/>
  <c r="N9" i="2"/>
  <c r="D9" i="20"/>
  <c r="AA68" i="8"/>
  <c r="Z179" i="8"/>
  <c r="BO181" i="11"/>
  <c r="BO180" i="11"/>
  <c r="AD207" i="10"/>
  <c r="L190" i="8"/>
  <c r="L191" i="8"/>
  <c r="AE152" i="10"/>
  <c r="AK142" i="11"/>
  <c r="AK68" i="7"/>
  <c r="AJ179" i="7"/>
  <c r="BU64" i="11"/>
  <c r="BT169" i="11"/>
  <c r="AC195" i="22"/>
  <c r="AC196" i="22"/>
  <c r="X182" i="8"/>
  <c r="AP87" i="22"/>
  <c r="Y201" i="8"/>
  <c r="Y200" i="8"/>
  <c r="AB186" i="7"/>
  <c r="AB185" i="7"/>
  <c r="AC195" i="10"/>
  <c r="AC196" i="10"/>
  <c r="K192" i="8"/>
  <c r="AC80" i="11"/>
  <c r="AB209" i="11"/>
  <c r="AR172" i="7"/>
  <c r="AC212" i="22"/>
  <c r="AD74" i="7"/>
  <c r="AC194" i="7"/>
  <c r="AH70" i="9"/>
  <c r="AG184" i="9"/>
  <c r="W160" i="8"/>
  <c r="W161" i="8"/>
  <c r="AA160" i="22"/>
  <c r="AA161" i="22"/>
  <c r="AA176" i="8"/>
  <c r="AA175" i="8"/>
  <c r="BO166" i="11"/>
  <c r="BO165" i="11"/>
  <c r="AL140" i="11"/>
  <c r="AL141" i="11"/>
  <c r="I32" i="22"/>
  <c r="H89" i="22"/>
  <c r="H199" i="9"/>
  <c r="I76" i="9"/>
  <c r="BP179" i="11"/>
  <c r="BQ68" i="11"/>
  <c r="CB171" i="8"/>
  <c r="CB170" i="8"/>
  <c r="Z176" i="11"/>
  <c r="Z175" i="11"/>
  <c r="AD194" i="22"/>
  <c r="AE74" i="22"/>
  <c r="X190" i="11"/>
  <c r="X191" i="11"/>
  <c r="AE205" i="10"/>
  <c r="AE206" i="10"/>
  <c r="AD70" i="7"/>
  <c r="AC184" i="7"/>
  <c r="AA182" i="22"/>
  <c r="Z162" i="22"/>
  <c r="H189" i="9"/>
  <c r="I72" i="9"/>
  <c r="AD68" i="22"/>
  <c r="AC179" i="22"/>
  <c r="AF80" i="22"/>
  <c r="AE209" i="22"/>
  <c r="Y60" i="8"/>
  <c r="X159" i="8"/>
  <c r="AB159" i="22"/>
  <c r="AC60" i="22"/>
  <c r="AC66" i="8"/>
  <c r="AB174" i="8"/>
  <c r="AG132" i="11"/>
  <c r="G32" i="30"/>
  <c r="F33" i="30"/>
  <c r="N167" i="7"/>
  <c r="J48" i="34"/>
  <c r="AA31" i="39"/>
  <c r="H47" i="34"/>
  <c r="J47" i="34"/>
  <c r="AA30" i="39"/>
  <c r="G115" i="8"/>
  <c r="G116" i="8"/>
  <c r="G117" i="8"/>
  <c r="I42" i="8"/>
  <c r="H114" i="8"/>
  <c r="H115" i="8"/>
  <c r="H116" i="8"/>
  <c r="H117" i="8"/>
  <c r="I44" i="8"/>
  <c r="H119" i="8"/>
  <c r="N34" i="8"/>
  <c r="M94" i="8"/>
  <c r="M95" i="8"/>
  <c r="M96" i="8"/>
  <c r="M97" i="8"/>
  <c r="O165" i="7"/>
  <c r="O166" i="7"/>
  <c r="Q62" i="7"/>
  <c r="P164" i="7"/>
  <c r="H89" i="11"/>
  <c r="H90" i="11"/>
  <c r="H91" i="11"/>
  <c r="H92" i="11"/>
  <c r="I32" i="11"/>
  <c r="J30" i="9"/>
  <c r="I84" i="9"/>
  <c r="I85" i="9"/>
  <c r="I86" i="9"/>
  <c r="I87" i="9"/>
  <c r="H139" i="9"/>
  <c r="H140" i="9"/>
  <c r="H141" i="9"/>
  <c r="H142" i="9"/>
  <c r="I52" i="9"/>
  <c r="J86" i="1"/>
  <c r="J87" i="1"/>
  <c r="J88" i="1"/>
  <c r="J89" i="1"/>
  <c r="K30" i="1"/>
  <c r="H156" i="1"/>
  <c r="I58" i="1"/>
  <c r="H141" i="1"/>
  <c r="H142" i="1"/>
  <c r="H143" i="1"/>
  <c r="H144" i="1"/>
  <c r="I52" i="1"/>
  <c r="H171" i="1"/>
  <c r="H172" i="1"/>
  <c r="H173" i="1"/>
  <c r="H174" i="1"/>
  <c r="I64" i="1"/>
  <c r="I68" i="1"/>
  <c r="H181" i="1"/>
  <c r="H182" i="1"/>
  <c r="H183" i="1"/>
  <c r="H184" i="1"/>
  <c r="I34" i="1"/>
  <c r="H96" i="1"/>
  <c r="H97" i="1"/>
  <c r="H98" i="1"/>
  <c r="H99" i="1"/>
  <c r="J91" i="1"/>
  <c r="J92" i="1"/>
  <c r="J93" i="1"/>
  <c r="J94" i="1"/>
  <c r="K32" i="1"/>
  <c r="G172" i="1"/>
  <c r="G173" i="1"/>
  <c r="G174" i="1"/>
  <c r="H131" i="1"/>
  <c r="H132" i="1"/>
  <c r="H133" i="1"/>
  <c r="H134" i="1"/>
  <c r="I48" i="1"/>
  <c r="F139" i="1"/>
  <c r="G164" i="1"/>
  <c r="H136" i="1"/>
  <c r="H137" i="1"/>
  <c r="H138" i="1"/>
  <c r="H139" i="1"/>
  <c r="I50" i="1"/>
  <c r="AJ13" i="26"/>
  <c r="K13" i="26"/>
  <c r="Z13" i="26"/>
  <c r="F13" i="26"/>
  <c r="U13" i="26"/>
  <c r="AE13" i="26"/>
  <c r="P13" i="26"/>
  <c r="I33" i="30"/>
  <c r="A14" i="26"/>
  <c r="AO14" i="26"/>
  <c r="G46" i="35"/>
  <c r="F47" i="35"/>
  <c r="I119" i="22"/>
  <c r="J44" i="22"/>
  <c r="H120" i="22"/>
  <c r="H121" i="22"/>
  <c r="H133" i="6"/>
  <c r="H134" i="6"/>
  <c r="H135" i="6"/>
  <c r="H136" i="6"/>
  <c r="I44" i="6"/>
  <c r="I40" i="6"/>
  <c r="H123" i="6"/>
  <c r="H124" i="6"/>
  <c r="H125" i="6"/>
  <c r="H126" i="6"/>
  <c r="I98" i="6"/>
  <c r="I99" i="6"/>
  <c r="I100" i="6"/>
  <c r="I101" i="6"/>
  <c r="J30" i="6"/>
  <c r="I128" i="6"/>
  <c r="I129" i="6"/>
  <c r="I130" i="6"/>
  <c r="I131" i="6"/>
  <c r="J42" i="6"/>
  <c r="I32" i="6"/>
  <c r="H103" i="6"/>
  <c r="H104" i="6"/>
  <c r="H105" i="6"/>
  <c r="H106" i="6"/>
  <c r="I28" i="6"/>
  <c r="H93" i="6"/>
  <c r="H94" i="6"/>
  <c r="H95" i="6"/>
  <c r="H96" i="6"/>
  <c r="I34" i="6"/>
  <c r="H108" i="6"/>
  <c r="H109" i="6"/>
  <c r="H110" i="6"/>
  <c r="H111" i="6"/>
  <c r="I36" i="6"/>
  <c r="H113" i="6"/>
  <c r="H114" i="6"/>
  <c r="H115" i="6"/>
  <c r="H116" i="6"/>
  <c r="I22" i="6"/>
  <c r="H78" i="6"/>
  <c r="H79" i="6"/>
  <c r="H80" i="6"/>
  <c r="H81" i="6"/>
  <c r="H88" i="6"/>
  <c r="H89" i="6"/>
  <c r="H90" i="6"/>
  <c r="H91" i="6"/>
  <c r="I26" i="6"/>
  <c r="I24" i="6"/>
  <c r="H83" i="6"/>
  <c r="H84" i="6"/>
  <c r="H85" i="6"/>
  <c r="H86" i="6"/>
  <c r="I217" i="1"/>
  <c r="I218" i="1"/>
  <c r="F119" i="1"/>
  <c r="H219" i="1"/>
  <c r="H116" i="1"/>
  <c r="H117" i="1"/>
  <c r="H118" i="1"/>
  <c r="H119" i="1"/>
  <c r="I42" i="1"/>
  <c r="K82" i="1"/>
  <c r="J216" i="1"/>
  <c r="L80" i="1"/>
  <c r="K211" i="1"/>
  <c r="K212" i="1"/>
  <c r="K213" i="1"/>
  <c r="K214" i="1"/>
  <c r="G117" i="1"/>
  <c r="G118" i="1"/>
  <c r="G119" i="1"/>
  <c r="H179" i="1"/>
  <c r="F169" i="1"/>
  <c r="G147" i="8"/>
  <c r="G102" i="7"/>
  <c r="F97" i="22"/>
  <c r="J36" i="8"/>
  <c r="I99" i="8"/>
  <c r="I100" i="8"/>
  <c r="I101" i="8"/>
  <c r="I102" i="8"/>
  <c r="H100" i="8"/>
  <c r="H101" i="8"/>
  <c r="K105" i="8"/>
  <c r="K106" i="8"/>
  <c r="M38" i="8"/>
  <c r="L104" i="8"/>
  <c r="L105" i="8"/>
  <c r="L106" i="8"/>
  <c r="L107" i="8"/>
  <c r="H120" i="11"/>
  <c r="H121" i="11"/>
  <c r="H122" i="11"/>
  <c r="J44" i="11"/>
  <c r="I119" i="11"/>
  <c r="U26" i="33"/>
  <c r="W26" i="33"/>
  <c r="V26" i="33"/>
  <c r="X26" i="33"/>
  <c r="H105" i="22"/>
  <c r="H106" i="22"/>
  <c r="I104" i="22"/>
  <c r="J38" i="22"/>
  <c r="G95" i="22"/>
  <c r="G96" i="22"/>
  <c r="G130" i="22"/>
  <c r="G131" i="22"/>
  <c r="G132" i="22"/>
  <c r="H94" i="22"/>
  <c r="I34" i="22"/>
  <c r="H129" i="22"/>
  <c r="I48" i="22"/>
  <c r="I34" i="7"/>
  <c r="H94" i="7"/>
  <c r="H95" i="7"/>
  <c r="H96" i="7"/>
  <c r="H97" i="7"/>
  <c r="J30" i="7"/>
  <c r="I84" i="7"/>
  <c r="I85" i="7"/>
  <c r="I86" i="7"/>
  <c r="I87" i="7"/>
  <c r="L40" i="7"/>
  <c r="K109" i="7"/>
  <c r="K110" i="7"/>
  <c r="K111" i="7"/>
  <c r="K112" i="7"/>
  <c r="G95" i="7"/>
  <c r="G96" i="7"/>
  <c r="G97" i="7"/>
  <c r="I42" i="7"/>
  <c r="H114" i="7"/>
  <c r="H115" i="7"/>
  <c r="H116" i="7"/>
  <c r="H117" i="7"/>
  <c r="J38" i="7"/>
  <c r="I104" i="7"/>
  <c r="I99" i="7"/>
  <c r="J36" i="7"/>
  <c r="L38" i="6"/>
  <c r="K118" i="6"/>
  <c r="K119" i="6"/>
  <c r="K120" i="6"/>
  <c r="K121" i="6"/>
  <c r="I34" i="9"/>
  <c r="H94" i="9"/>
  <c r="L144" i="9"/>
  <c r="L145" i="9"/>
  <c r="L146" i="9"/>
  <c r="L147" i="9"/>
  <c r="M54" i="9"/>
  <c r="I46" i="9"/>
  <c r="H124" i="9"/>
  <c r="H125" i="9"/>
  <c r="H126" i="9"/>
  <c r="H127" i="9"/>
  <c r="G95" i="9"/>
  <c r="G96" i="9"/>
  <c r="H42" i="9"/>
  <c r="G114" i="9"/>
  <c r="K104" i="9"/>
  <c r="K105" i="9"/>
  <c r="K106" i="9"/>
  <c r="K107" i="9"/>
  <c r="L38" i="9"/>
  <c r="H135" i="9"/>
  <c r="H136" i="9"/>
  <c r="J50" i="9"/>
  <c r="I134" i="9"/>
  <c r="I135" i="9"/>
  <c r="I136" i="9"/>
  <c r="I137" i="9"/>
  <c r="I56" i="9"/>
  <c r="H149" i="9"/>
  <c r="H150" i="9"/>
  <c r="H151" i="9"/>
  <c r="H152" i="9"/>
  <c r="I48" i="9"/>
  <c r="H129" i="9"/>
  <c r="H130" i="9"/>
  <c r="H131" i="9"/>
  <c r="H132" i="9"/>
  <c r="I44" i="9"/>
  <c r="H119" i="9"/>
  <c r="H120" i="9"/>
  <c r="H121" i="9"/>
  <c r="H122" i="9"/>
  <c r="K32" i="9"/>
  <c r="J89" i="9"/>
  <c r="J90" i="9"/>
  <c r="J91" i="9"/>
  <c r="J92" i="9"/>
  <c r="G197" i="1"/>
  <c r="G198" i="1"/>
  <c r="G199" i="1"/>
  <c r="M152" i="1"/>
  <c r="M153" i="1"/>
  <c r="M154" i="1"/>
  <c r="I74" i="1"/>
  <c r="H196" i="1"/>
  <c r="I161" i="1"/>
  <c r="I162" i="1"/>
  <c r="I163" i="1"/>
  <c r="I164" i="1"/>
  <c r="J60" i="1"/>
  <c r="O56" i="1"/>
  <c r="N151" i="1"/>
  <c r="J72" i="1"/>
  <c r="I191" i="1"/>
  <c r="I192" i="1"/>
  <c r="I193" i="1"/>
  <c r="I194" i="1"/>
  <c r="K66" i="1"/>
  <c r="J176" i="1"/>
  <c r="J177" i="1"/>
  <c r="J178" i="1"/>
  <c r="J179" i="1"/>
  <c r="G187" i="1"/>
  <c r="G188" i="1"/>
  <c r="G189" i="1"/>
  <c r="K76" i="1"/>
  <c r="J201" i="1"/>
  <c r="J202" i="1"/>
  <c r="J203" i="1"/>
  <c r="J204" i="1"/>
  <c r="I78" i="1"/>
  <c r="H206" i="1"/>
  <c r="I70" i="1"/>
  <c r="H186" i="1"/>
  <c r="T26" i="37"/>
  <c r="K27" i="37"/>
  <c r="T27" i="37"/>
  <c r="H37" i="37"/>
  <c r="J37" i="37"/>
  <c r="AD20" i="39"/>
  <c r="J38" i="37"/>
  <c r="AD21" i="39"/>
  <c r="O42" i="11"/>
  <c r="N114" i="11"/>
  <c r="M115" i="11"/>
  <c r="M116" i="11"/>
  <c r="M117" i="11"/>
  <c r="J38" i="34"/>
  <c r="AA21" i="39"/>
  <c r="H37" i="34"/>
  <c r="J37" i="34"/>
  <c r="AA20" i="39"/>
  <c r="U26" i="35"/>
  <c r="W26" i="35"/>
  <c r="V26" i="35"/>
  <c r="Y26" i="35"/>
  <c r="G46" i="37"/>
  <c r="F47" i="37"/>
  <c r="W26" i="36"/>
  <c r="V26" i="36"/>
  <c r="K26" i="36"/>
  <c r="AC22" i="39"/>
  <c r="J43" i="36"/>
  <c r="H42" i="36"/>
  <c r="J42" i="36"/>
  <c r="AC27" i="39"/>
  <c r="J48" i="36"/>
  <c r="H47" i="36"/>
  <c r="J47" i="36"/>
  <c r="J38" i="36"/>
  <c r="H37" i="36"/>
  <c r="J37" i="36"/>
  <c r="AC32" i="39"/>
  <c r="T25" i="35"/>
  <c r="L25" i="35"/>
  <c r="Y25" i="34"/>
  <c r="X25" i="34"/>
  <c r="K25" i="34"/>
  <c r="T24" i="34"/>
  <c r="L24" i="34"/>
  <c r="J43" i="34"/>
  <c r="H42" i="34"/>
  <c r="J42" i="34"/>
  <c r="Z25" i="39"/>
  <c r="Z26" i="39"/>
  <c r="J48" i="33"/>
  <c r="H47" i="33"/>
  <c r="J47" i="33"/>
  <c r="Z32" i="39"/>
  <c r="L25" i="33"/>
  <c r="T25" i="33"/>
  <c r="J48" i="32"/>
  <c r="H47" i="32"/>
  <c r="J47" i="32"/>
  <c r="J43" i="32"/>
  <c r="H42" i="32"/>
  <c r="J42" i="32"/>
  <c r="L25" i="32"/>
  <c r="K26" i="32"/>
  <c r="T25" i="32"/>
  <c r="Y27" i="39"/>
  <c r="L25" i="31"/>
  <c r="T25" i="31"/>
  <c r="K85" i="11"/>
  <c r="K86" i="11"/>
  <c r="K87" i="11"/>
  <c r="H105" i="11"/>
  <c r="H106" i="11"/>
  <c r="I100" i="11"/>
  <c r="I101" i="11"/>
  <c r="I102" i="11"/>
  <c r="J38" i="11"/>
  <c r="I104" i="11"/>
  <c r="L84" i="11"/>
  <c r="M30" i="11"/>
  <c r="J99" i="11"/>
  <c r="K36" i="11"/>
  <c r="J50" i="10"/>
  <c r="I134" i="10"/>
  <c r="H135" i="10"/>
  <c r="H136" i="10"/>
  <c r="H137" i="10"/>
  <c r="I99" i="10"/>
  <c r="J36" i="10"/>
  <c r="H100" i="10"/>
  <c r="H101" i="10"/>
  <c r="H102" i="10"/>
  <c r="I58" i="22"/>
  <c r="H154" i="22"/>
  <c r="G155" i="22"/>
  <c r="G156" i="22"/>
  <c r="G157" i="22"/>
  <c r="H110" i="22"/>
  <c r="H111" i="22"/>
  <c r="H112" i="22"/>
  <c r="I109" i="22"/>
  <c r="J40" i="22"/>
  <c r="H145" i="22"/>
  <c r="H146" i="22"/>
  <c r="H147" i="22"/>
  <c r="J36" i="22"/>
  <c r="I99" i="22"/>
  <c r="I144" i="22"/>
  <c r="J54" i="22"/>
  <c r="H100" i="22"/>
  <c r="H101" i="22"/>
  <c r="H102" i="22"/>
  <c r="J150" i="8"/>
  <c r="J151" i="8"/>
  <c r="J152" i="8"/>
  <c r="K149" i="8"/>
  <c r="L56" i="8"/>
  <c r="H145" i="8"/>
  <c r="H146" i="8"/>
  <c r="H147" i="8"/>
  <c r="J54" i="8"/>
  <c r="I144" i="8"/>
  <c r="F85" i="8"/>
  <c r="F86" i="8"/>
  <c r="F87" i="8"/>
  <c r="G110" i="8"/>
  <c r="G111" i="8"/>
  <c r="G112" i="8"/>
  <c r="I32" i="8"/>
  <c r="H89" i="8"/>
  <c r="G130" i="8"/>
  <c r="G131" i="8"/>
  <c r="G132" i="8"/>
  <c r="I48" i="8"/>
  <c r="H129" i="8"/>
  <c r="G140" i="8"/>
  <c r="G141" i="8"/>
  <c r="G142" i="8"/>
  <c r="H30" i="8"/>
  <c r="G84" i="8"/>
  <c r="I40" i="8"/>
  <c r="H109" i="8"/>
  <c r="I52" i="8"/>
  <c r="H139" i="8"/>
  <c r="G90" i="8"/>
  <c r="G91" i="8"/>
  <c r="G92" i="8"/>
  <c r="G145" i="7"/>
  <c r="G146" i="7"/>
  <c r="G147" i="7"/>
  <c r="H144" i="7"/>
  <c r="I54" i="7"/>
  <c r="G140" i="7"/>
  <c r="G141" i="7"/>
  <c r="G142" i="7"/>
  <c r="H139" i="7"/>
  <c r="I52" i="7"/>
  <c r="I50" i="7"/>
  <c r="H134" i="7"/>
  <c r="G135" i="7"/>
  <c r="G136" i="7"/>
  <c r="G137" i="7"/>
  <c r="N90" i="7"/>
  <c r="N91" i="7"/>
  <c r="N92" i="7"/>
  <c r="J120" i="7"/>
  <c r="J121" i="7"/>
  <c r="J122" i="7"/>
  <c r="L44" i="7"/>
  <c r="K119" i="7"/>
  <c r="K46" i="7"/>
  <c r="J124" i="7"/>
  <c r="P32" i="7"/>
  <c r="O89" i="7"/>
  <c r="I125" i="7"/>
  <c r="I126" i="7"/>
  <c r="I127" i="7"/>
  <c r="G164" i="6"/>
  <c r="G165" i="6"/>
  <c r="G166" i="6"/>
  <c r="H163" i="6"/>
  <c r="I56" i="6"/>
  <c r="H158" i="6"/>
  <c r="I54" i="6"/>
  <c r="G159" i="6"/>
  <c r="G160" i="6"/>
  <c r="G161" i="6"/>
  <c r="G154" i="6"/>
  <c r="G155" i="6"/>
  <c r="G156" i="6"/>
  <c r="H153" i="6"/>
  <c r="I52" i="6"/>
  <c r="G149" i="6"/>
  <c r="G150" i="6"/>
  <c r="G151" i="6"/>
  <c r="H148" i="6"/>
  <c r="I50" i="6"/>
  <c r="H143" i="6"/>
  <c r="I48" i="6"/>
  <c r="G144" i="6"/>
  <c r="G145" i="6"/>
  <c r="G146" i="6"/>
  <c r="H160" i="9"/>
  <c r="H161" i="9"/>
  <c r="H162" i="9"/>
  <c r="J60" i="9"/>
  <c r="I159" i="9"/>
  <c r="H154" i="9"/>
  <c r="I58" i="9"/>
  <c r="G155" i="9"/>
  <c r="G156" i="9"/>
  <c r="G157" i="9"/>
  <c r="H110" i="9"/>
  <c r="H111" i="9"/>
  <c r="H112" i="9"/>
  <c r="J36" i="9"/>
  <c r="I99" i="9"/>
  <c r="I109" i="9"/>
  <c r="J40" i="9"/>
  <c r="H100" i="9"/>
  <c r="H101" i="9"/>
  <c r="H102" i="9"/>
  <c r="I62" i="1"/>
  <c r="H166" i="1"/>
  <c r="G167" i="1"/>
  <c r="G168" i="1"/>
  <c r="G169" i="1"/>
  <c r="G147" i="1"/>
  <c r="G148" i="1"/>
  <c r="G149" i="1"/>
  <c r="H146" i="1"/>
  <c r="I54" i="1"/>
  <c r="G127" i="1"/>
  <c r="G128" i="1"/>
  <c r="G129" i="1"/>
  <c r="H126" i="1"/>
  <c r="I46" i="1"/>
  <c r="I122" i="1"/>
  <c r="I123" i="1"/>
  <c r="I124" i="1"/>
  <c r="J121" i="1"/>
  <c r="K44" i="1"/>
  <c r="I112" i="1"/>
  <c r="I113" i="1"/>
  <c r="K36" i="1"/>
  <c r="J101" i="1"/>
  <c r="H106" i="1"/>
  <c r="I38" i="1"/>
  <c r="K40" i="1"/>
  <c r="J111" i="1"/>
  <c r="I102" i="1"/>
  <c r="I103" i="1"/>
  <c r="I104" i="1"/>
  <c r="G107" i="1"/>
  <c r="G108" i="1"/>
  <c r="G109" i="1"/>
  <c r="Z27" i="37"/>
  <c r="AA27" i="37"/>
  <c r="Y27" i="37"/>
  <c r="U28" i="37"/>
  <c r="W28" i="37"/>
  <c r="V28" i="37"/>
  <c r="K26" i="31"/>
  <c r="Z26" i="31"/>
  <c r="I129" i="7"/>
  <c r="I130" i="7"/>
  <c r="I131" i="7"/>
  <c r="I132" i="7"/>
  <c r="J48" i="7"/>
  <c r="Z26" i="32"/>
  <c r="Y26" i="31"/>
  <c r="AO196" i="9"/>
  <c r="AO195" i="9"/>
  <c r="BV59" i="11"/>
  <c r="BW229" i="11"/>
  <c r="AP194" i="9"/>
  <c r="AQ74" i="9"/>
  <c r="AN197" i="9"/>
  <c r="Y26" i="32"/>
  <c r="BE10" i="2"/>
  <c r="I9" i="20"/>
  <c r="CF9" i="2"/>
  <c r="J24" i="41"/>
  <c r="AE7" i="39"/>
  <c r="H23" i="41"/>
  <c r="J23" i="41"/>
  <c r="AE6" i="39"/>
  <c r="G45" i="41"/>
  <c r="F46" i="41"/>
  <c r="M81" i="41"/>
  <c r="L82" i="41"/>
  <c r="L41" i="41"/>
  <c r="N41" i="41"/>
  <c r="O41" i="41"/>
  <c r="X192" i="11"/>
  <c r="AA162" i="22"/>
  <c r="AQ87" i="22"/>
  <c r="W197" i="11"/>
  <c r="AH172" i="10"/>
  <c r="AD177" i="22"/>
  <c r="H152" i="11"/>
  <c r="O167" i="22"/>
  <c r="S167" i="10"/>
  <c r="AG212" i="10"/>
  <c r="AH177" i="9"/>
  <c r="BT212" i="8"/>
  <c r="AC197" i="22"/>
  <c r="G167" i="9"/>
  <c r="P207" i="9"/>
  <c r="T157" i="8"/>
  <c r="L162" i="7"/>
  <c r="O167" i="7"/>
  <c r="AH212" i="9"/>
  <c r="Q207" i="22"/>
  <c r="G137" i="11"/>
  <c r="BS162" i="11"/>
  <c r="L207" i="11"/>
  <c r="M167" i="8"/>
  <c r="Q192" i="22"/>
  <c r="AF260" i="40"/>
  <c r="AF261" i="40"/>
  <c r="AF262" i="40"/>
  <c r="AD280" i="40"/>
  <c r="AD281" i="40"/>
  <c r="AD282" i="40"/>
  <c r="X285" i="40"/>
  <c r="X286" i="40"/>
  <c r="X287" i="40"/>
  <c r="X245" i="40"/>
  <c r="X246" i="40"/>
  <c r="X247" i="40"/>
  <c r="Y284" i="40"/>
  <c r="Y285" i="40"/>
  <c r="Y286" i="40"/>
  <c r="Y287" i="40"/>
  <c r="Z108" i="40"/>
  <c r="Y269" i="40"/>
  <c r="Y270" i="40"/>
  <c r="Y271" i="40"/>
  <c r="Y272" i="40"/>
  <c r="Z102" i="40"/>
  <c r="Y244" i="40"/>
  <c r="Y245" i="40"/>
  <c r="Y246" i="40"/>
  <c r="Y247" i="40"/>
  <c r="Z92" i="40"/>
  <c r="Y289" i="40"/>
  <c r="Z110" i="40"/>
  <c r="Y264" i="40"/>
  <c r="Y265" i="40"/>
  <c r="Y266" i="40"/>
  <c r="Y267" i="40"/>
  <c r="Z100" i="40"/>
  <c r="Y249" i="40"/>
  <c r="Y250" i="40"/>
  <c r="Y251" i="40"/>
  <c r="Y252" i="40"/>
  <c r="Z94" i="40"/>
  <c r="AE275" i="40"/>
  <c r="AE276" i="40"/>
  <c r="AE277" i="40"/>
  <c r="X290" i="40"/>
  <c r="X291" i="40"/>
  <c r="X292" i="40"/>
  <c r="X250" i="40"/>
  <c r="X251" i="40"/>
  <c r="X252" i="40"/>
  <c r="AG98" i="40"/>
  <c r="AG259" i="40"/>
  <c r="AG260" i="40"/>
  <c r="AG261" i="40"/>
  <c r="AG262" i="40"/>
  <c r="AF104" i="40"/>
  <c r="AF274" i="40"/>
  <c r="AF275" i="40"/>
  <c r="AF276" i="40"/>
  <c r="AF277" i="40"/>
  <c r="AE106" i="40"/>
  <c r="AE279" i="40"/>
  <c r="AF96" i="40"/>
  <c r="AF254" i="40"/>
  <c r="AF255" i="40"/>
  <c r="AF256" i="40"/>
  <c r="AF257" i="40"/>
  <c r="AB90" i="40"/>
  <c r="AA60" i="40"/>
  <c r="Z164" i="40"/>
  <c r="Z48" i="40"/>
  <c r="Y134" i="40"/>
  <c r="AB72" i="40"/>
  <c r="AA194" i="40"/>
  <c r="AA84" i="40"/>
  <c r="Z224" i="40"/>
  <c r="AA50" i="40"/>
  <c r="Z139" i="40"/>
  <c r="AB68" i="40"/>
  <c r="AA184" i="40"/>
  <c r="Z56" i="40"/>
  <c r="Y154" i="40"/>
  <c r="Z62" i="40"/>
  <c r="Y169" i="40"/>
  <c r="AA88" i="40"/>
  <c r="Z234" i="40"/>
  <c r="AA80" i="40"/>
  <c r="Z214" i="40"/>
  <c r="X230" i="40"/>
  <c r="X231" i="40"/>
  <c r="X232" i="40"/>
  <c r="X160" i="40"/>
  <c r="X161" i="40"/>
  <c r="X162" i="40"/>
  <c r="X120" i="40"/>
  <c r="X121" i="40"/>
  <c r="X122" i="40"/>
  <c r="W172" i="40"/>
  <c r="Y239" i="40"/>
  <c r="X182" i="40"/>
  <c r="X210" i="40"/>
  <c r="X211" i="40"/>
  <c r="X212" i="40"/>
  <c r="W242" i="40"/>
  <c r="X150" i="40"/>
  <c r="X151" i="40"/>
  <c r="X152" i="40"/>
  <c r="W162" i="40"/>
  <c r="Y115" i="40"/>
  <c r="Y116" i="40"/>
  <c r="Y117" i="40"/>
  <c r="X130" i="40"/>
  <c r="X131" i="40"/>
  <c r="X132" i="40"/>
  <c r="AA76" i="40"/>
  <c r="Z204" i="40"/>
  <c r="Y180" i="40"/>
  <c r="Y181" i="40"/>
  <c r="Y182" i="40"/>
  <c r="Z82" i="40"/>
  <c r="Y219" i="40"/>
  <c r="Z70" i="40"/>
  <c r="Y189" i="40"/>
  <c r="X125" i="40"/>
  <c r="X126" i="40"/>
  <c r="X127" i="40"/>
  <c r="Z175" i="40"/>
  <c r="Z176" i="40"/>
  <c r="Y165" i="40"/>
  <c r="Y166" i="40"/>
  <c r="Y167" i="40"/>
  <c r="X220" i="40"/>
  <c r="X221" i="40"/>
  <c r="X222" i="40"/>
  <c r="X190" i="40"/>
  <c r="X191" i="40"/>
  <c r="X192" i="40"/>
  <c r="X145" i="40"/>
  <c r="X146" i="40"/>
  <c r="X147" i="40"/>
  <c r="Z42" i="40"/>
  <c r="Y119" i="40"/>
  <c r="Z195" i="40"/>
  <c r="Z196" i="40"/>
  <c r="Y225" i="40"/>
  <c r="Y226" i="40"/>
  <c r="Y227" i="40"/>
  <c r="Y140" i="40"/>
  <c r="Y141" i="40"/>
  <c r="Y142" i="40"/>
  <c r="Z185" i="40"/>
  <c r="Z186" i="40"/>
  <c r="Z187" i="40"/>
  <c r="AA40" i="40"/>
  <c r="Z114" i="40"/>
  <c r="Z74" i="40"/>
  <c r="Y199" i="40"/>
  <c r="Z44" i="40"/>
  <c r="Y124" i="40"/>
  <c r="AB64" i="40"/>
  <c r="AA174" i="40"/>
  <c r="X170" i="40"/>
  <c r="X171" i="40"/>
  <c r="X172" i="40"/>
  <c r="AA66" i="40"/>
  <c r="Z179" i="40"/>
  <c r="X200" i="40"/>
  <c r="X201" i="40"/>
  <c r="X202" i="40"/>
  <c r="X142" i="40"/>
  <c r="Y187" i="40"/>
  <c r="Y235" i="40"/>
  <c r="Y236" i="40"/>
  <c r="Y237" i="40"/>
  <c r="X135" i="40"/>
  <c r="X136" i="40"/>
  <c r="X137" i="40"/>
  <c r="W157" i="40"/>
  <c r="Y215" i="40"/>
  <c r="Y216" i="40"/>
  <c r="Z86" i="40"/>
  <c r="Y229" i="40"/>
  <c r="Z58" i="40"/>
  <c r="Y159" i="40"/>
  <c r="Z52" i="40"/>
  <c r="Y144" i="40"/>
  <c r="X240" i="40"/>
  <c r="X241" i="40"/>
  <c r="X242" i="40"/>
  <c r="X217" i="40"/>
  <c r="Z78" i="40"/>
  <c r="Y209" i="40"/>
  <c r="Z54" i="40"/>
  <c r="Y149" i="40"/>
  <c r="X155" i="40"/>
  <c r="X156" i="40"/>
  <c r="X227" i="40"/>
  <c r="Z46" i="40"/>
  <c r="Y129" i="40"/>
  <c r="W192" i="40"/>
  <c r="Y205" i="40"/>
  <c r="Y206" i="40"/>
  <c r="Y207" i="40"/>
  <c r="BV147" i="11"/>
  <c r="W58" i="8"/>
  <c r="V154" i="8"/>
  <c r="M161" i="7"/>
  <c r="M160" i="7"/>
  <c r="H202" i="7"/>
  <c r="BV60" i="11"/>
  <c r="BU159" i="11"/>
  <c r="Q78" i="7"/>
  <c r="P204" i="7"/>
  <c r="X195" i="11"/>
  <c r="X196" i="11"/>
  <c r="J76" i="10"/>
  <c r="I199" i="10"/>
  <c r="AB145" i="10"/>
  <c r="AB146" i="10"/>
  <c r="AJ80" i="10"/>
  <c r="AI209" i="10"/>
  <c r="J66" i="7"/>
  <c r="I174" i="7"/>
  <c r="H161" i="10"/>
  <c r="H160" i="10"/>
  <c r="I138" i="6"/>
  <c r="I139" i="6"/>
  <c r="I140" i="6"/>
  <c r="I141" i="6"/>
  <c r="J46" i="6"/>
  <c r="N207" i="7"/>
  <c r="M206" i="11"/>
  <c r="M205" i="11"/>
  <c r="T165" i="10"/>
  <c r="T166" i="10"/>
  <c r="V187" i="10"/>
  <c r="G177" i="7"/>
  <c r="G162" i="10"/>
  <c r="T174" i="10"/>
  <c r="U66" i="10"/>
  <c r="AJ174" i="9"/>
  <c r="AK66" i="9"/>
  <c r="R169" i="9"/>
  <c r="S64" i="9"/>
  <c r="BW80" i="8"/>
  <c r="BV209" i="8"/>
  <c r="X184" i="10"/>
  <c r="Y70" i="10"/>
  <c r="K155" i="7"/>
  <c r="K156" i="7"/>
  <c r="G207" i="8"/>
  <c r="I179" i="10"/>
  <c r="J68" i="10"/>
  <c r="J62" i="9"/>
  <c r="I164" i="9"/>
  <c r="J157" i="7"/>
  <c r="H186" i="8"/>
  <c r="H185" i="8"/>
  <c r="O60" i="7"/>
  <c r="N159" i="7"/>
  <c r="G182" i="10"/>
  <c r="H201" i="11"/>
  <c r="H200" i="11"/>
  <c r="BW145" i="11"/>
  <c r="BW146" i="11"/>
  <c r="Z74" i="11"/>
  <c r="Y194" i="11"/>
  <c r="N166" i="8"/>
  <c r="N165" i="8"/>
  <c r="H201" i="10"/>
  <c r="H200" i="10"/>
  <c r="AC144" i="10"/>
  <c r="AD54" i="10"/>
  <c r="AH211" i="10"/>
  <c r="AH210" i="10"/>
  <c r="AE175" i="22"/>
  <c r="AE176" i="22"/>
  <c r="G202" i="11"/>
  <c r="O78" i="11"/>
  <c r="N204" i="11"/>
  <c r="V62" i="10"/>
  <c r="U164" i="10"/>
  <c r="R204" i="9"/>
  <c r="S78" i="9"/>
  <c r="S175" i="10"/>
  <c r="S176" i="10"/>
  <c r="AI176" i="9"/>
  <c r="AI175" i="9"/>
  <c r="Q171" i="9"/>
  <c r="Q170" i="9"/>
  <c r="BU211" i="8"/>
  <c r="BU210" i="8"/>
  <c r="W185" i="10"/>
  <c r="W186" i="10"/>
  <c r="M58" i="7"/>
  <c r="L154" i="7"/>
  <c r="H180" i="10"/>
  <c r="H181" i="10"/>
  <c r="R62" i="22"/>
  <c r="Q164" i="22"/>
  <c r="J70" i="8"/>
  <c r="I184" i="8"/>
  <c r="H136" i="11"/>
  <c r="H135" i="11"/>
  <c r="J76" i="11"/>
  <c r="I199" i="11"/>
  <c r="P62" i="8"/>
  <c r="O164" i="8"/>
  <c r="AG66" i="22"/>
  <c r="AF174" i="22"/>
  <c r="I151" i="11"/>
  <c r="I150" i="11"/>
  <c r="R206" i="22"/>
  <c r="R205" i="22"/>
  <c r="Q206" i="9"/>
  <c r="Q205" i="9"/>
  <c r="H206" i="8"/>
  <c r="H205" i="8"/>
  <c r="T72" i="22"/>
  <c r="S189" i="22"/>
  <c r="AK154" i="10"/>
  <c r="AL58" i="10"/>
  <c r="AI170" i="10"/>
  <c r="AI171" i="10"/>
  <c r="O186" i="22"/>
  <c r="O185" i="22"/>
  <c r="L125" i="11"/>
  <c r="L126" i="11"/>
  <c r="H200" i="22"/>
  <c r="H201" i="22"/>
  <c r="I200" i="7"/>
  <c r="I201" i="7"/>
  <c r="I149" i="22"/>
  <c r="J56" i="22"/>
  <c r="P165" i="22"/>
  <c r="P166" i="22"/>
  <c r="P172" i="9"/>
  <c r="AA147" i="10"/>
  <c r="U155" i="8"/>
  <c r="U156" i="8"/>
  <c r="J50" i="11"/>
  <c r="I134" i="11"/>
  <c r="G202" i="22"/>
  <c r="BT160" i="11"/>
  <c r="BT161" i="11"/>
  <c r="O205" i="7"/>
  <c r="O206" i="7"/>
  <c r="BY54" i="11"/>
  <c r="BX144" i="11"/>
  <c r="G187" i="8"/>
  <c r="H175" i="7"/>
  <c r="H176" i="7"/>
  <c r="I159" i="10"/>
  <c r="J60" i="10"/>
  <c r="K56" i="11"/>
  <c r="J149" i="11"/>
  <c r="R177" i="10"/>
  <c r="T78" i="22"/>
  <c r="S204" i="22"/>
  <c r="G202" i="10"/>
  <c r="J78" i="8"/>
  <c r="I204" i="8"/>
  <c r="R190" i="22"/>
  <c r="R191" i="22"/>
  <c r="AJ156" i="10"/>
  <c r="AJ155" i="10"/>
  <c r="AK64" i="10"/>
  <c r="AJ169" i="10"/>
  <c r="P184" i="22"/>
  <c r="Q70" i="22"/>
  <c r="N46" i="11"/>
  <c r="M124" i="11"/>
  <c r="J76" i="22"/>
  <c r="I199" i="22"/>
  <c r="K76" i="7"/>
  <c r="J199" i="7"/>
  <c r="H165" i="9"/>
  <c r="H166" i="9"/>
  <c r="AI157" i="10"/>
  <c r="N187" i="22"/>
  <c r="K127" i="11"/>
  <c r="K109" i="11"/>
  <c r="K110" i="11"/>
  <c r="K111" i="11"/>
  <c r="K112" i="11"/>
  <c r="L40" i="11"/>
  <c r="J40" i="10"/>
  <c r="I109" i="10"/>
  <c r="I110" i="10"/>
  <c r="I111" i="10"/>
  <c r="I112" i="10"/>
  <c r="J34" i="10"/>
  <c r="I94" i="10"/>
  <c r="I95" i="10"/>
  <c r="I96" i="10"/>
  <c r="I97" i="10"/>
  <c r="I129" i="10"/>
  <c r="I130" i="10"/>
  <c r="I131" i="10"/>
  <c r="I132" i="10"/>
  <c r="J48" i="10"/>
  <c r="J30" i="10"/>
  <c r="I84" i="10"/>
  <c r="I85" i="10"/>
  <c r="I86" i="10"/>
  <c r="I87" i="10"/>
  <c r="J42" i="10"/>
  <c r="I114" i="10"/>
  <c r="I115" i="10"/>
  <c r="I116" i="10"/>
  <c r="I117" i="10"/>
  <c r="J46" i="10"/>
  <c r="I124" i="10"/>
  <c r="I125" i="10"/>
  <c r="I126" i="10"/>
  <c r="I127" i="10"/>
  <c r="I139" i="10"/>
  <c r="I140" i="10"/>
  <c r="I141" i="10"/>
  <c r="I142" i="10"/>
  <c r="J52" i="10"/>
  <c r="J119" i="10"/>
  <c r="J120" i="10"/>
  <c r="J121" i="10"/>
  <c r="J122" i="10"/>
  <c r="K44" i="10"/>
  <c r="J32" i="10"/>
  <c r="I89" i="10"/>
  <c r="I90" i="10"/>
  <c r="I91" i="10"/>
  <c r="I92" i="10"/>
  <c r="H140" i="10"/>
  <c r="H141" i="10"/>
  <c r="H142" i="10"/>
  <c r="J38" i="10"/>
  <c r="I104" i="10"/>
  <c r="I105" i="10"/>
  <c r="I106" i="10"/>
  <c r="I107" i="10"/>
  <c r="K46" i="22"/>
  <c r="J124" i="22"/>
  <c r="J125" i="22"/>
  <c r="J126" i="22"/>
  <c r="J127" i="22"/>
  <c r="J42" i="22"/>
  <c r="I114" i="22"/>
  <c r="I115" i="22"/>
  <c r="I116" i="22"/>
  <c r="I117" i="22"/>
  <c r="K52" i="22"/>
  <c r="J139" i="22"/>
  <c r="J140" i="22"/>
  <c r="J141" i="22"/>
  <c r="J142" i="22"/>
  <c r="I134" i="22"/>
  <c r="I135" i="22"/>
  <c r="I136" i="22"/>
  <c r="I137" i="22"/>
  <c r="J50" i="22"/>
  <c r="J46" i="8"/>
  <c r="I124" i="8"/>
  <c r="I125" i="8"/>
  <c r="I126" i="8"/>
  <c r="I127" i="8"/>
  <c r="K50" i="8"/>
  <c r="J134" i="8"/>
  <c r="J135" i="8"/>
  <c r="J136" i="8"/>
  <c r="J137" i="8"/>
  <c r="AD182" i="9"/>
  <c r="AI182" i="7"/>
  <c r="AH132" i="11"/>
  <c r="BO182" i="11"/>
  <c r="AF152" i="10"/>
  <c r="BS172" i="11"/>
  <c r="AC197" i="8"/>
  <c r="Z177" i="11"/>
  <c r="G192" i="9"/>
  <c r="CB172" i="8"/>
  <c r="CB232" i="8"/>
  <c r="BO167" i="11"/>
  <c r="W162" i="8"/>
  <c r="Z26" i="33"/>
  <c r="AC159" i="22"/>
  <c r="AD60" i="22"/>
  <c r="AE210" i="22"/>
  <c r="AE211" i="22"/>
  <c r="AD179" i="22"/>
  <c r="AE68" i="22"/>
  <c r="AE207" i="10"/>
  <c r="BP180" i="11"/>
  <c r="BP181" i="11"/>
  <c r="AL142" i="11"/>
  <c r="AI70" i="9"/>
  <c r="AH184" i="9"/>
  <c r="AC195" i="7"/>
  <c r="AC196" i="7"/>
  <c r="AD80" i="11"/>
  <c r="AC209" i="11"/>
  <c r="AB187" i="7"/>
  <c r="BV64" i="11"/>
  <c r="BU169" i="11"/>
  <c r="AB68" i="8"/>
  <c r="AA179" i="8"/>
  <c r="AI64" i="22"/>
  <c r="AH169" i="22"/>
  <c r="AF74" i="8"/>
  <c r="AE194" i="8"/>
  <c r="AB197" i="7"/>
  <c r="AF74" i="10"/>
  <c r="AE194" i="10"/>
  <c r="AM192" i="10"/>
  <c r="AB76" i="8"/>
  <c r="AA199" i="8"/>
  <c r="M191" i="8"/>
  <c r="M190" i="8"/>
  <c r="AG68" i="9"/>
  <c r="AF179" i="9"/>
  <c r="AE212" i="7"/>
  <c r="AI211" i="9"/>
  <c r="AI210" i="9"/>
  <c r="AD212" i="22"/>
  <c r="AF172" i="22"/>
  <c r="AF205" i="10"/>
  <c r="AF206" i="10"/>
  <c r="AN191" i="10"/>
  <c r="AN190" i="10"/>
  <c r="AC66" i="11"/>
  <c r="AB174" i="11"/>
  <c r="AS172" i="7"/>
  <c r="BW65" i="8"/>
  <c r="BX232" i="8"/>
  <c r="AO52" i="11"/>
  <c r="AN139" i="11"/>
  <c r="BP165" i="11"/>
  <c r="BP166" i="11"/>
  <c r="AB175" i="8"/>
  <c r="AB176" i="8"/>
  <c r="AB160" i="22"/>
  <c r="AB161" i="22"/>
  <c r="X161" i="8"/>
  <c r="X160" i="8"/>
  <c r="AG80" i="22"/>
  <c r="AF209" i="22"/>
  <c r="I199" i="9"/>
  <c r="J76" i="9"/>
  <c r="AE74" i="7"/>
  <c r="AD194" i="7"/>
  <c r="L71" i="37"/>
  <c r="M70" i="37"/>
  <c r="AF211" i="7"/>
  <c r="AF210" i="7"/>
  <c r="AI131" i="11"/>
  <c r="AI130" i="11"/>
  <c r="AT171" i="7"/>
  <c r="AT170" i="7"/>
  <c r="O72" i="8"/>
  <c r="N189" i="8"/>
  <c r="AE180" i="9"/>
  <c r="AE181" i="9"/>
  <c r="AJ209" i="9"/>
  <c r="AK80" i="9"/>
  <c r="AV132" i="2"/>
  <c r="AV11" i="2"/>
  <c r="H11" i="20"/>
  <c r="AM132" i="2"/>
  <c r="AM11" i="2"/>
  <c r="G11" i="20"/>
  <c r="AD132" i="2"/>
  <c r="AD11" i="2"/>
  <c r="F11" i="20"/>
  <c r="U132" i="2"/>
  <c r="U11" i="2"/>
  <c r="E11" i="20"/>
  <c r="BE132" i="2"/>
  <c r="L132" i="2"/>
  <c r="L11" i="2"/>
  <c r="C132" i="2"/>
  <c r="C11" i="2"/>
  <c r="E11" i="2"/>
  <c r="C10" i="20"/>
  <c r="BN132" i="2"/>
  <c r="BN11" i="2"/>
  <c r="J11" i="20"/>
  <c r="AD66" i="8"/>
  <c r="AC174" i="8"/>
  <c r="Z60" i="8"/>
  <c r="Y159" i="8"/>
  <c r="J72" i="9"/>
  <c r="I189" i="9"/>
  <c r="AC185" i="7"/>
  <c r="AC186" i="7"/>
  <c r="AF74" i="22"/>
  <c r="AE194" i="22"/>
  <c r="H200" i="9"/>
  <c r="H201" i="9"/>
  <c r="H90" i="22"/>
  <c r="H91" i="22"/>
  <c r="H92" i="22"/>
  <c r="AA177" i="8"/>
  <c r="AC197" i="10"/>
  <c r="Y202" i="8"/>
  <c r="AJ181" i="7"/>
  <c r="AJ180" i="7"/>
  <c r="L192" i="8"/>
  <c r="AH80" i="7"/>
  <c r="AG209" i="7"/>
  <c r="AF187" i="9"/>
  <c r="AK48" i="11"/>
  <c r="AJ129" i="11"/>
  <c r="AA212" i="11"/>
  <c r="AU169" i="7"/>
  <c r="AV64" i="7"/>
  <c r="Y182" i="8"/>
  <c r="BU73" i="7"/>
  <c r="BV236" i="7"/>
  <c r="AB182" i="22"/>
  <c r="AR86" i="22"/>
  <c r="AR85" i="22"/>
  <c r="AG150" i="10"/>
  <c r="AG151" i="10"/>
  <c r="Y190" i="11"/>
  <c r="Y191" i="11"/>
  <c r="A13" i="2"/>
  <c r="A133" i="2"/>
  <c r="BW133" i="2"/>
  <c r="BW12" i="2"/>
  <c r="G202" i="9"/>
  <c r="AC181" i="22"/>
  <c r="AC180" i="22"/>
  <c r="H191" i="9"/>
  <c r="H190" i="9"/>
  <c r="AE70" i="7"/>
  <c r="AD184" i="7"/>
  <c r="AD195" i="22"/>
  <c r="AD196" i="22"/>
  <c r="BQ179" i="11"/>
  <c r="BR68" i="11"/>
  <c r="I89" i="22"/>
  <c r="I90" i="22"/>
  <c r="I91" i="22"/>
  <c r="I92" i="22"/>
  <c r="J32" i="22"/>
  <c r="AG186" i="9"/>
  <c r="AG185" i="9"/>
  <c r="AB210" i="11"/>
  <c r="AB211" i="11"/>
  <c r="BT171" i="11"/>
  <c r="BT170" i="11"/>
  <c r="AL68" i="7"/>
  <c r="AK179" i="7"/>
  <c r="Z180" i="8"/>
  <c r="Z181" i="8"/>
  <c r="AG171" i="22"/>
  <c r="AG170" i="22"/>
  <c r="AD196" i="8"/>
  <c r="AD195" i="8"/>
  <c r="AD196" i="10"/>
  <c r="AD195" i="10"/>
  <c r="Z201" i="8"/>
  <c r="Z200" i="8"/>
  <c r="N10" i="2"/>
  <c r="D10" i="20"/>
  <c r="AT30" i="22"/>
  <c r="AS84" i="22"/>
  <c r="AH149" i="10"/>
  <c r="AI56" i="10"/>
  <c r="AH78" i="10"/>
  <c r="AG204" i="10"/>
  <c r="AP72" i="10"/>
  <c r="AO189" i="10"/>
  <c r="AA72" i="11"/>
  <c r="Z189" i="11"/>
  <c r="AA176" i="11"/>
  <c r="AA175" i="11"/>
  <c r="AM140" i="11"/>
  <c r="AM141" i="11"/>
  <c r="BQ164" i="11"/>
  <c r="BR62" i="11"/>
  <c r="G33" i="30"/>
  <c r="F34" i="30"/>
  <c r="H120" i="8"/>
  <c r="H121" i="8"/>
  <c r="H122" i="8"/>
  <c r="O34" i="8"/>
  <c r="N94" i="8"/>
  <c r="N95" i="8"/>
  <c r="N96" i="8"/>
  <c r="N97" i="8"/>
  <c r="I119" i="8"/>
  <c r="J44" i="8"/>
  <c r="J42" i="8"/>
  <c r="I114" i="8"/>
  <c r="I89" i="11"/>
  <c r="I90" i="11"/>
  <c r="I91" i="11"/>
  <c r="I92" i="11"/>
  <c r="J32" i="11"/>
  <c r="Q164" i="7"/>
  <c r="R62" i="7"/>
  <c r="P166" i="7"/>
  <c r="P165" i="7"/>
  <c r="J52" i="9"/>
  <c r="I139" i="9"/>
  <c r="I140" i="9"/>
  <c r="I141" i="9"/>
  <c r="I142" i="9"/>
  <c r="K30" i="9"/>
  <c r="J84" i="9"/>
  <c r="J85" i="9"/>
  <c r="J86" i="9"/>
  <c r="J87" i="9"/>
  <c r="I219" i="1"/>
  <c r="L30" i="1"/>
  <c r="K86" i="1"/>
  <c r="K87" i="1"/>
  <c r="K88" i="1"/>
  <c r="K89" i="1"/>
  <c r="I96" i="1"/>
  <c r="I97" i="1"/>
  <c r="I98" i="1"/>
  <c r="I99" i="1"/>
  <c r="J34" i="1"/>
  <c r="J68" i="1"/>
  <c r="I181" i="1"/>
  <c r="I182" i="1"/>
  <c r="I183" i="1"/>
  <c r="I184" i="1"/>
  <c r="H157" i="1"/>
  <c r="H158" i="1"/>
  <c r="H159" i="1"/>
  <c r="I131" i="1"/>
  <c r="I132" i="1"/>
  <c r="I133" i="1"/>
  <c r="I134" i="1"/>
  <c r="J48" i="1"/>
  <c r="K91" i="1"/>
  <c r="K92" i="1"/>
  <c r="K93" i="1"/>
  <c r="K94" i="1"/>
  <c r="L32" i="1"/>
  <c r="I171" i="1"/>
  <c r="I172" i="1"/>
  <c r="I173" i="1"/>
  <c r="I174" i="1"/>
  <c r="J64" i="1"/>
  <c r="J52" i="1"/>
  <c r="I141" i="1"/>
  <c r="I142" i="1"/>
  <c r="I143" i="1"/>
  <c r="I144" i="1"/>
  <c r="J58" i="1"/>
  <c r="I156" i="1"/>
  <c r="I157" i="1"/>
  <c r="I158" i="1"/>
  <c r="I159" i="1"/>
  <c r="J50" i="1"/>
  <c r="I136" i="1"/>
  <c r="I137" i="1"/>
  <c r="I138" i="1"/>
  <c r="I139" i="1"/>
  <c r="I34" i="30"/>
  <c r="A15" i="26"/>
  <c r="AO15" i="26"/>
  <c r="AJ14" i="26"/>
  <c r="K14" i="26"/>
  <c r="Z14" i="26"/>
  <c r="AE14" i="26"/>
  <c r="U14" i="26"/>
  <c r="F14" i="26"/>
  <c r="P14" i="26"/>
  <c r="G47" i="35"/>
  <c r="F48" i="35"/>
  <c r="U26" i="34"/>
  <c r="W26" i="34"/>
  <c r="V26" i="34"/>
  <c r="Y26" i="34"/>
  <c r="K26" i="33"/>
  <c r="T26" i="33"/>
  <c r="Y26" i="33"/>
  <c r="U27" i="33"/>
  <c r="W27" i="33"/>
  <c r="V27" i="33"/>
  <c r="Y27" i="33"/>
  <c r="H122" i="22"/>
  <c r="J119" i="22"/>
  <c r="K44" i="22"/>
  <c r="I120" i="22"/>
  <c r="I121" i="22"/>
  <c r="K107" i="8"/>
  <c r="I88" i="6"/>
  <c r="I89" i="6"/>
  <c r="I90" i="6"/>
  <c r="I91" i="6"/>
  <c r="J26" i="6"/>
  <c r="J128" i="6"/>
  <c r="J129" i="6"/>
  <c r="J130" i="6"/>
  <c r="J131" i="6"/>
  <c r="K42" i="6"/>
  <c r="K30" i="6"/>
  <c r="J98" i="6"/>
  <c r="J99" i="6"/>
  <c r="J100" i="6"/>
  <c r="J101" i="6"/>
  <c r="J44" i="6"/>
  <c r="I133" i="6"/>
  <c r="I134" i="6"/>
  <c r="I135" i="6"/>
  <c r="I136" i="6"/>
  <c r="I83" i="6"/>
  <c r="I84" i="6"/>
  <c r="I85" i="6"/>
  <c r="I86" i="6"/>
  <c r="J24" i="6"/>
  <c r="I78" i="6"/>
  <c r="I79" i="6"/>
  <c r="I80" i="6"/>
  <c r="I81" i="6"/>
  <c r="J22" i="6"/>
  <c r="I113" i="6"/>
  <c r="I114" i="6"/>
  <c r="I115" i="6"/>
  <c r="I116" i="6"/>
  <c r="J36" i="6"/>
  <c r="J34" i="6"/>
  <c r="I108" i="6"/>
  <c r="I109" i="6"/>
  <c r="I110" i="6"/>
  <c r="I111" i="6"/>
  <c r="J28" i="6"/>
  <c r="I93" i="6"/>
  <c r="I94" i="6"/>
  <c r="I95" i="6"/>
  <c r="I96" i="6"/>
  <c r="J32" i="6"/>
  <c r="I103" i="6"/>
  <c r="I104" i="6"/>
  <c r="I105" i="6"/>
  <c r="I106" i="6"/>
  <c r="J40" i="6"/>
  <c r="I123" i="6"/>
  <c r="I124" i="6"/>
  <c r="I125" i="6"/>
  <c r="I126" i="6"/>
  <c r="J218" i="1"/>
  <c r="J217" i="1"/>
  <c r="J42" i="1"/>
  <c r="I116" i="1"/>
  <c r="I117" i="1"/>
  <c r="I118" i="1"/>
  <c r="I119" i="1"/>
  <c r="M80" i="1"/>
  <c r="L211" i="1"/>
  <c r="L212" i="1"/>
  <c r="L213" i="1"/>
  <c r="L214" i="1"/>
  <c r="L82" i="1"/>
  <c r="K216" i="1"/>
  <c r="I114" i="1"/>
  <c r="H137" i="9"/>
  <c r="G97" i="9"/>
  <c r="G97" i="22"/>
  <c r="H107" i="22"/>
  <c r="H102" i="8"/>
  <c r="M104" i="8"/>
  <c r="M105" i="8"/>
  <c r="M106" i="8"/>
  <c r="M107" i="8"/>
  <c r="N38" i="8"/>
  <c r="K36" i="8"/>
  <c r="J99" i="8"/>
  <c r="J100" i="8"/>
  <c r="J101" i="8"/>
  <c r="J102" i="8"/>
  <c r="I120" i="11"/>
  <c r="I121" i="11"/>
  <c r="K44" i="11"/>
  <c r="J119" i="11"/>
  <c r="X26" i="35"/>
  <c r="U27" i="32"/>
  <c r="W27" i="32"/>
  <c r="V27" i="32"/>
  <c r="AA27" i="32"/>
  <c r="U27" i="31"/>
  <c r="W27" i="31"/>
  <c r="V27" i="31"/>
  <c r="Z27" i="31"/>
  <c r="J48" i="22"/>
  <c r="I129" i="22"/>
  <c r="J104" i="22"/>
  <c r="K38" i="22"/>
  <c r="H130" i="22"/>
  <c r="H131" i="22"/>
  <c r="I105" i="22"/>
  <c r="I106" i="22"/>
  <c r="I107" i="22"/>
  <c r="I94" i="22"/>
  <c r="J34" i="22"/>
  <c r="H95" i="22"/>
  <c r="H96" i="22"/>
  <c r="H97" i="22"/>
  <c r="J99" i="7"/>
  <c r="J100" i="7"/>
  <c r="J101" i="7"/>
  <c r="J102" i="7"/>
  <c r="K36" i="7"/>
  <c r="I100" i="7"/>
  <c r="I101" i="7"/>
  <c r="I102" i="7"/>
  <c r="J42" i="7"/>
  <c r="I114" i="7"/>
  <c r="I115" i="7"/>
  <c r="I116" i="7"/>
  <c r="I117" i="7"/>
  <c r="K30" i="7"/>
  <c r="J84" i="7"/>
  <c r="J85" i="7"/>
  <c r="J86" i="7"/>
  <c r="J87" i="7"/>
  <c r="I105" i="7"/>
  <c r="I106" i="7"/>
  <c r="I107" i="7"/>
  <c r="K38" i="7"/>
  <c r="J104" i="7"/>
  <c r="M40" i="7"/>
  <c r="L109" i="7"/>
  <c r="L110" i="7"/>
  <c r="L111" i="7"/>
  <c r="L112" i="7"/>
  <c r="J34" i="7"/>
  <c r="I94" i="7"/>
  <c r="I95" i="7"/>
  <c r="I96" i="7"/>
  <c r="I97" i="7"/>
  <c r="M38" i="6"/>
  <c r="L118" i="6"/>
  <c r="L119" i="6"/>
  <c r="L120" i="6"/>
  <c r="L121" i="6"/>
  <c r="G115" i="9"/>
  <c r="G116" i="9"/>
  <c r="G117" i="9"/>
  <c r="N54" i="9"/>
  <c r="M144" i="9"/>
  <c r="M145" i="9"/>
  <c r="M146" i="9"/>
  <c r="M147" i="9"/>
  <c r="H114" i="9"/>
  <c r="H115" i="9"/>
  <c r="H116" i="9"/>
  <c r="H117" i="9"/>
  <c r="I42" i="9"/>
  <c r="L104" i="9"/>
  <c r="M38" i="9"/>
  <c r="H95" i="9"/>
  <c r="H96" i="9"/>
  <c r="J46" i="9"/>
  <c r="I124" i="9"/>
  <c r="I125" i="9"/>
  <c r="I126" i="9"/>
  <c r="I127" i="9"/>
  <c r="J34" i="9"/>
  <c r="I94" i="9"/>
  <c r="I95" i="9"/>
  <c r="I96" i="9"/>
  <c r="I97" i="9"/>
  <c r="J134" i="9"/>
  <c r="J135" i="9"/>
  <c r="J136" i="9"/>
  <c r="J137" i="9"/>
  <c r="K50" i="9"/>
  <c r="L32" i="9"/>
  <c r="K89" i="9"/>
  <c r="K90" i="9"/>
  <c r="K91" i="9"/>
  <c r="K92" i="9"/>
  <c r="I119" i="9"/>
  <c r="I120" i="9"/>
  <c r="I121" i="9"/>
  <c r="I122" i="9"/>
  <c r="J44" i="9"/>
  <c r="I149" i="9"/>
  <c r="I150" i="9"/>
  <c r="I151" i="9"/>
  <c r="I152" i="9"/>
  <c r="J56" i="9"/>
  <c r="I129" i="9"/>
  <c r="I130" i="9"/>
  <c r="I131" i="9"/>
  <c r="I132" i="9"/>
  <c r="J48" i="9"/>
  <c r="L76" i="1"/>
  <c r="K201" i="1"/>
  <c r="K202" i="1"/>
  <c r="K203" i="1"/>
  <c r="K204" i="1"/>
  <c r="K72" i="1"/>
  <c r="J191" i="1"/>
  <c r="J192" i="1"/>
  <c r="J193" i="1"/>
  <c r="J194" i="1"/>
  <c r="J74" i="1"/>
  <c r="I196" i="1"/>
  <c r="I197" i="1"/>
  <c r="I198" i="1"/>
  <c r="I199" i="1"/>
  <c r="H187" i="1"/>
  <c r="H188" i="1"/>
  <c r="H189" i="1"/>
  <c r="H207" i="1"/>
  <c r="H208" i="1"/>
  <c r="N152" i="1"/>
  <c r="N153" i="1"/>
  <c r="N154" i="1"/>
  <c r="J161" i="1"/>
  <c r="K60" i="1"/>
  <c r="H197" i="1"/>
  <c r="H198" i="1"/>
  <c r="H199" i="1"/>
  <c r="J70" i="1"/>
  <c r="I186" i="1"/>
  <c r="I187" i="1"/>
  <c r="I188" i="1"/>
  <c r="I189" i="1"/>
  <c r="J78" i="1"/>
  <c r="I206" i="1"/>
  <c r="I207" i="1"/>
  <c r="I208" i="1"/>
  <c r="I209" i="1"/>
  <c r="L66" i="1"/>
  <c r="K176" i="1"/>
  <c r="K177" i="1"/>
  <c r="K178" i="1"/>
  <c r="K179" i="1"/>
  <c r="O151" i="1"/>
  <c r="O152" i="1"/>
  <c r="O153" i="1"/>
  <c r="O154" i="1"/>
  <c r="P56" i="1"/>
  <c r="L27" i="37"/>
  <c r="N115" i="11"/>
  <c r="N116" i="11"/>
  <c r="N117" i="11"/>
  <c r="P42" i="11"/>
  <c r="O114" i="11"/>
  <c r="Z26" i="35"/>
  <c r="K26" i="35"/>
  <c r="L26" i="35"/>
  <c r="G47" i="37"/>
  <c r="F48" i="37"/>
  <c r="AC20" i="39"/>
  <c r="AC26" i="39"/>
  <c r="AC21" i="39"/>
  <c r="AC30" i="39"/>
  <c r="L26" i="36"/>
  <c r="T26" i="36"/>
  <c r="AC31" i="39"/>
  <c r="AC25" i="39"/>
  <c r="Z26" i="36"/>
  <c r="X26" i="36"/>
  <c r="Y26" i="36"/>
  <c r="AA26" i="39"/>
  <c r="AA25" i="39"/>
  <c r="L25" i="34"/>
  <c r="T25" i="34"/>
  <c r="Z31" i="39"/>
  <c r="Z30" i="39"/>
  <c r="Z27" i="32"/>
  <c r="Y26" i="39"/>
  <c r="L26" i="32"/>
  <c r="T26" i="32"/>
  <c r="Y30" i="39"/>
  <c r="Y31" i="39"/>
  <c r="Y25" i="39"/>
  <c r="L26" i="31"/>
  <c r="T26" i="31"/>
  <c r="I105" i="11"/>
  <c r="I106" i="11"/>
  <c r="N30" i="11"/>
  <c r="M84" i="11"/>
  <c r="J104" i="11"/>
  <c r="K38" i="11"/>
  <c r="H107" i="11"/>
  <c r="L36" i="11"/>
  <c r="K99" i="11"/>
  <c r="L85" i="11"/>
  <c r="L86" i="11"/>
  <c r="L87" i="11"/>
  <c r="J100" i="11"/>
  <c r="J101" i="11"/>
  <c r="J102" i="11"/>
  <c r="I135" i="10"/>
  <c r="I136" i="10"/>
  <c r="I137" i="10"/>
  <c r="J134" i="10"/>
  <c r="K50" i="10"/>
  <c r="J99" i="10"/>
  <c r="K36" i="10"/>
  <c r="I100" i="10"/>
  <c r="I101" i="10"/>
  <c r="I102" i="10"/>
  <c r="I154" i="22"/>
  <c r="J58" i="22"/>
  <c r="H155" i="22"/>
  <c r="H156" i="22"/>
  <c r="H157" i="22"/>
  <c r="I145" i="22"/>
  <c r="I146" i="22"/>
  <c r="I147" i="22"/>
  <c r="I100" i="22"/>
  <c r="I101" i="22"/>
  <c r="I102" i="22"/>
  <c r="J109" i="22"/>
  <c r="K40" i="22"/>
  <c r="K36" i="22"/>
  <c r="J99" i="22"/>
  <c r="I110" i="22"/>
  <c r="I111" i="22"/>
  <c r="I112" i="22"/>
  <c r="K54" i="22"/>
  <c r="J144" i="22"/>
  <c r="M56" i="8"/>
  <c r="L149" i="8"/>
  <c r="K150" i="8"/>
  <c r="K151" i="8"/>
  <c r="K152" i="8"/>
  <c r="I145" i="8"/>
  <c r="I146" i="8"/>
  <c r="I147" i="8"/>
  <c r="J144" i="8"/>
  <c r="K54" i="8"/>
  <c r="H140" i="8"/>
  <c r="H141" i="8"/>
  <c r="H142" i="8"/>
  <c r="I30" i="8"/>
  <c r="H84" i="8"/>
  <c r="J52" i="8"/>
  <c r="I139" i="8"/>
  <c r="H110" i="8"/>
  <c r="H111" i="8"/>
  <c r="H112" i="8"/>
  <c r="H90" i="8"/>
  <c r="H91" i="8"/>
  <c r="H92" i="8"/>
  <c r="J40" i="8"/>
  <c r="I109" i="8"/>
  <c r="J32" i="8"/>
  <c r="I89" i="8"/>
  <c r="G85" i="8"/>
  <c r="G86" i="8"/>
  <c r="G87" i="8"/>
  <c r="H130" i="8"/>
  <c r="H131" i="8"/>
  <c r="H132" i="8"/>
  <c r="J48" i="8"/>
  <c r="I129" i="8"/>
  <c r="I144" i="7"/>
  <c r="J54" i="7"/>
  <c r="H145" i="7"/>
  <c r="H146" i="7"/>
  <c r="H147" i="7"/>
  <c r="I139" i="7"/>
  <c r="J52" i="7"/>
  <c r="H140" i="7"/>
  <c r="H141" i="7"/>
  <c r="H142" i="7"/>
  <c r="I134" i="7"/>
  <c r="J50" i="7"/>
  <c r="H135" i="7"/>
  <c r="H136" i="7"/>
  <c r="H137" i="7"/>
  <c r="J125" i="7"/>
  <c r="J126" i="7"/>
  <c r="J127" i="7"/>
  <c r="Q32" i="7"/>
  <c r="P89" i="7"/>
  <c r="M44" i="7"/>
  <c r="L119" i="7"/>
  <c r="O90" i="7"/>
  <c r="O91" i="7"/>
  <c r="O92" i="7"/>
  <c r="L46" i="7"/>
  <c r="K124" i="7"/>
  <c r="K120" i="7"/>
  <c r="K121" i="7"/>
  <c r="K122" i="7"/>
  <c r="J56" i="6"/>
  <c r="I163" i="6"/>
  <c r="H164" i="6"/>
  <c r="H165" i="6"/>
  <c r="H166" i="6"/>
  <c r="I158" i="6"/>
  <c r="J54" i="6"/>
  <c r="H159" i="6"/>
  <c r="H160" i="6"/>
  <c r="H161" i="6"/>
  <c r="J52" i="6"/>
  <c r="I153" i="6"/>
  <c r="H154" i="6"/>
  <c r="H155" i="6"/>
  <c r="H156" i="6"/>
  <c r="J50" i="6"/>
  <c r="I148" i="6"/>
  <c r="H149" i="6"/>
  <c r="H150" i="6"/>
  <c r="H151" i="6"/>
  <c r="H144" i="6"/>
  <c r="H145" i="6"/>
  <c r="H146" i="6"/>
  <c r="J48" i="6"/>
  <c r="I143" i="6"/>
  <c r="I160" i="9"/>
  <c r="I161" i="9"/>
  <c r="I162" i="9"/>
  <c r="K60" i="9"/>
  <c r="J159" i="9"/>
  <c r="H155" i="9"/>
  <c r="H156" i="9"/>
  <c r="H157" i="9"/>
  <c r="I154" i="9"/>
  <c r="J58" i="9"/>
  <c r="K40" i="9"/>
  <c r="J109" i="9"/>
  <c r="I110" i="9"/>
  <c r="I111" i="9"/>
  <c r="I112" i="9"/>
  <c r="I100" i="9"/>
  <c r="I101" i="9"/>
  <c r="I102" i="9"/>
  <c r="J99" i="9"/>
  <c r="K36" i="9"/>
  <c r="I166" i="1"/>
  <c r="J62" i="1"/>
  <c r="H167" i="1"/>
  <c r="H168" i="1"/>
  <c r="H169" i="1"/>
  <c r="I126" i="1"/>
  <c r="J46" i="1"/>
  <c r="J54" i="1"/>
  <c r="I146" i="1"/>
  <c r="H127" i="1"/>
  <c r="H128" i="1"/>
  <c r="H129" i="1"/>
  <c r="H147" i="1"/>
  <c r="H148" i="1"/>
  <c r="L44" i="1"/>
  <c r="K121" i="1"/>
  <c r="J122" i="1"/>
  <c r="J123" i="1"/>
  <c r="L36" i="1"/>
  <c r="K101" i="1"/>
  <c r="J38" i="1"/>
  <c r="I106" i="1"/>
  <c r="J112" i="1"/>
  <c r="J113" i="1"/>
  <c r="J114" i="1"/>
  <c r="H107" i="1"/>
  <c r="H108" i="1"/>
  <c r="H109" i="1"/>
  <c r="L40" i="1"/>
  <c r="K111" i="1"/>
  <c r="J102" i="1"/>
  <c r="J103" i="1"/>
  <c r="J104" i="1"/>
  <c r="J129" i="7"/>
  <c r="J130" i="7"/>
  <c r="J131" i="7"/>
  <c r="J132" i="7"/>
  <c r="K48" i="7"/>
  <c r="K26" i="34"/>
  <c r="T26" i="34"/>
  <c r="Z26" i="34"/>
  <c r="X26" i="34"/>
  <c r="Y27" i="31"/>
  <c r="BU59" i="11"/>
  <c r="BV229" i="11"/>
  <c r="AR74" i="9"/>
  <c r="AQ194" i="9"/>
  <c r="AP196" i="9"/>
  <c r="AP195" i="9"/>
  <c r="AO197" i="9"/>
  <c r="BE11" i="2"/>
  <c r="I10" i="20"/>
  <c r="CF10" i="2"/>
  <c r="U23" i="41"/>
  <c r="F47" i="41"/>
  <c r="G46" i="41"/>
  <c r="L83" i="41"/>
  <c r="M82" i="41"/>
  <c r="AD197" i="22"/>
  <c r="H187" i="8"/>
  <c r="BT162" i="11"/>
  <c r="T167" i="10"/>
  <c r="AJ157" i="10"/>
  <c r="I152" i="11"/>
  <c r="H137" i="11"/>
  <c r="BU212" i="8"/>
  <c r="AI177" i="9"/>
  <c r="H162" i="10"/>
  <c r="O207" i="7"/>
  <c r="H207" i="8"/>
  <c r="R207" i="22"/>
  <c r="AE177" i="22"/>
  <c r="BW147" i="11"/>
  <c r="AB147" i="10"/>
  <c r="X197" i="11"/>
  <c r="AE280" i="40"/>
  <c r="AE281" i="40"/>
  <c r="AE282" i="40"/>
  <c r="Z249" i="40"/>
  <c r="AA94" i="40"/>
  <c r="Z289" i="40"/>
  <c r="AA110" i="40"/>
  <c r="Y290" i="40"/>
  <c r="Y291" i="40"/>
  <c r="Y292" i="40"/>
  <c r="Z269" i="40"/>
  <c r="AA102" i="40"/>
  <c r="Z264" i="40"/>
  <c r="AA100" i="40"/>
  <c r="Z244" i="40"/>
  <c r="AA92" i="40"/>
  <c r="Z284" i="40"/>
  <c r="AA108" i="40"/>
  <c r="AF106" i="40"/>
  <c r="AF279" i="40"/>
  <c r="AF280" i="40"/>
  <c r="AF281" i="40"/>
  <c r="AF282" i="40"/>
  <c r="AG96" i="40"/>
  <c r="AG254" i="40"/>
  <c r="AG255" i="40"/>
  <c r="AG256" i="40"/>
  <c r="AG257" i="40"/>
  <c r="AG104" i="40"/>
  <c r="AG274" i="40"/>
  <c r="AG275" i="40"/>
  <c r="AG276" i="40"/>
  <c r="AG277" i="40"/>
  <c r="AH98" i="40"/>
  <c r="AH259" i="40"/>
  <c r="AH260" i="40"/>
  <c r="AH261" i="40"/>
  <c r="AH262" i="40"/>
  <c r="AC90" i="40"/>
  <c r="Y230" i="40"/>
  <c r="Y231" i="40"/>
  <c r="Y232" i="40"/>
  <c r="AC64" i="40"/>
  <c r="AB174" i="40"/>
  <c r="AB76" i="40"/>
  <c r="AA204" i="40"/>
  <c r="Y170" i="40"/>
  <c r="Y171" i="40"/>
  <c r="Y172" i="40"/>
  <c r="AC72" i="40"/>
  <c r="AB194" i="40"/>
  <c r="AA46" i="40"/>
  <c r="Z129" i="40"/>
  <c r="Y150" i="40"/>
  <c r="Y151" i="40"/>
  <c r="Y152" i="40"/>
  <c r="AA78" i="40"/>
  <c r="Z209" i="40"/>
  <c r="Y160" i="40"/>
  <c r="Y161" i="40"/>
  <c r="Y162" i="40"/>
  <c r="AA86" i="40"/>
  <c r="Z229" i="40"/>
  <c r="Y200" i="40"/>
  <c r="Y201" i="40"/>
  <c r="Y202" i="40"/>
  <c r="AB40" i="40"/>
  <c r="AA114" i="40"/>
  <c r="AA42" i="40"/>
  <c r="Z119" i="40"/>
  <c r="Y220" i="40"/>
  <c r="Y221" i="40"/>
  <c r="Z239" i="40"/>
  <c r="Z235" i="40"/>
  <c r="Z236" i="40"/>
  <c r="Z237" i="40"/>
  <c r="AA62" i="40"/>
  <c r="Z169" i="40"/>
  <c r="Z140" i="40"/>
  <c r="Z141" i="40"/>
  <c r="Z142" i="40"/>
  <c r="Z165" i="40"/>
  <c r="Z166" i="40"/>
  <c r="Z167" i="40"/>
  <c r="Z115" i="40"/>
  <c r="Z116" i="40"/>
  <c r="Z117" i="40"/>
  <c r="Y240" i="40"/>
  <c r="Y241" i="40"/>
  <c r="Y242" i="40"/>
  <c r="AB80" i="40"/>
  <c r="AA214" i="40"/>
  <c r="Z225" i="40"/>
  <c r="Z226" i="40"/>
  <c r="Z227" i="40"/>
  <c r="Y145" i="40"/>
  <c r="Y146" i="40"/>
  <c r="Y147" i="40"/>
  <c r="Z180" i="40"/>
  <c r="Z181" i="40"/>
  <c r="Z182" i="40"/>
  <c r="Y125" i="40"/>
  <c r="Y126" i="40"/>
  <c r="Y127" i="40"/>
  <c r="AA74" i="40"/>
  <c r="Z199" i="40"/>
  <c r="Z197" i="40"/>
  <c r="Y190" i="40"/>
  <c r="Y191" i="40"/>
  <c r="AA82" i="40"/>
  <c r="Z219" i="40"/>
  <c r="Z205" i="40"/>
  <c r="Z206" i="40"/>
  <c r="Z215" i="40"/>
  <c r="Z216" i="40"/>
  <c r="Z217" i="40"/>
  <c r="AA185" i="40"/>
  <c r="AA186" i="40"/>
  <c r="AA187" i="40"/>
  <c r="AB50" i="40"/>
  <c r="AA139" i="40"/>
  <c r="AB84" i="40"/>
  <c r="AA224" i="40"/>
  <c r="Y135" i="40"/>
  <c r="Y136" i="40"/>
  <c r="Y137" i="40"/>
  <c r="Y210" i="40"/>
  <c r="Y211" i="40"/>
  <c r="Y212" i="40"/>
  <c r="AA56" i="40"/>
  <c r="Z154" i="40"/>
  <c r="Y130" i="40"/>
  <c r="Y131" i="40"/>
  <c r="Y132" i="40"/>
  <c r="X157" i="40"/>
  <c r="AA54" i="40"/>
  <c r="Z149" i="40"/>
  <c r="AA52" i="40"/>
  <c r="Z144" i="40"/>
  <c r="AA58" i="40"/>
  <c r="Z159" i="40"/>
  <c r="Y217" i="40"/>
  <c r="AB66" i="40"/>
  <c r="AA179" i="40"/>
  <c r="AA175" i="40"/>
  <c r="AA176" i="40"/>
  <c r="AA44" i="40"/>
  <c r="Z124" i="40"/>
  <c r="Y120" i="40"/>
  <c r="Y121" i="40"/>
  <c r="Y122" i="40"/>
  <c r="Z177" i="40"/>
  <c r="AA70" i="40"/>
  <c r="Z189" i="40"/>
  <c r="AB88" i="40"/>
  <c r="AA234" i="40"/>
  <c r="Y155" i="40"/>
  <c r="Y156" i="40"/>
  <c r="Y157" i="40"/>
  <c r="AC68" i="40"/>
  <c r="AB184" i="40"/>
  <c r="AA195" i="40"/>
  <c r="AA196" i="40"/>
  <c r="AA197" i="40"/>
  <c r="AA48" i="40"/>
  <c r="Z134" i="40"/>
  <c r="AB60" i="40"/>
  <c r="AA164" i="40"/>
  <c r="H202" i="11"/>
  <c r="K76" i="22"/>
  <c r="J199" i="22"/>
  <c r="P186" i="22"/>
  <c r="P185" i="22"/>
  <c r="K78" i="8"/>
  <c r="J204" i="8"/>
  <c r="I160" i="10"/>
  <c r="I161" i="10"/>
  <c r="BX146" i="11"/>
  <c r="BX145" i="11"/>
  <c r="J134" i="11"/>
  <c r="K50" i="11"/>
  <c r="U72" i="22"/>
  <c r="T189" i="22"/>
  <c r="AG174" i="22"/>
  <c r="AH66" i="22"/>
  <c r="I200" i="11"/>
  <c r="I201" i="11"/>
  <c r="S62" i="22"/>
  <c r="R164" i="22"/>
  <c r="N58" i="7"/>
  <c r="M154" i="7"/>
  <c r="R205" i="9"/>
  <c r="R206" i="9"/>
  <c r="P78" i="11"/>
  <c r="O204" i="11"/>
  <c r="Y195" i="11"/>
  <c r="Y196" i="11"/>
  <c r="P60" i="7"/>
  <c r="O159" i="7"/>
  <c r="I165" i="9"/>
  <c r="I166" i="9"/>
  <c r="X186" i="10"/>
  <c r="X185" i="10"/>
  <c r="R171" i="9"/>
  <c r="R170" i="9"/>
  <c r="T176" i="10"/>
  <c r="T175" i="10"/>
  <c r="AI210" i="10"/>
  <c r="AI211" i="10"/>
  <c r="I201" i="10"/>
  <c r="I200" i="10"/>
  <c r="P206" i="7"/>
  <c r="P205" i="7"/>
  <c r="V155" i="8"/>
  <c r="V156" i="8"/>
  <c r="AG152" i="10"/>
  <c r="AE212" i="22"/>
  <c r="J201" i="7"/>
  <c r="J200" i="7"/>
  <c r="M126" i="11"/>
  <c r="M125" i="11"/>
  <c r="AJ171" i="10"/>
  <c r="AJ170" i="10"/>
  <c r="R192" i="22"/>
  <c r="J150" i="11"/>
  <c r="J151" i="11"/>
  <c r="H177" i="7"/>
  <c r="BZ54" i="11"/>
  <c r="BY144" i="11"/>
  <c r="U157" i="8"/>
  <c r="K56" i="22"/>
  <c r="J149" i="22"/>
  <c r="H202" i="22"/>
  <c r="O187" i="22"/>
  <c r="AL154" i="10"/>
  <c r="AM58" i="10"/>
  <c r="K76" i="11"/>
  <c r="J199" i="11"/>
  <c r="I185" i="8"/>
  <c r="I186" i="8"/>
  <c r="H182" i="10"/>
  <c r="W187" i="10"/>
  <c r="Q172" i="9"/>
  <c r="S177" i="10"/>
  <c r="U166" i="10"/>
  <c r="U165" i="10"/>
  <c r="AH212" i="10"/>
  <c r="H202" i="10"/>
  <c r="AA74" i="11"/>
  <c r="Z194" i="11"/>
  <c r="K62" i="9"/>
  <c r="J164" i="9"/>
  <c r="K157" i="7"/>
  <c r="BV210" i="8"/>
  <c r="BV211" i="8"/>
  <c r="AK174" i="9"/>
  <c r="AL66" i="9"/>
  <c r="K46" i="6"/>
  <c r="J138" i="6"/>
  <c r="J139" i="6"/>
  <c r="J140" i="6"/>
  <c r="J141" i="6"/>
  <c r="I176" i="7"/>
  <c r="I175" i="7"/>
  <c r="AK80" i="10"/>
  <c r="AJ209" i="10"/>
  <c r="J199" i="10"/>
  <c r="K76" i="10"/>
  <c r="R78" i="7"/>
  <c r="Q204" i="7"/>
  <c r="X58" i="8"/>
  <c r="W154" i="8"/>
  <c r="L76" i="7"/>
  <c r="K199" i="7"/>
  <c r="O46" i="11"/>
  <c r="N124" i="11"/>
  <c r="AL64" i="10"/>
  <c r="AK169" i="10"/>
  <c r="S206" i="22"/>
  <c r="S205" i="22"/>
  <c r="L56" i="11"/>
  <c r="K149" i="11"/>
  <c r="I150" i="22"/>
  <c r="I151" i="22"/>
  <c r="I152" i="22"/>
  <c r="AK156" i="10"/>
  <c r="AK155" i="10"/>
  <c r="O166" i="8"/>
  <c r="O165" i="8"/>
  <c r="K70" i="8"/>
  <c r="J184" i="8"/>
  <c r="V164" i="10"/>
  <c r="W62" i="10"/>
  <c r="AE54" i="10"/>
  <c r="AD144" i="10"/>
  <c r="J179" i="10"/>
  <c r="K68" i="10"/>
  <c r="BX80" i="8"/>
  <c r="BW209" i="8"/>
  <c r="AJ175" i="9"/>
  <c r="AJ176" i="9"/>
  <c r="K66" i="7"/>
  <c r="J174" i="7"/>
  <c r="BU161" i="11"/>
  <c r="BU160" i="11"/>
  <c r="AG187" i="9"/>
  <c r="H167" i="9"/>
  <c r="I200" i="22"/>
  <c r="I201" i="22"/>
  <c r="R70" i="22"/>
  <c r="Q184" i="22"/>
  <c r="I206" i="8"/>
  <c r="I205" i="8"/>
  <c r="T204" i="22"/>
  <c r="U78" i="22"/>
  <c r="K60" i="10"/>
  <c r="J159" i="10"/>
  <c r="I136" i="11"/>
  <c r="I135" i="11"/>
  <c r="P167" i="22"/>
  <c r="I202" i="7"/>
  <c r="L127" i="11"/>
  <c r="AI172" i="10"/>
  <c r="S190" i="22"/>
  <c r="S191" i="22"/>
  <c r="Q207" i="9"/>
  <c r="AF176" i="22"/>
  <c r="AF175" i="22"/>
  <c r="Q62" i="8"/>
  <c r="P164" i="8"/>
  <c r="Q165" i="22"/>
  <c r="Q166" i="22"/>
  <c r="L156" i="7"/>
  <c r="L155" i="7"/>
  <c r="T78" i="9"/>
  <c r="S204" i="9"/>
  <c r="N206" i="11"/>
  <c r="N205" i="11"/>
  <c r="AC145" i="10"/>
  <c r="AC146" i="10"/>
  <c r="N167" i="8"/>
  <c r="N160" i="7"/>
  <c r="N161" i="7"/>
  <c r="I180" i="10"/>
  <c r="I181" i="10"/>
  <c r="Z70" i="10"/>
  <c r="Y184" i="10"/>
  <c r="T64" i="9"/>
  <c r="S169" i="9"/>
  <c r="U174" i="10"/>
  <c r="V66" i="10"/>
  <c r="M207" i="11"/>
  <c r="BW60" i="11"/>
  <c r="BV159" i="11"/>
  <c r="M162" i="7"/>
  <c r="L26" i="33"/>
  <c r="X27" i="31"/>
  <c r="K27" i="31"/>
  <c r="L27" i="31"/>
  <c r="L109" i="11"/>
  <c r="L110" i="11"/>
  <c r="L111" i="11"/>
  <c r="L112" i="11"/>
  <c r="M40" i="11"/>
  <c r="J124" i="10"/>
  <c r="J125" i="10"/>
  <c r="J126" i="10"/>
  <c r="J127" i="10"/>
  <c r="K46" i="10"/>
  <c r="J84" i="10"/>
  <c r="J85" i="10"/>
  <c r="J86" i="10"/>
  <c r="J87" i="10"/>
  <c r="K30" i="10"/>
  <c r="K34" i="10"/>
  <c r="J94" i="10"/>
  <c r="J95" i="10"/>
  <c r="J96" i="10"/>
  <c r="J97" i="10"/>
  <c r="K52" i="10"/>
  <c r="J139" i="10"/>
  <c r="J140" i="10"/>
  <c r="J141" i="10"/>
  <c r="J142" i="10"/>
  <c r="K48" i="10"/>
  <c r="J129" i="10"/>
  <c r="J130" i="10"/>
  <c r="J131" i="10"/>
  <c r="J132" i="10"/>
  <c r="L44" i="10"/>
  <c r="K119" i="10"/>
  <c r="K120" i="10"/>
  <c r="K121" i="10"/>
  <c r="K122" i="10"/>
  <c r="K38" i="10"/>
  <c r="J104" i="10"/>
  <c r="J105" i="10"/>
  <c r="J106" i="10"/>
  <c r="J107" i="10"/>
  <c r="K32" i="10"/>
  <c r="J89" i="10"/>
  <c r="J90" i="10"/>
  <c r="J91" i="10"/>
  <c r="J92" i="10"/>
  <c r="K42" i="10"/>
  <c r="J114" i="10"/>
  <c r="J115" i="10"/>
  <c r="J116" i="10"/>
  <c r="J117" i="10"/>
  <c r="K40" i="10"/>
  <c r="J109" i="10"/>
  <c r="J110" i="10"/>
  <c r="J111" i="10"/>
  <c r="J112" i="10"/>
  <c r="J134" i="22"/>
  <c r="J135" i="22"/>
  <c r="J136" i="22"/>
  <c r="J137" i="22"/>
  <c r="K50" i="22"/>
  <c r="K124" i="22"/>
  <c r="K125" i="22"/>
  <c r="K126" i="22"/>
  <c r="K127" i="22"/>
  <c r="L46" i="22"/>
  <c r="L52" i="22"/>
  <c r="K139" i="22"/>
  <c r="K140" i="22"/>
  <c r="K141" i="22"/>
  <c r="K142" i="22"/>
  <c r="J114" i="22"/>
  <c r="J115" i="22"/>
  <c r="J116" i="22"/>
  <c r="J117" i="22"/>
  <c r="K42" i="22"/>
  <c r="L50" i="8"/>
  <c r="K134" i="8"/>
  <c r="K135" i="8"/>
  <c r="K136" i="8"/>
  <c r="K137" i="8"/>
  <c r="K46" i="8"/>
  <c r="J124" i="8"/>
  <c r="J125" i="8"/>
  <c r="J126" i="8"/>
  <c r="J127" i="8"/>
  <c r="AM142" i="11"/>
  <c r="AA177" i="11"/>
  <c r="H192" i="9"/>
  <c r="AJ182" i="7"/>
  <c r="AI132" i="11"/>
  <c r="AB162" i="22"/>
  <c r="AC182" i="22"/>
  <c r="AC197" i="7"/>
  <c r="AA27" i="31"/>
  <c r="U28" i="31"/>
  <c r="W28" i="31"/>
  <c r="V28" i="31"/>
  <c r="K27" i="32"/>
  <c r="L27" i="32"/>
  <c r="BQ166" i="11"/>
  <c r="BQ165" i="11"/>
  <c r="Z190" i="11"/>
  <c r="Z191" i="11"/>
  <c r="AQ72" i="10"/>
  <c r="AP189" i="10"/>
  <c r="Z202" i="8"/>
  <c r="AG172" i="22"/>
  <c r="AM68" i="7"/>
  <c r="AL179" i="7"/>
  <c r="AF70" i="7"/>
  <c r="AE184" i="7"/>
  <c r="L133" i="2"/>
  <c r="L12" i="2"/>
  <c r="C133" i="2"/>
  <c r="C12" i="2"/>
  <c r="E12" i="2"/>
  <c r="C11" i="20"/>
  <c r="AM133" i="2"/>
  <c r="AM12" i="2"/>
  <c r="G12" i="20"/>
  <c r="U133" i="2"/>
  <c r="U12" i="2"/>
  <c r="E12" i="20"/>
  <c r="BN133" i="2"/>
  <c r="BN12" i="2"/>
  <c r="J12" i="20"/>
  <c r="BE133" i="2"/>
  <c r="AV133" i="2"/>
  <c r="AV12" i="2"/>
  <c r="H12" i="20"/>
  <c r="AD133" i="2"/>
  <c r="AD12" i="2"/>
  <c r="F12" i="20"/>
  <c r="AR87" i="22"/>
  <c r="AG210" i="7"/>
  <c r="AG211" i="7"/>
  <c r="H202" i="9"/>
  <c r="AC187" i="7"/>
  <c r="AE66" i="8"/>
  <c r="AD174" i="8"/>
  <c r="AE182" i="9"/>
  <c r="N191" i="8"/>
  <c r="N190" i="8"/>
  <c r="AF212" i="7"/>
  <c r="X162" i="8"/>
  <c r="AB177" i="8"/>
  <c r="BP167" i="11"/>
  <c r="AP52" i="11"/>
  <c r="AO139" i="11"/>
  <c r="BV65" i="8"/>
  <c r="BW232" i="8"/>
  <c r="AD66" i="11"/>
  <c r="AC174" i="11"/>
  <c r="AF207" i="10"/>
  <c r="M192" i="8"/>
  <c r="AA200" i="8"/>
  <c r="AA201" i="8"/>
  <c r="AE195" i="10"/>
  <c r="AE196" i="10"/>
  <c r="AE195" i="8"/>
  <c r="AE196" i="8"/>
  <c r="BP182" i="11"/>
  <c r="AE60" i="22"/>
  <c r="AD159" i="22"/>
  <c r="AB72" i="11"/>
  <c r="AA189" i="11"/>
  <c r="AJ56" i="10"/>
  <c r="AI149" i="10"/>
  <c r="K32" i="22"/>
  <c r="J89" i="22"/>
  <c r="J90" i="22"/>
  <c r="J91" i="22"/>
  <c r="J92" i="22"/>
  <c r="A14" i="2"/>
  <c r="A134" i="2"/>
  <c r="BW134" i="2"/>
  <c r="BW13" i="2"/>
  <c r="AW64" i="7"/>
  <c r="AV169" i="7"/>
  <c r="AI80" i="7"/>
  <c r="AH209" i="7"/>
  <c r="Y161" i="8"/>
  <c r="Y160" i="8"/>
  <c r="N11" i="2"/>
  <c r="D11" i="20"/>
  <c r="P72" i="8"/>
  <c r="O189" i="8"/>
  <c r="AD196" i="7"/>
  <c r="AD195" i="7"/>
  <c r="K76" i="9"/>
  <c r="J199" i="9"/>
  <c r="AF211" i="22"/>
  <c r="AF210" i="22"/>
  <c r="AF181" i="9"/>
  <c r="AF180" i="9"/>
  <c r="AC76" i="8"/>
  <c r="AB199" i="8"/>
  <c r="AG74" i="10"/>
  <c r="AF194" i="10"/>
  <c r="AG74" i="8"/>
  <c r="AF194" i="8"/>
  <c r="AH170" i="22"/>
  <c r="AH171" i="22"/>
  <c r="BU170" i="11"/>
  <c r="BU171" i="11"/>
  <c r="AH186" i="9"/>
  <c r="AH185" i="9"/>
  <c r="AF68" i="22"/>
  <c r="AE179" i="22"/>
  <c r="AC161" i="22"/>
  <c r="AC160" i="22"/>
  <c r="AG205" i="10"/>
  <c r="AG206" i="10"/>
  <c r="AH151" i="10"/>
  <c r="AH150" i="10"/>
  <c r="AS86" i="22"/>
  <c r="AS85" i="22"/>
  <c r="AD197" i="10"/>
  <c r="AD197" i="8"/>
  <c r="Z182" i="8"/>
  <c r="BT172" i="11"/>
  <c r="AB212" i="11"/>
  <c r="BS68" i="11"/>
  <c r="BR179" i="11"/>
  <c r="Y192" i="11"/>
  <c r="AU170" i="7"/>
  <c r="AU171" i="7"/>
  <c r="AJ131" i="11"/>
  <c r="AJ130" i="11"/>
  <c r="AE195" i="22"/>
  <c r="AE196" i="22"/>
  <c r="I191" i="9"/>
  <c r="I190" i="9"/>
  <c r="Z159" i="8"/>
  <c r="AA60" i="8"/>
  <c r="AK209" i="9"/>
  <c r="AL80" i="9"/>
  <c r="L72" i="37"/>
  <c r="M71" i="37"/>
  <c r="AF74" i="7"/>
  <c r="AE194" i="7"/>
  <c r="I200" i="9"/>
  <c r="I201" i="9"/>
  <c r="AH80" i="22"/>
  <c r="AG209" i="22"/>
  <c r="AN192" i="10"/>
  <c r="AI212" i="9"/>
  <c r="AH68" i="9"/>
  <c r="AG179" i="9"/>
  <c r="AJ64" i="22"/>
  <c r="AI169" i="22"/>
  <c r="AA181" i="8"/>
  <c r="AA180" i="8"/>
  <c r="BW64" i="11"/>
  <c r="BV169" i="11"/>
  <c r="AC210" i="11"/>
  <c r="AC211" i="11"/>
  <c r="AJ70" i="9"/>
  <c r="AI184" i="9"/>
  <c r="AD180" i="22"/>
  <c r="AD181" i="22"/>
  <c r="BS62" i="11"/>
  <c r="BR164" i="11"/>
  <c r="AO191" i="10"/>
  <c r="AO190" i="10"/>
  <c r="AH204" i="10"/>
  <c r="AI78" i="10"/>
  <c r="AU30" i="22"/>
  <c r="AT84" i="22"/>
  <c r="AK180" i="7"/>
  <c r="AK181" i="7"/>
  <c r="BQ181" i="11"/>
  <c r="BQ180" i="11"/>
  <c r="AD185" i="7"/>
  <c r="AD186" i="7"/>
  <c r="BT73" i="7"/>
  <c r="BU236" i="7"/>
  <c r="AL48" i="11"/>
  <c r="AK129" i="11"/>
  <c r="AG74" i="22"/>
  <c r="AF194" i="22"/>
  <c r="K72" i="9"/>
  <c r="J189" i="9"/>
  <c r="AC176" i="8"/>
  <c r="AC175" i="8"/>
  <c r="AJ211" i="9"/>
  <c r="AJ210" i="9"/>
  <c r="AT172" i="7"/>
  <c r="AN140" i="11"/>
  <c r="AN141" i="11"/>
  <c r="AB175" i="11"/>
  <c r="AB176" i="11"/>
  <c r="AB179" i="8"/>
  <c r="AC68" i="8"/>
  <c r="AE80" i="11"/>
  <c r="AD209" i="11"/>
  <c r="G34" i="30"/>
  <c r="F35" i="30"/>
  <c r="I115" i="8"/>
  <c r="I116" i="8"/>
  <c r="I117" i="8"/>
  <c r="K44" i="8"/>
  <c r="J119" i="8"/>
  <c r="J120" i="8"/>
  <c r="J121" i="8"/>
  <c r="J122" i="8"/>
  <c r="K42" i="8"/>
  <c r="J114" i="8"/>
  <c r="I120" i="8"/>
  <c r="I121" i="8"/>
  <c r="I122" i="8"/>
  <c r="O94" i="8"/>
  <c r="O95" i="8"/>
  <c r="O96" i="8"/>
  <c r="O97" i="8"/>
  <c r="P34" i="8"/>
  <c r="P167" i="7"/>
  <c r="R164" i="7"/>
  <c r="S62" i="7"/>
  <c r="K32" i="11"/>
  <c r="J89" i="11"/>
  <c r="J90" i="11"/>
  <c r="J91" i="11"/>
  <c r="J92" i="11"/>
  <c r="Q166" i="7"/>
  <c r="Q165" i="7"/>
  <c r="L30" i="9"/>
  <c r="K84" i="9"/>
  <c r="K85" i="9"/>
  <c r="K86" i="9"/>
  <c r="K87" i="9"/>
  <c r="K52" i="9"/>
  <c r="J139" i="9"/>
  <c r="J140" i="9"/>
  <c r="J141" i="9"/>
  <c r="J142" i="9"/>
  <c r="M30" i="1"/>
  <c r="L86" i="1"/>
  <c r="L87" i="1"/>
  <c r="L88" i="1"/>
  <c r="L89" i="1"/>
  <c r="J156" i="1"/>
  <c r="J157" i="1"/>
  <c r="J158" i="1"/>
  <c r="J159" i="1"/>
  <c r="K58" i="1"/>
  <c r="J141" i="1"/>
  <c r="J142" i="1"/>
  <c r="J143" i="1"/>
  <c r="J144" i="1"/>
  <c r="K52" i="1"/>
  <c r="K68" i="1"/>
  <c r="J181" i="1"/>
  <c r="J182" i="1"/>
  <c r="J183" i="1"/>
  <c r="J184" i="1"/>
  <c r="J171" i="1"/>
  <c r="J172" i="1"/>
  <c r="J173" i="1"/>
  <c r="J174" i="1"/>
  <c r="K64" i="1"/>
  <c r="L91" i="1"/>
  <c r="L92" i="1"/>
  <c r="L93" i="1"/>
  <c r="L94" i="1"/>
  <c r="M32" i="1"/>
  <c r="J131" i="1"/>
  <c r="J132" i="1"/>
  <c r="J133" i="1"/>
  <c r="J134" i="1"/>
  <c r="K48" i="1"/>
  <c r="K34" i="1"/>
  <c r="J96" i="1"/>
  <c r="J97" i="1"/>
  <c r="J98" i="1"/>
  <c r="J99" i="1"/>
  <c r="J136" i="1"/>
  <c r="J137" i="1"/>
  <c r="J138" i="1"/>
  <c r="J139" i="1"/>
  <c r="K50" i="1"/>
  <c r="K27" i="33"/>
  <c r="T27" i="33"/>
  <c r="Z27" i="33"/>
  <c r="AA27" i="33"/>
  <c r="Y27" i="32"/>
  <c r="X27" i="32"/>
  <c r="AJ15" i="26"/>
  <c r="K15" i="26"/>
  <c r="Z15" i="26"/>
  <c r="F15" i="26"/>
  <c r="U15" i="26"/>
  <c r="AE15" i="26"/>
  <c r="P15" i="26"/>
  <c r="I35" i="30"/>
  <c r="A16" i="26"/>
  <c r="AO16" i="26"/>
  <c r="U27" i="36"/>
  <c r="W27" i="36"/>
  <c r="V27" i="36"/>
  <c r="Z27" i="36"/>
  <c r="T26" i="35"/>
  <c r="G48" i="35"/>
  <c r="F49" i="35"/>
  <c r="I122" i="22"/>
  <c r="K119" i="22"/>
  <c r="L44" i="22"/>
  <c r="J120" i="22"/>
  <c r="J121" i="22"/>
  <c r="J122" i="22"/>
  <c r="J113" i="6"/>
  <c r="J114" i="6"/>
  <c r="J115" i="6"/>
  <c r="J116" i="6"/>
  <c r="K36" i="6"/>
  <c r="K22" i="6"/>
  <c r="J78" i="6"/>
  <c r="J79" i="6"/>
  <c r="J80" i="6"/>
  <c r="J81" i="6"/>
  <c r="J83" i="6"/>
  <c r="J84" i="6"/>
  <c r="J85" i="6"/>
  <c r="J86" i="6"/>
  <c r="K24" i="6"/>
  <c r="K128" i="6"/>
  <c r="K129" i="6"/>
  <c r="K130" i="6"/>
  <c r="K131" i="6"/>
  <c r="L42" i="6"/>
  <c r="J88" i="6"/>
  <c r="J89" i="6"/>
  <c r="J90" i="6"/>
  <c r="J91" i="6"/>
  <c r="K26" i="6"/>
  <c r="K40" i="6"/>
  <c r="J123" i="6"/>
  <c r="J124" i="6"/>
  <c r="J125" i="6"/>
  <c r="J126" i="6"/>
  <c r="K32" i="6"/>
  <c r="J103" i="6"/>
  <c r="J104" i="6"/>
  <c r="J105" i="6"/>
  <c r="J106" i="6"/>
  <c r="K28" i="6"/>
  <c r="J93" i="6"/>
  <c r="J94" i="6"/>
  <c r="J95" i="6"/>
  <c r="J96" i="6"/>
  <c r="K34" i="6"/>
  <c r="J108" i="6"/>
  <c r="J109" i="6"/>
  <c r="J110" i="6"/>
  <c r="J111" i="6"/>
  <c r="K44" i="6"/>
  <c r="J133" i="6"/>
  <c r="J134" i="6"/>
  <c r="J135" i="6"/>
  <c r="J136" i="6"/>
  <c r="K98" i="6"/>
  <c r="K99" i="6"/>
  <c r="K100" i="6"/>
  <c r="K101" i="6"/>
  <c r="L30" i="6"/>
  <c r="M82" i="1"/>
  <c r="L216" i="1"/>
  <c r="N80" i="1"/>
  <c r="M211" i="1"/>
  <c r="K217" i="1"/>
  <c r="K218" i="1"/>
  <c r="J116" i="1"/>
  <c r="J117" i="1"/>
  <c r="J118" i="1"/>
  <c r="J119" i="1"/>
  <c r="K42" i="1"/>
  <c r="J219" i="1"/>
  <c r="J124" i="1"/>
  <c r="H149" i="1"/>
  <c r="H209" i="1"/>
  <c r="H97" i="9"/>
  <c r="H132" i="22"/>
  <c r="I122" i="11"/>
  <c r="K99" i="8"/>
  <c r="K100" i="8"/>
  <c r="K101" i="8"/>
  <c r="K102" i="8"/>
  <c r="L36" i="8"/>
  <c r="O38" i="8"/>
  <c r="N104" i="8"/>
  <c r="N105" i="8"/>
  <c r="N106" i="8"/>
  <c r="N107" i="8"/>
  <c r="J120" i="11"/>
  <c r="J121" i="11"/>
  <c r="L44" i="11"/>
  <c r="K119" i="11"/>
  <c r="U27" i="35"/>
  <c r="W27" i="35"/>
  <c r="V27" i="35"/>
  <c r="AA27" i="35"/>
  <c r="X27" i="33"/>
  <c r="L38" i="22"/>
  <c r="K104" i="22"/>
  <c r="J105" i="22"/>
  <c r="J106" i="22"/>
  <c r="J107" i="22"/>
  <c r="K34" i="22"/>
  <c r="J94" i="22"/>
  <c r="J95" i="22"/>
  <c r="J96" i="22"/>
  <c r="J97" i="22"/>
  <c r="I130" i="22"/>
  <c r="I131" i="22"/>
  <c r="I132" i="22"/>
  <c r="I95" i="22"/>
  <c r="I96" i="22"/>
  <c r="J129" i="22"/>
  <c r="K48" i="22"/>
  <c r="J94" i="7"/>
  <c r="J95" i="7"/>
  <c r="J96" i="7"/>
  <c r="J97" i="7"/>
  <c r="K34" i="7"/>
  <c r="L30" i="7"/>
  <c r="K84" i="7"/>
  <c r="K85" i="7"/>
  <c r="K86" i="7"/>
  <c r="K87" i="7"/>
  <c r="J105" i="7"/>
  <c r="J106" i="7"/>
  <c r="J107" i="7"/>
  <c r="K99" i="7"/>
  <c r="K100" i="7"/>
  <c r="K101" i="7"/>
  <c r="K102" i="7"/>
  <c r="L36" i="7"/>
  <c r="N40" i="7"/>
  <c r="M109" i="7"/>
  <c r="M110" i="7"/>
  <c r="M111" i="7"/>
  <c r="M112" i="7"/>
  <c r="L38" i="7"/>
  <c r="K104" i="7"/>
  <c r="J114" i="7"/>
  <c r="J115" i="7"/>
  <c r="J116" i="7"/>
  <c r="J117" i="7"/>
  <c r="K42" i="7"/>
  <c r="N38" i="6"/>
  <c r="M118" i="6"/>
  <c r="M119" i="6"/>
  <c r="M120" i="6"/>
  <c r="M121" i="6"/>
  <c r="M104" i="9"/>
  <c r="M105" i="9"/>
  <c r="M106" i="9"/>
  <c r="M107" i="9"/>
  <c r="N38" i="9"/>
  <c r="K34" i="9"/>
  <c r="J94" i="9"/>
  <c r="J95" i="9"/>
  <c r="J96" i="9"/>
  <c r="J97" i="9"/>
  <c r="L105" i="9"/>
  <c r="L106" i="9"/>
  <c r="L107" i="9"/>
  <c r="O54" i="9"/>
  <c r="N144" i="9"/>
  <c r="I114" i="9"/>
  <c r="I115" i="9"/>
  <c r="I116" i="9"/>
  <c r="I117" i="9"/>
  <c r="J42" i="9"/>
  <c r="K46" i="9"/>
  <c r="J124" i="9"/>
  <c r="J125" i="9"/>
  <c r="J126" i="9"/>
  <c r="J127" i="9"/>
  <c r="L50" i="9"/>
  <c r="K134" i="9"/>
  <c r="K135" i="9"/>
  <c r="K136" i="9"/>
  <c r="K137" i="9"/>
  <c r="K48" i="9"/>
  <c r="J129" i="9"/>
  <c r="J130" i="9"/>
  <c r="J131" i="9"/>
  <c r="J132" i="9"/>
  <c r="J149" i="9"/>
  <c r="J150" i="9"/>
  <c r="J151" i="9"/>
  <c r="J152" i="9"/>
  <c r="K56" i="9"/>
  <c r="L89" i="9"/>
  <c r="L90" i="9"/>
  <c r="L91" i="9"/>
  <c r="L92" i="9"/>
  <c r="M32" i="9"/>
  <c r="J119" i="9"/>
  <c r="K44" i="9"/>
  <c r="J162" i="1"/>
  <c r="J163" i="1"/>
  <c r="L72" i="1"/>
  <c r="K191" i="1"/>
  <c r="K192" i="1"/>
  <c r="K193" i="1"/>
  <c r="K194" i="1"/>
  <c r="Q56" i="1"/>
  <c r="P151" i="1"/>
  <c r="P152" i="1"/>
  <c r="P153" i="1"/>
  <c r="P154" i="1"/>
  <c r="K161" i="1"/>
  <c r="K162" i="1"/>
  <c r="K163" i="1"/>
  <c r="K164" i="1"/>
  <c r="L60" i="1"/>
  <c r="M66" i="1"/>
  <c r="L176" i="1"/>
  <c r="L177" i="1"/>
  <c r="L178" i="1"/>
  <c r="L179" i="1"/>
  <c r="K78" i="1"/>
  <c r="J206" i="1"/>
  <c r="K70" i="1"/>
  <c r="J186" i="1"/>
  <c r="J187" i="1"/>
  <c r="J188" i="1"/>
  <c r="J189" i="1"/>
  <c r="K74" i="1"/>
  <c r="J196" i="1"/>
  <c r="J197" i="1"/>
  <c r="J198" i="1"/>
  <c r="J199" i="1"/>
  <c r="M76" i="1"/>
  <c r="L201" i="1"/>
  <c r="L202" i="1"/>
  <c r="L203" i="1"/>
  <c r="L204" i="1"/>
  <c r="K28" i="37"/>
  <c r="T28" i="37"/>
  <c r="O115" i="11"/>
  <c r="O116" i="11"/>
  <c r="O117" i="11"/>
  <c r="Q42" i="11"/>
  <c r="P114" i="11"/>
  <c r="G48" i="37"/>
  <c r="F49" i="37"/>
  <c r="T27" i="31"/>
  <c r="I107" i="11"/>
  <c r="K100" i="11"/>
  <c r="K101" i="11"/>
  <c r="K102" i="11"/>
  <c r="L38" i="11"/>
  <c r="K104" i="11"/>
  <c r="O30" i="11"/>
  <c r="N84" i="11"/>
  <c r="L99" i="11"/>
  <c r="M36" i="11"/>
  <c r="J105" i="11"/>
  <c r="J106" i="11"/>
  <c r="M85" i="11"/>
  <c r="M86" i="11"/>
  <c r="M87" i="11"/>
  <c r="K134" i="10"/>
  <c r="L50" i="10"/>
  <c r="J135" i="10"/>
  <c r="J136" i="10"/>
  <c r="J137" i="10"/>
  <c r="K99" i="10"/>
  <c r="L36" i="10"/>
  <c r="J100" i="10"/>
  <c r="J101" i="10"/>
  <c r="J102" i="10"/>
  <c r="I155" i="22"/>
  <c r="I156" i="22"/>
  <c r="I157" i="22"/>
  <c r="J154" i="22"/>
  <c r="K58" i="22"/>
  <c r="J145" i="22"/>
  <c r="J146" i="22"/>
  <c r="J147" i="22"/>
  <c r="J100" i="22"/>
  <c r="J101" i="22"/>
  <c r="J102" i="22"/>
  <c r="K109" i="22"/>
  <c r="L40" i="22"/>
  <c r="J110" i="22"/>
  <c r="J111" i="22"/>
  <c r="J112" i="22"/>
  <c r="K144" i="22"/>
  <c r="L54" i="22"/>
  <c r="K99" i="22"/>
  <c r="L36" i="22"/>
  <c r="L150" i="8"/>
  <c r="L151" i="8"/>
  <c r="L152" i="8"/>
  <c r="N56" i="8"/>
  <c r="M149" i="8"/>
  <c r="L54" i="8"/>
  <c r="K144" i="8"/>
  <c r="J145" i="8"/>
  <c r="J146" i="8"/>
  <c r="J147" i="8"/>
  <c r="H85" i="8"/>
  <c r="H86" i="8"/>
  <c r="H87" i="8"/>
  <c r="I130" i="8"/>
  <c r="I131" i="8"/>
  <c r="I132" i="8"/>
  <c r="I110" i="8"/>
  <c r="I111" i="8"/>
  <c r="I140" i="8"/>
  <c r="I141" i="8"/>
  <c r="I142" i="8"/>
  <c r="I84" i="8"/>
  <c r="J30" i="8"/>
  <c r="K48" i="8"/>
  <c r="J129" i="8"/>
  <c r="I90" i="8"/>
  <c r="I91" i="8"/>
  <c r="I92" i="8"/>
  <c r="K40" i="8"/>
  <c r="J109" i="8"/>
  <c r="K52" i="8"/>
  <c r="J139" i="8"/>
  <c r="K32" i="8"/>
  <c r="J89" i="8"/>
  <c r="K54" i="7"/>
  <c r="J144" i="7"/>
  <c r="I145" i="7"/>
  <c r="I146" i="7"/>
  <c r="I147" i="7"/>
  <c r="J139" i="7"/>
  <c r="K52" i="7"/>
  <c r="I140" i="7"/>
  <c r="I141" i="7"/>
  <c r="I142" i="7"/>
  <c r="J134" i="7"/>
  <c r="K50" i="7"/>
  <c r="I135" i="7"/>
  <c r="I136" i="7"/>
  <c r="I137" i="7"/>
  <c r="M46" i="7"/>
  <c r="L124" i="7"/>
  <c r="L120" i="7"/>
  <c r="L121" i="7"/>
  <c r="L122" i="7"/>
  <c r="K125" i="7"/>
  <c r="K126" i="7"/>
  <c r="K127" i="7"/>
  <c r="N44" i="7"/>
  <c r="M119" i="7"/>
  <c r="P90" i="7"/>
  <c r="P91" i="7"/>
  <c r="P92" i="7"/>
  <c r="R32" i="7"/>
  <c r="Q89" i="7"/>
  <c r="I164" i="6"/>
  <c r="I165" i="6"/>
  <c r="I166" i="6"/>
  <c r="J163" i="6"/>
  <c r="K56" i="6"/>
  <c r="K54" i="6"/>
  <c r="J158" i="6"/>
  <c r="I159" i="6"/>
  <c r="I160" i="6"/>
  <c r="I161" i="6"/>
  <c r="I154" i="6"/>
  <c r="I155" i="6"/>
  <c r="I156" i="6"/>
  <c r="K52" i="6"/>
  <c r="J153" i="6"/>
  <c r="I149" i="6"/>
  <c r="I150" i="6"/>
  <c r="I151" i="6"/>
  <c r="J148" i="6"/>
  <c r="K50" i="6"/>
  <c r="I144" i="6"/>
  <c r="I145" i="6"/>
  <c r="I146" i="6"/>
  <c r="K48" i="6"/>
  <c r="J143" i="6"/>
  <c r="J160" i="9"/>
  <c r="J161" i="9"/>
  <c r="J162" i="9"/>
  <c r="L60" i="9"/>
  <c r="K159" i="9"/>
  <c r="J154" i="9"/>
  <c r="K58" i="9"/>
  <c r="I155" i="9"/>
  <c r="I156" i="9"/>
  <c r="I157" i="9"/>
  <c r="J110" i="9"/>
  <c r="J111" i="9"/>
  <c r="J112" i="9"/>
  <c r="K109" i="9"/>
  <c r="L40" i="9"/>
  <c r="K99" i="9"/>
  <c r="L36" i="9"/>
  <c r="J100" i="9"/>
  <c r="J101" i="9"/>
  <c r="J102" i="9"/>
  <c r="K62" i="1"/>
  <c r="J166" i="1"/>
  <c r="I167" i="1"/>
  <c r="I168" i="1"/>
  <c r="I169" i="1"/>
  <c r="I127" i="1"/>
  <c r="I128" i="1"/>
  <c r="I129" i="1"/>
  <c r="I147" i="1"/>
  <c r="I148" i="1"/>
  <c r="I149" i="1"/>
  <c r="K54" i="1"/>
  <c r="J146" i="1"/>
  <c r="J126" i="1"/>
  <c r="K46" i="1"/>
  <c r="K122" i="1"/>
  <c r="K123" i="1"/>
  <c r="K124" i="1"/>
  <c r="M44" i="1"/>
  <c r="L121" i="1"/>
  <c r="L111" i="1"/>
  <c r="M40" i="1"/>
  <c r="K112" i="1"/>
  <c r="K113" i="1"/>
  <c r="K114" i="1"/>
  <c r="J106" i="1"/>
  <c r="K38" i="1"/>
  <c r="K102" i="1"/>
  <c r="K103" i="1"/>
  <c r="K104" i="1"/>
  <c r="L101" i="1"/>
  <c r="M36" i="1"/>
  <c r="I107" i="1"/>
  <c r="I108" i="1"/>
  <c r="I109" i="1"/>
  <c r="AB28" i="37"/>
  <c r="X28" i="37"/>
  <c r="AA28" i="37"/>
  <c r="Z28" i="37"/>
  <c r="Y28" i="37"/>
  <c r="U27" i="34"/>
  <c r="W27" i="34"/>
  <c r="V27" i="34"/>
  <c r="L27" i="33"/>
  <c r="T27" i="32"/>
  <c r="K129" i="7"/>
  <c r="K130" i="7"/>
  <c r="K131" i="7"/>
  <c r="K132" i="7"/>
  <c r="L48" i="7"/>
  <c r="Z27" i="34"/>
  <c r="Y27" i="34"/>
  <c r="L26" i="34"/>
  <c r="AQ196" i="9"/>
  <c r="AQ195" i="9"/>
  <c r="AS74" i="9"/>
  <c r="AR194" i="9"/>
  <c r="AP197" i="9"/>
  <c r="BT59" i="11"/>
  <c r="BU229" i="11"/>
  <c r="BE12" i="2"/>
  <c r="I11" i="20"/>
  <c r="CF11" i="2"/>
  <c r="X27" i="36"/>
  <c r="W23" i="41"/>
  <c r="V23" i="41"/>
  <c r="U24" i="41"/>
  <c r="W24" i="41"/>
  <c r="V24" i="41"/>
  <c r="K23" i="41"/>
  <c r="L23" i="41"/>
  <c r="F48" i="41"/>
  <c r="G47" i="41"/>
  <c r="M83" i="41"/>
  <c r="L84" i="41"/>
  <c r="AE197" i="8"/>
  <c r="AA202" i="8"/>
  <c r="N207" i="11"/>
  <c r="L157" i="7"/>
  <c r="O167" i="8"/>
  <c r="AH172" i="22"/>
  <c r="I182" i="10"/>
  <c r="S192" i="22"/>
  <c r="BV212" i="8"/>
  <c r="V157" i="8"/>
  <c r="AG207" i="10"/>
  <c r="AF177" i="22"/>
  <c r="Z192" i="11"/>
  <c r="AN142" i="11"/>
  <c r="AC147" i="10"/>
  <c r="Q167" i="22"/>
  <c r="J152" i="11"/>
  <c r="AJ177" i="9"/>
  <c r="S207" i="22"/>
  <c r="I177" i="7"/>
  <c r="M127" i="11"/>
  <c r="P207" i="7"/>
  <c r="R172" i="9"/>
  <c r="P187" i="22"/>
  <c r="I202" i="11"/>
  <c r="AA284" i="40"/>
  <c r="AB108" i="40"/>
  <c r="AA264" i="40"/>
  <c r="AB100" i="40"/>
  <c r="AA249" i="40"/>
  <c r="AB94" i="40"/>
  <c r="Z285" i="40"/>
  <c r="Z286" i="40"/>
  <c r="Z287" i="40"/>
  <c r="Z265" i="40"/>
  <c r="Z266" i="40"/>
  <c r="Z267" i="40"/>
  <c r="Z250" i="40"/>
  <c r="Z251" i="40"/>
  <c r="Z252" i="40"/>
  <c r="AA244" i="40"/>
  <c r="AB92" i="40"/>
  <c r="AA269" i="40"/>
  <c r="AB102" i="40"/>
  <c r="AA289" i="40"/>
  <c r="AA290" i="40"/>
  <c r="AA291" i="40"/>
  <c r="AA292" i="40"/>
  <c r="AB110" i="40"/>
  <c r="Z245" i="40"/>
  <c r="Z246" i="40"/>
  <c r="Z247" i="40"/>
  <c r="Z270" i="40"/>
  <c r="Z271" i="40"/>
  <c r="Z272" i="40"/>
  <c r="Z290" i="40"/>
  <c r="Z291" i="40"/>
  <c r="Z292" i="40"/>
  <c r="AH96" i="40"/>
  <c r="AH254" i="40"/>
  <c r="AH255" i="40"/>
  <c r="AH256" i="40"/>
  <c r="AH257" i="40"/>
  <c r="AI98" i="40"/>
  <c r="AI259" i="40"/>
  <c r="AH104" i="40"/>
  <c r="AH274" i="40"/>
  <c r="AG106" i="40"/>
  <c r="AG279" i="40"/>
  <c r="AG280" i="40"/>
  <c r="AG281" i="40"/>
  <c r="AG282" i="40"/>
  <c r="AD90" i="40"/>
  <c r="AC88" i="40"/>
  <c r="AB234" i="40"/>
  <c r="Z220" i="40"/>
  <c r="Z221" i="40"/>
  <c r="Z170" i="40"/>
  <c r="Z171" i="40"/>
  <c r="Z172" i="40"/>
  <c r="Z130" i="40"/>
  <c r="Z131" i="40"/>
  <c r="Z132" i="40"/>
  <c r="AA205" i="40"/>
  <c r="AA206" i="40"/>
  <c r="AA207" i="40"/>
  <c r="Z135" i="40"/>
  <c r="Z136" i="40"/>
  <c r="Z137" i="40"/>
  <c r="AA180" i="40"/>
  <c r="AA181" i="40"/>
  <c r="Z160" i="40"/>
  <c r="Z161" i="40"/>
  <c r="AB52" i="40"/>
  <c r="AA144" i="40"/>
  <c r="AB54" i="40"/>
  <c r="AA149" i="40"/>
  <c r="Z155" i="40"/>
  <c r="Z156" i="40"/>
  <c r="AC84" i="40"/>
  <c r="AB224" i="40"/>
  <c r="AB82" i="40"/>
  <c r="AA219" i="40"/>
  <c r="AA215" i="40"/>
  <c r="AA216" i="40"/>
  <c r="AA217" i="40"/>
  <c r="AB62" i="40"/>
  <c r="AA169" i="40"/>
  <c r="Z240" i="40"/>
  <c r="Z241" i="40"/>
  <c r="Z242" i="40"/>
  <c r="Y222" i="40"/>
  <c r="AA115" i="40"/>
  <c r="AA116" i="40"/>
  <c r="AA117" i="40"/>
  <c r="AB46" i="40"/>
  <c r="AA129" i="40"/>
  <c r="AC76" i="40"/>
  <c r="AB204" i="40"/>
  <c r="AC60" i="40"/>
  <c r="AB164" i="40"/>
  <c r="Z125" i="40"/>
  <c r="Z126" i="40"/>
  <c r="Z127" i="40"/>
  <c r="Z145" i="40"/>
  <c r="Z146" i="40"/>
  <c r="Z147" i="40"/>
  <c r="AA225" i="40"/>
  <c r="AA226" i="40"/>
  <c r="AA227" i="40"/>
  <c r="AB78" i="40"/>
  <c r="AA209" i="40"/>
  <c r="AD72" i="40"/>
  <c r="AC194" i="40"/>
  <c r="AD64" i="40"/>
  <c r="AC174" i="40"/>
  <c r="AA165" i="40"/>
  <c r="AA166" i="40"/>
  <c r="AA167" i="40"/>
  <c r="AB185" i="40"/>
  <c r="AB186" i="40"/>
  <c r="Z190" i="40"/>
  <c r="Z191" i="40"/>
  <c r="Z192" i="40"/>
  <c r="AB44" i="40"/>
  <c r="AA124" i="40"/>
  <c r="AC66" i="40"/>
  <c r="AB179" i="40"/>
  <c r="AB58" i="40"/>
  <c r="AA159" i="40"/>
  <c r="Z207" i="40"/>
  <c r="Z200" i="40"/>
  <c r="Z201" i="40"/>
  <c r="Z202" i="40"/>
  <c r="AC80" i="40"/>
  <c r="AB214" i="40"/>
  <c r="AA239" i="40"/>
  <c r="Z120" i="40"/>
  <c r="Z121" i="40"/>
  <c r="Z122" i="40"/>
  <c r="Z230" i="40"/>
  <c r="Z231" i="40"/>
  <c r="Z232" i="40"/>
  <c r="AC50" i="40"/>
  <c r="AB139" i="40"/>
  <c r="AB48" i="40"/>
  <c r="AA134" i="40"/>
  <c r="AD68" i="40"/>
  <c r="AC184" i="40"/>
  <c r="AA235" i="40"/>
  <c r="AA236" i="40"/>
  <c r="AB70" i="40"/>
  <c r="AA189" i="40"/>
  <c r="AA177" i="40"/>
  <c r="Z150" i="40"/>
  <c r="Z151" i="40"/>
  <c r="Z152" i="40"/>
  <c r="AB56" i="40"/>
  <c r="AA154" i="40"/>
  <c r="AA140" i="40"/>
  <c r="AA141" i="40"/>
  <c r="Y192" i="40"/>
  <c r="AB74" i="40"/>
  <c r="AA199" i="40"/>
  <c r="AB42" i="40"/>
  <c r="AA119" i="40"/>
  <c r="AB114" i="40"/>
  <c r="AC40" i="40"/>
  <c r="AB86" i="40"/>
  <c r="AA229" i="40"/>
  <c r="Z210" i="40"/>
  <c r="Z211" i="40"/>
  <c r="Z212" i="40"/>
  <c r="AB195" i="40"/>
  <c r="AB196" i="40"/>
  <c r="AB197" i="40"/>
  <c r="AB175" i="40"/>
  <c r="AB176" i="40"/>
  <c r="AB177" i="40"/>
  <c r="U167" i="10"/>
  <c r="AS87" i="22"/>
  <c r="X27" i="35"/>
  <c r="BV161" i="11"/>
  <c r="BV160" i="11"/>
  <c r="U175" i="10"/>
  <c r="U176" i="10"/>
  <c r="AA70" i="10"/>
  <c r="Z184" i="10"/>
  <c r="K159" i="10"/>
  <c r="L60" i="10"/>
  <c r="L66" i="7"/>
  <c r="K174" i="7"/>
  <c r="BW210" i="8"/>
  <c r="BW211" i="8"/>
  <c r="V165" i="10"/>
  <c r="V166" i="10"/>
  <c r="P46" i="11"/>
  <c r="O124" i="11"/>
  <c r="Y58" i="8"/>
  <c r="X154" i="8"/>
  <c r="J200" i="10"/>
  <c r="J201" i="10"/>
  <c r="AK175" i="9"/>
  <c r="AK176" i="9"/>
  <c r="J165" i="9"/>
  <c r="J166" i="9"/>
  <c r="I187" i="8"/>
  <c r="AM154" i="10"/>
  <c r="AN58" i="10"/>
  <c r="J150" i="22"/>
  <c r="J151" i="22"/>
  <c r="J152" i="22"/>
  <c r="CA54" i="11"/>
  <c r="BZ144" i="11"/>
  <c r="T62" i="22"/>
  <c r="S164" i="22"/>
  <c r="AI66" i="22"/>
  <c r="AH174" i="22"/>
  <c r="L50" i="11"/>
  <c r="K134" i="11"/>
  <c r="I162" i="10"/>
  <c r="BW159" i="11"/>
  <c r="BX60" i="11"/>
  <c r="S170" i="9"/>
  <c r="S171" i="9"/>
  <c r="P165" i="8"/>
  <c r="P166" i="8"/>
  <c r="V78" i="22"/>
  <c r="U204" i="22"/>
  <c r="Q185" i="22"/>
  <c r="Q186" i="22"/>
  <c r="BX209" i="8"/>
  <c r="BY80" i="8"/>
  <c r="AD146" i="10"/>
  <c r="AD145" i="10"/>
  <c r="J186" i="8"/>
  <c r="J185" i="8"/>
  <c r="K150" i="11"/>
  <c r="K151" i="11"/>
  <c r="AK170" i="10"/>
  <c r="AK171" i="10"/>
  <c r="K201" i="7"/>
  <c r="K200" i="7"/>
  <c r="Q205" i="7"/>
  <c r="Q206" i="7"/>
  <c r="AJ211" i="10"/>
  <c r="AJ210" i="10"/>
  <c r="L62" i="9"/>
  <c r="K164" i="9"/>
  <c r="AL156" i="10"/>
  <c r="AL155" i="10"/>
  <c r="L56" i="22"/>
  <c r="K149" i="22"/>
  <c r="K150" i="22"/>
  <c r="K151" i="22"/>
  <c r="K152" i="22"/>
  <c r="O160" i="7"/>
  <c r="O161" i="7"/>
  <c r="O206" i="11"/>
  <c r="O205" i="11"/>
  <c r="M155" i="7"/>
  <c r="M156" i="7"/>
  <c r="AG176" i="22"/>
  <c r="AG175" i="22"/>
  <c r="J136" i="11"/>
  <c r="J135" i="11"/>
  <c r="U64" i="9"/>
  <c r="T169" i="9"/>
  <c r="S205" i="9"/>
  <c r="S206" i="9"/>
  <c r="R62" i="8"/>
  <c r="Q164" i="8"/>
  <c r="I137" i="11"/>
  <c r="T206" i="22"/>
  <c r="T205" i="22"/>
  <c r="R184" i="22"/>
  <c r="S70" i="22"/>
  <c r="BU162" i="11"/>
  <c r="K179" i="10"/>
  <c r="L68" i="10"/>
  <c r="AF54" i="10"/>
  <c r="AE144" i="10"/>
  <c r="L70" i="8"/>
  <c r="K184" i="8"/>
  <c r="AK157" i="10"/>
  <c r="M56" i="11"/>
  <c r="L149" i="11"/>
  <c r="AL169" i="10"/>
  <c r="AM64" i="10"/>
  <c r="M76" i="7"/>
  <c r="L199" i="7"/>
  <c r="S78" i="7"/>
  <c r="R204" i="7"/>
  <c r="AL80" i="10"/>
  <c r="AK209" i="10"/>
  <c r="K138" i="6"/>
  <c r="K139" i="6"/>
  <c r="K140" i="6"/>
  <c r="K141" i="6"/>
  <c r="L46" i="6"/>
  <c r="Z196" i="11"/>
  <c r="Z195" i="11"/>
  <c r="J200" i="11"/>
  <c r="J201" i="11"/>
  <c r="AJ172" i="10"/>
  <c r="J202" i="7"/>
  <c r="I202" i="10"/>
  <c r="T177" i="10"/>
  <c r="X187" i="10"/>
  <c r="Q60" i="7"/>
  <c r="P159" i="7"/>
  <c r="Q78" i="11"/>
  <c r="P204" i="11"/>
  <c r="O58" i="7"/>
  <c r="N154" i="7"/>
  <c r="T190" i="22"/>
  <c r="T191" i="22"/>
  <c r="J205" i="8"/>
  <c r="J206" i="8"/>
  <c r="J200" i="22"/>
  <c r="J201" i="22"/>
  <c r="W66" i="10"/>
  <c r="V174" i="10"/>
  <c r="Y185" i="10"/>
  <c r="Y186" i="10"/>
  <c r="N162" i="7"/>
  <c r="T204" i="9"/>
  <c r="U78" i="9"/>
  <c r="J160" i="10"/>
  <c r="J161" i="10"/>
  <c r="I207" i="8"/>
  <c r="I202" i="22"/>
  <c r="J175" i="7"/>
  <c r="J176" i="7"/>
  <c r="J180" i="10"/>
  <c r="J181" i="10"/>
  <c r="X62" i="10"/>
  <c r="W164" i="10"/>
  <c r="N126" i="11"/>
  <c r="N125" i="11"/>
  <c r="W156" i="8"/>
  <c r="W155" i="8"/>
  <c r="L76" i="10"/>
  <c r="K199" i="10"/>
  <c r="AM66" i="9"/>
  <c r="AL174" i="9"/>
  <c r="AB74" i="11"/>
  <c r="AA194" i="11"/>
  <c r="L76" i="11"/>
  <c r="K199" i="11"/>
  <c r="BY146" i="11"/>
  <c r="BY145" i="11"/>
  <c r="AI212" i="10"/>
  <c r="I167" i="9"/>
  <c r="Y197" i="11"/>
  <c r="R207" i="9"/>
  <c r="R165" i="22"/>
  <c r="R166" i="22"/>
  <c r="V72" i="22"/>
  <c r="U189" i="22"/>
  <c r="BX147" i="11"/>
  <c r="L78" i="8"/>
  <c r="K204" i="8"/>
  <c r="L76" i="22"/>
  <c r="K199" i="22"/>
  <c r="K27" i="36"/>
  <c r="T27" i="36"/>
  <c r="AA27" i="36"/>
  <c r="Y27" i="36"/>
  <c r="X27" i="34"/>
  <c r="K27" i="34"/>
  <c r="L27" i="34"/>
  <c r="AA27" i="34"/>
  <c r="U28" i="32"/>
  <c r="W28" i="32"/>
  <c r="V28" i="32"/>
  <c r="Y28" i="32"/>
  <c r="AB28" i="31"/>
  <c r="Z28" i="31"/>
  <c r="M109" i="11"/>
  <c r="M110" i="11"/>
  <c r="M111" i="11"/>
  <c r="M112" i="11"/>
  <c r="N40" i="11"/>
  <c r="K84" i="10"/>
  <c r="K85" i="10"/>
  <c r="K86" i="10"/>
  <c r="K87" i="10"/>
  <c r="L30" i="10"/>
  <c r="K109" i="10"/>
  <c r="K110" i="10"/>
  <c r="K111" i="10"/>
  <c r="K112" i="10"/>
  <c r="L40" i="10"/>
  <c r="K89" i="10"/>
  <c r="K90" i="10"/>
  <c r="K91" i="10"/>
  <c r="K92" i="10"/>
  <c r="L32" i="10"/>
  <c r="M44" i="10"/>
  <c r="L119" i="10"/>
  <c r="L120" i="10"/>
  <c r="L121" i="10"/>
  <c r="L122" i="10"/>
  <c r="L52" i="10"/>
  <c r="K139" i="10"/>
  <c r="K140" i="10"/>
  <c r="K141" i="10"/>
  <c r="K142" i="10"/>
  <c r="L46" i="10"/>
  <c r="K124" i="10"/>
  <c r="K125" i="10"/>
  <c r="K126" i="10"/>
  <c r="K127" i="10"/>
  <c r="K114" i="10"/>
  <c r="K115" i="10"/>
  <c r="K116" i="10"/>
  <c r="K117" i="10"/>
  <c r="L42" i="10"/>
  <c r="K104" i="10"/>
  <c r="K105" i="10"/>
  <c r="K106" i="10"/>
  <c r="K107" i="10"/>
  <c r="L38" i="10"/>
  <c r="L48" i="10"/>
  <c r="K129" i="10"/>
  <c r="K130" i="10"/>
  <c r="K131" i="10"/>
  <c r="K132" i="10"/>
  <c r="L34" i="10"/>
  <c r="K94" i="10"/>
  <c r="K95" i="10"/>
  <c r="K96" i="10"/>
  <c r="K97" i="10"/>
  <c r="M46" i="22"/>
  <c r="L124" i="22"/>
  <c r="L125" i="22"/>
  <c r="L126" i="22"/>
  <c r="L127" i="22"/>
  <c r="L139" i="22"/>
  <c r="L140" i="22"/>
  <c r="L141" i="22"/>
  <c r="L142" i="22"/>
  <c r="M52" i="22"/>
  <c r="K114" i="22"/>
  <c r="K115" i="22"/>
  <c r="K116" i="22"/>
  <c r="K117" i="22"/>
  <c r="L42" i="22"/>
  <c r="K134" i="22"/>
  <c r="K135" i="22"/>
  <c r="K136" i="22"/>
  <c r="K137" i="22"/>
  <c r="L50" i="22"/>
  <c r="K124" i="8"/>
  <c r="K125" i="8"/>
  <c r="K126" i="8"/>
  <c r="K127" i="8"/>
  <c r="L46" i="8"/>
  <c r="M50" i="8"/>
  <c r="L134" i="8"/>
  <c r="AA182" i="8"/>
  <c r="I192" i="9"/>
  <c r="AJ132" i="11"/>
  <c r="AB177" i="11"/>
  <c r="AE197" i="10"/>
  <c r="AD182" i="22"/>
  <c r="AC212" i="11"/>
  <c r="AH187" i="9"/>
  <c r="AF212" i="22"/>
  <c r="N192" i="8"/>
  <c r="AD187" i="7"/>
  <c r="AK182" i="7"/>
  <c r="AU172" i="7"/>
  <c r="Y28" i="31"/>
  <c r="K27" i="35"/>
  <c r="T27" i="35"/>
  <c r="AD68" i="8"/>
  <c r="AC179" i="8"/>
  <c r="J190" i="9"/>
  <c r="J191" i="9"/>
  <c r="BS73" i="7"/>
  <c r="BT236" i="7"/>
  <c r="BQ182" i="11"/>
  <c r="AV30" i="22"/>
  <c r="AU84" i="22"/>
  <c r="AH206" i="10"/>
  <c r="AH205" i="10"/>
  <c r="BR166" i="11"/>
  <c r="BR165" i="11"/>
  <c r="AI186" i="9"/>
  <c r="AI185" i="9"/>
  <c r="AK64" i="22"/>
  <c r="AJ169" i="22"/>
  <c r="AH179" i="9"/>
  <c r="AI68" i="9"/>
  <c r="AG211" i="22"/>
  <c r="AG210" i="22"/>
  <c r="I202" i="9"/>
  <c r="L73" i="37"/>
  <c r="M72" i="37"/>
  <c r="AB60" i="8"/>
  <c r="AA159" i="8"/>
  <c r="AE197" i="22"/>
  <c r="BT68" i="11"/>
  <c r="BS179" i="11"/>
  <c r="AH152" i="10"/>
  <c r="AC162" i="22"/>
  <c r="AE180" i="22"/>
  <c r="AE181" i="22"/>
  <c r="BU172" i="11"/>
  <c r="AG194" i="10"/>
  <c r="AH74" i="10"/>
  <c r="AD197" i="7"/>
  <c r="O190" i="8"/>
  <c r="O191" i="8"/>
  <c r="AV171" i="7"/>
  <c r="AV170" i="7"/>
  <c r="A135" i="2"/>
  <c r="BW135" i="2"/>
  <c r="BW14" i="2"/>
  <c r="A15" i="2"/>
  <c r="AA190" i="11"/>
  <c r="AA191" i="11"/>
  <c r="AQ52" i="11"/>
  <c r="AP139" i="11"/>
  <c r="AG212" i="7"/>
  <c r="AL180" i="7"/>
  <c r="AL181" i="7"/>
  <c r="AD210" i="11"/>
  <c r="AD211" i="11"/>
  <c r="AB181" i="8"/>
  <c r="AB180" i="8"/>
  <c r="K189" i="9"/>
  <c r="L72" i="9"/>
  <c r="AF196" i="22"/>
  <c r="AF195" i="22"/>
  <c r="BT62" i="11"/>
  <c r="BS164" i="11"/>
  <c r="AJ184" i="9"/>
  <c r="AK70" i="9"/>
  <c r="AI80" i="22"/>
  <c r="AH209" i="22"/>
  <c r="AE196" i="7"/>
  <c r="AE195" i="7"/>
  <c r="Z160" i="8"/>
  <c r="Z161" i="8"/>
  <c r="AG68" i="22"/>
  <c r="AF179" i="22"/>
  <c r="J201" i="9"/>
  <c r="J200" i="9"/>
  <c r="Q72" i="8"/>
  <c r="P189" i="8"/>
  <c r="AH211" i="7"/>
  <c r="AH210" i="7"/>
  <c r="AX64" i="7"/>
  <c r="AW169" i="7"/>
  <c r="AI150" i="10"/>
  <c r="AI151" i="10"/>
  <c r="AC72" i="11"/>
  <c r="AB189" i="11"/>
  <c r="AD160" i="22"/>
  <c r="AD161" i="22"/>
  <c r="BU65" i="8"/>
  <c r="BV232" i="8"/>
  <c r="AD176" i="8"/>
  <c r="AD175" i="8"/>
  <c r="AN68" i="7"/>
  <c r="AM179" i="7"/>
  <c r="AP190" i="10"/>
  <c r="AP191" i="10"/>
  <c r="AF80" i="11"/>
  <c r="AE209" i="11"/>
  <c r="AJ212" i="9"/>
  <c r="AC177" i="8"/>
  <c r="AH74" i="22"/>
  <c r="AG194" i="22"/>
  <c r="AK131" i="11"/>
  <c r="AK130" i="11"/>
  <c r="AO192" i="10"/>
  <c r="BV171" i="11"/>
  <c r="BV170" i="11"/>
  <c r="AG74" i="7"/>
  <c r="AF194" i="7"/>
  <c r="AM80" i="9"/>
  <c r="AL209" i="9"/>
  <c r="AF195" i="8"/>
  <c r="AF196" i="8"/>
  <c r="AB201" i="8"/>
  <c r="AB200" i="8"/>
  <c r="AF182" i="9"/>
  <c r="L76" i="9"/>
  <c r="K199" i="9"/>
  <c r="Y162" i="8"/>
  <c r="AJ80" i="7"/>
  <c r="AI209" i="7"/>
  <c r="AK56" i="10"/>
  <c r="AJ149" i="10"/>
  <c r="AE159" i="22"/>
  <c r="AF60" i="22"/>
  <c r="AC176" i="11"/>
  <c r="AC175" i="11"/>
  <c r="AF66" i="8"/>
  <c r="AE174" i="8"/>
  <c r="AE185" i="7"/>
  <c r="AE186" i="7"/>
  <c r="AR72" i="10"/>
  <c r="AQ189" i="10"/>
  <c r="BQ167" i="11"/>
  <c r="AM48" i="11"/>
  <c r="AL129" i="11"/>
  <c r="AT85" i="22"/>
  <c r="AT86" i="22"/>
  <c r="AI204" i="10"/>
  <c r="AJ78" i="10"/>
  <c r="BW169" i="11"/>
  <c r="BX64" i="11"/>
  <c r="AI171" i="22"/>
  <c r="AI170" i="22"/>
  <c r="AG181" i="9"/>
  <c r="AG180" i="9"/>
  <c r="AK210" i="9"/>
  <c r="AK211" i="9"/>
  <c r="BR180" i="11"/>
  <c r="BR181" i="11"/>
  <c r="AH74" i="8"/>
  <c r="AG194" i="8"/>
  <c r="AF196" i="10"/>
  <c r="AF195" i="10"/>
  <c r="AD76" i="8"/>
  <c r="AC199" i="8"/>
  <c r="AM134" i="2"/>
  <c r="AM13" i="2"/>
  <c r="G13" i="20"/>
  <c r="BN134" i="2"/>
  <c r="BN13" i="2"/>
  <c r="J13" i="20"/>
  <c r="BE134" i="2"/>
  <c r="L134" i="2"/>
  <c r="L13" i="2"/>
  <c r="AD134" i="2"/>
  <c r="AD13" i="2"/>
  <c r="F13" i="20"/>
  <c r="U134" i="2"/>
  <c r="U13" i="2"/>
  <c r="E13" i="20"/>
  <c r="AV134" i="2"/>
  <c r="AV13" i="2"/>
  <c r="H13" i="20"/>
  <c r="C134" i="2"/>
  <c r="C13" i="2"/>
  <c r="E13" i="2"/>
  <c r="C12" i="20"/>
  <c r="L32" i="22"/>
  <c r="K89" i="22"/>
  <c r="K90" i="22"/>
  <c r="K91" i="22"/>
  <c r="K92" i="22"/>
  <c r="AE66" i="11"/>
  <c r="AD174" i="11"/>
  <c r="AO140" i="11"/>
  <c r="AO141" i="11"/>
  <c r="N12" i="2"/>
  <c r="D12" i="20"/>
  <c r="AG70" i="7"/>
  <c r="AF184" i="7"/>
  <c r="H34" i="30"/>
  <c r="J34" i="30"/>
  <c r="W16" i="39"/>
  <c r="H33" i="30"/>
  <c r="G35" i="30"/>
  <c r="H35" i="30"/>
  <c r="J35" i="30"/>
  <c r="W17" i="39"/>
  <c r="F36" i="30"/>
  <c r="U28" i="33"/>
  <c r="W28" i="33"/>
  <c r="V28" i="33"/>
  <c r="X28" i="33"/>
  <c r="K28" i="31"/>
  <c r="T28" i="31"/>
  <c r="X28" i="31"/>
  <c r="P94" i="8"/>
  <c r="P95" i="8"/>
  <c r="P96" i="8"/>
  <c r="P97" i="8"/>
  <c r="Q34" i="8"/>
  <c r="J115" i="8"/>
  <c r="J116" i="8"/>
  <c r="J117" i="8"/>
  <c r="L42" i="8"/>
  <c r="K114" i="8"/>
  <c r="K115" i="8"/>
  <c r="K116" i="8"/>
  <c r="K117" i="8"/>
  <c r="K119" i="8"/>
  <c r="K120" i="8"/>
  <c r="K121" i="8"/>
  <c r="K122" i="8"/>
  <c r="L44" i="8"/>
  <c r="R165" i="7"/>
  <c r="R166" i="7"/>
  <c r="Q167" i="7"/>
  <c r="L32" i="11"/>
  <c r="K89" i="11"/>
  <c r="K90" i="11"/>
  <c r="K91" i="11"/>
  <c r="K92" i="11"/>
  <c r="S164" i="7"/>
  <c r="T62" i="7"/>
  <c r="K139" i="9"/>
  <c r="K140" i="9"/>
  <c r="K141" i="9"/>
  <c r="K142" i="9"/>
  <c r="L52" i="9"/>
  <c r="L84" i="9"/>
  <c r="L85" i="9"/>
  <c r="L86" i="9"/>
  <c r="L87" i="9"/>
  <c r="M30" i="9"/>
  <c r="M86" i="1"/>
  <c r="M87" i="1"/>
  <c r="M88" i="1"/>
  <c r="M89" i="1"/>
  <c r="N30" i="1"/>
  <c r="L34" i="1"/>
  <c r="K96" i="1"/>
  <c r="K97" i="1"/>
  <c r="K98" i="1"/>
  <c r="K99" i="1"/>
  <c r="L68" i="1"/>
  <c r="K181" i="1"/>
  <c r="K182" i="1"/>
  <c r="K183" i="1"/>
  <c r="K184" i="1"/>
  <c r="L48" i="1"/>
  <c r="K131" i="1"/>
  <c r="K132" i="1"/>
  <c r="K133" i="1"/>
  <c r="K134" i="1"/>
  <c r="M91" i="1"/>
  <c r="M92" i="1"/>
  <c r="M93" i="1"/>
  <c r="M94" i="1"/>
  <c r="N32" i="1"/>
  <c r="K171" i="1"/>
  <c r="K172" i="1"/>
  <c r="K173" i="1"/>
  <c r="K174" i="1"/>
  <c r="L64" i="1"/>
  <c r="L52" i="1"/>
  <c r="K141" i="1"/>
  <c r="K142" i="1"/>
  <c r="K143" i="1"/>
  <c r="K144" i="1"/>
  <c r="L58" i="1"/>
  <c r="K156" i="1"/>
  <c r="K157" i="1"/>
  <c r="K158" i="1"/>
  <c r="K159" i="1"/>
  <c r="L50" i="1"/>
  <c r="K136" i="1"/>
  <c r="K137" i="1"/>
  <c r="K138" i="1"/>
  <c r="K139" i="1"/>
  <c r="K219" i="1"/>
  <c r="AA28" i="32"/>
  <c r="A17" i="26"/>
  <c r="AO17" i="26"/>
  <c r="I36" i="30"/>
  <c r="AJ16" i="26"/>
  <c r="K16" i="26"/>
  <c r="Z16" i="26"/>
  <c r="AE16" i="26"/>
  <c r="U16" i="26"/>
  <c r="F16" i="26"/>
  <c r="P16" i="26"/>
  <c r="G49" i="35"/>
  <c r="F50" i="35"/>
  <c r="G50" i="35"/>
  <c r="H50" i="35"/>
  <c r="J50" i="35"/>
  <c r="AB33" i="39"/>
  <c r="AA28" i="31"/>
  <c r="J122" i="11"/>
  <c r="K120" i="22"/>
  <c r="K121" i="22"/>
  <c r="K122" i="22"/>
  <c r="M44" i="22"/>
  <c r="L119" i="22"/>
  <c r="I112" i="8"/>
  <c r="M30" i="6"/>
  <c r="L98" i="6"/>
  <c r="L99" i="6"/>
  <c r="L100" i="6"/>
  <c r="L101" i="6"/>
  <c r="K88" i="6"/>
  <c r="K89" i="6"/>
  <c r="K90" i="6"/>
  <c r="K91" i="6"/>
  <c r="L26" i="6"/>
  <c r="L128" i="6"/>
  <c r="L129" i="6"/>
  <c r="L130" i="6"/>
  <c r="L131" i="6"/>
  <c r="M42" i="6"/>
  <c r="L24" i="6"/>
  <c r="K83" i="6"/>
  <c r="K84" i="6"/>
  <c r="K85" i="6"/>
  <c r="K86" i="6"/>
  <c r="K113" i="6"/>
  <c r="K114" i="6"/>
  <c r="K115" i="6"/>
  <c r="K116" i="6"/>
  <c r="L36" i="6"/>
  <c r="K133" i="6"/>
  <c r="K134" i="6"/>
  <c r="K135" i="6"/>
  <c r="K136" i="6"/>
  <c r="L44" i="6"/>
  <c r="L34" i="6"/>
  <c r="K108" i="6"/>
  <c r="K109" i="6"/>
  <c r="K110" i="6"/>
  <c r="K111" i="6"/>
  <c r="K93" i="6"/>
  <c r="K94" i="6"/>
  <c r="K95" i="6"/>
  <c r="K96" i="6"/>
  <c r="L28" i="6"/>
  <c r="K103" i="6"/>
  <c r="K104" i="6"/>
  <c r="K105" i="6"/>
  <c r="K106" i="6"/>
  <c r="L32" i="6"/>
  <c r="K123" i="6"/>
  <c r="K124" i="6"/>
  <c r="K125" i="6"/>
  <c r="K126" i="6"/>
  <c r="L40" i="6"/>
  <c r="K78" i="6"/>
  <c r="K79" i="6"/>
  <c r="K80" i="6"/>
  <c r="K81" i="6"/>
  <c r="L22" i="6"/>
  <c r="L42" i="1"/>
  <c r="K116" i="1"/>
  <c r="K117" i="1"/>
  <c r="K118" i="1"/>
  <c r="K119" i="1"/>
  <c r="M212" i="1"/>
  <c r="M213" i="1"/>
  <c r="M214" i="1"/>
  <c r="L218" i="1"/>
  <c r="L217" i="1"/>
  <c r="O80" i="1"/>
  <c r="N211" i="1"/>
  <c r="N212" i="1"/>
  <c r="N213" i="1"/>
  <c r="N214" i="1"/>
  <c r="N82" i="1"/>
  <c r="M216" i="1"/>
  <c r="J164" i="1"/>
  <c r="I97" i="22"/>
  <c r="P38" i="8"/>
  <c r="O104" i="8"/>
  <c r="O105" i="8"/>
  <c r="O106" i="8"/>
  <c r="O107" i="8"/>
  <c r="M36" i="8"/>
  <c r="L99" i="8"/>
  <c r="L100" i="8"/>
  <c r="L101" i="8"/>
  <c r="L102" i="8"/>
  <c r="K120" i="11"/>
  <c r="K121" i="11"/>
  <c r="K122" i="11"/>
  <c r="M44" i="11"/>
  <c r="L119" i="11"/>
  <c r="Y27" i="35"/>
  <c r="Z27" i="35"/>
  <c r="Z28" i="33"/>
  <c r="L48" i="22"/>
  <c r="K129" i="22"/>
  <c r="J130" i="22"/>
  <c r="J131" i="22"/>
  <c r="J132" i="22"/>
  <c r="K105" i="22"/>
  <c r="K106" i="22"/>
  <c r="K107" i="22"/>
  <c r="K94" i="22"/>
  <c r="K95" i="22"/>
  <c r="K96" i="22"/>
  <c r="K97" i="22"/>
  <c r="L34" i="22"/>
  <c r="L104" i="22"/>
  <c r="M38" i="22"/>
  <c r="L42" i="7"/>
  <c r="K114" i="7"/>
  <c r="K115" i="7"/>
  <c r="K116" i="7"/>
  <c r="K117" i="7"/>
  <c r="L34" i="7"/>
  <c r="K94" i="7"/>
  <c r="K95" i="7"/>
  <c r="K96" i="7"/>
  <c r="K97" i="7"/>
  <c r="O40" i="7"/>
  <c r="N109" i="7"/>
  <c r="N110" i="7"/>
  <c r="N111" i="7"/>
  <c r="N112" i="7"/>
  <c r="K105" i="7"/>
  <c r="K106" i="7"/>
  <c r="K107" i="7"/>
  <c r="L99" i="7"/>
  <c r="L100" i="7"/>
  <c r="L101" i="7"/>
  <c r="L102" i="7"/>
  <c r="M36" i="7"/>
  <c r="M38" i="7"/>
  <c r="L104" i="7"/>
  <c r="L84" i="7"/>
  <c r="L85" i="7"/>
  <c r="L86" i="7"/>
  <c r="L87" i="7"/>
  <c r="M30" i="7"/>
  <c r="O38" i="6"/>
  <c r="N118" i="6"/>
  <c r="N119" i="6"/>
  <c r="N120" i="6"/>
  <c r="N121" i="6"/>
  <c r="K42" i="9"/>
  <c r="J114" i="9"/>
  <c r="J115" i="9"/>
  <c r="J116" i="9"/>
  <c r="J117" i="9"/>
  <c r="N145" i="9"/>
  <c r="N146" i="9"/>
  <c r="N147" i="9"/>
  <c r="P54" i="9"/>
  <c r="O144" i="9"/>
  <c r="O145" i="9"/>
  <c r="O146" i="9"/>
  <c r="O147" i="9"/>
  <c r="K94" i="9"/>
  <c r="K95" i="9"/>
  <c r="K96" i="9"/>
  <c r="K97" i="9"/>
  <c r="L34" i="9"/>
  <c r="O38" i="9"/>
  <c r="N104" i="9"/>
  <c r="N105" i="9"/>
  <c r="N106" i="9"/>
  <c r="N107" i="9"/>
  <c r="K124" i="9"/>
  <c r="K125" i="9"/>
  <c r="K126" i="9"/>
  <c r="K127" i="9"/>
  <c r="L46" i="9"/>
  <c r="L134" i="9"/>
  <c r="L135" i="9"/>
  <c r="L136" i="9"/>
  <c r="L137" i="9"/>
  <c r="M50" i="9"/>
  <c r="L44" i="9"/>
  <c r="K119" i="9"/>
  <c r="K120" i="9"/>
  <c r="K121" i="9"/>
  <c r="K122" i="9"/>
  <c r="J120" i="9"/>
  <c r="J121" i="9"/>
  <c r="J122" i="9"/>
  <c r="K149" i="9"/>
  <c r="K150" i="9"/>
  <c r="K151" i="9"/>
  <c r="K152" i="9"/>
  <c r="L56" i="9"/>
  <c r="M89" i="9"/>
  <c r="M90" i="9"/>
  <c r="M91" i="9"/>
  <c r="M92" i="9"/>
  <c r="N32" i="9"/>
  <c r="K129" i="9"/>
  <c r="K130" i="9"/>
  <c r="K131" i="9"/>
  <c r="K132" i="9"/>
  <c r="L48" i="9"/>
  <c r="L74" i="1"/>
  <c r="K196" i="1"/>
  <c r="L70" i="1"/>
  <c r="K186" i="1"/>
  <c r="N66" i="1"/>
  <c r="M176" i="1"/>
  <c r="M72" i="1"/>
  <c r="L191" i="1"/>
  <c r="M60" i="1"/>
  <c r="L161" i="1"/>
  <c r="L162" i="1"/>
  <c r="L163" i="1"/>
  <c r="L164" i="1"/>
  <c r="J207" i="1"/>
  <c r="J208" i="1"/>
  <c r="J209" i="1"/>
  <c r="N76" i="1"/>
  <c r="M201" i="1"/>
  <c r="M202" i="1"/>
  <c r="M203" i="1"/>
  <c r="M204" i="1"/>
  <c r="L78" i="1"/>
  <c r="K206" i="1"/>
  <c r="K207" i="1"/>
  <c r="K208" i="1"/>
  <c r="K209" i="1"/>
  <c r="R56" i="1"/>
  <c r="Q151" i="1"/>
  <c r="Q152" i="1"/>
  <c r="Q153" i="1"/>
  <c r="Q154" i="1"/>
  <c r="L28" i="37"/>
  <c r="P115" i="11"/>
  <c r="P116" i="11"/>
  <c r="P117" i="11"/>
  <c r="R42" i="11"/>
  <c r="Q114" i="11"/>
  <c r="G49" i="37"/>
  <c r="F50" i="37"/>
  <c r="L28" i="31"/>
  <c r="M99" i="11"/>
  <c r="N36" i="11"/>
  <c r="K105" i="11"/>
  <c r="K106" i="11"/>
  <c r="J107" i="11"/>
  <c r="L100" i="11"/>
  <c r="L101" i="11"/>
  <c r="L102" i="11"/>
  <c r="N85" i="11"/>
  <c r="N86" i="11"/>
  <c r="M38" i="11"/>
  <c r="L104" i="11"/>
  <c r="P30" i="11"/>
  <c r="O84" i="11"/>
  <c r="L134" i="10"/>
  <c r="M50" i="10"/>
  <c r="K135" i="10"/>
  <c r="K136" i="10"/>
  <c r="K137" i="10"/>
  <c r="K100" i="10"/>
  <c r="K101" i="10"/>
  <c r="K102" i="10"/>
  <c r="L99" i="10"/>
  <c r="M36" i="10"/>
  <c r="L58" i="22"/>
  <c r="K154" i="22"/>
  <c r="J155" i="22"/>
  <c r="J156" i="22"/>
  <c r="J157" i="22"/>
  <c r="L109" i="22"/>
  <c r="M40" i="22"/>
  <c r="M54" i="22"/>
  <c r="L144" i="22"/>
  <c r="K110" i="22"/>
  <c r="K111" i="22"/>
  <c r="L99" i="22"/>
  <c r="M36" i="22"/>
  <c r="K145" i="22"/>
  <c r="K146" i="22"/>
  <c r="K147" i="22"/>
  <c r="K100" i="22"/>
  <c r="K101" i="22"/>
  <c r="K102" i="22"/>
  <c r="M150" i="8"/>
  <c r="M151" i="8"/>
  <c r="M152" i="8"/>
  <c r="N149" i="8"/>
  <c r="O56" i="8"/>
  <c r="K145" i="8"/>
  <c r="K146" i="8"/>
  <c r="K147" i="8"/>
  <c r="M54" i="8"/>
  <c r="L144" i="8"/>
  <c r="L48" i="8"/>
  <c r="K129" i="8"/>
  <c r="J110" i="8"/>
  <c r="J111" i="8"/>
  <c r="J112" i="8"/>
  <c r="J140" i="8"/>
  <c r="J141" i="8"/>
  <c r="J142" i="8"/>
  <c r="L40" i="8"/>
  <c r="K109" i="8"/>
  <c r="K30" i="8"/>
  <c r="J84" i="8"/>
  <c r="J90" i="8"/>
  <c r="J91" i="8"/>
  <c r="J92" i="8"/>
  <c r="L32" i="8"/>
  <c r="K89" i="8"/>
  <c r="L52" i="8"/>
  <c r="K139" i="8"/>
  <c r="J130" i="8"/>
  <c r="J131" i="8"/>
  <c r="J132" i="8"/>
  <c r="I85" i="8"/>
  <c r="I86" i="8"/>
  <c r="I87" i="8"/>
  <c r="J145" i="7"/>
  <c r="J146" i="7"/>
  <c r="J147" i="7"/>
  <c r="K144" i="7"/>
  <c r="L54" i="7"/>
  <c r="L52" i="7"/>
  <c r="K139" i="7"/>
  <c r="J140" i="7"/>
  <c r="J141" i="7"/>
  <c r="J142" i="7"/>
  <c r="L50" i="7"/>
  <c r="K134" i="7"/>
  <c r="J135" i="7"/>
  <c r="J136" i="7"/>
  <c r="J137" i="7"/>
  <c r="L125" i="7"/>
  <c r="L126" i="7"/>
  <c r="M120" i="7"/>
  <c r="M121" i="7"/>
  <c r="M122" i="7"/>
  <c r="N46" i="7"/>
  <c r="M124" i="7"/>
  <c r="S32" i="7"/>
  <c r="R89" i="7"/>
  <c r="Q90" i="7"/>
  <c r="Q91" i="7"/>
  <c r="Q92" i="7"/>
  <c r="O44" i="7"/>
  <c r="N119" i="7"/>
  <c r="K163" i="6"/>
  <c r="L56" i="6"/>
  <c r="J164" i="6"/>
  <c r="J165" i="6"/>
  <c r="J159" i="6"/>
  <c r="J160" i="6"/>
  <c r="J161" i="6"/>
  <c r="L54" i="6"/>
  <c r="K158" i="6"/>
  <c r="J154" i="6"/>
  <c r="J155" i="6"/>
  <c r="J156" i="6"/>
  <c r="K153" i="6"/>
  <c r="L52" i="6"/>
  <c r="K148" i="6"/>
  <c r="L50" i="6"/>
  <c r="J149" i="6"/>
  <c r="J150" i="6"/>
  <c r="J151" i="6"/>
  <c r="J144" i="6"/>
  <c r="J145" i="6"/>
  <c r="J146" i="6"/>
  <c r="K143" i="6"/>
  <c r="L48" i="6"/>
  <c r="K160" i="9"/>
  <c r="K161" i="9"/>
  <c r="K162" i="9"/>
  <c r="L159" i="9"/>
  <c r="M60" i="9"/>
  <c r="L58" i="9"/>
  <c r="K154" i="9"/>
  <c r="J155" i="9"/>
  <c r="J156" i="9"/>
  <c r="J157" i="9"/>
  <c r="K100" i="9"/>
  <c r="K101" i="9"/>
  <c r="K102" i="9"/>
  <c r="L109" i="9"/>
  <c r="M40" i="9"/>
  <c r="K110" i="9"/>
  <c r="K111" i="9"/>
  <c r="K112" i="9"/>
  <c r="L99" i="9"/>
  <c r="M36" i="9"/>
  <c r="J167" i="1"/>
  <c r="J168" i="1"/>
  <c r="J169" i="1"/>
  <c r="K166" i="1"/>
  <c r="L62" i="1"/>
  <c r="L46" i="1"/>
  <c r="K126" i="1"/>
  <c r="J127" i="1"/>
  <c r="J128" i="1"/>
  <c r="J129" i="1"/>
  <c r="J147" i="1"/>
  <c r="J148" i="1"/>
  <c r="J149" i="1"/>
  <c r="K146" i="1"/>
  <c r="L54" i="1"/>
  <c r="L122" i="1"/>
  <c r="L123" i="1"/>
  <c r="L124" i="1"/>
  <c r="M121" i="1"/>
  <c r="N44" i="1"/>
  <c r="L102" i="1"/>
  <c r="L103" i="1"/>
  <c r="L104" i="1"/>
  <c r="J107" i="1"/>
  <c r="J108" i="1"/>
  <c r="J109" i="1"/>
  <c r="M111" i="1"/>
  <c r="N40" i="1"/>
  <c r="N36" i="1"/>
  <c r="M101" i="1"/>
  <c r="K106" i="1"/>
  <c r="L38" i="1"/>
  <c r="L112" i="1"/>
  <c r="L113" i="1"/>
  <c r="L114" i="1"/>
  <c r="U29" i="37"/>
  <c r="W29" i="37"/>
  <c r="V29" i="37"/>
  <c r="M48" i="7"/>
  <c r="L129" i="7"/>
  <c r="L130" i="7"/>
  <c r="L131" i="7"/>
  <c r="L132" i="7"/>
  <c r="U28" i="34"/>
  <c r="W28" i="34"/>
  <c r="V28" i="34"/>
  <c r="AA28" i="34"/>
  <c r="L27" i="35"/>
  <c r="AR195" i="9"/>
  <c r="AR196" i="9"/>
  <c r="BS59" i="11"/>
  <c r="BT229" i="11"/>
  <c r="AS194" i="9"/>
  <c r="AT74" i="9"/>
  <c r="AQ197" i="9"/>
  <c r="L27" i="36"/>
  <c r="U28" i="36"/>
  <c r="W28" i="36"/>
  <c r="V28" i="36"/>
  <c r="Z28" i="36"/>
  <c r="T27" i="34"/>
  <c r="K28" i="32"/>
  <c r="L28" i="32"/>
  <c r="AB28" i="32"/>
  <c r="Z28" i="32"/>
  <c r="BE13" i="2"/>
  <c r="I12" i="20"/>
  <c r="CF12" i="2"/>
  <c r="X28" i="32"/>
  <c r="K24" i="41"/>
  <c r="L24" i="41"/>
  <c r="T23" i="41"/>
  <c r="X24" i="41"/>
  <c r="U25" i="41"/>
  <c r="W25" i="41"/>
  <c r="V25" i="41"/>
  <c r="G48" i="41"/>
  <c r="F49" i="41"/>
  <c r="L85" i="41"/>
  <c r="M84" i="41"/>
  <c r="AK177" i="9"/>
  <c r="V167" i="10"/>
  <c r="J187" i="8"/>
  <c r="R167" i="22"/>
  <c r="J177" i="7"/>
  <c r="J207" i="8"/>
  <c r="M157" i="7"/>
  <c r="O162" i="7"/>
  <c r="K152" i="11"/>
  <c r="J162" i="10"/>
  <c r="J192" i="9"/>
  <c r="S207" i="9"/>
  <c r="S172" i="9"/>
  <c r="BW212" i="8"/>
  <c r="U177" i="10"/>
  <c r="AI172" i="22"/>
  <c r="N127" i="11"/>
  <c r="AI260" i="40"/>
  <c r="AI261" i="40"/>
  <c r="AI262" i="40"/>
  <c r="AB269" i="40"/>
  <c r="AB270" i="40"/>
  <c r="AB271" i="40"/>
  <c r="AB272" i="40"/>
  <c r="AC102" i="40"/>
  <c r="AB264" i="40"/>
  <c r="AB265" i="40"/>
  <c r="AB266" i="40"/>
  <c r="AB267" i="40"/>
  <c r="AC100" i="40"/>
  <c r="AA270" i="40"/>
  <c r="AA271" i="40"/>
  <c r="AA272" i="40"/>
  <c r="AA265" i="40"/>
  <c r="AA266" i="40"/>
  <c r="AA267" i="40"/>
  <c r="AB289" i="40"/>
  <c r="AC110" i="40"/>
  <c r="AB244" i="40"/>
  <c r="AC92" i="40"/>
  <c r="AB249" i="40"/>
  <c r="AB250" i="40"/>
  <c r="AB251" i="40"/>
  <c r="AB252" i="40"/>
  <c r="AC94" i="40"/>
  <c r="AB284" i="40"/>
  <c r="AC108" i="40"/>
  <c r="AH275" i="40"/>
  <c r="AH276" i="40"/>
  <c r="AH277" i="40"/>
  <c r="AA245" i="40"/>
  <c r="AA246" i="40"/>
  <c r="AA247" i="40"/>
  <c r="AA250" i="40"/>
  <c r="AA251" i="40"/>
  <c r="AA252" i="40"/>
  <c r="AA285" i="40"/>
  <c r="AA286" i="40"/>
  <c r="AA287" i="40"/>
  <c r="AH106" i="40"/>
  <c r="AH279" i="40"/>
  <c r="AJ98" i="40"/>
  <c r="AJ259" i="40"/>
  <c r="AI96" i="40"/>
  <c r="AI254" i="40"/>
  <c r="AI104" i="40"/>
  <c r="AI274" i="40"/>
  <c r="AI275" i="40"/>
  <c r="AI276" i="40"/>
  <c r="AI277" i="40"/>
  <c r="AE90" i="40"/>
  <c r="AA230" i="40"/>
  <c r="AA231" i="40"/>
  <c r="AA232" i="40"/>
  <c r="AE68" i="40"/>
  <c r="AD184" i="40"/>
  <c r="AB140" i="40"/>
  <c r="AB141" i="40"/>
  <c r="AB142" i="40"/>
  <c r="AA160" i="40"/>
  <c r="AA161" i="40"/>
  <c r="AA162" i="40"/>
  <c r="AC44" i="40"/>
  <c r="AB124" i="40"/>
  <c r="AE72" i="40"/>
  <c r="AD194" i="40"/>
  <c r="AA130" i="40"/>
  <c r="AA131" i="40"/>
  <c r="AA132" i="40"/>
  <c r="AA170" i="40"/>
  <c r="AA171" i="40"/>
  <c r="AB225" i="40"/>
  <c r="AB226" i="40"/>
  <c r="AA145" i="40"/>
  <c r="AA146" i="40"/>
  <c r="AA147" i="40"/>
  <c r="AB115" i="40"/>
  <c r="AB116" i="40"/>
  <c r="AB117" i="40"/>
  <c r="AA200" i="40"/>
  <c r="AA201" i="40"/>
  <c r="AA202" i="40"/>
  <c r="AA142" i="40"/>
  <c r="AC56" i="40"/>
  <c r="AB154" i="40"/>
  <c r="AA190" i="40"/>
  <c r="AA191" i="40"/>
  <c r="AA237" i="40"/>
  <c r="AA135" i="40"/>
  <c r="AA136" i="40"/>
  <c r="AA137" i="40"/>
  <c r="AB239" i="40"/>
  <c r="AC58" i="40"/>
  <c r="AB159" i="40"/>
  <c r="AD66" i="40"/>
  <c r="AC179" i="40"/>
  <c r="AE64" i="40"/>
  <c r="AD174" i="40"/>
  <c r="AA210" i="40"/>
  <c r="AA211" i="40"/>
  <c r="AB205" i="40"/>
  <c r="AB206" i="40"/>
  <c r="AC46" i="40"/>
  <c r="AB129" i="40"/>
  <c r="AA220" i="40"/>
  <c r="AA221" i="40"/>
  <c r="AD84" i="40"/>
  <c r="AC224" i="40"/>
  <c r="AA150" i="40"/>
  <c r="AA151" i="40"/>
  <c r="AA152" i="40"/>
  <c r="AA182" i="40"/>
  <c r="AB235" i="40"/>
  <c r="AB236" i="40"/>
  <c r="AB237" i="40"/>
  <c r="AC86" i="40"/>
  <c r="AB229" i="40"/>
  <c r="AA120" i="40"/>
  <c r="AA121" i="40"/>
  <c r="AA122" i="40"/>
  <c r="AC185" i="40"/>
  <c r="AC186" i="40"/>
  <c r="AC187" i="40"/>
  <c r="AD50" i="40"/>
  <c r="AC139" i="40"/>
  <c r="AB215" i="40"/>
  <c r="AB216" i="40"/>
  <c r="AA125" i="40"/>
  <c r="AA126" i="40"/>
  <c r="AA127" i="40"/>
  <c r="AC195" i="40"/>
  <c r="AC196" i="40"/>
  <c r="AB165" i="40"/>
  <c r="AB166" i="40"/>
  <c r="AB167" i="40"/>
  <c r="AD76" i="40"/>
  <c r="AC204" i="40"/>
  <c r="AC62" i="40"/>
  <c r="AB169" i="40"/>
  <c r="AC54" i="40"/>
  <c r="AB149" i="40"/>
  <c r="AC52" i="40"/>
  <c r="AB144" i="40"/>
  <c r="AD88" i="40"/>
  <c r="AC234" i="40"/>
  <c r="AD40" i="40"/>
  <c r="AC114" i="40"/>
  <c r="AC42" i="40"/>
  <c r="AB119" i="40"/>
  <c r="AC74" i="40"/>
  <c r="AB199" i="40"/>
  <c r="AA155" i="40"/>
  <c r="AA156" i="40"/>
  <c r="AA157" i="40"/>
  <c r="AC70" i="40"/>
  <c r="AB189" i="40"/>
  <c r="AC48" i="40"/>
  <c r="AB134" i="40"/>
  <c r="AA240" i="40"/>
  <c r="AA241" i="40"/>
  <c r="AA242" i="40"/>
  <c r="AD80" i="40"/>
  <c r="AC214" i="40"/>
  <c r="AB180" i="40"/>
  <c r="AB181" i="40"/>
  <c r="AB182" i="40"/>
  <c r="AB187" i="40"/>
  <c r="AC175" i="40"/>
  <c r="AC176" i="40"/>
  <c r="AC78" i="40"/>
  <c r="AB209" i="40"/>
  <c r="AD60" i="40"/>
  <c r="AC164" i="40"/>
  <c r="AC82" i="40"/>
  <c r="AB219" i="40"/>
  <c r="Z157" i="40"/>
  <c r="Z162" i="40"/>
  <c r="Z222" i="40"/>
  <c r="J137" i="11"/>
  <c r="Q207" i="7"/>
  <c r="K205" i="8"/>
  <c r="K206" i="8"/>
  <c r="V189" i="22"/>
  <c r="W72" i="22"/>
  <c r="AC74" i="11"/>
  <c r="AB194" i="11"/>
  <c r="L199" i="10"/>
  <c r="M76" i="10"/>
  <c r="V78" i="9"/>
  <c r="U204" i="9"/>
  <c r="R78" i="11"/>
  <c r="Q204" i="11"/>
  <c r="J202" i="11"/>
  <c r="L138" i="6"/>
  <c r="L139" i="6"/>
  <c r="L140" i="6"/>
  <c r="L141" i="6"/>
  <c r="M46" i="6"/>
  <c r="R205" i="7"/>
  <c r="R206" i="7"/>
  <c r="AN64" i="10"/>
  <c r="AM169" i="10"/>
  <c r="AF144" i="10"/>
  <c r="AG54" i="10"/>
  <c r="T70" i="22"/>
  <c r="S184" i="22"/>
  <c r="K166" i="9"/>
  <c r="K165" i="9"/>
  <c r="AK172" i="10"/>
  <c r="AH175" i="22"/>
  <c r="AH176" i="22"/>
  <c r="BZ146" i="11"/>
  <c r="BZ145" i="11"/>
  <c r="AO58" i="10"/>
  <c r="AN154" i="10"/>
  <c r="Q46" i="11"/>
  <c r="P124" i="11"/>
  <c r="M60" i="10"/>
  <c r="L159" i="10"/>
  <c r="M78" i="8"/>
  <c r="L204" i="8"/>
  <c r="K200" i="11"/>
  <c r="K201" i="11"/>
  <c r="AL176" i="9"/>
  <c r="AL175" i="9"/>
  <c r="W165" i="10"/>
  <c r="W166" i="10"/>
  <c r="T205" i="9"/>
  <c r="T206" i="9"/>
  <c r="V176" i="10"/>
  <c r="V175" i="10"/>
  <c r="N156" i="7"/>
  <c r="N155" i="7"/>
  <c r="P161" i="7"/>
  <c r="P160" i="7"/>
  <c r="T78" i="7"/>
  <c r="S204" i="7"/>
  <c r="AL170" i="10"/>
  <c r="AL171" i="10"/>
  <c r="K185" i="8"/>
  <c r="K186" i="8"/>
  <c r="M68" i="10"/>
  <c r="L179" i="10"/>
  <c r="R185" i="22"/>
  <c r="R186" i="22"/>
  <c r="AG177" i="22"/>
  <c r="O207" i="11"/>
  <c r="M56" i="22"/>
  <c r="L149" i="22"/>
  <c r="L150" i="22"/>
  <c r="L151" i="22"/>
  <c r="L152" i="22"/>
  <c r="M62" i="9"/>
  <c r="L164" i="9"/>
  <c r="BZ80" i="8"/>
  <c r="BY209" i="8"/>
  <c r="U205" i="22"/>
  <c r="U206" i="22"/>
  <c r="BY60" i="11"/>
  <c r="BX159" i="11"/>
  <c r="AJ66" i="22"/>
  <c r="AI174" i="22"/>
  <c r="CB54" i="11"/>
  <c r="CA144" i="11"/>
  <c r="AM155" i="10"/>
  <c r="AM156" i="10"/>
  <c r="X156" i="8"/>
  <c r="X155" i="8"/>
  <c r="K161" i="10"/>
  <c r="K160" i="10"/>
  <c r="K201" i="22"/>
  <c r="K200" i="22"/>
  <c r="M76" i="11"/>
  <c r="L199" i="11"/>
  <c r="AM174" i="9"/>
  <c r="AN66" i="9"/>
  <c r="W157" i="8"/>
  <c r="Y62" i="10"/>
  <c r="X164" i="10"/>
  <c r="X66" i="10"/>
  <c r="W174" i="10"/>
  <c r="P58" i="7"/>
  <c r="O154" i="7"/>
  <c r="Q159" i="7"/>
  <c r="R60" i="7"/>
  <c r="AK211" i="10"/>
  <c r="AK210" i="10"/>
  <c r="L200" i="7"/>
  <c r="L201" i="7"/>
  <c r="L151" i="11"/>
  <c r="L150" i="11"/>
  <c r="M70" i="8"/>
  <c r="L184" i="8"/>
  <c r="K180" i="10"/>
  <c r="K181" i="10"/>
  <c r="Q166" i="8"/>
  <c r="Q165" i="8"/>
  <c r="T171" i="9"/>
  <c r="T170" i="9"/>
  <c r="BX210" i="8"/>
  <c r="BX211" i="8"/>
  <c r="V204" i="22"/>
  <c r="W78" i="22"/>
  <c r="BW160" i="11"/>
  <c r="BW161" i="11"/>
  <c r="K136" i="11"/>
  <c r="K135" i="11"/>
  <c r="S166" i="22"/>
  <c r="S165" i="22"/>
  <c r="Z58" i="8"/>
  <c r="Y154" i="8"/>
  <c r="K175" i="7"/>
  <c r="K176" i="7"/>
  <c r="Z186" i="10"/>
  <c r="Z185" i="10"/>
  <c r="M76" i="22"/>
  <c r="L199" i="22"/>
  <c r="U190" i="22"/>
  <c r="U191" i="22"/>
  <c r="BY147" i="11"/>
  <c r="AA196" i="11"/>
  <c r="AA195" i="11"/>
  <c r="K201" i="10"/>
  <c r="K200" i="10"/>
  <c r="J182" i="10"/>
  <c r="Y187" i="10"/>
  <c r="J202" i="22"/>
  <c r="T192" i="22"/>
  <c r="P205" i="11"/>
  <c r="P206" i="11"/>
  <c r="Z197" i="11"/>
  <c r="AL209" i="10"/>
  <c r="AM80" i="10"/>
  <c r="N76" i="7"/>
  <c r="M199" i="7"/>
  <c r="N56" i="11"/>
  <c r="M149" i="11"/>
  <c r="AE145" i="10"/>
  <c r="AE146" i="10"/>
  <c r="T207" i="22"/>
  <c r="S62" i="8"/>
  <c r="R164" i="8"/>
  <c r="V64" i="9"/>
  <c r="U169" i="9"/>
  <c r="AL157" i="10"/>
  <c r="AJ212" i="10"/>
  <c r="K202" i="7"/>
  <c r="AD147" i="10"/>
  <c r="Q187" i="22"/>
  <c r="P167" i="8"/>
  <c r="M50" i="11"/>
  <c r="L134" i="11"/>
  <c r="U62" i="22"/>
  <c r="T164" i="22"/>
  <c r="J167" i="9"/>
  <c r="J202" i="10"/>
  <c r="O126" i="11"/>
  <c r="O125" i="11"/>
  <c r="M66" i="7"/>
  <c r="L174" i="7"/>
  <c r="AB70" i="10"/>
  <c r="AA184" i="10"/>
  <c r="BV162" i="11"/>
  <c r="AB28" i="33"/>
  <c r="K28" i="33"/>
  <c r="L28" i="33"/>
  <c r="AA28" i="33"/>
  <c r="Y28" i="33"/>
  <c r="O40" i="11"/>
  <c r="N109" i="11"/>
  <c r="N110" i="11"/>
  <c r="N111" i="11"/>
  <c r="N112" i="11"/>
  <c r="L104" i="10"/>
  <c r="L105" i="10"/>
  <c r="L106" i="10"/>
  <c r="L107" i="10"/>
  <c r="M38" i="10"/>
  <c r="M40" i="10"/>
  <c r="L109" i="10"/>
  <c r="L110" i="10"/>
  <c r="L111" i="10"/>
  <c r="L112" i="10"/>
  <c r="M34" i="10"/>
  <c r="L94" i="10"/>
  <c r="L95" i="10"/>
  <c r="L96" i="10"/>
  <c r="L97" i="10"/>
  <c r="L124" i="10"/>
  <c r="L125" i="10"/>
  <c r="L126" i="10"/>
  <c r="L127" i="10"/>
  <c r="M46" i="10"/>
  <c r="N44" i="10"/>
  <c r="M119" i="10"/>
  <c r="M120" i="10"/>
  <c r="M121" i="10"/>
  <c r="M122" i="10"/>
  <c r="M42" i="10"/>
  <c r="L114" i="10"/>
  <c r="L115" i="10"/>
  <c r="L116" i="10"/>
  <c r="L117" i="10"/>
  <c r="M32" i="10"/>
  <c r="L89" i="10"/>
  <c r="L90" i="10"/>
  <c r="L91" i="10"/>
  <c r="L92" i="10"/>
  <c r="L84" i="10"/>
  <c r="L85" i="10"/>
  <c r="L86" i="10"/>
  <c r="L87" i="10"/>
  <c r="M30" i="10"/>
  <c r="M48" i="10"/>
  <c r="L129" i="10"/>
  <c r="L130" i="10"/>
  <c r="L131" i="10"/>
  <c r="L132" i="10"/>
  <c r="M52" i="10"/>
  <c r="L139" i="10"/>
  <c r="L140" i="10"/>
  <c r="L141" i="10"/>
  <c r="L142" i="10"/>
  <c r="M50" i="22"/>
  <c r="L134" i="22"/>
  <c r="L135" i="22"/>
  <c r="L136" i="22"/>
  <c r="L137" i="22"/>
  <c r="M139" i="22"/>
  <c r="M140" i="22"/>
  <c r="M141" i="22"/>
  <c r="M142" i="22"/>
  <c r="N52" i="22"/>
  <c r="M124" i="22"/>
  <c r="M125" i="22"/>
  <c r="M126" i="22"/>
  <c r="M127" i="22"/>
  <c r="N46" i="22"/>
  <c r="M42" i="22"/>
  <c r="L114" i="22"/>
  <c r="L115" i="22"/>
  <c r="L116" i="22"/>
  <c r="L117" i="22"/>
  <c r="L135" i="8"/>
  <c r="L136" i="8"/>
  <c r="L137" i="8"/>
  <c r="N50" i="8"/>
  <c r="M134" i="8"/>
  <c r="M46" i="8"/>
  <c r="L124" i="8"/>
  <c r="L125" i="8"/>
  <c r="L126" i="8"/>
  <c r="L127" i="8"/>
  <c r="AC177" i="11"/>
  <c r="AP192" i="10"/>
  <c r="AD162" i="22"/>
  <c r="AL182" i="7"/>
  <c r="AE182" i="22"/>
  <c r="BR182" i="11"/>
  <c r="AK212" i="9"/>
  <c r="AB182" i="8"/>
  <c r="AA192" i="11"/>
  <c r="AF197" i="10"/>
  <c r="AF197" i="8"/>
  <c r="Z162" i="8"/>
  <c r="AD212" i="11"/>
  <c r="AO142" i="11"/>
  <c r="AE187" i="7"/>
  <c r="O192" i="8"/>
  <c r="U29" i="31"/>
  <c r="W29" i="31"/>
  <c r="V29" i="31"/>
  <c r="AI74" i="8"/>
  <c r="AH194" i="8"/>
  <c r="AG182" i="9"/>
  <c r="BW171" i="11"/>
  <c r="BW170" i="11"/>
  <c r="AT87" i="22"/>
  <c r="AN48" i="11"/>
  <c r="AM129" i="11"/>
  <c r="AG60" i="22"/>
  <c r="AF159" i="22"/>
  <c r="AK149" i="10"/>
  <c r="AL56" i="10"/>
  <c r="AB202" i="8"/>
  <c r="AN80" i="9"/>
  <c r="AM209" i="9"/>
  <c r="AK132" i="11"/>
  <c r="AE211" i="11"/>
  <c r="AE210" i="11"/>
  <c r="BT65" i="8"/>
  <c r="BU232" i="8"/>
  <c r="AI152" i="10"/>
  <c r="P190" i="8"/>
  <c r="P191" i="8"/>
  <c r="AE197" i="7"/>
  <c r="BS165" i="11"/>
  <c r="BS166" i="11"/>
  <c r="AH194" i="10"/>
  <c r="AI74" i="10"/>
  <c r="AC60" i="8"/>
  <c r="AB159" i="8"/>
  <c r="AG212" i="22"/>
  <c r="AL64" i="22"/>
  <c r="AK169" i="22"/>
  <c r="AH207" i="10"/>
  <c r="AV84" i="22"/>
  <c r="AW30" i="22"/>
  <c r="AD176" i="11"/>
  <c r="AD175" i="11"/>
  <c r="L89" i="22"/>
  <c r="L90" i="22"/>
  <c r="L91" i="22"/>
  <c r="L92" i="22"/>
  <c r="M32" i="22"/>
  <c r="AE175" i="8"/>
  <c r="AE176" i="8"/>
  <c r="AE160" i="22"/>
  <c r="AE161" i="22"/>
  <c r="AG80" i="11"/>
  <c r="AF209" i="11"/>
  <c r="AW171" i="7"/>
  <c r="AW170" i="7"/>
  <c r="Q189" i="8"/>
  <c r="R72" i="8"/>
  <c r="AF181" i="22"/>
  <c r="AF180" i="22"/>
  <c r="AK184" i="9"/>
  <c r="AL70" i="9"/>
  <c r="BU62" i="11"/>
  <c r="BT164" i="11"/>
  <c r="M72" i="9"/>
  <c r="L189" i="9"/>
  <c r="AP140" i="11"/>
  <c r="AP141" i="11"/>
  <c r="A136" i="2"/>
  <c r="BW136" i="2"/>
  <c r="BW15" i="2"/>
  <c r="M22" i="41"/>
  <c r="N22" i="41"/>
  <c r="O22" i="41"/>
  <c r="P22" i="41"/>
  <c r="Q22" i="41"/>
  <c r="R22" i="41"/>
  <c r="A16" i="2"/>
  <c r="AG196" i="10"/>
  <c r="AG195" i="10"/>
  <c r="BS180" i="11"/>
  <c r="BS181" i="11"/>
  <c r="L74" i="37"/>
  <c r="M73" i="37"/>
  <c r="AF185" i="7"/>
  <c r="AF186" i="7"/>
  <c r="AF66" i="11"/>
  <c r="AE174" i="11"/>
  <c r="AC201" i="8"/>
  <c r="AC200" i="8"/>
  <c r="AK78" i="10"/>
  <c r="AJ204" i="10"/>
  <c r="AQ191" i="10"/>
  <c r="AQ190" i="10"/>
  <c r="AG66" i="8"/>
  <c r="AF174" i="8"/>
  <c r="AI211" i="7"/>
  <c r="AI210" i="7"/>
  <c r="K201" i="9"/>
  <c r="K200" i="9"/>
  <c r="AF196" i="7"/>
  <c r="AF195" i="7"/>
  <c r="BV172" i="11"/>
  <c r="AG195" i="22"/>
  <c r="AG196" i="22"/>
  <c r="AM180" i="7"/>
  <c r="AM181" i="7"/>
  <c r="AD177" i="8"/>
  <c r="AB190" i="11"/>
  <c r="AB191" i="11"/>
  <c r="AY64" i="7"/>
  <c r="AX169" i="7"/>
  <c r="AH212" i="7"/>
  <c r="J202" i="9"/>
  <c r="AG179" i="22"/>
  <c r="AH68" i="22"/>
  <c r="AH210" i="22"/>
  <c r="AH211" i="22"/>
  <c r="AJ186" i="9"/>
  <c r="AJ185" i="9"/>
  <c r="K190" i="9"/>
  <c r="K191" i="9"/>
  <c r="AR52" i="11"/>
  <c r="AQ139" i="11"/>
  <c r="BN135" i="2"/>
  <c r="BN14" i="2"/>
  <c r="J14" i="20"/>
  <c r="AD135" i="2"/>
  <c r="AD14" i="2"/>
  <c r="F14" i="20"/>
  <c r="AV135" i="2"/>
  <c r="AV14" i="2"/>
  <c r="H14" i="20"/>
  <c r="U135" i="2"/>
  <c r="U14" i="2"/>
  <c r="E14" i="20"/>
  <c r="C135" i="2"/>
  <c r="C14" i="2"/>
  <c r="E14" i="2"/>
  <c r="C13" i="20"/>
  <c r="BE135" i="2"/>
  <c r="AM135" i="2"/>
  <c r="AM14" i="2"/>
  <c r="G14" i="20"/>
  <c r="L135" i="2"/>
  <c r="L14" i="2"/>
  <c r="BU68" i="11"/>
  <c r="BT179" i="11"/>
  <c r="AI179" i="9"/>
  <c r="AJ68" i="9"/>
  <c r="AI187" i="9"/>
  <c r="AC181" i="8"/>
  <c r="AC180" i="8"/>
  <c r="AH70" i="7"/>
  <c r="AG184" i="7"/>
  <c r="N13" i="2"/>
  <c r="D13" i="20"/>
  <c r="AD199" i="8"/>
  <c r="AE76" i="8"/>
  <c r="AG195" i="8"/>
  <c r="AG196" i="8"/>
  <c r="BX169" i="11"/>
  <c r="BY64" i="11"/>
  <c r="AI205" i="10"/>
  <c r="AI206" i="10"/>
  <c r="AL130" i="11"/>
  <c r="AL131" i="11"/>
  <c r="AS72" i="10"/>
  <c r="AR189" i="10"/>
  <c r="AJ150" i="10"/>
  <c r="AJ151" i="10"/>
  <c r="AK80" i="7"/>
  <c r="AJ209" i="7"/>
  <c r="L199" i="9"/>
  <c r="M76" i="9"/>
  <c r="AL210" i="9"/>
  <c r="AL211" i="9"/>
  <c r="AH74" i="7"/>
  <c r="AG194" i="7"/>
  <c r="AH194" i="22"/>
  <c r="AI74" i="22"/>
  <c r="AO68" i="7"/>
  <c r="AN179" i="7"/>
  <c r="AD72" i="11"/>
  <c r="AC189" i="11"/>
  <c r="AJ80" i="22"/>
  <c r="AI209" i="22"/>
  <c r="AF197" i="22"/>
  <c r="AV172" i="7"/>
  <c r="AA160" i="8"/>
  <c r="AA161" i="8"/>
  <c r="AH180" i="9"/>
  <c r="AH181" i="9"/>
  <c r="AJ171" i="22"/>
  <c r="AJ170" i="22"/>
  <c r="BR167" i="11"/>
  <c r="AU85" i="22"/>
  <c r="AU86" i="22"/>
  <c r="BR73" i="7"/>
  <c r="BS236" i="7"/>
  <c r="AD179" i="8"/>
  <c r="AE68" i="8"/>
  <c r="J33" i="30"/>
  <c r="W15" i="39"/>
  <c r="H32" i="30"/>
  <c r="G36" i="30"/>
  <c r="F37" i="30"/>
  <c r="R167" i="7"/>
  <c r="L119" i="8"/>
  <c r="L120" i="8"/>
  <c r="L121" i="8"/>
  <c r="L122" i="8"/>
  <c r="M44" i="8"/>
  <c r="Q94" i="8"/>
  <c r="Q95" i="8"/>
  <c r="Q96" i="8"/>
  <c r="Q97" i="8"/>
  <c r="R34" i="8"/>
  <c r="L114" i="8"/>
  <c r="L115" i="8"/>
  <c r="L116" i="8"/>
  <c r="L117" i="8"/>
  <c r="M42" i="8"/>
  <c r="S165" i="7"/>
  <c r="S166" i="7"/>
  <c r="M32" i="11"/>
  <c r="L89" i="11"/>
  <c r="L90" i="11"/>
  <c r="L91" i="11"/>
  <c r="L92" i="11"/>
  <c r="U62" i="7"/>
  <c r="T164" i="7"/>
  <c r="M84" i="9"/>
  <c r="M85" i="9"/>
  <c r="M86" i="9"/>
  <c r="M87" i="9"/>
  <c r="N30" i="9"/>
  <c r="L139" i="9"/>
  <c r="L140" i="9"/>
  <c r="L141" i="9"/>
  <c r="L142" i="9"/>
  <c r="M52" i="9"/>
  <c r="O30" i="1"/>
  <c r="N86" i="1"/>
  <c r="N87" i="1"/>
  <c r="N88" i="1"/>
  <c r="N89" i="1"/>
  <c r="M58" i="1"/>
  <c r="L156" i="1"/>
  <c r="L157" i="1"/>
  <c r="L158" i="1"/>
  <c r="L159" i="1"/>
  <c r="M52" i="1"/>
  <c r="L141" i="1"/>
  <c r="L142" i="1"/>
  <c r="L143" i="1"/>
  <c r="L144" i="1"/>
  <c r="L131" i="1"/>
  <c r="L132" i="1"/>
  <c r="L133" i="1"/>
  <c r="L134" i="1"/>
  <c r="M48" i="1"/>
  <c r="M68" i="1"/>
  <c r="L181" i="1"/>
  <c r="L182" i="1"/>
  <c r="L183" i="1"/>
  <c r="L184" i="1"/>
  <c r="L96" i="1"/>
  <c r="L97" i="1"/>
  <c r="L98" i="1"/>
  <c r="L99" i="1"/>
  <c r="M34" i="1"/>
  <c r="L171" i="1"/>
  <c r="L172" i="1"/>
  <c r="L173" i="1"/>
  <c r="L174" i="1"/>
  <c r="M64" i="1"/>
  <c r="N91" i="1"/>
  <c r="N92" i="1"/>
  <c r="N93" i="1"/>
  <c r="N94" i="1"/>
  <c r="O32" i="1"/>
  <c r="L136" i="1"/>
  <c r="L137" i="1"/>
  <c r="L138" i="1"/>
  <c r="L139" i="1"/>
  <c r="M50" i="1"/>
  <c r="I37" i="30"/>
  <c r="A18" i="26"/>
  <c r="AO18" i="26"/>
  <c r="U17" i="26"/>
  <c r="AE17" i="26"/>
  <c r="P17" i="26"/>
  <c r="AJ17" i="26"/>
  <c r="K17" i="26"/>
  <c r="Z17" i="26"/>
  <c r="F17" i="26"/>
  <c r="U28" i="35"/>
  <c r="W28" i="35"/>
  <c r="V28" i="35"/>
  <c r="AA28" i="35"/>
  <c r="H49" i="35"/>
  <c r="J49" i="35"/>
  <c r="AB32" i="39"/>
  <c r="N87" i="11"/>
  <c r="L120" i="22"/>
  <c r="L121" i="22"/>
  <c r="N44" i="22"/>
  <c r="M119" i="22"/>
  <c r="J166" i="6"/>
  <c r="M22" i="6"/>
  <c r="L78" i="6"/>
  <c r="L79" i="6"/>
  <c r="L80" i="6"/>
  <c r="L81" i="6"/>
  <c r="L123" i="6"/>
  <c r="L124" i="6"/>
  <c r="L125" i="6"/>
  <c r="L126" i="6"/>
  <c r="M40" i="6"/>
  <c r="L103" i="6"/>
  <c r="L104" i="6"/>
  <c r="L105" i="6"/>
  <c r="L106" i="6"/>
  <c r="M32" i="6"/>
  <c r="L93" i="6"/>
  <c r="L94" i="6"/>
  <c r="L95" i="6"/>
  <c r="L96" i="6"/>
  <c r="M28" i="6"/>
  <c r="L133" i="6"/>
  <c r="L134" i="6"/>
  <c r="L135" i="6"/>
  <c r="L136" i="6"/>
  <c r="M44" i="6"/>
  <c r="M36" i="6"/>
  <c r="L113" i="6"/>
  <c r="L114" i="6"/>
  <c r="L115" i="6"/>
  <c r="L116" i="6"/>
  <c r="M128" i="6"/>
  <c r="M129" i="6"/>
  <c r="M130" i="6"/>
  <c r="M131" i="6"/>
  <c r="N42" i="6"/>
  <c r="L88" i="6"/>
  <c r="L89" i="6"/>
  <c r="L90" i="6"/>
  <c r="L91" i="6"/>
  <c r="M26" i="6"/>
  <c r="L108" i="6"/>
  <c r="L109" i="6"/>
  <c r="L110" i="6"/>
  <c r="L111" i="6"/>
  <c r="M34" i="6"/>
  <c r="L83" i="6"/>
  <c r="L84" i="6"/>
  <c r="L85" i="6"/>
  <c r="L86" i="6"/>
  <c r="M24" i="6"/>
  <c r="N30" i="6"/>
  <c r="M98" i="6"/>
  <c r="M99" i="6"/>
  <c r="M100" i="6"/>
  <c r="M101" i="6"/>
  <c r="O82" i="1"/>
  <c r="N216" i="1"/>
  <c r="P80" i="1"/>
  <c r="O211" i="1"/>
  <c r="O212" i="1"/>
  <c r="O213" i="1"/>
  <c r="O214" i="1"/>
  <c r="M218" i="1"/>
  <c r="M217" i="1"/>
  <c r="L219" i="1"/>
  <c r="M42" i="1"/>
  <c r="L116" i="1"/>
  <c r="L127" i="7"/>
  <c r="K112" i="22"/>
  <c r="N36" i="8"/>
  <c r="M99" i="8"/>
  <c r="M100" i="8"/>
  <c r="M101" i="8"/>
  <c r="M102" i="8"/>
  <c r="Q38" i="8"/>
  <c r="P104" i="8"/>
  <c r="P105" i="8"/>
  <c r="P106" i="8"/>
  <c r="P107" i="8"/>
  <c r="L120" i="11"/>
  <c r="L121" i="11"/>
  <c r="L122" i="11"/>
  <c r="M119" i="11"/>
  <c r="N44" i="11"/>
  <c r="L94" i="22"/>
  <c r="M34" i="22"/>
  <c r="M104" i="22"/>
  <c r="N38" i="22"/>
  <c r="K130" i="22"/>
  <c r="K131" i="22"/>
  <c r="K132" i="22"/>
  <c r="L105" i="22"/>
  <c r="L106" i="22"/>
  <c r="L107" i="22"/>
  <c r="L129" i="22"/>
  <c r="M48" i="22"/>
  <c r="L105" i="7"/>
  <c r="L106" i="7"/>
  <c r="L107" i="7"/>
  <c r="N38" i="7"/>
  <c r="M104" i="7"/>
  <c r="M34" i="7"/>
  <c r="L94" i="7"/>
  <c r="L95" i="7"/>
  <c r="L96" i="7"/>
  <c r="L97" i="7"/>
  <c r="N30" i="7"/>
  <c r="M84" i="7"/>
  <c r="M85" i="7"/>
  <c r="M86" i="7"/>
  <c r="M87" i="7"/>
  <c r="N36" i="7"/>
  <c r="M99" i="7"/>
  <c r="M100" i="7"/>
  <c r="M101" i="7"/>
  <c r="M102" i="7"/>
  <c r="P40" i="7"/>
  <c r="O109" i="7"/>
  <c r="O110" i="7"/>
  <c r="O111" i="7"/>
  <c r="O112" i="7"/>
  <c r="L114" i="7"/>
  <c r="L115" i="7"/>
  <c r="L116" i="7"/>
  <c r="L117" i="7"/>
  <c r="M42" i="7"/>
  <c r="P38" i="6"/>
  <c r="O118" i="6"/>
  <c r="O119" i="6"/>
  <c r="O120" i="6"/>
  <c r="O121" i="6"/>
  <c r="L94" i="9"/>
  <c r="L95" i="9"/>
  <c r="L96" i="9"/>
  <c r="L97" i="9"/>
  <c r="M34" i="9"/>
  <c r="O104" i="9"/>
  <c r="O105" i="9"/>
  <c r="O106" i="9"/>
  <c r="O107" i="9"/>
  <c r="P38" i="9"/>
  <c r="M46" i="9"/>
  <c r="L124" i="9"/>
  <c r="L125" i="9"/>
  <c r="L126" i="9"/>
  <c r="L127" i="9"/>
  <c r="P144" i="9"/>
  <c r="P145" i="9"/>
  <c r="P146" i="9"/>
  <c r="P147" i="9"/>
  <c r="Q54" i="9"/>
  <c r="L42" i="9"/>
  <c r="K114" i="9"/>
  <c r="K115" i="9"/>
  <c r="K116" i="9"/>
  <c r="K117" i="9"/>
  <c r="N50" i="9"/>
  <c r="M134" i="9"/>
  <c r="M135" i="9"/>
  <c r="M136" i="9"/>
  <c r="M137" i="9"/>
  <c r="O32" i="9"/>
  <c r="N89" i="9"/>
  <c r="N90" i="9"/>
  <c r="N91" i="9"/>
  <c r="N92" i="9"/>
  <c r="M48" i="9"/>
  <c r="L129" i="9"/>
  <c r="L130" i="9"/>
  <c r="L131" i="9"/>
  <c r="L132" i="9"/>
  <c r="M56" i="9"/>
  <c r="L149" i="9"/>
  <c r="L150" i="9"/>
  <c r="L151" i="9"/>
  <c r="L152" i="9"/>
  <c r="L119" i="9"/>
  <c r="L120" i="9"/>
  <c r="L121" i="9"/>
  <c r="L122" i="9"/>
  <c r="M44" i="9"/>
  <c r="L192" i="1"/>
  <c r="L193" i="1"/>
  <c r="L194" i="1"/>
  <c r="K187" i="1"/>
  <c r="K188" i="1"/>
  <c r="K189" i="1"/>
  <c r="M78" i="1"/>
  <c r="L206" i="1"/>
  <c r="O76" i="1"/>
  <c r="N201" i="1"/>
  <c r="N202" i="1"/>
  <c r="N203" i="1"/>
  <c r="N204" i="1"/>
  <c r="N72" i="1"/>
  <c r="M191" i="1"/>
  <c r="M192" i="1"/>
  <c r="M193" i="1"/>
  <c r="M194" i="1"/>
  <c r="M70" i="1"/>
  <c r="L186" i="1"/>
  <c r="M177" i="1"/>
  <c r="M178" i="1"/>
  <c r="K197" i="1"/>
  <c r="K198" i="1"/>
  <c r="K199" i="1"/>
  <c r="R151" i="1"/>
  <c r="R152" i="1"/>
  <c r="R153" i="1"/>
  <c r="R154" i="1"/>
  <c r="S56" i="1"/>
  <c r="N60" i="1"/>
  <c r="M161" i="1"/>
  <c r="O66" i="1"/>
  <c r="N176" i="1"/>
  <c r="N177" i="1"/>
  <c r="N178" i="1"/>
  <c r="N179" i="1"/>
  <c r="M74" i="1"/>
  <c r="L196" i="1"/>
  <c r="G50" i="37"/>
  <c r="G51" i="37"/>
  <c r="H51" i="37"/>
  <c r="J51" i="37"/>
  <c r="AD34" i="39"/>
  <c r="Q115" i="11"/>
  <c r="Q116" i="11"/>
  <c r="Q117" i="11"/>
  <c r="S42" i="11"/>
  <c r="R114" i="11"/>
  <c r="K29" i="37"/>
  <c r="L29" i="37"/>
  <c r="O85" i="11"/>
  <c r="O86" i="11"/>
  <c r="O87" i="11"/>
  <c r="M104" i="11"/>
  <c r="N38" i="11"/>
  <c r="K107" i="11"/>
  <c r="M100" i="11"/>
  <c r="M101" i="11"/>
  <c r="M102" i="11"/>
  <c r="Q30" i="11"/>
  <c r="P84" i="11"/>
  <c r="L105" i="11"/>
  <c r="L106" i="11"/>
  <c r="L107" i="11"/>
  <c r="N99" i="11"/>
  <c r="O36" i="11"/>
  <c r="M134" i="10"/>
  <c r="N50" i="10"/>
  <c r="L135" i="10"/>
  <c r="L136" i="10"/>
  <c r="L137" i="10"/>
  <c r="M99" i="10"/>
  <c r="N36" i="10"/>
  <c r="L100" i="10"/>
  <c r="L101" i="10"/>
  <c r="L102" i="10"/>
  <c r="K155" i="22"/>
  <c r="K156" i="22"/>
  <c r="M58" i="22"/>
  <c r="L154" i="22"/>
  <c r="L100" i="22"/>
  <c r="L101" i="22"/>
  <c r="L102" i="22"/>
  <c r="L110" i="22"/>
  <c r="L111" i="22"/>
  <c r="L112" i="22"/>
  <c r="N36" i="22"/>
  <c r="M99" i="22"/>
  <c r="L145" i="22"/>
  <c r="L146" i="22"/>
  <c r="N54" i="22"/>
  <c r="M144" i="22"/>
  <c r="N40" i="22"/>
  <c r="M109" i="22"/>
  <c r="P56" i="8"/>
  <c r="O149" i="8"/>
  <c r="N150" i="8"/>
  <c r="N151" i="8"/>
  <c r="N152" i="8"/>
  <c r="L145" i="8"/>
  <c r="L146" i="8"/>
  <c r="L147" i="8"/>
  <c r="N54" i="8"/>
  <c r="M144" i="8"/>
  <c r="J85" i="8"/>
  <c r="J86" i="8"/>
  <c r="J87" i="8"/>
  <c r="K130" i="8"/>
  <c r="K131" i="8"/>
  <c r="K132" i="8"/>
  <c r="M52" i="8"/>
  <c r="L139" i="8"/>
  <c r="K90" i="8"/>
  <c r="K91" i="8"/>
  <c r="K92" i="8"/>
  <c r="L30" i="8"/>
  <c r="K84" i="8"/>
  <c r="K110" i="8"/>
  <c r="K111" i="8"/>
  <c r="K112" i="8"/>
  <c r="M48" i="8"/>
  <c r="L129" i="8"/>
  <c r="L89" i="8"/>
  <c r="M32" i="8"/>
  <c r="M40" i="8"/>
  <c r="L109" i="8"/>
  <c r="K140" i="8"/>
  <c r="K141" i="8"/>
  <c r="K142" i="8"/>
  <c r="L144" i="7"/>
  <c r="M54" i="7"/>
  <c r="K145" i="7"/>
  <c r="K146" i="7"/>
  <c r="K147" i="7"/>
  <c r="K140" i="7"/>
  <c r="K141" i="7"/>
  <c r="K142" i="7"/>
  <c r="M52" i="7"/>
  <c r="L139" i="7"/>
  <c r="K135" i="7"/>
  <c r="K136" i="7"/>
  <c r="K137" i="7"/>
  <c r="M50" i="7"/>
  <c r="L134" i="7"/>
  <c r="O46" i="7"/>
  <c r="N124" i="7"/>
  <c r="N120" i="7"/>
  <c r="N121" i="7"/>
  <c r="N122" i="7"/>
  <c r="T32" i="7"/>
  <c r="S89" i="7"/>
  <c r="R90" i="7"/>
  <c r="R91" i="7"/>
  <c r="R92" i="7"/>
  <c r="P44" i="7"/>
  <c r="O119" i="7"/>
  <c r="M125" i="7"/>
  <c r="M126" i="7"/>
  <c r="M127" i="7"/>
  <c r="K164" i="6"/>
  <c r="K165" i="6"/>
  <c r="K166" i="6"/>
  <c r="M56" i="6"/>
  <c r="L163" i="6"/>
  <c r="K159" i="6"/>
  <c r="K160" i="6"/>
  <c r="K161" i="6"/>
  <c r="M54" i="6"/>
  <c r="L158" i="6"/>
  <c r="L153" i="6"/>
  <c r="M52" i="6"/>
  <c r="K154" i="6"/>
  <c r="K155" i="6"/>
  <c r="K156" i="6"/>
  <c r="L148" i="6"/>
  <c r="M50" i="6"/>
  <c r="K149" i="6"/>
  <c r="K150" i="6"/>
  <c r="K151" i="6"/>
  <c r="K144" i="6"/>
  <c r="K145" i="6"/>
  <c r="K146" i="6"/>
  <c r="L143" i="6"/>
  <c r="M48" i="6"/>
  <c r="M159" i="9"/>
  <c r="N60" i="9"/>
  <c r="L160" i="9"/>
  <c r="L161" i="9"/>
  <c r="L162" i="9"/>
  <c r="K155" i="9"/>
  <c r="K156" i="9"/>
  <c r="K157" i="9"/>
  <c r="M58" i="9"/>
  <c r="L154" i="9"/>
  <c r="N36" i="9"/>
  <c r="M99" i="9"/>
  <c r="L110" i="9"/>
  <c r="L111" i="9"/>
  <c r="L112" i="9"/>
  <c r="L100" i="9"/>
  <c r="L101" i="9"/>
  <c r="L102" i="9"/>
  <c r="M109" i="9"/>
  <c r="N40" i="9"/>
  <c r="L166" i="1"/>
  <c r="M62" i="1"/>
  <c r="K167" i="1"/>
  <c r="K168" i="1"/>
  <c r="K169" i="1"/>
  <c r="K147" i="1"/>
  <c r="K148" i="1"/>
  <c r="K149" i="1"/>
  <c r="K127" i="1"/>
  <c r="K128" i="1"/>
  <c r="K129" i="1"/>
  <c r="M46" i="1"/>
  <c r="L126" i="1"/>
  <c r="M54" i="1"/>
  <c r="L146" i="1"/>
  <c r="O44" i="1"/>
  <c r="N121" i="1"/>
  <c r="M122" i="1"/>
  <c r="M123" i="1"/>
  <c r="M124" i="1"/>
  <c r="L106" i="1"/>
  <c r="M38" i="1"/>
  <c r="N111" i="1"/>
  <c r="O40" i="1"/>
  <c r="M102" i="1"/>
  <c r="M103" i="1"/>
  <c r="M104" i="1"/>
  <c r="K107" i="1"/>
  <c r="K108" i="1"/>
  <c r="K109" i="1"/>
  <c r="M112" i="1"/>
  <c r="M113" i="1"/>
  <c r="M114" i="1"/>
  <c r="O36" i="1"/>
  <c r="N101" i="1"/>
  <c r="AC29" i="37"/>
  <c r="Y29" i="37"/>
  <c r="AA29" i="37"/>
  <c r="Z29" i="37"/>
  <c r="X29" i="37"/>
  <c r="AB29" i="37"/>
  <c r="K28" i="34"/>
  <c r="L28" i="34"/>
  <c r="M129" i="7"/>
  <c r="M130" i="7"/>
  <c r="M131" i="7"/>
  <c r="M132" i="7"/>
  <c r="N48" i="7"/>
  <c r="K28" i="35"/>
  <c r="T28" i="35"/>
  <c r="Y28" i="34"/>
  <c r="AB28" i="34"/>
  <c r="X28" i="34"/>
  <c r="Z28" i="34"/>
  <c r="U29" i="33"/>
  <c r="K29" i="33"/>
  <c r="T29" i="33"/>
  <c r="AB28" i="36"/>
  <c r="AA28" i="36"/>
  <c r="X28" i="36"/>
  <c r="AB28" i="35"/>
  <c r="T28" i="32"/>
  <c r="AR197" i="9"/>
  <c r="S22" i="41"/>
  <c r="AP5" i="26"/>
  <c r="BR59" i="11"/>
  <c r="BS229" i="11"/>
  <c r="AU74" i="9"/>
  <c r="AT194" i="9"/>
  <c r="AS195" i="9"/>
  <c r="AS196" i="9"/>
  <c r="U29" i="32"/>
  <c r="W29" i="32"/>
  <c r="V29" i="32"/>
  <c r="AB29" i="32"/>
  <c r="Y28" i="36"/>
  <c r="K28" i="36"/>
  <c r="BE14" i="2"/>
  <c r="I13" i="20"/>
  <c r="CF13" i="2"/>
  <c r="K29" i="31"/>
  <c r="L29" i="31"/>
  <c r="X25" i="41"/>
  <c r="Y25" i="41"/>
  <c r="K25" i="41"/>
  <c r="L25" i="41"/>
  <c r="T24" i="41"/>
  <c r="F50" i="41"/>
  <c r="G49" i="41"/>
  <c r="M85" i="41"/>
  <c r="L86" i="41"/>
  <c r="K207" i="8"/>
  <c r="AH182" i="9"/>
  <c r="AM182" i="7"/>
  <c r="AM157" i="10"/>
  <c r="AJ187" i="9"/>
  <c r="Z187" i="10"/>
  <c r="T172" i="9"/>
  <c r="L152" i="11"/>
  <c r="AK212" i="10"/>
  <c r="BW172" i="11"/>
  <c r="K177" i="7"/>
  <c r="BW162" i="11"/>
  <c r="BX212" i="8"/>
  <c r="L202" i="7"/>
  <c r="AL177" i="9"/>
  <c r="BZ147" i="11"/>
  <c r="O127" i="11"/>
  <c r="AA197" i="11"/>
  <c r="N157" i="7"/>
  <c r="AQ192" i="10"/>
  <c r="K167" i="9"/>
  <c r="AE162" i="22"/>
  <c r="K202" i="22"/>
  <c r="X157" i="8"/>
  <c r="P162" i="7"/>
  <c r="AH280" i="40"/>
  <c r="AH281" i="40"/>
  <c r="AH282" i="40"/>
  <c r="AC249" i="40"/>
  <c r="AC250" i="40"/>
  <c r="AC251" i="40"/>
  <c r="AC252" i="40"/>
  <c r="AD94" i="40"/>
  <c r="AC289" i="40"/>
  <c r="AD110" i="40"/>
  <c r="AC269" i="40"/>
  <c r="AC270" i="40"/>
  <c r="AC271" i="40"/>
  <c r="AC272" i="40"/>
  <c r="AD102" i="40"/>
  <c r="AB290" i="40"/>
  <c r="AB291" i="40"/>
  <c r="AB292" i="40"/>
  <c r="AI255" i="40"/>
  <c r="AI256" i="40"/>
  <c r="AI257" i="40"/>
  <c r="AC284" i="40"/>
  <c r="AC285" i="40"/>
  <c r="AC286" i="40"/>
  <c r="AC287" i="40"/>
  <c r="AD108" i="40"/>
  <c r="AC244" i="40"/>
  <c r="AC245" i="40"/>
  <c r="AC246" i="40"/>
  <c r="AC247" i="40"/>
  <c r="AD92" i="40"/>
  <c r="AC264" i="40"/>
  <c r="AC265" i="40"/>
  <c r="AC266" i="40"/>
  <c r="AC267" i="40"/>
  <c r="AD100" i="40"/>
  <c r="AJ260" i="40"/>
  <c r="AJ261" i="40"/>
  <c r="AJ262" i="40"/>
  <c r="AB285" i="40"/>
  <c r="AB286" i="40"/>
  <c r="AB287" i="40"/>
  <c r="AB245" i="40"/>
  <c r="AB246" i="40"/>
  <c r="AB247" i="40"/>
  <c r="AJ104" i="40"/>
  <c r="AJ274" i="40"/>
  <c r="AJ275" i="40"/>
  <c r="AJ276" i="40"/>
  <c r="AJ277" i="40"/>
  <c r="AJ96" i="40"/>
  <c r="AJ254" i="40"/>
  <c r="AK98" i="40"/>
  <c r="AK259" i="40"/>
  <c r="AK260" i="40"/>
  <c r="AK261" i="40"/>
  <c r="AK262" i="40"/>
  <c r="AI106" i="40"/>
  <c r="AI279" i="40"/>
  <c r="AF90" i="40"/>
  <c r="AD82" i="40"/>
  <c r="AC219" i="40"/>
  <c r="AB210" i="40"/>
  <c r="AB211" i="40"/>
  <c r="AB212" i="40"/>
  <c r="AC215" i="40"/>
  <c r="AC216" i="40"/>
  <c r="AC217" i="40"/>
  <c r="AB190" i="40"/>
  <c r="AB191" i="40"/>
  <c r="AB120" i="40"/>
  <c r="AB121" i="40"/>
  <c r="AB122" i="40"/>
  <c r="AE40" i="40"/>
  <c r="AD114" i="40"/>
  <c r="AE88" i="40"/>
  <c r="AD234" i="40"/>
  <c r="AB150" i="40"/>
  <c r="AB151" i="40"/>
  <c r="AB152" i="40"/>
  <c r="AE76" i="40"/>
  <c r="AD204" i="40"/>
  <c r="AB230" i="40"/>
  <c r="AB231" i="40"/>
  <c r="AB232" i="40"/>
  <c r="AC225" i="40"/>
  <c r="AC226" i="40"/>
  <c r="AC227" i="40"/>
  <c r="AD175" i="40"/>
  <c r="AD176" i="40"/>
  <c r="AE66" i="40"/>
  <c r="AD179" i="40"/>
  <c r="AD58" i="40"/>
  <c r="AC159" i="40"/>
  <c r="AB125" i="40"/>
  <c r="AB126" i="40"/>
  <c r="AB127" i="40"/>
  <c r="AC165" i="40"/>
  <c r="AC166" i="40"/>
  <c r="AC167" i="40"/>
  <c r="AB135" i="40"/>
  <c r="AB136" i="40"/>
  <c r="AB137" i="40"/>
  <c r="AB200" i="40"/>
  <c r="AB201" i="40"/>
  <c r="AB202" i="40"/>
  <c r="AB145" i="40"/>
  <c r="AB146" i="40"/>
  <c r="AB147" i="40"/>
  <c r="AD54" i="40"/>
  <c r="AC149" i="40"/>
  <c r="AD62" i="40"/>
  <c r="AC169" i="40"/>
  <c r="AC140" i="40"/>
  <c r="AC141" i="40"/>
  <c r="AC142" i="40"/>
  <c r="AB130" i="40"/>
  <c r="AB131" i="40"/>
  <c r="AB132" i="40"/>
  <c r="AB207" i="40"/>
  <c r="AB240" i="40"/>
  <c r="AB241" i="40"/>
  <c r="AB155" i="40"/>
  <c r="AB156" i="40"/>
  <c r="AD195" i="40"/>
  <c r="AD196" i="40"/>
  <c r="AD197" i="40"/>
  <c r="AD44" i="40"/>
  <c r="AC124" i="40"/>
  <c r="AF68" i="40"/>
  <c r="AE184" i="40"/>
  <c r="AB220" i="40"/>
  <c r="AB221" i="40"/>
  <c r="AE60" i="40"/>
  <c r="AD164" i="40"/>
  <c r="AD78" i="40"/>
  <c r="AC209" i="40"/>
  <c r="AE80" i="40"/>
  <c r="AD214" i="40"/>
  <c r="AD70" i="40"/>
  <c r="AC189" i="40"/>
  <c r="AD42" i="40"/>
  <c r="AC119" i="40"/>
  <c r="AC235" i="40"/>
  <c r="AC236" i="40"/>
  <c r="AC237" i="40"/>
  <c r="AC205" i="40"/>
  <c r="AC206" i="40"/>
  <c r="AC207" i="40"/>
  <c r="AD86" i="40"/>
  <c r="AC229" i="40"/>
  <c r="AE84" i="40"/>
  <c r="AD224" i="40"/>
  <c r="AF64" i="40"/>
  <c r="AE174" i="40"/>
  <c r="AB160" i="40"/>
  <c r="AB161" i="40"/>
  <c r="AB162" i="40"/>
  <c r="AD56" i="40"/>
  <c r="AC154" i="40"/>
  <c r="AA172" i="40"/>
  <c r="AC177" i="40"/>
  <c r="AD48" i="40"/>
  <c r="AC134" i="40"/>
  <c r="AD74" i="40"/>
  <c r="AC199" i="40"/>
  <c r="AC115" i="40"/>
  <c r="AC116" i="40"/>
  <c r="AC117" i="40"/>
  <c r="AD52" i="40"/>
  <c r="AC144" i="40"/>
  <c r="AB170" i="40"/>
  <c r="AB171" i="40"/>
  <c r="AC197" i="40"/>
  <c r="AB217" i="40"/>
  <c r="AE50" i="40"/>
  <c r="AD139" i="40"/>
  <c r="AA222" i="40"/>
  <c r="AD46" i="40"/>
  <c r="AC129" i="40"/>
  <c r="AA212" i="40"/>
  <c r="AC180" i="40"/>
  <c r="AC181" i="40"/>
  <c r="AC239" i="40"/>
  <c r="AA192" i="40"/>
  <c r="AB227" i="40"/>
  <c r="AF72" i="40"/>
  <c r="AE194" i="40"/>
  <c r="AD185" i="40"/>
  <c r="AD186" i="40"/>
  <c r="K202" i="11"/>
  <c r="AC70" i="10"/>
  <c r="AB184" i="10"/>
  <c r="U164" i="22"/>
  <c r="V62" i="22"/>
  <c r="R165" i="8"/>
  <c r="R166" i="8"/>
  <c r="O76" i="7"/>
  <c r="N199" i="7"/>
  <c r="P207" i="11"/>
  <c r="AA58" i="8"/>
  <c r="Z154" i="8"/>
  <c r="V205" i="22"/>
  <c r="V206" i="22"/>
  <c r="K182" i="10"/>
  <c r="O155" i="7"/>
  <c r="O156" i="7"/>
  <c r="X166" i="10"/>
  <c r="X165" i="10"/>
  <c r="AM176" i="9"/>
  <c r="AM175" i="9"/>
  <c r="CA146" i="11"/>
  <c r="CA145" i="11"/>
  <c r="M164" i="9"/>
  <c r="N62" i="9"/>
  <c r="U78" i="7"/>
  <c r="T204" i="7"/>
  <c r="N78" i="8"/>
  <c r="M204" i="8"/>
  <c r="R46" i="11"/>
  <c r="Q124" i="11"/>
  <c r="AF145" i="10"/>
  <c r="AF146" i="10"/>
  <c r="Q206" i="11"/>
  <c r="Q205" i="11"/>
  <c r="M199" i="10"/>
  <c r="N76" i="10"/>
  <c r="X72" i="22"/>
  <c r="W189" i="22"/>
  <c r="L175" i="7"/>
  <c r="L176" i="7"/>
  <c r="L136" i="11"/>
  <c r="L135" i="11"/>
  <c r="U170" i="9"/>
  <c r="U171" i="9"/>
  <c r="T62" i="8"/>
  <c r="S164" i="8"/>
  <c r="M150" i="11"/>
  <c r="M151" i="11"/>
  <c r="AN80" i="10"/>
  <c r="AM209" i="10"/>
  <c r="L200" i="22"/>
  <c r="L201" i="22"/>
  <c r="P154" i="7"/>
  <c r="Q58" i="7"/>
  <c r="Z62" i="10"/>
  <c r="Y164" i="10"/>
  <c r="L201" i="11"/>
  <c r="L200" i="11"/>
  <c r="CB55" i="11"/>
  <c r="CA55" i="11"/>
  <c r="BZ55" i="11"/>
  <c r="BY55" i="11"/>
  <c r="BX55" i="11"/>
  <c r="CB144" i="11"/>
  <c r="BX161" i="11"/>
  <c r="BX160" i="11"/>
  <c r="BY210" i="8"/>
  <c r="BY211" i="8"/>
  <c r="L180" i="10"/>
  <c r="L181" i="10"/>
  <c r="AL172" i="10"/>
  <c r="V177" i="10"/>
  <c r="W167" i="10"/>
  <c r="L160" i="10"/>
  <c r="L161" i="10"/>
  <c r="AN156" i="10"/>
  <c r="AN155" i="10"/>
  <c r="AH177" i="22"/>
  <c r="S186" i="22"/>
  <c r="S185" i="22"/>
  <c r="AM170" i="10"/>
  <c r="AM171" i="10"/>
  <c r="M138" i="6"/>
  <c r="M139" i="6"/>
  <c r="M140" i="6"/>
  <c r="M141" i="6"/>
  <c r="N46" i="6"/>
  <c r="S78" i="11"/>
  <c r="R204" i="11"/>
  <c r="L200" i="10"/>
  <c r="L201" i="10"/>
  <c r="V190" i="22"/>
  <c r="V191" i="22"/>
  <c r="N66" i="7"/>
  <c r="M174" i="7"/>
  <c r="N50" i="11"/>
  <c r="M134" i="11"/>
  <c r="V169" i="9"/>
  <c r="W64" i="9"/>
  <c r="O56" i="11"/>
  <c r="N149" i="11"/>
  <c r="AL210" i="10"/>
  <c r="AL211" i="10"/>
  <c r="N76" i="22"/>
  <c r="M199" i="22"/>
  <c r="S167" i="22"/>
  <c r="L185" i="8"/>
  <c r="L186" i="8"/>
  <c r="S60" i="7"/>
  <c r="R159" i="7"/>
  <c r="W175" i="10"/>
  <c r="W176" i="10"/>
  <c r="N76" i="11"/>
  <c r="M199" i="11"/>
  <c r="AI176" i="22"/>
  <c r="AI175" i="22"/>
  <c r="BY159" i="11"/>
  <c r="BZ60" i="11"/>
  <c r="CA80" i="8"/>
  <c r="BZ209" i="8"/>
  <c r="M149" i="22"/>
  <c r="N56" i="22"/>
  <c r="M179" i="10"/>
  <c r="N68" i="10"/>
  <c r="N60" i="10"/>
  <c r="M159" i="10"/>
  <c r="AO154" i="10"/>
  <c r="AP58" i="10"/>
  <c r="U70" i="22"/>
  <c r="T184" i="22"/>
  <c r="AO64" i="10"/>
  <c r="AN169" i="10"/>
  <c r="U206" i="9"/>
  <c r="U205" i="9"/>
  <c r="AB195" i="11"/>
  <c r="AB196" i="11"/>
  <c r="AA186" i="10"/>
  <c r="AA185" i="10"/>
  <c r="T165" i="22"/>
  <c r="T166" i="22"/>
  <c r="AE147" i="10"/>
  <c r="M201" i="7"/>
  <c r="M200" i="7"/>
  <c r="K202" i="10"/>
  <c r="U192" i="22"/>
  <c r="Y155" i="8"/>
  <c r="Y156" i="8"/>
  <c r="K137" i="11"/>
  <c r="X78" i="22"/>
  <c r="W204" i="22"/>
  <c r="Q167" i="8"/>
  <c r="N70" i="8"/>
  <c r="M184" i="8"/>
  <c r="Q161" i="7"/>
  <c r="Q160" i="7"/>
  <c r="Y66" i="10"/>
  <c r="X174" i="10"/>
  <c r="AO66" i="9"/>
  <c r="AN174" i="9"/>
  <c r="K162" i="10"/>
  <c r="AK66" i="22"/>
  <c r="AJ174" i="22"/>
  <c r="U207" i="22"/>
  <c r="L165" i="9"/>
  <c r="L166" i="9"/>
  <c r="R187" i="22"/>
  <c r="K187" i="8"/>
  <c r="S206" i="7"/>
  <c r="S205" i="7"/>
  <c r="T207" i="9"/>
  <c r="L205" i="8"/>
  <c r="L206" i="8"/>
  <c r="P125" i="11"/>
  <c r="P126" i="11"/>
  <c r="AH54" i="10"/>
  <c r="AG144" i="10"/>
  <c r="R207" i="7"/>
  <c r="W78" i="9"/>
  <c r="V204" i="9"/>
  <c r="AD74" i="11"/>
  <c r="AC194" i="11"/>
  <c r="T28" i="34"/>
  <c r="W29" i="33"/>
  <c r="V29" i="33"/>
  <c r="X29" i="33"/>
  <c r="T28" i="33"/>
  <c r="AC29" i="31"/>
  <c r="Y29" i="31"/>
  <c r="O109" i="11"/>
  <c r="O110" i="11"/>
  <c r="O111" i="11"/>
  <c r="O112" i="11"/>
  <c r="P40" i="11"/>
  <c r="N30" i="10"/>
  <c r="M84" i="10"/>
  <c r="M85" i="10"/>
  <c r="M86" i="10"/>
  <c r="M87" i="10"/>
  <c r="N46" i="10"/>
  <c r="M124" i="10"/>
  <c r="M125" i="10"/>
  <c r="M126" i="10"/>
  <c r="M127" i="10"/>
  <c r="N52" i="10"/>
  <c r="M139" i="10"/>
  <c r="M140" i="10"/>
  <c r="M141" i="10"/>
  <c r="M142" i="10"/>
  <c r="N42" i="10"/>
  <c r="M114" i="10"/>
  <c r="M115" i="10"/>
  <c r="M116" i="10"/>
  <c r="M117" i="10"/>
  <c r="N40" i="10"/>
  <c r="M109" i="10"/>
  <c r="M110" i="10"/>
  <c r="M111" i="10"/>
  <c r="M112" i="10"/>
  <c r="N38" i="10"/>
  <c r="M104" i="10"/>
  <c r="M105" i="10"/>
  <c r="M106" i="10"/>
  <c r="M107" i="10"/>
  <c r="M129" i="10"/>
  <c r="M130" i="10"/>
  <c r="M131" i="10"/>
  <c r="M132" i="10"/>
  <c r="N48" i="10"/>
  <c r="N32" i="10"/>
  <c r="M89" i="10"/>
  <c r="M90" i="10"/>
  <c r="M91" i="10"/>
  <c r="M92" i="10"/>
  <c r="N119" i="10"/>
  <c r="N120" i="10"/>
  <c r="N121" i="10"/>
  <c r="N122" i="10"/>
  <c r="O44" i="10"/>
  <c r="M94" i="10"/>
  <c r="M95" i="10"/>
  <c r="M96" i="10"/>
  <c r="M97" i="10"/>
  <c r="N34" i="10"/>
  <c r="N42" i="22"/>
  <c r="M114" i="22"/>
  <c r="M115" i="22"/>
  <c r="M116" i="22"/>
  <c r="M117" i="22"/>
  <c r="N139" i="22"/>
  <c r="N140" i="22"/>
  <c r="N141" i="22"/>
  <c r="N142" i="22"/>
  <c r="O52" i="22"/>
  <c r="O46" i="22"/>
  <c r="N124" i="22"/>
  <c r="N125" i="22"/>
  <c r="N126" i="22"/>
  <c r="N127" i="22"/>
  <c r="N50" i="22"/>
  <c r="M134" i="22"/>
  <c r="M135" i="22"/>
  <c r="M136" i="22"/>
  <c r="M137" i="22"/>
  <c r="M135" i="8"/>
  <c r="M136" i="8"/>
  <c r="M137" i="8"/>
  <c r="N134" i="8"/>
  <c r="N135" i="8"/>
  <c r="N136" i="8"/>
  <c r="N137" i="8"/>
  <c r="O50" i="8"/>
  <c r="N46" i="8"/>
  <c r="M124" i="8"/>
  <c r="M125" i="8"/>
  <c r="M126" i="8"/>
  <c r="M127" i="8"/>
  <c r="AL132" i="11"/>
  <c r="AG197" i="8"/>
  <c r="BS182" i="11"/>
  <c r="AP142" i="11"/>
  <c r="AI212" i="7"/>
  <c r="AF182" i="22"/>
  <c r="BS167" i="11"/>
  <c r="AJ172" i="22"/>
  <c r="AF197" i="7"/>
  <c r="K202" i="9"/>
  <c r="AC202" i="8"/>
  <c r="AW172" i="7"/>
  <c r="AU87" i="22"/>
  <c r="AE72" i="11"/>
  <c r="AD189" i="11"/>
  <c r="AP68" i="7"/>
  <c r="AO179" i="7"/>
  <c r="AI194" i="22"/>
  <c r="AJ74" i="22"/>
  <c r="AG196" i="7"/>
  <c r="AG195" i="7"/>
  <c r="L201" i="9"/>
  <c r="L200" i="9"/>
  <c r="AJ152" i="10"/>
  <c r="AT72" i="10"/>
  <c r="AS189" i="10"/>
  <c r="AF76" i="8"/>
  <c r="AE199" i="8"/>
  <c r="AC182" i="8"/>
  <c r="AI180" i="9"/>
  <c r="AI181" i="9"/>
  <c r="AS52" i="11"/>
  <c r="AR139" i="11"/>
  <c r="AI68" i="22"/>
  <c r="AH179" i="22"/>
  <c r="AB192" i="11"/>
  <c r="AG197" i="22"/>
  <c r="AH66" i="8"/>
  <c r="AG174" i="8"/>
  <c r="AK204" i="10"/>
  <c r="AL78" i="10"/>
  <c r="AG66" i="11"/>
  <c r="AF174" i="11"/>
  <c r="A137" i="2"/>
  <c r="BW137" i="2"/>
  <c r="A17" i="2"/>
  <c r="L191" i="9"/>
  <c r="L190" i="9"/>
  <c r="BV62" i="11"/>
  <c r="BU164" i="11"/>
  <c r="Q191" i="8"/>
  <c r="Q190" i="8"/>
  <c r="AD177" i="11"/>
  <c r="AX30" i="22"/>
  <c r="AW84" i="22"/>
  <c r="AD60" i="8"/>
  <c r="AC159" i="8"/>
  <c r="AJ74" i="10"/>
  <c r="AI194" i="10"/>
  <c r="P192" i="8"/>
  <c r="AE212" i="11"/>
  <c r="AM56" i="10"/>
  <c r="AL149" i="10"/>
  <c r="AG159" i="22"/>
  <c r="AH60" i="22"/>
  <c r="AM131" i="11"/>
  <c r="AM130" i="11"/>
  <c r="AJ74" i="8"/>
  <c r="AI194" i="8"/>
  <c r="AH195" i="22"/>
  <c r="AH196" i="22"/>
  <c r="AI74" i="7"/>
  <c r="AH194" i="7"/>
  <c r="BZ64" i="11"/>
  <c r="BY169" i="11"/>
  <c r="AD201" i="8"/>
  <c r="AD200" i="8"/>
  <c r="BT181" i="11"/>
  <c r="BT180" i="11"/>
  <c r="AG181" i="22"/>
  <c r="AG180" i="22"/>
  <c r="AX170" i="7"/>
  <c r="AX171" i="7"/>
  <c r="AF187" i="7"/>
  <c r="L75" i="37"/>
  <c r="M74" i="37"/>
  <c r="AV136" i="2"/>
  <c r="AV15" i="2"/>
  <c r="M22" i="35"/>
  <c r="N22" i="35"/>
  <c r="O22" i="35"/>
  <c r="P22" i="35"/>
  <c r="AD136" i="2"/>
  <c r="AD15" i="2"/>
  <c r="M22" i="33"/>
  <c r="N22" i="33"/>
  <c r="O22" i="33"/>
  <c r="P22" i="33"/>
  <c r="U136" i="2"/>
  <c r="U15" i="2"/>
  <c r="M22" i="32"/>
  <c r="N22" i="32"/>
  <c r="O22" i="32"/>
  <c r="P22" i="32"/>
  <c r="C136" i="2"/>
  <c r="C15" i="2"/>
  <c r="M23" i="30"/>
  <c r="N23" i="30"/>
  <c r="O23" i="30"/>
  <c r="P23" i="30"/>
  <c r="BN136" i="2"/>
  <c r="BN15" i="2"/>
  <c r="M22" i="37"/>
  <c r="N22" i="37"/>
  <c r="O22" i="37"/>
  <c r="P22" i="37"/>
  <c r="L136" i="2"/>
  <c r="L15" i="2"/>
  <c r="M22" i="31"/>
  <c r="N22" i="31"/>
  <c r="O22" i="31"/>
  <c r="P22" i="31"/>
  <c r="BE136" i="2"/>
  <c r="AM136" i="2"/>
  <c r="AM15" i="2"/>
  <c r="M22" i="34"/>
  <c r="N22" i="34"/>
  <c r="O22" i="34"/>
  <c r="P22" i="34"/>
  <c r="N72" i="9"/>
  <c r="M189" i="9"/>
  <c r="AE177" i="8"/>
  <c r="AV85" i="22"/>
  <c r="AV86" i="22"/>
  <c r="AH195" i="10"/>
  <c r="AH196" i="10"/>
  <c r="AK151" i="10"/>
  <c r="AK150" i="10"/>
  <c r="AO48" i="11"/>
  <c r="AN129" i="11"/>
  <c r="K29" i="32"/>
  <c r="AF68" i="8"/>
  <c r="AE179" i="8"/>
  <c r="AA162" i="8"/>
  <c r="AI210" i="22"/>
  <c r="AI211" i="22"/>
  <c r="AL212" i="9"/>
  <c r="AJ210" i="7"/>
  <c r="AJ211" i="7"/>
  <c r="AI207" i="10"/>
  <c r="BX170" i="11"/>
  <c r="BX171" i="11"/>
  <c r="AG186" i="7"/>
  <c r="AG185" i="7"/>
  <c r="BV68" i="11"/>
  <c r="BU179" i="11"/>
  <c r="K192" i="9"/>
  <c r="AH212" i="22"/>
  <c r="AZ64" i="7"/>
  <c r="AY169" i="7"/>
  <c r="AM70" i="9"/>
  <c r="AL184" i="9"/>
  <c r="AF210" i="11"/>
  <c r="AF211" i="11"/>
  <c r="AK171" i="22"/>
  <c r="AK170" i="22"/>
  <c r="BS65" i="8"/>
  <c r="BT232" i="8"/>
  <c r="AM210" i="9"/>
  <c r="AM211" i="9"/>
  <c r="AD180" i="8"/>
  <c r="AD181" i="8"/>
  <c r="BQ73" i="7"/>
  <c r="BR236" i="7"/>
  <c r="AJ209" i="22"/>
  <c r="AK80" i="22"/>
  <c r="AC190" i="11"/>
  <c r="AC191" i="11"/>
  <c r="AN181" i="7"/>
  <c r="AN180" i="7"/>
  <c r="N76" i="9"/>
  <c r="M199" i="9"/>
  <c r="AL80" i="7"/>
  <c r="AK209" i="7"/>
  <c r="AR191" i="10"/>
  <c r="AR190" i="10"/>
  <c r="AI70" i="7"/>
  <c r="AH184" i="7"/>
  <c r="AJ179" i="9"/>
  <c r="AK68" i="9"/>
  <c r="D14" i="20"/>
  <c r="N14" i="2"/>
  <c r="AQ140" i="11"/>
  <c r="AQ141" i="11"/>
  <c r="AF175" i="8"/>
  <c r="AF176" i="8"/>
  <c r="AJ205" i="10"/>
  <c r="AJ206" i="10"/>
  <c r="AE176" i="11"/>
  <c r="AE175" i="11"/>
  <c r="AG197" i="10"/>
  <c r="BT165" i="11"/>
  <c r="BT166" i="11"/>
  <c r="AK186" i="9"/>
  <c r="AK185" i="9"/>
  <c r="S72" i="8"/>
  <c r="R189" i="8"/>
  <c r="AH80" i="11"/>
  <c r="AG209" i="11"/>
  <c r="M89" i="22"/>
  <c r="M90" i="22"/>
  <c r="M91" i="22"/>
  <c r="M92" i="22"/>
  <c r="N32" i="22"/>
  <c r="AL169" i="22"/>
  <c r="AM64" i="22"/>
  <c r="AB160" i="8"/>
  <c r="AB161" i="8"/>
  <c r="AN209" i="9"/>
  <c r="AO80" i="9"/>
  <c r="AF161" i="22"/>
  <c r="AF160" i="22"/>
  <c r="AH195" i="8"/>
  <c r="AH196" i="8"/>
  <c r="J32" i="30"/>
  <c r="W14" i="39"/>
  <c r="H31" i="30"/>
  <c r="G37" i="30"/>
  <c r="F38" i="30"/>
  <c r="S167" i="7"/>
  <c r="T29" i="31"/>
  <c r="AB29" i="31"/>
  <c r="Z29" i="31"/>
  <c r="X29" i="31"/>
  <c r="AA29" i="31"/>
  <c r="N42" i="8"/>
  <c r="M114" i="8"/>
  <c r="M115" i="8"/>
  <c r="M116" i="8"/>
  <c r="M117" i="8"/>
  <c r="R94" i="8"/>
  <c r="R95" i="8"/>
  <c r="R96" i="8"/>
  <c r="R97" i="8"/>
  <c r="S34" i="8"/>
  <c r="M119" i="8"/>
  <c r="M120" i="8"/>
  <c r="M121" i="8"/>
  <c r="M122" i="8"/>
  <c r="N44" i="8"/>
  <c r="U164" i="7"/>
  <c r="V62" i="7"/>
  <c r="T165" i="7"/>
  <c r="T166" i="7"/>
  <c r="N32" i="11"/>
  <c r="M89" i="11"/>
  <c r="M90" i="11"/>
  <c r="M91" i="11"/>
  <c r="M92" i="11"/>
  <c r="N52" i="9"/>
  <c r="M139" i="9"/>
  <c r="M140" i="9"/>
  <c r="M141" i="9"/>
  <c r="M142" i="9"/>
  <c r="N84" i="9"/>
  <c r="N85" i="9"/>
  <c r="N86" i="9"/>
  <c r="N87" i="9"/>
  <c r="O30" i="9"/>
  <c r="O86" i="1"/>
  <c r="O87" i="1"/>
  <c r="O88" i="1"/>
  <c r="O89" i="1"/>
  <c r="P30" i="1"/>
  <c r="M181" i="1"/>
  <c r="M182" i="1"/>
  <c r="M183" i="1"/>
  <c r="M184" i="1"/>
  <c r="N68" i="1"/>
  <c r="N52" i="1"/>
  <c r="M141" i="1"/>
  <c r="M142" i="1"/>
  <c r="M143" i="1"/>
  <c r="M144" i="1"/>
  <c r="N58" i="1"/>
  <c r="M156" i="1"/>
  <c r="M157" i="1"/>
  <c r="M158" i="1"/>
  <c r="M159" i="1"/>
  <c r="P32" i="1"/>
  <c r="O91" i="1"/>
  <c r="O92" i="1"/>
  <c r="O93" i="1"/>
  <c r="O94" i="1"/>
  <c r="N64" i="1"/>
  <c r="M171" i="1"/>
  <c r="M172" i="1"/>
  <c r="M173" i="1"/>
  <c r="M174" i="1"/>
  <c r="N34" i="1"/>
  <c r="M96" i="1"/>
  <c r="M97" i="1"/>
  <c r="M98" i="1"/>
  <c r="M99" i="1"/>
  <c r="N48" i="1"/>
  <c r="M131" i="1"/>
  <c r="M132" i="1"/>
  <c r="M133" i="1"/>
  <c r="M134" i="1"/>
  <c r="M136" i="1"/>
  <c r="M137" i="1"/>
  <c r="M138" i="1"/>
  <c r="M139" i="1"/>
  <c r="N50" i="1"/>
  <c r="X28" i="35"/>
  <c r="Z29" i="32"/>
  <c r="P18" i="26"/>
  <c r="AJ18" i="26"/>
  <c r="K18" i="26"/>
  <c r="Z18" i="26"/>
  <c r="AE18" i="26"/>
  <c r="U18" i="26"/>
  <c r="F18" i="26"/>
  <c r="A19" i="26"/>
  <c r="AO19" i="26"/>
  <c r="I38" i="30"/>
  <c r="Y28" i="35"/>
  <c r="Z28" i="35"/>
  <c r="H48" i="35"/>
  <c r="J48" i="35"/>
  <c r="AB31" i="39"/>
  <c r="M120" i="22"/>
  <c r="M121" i="22"/>
  <c r="M122" i="22"/>
  <c r="L122" i="22"/>
  <c r="L147" i="22"/>
  <c r="K157" i="22"/>
  <c r="O44" i="22"/>
  <c r="N119" i="22"/>
  <c r="N120" i="22"/>
  <c r="N121" i="22"/>
  <c r="N122" i="22"/>
  <c r="O30" i="6"/>
  <c r="N98" i="6"/>
  <c r="N99" i="6"/>
  <c r="N100" i="6"/>
  <c r="N101" i="6"/>
  <c r="M113" i="6"/>
  <c r="M114" i="6"/>
  <c r="M115" i="6"/>
  <c r="M116" i="6"/>
  <c r="N36" i="6"/>
  <c r="M78" i="6"/>
  <c r="M79" i="6"/>
  <c r="M80" i="6"/>
  <c r="M81" i="6"/>
  <c r="N22" i="6"/>
  <c r="N24" i="6"/>
  <c r="M83" i="6"/>
  <c r="M84" i="6"/>
  <c r="M85" i="6"/>
  <c r="M86" i="6"/>
  <c r="N34" i="6"/>
  <c r="M108" i="6"/>
  <c r="M109" i="6"/>
  <c r="M110" i="6"/>
  <c r="M111" i="6"/>
  <c r="N26" i="6"/>
  <c r="M88" i="6"/>
  <c r="M89" i="6"/>
  <c r="M90" i="6"/>
  <c r="M91" i="6"/>
  <c r="N128" i="6"/>
  <c r="N129" i="6"/>
  <c r="N130" i="6"/>
  <c r="N131" i="6"/>
  <c r="O42" i="6"/>
  <c r="N44" i="6"/>
  <c r="M133" i="6"/>
  <c r="M134" i="6"/>
  <c r="M135" i="6"/>
  <c r="M136" i="6"/>
  <c r="M93" i="6"/>
  <c r="M94" i="6"/>
  <c r="M95" i="6"/>
  <c r="M96" i="6"/>
  <c r="N28" i="6"/>
  <c r="M103" i="6"/>
  <c r="M104" i="6"/>
  <c r="M105" i="6"/>
  <c r="M106" i="6"/>
  <c r="N32" i="6"/>
  <c r="N40" i="6"/>
  <c r="M123" i="6"/>
  <c r="M124" i="6"/>
  <c r="M125" i="6"/>
  <c r="M126" i="6"/>
  <c r="N42" i="1"/>
  <c r="M116" i="1"/>
  <c r="N217" i="1"/>
  <c r="N218" i="1"/>
  <c r="L117" i="1"/>
  <c r="L118" i="1"/>
  <c r="M219" i="1"/>
  <c r="Q80" i="1"/>
  <c r="P211" i="1"/>
  <c r="P212" i="1"/>
  <c r="P213" i="1"/>
  <c r="P214" i="1"/>
  <c r="P82" i="1"/>
  <c r="O216" i="1"/>
  <c r="M179" i="1"/>
  <c r="R38" i="8"/>
  <c r="Q104" i="8"/>
  <c r="Q105" i="8"/>
  <c r="Q106" i="8"/>
  <c r="Q107" i="8"/>
  <c r="N99" i="8"/>
  <c r="N100" i="8"/>
  <c r="N101" i="8"/>
  <c r="N102" i="8"/>
  <c r="O36" i="8"/>
  <c r="O44" i="11"/>
  <c r="N119" i="11"/>
  <c r="M120" i="11"/>
  <c r="M121" i="11"/>
  <c r="M122" i="11"/>
  <c r="O38" i="22"/>
  <c r="N104" i="22"/>
  <c r="M105" i="22"/>
  <c r="M106" i="22"/>
  <c r="M107" i="22"/>
  <c r="M129" i="22"/>
  <c r="N48" i="22"/>
  <c r="N34" i="22"/>
  <c r="M94" i="22"/>
  <c r="L130" i="22"/>
  <c r="L131" i="22"/>
  <c r="L95" i="22"/>
  <c r="L96" i="22"/>
  <c r="L97" i="22"/>
  <c r="M105" i="7"/>
  <c r="M106" i="7"/>
  <c r="Q40" i="7"/>
  <c r="P109" i="7"/>
  <c r="P110" i="7"/>
  <c r="P111" i="7"/>
  <c r="P112" i="7"/>
  <c r="O30" i="7"/>
  <c r="N84" i="7"/>
  <c r="N85" i="7"/>
  <c r="N86" i="7"/>
  <c r="N87" i="7"/>
  <c r="N104" i="7"/>
  <c r="N105" i="7"/>
  <c r="N106" i="7"/>
  <c r="N107" i="7"/>
  <c r="O38" i="7"/>
  <c r="N42" i="7"/>
  <c r="M114" i="7"/>
  <c r="M115" i="7"/>
  <c r="M116" i="7"/>
  <c r="M117" i="7"/>
  <c r="N99" i="7"/>
  <c r="N100" i="7"/>
  <c r="N101" i="7"/>
  <c r="N102" i="7"/>
  <c r="O36" i="7"/>
  <c r="N34" i="7"/>
  <c r="M94" i="7"/>
  <c r="M95" i="7"/>
  <c r="M96" i="7"/>
  <c r="M97" i="7"/>
  <c r="P118" i="6"/>
  <c r="Q38" i="6"/>
  <c r="P104" i="9"/>
  <c r="P105" i="9"/>
  <c r="P106" i="9"/>
  <c r="P107" i="9"/>
  <c r="Q38" i="9"/>
  <c r="L114" i="9"/>
  <c r="L115" i="9"/>
  <c r="L116" i="9"/>
  <c r="L117" i="9"/>
  <c r="M42" i="9"/>
  <c r="Q144" i="9"/>
  <c r="Q145" i="9"/>
  <c r="Q146" i="9"/>
  <c r="Q147" i="9"/>
  <c r="R54" i="9"/>
  <c r="N34" i="9"/>
  <c r="M94" i="9"/>
  <c r="M95" i="9"/>
  <c r="M96" i="9"/>
  <c r="M97" i="9"/>
  <c r="N46" i="9"/>
  <c r="M124" i="9"/>
  <c r="M125" i="9"/>
  <c r="M126" i="9"/>
  <c r="M127" i="9"/>
  <c r="N134" i="9"/>
  <c r="N135" i="9"/>
  <c r="N136" i="9"/>
  <c r="N137" i="9"/>
  <c r="O50" i="9"/>
  <c r="N44" i="9"/>
  <c r="M119" i="9"/>
  <c r="M120" i="9"/>
  <c r="M121" i="9"/>
  <c r="M122" i="9"/>
  <c r="M149" i="9"/>
  <c r="M150" i="9"/>
  <c r="M151" i="9"/>
  <c r="M152" i="9"/>
  <c r="N56" i="9"/>
  <c r="P32" i="9"/>
  <c r="O89" i="9"/>
  <c r="O90" i="9"/>
  <c r="O91" i="9"/>
  <c r="O92" i="9"/>
  <c r="N48" i="9"/>
  <c r="M129" i="9"/>
  <c r="M130" i="9"/>
  <c r="M131" i="9"/>
  <c r="M132" i="9"/>
  <c r="T56" i="1"/>
  <c r="S151" i="1"/>
  <c r="S152" i="1"/>
  <c r="S153" i="1"/>
  <c r="S154" i="1"/>
  <c r="P66" i="1"/>
  <c r="O176" i="1"/>
  <c r="O177" i="1"/>
  <c r="O178" i="1"/>
  <c r="O179" i="1"/>
  <c r="N70" i="1"/>
  <c r="M186" i="1"/>
  <c r="N78" i="1"/>
  <c r="M206" i="1"/>
  <c r="M207" i="1"/>
  <c r="M208" i="1"/>
  <c r="M209" i="1"/>
  <c r="L187" i="1"/>
  <c r="L188" i="1"/>
  <c r="L189" i="1"/>
  <c r="L207" i="1"/>
  <c r="L208" i="1"/>
  <c r="L209" i="1"/>
  <c r="L197" i="1"/>
  <c r="L198" i="1"/>
  <c r="L199" i="1"/>
  <c r="M162" i="1"/>
  <c r="M163" i="1"/>
  <c r="M164" i="1"/>
  <c r="N74" i="1"/>
  <c r="M196" i="1"/>
  <c r="O60" i="1"/>
  <c r="N161" i="1"/>
  <c r="N162" i="1"/>
  <c r="N163" i="1"/>
  <c r="N164" i="1"/>
  <c r="O72" i="1"/>
  <c r="N191" i="1"/>
  <c r="N192" i="1"/>
  <c r="N193" i="1"/>
  <c r="N194" i="1"/>
  <c r="P76" i="1"/>
  <c r="O201" i="1"/>
  <c r="H50" i="37"/>
  <c r="J50" i="37"/>
  <c r="AD33" i="39"/>
  <c r="T29" i="37"/>
  <c r="R115" i="11"/>
  <c r="R116" i="11"/>
  <c r="R117" i="11"/>
  <c r="T42" i="11"/>
  <c r="S114" i="11"/>
  <c r="AB29" i="33"/>
  <c r="P36" i="11"/>
  <c r="O99" i="11"/>
  <c r="N100" i="11"/>
  <c r="N101" i="11"/>
  <c r="N102" i="11"/>
  <c r="P85" i="11"/>
  <c r="P86" i="11"/>
  <c r="P87" i="11"/>
  <c r="Q84" i="11"/>
  <c r="R30" i="11"/>
  <c r="M105" i="11"/>
  <c r="M106" i="11"/>
  <c r="N104" i="11"/>
  <c r="O38" i="11"/>
  <c r="N134" i="10"/>
  <c r="O50" i="10"/>
  <c r="M135" i="10"/>
  <c r="M136" i="10"/>
  <c r="M137" i="10"/>
  <c r="M100" i="10"/>
  <c r="M101" i="10"/>
  <c r="M102" i="10"/>
  <c r="O36" i="10"/>
  <c r="N99" i="10"/>
  <c r="L155" i="22"/>
  <c r="L156" i="22"/>
  <c r="L157" i="22"/>
  <c r="N58" i="22"/>
  <c r="M154" i="22"/>
  <c r="M110" i="22"/>
  <c r="M111" i="22"/>
  <c r="M112" i="22"/>
  <c r="O54" i="22"/>
  <c r="N144" i="22"/>
  <c r="M100" i="22"/>
  <c r="M101" i="22"/>
  <c r="M102" i="22"/>
  <c r="M145" i="22"/>
  <c r="M146" i="22"/>
  <c r="M147" i="22"/>
  <c r="N109" i="22"/>
  <c r="O40" i="22"/>
  <c r="N99" i="22"/>
  <c r="O36" i="22"/>
  <c r="O150" i="8"/>
  <c r="O151" i="8"/>
  <c r="O152" i="8"/>
  <c r="Q56" i="8"/>
  <c r="P149" i="8"/>
  <c r="M145" i="8"/>
  <c r="M146" i="8"/>
  <c r="M147" i="8"/>
  <c r="O54" i="8"/>
  <c r="N144" i="8"/>
  <c r="L110" i="8"/>
  <c r="L111" i="8"/>
  <c r="L112" i="8"/>
  <c r="L90" i="8"/>
  <c r="L91" i="8"/>
  <c r="L92" i="8"/>
  <c r="L84" i="8"/>
  <c r="M30" i="8"/>
  <c r="L140" i="8"/>
  <c r="L141" i="8"/>
  <c r="N40" i="8"/>
  <c r="M109" i="8"/>
  <c r="L130" i="8"/>
  <c r="L131" i="8"/>
  <c r="L132" i="8"/>
  <c r="N52" i="8"/>
  <c r="M139" i="8"/>
  <c r="N48" i="8"/>
  <c r="M129" i="8"/>
  <c r="N32" i="8"/>
  <c r="M89" i="8"/>
  <c r="K85" i="8"/>
  <c r="K86" i="8"/>
  <c r="K87" i="8"/>
  <c r="M144" i="7"/>
  <c r="N54" i="7"/>
  <c r="L145" i="7"/>
  <c r="L146" i="7"/>
  <c r="L147" i="7"/>
  <c r="L140" i="7"/>
  <c r="L141" i="7"/>
  <c r="M139" i="7"/>
  <c r="N52" i="7"/>
  <c r="L135" i="7"/>
  <c r="L136" i="7"/>
  <c r="L137" i="7"/>
  <c r="M134" i="7"/>
  <c r="N50" i="7"/>
  <c r="U32" i="7"/>
  <c r="T89" i="7"/>
  <c r="N125" i="7"/>
  <c r="N126" i="7"/>
  <c r="N127" i="7"/>
  <c r="P46" i="7"/>
  <c r="O124" i="7"/>
  <c r="O120" i="7"/>
  <c r="O121" i="7"/>
  <c r="O122" i="7"/>
  <c r="Q44" i="7"/>
  <c r="P119" i="7"/>
  <c r="S90" i="7"/>
  <c r="S91" i="7"/>
  <c r="S92" i="7"/>
  <c r="L164" i="6"/>
  <c r="L165" i="6"/>
  <c r="L166" i="6"/>
  <c r="N56" i="6"/>
  <c r="M163" i="6"/>
  <c r="L159" i="6"/>
  <c r="L160" i="6"/>
  <c r="M158" i="6"/>
  <c r="N54" i="6"/>
  <c r="N52" i="6"/>
  <c r="M153" i="6"/>
  <c r="L154" i="6"/>
  <c r="L155" i="6"/>
  <c r="L156" i="6"/>
  <c r="N50" i="6"/>
  <c r="M148" i="6"/>
  <c r="L149" i="6"/>
  <c r="L150" i="6"/>
  <c r="L151" i="6"/>
  <c r="L144" i="6"/>
  <c r="L145" i="6"/>
  <c r="L146" i="6"/>
  <c r="N48" i="6"/>
  <c r="M143" i="6"/>
  <c r="N159" i="9"/>
  <c r="O60" i="9"/>
  <c r="M160" i="9"/>
  <c r="M161" i="9"/>
  <c r="M162" i="9"/>
  <c r="L155" i="9"/>
  <c r="L156" i="9"/>
  <c r="L157" i="9"/>
  <c r="N58" i="9"/>
  <c r="M154" i="9"/>
  <c r="M100" i="9"/>
  <c r="M101" i="9"/>
  <c r="M102" i="9"/>
  <c r="N109" i="9"/>
  <c r="O40" i="9"/>
  <c r="N99" i="9"/>
  <c r="O36" i="9"/>
  <c r="M110" i="9"/>
  <c r="M111" i="9"/>
  <c r="M112" i="9"/>
  <c r="M166" i="1"/>
  <c r="N62" i="1"/>
  <c r="L167" i="1"/>
  <c r="L168" i="1"/>
  <c r="L169" i="1"/>
  <c r="L127" i="1"/>
  <c r="L128" i="1"/>
  <c r="L129" i="1"/>
  <c r="L147" i="1"/>
  <c r="L148" i="1"/>
  <c r="L149" i="1"/>
  <c r="N46" i="1"/>
  <c r="M126" i="1"/>
  <c r="M146" i="1"/>
  <c r="N54" i="1"/>
  <c r="N122" i="1"/>
  <c r="N123" i="1"/>
  <c r="N124" i="1"/>
  <c r="O121" i="1"/>
  <c r="P44" i="1"/>
  <c r="N112" i="1"/>
  <c r="N113" i="1"/>
  <c r="N114" i="1"/>
  <c r="N102" i="1"/>
  <c r="N103" i="1"/>
  <c r="N104" i="1"/>
  <c r="N38" i="1"/>
  <c r="M106" i="1"/>
  <c r="P36" i="1"/>
  <c r="O101" i="1"/>
  <c r="P40" i="1"/>
  <c r="O111" i="1"/>
  <c r="L107" i="1"/>
  <c r="L108" i="1"/>
  <c r="L109" i="1"/>
  <c r="U30" i="37"/>
  <c r="W30" i="37"/>
  <c r="V30" i="37"/>
  <c r="L28" i="35"/>
  <c r="Z29" i="33"/>
  <c r="L29" i="33"/>
  <c r="Y29" i="33"/>
  <c r="AC29" i="33"/>
  <c r="AA29" i="33"/>
  <c r="X29" i="32"/>
  <c r="Y29" i="32"/>
  <c r="AA29" i="32"/>
  <c r="U30" i="32"/>
  <c r="W30" i="32"/>
  <c r="V30" i="32"/>
  <c r="AC29" i="32"/>
  <c r="O48" i="7"/>
  <c r="N129" i="7"/>
  <c r="N130" i="7"/>
  <c r="N131" i="7"/>
  <c r="N132" i="7"/>
  <c r="U29" i="34"/>
  <c r="K29" i="34"/>
  <c r="U29" i="36"/>
  <c r="W29" i="36"/>
  <c r="V29" i="36"/>
  <c r="Y29" i="36"/>
  <c r="AB29" i="36"/>
  <c r="X29" i="36"/>
  <c r="BQ59" i="11"/>
  <c r="BR229" i="11"/>
  <c r="BY227" i="11"/>
  <c r="AT195" i="9"/>
  <c r="AT196" i="9"/>
  <c r="BW16" i="2"/>
  <c r="M23" i="41"/>
  <c r="N23" i="41"/>
  <c r="O23" i="41"/>
  <c r="P23" i="41"/>
  <c r="Q23" i="41"/>
  <c r="BX137" i="2"/>
  <c r="AS197" i="9"/>
  <c r="AU194" i="9"/>
  <c r="AV74" i="9"/>
  <c r="L28" i="36"/>
  <c r="T28" i="36"/>
  <c r="BE15" i="2"/>
  <c r="I14" i="20"/>
  <c r="CF14" i="2"/>
  <c r="T25" i="41"/>
  <c r="U26" i="41"/>
  <c r="W26" i="41"/>
  <c r="V26" i="41"/>
  <c r="G50" i="41"/>
  <c r="F51" i="41"/>
  <c r="G51" i="41"/>
  <c r="H51" i="41"/>
  <c r="J51" i="41"/>
  <c r="L46" i="41"/>
  <c r="N46" i="41"/>
  <c r="O46" i="41"/>
  <c r="L87" i="41"/>
  <c r="M87" i="41"/>
  <c r="M86" i="41"/>
  <c r="AJ207" i="10"/>
  <c r="AI212" i="22"/>
  <c r="P127" i="11"/>
  <c r="W177" i="10"/>
  <c r="L187" i="8"/>
  <c r="R167" i="8"/>
  <c r="AJ212" i="7"/>
  <c r="AH197" i="22"/>
  <c r="L167" i="9"/>
  <c r="AI182" i="9"/>
  <c r="Q162" i="7"/>
  <c r="M202" i="7"/>
  <c r="AN157" i="10"/>
  <c r="AG187" i="7"/>
  <c r="BX162" i="11"/>
  <c r="L137" i="11"/>
  <c r="Q207" i="11"/>
  <c r="BX172" i="11"/>
  <c r="BY212" i="8"/>
  <c r="L202" i="22"/>
  <c r="M152" i="11"/>
  <c r="L162" i="10"/>
  <c r="AJ255" i="40"/>
  <c r="AJ256" i="40"/>
  <c r="AJ257" i="40"/>
  <c r="AD244" i="40"/>
  <c r="AE92" i="40"/>
  <c r="AD269" i="40"/>
  <c r="AE102" i="40"/>
  <c r="AD249" i="40"/>
  <c r="AD250" i="40"/>
  <c r="AD251" i="40"/>
  <c r="AD252" i="40"/>
  <c r="AE94" i="40"/>
  <c r="AI280" i="40"/>
  <c r="AI281" i="40"/>
  <c r="AI282" i="40"/>
  <c r="AD264" i="40"/>
  <c r="AE100" i="40"/>
  <c r="AD284" i="40"/>
  <c r="AE108" i="40"/>
  <c r="AD289" i="40"/>
  <c r="AE110" i="40"/>
  <c r="AC290" i="40"/>
  <c r="AC291" i="40"/>
  <c r="AC292" i="40"/>
  <c r="AK96" i="40"/>
  <c r="AK254" i="40"/>
  <c r="AK255" i="40"/>
  <c r="AK256" i="40"/>
  <c r="AK257" i="40"/>
  <c r="AK104" i="40"/>
  <c r="AK274" i="40"/>
  <c r="AK275" i="40"/>
  <c r="AK276" i="40"/>
  <c r="AK277" i="40"/>
  <c r="AL98" i="40"/>
  <c r="AL259" i="40"/>
  <c r="AL260" i="40"/>
  <c r="AL261" i="40"/>
  <c r="AL262" i="40"/>
  <c r="AJ106" i="40"/>
  <c r="AJ279" i="40"/>
  <c r="AG90" i="40"/>
  <c r="AC240" i="40"/>
  <c r="AC241" i="40"/>
  <c r="AC242" i="40"/>
  <c r="AF50" i="40"/>
  <c r="AE139" i="40"/>
  <c r="AE70" i="40"/>
  <c r="AD189" i="40"/>
  <c r="AD165" i="40"/>
  <c r="AD166" i="40"/>
  <c r="AE62" i="40"/>
  <c r="AD169" i="40"/>
  <c r="AF76" i="40"/>
  <c r="AE204" i="40"/>
  <c r="AD239" i="40"/>
  <c r="AC145" i="40"/>
  <c r="AC146" i="40"/>
  <c r="AC147" i="40"/>
  <c r="AC135" i="40"/>
  <c r="AC136" i="40"/>
  <c r="AC137" i="40"/>
  <c r="AG64" i="40"/>
  <c r="AF174" i="40"/>
  <c r="AC230" i="40"/>
  <c r="AC231" i="40"/>
  <c r="AC232" i="40"/>
  <c r="AC210" i="40"/>
  <c r="AC211" i="40"/>
  <c r="AE185" i="40"/>
  <c r="AE186" i="40"/>
  <c r="AE187" i="40"/>
  <c r="AE44" i="40"/>
  <c r="AD124" i="40"/>
  <c r="AC150" i="40"/>
  <c r="AC151" i="40"/>
  <c r="AC152" i="40"/>
  <c r="AD180" i="40"/>
  <c r="AD181" i="40"/>
  <c r="AD177" i="40"/>
  <c r="AF88" i="40"/>
  <c r="AE234" i="40"/>
  <c r="AC220" i="40"/>
  <c r="AC221" i="40"/>
  <c r="AC222" i="40"/>
  <c r="AG72" i="40"/>
  <c r="AF194" i="40"/>
  <c r="AE46" i="40"/>
  <c r="AD129" i="40"/>
  <c r="AF84" i="40"/>
  <c r="AE224" i="40"/>
  <c r="AC120" i="40"/>
  <c r="AC121" i="40"/>
  <c r="AC122" i="40"/>
  <c r="AF80" i="40"/>
  <c r="AE214" i="40"/>
  <c r="AC125" i="40"/>
  <c r="AC126" i="40"/>
  <c r="AC127" i="40"/>
  <c r="AE58" i="40"/>
  <c r="AD159" i="40"/>
  <c r="AF40" i="40"/>
  <c r="AE114" i="40"/>
  <c r="AD187" i="40"/>
  <c r="AC130" i="40"/>
  <c r="AC131" i="40"/>
  <c r="AC132" i="40"/>
  <c r="AD140" i="40"/>
  <c r="AD141" i="40"/>
  <c r="AE52" i="40"/>
  <c r="AD144" i="40"/>
  <c r="AC200" i="40"/>
  <c r="AC201" i="40"/>
  <c r="AE48" i="40"/>
  <c r="AD134" i="40"/>
  <c r="AC155" i="40"/>
  <c r="AC156" i="40"/>
  <c r="AC157" i="40"/>
  <c r="AD225" i="40"/>
  <c r="AD226" i="40"/>
  <c r="AE86" i="40"/>
  <c r="AD229" i="40"/>
  <c r="AE42" i="40"/>
  <c r="AD119" i="40"/>
  <c r="AD215" i="40"/>
  <c r="AD216" i="40"/>
  <c r="AD217" i="40"/>
  <c r="AE78" i="40"/>
  <c r="AD209" i="40"/>
  <c r="AF60" i="40"/>
  <c r="AE164" i="40"/>
  <c r="AG68" i="40"/>
  <c r="AF184" i="40"/>
  <c r="AB157" i="40"/>
  <c r="AC170" i="40"/>
  <c r="AC171" i="40"/>
  <c r="AC172" i="40"/>
  <c r="AC160" i="40"/>
  <c r="AC161" i="40"/>
  <c r="AC162" i="40"/>
  <c r="AF66" i="40"/>
  <c r="AE179" i="40"/>
  <c r="AD205" i="40"/>
  <c r="AD206" i="40"/>
  <c r="AD207" i="40"/>
  <c r="AD115" i="40"/>
  <c r="AD116" i="40"/>
  <c r="AD117" i="40"/>
  <c r="AE82" i="40"/>
  <c r="AD219" i="40"/>
  <c r="AE195" i="40"/>
  <c r="AE196" i="40"/>
  <c r="AE197" i="40"/>
  <c r="AC182" i="40"/>
  <c r="AB172" i="40"/>
  <c r="AE74" i="40"/>
  <c r="AD199" i="40"/>
  <c r="AE56" i="40"/>
  <c r="AD154" i="40"/>
  <c r="AE175" i="40"/>
  <c r="AE176" i="40"/>
  <c r="AC190" i="40"/>
  <c r="AC191" i="40"/>
  <c r="AC192" i="40"/>
  <c r="AB222" i="40"/>
  <c r="AB242" i="40"/>
  <c r="AE54" i="40"/>
  <c r="AD149" i="40"/>
  <c r="AD235" i="40"/>
  <c r="AD236" i="40"/>
  <c r="AD237" i="40"/>
  <c r="AB192" i="40"/>
  <c r="AR192" i="10"/>
  <c r="U29" i="35"/>
  <c r="W29" i="35"/>
  <c r="V29" i="35"/>
  <c r="AC29" i="35"/>
  <c r="Y157" i="8"/>
  <c r="X78" i="9"/>
  <c r="W204" i="9"/>
  <c r="L207" i="8"/>
  <c r="S207" i="7"/>
  <c r="Y174" i="10"/>
  <c r="Z66" i="10"/>
  <c r="O70" i="8"/>
  <c r="N184" i="8"/>
  <c r="AA187" i="10"/>
  <c r="U207" i="9"/>
  <c r="V70" i="22"/>
  <c r="U184" i="22"/>
  <c r="AO156" i="10"/>
  <c r="AO155" i="10"/>
  <c r="M181" i="10"/>
  <c r="M180" i="10"/>
  <c r="CB80" i="8"/>
  <c r="CA209" i="8"/>
  <c r="AI177" i="22"/>
  <c r="P56" i="11"/>
  <c r="O149" i="11"/>
  <c r="O50" i="11"/>
  <c r="N134" i="11"/>
  <c r="T78" i="11"/>
  <c r="S204" i="11"/>
  <c r="P156" i="7"/>
  <c r="P155" i="7"/>
  <c r="AO80" i="10"/>
  <c r="AN209" i="10"/>
  <c r="S166" i="8"/>
  <c r="S165" i="8"/>
  <c r="W191" i="22"/>
  <c r="W190" i="22"/>
  <c r="BZ227" i="11"/>
  <c r="O78" i="8"/>
  <c r="N204" i="8"/>
  <c r="M165" i="9"/>
  <c r="M166" i="9"/>
  <c r="Z155" i="8"/>
  <c r="Z156" i="8"/>
  <c r="P76" i="7"/>
  <c r="O199" i="7"/>
  <c r="U166" i="22"/>
  <c r="U165" i="22"/>
  <c r="AC195" i="11"/>
  <c r="AC196" i="11"/>
  <c r="AN175" i="9"/>
  <c r="AN176" i="9"/>
  <c r="T167" i="22"/>
  <c r="AB197" i="11"/>
  <c r="AN171" i="10"/>
  <c r="AN170" i="10"/>
  <c r="M160" i="10"/>
  <c r="M161" i="10"/>
  <c r="O56" i="22"/>
  <c r="N149" i="22"/>
  <c r="CA60" i="11"/>
  <c r="BZ159" i="11"/>
  <c r="M201" i="11"/>
  <c r="M200" i="11"/>
  <c r="R160" i="7"/>
  <c r="R161" i="7"/>
  <c r="AL212" i="10"/>
  <c r="W169" i="9"/>
  <c r="X64" i="9"/>
  <c r="M176" i="7"/>
  <c r="M175" i="7"/>
  <c r="L202" i="10"/>
  <c r="O46" i="6"/>
  <c r="N138" i="6"/>
  <c r="N139" i="6"/>
  <c r="N140" i="6"/>
  <c r="N141" i="6"/>
  <c r="CB146" i="11"/>
  <c r="CB145" i="11"/>
  <c r="Y165" i="10"/>
  <c r="Y166" i="10"/>
  <c r="U62" i="8"/>
  <c r="T164" i="8"/>
  <c r="Y72" i="22"/>
  <c r="X189" i="22"/>
  <c r="Q125" i="11"/>
  <c r="Q126" i="11"/>
  <c r="T206" i="7"/>
  <c r="T205" i="7"/>
  <c r="AB58" i="8"/>
  <c r="AA154" i="8"/>
  <c r="AB185" i="10"/>
  <c r="AB186" i="10"/>
  <c r="AE74" i="11"/>
  <c r="AD194" i="11"/>
  <c r="AG145" i="10"/>
  <c r="AG146" i="10"/>
  <c r="AJ175" i="22"/>
  <c r="AJ176" i="22"/>
  <c r="AO174" i="9"/>
  <c r="AP66" i="9"/>
  <c r="W205" i="22"/>
  <c r="W206" i="22"/>
  <c r="AP64" i="10"/>
  <c r="AO169" i="10"/>
  <c r="N159" i="10"/>
  <c r="O60" i="10"/>
  <c r="M150" i="22"/>
  <c r="M151" i="22"/>
  <c r="M152" i="22"/>
  <c r="BY160" i="11"/>
  <c r="BY161" i="11"/>
  <c r="O76" i="11"/>
  <c r="N199" i="11"/>
  <c r="T60" i="7"/>
  <c r="S159" i="7"/>
  <c r="M200" i="22"/>
  <c r="M201" i="22"/>
  <c r="V171" i="9"/>
  <c r="V170" i="9"/>
  <c r="O66" i="7"/>
  <c r="N174" i="7"/>
  <c r="S187" i="22"/>
  <c r="BW55" i="11"/>
  <c r="BX227" i="11"/>
  <c r="Z164" i="10"/>
  <c r="AA62" i="10"/>
  <c r="U172" i="9"/>
  <c r="L177" i="7"/>
  <c r="O76" i="10"/>
  <c r="N199" i="10"/>
  <c r="AF147" i="10"/>
  <c r="S46" i="11"/>
  <c r="R124" i="11"/>
  <c r="U204" i="7"/>
  <c r="V78" i="7"/>
  <c r="CA147" i="11"/>
  <c r="CA227" i="11"/>
  <c r="X167" i="10"/>
  <c r="V207" i="22"/>
  <c r="AC184" i="10"/>
  <c r="AD70" i="10"/>
  <c r="V206" i="9"/>
  <c r="V205" i="9"/>
  <c r="AI54" i="10"/>
  <c r="AH144" i="10"/>
  <c r="AK174" i="22"/>
  <c r="AL66" i="22"/>
  <c r="X175" i="10"/>
  <c r="X176" i="10"/>
  <c r="M185" i="8"/>
  <c r="M186" i="8"/>
  <c r="Y78" i="22"/>
  <c r="X204" i="22"/>
  <c r="T185" i="22"/>
  <c r="T186" i="22"/>
  <c r="AP154" i="10"/>
  <c r="AQ58" i="10"/>
  <c r="N179" i="10"/>
  <c r="O68" i="10"/>
  <c r="BZ210" i="8"/>
  <c r="BZ211" i="8"/>
  <c r="O76" i="22"/>
  <c r="N199" i="22"/>
  <c r="N151" i="11"/>
  <c r="N150" i="11"/>
  <c r="M136" i="11"/>
  <c r="M135" i="11"/>
  <c r="V192" i="22"/>
  <c r="R206" i="11"/>
  <c r="R205" i="11"/>
  <c r="AM172" i="10"/>
  <c r="L182" i="10"/>
  <c r="L202" i="11"/>
  <c r="Q154" i="7"/>
  <c r="R58" i="7"/>
  <c r="AM210" i="10"/>
  <c r="AM211" i="10"/>
  <c r="M200" i="10"/>
  <c r="M201" i="10"/>
  <c r="M206" i="8"/>
  <c r="M205" i="8"/>
  <c r="O62" i="9"/>
  <c r="N164" i="9"/>
  <c r="AM177" i="9"/>
  <c r="O157" i="7"/>
  <c r="N201" i="7"/>
  <c r="N200" i="7"/>
  <c r="V164" i="22"/>
  <c r="W62" i="22"/>
  <c r="Q22" i="37"/>
  <c r="R22" i="37"/>
  <c r="Q22" i="35"/>
  <c r="R22" i="35"/>
  <c r="Q22" i="34"/>
  <c r="R22" i="34"/>
  <c r="Q22" i="33"/>
  <c r="R22" i="33"/>
  <c r="Q22" i="32"/>
  <c r="R22" i="32"/>
  <c r="Q22" i="31"/>
  <c r="R22" i="31"/>
  <c r="Q23" i="30"/>
  <c r="R23" i="30"/>
  <c r="Q40" i="11"/>
  <c r="P109" i="11"/>
  <c r="P110" i="11"/>
  <c r="P111" i="11"/>
  <c r="P112" i="11"/>
  <c r="N94" i="10"/>
  <c r="N95" i="10"/>
  <c r="N96" i="10"/>
  <c r="N97" i="10"/>
  <c r="O34" i="10"/>
  <c r="N89" i="10"/>
  <c r="N90" i="10"/>
  <c r="N91" i="10"/>
  <c r="N92" i="10"/>
  <c r="O32" i="10"/>
  <c r="O38" i="10"/>
  <c r="N104" i="10"/>
  <c r="N105" i="10"/>
  <c r="N106" i="10"/>
  <c r="N107" i="10"/>
  <c r="O42" i="10"/>
  <c r="N114" i="10"/>
  <c r="N115" i="10"/>
  <c r="N116" i="10"/>
  <c r="N117" i="10"/>
  <c r="N124" i="10"/>
  <c r="N125" i="10"/>
  <c r="N126" i="10"/>
  <c r="N127" i="10"/>
  <c r="O46" i="10"/>
  <c r="P44" i="10"/>
  <c r="O119" i="10"/>
  <c r="O120" i="10"/>
  <c r="O121" i="10"/>
  <c r="O122" i="10"/>
  <c r="N129" i="10"/>
  <c r="N130" i="10"/>
  <c r="N131" i="10"/>
  <c r="N132" i="10"/>
  <c r="O48" i="10"/>
  <c r="O40" i="10"/>
  <c r="N109" i="10"/>
  <c r="N110" i="10"/>
  <c r="N111" i="10"/>
  <c r="N112" i="10"/>
  <c r="O52" i="10"/>
  <c r="N139" i="10"/>
  <c r="N140" i="10"/>
  <c r="N141" i="10"/>
  <c r="N142" i="10"/>
  <c r="N84" i="10"/>
  <c r="N85" i="10"/>
  <c r="N86" i="10"/>
  <c r="N87" i="10"/>
  <c r="O30" i="10"/>
  <c r="P52" i="22"/>
  <c r="O139" i="22"/>
  <c r="O140" i="22"/>
  <c r="O141" i="22"/>
  <c r="O142" i="22"/>
  <c r="N134" i="22"/>
  <c r="N135" i="22"/>
  <c r="N136" i="22"/>
  <c r="N137" i="22"/>
  <c r="O50" i="22"/>
  <c r="O124" i="22"/>
  <c r="O125" i="22"/>
  <c r="O126" i="22"/>
  <c r="O127" i="22"/>
  <c r="P46" i="22"/>
  <c r="N114" i="22"/>
  <c r="N115" i="22"/>
  <c r="N116" i="22"/>
  <c r="N117" i="22"/>
  <c r="O42" i="22"/>
  <c r="P50" i="8"/>
  <c r="O134" i="8"/>
  <c r="O135" i="8"/>
  <c r="O136" i="8"/>
  <c r="O137" i="8"/>
  <c r="O46" i="8"/>
  <c r="N124" i="8"/>
  <c r="N125" i="8"/>
  <c r="N126" i="8"/>
  <c r="N127" i="8"/>
  <c r="Q192" i="8"/>
  <c r="AK187" i="9"/>
  <c r="AH197" i="10"/>
  <c r="AD202" i="8"/>
  <c r="AG197" i="7"/>
  <c r="BT167" i="11"/>
  <c r="AK172" i="22"/>
  <c r="AF212" i="11"/>
  <c r="U30" i="31"/>
  <c r="W30" i="31"/>
  <c r="V30" i="31"/>
  <c r="AH197" i="8"/>
  <c r="AB162" i="8"/>
  <c r="AL171" i="22"/>
  <c r="AL170" i="22"/>
  <c r="T72" i="8"/>
  <c r="S189" i="8"/>
  <c r="AF177" i="8"/>
  <c r="AQ142" i="11"/>
  <c r="AH185" i="7"/>
  <c r="AH186" i="7"/>
  <c r="M200" i="9"/>
  <c r="M201" i="9"/>
  <c r="AC192" i="11"/>
  <c r="AJ210" i="22"/>
  <c r="AJ211" i="22"/>
  <c r="AD182" i="8"/>
  <c r="AM212" i="9"/>
  <c r="BR65" i="8"/>
  <c r="BS232" i="8"/>
  <c r="AE180" i="8"/>
  <c r="AE181" i="8"/>
  <c r="AK152" i="10"/>
  <c r="AV87" i="22"/>
  <c r="AX172" i="7"/>
  <c r="AL151" i="10"/>
  <c r="AL150" i="10"/>
  <c r="AI195" i="10"/>
  <c r="AI196" i="10"/>
  <c r="AE60" i="8"/>
  <c r="AD159" i="8"/>
  <c r="AW85" i="22"/>
  <c r="AW86" i="22"/>
  <c r="BU166" i="11"/>
  <c r="BU165" i="11"/>
  <c r="AD137" i="2"/>
  <c r="U137" i="2"/>
  <c r="L137" i="2"/>
  <c r="BN137" i="2"/>
  <c r="AV137" i="2"/>
  <c r="BE137" i="2"/>
  <c r="AM137" i="2"/>
  <c r="C137" i="2"/>
  <c r="AM78" i="10"/>
  <c r="AL204" i="10"/>
  <c r="AG176" i="8"/>
  <c r="AG175" i="8"/>
  <c r="AU72" i="10"/>
  <c r="AT189" i="10"/>
  <c r="AI195" i="22"/>
  <c r="AI196" i="22"/>
  <c r="AP80" i="9"/>
  <c r="AO209" i="9"/>
  <c r="N89" i="22"/>
  <c r="N90" i="22"/>
  <c r="N91" i="22"/>
  <c r="N92" i="22"/>
  <c r="O32" i="22"/>
  <c r="AK179" i="9"/>
  <c r="AL68" i="9"/>
  <c r="AI184" i="7"/>
  <c r="AJ70" i="7"/>
  <c r="AK210" i="7"/>
  <c r="AK211" i="7"/>
  <c r="O76" i="9"/>
  <c r="N199" i="9"/>
  <c r="AG68" i="8"/>
  <c r="AF179" i="8"/>
  <c r="AN130" i="11"/>
  <c r="AN131" i="11"/>
  <c r="AH196" i="7"/>
  <c r="AH195" i="7"/>
  <c r="AI196" i="8"/>
  <c r="AI195" i="8"/>
  <c r="AH159" i="22"/>
  <c r="AI60" i="22"/>
  <c r="AM149" i="10"/>
  <c r="AN56" i="10"/>
  <c r="AK74" i="10"/>
  <c r="AJ194" i="10"/>
  <c r="AX84" i="22"/>
  <c r="AY30" i="22"/>
  <c r="BW62" i="11"/>
  <c r="BV164" i="11"/>
  <c r="AK206" i="10"/>
  <c r="AK205" i="10"/>
  <c r="AI66" i="8"/>
  <c r="AH174" i="8"/>
  <c r="AH180" i="22"/>
  <c r="AH181" i="22"/>
  <c r="AR140" i="11"/>
  <c r="AR141" i="11"/>
  <c r="AD190" i="11"/>
  <c r="AD191" i="11"/>
  <c r="AN211" i="9"/>
  <c r="AN210" i="9"/>
  <c r="AG210" i="11"/>
  <c r="AG211" i="11"/>
  <c r="AE177" i="11"/>
  <c r="AJ181" i="9"/>
  <c r="AJ180" i="9"/>
  <c r="AM80" i="7"/>
  <c r="AL209" i="7"/>
  <c r="AL185" i="9"/>
  <c r="AL186" i="9"/>
  <c r="AY170" i="7"/>
  <c r="AY171" i="7"/>
  <c r="BU181" i="11"/>
  <c r="BU180" i="11"/>
  <c r="L29" i="32"/>
  <c r="T29" i="32"/>
  <c r="AP48" i="11"/>
  <c r="AO129" i="11"/>
  <c r="M190" i="9"/>
  <c r="M191" i="9"/>
  <c r="L76" i="37"/>
  <c r="M75" i="37"/>
  <c r="BY170" i="11"/>
  <c r="BY171" i="11"/>
  <c r="AJ74" i="7"/>
  <c r="AI194" i="7"/>
  <c r="AK74" i="8"/>
  <c r="AJ194" i="8"/>
  <c r="AG160" i="22"/>
  <c r="AG161" i="22"/>
  <c r="AF176" i="11"/>
  <c r="AF175" i="11"/>
  <c r="AJ68" i="22"/>
  <c r="AI179" i="22"/>
  <c r="AT52" i="11"/>
  <c r="AS139" i="11"/>
  <c r="AE200" i="8"/>
  <c r="AE201" i="8"/>
  <c r="AO180" i="7"/>
  <c r="AO181" i="7"/>
  <c r="AF72" i="11"/>
  <c r="AE189" i="11"/>
  <c r="AF162" i="22"/>
  <c r="AN64" i="22"/>
  <c r="AM169" i="22"/>
  <c r="AI80" i="11"/>
  <c r="AH209" i="11"/>
  <c r="R191" i="8"/>
  <c r="R190" i="8"/>
  <c r="AN182" i="7"/>
  <c r="AK209" i="22"/>
  <c r="AL80" i="22"/>
  <c r="BP73" i="7"/>
  <c r="BQ236" i="7"/>
  <c r="AM184" i="9"/>
  <c r="AN70" i="9"/>
  <c r="BA64" i="7"/>
  <c r="AZ169" i="7"/>
  <c r="BW68" i="11"/>
  <c r="BV179" i="11"/>
  <c r="N189" i="9"/>
  <c r="O72" i="9"/>
  <c r="AG182" i="22"/>
  <c r="BT182" i="11"/>
  <c r="CA64" i="11"/>
  <c r="BZ169" i="11"/>
  <c r="AM132" i="11"/>
  <c r="AC160" i="8"/>
  <c r="AC161" i="8"/>
  <c r="L192" i="9"/>
  <c r="A18" i="2"/>
  <c r="A138" i="2"/>
  <c r="BW138" i="2"/>
  <c r="AH66" i="11"/>
  <c r="AG174" i="11"/>
  <c r="AF199" i="8"/>
  <c r="AG76" i="8"/>
  <c r="AS190" i="10"/>
  <c r="AS191" i="10"/>
  <c r="L202" i="9"/>
  <c r="AK74" i="22"/>
  <c r="AJ194" i="22"/>
  <c r="AQ68" i="7"/>
  <c r="AP179" i="7"/>
  <c r="J31" i="30"/>
  <c r="W13" i="39"/>
  <c r="H30" i="30"/>
  <c r="G38" i="30"/>
  <c r="F39" i="30"/>
  <c r="K30" i="31"/>
  <c r="N119" i="8"/>
  <c r="N120" i="8"/>
  <c r="N121" i="8"/>
  <c r="N122" i="8"/>
  <c r="O44" i="8"/>
  <c r="S94" i="8"/>
  <c r="S95" i="8"/>
  <c r="S96" i="8"/>
  <c r="S97" i="8"/>
  <c r="T34" i="8"/>
  <c r="N114" i="8"/>
  <c r="N115" i="8"/>
  <c r="N116" i="8"/>
  <c r="N117" i="8"/>
  <c r="O42" i="8"/>
  <c r="T167" i="7"/>
  <c r="W62" i="7"/>
  <c r="V164" i="7"/>
  <c r="O32" i="11"/>
  <c r="N89" i="11"/>
  <c r="N90" i="11"/>
  <c r="N91" i="11"/>
  <c r="N92" i="11"/>
  <c r="U166" i="7"/>
  <c r="U165" i="7"/>
  <c r="O84" i="9"/>
  <c r="O85" i="9"/>
  <c r="O86" i="9"/>
  <c r="O87" i="9"/>
  <c r="P30" i="9"/>
  <c r="N139" i="9"/>
  <c r="N140" i="9"/>
  <c r="N141" i="9"/>
  <c r="N142" i="9"/>
  <c r="O52" i="9"/>
  <c r="P86" i="1"/>
  <c r="Q30" i="1"/>
  <c r="O48" i="1"/>
  <c r="N131" i="1"/>
  <c r="N132" i="1"/>
  <c r="N133" i="1"/>
  <c r="N134" i="1"/>
  <c r="N96" i="1"/>
  <c r="N97" i="1"/>
  <c r="N98" i="1"/>
  <c r="N99" i="1"/>
  <c r="O34" i="1"/>
  <c r="O64" i="1"/>
  <c r="N171" i="1"/>
  <c r="N172" i="1"/>
  <c r="N173" i="1"/>
  <c r="N174" i="1"/>
  <c r="P91" i="1"/>
  <c r="P92" i="1"/>
  <c r="P93" i="1"/>
  <c r="P94" i="1"/>
  <c r="Q32" i="1"/>
  <c r="N156" i="1"/>
  <c r="N157" i="1"/>
  <c r="N158" i="1"/>
  <c r="N159" i="1"/>
  <c r="O58" i="1"/>
  <c r="O52" i="1"/>
  <c r="N141" i="1"/>
  <c r="N142" i="1"/>
  <c r="N143" i="1"/>
  <c r="N144" i="1"/>
  <c r="N181" i="1"/>
  <c r="N182" i="1"/>
  <c r="N183" i="1"/>
  <c r="N184" i="1"/>
  <c r="O68" i="1"/>
  <c r="O50" i="1"/>
  <c r="N136" i="1"/>
  <c r="N137" i="1"/>
  <c r="N138" i="1"/>
  <c r="N139" i="1"/>
  <c r="U19" i="26"/>
  <c r="AE19" i="26"/>
  <c r="P19" i="26"/>
  <c r="AJ19" i="26"/>
  <c r="K19" i="26"/>
  <c r="Z19" i="26"/>
  <c r="F19" i="26"/>
  <c r="I39" i="30"/>
  <c r="A20" i="26"/>
  <c r="AO20" i="26"/>
  <c r="H47" i="35"/>
  <c r="J47" i="35"/>
  <c r="AB30" i="39"/>
  <c r="N219" i="1"/>
  <c r="H46" i="35"/>
  <c r="O119" i="22"/>
  <c r="O120" i="22"/>
  <c r="O121" i="22"/>
  <c r="O122" i="22"/>
  <c r="P44" i="22"/>
  <c r="L142" i="8"/>
  <c r="L142" i="7"/>
  <c r="O32" i="6"/>
  <c r="N103" i="6"/>
  <c r="N104" i="6"/>
  <c r="N105" i="6"/>
  <c r="N106" i="6"/>
  <c r="O28" i="6"/>
  <c r="N93" i="6"/>
  <c r="N94" i="6"/>
  <c r="N95" i="6"/>
  <c r="N96" i="6"/>
  <c r="O128" i="6"/>
  <c r="O129" i="6"/>
  <c r="O130" i="6"/>
  <c r="O131" i="6"/>
  <c r="P42" i="6"/>
  <c r="N78" i="6"/>
  <c r="N79" i="6"/>
  <c r="N80" i="6"/>
  <c r="N81" i="6"/>
  <c r="O22" i="6"/>
  <c r="N113" i="6"/>
  <c r="N114" i="6"/>
  <c r="N115" i="6"/>
  <c r="N116" i="6"/>
  <c r="O36" i="6"/>
  <c r="O40" i="6"/>
  <c r="N123" i="6"/>
  <c r="N124" i="6"/>
  <c r="N125" i="6"/>
  <c r="N126" i="6"/>
  <c r="O44" i="6"/>
  <c r="N133" i="6"/>
  <c r="N134" i="6"/>
  <c r="N135" i="6"/>
  <c r="N136" i="6"/>
  <c r="N88" i="6"/>
  <c r="N89" i="6"/>
  <c r="N90" i="6"/>
  <c r="N91" i="6"/>
  <c r="O26" i="6"/>
  <c r="N108" i="6"/>
  <c r="N109" i="6"/>
  <c r="N110" i="6"/>
  <c r="N111" i="6"/>
  <c r="O34" i="6"/>
  <c r="O24" i="6"/>
  <c r="N83" i="6"/>
  <c r="N84" i="6"/>
  <c r="N85" i="6"/>
  <c r="N86" i="6"/>
  <c r="O98" i="6"/>
  <c r="O99" i="6"/>
  <c r="O100" i="6"/>
  <c r="O101" i="6"/>
  <c r="P30" i="6"/>
  <c r="Q82" i="1"/>
  <c r="P216" i="1"/>
  <c r="R80" i="1"/>
  <c r="Q211" i="1"/>
  <c r="Q212" i="1"/>
  <c r="Q213" i="1"/>
  <c r="Q214" i="1"/>
  <c r="M117" i="1"/>
  <c r="M118" i="1"/>
  <c r="O217" i="1"/>
  <c r="O218" i="1"/>
  <c r="L119" i="1"/>
  <c r="O42" i="1"/>
  <c r="N116" i="1"/>
  <c r="L161" i="6"/>
  <c r="M107" i="7"/>
  <c r="L132" i="22"/>
  <c r="O99" i="8"/>
  <c r="O100" i="8"/>
  <c r="O101" i="8"/>
  <c r="O102" i="8"/>
  <c r="P36" i="8"/>
  <c r="S38" i="8"/>
  <c r="R104" i="8"/>
  <c r="R105" i="8"/>
  <c r="R106" i="8"/>
  <c r="R107" i="8"/>
  <c r="N120" i="11"/>
  <c r="N121" i="11"/>
  <c r="N122" i="11"/>
  <c r="P44" i="11"/>
  <c r="O119" i="11"/>
  <c r="M95" i="22"/>
  <c r="M96" i="22"/>
  <c r="O34" i="22"/>
  <c r="N94" i="22"/>
  <c r="N129" i="22"/>
  <c r="N130" i="22"/>
  <c r="N131" i="22"/>
  <c r="N132" i="22"/>
  <c r="O48" i="22"/>
  <c r="N105" i="22"/>
  <c r="N106" i="22"/>
  <c r="N107" i="22"/>
  <c r="M130" i="22"/>
  <c r="M131" i="22"/>
  <c r="M132" i="22"/>
  <c r="O104" i="22"/>
  <c r="O105" i="22"/>
  <c r="O106" i="22"/>
  <c r="O107" i="22"/>
  <c r="P38" i="22"/>
  <c r="P36" i="7"/>
  <c r="O99" i="7"/>
  <c r="O100" i="7"/>
  <c r="O101" i="7"/>
  <c r="O102" i="7"/>
  <c r="P38" i="7"/>
  <c r="O104" i="7"/>
  <c r="O105" i="7"/>
  <c r="O106" i="7"/>
  <c r="O107" i="7"/>
  <c r="R40" i="7"/>
  <c r="Q109" i="7"/>
  <c r="Q110" i="7"/>
  <c r="Q111" i="7"/>
  <c r="Q112" i="7"/>
  <c r="N94" i="7"/>
  <c r="N95" i="7"/>
  <c r="N96" i="7"/>
  <c r="N97" i="7"/>
  <c r="O34" i="7"/>
  <c r="O42" i="7"/>
  <c r="N114" i="7"/>
  <c r="N115" i="7"/>
  <c r="N116" i="7"/>
  <c r="N117" i="7"/>
  <c r="O84" i="7"/>
  <c r="O85" i="7"/>
  <c r="O86" i="7"/>
  <c r="O87" i="7"/>
  <c r="P30" i="7"/>
  <c r="R38" i="6"/>
  <c r="Q118" i="6"/>
  <c r="P119" i="6"/>
  <c r="P120" i="6"/>
  <c r="P121" i="6"/>
  <c r="S54" i="9"/>
  <c r="R144" i="9"/>
  <c r="R145" i="9"/>
  <c r="R146" i="9"/>
  <c r="R147" i="9"/>
  <c r="N42" i="9"/>
  <c r="M114" i="9"/>
  <c r="M115" i="9"/>
  <c r="M116" i="9"/>
  <c r="M117" i="9"/>
  <c r="N124" i="9"/>
  <c r="N125" i="9"/>
  <c r="N126" i="9"/>
  <c r="N127" i="9"/>
  <c r="O46" i="9"/>
  <c r="R38" i="9"/>
  <c r="Q104" i="9"/>
  <c r="Q105" i="9"/>
  <c r="Q106" i="9"/>
  <c r="Q107" i="9"/>
  <c r="O34" i="9"/>
  <c r="N94" i="9"/>
  <c r="N95" i="9"/>
  <c r="N96" i="9"/>
  <c r="N97" i="9"/>
  <c r="O134" i="9"/>
  <c r="O135" i="9"/>
  <c r="O136" i="9"/>
  <c r="O137" i="9"/>
  <c r="P50" i="9"/>
  <c r="O56" i="9"/>
  <c r="N149" i="9"/>
  <c r="O48" i="9"/>
  <c r="N129" i="9"/>
  <c r="N130" i="9"/>
  <c r="N131" i="9"/>
  <c r="N132" i="9"/>
  <c r="P89" i="9"/>
  <c r="Q32" i="9"/>
  <c r="O44" i="9"/>
  <c r="N119" i="9"/>
  <c r="Q76" i="1"/>
  <c r="P201" i="1"/>
  <c r="O74" i="1"/>
  <c r="N196" i="1"/>
  <c r="N197" i="1"/>
  <c r="N198" i="1"/>
  <c r="N199" i="1"/>
  <c r="O70" i="1"/>
  <c r="N186" i="1"/>
  <c r="O202" i="1"/>
  <c r="O203" i="1"/>
  <c r="O204" i="1"/>
  <c r="M197" i="1"/>
  <c r="M198" i="1"/>
  <c r="M199" i="1"/>
  <c r="M187" i="1"/>
  <c r="M188" i="1"/>
  <c r="M189" i="1"/>
  <c r="P72" i="1"/>
  <c r="O191" i="1"/>
  <c r="O192" i="1"/>
  <c r="O193" i="1"/>
  <c r="O194" i="1"/>
  <c r="O161" i="1"/>
  <c r="O162" i="1"/>
  <c r="O163" i="1"/>
  <c r="O164" i="1"/>
  <c r="P60" i="1"/>
  <c r="O78" i="1"/>
  <c r="N206" i="1"/>
  <c r="N207" i="1"/>
  <c r="N208" i="1"/>
  <c r="N209" i="1"/>
  <c r="Q66" i="1"/>
  <c r="P176" i="1"/>
  <c r="P177" i="1"/>
  <c r="P178" i="1"/>
  <c r="P179" i="1"/>
  <c r="U56" i="1"/>
  <c r="T151" i="1"/>
  <c r="T152" i="1"/>
  <c r="T153" i="1"/>
  <c r="T154" i="1"/>
  <c r="H49" i="37"/>
  <c r="S115" i="11"/>
  <c r="S116" i="11"/>
  <c r="S117" i="11"/>
  <c r="U42" i="11"/>
  <c r="T114" i="11"/>
  <c r="W29" i="34"/>
  <c r="V29" i="34"/>
  <c r="AB29" i="35"/>
  <c r="S30" i="11"/>
  <c r="R84" i="11"/>
  <c r="Q85" i="11"/>
  <c r="Q86" i="11"/>
  <c r="Q87" i="11"/>
  <c r="P38" i="11"/>
  <c r="O104" i="11"/>
  <c r="O100" i="11"/>
  <c r="O101" i="11"/>
  <c r="O102" i="11"/>
  <c r="N105" i="11"/>
  <c r="N106" i="11"/>
  <c r="N107" i="11"/>
  <c r="M107" i="11"/>
  <c r="P99" i="11"/>
  <c r="Q36" i="11"/>
  <c r="O134" i="10"/>
  <c r="P50" i="10"/>
  <c r="N135" i="10"/>
  <c r="N136" i="10"/>
  <c r="N137" i="10"/>
  <c r="N100" i="10"/>
  <c r="N101" i="10"/>
  <c r="N102" i="10"/>
  <c r="O99" i="10"/>
  <c r="P36" i="10"/>
  <c r="M155" i="22"/>
  <c r="M156" i="22"/>
  <c r="M157" i="22"/>
  <c r="O58" i="22"/>
  <c r="N154" i="22"/>
  <c r="P36" i="22"/>
  <c r="O99" i="22"/>
  <c r="N100" i="22"/>
  <c r="N101" i="22"/>
  <c r="N102" i="22"/>
  <c r="N145" i="22"/>
  <c r="N146" i="22"/>
  <c r="N147" i="22"/>
  <c r="P40" i="22"/>
  <c r="O109" i="22"/>
  <c r="N110" i="22"/>
  <c r="N111" i="22"/>
  <c r="N112" i="22"/>
  <c r="O144" i="22"/>
  <c r="P54" i="22"/>
  <c r="P150" i="8"/>
  <c r="P151" i="8"/>
  <c r="P152" i="8"/>
  <c r="R56" i="8"/>
  <c r="Q149" i="8"/>
  <c r="N145" i="8"/>
  <c r="N146" i="8"/>
  <c r="N147" i="8"/>
  <c r="P54" i="8"/>
  <c r="O144" i="8"/>
  <c r="M90" i="8"/>
  <c r="M91" i="8"/>
  <c r="M92" i="8"/>
  <c r="O52" i="8"/>
  <c r="N139" i="8"/>
  <c r="O32" i="8"/>
  <c r="N89" i="8"/>
  <c r="O40" i="8"/>
  <c r="N109" i="8"/>
  <c r="M84" i="8"/>
  <c r="N30" i="8"/>
  <c r="O48" i="8"/>
  <c r="N129" i="8"/>
  <c r="M140" i="8"/>
  <c r="M141" i="8"/>
  <c r="M142" i="8"/>
  <c r="M110" i="8"/>
  <c r="M111" i="8"/>
  <c r="M112" i="8"/>
  <c r="M130" i="8"/>
  <c r="M131" i="8"/>
  <c r="L85" i="8"/>
  <c r="L86" i="8"/>
  <c r="L87" i="8"/>
  <c r="O54" i="7"/>
  <c r="N144" i="7"/>
  <c r="M145" i="7"/>
  <c r="M146" i="7"/>
  <c r="M147" i="7"/>
  <c r="M140" i="7"/>
  <c r="M141" i="7"/>
  <c r="M142" i="7"/>
  <c r="N139" i="7"/>
  <c r="O52" i="7"/>
  <c r="O50" i="7"/>
  <c r="N134" i="7"/>
  <c r="M135" i="7"/>
  <c r="M136" i="7"/>
  <c r="M137" i="7"/>
  <c r="O125" i="7"/>
  <c r="O126" i="7"/>
  <c r="O127" i="7"/>
  <c r="P120" i="7"/>
  <c r="P121" i="7"/>
  <c r="P122" i="7"/>
  <c r="Q46" i="7"/>
  <c r="P124" i="7"/>
  <c r="T90" i="7"/>
  <c r="T91" i="7"/>
  <c r="T92" i="7"/>
  <c r="R44" i="7"/>
  <c r="Q119" i="7"/>
  <c r="V32" i="7"/>
  <c r="U89" i="7"/>
  <c r="M164" i="6"/>
  <c r="M165" i="6"/>
  <c r="M166" i="6"/>
  <c r="N163" i="6"/>
  <c r="O56" i="6"/>
  <c r="O54" i="6"/>
  <c r="N158" i="6"/>
  <c r="M159" i="6"/>
  <c r="M160" i="6"/>
  <c r="M161" i="6"/>
  <c r="M154" i="6"/>
  <c r="M155" i="6"/>
  <c r="M156" i="6"/>
  <c r="N153" i="6"/>
  <c r="O52" i="6"/>
  <c r="M149" i="6"/>
  <c r="M150" i="6"/>
  <c r="M151" i="6"/>
  <c r="O50" i="6"/>
  <c r="N148" i="6"/>
  <c r="M144" i="6"/>
  <c r="M145" i="6"/>
  <c r="M146" i="6"/>
  <c r="O48" i="6"/>
  <c r="N143" i="6"/>
  <c r="P60" i="9"/>
  <c r="O159" i="9"/>
  <c r="N160" i="9"/>
  <c r="N161" i="9"/>
  <c r="N162" i="9"/>
  <c r="M155" i="9"/>
  <c r="M156" i="9"/>
  <c r="M157" i="9"/>
  <c r="O58" i="9"/>
  <c r="N154" i="9"/>
  <c r="P36" i="9"/>
  <c r="O99" i="9"/>
  <c r="N100" i="9"/>
  <c r="N101" i="9"/>
  <c r="N102" i="9"/>
  <c r="O109" i="9"/>
  <c r="P40" i="9"/>
  <c r="N110" i="9"/>
  <c r="N111" i="9"/>
  <c r="N112" i="9"/>
  <c r="N166" i="1"/>
  <c r="O62" i="1"/>
  <c r="M167" i="1"/>
  <c r="M168" i="1"/>
  <c r="M169" i="1"/>
  <c r="N126" i="1"/>
  <c r="O46" i="1"/>
  <c r="N146" i="1"/>
  <c r="O54" i="1"/>
  <c r="M147" i="1"/>
  <c r="M148" i="1"/>
  <c r="M149" i="1"/>
  <c r="M127" i="1"/>
  <c r="M128" i="1"/>
  <c r="M129" i="1"/>
  <c r="Q44" i="1"/>
  <c r="P121" i="1"/>
  <c r="O122" i="1"/>
  <c r="O123" i="1"/>
  <c r="O124" i="1"/>
  <c r="O112" i="1"/>
  <c r="O113" i="1"/>
  <c r="O114" i="1"/>
  <c r="P101" i="1"/>
  <c r="Q36" i="1"/>
  <c r="Q40" i="1"/>
  <c r="P111" i="1"/>
  <c r="M107" i="1"/>
  <c r="M108" i="1"/>
  <c r="M109" i="1"/>
  <c r="O102" i="1"/>
  <c r="O103" i="1"/>
  <c r="O104" i="1"/>
  <c r="N106" i="1"/>
  <c r="O38" i="1"/>
  <c r="K30" i="37"/>
  <c r="L30" i="37"/>
  <c r="AA30" i="37"/>
  <c r="AD30" i="37"/>
  <c r="AB30" i="37"/>
  <c r="X30" i="37"/>
  <c r="Z30" i="37"/>
  <c r="AC30" i="37"/>
  <c r="Y30" i="37"/>
  <c r="AC29" i="36"/>
  <c r="U30" i="33"/>
  <c r="P48" i="7"/>
  <c r="O129" i="7"/>
  <c r="O130" i="7"/>
  <c r="O131" i="7"/>
  <c r="O132" i="7"/>
  <c r="Z29" i="36"/>
  <c r="U30" i="36"/>
  <c r="W30" i="36"/>
  <c r="V30" i="36"/>
  <c r="AA29" i="36"/>
  <c r="K29" i="36"/>
  <c r="T29" i="36"/>
  <c r="Z29" i="35"/>
  <c r="Y29" i="35"/>
  <c r="X29" i="35"/>
  <c r="AA29" i="35"/>
  <c r="K29" i="35"/>
  <c r="T29" i="35"/>
  <c r="K30" i="32"/>
  <c r="T30" i="32"/>
  <c r="AW74" i="9"/>
  <c r="AV194" i="9"/>
  <c r="BX138" i="2"/>
  <c r="BW17" i="2"/>
  <c r="M24" i="41"/>
  <c r="N24" i="41"/>
  <c r="O24" i="41"/>
  <c r="P24" i="41"/>
  <c r="Q24" i="41"/>
  <c r="AU195" i="9"/>
  <c r="AU196" i="9"/>
  <c r="AT197" i="9"/>
  <c r="BP59" i="11"/>
  <c r="BQ229" i="11"/>
  <c r="M22" i="36"/>
  <c r="N22" i="36"/>
  <c r="O22" i="36"/>
  <c r="P22" i="36"/>
  <c r="Q22" i="36"/>
  <c r="R22" i="36"/>
  <c r="AF5" i="26"/>
  <c r="CF15" i="2"/>
  <c r="H50" i="41"/>
  <c r="J50" i="41"/>
  <c r="Y26" i="41"/>
  <c r="X26" i="41"/>
  <c r="Z26" i="41"/>
  <c r="K26" i="41"/>
  <c r="L26" i="41"/>
  <c r="Q127" i="11"/>
  <c r="Y167" i="10"/>
  <c r="M177" i="7"/>
  <c r="M207" i="8"/>
  <c r="N152" i="11"/>
  <c r="BY162" i="11"/>
  <c r="W207" i="22"/>
  <c r="AJ177" i="22"/>
  <c r="N202" i="7"/>
  <c r="M137" i="11"/>
  <c r="V207" i="9"/>
  <c r="M202" i="22"/>
  <c r="AG147" i="10"/>
  <c r="AO157" i="10"/>
  <c r="Z157" i="8"/>
  <c r="AE289" i="40"/>
  <c r="AF110" i="40"/>
  <c r="AE264" i="40"/>
  <c r="AF100" i="40"/>
  <c r="AE249" i="40"/>
  <c r="AF94" i="40"/>
  <c r="AE244" i="40"/>
  <c r="AF92" i="40"/>
  <c r="AJ280" i="40"/>
  <c r="AJ281" i="40"/>
  <c r="AJ282" i="40"/>
  <c r="AD290" i="40"/>
  <c r="AD291" i="40"/>
  <c r="AD292" i="40"/>
  <c r="AD265" i="40"/>
  <c r="AD266" i="40"/>
  <c r="AD267" i="40"/>
  <c r="AD245" i="40"/>
  <c r="AD246" i="40"/>
  <c r="AD247" i="40"/>
  <c r="AE284" i="40"/>
  <c r="AF108" i="40"/>
  <c r="AE269" i="40"/>
  <c r="AF102" i="40"/>
  <c r="AD285" i="40"/>
  <c r="AD286" i="40"/>
  <c r="AD287" i="40"/>
  <c r="AD270" i="40"/>
  <c r="AD271" i="40"/>
  <c r="AD272" i="40"/>
  <c r="AM98" i="40"/>
  <c r="AM259" i="40"/>
  <c r="AL104" i="40"/>
  <c r="AL274" i="40"/>
  <c r="AK106" i="40"/>
  <c r="AK279" i="40"/>
  <c r="AK280" i="40"/>
  <c r="AK281" i="40"/>
  <c r="AK282" i="40"/>
  <c r="AL96" i="40"/>
  <c r="AL254" i="40"/>
  <c r="AH90" i="40"/>
  <c r="AD220" i="40"/>
  <c r="AD221" i="40"/>
  <c r="AD160" i="40"/>
  <c r="AD161" i="40"/>
  <c r="AD162" i="40"/>
  <c r="AF62" i="40"/>
  <c r="AE169" i="40"/>
  <c r="AD150" i="40"/>
  <c r="AD151" i="40"/>
  <c r="AD152" i="40"/>
  <c r="AE177" i="40"/>
  <c r="AD200" i="40"/>
  <c r="AD201" i="40"/>
  <c r="AF82" i="40"/>
  <c r="AE219" i="40"/>
  <c r="AG66" i="40"/>
  <c r="AF179" i="40"/>
  <c r="AD210" i="40"/>
  <c r="AD211" i="40"/>
  <c r="AD212" i="40"/>
  <c r="AD230" i="40"/>
  <c r="AD231" i="40"/>
  <c r="AD232" i="40"/>
  <c r="AD227" i="40"/>
  <c r="AF48" i="40"/>
  <c r="AE134" i="40"/>
  <c r="AD145" i="40"/>
  <c r="AD146" i="40"/>
  <c r="AD147" i="40"/>
  <c r="AD142" i="40"/>
  <c r="AE115" i="40"/>
  <c r="AE116" i="40"/>
  <c r="AE117" i="40"/>
  <c r="AF58" i="40"/>
  <c r="AE159" i="40"/>
  <c r="AE215" i="40"/>
  <c r="AE216" i="40"/>
  <c r="AD130" i="40"/>
  <c r="AD131" i="40"/>
  <c r="AD132" i="40"/>
  <c r="AH72" i="40"/>
  <c r="AG194" i="40"/>
  <c r="AE235" i="40"/>
  <c r="AE236" i="40"/>
  <c r="AD125" i="40"/>
  <c r="AD126" i="40"/>
  <c r="AD127" i="40"/>
  <c r="AD240" i="40"/>
  <c r="AD241" i="40"/>
  <c r="AG76" i="40"/>
  <c r="AF204" i="40"/>
  <c r="AF70" i="40"/>
  <c r="AE189" i="40"/>
  <c r="AG60" i="40"/>
  <c r="AF164" i="40"/>
  <c r="AD135" i="40"/>
  <c r="AD136" i="40"/>
  <c r="AD137" i="40"/>
  <c r="AF195" i="40"/>
  <c r="AF196" i="40"/>
  <c r="AF197" i="40"/>
  <c r="AD190" i="40"/>
  <c r="AD191" i="40"/>
  <c r="AD192" i="40"/>
  <c r="AF54" i="40"/>
  <c r="AE149" i="40"/>
  <c r="AD155" i="40"/>
  <c r="AD156" i="40"/>
  <c r="AD157" i="40"/>
  <c r="AF74" i="40"/>
  <c r="AE199" i="40"/>
  <c r="AE165" i="40"/>
  <c r="AE166" i="40"/>
  <c r="AF78" i="40"/>
  <c r="AE209" i="40"/>
  <c r="AD120" i="40"/>
  <c r="AD121" i="40"/>
  <c r="AD122" i="40"/>
  <c r="AF86" i="40"/>
  <c r="AE229" i="40"/>
  <c r="AG80" i="40"/>
  <c r="AF214" i="40"/>
  <c r="AE225" i="40"/>
  <c r="AE226" i="40"/>
  <c r="AF46" i="40"/>
  <c r="AE129" i="40"/>
  <c r="AG88" i="40"/>
  <c r="AF234" i="40"/>
  <c r="AD182" i="40"/>
  <c r="AC212" i="40"/>
  <c r="AF175" i="40"/>
  <c r="AF176" i="40"/>
  <c r="AF177" i="40"/>
  <c r="AE239" i="40"/>
  <c r="AD167" i="40"/>
  <c r="AH68" i="40"/>
  <c r="AG184" i="40"/>
  <c r="AE205" i="40"/>
  <c r="AE206" i="40"/>
  <c r="AG50" i="40"/>
  <c r="AF139" i="40"/>
  <c r="AF56" i="40"/>
  <c r="AE154" i="40"/>
  <c r="AE180" i="40"/>
  <c r="AE181" i="40"/>
  <c r="AF185" i="40"/>
  <c r="AF186" i="40"/>
  <c r="AF42" i="40"/>
  <c r="AE119" i="40"/>
  <c r="AC202" i="40"/>
  <c r="AF52" i="40"/>
  <c r="AE144" i="40"/>
  <c r="AG40" i="40"/>
  <c r="AF114" i="40"/>
  <c r="AG84" i="40"/>
  <c r="AF224" i="40"/>
  <c r="AF44" i="40"/>
  <c r="AE124" i="40"/>
  <c r="AH64" i="40"/>
  <c r="AG174" i="40"/>
  <c r="AD170" i="40"/>
  <c r="AD171" i="40"/>
  <c r="AE140" i="40"/>
  <c r="AE141" i="40"/>
  <c r="V172" i="9"/>
  <c r="S23" i="30"/>
  <c r="B5" i="26"/>
  <c r="O164" i="9"/>
  <c r="P62" i="9"/>
  <c r="Q155" i="7"/>
  <c r="Q156" i="7"/>
  <c r="P76" i="22"/>
  <c r="O199" i="22"/>
  <c r="N180" i="10"/>
  <c r="N181" i="10"/>
  <c r="AK176" i="22"/>
  <c r="AK175" i="22"/>
  <c r="R126" i="11"/>
  <c r="R125" i="11"/>
  <c r="O199" i="10"/>
  <c r="P76" i="10"/>
  <c r="Z166" i="10"/>
  <c r="Z165" i="10"/>
  <c r="N175" i="7"/>
  <c r="N176" i="7"/>
  <c r="N200" i="11"/>
  <c r="N201" i="11"/>
  <c r="AO170" i="10"/>
  <c r="AO171" i="10"/>
  <c r="AP174" i="9"/>
  <c r="AQ66" i="9"/>
  <c r="AA155" i="8"/>
  <c r="AA156" i="8"/>
  <c r="R162" i="7"/>
  <c r="BZ161" i="11"/>
  <c r="BZ160" i="11"/>
  <c r="M162" i="10"/>
  <c r="Q76" i="7"/>
  <c r="P199" i="7"/>
  <c r="AN210" i="10"/>
  <c r="AN211" i="10"/>
  <c r="S205" i="11"/>
  <c r="S206" i="11"/>
  <c r="O151" i="11"/>
  <c r="O150" i="11"/>
  <c r="CB209" i="8"/>
  <c r="CB81" i="8"/>
  <c r="CA81" i="8"/>
  <c r="BZ81" i="8"/>
  <c r="BY81" i="8"/>
  <c r="Z174" i="10"/>
  <c r="AA66" i="10"/>
  <c r="X62" i="22"/>
  <c r="W164" i="22"/>
  <c r="AM212" i="10"/>
  <c r="R207" i="11"/>
  <c r="BZ212" i="8"/>
  <c r="AR58" i="10"/>
  <c r="AQ154" i="10"/>
  <c r="X205" i="22"/>
  <c r="X206" i="22"/>
  <c r="X177" i="10"/>
  <c r="AH145" i="10"/>
  <c r="AH146" i="10"/>
  <c r="AD184" i="10"/>
  <c r="AE70" i="10"/>
  <c r="T46" i="11"/>
  <c r="S124" i="11"/>
  <c r="P66" i="7"/>
  <c r="O174" i="7"/>
  <c r="P76" i="11"/>
  <c r="O199" i="11"/>
  <c r="AP169" i="10"/>
  <c r="AQ64" i="10"/>
  <c r="AO176" i="9"/>
  <c r="AO175" i="9"/>
  <c r="AB187" i="10"/>
  <c r="AC58" i="8"/>
  <c r="AB154" i="8"/>
  <c r="O138" i="6"/>
  <c r="O139" i="6"/>
  <c r="O140" i="6"/>
  <c r="O141" i="6"/>
  <c r="P46" i="6"/>
  <c r="X169" i="9"/>
  <c r="Y64" i="9"/>
  <c r="CA159" i="11"/>
  <c r="CB60" i="11"/>
  <c r="N206" i="8"/>
  <c r="N205" i="8"/>
  <c r="W192" i="22"/>
  <c r="AP80" i="10"/>
  <c r="AO209" i="10"/>
  <c r="U78" i="11"/>
  <c r="T204" i="11"/>
  <c r="Q56" i="11"/>
  <c r="P149" i="11"/>
  <c r="U185" i="22"/>
  <c r="U186" i="22"/>
  <c r="Y175" i="10"/>
  <c r="Y176" i="10"/>
  <c r="V166" i="22"/>
  <c r="V165" i="22"/>
  <c r="AP156" i="10"/>
  <c r="AP155" i="10"/>
  <c r="Y204" i="22"/>
  <c r="Z78" i="22"/>
  <c r="AI144" i="10"/>
  <c r="AJ54" i="10"/>
  <c r="AC185" i="10"/>
  <c r="AC186" i="10"/>
  <c r="W78" i="7"/>
  <c r="V204" i="7"/>
  <c r="BV55" i="11"/>
  <c r="BW227" i="11"/>
  <c r="S161" i="7"/>
  <c r="S160" i="7"/>
  <c r="P60" i="10"/>
  <c r="O159" i="10"/>
  <c r="AD195" i="11"/>
  <c r="AD196" i="11"/>
  <c r="X190" i="22"/>
  <c r="X191" i="22"/>
  <c r="T166" i="8"/>
  <c r="T165" i="8"/>
  <c r="W170" i="9"/>
  <c r="W171" i="9"/>
  <c r="N150" i="22"/>
  <c r="N151" i="22"/>
  <c r="N152" i="22"/>
  <c r="U167" i="22"/>
  <c r="P78" i="8"/>
  <c r="O204" i="8"/>
  <c r="N136" i="11"/>
  <c r="N135" i="11"/>
  <c r="M182" i="10"/>
  <c r="V184" i="22"/>
  <c r="W70" i="22"/>
  <c r="N185" i="8"/>
  <c r="N186" i="8"/>
  <c r="W205" i="9"/>
  <c r="W206" i="9"/>
  <c r="N165" i="9"/>
  <c r="N166" i="9"/>
  <c r="M202" i="10"/>
  <c r="R154" i="7"/>
  <c r="S58" i="7"/>
  <c r="N201" i="22"/>
  <c r="N200" i="22"/>
  <c r="P68" i="10"/>
  <c r="O179" i="10"/>
  <c r="T187" i="22"/>
  <c r="M187" i="8"/>
  <c r="AM66" i="22"/>
  <c r="AL174" i="22"/>
  <c r="U206" i="7"/>
  <c r="U205" i="7"/>
  <c r="N201" i="10"/>
  <c r="N200" i="10"/>
  <c r="AB62" i="10"/>
  <c r="AA164" i="10"/>
  <c r="U60" i="7"/>
  <c r="T159" i="7"/>
  <c r="N161" i="10"/>
  <c r="N160" i="10"/>
  <c r="AF74" i="11"/>
  <c r="AE194" i="11"/>
  <c r="T207" i="7"/>
  <c r="Z72" i="22"/>
  <c r="Y189" i="22"/>
  <c r="V62" i="8"/>
  <c r="U164" i="8"/>
  <c r="CB147" i="11"/>
  <c r="CB227" i="11"/>
  <c r="M202" i="11"/>
  <c r="O149" i="22"/>
  <c r="P56" i="22"/>
  <c r="AN172" i="10"/>
  <c r="AN177" i="9"/>
  <c r="AC197" i="11"/>
  <c r="O200" i="7"/>
  <c r="O201" i="7"/>
  <c r="M167" i="9"/>
  <c r="S167" i="8"/>
  <c r="P157" i="7"/>
  <c r="P50" i="11"/>
  <c r="O134" i="11"/>
  <c r="CA210" i="8"/>
  <c r="CA211" i="8"/>
  <c r="P70" i="8"/>
  <c r="O184" i="8"/>
  <c r="X204" i="9"/>
  <c r="Y78" i="9"/>
  <c r="S22" i="37"/>
  <c r="AK5" i="26"/>
  <c r="AA5" i="26"/>
  <c r="S22" i="35"/>
  <c r="V5" i="26"/>
  <c r="S22" i="34"/>
  <c r="Q5" i="26"/>
  <c r="S22" i="33"/>
  <c r="L5" i="26"/>
  <c r="S22" i="32"/>
  <c r="G5" i="26"/>
  <c r="S22" i="31"/>
  <c r="R40" i="11"/>
  <c r="Q109" i="11"/>
  <c r="Q110" i="11"/>
  <c r="Q111" i="11"/>
  <c r="Q112" i="11"/>
  <c r="O84" i="10"/>
  <c r="O85" i="10"/>
  <c r="O86" i="10"/>
  <c r="O87" i="10"/>
  <c r="P30" i="10"/>
  <c r="O89" i="10"/>
  <c r="O90" i="10"/>
  <c r="O91" i="10"/>
  <c r="O92" i="10"/>
  <c r="P32" i="10"/>
  <c r="O109" i="10"/>
  <c r="O110" i="10"/>
  <c r="O111" i="10"/>
  <c r="O112" i="10"/>
  <c r="P40" i="10"/>
  <c r="P119" i="10"/>
  <c r="P120" i="10"/>
  <c r="P121" i="10"/>
  <c r="P122" i="10"/>
  <c r="Q44" i="10"/>
  <c r="O114" i="10"/>
  <c r="O115" i="10"/>
  <c r="O116" i="10"/>
  <c r="O117" i="10"/>
  <c r="P42" i="10"/>
  <c r="P48" i="10"/>
  <c r="O129" i="10"/>
  <c r="O130" i="10"/>
  <c r="O131" i="10"/>
  <c r="O132" i="10"/>
  <c r="O124" i="10"/>
  <c r="O125" i="10"/>
  <c r="O126" i="10"/>
  <c r="O127" i="10"/>
  <c r="P46" i="10"/>
  <c r="P34" i="10"/>
  <c r="O94" i="10"/>
  <c r="O95" i="10"/>
  <c r="O96" i="10"/>
  <c r="O97" i="10"/>
  <c r="P52" i="10"/>
  <c r="O139" i="10"/>
  <c r="O140" i="10"/>
  <c r="O141" i="10"/>
  <c r="O142" i="10"/>
  <c r="P38" i="10"/>
  <c r="O104" i="10"/>
  <c r="O105" i="10"/>
  <c r="O106" i="10"/>
  <c r="O107" i="10"/>
  <c r="Q46" i="22"/>
  <c r="P124" i="22"/>
  <c r="P125" i="22"/>
  <c r="P126" i="22"/>
  <c r="P127" i="22"/>
  <c r="Q52" i="22"/>
  <c r="P139" i="22"/>
  <c r="P140" i="22"/>
  <c r="P141" i="22"/>
  <c r="P142" i="22"/>
  <c r="O114" i="22"/>
  <c r="O115" i="22"/>
  <c r="O116" i="22"/>
  <c r="O117" i="22"/>
  <c r="P42" i="22"/>
  <c r="P50" i="22"/>
  <c r="O134" i="22"/>
  <c r="O135" i="22"/>
  <c r="O136" i="22"/>
  <c r="O137" i="22"/>
  <c r="O124" i="8"/>
  <c r="O125" i="8"/>
  <c r="O126" i="8"/>
  <c r="O127" i="8"/>
  <c r="P46" i="8"/>
  <c r="P134" i="8"/>
  <c r="P135" i="8"/>
  <c r="P136" i="8"/>
  <c r="P137" i="8"/>
  <c r="Q50" i="8"/>
  <c r="BU182" i="11"/>
  <c r="AK207" i="10"/>
  <c r="AH197" i="7"/>
  <c r="AW87" i="22"/>
  <c r="AI197" i="10"/>
  <c r="AO182" i="7"/>
  <c r="AL187" i="9"/>
  <c r="AR142" i="11"/>
  <c r="AK212" i="7"/>
  <c r="BU167" i="11"/>
  <c r="AL172" i="22"/>
  <c r="AN212" i="9"/>
  <c r="AL152" i="10"/>
  <c r="M202" i="9"/>
  <c r="AH187" i="7"/>
  <c r="AR68" i="7"/>
  <c r="AQ179" i="7"/>
  <c r="AH76" i="8"/>
  <c r="AG199" i="8"/>
  <c r="BN138" i="2"/>
  <c r="BE138" i="2"/>
  <c r="AV138" i="2"/>
  <c r="AM138" i="2"/>
  <c r="C138" i="2"/>
  <c r="AD138" i="2"/>
  <c r="U138" i="2"/>
  <c r="L138" i="2"/>
  <c r="P72" i="9"/>
  <c r="O189" i="9"/>
  <c r="AM170" i="22"/>
  <c r="AM171" i="22"/>
  <c r="AE190" i="11"/>
  <c r="AE191" i="11"/>
  <c r="AE202" i="8"/>
  <c r="AS140" i="11"/>
  <c r="AS141" i="11"/>
  <c r="AK68" i="22"/>
  <c r="AJ179" i="22"/>
  <c r="AF177" i="11"/>
  <c r="AJ195" i="8"/>
  <c r="AJ196" i="8"/>
  <c r="M192" i="9"/>
  <c r="AY172" i="7"/>
  <c r="AH182" i="22"/>
  <c r="AJ66" i="8"/>
  <c r="AI174" i="8"/>
  <c r="BX62" i="11"/>
  <c r="BW164" i="11"/>
  <c r="AX86" i="22"/>
  <c r="AX85" i="22"/>
  <c r="AI159" i="22"/>
  <c r="AJ60" i="22"/>
  <c r="AF180" i="8"/>
  <c r="AF181" i="8"/>
  <c r="N200" i="9"/>
  <c r="N201" i="9"/>
  <c r="AK70" i="7"/>
  <c r="AJ184" i="7"/>
  <c r="AK180" i="9"/>
  <c r="AK181" i="9"/>
  <c r="P32" i="22"/>
  <c r="O89" i="22"/>
  <c r="O90" i="22"/>
  <c r="O91" i="22"/>
  <c r="O92" i="22"/>
  <c r="AP209" i="9"/>
  <c r="AQ80" i="9"/>
  <c r="AT191" i="10"/>
  <c r="AT190" i="10"/>
  <c r="AV16" i="2"/>
  <c r="M23" i="35"/>
  <c r="N23" i="35"/>
  <c r="O23" i="35"/>
  <c r="P23" i="35"/>
  <c r="AW137" i="2"/>
  <c r="AD16" i="2"/>
  <c r="M23" i="33"/>
  <c r="N23" i="33"/>
  <c r="O23" i="33"/>
  <c r="P23" i="33"/>
  <c r="AE137" i="2"/>
  <c r="AE182" i="8"/>
  <c r="AJ212" i="22"/>
  <c r="AS192" i="10"/>
  <c r="AF201" i="8"/>
  <c r="AF200" i="8"/>
  <c r="A19" i="2"/>
  <c r="A139" i="2"/>
  <c r="BW139" i="2"/>
  <c r="AC162" i="8"/>
  <c r="N190" i="9"/>
  <c r="N191" i="9"/>
  <c r="AO70" i="9"/>
  <c r="AN184" i="9"/>
  <c r="AH211" i="11"/>
  <c r="AH210" i="11"/>
  <c r="AO64" i="22"/>
  <c r="AN169" i="22"/>
  <c r="AG72" i="11"/>
  <c r="AF189" i="11"/>
  <c r="AU52" i="11"/>
  <c r="AT139" i="11"/>
  <c r="AG162" i="22"/>
  <c r="AL74" i="8"/>
  <c r="AK194" i="8"/>
  <c r="AI195" i="7"/>
  <c r="AI196" i="7"/>
  <c r="BY172" i="11"/>
  <c r="AJ182" i="9"/>
  <c r="AG212" i="11"/>
  <c r="AD192" i="11"/>
  <c r="AO56" i="10"/>
  <c r="AN149" i="10"/>
  <c r="AH161" i="22"/>
  <c r="AH160" i="22"/>
  <c r="AN132" i="11"/>
  <c r="AH68" i="8"/>
  <c r="AG179" i="8"/>
  <c r="O199" i="9"/>
  <c r="P76" i="9"/>
  <c r="AI186" i="7"/>
  <c r="AI185" i="7"/>
  <c r="AI197" i="22"/>
  <c r="AU189" i="10"/>
  <c r="AV72" i="10"/>
  <c r="AL205" i="10"/>
  <c r="AL206" i="10"/>
  <c r="C16" i="2"/>
  <c r="M24" i="30"/>
  <c r="D137" i="2"/>
  <c r="BN16" i="2"/>
  <c r="M23" i="37"/>
  <c r="N23" i="37"/>
  <c r="O23" i="37"/>
  <c r="P23" i="37"/>
  <c r="BO137" i="2"/>
  <c r="AD160" i="8"/>
  <c r="AD161" i="8"/>
  <c r="S191" i="8"/>
  <c r="S190" i="8"/>
  <c r="AJ196" i="22"/>
  <c r="AJ195" i="22"/>
  <c r="AG176" i="11"/>
  <c r="AG175" i="11"/>
  <c r="BZ170" i="11"/>
  <c r="BZ171" i="11"/>
  <c r="BV181" i="11"/>
  <c r="BV180" i="11"/>
  <c r="AZ170" i="7"/>
  <c r="AZ171" i="7"/>
  <c r="AM185" i="9"/>
  <c r="AM186" i="9"/>
  <c r="AM80" i="22"/>
  <c r="AL209" i="22"/>
  <c r="AJ80" i="11"/>
  <c r="AI209" i="11"/>
  <c r="AK74" i="7"/>
  <c r="AJ194" i="7"/>
  <c r="AO131" i="11"/>
  <c r="AO130" i="11"/>
  <c r="AL210" i="7"/>
  <c r="AL211" i="7"/>
  <c r="AJ195" i="10"/>
  <c r="AJ196" i="10"/>
  <c r="AM150" i="10"/>
  <c r="AM151" i="10"/>
  <c r="AN78" i="10"/>
  <c r="AM204" i="10"/>
  <c r="AM16" i="2"/>
  <c r="M23" i="34"/>
  <c r="N23" i="34"/>
  <c r="O23" i="34"/>
  <c r="P23" i="34"/>
  <c r="AN137" i="2"/>
  <c r="L16" i="2"/>
  <c r="M23" i="31"/>
  <c r="N23" i="31"/>
  <c r="O23" i="31"/>
  <c r="P23" i="31"/>
  <c r="M137" i="2"/>
  <c r="AE159" i="8"/>
  <c r="AF60" i="8"/>
  <c r="U72" i="8"/>
  <c r="T189" i="8"/>
  <c r="AP181" i="7"/>
  <c r="AP180" i="7"/>
  <c r="AL74" i="22"/>
  <c r="AK194" i="22"/>
  <c r="AI66" i="11"/>
  <c r="AH174" i="11"/>
  <c r="CB64" i="11"/>
  <c r="CA169" i="11"/>
  <c r="BX68" i="11"/>
  <c r="BW179" i="11"/>
  <c r="BA169" i="7"/>
  <c r="BB64" i="7"/>
  <c r="BO73" i="7"/>
  <c r="BP236" i="7"/>
  <c r="AK210" i="22"/>
  <c r="AK211" i="22"/>
  <c r="R192" i="8"/>
  <c r="AI180" i="22"/>
  <c r="AI181" i="22"/>
  <c r="L77" i="37"/>
  <c r="M76" i="37"/>
  <c r="AQ48" i="11"/>
  <c r="AP129" i="11"/>
  <c r="AN80" i="7"/>
  <c r="AM209" i="7"/>
  <c r="AH175" i="8"/>
  <c r="AH176" i="8"/>
  <c r="BV165" i="11"/>
  <c r="BV166" i="11"/>
  <c r="AY84" i="22"/>
  <c r="AZ30" i="22"/>
  <c r="AL74" i="10"/>
  <c r="AK194" i="10"/>
  <c r="AI197" i="8"/>
  <c r="AM68" i="9"/>
  <c r="AL179" i="9"/>
  <c r="AO210" i="9"/>
  <c r="AO211" i="9"/>
  <c r="AG177" i="8"/>
  <c r="BE16" i="2"/>
  <c r="BF137" i="2"/>
  <c r="V137" i="2"/>
  <c r="U16" i="2"/>
  <c r="M23" i="32"/>
  <c r="N23" i="32"/>
  <c r="O23" i="32"/>
  <c r="P23" i="32"/>
  <c r="BQ65" i="8"/>
  <c r="BR232" i="8"/>
  <c r="J30" i="30"/>
  <c r="H29" i="30"/>
  <c r="G39" i="30"/>
  <c r="F40" i="30"/>
  <c r="T30" i="31"/>
  <c r="L30" i="31"/>
  <c r="AC30" i="31"/>
  <c r="Z30" i="31"/>
  <c r="AA30" i="31"/>
  <c r="AB30" i="31"/>
  <c r="Y30" i="31"/>
  <c r="X30" i="31"/>
  <c r="AD30" i="31"/>
  <c r="P42" i="8"/>
  <c r="O114" i="8"/>
  <c r="O115" i="8"/>
  <c r="O116" i="8"/>
  <c r="O117" i="8"/>
  <c r="U34" i="8"/>
  <c r="T94" i="8"/>
  <c r="T95" i="8"/>
  <c r="T96" i="8"/>
  <c r="T97" i="8"/>
  <c r="O119" i="8"/>
  <c r="O120" i="8"/>
  <c r="O121" i="8"/>
  <c r="O122" i="8"/>
  <c r="P44" i="8"/>
  <c r="X62" i="7"/>
  <c r="W164" i="7"/>
  <c r="U167" i="7"/>
  <c r="P32" i="11"/>
  <c r="O89" i="11"/>
  <c r="O90" i="11"/>
  <c r="O91" i="11"/>
  <c r="O92" i="11"/>
  <c r="V165" i="7"/>
  <c r="V166" i="7"/>
  <c r="O139" i="9"/>
  <c r="O140" i="9"/>
  <c r="O141" i="9"/>
  <c r="O142" i="9"/>
  <c r="P52" i="9"/>
  <c r="P84" i="9"/>
  <c r="P85" i="9"/>
  <c r="P86" i="9"/>
  <c r="P87" i="9"/>
  <c r="Q30" i="9"/>
  <c r="R30" i="1"/>
  <c r="Q86" i="1"/>
  <c r="Q87" i="1"/>
  <c r="Q88" i="1"/>
  <c r="Q89" i="1"/>
  <c r="P87" i="1"/>
  <c r="P88" i="1"/>
  <c r="P89" i="1"/>
  <c r="O141" i="1"/>
  <c r="O142" i="1"/>
  <c r="O143" i="1"/>
  <c r="O144" i="1"/>
  <c r="P52" i="1"/>
  <c r="P64" i="1"/>
  <c r="O171" i="1"/>
  <c r="O172" i="1"/>
  <c r="O173" i="1"/>
  <c r="O174" i="1"/>
  <c r="P48" i="1"/>
  <c r="O131" i="1"/>
  <c r="O132" i="1"/>
  <c r="O133" i="1"/>
  <c r="O134" i="1"/>
  <c r="O181" i="1"/>
  <c r="P68" i="1"/>
  <c r="O156" i="1"/>
  <c r="O157" i="1"/>
  <c r="O158" i="1"/>
  <c r="O159" i="1"/>
  <c r="P58" i="1"/>
  <c r="R32" i="1"/>
  <c r="Q91" i="1"/>
  <c r="Q92" i="1"/>
  <c r="Q93" i="1"/>
  <c r="Q94" i="1"/>
  <c r="P34" i="1"/>
  <c r="O96" i="1"/>
  <c r="O97" i="1"/>
  <c r="O98" i="1"/>
  <c r="O99" i="1"/>
  <c r="O136" i="1"/>
  <c r="O137" i="1"/>
  <c r="O138" i="1"/>
  <c r="O139" i="1"/>
  <c r="P50" i="1"/>
  <c r="AB30" i="32"/>
  <c r="Z30" i="32"/>
  <c r="Y30" i="32"/>
  <c r="AC30" i="32"/>
  <c r="AA30" i="32"/>
  <c r="AD30" i="32"/>
  <c r="X30" i="32"/>
  <c r="I40" i="30"/>
  <c r="A21" i="26"/>
  <c r="AO21" i="26"/>
  <c r="AJ20" i="26"/>
  <c r="K20" i="26"/>
  <c r="Z20" i="26"/>
  <c r="AE20" i="26"/>
  <c r="U20" i="26"/>
  <c r="F20" i="26"/>
  <c r="P20" i="26"/>
  <c r="O219" i="1"/>
  <c r="J46" i="35"/>
  <c r="AB29" i="39"/>
  <c r="H45" i="35"/>
  <c r="Q44" i="22"/>
  <c r="P119" i="22"/>
  <c r="P120" i="22"/>
  <c r="P121" i="22"/>
  <c r="P122" i="22"/>
  <c r="M132" i="8"/>
  <c r="P98" i="6"/>
  <c r="P99" i="6"/>
  <c r="P100" i="6"/>
  <c r="P101" i="6"/>
  <c r="Q30" i="6"/>
  <c r="P34" i="6"/>
  <c r="O108" i="6"/>
  <c r="O88" i="6"/>
  <c r="O89" i="6"/>
  <c r="O90" i="6"/>
  <c r="O91" i="6"/>
  <c r="P26" i="6"/>
  <c r="P36" i="6"/>
  <c r="O113" i="6"/>
  <c r="O114" i="6"/>
  <c r="O115" i="6"/>
  <c r="O116" i="6"/>
  <c r="P22" i="6"/>
  <c r="O78" i="6"/>
  <c r="P128" i="6"/>
  <c r="P129" i="6"/>
  <c r="P130" i="6"/>
  <c r="P131" i="6"/>
  <c r="Q42" i="6"/>
  <c r="O83" i="6"/>
  <c r="O84" i="6"/>
  <c r="O85" i="6"/>
  <c r="O86" i="6"/>
  <c r="P24" i="6"/>
  <c r="O133" i="6"/>
  <c r="O134" i="6"/>
  <c r="O135" i="6"/>
  <c r="O136" i="6"/>
  <c r="P44" i="6"/>
  <c r="O123" i="6"/>
  <c r="P40" i="6"/>
  <c r="P28" i="6"/>
  <c r="O93" i="6"/>
  <c r="O94" i="6"/>
  <c r="O95" i="6"/>
  <c r="O96" i="6"/>
  <c r="O103" i="6"/>
  <c r="O104" i="6"/>
  <c r="O105" i="6"/>
  <c r="O106" i="6"/>
  <c r="P32" i="6"/>
  <c r="P217" i="1"/>
  <c r="P218" i="1"/>
  <c r="O116" i="1"/>
  <c r="O117" i="1"/>
  <c r="O118" i="1"/>
  <c r="O119" i="1"/>
  <c r="P42" i="1"/>
  <c r="N117" i="1"/>
  <c r="N118" i="1"/>
  <c r="M119" i="1"/>
  <c r="S80" i="1"/>
  <c r="R211" i="1"/>
  <c r="R212" i="1"/>
  <c r="R213" i="1"/>
  <c r="R214" i="1"/>
  <c r="R82" i="1"/>
  <c r="Q216" i="1"/>
  <c r="M97" i="22"/>
  <c r="S104" i="8"/>
  <c r="S105" i="8"/>
  <c r="S106" i="8"/>
  <c r="S107" i="8"/>
  <c r="T38" i="8"/>
  <c r="Q36" i="8"/>
  <c r="P99" i="8"/>
  <c r="P100" i="8"/>
  <c r="P101" i="8"/>
  <c r="P102" i="8"/>
  <c r="Q44" i="11"/>
  <c r="P119" i="11"/>
  <c r="O120" i="11"/>
  <c r="O121" i="11"/>
  <c r="O122" i="11"/>
  <c r="Q38" i="22"/>
  <c r="P104" i="22"/>
  <c r="P105" i="22"/>
  <c r="P106" i="22"/>
  <c r="P107" i="22"/>
  <c r="N95" i="22"/>
  <c r="N96" i="22"/>
  <c r="N97" i="22"/>
  <c r="P34" i="22"/>
  <c r="O94" i="22"/>
  <c r="O129" i="22"/>
  <c r="O130" i="22"/>
  <c r="O131" i="22"/>
  <c r="O132" i="22"/>
  <c r="P48" i="22"/>
  <c r="O114" i="7"/>
  <c r="O115" i="7"/>
  <c r="O116" i="7"/>
  <c r="O117" i="7"/>
  <c r="P42" i="7"/>
  <c r="S40" i="7"/>
  <c r="R109" i="7"/>
  <c r="R110" i="7"/>
  <c r="R111" i="7"/>
  <c r="R112" i="7"/>
  <c r="Q38" i="7"/>
  <c r="P104" i="7"/>
  <c r="Q30" i="7"/>
  <c r="P84" i="7"/>
  <c r="P85" i="7"/>
  <c r="P86" i="7"/>
  <c r="P87" i="7"/>
  <c r="O94" i="7"/>
  <c r="O95" i="7"/>
  <c r="O96" i="7"/>
  <c r="O97" i="7"/>
  <c r="P34" i="7"/>
  <c r="P99" i="7"/>
  <c r="P100" i="7"/>
  <c r="P101" i="7"/>
  <c r="P102" i="7"/>
  <c r="Q36" i="7"/>
  <c r="Q119" i="6"/>
  <c r="Q120" i="6"/>
  <c r="R118" i="6"/>
  <c r="S38" i="6"/>
  <c r="P34" i="9"/>
  <c r="O94" i="9"/>
  <c r="O95" i="9"/>
  <c r="O96" i="9"/>
  <c r="O97" i="9"/>
  <c r="O42" i="9"/>
  <c r="N114" i="9"/>
  <c r="N115" i="9"/>
  <c r="N116" i="9"/>
  <c r="N117" i="9"/>
  <c r="P46" i="9"/>
  <c r="O124" i="9"/>
  <c r="O125" i="9"/>
  <c r="O126" i="9"/>
  <c r="O127" i="9"/>
  <c r="R104" i="9"/>
  <c r="R105" i="9"/>
  <c r="R106" i="9"/>
  <c r="R107" i="9"/>
  <c r="S38" i="9"/>
  <c r="T54" i="9"/>
  <c r="S144" i="9"/>
  <c r="Q50" i="9"/>
  <c r="P134" i="9"/>
  <c r="P135" i="9"/>
  <c r="P136" i="9"/>
  <c r="P137" i="9"/>
  <c r="N120" i="9"/>
  <c r="N121" i="9"/>
  <c r="N122" i="9"/>
  <c r="Q89" i="9"/>
  <c r="Q90" i="9"/>
  <c r="Q91" i="9"/>
  <c r="Q92" i="9"/>
  <c r="R32" i="9"/>
  <c r="N150" i="9"/>
  <c r="N151" i="9"/>
  <c r="N152" i="9"/>
  <c r="P44" i="9"/>
  <c r="O119" i="9"/>
  <c r="O120" i="9"/>
  <c r="O121" i="9"/>
  <c r="O122" i="9"/>
  <c r="P90" i="9"/>
  <c r="P91" i="9"/>
  <c r="P92" i="9"/>
  <c r="P56" i="9"/>
  <c r="O149" i="9"/>
  <c r="O150" i="9"/>
  <c r="O151" i="9"/>
  <c r="O152" i="9"/>
  <c r="O129" i="9"/>
  <c r="O130" i="9"/>
  <c r="O131" i="9"/>
  <c r="O132" i="9"/>
  <c r="P48" i="9"/>
  <c r="N187" i="1"/>
  <c r="N188" i="1"/>
  <c r="R66" i="1"/>
  <c r="Q176" i="1"/>
  <c r="Q177" i="1"/>
  <c r="Q178" i="1"/>
  <c r="Q179" i="1"/>
  <c r="Q72" i="1"/>
  <c r="P191" i="1"/>
  <c r="P70" i="1"/>
  <c r="O186" i="1"/>
  <c r="Q60" i="1"/>
  <c r="P161" i="1"/>
  <c r="P202" i="1"/>
  <c r="P203" i="1"/>
  <c r="U151" i="1"/>
  <c r="U152" i="1"/>
  <c r="U153" i="1"/>
  <c r="U154" i="1"/>
  <c r="V56" i="1"/>
  <c r="P78" i="1"/>
  <c r="O206" i="1"/>
  <c r="O207" i="1"/>
  <c r="O208" i="1"/>
  <c r="O209" i="1"/>
  <c r="P74" i="1"/>
  <c r="O196" i="1"/>
  <c r="R76" i="1"/>
  <c r="Q201" i="1"/>
  <c r="Q202" i="1"/>
  <c r="Q203" i="1"/>
  <c r="Q204" i="1"/>
  <c r="J49" i="37"/>
  <c r="AD32" i="39"/>
  <c r="H48" i="37"/>
  <c r="T30" i="37"/>
  <c r="T115" i="11"/>
  <c r="T116" i="11"/>
  <c r="T117" i="11"/>
  <c r="V42" i="11"/>
  <c r="U114" i="11"/>
  <c r="L29" i="34"/>
  <c r="T29" i="34"/>
  <c r="AC29" i="34"/>
  <c r="Z29" i="34"/>
  <c r="X29" i="34"/>
  <c r="AA29" i="34"/>
  <c r="AB29" i="34"/>
  <c r="Y29" i="34"/>
  <c r="W30" i="33"/>
  <c r="V30" i="33"/>
  <c r="K30" i="33"/>
  <c r="Q38" i="11"/>
  <c r="P104" i="11"/>
  <c r="O105" i="11"/>
  <c r="O106" i="11"/>
  <c r="O107" i="11"/>
  <c r="R85" i="11"/>
  <c r="R86" i="11"/>
  <c r="R87" i="11"/>
  <c r="R36" i="11"/>
  <c r="Q99" i="11"/>
  <c r="T30" i="11"/>
  <c r="S84" i="11"/>
  <c r="P100" i="11"/>
  <c r="P101" i="11"/>
  <c r="P102" i="11"/>
  <c r="Q50" i="10"/>
  <c r="P134" i="10"/>
  <c r="O135" i="10"/>
  <c r="O136" i="10"/>
  <c r="O137" i="10"/>
  <c r="O100" i="10"/>
  <c r="O101" i="10"/>
  <c r="O102" i="10"/>
  <c r="Q36" i="10"/>
  <c r="P99" i="10"/>
  <c r="N155" i="22"/>
  <c r="N156" i="22"/>
  <c r="N157" i="22"/>
  <c r="O154" i="22"/>
  <c r="P58" i="22"/>
  <c r="O110" i="22"/>
  <c r="O111" i="22"/>
  <c r="O112" i="22"/>
  <c r="O100" i="22"/>
  <c r="O101" i="22"/>
  <c r="O102" i="22"/>
  <c r="P99" i="22"/>
  <c r="Q36" i="22"/>
  <c r="O145" i="22"/>
  <c r="O146" i="22"/>
  <c r="O147" i="22"/>
  <c r="P144" i="22"/>
  <c r="Q54" i="22"/>
  <c r="Q40" i="22"/>
  <c r="P109" i="22"/>
  <c r="Q150" i="8"/>
  <c r="Q151" i="8"/>
  <c r="Q152" i="8"/>
  <c r="S56" i="8"/>
  <c r="R149" i="8"/>
  <c r="P144" i="8"/>
  <c r="Q54" i="8"/>
  <c r="O145" i="8"/>
  <c r="O146" i="8"/>
  <c r="O147" i="8"/>
  <c r="P48" i="8"/>
  <c r="O129" i="8"/>
  <c r="N90" i="8"/>
  <c r="N91" i="8"/>
  <c r="N92" i="8"/>
  <c r="N110" i="8"/>
  <c r="N111" i="8"/>
  <c r="N112" i="8"/>
  <c r="P32" i="8"/>
  <c r="O89" i="8"/>
  <c r="N140" i="8"/>
  <c r="N141" i="8"/>
  <c r="N142" i="8"/>
  <c r="O30" i="8"/>
  <c r="N84" i="8"/>
  <c r="P40" i="8"/>
  <c r="O109" i="8"/>
  <c r="P52" i="8"/>
  <c r="O139" i="8"/>
  <c r="N130" i="8"/>
  <c r="N131" i="8"/>
  <c r="N132" i="8"/>
  <c r="M85" i="8"/>
  <c r="M86" i="8"/>
  <c r="M87" i="8"/>
  <c r="N145" i="7"/>
  <c r="N146" i="7"/>
  <c r="N147" i="7"/>
  <c r="P54" i="7"/>
  <c r="O144" i="7"/>
  <c r="O139" i="7"/>
  <c r="P52" i="7"/>
  <c r="N140" i="7"/>
  <c r="N141" i="7"/>
  <c r="N142" i="7"/>
  <c r="O134" i="7"/>
  <c r="P50" i="7"/>
  <c r="N135" i="7"/>
  <c r="N136" i="7"/>
  <c r="N137" i="7"/>
  <c r="Q120" i="7"/>
  <c r="Q121" i="7"/>
  <c r="Q122" i="7"/>
  <c r="R46" i="7"/>
  <c r="Q124" i="7"/>
  <c r="W32" i="7"/>
  <c r="V89" i="7"/>
  <c r="S44" i="7"/>
  <c r="R119" i="7"/>
  <c r="U90" i="7"/>
  <c r="U91" i="7"/>
  <c r="U92" i="7"/>
  <c r="P125" i="7"/>
  <c r="P126" i="7"/>
  <c r="P127" i="7"/>
  <c r="O163" i="6"/>
  <c r="P56" i="6"/>
  <c r="N164" i="6"/>
  <c r="N165" i="6"/>
  <c r="N166" i="6"/>
  <c r="N159" i="6"/>
  <c r="N160" i="6"/>
  <c r="N161" i="6"/>
  <c r="P54" i="6"/>
  <c r="O158" i="6"/>
  <c r="O153" i="6"/>
  <c r="P52" i="6"/>
  <c r="N154" i="6"/>
  <c r="N155" i="6"/>
  <c r="N156" i="6"/>
  <c r="N149" i="6"/>
  <c r="N150" i="6"/>
  <c r="N151" i="6"/>
  <c r="O148" i="6"/>
  <c r="P50" i="6"/>
  <c r="N144" i="6"/>
  <c r="N145" i="6"/>
  <c r="O143" i="6"/>
  <c r="P48" i="6"/>
  <c r="O160" i="9"/>
  <c r="O161" i="9"/>
  <c r="O162" i="9"/>
  <c r="P159" i="9"/>
  <c r="Q60" i="9"/>
  <c r="N155" i="9"/>
  <c r="N156" i="9"/>
  <c r="N157" i="9"/>
  <c r="P58" i="9"/>
  <c r="O154" i="9"/>
  <c r="O110" i="9"/>
  <c r="O111" i="9"/>
  <c r="O112" i="9"/>
  <c r="P99" i="9"/>
  <c r="Q36" i="9"/>
  <c r="Q40" i="9"/>
  <c r="P109" i="9"/>
  <c r="O100" i="9"/>
  <c r="O101" i="9"/>
  <c r="O102" i="9"/>
  <c r="P62" i="1"/>
  <c r="O166" i="1"/>
  <c r="N167" i="1"/>
  <c r="N168" i="1"/>
  <c r="N169" i="1"/>
  <c r="N127" i="1"/>
  <c r="N128" i="1"/>
  <c r="N129" i="1"/>
  <c r="O146" i="1"/>
  <c r="P54" i="1"/>
  <c r="N147" i="1"/>
  <c r="N148" i="1"/>
  <c r="N149" i="1"/>
  <c r="O126" i="1"/>
  <c r="P46" i="1"/>
  <c r="P122" i="1"/>
  <c r="P123" i="1"/>
  <c r="P124" i="1"/>
  <c r="Q121" i="1"/>
  <c r="R44" i="1"/>
  <c r="P38" i="1"/>
  <c r="O106" i="1"/>
  <c r="Q111" i="1"/>
  <c r="R40" i="1"/>
  <c r="P102" i="1"/>
  <c r="P103" i="1"/>
  <c r="P104" i="1"/>
  <c r="P112" i="1"/>
  <c r="P113" i="1"/>
  <c r="P114" i="1"/>
  <c r="Q101" i="1"/>
  <c r="R36" i="1"/>
  <c r="N107" i="1"/>
  <c r="N108" i="1"/>
  <c r="N109" i="1"/>
  <c r="U31" i="37"/>
  <c r="L29" i="35"/>
  <c r="L30" i="32"/>
  <c r="Q48" i="7"/>
  <c r="P129" i="7"/>
  <c r="P130" i="7"/>
  <c r="P131" i="7"/>
  <c r="P132" i="7"/>
  <c r="X30" i="36"/>
  <c r="Z30" i="36"/>
  <c r="AC30" i="36"/>
  <c r="AA30" i="36"/>
  <c r="AB30" i="36"/>
  <c r="AD30" i="36"/>
  <c r="Y30" i="36"/>
  <c r="U31" i="36"/>
  <c r="K30" i="36"/>
  <c r="T30" i="36"/>
  <c r="L29" i="36"/>
  <c r="U30" i="35"/>
  <c r="AU197" i="9"/>
  <c r="BO59" i="11"/>
  <c r="BP229" i="11"/>
  <c r="BW18" i="2"/>
  <c r="M25" i="41"/>
  <c r="N25" i="41"/>
  <c r="O25" i="41"/>
  <c r="P25" i="41"/>
  <c r="Q25" i="41"/>
  <c r="BX139" i="2"/>
  <c r="AV195" i="9"/>
  <c r="AV196" i="9"/>
  <c r="AW194" i="9"/>
  <c r="AX74" i="9"/>
  <c r="L30" i="36"/>
  <c r="S22" i="36"/>
  <c r="M23" i="36"/>
  <c r="N23" i="36"/>
  <c r="O23" i="36"/>
  <c r="P23" i="36"/>
  <c r="Q23" i="36"/>
  <c r="R23" i="36"/>
  <c r="CF16" i="2"/>
  <c r="H49" i="41"/>
  <c r="J49" i="41"/>
  <c r="H48" i="41"/>
  <c r="T26" i="41"/>
  <c r="AD197" i="11"/>
  <c r="U187" i="22"/>
  <c r="AZ172" i="7"/>
  <c r="BZ172" i="11"/>
  <c r="AJ197" i="8"/>
  <c r="O152" i="11"/>
  <c r="N202" i="10"/>
  <c r="V167" i="22"/>
  <c r="AK177" i="22"/>
  <c r="AH147" i="10"/>
  <c r="S207" i="11"/>
  <c r="N202" i="11"/>
  <c r="N182" i="10"/>
  <c r="Q157" i="7"/>
  <c r="CA212" i="8"/>
  <c r="CA240" i="8"/>
  <c r="N167" i="9"/>
  <c r="N187" i="8"/>
  <c r="AM260" i="40"/>
  <c r="AM261" i="40"/>
  <c r="AM262" i="40"/>
  <c r="AF269" i="40"/>
  <c r="AF270" i="40"/>
  <c r="AF271" i="40"/>
  <c r="AF272" i="40"/>
  <c r="AG102" i="40"/>
  <c r="AF244" i="40"/>
  <c r="AG92" i="40"/>
  <c r="AF264" i="40"/>
  <c r="AF265" i="40"/>
  <c r="AF266" i="40"/>
  <c r="AF267" i="40"/>
  <c r="AG100" i="40"/>
  <c r="AE270" i="40"/>
  <c r="AE271" i="40"/>
  <c r="AE272" i="40"/>
  <c r="AE245" i="40"/>
  <c r="AE246" i="40"/>
  <c r="AE247" i="40"/>
  <c r="AE265" i="40"/>
  <c r="AE266" i="40"/>
  <c r="AE267" i="40"/>
  <c r="AL255" i="40"/>
  <c r="AL256" i="40"/>
  <c r="AL257" i="40"/>
  <c r="AF284" i="40"/>
  <c r="AG108" i="40"/>
  <c r="AF249" i="40"/>
  <c r="AF250" i="40"/>
  <c r="AF251" i="40"/>
  <c r="AF252" i="40"/>
  <c r="AG94" i="40"/>
  <c r="AF289" i="40"/>
  <c r="AG110" i="40"/>
  <c r="AL275" i="40"/>
  <c r="AL276" i="40"/>
  <c r="AL277" i="40"/>
  <c r="AE285" i="40"/>
  <c r="AE286" i="40"/>
  <c r="AE287" i="40"/>
  <c r="AE250" i="40"/>
  <c r="AE251" i="40"/>
  <c r="AE252" i="40"/>
  <c r="AE290" i="40"/>
  <c r="AE291" i="40"/>
  <c r="AE292" i="40"/>
  <c r="AM96" i="40"/>
  <c r="AM254" i="40"/>
  <c r="AL106" i="40"/>
  <c r="AL279" i="40"/>
  <c r="AN98" i="40"/>
  <c r="AN259" i="40"/>
  <c r="AM104" i="40"/>
  <c r="AM274" i="40"/>
  <c r="AI90" i="40"/>
  <c r="AF115" i="40"/>
  <c r="AF116" i="40"/>
  <c r="AF117" i="40"/>
  <c r="AG42" i="40"/>
  <c r="AF119" i="40"/>
  <c r="AG56" i="40"/>
  <c r="AF154" i="40"/>
  <c r="AI68" i="40"/>
  <c r="AH184" i="40"/>
  <c r="AE130" i="40"/>
  <c r="AE131" i="40"/>
  <c r="AE132" i="40"/>
  <c r="AG74" i="40"/>
  <c r="AF199" i="40"/>
  <c r="AH66" i="40"/>
  <c r="AG179" i="40"/>
  <c r="AF225" i="40"/>
  <c r="AF226" i="40"/>
  <c r="AG52" i="40"/>
  <c r="AF144" i="40"/>
  <c r="AE182" i="40"/>
  <c r="AF140" i="40"/>
  <c r="AF141" i="40"/>
  <c r="AE207" i="40"/>
  <c r="AF235" i="40"/>
  <c r="AF236" i="40"/>
  <c r="AG46" i="40"/>
  <c r="AF129" i="40"/>
  <c r="AF215" i="40"/>
  <c r="AF216" i="40"/>
  <c r="AE210" i="40"/>
  <c r="AE211" i="40"/>
  <c r="AE212" i="40"/>
  <c r="AE167" i="40"/>
  <c r="AH60" i="40"/>
  <c r="AG164" i="40"/>
  <c r="AG70" i="40"/>
  <c r="AF189" i="40"/>
  <c r="AI72" i="40"/>
  <c r="AH194" i="40"/>
  <c r="AE217" i="40"/>
  <c r="AE220" i="40"/>
  <c r="AE221" i="40"/>
  <c r="AE222" i="40"/>
  <c r="AD202" i="40"/>
  <c r="AE170" i="40"/>
  <c r="AE171" i="40"/>
  <c r="AI64" i="40"/>
  <c r="AH174" i="40"/>
  <c r="AG44" i="40"/>
  <c r="AF124" i="40"/>
  <c r="AF239" i="40"/>
  <c r="AE230" i="40"/>
  <c r="AE231" i="40"/>
  <c r="AG54" i="40"/>
  <c r="AF149" i="40"/>
  <c r="AF165" i="40"/>
  <c r="AF166" i="40"/>
  <c r="AG58" i="40"/>
  <c r="AF159" i="40"/>
  <c r="AG48" i="40"/>
  <c r="AF134" i="40"/>
  <c r="AD172" i="40"/>
  <c r="AE125" i="40"/>
  <c r="AE126" i="40"/>
  <c r="AE127" i="40"/>
  <c r="AH84" i="40"/>
  <c r="AG224" i="40"/>
  <c r="AH40" i="40"/>
  <c r="AG114" i="40"/>
  <c r="AF187" i="40"/>
  <c r="AE155" i="40"/>
  <c r="AE156" i="40"/>
  <c r="AE157" i="40"/>
  <c r="AH50" i="40"/>
  <c r="AG139" i="40"/>
  <c r="AG185" i="40"/>
  <c r="AG186" i="40"/>
  <c r="AE240" i="40"/>
  <c r="AE241" i="40"/>
  <c r="AH88" i="40"/>
  <c r="AG234" i="40"/>
  <c r="AH80" i="40"/>
  <c r="AG214" i="40"/>
  <c r="AG86" i="40"/>
  <c r="AF229" i="40"/>
  <c r="AE200" i="40"/>
  <c r="AE201" i="40"/>
  <c r="AF205" i="40"/>
  <c r="AF206" i="40"/>
  <c r="AD242" i="40"/>
  <c r="AE237" i="40"/>
  <c r="AE160" i="40"/>
  <c r="AE161" i="40"/>
  <c r="AE162" i="40"/>
  <c r="AE135" i="40"/>
  <c r="AE136" i="40"/>
  <c r="AE137" i="40"/>
  <c r="AF180" i="40"/>
  <c r="AF181" i="40"/>
  <c r="AG62" i="40"/>
  <c r="AF169" i="40"/>
  <c r="AD222" i="40"/>
  <c r="AE142" i="40"/>
  <c r="AG175" i="40"/>
  <c r="AG176" i="40"/>
  <c r="AG177" i="40"/>
  <c r="AE145" i="40"/>
  <c r="AE146" i="40"/>
  <c r="AE147" i="40"/>
  <c r="AE120" i="40"/>
  <c r="AE121" i="40"/>
  <c r="AE122" i="40"/>
  <c r="AE227" i="40"/>
  <c r="AG78" i="40"/>
  <c r="AF209" i="40"/>
  <c r="AE150" i="40"/>
  <c r="AE151" i="40"/>
  <c r="AE152" i="40"/>
  <c r="AE190" i="40"/>
  <c r="AE191" i="40"/>
  <c r="AH76" i="40"/>
  <c r="AG204" i="40"/>
  <c r="AG195" i="40"/>
  <c r="AG196" i="40"/>
  <c r="AG82" i="40"/>
  <c r="AF219" i="40"/>
  <c r="AO177" i="9"/>
  <c r="Q70" i="8"/>
  <c r="P184" i="8"/>
  <c r="Q50" i="11"/>
  <c r="P134" i="11"/>
  <c r="O202" i="7"/>
  <c r="Y191" i="22"/>
  <c r="Y190" i="22"/>
  <c r="AG74" i="11"/>
  <c r="AF194" i="11"/>
  <c r="V60" i="7"/>
  <c r="U159" i="7"/>
  <c r="AM174" i="22"/>
  <c r="AN66" i="22"/>
  <c r="Q68" i="10"/>
  <c r="P179" i="10"/>
  <c r="R155" i="7"/>
  <c r="R156" i="7"/>
  <c r="W207" i="9"/>
  <c r="X70" i="22"/>
  <c r="W184" i="22"/>
  <c r="Q60" i="10"/>
  <c r="P159" i="10"/>
  <c r="BU55" i="11"/>
  <c r="BV227" i="11"/>
  <c r="Y205" i="22"/>
  <c r="Y206" i="22"/>
  <c r="R56" i="11"/>
  <c r="Q149" i="11"/>
  <c r="AQ80" i="10"/>
  <c r="AP209" i="10"/>
  <c r="CB61" i="11"/>
  <c r="CA61" i="11"/>
  <c r="CB159" i="11"/>
  <c r="P138" i="6"/>
  <c r="P139" i="6"/>
  <c r="P140" i="6"/>
  <c r="P141" i="6"/>
  <c r="Q46" i="6"/>
  <c r="AP171" i="10"/>
  <c r="AP170" i="10"/>
  <c r="Q66" i="7"/>
  <c r="P174" i="7"/>
  <c r="AD186" i="10"/>
  <c r="AD185" i="10"/>
  <c r="X207" i="22"/>
  <c r="BZ240" i="8"/>
  <c r="Y62" i="22"/>
  <c r="X164" i="22"/>
  <c r="Z175" i="10"/>
  <c r="Z176" i="10"/>
  <c r="O200" i="10"/>
  <c r="O201" i="10"/>
  <c r="P199" i="22"/>
  <c r="Q76" i="22"/>
  <c r="Q62" i="9"/>
  <c r="P164" i="9"/>
  <c r="Y204" i="9"/>
  <c r="Z78" i="9"/>
  <c r="Q56" i="22"/>
  <c r="P149" i="22"/>
  <c r="P150" i="22"/>
  <c r="P151" i="22"/>
  <c r="P152" i="22"/>
  <c r="Z189" i="22"/>
  <c r="AA72" i="22"/>
  <c r="AA165" i="10"/>
  <c r="AA166" i="10"/>
  <c r="V186" i="22"/>
  <c r="V185" i="22"/>
  <c r="O205" i="8"/>
  <c r="O206" i="8"/>
  <c r="V206" i="7"/>
  <c r="V205" i="7"/>
  <c r="AK54" i="10"/>
  <c r="AJ144" i="10"/>
  <c r="T206" i="11"/>
  <c r="T205" i="11"/>
  <c r="CA160" i="11"/>
  <c r="CA161" i="11"/>
  <c r="O201" i="11"/>
  <c r="O200" i="11"/>
  <c r="S125" i="11"/>
  <c r="S126" i="11"/>
  <c r="BY240" i="8"/>
  <c r="BX81" i="8"/>
  <c r="P200" i="7"/>
  <c r="P201" i="7"/>
  <c r="BZ162" i="11"/>
  <c r="AQ174" i="9"/>
  <c r="AR66" i="9"/>
  <c r="O165" i="9"/>
  <c r="O166" i="9"/>
  <c r="X205" i="9"/>
  <c r="X206" i="9"/>
  <c r="O150" i="22"/>
  <c r="O151" i="22"/>
  <c r="O152" i="22"/>
  <c r="U166" i="8"/>
  <c r="U165" i="8"/>
  <c r="N162" i="10"/>
  <c r="AC62" i="10"/>
  <c r="AB164" i="10"/>
  <c r="U207" i="7"/>
  <c r="N202" i="22"/>
  <c r="Q78" i="8"/>
  <c r="P204" i="8"/>
  <c r="T167" i="8"/>
  <c r="S162" i="7"/>
  <c r="X78" i="7"/>
  <c r="W204" i="7"/>
  <c r="AI145" i="10"/>
  <c r="AI146" i="10"/>
  <c r="AP157" i="10"/>
  <c r="V78" i="11"/>
  <c r="U204" i="11"/>
  <c r="Z64" i="9"/>
  <c r="Y169" i="9"/>
  <c r="AB155" i="8"/>
  <c r="AB156" i="8"/>
  <c r="Q76" i="11"/>
  <c r="P199" i="11"/>
  <c r="U46" i="11"/>
  <c r="T124" i="11"/>
  <c r="AQ156" i="10"/>
  <c r="AQ155" i="10"/>
  <c r="CB211" i="8"/>
  <c r="CB210" i="8"/>
  <c r="R76" i="7"/>
  <c r="Q199" i="7"/>
  <c r="AP175" i="9"/>
  <c r="AP176" i="9"/>
  <c r="Z167" i="10"/>
  <c r="R127" i="11"/>
  <c r="O186" i="8"/>
  <c r="O185" i="8"/>
  <c r="O135" i="11"/>
  <c r="O136" i="11"/>
  <c r="W62" i="8"/>
  <c r="V164" i="8"/>
  <c r="AE196" i="11"/>
  <c r="AE195" i="11"/>
  <c r="T160" i="7"/>
  <c r="T161" i="7"/>
  <c r="AL175" i="22"/>
  <c r="AL176" i="22"/>
  <c r="O181" i="10"/>
  <c r="O180" i="10"/>
  <c r="T58" i="7"/>
  <c r="S154" i="7"/>
  <c r="N137" i="11"/>
  <c r="W172" i="9"/>
  <c r="X192" i="22"/>
  <c r="O160" i="10"/>
  <c r="O161" i="10"/>
  <c r="AC187" i="10"/>
  <c r="AA78" i="22"/>
  <c r="Z204" i="22"/>
  <c r="Y177" i="10"/>
  <c r="P150" i="11"/>
  <c r="P151" i="11"/>
  <c r="AO211" i="10"/>
  <c r="AO210" i="10"/>
  <c r="N207" i="8"/>
  <c r="X171" i="9"/>
  <c r="X170" i="9"/>
  <c r="AD58" i="8"/>
  <c r="AC154" i="8"/>
  <c r="AR64" i="10"/>
  <c r="AQ169" i="10"/>
  <c r="O175" i="7"/>
  <c r="O176" i="7"/>
  <c r="AF70" i="10"/>
  <c r="AE184" i="10"/>
  <c r="AS58" i="10"/>
  <c r="AR154" i="10"/>
  <c r="W165" i="22"/>
  <c r="W166" i="22"/>
  <c r="AB66" i="10"/>
  <c r="AA174" i="10"/>
  <c r="AN212" i="10"/>
  <c r="AA157" i="8"/>
  <c r="AO172" i="10"/>
  <c r="N177" i="7"/>
  <c r="Q76" i="10"/>
  <c r="P199" i="10"/>
  <c r="O200" i="22"/>
  <c r="O201" i="22"/>
  <c r="Q23" i="37"/>
  <c r="R23" i="37"/>
  <c r="Q23" i="35"/>
  <c r="R23" i="35"/>
  <c r="Q23" i="34"/>
  <c r="R23" i="34"/>
  <c r="Q23" i="33"/>
  <c r="R23" i="33"/>
  <c r="Q23" i="32"/>
  <c r="R23" i="32"/>
  <c r="Q23" i="31"/>
  <c r="R23" i="31"/>
  <c r="S40" i="11"/>
  <c r="R109" i="11"/>
  <c r="R110" i="11"/>
  <c r="R111" i="11"/>
  <c r="R112" i="11"/>
  <c r="Q119" i="10"/>
  <c r="Q120" i="10"/>
  <c r="Q121" i="10"/>
  <c r="Q122" i="10"/>
  <c r="R44" i="10"/>
  <c r="P89" i="10"/>
  <c r="P90" i="10"/>
  <c r="P91" i="10"/>
  <c r="P92" i="10"/>
  <c r="Q32" i="10"/>
  <c r="P104" i="10"/>
  <c r="P105" i="10"/>
  <c r="P106" i="10"/>
  <c r="P107" i="10"/>
  <c r="Q38" i="10"/>
  <c r="Q34" i="10"/>
  <c r="P94" i="10"/>
  <c r="P95" i="10"/>
  <c r="P96" i="10"/>
  <c r="P97" i="10"/>
  <c r="Q48" i="10"/>
  <c r="P129" i="10"/>
  <c r="P130" i="10"/>
  <c r="P131" i="10"/>
  <c r="P132" i="10"/>
  <c r="P124" i="10"/>
  <c r="P125" i="10"/>
  <c r="P126" i="10"/>
  <c r="P127" i="10"/>
  <c r="Q46" i="10"/>
  <c r="Q42" i="10"/>
  <c r="P114" i="10"/>
  <c r="P115" i="10"/>
  <c r="P116" i="10"/>
  <c r="P117" i="10"/>
  <c r="P109" i="10"/>
  <c r="P110" i="10"/>
  <c r="P111" i="10"/>
  <c r="P112" i="10"/>
  <c r="Q40" i="10"/>
  <c r="P84" i="10"/>
  <c r="P85" i="10"/>
  <c r="P86" i="10"/>
  <c r="P87" i="10"/>
  <c r="Q30" i="10"/>
  <c r="P139" i="10"/>
  <c r="P140" i="10"/>
  <c r="P141" i="10"/>
  <c r="P142" i="10"/>
  <c r="Q52" i="10"/>
  <c r="Q50" i="22"/>
  <c r="P134" i="22"/>
  <c r="P135" i="22"/>
  <c r="P136" i="22"/>
  <c r="P137" i="22"/>
  <c r="R52" i="22"/>
  <c r="Q139" i="22"/>
  <c r="Q140" i="22"/>
  <c r="Q141" i="22"/>
  <c r="Q142" i="22"/>
  <c r="Q42" i="22"/>
  <c r="P114" i="22"/>
  <c r="P115" i="22"/>
  <c r="P116" i="22"/>
  <c r="P117" i="22"/>
  <c r="Q124" i="22"/>
  <c r="Q125" i="22"/>
  <c r="Q126" i="22"/>
  <c r="Q127" i="22"/>
  <c r="R46" i="22"/>
  <c r="R50" i="8"/>
  <c r="Q134" i="8"/>
  <c r="Q135" i="8"/>
  <c r="Q136" i="8"/>
  <c r="Q137" i="8"/>
  <c r="P124" i="8"/>
  <c r="P125" i="8"/>
  <c r="P126" i="8"/>
  <c r="P127" i="8"/>
  <c r="Q46" i="8"/>
  <c r="AI187" i="7"/>
  <c r="AT192" i="10"/>
  <c r="AL207" i="10"/>
  <c r="AE192" i="11"/>
  <c r="AM172" i="22"/>
  <c r="AH162" i="22"/>
  <c r="AX87" i="22"/>
  <c r="AM152" i="10"/>
  <c r="AM187" i="9"/>
  <c r="AD162" i="8"/>
  <c r="N192" i="9"/>
  <c r="AK182" i="9"/>
  <c r="AO212" i="9"/>
  <c r="AN68" i="9"/>
  <c r="AM179" i="9"/>
  <c r="AM74" i="10"/>
  <c r="AL194" i="10"/>
  <c r="BV167" i="11"/>
  <c r="AI182" i="22"/>
  <c r="BA171" i="7"/>
  <c r="BA170" i="7"/>
  <c r="CA170" i="11"/>
  <c r="CA171" i="11"/>
  <c r="AH176" i="11"/>
  <c r="AH175" i="11"/>
  <c r="AM74" i="22"/>
  <c r="AL194" i="22"/>
  <c r="V72" i="8"/>
  <c r="U189" i="8"/>
  <c r="AN204" i="10"/>
  <c r="AO78" i="10"/>
  <c r="AJ197" i="10"/>
  <c r="AL212" i="7"/>
  <c r="AI211" i="11"/>
  <c r="AI210" i="11"/>
  <c r="AL211" i="22"/>
  <c r="AL210" i="22"/>
  <c r="AG177" i="11"/>
  <c r="S192" i="8"/>
  <c r="O201" i="9"/>
  <c r="O200" i="9"/>
  <c r="AO149" i="10"/>
  <c r="AP56" i="10"/>
  <c r="AI197" i="7"/>
  <c r="AM74" i="8"/>
  <c r="AL194" i="8"/>
  <c r="AV52" i="11"/>
  <c r="AU139" i="11"/>
  <c r="AH212" i="11"/>
  <c r="AN186" i="9"/>
  <c r="AN185" i="9"/>
  <c r="A20" i="2"/>
  <c r="A140" i="2"/>
  <c r="BW140" i="2"/>
  <c r="AP211" i="9"/>
  <c r="AP210" i="9"/>
  <c r="AJ186" i="7"/>
  <c r="AJ185" i="7"/>
  <c r="AF182" i="8"/>
  <c r="BW165" i="11"/>
  <c r="BW166" i="11"/>
  <c r="AK66" i="8"/>
  <c r="AJ174" i="8"/>
  <c r="AJ181" i="22"/>
  <c r="AJ180" i="22"/>
  <c r="C17" i="2"/>
  <c r="M25" i="30"/>
  <c r="D138" i="2"/>
  <c r="BN17" i="2"/>
  <c r="M24" i="37"/>
  <c r="N24" i="37"/>
  <c r="O24" i="37"/>
  <c r="P24" i="37"/>
  <c r="BO138" i="2"/>
  <c r="AI76" i="8"/>
  <c r="AH199" i="8"/>
  <c r="AS68" i="7"/>
  <c r="AR179" i="7"/>
  <c r="BP65" i="8"/>
  <c r="BQ232" i="8"/>
  <c r="AM210" i="7"/>
  <c r="AM211" i="7"/>
  <c r="AP131" i="11"/>
  <c r="AP130" i="11"/>
  <c r="L78" i="37"/>
  <c r="M77" i="37"/>
  <c r="BN73" i="7"/>
  <c r="BO236" i="7"/>
  <c r="CB65" i="11"/>
  <c r="CA65" i="11"/>
  <c r="BZ65" i="11"/>
  <c r="BY65" i="11"/>
  <c r="BX65" i="11"/>
  <c r="CB169" i="11"/>
  <c r="AJ66" i="11"/>
  <c r="AI174" i="11"/>
  <c r="AJ196" i="7"/>
  <c r="AJ195" i="7"/>
  <c r="AK80" i="11"/>
  <c r="AJ209" i="11"/>
  <c r="AN80" i="22"/>
  <c r="AM209" i="22"/>
  <c r="AW72" i="10"/>
  <c r="AV189" i="10"/>
  <c r="AG181" i="8"/>
  <c r="AG180" i="8"/>
  <c r="AN170" i="22"/>
  <c r="AN171" i="22"/>
  <c r="AO184" i="9"/>
  <c r="AP70" i="9"/>
  <c r="AL70" i="7"/>
  <c r="AK184" i="7"/>
  <c r="BX164" i="11"/>
  <c r="BY62" i="11"/>
  <c r="AL68" i="22"/>
  <c r="AK179" i="22"/>
  <c r="M138" i="2"/>
  <c r="L17" i="2"/>
  <c r="M24" i="31"/>
  <c r="N24" i="31"/>
  <c r="O24" i="31"/>
  <c r="P24" i="31"/>
  <c r="AM17" i="2"/>
  <c r="M24" i="34"/>
  <c r="N24" i="34"/>
  <c r="O24" i="34"/>
  <c r="P24" i="34"/>
  <c r="AN138" i="2"/>
  <c r="U31" i="31"/>
  <c r="W31" i="31"/>
  <c r="V31" i="31"/>
  <c r="BA30" i="22"/>
  <c r="AZ84" i="22"/>
  <c r="AH177" i="8"/>
  <c r="AO80" i="7"/>
  <c r="AN209" i="7"/>
  <c r="AR48" i="11"/>
  <c r="AQ129" i="11"/>
  <c r="AK212" i="22"/>
  <c r="BW180" i="11"/>
  <c r="BW181" i="11"/>
  <c r="AP182" i="7"/>
  <c r="AF159" i="8"/>
  <c r="AG60" i="8"/>
  <c r="AO132" i="11"/>
  <c r="AL74" i="7"/>
  <c r="AK194" i="7"/>
  <c r="BV182" i="11"/>
  <c r="AJ197" i="22"/>
  <c r="AU190" i="10"/>
  <c r="AU191" i="10"/>
  <c r="AI68" i="8"/>
  <c r="AH179" i="8"/>
  <c r="AF190" i="11"/>
  <c r="AF191" i="11"/>
  <c r="AO169" i="22"/>
  <c r="AP64" i="22"/>
  <c r="AF202" i="8"/>
  <c r="Q32" i="22"/>
  <c r="P89" i="22"/>
  <c r="P90" i="22"/>
  <c r="P91" i="22"/>
  <c r="P92" i="22"/>
  <c r="N202" i="9"/>
  <c r="AJ159" i="22"/>
  <c r="AK60" i="22"/>
  <c r="AS142" i="11"/>
  <c r="O190" i="9"/>
  <c r="O191" i="9"/>
  <c r="U17" i="2"/>
  <c r="M24" i="32"/>
  <c r="N24" i="32"/>
  <c r="O24" i="32"/>
  <c r="P24" i="32"/>
  <c r="V138" i="2"/>
  <c r="AW138" i="2"/>
  <c r="AV17" i="2"/>
  <c r="M24" i="35"/>
  <c r="N24" i="35"/>
  <c r="O24" i="35"/>
  <c r="P24" i="35"/>
  <c r="AL181" i="9"/>
  <c r="AL180" i="9"/>
  <c r="AK195" i="10"/>
  <c r="AK196" i="10"/>
  <c r="AY86" i="22"/>
  <c r="AY85" i="22"/>
  <c r="BB169" i="7"/>
  <c r="BC64" i="7"/>
  <c r="BY68" i="11"/>
  <c r="BX179" i="11"/>
  <c r="AK195" i="22"/>
  <c r="AK196" i="22"/>
  <c r="T190" i="8"/>
  <c r="T191" i="8"/>
  <c r="AE160" i="8"/>
  <c r="AE161" i="8"/>
  <c r="AM206" i="10"/>
  <c r="AM205" i="10"/>
  <c r="Q76" i="9"/>
  <c r="P199" i="9"/>
  <c r="AN151" i="10"/>
  <c r="AN150" i="10"/>
  <c r="AK196" i="8"/>
  <c r="AK195" i="8"/>
  <c r="AT140" i="11"/>
  <c r="AT141" i="11"/>
  <c r="AH72" i="11"/>
  <c r="AG189" i="11"/>
  <c r="BN139" i="2"/>
  <c r="L139" i="2"/>
  <c r="C139" i="2"/>
  <c r="BE139" i="2"/>
  <c r="AV139" i="2"/>
  <c r="AM139" i="2"/>
  <c r="U139" i="2"/>
  <c r="AD139" i="2"/>
  <c r="AR80" i="9"/>
  <c r="AQ209" i="9"/>
  <c r="AI160" i="22"/>
  <c r="AI161" i="22"/>
  <c r="AI176" i="8"/>
  <c r="AI175" i="8"/>
  <c r="P189" i="9"/>
  <c r="Q72" i="9"/>
  <c r="AD17" i="2"/>
  <c r="M24" i="33"/>
  <c r="N24" i="33"/>
  <c r="O24" i="33"/>
  <c r="P24" i="33"/>
  <c r="AE138" i="2"/>
  <c r="BE17" i="2"/>
  <c r="BF138" i="2"/>
  <c r="AG201" i="8"/>
  <c r="AG200" i="8"/>
  <c r="AQ181" i="7"/>
  <c r="AQ180" i="7"/>
  <c r="J29" i="30"/>
  <c r="H28" i="30"/>
  <c r="W12" i="39"/>
  <c r="G40" i="30"/>
  <c r="F41" i="30"/>
  <c r="V167" i="7"/>
  <c r="Q44" i="8"/>
  <c r="P119" i="8"/>
  <c r="P120" i="8"/>
  <c r="P121" i="8"/>
  <c r="P122" i="8"/>
  <c r="U94" i="8"/>
  <c r="U95" i="8"/>
  <c r="U96" i="8"/>
  <c r="U97" i="8"/>
  <c r="V34" i="8"/>
  <c r="P114" i="8"/>
  <c r="P115" i="8"/>
  <c r="P116" i="8"/>
  <c r="P117" i="8"/>
  <c r="Q42" i="8"/>
  <c r="W165" i="7"/>
  <c r="W166" i="7"/>
  <c r="Q32" i="11"/>
  <c r="P89" i="11"/>
  <c r="P90" i="11"/>
  <c r="P91" i="11"/>
  <c r="P92" i="11"/>
  <c r="Y62" i="7"/>
  <c r="X164" i="7"/>
  <c r="Q84" i="9"/>
  <c r="Q85" i="9"/>
  <c r="Q86" i="9"/>
  <c r="Q87" i="9"/>
  <c r="R30" i="9"/>
  <c r="P139" i="9"/>
  <c r="P140" i="9"/>
  <c r="P141" i="9"/>
  <c r="P142" i="9"/>
  <c r="Q52" i="9"/>
  <c r="S30" i="1"/>
  <c r="R86" i="1"/>
  <c r="R87" i="1"/>
  <c r="R88" i="1"/>
  <c r="R89" i="1"/>
  <c r="Q34" i="1"/>
  <c r="P96" i="1"/>
  <c r="P97" i="1"/>
  <c r="P98" i="1"/>
  <c r="P99" i="1"/>
  <c r="R91" i="1"/>
  <c r="R92" i="1"/>
  <c r="R93" i="1"/>
  <c r="R94" i="1"/>
  <c r="S32" i="1"/>
  <c r="O182" i="1"/>
  <c r="O183" i="1"/>
  <c r="O184" i="1"/>
  <c r="Q48" i="1"/>
  <c r="P131" i="1"/>
  <c r="P171" i="1"/>
  <c r="P172" i="1"/>
  <c r="P173" i="1"/>
  <c r="P174" i="1"/>
  <c r="Q64" i="1"/>
  <c r="P156" i="1"/>
  <c r="P157" i="1"/>
  <c r="P158" i="1"/>
  <c r="P159" i="1"/>
  <c r="Q58" i="1"/>
  <c r="P181" i="1"/>
  <c r="P182" i="1"/>
  <c r="P183" i="1"/>
  <c r="P184" i="1"/>
  <c r="Q68" i="1"/>
  <c r="P141" i="1"/>
  <c r="P142" i="1"/>
  <c r="P143" i="1"/>
  <c r="P144" i="1"/>
  <c r="Q52" i="1"/>
  <c r="N119" i="1"/>
  <c r="Q50" i="1"/>
  <c r="P136" i="1"/>
  <c r="P137" i="1"/>
  <c r="P138" i="1"/>
  <c r="P139" i="1"/>
  <c r="U31" i="32"/>
  <c r="AE21" i="26"/>
  <c r="P21" i="26"/>
  <c r="AJ21" i="26"/>
  <c r="K21" i="26"/>
  <c r="Z21" i="26"/>
  <c r="F21" i="26"/>
  <c r="U21" i="26"/>
  <c r="I41" i="30"/>
  <c r="A22" i="26"/>
  <c r="AO22" i="26"/>
  <c r="J45" i="35"/>
  <c r="AB28" i="39"/>
  <c r="H44" i="35"/>
  <c r="R44" i="22"/>
  <c r="Q119" i="22"/>
  <c r="Q120" i="22"/>
  <c r="Q121" i="22"/>
  <c r="Q122" i="22"/>
  <c r="Q121" i="6"/>
  <c r="P103" i="6"/>
  <c r="P104" i="6"/>
  <c r="P105" i="6"/>
  <c r="P106" i="6"/>
  <c r="Q32" i="6"/>
  <c r="P123" i="6"/>
  <c r="P124" i="6"/>
  <c r="P125" i="6"/>
  <c r="P126" i="6"/>
  <c r="Q40" i="6"/>
  <c r="P133" i="6"/>
  <c r="P134" i="6"/>
  <c r="P135" i="6"/>
  <c r="P136" i="6"/>
  <c r="Q44" i="6"/>
  <c r="P83" i="6"/>
  <c r="P84" i="6"/>
  <c r="P85" i="6"/>
  <c r="P86" i="6"/>
  <c r="Q24" i="6"/>
  <c r="Q128" i="6"/>
  <c r="Q129" i="6"/>
  <c r="Q130" i="6"/>
  <c r="Q131" i="6"/>
  <c r="R42" i="6"/>
  <c r="O79" i="6"/>
  <c r="O80" i="6"/>
  <c r="Q26" i="6"/>
  <c r="P88" i="6"/>
  <c r="P89" i="6"/>
  <c r="P90" i="6"/>
  <c r="P91" i="6"/>
  <c r="O109" i="6"/>
  <c r="O110" i="6"/>
  <c r="Q98" i="6"/>
  <c r="Q99" i="6"/>
  <c r="Q100" i="6"/>
  <c r="Q101" i="6"/>
  <c r="R30" i="6"/>
  <c r="Q28" i="6"/>
  <c r="P93" i="6"/>
  <c r="P94" i="6"/>
  <c r="P95" i="6"/>
  <c r="P96" i="6"/>
  <c r="O124" i="6"/>
  <c r="O125" i="6"/>
  <c r="Q22" i="6"/>
  <c r="P78" i="6"/>
  <c r="P79" i="6"/>
  <c r="P80" i="6"/>
  <c r="P81" i="6"/>
  <c r="Q36" i="6"/>
  <c r="P113" i="6"/>
  <c r="P114" i="6"/>
  <c r="P115" i="6"/>
  <c r="P116" i="6"/>
  <c r="Q34" i="6"/>
  <c r="P108" i="6"/>
  <c r="P109" i="6"/>
  <c r="P110" i="6"/>
  <c r="P111" i="6"/>
  <c r="Q217" i="1"/>
  <c r="Q218" i="1"/>
  <c r="P204" i="1"/>
  <c r="S82" i="1"/>
  <c r="R216" i="1"/>
  <c r="T80" i="1"/>
  <c r="S211" i="1"/>
  <c r="S212" i="1"/>
  <c r="S213" i="1"/>
  <c r="S214" i="1"/>
  <c r="Q42" i="1"/>
  <c r="P116" i="1"/>
  <c r="P117" i="1"/>
  <c r="P118" i="1"/>
  <c r="P119" i="1"/>
  <c r="P219" i="1"/>
  <c r="N146" i="6"/>
  <c r="N189" i="1"/>
  <c r="R36" i="8"/>
  <c r="Q99" i="8"/>
  <c r="Q100" i="8"/>
  <c r="Q101" i="8"/>
  <c r="Q102" i="8"/>
  <c r="T104" i="8"/>
  <c r="T105" i="8"/>
  <c r="T106" i="8"/>
  <c r="T107" i="8"/>
  <c r="U38" i="8"/>
  <c r="P120" i="11"/>
  <c r="P121" i="11"/>
  <c r="Q119" i="11"/>
  <c r="R44" i="11"/>
  <c r="P129" i="22"/>
  <c r="P130" i="22"/>
  <c r="P131" i="22"/>
  <c r="P132" i="22"/>
  <c r="Q48" i="22"/>
  <c r="O95" i="22"/>
  <c r="O96" i="22"/>
  <c r="O97" i="22"/>
  <c r="Q34" i="22"/>
  <c r="P94" i="22"/>
  <c r="P95" i="22"/>
  <c r="P96" i="22"/>
  <c r="P97" i="22"/>
  <c r="R38" i="22"/>
  <c r="Q104" i="22"/>
  <c r="Q105" i="22"/>
  <c r="Q106" i="22"/>
  <c r="Q107" i="22"/>
  <c r="R30" i="7"/>
  <c r="Q84" i="7"/>
  <c r="Q85" i="7"/>
  <c r="Q86" i="7"/>
  <c r="Q87" i="7"/>
  <c r="S109" i="7"/>
  <c r="S110" i="7"/>
  <c r="S111" i="7"/>
  <c r="S112" i="7"/>
  <c r="T40" i="7"/>
  <c r="Q99" i="7"/>
  <c r="R36" i="7"/>
  <c r="Q34" i="7"/>
  <c r="P94" i="7"/>
  <c r="P95" i="7"/>
  <c r="P96" i="7"/>
  <c r="P97" i="7"/>
  <c r="P105" i="7"/>
  <c r="P106" i="7"/>
  <c r="P107" i="7"/>
  <c r="Q42" i="7"/>
  <c r="P114" i="7"/>
  <c r="P115" i="7"/>
  <c r="P116" i="7"/>
  <c r="P117" i="7"/>
  <c r="Q104" i="7"/>
  <c r="Q105" i="7"/>
  <c r="Q106" i="7"/>
  <c r="Q107" i="7"/>
  <c r="R38" i="7"/>
  <c r="S118" i="6"/>
  <c r="T38" i="6"/>
  <c r="R119" i="6"/>
  <c r="R120" i="6"/>
  <c r="S145" i="9"/>
  <c r="S146" i="9"/>
  <c r="T144" i="9"/>
  <c r="T145" i="9"/>
  <c r="T146" i="9"/>
  <c r="T147" i="9"/>
  <c r="U54" i="9"/>
  <c r="P124" i="9"/>
  <c r="P125" i="9"/>
  <c r="P126" i="9"/>
  <c r="P127" i="9"/>
  <c r="Q46" i="9"/>
  <c r="P94" i="9"/>
  <c r="P95" i="9"/>
  <c r="P96" i="9"/>
  <c r="P97" i="9"/>
  <c r="Q34" i="9"/>
  <c r="T38" i="9"/>
  <c r="S104" i="9"/>
  <c r="S105" i="9"/>
  <c r="S106" i="9"/>
  <c r="S107" i="9"/>
  <c r="O114" i="9"/>
  <c r="O115" i="9"/>
  <c r="O116" i="9"/>
  <c r="O117" i="9"/>
  <c r="P42" i="9"/>
  <c r="R50" i="9"/>
  <c r="Q134" i="9"/>
  <c r="S32" i="9"/>
  <c r="R89" i="9"/>
  <c r="R90" i="9"/>
  <c r="R91" i="9"/>
  <c r="R92" i="9"/>
  <c r="P119" i="9"/>
  <c r="P120" i="9"/>
  <c r="P121" i="9"/>
  <c r="P122" i="9"/>
  <c r="Q44" i="9"/>
  <c r="Q48" i="9"/>
  <c r="P129" i="9"/>
  <c r="Q56" i="9"/>
  <c r="P149" i="9"/>
  <c r="S76" i="1"/>
  <c r="R201" i="1"/>
  <c r="R202" i="1"/>
  <c r="R203" i="1"/>
  <c r="R204" i="1"/>
  <c r="R60" i="1"/>
  <c r="Q161" i="1"/>
  <c r="R72" i="1"/>
  <c r="Q191" i="1"/>
  <c r="Q192" i="1"/>
  <c r="Q193" i="1"/>
  <c r="Q194" i="1"/>
  <c r="O197" i="1"/>
  <c r="O198" i="1"/>
  <c r="O187" i="1"/>
  <c r="O188" i="1"/>
  <c r="W56" i="1"/>
  <c r="V151" i="1"/>
  <c r="P162" i="1"/>
  <c r="P163" i="1"/>
  <c r="P192" i="1"/>
  <c r="P193" i="1"/>
  <c r="Q74" i="1"/>
  <c r="P196" i="1"/>
  <c r="Q78" i="1"/>
  <c r="P206" i="1"/>
  <c r="Q70" i="1"/>
  <c r="P186" i="1"/>
  <c r="S66" i="1"/>
  <c r="R176" i="1"/>
  <c r="H47" i="37"/>
  <c r="J48" i="37"/>
  <c r="AD31" i="39"/>
  <c r="U115" i="11"/>
  <c r="U116" i="11"/>
  <c r="U117" i="11"/>
  <c r="V114" i="11"/>
  <c r="W42" i="11"/>
  <c r="U30" i="34"/>
  <c r="W30" i="35"/>
  <c r="V30" i="35"/>
  <c r="K30" i="35"/>
  <c r="L30" i="33"/>
  <c r="T30" i="33"/>
  <c r="X30" i="33"/>
  <c r="AD30" i="33"/>
  <c r="AC30" i="33"/>
  <c r="AB30" i="33"/>
  <c r="AA30" i="33"/>
  <c r="Z30" i="33"/>
  <c r="Y30" i="33"/>
  <c r="R99" i="11"/>
  <c r="S36" i="11"/>
  <c r="S85" i="11"/>
  <c r="S86" i="11"/>
  <c r="S87" i="11"/>
  <c r="P105" i="11"/>
  <c r="P106" i="11"/>
  <c r="P107" i="11"/>
  <c r="U30" i="11"/>
  <c r="T84" i="11"/>
  <c r="Q100" i="11"/>
  <c r="Q101" i="11"/>
  <c r="Q102" i="11"/>
  <c r="Q104" i="11"/>
  <c r="R38" i="11"/>
  <c r="P135" i="10"/>
  <c r="P136" i="10"/>
  <c r="P137" i="10"/>
  <c r="R50" i="10"/>
  <c r="Q134" i="10"/>
  <c r="P100" i="10"/>
  <c r="P101" i="10"/>
  <c r="P102" i="10"/>
  <c r="Q99" i="10"/>
  <c r="R36" i="10"/>
  <c r="P154" i="22"/>
  <c r="Q58" i="22"/>
  <c r="O155" i="22"/>
  <c r="O156" i="22"/>
  <c r="O157" i="22"/>
  <c r="P110" i="22"/>
  <c r="P111" i="22"/>
  <c r="P112" i="22"/>
  <c r="P145" i="22"/>
  <c r="P146" i="22"/>
  <c r="P147" i="22"/>
  <c r="Q99" i="22"/>
  <c r="R36" i="22"/>
  <c r="R40" i="22"/>
  <c r="Q109" i="22"/>
  <c r="P100" i="22"/>
  <c r="P101" i="22"/>
  <c r="P102" i="22"/>
  <c r="Q144" i="22"/>
  <c r="R54" i="22"/>
  <c r="R150" i="8"/>
  <c r="R151" i="8"/>
  <c r="R152" i="8"/>
  <c r="S149" i="8"/>
  <c r="T56" i="8"/>
  <c r="Q144" i="8"/>
  <c r="R54" i="8"/>
  <c r="P145" i="8"/>
  <c r="P146" i="8"/>
  <c r="P147" i="8"/>
  <c r="O90" i="8"/>
  <c r="O91" i="8"/>
  <c r="O92" i="8"/>
  <c r="O140" i="8"/>
  <c r="O141" i="8"/>
  <c r="O142" i="8"/>
  <c r="Q40" i="8"/>
  <c r="P109" i="8"/>
  <c r="N85" i="8"/>
  <c r="N86" i="8"/>
  <c r="N87" i="8"/>
  <c r="Q48" i="8"/>
  <c r="P129" i="8"/>
  <c r="O110" i="8"/>
  <c r="O111" i="8"/>
  <c r="O112" i="8"/>
  <c r="P30" i="8"/>
  <c r="O84" i="8"/>
  <c r="Q32" i="8"/>
  <c r="P89" i="8"/>
  <c r="Q52" i="8"/>
  <c r="P139" i="8"/>
  <c r="O130" i="8"/>
  <c r="O131" i="8"/>
  <c r="O132" i="8"/>
  <c r="O145" i="7"/>
  <c r="O146" i="7"/>
  <c r="O147" i="7"/>
  <c r="P144" i="7"/>
  <c r="Q54" i="7"/>
  <c r="P139" i="7"/>
  <c r="Q52" i="7"/>
  <c r="O140" i="7"/>
  <c r="O141" i="7"/>
  <c r="O142" i="7"/>
  <c r="O135" i="7"/>
  <c r="O136" i="7"/>
  <c r="O137" i="7"/>
  <c r="Q50" i="7"/>
  <c r="P134" i="7"/>
  <c r="R120" i="7"/>
  <c r="R121" i="7"/>
  <c r="R122" i="7"/>
  <c r="X32" i="7"/>
  <c r="W89" i="7"/>
  <c r="Q125" i="7"/>
  <c r="Q126" i="7"/>
  <c r="Q127" i="7"/>
  <c r="T44" i="7"/>
  <c r="S119" i="7"/>
  <c r="S46" i="7"/>
  <c r="R124" i="7"/>
  <c r="V90" i="7"/>
  <c r="V91" i="7"/>
  <c r="V92" i="7"/>
  <c r="O164" i="6"/>
  <c r="O165" i="6"/>
  <c r="O166" i="6"/>
  <c r="Q56" i="6"/>
  <c r="P163" i="6"/>
  <c r="O159" i="6"/>
  <c r="O160" i="6"/>
  <c r="O161" i="6"/>
  <c r="P158" i="6"/>
  <c r="Q54" i="6"/>
  <c r="Q52" i="6"/>
  <c r="P153" i="6"/>
  <c r="O154" i="6"/>
  <c r="O155" i="6"/>
  <c r="O156" i="6"/>
  <c r="Q50" i="6"/>
  <c r="P148" i="6"/>
  <c r="O149" i="6"/>
  <c r="O150" i="6"/>
  <c r="O151" i="6"/>
  <c r="P143" i="6"/>
  <c r="Q48" i="6"/>
  <c r="O144" i="6"/>
  <c r="O145" i="6"/>
  <c r="O146" i="6"/>
  <c r="Q159" i="9"/>
  <c r="R60" i="9"/>
  <c r="P160" i="9"/>
  <c r="P161" i="9"/>
  <c r="P162" i="9"/>
  <c r="O155" i="9"/>
  <c r="O156" i="9"/>
  <c r="O157" i="9"/>
  <c r="Q58" i="9"/>
  <c r="P154" i="9"/>
  <c r="P110" i="9"/>
  <c r="P111" i="9"/>
  <c r="P112" i="9"/>
  <c r="Q99" i="9"/>
  <c r="R36" i="9"/>
  <c r="Q109" i="9"/>
  <c r="R40" i="9"/>
  <c r="P100" i="9"/>
  <c r="P101" i="9"/>
  <c r="P102" i="9"/>
  <c r="O167" i="1"/>
  <c r="O168" i="1"/>
  <c r="O169" i="1"/>
  <c r="Q62" i="1"/>
  <c r="P166" i="1"/>
  <c r="O127" i="1"/>
  <c r="O128" i="1"/>
  <c r="O129" i="1"/>
  <c r="O147" i="1"/>
  <c r="O148" i="1"/>
  <c r="O149" i="1"/>
  <c r="P146" i="1"/>
  <c r="Q54" i="1"/>
  <c r="P126" i="1"/>
  <c r="Q46" i="1"/>
  <c r="Q122" i="1"/>
  <c r="Q123" i="1"/>
  <c r="Q124" i="1"/>
  <c r="R121" i="1"/>
  <c r="S44" i="1"/>
  <c r="Q102" i="1"/>
  <c r="Q103" i="1"/>
  <c r="Q104" i="1"/>
  <c r="Q112" i="1"/>
  <c r="Q113" i="1"/>
  <c r="Q114" i="1"/>
  <c r="Q38" i="1"/>
  <c r="P106" i="1"/>
  <c r="O107" i="1"/>
  <c r="O108" i="1"/>
  <c r="O109" i="1"/>
  <c r="R101" i="1"/>
  <c r="S36" i="1"/>
  <c r="S40" i="1"/>
  <c r="R111" i="1"/>
  <c r="W31" i="37"/>
  <c r="V31" i="37"/>
  <c r="K31" i="37"/>
  <c r="R48" i="7"/>
  <c r="Q129" i="7"/>
  <c r="Q130" i="7"/>
  <c r="Q131" i="7"/>
  <c r="Q132" i="7"/>
  <c r="W31" i="36"/>
  <c r="V31" i="36"/>
  <c r="K31" i="36"/>
  <c r="L31" i="36"/>
  <c r="K31" i="31"/>
  <c r="AV197" i="9"/>
  <c r="AW196" i="9"/>
  <c r="AW195" i="9"/>
  <c r="BN59" i="11"/>
  <c r="BO229" i="11"/>
  <c r="AX194" i="9"/>
  <c r="AY74" i="9"/>
  <c r="BX140" i="2"/>
  <c r="BW19" i="2"/>
  <c r="M26" i="41"/>
  <c r="N26" i="41"/>
  <c r="O26" i="41"/>
  <c r="P26" i="41"/>
  <c r="M24" i="36"/>
  <c r="N24" i="36"/>
  <c r="O24" i="36"/>
  <c r="P24" i="36"/>
  <c r="Q24" i="36"/>
  <c r="R24" i="36"/>
  <c r="CF17" i="2"/>
  <c r="J48" i="41"/>
  <c r="H47" i="41"/>
  <c r="O202" i="11"/>
  <c r="T207" i="11"/>
  <c r="V207" i="7"/>
  <c r="V187" i="22"/>
  <c r="S127" i="11"/>
  <c r="CA162" i="11"/>
  <c r="CA230" i="11"/>
  <c r="AN172" i="22"/>
  <c r="O167" i="9"/>
  <c r="O207" i="8"/>
  <c r="AA167" i="10"/>
  <c r="U167" i="8"/>
  <c r="O182" i="10"/>
  <c r="O187" i="8"/>
  <c r="CB212" i="8"/>
  <c r="CB240" i="8"/>
  <c r="AQ157" i="10"/>
  <c r="AD187" i="10"/>
  <c r="AP172" i="10"/>
  <c r="W167" i="22"/>
  <c r="AO212" i="10"/>
  <c r="AL177" i="22"/>
  <c r="AB157" i="8"/>
  <c r="AI147" i="10"/>
  <c r="Z177" i="10"/>
  <c r="Y207" i="22"/>
  <c r="Y192" i="22"/>
  <c r="P152" i="11"/>
  <c r="AL280" i="40"/>
  <c r="AL281" i="40"/>
  <c r="AL282" i="40"/>
  <c r="AG249" i="40"/>
  <c r="AH94" i="40"/>
  <c r="AG264" i="40"/>
  <c r="AG265" i="40"/>
  <c r="AG266" i="40"/>
  <c r="AG267" i="40"/>
  <c r="AH100" i="40"/>
  <c r="AG269" i="40"/>
  <c r="AG270" i="40"/>
  <c r="AG271" i="40"/>
  <c r="AG272" i="40"/>
  <c r="AH102" i="40"/>
  <c r="AM255" i="40"/>
  <c r="AM256" i="40"/>
  <c r="AM257" i="40"/>
  <c r="AM275" i="40"/>
  <c r="AM276" i="40"/>
  <c r="AM277" i="40"/>
  <c r="AN260" i="40"/>
  <c r="AN261" i="40"/>
  <c r="AN262" i="40"/>
  <c r="AG289" i="40"/>
  <c r="AH110" i="40"/>
  <c r="AG284" i="40"/>
  <c r="AG285" i="40"/>
  <c r="AG286" i="40"/>
  <c r="AG287" i="40"/>
  <c r="AH108" i="40"/>
  <c r="AG244" i="40"/>
  <c r="AG245" i="40"/>
  <c r="AG246" i="40"/>
  <c r="AG247" i="40"/>
  <c r="AH92" i="40"/>
  <c r="AF290" i="40"/>
  <c r="AF291" i="40"/>
  <c r="AF292" i="40"/>
  <c r="AF285" i="40"/>
  <c r="AF286" i="40"/>
  <c r="AF287" i="40"/>
  <c r="AF245" i="40"/>
  <c r="AF246" i="40"/>
  <c r="AF247" i="40"/>
  <c r="AM106" i="40"/>
  <c r="AM279" i="40"/>
  <c r="AN104" i="40"/>
  <c r="AN274" i="40"/>
  <c r="AN275" i="40"/>
  <c r="AN276" i="40"/>
  <c r="AN277" i="40"/>
  <c r="AN96" i="40"/>
  <c r="AN254" i="40"/>
  <c r="AO98" i="40"/>
  <c r="AO259" i="40"/>
  <c r="AO260" i="40"/>
  <c r="AO261" i="40"/>
  <c r="AO262" i="40"/>
  <c r="AJ90" i="40"/>
  <c r="AF220" i="40"/>
  <c r="AF221" i="40"/>
  <c r="AF222" i="40"/>
  <c r="AH82" i="40"/>
  <c r="AG219" i="40"/>
  <c r="AH78" i="40"/>
  <c r="AG209" i="40"/>
  <c r="AH62" i="40"/>
  <c r="AG169" i="40"/>
  <c r="AG215" i="40"/>
  <c r="AG216" i="40"/>
  <c r="AG187" i="40"/>
  <c r="AI50" i="40"/>
  <c r="AH139" i="40"/>
  <c r="AG115" i="40"/>
  <c r="AG116" i="40"/>
  <c r="AG117" i="40"/>
  <c r="AF160" i="40"/>
  <c r="AF161" i="40"/>
  <c r="AE232" i="40"/>
  <c r="AG239" i="40"/>
  <c r="AH175" i="40"/>
  <c r="AH176" i="40"/>
  <c r="AH177" i="40"/>
  <c r="AF190" i="40"/>
  <c r="AF191" i="40"/>
  <c r="AH46" i="40"/>
  <c r="AG129" i="40"/>
  <c r="AF145" i="40"/>
  <c r="AF146" i="40"/>
  <c r="AF147" i="40"/>
  <c r="AF200" i="40"/>
  <c r="AF201" i="40"/>
  <c r="AF202" i="40"/>
  <c r="AF155" i="40"/>
  <c r="AF156" i="40"/>
  <c r="AF157" i="40"/>
  <c r="AG197" i="40"/>
  <c r="AI76" i="40"/>
  <c r="AH204" i="40"/>
  <c r="AF182" i="40"/>
  <c r="AF207" i="40"/>
  <c r="AF230" i="40"/>
  <c r="AF231" i="40"/>
  <c r="AF232" i="40"/>
  <c r="AI88" i="40"/>
  <c r="AH234" i="40"/>
  <c r="AI40" i="40"/>
  <c r="AH114" i="40"/>
  <c r="AI84" i="40"/>
  <c r="AH224" i="40"/>
  <c r="AF135" i="40"/>
  <c r="AF136" i="40"/>
  <c r="AF137" i="40"/>
  <c r="AF150" i="40"/>
  <c r="AF151" i="40"/>
  <c r="AF152" i="40"/>
  <c r="AF125" i="40"/>
  <c r="AF126" i="40"/>
  <c r="AF127" i="40"/>
  <c r="AH195" i="40"/>
  <c r="AH196" i="40"/>
  <c r="AH197" i="40"/>
  <c r="AI60" i="40"/>
  <c r="AH164" i="40"/>
  <c r="AF217" i="40"/>
  <c r="AF142" i="40"/>
  <c r="AH52" i="40"/>
  <c r="AG144" i="40"/>
  <c r="AG180" i="40"/>
  <c r="AG181" i="40"/>
  <c r="AH185" i="40"/>
  <c r="AH186" i="40"/>
  <c r="AH187" i="40"/>
  <c r="AH56" i="40"/>
  <c r="AG154" i="40"/>
  <c r="AH42" i="40"/>
  <c r="AG119" i="40"/>
  <c r="AF210" i="40"/>
  <c r="AF211" i="40"/>
  <c r="AF170" i="40"/>
  <c r="AF171" i="40"/>
  <c r="AF172" i="40"/>
  <c r="AI80" i="40"/>
  <c r="AH214" i="40"/>
  <c r="AH48" i="40"/>
  <c r="AG134" i="40"/>
  <c r="AH58" i="40"/>
  <c r="AG159" i="40"/>
  <c r="AF240" i="40"/>
  <c r="AF241" i="40"/>
  <c r="AJ64" i="40"/>
  <c r="AI174" i="40"/>
  <c r="AH70" i="40"/>
  <c r="AG189" i="40"/>
  <c r="AI66" i="40"/>
  <c r="AH179" i="40"/>
  <c r="AH74" i="40"/>
  <c r="AG199" i="40"/>
  <c r="AG140" i="40"/>
  <c r="AG141" i="40"/>
  <c r="AG142" i="40"/>
  <c r="AG205" i="40"/>
  <c r="AG206" i="40"/>
  <c r="AE192" i="40"/>
  <c r="AE202" i="40"/>
  <c r="AH86" i="40"/>
  <c r="AG229" i="40"/>
  <c r="AG235" i="40"/>
  <c r="AG236" i="40"/>
  <c r="AG237" i="40"/>
  <c r="AE242" i="40"/>
  <c r="AG225" i="40"/>
  <c r="AG226" i="40"/>
  <c r="AF167" i="40"/>
  <c r="AH54" i="40"/>
  <c r="AG149" i="40"/>
  <c r="AH44" i="40"/>
  <c r="AG124" i="40"/>
  <c r="AE172" i="40"/>
  <c r="AJ72" i="40"/>
  <c r="AI194" i="40"/>
  <c r="AG165" i="40"/>
  <c r="AG166" i="40"/>
  <c r="AF130" i="40"/>
  <c r="AF131" i="40"/>
  <c r="AF132" i="40"/>
  <c r="AF237" i="40"/>
  <c r="AF227" i="40"/>
  <c r="AJ68" i="40"/>
  <c r="AI184" i="40"/>
  <c r="AF120" i="40"/>
  <c r="AF121" i="40"/>
  <c r="AF122" i="40"/>
  <c r="P200" i="10"/>
  <c r="P201" i="10"/>
  <c r="AE185" i="10"/>
  <c r="AE186" i="10"/>
  <c r="AQ171" i="10"/>
  <c r="AQ170" i="10"/>
  <c r="Z205" i="22"/>
  <c r="Z206" i="22"/>
  <c r="S155" i="7"/>
  <c r="S156" i="7"/>
  <c r="X62" i="8"/>
  <c r="W164" i="8"/>
  <c r="R76" i="11"/>
  <c r="Q199" i="11"/>
  <c r="AA64" i="9"/>
  <c r="Z169" i="9"/>
  <c r="Y78" i="7"/>
  <c r="X204" i="7"/>
  <c r="R78" i="8"/>
  <c r="Q204" i="8"/>
  <c r="AD62" i="10"/>
  <c r="AC164" i="10"/>
  <c r="AQ176" i="9"/>
  <c r="AQ175" i="9"/>
  <c r="BX240" i="8"/>
  <c r="BW81" i="8"/>
  <c r="AJ145" i="10"/>
  <c r="AJ146" i="10"/>
  <c r="P166" i="9"/>
  <c r="P165" i="9"/>
  <c r="O202" i="10"/>
  <c r="X166" i="22"/>
  <c r="X165" i="22"/>
  <c r="CB161" i="11"/>
  <c r="CB160" i="11"/>
  <c r="Q150" i="11"/>
  <c r="Q151" i="11"/>
  <c r="W185" i="22"/>
  <c r="W186" i="22"/>
  <c r="AM175" i="22"/>
  <c r="AM176" i="22"/>
  <c r="AH74" i="11"/>
  <c r="AG194" i="11"/>
  <c r="P135" i="11"/>
  <c r="P136" i="11"/>
  <c r="AP132" i="11"/>
  <c r="Q199" i="10"/>
  <c r="R76" i="10"/>
  <c r="AF184" i="10"/>
  <c r="AG70" i="10"/>
  <c r="AS64" i="10"/>
  <c r="AR169" i="10"/>
  <c r="X172" i="9"/>
  <c r="AA204" i="22"/>
  <c r="AB78" i="22"/>
  <c r="U58" i="7"/>
  <c r="T154" i="7"/>
  <c r="AE197" i="11"/>
  <c r="Q200" i="7"/>
  <c r="Q201" i="7"/>
  <c r="T126" i="11"/>
  <c r="T125" i="11"/>
  <c r="U205" i="11"/>
  <c r="U206" i="11"/>
  <c r="AL54" i="10"/>
  <c r="AK144" i="10"/>
  <c r="R56" i="22"/>
  <c r="Q149" i="22"/>
  <c r="Q150" i="22"/>
  <c r="Q151" i="22"/>
  <c r="Q152" i="22"/>
  <c r="Q164" i="9"/>
  <c r="R62" i="9"/>
  <c r="Y164" i="22"/>
  <c r="Z62" i="22"/>
  <c r="BZ61" i="11"/>
  <c r="S56" i="11"/>
  <c r="R149" i="11"/>
  <c r="BT55" i="11"/>
  <c r="BU227" i="11"/>
  <c r="X184" i="22"/>
  <c r="Y70" i="22"/>
  <c r="P181" i="10"/>
  <c r="P180" i="10"/>
  <c r="U160" i="7"/>
  <c r="U161" i="7"/>
  <c r="R50" i="11"/>
  <c r="Q134" i="11"/>
  <c r="AI162" i="22"/>
  <c r="AU192" i="10"/>
  <c r="AL212" i="22"/>
  <c r="AH177" i="11"/>
  <c r="O202" i="22"/>
  <c r="AA176" i="10"/>
  <c r="AA175" i="10"/>
  <c r="AR156" i="10"/>
  <c r="AR155" i="10"/>
  <c r="O177" i="7"/>
  <c r="AC155" i="8"/>
  <c r="AC156" i="8"/>
  <c r="T162" i="7"/>
  <c r="O137" i="11"/>
  <c r="S76" i="7"/>
  <c r="R199" i="7"/>
  <c r="V46" i="11"/>
  <c r="U124" i="11"/>
  <c r="W78" i="11"/>
  <c r="V204" i="11"/>
  <c r="P202" i="7"/>
  <c r="AB72" i="22"/>
  <c r="AA189" i="22"/>
  <c r="AA78" i="9"/>
  <c r="Z204" i="9"/>
  <c r="Q199" i="22"/>
  <c r="R76" i="22"/>
  <c r="P176" i="7"/>
  <c r="P175" i="7"/>
  <c r="Q138" i="6"/>
  <c r="Q139" i="6"/>
  <c r="Q140" i="6"/>
  <c r="Q141" i="6"/>
  <c r="R46" i="6"/>
  <c r="AP211" i="10"/>
  <c r="AP210" i="10"/>
  <c r="P161" i="10"/>
  <c r="P160" i="10"/>
  <c r="Q179" i="10"/>
  <c r="R68" i="10"/>
  <c r="V159" i="7"/>
  <c r="W60" i="7"/>
  <c r="P186" i="8"/>
  <c r="P185" i="8"/>
  <c r="AB174" i="10"/>
  <c r="AC66" i="10"/>
  <c r="AS154" i="10"/>
  <c r="AT58" i="10"/>
  <c r="AE58" i="8"/>
  <c r="AD154" i="8"/>
  <c r="O162" i="10"/>
  <c r="V166" i="8"/>
  <c r="V165" i="8"/>
  <c r="AP177" i="9"/>
  <c r="P200" i="11"/>
  <c r="P201" i="11"/>
  <c r="Y170" i="9"/>
  <c r="Y171" i="9"/>
  <c r="W206" i="7"/>
  <c r="W205" i="7"/>
  <c r="P206" i="8"/>
  <c r="P205" i="8"/>
  <c r="AB166" i="10"/>
  <c r="AB165" i="10"/>
  <c r="X207" i="9"/>
  <c r="AR174" i="9"/>
  <c r="AS66" i="9"/>
  <c r="Z190" i="22"/>
  <c r="Z191" i="22"/>
  <c r="Y205" i="9"/>
  <c r="Y206" i="9"/>
  <c r="P200" i="22"/>
  <c r="P201" i="22"/>
  <c r="R66" i="7"/>
  <c r="Q174" i="7"/>
  <c r="AR80" i="10"/>
  <c r="AQ209" i="10"/>
  <c r="Q159" i="10"/>
  <c r="R60" i="10"/>
  <c r="R157" i="7"/>
  <c r="AN174" i="22"/>
  <c r="AO66" i="22"/>
  <c r="AF196" i="11"/>
  <c r="AF195" i="11"/>
  <c r="R70" i="8"/>
  <c r="Q184" i="8"/>
  <c r="S23" i="37"/>
  <c r="AK6" i="26"/>
  <c r="Q24" i="37"/>
  <c r="R24" i="37"/>
  <c r="AF6" i="26"/>
  <c r="S23" i="36"/>
  <c r="AA6" i="26"/>
  <c r="S23" i="35"/>
  <c r="Q24" i="35"/>
  <c r="R24" i="35"/>
  <c r="V6" i="26"/>
  <c r="S23" i="34"/>
  <c r="Q24" i="34"/>
  <c r="R24" i="34"/>
  <c r="Q6" i="26"/>
  <c r="S23" i="33"/>
  <c r="Q24" i="33"/>
  <c r="R24" i="33"/>
  <c r="S23" i="32"/>
  <c r="L6" i="26"/>
  <c r="Q24" i="32"/>
  <c r="R24" i="32"/>
  <c r="S23" i="31"/>
  <c r="G6" i="26"/>
  <c r="Q24" i="31"/>
  <c r="R24" i="31"/>
  <c r="S109" i="11"/>
  <c r="S110" i="11"/>
  <c r="S111" i="11"/>
  <c r="S112" i="11"/>
  <c r="T40" i="11"/>
  <c r="Q94" i="10"/>
  <c r="Q95" i="10"/>
  <c r="Q96" i="10"/>
  <c r="Q97" i="10"/>
  <c r="R34" i="10"/>
  <c r="R52" i="10"/>
  <c r="Q139" i="10"/>
  <c r="Q140" i="10"/>
  <c r="Q141" i="10"/>
  <c r="Q142" i="10"/>
  <c r="R40" i="10"/>
  <c r="Q109" i="10"/>
  <c r="Q110" i="10"/>
  <c r="Q111" i="10"/>
  <c r="Q112" i="10"/>
  <c r="Q124" i="10"/>
  <c r="Q125" i="10"/>
  <c r="Q126" i="10"/>
  <c r="Q127" i="10"/>
  <c r="R46" i="10"/>
  <c r="Q89" i="10"/>
  <c r="Q90" i="10"/>
  <c r="Q91" i="10"/>
  <c r="Q92" i="10"/>
  <c r="R32" i="10"/>
  <c r="R30" i="10"/>
  <c r="Q84" i="10"/>
  <c r="Q85" i="10"/>
  <c r="Q86" i="10"/>
  <c r="Q87" i="10"/>
  <c r="R38" i="10"/>
  <c r="Q104" i="10"/>
  <c r="Q105" i="10"/>
  <c r="Q106" i="10"/>
  <c r="Q107" i="10"/>
  <c r="S44" i="10"/>
  <c r="R119" i="10"/>
  <c r="R120" i="10"/>
  <c r="R121" i="10"/>
  <c r="R122" i="10"/>
  <c r="R42" i="10"/>
  <c r="Q114" i="10"/>
  <c r="Q115" i="10"/>
  <c r="Q116" i="10"/>
  <c r="Q117" i="10"/>
  <c r="R48" i="10"/>
  <c r="Q129" i="10"/>
  <c r="Q130" i="10"/>
  <c r="Q131" i="10"/>
  <c r="Q132" i="10"/>
  <c r="R139" i="22"/>
  <c r="R140" i="22"/>
  <c r="R141" i="22"/>
  <c r="R142" i="22"/>
  <c r="S52" i="22"/>
  <c r="S46" i="22"/>
  <c r="R124" i="22"/>
  <c r="R125" i="22"/>
  <c r="R126" i="22"/>
  <c r="R127" i="22"/>
  <c r="R42" i="22"/>
  <c r="Q114" i="22"/>
  <c r="Q115" i="22"/>
  <c r="Q116" i="22"/>
  <c r="Q117" i="22"/>
  <c r="R50" i="22"/>
  <c r="Q134" i="22"/>
  <c r="Q135" i="22"/>
  <c r="Q136" i="22"/>
  <c r="Q137" i="22"/>
  <c r="Q124" i="8"/>
  <c r="Q125" i="8"/>
  <c r="Q126" i="8"/>
  <c r="Q127" i="8"/>
  <c r="R46" i="8"/>
  <c r="S50" i="8"/>
  <c r="R134" i="8"/>
  <c r="R135" i="8"/>
  <c r="R136" i="8"/>
  <c r="R137" i="8"/>
  <c r="AK197" i="22"/>
  <c r="O192" i="9"/>
  <c r="W167" i="7"/>
  <c r="AI177" i="8"/>
  <c r="AM207" i="10"/>
  <c r="AL182" i="9"/>
  <c r="AF192" i="11"/>
  <c r="AJ187" i="7"/>
  <c r="BA172" i="7"/>
  <c r="AG182" i="8"/>
  <c r="O202" i="9"/>
  <c r="CA172" i="11"/>
  <c r="CA232" i="11"/>
  <c r="AM212" i="7"/>
  <c r="AN187" i="9"/>
  <c r="AG202" i="8"/>
  <c r="AR209" i="9"/>
  <c r="AS80" i="9"/>
  <c r="AM18" i="2"/>
  <c r="M25" i="34"/>
  <c r="N25" i="34"/>
  <c r="O25" i="34"/>
  <c r="P25" i="34"/>
  <c r="AN139" i="2"/>
  <c r="L18" i="2"/>
  <c r="M25" i="31"/>
  <c r="N25" i="31"/>
  <c r="O25" i="31"/>
  <c r="P25" i="31"/>
  <c r="M139" i="2"/>
  <c r="AT142" i="11"/>
  <c r="P200" i="9"/>
  <c r="P201" i="9"/>
  <c r="AE162" i="8"/>
  <c r="T192" i="8"/>
  <c r="BZ68" i="11"/>
  <c r="BY179" i="11"/>
  <c r="AK197" i="10"/>
  <c r="AF160" i="8"/>
  <c r="AF161" i="8"/>
  <c r="BW182" i="11"/>
  <c r="AM210" i="22"/>
  <c r="AM211" i="22"/>
  <c r="AJ197" i="7"/>
  <c r="CB170" i="11"/>
  <c r="CB171" i="11"/>
  <c r="AH201" i="8"/>
  <c r="AH200" i="8"/>
  <c r="AJ182" i="22"/>
  <c r="BW167" i="11"/>
  <c r="AN74" i="8"/>
  <c r="AM194" i="8"/>
  <c r="AN205" i="10"/>
  <c r="AN206" i="10"/>
  <c r="V189" i="8"/>
  <c r="W72" i="8"/>
  <c r="AO68" i="9"/>
  <c r="AN179" i="9"/>
  <c r="Q189" i="9"/>
  <c r="R72" i="9"/>
  <c r="AV18" i="2"/>
  <c r="M25" i="35"/>
  <c r="N25" i="35"/>
  <c r="O25" i="35"/>
  <c r="P25" i="35"/>
  <c r="AW139" i="2"/>
  <c r="BN18" i="2"/>
  <c r="M25" i="37"/>
  <c r="N25" i="37"/>
  <c r="O25" i="37"/>
  <c r="P25" i="37"/>
  <c r="BO139" i="2"/>
  <c r="R76" i="9"/>
  <c r="Q199" i="9"/>
  <c r="AL60" i="22"/>
  <c r="AK159" i="22"/>
  <c r="R32" i="22"/>
  <c r="Q89" i="22"/>
  <c r="Q90" i="22"/>
  <c r="Q91" i="22"/>
  <c r="Q92" i="22"/>
  <c r="AP169" i="22"/>
  <c r="AQ64" i="22"/>
  <c r="AH181" i="8"/>
  <c r="AH180" i="8"/>
  <c r="AN211" i="7"/>
  <c r="AN210" i="7"/>
  <c r="AZ86" i="22"/>
  <c r="AZ85" i="22"/>
  <c r="AP184" i="9"/>
  <c r="AQ70" i="9"/>
  <c r="AV190" i="10"/>
  <c r="AV191" i="10"/>
  <c r="AN209" i="22"/>
  <c r="AO80" i="22"/>
  <c r="BW65" i="11"/>
  <c r="BX232" i="11"/>
  <c r="BM73" i="7"/>
  <c r="BN236" i="7"/>
  <c r="AR180" i="7"/>
  <c r="AR181" i="7"/>
  <c r="AJ76" i="8"/>
  <c r="AI199" i="8"/>
  <c r="AD140" i="2"/>
  <c r="L140" i="2"/>
  <c r="BE140" i="2"/>
  <c r="AM140" i="2"/>
  <c r="C140" i="2"/>
  <c r="AV140" i="2"/>
  <c r="BN140" i="2"/>
  <c r="U140" i="2"/>
  <c r="AL196" i="10"/>
  <c r="AL195" i="10"/>
  <c r="AQ182" i="7"/>
  <c r="P190" i="9"/>
  <c r="P191" i="9"/>
  <c r="AE139" i="2"/>
  <c r="AD18" i="2"/>
  <c r="M25" i="33"/>
  <c r="N25" i="33"/>
  <c r="O25" i="33"/>
  <c r="P25" i="33"/>
  <c r="BE18" i="2"/>
  <c r="BF139" i="2"/>
  <c r="AG190" i="11"/>
  <c r="AG191" i="11"/>
  <c r="AN152" i="10"/>
  <c r="BD64" i="7"/>
  <c r="BC169" i="7"/>
  <c r="AJ160" i="22"/>
  <c r="AJ161" i="22"/>
  <c r="AO170" i="22"/>
  <c r="AO171" i="22"/>
  <c r="AI179" i="8"/>
  <c r="AJ68" i="8"/>
  <c r="AK195" i="7"/>
  <c r="AK196" i="7"/>
  <c r="AQ130" i="11"/>
  <c r="AQ131" i="11"/>
  <c r="AP80" i="7"/>
  <c r="AO209" i="7"/>
  <c r="BB30" i="22"/>
  <c r="BA84" i="22"/>
  <c r="AK180" i="22"/>
  <c r="AK181" i="22"/>
  <c r="BY164" i="11"/>
  <c r="BZ62" i="11"/>
  <c r="AK186" i="7"/>
  <c r="AK185" i="7"/>
  <c r="AO186" i="9"/>
  <c r="AO185" i="9"/>
  <c r="AW189" i="10"/>
  <c r="AX72" i="10"/>
  <c r="AJ210" i="11"/>
  <c r="AJ211" i="11"/>
  <c r="AI176" i="11"/>
  <c r="AI175" i="11"/>
  <c r="AT68" i="7"/>
  <c r="AS179" i="7"/>
  <c r="AJ176" i="8"/>
  <c r="AJ175" i="8"/>
  <c r="A21" i="2"/>
  <c r="A141" i="2"/>
  <c r="BW141" i="2"/>
  <c r="AU140" i="11"/>
  <c r="AU141" i="11"/>
  <c r="AP149" i="10"/>
  <c r="AQ56" i="10"/>
  <c r="AL195" i="22"/>
  <c r="AL196" i="22"/>
  <c r="AM194" i="10"/>
  <c r="AN74" i="10"/>
  <c r="AQ211" i="9"/>
  <c r="AQ210" i="9"/>
  <c r="U18" i="2"/>
  <c r="M25" i="32"/>
  <c r="N25" i="32"/>
  <c r="O25" i="32"/>
  <c r="P25" i="32"/>
  <c r="V139" i="2"/>
  <c r="C18" i="2"/>
  <c r="M26" i="30"/>
  <c r="D139" i="2"/>
  <c r="AI72" i="11"/>
  <c r="AH189" i="11"/>
  <c r="AK197" i="8"/>
  <c r="BX180" i="11"/>
  <c r="BX181" i="11"/>
  <c r="BB170" i="7"/>
  <c r="BB171" i="7"/>
  <c r="AY87" i="22"/>
  <c r="AM74" i="7"/>
  <c r="AL194" i="7"/>
  <c r="AG159" i="8"/>
  <c r="AH60" i="8"/>
  <c r="AS48" i="11"/>
  <c r="AR129" i="11"/>
  <c r="AL179" i="22"/>
  <c r="AM68" i="22"/>
  <c r="BX165" i="11"/>
  <c r="BX166" i="11"/>
  <c r="AM70" i="7"/>
  <c r="AL184" i="7"/>
  <c r="BY232" i="11"/>
  <c r="BZ232" i="11"/>
  <c r="AL80" i="11"/>
  <c r="AK209" i="11"/>
  <c r="AK66" i="11"/>
  <c r="AJ174" i="11"/>
  <c r="L79" i="37"/>
  <c r="M78" i="37"/>
  <c r="BO65" i="8"/>
  <c r="BP232" i="8"/>
  <c r="AL66" i="8"/>
  <c r="AK174" i="8"/>
  <c r="AP212" i="9"/>
  <c r="AW52" i="11"/>
  <c r="AV139" i="11"/>
  <c r="AL195" i="8"/>
  <c r="AL196" i="8"/>
  <c r="AO150" i="10"/>
  <c r="AO151" i="10"/>
  <c r="AI212" i="11"/>
  <c r="AO204" i="10"/>
  <c r="AP78" i="10"/>
  <c r="U191" i="8"/>
  <c r="U190" i="8"/>
  <c r="AM194" i="22"/>
  <c r="AN74" i="22"/>
  <c r="AM181" i="9"/>
  <c r="AM180" i="9"/>
  <c r="J28" i="30"/>
  <c r="W10" i="39"/>
  <c r="H27" i="30"/>
  <c r="W11" i="39"/>
  <c r="G41" i="30"/>
  <c r="F42" i="30"/>
  <c r="L31" i="31"/>
  <c r="T31" i="31"/>
  <c r="X31" i="31"/>
  <c r="AC31" i="31"/>
  <c r="AE31" i="31"/>
  <c r="AB31" i="31"/>
  <c r="Y31" i="31"/>
  <c r="AD31" i="31"/>
  <c r="AA31" i="31"/>
  <c r="Z31" i="31"/>
  <c r="Q114" i="8"/>
  <c r="Q115" i="8"/>
  <c r="Q116" i="8"/>
  <c r="Q117" i="8"/>
  <c r="R42" i="8"/>
  <c r="W34" i="8"/>
  <c r="V94" i="8"/>
  <c r="V95" i="8"/>
  <c r="V96" i="8"/>
  <c r="V97" i="8"/>
  <c r="R44" i="8"/>
  <c r="Q119" i="8"/>
  <c r="Q120" i="8"/>
  <c r="Q121" i="8"/>
  <c r="Q122" i="8"/>
  <c r="X165" i="7"/>
  <c r="X166" i="7"/>
  <c r="Z62" i="7"/>
  <c r="Y164" i="7"/>
  <c r="R32" i="11"/>
  <c r="Q89" i="11"/>
  <c r="Q90" i="11"/>
  <c r="Q91" i="11"/>
  <c r="Q92" i="11"/>
  <c r="R52" i="9"/>
  <c r="Q139" i="9"/>
  <c r="Q140" i="9"/>
  <c r="Q141" i="9"/>
  <c r="Q142" i="9"/>
  <c r="R84" i="9"/>
  <c r="R85" i="9"/>
  <c r="R86" i="9"/>
  <c r="R87" i="9"/>
  <c r="S30" i="9"/>
  <c r="S86" i="1"/>
  <c r="S87" i="1"/>
  <c r="S88" i="1"/>
  <c r="S89" i="1"/>
  <c r="T30" i="1"/>
  <c r="R48" i="1"/>
  <c r="Q131" i="1"/>
  <c r="Q132" i="1"/>
  <c r="Q133" i="1"/>
  <c r="Q134" i="1"/>
  <c r="Q96" i="1"/>
  <c r="Q97" i="1"/>
  <c r="Q98" i="1"/>
  <c r="Q99" i="1"/>
  <c r="R34" i="1"/>
  <c r="Q141" i="1"/>
  <c r="Q142" i="1"/>
  <c r="Q143" i="1"/>
  <c r="Q144" i="1"/>
  <c r="R52" i="1"/>
  <c r="R68" i="1"/>
  <c r="Q181" i="1"/>
  <c r="Q182" i="1"/>
  <c r="Q183" i="1"/>
  <c r="Q184" i="1"/>
  <c r="Q156" i="1"/>
  <c r="Q157" i="1"/>
  <c r="Q158" i="1"/>
  <c r="Q159" i="1"/>
  <c r="R58" i="1"/>
  <c r="R64" i="1"/>
  <c r="Q171" i="1"/>
  <c r="Q172" i="1"/>
  <c r="Q173" i="1"/>
  <c r="Q174" i="1"/>
  <c r="P132" i="1"/>
  <c r="P133" i="1"/>
  <c r="P134" i="1"/>
  <c r="S91" i="1"/>
  <c r="S92" i="1"/>
  <c r="S93" i="1"/>
  <c r="S94" i="1"/>
  <c r="T32" i="1"/>
  <c r="Q136" i="1"/>
  <c r="Q137" i="1"/>
  <c r="Q138" i="1"/>
  <c r="Q139" i="1"/>
  <c r="R50" i="1"/>
  <c r="W31" i="32"/>
  <c r="V31" i="32"/>
  <c r="K31" i="32"/>
  <c r="I42" i="30"/>
  <c r="A23" i="26"/>
  <c r="AO23" i="26"/>
  <c r="P22" i="26"/>
  <c r="AJ22" i="26"/>
  <c r="K22" i="26"/>
  <c r="Z22" i="26"/>
  <c r="AE22" i="26"/>
  <c r="U22" i="26"/>
  <c r="F22" i="26"/>
  <c r="J44" i="35"/>
  <c r="AB27" i="39"/>
  <c r="H43" i="35"/>
  <c r="U31" i="33"/>
  <c r="W31" i="33"/>
  <c r="V31" i="33"/>
  <c r="X31" i="33"/>
  <c r="R119" i="22"/>
  <c r="R120" i="22"/>
  <c r="R121" i="22"/>
  <c r="R122" i="22"/>
  <c r="S44" i="22"/>
  <c r="O81" i="6"/>
  <c r="S30" i="6"/>
  <c r="R98" i="6"/>
  <c r="S42" i="6"/>
  <c r="R128" i="6"/>
  <c r="R129" i="6"/>
  <c r="R130" i="6"/>
  <c r="R131" i="6"/>
  <c r="R24" i="6"/>
  <c r="Q83" i="6"/>
  <c r="Q84" i="6"/>
  <c r="Q85" i="6"/>
  <c r="Q86" i="6"/>
  <c r="Q133" i="6"/>
  <c r="Q134" i="6"/>
  <c r="Q135" i="6"/>
  <c r="Q136" i="6"/>
  <c r="R44" i="6"/>
  <c r="Q123" i="6"/>
  <c r="Q124" i="6"/>
  <c r="Q125" i="6"/>
  <c r="Q126" i="6"/>
  <c r="R40" i="6"/>
  <c r="Q103" i="6"/>
  <c r="Q104" i="6"/>
  <c r="Q105" i="6"/>
  <c r="Q106" i="6"/>
  <c r="R32" i="6"/>
  <c r="Q108" i="6"/>
  <c r="Q109" i="6"/>
  <c r="Q110" i="6"/>
  <c r="Q111" i="6"/>
  <c r="R34" i="6"/>
  <c r="Q113" i="6"/>
  <c r="Q114" i="6"/>
  <c r="Q115" i="6"/>
  <c r="Q116" i="6"/>
  <c r="R36" i="6"/>
  <c r="R22" i="6"/>
  <c r="Q78" i="6"/>
  <c r="Q79" i="6"/>
  <c r="Q80" i="6"/>
  <c r="Q81" i="6"/>
  <c r="O126" i="6"/>
  <c r="Q93" i="6"/>
  <c r="Q94" i="6"/>
  <c r="Q95" i="6"/>
  <c r="Q96" i="6"/>
  <c r="R28" i="6"/>
  <c r="O111" i="6"/>
  <c r="R26" i="6"/>
  <c r="Q88" i="6"/>
  <c r="Q89" i="6"/>
  <c r="Q90" i="6"/>
  <c r="Q91" i="6"/>
  <c r="R217" i="1"/>
  <c r="R218" i="1"/>
  <c r="P194" i="1"/>
  <c r="P164" i="1"/>
  <c r="O189" i="1"/>
  <c r="O199" i="1"/>
  <c r="R42" i="1"/>
  <c r="Q116" i="1"/>
  <c r="Q117" i="1"/>
  <c r="Q118" i="1"/>
  <c r="Q119" i="1"/>
  <c r="U80" i="1"/>
  <c r="T211" i="1"/>
  <c r="T212" i="1"/>
  <c r="T213" i="1"/>
  <c r="T214" i="1"/>
  <c r="T82" i="1"/>
  <c r="S216" i="1"/>
  <c r="Q219" i="1"/>
  <c r="S147" i="9"/>
  <c r="R121" i="6"/>
  <c r="P122" i="11"/>
  <c r="V38" i="8"/>
  <c r="U104" i="8"/>
  <c r="U105" i="8"/>
  <c r="U106" i="8"/>
  <c r="U107" i="8"/>
  <c r="S36" i="8"/>
  <c r="R99" i="8"/>
  <c r="R100" i="8"/>
  <c r="R101" i="8"/>
  <c r="R102" i="8"/>
  <c r="Q120" i="11"/>
  <c r="Q121" i="11"/>
  <c r="Q122" i="11"/>
  <c r="S44" i="11"/>
  <c r="R119" i="11"/>
  <c r="S38" i="22"/>
  <c r="R104" i="22"/>
  <c r="R105" i="22"/>
  <c r="R106" i="22"/>
  <c r="R107" i="22"/>
  <c r="Q129" i="22"/>
  <c r="Q130" i="22"/>
  <c r="Q131" i="22"/>
  <c r="Q132" i="22"/>
  <c r="R48" i="22"/>
  <c r="Q94" i="22"/>
  <c r="R34" i="22"/>
  <c r="R104" i="7"/>
  <c r="R105" i="7"/>
  <c r="R106" i="7"/>
  <c r="R107" i="7"/>
  <c r="S38" i="7"/>
  <c r="R99" i="7"/>
  <c r="R100" i="7"/>
  <c r="R101" i="7"/>
  <c r="R102" i="7"/>
  <c r="S36" i="7"/>
  <c r="Q100" i="7"/>
  <c r="Q101" i="7"/>
  <c r="Q102" i="7"/>
  <c r="S30" i="7"/>
  <c r="R84" i="7"/>
  <c r="R85" i="7"/>
  <c r="R86" i="7"/>
  <c r="R87" i="7"/>
  <c r="T109" i="7"/>
  <c r="T110" i="7"/>
  <c r="T111" i="7"/>
  <c r="T112" i="7"/>
  <c r="U40" i="7"/>
  <c r="Q114" i="7"/>
  <c r="Q115" i="7"/>
  <c r="Q116" i="7"/>
  <c r="Q117" i="7"/>
  <c r="R42" i="7"/>
  <c r="R34" i="7"/>
  <c r="Q94" i="7"/>
  <c r="T118" i="6"/>
  <c r="U38" i="6"/>
  <c r="S119" i="6"/>
  <c r="S120" i="6"/>
  <c r="S121" i="6"/>
  <c r="R34" i="9"/>
  <c r="Q94" i="9"/>
  <c r="Q95" i="9"/>
  <c r="Q96" i="9"/>
  <c r="Q97" i="9"/>
  <c r="U144" i="9"/>
  <c r="U145" i="9"/>
  <c r="U146" i="9"/>
  <c r="U147" i="9"/>
  <c r="V54" i="9"/>
  <c r="P114" i="9"/>
  <c r="P115" i="9"/>
  <c r="P116" i="9"/>
  <c r="P117" i="9"/>
  <c r="Q42" i="9"/>
  <c r="R46" i="9"/>
  <c r="Q124" i="9"/>
  <c r="U38" i="9"/>
  <c r="T104" i="9"/>
  <c r="T105" i="9"/>
  <c r="T106" i="9"/>
  <c r="T107" i="9"/>
  <c r="Q135" i="9"/>
  <c r="Q136" i="9"/>
  <c r="R134" i="9"/>
  <c r="R135" i="9"/>
  <c r="R136" i="9"/>
  <c r="R137" i="9"/>
  <c r="S50" i="9"/>
  <c r="P150" i="9"/>
  <c r="P151" i="9"/>
  <c r="P152" i="9"/>
  <c r="Q149" i="9"/>
  <c r="Q150" i="9"/>
  <c r="Q151" i="9"/>
  <c r="Q152" i="9"/>
  <c r="R56" i="9"/>
  <c r="P130" i="9"/>
  <c r="P131" i="9"/>
  <c r="Q119" i="9"/>
  <c r="Q120" i="9"/>
  <c r="Q121" i="9"/>
  <c r="Q122" i="9"/>
  <c r="R44" i="9"/>
  <c r="R48" i="9"/>
  <c r="Q129" i="9"/>
  <c r="T32" i="9"/>
  <c r="S89" i="9"/>
  <c r="S90" i="9"/>
  <c r="S91" i="9"/>
  <c r="S92" i="9"/>
  <c r="V152" i="1"/>
  <c r="V153" i="1"/>
  <c r="V154" i="1"/>
  <c r="T66" i="1"/>
  <c r="S176" i="1"/>
  <c r="R74" i="1"/>
  <c r="Q196" i="1"/>
  <c r="X56" i="1"/>
  <c r="W151" i="1"/>
  <c r="W152" i="1"/>
  <c r="W153" i="1"/>
  <c r="W154" i="1"/>
  <c r="T76" i="1"/>
  <c r="S201" i="1"/>
  <c r="P187" i="1"/>
  <c r="P188" i="1"/>
  <c r="P207" i="1"/>
  <c r="P208" i="1"/>
  <c r="P209" i="1"/>
  <c r="Q162" i="1"/>
  <c r="Q163" i="1"/>
  <c r="Q164" i="1"/>
  <c r="R177" i="1"/>
  <c r="R178" i="1"/>
  <c r="R179" i="1"/>
  <c r="P197" i="1"/>
  <c r="P198" i="1"/>
  <c r="R70" i="1"/>
  <c r="Q186" i="1"/>
  <c r="R78" i="1"/>
  <c r="Q206" i="1"/>
  <c r="Q207" i="1"/>
  <c r="Q208" i="1"/>
  <c r="Q209" i="1"/>
  <c r="S72" i="1"/>
  <c r="R191" i="1"/>
  <c r="R192" i="1"/>
  <c r="R193" i="1"/>
  <c r="R194" i="1"/>
  <c r="R161" i="1"/>
  <c r="R162" i="1"/>
  <c r="R163" i="1"/>
  <c r="R164" i="1"/>
  <c r="S60" i="1"/>
  <c r="J47" i="37"/>
  <c r="AD30" i="39"/>
  <c r="H46" i="37"/>
  <c r="X42" i="11"/>
  <c r="W114" i="11"/>
  <c r="V115" i="11"/>
  <c r="V116" i="11"/>
  <c r="V117" i="11"/>
  <c r="W30" i="34"/>
  <c r="V30" i="34"/>
  <c r="K30" i="34"/>
  <c r="L30" i="35"/>
  <c r="T30" i="35"/>
  <c r="AA30" i="35"/>
  <c r="AC30" i="35"/>
  <c r="X30" i="35"/>
  <c r="Z30" i="35"/>
  <c r="AB30" i="35"/>
  <c r="AD30" i="35"/>
  <c r="Y30" i="35"/>
  <c r="Q105" i="11"/>
  <c r="Q106" i="11"/>
  <c r="Q107" i="11"/>
  <c r="U84" i="11"/>
  <c r="V30" i="11"/>
  <c r="R100" i="11"/>
  <c r="R101" i="11"/>
  <c r="R102" i="11"/>
  <c r="S38" i="11"/>
  <c r="R104" i="11"/>
  <c r="T85" i="11"/>
  <c r="T86" i="11"/>
  <c r="T87" i="11"/>
  <c r="S99" i="11"/>
  <c r="T36" i="11"/>
  <c r="Q135" i="10"/>
  <c r="Q136" i="10"/>
  <c r="R134" i="10"/>
  <c r="S50" i="10"/>
  <c r="S36" i="10"/>
  <c r="R99" i="10"/>
  <c r="Q100" i="10"/>
  <c r="Q101" i="10"/>
  <c r="Q102" i="10"/>
  <c r="Q154" i="22"/>
  <c r="R58" i="22"/>
  <c r="P155" i="22"/>
  <c r="P156" i="22"/>
  <c r="P157" i="22"/>
  <c r="Q100" i="22"/>
  <c r="Q101" i="22"/>
  <c r="Q102" i="22"/>
  <c r="R144" i="22"/>
  <c r="S54" i="22"/>
  <c r="Q110" i="22"/>
  <c r="Q111" i="22"/>
  <c r="Q112" i="22"/>
  <c r="Q145" i="22"/>
  <c r="Q146" i="22"/>
  <c r="Q147" i="22"/>
  <c r="R109" i="22"/>
  <c r="S40" i="22"/>
  <c r="S36" i="22"/>
  <c r="R99" i="22"/>
  <c r="T149" i="8"/>
  <c r="U56" i="8"/>
  <c r="S150" i="8"/>
  <c r="S151" i="8"/>
  <c r="S152" i="8"/>
  <c r="R144" i="8"/>
  <c r="S54" i="8"/>
  <c r="Q145" i="8"/>
  <c r="Q146" i="8"/>
  <c r="Q147" i="8"/>
  <c r="P140" i="8"/>
  <c r="P141" i="8"/>
  <c r="P142" i="8"/>
  <c r="P130" i="8"/>
  <c r="P131" i="8"/>
  <c r="P132" i="8"/>
  <c r="R52" i="8"/>
  <c r="Q139" i="8"/>
  <c r="Q129" i="8"/>
  <c r="R48" i="8"/>
  <c r="P110" i="8"/>
  <c r="P111" i="8"/>
  <c r="P112" i="8"/>
  <c r="P90" i="8"/>
  <c r="P91" i="8"/>
  <c r="P92" i="8"/>
  <c r="O85" i="8"/>
  <c r="O86" i="8"/>
  <c r="O87" i="8"/>
  <c r="R40" i="8"/>
  <c r="Q109" i="8"/>
  <c r="R32" i="8"/>
  <c r="Q89" i="8"/>
  <c r="Q30" i="8"/>
  <c r="P84" i="8"/>
  <c r="P145" i="7"/>
  <c r="P146" i="7"/>
  <c r="P147" i="7"/>
  <c r="Q144" i="7"/>
  <c r="R54" i="7"/>
  <c r="R52" i="7"/>
  <c r="Q139" i="7"/>
  <c r="P140" i="7"/>
  <c r="P141" i="7"/>
  <c r="P142" i="7"/>
  <c r="P135" i="7"/>
  <c r="P136" i="7"/>
  <c r="P137" i="7"/>
  <c r="R50" i="7"/>
  <c r="Q134" i="7"/>
  <c r="R125" i="7"/>
  <c r="R126" i="7"/>
  <c r="U44" i="7"/>
  <c r="T119" i="7"/>
  <c r="Y32" i="7"/>
  <c r="X89" i="7"/>
  <c r="T46" i="7"/>
  <c r="S124" i="7"/>
  <c r="S120" i="7"/>
  <c r="S121" i="7"/>
  <c r="S122" i="7"/>
  <c r="W90" i="7"/>
  <c r="W91" i="7"/>
  <c r="W92" i="7"/>
  <c r="P164" i="6"/>
  <c r="P165" i="6"/>
  <c r="P166" i="6"/>
  <c r="R56" i="6"/>
  <c r="Q163" i="6"/>
  <c r="R54" i="6"/>
  <c r="Q158" i="6"/>
  <c r="P159" i="6"/>
  <c r="P160" i="6"/>
  <c r="P161" i="6"/>
  <c r="P154" i="6"/>
  <c r="P155" i="6"/>
  <c r="P156" i="6"/>
  <c r="Q153" i="6"/>
  <c r="R52" i="6"/>
  <c r="P149" i="6"/>
  <c r="P150" i="6"/>
  <c r="P151" i="6"/>
  <c r="R50" i="6"/>
  <c r="Q148" i="6"/>
  <c r="R48" i="6"/>
  <c r="Q143" i="6"/>
  <c r="P144" i="6"/>
  <c r="P145" i="6"/>
  <c r="P146" i="6"/>
  <c r="R159" i="9"/>
  <c r="S60" i="9"/>
  <c r="Q160" i="9"/>
  <c r="Q161" i="9"/>
  <c r="Q162" i="9"/>
  <c r="P155" i="9"/>
  <c r="P156" i="9"/>
  <c r="P157" i="9"/>
  <c r="Q154" i="9"/>
  <c r="R58" i="9"/>
  <c r="R99" i="9"/>
  <c r="S36" i="9"/>
  <c r="S40" i="9"/>
  <c r="R109" i="9"/>
  <c r="Q100" i="9"/>
  <c r="Q101" i="9"/>
  <c r="Q102" i="9"/>
  <c r="Q110" i="9"/>
  <c r="Q111" i="9"/>
  <c r="Q112" i="9"/>
  <c r="P167" i="1"/>
  <c r="P168" i="1"/>
  <c r="P169" i="1"/>
  <c r="Q166" i="1"/>
  <c r="R62" i="1"/>
  <c r="R46" i="1"/>
  <c r="Q126" i="1"/>
  <c r="Q146" i="1"/>
  <c r="R54" i="1"/>
  <c r="P127" i="1"/>
  <c r="P128" i="1"/>
  <c r="P129" i="1"/>
  <c r="P147" i="1"/>
  <c r="P148" i="1"/>
  <c r="P149" i="1"/>
  <c r="S121" i="1"/>
  <c r="T44" i="1"/>
  <c r="R122" i="1"/>
  <c r="R123" i="1"/>
  <c r="R124" i="1"/>
  <c r="R102" i="1"/>
  <c r="R103" i="1"/>
  <c r="R104" i="1"/>
  <c r="R112" i="1"/>
  <c r="R113" i="1"/>
  <c r="R114" i="1"/>
  <c r="Q106" i="1"/>
  <c r="R38" i="1"/>
  <c r="P107" i="1"/>
  <c r="P108" i="1"/>
  <c r="P109" i="1"/>
  <c r="T40" i="1"/>
  <c r="S111" i="1"/>
  <c r="T36" i="1"/>
  <c r="S101" i="1"/>
  <c r="L31" i="37"/>
  <c r="T31" i="37"/>
  <c r="Y31" i="37"/>
  <c r="AE31" i="37"/>
  <c r="AA31" i="37"/>
  <c r="Z31" i="37"/>
  <c r="AD31" i="37"/>
  <c r="AB31" i="37"/>
  <c r="AC31" i="37"/>
  <c r="X31" i="37"/>
  <c r="T31" i="36"/>
  <c r="Y31" i="33"/>
  <c r="R129" i="7"/>
  <c r="R130" i="7"/>
  <c r="R131" i="7"/>
  <c r="R132" i="7"/>
  <c r="S48" i="7"/>
  <c r="AC31" i="36"/>
  <c r="AB31" i="36"/>
  <c r="X31" i="36"/>
  <c r="Z31" i="36"/>
  <c r="AD31" i="36"/>
  <c r="AA31" i="36"/>
  <c r="Y31" i="36"/>
  <c r="AE31" i="36"/>
  <c r="AW197" i="9"/>
  <c r="BW20" i="2"/>
  <c r="M27" i="41"/>
  <c r="BX141" i="2"/>
  <c r="Q26" i="41"/>
  <c r="P27" i="41"/>
  <c r="Q27" i="41"/>
  <c r="BM59" i="11"/>
  <c r="BN229" i="11"/>
  <c r="AY194" i="9"/>
  <c r="AZ74" i="9"/>
  <c r="AX196" i="9"/>
  <c r="AX195" i="9"/>
  <c r="M25" i="36"/>
  <c r="N25" i="36"/>
  <c r="O25" i="36"/>
  <c r="P25" i="36"/>
  <c r="Q25" i="36"/>
  <c r="R25" i="36"/>
  <c r="CF18" i="2"/>
  <c r="J47" i="41"/>
  <c r="H46" i="41"/>
  <c r="H28" i="41"/>
  <c r="U192" i="8"/>
  <c r="P207" i="8"/>
  <c r="AR157" i="10"/>
  <c r="CB162" i="11"/>
  <c r="CB230" i="11"/>
  <c r="BX182" i="11"/>
  <c r="P202" i="22"/>
  <c r="Z192" i="22"/>
  <c r="AA177" i="10"/>
  <c r="U162" i="7"/>
  <c r="U207" i="11"/>
  <c r="Q202" i="7"/>
  <c r="X167" i="22"/>
  <c r="AJ147" i="10"/>
  <c r="Z207" i="22"/>
  <c r="AE187" i="10"/>
  <c r="AC157" i="8"/>
  <c r="S157" i="7"/>
  <c r="P202" i="10"/>
  <c r="AK197" i="7"/>
  <c r="AJ212" i="11"/>
  <c r="AJ162" i="22"/>
  <c r="AL197" i="10"/>
  <c r="AR182" i="7"/>
  <c r="AV192" i="10"/>
  <c r="P202" i="11"/>
  <c r="AH244" i="40"/>
  <c r="AI92" i="40"/>
  <c r="AH289" i="40"/>
  <c r="AI110" i="40"/>
  <c r="AH269" i="40"/>
  <c r="AI102" i="40"/>
  <c r="AH249" i="40"/>
  <c r="AI94" i="40"/>
  <c r="AM280" i="40"/>
  <c r="AM281" i="40"/>
  <c r="AM282" i="40"/>
  <c r="AG290" i="40"/>
  <c r="AG291" i="40"/>
  <c r="AG292" i="40"/>
  <c r="AG250" i="40"/>
  <c r="AG251" i="40"/>
  <c r="AG252" i="40"/>
  <c r="AH284" i="40"/>
  <c r="AI108" i="40"/>
  <c r="AH264" i="40"/>
  <c r="AI100" i="40"/>
  <c r="AN255" i="40"/>
  <c r="AN256" i="40"/>
  <c r="AN257" i="40"/>
  <c r="AP98" i="40"/>
  <c r="AP259" i="40"/>
  <c r="AP260" i="40"/>
  <c r="AP261" i="40"/>
  <c r="AP262" i="40"/>
  <c r="AO96" i="40"/>
  <c r="AO254" i="40"/>
  <c r="AO255" i="40"/>
  <c r="AO256" i="40"/>
  <c r="AO257" i="40"/>
  <c r="AO104" i="40"/>
  <c r="AO274" i="40"/>
  <c r="AO275" i="40"/>
  <c r="AO276" i="40"/>
  <c r="AO277" i="40"/>
  <c r="AN106" i="40"/>
  <c r="AN279" i="40"/>
  <c r="AN280" i="40"/>
  <c r="AN281" i="40"/>
  <c r="AN282" i="40"/>
  <c r="AK90" i="40"/>
  <c r="AI44" i="40"/>
  <c r="AH124" i="40"/>
  <c r="AJ60" i="40"/>
  <c r="AI164" i="40"/>
  <c r="AH115" i="40"/>
  <c r="AH116" i="40"/>
  <c r="AH117" i="40"/>
  <c r="AJ76" i="40"/>
  <c r="AI204" i="40"/>
  <c r="AG130" i="40"/>
  <c r="AG131" i="40"/>
  <c r="AG132" i="40"/>
  <c r="AH239" i="40"/>
  <c r="AJ50" i="40"/>
  <c r="AI139" i="40"/>
  <c r="AI82" i="40"/>
  <c r="AH219" i="40"/>
  <c r="AG167" i="40"/>
  <c r="AG207" i="40"/>
  <c r="AI74" i="40"/>
  <c r="AH199" i="40"/>
  <c r="AI175" i="40"/>
  <c r="AI176" i="40"/>
  <c r="AF242" i="40"/>
  <c r="AG135" i="40"/>
  <c r="AG136" i="40"/>
  <c r="AG137" i="40"/>
  <c r="AF212" i="40"/>
  <c r="AI42" i="40"/>
  <c r="AH119" i="40"/>
  <c r="AG145" i="40"/>
  <c r="AG146" i="40"/>
  <c r="AG147" i="40"/>
  <c r="AH225" i="40"/>
  <c r="AH226" i="40"/>
  <c r="AJ40" i="40"/>
  <c r="AI114" i="40"/>
  <c r="AJ88" i="40"/>
  <c r="AI234" i="40"/>
  <c r="AG170" i="40"/>
  <c r="AG171" i="40"/>
  <c r="AG172" i="40"/>
  <c r="AI78" i="40"/>
  <c r="AH209" i="40"/>
  <c r="AK72" i="40"/>
  <c r="AJ194" i="40"/>
  <c r="AI86" i="40"/>
  <c r="AH229" i="40"/>
  <c r="AJ66" i="40"/>
  <c r="AI179" i="40"/>
  <c r="AI185" i="40"/>
  <c r="AI186" i="40"/>
  <c r="AG150" i="40"/>
  <c r="AG151" i="40"/>
  <c r="AG152" i="40"/>
  <c r="AG190" i="40"/>
  <c r="AG191" i="40"/>
  <c r="AG192" i="40"/>
  <c r="AG160" i="40"/>
  <c r="AG161" i="40"/>
  <c r="AG162" i="40"/>
  <c r="AI48" i="40"/>
  <c r="AH134" i="40"/>
  <c r="AJ80" i="40"/>
  <c r="AI214" i="40"/>
  <c r="AG155" i="40"/>
  <c r="AG156" i="40"/>
  <c r="AG157" i="40"/>
  <c r="AI52" i="40"/>
  <c r="AH144" i="40"/>
  <c r="AH165" i="40"/>
  <c r="AH166" i="40"/>
  <c r="AH205" i="40"/>
  <c r="AH206" i="40"/>
  <c r="AI46" i="40"/>
  <c r="AH129" i="40"/>
  <c r="AI54" i="40"/>
  <c r="AH149" i="40"/>
  <c r="AG200" i="40"/>
  <c r="AG201" i="40"/>
  <c r="AH215" i="40"/>
  <c r="AH216" i="40"/>
  <c r="AG210" i="40"/>
  <c r="AG211" i="40"/>
  <c r="AK68" i="40"/>
  <c r="AJ184" i="40"/>
  <c r="AI195" i="40"/>
  <c r="AI196" i="40"/>
  <c r="AI197" i="40"/>
  <c r="AG125" i="40"/>
  <c r="AG126" i="40"/>
  <c r="AG127" i="40"/>
  <c r="AG227" i="40"/>
  <c r="AG230" i="40"/>
  <c r="AG231" i="40"/>
  <c r="AH180" i="40"/>
  <c r="AH181" i="40"/>
  <c r="AH182" i="40"/>
  <c r="AI70" i="40"/>
  <c r="AH189" i="40"/>
  <c r="AK64" i="40"/>
  <c r="AJ174" i="40"/>
  <c r="AI58" i="40"/>
  <c r="AH159" i="40"/>
  <c r="AG120" i="40"/>
  <c r="AG121" i="40"/>
  <c r="AG122" i="40"/>
  <c r="AI56" i="40"/>
  <c r="AH154" i="40"/>
  <c r="AG182" i="40"/>
  <c r="AJ84" i="40"/>
  <c r="AI224" i="40"/>
  <c r="AH235" i="40"/>
  <c r="AH236" i="40"/>
  <c r="AF192" i="40"/>
  <c r="AG240" i="40"/>
  <c r="AG241" i="40"/>
  <c r="AG242" i="40"/>
  <c r="AF162" i="40"/>
  <c r="AH140" i="40"/>
  <c r="AH141" i="40"/>
  <c r="AH142" i="40"/>
  <c r="AG217" i="40"/>
  <c r="AI62" i="40"/>
  <c r="AH169" i="40"/>
  <c r="AG220" i="40"/>
  <c r="AG221" i="40"/>
  <c r="AG222" i="40"/>
  <c r="AQ172" i="10"/>
  <c r="AQ212" i="9"/>
  <c r="Q185" i="8"/>
  <c r="Q186" i="8"/>
  <c r="AP66" i="22"/>
  <c r="AO174" i="22"/>
  <c r="Q161" i="10"/>
  <c r="Q160" i="10"/>
  <c r="S66" i="7"/>
  <c r="R174" i="7"/>
  <c r="AD156" i="8"/>
  <c r="AD155" i="8"/>
  <c r="AC174" i="10"/>
  <c r="AD66" i="10"/>
  <c r="X60" i="7"/>
  <c r="W159" i="7"/>
  <c r="R138" i="6"/>
  <c r="R139" i="6"/>
  <c r="R140" i="6"/>
  <c r="R141" i="6"/>
  <c r="S46" i="6"/>
  <c r="R199" i="22"/>
  <c r="S76" i="22"/>
  <c r="AA191" i="22"/>
  <c r="AA190" i="22"/>
  <c r="U125" i="11"/>
  <c r="U126" i="11"/>
  <c r="Z70" i="22"/>
  <c r="Y184" i="22"/>
  <c r="R150" i="11"/>
  <c r="R151" i="11"/>
  <c r="Z164" i="22"/>
  <c r="AA62" i="22"/>
  <c r="U154" i="7"/>
  <c r="V58" i="7"/>
  <c r="AR170" i="10"/>
  <c r="AR171" i="10"/>
  <c r="S76" i="10"/>
  <c r="R199" i="10"/>
  <c r="Q205" i="8"/>
  <c r="Q206" i="8"/>
  <c r="Z171" i="9"/>
  <c r="Z170" i="9"/>
  <c r="W166" i="8"/>
  <c r="W165" i="8"/>
  <c r="S70" i="8"/>
  <c r="R184" i="8"/>
  <c r="AN175" i="22"/>
  <c r="AN176" i="22"/>
  <c r="AQ211" i="10"/>
  <c r="AQ210" i="10"/>
  <c r="AT66" i="9"/>
  <c r="AS174" i="9"/>
  <c r="V167" i="8"/>
  <c r="AF58" i="8"/>
  <c r="AE154" i="8"/>
  <c r="AB175" i="10"/>
  <c r="AB176" i="10"/>
  <c r="V161" i="7"/>
  <c r="V160" i="7"/>
  <c r="P162" i="10"/>
  <c r="Q201" i="22"/>
  <c r="Q200" i="22"/>
  <c r="AC72" i="22"/>
  <c r="AB189" i="22"/>
  <c r="W46" i="11"/>
  <c r="V124" i="11"/>
  <c r="X186" i="22"/>
  <c r="X185" i="22"/>
  <c r="T56" i="11"/>
  <c r="S149" i="11"/>
  <c r="Y165" i="22"/>
  <c r="Y166" i="22"/>
  <c r="S56" i="22"/>
  <c r="R149" i="22"/>
  <c r="R150" i="22"/>
  <c r="R151" i="22"/>
  <c r="R152" i="22"/>
  <c r="AB204" i="22"/>
  <c r="AC78" i="22"/>
  <c r="AT64" i="10"/>
  <c r="AS169" i="10"/>
  <c r="Q201" i="10"/>
  <c r="Q200" i="10"/>
  <c r="AG196" i="11"/>
  <c r="AG195" i="11"/>
  <c r="W187" i="22"/>
  <c r="AQ177" i="9"/>
  <c r="S78" i="8"/>
  <c r="R204" i="8"/>
  <c r="AA169" i="9"/>
  <c r="AB64" i="9"/>
  <c r="Y62" i="8"/>
  <c r="X164" i="8"/>
  <c r="AR209" i="10"/>
  <c r="AS80" i="10"/>
  <c r="AR175" i="9"/>
  <c r="AR176" i="9"/>
  <c r="AB167" i="10"/>
  <c r="W207" i="7"/>
  <c r="AT154" i="10"/>
  <c r="AU58" i="10"/>
  <c r="R179" i="10"/>
  <c r="S68" i="10"/>
  <c r="Z205" i="9"/>
  <c r="Z206" i="9"/>
  <c r="V205" i="11"/>
  <c r="V206" i="11"/>
  <c r="R201" i="7"/>
  <c r="R200" i="7"/>
  <c r="Q135" i="11"/>
  <c r="Q136" i="11"/>
  <c r="S62" i="9"/>
  <c r="R164" i="9"/>
  <c r="AK146" i="10"/>
  <c r="AK145" i="10"/>
  <c r="AA205" i="22"/>
  <c r="AA206" i="22"/>
  <c r="AG184" i="10"/>
  <c r="AH70" i="10"/>
  <c r="AI74" i="11"/>
  <c r="AH194" i="11"/>
  <c r="BV81" i="8"/>
  <c r="BW240" i="8"/>
  <c r="AC165" i="10"/>
  <c r="AC166" i="10"/>
  <c r="X206" i="7"/>
  <c r="X205" i="7"/>
  <c r="Q201" i="11"/>
  <c r="Q200" i="11"/>
  <c r="AF197" i="11"/>
  <c r="R159" i="10"/>
  <c r="S60" i="10"/>
  <c r="Q175" i="7"/>
  <c r="Q176" i="7"/>
  <c r="Y207" i="9"/>
  <c r="Y172" i="9"/>
  <c r="AS156" i="10"/>
  <c r="AS155" i="10"/>
  <c r="P187" i="8"/>
  <c r="Q180" i="10"/>
  <c r="Q181" i="10"/>
  <c r="AP212" i="10"/>
  <c r="P177" i="7"/>
  <c r="AB78" i="9"/>
  <c r="AA204" i="9"/>
  <c r="X78" i="11"/>
  <c r="W204" i="11"/>
  <c r="T76" i="7"/>
  <c r="S199" i="7"/>
  <c r="S50" i="11"/>
  <c r="R134" i="11"/>
  <c r="P182" i="10"/>
  <c r="BS55" i="11"/>
  <c r="BT227" i="11"/>
  <c r="BY61" i="11"/>
  <c r="BZ230" i="11"/>
  <c r="Q166" i="9"/>
  <c r="Q165" i="9"/>
  <c r="AM54" i="10"/>
  <c r="AL144" i="10"/>
  <c r="T127" i="11"/>
  <c r="T156" i="7"/>
  <c r="T155" i="7"/>
  <c r="AF185" i="10"/>
  <c r="AF186" i="10"/>
  <c r="P137" i="11"/>
  <c r="AM177" i="22"/>
  <c r="Q152" i="11"/>
  <c r="P167" i="9"/>
  <c r="AD164" i="10"/>
  <c r="AE62" i="10"/>
  <c r="Z78" i="7"/>
  <c r="Y204" i="7"/>
  <c r="S76" i="11"/>
  <c r="R199" i="11"/>
  <c r="AK7" i="26"/>
  <c r="S24" i="37"/>
  <c r="Q25" i="37"/>
  <c r="R25" i="37"/>
  <c r="AF7" i="26"/>
  <c r="S24" i="36"/>
  <c r="S24" i="35"/>
  <c r="AA7" i="26"/>
  <c r="Q25" i="35"/>
  <c r="R25" i="35"/>
  <c r="V7" i="26"/>
  <c r="S24" i="34"/>
  <c r="Q25" i="34"/>
  <c r="R25" i="34"/>
  <c r="S24" i="33"/>
  <c r="Q7" i="26"/>
  <c r="Q25" i="33"/>
  <c r="R25" i="33"/>
  <c r="S24" i="32"/>
  <c r="L7" i="26"/>
  <c r="Q25" i="32"/>
  <c r="R25" i="32"/>
  <c r="G7" i="26"/>
  <c r="S24" i="31"/>
  <c r="Q25" i="31"/>
  <c r="R25" i="31"/>
  <c r="U40" i="11"/>
  <c r="T109" i="11"/>
  <c r="T110" i="11"/>
  <c r="T111" i="11"/>
  <c r="T112" i="11"/>
  <c r="S48" i="10"/>
  <c r="R129" i="10"/>
  <c r="R130" i="10"/>
  <c r="R131" i="10"/>
  <c r="R132" i="10"/>
  <c r="T44" i="10"/>
  <c r="S119" i="10"/>
  <c r="S120" i="10"/>
  <c r="S121" i="10"/>
  <c r="S122" i="10"/>
  <c r="S30" i="10"/>
  <c r="R84" i="10"/>
  <c r="R85" i="10"/>
  <c r="R86" i="10"/>
  <c r="R87" i="10"/>
  <c r="R139" i="10"/>
  <c r="R140" i="10"/>
  <c r="R141" i="10"/>
  <c r="R142" i="10"/>
  <c r="S52" i="10"/>
  <c r="S46" i="10"/>
  <c r="R124" i="10"/>
  <c r="R125" i="10"/>
  <c r="R126" i="10"/>
  <c r="R127" i="10"/>
  <c r="S32" i="10"/>
  <c r="R89" i="10"/>
  <c r="R90" i="10"/>
  <c r="R91" i="10"/>
  <c r="R92" i="10"/>
  <c r="R94" i="10"/>
  <c r="R95" i="10"/>
  <c r="R96" i="10"/>
  <c r="R97" i="10"/>
  <c r="S34" i="10"/>
  <c r="R114" i="10"/>
  <c r="R115" i="10"/>
  <c r="R116" i="10"/>
  <c r="R117" i="10"/>
  <c r="S42" i="10"/>
  <c r="R104" i="10"/>
  <c r="R105" i="10"/>
  <c r="R106" i="10"/>
  <c r="R107" i="10"/>
  <c r="S38" i="10"/>
  <c r="S40" i="10"/>
  <c r="R109" i="10"/>
  <c r="R110" i="10"/>
  <c r="R111" i="10"/>
  <c r="R112" i="10"/>
  <c r="R114" i="22"/>
  <c r="R115" i="22"/>
  <c r="R116" i="22"/>
  <c r="R117" i="22"/>
  <c r="S42" i="22"/>
  <c r="S139" i="22"/>
  <c r="S140" i="22"/>
  <c r="S141" i="22"/>
  <c r="S142" i="22"/>
  <c r="T52" i="22"/>
  <c r="S50" i="22"/>
  <c r="R134" i="22"/>
  <c r="R135" i="22"/>
  <c r="R136" i="22"/>
  <c r="R137" i="22"/>
  <c r="S124" i="22"/>
  <c r="S125" i="22"/>
  <c r="S126" i="22"/>
  <c r="S127" i="22"/>
  <c r="T46" i="22"/>
  <c r="T50" i="8"/>
  <c r="S134" i="8"/>
  <c r="S135" i="8"/>
  <c r="S136" i="8"/>
  <c r="S137" i="8"/>
  <c r="R124" i="8"/>
  <c r="R125" i="8"/>
  <c r="R126" i="8"/>
  <c r="R127" i="8"/>
  <c r="S46" i="8"/>
  <c r="AF162" i="8"/>
  <c r="BB172" i="7"/>
  <c r="AL197" i="22"/>
  <c r="AU142" i="11"/>
  <c r="AQ132" i="11"/>
  <c r="AM212" i="22"/>
  <c r="AM182" i="9"/>
  <c r="P192" i="9"/>
  <c r="AO187" i="9"/>
  <c r="AG192" i="11"/>
  <c r="AN207" i="10"/>
  <c r="CB172" i="11"/>
  <c r="CB232" i="11"/>
  <c r="K31" i="33"/>
  <c r="L31" i="33"/>
  <c r="U32" i="31"/>
  <c r="K32" i="31"/>
  <c r="AO74" i="22"/>
  <c r="AN194" i="22"/>
  <c r="AO152" i="10"/>
  <c r="AK176" i="8"/>
  <c r="AK175" i="8"/>
  <c r="L80" i="37"/>
  <c r="M79" i="37"/>
  <c r="AJ175" i="11"/>
  <c r="AJ176" i="11"/>
  <c r="AM80" i="11"/>
  <c r="AL209" i="11"/>
  <c r="AL186" i="7"/>
  <c r="AL185" i="7"/>
  <c r="AT48" i="11"/>
  <c r="AS129" i="11"/>
  <c r="AL195" i="7"/>
  <c r="AL196" i="7"/>
  <c r="AJ72" i="11"/>
  <c r="AI189" i="11"/>
  <c r="A22" i="2"/>
  <c r="A142" i="2"/>
  <c r="BW142" i="2"/>
  <c r="AI177" i="11"/>
  <c r="AY72" i="10"/>
  <c r="AX189" i="10"/>
  <c r="AK187" i="7"/>
  <c r="BC171" i="7"/>
  <c r="BC170" i="7"/>
  <c r="AV19" i="2"/>
  <c r="M26" i="35"/>
  <c r="N26" i="35"/>
  <c r="O26" i="35"/>
  <c r="P26" i="35"/>
  <c r="AW140" i="2"/>
  <c r="L19" i="2"/>
  <c r="M26" i="31"/>
  <c r="N26" i="31"/>
  <c r="O26" i="31"/>
  <c r="P26" i="31"/>
  <c r="M140" i="2"/>
  <c r="AJ199" i="8"/>
  <c r="AK76" i="8"/>
  <c r="AN210" i="22"/>
  <c r="AN211" i="22"/>
  <c r="AN212" i="7"/>
  <c r="AH182" i="8"/>
  <c r="AP170" i="22"/>
  <c r="AP171" i="22"/>
  <c r="AK160" i="22"/>
  <c r="AK161" i="22"/>
  <c r="R199" i="9"/>
  <c r="S76" i="9"/>
  <c r="S72" i="9"/>
  <c r="R189" i="9"/>
  <c r="AP68" i="9"/>
  <c r="AO179" i="9"/>
  <c r="X72" i="8"/>
  <c r="W189" i="8"/>
  <c r="P202" i="9"/>
  <c r="AM195" i="22"/>
  <c r="AM196" i="22"/>
  <c r="AP204" i="10"/>
  <c r="AQ78" i="10"/>
  <c r="AV140" i="11"/>
  <c r="AV141" i="11"/>
  <c r="AM66" i="8"/>
  <c r="AL174" i="8"/>
  <c r="AL66" i="11"/>
  <c r="AK174" i="11"/>
  <c r="AN70" i="7"/>
  <c r="AM184" i="7"/>
  <c r="AN68" i="22"/>
  <c r="AM179" i="22"/>
  <c r="AI60" i="8"/>
  <c r="AH159" i="8"/>
  <c r="AN74" i="7"/>
  <c r="AM194" i="7"/>
  <c r="AS180" i="7"/>
  <c r="AS181" i="7"/>
  <c r="AW190" i="10"/>
  <c r="AW191" i="10"/>
  <c r="AO210" i="7"/>
  <c r="AO211" i="7"/>
  <c r="AK68" i="8"/>
  <c r="AJ179" i="8"/>
  <c r="BD169" i="7"/>
  <c r="BE64" i="7"/>
  <c r="C19" i="2"/>
  <c r="M27" i="30"/>
  <c r="D140" i="2"/>
  <c r="AD19" i="2"/>
  <c r="M26" i="33"/>
  <c r="N26" i="33"/>
  <c r="O26" i="33"/>
  <c r="P26" i="33"/>
  <c r="AE140" i="2"/>
  <c r="BV65" i="11"/>
  <c r="BW232" i="11"/>
  <c r="AQ184" i="9"/>
  <c r="AR70" i="9"/>
  <c r="AL159" i="22"/>
  <c r="AM60" i="22"/>
  <c r="Q190" i="9"/>
  <c r="Q191" i="9"/>
  <c r="V191" i="8"/>
  <c r="V190" i="8"/>
  <c r="AM195" i="8"/>
  <c r="AM196" i="8"/>
  <c r="BY180" i="11"/>
  <c r="BY181" i="11"/>
  <c r="AT80" i="9"/>
  <c r="AS209" i="9"/>
  <c r="AO206" i="10"/>
  <c r="AO205" i="10"/>
  <c r="AL197" i="8"/>
  <c r="AX52" i="11"/>
  <c r="AW139" i="11"/>
  <c r="BX167" i="11"/>
  <c r="AL180" i="22"/>
  <c r="AL181" i="22"/>
  <c r="AG161" i="8"/>
  <c r="AG160" i="8"/>
  <c r="AN194" i="10"/>
  <c r="AO74" i="10"/>
  <c r="AR56" i="10"/>
  <c r="AQ149" i="10"/>
  <c r="AJ177" i="8"/>
  <c r="AU68" i="7"/>
  <c r="AT179" i="7"/>
  <c r="CA62" i="11"/>
  <c r="BZ164" i="11"/>
  <c r="AK182" i="22"/>
  <c r="BA85" i="22"/>
  <c r="BA86" i="22"/>
  <c r="AQ80" i="7"/>
  <c r="AP209" i="7"/>
  <c r="AI180" i="8"/>
  <c r="AI181" i="8"/>
  <c r="AO172" i="22"/>
  <c r="U19" i="2"/>
  <c r="M26" i="32"/>
  <c r="N26" i="32"/>
  <c r="O26" i="32"/>
  <c r="P26" i="32"/>
  <c r="V140" i="2"/>
  <c r="AN140" i="2"/>
  <c r="AM19" i="2"/>
  <c r="M26" i="34"/>
  <c r="N26" i="34"/>
  <c r="O26" i="34"/>
  <c r="P26" i="34"/>
  <c r="AP185" i="9"/>
  <c r="AP186" i="9"/>
  <c r="AZ87" i="22"/>
  <c r="R89" i="22"/>
  <c r="R90" i="22"/>
  <c r="R91" i="22"/>
  <c r="R92" i="22"/>
  <c r="S32" i="22"/>
  <c r="AO74" i="8"/>
  <c r="AN194" i="8"/>
  <c r="AH202" i="8"/>
  <c r="CA68" i="11"/>
  <c r="BZ179" i="11"/>
  <c r="AR211" i="9"/>
  <c r="AR210" i="9"/>
  <c r="BN65" i="8"/>
  <c r="BO232" i="8"/>
  <c r="AK210" i="11"/>
  <c r="AK211" i="11"/>
  <c r="AR131" i="11"/>
  <c r="AR130" i="11"/>
  <c r="AH191" i="11"/>
  <c r="AH190" i="11"/>
  <c r="AM195" i="10"/>
  <c r="AM196" i="10"/>
  <c r="AP150" i="10"/>
  <c r="AP151" i="10"/>
  <c r="AV141" i="2"/>
  <c r="BN141" i="2"/>
  <c r="BE141" i="2"/>
  <c r="AD141" i="2"/>
  <c r="AM141" i="2"/>
  <c r="U141" i="2"/>
  <c r="L141" i="2"/>
  <c r="C141" i="2"/>
  <c r="BY166" i="11"/>
  <c r="BY165" i="11"/>
  <c r="BC30" i="22"/>
  <c r="BB84" i="22"/>
  <c r="BN19" i="2"/>
  <c r="M26" i="37"/>
  <c r="N26" i="37"/>
  <c r="O26" i="37"/>
  <c r="P26" i="37"/>
  <c r="BO140" i="2"/>
  <c r="BE19" i="2"/>
  <c r="BF140" i="2"/>
  <c r="AI201" i="8"/>
  <c r="AI200" i="8"/>
  <c r="BL73" i="7"/>
  <c r="BM236" i="7"/>
  <c r="AO209" i="22"/>
  <c r="AP80" i="22"/>
  <c r="AQ169" i="22"/>
  <c r="AR64" i="22"/>
  <c r="Q200" i="9"/>
  <c r="Q201" i="9"/>
  <c r="AN181" i="9"/>
  <c r="AN180" i="9"/>
  <c r="J27" i="30"/>
  <c r="H26" i="30"/>
  <c r="F43" i="30"/>
  <c r="G42" i="30"/>
  <c r="H42" i="30"/>
  <c r="J42" i="30"/>
  <c r="W24" i="39"/>
  <c r="X167" i="7"/>
  <c r="S42" i="8"/>
  <c r="R114" i="8"/>
  <c r="R115" i="8"/>
  <c r="R116" i="8"/>
  <c r="R117" i="8"/>
  <c r="S44" i="8"/>
  <c r="R119" i="8"/>
  <c r="R120" i="8"/>
  <c r="R121" i="8"/>
  <c r="R122" i="8"/>
  <c r="W94" i="8"/>
  <c r="W95" i="8"/>
  <c r="W96" i="8"/>
  <c r="W97" i="8"/>
  <c r="X34" i="8"/>
  <c r="Z164" i="7"/>
  <c r="AA62" i="7"/>
  <c r="R89" i="11"/>
  <c r="R90" i="11"/>
  <c r="R91" i="11"/>
  <c r="R92" i="11"/>
  <c r="S32" i="11"/>
  <c r="Y165" i="7"/>
  <c r="Y166" i="7"/>
  <c r="S84" i="9"/>
  <c r="S85" i="9"/>
  <c r="S86" i="9"/>
  <c r="S87" i="9"/>
  <c r="T30" i="9"/>
  <c r="S52" i="9"/>
  <c r="R139" i="9"/>
  <c r="R140" i="9"/>
  <c r="R141" i="9"/>
  <c r="R142" i="9"/>
  <c r="T86" i="1"/>
  <c r="T87" i="1"/>
  <c r="T88" i="1"/>
  <c r="T89" i="1"/>
  <c r="U30" i="1"/>
  <c r="S64" i="1"/>
  <c r="R171" i="1"/>
  <c r="R172" i="1"/>
  <c r="R173" i="1"/>
  <c r="R174" i="1"/>
  <c r="R181" i="1"/>
  <c r="R182" i="1"/>
  <c r="R183" i="1"/>
  <c r="R184" i="1"/>
  <c r="S68" i="1"/>
  <c r="S48" i="1"/>
  <c r="R131" i="1"/>
  <c r="R132" i="1"/>
  <c r="R133" i="1"/>
  <c r="R134" i="1"/>
  <c r="T91" i="1"/>
  <c r="T92" i="1"/>
  <c r="T93" i="1"/>
  <c r="T94" i="1"/>
  <c r="U32" i="1"/>
  <c r="R156" i="1"/>
  <c r="R157" i="1"/>
  <c r="R158" i="1"/>
  <c r="R159" i="1"/>
  <c r="S58" i="1"/>
  <c r="R141" i="1"/>
  <c r="R142" i="1"/>
  <c r="R143" i="1"/>
  <c r="R144" i="1"/>
  <c r="S52" i="1"/>
  <c r="S34" i="1"/>
  <c r="R96" i="1"/>
  <c r="R97" i="1"/>
  <c r="R98" i="1"/>
  <c r="R99" i="1"/>
  <c r="R219" i="1"/>
  <c r="R136" i="1"/>
  <c r="R137" i="1"/>
  <c r="R138" i="1"/>
  <c r="R139" i="1"/>
  <c r="S50" i="1"/>
  <c r="AA31" i="33"/>
  <c r="AD31" i="33"/>
  <c r="AC31" i="33"/>
  <c r="Z31" i="33"/>
  <c r="AE31" i="33"/>
  <c r="AB31" i="33"/>
  <c r="L31" i="32"/>
  <c r="T31" i="32"/>
  <c r="Z31" i="32"/>
  <c r="Y31" i="32"/>
  <c r="AE31" i="32"/>
  <c r="AA31" i="32"/>
  <c r="AB31" i="32"/>
  <c r="AC31" i="32"/>
  <c r="X31" i="32"/>
  <c r="AD31" i="32"/>
  <c r="U23" i="26"/>
  <c r="AE23" i="26"/>
  <c r="P23" i="26"/>
  <c r="AJ23" i="26"/>
  <c r="K23" i="26"/>
  <c r="Z23" i="26"/>
  <c r="F23" i="26"/>
  <c r="I43" i="30"/>
  <c r="A24" i="26"/>
  <c r="AO24" i="26"/>
  <c r="J43" i="35"/>
  <c r="AB26" i="39"/>
  <c r="H42" i="35"/>
  <c r="S119" i="22"/>
  <c r="S120" i="22"/>
  <c r="S121" i="22"/>
  <c r="S122" i="22"/>
  <c r="T44" i="22"/>
  <c r="S36" i="6"/>
  <c r="R113" i="6"/>
  <c r="R114" i="6"/>
  <c r="R115" i="6"/>
  <c r="R116" i="6"/>
  <c r="S34" i="6"/>
  <c r="R108" i="6"/>
  <c r="R109" i="6"/>
  <c r="R110" i="6"/>
  <c r="R111" i="6"/>
  <c r="S32" i="6"/>
  <c r="R103" i="6"/>
  <c r="R104" i="6"/>
  <c r="R105" i="6"/>
  <c r="R106" i="6"/>
  <c r="R123" i="6"/>
  <c r="R124" i="6"/>
  <c r="R125" i="6"/>
  <c r="R126" i="6"/>
  <c r="S40" i="6"/>
  <c r="R133" i="6"/>
  <c r="R134" i="6"/>
  <c r="R135" i="6"/>
  <c r="R136" i="6"/>
  <c r="S44" i="6"/>
  <c r="R99" i="6"/>
  <c r="R100" i="6"/>
  <c r="R88" i="6"/>
  <c r="R89" i="6"/>
  <c r="R90" i="6"/>
  <c r="R91" i="6"/>
  <c r="S26" i="6"/>
  <c r="R93" i="6"/>
  <c r="R94" i="6"/>
  <c r="R95" i="6"/>
  <c r="R96" i="6"/>
  <c r="S28" i="6"/>
  <c r="S22" i="6"/>
  <c r="R78" i="6"/>
  <c r="R83" i="6"/>
  <c r="R84" i="6"/>
  <c r="R85" i="6"/>
  <c r="R86" i="6"/>
  <c r="S24" i="6"/>
  <c r="S128" i="6"/>
  <c r="S129" i="6"/>
  <c r="S130" i="6"/>
  <c r="S131" i="6"/>
  <c r="T42" i="6"/>
  <c r="S98" i="6"/>
  <c r="S99" i="6"/>
  <c r="S100" i="6"/>
  <c r="S101" i="6"/>
  <c r="T30" i="6"/>
  <c r="S217" i="1"/>
  <c r="S218" i="1"/>
  <c r="U82" i="1"/>
  <c r="T216" i="1"/>
  <c r="V80" i="1"/>
  <c r="U211" i="1"/>
  <c r="U212" i="1"/>
  <c r="U213" i="1"/>
  <c r="U214" i="1"/>
  <c r="R116" i="1"/>
  <c r="R117" i="1"/>
  <c r="R118" i="1"/>
  <c r="R119" i="1"/>
  <c r="S42" i="1"/>
  <c r="R127" i="7"/>
  <c r="Q137" i="10"/>
  <c r="P199" i="1"/>
  <c r="P189" i="1"/>
  <c r="P132" i="9"/>
  <c r="Q137" i="9"/>
  <c r="T36" i="8"/>
  <c r="S99" i="8"/>
  <c r="S100" i="8"/>
  <c r="S101" i="8"/>
  <c r="S102" i="8"/>
  <c r="W38" i="8"/>
  <c r="V104" i="8"/>
  <c r="V105" i="8"/>
  <c r="V106" i="8"/>
  <c r="V107" i="8"/>
  <c r="R120" i="11"/>
  <c r="R121" i="11"/>
  <c r="S119" i="11"/>
  <c r="T44" i="11"/>
  <c r="S48" i="22"/>
  <c r="R129" i="22"/>
  <c r="R130" i="22"/>
  <c r="R131" i="22"/>
  <c r="R132" i="22"/>
  <c r="S34" i="22"/>
  <c r="R94" i="22"/>
  <c r="Q95" i="22"/>
  <c r="Q96" i="22"/>
  <c r="S104" i="22"/>
  <c r="S105" i="22"/>
  <c r="S106" i="22"/>
  <c r="S107" i="22"/>
  <c r="T38" i="22"/>
  <c r="Q95" i="7"/>
  <c r="Q96" i="7"/>
  <c r="Q97" i="7"/>
  <c r="S99" i="7"/>
  <c r="T36" i="7"/>
  <c r="R94" i="7"/>
  <c r="R95" i="7"/>
  <c r="R96" i="7"/>
  <c r="R97" i="7"/>
  <c r="S34" i="7"/>
  <c r="T30" i="7"/>
  <c r="S84" i="7"/>
  <c r="S85" i="7"/>
  <c r="S86" i="7"/>
  <c r="S87" i="7"/>
  <c r="R114" i="7"/>
  <c r="R115" i="7"/>
  <c r="R116" i="7"/>
  <c r="R117" i="7"/>
  <c r="S42" i="7"/>
  <c r="V40" i="7"/>
  <c r="U109" i="7"/>
  <c r="U110" i="7"/>
  <c r="U111" i="7"/>
  <c r="U112" i="7"/>
  <c r="T38" i="7"/>
  <c r="S104" i="7"/>
  <c r="S105" i="7"/>
  <c r="S106" i="7"/>
  <c r="S107" i="7"/>
  <c r="U118" i="6"/>
  <c r="V38" i="6"/>
  <c r="T119" i="6"/>
  <c r="T120" i="6"/>
  <c r="Q114" i="9"/>
  <c r="Q115" i="9"/>
  <c r="Q116" i="9"/>
  <c r="Q117" i="9"/>
  <c r="R42" i="9"/>
  <c r="V38" i="9"/>
  <c r="U104" i="9"/>
  <c r="U105" i="9"/>
  <c r="U106" i="9"/>
  <c r="U107" i="9"/>
  <c r="S34" i="9"/>
  <c r="R94" i="9"/>
  <c r="R95" i="9"/>
  <c r="R96" i="9"/>
  <c r="R97" i="9"/>
  <c r="Q125" i="9"/>
  <c r="Q126" i="9"/>
  <c r="V144" i="9"/>
  <c r="V145" i="9"/>
  <c r="V146" i="9"/>
  <c r="V147" i="9"/>
  <c r="W54" i="9"/>
  <c r="S46" i="9"/>
  <c r="R124" i="9"/>
  <c r="R125" i="9"/>
  <c r="R126" i="9"/>
  <c r="R127" i="9"/>
  <c r="T50" i="9"/>
  <c r="S134" i="9"/>
  <c r="S135" i="9"/>
  <c r="S136" i="9"/>
  <c r="S137" i="9"/>
  <c r="U32" i="9"/>
  <c r="T89" i="9"/>
  <c r="T90" i="9"/>
  <c r="T91" i="9"/>
  <c r="T92" i="9"/>
  <c r="Q130" i="9"/>
  <c r="Q131" i="9"/>
  <c r="Q132" i="9"/>
  <c r="R129" i="9"/>
  <c r="S48" i="9"/>
  <c r="R149" i="9"/>
  <c r="R150" i="9"/>
  <c r="R151" i="9"/>
  <c r="R152" i="9"/>
  <c r="S56" i="9"/>
  <c r="R119" i="9"/>
  <c r="R120" i="9"/>
  <c r="R121" i="9"/>
  <c r="R122" i="9"/>
  <c r="S44" i="9"/>
  <c r="T60" i="1"/>
  <c r="S161" i="1"/>
  <c r="S177" i="1"/>
  <c r="S178" i="1"/>
  <c r="S70" i="1"/>
  <c r="R186" i="1"/>
  <c r="X151" i="1"/>
  <c r="X152" i="1"/>
  <c r="X153" i="1"/>
  <c r="X154" i="1"/>
  <c r="Y56" i="1"/>
  <c r="U66" i="1"/>
  <c r="T176" i="1"/>
  <c r="T177" i="1"/>
  <c r="T178" i="1"/>
  <c r="T179" i="1"/>
  <c r="Q187" i="1"/>
  <c r="Q188" i="1"/>
  <c r="S202" i="1"/>
  <c r="S203" i="1"/>
  <c r="Q197" i="1"/>
  <c r="Q198" i="1"/>
  <c r="T72" i="1"/>
  <c r="S191" i="1"/>
  <c r="S78" i="1"/>
  <c r="R206" i="1"/>
  <c r="U76" i="1"/>
  <c r="T201" i="1"/>
  <c r="S74" i="1"/>
  <c r="R196" i="1"/>
  <c r="J46" i="37"/>
  <c r="AD29" i="39"/>
  <c r="H45" i="37"/>
  <c r="W115" i="11"/>
  <c r="W116" i="11"/>
  <c r="X114" i="11"/>
  <c r="Y42" i="11"/>
  <c r="L30" i="34"/>
  <c r="T30" i="34"/>
  <c r="Z30" i="34"/>
  <c r="Y30" i="34"/>
  <c r="X30" i="34"/>
  <c r="AB30" i="34"/>
  <c r="AA30" i="34"/>
  <c r="AC30" i="34"/>
  <c r="AD30" i="34"/>
  <c r="U31" i="35"/>
  <c r="W31" i="35"/>
  <c r="V31" i="35"/>
  <c r="AD31" i="35"/>
  <c r="U85" i="11"/>
  <c r="U86" i="11"/>
  <c r="U87" i="11"/>
  <c r="T38" i="11"/>
  <c r="S104" i="11"/>
  <c r="U36" i="11"/>
  <c r="T99" i="11"/>
  <c r="W30" i="11"/>
  <c r="V84" i="11"/>
  <c r="S100" i="11"/>
  <c r="S101" i="11"/>
  <c r="S102" i="11"/>
  <c r="R105" i="11"/>
  <c r="R106" i="11"/>
  <c r="S134" i="10"/>
  <c r="T50" i="10"/>
  <c r="R135" i="10"/>
  <c r="R136" i="10"/>
  <c r="R137" i="10"/>
  <c r="R100" i="10"/>
  <c r="R101" i="10"/>
  <c r="R102" i="10"/>
  <c r="S99" i="10"/>
  <c r="T36" i="10"/>
  <c r="S58" i="22"/>
  <c r="R154" i="22"/>
  <c r="Q155" i="22"/>
  <c r="Q156" i="22"/>
  <c r="Q157" i="22"/>
  <c r="T36" i="22"/>
  <c r="S99" i="22"/>
  <c r="S144" i="22"/>
  <c r="T54" i="22"/>
  <c r="R145" i="22"/>
  <c r="R146" i="22"/>
  <c r="R147" i="22"/>
  <c r="S109" i="22"/>
  <c r="T40" i="22"/>
  <c r="R100" i="22"/>
  <c r="R101" i="22"/>
  <c r="R102" i="22"/>
  <c r="R110" i="22"/>
  <c r="R111" i="22"/>
  <c r="R112" i="22"/>
  <c r="V56" i="8"/>
  <c r="U149" i="8"/>
  <c r="T150" i="8"/>
  <c r="T151" i="8"/>
  <c r="T152" i="8"/>
  <c r="R145" i="8"/>
  <c r="R146" i="8"/>
  <c r="T54" i="8"/>
  <c r="S144" i="8"/>
  <c r="P85" i="8"/>
  <c r="P86" i="8"/>
  <c r="P87" i="8"/>
  <c r="S32" i="8"/>
  <c r="R89" i="8"/>
  <c r="S40" i="8"/>
  <c r="R109" i="8"/>
  <c r="S52" i="8"/>
  <c r="R139" i="8"/>
  <c r="Q84" i="8"/>
  <c r="R30" i="8"/>
  <c r="R129" i="8"/>
  <c r="S48" i="8"/>
  <c r="Q90" i="8"/>
  <c r="Q91" i="8"/>
  <c r="Q92" i="8"/>
  <c r="Q110" i="8"/>
  <c r="Q111" i="8"/>
  <c r="Q112" i="8"/>
  <c r="Q140" i="8"/>
  <c r="Q141" i="8"/>
  <c r="Q142" i="8"/>
  <c r="Q130" i="8"/>
  <c r="Q131" i="8"/>
  <c r="S54" i="7"/>
  <c r="R144" i="7"/>
  <c r="Q145" i="7"/>
  <c r="Q146" i="7"/>
  <c r="Q147" i="7"/>
  <c r="Q140" i="7"/>
  <c r="Q141" i="7"/>
  <c r="Q142" i="7"/>
  <c r="R139" i="7"/>
  <c r="S52" i="7"/>
  <c r="S50" i="7"/>
  <c r="R134" i="7"/>
  <c r="Q135" i="7"/>
  <c r="Q136" i="7"/>
  <c r="Q137" i="7"/>
  <c r="T120" i="7"/>
  <c r="T121" i="7"/>
  <c r="T122" i="7"/>
  <c r="U46" i="7"/>
  <c r="T124" i="7"/>
  <c r="X90" i="7"/>
  <c r="X91" i="7"/>
  <c r="X92" i="7"/>
  <c r="V44" i="7"/>
  <c r="U119" i="7"/>
  <c r="S125" i="7"/>
  <c r="S126" i="7"/>
  <c r="S127" i="7"/>
  <c r="Z32" i="7"/>
  <c r="Y89" i="7"/>
  <c r="Q164" i="6"/>
  <c r="Q165" i="6"/>
  <c r="Q166" i="6"/>
  <c r="R163" i="6"/>
  <c r="S56" i="6"/>
  <c r="Q159" i="6"/>
  <c r="Q160" i="6"/>
  <c r="Q161" i="6"/>
  <c r="S54" i="6"/>
  <c r="R158" i="6"/>
  <c r="R153" i="6"/>
  <c r="S52" i="6"/>
  <c r="Q154" i="6"/>
  <c r="Q155" i="6"/>
  <c r="Q156" i="6"/>
  <c r="Q149" i="6"/>
  <c r="Q150" i="6"/>
  <c r="Q151" i="6"/>
  <c r="S50" i="6"/>
  <c r="R148" i="6"/>
  <c r="Q144" i="6"/>
  <c r="Q145" i="6"/>
  <c r="Q146" i="6"/>
  <c r="S48" i="6"/>
  <c r="R143" i="6"/>
  <c r="S159" i="9"/>
  <c r="T60" i="9"/>
  <c r="R160" i="9"/>
  <c r="R161" i="9"/>
  <c r="R162" i="9"/>
  <c r="R154" i="9"/>
  <c r="S58" i="9"/>
  <c r="Q155" i="9"/>
  <c r="Q156" i="9"/>
  <c r="Q157" i="9"/>
  <c r="R100" i="9"/>
  <c r="R101" i="9"/>
  <c r="R102" i="9"/>
  <c r="R110" i="9"/>
  <c r="R111" i="9"/>
  <c r="R112" i="9"/>
  <c r="T40" i="9"/>
  <c r="S109" i="9"/>
  <c r="T36" i="9"/>
  <c r="S99" i="9"/>
  <c r="S62" i="1"/>
  <c r="R166" i="1"/>
  <c r="Q167" i="1"/>
  <c r="Q168" i="1"/>
  <c r="Q169" i="1"/>
  <c r="Q127" i="1"/>
  <c r="Q128" i="1"/>
  <c r="Q129" i="1"/>
  <c r="Q147" i="1"/>
  <c r="Q148" i="1"/>
  <c r="Q149" i="1"/>
  <c r="R126" i="1"/>
  <c r="S46" i="1"/>
  <c r="R146" i="1"/>
  <c r="S54" i="1"/>
  <c r="T121" i="1"/>
  <c r="U44" i="1"/>
  <c r="S122" i="1"/>
  <c r="S123" i="1"/>
  <c r="S124" i="1"/>
  <c r="S102" i="1"/>
  <c r="S103" i="1"/>
  <c r="S104" i="1"/>
  <c r="S38" i="1"/>
  <c r="R106" i="1"/>
  <c r="S112" i="1"/>
  <c r="S113" i="1"/>
  <c r="S114" i="1"/>
  <c r="Q107" i="1"/>
  <c r="Q108" i="1"/>
  <c r="Q109" i="1"/>
  <c r="T111" i="1"/>
  <c r="U40" i="1"/>
  <c r="U36" i="1"/>
  <c r="T101" i="1"/>
  <c r="U32" i="37"/>
  <c r="W32" i="37"/>
  <c r="V32" i="37"/>
  <c r="W32" i="31"/>
  <c r="V32" i="31"/>
  <c r="S129" i="7"/>
  <c r="S130" i="7"/>
  <c r="S131" i="7"/>
  <c r="S132" i="7"/>
  <c r="T48" i="7"/>
  <c r="U32" i="36"/>
  <c r="BA74" i="9"/>
  <c r="AZ194" i="9"/>
  <c r="BW21" i="2"/>
  <c r="M28" i="41"/>
  <c r="BX142" i="2"/>
  <c r="AY195" i="9"/>
  <c r="AY196" i="9"/>
  <c r="AY197" i="9"/>
  <c r="AX197" i="9"/>
  <c r="BL59" i="11"/>
  <c r="BM229" i="11"/>
  <c r="M26" i="36"/>
  <c r="N26" i="36"/>
  <c r="O26" i="36"/>
  <c r="P26" i="36"/>
  <c r="Q26" i="36"/>
  <c r="R26" i="36"/>
  <c r="CF19" i="2"/>
  <c r="J46" i="41"/>
  <c r="H45" i="41"/>
  <c r="J28" i="41"/>
  <c r="AE11" i="39"/>
  <c r="H27" i="41"/>
  <c r="J27" i="41"/>
  <c r="AE10" i="39"/>
  <c r="Q137" i="11"/>
  <c r="V207" i="11"/>
  <c r="Z207" i="9"/>
  <c r="AR177" i="9"/>
  <c r="R152" i="11"/>
  <c r="U127" i="11"/>
  <c r="Q187" i="8"/>
  <c r="Q167" i="9"/>
  <c r="Q202" i="11"/>
  <c r="R202" i="7"/>
  <c r="V162" i="7"/>
  <c r="Q202" i="10"/>
  <c r="X187" i="22"/>
  <c r="W167" i="8"/>
  <c r="AA192" i="22"/>
  <c r="Q182" i="10"/>
  <c r="Q177" i="7"/>
  <c r="AB177" i="10"/>
  <c r="AI284" i="40"/>
  <c r="AJ108" i="40"/>
  <c r="AI249" i="40"/>
  <c r="AJ94" i="40"/>
  <c r="AI289" i="40"/>
  <c r="AI290" i="40"/>
  <c r="AI291" i="40"/>
  <c r="AI292" i="40"/>
  <c r="AJ110" i="40"/>
  <c r="AH285" i="40"/>
  <c r="AH286" i="40"/>
  <c r="AH287" i="40"/>
  <c r="AH250" i="40"/>
  <c r="AH251" i="40"/>
  <c r="AH252" i="40"/>
  <c r="AH290" i="40"/>
  <c r="AH291" i="40"/>
  <c r="AH292" i="40"/>
  <c r="AI264" i="40"/>
  <c r="AJ100" i="40"/>
  <c r="AI269" i="40"/>
  <c r="AJ102" i="40"/>
  <c r="AI244" i="40"/>
  <c r="AJ92" i="40"/>
  <c r="AH265" i="40"/>
  <c r="AH266" i="40"/>
  <c r="AH267" i="40"/>
  <c r="AH270" i="40"/>
  <c r="AH271" i="40"/>
  <c r="AH272" i="40"/>
  <c r="AH245" i="40"/>
  <c r="AH246" i="40"/>
  <c r="AH247" i="40"/>
  <c r="AP104" i="40"/>
  <c r="AP274" i="40"/>
  <c r="AP96" i="40"/>
  <c r="AP254" i="40"/>
  <c r="AQ98" i="40"/>
  <c r="AQ259" i="40"/>
  <c r="AO106" i="40"/>
  <c r="AO279" i="40"/>
  <c r="AO280" i="40"/>
  <c r="AO281" i="40"/>
  <c r="AO282" i="40"/>
  <c r="AL90" i="40"/>
  <c r="AH160" i="40"/>
  <c r="AH161" i="40"/>
  <c r="AH162" i="40"/>
  <c r="AJ46" i="40"/>
  <c r="AI129" i="40"/>
  <c r="AI180" i="40"/>
  <c r="AI181" i="40"/>
  <c r="AI182" i="40"/>
  <c r="AJ86" i="40"/>
  <c r="AI229" i="40"/>
  <c r="AH120" i="40"/>
  <c r="AH121" i="40"/>
  <c r="AH122" i="40"/>
  <c r="AH240" i="40"/>
  <c r="AH241" i="40"/>
  <c r="AH237" i="40"/>
  <c r="AJ58" i="40"/>
  <c r="AI159" i="40"/>
  <c r="AG212" i="40"/>
  <c r="AG202" i="40"/>
  <c r="AH207" i="40"/>
  <c r="AH145" i="40"/>
  <c r="AH146" i="40"/>
  <c r="AH147" i="40"/>
  <c r="AH135" i="40"/>
  <c r="AH136" i="40"/>
  <c r="AH137" i="40"/>
  <c r="AK66" i="40"/>
  <c r="AJ179" i="40"/>
  <c r="AH210" i="40"/>
  <c r="AH211" i="40"/>
  <c r="AH212" i="40"/>
  <c r="AI115" i="40"/>
  <c r="AI116" i="40"/>
  <c r="AI117" i="40"/>
  <c r="AH227" i="40"/>
  <c r="AH200" i="40"/>
  <c r="AH201" i="40"/>
  <c r="AH202" i="40"/>
  <c r="AI140" i="40"/>
  <c r="AI141" i="40"/>
  <c r="AI239" i="40"/>
  <c r="AI205" i="40"/>
  <c r="AI206" i="40"/>
  <c r="AH125" i="40"/>
  <c r="AH126" i="40"/>
  <c r="AH127" i="40"/>
  <c r="AJ56" i="40"/>
  <c r="AI154" i="40"/>
  <c r="AL64" i="40"/>
  <c r="AK174" i="40"/>
  <c r="AJ54" i="40"/>
  <c r="AI149" i="40"/>
  <c r="AH190" i="40"/>
  <c r="AH191" i="40"/>
  <c r="AH192" i="40"/>
  <c r="AJ185" i="40"/>
  <c r="AJ186" i="40"/>
  <c r="AH130" i="40"/>
  <c r="AH131" i="40"/>
  <c r="AH132" i="40"/>
  <c r="AI215" i="40"/>
  <c r="AI216" i="40"/>
  <c r="AI217" i="40"/>
  <c r="AJ48" i="40"/>
  <c r="AI134" i="40"/>
  <c r="AJ195" i="40"/>
  <c r="AJ196" i="40"/>
  <c r="AJ197" i="40"/>
  <c r="AJ78" i="40"/>
  <c r="AI209" i="40"/>
  <c r="AI235" i="40"/>
  <c r="AI236" i="40"/>
  <c r="AI237" i="40"/>
  <c r="AJ42" i="40"/>
  <c r="AI119" i="40"/>
  <c r="AJ74" i="40"/>
  <c r="AI199" i="40"/>
  <c r="AH220" i="40"/>
  <c r="AH221" i="40"/>
  <c r="AK50" i="40"/>
  <c r="AJ139" i="40"/>
  <c r="AK76" i="40"/>
  <c r="AJ204" i="40"/>
  <c r="AI165" i="40"/>
  <c r="AI166" i="40"/>
  <c r="AI167" i="40"/>
  <c r="AJ44" i="40"/>
  <c r="AI124" i="40"/>
  <c r="AJ62" i="40"/>
  <c r="AI169" i="40"/>
  <c r="AK84" i="40"/>
  <c r="AJ224" i="40"/>
  <c r="AH170" i="40"/>
  <c r="AH171" i="40"/>
  <c r="AI225" i="40"/>
  <c r="AI226" i="40"/>
  <c r="AI227" i="40"/>
  <c r="AH155" i="40"/>
  <c r="AH156" i="40"/>
  <c r="AH157" i="40"/>
  <c r="AJ175" i="40"/>
  <c r="AJ176" i="40"/>
  <c r="AJ70" i="40"/>
  <c r="AI189" i="40"/>
  <c r="AG232" i="40"/>
  <c r="AL68" i="40"/>
  <c r="AK184" i="40"/>
  <c r="AH217" i="40"/>
  <c r="AH150" i="40"/>
  <c r="AH151" i="40"/>
  <c r="AH152" i="40"/>
  <c r="AH167" i="40"/>
  <c r="AJ52" i="40"/>
  <c r="AI144" i="40"/>
  <c r="AK80" i="40"/>
  <c r="AJ214" i="40"/>
  <c r="AI187" i="40"/>
  <c r="AH230" i="40"/>
  <c r="AH231" i="40"/>
  <c r="AL72" i="40"/>
  <c r="AK194" i="40"/>
  <c r="AK88" i="40"/>
  <c r="AJ234" i="40"/>
  <c r="AK40" i="40"/>
  <c r="AJ114" i="40"/>
  <c r="AI177" i="40"/>
  <c r="AJ82" i="40"/>
  <c r="AI219" i="40"/>
  <c r="AK60" i="40"/>
  <c r="AJ164" i="40"/>
  <c r="S25" i="36"/>
  <c r="AF8" i="26"/>
  <c r="Q202" i="22"/>
  <c r="AA8" i="26"/>
  <c r="S25" i="35"/>
  <c r="Y206" i="7"/>
  <c r="Y205" i="7"/>
  <c r="AF187" i="10"/>
  <c r="BR55" i="11"/>
  <c r="BS227" i="11"/>
  <c r="S200" i="7"/>
  <c r="S201" i="7"/>
  <c r="T60" i="10"/>
  <c r="S159" i="10"/>
  <c r="AJ74" i="11"/>
  <c r="AI194" i="11"/>
  <c r="S164" i="9"/>
  <c r="T62" i="9"/>
  <c r="R180" i="10"/>
  <c r="R181" i="10"/>
  <c r="AR210" i="10"/>
  <c r="AR211" i="10"/>
  <c r="AA170" i="9"/>
  <c r="AA171" i="9"/>
  <c r="AB205" i="22"/>
  <c r="AB206" i="22"/>
  <c r="AD72" i="22"/>
  <c r="AC189" i="22"/>
  <c r="AE155" i="8"/>
  <c r="AE156" i="8"/>
  <c r="AT174" i="9"/>
  <c r="AU66" i="9"/>
  <c r="Z165" i="22"/>
  <c r="Z166" i="22"/>
  <c r="AA70" i="22"/>
  <c r="Z184" i="22"/>
  <c r="T46" i="6"/>
  <c r="S138" i="6"/>
  <c r="S139" i="6"/>
  <c r="S140" i="6"/>
  <c r="S141" i="6"/>
  <c r="AE66" i="10"/>
  <c r="AD174" i="10"/>
  <c r="R176" i="7"/>
  <c r="R175" i="7"/>
  <c r="AO176" i="22"/>
  <c r="AO175" i="22"/>
  <c r="AA78" i="7"/>
  <c r="Z204" i="7"/>
  <c r="AL146" i="10"/>
  <c r="AL145" i="10"/>
  <c r="U76" i="7"/>
  <c r="T199" i="7"/>
  <c r="R160" i="10"/>
  <c r="R161" i="10"/>
  <c r="AI70" i="10"/>
  <c r="AH184" i="10"/>
  <c r="AV58" i="10"/>
  <c r="AU154" i="10"/>
  <c r="X165" i="8"/>
  <c r="X166" i="8"/>
  <c r="R205" i="8"/>
  <c r="R206" i="8"/>
  <c r="AS171" i="10"/>
  <c r="AS170" i="10"/>
  <c r="S151" i="11"/>
  <c r="S150" i="11"/>
  <c r="V126" i="11"/>
  <c r="V125" i="11"/>
  <c r="AG58" i="8"/>
  <c r="AF154" i="8"/>
  <c r="R185" i="8"/>
  <c r="R186" i="8"/>
  <c r="R200" i="10"/>
  <c r="R201" i="10"/>
  <c r="W58" i="7"/>
  <c r="V154" i="7"/>
  <c r="AC175" i="10"/>
  <c r="AC176" i="10"/>
  <c r="T66" i="7"/>
  <c r="S174" i="7"/>
  <c r="AP174" i="22"/>
  <c r="AQ66" i="22"/>
  <c r="R200" i="11"/>
  <c r="R201" i="11"/>
  <c r="AF62" i="10"/>
  <c r="AE164" i="10"/>
  <c r="AM144" i="10"/>
  <c r="AN54" i="10"/>
  <c r="BY230" i="11"/>
  <c r="BX61" i="11"/>
  <c r="R136" i="11"/>
  <c r="R135" i="11"/>
  <c r="W206" i="11"/>
  <c r="W205" i="11"/>
  <c r="AA205" i="9"/>
  <c r="AA206" i="9"/>
  <c r="AS157" i="10"/>
  <c r="X207" i="7"/>
  <c r="BU81" i="8"/>
  <c r="BV240" i="8"/>
  <c r="AG186" i="10"/>
  <c r="AG185" i="10"/>
  <c r="AK147" i="10"/>
  <c r="AT156" i="10"/>
  <c r="AT155" i="10"/>
  <c r="Z62" i="8"/>
  <c r="Y164" i="8"/>
  <c r="T78" i="8"/>
  <c r="S204" i="8"/>
  <c r="AG197" i="11"/>
  <c r="AU64" i="10"/>
  <c r="AT169" i="10"/>
  <c r="T56" i="22"/>
  <c r="S149" i="22"/>
  <c r="S150" i="22"/>
  <c r="S151" i="22"/>
  <c r="S152" i="22"/>
  <c r="U56" i="11"/>
  <c r="T149" i="11"/>
  <c r="X46" i="11"/>
  <c r="W124" i="11"/>
  <c r="AQ212" i="10"/>
  <c r="T70" i="8"/>
  <c r="S184" i="8"/>
  <c r="Z172" i="9"/>
  <c r="S199" i="10"/>
  <c r="T76" i="10"/>
  <c r="U155" i="7"/>
  <c r="U156" i="7"/>
  <c r="S199" i="22"/>
  <c r="T76" i="22"/>
  <c r="W161" i="7"/>
  <c r="W160" i="7"/>
  <c r="AL197" i="7"/>
  <c r="T76" i="11"/>
  <c r="S199" i="11"/>
  <c r="AD165" i="10"/>
  <c r="AD166" i="10"/>
  <c r="T157" i="7"/>
  <c r="T50" i="11"/>
  <c r="S134" i="11"/>
  <c r="Y78" i="11"/>
  <c r="X204" i="11"/>
  <c r="AC78" i="9"/>
  <c r="AB204" i="9"/>
  <c r="AC167" i="10"/>
  <c r="AH195" i="11"/>
  <c r="AH196" i="11"/>
  <c r="AA207" i="22"/>
  <c r="R165" i="9"/>
  <c r="R166" i="9"/>
  <c r="T68" i="10"/>
  <c r="S179" i="10"/>
  <c r="AT80" i="10"/>
  <c r="AS209" i="10"/>
  <c r="AB169" i="9"/>
  <c r="AC64" i="9"/>
  <c r="AC204" i="22"/>
  <c r="AD78" i="22"/>
  <c r="Y167" i="22"/>
  <c r="AB190" i="22"/>
  <c r="AB191" i="22"/>
  <c r="AS176" i="9"/>
  <c r="AS175" i="9"/>
  <c r="AN177" i="22"/>
  <c r="Q207" i="8"/>
  <c r="AR172" i="10"/>
  <c r="AB62" i="22"/>
  <c r="AA164" i="22"/>
  <c r="Y186" i="22"/>
  <c r="Y185" i="22"/>
  <c r="R200" i="22"/>
  <c r="R201" i="22"/>
  <c r="Y60" i="7"/>
  <c r="X159" i="7"/>
  <c r="AD157" i="8"/>
  <c r="Q162" i="10"/>
  <c r="S25" i="37"/>
  <c r="AK8" i="26"/>
  <c r="Q26" i="37"/>
  <c r="R26" i="37"/>
  <c r="Q26" i="35"/>
  <c r="R26" i="35"/>
  <c r="V8" i="26"/>
  <c r="S25" i="34"/>
  <c r="Q26" i="34"/>
  <c r="R26" i="34"/>
  <c r="S25" i="33"/>
  <c r="Q8" i="26"/>
  <c r="Q26" i="33"/>
  <c r="R26" i="33"/>
  <c r="T31" i="33"/>
  <c r="S25" i="32"/>
  <c r="L8" i="26"/>
  <c r="Q26" i="32"/>
  <c r="R26" i="32"/>
  <c r="S25" i="31"/>
  <c r="G8" i="26"/>
  <c r="Q26" i="31"/>
  <c r="R26" i="31"/>
  <c r="U109" i="11"/>
  <c r="U110" i="11"/>
  <c r="U111" i="11"/>
  <c r="U112" i="11"/>
  <c r="V40" i="11"/>
  <c r="T52" i="10"/>
  <c r="S139" i="10"/>
  <c r="S140" i="10"/>
  <c r="S141" i="10"/>
  <c r="S142" i="10"/>
  <c r="T40" i="10"/>
  <c r="S109" i="10"/>
  <c r="S110" i="10"/>
  <c r="S111" i="10"/>
  <c r="S112" i="10"/>
  <c r="T32" i="10"/>
  <c r="S89" i="10"/>
  <c r="S90" i="10"/>
  <c r="S91" i="10"/>
  <c r="S92" i="10"/>
  <c r="T119" i="10"/>
  <c r="T120" i="10"/>
  <c r="T121" i="10"/>
  <c r="T122" i="10"/>
  <c r="U44" i="10"/>
  <c r="S114" i="10"/>
  <c r="S115" i="10"/>
  <c r="S116" i="10"/>
  <c r="S117" i="10"/>
  <c r="T42" i="10"/>
  <c r="S104" i="10"/>
  <c r="S105" i="10"/>
  <c r="S106" i="10"/>
  <c r="S107" i="10"/>
  <c r="T38" i="10"/>
  <c r="S94" i="10"/>
  <c r="S95" i="10"/>
  <c r="S96" i="10"/>
  <c r="S97" i="10"/>
  <c r="T34" i="10"/>
  <c r="S124" i="10"/>
  <c r="S125" i="10"/>
  <c r="S126" i="10"/>
  <c r="S127" i="10"/>
  <c r="T46" i="10"/>
  <c r="S84" i="10"/>
  <c r="S85" i="10"/>
  <c r="S86" i="10"/>
  <c r="S87" i="10"/>
  <c r="T30" i="10"/>
  <c r="T48" i="10"/>
  <c r="S129" i="10"/>
  <c r="S130" i="10"/>
  <c r="S131" i="10"/>
  <c r="S132" i="10"/>
  <c r="T42" i="22"/>
  <c r="S114" i="22"/>
  <c r="S115" i="22"/>
  <c r="S116" i="22"/>
  <c r="S117" i="22"/>
  <c r="S134" i="22"/>
  <c r="S135" i="22"/>
  <c r="S136" i="22"/>
  <c r="S137" i="22"/>
  <c r="T50" i="22"/>
  <c r="T124" i="22"/>
  <c r="T125" i="22"/>
  <c r="T126" i="22"/>
  <c r="T127" i="22"/>
  <c r="U46" i="22"/>
  <c r="T139" i="22"/>
  <c r="T140" i="22"/>
  <c r="T141" i="22"/>
  <c r="T142" i="22"/>
  <c r="U52" i="22"/>
  <c r="T46" i="8"/>
  <c r="S124" i="8"/>
  <c r="S125" i="8"/>
  <c r="S126" i="8"/>
  <c r="S127" i="8"/>
  <c r="T134" i="8"/>
  <c r="T135" i="8"/>
  <c r="T136" i="8"/>
  <c r="T137" i="8"/>
  <c r="U50" i="8"/>
  <c r="AG162" i="8"/>
  <c r="AO207" i="10"/>
  <c r="BY182" i="11"/>
  <c r="AW192" i="10"/>
  <c r="AM197" i="22"/>
  <c r="AI202" i="8"/>
  <c r="AM197" i="10"/>
  <c r="AK212" i="11"/>
  <c r="BA87" i="22"/>
  <c r="AM197" i="8"/>
  <c r="AV142" i="11"/>
  <c r="AK177" i="8"/>
  <c r="AL182" i="22"/>
  <c r="AP172" i="22"/>
  <c r="Q202" i="9"/>
  <c r="AQ170" i="22"/>
  <c r="AQ171" i="22"/>
  <c r="AO211" i="22"/>
  <c r="AO210" i="22"/>
  <c r="BB86" i="22"/>
  <c r="BB85" i="22"/>
  <c r="AN141" i="2"/>
  <c r="AM20" i="2"/>
  <c r="M27" i="34"/>
  <c r="N27" i="34"/>
  <c r="O27" i="34"/>
  <c r="P27" i="34"/>
  <c r="AV20" i="2"/>
  <c r="M27" i="35"/>
  <c r="N27" i="35"/>
  <c r="O27" i="35"/>
  <c r="P27" i="35"/>
  <c r="AW141" i="2"/>
  <c r="AH192" i="11"/>
  <c r="AR212" i="9"/>
  <c r="AN196" i="8"/>
  <c r="AN195" i="8"/>
  <c r="T32" i="22"/>
  <c r="S89" i="22"/>
  <c r="S90" i="22"/>
  <c r="S91" i="22"/>
  <c r="S92" i="22"/>
  <c r="AP211" i="7"/>
  <c r="AP210" i="7"/>
  <c r="AV68" i="7"/>
  <c r="AU179" i="7"/>
  <c r="AS56" i="10"/>
  <c r="AR149" i="10"/>
  <c r="AN196" i="10"/>
  <c r="AN195" i="10"/>
  <c r="V192" i="8"/>
  <c r="AK179" i="8"/>
  <c r="AL68" i="8"/>
  <c r="AH160" i="8"/>
  <c r="AH161" i="8"/>
  <c r="AN179" i="22"/>
  <c r="AO68" i="22"/>
  <c r="AQ204" i="10"/>
  <c r="AR78" i="10"/>
  <c r="Y72" i="8"/>
  <c r="X189" i="8"/>
  <c r="T72" i="9"/>
  <c r="S189" i="9"/>
  <c r="AN212" i="22"/>
  <c r="AJ200" i="8"/>
  <c r="AJ201" i="8"/>
  <c r="AM142" i="2"/>
  <c r="BE142" i="2"/>
  <c r="AD142" i="2"/>
  <c r="L142" i="2"/>
  <c r="AV142" i="2"/>
  <c r="U142" i="2"/>
  <c r="C142" i="2"/>
  <c r="BN142" i="2"/>
  <c r="AI190" i="11"/>
  <c r="AI191" i="11"/>
  <c r="AL187" i="7"/>
  <c r="AJ177" i="11"/>
  <c r="AN182" i="9"/>
  <c r="BD30" i="22"/>
  <c r="BC84" i="22"/>
  <c r="C20" i="2"/>
  <c r="M28" i="30"/>
  <c r="D141" i="2"/>
  <c r="AD20" i="2"/>
  <c r="M27" i="33"/>
  <c r="N27" i="33"/>
  <c r="O27" i="33"/>
  <c r="P27" i="33"/>
  <c r="AE141" i="2"/>
  <c r="AP152" i="10"/>
  <c r="AP74" i="8"/>
  <c r="AO194" i="8"/>
  <c r="AP187" i="9"/>
  <c r="AI182" i="8"/>
  <c r="AR80" i="7"/>
  <c r="AQ209" i="7"/>
  <c r="AS210" i="9"/>
  <c r="AS211" i="9"/>
  <c r="AS70" i="9"/>
  <c r="AR184" i="9"/>
  <c r="AO212" i="7"/>
  <c r="AS182" i="7"/>
  <c r="AM195" i="7"/>
  <c r="AM196" i="7"/>
  <c r="AJ60" i="8"/>
  <c r="AI159" i="8"/>
  <c r="AK175" i="11"/>
  <c r="AK176" i="11"/>
  <c r="AP205" i="10"/>
  <c r="AP206" i="10"/>
  <c r="AK162" i="22"/>
  <c r="AX190" i="10"/>
  <c r="AX191" i="10"/>
  <c r="A143" i="2"/>
  <c r="BW143" i="2"/>
  <c r="A23" i="2"/>
  <c r="AK72" i="11"/>
  <c r="AJ189" i="11"/>
  <c r="AS131" i="11"/>
  <c r="AS130" i="11"/>
  <c r="BK73" i="7"/>
  <c r="BL236" i="7"/>
  <c r="L20" i="2"/>
  <c r="M27" i="31"/>
  <c r="N27" i="31"/>
  <c r="O27" i="31"/>
  <c r="P27" i="31"/>
  <c r="M141" i="2"/>
  <c r="BE20" i="2"/>
  <c r="BF141" i="2"/>
  <c r="BM65" i="8"/>
  <c r="BN232" i="8"/>
  <c r="BZ181" i="11"/>
  <c r="BZ180" i="11"/>
  <c r="BZ166" i="11"/>
  <c r="BZ165" i="11"/>
  <c r="AW140" i="11"/>
  <c r="AW141" i="11"/>
  <c r="AT209" i="9"/>
  <c r="AU80" i="9"/>
  <c r="Q192" i="9"/>
  <c r="AN60" i="22"/>
  <c r="AM159" i="22"/>
  <c r="AQ185" i="9"/>
  <c r="AQ186" i="9"/>
  <c r="BU65" i="11"/>
  <c r="BV232" i="11"/>
  <c r="BE169" i="7"/>
  <c r="BF64" i="7"/>
  <c r="AO74" i="7"/>
  <c r="AN194" i="7"/>
  <c r="AM186" i="7"/>
  <c r="AM185" i="7"/>
  <c r="AM66" i="11"/>
  <c r="AL174" i="11"/>
  <c r="AL175" i="8"/>
  <c r="AL176" i="8"/>
  <c r="AO180" i="9"/>
  <c r="AO181" i="9"/>
  <c r="S199" i="9"/>
  <c r="T76" i="9"/>
  <c r="BC172" i="7"/>
  <c r="AZ72" i="10"/>
  <c r="AY189" i="10"/>
  <c r="AU48" i="11"/>
  <c r="AT129" i="11"/>
  <c r="AL210" i="11"/>
  <c r="AL211" i="11"/>
  <c r="AN195" i="22"/>
  <c r="AN196" i="22"/>
  <c r="U32" i="32"/>
  <c r="K32" i="32"/>
  <c r="AS64" i="22"/>
  <c r="AR169" i="22"/>
  <c r="AQ80" i="22"/>
  <c r="AP209" i="22"/>
  <c r="BY167" i="11"/>
  <c r="U20" i="2"/>
  <c r="M27" i="32"/>
  <c r="N27" i="32"/>
  <c r="O27" i="32"/>
  <c r="P27" i="32"/>
  <c r="V141" i="2"/>
  <c r="BN20" i="2"/>
  <c r="M27" i="37"/>
  <c r="N27" i="37"/>
  <c r="O27" i="37"/>
  <c r="P27" i="37"/>
  <c r="BO141" i="2"/>
  <c r="AR132" i="11"/>
  <c r="CA179" i="11"/>
  <c r="CB68" i="11"/>
  <c r="CB62" i="11"/>
  <c r="CA164" i="11"/>
  <c r="AT181" i="7"/>
  <c r="AT180" i="7"/>
  <c r="AQ151" i="10"/>
  <c r="AQ150" i="10"/>
  <c r="AP74" i="10"/>
  <c r="AO194" i="10"/>
  <c r="AY52" i="11"/>
  <c r="AX139" i="11"/>
  <c r="AL160" i="22"/>
  <c r="AL161" i="22"/>
  <c r="BD171" i="7"/>
  <c r="BD170" i="7"/>
  <c r="AJ180" i="8"/>
  <c r="AJ181" i="8"/>
  <c r="AM180" i="22"/>
  <c r="AM181" i="22"/>
  <c r="AO70" i="7"/>
  <c r="AN184" i="7"/>
  <c r="AN66" i="8"/>
  <c r="AM174" i="8"/>
  <c r="W190" i="8"/>
  <c r="W191" i="8"/>
  <c r="AP179" i="9"/>
  <c r="AQ68" i="9"/>
  <c r="R191" i="9"/>
  <c r="R190" i="9"/>
  <c r="R200" i="9"/>
  <c r="R201" i="9"/>
  <c r="AL76" i="8"/>
  <c r="AK199" i="8"/>
  <c r="AN80" i="11"/>
  <c r="AM209" i="11"/>
  <c r="L81" i="37"/>
  <c r="M80" i="37"/>
  <c r="AP74" i="22"/>
  <c r="AO194" i="22"/>
  <c r="W9" i="39"/>
  <c r="J26" i="30"/>
  <c r="H25" i="30"/>
  <c r="H41" i="30"/>
  <c r="G43" i="30"/>
  <c r="F44" i="30"/>
  <c r="T32" i="31"/>
  <c r="L32" i="31"/>
  <c r="AE32" i="31"/>
  <c r="AF32" i="31"/>
  <c r="Z32" i="31"/>
  <c r="AA32" i="31"/>
  <c r="AD32" i="31"/>
  <c r="X32" i="31"/>
  <c r="AC32" i="31"/>
  <c r="Y32" i="31"/>
  <c r="AB32" i="31"/>
  <c r="X94" i="8"/>
  <c r="X95" i="8"/>
  <c r="X96" i="8"/>
  <c r="X97" i="8"/>
  <c r="Y34" i="8"/>
  <c r="S119" i="8"/>
  <c r="T44" i="8"/>
  <c r="S114" i="8"/>
  <c r="S115" i="8"/>
  <c r="S116" i="8"/>
  <c r="S117" i="8"/>
  <c r="T42" i="8"/>
  <c r="Y167" i="7"/>
  <c r="T32" i="11"/>
  <c r="S89" i="11"/>
  <c r="S90" i="11"/>
  <c r="S91" i="11"/>
  <c r="S92" i="11"/>
  <c r="AA164" i="7"/>
  <c r="AB62" i="7"/>
  <c r="Z166" i="7"/>
  <c r="Z165" i="7"/>
  <c r="U30" i="9"/>
  <c r="T84" i="9"/>
  <c r="T85" i="9"/>
  <c r="T86" i="9"/>
  <c r="T87" i="9"/>
  <c r="S139" i="9"/>
  <c r="S140" i="9"/>
  <c r="S141" i="9"/>
  <c r="S142" i="9"/>
  <c r="T52" i="9"/>
  <c r="V30" i="1"/>
  <c r="U86" i="1"/>
  <c r="S96" i="1"/>
  <c r="S97" i="1"/>
  <c r="S98" i="1"/>
  <c r="S99" i="1"/>
  <c r="T34" i="1"/>
  <c r="T48" i="1"/>
  <c r="S131" i="1"/>
  <c r="S132" i="1"/>
  <c r="S133" i="1"/>
  <c r="S134" i="1"/>
  <c r="S171" i="1"/>
  <c r="T64" i="1"/>
  <c r="S141" i="1"/>
  <c r="S142" i="1"/>
  <c r="S143" i="1"/>
  <c r="S144" i="1"/>
  <c r="T52" i="1"/>
  <c r="T58" i="1"/>
  <c r="S156" i="1"/>
  <c r="S157" i="1"/>
  <c r="S158" i="1"/>
  <c r="S159" i="1"/>
  <c r="V32" i="1"/>
  <c r="U91" i="1"/>
  <c r="U92" i="1"/>
  <c r="U93" i="1"/>
  <c r="U94" i="1"/>
  <c r="S181" i="1"/>
  <c r="S182" i="1"/>
  <c r="S183" i="1"/>
  <c r="S184" i="1"/>
  <c r="T68" i="1"/>
  <c r="S136" i="1"/>
  <c r="S137" i="1"/>
  <c r="S138" i="1"/>
  <c r="S139" i="1"/>
  <c r="T50" i="1"/>
  <c r="U32" i="33"/>
  <c r="W32" i="33"/>
  <c r="V32" i="33"/>
  <c r="W32" i="32"/>
  <c r="V32" i="32"/>
  <c r="I44" i="30"/>
  <c r="A25" i="26"/>
  <c r="AO25" i="26"/>
  <c r="P24" i="26"/>
  <c r="AJ24" i="26"/>
  <c r="K24" i="26"/>
  <c r="Z24" i="26"/>
  <c r="AE24" i="26"/>
  <c r="U24" i="26"/>
  <c r="F24" i="26"/>
  <c r="S219" i="1"/>
  <c r="J42" i="35"/>
  <c r="AB25" i="39"/>
  <c r="H41" i="35"/>
  <c r="J41" i="35"/>
  <c r="AB24" i="39"/>
  <c r="R122" i="11"/>
  <c r="U44" i="22"/>
  <c r="T119" i="22"/>
  <c r="T120" i="22"/>
  <c r="T121" i="22"/>
  <c r="T122" i="22"/>
  <c r="Q132" i="8"/>
  <c r="R147" i="8"/>
  <c r="T98" i="6"/>
  <c r="T99" i="6"/>
  <c r="T100" i="6"/>
  <c r="T101" i="6"/>
  <c r="U30" i="6"/>
  <c r="T128" i="6"/>
  <c r="T129" i="6"/>
  <c r="T130" i="6"/>
  <c r="T131" i="6"/>
  <c r="U42" i="6"/>
  <c r="T24" i="6"/>
  <c r="S83" i="6"/>
  <c r="R79" i="6"/>
  <c r="R80" i="6"/>
  <c r="S93" i="6"/>
  <c r="S94" i="6"/>
  <c r="S95" i="6"/>
  <c r="S96" i="6"/>
  <c r="T28" i="6"/>
  <c r="S88" i="6"/>
  <c r="S89" i="6"/>
  <c r="S90" i="6"/>
  <c r="S91" i="6"/>
  <c r="T26" i="6"/>
  <c r="T44" i="6"/>
  <c r="S133" i="6"/>
  <c r="S134" i="6"/>
  <c r="S135" i="6"/>
  <c r="S136" i="6"/>
  <c r="T40" i="6"/>
  <c r="S123" i="6"/>
  <c r="S124" i="6"/>
  <c r="S125" i="6"/>
  <c r="S126" i="6"/>
  <c r="S78" i="6"/>
  <c r="S79" i="6"/>
  <c r="S80" i="6"/>
  <c r="S81" i="6"/>
  <c r="T22" i="6"/>
  <c r="R101" i="6"/>
  <c r="S103" i="6"/>
  <c r="S104" i="6"/>
  <c r="S105" i="6"/>
  <c r="S106" i="6"/>
  <c r="T32" i="6"/>
  <c r="T34" i="6"/>
  <c r="S108" i="6"/>
  <c r="S109" i="6"/>
  <c r="S110" i="6"/>
  <c r="S111" i="6"/>
  <c r="T36" i="6"/>
  <c r="S113" i="6"/>
  <c r="S116" i="1"/>
  <c r="S117" i="1"/>
  <c r="S118" i="1"/>
  <c r="S119" i="1"/>
  <c r="T42" i="1"/>
  <c r="T217" i="1"/>
  <c r="T218" i="1"/>
  <c r="W80" i="1"/>
  <c r="V211" i="1"/>
  <c r="V82" i="1"/>
  <c r="U216" i="1"/>
  <c r="W117" i="11"/>
  <c r="Q199" i="1"/>
  <c r="S204" i="1"/>
  <c r="Q189" i="1"/>
  <c r="S179" i="1"/>
  <c r="Q127" i="9"/>
  <c r="T121" i="6"/>
  <c r="Q97" i="22"/>
  <c r="X38" i="8"/>
  <c r="W104" i="8"/>
  <c r="W105" i="8"/>
  <c r="W106" i="8"/>
  <c r="W107" i="8"/>
  <c r="T99" i="8"/>
  <c r="T100" i="8"/>
  <c r="T101" i="8"/>
  <c r="T102" i="8"/>
  <c r="U36" i="8"/>
  <c r="S120" i="11"/>
  <c r="S121" i="11"/>
  <c r="U44" i="11"/>
  <c r="T119" i="11"/>
  <c r="U38" i="22"/>
  <c r="T104" i="22"/>
  <c r="T105" i="22"/>
  <c r="T106" i="22"/>
  <c r="T107" i="22"/>
  <c r="R95" i="22"/>
  <c r="R96" i="22"/>
  <c r="R97" i="22"/>
  <c r="S94" i="22"/>
  <c r="S95" i="22"/>
  <c r="S96" i="22"/>
  <c r="S97" i="22"/>
  <c r="T34" i="22"/>
  <c r="S129" i="22"/>
  <c r="S130" i="22"/>
  <c r="S131" i="22"/>
  <c r="S132" i="22"/>
  <c r="T48" i="22"/>
  <c r="T42" i="7"/>
  <c r="S114" i="7"/>
  <c r="S115" i="7"/>
  <c r="S116" i="7"/>
  <c r="S117" i="7"/>
  <c r="T34" i="7"/>
  <c r="S94" i="7"/>
  <c r="S95" i="7"/>
  <c r="S96" i="7"/>
  <c r="S97" i="7"/>
  <c r="T104" i="7"/>
  <c r="T105" i="7"/>
  <c r="T106" i="7"/>
  <c r="T107" i="7"/>
  <c r="U38" i="7"/>
  <c r="U36" i="7"/>
  <c r="T99" i="7"/>
  <c r="T100" i="7"/>
  <c r="T101" i="7"/>
  <c r="T102" i="7"/>
  <c r="W40" i="7"/>
  <c r="V109" i="7"/>
  <c r="V110" i="7"/>
  <c r="V111" i="7"/>
  <c r="V112" i="7"/>
  <c r="U30" i="7"/>
  <c r="T84" i="7"/>
  <c r="S100" i="7"/>
  <c r="S101" i="7"/>
  <c r="V118" i="6"/>
  <c r="W38" i="6"/>
  <c r="U119" i="6"/>
  <c r="U120" i="6"/>
  <c r="U121" i="6"/>
  <c r="V104" i="9"/>
  <c r="V105" i="9"/>
  <c r="V106" i="9"/>
  <c r="V107" i="9"/>
  <c r="W38" i="9"/>
  <c r="W144" i="9"/>
  <c r="W145" i="9"/>
  <c r="W146" i="9"/>
  <c r="W147" i="9"/>
  <c r="X54" i="9"/>
  <c r="S42" i="9"/>
  <c r="R114" i="9"/>
  <c r="R115" i="9"/>
  <c r="R116" i="9"/>
  <c r="R117" i="9"/>
  <c r="T46" i="9"/>
  <c r="S124" i="9"/>
  <c r="S125" i="9"/>
  <c r="S126" i="9"/>
  <c r="S127" i="9"/>
  <c r="T34" i="9"/>
  <c r="S94" i="9"/>
  <c r="S95" i="9"/>
  <c r="S96" i="9"/>
  <c r="S97" i="9"/>
  <c r="T134" i="9"/>
  <c r="T135" i="9"/>
  <c r="T136" i="9"/>
  <c r="T137" i="9"/>
  <c r="U50" i="9"/>
  <c r="R130" i="9"/>
  <c r="R131" i="9"/>
  <c r="R132" i="9"/>
  <c r="S149" i="9"/>
  <c r="T56" i="9"/>
  <c r="T44" i="9"/>
  <c r="S119" i="9"/>
  <c r="S120" i="9"/>
  <c r="S121" i="9"/>
  <c r="S122" i="9"/>
  <c r="U89" i="9"/>
  <c r="U90" i="9"/>
  <c r="U91" i="9"/>
  <c r="U92" i="9"/>
  <c r="V32" i="9"/>
  <c r="S129" i="9"/>
  <c r="S130" i="9"/>
  <c r="S131" i="9"/>
  <c r="S132" i="9"/>
  <c r="T48" i="9"/>
  <c r="S192" i="1"/>
  <c r="S193" i="1"/>
  <c r="U72" i="1"/>
  <c r="T191" i="1"/>
  <c r="T192" i="1"/>
  <c r="T193" i="1"/>
  <c r="T194" i="1"/>
  <c r="V66" i="1"/>
  <c r="U176" i="1"/>
  <c r="T70" i="1"/>
  <c r="S186" i="1"/>
  <c r="S187" i="1"/>
  <c r="S188" i="1"/>
  <c r="S189" i="1"/>
  <c r="R197" i="1"/>
  <c r="R198" i="1"/>
  <c r="T202" i="1"/>
  <c r="T203" i="1"/>
  <c r="T204" i="1"/>
  <c r="R207" i="1"/>
  <c r="R208" i="1"/>
  <c r="Y151" i="1"/>
  <c r="Y152" i="1"/>
  <c r="Y153" i="1"/>
  <c r="Y154" i="1"/>
  <c r="Z56" i="1"/>
  <c r="S162" i="1"/>
  <c r="S163" i="1"/>
  <c r="R187" i="1"/>
  <c r="R188" i="1"/>
  <c r="T74" i="1"/>
  <c r="S196" i="1"/>
  <c r="S197" i="1"/>
  <c r="S198" i="1"/>
  <c r="S199" i="1"/>
  <c r="V76" i="1"/>
  <c r="U201" i="1"/>
  <c r="U202" i="1"/>
  <c r="U203" i="1"/>
  <c r="U204" i="1"/>
  <c r="T78" i="1"/>
  <c r="S206" i="1"/>
  <c r="S207" i="1"/>
  <c r="S208" i="1"/>
  <c r="S209" i="1"/>
  <c r="U60" i="1"/>
  <c r="T161" i="1"/>
  <c r="T162" i="1"/>
  <c r="T163" i="1"/>
  <c r="T164" i="1"/>
  <c r="J45" i="37"/>
  <c r="AD28" i="39"/>
  <c r="H44" i="37"/>
  <c r="K32" i="37"/>
  <c r="Z42" i="11"/>
  <c r="Y114" i="11"/>
  <c r="X115" i="11"/>
  <c r="X116" i="11"/>
  <c r="U31" i="34"/>
  <c r="Z31" i="35"/>
  <c r="X31" i="35"/>
  <c r="AA31" i="35"/>
  <c r="AB31" i="35"/>
  <c r="AE31" i="35"/>
  <c r="K31" i="35"/>
  <c r="T31" i="35"/>
  <c r="Y31" i="35"/>
  <c r="AC31" i="35"/>
  <c r="R107" i="11"/>
  <c r="T100" i="11"/>
  <c r="T101" i="11"/>
  <c r="T102" i="11"/>
  <c r="V36" i="11"/>
  <c r="U99" i="11"/>
  <c r="V85" i="11"/>
  <c r="V86" i="11"/>
  <c r="V87" i="11"/>
  <c r="T104" i="11"/>
  <c r="U38" i="11"/>
  <c r="W84" i="11"/>
  <c r="X30" i="11"/>
  <c r="S105" i="11"/>
  <c r="S106" i="11"/>
  <c r="U50" i="10"/>
  <c r="T134" i="10"/>
  <c r="S135" i="10"/>
  <c r="S136" i="10"/>
  <c r="S137" i="10"/>
  <c r="S100" i="10"/>
  <c r="S101" i="10"/>
  <c r="U36" i="10"/>
  <c r="T99" i="10"/>
  <c r="R155" i="22"/>
  <c r="R156" i="22"/>
  <c r="R157" i="22"/>
  <c r="T58" i="22"/>
  <c r="S154" i="22"/>
  <c r="U40" i="22"/>
  <c r="T109" i="22"/>
  <c r="S100" i="22"/>
  <c r="S101" i="22"/>
  <c r="S102" i="22"/>
  <c r="S110" i="22"/>
  <c r="S111" i="22"/>
  <c r="S112" i="22"/>
  <c r="U54" i="22"/>
  <c r="T144" i="22"/>
  <c r="U36" i="22"/>
  <c r="T99" i="22"/>
  <c r="S145" i="22"/>
  <c r="S146" i="22"/>
  <c r="S147" i="22"/>
  <c r="U150" i="8"/>
  <c r="U151" i="8"/>
  <c r="U152" i="8"/>
  <c r="V149" i="8"/>
  <c r="W56" i="8"/>
  <c r="S145" i="8"/>
  <c r="S146" i="8"/>
  <c r="S147" i="8"/>
  <c r="T144" i="8"/>
  <c r="U54" i="8"/>
  <c r="R84" i="8"/>
  <c r="S30" i="8"/>
  <c r="R110" i="8"/>
  <c r="R111" i="8"/>
  <c r="R112" i="8"/>
  <c r="T32" i="8"/>
  <c r="S89" i="8"/>
  <c r="S129" i="8"/>
  <c r="T48" i="8"/>
  <c r="Q85" i="8"/>
  <c r="Q86" i="8"/>
  <c r="Q87" i="8"/>
  <c r="R140" i="8"/>
  <c r="R141" i="8"/>
  <c r="R142" i="8"/>
  <c r="S109" i="8"/>
  <c r="T40" i="8"/>
  <c r="R130" i="8"/>
  <c r="R131" i="8"/>
  <c r="R132" i="8"/>
  <c r="T52" i="8"/>
  <c r="S139" i="8"/>
  <c r="R90" i="8"/>
  <c r="R91" i="8"/>
  <c r="R92" i="8"/>
  <c r="R145" i="7"/>
  <c r="R146" i="7"/>
  <c r="R147" i="7"/>
  <c r="T54" i="7"/>
  <c r="S144" i="7"/>
  <c r="R140" i="7"/>
  <c r="R141" i="7"/>
  <c r="R142" i="7"/>
  <c r="S139" i="7"/>
  <c r="T52" i="7"/>
  <c r="R135" i="7"/>
  <c r="R136" i="7"/>
  <c r="R137" i="7"/>
  <c r="S134" i="7"/>
  <c r="T50" i="7"/>
  <c r="Y90" i="7"/>
  <c r="Y91" i="7"/>
  <c r="Y92" i="7"/>
  <c r="U120" i="7"/>
  <c r="U121" i="7"/>
  <c r="U122" i="7"/>
  <c r="T125" i="7"/>
  <c r="T126" i="7"/>
  <c r="T127" i="7"/>
  <c r="AA32" i="7"/>
  <c r="Z89" i="7"/>
  <c r="W44" i="7"/>
  <c r="V119" i="7"/>
  <c r="V46" i="7"/>
  <c r="U124" i="7"/>
  <c r="S163" i="6"/>
  <c r="T56" i="6"/>
  <c r="R164" i="6"/>
  <c r="R165" i="6"/>
  <c r="R166" i="6"/>
  <c r="R159" i="6"/>
  <c r="R160" i="6"/>
  <c r="R161" i="6"/>
  <c r="S158" i="6"/>
  <c r="T54" i="6"/>
  <c r="S153" i="6"/>
  <c r="T52" i="6"/>
  <c r="R154" i="6"/>
  <c r="R155" i="6"/>
  <c r="R156" i="6"/>
  <c r="R149" i="6"/>
  <c r="R150" i="6"/>
  <c r="R151" i="6"/>
  <c r="S148" i="6"/>
  <c r="T50" i="6"/>
  <c r="R144" i="6"/>
  <c r="R145" i="6"/>
  <c r="R146" i="6"/>
  <c r="S143" i="6"/>
  <c r="T48" i="6"/>
  <c r="S160" i="9"/>
  <c r="S161" i="9"/>
  <c r="S162" i="9"/>
  <c r="U60" i="9"/>
  <c r="T159" i="9"/>
  <c r="R155" i="9"/>
  <c r="R156" i="9"/>
  <c r="R157" i="9"/>
  <c r="S154" i="9"/>
  <c r="T58" i="9"/>
  <c r="S100" i="9"/>
  <c r="S101" i="9"/>
  <c r="S102" i="9"/>
  <c r="U40" i="9"/>
  <c r="T109" i="9"/>
  <c r="T99" i="9"/>
  <c r="U36" i="9"/>
  <c r="S110" i="9"/>
  <c r="S111" i="9"/>
  <c r="S112" i="9"/>
  <c r="R167" i="1"/>
  <c r="R168" i="1"/>
  <c r="R169" i="1"/>
  <c r="T62" i="1"/>
  <c r="S166" i="1"/>
  <c r="S146" i="1"/>
  <c r="T54" i="1"/>
  <c r="R147" i="1"/>
  <c r="R148" i="1"/>
  <c r="R149" i="1"/>
  <c r="T46" i="1"/>
  <c r="S126" i="1"/>
  <c r="R127" i="1"/>
  <c r="R128" i="1"/>
  <c r="R129" i="1"/>
  <c r="U121" i="1"/>
  <c r="V44" i="1"/>
  <c r="T122" i="1"/>
  <c r="T123" i="1"/>
  <c r="T124" i="1"/>
  <c r="T38" i="1"/>
  <c r="S106" i="1"/>
  <c r="V40" i="1"/>
  <c r="U111" i="1"/>
  <c r="R107" i="1"/>
  <c r="R108" i="1"/>
  <c r="T112" i="1"/>
  <c r="T113" i="1"/>
  <c r="T102" i="1"/>
  <c r="T103" i="1"/>
  <c r="T104" i="1"/>
  <c r="U101" i="1"/>
  <c r="V36" i="1"/>
  <c r="Y32" i="37"/>
  <c r="AE32" i="37"/>
  <c r="AA32" i="37"/>
  <c r="AF32" i="37"/>
  <c r="Z32" i="37"/>
  <c r="AC32" i="37"/>
  <c r="AB32" i="37"/>
  <c r="X32" i="37"/>
  <c r="AD32" i="37"/>
  <c r="T129" i="7"/>
  <c r="T130" i="7"/>
  <c r="T131" i="7"/>
  <c r="T132" i="7"/>
  <c r="U48" i="7"/>
  <c r="W32" i="36"/>
  <c r="V32" i="36"/>
  <c r="K32" i="36"/>
  <c r="T32" i="36"/>
  <c r="BW22" i="2"/>
  <c r="M29" i="41"/>
  <c r="BX143" i="2"/>
  <c r="BK59" i="11"/>
  <c r="BL229" i="11"/>
  <c r="AZ196" i="9"/>
  <c r="AZ195" i="9"/>
  <c r="BB74" i="9"/>
  <c r="BA194" i="9"/>
  <c r="M27" i="36"/>
  <c r="N27" i="36"/>
  <c r="O27" i="36"/>
  <c r="P27" i="36"/>
  <c r="Q27" i="36"/>
  <c r="R27" i="36"/>
  <c r="CF20" i="2"/>
  <c r="J45" i="41"/>
  <c r="H44" i="41"/>
  <c r="U27" i="41"/>
  <c r="AT157" i="10"/>
  <c r="R202" i="22"/>
  <c r="R167" i="9"/>
  <c r="AE157" i="8"/>
  <c r="AB207" i="22"/>
  <c r="AR212" i="10"/>
  <c r="S202" i="7"/>
  <c r="R202" i="9"/>
  <c r="AM182" i="22"/>
  <c r="Y187" i="22"/>
  <c r="W162" i="7"/>
  <c r="AL147" i="10"/>
  <c r="R137" i="11"/>
  <c r="V127" i="11"/>
  <c r="AS172" i="10"/>
  <c r="AS177" i="9"/>
  <c r="AC177" i="10"/>
  <c r="R202" i="10"/>
  <c r="R207" i="8"/>
  <c r="AQ260" i="40"/>
  <c r="AQ261" i="40"/>
  <c r="AQ262" i="40"/>
  <c r="AJ269" i="40"/>
  <c r="AJ270" i="40"/>
  <c r="AJ271" i="40"/>
  <c r="AJ272" i="40"/>
  <c r="AK102" i="40"/>
  <c r="AJ249" i="40"/>
  <c r="AJ250" i="40"/>
  <c r="AJ251" i="40"/>
  <c r="AJ252" i="40"/>
  <c r="AK94" i="40"/>
  <c r="AP255" i="40"/>
  <c r="AP256" i="40"/>
  <c r="AP257" i="40"/>
  <c r="AI270" i="40"/>
  <c r="AI271" i="40"/>
  <c r="AI272" i="40"/>
  <c r="AI250" i="40"/>
  <c r="AI251" i="40"/>
  <c r="AI252" i="40"/>
  <c r="AP275" i="40"/>
  <c r="AP276" i="40"/>
  <c r="AP277" i="40"/>
  <c r="AJ244" i="40"/>
  <c r="AK92" i="40"/>
  <c r="AJ264" i="40"/>
  <c r="AJ265" i="40"/>
  <c r="AJ266" i="40"/>
  <c r="AJ267" i="40"/>
  <c r="AK100" i="40"/>
  <c r="AJ289" i="40"/>
  <c r="AJ290" i="40"/>
  <c r="AJ291" i="40"/>
  <c r="AJ292" i="40"/>
  <c r="AK110" i="40"/>
  <c r="AJ284" i="40"/>
  <c r="AK108" i="40"/>
  <c r="AI245" i="40"/>
  <c r="AI246" i="40"/>
  <c r="AI247" i="40"/>
  <c r="AI265" i="40"/>
  <c r="AI266" i="40"/>
  <c r="AI267" i="40"/>
  <c r="AI285" i="40"/>
  <c r="AI286" i="40"/>
  <c r="AI287" i="40"/>
  <c r="AP106" i="40"/>
  <c r="AP279" i="40"/>
  <c r="AR98" i="40"/>
  <c r="AR259" i="40"/>
  <c r="AQ104" i="40"/>
  <c r="AQ274" i="40"/>
  <c r="AQ275" i="40"/>
  <c r="AQ276" i="40"/>
  <c r="AQ277" i="40"/>
  <c r="AQ96" i="40"/>
  <c r="AQ254" i="40"/>
  <c r="AM90" i="40"/>
  <c r="AK52" i="40"/>
  <c r="AJ144" i="40"/>
  <c r="AK62" i="40"/>
  <c r="AJ169" i="40"/>
  <c r="AK44" i="40"/>
  <c r="AJ124" i="40"/>
  <c r="AL76" i="40"/>
  <c r="AK204" i="40"/>
  <c r="AI135" i="40"/>
  <c r="AI136" i="40"/>
  <c r="AI137" i="40"/>
  <c r="AK54" i="40"/>
  <c r="AJ149" i="40"/>
  <c r="AI240" i="40"/>
  <c r="AI241" i="40"/>
  <c r="AI242" i="40"/>
  <c r="AJ180" i="40"/>
  <c r="AJ181" i="40"/>
  <c r="AK58" i="40"/>
  <c r="AJ159" i="40"/>
  <c r="AK86" i="40"/>
  <c r="AJ229" i="40"/>
  <c r="AK46" i="40"/>
  <c r="AJ129" i="40"/>
  <c r="AL60" i="40"/>
  <c r="AK164" i="40"/>
  <c r="AK82" i="40"/>
  <c r="AJ219" i="40"/>
  <c r="AL40" i="40"/>
  <c r="AK114" i="40"/>
  <c r="AK195" i="40"/>
  <c r="AK196" i="40"/>
  <c r="AH232" i="40"/>
  <c r="AK185" i="40"/>
  <c r="AK186" i="40"/>
  <c r="AK187" i="40"/>
  <c r="AI190" i="40"/>
  <c r="AI191" i="40"/>
  <c r="AJ177" i="40"/>
  <c r="AL84" i="40"/>
  <c r="AK224" i="40"/>
  <c r="AH222" i="40"/>
  <c r="AK74" i="40"/>
  <c r="AJ199" i="40"/>
  <c r="AK78" i="40"/>
  <c r="AJ209" i="40"/>
  <c r="AI155" i="40"/>
  <c r="AI156" i="40"/>
  <c r="AI157" i="40"/>
  <c r="AL80" i="40"/>
  <c r="AK214" i="40"/>
  <c r="AM64" i="40"/>
  <c r="AL174" i="40"/>
  <c r="AJ235" i="40"/>
  <c r="AJ236" i="40"/>
  <c r="AI145" i="40"/>
  <c r="AI146" i="40"/>
  <c r="AI147" i="40"/>
  <c r="AI125" i="40"/>
  <c r="AI126" i="40"/>
  <c r="AI127" i="40"/>
  <c r="AJ140" i="40"/>
  <c r="AJ141" i="40"/>
  <c r="AI120" i="40"/>
  <c r="AI121" i="40"/>
  <c r="AI122" i="40"/>
  <c r="AK48" i="40"/>
  <c r="AJ134" i="40"/>
  <c r="AK175" i="40"/>
  <c r="AK176" i="40"/>
  <c r="AK177" i="40"/>
  <c r="AK56" i="40"/>
  <c r="AJ154" i="40"/>
  <c r="AJ239" i="40"/>
  <c r="AL66" i="40"/>
  <c r="AK179" i="40"/>
  <c r="AI160" i="40"/>
  <c r="AI161" i="40"/>
  <c r="AI162" i="40"/>
  <c r="AI230" i="40"/>
  <c r="AI231" i="40"/>
  <c r="AJ165" i="40"/>
  <c r="AJ166" i="40"/>
  <c r="AJ225" i="40"/>
  <c r="AJ226" i="40"/>
  <c r="AI220" i="40"/>
  <c r="AI221" i="40"/>
  <c r="AJ115" i="40"/>
  <c r="AJ116" i="40"/>
  <c r="AJ117" i="40"/>
  <c r="AL88" i="40"/>
  <c r="AK234" i="40"/>
  <c r="AM72" i="40"/>
  <c r="AL194" i="40"/>
  <c r="AJ215" i="40"/>
  <c r="AJ216" i="40"/>
  <c r="AM68" i="40"/>
  <c r="AL184" i="40"/>
  <c r="AK70" i="40"/>
  <c r="AJ189" i="40"/>
  <c r="AH172" i="40"/>
  <c r="AI170" i="40"/>
  <c r="AI171" i="40"/>
  <c r="AI172" i="40"/>
  <c r="AJ205" i="40"/>
  <c r="AJ206" i="40"/>
  <c r="AJ207" i="40"/>
  <c r="AL50" i="40"/>
  <c r="AK139" i="40"/>
  <c r="AI200" i="40"/>
  <c r="AI201" i="40"/>
  <c r="AJ119" i="40"/>
  <c r="AK42" i="40"/>
  <c r="AI210" i="40"/>
  <c r="AI211" i="40"/>
  <c r="AJ187" i="40"/>
  <c r="AI150" i="40"/>
  <c r="AI151" i="40"/>
  <c r="AI152" i="40"/>
  <c r="AI207" i="40"/>
  <c r="AI142" i="40"/>
  <c r="AH242" i="40"/>
  <c r="AI130" i="40"/>
  <c r="AI131" i="40"/>
  <c r="AI132" i="40"/>
  <c r="S152" i="11"/>
  <c r="Z60" i="7"/>
  <c r="Y159" i="7"/>
  <c r="AB192" i="22"/>
  <c r="AC205" i="22"/>
  <c r="AC206" i="22"/>
  <c r="AU80" i="10"/>
  <c r="AT209" i="10"/>
  <c r="AH197" i="11"/>
  <c r="AD78" i="9"/>
  <c r="AC204" i="9"/>
  <c r="U50" i="11"/>
  <c r="T134" i="11"/>
  <c r="U157" i="7"/>
  <c r="V56" i="11"/>
  <c r="U149" i="11"/>
  <c r="AV64" i="10"/>
  <c r="AU169" i="10"/>
  <c r="Y165" i="8"/>
  <c r="Y166" i="8"/>
  <c r="BT81" i="8"/>
  <c r="BU240" i="8"/>
  <c r="AM146" i="10"/>
  <c r="AM145" i="10"/>
  <c r="U66" i="7"/>
  <c r="T174" i="7"/>
  <c r="W154" i="7"/>
  <c r="X58" i="7"/>
  <c r="AH186" i="10"/>
  <c r="AH185" i="10"/>
  <c r="T200" i="7"/>
  <c r="T201" i="7"/>
  <c r="Z205" i="7"/>
  <c r="Z206" i="7"/>
  <c r="Z167" i="22"/>
  <c r="AT175" i="9"/>
  <c r="AT176" i="9"/>
  <c r="AE72" i="22"/>
  <c r="AD189" i="22"/>
  <c r="S166" i="9"/>
  <c r="S165" i="9"/>
  <c r="T159" i="10"/>
  <c r="U60" i="10"/>
  <c r="BQ55" i="11"/>
  <c r="BR227" i="11"/>
  <c r="AA165" i="22"/>
  <c r="AA166" i="22"/>
  <c r="AC169" i="9"/>
  <c r="AD64" i="9"/>
  <c r="S181" i="10"/>
  <c r="S180" i="10"/>
  <c r="X206" i="11"/>
  <c r="X205" i="11"/>
  <c r="S201" i="11"/>
  <c r="S200" i="11"/>
  <c r="S185" i="8"/>
  <c r="S186" i="8"/>
  <c r="W126" i="11"/>
  <c r="W125" i="11"/>
  <c r="AA62" i="8"/>
  <c r="Z164" i="8"/>
  <c r="BX230" i="11"/>
  <c r="BW61" i="11"/>
  <c r="AE166" i="10"/>
  <c r="AE165" i="10"/>
  <c r="AQ174" i="22"/>
  <c r="AR66" i="22"/>
  <c r="AF155" i="8"/>
  <c r="AF156" i="8"/>
  <c r="AU155" i="10"/>
  <c r="AU156" i="10"/>
  <c r="AJ70" i="10"/>
  <c r="AI184" i="10"/>
  <c r="V76" i="7"/>
  <c r="U199" i="7"/>
  <c r="AB78" i="7"/>
  <c r="AA204" i="7"/>
  <c r="R177" i="7"/>
  <c r="T138" i="6"/>
  <c r="T139" i="6"/>
  <c r="T140" i="6"/>
  <c r="T141" i="6"/>
  <c r="U46" i="6"/>
  <c r="AI196" i="11"/>
  <c r="AI195" i="11"/>
  <c r="AB164" i="22"/>
  <c r="AC62" i="22"/>
  <c r="AB171" i="9"/>
  <c r="AB170" i="9"/>
  <c r="U68" i="10"/>
  <c r="T179" i="10"/>
  <c r="Z78" i="11"/>
  <c r="Y204" i="11"/>
  <c r="U76" i="11"/>
  <c r="T199" i="11"/>
  <c r="U76" i="22"/>
  <c r="T199" i="22"/>
  <c r="T199" i="10"/>
  <c r="U76" i="10"/>
  <c r="U70" i="8"/>
  <c r="T184" i="8"/>
  <c r="Y46" i="11"/>
  <c r="X124" i="11"/>
  <c r="U56" i="22"/>
  <c r="T149" i="22"/>
  <c r="T150" i="22"/>
  <c r="T151" i="22"/>
  <c r="T152" i="22"/>
  <c r="S205" i="8"/>
  <c r="S206" i="8"/>
  <c r="AG187" i="10"/>
  <c r="W207" i="11"/>
  <c r="AF164" i="10"/>
  <c r="AG62" i="10"/>
  <c r="AP176" i="22"/>
  <c r="AP175" i="22"/>
  <c r="AH58" i="8"/>
  <c r="AG154" i="8"/>
  <c r="AW58" i="10"/>
  <c r="AV154" i="10"/>
  <c r="R162" i="10"/>
  <c r="AD176" i="10"/>
  <c r="AD175" i="10"/>
  <c r="Z185" i="22"/>
  <c r="Z186" i="22"/>
  <c r="AK74" i="11"/>
  <c r="AJ194" i="11"/>
  <c r="X161" i="7"/>
  <c r="X160" i="7"/>
  <c r="AD204" i="22"/>
  <c r="AE78" i="22"/>
  <c r="AS210" i="10"/>
  <c r="AS211" i="10"/>
  <c r="AB206" i="9"/>
  <c r="AB205" i="9"/>
  <c r="S136" i="11"/>
  <c r="S135" i="11"/>
  <c r="AD167" i="10"/>
  <c r="S201" i="22"/>
  <c r="S200" i="22"/>
  <c r="S201" i="10"/>
  <c r="S200" i="10"/>
  <c r="T151" i="11"/>
  <c r="T150" i="11"/>
  <c r="AT171" i="10"/>
  <c r="AT170" i="10"/>
  <c r="U78" i="8"/>
  <c r="T204" i="8"/>
  <c r="AA207" i="9"/>
  <c r="AO54" i="10"/>
  <c r="AN144" i="10"/>
  <c r="R202" i="11"/>
  <c r="S175" i="7"/>
  <c r="S176" i="7"/>
  <c r="V155" i="7"/>
  <c r="V156" i="7"/>
  <c r="R187" i="8"/>
  <c r="X167" i="8"/>
  <c r="AO177" i="22"/>
  <c r="AE174" i="10"/>
  <c r="AF66" i="10"/>
  <c r="AA184" i="22"/>
  <c r="AB70" i="22"/>
  <c r="AV66" i="9"/>
  <c r="AU174" i="9"/>
  <c r="AC191" i="22"/>
  <c r="AC190" i="22"/>
  <c r="AA172" i="9"/>
  <c r="R182" i="10"/>
  <c r="T164" i="9"/>
  <c r="U62" i="9"/>
  <c r="S161" i="10"/>
  <c r="S160" i="10"/>
  <c r="Y207" i="7"/>
  <c r="AK9" i="26"/>
  <c r="S26" i="37"/>
  <c r="Q27" i="37"/>
  <c r="R27" i="37"/>
  <c r="S26" i="36"/>
  <c r="AF9" i="26"/>
  <c r="AA9" i="26"/>
  <c r="S26" i="35"/>
  <c r="Q27" i="35"/>
  <c r="R27" i="35"/>
  <c r="V9" i="26"/>
  <c r="S26" i="34"/>
  <c r="Q27" i="34"/>
  <c r="R27" i="34"/>
  <c r="Q9" i="26"/>
  <c r="S26" i="33"/>
  <c r="Q27" i="33"/>
  <c r="R27" i="33"/>
  <c r="L9" i="26"/>
  <c r="S26" i="32"/>
  <c r="Q27" i="32"/>
  <c r="R27" i="32"/>
  <c r="G9" i="26"/>
  <c r="S26" i="31"/>
  <c r="Q27" i="31"/>
  <c r="R27" i="31"/>
  <c r="W40" i="11"/>
  <c r="V109" i="11"/>
  <c r="V110" i="11"/>
  <c r="V111" i="11"/>
  <c r="V112" i="11"/>
  <c r="U48" i="10"/>
  <c r="T129" i="10"/>
  <c r="T130" i="10"/>
  <c r="T131" i="10"/>
  <c r="T132" i="10"/>
  <c r="U40" i="10"/>
  <c r="T109" i="10"/>
  <c r="T110" i="10"/>
  <c r="T111" i="10"/>
  <c r="T112" i="10"/>
  <c r="U46" i="10"/>
  <c r="T124" i="10"/>
  <c r="T125" i="10"/>
  <c r="T126" i="10"/>
  <c r="T127" i="10"/>
  <c r="U38" i="10"/>
  <c r="T104" i="10"/>
  <c r="T105" i="10"/>
  <c r="T106" i="10"/>
  <c r="T107" i="10"/>
  <c r="V44" i="10"/>
  <c r="U119" i="10"/>
  <c r="U120" i="10"/>
  <c r="U121" i="10"/>
  <c r="U122" i="10"/>
  <c r="U30" i="10"/>
  <c r="T84" i="10"/>
  <c r="T85" i="10"/>
  <c r="T86" i="10"/>
  <c r="T87" i="10"/>
  <c r="U34" i="10"/>
  <c r="T94" i="10"/>
  <c r="T95" i="10"/>
  <c r="T96" i="10"/>
  <c r="T97" i="10"/>
  <c r="T114" i="10"/>
  <c r="T115" i="10"/>
  <c r="T116" i="10"/>
  <c r="T117" i="10"/>
  <c r="U42" i="10"/>
  <c r="U32" i="10"/>
  <c r="T89" i="10"/>
  <c r="T90" i="10"/>
  <c r="T91" i="10"/>
  <c r="T92" i="10"/>
  <c r="T139" i="10"/>
  <c r="T140" i="10"/>
  <c r="T141" i="10"/>
  <c r="T142" i="10"/>
  <c r="U52" i="10"/>
  <c r="T134" i="22"/>
  <c r="T135" i="22"/>
  <c r="T136" i="22"/>
  <c r="T137" i="22"/>
  <c r="U50" i="22"/>
  <c r="V52" i="22"/>
  <c r="U139" i="22"/>
  <c r="U140" i="22"/>
  <c r="U141" i="22"/>
  <c r="U142" i="22"/>
  <c r="V46" i="22"/>
  <c r="U124" i="22"/>
  <c r="U125" i="22"/>
  <c r="U126" i="22"/>
  <c r="U127" i="22"/>
  <c r="T114" i="22"/>
  <c r="T115" i="22"/>
  <c r="T116" i="22"/>
  <c r="T117" i="22"/>
  <c r="U42" i="22"/>
  <c r="V50" i="8"/>
  <c r="U134" i="8"/>
  <c r="U135" i="8"/>
  <c r="U136" i="8"/>
  <c r="U137" i="8"/>
  <c r="T124" i="8"/>
  <c r="T125" i="8"/>
  <c r="T126" i="8"/>
  <c r="T127" i="8"/>
  <c r="U46" i="8"/>
  <c r="AX192" i="10"/>
  <c r="AS212" i="9"/>
  <c r="AO182" i="9"/>
  <c r="AQ152" i="10"/>
  <c r="W192" i="8"/>
  <c r="AJ182" i="8"/>
  <c r="AJ202" i="8"/>
  <c r="AP212" i="7"/>
  <c r="AN197" i="22"/>
  <c r="AL212" i="11"/>
  <c r="AW142" i="11"/>
  <c r="AK177" i="11"/>
  <c r="AM197" i="7"/>
  <c r="AH162" i="8"/>
  <c r="K32" i="33"/>
  <c r="AQ74" i="22"/>
  <c r="AP194" i="22"/>
  <c r="AM211" i="11"/>
  <c r="AM210" i="11"/>
  <c r="AR68" i="9"/>
  <c r="AQ179" i="9"/>
  <c r="AM176" i="8"/>
  <c r="AM175" i="8"/>
  <c r="AN185" i="7"/>
  <c r="AN186" i="7"/>
  <c r="BD172" i="7"/>
  <c r="AL162" i="22"/>
  <c r="CA181" i="11"/>
  <c r="CA180" i="11"/>
  <c r="AR80" i="22"/>
  <c r="AQ209" i="22"/>
  <c r="AT131" i="11"/>
  <c r="AT130" i="11"/>
  <c r="U76" i="9"/>
  <c r="T199" i="9"/>
  <c r="AL177" i="8"/>
  <c r="AN66" i="11"/>
  <c r="AM174" i="11"/>
  <c r="AN195" i="7"/>
  <c r="AN196" i="7"/>
  <c r="BE170" i="7"/>
  <c r="BE171" i="7"/>
  <c r="AQ187" i="9"/>
  <c r="AN159" i="22"/>
  <c r="AO60" i="22"/>
  <c r="BE143" i="2"/>
  <c r="L143" i="2"/>
  <c r="AV143" i="2"/>
  <c r="U143" i="2"/>
  <c r="C143" i="2"/>
  <c r="BN143" i="2"/>
  <c r="AD143" i="2"/>
  <c r="AM143" i="2"/>
  <c r="AP207" i="10"/>
  <c r="AT70" i="9"/>
  <c r="AS184" i="9"/>
  <c r="AQ210" i="7"/>
  <c r="AQ211" i="7"/>
  <c r="BC86" i="22"/>
  <c r="BC85" i="22"/>
  <c r="AI192" i="11"/>
  <c r="U21" i="2"/>
  <c r="M28" i="32"/>
  <c r="N28" i="32"/>
  <c r="O28" i="32"/>
  <c r="P28" i="32"/>
  <c r="V142" i="2"/>
  <c r="BE21" i="2"/>
  <c r="BF142" i="2"/>
  <c r="X190" i="8"/>
  <c r="X191" i="8"/>
  <c r="AR204" i="10"/>
  <c r="AS78" i="10"/>
  <c r="AN180" i="22"/>
  <c r="AN181" i="22"/>
  <c r="AK181" i="8"/>
  <c r="AK180" i="8"/>
  <c r="AU181" i="7"/>
  <c r="AU180" i="7"/>
  <c r="BB87" i="22"/>
  <c r="AQ172" i="22"/>
  <c r="AO80" i="11"/>
  <c r="AN209" i="11"/>
  <c r="AK200" i="8"/>
  <c r="AK201" i="8"/>
  <c r="AP180" i="9"/>
  <c r="AP181" i="9"/>
  <c r="AO66" i="8"/>
  <c r="AN174" i="8"/>
  <c r="AO184" i="7"/>
  <c r="AP70" i="7"/>
  <c r="AX140" i="11"/>
  <c r="AX141" i="11"/>
  <c r="CA165" i="11"/>
  <c r="CA166" i="11"/>
  <c r="AR171" i="22"/>
  <c r="AR170" i="22"/>
  <c r="AV48" i="11"/>
  <c r="AU129" i="11"/>
  <c r="AY190" i="10"/>
  <c r="AY191" i="10"/>
  <c r="S200" i="9"/>
  <c r="S201" i="9"/>
  <c r="AP74" i="7"/>
  <c r="AO194" i="7"/>
  <c r="AU209" i="9"/>
  <c r="AV80" i="9"/>
  <c r="BL65" i="8"/>
  <c r="BM232" i="8"/>
  <c r="AJ190" i="11"/>
  <c r="AJ191" i="11"/>
  <c r="AI160" i="8"/>
  <c r="AI161" i="8"/>
  <c r="AS80" i="7"/>
  <c r="AR209" i="7"/>
  <c r="BE30" i="22"/>
  <c r="BD84" i="22"/>
  <c r="AV21" i="2"/>
  <c r="M28" i="35"/>
  <c r="N28" i="35"/>
  <c r="O28" i="35"/>
  <c r="P28" i="35"/>
  <c r="AW142" i="2"/>
  <c r="AN142" i="2"/>
  <c r="AM21" i="2"/>
  <c r="M28" i="34"/>
  <c r="N28" i="34"/>
  <c r="O28" i="34"/>
  <c r="P28" i="34"/>
  <c r="S190" i="9"/>
  <c r="S191" i="9"/>
  <c r="Z72" i="8"/>
  <c r="Y189" i="8"/>
  <c r="AQ206" i="10"/>
  <c r="AQ205" i="10"/>
  <c r="AR150" i="10"/>
  <c r="AR151" i="10"/>
  <c r="AW68" i="7"/>
  <c r="AV179" i="7"/>
  <c r="L82" i="37"/>
  <c r="M81" i="37"/>
  <c r="AM76" i="8"/>
  <c r="AL199" i="8"/>
  <c r="R192" i="9"/>
  <c r="AZ52" i="11"/>
  <c r="AY139" i="11"/>
  <c r="AO195" i="10"/>
  <c r="AO196" i="10"/>
  <c r="CB63" i="11"/>
  <c r="CA63" i="11"/>
  <c r="BZ63" i="11"/>
  <c r="BY63" i="11"/>
  <c r="BX63" i="11"/>
  <c r="CB164" i="11"/>
  <c r="CB69" i="11"/>
  <c r="CA69" i="11"/>
  <c r="BZ69" i="11"/>
  <c r="BY69" i="11"/>
  <c r="CB179" i="11"/>
  <c r="AT64" i="22"/>
  <c r="AS169" i="22"/>
  <c r="BA72" i="10"/>
  <c r="AZ189" i="10"/>
  <c r="AM187" i="7"/>
  <c r="AT210" i="9"/>
  <c r="AT211" i="9"/>
  <c r="BZ167" i="11"/>
  <c r="BZ182" i="11"/>
  <c r="BJ73" i="7"/>
  <c r="BK236" i="7"/>
  <c r="AS132" i="11"/>
  <c r="AL72" i="11"/>
  <c r="AK189" i="11"/>
  <c r="AK60" i="8"/>
  <c r="AJ159" i="8"/>
  <c r="AO196" i="8"/>
  <c r="AO195" i="8"/>
  <c r="BO142" i="2"/>
  <c r="BN21" i="2"/>
  <c r="M28" i="37"/>
  <c r="N28" i="37"/>
  <c r="O28" i="37"/>
  <c r="P28" i="37"/>
  <c r="L21" i="2"/>
  <c r="M28" i="31"/>
  <c r="N28" i="31"/>
  <c r="O28" i="31"/>
  <c r="P28" i="31"/>
  <c r="M142" i="2"/>
  <c r="U72" i="9"/>
  <c r="T189" i="9"/>
  <c r="AS149" i="10"/>
  <c r="AT56" i="10"/>
  <c r="U32" i="22"/>
  <c r="T89" i="22"/>
  <c r="T90" i="22"/>
  <c r="T91" i="22"/>
  <c r="T92" i="22"/>
  <c r="AO212" i="22"/>
  <c r="U33" i="31"/>
  <c r="K33" i="31"/>
  <c r="AO195" i="22"/>
  <c r="AO196" i="22"/>
  <c r="AQ74" i="10"/>
  <c r="AP194" i="10"/>
  <c r="AT182" i="7"/>
  <c r="AP211" i="22"/>
  <c r="AP210" i="22"/>
  <c r="AL175" i="11"/>
  <c r="AL176" i="11"/>
  <c r="BF169" i="7"/>
  <c r="BG64" i="7"/>
  <c r="BT65" i="11"/>
  <c r="BU232" i="11"/>
  <c r="AM160" i="22"/>
  <c r="AM161" i="22"/>
  <c r="A144" i="2"/>
  <c r="BW144" i="2"/>
  <c r="A24" i="2"/>
  <c r="AR186" i="9"/>
  <c r="AR185" i="9"/>
  <c r="AQ74" i="8"/>
  <c r="AP194" i="8"/>
  <c r="C21" i="2"/>
  <c r="M29" i="30"/>
  <c r="D142" i="2"/>
  <c r="AD21" i="2"/>
  <c r="M28" i="33"/>
  <c r="N28" i="33"/>
  <c r="O28" i="33"/>
  <c r="P28" i="33"/>
  <c r="AE142" i="2"/>
  <c r="AO179" i="22"/>
  <c r="AP68" i="22"/>
  <c r="AM68" i="8"/>
  <c r="AL179" i="8"/>
  <c r="AN197" i="10"/>
  <c r="AN197" i="8"/>
  <c r="W8" i="39"/>
  <c r="J41" i="30"/>
  <c r="W23" i="39"/>
  <c r="H40" i="30"/>
  <c r="J25" i="30"/>
  <c r="H24" i="30"/>
  <c r="J24" i="30"/>
  <c r="G44" i="30"/>
  <c r="F45" i="30"/>
  <c r="Z167" i="7"/>
  <c r="AF32" i="33"/>
  <c r="Y32" i="33"/>
  <c r="X32" i="33"/>
  <c r="AE32" i="33"/>
  <c r="W33" i="31"/>
  <c r="V33" i="31"/>
  <c r="U42" i="8"/>
  <c r="T114" i="8"/>
  <c r="T115" i="8"/>
  <c r="T116" i="8"/>
  <c r="T117" i="8"/>
  <c r="U44" i="8"/>
  <c r="T119" i="8"/>
  <c r="T120" i="8"/>
  <c r="T121" i="8"/>
  <c r="T122" i="8"/>
  <c r="Z34" i="8"/>
  <c r="Y94" i="8"/>
  <c r="Y95" i="8"/>
  <c r="Y96" i="8"/>
  <c r="Y97" i="8"/>
  <c r="S120" i="8"/>
  <c r="S121" i="8"/>
  <c r="S122" i="8"/>
  <c r="AA166" i="7"/>
  <c r="AA165" i="7"/>
  <c r="U32" i="11"/>
  <c r="T89" i="11"/>
  <c r="T90" i="11"/>
  <c r="T91" i="11"/>
  <c r="T92" i="11"/>
  <c r="AC62" i="7"/>
  <c r="AB164" i="7"/>
  <c r="T139" i="9"/>
  <c r="T140" i="9"/>
  <c r="T141" i="9"/>
  <c r="T142" i="9"/>
  <c r="U52" i="9"/>
  <c r="U84" i="9"/>
  <c r="U85" i="9"/>
  <c r="U86" i="9"/>
  <c r="U87" i="9"/>
  <c r="V30" i="9"/>
  <c r="U87" i="1"/>
  <c r="U88" i="1"/>
  <c r="U89" i="1"/>
  <c r="V86" i="1"/>
  <c r="V87" i="1"/>
  <c r="V88" i="1"/>
  <c r="V89" i="1"/>
  <c r="W30" i="1"/>
  <c r="W32" i="1"/>
  <c r="V91" i="1"/>
  <c r="V92" i="1"/>
  <c r="V93" i="1"/>
  <c r="V94" i="1"/>
  <c r="U58" i="1"/>
  <c r="T156" i="1"/>
  <c r="T157" i="1"/>
  <c r="T158" i="1"/>
  <c r="T159" i="1"/>
  <c r="S172" i="1"/>
  <c r="S173" i="1"/>
  <c r="S174" i="1"/>
  <c r="U48" i="1"/>
  <c r="T131" i="1"/>
  <c r="T132" i="1"/>
  <c r="T133" i="1"/>
  <c r="T134" i="1"/>
  <c r="T181" i="1"/>
  <c r="U68" i="1"/>
  <c r="T141" i="1"/>
  <c r="T142" i="1"/>
  <c r="T143" i="1"/>
  <c r="T144" i="1"/>
  <c r="U52" i="1"/>
  <c r="U64" i="1"/>
  <c r="T171" i="1"/>
  <c r="T172" i="1"/>
  <c r="T173" i="1"/>
  <c r="T174" i="1"/>
  <c r="U34" i="1"/>
  <c r="T96" i="1"/>
  <c r="T97" i="1"/>
  <c r="T98" i="1"/>
  <c r="T99" i="1"/>
  <c r="U50" i="1"/>
  <c r="T136" i="1"/>
  <c r="T137" i="1"/>
  <c r="T138" i="1"/>
  <c r="T139" i="1"/>
  <c r="AA32" i="33"/>
  <c r="AC32" i="33"/>
  <c r="AD32" i="33"/>
  <c r="AB32" i="33"/>
  <c r="Z32" i="33"/>
  <c r="L32" i="32"/>
  <c r="T32" i="32"/>
  <c r="Z32" i="32"/>
  <c r="AF32" i="32"/>
  <c r="X32" i="32"/>
  <c r="Y32" i="32"/>
  <c r="AA32" i="32"/>
  <c r="AE32" i="32"/>
  <c r="AC32" i="32"/>
  <c r="AB32" i="32"/>
  <c r="AD32" i="32"/>
  <c r="AE25" i="26"/>
  <c r="P25" i="26"/>
  <c r="AJ25" i="26"/>
  <c r="K25" i="26"/>
  <c r="Z25" i="26"/>
  <c r="F25" i="26"/>
  <c r="U25" i="26"/>
  <c r="I45" i="30"/>
  <c r="A26" i="26"/>
  <c r="AO26" i="26"/>
  <c r="T219" i="1"/>
  <c r="U32" i="35"/>
  <c r="W32" i="35"/>
  <c r="V32" i="35"/>
  <c r="X32" i="35"/>
  <c r="X117" i="11"/>
  <c r="V44" i="22"/>
  <c r="U119" i="22"/>
  <c r="U120" i="22"/>
  <c r="U121" i="22"/>
  <c r="U122" i="22"/>
  <c r="R81" i="6"/>
  <c r="T113" i="6"/>
  <c r="T114" i="6"/>
  <c r="T115" i="6"/>
  <c r="T116" i="6"/>
  <c r="U36" i="6"/>
  <c r="T108" i="6"/>
  <c r="T109" i="6"/>
  <c r="T110" i="6"/>
  <c r="T111" i="6"/>
  <c r="U34" i="6"/>
  <c r="T78" i="6"/>
  <c r="T79" i="6"/>
  <c r="T80" i="6"/>
  <c r="T81" i="6"/>
  <c r="U22" i="6"/>
  <c r="T88" i="6"/>
  <c r="T89" i="6"/>
  <c r="T90" i="6"/>
  <c r="T91" i="6"/>
  <c r="U26" i="6"/>
  <c r="T93" i="6"/>
  <c r="T94" i="6"/>
  <c r="T95" i="6"/>
  <c r="T96" i="6"/>
  <c r="U28" i="6"/>
  <c r="S84" i="6"/>
  <c r="S85" i="6"/>
  <c r="V42" i="6"/>
  <c r="U128" i="6"/>
  <c r="U129" i="6"/>
  <c r="U130" i="6"/>
  <c r="U131" i="6"/>
  <c r="V30" i="6"/>
  <c r="U98" i="6"/>
  <c r="U99" i="6"/>
  <c r="U100" i="6"/>
  <c r="U101" i="6"/>
  <c r="S114" i="6"/>
  <c r="S115" i="6"/>
  <c r="T103" i="6"/>
  <c r="T104" i="6"/>
  <c r="T105" i="6"/>
  <c r="T106" i="6"/>
  <c r="U32" i="6"/>
  <c r="T123" i="6"/>
  <c r="T124" i="6"/>
  <c r="T125" i="6"/>
  <c r="T126" i="6"/>
  <c r="U40" i="6"/>
  <c r="U44" i="6"/>
  <c r="T133" i="6"/>
  <c r="T134" i="6"/>
  <c r="T135" i="6"/>
  <c r="T136" i="6"/>
  <c r="U24" i="6"/>
  <c r="T83" i="6"/>
  <c r="T84" i="6"/>
  <c r="T85" i="6"/>
  <c r="T86" i="6"/>
  <c r="U217" i="1"/>
  <c r="U218" i="1"/>
  <c r="V212" i="1"/>
  <c r="V213" i="1"/>
  <c r="V214" i="1"/>
  <c r="U42" i="1"/>
  <c r="T116" i="1"/>
  <c r="T114" i="1"/>
  <c r="R109" i="1"/>
  <c r="R189" i="1"/>
  <c r="S164" i="1"/>
  <c r="R199" i="1"/>
  <c r="W82" i="1"/>
  <c r="V216" i="1"/>
  <c r="X80" i="1"/>
  <c r="W211" i="1"/>
  <c r="W212" i="1"/>
  <c r="W213" i="1"/>
  <c r="W214" i="1"/>
  <c r="S102" i="10"/>
  <c r="R209" i="1"/>
  <c r="S194" i="1"/>
  <c r="S102" i="7"/>
  <c r="S122" i="11"/>
  <c r="V36" i="8"/>
  <c r="U99" i="8"/>
  <c r="U100" i="8"/>
  <c r="U101" i="8"/>
  <c r="U102" i="8"/>
  <c r="Y38" i="8"/>
  <c r="X104" i="8"/>
  <c r="X105" i="8"/>
  <c r="X106" i="8"/>
  <c r="X107" i="8"/>
  <c r="U119" i="11"/>
  <c r="V44" i="11"/>
  <c r="T120" i="11"/>
  <c r="T121" i="11"/>
  <c r="T122" i="11"/>
  <c r="U48" i="22"/>
  <c r="T129" i="22"/>
  <c r="T130" i="22"/>
  <c r="T131" i="22"/>
  <c r="T132" i="22"/>
  <c r="T94" i="22"/>
  <c r="U34" i="22"/>
  <c r="U104" i="22"/>
  <c r="U105" i="22"/>
  <c r="U106" i="22"/>
  <c r="U107" i="22"/>
  <c r="V38" i="22"/>
  <c r="V38" i="7"/>
  <c r="U104" i="7"/>
  <c r="U105" i="7"/>
  <c r="U106" i="7"/>
  <c r="U107" i="7"/>
  <c r="W109" i="7"/>
  <c r="W110" i="7"/>
  <c r="W111" i="7"/>
  <c r="W112" i="7"/>
  <c r="X40" i="7"/>
  <c r="T94" i="7"/>
  <c r="U34" i="7"/>
  <c r="T85" i="7"/>
  <c r="T86" i="7"/>
  <c r="T87" i="7"/>
  <c r="V30" i="7"/>
  <c r="U84" i="7"/>
  <c r="U85" i="7"/>
  <c r="U86" i="7"/>
  <c r="U87" i="7"/>
  <c r="V36" i="7"/>
  <c r="U99" i="7"/>
  <c r="U100" i="7"/>
  <c r="U101" i="7"/>
  <c r="U102" i="7"/>
  <c r="T114" i="7"/>
  <c r="T115" i="7"/>
  <c r="T116" i="7"/>
  <c r="T117" i="7"/>
  <c r="U42" i="7"/>
  <c r="W118" i="6"/>
  <c r="W119" i="6"/>
  <c r="W120" i="6"/>
  <c r="W121" i="6"/>
  <c r="X38" i="6"/>
  <c r="V119" i="6"/>
  <c r="V120" i="6"/>
  <c r="V121" i="6"/>
  <c r="X38" i="9"/>
  <c r="W104" i="9"/>
  <c r="W105" i="9"/>
  <c r="W106" i="9"/>
  <c r="W107" i="9"/>
  <c r="T94" i="9"/>
  <c r="U34" i="9"/>
  <c r="S114" i="9"/>
  <c r="S115" i="9"/>
  <c r="S116" i="9"/>
  <c r="S117" i="9"/>
  <c r="T42" i="9"/>
  <c r="Y54" i="9"/>
  <c r="X144" i="9"/>
  <c r="X145" i="9"/>
  <c r="X146" i="9"/>
  <c r="X147" i="9"/>
  <c r="T124" i="9"/>
  <c r="U46" i="9"/>
  <c r="V50" i="9"/>
  <c r="U134" i="9"/>
  <c r="U135" i="9"/>
  <c r="U136" i="9"/>
  <c r="U137" i="9"/>
  <c r="T129" i="9"/>
  <c r="T130" i="9"/>
  <c r="T131" i="9"/>
  <c r="T132" i="9"/>
  <c r="U48" i="9"/>
  <c r="T119" i="9"/>
  <c r="T120" i="9"/>
  <c r="T121" i="9"/>
  <c r="T122" i="9"/>
  <c r="U44" i="9"/>
  <c r="W32" i="9"/>
  <c r="V89" i="9"/>
  <c r="V90" i="9"/>
  <c r="V91" i="9"/>
  <c r="V92" i="9"/>
  <c r="U56" i="9"/>
  <c r="T149" i="9"/>
  <c r="T150" i="9"/>
  <c r="T151" i="9"/>
  <c r="T152" i="9"/>
  <c r="S150" i="9"/>
  <c r="S151" i="9"/>
  <c r="S152" i="9"/>
  <c r="U177" i="1"/>
  <c r="U178" i="1"/>
  <c r="U78" i="1"/>
  <c r="T206" i="1"/>
  <c r="U74" i="1"/>
  <c r="T196" i="1"/>
  <c r="T197" i="1"/>
  <c r="T198" i="1"/>
  <c r="T199" i="1"/>
  <c r="W66" i="1"/>
  <c r="V176" i="1"/>
  <c r="V177" i="1"/>
  <c r="V178" i="1"/>
  <c r="V179" i="1"/>
  <c r="Z151" i="1"/>
  <c r="Z152" i="1"/>
  <c r="Z153" i="1"/>
  <c r="Z154" i="1"/>
  <c r="AA56" i="1"/>
  <c r="U161" i="1"/>
  <c r="U162" i="1"/>
  <c r="U163" i="1"/>
  <c r="U164" i="1"/>
  <c r="V60" i="1"/>
  <c r="W76" i="1"/>
  <c r="V201" i="1"/>
  <c r="U70" i="1"/>
  <c r="T186" i="1"/>
  <c r="V72" i="1"/>
  <c r="U191" i="1"/>
  <c r="T32" i="37"/>
  <c r="L32" i="37"/>
  <c r="N32" i="37"/>
  <c r="O32" i="37"/>
  <c r="H43" i="37"/>
  <c r="J44" i="37"/>
  <c r="AD27" i="39"/>
  <c r="Y115" i="11"/>
  <c r="Y116" i="11"/>
  <c r="Y117" i="11"/>
  <c r="AA42" i="11"/>
  <c r="Z114" i="11"/>
  <c r="W31" i="34"/>
  <c r="V31" i="34"/>
  <c r="K31" i="34"/>
  <c r="L31" i="35"/>
  <c r="S107" i="11"/>
  <c r="W85" i="11"/>
  <c r="W86" i="11"/>
  <c r="W87" i="11"/>
  <c r="U104" i="11"/>
  <c r="V38" i="11"/>
  <c r="X84" i="11"/>
  <c r="Y30" i="11"/>
  <c r="T105" i="11"/>
  <c r="T106" i="11"/>
  <c r="U100" i="11"/>
  <c r="U101" i="11"/>
  <c r="U102" i="11"/>
  <c r="W36" i="11"/>
  <c r="V99" i="11"/>
  <c r="T135" i="10"/>
  <c r="T136" i="10"/>
  <c r="T137" i="10"/>
  <c r="U134" i="10"/>
  <c r="V50" i="10"/>
  <c r="V36" i="10"/>
  <c r="U99" i="10"/>
  <c r="T100" i="10"/>
  <c r="T101" i="10"/>
  <c r="T102" i="10"/>
  <c r="S155" i="22"/>
  <c r="S156" i="22"/>
  <c r="S157" i="22"/>
  <c r="T154" i="22"/>
  <c r="U58" i="22"/>
  <c r="U144" i="22"/>
  <c r="V54" i="22"/>
  <c r="T100" i="22"/>
  <c r="T101" i="22"/>
  <c r="T102" i="22"/>
  <c r="V36" i="22"/>
  <c r="U99" i="22"/>
  <c r="T110" i="22"/>
  <c r="T111" i="22"/>
  <c r="T112" i="22"/>
  <c r="T145" i="22"/>
  <c r="T146" i="22"/>
  <c r="T147" i="22"/>
  <c r="U109" i="22"/>
  <c r="V40" i="22"/>
  <c r="X56" i="8"/>
  <c r="W149" i="8"/>
  <c r="V150" i="8"/>
  <c r="V151" i="8"/>
  <c r="V152" i="8"/>
  <c r="T145" i="8"/>
  <c r="T146" i="8"/>
  <c r="T147" i="8"/>
  <c r="U144" i="8"/>
  <c r="V54" i="8"/>
  <c r="U52" i="8"/>
  <c r="T139" i="8"/>
  <c r="S110" i="8"/>
  <c r="S111" i="8"/>
  <c r="S112" i="8"/>
  <c r="U32" i="8"/>
  <c r="T89" i="8"/>
  <c r="S84" i="8"/>
  <c r="T30" i="8"/>
  <c r="R85" i="8"/>
  <c r="R86" i="8"/>
  <c r="R87" i="8"/>
  <c r="T129" i="8"/>
  <c r="U48" i="8"/>
  <c r="S140" i="8"/>
  <c r="S141" i="8"/>
  <c r="S142" i="8"/>
  <c r="U40" i="8"/>
  <c r="T109" i="8"/>
  <c r="S130" i="8"/>
  <c r="S131" i="8"/>
  <c r="S132" i="8"/>
  <c r="S90" i="8"/>
  <c r="S91" i="8"/>
  <c r="S92" i="8"/>
  <c r="S145" i="7"/>
  <c r="S146" i="7"/>
  <c r="S147" i="7"/>
  <c r="U54" i="7"/>
  <c r="T144" i="7"/>
  <c r="T139" i="7"/>
  <c r="U52" i="7"/>
  <c r="S140" i="7"/>
  <c r="S141" i="7"/>
  <c r="S142" i="7"/>
  <c r="U50" i="7"/>
  <c r="T134" i="7"/>
  <c r="S135" i="7"/>
  <c r="S136" i="7"/>
  <c r="S137" i="7"/>
  <c r="X44" i="7"/>
  <c r="W119" i="7"/>
  <c r="Z90" i="7"/>
  <c r="Z91" i="7"/>
  <c r="Z92" i="7"/>
  <c r="V120" i="7"/>
  <c r="V121" i="7"/>
  <c r="V122" i="7"/>
  <c r="U125" i="7"/>
  <c r="U126" i="7"/>
  <c r="U127" i="7"/>
  <c r="W46" i="7"/>
  <c r="V124" i="7"/>
  <c r="AB32" i="7"/>
  <c r="AA89" i="7"/>
  <c r="S164" i="6"/>
  <c r="S165" i="6"/>
  <c r="S166" i="6"/>
  <c r="U56" i="6"/>
  <c r="T163" i="6"/>
  <c r="U54" i="6"/>
  <c r="T158" i="6"/>
  <c r="S159" i="6"/>
  <c r="S160" i="6"/>
  <c r="S161" i="6"/>
  <c r="U52" i="6"/>
  <c r="T153" i="6"/>
  <c r="S154" i="6"/>
  <c r="S155" i="6"/>
  <c r="T148" i="6"/>
  <c r="U50" i="6"/>
  <c r="S149" i="6"/>
  <c r="S150" i="6"/>
  <c r="S151" i="6"/>
  <c r="T143" i="6"/>
  <c r="U48" i="6"/>
  <c r="S144" i="6"/>
  <c r="S145" i="6"/>
  <c r="S146" i="6"/>
  <c r="T160" i="9"/>
  <c r="T161" i="9"/>
  <c r="T162" i="9"/>
  <c r="U159" i="9"/>
  <c r="V60" i="9"/>
  <c r="U58" i="9"/>
  <c r="T154" i="9"/>
  <c r="S155" i="9"/>
  <c r="S156" i="9"/>
  <c r="S157" i="9"/>
  <c r="T110" i="9"/>
  <c r="T111" i="9"/>
  <c r="T112" i="9"/>
  <c r="U109" i="9"/>
  <c r="V40" i="9"/>
  <c r="V36" i="9"/>
  <c r="U99" i="9"/>
  <c r="T100" i="9"/>
  <c r="T101" i="9"/>
  <c r="T102" i="9"/>
  <c r="S167" i="1"/>
  <c r="S168" i="1"/>
  <c r="S169" i="1"/>
  <c r="T166" i="1"/>
  <c r="U62" i="1"/>
  <c r="S127" i="1"/>
  <c r="S128" i="1"/>
  <c r="S129" i="1"/>
  <c r="S147" i="1"/>
  <c r="S148" i="1"/>
  <c r="S149" i="1"/>
  <c r="T126" i="1"/>
  <c r="U46" i="1"/>
  <c r="T146" i="1"/>
  <c r="U54" i="1"/>
  <c r="V121" i="1"/>
  <c r="W44" i="1"/>
  <c r="U122" i="1"/>
  <c r="U123" i="1"/>
  <c r="U124" i="1"/>
  <c r="W36" i="1"/>
  <c r="V101" i="1"/>
  <c r="U112" i="1"/>
  <c r="U113" i="1"/>
  <c r="U114" i="1"/>
  <c r="U102" i="1"/>
  <c r="U103" i="1"/>
  <c r="U104" i="1"/>
  <c r="S107" i="1"/>
  <c r="S108" i="1"/>
  <c r="S109" i="1"/>
  <c r="V111" i="1"/>
  <c r="W40" i="1"/>
  <c r="U38" i="1"/>
  <c r="T106" i="1"/>
  <c r="U33" i="37"/>
  <c r="V48" i="7"/>
  <c r="U129" i="7"/>
  <c r="U130" i="7"/>
  <c r="U131" i="7"/>
  <c r="U132" i="7"/>
  <c r="AB32" i="36"/>
  <c r="Z32" i="36"/>
  <c r="AF32" i="36"/>
  <c r="X32" i="36"/>
  <c r="AD32" i="36"/>
  <c r="AC32" i="36"/>
  <c r="AA32" i="36"/>
  <c r="Y32" i="36"/>
  <c r="AE32" i="36"/>
  <c r="AZ197" i="9"/>
  <c r="BA196" i="9"/>
  <c r="BA195" i="9"/>
  <c r="BC74" i="9"/>
  <c r="BB194" i="9"/>
  <c r="BJ59" i="11"/>
  <c r="BK229" i="11"/>
  <c r="BX144" i="2"/>
  <c r="BW23" i="2"/>
  <c r="M30" i="41"/>
  <c r="M28" i="36"/>
  <c r="N28" i="36"/>
  <c r="O28" i="36"/>
  <c r="P28" i="36"/>
  <c r="Q28" i="36"/>
  <c r="R28" i="36"/>
  <c r="CF21" i="2"/>
  <c r="J44" i="41"/>
  <c r="H43" i="41"/>
  <c r="W27" i="41"/>
  <c r="V27" i="41"/>
  <c r="K27" i="41"/>
  <c r="AO197" i="8"/>
  <c r="AT172" i="10"/>
  <c r="S202" i="10"/>
  <c r="W127" i="11"/>
  <c r="S202" i="11"/>
  <c r="S182" i="10"/>
  <c r="AR152" i="10"/>
  <c r="T202" i="7"/>
  <c r="T152" i="11"/>
  <c r="AD177" i="10"/>
  <c r="X207" i="11"/>
  <c r="AT212" i="9"/>
  <c r="AC192" i="22"/>
  <c r="AB207" i="9"/>
  <c r="X162" i="7"/>
  <c r="AF157" i="8"/>
  <c r="AT177" i="9"/>
  <c r="AH187" i="10"/>
  <c r="AR260" i="40"/>
  <c r="AR261" i="40"/>
  <c r="AR262" i="40"/>
  <c r="AK289" i="40"/>
  <c r="AL110" i="40"/>
  <c r="AK244" i="40"/>
  <c r="AK245" i="40"/>
  <c r="AK246" i="40"/>
  <c r="AK247" i="40"/>
  <c r="AL92" i="40"/>
  <c r="AK269" i="40"/>
  <c r="AK270" i="40"/>
  <c r="AK271" i="40"/>
  <c r="AK272" i="40"/>
  <c r="AL102" i="40"/>
  <c r="AJ245" i="40"/>
  <c r="AJ246" i="40"/>
  <c r="AJ247" i="40"/>
  <c r="AP280" i="40"/>
  <c r="AP281" i="40"/>
  <c r="AP282" i="40"/>
  <c r="AK284" i="40"/>
  <c r="AK285" i="40"/>
  <c r="AK286" i="40"/>
  <c r="AK287" i="40"/>
  <c r="AL108" i="40"/>
  <c r="AK264" i="40"/>
  <c r="AK265" i="40"/>
  <c r="AK266" i="40"/>
  <c r="AK267" i="40"/>
  <c r="AL100" i="40"/>
  <c r="AK249" i="40"/>
  <c r="AK250" i="40"/>
  <c r="AK251" i="40"/>
  <c r="AK252" i="40"/>
  <c r="AL94" i="40"/>
  <c r="AQ255" i="40"/>
  <c r="AQ256" i="40"/>
  <c r="AQ257" i="40"/>
  <c r="AJ285" i="40"/>
  <c r="AJ286" i="40"/>
  <c r="AJ287" i="40"/>
  <c r="AS98" i="40"/>
  <c r="AS259" i="40"/>
  <c r="AS260" i="40"/>
  <c r="AS261" i="40"/>
  <c r="AS262" i="40"/>
  <c r="AQ106" i="40"/>
  <c r="AQ279" i="40"/>
  <c r="AR96" i="40"/>
  <c r="AR254" i="40"/>
  <c r="AR104" i="40"/>
  <c r="AR274" i="40"/>
  <c r="AR275" i="40"/>
  <c r="AR276" i="40"/>
  <c r="AR277" i="40"/>
  <c r="AN90" i="40"/>
  <c r="AL185" i="40"/>
  <c r="AL186" i="40"/>
  <c r="AK239" i="40"/>
  <c r="AL48" i="40"/>
  <c r="AK134" i="40"/>
  <c r="AM80" i="40"/>
  <c r="AL214" i="40"/>
  <c r="AL74" i="40"/>
  <c r="AK199" i="40"/>
  <c r="AM84" i="40"/>
  <c r="AL224" i="40"/>
  <c r="AL46" i="40"/>
  <c r="AK129" i="40"/>
  <c r="AJ160" i="40"/>
  <c r="AJ161" i="40"/>
  <c r="AJ162" i="40"/>
  <c r="AL54" i="40"/>
  <c r="AK149" i="40"/>
  <c r="AK205" i="40"/>
  <c r="AK206" i="40"/>
  <c r="AK207" i="40"/>
  <c r="AL44" i="40"/>
  <c r="AK124" i="40"/>
  <c r="AL62" i="40"/>
  <c r="AK169" i="40"/>
  <c r="AK140" i="40"/>
  <c r="AK141" i="40"/>
  <c r="AJ190" i="40"/>
  <c r="AJ191" i="40"/>
  <c r="AL195" i="40"/>
  <c r="AL196" i="40"/>
  <c r="AL197" i="40"/>
  <c r="AI222" i="40"/>
  <c r="AJ167" i="40"/>
  <c r="AJ155" i="40"/>
  <c r="AJ156" i="40"/>
  <c r="AJ157" i="40"/>
  <c r="AJ237" i="40"/>
  <c r="AN64" i="40"/>
  <c r="AM174" i="40"/>
  <c r="AL78" i="40"/>
  <c r="AK209" i="40"/>
  <c r="AK115" i="40"/>
  <c r="AK116" i="40"/>
  <c r="AK117" i="40"/>
  <c r="AM60" i="40"/>
  <c r="AL164" i="40"/>
  <c r="AJ230" i="40"/>
  <c r="AJ231" i="40"/>
  <c r="AJ145" i="40"/>
  <c r="AJ146" i="40"/>
  <c r="AJ147" i="40"/>
  <c r="AJ120" i="40"/>
  <c r="AJ121" i="40"/>
  <c r="AJ122" i="40"/>
  <c r="AN68" i="40"/>
  <c r="AM184" i="40"/>
  <c r="AM88" i="40"/>
  <c r="AL234" i="40"/>
  <c r="AJ240" i="40"/>
  <c r="AJ241" i="40"/>
  <c r="AJ242" i="40"/>
  <c r="AL56" i="40"/>
  <c r="AK154" i="40"/>
  <c r="AJ135" i="40"/>
  <c r="AJ136" i="40"/>
  <c r="AJ137" i="40"/>
  <c r="AK215" i="40"/>
  <c r="AK216" i="40"/>
  <c r="AK217" i="40"/>
  <c r="AJ200" i="40"/>
  <c r="AJ201" i="40"/>
  <c r="AJ202" i="40"/>
  <c r="AK225" i="40"/>
  <c r="AK226" i="40"/>
  <c r="AM40" i="40"/>
  <c r="AL114" i="40"/>
  <c r="AL82" i="40"/>
  <c r="AK219" i="40"/>
  <c r="AJ130" i="40"/>
  <c r="AJ131" i="40"/>
  <c r="AJ132" i="40"/>
  <c r="AL58" i="40"/>
  <c r="AK159" i="40"/>
  <c r="AM76" i="40"/>
  <c r="AL204" i="40"/>
  <c r="AJ170" i="40"/>
  <c r="AJ171" i="40"/>
  <c r="AJ172" i="40"/>
  <c r="AL52" i="40"/>
  <c r="AK144" i="40"/>
  <c r="AL42" i="40"/>
  <c r="AK119" i="40"/>
  <c r="AK235" i="40"/>
  <c r="AK236" i="40"/>
  <c r="AK237" i="40"/>
  <c r="AM66" i="40"/>
  <c r="AL179" i="40"/>
  <c r="AJ220" i="40"/>
  <c r="AJ221" i="40"/>
  <c r="AI212" i="40"/>
  <c r="AI202" i="40"/>
  <c r="AM50" i="40"/>
  <c r="AL139" i="40"/>
  <c r="AL70" i="40"/>
  <c r="AK189" i="40"/>
  <c r="AJ217" i="40"/>
  <c r="AN72" i="40"/>
  <c r="AM194" i="40"/>
  <c r="AJ227" i="40"/>
  <c r="AI232" i="40"/>
  <c r="AK180" i="40"/>
  <c r="AK181" i="40"/>
  <c r="AJ142" i="40"/>
  <c r="AL175" i="40"/>
  <c r="AL176" i="40"/>
  <c r="AJ210" i="40"/>
  <c r="AJ211" i="40"/>
  <c r="AI192" i="40"/>
  <c r="AK197" i="40"/>
  <c r="AK165" i="40"/>
  <c r="AK166" i="40"/>
  <c r="AK167" i="40"/>
  <c r="AL86" i="40"/>
  <c r="AK229" i="40"/>
  <c r="AJ182" i="40"/>
  <c r="AJ150" i="40"/>
  <c r="AJ151" i="40"/>
  <c r="AJ152" i="40"/>
  <c r="AJ125" i="40"/>
  <c r="AJ126" i="40"/>
  <c r="AJ127" i="40"/>
  <c r="S27" i="36"/>
  <c r="AF10" i="26"/>
  <c r="AB32" i="35"/>
  <c r="AD32" i="35"/>
  <c r="AF32" i="35"/>
  <c r="Q10" i="26"/>
  <c r="S27" i="33"/>
  <c r="AU175" i="9"/>
  <c r="AU176" i="9"/>
  <c r="AF174" i="10"/>
  <c r="AG66" i="10"/>
  <c r="AE204" i="22"/>
  <c r="AF78" i="22"/>
  <c r="AJ195" i="11"/>
  <c r="AJ196" i="11"/>
  <c r="AV155" i="10"/>
  <c r="AV156" i="10"/>
  <c r="T186" i="8"/>
  <c r="T185" i="8"/>
  <c r="T200" i="22"/>
  <c r="T201" i="22"/>
  <c r="Y206" i="11"/>
  <c r="Y205" i="11"/>
  <c r="AB172" i="9"/>
  <c r="AI197" i="11"/>
  <c r="W76" i="7"/>
  <c r="V199" i="7"/>
  <c r="AQ176" i="22"/>
  <c r="AQ175" i="22"/>
  <c r="T160" i="10"/>
  <c r="T161" i="10"/>
  <c r="AF72" i="22"/>
  <c r="AE189" i="22"/>
  <c r="Z207" i="7"/>
  <c r="T175" i="7"/>
  <c r="T176" i="7"/>
  <c r="W56" i="11"/>
  <c r="V149" i="11"/>
  <c r="AC206" i="9"/>
  <c r="AC205" i="9"/>
  <c r="S162" i="10"/>
  <c r="AW66" i="9"/>
  <c r="AV174" i="9"/>
  <c r="AE175" i="10"/>
  <c r="AE176" i="10"/>
  <c r="V157" i="7"/>
  <c r="T205" i="8"/>
  <c r="T206" i="8"/>
  <c r="S202" i="22"/>
  <c r="S137" i="11"/>
  <c r="AD206" i="22"/>
  <c r="AD205" i="22"/>
  <c r="AL74" i="11"/>
  <c r="AK194" i="11"/>
  <c r="AW154" i="10"/>
  <c r="AX58" i="10"/>
  <c r="AP177" i="22"/>
  <c r="U149" i="22"/>
  <c r="U150" i="22"/>
  <c r="U151" i="22"/>
  <c r="U152" i="22"/>
  <c r="V56" i="22"/>
  <c r="V70" i="8"/>
  <c r="U184" i="8"/>
  <c r="U199" i="22"/>
  <c r="V76" i="22"/>
  <c r="AA78" i="11"/>
  <c r="Z204" i="11"/>
  <c r="AA205" i="7"/>
  <c r="AA206" i="7"/>
  <c r="AI185" i="10"/>
  <c r="AI186" i="10"/>
  <c r="Z165" i="8"/>
  <c r="Z166" i="8"/>
  <c r="S187" i="8"/>
  <c r="AD169" i="9"/>
  <c r="AE64" i="9"/>
  <c r="V66" i="7"/>
  <c r="U174" i="7"/>
  <c r="AU170" i="10"/>
  <c r="AU171" i="10"/>
  <c r="AD204" i="9"/>
  <c r="AE78" i="9"/>
  <c r="AT210" i="10"/>
  <c r="AT211" i="10"/>
  <c r="AA167" i="7"/>
  <c r="BZ231" i="11"/>
  <c r="V62" i="9"/>
  <c r="U164" i="9"/>
  <c r="AB184" i="22"/>
  <c r="AC70" i="22"/>
  <c r="AN145" i="10"/>
  <c r="AN146" i="10"/>
  <c r="V78" i="8"/>
  <c r="U204" i="8"/>
  <c r="AS212" i="10"/>
  <c r="AG156" i="8"/>
  <c r="AG155" i="8"/>
  <c r="AG164" i="10"/>
  <c r="AH62" i="10"/>
  <c r="S207" i="8"/>
  <c r="X125" i="11"/>
  <c r="X126" i="11"/>
  <c r="V76" i="10"/>
  <c r="U199" i="10"/>
  <c r="T200" i="11"/>
  <c r="T201" i="11"/>
  <c r="T181" i="10"/>
  <c r="T180" i="10"/>
  <c r="AC164" i="22"/>
  <c r="AD62" i="22"/>
  <c r="V46" i="6"/>
  <c r="U138" i="6"/>
  <c r="U139" i="6"/>
  <c r="U140" i="6"/>
  <c r="U141" i="6"/>
  <c r="AC78" i="7"/>
  <c r="AB204" i="7"/>
  <c r="AJ184" i="10"/>
  <c r="AK70" i="10"/>
  <c r="AE167" i="10"/>
  <c r="AB62" i="8"/>
  <c r="AA164" i="8"/>
  <c r="AC170" i="9"/>
  <c r="AC171" i="9"/>
  <c r="BP55" i="11"/>
  <c r="BQ227" i="11"/>
  <c r="S167" i="9"/>
  <c r="X154" i="7"/>
  <c r="Y58" i="7"/>
  <c r="BS81" i="8"/>
  <c r="BT240" i="8"/>
  <c r="AW64" i="10"/>
  <c r="AV169" i="10"/>
  <c r="T135" i="11"/>
  <c r="T136" i="11"/>
  <c r="AU209" i="10"/>
  <c r="AV80" i="10"/>
  <c r="Y160" i="7"/>
  <c r="Y161" i="7"/>
  <c r="T165" i="9"/>
  <c r="T166" i="9"/>
  <c r="AA185" i="22"/>
  <c r="AA186" i="22"/>
  <c r="S177" i="7"/>
  <c r="AP54" i="10"/>
  <c r="AO144" i="10"/>
  <c r="Z187" i="22"/>
  <c r="AI58" i="8"/>
  <c r="AH154" i="8"/>
  <c r="AF166" i="10"/>
  <c r="AF165" i="10"/>
  <c r="Z46" i="11"/>
  <c r="Y124" i="11"/>
  <c r="T201" i="10"/>
  <c r="T200" i="10"/>
  <c r="V76" i="11"/>
  <c r="U199" i="11"/>
  <c r="U179" i="10"/>
  <c r="V68" i="10"/>
  <c r="AB165" i="22"/>
  <c r="AB166" i="22"/>
  <c r="U200" i="7"/>
  <c r="U201" i="7"/>
  <c r="AU157" i="10"/>
  <c r="AR174" i="22"/>
  <c r="AS66" i="22"/>
  <c r="BV61" i="11"/>
  <c r="BW230" i="11"/>
  <c r="AA167" i="22"/>
  <c r="V60" i="10"/>
  <c r="U159" i="10"/>
  <c r="AD191" i="22"/>
  <c r="AD190" i="22"/>
  <c r="W155" i="7"/>
  <c r="W156" i="7"/>
  <c r="AM147" i="10"/>
  <c r="Y167" i="8"/>
  <c r="U151" i="11"/>
  <c r="U150" i="11"/>
  <c r="V50" i="11"/>
  <c r="U134" i="11"/>
  <c r="AC207" i="22"/>
  <c r="AA60" i="7"/>
  <c r="Z159" i="7"/>
  <c r="AK10" i="26"/>
  <c r="S27" i="37"/>
  <c r="Q28" i="37"/>
  <c r="R28" i="37"/>
  <c r="S27" i="35"/>
  <c r="AA10" i="26"/>
  <c r="Q28" i="35"/>
  <c r="R28" i="35"/>
  <c r="V10" i="26"/>
  <c r="S27" i="34"/>
  <c r="Q28" i="34"/>
  <c r="R28" i="34"/>
  <c r="Q28" i="33"/>
  <c r="R28" i="33"/>
  <c r="S27" i="32"/>
  <c r="L10" i="26"/>
  <c r="Q28" i="32"/>
  <c r="R28" i="32"/>
  <c r="G10" i="26"/>
  <c r="S27" i="31"/>
  <c r="Q28" i="31"/>
  <c r="R28" i="31"/>
  <c r="X40" i="11"/>
  <c r="W109" i="11"/>
  <c r="W110" i="11"/>
  <c r="W111" i="11"/>
  <c r="W112" i="11"/>
  <c r="V52" i="10"/>
  <c r="U139" i="10"/>
  <c r="U140" i="10"/>
  <c r="U141" i="10"/>
  <c r="U142" i="10"/>
  <c r="V42" i="10"/>
  <c r="U114" i="10"/>
  <c r="U115" i="10"/>
  <c r="U116" i="10"/>
  <c r="U117" i="10"/>
  <c r="V30" i="10"/>
  <c r="U84" i="10"/>
  <c r="U85" i="10"/>
  <c r="U86" i="10"/>
  <c r="U87" i="10"/>
  <c r="V38" i="10"/>
  <c r="U104" i="10"/>
  <c r="U105" i="10"/>
  <c r="U106" i="10"/>
  <c r="U107" i="10"/>
  <c r="V40" i="10"/>
  <c r="U109" i="10"/>
  <c r="U110" i="10"/>
  <c r="U111" i="10"/>
  <c r="U112" i="10"/>
  <c r="V32" i="10"/>
  <c r="U89" i="10"/>
  <c r="U90" i="10"/>
  <c r="U91" i="10"/>
  <c r="U92" i="10"/>
  <c r="V34" i="10"/>
  <c r="U94" i="10"/>
  <c r="U95" i="10"/>
  <c r="U96" i="10"/>
  <c r="U97" i="10"/>
  <c r="W44" i="10"/>
  <c r="V119" i="10"/>
  <c r="V120" i="10"/>
  <c r="V121" i="10"/>
  <c r="V122" i="10"/>
  <c r="V46" i="10"/>
  <c r="U124" i="10"/>
  <c r="U125" i="10"/>
  <c r="U126" i="10"/>
  <c r="U127" i="10"/>
  <c r="U129" i="10"/>
  <c r="U130" i="10"/>
  <c r="U131" i="10"/>
  <c r="U132" i="10"/>
  <c r="V48" i="10"/>
  <c r="V124" i="22"/>
  <c r="V125" i="22"/>
  <c r="V126" i="22"/>
  <c r="V127" i="22"/>
  <c r="W46" i="22"/>
  <c r="W52" i="22"/>
  <c r="V139" i="22"/>
  <c r="V140" i="22"/>
  <c r="V141" i="22"/>
  <c r="V142" i="22"/>
  <c r="V42" i="22"/>
  <c r="U114" i="22"/>
  <c r="U115" i="22"/>
  <c r="U116" i="22"/>
  <c r="U117" i="22"/>
  <c r="U134" i="22"/>
  <c r="U135" i="22"/>
  <c r="U136" i="22"/>
  <c r="U137" i="22"/>
  <c r="V50" i="22"/>
  <c r="U124" i="8"/>
  <c r="U125" i="8"/>
  <c r="U126" i="8"/>
  <c r="U127" i="8"/>
  <c r="V46" i="8"/>
  <c r="W50" i="8"/>
  <c r="V134" i="8"/>
  <c r="V135" i="8"/>
  <c r="V136" i="8"/>
  <c r="V137" i="8"/>
  <c r="AK182" i="8"/>
  <c r="CA182" i="11"/>
  <c r="CA234" i="11"/>
  <c r="AP212" i="22"/>
  <c r="AI162" i="8"/>
  <c r="AK202" i="8"/>
  <c r="BE172" i="7"/>
  <c r="AN197" i="7"/>
  <c r="S202" i="9"/>
  <c r="AX142" i="11"/>
  <c r="X192" i="8"/>
  <c r="AM177" i="8"/>
  <c r="AM212" i="11"/>
  <c r="AM162" i="22"/>
  <c r="AO197" i="22"/>
  <c r="AN187" i="7"/>
  <c r="AM179" i="8"/>
  <c r="AN68" i="8"/>
  <c r="A145" i="2"/>
  <c r="BW145" i="2"/>
  <c r="A25" i="2"/>
  <c r="BH64" i="7"/>
  <c r="BG169" i="7"/>
  <c r="BY231" i="11"/>
  <c r="AU56" i="10"/>
  <c r="AT149" i="10"/>
  <c r="T191" i="9"/>
  <c r="T190" i="9"/>
  <c r="AK159" i="8"/>
  <c r="AL60" i="8"/>
  <c r="AM72" i="11"/>
  <c r="AL189" i="11"/>
  <c r="BZ234" i="11"/>
  <c r="AZ191" i="10"/>
  <c r="AZ190" i="10"/>
  <c r="AU64" i="22"/>
  <c r="AT169" i="22"/>
  <c r="AO197" i="10"/>
  <c r="BA52" i="11"/>
  <c r="AZ139" i="11"/>
  <c r="AX68" i="7"/>
  <c r="AW179" i="7"/>
  <c r="AQ207" i="10"/>
  <c r="S192" i="9"/>
  <c r="AR210" i="7"/>
  <c r="AR211" i="7"/>
  <c r="AJ192" i="11"/>
  <c r="AO196" i="7"/>
  <c r="AO195" i="7"/>
  <c r="AY192" i="10"/>
  <c r="AW48" i="11"/>
  <c r="AV129" i="11"/>
  <c r="CA167" i="11"/>
  <c r="CA231" i="11"/>
  <c r="AO186" i="7"/>
  <c r="AO185" i="7"/>
  <c r="AP182" i="9"/>
  <c r="AN182" i="22"/>
  <c r="AR206" i="10"/>
  <c r="AR205" i="10"/>
  <c r="C22" i="2"/>
  <c r="M30" i="30"/>
  <c r="D143" i="2"/>
  <c r="BF143" i="2"/>
  <c r="BE22" i="2"/>
  <c r="AP60" i="22"/>
  <c r="AO159" i="22"/>
  <c r="AQ211" i="22"/>
  <c r="AQ210" i="22"/>
  <c r="AR179" i="9"/>
  <c r="AS68" i="9"/>
  <c r="AR74" i="22"/>
  <c r="AQ194" i="22"/>
  <c r="C144" i="2"/>
  <c r="BE144" i="2"/>
  <c r="U144" i="2"/>
  <c r="AM144" i="2"/>
  <c r="L144" i="2"/>
  <c r="AV144" i="2"/>
  <c r="BN144" i="2"/>
  <c r="AD144" i="2"/>
  <c r="BF170" i="7"/>
  <c r="BF171" i="7"/>
  <c r="AP196" i="10"/>
  <c r="AP195" i="10"/>
  <c r="V32" i="22"/>
  <c r="U89" i="22"/>
  <c r="U90" i="22"/>
  <c r="U91" i="22"/>
  <c r="U92" i="22"/>
  <c r="AS151" i="10"/>
  <c r="AS150" i="10"/>
  <c r="U189" i="9"/>
  <c r="V72" i="9"/>
  <c r="BI73" i="7"/>
  <c r="BJ236" i="7"/>
  <c r="BB72" i="10"/>
  <c r="BA189" i="10"/>
  <c r="AL200" i="8"/>
  <c r="AL201" i="8"/>
  <c r="L83" i="37"/>
  <c r="M82" i="37"/>
  <c r="AT80" i="7"/>
  <c r="AS209" i="7"/>
  <c r="AQ74" i="7"/>
  <c r="AP194" i="7"/>
  <c r="BC87" i="22"/>
  <c r="AQ212" i="7"/>
  <c r="AM22" i="2"/>
  <c r="M29" i="34"/>
  <c r="N29" i="34"/>
  <c r="O29" i="34"/>
  <c r="P29" i="34"/>
  <c r="AN143" i="2"/>
  <c r="U22" i="2"/>
  <c r="M29" i="32"/>
  <c r="N29" i="32"/>
  <c r="O29" i="32"/>
  <c r="P29" i="32"/>
  <c r="V143" i="2"/>
  <c r="AN161" i="22"/>
  <c r="AN160" i="22"/>
  <c r="AS80" i="22"/>
  <c r="AR209" i="22"/>
  <c r="T32" i="33"/>
  <c r="L32" i="33"/>
  <c r="AP179" i="22"/>
  <c r="AQ68" i="22"/>
  <c r="AP195" i="8"/>
  <c r="AP196" i="8"/>
  <c r="AR187" i="9"/>
  <c r="BS65" i="11"/>
  <c r="BT232" i="11"/>
  <c r="AL177" i="11"/>
  <c r="AQ194" i="10"/>
  <c r="AR74" i="10"/>
  <c r="CB181" i="11"/>
  <c r="CB180" i="11"/>
  <c r="CB165" i="11"/>
  <c r="CB166" i="11"/>
  <c r="AN76" i="8"/>
  <c r="AM199" i="8"/>
  <c r="Y190" i="8"/>
  <c r="Y191" i="8"/>
  <c r="BD86" i="22"/>
  <c r="BD85" i="22"/>
  <c r="AV209" i="9"/>
  <c r="AW80" i="9"/>
  <c r="AR172" i="22"/>
  <c r="AN176" i="8"/>
  <c r="AN175" i="8"/>
  <c r="AN210" i="11"/>
  <c r="AN211" i="11"/>
  <c r="AS185" i="9"/>
  <c r="AS186" i="9"/>
  <c r="AD22" i="2"/>
  <c r="M29" i="33"/>
  <c r="N29" i="33"/>
  <c r="O29" i="33"/>
  <c r="P29" i="33"/>
  <c r="AE143" i="2"/>
  <c r="AV22" i="2"/>
  <c r="M29" i="35"/>
  <c r="N29" i="35"/>
  <c r="O29" i="35"/>
  <c r="P29" i="35"/>
  <c r="AW143" i="2"/>
  <c r="AM175" i="11"/>
  <c r="AM176" i="11"/>
  <c r="T201" i="9"/>
  <c r="T200" i="9"/>
  <c r="AT132" i="11"/>
  <c r="AL181" i="8"/>
  <c r="AL180" i="8"/>
  <c r="AO180" i="22"/>
  <c r="AO181" i="22"/>
  <c r="AR74" i="8"/>
  <c r="AQ194" i="8"/>
  <c r="AJ160" i="8"/>
  <c r="AJ161" i="8"/>
  <c r="AK191" i="11"/>
  <c r="AK190" i="11"/>
  <c r="AS170" i="22"/>
  <c r="AS171" i="22"/>
  <c r="BX69" i="11"/>
  <c r="BY234" i="11"/>
  <c r="BW63" i="11"/>
  <c r="BX231" i="11"/>
  <c r="AY141" i="11"/>
  <c r="AY140" i="11"/>
  <c r="AV181" i="7"/>
  <c r="AV180" i="7"/>
  <c r="AA72" i="8"/>
  <c r="Z189" i="8"/>
  <c r="BF30" i="22"/>
  <c r="BE84" i="22"/>
  <c r="BK65" i="8"/>
  <c r="BL232" i="8"/>
  <c r="AU211" i="9"/>
  <c r="AU210" i="9"/>
  <c r="AU130" i="11"/>
  <c r="AU131" i="11"/>
  <c r="AP184" i="7"/>
  <c r="AQ70" i="7"/>
  <c r="AP66" i="8"/>
  <c r="AO174" i="8"/>
  <c r="AP80" i="11"/>
  <c r="AO209" i="11"/>
  <c r="AU182" i="7"/>
  <c r="AT78" i="10"/>
  <c r="AS204" i="10"/>
  <c r="AU70" i="9"/>
  <c r="AT184" i="9"/>
  <c r="BN22" i="2"/>
  <c r="M29" i="37"/>
  <c r="N29" i="37"/>
  <c r="O29" i="37"/>
  <c r="P29" i="37"/>
  <c r="BO143" i="2"/>
  <c r="L22" i="2"/>
  <c r="M29" i="31"/>
  <c r="N29" i="31"/>
  <c r="O29" i="31"/>
  <c r="P29" i="31"/>
  <c r="M143" i="2"/>
  <c r="AO66" i="11"/>
  <c r="AN174" i="11"/>
  <c r="U199" i="9"/>
  <c r="V76" i="9"/>
  <c r="AQ181" i="9"/>
  <c r="AQ180" i="9"/>
  <c r="AP195" i="22"/>
  <c r="AP196" i="22"/>
  <c r="J40" i="30"/>
  <c r="W22" i="39"/>
  <c r="H39" i="30"/>
  <c r="W6" i="39"/>
  <c r="U24" i="30"/>
  <c r="W7" i="39"/>
  <c r="G45" i="30"/>
  <c r="F46" i="30"/>
  <c r="L33" i="31"/>
  <c r="T33" i="31"/>
  <c r="AF33" i="31"/>
  <c r="Y33" i="31"/>
  <c r="AD33" i="31"/>
  <c r="X33" i="31"/>
  <c r="AG33" i="31"/>
  <c r="AB33" i="31"/>
  <c r="Z33" i="31"/>
  <c r="AC33" i="31"/>
  <c r="AE33" i="31"/>
  <c r="AA33" i="31"/>
  <c r="Z94" i="8"/>
  <c r="Z95" i="8"/>
  <c r="Z96" i="8"/>
  <c r="Z97" i="8"/>
  <c r="AA34" i="8"/>
  <c r="V44" i="8"/>
  <c r="U119" i="8"/>
  <c r="U120" i="8"/>
  <c r="U121" i="8"/>
  <c r="U122" i="8"/>
  <c r="V42" i="8"/>
  <c r="U114" i="8"/>
  <c r="U115" i="8"/>
  <c r="U116" i="8"/>
  <c r="U117" i="8"/>
  <c r="AD62" i="7"/>
  <c r="AC164" i="7"/>
  <c r="AB166" i="7"/>
  <c r="AB165" i="7"/>
  <c r="U89" i="11"/>
  <c r="U90" i="11"/>
  <c r="U91" i="11"/>
  <c r="U92" i="11"/>
  <c r="V32" i="11"/>
  <c r="W30" i="9"/>
  <c r="V84" i="9"/>
  <c r="V85" i="9"/>
  <c r="V86" i="9"/>
  <c r="V87" i="9"/>
  <c r="U139" i="9"/>
  <c r="U140" i="9"/>
  <c r="U141" i="9"/>
  <c r="U142" i="9"/>
  <c r="V52" i="9"/>
  <c r="W86" i="1"/>
  <c r="W87" i="1"/>
  <c r="W88" i="1"/>
  <c r="W89" i="1"/>
  <c r="X30" i="1"/>
  <c r="U96" i="1"/>
  <c r="U97" i="1"/>
  <c r="U98" i="1"/>
  <c r="U99" i="1"/>
  <c r="V34" i="1"/>
  <c r="U171" i="1"/>
  <c r="U172" i="1"/>
  <c r="U173" i="1"/>
  <c r="U174" i="1"/>
  <c r="V64" i="1"/>
  <c r="T182" i="1"/>
  <c r="T183" i="1"/>
  <c r="T184" i="1"/>
  <c r="U131" i="1"/>
  <c r="U132" i="1"/>
  <c r="U133" i="1"/>
  <c r="U134" i="1"/>
  <c r="V48" i="1"/>
  <c r="U156" i="1"/>
  <c r="U157" i="1"/>
  <c r="U158" i="1"/>
  <c r="U159" i="1"/>
  <c r="V58" i="1"/>
  <c r="X32" i="1"/>
  <c r="W91" i="1"/>
  <c r="W92" i="1"/>
  <c r="W93" i="1"/>
  <c r="W94" i="1"/>
  <c r="U141" i="1"/>
  <c r="U142" i="1"/>
  <c r="U143" i="1"/>
  <c r="U144" i="1"/>
  <c r="V52" i="1"/>
  <c r="V68" i="1"/>
  <c r="U181" i="1"/>
  <c r="U182" i="1"/>
  <c r="U183" i="1"/>
  <c r="U184" i="1"/>
  <c r="U219" i="1"/>
  <c r="U136" i="1"/>
  <c r="U137" i="1"/>
  <c r="U138" i="1"/>
  <c r="U139" i="1"/>
  <c r="V50" i="1"/>
  <c r="K32" i="35"/>
  <c r="L32" i="35"/>
  <c r="AA32" i="35"/>
  <c r="AC32" i="35"/>
  <c r="U33" i="33"/>
  <c r="W33" i="33"/>
  <c r="V33" i="33"/>
  <c r="U33" i="32"/>
  <c r="W33" i="32"/>
  <c r="V33" i="32"/>
  <c r="I46" i="30"/>
  <c r="A27" i="26"/>
  <c r="P26" i="26"/>
  <c r="AJ26" i="26"/>
  <c r="AE26" i="26"/>
  <c r="Z26" i="26"/>
  <c r="K26" i="26"/>
  <c r="U26" i="26"/>
  <c r="F26" i="26"/>
  <c r="Y32" i="35"/>
  <c r="AE32" i="35"/>
  <c r="Z32" i="35"/>
  <c r="W44" i="22"/>
  <c r="V119" i="22"/>
  <c r="V120" i="22"/>
  <c r="V121" i="22"/>
  <c r="V122" i="22"/>
  <c r="S116" i="6"/>
  <c r="S86" i="6"/>
  <c r="V40" i="6"/>
  <c r="U123" i="6"/>
  <c r="U124" i="6"/>
  <c r="U125" i="6"/>
  <c r="U126" i="6"/>
  <c r="U103" i="6"/>
  <c r="U104" i="6"/>
  <c r="U105" i="6"/>
  <c r="U106" i="6"/>
  <c r="V32" i="6"/>
  <c r="V28" i="6"/>
  <c r="U93" i="6"/>
  <c r="U94" i="6"/>
  <c r="U95" i="6"/>
  <c r="U96" i="6"/>
  <c r="U88" i="6"/>
  <c r="U89" i="6"/>
  <c r="U90" i="6"/>
  <c r="U91" i="6"/>
  <c r="V26" i="6"/>
  <c r="V22" i="6"/>
  <c r="U78" i="6"/>
  <c r="U79" i="6"/>
  <c r="U80" i="6"/>
  <c r="U81" i="6"/>
  <c r="V34" i="6"/>
  <c r="U108" i="6"/>
  <c r="U109" i="6"/>
  <c r="U110" i="6"/>
  <c r="U111" i="6"/>
  <c r="U113" i="6"/>
  <c r="U114" i="6"/>
  <c r="U115" i="6"/>
  <c r="U116" i="6"/>
  <c r="V36" i="6"/>
  <c r="V24" i="6"/>
  <c r="U83" i="6"/>
  <c r="U84" i="6"/>
  <c r="U85" i="6"/>
  <c r="U86" i="6"/>
  <c r="U133" i="6"/>
  <c r="U134" i="6"/>
  <c r="U135" i="6"/>
  <c r="U136" i="6"/>
  <c r="V44" i="6"/>
  <c r="V98" i="6"/>
  <c r="V99" i="6"/>
  <c r="V100" i="6"/>
  <c r="V101" i="6"/>
  <c r="W30" i="6"/>
  <c r="W42" i="6"/>
  <c r="V128" i="6"/>
  <c r="V129" i="6"/>
  <c r="V130" i="6"/>
  <c r="V131" i="6"/>
  <c r="Y80" i="1"/>
  <c r="X211" i="1"/>
  <c r="X212" i="1"/>
  <c r="X213" i="1"/>
  <c r="X214" i="1"/>
  <c r="X82" i="1"/>
  <c r="W216" i="1"/>
  <c r="T117" i="1"/>
  <c r="T118" i="1"/>
  <c r="V217" i="1"/>
  <c r="V218" i="1"/>
  <c r="V42" i="1"/>
  <c r="U116" i="1"/>
  <c r="U117" i="1"/>
  <c r="U118" i="1"/>
  <c r="U119" i="1"/>
  <c r="S156" i="6"/>
  <c r="U179" i="1"/>
  <c r="Z38" i="8"/>
  <c r="Y104" i="8"/>
  <c r="Y105" i="8"/>
  <c r="Y106" i="8"/>
  <c r="Y107" i="8"/>
  <c r="V99" i="8"/>
  <c r="V100" i="8"/>
  <c r="V101" i="8"/>
  <c r="V102" i="8"/>
  <c r="W36" i="8"/>
  <c r="W44" i="11"/>
  <c r="V119" i="11"/>
  <c r="U120" i="11"/>
  <c r="U121" i="11"/>
  <c r="U122" i="11"/>
  <c r="U94" i="22"/>
  <c r="U95" i="22"/>
  <c r="U96" i="22"/>
  <c r="U97" i="22"/>
  <c r="V34" i="22"/>
  <c r="T95" i="22"/>
  <c r="T96" i="22"/>
  <c r="T97" i="22"/>
  <c r="W38" i="22"/>
  <c r="V104" i="22"/>
  <c r="V105" i="22"/>
  <c r="V106" i="22"/>
  <c r="V107" i="22"/>
  <c r="U129" i="22"/>
  <c r="U130" i="22"/>
  <c r="U131" i="22"/>
  <c r="U132" i="22"/>
  <c r="V48" i="22"/>
  <c r="Y40" i="7"/>
  <c r="X109" i="7"/>
  <c r="X110" i="7"/>
  <c r="X111" i="7"/>
  <c r="X112" i="7"/>
  <c r="W30" i="7"/>
  <c r="V84" i="7"/>
  <c r="V85" i="7"/>
  <c r="V86" i="7"/>
  <c r="V87" i="7"/>
  <c r="V42" i="7"/>
  <c r="U114" i="7"/>
  <c r="U115" i="7"/>
  <c r="U116" i="7"/>
  <c r="U117" i="7"/>
  <c r="V34" i="7"/>
  <c r="U94" i="7"/>
  <c r="U95" i="7"/>
  <c r="U96" i="7"/>
  <c r="U97" i="7"/>
  <c r="W36" i="7"/>
  <c r="V99" i="7"/>
  <c r="V100" i="7"/>
  <c r="V101" i="7"/>
  <c r="V102" i="7"/>
  <c r="T95" i="7"/>
  <c r="T96" i="7"/>
  <c r="T97" i="7"/>
  <c r="W38" i="7"/>
  <c r="V104" i="7"/>
  <c r="V105" i="7"/>
  <c r="V106" i="7"/>
  <c r="V107" i="7"/>
  <c r="X118" i="6"/>
  <c r="X119" i="6"/>
  <c r="X120" i="6"/>
  <c r="X121" i="6"/>
  <c r="Y38" i="6"/>
  <c r="U124" i="9"/>
  <c r="U125" i="9"/>
  <c r="U126" i="9"/>
  <c r="U127" i="9"/>
  <c r="V46" i="9"/>
  <c r="V34" i="9"/>
  <c r="U94" i="9"/>
  <c r="U95" i="9"/>
  <c r="U96" i="9"/>
  <c r="U97" i="9"/>
  <c r="T125" i="9"/>
  <c r="T126" i="9"/>
  <c r="T127" i="9"/>
  <c r="Z54" i="9"/>
  <c r="Y144" i="9"/>
  <c r="Y145" i="9"/>
  <c r="Y146" i="9"/>
  <c r="Y147" i="9"/>
  <c r="T95" i="9"/>
  <c r="T96" i="9"/>
  <c r="T97" i="9"/>
  <c r="T114" i="9"/>
  <c r="T115" i="9"/>
  <c r="T116" i="9"/>
  <c r="T117" i="9"/>
  <c r="U42" i="9"/>
  <c r="X104" i="9"/>
  <c r="X105" i="9"/>
  <c r="X106" i="9"/>
  <c r="X107" i="9"/>
  <c r="Y38" i="9"/>
  <c r="W50" i="9"/>
  <c r="V134" i="9"/>
  <c r="V135" i="9"/>
  <c r="V136" i="9"/>
  <c r="V137" i="9"/>
  <c r="V48" i="9"/>
  <c r="U129" i="9"/>
  <c r="U130" i="9"/>
  <c r="U131" i="9"/>
  <c r="U132" i="9"/>
  <c r="W89" i="9"/>
  <c r="W90" i="9"/>
  <c r="W91" i="9"/>
  <c r="W92" i="9"/>
  <c r="X32" i="9"/>
  <c r="V44" i="9"/>
  <c r="U119" i="9"/>
  <c r="U120" i="9"/>
  <c r="U121" i="9"/>
  <c r="U122" i="9"/>
  <c r="U149" i="9"/>
  <c r="V56" i="9"/>
  <c r="T187" i="1"/>
  <c r="T188" i="1"/>
  <c r="T189" i="1"/>
  <c r="V202" i="1"/>
  <c r="V203" i="1"/>
  <c r="V204" i="1"/>
  <c r="V70" i="1"/>
  <c r="U186" i="1"/>
  <c r="X76" i="1"/>
  <c r="W201" i="1"/>
  <c r="W202" i="1"/>
  <c r="W203" i="1"/>
  <c r="W204" i="1"/>
  <c r="X66" i="1"/>
  <c r="W176" i="1"/>
  <c r="V74" i="1"/>
  <c r="U196" i="1"/>
  <c r="U197" i="1"/>
  <c r="U198" i="1"/>
  <c r="U199" i="1"/>
  <c r="U192" i="1"/>
  <c r="U193" i="1"/>
  <c r="V161" i="1"/>
  <c r="V162" i="1"/>
  <c r="V163" i="1"/>
  <c r="V164" i="1"/>
  <c r="W60" i="1"/>
  <c r="AB56" i="1"/>
  <c r="AA151" i="1"/>
  <c r="AA152" i="1"/>
  <c r="AA153" i="1"/>
  <c r="AA154" i="1"/>
  <c r="T207" i="1"/>
  <c r="T208" i="1"/>
  <c r="W72" i="1"/>
  <c r="V191" i="1"/>
  <c r="V192" i="1"/>
  <c r="V193" i="1"/>
  <c r="V194" i="1"/>
  <c r="V78" i="1"/>
  <c r="U206" i="1"/>
  <c r="U207" i="1"/>
  <c r="U208" i="1"/>
  <c r="U209" i="1"/>
  <c r="H42" i="37"/>
  <c r="J42" i="37"/>
  <c r="AD25" i="39"/>
  <c r="J43" i="37"/>
  <c r="AD26" i="39"/>
  <c r="Z115" i="11"/>
  <c r="Z116" i="11"/>
  <c r="Z117" i="11"/>
  <c r="AA114" i="11"/>
  <c r="AB42" i="11"/>
  <c r="L31" i="34"/>
  <c r="T31" i="34"/>
  <c r="AC31" i="34"/>
  <c r="AB31" i="34"/>
  <c r="AD31" i="34"/>
  <c r="X31" i="34"/>
  <c r="Y31" i="34"/>
  <c r="AE31" i="34"/>
  <c r="AA31" i="34"/>
  <c r="Z31" i="34"/>
  <c r="Y84" i="11"/>
  <c r="Z30" i="11"/>
  <c r="U105" i="11"/>
  <c r="U106" i="11"/>
  <c r="U107" i="11"/>
  <c r="V100" i="11"/>
  <c r="V101" i="11"/>
  <c r="V102" i="11"/>
  <c r="X85" i="11"/>
  <c r="X86" i="11"/>
  <c r="X87" i="11"/>
  <c r="W99" i="11"/>
  <c r="X36" i="11"/>
  <c r="T107" i="11"/>
  <c r="V104" i="11"/>
  <c r="W38" i="11"/>
  <c r="V134" i="10"/>
  <c r="W50" i="10"/>
  <c r="U135" i="10"/>
  <c r="U136" i="10"/>
  <c r="U137" i="10"/>
  <c r="U100" i="10"/>
  <c r="U101" i="10"/>
  <c r="U102" i="10"/>
  <c r="W36" i="10"/>
  <c r="V99" i="10"/>
  <c r="U154" i="22"/>
  <c r="V58" i="22"/>
  <c r="T155" i="22"/>
  <c r="T156" i="22"/>
  <c r="T157" i="22"/>
  <c r="V144" i="22"/>
  <c r="W54" i="22"/>
  <c r="W40" i="22"/>
  <c r="V109" i="22"/>
  <c r="U100" i="22"/>
  <c r="U101" i="22"/>
  <c r="U102" i="22"/>
  <c r="U145" i="22"/>
  <c r="U146" i="22"/>
  <c r="U147" i="22"/>
  <c r="U110" i="22"/>
  <c r="U111" i="22"/>
  <c r="U112" i="22"/>
  <c r="V99" i="22"/>
  <c r="W36" i="22"/>
  <c r="W150" i="8"/>
  <c r="W151" i="8"/>
  <c r="W152" i="8"/>
  <c r="Y56" i="8"/>
  <c r="X149" i="8"/>
  <c r="V144" i="8"/>
  <c r="W54" i="8"/>
  <c r="U145" i="8"/>
  <c r="U146" i="8"/>
  <c r="U147" i="8"/>
  <c r="T110" i="8"/>
  <c r="T111" i="8"/>
  <c r="T112" i="8"/>
  <c r="U129" i="8"/>
  <c r="V48" i="8"/>
  <c r="T90" i="8"/>
  <c r="T91" i="8"/>
  <c r="T92" i="8"/>
  <c r="T140" i="8"/>
  <c r="T141" i="8"/>
  <c r="T142" i="8"/>
  <c r="V40" i="8"/>
  <c r="U109" i="8"/>
  <c r="T130" i="8"/>
  <c r="T131" i="8"/>
  <c r="T132" i="8"/>
  <c r="U30" i="8"/>
  <c r="T84" i="8"/>
  <c r="U89" i="8"/>
  <c r="V32" i="8"/>
  <c r="V52" i="8"/>
  <c r="U139" i="8"/>
  <c r="S85" i="8"/>
  <c r="S86" i="8"/>
  <c r="S87" i="8"/>
  <c r="T145" i="7"/>
  <c r="T146" i="7"/>
  <c r="T147" i="7"/>
  <c r="U144" i="7"/>
  <c r="V54" i="7"/>
  <c r="V52" i="7"/>
  <c r="U139" i="7"/>
  <c r="T140" i="7"/>
  <c r="T141" i="7"/>
  <c r="T142" i="7"/>
  <c r="T135" i="7"/>
  <c r="T136" i="7"/>
  <c r="T137" i="7"/>
  <c r="U134" i="7"/>
  <c r="V50" i="7"/>
  <c r="AC32" i="7"/>
  <c r="AB89" i="7"/>
  <c r="X46" i="7"/>
  <c r="W124" i="7"/>
  <c r="W120" i="7"/>
  <c r="W121" i="7"/>
  <c r="W122" i="7"/>
  <c r="AA90" i="7"/>
  <c r="AA91" i="7"/>
  <c r="AA92" i="7"/>
  <c r="V125" i="7"/>
  <c r="V126" i="7"/>
  <c r="V127" i="7"/>
  <c r="Y44" i="7"/>
  <c r="X119" i="7"/>
  <c r="T164" i="6"/>
  <c r="T165" i="6"/>
  <c r="T166" i="6"/>
  <c r="V56" i="6"/>
  <c r="U163" i="6"/>
  <c r="T159" i="6"/>
  <c r="T160" i="6"/>
  <c r="T161" i="6"/>
  <c r="U158" i="6"/>
  <c r="V54" i="6"/>
  <c r="T154" i="6"/>
  <c r="T155" i="6"/>
  <c r="T156" i="6"/>
  <c r="U153" i="6"/>
  <c r="V52" i="6"/>
  <c r="U148" i="6"/>
  <c r="V50" i="6"/>
  <c r="T149" i="6"/>
  <c r="T150" i="6"/>
  <c r="T151" i="6"/>
  <c r="V48" i="6"/>
  <c r="U143" i="6"/>
  <c r="T144" i="6"/>
  <c r="T145" i="6"/>
  <c r="T146" i="6"/>
  <c r="W60" i="9"/>
  <c r="V159" i="9"/>
  <c r="U160" i="9"/>
  <c r="U161" i="9"/>
  <c r="U162" i="9"/>
  <c r="U154" i="9"/>
  <c r="V58" i="9"/>
  <c r="T155" i="9"/>
  <c r="T156" i="9"/>
  <c r="T157" i="9"/>
  <c r="W36" i="9"/>
  <c r="V99" i="9"/>
  <c r="U110" i="9"/>
  <c r="U111" i="9"/>
  <c r="U112" i="9"/>
  <c r="U100" i="9"/>
  <c r="U101" i="9"/>
  <c r="U102" i="9"/>
  <c r="V109" i="9"/>
  <c r="W40" i="9"/>
  <c r="U166" i="1"/>
  <c r="V62" i="1"/>
  <c r="T167" i="1"/>
  <c r="T168" i="1"/>
  <c r="T169" i="1"/>
  <c r="U146" i="1"/>
  <c r="V54" i="1"/>
  <c r="U126" i="1"/>
  <c r="V46" i="1"/>
  <c r="T147" i="1"/>
  <c r="T148" i="1"/>
  <c r="T149" i="1"/>
  <c r="T127" i="1"/>
  <c r="T128" i="1"/>
  <c r="T129" i="1"/>
  <c r="X44" i="1"/>
  <c r="W121" i="1"/>
  <c r="V122" i="1"/>
  <c r="V123" i="1"/>
  <c r="V124" i="1"/>
  <c r="V112" i="1"/>
  <c r="V113" i="1"/>
  <c r="V114" i="1"/>
  <c r="T107" i="1"/>
  <c r="T108" i="1"/>
  <c r="T109" i="1"/>
  <c r="V102" i="1"/>
  <c r="V103" i="1"/>
  <c r="V104" i="1"/>
  <c r="V38" i="1"/>
  <c r="U106" i="1"/>
  <c r="X40" i="1"/>
  <c r="W111" i="1"/>
  <c r="W101" i="1"/>
  <c r="X36" i="1"/>
  <c r="W33" i="37"/>
  <c r="V33" i="37"/>
  <c r="K33" i="37"/>
  <c r="W48" i="7"/>
  <c r="V129" i="7"/>
  <c r="V130" i="7"/>
  <c r="V131" i="7"/>
  <c r="V132" i="7"/>
  <c r="U33" i="36"/>
  <c r="T32" i="35"/>
  <c r="BB195" i="9"/>
  <c r="BB196" i="9"/>
  <c r="BW24" i="2"/>
  <c r="M31" i="41"/>
  <c r="BX145" i="2"/>
  <c r="BC194" i="9"/>
  <c r="BD74" i="9"/>
  <c r="P27" i="26"/>
  <c r="AO27" i="26"/>
  <c r="BI59" i="11"/>
  <c r="BJ229" i="11"/>
  <c r="BA197" i="9"/>
  <c r="M29" i="36"/>
  <c r="N29" i="36"/>
  <c r="O29" i="36"/>
  <c r="P29" i="36"/>
  <c r="Q29" i="36"/>
  <c r="R29" i="36"/>
  <c r="CF22" i="2"/>
  <c r="H42" i="41"/>
  <c r="J43" i="41"/>
  <c r="T27" i="41"/>
  <c r="Y27" i="41"/>
  <c r="AA27" i="41"/>
  <c r="X27" i="41"/>
  <c r="Z27" i="41"/>
  <c r="U152" i="11"/>
  <c r="T202" i="10"/>
  <c r="AF167" i="10"/>
  <c r="T202" i="22"/>
  <c r="AV157" i="10"/>
  <c r="AU177" i="9"/>
  <c r="AQ212" i="22"/>
  <c r="AM177" i="11"/>
  <c r="AB167" i="22"/>
  <c r="Y207" i="11"/>
  <c r="T187" i="8"/>
  <c r="AS172" i="22"/>
  <c r="AD207" i="22"/>
  <c r="AA187" i="22"/>
  <c r="Y162" i="7"/>
  <c r="T137" i="11"/>
  <c r="AG157" i="8"/>
  <c r="AN147" i="10"/>
  <c r="AT212" i="10"/>
  <c r="AU172" i="10"/>
  <c r="T177" i="7"/>
  <c r="AI187" i="10"/>
  <c r="AL264" i="40"/>
  <c r="AM100" i="40"/>
  <c r="AL269" i="40"/>
  <c r="AM102" i="40"/>
  <c r="AL289" i="40"/>
  <c r="AL290" i="40"/>
  <c r="AL291" i="40"/>
  <c r="AL292" i="40"/>
  <c r="AM110" i="40"/>
  <c r="AQ280" i="40"/>
  <c r="AQ281" i="40"/>
  <c r="AQ282" i="40"/>
  <c r="AK290" i="40"/>
  <c r="AK291" i="40"/>
  <c r="AK292" i="40"/>
  <c r="AR255" i="40"/>
  <c r="AR256" i="40"/>
  <c r="AR257" i="40"/>
  <c r="AL249" i="40"/>
  <c r="AM94" i="40"/>
  <c r="AL284" i="40"/>
  <c r="AM108" i="40"/>
  <c r="AL244" i="40"/>
  <c r="AM92" i="40"/>
  <c r="AS96" i="40"/>
  <c r="AS254" i="40"/>
  <c r="AS255" i="40"/>
  <c r="AS256" i="40"/>
  <c r="AS257" i="40"/>
  <c r="AS104" i="40"/>
  <c r="AS274" i="40"/>
  <c r="AS275" i="40"/>
  <c r="AS276" i="40"/>
  <c r="AS277" i="40"/>
  <c r="AT98" i="40"/>
  <c r="AT259" i="40"/>
  <c r="AT260" i="40"/>
  <c r="AT261" i="40"/>
  <c r="AT262" i="40"/>
  <c r="AR106" i="40"/>
  <c r="AR279" i="40"/>
  <c r="AO90" i="40"/>
  <c r="AM86" i="40"/>
  <c r="AL229" i="40"/>
  <c r="AO72" i="40"/>
  <c r="AN194" i="40"/>
  <c r="AK155" i="40"/>
  <c r="AK156" i="40"/>
  <c r="AK157" i="40"/>
  <c r="AM185" i="40"/>
  <c r="AM186" i="40"/>
  <c r="AM187" i="40"/>
  <c r="AM62" i="40"/>
  <c r="AL169" i="40"/>
  <c r="AK130" i="40"/>
  <c r="AK131" i="40"/>
  <c r="AK132" i="40"/>
  <c r="AK135" i="40"/>
  <c r="AK136" i="40"/>
  <c r="AK137" i="40"/>
  <c r="AL239" i="40"/>
  <c r="AL177" i="40"/>
  <c r="AL180" i="40"/>
  <c r="AL181" i="40"/>
  <c r="AK145" i="40"/>
  <c r="AK146" i="40"/>
  <c r="AK147" i="40"/>
  <c r="AK160" i="40"/>
  <c r="AK161" i="40"/>
  <c r="AK162" i="40"/>
  <c r="AL115" i="40"/>
  <c r="AL116" i="40"/>
  <c r="AL117" i="40"/>
  <c r="AK227" i="40"/>
  <c r="AL235" i="40"/>
  <c r="AL236" i="40"/>
  <c r="AO68" i="40"/>
  <c r="AN184" i="40"/>
  <c r="AL165" i="40"/>
  <c r="AL166" i="40"/>
  <c r="AM175" i="40"/>
  <c r="AM176" i="40"/>
  <c r="AM177" i="40"/>
  <c r="AK142" i="40"/>
  <c r="AM54" i="40"/>
  <c r="AL149" i="40"/>
  <c r="AN84" i="40"/>
  <c r="AM224" i="40"/>
  <c r="AL215" i="40"/>
  <c r="AL216" i="40"/>
  <c r="AM48" i="40"/>
  <c r="AL134" i="40"/>
  <c r="AL140" i="40"/>
  <c r="AL141" i="40"/>
  <c r="AL142" i="40"/>
  <c r="AN66" i="40"/>
  <c r="AM179" i="40"/>
  <c r="AK120" i="40"/>
  <c r="AK121" i="40"/>
  <c r="AK122" i="40"/>
  <c r="AM52" i="40"/>
  <c r="AL144" i="40"/>
  <c r="AL205" i="40"/>
  <c r="AL206" i="40"/>
  <c r="AL207" i="40"/>
  <c r="AM58" i="40"/>
  <c r="AL159" i="40"/>
  <c r="AK220" i="40"/>
  <c r="AK221" i="40"/>
  <c r="AK222" i="40"/>
  <c r="AM56" i="40"/>
  <c r="AL154" i="40"/>
  <c r="AK210" i="40"/>
  <c r="AK211" i="40"/>
  <c r="AO64" i="40"/>
  <c r="AN174" i="40"/>
  <c r="AK125" i="40"/>
  <c r="AK126" i="40"/>
  <c r="AK127" i="40"/>
  <c r="AM46" i="40"/>
  <c r="AL129" i="40"/>
  <c r="AK200" i="40"/>
  <c r="AK201" i="40"/>
  <c r="AK202" i="40"/>
  <c r="AM70" i="40"/>
  <c r="AL189" i="40"/>
  <c r="AM42" i="40"/>
  <c r="AL119" i="40"/>
  <c r="AN76" i="40"/>
  <c r="AM204" i="40"/>
  <c r="AK230" i="40"/>
  <c r="AK231" i="40"/>
  <c r="AJ212" i="40"/>
  <c r="AK182" i="40"/>
  <c r="AM195" i="40"/>
  <c r="AM196" i="40"/>
  <c r="AK190" i="40"/>
  <c r="AK191" i="40"/>
  <c r="AN50" i="40"/>
  <c r="AM139" i="40"/>
  <c r="AJ222" i="40"/>
  <c r="AM82" i="40"/>
  <c r="AL219" i="40"/>
  <c r="AN40" i="40"/>
  <c r="AM114" i="40"/>
  <c r="AN88" i="40"/>
  <c r="AM234" i="40"/>
  <c r="AJ232" i="40"/>
  <c r="AN60" i="40"/>
  <c r="AM164" i="40"/>
  <c r="AM78" i="40"/>
  <c r="AL209" i="40"/>
  <c r="AJ192" i="40"/>
  <c r="AK170" i="40"/>
  <c r="AK171" i="40"/>
  <c r="AK172" i="40"/>
  <c r="AM44" i="40"/>
  <c r="AL124" i="40"/>
  <c r="AK150" i="40"/>
  <c r="AK151" i="40"/>
  <c r="AK152" i="40"/>
  <c r="AL225" i="40"/>
  <c r="AL226" i="40"/>
  <c r="AL227" i="40"/>
  <c r="AM74" i="40"/>
  <c r="AL199" i="40"/>
  <c r="AN80" i="40"/>
  <c r="AM214" i="40"/>
  <c r="AK240" i="40"/>
  <c r="AK241" i="40"/>
  <c r="AK242" i="40"/>
  <c r="AL187" i="40"/>
  <c r="T182" i="10"/>
  <c r="AC207" i="9"/>
  <c r="W157" i="7"/>
  <c r="U160" i="10"/>
  <c r="U161" i="10"/>
  <c r="BV230" i="11"/>
  <c r="BU61" i="11"/>
  <c r="U202" i="7"/>
  <c r="W68" i="10"/>
  <c r="V179" i="10"/>
  <c r="AU210" i="10"/>
  <c r="AU211" i="10"/>
  <c r="AW169" i="10"/>
  <c r="AX64" i="10"/>
  <c r="X155" i="7"/>
  <c r="X156" i="7"/>
  <c r="AC172" i="9"/>
  <c r="AD78" i="7"/>
  <c r="AC204" i="7"/>
  <c r="AC166" i="22"/>
  <c r="AC165" i="22"/>
  <c r="W78" i="8"/>
  <c r="V204" i="8"/>
  <c r="AB186" i="22"/>
  <c r="AB185" i="22"/>
  <c r="AD206" i="9"/>
  <c r="AD205" i="9"/>
  <c r="W66" i="7"/>
  <c r="V174" i="7"/>
  <c r="Z167" i="8"/>
  <c r="AA207" i="7"/>
  <c r="V199" i="22"/>
  <c r="W76" i="22"/>
  <c r="V149" i="22"/>
  <c r="V150" i="22"/>
  <c r="V151" i="22"/>
  <c r="V152" i="22"/>
  <c r="W56" i="22"/>
  <c r="AW155" i="10"/>
  <c r="AW156" i="10"/>
  <c r="AV175" i="9"/>
  <c r="AV176" i="9"/>
  <c r="X56" i="11"/>
  <c r="W149" i="11"/>
  <c r="AE190" i="22"/>
  <c r="AE191" i="22"/>
  <c r="AF204" i="22"/>
  <c r="AG78" i="22"/>
  <c r="AP197" i="10"/>
  <c r="Z160" i="7"/>
  <c r="Z161" i="7"/>
  <c r="W60" i="10"/>
  <c r="V159" i="10"/>
  <c r="AS174" i="22"/>
  <c r="AT66" i="22"/>
  <c r="U181" i="10"/>
  <c r="U180" i="10"/>
  <c r="AO145" i="10"/>
  <c r="AO146" i="10"/>
  <c r="AL70" i="10"/>
  <c r="AK184" i="10"/>
  <c r="U200" i="10"/>
  <c r="U201" i="10"/>
  <c r="U166" i="9"/>
  <c r="U165" i="9"/>
  <c r="AE169" i="9"/>
  <c r="AF64" i="9"/>
  <c r="U200" i="22"/>
  <c r="U201" i="22"/>
  <c r="AK195" i="11"/>
  <c r="AK196" i="11"/>
  <c r="AW174" i="9"/>
  <c r="AX66" i="9"/>
  <c r="AG72" i="22"/>
  <c r="AF189" i="22"/>
  <c r="AQ177" i="22"/>
  <c r="AE206" i="22"/>
  <c r="AE205" i="22"/>
  <c r="AB60" i="7"/>
  <c r="AA159" i="7"/>
  <c r="U135" i="11"/>
  <c r="U136" i="11"/>
  <c r="AR175" i="22"/>
  <c r="AR176" i="22"/>
  <c r="U200" i="11"/>
  <c r="U201" i="11"/>
  <c r="Y125" i="11"/>
  <c r="Y126" i="11"/>
  <c r="AH155" i="8"/>
  <c r="AH156" i="8"/>
  <c r="AP144" i="10"/>
  <c r="AQ54" i="10"/>
  <c r="BR81" i="8"/>
  <c r="BS240" i="8"/>
  <c r="AA165" i="8"/>
  <c r="AA166" i="8"/>
  <c r="AJ186" i="10"/>
  <c r="AJ185" i="10"/>
  <c r="W46" i="6"/>
  <c r="V138" i="6"/>
  <c r="V139" i="6"/>
  <c r="V140" i="6"/>
  <c r="V141" i="6"/>
  <c r="W76" i="10"/>
  <c r="V199" i="10"/>
  <c r="AI62" i="10"/>
  <c r="AH164" i="10"/>
  <c r="V164" i="9"/>
  <c r="W62" i="9"/>
  <c r="AD170" i="9"/>
  <c r="AD171" i="9"/>
  <c r="Z206" i="11"/>
  <c r="Z205" i="11"/>
  <c r="U186" i="8"/>
  <c r="U185" i="8"/>
  <c r="AM74" i="11"/>
  <c r="AL194" i="11"/>
  <c r="AE177" i="10"/>
  <c r="T162" i="10"/>
  <c r="V200" i="7"/>
  <c r="V201" i="7"/>
  <c r="AJ197" i="11"/>
  <c r="AH66" i="10"/>
  <c r="AG174" i="10"/>
  <c r="AY142" i="11"/>
  <c r="W50" i="11"/>
  <c r="V134" i="11"/>
  <c r="AD192" i="22"/>
  <c r="W76" i="11"/>
  <c r="V199" i="11"/>
  <c r="AA46" i="11"/>
  <c r="Z124" i="11"/>
  <c r="AJ58" i="8"/>
  <c r="AI154" i="8"/>
  <c r="T167" i="9"/>
  <c r="AV209" i="10"/>
  <c r="AW80" i="10"/>
  <c r="AV170" i="10"/>
  <c r="AV171" i="10"/>
  <c r="Y154" i="7"/>
  <c r="Z58" i="7"/>
  <c r="BO55" i="11"/>
  <c r="BP227" i="11"/>
  <c r="AC62" i="8"/>
  <c r="AB164" i="8"/>
  <c r="AB206" i="7"/>
  <c r="AB205" i="7"/>
  <c r="AD164" i="22"/>
  <c r="AE62" i="22"/>
  <c r="T202" i="11"/>
  <c r="X127" i="11"/>
  <c r="AG166" i="10"/>
  <c r="AG165" i="10"/>
  <c r="U205" i="8"/>
  <c r="U206" i="8"/>
  <c r="AD70" i="22"/>
  <c r="AC184" i="22"/>
  <c r="AF78" i="9"/>
  <c r="AE204" i="9"/>
  <c r="U175" i="7"/>
  <c r="U176" i="7"/>
  <c r="AB78" i="11"/>
  <c r="AA204" i="11"/>
  <c r="W70" i="8"/>
  <c r="V184" i="8"/>
  <c r="AY58" i="10"/>
  <c r="AX154" i="10"/>
  <c r="T207" i="8"/>
  <c r="V151" i="11"/>
  <c r="V150" i="11"/>
  <c r="X76" i="7"/>
  <c r="W199" i="7"/>
  <c r="AF176" i="10"/>
  <c r="AF175" i="10"/>
  <c r="S28" i="37"/>
  <c r="AK11" i="26"/>
  <c r="Q29" i="37"/>
  <c r="R29" i="37"/>
  <c r="AF11" i="26"/>
  <c r="S28" i="36"/>
  <c r="AA11" i="26"/>
  <c r="S28" i="35"/>
  <c r="Q29" i="35"/>
  <c r="R29" i="35"/>
  <c r="V11" i="26"/>
  <c r="S28" i="34"/>
  <c r="Q29" i="34"/>
  <c r="R29" i="34"/>
  <c r="Q11" i="26"/>
  <c r="S28" i="33"/>
  <c r="Q29" i="33"/>
  <c r="R29" i="33"/>
  <c r="Q12" i="26"/>
  <c r="L11" i="26"/>
  <c r="S28" i="32"/>
  <c r="Q29" i="32"/>
  <c r="R29" i="32"/>
  <c r="G11" i="26"/>
  <c r="S28" i="31"/>
  <c r="Q29" i="31"/>
  <c r="R29" i="31"/>
  <c r="U34" i="31"/>
  <c r="W34" i="31"/>
  <c r="V34" i="31"/>
  <c r="AG34" i="31"/>
  <c r="Y40" i="11"/>
  <c r="X109" i="11"/>
  <c r="X110" i="11"/>
  <c r="X111" i="11"/>
  <c r="X112" i="11"/>
  <c r="X44" i="10"/>
  <c r="W119" i="10"/>
  <c r="W120" i="10"/>
  <c r="W121" i="10"/>
  <c r="W122" i="10"/>
  <c r="V89" i="10"/>
  <c r="V90" i="10"/>
  <c r="V91" i="10"/>
  <c r="V92" i="10"/>
  <c r="W32" i="10"/>
  <c r="W38" i="10"/>
  <c r="V104" i="10"/>
  <c r="V105" i="10"/>
  <c r="V106" i="10"/>
  <c r="V107" i="10"/>
  <c r="W42" i="10"/>
  <c r="V114" i="10"/>
  <c r="V115" i="10"/>
  <c r="V116" i="10"/>
  <c r="V117" i="10"/>
  <c r="W48" i="10"/>
  <c r="V129" i="10"/>
  <c r="V130" i="10"/>
  <c r="V131" i="10"/>
  <c r="V132" i="10"/>
  <c r="V124" i="10"/>
  <c r="V125" i="10"/>
  <c r="V126" i="10"/>
  <c r="V127" i="10"/>
  <c r="W46" i="10"/>
  <c r="W34" i="10"/>
  <c r="V94" i="10"/>
  <c r="V95" i="10"/>
  <c r="V96" i="10"/>
  <c r="V97" i="10"/>
  <c r="V109" i="10"/>
  <c r="V110" i="10"/>
  <c r="V111" i="10"/>
  <c r="V112" i="10"/>
  <c r="W40" i="10"/>
  <c r="W30" i="10"/>
  <c r="V84" i="10"/>
  <c r="V85" i="10"/>
  <c r="V86" i="10"/>
  <c r="V87" i="10"/>
  <c r="V139" i="10"/>
  <c r="V140" i="10"/>
  <c r="V141" i="10"/>
  <c r="V142" i="10"/>
  <c r="W52" i="10"/>
  <c r="X52" i="22"/>
  <c r="W139" i="22"/>
  <c r="W140" i="22"/>
  <c r="W141" i="22"/>
  <c r="W142" i="22"/>
  <c r="X46" i="22"/>
  <c r="W124" i="22"/>
  <c r="W125" i="22"/>
  <c r="W126" i="22"/>
  <c r="W127" i="22"/>
  <c r="V134" i="22"/>
  <c r="V135" i="22"/>
  <c r="V136" i="22"/>
  <c r="V137" i="22"/>
  <c r="W50" i="22"/>
  <c r="W42" i="22"/>
  <c r="V114" i="22"/>
  <c r="V115" i="22"/>
  <c r="V116" i="22"/>
  <c r="V117" i="22"/>
  <c r="W134" i="8"/>
  <c r="W135" i="8"/>
  <c r="W136" i="8"/>
  <c r="W137" i="8"/>
  <c r="X50" i="8"/>
  <c r="W46" i="8"/>
  <c r="V124" i="8"/>
  <c r="V125" i="8"/>
  <c r="V126" i="8"/>
  <c r="V127" i="8"/>
  <c r="AZ192" i="10"/>
  <c r="AL182" i="8"/>
  <c r="AP197" i="8"/>
  <c r="AK192" i="11"/>
  <c r="BD87" i="22"/>
  <c r="AS152" i="10"/>
  <c r="AO197" i="7"/>
  <c r="AJ162" i="8"/>
  <c r="K33" i="33"/>
  <c r="T33" i="33"/>
  <c r="AB167" i="7"/>
  <c r="AP197" i="22"/>
  <c r="AQ80" i="11"/>
  <c r="AP209" i="11"/>
  <c r="AQ66" i="8"/>
  <c r="AP174" i="8"/>
  <c r="AU132" i="11"/>
  <c r="AV182" i="7"/>
  <c r="BV63" i="11"/>
  <c r="BW231" i="11"/>
  <c r="AS74" i="8"/>
  <c r="AR194" i="8"/>
  <c r="AO182" i="22"/>
  <c r="T202" i="9"/>
  <c r="AN177" i="8"/>
  <c r="AM200" i="8"/>
  <c r="AM201" i="8"/>
  <c r="CB182" i="11"/>
  <c r="CB234" i="11"/>
  <c r="AQ195" i="10"/>
  <c r="AQ196" i="10"/>
  <c r="AR68" i="22"/>
  <c r="AQ179" i="22"/>
  <c r="AR74" i="7"/>
  <c r="AQ194" i="7"/>
  <c r="AU80" i="7"/>
  <c r="AT209" i="7"/>
  <c r="L84" i="37"/>
  <c r="M83" i="37"/>
  <c r="BC72" i="10"/>
  <c r="BB189" i="10"/>
  <c r="BH73" i="7"/>
  <c r="BI236" i="7"/>
  <c r="V89" i="22"/>
  <c r="V90" i="22"/>
  <c r="V91" i="22"/>
  <c r="V92" i="22"/>
  <c r="W32" i="22"/>
  <c r="BF172" i="7"/>
  <c r="BN23" i="2"/>
  <c r="M30" i="37"/>
  <c r="N30" i="37"/>
  <c r="O30" i="37"/>
  <c r="P30" i="37"/>
  <c r="BO144" i="2"/>
  <c r="U23" i="2"/>
  <c r="M30" i="32"/>
  <c r="N30" i="32"/>
  <c r="O30" i="32"/>
  <c r="P30" i="32"/>
  <c r="V144" i="2"/>
  <c r="AR180" i="9"/>
  <c r="AR181" i="9"/>
  <c r="AR212" i="7"/>
  <c r="AY68" i="7"/>
  <c r="AX179" i="7"/>
  <c r="AL191" i="11"/>
  <c r="AL190" i="11"/>
  <c r="AK160" i="8"/>
  <c r="AK161" i="8"/>
  <c r="T192" i="9"/>
  <c r="AT151" i="10"/>
  <c r="AT150" i="10"/>
  <c r="C145" i="2"/>
  <c r="AV145" i="2"/>
  <c r="L145" i="2"/>
  <c r="BN145" i="2"/>
  <c r="AM145" i="2"/>
  <c r="AD145" i="2"/>
  <c r="U145" i="2"/>
  <c r="BE145" i="2"/>
  <c r="AN176" i="11"/>
  <c r="AN175" i="11"/>
  <c r="AS206" i="10"/>
  <c r="AS205" i="10"/>
  <c r="BJ65" i="8"/>
  <c r="BK232" i="8"/>
  <c r="AS187" i="9"/>
  <c r="AN212" i="11"/>
  <c r="Y192" i="8"/>
  <c r="AO76" i="8"/>
  <c r="AN199" i="8"/>
  <c r="CB167" i="11"/>
  <c r="CB231" i="11"/>
  <c r="BR65" i="11"/>
  <c r="BS232" i="11"/>
  <c r="AP180" i="22"/>
  <c r="AP181" i="22"/>
  <c r="AR211" i="22"/>
  <c r="AR210" i="22"/>
  <c r="AN162" i="22"/>
  <c r="AL202" i="8"/>
  <c r="W72" i="9"/>
  <c r="V189" i="9"/>
  <c r="AV23" i="2"/>
  <c r="M30" i="35"/>
  <c r="N30" i="35"/>
  <c r="O30" i="35"/>
  <c r="P30" i="35"/>
  <c r="AW144" i="2"/>
  <c r="BE23" i="2"/>
  <c r="BF144" i="2"/>
  <c r="AQ195" i="22"/>
  <c r="AQ196" i="22"/>
  <c r="AO187" i="7"/>
  <c r="AN72" i="11"/>
  <c r="AM189" i="11"/>
  <c r="AU149" i="10"/>
  <c r="AV56" i="10"/>
  <c r="AN179" i="8"/>
  <c r="AO68" i="8"/>
  <c r="W76" i="9"/>
  <c r="V199" i="9"/>
  <c r="AP66" i="11"/>
  <c r="AO174" i="11"/>
  <c r="AT185" i="9"/>
  <c r="AT186" i="9"/>
  <c r="AT204" i="10"/>
  <c r="AU78" i="10"/>
  <c r="AR70" i="7"/>
  <c r="AQ184" i="7"/>
  <c r="BE86" i="22"/>
  <c r="BE85" i="22"/>
  <c r="Z191" i="8"/>
  <c r="Z190" i="8"/>
  <c r="BW69" i="11"/>
  <c r="BX234" i="11"/>
  <c r="AW209" i="9"/>
  <c r="AX80" i="9"/>
  <c r="AT80" i="22"/>
  <c r="AS209" i="22"/>
  <c r="U191" i="9"/>
  <c r="U190" i="9"/>
  <c r="L23" i="2"/>
  <c r="M30" i="31"/>
  <c r="N30" i="31"/>
  <c r="O30" i="31"/>
  <c r="P30" i="31"/>
  <c r="M144" i="2"/>
  <c r="C23" i="2"/>
  <c r="M31" i="30"/>
  <c r="D144" i="2"/>
  <c r="AR194" i="22"/>
  <c r="AS74" i="22"/>
  <c r="AO161" i="22"/>
  <c r="AO160" i="22"/>
  <c r="AV131" i="11"/>
  <c r="AV130" i="11"/>
  <c r="AZ140" i="11"/>
  <c r="AZ141" i="11"/>
  <c r="AT170" i="22"/>
  <c r="AT171" i="22"/>
  <c r="BG170" i="7"/>
  <c r="BG171" i="7"/>
  <c r="AM181" i="8"/>
  <c r="AM180" i="8"/>
  <c r="AQ182" i="9"/>
  <c r="U201" i="9"/>
  <c r="U200" i="9"/>
  <c r="AV70" i="9"/>
  <c r="AU184" i="9"/>
  <c r="AO210" i="11"/>
  <c r="AO211" i="11"/>
  <c r="AO175" i="8"/>
  <c r="AO176" i="8"/>
  <c r="AP185" i="7"/>
  <c r="AP186" i="7"/>
  <c r="AU212" i="9"/>
  <c r="BG30" i="22"/>
  <c r="BF84" i="22"/>
  <c r="AB72" i="8"/>
  <c r="AA189" i="8"/>
  <c r="AQ196" i="8"/>
  <c r="AQ195" i="8"/>
  <c r="AV210" i="9"/>
  <c r="AV211" i="9"/>
  <c r="AR194" i="10"/>
  <c r="AS74" i="10"/>
  <c r="AP195" i="7"/>
  <c r="AP196" i="7"/>
  <c r="AS210" i="7"/>
  <c r="AS211" i="7"/>
  <c r="BA190" i="10"/>
  <c r="BA191" i="10"/>
  <c r="AD23" i="2"/>
  <c r="M30" i="33"/>
  <c r="N30" i="33"/>
  <c r="O30" i="33"/>
  <c r="P30" i="33"/>
  <c r="AE144" i="2"/>
  <c r="AM23" i="2"/>
  <c r="M30" i="34"/>
  <c r="N30" i="34"/>
  <c r="O30" i="34"/>
  <c r="P30" i="34"/>
  <c r="AN144" i="2"/>
  <c r="AS179" i="9"/>
  <c r="AT68" i="9"/>
  <c r="AP159" i="22"/>
  <c r="AQ60" i="22"/>
  <c r="AR207" i="10"/>
  <c r="AX48" i="11"/>
  <c r="AW129" i="11"/>
  <c r="AW180" i="7"/>
  <c r="AW181" i="7"/>
  <c r="BB52" i="11"/>
  <c r="BA139" i="11"/>
  <c r="AV64" i="22"/>
  <c r="AU169" i="22"/>
  <c r="AM60" i="8"/>
  <c r="AL159" i="8"/>
  <c r="BI64" i="7"/>
  <c r="BH169" i="7"/>
  <c r="A146" i="2"/>
  <c r="BW146" i="2"/>
  <c r="A26" i="2"/>
  <c r="W24" i="30"/>
  <c r="V24" i="30"/>
  <c r="U25" i="30"/>
  <c r="W25" i="30"/>
  <c r="V25" i="30"/>
  <c r="X25" i="30"/>
  <c r="U26" i="30"/>
  <c r="W26" i="30"/>
  <c r="V26" i="30"/>
  <c r="K24" i="30"/>
  <c r="J39" i="30"/>
  <c r="W21" i="39"/>
  <c r="H38" i="30"/>
  <c r="G46" i="30"/>
  <c r="F47" i="30"/>
  <c r="U33" i="35"/>
  <c r="W33" i="35"/>
  <c r="V33" i="35"/>
  <c r="AE33" i="35"/>
  <c r="AG33" i="33"/>
  <c r="AA33" i="33"/>
  <c r="Z33" i="33"/>
  <c r="Y33" i="33"/>
  <c r="K33" i="32"/>
  <c r="L33" i="32"/>
  <c r="AH34" i="31"/>
  <c r="X34" i="31"/>
  <c r="AB34" i="31"/>
  <c r="AA94" i="8"/>
  <c r="AA95" i="8"/>
  <c r="AA96" i="8"/>
  <c r="AA97" i="8"/>
  <c r="AB34" i="8"/>
  <c r="V114" i="8"/>
  <c r="V115" i="8"/>
  <c r="V116" i="8"/>
  <c r="V117" i="8"/>
  <c r="W42" i="8"/>
  <c r="V119" i="8"/>
  <c r="V120" i="8"/>
  <c r="V121" i="8"/>
  <c r="V122" i="8"/>
  <c r="W44" i="8"/>
  <c r="AC166" i="7"/>
  <c r="AC165" i="7"/>
  <c r="W32" i="11"/>
  <c r="V89" i="11"/>
  <c r="V90" i="11"/>
  <c r="V91" i="11"/>
  <c r="V92" i="11"/>
  <c r="AE62" i="7"/>
  <c r="AD164" i="7"/>
  <c r="V139" i="9"/>
  <c r="V140" i="9"/>
  <c r="V141" i="9"/>
  <c r="V142" i="9"/>
  <c r="W52" i="9"/>
  <c r="X30" i="9"/>
  <c r="W84" i="9"/>
  <c r="W85" i="9"/>
  <c r="W86" i="9"/>
  <c r="W87" i="9"/>
  <c r="Y30" i="1"/>
  <c r="X86" i="1"/>
  <c r="X87" i="1"/>
  <c r="X88" i="1"/>
  <c r="X89" i="1"/>
  <c r="W68" i="1"/>
  <c r="V181" i="1"/>
  <c r="V182" i="1"/>
  <c r="V183" i="1"/>
  <c r="V184" i="1"/>
  <c r="X91" i="1"/>
  <c r="X92" i="1"/>
  <c r="X93" i="1"/>
  <c r="X94" i="1"/>
  <c r="Y32" i="1"/>
  <c r="V141" i="1"/>
  <c r="V142" i="1"/>
  <c r="V143" i="1"/>
  <c r="V144" i="1"/>
  <c r="W52" i="1"/>
  <c r="V156" i="1"/>
  <c r="V157" i="1"/>
  <c r="V158" i="1"/>
  <c r="V159" i="1"/>
  <c r="W58" i="1"/>
  <c r="W48" i="1"/>
  <c r="V131" i="1"/>
  <c r="V132" i="1"/>
  <c r="V133" i="1"/>
  <c r="V134" i="1"/>
  <c r="V171" i="1"/>
  <c r="V172" i="1"/>
  <c r="V173" i="1"/>
  <c r="V174" i="1"/>
  <c r="W64" i="1"/>
  <c r="W34" i="1"/>
  <c r="V96" i="1"/>
  <c r="V97" i="1"/>
  <c r="V98" i="1"/>
  <c r="V99" i="1"/>
  <c r="V136" i="1"/>
  <c r="V137" i="1"/>
  <c r="V138" i="1"/>
  <c r="V139" i="1"/>
  <c r="W50" i="1"/>
  <c r="AC33" i="33"/>
  <c r="AE33" i="33"/>
  <c r="AD33" i="33"/>
  <c r="AF33" i="33"/>
  <c r="X33" i="33"/>
  <c r="AB33" i="33"/>
  <c r="AE33" i="32"/>
  <c r="Y33" i="32"/>
  <c r="Z33" i="32"/>
  <c r="X33" i="32"/>
  <c r="AG33" i="32"/>
  <c r="AD33" i="32"/>
  <c r="AA33" i="32"/>
  <c r="AB33" i="32"/>
  <c r="AC33" i="32"/>
  <c r="AF33" i="32"/>
  <c r="AJ27" i="26"/>
  <c r="F27" i="26"/>
  <c r="Z27" i="26"/>
  <c r="K27" i="26"/>
  <c r="U27" i="26"/>
  <c r="AE27" i="26"/>
  <c r="I47" i="30"/>
  <c r="A28" i="26"/>
  <c r="AO28" i="26"/>
  <c r="X44" i="22"/>
  <c r="W119" i="22"/>
  <c r="W120" i="22"/>
  <c r="W121" i="22"/>
  <c r="W122" i="22"/>
  <c r="X30" i="6"/>
  <c r="W98" i="6"/>
  <c r="W99" i="6"/>
  <c r="W100" i="6"/>
  <c r="W101" i="6"/>
  <c r="W44" i="6"/>
  <c r="V133" i="6"/>
  <c r="V134" i="6"/>
  <c r="V135" i="6"/>
  <c r="V136" i="6"/>
  <c r="W36" i="6"/>
  <c r="V113" i="6"/>
  <c r="V114" i="6"/>
  <c r="V115" i="6"/>
  <c r="V116" i="6"/>
  <c r="W26" i="6"/>
  <c r="V88" i="6"/>
  <c r="V89" i="6"/>
  <c r="V90" i="6"/>
  <c r="V91" i="6"/>
  <c r="W32" i="6"/>
  <c r="V103" i="6"/>
  <c r="V104" i="6"/>
  <c r="V105" i="6"/>
  <c r="V106" i="6"/>
  <c r="W128" i="6"/>
  <c r="W129" i="6"/>
  <c r="W130" i="6"/>
  <c r="W131" i="6"/>
  <c r="X42" i="6"/>
  <c r="W24" i="6"/>
  <c r="V83" i="6"/>
  <c r="V84" i="6"/>
  <c r="V85" i="6"/>
  <c r="V86" i="6"/>
  <c r="V108" i="6"/>
  <c r="V109" i="6"/>
  <c r="V110" i="6"/>
  <c r="V111" i="6"/>
  <c r="W34" i="6"/>
  <c r="V78" i="6"/>
  <c r="V79" i="6"/>
  <c r="V80" i="6"/>
  <c r="V81" i="6"/>
  <c r="W22" i="6"/>
  <c r="W28" i="6"/>
  <c r="V93" i="6"/>
  <c r="V94" i="6"/>
  <c r="V95" i="6"/>
  <c r="V96" i="6"/>
  <c r="V123" i="6"/>
  <c r="V124" i="6"/>
  <c r="V125" i="6"/>
  <c r="V126" i="6"/>
  <c r="W40" i="6"/>
  <c r="V219" i="1"/>
  <c r="T119" i="1"/>
  <c r="W217" i="1"/>
  <c r="W218" i="1"/>
  <c r="W42" i="1"/>
  <c r="V116" i="1"/>
  <c r="V117" i="1"/>
  <c r="V118" i="1"/>
  <c r="V119" i="1"/>
  <c r="Y82" i="1"/>
  <c r="X216" i="1"/>
  <c r="Z80" i="1"/>
  <c r="Y211" i="1"/>
  <c r="Y212" i="1"/>
  <c r="Y213" i="1"/>
  <c r="Y214" i="1"/>
  <c r="T209" i="1"/>
  <c r="U194" i="1"/>
  <c r="W99" i="8"/>
  <c r="W100" i="8"/>
  <c r="W101" i="8"/>
  <c r="W102" i="8"/>
  <c r="X36" i="8"/>
  <c r="AA38" i="8"/>
  <c r="Z104" i="8"/>
  <c r="Z105" i="8"/>
  <c r="Z106" i="8"/>
  <c r="Z107" i="8"/>
  <c r="V120" i="11"/>
  <c r="V121" i="11"/>
  <c r="V122" i="11"/>
  <c r="W119" i="11"/>
  <c r="X44" i="11"/>
  <c r="W48" i="22"/>
  <c r="V129" i="22"/>
  <c r="V130" i="22"/>
  <c r="V131" i="22"/>
  <c r="V132" i="22"/>
  <c r="V94" i="22"/>
  <c r="V95" i="22"/>
  <c r="V96" i="22"/>
  <c r="V97" i="22"/>
  <c r="W34" i="22"/>
  <c r="W104" i="22"/>
  <c r="W105" i="22"/>
  <c r="W106" i="22"/>
  <c r="W107" i="22"/>
  <c r="X38" i="22"/>
  <c r="W104" i="7"/>
  <c r="W105" i="7"/>
  <c r="W106" i="7"/>
  <c r="W107" i="7"/>
  <c r="X38" i="7"/>
  <c r="W34" i="7"/>
  <c r="V94" i="7"/>
  <c r="V95" i="7"/>
  <c r="V96" i="7"/>
  <c r="V97" i="7"/>
  <c r="W84" i="7"/>
  <c r="W85" i="7"/>
  <c r="W86" i="7"/>
  <c r="W87" i="7"/>
  <c r="X30" i="7"/>
  <c r="X36" i="7"/>
  <c r="W99" i="7"/>
  <c r="V114" i="7"/>
  <c r="V115" i="7"/>
  <c r="V116" i="7"/>
  <c r="V117" i="7"/>
  <c r="W42" i="7"/>
  <c r="Z40" i="7"/>
  <c r="Y109" i="7"/>
  <c r="Y110" i="7"/>
  <c r="Y111" i="7"/>
  <c r="Y112" i="7"/>
  <c r="Y118" i="6"/>
  <c r="Z38" i="6"/>
  <c r="Y104" i="9"/>
  <c r="Y105" i="9"/>
  <c r="Y106" i="9"/>
  <c r="Y107" i="9"/>
  <c r="Z38" i="9"/>
  <c r="V42" i="9"/>
  <c r="U114" i="9"/>
  <c r="U115" i="9"/>
  <c r="U116" i="9"/>
  <c r="U117" i="9"/>
  <c r="AA54" i="9"/>
  <c r="Z144" i="9"/>
  <c r="Z145" i="9"/>
  <c r="Z146" i="9"/>
  <c r="Z147" i="9"/>
  <c r="V94" i="9"/>
  <c r="V95" i="9"/>
  <c r="V96" i="9"/>
  <c r="V97" i="9"/>
  <c r="W34" i="9"/>
  <c r="V124" i="9"/>
  <c r="V125" i="9"/>
  <c r="V126" i="9"/>
  <c r="V127" i="9"/>
  <c r="W46" i="9"/>
  <c r="W134" i="9"/>
  <c r="W135" i="9"/>
  <c r="W136" i="9"/>
  <c r="W137" i="9"/>
  <c r="X50" i="9"/>
  <c r="W44" i="9"/>
  <c r="V119" i="9"/>
  <c r="V120" i="9"/>
  <c r="V121" i="9"/>
  <c r="V122" i="9"/>
  <c r="V129" i="9"/>
  <c r="W48" i="9"/>
  <c r="W56" i="9"/>
  <c r="V149" i="9"/>
  <c r="V150" i="9"/>
  <c r="V151" i="9"/>
  <c r="V152" i="9"/>
  <c r="Y32" i="9"/>
  <c r="X89" i="9"/>
  <c r="X90" i="9"/>
  <c r="X91" i="9"/>
  <c r="X92" i="9"/>
  <c r="U150" i="9"/>
  <c r="U151" i="9"/>
  <c r="W177" i="1"/>
  <c r="W178" i="1"/>
  <c r="AB151" i="1"/>
  <c r="AB152" i="1"/>
  <c r="AB153" i="1"/>
  <c r="AB154" i="1"/>
  <c r="AC56" i="1"/>
  <c r="Y66" i="1"/>
  <c r="X176" i="1"/>
  <c r="X177" i="1"/>
  <c r="X178" i="1"/>
  <c r="X179" i="1"/>
  <c r="Y76" i="1"/>
  <c r="X201" i="1"/>
  <c r="X202" i="1"/>
  <c r="X203" i="1"/>
  <c r="X204" i="1"/>
  <c r="W161" i="1"/>
  <c r="W162" i="1"/>
  <c r="W163" i="1"/>
  <c r="W164" i="1"/>
  <c r="X60" i="1"/>
  <c r="U187" i="1"/>
  <c r="U188" i="1"/>
  <c r="W78" i="1"/>
  <c r="V206" i="1"/>
  <c r="V207" i="1"/>
  <c r="V208" i="1"/>
  <c r="V209" i="1"/>
  <c r="X72" i="1"/>
  <c r="W191" i="1"/>
  <c r="W192" i="1"/>
  <c r="W193" i="1"/>
  <c r="W194" i="1"/>
  <c r="W74" i="1"/>
  <c r="V196" i="1"/>
  <c r="W70" i="1"/>
  <c r="V186" i="1"/>
  <c r="AA115" i="11"/>
  <c r="AA116" i="11"/>
  <c r="AA117" i="11"/>
  <c r="AB114" i="11"/>
  <c r="AC42" i="11"/>
  <c r="U32" i="34"/>
  <c r="AF33" i="35"/>
  <c r="AD33" i="35"/>
  <c r="AB33" i="35"/>
  <c r="Y85" i="11"/>
  <c r="Y86" i="11"/>
  <c r="Y87" i="11"/>
  <c r="W100" i="11"/>
  <c r="W101" i="11"/>
  <c r="W102" i="11"/>
  <c r="W104" i="11"/>
  <c r="X38" i="11"/>
  <c r="V105" i="11"/>
  <c r="V106" i="11"/>
  <c r="V107" i="11"/>
  <c r="X99" i="11"/>
  <c r="Y36" i="11"/>
  <c r="AA30" i="11"/>
  <c r="Z84" i="11"/>
  <c r="W134" i="10"/>
  <c r="X50" i="10"/>
  <c r="V135" i="10"/>
  <c r="V136" i="10"/>
  <c r="V137" i="10"/>
  <c r="V100" i="10"/>
  <c r="V101" i="10"/>
  <c r="V102" i="10"/>
  <c r="W99" i="10"/>
  <c r="X36" i="10"/>
  <c r="W58" i="22"/>
  <c r="V154" i="22"/>
  <c r="U155" i="22"/>
  <c r="U156" i="22"/>
  <c r="U157" i="22"/>
  <c r="X54" i="22"/>
  <c r="W144" i="22"/>
  <c r="V100" i="22"/>
  <c r="V101" i="22"/>
  <c r="V102" i="22"/>
  <c r="V110" i="22"/>
  <c r="V111" i="22"/>
  <c r="V112" i="22"/>
  <c r="W99" i="22"/>
  <c r="X36" i="22"/>
  <c r="V145" i="22"/>
  <c r="V146" i="22"/>
  <c r="V147" i="22"/>
  <c r="X40" i="22"/>
  <c r="W109" i="22"/>
  <c r="Z56" i="8"/>
  <c r="Y149" i="8"/>
  <c r="X150" i="8"/>
  <c r="X151" i="8"/>
  <c r="X152" i="8"/>
  <c r="X54" i="8"/>
  <c r="W144" i="8"/>
  <c r="V145" i="8"/>
  <c r="V146" i="8"/>
  <c r="V147" i="8"/>
  <c r="W52" i="8"/>
  <c r="V139" i="8"/>
  <c r="W32" i="8"/>
  <c r="V89" i="8"/>
  <c r="V30" i="8"/>
  <c r="U84" i="8"/>
  <c r="U110" i="8"/>
  <c r="U111" i="8"/>
  <c r="U112" i="8"/>
  <c r="V129" i="8"/>
  <c r="W48" i="8"/>
  <c r="V109" i="8"/>
  <c r="W40" i="8"/>
  <c r="U130" i="8"/>
  <c r="U131" i="8"/>
  <c r="U132" i="8"/>
  <c r="U90" i="8"/>
  <c r="U91" i="8"/>
  <c r="U140" i="8"/>
  <c r="U141" i="8"/>
  <c r="T85" i="8"/>
  <c r="T86" i="8"/>
  <c r="T87" i="8"/>
  <c r="W54" i="7"/>
  <c r="V144" i="7"/>
  <c r="U145" i="7"/>
  <c r="U146" i="7"/>
  <c r="U147" i="7"/>
  <c r="U140" i="7"/>
  <c r="U141" i="7"/>
  <c r="U142" i="7"/>
  <c r="V139" i="7"/>
  <c r="W52" i="7"/>
  <c r="V134" i="7"/>
  <c r="W50" i="7"/>
  <c r="U135" i="7"/>
  <c r="U136" i="7"/>
  <c r="U137" i="7"/>
  <c r="Y46" i="7"/>
  <c r="X124" i="7"/>
  <c r="AB90" i="7"/>
  <c r="AB91" i="7"/>
  <c r="AB92" i="7"/>
  <c r="Z44" i="7"/>
  <c r="Y119" i="7"/>
  <c r="X120" i="7"/>
  <c r="X121" i="7"/>
  <c r="X122" i="7"/>
  <c r="W125" i="7"/>
  <c r="W126" i="7"/>
  <c r="W127" i="7"/>
  <c r="AD32" i="7"/>
  <c r="AC89" i="7"/>
  <c r="U164" i="6"/>
  <c r="U165" i="6"/>
  <c r="U166" i="6"/>
  <c r="V163" i="6"/>
  <c r="W56" i="6"/>
  <c r="W54" i="6"/>
  <c r="V158" i="6"/>
  <c r="U159" i="6"/>
  <c r="U160" i="6"/>
  <c r="U161" i="6"/>
  <c r="W52" i="6"/>
  <c r="V153" i="6"/>
  <c r="U154" i="6"/>
  <c r="U155" i="6"/>
  <c r="U156" i="6"/>
  <c r="V148" i="6"/>
  <c r="W50" i="6"/>
  <c r="U149" i="6"/>
  <c r="U150" i="6"/>
  <c r="U151" i="6"/>
  <c r="U144" i="6"/>
  <c r="U145" i="6"/>
  <c r="U146" i="6"/>
  <c r="V143" i="6"/>
  <c r="W48" i="6"/>
  <c r="X60" i="9"/>
  <c r="W159" i="9"/>
  <c r="V160" i="9"/>
  <c r="V161" i="9"/>
  <c r="V162" i="9"/>
  <c r="W58" i="9"/>
  <c r="V154" i="9"/>
  <c r="U155" i="9"/>
  <c r="U156" i="9"/>
  <c r="U157" i="9"/>
  <c r="W109" i="9"/>
  <c r="X40" i="9"/>
  <c r="V100" i="9"/>
  <c r="V101" i="9"/>
  <c r="V102" i="9"/>
  <c r="V110" i="9"/>
  <c r="V111" i="9"/>
  <c r="X36" i="9"/>
  <c r="W99" i="9"/>
  <c r="V166" i="1"/>
  <c r="W62" i="1"/>
  <c r="U167" i="1"/>
  <c r="U168" i="1"/>
  <c r="U169" i="1"/>
  <c r="W46" i="1"/>
  <c r="V126" i="1"/>
  <c r="W54" i="1"/>
  <c r="V146" i="1"/>
  <c r="U127" i="1"/>
  <c r="U128" i="1"/>
  <c r="U129" i="1"/>
  <c r="U147" i="1"/>
  <c r="U148" i="1"/>
  <c r="U149" i="1"/>
  <c r="W122" i="1"/>
  <c r="W123" i="1"/>
  <c r="W124" i="1"/>
  <c r="Y44" i="1"/>
  <c r="X121" i="1"/>
  <c r="W112" i="1"/>
  <c r="W113" i="1"/>
  <c r="W114" i="1"/>
  <c r="W38" i="1"/>
  <c r="V106" i="1"/>
  <c r="X101" i="1"/>
  <c r="Y36" i="1"/>
  <c r="X111" i="1"/>
  <c r="Y40" i="1"/>
  <c r="W102" i="1"/>
  <c r="W103" i="1"/>
  <c r="W104" i="1"/>
  <c r="U107" i="1"/>
  <c r="U108" i="1"/>
  <c r="U109" i="1"/>
  <c r="L33" i="37"/>
  <c r="T33" i="37"/>
  <c r="AE33" i="37"/>
  <c r="Z33" i="37"/>
  <c r="AA33" i="37"/>
  <c r="AF33" i="37"/>
  <c r="AC33" i="37"/>
  <c r="Y33" i="37"/>
  <c r="AB33" i="37"/>
  <c r="AG33" i="37"/>
  <c r="AD33" i="37"/>
  <c r="X33" i="37"/>
  <c r="X48" i="7"/>
  <c r="W129" i="7"/>
  <c r="W130" i="7"/>
  <c r="W131" i="7"/>
  <c r="W132" i="7"/>
  <c r="BB197" i="9"/>
  <c r="W33" i="36"/>
  <c r="V33" i="36"/>
  <c r="K33" i="36"/>
  <c r="AA34" i="31"/>
  <c r="AD34" i="31"/>
  <c r="Z34" i="31"/>
  <c r="U35" i="31"/>
  <c r="W35" i="31"/>
  <c r="V35" i="31"/>
  <c r="Y34" i="31"/>
  <c r="AF34" i="31"/>
  <c r="AC34" i="31"/>
  <c r="K34" i="31"/>
  <c r="T34" i="31"/>
  <c r="AE34" i="31"/>
  <c r="AC33" i="35"/>
  <c r="T33" i="32"/>
  <c r="BE74" i="9"/>
  <c r="BD194" i="9"/>
  <c r="BX146" i="2"/>
  <c r="BW25" i="2"/>
  <c r="M32" i="41"/>
  <c r="BH59" i="11"/>
  <c r="BI229" i="11"/>
  <c r="BC195" i="9"/>
  <c r="BC196" i="9"/>
  <c r="M30" i="36"/>
  <c r="N30" i="36"/>
  <c r="O30" i="36"/>
  <c r="P30" i="36"/>
  <c r="Q30" i="36"/>
  <c r="R30" i="36"/>
  <c r="CF23" i="2"/>
  <c r="L33" i="33"/>
  <c r="J42" i="41"/>
  <c r="H41" i="41"/>
  <c r="H31" i="41"/>
  <c r="U28" i="41"/>
  <c r="U177" i="7"/>
  <c r="V202" i="7"/>
  <c r="AH157" i="8"/>
  <c r="U202" i="11"/>
  <c r="Z162" i="7"/>
  <c r="AO147" i="10"/>
  <c r="AG167" i="10"/>
  <c r="AE207" i="22"/>
  <c r="AB187" i="22"/>
  <c r="AC167" i="22"/>
  <c r="AQ197" i="10"/>
  <c r="U207" i="8"/>
  <c r="AV172" i="10"/>
  <c r="AD172" i="9"/>
  <c r="AA167" i="8"/>
  <c r="Y127" i="11"/>
  <c r="AR177" i="22"/>
  <c r="U167" i="9"/>
  <c r="AM284" i="40"/>
  <c r="AN108" i="40"/>
  <c r="AM269" i="40"/>
  <c r="AN102" i="40"/>
  <c r="AR280" i="40"/>
  <c r="AR281" i="40"/>
  <c r="AR282" i="40"/>
  <c r="AL285" i="40"/>
  <c r="AL286" i="40"/>
  <c r="AL287" i="40"/>
  <c r="AL270" i="40"/>
  <c r="AL271" i="40"/>
  <c r="AL272" i="40"/>
  <c r="AM244" i="40"/>
  <c r="AN92" i="40"/>
  <c r="AM249" i="40"/>
  <c r="AN94" i="40"/>
  <c r="AM289" i="40"/>
  <c r="AN110" i="40"/>
  <c r="AM264" i="40"/>
  <c r="AN100" i="40"/>
  <c r="AL245" i="40"/>
  <c r="AL246" i="40"/>
  <c r="AL247" i="40"/>
  <c r="AL250" i="40"/>
  <c r="AL251" i="40"/>
  <c r="AL252" i="40"/>
  <c r="AL265" i="40"/>
  <c r="AL266" i="40"/>
  <c r="AL267" i="40"/>
  <c r="AT96" i="40"/>
  <c r="AT254" i="40"/>
  <c r="AT255" i="40"/>
  <c r="AT256" i="40"/>
  <c r="AT257" i="40"/>
  <c r="AS106" i="40"/>
  <c r="AS279" i="40"/>
  <c r="AS280" i="40"/>
  <c r="AS281" i="40"/>
  <c r="AS282" i="40"/>
  <c r="AU98" i="40"/>
  <c r="AU259" i="40"/>
  <c r="AT104" i="40"/>
  <c r="AT274" i="40"/>
  <c r="AP90" i="40"/>
  <c r="AM215" i="40"/>
  <c r="AM216" i="40"/>
  <c r="AM217" i="40"/>
  <c r="AN74" i="40"/>
  <c r="AM199" i="40"/>
  <c r="AN44" i="40"/>
  <c r="AM124" i="40"/>
  <c r="AL210" i="40"/>
  <c r="AL211" i="40"/>
  <c r="AO60" i="40"/>
  <c r="AN164" i="40"/>
  <c r="AO88" i="40"/>
  <c r="AN234" i="40"/>
  <c r="AO40" i="40"/>
  <c r="AN114" i="40"/>
  <c r="AK192" i="40"/>
  <c r="AM205" i="40"/>
  <c r="AM206" i="40"/>
  <c r="AM207" i="40"/>
  <c r="AN175" i="40"/>
  <c r="AN176" i="40"/>
  <c r="AN177" i="40"/>
  <c r="AN52" i="40"/>
  <c r="AM144" i="40"/>
  <c r="AM180" i="40"/>
  <c r="AM181" i="40"/>
  <c r="AM182" i="40"/>
  <c r="AL217" i="40"/>
  <c r="AL240" i="40"/>
  <c r="AL241" i="40"/>
  <c r="AN62" i="40"/>
  <c r="AM169" i="40"/>
  <c r="AO80" i="40"/>
  <c r="AN214" i="40"/>
  <c r="AN78" i="40"/>
  <c r="AM209" i="40"/>
  <c r="AL220" i="40"/>
  <c r="AL221" i="40"/>
  <c r="AL222" i="40"/>
  <c r="AM140" i="40"/>
  <c r="AM141" i="40"/>
  <c r="AO76" i="40"/>
  <c r="AN204" i="40"/>
  <c r="AN42" i="40"/>
  <c r="AM119" i="40"/>
  <c r="AN46" i="40"/>
  <c r="AM129" i="40"/>
  <c r="AP64" i="40"/>
  <c r="AO174" i="40"/>
  <c r="AL155" i="40"/>
  <c r="AL156" i="40"/>
  <c r="AL157" i="40"/>
  <c r="AL135" i="40"/>
  <c r="AL136" i="40"/>
  <c r="AL137" i="40"/>
  <c r="AL150" i="40"/>
  <c r="AL151" i="40"/>
  <c r="AL152" i="40"/>
  <c r="AN185" i="40"/>
  <c r="AN186" i="40"/>
  <c r="AL237" i="40"/>
  <c r="AM239" i="40"/>
  <c r="AL230" i="40"/>
  <c r="AL231" i="40"/>
  <c r="AL125" i="40"/>
  <c r="AL126" i="40"/>
  <c r="AL127" i="40"/>
  <c r="AM115" i="40"/>
  <c r="AM116" i="40"/>
  <c r="AM117" i="40"/>
  <c r="AN82" i="40"/>
  <c r="AM219" i="40"/>
  <c r="AO50" i="40"/>
  <c r="AN139" i="40"/>
  <c r="AM197" i="40"/>
  <c r="AK232" i="40"/>
  <c r="AL190" i="40"/>
  <c r="AL191" i="40"/>
  <c r="AL192" i="40"/>
  <c r="AL160" i="40"/>
  <c r="AL161" i="40"/>
  <c r="AL162" i="40"/>
  <c r="AO66" i="40"/>
  <c r="AN179" i="40"/>
  <c r="AM225" i="40"/>
  <c r="AM226" i="40"/>
  <c r="AM227" i="40"/>
  <c r="AP68" i="40"/>
  <c r="AO184" i="40"/>
  <c r="AL182" i="40"/>
  <c r="AN195" i="40"/>
  <c r="AN196" i="40"/>
  <c r="AN86" i="40"/>
  <c r="AM229" i="40"/>
  <c r="AL200" i="40"/>
  <c r="AL201" i="40"/>
  <c r="AM165" i="40"/>
  <c r="AM166" i="40"/>
  <c r="AM167" i="40"/>
  <c r="AM235" i="40"/>
  <c r="AM236" i="40"/>
  <c r="AL120" i="40"/>
  <c r="AL121" i="40"/>
  <c r="AL122" i="40"/>
  <c r="AN70" i="40"/>
  <c r="AM189" i="40"/>
  <c r="AL130" i="40"/>
  <c r="AL131" i="40"/>
  <c r="AL132" i="40"/>
  <c r="AK212" i="40"/>
  <c r="AN56" i="40"/>
  <c r="AM154" i="40"/>
  <c r="AN58" i="40"/>
  <c r="AM159" i="40"/>
  <c r="AL145" i="40"/>
  <c r="AL146" i="40"/>
  <c r="AL147" i="40"/>
  <c r="AN48" i="40"/>
  <c r="AM134" i="40"/>
  <c r="AO84" i="40"/>
  <c r="AN224" i="40"/>
  <c r="AN54" i="40"/>
  <c r="AM149" i="40"/>
  <c r="AL167" i="40"/>
  <c r="AL170" i="40"/>
  <c r="AL171" i="40"/>
  <c r="AP72" i="40"/>
  <c r="AO194" i="40"/>
  <c r="Z207" i="11"/>
  <c r="AR212" i="22"/>
  <c r="X33" i="35"/>
  <c r="AA33" i="35"/>
  <c r="Z33" i="35"/>
  <c r="Y33" i="35"/>
  <c r="K33" i="35"/>
  <c r="T33" i="35"/>
  <c r="AG33" i="35"/>
  <c r="S29" i="36"/>
  <c r="AF12" i="26"/>
  <c r="K28" i="26"/>
  <c r="P28" i="26"/>
  <c r="W200" i="7"/>
  <c r="W201" i="7"/>
  <c r="V186" i="8"/>
  <c r="V185" i="8"/>
  <c r="AC186" i="22"/>
  <c r="AC185" i="22"/>
  <c r="AE164" i="22"/>
  <c r="AF62" i="22"/>
  <c r="AB166" i="8"/>
  <c r="AB165" i="8"/>
  <c r="AA58" i="7"/>
  <c r="Z154" i="7"/>
  <c r="AX80" i="10"/>
  <c r="AW209" i="10"/>
  <c r="AK58" i="8"/>
  <c r="AJ154" i="8"/>
  <c r="X76" i="11"/>
  <c r="W199" i="11"/>
  <c r="AL196" i="11"/>
  <c r="AL195" i="11"/>
  <c r="W164" i="9"/>
  <c r="X62" i="9"/>
  <c r="V201" i="10"/>
  <c r="V200" i="10"/>
  <c r="AB159" i="7"/>
  <c r="AC60" i="7"/>
  <c r="AF191" i="22"/>
  <c r="AF190" i="22"/>
  <c r="AL184" i="10"/>
  <c r="AM70" i="10"/>
  <c r="V161" i="10"/>
  <c r="V160" i="10"/>
  <c r="AF205" i="22"/>
  <c r="AF206" i="22"/>
  <c r="Y56" i="11"/>
  <c r="X149" i="11"/>
  <c r="V200" i="22"/>
  <c r="V201" i="22"/>
  <c r="X66" i="7"/>
  <c r="W174" i="7"/>
  <c r="X157" i="7"/>
  <c r="AU212" i="10"/>
  <c r="Y76" i="7"/>
  <c r="X199" i="7"/>
  <c r="X70" i="8"/>
  <c r="W184" i="8"/>
  <c r="AE70" i="22"/>
  <c r="AD184" i="22"/>
  <c r="AD165" i="22"/>
  <c r="AD166" i="22"/>
  <c r="AD62" i="8"/>
  <c r="AC164" i="8"/>
  <c r="Y156" i="7"/>
  <c r="Y155" i="7"/>
  <c r="AV211" i="10"/>
  <c r="AV210" i="10"/>
  <c r="Z125" i="11"/>
  <c r="Z126" i="11"/>
  <c r="AG176" i="10"/>
  <c r="AG175" i="10"/>
  <c r="AN74" i="11"/>
  <c r="AM194" i="11"/>
  <c r="V165" i="9"/>
  <c r="V166" i="9"/>
  <c r="W199" i="10"/>
  <c r="X76" i="10"/>
  <c r="AJ187" i="10"/>
  <c r="BQ81" i="8"/>
  <c r="BR240" i="8"/>
  <c r="U137" i="11"/>
  <c r="AG189" i="22"/>
  <c r="AH72" i="22"/>
  <c r="AK197" i="11"/>
  <c r="AF169" i="9"/>
  <c r="AG64" i="9"/>
  <c r="U202" i="10"/>
  <c r="U182" i="10"/>
  <c r="X60" i="10"/>
  <c r="W159" i="10"/>
  <c r="AE192" i="22"/>
  <c r="AV177" i="9"/>
  <c r="W149" i="22"/>
  <c r="W150" i="22"/>
  <c r="W151" i="22"/>
  <c r="W152" i="22"/>
  <c r="X56" i="22"/>
  <c r="V206" i="8"/>
  <c r="V205" i="8"/>
  <c r="AC205" i="7"/>
  <c r="AC206" i="7"/>
  <c r="BT61" i="11"/>
  <c r="BU230" i="11"/>
  <c r="AX155" i="10"/>
  <c r="AX156" i="10"/>
  <c r="AA206" i="11"/>
  <c r="AA205" i="11"/>
  <c r="AE206" i="9"/>
  <c r="AE205" i="9"/>
  <c r="AB46" i="11"/>
  <c r="AA124" i="11"/>
  <c r="V135" i="11"/>
  <c r="V136" i="11"/>
  <c r="AH174" i="10"/>
  <c r="AI66" i="10"/>
  <c r="AH166" i="10"/>
  <c r="AH165" i="10"/>
  <c r="AR54" i="10"/>
  <c r="AQ144" i="10"/>
  <c r="AY66" i="9"/>
  <c r="AX174" i="9"/>
  <c r="AE171" i="9"/>
  <c r="AE170" i="9"/>
  <c r="AU66" i="22"/>
  <c r="AT174" i="22"/>
  <c r="AD207" i="9"/>
  <c r="X78" i="8"/>
  <c r="W204" i="8"/>
  <c r="AD204" i="7"/>
  <c r="AE78" i="7"/>
  <c r="AY64" i="10"/>
  <c r="AX169" i="10"/>
  <c r="V181" i="10"/>
  <c r="V180" i="10"/>
  <c r="AF177" i="10"/>
  <c r="V152" i="11"/>
  <c r="AZ58" i="10"/>
  <c r="AY154" i="10"/>
  <c r="AC78" i="11"/>
  <c r="AB204" i="11"/>
  <c r="AG78" i="9"/>
  <c r="AF204" i="9"/>
  <c r="AB207" i="7"/>
  <c r="BN55" i="11"/>
  <c r="BO227" i="11"/>
  <c r="AI156" i="8"/>
  <c r="AI155" i="8"/>
  <c r="V200" i="11"/>
  <c r="V201" i="11"/>
  <c r="X50" i="11"/>
  <c r="W134" i="11"/>
  <c r="U187" i="8"/>
  <c r="AJ62" i="10"/>
  <c r="AI164" i="10"/>
  <c r="X46" i="6"/>
  <c r="W138" i="6"/>
  <c r="W139" i="6"/>
  <c r="W140" i="6"/>
  <c r="W141" i="6"/>
  <c r="AP145" i="10"/>
  <c r="AP146" i="10"/>
  <c r="AA161" i="7"/>
  <c r="AA160" i="7"/>
  <c r="AW175" i="9"/>
  <c r="AW176" i="9"/>
  <c r="U202" i="22"/>
  <c r="AK185" i="10"/>
  <c r="AK186" i="10"/>
  <c r="AS176" i="22"/>
  <c r="AS175" i="22"/>
  <c r="AH78" i="22"/>
  <c r="AG204" i="22"/>
  <c r="W150" i="11"/>
  <c r="W151" i="11"/>
  <c r="AW157" i="10"/>
  <c r="X76" i="22"/>
  <c r="W199" i="22"/>
  <c r="V175" i="7"/>
  <c r="V176" i="7"/>
  <c r="AW171" i="10"/>
  <c r="AW170" i="10"/>
  <c r="X68" i="10"/>
  <c r="W179" i="10"/>
  <c r="U162" i="10"/>
  <c r="S29" i="37"/>
  <c r="AK12" i="26"/>
  <c r="Q30" i="37"/>
  <c r="R30" i="37"/>
  <c r="S29" i="35"/>
  <c r="AA12" i="26"/>
  <c r="Q30" i="35"/>
  <c r="R30" i="35"/>
  <c r="S29" i="34"/>
  <c r="V12" i="26"/>
  <c r="Q30" i="34"/>
  <c r="R30" i="34"/>
  <c r="Q30" i="33"/>
  <c r="R30" i="33"/>
  <c r="S29" i="33"/>
  <c r="S29" i="32"/>
  <c r="L12" i="26"/>
  <c r="Q30" i="32"/>
  <c r="R30" i="32"/>
  <c r="G12" i="26"/>
  <c r="S29" i="31"/>
  <c r="Q30" i="31"/>
  <c r="R30" i="31"/>
  <c r="Z40" i="11"/>
  <c r="Y109" i="11"/>
  <c r="Y110" i="11"/>
  <c r="Y111" i="11"/>
  <c r="Y112" i="11"/>
  <c r="X52" i="10"/>
  <c r="W139" i="10"/>
  <c r="X40" i="10"/>
  <c r="W109" i="10"/>
  <c r="W110" i="10"/>
  <c r="W111" i="10"/>
  <c r="W112" i="10"/>
  <c r="W89" i="10"/>
  <c r="W90" i="10"/>
  <c r="W91" i="10"/>
  <c r="W92" i="10"/>
  <c r="X32" i="10"/>
  <c r="X42" i="10"/>
  <c r="W114" i="10"/>
  <c r="W115" i="10"/>
  <c r="W116" i="10"/>
  <c r="W117" i="10"/>
  <c r="W124" i="10"/>
  <c r="W125" i="10"/>
  <c r="W126" i="10"/>
  <c r="W127" i="10"/>
  <c r="X46" i="10"/>
  <c r="W84" i="10"/>
  <c r="W85" i="10"/>
  <c r="W86" i="10"/>
  <c r="W87" i="10"/>
  <c r="X30" i="10"/>
  <c r="W94" i="10"/>
  <c r="W95" i="10"/>
  <c r="W96" i="10"/>
  <c r="W97" i="10"/>
  <c r="X34" i="10"/>
  <c r="W129" i="10"/>
  <c r="W130" i="10"/>
  <c r="W131" i="10"/>
  <c r="W132" i="10"/>
  <c r="X48" i="10"/>
  <c r="X38" i="10"/>
  <c r="W104" i="10"/>
  <c r="W105" i="10"/>
  <c r="W106" i="10"/>
  <c r="W107" i="10"/>
  <c r="X119" i="10"/>
  <c r="X120" i="10"/>
  <c r="X121" i="10"/>
  <c r="X122" i="10"/>
  <c r="Y44" i="10"/>
  <c r="W134" i="22"/>
  <c r="W135" i="22"/>
  <c r="W136" i="22"/>
  <c r="W137" i="22"/>
  <c r="X50" i="22"/>
  <c r="X42" i="22"/>
  <c r="W114" i="22"/>
  <c r="W115" i="22"/>
  <c r="W116" i="22"/>
  <c r="W117" i="22"/>
  <c r="Y46" i="22"/>
  <c r="X124" i="22"/>
  <c r="X125" i="22"/>
  <c r="X126" i="22"/>
  <c r="X127" i="22"/>
  <c r="X139" i="22"/>
  <c r="X140" i="22"/>
  <c r="X141" i="22"/>
  <c r="X142" i="22"/>
  <c r="Y52" i="22"/>
  <c r="W124" i="8"/>
  <c r="W125" i="8"/>
  <c r="W126" i="8"/>
  <c r="W127" i="8"/>
  <c r="X46" i="8"/>
  <c r="X134" i="8"/>
  <c r="X135" i="8"/>
  <c r="X136" i="8"/>
  <c r="X137" i="8"/>
  <c r="Y50" i="8"/>
  <c r="AC167" i="7"/>
  <c r="AT187" i="9"/>
  <c r="AP182" i="22"/>
  <c r="AR182" i="9"/>
  <c r="AW182" i="7"/>
  <c r="AP197" i="7"/>
  <c r="AP187" i="7"/>
  <c r="AO212" i="11"/>
  <c r="AZ142" i="11"/>
  <c r="AQ197" i="22"/>
  <c r="AK162" i="8"/>
  <c r="AM202" i="8"/>
  <c r="BA192" i="10"/>
  <c r="AS212" i="7"/>
  <c r="BG172" i="7"/>
  <c r="AT172" i="22"/>
  <c r="BE87" i="22"/>
  <c r="A147" i="2"/>
  <c r="BW147" i="2"/>
  <c r="A27" i="2"/>
  <c r="BJ64" i="7"/>
  <c r="BI169" i="7"/>
  <c r="AL160" i="8"/>
  <c r="AL161" i="8"/>
  <c r="AV169" i="22"/>
  <c r="AW64" i="22"/>
  <c r="AQ159" i="22"/>
  <c r="AR60" i="22"/>
  <c r="AU68" i="9"/>
  <c r="AT179" i="9"/>
  <c r="AV212" i="9"/>
  <c r="BF85" i="22"/>
  <c r="BF86" i="22"/>
  <c r="AO177" i="8"/>
  <c r="U202" i="9"/>
  <c r="U192" i="9"/>
  <c r="AS211" i="22"/>
  <c r="AS210" i="22"/>
  <c r="AW210" i="9"/>
  <c r="AW211" i="9"/>
  <c r="AS70" i="7"/>
  <c r="AR184" i="7"/>
  <c r="AU204" i="10"/>
  <c r="AV78" i="10"/>
  <c r="AU150" i="10"/>
  <c r="AU151" i="10"/>
  <c r="AM190" i="11"/>
  <c r="AM191" i="11"/>
  <c r="AD24" i="2"/>
  <c r="M31" i="33"/>
  <c r="N31" i="33"/>
  <c r="O31" i="33"/>
  <c r="P31" i="33"/>
  <c r="AE145" i="2"/>
  <c r="AV24" i="2"/>
  <c r="M31" i="35"/>
  <c r="N31" i="35"/>
  <c r="O31" i="35"/>
  <c r="P31" i="35"/>
  <c r="AW145" i="2"/>
  <c r="AL192" i="11"/>
  <c r="AX180" i="7"/>
  <c r="AX181" i="7"/>
  <c r="W89" i="22"/>
  <c r="W90" i="22"/>
  <c r="W91" i="22"/>
  <c r="W92" i="22"/>
  <c r="X32" i="22"/>
  <c r="AQ196" i="7"/>
  <c r="AQ195" i="7"/>
  <c r="AR196" i="8"/>
  <c r="AR195" i="8"/>
  <c r="U146" i="2"/>
  <c r="L146" i="2"/>
  <c r="C146" i="2"/>
  <c r="AV146" i="2"/>
  <c r="AM146" i="2"/>
  <c r="AD146" i="2"/>
  <c r="BN146" i="2"/>
  <c r="BE146" i="2"/>
  <c r="AN60" i="8"/>
  <c r="AM159" i="8"/>
  <c r="AW130" i="11"/>
  <c r="AW131" i="11"/>
  <c r="AP161" i="22"/>
  <c r="AP160" i="22"/>
  <c r="AS180" i="9"/>
  <c r="AS181" i="9"/>
  <c r="AA190" i="8"/>
  <c r="AA191" i="8"/>
  <c r="BG84" i="22"/>
  <c r="BH30" i="22"/>
  <c r="AU186" i="9"/>
  <c r="AU185" i="9"/>
  <c r="AT209" i="22"/>
  <c r="AU80" i="22"/>
  <c r="AT206" i="10"/>
  <c r="AT205" i="10"/>
  <c r="V201" i="9"/>
  <c r="V200" i="9"/>
  <c r="AO72" i="11"/>
  <c r="AN189" i="11"/>
  <c r="V191" i="9"/>
  <c r="V190" i="9"/>
  <c r="AN201" i="8"/>
  <c r="AN200" i="8"/>
  <c r="BI65" i="8"/>
  <c r="BJ232" i="8"/>
  <c r="AM24" i="2"/>
  <c r="M31" i="34"/>
  <c r="N31" i="34"/>
  <c r="O31" i="34"/>
  <c r="P31" i="34"/>
  <c r="Q31" i="34"/>
  <c r="AN145" i="2"/>
  <c r="C24" i="2"/>
  <c r="M32" i="30"/>
  <c r="D145" i="2"/>
  <c r="AZ68" i="7"/>
  <c r="AY179" i="7"/>
  <c r="BB191" i="10"/>
  <c r="BB190" i="10"/>
  <c r="AT211" i="7"/>
  <c r="AT210" i="7"/>
  <c r="AS74" i="7"/>
  <c r="AR194" i="7"/>
  <c r="AT74" i="8"/>
  <c r="AS194" i="8"/>
  <c r="AP210" i="11"/>
  <c r="AP211" i="11"/>
  <c r="BA140" i="11"/>
  <c r="BA141" i="11"/>
  <c r="AY48" i="11"/>
  <c r="AX129" i="11"/>
  <c r="AS194" i="10"/>
  <c r="AT74" i="10"/>
  <c r="AC72" i="8"/>
  <c r="AB189" i="8"/>
  <c r="AV184" i="9"/>
  <c r="AW70" i="9"/>
  <c r="AO162" i="22"/>
  <c r="AS194" i="22"/>
  <c r="AT74" i="22"/>
  <c r="BV69" i="11"/>
  <c r="BW234" i="11"/>
  <c r="AO175" i="11"/>
  <c r="AO176" i="11"/>
  <c r="X76" i="9"/>
  <c r="W199" i="9"/>
  <c r="AO179" i="8"/>
  <c r="AP68" i="8"/>
  <c r="X72" i="9"/>
  <c r="W189" i="9"/>
  <c r="AO199" i="8"/>
  <c r="AP76" i="8"/>
  <c r="AN177" i="11"/>
  <c r="BE24" i="2"/>
  <c r="BF145" i="2"/>
  <c r="BN24" i="2"/>
  <c r="M31" i="37"/>
  <c r="N31" i="37"/>
  <c r="O31" i="37"/>
  <c r="P31" i="37"/>
  <c r="Q31" i="37"/>
  <c r="BO145" i="2"/>
  <c r="AT152" i="10"/>
  <c r="BD72" i="10"/>
  <c r="BC189" i="10"/>
  <c r="M84" i="37"/>
  <c r="L85" i="37"/>
  <c r="AV80" i="7"/>
  <c r="AU209" i="7"/>
  <c r="AQ180" i="22"/>
  <c r="AQ181" i="22"/>
  <c r="AP176" i="8"/>
  <c r="AP175" i="8"/>
  <c r="AR80" i="11"/>
  <c r="AQ209" i="11"/>
  <c r="BH171" i="7"/>
  <c r="BH170" i="7"/>
  <c r="AU170" i="22"/>
  <c r="AU171" i="22"/>
  <c r="BC52" i="11"/>
  <c r="BB139" i="11"/>
  <c r="AR195" i="10"/>
  <c r="AR196" i="10"/>
  <c r="AQ197" i="8"/>
  <c r="AM182" i="8"/>
  <c r="AV132" i="11"/>
  <c r="AR195" i="22"/>
  <c r="AR196" i="22"/>
  <c r="AX209" i="9"/>
  <c r="AY80" i="9"/>
  <c r="Z192" i="8"/>
  <c r="AQ186" i="7"/>
  <c r="AQ185" i="7"/>
  <c r="AQ66" i="11"/>
  <c r="AP174" i="11"/>
  <c r="AN181" i="8"/>
  <c r="AN180" i="8"/>
  <c r="AW56" i="10"/>
  <c r="AV149" i="10"/>
  <c r="BQ65" i="11"/>
  <c r="BR232" i="11"/>
  <c r="AS207" i="10"/>
  <c r="V145" i="2"/>
  <c r="U24" i="2"/>
  <c r="M31" i="32"/>
  <c r="N31" i="32"/>
  <c r="O31" i="32"/>
  <c r="P31" i="32"/>
  <c r="L24" i="2"/>
  <c r="M31" i="31"/>
  <c r="N31" i="31"/>
  <c r="O31" i="31"/>
  <c r="P31" i="31"/>
  <c r="M145" i="2"/>
  <c r="BG73" i="7"/>
  <c r="BH236" i="7"/>
  <c r="AR179" i="22"/>
  <c r="AS68" i="22"/>
  <c r="BU63" i="11"/>
  <c r="BV231" i="11"/>
  <c r="AR66" i="8"/>
  <c r="AQ174" i="8"/>
  <c r="J38" i="30"/>
  <c r="W20" i="39"/>
  <c r="H37" i="30"/>
  <c r="L24" i="30"/>
  <c r="N24" i="30"/>
  <c r="O24" i="30"/>
  <c r="P24" i="30"/>
  <c r="Q24" i="30"/>
  <c r="K25" i="30"/>
  <c r="L25" i="30"/>
  <c r="N25" i="30"/>
  <c r="O25" i="30"/>
  <c r="T24" i="30"/>
  <c r="Y26" i="30"/>
  <c r="X26" i="30"/>
  <c r="G47" i="30"/>
  <c r="F48" i="30"/>
  <c r="L34" i="31"/>
  <c r="W119" i="8"/>
  <c r="W120" i="8"/>
  <c r="W121" i="8"/>
  <c r="W122" i="8"/>
  <c r="X44" i="8"/>
  <c r="W114" i="8"/>
  <c r="W115" i="8"/>
  <c r="W116" i="8"/>
  <c r="W117" i="8"/>
  <c r="X42" i="8"/>
  <c r="AC34" i="8"/>
  <c r="AB94" i="8"/>
  <c r="AB95" i="8"/>
  <c r="AB96" i="8"/>
  <c r="AB97" i="8"/>
  <c r="AE164" i="7"/>
  <c r="AF62" i="7"/>
  <c r="X32" i="11"/>
  <c r="W89" i="11"/>
  <c r="W90" i="11"/>
  <c r="W91" i="11"/>
  <c r="W92" i="11"/>
  <c r="AD165" i="7"/>
  <c r="AD166" i="7"/>
  <c r="X52" i="9"/>
  <c r="W139" i="9"/>
  <c r="W140" i="9"/>
  <c r="W141" i="9"/>
  <c r="W142" i="9"/>
  <c r="X84" i="9"/>
  <c r="X85" i="9"/>
  <c r="X86" i="9"/>
  <c r="X87" i="9"/>
  <c r="Y30" i="9"/>
  <c r="Y86" i="1"/>
  <c r="Y87" i="1"/>
  <c r="Y88" i="1"/>
  <c r="Y89" i="1"/>
  <c r="Z30" i="1"/>
  <c r="X34" i="1"/>
  <c r="W96" i="1"/>
  <c r="W97" i="1"/>
  <c r="W98" i="1"/>
  <c r="W99" i="1"/>
  <c r="W131" i="1"/>
  <c r="W132" i="1"/>
  <c r="W133" i="1"/>
  <c r="W134" i="1"/>
  <c r="X48" i="1"/>
  <c r="W181" i="1"/>
  <c r="W182" i="1"/>
  <c r="W183" i="1"/>
  <c r="W184" i="1"/>
  <c r="X68" i="1"/>
  <c r="W219" i="1"/>
  <c r="W171" i="1"/>
  <c r="X64" i="1"/>
  <c r="W156" i="1"/>
  <c r="W157" i="1"/>
  <c r="W158" i="1"/>
  <c r="W159" i="1"/>
  <c r="X58" i="1"/>
  <c r="W141" i="1"/>
  <c r="W142" i="1"/>
  <c r="W143" i="1"/>
  <c r="W144" i="1"/>
  <c r="X52" i="1"/>
  <c r="Z32" i="1"/>
  <c r="Y91" i="1"/>
  <c r="Y92" i="1"/>
  <c r="Y93" i="1"/>
  <c r="Y94" i="1"/>
  <c r="X50" i="1"/>
  <c r="W136" i="1"/>
  <c r="U189" i="1"/>
  <c r="W179" i="1"/>
  <c r="U34" i="33"/>
  <c r="K34" i="33"/>
  <c r="T34" i="33"/>
  <c r="U34" i="32"/>
  <c r="I48" i="30"/>
  <c r="A29" i="26"/>
  <c r="AO29" i="26"/>
  <c r="AJ28" i="26"/>
  <c r="AE28" i="26"/>
  <c r="Z28" i="26"/>
  <c r="U28" i="26"/>
  <c r="F28" i="26"/>
  <c r="L33" i="35"/>
  <c r="Y44" i="22"/>
  <c r="X119" i="22"/>
  <c r="X120" i="22"/>
  <c r="X121" i="22"/>
  <c r="X122" i="22"/>
  <c r="X40" i="6"/>
  <c r="W123" i="6"/>
  <c r="W124" i="6"/>
  <c r="W125" i="6"/>
  <c r="W126" i="6"/>
  <c r="W78" i="6"/>
  <c r="W79" i="6"/>
  <c r="W80" i="6"/>
  <c r="W81" i="6"/>
  <c r="X22" i="6"/>
  <c r="X34" i="6"/>
  <c r="W108" i="6"/>
  <c r="W109" i="6"/>
  <c r="W110" i="6"/>
  <c r="W111" i="6"/>
  <c r="X128" i="6"/>
  <c r="X129" i="6"/>
  <c r="X130" i="6"/>
  <c r="X131" i="6"/>
  <c r="Y42" i="6"/>
  <c r="W93" i="6"/>
  <c r="W94" i="6"/>
  <c r="W95" i="6"/>
  <c r="W96" i="6"/>
  <c r="X28" i="6"/>
  <c r="X24" i="6"/>
  <c r="W83" i="6"/>
  <c r="W84" i="6"/>
  <c r="W85" i="6"/>
  <c r="W86" i="6"/>
  <c r="W103" i="6"/>
  <c r="W104" i="6"/>
  <c r="W105" i="6"/>
  <c r="W106" i="6"/>
  <c r="X32" i="6"/>
  <c r="W88" i="6"/>
  <c r="W89" i="6"/>
  <c r="W90" i="6"/>
  <c r="W91" i="6"/>
  <c r="X26" i="6"/>
  <c r="W113" i="6"/>
  <c r="W114" i="6"/>
  <c r="W115" i="6"/>
  <c r="W116" i="6"/>
  <c r="X36" i="6"/>
  <c r="W133" i="6"/>
  <c r="W134" i="6"/>
  <c r="W135" i="6"/>
  <c r="W136" i="6"/>
  <c r="X44" i="6"/>
  <c r="Y30" i="6"/>
  <c r="X98" i="6"/>
  <c r="X99" i="6"/>
  <c r="X100" i="6"/>
  <c r="X101" i="6"/>
  <c r="X218" i="1"/>
  <c r="X217" i="1"/>
  <c r="AA80" i="1"/>
  <c r="Z211" i="1"/>
  <c r="Z212" i="1"/>
  <c r="Z213" i="1"/>
  <c r="Z214" i="1"/>
  <c r="Z82" i="1"/>
  <c r="Y216" i="1"/>
  <c r="X42" i="1"/>
  <c r="W116" i="1"/>
  <c r="W117" i="1"/>
  <c r="W118" i="1"/>
  <c r="W119" i="1"/>
  <c r="V112" i="9"/>
  <c r="U142" i="8"/>
  <c r="U92" i="8"/>
  <c r="U152" i="9"/>
  <c r="AB38" i="8"/>
  <c r="AA104" i="8"/>
  <c r="AA105" i="8"/>
  <c r="AA106" i="8"/>
  <c r="AA107" i="8"/>
  <c r="Y36" i="8"/>
  <c r="X99" i="8"/>
  <c r="X100" i="8"/>
  <c r="X101" i="8"/>
  <c r="X102" i="8"/>
  <c r="Y44" i="11"/>
  <c r="X119" i="11"/>
  <c r="W120" i="11"/>
  <c r="W121" i="11"/>
  <c r="W94" i="22"/>
  <c r="W95" i="22"/>
  <c r="W96" i="22"/>
  <c r="W97" i="22"/>
  <c r="X34" i="22"/>
  <c r="Y38" i="22"/>
  <c r="X104" i="22"/>
  <c r="X105" i="22"/>
  <c r="X106" i="22"/>
  <c r="X107" i="22"/>
  <c r="W129" i="22"/>
  <c r="W130" i="22"/>
  <c r="W131" i="22"/>
  <c r="W132" i="22"/>
  <c r="X48" i="22"/>
  <c r="X42" i="7"/>
  <c r="W114" i="7"/>
  <c r="W115" i="7"/>
  <c r="W116" i="7"/>
  <c r="W117" i="7"/>
  <c r="Y30" i="7"/>
  <c r="X84" i="7"/>
  <c r="X85" i="7"/>
  <c r="X86" i="7"/>
  <c r="X87" i="7"/>
  <c r="W100" i="7"/>
  <c r="W101" i="7"/>
  <c r="W102" i="7"/>
  <c r="Y38" i="7"/>
  <c r="X104" i="7"/>
  <c r="X105" i="7"/>
  <c r="X106" i="7"/>
  <c r="X107" i="7"/>
  <c r="Z109" i="7"/>
  <c r="Z110" i="7"/>
  <c r="Z111" i="7"/>
  <c r="Z112" i="7"/>
  <c r="AA40" i="7"/>
  <c r="X99" i="7"/>
  <c r="X100" i="7"/>
  <c r="X101" i="7"/>
  <c r="X102" i="7"/>
  <c r="Y36" i="7"/>
  <c r="X34" i="7"/>
  <c r="W94" i="7"/>
  <c r="W95" i="7"/>
  <c r="W96" i="7"/>
  <c r="W97" i="7"/>
  <c r="Z118" i="6"/>
  <c r="Z119" i="6"/>
  <c r="Z120" i="6"/>
  <c r="Z121" i="6"/>
  <c r="AA38" i="6"/>
  <c r="Y119" i="6"/>
  <c r="Y120" i="6"/>
  <c r="X34" i="9"/>
  <c r="W94" i="9"/>
  <c r="W95" i="9"/>
  <c r="W96" i="9"/>
  <c r="W97" i="9"/>
  <c r="V114" i="9"/>
  <c r="V115" i="9"/>
  <c r="V116" i="9"/>
  <c r="V117" i="9"/>
  <c r="W42" i="9"/>
  <c r="W124" i="9"/>
  <c r="X46" i="9"/>
  <c r="Z104" i="9"/>
  <c r="Z105" i="9"/>
  <c r="Z106" i="9"/>
  <c r="Z107" i="9"/>
  <c r="AA38" i="9"/>
  <c r="AB54" i="9"/>
  <c r="AA144" i="9"/>
  <c r="AA145" i="9"/>
  <c r="AA146" i="9"/>
  <c r="AA147" i="9"/>
  <c r="X134" i="9"/>
  <c r="X135" i="9"/>
  <c r="X136" i="9"/>
  <c r="X137" i="9"/>
  <c r="Y50" i="9"/>
  <c r="Y89" i="9"/>
  <c r="Y90" i="9"/>
  <c r="Y91" i="9"/>
  <c r="Y92" i="9"/>
  <c r="Z32" i="9"/>
  <c r="X48" i="9"/>
  <c r="W129" i="9"/>
  <c r="W130" i="9"/>
  <c r="W131" i="9"/>
  <c r="W132" i="9"/>
  <c r="V130" i="9"/>
  <c r="V131" i="9"/>
  <c r="V132" i="9"/>
  <c r="W119" i="9"/>
  <c r="W120" i="9"/>
  <c r="W121" i="9"/>
  <c r="W122" i="9"/>
  <c r="X44" i="9"/>
  <c r="W149" i="9"/>
  <c r="W150" i="9"/>
  <c r="W151" i="9"/>
  <c r="W152" i="9"/>
  <c r="X56" i="9"/>
  <c r="Y60" i="1"/>
  <c r="X161" i="1"/>
  <c r="X162" i="1"/>
  <c r="X163" i="1"/>
  <c r="X164" i="1"/>
  <c r="AC151" i="1"/>
  <c r="AC152" i="1"/>
  <c r="AC153" i="1"/>
  <c r="AC154" i="1"/>
  <c r="AD56" i="1"/>
  <c r="Y72" i="1"/>
  <c r="X191" i="1"/>
  <c r="Z66" i="1"/>
  <c r="Y176" i="1"/>
  <c r="Y177" i="1"/>
  <c r="Y178" i="1"/>
  <c r="Y179" i="1"/>
  <c r="V187" i="1"/>
  <c r="V188" i="1"/>
  <c r="V197" i="1"/>
  <c r="V198" i="1"/>
  <c r="X70" i="1"/>
  <c r="W186" i="1"/>
  <c r="W187" i="1"/>
  <c r="W188" i="1"/>
  <c r="W189" i="1"/>
  <c r="X74" i="1"/>
  <c r="W196" i="1"/>
  <c r="X78" i="1"/>
  <c r="W206" i="1"/>
  <c r="W207" i="1"/>
  <c r="W208" i="1"/>
  <c r="W209" i="1"/>
  <c r="Z76" i="1"/>
  <c r="Y201" i="1"/>
  <c r="Y202" i="1"/>
  <c r="Y203" i="1"/>
  <c r="Y204" i="1"/>
  <c r="AD42" i="11"/>
  <c r="AC114" i="11"/>
  <c r="AB115" i="11"/>
  <c r="AB116" i="11"/>
  <c r="AB117" i="11"/>
  <c r="W32" i="34"/>
  <c r="V32" i="34"/>
  <c r="K32" i="34"/>
  <c r="Z85" i="11"/>
  <c r="Z86" i="11"/>
  <c r="Z87" i="11"/>
  <c r="X100" i="11"/>
  <c r="X101" i="11"/>
  <c r="X102" i="11"/>
  <c r="W105" i="11"/>
  <c r="W106" i="11"/>
  <c r="AB30" i="11"/>
  <c r="AA84" i="11"/>
  <c r="Z36" i="11"/>
  <c r="Y99" i="11"/>
  <c r="Y38" i="11"/>
  <c r="X104" i="11"/>
  <c r="X134" i="10"/>
  <c r="Y50" i="10"/>
  <c r="W135" i="10"/>
  <c r="W136" i="10"/>
  <c r="W137" i="10"/>
  <c r="Y36" i="10"/>
  <c r="X99" i="10"/>
  <c r="W100" i="10"/>
  <c r="W101" i="10"/>
  <c r="W102" i="10"/>
  <c r="V155" i="22"/>
  <c r="V156" i="22"/>
  <c r="V157" i="22"/>
  <c r="X58" i="22"/>
  <c r="W154" i="22"/>
  <c r="W110" i="22"/>
  <c r="W111" i="22"/>
  <c r="W112" i="22"/>
  <c r="Y40" i="22"/>
  <c r="X109" i="22"/>
  <c r="Y36" i="22"/>
  <c r="X99" i="22"/>
  <c r="W145" i="22"/>
  <c r="W146" i="22"/>
  <c r="W147" i="22"/>
  <c r="W100" i="22"/>
  <c r="W101" i="22"/>
  <c r="W102" i="22"/>
  <c r="X144" i="22"/>
  <c r="Y54" i="22"/>
  <c r="Y150" i="8"/>
  <c r="Y151" i="8"/>
  <c r="Z149" i="8"/>
  <c r="AA56" i="8"/>
  <c r="W145" i="8"/>
  <c r="W146" i="8"/>
  <c r="Y54" i="8"/>
  <c r="X144" i="8"/>
  <c r="W129" i="8"/>
  <c r="X48" i="8"/>
  <c r="U85" i="8"/>
  <c r="U86" i="8"/>
  <c r="U87" i="8"/>
  <c r="X32" i="8"/>
  <c r="W89" i="8"/>
  <c r="X40" i="8"/>
  <c r="W109" i="8"/>
  <c r="V130" i="8"/>
  <c r="V131" i="8"/>
  <c r="V132" i="8"/>
  <c r="V84" i="8"/>
  <c r="W30" i="8"/>
  <c r="V110" i="8"/>
  <c r="V111" i="8"/>
  <c r="V112" i="8"/>
  <c r="V140" i="8"/>
  <c r="V141" i="8"/>
  <c r="V142" i="8"/>
  <c r="V90" i="8"/>
  <c r="V91" i="8"/>
  <c r="V92" i="8"/>
  <c r="W139" i="8"/>
  <c r="X52" i="8"/>
  <c r="V145" i="7"/>
  <c r="V146" i="7"/>
  <c r="V147" i="7"/>
  <c r="X54" i="7"/>
  <c r="W144" i="7"/>
  <c r="V140" i="7"/>
  <c r="V141" i="7"/>
  <c r="V142" i="7"/>
  <c r="X52" i="7"/>
  <c r="W139" i="7"/>
  <c r="V135" i="7"/>
  <c r="V136" i="7"/>
  <c r="V137" i="7"/>
  <c r="W134" i="7"/>
  <c r="X50" i="7"/>
  <c r="AC90" i="7"/>
  <c r="AC91" i="7"/>
  <c r="AC92" i="7"/>
  <c r="AE32" i="7"/>
  <c r="AD89" i="7"/>
  <c r="Y120" i="7"/>
  <c r="Y121" i="7"/>
  <c r="Y122" i="7"/>
  <c r="X125" i="7"/>
  <c r="X126" i="7"/>
  <c r="X127" i="7"/>
  <c r="Z119" i="7"/>
  <c r="AA44" i="7"/>
  <c r="Z46" i="7"/>
  <c r="Y124" i="7"/>
  <c r="W163" i="6"/>
  <c r="X56" i="6"/>
  <c r="V164" i="6"/>
  <c r="V165" i="6"/>
  <c r="V166" i="6"/>
  <c r="V159" i="6"/>
  <c r="V160" i="6"/>
  <c r="V161" i="6"/>
  <c r="X54" i="6"/>
  <c r="W158" i="6"/>
  <c r="V154" i="6"/>
  <c r="V155" i="6"/>
  <c r="V156" i="6"/>
  <c r="W153" i="6"/>
  <c r="X52" i="6"/>
  <c r="X50" i="6"/>
  <c r="W148" i="6"/>
  <c r="V149" i="6"/>
  <c r="V150" i="6"/>
  <c r="V151" i="6"/>
  <c r="W143" i="6"/>
  <c r="X48" i="6"/>
  <c r="V144" i="6"/>
  <c r="V145" i="6"/>
  <c r="V146" i="6"/>
  <c r="X159" i="9"/>
  <c r="Y60" i="9"/>
  <c r="W160" i="9"/>
  <c r="W161" i="9"/>
  <c r="W162" i="9"/>
  <c r="V155" i="9"/>
  <c r="V156" i="9"/>
  <c r="V157" i="9"/>
  <c r="X58" i="9"/>
  <c r="W154" i="9"/>
  <c r="W110" i="9"/>
  <c r="W111" i="9"/>
  <c r="W112" i="9"/>
  <c r="W100" i="9"/>
  <c r="W101" i="9"/>
  <c r="W102" i="9"/>
  <c r="X99" i="9"/>
  <c r="Y36" i="9"/>
  <c r="Y40" i="9"/>
  <c r="X109" i="9"/>
  <c r="W166" i="1"/>
  <c r="X62" i="1"/>
  <c r="V167" i="1"/>
  <c r="V168" i="1"/>
  <c r="V169" i="1"/>
  <c r="W146" i="1"/>
  <c r="X54" i="1"/>
  <c r="V127" i="1"/>
  <c r="V128" i="1"/>
  <c r="V129" i="1"/>
  <c r="V147" i="1"/>
  <c r="V148" i="1"/>
  <c r="V149" i="1"/>
  <c r="W126" i="1"/>
  <c r="X46" i="1"/>
  <c r="Z44" i="1"/>
  <c r="Y121" i="1"/>
  <c r="X122" i="1"/>
  <c r="X123" i="1"/>
  <c r="X124" i="1"/>
  <c r="X102" i="1"/>
  <c r="X103" i="1"/>
  <c r="X104" i="1"/>
  <c r="V107" i="1"/>
  <c r="V108" i="1"/>
  <c r="V109" i="1"/>
  <c r="Y101" i="1"/>
  <c r="Z36" i="1"/>
  <c r="Z40" i="1"/>
  <c r="Y111" i="1"/>
  <c r="X112" i="1"/>
  <c r="X113" i="1"/>
  <c r="X114" i="1"/>
  <c r="W106" i="1"/>
  <c r="X38" i="1"/>
  <c r="U34" i="37"/>
  <c r="W34" i="37"/>
  <c r="V34" i="37"/>
  <c r="AB35" i="31"/>
  <c r="AE35" i="31"/>
  <c r="X129" i="7"/>
  <c r="X130" i="7"/>
  <c r="X131" i="7"/>
  <c r="X132" i="7"/>
  <c r="Y48" i="7"/>
  <c r="L33" i="36"/>
  <c r="T33" i="36"/>
  <c r="AG33" i="36"/>
  <c r="AD33" i="36"/>
  <c r="X33" i="36"/>
  <c r="Y33" i="36"/>
  <c r="AA33" i="36"/>
  <c r="AC33" i="36"/>
  <c r="AB33" i="36"/>
  <c r="AF33" i="36"/>
  <c r="AE33" i="36"/>
  <c r="Z33" i="36"/>
  <c r="U34" i="35"/>
  <c r="K34" i="35"/>
  <c r="W34" i="35"/>
  <c r="V34" i="35"/>
  <c r="AB34" i="35"/>
  <c r="BG59" i="11"/>
  <c r="BH229" i="11"/>
  <c r="BE194" i="9"/>
  <c r="BF74" i="9"/>
  <c r="BD195" i="9"/>
  <c r="BD196" i="9"/>
  <c r="BW26" i="2"/>
  <c r="M33" i="41"/>
  <c r="BX147" i="2"/>
  <c r="BC197" i="9"/>
  <c r="K35" i="31"/>
  <c r="AG35" i="31"/>
  <c r="Z35" i="31"/>
  <c r="AF35" i="31"/>
  <c r="AH35" i="31"/>
  <c r="AA35" i="31"/>
  <c r="M31" i="36"/>
  <c r="N31" i="36"/>
  <c r="O31" i="36"/>
  <c r="P31" i="36"/>
  <c r="Q31" i="36"/>
  <c r="R31" i="36"/>
  <c r="CF24" i="2"/>
  <c r="U27" i="30"/>
  <c r="W27" i="30"/>
  <c r="V27" i="30"/>
  <c r="Z27" i="30"/>
  <c r="J41" i="41"/>
  <c r="H40" i="41"/>
  <c r="H30" i="41"/>
  <c r="J31" i="41"/>
  <c r="AE14" i="39"/>
  <c r="W28" i="41"/>
  <c r="V28" i="41"/>
  <c r="K28" i="41"/>
  <c r="L28" i="41"/>
  <c r="N28" i="41"/>
  <c r="O28" i="41"/>
  <c r="P28" i="41"/>
  <c r="AU152" i="10"/>
  <c r="AS177" i="22"/>
  <c r="AH167" i="10"/>
  <c r="AN182" i="8"/>
  <c r="AA207" i="11"/>
  <c r="V207" i="8"/>
  <c r="V167" i="9"/>
  <c r="V177" i="7"/>
  <c r="AW177" i="9"/>
  <c r="AP147" i="10"/>
  <c r="Z127" i="11"/>
  <c r="AD167" i="22"/>
  <c r="V202" i="22"/>
  <c r="AF207" i="22"/>
  <c r="W202" i="7"/>
  <c r="AP212" i="11"/>
  <c r="V162" i="10"/>
  <c r="AF192" i="22"/>
  <c r="V202" i="10"/>
  <c r="AL197" i="11"/>
  <c r="V187" i="8"/>
  <c r="AU260" i="40"/>
  <c r="AU261" i="40"/>
  <c r="AU262" i="40"/>
  <c r="AN289" i="40"/>
  <c r="AO110" i="40"/>
  <c r="AN244" i="40"/>
  <c r="AO92" i="40"/>
  <c r="AN269" i="40"/>
  <c r="AN270" i="40"/>
  <c r="AN271" i="40"/>
  <c r="AN272" i="40"/>
  <c r="AO102" i="40"/>
  <c r="AM290" i="40"/>
  <c r="AM291" i="40"/>
  <c r="AM292" i="40"/>
  <c r="AM245" i="40"/>
  <c r="AM246" i="40"/>
  <c r="AM247" i="40"/>
  <c r="AM270" i="40"/>
  <c r="AM271" i="40"/>
  <c r="AM272" i="40"/>
  <c r="AN264" i="40"/>
  <c r="AN265" i="40"/>
  <c r="AN266" i="40"/>
  <c r="AN267" i="40"/>
  <c r="AO100" i="40"/>
  <c r="AN249" i="40"/>
  <c r="AO94" i="40"/>
  <c r="AN284" i="40"/>
  <c r="AO108" i="40"/>
  <c r="AT275" i="40"/>
  <c r="AT276" i="40"/>
  <c r="AT277" i="40"/>
  <c r="AM265" i="40"/>
  <c r="AM266" i="40"/>
  <c r="AM267" i="40"/>
  <c r="AM250" i="40"/>
  <c r="AM251" i="40"/>
  <c r="AM252" i="40"/>
  <c r="AM285" i="40"/>
  <c r="AM286" i="40"/>
  <c r="AM287" i="40"/>
  <c r="AV98" i="40"/>
  <c r="AV259" i="40"/>
  <c r="AU96" i="40"/>
  <c r="AU254" i="40"/>
  <c r="AU255" i="40"/>
  <c r="AU256" i="40"/>
  <c r="AU257" i="40"/>
  <c r="AT106" i="40"/>
  <c r="AT279" i="40"/>
  <c r="AU104" i="40"/>
  <c r="AU274" i="40"/>
  <c r="AQ90" i="40"/>
  <c r="AP84" i="40"/>
  <c r="AO224" i="40"/>
  <c r="AM190" i="40"/>
  <c r="AM191" i="40"/>
  <c r="AM192" i="40"/>
  <c r="AN235" i="40"/>
  <c r="AN236" i="40"/>
  <c r="AN237" i="40"/>
  <c r="AP60" i="40"/>
  <c r="AO164" i="40"/>
  <c r="AO54" i="40"/>
  <c r="AN149" i="40"/>
  <c r="AO58" i="40"/>
  <c r="AN159" i="40"/>
  <c r="AO86" i="40"/>
  <c r="AN229" i="40"/>
  <c r="AO185" i="40"/>
  <c r="AO186" i="40"/>
  <c r="AP50" i="40"/>
  <c r="AO139" i="40"/>
  <c r="AN239" i="40"/>
  <c r="AQ64" i="40"/>
  <c r="AP174" i="40"/>
  <c r="AM120" i="40"/>
  <c r="AM121" i="40"/>
  <c r="AM122" i="40"/>
  <c r="AP76" i="40"/>
  <c r="AO204" i="40"/>
  <c r="AO78" i="40"/>
  <c r="AN209" i="40"/>
  <c r="AM170" i="40"/>
  <c r="AM171" i="40"/>
  <c r="AM172" i="40"/>
  <c r="AL242" i="40"/>
  <c r="AM145" i="40"/>
  <c r="AM146" i="40"/>
  <c r="AM147" i="40"/>
  <c r="AN115" i="40"/>
  <c r="AN116" i="40"/>
  <c r="AN117" i="40"/>
  <c r="AP88" i="40"/>
  <c r="AO234" i="40"/>
  <c r="AO74" i="40"/>
  <c r="AN199" i="40"/>
  <c r="AQ72" i="40"/>
  <c r="AP194" i="40"/>
  <c r="AO48" i="40"/>
  <c r="AN134" i="40"/>
  <c r="AO56" i="40"/>
  <c r="AN154" i="40"/>
  <c r="AM125" i="40"/>
  <c r="AM126" i="40"/>
  <c r="AM127" i="40"/>
  <c r="AO195" i="40"/>
  <c r="AO196" i="40"/>
  <c r="AO197" i="40"/>
  <c r="AL172" i="40"/>
  <c r="AM135" i="40"/>
  <c r="AM136" i="40"/>
  <c r="AM137" i="40"/>
  <c r="AM155" i="40"/>
  <c r="AM156" i="40"/>
  <c r="AM157" i="40"/>
  <c r="AO70" i="40"/>
  <c r="AN189" i="40"/>
  <c r="AM237" i="40"/>
  <c r="AL202" i="40"/>
  <c r="AN197" i="40"/>
  <c r="AN180" i="40"/>
  <c r="AN181" i="40"/>
  <c r="AM220" i="40"/>
  <c r="AM221" i="40"/>
  <c r="AM222" i="40"/>
  <c r="AL232" i="40"/>
  <c r="AM130" i="40"/>
  <c r="AM131" i="40"/>
  <c r="AM132" i="40"/>
  <c r="AO42" i="40"/>
  <c r="AN119" i="40"/>
  <c r="AN215" i="40"/>
  <c r="AN216" i="40"/>
  <c r="AN217" i="40"/>
  <c r="AP40" i="40"/>
  <c r="AO114" i="40"/>
  <c r="AL212" i="40"/>
  <c r="AN124" i="40"/>
  <c r="AO44" i="40"/>
  <c r="AM150" i="40"/>
  <c r="AM151" i="40"/>
  <c r="AM152" i="40"/>
  <c r="AP66" i="40"/>
  <c r="AO179" i="40"/>
  <c r="AO82" i="40"/>
  <c r="AN219" i="40"/>
  <c r="AN205" i="40"/>
  <c r="AN206" i="40"/>
  <c r="AN207" i="40"/>
  <c r="AN225" i="40"/>
  <c r="AN226" i="40"/>
  <c r="AN227" i="40"/>
  <c r="AM160" i="40"/>
  <c r="AM161" i="40"/>
  <c r="AM230" i="40"/>
  <c r="AM231" i="40"/>
  <c r="AM232" i="40"/>
  <c r="AQ68" i="40"/>
  <c r="AP184" i="40"/>
  <c r="AN140" i="40"/>
  <c r="AN141" i="40"/>
  <c r="AN142" i="40"/>
  <c r="AM240" i="40"/>
  <c r="AM241" i="40"/>
  <c r="AM242" i="40"/>
  <c r="AN187" i="40"/>
  <c r="AO175" i="40"/>
  <c r="AO176" i="40"/>
  <c r="AO177" i="40"/>
  <c r="AO46" i="40"/>
  <c r="AN129" i="40"/>
  <c r="AM142" i="40"/>
  <c r="AM210" i="40"/>
  <c r="AM211" i="40"/>
  <c r="AP80" i="40"/>
  <c r="AO214" i="40"/>
  <c r="AO62" i="40"/>
  <c r="AN169" i="40"/>
  <c r="AO52" i="40"/>
  <c r="AN144" i="40"/>
  <c r="AN165" i="40"/>
  <c r="AN166" i="40"/>
  <c r="AM200" i="40"/>
  <c r="AM201" i="40"/>
  <c r="AM202" i="40"/>
  <c r="AP162" i="22"/>
  <c r="W201" i="22"/>
  <c r="W200" i="22"/>
  <c r="BM55" i="11"/>
  <c r="BN227" i="11"/>
  <c r="AB205" i="11"/>
  <c r="AB206" i="11"/>
  <c r="AX170" i="10"/>
  <c r="AX171" i="10"/>
  <c r="W205" i="8"/>
  <c r="W206" i="8"/>
  <c r="AR144" i="10"/>
  <c r="AS54" i="10"/>
  <c r="AH175" i="10"/>
  <c r="AH176" i="10"/>
  <c r="AC46" i="11"/>
  <c r="AB124" i="11"/>
  <c r="BS61" i="11"/>
  <c r="BT230" i="11"/>
  <c r="AH189" i="22"/>
  <c r="AI72" i="22"/>
  <c r="BP81" i="8"/>
  <c r="BQ240" i="8"/>
  <c r="AC166" i="8"/>
  <c r="AC165" i="8"/>
  <c r="AD186" i="22"/>
  <c r="AD185" i="22"/>
  <c r="X200" i="7"/>
  <c r="X201" i="7"/>
  <c r="W175" i="7"/>
  <c r="W176" i="7"/>
  <c r="X150" i="11"/>
  <c r="X151" i="11"/>
  <c r="AJ155" i="8"/>
  <c r="AJ156" i="8"/>
  <c r="Z156" i="7"/>
  <c r="Z155" i="7"/>
  <c r="AF164" i="22"/>
  <c r="AG62" i="22"/>
  <c r="AW172" i="10"/>
  <c r="Y76" i="22"/>
  <c r="X199" i="22"/>
  <c r="AG206" i="22"/>
  <c r="AG205" i="22"/>
  <c r="AA162" i="7"/>
  <c r="Y46" i="6"/>
  <c r="X138" i="6"/>
  <c r="X139" i="6"/>
  <c r="X140" i="6"/>
  <c r="X141" i="6"/>
  <c r="W135" i="11"/>
  <c r="W136" i="11"/>
  <c r="AI157" i="8"/>
  <c r="AD78" i="11"/>
  <c r="AC204" i="11"/>
  <c r="AZ64" i="10"/>
  <c r="AY169" i="10"/>
  <c r="Y78" i="8"/>
  <c r="X204" i="8"/>
  <c r="AT175" i="22"/>
  <c r="AT176" i="22"/>
  <c r="AX176" i="9"/>
  <c r="AX175" i="9"/>
  <c r="V137" i="11"/>
  <c r="AE207" i="9"/>
  <c r="AX157" i="10"/>
  <c r="AC207" i="7"/>
  <c r="Y56" i="22"/>
  <c r="X149" i="22"/>
  <c r="X150" i="22"/>
  <c r="X151" i="22"/>
  <c r="X152" i="22"/>
  <c r="W160" i="10"/>
  <c r="W161" i="10"/>
  <c r="AH64" i="9"/>
  <c r="AG169" i="9"/>
  <c r="AG191" i="22"/>
  <c r="AG190" i="22"/>
  <c r="AG177" i="10"/>
  <c r="AV212" i="10"/>
  <c r="AE62" i="8"/>
  <c r="AD164" i="8"/>
  <c r="AF70" i="22"/>
  <c r="AE184" i="22"/>
  <c r="Z76" i="7"/>
  <c r="Y199" i="7"/>
  <c r="Y66" i="7"/>
  <c r="X174" i="7"/>
  <c r="Z56" i="11"/>
  <c r="Y149" i="11"/>
  <c r="AL58" i="8"/>
  <c r="AK154" i="8"/>
  <c r="AB58" i="7"/>
  <c r="AA154" i="7"/>
  <c r="AE166" i="22"/>
  <c r="AE165" i="22"/>
  <c r="P29" i="26"/>
  <c r="K29" i="26"/>
  <c r="W181" i="10"/>
  <c r="W180" i="10"/>
  <c r="AH204" i="22"/>
  <c r="AI78" i="22"/>
  <c r="AI166" i="10"/>
  <c r="AI165" i="10"/>
  <c r="Y50" i="11"/>
  <c r="X134" i="11"/>
  <c r="AF206" i="9"/>
  <c r="AF205" i="9"/>
  <c r="AY156" i="10"/>
  <c r="AY155" i="10"/>
  <c r="AF78" i="7"/>
  <c r="AE204" i="7"/>
  <c r="AV66" i="22"/>
  <c r="AU174" i="22"/>
  <c r="AZ66" i="9"/>
  <c r="AY174" i="9"/>
  <c r="X159" i="10"/>
  <c r="Y60" i="10"/>
  <c r="AF170" i="9"/>
  <c r="AF171" i="9"/>
  <c r="Y76" i="10"/>
  <c r="X199" i="10"/>
  <c r="AM195" i="11"/>
  <c r="AM196" i="11"/>
  <c r="W186" i="8"/>
  <c r="W185" i="8"/>
  <c r="AM184" i="10"/>
  <c r="AN70" i="10"/>
  <c r="AD60" i="7"/>
  <c r="AC159" i="7"/>
  <c r="Y62" i="9"/>
  <c r="X164" i="9"/>
  <c r="W200" i="11"/>
  <c r="W201" i="11"/>
  <c r="AW210" i="10"/>
  <c r="AW211" i="10"/>
  <c r="X179" i="10"/>
  <c r="Y68" i="10"/>
  <c r="W152" i="11"/>
  <c r="AK187" i="10"/>
  <c r="AJ164" i="10"/>
  <c r="AK62" i="10"/>
  <c r="V202" i="11"/>
  <c r="AG204" i="9"/>
  <c r="AH78" i="9"/>
  <c r="BA58" i="10"/>
  <c r="AZ154" i="10"/>
  <c r="V182" i="10"/>
  <c r="AD206" i="7"/>
  <c r="AD205" i="7"/>
  <c r="AE172" i="9"/>
  <c r="AQ146" i="10"/>
  <c r="AQ145" i="10"/>
  <c r="AJ66" i="10"/>
  <c r="AI174" i="10"/>
  <c r="AA125" i="11"/>
  <c r="AA126" i="11"/>
  <c r="W200" i="10"/>
  <c r="W201" i="10"/>
  <c r="AO74" i="11"/>
  <c r="AN194" i="11"/>
  <c r="Y157" i="7"/>
  <c r="Y70" i="8"/>
  <c r="X184" i="8"/>
  <c r="AL186" i="10"/>
  <c r="AL185" i="10"/>
  <c r="AB161" i="7"/>
  <c r="AB160" i="7"/>
  <c r="W166" i="9"/>
  <c r="W165" i="9"/>
  <c r="Y76" i="11"/>
  <c r="X199" i="11"/>
  <c r="AY80" i="10"/>
  <c r="AX209" i="10"/>
  <c r="AB167" i="8"/>
  <c r="AC187" i="22"/>
  <c r="AK13" i="26"/>
  <c r="S30" i="37"/>
  <c r="S30" i="36"/>
  <c r="AF13" i="26"/>
  <c r="S30" i="35"/>
  <c r="AA13" i="26"/>
  <c r="Q31" i="35"/>
  <c r="R31" i="35"/>
  <c r="S30" i="34"/>
  <c r="V13" i="26"/>
  <c r="Q13" i="26"/>
  <c r="S30" i="33"/>
  <c r="Q31" i="33"/>
  <c r="R31" i="33"/>
  <c r="L34" i="33"/>
  <c r="L13" i="26"/>
  <c r="S30" i="32"/>
  <c r="Q31" i="32"/>
  <c r="R31" i="32"/>
  <c r="G13" i="26"/>
  <c r="S30" i="31"/>
  <c r="AI35" i="31"/>
  <c r="AC35" i="31"/>
  <c r="X35" i="31"/>
  <c r="AD35" i="31"/>
  <c r="Y35" i="31"/>
  <c r="Q31" i="31"/>
  <c r="R31" i="31"/>
  <c r="AA40" i="11"/>
  <c r="Z109" i="11"/>
  <c r="Z110" i="11"/>
  <c r="Z111" i="11"/>
  <c r="Z112" i="11"/>
  <c r="Y30" i="10"/>
  <c r="X84" i="10"/>
  <c r="X85" i="10"/>
  <c r="X86" i="10"/>
  <c r="X87" i="10"/>
  <c r="X109" i="10"/>
  <c r="X110" i="10"/>
  <c r="X111" i="10"/>
  <c r="X112" i="10"/>
  <c r="Y40" i="10"/>
  <c r="Y34" i="10"/>
  <c r="X94" i="10"/>
  <c r="X95" i="10"/>
  <c r="X96" i="10"/>
  <c r="X97" i="10"/>
  <c r="Y46" i="10"/>
  <c r="X124" i="10"/>
  <c r="X125" i="10"/>
  <c r="X126" i="10"/>
  <c r="X127" i="10"/>
  <c r="Y32" i="10"/>
  <c r="X89" i="10"/>
  <c r="X90" i="10"/>
  <c r="X91" i="10"/>
  <c r="X92" i="10"/>
  <c r="W140" i="10"/>
  <c r="W141" i="10"/>
  <c r="W142" i="10"/>
  <c r="Y119" i="10"/>
  <c r="Y120" i="10"/>
  <c r="Y121" i="10"/>
  <c r="Y122" i="10"/>
  <c r="Z44" i="10"/>
  <c r="X129" i="10"/>
  <c r="X130" i="10"/>
  <c r="X131" i="10"/>
  <c r="X132" i="10"/>
  <c r="Y48" i="10"/>
  <c r="Y42" i="10"/>
  <c r="X114" i="10"/>
  <c r="X115" i="10"/>
  <c r="X116" i="10"/>
  <c r="X117" i="10"/>
  <c r="X104" i="10"/>
  <c r="X105" i="10"/>
  <c r="X106" i="10"/>
  <c r="X107" i="10"/>
  <c r="Y38" i="10"/>
  <c r="X139" i="10"/>
  <c r="X140" i="10"/>
  <c r="X141" i="10"/>
  <c r="X142" i="10"/>
  <c r="Y52" i="10"/>
  <c r="Y50" i="22"/>
  <c r="X134" i="22"/>
  <c r="X135" i="22"/>
  <c r="X136" i="22"/>
  <c r="X137" i="22"/>
  <c r="Y124" i="22"/>
  <c r="Y125" i="22"/>
  <c r="Y126" i="22"/>
  <c r="Y127" i="22"/>
  <c r="Z46" i="22"/>
  <c r="Y139" i="22"/>
  <c r="Y140" i="22"/>
  <c r="Y141" i="22"/>
  <c r="Y142" i="22"/>
  <c r="Z52" i="22"/>
  <c r="Y42" i="22"/>
  <c r="X114" i="22"/>
  <c r="X115" i="22"/>
  <c r="X116" i="22"/>
  <c r="X117" i="22"/>
  <c r="Z50" i="8"/>
  <c r="Y134" i="8"/>
  <c r="Y135" i="8"/>
  <c r="Y136" i="8"/>
  <c r="Y137" i="8"/>
  <c r="Y46" i="8"/>
  <c r="X124" i="8"/>
  <c r="X125" i="8"/>
  <c r="X126" i="8"/>
  <c r="X127" i="8"/>
  <c r="AQ197" i="7"/>
  <c r="AL162" i="8"/>
  <c r="AR197" i="22"/>
  <c r="AR197" i="10"/>
  <c r="AU172" i="22"/>
  <c r="AM192" i="11"/>
  <c r="AP177" i="8"/>
  <c r="AT207" i="10"/>
  <c r="AU187" i="9"/>
  <c r="AR197" i="8"/>
  <c r="AS212" i="22"/>
  <c r="V192" i="9"/>
  <c r="BF73" i="7"/>
  <c r="BG236" i="7"/>
  <c r="AR66" i="11"/>
  <c r="AQ174" i="11"/>
  <c r="AQ187" i="7"/>
  <c r="AX210" i="9"/>
  <c r="AX211" i="9"/>
  <c r="AQ210" i="11"/>
  <c r="AQ211" i="11"/>
  <c r="AO200" i="8"/>
  <c r="AO201" i="8"/>
  <c r="W200" i="9"/>
  <c r="W201" i="9"/>
  <c r="AT194" i="22"/>
  <c r="AU74" i="22"/>
  <c r="AS196" i="8"/>
  <c r="AS195" i="8"/>
  <c r="AT74" i="7"/>
  <c r="AS194" i="7"/>
  <c r="BB192" i="10"/>
  <c r="AY181" i="7"/>
  <c r="AY180" i="7"/>
  <c r="AN202" i="8"/>
  <c r="AA192" i="8"/>
  <c r="AM161" i="8"/>
  <c r="AM160" i="8"/>
  <c r="BE25" i="2"/>
  <c r="BF146" i="2"/>
  <c r="AW146" i="2"/>
  <c r="AV25" i="2"/>
  <c r="M32" i="35"/>
  <c r="N32" i="35"/>
  <c r="O32" i="35"/>
  <c r="P32" i="35"/>
  <c r="Y32" i="22"/>
  <c r="X89" i="22"/>
  <c r="X90" i="22"/>
  <c r="X91" i="22"/>
  <c r="X92" i="22"/>
  <c r="AX182" i="7"/>
  <c r="AV204" i="10"/>
  <c r="AW78" i="10"/>
  <c r="AT70" i="7"/>
  <c r="AS184" i="7"/>
  <c r="BF87" i="22"/>
  <c r="AU179" i="9"/>
  <c r="AV68" i="9"/>
  <c r="A148" i="2"/>
  <c r="BW148" i="2"/>
  <c r="A28" i="2"/>
  <c r="BT63" i="11"/>
  <c r="BU231" i="11"/>
  <c r="BP65" i="11"/>
  <c r="BQ232" i="11"/>
  <c r="BB140" i="11"/>
  <c r="BB141" i="11"/>
  <c r="AS80" i="11"/>
  <c r="AR209" i="11"/>
  <c r="AU210" i="7"/>
  <c r="AU211" i="7"/>
  <c r="AQ68" i="8"/>
  <c r="AP179" i="8"/>
  <c r="X199" i="9"/>
  <c r="Y76" i="9"/>
  <c r="BU69" i="11"/>
  <c r="BV234" i="11"/>
  <c r="AS195" i="22"/>
  <c r="AS196" i="22"/>
  <c r="AT194" i="10"/>
  <c r="AU74" i="10"/>
  <c r="AX131" i="11"/>
  <c r="AX130" i="11"/>
  <c r="AU74" i="8"/>
  <c r="AT194" i="8"/>
  <c r="BA68" i="7"/>
  <c r="AZ179" i="7"/>
  <c r="AO60" i="8"/>
  <c r="AN159" i="8"/>
  <c r="BN25" i="2"/>
  <c r="M32" i="37"/>
  <c r="BO146" i="2"/>
  <c r="D146" i="2"/>
  <c r="C25" i="2"/>
  <c r="M33" i="30"/>
  <c r="AU205" i="10"/>
  <c r="AU206" i="10"/>
  <c r="AX64" i="22"/>
  <c r="AW169" i="22"/>
  <c r="AM147" i="2"/>
  <c r="C147" i="2"/>
  <c r="AV147" i="2"/>
  <c r="L147" i="2"/>
  <c r="BN147" i="2"/>
  <c r="AD147" i="2"/>
  <c r="U147" i="2"/>
  <c r="BE147" i="2"/>
  <c r="AQ176" i="8"/>
  <c r="AQ175" i="8"/>
  <c r="AS179" i="22"/>
  <c r="AT68" i="22"/>
  <c r="AV151" i="10"/>
  <c r="AV150" i="10"/>
  <c r="BD52" i="11"/>
  <c r="BC139" i="11"/>
  <c r="BH172" i="7"/>
  <c r="AQ182" i="22"/>
  <c r="AW80" i="7"/>
  <c r="AV209" i="7"/>
  <c r="BC191" i="10"/>
  <c r="BC190" i="10"/>
  <c r="W191" i="9"/>
  <c r="W190" i="9"/>
  <c r="AO180" i="8"/>
  <c r="AO181" i="8"/>
  <c r="AO177" i="11"/>
  <c r="AW184" i="9"/>
  <c r="AX70" i="9"/>
  <c r="AB190" i="8"/>
  <c r="AB191" i="8"/>
  <c r="AS196" i="10"/>
  <c r="AS195" i="10"/>
  <c r="AZ48" i="11"/>
  <c r="AY129" i="11"/>
  <c r="BA142" i="11"/>
  <c r="AT212" i="7"/>
  <c r="P32" i="34"/>
  <c r="Q32" i="34"/>
  <c r="R31" i="34"/>
  <c r="BH65" i="8"/>
  <c r="BI232" i="8"/>
  <c r="AN190" i="11"/>
  <c r="AN191" i="11"/>
  <c r="V202" i="9"/>
  <c r="AU209" i="22"/>
  <c r="AV80" i="22"/>
  <c r="BH84" i="22"/>
  <c r="BI30" i="22"/>
  <c r="AS182" i="9"/>
  <c r="AW132" i="11"/>
  <c r="AD25" i="2"/>
  <c r="M32" i="33"/>
  <c r="N32" i="33"/>
  <c r="O32" i="33"/>
  <c r="P32" i="33"/>
  <c r="AE146" i="2"/>
  <c r="L25" i="2"/>
  <c r="M32" i="31"/>
  <c r="N32" i="31"/>
  <c r="O32" i="31"/>
  <c r="P32" i="31"/>
  <c r="M146" i="2"/>
  <c r="AW212" i="9"/>
  <c r="AS60" i="22"/>
  <c r="AR159" i="22"/>
  <c r="AV170" i="22"/>
  <c r="AV171" i="22"/>
  <c r="BI171" i="7"/>
  <c r="BI170" i="7"/>
  <c r="AS66" i="8"/>
  <c r="AR174" i="8"/>
  <c r="AR180" i="22"/>
  <c r="AR181" i="22"/>
  <c r="AW149" i="10"/>
  <c r="AX56" i="10"/>
  <c r="AP176" i="11"/>
  <c r="AP175" i="11"/>
  <c r="AY209" i="9"/>
  <c r="AZ80" i="9"/>
  <c r="M85" i="37"/>
  <c r="L86" i="37"/>
  <c r="BD189" i="10"/>
  <c r="BE72" i="10"/>
  <c r="R31" i="37"/>
  <c r="P32" i="37"/>
  <c r="Q32" i="37"/>
  <c r="AQ76" i="8"/>
  <c r="AP199" i="8"/>
  <c r="Y72" i="9"/>
  <c r="X189" i="9"/>
  <c r="AV186" i="9"/>
  <c r="AV185" i="9"/>
  <c r="AD72" i="8"/>
  <c r="AC189" i="8"/>
  <c r="AR196" i="7"/>
  <c r="AR195" i="7"/>
  <c r="AP72" i="11"/>
  <c r="AO189" i="11"/>
  <c r="AT210" i="22"/>
  <c r="AT211" i="22"/>
  <c r="BG85" i="22"/>
  <c r="BG86" i="22"/>
  <c r="AM25" i="2"/>
  <c r="M32" i="34"/>
  <c r="AN146" i="2"/>
  <c r="U25" i="2"/>
  <c r="M32" i="32"/>
  <c r="N32" i="32"/>
  <c r="O32" i="32"/>
  <c r="P32" i="32"/>
  <c r="V146" i="2"/>
  <c r="AR185" i="7"/>
  <c r="AR186" i="7"/>
  <c r="AT180" i="9"/>
  <c r="AT181" i="9"/>
  <c r="AQ161" i="22"/>
  <c r="AQ160" i="22"/>
  <c r="BK64" i="7"/>
  <c r="BJ169" i="7"/>
  <c r="K26" i="30"/>
  <c r="L26" i="30"/>
  <c r="N26" i="30"/>
  <c r="O26" i="30"/>
  <c r="T25" i="30"/>
  <c r="P25" i="30"/>
  <c r="Q25" i="30"/>
  <c r="J37" i="30"/>
  <c r="W19" i="39"/>
  <c r="H36" i="30"/>
  <c r="J36" i="30"/>
  <c r="W18" i="39"/>
  <c r="F49" i="30"/>
  <c r="G48" i="30"/>
  <c r="L35" i="31"/>
  <c r="T35" i="31"/>
  <c r="X114" i="8"/>
  <c r="X115" i="8"/>
  <c r="X116" i="8"/>
  <c r="X117" i="8"/>
  <c r="Y42" i="8"/>
  <c r="Y44" i="8"/>
  <c r="X119" i="8"/>
  <c r="X120" i="8"/>
  <c r="X121" i="8"/>
  <c r="X122" i="8"/>
  <c r="AC94" i="8"/>
  <c r="AC95" i="8"/>
  <c r="AC96" i="8"/>
  <c r="AC97" i="8"/>
  <c r="AD34" i="8"/>
  <c r="AD167" i="7"/>
  <c r="X89" i="11"/>
  <c r="X90" i="11"/>
  <c r="X91" i="11"/>
  <c r="X92" i="11"/>
  <c r="Y32" i="11"/>
  <c r="AF164" i="7"/>
  <c r="AG62" i="7"/>
  <c r="AE166" i="7"/>
  <c r="AE165" i="7"/>
  <c r="Y84" i="9"/>
  <c r="Y85" i="9"/>
  <c r="Y86" i="9"/>
  <c r="Y87" i="9"/>
  <c r="Z30" i="9"/>
  <c r="Y52" i="9"/>
  <c r="X139" i="9"/>
  <c r="X140" i="9"/>
  <c r="X141" i="9"/>
  <c r="X142" i="9"/>
  <c r="Z86" i="1"/>
  <c r="Z87" i="1"/>
  <c r="Z88" i="1"/>
  <c r="Z89" i="1"/>
  <c r="AA30" i="1"/>
  <c r="X141" i="1"/>
  <c r="X142" i="1"/>
  <c r="X143" i="1"/>
  <c r="X144" i="1"/>
  <c r="Y52" i="1"/>
  <c r="X156" i="1"/>
  <c r="X157" i="1"/>
  <c r="X158" i="1"/>
  <c r="X159" i="1"/>
  <c r="Y58" i="1"/>
  <c r="X171" i="1"/>
  <c r="X172" i="1"/>
  <c r="X173" i="1"/>
  <c r="X174" i="1"/>
  <c r="Y64" i="1"/>
  <c r="Y34" i="1"/>
  <c r="X96" i="1"/>
  <c r="X97" i="1"/>
  <c r="X98" i="1"/>
  <c r="X99" i="1"/>
  <c r="Z91" i="1"/>
  <c r="Z92" i="1"/>
  <c r="Z93" i="1"/>
  <c r="Z94" i="1"/>
  <c r="AA32" i="1"/>
  <c r="W172" i="1"/>
  <c r="W173" i="1"/>
  <c r="W174" i="1"/>
  <c r="Y68" i="1"/>
  <c r="X181" i="1"/>
  <c r="X182" i="1"/>
  <c r="X183" i="1"/>
  <c r="X184" i="1"/>
  <c r="Y48" i="1"/>
  <c r="X131" i="1"/>
  <c r="X132" i="1"/>
  <c r="X133" i="1"/>
  <c r="X134" i="1"/>
  <c r="W137" i="1"/>
  <c r="W138" i="1"/>
  <c r="W139" i="1"/>
  <c r="X136" i="1"/>
  <c r="X137" i="1"/>
  <c r="X138" i="1"/>
  <c r="X139" i="1"/>
  <c r="Y50" i="1"/>
  <c r="AD34" i="35"/>
  <c r="W34" i="33"/>
  <c r="V34" i="33"/>
  <c r="AB34" i="33"/>
  <c r="W34" i="32"/>
  <c r="V34" i="32"/>
  <c r="K34" i="32"/>
  <c r="Z29" i="26"/>
  <c r="U29" i="26"/>
  <c r="AE29" i="26"/>
  <c r="AJ29" i="26"/>
  <c r="F29" i="26"/>
  <c r="I49" i="30"/>
  <c r="A30" i="26"/>
  <c r="AO30" i="26"/>
  <c r="Y34" i="35"/>
  <c r="X34" i="35"/>
  <c r="Y119" i="22"/>
  <c r="Y120" i="22"/>
  <c r="Y121" i="22"/>
  <c r="Y122" i="22"/>
  <c r="Z44" i="22"/>
  <c r="X133" i="6"/>
  <c r="X134" i="6"/>
  <c r="X135" i="6"/>
  <c r="X136" i="6"/>
  <c r="Y44" i="6"/>
  <c r="X113" i="6"/>
  <c r="X114" i="6"/>
  <c r="X115" i="6"/>
  <c r="X116" i="6"/>
  <c r="Y36" i="6"/>
  <c r="X88" i="6"/>
  <c r="X89" i="6"/>
  <c r="X90" i="6"/>
  <c r="X91" i="6"/>
  <c r="Y26" i="6"/>
  <c r="Y32" i="6"/>
  <c r="X103" i="6"/>
  <c r="Y28" i="6"/>
  <c r="X93" i="6"/>
  <c r="Y128" i="6"/>
  <c r="Y129" i="6"/>
  <c r="Y130" i="6"/>
  <c r="Y131" i="6"/>
  <c r="Z42" i="6"/>
  <c r="X78" i="6"/>
  <c r="X79" i="6"/>
  <c r="X80" i="6"/>
  <c r="X81" i="6"/>
  <c r="Y22" i="6"/>
  <c r="Y98" i="6"/>
  <c r="Z30" i="6"/>
  <c r="Y24" i="6"/>
  <c r="X83" i="6"/>
  <c r="X84" i="6"/>
  <c r="X85" i="6"/>
  <c r="X86" i="6"/>
  <c r="X108" i="6"/>
  <c r="X109" i="6"/>
  <c r="X110" i="6"/>
  <c r="X111" i="6"/>
  <c r="Y34" i="6"/>
  <c r="X123" i="6"/>
  <c r="X124" i="6"/>
  <c r="X125" i="6"/>
  <c r="X126" i="6"/>
  <c r="Y40" i="6"/>
  <c r="Y217" i="1"/>
  <c r="Y218" i="1"/>
  <c r="V199" i="1"/>
  <c r="V189" i="1"/>
  <c r="X116" i="1"/>
  <c r="X117" i="1"/>
  <c r="X118" i="1"/>
  <c r="X119" i="1"/>
  <c r="Y42" i="1"/>
  <c r="AA82" i="1"/>
  <c r="Z216" i="1"/>
  <c r="AB80" i="1"/>
  <c r="AA211" i="1"/>
  <c r="AA212" i="1"/>
  <c r="AA213" i="1"/>
  <c r="AA214" i="1"/>
  <c r="X219" i="1"/>
  <c r="W147" i="8"/>
  <c r="Y152" i="8"/>
  <c r="Y121" i="6"/>
  <c r="W122" i="11"/>
  <c r="Z36" i="8"/>
  <c r="Y99" i="8"/>
  <c r="Y100" i="8"/>
  <c r="Y101" i="8"/>
  <c r="Y102" i="8"/>
  <c r="AC38" i="8"/>
  <c r="AB104" i="8"/>
  <c r="AB105" i="8"/>
  <c r="AB106" i="8"/>
  <c r="AB107" i="8"/>
  <c r="X120" i="11"/>
  <c r="X121" i="11"/>
  <c r="X122" i="11"/>
  <c r="Z44" i="11"/>
  <c r="Y119" i="11"/>
  <c r="Z38" i="22"/>
  <c r="Y104" i="22"/>
  <c r="Y105" i="22"/>
  <c r="Y106" i="22"/>
  <c r="Y107" i="22"/>
  <c r="Y48" i="22"/>
  <c r="X129" i="22"/>
  <c r="X130" i="22"/>
  <c r="X131" i="22"/>
  <c r="X132" i="22"/>
  <c r="X94" i="22"/>
  <c r="X95" i="22"/>
  <c r="X96" i="22"/>
  <c r="X97" i="22"/>
  <c r="Y34" i="22"/>
  <c r="AA109" i="7"/>
  <c r="AA110" i="7"/>
  <c r="AA111" i="7"/>
  <c r="AA112" i="7"/>
  <c r="AB40" i="7"/>
  <c r="Y34" i="7"/>
  <c r="X94" i="7"/>
  <c r="X95" i="7"/>
  <c r="X96" i="7"/>
  <c r="X97" i="7"/>
  <c r="Y84" i="7"/>
  <c r="Y85" i="7"/>
  <c r="Y86" i="7"/>
  <c r="Y87" i="7"/>
  <c r="Z30" i="7"/>
  <c r="Y99" i="7"/>
  <c r="Z36" i="7"/>
  <c r="Z38" i="7"/>
  <c r="Y104" i="7"/>
  <c r="Y105" i="7"/>
  <c r="Y106" i="7"/>
  <c r="Y107" i="7"/>
  <c r="X114" i="7"/>
  <c r="X115" i="7"/>
  <c r="X116" i="7"/>
  <c r="X117" i="7"/>
  <c r="Y42" i="7"/>
  <c r="AA118" i="6"/>
  <c r="AB38" i="6"/>
  <c r="Y46" i="9"/>
  <c r="X124" i="9"/>
  <c r="X125" i="9"/>
  <c r="X126" i="9"/>
  <c r="X127" i="9"/>
  <c r="AB144" i="9"/>
  <c r="AB145" i="9"/>
  <c r="AB146" i="9"/>
  <c r="AB147" i="9"/>
  <c r="AC54" i="9"/>
  <c r="W125" i="9"/>
  <c r="W126" i="9"/>
  <c r="W127" i="9"/>
  <c r="AA104" i="9"/>
  <c r="AA105" i="9"/>
  <c r="AA106" i="9"/>
  <c r="AA107" i="9"/>
  <c r="AB38" i="9"/>
  <c r="W114" i="9"/>
  <c r="W115" i="9"/>
  <c r="W116" i="9"/>
  <c r="W117" i="9"/>
  <c r="X42" i="9"/>
  <c r="Y34" i="9"/>
  <c r="X94" i="9"/>
  <c r="X95" i="9"/>
  <c r="X96" i="9"/>
  <c r="X97" i="9"/>
  <c r="Z50" i="9"/>
  <c r="Y134" i="9"/>
  <c r="Y135" i="9"/>
  <c r="Y136" i="9"/>
  <c r="Y137" i="9"/>
  <c r="X129" i="9"/>
  <c r="X130" i="9"/>
  <c r="X131" i="9"/>
  <c r="X132" i="9"/>
  <c r="Y48" i="9"/>
  <c r="Y56" i="9"/>
  <c r="X149" i="9"/>
  <c r="Y44" i="9"/>
  <c r="X119" i="9"/>
  <c r="X120" i="9"/>
  <c r="X121" i="9"/>
  <c r="X122" i="9"/>
  <c r="AA32" i="9"/>
  <c r="Z89" i="9"/>
  <c r="Z90" i="9"/>
  <c r="Z91" i="9"/>
  <c r="Z92" i="9"/>
  <c r="W197" i="1"/>
  <c r="W198" i="1"/>
  <c r="AD151" i="1"/>
  <c r="AE56" i="1"/>
  <c r="Y74" i="1"/>
  <c r="X196" i="1"/>
  <c r="Y161" i="1"/>
  <c r="Y162" i="1"/>
  <c r="Y163" i="1"/>
  <c r="Y164" i="1"/>
  <c r="Z60" i="1"/>
  <c r="X192" i="1"/>
  <c r="X193" i="1"/>
  <c r="AA76" i="1"/>
  <c r="Z201" i="1"/>
  <c r="Z202" i="1"/>
  <c r="Z203" i="1"/>
  <c r="Z204" i="1"/>
  <c r="Y78" i="1"/>
  <c r="X206" i="1"/>
  <c r="X207" i="1"/>
  <c r="X208" i="1"/>
  <c r="X209" i="1"/>
  <c r="Y70" i="1"/>
  <c r="X186" i="1"/>
  <c r="X187" i="1"/>
  <c r="X188" i="1"/>
  <c r="X189" i="1"/>
  <c r="AA66" i="1"/>
  <c r="Z176" i="1"/>
  <c r="Z177" i="1"/>
  <c r="Z178" i="1"/>
  <c r="Z179" i="1"/>
  <c r="Z72" i="1"/>
  <c r="Y191" i="1"/>
  <c r="Y192" i="1"/>
  <c r="Y193" i="1"/>
  <c r="Y194" i="1"/>
  <c r="AC115" i="11"/>
  <c r="AC116" i="11"/>
  <c r="AC117" i="11"/>
  <c r="AD114" i="11"/>
  <c r="AE42" i="11"/>
  <c r="X32" i="34"/>
  <c r="AE32" i="34"/>
  <c r="AD32" i="34"/>
  <c r="AC32" i="34"/>
  <c r="AF32" i="34"/>
  <c r="AA32" i="34"/>
  <c r="AB32" i="34"/>
  <c r="Z32" i="34"/>
  <c r="Y32" i="34"/>
  <c r="T32" i="34"/>
  <c r="K34" i="37"/>
  <c r="T34" i="37"/>
  <c r="W107" i="11"/>
  <c r="Z99" i="11"/>
  <c r="AA36" i="11"/>
  <c r="AA85" i="11"/>
  <c r="AA86" i="11"/>
  <c r="AA87" i="11"/>
  <c r="X105" i="11"/>
  <c r="X106" i="11"/>
  <c r="X107" i="11"/>
  <c r="AB84" i="11"/>
  <c r="AC30" i="11"/>
  <c r="Z38" i="11"/>
  <c r="Y104" i="11"/>
  <c r="Y100" i="11"/>
  <c r="Y101" i="11"/>
  <c r="Y102" i="11"/>
  <c r="Y134" i="10"/>
  <c r="Z50" i="10"/>
  <c r="X135" i="10"/>
  <c r="X136" i="10"/>
  <c r="X137" i="10"/>
  <c r="X100" i="10"/>
  <c r="X101" i="10"/>
  <c r="Y99" i="10"/>
  <c r="Z36" i="10"/>
  <c r="W155" i="22"/>
  <c r="W156" i="22"/>
  <c r="W157" i="22"/>
  <c r="Y58" i="22"/>
  <c r="X154" i="22"/>
  <c r="Y109" i="22"/>
  <c r="Z40" i="22"/>
  <c r="Z54" i="22"/>
  <c r="Y144" i="22"/>
  <c r="X100" i="22"/>
  <c r="X101" i="22"/>
  <c r="X102" i="22"/>
  <c r="X145" i="22"/>
  <c r="X146" i="22"/>
  <c r="X147" i="22"/>
  <c r="Y99" i="22"/>
  <c r="Z36" i="22"/>
  <c r="X110" i="22"/>
  <c r="X111" i="22"/>
  <c r="X112" i="22"/>
  <c r="Z150" i="8"/>
  <c r="Z151" i="8"/>
  <c r="Z152" i="8"/>
  <c r="AB56" i="8"/>
  <c r="AA149" i="8"/>
  <c r="X145" i="8"/>
  <c r="X146" i="8"/>
  <c r="X147" i="8"/>
  <c r="Y144" i="8"/>
  <c r="Z54" i="8"/>
  <c r="X30" i="8"/>
  <c r="W84" i="8"/>
  <c r="X89" i="8"/>
  <c r="Y32" i="8"/>
  <c r="W130" i="8"/>
  <c r="W131" i="8"/>
  <c r="W132" i="8"/>
  <c r="X139" i="8"/>
  <c r="Y52" i="8"/>
  <c r="V85" i="8"/>
  <c r="V86" i="8"/>
  <c r="W110" i="8"/>
  <c r="W111" i="8"/>
  <c r="W112" i="8"/>
  <c r="W140" i="8"/>
  <c r="W141" i="8"/>
  <c r="W142" i="8"/>
  <c r="Y40" i="8"/>
  <c r="X109" i="8"/>
  <c r="W90" i="8"/>
  <c r="W91" i="8"/>
  <c r="W92" i="8"/>
  <c r="X129" i="8"/>
  <c r="Y48" i="8"/>
  <c r="W145" i="7"/>
  <c r="W146" i="7"/>
  <c r="Y54" i="7"/>
  <c r="X144" i="7"/>
  <c r="W140" i="7"/>
  <c r="W141" i="7"/>
  <c r="W142" i="7"/>
  <c r="X139" i="7"/>
  <c r="Y52" i="7"/>
  <c r="Y50" i="7"/>
  <c r="X134" i="7"/>
  <c r="W135" i="7"/>
  <c r="W136" i="7"/>
  <c r="W137" i="7"/>
  <c r="Y125" i="7"/>
  <c r="Y126" i="7"/>
  <c r="Y127" i="7"/>
  <c r="AA46" i="7"/>
  <c r="Z124" i="7"/>
  <c r="AA119" i="7"/>
  <c r="AB44" i="7"/>
  <c r="AD90" i="7"/>
  <c r="AD91" i="7"/>
  <c r="AD92" i="7"/>
  <c r="Z120" i="7"/>
  <c r="Z121" i="7"/>
  <c r="Z122" i="7"/>
  <c r="AF32" i="7"/>
  <c r="AE89" i="7"/>
  <c r="W164" i="6"/>
  <c r="W165" i="6"/>
  <c r="W166" i="6"/>
  <c r="Y56" i="6"/>
  <c r="X163" i="6"/>
  <c r="W159" i="6"/>
  <c r="W160" i="6"/>
  <c r="W161" i="6"/>
  <c r="X158" i="6"/>
  <c r="Y54" i="6"/>
  <c r="W154" i="6"/>
  <c r="W155" i="6"/>
  <c r="W156" i="6"/>
  <c r="Y52" i="6"/>
  <c r="X153" i="6"/>
  <c r="W149" i="6"/>
  <c r="W150" i="6"/>
  <c r="W151" i="6"/>
  <c r="X148" i="6"/>
  <c r="Y50" i="6"/>
  <c r="Y48" i="6"/>
  <c r="X143" i="6"/>
  <c r="W144" i="6"/>
  <c r="W145" i="6"/>
  <c r="W146" i="6"/>
  <c r="X160" i="9"/>
  <c r="X161" i="9"/>
  <c r="X162" i="9"/>
  <c r="Z60" i="9"/>
  <c r="Y159" i="9"/>
  <c r="W155" i="9"/>
  <c r="W156" i="9"/>
  <c r="W157" i="9"/>
  <c r="Y58" i="9"/>
  <c r="X154" i="9"/>
  <c r="Z36" i="9"/>
  <c r="Y99" i="9"/>
  <c r="X100" i="9"/>
  <c r="X101" i="9"/>
  <c r="X102" i="9"/>
  <c r="Z40" i="9"/>
  <c r="Y109" i="9"/>
  <c r="X110" i="9"/>
  <c r="X111" i="9"/>
  <c r="X112" i="9"/>
  <c r="Y62" i="1"/>
  <c r="X166" i="1"/>
  <c r="W167" i="1"/>
  <c r="W168" i="1"/>
  <c r="W169" i="1"/>
  <c r="X126" i="1"/>
  <c r="Y46" i="1"/>
  <c r="W127" i="1"/>
  <c r="W128" i="1"/>
  <c r="W129" i="1"/>
  <c r="X146" i="1"/>
  <c r="Y54" i="1"/>
  <c r="W147" i="1"/>
  <c r="W148" i="1"/>
  <c r="W149" i="1"/>
  <c r="Y122" i="1"/>
  <c r="Y123" i="1"/>
  <c r="Y124" i="1"/>
  <c r="AA44" i="1"/>
  <c r="Z121" i="1"/>
  <c r="Y112" i="1"/>
  <c r="Y113" i="1"/>
  <c r="X106" i="1"/>
  <c r="Y38" i="1"/>
  <c r="Z111" i="1"/>
  <c r="AA40" i="1"/>
  <c r="Z101" i="1"/>
  <c r="AA36" i="1"/>
  <c r="W107" i="1"/>
  <c r="W108" i="1"/>
  <c r="W109" i="1"/>
  <c r="Y102" i="1"/>
  <c r="Y103" i="1"/>
  <c r="Y104" i="1"/>
  <c r="Y34" i="37"/>
  <c r="AF34" i="37"/>
  <c r="AC34" i="37"/>
  <c r="AG34" i="37"/>
  <c r="AA34" i="37"/>
  <c r="AE34" i="37"/>
  <c r="AB34" i="37"/>
  <c r="X34" i="37"/>
  <c r="Z34" i="37"/>
  <c r="AH34" i="37"/>
  <c r="AD34" i="37"/>
  <c r="U34" i="36"/>
  <c r="T34" i="35"/>
  <c r="L34" i="35"/>
  <c r="AG34" i="35"/>
  <c r="AF34" i="35"/>
  <c r="Z34" i="35"/>
  <c r="AA34" i="35"/>
  <c r="AH34" i="35"/>
  <c r="AC34" i="35"/>
  <c r="U35" i="35"/>
  <c r="AE34" i="35"/>
  <c r="X27" i="30"/>
  <c r="Y129" i="7"/>
  <c r="Y130" i="7"/>
  <c r="Y131" i="7"/>
  <c r="Y132" i="7"/>
  <c r="Z48" i="7"/>
  <c r="W34" i="36"/>
  <c r="V34" i="36"/>
  <c r="K34" i="36"/>
  <c r="T34" i="36"/>
  <c r="BX148" i="2"/>
  <c r="BW27" i="2"/>
  <c r="M34" i="41"/>
  <c r="BD197" i="9"/>
  <c r="BF59" i="11"/>
  <c r="BG229" i="11"/>
  <c r="BF194" i="9"/>
  <c r="BG74" i="9"/>
  <c r="BE195" i="9"/>
  <c r="BE196" i="9"/>
  <c r="P32" i="36"/>
  <c r="Q32" i="36"/>
  <c r="Y27" i="30"/>
  <c r="U28" i="30"/>
  <c r="W28" i="30"/>
  <c r="V28" i="30"/>
  <c r="AA28" i="30"/>
  <c r="M32" i="36"/>
  <c r="CF25" i="2"/>
  <c r="AG34" i="33"/>
  <c r="H39" i="41"/>
  <c r="J40" i="41"/>
  <c r="H33" i="41"/>
  <c r="Q28" i="41"/>
  <c r="P29" i="41"/>
  <c r="J30" i="41"/>
  <c r="AE13" i="39"/>
  <c r="H29" i="41"/>
  <c r="J29" i="41"/>
  <c r="AE12" i="39"/>
  <c r="Z28" i="41"/>
  <c r="AB28" i="41"/>
  <c r="AA28" i="41"/>
  <c r="Y28" i="41"/>
  <c r="X28" i="41"/>
  <c r="T28" i="41"/>
  <c r="W202" i="9"/>
  <c r="AQ212" i="11"/>
  <c r="W187" i="8"/>
  <c r="AY157" i="10"/>
  <c r="AG192" i="22"/>
  <c r="AG207" i="22"/>
  <c r="AQ147" i="10"/>
  <c r="W137" i="11"/>
  <c r="X152" i="11"/>
  <c r="X202" i="7"/>
  <c r="W207" i="8"/>
  <c r="AB207" i="11"/>
  <c r="AS197" i="8"/>
  <c r="W167" i="9"/>
  <c r="AL187" i="10"/>
  <c r="AF172" i="9"/>
  <c r="AT177" i="22"/>
  <c r="AD187" i="22"/>
  <c r="AU275" i="40"/>
  <c r="AU276" i="40"/>
  <c r="AU277" i="40"/>
  <c r="AO284" i="40"/>
  <c r="AO285" i="40"/>
  <c r="AO286" i="40"/>
  <c r="AO287" i="40"/>
  <c r="AP108" i="40"/>
  <c r="AO264" i="40"/>
  <c r="AO265" i="40"/>
  <c r="AO266" i="40"/>
  <c r="AO267" i="40"/>
  <c r="AP100" i="40"/>
  <c r="AO269" i="40"/>
  <c r="AO270" i="40"/>
  <c r="AO271" i="40"/>
  <c r="AO272" i="40"/>
  <c r="AP102" i="40"/>
  <c r="AO289" i="40"/>
  <c r="AO290" i="40"/>
  <c r="AO291" i="40"/>
  <c r="AO292" i="40"/>
  <c r="AP110" i="40"/>
  <c r="AN285" i="40"/>
  <c r="AN286" i="40"/>
  <c r="AN287" i="40"/>
  <c r="AN290" i="40"/>
  <c r="AN291" i="40"/>
  <c r="AN292" i="40"/>
  <c r="AT280" i="40"/>
  <c r="AT281" i="40"/>
  <c r="AT282" i="40"/>
  <c r="AV260" i="40"/>
  <c r="AV261" i="40"/>
  <c r="AV262" i="40"/>
  <c r="AO249" i="40"/>
  <c r="AO250" i="40"/>
  <c r="AO251" i="40"/>
  <c r="AO252" i="40"/>
  <c r="AP94" i="40"/>
  <c r="AO244" i="40"/>
  <c r="AO245" i="40"/>
  <c r="AO246" i="40"/>
  <c r="AO247" i="40"/>
  <c r="AP92" i="40"/>
  <c r="AN250" i="40"/>
  <c r="AN251" i="40"/>
  <c r="AN252" i="40"/>
  <c r="AN245" i="40"/>
  <c r="AN246" i="40"/>
  <c r="AN247" i="40"/>
  <c r="AW98" i="40"/>
  <c r="AW259" i="40"/>
  <c r="AW260" i="40"/>
  <c r="AW261" i="40"/>
  <c r="AW262" i="40"/>
  <c r="AV104" i="40"/>
  <c r="AV274" i="40"/>
  <c r="AV275" i="40"/>
  <c r="AV276" i="40"/>
  <c r="AV277" i="40"/>
  <c r="AU106" i="40"/>
  <c r="AU279" i="40"/>
  <c r="AV96" i="40"/>
  <c r="AV254" i="40"/>
  <c r="AV255" i="40"/>
  <c r="AV256" i="40"/>
  <c r="AV257" i="40"/>
  <c r="AR90" i="40"/>
  <c r="AP82" i="40"/>
  <c r="AO219" i="40"/>
  <c r="AP42" i="40"/>
  <c r="AO119" i="40"/>
  <c r="AP48" i="40"/>
  <c r="AO134" i="40"/>
  <c r="AO235" i="40"/>
  <c r="AO236" i="40"/>
  <c r="AO237" i="40"/>
  <c r="AO140" i="40"/>
  <c r="AO141" i="40"/>
  <c r="AN160" i="40"/>
  <c r="AN161" i="40"/>
  <c r="AN162" i="40"/>
  <c r="AN145" i="40"/>
  <c r="AN146" i="40"/>
  <c r="AN147" i="40"/>
  <c r="AQ80" i="40"/>
  <c r="AP214" i="40"/>
  <c r="AN130" i="40"/>
  <c r="AN131" i="40"/>
  <c r="AN132" i="40"/>
  <c r="AR68" i="40"/>
  <c r="AQ184" i="40"/>
  <c r="AM162" i="40"/>
  <c r="AO180" i="40"/>
  <c r="AO181" i="40"/>
  <c r="AO182" i="40"/>
  <c r="AP56" i="40"/>
  <c r="AO154" i="40"/>
  <c r="AN200" i="40"/>
  <c r="AN201" i="40"/>
  <c r="AO205" i="40"/>
  <c r="AO206" i="40"/>
  <c r="AO207" i="40"/>
  <c r="AN240" i="40"/>
  <c r="AN241" i="40"/>
  <c r="AN242" i="40"/>
  <c r="AN230" i="40"/>
  <c r="AN231" i="40"/>
  <c r="AN232" i="40"/>
  <c r="AP54" i="40"/>
  <c r="AO149" i="40"/>
  <c r="AO225" i="40"/>
  <c r="AO226" i="40"/>
  <c r="AO227" i="40"/>
  <c r="AN170" i="40"/>
  <c r="AN171" i="40"/>
  <c r="AN172" i="40"/>
  <c r="AN125" i="40"/>
  <c r="AN126" i="40"/>
  <c r="AN127" i="40"/>
  <c r="AP62" i="40"/>
  <c r="AO169" i="40"/>
  <c r="AN220" i="40"/>
  <c r="AN221" i="40"/>
  <c r="AQ66" i="40"/>
  <c r="AP179" i="40"/>
  <c r="AP44" i="40"/>
  <c r="AO124" i="40"/>
  <c r="AO115" i="40"/>
  <c r="AO116" i="40"/>
  <c r="AO117" i="40"/>
  <c r="AP70" i="40"/>
  <c r="AO189" i="40"/>
  <c r="AP195" i="40"/>
  <c r="AP196" i="40"/>
  <c r="AQ88" i="40"/>
  <c r="AP234" i="40"/>
  <c r="AN210" i="40"/>
  <c r="AN211" i="40"/>
  <c r="AN212" i="40"/>
  <c r="AP175" i="40"/>
  <c r="AP176" i="40"/>
  <c r="AP177" i="40"/>
  <c r="AQ50" i="40"/>
  <c r="AP139" i="40"/>
  <c r="AP58" i="40"/>
  <c r="AO159" i="40"/>
  <c r="AO165" i="40"/>
  <c r="AO166" i="40"/>
  <c r="AN190" i="40"/>
  <c r="AN191" i="40"/>
  <c r="AN192" i="40"/>
  <c r="AN155" i="40"/>
  <c r="AN156" i="40"/>
  <c r="AR72" i="40"/>
  <c r="AQ194" i="40"/>
  <c r="AP78" i="40"/>
  <c r="AO209" i="40"/>
  <c r="AR64" i="40"/>
  <c r="AQ174" i="40"/>
  <c r="AQ60" i="40"/>
  <c r="AP164" i="40"/>
  <c r="AN167" i="40"/>
  <c r="AP52" i="40"/>
  <c r="AO144" i="40"/>
  <c r="AO215" i="40"/>
  <c r="AO216" i="40"/>
  <c r="AO217" i="40"/>
  <c r="AM212" i="40"/>
  <c r="AP46" i="40"/>
  <c r="AO129" i="40"/>
  <c r="AP185" i="40"/>
  <c r="AP186" i="40"/>
  <c r="AP187" i="40"/>
  <c r="AQ40" i="40"/>
  <c r="AP114" i="40"/>
  <c r="AN120" i="40"/>
  <c r="AN121" i="40"/>
  <c r="AN122" i="40"/>
  <c r="AN182" i="40"/>
  <c r="AN135" i="40"/>
  <c r="AN136" i="40"/>
  <c r="AN137" i="40"/>
  <c r="AP74" i="40"/>
  <c r="AO199" i="40"/>
  <c r="AQ76" i="40"/>
  <c r="AP204" i="40"/>
  <c r="AO239" i="40"/>
  <c r="AO187" i="40"/>
  <c r="AP86" i="40"/>
  <c r="AO229" i="40"/>
  <c r="AN150" i="40"/>
  <c r="AN151" i="40"/>
  <c r="AN152" i="40"/>
  <c r="AQ84" i="40"/>
  <c r="AP224" i="40"/>
  <c r="AA14" i="26"/>
  <c r="S31" i="35"/>
  <c r="S31" i="31"/>
  <c r="G14" i="26"/>
  <c r="P30" i="26"/>
  <c r="K30" i="26"/>
  <c r="U36" i="31"/>
  <c r="W36" i="31"/>
  <c r="V36" i="31"/>
  <c r="AY209" i="10"/>
  <c r="AZ80" i="10"/>
  <c r="AN196" i="11"/>
  <c r="AN195" i="11"/>
  <c r="AA127" i="11"/>
  <c r="AZ155" i="10"/>
  <c r="AZ156" i="10"/>
  <c r="AW212" i="10"/>
  <c r="X165" i="9"/>
  <c r="X166" i="9"/>
  <c r="AN184" i="10"/>
  <c r="AO70" i="10"/>
  <c r="AM197" i="11"/>
  <c r="X161" i="10"/>
  <c r="X160" i="10"/>
  <c r="AW66" i="22"/>
  <c r="AV174" i="22"/>
  <c r="Z50" i="11"/>
  <c r="Y134" i="11"/>
  <c r="AH206" i="22"/>
  <c r="AH205" i="22"/>
  <c r="AC58" i="7"/>
  <c r="AB154" i="7"/>
  <c r="AA56" i="11"/>
  <c r="Z149" i="11"/>
  <c r="AA76" i="7"/>
  <c r="Z199" i="7"/>
  <c r="AF62" i="8"/>
  <c r="AE164" i="8"/>
  <c r="Z78" i="8"/>
  <c r="Y204" i="8"/>
  <c r="AE78" i="11"/>
  <c r="AD204" i="11"/>
  <c r="AG164" i="22"/>
  <c r="AH62" i="22"/>
  <c r="AJ157" i="8"/>
  <c r="W177" i="7"/>
  <c r="AH177" i="10"/>
  <c r="AX172" i="10"/>
  <c r="X200" i="11"/>
  <c r="X201" i="11"/>
  <c r="X185" i="8"/>
  <c r="X186" i="8"/>
  <c r="AP74" i="11"/>
  <c r="AO194" i="11"/>
  <c r="BA154" i="10"/>
  <c r="BB58" i="10"/>
  <c r="AL62" i="10"/>
  <c r="AK164" i="10"/>
  <c r="Z62" i="9"/>
  <c r="Y164" i="9"/>
  <c r="AM185" i="10"/>
  <c r="AM186" i="10"/>
  <c r="AY175" i="9"/>
  <c r="AY176" i="9"/>
  <c r="AE206" i="7"/>
  <c r="AE205" i="7"/>
  <c r="AK155" i="8"/>
  <c r="AK156" i="8"/>
  <c r="X175" i="7"/>
  <c r="X176" i="7"/>
  <c r="AE185" i="22"/>
  <c r="AE186" i="22"/>
  <c r="AG170" i="9"/>
  <c r="AG171" i="9"/>
  <c r="AY171" i="10"/>
  <c r="AY170" i="10"/>
  <c r="Y138" i="6"/>
  <c r="Y139" i="6"/>
  <c r="Y140" i="6"/>
  <c r="Y141" i="6"/>
  <c r="Z46" i="6"/>
  <c r="X200" i="22"/>
  <c r="X201" i="22"/>
  <c r="AF166" i="22"/>
  <c r="AF165" i="22"/>
  <c r="BO81" i="8"/>
  <c r="BP240" i="8"/>
  <c r="BR61" i="11"/>
  <c r="BS230" i="11"/>
  <c r="BL55" i="11"/>
  <c r="BM227" i="11"/>
  <c r="X34" i="33"/>
  <c r="AS197" i="22"/>
  <c r="BB142" i="11"/>
  <c r="AX212" i="9"/>
  <c r="Z76" i="11"/>
  <c r="Y199" i="11"/>
  <c r="AB162" i="7"/>
  <c r="Z70" i="8"/>
  <c r="Y184" i="8"/>
  <c r="W202" i="10"/>
  <c r="AI175" i="10"/>
  <c r="AI176" i="10"/>
  <c r="AD207" i="7"/>
  <c r="AH204" i="9"/>
  <c r="AI78" i="9"/>
  <c r="AJ165" i="10"/>
  <c r="AJ166" i="10"/>
  <c r="Z68" i="10"/>
  <c r="Y179" i="10"/>
  <c r="W202" i="11"/>
  <c r="AC160" i="7"/>
  <c r="AC161" i="7"/>
  <c r="X200" i="10"/>
  <c r="X201" i="10"/>
  <c r="BA66" i="9"/>
  <c r="AZ174" i="9"/>
  <c r="AG78" i="7"/>
  <c r="AF204" i="7"/>
  <c r="AF207" i="9"/>
  <c r="AI167" i="10"/>
  <c r="W182" i="10"/>
  <c r="AE167" i="22"/>
  <c r="AM58" i="8"/>
  <c r="AL154" i="8"/>
  <c r="Z66" i="7"/>
  <c r="Y174" i="7"/>
  <c r="AG70" i="22"/>
  <c r="AF184" i="22"/>
  <c r="AH169" i="9"/>
  <c r="AI64" i="9"/>
  <c r="Y149" i="22"/>
  <c r="Y150" i="22"/>
  <c r="Y151" i="22"/>
  <c r="Y152" i="22"/>
  <c r="Z56" i="22"/>
  <c r="AZ169" i="10"/>
  <c r="BA64" i="10"/>
  <c r="Z76" i="22"/>
  <c r="Y199" i="22"/>
  <c r="AI189" i="22"/>
  <c r="AJ72" i="22"/>
  <c r="AB125" i="11"/>
  <c r="AB126" i="11"/>
  <c r="AS144" i="10"/>
  <c r="AT54" i="10"/>
  <c r="AX210" i="10"/>
  <c r="AX211" i="10"/>
  <c r="AK66" i="10"/>
  <c r="AJ174" i="10"/>
  <c r="AG206" i="9"/>
  <c r="AG205" i="9"/>
  <c r="X181" i="10"/>
  <c r="X180" i="10"/>
  <c r="AD159" i="7"/>
  <c r="AE60" i="7"/>
  <c r="Y199" i="10"/>
  <c r="Z76" i="10"/>
  <c r="Y159" i="10"/>
  <c r="Z60" i="10"/>
  <c r="AU176" i="22"/>
  <c r="AU175" i="22"/>
  <c r="X135" i="11"/>
  <c r="X136" i="11"/>
  <c r="AI204" i="22"/>
  <c r="AJ78" i="22"/>
  <c r="AA156" i="7"/>
  <c r="AA155" i="7"/>
  <c r="Y151" i="11"/>
  <c r="Y150" i="11"/>
  <c r="Y201" i="7"/>
  <c r="Y200" i="7"/>
  <c r="AD165" i="8"/>
  <c r="AD166" i="8"/>
  <c r="W162" i="10"/>
  <c r="AX177" i="9"/>
  <c r="X205" i="8"/>
  <c r="X206" i="8"/>
  <c r="AC205" i="11"/>
  <c r="AC206" i="11"/>
  <c r="Z157" i="7"/>
  <c r="AC167" i="8"/>
  <c r="AH190" i="22"/>
  <c r="AH191" i="22"/>
  <c r="AD46" i="11"/>
  <c r="AC124" i="11"/>
  <c r="AR146" i="10"/>
  <c r="AR145" i="10"/>
  <c r="W202" i="22"/>
  <c r="Q32" i="35"/>
  <c r="R32" i="35"/>
  <c r="S31" i="33"/>
  <c r="Q14" i="26"/>
  <c r="Q32" i="33"/>
  <c r="R32" i="33"/>
  <c r="S31" i="32"/>
  <c r="L14" i="26"/>
  <c r="Q32" i="32"/>
  <c r="R32" i="32"/>
  <c r="Q32" i="31"/>
  <c r="R32" i="31"/>
  <c r="AB40" i="11"/>
  <c r="AA109" i="11"/>
  <c r="AA110" i="11"/>
  <c r="AA111" i="11"/>
  <c r="AA112" i="11"/>
  <c r="Y104" i="10"/>
  <c r="Y105" i="10"/>
  <c r="Y106" i="10"/>
  <c r="Y107" i="10"/>
  <c r="Z38" i="10"/>
  <c r="Y129" i="10"/>
  <c r="Y130" i="10"/>
  <c r="Y131" i="10"/>
  <c r="Y132" i="10"/>
  <c r="Z48" i="10"/>
  <c r="Y109" i="10"/>
  <c r="Y110" i="10"/>
  <c r="Y111" i="10"/>
  <c r="Y112" i="10"/>
  <c r="Z40" i="10"/>
  <c r="Y124" i="10"/>
  <c r="Y125" i="10"/>
  <c r="Y126" i="10"/>
  <c r="Y127" i="10"/>
  <c r="Z46" i="10"/>
  <c r="Z52" i="10"/>
  <c r="Y139" i="10"/>
  <c r="Y140" i="10"/>
  <c r="Y141" i="10"/>
  <c r="Y142" i="10"/>
  <c r="AA44" i="10"/>
  <c r="Z119" i="10"/>
  <c r="Z120" i="10"/>
  <c r="Z121" i="10"/>
  <c r="Z122" i="10"/>
  <c r="Y114" i="10"/>
  <c r="Y115" i="10"/>
  <c r="Y116" i="10"/>
  <c r="Y117" i="10"/>
  <c r="Z42" i="10"/>
  <c r="Y89" i="10"/>
  <c r="Y90" i="10"/>
  <c r="Y91" i="10"/>
  <c r="Y92" i="10"/>
  <c r="Z32" i="10"/>
  <c r="Y94" i="10"/>
  <c r="Y95" i="10"/>
  <c r="Y96" i="10"/>
  <c r="Y97" i="10"/>
  <c r="Z34" i="10"/>
  <c r="Z30" i="10"/>
  <c r="Y84" i="10"/>
  <c r="Y85" i="10"/>
  <c r="Y86" i="10"/>
  <c r="Y87" i="10"/>
  <c r="Z124" i="22"/>
  <c r="Z125" i="22"/>
  <c r="Z126" i="22"/>
  <c r="Z127" i="22"/>
  <c r="AA46" i="22"/>
  <c r="AA52" i="22"/>
  <c r="Z139" i="22"/>
  <c r="Z140" i="22"/>
  <c r="Z141" i="22"/>
  <c r="Z142" i="22"/>
  <c r="Y114" i="22"/>
  <c r="Y115" i="22"/>
  <c r="Y116" i="22"/>
  <c r="Y117" i="22"/>
  <c r="Z42" i="22"/>
  <c r="Y134" i="22"/>
  <c r="Y135" i="22"/>
  <c r="Y136" i="22"/>
  <c r="Y137" i="22"/>
  <c r="Z50" i="22"/>
  <c r="Z46" i="8"/>
  <c r="Y124" i="8"/>
  <c r="Y125" i="8"/>
  <c r="Y126" i="8"/>
  <c r="Y127" i="8"/>
  <c r="AA50" i="8"/>
  <c r="Z134" i="8"/>
  <c r="Z135" i="8"/>
  <c r="Z136" i="8"/>
  <c r="Z137" i="8"/>
  <c r="AV172" i="22"/>
  <c r="AO182" i="8"/>
  <c r="AU212" i="7"/>
  <c r="AQ177" i="8"/>
  <c r="AQ162" i="22"/>
  <c r="AV187" i="9"/>
  <c r="AP177" i="11"/>
  <c r="AS197" i="10"/>
  <c r="AO202" i="8"/>
  <c r="AR182" i="22"/>
  <c r="AX132" i="11"/>
  <c r="AM162" i="8"/>
  <c r="AF34" i="33"/>
  <c r="BG87" i="22"/>
  <c r="X191" i="9"/>
  <c r="X190" i="9"/>
  <c r="AZ209" i="9"/>
  <c r="BA80" i="9"/>
  <c r="AT66" i="8"/>
  <c r="AS174" i="8"/>
  <c r="BI172" i="7"/>
  <c r="AR160" i="22"/>
  <c r="AR161" i="22"/>
  <c r="BH85" i="22"/>
  <c r="BH86" i="22"/>
  <c r="AN192" i="11"/>
  <c r="V14" i="26"/>
  <c r="S31" i="34"/>
  <c r="AB192" i="8"/>
  <c r="W192" i="9"/>
  <c r="AV211" i="7"/>
  <c r="AV210" i="7"/>
  <c r="BE26" i="2"/>
  <c r="BF147" i="2"/>
  <c r="M147" i="2"/>
  <c r="L26" i="2"/>
  <c r="M33" i="31"/>
  <c r="N33" i="31"/>
  <c r="O33" i="31"/>
  <c r="P33" i="31"/>
  <c r="AO159" i="8"/>
  <c r="AP60" i="8"/>
  <c r="BB68" i="7"/>
  <c r="BA179" i="7"/>
  <c r="Y199" i="9"/>
  <c r="Z76" i="9"/>
  <c r="AR68" i="8"/>
  <c r="AQ179" i="8"/>
  <c r="AF14" i="26"/>
  <c r="S31" i="36"/>
  <c r="BO65" i="11"/>
  <c r="BP232" i="11"/>
  <c r="AM148" i="2"/>
  <c r="BN148" i="2"/>
  <c r="C148" i="2"/>
  <c r="AD148" i="2"/>
  <c r="L148" i="2"/>
  <c r="BE148" i="2"/>
  <c r="AV148" i="2"/>
  <c r="U148" i="2"/>
  <c r="AX78" i="10"/>
  <c r="AW204" i="10"/>
  <c r="AS66" i="11"/>
  <c r="AR174" i="11"/>
  <c r="BE73" i="7"/>
  <c r="BF236" i="7"/>
  <c r="BJ170" i="7"/>
  <c r="BJ171" i="7"/>
  <c r="AO190" i="11"/>
  <c r="AO191" i="11"/>
  <c r="Y189" i="9"/>
  <c r="Z72" i="9"/>
  <c r="AP201" i="8"/>
  <c r="AP200" i="8"/>
  <c r="BE189" i="10"/>
  <c r="BF72" i="10"/>
  <c r="AY210" i="9"/>
  <c r="AY211" i="9"/>
  <c r="AY56" i="10"/>
  <c r="AX149" i="10"/>
  <c r="AT60" i="22"/>
  <c r="AS159" i="22"/>
  <c r="AV209" i="22"/>
  <c r="AW80" i="22"/>
  <c r="AY130" i="11"/>
  <c r="AY131" i="11"/>
  <c r="AX80" i="7"/>
  <c r="AW209" i="7"/>
  <c r="U26" i="2"/>
  <c r="M33" i="32"/>
  <c r="N33" i="32"/>
  <c r="O33" i="32"/>
  <c r="P33" i="32"/>
  <c r="V147" i="2"/>
  <c r="AW147" i="2"/>
  <c r="AV26" i="2"/>
  <c r="M33" i="35"/>
  <c r="N33" i="35"/>
  <c r="O33" i="35"/>
  <c r="P33" i="35"/>
  <c r="AW171" i="22"/>
  <c r="AW170" i="22"/>
  <c r="AT196" i="8"/>
  <c r="AT195" i="8"/>
  <c r="AV74" i="10"/>
  <c r="AU194" i="10"/>
  <c r="X201" i="9"/>
  <c r="X200" i="9"/>
  <c r="AR211" i="11"/>
  <c r="AR210" i="11"/>
  <c r="AS186" i="7"/>
  <c r="AS185" i="7"/>
  <c r="AV206" i="10"/>
  <c r="AV205" i="10"/>
  <c r="AS195" i="7"/>
  <c r="AS196" i="7"/>
  <c r="BL64" i="7"/>
  <c r="BK169" i="7"/>
  <c r="AT182" i="9"/>
  <c r="AR187" i="7"/>
  <c r="AT212" i="22"/>
  <c r="AQ72" i="11"/>
  <c r="AP189" i="11"/>
  <c r="AR197" i="7"/>
  <c r="AC191" i="8"/>
  <c r="AC190" i="8"/>
  <c r="AR76" i="8"/>
  <c r="AQ199" i="8"/>
  <c r="BD191" i="10"/>
  <c r="BD190" i="10"/>
  <c r="AW151" i="10"/>
  <c r="AW150" i="10"/>
  <c r="AU210" i="22"/>
  <c r="AU211" i="22"/>
  <c r="BA48" i="11"/>
  <c r="AZ129" i="11"/>
  <c r="AX184" i="9"/>
  <c r="AY70" i="9"/>
  <c r="BC192" i="10"/>
  <c r="BC140" i="11"/>
  <c r="BC141" i="11"/>
  <c r="AV152" i="10"/>
  <c r="AT179" i="22"/>
  <c r="AU68" i="22"/>
  <c r="AD26" i="2"/>
  <c r="M33" i="33"/>
  <c r="N33" i="33"/>
  <c r="O33" i="33"/>
  <c r="P33" i="33"/>
  <c r="AE147" i="2"/>
  <c r="C26" i="2"/>
  <c r="M34" i="30"/>
  <c r="D147" i="2"/>
  <c r="AX169" i="22"/>
  <c r="AY64" i="22"/>
  <c r="AU207" i="10"/>
  <c r="AV74" i="8"/>
  <c r="AU194" i="8"/>
  <c r="AT195" i="10"/>
  <c r="AT196" i="10"/>
  <c r="BT69" i="11"/>
  <c r="BU234" i="11"/>
  <c r="AT80" i="11"/>
  <c r="AS209" i="11"/>
  <c r="AW68" i="9"/>
  <c r="AV179" i="9"/>
  <c r="AU70" i="7"/>
  <c r="AT184" i="7"/>
  <c r="AY182" i="7"/>
  <c r="AU74" i="7"/>
  <c r="AT194" i="7"/>
  <c r="AU194" i="22"/>
  <c r="AV74" i="22"/>
  <c r="AE72" i="8"/>
  <c r="AD189" i="8"/>
  <c r="S31" i="37"/>
  <c r="AK14" i="26"/>
  <c r="M86" i="37"/>
  <c r="L87" i="37"/>
  <c r="M87" i="37"/>
  <c r="AR175" i="8"/>
  <c r="AR176" i="8"/>
  <c r="BJ30" i="22"/>
  <c r="BI84" i="22"/>
  <c r="BG65" i="8"/>
  <c r="BH232" i="8"/>
  <c r="AW185" i="9"/>
  <c r="AW186" i="9"/>
  <c r="BE52" i="11"/>
  <c r="BD139" i="11"/>
  <c r="AS180" i="22"/>
  <c r="AS181" i="22"/>
  <c r="BN26" i="2"/>
  <c r="M33" i="37"/>
  <c r="N33" i="37"/>
  <c r="O33" i="37"/>
  <c r="P33" i="37"/>
  <c r="Q33" i="37"/>
  <c r="BO147" i="2"/>
  <c r="AM26" i="2"/>
  <c r="M33" i="34"/>
  <c r="AN147" i="2"/>
  <c r="AN160" i="8"/>
  <c r="AN161" i="8"/>
  <c r="AZ180" i="7"/>
  <c r="AZ181" i="7"/>
  <c r="AP181" i="8"/>
  <c r="AP180" i="8"/>
  <c r="BS63" i="11"/>
  <c r="BT231" i="11"/>
  <c r="A149" i="2"/>
  <c r="BW149" i="2"/>
  <c r="A29" i="2"/>
  <c r="AU180" i="9"/>
  <c r="AU181" i="9"/>
  <c r="Z32" i="22"/>
  <c r="Y89" i="22"/>
  <c r="Y90" i="22"/>
  <c r="Y91" i="22"/>
  <c r="Y92" i="22"/>
  <c r="AT196" i="22"/>
  <c r="AT195" i="22"/>
  <c r="AQ175" i="11"/>
  <c r="AQ176" i="11"/>
  <c r="K27" i="30"/>
  <c r="T26" i="30"/>
  <c r="P26" i="30"/>
  <c r="Q26" i="30"/>
  <c r="G49" i="30"/>
  <c r="F50" i="30"/>
  <c r="AH34" i="33"/>
  <c r="AE34" i="8"/>
  <c r="AD94" i="8"/>
  <c r="AD95" i="8"/>
  <c r="AD96" i="8"/>
  <c r="AD97" i="8"/>
  <c r="Y114" i="8"/>
  <c r="Y115" i="8"/>
  <c r="Y116" i="8"/>
  <c r="Y117" i="8"/>
  <c r="Z42" i="8"/>
  <c r="Z44" i="8"/>
  <c r="Y119" i="8"/>
  <c r="Y120" i="8"/>
  <c r="Y121" i="8"/>
  <c r="Y122" i="8"/>
  <c r="AF166" i="7"/>
  <c r="AF165" i="7"/>
  <c r="AE167" i="7"/>
  <c r="AG164" i="7"/>
  <c r="AH62" i="7"/>
  <c r="Y89" i="11"/>
  <c r="Y90" i="11"/>
  <c r="Y91" i="11"/>
  <c r="Y92" i="11"/>
  <c r="Z32" i="11"/>
  <c r="AA30" i="9"/>
  <c r="Z84" i="9"/>
  <c r="Z85" i="9"/>
  <c r="Z86" i="9"/>
  <c r="Z87" i="9"/>
  <c r="Z52" i="9"/>
  <c r="Y139" i="9"/>
  <c r="Y140" i="9"/>
  <c r="Y141" i="9"/>
  <c r="Y142" i="9"/>
  <c r="AB30" i="1"/>
  <c r="AA86" i="1"/>
  <c r="AA87" i="1"/>
  <c r="AA88" i="1"/>
  <c r="AA89" i="1"/>
  <c r="Y131" i="1"/>
  <c r="Y132" i="1"/>
  <c r="Y133" i="1"/>
  <c r="Y134" i="1"/>
  <c r="Z48" i="1"/>
  <c r="Z68" i="1"/>
  <c r="Y181" i="1"/>
  <c r="Y182" i="1"/>
  <c r="Y183" i="1"/>
  <c r="Y184" i="1"/>
  <c r="Y96" i="1"/>
  <c r="Y97" i="1"/>
  <c r="Y98" i="1"/>
  <c r="Y99" i="1"/>
  <c r="Z34" i="1"/>
  <c r="AB32" i="1"/>
  <c r="AA91" i="1"/>
  <c r="AA92" i="1"/>
  <c r="AA93" i="1"/>
  <c r="AA94" i="1"/>
  <c r="Y171" i="1"/>
  <c r="Y172" i="1"/>
  <c r="Y173" i="1"/>
  <c r="Y174" i="1"/>
  <c r="Z64" i="1"/>
  <c r="Z58" i="1"/>
  <c r="Y156" i="1"/>
  <c r="Y157" i="1"/>
  <c r="Y158" i="1"/>
  <c r="Y159" i="1"/>
  <c r="Z52" i="1"/>
  <c r="Y141" i="1"/>
  <c r="Y142" i="1"/>
  <c r="Y143" i="1"/>
  <c r="Y144" i="1"/>
  <c r="Z50" i="1"/>
  <c r="Y136" i="1"/>
  <c r="Y137" i="1"/>
  <c r="Y138" i="1"/>
  <c r="Y139" i="1"/>
  <c r="AC34" i="33"/>
  <c r="Y34" i="33"/>
  <c r="Z34" i="33"/>
  <c r="AE34" i="33"/>
  <c r="AA34" i="33"/>
  <c r="AD34" i="33"/>
  <c r="L34" i="32"/>
  <c r="T34" i="32"/>
  <c r="Z34" i="32"/>
  <c r="AC34" i="32"/>
  <c r="AE34" i="32"/>
  <c r="Y34" i="32"/>
  <c r="AG34" i="32"/>
  <c r="X34" i="32"/>
  <c r="AB34" i="32"/>
  <c r="AH34" i="32"/>
  <c r="AF34" i="32"/>
  <c r="AD34" i="32"/>
  <c r="AA34" i="32"/>
  <c r="I50" i="30"/>
  <c r="A31" i="26"/>
  <c r="AO31" i="26"/>
  <c r="AJ30" i="26"/>
  <c r="AE30" i="26"/>
  <c r="Z30" i="26"/>
  <c r="U30" i="26"/>
  <c r="F30" i="26"/>
  <c r="Y219" i="1"/>
  <c r="X102" i="10"/>
  <c r="AA44" i="22"/>
  <c r="Z119" i="22"/>
  <c r="Z120" i="22"/>
  <c r="Z121" i="22"/>
  <c r="Z122" i="22"/>
  <c r="W147" i="7"/>
  <c r="Y123" i="6"/>
  <c r="Y124" i="6"/>
  <c r="Y125" i="6"/>
  <c r="Y126" i="6"/>
  <c r="Z40" i="6"/>
  <c r="Z34" i="6"/>
  <c r="Y108" i="6"/>
  <c r="Y109" i="6"/>
  <c r="Y110" i="6"/>
  <c r="Y111" i="6"/>
  <c r="Z98" i="6"/>
  <c r="Z99" i="6"/>
  <c r="Z100" i="6"/>
  <c r="Z101" i="6"/>
  <c r="AA30" i="6"/>
  <c r="Z22" i="6"/>
  <c r="Y78" i="6"/>
  <c r="Y79" i="6"/>
  <c r="Y80" i="6"/>
  <c r="Y81" i="6"/>
  <c r="AA42" i="6"/>
  <c r="Z128" i="6"/>
  <c r="Z129" i="6"/>
  <c r="Z130" i="6"/>
  <c r="Z131" i="6"/>
  <c r="X94" i="6"/>
  <c r="X95" i="6"/>
  <c r="X96" i="6"/>
  <c r="X104" i="6"/>
  <c r="X105" i="6"/>
  <c r="Y88" i="6"/>
  <c r="Y89" i="6"/>
  <c r="Y90" i="6"/>
  <c r="Y91" i="6"/>
  <c r="Z26" i="6"/>
  <c r="Y113" i="6"/>
  <c r="Z36" i="6"/>
  <c r="Y133" i="6"/>
  <c r="Y134" i="6"/>
  <c r="Y135" i="6"/>
  <c r="Y136" i="6"/>
  <c r="Z44" i="6"/>
  <c r="Y83" i="6"/>
  <c r="Y84" i="6"/>
  <c r="Y85" i="6"/>
  <c r="Y86" i="6"/>
  <c r="Z24" i="6"/>
  <c r="Y99" i="6"/>
  <c r="Y100" i="6"/>
  <c r="Y93" i="6"/>
  <c r="Y94" i="6"/>
  <c r="Y95" i="6"/>
  <c r="Y96" i="6"/>
  <c r="Z28" i="6"/>
  <c r="Y103" i="6"/>
  <c r="Y104" i="6"/>
  <c r="Y105" i="6"/>
  <c r="Y106" i="6"/>
  <c r="Z32" i="6"/>
  <c r="X194" i="1"/>
  <c r="AC80" i="1"/>
  <c r="AB211" i="1"/>
  <c r="AB212" i="1"/>
  <c r="AB213" i="1"/>
  <c r="AB214" i="1"/>
  <c r="AB82" i="1"/>
  <c r="AA216" i="1"/>
  <c r="Z217" i="1"/>
  <c r="Z218" i="1"/>
  <c r="Z42" i="1"/>
  <c r="Y116" i="1"/>
  <c r="Y117" i="1"/>
  <c r="Y118" i="1"/>
  <c r="Y119" i="1"/>
  <c r="Y114" i="1"/>
  <c r="V87" i="8"/>
  <c r="W199" i="1"/>
  <c r="AC104" i="8"/>
  <c r="AC105" i="8"/>
  <c r="AC106" i="8"/>
  <c r="AC107" i="8"/>
  <c r="AD38" i="8"/>
  <c r="AA36" i="8"/>
  <c r="Z99" i="8"/>
  <c r="Z100" i="8"/>
  <c r="Z101" i="8"/>
  <c r="Z102" i="8"/>
  <c r="Y120" i="11"/>
  <c r="Y121" i="11"/>
  <c r="AA44" i="11"/>
  <c r="Z119" i="11"/>
  <c r="Z48" i="22"/>
  <c r="Y129" i="22"/>
  <c r="Y130" i="22"/>
  <c r="Y131" i="22"/>
  <c r="Y132" i="22"/>
  <c r="Y94" i="22"/>
  <c r="Y95" i="22"/>
  <c r="Y96" i="22"/>
  <c r="Y97" i="22"/>
  <c r="Z34" i="22"/>
  <c r="AA38" i="22"/>
  <c r="Z104" i="22"/>
  <c r="AA36" i="7"/>
  <c r="Z99" i="7"/>
  <c r="Z104" i="7"/>
  <c r="AA38" i="7"/>
  <c r="Y100" i="7"/>
  <c r="Y101" i="7"/>
  <c r="Z34" i="7"/>
  <c r="Y94" i="7"/>
  <c r="Y95" i="7"/>
  <c r="Y96" i="7"/>
  <c r="Y97" i="7"/>
  <c r="Y114" i="7"/>
  <c r="Y115" i="7"/>
  <c r="Y116" i="7"/>
  <c r="Y117" i="7"/>
  <c r="Z42" i="7"/>
  <c r="AA30" i="7"/>
  <c r="Z84" i="7"/>
  <c r="Z85" i="7"/>
  <c r="Z86" i="7"/>
  <c r="Z87" i="7"/>
  <c r="AC40" i="7"/>
  <c r="AB109" i="7"/>
  <c r="AB110" i="7"/>
  <c r="AB111" i="7"/>
  <c r="AB112" i="7"/>
  <c r="AC38" i="6"/>
  <c r="AB118" i="6"/>
  <c r="AB119" i="6"/>
  <c r="AB120" i="6"/>
  <c r="AB121" i="6"/>
  <c r="AA119" i="6"/>
  <c r="AA120" i="6"/>
  <c r="X114" i="9"/>
  <c r="X115" i="9"/>
  <c r="X116" i="9"/>
  <c r="X117" i="9"/>
  <c r="Y42" i="9"/>
  <c r="AB104" i="9"/>
  <c r="AB105" i="9"/>
  <c r="AB106" i="9"/>
  <c r="AB107" i="9"/>
  <c r="AC38" i="9"/>
  <c r="AD54" i="9"/>
  <c r="AC144" i="9"/>
  <c r="AC145" i="9"/>
  <c r="AC146" i="9"/>
  <c r="AC147" i="9"/>
  <c r="Z34" i="9"/>
  <c r="Y94" i="9"/>
  <c r="Y95" i="9"/>
  <c r="Y96" i="9"/>
  <c r="Y97" i="9"/>
  <c r="Y124" i="9"/>
  <c r="Y125" i="9"/>
  <c r="Y126" i="9"/>
  <c r="Y127" i="9"/>
  <c r="Z46" i="9"/>
  <c r="Z134" i="9"/>
  <c r="Z135" i="9"/>
  <c r="Z136" i="9"/>
  <c r="Z137" i="9"/>
  <c r="AA50" i="9"/>
  <c r="AB32" i="9"/>
  <c r="AA89" i="9"/>
  <c r="AA90" i="9"/>
  <c r="AA91" i="9"/>
  <c r="AA92" i="9"/>
  <c r="Z48" i="9"/>
  <c r="Y129" i="9"/>
  <c r="Z44" i="9"/>
  <c r="Y119" i="9"/>
  <c r="Y120" i="9"/>
  <c r="Y121" i="9"/>
  <c r="Y122" i="9"/>
  <c r="X150" i="9"/>
  <c r="X151" i="9"/>
  <c r="X152" i="9"/>
  <c r="Z56" i="9"/>
  <c r="Y149" i="9"/>
  <c r="Y150" i="9"/>
  <c r="Y151" i="9"/>
  <c r="Y152" i="9"/>
  <c r="Z161" i="1"/>
  <c r="Z162" i="1"/>
  <c r="Z163" i="1"/>
  <c r="Z164" i="1"/>
  <c r="AA60" i="1"/>
  <c r="X197" i="1"/>
  <c r="X198" i="1"/>
  <c r="AF56" i="1"/>
  <c r="AE151" i="1"/>
  <c r="AE152" i="1"/>
  <c r="AE153" i="1"/>
  <c r="AE154" i="1"/>
  <c r="AA72" i="1"/>
  <c r="Z191" i="1"/>
  <c r="Z192" i="1"/>
  <c r="Z193" i="1"/>
  <c r="Z194" i="1"/>
  <c r="Z70" i="1"/>
  <c r="Y186" i="1"/>
  <c r="AB76" i="1"/>
  <c r="AA201" i="1"/>
  <c r="AA202" i="1"/>
  <c r="AA203" i="1"/>
  <c r="AA204" i="1"/>
  <c r="Z74" i="1"/>
  <c r="Y196" i="1"/>
  <c r="Y197" i="1"/>
  <c r="Y198" i="1"/>
  <c r="Y199" i="1"/>
  <c r="AD152" i="1"/>
  <c r="AD153" i="1"/>
  <c r="AD154" i="1"/>
  <c r="AB66" i="1"/>
  <c r="AA176" i="1"/>
  <c r="AA177" i="1"/>
  <c r="AA178" i="1"/>
  <c r="AA179" i="1"/>
  <c r="Z78" i="1"/>
  <c r="Y206" i="1"/>
  <c r="Y207" i="1"/>
  <c r="Y208" i="1"/>
  <c r="Y209" i="1"/>
  <c r="AD115" i="11"/>
  <c r="AD116" i="11"/>
  <c r="AD117" i="11"/>
  <c r="AE114" i="11"/>
  <c r="AF42" i="11"/>
  <c r="U33" i="34"/>
  <c r="AA38" i="11"/>
  <c r="Z104" i="11"/>
  <c r="AA99" i="11"/>
  <c r="AB36" i="11"/>
  <c r="AD30" i="11"/>
  <c r="AC84" i="11"/>
  <c r="Z100" i="11"/>
  <c r="Z101" i="11"/>
  <c r="Z102" i="11"/>
  <c r="AB85" i="11"/>
  <c r="AB86" i="11"/>
  <c r="Y105" i="11"/>
  <c r="Y106" i="11"/>
  <c r="Z134" i="10"/>
  <c r="AA50" i="10"/>
  <c r="Y135" i="10"/>
  <c r="Y136" i="10"/>
  <c r="Y137" i="10"/>
  <c r="AA36" i="10"/>
  <c r="Z99" i="10"/>
  <c r="Y100" i="10"/>
  <c r="Y101" i="10"/>
  <c r="Y102" i="10"/>
  <c r="X155" i="22"/>
  <c r="X156" i="22"/>
  <c r="X157" i="22"/>
  <c r="Z58" i="22"/>
  <c r="Y154" i="22"/>
  <c r="AA36" i="22"/>
  <c r="Z99" i="22"/>
  <c r="Y100" i="22"/>
  <c r="Y101" i="22"/>
  <c r="Y102" i="22"/>
  <c r="Y145" i="22"/>
  <c r="Y146" i="22"/>
  <c r="Y147" i="22"/>
  <c r="Z109" i="22"/>
  <c r="AA40" i="22"/>
  <c r="AA54" i="22"/>
  <c r="Z144" i="22"/>
  <c r="Y110" i="22"/>
  <c r="Y111" i="22"/>
  <c r="Y112" i="22"/>
  <c r="AB149" i="8"/>
  <c r="AC56" i="8"/>
  <c r="AA150" i="8"/>
  <c r="AA151" i="8"/>
  <c r="AA152" i="8"/>
  <c r="Z144" i="8"/>
  <c r="AA54" i="8"/>
  <c r="Y145" i="8"/>
  <c r="Y146" i="8"/>
  <c r="Y147" i="8"/>
  <c r="Y129" i="8"/>
  <c r="Z48" i="8"/>
  <c r="Y139" i="8"/>
  <c r="Z52" i="8"/>
  <c r="Z32" i="8"/>
  <c r="Y89" i="8"/>
  <c r="X110" i="8"/>
  <c r="X111" i="8"/>
  <c r="X112" i="8"/>
  <c r="X140" i="8"/>
  <c r="X141" i="8"/>
  <c r="X142" i="8"/>
  <c r="X90" i="8"/>
  <c r="X91" i="8"/>
  <c r="X92" i="8"/>
  <c r="W85" i="8"/>
  <c r="W86" i="8"/>
  <c r="W87" i="8"/>
  <c r="Z40" i="8"/>
  <c r="Y109" i="8"/>
  <c r="Y30" i="8"/>
  <c r="X84" i="8"/>
  <c r="X130" i="8"/>
  <c r="X131" i="8"/>
  <c r="X132" i="8"/>
  <c r="X145" i="7"/>
  <c r="X146" i="7"/>
  <c r="X147" i="7"/>
  <c r="Y144" i="7"/>
  <c r="Z54" i="7"/>
  <c r="Y139" i="7"/>
  <c r="Z52" i="7"/>
  <c r="X140" i="7"/>
  <c r="X141" i="7"/>
  <c r="X142" i="7"/>
  <c r="Z50" i="7"/>
  <c r="Y134" i="7"/>
  <c r="X135" i="7"/>
  <c r="X136" i="7"/>
  <c r="X137" i="7"/>
  <c r="AA120" i="7"/>
  <c r="AA121" i="7"/>
  <c r="AA122" i="7"/>
  <c r="AE90" i="7"/>
  <c r="AE91" i="7"/>
  <c r="AE92" i="7"/>
  <c r="Z125" i="7"/>
  <c r="Z126" i="7"/>
  <c r="Z127" i="7"/>
  <c r="AG32" i="7"/>
  <c r="AF89" i="7"/>
  <c r="AB119" i="7"/>
  <c r="AC44" i="7"/>
  <c r="AB46" i="7"/>
  <c r="AA124" i="7"/>
  <c r="X164" i="6"/>
  <c r="X165" i="6"/>
  <c r="X166" i="6"/>
  <c r="Y163" i="6"/>
  <c r="Z56" i="6"/>
  <c r="Y158" i="6"/>
  <c r="Z54" i="6"/>
  <c r="X159" i="6"/>
  <c r="X160" i="6"/>
  <c r="X161" i="6"/>
  <c r="X154" i="6"/>
  <c r="X155" i="6"/>
  <c r="X156" i="6"/>
  <c r="Y153" i="6"/>
  <c r="Z52" i="6"/>
  <c r="Y148" i="6"/>
  <c r="Z50" i="6"/>
  <c r="X149" i="6"/>
  <c r="X150" i="6"/>
  <c r="X151" i="6"/>
  <c r="X144" i="6"/>
  <c r="X145" i="6"/>
  <c r="X146" i="6"/>
  <c r="Z48" i="6"/>
  <c r="Y143" i="6"/>
  <c r="Y160" i="9"/>
  <c r="Y161" i="9"/>
  <c r="Y162" i="9"/>
  <c r="AA60" i="9"/>
  <c r="Z159" i="9"/>
  <c r="X155" i="9"/>
  <c r="X156" i="9"/>
  <c r="X157" i="9"/>
  <c r="Y154" i="9"/>
  <c r="Z58" i="9"/>
  <c r="Y110" i="9"/>
  <c r="Y111" i="9"/>
  <c r="Y112" i="9"/>
  <c r="AA40" i="9"/>
  <c r="Z109" i="9"/>
  <c r="Y100" i="9"/>
  <c r="Y101" i="9"/>
  <c r="Y102" i="9"/>
  <c r="AA36" i="9"/>
  <c r="Z99" i="9"/>
  <c r="Z62" i="1"/>
  <c r="Y166" i="1"/>
  <c r="X167" i="1"/>
  <c r="X168" i="1"/>
  <c r="X169" i="1"/>
  <c r="Y146" i="1"/>
  <c r="Z54" i="1"/>
  <c r="X147" i="1"/>
  <c r="X148" i="1"/>
  <c r="Z46" i="1"/>
  <c r="Y126" i="1"/>
  <c r="X127" i="1"/>
  <c r="X128" i="1"/>
  <c r="X129" i="1"/>
  <c r="Z122" i="1"/>
  <c r="Z123" i="1"/>
  <c r="Z124" i="1"/>
  <c r="AB44" i="1"/>
  <c r="AA121" i="1"/>
  <c r="Z102" i="1"/>
  <c r="Z103" i="1"/>
  <c r="Z104" i="1"/>
  <c r="X107" i="1"/>
  <c r="X108" i="1"/>
  <c r="X109" i="1"/>
  <c r="AA101" i="1"/>
  <c r="AB36" i="1"/>
  <c r="Z112" i="1"/>
  <c r="Z113" i="1"/>
  <c r="Z114" i="1"/>
  <c r="Y106" i="1"/>
  <c r="Z38" i="1"/>
  <c r="AA111" i="1"/>
  <c r="AB40" i="1"/>
  <c r="U35" i="37"/>
  <c r="W35" i="37"/>
  <c r="V35" i="37"/>
  <c r="K35" i="35"/>
  <c r="W35" i="35"/>
  <c r="V35" i="35"/>
  <c r="Z129" i="7"/>
  <c r="Z130" i="7"/>
  <c r="Z131" i="7"/>
  <c r="Z132" i="7"/>
  <c r="AA48" i="7"/>
  <c r="AA34" i="36"/>
  <c r="AC34" i="36"/>
  <c r="AH34" i="36"/>
  <c r="X34" i="36"/>
  <c r="AD34" i="36"/>
  <c r="AB34" i="36"/>
  <c r="Y34" i="36"/>
  <c r="AF34" i="36"/>
  <c r="AE34" i="36"/>
  <c r="Z34" i="36"/>
  <c r="U35" i="36"/>
  <c r="AG34" i="36"/>
  <c r="BH74" i="9"/>
  <c r="BG194" i="9"/>
  <c r="BE59" i="11"/>
  <c r="BF229" i="11"/>
  <c r="BW28" i="2"/>
  <c r="M35" i="41"/>
  <c r="BX149" i="2"/>
  <c r="K36" i="31"/>
  <c r="L36" i="31"/>
  <c r="BF195" i="9"/>
  <c r="BF196" i="9"/>
  <c r="BE197" i="9"/>
  <c r="M33" i="36"/>
  <c r="N33" i="36"/>
  <c r="O33" i="36"/>
  <c r="P33" i="36"/>
  <c r="Q33" i="36"/>
  <c r="CF26" i="2"/>
  <c r="J39" i="41"/>
  <c r="H38" i="41"/>
  <c r="J33" i="41"/>
  <c r="AE16" i="39"/>
  <c r="H32" i="41"/>
  <c r="J32" i="41"/>
  <c r="AE15" i="39"/>
  <c r="Q29" i="41"/>
  <c r="P30" i="41"/>
  <c r="U29" i="41"/>
  <c r="AH192" i="22"/>
  <c r="AC207" i="11"/>
  <c r="X137" i="11"/>
  <c r="X202" i="22"/>
  <c r="AE187" i="22"/>
  <c r="AK157" i="8"/>
  <c r="AY177" i="9"/>
  <c r="X187" i="8"/>
  <c r="AZ157" i="10"/>
  <c r="AX212" i="10"/>
  <c r="AB127" i="11"/>
  <c r="AG172" i="9"/>
  <c r="X177" i="7"/>
  <c r="AM187" i="10"/>
  <c r="X202" i="11"/>
  <c r="AN197" i="11"/>
  <c r="AZ182" i="7"/>
  <c r="AW187" i="9"/>
  <c r="AU212" i="22"/>
  <c r="AJ167" i="10"/>
  <c r="AQ177" i="11"/>
  <c r="AN162" i="8"/>
  <c r="AR177" i="8"/>
  <c r="AD167" i="8"/>
  <c r="AP249" i="40"/>
  <c r="AQ94" i="40"/>
  <c r="AP269" i="40"/>
  <c r="AQ102" i="40"/>
  <c r="AP284" i="40"/>
  <c r="AQ108" i="40"/>
  <c r="AU280" i="40"/>
  <c r="AU281" i="40"/>
  <c r="AU282" i="40"/>
  <c r="AP244" i="40"/>
  <c r="AQ92" i="40"/>
  <c r="AP289" i="40"/>
  <c r="AQ110" i="40"/>
  <c r="AP264" i="40"/>
  <c r="AQ100" i="40"/>
  <c r="AV106" i="40"/>
  <c r="AV279" i="40"/>
  <c r="AV280" i="40"/>
  <c r="AV281" i="40"/>
  <c r="AV282" i="40"/>
  <c r="AW104" i="40"/>
  <c r="AW274" i="40"/>
  <c r="AW275" i="40"/>
  <c r="AW276" i="40"/>
  <c r="AW277" i="40"/>
  <c r="AX98" i="40"/>
  <c r="AX259" i="40"/>
  <c r="AX260" i="40"/>
  <c r="AX261" i="40"/>
  <c r="AX262" i="40"/>
  <c r="AW96" i="40"/>
  <c r="AW254" i="40"/>
  <c r="AW255" i="40"/>
  <c r="AW256" i="40"/>
  <c r="AW257" i="40"/>
  <c r="AS90" i="40"/>
  <c r="AQ54" i="40"/>
  <c r="AP149" i="40"/>
  <c r="AP215" i="40"/>
  <c r="AP216" i="40"/>
  <c r="AP225" i="40"/>
  <c r="AP226" i="40"/>
  <c r="AP205" i="40"/>
  <c r="AP206" i="40"/>
  <c r="AQ74" i="40"/>
  <c r="AP199" i="40"/>
  <c r="AR40" i="40"/>
  <c r="AQ114" i="40"/>
  <c r="AO130" i="40"/>
  <c r="AO131" i="40"/>
  <c r="AO132" i="40"/>
  <c r="AR60" i="40"/>
  <c r="AQ164" i="40"/>
  <c r="AO210" i="40"/>
  <c r="AO211" i="40"/>
  <c r="AS72" i="40"/>
  <c r="AR194" i="40"/>
  <c r="AO160" i="40"/>
  <c r="AO161" i="40"/>
  <c r="AO162" i="40"/>
  <c r="AR88" i="40"/>
  <c r="AQ234" i="40"/>
  <c r="AQ70" i="40"/>
  <c r="AP189" i="40"/>
  <c r="AO125" i="40"/>
  <c r="AO126" i="40"/>
  <c r="AO127" i="40"/>
  <c r="AR66" i="40"/>
  <c r="AQ179" i="40"/>
  <c r="AO170" i="40"/>
  <c r="AO171" i="40"/>
  <c r="AO172" i="40"/>
  <c r="AO155" i="40"/>
  <c r="AO156" i="40"/>
  <c r="AO220" i="40"/>
  <c r="AO221" i="40"/>
  <c r="AO200" i="40"/>
  <c r="AO201" i="40"/>
  <c r="AQ195" i="40"/>
  <c r="AQ196" i="40"/>
  <c r="AQ197" i="40"/>
  <c r="AO190" i="40"/>
  <c r="AO191" i="40"/>
  <c r="AO192" i="40"/>
  <c r="AP180" i="40"/>
  <c r="AP181" i="40"/>
  <c r="AQ42" i="40"/>
  <c r="AP119" i="40"/>
  <c r="AO230" i="40"/>
  <c r="AO231" i="40"/>
  <c r="AO240" i="40"/>
  <c r="AO241" i="40"/>
  <c r="AQ175" i="40"/>
  <c r="AQ176" i="40"/>
  <c r="AQ78" i="40"/>
  <c r="AP209" i="40"/>
  <c r="AR50" i="40"/>
  <c r="AQ139" i="40"/>
  <c r="AQ44" i="40"/>
  <c r="AP124" i="40"/>
  <c r="AQ62" i="40"/>
  <c r="AP169" i="40"/>
  <c r="AO150" i="40"/>
  <c r="AO151" i="40"/>
  <c r="AO152" i="40"/>
  <c r="AQ56" i="40"/>
  <c r="AP154" i="40"/>
  <c r="AR80" i="40"/>
  <c r="AQ214" i="40"/>
  <c r="AO120" i="40"/>
  <c r="AO121" i="40"/>
  <c r="AO122" i="40"/>
  <c r="AQ82" i="40"/>
  <c r="AP219" i="40"/>
  <c r="AP115" i="40"/>
  <c r="AP116" i="40"/>
  <c r="AP117" i="40"/>
  <c r="AQ52" i="40"/>
  <c r="AP144" i="40"/>
  <c r="AP140" i="40"/>
  <c r="AP141" i="40"/>
  <c r="AP142" i="40"/>
  <c r="AS68" i="40"/>
  <c r="AR184" i="40"/>
  <c r="AQ48" i="40"/>
  <c r="AP134" i="40"/>
  <c r="AR84" i="40"/>
  <c r="AQ224" i="40"/>
  <c r="AQ86" i="40"/>
  <c r="AP229" i="40"/>
  <c r="AP239" i="40"/>
  <c r="AR76" i="40"/>
  <c r="AQ204" i="40"/>
  <c r="AQ46" i="40"/>
  <c r="AP129" i="40"/>
  <c r="AO145" i="40"/>
  <c r="AO146" i="40"/>
  <c r="AO147" i="40"/>
  <c r="AP165" i="40"/>
  <c r="AP166" i="40"/>
  <c r="AP167" i="40"/>
  <c r="AS64" i="40"/>
  <c r="AR174" i="40"/>
  <c r="AN157" i="40"/>
  <c r="AO167" i="40"/>
  <c r="AQ58" i="40"/>
  <c r="AP159" i="40"/>
  <c r="AP235" i="40"/>
  <c r="AP236" i="40"/>
  <c r="AP197" i="40"/>
  <c r="AN222" i="40"/>
  <c r="AN202" i="40"/>
  <c r="AQ185" i="40"/>
  <c r="AQ186" i="40"/>
  <c r="AQ187" i="40"/>
  <c r="AO142" i="40"/>
  <c r="AO135" i="40"/>
  <c r="AO136" i="40"/>
  <c r="AO137" i="40"/>
  <c r="Z28" i="30"/>
  <c r="Y28" i="30"/>
  <c r="Y202" i="7"/>
  <c r="P31" i="26"/>
  <c r="K31" i="26"/>
  <c r="AA60" i="10"/>
  <c r="Z159" i="10"/>
  <c r="AE159" i="7"/>
  <c r="AF60" i="7"/>
  <c r="AJ175" i="10"/>
  <c r="AJ176" i="10"/>
  <c r="AU54" i="10"/>
  <c r="AT144" i="10"/>
  <c r="AK72" i="22"/>
  <c r="AJ189" i="22"/>
  <c r="BB64" i="10"/>
  <c r="BA169" i="10"/>
  <c r="AH70" i="22"/>
  <c r="AG184" i="22"/>
  <c r="AN58" i="8"/>
  <c r="AM154" i="8"/>
  <c r="BB66" i="9"/>
  <c r="BA174" i="9"/>
  <c r="Y185" i="8"/>
  <c r="Y186" i="8"/>
  <c r="AA76" i="11"/>
  <c r="Z199" i="11"/>
  <c r="Z138" i="6"/>
  <c r="Z139" i="6"/>
  <c r="Z140" i="6"/>
  <c r="Z141" i="6"/>
  <c r="AA46" i="6"/>
  <c r="AK166" i="10"/>
  <c r="AK165" i="10"/>
  <c r="AO196" i="11"/>
  <c r="AO195" i="11"/>
  <c r="AD205" i="11"/>
  <c r="AD206" i="11"/>
  <c r="AE166" i="8"/>
  <c r="AE165" i="8"/>
  <c r="Z150" i="11"/>
  <c r="Z151" i="11"/>
  <c r="AV175" i="22"/>
  <c r="AV176" i="22"/>
  <c r="AR147" i="10"/>
  <c r="AA157" i="7"/>
  <c r="Y161" i="10"/>
  <c r="Y160" i="10"/>
  <c r="AD160" i="7"/>
  <c r="AD161" i="7"/>
  <c r="AG207" i="9"/>
  <c r="AL66" i="10"/>
  <c r="AK174" i="10"/>
  <c r="AS146" i="10"/>
  <c r="AS145" i="10"/>
  <c r="AI190" i="22"/>
  <c r="AI191" i="22"/>
  <c r="AZ170" i="10"/>
  <c r="AZ171" i="10"/>
  <c r="AI169" i="9"/>
  <c r="AJ64" i="9"/>
  <c r="Y175" i="7"/>
  <c r="Y176" i="7"/>
  <c r="AF206" i="7"/>
  <c r="AF205" i="7"/>
  <c r="X202" i="10"/>
  <c r="AI177" i="10"/>
  <c r="AA70" i="8"/>
  <c r="Z184" i="8"/>
  <c r="BQ61" i="11"/>
  <c r="BR230" i="11"/>
  <c r="AF167" i="22"/>
  <c r="AE207" i="7"/>
  <c r="AL164" i="10"/>
  <c r="AM62" i="10"/>
  <c r="AQ74" i="11"/>
  <c r="AP194" i="11"/>
  <c r="AF78" i="11"/>
  <c r="AE204" i="11"/>
  <c r="AG62" i="8"/>
  <c r="AF164" i="8"/>
  <c r="AB56" i="11"/>
  <c r="AA149" i="11"/>
  <c r="AH207" i="22"/>
  <c r="AW174" i="22"/>
  <c r="AX66" i="22"/>
  <c r="AP70" i="10"/>
  <c r="AO184" i="10"/>
  <c r="AZ209" i="10"/>
  <c r="BA80" i="10"/>
  <c r="AC125" i="11"/>
  <c r="AC126" i="11"/>
  <c r="AJ204" i="22"/>
  <c r="AK78" i="22"/>
  <c r="Z199" i="10"/>
  <c r="AA76" i="10"/>
  <c r="Y200" i="22"/>
  <c r="Y201" i="22"/>
  <c r="AH170" i="9"/>
  <c r="AH171" i="9"/>
  <c r="AA66" i="7"/>
  <c r="Z174" i="7"/>
  <c r="AH78" i="7"/>
  <c r="AG204" i="7"/>
  <c r="Y180" i="10"/>
  <c r="Y181" i="10"/>
  <c r="AJ78" i="9"/>
  <c r="AI204" i="9"/>
  <c r="Y166" i="9"/>
  <c r="Y165" i="9"/>
  <c r="BC58" i="10"/>
  <c r="BB154" i="10"/>
  <c r="AH164" i="22"/>
  <c r="AI62" i="22"/>
  <c r="Y206" i="8"/>
  <c r="Y205" i="8"/>
  <c r="Z200" i="7"/>
  <c r="Z201" i="7"/>
  <c r="AB156" i="7"/>
  <c r="AB155" i="7"/>
  <c r="Y135" i="11"/>
  <c r="Y136" i="11"/>
  <c r="AN185" i="10"/>
  <c r="AN186" i="10"/>
  <c r="AY211" i="10"/>
  <c r="AY210" i="10"/>
  <c r="AS197" i="7"/>
  <c r="AE46" i="11"/>
  <c r="AD124" i="11"/>
  <c r="X207" i="8"/>
  <c r="Y152" i="11"/>
  <c r="AI205" i="22"/>
  <c r="AI206" i="22"/>
  <c r="AU177" i="22"/>
  <c r="Y200" i="10"/>
  <c r="Y201" i="10"/>
  <c r="X182" i="10"/>
  <c r="AA76" i="22"/>
  <c r="Z199" i="22"/>
  <c r="Z149" i="22"/>
  <c r="Z150" i="22"/>
  <c r="Z151" i="22"/>
  <c r="Z152" i="22"/>
  <c r="AA56" i="22"/>
  <c r="AF186" i="22"/>
  <c r="AF185" i="22"/>
  <c r="AL155" i="8"/>
  <c r="AL156" i="8"/>
  <c r="AZ175" i="9"/>
  <c r="AZ176" i="9"/>
  <c r="AC162" i="7"/>
  <c r="Z179" i="10"/>
  <c r="AA68" i="10"/>
  <c r="AH205" i="9"/>
  <c r="AH206" i="9"/>
  <c r="Y201" i="11"/>
  <c r="Y200" i="11"/>
  <c r="BK55" i="11"/>
  <c r="BL227" i="11"/>
  <c r="BN81" i="8"/>
  <c r="BO240" i="8"/>
  <c r="AY172" i="10"/>
  <c r="AA62" i="9"/>
  <c r="Z164" i="9"/>
  <c r="BA155" i="10"/>
  <c r="BA156" i="10"/>
  <c r="AG166" i="22"/>
  <c r="AG165" i="22"/>
  <c r="AA78" i="8"/>
  <c r="Z204" i="8"/>
  <c r="AB76" i="7"/>
  <c r="AA199" i="7"/>
  <c r="AC154" i="7"/>
  <c r="AD58" i="7"/>
  <c r="AA50" i="11"/>
  <c r="Z134" i="11"/>
  <c r="X162" i="10"/>
  <c r="X167" i="9"/>
  <c r="S32" i="35"/>
  <c r="AA15" i="26"/>
  <c r="Q33" i="35"/>
  <c r="R33" i="35"/>
  <c r="S32" i="33"/>
  <c r="Q15" i="26"/>
  <c r="Q33" i="33"/>
  <c r="R33" i="33"/>
  <c r="U35" i="33"/>
  <c r="K35" i="33"/>
  <c r="L35" i="33"/>
  <c r="S32" i="32"/>
  <c r="L15" i="26"/>
  <c r="Q33" i="32"/>
  <c r="R33" i="32"/>
  <c r="G15" i="26"/>
  <c r="S32" i="31"/>
  <c r="Q33" i="31"/>
  <c r="R33" i="31"/>
  <c r="AA36" i="31"/>
  <c r="AH36" i="31"/>
  <c r="AG36" i="31"/>
  <c r="Z36" i="31"/>
  <c r="AE36" i="31"/>
  <c r="X36" i="31"/>
  <c r="AB36" i="31"/>
  <c r="AC36" i="31"/>
  <c r="AI36" i="31"/>
  <c r="AD36" i="31"/>
  <c r="AJ36" i="31"/>
  <c r="AF36" i="31"/>
  <c r="Y36" i="31"/>
  <c r="AC40" i="11"/>
  <c r="AB109" i="11"/>
  <c r="AB110" i="11"/>
  <c r="AB111" i="11"/>
  <c r="AB112" i="11"/>
  <c r="AA32" i="10"/>
  <c r="Z89" i="10"/>
  <c r="Z90" i="10"/>
  <c r="Z91" i="10"/>
  <c r="Z92" i="10"/>
  <c r="Z124" i="10"/>
  <c r="Z125" i="10"/>
  <c r="Z126" i="10"/>
  <c r="Z127" i="10"/>
  <c r="AA46" i="10"/>
  <c r="AA30" i="10"/>
  <c r="Z84" i="10"/>
  <c r="Z85" i="10"/>
  <c r="Z86" i="10"/>
  <c r="Z87" i="10"/>
  <c r="AB44" i="10"/>
  <c r="AA119" i="10"/>
  <c r="AA120" i="10"/>
  <c r="AA121" i="10"/>
  <c r="AA122" i="10"/>
  <c r="Z129" i="10"/>
  <c r="Z130" i="10"/>
  <c r="Z131" i="10"/>
  <c r="Z132" i="10"/>
  <c r="AA48" i="10"/>
  <c r="AA34" i="10"/>
  <c r="Z94" i="10"/>
  <c r="Z95" i="10"/>
  <c r="Z96" i="10"/>
  <c r="Z97" i="10"/>
  <c r="Z114" i="10"/>
  <c r="Z115" i="10"/>
  <c r="Z116" i="10"/>
  <c r="Z117" i="10"/>
  <c r="AA42" i="10"/>
  <c r="Z109" i="10"/>
  <c r="Z110" i="10"/>
  <c r="Z111" i="10"/>
  <c r="Z112" i="10"/>
  <c r="AA40" i="10"/>
  <c r="Z104" i="10"/>
  <c r="Z105" i="10"/>
  <c r="Z106" i="10"/>
  <c r="Z107" i="10"/>
  <c r="AA38" i="10"/>
  <c r="Z139" i="10"/>
  <c r="Z140" i="10"/>
  <c r="Z141" i="10"/>
  <c r="Z142" i="10"/>
  <c r="AA52" i="10"/>
  <c r="AA42" i="22"/>
  <c r="Z114" i="22"/>
  <c r="Z115" i="22"/>
  <c r="Z116" i="22"/>
  <c r="Z117" i="22"/>
  <c r="Z134" i="22"/>
  <c r="Z135" i="22"/>
  <c r="Z136" i="22"/>
  <c r="Z137" i="22"/>
  <c r="AA50" i="22"/>
  <c r="AB46" i="22"/>
  <c r="AA124" i="22"/>
  <c r="AA125" i="22"/>
  <c r="AA126" i="22"/>
  <c r="AA127" i="22"/>
  <c r="AA139" i="22"/>
  <c r="AA140" i="22"/>
  <c r="AA141" i="22"/>
  <c r="AA142" i="22"/>
  <c r="AB52" i="22"/>
  <c r="AA134" i="8"/>
  <c r="AA135" i="8"/>
  <c r="AA136" i="8"/>
  <c r="AA137" i="8"/>
  <c r="AB50" i="8"/>
  <c r="Z124" i="8"/>
  <c r="Z125" i="8"/>
  <c r="Z126" i="8"/>
  <c r="Z127" i="8"/>
  <c r="AA46" i="8"/>
  <c r="AY132" i="11"/>
  <c r="AO192" i="11"/>
  <c r="BJ172" i="7"/>
  <c r="BH87" i="22"/>
  <c r="AY212" i="9"/>
  <c r="AR162" i="22"/>
  <c r="AT197" i="10"/>
  <c r="AW152" i="10"/>
  <c r="X202" i="9"/>
  <c r="AT197" i="22"/>
  <c r="AU182" i="9"/>
  <c r="AS182" i="22"/>
  <c r="BD140" i="11"/>
  <c r="BD141" i="11"/>
  <c r="BF65" i="8"/>
  <c r="BG232" i="8"/>
  <c r="AF72" i="8"/>
  <c r="AE189" i="8"/>
  <c r="AU195" i="22"/>
  <c r="AU196" i="22"/>
  <c r="AY169" i="22"/>
  <c r="AZ64" i="22"/>
  <c r="AT180" i="22"/>
  <c r="AT181" i="22"/>
  <c r="BC142" i="11"/>
  <c r="AZ130" i="11"/>
  <c r="AZ131" i="11"/>
  <c r="AV207" i="10"/>
  <c r="AU195" i="10"/>
  <c r="AU196" i="10"/>
  <c r="AW211" i="7"/>
  <c r="AW210" i="7"/>
  <c r="AZ56" i="10"/>
  <c r="AY149" i="10"/>
  <c r="BE190" i="10"/>
  <c r="BE191" i="10"/>
  <c r="AP202" i="8"/>
  <c r="AR175" i="11"/>
  <c r="AR176" i="11"/>
  <c r="U27" i="2"/>
  <c r="M34" i="32"/>
  <c r="N34" i="32"/>
  <c r="O34" i="32"/>
  <c r="P34" i="32"/>
  <c r="V148" i="2"/>
  <c r="AE148" i="2"/>
  <c r="AD27" i="2"/>
  <c r="M34" i="33"/>
  <c r="N34" i="33"/>
  <c r="O34" i="33"/>
  <c r="P34" i="33"/>
  <c r="Z199" i="9"/>
  <c r="AA76" i="9"/>
  <c r="BC68" i="7"/>
  <c r="BB179" i="7"/>
  <c r="AV212" i="7"/>
  <c r="AU66" i="8"/>
  <c r="AT174" i="8"/>
  <c r="X192" i="9"/>
  <c r="BR63" i="11"/>
  <c r="BS231" i="11"/>
  <c r="BF52" i="11"/>
  <c r="BE139" i="11"/>
  <c r="BI86" i="22"/>
  <c r="BI85" i="22"/>
  <c r="AT186" i="7"/>
  <c r="AT185" i="7"/>
  <c r="AV181" i="9"/>
  <c r="AV180" i="9"/>
  <c r="BS69" i="11"/>
  <c r="BT234" i="11"/>
  <c r="AU196" i="8"/>
  <c r="AU195" i="8"/>
  <c r="AX171" i="22"/>
  <c r="AX170" i="22"/>
  <c r="AY184" i="9"/>
  <c r="AZ70" i="9"/>
  <c r="BB48" i="11"/>
  <c r="BA129" i="11"/>
  <c r="AQ200" i="8"/>
  <c r="AQ201" i="8"/>
  <c r="AP190" i="11"/>
  <c r="AP191" i="11"/>
  <c r="AV194" i="10"/>
  <c r="AW74" i="10"/>
  <c r="AY80" i="7"/>
  <c r="AX209" i="7"/>
  <c r="BD73" i="7"/>
  <c r="BE236" i="7"/>
  <c r="AT66" i="11"/>
  <c r="AS174" i="11"/>
  <c r="AW205" i="10"/>
  <c r="AW206" i="10"/>
  <c r="AW148" i="2"/>
  <c r="AV27" i="2"/>
  <c r="M34" i="35"/>
  <c r="N34" i="35"/>
  <c r="O34" i="35"/>
  <c r="P34" i="35"/>
  <c r="C27" i="2"/>
  <c r="M35" i="30"/>
  <c r="D148" i="2"/>
  <c r="AQ181" i="8"/>
  <c r="AQ180" i="8"/>
  <c r="Y201" i="9"/>
  <c r="Y200" i="9"/>
  <c r="AQ60" i="8"/>
  <c r="AP159" i="8"/>
  <c r="U35" i="32"/>
  <c r="W35" i="32"/>
  <c r="V35" i="32"/>
  <c r="AF35" i="32"/>
  <c r="A30" i="2"/>
  <c r="A150" i="2"/>
  <c r="BW150" i="2"/>
  <c r="AP182" i="8"/>
  <c r="P34" i="37"/>
  <c r="Q34" i="37"/>
  <c r="BK30" i="22"/>
  <c r="BJ84" i="22"/>
  <c r="AT195" i="7"/>
  <c r="AT196" i="7"/>
  <c r="AV70" i="7"/>
  <c r="AU184" i="7"/>
  <c r="AW179" i="9"/>
  <c r="AX68" i="9"/>
  <c r="AS211" i="11"/>
  <c r="AS210" i="11"/>
  <c r="AW74" i="8"/>
  <c r="AV194" i="8"/>
  <c r="AX186" i="9"/>
  <c r="AX185" i="9"/>
  <c r="AS76" i="8"/>
  <c r="AR199" i="8"/>
  <c r="AR72" i="11"/>
  <c r="AQ189" i="11"/>
  <c r="BK170" i="7"/>
  <c r="BK171" i="7"/>
  <c r="AS187" i="7"/>
  <c r="AR212" i="11"/>
  <c r="AX80" i="22"/>
  <c r="AW209" i="22"/>
  <c r="AS160" i="22"/>
  <c r="AS161" i="22"/>
  <c r="Z189" i="9"/>
  <c r="AA72" i="9"/>
  <c r="AY78" i="10"/>
  <c r="AX204" i="10"/>
  <c r="BE27" i="2"/>
  <c r="BF148" i="2"/>
  <c r="BN27" i="2"/>
  <c r="M34" i="37"/>
  <c r="BO148" i="2"/>
  <c r="AR179" i="8"/>
  <c r="AS68" i="8"/>
  <c r="AO161" i="8"/>
  <c r="AO160" i="8"/>
  <c r="BB80" i="9"/>
  <c r="BA209" i="9"/>
  <c r="Z89" i="22"/>
  <c r="Z90" i="22"/>
  <c r="Z91" i="22"/>
  <c r="Z92" i="22"/>
  <c r="AA32" i="22"/>
  <c r="AV149" i="2"/>
  <c r="AD149" i="2"/>
  <c r="BN149" i="2"/>
  <c r="BE149" i="2"/>
  <c r="U149" i="2"/>
  <c r="AM149" i="2"/>
  <c r="L149" i="2"/>
  <c r="C149" i="2"/>
  <c r="AD191" i="8"/>
  <c r="AD190" i="8"/>
  <c r="AV194" i="22"/>
  <c r="AW74" i="22"/>
  <c r="AV74" i="7"/>
  <c r="AU194" i="7"/>
  <c r="AU80" i="11"/>
  <c r="AT209" i="11"/>
  <c r="AU179" i="22"/>
  <c r="AV68" i="22"/>
  <c r="BD192" i="10"/>
  <c r="AC192" i="8"/>
  <c r="BM64" i="7"/>
  <c r="BL169" i="7"/>
  <c r="AT197" i="8"/>
  <c r="AW172" i="22"/>
  <c r="AV211" i="22"/>
  <c r="AV210" i="22"/>
  <c r="AT159" i="22"/>
  <c r="AU60" i="22"/>
  <c r="AX151" i="10"/>
  <c r="AX150" i="10"/>
  <c r="BF189" i="10"/>
  <c r="BG72" i="10"/>
  <c r="Y190" i="9"/>
  <c r="Y191" i="9"/>
  <c r="M148" i="2"/>
  <c r="L27" i="2"/>
  <c r="M34" i="31"/>
  <c r="N34" i="31"/>
  <c r="O34" i="31"/>
  <c r="P34" i="31"/>
  <c r="AM27" i="2"/>
  <c r="M34" i="34"/>
  <c r="AN148" i="2"/>
  <c r="BN65" i="11"/>
  <c r="BO232" i="11"/>
  <c r="BA181" i="7"/>
  <c r="BA180" i="7"/>
  <c r="AS176" i="8"/>
  <c r="AS175" i="8"/>
  <c r="AZ211" i="9"/>
  <c r="AZ210" i="9"/>
  <c r="X28" i="30"/>
  <c r="L27" i="30"/>
  <c r="N27" i="30"/>
  <c r="O27" i="30"/>
  <c r="P27" i="30"/>
  <c r="Q27" i="30"/>
  <c r="K28" i="30"/>
  <c r="T27" i="30"/>
  <c r="G50" i="30"/>
  <c r="F51" i="30"/>
  <c r="AA42" i="8"/>
  <c r="Z114" i="8"/>
  <c r="Z115" i="8"/>
  <c r="Z116" i="8"/>
  <c r="Z117" i="8"/>
  <c r="AA44" i="8"/>
  <c r="Z119" i="8"/>
  <c r="Z120" i="8"/>
  <c r="Z121" i="8"/>
  <c r="Z122" i="8"/>
  <c r="AE94" i="8"/>
  <c r="AE95" i="8"/>
  <c r="AE96" i="8"/>
  <c r="AE97" i="8"/>
  <c r="AF34" i="8"/>
  <c r="AA32" i="11"/>
  <c r="Z89" i="11"/>
  <c r="Z90" i="11"/>
  <c r="Z91" i="11"/>
  <c r="Z92" i="11"/>
  <c r="AH164" i="7"/>
  <c r="AI62" i="7"/>
  <c r="AG165" i="7"/>
  <c r="AG166" i="7"/>
  <c r="AF167" i="7"/>
  <c r="AA52" i="9"/>
  <c r="Z139" i="9"/>
  <c r="Z140" i="9"/>
  <c r="Z141" i="9"/>
  <c r="Z142" i="9"/>
  <c r="AA84" i="9"/>
  <c r="AA85" i="9"/>
  <c r="AA86" i="9"/>
  <c r="AA87" i="9"/>
  <c r="AB30" i="9"/>
  <c r="Z219" i="1"/>
  <c r="AB86" i="1"/>
  <c r="AB87" i="1"/>
  <c r="AB88" i="1"/>
  <c r="AB89" i="1"/>
  <c r="AC30" i="1"/>
  <c r="Z141" i="1"/>
  <c r="AA52" i="1"/>
  <c r="Z156" i="1"/>
  <c r="Z157" i="1"/>
  <c r="Z158" i="1"/>
  <c r="Z159" i="1"/>
  <c r="AA58" i="1"/>
  <c r="AC32" i="1"/>
  <c r="AB91" i="1"/>
  <c r="AB92" i="1"/>
  <c r="AB93" i="1"/>
  <c r="AB94" i="1"/>
  <c r="Z181" i="1"/>
  <c r="Z182" i="1"/>
  <c r="Z183" i="1"/>
  <c r="Z184" i="1"/>
  <c r="AA68" i="1"/>
  <c r="Z171" i="1"/>
  <c r="AA64" i="1"/>
  <c r="Z96" i="1"/>
  <c r="Z97" i="1"/>
  <c r="Z98" i="1"/>
  <c r="Z99" i="1"/>
  <c r="AA34" i="1"/>
  <c r="Z131" i="1"/>
  <c r="Z132" i="1"/>
  <c r="Z133" i="1"/>
  <c r="Z134" i="1"/>
  <c r="AA48" i="1"/>
  <c r="Z136" i="1"/>
  <c r="Z137" i="1"/>
  <c r="Z138" i="1"/>
  <c r="Z139" i="1"/>
  <c r="AA50" i="1"/>
  <c r="Z35" i="32"/>
  <c r="AB35" i="32"/>
  <c r="Y35" i="32"/>
  <c r="AE35" i="32"/>
  <c r="X35" i="32"/>
  <c r="AG35" i="32"/>
  <c r="U31" i="26"/>
  <c r="AE31" i="26"/>
  <c r="AJ31" i="26"/>
  <c r="F31" i="26"/>
  <c r="Z31" i="26"/>
  <c r="I51" i="30"/>
  <c r="A32" i="26"/>
  <c r="AO32" i="26"/>
  <c r="AB87" i="11"/>
  <c r="AB44" i="22"/>
  <c r="AA119" i="22"/>
  <c r="AA120" i="22"/>
  <c r="AA121" i="22"/>
  <c r="AA122" i="22"/>
  <c r="Y102" i="7"/>
  <c r="AA121" i="6"/>
  <c r="AA32" i="6"/>
  <c r="Z103" i="6"/>
  <c r="Z104" i="6"/>
  <c r="Z105" i="6"/>
  <c r="Z106" i="6"/>
  <c r="Z93" i="6"/>
  <c r="Z94" i="6"/>
  <c r="Z95" i="6"/>
  <c r="Z96" i="6"/>
  <c r="AA28" i="6"/>
  <c r="Y101" i="6"/>
  <c r="AA24" i="6"/>
  <c r="Z83" i="6"/>
  <c r="Z133" i="6"/>
  <c r="Z134" i="6"/>
  <c r="Z135" i="6"/>
  <c r="Z136" i="6"/>
  <c r="AA44" i="6"/>
  <c r="Z113" i="6"/>
  <c r="Z114" i="6"/>
  <c r="Z115" i="6"/>
  <c r="Z116" i="6"/>
  <c r="AA36" i="6"/>
  <c r="Z88" i="6"/>
  <c r="Z89" i="6"/>
  <c r="Z90" i="6"/>
  <c r="Z91" i="6"/>
  <c r="AA26" i="6"/>
  <c r="AB30" i="6"/>
  <c r="AA98" i="6"/>
  <c r="AA99" i="6"/>
  <c r="AA100" i="6"/>
  <c r="AA101" i="6"/>
  <c r="Z123" i="6"/>
  <c r="Z124" i="6"/>
  <c r="Z125" i="6"/>
  <c r="Z126" i="6"/>
  <c r="AA40" i="6"/>
  <c r="Y114" i="6"/>
  <c r="Y115" i="6"/>
  <c r="Y116" i="6"/>
  <c r="X106" i="6"/>
  <c r="AB42" i="6"/>
  <c r="AA128" i="6"/>
  <c r="AA129" i="6"/>
  <c r="AA130" i="6"/>
  <c r="AA131" i="6"/>
  <c r="Z78" i="6"/>
  <c r="Z79" i="6"/>
  <c r="Z80" i="6"/>
  <c r="Z81" i="6"/>
  <c r="AA22" i="6"/>
  <c r="Z108" i="6"/>
  <c r="Z109" i="6"/>
  <c r="Z110" i="6"/>
  <c r="Z111" i="6"/>
  <c r="AA34" i="6"/>
  <c r="Z116" i="1"/>
  <c r="Z117" i="1"/>
  <c r="Z118" i="1"/>
  <c r="Z119" i="1"/>
  <c r="AA42" i="1"/>
  <c r="AC82" i="1"/>
  <c r="AB216" i="1"/>
  <c r="AD80" i="1"/>
  <c r="AC211" i="1"/>
  <c r="AC212" i="1"/>
  <c r="AC213" i="1"/>
  <c r="AC214" i="1"/>
  <c r="AA217" i="1"/>
  <c r="AA218" i="1"/>
  <c r="X149" i="1"/>
  <c r="X199" i="1"/>
  <c r="Y122" i="11"/>
  <c r="AB36" i="8"/>
  <c r="AA99" i="8"/>
  <c r="AA100" i="8"/>
  <c r="AA101" i="8"/>
  <c r="AA102" i="8"/>
  <c r="AD104" i="8"/>
  <c r="AD105" i="8"/>
  <c r="AD106" i="8"/>
  <c r="AD107" i="8"/>
  <c r="AE38" i="8"/>
  <c r="Z120" i="11"/>
  <c r="Z121" i="11"/>
  <c r="Z122" i="11"/>
  <c r="AA119" i="11"/>
  <c r="AB44" i="11"/>
  <c r="Z94" i="22"/>
  <c r="Z95" i="22"/>
  <c r="Z96" i="22"/>
  <c r="Z97" i="22"/>
  <c r="AA34" i="22"/>
  <c r="Z105" i="22"/>
  <c r="Z106" i="22"/>
  <c r="Z107" i="22"/>
  <c r="AA104" i="22"/>
  <c r="AA105" i="22"/>
  <c r="AA106" i="22"/>
  <c r="AA107" i="22"/>
  <c r="AB38" i="22"/>
  <c r="AA48" i="22"/>
  <c r="Z129" i="22"/>
  <c r="Z130" i="22"/>
  <c r="Z131" i="22"/>
  <c r="Z132" i="22"/>
  <c r="AB38" i="7"/>
  <c r="AA104" i="7"/>
  <c r="AA105" i="7"/>
  <c r="AA106" i="7"/>
  <c r="AA107" i="7"/>
  <c r="AC109" i="7"/>
  <c r="AC110" i="7"/>
  <c r="AC111" i="7"/>
  <c r="AC112" i="7"/>
  <c r="AD40" i="7"/>
  <c r="AA34" i="7"/>
  <c r="Z94" i="7"/>
  <c r="Z95" i="7"/>
  <c r="Z96" i="7"/>
  <c r="Z97" i="7"/>
  <c r="Z105" i="7"/>
  <c r="Z106" i="7"/>
  <c r="Z107" i="7"/>
  <c r="Z114" i="7"/>
  <c r="Z115" i="7"/>
  <c r="Z116" i="7"/>
  <c r="Z117" i="7"/>
  <c r="AA42" i="7"/>
  <c r="Z100" i="7"/>
  <c r="Z101" i="7"/>
  <c r="Z102" i="7"/>
  <c r="AB30" i="7"/>
  <c r="AA84" i="7"/>
  <c r="AA85" i="7"/>
  <c r="AA86" i="7"/>
  <c r="AA87" i="7"/>
  <c r="AB36" i="7"/>
  <c r="AA99" i="7"/>
  <c r="AA100" i="7"/>
  <c r="AA101" i="7"/>
  <c r="AA102" i="7"/>
  <c r="AD38" i="6"/>
  <c r="AC118" i="6"/>
  <c r="AA46" i="9"/>
  <c r="Z124" i="9"/>
  <c r="Z125" i="9"/>
  <c r="Z126" i="9"/>
  <c r="Z127" i="9"/>
  <c r="AD144" i="9"/>
  <c r="AD145" i="9"/>
  <c r="AD146" i="9"/>
  <c r="AD147" i="9"/>
  <c r="AE54" i="9"/>
  <c r="AC104" i="9"/>
  <c r="AC105" i="9"/>
  <c r="AC106" i="9"/>
  <c r="AC107" i="9"/>
  <c r="AD38" i="9"/>
  <c r="Y114" i="9"/>
  <c r="Y115" i="9"/>
  <c r="Y116" i="9"/>
  <c r="Y117" i="9"/>
  <c r="Z42" i="9"/>
  <c r="AA34" i="9"/>
  <c r="Z94" i="9"/>
  <c r="Z95" i="9"/>
  <c r="Z96" i="9"/>
  <c r="Z97" i="9"/>
  <c r="AB50" i="9"/>
  <c r="AA134" i="9"/>
  <c r="AA135" i="9"/>
  <c r="AA136" i="9"/>
  <c r="AA137" i="9"/>
  <c r="AA56" i="9"/>
  <c r="Z149" i="9"/>
  <c r="Z150" i="9"/>
  <c r="Z151" i="9"/>
  <c r="Z152" i="9"/>
  <c r="Z119" i="9"/>
  <c r="Z120" i="9"/>
  <c r="Z121" i="9"/>
  <c r="Z122" i="9"/>
  <c r="AA44" i="9"/>
  <c r="Y130" i="9"/>
  <c r="Y131" i="9"/>
  <c r="Y132" i="9"/>
  <c r="Z129" i="9"/>
  <c r="Z130" i="9"/>
  <c r="Z131" i="9"/>
  <c r="Z132" i="9"/>
  <c r="AA48" i="9"/>
  <c r="AB89" i="9"/>
  <c r="AB90" i="9"/>
  <c r="AB91" i="9"/>
  <c r="AB92" i="9"/>
  <c r="AC32" i="9"/>
  <c r="AA78" i="1"/>
  <c r="Z206" i="1"/>
  <c r="AC76" i="1"/>
  <c r="AB201" i="1"/>
  <c r="AB202" i="1"/>
  <c r="AB203" i="1"/>
  <c r="AB204" i="1"/>
  <c r="AB72" i="1"/>
  <c r="AA191" i="1"/>
  <c r="AA192" i="1"/>
  <c r="AA193" i="1"/>
  <c r="AA194" i="1"/>
  <c r="Y187" i="1"/>
  <c r="Y188" i="1"/>
  <c r="Y189" i="1"/>
  <c r="AB60" i="1"/>
  <c r="AA161" i="1"/>
  <c r="AA162" i="1"/>
  <c r="AA163" i="1"/>
  <c r="AA164" i="1"/>
  <c r="AC66" i="1"/>
  <c r="AB176" i="1"/>
  <c r="AB177" i="1"/>
  <c r="AB178" i="1"/>
  <c r="AB179" i="1"/>
  <c r="AA74" i="1"/>
  <c r="Z196" i="1"/>
  <c r="Z197" i="1"/>
  <c r="Z198" i="1"/>
  <c r="Z199" i="1"/>
  <c r="AA70" i="1"/>
  <c r="Z186" i="1"/>
  <c r="Z187" i="1"/>
  <c r="Z188" i="1"/>
  <c r="Z189" i="1"/>
  <c r="AF151" i="1"/>
  <c r="AF152" i="1"/>
  <c r="AF153" i="1"/>
  <c r="AF154" i="1"/>
  <c r="AG56" i="1"/>
  <c r="K35" i="37"/>
  <c r="T35" i="37"/>
  <c r="AE115" i="11"/>
  <c r="AE116" i="11"/>
  <c r="AE117" i="11"/>
  <c r="AF114" i="11"/>
  <c r="AG42" i="11"/>
  <c r="W33" i="34"/>
  <c r="V33" i="34"/>
  <c r="K33" i="34"/>
  <c r="T35" i="35"/>
  <c r="L35" i="35"/>
  <c r="AC35" i="35"/>
  <c r="AH35" i="35"/>
  <c r="X35" i="35"/>
  <c r="AG35" i="35"/>
  <c r="AA35" i="35"/>
  <c r="AB35" i="35"/>
  <c r="Z35" i="35"/>
  <c r="AE35" i="35"/>
  <c r="AF35" i="35"/>
  <c r="Y35" i="35"/>
  <c r="AD35" i="35"/>
  <c r="AI35" i="35"/>
  <c r="AA100" i="11"/>
  <c r="AA101" i="11"/>
  <c r="AA102" i="11"/>
  <c r="Y107" i="11"/>
  <c r="AD84" i="11"/>
  <c r="AE30" i="11"/>
  <c r="AC85" i="11"/>
  <c r="AC86" i="11"/>
  <c r="AC87" i="11"/>
  <c r="Z105" i="11"/>
  <c r="Z106" i="11"/>
  <c r="Z107" i="11"/>
  <c r="AC36" i="11"/>
  <c r="AB99" i="11"/>
  <c r="AA104" i="11"/>
  <c r="AB38" i="11"/>
  <c r="AA134" i="10"/>
  <c r="AB50" i="10"/>
  <c r="Z135" i="10"/>
  <c r="Z136" i="10"/>
  <c r="Z137" i="10"/>
  <c r="AA99" i="10"/>
  <c r="AB36" i="10"/>
  <c r="Z100" i="10"/>
  <c r="Z101" i="10"/>
  <c r="Z102" i="10"/>
  <c r="Y155" i="22"/>
  <c r="Y156" i="22"/>
  <c r="Y157" i="22"/>
  <c r="AA58" i="22"/>
  <c r="Z154" i="22"/>
  <c r="AB40" i="22"/>
  <c r="AA109" i="22"/>
  <c r="Z110" i="22"/>
  <c r="Z111" i="22"/>
  <c r="Z112" i="22"/>
  <c r="Z100" i="22"/>
  <c r="Z101" i="22"/>
  <c r="Z102" i="22"/>
  <c r="Z145" i="22"/>
  <c r="Z146" i="22"/>
  <c r="Z147" i="22"/>
  <c r="AB36" i="22"/>
  <c r="AA99" i="22"/>
  <c r="AB54" i="22"/>
  <c r="AA144" i="22"/>
  <c r="AC149" i="8"/>
  <c r="AD56" i="8"/>
  <c r="AB150" i="8"/>
  <c r="AB151" i="8"/>
  <c r="AB152" i="8"/>
  <c r="AA144" i="8"/>
  <c r="AB54" i="8"/>
  <c r="Z145" i="8"/>
  <c r="Z146" i="8"/>
  <c r="Z147" i="8"/>
  <c r="Y110" i="8"/>
  <c r="Y111" i="8"/>
  <c r="Y112" i="8"/>
  <c r="AA40" i="8"/>
  <c r="Z109" i="8"/>
  <c r="AA52" i="8"/>
  <c r="Z139" i="8"/>
  <c r="X85" i="8"/>
  <c r="X86" i="8"/>
  <c r="X87" i="8"/>
  <c r="Y90" i="8"/>
  <c r="Y91" i="8"/>
  <c r="Y92" i="8"/>
  <c r="Y140" i="8"/>
  <c r="Y141" i="8"/>
  <c r="AA48" i="8"/>
  <c r="Z129" i="8"/>
  <c r="Z30" i="8"/>
  <c r="Y84" i="8"/>
  <c r="Z89" i="8"/>
  <c r="AA32" i="8"/>
  <c r="Y130" i="8"/>
  <c r="Y131" i="8"/>
  <c r="Y132" i="8"/>
  <c r="Z144" i="7"/>
  <c r="AA54" i="7"/>
  <c r="Y145" i="7"/>
  <c r="Y146" i="7"/>
  <c r="Y147" i="7"/>
  <c r="AA52" i="7"/>
  <c r="Z139" i="7"/>
  <c r="Y140" i="7"/>
  <c r="Y141" i="7"/>
  <c r="Y142" i="7"/>
  <c r="Y135" i="7"/>
  <c r="Y136" i="7"/>
  <c r="Y137" i="7"/>
  <c r="Z134" i="7"/>
  <c r="AA50" i="7"/>
  <c r="AC46" i="7"/>
  <c r="AB124" i="7"/>
  <c r="AC119" i="7"/>
  <c r="AD44" i="7"/>
  <c r="AH32" i="7"/>
  <c r="AG89" i="7"/>
  <c r="AA125" i="7"/>
  <c r="AA126" i="7"/>
  <c r="AA127" i="7"/>
  <c r="AB120" i="7"/>
  <c r="AB121" i="7"/>
  <c r="AB122" i="7"/>
  <c r="AF90" i="7"/>
  <c r="AF91" i="7"/>
  <c r="AF92" i="7"/>
  <c r="Z163" i="6"/>
  <c r="AA56" i="6"/>
  <c r="Y164" i="6"/>
  <c r="Y165" i="6"/>
  <c r="Y166" i="6"/>
  <c r="AA54" i="6"/>
  <c r="Z158" i="6"/>
  <c r="Y159" i="6"/>
  <c r="Y160" i="6"/>
  <c r="Y154" i="6"/>
  <c r="Y155" i="6"/>
  <c r="AA52" i="6"/>
  <c r="Z153" i="6"/>
  <c r="Z148" i="6"/>
  <c r="AA50" i="6"/>
  <c r="Y149" i="6"/>
  <c r="Y150" i="6"/>
  <c r="Y151" i="6"/>
  <c r="Y144" i="6"/>
  <c r="Y145" i="6"/>
  <c r="Y146" i="6"/>
  <c r="Z143" i="6"/>
  <c r="AA48" i="6"/>
  <c r="Z160" i="9"/>
  <c r="Z161" i="9"/>
  <c r="Z162" i="9"/>
  <c r="AB60" i="9"/>
  <c r="AA159" i="9"/>
  <c r="Z154" i="9"/>
  <c r="AA58" i="9"/>
  <c r="Y155" i="9"/>
  <c r="Y156" i="9"/>
  <c r="Y157" i="9"/>
  <c r="AB36" i="9"/>
  <c r="AA99" i="9"/>
  <c r="Z100" i="9"/>
  <c r="Z101" i="9"/>
  <c r="Z102" i="9"/>
  <c r="AB40" i="9"/>
  <c r="AA109" i="9"/>
  <c r="Z110" i="9"/>
  <c r="Z111" i="9"/>
  <c r="Z112" i="9"/>
  <c r="Y167" i="1"/>
  <c r="Y168" i="1"/>
  <c r="Y169" i="1"/>
  <c r="AA62" i="1"/>
  <c r="Z166" i="1"/>
  <c r="Y127" i="1"/>
  <c r="Y128" i="1"/>
  <c r="Y129" i="1"/>
  <c r="AA54" i="1"/>
  <c r="Z146" i="1"/>
  <c r="Z126" i="1"/>
  <c r="AA46" i="1"/>
  <c r="Y147" i="1"/>
  <c r="Y148" i="1"/>
  <c r="AA122" i="1"/>
  <c r="AA123" i="1"/>
  <c r="AA124" i="1"/>
  <c r="AC44" i="1"/>
  <c r="AB121" i="1"/>
  <c r="AC40" i="1"/>
  <c r="AB111" i="1"/>
  <c r="Y107" i="1"/>
  <c r="Y108" i="1"/>
  <c r="Y109" i="1"/>
  <c r="AA112" i="1"/>
  <c r="AA113" i="1"/>
  <c r="AA114" i="1"/>
  <c r="Z106" i="1"/>
  <c r="AA38" i="1"/>
  <c r="AB101" i="1"/>
  <c r="AC36" i="1"/>
  <c r="AA102" i="1"/>
  <c r="AA103" i="1"/>
  <c r="AA104" i="1"/>
  <c r="AC35" i="37"/>
  <c r="Y35" i="37"/>
  <c r="AA35" i="37"/>
  <c r="AH35" i="37"/>
  <c r="AE35" i="37"/>
  <c r="AB35" i="37"/>
  <c r="AD35" i="37"/>
  <c r="Z35" i="37"/>
  <c r="AG35" i="37"/>
  <c r="AF35" i="37"/>
  <c r="AI35" i="37"/>
  <c r="X35" i="37"/>
  <c r="AI35" i="32"/>
  <c r="AA35" i="32"/>
  <c r="AH35" i="32"/>
  <c r="K35" i="32"/>
  <c r="AD35" i="32"/>
  <c r="AC35" i="32"/>
  <c r="AA129" i="7"/>
  <c r="AA130" i="7"/>
  <c r="AA131" i="7"/>
  <c r="AA132" i="7"/>
  <c r="AB48" i="7"/>
  <c r="W35" i="36"/>
  <c r="V35" i="36"/>
  <c r="K35" i="36"/>
  <c r="T35" i="36"/>
  <c r="P34" i="36"/>
  <c r="Q34" i="36"/>
  <c r="BW29" i="2"/>
  <c r="M36" i="41"/>
  <c r="BX150" i="2"/>
  <c r="BD59" i="11"/>
  <c r="BE229" i="11"/>
  <c r="T36" i="31"/>
  <c r="BG195" i="9"/>
  <c r="BG196" i="9"/>
  <c r="BF197" i="9"/>
  <c r="BH194" i="9"/>
  <c r="BI74" i="9"/>
  <c r="U29" i="30"/>
  <c r="W29" i="30"/>
  <c r="V29" i="30"/>
  <c r="Z29" i="30"/>
  <c r="M34" i="36"/>
  <c r="CF27" i="2"/>
  <c r="T35" i="33"/>
  <c r="W35" i="33"/>
  <c r="V35" i="33"/>
  <c r="AD35" i="33"/>
  <c r="J38" i="41"/>
  <c r="H37" i="41"/>
  <c r="Q30" i="41"/>
  <c r="W29" i="41"/>
  <c r="V29" i="41"/>
  <c r="K29" i="41"/>
  <c r="AH207" i="9"/>
  <c r="Y187" i="8"/>
  <c r="Y137" i="11"/>
  <c r="Z202" i="7"/>
  <c r="Y182" i="10"/>
  <c r="Y202" i="11"/>
  <c r="AB157" i="7"/>
  <c r="Y207" i="8"/>
  <c r="Y202" i="22"/>
  <c r="AT182" i="22"/>
  <c r="AU197" i="22"/>
  <c r="AF207" i="7"/>
  <c r="Y177" i="7"/>
  <c r="AZ172" i="10"/>
  <c r="Y162" i="10"/>
  <c r="AE167" i="8"/>
  <c r="AO197" i="11"/>
  <c r="AF187" i="22"/>
  <c r="AD162" i="7"/>
  <c r="Z152" i="11"/>
  <c r="AD207" i="11"/>
  <c r="AQ289" i="40"/>
  <c r="AQ290" i="40"/>
  <c r="AQ291" i="40"/>
  <c r="AQ292" i="40"/>
  <c r="AR110" i="40"/>
  <c r="AQ269" i="40"/>
  <c r="AR102" i="40"/>
  <c r="AP290" i="40"/>
  <c r="AP291" i="40"/>
  <c r="AP292" i="40"/>
  <c r="AP270" i="40"/>
  <c r="AP271" i="40"/>
  <c r="AP272" i="40"/>
  <c r="AQ264" i="40"/>
  <c r="AR100" i="40"/>
  <c r="AQ244" i="40"/>
  <c r="AR92" i="40"/>
  <c r="AQ284" i="40"/>
  <c r="AQ285" i="40"/>
  <c r="AQ286" i="40"/>
  <c r="AQ287" i="40"/>
  <c r="AR108" i="40"/>
  <c r="AQ249" i="40"/>
  <c r="AR94" i="40"/>
  <c r="AP265" i="40"/>
  <c r="AP266" i="40"/>
  <c r="AP267" i="40"/>
  <c r="AP245" i="40"/>
  <c r="AP246" i="40"/>
  <c r="AP247" i="40"/>
  <c r="AP285" i="40"/>
  <c r="AP286" i="40"/>
  <c r="AP287" i="40"/>
  <c r="AP250" i="40"/>
  <c r="AP251" i="40"/>
  <c r="AP252" i="40"/>
  <c r="AX96" i="40"/>
  <c r="AX254" i="40"/>
  <c r="AX255" i="40"/>
  <c r="AX256" i="40"/>
  <c r="AX257" i="40"/>
  <c r="AW106" i="40"/>
  <c r="AW279" i="40"/>
  <c r="AW280" i="40"/>
  <c r="AW281" i="40"/>
  <c r="AW282" i="40"/>
  <c r="AX104" i="40"/>
  <c r="AX274" i="40"/>
  <c r="AY98" i="40"/>
  <c r="AY259" i="40"/>
  <c r="AT90" i="40"/>
  <c r="AP240" i="40"/>
  <c r="AP241" i="40"/>
  <c r="AP242" i="40"/>
  <c r="AS80" i="40"/>
  <c r="AR214" i="40"/>
  <c r="AP210" i="40"/>
  <c r="AP211" i="40"/>
  <c r="AP212" i="40"/>
  <c r="AR70" i="40"/>
  <c r="AQ189" i="40"/>
  <c r="AQ165" i="40"/>
  <c r="AQ166" i="40"/>
  <c r="AQ167" i="40"/>
  <c r="AP237" i="40"/>
  <c r="AQ205" i="40"/>
  <c r="AQ206" i="40"/>
  <c r="AQ239" i="40"/>
  <c r="AP135" i="40"/>
  <c r="AP136" i="40"/>
  <c r="AP137" i="40"/>
  <c r="AT68" i="40"/>
  <c r="AS184" i="40"/>
  <c r="AP145" i="40"/>
  <c r="AP146" i="40"/>
  <c r="AP147" i="40"/>
  <c r="AQ140" i="40"/>
  <c r="AQ141" i="40"/>
  <c r="AQ142" i="40"/>
  <c r="AR78" i="40"/>
  <c r="AQ209" i="40"/>
  <c r="AP120" i="40"/>
  <c r="AP121" i="40"/>
  <c r="AP122" i="40"/>
  <c r="AP182" i="40"/>
  <c r="AO222" i="40"/>
  <c r="AQ115" i="40"/>
  <c r="AQ116" i="40"/>
  <c r="AQ117" i="40"/>
  <c r="AR74" i="40"/>
  <c r="AQ199" i="40"/>
  <c r="AP150" i="40"/>
  <c r="AP151" i="40"/>
  <c r="AP152" i="40"/>
  <c r="AR86" i="40"/>
  <c r="AQ229" i="40"/>
  <c r="AR185" i="40"/>
  <c r="AR186" i="40"/>
  <c r="AR56" i="40"/>
  <c r="AQ154" i="40"/>
  <c r="AR62" i="40"/>
  <c r="AQ169" i="40"/>
  <c r="AT72" i="40"/>
  <c r="AS194" i="40"/>
  <c r="AP160" i="40"/>
  <c r="AP161" i="40"/>
  <c r="AP162" i="40"/>
  <c r="AP130" i="40"/>
  <c r="AP131" i="40"/>
  <c r="AP132" i="40"/>
  <c r="AS76" i="40"/>
  <c r="AR204" i="40"/>
  <c r="AQ225" i="40"/>
  <c r="AQ226" i="40"/>
  <c r="AP220" i="40"/>
  <c r="AP221" i="40"/>
  <c r="AP155" i="40"/>
  <c r="AP156" i="40"/>
  <c r="AP125" i="40"/>
  <c r="AP126" i="40"/>
  <c r="AP127" i="40"/>
  <c r="AS50" i="40"/>
  <c r="AR139" i="40"/>
  <c r="AO242" i="40"/>
  <c r="AR42" i="40"/>
  <c r="AQ119" i="40"/>
  <c r="AO202" i="40"/>
  <c r="AO157" i="40"/>
  <c r="AQ180" i="40"/>
  <c r="AQ181" i="40"/>
  <c r="AQ182" i="40"/>
  <c r="AQ235" i="40"/>
  <c r="AQ236" i="40"/>
  <c r="AO212" i="40"/>
  <c r="AS60" i="40"/>
  <c r="AR164" i="40"/>
  <c r="AP227" i="40"/>
  <c r="AT64" i="40"/>
  <c r="AS174" i="40"/>
  <c r="AP200" i="40"/>
  <c r="AP201" i="40"/>
  <c r="AR58" i="40"/>
  <c r="AQ159" i="40"/>
  <c r="AR175" i="40"/>
  <c r="AR176" i="40"/>
  <c r="AR46" i="40"/>
  <c r="AQ129" i="40"/>
  <c r="AP230" i="40"/>
  <c r="AP231" i="40"/>
  <c r="AS84" i="40"/>
  <c r="AR224" i="40"/>
  <c r="AR48" i="40"/>
  <c r="AQ134" i="40"/>
  <c r="AR52" i="40"/>
  <c r="AQ144" i="40"/>
  <c r="AR82" i="40"/>
  <c r="AQ219" i="40"/>
  <c r="AQ215" i="40"/>
  <c r="AQ216" i="40"/>
  <c r="AP170" i="40"/>
  <c r="AP171" i="40"/>
  <c r="AR44" i="40"/>
  <c r="AQ124" i="40"/>
  <c r="AQ177" i="40"/>
  <c r="AO232" i="40"/>
  <c r="AS66" i="40"/>
  <c r="AR179" i="40"/>
  <c r="AP190" i="40"/>
  <c r="AP191" i="40"/>
  <c r="AS88" i="40"/>
  <c r="AR234" i="40"/>
  <c r="AR195" i="40"/>
  <c r="AR196" i="40"/>
  <c r="AR114" i="40"/>
  <c r="AS40" i="40"/>
  <c r="AP207" i="40"/>
  <c r="AP217" i="40"/>
  <c r="AR54" i="40"/>
  <c r="AQ149" i="40"/>
  <c r="G16" i="26"/>
  <c r="S33" i="31"/>
  <c r="AE58" i="7"/>
  <c r="AD154" i="7"/>
  <c r="Z206" i="8"/>
  <c r="Z205" i="8"/>
  <c r="BA157" i="10"/>
  <c r="BJ55" i="11"/>
  <c r="BK227" i="11"/>
  <c r="AZ177" i="9"/>
  <c r="Z201" i="22"/>
  <c r="Z200" i="22"/>
  <c r="AI207" i="22"/>
  <c r="AD125" i="11"/>
  <c r="AD126" i="11"/>
  <c r="AY212" i="10"/>
  <c r="AH166" i="22"/>
  <c r="AH165" i="22"/>
  <c r="Y167" i="9"/>
  <c r="AA174" i="7"/>
  <c r="AB66" i="7"/>
  <c r="Z201" i="10"/>
  <c r="Z200" i="10"/>
  <c r="AZ210" i="10"/>
  <c r="AZ211" i="10"/>
  <c r="AW175" i="22"/>
  <c r="AW176" i="22"/>
  <c r="AF166" i="8"/>
  <c r="AF165" i="8"/>
  <c r="AP196" i="11"/>
  <c r="AP195" i="11"/>
  <c r="Z186" i="8"/>
  <c r="Z185" i="8"/>
  <c r="AK64" i="9"/>
  <c r="AJ169" i="9"/>
  <c r="AI192" i="22"/>
  <c r="AK176" i="10"/>
  <c r="AK175" i="10"/>
  <c r="AK167" i="10"/>
  <c r="AB76" i="11"/>
  <c r="AA199" i="11"/>
  <c r="BB174" i="9"/>
  <c r="BC66" i="9"/>
  <c r="AH184" i="22"/>
  <c r="AI70" i="22"/>
  <c r="AL72" i="22"/>
  <c r="AK189" i="22"/>
  <c r="AA159" i="10"/>
  <c r="AB60" i="10"/>
  <c r="U37" i="31"/>
  <c r="K37" i="31"/>
  <c r="AC155" i="7"/>
  <c r="AC156" i="7"/>
  <c r="AB78" i="8"/>
  <c r="AA204" i="8"/>
  <c r="AB68" i="10"/>
  <c r="AA179" i="10"/>
  <c r="AA199" i="22"/>
  <c r="AB76" i="22"/>
  <c r="Y202" i="10"/>
  <c r="AF46" i="11"/>
  <c r="AE124" i="11"/>
  <c r="AN187" i="10"/>
  <c r="BB155" i="10"/>
  <c r="BB156" i="10"/>
  <c r="AI206" i="9"/>
  <c r="AI205" i="9"/>
  <c r="AG206" i="7"/>
  <c r="AG205" i="7"/>
  <c r="AH172" i="9"/>
  <c r="AK204" i="22"/>
  <c r="AL78" i="22"/>
  <c r="AC127" i="11"/>
  <c r="AO186" i="10"/>
  <c r="AO185" i="10"/>
  <c r="AH62" i="8"/>
  <c r="AG164" i="8"/>
  <c r="AR74" i="11"/>
  <c r="AQ194" i="11"/>
  <c r="AB70" i="8"/>
  <c r="AA184" i="8"/>
  <c r="AI170" i="9"/>
  <c r="AI171" i="9"/>
  <c r="AM66" i="10"/>
  <c r="AL174" i="10"/>
  <c r="AV177" i="22"/>
  <c r="AA138" i="6"/>
  <c r="AA139" i="6"/>
  <c r="AA140" i="6"/>
  <c r="AA141" i="6"/>
  <c r="AB46" i="6"/>
  <c r="AM155" i="8"/>
  <c r="AM156" i="8"/>
  <c r="BA170" i="10"/>
  <c r="BA171" i="10"/>
  <c r="AT145" i="10"/>
  <c r="AT146" i="10"/>
  <c r="AF159" i="7"/>
  <c r="AG60" i="7"/>
  <c r="Z136" i="11"/>
  <c r="Z135" i="11"/>
  <c r="AA201" i="7"/>
  <c r="AA200" i="7"/>
  <c r="Z166" i="9"/>
  <c r="Z165" i="9"/>
  <c r="BM81" i="8"/>
  <c r="BN240" i="8"/>
  <c r="Z181" i="10"/>
  <c r="Z180" i="10"/>
  <c r="AL157" i="8"/>
  <c r="AA149" i="22"/>
  <c r="AA150" i="22"/>
  <c r="AA151" i="22"/>
  <c r="AA152" i="22"/>
  <c r="AB56" i="22"/>
  <c r="BD58" i="10"/>
  <c r="BC154" i="10"/>
  <c r="AJ204" i="9"/>
  <c r="AK78" i="9"/>
  <c r="AI78" i="7"/>
  <c r="AH204" i="7"/>
  <c r="AJ206" i="22"/>
  <c r="AJ205" i="22"/>
  <c r="AQ70" i="10"/>
  <c r="AP184" i="10"/>
  <c r="AA151" i="11"/>
  <c r="AA150" i="11"/>
  <c r="AE205" i="11"/>
  <c r="AE206" i="11"/>
  <c r="AM164" i="10"/>
  <c r="AN62" i="10"/>
  <c r="AO58" i="8"/>
  <c r="AN154" i="8"/>
  <c r="BB169" i="10"/>
  <c r="BC64" i="10"/>
  <c r="AU144" i="10"/>
  <c r="AV54" i="10"/>
  <c r="AE160" i="7"/>
  <c r="AE161" i="7"/>
  <c r="K32" i="26"/>
  <c r="P32" i="26"/>
  <c r="AB50" i="11"/>
  <c r="AA134" i="11"/>
  <c r="AC76" i="7"/>
  <c r="AB199" i="7"/>
  <c r="AG167" i="22"/>
  <c r="AA164" i="9"/>
  <c r="AB62" i="9"/>
  <c r="AI164" i="22"/>
  <c r="AJ62" i="22"/>
  <c r="Z175" i="7"/>
  <c r="Z176" i="7"/>
  <c r="AB76" i="10"/>
  <c r="AA199" i="10"/>
  <c r="BB80" i="10"/>
  <c r="BA209" i="10"/>
  <c r="AY66" i="22"/>
  <c r="AX174" i="22"/>
  <c r="AC56" i="11"/>
  <c r="AB149" i="11"/>
  <c r="AG78" i="11"/>
  <c r="AF204" i="11"/>
  <c r="AL165" i="10"/>
  <c r="AL166" i="10"/>
  <c r="BP61" i="11"/>
  <c r="BQ230" i="11"/>
  <c r="AS147" i="10"/>
  <c r="Z201" i="11"/>
  <c r="Z200" i="11"/>
  <c r="BA176" i="9"/>
  <c r="BA175" i="9"/>
  <c r="AG185" i="22"/>
  <c r="AG186" i="22"/>
  <c r="AJ190" i="22"/>
  <c r="AJ191" i="22"/>
  <c r="AJ177" i="10"/>
  <c r="Z160" i="10"/>
  <c r="Z161" i="10"/>
  <c r="AA16" i="26"/>
  <c r="S33" i="35"/>
  <c r="Q34" i="35"/>
  <c r="R34" i="35"/>
  <c r="S33" i="33"/>
  <c r="Q16" i="26"/>
  <c r="AE35" i="33"/>
  <c r="Q34" i="33"/>
  <c r="S33" i="32"/>
  <c r="L16" i="26"/>
  <c r="Q34" i="32"/>
  <c r="R34" i="32"/>
  <c r="W37" i="31"/>
  <c r="V37" i="31"/>
  <c r="Q34" i="31"/>
  <c r="R34" i="31"/>
  <c r="AC109" i="11"/>
  <c r="AC110" i="11"/>
  <c r="AC111" i="11"/>
  <c r="AC112" i="11"/>
  <c r="AD40" i="11"/>
  <c r="AA139" i="10"/>
  <c r="AA140" i="10"/>
  <c r="AA141" i="10"/>
  <c r="AA142" i="10"/>
  <c r="AB52" i="10"/>
  <c r="AA109" i="10"/>
  <c r="AA110" i="10"/>
  <c r="AA111" i="10"/>
  <c r="AA112" i="10"/>
  <c r="AB40" i="10"/>
  <c r="AB46" i="10"/>
  <c r="AA124" i="10"/>
  <c r="AA125" i="10"/>
  <c r="AA126" i="10"/>
  <c r="AA127" i="10"/>
  <c r="AB34" i="10"/>
  <c r="AA94" i="10"/>
  <c r="AA95" i="10"/>
  <c r="AA96" i="10"/>
  <c r="AA97" i="10"/>
  <c r="AC44" i="10"/>
  <c r="AB119" i="10"/>
  <c r="AB120" i="10"/>
  <c r="AB121" i="10"/>
  <c r="AB122" i="10"/>
  <c r="AA104" i="10"/>
  <c r="AA105" i="10"/>
  <c r="AA106" i="10"/>
  <c r="AA107" i="10"/>
  <c r="AB38" i="10"/>
  <c r="AA114" i="10"/>
  <c r="AA115" i="10"/>
  <c r="AA116" i="10"/>
  <c r="AA117" i="10"/>
  <c r="AB42" i="10"/>
  <c r="AB48" i="10"/>
  <c r="AA129" i="10"/>
  <c r="AA130" i="10"/>
  <c r="AA131" i="10"/>
  <c r="AA132" i="10"/>
  <c r="AA84" i="10"/>
  <c r="AA85" i="10"/>
  <c r="AA86" i="10"/>
  <c r="AA87" i="10"/>
  <c r="AB30" i="10"/>
  <c r="AB32" i="10"/>
  <c r="AA89" i="10"/>
  <c r="AA90" i="10"/>
  <c r="AA91" i="10"/>
  <c r="AA92" i="10"/>
  <c r="AC46" i="22"/>
  <c r="AB124" i="22"/>
  <c r="AB125" i="22"/>
  <c r="AB126" i="22"/>
  <c r="AB127" i="22"/>
  <c r="AC52" i="22"/>
  <c r="AB139" i="22"/>
  <c r="AB140" i="22"/>
  <c r="AB141" i="22"/>
  <c r="AB142" i="22"/>
  <c r="AB50" i="22"/>
  <c r="AA134" i="22"/>
  <c r="AA135" i="22"/>
  <c r="AA136" i="22"/>
  <c r="AA137" i="22"/>
  <c r="AA114" i="22"/>
  <c r="AA115" i="22"/>
  <c r="AA116" i="22"/>
  <c r="AA117" i="22"/>
  <c r="AB42" i="22"/>
  <c r="AA124" i="8"/>
  <c r="AA125" i="8"/>
  <c r="AA126" i="8"/>
  <c r="AA127" i="8"/>
  <c r="AB46" i="8"/>
  <c r="AB134" i="8"/>
  <c r="AB135" i="8"/>
  <c r="AB136" i="8"/>
  <c r="AB137" i="8"/>
  <c r="AC50" i="8"/>
  <c r="BK172" i="7"/>
  <c r="AT197" i="7"/>
  <c r="AQ182" i="8"/>
  <c r="AP192" i="11"/>
  <c r="Y192" i="9"/>
  <c r="AS162" i="22"/>
  <c r="AW207" i="10"/>
  <c r="AQ202" i="8"/>
  <c r="AR177" i="11"/>
  <c r="AU197" i="8"/>
  <c r="AV182" i="9"/>
  <c r="BA182" i="7"/>
  <c r="AX152" i="10"/>
  <c r="AD192" i="8"/>
  <c r="BE192" i="10"/>
  <c r="AS177" i="8"/>
  <c r="AT161" i="22"/>
  <c r="AT160" i="22"/>
  <c r="BL170" i="7"/>
  <c r="BL171" i="7"/>
  <c r="AW194" i="22"/>
  <c r="AX74" i="22"/>
  <c r="C28" i="2"/>
  <c r="M36" i="30"/>
  <c r="D149" i="2"/>
  <c r="BE28" i="2"/>
  <c r="BF149" i="2"/>
  <c r="BB209" i="9"/>
  <c r="BC80" i="9"/>
  <c r="AX205" i="10"/>
  <c r="AX206" i="10"/>
  <c r="Z191" i="9"/>
  <c r="Z190" i="9"/>
  <c r="AW211" i="22"/>
  <c r="AW210" i="22"/>
  <c r="AQ190" i="11"/>
  <c r="AQ191" i="11"/>
  <c r="AX187" i="9"/>
  <c r="AX179" i="9"/>
  <c r="AY68" i="9"/>
  <c r="AW70" i="7"/>
  <c r="AV184" i="7"/>
  <c r="BJ86" i="22"/>
  <c r="BJ85" i="22"/>
  <c r="AQ159" i="8"/>
  <c r="AR60" i="8"/>
  <c r="AX74" i="10"/>
  <c r="AW194" i="10"/>
  <c r="AY185" i="9"/>
  <c r="AY186" i="9"/>
  <c r="BQ63" i="11"/>
  <c r="BR231" i="11"/>
  <c r="AT176" i="8"/>
  <c r="AT175" i="8"/>
  <c r="BB180" i="7"/>
  <c r="BB181" i="7"/>
  <c r="Z201" i="9"/>
  <c r="Z200" i="9"/>
  <c r="AU197" i="10"/>
  <c r="AZ169" i="22"/>
  <c r="BA64" i="22"/>
  <c r="AG72" i="8"/>
  <c r="AF189" i="8"/>
  <c r="BD142" i="11"/>
  <c r="BM65" i="11"/>
  <c r="BN232" i="11"/>
  <c r="BN64" i="7"/>
  <c r="BM169" i="7"/>
  <c r="AT211" i="11"/>
  <c r="AT210" i="11"/>
  <c r="AU195" i="7"/>
  <c r="AU196" i="7"/>
  <c r="AV195" i="22"/>
  <c r="AV196" i="22"/>
  <c r="L28" i="2"/>
  <c r="M35" i="31"/>
  <c r="N35" i="31"/>
  <c r="O35" i="31"/>
  <c r="P35" i="31"/>
  <c r="M149" i="2"/>
  <c r="BN28" i="2"/>
  <c r="M35" i="37"/>
  <c r="BO149" i="2"/>
  <c r="AT68" i="8"/>
  <c r="AS179" i="8"/>
  <c r="AY204" i="10"/>
  <c r="AZ78" i="10"/>
  <c r="AY80" i="22"/>
  <c r="AX209" i="22"/>
  <c r="AS72" i="11"/>
  <c r="AR189" i="11"/>
  <c r="AV196" i="8"/>
  <c r="AV195" i="8"/>
  <c r="AW180" i="9"/>
  <c r="AW181" i="9"/>
  <c r="BK84" i="22"/>
  <c r="BL30" i="22"/>
  <c r="BC73" i="7"/>
  <c r="BD236" i="7"/>
  <c r="AX211" i="7"/>
  <c r="AX210" i="7"/>
  <c r="AV196" i="10"/>
  <c r="AV195" i="10"/>
  <c r="BA130" i="11"/>
  <c r="BA131" i="11"/>
  <c r="BE140" i="11"/>
  <c r="BE141" i="11"/>
  <c r="AV66" i="8"/>
  <c r="AU174" i="8"/>
  <c r="BD68" i="7"/>
  <c r="BC179" i="7"/>
  <c r="AY170" i="22"/>
  <c r="AY171" i="22"/>
  <c r="AZ212" i="9"/>
  <c r="R33" i="36"/>
  <c r="R32" i="36"/>
  <c r="BG189" i="10"/>
  <c r="BH72" i="10"/>
  <c r="AV212" i="22"/>
  <c r="AW68" i="22"/>
  <c r="AV179" i="22"/>
  <c r="AV80" i="11"/>
  <c r="AU209" i="11"/>
  <c r="AW74" i="7"/>
  <c r="AV194" i="7"/>
  <c r="AM28" i="2"/>
  <c r="M35" i="34"/>
  <c r="AN149" i="2"/>
  <c r="AD28" i="2"/>
  <c r="M35" i="33"/>
  <c r="N35" i="33"/>
  <c r="O35" i="33"/>
  <c r="P35" i="33"/>
  <c r="AE149" i="2"/>
  <c r="AA89" i="22"/>
  <c r="AA90" i="22"/>
  <c r="AA91" i="22"/>
  <c r="AA92" i="22"/>
  <c r="AB32" i="22"/>
  <c r="AO162" i="8"/>
  <c r="AR180" i="8"/>
  <c r="AR181" i="8"/>
  <c r="AR200" i="8"/>
  <c r="AR201" i="8"/>
  <c r="AX74" i="8"/>
  <c r="AW194" i="8"/>
  <c r="AS212" i="11"/>
  <c r="P35" i="37"/>
  <c r="Q35" i="37"/>
  <c r="AM150" i="2"/>
  <c r="C150" i="2"/>
  <c r="U150" i="2"/>
  <c r="BN150" i="2"/>
  <c r="L150" i="2"/>
  <c r="AD150" i="2"/>
  <c r="AV150" i="2"/>
  <c r="BE150" i="2"/>
  <c r="Y202" i="9"/>
  <c r="AS175" i="11"/>
  <c r="AS176" i="11"/>
  <c r="AZ80" i="7"/>
  <c r="AY209" i="7"/>
  <c r="BC48" i="11"/>
  <c r="BB129" i="11"/>
  <c r="BI87" i="22"/>
  <c r="BG52" i="11"/>
  <c r="BF139" i="11"/>
  <c r="AY150" i="10"/>
  <c r="AY151" i="10"/>
  <c r="AW212" i="7"/>
  <c r="AZ132" i="11"/>
  <c r="BF191" i="10"/>
  <c r="BF190" i="10"/>
  <c r="AV60" i="22"/>
  <c r="AU159" i="22"/>
  <c r="AU180" i="22"/>
  <c r="AU181" i="22"/>
  <c r="U28" i="2"/>
  <c r="M35" i="32"/>
  <c r="V149" i="2"/>
  <c r="AV28" i="2"/>
  <c r="M35" i="35"/>
  <c r="N35" i="35"/>
  <c r="O35" i="35"/>
  <c r="P35" i="35"/>
  <c r="AW149" i="2"/>
  <c r="BA210" i="9"/>
  <c r="BA211" i="9"/>
  <c r="AB72" i="9"/>
  <c r="AA189" i="9"/>
  <c r="AT76" i="8"/>
  <c r="AS199" i="8"/>
  <c r="AU185" i="7"/>
  <c r="AU186" i="7"/>
  <c r="R32" i="37"/>
  <c r="R33" i="37"/>
  <c r="A151" i="2"/>
  <c r="BW151" i="2"/>
  <c r="A31" i="2"/>
  <c r="AP161" i="8"/>
  <c r="AP160" i="8"/>
  <c r="AU66" i="11"/>
  <c r="AT174" i="11"/>
  <c r="BA70" i="9"/>
  <c r="AZ184" i="9"/>
  <c r="AX172" i="22"/>
  <c r="BR69" i="11"/>
  <c r="BS234" i="11"/>
  <c r="AT187" i="7"/>
  <c r="AA199" i="9"/>
  <c r="AB76" i="9"/>
  <c r="BA56" i="10"/>
  <c r="AZ149" i="10"/>
  <c r="AE191" i="8"/>
  <c r="AE190" i="8"/>
  <c r="BE65" i="8"/>
  <c r="BF232" i="8"/>
  <c r="T28" i="30"/>
  <c r="L28" i="30"/>
  <c r="N28" i="30"/>
  <c r="O28" i="30"/>
  <c r="P28" i="30"/>
  <c r="Q28" i="30"/>
  <c r="AA29" i="30"/>
  <c r="G51" i="30"/>
  <c r="F52" i="30"/>
  <c r="G52" i="30"/>
  <c r="H52" i="30"/>
  <c r="J52" i="30"/>
  <c r="W34" i="39"/>
  <c r="AG34" i="8"/>
  <c r="AF94" i="8"/>
  <c r="AF95" i="8"/>
  <c r="AF96" i="8"/>
  <c r="AF97" i="8"/>
  <c r="AB44" i="8"/>
  <c r="AA119" i="8"/>
  <c r="AA120" i="8"/>
  <c r="AA121" i="8"/>
  <c r="AA122" i="8"/>
  <c r="AB42" i="8"/>
  <c r="AA114" i="8"/>
  <c r="AI164" i="7"/>
  <c r="AJ62" i="7"/>
  <c r="AG167" i="7"/>
  <c r="AH166" i="7"/>
  <c r="AH165" i="7"/>
  <c r="AA89" i="11"/>
  <c r="AA90" i="11"/>
  <c r="AA91" i="11"/>
  <c r="AA92" i="11"/>
  <c r="AB32" i="11"/>
  <c r="AC30" i="9"/>
  <c r="AB84" i="9"/>
  <c r="AB85" i="9"/>
  <c r="AB86" i="9"/>
  <c r="AB87" i="9"/>
  <c r="AB52" i="9"/>
  <c r="AA139" i="9"/>
  <c r="AA140" i="9"/>
  <c r="AA141" i="9"/>
  <c r="AA142" i="9"/>
  <c r="AD30" i="1"/>
  <c r="AC86" i="1"/>
  <c r="AC87" i="1"/>
  <c r="AC88" i="1"/>
  <c r="AC89" i="1"/>
  <c r="Z172" i="1"/>
  <c r="Z173" i="1"/>
  <c r="Z174" i="1"/>
  <c r="AC91" i="1"/>
  <c r="AC92" i="1"/>
  <c r="AC93" i="1"/>
  <c r="AC94" i="1"/>
  <c r="AD32" i="1"/>
  <c r="Z142" i="1"/>
  <c r="Z143" i="1"/>
  <c r="Z144" i="1"/>
  <c r="AA219" i="1"/>
  <c r="AB48" i="1"/>
  <c r="AA131" i="1"/>
  <c r="AA132" i="1"/>
  <c r="AA133" i="1"/>
  <c r="AA134" i="1"/>
  <c r="AB34" i="1"/>
  <c r="AA96" i="1"/>
  <c r="AA97" i="1"/>
  <c r="AA98" i="1"/>
  <c r="AA99" i="1"/>
  <c r="AB64" i="1"/>
  <c r="AA171" i="1"/>
  <c r="AA172" i="1"/>
  <c r="AA173" i="1"/>
  <c r="AA174" i="1"/>
  <c r="AB68" i="1"/>
  <c r="AA181" i="1"/>
  <c r="AA182" i="1"/>
  <c r="AA183" i="1"/>
  <c r="AA184" i="1"/>
  <c r="AB58" i="1"/>
  <c r="AA156" i="1"/>
  <c r="AA157" i="1"/>
  <c r="AA158" i="1"/>
  <c r="AA159" i="1"/>
  <c r="AB52" i="1"/>
  <c r="AA141" i="1"/>
  <c r="AA142" i="1"/>
  <c r="AA143" i="1"/>
  <c r="AA144" i="1"/>
  <c r="Y149" i="1"/>
  <c r="AB50" i="1"/>
  <c r="AA136" i="1"/>
  <c r="AA137" i="1"/>
  <c r="AA138" i="1"/>
  <c r="AA139" i="1"/>
  <c r="U36" i="32"/>
  <c r="W36" i="32"/>
  <c r="V36" i="32"/>
  <c r="X36" i="32"/>
  <c r="T35" i="32"/>
  <c r="L35" i="32"/>
  <c r="I52" i="30"/>
  <c r="A34" i="26"/>
  <c r="AO34" i="26"/>
  <c r="A33" i="26"/>
  <c r="AO33" i="26"/>
  <c r="AJ32" i="26"/>
  <c r="AE32" i="26"/>
  <c r="Z32" i="26"/>
  <c r="U32" i="26"/>
  <c r="F32" i="26"/>
  <c r="AB119" i="22"/>
  <c r="AB120" i="22"/>
  <c r="AB121" i="22"/>
  <c r="AB122" i="22"/>
  <c r="AC44" i="22"/>
  <c r="AB34" i="6"/>
  <c r="AA108" i="6"/>
  <c r="AA109" i="6"/>
  <c r="AA110" i="6"/>
  <c r="AA111" i="6"/>
  <c r="AA78" i="6"/>
  <c r="AA79" i="6"/>
  <c r="AA80" i="6"/>
  <c r="AA81" i="6"/>
  <c r="AB22" i="6"/>
  <c r="AB98" i="6"/>
  <c r="AC30" i="6"/>
  <c r="AB24" i="6"/>
  <c r="AA83" i="6"/>
  <c r="AB28" i="6"/>
  <c r="AA93" i="6"/>
  <c r="AA94" i="6"/>
  <c r="AA95" i="6"/>
  <c r="AA96" i="6"/>
  <c r="AC42" i="6"/>
  <c r="AB128" i="6"/>
  <c r="AB129" i="6"/>
  <c r="AB130" i="6"/>
  <c r="AB131" i="6"/>
  <c r="AB40" i="6"/>
  <c r="AA123" i="6"/>
  <c r="AA124" i="6"/>
  <c r="AA125" i="6"/>
  <c r="AA126" i="6"/>
  <c r="AB26" i="6"/>
  <c r="AA88" i="6"/>
  <c r="AA89" i="6"/>
  <c r="AA90" i="6"/>
  <c r="AA91" i="6"/>
  <c r="AA113" i="6"/>
  <c r="AA114" i="6"/>
  <c r="AA115" i="6"/>
  <c r="AA116" i="6"/>
  <c r="AB36" i="6"/>
  <c r="AB44" i="6"/>
  <c r="AA133" i="6"/>
  <c r="AA134" i="6"/>
  <c r="AA135" i="6"/>
  <c r="AA136" i="6"/>
  <c r="Z84" i="6"/>
  <c r="Z85" i="6"/>
  <c r="Z86" i="6"/>
  <c r="AB32" i="6"/>
  <c r="AA103" i="6"/>
  <c r="AB218" i="1"/>
  <c r="AB217" i="1"/>
  <c r="AA116" i="1"/>
  <c r="AA117" i="1"/>
  <c r="AA118" i="1"/>
  <c r="AA119" i="1"/>
  <c r="AB42" i="1"/>
  <c r="AE80" i="1"/>
  <c r="AD211" i="1"/>
  <c r="AD212" i="1"/>
  <c r="AD213" i="1"/>
  <c r="AD214" i="1"/>
  <c r="AD82" i="1"/>
  <c r="AC216" i="1"/>
  <c r="Y156" i="6"/>
  <c r="Y161" i="6"/>
  <c r="Y142" i="8"/>
  <c r="AF38" i="8"/>
  <c r="AE104" i="8"/>
  <c r="AE105" i="8"/>
  <c r="AE106" i="8"/>
  <c r="AE107" i="8"/>
  <c r="AC36" i="8"/>
  <c r="AB99" i="8"/>
  <c r="AB100" i="8"/>
  <c r="AB101" i="8"/>
  <c r="AB102" i="8"/>
  <c r="AB119" i="11"/>
  <c r="AC44" i="11"/>
  <c r="AA120" i="11"/>
  <c r="AA121" i="11"/>
  <c r="AA122" i="11"/>
  <c r="AB48" i="22"/>
  <c r="AA129" i="22"/>
  <c r="AA130" i="22"/>
  <c r="AA131" i="22"/>
  <c r="AA132" i="22"/>
  <c r="AC38" i="22"/>
  <c r="AB104" i="22"/>
  <c r="AB105" i="22"/>
  <c r="AB106" i="22"/>
  <c r="AB107" i="22"/>
  <c r="AA94" i="22"/>
  <c r="AA95" i="22"/>
  <c r="AA96" i="22"/>
  <c r="AA97" i="22"/>
  <c r="AB34" i="22"/>
  <c r="AA114" i="7"/>
  <c r="AA115" i="7"/>
  <c r="AA116" i="7"/>
  <c r="AA117" i="7"/>
  <c r="AB42" i="7"/>
  <c r="AB84" i="7"/>
  <c r="AB85" i="7"/>
  <c r="AB86" i="7"/>
  <c r="AB87" i="7"/>
  <c r="AC30" i="7"/>
  <c r="AB34" i="7"/>
  <c r="AA94" i="7"/>
  <c r="AA95" i="7"/>
  <c r="AA96" i="7"/>
  <c r="AA97" i="7"/>
  <c r="AB104" i="7"/>
  <c r="AB105" i="7"/>
  <c r="AB106" i="7"/>
  <c r="AB107" i="7"/>
  <c r="AC38" i="7"/>
  <c r="AD109" i="7"/>
  <c r="AD110" i="7"/>
  <c r="AD111" i="7"/>
  <c r="AD112" i="7"/>
  <c r="AE40" i="7"/>
  <c r="AB99" i="7"/>
  <c r="AB100" i="7"/>
  <c r="AB101" i="7"/>
  <c r="AB102" i="7"/>
  <c r="AC36" i="7"/>
  <c r="AC119" i="6"/>
  <c r="AC120" i="6"/>
  <c r="AE38" i="6"/>
  <c r="AD118" i="6"/>
  <c r="AE38" i="9"/>
  <c r="AD104" i="9"/>
  <c r="AD105" i="9"/>
  <c r="AD106" i="9"/>
  <c r="AD107" i="9"/>
  <c r="AB34" i="9"/>
  <c r="AA94" i="9"/>
  <c r="AA95" i="9"/>
  <c r="AA96" i="9"/>
  <c r="AA97" i="9"/>
  <c r="AA42" i="9"/>
  <c r="Z114" i="9"/>
  <c r="AE144" i="9"/>
  <c r="AE145" i="9"/>
  <c r="AE146" i="9"/>
  <c r="AE147" i="9"/>
  <c r="AF54" i="9"/>
  <c r="AA124" i="9"/>
  <c r="AA125" i="9"/>
  <c r="AA126" i="9"/>
  <c r="AA127" i="9"/>
  <c r="AB46" i="9"/>
  <c r="AB134" i="9"/>
  <c r="AB135" i="9"/>
  <c r="AB136" i="9"/>
  <c r="AB137" i="9"/>
  <c r="AC50" i="9"/>
  <c r="AA129" i="9"/>
  <c r="AA130" i="9"/>
  <c r="AA131" i="9"/>
  <c r="AA132" i="9"/>
  <c r="AB48" i="9"/>
  <c r="AA149" i="9"/>
  <c r="AA150" i="9"/>
  <c r="AA151" i="9"/>
  <c r="AA152" i="9"/>
  <c r="AB56" i="9"/>
  <c r="AC89" i="9"/>
  <c r="AC90" i="9"/>
  <c r="AC91" i="9"/>
  <c r="AC92" i="9"/>
  <c r="AD32" i="9"/>
  <c r="AB44" i="9"/>
  <c r="AA119" i="9"/>
  <c r="AA120" i="9"/>
  <c r="AA121" i="9"/>
  <c r="AA122" i="9"/>
  <c r="AB70" i="1"/>
  <c r="AA186" i="1"/>
  <c r="AA187" i="1"/>
  <c r="AA188" i="1"/>
  <c r="AA189" i="1"/>
  <c r="AD66" i="1"/>
  <c r="AC176" i="1"/>
  <c r="AC177" i="1"/>
  <c r="AC178" i="1"/>
  <c r="AC179" i="1"/>
  <c r="AC72" i="1"/>
  <c r="AB191" i="1"/>
  <c r="AB192" i="1"/>
  <c r="AB193" i="1"/>
  <c r="AB194" i="1"/>
  <c r="AH56" i="1"/>
  <c r="AG151" i="1"/>
  <c r="AG152" i="1"/>
  <c r="AG153" i="1"/>
  <c r="AG154" i="1"/>
  <c r="Z207" i="1"/>
  <c r="Z208" i="1"/>
  <c r="Z209" i="1"/>
  <c r="AB74" i="1"/>
  <c r="AA196" i="1"/>
  <c r="AA197" i="1"/>
  <c r="AA198" i="1"/>
  <c r="AA199" i="1"/>
  <c r="AB161" i="1"/>
  <c r="AB162" i="1"/>
  <c r="AB163" i="1"/>
  <c r="AB164" i="1"/>
  <c r="AC60" i="1"/>
  <c r="AD76" i="1"/>
  <c r="AC201" i="1"/>
  <c r="AC202" i="1"/>
  <c r="AC203" i="1"/>
  <c r="AC204" i="1"/>
  <c r="AB78" i="1"/>
  <c r="AA206" i="1"/>
  <c r="AA207" i="1"/>
  <c r="AA208" i="1"/>
  <c r="AA209" i="1"/>
  <c r="AF115" i="11"/>
  <c r="AF116" i="11"/>
  <c r="AF117" i="11"/>
  <c r="AH42" i="11"/>
  <c r="AG114" i="11"/>
  <c r="L33" i="34"/>
  <c r="N33" i="34"/>
  <c r="O33" i="34"/>
  <c r="P33" i="34"/>
  <c r="Q33" i="34"/>
  <c r="T33" i="34"/>
  <c r="AC33" i="34"/>
  <c r="AE33" i="34"/>
  <c r="X33" i="34"/>
  <c r="Z33" i="34"/>
  <c r="AG33" i="34"/>
  <c r="AD33" i="34"/>
  <c r="AF33" i="34"/>
  <c r="AB33" i="34"/>
  <c r="Y33" i="34"/>
  <c r="AA33" i="34"/>
  <c r="U36" i="35"/>
  <c r="K36" i="35"/>
  <c r="AD85" i="11"/>
  <c r="AD86" i="11"/>
  <c r="AD87" i="11"/>
  <c r="AC38" i="11"/>
  <c r="AB104" i="11"/>
  <c r="AC99" i="11"/>
  <c r="AD36" i="11"/>
  <c r="AB100" i="11"/>
  <c r="AB101" i="11"/>
  <c r="AB102" i="11"/>
  <c r="AA105" i="11"/>
  <c r="AA106" i="11"/>
  <c r="AE84" i="11"/>
  <c r="AF30" i="11"/>
  <c r="AB134" i="10"/>
  <c r="AC50" i="10"/>
  <c r="AA135" i="10"/>
  <c r="AA136" i="10"/>
  <c r="AA137" i="10"/>
  <c r="AB99" i="10"/>
  <c r="AC36" i="10"/>
  <c r="AA100" i="10"/>
  <c r="AA101" i="10"/>
  <c r="Z155" i="22"/>
  <c r="Z156" i="22"/>
  <c r="Z157" i="22"/>
  <c r="AB58" i="22"/>
  <c r="AA154" i="22"/>
  <c r="AA100" i="22"/>
  <c r="AA101" i="22"/>
  <c r="AA102" i="22"/>
  <c r="AC36" i="22"/>
  <c r="AB99" i="22"/>
  <c r="AA145" i="22"/>
  <c r="AA146" i="22"/>
  <c r="AA147" i="22"/>
  <c r="AA110" i="22"/>
  <c r="AA111" i="22"/>
  <c r="AA112" i="22"/>
  <c r="AB144" i="22"/>
  <c r="AC54" i="22"/>
  <c r="AB109" i="22"/>
  <c r="AC40" i="22"/>
  <c r="AD149" i="8"/>
  <c r="AE56" i="8"/>
  <c r="AC150" i="8"/>
  <c r="AC151" i="8"/>
  <c r="AC152" i="8"/>
  <c r="AB144" i="8"/>
  <c r="AC54" i="8"/>
  <c r="AA145" i="8"/>
  <c r="AA146" i="8"/>
  <c r="AA147" i="8"/>
  <c r="Z130" i="8"/>
  <c r="Z131" i="8"/>
  <c r="Z132" i="8"/>
  <c r="Z110" i="8"/>
  <c r="Z111" i="8"/>
  <c r="Z112" i="8"/>
  <c r="AA89" i="8"/>
  <c r="AB32" i="8"/>
  <c r="Y85" i="8"/>
  <c r="Y86" i="8"/>
  <c r="Y87" i="8"/>
  <c r="AA129" i="8"/>
  <c r="AB48" i="8"/>
  <c r="AB40" i="8"/>
  <c r="AA109" i="8"/>
  <c r="Z90" i="8"/>
  <c r="Z91" i="8"/>
  <c r="Z92" i="8"/>
  <c r="AA30" i="8"/>
  <c r="Z84" i="8"/>
  <c r="Z140" i="8"/>
  <c r="Z141" i="8"/>
  <c r="Z142" i="8"/>
  <c r="AA139" i="8"/>
  <c r="AB52" i="8"/>
  <c r="AA144" i="7"/>
  <c r="AB54" i="7"/>
  <c r="Z145" i="7"/>
  <c r="Z146" i="7"/>
  <c r="Z147" i="7"/>
  <c r="Z140" i="7"/>
  <c r="Z141" i="7"/>
  <c r="Z142" i="7"/>
  <c r="AB52" i="7"/>
  <c r="AA139" i="7"/>
  <c r="AB50" i="7"/>
  <c r="AA134" i="7"/>
  <c r="Z135" i="7"/>
  <c r="Z136" i="7"/>
  <c r="Z137" i="7"/>
  <c r="AI32" i="7"/>
  <c r="AH89" i="7"/>
  <c r="AD119" i="7"/>
  <c r="AE44" i="7"/>
  <c r="AB125" i="7"/>
  <c r="AB126" i="7"/>
  <c r="AB127" i="7"/>
  <c r="AG90" i="7"/>
  <c r="AG91" i="7"/>
  <c r="AG92" i="7"/>
  <c r="AC120" i="7"/>
  <c r="AC121" i="7"/>
  <c r="AC122" i="7"/>
  <c r="AD46" i="7"/>
  <c r="AC124" i="7"/>
  <c r="Z164" i="6"/>
  <c r="Z165" i="6"/>
  <c r="Z166" i="6"/>
  <c r="AA163" i="6"/>
  <c r="AB56" i="6"/>
  <c r="Z159" i="6"/>
  <c r="Z160" i="6"/>
  <c r="Z161" i="6"/>
  <c r="AA158" i="6"/>
  <c r="AB54" i="6"/>
  <c r="Z154" i="6"/>
  <c r="Z155" i="6"/>
  <c r="Z156" i="6"/>
  <c r="AB52" i="6"/>
  <c r="AA153" i="6"/>
  <c r="AA148" i="6"/>
  <c r="AB50" i="6"/>
  <c r="Z149" i="6"/>
  <c r="Z150" i="6"/>
  <c r="AA143" i="6"/>
  <c r="AB48" i="6"/>
  <c r="Z144" i="6"/>
  <c r="Z145" i="6"/>
  <c r="AA160" i="9"/>
  <c r="AA161" i="9"/>
  <c r="AA162" i="9"/>
  <c r="AC60" i="9"/>
  <c r="AB159" i="9"/>
  <c r="AB58" i="9"/>
  <c r="AA154" i="9"/>
  <c r="Z155" i="9"/>
  <c r="Z156" i="9"/>
  <c r="Z157" i="9"/>
  <c r="AB109" i="9"/>
  <c r="AC40" i="9"/>
  <c r="AA100" i="9"/>
  <c r="AA101" i="9"/>
  <c r="AA102" i="9"/>
  <c r="AA110" i="9"/>
  <c r="AA111" i="9"/>
  <c r="AA112" i="9"/>
  <c r="AB99" i="9"/>
  <c r="AC36" i="9"/>
  <c r="Z167" i="1"/>
  <c r="Z168" i="1"/>
  <c r="Z169" i="1"/>
  <c r="AA166" i="1"/>
  <c r="AB62" i="1"/>
  <c r="AB54" i="1"/>
  <c r="AA146" i="1"/>
  <c r="AA126" i="1"/>
  <c r="AB46" i="1"/>
  <c r="Z127" i="1"/>
  <c r="Z128" i="1"/>
  <c r="Z129" i="1"/>
  <c r="Z147" i="1"/>
  <c r="Z148" i="1"/>
  <c r="Z149" i="1"/>
  <c r="AB122" i="1"/>
  <c r="AB123" i="1"/>
  <c r="AB124" i="1"/>
  <c r="AD44" i="1"/>
  <c r="AC121" i="1"/>
  <c r="AD36" i="1"/>
  <c r="AC101" i="1"/>
  <c r="AA106" i="1"/>
  <c r="AB38" i="1"/>
  <c r="AB112" i="1"/>
  <c r="AB113" i="1"/>
  <c r="AB114" i="1"/>
  <c r="AB102" i="1"/>
  <c r="AB103" i="1"/>
  <c r="AB104" i="1"/>
  <c r="Z107" i="1"/>
  <c r="Z108" i="1"/>
  <c r="Z109" i="1"/>
  <c r="AC111" i="1"/>
  <c r="AD40" i="1"/>
  <c r="U36" i="37"/>
  <c r="P35" i="36"/>
  <c r="Q35" i="36"/>
  <c r="AC48" i="7"/>
  <c r="AB129" i="7"/>
  <c r="AB130" i="7"/>
  <c r="AB131" i="7"/>
  <c r="AB132" i="7"/>
  <c r="AA35" i="36"/>
  <c r="AD35" i="36"/>
  <c r="X35" i="36"/>
  <c r="AB35" i="36"/>
  <c r="AE35" i="36"/>
  <c r="AC35" i="36"/>
  <c r="AI35" i="36"/>
  <c r="AH35" i="36"/>
  <c r="Y35" i="36"/>
  <c r="AG35" i="36"/>
  <c r="Z35" i="36"/>
  <c r="AF35" i="36"/>
  <c r="BG197" i="9"/>
  <c r="AB35" i="33"/>
  <c r="Z35" i="33"/>
  <c r="Y29" i="30"/>
  <c r="BC59" i="11"/>
  <c r="BD229" i="11"/>
  <c r="X29" i="30"/>
  <c r="K29" i="30"/>
  <c r="T29" i="30"/>
  <c r="BX151" i="2"/>
  <c r="BW30" i="2"/>
  <c r="M37" i="41"/>
  <c r="AG35" i="33"/>
  <c r="BI194" i="9"/>
  <c r="BJ74" i="9"/>
  <c r="AA35" i="33"/>
  <c r="AB29" i="30"/>
  <c r="AI35" i="33"/>
  <c r="AC35" i="33"/>
  <c r="BH195" i="9"/>
  <c r="BH196" i="9"/>
  <c r="X35" i="33"/>
  <c r="Y35" i="33"/>
  <c r="AH35" i="33"/>
  <c r="AF35" i="33"/>
  <c r="M35" i="36"/>
  <c r="CF28" i="2"/>
  <c r="AF36" i="32"/>
  <c r="J37" i="41"/>
  <c r="H36" i="41"/>
  <c r="X29" i="41"/>
  <c r="Y29" i="41"/>
  <c r="AC29" i="41"/>
  <c r="Z29" i="41"/>
  <c r="AA29" i="41"/>
  <c r="AB29" i="41"/>
  <c r="T29" i="41"/>
  <c r="AA202" i="7"/>
  <c r="AI172" i="9"/>
  <c r="BB157" i="10"/>
  <c r="AC157" i="7"/>
  <c r="Z187" i="8"/>
  <c r="AG187" i="22"/>
  <c r="BA177" i="9"/>
  <c r="Z182" i="10"/>
  <c r="AP197" i="11"/>
  <c r="Z202" i="10"/>
  <c r="AE192" i="8"/>
  <c r="AI207" i="9"/>
  <c r="AK177" i="10"/>
  <c r="AZ212" i="10"/>
  <c r="AH167" i="22"/>
  <c r="Z207" i="8"/>
  <c r="AY260" i="40"/>
  <c r="AY261" i="40"/>
  <c r="AY262" i="40"/>
  <c r="AX275" i="40"/>
  <c r="AX276" i="40"/>
  <c r="AX277" i="40"/>
  <c r="AR249" i="40"/>
  <c r="AR250" i="40"/>
  <c r="AR251" i="40"/>
  <c r="AR252" i="40"/>
  <c r="AS94" i="40"/>
  <c r="AR244" i="40"/>
  <c r="AS92" i="40"/>
  <c r="AR269" i="40"/>
  <c r="AR270" i="40"/>
  <c r="AR271" i="40"/>
  <c r="AR272" i="40"/>
  <c r="AS102" i="40"/>
  <c r="AQ250" i="40"/>
  <c r="AQ251" i="40"/>
  <c r="AQ252" i="40"/>
  <c r="AQ245" i="40"/>
  <c r="AQ246" i="40"/>
  <c r="AQ247" i="40"/>
  <c r="AQ270" i="40"/>
  <c r="AQ271" i="40"/>
  <c r="AQ272" i="40"/>
  <c r="AR284" i="40"/>
  <c r="AS108" i="40"/>
  <c r="AR264" i="40"/>
  <c r="AR265" i="40"/>
  <c r="AR266" i="40"/>
  <c r="AR267" i="40"/>
  <c r="AS100" i="40"/>
  <c r="AR289" i="40"/>
  <c r="AR290" i="40"/>
  <c r="AR291" i="40"/>
  <c r="AR292" i="40"/>
  <c r="AS110" i="40"/>
  <c r="AQ265" i="40"/>
  <c r="AQ266" i="40"/>
  <c r="AQ267" i="40"/>
  <c r="AZ98" i="40"/>
  <c r="AZ259" i="40"/>
  <c r="AY104" i="40"/>
  <c r="AY274" i="40"/>
  <c r="AY275" i="40"/>
  <c r="AY276" i="40"/>
  <c r="AY277" i="40"/>
  <c r="AY96" i="40"/>
  <c r="AY254" i="40"/>
  <c r="AX106" i="40"/>
  <c r="AX279" i="40"/>
  <c r="AU90" i="40"/>
  <c r="AS54" i="40"/>
  <c r="AR149" i="40"/>
  <c r="AT40" i="40"/>
  <c r="AS114" i="40"/>
  <c r="AT66" i="40"/>
  <c r="AS179" i="40"/>
  <c r="AS82" i="40"/>
  <c r="AR219" i="40"/>
  <c r="AT84" i="40"/>
  <c r="AS224" i="40"/>
  <c r="AQ130" i="40"/>
  <c r="AQ131" i="40"/>
  <c r="AQ132" i="40"/>
  <c r="AQ120" i="40"/>
  <c r="AQ121" i="40"/>
  <c r="AQ122" i="40"/>
  <c r="AR140" i="40"/>
  <c r="AR141" i="40"/>
  <c r="AR142" i="40"/>
  <c r="AT76" i="40"/>
  <c r="AS204" i="40"/>
  <c r="AU72" i="40"/>
  <c r="AT194" i="40"/>
  <c r="AQ155" i="40"/>
  <c r="AQ156" i="40"/>
  <c r="AS74" i="40"/>
  <c r="AR199" i="40"/>
  <c r="AU68" i="40"/>
  <c r="AT184" i="40"/>
  <c r="AR215" i="40"/>
  <c r="AR216" i="40"/>
  <c r="AR217" i="40"/>
  <c r="AR115" i="40"/>
  <c r="AR116" i="40"/>
  <c r="AR117" i="40"/>
  <c r="AR235" i="40"/>
  <c r="AR236" i="40"/>
  <c r="AR237" i="40"/>
  <c r="AP192" i="40"/>
  <c r="AS44" i="40"/>
  <c r="AR124" i="40"/>
  <c r="AQ217" i="40"/>
  <c r="AQ145" i="40"/>
  <c r="AQ146" i="40"/>
  <c r="AQ147" i="40"/>
  <c r="AS46" i="40"/>
  <c r="AR129" i="40"/>
  <c r="AQ160" i="40"/>
  <c r="AQ161" i="40"/>
  <c r="AQ162" i="40"/>
  <c r="AP202" i="40"/>
  <c r="AS42" i="40"/>
  <c r="AR119" i="40"/>
  <c r="AT50" i="40"/>
  <c r="AS139" i="40"/>
  <c r="AP157" i="40"/>
  <c r="AQ227" i="40"/>
  <c r="AQ170" i="40"/>
  <c r="AQ171" i="40"/>
  <c r="AQ172" i="40"/>
  <c r="AQ230" i="40"/>
  <c r="AQ231" i="40"/>
  <c r="AQ232" i="40"/>
  <c r="AS78" i="40"/>
  <c r="AR209" i="40"/>
  <c r="AR239" i="40"/>
  <c r="AS70" i="40"/>
  <c r="AR189" i="40"/>
  <c r="AT80" i="40"/>
  <c r="AS214" i="40"/>
  <c r="AT88" i="40"/>
  <c r="AS234" i="40"/>
  <c r="AR180" i="40"/>
  <c r="AR181" i="40"/>
  <c r="AR182" i="40"/>
  <c r="AQ220" i="40"/>
  <c r="AQ221" i="40"/>
  <c r="AQ222" i="40"/>
  <c r="AS48" i="40"/>
  <c r="AR134" i="40"/>
  <c r="AS58" i="40"/>
  <c r="AR159" i="40"/>
  <c r="AS175" i="40"/>
  <c r="AS176" i="40"/>
  <c r="AS177" i="40"/>
  <c r="AR165" i="40"/>
  <c r="AR166" i="40"/>
  <c r="AR167" i="40"/>
  <c r="AS195" i="40"/>
  <c r="AS196" i="40"/>
  <c r="AS197" i="40"/>
  <c r="AS56" i="40"/>
  <c r="AR154" i="40"/>
  <c r="AQ200" i="40"/>
  <c r="AQ201" i="40"/>
  <c r="AQ202" i="40"/>
  <c r="AS185" i="40"/>
  <c r="AS186" i="40"/>
  <c r="AQ150" i="40"/>
  <c r="AQ151" i="40"/>
  <c r="AQ152" i="40"/>
  <c r="AR197" i="40"/>
  <c r="AQ125" i="40"/>
  <c r="AQ126" i="40"/>
  <c r="AQ127" i="40"/>
  <c r="AP172" i="40"/>
  <c r="AS52" i="40"/>
  <c r="AR144" i="40"/>
  <c r="AR225" i="40"/>
  <c r="AR226" i="40"/>
  <c r="AR227" i="40"/>
  <c r="AP232" i="40"/>
  <c r="AR177" i="40"/>
  <c r="AU64" i="40"/>
  <c r="AT174" i="40"/>
  <c r="AT60" i="40"/>
  <c r="AS164" i="40"/>
  <c r="AQ237" i="40"/>
  <c r="AP222" i="40"/>
  <c r="AR205" i="40"/>
  <c r="AR206" i="40"/>
  <c r="AS62" i="40"/>
  <c r="AR169" i="40"/>
  <c r="AR187" i="40"/>
  <c r="AS86" i="40"/>
  <c r="AR229" i="40"/>
  <c r="AQ210" i="40"/>
  <c r="AQ211" i="40"/>
  <c r="AQ212" i="40"/>
  <c r="AQ240" i="40"/>
  <c r="AQ241" i="40"/>
  <c r="AQ207" i="40"/>
  <c r="AQ190" i="40"/>
  <c r="AQ191" i="40"/>
  <c r="AQ192" i="40"/>
  <c r="AQ135" i="40"/>
  <c r="AQ136" i="40"/>
  <c r="AQ137" i="40"/>
  <c r="Z202" i="11"/>
  <c r="N35" i="32"/>
  <c r="O35" i="32"/>
  <c r="P35" i="32"/>
  <c r="Q35" i="32"/>
  <c r="R35" i="32"/>
  <c r="AJ192" i="22"/>
  <c r="AD56" i="11"/>
  <c r="AC149" i="11"/>
  <c r="BB209" i="10"/>
  <c r="BC80" i="10"/>
  <c r="AB164" i="9"/>
  <c r="AC62" i="9"/>
  <c r="AD76" i="7"/>
  <c r="AC199" i="7"/>
  <c r="AU146" i="10"/>
  <c r="AU145" i="10"/>
  <c r="AP58" i="8"/>
  <c r="AO154" i="8"/>
  <c r="AE207" i="11"/>
  <c r="AP186" i="10"/>
  <c r="AP185" i="10"/>
  <c r="AL78" i="9"/>
  <c r="AK204" i="9"/>
  <c r="AB149" i="22"/>
  <c r="AB150" i="22"/>
  <c r="AB151" i="22"/>
  <c r="AB152" i="22"/>
  <c r="AC56" i="22"/>
  <c r="AL175" i="10"/>
  <c r="AL176" i="10"/>
  <c r="AA185" i="8"/>
  <c r="AA186" i="8"/>
  <c r="AG165" i="8"/>
  <c r="AG166" i="8"/>
  <c r="AB199" i="22"/>
  <c r="AC76" i="22"/>
  <c r="AA205" i="8"/>
  <c r="AA206" i="8"/>
  <c r="AL189" i="22"/>
  <c r="AM72" i="22"/>
  <c r="BB176" i="9"/>
  <c r="BB175" i="9"/>
  <c r="AK169" i="9"/>
  <c r="AL64" i="9"/>
  <c r="Z162" i="10"/>
  <c r="AF205" i="11"/>
  <c r="AF206" i="11"/>
  <c r="AX175" i="22"/>
  <c r="AX176" i="22"/>
  <c r="AA200" i="10"/>
  <c r="AA201" i="10"/>
  <c r="AK62" i="22"/>
  <c r="AJ164" i="22"/>
  <c r="AA165" i="9"/>
  <c r="AA166" i="9"/>
  <c r="AA135" i="11"/>
  <c r="AA136" i="11"/>
  <c r="AE162" i="7"/>
  <c r="BC169" i="10"/>
  <c r="BD64" i="10"/>
  <c r="AR70" i="10"/>
  <c r="AQ184" i="10"/>
  <c r="AJ206" i="9"/>
  <c r="AJ205" i="9"/>
  <c r="AG159" i="7"/>
  <c r="AH60" i="7"/>
  <c r="BA172" i="10"/>
  <c r="AB138" i="6"/>
  <c r="AB139" i="6"/>
  <c r="AB140" i="6"/>
  <c r="AB141" i="6"/>
  <c r="AC46" i="6"/>
  <c r="AM174" i="10"/>
  <c r="AN66" i="10"/>
  <c r="AC70" i="8"/>
  <c r="AB184" i="8"/>
  <c r="AI62" i="8"/>
  <c r="AH164" i="8"/>
  <c r="AM78" i="22"/>
  <c r="AL204" i="22"/>
  <c r="AE125" i="11"/>
  <c r="AE126" i="11"/>
  <c r="AA200" i="22"/>
  <c r="AA201" i="22"/>
  <c r="AC78" i="8"/>
  <c r="AB204" i="8"/>
  <c r="AB159" i="10"/>
  <c r="AC60" i="10"/>
  <c r="AI184" i="22"/>
  <c r="AJ70" i="22"/>
  <c r="AA200" i="11"/>
  <c r="AA201" i="11"/>
  <c r="AC66" i="7"/>
  <c r="AB174" i="7"/>
  <c r="P33" i="26"/>
  <c r="K33" i="26"/>
  <c r="F33" i="26"/>
  <c r="BP230" i="11"/>
  <c r="BO61" i="11"/>
  <c r="AH78" i="11"/>
  <c r="AG204" i="11"/>
  <c r="AY174" i="22"/>
  <c r="AZ66" i="22"/>
  <c r="AC76" i="10"/>
  <c r="AB199" i="10"/>
  <c r="AI166" i="22"/>
  <c r="AI165" i="22"/>
  <c r="AC50" i="11"/>
  <c r="AB134" i="11"/>
  <c r="BB171" i="10"/>
  <c r="BB170" i="10"/>
  <c r="AN164" i="10"/>
  <c r="AO62" i="10"/>
  <c r="AH205" i="7"/>
  <c r="AH206" i="7"/>
  <c r="BC155" i="10"/>
  <c r="BC156" i="10"/>
  <c r="BM240" i="8"/>
  <c r="BL81" i="8"/>
  <c r="AF161" i="7"/>
  <c r="AF160" i="7"/>
  <c r="AQ196" i="11"/>
  <c r="AQ195" i="11"/>
  <c r="AK205" i="22"/>
  <c r="AK206" i="22"/>
  <c r="AG46" i="11"/>
  <c r="AF124" i="11"/>
  <c r="AA180" i="10"/>
  <c r="AA181" i="10"/>
  <c r="AA161" i="10"/>
  <c r="AA160" i="10"/>
  <c r="AH185" i="22"/>
  <c r="AH186" i="22"/>
  <c r="AC76" i="11"/>
  <c r="AB199" i="11"/>
  <c r="AF167" i="8"/>
  <c r="AA175" i="7"/>
  <c r="AA176" i="7"/>
  <c r="BI55" i="11"/>
  <c r="BJ227" i="11"/>
  <c r="AD155" i="7"/>
  <c r="AD156" i="7"/>
  <c r="U34" i="26"/>
  <c r="F34" i="26"/>
  <c r="P34" i="26"/>
  <c r="K34" i="26"/>
  <c r="AA36" i="32"/>
  <c r="AU182" i="22"/>
  <c r="AR202" i="8"/>
  <c r="AX207" i="10"/>
  <c r="AL167" i="10"/>
  <c r="AB151" i="11"/>
  <c r="AB150" i="11"/>
  <c r="BA210" i="10"/>
  <c r="BA211" i="10"/>
  <c r="Z177" i="7"/>
  <c r="AB200" i="7"/>
  <c r="AB201" i="7"/>
  <c r="AV144" i="10"/>
  <c r="AW54" i="10"/>
  <c r="AN155" i="8"/>
  <c r="AN156" i="8"/>
  <c r="AM165" i="10"/>
  <c r="AM166" i="10"/>
  <c r="AA152" i="11"/>
  <c r="AJ207" i="22"/>
  <c r="AI204" i="7"/>
  <c r="AJ78" i="7"/>
  <c r="BE58" i="10"/>
  <c r="BD154" i="10"/>
  <c r="Z167" i="9"/>
  <c r="Z137" i="11"/>
  <c r="AT147" i="10"/>
  <c r="AM157" i="8"/>
  <c r="AS74" i="11"/>
  <c r="AR194" i="11"/>
  <c r="AO187" i="10"/>
  <c r="AG207" i="7"/>
  <c r="AC68" i="10"/>
  <c r="AB179" i="10"/>
  <c r="AK190" i="22"/>
  <c r="AK191" i="22"/>
  <c r="BC174" i="9"/>
  <c r="BD66" i="9"/>
  <c r="AJ170" i="9"/>
  <c r="AJ171" i="9"/>
  <c r="AW177" i="22"/>
  <c r="AD127" i="11"/>
  <c r="Z202" i="22"/>
  <c r="AE154" i="7"/>
  <c r="AF58" i="7"/>
  <c r="AA17" i="26"/>
  <c r="S34" i="35"/>
  <c r="Q35" i="35"/>
  <c r="R35" i="35"/>
  <c r="Q35" i="33"/>
  <c r="S34" i="32"/>
  <c r="L17" i="26"/>
  <c r="AJ36" i="32"/>
  <c r="S34" i="31"/>
  <c r="G17" i="26"/>
  <c r="L37" i="31"/>
  <c r="T37" i="31"/>
  <c r="Q35" i="31"/>
  <c r="R35" i="31"/>
  <c r="AD37" i="31"/>
  <c r="AB37" i="31"/>
  <c r="AI37" i="31"/>
  <c r="Z37" i="31"/>
  <c r="AG37" i="31"/>
  <c r="AF37" i="31"/>
  <c r="AA37" i="31"/>
  <c r="AC37" i="31"/>
  <c r="X37" i="31"/>
  <c r="AJ37" i="31"/>
  <c r="AK37" i="31"/>
  <c r="AH37" i="31"/>
  <c r="AE37" i="31"/>
  <c r="Y37" i="31"/>
  <c r="AD109" i="11"/>
  <c r="AD110" i="11"/>
  <c r="AD111" i="11"/>
  <c r="AD112" i="11"/>
  <c r="AE40" i="11"/>
  <c r="AB104" i="10"/>
  <c r="AB105" i="10"/>
  <c r="AB106" i="10"/>
  <c r="AB107" i="10"/>
  <c r="AC38" i="10"/>
  <c r="AC40" i="10"/>
  <c r="AB109" i="10"/>
  <c r="AB110" i="10"/>
  <c r="AB111" i="10"/>
  <c r="AB112" i="10"/>
  <c r="AB89" i="10"/>
  <c r="AB90" i="10"/>
  <c r="AB91" i="10"/>
  <c r="AB92" i="10"/>
  <c r="AC32" i="10"/>
  <c r="AB129" i="10"/>
  <c r="AB130" i="10"/>
  <c r="AB131" i="10"/>
  <c r="AB132" i="10"/>
  <c r="AC48" i="10"/>
  <c r="AB94" i="10"/>
  <c r="AB95" i="10"/>
  <c r="AB96" i="10"/>
  <c r="AB97" i="10"/>
  <c r="AC34" i="10"/>
  <c r="AC30" i="10"/>
  <c r="AB84" i="10"/>
  <c r="AB85" i="10"/>
  <c r="AB86" i="10"/>
  <c r="AB87" i="10"/>
  <c r="AC42" i="10"/>
  <c r="AB114" i="10"/>
  <c r="AB115" i="10"/>
  <c r="AB116" i="10"/>
  <c r="AB117" i="10"/>
  <c r="AC52" i="10"/>
  <c r="AB139" i="10"/>
  <c r="AB140" i="10"/>
  <c r="AB141" i="10"/>
  <c r="AB142" i="10"/>
  <c r="AC119" i="10"/>
  <c r="AC120" i="10"/>
  <c r="AC121" i="10"/>
  <c r="AC122" i="10"/>
  <c r="AD44" i="10"/>
  <c r="AC46" i="10"/>
  <c r="AB124" i="10"/>
  <c r="AB125" i="10"/>
  <c r="AB126" i="10"/>
  <c r="AB127" i="10"/>
  <c r="AB134" i="22"/>
  <c r="AB135" i="22"/>
  <c r="AB136" i="22"/>
  <c r="AB137" i="22"/>
  <c r="AC50" i="22"/>
  <c r="AC124" i="22"/>
  <c r="AC125" i="22"/>
  <c r="AC126" i="22"/>
  <c r="AC127" i="22"/>
  <c r="AD46" i="22"/>
  <c r="AB114" i="22"/>
  <c r="AB115" i="22"/>
  <c r="AB116" i="22"/>
  <c r="AB117" i="22"/>
  <c r="AC42" i="22"/>
  <c r="AD52" i="22"/>
  <c r="AC139" i="22"/>
  <c r="AC140" i="22"/>
  <c r="AC141" i="22"/>
  <c r="AC142" i="22"/>
  <c r="AC134" i="8"/>
  <c r="AC135" i="8"/>
  <c r="AC136" i="8"/>
  <c r="AC137" i="8"/>
  <c r="AD50" i="8"/>
  <c r="AC46" i="8"/>
  <c r="AB124" i="8"/>
  <c r="AB125" i="8"/>
  <c r="AB126" i="8"/>
  <c r="AB127" i="8"/>
  <c r="AR182" i="8"/>
  <c r="AV197" i="10"/>
  <c r="AQ192" i="11"/>
  <c r="AW212" i="22"/>
  <c r="AT162" i="22"/>
  <c r="AP162" i="8"/>
  <c r="AV197" i="8"/>
  <c r="AT212" i="11"/>
  <c r="BA212" i="9"/>
  <c r="BF192" i="10"/>
  <c r="AS177" i="11"/>
  <c r="AU197" i="7"/>
  <c r="Z202" i="9"/>
  <c r="Z192" i="9"/>
  <c r="BD65" i="8"/>
  <c r="BE232" i="8"/>
  <c r="AZ150" i="10"/>
  <c r="AZ151" i="10"/>
  <c r="A32" i="2"/>
  <c r="A152" i="2"/>
  <c r="BW152" i="2"/>
  <c r="AU187" i="7"/>
  <c r="AB189" i="9"/>
  <c r="AC72" i="9"/>
  <c r="AY152" i="10"/>
  <c r="BH52" i="11"/>
  <c r="BG139" i="11"/>
  <c r="BB130" i="11"/>
  <c r="BB131" i="11"/>
  <c r="AW150" i="2"/>
  <c r="AV29" i="2"/>
  <c r="M36" i="35"/>
  <c r="U29" i="2"/>
  <c r="M36" i="32"/>
  <c r="V150" i="2"/>
  <c r="AW179" i="22"/>
  <c r="AX68" i="22"/>
  <c r="S32" i="36"/>
  <c r="AF15" i="26"/>
  <c r="BC181" i="7"/>
  <c r="BC180" i="7"/>
  <c r="AW66" i="8"/>
  <c r="AV174" i="8"/>
  <c r="AX212" i="7"/>
  <c r="BK85" i="22"/>
  <c r="BK86" i="22"/>
  <c r="AT72" i="11"/>
  <c r="AS189" i="11"/>
  <c r="AX210" i="22"/>
  <c r="AX211" i="22"/>
  <c r="AZ204" i="10"/>
  <c r="BA78" i="10"/>
  <c r="AT179" i="8"/>
  <c r="AU68" i="8"/>
  <c r="AV197" i="22"/>
  <c r="BO64" i="7"/>
  <c r="BN169" i="7"/>
  <c r="AH72" i="8"/>
  <c r="AG189" i="8"/>
  <c r="BB182" i="7"/>
  <c r="AT177" i="8"/>
  <c r="AS60" i="8"/>
  <c r="AR159" i="8"/>
  <c r="BJ87" i="22"/>
  <c r="AY74" i="22"/>
  <c r="AX194" i="22"/>
  <c r="BL172" i="7"/>
  <c r="BA149" i="10"/>
  <c r="BB56" i="10"/>
  <c r="BE151" i="2"/>
  <c r="AD151" i="2"/>
  <c r="AM151" i="2"/>
  <c r="AV151" i="2"/>
  <c r="U151" i="2"/>
  <c r="BN151" i="2"/>
  <c r="L151" i="2"/>
  <c r="C151" i="2"/>
  <c r="AU161" i="22"/>
  <c r="AU160" i="22"/>
  <c r="BD48" i="11"/>
  <c r="BC129" i="11"/>
  <c r="AY211" i="7"/>
  <c r="AY210" i="7"/>
  <c r="AD29" i="2"/>
  <c r="M36" i="33"/>
  <c r="AE150" i="2"/>
  <c r="C29" i="2"/>
  <c r="M37" i="30"/>
  <c r="D150" i="2"/>
  <c r="AU211" i="11"/>
  <c r="AU210" i="11"/>
  <c r="AF16" i="26"/>
  <c r="S33" i="36"/>
  <c r="AY172" i="22"/>
  <c r="BE68" i="7"/>
  <c r="BD179" i="7"/>
  <c r="BA132" i="11"/>
  <c r="AZ80" i="22"/>
  <c r="AY209" i="22"/>
  <c r="AY206" i="10"/>
  <c r="AY205" i="10"/>
  <c r="BB64" i="22"/>
  <c r="BA169" i="22"/>
  <c r="BP63" i="11"/>
  <c r="BQ231" i="11"/>
  <c r="AY187" i="9"/>
  <c r="AW196" i="10"/>
  <c r="AW195" i="10"/>
  <c r="AQ160" i="8"/>
  <c r="AQ161" i="8"/>
  <c r="AZ68" i="9"/>
  <c r="AY179" i="9"/>
  <c r="AW195" i="22"/>
  <c r="AW196" i="22"/>
  <c r="AB199" i="9"/>
  <c r="AC76" i="9"/>
  <c r="AZ185" i="9"/>
  <c r="AZ186" i="9"/>
  <c r="AT175" i="11"/>
  <c r="AT176" i="11"/>
  <c r="S33" i="37"/>
  <c r="AK16" i="26"/>
  <c r="AS200" i="8"/>
  <c r="AS201" i="8"/>
  <c r="AW60" i="22"/>
  <c r="AV159" i="22"/>
  <c r="BA80" i="7"/>
  <c r="AZ209" i="7"/>
  <c r="L29" i="2"/>
  <c r="M36" i="31"/>
  <c r="N36" i="31"/>
  <c r="O36" i="31"/>
  <c r="P36" i="31"/>
  <c r="M150" i="2"/>
  <c r="AM29" i="2"/>
  <c r="M36" i="34"/>
  <c r="AN150" i="2"/>
  <c r="AW196" i="8"/>
  <c r="AW195" i="8"/>
  <c r="AV195" i="7"/>
  <c r="AV196" i="7"/>
  <c r="AW80" i="11"/>
  <c r="AV209" i="11"/>
  <c r="BH189" i="10"/>
  <c r="BI72" i="10"/>
  <c r="BE142" i="11"/>
  <c r="BB73" i="7"/>
  <c r="BC236" i="7"/>
  <c r="AW182" i="9"/>
  <c r="BL65" i="11"/>
  <c r="BM232" i="11"/>
  <c r="AZ171" i="22"/>
  <c r="AZ170" i="22"/>
  <c r="AY74" i="10"/>
  <c r="AX194" i="10"/>
  <c r="AV186" i="7"/>
  <c r="AV185" i="7"/>
  <c r="AX180" i="9"/>
  <c r="AX181" i="9"/>
  <c r="BD80" i="9"/>
  <c r="BC209" i="9"/>
  <c r="AA201" i="9"/>
  <c r="AA200" i="9"/>
  <c r="BQ69" i="11"/>
  <c r="BR234" i="11"/>
  <c r="BA184" i="9"/>
  <c r="BB70" i="9"/>
  <c r="AV66" i="11"/>
  <c r="AU174" i="11"/>
  <c r="AK15" i="26"/>
  <c r="S32" i="37"/>
  <c r="AT199" i="8"/>
  <c r="AU76" i="8"/>
  <c r="AA190" i="9"/>
  <c r="AA191" i="9"/>
  <c r="BF140" i="11"/>
  <c r="BF141" i="11"/>
  <c r="BE29" i="2"/>
  <c r="BF150" i="2"/>
  <c r="BO150" i="2"/>
  <c r="BN29" i="2"/>
  <c r="M36" i="37"/>
  <c r="AY74" i="8"/>
  <c r="AX194" i="8"/>
  <c r="AB89" i="22"/>
  <c r="AB90" i="22"/>
  <c r="AB91" i="22"/>
  <c r="AB92" i="22"/>
  <c r="AC32" i="22"/>
  <c r="AX74" i="7"/>
  <c r="AW194" i="7"/>
  <c r="AV180" i="22"/>
  <c r="AV181" i="22"/>
  <c r="BG191" i="10"/>
  <c r="BG190" i="10"/>
  <c r="AU175" i="8"/>
  <c r="AU176" i="8"/>
  <c r="BM30" i="22"/>
  <c r="BL84" i="22"/>
  <c r="AR190" i="11"/>
  <c r="AR191" i="11"/>
  <c r="AS180" i="8"/>
  <c r="AS181" i="8"/>
  <c r="BM171" i="7"/>
  <c r="BM170" i="7"/>
  <c r="AF190" i="8"/>
  <c r="AF191" i="8"/>
  <c r="AX70" i="7"/>
  <c r="AW184" i="7"/>
  <c r="BB210" i="9"/>
  <c r="BB211" i="9"/>
  <c r="H51" i="30"/>
  <c r="J51" i="30"/>
  <c r="W33" i="39"/>
  <c r="U30" i="30"/>
  <c r="K30" i="30"/>
  <c r="L30" i="30"/>
  <c r="N30" i="30"/>
  <c r="O30" i="30"/>
  <c r="K36" i="32"/>
  <c r="L36" i="32"/>
  <c r="AC36" i="32"/>
  <c r="AD36" i="32"/>
  <c r="AE36" i="32"/>
  <c r="AA115" i="8"/>
  <c r="AA116" i="8"/>
  <c r="AA117" i="8"/>
  <c r="AB114" i="8"/>
  <c r="AB115" i="8"/>
  <c r="AB116" i="8"/>
  <c r="AB117" i="8"/>
  <c r="AC42" i="8"/>
  <c r="AC44" i="8"/>
  <c r="AB119" i="8"/>
  <c r="AB120" i="8"/>
  <c r="AB121" i="8"/>
  <c r="AB122" i="8"/>
  <c r="AG94" i="8"/>
  <c r="AG95" i="8"/>
  <c r="AG96" i="8"/>
  <c r="AG97" i="8"/>
  <c r="AH34" i="8"/>
  <c r="AH167" i="7"/>
  <c r="AC32" i="11"/>
  <c r="AB89" i="11"/>
  <c r="AB90" i="11"/>
  <c r="AB91" i="11"/>
  <c r="AB92" i="11"/>
  <c r="AJ164" i="7"/>
  <c r="AK62" i="7"/>
  <c r="AI165" i="7"/>
  <c r="AI166" i="7"/>
  <c r="AB139" i="9"/>
  <c r="AB140" i="9"/>
  <c r="AB141" i="9"/>
  <c r="AB142" i="9"/>
  <c r="AC52" i="9"/>
  <c r="AC84" i="9"/>
  <c r="AC85" i="9"/>
  <c r="AC86" i="9"/>
  <c r="AC87" i="9"/>
  <c r="AD30" i="9"/>
  <c r="AD86" i="1"/>
  <c r="AD87" i="1"/>
  <c r="AD88" i="1"/>
  <c r="AD89" i="1"/>
  <c r="AE30" i="1"/>
  <c r="AB219" i="1"/>
  <c r="AC52" i="1"/>
  <c r="AB141" i="1"/>
  <c r="AB142" i="1"/>
  <c r="AB143" i="1"/>
  <c r="AB144" i="1"/>
  <c r="AB156" i="1"/>
  <c r="AB157" i="1"/>
  <c r="AB158" i="1"/>
  <c r="AB159" i="1"/>
  <c r="AC58" i="1"/>
  <c r="AB181" i="1"/>
  <c r="AB182" i="1"/>
  <c r="AB183" i="1"/>
  <c r="AB184" i="1"/>
  <c r="AC68" i="1"/>
  <c r="AB171" i="1"/>
  <c r="AB172" i="1"/>
  <c r="AB173" i="1"/>
  <c r="AB174" i="1"/>
  <c r="AC64" i="1"/>
  <c r="AC34" i="1"/>
  <c r="AB96" i="1"/>
  <c r="AB97" i="1"/>
  <c r="AB98" i="1"/>
  <c r="AB99" i="1"/>
  <c r="AC48" i="1"/>
  <c r="AB131" i="1"/>
  <c r="AB132" i="1"/>
  <c r="AB133" i="1"/>
  <c r="AB134" i="1"/>
  <c r="AD91" i="1"/>
  <c r="AD92" i="1"/>
  <c r="AD93" i="1"/>
  <c r="AD94" i="1"/>
  <c r="AE32" i="1"/>
  <c r="AB136" i="1"/>
  <c r="AB137" i="1"/>
  <c r="AB138" i="1"/>
  <c r="AB139" i="1"/>
  <c r="AC50" i="1"/>
  <c r="Y36" i="32"/>
  <c r="AG36" i="32"/>
  <c r="AB36" i="32"/>
  <c r="AI36" i="32"/>
  <c r="Z36" i="32"/>
  <c r="AH36" i="32"/>
  <c r="Z33" i="26"/>
  <c r="U33" i="26"/>
  <c r="AE33" i="26"/>
  <c r="AJ33" i="26"/>
  <c r="AJ34" i="26"/>
  <c r="AE34" i="26"/>
  <c r="Z34" i="26"/>
  <c r="W36" i="35"/>
  <c r="V36" i="35"/>
  <c r="AH36" i="35"/>
  <c r="AC119" i="22"/>
  <c r="AC120" i="22"/>
  <c r="AC121" i="22"/>
  <c r="AC122" i="22"/>
  <c r="AD44" i="22"/>
  <c r="AA104" i="6"/>
  <c r="AA105" i="6"/>
  <c r="AB113" i="6"/>
  <c r="AB114" i="6"/>
  <c r="AB115" i="6"/>
  <c r="AB116" i="6"/>
  <c r="AC36" i="6"/>
  <c r="AA84" i="6"/>
  <c r="AA85" i="6"/>
  <c r="AD30" i="6"/>
  <c r="AC98" i="6"/>
  <c r="AC99" i="6"/>
  <c r="AC100" i="6"/>
  <c r="AC101" i="6"/>
  <c r="AB78" i="6"/>
  <c r="AB79" i="6"/>
  <c r="AB80" i="6"/>
  <c r="AB81" i="6"/>
  <c r="AC22" i="6"/>
  <c r="Z146" i="6"/>
  <c r="Z151" i="6"/>
  <c r="AC121" i="6"/>
  <c r="AC32" i="6"/>
  <c r="AB103" i="6"/>
  <c r="AB104" i="6"/>
  <c r="AB105" i="6"/>
  <c r="AB106" i="6"/>
  <c r="AC44" i="6"/>
  <c r="AB133" i="6"/>
  <c r="AB134" i="6"/>
  <c r="AB135" i="6"/>
  <c r="AB136" i="6"/>
  <c r="AC26" i="6"/>
  <c r="AB88" i="6"/>
  <c r="AB89" i="6"/>
  <c r="AB90" i="6"/>
  <c r="AB91" i="6"/>
  <c r="AC40" i="6"/>
  <c r="AB123" i="6"/>
  <c r="AB124" i="6"/>
  <c r="AB125" i="6"/>
  <c r="AB126" i="6"/>
  <c r="AD42" i="6"/>
  <c r="AC128" i="6"/>
  <c r="AC129" i="6"/>
  <c r="AC130" i="6"/>
  <c r="AC131" i="6"/>
  <c r="AB93" i="6"/>
  <c r="AB94" i="6"/>
  <c r="AB95" i="6"/>
  <c r="AB96" i="6"/>
  <c r="AC28" i="6"/>
  <c r="AC24" i="6"/>
  <c r="AB83" i="6"/>
  <c r="AB84" i="6"/>
  <c r="AB85" i="6"/>
  <c r="AB86" i="6"/>
  <c r="AB99" i="6"/>
  <c r="AB100" i="6"/>
  <c r="AB108" i="6"/>
  <c r="AB109" i="6"/>
  <c r="AB110" i="6"/>
  <c r="AB111" i="6"/>
  <c r="AC34" i="6"/>
  <c r="AC217" i="1"/>
  <c r="AC218" i="1"/>
  <c r="AC42" i="1"/>
  <c r="AB116" i="1"/>
  <c r="AB117" i="1"/>
  <c r="AB118" i="1"/>
  <c r="AB119" i="1"/>
  <c r="AE82" i="1"/>
  <c r="AD216" i="1"/>
  <c r="AF80" i="1"/>
  <c r="AE211" i="1"/>
  <c r="AE212" i="1"/>
  <c r="AE213" i="1"/>
  <c r="AE214" i="1"/>
  <c r="AA102" i="10"/>
  <c r="AD36" i="8"/>
  <c r="AC99" i="8"/>
  <c r="AC100" i="8"/>
  <c r="AC101" i="8"/>
  <c r="AC102" i="8"/>
  <c r="AG38" i="8"/>
  <c r="AF104" i="8"/>
  <c r="AF105" i="8"/>
  <c r="AF106" i="8"/>
  <c r="AF107" i="8"/>
  <c r="AD44" i="11"/>
  <c r="AC119" i="11"/>
  <c r="AB120" i="11"/>
  <c r="AB121" i="11"/>
  <c r="AC104" i="22"/>
  <c r="AD38" i="22"/>
  <c r="AC34" i="22"/>
  <c r="AB94" i="22"/>
  <c r="AB95" i="22"/>
  <c r="AB96" i="22"/>
  <c r="AB97" i="22"/>
  <c r="AC48" i="22"/>
  <c r="AB129" i="22"/>
  <c r="AB130" i="22"/>
  <c r="AB131" i="22"/>
  <c r="AB132" i="22"/>
  <c r="AC104" i="7"/>
  <c r="AC105" i="7"/>
  <c r="AC106" i="7"/>
  <c r="AC107" i="7"/>
  <c r="AD38" i="7"/>
  <c r="AC84" i="7"/>
  <c r="AC85" i="7"/>
  <c r="AC86" i="7"/>
  <c r="AC87" i="7"/>
  <c r="AD30" i="7"/>
  <c r="AD36" i="7"/>
  <c r="AC99" i="7"/>
  <c r="AC100" i="7"/>
  <c r="AC101" i="7"/>
  <c r="AC102" i="7"/>
  <c r="AF40" i="7"/>
  <c r="AE109" i="7"/>
  <c r="AE110" i="7"/>
  <c r="AE111" i="7"/>
  <c r="AE112" i="7"/>
  <c r="AB114" i="7"/>
  <c r="AB115" i="7"/>
  <c r="AB116" i="7"/>
  <c r="AB117" i="7"/>
  <c r="AC42" i="7"/>
  <c r="AC34" i="7"/>
  <c r="AB94" i="7"/>
  <c r="AB95" i="7"/>
  <c r="AB96" i="7"/>
  <c r="AB97" i="7"/>
  <c r="AD119" i="6"/>
  <c r="AD120" i="6"/>
  <c r="AE118" i="6"/>
  <c r="AE119" i="6"/>
  <c r="AE120" i="6"/>
  <c r="AE121" i="6"/>
  <c r="AF38" i="6"/>
  <c r="AC46" i="9"/>
  <c r="AB124" i="9"/>
  <c r="AB125" i="9"/>
  <c r="AB126" i="9"/>
  <c r="AB127" i="9"/>
  <c r="Z115" i="9"/>
  <c r="Z116" i="9"/>
  <c r="Z117" i="9"/>
  <c r="AB42" i="9"/>
  <c r="AA114" i="9"/>
  <c r="AA115" i="9"/>
  <c r="AA116" i="9"/>
  <c r="AA117" i="9"/>
  <c r="AC34" i="9"/>
  <c r="AB94" i="9"/>
  <c r="AB95" i="9"/>
  <c r="AB96" i="9"/>
  <c r="AB97" i="9"/>
  <c r="AG54" i="9"/>
  <c r="AF144" i="9"/>
  <c r="AF145" i="9"/>
  <c r="AF146" i="9"/>
  <c r="AF147" i="9"/>
  <c r="AF38" i="9"/>
  <c r="AE104" i="9"/>
  <c r="AE105" i="9"/>
  <c r="AE106" i="9"/>
  <c r="AE107" i="9"/>
  <c r="AD50" i="9"/>
  <c r="AC134" i="9"/>
  <c r="AC135" i="9"/>
  <c r="AC136" i="9"/>
  <c r="AC137" i="9"/>
  <c r="AC48" i="9"/>
  <c r="AB129" i="9"/>
  <c r="AB130" i="9"/>
  <c r="AB131" i="9"/>
  <c r="AB132" i="9"/>
  <c r="AD89" i="9"/>
  <c r="AD90" i="9"/>
  <c r="AD91" i="9"/>
  <c r="AD92" i="9"/>
  <c r="AE32" i="9"/>
  <c r="AB119" i="9"/>
  <c r="AB120" i="9"/>
  <c r="AB121" i="9"/>
  <c r="AB122" i="9"/>
  <c r="AC44" i="9"/>
  <c r="AB149" i="9"/>
  <c r="AB150" i="9"/>
  <c r="AB151" i="9"/>
  <c r="AB152" i="9"/>
  <c r="AC56" i="9"/>
  <c r="AD60" i="1"/>
  <c r="AC161" i="1"/>
  <c r="AE76" i="1"/>
  <c r="AD201" i="1"/>
  <c r="AD202" i="1"/>
  <c r="AD203" i="1"/>
  <c r="AD204" i="1"/>
  <c r="AC70" i="1"/>
  <c r="AB186" i="1"/>
  <c r="AB187" i="1"/>
  <c r="AB188" i="1"/>
  <c r="AB189" i="1"/>
  <c r="AC78" i="1"/>
  <c r="AB206" i="1"/>
  <c r="AC74" i="1"/>
  <c r="AB196" i="1"/>
  <c r="AH151" i="1"/>
  <c r="AH152" i="1"/>
  <c r="AH153" i="1"/>
  <c r="AH154" i="1"/>
  <c r="AI56" i="1"/>
  <c r="AD72" i="1"/>
  <c r="AC191" i="1"/>
  <c r="AC192" i="1"/>
  <c r="AC193" i="1"/>
  <c r="AC194" i="1"/>
  <c r="AE66" i="1"/>
  <c r="AD176" i="1"/>
  <c r="AD177" i="1"/>
  <c r="AD178" i="1"/>
  <c r="AD179" i="1"/>
  <c r="AI42" i="11"/>
  <c r="AH114" i="11"/>
  <c r="AG115" i="11"/>
  <c r="AG116" i="11"/>
  <c r="AG117" i="11"/>
  <c r="U34" i="34"/>
  <c r="P34" i="34"/>
  <c r="Q34" i="34"/>
  <c r="T36" i="35"/>
  <c r="L36" i="35"/>
  <c r="AE85" i="11"/>
  <c r="AE86" i="11"/>
  <c r="AE87" i="11"/>
  <c r="AA107" i="11"/>
  <c r="AB105" i="11"/>
  <c r="AB106" i="11"/>
  <c r="AD99" i="11"/>
  <c r="AE36" i="11"/>
  <c r="AC100" i="11"/>
  <c r="AC101" i="11"/>
  <c r="AC102" i="11"/>
  <c r="AC104" i="11"/>
  <c r="AD38" i="11"/>
  <c r="AG30" i="11"/>
  <c r="AF84" i="11"/>
  <c r="AC134" i="10"/>
  <c r="AD50" i="10"/>
  <c r="AB135" i="10"/>
  <c r="AB136" i="10"/>
  <c r="AB137" i="10"/>
  <c r="AB100" i="10"/>
  <c r="AB101" i="10"/>
  <c r="AB102" i="10"/>
  <c r="AD36" i="10"/>
  <c r="AC99" i="10"/>
  <c r="AA155" i="22"/>
  <c r="AA156" i="22"/>
  <c r="AA157" i="22"/>
  <c r="AC58" i="22"/>
  <c r="AB154" i="22"/>
  <c r="AB145" i="22"/>
  <c r="AB146" i="22"/>
  <c r="AB100" i="22"/>
  <c r="AB101" i="22"/>
  <c r="AB102" i="22"/>
  <c r="AD40" i="22"/>
  <c r="AC109" i="22"/>
  <c r="AD36" i="22"/>
  <c r="AC99" i="22"/>
  <c r="AB110" i="22"/>
  <c r="AB111" i="22"/>
  <c r="AB112" i="22"/>
  <c r="AC144" i="22"/>
  <c r="AD54" i="22"/>
  <c r="AE149" i="8"/>
  <c r="AF56" i="8"/>
  <c r="AD150" i="8"/>
  <c r="AD151" i="8"/>
  <c r="AD152" i="8"/>
  <c r="AD54" i="8"/>
  <c r="AC144" i="8"/>
  <c r="AB145" i="8"/>
  <c r="AB146" i="8"/>
  <c r="AB147" i="8"/>
  <c r="AA140" i="8"/>
  <c r="AA141" i="8"/>
  <c r="AA142" i="8"/>
  <c r="AC40" i="8"/>
  <c r="AB109" i="8"/>
  <c r="AB129" i="8"/>
  <c r="AC48" i="8"/>
  <c r="AB89" i="8"/>
  <c r="AC32" i="8"/>
  <c r="Z85" i="8"/>
  <c r="Z86" i="8"/>
  <c r="Z87" i="8"/>
  <c r="AA130" i="8"/>
  <c r="AA131" i="8"/>
  <c r="AA132" i="8"/>
  <c r="AA90" i="8"/>
  <c r="AA91" i="8"/>
  <c r="AA92" i="8"/>
  <c r="AB139" i="8"/>
  <c r="AC52" i="8"/>
  <c r="AB30" i="8"/>
  <c r="AA84" i="8"/>
  <c r="AA110" i="8"/>
  <c r="AA111" i="8"/>
  <c r="AA112" i="8"/>
  <c r="AB144" i="7"/>
  <c r="AC54" i="7"/>
  <c r="AA145" i="7"/>
  <c r="AA146" i="7"/>
  <c r="AA147" i="7"/>
  <c r="AA140" i="7"/>
  <c r="AA141" i="7"/>
  <c r="AA142" i="7"/>
  <c r="AC52" i="7"/>
  <c r="AB139" i="7"/>
  <c r="AA135" i="7"/>
  <c r="AA136" i="7"/>
  <c r="AA137" i="7"/>
  <c r="AB134" i="7"/>
  <c r="AC50" i="7"/>
  <c r="AE46" i="7"/>
  <c r="AD124" i="7"/>
  <c r="AD120" i="7"/>
  <c r="AD121" i="7"/>
  <c r="AD122" i="7"/>
  <c r="AH90" i="7"/>
  <c r="AH91" i="7"/>
  <c r="AH92" i="7"/>
  <c r="AC125" i="7"/>
  <c r="AC126" i="7"/>
  <c r="AC127" i="7"/>
  <c r="AF44" i="7"/>
  <c r="AE119" i="7"/>
  <c r="AJ32" i="7"/>
  <c r="AI89" i="7"/>
  <c r="AA164" i="6"/>
  <c r="AA165" i="6"/>
  <c r="AA166" i="6"/>
  <c r="AC56" i="6"/>
  <c r="AB163" i="6"/>
  <c r="AC54" i="6"/>
  <c r="AB158" i="6"/>
  <c r="AA159" i="6"/>
  <c r="AA160" i="6"/>
  <c r="AA161" i="6"/>
  <c r="AC52" i="6"/>
  <c r="AB153" i="6"/>
  <c r="AA154" i="6"/>
  <c r="AA155" i="6"/>
  <c r="AA156" i="6"/>
  <c r="AC50" i="6"/>
  <c r="AB148" i="6"/>
  <c r="AA149" i="6"/>
  <c r="AA150" i="6"/>
  <c r="AA151" i="6"/>
  <c r="AB143" i="6"/>
  <c r="AC48" i="6"/>
  <c r="AA144" i="6"/>
  <c r="AA145" i="6"/>
  <c r="AA146" i="6"/>
  <c r="AB160" i="9"/>
  <c r="AB161" i="9"/>
  <c r="AB162" i="9"/>
  <c r="AC159" i="9"/>
  <c r="AD60" i="9"/>
  <c r="AA155" i="9"/>
  <c r="AA156" i="9"/>
  <c r="AA157" i="9"/>
  <c r="AC58" i="9"/>
  <c r="AB154" i="9"/>
  <c r="AB100" i="9"/>
  <c r="AB101" i="9"/>
  <c r="AB102" i="9"/>
  <c r="AC99" i="9"/>
  <c r="AD36" i="9"/>
  <c r="AD40" i="9"/>
  <c r="AC109" i="9"/>
  <c r="AB110" i="9"/>
  <c r="AB111" i="9"/>
  <c r="AB112" i="9"/>
  <c r="AC62" i="1"/>
  <c r="AB166" i="1"/>
  <c r="AA167" i="1"/>
  <c r="AA168" i="1"/>
  <c r="AA169" i="1"/>
  <c r="AA127" i="1"/>
  <c r="AA128" i="1"/>
  <c r="AA129" i="1"/>
  <c r="AB126" i="1"/>
  <c r="AC46" i="1"/>
  <c r="AA147" i="1"/>
  <c r="AA148" i="1"/>
  <c r="AA149" i="1"/>
  <c r="AC54" i="1"/>
  <c r="AB146" i="1"/>
  <c r="AC122" i="1"/>
  <c r="AC123" i="1"/>
  <c r="AC124" i="1"/>
  <c r="AE44" i="1"/>
  <c r="AD121" i="1"/>
  <c r="AD101" i="1"/>
  <c r="AE36" i="1"/>
  <c r="AA107" i="1"/>
  <c r="AA108" i="1"/>
  <c r="AA109" i="1"/>
  <c r="AC102" i="1"/>
  <c r="AC103" i="1"/>
  <c r="AC104" i="1"/>
  <c r="AD111" i="1"/>
  <c r="AE40" i="1"/>
  <c r="AC112" i="1"/>
  <c r="AC113" i="1"/>
  <c r="AC114" i="1"/>
  <c r="AC38" i="1"/>
  <c r="AB106" i="1"/>
  <c r="W36" i="37"/>
  <c r="V36" i="37"/>
  <c r="K36" i="37"/>
  <c r="AC129" i="7"/>
  <c r="AC130" i="7"/>
  <c r="AC131" i="7"/>
  <c r="AC132" i="7"/>
  <c r="AD48" i="7"/>
  <c r="U36" i="36"/>
  <c r="T36" i="32"/>
  <c r="L29" i="30"/>
  <c r="N29" i="30"/>
  <c r="O29" i="30"/>
  <c r="P29" i="30"/>
  <c r="Q29" i="30"/>
  <c r="BH197" i="9"/>
  <c r="BJ194" i="9"/>
  <c r="BK74" i="9"/>
  <c r="BB59" i="11"/>
  <c r="BC229" i="11"/>
  <c r="BX152" i="2"/>
  <c r="BW31" i="2"/>
  <c r="M38" i="41"/>
  <c r="BI196" i="9"/>
  <c r="BI195" i="9"/>
  <c r="U36" i="33"/>
  <c r="W36" i="33"/>
  <c r="V36" i="33"/>
  <c r="AH36" i="33"/>
  <c r="M36" i="36"/>
  <c r="CF29" i="2"/>
  <c r="N36" i="35"/>
  <c r="O36" i="35"/>
  <c r="P36" i="35"/>
  <c r="Q36" i="35"/>
  <c r="R36" i="35"/>
  <c r="K36" i="33"/>
  <c r="T36" i="33"/>
  <c r="J36" i="41"/>
  <c r="AE19" i="39"/>
  <c r="H35" i="41"/>
  <c r="U30" i="41"/>
  <c r="AZ172" i="22"/>
  <c r="AP187" i="10"/>
  <c r="AW197" i="8"/>
  <c r="BB132" i="11"/>
  <c r="BA212" i="10"/>
  <c r="AG167" i="8"/>
  <c r="AL177" i="10"/>
  <c r="AR192" i="11"/>
  <c r="AV182" i="22"/>
  <c r="AJ172" i="9"/>
  <c r="AK192" i="22"/>
  <c r="AM167" i="10"/>
  <c r="AB152" i="11"/>
  <c r="AF162" i="7"/>
  <c r="AA202" i="11"/>
  <c r="AA202" i="22"/>
  <c r="AA137" i="11"/>
  <c r="AX177" i="22"/>
  <c r="BB177" i="9"/>
  <c r="AN157" i="8"/>
  <c r="AB202" i="7"/>
  <c r="AD157" i="7"/>
  <c r="AA177" i="7"/>
  <c r="BB172" i="10"/>
  <c r="AI167" i="22"/>
  <c r="AE127" i="11"/>
  <c r="AJ207" i="9"/>
  <c r="AA167" i="9"/>
  <c r="AA202" i="10"/>
  <c r="AF207" i="11"/>
  <c r="AS264" i="40"/>
  <c r="AS265" i="40"/>
  <c r="AS266" i="40"/>
  <c r="AS267" i="40"/>
  <c r="AT100" i="40"/>
  <c r="AS244" i="40"/>
  <c r="AS245" i="40"/>
  <c r="AS246" i="40"/>
  <c r="AS247" i="40"/>
  <c r="AT92" i="40"/>
  <c r="AZ260" i="40"/>
  <c r="AZ261" i="40"/>
  <c r="AZ262" i="40"/>
  <c r="AR245" i="40"/>
  <c r="AR246" i="40"/>
  <c r="AR247" i="40"/>
  <c r="AX280" i="40"/>
  <c r="AX281" i="40"/>
  <c r="AX282" i="40"/>
  <c r="AS289" i="40"/>
  <c r="AT110" i="40"/>
  <c r="AS284" i="40"/>
  <c r="AS285" i="40"/>
  <c r="AS286" i="40"/>
  <c r="AS287" i="40"/>
  <c r="AT108" i="40"/>
  <c r="AS269" i="40"/>
  <c r="AS270" i="40"/>
  <c r="AS271" i="40"/>
  <c r="AS272" i="40"/>
  <c r="AT102" i="40"/>
  <c r="AS249" i="40"/>
  <c r="AS250" i="40"/>
  <c r="AS251" i="40"/>
  <c r="AS252" i="40"/>
  <c r="AT94" i="40"/>
  <c r="AY255" i="40"/>
  <c r="AY256" i="40"/>
  <c r="AY257" i="40"/>
  <c r="AR285" i="40"/>
  <c r="AR286" i="40"/>
  <c r="AR287" i="40"/>
  <c r="AY106" i="40"/>
  <c r="AY279" i="40"/>
  <c r="AZ104" i="40"/>
  <c r="AZ274" i="40"/>
  <c r="AZ275" i="40"/>
  <c r="AZ276" i="40"/>
  <c r="AZ277" i="40"/>
  <c r="AZ96" i="40"/>
  <c r="AZ254" i="40"/>
  <c r="BA98" i="40"/>
  <c r="BA259" i="40"/>
  <c r="BA260" i="40"/>
  <c r="BA261" i="40"/>
  <c r="BA262" i="40"/>
  <c r="AV90" i="40"/>
  <c r="AS165" i="40"/>
  <c r="AS166" i="40"/>
  <c r="AT52" i="40"/>
  <c r="AS144" i="40"/>
  <c r="AT56" i="40"/>
  <c r="AS154" i="40"/>
  <c r="AR160" i="40"/>
  <c r="AR161" i="40"/>
  <c r="AU88" i="40"/>
  <c r="AT234" i="40"/>
  <c r="AT78" i="40"/>
  <c r="AS209" i="40"/>
  <c r="AT44" i="40"/>
  <c r="AS124" i="40"/>
  <c r="AT185" i="40"/>
  <c r="AT186" i="40"/>
  <c r="AT195" i="40"/>
  <c r="AT196" i="40"/>
  <c r="AS225" i="40"/>
  <c r="AS226" i="40"/>
  <c r="AS227" i="40"/>
  <c r="AR230" i="40"/>
  <c r="AR231" i="40"/>
  <c r="AR232" i="40"/>
  <c r="AR207" i="40"/>
  <c r="AV64" i="40"/>
  <c r="AU174" i="40"/>
  <c r="AS215" i="40"/>
  <c r="AS216" i="40"/>
  <c r="AS217" i="40"/>
  <c r="AS239" i="40"/>
  <c r="AT74" i="40"/>
  <c r="AS199" i="40"/>
  <c r="AU76" i="40"/>
  <c r="AT204" i="40"/>
  <c r="AT82" i="40"/>
  <c r="AS219" i="40"/>
  <c r="AT86" i="40"/>
  <c r="AS229" i="40"/>
  <c r="AT62" i="40"/>
  <c r="AS169" i="40"/>
  <c r="AT175" i="40"/>
  <c r="AT176" i="40"/>
  <c r="AS187" i="40"/>
  <c r="AR155" i="40"/>
  <c r="AR156" i="40"/>
  <c r="AR157" i="40"/>
  <c r="AR135" i="40"/>
  <c r="AR136" i="40"/>
  <c r="AR137" i="40"/>
  <c r="AU80" i="40"/>
  <c r="AT214" i="40"/>
  <c r="AR240" i="40"/>
  <c r="AR241" i="40"/>
  <c r="AR242" i="40"/>
  <c r="AS140" i="40"/>
  <c r="AS141" i="40"/>
  <c r="AS142" i="40"/>
  <c r="AR200" i="40"/>
  <c r="AR201" i="40"/>
  <c r="AR202" i="40"/>
  <c r="AQ157" i="40"/>
  <c r="AS205" i="40"/>
  <c r="AS206" i="40"/>
  <c r="AR220" i="40"/>
  <c r="AR221" i="40"/>
  <c r="AU66" i="40"/>
  <c r="AT179" i="40"/>
  <c r="AT48" i="40"/>
  <c r="AS134" i="40"/>
  <c r="AR190" i="40"/>
  <c r="AR191" i="40"/>
  <c r="AT42" i="40"/>
  <c r="AS119" i="40"/>
  <c r="AR130" i="40"/>
  <c r="AR131" i="40"/>
  <c r="AR132" i="40"/>
  <c r="AR150" i="40"/>
  <c r="AR151" i="40"/>
  <c r="AR152" i="40"/>
  <c r="AR170" i="40"/>
  <c r="AR171" i="40"/>
  <c r="AR172" i="40"/>
  <c r="AU60" i="40"/>
  <c r="AT164" i="40"/>
  <c r="AU50" i="40"/>
  <c r="AT139" i="40"/>
  <c r="AT46" i="40"/>
  <c r="AS129" i="40"/>
  <c r="AS115" i="40"/>
  <c r="AS116" i="40"/>
  <c r="AS117" i="40"/>
  <c r="AQ242" i="40"/>
  <c r="AR145" i="40"/>
  <c r="AR146" i="40"/>
  <c r="AR147" i="40"/>
  <c r="AT58" i="40"/>
  <c r="AS159" i="40"/>
  <c r="AS235" i="40"/>
  <c r="AS236" i="40"/>
  <c r="AT70" i="40"/>
  <c r="AS189" i="40"/>
  <c r="AR210" i="40"/>
  <c r="AR211" i="40"/>
  <c r="AR120" i="40"/>
  <c r="AR121" i="40"/>
  <c r="AR122" i="40"/>
  <c r="AR125" i="40"/>
  <c r="AR126" i="40"/>
  <c r="AR127" i="40"/>
  <c r="AV68" i="40"/>
  <c r="AU184" i="40"/>
  <c r="AV72" i="40"/>
  <c r="AU194" i="40"/>
  <c r="AU84" i="40"/>
  <c r="AT224" i="40"/>
  <c r="AS180" i="40"/>
  <c r="AS181" i="40"/>
  <c r="AU40" i="40"/>
  <c r="AT114" i="40"/>
  <c r="AT54" i="40"/>
  <c r="AS149" i="40"/>
  <c r="Z36" i="35"/>
  <c r="N36" i="32"/>
  <c r="O36" i="32"/>
  <c r="P36" i="32"/>
  <c r="Q36" i="32"/>
  <c r="R36" i="32"/>
  <c r="S35" i="31"/>
  <c r="G18" i="26"/>
  <c r="BB212" i="9"/>
  <c r="BF142" i="11"/>
  <c r="AX182" i="9"/>
  <c r="AE156" i="7"/>
  <c r="AE155" i="7"/>
  <c r="AR195" i="11"/>
  <c r="AR196" i="11"/>
  <c r="AJ204" i="7"/>
  <c r="AK78" i="7"/>
  <c r="AW144" i="10"/>
  <c r="AX54" i="10"/>
  <c r="AN166" i="10"/>
  <c r="AN165" i="10"/>
  <c r="AD50" i="11"/>
  <c r="AC134" i="11"/>
  <c r="AD76" i="10"/>
  <c r="AC199" i="10"/>
  <c r="AI78" i="11"/>
  <c r="AH204" i="11"/>
  <c r="AC159" i="10"/>
  <c r="AD60" i="10"/>
  <c r="AL206" i="22"/>
  <c r="AL205" i="22"/>
  <c r="AB185" i="8"/>
  <c r="AB186" i="8"/>
  <c r="AC138" i="6"/>
  <c r="AC139" i="6"/>
  <c r="AC140" i="6"/>
  <c r="AC141" i="6"/>
  <c r="AD46" i="6"/>
  <c r="AG160" i="7"/>
  <c r="AG161" i="7"/>
  <c r="AS70" i="10"/>
  <c r="AR184" i="10"/>
  <c r="AJ165" i="22"/>
  <c r="AJ166" i="22"/>
  <c r="AQ58" i="8"/>
  <c r="AP154" i="8"/>
  <c r="AE76" i="7"/>
  <c r="AD199" i="7"/>
  <c r="BB210" i="10"/>
  <c r="BB211" i="10"/>
  <c r="U38" i="31"/>
  <c r="W38" i="31"/>
  <c r="V38" i="31"/>
  <c r="AT74" i="11"/>
  <c r="AS194" i="11"/>
  <c r="AI205" i="7"/>
  <c r="AI206" i="7"/>
  <c r="AV146" i="10"/>
  <c r="AV145" i="10"/>
  <c r="BH55" i="11"/>
  <c r="BI227" i="11"/>
  <c r="AB200" i="11"/>
  <c r="AB201" i="11"/>
  <c r="AF125" i="11"/>
  <c r="AF126" i="11"/>
  <c r="AQ197" i="11"/>
  <c r="BK81" i="8"/>
  <c r="BL240" i="8"/>
  <c r="AH207" i="7"/>
  <c r="BA66" i="22"/>
  <c r="AZ174" i="22"/>
  <c r="BN61" i="11"/>
  <c r="BO230" i="11"/>
  <c r="AB160" i="10"/>
  <c r="AB161" i="10"/>
  <c r="AN78" i="22"/>
  <c r="AM204" i="22"/>
  <c r="AD70" i="8"/>
  <c r="AC184" i="8"/>
  <c r="BD169" i="10"/>
  <c r="BE64" i="10"/>
  <c r="AK164" i="22"/>
  <c r="AL62" i="22"/>
  <c r="AL169" i="9"/>
  <c r="AM64" i="9"/>
  <c r="AN72" i="22"/>
  <c r="AM189" i="22"/>
  <c r="AD76" i="22"/>
  <c r="AC199" i="22"/>
  <c r="AK206" i="9"/>
  <c r="AK205" i="9"/>
  <c r="AD62" i="9"/>
  <c r="AC164" i="9"/>
  <c r="AC150" i="11"/>
  <c r="AC151" i="11"/>
  <c r="BE66" i="9"/>
  <c r="BD174" i="9"/>
  <c r="AB180" i="10"/>
  <c r="AB181" i="10"/>
  <c r="BD156" i="10"/>
  <c r="BD155" i="10"/>
  <c r="AD76" i="11"/>
  <c r="AC199" i="11"/>
  <c r="AA162" i="10"/>
  <c r="AH46" i="11"/>
  <c r="AG124" i="11"/>
  <c r="AY175" i="22"/>
  <c r="AY176" i="22"/>
  <c r="AB176" i="7"/>
  <c r="AB175" i="7"/>
  <c r="AK70" i="22"/>
  <c r="AJ184" i="22"/>
  <c r="AB205" i="8"/>
  <c r="AB206" i="8"/>
  <c r="AH165" i="8"/>
  <c r="AH166" i="8"/>
  <c r="AO66" i="10"/>
  <c r="AN174" i="10"/>
  <c r="BC171" i="10"/>
  <c r="BC170" i="10"/>
  <c r="AK171" i="9"/>
  <c r="AK170" i="9"/>
  <c r="AL191" i="22"/>
  <c r="AL190" i="22"/>
  <c r="AB201" i="22"/>
  <c r="AB200" i="22"/>
  <c r="AM78" i="9"/>
  <c r="AL204" i="9"/>
  <c r="AU147" i="10"/>
  <c r="AB165" i="9"/>
  <c r="AB166" i="9"/>
  <c r="AE56" i="11"/>
  <c r="AD149" i="11"/>
  <c r="AG58" i="7"/>
  <c r="AF154" i="7"/>
  <c r="BC175" i="9"/>
  <c r="BC176" i="9"/>
  <c r="AD68" i="10"/>
  <c r="AC179" i="10"/>
  <c r="BF58" i="10"/>
  <c r="BE154" i="10"/>
  <c r="AH187" i="22"/>
  <c r="AA182" i="10"/>
  <c r="AK207" i="22"/>
  <c r="BC157" i="10"/>
  <c r="AP62" i="10"/>
  <c r="AO164" i="10"/>
  <c r="AB136" i="11"/>
  <c r="AB135" i="11"/>
  <c r="AB200" i="10"/>
  <c r="AB201" i="10"/>
  <c r="AG205" i="11"/>
  <c r="AG206" i="11"/>
  <c r="AD66" i="7"/>
  <c r="AC174" i="7"/>
  <c r="AI186" i="22"/>
  <c r="AI185" i="22"/>
  <c r="AD78" i="8"/>
  <c r="AC204" i="8"/>
  <c r="AJ62" i="8"/>
  <c r="AI164" i="8"/>
  <c r="AM175" i="10"/>
  <c r="AM176" i="10"/>
  <c r="AI60" i="7"/>
  <c r="AH159" i="7"/>
  <c r="AQ186" i="10"/>
  <c r="AQ185" i="10"/>
  <c r="AA207" i="8"/>
  <c r="AA187" i="8"/>
  <c r="AD56" i="22"/>
  <c r="AC149" i="22"/>
  <c r="AC150" i="22"/>
  <c r="AC151" i="22"/>
  <c r="AC152" i="22"/>
  <c r="AO155" i="8"/>
  <c r="AO156" i="8"/>
  <c r="AC201" i="7"/>
  <c r="AC200" i="7"/>
  <c r="BD80" i="10"/>
  <c r="BC209" i="10"/>
  <c r="AA18" i="26"/>
  <c r="S35" i="35"/>
  <c r="L18" i="26"/>
  <c r="S35" i="32"/>
  <c r="Q36" i="31"/>
  <c r="R36" i="31"/>
  <c r="S36" i="31"/>
  <c r="AF40" i="11"/>
  <c r="AE109" i="11"/>
  <c r="AE110" i="11"/>
  <c r="AE111" i="11"/>
  <c r="AE112" i="11"/>
  <c r="AC129" i="10"/>
  <c r="AC130" i="10"/>
  <c r="AC131" i="10"/>
  <c r="AC132" i="10"/>
  <c r="AD48" i="10"/>
  <c r="AC124" i="10"/>
  <c r="AC125" i="10"/>
  <c r="AC126" i="10"/>
  <c r="AC127" i="10"/>
  <c r="AD46" i="10"/>
  <c r="AC139" i="10"/>
  <c r="AC140" i="10"/>
  <c r="AC141" i="10"/>
  <c r="AC142" i="10"/>
  <c r="AD52" i="10"/>
  <c r="AD30" i="10"/>
  <c r="AC84" i="10"/>
  <c r="AC85" i="10"/>
  <c r="AC86" i="10"/>
  <c r="AC87" i="10"/>
  <c r="AC109" i="10"/>
  <c r="AC110" i="10"/>
  <c r="AC111" i="10"/>
  <c r="AC112" i="10"/>
  <c r="AD40" i="10"/>
  <c r="AD119" i="10"/>
  <c r="AD120" i="10"/>
  <c r="AD121" i="10"/>
  <c r="AD122" i="10"/>
  <c r="AE44" i="10"/>
  <c r="AD34" i="10"/>
  <c r="AC94" i="10"/>
  <c r="AC95" i="10"/>
  <c r="AC96" i="10"/>
  <c r="AC97" i="10"/>
  <c r="AC89" i="10"/>
  <c r="AC90" i="10"/>
  <c r="AC91" i="10"/>
  <c r="AC92" i="10"/>
  <c r="AD32" i="10"/>
  <c r="AC104" i="10"/>
  <c r="AC105" i="10"/>
  <c r="AC106" i="10"/>
  <c r="AC107" i="10"/>
  <c r="AD38" i="10"/>
  <c r="AC114" i="10"/>
  <c r="AC115" i="10"/>
  <c r="AC116" i="10"/>
  <c r="AC117" i="10"/>
  <c r="AD42" i="10"/>
  <c r="AE46" i="22"/>
  <c r="AD124" i="22"/>
  <c r="AD125" i="22"/>
  <c r="AD126" i="22"/>
  <c r="AD127" i="22"/>
  <c r="AD139" i="22"/>
  <c r="AD140" i="22"/>
  <c r="AD141" i="22"/>
  <c r="AD142" i="22"/>
  <c r="AE52" i="22"/>
  <c r="AD42" i="22"/>
  <c r="AC114" i="22"/>
  <c r="AC115" i="22"/>
  <c r="AC116" i="22"/>
  <c r="AC117" i="22"/>
  <c r="AC134" i="22"/>
  <c r="AC135" i="22"/>
  <c r="AC136" i="22"/>
  <c r="AC137" i="22"/>
  <c r="AD50" i="22"/>
  <c r="AD46" i="8"/>
  <c r="AC124" i="8"/>
  <c r="AC125" i="8"/>
  <c r="AC126" i="8"/>
  <c r="AC127" i="8"/>
  <c r="AE50" i="8"/>
  <c r="AD134" i="8"/>
  <c r="AD135" i="8"/>
  <c r="AD136" i="8"/>
  <c r="AD137" i="8"/>
  <c r="AZ152" i="10"/>
  <c r="AI167" i="7"/>
  <c r="BM172" i="7"/>
  <c r="BG192" i="10"/>
  <c r="AV197" i="7"/>
  <c r="AT177" i="11"/>
  <c r="AZ187" i="9"/>
  <c r="AW197" i="22"/>
  <c r="AX212" i="22"/>
  <c r="AV187" i="7"/>
  <c r="AU177" i="8"/>
  <c r="AC89" i="22"/>
  <c r="AC90" i="22"/>
  <c r="AC91" i="22"/>
  <c r="AC92" i="22"/>
  <c r="AD32" i="22"/>
  <c r="AV76" i="8"/>
  <c r="AU199" i="8"/>
  <c r="AU176" i="11"/>
  <c r="AU175" i="11"/>
  <c r="BA185" i="9"/>
  <c r="BA186" i="9"/>
  <c r="AA202" i="9"/>
  <c r="BK65" i="11"/>
  <c r="BL232" i="11"/>
  <c r="BA73" i="7"/>
  <c r="BB236" i="7"/>
  <c r="AV210" i="11"/>
  <c r="AV211" i="11"/>
  <c r="AZ210" i="7"/>
  <c r="AZ211" i="7"/>
  <c r="AZ179" i="9"/>
  <c r="BA68" i="9"/>
  <c r="AW197" i="10"/>
  <c r="BO63" i="11"/>
  <c r="BP231" i="11"/>
  <c r="AY207" i="10"/>
  <c r="AU212" i="11"/>
  <c r="AY212" i="7"/>
  <c r="BN30" i="2"/>
  <c r="M37" i="37"/>
  <c r="BO151" i="2"/>
  <c r="AD30" i="2"/>
  <c r="M37" i="33"/>
  <c r="AE151" i="2"/>
  <c r="BA150" i="10"/>
  <c r="BA151" i="10"/>
  <c r="AR161" i="8"/>
  <c r="AR160" i="8"/>
  <c r="BK87" i="22"/>
  <c r="AV175" i="8"/>
  <c r="AV176" i="8"/>
  <c r="A153" i="2"/>
  <c r="BW153" i="2"/>
  <c r="A33" i="2"/>
  <c r="BC65" i="8"/>
  <c r="BD232" i="8"/>
  <c r="AW185" i="7"/>
  <c r="AW186" i="7"/>
  <c r="AF192" i="8"/>
  <c r="AS182" i="8"/>
  <c r="BL85" i="22"/>
  <c r="BL86" i="22"/>
  <c r="AW196" i="7"/>
  <c r="AW195" i="7"/>
  <c r="AX195" i="8"/>
  <c r="AX196" i="8"/>
  <c r="AA192" i="9"/>
  <c r="AT200" i="8"/>
  <c r="AT201" i="8"/>
  <c r="AW66" i="11"/>
  <c r="AV174" i="11"/>
  <c r="BC210" i="9"/>
  <c r="BC211" i="9"/>
  <c r="BI189" i="10"/>
  <c r="BJ72" i="10"/>
  <c r="AX80" i="11"/>
  <c r="AW209" i="11"/>
  <c r="BB80" i="7"/>
  <c r="BA209" i="7"/>
  <c r="AS202" i="8"/>
  <c r="AQ162" i="8"/>
  <c r="V151" i="2"/>
  <c r="U30" i="2"/>
  <c r="M37" i="32"/>
  <c r="BE30" i="2"/>
  <c r="BF151" i="2"/>
  <c r="AS159" i="8"/>
  <c r="AT60" i="8"/>
  <c r="AG190" i="8"/>
  <c r="AG191" i="8"/>
  <c r="BN170" i="7"/>
  <c r="BN171" i="7"/>
  <c r="BB78" i="10"/>
  <c r="BA204" i="10"/>
  <c r="AX66" i="8"/>
  <c r="AW174" i="8"/>
  <c r="AC189" i="9"/>
  <c r="AD72" i="9"/>
  <c r="AY70" i="7"/>
  <c r="AX184" i="7"/>
  <c r="BM84" i="22"/>
  <c r="BN30" i="22"/>
  <c r="AY74" i="7"/>
  <c r="AX194" i="7"/>
  <c r="AZ74" i="8"/>
  <c r="AY194" i="8"/>
  <c r="BP69" i="11"/>
  <c r="BQ234" i="11"/>
  <c r="BE80" i="9"/>
  <c r="BD209" i="9"/>
  <c r="AX196" i="10"/>
  <c r="AX195" i="10"/>
  <c r="BH190" i="10"/>
  <c r="BH191" i="10"/>
  <c r="AV160" i="22"/>
  <c r="AV161" i="22"/>
  <c r="AC199" i="9"/>
  <c r="AD76" i="9"/>
  <c r="BA171" i="22"/>
  <c r="BA170" i="22"/>
  <c r="AY210" i="22"/>
  <c r="AY211" i="22"/>
  <c r="BD180" i="7"/>
  <c r="BD181" i="7"/>
  <c r="BC130" i="11"/>
  <c r="BC131" i="11"/>
  <c r="C30" i="2"/>
  <c r="M38" i="30"/>
  <c r="D151" i="2"/>
  <c r="AV30" i="2"/>
  <c r="M37" i="35"/>
  <c r="AW151" i="2"/>
  <c r="AX195" i="22"/>
  <c r="AX196" i="22"/>
  <c r="AI72" i="8"/>
  <c r="AH189" i="8"/>
  <c r="BP64" i="7"/>
  <c r="BO169" i="7"/>
  <c r="AV68" i="8"/>
  <c r="AU179" i="8"/>
  <c r="AZ206" i="10"/>
  <c r="AZ205" i="10"/>
  <c r="AS191" i="11"/>
  <c r="AS190" i="11"/>
  <c r="AY68" i="22"/>
  <c r="AX179" i="22"/>
  <c r="BG141" i="11"/>
  <c r="BG140" i="11"/>
  <c r="AB190" i="9"/>
  <c r="AB191" i="9"/>
  <c r="H50" i="30"/>
  <c r="J50" i="30"/>
  <c r="W32" i="39"/>
  <c r="BB184" i="9"/>
  <c r="BC70" i="9"/>
  <c r="AY194" i="10"/>
  <c r="AZ74" i="10"/>
  <c r="AW159" i="22"/>
  <c r="AX60" i="22"/>
  <c r="AB200" i="9"/>
  <c r="AB201" i="9"/>
  <c r="AY180" i="9"/>
  <c r="AY181" i="9"/>
  <c r="BC64" i="22"/>
  <c r="BB169" i="22"/>
  <c r="BA80" i="22"/>
  <c r="AZ209" i="22"/>
  <c r="BF68" i="7"/>
  <c r="BE179" i="7"/>
  <c r="BE48" i="11"/>
  <c r="BD129" i="11"/>
  <c r="AU162" i="22"/>
  <c r="L30" i="2"/>
  <c r="M37" i="31"/>
  <c r="N37" i="31"/>
  <c r="O37" i="31"/>
  <c r="P37" i="31"/>
  <c r="M151" i="2"/>
  <c r="AN151" i="2"/>
  <c r="AM30" i="2"/>
  <c r="M37" i="34"/>
  <c r="BC56" i="10"/>
  <c r="BB149" i="10"/>
  <c r="AY194" i="22"/>
  <c r="AZ74" i="22"/>
  <c r="AT180" i="8"/>
  <c r="AT181" i="8"/>
  <c r="AU72" i="11"/>
  <c r="AT189" i="11"/>
  <c r="BC182" i="7"/>
  <c r="AW181" i="22"/>
  <c r="AW180" i="22"/>
  <c r="BI52" i="11"/>
  <c r="BH139" i="11"/>
  <c r="BN152" i="2"/>
  <c r="AV152" i="2"/>
  <c r="AM152" i="2"/>
  <c r="U152" i="2"/>
  <c r="L152" i="2"/>
  <c r="C152" i="2"/>
  <c r="AD152" i="2"/>
  <c r="BE152" i="2"/>
  <c r="P30" i="30"/>
  <c r="Q30" i="30"/>
  <c r="W30" i="30"/>
  <c r="V30" i="30"/>
  <c r="AC30" i="30"/>
  <c r="T30" i="30"/>
  <c r="U37" i="32"/>
  <c r="W37" i="32"/>
  <c r="V37" i="32"/>
  <c r="AI34" i="8"/>
  <c r="AH94" i="8"/>
  <c r="AH95" i="8"/>
  <c r="AH96" i="8"/>
  <c r="AH97" i="8"/>
  <c r="AD42" i="8"/>
  <c r="AC114" i="8"/>
  <c r="AC115" i="8"/>
  <c r="AC116" i="8"/>
  <c r="AC117" i="8"/>
  <c r="AD44" i="8"/>
  <c r="AC119" i="8"/>
  <c r="AC120" i="8"/>
  <c r="AC121" i="8"/>
  <c r="AC122" i="8"/>
  <c r="AC89" i="11"/>
  <c r="AC90" i="11"/>
  <c r="AC91" i="11"/>
  <c r="AC92" i="11"/>
  <c r="AD32" i="11"/>
  <c r="AL62" i="7"/>
  <c r="AK164" i="7"/>
  <c r="AJ166" i="7"/>
  <c r="AJ165" i="7"/>
  <c r="AD84" i="9"/>
  <c r="AD85" i="9"/>
  <c r="AD86" i="9"/>
  <c r="AD87" i="9"/>
  <c r="AE30" i="9"/>
  <c r="AD52" i="9"/>
  <c r="AC139" i="9"/>
  <c r="AC140" i="9"/>
  <c r="AC141" i="9"/>
  <c r="AC142" i="9"/>
  <c r="AF30" i="1"/>
  <c r="AE86" i="1"/>
  <c r="AE87" i="1"/>
  <c r="AE88" i="1"/>
  <c r="AE89" i="1"/>
  <c r="AF32" i="1"/>
  <c r="AE91" i="1"/>
  <c r="AE92" i="1"/>
  <c r="AE93" i="1"/>
  <c r="AE94" i="1"/>
  <c r="AC171" i="1"/>
  <c r="AD64" i="1"/>
  <c r="AC181" i="1"/>
  <c r="AC182" i="1"/>
  <c r="AC183" i="1"/>
  <c r="AC184" i="1"/>
  <c r="AD68" i="1"/>
  <c r="AD58" i="1"/>
  <c r="AC156" i="1"/>
  <c r="AC157" i="1"/>
  <c r="AC158" i="1"/>
  <c r="AC159" i="1"/>
  <c r="AC219" i="1"/>
  <c r="AC131" i="1"/>
  <c r="AC132" i="1"/>
  <c r="AC133" i="1"/>
  <c r="AC134" i="1"/>
  <c r="AD48" i="1"/>
  <c r="AC96" i="1"/>
  <c r="AC97" i="1"/>
  <c r="AC98" i="1"/>
  <c r="AC99" i="1"/>
  <c r="AD34" i="1"/>
  <c r="AC141" i="1"/>
  <c r="AC142" i="1"/>
  <c r="AC143" i="1"/>
  <c r="AC144" i="1"/>
  <c r="AD52" i="1"/>
  <c r="AC136" i="1"/>
  <c r="AC137" i="1"/>
  <c r="AC138" i="1"/>
  <c r="AC139" i="1"/>
  <c r="AD50" i="1"/>
  <c r="AF36" i="35"/>
  <c r="AD36" i="33"/>
  <c r="AG36" i="33"/>
  <c r="AA36" i="35"/>
  <c r="AI36" i="35"/>
  <c r="AC36" i="35"/>
  <c r="AD36" i="35"/>
  <c r="AG36" i="35"/>
  <c r="AJ36" i="35"/>
  <c r="AE36" i="35"/>
  <c r="X36" i="35"/>
  <c r="Y36" i="35"/>
  <c r="AB36" i="35"/>
  <c r="AE44" i="22"/>
  <c r="AD119" i="22"/>
  <c r="AD120" i="22"/>
  <c r="AD121" i="22"/>
  <c r="AD122" i="22"/>
  <c r="AB147" i="22"/>
  <c r="AD121" i="6"/>
  <c r="AA106" i="6"/>
  <c r="AB101" i="6"/>
  <c r="AD24" i="6"/>
  <c r="AC83" i="6"/>
  <c r="AC84" i="6"/>
  <c r="AC85" i="6"/>
  <c r="AC86" i="6"/>
  <c r="AE42" i="6"/>
  <c r="AD128" i="6"/>
  <c r="AD129" i="6"/>
  <c r="AD130" i="6"/>
  <c r="AD131" i="6"/>
  <c r="AC123" i="6"/>
  <c r="AC124" i="6"/>
  <c r="AC125" i="6"/>
  <c r="AC126" i="6"/>
  <c r="AD40" i="6"/>
  <c r="AC88" i="6"/>
  <c r="AC89" i="6"/>
  <c r="AC90" i="6"/>
  <c r="AC91" i="6"/>
  <c r="AD26" i="6"/>
  <c r="AD44" i="6"/>
  <c r="AC133" i="6"/>
  <c r="AC134" i="6"/>
  <c r="AC135" i="6"/>
  <c r="AC136" i="6"/>
  <c r="AC103" i="6"/>
  <c r="AC104" i="6"/>
  <c r="AC105" i="6"/>
  <c r="AC106" i="6"/>
  <c r="AD32" i="6"/>
  <c r="AC78" i="6"/>
  <c r="AC79" i="6"/>
  <c r="AC80" i="6"/>
  <c r="AC81" i="6"/>
  <c r="AD22" i="6"/>
  <c r="AA86" i="6"/>
  <c r="AC113" i="6"/>
  <c r="AC114" i="6"/>
  <c r="AC115" i="6"/>
  <c r="AC116" i="6"/>
  <c r="AD36" i="6"/>
  <c r="AC108" i="6"/>
  <c r="AC109" i="6"/>
  <c r="AC110" i="6"/>
  <c r="AC111" i="6"/>
  <c r="AD34" i="6"/>
  <c r="AD28" i="6"/>
  <c r="AC93" i="6"/>
  <c r="AC94" i="6"/>
  <c r="AC95" i="6"/>
  <c r="AC96" i="6"/>
  <c r="AE30" i="6"/>
  <c r="AD98" i="6"/>
  <c r="AD99" i="6"/>
  <c r="AD100" i="6"/>
  <c r="AD101" i="6"/>
  <c r="AD217" i="1"/>
  <c r="AD218" i="1"/>
  <c r="AG80" i="1"/>
  <c r="AF211" i="1"/>
  <c r="AF82" i="1"/>
  <c r="AE216" i="1"/>
  <c r="AC116" i="1"/>
  <c r="AC117" i="1"/>
  <c r="AC118" i="1"/>
  <c r="AC119" i="1"/>
  <c r="AD42" i="1"/>
  <c r="AB122" i="11"/>
  <c r="AH38" i="8"/>
  <c r="AG104" i="8"/>
  <c r="AG105" i="8"/>
  <c r="AG106" i="8"/>
  <c r="AG107" i="8"/>
  <c r="AE36" i="8"/>
  <c r="AD99" i="8"/>
  <c r="AD100" i="8"/>
  <c r="AD101" i="8"/>
  <c r="AD102" i="8"/>
  <c r="AC120" i="11"/>
  <c r="AC121" i="11"/>
  <c r="AC122" i="11"/>
  <c r="AE44" i="11"/>
  <c r="AD119" i="11"/>
  <c r="AD34" i="22"/>
  <c r="AC94" i="22"/>
  <c r="AC95" i="22"/>
  <c r="AC96" i="22"/>
  <c r="AC97" i="22"/>
  <c r="AE38" i="22"/>
  <c r="AD104" i="22"/>
  <c r="AD105" i="22"/>
  <c r="AD106" i="22"/>
  <c r="AD107" i="22"/>
  <c r="AD48" i="22"/>
  <c r="AC129" i="22"/>
  <c r="AC130" i="22"/>
  <c r="AC131" i="22"/>
  <c r="AC132" i="22"/>
  <c r="AC105" i="22"/>
  <c r="AC106" i="22"/>
  <c r="AC107" i="22"/>
  <c r="AD42" i="7"/>
  <c r="AC114" i="7"/>
  <c r="AC115" i="7"/>
  <c r="AC116" i="7"/>
  <c r="AC117" i="7"/>
  <c r="AD84" i="7"/>
  <c r="AD85" i="7"/>
  <c r="AD86" i="7"/>
  <c r="AD87" i="7"/>
  <c r="AE30" i="7"/>
  <c r="AE36" i="7"/>
  <c r="AD99" i="7"/>
  <c r="AD100" i="7"/>
  <c r="AD101" i="7"/>
  <c r="AD102" i="7"/>
  <c r="AE38" i="7"/>
  <c r="AD104" i="7"/>
  <c r="AD105" i="7"/>
  <c r="AD106" i="7"/>
  <c r="AD107" i="7"/>
  <c r="AD34" i="7"/>
  <c r="AC94" i="7"/>
  <c r="AG40" i="7"/>
  <c r="AF109" i="7"/>
  <c r="AF110" i="7"/>
  <c r="AF111" i="7"/>
  <c r="AF112" i="7"/>
  <c r="AF118" i="6"/>
  <c r="AF119" i="6"/>
  <c r="AF120" i="6"/>
  <c r="AF121" i="6"/>
  <c r="AG38" i="6"/>
  <c r="AD34" i="9"/>
  <c r="AC94" i="9"/>
  <c r="AC95" i="9"/>
  <c r="AC96" i="9"/>
  <c r="AC97" i="9"/>
  <c r="AF104" i="9"/>
  <c r="AF105" i="9"/>
  <c r="AF106" i="9"/>
  <c r="AF107" i="9"/>
  <c r="AG38" i="9"/>
  <c r="AG144" i="9"/>
  <c r="AG145" i="9"/>
  <c r="AG146" i="9"/>
  <c r="AG147" i="9"/>
  <c r="AH54" i="9"/>
  <c r="AB114" i="9"/>
  <c r="AB115" i="9"/>
  <c r="AB116" i="9"/>
  <c r="AB117" i="9"/>
  <c r="AC42" i="9"/>
  <c r="AD46" i="9"/>
  <c r="AC124" i="9"/>
  <c r="AC125" i="9"/>
  <c r="AC126" i="9"/>
  <c r="AC127" i="9"/>
  <c r="AD134" i="9"/>
  <c r="AE50" i="9"/>
  <c r="AD56" i="9"/>
  <c r="AC149" i="9"/>
  <c r="AC129" i="9"/>
  <c r="AC130" i="9"/>
  <c r="AC131" i="9"/>
  <c r="AC132" i="9"/>
  <c r="AD48" i="9"/>
  <c r="AC119" i="9"/>
  <c r="AC120" i="9"/>
  <c r="AC121" i="9"/>
  <c r="AC122" i="9"/>
  <c r="AD44" i="9"/>
  <c r="AF32" i="9"/>
  <c r="AE89" i="9"/>
  <c r="AE90" i="9"/>
  <c r="AE91" i="9"/>
  <c r="AE92" i="9"/>
  <c r="AJ56" i="1"/>
  <c r="AI151" i="1"/>
  <c r="AI152" i="1"/>
  <c r="AI153" i="1"/>
  <c r="AI154" i="1"/>
  <c r="AB207" i="1"/>
  <c r="AB208" i="1"/>
  <c r="AF66" i="1"/>
  <c r="AE176" i="1"/>
  <c r="AD78" i="1"/>
  <c r="AC206" i="1"/>
  <c r="AB197" i="1"/>
  <c r="AB198" i="1"/>
  <c r="AC162" i="1"/>
  <c r="AC163" i="1"/>
  <c r="AC164" i="1"/>
  <c r="AE72" i="1"/>
  <c r="AD191" i="1"/>
  <c r="AD192" i="1"/>
  <c r="AD193" i="1"/>
  <c r="AD194" i="1"/>
  <c r="AD74" i="1"/>
  <c r="AC196" i="1"/>
  <c r="AC197" i="1"/>
  <c r="AC198" i="1"/>
  <c r="AC199" i="1"/>
  <c r="AD70" i="1"/>
  <c r="AC186" i="1"/>
  <c r="AC187" i="1"/>
  <c r="AC188" i="1"/>
  <c r="AC189" i="1"/>
  <c r="AF76" i="1"/>
  <c r="AE201" i="1"/>
  <c r="AE202" i="1"/>
  <c r="AE203" i="1"/>
  <c r="AE204" i="1"/>
  <c r="AE60" i="1"/>
  <c r="AD161" i="1"/>
  <c r="AD162" i="1"/>
  <c r="AD163" i="1"/>
  <c r="AD164" i="1"/>
  <c r="AH115" i="11"/>
  <c r="AH116" i="11"/>
  <c r="AH117" i="11"/>
  <c r="AJ42" i="11"/>
  <c r="AI114" i="11"/>
  <c r="P35" i="34"/>
  <c r="Q35" i="34"/>
  <c r="R33" i="34"/>
  <c r="R32" i="34"/>
  <c r="W34" i="34"/>
  <c r="V34" i="34"/>
  <c r="K34" i="34"/>
  <c r="AB107" i="11"/>
  <c r="AG84" i="11"/>
  <c r="AH30" i="11"/>
  <c r="AD100" i="11"/>
  <c r="AD101" i="11"/>
  <c r="AD102" i="11"/>
  <c r="AD104" i="11"/>
  <c r="AE38" i="11"/>
  <c r="AF85" i="11"/>
  <c r="AF86" i="11"/>
  <c r="AF87" i="11"/>
  <c r="AC105" i="11"/>
  <c r="AC106" i="11"/>
  <c r="AE99" i="11"/>
  <c r="AF36" i="11"/>
  <c r="AE50" i="10"/>
  <c r="AD134" i="10"/>
  <c r="AC135" i="10"/>
  <c r="AC136" i="10"/>
  <c r="AC137" i="10"/>
  <c r="AC100" i="10"/>
  <c r="AC101" i="10"/>
  <c r="AD99" i="10"/>
  <c r="AE36" i="10"/>
  <c r="AB155" i="22"/>
  <c r="AB156" i="22"/>
  <c r="AB157" i="22"/>
  <c r="AD58" i="22"/>
  <c r="AC154" i="22"/>
  <c r="AC100" i="22"/>
  <c r="AC101" i="22"/>
  <c r="AC102" i="22"/>
  <c r="AD99" i="22"/>
  <c r="AE36" i="22"/>
  <c r="AC110" i="22"/>
  <c r="AC111" i="22"/>
  <c r="AC112" i="22"/>
  <c r="AE54" i="22"/>
  <c r="AD144" i="22"/>
  <c r="AD109" i="22"/>
  <c r="AE40" i="22"/>
  <c r="AC145" i="22"/>
  <c r="AC146" i="22"/>
  <c r="AC147" i="22"/>
  <c r="AG56" i="8"/>
  <c r="AF149" i="8"/>
  <c r="AE150" i="8"/>
  <c r="AE151" i="8"/>
  <c r="AE152" i="8"/>
  <c r="AC145" i="8"/>
  <c r="AC146" i="8"/>
  <c r="AC147" i="8"/>
  <c r="AD144" i="8"/>
  <c r="AE54" i="8"/>
  <c r="AA85" i="8"/>
  <c r="AA86" i="8"/>
  <c r="AA87" i="8"/>
  <c r="AB140" i="8"/>
  <c r="AB141" i="8"/>
  <c r="AB142" i="8"/>
  <c r="AB90" i="8"/>
  <c r="AB91" i="8"/>
  <c r="AB92" i="8"/>
  <c r="AB110" i="8"/>
  <c r="AB111" i="8"/>
  <c r="AB112" i="8"/>
  <c r="AC109" i="8"/>
  <c r="AD40" i="8"/>
  <c r="AC30" i="8"/>
  <c r="AB84" i="8"/>
  <c r="AD48" i="8"/>
  <c r="AC129" i="8"/>
  <c r="AC139" i="8"/>
  <c r="AD52" i="8"/>
  <c r="AC89" i="8"/>
  <c r="AD32" i="8"/>
  <c r="AB130" i="8"/>
  <c r="AB131" i="8"/>
  <c r="AB132" i="8"/>
  <c r="AD54" i="7"/>
  <c r="AC144" i="7"/>
  <c r="AB145" i="7"/>
  <c r="AB146" i="7"/>
  <c r="AB147" i="7"/>
  <c r="AB140" i="7"/>
  <c r="AB141" i="7"/>
  <c r="AB142" i="7"/>
  <c r="AC139" i="7"/>
  <c r="AD52" i="7"/>
  <c r="AD50" i="7"/>
  <c r="AC134" i="7"/>
  <c r="AB135" i="7"/>
  <c r="AB136" i="7"/>
  <c r="AB137" i="7"/>
  <c r="AE120" i="7"/>
  <c r="AE121" i="7"/>
  <c r="AE122" i="7"/>
  <c r="AI90" i="7"/>
  <c r="AI91" i="7"/>
  <c r="AI92" i="7"/>
  <c r="AF119" i="7"/>
  <c r="AG44" i="7"/>
  <c r="AF46" i="7"/>
  <c r="AE124" i="7"/>
  <c r="AK32" i="7"/>
  <c r="AJ89" i="7"/>
  <c r="AD125" i="7"/>
  <c r="AD126" i="7"/>
  <c r="AD127" i="7"/>
  <c r="AB164" i="6"/>
  <c r="AB165" i="6"/>
  <c r="AB166" i="6"/>
  <c r="AD56" i="6"/>
  <c r="AC163" i="6"/>
  <c r="AB159" i="6"/>
  <c r="AB160" i="6"/>
  <c r="AB161" i="6"/>
  <c r="AD54" i="6"/>
  <c r="AC158" i="6"/>
  <c r="AB154" i="6"/>
  <c r="AB155" i="6"/>
  <c r="AB156" i="6"/>
  <c r="AC153" i="6"/>
  <c r="AD52" i="6"/>
  <c r="AB149" i="6"/>
  <c r="AB150" i="6"/>
  <c r="AB151" i="6"/>
  <c r="AD50" i="6"/>
  <c r="AC148" i="6"/>
  <c r="AD48" i="6"/>
  <c r="AC143" i="6"/>
  <c r="AB144" i="6"/>
  <c r="AB145" i="6"/>
  <c r="AB146" i="6"/>
  <c r="AD159" i="9"/>
  <c r="AE60" i="9"/>
  <c r="AC160" i="9"/>
  <c r="AC161" i="9"/>
  <c r="AC162" i="9"/>
  <c r="AB155" i="9"/>
  <c r="AB156" i="9"/>
  <c r="AB157" i="9"/>
  <c r="AC154" i="9"/>
  <c r="AD58" i="9"/>
  <c r="AC110" i="9"/>
  <c r="AC111" i="9"/>
  <c r="AC112" i="9"/>
  <c r="AE40" i="9"/>
  <c r="AD109" i="9"/>
  <c r="AD99" i="9"/>
  <c r="AE36" i="9"/>
  <c r="AC100" i="9"/>
  <c r="AC101" i="9"/>
  <c r="AC102" i="9"/>
  <c r="AB167" i="1"/>
  <c r="AB168" i="1"/>
  <c r="AB169" i="1"/>
  <c r="AD62" i="1"/>
  <c r="AC166" i="1"/>
  <c r="AB127" i="1"/>
  <c r="AB128" i="1"/>
  <c r="AB129" i="1"/>
  <c r="AB147" i="1"/>
  <c r="AB148" i="1"/>
  <c r="AD54" i="1"/>
  <c r="AC146" i="1"/>
  <c r="AC126" i="1"/>
  <c r="AD46" i="1"/>
  <c r="AD122" i="1"/>
  <c r="AD123" i="1"/>
  <c r="AD124" i="1"/>
  <c r="AF44" i="1"/>
  <c r="AE121" i="1"/>
  <c r="AD38" i="1"/>
  <c r="AC106" i="1"/>
  <c r="AD102" i="1"/>
  <c r="AD103" i="1"/>
  <c r="AF40" i="1"/>
  <c r="AE111" i="1"/>
  <c r="AD112" i="1"/>
  <c r="AD113" i="1"/>
  <c r="AD114" i="1"/>
  <c r="AB107" i="1"/>
  <c r="AB108" i="1"/>
  <c r="AB109" i="1"/>
  <c r="AF36" i="1"/>
  <c r="AE101" i="1"/>
  <c r="T36" i="37"/>
  <c r="L36" i="37"/>
  <c r="N36" i="37"/>
  <c r="O36" i="37"/>
  <c r="P36" i="37"/>
  <c r="Q36" i="37"/>
  <c r="AD36" i="37"/>
  <c r="AH36" i="37"/>
  <c r="AA36" i="37"/>
  <c r="Y36" i="37"/>
  <c r="AJ36" i="37"/>
  <c r="AI36" i="37"/>
  <c r="AB36" i="37"/>
  <c r="Z36" i="37"/>
  <c r="AF36" i="37"/>
  <c r="AG36" i="37"/>
  <c r="AC36" i="37"/>
  <c r="X36" i="37"/>
  <c r="AE36" i="37"/>
  <c r="AE36" i="33"/>
  <c r="Y36" i="33"/>
  <c r="Z36" i="33"/>
  <c r="AB36" i="33"/>
  <c r="AA36" i="33"/>
  <c r="AF36" i="33"/>
  <c r="L36" i="33"/>
  <c r="N36" i="33"/>
  <c r="O36" i="33"/>
  <c r="P36" i="33"/>
  <c r="AJ36" i="33"/>
  <c r="X36" i="33"/>
  <c r="AC36" i="33"/>
  <c r="AI36" i="33"/>
  <c r="AD129" i="7"/>
  <c r="AD130" i="7"/>
  <c r="AD131" i="7"/>
  <c r="AD132" i="7"/>
  <c r="AE48" i="7"/>
  <c r="K36" i="36"/>
  <c r="W36" i="36"/>
  <c r="V36" i="36"/>
  <c r="K38" i="31"/>
  <c r="BX153" i="2"/>
  <c r="BW32" i="2"/>
  <c r="M39" i="41"/>
  <c r="BI197" i="9"/>
  <c r="BA59" i="11"/>
  <c r="BB229" i="11"/>
  <c r="BK194" i="9"/>
  <c r="BL74" i="9"/>
  <c r="BJ196" i="9"/>
  <c r="BJ195" i="9"/>
  <c r="K37" i="32"/>
  <c r="L37" i="32"/>
  <c r="N37" i="32"/>
  <c r="O37" i="32"/>
  <c r="P37" i="32"/>
  <c r="H49" i="30"/>
  <c r="M37" i="36"/>
  <c r="CF30" i="2"/>
  <c r="J35" i="41"/>
  <c r="AE18" i="39"/>
  <c r="H34" i="41"/>
  <c r="J34" i="41"/>
  <c r="AE17" i="39"/>
  <c r="W30" i="41"/>
  <c r="V30" i="41"/>
  <c r="K30" i="41"/>
  <c r="AW187" i="7"/>
  <c r="AO157" i="8"/>
  <c r="AM177" i="10"/>
  <c r="AB202" i="10"/>
  <c r="AB167" i="9"/>
  <c r="AB182" i="10"/>
  <c r="AC152" i="11"/>
  <c r="AB162" i="10"/>
  <c r="AB202" i="11"/>
  <c r="AI187" i="22"/>
  <c r="BD157" i="10"/>
  <c r="AL192" i="22"/>
  <c r="BC172" i="10"/>
  <c r="AE157" i="7"/>
  <c r="AB207" i="8"/>
  <c r="AR197" i="11"/>
  <c r="AV212" i="11"/>
  <c r="BB212" i="10"/>
  <c r="AJ167" i="22"/>
  <c r="AG162" i="7"/>
  <c r="AB187" i="8"/>
  <c r="AT269" i="40"/>
  <c r="AU102" i="40"/>
  <c r="AT289" i="40"/>
  <c r="AT290" i="40"/>
  <c r="AT291" i="40"/>
  <c r="AT292" i="40"/>
  <c r="AU110" i="40"/>
  <c r="AT244" i="40"/>
  <c r="AU92" i="40"/>
  <c r="AY280" i="40"/>
  <c r="AY281" i="40"/>
  <c r="AY282" i="40"/>
  <c r="AS290" i="40"/>
  <c r="AS291" i="40"/>
  <c r="AS292" i="40"/>
  <c r="AT249" i="40"/>
  <c r="AU94" i="40"/>
  <c r="AT284" i="40"/>
  <c r="AU108" i="40"/>
  <c r="AT264" i="40"/>
  <c r="AU100" i="40"/>
  <c r="AZ255" i="40"/>
  <c r="AZ256" i="40"/>
  <c r="AZ257" i="40"/>
  <c r="BB98" i="40"/>
  <c r="BB259" i="40"/>
  <c r="BB260" i="40"/>
  <c r="BB261" i="40"/>
  <c r="BB262" i="40"/>
  <c r="BA104" i="40"/>
  <c r="BA274" i="40"/>
  <c r="BA275" i="40"/>
  <c r="BA276" i="40"/>
  <c r="BA277" i="40"/>
  <c r="BA96" i="40"/>
  <c r="BA254" i="40"/>
  <c r="BA255" i="40"/>
  <c r="BA256" i="40"/>
  <c r="BA257" i="40"/>
  <c r="AZ106" i="40"/>
  <c r="AZ279" i="40"/>
  <c r="AW90" i="40"/>
  <c r="AU54" i="40"/>
  <c r="AT149" i="40"/>
  <c r="AS182" i="40"/>
  <c r="AV84" i="40"/>
  <c r="AU224" i="40"/>
  <c r="AU185" i="40"/>
  <c r="AU186" i="40"/>
  <c r="AU187" i="40"/>
  <c r="AR212" i="40"/>
  <c r="AS237" i="40"/>
  <c r="AU58" i="40"/>
  <c r="AT159" i="40"/>
  <c r="AU46" i="40"/>
  <c r="AT129" i="40"/>
  <c r="AT165" i="40"/>
  <c r="AT166" i="40"/>
  <c r="AT167" i="40"/>
  <c r="AR192" i="40"/>
  <c r="AR222" i="40"/>
  <c r="AT177" i="40"/>
  <c r="AS230" i="40"/>
  <c r="AS231" i="40"/>
  <c r="AU82" i="40"/>
  <c r="AT219" i="40"/>
  <c r="AV76" i="40"/>
  <c r="AU204" i="40"/>
  <c r="AS240" i="40"/>
  <c r="AS241" i="40"/>
  <c r="AT187" i="40"/>
  <c r="AS210" i="40"/>
  <c r="AS211" i="40"/>
  <c r="AS212" i="40"/>
  <c r="AS155" i="40"/>
  <c r="AS156" i="40"/>
  <c r="AS157" i="40"/>
  <c r="AU52" i="40"/>
  <c r="AT144" i="40"/>
  <c r="AV40" i="40"/>
  <c r="AU114" i="40"/>
  <c r="AS130" i="40"/>
  <c r="AS131" i="40"/>
  <c r="AS132" i="40"/>
  <c r="AV50" i="40"/>
  <c r="AU139" i="40"/>
  <c r="AU42" i="40"/>
  <c r="AT119" i="40"/>
  <c r="AU48" i="40"/>
  <c r="AT134" i="40"/>
  <c r="AT215" i="40"/>
  <c r="AT216" i="40"/>
  <c r="AU62" i="40"/>
  <c r="AT169" i="40"/>
  <c r="AS220" i="40"/>
  <c r="AS221" i="40"/>
  <c r="AW64" i="40"/>
  <c r="AV174" i="40"/>
  <c r="AT235" i="40"/>
  <c r="AT236" i="40"/>
  <c r="AT237" i="40"/>
  <c r="AS145" i="40"/>
  <c r="AS146" i="40"/>
  <c r="AS147" i="40"/>
  <c r="AT115" i="40"/>
  <c r="AT116" i="40"/>
  <c r="AT117" i="40"/>
  <c r="AU195" i="40"/>
  <c r="AU196" i="40"/>
  <c r="AW68" i="40"/>
  <c r="AV184" i="40"/>
  <c r="AS190" i="40"/>
  <c r="AS191" i="40"/>
  <c r="AS192" i="40"/>
  <c r="AT140" i="40"/>
  <c r="AT141" i="40"/>
  <c r="AS120" i="40"/>
  <c r="AS121" i="40"/>
  <c r="AS122" i="40"/>
  <c r="AT180" i="40"/>
  <c r="AT181" i="40"/>
  <c r="AV80" i="40"/>
  <c r="AU214" i="40"/>
  <c r="AS170" i="40"/>
  <c r="AS171" i="40"/>
  <c r="AU86" i="40"/>
  <c r="AT229" i="40"/>
  <c r="AS200" i="40"/>
  <c r="AS201" i="40"/>
  <c r="AS202" i="40"/>
  <c r="AT239" i="40"/>
  <c r="AU175" i="40"/>
  <c r="AU176" i="40"/>
  <c r="AU177" i="40"/>
  <c r="AS125" i="40"/>
  <c r="AS126" i="40"/>
  <c r="AS127" i="40"/>
  <c r="AU78" i="40"/>
  <c r="AT209" i="40"/>
  <c r="AV88" i="40"/>
  <c r="AU234" i="40"/>
  <c r="AS150" i="40"/>
  <c r="AS151" i="40"/>
  <c r="AS152" i="40"/>
  <c r="AT225" i="40"/>
  <c r="AT226" i="40"/>
  <c r="AT227" i="40"/>
  <c r="AW72" i="40"/>
  <c r="AV194" i="40"/>
  <c r="AU70" i="40"/>
  <c r="AT189" i="40"/>
  <c r="AS160" i="40"/>
  <c r="AS161" i="40"/>
  <c r="AV60" i="40"/>
  <c r="AU164" i="40"/>
  <c r="AS135" i="40"/>
  <c r="AS136" i="40"/>
  <c r="AS137" i="40"/>
  <c r="AV66" i="40"/>
  <c r="AU179" i="40"/>
  <c r="AS207" i="40"/>
  <c r="AT205" i="40"/>
  <c r="AT206" i="40"/>
  <c r="AT207" i="40"/>
  <c r="AU74" i="40"/>
  <c r="AT199" i="40"/>
  <c r="AT197" i="40"/>
  <c r="AU44" i="40"/>
  <c r="AT124" i="40"/>
  <c r="AR162" i="40"/>
  <c r="AU56" i="40"/>
  <c r="AT154" i="40"/>
  <c r="AS167" i="40"/>
  <c r="AL207" i="22"/>
  <c r="BC210" i="10"/>
  <c r="BC211" i="10"/>
  <c r="AC206" i="8"/>
  <c r="AC205" i="8"/>
  <c r="AC175" i="7"/>
  <c r="AC176" i="7"/>
  <c r="AO165" i="10"/>
  <c r="AO166" i="10"/>
  <c r="AC180" i="10"/>
  <c r="AC181" i="10"/>
  <c r="AF156" i="7"/>
  <c r="AF155" i="7"/>
  <c r="AN78" i="9"/>
  <c r="AM204" i="9"/>
  <c r="AL70" i="22"/>
  <c r="AK184" i="22"/>
  <c r="AC200" i="11"/>
  <c r="AC201" i="11"/>
  <c r="AE76" i="22"/>
  <c r="AD199" i="22"/>
  <c r="AL170" i="9"/>
  <c r="AL171" i="9"/>
  <c r="BD171" i="10"/>
  <c r="BD170" i="10"/>
  <c r="AO78" i="22"/>
  <c r="AN204" i="22"/>
  <c r="BN230" i="11"/>
  <c r="BM61" i="11"/>
  <c r="BG55" i="11"/>
  <c r="BH227" i="11"/>
  <c r="AP155" i="8"/>
  <c r="AP156" i="8"/>
  <c r="AS184" i="10"/>
  <c r="AT70" i="10"/>
  <c r="AJ78" i="11"/>
  <c r="AI204" i="11"/>
  <c r="AE50" i="11"/>
  <c r="AD134" i="11"/>
  <c r="AX144" i="10"/>
  <c r="AY54" i="10"/>
  <c r="AB192" i="9"/>
  <c r="BC132" i="11"/>
  <c r="BD209" i="10"/>
  <c r="BE80" i="10"/>
  <c r="AQ187" i="10"/>
  <c r="AE78" i="8"/>
  <c r="AD204" i="8"/>
  <c r="AE66" i="7"/>
  <c r="AD174" i="7"/>
  <c r="AP164" i="10"/>
  <c r="AQ62" i="10"/>
  <c r="AE68" i="10"/>
  <c r="AD179" i="10"/>
  <c r="AH58" i="7"/>
  <c r="AG154" i="7"/>
  <c r="AN175" i="10"/>
  <c r="AN176" i="10"/>
  <c r="AG125" i="11"/>
  <c r="AG126" i="11"/>
  <c r="AE76" i="11"/>
  <c r="AD199" i="11"/>
  <c r="AK207" i="9"/>
  <c r="AM191" i="22"/>
  <c r="AM190" i="22"/>
  <c r="AM62" i="22"/>
  <c r="AL164" i="22"/>
  <c r="AC186" i="8"/>
  <c r="AC185" i="8"/>
  <c r="AZ176" i="22"/>
  <c r="AZ175" i="22"/>
  <c r="BJ81" i="8"/>
  <c r="BK240" i="8"/>
  <c r="AS196" i="11"/>
  <c r="AS195" i="11"/>
  <c r="AR58" i="8"/>
  <c r="AQ154" i="8"/>
  <c r="AD159" i="10"/>
  <c r="AE60" i="10"/>
  <c r="AC200" i="10"/>
  <c r="AC201" i="10"/>
  <c r="AW146" i="10"/>
  <c r="AW145" i="10"/>
  <c r="AH160" i="7"/>
  <c r="AH161" i="7"/>
  <c r="AI165" i="8"/>
  <c r="AI166" i="8"/>
  <c r="AG207" i="11"/>
  <c r="AB137" i="11"/>
  <c r="BE156" i="10"/>
  <c r="BE155" i="10"/>
  <c r="BC177" i="9"/>
  <c r="AD150" i="11"/>
  <c r="AD151" i="11"/>
  <c r="AB202" i="22"/>
  <c r="AK172" i="9"/>
  <c r="AP66" i="10"/>
  <c r="AO174" i="10"/>
  <c r="AB177" i="7"/>
  <c r="AI46" i="11"/>
  <c r="AH124" i="11"/>
  <c r="BD175" i="9"/>
  <c r="BD176" i="9"/>
  <c r="AC165" i="9"/>
  <c r="AC166" i="9"/>
  <c r="AN189" i="22"/>
  <c r="AO72" i="22"/>
  <c r="AK165" i="22"/>
  <c r="AK166" i="22"/>
  <c r="AE70" i="8"/>
  <c r="AD184" i="8"/>
  <c r="BA174" i="22"/>
  <c r="BB66" i="22"/>
  <c r="AV147" i="10"/>
  <c r="AU74" i="11"/>
  <c r="AT194" i="11"/>
  <c r="AD200" i="7"/>
  <c r="AD201" i="7"/>
  <c r="AC160" i="10"/>
  <c r="AC161" i="10"/>
  <c r="AD199" i="10"/>
  <c r="AE76" i="10"/>
  <c r="AN167" i="10"/>
  <c r="AL78" i="7"/>
  <c r="AK204" i="7"/>
  <c r="BH192" i="10"/>
  <c r="AZ212" i="7"/>
  <c r="AC202" i="7"/>
  <c r="AD149" i="22"/>
  <c r="AD150" i="22"/>
  <c r="AD151" i="22"/>
  <c r="AD152" i="22"/>
  <c r="AE56" i="22"/>
  <c r="AJ60" i="7"/>
  <c r="AI159" i="7"/>
  <c r="AK62" i="8"/>
  <c r="AJ164" i="8"/>
  <c r="BF154" i="10"/>
  <c r="BG58" i="10"/>
  <c r="AF56" i="11"/>
  <c r="AE149" i="11"/>
  <c r="AL205" i="9"/>
  <c r="AL206" i="9"/>
  <c r="AH167" i="8"/>
  <c r="AJ186" i="22"/>
  <c r="AJ185" i="22"/>
  <c r="AY177" i="22"/>
  <c r="BE174" i="9"/>
  <c r="BF66" i="9"/>
  <c r="AD164" i="9"/>
  <c r="AE62" i="9"/>
  <c r="AC201" i="22"/>
  <c r="AC200" i="22"/>
  <c r="AN64" i="9"/>
  <c r="AM169" i="9"/>
  <c r="BF64" i="10"/>
  <c r="BE169" i="10"/>
  <c r="AM205" i="22"/>
  <c r="AM206" i="22"/>
  <c r="AF127" i="11"/>
  <c r="AI207" i="7"/>
  <c r="AF76" i="7"/>
  <c r="AE199" i="7"/>
  <c r="AR185" i="10"/>
  <c r="AR186" i="10"/>
  <c r="AE46" i="6"/>
  <c r="AD138" i="6"/>
  <c r="AD139" i="6"/>
  <c r="AD140" i="6"/>
  <c r="AD141" i="6"/>
  <c r="AH206" i="11"/>
  <c r="AH205" i="11"/>
  <c r="AC136" i="11"/>
  <c r="AC135" i="11"/>
  <c r="AJ205" i="7"/>
  <c r="AJ206" i="7"/>
  <c r="AA19" i="26"/>
  <c r="S36" i="35"/>
  <c r="Q36" i="33"/>
  <c r="S36" i="32"/>
  <c r="L19" i="26"/>
  <c r="G19" i="26"/>
  <c r="L38" i="31"/>
  <c r="T38" i="31"/>
  <c r="Q37" i="31"/>
  <c r="R37" i="31"/>
  <c r="AH38" i="31"/>
  <c r="AE38" i="31"/>
  <c r="Z38" i="31"/>
  <c r="AK38" i="31"/>
  <c r="Y38" i="31"/>
  <c r="AA38" i="31"/>
  <c r="AF38" i="31"/>
  <c r="AJ38" i="31"/>
  <c r="AI38" i="31"/>
  <c r="AB38" i="31"/>
  <c r="X38" i="31"/>
  <c r="AC38" i="31"/>
  <c r="AG38" i="31"/>
  <c r="AL38" i="31"/>
  <c r="AD38" i="31"/>
  <c r="AB30" i="30"/>
  <c r="AF109" i="11"/>
  <c r="AF110" i="11"/>
  <c r="AF111" i="11"/>
  <c r="AF112" i="11"/>
  <c r="AG40" i="11"/>
  <c r="AE42" i="10"/>
  <c r="AD114" i="10"/>
  <c r="AD115" i="10"/>
  <c r="AD116" i="10"/>
  <c r="AD117" i="10"/>
  <c r="AD89" i="10"/>
  <c r="AD90" i="10"/>
  <c r="AD91" i="10"/>
  <c r="AD92" i="10"/>
  <c r="AE32" i="10"/>
  <c r="AE119" i="10"/>
  <c r="AE120" i="10"/>
  <c r="AE121" i="10"/>
  <c r="AE122" i="10"/>
  <c r="AF44" i="10"/>
  <c r="AD124" i="10"/>
  <c r="AD125" i="10"/>
  <c r="AD126" i="10"/>
  <c r="AD127" i="10"/>
  <c r="AE46" i="10"/>
  <c r="AD84" i="10"/>
  <c r="AD85" i="10"/>
  <c r="AD86" i="10"/>
  <c r="AD87" i="10"/>
  <c r="AE30" i="10"/>
  <c r="AE38" i="10"/>
  <c r="AD104" i="10"/>
  <c r="AD105" i="10"/>
  <c r="AD106" i="10"/>
  <c r="AD107" i="10"/>
  <c r="AD109" i="10"/>
  <c r="AD110" i="10"/>
  <c r="AD111" i="10"/>
  <c r="AD112" i="10"/>
  <c r="AE40" i="10"/>
  <c r="AD139" i="10"/>
  <c r="AD140" i="10"/>
  <c r="AD141" i="10"/>
  <c r="AD142" i="10"/>
  <c r="AE52" i="10"/>
  <c r="AE48" i="10"/>
  <c r="AD129" i="10"/>
  <c r="AD130" i="10"/>
  <c r="AD131" i="10"/>
  <c r="AD132" i="10"/>
  <c r="AD94" i="10"/>
  <c r="AD95" i="10"/>
  <c r="AD96" i="10"/>
  <c r="AD97" i="10"/>
  <c r="AE34" i="10"/>
  <c r="AD134" i="22"/>
  <c r="AD135" i="22"/>
  <c r="AD136" i="22"/>
  <c r="AD137" i="22"/>
  <c r="AE50" i="22"/>
  <c r="AE139" i="22"/>
  <c r="AE140" i="22"/>
  <c r="AE141" i="22"/>
  <c r="AE142" i="22"/>
  <c r="AF52" i="22"/>
  <c r="AE42" i="22"/>
  <c r="AD114" i="22"/>
  <c r="AD115" i="22"/>
  <c r="AD116" i="22"/>
  <c r="AD117" i="22"/>
  <c r="AE124" i="22"/>
  <c r="AE125" i="22"/>
  <c r="AE126" i="22"/>
  <c r="AE127" i="22"/>
  <c r="AF46" i="22"/>
  <c r="AE134" i="8"/>
  <c r="AE135" i="8"/>
  <c r="AE136" i="8"/>
  <c r="AE137" i="8"/>
  <c r="AF50" i="8"/>
  <c r="AD124" i="8"/>
  <c r="AD125" i="8"/>
  <c r="AD126" i="8"/>
  <c r="AD127" i="8"/>
  <c r="AE46" i="8"/>
  <c r="BG142" i="11"/>
  <c r="AG192" i="8"/>
  <c r="AX197" i="8"/>
  <c r="AT182" i="8"/>
  <c r="AB202" i="9"/>
  <c r="AX197" i="22"/>
  <c r="AY212" i="22"/>
  <c r="AV162" i="22"/>
  <c r="AT202" i="8"/>
  <c r="BA152" i="10"/>
  <c r="Y30" i="30"/>
  <c r="BF152" i="2"/>
  <c r="BE31" i="2"/>
  <c r="U31" i="2"/>
  <c r="M38" i="32"/>
  <c r="V152" i="2"/>
  <c r="AW182" i="22"/>
  <c r="AT190" i="11"/>
  <c r="AT191" i="11"/>
  <c r="AZ194" i="22"/>
  <c r="BA74" i="22"/>
  <c r="BF48" i="11"/>
  <c r="BE129" i="11"/>
  <c r="BE181" i="7"/>
  <c r="BE180" i="7"/>
  <c r="BA209" i="22"/>
  <c r="BB80" i="22"/>
  <c r="AY182" i="9"/>
  <c r="AZ207" i="10"/>
  <c r="BD182" i="7"/>
  <c r="BD211" i="9"/>
  <c r="BD210" i="9"/>
  <c r="BA74" i="8"/>
  <c r="AZ194" i="8"/>
  <c r="AY66" i="8"/>
  <c r="AX174" i="8"/>
  <c r="BB204" i="10"/>
  <c r="BC78" i="10"/>
  <c r="BN172" i="7"/>
  <c r="BB209" i="7"/>
  <c r="BC80" i="7"/>
  <c r="AW210" i="11"/>
  <c r="AW211" i="11"/>
  <c r="BI190" i="10"/>
  <c r="BI191" i="10"/>
  <c r="BC212" i="9"/>
  <c r="BL87" i="22"/>
  <c r="AV177" i="8"/>
  <c r="AR162" i="8"/>
  <c r="BA187" i="9"/>
  <c r="AW76" i="8"/>
  <c r="AV199" i="8"/>
  <c r="AD89" i="22"/>
  <c r="AD90" i="22"/>
  <c r="AD91" i="22"/>
  <c r="AD92" i="22"/>
  <c r="AE32" i="22"/>
  <c r="AD31" i="2"/>
  <c r="M38" i="33"/>
  <c r="AE152" i="2"/>
  <c r="AM31" i="2"/>
  <c r="M38" i="34"/>
  <c r="AN152" i="2"/>
  <c r="AV72" i="11"/>
  <c r="AU189" i="11"/>
  <c r="AY195" i="22"/>
  <c r="AY196" i="22"/>
  <c r="BB151" i="10"/>
  <c r="BB150" i="10"/>
  <c r="BG68" i="7"/>
  <c r="BF179" i="7"/>
  <c r="AZ194" i="10"/>
  <c r="BA74" i="10"/>
  <c r="AX181" i="22"/>
  <c r="AX180" i="22"/>
  <c r="AH190" i="8"/>
  <c r="AH191" i="8"/>
  <c r="AD199" i="9"/>
  <c r="AE76" i="9"/>
  <c r="BE209" i="9"/>
  <c r="BF80" i="9"/>
  <c r="AD189" i="9"/>
  <c r="AE72" i="9"/>
  <c r="AY80" i="11"/>
  <c r="AX209" i="11"/>
  <c r="AV175" i="11"/>
  <c r="AV176" i="11"/>
  <c r="BA179" i="9"/>
  <c r="BB68" i="9"/>
  <c r="BJ65" i="11"/>
  <c r="BK232" i="11"/>
  <c r="Z30" i="30"/>
  <c r="C31" i="2"/>
  <c r="M39" i="30"/>
  <c r="D152" i="2"/>
  <c r="AV31" i="2"/>
  <c r="M38" i="35"/>
  <c r="AW152" i="2"/>
  <c r="BH140" i="11"/>
  <c r="BH141" i="11"/>
  <c r="BD56" i="10"/>
  <c r="BC149" i="10"/>
  <c r="BB171" i="22"/>
  <c r="BB170" i="22"/>
  <c r="AX159" i="22"/>
  <c r="AY60" i="22"/>
  <c r="AY195" i="10"/>
  <c r="AY196" i="10"/>
  <c r="BC184" i="9"/>
  <c r="BD70" i="9"/>
  <c r="AZ68" i="22"/>
  <c r="AY179" i="22"/>
  <c r="AS192" i="11"/>
  <c r="AU180" i="8"/>
  <c r="AU181" i="8"/>
  <c r="BO171" i="7"/>
  <c r="BO170" i="7"/>
  <c r="AJ72" i="8"/>
  <c r="AI189" i="8"/>
  <c r="BA172" i="22"/>
  <c r="AC200" i="9"/>
  <c r="AC201" i="9"/>
  <c r="AX197" i="10"/>
  <c r="AX195" i="7"/>
  <c r="AX196" i="7"/>
  <c r="BO30" i="22"/>
  <c r="BN84" i="22"/>
  <c r="AX185" i="7"/>
  <c r="AX186" i="7"/>
  <c r="AC190" i="9"/>
  <c r="AC191" i="9"/>
  <c r="AU60" i="8"/>
  <c r="AT159" i="8"/>
  <c r="AX66" i="11"/>
  <c r="AW174" i="11"/>
  <c r="AW197" i="7"/>
  <c r="A34" i="2"/>
  <c r="A154" i="2"/>
  <c r="BW154" i="2"/>
  <c r="BN63" i="11"/>
  <c r="BO231" i="11"/>
  <c r="AZ181" i="9"/>
  <c r="AZ180" i="9"/>
  <c r="X30" i="30"/>
  <c r="M152" i="2"/>
  <c r="L31" i="2"/>
  <c r="M38" i="31"/>
  <c r="BN31" i="2"/>
  <c r="M38" i="37"/>
  <c r="BO152" i="2"/>
  <c r="BJ52" i="11"/>
  <c r="BI139" i="11"/>
  <c r="BD130" i="11"/>
  <c r="BD131" i="11"/>
  <c r="AZ211" i="22"/>
  <c r="AZ210" i="22"/>
  <c r="BC169" i="22"/>
  <c r="BD64" i="22"/>
  <c r="AW160" i="22"/>
  <c r="AW161" i="22"/>
  <c r="BB186" i="9"/>
  <c r="BB185" i="9"/>
  <c r="AW68" i="8"/>
  <c r="AV179" i="8"/>
  <c r="BP169" i="7"/>
  <c r="BQ64" i="7"/>
  <c r="BO69" i="11"/>
  <c r="BP234" i="11"/>
  <c r="AY195" i="8"/>
  <c r="AY196" i="8"/>
  <c r="AZ74" i="7"/>
  <c r="AY194" i="7"/>
  <c r="BM86" i="22"/>
  <c r="BM85" i="22"/>
  <c r="AZ70" i="7"/>
  <c r="AY184" i="7"/>
  <c r="AW175" i="8"/>
  <c r="AW176" i="8"/>
  <c r="BA205" i="10"/>
  <c r="BA206" i="10"/>
  <c r="AS160" i="8"/>
  <c r="AS161" i="8"/>
  <c r="BA210" i="7"/>
  <c r="BA211" i="7"/>
  <c r="BK72" i="10"/>
  <c r="BJ189" i="10"/>
  <c r="BB65" i="8"/>
  <c r="BC232" i="8"/>
  <c r="C153" i="2"/>
  <c r="AM153" i="2"/>
  <c r="U153" i="2"/>
  <c r="AV153" i="2"/>
  <c r="AD153" i="2"/>
  <c r="L153" i="2"/>
  <c r="BN153" i="2"/>
  <c r="BE153" i="2"/>
  <c r="AZ73" i="7"/>
  <c r="BA236" i="7"/>
  <c r="AU177" i="11"/>
  <c r="AU201" i="8"/>
  <c r="AU200" i="8"/>
  <c r="AA30" i="30"/>
  <c r="J49" i="30"/>
  <c r="W31" i="39"/>
  <c r="H48" i="30"/>
  <c r="AJ167" i="7"/>
  <c r="AD119" i="8"/>
  <c r="AD120" i="8"/>
  <c r="AD121" i="8"/>
  <c r="AD122" i="8"/>
  <c r="AE44" i="8"/>
  <c r="AE42" i="8"/>
  <c r="AD114" i="8"/>
  <c r="AD115" i="8"/>
  <c r="AD116" i="8"/>
  <c r="AD117" i="8"/>
  <c r="AI94" i="8"/>
  <c r="AI95" i="8"/>
  <c r="AI96" i="8"/>
  <c r="AI97" i="8"/>
  <c r="AJ34" i="8"/>
  <c r="AM62" i="7"/>
  <c r="AL164" i="7"/>
  <c r="AD89" i="11"/>
  <c r="AD90" i="11"/>
  <c r="AD91" i="11"/>
  <c r="AD92" i="11"/>
  <c r="AE32" i="11"/>
  <c r="AK166" i="7"/>
  <c r="AK165" i="7"/>
  <c r="AE84" i="9"/>
  <c r="AE85" i="9"/>
  <c r="AE86" i="9"/>
  <c r="AE87" i="9"/>
  <c r="AF30" i="9"/>
  <c r="AE52" i="9"/>
  <c r="AD139" i="9"/>
  <c r="AD140" i="9"/>
  <c r="AD141" i="9"/>
  <c r="AD142" i="9"/>
  <c r="AG30" i="1"/>
  <c r="AF86" i="1"/>
  <c r="AF87" i="1"/>
  <c r="AF88" i="1"/>
  <c r="AF89" i="1"/>
  <c r="AD141" i="1"/>
  <c r="AD142" i="1"/>
  <c r="AD143" i="1"/>
  <c r="AD144" i="1"/>
  <c r="AE52" i="1"/>
  <c r="AD96" i="1"/>
  <c r="AD97" i="1"/>
  <c r="AD98" i="1"/>
  <c r="AD99" i="1"/>
  <c r="AE34" i="1"/>
  <c r="AE48" i="1"/>
  <c r="AD131" i="1"/>
  <c r="AD132" i="1"/>
  <c r="AD133" i="1"/>
  <c r="AD134" i="1"/>
  <c r="AE58" i="1"/>
  <c r="AD156" i="1"/>
  <c r="AD157" i="1"/>
  <c r="AD158" i="1"/>
  <c r="AD159" i="1"/>
  <c r="AC172" i="1"/>
  <c r="AC173" i="1"/>
  <c r="AC174" i="1"/>
  <c r="AF91" i="1"/>
  <c r="AF92" i="1"/>
  <c r="AF93" i="1"/>
  <c r="AF94" i="1"/>
  <c r="AG32" i="1"/>
  <c r="AD219" i="1"/>
  <c r="AD181" i="1"/>
  <c r="AD182" i="1"/>
  <c r="AD183" i="1"/>
  <c r="AD184" i="1"/>
  <c r="AE68" i="1"/>
  <c r="AD171" i="1"/>
  <c r="AD172" i="1"/>
  <c r="AD173" i="1"/>
  <c r="AD174" i="1"/>
  <c r="AE64" i="1"/>
  <c r="AE50" i="1"/>
  <c r="AD136" i="1"/>
  <c r="AD137" i="1"/>
  <c r="AD138" i="1"/>
  <c r="AD139" i="1"/>
  <c r="AG37" i="32"/>
  <c r="Z37" i="32"/>
  <c r="AC37" i="32"/>
  <c r="AJ37" i="32"/>
  <c r="Y37" i="32"/>
  <c r="X37" i="32"/>
  <c r="AF37" i="32"/>
  <c r="AB37" i="32"/>
  <c r="AD37" i="32"/>
  <c r="AI37" i="32"/>
  <c r="AK37" i="32"/>
  <c r="AH37" i="32"/>
  <c r="AA37" i="32"/>
  <c r="AE37" i="32"/>
  <c r="U37" i="35"/>
  <c r="W37" i="35"/>
  <c r="V37" i="35"/>
  <c r="AF44" i="22"/>
  <c r="AE119" i="22"/>
  <c r="AE120" i="22"/>
  <c r="AE121" i="22"/>
  <c r="AE122" i="22"/>
  <c r="AE34" i="6"/>
  <c r="AD108" i="6"/>
  <c r="AD109" i="6"/>
  <c r="AD110" i="6"/>
  <c r="AD111" i="6"/>
  <c r="AD113" i="6"/>
  <c r="AD114" i="6"/>
  <c r="AD115" i="6"/>
  <c r="AD116" i="6"/>
  <c r="AE36" i="6"/>
  <c r="AE44" i="6"/>
  <c r="AD133" i="6"/>
  <c r="AD134" i="6"/>
  <c r="AD135" i="6"/>
  <c r="AD136" i="6"/>
  <c r="AE128" i="6"/>
  <c r="AE129" i="6"/>
  <c r="AE130" i="6"/>
  <c r="AE131" i="6"/>
  <c r="AF42" i="6"/>
  <c r="AE24" i="6"/>
  <c r="AD83" i="6"/>
  <c r="AD84" i="6"/>
  <c r="AD85" i="6"/>
  <c r="AD86" i="6"/>
  <c r="AF30" i="6"/>
  <c r="AE98" i="6"/>
  <c r="AE99" i="6"/>
  <c r="AE100" i="6"/>
  <c r="AE101" i="6"/>
  <c r="AD93" i="6"/>
  <c r="AD94" i="6"/>
  <c r="AD95" i="6"/>
  <c r="AD96" i="6"/>
  <c r="AE28" i="6"/>
  <c r="AE22" i="6"/>
  <c r="AD78" i="6"/>
  <c r="AD79" i="6"/>
  <c r="AD80" i="6"/>
  <c r="AD81" i="6"/>
  <c r="AD103" i="6"/>
  <c r="AD104" i="6"/>
  <c r="AD105" i="6"/>
  <c r="AD106" i="6"/>
  <c r="AE32" i="6"/>
  <c r="AD88" i="6"/>
  <c r="AE26" i="6"/>
  <c r="AD123" i="6"/>
  <c r="AD124" i="6"/>
  <c r="AD125" i="6"/>
  <c r="AD126" i="6"/>
  <c r="AE40" i="6"/>
  <c r="AB209" i="1"/>
  <c r="AE42" i="1"/>
  <c r="AD116" i="1"/>
  <c r="AE218" i="1"/>
  <c r="AE217" i="1"/>
  <c r="AF212" i="1"/>
  <c r="AF213" i="1"/>
  <c r="AF214" i="1"/>
  <c r="AG82" i="1"/>
  <c r="AF216" i="1"/>
  <c r="AH80" i="1"/>
  <c r="AG211" i="1"/>
  <c r="AG212" i="1"/>
  <c r="AG213" i="1"/>
  <c r="AG214" i="1"/>
  <c r="AD104" i="1"/>
  <c r="AB149" i="1"/>
  <c r="AC102" i="10"/>
  <c r="AB199" i="1"/>
  <c r="AF36" i="8"/>
  <c r="AE99" i="8"/>
  <c r="AE100" i="8"/>
  <c r="AE101" i="8"/>
  <c r="AE102" i="8"/>
  <c r="AI38" i="8"/>
  <c r="AH104" i="8"/>
  <c r="AH105" i="8"/>
  <c r="AH106" i="8"/>
  <c r="AH107" i="8"/>
  <c r="AF44" i="11"/>
  <c r="AE119" i="11"/>
  <c r="AD120" i="11"/>
  <c r="AD121" i="11"/>
  <c r="AD122" i="11"/>
  <c r="AF38" i="22"/>
  <c r="AE104" i="22"/>
  <c r="AE105" i="22"/>
  <c r="AE106" i="22"/>
  <c r="AE107" i="22"/>
  <c r="AD129" i="22"/>
  <c r="AE48" i="22"/>
  <c r="AE34" i="22"/>
  <c r="AD94" i="22"/>
  <c r="AD95" i="22"/>
  <c r="AD96" i="22"/>
  <c r="AD97" i="22"/>
  <c r="AC95" i="7"/>
  <c r="AC96" i="7"/>
  <c r="AC97" i="7"/>
  <c r="AE84" i="7"/>
  <c r="AE85" i="7"/>
  <c r="AE86" i="7"/>
  <c r="AE87" i="7"/>
  <c r="AF30" i="7"/>
  <c r="AD94" i="7"/>
  <c r="AE34" i="7"/>
  <c r="AG109" i="7"/>
  <c r="AG110" i="7"/>
  <c r="AG111" i="7"/>
  <c r="AG112" i="7"/>
  <c r="AH40" i="7"/>
  <c r="AE104" i="7"/>
  <c r="AF38" i="7"/>
  <c r="AF36" i="7"/>
  <c r="AE99" i="7"/>
  <c r="AE100" i="7"/>
  <c r="AE101" i="7"/>
  <c r="AE102" i="7"/>
  <c r="AD114" i="7"/>
  <c r="AD115" i="7"/>
  <c r="AD116" i="7"/>
  <c r="AD117" i="7"/>
  <c r="AE42" i="7"/>
  <c r="AG118" i="6"/>
  <c r="AG119" i="6"/>
  <c r="AG120" i="6"/>
  <c r="AG121" i="6"/>
  <c r="AH38" i="6"/>
  <c r="AI54" i="9"/>
  <c r="AH144" i="9"/>
  <c r="AH145" i="9"/>
  <c r="AH146" i="9"/>
  <c r="AH147" i="9"/>
  <c r="AD124" i="9"/>
  <c r="AD125" i="9"/>
  <c r="AD126" i="9"/>
  <c r="AD127" i="9"/>
  <c r="AE46" i="9"/>
  <c r="AE34" i="9"/>
  <c r="AD94" i="9"/>
  <c r="AD95" i="9"/>
  <c r="AD96" i="9"/>
  <c r="AD97" i="9"/>
  <c r="AD42" i="9"/>
  <c r="AC114" i="9"/>
  <c r="AC115" i="9"/>
  <c r="AC116" i="9"/>
  <c r="AC117" i="9"/>
  <c r="AH38" i="9"/>
  <c r="AG104" i="9"/>
  <c r="AG105" i="9"/>
  <c r="AG106" i="9"/>
  <c r="AG107" i="9"/>
  <c r="AE134" i="9"/>
  <c r="AE135" i="9"/>
  <c r="AE136" i="9"/>
  <c r="AE137" i="9"/>
  <c r="AF50" i="9"/>
  <c r="AD135" i="9"/>
  <c r="AD136" i="9"/>
  <c r="AD137" i="9"/>
  <c r="AE48" i="9"/>
  <c r="AD129" i="9"/>
  <c r="AD130" i="9"/>
  <c r="AD131" i="9"/>
  <c r="AD132" i="9"/>
  <c r="AG32" i="9"/>
  <c r="AF89" i="9"/>
  <c r="AF90" i="9"/>
  <c r="AF91" i="9"/>
  <c r="AF92" i="9"/>
  <c r="AE44" i="9"/>
  <c r="AD119" i="9"/>
  <c r="AD120" i="9"/>
  <c r="AD121" i="9"/>
  <c r="AD122" i="9"/>
  <c r="AC150" i="9"/>
  <c r="AC151" i="9"/>
  <c r="AC152" i="9"/>
  <c r="AD149" i="9"/>
  <c r="AD150" i="9"/>
  <c r="AD151" i="9"/>
  <c r="AD152" i="9"/>
  <c r="AE56" i="9"/>
  <c r="AE177" i="1"/>
  <c r="AE178" i="1"/>
  <c r="AF60" i="1"/>
  <c r="AE161" i="1"/>
  <c r="AE162" i="1"/>
  <c r="AE163" i="1"/>
  <c r="AE164" i="1"/>
  <c r="AF72" i="1"/>
  <c r="AE191" i="1"/>
  <c r="AG66" i="1"/>
  <c r="AF176" i="1"/>
  <c r="AF177" i="1"/>
  <c r="AF178" i="1"/>
  <c r="AF179" i="1"/>
  <c r="AC207" i="1"/>
  <c r="AC208" i="1"/>
  <c r="AG76" i="1"/>
  <c r="AF201" i="1"/>
  <c r="AF202" i="1"/>
  <c r="AF203" i="1"/>
  <c r="AF204" i="1"/>
  <c r="AE70" i="1"/>
  <c r="AD186" i="1"/>
  <c r="AD187" i="1"/>
  <c r="AD188" i="1"/>
  <c r="AD189" i="1"/>
  <c r="AE74" i="1"/>
  <c r="AD196" i="1"/>
  <c r="AE78" i="1"/>
  <c r="AD206" i="1"/>
  <c r="AD207" i="1"/>
  <c r="AD208" i="1"/>
  <c r="AD209" i="1"/>
  <c r="AK56" i="1"/>
  <c r="AJ151" i="1"/>
  <c r="AJ152" i="1"/>
  <c r="AJ153" i="1"/>
  <c r="AJ154" i="1"/>
  <c r="AJ114" i="11"/>
  <c r="AK42" i="11"/>
  <c r="AI115" i="11"/>
  <c r="AI116" i="11"/>
  <c r="AI117" i="11"/>
  <c r="V15" i="26"/>
  <c r="S32" i="34"/>
  <c r="S33" i="34"/>
  <c r="V16" i="26"/>
  <c r="T34" i="34"/>
  <c r="AH34" i="34"/>
  <c r="AA34" i="34"/>
  <c r="AE34" i="34"/>
  <c r="Y34" i="34"/>
  <c r="AC34" i="34"/>
  <c r="AG34" i="34"/>
  <c r="X34" i="34"/>
  <c r="Z34" i="34"/>
  <c r="AB34" i="34"/>
  <c r="AD34" i="34"/>
  <c r="AF34" i="34"/>
  <c r="AC107" i="11"/>
  <c r="AE104" i="11"/>
  <c r="AF38" i="11"/>
  <c r="AD105" i="11"/>
  <c r="AD106" i="11"/>
  <c r="AH84" i="11"/>
  <c r="AI30" i="11"/>
  <c r="AE100" i="11"/>
  <c r="AE101" i="11"/>
  <c r="AE102" i="11"/>
  <c r="AG85" i="11"/>
  <c r="AG86" i="11"/>
  <c r="AG87" i="11"/>
  <c r="AF99" i="11"/>
  <c r="AG36" i="11"/>
  <c r="AD135" i="10"/>
  <c r="AD136" i="10"/>
  <c r="AD137" i="10"/>
  <c r="AF50" i="10"/>
  <c r="AE134" i="10"/>
  <c r="AF36" i="10"/>
  <c r="AE99" i="10"/>
  <c r="AD100" i="10"/>
  <c r="AD101" i="10"/>
  <c r="AD102" i="10"/>
  <c r="AC155" i="22"/>
  <c r="AC156" i="22"/>
  <c r="AC157" i="22"/>
  <c r="AD154" i="22"/>
  <c r="AE58" i="22"/>
  <c r="AF54" i="22"/>
  <c r="AE144" i="22"/>
  <c r="AE109" i="22"/>
  <c r="AF40" i="22"/>
  <c r="AD110" i="22"/>
  <c r="AD111" i="22"/>
  <c r="AD112" i="22"/>
  <c r="AE99" i="22"/>
  <c r="AF36" i="22"/>
  <c r="AD145" i="22"/>
  <c r="AD146" i="22"/>
  <c r="AD100" i="22"/>
  <c r="AD101" i="22"/>
  <c r="AD102" i="22"/>
  <c r="AF150" i="8"/>
  <c r="AF151" i="8"/>
  <c r="AF152" i="8"/>
  <c r="AG149" i="8"/>
  <c r="AH56" i="8"/>
  <c r="AF54" i="8"/>
  <c r="AE144" i="8"/>
  <c r="AD145" i="8"/>
  <c r="AD146" i="8"/>
  <c r="AD147" i="8"/>
  <c r="AC90" i="8"/>
  <c r="AC91" i="8"/>
  <c r="AC92" i="8"/>
  <c r="AE52" i="8"/>
  <c r="AD139" i="8"/>
  <c r="AD30" i="8"/>
  <c r="AC84" i="8"/>
  <c r="AC110" i="8"/>
  <c r="AC111" i="8"/>
  <c r="AC112" i="8"/>
  <c r="AC140" i="8"/>
  <c r="AC141" i="8"/>
  <c r="AC142" i="8"/>
  <c r="AC130" i="8"/>
  <c r="AC131" i="8"/>
  <c r="AC132" i="8"/>
  <c r="AE48" i="8"/>
  <c r="AD129" i="8"/>
  <c r="AE32" i="8"/>
  <c r="AD89" i="8"/>
  <c r="AB85" i="8"/>
  <c r="AB86" i="8"/>
  <c r="AB87" i="8"/>
  <c r="AD109" i="8"/>
  <c r="AE40" i="8"/>
  <c r="AC145" i="7"/>
  <c r="AC146" i="7"/>
  <c r="AC147" i="7"/>
  <c r="AE54" i="7"/>
  <c r="AD144" i="7"/>
  <c r="AD139" i="7"/>
  <c r="AE52" i="7"/>
  <c r="AC140" i="7"/>
  <c r="AC141" i="7"/>
  <c r="AC142" i="7"/>
  <c r="AD134" i="7"/>
  <c r="AE50" i="7"/>
  <c r="AC135" i="7"/>
  <c r="AC136" i="7"/>
  <c r="AC137" i="7"/>
  <c r="AL32" i="7"/>
  <c r="AK89" i="7"/>
  <c r="AG46" i="7"/>
  <c r="AF124" i="7"/>
  <c r="AH44" i="7"/>
  <c r="AG119" i="7"/>
  <c r="AJ90" i="7"/>
  <c r="AJ91" i="7"/>
  <c r="AJ92" i="7"/>
  <c r="AE125" i="7"/>
  <c r="AE126" i="7"/>
  <c r="AE127" i="7"/>
  <c r="AF120" i="7"/>
  <c r="AF121" i="7"/>
  <c r="AF122" i="7"/>
  <c r="AD163" i="6"/>
  <c r="AE56" i="6"/>
  <c r="AC164" i="6"/>
  <c r="AC165" i="6"/>
  <c r="AC166" i="6"/>
  <c r="AC159" i="6"/>
  <c r="AC160" i="6"/>
  <c r="AC161" i="6"/>
  <c r="AE54" i="6"/>
  <c r="AD158" i="6"/>
  <c r="AC154" i="6"/>
  <c r="AC155" i="6"/>
  <c r="AC156" i="6"/>
  <c r="AD153" i="6"/>
  <c r="AE52" i="6"/>
  <c r="AC149" i="6"/>
  <c r="AC150" i="6"/>
  <c r="AC151" i="6"/>
  <c r="AE50" i="6"/>
  <c r="AD148" i="6"/>
  <c r="AC144" i="6"/>
  <c r="AC145" i="6"/>
  <c r="AC146" i="6"/>
  <c r="AD143" i="6"/>
  <c r="AE48" i="6"/>
  <c r="AD160" i="9"/>
  <c r="AD161" i="9"/>
  <c r="AD162" i="9"/>
  <c r="AF60" i="9"/>
  <c r="AE159" i="9"/>
  <c r="AD154" i="9"/>
  <c r="AE58" i="9"/>
  <c r="AC155" i="9"/>
  <c r="AC156" i="9"/>
  <c r="AC157" i="9"/>
  <c r="AF36" i="9"/>
  <c r="AE99" i="9"/>
  <c r="AE109" i="9"/>
  <c r="AF40" i="9"/>
  <c r="AD110" i="9"/>
  <c r="AD111" i="9"/>
  <c r="AD112" i="9"/>
  <c r="AD100" i="9"/>
  <c r="AD101" i="9"/>
  <c r="AD102" i="9"/>
  <c r="AC167" i="1"/>
  <c r="AC168" i="1"/>
  <c r="AC169" i="1"/>
  <c r="AE62" i="1"/>
  <c r="AD166" i="1"/>
  <c r="AC127" i="1"/>
  <c r="AC128" i="1"/>
  <c r="AC129" i="1"/>
  <c r="AC147" i="1"/>
  <c r="AC148" i="1"/>
  <c r="AC149" i="1"/>
  <c r="AD146" i="1"/>
  <c r="AE54" i="1"/>
  <c r="AE46" i="1"/>
  <c r="AD126" i="1"/>
  <c r="AE122" i="1"/>
  <c r="AE123" i="1"/>
  <c r="AE124" i="1"/>
  <c r="AG44" i="1"/>
  <c r="AF121" i="1"/>
  <c r="AE102" i="1"/>
  <c r="AE103" i="1"/>
  <c r="AE104" i="1"/>
  <c r="AF101" i="1"/>
  <c r="AG36" i="1"/>
  <c r="AG40" i="1"/>
  <c r="AF111" i="1"/>
  <c r="AD106" i="1"/>
  <c r="AE38" i="1"/>
  <c r="AE112" i="1"/>
  <c r="AE113" i="1"/>
  <c r="AE114" i="1"/>
  <c r="AC107" i="1"/>
  <c r="AC108" i="1"/>
  <c r="AC109" i="1"/>
  <c r="U37" i="37"/>
  <c r="W37" i="37"/>
  <c r="V37" i="37"/>
  <c r="P37" i="37"/>
  <c r="Q37" i="37"/>
  <c r="U37" i="33"/>
  <c r="AE129" i="7"/>
  <c r="AE130" i="7"/>
  <c r="AE131" i="7"/>
  <c r="AE132" i="7"/>
  <c r="AF48" i="7"/>
  <c r="AJ36" i="36"/>
  <c r="AB36" i="36"/>
  <c r="AG36" i="36"/>
  <c r="X36" i="36"/>
  <c r="AD36" i="36"/>
  <c r="AA36" i="36"/>
  <c r="AC36" i="36"/>
  <c r="AE36" i="36"/>
  <c r="AI36" i="36"/>
  <c r="AF36" i="36"/>
  <c r="Y36" i="36"/>
  <c r="AH36" i="36"/>
  <c r="Z36" i="36"/>
  <c r="L36" i="36"/>
  <c r="N36" i="36"/>
  <c r="O36" i="36"/>
  <c r="P36" i="36"/>
  <c r="Q36" i="36"/>
  <c r="R35" i="36"/>
  <c r="T36" i="36"/>
  <c r="T37" i="32"/>
  <c r="BJ197" i="9"/>
  <c r="BK196" i="9"/>
  <c r="BK195" i="9"/>
  <c r="BX154" i="2"/>
  <c r="BW33" i="2"/>
  <c r="M40" i="41"/>
  <c r="AZ59" i="11"/>
  <c r="BA229" i="11"/>
  <c r="BL194" i="9"/>
  <c r="BM74" i="9"/>
  <c r="M38" i="36"/>
  <c r="CF31" i="2"/>
  <c r="R36" i="33"/>
  <c r="S36" i="33"/>
  <c r="R35" i="33"/>
  <c r="T30" i="41"/>
  <c r="Z30" i="41"/>
  <c r="AD30" i="41"/>
  <c r="Y30" i="41"/>
  <c r="AC30" i="41"/>
  <c r="AA30" i="41"/>
  <c r="X30" i="41"/>
  <c r="AB30" i="41"/>
  <c r="BD177" i="9"/>
  <c r="AC202" i="10"/>
  <c r="AL172" i="9"/>
  <c r="AC202" i="11"/>
  <c r="AC182" i="10"/>
  <c r="AC177" i="7"/>
  <c r="BC212" i="10"/>
  <c r="AJ207" i="7"/>
  <c r="AR187" i="10"/>
  <c r="AP157" i="8"/>
  <c r="BH142" i="11"/>
  <c r="AW147" i="10"/>
  <c r="AS197" i="11"/>
  <c r="AZ177" i="22"/>
  <c r="AN177" i="10"/>
  <c r="AF157" i="7"/>
  <c r="AC207" i="8"/>
  <c r="AX187" i="7"/>
  <c r="AC202" i="22"/>
  <c r="AZ280" i="40"/>
  <c r="AZ281" i="40"/>
  <c r="AZ282" i="40"/>
  <c r="AU264" i="40"/>
  <c r="AV100" i="40"/>
  <c r="AU249" i="40"/>
  <c r="AV94" i="40"/>
  <c r="AU289" i="40"/>
  <c r="AV110" i="40"/>
  <c r="AT265" i="40"/>
  <c r="AT266" i="40"/>
  <c r="AT267" i="40"/>
  <c r="AT250" i="40"/>
  <c r="AT251" i="40"/>
  <c r="AT252" i="40"/>
  <c r="AU244" i="40"/>
  <c r="AV92" i="40"/>
  <c r="AU269" i="40"/>
  <c r="AV102" i="40"/>
  <c r="AU284" i="40"/>
  <c r="AV108" i="40"/>
  <c r="AT285" i="40"/>
  <c r="AT286" i="40"/>
  <c r="AT287" i="40"/>
  <c r="AT245" i="40"/>
  <c r="AT246" i="40"/>
  <c r="AT247" i="40"/>
  <c r="AT270" i="40"/>
  <c r="AT271" i="40"/>
  <c r="AT272" i="40"/>
  <c r="BA106" i="40"/>
  <c r="BA279" i="40"/>
  <c r="BA280" i="40"/>
  <c r="BA281" i="40"/>
  <c r="BA282" i="40"/>
  <c r="BB96" i="40"/>
  <c r="BB254" i="40"/>
  <c r="BB104" i="40"/>
  <c r="BB274" i="40"/>
  <c r="BC98" i="40"/>
  <c r="BC259" i="40"/>
  <c r="AX90" i="40"/>
  <c r="AU165" i="40"/>
  <c r="AU166" i="40"/>
  <c r="AU167" i="40"/>
  <c r="AV195" i="40"/>
  <c r="AV196" i="40"/>
  <c r="AW88" i="40"/>
  <c r="AV234" i="40"/>
  <c r="AW80" i="40"/>
  <c r="AV214" i="40"/>
  <c r="AV48" i="40"/>
  <c r="AU134" i="40"/>
  <c r="AV42" i="40"/>
  <c r="AU119" i="40"/>
  <c r="AW40" i="40"/>
  <c r="AV114" i="40"/>
  <c r="AW76" i="40"/>
  <c r="AV204" i="40"/>
  <c r="AT130" i="40"/>
  <c r="AT131" i="40"/>
  <c r="AT132" i="40"/>
  <c r="AV58" i="40"/>
  <c r="AU159" i="40"/>
  <c r="AT155" i="40"/>
  <c r="AT156" i="40"/>
  <c r="AT157" i="40"/>
  <c r="AT125" i="40"/>
  <c r="AT126" i="40"/>
  <c r="AT127" i="40"/>
  <c r="AT200" i="40"/>
  <c r="AT201" i="40"/>
  <c r="AW66" i="40"/>
  <c r="AV179" i="40"/>
  <c r="AT190" i="40"/>
  <c r="AT191" i="40"/>
  <c r="AT192" i="40"/>
  <c r="AX72" i="40"/>
  <c r="AW194" i="40"/>
  <c r="AT240" i="40"/>
  <c r="AT241" i="40"/>
  <c r="AS172" i="40"/>
  <c r="AU197" i="40"/>
  <c r="AV175" i="40"/>
  <c r="AV176" i="40"/>
  <c r="AV177" i="40"/>
  <c r="AS222" i="40"/>
  <c r="AT217" i="40"/>
  <c r="AU140" i="40"/>
  <c r="AU141" i="40"/>
  <c r="AU142" i="40"/>
  <c r="AT145" i="40"/>
  <c r="AT146" i="40"/>
  <c r="AT147" i="40"/>
  <c r="AS242" i="40"/>
  <c r="AS232" i="40"/>
  <c r="AV74" i="40"/>
  <c r="AU199" i="40"/>
  <c r="AW60" i="40"/>
  <c r="AV164" i="40"/>
  <c r="AV70" i="40"/>
  <c r="AU189" i="40"/>
  <c r="AT210" i="40"/>
  <c r="AT211" i="40"/>
  <c r="AU239" i="40"/>
  <c r="AT230" i="40"/>
  <c r="AT231" i="40"/>
  <c r="AV185" i="40"/>
  <c r="AV186" i="40"/>
  <c r="AV187" i="40"/>
  <c r="AX64" i="40"/>
  <c r="AW174" i="40"/>
  <c r="AT170" i="40"/>
  <c r="AT171" i="40"/>
  <c r="AT172" i="40"/>
  <c r="AT120" i="40"/>
  <c r="AT121" i="40"/>
  <c r="AT122" i="40"/>
  <c r="AW50" i="40"/>
  <c r="AV139" i="40"/>
  <c r="AU115" i="40"/>
  <c r="AU116" i="40"/>
  <c r="AU117" i="40"/>
  <c r="AT220" i="40"/>
  <c r="AT221" i="40"/>
  <c r="AT222" i="40"/>
  <c r="AV46" i="40"/>
  <c r="AU129" i="40"/>
  <c r="AU225" i="40"/>
  <c r="AU226" i="40"/>
  <c r="AT150" i="40"/>
  <c r="AT151" i="40"/>
  <c r="AT152" i="40"/>
  <c r="AV56" i="40"/>
  <c r="AU154" i="40"/>
  <c r="AV44" i="40"/>
  <c r="AU124" i="40"/>
  <c r="AU180" i="40"/>
  <c r="AU181" i="40"/>
  <c r="AU182" i="40"/>
  <c r="AS162" i="40"/>
  <c r="AU235" i="40"/>
  <c r="AU236" i="40"/>
  <c r="AV78" i="40"/>
  <c r="AU209" i="40"/>
  <c r="AV86" i="40"/>
  <c r="AU229" i="40"/>
  <c r="AU215" i="40"/>
  <c r="AU216" i="40"/>
  <c r="AT182" i="40"/>
  <c r="AT142" i="40"/>
  <c r="AX68" i="40"/>
  <c r="AW184" i="40"/>
  <c r="AV62" i="40"/>
  <c r="AU169" i="40"/>
  <c r="AT135" i="40"/>
  <c r="AT136" i="40"/>
  <c r="AT137" i="40"/>
  <c r="AV52" i="40"/>
  <c r="AU144" i="40"/>
  <c r="AU205" i="40"/>
  <c r="AU206" i="40"/>
  <c r="AU207" i="40"/>
  <c r="AV82" i="40"/>
  <c r="AU219" i="40"/>
  <c r="AT160" i="40"/>
  <c r="AT161" i="40"/>
  <c r="AT162" i="40"/>
  <c r="AW84" i="40"/>
  <c r="AV224" i="40"/>
  <c r="AV54" i="40"/>
  <c r="AU149" i="40"/>
  <c r="U39" i="31"/>
  <c r="W39" i="31"/>
  <c r="V39" i="31"/>
  <c r="AE201" i="7"/>
  <c r="AE200" i="7"/>
  <c r="AM207" i="22"/>
  <c r="AM171" i="9"/>
  <c r="AM170" i="9"/>
  <c r="AF62" i="9"/>
  <c r="AE164" i="9"/>
  <c r="AL207" i="9"/>
  <c r="BH58" i="10"/>
  <c r="BG154" i="10"/>
  <c r="AI161" i="7"/>
  <c r="AI160" i="7"/>
  <c r="AM78" i="7"/>
  <c r="AL204" i="7"/>
  <c r="AC162" i="10"/>
  <c r="BB174" i="22"/>
  <c r="BC66" i="22"/>
  <c r="AK167" i="22"/>
  <c r="AC167" i="9"/>
  <c r="AH126" i="11"/>
  <c r="AH125" i="11"/>
  <c r="AP174" i="10"/>
  <c r="AQ66" i="10"/>
  <c r="AH162" i="7"/>
  <c r="AF60" i="10"/>
  <c r="AE159" i="10"/>
  <c r="AL166" i="22"/>
  <c r="AL165" i="22"/>
  <c r="AH154" i="7"/>
  <c r="AI58" i="7"/>
  <c r="AP165" i="10"/>
  <c r="AP166" i="10"/>
  <c r="AF78" i="8"/>
  <c r="AE204" i="8"/>
  <c r="BE209" i="10"/>
  <c r="BF80" i="10"/>
  <c r="AZ54" i="10"/>
  <c r="AY144" i="10"/>
  <c r="AI205" i="11"/>
  <c r="AI206" i="11"/>
  <c r="BL61" i="11"/>
  <c r="BM230" i="11"/>
  <c r="AD200" i="22"/>
  <c r="AD201" i="22"/>
  <c r="AK185" i="22"/>
  <c r="AK186" i="22"/>
  <c r="AO167" i="10"/>
  <c r="U31" i="30"/>
  <c r="W31" i="30"/>
  <c r="V31" i="30"/>
  <c r="AA31" i="30"/>
  <c r="AC137" i="11"/>
  <c r="AF46" i="6"/>
  <c r="AE138" i="6"/>
  <c r="AE139" i="6"/>
  <c r="AE140" i="6"/>
  <c r="AE141" i="6"/>
  <c r="AG76" i="7"/>
  <c r="AF199" i="7"/>
  <c r="AO64" i="9"/>
  <c r="AN169" i="9"/>
  <c r="AD165" i="9"/>
  <c r="AD166" i="9"/>
  <c r="BF156" i="10"/>
  <c r="BF155" i="10"/>
  <c r="AK60" i="7"/>
  <c r="AJ159" i="7"/>
  <c r="AT196" i="11"/>
  <c r="AT195" i="11"/>
  <c r="BA176" i="22"/>
  <c r="BA175" i="22"/>
  <c r="AJ46" i="11"/>
  <c r="AI124" i="11"/>
  <c r="AD160" i="10"/>
  <c r="AD161" i="10"/>
  <c r="AM164" i="22"/>
  <c r="AN62" i="22"/>
  <c r="AD200" i="11"/>
  <c r="AD201" i="11"/>
  <c r="AD180" i="10"/>
  <c r="AD181" i="10"/>
  <c r="AD175" i="7"/>
  <c r="AD176" i="7"/>
  <c r="BD211" i="10"/>
  <c r="BD210" i="10"/>
  <c r="AX146" i="10"/>
  <c r="AX145" i="10"/>
  <c r="AK78" i="11"/>
  <c r="AJ204" i="11"/>
  <c r="BD172" i="10"/>
  <c r="AE199" i="22"/>
  <c r="AF76" i="22"/>
  <c r="AL184" i="22"/>
  <c r="AM70" i="22"/>
  <c r="BE170" i="10"/>
  <c r="BE171" i="10"/>
  <c r="BF174" i="9"/>
  <c r="BG66" i="9"/>
  <c r="AJ187" i="22"/>
  <c r="AE151" i="11"/>
  <c r="AE150" i="11"/>
  <c r="AJ165" i="8"/>
  <c r="AJ166" i="8"/>
  <c r="AE149" i="22"/>
  <c r="AE150" i="22"/>
  <c r="AE151" i="22"/>
  <c r="AE152" i="22"/>
  <c r="AF56" i="22"/>
  <c r="AF76" i="10"/>
  <c r="AE199" i="10"/>
  <c r="AV74" i="11"/>
  <c r="AU194" i="11"/>
  <c r="AD185" i="8"/>
  <c r="AD186" i="8"/>
  <c r="AO189" i="22"/>
  <c r="AP72" i="22"/>
  <c r="AQ155" i="8"/>
  <c r="AQ156" i="8"/>
  <c r="AF76" i="11"/>
  <c r="AE199" i="11"/>
  <c r="AE179" i="10"/>
  <c r="AF68" i="10"/>
  <c r="AF66" i="7"/>
  <c r="AE174" i="7"/>
  <c r="AD136" i="11"/>
  <c r="AD135" i="11"/>
  <c r="AT184" i="10"/>
  <c r="AU70" i="10"/>
  <c r="AN206" i="22"/>
  <c r="AN205" i="22"/>
  <c r="AM205" i="9"/>
  <c r="AM206" i="9"/>
  <c r="AH207" i="11"/>
  <c r="BF169" i="10"/>
  <c r="BG64" i="10"/>
  <c r="BE175" i="9"/>
  <c r="BE176" i="9"/>
  <c r="AG56" i="11"/>
  <c r="AF149" i="11"/>
  <c r="AL62" i="8"/>
  <c r="AK164" i="8"/>
  <c r="AK206" i="7"/>
  <c r="AK205" i="7"/>
  <c r="AD200" i="10"/>
  <c r="AD201" i="10"/>
  <c r="AD202" i="7"/>
  <c r="AF70" i="8"/>
  <c r="AE184" i="8"/>
  <c r="AN190" i="22"/>
  <c r="AN191" i="22"/>
  <c r="AO176" i="10"/>
  <c r="AO175" i="10"/>
  <c r="AD152" i="11"/>
  <c r="BE157" i="10"/>
  <c r="AI167" i="8"/>
  <c r="AS58" i="8"/>
  <c r="AR154" i="8"/>
  <c r="BJ240" i="8"/>
  <c r="BI81" i="8"/>
  <c r="AC187" i="8"/>
  <c r="AM192" i="22"/>
  <c r="AG127" i="11"/>
  <c r="AG155" i="7"/>
  <c r="AG156" i="7"/>
  <c r="AR62" i="10"/>
  <c r="AQ164" i="10"/>
  <c r="AD205" i="8"/>
  <c r="AD206" i="8"/>
  <c r="AF50" i="11"/>
  <c r="AE134" i="11"/>
  <c r="AS185" i="10"/>
  <c r="AS186" i="10"/>
  <c r="BF55" i="11"/>
  <c r="BG227" i="11"/>
  <c r="AO204" i="22"/>
  <c r="AP78" i="22"/>
  <c r="AN204" i="9"/>
  <c r="AO78" i="9"/>
  <c r="Q37" i="32"/>
  <c r="R37" i="32"/>
  <c r="K39" i="31"/>
  <c r="S37" i="31"/>
  <c r="G20" i="26"/>
  <c r="N38" i="31"/>
  <c r="O38" i="31"/>
  <c r="P38" i="31"/>
  <c r="AH40" i="11"/>
  <c r="AG109" i="11"/>
  <c r="AG110" i="11"/>
  <c r="AG111" i="11"/>
  <c r="AG112" i="11"/>
  <c r="AE94" i="10"/>
  <c r="AE95" i="10"/>
  <c r="AE96" i="10"/>
  <c r="AE97" i="10"/>
  <c r="AF34" i="10"/>
  <c r="AF52" i="10"/>
  <c r="AE139" i="10"/>
  <c r="AE140" i="10"/>
  <c r="AE141" i="10"/>
  <c r="AE142" i="10"/>
  <c r="AF46" i="10"/>
  <c r="AE124" i="10"/>
  <c r="AE125" i="10"/>
  <c r="AE126" i="10"/>
  <c r="AE127" i="10"/>
  <c r="AE89" i="10"/>
  <c r="AE90" i="10"/>
  <c r="AE91" i="10"/>
  <c r="AE92" i="10"/>
  <c r="AF32" i="10"/>
  <c r="AE104" i="10"/>
  <c r="AE105" i="10"/>
  <c r="AE106" i="10"/>
  <c r="AE107" i="10"/>
  <c r="AF38" i="10"/>
  <c r="AE109" i="10"/>
  <c r="AE110" i="10"/>
  <c r="AE111" i="10"/>
  <c r="AE112" i="10"/>
  <c r="AF40" i="10"/>
  <c r="AF30" i="10"/>
  <c r="AE84" i="10"/>
  <c r="AE85" i="10"/>
  <c r="AE86" i="10"/>
  <c r="AE87" i="10"/>
  <c r="AG44" i="10"/>
  <c r="AF119" i="10"/>
  <c r="AF120" i="10"/>
  <c r="AF121" i="10"/>
  <c r="AF122" i="10"/>
  <c r="AE129" i="10"/>
  <c r="AE130" i="10"/>
  <c r="AE131" i="10"/>
  <c r="AE132" i="10"/>
  <c r="AF48" i="10"/>
  <c r="AF42" i="10"/>
  <c r="AE114" i="10"/>
  <c r="AE115" i="10"/>
  <c r="AE116" i="10"/>
  <c r="AE117" i="10"/>
  <c r="AG52" i="22"/>
  <c r="AF139" i="22"/>
  <c r="AF140" i="22"/>
  <c r="AF141" i="22"/>
  <c r="AF142" i="22"/>
  <c r="AF42" i="22"/>
  <c r="AE114" i="22"/>
  <c r="AE115" i="22"/>
  <c r="AE116" i="22"/>
  <c r="AE117" i="22"/>
  <c r="AG46" i="22"/>
  <c r="AF124" i="22"/>
  <c r="AF125" i="22"/>
  <c r="AF126" i="22"/>
  <c r="AF127" i="22"/>
  <c r="AE134" i="22"/>
  <c r="AE135" i="22"/>
  <c r="AE136" i="22"/>
  <c r="AE137" i="22"/>
  <c r="AF50" i="22"/>
  <c r="AF46" i="8"/>
  <c r="AE124" i="8"/>
  <c r="AE125" i="8"/>
  <c r="AE126" i="8"/>
  <c r="AE127" i="8"/>
  <c r="AG50" i="8"/>
  <c r="AF134" i="8"/>
  <c r="AF135" i="8"/>
  <c r="AF136" i="8"/>
  <c r="AF137" i="8"/>
  <c r="BB187" i="9"/>
  <c r="AX182" i="22"/>
  <c r="BA207" i="10"/>
  <c r="AY197" i="8"/>
  <c r="AW162" i="22"/>
  <c r="BD132" i="11"/>
  <c r="AU182" i="8"/>
  <c r="AH192" i="8"/>
  <c r="AX197" i="7"/>
  <c r="BI192" i="10"/>
  <c r="BM87" i="22"/>
  <c r="AZ212" i="22"/>
  <c r="BD212" i="9"/>
  <c r="AU202" i="8"/>
  <c r="AC192" i="9"/>
  <c r="AY73" i="7"/>
  <c r="AZ236" i="7"/>
  <c r="AD32" i="2"/>
  <c r="M39" i="33"/>
  <c r="AE153" i="2"/>
  <c r="C32" i="2"/>
  <c r="M40" i="30"/>
  <c r="D153" i="2"/>
  <c r="BA212" i="7"/>
  <c r="AW177" i="8"/>
  <c r="AY186" i="7"/>
  <c r="AY185" i="7"/>
  <c r="AY195" i="7"/>
  <c r="AY196" i="7"/>
  <c r="BC171" i="22"/>
  <c r="BC170" i="22"/>
  <c r="BK52" i="11"/>
  <c r="BJ139" i="11"/>
  <c r="AZ182" i="9"/>
  <c r="AW175" i="11"/>
  <c r="AW176" i="11"/>
  <c r="AV60" i="8"/>
  <c r="AU159" i="8"/>
  <c r="BN85" i="22"/>
  <c r="BN86" i="22"/>
  <c r="AC202" i="9"/>
  <c r="AK72" i="8"/>
  <c r="AJ189" i="8"/>
  <c r="BA68" i="22"/>
  <c r="AZ179" i="22"/>
  <c r="AY197" i="10"/>
  <c r="AY159" i="22"/>
  <c r="AZ60" i="22"/>
  <c r="BB172" i="22"/>
  <c r="BA180" i="9"/>
  <c r="BA181" i="9"/>
  <c r="AV177" i="11"/>
  <c r="AD190" i="9"/>
  <c r="AD191" i="9"/>
  <c r="AD200" i="9"/>
  <c r="AD201" i="9"/>
  <c r="AZ195" i="10"/>
  <c r="AZ196" i="10"/>
  <c r="BF180" i="7"/>
  <c r="BF181" i="7"/>
  <c r="AY197" i="22"/>
  <c r="AW72" i="11"/>
  <c r="AV189" i="11"/>
  <c r="AV200" i="8"/>
  <c r="AV201" i="8"/>
  <c r="AW212" i="11"/>
  <c r="BB210" i="7"/>
  <c r="BB211" i="7"/>
  <c r="AX175" i="8"/>
  <c r="AX176" i="8"/>
  <c r="BE182" i="7"/>
  <c r="AT192" i="11"/>
  <c r="BF153" i="2"/>
  <c r="BE32" i="2"/>
  <c r="AV32" i="2"/>
  <c r="M39" i="35"/>
  <c r="AW153" i="2"/>
  <c r="AS162" i="8"/>
  <c r="AZ184" i="7"/>
  <c r="BA70" i="7"/>
  <c r="BA74" i="7"/>
  <c r="AZ194" i="7"/>
  <c r="BN69" i="11"/>
  <c r="BO234" i="11"/>
  <c r="AV181" i="8"/>
  <c r="AV180" i="8"/>
  <c r="AY66" i="11"/>
  <c r="AX174" i="11"/>
  <c r="BO84" i="22"/>
  <c r="BP30" i="22"/>
  <c r="BO172" i="7"/>
  <c r="AX161" i="22"/>
  <c r="AX160" i="22"/>
  <c r="BC151" i="10"/>
  <c r="BC150" i="10"/>
  <c r="AX210" i="11"/>
  <c r="AX211" i="11"/>
  <c r="BF209" i="9"/>
  <c r="BG80" i="9"/>
  <c r="BG179" i="7"/>
  <c r="BH68" i="7"/>
  <c r="AE89" i="22"/>
  <c r="AE90" i="22"/>
  <c r="AE91" i="22"/>
  <c r="AE92" i="22"/>
  <c r="AF32" i="22"/>
  <c r="AX76" i="8"/>
  <c r="AW199" i="8"/>
  <c r="BD78" i="10"/>
  <c r="BC204" i="10"/>
  <c r="AZ66" i="8"/>
  <c r="AY174" i="8"/>
  <c r="AZ196" i="8"/>
  <c r="AZ195" i="8"/>
  <c r="BC80" i="22"/>
  <c r="BB209" i="22"/>
  <c r="BN32" i="2"/>
  <c r="M39" i="37"/>
  <c r="BO153" i="2"/>
  <c r="V153" i="2"/>
  <c r="U32" i="2"/>
  <c r="M39" i="32"/>
  <c r="BA65" i="8"/>
  <c r="BB232" i="8"/>
  <c r="BJ191" i="10"/>
  <c r="BJ190" i="10"/>
  <c r="BQ169" i="7"/>
  <c r="BR64" i="7"/>
  <c r="AW179" i="8"/>
  <c r="AX68" i="8"/>
  <c r="BM63" i="11"/>
  <c r="BN231" i="11"/>
  <c r="BN154" i="2"/>
  <c r="AM154" i="2"/>
  <c r="BE154" i="2"/>
  <c r="U154" i="2"/>
  <c r="AV154" i="2"/>
  <c r="L154" i="2"/>
  <c r="AD154" i="2"/>
  <c r="C154" i="2"/>
  <c r="BE70" i="9"/>
  <c r="BD184" i="9"/>
  <c r="BD149" i="10"/>
  <c r="BE56" i="10"/>
  <c r="AZ80" i="11"/>
  <c r="AY209" i="11"/>
  <c r="BE210" i="9"/>
  <c r="BE211" i="9"/>
  <c r="BB205" i="10"/>
  <c r="BB206" i="10"/>
  <c r="BB74" i="8"/>
  <c r="BA194" i="8"/>
  <c r="BA211" i="22"/>
  <c r="BA210" i="22"/>
  <c r="BE131" i="11"/>
  <c r="BE130" i="11"/>
  <c r="BB74" i="22"/>
  <c r="BA194" i="22"/>
  <c r="L32" i="2"/>
  <c r="M39" i="31"/>
  <c r="M153" i="2"/>
  <c r="AM32" i="2"/>
  <c r="M39" i="34"/>
  <c r="AN153" i="2"/>
  <c r="BK189" i="10"/>
  <c r="BL72" i="10"/>
  <c r="BP170" i="7"/>
  <c r="BP171" i="7"/>
  <c r="BE64" i="22"/>
  <c r="BD169" i="22"/>
  <c r="BI141" i="11"/>
  <c r="BI140" i="11"/>
  <c r="A155" i="2"/>
  <c r="BW155" i="2"/>
  <c r="A35" i="2"/>
  <c r="AT160" i="8"/>
  <c r="AT161" i="8"/>
  <c r="AI190" i="8"/>
  <c r="AI191" i="8"/>
  <c r="AY180" i="22"/>
  <c r="AY181" i="22"/>
  <c r="BC186" i="9"/>
  <c r="BC185" i="9"/>
  <c r="BI65" i="11"/>
  <c r="BJ232" i="11"/>
  <c r="BB179" i="9"/>
  <c r="BC68" i="9"/>
  <c r="AE189" i="9"/>
  <c r="AF72" i="9"/>
  <c r="AF76" i="9"/>
  <c r="AE199" i="9"/>
  <c r="BA194" i="10"/>
  <c r="BB74" i="10"/>
  <c r="BB152" i="10"/>
  <c r="AU190" i="11"/>
  <c r="AU191" i="11"/>
  <c r="BD80" i="7"/>
  <c r="BC209" i="7"/>
  <c r="BG48" i="11"/>
  <c r="BF129" i="11"/>
  <c r="AZ195" i="22"/>
  <c r="AZ196" i="22"/>
  <c r="J48" i="30"/>
  <c r="W30" i="39"/>
  <c r="H47" i="30"/>
  <c r="Y31" i="30"/>
  <c r="U38" i="32"/>
  <c r="K38" i="32"/>
  <c r="AJ94" i="8"/>
  <c r="AJ95" i="8"/>
  <c r="AJ96" i="8"/>
  <c r="AJ97" i="8"/>
  <c r="AK34" i="8"/>
  <c r="AE119" i="8"/>
  <c r="AE120" i="8"/>
  <c r="AE121" i="8"/>
  <c r="AE122" i="8"/>
  <c r="AF44" i="8"/>
  <c r="AE114" i="8"/>
  <c r="AE115" i="8"/>
  <c r="AE116" i="8"/>
  <c r="AE117" i="8"/>
  <c r="AF42" i="8"/>
  <c r="AL166" i="7"/>
  <c r="AL165" i="7"/>
  <c r="AK167" i="7"/>
  <c r="AE89" i="11"/>
  <c r="AE90" i="11"/>
  <c r="AE91" i="11"/>
  <c r="AE92" i="11"/>
  <c r="AF32" i="11"/>
  <c r="AN62" i="7"/>
  <c r="AM164" i="7"/>
  <c r="AG30" i="9"/>
  <c r="AF84" i="9"/>
  <c r="AF85" i="9"/>
  <c r="AF86" i="9"/>
  <c r="AF87" i="9"/>
  <c r="AE139" i="9"/>
  <c r="AE140" i="9"/>
  <c r="AE141" i="9"/>
  <c r="AE142" i="9"/>
  <c r="AF52" i="9"/>
  <c r="AH30" i="1"/>
  <c r="AG86" i="1"/>
  <c r="AG87" i="1"/>
  <c r="AG88" i="1"/>
  <c r="AG89" i="1"/>
  <c r="AF64" i="1"/>
  <c r="AE171" i="1"/>
  <c r="AE181" i="1"/>
  <c r="AE182" i="1"/>
  <c r="AE183" i="1"/>
  <c r="AE184" i="1"/>
  <c r="AF68" i="1"/>
  <c r="AE156" i="1"/>
  <c r="AE157" i="1"/>
  <c r="AE158" i="1"/>
  <c r="AE159" i="1"/>
  <c r="AF58" i="1"/>
  <c r="AE131" i="1"/>
  <c r="AE132" i="1"/>
  <c r="AE133" i="1"/>
  <c r="AE134" i="1"/>
  <c r="AF48" i="1"/>
  <c r="AH32" i="1"/>
  <c r="AG91" i="1"/>
  <c r="AG92" i="1"/>
  <c r="AG93" i="1"/>
  <c r="AG94" i="1"/>
  <c r="AF34" i="1"/>
  <c r="AE96" i="1"/>
  <c r="AE97" i="1"/>
  <c r="AE98" i="1"/>
  <c r="AE99" i="1"/>
  <c r="AF52" i="1"/>
  <c r="AE141" i="1"/>
  <c r="AE136" i="1"/>
  <c r="AE137" i="1"/>
  <c r="AE138" i="1"/>
  <c r="AE139" i="1"/>
  <c r="AF50" i="1"/>
  <c r="K37" i="33"/>
  <c r="W37" i="33"/>
  <c r="V37" i="33"/>
  <c r="K37" i="35"/>
  <c r="T37" i="35"/>
  <c r="AF119" i="22"/>
  <c r="AF120" i="22"/>
  <c r="AF121" i="22"/>
  <c r="AF122" i="22"/>
  <c r="AG44" i="22"/>
  <c r="AF40" i="6"/>
  <c r="AE123" i="6"/>
  <c r="AE124" i="6"/>
  <c r="AE125" i="6"/>
  <c r="AE126" i="6"/>
  <c r="AF26" i="6"/>
  <c r="AE88" i="6"/>
  <c r="AE89" i="6"/>
  <c r="AE90" i="6"/>
  <c r="AE91" i="6"/>
  <c r="AE103" i="6"/>
  <c r="AE104" i="6"/>
  <c r="AE105" i="6"/>
  <c r="AE106" i="6"/>
  <c r="AF32" i="6"/>
  <c r="AE93" i="6"/>
  <c r="AE94" i="6"/>
  <c r="AE95" i="6"/>
  <c r="AE96" i="6"/>
  <c r="AF28" i="6"/>
  <c r="AF128" i="6"/>
  <c r="AF129" i="6"/>
  <c r="AF130" i="6"/>
  <c r="AF131" i="6"/>
  <c r="AG42" i="6"/>
  <c r="AE113" i="6"/>
  <c r="AE114" i="6"/>
  <c r="AE115" i="6"/>
  <c r="AE116" i="6"/>
  <c r="AF36" i="6"/>
  <c r="AD89" i="6"/>
  <c r="AD90" i="6"/>
  <c r="AE78" i="6"/>
  <c r="AE79" i="6"/>
  <c r="AE80" i="6"/>
  <c r="AE81" i="6"/>
  <c r="AF22" i="6"/>
  <c r="AG30" i="6"/>
  <c r="AF98" i="6"/>
  <c r="AF99" i="6"/>
  <c r="AF100" i="6"/>
  <c r="AF101" i="6"/>
  <c r="AF24" i="6"/>
  <c r="AE83" i="6"/>
  <c r="AE84" i="6"/>
  <c r="AE85" i="6"/>
  <c r="AE86" i="6"/>
  <c r="AF44" i="6"/>
  <c r="AE133" i="6"/>
  <c r="AE134" i="6"/>
  <c r="AE135" i="6"/>
  <c r="AE136" i="6"/>
  <c r="AF34" i="6"/>
  <c r="AE108" i="6"/>
  <c r="AE109" i="6"/>
  <c r="AE110" i="6"/>
  <c r="AE111" i="6"/>
  <c r="AI80" i="1"/>
  <c r="AH211" i="1"/>
  <c r="AH212" i="1"/>
  <c r="AH213" i="1"/>
  <c r="AH214" i="1"/>
  <c r="AH82" i="1"/>
  <c r="AG216" i="1"/>
  <c r="AE219" i="1"/>
  <c r="AE116" i="1"/>
  <c r="AE117" i="1"/>
  <c r="AE118" i="1"/>
  <c r="AE119" i="1"/>
  <c r="AF42" i="1"/>
  <c r="AF218" i="1"/>
  <c r="AF217" i="1"/>
  <c r="AD117" i="1"/>
  <c r="AD118" i="1"/>
  <c r="AC209" i="1"/>
  <c r="AE179" i="1"/>
  <c r="AD147" i="22"/>
  <c r="AI104" i="8"/>
  <c r="AI105" i="8"/>
  <c r="AI106" i="8"/>
  <c r="AI107" i="8"/>
  <c r="AJ38" i="8"/>
  <c r="AG36" i="8"/>
  <c r="AF99" i="8"/>
  <c r="AF100" i="8"/>
  <c r="AF101" i="8"/>
  <c r="AF102" i="8"/>
  <c r="AE120" i="11"/>
  <c r="AE121" i="11"/>
  <c r="AE122" i="11"/>
  <c r="AF119" i="11"/>
  <c r="AG44" i="11"/>
  <c r="AE129" i="22"/>
  <c r="AE130" i="22"/>
  <c r="AE131" i="22"/>
  <c r="AE132" i="22"/>
  <c r="AF48" i="22"/>
  <c r="AD130" i="22"/>
  <c r="AD131" i="22"/>
  <c r="AF34" i="22"/>
  <c r="AE94" i="22"/>
  <c r="AE95" i="22"/>
  <c r="AE96" i="22"/>
  <c r="AE97" i="22"/>
  <c r="AF104" i="22"/>
  <c r="AF105" i="22"/>
  <c r="AF106" i="22"/>
  <c r="AF107" i="22"/>
  <c r="AG38" i="22"/>
  <c r="AE114" i="7"/>
  <c r="AE115" i="7"/>
  <c r="AE116" i="7"/>
  <c r="AE117" i="7"/>
  <c r="AF42" i="7"/>
  <c r="AG38" i="7"/>
  <c r="AF104" i="7"/>
  <c r="AF105" i="7"/>
  <c r="AF106" i="7"/>
  <c r="AF107" i="7"/>
  <c r="AG30" i="7"/>
  <c r="AF84" i="7"/>
  <c r="AF85" i="7"/>
  <c r="AF86" i="7"/>
  <c r="AF87" i="7"/>
  <c r="AE105" i="7"/>
  <c r="AE106" i="7"/>
  <c r="AH109" i="7"/>
  <c r="AH110" i="7"/>
  <c r="AH111" i="7"/>
  <c r="AH112" i="7"/>
  <c r="AI40" i="7"/>
  <c r="AE94" i="7"/>
  <c r="AE95" i="7"/>
  <c r="AE96" i="7"/>
  <c r="AE97" i="7"/>
  <c r="AF34" i="7"/>
  <c r="AG36" i="7"/>
  <c r="AF99" i="7"/>
  <c r="AF100" i="7"/>
  <c r="AF101" i="7"/>
  <c r="AF102" i="7"/>
  <c r="AD95" i="7"/>
  <c r="AD96" i="7"/>
  <c r="AD97" i="7"/>
  <c r="AH118" i="6"/>
  <c r="AH119" i="6"/>
  <c r="AH120" i="6"/>
  <c r="AH121" i="6"/>
  <c r="AI38" i="6"/>
  <c r="AF46" i="9"/>
  <c r="AE124" i="9"/>
  <c r="AE125" i="9"/>
  <c r="AE126" i="9"/>
  <c r="AE127" i="9"/>
  <c r="AE42" i="9"/>
  <c r="AD114" i="9"/>
  <c r="AD115" i="9"/>
  <c r="AD116" i="9"/>
  <c r="AD117" i="9"/>
  <c r="AH104" i="9"/>
  <c r="AH105" i="9"/>
  <c r="AH106" i="9"/>
  <c r="AH107" i="9"/>
  <c r="AI38" i="9"/>
  <c r="AF34" i="9"/>
  <c r="AE94" i="9"/>
  <c r="AE95" i="9"/>
  <c r="AE96" i="9"/>
  <c r="AE97" i="9"/>
  <c r="AI144" i="9"/>
  <c r="AI145" i="9"/>
  <c r="AI146" i="9"/>
  <c r="AI147" i="9"/>
  <c r="AJ54" i="9"/>
  <c r="AF134" i="9"/>
  <c r="AF135" i="9"/>
  <c r="AF136" i="9"/>
  <c r="AF137" i="9"/>
  <c r="AG50" i="9"/>
  <c r="AE149" i="9"/>
  <c r="AE150" i="9"/>
  <c r="AE151" i="9"/>
  <c r="AE152" i="9"/>
  <c r="AF56" i="9"/>
  <c r="AH32" i="9"/>
  <c r="AG89" i="9"/>
  <c r="AG90" i="9"/>
  <c r="AG91" i="9"/>
  <c r="AG92" i="9"/>
  <c r="AE129" i="9"/>
  <c r="AE130" i="9"/>
  <c r="AE131" i="9"/>
  <c r="AE132" i="9"/>
  <c r="AF48" i="9"/>
  <c r="AF44" i="9"/>
  <c r="AE119" i="9"/>
  <c r="AE120" i="9"/>
  <c r="AE121" i="9"/>
  <c r="AE122" i="9"/>
  <c r="AE192" i="1"/>
  <c r="AE193" i="1"/>
  <c r="AF78" i="1"/>
  <c r="AE206" i="1"/>
  <c r="AE207" i="1"/>
  <c r="AE208" i="1"/>
  <c r="AE209" i="1"/>
  <c r="AF70" i="1"/>
  <c r="AE186" i="1"/>
  <c r="AG72" i="1"/>
  <c r="AF191" i="1"/>
  <c r="AF192" i="1"/>
  <c r="AF193" i="1"/>
  <c r="AF194" i="1"/>
  <c r="AF161" i="1"/>
  <c r="AF162" i="1"/>
  <c r="AF163" i="1"/>
  <c r="AF164" i="1"/>
  <c r="AG60" i="1"/>
  <c r="AD197" i="1"/>
  <c r="AD198" i="1"/>
  <c r="AK151" i="1"/>
  <c r="AK152" i="1"/>
  <c r="AK153" i="1"/>
  <c r="AK154" i="1"/>
  <c r="AL56" i="1"/>
  <c r="AF74" i="1"/>
  <c r="AE196" i="1"/>
  <c r="AE197" i="1"/>
  <c r="AE198" i="1"/>
  <c r="AE199" i="1"/>
  <c r="AH76" i="1"/>
  <c r="AG201" i="1"/>
  <c r="AH66" i="1"/>
  <c r="AG176" i="1"/>
  <c r="AG177" i="1"/>
  <c r="AG178" i="1"/>
  <c r="AG179" i="1"/>
  <c r="AL42" i="11"/>
  <c r="AK114" i="11"/>
  <c r="AJ115" i="11"/>
  <c r="AJ116" i="11"/>
  <c r="AJ117" i="11"/>
  <c r="U35" i="34"/>
  <c r="AJ37" i="35"/>
  <c r="AK37" i="35"/>
  <c r="AA37" i="35"/>
  <c r="X37" i="35"/>
  <c r="Y37" i="35"/>
  <c r="Z37" i="35"/>
  <c r="AE37" i="35"/>
  <c r="AB37" i="35"/>
  <c r="AC37" i="35"/>
  <c r="AD37" i="35"/>
  <c r="AI37" i="35"/>
  <c r="AF37" i="35"/>
  <c r="AG37" i="35"/>
  <c r="AH37" i="35"/>
  <c r="K37" i="37"/>
  <c r="T37" i="37"/>
  <c r="AD107" i="11"/>
  <c r="AG99" i="11"/>
  <c r="AH36" i="11"/>
  <c r="AI84" i="11"/>
  <c r="AJ30" i="11"/>
  <c r="AG38" i="11"/>
  <c r="AF104" i="11"/>
  <c r="AF100" i="11"/>
  <c r="AF101" i="11"/>
  <c r="AF102" i="11"/>
  <c r="AH85" i="11"/>
  <c r="AH86" i="11"/>
  <c r="AH87" i="11"/>
  <c r="AE105" i="11"/>
  <c r="AE106" i="11"/>
  <c r="AE135" i="10"/>
  <c r="AE136" i="10"/>
  <c r="AE137" i="10"/>
  <c r="AG50" i="10"/>
  <c r="AF134" i="10"/>
  <c r="AE100" i="10"/>
  <c r="AE101" i="10"/>
  <c r="AE102" i="10"/>
  <c r="AG36" i="10"/>
  <c r="AF99" i="10"/>
  <c r="AD155" i="22"/>
  <c r="AD156" i="22"/>
  <c r="AD157" i="22"/>
  <c r="AE154" i="22"/>
  <c r="AF58" i="22"/>
  <c r="AF144" i="22"/>
  <c r="AG54" i="22"/>
  <c r="AF99" i="22"/>
  <c r="AG36" i="22"/>
  <c r="AG40" i="22"/>
  <c r="AF109" i="22"/>
  <c r="AE100" i="22"/>
  <c r="AE101" i="22"/>
  <c r="AE102" i="22"/>
  <c r="AE110" i="22"/>
  <c r="AE111" i="22"/>
  <c r="AE112" i="22"/>
  <c r="AE145" i="22"/>
  <c r="AE146" i="22"/>
  <c r="AE147" i="22"/>
  <c r="AG150" i="8"/>
  <c r="AG151" i="8"/>
  <c r="AG152" i="8"/>
  <c r="AI56" i="8"/>
  <c r="AH149" i="8"/>
  <c r="AE145" i="8"/>
  <c r="AE146" i="8"/>
  <c r="AE147" i="8"/>
  <c r="AF144" i="8"/>
  <c r="AG54" i="8"/>
  <c r="AD110" i="8"/>
  <c r="AD111" i="8"/>
  <c r="AD112" i="8"/>
  <c r="AD90" i="8"/>
  <c r="AD91" i="8"/>
  <c r="AD92" i="8"/>
  <c r="AF48" i="8"/>
  <c r="AE129" i="8"/>
  <c r="AE30" i="8"/>
  <c r="AD84" i="8"/>
  <c r="AD140" i="8"/>
  <c r="AD141" i="8"/>
  <c r="AD142" i="8"/>
  <c r="AE89" i="8"/>
  <c r="AF32" i="8"/>
  <c r="AE139" i="8"/>
  <c r="AF52" i="8"/>
  <c r="AF40" i="8"/>
  <c r="AE109" i="8"/>
  <c r="AD130" i="8"/>
  <c r="AD131" i="8"/>
  <c r="AD132" i="8"/>
  <c r="AC85" i="8"/>
  <c r="AC86" i="8"/>
  <c r="AC87" i="8"/>
  <c r="AD145" i="7"/>
  <c r="AD146" i="7"/>
  <c r="AF54" i="7"/>
  <c r="AE144" i="7"/>
  <c r="AE139" i="7"/>
  <c r="AF52" i="7"/>
  <c r="AD140" i="7"/>
  <c r="AD141" i="7"/>
  <c r="AD142" i="7"/>
  <c r="AE134" i="7"/>
  <c r="AF50" i="7"/>
  <c r="AD135" i="7"/>
  <c r="AD136" i="7"/>
  <c r="AD137" i="7"/>
  <c r="AF125" i="7"/>
  <c r="AF126" i="7"/>
  <c r="AF127" i="7"/>
  <c r="AK90" i="7"/>
  <c r="AK91" i="7"/>
  <c r="AK92" i="7"/>
  <c r="AG120" i="7"/>
  <c r="AG121" i="7"/>
  <c r="AG122" i="7"/>
  <c r="AH46" i="7"/>
  <c r="AG124" i="7"/>
  <c r="AM32" i="7"/>
  <c r="AL89" i="7"/>
  <c r="AI44" i="7"/>
  <c r="AH119" i="7"/>
  <c r="AF56" i="6"/>
  <c r="AE163" i="6"/>
  <c r="AD164" i="6"/>
  <c r="AD165" i="6"/>
  <c r="AD166" i="6"/>
  <c r="AD159" i="6"/>
  <c r="AD160" i="6"/>
  <c r="AD161" i="6"/>
  <c r="AF54" i="6"/>
  <c r="AE158" i="6"/>
  <c r="AF52" i="6"/>
  <c r="AE153" i="6"/>
  <c r="AD154" i="6"/>
  <c r="AD155" i="6"/>
  <c r="AD156" i="6"/>
  <c r="AD149" i="6"/>
  <c r="AD150" i="6"/>
  <c r="AD151" i="6"/>
  <c r="AE148" i="6"/>
  <c r="AF50" i="6"/>
  <c r="AE143" i="6"/>
  <c r="AF48" i="6"/>
  <c r="AD144" i="6"/>
  <c r="AD145" i="6"/>
  <c r="AD146" i="6"/>
  <c r="AE160" i="9"/>
  <c r="AE161" i="9"/>
  <c r="AE162" i="9"/>
  <c r="AG60" i="9"/>
  <c r="AF159" i="9"/>
  <c r="AE154" i="9"/>
  <c r="AF58" i="9"/>
  <c r="AD155" i="9"/>
  <c r="AD156" i="9"/>
  <c r="AD157" i="9"/>
  <c r="AE100" i="9"/>
  <c r="AE101" i="9"/>
  <c r="AE102" i="9"/>
  <c r="AG40" i="9"/>
  <c r="AF109" i="9"/>
  <c r="AG36" i="9"/>
  <c r="AF99" i="9"/>
  <c r="AE110" i="9"/>
  <c r="AE111" i="9"/>
  <c r="AE112" i="9"/>
  <c r="AD167" i="1"/>
  <c r="AD168" i="1"/>
  <c r="AD169" i="1"/>
  <c r="AF62" i="1"/>
  <c r="AE166" i="1"/>
  <c r="AD127" i="1"/>
  <c r="AD128" i="1"/>
  <c r="AD129" i="1"/>
  <c r="AE146" i="1"/>
  <c r="AF54" i="1"/>
  <c r="AE126" i="1"/>
  <c r="AF46" i="1"/>
  <c r="AD147" i="1"/>
  <c r="AD148" i="1"/>
  <c r="AD149" i="1"/>
  <c r="AH44" i="1"/>
  <c r="AG121" i="1"/>
  <c r="AF122" i="1"/>
  <c r="AF123" i="1"/>
  <c r="AF124" i="1"/>
  <c r="AF112" i="1"/>
  <c r="AF113" i="1"/>
  <c r="AF114" i="1"/>
  <c r="AF38" i="1"/>
  <c r="AE106" i="1"/>
  <c r="AH36" i="1"/>
  <c r="AG101" i="1"/>
  <c r="AD107" i="1"/>
  <c r="AD108" i="1"/>
  <c r="AD109" i="1"/>
  <c r="AG111" i="1"/>
  <c r="AH40" i="1"/>
  <c r="AF102" i="1"/>
  <c r="AF103" i="1"/>
  <c r="AF104" i="1"/>
  <c r="P38" i="37"/>
  <c r="Q38" i="37"/>
  <c r="AH37" i="37"/>
  <c r="Z37" i="37"/>
  <c r="AJ37" i="37"/>
  <c r="AI37" i="37"/>
  <c r="AF37" i="37"/>
  <c r="AE37" i="37"/>
  <c r="AB37" i="37"/>
  <c r="X37" i="37"/>
  <c r="Y37" i="37"/>
  <c r="AD37" i="37"/>
  <c r="AG37" i="37"/>
  <c r="AA37" i="37"/>
  <c r="AC37" i="37"/>
  <c r="AK37" i="37"/>
  <c r="AF129" i="7"/>
  <c r="AF130" i="7"/>
  <c r="AF131" i="7"/>
  <c r="AF132" i="7"/>
  <c r="AG48" i="7"/>
  <c r="P37" i="36"/>
  <c r="Q37" i="36"/>
  <c r="R36" i="36"/>
  <c r="S36" i="36"/>
  <c r="U37" i="36"/>
  <c r="BL195" i="9"/>
  <c r="BL196" i="9"/>
  <c r="BN74" i="9"/>
  <c r="BM194" i="9"/>
  <c r="BW34" i="2"/>
  <c r="M41" i="41"/>
  <c r="BX155" i="2"/>
  <c r="AY59" i="11"/>
  <c r="AZ229" i="11"/>
  <c r="BK197" i="9"/>
  <c r="AC31" i="30"/>
  <c r="Z31" i="30"/>
  <c r="X31" i="30"/>
  <c r="AD31" i="30"/>
  <c r="AB31" i="30"/>
  <c r="K31" i="30"/>
  <c r="L31" i="30"/>
  <c r="N31" i="30"/>
  <c r="O31" i="30"/>
  <c r="P31" i="30"/>
  <c r="Q31" i="30"/>
  <c r="Q19" i="26"/>
  <c r="M39" i="36"/>
  <c r="CF32" i="2"/>
  <c r="Q18" i="26"/>
  <c r="S35" i="33"/>
  <c r="R34" i="33"/>
  <c r="U31" i="41"/>
  <c r="W31" i="41"/>
  <c r="V31" i="41"/>
  <c r="AA31" i="41"/>
  <c r="AK187" i="22"/>
  <c r="AD202" i="10"/>
  <c r="BE177" i="9"/>
  <c r="BB212" i="7"/>
  <c r="BF182" i="7"/>
  <c r="AD202" i="9"/>
  <c r="AT162" i="8"/>
  <c r="AH127" i="11"/>
  <c r="AM172" i="9"/>
  <c r="AN207" i="22"/>
  <c r="AD137" i="11"/>
  <c r="AK207" i="7"/>
  <c r="AD182" i="10"/>
  <c r="AL167" i="22"/>
  <c r="AI162" i="7"/>
  <c r="AM207" i="9"/>
  <c r="AD187" i="8"/>
  <c r="AJ167" i="8"/>
  <c r="AD177" i="7"/>
  <c r="AD202" i="11"/>
  <c r="AD162" i="10"/>
  <c r="AD167" i="9"/>
  <c r="AV269" i="40"/>
  <c r="AV270" i="40"/>
  <c r="AV271" i="40"/>
  <c r="AV272" i="40"/>
  <c r="AW102" i="40"/>
  <c r="AV264" i="40"/>
  <c r="AV265" i="40"/>
  <c r="AV266" i="40"/>
  <c r="AV267" i="40"/>
  <c r="AW100" i="40"/>
  <c r="BB255" i="40"/>
  <c r="BB256" i="40"/>
  <c r="BB257" i="40"/>
  <c r="AU270" i="40"/>
  <c r="AU271" i="40"/>
  <c r="AU272" i="40"/>
  <c r="AU290" i="40"/>
  <c r="AU291" i="40"/>
  <c r="AU292" i="40"/>
  <c r="AU265" i="40"/>
  <c r="AU266" i="40"/>
  <c r="AU267" i="40"/>
  <c r="BC260" i="40"/>
  <c r="BC261" i="40"/>
  <c r="BC262" i="40"/>
  <c r="AV284" i="40"/>
  <c r="AW108" i="40"/>
  <c r="AV244" i="40"/>
  <c r="AW92" i="40"/>
  <c r="AV249" i="40"/>
  <c r="AV250" i="40"/>
  <c r="AV251" i="40"/>
  <c r="AV252" i="40"/>
  <c r="AW94" i="40"/>
  <c r="AV289" i="40"/>
  <c r="AW110" i="40"/>
  <c r="BB275" i="40"/>
  <c r="BB276" i="40"/>
  <c r="BB277" i="40"/>
  <c r="AU285" i="40"/>
  <c r="AU286" i="40"/>
  <c r="AU287" i="40"/>
  <c r="AU245" i="40"/>
  <c r="AU246" i="40"/>
  <c r="AU247" i="40"/>
  <c r="AU250" i="40"/>
  <c r="AU251" i="40"/>
  <c r="AU252" i="40"/>
  <c r="BB106" i="40"/>
  <c r="BB279" i="40"/>
  <c r="BD98" i="40"/>
  <c r="BD259" i="40"/>
  <c r="BC96" i="40"/>
  <c r="BC254" i="40"/>
  <c r="BC104" i="40"/>
  <c r="BC274" i="40"/>
  <c r="AY90" i="40"/>
  <c r="AW82" i="40"/>
  <c r="AV219" i="40"/>
  <c r="AU170" i="40"/>
  <c r="AU171" i="40"/>
  <c r="AW86" i="40"/>
  <c r="AV229" i="40"/>
  <c r="AU155" i="40"/>
  <c r="AU156" i="40"/>
  <c r="AW46" i="40"/>
  <c r="AV129" i="40"/>
  <c r="AX50" i="40"/>
  <c r="AW139" i="40"/>
  <c r="AU240" i="40"/>
  <c r="AU241" i="40"/>
  <c r="AV165" i="40"/>
  <c r="AV166" i="40"/>
  <c r="AW195" i="40"/>
  <c r="AW196" i="40"/>
  <c r="AW197" i="40"/>
  <c r="AW58" i="40"/>
  <c r="AV159" i="40"/>
  <c r="AX76" i="40"/>
  <c r="AW204" i="40"/>
  <c r="AX40" i="40"/>
  <c r="AW114" i="40"/>
  <c r="AU135" i="40"/>
  <c r="AU136" i="40"/>
  <c r="AU137" i="40"/>
  <c r="AX80" i="40"/>
  <c r="AW214" i="40"/>
  <c r="AV225" i="40"/>
  <c r="AV226" i="40"/>
  <c r="AV227" i="40"/>
  <c r="AW52" i="40"/>
  <c r="AV144" i="40"/>
  <c r="AW62" i="40"/>
  <c r="AV169" i="40"/>
  <c r="AY68" i="40"/>
  <c r="AX184" i="40"/>
  <c r="AU217" i="40"/>
  <c r="AU210" i="40"/>
  <c r="AU211" i="40"/>
  <c r="AU237" i="40"/>
  <c r="AU125" i="40"/>
  <c r="AU126" i="40"/>
  <c r="AU127" i="40"/>
  <c r="AW56" i="40"/>
  <c r="AV154" i="40"/>
  <c r="AU227" i="40"/>
  <c r="AW175" i="40"/>
  <c r="AW176" i="40"/>
  <c r="AW177" i="40"/>
  <c r="AU190" i="40"/>
  <c r="AU191" i="40"/>
  <c r="AX60" i="40"/>
  <c r="AW164" i="40"/>
  <c r="AW74" i="40"/>
  <c r="AV199" i="40"/>
  <c r="AV180" i="40"/>
  <c r="AV181" i="40"/>
  <c r="AT202" i="40"/>
  <c r="AU120" i="40"/>
  <c r="AU121" i="40"/>
  <c r="AU122" i="40"/>
  <c r="AV197" i="40"/>
  <c r="AU150" i="40"/>
  <c r="AU151" i="40"/>
  <c r="AU152" i="40"/>
  <c r="AX84" i="40"/>
  <c r="AW224" i="40"/>
  <c r="AU220" i="40"/>
  <c r="AU221" i="40"/>
  <c r="AU230" i="40"/>
  <c r="AU231" i="40"/>
  <c r="AU232" i="40"/>
  <c r="AV140" i="40"/>
  <c r="AV141" i="40"/>
  <c r="AY64" i="40"/>
  <c r="AX174" i="40"/>
  <c r="AV239" i="40"/>
  <c r="AY72" i="40"/>
  <c r="AX194" i="40"/>
  <c r="AU160" i="40"/>
  <c r="AU161" i="40"/>
  <c r="AV115" i="40"/>
  <c r="AV116" i="40"/>
  <c r="AV117" i="40"/>
  <c r="AW42" i="40"/>
  <c r="AV119" i="40"/>
  <c r="AW48" i="40"/>
  <c r="AV134" i="40"/>
  <c r="AV235" i="40"/>
  <c r="AV236" i="40"/>
  <c r="AV237" i="40"/>
  <c r="AW54" i="40"/>
  <c r="AV149" i="40"/>
  <c r="AU145" i="40"/>
  <c r="AU146" i="40"/>
  <c r="AU147" i="40"/>
  <c r="AW185" i="40"/>
  <c r="AW186" i="40"/>
  <c r="AW78" i="40"/>
  <c r="AV209" i="40"/>
  <c r="AW44" i="40"/>
  <c r="AV124" i="40"/>
  <c r="AU130" i="40"/>
  <c r="AU131" i="40"/>
  <c r="AU132" i="40"/>
  <c r="AT232" i="40"/>
  <c r="AT212" i="40"/>
  <c r="AW70" i="40"/>
  <c r="AV189" i="40"/>
  <c r="AU200" i="40"/>
  <c r="AU201" i="40"/>
  <c r="AU202" i="40"/>
  <c r="AT242" i="40"/>
  <c r="AX66" i="40"/>
  <c r="AW179" i="40"/>
  <c r="AV205" i="40"/>
  <c r="AV206" i="40"/>
  <c r="AV215" i="40"/>
  <c r="AV216" i="40"/>
  <c r="AV217" i="40"/>
  <c r="AX88" i="40"/>
  <c r="AW234" i="40"/>
  <c r="AP78" i="9"/>
  <c r="AO204" i="9"/>
  <c r="AE136" i="11"/>
  <c r="AE135" i="11"/>
  <c r="AQ165" i="10"/>
  <c r="AQ166" i="10"/>
  <c r="AK166" i="8"/>
  <c r="AK165" i="8"/>
  <c r="AE180" i="10"/>
  <c r="AE181" i="10"/>
  <c r="AO191" i="22"/>
  <c r="AO190" i="22"/>
  <c r="AW74" i="11"/>
  <c r="AV194" i="11"/>
  <c r="AE152" i="11"/>
  <c r="BE172" i="10"/>
  <c r="AG76" i="22"/>
  <c r="AF199" i="22"/>
  <c r="AL78" i="11"/>
  <c r="AK204" i="11"/>
  <c r="BD212" i="10"/>
  <c r="AM166" i="22"/>
  <c r="AM165" i="22"/>
  <c r="AK46" i="11"/>
  <c r="AJ124" i="11"/>
  <c r="AT197" i="11"/>
  <c r="BF157" i="10"/>
  <c r="AP64" i="9"/>
  <c r="AO169" i="9"/>
  <c r="AG46" i="6"/>
  <c r="AF138" i="6"/>
  <c r="AF139" i="6"/>
  <c r="AF140" i="6"/>
  <c r="AF141" i="6"/>
  <c r="AY145" i="10"/>
  <c r="AY146" i="10"/>
  <c r="AE205" i="8"/>
  <c r="AE206" i="8"/>
  <c r="AJ58" i="7"/>
  <c r="AI154" i="7"/>
  <c r="AE160" i="10"/>
  <c r="AE161" i="10"/>
  <c r="AR66" i="10"/>
  <c r="AQ174" i="10"/>
  <c r="AE165" i="9"/>
  <c r="AE166" i="9"/>
  <c r="AN205" i="9"/>
  <c r="AN206" i="9"/>
  <c r="BE55" i="11"/>
  <c r="BF227" i="11"/>
  <c r="AG50" i="11"/>
  <c r="AF134" i="11"/>
  <c r="AR164" i="10"/>
  <c r="AS62" i="10"/>
  <c r="AR155" i="8"/>
  <c r="AR156" i="8"/>
  <c r="AE185" i="8"/>
  <c r="AE186" i="8"/>
  <c r="AM62" i="8"/>
  <c r="AL164" i="8"/>
  <c r="AV70" i="10"/>
  <c r="AU184" i="10"/>
  <c r="AE176" i="7"/>
  <c r="AE175" i="7"/>
  <c r="AE200" i="11"/>
  <c r="AE201" i="11"/>
  <c r="AE200" i="10"/>
  <c r="AE201" i="10"/>
  <c r="AE201" i="22"/>
  <c r="AE200" i="22"/>
  <c r="AJ161" i="7"/>
  <c r="AJ160" i="7"/>
  <c r="AF201" i="7"/>
  <c r="AF200" i="7"/>
  <c r="BK61" i="11"/>
  <c r="BL230" i="11"/>
  <c r="AZ144" i="10"/>
  <c r="BA54" i="10"/>
  <c r="AF204" i="8"/>
  <c r="AG78" i="8"/>
  <c r="AH156" i="7"/>
  <c r="AH155" i="7"/>
  <c r="AG60" i="10"/>
  <c r="AF159" i="10"/>
  <c r="AP175" i="10"/>
  <c r="AP176" i="10"/>
  <c r="AL206" i="7"/>
  <c r="AL205" i="7"/>
  <c r="BG156" i="10"/>
  <c r="BG155" i="10"/>
  <c r="AG62" i="9"/>
  <c r="AF164" i="9"/>
  <c r="BA212" i="22"/>
  <c r="AP204" i="22"/>
  <c r="AQ78" i="22"/>
  <c r="AS187" i="10"/>
  <c r="AD207" i="8"/>
  <c r="AG157" i="7"/>
  <c r="AT58" i="8"/>
  <c r="AS154" i="8"/>
  <c r="AO177" i="10"/>
  <c r="AG70" i="8"/>
  <c r="AF184" i="8"/>
  <c r="AF150" i="11"/>
  <c r="AF151" i="11"/>
  <c r="BG169" i="10"/>
  <c r="BH64" i="10"/>
  <c r="AT185" i="10"/>
  <c r="AT186" i="10"/>
  <c r="AG66" i="7"/>
  <c r="AF174" i="7"/>
  <c r="AG76" i="11"/>
  <c r="AF199" i="11"/>
  <c r="AF199" i="10"/>
  <c r="AG76" i="10"/>
  <c r="BG174" i="9"/>
  <c r="BH66" i="9"/>
  <c r="AM184" i="22"/>
  <c r="AN70" i="22"/>
  <c r="AX147" i="10"/>
  <c r="BA177" i="22"/>
  <c r="AL60" i="7"/>
  <c r="AK159" i="7"/>
  <c r="AH76" i="7"/>
  <c r="AG199" i="7"/>
  <c r="AD202" i="22"/>
  <c r="AI207" i="11"/>
  <c r="BF209" i="10"/>
  <c r="BG80" i="10"/>
  <c r="AP167" i="10"/>
  <c r="BC174" i="22"/>
  <c r="BD66" i="22"/>
  <c r="AM204" i="7"/>
  <c r="AN78" i="7"/>
  <c r="BI58" i="10"/>
  <c r="BH154" i="10"/>
  <c r="AE202" i="7"/>
  <c r="AO206" i="22"/>
  <c r="AO205" i="22"/>
  <c r="BH81" i="8"/>
  <c r="BI240" i="8"/>
  <c r="AN192" i="22"/>
  <c r="AH56" i="11"/>
  <c r="AG149" i="11"/>
  <c r="BF171" i="10"/>
  <c r="BF170" i="10"/>
  <c r="AF179" i="10"/>
  <c r="AG68" i="10"/>
  <c r="AQ157" i="8"/>
  <c r="AQ72" i="22"/>
  <c r="AP189" i="22"/>
  <c r="AU195" i="11"/>
  <c r="AU196" i="11"/>
  <c r="AF149" i="22"/>
  <c r="AF150" i="22"/>
  <c r="AF151" i="22"/>
  <c r="AF152" i="22"/>
  <c r="AG56" i="22"/>
  <c r="BF175" i="9"/>
  <c r="BF176" i="9"/>
  <c r="AL186" i="22"/>
  <c r="AL185" i="22"/>
  <c r="AJ206" i="11"/>
  <c r="AJ205" i="11"/>
  <c r="AO62" i="22"/>
  <c r="AN164" i="22"/>
  <c r="AI125" i="11"/>
  <c r="AI126" i="11"/>
  <c r="AN171" i="9"/>
  <c r="AN170" i="9"/>
  <c r="BE210" i="10"/>
  <c r="BE211" i="10"/>
  <c r="BB175" i="22"/>
  <c r="BB176" i="22"/>
  <c r="S37" i="32"/>
  <c r="L20" i="26"/>
  <c r="W38" i="32"/>
  <c r="V38" i="32"/>
  <c r="AI38" i="32"/>
  <c r="Q38" i="31"/>
  <c r="R38" i="31"/>
  <c r="AA39" i="31"/>
  <c r="AI39" i="31"/>
  <c r="AF39" i="31"/>
  <c r="AJ39" i="31"/>
  <c r="AE39" i="31"/>
  <c r="AM39" i="31"/>
  <c r="AH39" i="31"/>
  <c r="Z39" i="31"/>
  <c r="X39" i="31"/>
  <c r="AC39" i="31"/>
  <c r="AG39" i="31"/>
  <c r="AL39" i="31"/>
  <c r="Y39" i="31"/>
  <c r="AK39" i="31"/>
  <c r="AD39" i="31"/>
  <c r="AB39" i="31"/>
  <c r="T39" i="31"/>
  <c r="L39" i="31"/>
  <c r="N39" i="31"/>
  <c r="O39" i="31"/>
  <c r="P39" i="31"/>
  <c r="AI40" i="11"/>
  <c r="AH109" i="11"/>
  <c r="AH110" i="11"/>
  <c r="AH111" i="11"/>
  <c r="AH112" i="11"/>
  <c r="AF109" i="10"/>
  <c r="AF110" i="10"/>
  <c r="AF111" i="10"/>
  <c r="AF112" i="10"/>
  <c r="AG40" i="10"/>
  <c r="AF89" i="10"/>
  <c r="AF90" i="10"/>
  <c r="AF91" i="10"/>
  <c r="AF92" i="10"/>
  <c r="AG32" i="10"/>
  <c r="AF114" i="10"/>
  <c r="AF115" i="10"/>
  <c r="AF116" i="10"/>
  <c r="AF117" i="10"/>
  <c r="AG42" i="10"/>
  <c r="AH44" i="10"/>
  <c r="AG119" i="10"/>
  <c r="AG120" i="10"/>
  <c r="AG121" i="10"/>
  <c r="AG122" i="10"/>
  <c r="AG52" i="10"/>
  <c r="AF139" i="10"/>
  <c r="AF140" i="10"/>
  <c r="AF141" i="10"/>
  <c r="AF142" i="10"/>
  <c r="AF129" i="10"/>
  <c r="AF130" i="10"/>
  <c r="AF131" i="10"/>
  <c r="AF132" i="10"/>
  <c r="AG48" i="10"/>
  <c r="AG38" i="10"/>
  <c r="AF104" i="10"/>
  <c r="AF105" i="10"/>
  <c r="AF106" i="10"/>
  <c r="AF107" i="10"/>
  <c r="AG34" i="10"/>
  <c r="AF94" i="10"/>
  <c r="AF95" i="10"/>
  <c r="AF96" i="10"/>
  <c r="AF97" i="10"/>
  <c r="AG30" i="10"/>
  <c r="AF84" i="10"/>
  <c r="AF85" i="10"/>
  <c r="AF86" i="10"/>
  <c r="AF87" i="10"/>
  <c r="AG46" i="10"/>
  <c r="AF124" i="10"/>
  <c r="AF125" i="10"/>
  <c r="AF126" i="10"/>
  <c r="AF127" i="10"/>
  <c r="AF134" i="22"/>
  <c r="AF135" i="22"/>
  <c r="AF136" i="22"/>
  <c r="AF137" i="22"/>
  <c r="AG50" i="22"/>
  <c r="AG42" i="22"/>
  <c r="AF114" i="22"/>
  <c r="AF115" i="22"/>
  <c r="AF116" i="22"/>
  <c r="AF117" i="22"/>
  <c r="AH46" i="22"/>
  <c r="AG124" i="22"/>
  <c r="AG125" i="22"/>
  <c r="AG126" i="22"/>
  <c r="AG127" i="22"/>
  <c r="AG139" i="22"/>
  <c r="AG140" i="22"/>
  <c r="AG141" i="22"/>
  <c r="AG142" i="22"/>
  <c r="AH52" i="22"/>
  <c r="AH50" i="8"/>
  <c r="AG134" i="8"/>
  <c r="AG135" i="8"/>
  <c r="AG136" i="8"/>
  <c r="AG137" i="8"/>
  <c r="AF124" i="8"/>
  <c r="AF125" i="8"/>
  <c r="AF126" i="8"/>
  <c r="AF127" i="8"/>
  <c r="AG46" i="8"/>
  <c r="AZ197" i="22"/>
  <c r="AV202" i="8"/>
  <c r="AI192" i="8"/>
  <c r="AZ197" i="10"/>
  <c r="AY197" i="7"/>
  <c r="BE132" i="11"/>
  <c r="AU192" i="11"/>
  <c r="BC187" i="9"/>
  <c r="BI142" i="11"/>
  <c r="BB207" i="10"/>
  <c r="AX162" i="22"/>
  <c r="AD192" i="9"/>
  <c r="BN87" i="22"/>
  <c r="L38" i="32"/>
  <c r="N38" i="32"/>
  <c r="O38" i="32"/>
  <c r="P38" i="32"/>
  <c r="T38" i="32"/>
  <c r="BF131" i="11"/>
  <c r="BF130" i="11"/>
  <c r="BA195" i="10"/>
  <c r="BA196" i="10"/>
  <c r="AE201" i="9"/>
  <c r="AE200" i="9"/>
  <c r="BF64" i="22"/>
  <c r="BE169" i="22"/>
  <c r="BC74" i="8"/>
  <c r="BB194" i="8"/>
  <c r="AY210" i="11"/>
  <c r="AY211" i="11"/>
  <c r="BD151" i="10"/>
  <c r="BD150" i="10"/>
  <c r="BF70" i="9"/>
  <c r="BE184" i="9"/>
  <c r="M154" i="2"/>
  <c r="L33" i="2"/>
  <c r="M40" i="31"/>
  <c r="AM33" i="2"/>
  <c r="M40" i="34"/>
  <c r="AN154" i="2"/>
  <c r="AZ197" i="8"/>
  <c r="BC206" i="10"/>
  <c r="BC205" i="10"/>
  <c r="AF89" i="22"/>
  <c r="AF90" i="22"/>
  <c r="AF91" i="22"/>
  <c r="AF92" i="22"/>
  <c r="AG32" i="22"/>
  <c r="BC152" i="10"/>
  <c r="S35" i="36"/>
  <c r="AF18" i="26"/>
  <c r="BO85" i="22"/>
  <c r="BO86" i="22"/>
  <c r="AZ66" i="11"/>
  <c r="AY174" i="11"/>
  <c r="BB70" i="7"/>
  <c r="BA184" i="7"/>
  <c r="AX177" i="8"/>
  <c r="AV190" i="11"/>
  <c r="AV191" i="11"/>
  <c r="BA182" i="9"/>
  <c r="BA60" i="22"/>
  <c r="AZ159" i="22"/>
  <c r="BA179" i="22"/>
  <c r="BB68" i="22"/>
  <c r="BC172" i="22"/>
  <c r="AY187" i="7"/>
  <c r="BH48" i="11"/>
  <c r="BG129" i="11"/>
  <c r="BC210" i="7"/>
  <c r="BC211" i="7"/>
  <c r="AG76" i="9"/>
  <c r="AF199" i="9"/>
  <c r="AG72" i="9"/>
  <c r="AF189" i="9"/>
  <c r="BH65" i="11"/>
  <c r="BI232" i="11"/>
  <c r="A156" i="2"/>
  <c r="BW156" i="2"/>
  <c r="A36" i="2"/>
  <c r="BM72" i="10"/>
  <c r="BL189" i="10"/>
  <c r="BA80" i="11"/>
  <c r="AZ209" i="11"/>
  <c r="AV33" i="2"/>
  <c r="M40" i="35"/>
  <c r="AW154" i="2"/>
  <c r="BN33" i="2"/>
  <c r="M40" i="37"/>
  <c r="BO154" i="2"/>
  <c r="BR169" i="7"/>
  <c r="BS64" i="7"/>
  <c r="AZ65" i="8"/>
  <c r="BA232" i="8"/>
  <c r="BB210" i="22"/>
  <c r="BB211" i="22"/>
  <c r="AY176" i="8"/>
  <c r="AY175" i="8"/>
  <c r="BD204" i="10"/>
  <c r="BE78" i="10"/>
  <c r="AZ196" i="7"/>
  <c r="AZ195" i="7"/>
  <c r="AZ185" i="7"/>
  <c r="AZ186" i="7"/>
  <c r="AX72" i="11"/>
  <c r="AW189" i="11"/>
  <c r="AY160" i="22"/>
  <c r="AY161" i="22"/>
  <c r="BE80" i="7"/>
  <c r="BD209" i="7"/>
  <c r="AE191" i="9"/>
  <c r="AE190" i="9"/>
  <c r="BC179" i="9"/>
  <c r="BD68" i="9"/>
  <c r="AY182" i="22"/>
  <c r="BE155" i="2"/>
  <c r="AM155" i="2"/>
  <c r="BN155" i="2"/>
  <c r="AD155" i="2"/>
  <c r="C155" i="2"/>
  <c r="AV155" i="2"/>
  <c r="U155" i="2"/>
  <c r="L155" i="2"/>
  <c r="BP172" i="7"/>
  <c r="BK190" i="10"/>
  <c r="BK191" i="10"/>
  <c r="BA196" i="22"/>
  <c r="BA195" i="22"/>
  <c r="BE212" i="9"/>
  <c r="C33" i="2"/>
  <c r="M41" i="30"/>
  <c r="D154" i="2"/>
  <c r="U33" i="2"/>
  <c r="M40" i="32"/>
  <c r="V154" i="2"/>
  <c r="BL63" i="11"/>
  <c r="BM231" i="11"/>
  <c r="AY68" i="8"/>
  <c r="AX179" i="8"/>
  <c r="BQ170" i="7"/>
  <c r="BQ171" i="7"/>
  <c r="BJ192" i="10"/>
  <c r="BC209" i="22"/>
  <c r="BD80" i="22"/>
  <c r="BA66" i="8"/>
  <c r="AZ174" i="8"/>
  <c r="AW200" i="8"/>
  <c r="AW201" i="8"/>
  <c r="BH179" i="7"/>
  <c r="BI68" i="7"/>
  <c r="BH80" i="9"/>
  <c r="BG209" i="9"/>
  <c r="AX212" i="11"/>
  <c r="AV182" i="8"/>
  <c r="BB74" i="7"/>
  <c r="BA194" i="7"/>
  <c r="AJ190" i="8"/>
  <c r="AJ191" i="8"/>
  <c r="AU161" i="8"/>
  <c r="AU160" i="8"/>
  <c r="AW177" i="11"/>
  <c r="BJ140" i="11"/>
  <c r="BJ141" i="11"/>
  <c r="BC74" i="10"/>
  <c r="BB194" i="10"/>
  <c r="BB180" i="9"/>
  <c r="BB181" i="9"/>
  <c r="BD170" i="22"/>
  <c r="BD171" i="22"/>
  <c r="BB194" i="22"/>
  <c r="BC74" i="22"/>
  <c r="BA196" i="8"/>
  <c r="BA195" i="8"/>
  <c r="BF56" i="10"/>
  <c r="BE149" i="10"/>
  <c r="BD186" i="9"/>
  <c r="BD185" i="9"/>
  <c r="AD33" i="2"/>
  <c r="M40" i="33"/>
  <c r="AE154" i="2"/>
  <c r="BE33" i="2"/>
  <c r="BF154" i="2"/>
  <c r="AW181" i="8"/>
  <c r="AW180" i="8"/>
  <c r="AY76" i="8"/>
  <c r="AX199" i="8"/>
  <c r="BG181" i="7"/>
  <c r="BG180" i="7"/>
  <c r="BF210" i="9"/>
  <c r="BF211" i="9"/>
  <c r="BQ30" i="22"/>
  <c r="BP84" i="22"/>
  <c r="AX175" i="11"/>
  <c r="AX176" i="11"/>
  <c r="BM69" i="11"/>
  <c r="BN234" i="11"/>
  <c r="AZ181" i="22"/>
  <c r="AZ180" i="22"/>
  <c r="AL72" i="8"/>
  <c r="AK189" i="8"/>
  <c r="AW60" i="8"/>
  <c r="AV159" i="8"/>
  <c r="BK139" i="11"/>
  <c r="BL52" i="11"/>
  <c r="AX73" i="7"/>
  <c r="AY236" i="7"/>
  <c r="T31" i="30"/>
  <c r="J47" i="30"/>
  <c r="W29" i="39"/>
  <c r="H46" i="30"/>
  <c r="AG42" i="8"/>
  <c r="AF114" i="8"/>
  <c r="AF115" i="8"/>
  <c r="AF116" i="8"/>
  <c r="AF117" i="8"/>
  <c r="AG44" i="8"/>
  <c r="AF119" i="8"/>
  <c r="AF120" i="8"/>
  <c r="AF121" i="8"/>
  <c r="AF122" i="8"/>
  <c r="AL34" i="8"/>
  <c r="AK94" i="8"/>
  <c r="AK95" i="8"/>
  <c r="AK96" i="8"/>
  <c r="AK97" i="8"/>
  <c r="AO62" i="7"/>
  <c r="AN164" i="7"/>
  <c r="AM165" i="7"/>
  <c r="AM166" i="7"/>
  <c r="AG32" i="11"/>
  <c r="AF89" i="11"/>
  <c r="AF90" i="11"/>
  <c r="AF91" i="11"/>
  <c r="AF92" i="11"/>
  <c r="AL167" i="7"/>
  <c r="AG52" i="9"/>
  <c r="AF139" i="9"/>
  <c r="AF140" i="9"/>
  <c r="AF141" i="9"/>
  <c r="AF142" i="9"/>
  <c r="AH30" i="9"/>
  <c r="AG84" i="9"/>
  <c r="AG85" i="9"/>
  <c r="AG86" i="9"/>
  <c r="AG87" i="9"/>
  <c r="AH86" i="1"/>
  <c r="AH87" i="1"/>
  <c r="AH88" i="1"/>
  <c r="AH89" i="1"/>
  <c r="AI30" i="1"/>
  <c r="AF141" i="1"/>
  <c r="AF142" i="1"/>
  <c r="AF143" i="1"/>
  <c r="AF144" i="1"/>
  <c r="AG52" i="1"/>
  <c r="AG34" i="1"/>
  <c r="AF96" i="1"/>
  <c r="AF97" i="1"/>
  <c r="AF98" i="1"/>
  <c r="AF99" i="1"/>
  <c r="AI32" i="1"/>
  <c r="AH91" i="1"/>
  <c r="AH92" i="1"/>
  <c r="AH93" i="1"/>
  <c r="AH94" i="1"/>
  <c r="AG64" i="1"/>
  <c r="AF171" i="1"/>
  <c r="AF172" i="1"/>
  <c r="AF173" i="1"/>
  <c r="AF174" i="1"/>
  <c r="AE142" i="1"/>
  <c r="AE143" i="1"/>
  <c r="AE144" i="1"/>
  <c r="AG48" i="1"/>
  <c r="AF131" i="1"/>
  <c r="AF132" i="1"/>
  <c r="AF133" i="1"/>
  <c r="AF134" i="1"/>
  <c r="AF156" i="1"/>
  <c r="AF157" i="1"/>
  <c r="AF158" i="1"/>
  <c r="AF159" i="1"/>
  <c r="AG58" i="1"/>
  <c r="AG68" i="1"/>
  <c r="AF181" i="1"/>
  <c r="AF182" i="1"/>
  <c r="AF183" i="1"/>
  <c r="AF184" i="1"/>
  <c r="AE172" i="1"/>
  <c r="AE173" i="1"/>
  <c r="AE174" i="1"/>
  <c r="AG50" i="1"/>
  <c r="AF136" i="1"/>
  <c r="AF137" i="1"/>
  <c r="AF138" i="1"/>
  <c r="AF139" i="1"/>
  <c r="AB37" i="33"/>
  <c r="AD37" i="33"/>
  <c r="AF37" i="33"/>
  <c r="AE37" i="33"/>
  <c r="AA37" i="33"/>
  <c r="X37" i="33"/>
  <c r="AH37" i="33"/>
  <c r="Z37" i="33"/>
  <c r="AG37" i="33"/>
  <c r="AJ37" i="33"/>
  <c r="Y37" i="33"/>
  <c r="AC37" i="33"/>
  <c r="AI37" i="33"/>
  <c r="AK37" i="33"/>
  <c r="L37" i="33"/>
  <c r="N37" i="33"/>
  <c r="O37" i="33"/>
  <c r="P37" i="33"/>
  <c r="T37" i="33"/>
  <c r="X38" i="32"/>
  <c r="L37" i="35"/>
  <c r="N37" i="35"/>
  <c r="O37" i="35"/>
  <c r="P37" i="35"/>
  <c r="AD132" i="22"/>
  <c r="AG119" i="22"/>
  <c r="AG120" i="22"/>
  <c r="AG121" i="22"/>
  <c r="AG122" i="22"/>
  <c r="AH44" i="22"/>
  <c r="AG22" i="6"/>
  <c r="AF78" i="6"/>
  <c r="AF79" i="6"/>
  <c r="AF80" i="6"/>
  <c r="AF81" i="6"/>
  <c r="AD91" i="6"/>
  <c r="AG36" i="6"/>
  <c r="AF113" i="6"/>
  <c r="AF114" i="6"/>
  <c r="AF115" i="6"/>
  <c r="AF116" i="6"/>
  <c r="AG128" i="6"/>
  <c r="AG129" i="6"/>
  <c r="AG130" i="6"/>
  <c r="AG131" i="6"/>
  <c r="AH42" i="6"/>
  <c r="AG28" i="6"/>
  <c r="AF93" i="6"/>
  <c r="AF94" i="6"/>
  <c r="AF95" i="6"/>
  <c r="AF96" i="6"/>
  <c r="AG32" i="6"/>
  <c r="AF103" i="6"/>
  <c r="AG34" i="6"/>
  <c r="AF108" i="6"/>
  <c r="AF109" i="6"/>
  <c r="AF110" i="6"/>
  <c r="AF111" i="6"/>
  <c r="AF133" i="6"/>
  <c r="AF134" i="6"/>
  <c r="AF135" i="6"/>
  <c r="AF136" i="6"/>
  <c r="AG44" i="6"/>
  <c r="AF83" i="6"/>
  <c r="AG24" i="6"/>
  <c r="AG98" i="6"/>
  <c r="AH30" i="6"/>
  <c r="AG26" i="6"/>
  <c r="AF88" i="6"/>
  <c r="AF89" i="6"/>
  <c r="AF90" i="6"/>
  <c r="AF91" i="6"/>
  <c r="AF123" i="6"/>
  <c r="AF124" i="6"/>
  <c r="AF125" i="6"/>
  <c r="AF126" i="6"/>
  <c r="AG40" i="6"/>
  <c r="AD199" i="1"/>
  <c r="AE194" i="1"/>
  <c r="AG218" i="1"/>
  <c r="AG217" i="1"/>
  <c r="AD119" i="1"/>
  <c r="AF219" i="1"/>
  <c r="AG42" i="1"/>
  <c r="AF116" i="1"/>
  <c r="AF117" i="1"/>
  <c r="AF118" i="1"/>
  <c r="AF119" i="1"/>
  <c r="AI82" i="1"/>
  <c r="AH216" i="1"/>
  <c r="AJ80" i="1"/>
  <c r="AI211" i="1"/>
  <c r="AI212" i="1"/>
  <c r="AI213" i="1"/>
  <c r="AI214" i="1"/>
  <c r="AD147" i="7"/>
  <c r="AE107" i="7"/>
  <c r="AH36" i="8"/>
  <c r="AG99" i="8"/>
  <c r="AG100" i="8"/>
  <c r="AG101" i="8"/>
  <c r="AG102" i="8"/>
  <c r="AJ104" i="8"/>
  <c r="AJ105" i="8"/>
  <c r="AJ106" i="8"/>
  <c r="AJ107" i="8"/>
  <c r="AK38" i="8"/>
  <c r="AH44" i="11"/>
  <c r="AG119" i="11"/>
  <c r="AF120" i="11"/>
  <c r="AF121" i="11"/>
  <c r="AF122" i="11"/>
  <c r="AH38" i="22"/>
  <c r="AG104" i="22"/>
  <c r="AG48" i="22"/>
  <c r="AF129" i="22"/>
  <c r="AF130" i="22"/>
  <c r="AF131" i="22"/>
  <c r="AF132" i="22"/>
  <c r="AF94" i="22"/>
  <c r="AF95" i="22"/>
  <c r="AF96" i="22"/>
  <c r="AF97" i="22"/>
  <c r="AG34" i="22"/>
  <c r="AJ40" i="7"/>
  <c r="AI109" i="7"/>
  <c r="AG99" i="7"/>
  <c r="AG100" i="7"/>
  <c r="AG101" i="7"/>
  <c r="AG102" i="7"/>
  <c r="AH36" i="7"/>
  <c r="AG104" i="7"/>
  <c r="AG105" i="7"/>
  <c r="AG106" i="7"/>
  <c r="AG107" i="7"/>
  <c r="AH38" i="7"/>
  <c r="AF94" i="7"/>
  <c r="AG34" i="7"/>
  <c r="AG42" i="7"/>
  <c r="AF114" i="7"/>
  <c r="AF115" i="7"/>
  <c r="AF116" i="7"/>
  <c r="AF117" i="7"/>
  <c r="AH30" i="7"/>
  <c r="AG84" i="7"/>
  <c r="AG85" i="7"/>
  <c r="AG86" i="7"/>
  <c r="AG87" i="7"/>
  <c r="AJ38" i="6"/>
  <c r="AI118" i="6"/>
  <c r="AJ144" i="9"/>
  <c r="AJ145" i="9"/>
  <c r="AJ146" i="9"/>
  <c r="AJ147" i="9"/>
  <c r="AK54" i="9"/>
  <c r="AI104" i="9"/>
  <c r="AI105" i="9"/>
  <c r="AI106" i="9"/>
  <c r="AI107" i="9"/>
  <c r="AJ38" i="9"/>
  <c r="AF94" i="9"/>
  <c r="AF95" i="9"/>
  <c r="AF96" i="9"/>
  <c r="AF97" i="9"/>
  <c r="AG34" i="9"/>
  <c r="AF42" i="9"/>
  <c r="AE114" i="9"/>
  <c r="AE115" i="9"/>
  <c r="AE116" i="9"/>
  <c r="AE117" i="9"/>
  <c r="AG46" i="9"/>
  <c r="AF124" i="9"/>
  <c r="AF125" i="9"/>
  <c r="AF126" i="9"/>
  <c r="AF127" i="9"/>
  <c r="AG134" i="9"/>
  <c r="AG135" i="9"/>
  <c r="AG136" i="9"/>
  <c r="AG137" i="9"/>
  <c r="AH50" i="9"/>
  <c r="AG44" i="9"/>
  <c r="AF119" i="9"/>
  <c r="AF120" i="9"/>
  <c r="AF121" i="9"/>
  <c r="AF122" i="9"/>
  <c r="AH89" i="9"/>
  <c r="AH90" i="9"/>
  <c r="AH91" i="9"/>
  <c r="AH92" i="9"/>
  <c r="AI32" i="9"/>
  <c r="AF149" i="9"/>
  <c r="AF150" i="9"/>
  <c r="AF151" i="9"/>
  <c r="AF152" i="9"/>
  <c r="AG56" i="9"/>
  <c r="AG48" i="9"/>
  <c r="AF129" i="9"/>
  <c r="AF130" i="9"/>
  <c r="AF131" i="9"/>
  <c r="AF132" i="9"/>
  <c r="AG202" i="1"/>
  <c r="AG203" i="1"/>
  <c r="AG161" i="1"/>
  <c r="AG162" i="1"/>
  <c r="AG163" i="1"/>
  <c r="AG164" i="1"/>
  <c r="AH60" i="1"/>
  <c r="AI76" i="1"/>
  <c r="AH201" i="1"/>
  <c r="AH202" i="1"/>
  <c r="AH203" i="1"/>
  <c r="AH204" i="1"/>
  <c r="AG78" i="1"/>
  <c r="AF206" i="1"/>
  <c r="AF207" i="1"/>
  <c r="AF208" i="1"/>
  <c r="AF209" i="1"/>
  <c r="AM56" i="1"/>
  <c r="AL151" i="1"/>
  <c r="AL152" i="1"/>
  <c r="AL153" i="1"/>
  <c r="AL154" i="1"/>
  <c r="AE187" i="1"/>
  <c r="AE188" i="1"/>
  <c r="AE189" i="1"/>
  <c r="AI66" i="1"/>
  <c r="AH176" i="1"/>
  <c r="AG74" i="1"/>
  <c r="AF196" i="1"/>
  <c r="AF197" i="1"/>
  <c r="AF198" i="1"/>
  <c r="AF199" i="1"/>
  <c r="AH72" i="1"/>
  <c r="AG191" i="1"/>
  <c r="AG192" i="1"/>
  <c r="AG193" i="1"/>
  <c r="AG194" i="1"/>
  <c r="AG70" i="1"/>
  <c r="AF186" i="1"/>
  <c r="AK115" i="11"/>
  <c r="AK116" i="11"/>
  <c r="AK117" i="11"/>
  <c r="AM42" i="11"/>
  <c r="AL114" i="11"/>
  <c r="W35" i="34"/>
  <c r="V35" i="34"/>
  <c r="K35" i="34"/>
  <c r="U38" i="35"/>
  <c r="AF105" i="11"/>
  <c r="AF106" i="11"/>
  <c r="AI85" i="11"/>
  <c r="AI86" i="11"/>
  <c r="AI87" i="11"/>
  <c r="AE107" i="11"/>
  <c r="AH38" i="11"/>
  <c r="AG104" i="11"/>
  <c r="AI36" i="11"/>
  <c r="AH99" i="11"/>
  <c r="AG100" i="11"/>
  <c r="AG101" i="11"/>
  <c r="AG102" i="11"/>
  <c r="AJ84" i="11"/>
  <c r="AK30" i="11"/>
  <c r="AF135" i="10"/>
  <c r="AF136" i="10"/>
  <c r="AF137" i="10"/>
  <c r="AG134" i="10"/>
  <c r="AH50" i="10"/>
  <c r="AF100" i="10"/>
  <c r="AF101" i="10"/>
  <c r="AH36" i="10"/>
  <c r="AG99" i="10"/>
  <c r="AE155" i="22"/>
  <c r="AE156" i="22"/>
  <c r="AE157" i="22"/>
  <c r="AG58" i="22"/>
  <c r="AF154" i="22"/>
  <c r="AF100" i="22"/>
  <c r="AF101" i="22"/>
  <c r="AF102" i="22"/>
  <c r="AF110" i="22"/>
  <c r="AF111" i="22"/>
  <c r="AF112" i="22"/>
  <c r="AG144" i="22"/>
  <c r="AH54" i="22"/>
  <c r="AG109" i="22"/>
  <c r="AH40" i="22"/>
  <c r="AH36" i="22"/>
  <c r="AG99" i="22"/>
  <c r="AF145" i="22"/>
  <c r="AF146" i="22"/>
  <c r="AF147" i="22"/>
  <c r="AH150" i="8"/>
  <c r="AH151" i="8"/>
  <c r="AH152" i="8"/>
  <c r="AJ56" i="8"/>
  <c r="AI149" i="8"/>
  <c r="AG144" i="8"/>
  <c r="AH54" i="8"/>
  <c r="AF145" i="8"/>
  <c r="AF146" i="8"/>
  <c r="AF147" i="8"/>
  <c r="AE140" i="8"/>
  <c r="AE141" i="8"/>
  <c r="AE142" i="8"/>
  <c r="AF30" i="8"/>
  <c r="AE84" i="8"/>
  <c r="AE130" i="8"/>
  <c r="AE131" i="8"/>
  <c r="AE132" i="8"/>
  <c r="AE110" i="8"/>
  <c r="AE111" i="8"/>
  <c r="AE112" i="8"/>
  <c r="AF89" i="8"/>
  <c r="AG32" i="8"/>
  <c r="AF129" i="8"/>
  <c r="AG48" i="8"/>
  <c r="AF109" i="8"/>
  <c r="AG40" i="8"/>
  <c r="AF139" i="8"/>
  <c r="AG52" i="8"/>
  <c r="AE90" i="8"/>
  <c r="AE91" i="8"/>
  <c r="AE92" i="8"/>
  <c r="AD85" i="8"/>
  <c r="AD86" i="8"/>
  <c r="AD87" i="8"/>
  <c r="AE145" i="7"/>
  <c r="AE146" i="7"/>
  <c r="AE147" i="7"/>
  <c r="AG54" i="7"/>
  <c r="AF144" i="7"/>
  <c r="AF139" i="7"/>
  <c r="AG52" i="7"/>
  <c r="AE140" i="7"/>
  <c r="AE141" i="7"/>
  <c r="AE142" i="7"/>
  <c r="AG50" i="7"/>
  <c r="AF134" i="7"/>
  <c r="AE135" i="7"/>
  <c r="AE136" i="7"/>
  <c r="AE137" i="7"/>
  <c r="AH120" i="7"/>
  <c r="AH121" i="7"/>
  <c r="AH122" i="7"/>
  <c r="AG125" i="7"/>
  <c r="AG126" i="7"/>
  <c r="AG127" i="7"/>
  <c r="AI119" i="7"/>
  <c r="AJ44" i="7"/>
  <c r="AL90" i="7"/>
  <c r="AL91" i="7"/>
  <c r="AL92" i="7"/>
  <c r="AI46" i="7"/>
  <c r="AH124" i="7"/>
  <c r="AN32" i="7"/>
  <c r="AM89" i="7"/>
  <c r="AE164" i="6"/>
  <c r="AE165" i="6"/>
  <c r="AE166" i="6"/>
  <c r="AG56" i="6"/>
  <c r="AF163" i="6"/>
  <c r="AE159" i="6"/>
  <c r="AE160" i="6"/>
  <c r="AE161" i="6"/>
  <c r="AG54" i="6"/>
  <c r="AF158" i="6"/>
  <c r="AE154" i="6"/>
  <c r="AE155" i="6"/>
  <c r="AE156" i="6"/>
  <c r="AG52" i="6"/>
  <c r="AF153" i="6"/>
  <c r="AF148" i="6"/>
  <c r="AG50" i="6"/>
  <c r="AE149" i="6"/>
  <c r="AE150" i="6"/>
  <c r="AE151" i="6"/>
  <c r="AG48" i="6"/>
  <c r="AF143" i="6"/>
  <c r="AE144" i="6"/>
  <c r="AE145" i="6"/>
  <c r="AE146" i="6"/>
  <c r="AF160" i="9"/>
  <c r="AF161" i="9"/>
  <c r="AF162" i="9"/>
  <c r="AG159" i="9"/>
  <c r="AH60" i="9"/>
  <c r="AF154" i="9"/>
  <c r="AG58" i="9"/>
  <c r="AE155" i="9"/>
  <c r="AE156" i="9"/>
  <c r="AE157" i="9"/>
  <c r="AF110" i="9"/>
  <c r="AF111" i="9"/>
  <c r="AF112" i="9"/>
  <c r="AF100" i="9"/>
  <c r="AF101" i="9"/>
  <c r="AF102" i="9"/>
  <c r="AG109" i="9"/>
  <c r="AH40" i="9"/>
  <c r="AH36" i="9"/>
  <c r="AG99" i="9"/>
  <c r="AE167" i="1"/>
  <c r="AE168" i="1"/>
  <c r="AE169" i="1"/>
  <c r="AF166" i="1"/>
  <c r="AG62" i="1"/>
  <c r="AF126" i="1"/>
  <c r="AG46" i="1"/>
  <c r="AE147" i="1"/>
  <c r="AE148" i="1"/>
  <c r="AE149" i="1"/>
  <c r="AE127" i="1"/>
  <c r="AE128" i="1"/>
  <c r="AG54" i="1"/>
  <c r="AF146" i="1"/>
  <c r="AG122" i="1"/>
  <c r="AG123" i="1"/>
  <c r="AG124" i="1"/>
  <c r="AI44" i="1"/>
  <c r="AH121" i="1"/>
  <c r="AE107" i="1"/>
  <c r="AE108" i="1"/>
  <c r="AE109" i="1"/>
  <c r="AH111" i="1"/>
  <c r="AI40" i="1"/>
  <c r="AG102" i="1"/>
  <c r="AG103" i="1"/>
  <c r="AG104" i="1"/>
  <c r="AF106" i="1"/>
  <c r="AG38" i="1"/>
  <c r="AG112" i="1"/>
  <c r="AG113" i="1"/>
  <c r="AG114" i="1"/>
  <c r="AI36" i="1"/>
  <c r="AH101" i="1"/>
  <c r="U38" i="37"/>
  <c r="W38" i="37"/>
  <c r="V38" i="37"/>
  <c r="P39" i="37"/>
  <c r="Q39" i="37"/>
  <c r="AF19" i="26"/>
  <c r="R34" i="36"/>
  <c r="AF17" i="26"/>
  <c r="P38" i="36"/>
  <c r="Q38" i="36"/>
  <c r="AH48" i="7"/>
  <c r="AG129" i="7"/>
  <c r="AG130" i="7"/>
  <c r="AG131" i="7"/>
  <c r="AG132" i="7"/>
  <c r="W37" i="36"/>
  <c r="V37" i="36"/>
  <c r="K37" i="36"/>
  <c r="T37" i="36"/>
  <c r="AF38" i="32"/>
  <c r="BX156" i="2"/>
  <c r="BW35" i="2"/>
  <c r="M42" i="41"/>
  <c r="U32" i="30"/>
  <c r="W32" i="30"/>
  <c r="V32" i="30"/>
  <c r="Y32" i="30"/>
  <c r="BM196" i="9"/>
  <c r="BM197" i="9"/>
  <c r="BM195" i="9"/>
  <c r="AX59" i="11"/>
  <c r="AY229" i="11"/>
  <c r="BO74" i="9"/>
  <c r="BN194" i="9"/>
  <c r="BL197" i="9"/>
  <c r="M40" i="36"/>
  <c r="CF33" i="2"/>
  <c r="AC31" i="41"/>
  <c r="U32" i="41"/>
  <c r="W32" i="41"/>
  <c r="V32" i="41"/>
  <c r="AD31" i="41"/>
  <c r="Y31" i="41"/>
  <c r="Z31" i="41"/>
  <c r="AE31" i="41"/>
  <c r="X31" i="41"/>
  <c r="K31" i="41"/>
  <c r="L31" i="41"/>
  <c r="N31" i="41"/>
  <c r="O31" i="41"/>
  <c r="P31" i="41"/>
  <c r="P32" i="41"/>
  <c r="AB31" i="41"/>
  <c r="S34" i="33"/>
  <c r="Q17" i="26"/>
  <c r="R26" i="41"/>
  <c r="AO192" i="22"/>
  <c r="AP177" i="10"/>
  <c r="AE202" i="11"/>
  <c r="AE187" i="8"/>
  <c r="AR157" i="8"/>
  <c r="AE202" i="10"/>
  <c r="AE167" i="9"/>
  <c r="AE162" i="10"/>
  <c r="AE137" i="11"/>
  <c r="BB212" i="22"/>
  <c r="AL187" i="22"/>
  <c r="AO207" i="22"/>
  <c r="AJ162" i="7"/>
  <c r="AM167" i="22"/>
  <c r="AE182" i="10"/>
  <c r="AE202" i="9"/>
  <c r="AJ207" i="11"/>
  <c r="AT187" i="10"/>
  <c r="AF152" i="11"/>
  <c r="AQ167" i="10"/>
  <c r="BC275" i="40"/>
  <c r="BC276" i="40"/>
  <c r="BC277" i="40"/>
  <c r="AW249" i="40"/>
  <c r="AX94" i="40"/>
  <c r="AW284" i="40"/>
  <c r="AW285" i="40"/>
  <c r="AW286" i="40"/>
  <c r="AW287" i="40"/>
  <c r="AX108" i="40"/>
  <c r="AW264" i="40"/>
  <c r="AX100" i="40"/>
  <c r="BB280" i="40"/>
  <c r="BB281" i="40"/>
  <c r="BB282" i="40"/>
  <c r="AV285" i="40"/>
  <c r="AV286" i="40"/>
  <c r="AV287" i="40"/>
  <c r="BC255" i="40"/>
  <c r="BC256" i="40"/>
  <c r="BC257" i="40"/>
  <c r="AW289" i="40"/>
  <c r="AW290" i="40"/>
  <c r="AW291" i="40"/>
  <c r="AW292" i="40"/>
  <c r="AX110" i="40"/>
  <c r="AW244" i="40"/>
  <c r="AW245" i="40"/>
  <c r="AW246" i="40"/>
  <c r="AW247" i="40"/>
  <c r="AX92" i="40"/>
  <c r="AW269" i="40"/>
  <c r="AW270" i="40"/>
  <c r="AW271" i="40"/>
  <c r="AW272" i="40"/>
  <c r="AX102" i="40"/>
  <c r="BD260" i="40"/>
  <c r="BD261" i="40"/>
  <c r="BD262" i="40"/>
  <c r="AV290" i="40"/>
  <c r="AV291" i="40"/>
  <c r="AV292" i="40"/>
  <c r="AV245" i="40"/>
  <c r="AV246" i="40"/>
  <c r="AV247" i="40"/>
  <c r="BD96" i="40"/>
  <c r="BD254" i="40"/>
  <c r="BE98" i="40"/>
  <c r="BE259" i="40"/>
  <c r="BE260" i="40"/>
  <c r="BE261" i="40"/>
  <c r="BE262" i="40"/>
  <c r="BD104" i="40"/>
  <c r="BD274" i="40"/>
  <c r="BD275" i="40"/>
  <c r="BD276" i="40"/>
  <c r="BD277" i="40"/>
  <c r="BC106" i="40"/>
  <c r="BC279" i="40"/>
  <c r="AZ90" i="40"/>
  <c r="AW180" i="40"/>
  <c r="AW181" i="40"/>
  <c r="AW182" i="40"/>
  <c r="AV135" i="40"/>
  <c r="AV136" i="40"/>
  <c r="AV137" i="40"/>
  <c r="AZ72" i="40"/>
  <c r="AY194" i="40"/>
  <c r="AX185" i="40"/>
  <c r="AX186" i="40"/>
  <c r="AX187" i="40"/>
  <c r="AW115" i="40"/>
  <c r="AW116" i="40"/>
  <c r="AW117" i="40"/>
  <c r="AV220" i="40"/>
  <c r="AV221" i="40"/>
  <c r="AY88" i="40"/>
  <c r="AX234" i="40"/>
  <c r="AX44" i="40"/>
  <c r="AW124" i="40"/>
  <c r="AW187" i="40"/>
  <c r="AV150" i="40"/>
  <c r="AV151" i="40"/>
  <c r="AV152" i="40"/>
  <c r="AV120" i="40"/>
  <c r="AV121" i="40"/>
  <c r="AV122" i="40"/>
  <c r="AW239" i="40"/>
  <c r="AV142" i="40"/>
  <c r="AU222" i="40"/>
  <c r="AY84" i="40"/>
  <c r="AX224" i="40"/>
  <c r="AW165" i="40"/>
  <c r="AW166" i="40"/>
  <c r="AW167" i="40"/>
  <c r="AV155" i="40"/>
  <c r="AV156" i="40"/>
  <c r="AV157" i="40"/>
  <c r="AV170" i="40"/>
  <c r="AV171" i="40"/>
  <c r="AX52" i="40"/>
  <c r="AW144" i="40"/>
  <c r="AW215" i="40"/>
  <c r="AW216" i="40"/>
  <c r="AW217" i="40"/>
  <c r="AW205" i="40"/>
  <c r="AW206" i="40"/>
  <c r="AW207" i="40"/>
  <c r="AV167" i="40"/>
  <c r="AW140" i="40"/>
  <c r="AW141" i="40"/>
  <c r="AW142" i="40"/>
  <c r="AX46" i="40"/>
  <c r="AW129" i="40"/>
  <c r="AV230" i="40"/>
  <c r="AV231" i="40"/>
  <c r="AX70" i="40"/>
  <c r="AW189" i="40"/>
  <c r="AX175" i="40"/>
  <c r="AX176" i="40"/>
  <c r="AV200" i="40"/>
  <c r="AV201" i="40"/>
  <c r="AV202" i="40"/>
  <c r="AX56" i="40"/>
  <c r="AW154" i="40"/>
  <c r="AW235" i="40"/>
  <c r="AW236" i="40"/>
  <c r="AW237" i="40"/>
  <c r="AY66" i="40"/>
  <c r="AX179" i="40"/>
  <c r="AV125" i="40"/>
  <c r="AV126" i="40"/>
  <c r="AV127" i="40"/>
  <c r="AX42" i="40"/>
  <c r="AW119" i="40"/>
  <c r="AU162" i="40"/>
  <c r="AV240" i="40"/>
  <c r="AV241" i="40"/>
  <c r="AW225" i="40"/>
  <c r="AW226" i="40"/>
  <c r="AW227" i="40"/>
  <c r="AY60" i="40"/>
  <c r="AX164" i="40"/>
  <c r="AX62" i="40"/>
  <c r="AW169" i="40"/>
  <c r="AY80" i="40"/>
  <c r="AX214" i="40"/>
  <c r="AY40" i="40"/>
  <c r="AX114" i="40"/>
  <c r="AY76" i="40"/>
  <c r="AX204" i="40"/>
  <c r="AY50" i="40"/>
  <c r="AX139" i="40"/>
  <c r="AX86" i="40"/>
  <c r="AW229" i="40"/>
  <c r="AV210" i="40"/>
  <c r="AV211" i="40"/>
  <c r="AX54" i="40"/>
  <c r="AW149" i="40"/>
  <c r="AX58" i="40"/>
  <c r="AW159" i="40"/>
  <c r="AV207" i="40"/>
  <c r="AV190" i="40"/>
  <c r="AV191" i="40"/>
  <c r="AV192" i="40"/>
  <c r="AX78" i="40"/>
  <c r="AW209" i="40"/>
  <c r="AW134" i="40"/>
  <c r="AX48" i="40"/>
  <c r="AX195" i="40"/>
  <c r="AX196" i="40"/>
  <c r="AZ64" i="40"/>
  <c r="AY174" i="40"/>
  <c r="AV182" i="40"/>
  <c r="AX74" i="40"/>
  <c r="AW199" i="40"/>
  <c r="AU192" i="40"/>
  <c r="AU212" i="40"/>
  <c r="AZ68" i="40"/>
  <c r="AY184" i="40"/>
  <c r="AV145" i="40"/>
  <c r="AV146" i="40"/>
  <c r="AV147" i="40"/>
  <c r="AV160" i="40"/>
  <c r="AV161" i="40"/>
  <c r="AV162" i="40"/>
  <c r="AU242" i="40"/>
  <c r="AV130" i="40"/>
  <c r="AV131" i="40"/>
  <c r="AV132" i="40"/>
  <c r="AU157" i="40"/>
  <c r="AU172" i="40"/>
  <c r="AX82" i="40"/>
  <c r="AW219" i="40"/>
  <c r="AZ182" i="22"/>
  <c r="BG182" i="7"/>
  <c r="BE212" i="10"/>
  <c r="AI127" i="11"/>
  <c r="BF177" i="9"/>
  <c r="AU197" i="11"/>
  <c r="BF172" i="10"/>
  <c r="AM205" i="7"/>
  <c r="AM206" i="7"/>
  <c r="BG209" i="10"/>
  <c r="BH80" i="10"/>
  <c r="AG201" i="7"/>
  <c r="AG200" i="7"/>
  <c r="BH174" i="9"/>
  <c r="BI66" i="9"/>
  <c r="AH66" i="7"/>
  <c r="AG174" i="7"/>
  <c r="BG171" i="10"/>
  <c r="BG170" i="10"/>
  <c r="AH70" i="8"/>
  <c r="AG184" i="8"/>
  <c r="AU58" i="8"/>
  <c r="AT154" i="8"/>
  <c r="AR78" i="22"/>
  <c r="AQ204" i="22"/>
  <c r="AH62" i="9"/>
  <c r="AG164" i="9"/>
  <c r="AL207" i="7"/>
  <c r="AH60" i="10"/>
  <c r="AG159" i="10"/>
  <c r="AF205" i="8"/>
  <c r="AF206" i="8"/>
  <c r="BK230" i="11"/>
  <c r="BJ61" i="11"/>
  <c r="AV184" i="10"/>
  <c r="AW70" i="10"/>
  <c r="AH50" i="11"/>
  <c r="AG134" i="11"/>
  <c r="AS66" i="10"/>
  <c r="AR174" i="10"/>
  <c r="AK58" i="7"/>
  <c r="AJ154" i="7"/>
  <c r="AQ64" i="9"/>
  <c r="AP169" i="9"/>
  <c r="AL46" i="11"/>
  <c r="AK124" i="11"/>
  <c r="AK205" i="11"/>
  <c r="AK206" i="11"/>
  <c r="AH68" i="10"/>
  <c r="AG179" i="10"/>
  <c r="AG150" i="11"/>
  <c r="AG151" i="11"/>
  <c r="BG81" i="8"/>
  <c r="BH240" i="8"/>
  <c r="BH155" i="10"/>
  <c r="BH156" i="10"/>
  <c r="BE66" i="22"/>
  <c r="BD174" i="22"/>
  <c r="BF210" i="10"/>
  <c r="BF211" i="10"/>
  <c r="AI76" i="7"/>
  <c r="AH199" i="7"/>
  <c r="BG176" i="9"/>
  <c r="BG175" i="9"/>
  <c r="AF200" i="11"/>
  <c r="AF201" i="11"/>
  <c r="AP205" i="22"/>
  <c r="AP206" i="22"/>
  <c r="BA144" i="10"/>
  <c r="BB54" i="10"/>
  <c r="AL165" i="8"/>
  <c r="AL166" i="8"/>
  <c r="AS164" i="10"/>
  <c r="AT62" i="10"/>
  <c r="AM78" i="11"/>
  <c r="AL204" i="11"/>
  <c r="U40" i="31"/>
  <c r="K40" i="31"/>
  <c r="BB177" i="22"/>
  <c r="AN172" i="9"/>
  <c r="AN165" i="22"/>
  <c r="AN166" i="22"/>
  <c r="AH56" i="22"/>
  <c r="AG149" i="22"/>
  <c r="AG150" i="22"/>
  <c r="AG151" i="22"/>
  <c r="AG152" i="22"/>
  <c r="AP191" i="22"/>
  <c r="AP190" i="22"/>
  <c r="AF181" i="10"/>
  <c r="AF180" i="10"/>
  <c r="AI56" i="11"/>
  <c r="AH149" i="11"/>
  <c r="BJ58" i="10"/>
  <c r="BI154" i="10"/>
  <c r="BC175" i="22"/>
  <c r="BC176" i="22"/>
  <c r="AK160" i="7"/>
  <c r="AK161" i="7"/>
  <c r="AN184" i="22"/>
  <c r="AO70" i="22"/>
  <c r="AH76" i="10"/>
  <c r="AG199" i="10"/>
  <c r="AH76" i="11"/>
  <c r="AG199" i="11"/>
  <c r="BG157" i="10"/>
  <c r="AH157" i="7"/>
  <c r="AZ146" i="10"/>
  <c r="AZ145" i="10"/>
  <c r="AE177" i="7"/>
  <c r="AN62" i="8"/>
  <c r="AM164" i="8"/>
  <c r="AR166" i="10"/>
  <c r="AR165" i="10"/>
  <c r="BD55" i="11"/>
  <c r="BE227" i="11"/>
  <c r="AE207" i="8"/>
  <c r="AG138" i="6"/>
  <c r="AG139" i="6"/>
  <c r="AG140" i="6"/>
  <c r="AG141" i="6"/>
  <c r="AH46" i="6"/>
  <c r="AF201" i="22"/>
  <c r="AF200" i="22"/>
  <c r="AV195" i="11"/>
  <c r="AV196" i="11"/>
  <c r="AK167" i="8"/>
  <c r="AO206" i="9"/>
  <c r="AO205" i="9"/>
  <c r="AO164" i="22"/>
  <c r="AP62" i="22"/>
  <c r="AR72" i="22"/>
  <c r="AQ189" i="22"/>
  <c r="AN204" i="7"/>
  <c r="AO78" i="7"/>
  <c r="AM60" i="7"/>
  <c r="AL159" i="7"/>
  <c r="AM186" i="22"/>
  <c r="AM185" i="22"/>
  <c r="AF201" i="10"/>
  <c r="AF200" i="10"/>
  <c r="AF176" i="7"/>
  <c r="AF175" i="7"/>
  <c r="BH169" i="10"/>
  <c r="BI64" i="10"/>
  <c r="AF186" i="8"/>
  <c r="AF185" i="8"/>
  <c r="AS155" i="8"/>
  <c r="AS156" i="8"/>
  <c r="AF165" i="9"/>
  <c r="AF166" i="9"/>
  <c r="AF161" i="10"/>
  <c r="AF160" i="10"/>
  <c r="AH78" i="8"/>
  <c r="AG204" i="8"/>
  <c r="AF202" i="7"/>
  <c r="AE202" i="22"/>
  <c r="AU185" i="10"/>
  <c r="AU186" i="10"/>
  <c r="AF135" i="11"/>
  <c r="AF136" i="11"/>
  <c r="AN207" i="9"/>
  <c r="AQ176" i="10"/>
  <c r="AQ175" i="10"/>
  <c r="AI155" i="7"/>
  <c r="AI156" i="7"/>
  <c r="AY147" i="10"/>
  <c r="AO170" i="9"/>
  <c r="AO171" i="9"/>
  <c r="AJ125" i="11"/>
  <c r="AJ126" i="11"/>
  <c r="AH76" i="22"/>
  <c r="AG199" i="22"/>
  <c r="AX74" i="11"/>
  <c r="AW194" i="11"/>
  <c r="AQ78" i="9"/>
  <c r="AP204" i="9"/>
  <c r="Q37" i="35"/>
  <c r="R37" i="35"/>
  <c r="Q37" i="33"/>
  <c r="Q38" i="32"/>
  <c r="R38" i="32"/>
  <c r="AA38" i="32"/>
  <c r="AK38" i="32"/>
  <c r="Y38" i="32"/>
  <c r="AL38" i="32"/>
  <c r="AC38" i="32"/>
  <c r="AG38" i="32"/>
  <c r="AE38" i="32"/>
  <c r="AH38" i="32"/>
  <c r="Z38" i="32"/>
  <c r="AB38" i="32"/>
  <c r="AD38" i="32"/>
  <c r="AJ38" i="32"/>
  <c r="Q39" i="31"/>
  <c r="R39" i="31"/>
  <c r="G21" i="26"/>
  <c r="S38" i="31"/>
  <c r="AJ40" i="11"/>
  <c r="AI109" i="11"/>
  <c r="AI110" i="11"/>
  <c r="AI111" i="11"/>
  <c r="AI112" i="11"/>
  <c r="AG129" i="10"/>
  <c r="AG130" i="10"/>
  <c r="AG131" i="10"/>
  <c r="AG132" i="10"/>
  <c r="AH48" i="10"/>
  <c r="AH32" i="10"/>
  <c r="AG89" i="10"/>
  <c r="AG90" i="10"/>
  <c r="AG91" i="10"/>
  <c r="AG92" i="10"/>
  <c r="AG124" i="10"/>
  <c r="AG125" i="10"/>
  <c r="AG126" i="10"/>
  <c r="AG127" i="10"/>
  <c r="AH46" i="10"/>
  <c r="AH34" i="10"/>
  <c r="AG94" i="10"/>
  <c r="AG95" i="10"/>
  <c r="AG96" i="10"/>
  <c r="AG97" i="10"/>
  <c r="AI44" i="10"/>
  <c r="AH119" i="10"/>
  <c r="AH120" i="10"/>
  <c r="AH121" i="10"/>
  <c r="AH122" i="10"/>
  <c r="AH42" i="10"/>
  <c r="AG114" i="10"/>
  <c r="AG115" i="10"/>
  <c r="AG116" i="10"/>
  <c r="AG117" i="10"/>
  <c r="AG109" i="10"/>
  <c r="AG110" i="10"/>
  <c r="AG111" i="10"/>
  <c r="AG112" i="10"/>
  <c r="AH40" i="10"/>
  <c r="AH30" i="10"/>
  <c r="AG84" i="10"/>
  <c r="AG85" i="10"/>
  <c r="AG86" i="10"/>
  <c r="AG87" i="10"/>
  <c r="AG104" i="10"/>
  <c r="AG105" i="10"/>
  <c r="AG106" i="10"/>
  <c r="AG107" i="10"/>
  <c r="AH38" i="10"/>
  <c r="AH52" i="10"/>
  <c r="AG139" i="10"/>
  <c r="AG140" i="10"/>
  <c r="AG141" i="10"/>
  <c r="AG142" i="10"/>
  <c r="AI46" i="22"/>
  <c r="AH124" i="22"/>
  <c r="AH125" i="22"/>
  <c r="AH126" i="22"/>
  <c r="AH127" i="22"/>
  <c r="AG114" i="22"/>
  <c r="AG115" i="22"/>
  <c r="AG116" i="22"/>
  <c r="AG117" i="22"/>
  <c r="AH42" i="22"/>
  <c r="AH139" i="22"/>
  <c r="AH140" i="22"/>
  <c r="AH141" i="22"/>
  <c r="AH142" i="22"/>
  <c r="AI52" i="22"/>
  <c r="AH50" i="22"/>
  <c r="AG134" i="22"/>
  <c r="AG135" i="22"/>
  <c r="AG136" i="22"/>
  <c r="AG137" i="22"/>
  <c r="AH46" i="8"/>
  <c r="AG124" i="8"/>
  <c r="AG125" i="8"/>
  <c r="AG126" i="8"/>
  <c r="AG127" i="8"/>
  <c r="AI50" i="8"/>
  <c r="AH134" i="8"/>
  <c r="AH135" i="8"/>
  <c r="AH136" i="8"/>
  <c r="AH137" i="8"/>
  <c r="AU162" i="8"/>
  <c r="BC207" i="10"/>
  <c r="AW202" i="8"/>
  <c r="BC212" i="7"/>
  <c r="AJ192" i="8"/>
  <c r="BO87" i="22"/>
  <c r="BD152" i="10"/>
  <c r="BF132" i="11"/>
  <c r="AX177" i="11"/>
  <c r="BF212" i="9"/>
  <c r="BQ172" i="7"/>
  <c r="AE192" i="9"/>
  <c r="AZ197" i="7"/>
  <c r="AW73" i="7"/>
  <c r="AX236" i="7"/>
  <c r="BK140" i="11"/>
  <c r="BK141" i="11"/>
  <c r="BQ84" i="22"/>
  <c r="BR30" i="22"/>
  <c r="AW182" i="8"/>
  <c r="BD172" i="22"/>
  <c r="BB182" i="9"/>
  <c r="BD74" i="10"/>
  <c r="BC194" i="10"/>
  <c r="BA195" i="7"/>
  <c r="BA196" i="7"/>
  <c r="AX180" i="8"/>
  <c r="AX181" i="8"/>
  <c r="BA197" i="22"/>
  <c r="BK192" i="10"/>
  <c r="AV34" i="2"/>
  <c r="M41" i="35"/>
  <c r="AW155" i="2"/>
  <c r="AM34" i="2"/>
  <c r="M41" i="34"/>
  <c r="AN155" i="2"/>
  <c r="BE68" i="9"/>
  <c r="BD179" i="9"/>
  <c r="BD211" i="7"/>
  <c r="BD210" i="7"/>
  <c r="AY72" i="11"/>
  <c r="AX189" i="11"/>
  <c r="AZ187" i="7"/>
  <c r="AY177" i="8"/>
  <c r="AY65" i="8"/>
  <c r="AZ232" i="8"/>
  <c r="BL190" i="10"/>
  <c r="BL191" i="10"/>
  <c r="A157" i="2"/>
  <c r="BW157" i="2"/>
  <c r="A37" i="2"/>
  <c r="AH72" i="9"/>
  <c r="AG189" i="9"/>
  <c r="BG131" i="11"/>
  <c r="BG130" i="11"/>
  <c r="BA159" i="22"/>
  <c r="BB60" i="22"/>
  <c r="AY175" i="11"/>
  <c r="AY176" i="11"/>
  <c r="BE186" i="9"/>
  <c r="BE185" i="9"/>
  <c r="AY212" i="11"/>
  <c r="BD74" i="8"/>
  <c r="BC194" i="8"/>
  <c r="BE170" i="22"/>
  <c r="BE171" i="22"/>
  <c r="BA197" i="10"/>
  <c r="BL69" i="11"/>
  <c r="BM234" i="11"/>
  <c r="AX201" i="8"/>
  <c r="AX200" i="8"/>
  <c r="BE150" i="10"/>
  <c r="BE151" i="10"/>
  <c r="BC194" i="22"/>
  <c r="BD74" i="22"/>
  <c r="BB194" i="7"/>
  <c r="BC74" i="7"/>
  <c r="BJ68" i="7"/>
  <c r="BI179" i="7"/>
  <c r="AZ68" i="8"/>
  <c r="AY179" i="8"/>
  <c r="C34" i="2"/>
  <c r="M42" i="30"/>
  <c r="D155" i="2"/>
  <c r="BE34" i="2"/>
  <c r="BF155" i="2"/>
  <c r="BC180" i="9"/>
  <c r="BC181" i="9"/>
  <c r="BE209" i="7"/>
  <c r="BF80" i="7"/>
  <c r="BE204" i="10"/>
  <c r="BF78" i="10"/>
  <c r="AZ210" i="11"/>
  <c r="AZ211" i="11"/>
  <c r="BN72" i="10"/>
  <c r="BM189" i="10"/>
  <c r="BE156" i="2"/>
  <c r="AV156" i="2"/>
  <c r="L156" i="2"/>
  <c r="AM156" i="2"/>
  <c r="BN156" i="2"/>
  <c r="AD156" i="2"/>
  <c r="C156" i="2"/>
  <c r="U156" i="2"/>
  <c r="BG65" i="11"/>
  <c r="BH232" i="11"/>
  <c r="BI48" i="11"/>
  <c r="BH129" i="11"/>
  <c r="BA66" i="11"/>
  <c r="AZ174" i="11"/>
  <c r="BF184" i="9"/>
  <c r="BG70" i="9"/>
  <c r="BG64" i="22"/>
  <c r="BF169" i="22"/>
  <c r="AV161" i="8"/>
  <c r="AV160" i="8"/>
  <c r="AK191" i="8"/>
  <c r="AK190" i="8"/>
  <c r="AZ76" i="8"/>
  <c r="AY199" i="8"/>
  <c r="BD187" i="9"/>
  <c r="BF149" i="10"/>
  <c r="BG56" i="10"/>
  <c r="BA197" i="8"/>
  <c r="BB195" i="22"/>
  <c r="BB196" i="22"/>
  <c r="BJ142" i="11"/>
  <c r="BG211" i="9"/>
  <c r="BG210" i="9"/>
  <c r="BH180" i="7"/>
  <c r="BH181" i="7"/>
  <c r="AZ176" i="8"/>
  <c r="AZ175" i="8"/>
  <c r="BE80" i="22"/>
  <c r="BD209" i="22"/>
  <c r="L34" i="2"/>
  <c r="M41" i="31"/>
  <c r="M155" i="2"/>
  <c r="AD34" i="2"/>
  <c r="M41" i="33"/>
  <c r="AE155" i="2"/>
  <c r="AY162" i="22"/>
  <c r="BD205" i="10"/>
  <c r="BD206" i="10"/>
  <c r="BT64" i="7"/>
  <c r="BS169" i="7"/>
  <c r="BB80" i="11"/>
  <c r="BA209" i="11"/>
  <c r="AF200" i="9"/>
  <c r="AF201" i="9"/>
  <c r="BB179" i="22"/>
  <c r="BC68" i="22"/>
  <c r="AV192" i="11"/>
  <c r="BA185" i="7"/>
  <c r="BA186" i="7"/>
  <c r="BL139" i="11"/>
  <c r="BM52" i="11"/>
  <c r="AX60" i="8"/>
  <c r="AW159" i="8"/>
  <c r="AM72" i="8"/>
  <c r="AL189" i="8"/>
  <c r="BP85" i="22"/>
  <c r="BP86" i="22"/>
  <c r="BB196" i="10"/>
  <c r="BB195" i="10"/>
  <c r="BI80" i="9"/>
  <c r="BH209" i="9"/>
  <c r="BA174" i="8"/>
  <c r="BB66" i="8"/>
  <c r="BC210" i="22"/>
  <c r="BC211" i="22"/>
  <c r="BK63" i="11"/>
  <c r="BL231" i="11"/>
  <c r="U34" i="2"/>
  <c r="M41" i="32"/>
  <c r="V155" i="2"/>
  <c r="BO155" i="2"/>
  <c r="BN34" i="2"/>
  <c r="M41" i="37"/>
  <c r="AW191" i="11"/>
  <c r="AW190" i="11"/>
  <c r="BR171" i="7"/>
  <c r="BR170" i="7"/>
  <c r="AF190" i="9"/>
  <c r="AF191" i="9"/>
  <c r="AG199" i="9"/>
  <c r="AH76" i="9"/>
  <c r="BA180" i="22"/>
  <c r="BA181" i="22"/>
  <c r="AZ160" i="22"/>
  <c r="AZ161" i="22"/>
  <c r="BC70" i="7"/>
  <c r="BB184" i="7"/>
  <c r="AG89" i="22"/>
  <c r="AG90" i="22"/>
  <c r="AG91" i="22"/>
  <c r="AG92" i="22"/>
  <c r="AH32" i="22"/>
  <c r="BB196" i="8"/>
  <c r="BB195" i="8"/>
  <c r="K32" i="30"/>
  <c r="L32" i="30"/>
  <c r="N32" i="30"/>
  <c r="O32" i="30"/>
  <c r="P32" i="30"/>
  <c r="Q32" i="30"/>
  <c r="J46" i="30"/>
  <c r="W28" i="39"/>
  <c r="H45" i="30"/>
  <c r="AA32" i="30"/>
  <c r="AC32" i="30"/>
  <c r="AL94" i="8"/>
  <c r="AL95" i="8"/>
  <c r="AL96" i="8"/>
  <c r="AL97" i="8"/>
  <c r="AM34" i="8"/>
  <c r="AG119" i="8"/>
  <c r="AG120" i="8"/>
  <c r="AG121" i="8"/>
  <c r="AG122" i="8"/>
  <c r="AH44" i="8"/>
  <c r="AG114" i="8"/>
  <c r="AG115" i="8"/>
  <c r="AG116" i="8"/>
  <c r="AG117" i="8"/>
  <c r="AH42" i="8"/>
  <c r="AH32" i="11"/>
  <c r="AG89" i="11"/>
  <c r="AG90" i="11"/>
  <c r="AG91" i="11"/>
  <c r="AG92" i="11"/>
  <c r="AN166" i="7"/>
  <c r="AN165" i="7"/>
  <c r="AM167" i="7"/>
  <c r="AO164" i="7"/>
  <c r="AP62" i="7"/>
  <c r="AH84" i="9"/>
  <c r="AH85" i="9"/>
  <c r="AH86" i="9"/>
  <c r="AH87" i="9"/>
  <c r="AI30" i="9"/>
  <c r="AG139" i="9"/>
  <c r="AG140" i="9"/>
  <c r="AG141" i="9"/>
  <c r="AG142" i="9"/>
  <c r="AH52" i="9"/>
  <c r="AI86" i="1"/>
  <c r="AI87" i="1"/>
  <c r="AI88" i="1"/>
  <c r="AI89" i="1"/>
  <c r="AJ30" i="1"/>
  <c r="AH68" i="1"/>
  <c r="AG181" i="1"/>
  <c r="AG182" i="1"/>
  <c r="AG183" i="1"/>
  <c r="AG184" i="1"/>
  <c r="AH48" i="1"/>
  <c r="AG131" i="1"/>
  <c r="AG132" i="1"/>
  <c r="AG133" i="1"/>
  <c r="AG134" i="1"/>
  <c r="AG171" i="1"/>
  <c r="AG172" i="1"/>
  <c r="AG173" i="1"/>
  <c r="AG174" i="1"/>
  <c r="AH64" i="1"/>
  <c r="AI91" i="1"/>
  <c r="AI92" i="1"/>
  <c r="AI93" i="1"/>
  <c r="AI94" i="1"/>
  <c r="AJ32" i="1"/>
  <c r="AH34" i="1"/>
  <c r="AG96" i="1"/>
  <c r="AG97" i="1"/>
  <c r="AG98" i="1"/>
  <c r="AG99" i="1"/>
  <c r="AH58" i="1"/>
  <c r="AG156" i="1"/>
  <c r="AG157" i="1"/>
  <c r="AG158" i="1"/>
  <c r="AG159" i="1"/>
  <c r="AH52" i="1"/>
  <c r="AG141" i="1"/>
  <c r="AG142" i="1"/>
  <c r="AG143" i="1"/>
  <c r="AG144" i="1"/>
  <c r="AG136" i="1"/>
  <c r="AG137" i="1"/>
  <c r="AG138" i="1"/>
  <c r="AG139" i="1"/>
  <c r="AH50" i="1"/>
  <c r="U38" i="33"/>
  <c r="AG219" i="1"/>
  <c r="AH119" i="22"/>
  <c r="AH120" i="22"/>
  <c r="AH121" i="22"/>
  <c r="AH122" i="22"/>
  <c r="AI44" i="22"/>
  <c r="AH26" i="6"/>
  <c r="AG88" i="6"/>
  <c r="AG89" i="6"/>
  <c r="AG90" i="6"/>
  <c r="AG91" i="6"/>
  <c r="AG99" i="6"/>
  <c r="AG100" i="6"/>
  <c r="AG101" i="6"/>
  <c r="AF84" i="6"/>
  <c r="AF85" i="6"/>
  <c r="AG108" i="6"/>
  <c r="AG109" i="6"/>
  <c r="AG110" i="6"/>
  <c r="AG111" i="6"/>
  <c r="AH34" i="6"/>
  <c r="AH32" i="6"/>
  <c r="AG103" i="6"/>
  <c r="AG104" i="6"/>
  <c r="AG105" i="6"/>
  <c r="AG106" i="6"/>
  <c r="AG93" i="6"/>
  <c r="AH28" i="6"/>
  <c r="AH36" i="6"/>
  <c r="AG113" i="6"/>
  <c r="AG123" i="6"/>
  <c r="AG124" i="6"/>
  <c r="AG125" i="6"/>
  <c r="AG126" i="6"/>
  <c r="AH40" i="6"/>
  <c r="AI30" i="6"/>
  <c r="AH98" i="6"/>
  <c r="AH99" i="6"/>
  <c r="AH100" i="6"/>
  <c r="AH101" i="6"/>
  <c r="AH24" i="6"/>
  <c r="AG83" i="6"/>
  <c r="AG84" i="6"/>
  <c r="AG85" i="6"/>
  <c r="AG86" i="6"/>
  <c r="AG133" i="6"/>
  <c r="AG134" i="6"/>
  <c r="AG135" i="6"/>
  <c r="AG136" i="6"/>
  <c r="AH44" i="6"/>
  <c r="AF104" i="6"/>
  <c r="AF105" i="6"/>
  <c r="AF106" i="6"/>
  <c r="AH128" i="6"/>
  <c r="AH129" i="6"/>
  <c r="AH130" i="6"/>
  <c r="AH131" i="6"/>
  <c r="AI42" i="6"/>
  <c r="AG78" i="6"/>
  <c r="AG79" i="6"/>
  <c r="AG80" i="6"/>
  <c r="AG81" i="6"/>
  <c r="AH22" i="6"/>
  <c r="AH218" i="1"/>
  <c r="AH217" i="1"/>
  <c r="AK80" i="1"/>
  <c r="AJ211" i="1"/>
  <c r="AJ212" i="1"/>
  <c r="AJ213" i="1"/>
  <c r="AJ214" i="1"/>
  <c r="AJ82" i="1"/>
  <c r="AI216" i="1"/>
  <c r="AG116" i="1"/>
  <c r="AG117" i="1"/>
  <c r="AG118" i="1"/>
  <c r="AG119" i="1"/>
  <c r="AH42" i="1"/>
  <c r="AE129" i="1"/>
  <c r="AF102" i="10"/>
  <c r="AG204" i="1"/>
  <c r="AK104" i="8"/>
  <c r="AK105" i="8"/>
  <c r="AK106" i="8"/>
  <c r="AK107" i="8"/>
  <c r="AL38" i="8"/>
  <c r="AI36" i="8"/>
  <c r="AH99" i="8"/>
  <c r="AH100" i="8"/>
  <c r="AH101" i="8"/>
  <c r="AH102" i="8"/>
  <c r="AG120" i="11"/>
  <c r="AG121" i="11"/>
  <c r="AG122" i="11"/>
  <c r="AI44" i="11"/>
  <c r="AH119" i="11"/>
  <c r="AG129" i="22"/>
  <c r="AG130" i="22"/>
  <c r="AG131" i="22"/>
  <c r="AG132" i="22"/>
  <c r="AH48" i="22"/>
  <c r="AG94" i="22"/>
  <c r="AG95" i="22"/>
  <c r="AG96" i="22"/>
  <c r="AG97" i="22"/>
  <c r="AH34" i="22"/>
  <c r="AG105" i="22"/>
  <c r="AG106" i="22"/>
  <c r="AG107" i="22"/>
  <c r="AH104" i="22"/>
  <c r="AH105" i="22"/>
  <c r="AH106" i="22"/>
  <c r="AH107" i="22"/>
  <c r="AI38" i="22"/>
  <c r="AH34" i="7"/>
  <c r="AG94" i="7"/>
  <c r="AG95" i="7"/>
  <c r="AG96" i="7"/>
  <c r="AG97" i="7"/>
  <c r="AI36" i="7"/>
  <c r="AH99" i="7"/>
  <c r="AH100" i="7"/>
  <c r="AH101" i="7"/>
  <c r="AH102" i="7"/>
  <c r="AG114" i="7"/>
  <c r="AG115" i="7"/>
  <c r="AG116" i="7"/>
  <c r="AG117" i="7"/>
  <c r="AH42" i="7"/>
  <c r="AF95" i="7"/>
  <c r="AF96" i="7"/>
  <c r="AF97" i="7"/>
  <c r="AH104" i="7"/>
  <c r="AH105" i="7"/>
  <c r="AH106" i="7"/>
  <c r="AH107" i="7"/>
  <c r="AI38" i="7"/>
  <c r="AI110" i="7"/>
  <c r="AI111" i="7"/>
  <c r="AI112" i="7"/>
  <c r="AI30" i="7"/>
  <c r="AH84" i="7"/>
  <c r="AH85" i="7"/>
  <c r="AH86" i="7"/>
  <c r="AH87" i="7"/>
  <c r="AK40" i="7"/>
  <c r="AJ109" i="7"/>
  <c r="AJ110" i="7"/>
  <c r="AJ111" i="7"/>
  <c r="AJ112" i="7"/>
  <c r="AI119" i="6"/>
  <c r="AI120" i="6"/>
  <c r="AJ118" i="6"/>
  <c r="AK38" i="6"/>
  <c r="AG94" i="9"/>
  <c r="AG95" i="9"/>
  <c r="AG96" i="9"/>
  <c r="AG97" i="9"/>
  <c r="AH34" i="9"/>
  <c r="AJ104" i="9"/>
  <c r="AJ105" i="9"/>
  <c r="AJ106" i="9"/>
  <c r="AJ107" i="9"/>
  <c r="AK38" i="9"/>
  <c r="AH46" i="9"/>
  <c r="AG124" i="9"/>
  <c r="AG125" i="9"/>
  <c r="AG126" i="9"/>
  <c r="AG127" i="9"/>
  <c r="AL54" i="9"/>
  <c r="AK144" i="9"/>
  <c r="AF114" i="9"/>
  <c r="AF115" i="9"/>
  <c r="AF116" i="9"/>
  <c r="AF117" i="9"/>
  <c r="AG42" i="9"/>
  <c r="AH134" i="9"/>
  <c r="AH135" i="9"/>
  <c r="AH136" i="9"/>
  <c r="AH137" i="9"/>
  <c r="AI50" i="9"/>
  <c r="AJ32" i="9"/>
  <c r="AI89" i="9"/>
  <c r="AG129" i="9"/>
  <c r="AG130" i="9"/>
  <c r="AG131" i="9"/>
  <c r="AG132" i="9"/>
  <c r="AH48" i="9"/>
  <c r="AH56" i="9"/>
  <c r="AG149" i="9"/>
  <c r="AG150" i="9"/>
  <c r="AG151" i="9"/>
  <c r="AG152" i="9"/>
  <c r="AG119" i="9"/>
  <c r="AG120" i="9"/>
  <c r="AG121" i="9"/>
  <c r="AG122" i="9"/>
  <c r="AH44" i="9"/>
  <c r="AH177" i="1"/>
  <c r="AH178" i="1"/>
  <c r="AI72" i="1"/>
  <c r="AH191" i="1"/>
  <c r="AH192" i="1"/>
  <c r="AH193" i="1"/>
  <c r="AH194" i="1"/>
  <c r="AJ66" i="1"/>
  <c r="AI176" i="1"/>
  <c r="AM151" i="1"/>
  <c r="AN56" i="1"/>
  <c r="AF187" i="1"/>
  <c r="AF188" i="1"/>
  <c r="AF189" i="1"/>
  <c r="AI60" i="1"/>
  <c r="AH161" i="1"/>
  <c r="AH162" i="1"/>
  <c r="AH163" i="1"/>
  <c r="AH164" i="1"/>
  <c r="AH70" i="1"/>
  <c r="AG186" i="1"/>
  <c r="AG187" i="1"/>
  <c r="AG188" i="1"/>
  <c r="AG189" i="1"/>
  <c r="AH74" i="1"/>
  <c r="AG196" i="1"/>
  <c r="AH78" i="1"/>
  <c r="AG206" i="1"/>
  <c r="AG207" i="1"/>
  <c r="AG208" i="1"/>
  <c r="AG209" i="1"/>
  <c r="AJ76" i="1"/>
  <c r="AI201" i="1"/>
  <c r="K38" i="37"/>
  <c r="T38" i="37"/>
  <c r="AL115" i="11"/>
  <c r="AL116" i="11"/>
  <c r="AL117" i="11"/>
  <c r="AN42" i="11"/>
  <c r="AM114" i="11"/>
  <c r="T35" i="34"/>
  <c r="Y35" i="34"/>
  <c r="AD35" i="34"/>
  <c r="AE35" i="34"/>
  <c r="X35" i="34"/>
  <c r="AF35" i="34"/>
  <c r="AA35" i="34"/>
  <c r="AH35" i="34"/>
  <c r="AG35" i="34"/>
  <c r="AC35" i="34"/>
  <c r="AB35" i="34"/>
  <c r="AI35" i="34"/>
  <c r="Z35" i="34"/>
  <c r="W38" i="35"/>
  <c r="V38" i="35"/>
  <c r="K38" i="35"/>
  <c r="AF107" i="11"/>
  <c r="AK84" i="11"/>
  <c r="AL30" i="11"/>
  <c r="AG105" i="11"/>
  <c r="AG106" i="11"/>
  <c r="AJ85" i="11"/>
  <c r="AJ86" i="11"/>
  <c r="AJ87" i="11"/>
  <c r="AH100" i="11"/>
  <c r="AH101" i="11"/>
  <c r="AH102" i="11"/>
  <c r="AH104" i="11"/>
  <c r="AI38" i="11"/>
  <c r="AI99" i="11"/>
  <c r="AJ36" i="11"/>
  <c r="AI50" i="10"/>
  <c r="AH134" i="10"/>
  <c r="AG135" i="10"/>
  <c r="AG136" i="10"/>
  <c r="AG137" i="10"/>
  <c r="AG100" i="10"/>
  <c r="AG101" i="10"/>
  <c r="AG102" i="10"/>
  <c r="AI36" i="10"/>
  <c r="AH99" i="10"/>
  <c r="AF155" i="22"/>
  <c r="AF156" i="22"/>
  <c r="AF157" i="22"/>
  <c r="AH58" i="22"/>
  <c r="AG154" i="22"/>
  <c r="AI36" i="22"/>
  <c r="AH99" i="22"/>
  <c r="AI54" i="22"/>
  <c r="AH144" i="22"/>
  <c r="AI40" i="22"/>
  <c r="AH109" i="22"/>
  <c r="AG145" i="22"/>
  <c r="AG146" i="22"/>
  <c r="AG147" i="22"/>
  <c r="AG100" i="22"/>
  <c r="AG101" i="22"/>
  <c r="AG102" i="22"/>
  <c r="AG110" i="22"/>
  <c r="AG111" i="22"/>
  <c r="AG112" i="22"/>
  <c r="AI150" i="8"/>
  <c r="AI151" i="8"/>
  <c r="AI152" i="8"/>
  <c r="AJ149" i="8"/>
  <c r="AK56" i="8"/>
  <c r="AH144" i="8"/>
  <c r="AI54" i="8"/>
  <c r="AG145" i="8"/>
  <c r="AG146" i="8"/>
  <c r="AG147" i="8"/>
  <c r="AF140" i="8"/>
  <c r="AF141" i="8"/>
  <c r="AF142" i="8"/>
  <c r="AG139" i="8"/>
  <c r="AH52" i="8"/>
  <c r="AF110" i="8"/>
  <c r="AF111" i="8"/>
  <c r="AF112" i="8"/>
  <c r="AG89" i="8"/>
  <c r="AH32" i="8"/>
  <c r="AE85" i="8"/>
  <c r="AE86" i="8"/>
  <c r="AE87" i="8"/>
  <c r="AG30" i="8"/>
  <c r="AF84" i="8"/>
  <c r="AG129" i="8"/>
  <c r="AH48" i="8"/>
  <c r="AF90" i="8"/>
  <c r="AF91" i="8"/>
  <c r="AF92" i="8"/>
  <c r="AH40" i="8"/>
  <c r="AG109" i="8"/>
  <c r="AF130" i="8"/>
  <c r="AF131" i="8"/>
  <c r="AF132" i="8"/>
  <c r="AH54" i="7"/>
  <c r="AG144" i="7"/>
  <c r="AF145" i="7"/>
  <c r="AF146" i="7"/>
  <c r="AF147" i="7"/>
  <c r="AF140" i="7"/>
  <c r="AF141" i="7"/>
  <c r="AF142" i="7"/>
  <c r="AH52" i="7"/>
  <c r="AG139" i="7"/>
  <c r="AF135" i="7"/>
  <c r="AF136" i="7"/>
  <c r="AF137" i="7"/>
  <c r="AH50" i="7"/>
  <c r="AG134" i="7"/>
  <c r="AI120" i="7"/>
  <c r="AI121" i="7"/>
  <c r="AI122" i="7"/>
  <c r="AM90" i="7"/>
  <c r="AM91" i="7"/>
  <c r="AM92" i="7"/>
  <c r="AH125" i="7"/>
  <c r="AH126" i="7"/>
  <c r="AH127" i="7"/>
  <c r="AN89" i="7"/>
  <c r="AO32" i="7"/>
  <c r="AJ46" i="7"/>
  <c r="AI124" i="7"/>
  <c r="AK44" i="7"/>
  <c r="AJ119" i="7"/>
  <c r="AF164" i="6"/>
  <c r="AF165" i="6"/>
  <c r="AF166" i="6"/>
  <c r="AG163" i="6"/>
  <c r="AH56" i="6"/>
  <c r="AF159" i="6"/>
  <c r="AF160" i="6"/>
  <c r="AF161" i="6"/>
  <c r="AG158" i="6"/>
  <c r="AH54" i="6"/>
  <c r="AF154" i="6"/>
  <c r="AF155" i="6"/>
  <c r="AF156" i="6"/>
  <c r="AH52" i="6"/>
  <c r="AG153" i="6"/>
  <c r="AG148" i="6"/>
  <c r="AH50" i="6"/>
  <c r="AF149" i="6"/>
  <c r="AF150" i="6"/>
  <c r="AF151" i="6"/>
  <c r="AF144" i="6"/>
  <c r="AF145" i="6"/>
  <c r="AG143" i="6"/>
  <c r="AH48" i="6"/>
  <c r="AI60" i="9"/>
  <c r="AH159" i="9"/>
  <c r="AG160" i="9"/>
  <c r="AG161" i="9"/>
  <c r="AG162" i="9"/>
  <c r="AG154" i="9"/>
  <c r="AH58" i="9"/>
  <c r="AF155" i="9"/>
  <c r="AF156" i="9"/>
  <c r="AF157" i="9"/>
  <c r="AG110" i="9"/>
  <c r="AG111" i="9"/>
  <c r="AG112" i="9"/>
  <c r="AG100" i="9"/>
  <c r="AG101" i="9"/>
  <c r="AG102" i="9"/>
  <c r="AI36" i="9"/>
  <c r="AH99" i="9"/>
  <c r="AH109" i="9"/>
  <c r="AI40" i="9"/>
  <c r="AH62" i="1"/>
  <c r="AG166" i="1"/>
  <c r="AF167" i="1"/>
  <c r="AF168" i="1"/>
  <c r="AF169" i="1"/>
  <c r="AF147" i="1"/>
  <c r="AF148" i="1"/>
  <c r="AF149" i="1"/>
  <c r="AH54" i="1"/>
  <c r="AG146" i="1"/>
  <c r="AG126" i="1"/>
  <c r="AH46" i="1"/>
  <c r="AF127" i="1"/>
  <c r="AF128" i="1"/>
  <c r="AF129" i="1"/>
  <c r="AH122" i="1"/>
  <c r="AH123" i="1"/>
  <c r="AH124" i="1"/>
  <c r="AJ44" i="1"/>
  <c r="AI121" i="1"/>
  <c r="AH112" i="1"/>
  <c r="AH113" i="1"/>
  <c r="AH114" i="1"/>
  <c r="AH102" i="1"/>
  <c r="AH103" i="1"/>
  <c r="AH104" i="1"/>
  <c r="AH38" i="1"/>
  <c r="AG106" i="1"/>
  <c r="AI101" i="1"/>
  <c r="AJ36" i="1"/>
  <c r="AF107" i="1"/>
  <c r="AF108" i="1"/>
  <c r="AF109" i="1"/>
  <c r="AJ40" i="1"/>
  <c r="AI111" i="1"/>
  <c r="P40" i="37"/>
  <c r="Q40" i="37"/>
  <c r="X38" i="37"/>
  <c r="AI38" i="37"/>
  <c r="AL38" i="37"/>
  <c r="AE38" i="37"/>
  <c r="AH38" i="37"/>
  <c r="AJ38" i="37"/>
  <c r="AC38" i="37"/>
  <c r="AF38" i="37"/>
  <c r="Z38" i="37"/>
  <c r="AK38" i="37"/>
  <c r="AD38" i="37"/>
  <c r="Y38" i="37"/>
  <c r="AG38" i="37"/>
  <c r="AA38" i="37"/>
  <c r="AB38" i="37"/>
  <c r="S34" i="36"/>
  <c r="P39" i="36"/>
  <c r="Q39" i="36"/>
  <c r="AH129" i="7"/>
  <c r="AH130" i="7"/>
  <c r="AH131" i="7"/>
  <c r="AH132" i="7"/>
  <c r="AI48" i="7"/>
  <c r="AC37" i="36"/>
  <c r="AH37" i="36"/>
  <c r="Z37" i="36"/>
  <c r="AG37" i="36"/>
  <c r="AA37" i="36"/>
  <c r="AF37" i="36"/>
  <c r="X37" i="36"/>
  <c r="Y37" i="36"/>
  <c r="U38" i="36"/>
  <c r="AD37" i="36"/>
  <c r="AK37" i="36"/>
  <c r="AE37" i="36"/>
  <c r="AJ37" i="36"/>
  <c r="AB37" i="36"/>
  <c r="AI37" i="36"/>
  <c r="AB32" i="30"/>
  <c r="Z32" i="30"/>
  <c r="AE32" i="30"/>
  <c r="AD32" i="30"/>
  <c r="X32" i="30"/>
  <c r="BP74" i="9"/>
  <c r="BO194" i="9"/>
  <c r="AW59" i="11"/>
  <c r="AX229" i="11"/>
  <c r="BW36" i="2"/>
  <c r="M43" i="41"/>
  <c r="BX157" i="2"/>
  <c r="BN196" i="9"/>
  <c r="BN195" i="9"/>
  <c r="W40" i="31"/>
  <c r="V40" i="31"/>
  <c r="X40" i="31"/>
  <c r="M41" i="36"/>
  <c r="CF34" i="2"/>
  <c r="Q31" i="41"/>
  <c r="T31" i="41"/>
  <c r="Q32" i="41"/>
  <c r="K32" i="41"/>
  <c r="Z32" i="41"/>
  <c r="AB32" i="41"/>
  <c r="Y32" i="41"/>
  <c r="AD32" i="41"/>
  <c r="AC32" i="41"/>
  <c r="AF32" i="41"/>
  <c r="AE32" i="41"/>
  <c r="X32" i="41"/>
  <c r="AA32" i="41"/>
  <c r="AP9" i="26"/>
  <c r="S26" i="41"/>
  <c r="R25" i="41"/>
  <c r="AF182" i="10"/>
  <c r="BG172" i="10"/>
  <c r="AF202" i="11"/>
  <c r="AK207" i="11"/>
  <c r="AF192" i="9"/>
  <c r="AO172" i="9"/>
  <c r="AF137" i="11"/>
  <c r="AS157" i="8"/>
  <c r="AQ177" i="10"/>
  <c r="AF202" i="22"/>
  <c r="AL167" i="8"/>
  <c r="AP207" i="22"/>
  <c r="BF212" i="10"/>
  <c r="BH157" i="10"/>
  <c r="AG152" i="11"/>
  <c r="BH182" i="7"/>
  <c r="AF187" i="8"/>
  <c r="AF177" i="7"/>
  <c r="AM187" i="22"/>
  <c r="AZ147" i="10"/>
  <c r="AP192" i="22"/>
  <c r="AG202" i="7"/>
  <c r="BD255" i="40"/>
  <c r="BD256" i="40"/>
  <c r="BD257" i="40"/>
  <c r="AX269" i="40"/>
  <c r="AY102" i="40"/>
  <c r="AX289" i="40"/>
  <c r="AY110" i="40"/>
  <c r="AX264" i="40"/>
  <c r="AY100" i="40"/>
  <c r="AX249" i="40"/>
  <c r="AX250" i="40"/>
  <c r="AX251" i="40"/>
  <c r="AX252" i="40"/>
  <c r="AY94" i="40"/>
  <c r="AW265" i="40"/>
  <c r="AW266" i="40"/>
  <c r="AW267" i="40"/>
  <c r="AW250" i="40"/>
  <c r="AW251" i="40"/>
  <c r="AW252" i="40"/>
  <c r="AX244" i="40"/>
  <c r="AY92" i="40"/>
  <c r="AX284" i="40"/>
  <c r="AY108" i="40"/>
  <c r="BC280" i="40"/>
  <c r="BC281" i="40"/>
  <c r="BC282" i="40"/>
  <c r="BE104" i="40"/>
  <c r="BE274" i="40"/>
  <c r="BE275" i="40"/>
  <c r="BE276" i="40"/>
  <c r="BE277" i="40"/>
  <c r="BE96" i="40"/>
  <c r="BE254" i="40"/>
  <c r="BE255" i="40"/>
  <c r="BE256" i="40"/>
  <c r="BE257" i="40"/>
  <c r="BD106" i="40"/>
  <c r="BD279" i="40"/>
  <c r="BD280" i="40"/>
  <c r="BD281" i="40"/>
  <c r="BD282" i="40"/>
  <c r="BF98" i="40"/>
  <c r="BF259" i="40"/>
  <c r="BF260" i="40"/>
  <c r="BF261" i="40"/>
  <c r="BF262" i="40"/>
  <c r="BA90" i="40"/>
  <c r="AY48" i="40"/>
  <c r="AX134" i="40"/>
  <c r="AX140" i="40"/>
  <c r="AX141" i="40"/>
  <c r="AX142" i="40"/>
  <c r="AW170" i="40"/>
  <c r="AW171" i="40"/>
  <c r="AW172" i="40"/>
  <c r="AW190" i="40"/>
  <c r="AW191" i="40"/>
  <c r="AX225" i="40"/>
  <c r="AX226" i="40"/>
  <c r="AW135" i="40"/>
  <c r="AW136" i="40"/>
  <c r="AW137" i="40"/>
  <c r="AW230" i="40"/>
  <c r="AW231" i="40"/>
  <c r="AW232" i="40"/>
  <c r="AZ76" i="40"/>
  <c r="AY204" i="40"/>
  <c r="AV242" i="40"/>
  <c r="AW155" i="40"/>
  <c r="AW156" i="40"/>
  <c r="AW130" i="40"/>
  <c r="AW131" i="40"/>
  <c r="AW132" i="40"/>
  <c r="AW240" i="40"/>
  <c r="AW241" i="40"/>
  <c r="AW125" i="40"/>
  <c r="AW126" i="40"/>
  <c r="AW127" i="40"/>
  <c r="AY195" i="40"/>
  <c r="AY196" i="40"/>
  <c r="AW220" i="40"/>
  <c r="AW221" i="40"/>
  <c r="AY185" i="40"/>
  <c r="AY186" i="40"/>
  <c r="AY187" i="40"/>
  <c r="AY58" i="40"/>
  <c r="AX159" i="40"/>
  <c r="AY54" i="40"/>
  <c r="AX149" i="40"/>
  <c r="AY86" i="40"/>
  <c r="AX229" i="40"/>
  <c r="AZ50" i="40"/>
  <c r="AY139" i="40"/>
  <c r="AX115" i="40"/>
  <c r="AX116" i="40"/>
  <c r="AX117" i="40"/>
  <c r="AY62" i="40"/>
  <c r="AX169" i="40"/>
  <c r="AZ84" i="40"/>
  <c r="AY224" i="40"/>
  <c r="AX239" i="40"/>
  <c r="AY44" i="40"/>
  <c r="AX124" i="40"/>
  <c r="AZ88" i="40"/>
  <c r="AY234" i="40"/>
  <c r="BA72" i="40"/>
  <c r="AZ194" i="40"/>
  <c r="AY74" i="40"/>
  <c r="AX199" i="40"/>
  <c r="AY78" i="40"/>
  <c r="AX209" i="40"/>
  <c r="AW150" i="40"/>
  <c r="AW151" i="40"/>
  <c r="AW152" i="40"/>
  <c r="AX180" i="40"/>
  <c r="AX181" i="40"/>
  <c r="AY52" i="40"/>
  <c r="AX144" i="40"/>
  <c r="AX235" i="40"/>
  <c r="AX236" i="40"/>
  <c r="AX237" i="40"/>
  <c r="BA64" i="40"/>
  <c r="AZ174" i="40"/>
  <c r="AW160" i="40"/>
  <c r="AW161" i="40"/>
  <c r="AX215" i="40"/>
  <c r="AX216" i="40"/>
  <c r="AX217" i="40"/>
  <c r="AZ60" i="40"/>
  <c r="AY164" i="40"/>
  <c r="AY42" i="40"/>
  <c r="AX119" i="40"/>
  <c r="AZ66" i="40"/>
  <c r="AY179" i="40"/>
  <c r="AY70" i="40"/>
  <c r="AX189" i="40"/>
  <c r="AY82" i="40"/>
  <c r="AX219" i="40"/>
  <c r="BA68" i="40"/>
  <c r="AZ184" i="40"/>
  <c r="AW200" i="40"/>
  <c r="AW201" i="40"/>
  <c r="AW202" i="40"/>
  <c r="AY175" i="40"/>
  <c r="AY176" i="40"/>
  <c r="AX197" i="40"/>
  <c r="AW210" i="40"/>
  <c r="AW211" i="40"/>
  <c r="AW212" i="40"/>
  <c r="AV212" i="40"/>
  <c r="AX205" i="40"/>
  <c r="AX206" i="40"/>
  <c r="AX207" i="40"/>
  <c r="AZ40" i="40"/>
  <c r="AY114" i="40"/>
  <c r="AZ80" i="40"/>
  <c r="AY214" i="40"/>
  <c r="AX165" i="40"/>
  <c r="AX166" i="40"/>
  <c r="AX167" i="40"/>
  <c r="AW120" i="40"/>
  <c r="AW121" i="40"/>
  <c r="AW122" i="40"/>
  <c r="AY56" i="40"/>
  <c r="AX154" i="40"/>
  <c r="AX177" i="40"/>
  <c r="AV232" i="40"/>
  <c r="AY46" i="40"/>
  <c r="AX129" i="40"/>
  <c r="AW145" i="40"/>
  <c r="AW146" i="40"/>
  <c r="AW147" i="40"/>
  <c r="AV172" i="40"/>
  <c r="AV222" i="40"/>
  <c r="BP87" i="22"/>
  <c r="AW195" i="11"/>
  <c r="AW196" i="11"/>
  <c r="AJ127" i="11"/>
  <c r="AU187" i="10"/>
  <c r="AG206" i="8"/>
  <c r="AG205" i="8"/>
  <c r="AF167" i="9"/>
  <c r="AO204" i="7"/>
  <c r="AP78" i="7"/>
  <c r="AP164" i="22"/>
  <c r="AQ62" i="22"/>
  <c r="AH199" i="10"/>
  <c r="AI76" i="10"/>
  <c r="BJ154" i="10"/>
  <c r="BK58" i="10"/>
  <c r="AI56" i="22"/>
  <c r="AH149" i="22"/>
  <c r="AH150" i="22"/>
  <c r="AH151" i="22"/>
  <c r="AH152" i="22"/>
  <c r="AT164" i="10"/>
  <c r="AU62" i="10"/>
  <c r="BC54" i="10"/>
  <c r="BB144" i="10"/>
  <c r="AH201" i="7"/>
  <c r="AH200" i="7"/>
  <c r="BD175" i="22"/>
  <c r="BD176" i="22"/>
  <c r="AG180" i="10"/>
  <c r="AG181" i="10"/>
  <c r="AP170" i="9"/>
  <c r="AP171" i="9"/>
  <c r="AR175" i="10"/>
  <c r="AR176" i="10"/>
  <c r="AW184" i="10"/>
  <c r="AX70" i="10"/>
  <c r="AF207" i="8"/>
  <c r="AR204" i="22"/>
  <c r="AS78" i="22"/>
  <c r="AI70" i="8"/>
  <c r="AH184" i="8"/>
  <c r="AH174" i="7"/>
  <c r="AI66" i="7"/>
  <c r="U39" i="32"/>
  <c r="W39" i="32"/>
  <c r="V39" i="32"/>
  <c r="AY74" i="11"/>
  <c r="AX194" i="11"/>
  <c r="AI157" i="7"/>
  <c r="AI78" i="8"/>
  <c r="AH204" i="8"/>
  <c r="AN205" i="7"/>
  <c r="AN206" i="7"/>
  <c r="AO166" i="22"/>
  <c r="AO165" i="22"/>
  <c r="AV197" i="11"/>
  <c r="AI46" i="6"/>
  <c r="AH138" i="6"/>
  <c r="AH139" i="6"/>
  <c r="AH140" i="6"/>
  <c r="AH141" i="6"/>
  <c r="BC55" i="11"/>
  <c r="BD227" i="11"/>
  <c r="AG201" i="11"/>
  <c r="AG200" i="11"/>
  <c r="AO184" i="22"/>
  <c r="AP70" i="22"/>
  <c r="BC177" i="22"/>
  <c r="AH150" i="11"/>
  <c r="AH151" i="11"/>
  <c r="AN167" i="22"/>
  <c r="AS166" i="10"/>
  <c r="AS165" i="10"/>
  <c r="BA146" i="10"/>
  <c r="BA145" i="10"/>
  <c r="AJ76" i="7"/>
  <c r="AI199" i="7"/>
  <c r="BE174" i="22"/>
  <c r="BF66" i="22"/>
  <c r="BF81" i="8"/>
  <c r="BG240" i="8"/>
  <c r="AI68" i="10"/>
  <c r="AH179" i="10"/>
  <c r="AR64" i="9"/>
  <c r="AQ169" i="9"/>
  <c r="AS174" i="10"/>
  <c r="AT66" i="10"/>
  <c r="AV186" i="10"/>
  <c r="AV185" i="10"/>
  <c r="AG165" i="9"/>
  <c r="AG166" i="9"/>
  <c r="AT155" i="8"/>
  <c r="AT156" i="8"/>
  <c r="BI174" i="9"/>
  <c r="BJ66" i="9"/>
  <c r="BH209" i="10"/>
  <c r="BI80" i="10"/>
  <c r="AP205" i="9"/>
  <c r="AP206" i="9"/>
  <c r="AG200" i="22"/>
  <c r="AG201" i="22"/>
  <c r="BJ64" i="10"/>
  <c r="BI169" i="10"/>
  <c r="AL161" i="7"/>
  <c r="AL160" i="7"/>
  <c r="AQ191" i="22"/>
  <c r="AQ190" i="22"/>
  <c r="AM166" i="8"/>
  <c r="AM165" i="8"/>
  <c r="AI76" i="11"/>
  <c r="AH199" i="11"/>
  <c r="AN185" i="22"/>
  <c r="AN186" i="22"/>
  <c r="AJ56" i="11"/>
  <c r="AI149" i="11"/>
  <c r="AL206" i="11"/>
  <c r="AL205" i="11"/>
  <c r="AK126" i="11"/>
  <c r="AK125" i="11"/>
  <c r="AJ155" i="7"/>
  <c r="AJ156" i="7"/>
  <c r="AG135" i="11"/>
  <c r="AG136" i="11"/>
  <c r="BJ230" i="11"/>
  <c r="BI61" i="11"/>
  <c r="AG160" i="10"/>
  <c r="AG161" i="10"/>
  <c r="AI62" i="9"/>
  <c r="AH164" i="9"/>
  <c r="AV58" i="8"/>
  <c r="AU154" i="8"/>
  <c r="BH176" i="9"/>
  <c r="BH175" i="9"/>
  <c r="BG210" i="10"/>
  <c r="BG211" i="10"/>
  <c r="AK192" i="8"/>
  <c r="AQ204" i="9"/>
  <c r="AR78" i="9"/>
  <c r="AH199" i="22"/>
  <c r="AI76" i="22"/>
  <c r="AF162" i="10"/>
  <c r="BH170" i="10"/>
  <c r="BH171" i="10"/>
  <c r="AF202" i="10"/>
  <c r="AN60" i="7"/>
  <c r="AM159" i="7"/>
  <c r="AS72" i="22"/>
  <c r="AR189" i="22"/>
  <c r="AO207" i="9"/>
  <c r="AR167" i="10"/>
  <c r="AO62" i="8"/>
  <c r="AN164" i="8"/>
  <c r="AG201" i="10"/>
  <c r="AG200" i="10"/>
  <c r="AK162" i="7"/>
  <c r="BI156" i="10"/>
  <c r="BI155" i="10"/>
  <c r="AN78" i="11"/>
  <c r="AM204" i="11"/>
  <c r="BG177" i="9"/>
  <c r="AM46" i="11"/>
  <c r="AL124" i="11"/>
  <c r="AL58" i="7"/>
  <c r="AK154" i="7"/>
  <c r="AI50" i="11"/>
  <c r="AH134" i="11"/>
  <c r="AH159" i="10"/>
  <c r="AI60" i="10"/>
  <c r="AQ205" i="22"/>
  <c r="AQ206" i="22"/>
  <c r="AG186" i="8"/>
  <c r="AG185" i="8"/>
  <c r="AG175" i="7"/>
  <c r="AG176" i="7"/>
  <c r="AM207" i="7"/>
  <c r="AA20" i="26"/>
  <c r="S37" i="35"/>
  <c r="S38" i="32"/>
  <c r="L21" i="26"/>
  <c r="S39" i="31"/>
  <c r="G22" i="26"/>
  <c r="AJ40" i="31"/>
  <c r="AL40" i="31"/>
  <c r="AK40" i="31"/>
  <c r="AG40" i="31"/>
  <c r="AD40" i="31"/>
  <c r="AA40" i="31"/>
  <c r="AF40" i="31"/>
  <c r="AH40" i="31"/>
  <c r="T40" i="31"/>
  <c r="L40" i="31"/>
  <c r="N40" i="31"/>
  <c r="O40" i="31"/>
  <c r="P40" i="31"/>
  <c r="AK40" i="11"/>
  <c r="AJ109" i="11"/>
  <c r="AJ110" i="11"/>
  <c r="AJ111" i="11"/>
  <c r="AJ112" i="11"/>
  <c r="AH139" i="10"/>
  <c r="AH140" i="10"/>
  <c r="AH141" i="10"/>
  <c r="AH142" i="10"/>
  <c r="AI52" i="10"/>
  <c r="AH84" i="10"/>
  <c r="AH85" i="10"/>
  <c r="AH86" i="10"/>
  <c r="AH87" i="10"/>
  <c r="AI30" i="10"/>
  <c r="AI42" i="10"/>
  <c r="AH114" i="10"/>
  <c r="AH115" i="10"/>
  <c r="AH116" i="10"/>
  <c r="AH117" i="10"/>
  <c r="AI34" i="10"/>
  <c r="AH94" i="10"/>
  <c r="AH95" i="10"/>
  <c r="AH96" i="10"/>
  <c r="AH97" i="10"/>
  <c r="AI32" i="10"/>
  <c r="AH89" i="10"/>
  <c r="AH90" i="10"/>
  <c r="AH91" i="10"/>
  <c r="AH92" i="10"/>
  <c r="AI38" i="10"/>
  <c r="AH104" i="10"/>
  <c r="AH105" i="10"/>
  <c r="AH106" i="10"/>
  <c r="AH107" i="10"/>
  <c r="AH109" i="10"/>
  <c r="AH110" i="10"/>
  <c r="AH111" i="10"/>
  <c r="AH112" i="10"/>
  <c r="AI40" i="10"/>
  <c r="AI46" i="10"/>
  <c r="AH124" i="10"/>
  <c r="AH125" i="10"/>
  <c r="AH126" i="10"/>
  <c r="AH127" i="10"/>
  <c r="AH129" i="10"/>
  <c r="AH130" i="10"/>
  <c r="AH131" i="10"/>
  <c r="AH132" i="10"/>
  <c r="AI48" i="10"/>
  <c r="AJ44" i="10"/>
  <c r="AI119" i="10"/>
  <c r="AI120" i="10"/>
  <c r="AI121" i="10"/>
  <c r="AI122" i="10"/>
  <c r="AH114" i="22"/>
  <c r="AH115" i="22"/>
  <c r="AH116" i="22"/>
  <c r="AH117" i="22"/>
  <c r="AI42" i="22"/>
  <c r="AH134" i="22"/>
  <c r="AH135" i="22"/>
  <c r="AH136" i="22"/>
  <c r="AH137" i="22"/>
  <c r="AI50" i="22"/>
  <c r="AJ52" i="22"/>
  <c r="AI139" i="22"/>
  <c r="AI140" i="22"/>
  <c r="AI141" i="22"/>
  <c r="AI142" i="22"/>
  <c r="AI124" i="22"/>
  <c r="AI125" i="22"/>
  <c r="AI126" i="22"/>
  <c r="AI127" i="22"/>
  <c r="AJ46" i="22"/>
  <c r="AI134" i="8"/>
  <c r="AI135" i="8"/>
  <c r="AI136" i="8"/>
  <c r="AI137" i="8"/>
  <c r="AJ50" i="8"/>
  <c r="AI46" i="8"/>
  <c r="AH124" i="8"/>
  <c r="AH125" i="8"/>
  <c r="AH126" i="8"/>
  <c r="AH127" i="8"/>
  <c r="AV162" i="8"/>
  <c r="AX182" i="8"/>
  <c r="BE187" i="9"/>
  <c r="BD212" i="7"/>
  <c r="BA197" i="7"/>
  <c r="BK142" i="11"/>
  <c r="AY177" i="11"/>
  <c r="AH89" i="22"/>
  <c r="AH90" i="22"/>
  <c r="AH91" i="22"/>
  <c r="AH92" i="22"/>
  <c r="AI32" i="22"/>
  <c r="BA182" i="22"/>
  <c r="AG200" i="9"/>
  <c r="AG201" i="9"/>
  <c r="AW192" i="11"/>
  <c r="BC212" i="22"/>
  <c r="BB197" i="10"/>
  <c r="AL190" i="8"/>
  <c r="AL191" i="8"/>
  <c r="AY60" i="8"/>
  <c r="AX159" i="8"/>
  <c r="BC80" i="11"/>
  <c r="BB209" i="11"/>
  <c r="BU64" i="7"/>
  <c r="BT169" i="7"/>
  <c r="AZ177" i="8"/>
  <c r="BG212" i="9"/>
  <c r="BB197" i="22"/>
  <c r="BG149" i="10"/>
  <c r="BH56" i="10"/>
  <c r="BG184" i="9"/>
  <c r="BH70" i="9"/>
  <c r="BF65" i="11"/>
  <c r="BG232" i="11"/>
  <c r="BN35" i="2"/>
  <c r="M42" i="37"/>
  <c r="BO156" i="2"/>
  <c r="BE35" i="2"/>
  <c r="BF156" i="2"/>
  <c r="AZ212" i="11"/>
  <c r="BF204" i="10"/>
  <c r="BG78" i="10"/>
  <c r="BG80" i="7"/>
  <c r="BF209" i="7"/>
  <c r="BJ179" i="7"/>
  <c r="BK68" i="7"/>
  <c r="BE152" i="10"/>
  <c r="AX202" i="8"/>
  <c r="BE172" i="22"/>
  <c r="BE74" i="8"/>
  <c r="BD194" i="8"/>
  <c r="BL192" i="10"/>
  <c r="AZ72" i="11"/>
  <c r="AY189" i="11"/>
  <c r="BE179" i="9"/>
  <c r="BF68" i="9"/>
  <c r="AN72" i="8"/>
  <c r="AM189" i="8"/>
  <c r="BF150" i="10"/>
  <c r="BF151" i="10"/>
  <c r="AY200" i="8"/>
  <c r="AY201" i="8"/>
  <c r="BF171" i="22"/>
  <c r="BF170" i="22"/>
  <c r="BF186" i="9"/>
  <c r="BF185" i="9"/>
  <c r="AZ176" i="11"/>
  <c r="AZ175" i="11"/>
  <c r="U35" i="2"/>
  <c r="M42" i="32"/>
  <c r="V156" i="2"/>
  <c r="AM35" i="2"/>
  <c r="M42" i="34"/>
  <c r="AN156" i="2"/>
  <c r="BE206" i="10"/>
  <c r="BE205" i="10"/>
  <c r="BE210" i="7"/>
  <c r="BE211" i="7"/>
  <c r="BC195" i="10"/>
  <c r="BC196" i="10"/>
  <c r="BS30" i="22"/>
  <c r="BR84" i="22"/>
  <c r="BB197" i="8"/>
  <c r="BB186" i="7"/>
  <c r="BB185" i="7"/>
  <c r="AZ162" i="22"/>
  <c r="BR172" i="7"/>
  <c r="BC66" i="8"/>
  <c r="BB174" i="8"/>
  <c r="BH210" i="9"/>
  <c r="BH211" i="9"/>
  <c r="BN52" i="11"/>
  <c r="BM139" i="11"/>
  <c r="BA187" i="7"/>
  <c r="BD68" i="22"/>
  <c r="BC179" i="22"/>
  <c r="AF202" i="9"/>
  <c r="BD207" i="10"/>
  <c r="BD211" i="22"/>
  <c r="BD210" i="22"/>
  <c r="BA76" i="8"/>
  <c r="AZ199" i="8"/>
  <c r="BG169" i="22"/>
  <c r="BH64" i="22"/>
  <c r="BB66" i="11"/>
  <c r="BA174" i="11"/>
  <c r="BH130" i="11"/>
  <c r="BH131" i="11"/>
  <c r="C35" i="2"/>
  <c r="M43" i="30"/>
  <c r="D156" i="2"/>
  <c r="L35" i="2"/>
  <c r="M42" i="31"/>
  <c r="M156" i="2"/>
  <c r="BM190" i="10"/>
  <c r="BM191" i="10"/>
  <c r="BC182" i="9"/>
  <c r="AY181" i="8"/>
  <c r="AY180" i="8"/>
  <c r="BD74" i="7"/>
  <c r="BC194" i="7"/>
  <c r="BE74" i="22"/>
  <c r="BD194" i="22"/>
  <c r="BK69" i="11"/>
  <c r="BL234" i="11"/>
  <c r="BB159" i="22"/>
  <c r="BC60" i="22"/>
  <c r="BG132" i="11"/>
  <c r="AG190" i="9"/>
  <c r="AG191" i="9"/>
  <c r="A158" i="2"/>
  <c r="BW158" i="2"/>
  <c r="A38" i="2"/>
  <c r="BD194" i="10"/>
  <c r="BE74" i="10"/>
  <c r="BQ85" i="22"/>
  <c r="BQ86" i="22"/>
  <c r="AV73" i="7"/>
  <c r="AW236" i="7"/>
  <c r="BD70" i="7"/>
  <c r="BC184" i="7"/>
  <c r="AH199" i="9"/>
  <c r="AI76" i="9"/>
  <c r="BJ63" i="11"/>
  <c r="BK231" i="11"/>
  <c r="BA175" i="8"/>
  <c r="BA176" i="8"/>
  <c r="BJ80" i="9"/>
  <c r="BI209" i="9"/>
  <c r="AW161" i="8"/>
  <c r="AW160" i="8"/>
  <c r="BL141" i="11"/>
  <c r="BL140" i="11"/>
  <c r="BB181" i="22"/>
  <c r="BB180" i="22"/>
  <c r="BA210" i="11"/>
  <c r="BA211" i="11"/>
  <c r="BS170" i="7"/>
  <c r="BS171" i="7"/>
  <c r="BF80" i="22"/>
  <c r="BE209" i="22"/>
  <c r="BJ48" i="11"/>
  <c r="BI129" i="11"/>
  <c r="AD35" i="2"/>
  <c r="M42" i="33"/>
  <c r="AE156" i="2"/>
  <c r="AW156" i="2"/>
  <c r="AV35" i="2"/>
  <c r="M42" i="35"/>
  <c r="BO72" i="10"/>
  <c r="BN189" i="10"/>
  <c r="BA68" i="8"/>
  <c r="AZ179" i="8"/>
  <c r="BI180" i="7"/>
  <c r="BI181" i="7"/>
  <c r="BB195" i="7"/>
  <c r="BB196" i="7"/>
  <c r="BC196" i="22"/>
  <c r="BC195" i="22"/>
  <c r="BC195" i="8"/>
  <c r="BC196" i="8"/>
  <c r="BA160" i="22"/>
  <c r="BA161" i="22"/>
  <c r="AI72" i="9"/>
  <c r="AH189" i="9"/>
  <c r="AM157" i="2"/>
  <c r="BN157" i="2"/>
  <c r="BE157" i="2"/>
  <c r="U157" i="2"/>
  <c r="L157" i="2"/>
  <c r="AD157" i="2"/>
  <c r="C157" i="2"/>
  <c r="AV157" i="2"/>
  <c r="AX65" i="8"/>
  <c r="AY232" i="8"/>
  <c r="AX191" i="11"/>
  <c r="AX190" i="11"/>
  <c r="BD181" i="9"/>
  <c r="BD180" i="9"/>
  <c r="T32" i="30"/>
  <c r="J45" i="30"/>
  <c r="W27" i="39"/>
  <c r="H44" i="30"/>
  <c r="U33" i="30"/>
  <c r="K33" i="30"/>
  <c r="L33" i="30"/>
  <c r="N33" i="30"/>
  <c r="O33" i="30"/>
  <c r="P33" i="30"/>
  <c r="Q33" i="30"/>
  <c r="AI42" i="8"/>
  <c r="AH114" i="8"/>
  <c r="AH115" i="8"/>
  <c r="AH116" i="8"/>
  <c r="AH117" i="8"/>
  <c r="AI44" i="8"/>
  <c r="AH119" i="8"/>
  <c r="AH120" i="8"/>
  <c r="AH121" i="8"/>
  <c r="AH122" i="8"/>
  <c r="AM94" i="8"/>
  <c r="AM95" i="8"/>
  <c r="AM96" i="8"/>
  <c r="AM97" i="8"/>
  <c r="AN34" i="8"/>
  <c r="AP164" i="7"/>
  <c r="AQ62" i="7"/>
  <c r="AO166" i="7"/>
  <c r="AO165" i="7"/>
  <c r="AN167" i="7"/>
  <c r="AH89" i="11"/>
  <c r="AH90" i="11"/>
  <c r="AH91" i="11"/>
  <c r="AH92" i="11"/>
  <c r="AI32" i="11"/>
  <c r="AI52" i="9"/>
  <c r="AH139" i="9"/>
  <c r="AH140" i="9"/>
  <c r="AH141" i="9"/>
  <c r="AH142" i="9"/>
  <c r="AI84" i="9"/>
  <c r="AI85" i="9"/>
  <c r="AI86" i="9"/>
  <c r="AI87" i="9"/>
  <c r="AJ30" i="9"/>
  <c r="AJ86" i="1"/>
  <c r="AJ87" i="1"/>
  <c r="AJ88" i="1"/>
  <c r="AJ89" i="1"/>
  <c r="AK30" i="1"/>
  <c r="AI52" i="1"/>
  <c r="AH141" i="1"/>
  <c r="AH142" i="1"/>
  <c r="AH143" i="1"/>
  <c r="AH144" i="1"/>
  <c r="AH156" i="1"/>
  <c r="AI58" i="1"/>
  <c r="AH96" i="1"/>
  <c r="AH97" i="1"/>
  <c r="AH98" i="1"/>
  <c r="AH99" i="1"/>
  <c r="AI34" i="1"/>
  <c r="AI48" i="1"/>
  <c r="AH131" i="1"/>
  <c r="AH132" i="1"/>
  <c r="AH133" i="1"/>
  <c r="AH134" i="1"/>
  <c r="AI68" i="1"/>
  <c r="AH181" i="1"/>
  <c r="AH182" i="1"/>
  <c r="AH183" i="1"/>
  <c r="AH184" i="1"/>
  <c r="AK32" i="1"/>
  <c r="AJ91" i="1"/>
  <c r="AJ92" i="1"/>
  <c r="AJ93" i="1"/>
  <c r="AJ94" i="1"/>
  <c r="AH171" i="1"/>
  <c r="AH172" i="1"/>
  <c r="AH173" i="1"/>
  <c r="AH174" i="1"/>
  <c r="AI64" i="1"/>
  <c r="AI50" i="1"/>
  <c r="AH136" i="1"/>
  <c r="W38" i="33"/>
  <c r="V38" i="33"/>
  <c r="K38" i="33"/>
  <c r="AH219" i="1"/>
  <c r="AI119" i="22"/>
  <c r="AI120" i="22"/>
  <c r="AI121" i="22"/>
  <c r="AI122" i="22"/>
  <c r="AJ44" i="22"/>
  <c r="AI121" i="6"/>
  <c r="AI22" i="6"/>
  <c r="AH78" i="6"/>
  <c r="AH79" i="6"/>
  <c r="AH80" i="6"/>
  <c r="AH81" i="6"/>
  <c r="AI128" i="6"/>
  <c r="AJ42" i="6"/>
  <c r="AH133" i="6"/>
  <c r="AH134" i="6"/>
  <c r="AH135" i="6"/>
  <c r="AH136" i="6"/>
  <c r="AI44" i="6"/>
  <c r="AH123" i="6"/>
  <c r="AH124" i="6"/>
  <c r="AH125" i="6"/>
  <c r="AH126" i="6"/>
  <c r="AI40" i="6"/>
  <c r="AG114" i="6"/>
  <c r="AG115" i="6"/>
  <c r="AG116" i="6"/>
  <c r="AH93" i="6"/>
  <c r="AH94" i="6"/>
  <c r="AH95" i="6"/>
  <c r="AH96" i="6"/>
  <c r="AI28" i="6"/>
  <c r="AH108" i="6"/>
  <c r="AH109" i="6"/>
  <c r="AH110" i="6"/>
  <c r="AH111" i="6"/>
  <c r="AI34" i="6"/>
  <c r="AH83" i="6"/>
  <c r="AH84" i="6"/>
  <c r="AH85" i="6"/>
  <c r="AH86" i="6"/>
  <c r="AI24" i="6"/>
  <c r="AI98" i="6"/>
  <c r="AI99" i="6"/>
  <c r="AI100" i="6"/>
  <c r="AI101" i="6"/>
  <c r="AJ30" i="6"/>
  <c r="AI36" i="6"/>
  <c r="AH113" i="6"/>
  <c r="AH114" i="6"/>
  <c r="AH115" i="6"/>
  <c r="AH116" i="6"/>
  <c r="AG94" i="6"/>
  <c r="AG95" i="6"/>
  <c r="AI32" i="6"/>
  <c r="AH103" i="6"/>
  <c r="AH104" i="6"/>
  <c r="AH105" i="6"/>
  <c r="AH106" i="6"/>
  <c r="AF86" i="6"/>
  <c r="AI26" i="6"/>
  <c r="AH88" i="6"/>
  <c r="AH89" i="6"/>
  <c r="AH90" i="6"/>
  <c r="AH91" i="6"/>
  <c r="AH179" i="1"/>
  <c r="AH116" i="1"/>
  <c r="AH117" i="1"/>
  <c r="AH118" i="1"/>
  <c r="AH119" i="1"/>
  <c r="AI42" i="1"/>
  <c r="AI218" i="1"/>
  <c r="AI217" i="1"/>
  <c r="AK82" i="1"/>
  <c r="AJ216" i="1"/>
  <c r="AL80" i="1"/>
  <c r="AK211" i="1"/>
  <c r="AF146" i="6"/>
  <c r="AJ36" i="8"/>
  <c r="AI99" i="8"/>
  <c r="AI100" i="8"/>
  <c r="AI101" i="8"/>
  <c r="AI102" i="8"/>
  <c r="AM38" i="8"/>
  <c r="AL104" i="8"/>
  <c r="AL105" i="8"/>
  <c r="AL106" i="8"/>
  <c r="AL107" i="8"/>
  <c r="AJ44" i="11"/>
  <c r="AI119" i="11"/>
  <c r="AH120" i="11"/>
  <c r="AH121" i="11"/>
  <c r="AH122" i="11"/>
  <c r="AI104" i="22"/>
  <c r="AI105" i="22"/>
  <c r="AI106" i="22"/>
  <c r="AI107" i="22"/>
  <c r="AJ38" i="22"/>
  <c r="AI34" i="22"/>
  <c r="AH94" i="22"/>
  <c r="AH95" i="22"/>
  <c r="AH96" i="22"/>
  <c r="AH97" i="22"/>
  <c r="AI48" i="22"/>
  <c r="AH129" i="22"/>
  <c r="AH130" i="22"/>
  <c r="AH131" i="22"/>
  <c r="AH132" i="22"/>
  <c r="AI104" i="7"/>
  <c r="AI105" i="7"/>
  <c r="AI106" i="7"/>
  <c r="AI107" i="7"/>
  <c r="AJ38" i="7"/>
  <c r="AI84" i="7"/>
  <c r="AI85" i="7"/>
  <c r="AI86" i="7"/>
  <c r="AI87" i="7"/>
  <c r="AJ30" i="7"/>
  <c r="AJ36" i="7"/>
  <c r="AI99" i="7"/>
  <c r="AI100" i="7"/>
  <c r="AI101" i="7"/>
  <c r="AI102" i="7"/>
  <c r="AI42" i="7"/>
  <c r="AH114" i="7"/>
  <c r="AH115" i="7"/>
  <c r="AH116" i="7"/>
  <c r="AH117" i="7"/>
  <c r="AL40" i="7"/>
  <c r="AK109" i="7"/>
  <c r="AK110" i="7"/>
  <c r="AK111" i="7"/>
  <c r="AK112" i="7"/>
  <c r="AI34" i="7"/>
  <c r="AH94" i="7"/>
  <c r="AH95" i="7"/>
  <c r="AH96" i="7"/>
  <c r="AH97" i="7"/>
  <c r="AL38" i="6"/>
  <c r="AK118" i="6"/>
  <c r="AJ119" i="6"/>
  <c r="AJ120" i="6"/>
  <c r="AJ121" i="6"/>
  <c r="AK145" i="9"/>
  <c r="AK146" i="9"/>
  <c r="AK147" i="9"/>
  <c r="AK104" i="9"/>
  <c r="AL38" i="9"/>
  <c r="AL144" i="9"/>
  <c r="AL145" i="9"/>
  <c r="AL146" i="9"/>
  <c r="AL147" i="9"/>
  <c r="AM54" i="9"/>
  <c r="AG114" i="9"/>
  <c r="AG115" i="9"/>
  <c r="AG116" i="9"/>
  <c r="AG117" i="9"/>
  <c r="AH42" i="9"/>
  <c r="AI34" i="9"/>
  <c r="AH94" i="9"/>
  <c r="AH95" i="9"/>
  <c r="AH96" i="9"/>
  <c r="AH97" i="9"/>
  <c r="AI46" i="9"/>
  <c r="AH124" i="9"/>
  <c r="AH125" i="9"/>
  <c r="AH126" i="9"/>
  <c r="AH127" i="9"/>
  <c r="AJ50" i="9"/>
  <c r="AI134" i="9"/>
  <c r="AH119" i="9"/>
  <c r="AH120" i="9"/>
  <c r="AH121" i="9"/>
  <c r="AH122" i="9"/>
  <c r="AI44" i="9"/>
  <c r="AI90" i="9"/>
  <c r="AI91" i="9"/>
  <c r="AI92" i="9"/>
  <c r="AH149" i="9"/>
  <c r="AH150" i="9"/>
  <c r="AH151" i="9"/>
  <c r="AH152" i="9"/>
  <c r="AI56" i="9"/>
  <c r="AJ89" i="9"/>
  <c r="AJ90" i="9"/>
  <c r="AJ91" i="9"/>
  <c r="AJ92" i="9"/>
  <c r="AK32" i="9"/>
  <c r="AH129" i="9"/>
  <c r="AH130" i="9"/>
  <c r="AH131" i="9"/>
  <c r="AH132" i="9"/>
  <c r="AI48" i="9"/>
  <c r="AO56" i="1"/>
  <c r="AN151" i="1"/>
  <c r="AN152" i="1"/>
  <c r="AN153" i="1"/>
  <c r="AN154" i="1"/>
  <c r="AI177" i="1"/>
  <c r="AI178" i="1"/>
  <c r="AI179" i="1"/>
  <c r="AI78" i="1"/>
  <c r="AH206" i="1"/>
  <c r="AH207" i="1"/>
  <c r="AH208" i="1"/>
  <c r="AH209" i="1"/>
  <c r="AI70" i="1"/>
  <c r="AH186" i="1"/>
  <c r="AH187" i="1"/>
  <c r="AH188" i="1"/>
  <c r="AH189" i="1"/>
  <c r="AJ60" i="1"/>
  <c r="AI161" i="1"/>
  <c r="AI162" i="1"/>
  <c r="AI163" i="1"/>
  <c r="AI164" i="1"/>
  <c r="AM152" i="1"/>
  <c r="AM153" i="1"/>
  <c r="AM154" i="1"/>
  <c r="AK66" i="1"/>
  <c r="AJ176" i="1"/>
  <c r="AJ177" i="1"/>
  <c r="AJ178" i="1"/>
  <c r="AJ179" i="1"/>
  <c r="AI202" i="1"/>
  <c r="AI203" i="1"/>
  <c r="AI204" i="1"/>
  <c r="AG197" i="1"/>
  <c r="AG198" i="1"/>
  <c r="AG199" i="1"/>
  <c r="AK76" i="1"/>
  <c r="AJ201" i="1"/>
  <c r="AJ202" i="1"/>
  <c r="AJ203" i="1"/>
  <c r="AJ204" i="1"/>
  <c r="AI74" i="1"/>
  <c r="AH196" i="1"/>
  <c r="AH197" i="1"/>
  <c r="AH198" i="1"/>
  <c r="AH199" i="1"/>
  <c r="AJ72" i="1"/>
  <c r="AI191" i="1"/>
  <c r="AI192" i="1"/>
  <c r="AI193" i="1"/>
  <c r="AI194" i="1"/>
  <c r="AM115" i="11"/>
  <c r="AM116" i="11"/>
  <c r="AM117" i="11"/>
  <c r="AO42" i="11"/>
  <c r="AN114" i="11"/>
  <c r="U36" i="34"/>
  <c r="T38" i="35"/>
  <c r="L38" i="35"/>
  <c r="N38" i="35"/>
  <c r="O38" i="35"/>
  <c r="P38" i="35"/>
  <c r="AD38" i="35"/>
  <c r="AE38" i="35"/>
  <c r="AF38" i="35"/>
  <c r="AG38" i="35"/>
  <c r="AH38" i="35"/>
  <c r="AI38" i="35"/>
  <c r="AJ38" i="35"/>
  <c r="AK38" i="35"/>
  <c r="AL38" i="35"/>
  <c r="X38" i="35"/>
  <c r="Y38" i="35"/>
  <c r="Z38" i="35"/>
  <c r="AA38" i="35"/>
  <c r="AB38" i="35"/>
  <c r="AC38" i="35"/>
  <c r="AI100" i="11"/>
  <c r="AI101" i="11"/>
  <c r="AI102" i="11"/>
  <c r="AH105" i="11"/>
  <c r="AH106" i="11"/>
  <c r="AG107" i="11"/>
  <c r="AM30" i="11"/>
  <c r="AL84" i="11"/>
  <c r="AJ99" i="11"/>
  <c r="AK36" i="11"/>
  <c r="AI104" i="11"/>
  <c r="AJ38" i="11"/>
  <c r="AK85" i="11"/>
  <c r="AK86" i="11"/>
  <c r="AK87" i="11"/>
  <c r="AH135" i="10"/>
  <c r="AH136" i="10"/>
  <c r="AH137" i="10"/>
  <c r="AI134" i="10"/>
  <c r="AJ50" i="10"/>
  <c r="AH100" i="10"/>
  <c r="AH101" i="10"/>
  <c r="AH102" i="10"/>
  <c r="AJ36" i="10"/>
  <c r="AI99" i="10"/>
  <c r="AI58" i="22"/>
  <c r="AH154" i="22"/>
  <c r="AG155" i="22"/>
  <c r="AG156" i="22"/>
  <c r="AG157" i="22"/>
  <c r="AI144" i="22"/>
  <c r="AJ54" i="22"/>
  <c r="AH110" i="22"/>
  <c r="AH111" i="22"/>
  <c r="AH112" i="22"/>
  <c r="AH100" i="22"/>
  <c r="AH101" i="22"/>
  <c r="AH102" i="22"/>
  <c r="AI109" i="22"/>
  <c r="AJ40" i="22"/>
  <c r="AH145" i="22"/>
  <c r="AH146" i="22"/>
  <c r="AH147" i="22"/>
  <c r="AI99" i="22"/>
  <c r="AJ36" i="22"/>
  <c r="AL56" i="8"/>
  <c r="AK149" i="8"/>
  <c r="AJ150" i="8"/>
  <c r="AJ151" i="8"/>
  <c r="AJ152" i="8"/>
  <c r="AI144" i="8"/>
  <c r="AJ54" i="8"/>
  <c r="AH145" i="8"/>
  <c r="AH146" i="8"/>
  <c r="AH147" i="8"/>
  <c r="AI40" i="8"/>
  <c r="AH109" i="8"/>
  <c r="AG90" i="8"/>
  <c r="AG91" i="8"/>
  <c r="AG92" i="8"/>
  <c r="AI52" i="8"/>
  <c r="AH139" i="8"/>
  <c r="AG140" i="8"/>
  <c r="AG141" i="8"/>
  <c r="AG142" i="8"/>
  <c r="AG130" i="8"/>
  <c r="AG131" i="8"/>
  <c r="AG132" i="8"/>
  <c r="AF85" i="8"/>
  <c r="AF86" i="8"/>
  <c r="AF87" i="8"/>
  <c r="AI48" i="8"/>
  <c r="AH129" i="8"/>
  <c r="AG110" i="8"/>
  <c r="AG111" i="8"/>
  <c r="AG112" i="8"/>
  <c r="AG84" i="8"/>
  <c r="AH30" i="8"/>
  <c r="AH89" i="8"/>
  <c r="AI32" i="8"/>
  <c r="AG145" i="7"/>
  <c r="AG146" i="7"/>
  <c r="AG147" i="7"/>
  <c r="AH144" i="7"/>
  <c r="AI54" i="7"/>
  <c r="AG140" i="7"/>
  <c r="AG141" i="7"/>
  <c r="AG142" i="7"/>
  <c r="AI52" i="7"/>
  <c r="AH139" i="7"/>
  <c r="AG135" i="7"/>
  <c r="AG136" i="7"/>
  <c r="AG137" i="7"/>
  <c r="AI50" i="7"/>
  <c r="AH134" i="7"/>
  <c r="AI125" i="7"/>
  <c r="AI126" i="7"/>
  <c r="AI127" i="7"/>
  <c r="AJ120" i="7"/>
  <c r="AJ121" i="7"/>
  <c r="AJ122" i="7"/>
  <c r="AK46" i="7"/>
  <c r="AJ124" i="7"/>
  <c r="AK119" i="7"/>
  <c r="AL44" i="7"/>
  <c r="AO89" i="7"/>
  <c r="AP32" i="7"/>
  <c r="AN90" i="7"/>
  <c r="AN91" i="7"/>
  <c r="AN92" i="7"/>
  <c r="AH163" i="6"/>
  <c r="AI56" i="6"/>
  <c r="AG164" i="6"/>
  <c r="AG165" i="6"/>
  <c r="AG166" i="6"/>
  <c r="AI54" i="6"/>
  <c r="AH158" i="6"/>
  <c r="AG159" i="6"/>
  <c r="AG160" i="6"/>
  <c r="AG154" i="6"/>
  <c r="AG155" i="6"/>
  <c r="AG156" i="6"/>
  <c r="AH153" i="6"/>
  <c r="AI52" i="6"/>
  <c r="AH148" i="6"/>
  <c r="AI50" i="6"/>
  <c r="AG149" i="6"/>
  <c r="AG150" i="6"/>
  <c r="AG151" i="6"/>
  <c r="AH143" i="6"/>
  <c r="AI48" i="6"/>
  <c r="AG144" i="6"/>
  <c r="AG145" i="6"/>
  <c r="AI159" i="9"/>
  <c r="AJ60" i="9"/>
  <c r="AH160" i="9"/>
  <c r="AH161" i="9"/>
  <c r="AH162" i="9"/>
  <c r="AH154" i="9"/>
  <c r="AI58" i="9"/>
  <c r="AG155" i="9"/>
  <c r="AG156" i="9"/>
  <c r="AG157" i="9"/>
  <c r="AH100" i="9"/>
  <c r="AH101" i="9"/>
  <c r="AH102" i="9"/>
  <c r="AJ40" i="9"/>
  <c r="AI109" i="9"/>
  <c r="AH110" i="9"/>
  <c r="AH111" i="9"/>
  <c r="AH112" i="9"/>
  <c r="AJ36" i="9"/>
  <c r="AI99" i="9"/>
  <c r="AG167" i="1"/>
  <c r="AG168" i="1"/>
  <c r="AG169" i="1"/>
  <c r="AI62" i="1"/>
  <c r="AH166" i="1"/>
  <c r="AG147" i="1"/>
  <c r="AG148" i="1"/>
  <c r="AG149" i="1"/>
  <c r="AH126" i="1"/>
  <c r="AI46" i="1"/>
  <c r="AH146" i="1"/>
  <c r="AI54" i="1"/>
  <c r="AG127" i="1"/>
  <c r="AG128" i="1"/>
  <c r="AG129" i="1"/>
  <c r="AI122" i="1"/>
  <c r="AI123" i="1"/>
  <c r="AJ121" i="1"/>
  <c r="AK44" i="1"/>
  <c r="AI112" i="1"/>
  <c r="AI113" i="1"/>
  <c r="AI114" i="1"/>
  <c r="AK36" i="1"/>
  <c r="AJ101" i="1"/>
  <c r="AG107" i="1"/>
  <c r="AG108" i="1"/>
  <c r="AG109" i="1"/>
  <c r="AH106" i="1"/>
  <c r="AI38" i="1"/>
  <c r="AJ111" i="1"/>
  <c r="AK40" i="1"/>
  <c r="AI102" i="1"/>
  <c r="AI103" i="1"/>
  <c r="AI104" i="1"/>
  <c r="U39" i="37"/>
  <c r="W39" i="37"/>
  <c r="V39" i="37"/>
  <c r="P40" i="36"/>
  <c r="Q40" i="36"/>
  <c r="AJ48" i="7"/>
  <c r="AI129" i="7"/>
  <c r="AI130" i="7"/>
  <c r="AI131" i="7"/>
  <c r="AI132" i="7"/>
  <c r="BN197" i="9"/>
  <c r="W38" i="36"/>
  <c r="V38" i="36"/>
  <c r="K38" i="36"/>
  <c r="T38" i="36"/>
  <c r="AC40" i="31"/>
  <c r="Z40" i="31"/>
  <c r="AI40" i="31"/>
  <c r="Y40" i="31"/>
  <c r="AM40" i="31"/>
  <c r="AE40" i="31"/>
  <c r="AN40" i="31"/>
  <c r="AB40" i="31"/>
  <c r="BO195" i="9"/>
  <c r="BO196" i="9"/>
  <c r="AV59" i="11"/>
  <c r="AW229" i="11"/>
  <c r="BW37" i="2"/>
  <c r="M44" i="41"/>
  <c r="BX158" i="2"/>
  <c r="BP194" i="9"/>
  <c r="BQ74" i="9"/>
  <c r="AB39" i="32"/>
  <c r="AF39" i="32"/>
  <c r="AJ39" i="32"/>
  <c r="X39" i="32"/>
  <c r="AG39" i="32"/>
  <c r="Z39" i="32"/>
  <c r="AH39" i="32"/>
  <c r="AE39" i="32"/>
  <c r="AI39" i="32"/>
  <c r="AM39" i="32"/>
  <c r="AA39" i="32"/>
  <c r="AC39" i="32"/>
  <c r="AK39" i="32"/>
  <c r="Y39" i="32"/>
  <c r="AD39" i="32"/>
  <c r="AL39" i="32"/>
  <c r="K39" i="32"/>
  <c r="M42" i="36"/>
  <c r="CF35" i="2"/>
  <c r="U33" i="41"/>
  <c r="W33" i="41"/>
  <c r="V33" i="41"/>
  <c r="AA33" i="41"/>
  <c r="T32" i="41"/>
  <c r="S25" i="41"/>
  <c r="AP8" i="26"/>
  <c r="R24" i="41"/>
  <c r="AW197" i="11"/>
  <c r="BA147" i="10"/>
  <c r="BA162" i="22"/>
  <c r="BI182" i="7"/>
  <c r="AH152" i="11"/>
  <c r="AV187" i="10"/>
  <c r="AS167" i="10"/>
  <c r="AG187" i="8"/>
  <c r="BC197" i="8"/>
  <c r="AG202" i="10"/>
  <c r="AN187" i="22"/>
  <c r="AR177" i="10"/>
  <c r="AG182" i="10"/>
  <c r="AY244" i="40"/>
  <c r="AZ92" i="40"/>
  <c r="AY264" i="40"/>
  <c r="AZ100" i="40"/>
  <c r="AY269" i="40"/>
  <c r="AY270" i="40"/>
  <c r="AY271" i="40"/>
  <c r="AY272" i="40"/>
  <c r="AZ102" i="40"/>
  <c r="AX245" i="40"/>
  <c r="AX246" i="40"/>
  <c r="AX247" i="40"/>
  <c r="AX265" i="40"/>
  <c r="AX266" i="40"/>
  <c r="AX267" i="40"/>
  <c r="AX270" i="40"/>
  <c r="AX271" i="40"/>
  <c r="AX272" i="40"/>
  <c r="AY284" i="40"/>
  <c r="AZ108" i="40"/>
  <c r="AY249" i="40"/>
  <c r="AZ94" i="40"/>
  <c r="AY289" i="40"/>
  <c r="AY290" i="40"/>
  <c r="AY291" i="40"/>
  <c r="AY292" i="40"/>
  <c r="AZ110" i="40"/>
  <c r="AX285" i="40"/>
  <c r="AX286" i="40"/>
  <c r="AX287" i="40"/>
  <c r="AX290" i="40"/>
  <c r="AX291" i="40"/>
  <c r="AX292" i="40"/>
  <c r="BE106" i="40"/>
  <c r="BE279" i="40"/>
  <c r="BE280" i="40"/>
  <c r="BE281" i="40"/>
  <c r="BE282" i="40"/>
  <c r="BF104" i="40"/>
  <c r="BF274" i="40"/>
  <c r="BG98" i="40"/>
  <c r="BG259" i="40"/>
  <c r="BF96" i="40"/>
  <c r="BF254" i="40"/>
  <c r="BB90" i="40"/>
  <c r="BB68" i="40"/>
  <c r="BA184" i="40"/>
  <c r="AZ42" i="40"/>
  <c r="AY119" i="40"/>
  <c r="AX200" i="40"/>
  <c r="AX201" i="40"/>
  <c r="AX240" i="40"/>
  <c r="AX241" i="40"/>
  <c r="BA50" i="40"/>
  <c r="AZ139" i="40"/>
  <c r="AX190" i="40"/>
  <c r="AX191" i="40"/>
  <c r="AZ175" i="40"/>
  <c r="AZ176" i="40"/>
  <c r="AZ177" i="40"/>
  <c r="AZ74" i="40"/>
  <c r="AY199" i="40"/>
  <c r="AX135" i="40"/>
  <c r="AX136" i="40"/>
  <c r="AX137" i="40"/>
  <c r="AY154" i="40"/>
  <c r="AZ56" i="40"/>
  <c r="AY115" i="40"/>
  <c r="AY116" i="40"/>
  <c r="AY117" i="40"/>
  <c r="AX220" i="40"/>
  <c r="AX221" i="40"/>
  <c r="AZ70" i="40"/>
  <c r="AY189" i="40"/>
  <c r="AY165" i="40"/>
  <c r="AY166" i="40"/>
  <c r="BB64" i="40"/>
  <c r="BA174" i="40"/>
  <c r="AX145" i="40"/>
  <c r="AX146" i="40"/>
  <c r="AX147" i="40"/>
  <c r="AX182" i="40"/>
  <c r="AZ78" i="40"/>
  <c r="AY209" i="40"/>
  <c r="AY235" i="40"/>
  <c r="AY236" i="40"/>
  <c r="AY237" i="40"/>
  <c r="AZ44" i="40"/>
  <c r="AY124" i="40"/>
  <c r="AX170" i="40"/>
  <c r="AX171" i="40"/>
  <c r="AX230" i="40"/>
  <c r="AX231" i="40"/>
  <c r="AZ54" i="40"/>
  <c r="AY149" i="40"/>
  <c r="AW222" i="40"/>
  <c r="AY205" i="40"/>
  <c r="AY206" i="40"/>
  <c r="AX227" i="40"/>
  <c r="AZ48" i="40"/>
  <c r="AY134" i="40"/>
  <c r="AZ46" i="40"/>
  <c r="AY129" i="40"/>
  <c r="AX155" i="40"/>
  <c r="AX156" i="40"/>
  <c r="AX157" i="40"/>
  <c r="BA80" i="40"/>
  <c r="AZ214" i="40"/>
  <c r="BA40" i="40"/>
  <c r="AZ114" i="40"/>
  <c r="AY180" i="40"/>
  <c r="AY181" i="40"/>
  <c r="AY182" i="40"/>
  <c r="BB72" i="40"/>
  <c r="BA194" i="40"/>
  <c r="BA84" i="40"/>
  <c r="AZ224" i="40"/>
  <c r="AX160" i="40"/>
  <c r="AX161" i="40"/>
  <c r="AX162" i="40"/>
  <c r="BA66" i="40"/>
  <c r="AZ179" i="40"/>
  <c r="AX210" i="40"/>
  <c r="AX211" i="40"/>
  <c r="AX212" i="40"/>
  <c r="AX125" i="40"/>
  <c r="AX126" i="40"/>
  <c r="AX127" i="40"/>
  <c r="AY239" i="40"/>
  <c r="AX150" i="40"/>
  <c r="AX151" i="40"/>
  <c r="AX152" i="40"/>
  <c r="AZ58" i="40"/>
  <c r="AY159" i="40"/>
  <c r="AX130" i="40"/>
  <c r="AX131" i="40"/>
  <c r="AX132" i="40"/>
  <c r="AY215" i="40"/>
  <c r="AY216" i="40"/>
  <c r="AY217" i="40"/>
  <c r="AY177" i="40"/>
  <c r="AZ185" i="40"/>
  <c r="AZ186" i="40"/>
  <c r="AZ82" i="40"/>
  <c r="AY219" i="40"/>
  <c r="AX120" i="40"/>
  <c r="AX121" i="40"/>
  <c r="AX122" i="40"/>
  <c r="BA60" i="40"/>
  <c r="AZ164" i="40"/>
  <c r="AW162" i="40"/>
  <c r="AZ52" i="40"/>
  <c r="AY144" i="40"/>
  <c r="AZ195" i="40"/>
  <c r="AZ196" i="40"/>
  <c r="AZ197" i="40"/>
  <c r="BA88" i="40"/>
  <c r="AZ234" i="40"/>
  <c r="AY225" i="40"/>
  <c r="AY226" i="40"/>
  <c r="AY227" i="40"/>
  <c r="AZ62" i="40"/>
  <c r="AY169" i="40"/>
  <c r="AY140" i="40"/>
  <c r="AY141" i="40"/>
  <c r="AZ86" i="40"/>
  <c r="AY229" i="40"/>
  <c r="AY197" i="40"/>
  <c r="AW242" i="40"/>
  <c r="AW157" i="40"/>
  <c r="BA76" i="40"/>
  <c r="AZ204" i="40"/>
  <c r="AW192" i="40"/>
  <c r="BL142" i="11"/>
  <c r="AG177" i="7"/>
  <c r="AQ207" i="22"/>
  <c r="AH135" i="11"/>
  <c r="AH136" i="11"/>
  <c r="AL125" i="11"/>
  <c r="AL126" i="11"/>
  <c r="AO78" i="11"/>
  <c r="AN204" i="11"/>
  <c r="AP62" i="8"/>
  <c r="AO164" i="8"/>
  <c r="AS189" i="22"/>
  <c r="AT72" i="22"/>
  <c r="BH172" i="10"/>
  <c r="AH201" i="22"/>
  <c r="AH200" i="22"/>
  <c r="BG212" i="10"/>
  <c r="AU156" i="8"/>
  <c r="AU155" i="8"/>
  <c r="AG162" i="10"/>
  <c r="AG137" i="11"/>
  <c r="AK127" i="11"/>
  <c r="AL207" i="11"/>
  <c r="AM167" i="8"/>
  <c r="AL162" i="7"/>
  <c r="AG202" i="22"/>
  <c r="BJ80" i="10"/>
  <c r="BI209" i="10"/>
  <c r="AT157" i="8"/>
  <c r="AQ170" i="9"/>
  <c r="AQ171" i="9"/>
  <c r="AI200" i="7"/>
  <c r="AI201" i="7"/>
  <c r="AG202" i="11"/>
  <c r="AI138" i="6"/>
  <c r="AI139" i="6"/>
  <c r="AI140" i="6"/>
  <c r="AI141" i="6"/>
  <c r="AJ46" i="6"/>
  <c r="AN207" i="7"/>
  <c r="AJ66" i="7"/>
  <c r="AI174" i="7"/>
  <c r="AS204" i="22"/>
  <c r="AT78" i="22"/>
  <c r="AW186" i="10"/>
  <c r="AW185" i="10"/>
  <c r="BC144" i="10"/>
  <c r="BD54" i="10"/>
  <c r="BJ155" i="10"/>
  <c r="BJ156" i="10"/>
  <c r="AR62" i="22"/>
  <c r="AQ164" i="22"/>
  <c r="AJ50" i="11"/>
  <c r="AI134" i="11"/>
  <c r="AN46" i="11"/>
  <c r="AM124" i="11"/>
  <c r="AM160" i="7"/>
  <c r="AM161" i="7"/>
  <c r="AS78" i="9"/>
  <c r="AR204" i="9"/>
  <c r="AW58" i="8"/>
  <c r="AV154" i="8"/>
  <c r="AI150" i="11"/>
  <c r="AI151" i="11"/>
  <c r="AH200" i="11"/>
  <c r="AH201" i="11"/>
  <c r="BI171" i="10"/>
  <c r="BI170" i="10"/>
  <c r="BH210" i="10"/>
  <c r="BH211" i="10"/>
  <c r="AS64" i="9"/>
  <c r="AR169" i="9"/>
  <c r="BE81" i="8"/>
  <c r="BF240" i="8"/>
  <c r="AK76" i="7"/>
  <c r="AJ199" i="7"/>
  <c r="AP184" i="22"/>
  <c r="AQ70" i="22"/>
  <c r="AX196" i="11"/>
  <c r="AX195" i="11"/>
  <c r="AH176" i="7"/>
  <c r="AH175" i="7"/>
  <c r="AR206" i="22"/>
  <c r="AR205" i="22"/>
  <c r="AU164" i="10"/>
  <c r="AV62" i="10"/>
  <c r="AJ76" i="10"/>
  <c r="AI199" i="10"/>
  <c r="AP166" i="22"/>
  <c r="AP165" i="22"/>
  <c r="AJ60" i="10"/>
  <c r="AI159" i="10"/>
  <c r="AK155" i="7"/>
  <c r="AK156" i="7"/>
  <c r="BI157" i="10"/>
  <c r="AO60" i="7"/>
  <c r="AN159" i="7"/>
  <c r="AQ206" i="9"/>
  <c r="AQ205" i="9"/>
  <c r="AH165" i="9"/>
  <c r="AH166" i="9"/>
  <c r="BI230" i="11"/>
  <c r="BH61" i="11"/>
  <c r="AJ157" i="7"/>
  <c r="AK56" i="11"/>
  <c r="AJ149" i="11"/>
  <c r="AJ76" i="11"/>
  <c r="AI199" i="11"/>
  <c r="AQ192" i="22"/>
  <c r="BK64" i="10"/>
  <c r="BJ169" i="10"/>
  <c r="AP207" i="9"/>
  <c r="BJ174" i="9"/>
  <c r="BK66" i="9"/>
  <c r="AG167" i="9"/>
  <c r="AT174" i="10"/>
  <c r="AU66" i="10"/>
  <c r="AH181" i="10"/>
  <c r="AH180" i="10"/>
  <c r="BF174" i="22"/>
  <c r="BG66" i="22"/>
  <c r="AO185" i="22"/>
  <c r="AO186" i="22"/>
  <c r="BB55" i="11"/>
  <c r="BC227" i="11"/>
  <c r="AH205" i="8"/>
  <c r="AH206" i="8"/>
  <c r="AZ74" i="11"/>
  <c r="AY194" i="11"/>
  <c r="AH186" i="8"/>
  <c r="AH185" i="8"/>
  <c r="AH202" i="7"/>
  <c r="AT165" i="10"/>
  <c r="AT166" i="10"/>
  <c r="AJ56" i="22"/>
  <c r="AI149" i="22"/>
  <c r="AI150" i="22"/>
  <c r="AI151" i="22"/>
  <c r="AI152" i="22"/>
  <c r="AH201" i="10"/>
  <c r="AH200" i="10"/>
  <c r="AQ78" i="7"/>
  <c r="AP204" i="7"/>
  <c r="AG207" i="8"/>
  <c r="AH161" i="10"/>
  <c r="AH160" i="10"/>
  <c r="AM58" i="7"/>
  <c r="AL154" i="7"/>
  <c r="AM206" i="11"/>
  <c r="AM205" i="11"/>
  <c r="AN165" i="8"/>
  <c r="AN166" i="8"/>
  <c r="AR190" i="22"/>
  <c r="AR191" i="22"/>
  <c r="AJ76" i="22"/>
  <c r="AI199" i="22"/>
  <c r="BH177" i="9"/>
  <c r="AJ62" i="9"/>
  <c r="AI164" i="9"/>
  <c r="BI176" i="9"/>
  <c r="BI175" i="9"/>
  <c r="AS175" i="10"/>
  <c r="AS176" i="10"/>
  <c r="AJ68" i="10"/>
  <c r="AI179" i="10"/>
  <c r="BE175" i="22"/>
  <c r="BE176" i="22"/>
  <c r="AO167" i="22"/>
  <c r="AI204" i="8"/>
  <c r="AJ78" i="8"/>
  <c r="AJ70" i="8"/>
  <c r="AI184" i="8"/>
  <c r="AY70" i="10"/>
  <c r="AX184" i="10"/>
  <c r="AP172" i="9"/>
  <c r="BD177" i="22"/>
  <c r="BB145" i="10"/>
  <c r="BB146" i="10"/>
  <c r="BL58" i="10"/>
  <c r="BK154" i="10"/>
  <c r="AO205" i="7"/>
  <c r="AO206" i="7"/>
  <c r="Q38" i="35"/>
  <c r="Q40" i="31"/>
  <c r="R40" i="31"/>
  <c r="AK109" i="11"/>
  <c r="AK110" i="11"/>
  <c r="AK111" i="11"/>
  <c r="AK112" i="11"/>
  <c r="AL40" i="11"/>
  <c r="AI84" i="10"/>
  <c r="AI85" i="10"/>
  <c r="AI86" i="10"/>
  <c r="AI87" i="10"/>
  <c r="AJ30" i="10"/>
  <c r="AK44" i="10"/>
  <c r="AJ119" i="10"/>
  <c r="AJ120" i="10"/>
  <c r="AJ121" i="10"/>
  <c r="AJ122" i="10"/>
  <c r="AJ46" i="10"/>
  <c r="AI124" i="10"/>
  <c r="AI125" i="10"/>
  <c r="AI126" i="10"/>
  <c r="AI127" i="10"/>
  <c r="AI104" i="10"/>
  <c r="AI105" i="10"/>
  <c r="AI106" i="10"/>
  <c r="AI107" i="10"/>
  <c r="AJ38" i="10"/>
  <c r="AJ34" i="10"/>
  <c r="AI94" i="10"/>
  <c r="AI95" i="10"/>
  <c r="AI96" i="10"/>
  <c r="AI97" i="10"/>
  <c r="AI129" i="10"/>
  <c r="AI130" i="10"/>
  <c r="AI131" i="10"/>
  <c r="AI132" i="10"/>
  <c r="AJ48" i="10"/>
  <c r="AI109" i="10"/>
  <c r="AI110" i="10"/>
  <c r="AI111" i="10"/>
  <c r="AI112" i="10"/>
  <c r="AJ40" i="10"/>
  <c r="AJ52" i="10"/>
  <c r="AI139" i="10"/>
  <c r="AI140" i="10"/>
  <c r="AI141" i="10"/>
  <c r="AI142" i="10"/>
  <c r="AI89" i="10"/>
  <c r="AI90" i="10"/>
  <c r="AI91" i="10"/>
  <c r="AI92" i="10"/>
  <c r="AJ32" i="10"/>
  <c r="AJ42" i="10"/>
  <c r="AI114" i="10"/>
  <c r="AI115" i="10"/>
  <c r="AI116" i="10"/>
  <c r="AI117" i="10"/>
  <c r="AI134" i="22"/>
  <c r="AI135" i="22"/>
  <c r="AI136" i="22"/>
  <c r="AI137" i="22"/>
  <c r="AJ50" i="22"/>
  <c r="AJ124" i="22"/>
  <c r="AJ125" i="22"/>
  <c r="AJ126" i="22"/>
  <c r="AJ127" i="22"/>
  <c r="AK46" i="22"/>
  <c r="AI114" i="22"/>
  <c r="AI115" i="22"/>
  <c r="AI116" i="22"/>
  <c r="AI117" i="22"/>
  <c r="AJ42" i="22"/>
  <c r="AK52" i="22"/>
  <c r="AJ139" i="22"/>
  <c r="AJ140" i="22"/>
  <c r="AJ141" i="22"/>
  <c r="AJ142" i="22"/>
  <c r="AJ46" i="8"/>
  <c r="AI124" i="8"/>
  <c r="AI125" i="8"/>
  <c r="AI126" i="8"/>
  <c r="AI127" i="8"/>
  <c r="AJ134" i="8"/>
  <c r="AJ135" i="8"/>
  <c r="AJ136" i="8"/>
  <c r="AJ137" i="8"/>
  <c r="AK50" i="8"/>
  <c r="BD182" i="9"/>
  <c r="BC197" i="22"/>
  <c r="BB197" i="7"/>
  <c r="AG202" i="9"/>
  <c r="AW162" i="8"/>
  <c r="AG192" i="9"/>
  <c r="BH132" i="11"/>
  <c r="BH212" i="9"/>
  <c r="AW65" i="8"/>
  <c r="AX232" i="8"/>
  <c r="C36" i="2"/>
  <c r="M44" i="30"/>
  <c r="D157" i="2"/>
  <c r="BE36" i="2"/>
  <c r="BF157" i="2"/>
  <c r="AH190" i="9"/>
  <c r="AH191" i="9"/>
  <c r="BI130" i="11"/>
  <c r="BI131" i="11"/>
  <c r="BF209" i="22"/>
  <c r="BG80" i="22"/>
  <c r="BA212" i="11"/>
  <c r="BB182" i="22"/>
  <c r="BA177" i="8"/>
  <c r="BD196" i="10"/>
  <c r="BD195" i="10"/>
  <c r="BD196" i="22"/>
  <c r="BD195" i="22"/>
  <c r="BE74" i="7"/>
  <c r="BD194" i="7"/>
  <c r="AY182" i="8"/>
  <c r="AZ200" i="8"/>
  <c r="AZ201" i="8"/>
  <c r="BD212" i="22"/>
  <c r="BN139" i="11"/>
  <c r="BO52" i="11"/>
  <c r="AZ177" i="11"/>
  <c r="BF172" i="22"/>
  <c r="BF152" i="10"/>
  <c r="AM190" i="8"/>
  <c r="AM191" i="8"/>
  <c r="BE180" i="9"/>
  <c r="BE181" i="9"/>
  <c r="BF210" i="7"/>
  <c r="BF211" i="7"/>
  <c r="BF205" i="10"/>
  <c r="BF206" i="10"/>
  <c r="BH184" i="9"/>
  <c r="BI70" i="9"/>
  <c r="BG150" i="10"/>
  <c r="BG151" i="10"/>
  <c r="BV64" i="7"/>
  <c r="BU169" i="7"/>
  <c r="AX160" i="8"/>
  <c r="AX161" i="8"/>
  <c r="AD36" i="2"/>
  <c r="M43" i="33"/>
  <c r="AE157" i="2"/>
  <c r="BN36" i="2"/>
  <c r="M43" i="37"/>
  <c r="BO157" i="2"/>
  <c r="AI189" i="9"/>
  <c r="AJ72" i="9"/>
  <c r="AZ180" i="8"/>
  <c r="AZ181" i="8"/>
  <c r="BN191" i="10"/>
  <c r="BN190" i="10"/>
  <c r="BK48" i="11"/>
  <c r="BJ129" i="11"/>
  <c r="BC185" i="7"/>
  <c r="BC186" i="7"/>
  <c r="A159" i="2"/>
  <c r="BW159" i="2"/>
  <c r="A39" i="2"/>
  <c r="BE194" i="22"/>
  <c r="BF74" i="22"/>
  <c r="BA175" i="11"/>
  <c r="BA176" i="11"/>
  <c r="BH169" i="22"/>
  <c r="BI64" i="22"/>
  <c r="BB76" i="8"/>
  <c r="BA199" i="8"/>
  <c r="BC180" i="22"/>
  <c r="BC181" i="22"/>
  <c r="AN189" i="8"/>
  <c r="AO72" i="8"/>
  <c r="BL68" i="7"/>
  <c r="BK179" i="7"/>
  <c r="BH80" i="7"/>
  <c r="BG209" i="7"/>
  <c r="BG185" i="9"/>
  <c r="BG186" i="9"/>
  <c r="AZ60" i="8"/>
  <c r="AY159" i="8"/>
  <c r="AX192" i="11"/>
  <c r="L36" i="2"/>
  <c r="M43" i="31"/>
  <c r="M157" i="2"/>
  <c r="AM36" i="2"/>
  <c r="M43" i="34"/>
  <c r="AN157" i="2"/>
  <c r="BB68" i="8"/>
  <c r="BA179" i="8"/>
  <c r="BP72" i="10"/>
  <c r="BO189" i="10"/>
  <c r="BS172" i="7"/>
  <c r="BI211" i="9"/>
  <c r="BI210" i="9"/>
  <c r="BI63" i="11"/>
  <c r="BJ231" i="11"/>
  <c r="AI199" i="9"/>
  <c r="AJ76" i="9"/>
  <c r="BE70" i="7"/>
  <c r="BD184" i="7"/>
  <c r="AU73" i="7"/>
  <c r="AV236" i="7"/>
  <c r="BQ87" i="22"/>
  <c r="C158" i="2"/>
  <c r="AV158" i="2"/>
  <c r="U158" i="2"/>
  <c r="BN158" i="2"/>
  <c r="BE158" i="2"/>
  <c r="AD158" i="2"/>
  <c r="L158" i="2"/>
  <c r="AM158" i="2"/>
  <c r="BD60" i="22"/>
  <c r="BC159" i="22"/>
  <c r="BJ69" i="11"/>
  <c r="BK234" i="11"/>
  <c r="BM192" i="10"/>
  <c r="BC66" i="11"/>
  <c r="BB174" i="11"/>
  <c r="BG170" i="22"/>
  <c r="BG171" i="22"/>
  <c r="BD179" i="22"/>
  <c r="BE68" i="22"/>
  <c r="BB176" i="8"/>
  <c r="BB175" i="8"/>
  <c r="BB187" i="7"/>
  <c r="BR85" i="22"/>
  <c r="BR86" i="22"/>
  <c r="BC197" i="10"/>
  <c r="BE212" i="7"/>
  <c r="BE207" i="10"/>
  <c r="BF187" i="9"/>
  <c r="AY202" i="8"/>
  <c r="AY190" i="11"/>
  <c r="AY191" i="11"/>
  <c r="BD196" i="8"/>
  <c r="BD195" i="8"/>
  <c r="BJ181" i="7"/>
  <c r="BJ180" i="7"/>
  <c r="BB210" i="11"/>
  <c r="BB211" i="11"/>
  <c r="AL192" i="8"/>
  <c r="AI89" i="22"/>
  <c r="AI90" i="22"/>
  <c r="AI91" i="22"/>
  <c r="AI92" i="22"/>
  <c r="AJ32" i="22"/>
  <c r="AV36" i="2"/>
  <c r="M43" i="35"/>
  <c r="AW157" i="2"/>
  <c r="U36" i="2"/>
  <c r="M43" i="32"/>
  <c r="V157" i="2"/>
  <c r="BE210" i="22"/>
  <c r="BE211" i="22"/>
  <c r="BK80" i="9"/>
  <c r="BJ209" i="9"/>
  <c r="AH200" i="9"/>
  <c r="AH201" i="9"/>
  <c r="BE194" i="10"/>
  <c r="BF74" i="10"/>
  <c r="BB160" i="22"/>
  <c r="BB161" i="22"/>
  <c r="BC196" i="7"/>
  <c r="BC195" i="7"/>
  <c r="BM141" i="11"/>
  <c r="BM140" i="11"/>
  <c r="BD66" i="8"/>
  <c r="BC174" i="8"/>
  <c r="BS84" i="22"/>
  <c r="BT30" i="22"/>
  <c r="BG68" i="9"/>
  <c r="BF179" i="9"/>
  <c r="BA72" i="11"/>
  <c r="AZ189" i="11"/>
  <c r="BF74" i="8"/>
  <c r="BE194" i="8"/>
  <c r="BH78" i="10"/>
  <c r="BG204" i="10"/>
  <c r="BE65" i="11"/>
  <c r="BF232" i="11"/>
  <c r="BI56" i="10"/>
  <c r="BH149" i="10"/>
  <c r="BT170" i="7"/>
  <c r="BT171" i="7"/>
  <c r="BD80" i="11"/>
  <c r="BC209" i="11"/>
  <c r="W33" i="30"/>
  <c r="V33" i="30"/>
  <c r="X33" i="30"/>
  <c r="J44" i="30"/>
  <c r="W26" i="39"/>
  <c r="H43" i="30"/>
  <c r="J43" i="30"/>
  <c r="W25" i="39"/>
  <c r="T33" i="30"/>
  <c r="AO167" i="7"/>
  <c r="AN94" i="8"/>
  <c r="AN95" i="8"/>
  <c r="AN96" i="8"/>
  <c r="AN97" i="8"/>
  <c r="AO34" i="8"/>
  <c r="AJ44" i="8"/>
  <c r="AI119" i="8"/>
  <c r="AI120" i="8"/>
  <c r="AI121" i="8"/>
  <c r="AI122" i="8"/>
  <c r="AJ42" i="8"/>
  <c r="AI114" i="8"/>
  <c r="AI115" i="8"/>
  <c r="AI116" i="8"/>
  <c r="AI117" i="8"/>
  <c r="AQ164" i="7"/>
  <c r="AR62" i="7"/>
  <c r="AP165" i="7"/>
  <c r="AP166" i="7"/>
  <c r="AJ32" i="11"/>
  <c r="AI89" i="11"/>
  <c r="AI90" i="11"/>
  <c r="AI91" i="11"/>
  <c r="AI92" i="11"/>
  <c r="AK30" i="9"/>
  <c r="AJ84" i="9"/>
  <c r="AJ85" i="9"/>
  <c r="AJ86" i="9"/>
  <c r="AJ87" i="9"/>
  <c r="AJ52" i="9"/>
  <c r="AI139" i="9"/>
  <c r="AI140" i="9"/>
  <c r="AI141" i="9"/>
  <c r="AI142" i="9"/>
  <c r="AL30" i="1"/>
  <c r="AK86" i="1"/>
  <c r="AK87" i="1"/>
  <c r="AK88" i="1"/>
  <c r="AK89" i="1"/>
  <c r="AK91" i="1"/>
  <c r="AK92" i="1"/>
  <c r="AK93" i="1"/>
  <c r="AK94" i="1"/>
  <c r="AL32" i="1"/>
  <c r="AJ68" i="1"/>
  <c r="AI181" i="1"/>
  <c r="AI182" i="1"/>
  <c r="AI183" i="1"/>
  <c r="AI184" i="1"/>
  <c r="AI131" i="1"/>
  <c r="AI132" i="1"/>
  <c r="AI133" i="1"/>
  <c r="AI134" i="1"/>
  <c r="AJ48" i="1"/>
  <c r="AH157" i="1"/>
  <c r="AH158" i="1"/>
  <c r="AH159" i="1"/>
  <c r="AJ52" i="1"/>
  <c r="AI141" i="1"/>
  <c r="AI142" i="1"/>
  <c r="AI143" i="1"/>
  <c r="AI144" i="1"/>
  <c r="AI219" i="1"/>
  <c r="AI171" i="1"/>
  <c r="AI172" i="1"/>
  <c r="AI173" i="1"/>
  <c r="AI174" i="1"/>
  <c r="AJ64" i="1"/>
  <c r="AI96" i="1"/>
  <c r="AI97" i="1"/>
  <c r="AI98" i="1"/>
  <c r="AI99" i="1"/>
  <c r="AJ34" i="1"/>
  <c r="AJ58" i="1"/>
  <c r="AI156" i="1"/>
  <c r="AI157" i="1"/>
  <c r="AI158" i="1"/>
  <c r="AI159" i="1"/>
  <c r="AH137" i="1"/>
  <c r="AH138" i="1"/>
  <c r="AH139" i="1"/>
  <c r="AI136" i="1"/>
  <c r="AI137" i="1"/>
  <c r="AI138" i="1"/>
  <c r="AI139" i="1"/>
  <c r="AJ50" i="1"/>
  <c r="T38" i="33"/>
  <c r="L38" i="33"/>
  <c r="N38" i="33"/>
  <c r="O38" i="33"/>
  <c r="P38" i="33"/>
  <c r="AD38" i="33"/>
  <c r="X38" i="33"/>
  <c r="AE38" i="33"/>
  <c r="AL38" i="33"/>
  <c r="AI38" i="33"/>
  <c r="AA38" i="33"/>
  <c r="AB38" i="33"/>
  <c r="AK38" i="33"/>
  <c r="AC38" i="33"/>
  <c r="AH38" i="33"/>
  <c r="AJ38" i="33"/>
  <c r="AF38" i="33"/>
  <c r="AG38" i="33"/>
  <c r="Y38" i="33"/>
  <c r="Z38" i="33"/>
  <c r="AK44" i="22"/>
  <c r="AJ119" i="22"/>
  <c r="AJ120" i="22"/>
  <c r="AJ121" i="22"/>
  <c r="AJ122" i="22"/>
  <c r="AJ26" i="6"/>
  <c r="AI88" i="6"/>
  <c r="AI89" i="6"/>
  <c r="AI90" i="6"/>
  <c r="AI91" i="6"/>
  <c r="AG96" i="6"/>
  <c r="AK30" i="6"/>
  <c r="AJ98" i="6"/>
  <c r="AJ99" i="6"/>
  <c r="AJ100" i="6"/>
  <c r="AJ101" i="6"/>
  <c r="AJ24" i="6"/>
  <c r="AI83" i="6"/>
  <c r="AI84" i="6"/>
  <c r="AI85" i="6"/>
  <c r="AI86" i="6"/>
  <c r="AJ34" i="6"/>
  <c r="AI108" i="6"/>
  <c r="AJ28" i="6"/>
  <c r="AI93" i="6"/>
  <c r="AI94" i="6"/>
  <c r="AI95" i="6"/>
  <c r="AI96" i="6"/>
  <c r="AI123" i="6"/>
  <c r="AI124" i="6"/>
  <c r="AI125" i="6"/>
  <c r="AI126" i="6"/>
  <c r="AJ40" i="6"/>
  <c r="AJ44" i="6"/>
  <c r="AI133" i="6"/>
  <c r="AI134" i="6"/>
  <c r="AI135" i="6"/>
  <c r="AI136" i="6"/>
  <c r="AJ128" i="6"/>
  <c r="AJ129" i="6"/>
  <c r="AJ130" i="6"/>
  <c r="AJ131" i="6"/>
  <c r="AK42" i="6"/>
  <c r="AJ32" i="6"/>
  <c r="AI103" i="6"/>
  <c r="AI104" i="6"/>
  <c r="AI105" i="6"/>
  <c r="AI106" i="6"/>
  <c r="AI113" i="6"/>
  <c r="AI114" i="6"/>
  <c r="AI115" i="6"/>
  <c r="AI116" i="6"/>
  <c r="AJ36" i="6"/>
  <c r="AI129" i="6"/>
  <c r="AI130" i="6"/>
  <c r="AI131" i="6"/>
  <c r="AJ22" i="6"/>
  <c r="AI78" i="6"/>
  <c r="AI79" i="6"/>
  <c r="AI80" i="6"/>
  <c r="AI81" i="6"/>
  <c r="AM80" i="1"/>
  <c r="AL211" i="1"/>
  <c r="AL212" i="1"/>
  <c r="AL213" i="1"/>
  <c r="AL214" i="1"/>
  <c r="AL82" i="1"/>
  <c r="AK216" i="1"/>
  <c r="AK212" i="1"/>
  <c r="AK213" i="1"/>
  <c r="AK214" i="1"/>
  <c r="AJ217" i="1"/>
  <c r="AJ218" i="1"/>
  <c r="AI116" i="1"/>
  <c r="AI117" i="1"/>
  <c r="AI118" i="1"/>
  <c r="AI119" i="1"/>
  <c r="AJ42" i="1"/>
  <c r="AI124" i="1"/>
  <c r="AG146" i="6"/>
  <c r="AG161" i="6"/>
  <c r="AN38" i="8"/>
  <c r="AM104" i="8"/>
  <c r="AM105" i="8"/>
  <c r="AM106" i="8"/>
  <c r="AM107" i="8"/>
  <c r="AK36" i="8"/>
  <c r="AJ99" i="8"/>
  <c r="AI120" i="11"/>
  <c r="AI121" i="11"/>
  <c r="AJ119" i="11"/>
  <c r="AK44" i="11"/>
  <c r="AJ34" i="22"/>
  <c r="AI94" i="22"/>
  <c r="AI95" i="22"/>
  <c r="AI96" i="22"/>
  <c r="AI97" i="22"/>
  <c r="AK38" i="22"/>
  <c r="AJ104" i="22"/>
  <c r="AJ105" i="22"/>
  <c r="AJ106" i="22"/>
  <c r="AJ107" i="22"/>
  <c r="AI129" i="22"/>
  <c r="AI130" i="22"/>
  <c r="AI131" i="22"/>
  <c r="AI132" i="22"/>
  <c r="AJ48" i="22"/>
  <c r="AK30" i="7"/>
  <c r="AJ84" i="7"/>
  <c r="AJ85" i="7"/>
  <c r="AJ86" i="7"/>
  <c r="AJ87" i="7"/>
  <c r="AL109" i="7"/>
  <c r="AL110" i="7"/>
  <c r="AL111" i="7"/>
  <c r="AL112" i="7"/>
  <c r="AM40" i="7"/>
  <c r="AJ104" i="7"/>
  <c r="AJ105" i="7"/>
  <c r="AJ106" i="7"/>
  <c r="AJ107" i="7"/>
  <c r="AK38" i="7"/>
  <c r="AJ34" i="7"/>
  <c r="AI94" i="7"/>
  <c r="AI114" i="7"/>
  <c r="AI115" i="7"/>
  <c r="AI116" i="7"/>
  <c r="AI117" i="7"/>
  <c r="AJ42" i="7"/>
  <c r="AJ99" i="7"/>
  <c r="AJ100" i="7"/>
  <c r="AJ101" i="7"/>
  <c r="AJ102" i="7"/>
  <c r="AK36" i="7"/>
  <c r="AK119" i="6"/>
  <c r="AK120" i="6"/>
  <c r="AK121" i="6"/>
  <c r="AM38" i="6"/>
  <c r="AL118" i="6"/>
  <c r="AL119" i="6"/>
  <c r="AL120" i="6"/>
  <c r="AL121" i="6"/>
  <c r="AI42" i="9"/>
  <c r="AH114" i="9"/>
  <c r="AH115" i="9"/>
  <c r="AH116" i="9"/>
  <c r="AH117" i="9"/>
  <c r="AI124" i="9"/>
  <c r="AI125" i="9"/>
  <c r="AI126" i="9"/>
  <c r="AI127" i="9"/>
  <c r="AJ46" i="9"/>
  <c r="AM144" i="9"/>
  <c r="AM145" i="9"/>
  <c r="AM146" i="9"/>
  <c r="AM147" i="9"/>
  <c r="AN54" i="9"/>
  <c r="AM38" i="9"/>
  <c r="AL104" i="9"/>
  <c r="AL105" i="9"/>
  <c r="AL106" i="9"/>
  <c r="AL107" i="9"/>
  <c r="AJ34" i="9"/>
  <c r="AI94" i="9"/>
  <c r="AI95" i="9"/>
  <c r="AI96" i="9"/>
  <c r="AI97" i="9"/>
  <c r="AK105" i="9"/>
  <c r="AK106" i="9"/>
  <c r="AK107" i="9"/>
  <c r="AI135" i="9"/>
  <c r="AI136" i="9"/>
  <c r="AJ134" i="9"/>
  <c r="AK50" i="9"/>
  <c r="AJ48" i="9"/>
  <c r="AI129" i="9"/>
  <c r="AI149" i="9"/>
  <c r="AI150" i="9"/>
  <c r="AI151" i="9"/>
  <c r="AI152" i="9"/>
  <c r="AJ56" i="9"/>
  <c r="AI119" i="9"/>
  <c r="AI120" i="9"/>
  <c r="AI121" i="9"/>
  <c r="AI122" i="9"/>
  <c r="AJ44" i="9"/>
  <c r="AK89" i="9"/>
  <c r="AK90" i="9"/>
  <c r="AK91" i="9"/>
  <c r="AK92" i="9"/>
  <c r="AL32" i="9"/>
  <c r="AK72" i="1"/>
  <c r="AJ191" i="1"/>
  <c r="AJ192" i="1"/>
  <c r="AJ193" i="1"/>
  <c r="AJ194" i="1"/>
  <c r="AJ74" i="1"/>
  <c r="AI196" i="1"/>
  <c r="AI197" i="1"/>
  <c r="AI198" i="1"/>
  <c r="AI199" i="1"/>
  <c r="AL66" i="1"/>
  <c r="AK176" i="1"/>
  <c r="AK177" i="1"/>
  <c r="AK178" i="1"/>
  <c r="AK179" i="1"/>
  <c r="AK60" i="1"/>
  <c r="AJ161" i="1"/>
  <c r="AJ162" i="1"/>
  <c r="AJ163" i="1"/>
  <c r="AJ164" i="1"/>
  <c r="AJ78" i="1"/>
  <c r="AI206" i="1"/>
  <c r="AP56" i="1"/>
  <c r="AO151" i="1"/>
  <c r="AO152" i="1"/>
  <c r="AO153" i="1"/>
  <c r="AO154" i="1"/>
  <c r="AL76" i="1"/>
  <c r="AK201" i="1"/>
  <c r="AK202" i="1"/>
  <c r="AK203" i="1"/>
  <c r="AK204" i="1"/>
  <c r="AJ70" i="1"/>
  <c r="AI186" i="1"/>
  <c r="AN115" i="11"/>
  <c r="AN116" i="11"/>
  <c r="AN117" i="11"/>
  <c r="AP42" i="11"/>
  <c r="AO114" i="11"/>
  <c r="W36" i="34"/>
  <c r="V36" i="34"/>
  <c r="K36" i="34"/>
  <c r="U39" i="35"/>
  <c r="K39" i="37"/>
  <c r="T39" i="37"/>
  <c r="AH107" i="11"/>
  <c r="AK38" i="11"/>
  <c r="AJ104" i="11"/>
  <c r="AL85" i="11"/>
  <c r="AL86" i="11"/>
  <c r="AI105" i="11"/>
  <c r="AI106" i="11"/>
  <c r="AK99" i="11"/>
  <c r="AL36" i="11"/>
  <c r="AN30" i="11"/>
  <c r="AM84" i="11"/>
  <c r="AJ100" i="11"/>
  <c r="AJ101" i="11"/>
  <c r="AJ102" i="11"/>
  <c r="AJ134" i="10"/>
  <c r="AK50" i="10"/>
  <c r="AI135" i="10"/>
  <c r="AI136" i="10"/>
  <c r="AI137" i="10"/>
  <c r="AK36" i="10"/>
  <c r="AJ99" i="10"/>
  <c r="AI100" i="10"/>
  <c r="AI101" i="10"/>
  <c r="AI102" i="10"/>
  <c r="AH155" i="22"/>
  <c r="AH156" i="22"/>
  <c r="AH157" i="22"/>
  <c r="AJ58" i="22"/>
  <c r="AI154" i="22"/>
  <c r="AK40" i="22"/>
  <c r="AJ109" i="22"/>
  <c r="AI145" i="22"/>
  <c r="AI146" i="22"/>
  <c r="AI147" i="22"/>
  <c r="AJ99" i="22"/>
  <c r="AK36" i="22"/>
  <c r="AI110" i="22"/>
  <c r="AI111" i="22"/>
  <c r="AI112" i="22"/>
  <c r="AI100" i="22"/>
  <c r="AI101" i="22"/>
  <c r="AI102" i="22"/>
  <c r="AJ144" i="22"/>
  <c r="AK54" i="22"/>
  <c r="AK150" i="8"/>
  <c r="AK151" i="8"/>
  <c r="AK152" i="8"/>
  <c r="AL149" i="8"/>
  <c r="AM56" i="8"/>
  <c r="AJ144" i="8"/>
  <c r="AK54" i="8"/>
  <c r="AI145" i="8"/>
  <c r="AI146" i="8"/>
  <c r="AI147" i="8"/>
  <c r="AI139" i="8"/>
  <c r="AJ52" i="8"/>
  <c r="AI109" i="8"/>
  <c r="AJ40" i="8"/>
  <c r="AJ32" i="8"/>
  <c r="AI89" i="8"/>
  <c r="AH90" i="8"/>
  <c r="AH91" i="8"/>
  <c r="AH92" i="8"/>
  <c r="AI30" i="8"/>
  <c r="AH84" i="8"/>
  <c r="AH130" i="8"/>
  <c r="AH131" i="8"/>
  <c r="AH132" i="8"/>
  <c r="AG85" i="8"/>
  <c r="AG86" i="8"/>
  <c r="AI129" i="8"/>
  <c r="AJ48" i="8"/>
  <c r="AH140" i="8"/>
  <c r="AH141" i="8"/>
  <c r="AH110" i="8"/>
  <c r="AH111" i="8"/>
  <c r="AH112" i="8"/>
  <c r="AJ54" i="7"/>
  <c r="AI144" i="7"/>
  <c r="AH145" i="7"/>
  <c r="AH146" i="7"/>
  <c r="AH147" i="7"/>
  <c r="AH140" i="7"/>
  <c r="AH141" i="7"/>
  <c r="AH142" i="7"/>
  <c r="AI139" i="7"/>
  <c r="AJ52" i="7"/>
  <c r="AH135" i="7"/>
  <c r="AH136" i="7"/>
  <c r="AH137" i="7"/>
  <c r="AI134" i="7"/>
  <c r="AJ50" i="7"/>
  <c r="AP89" i="7"/>
  <c r="AQ32" i="7"/>
  <c r="AK120" i="7"/>
  <c r="AK121" i="7"/>
  <c r="AK122" i="7"/>
  <c r="AK124" i="7"/>
  <c r="AL46" i="7"/>
  <c r="AO90" i="7"/>
  <c r="AO91" i="7"/>
  <c r="AO92" i="7"/>
  <c r="AM44" i="7"/>
  <c r="AL119" i="7"/>
  <c r="AJ125" i="7"/>
  <c r="AJ126" i="7"/>
  <c r="AJ127" i="7"/>
  <c r="AI163" i="6"/>
  <c r="AJ56" i="6"/>
  <c r="AH164" i="6"/>
  <c r="AH165" i="6"/>
  <c r="AH166" i="6"/>
  <c r="AH159" i="6"/>
  <c r="AH160" i="6"/>
  <c r="AH161" i="6"/>
  <c r="AI158" i="6"/>
  <c r="AJ54" i="6"/>
  <c r="AI153" i="6"/>
  <c r="AJ52" i="6"/>
  <c r="AH154" i="6"/>
  <c r="AH155" i="6"/>
  <c r="AH156" i="6"/>
  <c r="AJ50" i="6"/>
  <c r="AI148" i="6"/>
  <c r="AH149" i="6"/>
  <c r="AH150" i="6"/>
  <c r="AH151" i="6"/>
  <c r="AI143" i="6"/>
  <c r="AJ48" i="6"/>
  <c r="AH144" i="6"/>
  <c r="AH145" i="6"/>
  <c r="AH146" i="6"/>
  <c r="AI160" i="9"/>
  <c r="AI161" i="9"/>
  <c r="AI162" i="9"/>
  <c r="AJ159" i="9"/>
  <c r="AK60" i="9"/>
  <c r="AH155" i="9"/>
  <c r="AH156" i="9"/>
  <c r="AH157" i="9"/>
  <c r="AJ58" i="9"/>
  <c r="AI154" i="9"/>
  <c r="AI100" i="9"/>
  <c r="AI101" i="9"/>
  <c r="AI102" i="9"/>
  <c r="AI110" i="9"/>
  <c r="AI111" i="9"/>
  <c r="AI112" i="9"/>
  <c r="AJ99" i="9"/>
  <c r="AK36" i="9"/>
  <c r="AK40" i="9"/>
  <c r="AJ109" i="9"/>
  <c r="AH167" i="1"/>
  <c r="AH168" i="1"/>
  <c r="AH169" i="1"/>
  <c r="AI166" i="1"/>
  <c r="AJ62" i="1"/>
  <c r="AH147" i="1"/>
  <c r="AH148" i="1"/>
  <c r="AH149" i="1"/>
  <c r="AJ46" i="1"/>
  <c r="AI126" i="1"/>
  <c r="AH127" i="1"/>
  <c r="AH128" i="1"/>
  <c r="AH129" i="1"/>
  <c r="AI146" i="1"/>
  <c r="AJ54" i="1"/>
  <c r="AJ122" i="1"/>
  <c r="AJ123" i="1"/>
  <c r="AJ124" i="1"/>
  <c r="AK121" i="1"/>
  <c r="AL44" i="1"/>
  <c r="AK111" i="1"/>
  <c r="AL40" i="1"/>
  <c r="AJ38" i="1"/>
  <c r="AI106" i="1"/>
  <c r="AL36" i="1"/>
  <c r="AK101" i="1"/>
  <c r="AJ112" i="1"/>
  <c r="AJ113" i="1"/>
  <c r="AJ114" i="1"/>
  <c r="AJ102" i="1"/>
  <c r="AJ103" i="1"/>
  <c r="AJ104" i="1"/>
  <c r="AH107" i="1"/>
  <c r="AH108" i="1"/>
  <c r="AH109" i="1"/>
  <c r="AA39" i="37"/>
  <c r="AJ39" i="37"/>
  <c r="AB39" i="37"/>
  <c r="AH39" i="37"/>
  <c r="AC39" i="37"/>
  <c r="X39" i="37"/>
  <c r="AL39" i="37"/>
  <c r="AF39" i="37"/>
  <c r="AE39" i="37"/>
  <c r="Z39" i="37"/>
  <c r="AM39" i="37"/>
  <c r="Y39" i="37"/>
  <c r="AD39" i="37"/>
  <c r="AG39" i="37"/>
  <c r="AK39" i="37"/>
  <c r="AI39" i="37"/>
  <c r="AK48" i="7"/>
  <c r="AJ129" i="7"/>
  <c r="AJ130" i="7"/>
  <c r="AJ131" i="7"/>
  <c r="AJ132" i="7"/>
  <c r="AJ38" i="36"/>
  <c r="AB38" i="36"/>
  <c r="AA38" i="36"/>
  <c r="AE38" i="36"/>
  <c r="AH38" i="36"/>
  <c r="Z38" i="36"/>
  <c r="X38" i="36"/>
  <c r="Y38" i="36"/>
  <c r="AF38" i="36"/>
  <c r="AG38" i="36"/>
  <c r="AK38" i="36"/>
  <c r="AL38" i="36"/>
  <c r="AD38" i="36"/>
  <c r="AC38" i="36"/>
  <c r="AI38" i="36"/>
  <c r="BO197" i="9"/>
  <c r="U41" i="31"/>
  <c r="W41" i="31"/>
  <c r="V41" i="31"/>
  <c r="U40" i="32"/>
  <c r="AU59" i="11"/>
  <c r="AV229" i="11"/>
  <c r="BQ194" i="9"/>
  <c r="BR74" i="9"/>
  <c r="BP195" i="9"/>
  <c r="BP196" i="9"/>
  <c r="BX159" i="2"/>
  <c r="BW38" i="2"/>
  <c r="M45" i="41"/>
  <c r="T39" i="32"/>
  <c r="L39" i="32"/>
  <c r="N39" i="32"/>
  <c r="O39" i="32"/>
  <c r="P39" i="32"/>
  <c r="Q39" i="32"/>
  <c r="R39" i="32"/>
  <c r="S39" i="32"/>
  <c r="K41" i="31"/>
  <c r="L41" i="31"/>
  <c r="N41" i="31"/>
  <c r="O41" i="31"/>
  <c r="P41" i="31"/>
  <c r="AF33" i="30"/>
  <c r="M43" i="36"/>
  <c r="CF36" i="2"/>
  <c r="Z33" i="41"/>
  <c r="AE33" i="41"/>
  <c r="AD33" i="41"/>
  <c r="AC33" i="41"/>
  <c r="K33" i="41"/>
  <c r="AB33" i="41"/>
  <c r="Y33" i="41"/>
  <c r="AG33" i="41"/>
  <c r="AF33" i="41"/>
  <c r="X33" i="41"/>
  <c r="R23" i="41"/>
  <c r="S24" i="41"/>
  <c r="AP7" i="26"/>
  <c r="AR192" i="22"/>
  <c r="AO207" i="7"/>
  <c r="BB147" i="10"/>
  <c r="BI177" i="9"/>
  <c r="AN167" i="8"/>
  <c r="AT167" i="10"/>
  <c r="AQ207" i="9"/>
  <c r="AK157" i="7"/>
  <c r="AR207" i="22"/>
  <c r="AX197" i="11"/>
  <c r="BI172" i="10"/>
  <c r="AQ172" i="9"/>
  <c r="AH202" i="22"/>
  <c r="AL127" i="11"/>
  <c r="AH167" i="9"/>
  <c r="BH212" i="10"/>
  <c r="AH202" i="11"/>
  <c r="AM162" i="7"/>
  <c r="BJ157" i="10"/>
  <c r="AI202" i="7"/>
  <c r="BF255" i="40"/>
  <c r="BF256" i="40"/>
  <c r="BF257" i="40"/>
  <c r="AZ249" i="40"/>
  <c r="AZ250" i="40"/>
  <c r="AZ251" i="40"/>
  <c r="AZ252" i="40"/>
  <c r="BA94" i="40"/>
  <c r="AZ264" i="40"/>
  <c r="AZ265" i="40"/>
  <c r="AZ266" i="40"/>
  <c r="AZ267" i="40"/>
  <c r="BA100" i="40"/>
  <c r="BG260" i="40"/>
  <c r="BG261" i="40"/>
  <c r="BG262" i="40"/>
  <c r="BF275" i="40"/>
  <c r="BF276" i="40"/>
  <c r="BF277" i="40"/>
  <c r="AY250" i="40"/>
  <c r="AY251" i="40"/>
  <c r="AY252" i="40"/>
  <c r="AY265" i="40"/>
  <c r="AY266" i="40"/>
  <c r="AY267" i="40"/>
  <c r="AZ289" i="40"/>
  <c r="BA110" i="40"/>
  <c r="AZ284" i="40"/>
  <c r="BA108" i="40"/>
  <c r="AZ269" i="40"/>
  <c r="AZ270" i="40"/>
  <c r="AZ271" i="40"/>
  <c r="AZ272" i="40"/>
  <c r="BA102" i="40"/>
  <c r="AZ244" i="40"/>
  <c r="BA92" i="40"/>
  <c r="AY285" i="40"/>
  <c r="AY286" i="40"/>
  <c r="AY287" i="40"/>
  <c r="AY245" i="40"/>
  <c r="AY246" i="40"/>
  <c r="AY247" i="40"/>
  <c r="BG96" i="40"/>
  <c r="BG254" i="40"/>
  <c r="BH98" i="40"/>
  <c r="BH259" i="40"/>
  <c r="BG104" i="40"/>
  <c r="BG274" i="40"/>
  <c r="BG275" i="40"/>
  <c r="BG276" i="40"/>
  <c r="BG277" i="40"/>
  <c r="BF106" i="40"/>
  <c r="BF279" i="40"/>
  <c r="BC90" i="40"/>
  <c r="AY230" i="40"/>
  <c r="AY231" i="40"/>
  <c r="AY232" i="40"/>
  <c r="AY220" i="40"/>
  <c r="AY221" i="40"/>
  <c r="AY222" i="40"/>
  <c r="BA58" i="40"/>
  <c r="AZ159" i="40"/>
  <c r="BB66" i="40"/>
  <c r="BA179" i="40"/>
  <c r="BC72" i="40"/>
  <c r="BB194" i="40"/>
  <c r="BA46" i="40"/>
  <c r="AZ129" i="40"/>
  <c r="AY155" i="40"/>
  <c r="AY156" i="40"/>
  <c r="AY170" i="40"/>
  <c r="AY171" i="40"/>
  <c r="AY172" i="40"/>
  <c r="BA52" i="40"/>
  <c r="AZ144" i="40"/>
  <c r="AZ239" i="40"/>
  <c r="AX232" i="40"/>
  <c r="BC64" i="40"/>
  <c r="BB174" i="40"/>
  <c r="AX202" i="40"/>
  <c r="AZ205" i="40"/>
  <c r="AZ206" i="40"/>
  <c r="BA86" i="40"/>
  <c r="AZ229" i="40"/>
  <c r="AZ235" i="40"/>
  <c r="AZ236" i="40"/>
  <c r="AZ237" i="40"/>
  <c r="BA82" i="40"/>
  <c r="AZ219" i="40"/>
  <c r="AY160" i="40"/>
  <c r="AY161" i="40"/>
  <c r="AZ180" i="40"/>
  <c r="AZ181" i="40"/>
  <c r="BA195" i="40"/>
  <c r="BA196" i="40"/>
  <c r="BA197" i="40"/>
  <c r="AZ215" i="40"/>
  <c r="AZ216" i="40"/>
  <c r="AY135" i="40"/>
  <c r="AY136" i="40"/>
  <c r="AY137" i="40"/>
  <c r="BA54" i="40"/>
  <c r="AZ149" i="40"/>
  <c r="BA44" i="40"/>
  <c r="AZ124" i="40"/>
  <c r="BA70" i="40"/>
  <c r="AZ189" i="40"/>
  <c r="BA74" i="40"/>
  <c r="AZ199" i="40"/>
  <c r="AX192" i="40"/>
  <c r="AY120" i="40"/>
  <c r="AY121" i="40"/>
  <c r="AY122" i="40"/>
  <c r="BB60" i="40"/>
  <c r="BA164" i="40"/>
  <c r="BB84" i="40"/>
  <c r="BA224" i="40"/>
  <c r="BB40" i="40"/>
  <c r="BA114" i="40"/>
  <c r="BA48" i="40"/>
  <c r="AZ134" i="40"/>
  <c r="AY125" i="40"/>
  <c r="AY126" i="40"/>
  <c r="AY127" i="40"/>
  <c r="AY190" i="40"/>
  <c r="AY191" i="40"/>
  <c r="AY192" i="40"/>
  <c r="AY200" i="40"/>
  <c r="AY201" i="40"/>
  <c r="AY202" i="40"/>
  <c r="AY150" i="40"/>
  <c r="AY151" i="40"/>
  <c r="AY152" i="40"/>
  <c r="AY210" i="40"/>
  <c r="AY211" i="40"/>
  <c r="BB50" i="40"/>
  <c r="BA139" i="40"/>
  <c r="BA185" i="40"/>
  <c r="BA186" i="40"/>
  <c r="BB76" i="40"/>
  <c r="BA204" i="40"/>
  <c r="AY142" i="40"/>
  <c r="BA62" i="40"/>
  <c r="AZ169" i="40"/>
  <c r="BB88" i="40"/>
  <c r="BA234" i="40"/>
  <c r="AY145" i="40"/>
  <c r="AY146" i="40"/>
  <c r="AY147" i="40"/>
  <c r="AZ165" i="40"/>
  <c r="AZ166" i="40"/>
  <c r="AZ167" i="40"/>
  <c r="AZ187" i="40"/>
  <c r="AY240" i="40"/>
  <c r="AY241" i="40"/>
  <c r="AZ225" i="40"/>
  <c r="AZ226" i="40"/>
  <c r="AZ227" i="40"/>
  <c r="AZ115" i="40"/>
  <c r="AZ116" i="40"/>
  <c r="AZ117" i="40"/>
  <c r="BB80" i="40"/>
  <c r="BA214" i="40"/>
  <c r="AY130" i="40"/>
  <c r="AY131" i="40"/>
  <c r="AY132" i="40"/>
  <c r="AY207" i="40"/>
  <c r="AX172" i="40"/>
  <c r="BA78" i="40"/>
  <c r="AZ209" i="40"/>
  <c r="BA175" i="40"/>
  <c r="BA176" i="40"/>
  <c r="BA177" i="40"/>
  <c r="AY167" i="40"/>
  <c r="AX222" i="40"/>
  <c r="BA56" i="40"/>
  <c r="AZ154" i="40"/>
  <c r="AZ140" i="40"/>
  <c r="AZ141" i="40"/>
  <c r="AX242" i="40"/>
  <c r="BA42" i="40"/>
  <c r="AZ119" i="40"/>
  <c r="BC68" i="40"/>
  <c r="BB184" i="40"/>
  <c r="AX185" i="10"/>
  <c r="AX186" i="10"/>
  <c r="AJ179" i="10"/>
  <c r="AK68" i="10"/>
  <c r="AJ151" i="11"/>
  <c r="AJ150" i="11"/>
  <c r="AJ199" i="10"/>
  <c r="AK76" i="10"/>
  <c r="AL76" i="7"/>
  <c r="AK199" i="7"/>
  <c r="AO46" i="11"/>
  <c r="AN124" i="11"/>
  <c r="AS205" i="22"/>
  <c r="AS206" i="22"/>
  <c r="AY184" i="10"/>
  <c r="AZ70" i="10"/>
  <c r="AI206" i="8"/>
  <c r="AI205" i="8"/>
  <c r="BE177" i="22"/>
  <c r="AS177" i="10"/>
  <c r="AI165" i="9"/>
  <c r="AI166" i="9"/>
  <c r="AJ199" i="22"/>
  <c r="AK76" i="22"/>
  <c r="AN58" i="7"/>
  <c r="AM154" i="7"/>
  <c r="AH202" i="10"/>
  <c r="AY196" i="11"/>
  <c r="AY195" i="11"/>
  <c r="BG174" i="22"/>
  <c r="BH66" i="22"/>
  <c r="AV66" i="10"/>
  <c r="AU174" i="10"/>
  <c r="BJ175" i="9"/>
  <c r="BJ176" i="9"/>
  <c r="AL56" i="11"/>
  <c r="AK149" i="11"/>
  <c r="AN160" i="7"/>
  <c r="AN161" i="7"/>
  <c r="AV164" i="10"/>
  <c r="AW62" i="10"/>
  <c r="AQ184" i="22"/>
  <c r="AR70" i="22"/>
  <c r="AV156" i="8"/>
  <c r="AV155" i="8"/>
  <c r="AI136" i="11"/>
  <c r="AI135" i="11"/>
  <c r="AI176" i="7"/>
  <c r="AI175" i="7"/>
  <c r="AU157" i="8"/>
  <c r="AO165" i="8"/>
  <c r="AO166" i="8"/>
  <c r="AI200" i="22"/>
  <c r="AI201" i="22"/>
  <c r="AL156" i="7"/>
  <c r="AL155" i="7"/>
  <c r="BK174" i="9"/>
  <c r="BL66" i="9"/>
  <c r="AT64" i="9"/>
  <c r="AS169" i="9"/>
  <c r="AT78" i="9"/>
  <c r="AS204" i="9"/>
  <c r="BC145" i="10"/>
  <c r="BC146" i="10"/>
  <c r="AK46" i="6"/>
  <c r="AJ138" i="6"/>
  <c r="AJ139" i="6"/>
  <c r="AJ140" i="6"/>
  <c r="AJ141" i="6"/>
  <c r="BK80" i="10"/>
  <c r="BJ209" i="10"/>
  <c r="BK156" i="10"/>
  <c r="BK155" i="10"/>
  <c r="AI186" i="8"/>
  <c r="AI185" i="8"/>
  <c r="AJ164" i="9"/>
  <c r="AK62" i="9"/>
  <c r="AP205" i="7"/>
  <c r="AP206" i="7"/>
  <c r="AZ194" i="11"/>
  <c r="BA74" i="11"/>
  <c r="BA55" i="11"/>
  <c r="BB227" i="11"/>
  <c r="BF176" i="22"/>
  <c r="BF175" i="22"/>
  <c r="AT176" i="10"/>
  <c r="AT175" i="10"/>
  <c r="AI201" i="11"/>
  <c r="AI200" i="11"/>
  <c r="AP60" i="7"/>
  <c r="AO159" i="7"/>
  <c r="AI161" i="10"/>
  <c r="AI160" i="10"/>
  <c r="AP167" i="22"/>
  <c r="AU166" i="10"/>
  <c r="AU165" i="10"/>
  <c r="AH177" i="7"/>
  <c r="AP185" i="22"/>
  <c r="AP186" i="22"/>
  <c r="BD81" i="8"/>
  <c r="BE240" i="8"/>
  <c r="AW154" i="8"/>
  <c r="AX58" i="8"/>
  <c r="AK50" i="11"/>
  <c r="AJ134" i="11"/>
  <c r="AW187" i="10"/>
  <c r="AK66" i="7"/>
  <c r="AJ174" i="7"/>
  <c r="AT189" i="22"/>
  <c r="AU72" i="22"/>
  <c r="AQ62" i="8"/>
  <c r="AP164" i="8"/>
  <c r="AK78" i="8"/>
  <c r="AJ204" i="8"/>
  <c r="BL64" i="10"/>
  <c r="BK169" i="10"/>
  <c r="AS62" i="22"/>
  <c r="AR164" i="22"/>
  <c r="AP78" i="11"/>
  <c r="AO204" i="11"/>
  <c r="AY192" i="11"/>
  <c r="BM58" i="10"/>
  <c r="BL154" i="10"/>
  <c r="AK70" i="8"/>
  <c r="AJ184" i="8"/>
  <c r="AI181" i="10"/>
  <c r="AI180" i="10"/>
  <c r="AM207" i="11"/>
  <c r="AH162" i="10"/>
  <c r="AR78" i="7"/>
  <c r="AQ204" i="7"/>
  <c r="AJ149" i="22"/>
  <c r="AJ150" i="22"/>
  <c r="AJ151" i="22"/>
  <c r="AJ152" i="22"/>
  <c r="AK56" i="22"/>
  <c r="AH187" i="8"/>
  <c r="AH207" i="8"/>
  <c r="AO187" i="22"/>
  <c r="AH182" i="10"/>
  <c r="BJ170" i="10"/>
  <c r="BJ171" i="10"/>
  <c r="AK76" i="11"/>
  <c r="AJ199" i="11"/>
  <c r="BG61" i="11"/>
  <c r="BH230" i="11"/>
  <c r="AK60" i="10"/>
  <c r="AJ159" i="10"/>
  <c r="AI200" i="10"/>
  <c r="AI201" i="10"/>
  <c r="AJ200" i="7"/>
  <c r="AJ201" i="7"/>
  <c r="AR170" i="9"/>
  <c r="AR171" i="9"/>
  <c r="AI152" i="11"/>
  <c r="AR206" i="9"/>
  <c r="AR205" i="9"/>
  <c r="AM126" i="11"/>
  <c r="AM125" i="11"/>
  <c r="AQ165" i="22"/>
  <c r="AQ166" i="22"/>
  <c r="BE54" i="10"/>
  <c r="BD144" i="10"/>
  <c r="AU78" i="22"/>
  <c r="AT204" i="22"/>
  <c r="BI211" i="10"/>
  <c r="BI210" i="10"/>
  <c r="AS191" i="22"/>
  <c r="AS190" i="22"/>
  <c r="AN205" i="11"/>
  <c r="AN206" i="11"/>
  <c r="AH137" i="11"/>
  <c r="Q38" i="33"/>
  <c r="U39" i="33"/>
  <c r="W39" i="33"/>
  <c r="V39" i="33"/>
  <c r="S40" i="31"/>
  <c r="G23" i="26"/>
  <c r="Y41" i="31"/>
  <c r="AD41" i="31"/>
  <c r="AG41" i="31"/>
  <c r="AH41" i="31"/>
  <c r="AJ41" i="31"/>
  <c r="X41" i="31"/>
  <c r="AK41" i="31"/>
  <c r="AB41" i="31"/>
  <c r="AO41" i="31"/>
  <c r="Z41" i="31"/>
  <c r="AL41" i="31"/>
  <c r="AN41" i="31"/>
  <c r="AI41" i="31"/>
  <c r="AE41" i="31"/>
  <c r="AF41" i="31"/>
  <c r="AM41" i="31"/>
  <c r="AC41" i="31"/>
  <c r="AA41" i="31"/>
  <c r="T41" i="31"/>
  <c r="AM40" i="11"/>
  <c r="AL109" i="11"/>
  <c r="AL110" i="11"/>
  <c r="AL111" i="11"/>
  <c r="AL112" i="11"/>
  <c r="AJ129" i="10"/>
  <c r="AJ130" i="10"/>
  <c r="AJ131" i="10"/>
  <c r="AJ132" i="10"/>
  <c r="AK48" i="10"/>
  <c r="AK38" i="10"/>
  <c r="AJ104" i="10"/>
  <c r="AJ105" i="10"/>
  <c r="AJ106" i="10"/>
  <c r="AJ107" i="10"/>
  <c r="AJ114" i="10"/>
  <c r="AJ115" i="10"/>
  <c r="AJ116" i="10"/>
  <c r="AJ117" i="10"/>
  <c r="AK42" i="10"/>
  <c r="AK52" i="10"/>
  <c r="AJ139" i="10"/>
  <c r="AJ140" i="10"/>
  <c r="AJ141" i="10"/>
  <c r="AJ142" i="10"/>
  <c r="AK119" i="10"/>
  <c r="AK120" i="10"/>
  <c r="AK121" i="10"/>
  <c r="AK122" i="10"/>
  <c r="AL44" i="10"/>
  <c r="AK32" i="10"/>
  <c r="AJ89" i="10"/>
  <c r="AJ90" i="10"/>
  <c r="AJ91" i="10"/>
  <c r="AJ92" i="10"/>
  <c r="AK40" i="10"/>
  <c r="AJ109" i="10"/>
  <c r="AJ110" i="10"/>
  <c r="AJ111" i="10"/>
  <c r="AJ112" i="10"/>
  <c r="AJ84" i="10"/>
  <c r="AJ85" i="10"/>
  <c r="AJ86" i="10"/>
  <c r="AJ87" i="10"/>
  <c r="AK30" i="10"/>
  <c r="AK34" i="10"/>
  <c r="AJ94" i="10"/>
  <c r="AJ95" i="10"/>
  <c r="AJ96" i="10"/>
  <c r="AJ97" i="10"/>
  <c r="AK46" i="10"/>
  <c r="AJ124" i="10"/>
  <c r="AJ125" i="10"/>
  <c r="AJ126" i="10"/>
  <c r="AJ127" i="10"/>
  <c r="AK42" i="22"/>
  <c r="AJ114" i="22"/>
  <c r="AJ115" i="22"/>
  <c r="AJ116" i="22"/>
  <c r="AJ117" i="22"/>
  <c r="AK124" i="22"/>
  <c r="AK125" i="22"/>
  <c r="AK126" i="22"/>
  <c r="AK127" i="22"/>
  <c r="AL46" i="22"/>
  <c r="AJ134" i="22"/>
  <c r="AJ135" i="22"/>
  <c r="AJ136" i="22"/>
  <c r="AJ137" i="22"/>
  <c r="AK50" i="22"/>
  <c r="AK139" i="22"/>
  <c r="AK140" i="22"/>
  <c r="AK141" i="22"/>
  <c r="AK142" i="22"/>
  <c r="AL52" i="22"/>
  <c r="AK134" i="8"/>
  <c r="AK135" i="8"/>
  <c r="AK136" i="8"/>
  <c r="AK137" i="8"/>
  <c r="AL50" i="8"/>
  <c r="AJ124" i="8"/>
  <c r="AJ125" i="8"/>
  <c r="AJ126" i="8"/>
  <c r="AJ127" i="8"/>
  <c r="AK46" i="8"/>
  <c r="BB162" i="22"/>
  <c r="AH202" i="9"/>
  <c r="AZ182" i="8"/>
  <c r="BF207" i="10"/>
  <c r="AM192" i="8"/>
  <c r="BM142" i="11"/>
  <c r="BT172" i="7"/>
  <c r="BJ182" i="7"/>
  <c r="BD197" i="8"/>
  <c r="BC187" i="7"/>
  <c r="BF212" i="7"/>
  <c r="BB212" i="11"/>
  <c r="BG172" i="22"/>
  <c r="Y33" i="30"/>
  <c r="BI149" i="10"/>
  <c r="BJ56" i="10"/>
  <c r="BG206" i="10"/>
  <c r="BG205" i="10"/>
  <c r="BF194" i="8"/>
  <c r="BG74" i="8"/>
  <c r="BF180" i="9"/>
  <c r="BF181" i="9"/>
  <c r="BS85" i="22"/>
  <c r="BS86" i="22"/>
  <c r="BC175" i="8"/>
  <c r="BC176" i="8"/>
  <c r="BC197" i="7"/>
  <c r="BE212" i="22"/>
  <c r="BB177" i="8"/>
  <c r="BF158" i="2"/>
  <c r="BE37" i="2"/>
  <c r="C37" i="2"/>
  <c r="M45" i="30"/>
  <c r="D158" i="2"/>
  <c r="AT73" i="7"/>
  <c r="AU236" i="7"/>
  <c r="BH63" i="11"/>
  <c r="BI231" i="11"/>
  <c r="BO190" i="10"/>
  <c r="BO191" i="10"/>
  <c r="BC68" i="8"/>
  <c r="BB179" i="8"/>
  <c r="AY161" i="8"/>
  <c r="AY160" i="8"/>
  <c r="BG187" i="9"/>
  <c r="BH209" i="7"/>
  <c r="BI80" i="7"/>
  <c r="BK180" i="7"/>
  <c r="BK181" i="7"/>
  <c r="BC182" i="22"/>
  <c r="BC76" i="8"/>
  <c r="BB199" i="8"/>
  <c r="BA177" i="11"/>
  <c r="AM159" i="2"/>
  <c r="AD159" i="2"/>
  <c r="U159" i="2"/>
  <c r="L159" i="2"/>
  <c r="C159" i="2"/>
  <c r="BE159" i="2"/>
  <c r="AV159" i="2"/>
  <c r="BN159" i="2"/>
  <c r="BN192" i="10"/>
  <c r="AI190" i="9"/>
  <c r="AI191" i="9"/>
  <c r="BG152" i="10"/>
  <c r="BH186" i="9"/>
  <c r="BH185" i="9"/>
  <c r="BE182" i="9"/>
  <c r="BE194" i="7"/>
  <c r="BF74" i="7"/>
  <c r="BG209" i="22"/>
  <c r="BH80" i="22"/>
  <c r="AD33" i="30"/>
  <c r="BC210" i="11"/>
  <c r="BC211" i="11"/>
  <c r="BI78" i="10"/>
  <c r="BH204" i="10"/>
  <c r="AZ190" i="11"/>
  <c r="AZ191" i="11"/>
  <c r="BG179" i="9"/>
  <c r="BH68" i="9"/>
  <c r="BD174" i="8"/>
  <c r="BE66" i="8"/>
  <c r="BC161" i="22"/>
  <c r="BC160" i="22"/>
  <c r="AM37" i="2"/>
  <c r="M44" i="34"/>
  <c r="AN158" i="2"/>
  <c r="BN37" i="2"/>
  <c r="M44" i="37"/>
  <c r="BO158" i="2"/>
  <c r="AJ199" i="9"/>
  <c r="AK76" i="9"/>
  <c r="BQ72" i="10"/>
  <c r="BP189" i="10"/>
  <c r="AZ159" i="8"/>
  <c r="BA60" i="8"/>
  <c r="BM68" i="7"/>
  <c r="BL179" i="7"/>
  <c r="BF194" i="22"/>
  <c r="BG74" i="22"/>
  <c r="BJ130" i="11"/>
  <c r="BJ131" i="11"/>
  <c r="BU170" i="7"/>
  <c r="BU171" i="7"/>
  <c r="BF210" i="22"/>
  <c r="BF211" i="22"/>
  <c r="AV65" i="8"/>
  <c r="AW232" i="8"/>
  <c r="AA33" i="30"/>
  <c r="BE80" i="11"/>
  <c r="BD209" i="11"/>
  <c r="BD65" i="11"/>
  <c r="BE232" i="11"/>
  <c r="BB72" i="11"/>
  <c r="BA189" i="11"/>
  <c r="BF194" i="10"/>
  <c r="BG74" i="10"/>
  <c r="BJ211" i="9"/>
  <c r="BJ210" i="9"/>
  <c r="AK32" i="22"/>
  <c r="AJ89" i="22"/>
  <c r="AJ90" i="22"/>
  <c r="AJ91" i="22"/>
  <c r="AJ92" i="22"/>
  <c r="BR87" i="22"/>
  <c r="BF68" i="22"/>
  <c r="BE179" i="22"/>
  <c r="BB175" i="11"/>
  <c r="BB176" i="11"/>
  <c r="BE60" i="22"/>
  <c r="BD159" i="22"/>
  <c r="L37" i="2"/>
  <c r="M44" i="31"/>
  <c r="M158" i="2"/>
  <c r="U37" i="2"/>
  <c r="M44" i="32"/>
  <c r="V158" i="2"/>
  <c r="BD186" i="7"/>
  <c r="BD185" i="7"/>
  <c r="AI201" i="9"/>
  <c r="AI200" i="9"/>
  <c r="BI212" i="9"/>
  <c r="AP72" i="8"/>
  <c r="AO189" i="8"/>
  <c r="BJ64" i="22"/>
  <c r="BI169" i="22"/>
  <c r="BE195" i="22"/>
  <c r="BE196" i="22"/>
  <c r="BL48" i="11"/>
  <c r="BK129" i="11"/>
  <c r="AX162" i="8"/>
  <c r="BW64" i="7"/>
  <c r="BV169" i="7"/>
  <c r="BP52" i="11"/>
  <c r="BO139" i="11"/>
  <c r="AZ202" i="8"/>
  <c r="BD197" i="22"/>
  <c r="BD197" i="10"/>
  <c r="BI132" i="11"/>
  <c r="AH192" i="9"/>
  <c r="BH151" i="10"/>
  <c r="BH150" i="10"/>
  <c r="BE196" i="8"/>
  <c r="BE195" i="8"/>
  <c r="BU30" i="22"/>
  <c r="BT84" i="22"/>
  <c r="BE196" i="10"/>
  <c r="BE195" i="10"/>
  <c r="BL80" i="9"/>
  <c r="BK209" i="9"/>
  <c r="BD180" i="22"/>
  <c r="BD181" i="22"/>
  <c r="BD66" i="11"/>
  <c r="BC174" i="11"/>
  <c r="BI69" i="11"/>
  <c r="BJ234" i="11"/>
  <c r="AD37" i="2"/>
  <c r="M44" i="33"/>
  <c r="AE158" i="2"/>
  <c r="AW158" i="2"/>
  <c r="AV37" i="2"/>
  <c r="M44" i="35"/>
  <c r="BF70" i="7"/>
  <c r="BE184" i="7"/>
  <c r="BA180" i="8"/>
  <c r="BA181" i="8"/>
  <c r="BG210" i="7"/>
  <c r="BG211" i="7"/>
  <c r="AN190" i="8"/>
  <c r="AN191" i="8"/>
  <c r="BA200" i="8"/>
  <c r="BA201" i="8"/>
  <c r="BH170" i="22"/>
  <c r="BH171" i="22"/>
  <c r="A40" i="2"/>
  <c r="A160" i="2"/>
  <c r="BW160" i="2"/>
  <c r="AJ189" i="9"/>
  <c r="AK72" i="9"/>
  <c r="BJ70" i="9"/>
  <c r="BI184" i="9"/>
  <c r="BN141" i="11"/>
  <c r="BN140" i="11"/>
  <c r="BD196" i="7"/>
  <c r="BD195" i="7"/>
  <c r="AB33" i="30"/>
  <c r="AE33" i="30"/>
  <c r="Z33" i="30"/>
  <c r="AC33" i="30"/>
  <c r="R33" i="30"/>
  <c r="AP167" i="7"/>
  <c r="AP34" i="8"/>
  <c r="AO94" i="8"/>
  <c r="AO95" i="8"/>
  <c r="AO96" i="8"/>
  <c r="AO97" i="8"/>
  <c r="AK42" i="8"/>
  <c r="AJ114" i="8"/>
  <c r="AJ115" i="8"/>
  <c r="AJ116" i="8"/>
  <c r="AJ117" i="8"/>
  <c r="AJ119" i="8"/>
  <c r="AJ120" i="8"/>
  <c r="AJ121" i="8"/>
  <c r="AJ122" i="8"/>
  <c r="AK44" i="8"/>
  <c r="AQ165" i="7"/>
  <c r="AQ166" i="7"/>
  <c r="AK32" i="11"/>
  <c r="AJ89" i="11"/>
  <c r="AJ90" i="11"/>
  <c r="AJ91" i="11"/>
  <c r="AJ92" i="11"/>
  <c r="AS62" i="7"/>
  <c r="AR164" i="7"/>
  <c r="AK52" i="9"/>
  <c r="AJ139" i="9"/>
  <c r="AJ140" i="9"/>
  <c r="AJ141" i="9"/>
  <c r="AJ142" i="9"/>
  <c r="AK84" i="9"/>
  <c r="AK85" i="9"/>
  <c r="AK86" i="9"/>
  <c r="AK87" i="9"/>
  <c r="AL30" i="9"/>
  <c r="AL86" i="1"/>
  <c r="AL87" i="1"/>
  <c r="AL88" i="1"/>
  <c r="AL89" i="1"/>
  <c r="AM30" i="1"/>
  <c r="AK34" i="1"/>
  <c r="AJ96" i="1"/>
  <c r="AJ97" i="1"/>
  <c r="AJ98" i="1"/>
  <c r="AJ99" i="1"/>
  <c r="AK64" i="1"/>
  <c r="AJ171" i="1"/>
  <c r="AJ172" i="1"/>
  <c r="AJ173" i="1"/>
  <c r="AJ174" i="1"/>
  <c r="AK52" i="1"/>
  <c r="AJ141" i="1"/>
  <c r="AJ142" i="1"/>
  <c r="AJ143" i="1"/>
  <c r="AJ144" i="1"/>
  <c r="AK68" i="1"/>
  <c r="AJ181" i="1"/>
  <c r="AJ182" i="1"/>
  <c r="AJ183" i="1"/>
  <c r="AJ184" i="1"/>
  <c r="AJ219" i="1"/>
  <c r="AK58" i="1"/>
  <c r="AJ156" i="1"/>
  <c r="AJ157" i="1"/>
  <c r="AJ158" i="1"/>
  <c r="AJ159" i="1"/>
  <c r="AK48" i="1"/>
  <c r="AJ131" i="1"/>
  <c r="AJ132" i="1"/>
  <c r="AJ133" i="1"/>
  <c r="AJ134" i="1"/>
  <c r="AM32" i="1"/>
  <c r="AL91" i="1"/>
  <c r="AL92" i="1"/>
  <c r="AL93" i="1"/>
  <c r="AL94" i="1"/>
  <c r="AJ136" i="1"/>
  <c r="AJ137" i="1"/>
  <c r="AJ138" i="1"/>
  <c r="AJ139" i="1"/>
  <c r="AK50" i="1"/>
  <c r="K39" i="33"/>
  <c r="AL87" i="11"/>
  <c r="AK119" i="22"/>
  <c r="AK120" i="22"/>
  <c r="AK121" i="22"/>
  <c r="AK122" i="22"/>
  <c r="AL44" i="22"/>
  <c r="AJ78" i="6"/>
  <c r="AJ79" i="6"/>
  <c r="AJ80" i="6"/>
  <c r="AJ81" i="6"/>
  <c r="AK22" i="6"/>
  <c r="AJ103" i="6"/>
  <c r="AK32" i="6"/>
  <c r="AK44" i="6"/>
  <c r="AJ133" i="6"/>
  <c r="AJ134" i="6"/>
  <c r="AJ135" i="6"/>
  <c r="AJ136" i="6"/>
  <c r="AK28" i="6"/>
  <c r="AJ93" i="6"/>
  <c r="AJ94" i="6"/>
  <c r="AJ95" i="6"/>
  <c r="AJ96" i="6"/>
  <c r="AK34" i="6"/>
  <c r="AJ108" i="6"/>
  <c r="AJ109" i="6"/>
  <c r="AJ110" i="6"/>
  <c r="AJ111" i="6"/>
  <c r="AJ83" i="6"/>
  <c r="AJ84" i="6"/>
  <c r="AJ85" i="6"/>
  <c r="AJ86" i="6"/>
  <c r="AK24" i="6"/>
  <c r="AL30" i="6"/>
  <c r="AK98" i="6"/>
  <c r="AK99" i="6"/>
  <c r="AK100" i="6"/>
  <c r="AK101" i="6"/>
  <c r="AK36" i="6"/>
  <c r="AJ113" i="6"/>
  <c r="AJ114" i="6"/>
  <c r="AJ115" i="6"/>
  <c r="AJ116" i="6"/>
  <c r="AK128" i="6"/>
  <c r="AK129" i="6"/>
  <c r="AK130" i="6"/>
  <c r="AK131" i="6"/>
  <c r="AL42" i="6"/>
  <c r="AJ123" i="6"/>
  <c r="AJ124" i="6"/>
  <c r="AJ125" i="6"/>
  <c r="AJ126" i="6"/>
  <c r="AK40" i="6"/>
  <c r="AI109" i="6"/>
  <c r="AI110" i="6"/>
  <c r="AK26" i="6"/>
  <c r="AJ88" i="6"/>
  <c r="AJ89" i="6"/>
  <c r="AJ90" i="6"/>
  <c r="AJ91" i="6"/>
  <c r="AK42" i="1"/>
  <c r="AJ116" i="1"/>
  <c r="AJ117" i="1"/>
  <c r="AJ118" i="1"/>
  <c r="AJ119" i="1"/>
  <c r="AK218" i="1"/>
  <c r="AK217" i="1"/>
  <c r="AM82" i="1"/>
  <c r="AL216" i="1"/>
  <c r="AN80" i="1"/>
  <c r="AM211" i="1"/>
  <c r="AM212" i="1"/>
  <c r="AM213" i="1"/>
  <c r="AM214" i="1"/>
  <c r="AH142" i="8"/>
  <c r="AG87" i="8"/>
  <c r="AI137" i="9"/>
  <c r="AI122" i="11"/>
  <c r="AL36" i="8"/>
  <c r="AK99" i="8"/>
  <c r="AK100" i="8"/>
  <c r="AK101" i="8"/>
  <c r="AK102" i="8"/>
  <c r="AJ100" i="8"/>
  <c r="AJ101" i="8"/>
  <c r="AN104" i="8"/>
  <c r="AN105" i="8"/>
  <c r="AN106" i="8"/>
  <c r="AN107" i="8"/>
  <c r="AO38" i="8"/>
  <c r="AL44" i="11"/>
  <c r="AK119" i="11"/>
  <c r="AJ120" i="11"/>
  <c r="AJ121" i="11"/>
  <c r="AJ122" i="11"/>
  <c r="W40" i="32"/>
  <c r="V40" i="32"/>
  <c r="K40" i="32"/>
  <c r="AK104" i="22"/>
  <c r="AK105" i="22"/>
  <c r="AK106" i="22"/>
  <c r="AK107" i="22"/>
  <c r="AL38" i="22"/>
  <c r="AJ129" i="22"/>
  <c r="AJ130" i="22"/>
  <c r="AJ131" i="22"/>
  <c r="AJ132" i="22"/>
  <c r="AK48" i="22"/>
  <c r="AK34" i="22"/>
  <c r="AJ94" i="22"/>
  <c r="AJ95" i="22"/>
  <c r="AJ96" i="22"/>
  <c r="AJ97" i="22"/>
  <c r="AL36" i="7"/>
  <c r="AK99" i="7"/>
  <c r="AK100" i="7"/>
  <c r="AK101" i="7"/>
  <c r="AK102" i="7"/>
  <c r="AI95" i="7"/>
  <c r="AI96" i="7"/>
  <c r="AI97" i="7"/>
  <c r="AK34" i="7"/>
  <c r="AJ94" i="7"/>
  <c r="AJ95" i="7"/>
  <c r="AJ96" i="7"/>
  <c r="AJ97" i="7"/>
  <c r="AL30" i="7"/>
  <c r="AK84" i="7"/>
  <c r="AK42" i="7"/>
  <c r="AJ114" i="7"/>
  <c r="AK104" i="7"/>
  <c r="AK105" i="7"/>
  <c r="AK106" i="7"/>
  <c r="AK107" i="7"/>
  <c r="AL38" i="7"/>
  <c r="AM109" i="7"/>
  <c r="AM110" i="7"/>
  <c r="AM111" i="7"/>
  <c r="AM112" i="7"/>
  <c r="AN40" i="7"/>
  <c r="AN38" i="6"/>
  <c r="AM118" i="6"/>
  <c r="AM119" i="6"/>
  <c r="AM120" i="6"/>
  <c r="AM121" i="6"/>
  <c r="AJ124" i="9"/>
  <c r="AJ125" i="9"/>
  <c r="AJ126" i="9"/>
  <c r="AJ127" i="9"/>
  <c r="AK46" i="9"/>
  <c r="AN38" i="9"/>
  <c r="AM104" i="9"/>
  <c r="AM105" i="9"/>
  <c r="AM106" i="9"/>
  <c r="AM107" i="9"/>
  <c r="AN144" i="9"/>
  <c r="AN145" i="9"/>
  <c r="AN146" i="9"/>
  <c r="AN147" i="9"/>
  <c r="AO54" i="9"/>
  <c r="AK34" i="9"/>
  <c r="AJ94" i="9"/>
  <c r="AJ95" i="9"/>
  <c r="AJ96" i="9"/>
  <c r="AJ97" i="9"/>
  <c r="AJ42" i="9"/>
  <c r="AI114" i="9"/>
  <c r="AI115" i="9"/>
  <c r="AI116" i="9"/>
  <c r="AI117" i="9"/>
  <c r="AK134" i="9"/>
  <c r="AK135" i="9"/>
  <c r="AK136" i="9"/>
  <c r="AK137" i="9"/>
  <c r="AL50" i="9"/>
  <c r="AJ135" i="9"/>
  <c r="AJ136" i="9"/>
  <c r="AJ137" i="9"/>
  <c r="AI130" i="9"/>
  <c r="AI131" i="9"/>
  <c r="AI132" i="9"/>
  <c r="AL89" i="9"/>
  <c r="AL90" i="9"/>
  <c r="AL91" i="9"/>
  <c r="AL92" i="9"/>
  <c r="AM32" i="9"/>
  <c r="AJ119" i="9"/>
  <c r="AJ120" i="9"/>
  <c r="AJ121" i="9"/>
  <c r="AJ122" i="9"/>
  <c r="AK44" i="9"/>
  <c r="AK48" i="9"/>
  <c r="AJ129" i="9"/>
  <c r="AJ130" i="9"/>
  <c r="AJ131" i="9"/>
  <c r="AJ132" i="9"/>
  <c r="AJ149" i="9"/>
  <c r="AK56" i="9"/>
  <c r="AI187" i="1"/>
  <c r="AI188" i="1"/>
  <c r="AI189" i="1"/>
  <c r="AI207" i="1"/>
  <c r="AI208" i="1"/>
  <c r="AI209" i="1"/>
  <c r="AK70" i="1"/>
  <c r="AJ186" i="1"/>
  <c r="AM76" i="1"/>
  <c r="AL201" i="1"/>
  <c r="AL202" i="1"/>
  <c r="AL203" i="1"/>
  <c r="AL204" i="1"/>
  <c r="AK78" i="1"/>
  <c r="AJ206" i="1"/>
  <c r="AJ207" i="1"/>
  <c r="AJ208" i="1"/>
  <c r="AJ209" i="1"/>
  <c r="AM66" i="1"/>
  <c r="AL176" i="1"/>
  <c r="AL72" i="1"/>
  <c r="AK191" i="1"/>
  <c r="AK192" i="1"/>
  <c r="AK193" i="1"/>
  <c r="AK194" i="1"/>
  <c r="AQ56" i="1"/>
  <c r="AP151" i="1"/>
  <c r="AP152" i="1"/>
  <c r="AP153" i="1"/>
  <c r="AP154" i="1"/>
  <c r="AK161" i="1"/>
  <c r="AK162" i="1"/>
  <c r="AK163" i="1"/>
  <c r="AK164" i="1"/>
  <c r="AL60" i="1"/>
  <c r="AK74" i="1"/>
  <c r="AJ196" i="1"/>
  <c r="AO115" i="11"/>
  <c r="AO116" i="11"/>
  <c r="AO117" i="11"/>
  <c r="AQ42" i="11"/>
  <c r="AP114" i="11"/>
  <c r="L36" i="34"/>
  <c r="N36" i="34"/>
  <c r="O36" i="34"/>
  <c r="P36" i="34"/>
  <c r="Q36" i="34"/>
  <c r="T36" i="34"/>
  <c r="AD36" i="34"/>
  <c r="AC36" i="34"/>
  <c r="AJ36" i="34"/>
  <c r="AB36" i="34"/>
  <c r="AF36" i="34"/>
  <c r="AH36" i="34"/>
  <c r="Z36" i="34"/>
  <c r="AE36" i="34"/>
  <c r="AA36" i="34"/>
  <c r="X36" i="34"/>
  <c r="Y36" i="34"/>
  <c r="AG36" i="34"/>
  <c r="AI36" i="34"/>
  <c r="W39" i="35"/>
  <c r="V39" i="35"/>
  <c r="K39" i="35"/>
  <c r="AN84" i="11"/>
  <c r="AO30" i="11"/>
  <c r="AI107" i="11"/>
  <c r="AJ105" i="11"/>
  <c r="AJ106" i="11"/>
  <c r="AL99" i="11"/>
  <c r="AM36" i="11"/>
  <c r="AK104" i="11"/>
  <c r="AL38" i="11"/>
  <c r="AM85" i="11"/>
  <c r="AM86" i="11"/>
  <c r="AM87" i="11"/>
  <c r="AK100" i="11"/>
  <c r="AK101" i="11"/>
  <c r="AK102" i="11"/>
  <c r="AK134" i="10"/>
  <c r="AL50" i="10"/>
  <c r="AJ135" i="10"/>
  <c r="AJ136" i="10"/>
  <c r="AJ137" i="10"/>
  <c r="AL36" i="10"/>
  <c r="AK99" i="10"/>
  <c r="AJ100" i="10"/>
  <c r="AJ101" i="10"/>
  <c r="AJ102" i="10"/>
  <c r="AJ154" i="22"/>
  <c r="AK58" i="22"/>
  <c r="AI155" i="22"/>
  <c r="AI156" i="22"/>
  <c r="AI157" i="22"/>
  <c r="AJ145" i="22"/>
  <c r="AJ146" i="22"/>
  <c r="AJ147" i="22"/>
  <c r="AK99" i="22"/>
  <c r="AL36" i="22"/>
  <c r="AJ100" i="22"/>
  <c r="AJ101" i="22"/>
  <c r="AJ102" i="22"/>
  <c r="AJ110" i="22"/>
  <c r="AJ111" i="22"/>
  <c r="AK144" i="22"/>
  <c r="AL54" i="22"/>
  <c r="AK109" i="22"/>
  <c r="AL40" i="22"/>
  <c r="AN56" i="8"/>
  <c r="AM149" i="8"/>
  <c r="AL150" i="8"/>
  <c r="AL151" i="8"/>
  <c r="AL152" i="8"/>
  <c r="AK144" i="8"/>
  <c r="AL54" i="8"/>
  <c r="AJ145" i="8"/>
  <c r="AJ146" i="8"/>
  <c r="AJ147" i="8"/>
  <c r="AI130" i="8"/>
  <c r="AI131" i="8"/>
  <c r="AK48" i="8"/>
  <c r="AJ129" i="8"/>
  <c r="AK40" i="8"/>
  <c r="AJ109" i="8"/>
  <c r="AH85" i="8"/>
  <c r="AH86" i="8"/>
  <c r="AH87" i="8"/>
  <c r="AI90" i="8"/>
  <c r="AI91" i="8"/>
  <c r="AI92" i="8"/>
  <c r="AI110" i="8"/>
  <c r="AI111" i="8"/>
  <c r="AI112" i="8"/>
  <c r="AJ139" i="8"/>
  <c r="AK52" i="8"/>
  <c r="AJ30" i="8"/>
  <c r="AI84" i="8"/>
  <c r="AK32" i="8"/>
  <c r="AJ89" i="8"/>
  <c r="AI140" i="8"/>
  <c r="AI141" i="8"/>
  <c r="AI142" i="8"/>
  <c r="AI145" i="7"/>
  <c r="AI146" i="7"/>
  <c r="AI147" i="7"/>
  <c r="AK54" i="7"/>
  <c r="AJ144" i="7"/>
  <c r="AK52" i="7"/>
  <c r="AJ139" i="7"/>
  <c r="AI140" i="7"/>
  <c r="AI141" i="7"/>
  <c r="AI142" i="7"/>
  <c r="AJ134" i="7"/>
  <c r="AK50" i="7"/>
  <c r="AI135" i="7"/>
  <c r="AI136" i="7"/>
  <c r="AI137" i="7"/>
  <c r="AM119" i="7"/>
  <c r="AN44" i="7"/>
  <c r="AL120" i="7"/>
  <c r="AL121" i="7"/>
  <c r="AL122" i="7"/>
  <c r="AL124" i="7"/>
  <c r="AM46" i="7"/>
  <c r="AK125" i="7"/>
  <c r="AK126" i="7"/>
  <c r="AK127" i="7"/>
  <c r="AR32" i="7"/>
  <c r="AQ89" i="7"/>
  <c r="AP90" i="7"/>
  <c r="AP91" i="7"/>
  <c r="AP92" i="7"/>
  <c r="AK56" i="6"/>
  <c r="AJ163" i="6"/>
  <c r="AI164" i="6"/>
  <c r="AI165" i="6"/>
  <c r="AI166" i="6"/>
  <c r="AK54" i="6"/>
  <c r="AJ158" i="6"/>
  <c r="AI159" i="6"/>
  <c r="AI160" i="6"/>
  <c r="AI161" i="6"/>
  <c r="AK52" i="6"/>
  <c r="AJ153" i="6"/>
  <c r="AI154" i="6"/>
  <c r="AI155" i="6"/>
  <c r="AI156" i="6"/>
  <c r="AI149" i="6"/>
  <c r="AI150" i="6"/>
  <c r="AI151" i="6"/>
  <c r="AJ148" i="6"/>
  <c r="AK50" i="6"/>
  <c r="AI144" i="6"/>
  <c r="AI145" i="6"/>
  <c r="AJ143" i="6"/>
  <c r="AK48" i="6"/>
  <c r="AL60" i="9"/>
  <c r="AK159" i="9"/>
  <c r="AJ160" i="9"/>
  <c r="AJ161" i="9"/>
  <c r="AJ162" i="9"/>
  <c r="AI155" i="9"/>
  <c r="AI156" i="9"/>
  <c r="AI157" i="9"/>
  <c r="AJ154" i="9"/>
  <c r="AK58" i="9"/>
  <c r="AJ100" i="9"/>
  <c r="AJ101" i="9"/>
  <c r="AJ102" i="9"/>
  <c r="AL40" i="9"/>
  <c r="AK109" i="9"/>
  <c r="AL36" i="9"/>
  <c r="AK99" i="9"/>
  <c r="AJ110" i="9"/>
  <c r="AJ111" i="9"/>
  <c r="AJ112" i="9"/>
  <c r="AJ166" i="1"/>
  <c r="AK62" i="1"/>
  <c r="AI167" i="1"/>
  <c r="AI168" i="1"/>
  <c r="AI169" i="1"/>
  <c r="AK54" i="1"/>
  <c r="AJ146" i="1"/>
  <c r="AI127" i="1"/>
  <c r="AI128" i="1"/>
  <c r="AI129" i="1"/>
  <c r="AK46" i="1"/>
  <c r="AJ126" i="1"/>
  <c r="AI147" i="1"/>
  <c r="AI148" i="1"/>
  <c r="AI149" i="1"/>
  <c r="AK122" i="1"/>
  <c r="AK123" i="1"/>
  <c r="AK124" i="1"/>
  <c r="AM44" i="1"/>
  <c r="AL121" i="1"/>
  <c r="AK112" i="1"/>
  <c r="AK113" i="1"/>
  <c r="AK114" i="1"/>
  <c r="AM36" i="1"/>
  <c r="AL101" i="1"/>
  <c r="AK38" i="1"/>
  <c r="AJ106" i="1"/>
  <c r="AL111" i="1"/>
  <c r="AM40" i="1"/>
  <c r="AK102" i="1"/>
  <c r="AK103" i="1"/>
  <c r="AK104" i="1"/>
  <c r="AI107" i="1"/>
  <c r="AI108" i="1"/>
  <c r="AI109" i="1"/>
  <c r="U40" i="37"/>
  <c r="AL48" i="7"/>
  <c r="AK129" i="7"/>
  <c r="AK130" i="7"/>
  <c r="AK131" i="7"/>
  <c r="AK132" i="7"/>
  <c r="U39" i="36"/>
  <c r="BP197" i="9"/>
  <c r="BW39" i="2"/>
  <c r="M46" i="41"/>
  <c r="BX160" i="2"/>
  <c r="BR194" i="9"/>
  <c r="BS74" i="9"/>
  <c r="BQ195" i="9"/>
  <c r="BQ196" i="9"/>
  <c r="AT59" i="11"/>
  <c r="AU229" i="11"/>
  <c r="L22" i="26"/>
  <c r="M44" i="36"/>
  <c r="CF37" i="2"/>
  <c r="U42" i="31"/>
  <c r="K42" i="31"/>
  <c r="U34" i="41"/>
  <c r="W34" i="41"/>
  <c r="V34" i="41"/>
  <c r="AF34" i="41"/>
  <c r="L33" i="41"/>
  <c r="N33" i="41"/>
  <c r="O33" i="41"/>
  <c r="P33" i="41"/>
  <c r="T33" i="41"/>
  <c r="AP6" i="26"/>
  <c r="S23" i="41"/>
  <c r="BO192" i="10"/>
  <c r="AN207" i="11"/>
  <c r="BH187" i="9"/>
  <c r="AT177" i="10"/>
  <c r="AI187" i="8"/>
  <c r="AL157" i="7"/>
  <c r="BD197" i="7"/>
  <c r="AR172" i="9"/>
  <c r="AI202" i="10"/>
  <c r="BJ172" i="10"/>
  <c r="AU167" i="10"/>
  <c r="AI137" i="11"/>
  <c r="AI167" i="9"/>
  <c r="AS207" i="22"/>
  <c r="AX187" i="10"/>
  <c r="BE197" i="8"/>
  <c r="AS192" i="22"/>
  <c r="AR207" i="9"/>
  <c r="AI202" i="22"/>
  <c r="BH260" i="40"/>
  <c r="BH261" i="40"/>
  <c r="BH262" i="40"/>
  <c r="BA269" i="40"/>
  <c r="BA270" i="40"/>
  <c r="BA271" i="40"/>
  <c r="BA272" i="40"/>
  <c r="BB102" i="40"/>
  <c r="BA289" i="40"/>
  <c r="BA290" i="40"/>
  <c r="BA291" i="40"/>
  <c r="BA292" i="40"/>
  <c r="BB110" i="40"/>
  <c r="BA249" i="40"/>
  <c r="BA250" i="40"/>
  <c r="BA251" i="40"/>
  <c r="BA252" i="40"/>
  <c r="BB94" i="40"/>
  <c r="BF280" i="40"/>
  <c r="BF281" i="40"/>
  <c r="BF282" i="40"/>
  <c r="BG255" i="40"/>
  <c r="BG256" i="40"/>
  <c r="BG257" i="40"/>
  <c r="AZ290" i="40"/>
  <c r="AZ291" i="40"/>
  <c r="AZ292" i="40"/>
  <c r="BA244" i="40"/>
  <c r="BA245" i="40"/>
  <c r="BA246" i="40"/>
  <c r="BA247" i="40"/>
  <c r="BB92" i="40"/>
  <c r="BA284" i="40"/>
  <c r="BA285" i="40"/>
  <c r="BA286" i="40"/>
  <c r="BA287" i="40"/>
  <c r="BB108" i="40"/>
  <c r="BA264" i="40"/>
  <c r="BB100" i="40"/>
  <c r="AZ245" i="40"/>
  <c r="AZ246" i="40"/>
  <c r="AZ247" i="40"/>
  <c r="AZ285" i="40"/>
  <c r="AZ286" i="40"/>
  <c r="AZ287" i="40"/>
  <c r="BI98" i="40"/>
  <c r="BI259" i="40"/>
  <c r="BI260" i="40"/>
  <c r="BI261" i="40"/>
  <c r="BI262" i="40"/>
  <c r="BH104" i="40"/>
  <c r="BH274" i="40"/>
  <c r="BH275" i="40"/>
  <c r="BH276" i="40"/>
  <c r="BH277" i="40"/>
  <c r="BH96" i="40"/>
  <c r="BH254" i="40"/>
  <c r="BG106" i="40"/>
  <c r="BG279" i="40"/>
  <c r="BD90" i="40"/>
  <c r="BB42" i="40"/>
  <c r="BA119" i="40"/>
  <c r="AZ170" i="40"/>
  <c r="AZ171" i="40"/>
  <c r="BB48" i="40"/>
  <c r="BA134" i="40"/>
  <c r="BB54" i="40"/>
  <c r="BA149" i="40"/>
  <c r="AZ230" i="40"/>
  <c r="AZ231" i="40"/>
  <c r="BD64" i="40"/>
  <c r="BC174" i="40"/>
  <c r="AZ155" i="40"/>
  <c r="AZ156" i="40"/>
  <c r="AZ157" i="40"/>
  <c r="BC80" i="40"/>
  <c r="BB214" i="40"/>
  <c r="BA115" i="40"/>
  <c r="BA116" i="40"/>
  <c r="BA117" i="40"/>
  <c r="BB82" i="40"/>
  <c r="BA219" i="40"/>
  <c r="AZ145" i="40"/>
  <c r="AZ146" i="40"/>
  <c r="AZ147" i="40"/>
  <c r="AZ160" i="40"/>
  <c r="AZ161" i="40"/>
  <c r="BD68" i="40"/>
  <c r="BC184" i="40"/>
  <c r="BB56" i="40"/>
  <c r="BA154" i="40"/>
  <c r="BB78" i="40"/>
  <c r="BA209" i="40"/>
  <c r="BB62" i="40"/>
  <c r="BA169" i="40"/>
  <c r="BC76" i="40"/>
  <c r="BB204" i="40"/>
  <c r="BA140" i="40"/>
  <c r="BA141" i="40"/>
  <c r="BA142" i="40"/>
  <c r="AZ135" i="40"/>
  <c r="AZ136" i="40"/>
  <c r="AZ137" i="40"/>
  <c r="BC40" i="40"/>
  <c r="BB114" i="40"/>
  <c r="BC84" i="40"/>
  <c r="BB224" i="40"/>
  <c r="BB70" i="40"/>
  <c r="BA189" i="40"/>
  <c r="AZ150" i="40"/>
  <c r="AZ151" i="40"/>
  <c r="AZ152" i="40"/>
  <c r="AY162" i="40"/>
  <c r="BB86" i="40"/>
  <c r="BA229" i="40"/>
  <c r="BB175" i="40"/>
  <c r="BB176" i="40"/>
  <c r="BB177" i="40"/>
  <c r="AZ240" i="40"/>
  <c r="AZ241" i="40"/>
  <c r="AZ242" i="40"/>
  <c r="BB52" i="40"/>
  <c r="BA144" i="40"/>
  <c r="BB46" i="40"/>
  <c r="BA129" i="40"/>
  <c r="BA180" i="40"/>
  <c r="BA181" i="40"/>
  <c r="BB185" i="40"/>
  <c r="BB186" i="40"/>
  <c r="BB187" i="40"/>
  <c r="AZ210" i="40"/>
  <c r="AZ211" i="40"/>
  <c r="AZ212" i="40"/>
  <c r="BA205" i="40"/>
  <c r="BA206" i="40"/>
  <c r="BA225" i="40"/>
  <c r="BA226" i="40"/>
  <c r="AZ190" i="40"/>
  <c r="AZ191" i="40"/>
  <c r="BB44" i="40"/>
  <c r="BA124" i="40"/>
  <c r="BA239" i="40"/>
  <c r="AZ130" i="40"/>
  <c r="AZ131" i="40"/>
  <c r="AZ132" i="40"/>
  <c r="BA235" i="40"/>
  <c r="BA236" i="40"/>
  <c r="AY212" i="40"/>
  <c r="BC60" i="40"/>
  <c r="BB164" i="40"/>
  <c r="AZ200" i="40"/>
  <c r="AZ201" i="40"/>
  <c r="BD72" i="40"/>
  <c r="BC194" i="40"/>
  <c r="AZ120" i="40"/>
  <c r="AZ121" i="40"/>
  <c r="AZ122" i="40"/>
  <c r="AZ142" i="40"/>
  <c r="BA215" i="40"/>
  <c r="BA216" i="40"/>
  <c r="AY242" i="40"/>
  <c r="BC88" i="40"/>
  <c r="BB234" i="40"/>
  <c r="BA187" i="40"/>
  <c r="BC50" i="40"/>
  <c r="BB139" i="40"/>
  <c r="BA165" i="40"/>
  <c r="BA166" i="40"/>
  <c r="BB74" i="40"/>
  <c r="BA199" i="40"/>
  <c r="AZ125" i="40"/>
  <c r="AZ126" i="40"/>
  <c r="AZ127" i="40"/>
  <c r="AZ217" i="40"/>
  <c r="AZ182" i="40"/>
  <c r="AZ220" i="40"/>
  <c r="AZ221" i="40"/>
  <c r="AZ222" i="40"/>
  <c r="AZ207" i="40"/>
  <c r="AY157" i="40"/>
  <c r="BB195" i="40"/>
  <c r="BB196" i="40"/>
  <c r="BC66" i="40"/>
  <c r="BB179" i="40"/>
  <c r="BB58" i="40"/>
  <c r="BA159" i="40"/>
  <c r="AO206" i="11"/>
  <c r="AO205" i="11"/>
  <c r="AT190" i="22"/>
  <c r="AT191" i="22"/>
  <c r="AZ55" i="11"/>
  <c r="BA227" i="11"/>
  <c r="BL80" i="10"/>
  <c r="BK209" i="10"/>
  <c r="AT169" i="9"/>
  <c r="AU64" i="9"/>
  <c r="AM155" i="7"/>
  <c r="AM156" i="7"/>
  <c r="BG207" i="10"/>
  <c r="AU204" i="22"/>
  <c r="AV78" i="22"/>
  <c r="AJ202" i="7"/>
  <c r="AJ160" i="10"/>
  <c r="AJ161" i="10"/>
  <c r="AJ201" i="11"/>
  <c r="AJ200" i="11"/>
  <c r="AL56" i="22"/>
  <c r="AK149" i="22"/>
  <c r="AK150" i="22"/>
  <c r="AK151" i="22"/>
  <c r="AK152" i="22"/>
  <c r="AJ186" i="8"/>
  <c r="AJ185" i="8"/>
  <c r="BM64" i="10"/>
  <c r="BL169" i="10"/>
  <c r="AL78" i="8"/>
  <c r="AK204" i="8"/>
  <c r="AV72" i="22"/>
  <c r="AU189" i="22"/>
  <c r="AL66" i="7"/>
  <c r="AK174" i="7"/>
  <c r="AX154" i="8"/>
  <c r="AY58" i="8"/>
  <c r="AP187" i="22"/>
  <c r="AO160" i="7"/>
  <c r="AO161" i="7"/>
  <c r="AP207" i="7"/>
  <c r="BJ211" i="10"/>
  <c r="BJ210" i="10"/>
  <c r="BC147" i="10"/>
  <c r="AS171" i="9"/>
  <c r="AS170" i="9"/>
  <c r="AO167" i="8"/>
  <c r="AR184" i="22"/>
  <c r="AS70" i="22"/>
  <c r="AN162" i="7"/>
  <c r="BJ177" i="9"/>
  <c r="BH174" i="22"/>
  <c r="BI66" i="22"/>
  <c r="AJ200" i="22"/>
  <c r="AJ201" i="22"/>
  <c r="AY185" i="10"/>
  <c r="AY186" i="10"/>
  <c r="AP46" i="11"/>
  <c r="AO124" i="11"/>
  <c r="AJ201" i="10"/>
  <c r="AJ200" i="10"/>
  <c r="AL68" i="10"/>
  <c r="AK179" i="10"/>
  <c r="AL70" i="8"/>
  <c r="AK184" i="8"/>
  <c r="BG175" i="22"/>
  <c r="BG176" i="22"/>
  <c r="AK201" i="7"/>
  <c r="AK200" i="7"/>
  <c r="AI202" i="9"/>
  <c r="BI212" i="10"/>
  <c r="BE144" i="10"/>
  <c r="BF54" i="10"/>
  <c r="AM127" i="11"/>
  <c r="AQ206" i="7"/>
  <c r="AQ205" i="7"/>
  <c r="BL156" i="10"/>
  <c r="BL155" i="10"/>
  <c r="AQ78" i="11"/>
  <c r="AP204" i="11"/>
  <c r="AS164" i="22"/>
  <c r="AT62" i="22"/>
  <c r="AP165" i="8"/>
  <c r="AP166" i="8"/>
  <c r="AJ135" i="11"/>
  <c r="AJ136" i="11"/>
  <c r="BB74" i="11"/>
  <c r="BA194" i="11"/>
  <c r="AK164" i="9"/>
  <c r="AL62" i="9"/>
  <c r="AS205" i="9"/>
  <c r="AS206" i="9"/>
  <c r="BL174" i="9"/>
  <c r="BM66" i="9"/>
  <c r="AX62" i="10"/>
  <c r="AW164" i="10"/>
  <c r="AK150" i="11"/>
  <c r="AK151" i="11"/>
  <c r="AU176" i="10"/>
  <c r="AU175" i="10"/>
  <c r="AN154" i="7"/>
  <c r="AO58" i="7"/>
  <c r="AI207" i="8"/>
  <c r="AM76" i="7"/>
  <c r="AL199" i="7"/>
  <c r="AJ152" i="11"/>
  <c r="BD146" i="10"/>
  <c r="BD145" i="10"/>
  <c r="AK159" i="10"/>
  <c r="AL60" i="10"/>
  <c r="AL76" i="11"/>
  <c r="AK199" i="11"/>
  <c r="AR166" i="22"/>
  <c r="AR165" i="22"/>
  <c r="AW156" i="8"/>
  <c r="AW155" i="8"/>
  <c r="AQ60" i="7"/>
  <c r="AP159" i="7"/>
  <c r="AQ185" i="22"/>
  <c r="AQ186" i="22"/>
  <c r="AJ181" i="10"/>
  <c r="AJ180" i="10"/>
  <c r="U34" i="30"/>
  <c r="K34" i="30"/>
  <c r="L34" i="30"/>
  <c r="N34" i="30"/>
  <c r="O34" i="30"/>
  <c r="P34" i="30"/>
  <c r="BG212" i="7"/>
  <c r="BA182" i="8"/>
  <c r="AT205" i="22"/>
  <c r="AT206" i="22"/>
  <c r="AQ167" i="22"/>
  <c r="BF61" i="11"/>
  <c r="BG230" i="11"/>
  <c r="AS78" i="7"/>
  <c r="AR204" i="7"/>
  <c r="AI182" i="10"/>
  <c r="BN58" i="10"/>
  <c r="BM154" i="10"/>
  <c r="BK170" i="10"/>
  <c r="BK171" i="10"/>
  <c r="AJ205" i="8"/>
  <c r="AJ206" i="8"/>
  <c r="AR62" i="8"/>
  <c r="AQ164" i="8"/>
  <c r="AJ175" i="7"/>
  <c r="AJ176" i="7"/>
  <c r="AL50" i="11"/>
  <c r="AK134" i="11"/>
  <c r="BD240" i="8"/>
  <c r="BC81" i="8"/>
  <c r="AI162" i="10"/>
  <c r="AI202" i="11"/>
  <c r="BF177" i="22"/>
  <c r="AZ195" i="11"/>
  <c r="AZ196" i="11"/>
  <c r="AJ166" i="9"/>
  <c r="AJ165" i="9"/>
  <c r="BK157" i="10"/>
  <c r="AL46" i="6"/>
  <c r="AK138" i="6"/>
  <c r="AK139" i="6"/>
  <c r="AK140" i="6"/>
  <c r="AK141" i="6"/>
  <c r="AU78" i="9"/>
  <c r="AT204" i="9"/>
  <c r="BK176" i="9"/>
  <c r="BK175" i="9"/>
  <c r="AI177" i="7"/>
  <c r="AV157" i="8"/>
  <c r="AV166" i="10"/>
  <c r="AV165" i="10"/>
  <c r="AM56" i="11"/>
  <c r="AL149" i="11"/>
  <c r="AW66" i="10"/>
  <c r="AV174" i="10"/>
  <c r="AY197" i="11"/>
  <c r="AK199" i="22"/>
  <c r="AL76" i="22"/>
  <c r="AZ184" i="10"/>
  <c r="BA70" i="10"/>
  <c r="AN125" i="11"/>
  <c r="AN126" i="11"/>
  <c r="AK199" i="10"/>
  <c r="AL76" i="10"/>
  <c r="Q41" i="31"/>
  <c r="R41" i="31"/>
  <c r="AM109" i="11"/>
  <c r="AM110" i="11"/>
  <c r="AM111" i="11"/>
  <c r="AM112" i="11"/>
  <c r="AN40" i="11"/>
  <c r="AL30" i="10"/>
  <c r="AK84" i="10"/>
  <c r="AK85" i="10"/>
  <c r="AK86" i="10"/>
  <c r="AK87" i="10"/>
  <c r="AL46" i="10"/>
  <c r="AK124" i="10"/>
  <c r="AK125" i="10"/>
  <c r="AK126" i="10"/>
  <c r="AK127" i="10"/>
  <c r="AK89" i="10"/>
  <c r="AK90" i="10"/>
  <c r="AK91" i="10"/>
  <c r="AK92" i="10"/>
  <c r="AL32" i="10"/>
  <c r="AL52" i="10"/>
  <c r="AK139" i="10"/>
  <c r="AK140" i="10"/>
  <c r="AK141" i="10"/>
  <c r="AK142" i="10"/>
  <c r="AL38" i="10"/>
  <c r="AK104" i="10"/>
  <c r="AK105" i="10"/>
  <c r="AK106" i="10"/>
  <c r="AK107" i="10"/>
  <c r="AM44" i="10"/>
  <c r="AL119" i="10"/>
  <c r="AL120" i="10"/>
  <c r="AL121" i="10"/>
  <c r="AL122" i="10"/>
  <c r="AK114" i="10"/>
  <c r="AK115" i="10"/>
  <c r="AK116" i="10"/>
  <c r="AK117" i="10"/>
  <c r="AL42" i="10"/>
  <c r="AL48" i="10"/>
  <c r="AK129" i="10"/>
  <c r="AK130" i="10"/>
  <c r="AK131" i="10"/>
  <c r="AK132" i="10"/>
  <c r="AL34" i="10"/>
  <c r="AK94" i="10"/>
  <c r="AK95" i="10"/>
  <c r="AK96" i="10"/>
  <c r="AK97" i="10"/>
  <c r="AK109" i="10"/>
  <c r="AK110" i="10"/>
  <c r="AK111" i="10"/>
  <c r="AK112" i="10"/>
  <c r="AL40" i="10"/>
  <c r="AK134" i="22"/>
  <c r="AK135" i="22"/>
  <c r="AK136" i="22"/>
  <c r="AK137" i="22"/>
  <c r="AL50" i="22"/>
  <c r="AL139" i="22"/>
  <c r="AL140" i="22"/>
  <c r="AL141" i="22"/>
  <c r="AL142" i="22"/>
  <c r="AM52" i="22"/>
  <c r="AL124" i="22"/>
  <c r="AL125" i="22"/>
  <c r="AL126" i="22"/>
  <c r="AL127" i="22"/>
  <c r="AM46" i="22"/>
  <c r="AL42" i="22"/>
  <c r="AK114" i="22"/>
  <c r="AK115" i="22"/>
  <c r="AK116" i="22"/>
  <c r="AK117" i="22"/>
  <c r="AK124" i="8"/>
  <c r="AK125" i="8"/>
  <c r="AK126" i="8"/>
  <c r="AK127" i="8"/>
  <c r="AL46" i="8"/>
  <c r="AM50" i="8"/>
  <c r="AL134" i="8"/>
  <c r="AL135" i="8"/>
  <c r="AL136" i="8"/>
  <c r="AL137" i="8"/>
  <c r="BN142" i="11"/>
  <c r="BE197" i="10"/>
  <c r="BU172" i="7"/>
  <c r="BC212" i="11"/>
  <c r="BD187" i="7"/>
  <c r="BF182" i="9"/>
  <c r="AN192" i="8"/>
  <c r="BE197" i="22"/>
  <c r="AQ167" i="7"/>
  <c r="BK70" i="9"/>
  <c r="BJ184" i="9"/>
  <c r="AJ191" i="9"/>
  <c r="AJ190" i="9"/>
  <c r="BH172" i="22"/>
  <c r="BC176" i="11"/>
  <c r="BC175" i="11"/>
  <c r="BD182" i="22"/>
  <c r="BK211" i="9"/>
  <c r="BK210" i="9"/>
  <c r="BH152" i="10"/>
  <c r="BX64" i="7"/>
  <c r="BW169" i="7"/>
  <c r="AO191" i="8"/>
  <c r="AO190" i="8"/>
  <c r="BD161" i="22"/>
  <c r="BD160" i="22"/>
  <c r="AL32" i="22"/>
  <c r="AK89" i="22"/>
  <c r="AK90" i="22"/>
  <c r="AK91" i="22"/>
  <c r="AK92" i="22"/>
  <c r="BG194" i="10"/>
  <c r="BH74" i="10"/>
  <c r="BF80" i="11"/>
  <c r="BE209" i="11"/>
  <c r="AU65" i="8"/>
  <c r="AV232" i="8"/>
  <c r="BJ132" i="11"/>
  <c r="BR72" i="10"/>
  <c r="BQ189" i="10"/>
  <c r="AJ200" i="9"/>
  <c r="AJ201" i="9"/>
  <c r="BD175" i="8"/>
  <c r="BD176" i="8"/>
  <c r="BH179" i="9"/>
  <c r="BI68" i="9"/>
  <c r="BG211" i="22"/>
  <c r="BG210" i="22"/>
  <c r="BG74" i="7"/>
  <c r="BF194" i="7"/>
  <c r="AI192" i="9"/>
  <c r="BN38" i="2"/>
  <c r="M45" i="37"/>
  <c r="BO159" i="2"/>
  <c r="L38" i="2"/>
  <c r="M45" i="31"/>
  <c r="M159" i="2"/>
  <c r="AY162" i="8"/>
  <c r="BD68" i="8"/>
  <c r="BC179" i="8"/>
  <c r="BS87" i="22"/>
  <c r="BH74" i="8"/>
  <c r="BG194" i="8"/>
  <c r="BE66" i="11"/>
  <c r="BD174" i="11"/>
  <c r="BM80" i="9"/>
  <c r="BL209" i="9"/>
  <c r="AQ72" i="8"/>
  <c r="AP189" i="8"/>
  <c r="BF60" i="22"/>
  <c r="BE159" i="22"/>
  <c r="BE181" i="22"/>
  <c r="BE180" i="22"/>
  <c r="BF196" i="10"/>
  <c r="BF195" i="10"/>
  <c r="BC65" i="11"/>
  <c r="BD232" i="11"/>
  <c r="BG181" i="9"/>
  <c r="BG180" i="9"/>
  <c r="BH205" i="10"/>
  <c r="BH206" i="10"/>
  <c r="BE195" i="7"/>
  <c r="BE196" i="7"/>
  <c r="AV38" i="2"/>
  <c r="M45" i="35"/>
  <c r="AW159" i="2"/>
  <c r="V159" i="2"/>
  <c r="U38" i="2"/>
  <c r="M45" i="32"/>
  <c r="BJ80" i="7"/>
  <c r="BI209" i="7"/>
  <c r="BG63" i="11"/>
  <c r="BH231" i="11"/>
  <c r="BF195" i="8"/>
  <c r="BF196" i="8"/>
  <c r="BK56" i="10"/>
  <c r="BJ149" i="10"/>
  <c r="AM160" i="2"/>
  <c r="AV160" i="2"/>
  <c r="U160" i="2"/>
  <c r="C160" i="2"/>
  <c r="BE160" i="2"/>
  <c r="AD160" i="2"/>
  <c r="BN160" i="2"/>
  <c r="L160" i="2"/>
  <c r="BA202" i="8"/>
  <c r="BE186" i="7"/>
  <c r="BE185" i="7"/>
  <c r="BH69" i="11"/>
  <c r="BI234" i="11"/>
  <c r="BT85" i="22"/>
  <c r="BT86" i="22"/>
  <c r="BO141" i="11"/>
  <c r="BO140" i="11"/>
  <c r="BK130" i="11"/>
  <c r="BK131" i="11"/>
  <c r="BI170" i="22"/>
  <c r="BI171" i="22"/>
  <c r="BB177" i="11"/>
  <c r="BF179" i="22"/>
  <c r="BG68" i="22"/>
  <c r="BJ212" i="9"/>
  <c r="BA190" i="11"/>
  <c r="BA191" i="11"/>
  <c r="BF212" i="22"/>
  <c r="BG194" i="22"/>
  <c r="BH74" i="22"/>
  <c r="BL180" i="7"/>
  <c r="BL181" i="7"/>
  <c r="BB60" i="8"/>
  <c r="BA159" i="8"/>
  <c r="BC162" i="22"/>
  <c r="AZ192" i="11"/>
  <c r="BI204" i="10"/>
  <c r="BJ78" i="10"/>
  <c r="BE38" i="2"/>
  <c r="BF159" i="2"/>
  <c r="AD38" i="2"/>
  <c r="M45" i="33"/>
  <c r="AE159" i="2"/>
  <c r="BB200" i="8"/>
  <c r="BB201" i="8"/>
  <c r="BK182" i="7"/>
  <c r="BH210" i="7"/>
  <c r="BH211" i="7"/>
  <c r="BC177" i="8"/>
  <c r="BI150" i="10"/>
  <c r="BI151" i="10"/>
  <c r="BI186" i="9"/>
  <c r="BI185" i="9"/>
  <c r="AK189" i="9"/>
  <c r="AL72" i="9"/>
  <c r="A161" i="2"/>
  <c r="BW161" i="2"/>
  <c r="A41" i="2"/>
  <c r="BF184" i="7"/>
  <c r="BG70" i="7"/>
  <c r="BV30" i="22"/>
  <c r="BU84" i="22"/>
  <c r="BQ52" i="11"/>
  <c r="BP139" i="11"/>
  <c r="BV171" i="7"/>
  <c r="BV170" i="7"/>
  <c r="BM48" i="11"/>
  <c r="BL129" i="11"/>
  <c r="BJ169" i="22"/>
  <c r="BK64" i="22"/>
  <c r="BC72" i="11"/>
  <c r="BB189" i="11"/>
  <c r="BD210" i="11"/>
  <c r="BD211" i="11"/>
  <c r="BF195" i="22"/>
  <c r="BF196" i="22"/>
  <c r="BN68" i="7"/>
  <c r="BM179" i="7"/>
  <c r="AZ160" i="8"/>
  <c r="AZ161" i="8"/>
  <c r="BP190" i="10"/>
  <c r="BP191" i="10"/>
  <c r="AL76" i="9"/>
  <c r="AK199" i="9"/>
  <c r="BF66" i="8"/>
  <c r="BE174" i="8"/>
  <c r="BH209" i="22"/>
  <c r="BI80" i="22"/>
  <c r="C38" i="2"/>
  <c r="M46" i="30"/>
  <c r="D159" i="2"/>
  <c r="AM38" i="2"/>
  <c r="M45" i="34"/>
  <c r="AN159" i="2"/>
  <c r="BD76" i="8"/>
  <c r="BC199" i="8"/>
  <c r="BB181" i="8"/>
  <c r="BB180" i="8"/>
  <c r="AS73" i="7"/>
  <c r="AT236" i="7"/>
  <c r="W34" i="30"/>
  <c r="V34" i="30"/>
  <c r="Z34" i="30"/>
  <c r="S33" i="30"/>
  <c r="B15" i="26"/>
  <c r="R32" i="30"/>
  <c r="AL44" i="8"/>
  <c r="AK119" i="8"/>
  <c r="AK120" i="8"/>
  <c r="AK121" i="8"/>
  <c r="AK122" i="8"/>
  <c r="AL42" i="8"/>
  <c r="AK114" i="8"/>
  <c r="AK115" i="8"/>
  <c r="AK116" i="8"/>
  <c r="AK117" i="8"/>
  <c r="AQ34" i="8"/>
  <c r="AP94" i="8"/>
  <c r="AP95" i="8"/>
  <c r="AP96" i="8"/>
  <c r="AP97" i="8"/>
  <c r="AT62" i="7"/>
  <c r="AS164" i="7"/>
  <c r="AL32" i="11"/>
  <c r="AK89" i="11"/>
  <c r="AK90" i="11"/>
  <c r="AK91" i="11"/>
  <c r="AK92" i="11"/>
  <c r="AR166" i="7"/>
  <c r="AR165" i="7"/>
  <c r="AL84" i="9"/>
  <c r="AL85" i="9"/>
  <c r="AL86" i="9"/>
  <c r="AL87" i="9"/>
  <c r="AM30" i="9"/>
  <c r="AK139" i="9"/>
  <c r="AK140" i="9"/>
  <c r="AK141" i="9"/>
  <c r="AK142" i="9"/>
  <c r="AL52" i="9"/>
  <c r="AN30" i="1"/>
  <c r="AM86" i="1"/>
  <c r="AM87" i="1"/>
  <c r="AM88" i="1"/>
  <c r="AM89" i="1"/>
  <c r="AL68" i="1"/>
  <c r="AK181" i="1"/>
  <c r="AK182" i="1"/>
  <c r="AK183" i="1"/>
  <c r="AK184" i="1"/>
  <c r="AL52" i="1"/>
  <c r="AK141" i="1"/>
  <c r="AK142" i="1"/>
  <c r="AK143" i="1"/>
  <c r="AK144" i="1"/>
  <c r="AK171" i="1"/>
  <c r="AK172" i="1"/>
  <c r="AK173" i="1"/>
  <c r="AK174" i="1"/>
  <c r="AL64" i="1"/>
  <c r="AK96" i="1"/>
  <c r="AK97" i="1"/>
  <c r="AK98" i="1"/>
  <c r="AK99" i="1"/>
  <c r="AL34" i="1"/>
  <c r="AN32" i="1"/>
  <c r="AM91" i="1"/>
  <c r="AM92" i="1"/>
  <c r="AM93" i="1"/>
  <c r="AM94" i="1"/>
  <c r="AL48" i="1"/>
  <c r="AK131" i="1"/>
  <c r="AK132" i="1"/>
  <c r="AK133" i="1"/>
  <c r="AK134" i="1"/>
  <c r="AL58" i="1"/>
  <c r="AK156" i="1"/>
  <c r="AK157" i="1"/>
  <c r="AK158" i="1"/>
  <c r="AK159" i="1"/>
  <c r="AK136" i="1"/>
  <c r="AK137" i="1"/>
  <c r="AK138" i="1"/>
  <c r="AK139" i="1"/>
  <c r="AL50" i="1"/>
  <c r="AI39" i="33"/>
  <c r="AG39" i="33"/>
  <c r="AM39" i="33"/>
  <c r="AA39" i="33"/>
  <c r="X39" i="33"/>
  <c r="AL39" i="33"/>
  <c r="AF39" i="33"/>
  <c r="AE39" i="33"/>
  <c r="AC39" i="33"/>
  <c r="AK39" i="33"/>
  <c r="AH39" i="33"/>
  <c r="Z39" i="33"/>
  <c r="AD39" i="33"/>
  <c r="AB39" i="33"/>
  <c r="AJ39" i="33"/>
  <c r="Y39" i="33"/>
  <c r="L39" i="33"/>
  <c r="N39" i="33"/>
  <c r="O39" i="33"/>
  <c r="P39" i="33"/>
  <c r="T39" i="33"/>
  <c r="U37" i="34"/>
  <c r="W37" i="34"/>
  <c r="V37" i="34"/>
  <c r="AL119" i="22"/>
  <c r="AL120" i="22"/>
  <c r="AL121" i="22"/>
  <c r="AL122" i="22"/>
  <c r="AM44" i="22"/>
  <c r="AI146" i="6"/>
  <c r="AL40" i="6"/>
  <c r="AK123" i="6"/>
  <c r="AK124" i="6"/>
  <c r="AK125" i="6"/>
  <c r="AK126" i="6"/>
  <c r="AL128" i="6"/>
  <c r="AL129" i="6"/>
  <c r="AL130" i="6"/>
  <c r="AL131" i="6"/>
  <c r="AM42" i="6"/>
  <c r="AL24" i="6"/>
  <c r="AK83" i="6"/>
  <c r="AK84" i="6"/>
  <c r="AK85" i="6"/>
  <c r="AK86" i="6"/>
  <c r="AL32" i="6"/>
  <c r="AK103" i="6"/>
  <c r="AK104" i="6"/>
  <c r="AK105" i="6"/>
  <c r="AK106" i="6"/>
  <c r="AL22" i="6"/>
  <c r="AK78" i="6"/>
  <c r="AK79" i="6"/>
  <c r="AK80" i="6"/>
  <c r="AK81" i="6"/>
  <c r="AK88" i="6"/>
  <c r="AK89" i="6"/>
  <c r="AK90" i="6"/>
  <c r="AK91" i="6"/>
  <c r="AL26" i="6"/>
  <c r="AI111" i="6"/>
  <c r="AL36" i="6"/>
  <c r="AK113" i="6"/>
  <c r="AK114" i="6"/>
  <c r="AK115" i="6"/>
  <c r="AK116" i="6"/>
  <c r="AM30" i="6"/>
  <c r="AL98" i="6"/>
  <c r="AL99" i="6"/>
  <c r="AL100" i="6"/>
  <c r="AL101" i="6"/>
  <c r="AL34" i="6"/>
  <c r="AK108" i="6"/>
  <c r="AK109" i="6"/>
  <c r="AK110" i="6"/>
  <c r="AK111" i="6"/>
  <c r="AL28" i="6"/>
  <c r="AK93" i="6"/>
  <c r="AK94" i="6"/>
  <c r="AK95" i="6"/>
  <c r="AK96" i="6"/>
  <c r="AK133" i="6"/>
  <c r="AK134" i="6"/>
  <c r="AK135" i="6"/>
  <c r="AK136" i="6"/>
  <c r="AL44" i="6"/>
  <c r="AJ104" i="6"/>
  <c r="AJ105" i="6"/>
  <c r="AL218" i="1"/>
  <c r="AL217" i="1"/>
  <c r="AO80" i="1"/>
  <c r="AN211" i="1"/>
  <c r="AN212" i="1"/>
  <c r="AN213" i="1"/>
  <c r="AN214" i="1"/>
  <c r="AN82" i="1"/>
  <c r="AM216" i="1"/>
  <c r="AK219" i="1"/>
  <c r="AK116" i="1"/>
  <c r="AK117" i="1"/>
  <c r="AK118" i="1"/>
  <c r="AK119" i="1"/>
  <c r="AL42" i="1"/>
  <c r="AI132" i="8"/>
  <c r="AJ112" i="22"/>
  <c r="AJ102" i="8"/>
  <c r="AO104" i="8"/>
  <c r="AO105" i="8"/>
  <c r="AO106" i="8"/>
  <c r="AO107" i="8"/>
  <c r="AP38" i="8"/>
  <c r="AL99" i="8"/>
  <c r="AL100" i="8"/>
  <c r="AL101" i="8"/>
  <c r="AL102" i="8"/>
  <c r="AM36" i="8"/>
  <c r="AK120" i="11"/>
  <c r="AK121" i="11"/>
  <c r="AK122" i="11"/>
  <c r="AL119" i="11"/>
  <c r="AM44" i="11"/>
  <c r="T40" i="32"/>
  <c r="L40" i="32"/>
  <c r="N40" i="32"/>
  <c r="O40" i="32"/>
  <c r="P40" i="32"/>
  <c r="AL40" i="32"/>
  <c r="AM40" i="32"/>
  <c r="AN40" i="32"/>
  <c r="AK40" i="32"/>
  <c r="Y40" i="32"/>
  <c r="Z40" i="32"/>
  <c r="AA40" i="32"/>
  <c r="X40" i="32"/>
  <c r="AC40" i="32"/>
  <c r="AD40" i="32"/>
  <c r="AE40" i="32"/>
  <c r="AB40" i="32"/>
  <c r="AH40" i="32"/>
  <c r="AI40" i="32"/>
  <c r="AJ40" i="32"/>
  <c r="AG40" i="32"/>
  <c r="AF40" i="32"/>
  <c r="AL48" i="22"/>
  <c r="AK129" i="22"/>
  <c r="AK130" i="22"/>
  <c r="AK131" i="22"/>
  <c r="AK132" i="22"/>
  <c r="AM38" i="22"/>
  <c r="AL104" i="22"/>
  <c r="AL34" i="22"/>
  <c r="AK94" i="22"/>
  <c r="AK95" i="22"/>
  <c r="AK96" i="22"/>
  <c r="AK97" i="22"/>
  <c r="AN109" i="7"/>
  <c r="AN110" i="7"/>
  <c r="AN111" i="7"/>
  <c r="AN112" i="7"/>
  <c r="AO40" i="7"/>
  <c r="AJ115" i="7"/>
  <c r="AJ116" i="7"/>
  <c r="AJ117" i="7"/>
  <c r="AK114" i="7"/>
  <c r="AK115" i="7"/>
  <c r="AK116" i="7"/>
  <c r="AK117" i="7"/>
  <c r="AL42" i="7"/>
  <c r="AM38" i="7"/>
  <c r="AL104" i="7"/>
  <c r="AK85" i="7"/>
  <c r="AK86" i="7"/>
  <c r="AK87" i="7"/>
  <c r="AM30" i="7"/>
  <c r="AL84" i="7"/>
  <c r="AL85" i="7"/>
  <c r="AL86" i="7"/>
  <c r="AL87" i="7"/>
  <c r="AK94" i="7"/>
  <c r="AK95" i="7"/>
  <c r="AK96" i="7"/>
  <c r="AK97" i="7"/>
  <c r="AL34" i="7"/>
  <c r="AM36" i="7"/>
  <c r="AL99" i="7"/>
  <c r="AN118" i="6"/>
  <c r="AN119" i="6"/>
  <c r="AN120" i="6"/>
  <c r="AN121" i="6"/>
  <c r="AO38" i="6"/>
  <c r="AK42" i="9"/>
  <c r="AJ114" i="9"/>
  <c r="AJ115" i="9"/>
  <c r="AJ116" i="9"/>
  <c r="AJ117" i="9"/>
  <c r="AN104" i="9"/>
  <c r="AN105" i="9"/>
  <c r="AN106" i="9"/>
  <c r="AN107" i="9"/>
  <c r="AO38" i="9"/>
  <c r="AP54" i="9"/>
  <c r="AO144" i="9"/>
  <c r="AO145" i="9"/>
  <c r="AO146" i="9"/>
  <c r="AO147" i="9"/>
  <c r="AL46" i="9"/>
  <c r="AK124" i="9"/>
  <c r="AK125" i="9"/>
  <c r="AK126" i="9"/>
  <c r="AK127" i="9"/>
  <c r="AL34" i="9"/>
  <c r="AK94" i="9"/>
  <c r="AK95" i="9"/>
  <c r="AK96" i="9"/>
  <c r="AK97" i="9"/>
  <c r="AM50" i="9"/>
  <c r="AL134" i="9"/>
  <c r="AL135" i="9"/>
  <c r="AL136" i="9"/>
  <c r="AL137" i="9"/>
  <c r="AJ150" i="9"/>
  <c r="AJ151" i="9"/>
  <c r="AJ152" i="9"/>
  <c r="AK119" i="9"/>
  <c r="AK120" i="9"/>
  <c r="AK121" i="9"/>
  <c r="AK122" i="9"/>
  <c r="AL44" i="9"/>
  <c r="AM89" i="9"/>
  <c r="AM90" i="9"/>
  <c r="AM91" i="9"/>
  <c r="AM92" i="9"/>
  <c r="AN32" i="9"/>
  <c r="AL56" i="9"/>
  <c r="AK149" i="9"/>
  <c r="AK129" i="9"/>
  <c r="AK130" i="9"/>
  <c r="AK131" i="9"/>
  <c r="AK132" i="9"/>
  <c r="AL48" i="9"/>
  <c r="AL161" i="1"/>
  <c r="AM60" i="1"/>
  <c r="AL177" i="1"/>
  <c r="AL178" i="1"/>
  <c r="AL179" i="1"/>
  <c r="AN66" i="1"/>
  <c r="AM176" i="1"/>
  <c r="AM177" i="1"/>
  <c r="AM178" i="1"/>
  <c r="AM179" i="1"/>
  <c r="AN76" i="1"/>
  <c r="AM201" i="1"/>
  <c r="AM202" i="1"/>
  <c r="AM203" i="1"/>
  <c r="AM204" i="1"/>
  <c r="AJ197" i="1"/>
  <c r="AJ198" i="1"/>
  <c r="AJ199" i="1"/>
  <c r="AJ187" i="1"/>
  <c r="AJ188" i="1"/>
  <c r="AL74" i="1"/>
  <c r="AK196" i="1"/>
  <c r="AQ151" i="1"/>
  <c r="AQ152" i="1"/>
  <c r="AQ153" i="1"/>
  <c r="AQ154" i="1"/>
  <c r="AR56" i="1"/>
  <c r="AM72" i="1"/>
  <c r="AL191" i="1"/>
  <c r="AL192" i="1"/>
  <c r="AL193" i="1"/>
  <c r="AL194" i="1"/>
  <c r="AL78" i="1"/>
  <c r="AK206" i="1"/>
  <c r="AK207" i="1"/>
  <c r="AK208" i="1"/>
  <c r="AK209" i="1"/>
  <c r="AL70" i="1"/>
  <c r="AK186" i="1"/>
  <c r="AK187" i="1"/>
  <c r="AK188" i="1"/>
  <c r="AK189" i="1"/>
  <c r="AP115" i="11"/>
  <c r="AP116" i="11"/>
  <c r="AP117" i="11"/>
  <c r="AQ114" i="11"/>
  <c r="AR42" i="11"/>
  <c r="P37" i="34"/>
  <c r="Q37" i="34"/>
  <c r="T39" i="35"/>
  <c r="L39" i="35"/>
  <c r="N39" i="35"/>
  <c r="O39" i="35"/>
  <c r="P39" i="35"/>
  <c r="AI39" i="35"/>
  <c r="AF39" i="35"/>
  <c r="AG39" i="35"/>
  <c r="AH39" i="35"/>
  <c r="Z39" i="35"/>
  <c r="AM39" i="35"/>
  <c r="AJ39" i="35"/>
  <c r="AK39" i="35"/>
  <c r="AL39" i="35"/>
  <c r="AE39" i="35"/>
  <c r="AB39" i="35"/>
  <c r="AC39" i="35"/>
  <c r="AD39" i="35"/>
  <c r="AA39" i="35"/>
  <c r="X39" i="35"/>
  <c r="Y39" i="35"/>
  <c r="AN36" i="11"/>
  <c r="AM99" i="11"/>
  <c r="AN85" i="11"/>
  <c r="AN86" i="11"/>
  <c r="AN87" i="11"/>
  <c r="AM38" i="11"/>
  <c r="AL104" i="11"/>
  <c r="AL100" i="11"/>
  <c r="AL101" i="11"/>
  <c r="AL102" i="11"/>
  <c r="AK105" i="11"/>
  <c r="AK106" i="11"/>
  <c r="AK107" i="11"/>
  <c r="AJ107" i="11"/>
  <c r="AO84" i="11"/>
  <c r="AP30" i="11"/>
  <c r="AL134" i="10"/>
  <c r="AM50" i="10"/>
  <c r="AK135" i="10"/>
  <c r="AK136" i="10"/>
  <c r="AK137" i="10"/>
  <c r="AK100" i="10"/>
  <c r="AK101" i="10"/>
  <c r="AK102" i="10"/>
  <c r="AL99" i="10"/>
  <c r="AM36" i="10"/>
  <c r="AL58" i="22"/>
  <c r="AK154" i="22"/>
  <c r="AJ155" i="22"/>
  <c r="AJ156" i="22"/>
  <c r="AJ157" i="22"/>
  <c r="AK100" i="22"/>
  <c r="AK101" i="22"/>
  <c r="AK102" i="22"/>
  <c r="AM40" i="22"/>
  <c r="AL109" i="22"/>
  <c r="AM54" i="22"/>
  <c r="AL144" i="22"/>
  <c r="AK110" i="22"/>
  <c r="AK111" i="22"/>
  <c r="AK112" i="22"/>
  <c r="AK145" i="22"/>
  <c r="AK146" i="22"/>
  <c r="AK147" i="22"/>
  <c r="AM36" i="22"/>
  <c r="AL99" i="22"/>
  <c r="AM150" i="8"/>
  <c r="AM151" i="8"/>
  <c r="AM152" i="8"/>
  <c r="AN149" i="8"/>
  <c r="AO56" i="8"/>
  <c r="AL144" i="8"/>
  <c r="AM54" i="8"/>
  <c r="AK145" i="8"/>
  <c r="AK146" i="8"/>
  <c r="AK147" i="8"/>
  <c r="AK89" i="8"/>
  <c r="AL32" i="8"/>
  <c r="AJ140" i="8"/>
  <c r="AJ141" i="8"/>
  <c r="AJ142" i="8"/>
  <c r="AJ130" i="8"/>
  <c r="AJ131" i="8"/>
  <c r="AJ132" i="8"/>
  <c r="AK129" i="8"/>
  <c r="AL48" i="8"/>
  <c r="AI85" i="8"/>
  <c r="AI86" i="8"/>
  <c r="AI87" i="8"/>
  <c r="AJ84" i="8"/>
  <c r="AK30" i="8"/>
  <c r="AJ110" i="8"/>
  <c r="AJ111" i="8"/>
  <c r="AJ90" i="8"/>
  <c r="AJ91" i="8"/>
  <c r="AJ92" i="8"/>
  <c r="AK139" i="8"/>
  <c r="AL52" i="8"/>
  <c r="AL40" i="8"/>
  <c r="AK109" i="8"/>
  <c r="AJ145" i="7"/>
  <c r="AJ146" i="7"/>
  <c r="AJ147" i="7"/>
  <c r="AL54" i="7"/>
  <c r="AK144" i="7"/>
  <c r="AK139" i="7"/>
  <c r="AL52" i="7"/>
  <c r="AJ140" i="7"/>
  <c r="AJ141" i="7"/>
  <c r="AK134" i="7"/>
  <c r="AL50" i="7"/>
  <c r="AJ135" i="7"/>
  <c r="AJ136" i="7"/>
  <c r="AM124" i="7"/>
  <c r="AN46" i="7"/>
  <c r="AN119" i="7"/>
  <c r="AO44" i="7"/>
  <c r="AL125" i="7"/>
  <c r="AL126" i="7"/>
  <c r="AL127" i="7"/>
  <c r="AM120" i="7"/>
  <c r="AM121" i="7"/>
  <c r="AM122" i="7"/>
  <c r="AQ90" i="7"/>
  <c r="AQ91" i="7"/>
  <c r="AQ92" i="7"/>
  <c r="AS32" i="7"/>
  <c r="AR89" i="7"/>
  <c r="AJ164" i="6"/>
  <c r="AJ165" i="6"/>
  <c r="AJ166" i="6"/>
  <c r="AK163" i="6"/>
  <c r="AL56" i="6"/>
  <c r="AL54" i="6"/>
  <c r="AK158" i="6"/>
  <c r="AJ159" i="6"/>
  <c r="AJ160" i="6"/>
  <c r="AJ161" i="6"/>
  <c r="AJ154" i="6"/>
  <c r="AJ155" i="6"/>
  <c r="AJ156" i="6"/>
  <c r="AK153" i="6"/>
  <c r="AL52" i="6"/>
  <c r="AK148" i="6"/>
  <c r="AL50" i="6"/>
  <c r="AJ149" i="6"/>
  <c r="AJ150" i="6"/>
  <c r="AJ151" i="6"/>
  <c r="AK143" i="6"/>
  <c r="AL48" i="6"/>
  <c r="AJ144" i="6"/>
  <c r="AJ145" i="6"/>
  <c r="AJ146" i="6"/>
  <c r="AK160" i="9"/>
  <c r="AK161" i="9"/>
  <c r="AK162" i="9"/>
  <c r="AM60" i="9"/>
  <c r="AL159" i="9"/>
  <c r="AL58" i="9"/>
  <c r="AK154" i="9"/>
  <c r="AJ155" i="9"/>
  <c r="AJ156" i="9"/>
  <c r="AJ157" i="9"/>
  <c r="AK100" i="9"/>
  <c r="AK101" i="9"/>
  <c r="AK102" i="9"/>
  <c r="AM36" i="9"/>
  <c r="AL99" i="9"/>
  <c r="AK110" i="9"/>
  <c r="AK111" i="9"/>
  <c r="AK112" i="9"/>
  <c r="AL109" i="9"/>
  <c r="AM40" i="9"/>
  <c r="AK166" i="1"/>
  <c r="AL62" i="1"/>
  <c r="AJ167" i="1"/>
  <c r="AJ168" i="1"/>
  <c r="AJ169" i="1"/>
  <c r="AJ147" i="1"/>
  <c r="AJ148" i="1"/>
  <c r="AJ149" i="1"/>
  <c r="AL54" i="1"/>
  <c r="AK146" i="1"/>
  <c r="AL46" i="1"/>
  <c r="AK126" i="1"/>
  <c r="AJ127" i="1"/>
  <c r="AJ128" i="1"/>
  <c r="AJ129" i="1"/>
  <c r="AL122" i="1"/>
  <c r="AL123" i="1"/>
  <c r="AL124" i="1"/>
  <c r="AM121" i="1"/>
  <c r="AN44" i="1"/>
  <c r="AL112" i="1"/>
  <c r="AL113" i="1"/>
  <c r="AL114" i="1"/>
  <c r="AN40" i="1"/>
  <c r="AM111" i="1"/>
  <c r="AK106" i="1"/>
  <c r="AL38" i="1"/>
  <c r="AN36" i="1"/>
  <c r="AM101" i="1"/>
  <c r="AL102" i="1"/>
  <c r="AL103" i="1"/>
  <c r="AL104" i="1"/>
  <c r="AJ107" i="1"/>
  <c r="AJ108" i="1"/>
  <c r="W40" i="37"/>
  <c r="V40" i="37"/>
  <c r="K40" i="37"/>
  <c r="AM48" i="7"/>
  <c r="AL129" i="7"/>
  <c r="AL130" i="7"/>
  <c r="AL131" i="7"/>
  <c r="AL132" i="7"/>
  <c r="BQ197" i="9"/>
  <c r="W39" i="36"/>
  <c r="V39" i="36"/>
  <c r="K39" i="36"/>
  <c r="T39" i="36"/>
  <c r="W42" i="31"/>
  <c r="V42" i="31"/>
  <c r="BT74" i="9"/>
  <c r="BS194" i="9"/>
  <c r="AS59" i="11"/>
  <c r="AT229" i="11"/>
  <c r="BR195" i="9"/>
  <c r="BR196" i="9"/>
  <c r="BR197" i="9"/>
  <c r="BW40" i="2"/>
  <c r="M47" i="41"/>
  <c r="BX161" i="2"/>
  <c r="M45" i="36"/>
  <c r="CF38" i="2"/>
  <c r="AE34" i="41"/>
  <c r="AB34" i="41"/>
  <c r="AC34" i="41"/>
  <c r="K34" i="41"/>
  <c r="T34" i="41"/>
  <c r="AA34" i="41"/>
  <c r="Y34" i="41"/>
  <c r="X34" i="41"/>
  <c r="Z34" i="41"/>
  <c r="AG34" i="41"/>
  <c r="AH34" i="41"/>
  <c r="AD34" i="41"/>
  <c r="P34" i="41"/>
  <c r="Q33" i="41"/>
  <c r="BD147" i="10"/>
  <c r="AQ207" i="7"/>
  <c r="BK172" i="10"/>
  <c r="AW157" i="8"/>
  <c r="AU177" i="10"/>
  <c r="BG177" i="22"/>
  <c r="AJ202" i="22"/>
  <c r="AJ162" i="10"/>
  <c r="AJ177" i="7"/>
  <c r="AM157" i="7"/>
  <c r="AK152" i="11"/>
  <c r="AJ137" i="11"/>
  <c r="AK202" i="7"/>
  <c r="AJ202" i="10"/>
  <c r="BJ212" i="10"/>
  <c r="AJ187" i="8"/>
  <c r="AJ202" i="11"/>
  <c r="AV167" i="10"/>
  <c r="BK177" i="9"/>
  <c r="BG280" i="40"/>
  <c r="BG281" i="40"/>
  <c r="BG282" i="40"/>
  <c r="BB264" i="40"/>
  <c r="BC100" i="40"/>
  <c r="BB244" i="40"/>
  <c r="BC92" i="40"/>
  <c r="BB249" i="40"/>
  <c r="BC94" i="40"/>
  <c r="BB269" i="40"/>
  <c r="BC102" i="40"/>
  <c r="BA265" i="40"/>
  <c r="BA266" i="40"/>
  <c r="BA267" i="40"/>
  <c r="BH255" i="40"/>
  <c r="BH256" i="40"/>
  <c r="BH257" i="40"/>
  <c r="BB284" i="40"/>
  <c r="BB285" i="40"/>
  <c r="BB286" i="40"/>
  <c r="BB287" i="40"/>
  <c r="BC108" i="40"/>
  <c r="BB289" i="40"/>
  <c r="BC110" i="40"/>
  <c r="BI104" i="40"/>
  <c r="BI274" i="40"/>
  <c r="BI275" i="40"/>
  <c r="BI276" i="40"/>
  <c r="BI277" i="40"/>
  <c r="BH106" i="40"/>
  <c r="BH279" i="40"/>
  <c r="BI96" i="40"/>
  <c r="BI254" i="40"/>
  <c r="BI255" i="40"/>
  <c r="BI256" i="40"/>
  <c r="BI257" i="40"/>
  <c r="BJ98" i="40"/>
  <c r="BJ259" i="40"/>
  <c r="BJ260" i="40"/>
  <c r="BJ261" i="40"/>
  <c r="BJ262" i="40"/>
  <c r="BE90" i="40"/>
  <c r="BD40" i="40"/>
  <c r="BC114" i="40"/>
  <c r="BD76" i="40"/>
  <c r="BC204" i="40"/>
  <c r="BC56" i="40"/>
  <c r="BB154" i="40"/>
  <c r="BD80" i="40"/>
  <c r="BC214" i="40"/>
  <c r="BA150" i="40"/>
  <c r="BA151" i="40"/>
  <c r="BA152" i="40"/>
  <c r="BB180" i="40"/>
  <c r="BB181" i="40"/>
  <c r="BB182" i="40"/>
  <c r="BB197" i="40"/>
  <c r="BA167" i="40"/>
  <c r="BD88" i="40"/>
  <c r="BC234" i="40"/>
  <c r="BE72" i="40"/>
  <c r="BD194" i="40"/>
  <c r="BB165" i="40"/>
  <c r="BB166" i="40"/>
  <c r="BB167" i="40"/>
  <c r="BA237" i="40"/>
  <c r="BA240" i="40"/>
  <c r="BA241" i="40"/>
  <c r="BC44" i="40"/>
  <c r="BB124" i="40"/>
  <c r="BA227" i="40"/>
  <c r="BA182" i="40"/>
  <c r="BC46" i="40"/>
  <c r="BB129" i="40"/>
  <c r="BA230" i="40"/>
  <c r="BA231" i="40"/>
  <c r="BA232" i="40"/>
  <c r="BB115" i="40"/>
  <c r="BB116" i="40"/>
  <c r="BB117" i="40"/>
  <c r="BA155" i="40"/>
  <c r="BA156" i="40"/>
  <c r="BA157" i="40"/>
  <c r="BE68" i="40"/>
  <c r="BD184" i="40"/>
  <c r="BC175" i="40"/>
  <c r="BC176" i="40"/>
  <c r="BA135" i="40"/>
  <c r="BA136" i="40"/>
  <c r="BA137" i="40"/>
  <c r="BB239" i="40"/>
  <c r="BA145" i="40"/>
  <c r="BA146" i="40"/>
  <c r="BA147" i="40"/>
  <c r="BC86" i="40"/>
  <c r="BB229" i="40"/>
  <c r="BA120" i="40"/>
  <c r="BA121" i="40"/>
  <c r="BA122" i="40"/>
  <c r="BB159" i="40"/>
  <c r="BC58" i="40"/>
  <c r="BC74" i="40"/>
  <c r="BB199" i="40"/>
  <c r="BB140" i="40"/>
  <c r="BB141" i="40"/>
  <c r="BB142" i="40"/>
  <c r="BB235" i="40"/>
  <c r="BB236" i="40"/>
  <c r="BA217" i="40"/>
  <c r="AZ202" i="40"/>
  <c r="BD60" i="40"/>
  <c r="BC164" i="40"/>
  <c r="AZ192" i="40"/>
  <c r="BA207" i="40"/>
  <c r="BA130" i="40"/>
  <c r="BA131" i="40"/>
  <c r="BA132" i="40"/>
  <c r="BC52" i="40"/>
  <c r="BB144" i="40"/>
  <c r="BA190" i="40"/>
  <c r="BA191" i="40"/>
  <c r="BA170" i="40"/>
  <c r="BA171" i="40"/>
  <c r="BA172" i="40"/>
  <c r="BC78" i="40"/>
  <c r="BB209" i="40"/>
  <c r="AZ162" i="40"/>
  <c r="BA220" i="40"/>
  <c r="BA221" i="40"/>
  <c r="BA222" i="40"/>
  <c r="BA160" i="40"/>
  <c r="BA161" i="40"/>
  <c r="BA162" i="40"/>
  <c r="BD66" i="40"/>
  <c r="BC179" i="40"/>
  <c r="BA200" i="40"/>
  <c r="BA201" i="40"/>
  <c r="BA202" i="40"/>
  <c r="BB225" i="40"/>
  <c r="BB226" i="40"/>
  <c r="BA210" i="40"/>
  <c r="BA211" i="40"/>
  <c r="BA212" i="40"/>
  <c r="BE64" i="40"/>
  <c r="BD174" i="40"/>
  <c r="BC48" i="40"/>
  <c r="BB134" i="40"/>
  <c r="BD50" i="40"/>
  <c r="BC139" i="40"/>
  <c r="BC195" i="40"/>
  <c r="BC196" i="40"/>
  <c r="BC197" i="40"/>
  <c r="BA125" i="40"/>
  <c r="BA126" i="40"/>
  <c r="BA127" i="40"/>
  <c r="BC70" i="40"/>
  <c r="BB189" i="40"/>
  <c r="BD84" i="40"/>
  <c r="BC224" i="40"/>
  <c r="BB205" i="40"/>
  <c r="BB206" i="40"/>
  <c r="BC62" i="40"/>
  <c r="BB169" i="40"/>
  <c r="BC185" i="40"/>
  <c r="BC186" i="40"/>
  <c r="BC187" i="40"/>
  <c r="BC82" i="40"/>
  <c r="BB219" i="40"/>
  <c r="BB215" i="40"/>
  <c r="BB216" i="40"/>
  <c r="BB217" i="40"/>
  <c r="AZ232" i="40"/>
  <c r="BC54" i="40"/>
  <c r="BB149" i="40"/>
  <c r="AZ172" i="40"/>
  <c r="BC42" i="40"/>
  <c r="BB119" i="40"/>
  <c r="AO207" i="11"/>
  <c r="AG34" i="30"/>
  <c r="AL151" i="11"/>
  <c r="AL150" i="11"/>
  <c r="AN127" i="11"/>
  <c r="AL199" i="22"/>
  <c r="AM76" i="22"/>
  <c r="AW174" i="10"/>
  <c r="AX66" i="10"/>
  <c r="AM46" i="6"/>
  <c r="AL138" i="6"/>
  <c r="AL139" i="6"/>
  <c r="AL140" i="6"/>
  <c r="AL141" i="6"/>
  <c r="AZ197" i="11"/>
  <c r="AK136" i="11"/>
  <c r="AK135" i="11"/>
  <c r="BM156" i="10"/>
  <c r="BM155" i="10"/>
  <c r="AS204" i="7"/>
  <c r="AT78" i="7"/>
  <c r="AT207" i="22"/>
  <c r="AQ187" i="22"/>
  <c r="AK200" i="11"/>
  <c r="AK201" i="11"/>
  <c r="AN76" i="7"/>
  <c r="AM199" i="7"/>
  <c r="AW165" i="10"/>
  <c r="AW166" i="10"/>
  <c r="AS207" i="9"/>
  <c r="BA195" i="11"/>
  <c r="BA196" i="11"/>
  <c r="AP167" i="8"/>
  <c r="AP206" i="11"/>
  <c r="AP205" i="11"/>
  <c r="BE146" i="10"/>
  <c r="BE145" i="10"/>
  <c r="AK185" i="8"/>
  <c r="AK186" i="8"/>
  <c r="AY187" i="10"/>
  <c r="BI174" i="22"/>
  <c r="BJ66" i="22"/>
  <c r="AS184" i="22"/>
  <c r="AT70" i="22"/>
  <c r="AK175" i="7"/>
  <c r="AK176" i="7"/>
  <c r="AK205" i="8"/>
  <c r="AK206" i="8"/>
  <c r="BK211" i="10"/>
  <c r="BK210" i="10"/>
  <c r="AT192" i="22"/>
  <c r="AT205" i="9"/>
  <c r="AT206" i="9"/>
  <c r="BB81" i="8"/>
  <c r="BC240" i="8"/>
  <c r="AM50" i="11"/>
  <c r="AL134" i="11"/>
  <c r="BN154" i="10"/>
  <c r="BO58" i="10"/>
  <c r="AM76" i="11"/>
  <c r="AL199" i="11"/>
  <c r="AM76" i="10"/>
  <c r="AL199" i="10"/>
  <c r="BA184" i="10"/>
  <c r="BB70" i="10"/>
  <c r="AN56" i="11"/>
  <c r="AM149" i="11"/>
  <c r="AU204" i="9"/>
  <c r="AV78" i="9"/>
  <c r="AS62" i="8"/>
  <c r="AR164" i="8"/>
  <c r="BF230" i="11"/>
  <c r="BE61" i="11"/>
  <c r="AP160" i="7"/>
  <c r="AP161" i="7"/>
  <c r="AL159" i="10"/>
  <c r="AM60" i="10"/>
  <c r="AO154" i="7"/>
  <c r="AP58" i="7"/>
  <c r="BN66" i="9"/>
  <c r="BM174" i="9"/>
  <c r="AL164" i="9"/>
  <c r="AM62" i="9"/>
  <c r="AU62" i="22"/>
  <c r="AT164" i="22"/>
  <c r="AK181" i="10"/>
  <c r="AK180" i="10"/>
  <c r="AO125" i="11"/>
  <c r="AO126" i="11"/>
  <c r="AS172" i="9"/>
  <c r="AZ58" i="8"/>
  <c r="AY154" i="8"/>
  <c r="AU190" i="22"/>
  <c r="AU191" i="22"/>
  <c r="BL171" i="10"/>
  <c r="BL170" i="10"/>
  <c r="AU205" i="22"/>
  <c r="AU206" i="22"/>
  <c r="AV64" i="9"/>
  <c r="AU169" i="9"/>
  <c r="AK200" i="22"/>
  <c r="AK201" i="22"/>
  <c r="AQ166" i="8"/>
  <c r="AQ165" i="8"/>
  <c r="AY62" i="10"/>
  <c r="AX164" i="10"/>
  <c r="BC74" i="11"/>
  <c r="BB194" i="11"/>
  <c r="AR78" i="11"/>
  <c r="AQ204" i="11"/>
  <c r="AM70" i="8"/>
  <c r="AL184" i="8"/>
  <c r="BH176" i="22"/>
  <c r="BH175" i="22"/>
  <c r="AR186" i="22"/>
  <c r="AR185" i="22"/>
  <c r="AM66" i="7"/>
  <c r="AL174" i="7"/>
  <c r="AM78" i="8"/>
  <c r="AL204" i="8"/>
  <c r="AV204" i="22"/>
  <c r="AW78" i="22"/>
  <c r="BL209" i="10"/>
  <c r="BM80" i="10"/>
  <c r="BG212" i="22"/>
  <c r="AK200" i="10"/>
  <c r="AK201" i="10"/>
  <c r="AZ185" i="10"/>
  <c r="AZ186" i="10"/>
  <c r="AV175" i="10"/>
  <c r="AV176" i="10"/>
  <c r="AJ167" i="9"/>
  <c r="AJ207" i="8"/>
  <c r="AR205" i="7"/>
  <c r="AR206" i="7"/>
  <c r="AJ182" i="10"/>
  <c r="AR60" i="7"/>
  <c r="AQ159" i="7"/>
  <c r="AR167" i="22"/>
  <c r="AK161" i="10"/>
  <c r="AK160" i="10"/>
  <c r="AL200" i="7"/>
  <c r="AL201" i="7"/>
  <c r="AN155" i="7"/>
  <c r="AN156" i="7"/>
  <c r="BL176" i="9"/>
  <c r="BL175" i="9"/>
  <c r="AK165" i="9"/>
  <c r="AK166" i="9"/>
  <c r="AS165" i="22"/>
  <c r="AS166" i="22"/>
  <c r="BL157" i="10"/>
  <c r="BG54" i="10"/>
  <c r="BF144" i="10"/>
  <c r="AM68" i="10"/>
  <c r="AL179" i="10"/>
  <c r="AQ46" i="11"/>
  <c r="AP124" i="11"/>
  <c r="AO162" i="7"/>
  <c r="AX155" i="8"/>
  <c r="AX156" i="8"/>
  <c r="AW72" i="22"/>
  <c r="AV189" i="22"/>
  <c r="BM169" i="10"/>
  <c r="BN64" i="10"/>
  <c r="AL149" i="22"/>
  <c r="AL150" i="22"/>
  <c r="AL151" i="22"/>
  <c r="AL152" i="22"/>
  <c r="AM56" i="22"/>
  <c r="AT170" i="9"/>
  <c r="AT171" i="9"/>
  <c r="AY55" i="11"/>
  <c r="AZ227" i="11"/>
  <c r="Q39" i="35"/>
  <c r="R38" i="35"/>
  <c r="K37" i="34"/>
  <c r="Q39" i="33"/>
  <c r="Q40" i="32"/>
  <c r="R40" i="32"/>
  <c r="G24" i="26"/>
  <c r="S41" i="31"/>
  <c r="AP42" i="31"/>
  <c r="AK42" i="31"/>
  <c r="AJ42" i="31"/>
  <c r="Y42" i="31"/>
  <c r="Z42" i="31"/>
  <c r="AB42" i="31"/>
  <c r="AO42" i="31"/>
  <c r="AF42" i="31"/>
  <c r="AC42" i="31"/>
  <c r="AM42" i="31"/>
  <c r="X42" i="31"/>
  <c r="AI42" i="31"/>
  <c r="AG42" i="31"/>
  <c r="AH42" i="31"/>
  <c r="AN42" i="31"/>
  <c r="AE42" i="31"/>
  <c r="AL42" i="31"/>
  <c r="AD42" i="31"/>
  <c r="AA42" i="31"/>
  <c r="L42" i="31"/>
  <c r="N42" i="31"/>
  <c r="O42" i="31"/>
  <c r="P42" i="31"/>
  <c r="T42" i="31"/>
  <c r="Q34" i="30"/>
  <c r="R34" i="30"/>
  <c r="AB34" i="30"/>
  <c r="AO40" i="11"/>
  <c r="AN109" i="11"/>
  <c r="AN110" i="11"/>
  <c r="AN111" i="11"/>
  <c r="AN112" i="11"/>
  <c r="AM40" i="10"/>
  <c r="AL109" i="10"/>
  <c r="AL110" i="10"/>
  <c r="AL111" i="10"/>
  <c r="AL112" i="10"/>
  <c r="AL129" i="10"/>
  <c r="AL130" i="10"/>
  <c r="AL131" i="10"/>
  <c r="AL132" i="10"/>
  <c r="AM48" i="10"/>
  <c r="AN44" i="10"/>
  <c r="AM119" i="10"/>
  <c r="AM120" i="10"/>
  <c r="AM121" i="10"/>
  <c r="AM122" i="10"/>
  <c r="AL139" i="10"/>
  <c r="AL140" i="10"/>
  <c r="AL141" i="10"/>
  <c r="AL142" i="10"/>
  <c r="AM52" i="10"/>
  <c r="AL124" i="10"/>
  <c r="AL125" i="10"/>
  <c r="AL126" i="10"/>
  <c r="AL127" i="10"/>
  <c r="AM46" i="10"/>
  <c r="AL114" i="10"/>
  <c r="AL115" i="10"/>
  <c r="AL116" i="10"/>
  <c r="AL117" i="10"/>
  <c r="AM42" i="10"/>
  <c r="AL89" i="10"/>
  <c r="AL90" i="10"/>
  <c r="AL91" i="10"/>
  <c r="AL92" i="10"/>
  <c r="AM32" i="10"/>
  <c r="AM34" i="10"/>
  <c r="AL94" i="10"/>
  <c r="AL95" i="10"/>
  <c r="AL96" i="10"/>
  <c r="AL97" i="10"/>
  <c r="AL104" i="10"/>
  <c r="AL105" i="10"/>
  <c r="AL106" i="10"/>
  <c r="AL107" i="10"/>
  <c r="AM38" i="10"/>
  <c r="AM30" i="10"/>
  <c r="AL84" i="10"/>
  <c r="AL85" i="10"/>
  <c r="AL86" i="10"/>
  <c r="AL87" i="10"/>
  <c r="AM124" i="22"/>
  <c r="AM125" i="22"/>
  <c r="AM126" i="22"/>
  <c r="AM127" i="22"/>
  <c r="AN46" i="22"/>
  <c r="AM139" i="22"/>
  <c r="AM140" i="22"/>
  <c r="AM141" i="22"/>
  <c r="AM142" i="22"/>
  <c r="AN52" i="22"/>
  <c r="AL134" i="22"/>
  <c r="AL135" i="22"/>
  <c r="AL136" i="22"/>
  <c r="AL137" i="22"/>
  <c r="AM50" i="22"/>
  <c r="AL114" i="22"/>
  <c r="AL115" i="22"/>
  <c r="AL116" i="22"/>
  <c r="AL117" i="22"/>
  <c r="AM42" i="22"/>
  <c r="AN50" i="8"/>
  <c r="AM134" i="8"/>
  <c r="AM135" i="8"/>
  <c r="AM136" i="8"/>
  <c r="AM137" i="8"/>
  <c r="AL124" i="8"/>
  <c r="AL125" i="8"/>
  <c r="AL126" i="8"/>
  <c r="AL127" i="8"/>
  <c r="AM46" i="8"/>
  <c r="BH212" i="7"/>
  <c r="BB202" i="8"/>
  <c r="AZ162" i="8"/>
  <c r="BV172" i="7"/>
  <c r="BI187" i="9"/>
  <c r="BL182" i="7"/>
  <c r="BE182" i="22"/>
  <c r="BI172" i="22"/>
  <c r="BF197" i="10"/>
  <c r="BH207" i="10"/>
  <c r="BD177" i="8"/>
  <c r="AO192" i="8"/>
  <c r="BB182" i="8"/>
  <c r="BC200" i="8"/>
  <c r="BC201" i="8"/>
  <c r="AK200" i="9"/>
  <c r="AK201" i="9"/>
  <c r="BO68" i="7"/>
  <c r="BN179" i="7"/>
  <c r="BB190" i="11"/>
  <c r="BB191" i="11"/>
  <c r="BP141" i="11"/>
  <c r="BP140" i="11"/>
  <c r="AM72" i="9"/>
  <c r="AL189" i="9"/>
  <c r="BJ204" i="10"/>
  <c r="BK78" i="10"/>
  <c r="BF180" i="22"/>
  <c r="BF181" i="22"/>
  <c r="BO142" i="11"/>
  <c r="BG69" i="11"/>
  <c r="BH234" i="11"/>
  <c r="AD39" i="2"/>
  <c r="M46" i="33"/>
  <c r="AE160" i="2"/>
  <c r="AV39" i="2"/>
  <c r="M46" i="35"/>
  <c r="AW160" i="2"/>
  <c r="BJ151" i="10"/>
  <c r="BJ150" i="10"/>
  <c r="BI211" i="7"/>
  <c r="BI210" i="7"/>
  <c r="BF159" i="22"/>
  <c r="BG60" i="22"/>
  <c r="AP190" i="8"/>
  <c r="AP191" i="8"/>
  <c r="BF196" i="7"/>
  <c r="BF195" i="7"/>
  <c r="BJ185" i="9"/>
  <c r="BJ186" i="9"/>
  <c r="U40" i="33"/>
  <c r="W40" i="33"/>
  <c r="V40" i="33"/>
  <c r="AA34" i="30"/>
  <c r="AR73" i="7"/>
  <c r="AS236" i="7"/>
  <c r="BE76" i="8"/>
  <c r="BD199" i="8"/>
  <c r="AM76" i="9"/>
  <c r="AL199" i="9"/>
  <c r="BF197" i="22"/>
  <c r="BD212" i="11"/>
  <c r="BD72" i="11"/>
  <c r="BC189" i="11"/>
  <c r="BL64" i="22"/>
  <c r="BK169" i="22"/>
  <c r="BL131" i="11"/>
  <c r="BL130" i="11"/>
  <c r="BR52" i="11"/>
  <c r="BQ139" i="11"/>
  <c r="AK191" i="9"/>
  <c r="AK190" i="9"/>
  <c r="BI152" i="10"/>
  <c r="BI205" i="10"/>
  <c r="BI206" i="10"/>
  <c r="BA160" i="8"/>
  <c r="BA161" i="8"/>
  <c r="BH194" i="22"/>
  <c r="BI74" i="22"/>
  <c r="BK132" i="11"/>
  <c r="BT87" i="22"/>
  <c r="BE187" i="7"/>
  <c r="BE39" i="2"/>
  <c r="BF160" i="2"/>
  <c r="AM39" i="2"/>
  <c r="M46" i="34"/>
  <c r="AN160" i="2"/>
  <c r="BL56" i="10"/>
  <c r="BK149" i="10"/>
  <c r="BK80" i="7"/>
  <c r="BJ209" i="7"/>
  <c r="BE197" i="7"/>
  <c r="BG182" i="9"/>
  <c r="AR72" i="8"/>
  <c r="AQ189" i="8"/>
  <c r="BH74" i="7"/>
  <c r="BG194" i="7"/>
  <c r="BI179" i="9"/>
  <c r="BJ68" i="9"/>
  <c r="BQ190" i="10"/>
  <c r="BQ191" i="10"/>
  <c r="BE210" i="11"/>
  <c r="BE211" i="11"/>
  <c r="AL89" i="22"/>
  <c r="AL90" i="22"/>
  <c r="AL91" i="22"/>
  <c r="AL92" i="22"/>
  <c r="AM32" i="22"/>
  <c r="BD162" i="22"/>
  <c r="BK212" i="9"/>
  <c r="BK184" i="9"/>
  <c r="BL70" i="9"/>
  <c r="T34" i="30"/>
  <c r="BI209" i="22"/>
  <c r="BJ80" i="22"/>
  <c r="BE176" i="8"/>
  <c r="BE175" i="8"/>
  <c r="BP192" i="10"/>
  <c r="BJ171" i="22"/>
  <c r="BJ170" i="22"/>
  <c r="BN48" i="11"/>
  <c r="BM129" i="11"/>
  <c r="BU85" i="22"/>
  <c r="BU86" i="22"/>
  <c r="BG184" i="7"/>
  <c r="BH70" i="7"/>
  <c r="A162" i="2"/>
  <c r="BW162" i="2"/>
  <c r="A42" i="2"/>
  <c r="BC60" i="8"/>
  <c r="BB159" i="8"/>
  <c r="BG195" i="22"/>
  <c r="BG196" i="22"/>
  <c r="BA192" i="11"/>
  <c r="L39" i="2"/>
  <c r="M46" i="31"/>
  <c r="M160" i="2"/>
  <c r="C39" i="2"/>
  <c r="M47" i="30"/>
  <c r="D160" i="2"/>
  <c r="BF197" i="8"/>
  <c r="BL211" i="9"/>
  <c r="BL210" i="9"/>
  <c r="BD175" i="11"/>
  <c r="BD176" i="11"/>
  <c r="BG196" i="8"/>
  <c r="BG195" i="8"/>
  <c r="BC180" i="8"/>
  <c r="BC181" i="8"/>
  <c r="BH181" i="9"/>
  <c r="BH180" i="9"/>
  <c r="AJ202" i="9"/>
  <c r="BR189" i="10"/>
  <c r="BS72" i="10"/>
  <c r="BG80" i="11"/>
  <c r="BF209" i="11"/>
  <c r="BH194" i="10"/>
  <c r="BI74" i="10"/>
  <c r="BW170" i="7"/>
  <c r="BW171" i="7"/>
  <c r="BC177" i="11"/>
  <c r="AJ192" i="9"/>
  <c r="BH210" i="22"/>
  <c r="BH211" i="22"/>
  <c r="BG66" i="8"/>
  <c r="BF174" i="8"/>
  <c r="BM180" i="7"/>
  <c r="BM181" i="7"/>
  <c r="BV84" i="22"/>
  <c r="BW30" i="22"/>
  <c r="BF186" i="7"/>
  <c r="BF185" i="7"/>
  <c r="AM161" i="2"/>
  <c r="AD161" i="2"/>
  <c r="BN161" i="2"/>
  <c r="BE161" i="2"/>
  <c r="AV161" i="2"/>
  <c r="U161" i="2"/>
  <c r="C161" i="2"/>
  <c r="L161" i="2"/>
  <c r="BH68" i="22"/>
  <c r="BG179" i="22"/>
  <c r="BO160" i="2"/>
  <c r="BN39" i="2"/>
  <c r="M46" i="37"/>
  <c r="U39" i="2"/>
  <c r="M46" i="32"/>
  <c r="V160" i="2"/>
  <c r="BF63" i="11"/>
  <c r="BG231" i="11"/>
  <c r="BB65" i="11"/>
  <c r="BC232" i="11"/>
  <c r="BE161" i="22"/>
  <c r="BE160" i="22"/>
  <c r="BM209" i="9"/>
  <c r="BN80" i="9"/>
  <c r="BF66" i="11"/>
  <c r="BE174" i="11"/>
  <c r="BH194" i="8"/>
  <c r="BI74" i="8"/>
  <c r="BD179" i="8"/>
  <c r="BE68" i="8"/>
  <c r="AT65" i="8"/>
  <c r="AU232" i="8"/>
  <c r="BG195" i="10"/>
  <c r="BG196" i="10"/>
  <c r="BX169" i="7"/>
  <c r="BY64" i="7"/>
  <c r="AE34" i="30"/>
  <c r="AD34" i="30"/>
  <c r="AC34" i="30"/>
  <c r="Y34" i="30"/>
  <c r="X34" i="30"/>
  <c r="AF34" i="30"/>
  <c r="B14" i="26"/>
  <c r="S32" i="30"/>
  <c r="R31" i="30"/>
  <c r="AR34" i="8"/>
  <c r="AQ94" i="8"/>
  <c r="AQ95" i="8"/>
  <c r="AQ96" i="8"/>
  <c r="AQ97" i="8"/>
  <c r="AM42" i="8"/>
  <c r="AL114" i="8"/>
  <c r="AL115" i="8"/>
  <c r="AL116" i="8"/>
  <c r="AL117" i="8"/>
  <c r="AM44" i="8"/>
  <c r="AL119" i="8"/>
  <c r="AL120" i="8"/>
  <c r="AL121" i="8"/>
  <c r="AL122" i="8"/>
  <c r="AR167" i="7"/>
  <c r="AL89" i="11"/>
  <c r="AL90" i="11"/>
  <c r="AL91" i="11"/>
  <c r="AL92" i="11"/>
  <c r="AM32" i="11"/>
  <c r="AS166" i="7"/>
  <c r="AS165" i="7"/>
  <c r="AT164" i="7"/>
  <c r="AU62" i="7"/>
  <c r="AM52" i="9"/>
  <c r="AL139" i="9"/>
  <c r="AL140" i="9"/>
  <c r="AL141" i="9"/>
  <c r="AL142" i="9"/>
  <c r="AN30" i="9"/>
  <c r="AM84" i="9"/>
  <c r="AM85" i="9"/>
  <c r="AM86" i="9"/>
  <c r="AM87" i="9"/>
  <c r="AN86" i="1"/>
  <c r="AN87" i="1"/>
  <c r="AN88" i="1"/>
  <c r="AN89" i="1"/>
  <c r="AO30" i="1"/>
  <c r="AM58" i="1"/>
  <c r="AL156" i="1"/>
  <c r="AL157" i="1"/>
  <c r="AL158" i="1"/>
  <c r="AL159" i="1"/>
  <c r="AM48" i="1"/>
  <c r="AL131" i="1"/>
  <c r="AN91" i="1"/>
  <c r="AN92" i="1"/>
  <c r="AN93" i="1"/>
  <c r="AN94" i="1"/>
  <c r="AO32" i="1"/>
  <c r="AL141" i="1"/>
  <c r="AL142" i="1"/>
  <c r="AL143" i="1"/>
  <c r="AL144" i="1"/>
  <c r="AM52" i="1"/>
  <c r="AM68" i="1"/>
  <c r="AL181" i="1"/>
  <c r="AL182" i="1"/>
  <c r="AL183" i="1"/>
  <c r="AL184" i="1"/>
  <c r="AM34" i="1"/>
  <c r="AL96" i="1"/>
  <c r="AL97" i="1"/>
  <c r="AL98" i="1"/>
  <c r="AL99" i="1"/>
  <c r="AL171" i="1"/>
  <c r="AL172" i="1"/>
  <c r="AL173" i="1"/>
  <c r="AL174" i="1"/>
  <c r="AM64" i="1"/>
  <c r="AM50" i="1"/>
  <c r="AL136" i="1"/>
  <c r="AL137" i="1"/>
  <c r="AL138" i="1"/>
  <c r="AL139" i="1"/>
  <c r="U41" i="32"/>
  <c r="K41" i="32"/>
  <c r="AM119" i="22"/>
  <c r="AM120" i="22"/>
  <c r="AM121" i="22"/>
  <c r="AM122" i="22"/>
  <c r="AN44" i="22"/>
  <c r="AJ106" i="6"/>
  <c r="AL93" i="6"/>
  <c r="AL94" i="6"/>
  <c r="AL95" i="6"/>
  <c r="AL96" i="6"/>
  <c r="AM28" i="6"/>
  <c r="AL108" i="6"/>
  <c r="AL109" i="6"/>
  <c r="AL110" i="6"/>
  <c r="AL111" i="6"/>
  <c r="AM34" i="6"/>
  <c r="AM98" i="6"/>
  <c r="AM99" i="6"/>
  <c r="AM100" i="6"/>
  <c r="AM101" i="6"/>
  <c r="AN30" i="6"/>
  <c r="AL113" i="6"/>
  <c r="AL114" i="6"/>
  <c r="AL115" i="6"/>
  <c r="AL116" i="6"/>
  <c r="AM36" i="6"/>
  <c r="AL88" i="6"/>
  <c r="AL89" i="6"/>
  <c r="AL90" i="6"/>
  <c r="AL91" i="6"/>
  <c r="AM26" i="6"/>
  <c r="AM128" i="6"/>
  <c r="AM129" i="6"/>
  <c r="AM130" i="6"/>
  <c r="AM131" i="6"/>
  <c r="AN42" i="6"/>
  <c r="AL133" i="6"/>
  <c r="AL134" i="6"/>
  <c r="AL135" i="6"/>
  <c r="AL136" i="6"/>
  <c r="AM44" i="6"/>
  <c r="AM22" i="6"/>
  <c r="AL78" i="6"/>
  <c r="AL79" i="6"/>
  <c r="AL80" i="6"/>
  <c r="AL81" i="6"/>
  <c r="AL103" i="6"/>
  <c r="AL104" i="6"/>
  <c r="AL105" i="6"/>
  <c r="AL106" i="6"/>
  <c r="AM32" i="6"/>
  <c r="AL83" i="6"/>
  <c r="AL84" i="6"/>
  <c r="AL85" i="6"/>
  <c r="AL86" i="6"/>
  <c r="AM24" i="6"/>
  <c r="AM40" i="6"/>
  <c r="AL123" i="6"/>
  <c r="AL124" i="6"/>
  <c r="AL125" i="6"/>
  <c r="AL126" i="6"/>
  <c r="AM218" i="1"/>
  <c r="AM217" i="1"/>
  <c r="AJ109" i="1"/>
  <c r="AL116" i="1"/>
  <c r="AL117" i="1"/>
  <c r="AL118" i="1"/>
  <c r="AL119" i="1"/>
  <c r="AM42" i="1"/>
  <c r="AO82" i="1"/>
  <c r="AN216" i="1"/>
  <c r="AP80" i="1"/>
  <c r="AO211" i="1"/>
  <c r="AO212" i="1"/>
  <c r="AO213" i="1"/>
  <c r="AO214" i="1"/>
  <c r="AL219" i="1"/>
  <c r="AJ137" i="7"/>
  <c r="AJ142" i="7"/>
  <c r="AJ112" i="8"/>
  <c r="AJ189" i="1"/>
  <c r="AN36" i="8"/>
  <c r="AM99" i="8"/>
  <c r="AM100" i="8"/>
  <c r="AM101" i="8"/>
  <c r="AM102" i="8"/>
  <c r="AP104" i="8"/>
  <c r="AP105" i="8"/>
  <c r="AP106" i="8"/>
  <c r="AP107" i="8"/>
  <c r="AQ38" i="8"/>
  <c r="AL120" i="11"/>
  <c r="AL121" i="11"/>
  <c r="AN44" i="11"/>
  <c r="AM119" i="11"/>
  <c r="AL105" i="22"/>
  <c r="AL106" i="22"/>
  <c r="AM104" i="22"/>
  <c r="AM105" i="22"/>
  <c r="AM106" i="22"/>
  <c r="AM107" i="22"/>
  <c r="AN38" i="22"/>
  <c r="AM34" i="22"/>
  <c r="AL94" i="22"/>
  <c r="AM48" i="22"/>
  <c r="AL129" i="22"/>
  <c r="AL130" i="22"/>
  <c r="AL131" i="22"/>
  <c r="AL132" i="22"/>
  <c r="AM34" i="7"/>
  <c r="AL94" i="7"/>
  <c r="AL100" i="7"/>
  <c r="AL101" i="7"/>
  <c r="AL102" i="7"/>
  <c r="AL105" i="7"/>
  <c r="AL106" i="7"/>
  <c r="AM42" i="7"/>
  <c r="AL114" i="7"/>
  <c r="AL115" i="7"/>
  <c r="AL116" i="7"/>
  <c r="AL117" i="7"/>
  <c r="AO109" i="7"/>
  <c r="AO110" i="7"/>
  <c r="AO111" i="7"/>
  <c r="AO112" i="7"/>
  <c r="AP40" i="7"/>
  <c r="AN36" i="7"/>
  <c r="AM99" i="7"/>
  <c r="AM100" i="7"/>
  <c r="AM101" i="7"/>
  <c r="AM102" i="7"/>
  <c r="AN30" i="7"/>
  <c r="AM84" i="7"/>
  <c r="AM85" i="7"/>
  <c r="AM86" i="7"/>
  <c r="AM87" i="7"/>
  <c r="AM104" i="7"/>
  <c r="AN38" i="7"/>
  <c r="AP38" i="6"/>
  <c r="AO118" i="6"/>
  <c r="AO119" i="6"/>
  <c r="AO120" i="6"/>
  <c r="AO121" i="6"/>
  <c r="AL94" i="9"/>
  <c r="AL95" i="9"/>
  <c r="AL96" i="9"/>
  <c r="AL97" i="9"/>
  <c r="AM34" i="9"/>
  <c r="AQ54" i="9"/>
  <c r="AP144" i="9"/>
  <c r="AP145" i="9"/>
  <c r="AP146" i="9"/>
  <c r="AP147" i="9"/>
  <c r="AL42" i="9"/>
  <c r="AK114" i="9"/>
  <c r="AK115" i="9"/>
  <c r="AK116" i="9"/>
  <c r="AK117" i="9"/>
  <c r="AP38" i="9"/>
  <c r="AO104" i="9"/>
  <c r="AO105" i="9"/>
  <c r="AO106" i="9"/>
  <c r="AO107" i="9"/>
  <c r="AM46" i="9"/>
  <c r="AL124" i="9"/>
  <c r="AL125" i="9"/>
  <c r="AL126" i="9"/>
  <c r="AL127" i="9"/>
  <c r="AN50" i="9"/>
  <c r="AM134" i="9"/>
  <c r="AM135" i="9"/>
  <c r="AM136" i="9"/>
  <c r="AM137" i="9"/>
  <c r="AL119" i="9"/>
  <c r="AM44" i="9"/>
  <c r="AK150" i="9"/>
  <c r="AK151" i="9"/>
  <c r="AO32" i="9"/>
  <c r="AN89" i="9"/>
  <c r="AN90" i="9"/>
  <c r="AN91" i="9"/>
  <c r="AN92" i="9"/>
  <c r="AM48" i="9"/>
  <c r="AL129" i="9"/>
  <c r="AL130" i="9"/>
  <c r="AL131" i="9"/>
  <c r="AL132" i="9"/>
  <c r="AL149" i="9"/>
  <c r="AL150" i="9"/>
  <c r="AL151" i="9"/>
  <c r="AL152" i="9"/>
  <c r="AM56" i="9"/>
  <c r="AS56" i="1"/>
  <c r="AR151" i="1"/>
  <c r="AR152" i="1"/>
  <c r="AR153" i="1"/>
  <c r="AR154" i="1"/>
  <c r="AM161" i="1"/>
  <c r="AN60" i="1"/>
  <c r="AN72" i="1"/>
  <c r="AM191" i="1"/>
  <c r="AM192" i="1"/>
  <c r="AM193" i="1"/>
  <c r="AM194" i="1"/>
  <c r="AO76" i="1"/>
  <c r="AN201" i="1"/>
  <c r="AL162" i="1"/>
  <c r="AL163" i="1"/>
  <c r="AL164" i="1"/>
  <c r="AK197" i="1"/>
  <c r="AK198" i="1"/>
  <c r="AK199" i="1"/>
  <c r="AM70" i="1"/>
  <c r="AL186" i="1"/>
  <c r="AL187" i="1"/>
  <c r="AL188" i="1"/>
  <c r="AL189" i="1"/>
  <c r="AM78" i="1"/>
  <c r="AL206" i="1"/>
  <c r="AM74" i="1"/>
  <c r="AL196" i="1"/>
  <c r="AO66" i="1"/>
  <c r="AN176" i="1"/>
  <c r="AN177" i="1"/>
  <c r="AN178" i="1"/>
  <c r="AN179" i="1"/>
  <c r="AS42" i="11"/>
  <c r="AR114" i="11"/>
  <c r="AQ115" i="11"/>
  <c r="AQ116" i="11"/>
  <c r="AQ117" i="11"/>
  <c r="P38" i="34"/>
  <c r="Q38" i="34"/>
  <c r="R36" i="34"/>
  <c r="R35" i="34"/>
  <c r="T37" i="34"/>
  <c r="AB37" i="34"/>
  <c r="X37" i="34"/>
  <c r="Y37" i="34"/>
  <c r="Z37" i="34"/>
  <c r="AJ37" i="34"/>
  <c r="AC37" i="34"/>
  <c r="AK37" i="34"/>
  <c r="AG37" i="34"/>
  <c r="AH37" i="34"/>
  <c r="AE37" i="34"/>
  <c r="AI37" i="34"/>
  <c r="AD37" i="34"/>
  <c r="AA37" i="34"/>
  <c r="AF37" i="34"/>
  <c r="U40" i="35"/>
  <c r="W40" i="35"/>
  <c r="V40" i="35"/>
  <c r="AO85" i="11"/>
  <c r="AO86" i="11"/>
  <c r="AO87" i="11"/>
  <c r="AQ30" i="11"/>
  <c r="AP84" i="11"/>
  <c r="AN38" i="11"/>
  <c r="AM104" i="11"/>
  <c r="AM100" i="11"/>
  <c r="AM101" i="11"/>
  <c r="AM102" i="11"/>
  <c r="AL105" i="11"/>
  <c r="AL106" i="11"/>
  <c r="AO36" i="11"/>
  <c r="AN99" i="11"/>
  <c r="AN50" i="10"/>
  <c r="AM134" i="10"/>
  <c r="AL135" i="10"/>
  <c r="AL136" i="10"/>
  <c r="AL137" i="10"/>
  <c r="AL100" i="10"/>
  <c r="AL101" i="10"/>
  <c r="AL102" i="10"/>
  <c r="AN36" i="10"/>
  <c r="AM99" i="10"/>
  <c r="AK155" i="22"/>
  <c r="AK156" i="22"/>
  <c r="AK157" i="22"/>
  <c r="AM58" i="22"/>
  <c r="AL154" i="22"/>
  <c r="AM99" i="22"/>
  <c r="AN36" i="22"/>
  <c r="AM144" i="22"/>
  <c r="AN54" i="22"/>
  <c r="AL110" i="22"/>
  <c r="AL111" i="22"/>
  <c r="AL112" i="22"/>
  <c r="AL100" i="22"/>
  <c r="AL101" i="22"/>
  <c r="AL102" i="22"/>
  <c r="AL145" i="22"/>
  <c r="AL146" i="22"/>
  <c r="AL147" i="22"/>
  <c r="AN40" i="22"/>
  <c r="AM109" i="22"/>
  <c r="AP56" i="8"/>
  <c r="AO149" i="8"/>
  <c r="AN150" i="8"/>
  <c r="AN151" i="8"/>
  <c r="AN152" i="8"/>
  <c r="AN54" i="8"/>
  <c r="AM144" i="8"/>
  <c r="AL145" i="8"/>
  <c r="AL146" i="8"/>
  <c r="AL147" i="8"/>
  <c r="AK110" i="8"/>
  <c r="AK111" i="8"/>
  <c r="AK112" i="8"/>
  <c r="AK140" i="8"/>
  <c r="AK141" i="8"/>
  <c r="AK142" i="8"/>
  <c r="AJ85" i="8"/>
  <c r="AJ86" i="8"/>
  <c r="AJ87" i="8"/>
  <c r="AK130" i="8"/>
  <c r="AK131" i="8"/>
  <c r="AK132" i="8"/>
  <c r="AM32" i="8"/>
  <c r="AL89" i="8"/>
  <c r="AL109" i="8"/>
  <c r="AM40" i="8"/>
  <c r="AM52" i="8"/>
  <c r="AL139" i="8"/>
  <c r="AL30" i="8"/>
  <c r="AK84" i="8"/>
  <c r="AL129" i="8"/>
  <c r="AM48" i="8"/>
  <c r="AK90" i="8"/>
  <c r="AK91" i="8"/>
  <c r="AK92" i="8"/>
  <c r="AK145" i="7"/>
  <c r="AK146" i="7"/>
  <c r="AK147" i="7"/>
  <c r="AL144" i="7"/>
  <c r="AM54" i="7"/>
  <c r="AL139" i="7"/>
  <c r="AM52" i="7"/>
  <c r="AK140" i="7"/>
  <c r="AK141" i="7"/>
  <c r="AK142" i="7"/>
  <c r="AL134" i="7"/>
  <c r="AM50" i="7"/>
  <c r="AK135" i="7"/>
  <c r="AK136" i="7"/>
  <c r="AK137" i="7"/>
  <c r="AS89" i="7"/>
  <c r="AT32" i="7"/>
  <c r="AP44" i="7"/>
  <c r="AO119" i="7"/>
  <c r="AN120" i="7"/>
  <c r="AN121" i="7"/>
  <c r="AN122" i="7"/>
  <c r="AO46" i="7"/>
  <c r="AN124" i="7"/>
  <c r="AR90" i="7"/>
  <c r="AR91" i="7"/>
  <c r="AR92" i="7"/>
  <c r="AM125" i="7"/>
  <c r="AM126" i="7"/>
  <c r="AM127" i="7"/>
  <c r="AM56" i="6"/>
  <c r="AL163" i="6"/>
  <c r="AK164" i="6"/>
  <c r="AK165" i="6"/>
  <c r="AK166" i="6"/>
  <c r="AL158" i="6"/>
  <c r="AM54" i="6"/>
  <c r="AK159" i="6"/>
  <c r="AK160" i="6"/>
  <c r="AK161" i="6"/>
  <c r="AL153" i="6"/>
  <c r="AM52" i="6"/>
  <c r="AK154" i="6"/>
  <c r="AK155" i="6"/>
  <c r="AK156" i="6"/>
  <c r="AL148" i="6"/>
  <c r="AM50" i="6"/>
  <c r="AK149" i="6"/>
  <c r="AK150" i="6"/>
  <c r="AK151" i="6"/>
  <c r="AL143" i="6"/>
  <c r="AM48" i="6"/>
  <c r="AK144" i="6"/>
  <c r="AK145" i="6"/>
  <c r="AK146" i="6"/>
  <c r="AL160" i="9"/>
  <c r="AL161" i="9"/>
  <c r="AL162" i="9"/>
  <c r="AM159" i="9"/>
  <c r="AN60" i="9"/>
  <c r="AK155" i="9"/>
  <c r="AK156" i="9"/>
  <c r="AK157" i="9"/>
  <c r="AL154" i="9"/>
  <c r="AM58" i="9"/>
  <c r="AN36" i="9"/>
  <c r="AM99" i="9"/>
  <c r="AN40" i="9"/>
  <c r="AM109" i="9"/>
  <c r="AL110" i="9"/>
  <c r="AL111" i="9"/>
  <c r="AL112" i="9"/>
  <c r="AL100" i="9"/>
  <c r="AL101" i="9"/>
  <c r="AL102" i="9"/>
  <c r="AM62" i="1"/>
  <c r="AL166" i="1"/>
  <c r="AK167" i="1"/>
  <c r="AK168" i="1"/>
  <c r="AK169" i="1"/>
  <c r="AM46" i="1"/>
  <c r="AL126" i="1"/>
  <c r="AK147" i="1"/>
  <c r="AK148" i="1"/>
  <c r="AK149" i="1"/>
  <c r="AM54" i="1"/>
  <c r="AL146" i="1"/>
  <c r="AK127" i="1"/>
  <c r="AK128" i="1"/>
  <c r="AK129" i="1"/>
  <c r="AM122" i="1"/>
  <c r="AM123" i="1"/>
  <c r="AM124" i="1"/>
  <c r="AN121" i="1"/>
  <c r="AO44" i="1"/>
  <c r="AM102" i="1"/>
  <c r="AM103" i="1"/>
  <c r="AM104" i="1"/>
  <c r="AM112" i="1"/>
  <c r="AM113" i="1"/>
  <c r="AM114" i="1"/>
  <c r="AN101" i="1"/>
  <c r="AO36" i="1"/>
  <c r="AL106" i="1"/>
  <c r="AM38" i="1"/>
  <c r="AK107" i="1"/>
  <c r="AK108" i="1"/>
  <c r="AK109" i="1"/>
  <c r="AN111" i="1"/>
  <c r="AO40" i="1"/>
  <c r="T40" i="37"/>
  <c r="AL40" i="37"/>
  <c r="AN40" i="37"/>
  <c r="Z40" i="37"/>
  <c r="AE40" i="37"/>
  <c r="AK40" i="37"/>
  <c r="X40" i="37"/>
  <c r="AG40" i="37"/>
  <c r="AH40" i="37"/>
  <c r="AC40" i="37"/>
  <c r="AI40" i="37"/>
  <c r="AD40" i="37"/>
  <c r="AJ40" i="37"/>
  <c r="AB40" i="37"/>
  <c r="Y40" i="37"/>
  <c r="AM40" i="37"/>
  <c r="AA40" i="37"/>
  <c r="AF40" i="37"/>
  <c r="AM129" i="7"/>
  <c r="AM130" i="7"/>
  <c r="AM131" i="7"/>
  <c r="AM132" i="7"/>
  <c r="AN48" i="7"/>
  <c r="AI39" i="36"/>
  <c r="Z39" i="36"/>
  <c r="AA39" i="36"/>
  <c r="AH39" i="36"/>
  <c r="AK39" i="36"/>
  <c r="AB39" i="36"/>
  <c r="AC39" i="36"/>
  <c r="AJ39" i="36"/>
  <c r="AM39" i="36"/>
  <c r="AD39" i="36"/>
  <c r="AE39" i="36"/>
  <c r="AL39" i="36"/>
  <c r="AG39" i="36"/>
  <c r="X39" i="36"/>
  <c r="Y39" i="36"/>
  <c r="AF39" i="36"/>
  <c r="K40" i="33"/>
  <c r="L40" i="33"/>
  <c r="N40" i="33"/>
  <c r="O40" i="33"/>
  <c r="P40" i="33"/>
  <c r="Q40" i="33"/>
  <c r="BW41" i="2"/>
  <c r="M48" i="41"/>
  <c r="BX162" i="2"/>
  <c r="AR59" i="11"/>
  <c r="AS229" i="11"/>
  <c r="BS195" i="9"/>
  <c r="BS196" i="9"/>
  <c r="BT194" i="9"/>
  <c r="BU74" i="9"/>
  <c r="M46" i="36"/>
  <c r="CF39" i="2"/>
  <c r="U35" i="41"/>
  <c r="W35" i="41"/>
  <c r="V35" i="41"/>
  <c r="Z35" i="41"/>
  <c r="Q34" i="41"/>
  <c r="P35" i="41"/>
  <c r="BH177" i="22"/>
  <c r="BA162" i="8"/>
  <c r="AK162" i="10"/>
  <c r="AK207" i="8"/>
  <c r="AP207" i="11"/>
  <c r="BM157" i="10"/>
  <c r="BL177" i="9"/>
  <c r="AW167" i="10"/>
  <c r="AK202" i="11"/>
  <c r="BC284" i="40"/>
  <c r="BD108" i="40"/>
  <c r="BC249" i="40"/>
  <c r="BD94" i="40"/>
  <c r="BC264" i="40"/>
  <c r="BD100" i="40"/>
  <c r="BB250" i="40"/>
  <c r="BB251" i="40"/>
  <c r="BB252" i="40"/>
  <c r="BB265" i="40"/>
  <c r="BB266" i="40"/>
  <c r="BB267" i="40"/>
  <c r="BH280" i="40"/>
  <c r="BH281" i="40"/>
  <c r="BH282" i="40"/>
  <c r="BC289" i="40"/>
  <c r="BD110" i="40"/>
  <c r="BC269" i="40"/>
  <c r="BC270" i="40"/>
  <c r="BC271" i="40"/>
  <c r="BC272" i="40"/>
  <c r="BD102" i="40"/>
  <c r="BC244" i="40"/>
  <c r="BD92" i="40"/>
  <c r="BB290" i="40"/>
  <c r="BB291" i="40"/>
  <c r="BB292" i="40"/>
  <c r="BB270" i="40"/>
  <c r="BB271" i="40"/>
  <c r="BB272" i="40"/>
  <c r="BB245" i="40"/>
  <c r="BB246" i="40"/>
  <c r="BB247" i="40"/>
  <c r="BK98" i="40"/>
  <c r="BK259" i="40"/>
  <c r="BI106" i="40"/>
  <c r="BI279" i="40"/>
  <c r="BI280" i="40"/>
  <c r="BI281" i="40"/>
  <c r="BI282" i="40"/>
  <c r="BJ96" i="40"/>
  <c r="BJ254" i="40"/>
  <c r="BJ255" i="40"/>
  <c r="BJ256" i="40"/>
  <c r="BJ257" i="40"/>
  <c r="BJ104" i="40"/>
  <c r="BJ274" i="40"/>
  <c r="BF90" i="40"/>
  <c r="BD58" i="40"/>
  <c r="BC159" i="40"/>
  <c r="BF72" i="40"/>
  <c r="BE194" i="40"/>
  <c r="BD56" i="40"/>
  <c r="BC154" i="40"/>
  <c r="BB150" i="40"/>
  <c r="BB151" i="40"/>
  <c r="BB152" i="40"/>
  <c r="BD54" i="40"/>
  <c r="BC149" i="40"/>
  <c r="BB220" i="40"/>
  <c r="BB221" i="40"/>
  <c r="BB222" i="40"/>
  <c r="BB207" i="40"/>
  <c r="BC140" i="40"/>
  <c r="BC141" i="40"/>
  <c r="BC142" i="40"/>
  <c r="BD48" i="40"/>
  <c r="BC134" i="40"/>
  <c r="BB227" i="40"/>
  <c r="BD78" i="40"/>
  <c r="BC209" i="40"/>
  <c r="BA192" i="40"/>
  <c r="BC239" i="40"/>
  <c r="BC177" i="40"/>
  <c r="BD46" i="40"/>
  <c r="BC129" i="40"/>
  <c r="BB125" i="40"/>
  <c r="BB126" i="40"/>
  <c r="BB127" i="40"/>
  <c r="BA242" i="40"/>
  <c r="BD195" i="40"/>
  <c r="BD196" i="40"/>
  <c r="BD197" i="40"/>
  <c r="BE88" i="40"/>
  <c r="BD234" i="40"/>
  <c r="BC215" i="40"/>
  <c r="BC216" i="40"/>
  <c r="BB170" i="40"/>
  <c r="BB171" i="40"/>
  <c r="BB172" i="40"/>
  <c r="BB190" i="40"/>
  <c r="BB191" i="40"/>
  <c r="BE50" i="40"/>
  <c r="BD139" i="40"/>
  <c r="BE66" i="40"/>
  <c r="BD179" i="40"/>
  <c r="BE80" i="40"/>
  <c r="BD214" i="40"/>
  <c r="BB120" i="40"/>
  <c r="BB121" i="40"/>
  <c r="BB122" i="40"/>
  <c r="BD62" i="40"/>
  <c r="BC169" i="40"/>
  <c r="BC225" i="40"/>
  <c r="BC226" i="40"/>
  <c r="BC227" i="40"/>
  <c r="BD70" i="40"/>
  <c r="BC189" i="40"/>
  <c r="BD175" i="40"/>
  <c r="BD176" i="40"/>
  <c r="BB145" i="40"/>
  <c r="BB146" i="40"/>
  <c r="BB147" i="40"/>
  <c r="BE60" i="40"/>
  <c r="BD164" i="40"/>
  <c r="BB200" i="40"/>
  <c r="BB201" i="40"/>
  <c r="BB160" i="40"/>
  <c r="BB161" i="40"/>
  <c r="BB230" i="40"/>
  <c r="BB231" i="40"/>
  <c r="BD185" i="40"/>
  <c r="BD186" i="40"/>
  <c r="BD44" i="40"/>
  <c r="BC124" i="40"/>
  <c r="BC205" i="40"/>
  <c r="BC206" i="40"/>
  <c r="BD82" i="40"/>
  <c r="BC219" i="40"/>
  <c r="BC165" i="40"/>
  <c r="BC166" i="40"/>
  <c r="BC115" i="40"/>
  <c r="BC116" i="40"/>
  <c r="BC117" i="40"/>
  <c r="BD42" i="40"/>
  <c r="BC119" i="40"/>
  <c r="BE84" i="40"/>
  <c r="BD224" i="40"/>
  <c r="BB135" i="40"/>
  <c r="BB136" i="40"/>
  <c r="BB137" i="40"/>
  <c r="BF64" i="40"/>
  <c r="BE174" i="40"/>
  <c r="BC180" i="40"/>
  <c r="BC181" i="40"/>
  <c r="BB210" i="40"/>
  <c r="BB211" i="40"/>
  <c r="BD52" i="40"/>
  <c r="BC144" i="40"/>
  <c r="BB237" i="40"/>
  <c r="BD74" i="40"/>
  <c r="BC199" i="40"/>
  <c r="BD86" i="40"/>
  <c r="BC229" i="40"/>
  <c r="BB240" i="40"/>
  <c r="BB241" i="40"/>
  <c r="BB242" i="40"/>
  <c r="BF68" i="40"/>
  <c r="BE184" i="40"/>
  <c r="BB130" i="40"/>
  <c r="BB131" i="40"/>
  <c r="BB132" i="40"/>
  <c r="BC235" i="40"/>
  <c r="BC236" i="40"/>
  <c r="BB155" i="40"/>
  <c r="BB156" i="40"/>
  <c r="BE76" i="40"/>
  <c r="BD204" i="40"/>
  <c r="BE40" i="40"/>
  <c r="BD114" i="40"/>
  <c r="AJ40" i="33"/>
  <c r="AE40" i="33"/>
  <c r="AN56" i="22"/>
  <c r="AM149" i="22"/>
  <c r="AM150" i="22"/>
  <c r="AM151" i="22"/>
  <c r="AM152" i="22"/>
  <c r="AL181" i="10"/>
  <c r="AL180" i="10"/>
  <c r="BN80" i="10"/>
  <c r="BM209" i="10"/>
  <c r="BB196" i="11"/>
  <c r="BB195" i="11"/>
  <c r="AY155" i="8"/>
  <c r="AY156" i="8"/>
  <c r="AV62" i="22"/>
  <c r="AU164" i="22"/>
  <c r="AN60" i="10"/>
  <c r="AM159" i="10"/>
  <c r="BB184" i="10"/>
  <c r="BC70" i="10"/>
  <c r="BB240" i="8"/>
  <c r="BA81" i="8"/>
  <c r="AM138" i="6"/>
  <c r="AM139" i="6"/>
  <c r="AM140" i="6"/>
  <c r="AM141" i="6"/>
  <c r="AN46" i="6"/>
  <c r="BW172" i="7"/>
  <c r="BP142" i="11"/>
  <c r="BM170" i="10"/>
  <c r="BM171" i="10"/>
  <c r="AR46" i="11"/>
  <c r="AQ124" i="11"/>
  <c r="BG144" i="10"/>
  <c r="BH54" i="10"/>
  <c r="AK167" i="9"/>
  <c r="AN157" i="7"/>
  <c r="AR159" i="7"/>
  <c r="AS60" i="7"/>
  <c r="AZ187" i="10"/>
  <c r="AV206" i="22"/>
  <c r="AV205" i="22"/>
  <c r="AN66" i="7"/>
  <c r="AM174" i="7"/>
  <c r="AS78" i="11"/>
  <c r="AR204" i="11"/>
  <c r="AY164" i="10"/>
  <c r="AZ62" i="10"/>
  <c r="AO127" i="11"/>
  <c r="AT166" i="22"/>
  <c r="AT165" i="22"/>
  <c r="AL166" i="9"/>
  <c r="AL165" i="9"/>
  <c r="AO155" i="7"/>
  <c r="AO156" i="7"/>
  <c r="AT62" i="8"/>
  <c r="AS164" i="8"/>
  <c r="AO56" i="11"/>
  <c r="AN149" i="11"/>
  <c r="AN76" i="10"/>
  <c r="AM199" i="10"/>
  <c r="BO154" i="10"/>
  <c r="BP58" i="10"/>
  <c r="BJ174" i="22"/>
  <c r="BK66" i="22"/>
  <c r="AO76" i="7"/>
  <c r="AN199" i="7"/>
  <c r="AM199" i="22"/>
  <c r="AN76" i="22"/>
  <c r="AL185" i="8"/>
  <c r="AL186" i="8"/>
  <c r="BD61" i="11"/>
  <c r="BE230" i="11"/>
  <c r="AP192" i="8"/>
  <c r="AX55" i="11"/>
  <c r="AY227" i="11"/>
  <c r="AX72" i="22"/>
  <c r="AW189" i="22"/>
  <c r="AM179" i="10"/>
  <c r="AN68" i="10"/>
  <c r="AS167" i="22"/>
  <c r="AL202" i="7"/>
  <c r="AR207" i="7"/>
  <c r="AV177" i="10"/>
  <c r="AK202" i="10"/>
  <c r="BL211" i="10"/>
  <c r="BL210" i="10"/>
  <c r="AN78" i="8"/>
  <c r="AM204" i="8"/>
  <c r="AR187" i="22"/>
  <c r="AN70" i="8"/>
  <c r="AM184" i="8"/>
  <c r="BD74" i="11"/>
  <c r="BC194" i="11"/>
  <c r="AQ167" i="8"/>
  <c r="AW64" i="9"/>
  <c r="AV169" i="9"/>
  <c r="BL172" i="10"/>
  <c r="BA58" i="8"/>
  <c r="AZ154" i="8"/>
  <c r="AK182" i="10"/>
  <c r="BO66" i="9"/>
  <c r="BN174" i="9"/>
  <c r="AL161" i="10"/>
  <c r="AL160" i="10"/>
  <c r="AU205" i="9"/>
  <c r="AU206" i="9"/>
  <c r="BA185" i="10"/>
  <c r="BA186" i="10"/>
  <c r="AL200" i="11"/>
  <c r="AL201" i="11"/>
  <c r="AL136" i="11"/>
  <c r="AL135" i="11"/>
  <c r="AT207" i="9"/>
  <c r="BK212" i="10"/>
  <c r="AU70" i="22"/>
  <c r="AT184" i="22"/>
  <c r="BE147" i="10"/>
  <c r="BA197" i="11"/>
  <c r="AS206" i="7"/>
  <c r="AS205" i="7"/>
  <c r="AK137" i="11"/>
  <c r="AX174" i="10"/>
  <c r="AY66" i="10"/>
  <c r="AV190" i="22"/>
  <c r="AV191" i="22"/>
  <c r="AL206" i="8"/>
  <c r="AL205" i="8"/>
  <c r="AU171" i="9"/>
  <c r="AU170" i="9"/>
  <c r="BM175" i="9"/>
  <c r="BM176" i="9"/>
  <c r="AW78" i="9"/>
  <c r="AV204" i="9"/>
  <c r="BN155" i="10"/>
  <c r="BN156" i="10"/>
  <c r="BI176" i="22"/>
  <c r="BI175" i="22"/>
  <c r="AU78" i="7"/>
  <c r="AT204" i="7"/>
  <c r="AL200" i="22"/>
  <c r="AL201" i="22"/>
  <c r="U43" i="31"/>
  <c r="W43" i="31"/>
  <c r="V43" i="31"/>
  <c r="AT172" i="9"/>
  <c r="BO64" i="10"/>
  <c r="BN169" i="10"/>
  <c r="AX157" i="8"/>
  <c r="AP125" i="11"/>
  <c r="AP126" i="11"/>
  <c r="BF145" i="10"/>
  <c r="BF146" i="10"/>
  <c r="AQ161" i="7"/>
  <c r="AQ160" i="7"/>
  <c r="AW204" i="22"/>
  <c r="AX78" i="22"/>
  <c r="AL176" i="7"/>
  <c r="AL175" i="7"/>
  <c r="AQ205" i="11"/>
  <c r="AQ206" i="11"/>
  <c r="AX166" i="10"/>
  <c r="AX165" i="10"/>
  <c r="AK202" i="22"/>
  <c r="AU207" i="22"/>
  <c r="AU192" i="22"/>
  <c r="AM164" i="9"/>
  <c r="AN62" i="9"/>
  <c r="AQ58" i="7"/>
  <c r="AP154" i="7"/>
  <c r="AP162" i="7"/>
  <c r="AR166" i="8"/>
  <c r="AR165" i="8"/>
  <c r="AM151" i="11"/>
  <c r="AM150" i="11"/>
  <c r="AL201" i="10"/>
  <c r="AL200" i="10"/>
  <c r="AN76" i="11"/>
  <c r="AM199" i="11"/>
  <c r="AN50" i="11"/>
  <c r="AM134" i="11"/>
  <c r="AK177" i="7"/>
  <c r="AS185" i="22"/>
  <c r="AS186" i="22"/>
  <c r="AK187" i="8"/>
  <c r="AM200" i="7"/>
  <c r="AM201" i="7"/>
  <c r="AW176" i="10"/>
  <c r="AW175" i="10"/>
  <c r="AL152" i="11"/>
  <c r="AA21" i="26"/>
  <c r="S38" i="35"/>
  <c r="R39" i="35"/>
  <c r="AL40" i="33"/>
  <c r="AN40" i="33"/>
  <c r="AF40" i="33"/>
  <c r="AB40" i="33"/>
  <c r="AC40" i="33"/>
  <c r="AD40" i="33"/>
  <c r="S40" i="32"/>
  <c r="L23" i="26"/>
  <c r="Q42" i="31"/>
  <c r="R42" i="31"/>
  <c r="B16" i="26"/>
  <c r="S34" i="30"/>
  <c r="AO109" i="11"/>
  <c r="AO110" i="11"/>
  <c r="AO111" i="11"/>
  <c r="AO112" i="11"/>
  <c r="AP40" i="11"/>
  <c r="AN42" i="10"/>
  <c r="AM114" i="10"/>
  <c r="AM115" i="10"/>
  <c r="AM116" i="10"/>
  <c r="AM117" i="10"/>
  <c r="AN52" i="10"/>
  <c r="AM139" i="10"/>
  <c r="AM140" i="10"/>
  <c r="AM141" i="10"/>
  <c r="AM142" i="10"/>
  <c r="AN48" i="10"/>
  <c r="AM129" i="10"/>
  <c r="AM130" i="10"/>
  <c r="AM131" i="10"/>
  <c r="AM132" i="10"/>
  <c r="AN30" i="10"/>
  <c r="AM84" i="10"/>
  <c r="AM85" i="10"/>
  <c r="AM86" i="10"/>
  <c r="AM87" i="10"/>
  <c r="AN34" i="10"/>
  <c r="AM94" i="10"/>
  <c r="AM95" i="10"/>
  <c r="AM96" i="10"/>
  <c r="AM97" i="10"/>
  <c r="AM104" i="10"/>
  <c r="AM105" i="10"/>
  <c r="AM106" i="10"/>
  <c r="AM107" i="10"/>
  <c r="AN38" i="10"/>
  <c r="AN32" i="10"/>
  <c r="AM89" i="10"/>
  <c r="AM90" i="10"/>
  <c r="AM91" i="10"/>
  <c r="AM92" i="10"/>
  <c r="AN46" i="10"/>
  <c r="AM124" i="10"/>
  <c r="AM125" i="10"/>
  <c r="AM126" i="10"/>
  <c r="AM127" i="10"/>
  <c r="AO44" i="10"/>
  <c r="AN119" i="10"/>
  <c r="AN120" i="10"/>
  <c r="AN121" i="10"/>
  <c r="AN122" i="10"/>
  <c r="AN40" i="10"/>
  <c r="AM109" i="10"/>
  <c r="AM110" i="10"/>
  <c r="AM111" i="10"/>
  <c r="AM112" i="10"/>
  <c r="AM134" i="22"/>
  <c r="AM135" i="22"/>
  <c r="AM136" i="22"/>
  <c r="AM137" i="22"/>
  <c r="AN50" i="22"/>
  <c r="AM114" i="22"/>
  <c r="AM115" i="22"/>
  <c r="AM116" i="22"/>
  <c r="AM117" i="22"/>
  <c r="AN42" i="22"/>
  <c r="AO52" i="22"/>
  <c r="AN139" i="22"/>
  <c r="AN140" i="22"/>
  <c r="AN141" i="22"/>
  <c r="AN142" i="22"/>
  <c r="AN124" i="22"/>
  <c r="AN125" i="22"/>
  <c r="AN126" i="22"/>
  <c r="AN127" i="22"/>
  <c r="AO46" i="22"/>
  <c r="AN46" i="8"/>
  <c r="AM124" i="8"/>
  <c r="AM125" i="8"/>
  <c r="AM126" i="8"/>
  <c r="AM127" i="8"/>
  <c r="AN134" i="8"/>
  <c r="AN135" i="8"/>
  <c r="AN136" i="8"/>
  <c r="AN137" i="8"/>
  <c r="AO50" i="8"/>
  <c r="BQ192" i="10"/>
  <c r="BF197" i="7"/>
  <c r="BJ152" i="10"/>
  <c r="BC182" i="8"/>
  <c r="BD177" i="11"/>
  <c r="BU87" i="22"/>
  <c r="BI207" i="10"/>
  <c r="BC202" i="8"/>
  <c r="BH212" i="22"/>
  <c r="BF182" i="22"/>
  <c r="BY169" i="7"/>
  <c r="BZ64" i="7"/>
  <c r="BH196" i="8"/>
  <c r="BH195" i="8"/>
  <c r="BN209" i="9"/>
  <c r="BO80" i="9"/>
  <c r="U40" i="2"/>
  <c r="M47" i="32"/>
  <c r="V161" i="2"/>
  <c r="AD40" i="2"/>
  <c r="M47" i="33"/>
  <c r="AE161" i="2"/>
  <c r="BF187" i="7"/>
  <c r="BJ74" i="10"/>
  <c r="BI194" i="10"/>
  <c r="BH80" i="11"/>
  <c r="BG209" i="11"/>
  <c r="BH182" i="9"/>
  <c r="BG197" i="8"/>
  <c r="BG197" i="22"/>
  <c r="A43" i="2"/>
  <c r="A163" i="2"/>
  <c r="BW163" i="2"/>
  <c r="BG186" i="7"/>
  <c r="BG185" i="7"/>
  <c r="BJ172" i="22"/>
  <c r="BE177" i="8"/>
  <c r="AN32" i="22"/>
  <c r="AM89" i="22"/>
  <c r="AM90" i="22"/>
  <c r="AM91" i="22"/>
  <c r="AM92" i="22"/>
  <c r="BJ179" i="9"/>
  <c r="BK68" i="9"/>
  <c r="BI74" i="7"/>
  <c r="BH194" i="7"/>
  <c r="BM56" i="10"/>
  <c r="BL149" i="10"/>
  <c r="BQ141" i="11"/>
  <c r="BQ140" i="11"/>
  <c r="BC190" i="11"/>
  <c r="BC191" i="11"/>
  <c r="BF76" i="8"/>
  <c r="BE199" i="8"/>
  <c r="BF69" i="11"/>
  <c r="BG234" i="11"/>
  <c r="AN72" i="9"/>
  <c r="AM189" i="9"/>
  <c r="BB192" i="11"/>
  <c r="BP68" i="7"/>
  <c r="BO179" i="7"/>
  <c r="BX170" i="7"/>
  <c r="BX171" i="7"/>
  <c r="AS65" i="8"/>
  <c r="AT232" i="8"/>
  <c r="BM210" i="9"/>
  <c r="BM211" i="9"/>
  <c r="BA65" i="11"/>
  <c r="BB232" i="11"/>
  <c r="BE63" i="11"/>
  <c r="BF231" i="11"/>
  <c r="AV40" i="2"/>
  <c r="M47" i="35"/>
  <c r="AW161" i="2"/>
  <c r="AM40" i="2"/>
  <c r="M47" i="34"/>
  <c r="AN161" i="2"/>
  <c r="BF176" i="8"/>
  <c r="BF175" i="8"/>
  <c r="BH195" i="10"/>
  <c r="BH196" i="10"/>
  <c r="BB160" i="8"/>
  <c r="BB161" i="8"/>
  <c r="BE162" i="2"/>
  <c r="C162" i="2"/>
  <c r="U162" i="2"/>
  <c r="L162" i="2"/>
  <c r="AV162" i="2"/>
  <c r="AD162" i="2"/>
  <c r="AM162" i="2"/>
  <c r="BN162" i="2"/>
  <c r="BM131" i="11"/>
  <c r="BM130" i="11"/>
  <c r="BI181" i="9"/>
  <c r="BI180" i="9"/>
  <c r="AQ190" i="8"/>
  <c r="AQ191" i="8"/>
  <c r="BJ210" i="7"/>
  <c r="BJ211" i="7"/>
  <c r="BJ74" i="22"/>
  <c r="BI194" i="22"/>
  <c r="BS52" i="11"/>
  <c r="BR139" i="11"/>
  <c r="BK171" i="22"/>
  <c r="BK170" i="22"/>
  <c r="BE72" i="11"/>
  <c r="BD189" i="11"/>
  <c r="AL200" i="9"/>
  <c r="AL201" i="9"/>
  <c r="BJ187" i="9"/>
  <c r="BI212" i="7"/>
  <c r="BL78" i="10"/>
  <c r="BK204" i="10"/>
  <c r="AM40" i="33"/>
  <c r="AG40" i="33"/>
  <c r="BG197" i="10"/>
  <c r="BE179" i="8"/>
  <c r="BF68" i="8"/>
  <c r="BE176" i="11"/>
  <c r="BE175" i="11"/>
  <c r="BE162" i="22"/>
  <c r="BG180" i="22"/>
  <c r="BG181" i="22"/>
  <c r="L40" i="2"/>
  <c r="M47" i="31"/>
  <c r="M161" i="2"/>
  <c r="BE40" i="2"/>
  <c r="BF161" i="2"/>
  <c r="BW84" i="22"/>
  <c r="BX30" i="22"/>
  <c r="BM182" i="7"/>
  <c r="BG174" i="8"/>
  <c r="BH66" i="8"/>
  <c r="BT72" i="10"/>
  <c r="BS189" i="10"/>
  <c r="BL212" i="9"/>
  <c r="BD60" i="8"/>
  <c r="BC159" i="8"/>
  <c r="BO48" i="11"/>
  <c r="BN129" i="11"/>
  <c r="BK80" i="22"/>
  <c r="BJ209" i="22"/>
  <c r="BL184" i="9"/>
  <c r="BM70" i="9"/>
  <c r="BE212" i="11"/>
  <c r="AS72" i="8"/>
  <c r="AR189" i="8"/>
  <c r="BL80" i="7"/>
  <c r="BK209" i="7"/>
  <c r="BH196" i="22"/>
  <c r="BH195" i="22"/>
  <c r="AK192" i="9"/>
  <c r="BL132" i="11"/>
  <c r="BL169" i="22"/>
  <c r="BM64" i="22"/>
  <c r="AN76" i="9"/>
  <c r="AM199" i="9"/>
  <c r="AQ73" i="7"/>
  <c r="AR236" i="7"/>
  <c r="BG159" i="22"/>
  <c r="BH60" i="22"/>
  <c r="BJ206" i="10"/>
  <c r="BJ205" i="10"/>
  <c r="AK202" i="9"/>
  <c r="BD181" i="8"/>
  <c r="BD180" i="8"/>
  <c r="BJ74" i="8"/>
  <c r="BI194" i="8"/>
  <c r="BG66" i="11"/>
  <c r="BF174" i="11"/>
  <c r="BH179" i="22"/>
  <c r="BI68" i="22"/>
  <c r="C40" i="2"/>
  <c r="M48" i="30"/>
  <c r="D161" i="2"/>
  <c r="BN40" i="2"/>
  <c r="M47" i="37"/>
  <c r="BO161" i="2"/>
  <c r="BV85" i="22"/>
  <c r="BV86" i="22"/>
  <c r="BF210" i="11"/>
  <c r="BF211" i="11"/>
  <c r="BR191" i="10"/>
  <c r="BR190" i="10"/>
  <c r="BI70" i="7"/>
  <c r="BH184" i="7"/>
  <c r="BI210" i="22"/>
  <c r="BI211" i="22"/>
  <c r="BK185" i="9"/>
  <c r="BK186" i="9"/>
  <c r="BG195" i="7"/>
  <c r="BG196" i="7"/>
  <c r="BK151" i="10"/>
  <c r="BK150" i="10"/>
  <c r="BD200" i="8"/>
  <c r="BD201" i="8"/>
  <c r="BF160" i="22"/>
  <c r="BF161" i="22"/>
  <c r="AL190" i="9"/>
  <c r="AL191" i="9"/>
  <c r="BN181" i="7"/>
  <c r="BN180" i="7"/>
  <c r="U35" i="30"/>
  <c r="B13" i="26"/>
  <c r="S31" i="30"/>
  <c r="R30" i="30"/>
  <c r="AN44" i="8"/>
  <c r="AM119" i="8"/>
  <c r="AM120" i="8"/>
  <c r="AM121" i="8"/>
  <c r="AM122" i="8"/>
  <c r="AN42" i="8"/>
  <c r="AM114" i="8"/>
  <c r="AM115" i="8"/>
  <c r="AM116" i="8"/>
  <c r="AM117" i="8"/>
  <c r="AR94" i="8"/>
  <c r="AR95" i="8"/>
  <c r="AR96" i="8"/>
  <c r="AR97" i="8"/>
  <c r="AS34" i="8"/>
  <c r="AV62" i="7"/>
  <c r="AU164" i="7"/>
  <c r="AT165" i="7"/>
  <c r="AT166" i="7"/>
  <c r="AS167" i="7"/>
  <c r="AM89" i="11"/>
  <c r="AM90" i="11"/>
  <c r="AM91" i="11"/>
  <c r="AM92" i="11"/>
  <c r="AN32" i="11"/>
  <c r="AN84" i="9"/>
  <c r="AN85" i="9"/>
  <c r="AN86" i="9"/>
  <c r="AN87" i="9"/>
  <c r="AO30" i="9"/>
  <c r="AN52" i="9"/>
  <c r="AM139" i="9"/>
  <c r="AM140" i="9"/>
  <c r="AM141" i="9"/>
  <c r="AM142" i="9"/>
  <c r="AO86" i="1"/>
  <c r="AO87" i="1"/>
  <c r="AO88" i="1"/>
  <c r="AO89" i="1"/>
  <c r="AP30" i="1"/>
  <c r="AM96" i="1"/>
  <c r="AM97" i="1"/>
  <c r="AM98" i="1"/>
  <c r="AM99" i="1"/>
  <c r="AN34" i="1"/>
  <c r="AN68" i="1"/>
  <c r="AM181" i="1"/>
  <c r="AM131" i="1"/>
  <c r="AM132" i="1"/>
  <c r="AM133" i="1"/>
  <c r="AM134" i="1"/>
  <c r="AN48" i="1"/>
  <c r="AN58" i="1"/>
  <c r="AM156" i="1"/>
  <c r="AM171" i="1"/>
  <c r="AN64" i="1"/>
  <c r="AN52" i="1"/>
  <c r="AM141" i="1"/>
  <c r="AM142" i="1"/>
  <c r="AM143" i="1"/>
  <c r="AM144" i="1"/>
  <c r="AP32" i="1"/>
  <c r="AO91" i="1"/>
  <c r="AO92" i="1"/>
  <c r="AO93" i="1"/>
  <c r="AO94" i="1"/>
  <c r="AL132" i="1"/>
  <c r="AL133" i="1"/>
  <c r="AL134" i="1"/>
  <c r="AN50" i="1"/>
  <c r="AM136" i="1"/>
  <c r="AM137" i="1"/>
  <c r="AM138" i="1"/>
  <c r="AM139" i="1"/>
  <c r="K40" i="35"/>
  <c r="L40" i="35"/>
  <c r="N40" i="35"/>
  <c r="O40" i="35"/>
  <c r="P40" i="35"/>
  <c r="Y40" i="33"/>
  <c r="AI40" i="33"/>
  <c r="X40" i="33"/>
  <c r="AH40" i="33"/>
  <c r="AA40" i="33"/>
  <c r="AK40" i="33"/>
  <c r="Z40" i="33"/>
  <c r="W41" i="32"/>
  <c r="V41" i="32"/>
  <c r="AF41" i="32"/>
  <c r="AN119" i="22"/>
  <c r="AN120" i="22"/>
  <c r="AN121" i="22"/>
  <c r="AN122" i="22"/>
  <c r="AO44" i="22"/>
  <c r="AN40" i="6"/>
  <c r="AM123" i="6"/>
  <c r="AM124" i="6"/>
  <c r="AM125" i="6"/>
  <c r="AM126" i="6"/>
  <c r="AN22" i="6"/>
  <c r="AM78" i="6"/>
  <c r="AM79" i="6"/>
  <c r="AM80" i="6"/>
  <c r="AM81" i="6"/>
  <c r="AN24" i="6"/>
  <c r="AM83" i="6"/>
  <c r="AM84" i="6"/>
  <c r="AM85" i="6"/>
  <c r="AM86" i="6"/>
  <c r="AM103" i="6"/>
  <c r="AM104" i="6"/>
  <c r="AM105" i="6"/>
  <c r="AM106" i="6"/>
  <c r="AN32" i="6"/>
  <c r="AM133" i="6"/>
  <c r="AM134" i="6"/>
  <c r="AM135" i="6"/>
  <c r="AM136" i="6"/>
  <c r="AN44" i="6"/>
  <c r="AN128" i="6"/>
  <c r="AN129" i="6"/>
  <c r="AN130" i="6"/>
  <c r="AN131" i="6"/>
  <c r="AO42" i="6"/>
  <c r="AN26" i="6"/>
  <c r="AM88" i="6"/>
  <c r="AM89" i="6"/>
  <c r="AM90" i="6"/>
  <c r="AM91" i="6"/>
  <c r="AM113" i="6"/>
  <c r="AM114" i="6"/>
  <c r="AM115" i="6"/>
  <c r="AM116" i="6"/>
  <c r="AN36" i="6"/>
  <c r="AO30" i="6"/>
  <c r="AN98" i="6"/>
  <c r="AN99" i="6"/>
  <c r="AN100" i="6"/>
  <c r="AN101" i="6"/>
  <c r="AM108" i="6"/>
  <c r="AM109" i="6"/>
  <c r="AM110" i="6"/>
  <c r="AM111" i="6"/>
  <c r="AN34" i="6"/>
  <c r="AM93" i="6"/>
  <c r="AM94" i="6"/>
  <c r="AM95" i="6"/>
  <c r="AM96" i="6"/>
  <c r="AN28" i="6"/>
  <c r="AQ80" i="1"/>
  <c r="AP211" i="1"/>
  <c r="AP212" i="1"/>
  <c r="AP213" i="1"/>
  <c r="AP214" i="1"/>
  <c r="AP82" i="1"/>
  <c r="AO216" i="1"/>
  <c r="AN217" i="1"/>
  <c r="AN218" i="1"/>
  <c r="AN42" i="1"/>
  <c r="AM116" i="1"/>
  <c r="AM117" i="1"/>
  <c r="AM118" i="1"/>
  <c r="AM119" i="1"/>
  <c r="AM219" i="1"/>
  <c r="AK152" i="9"/>
  <c r="AL107" i="7"/>
  <c r="AL107" i="22"/>
  <c r="AL122" i="11"/>
  <c r="AQ104" i="8"/>
  <c r="AQ105" i="8"/>
  <c r="AQ106" i="8"/>
  <c r="AQ107" i="8"/>
  <c r="AR38" i="8"/>
  <c r="AO36" i="8"/>
  <c r="AN99" i="8"/>
  <c r="AN100" i="8"/>
  <c r="AN101" i="8"/>
  <c r="AN102" i="8"/>
  <c r="AM120" i="11"/>
  <c r="AM121" i="11"/>
  <c r="AM122" i="11"/>
  <c r="AN119" i="11"/>
  <c r="AO44" i="11"/>
  <c r="T41" i="32"/>
  <c r="L41" i="32"/>
  <c r="N41" i="32"/>
  <c r="O41" i="32"/>
  <c r="P41" i="32"/>
  <c r="Q41" i="32"/>
  <c r="AN41" i="32"/>
  <c r="AO38" i="22"/>
  <c r="AN104" i="22"/>
  <c r="AN105" i="22"/>
  <c r="AN106" i="22"/>
  <c r="AN107" i="22"/>
  <c r="AN48" i="22"/>
  <c r="AM129" i="22"/>
  <c r="AM130" i="22"/>
  <c r="AM131" i="22"/>
  <c r="AM132" i="22"/>
  <c r="AL95" i="22"/>
  <c r="AL96" i="22"/>
  <c r="AL97" i="22"/>
  <c r="AN34" i="22"/>
  <c r="AM94" i="22"/>
  <c r="AP109" i="7"/>
  <c r="AP110" i="7"/>
  <c r="AP111" i="7"/>
  <c r="AP112" i="7"/>
  <c r="AQ40" i="7"/>
  <c r="AO30" i="7"/>
  <c r="AN84" i="7"/>
  <c r="AN85" i="7"/>
  <c r="AN86" i="7"/>
  <c r="AN87" i="7"/>
  <c r="AN104" i="7"/>
  <c r="AN105" i="7"/>
  <c r="AN106" i="7"/>
  <c r="AN107" i="7"/>
  <c r="AO38" i="7"/>
  <c r="AL95" i="7"/>
  <c r="AL96" i="7"/>
  <c r="AL97" i="7"/>
  <c r="AM105" i="7"/>
  <c r="AM106" i="7"/>
  <c r="AM107" i="7"/>
  <c r="AN99" i="7"/>
  <c r="AN100" i="7"/>
  <c r="AN101" i="7"/>
  <c r="AN102" i="7"/>
  <c r="AO36" i="7"/>
  <c r="AM114" i="7"/>
  <c r="AM115" i="7"/>
  <c r="AM116" i="7"/>
  <c r="AM117" i="7"/>
  <c r="AN42" i="7"/>
  <c r="AM94" i="7"/>
  <c r="AM95" i="7"/>
  <c r="AM96" i="7"/>
  <c r="AM97" i="7"/>
  <c r="AN34" i="7"/>
  <c r="AQ38" i="6"/>
  <c r="AP118" i="6"/>
  <c r="AP119" i="6"/>
  <c r="AP120" i="6"/>
  <c r="AP121" i="6"/>
  <c r="AP104" i="9"/>
  <c r="AP105" i="9"/>
  <c r="AP106" i="9"/>
  <c r="AP107" i="9"/>
  <c r="AQ38" i="9"/>
  <c r="AQ144" i="9"/>
  <c r="AQ145" i="9"/>
  <c r="AQ146" i="9"/>
  <c r="AQ147" i="9"/>
  <c r="AR54" i="9"/>
  <c r="AN34" i="9"/>
  <c r="AM94" i="9"/>
  <c r="AM95" i="9"/>
  <c r="AM96" i="9"/>
  <c r="AM97" i="9"/>
  <c r="AN46" i="9"/>
  <c r="AM124" i="9"/>
  <c r="AM42" i="9"/>
  <c r="AL114" i="9"/>
  <c r="AL115" i="9"/>
  <c r="AL116" i="9"/>
  <c r="AL117" i="9"/>
  <c r="AO50" i="9"/>
  <c r="AN134" i="9"/>
  <c r="AN135" i="9"/>
  <c r="AN136" i="9"/>
  <c r="AN137" i="9"/>
  <c r="AM119" i="9"/>
  <c r="AM120" i="9"/>
  <c r="AM121" i="9"/>
  <c r="AM122" i="9"/>
  <c r="AN44" i="9"/>
  <c r="AM149" i="9"/>
  <c r="AM150" i="9"/>
  <c r="AM151" i="9"/>
  <c r="AM152" i="9"/>
  <c r="AN56" i="9"/>
  <c r="AN48" i="9"/>
  <c r="AM129" i="9"/>
  <c r="AM130" i="9"/>
  <c r="AM131" i="9"/>
  <c r="AM132" i="9"/>
  <c r="AO89" i="9"/>
  <c r="AO90" i="9"/>
  <c r="AO91" i="9"/>
  <c r="AO92" i="9"/>
  <c r="AP32" i="9"/>
  <c r="AL120" i="9"/>
  <c r="AL121" i="9"/>
  <c r="AL122" i="9"/>
  <c r="AL197" i="1"/>
  <c r="AL198" i="1"/>
  <c r="AL199" i="1"/>
  <c r="AL207" i="1"/>
  <c r="AL208" i="1"/>
  <c r="AL209" i="1"/>
  <c r="AN74" i="1"/>
  <c r="AM196" i="1"/>
  <c r="AM197" i="1"/>
  <c r="AM198" i="1"/>
  <c r="AM199" i="1"/>
  <c r="AN78" i="1"/>
  <c r="AM206" i="1"/>
  <c r="AM207" i="1"/>
  <c r="AM208" i="1"/>
  <c r="AM209" i="1"/>
  <c r="AO72" i="1"/>
  <c r="AN191" i="1"/>
  <c r="AN192" i="1"/>
  <c r="AN193" i="1"/>
  <c r="AN194" i="1"/>
  <c r="AN202" i="1"/>
  <c r="AN203" i="1"/>
  <c r="AO60" i="1"/>
  <c r="AN161" i="1"/>
  <c r="AN162" i="1"/>
  <c r="AN163" i="1"/>
  <c r="AN164" i="1"/>
  <c r="AP66" i="1"/>
  <c r="AO176" i="1"/>
  <c r="AN70" i="1"/>
  <c r="AM186" i="1"/>
  <c r="AM187" i="1"/>
  <c r="AM188" i="1"/>
  <c r="AM189" i="1"/>
  <c r="AP76" i="1"/>
  <c r="AO201" i="1"/>
  <c r="AM162" i="1"/>
  <c r="AM163" i="1"/>
  <c r="AM164" i="1"/>
  <c r="AT56" i="1"/>
  <c r="AS151" i="1"/>
  <c r="AS152" i="1"/>
  <c r="AS153" i="1"/>
  <c r="AS154" i="1"/>
  <c r="AR115" i="11"/>
  <c r="AR116" i="11"/>
  <c r="AR117" i="11"/>
  <c r="AT42" i="11"/>
  <c r="AS114" i="11"/>
  <c r="V18" i="26"/>
  <c r="S35" i="34"/>
  <c r="R34" i="34"/>
  <c r="V19" i="26"/>
  <c r="S36" i="34"/>
  <c r="P39" i="34"/>
  <c r="Q39" i="34"/>
  <c r="U38" i="34"/>
  <c r="AF40" i="35"/>
  <c r="AC40" i="35"/>
  <c r="AL40" i="35"/>
  <c r="AM40" i="35"/>
  <c r="X40" i="35"/>
  <c r="AD40" i="35"/>
  <c r="AK40" i="35"/>
  <c r="AI40" i="35"/>
  <c r="AJ40" i="35"/>
  <c r="Z40" i="35"/>
  <c r="AA40" i="35"/>
  <c r="AG40" i="35"/>
  <c r="AN40" i="35"/>
  <c r="AB40" i="35"/>
  <c r="Y40" i="35"/>
  <c r="AH40" i="35"/>
  <c r="AE40" i="35"/>
  <c r="AL107" i="11"/>
  <c r="AR30" i="11"/>
  <c r="AQ84" i="11"/>
  <c r="AO99" i="11"/>
  <c r="AP36" i="11"/>
  <c r="AP85" i="11"/>
  <c r="AP86" i="11"/>
  <c r="AP87" i="11"/>
  <c r="AM105" i="11"/>
  <c r="AM106" i="11"/>
  <c r="AN100" i="11"/>
  <c r="AN101" i="11"/>
  <c r="AN102" i="11"/>
  <c r="AN104" i="11"/>
  <c r="AO38" i="11"/>
  <c r="AM135" i="10"/>
  <c r="AM136" i="10"/>
  <c r="AM137" i="10"/>
  <c r="AO50" i="10"/>
  <c r="AN134" i="10"/>
  <c r="AM100" i="10"/>
  <c r="AM101" i="10"/>
  <c r="AM102" i="10"/>
  <c r="AN99" i="10"/>
  <c r="AO36" i="10"/>
  <c r="AM154" i="22"/>
  <c r="AN58" i="22"/>
  <c r="AL155" i="22"/>
  <c r="AL156" i="22"/>
  <c r="AL157" i="22"/>
  <c r="AM145" i="22"/>
  <c r="AM146" i="22"/>
  <c r="AM147" i="22"/>
  <c r="AM110" i="22"/>
  <c r="AM111" i="22"/>
  <c r="AM112" i="22"/>
  <c r="AN109" i="22"/>
  <c r="AO40" i="22"/>
  <c r="AN99" i="22"/>
  <c r="AO36" i="22"/>
  <c r="AN144" i="22"/>
  <c r="AO54" i="22"/>
  <c r="AM100" i="22"/>
  <c r="AM101" i="22"/>
  <c r="AM102" i="22"/>
  <c r="AO150" i="8"/>
  <c r="AO151" i="8"/>
  <c r="AO152" i="8"/>
  <c r="AQ56" i="8"/>
  <c r="AP149" i="8"/>
  <c r="AM145" i="8"/>
  <c r="AM146" i="8"/>
  <c r="AM147" i="8"/>
  <c r="AO54" i="8"/>
  <c r="AN144" i="8"/>
  <c r="AK85" i="8"/>
  <c r="AK86" i="8"/>
  <c r="AK87" i="8"/>
  <c r="AL130" i="8"/>
  <c r="AL131" i="8"/>
  <c r="AL132" i="8"/>
  <c r="AL140" i="8"/>
  <c r="AL141" i="8"/>
  <c r="AL142" i="8"/>
  <c r="AL110" i="8"/>
  <c r="AL111" i="8"/>
  <c r="AL112" i="8"/>
  <c r="AM139" i="8"/>
  <c r="AN52" i="8"/>
  <c r="AM30" i="8"/>
  <c r="AL84" i="8"/>
  <c r="AL90" i="8"/>
  <c r="AL91" i="8"/>
  <c r="AL92" i="8"/>
  <c r="AM129" i="8"/>
  <c r="AN48" i="8"/>
  <c r="AM109" i="8"/>
  <c r="AN40" i="8"/>
  <c r="AN32" i="8"/>
  <c r="AM89" i="8"/>
  <c r="AM144" i="7"/>
  <c r="AN54" i="7"/>
  <c r="AL145" i="7"/>
  <c r="AL146" i="7"/>
  <c r="AL147" i="7"/>
  <c r="AN52" i="7"/>
  <c r="AM139" i="7"/>
  <c r="AL140" i="7"/>
  <c r="AL141" i="7"/>
  <c r="AL142" i="7"/>
  <c r="AM134" i="7"/>
  <c r="AN50" i="7"/>
  <c r="AL135" i="7"/>
  <c r="AL136" i="7"/>
  <c r="AL137" i="7"/>
  <c r="AP46" i="7"/>
  <c r="AO124" i="7"/>
  <c r="AN125" i="7"/>
  <c r="AN126" i="7"/>
  <c r="AN127" i="7"/>
  <c r="AP119" i="7"/>
  <c r="AQ44" i="7"/>
  <c r="AU32" i="7"/>
  <c r="AT89" i="7"/>
  <c r="AO120" i="7"/>
  <c r="AO121" i="7"/>
  <c r="AO122" i="7"/>
  <c r="AS90" i="7"/>
  <c r="AS91" i="7"/>
  <c r="AS92" i="7"/>
  <c r="AL164" i="6"/>
  <c r="AL165" i="6"/>
  <c r="AL166" i="6"/>
  <c r="AM163" i="6"/>
  <c r="AN56" i="6"/>
  <c r="AM158" i="6"/>
  <c r="AN54" i="6"/>
  <c r="AL159" i="6"/>
  <c r="AL160" i="6"/>
  <c r="AL161" i="6"/>
  <c r="AN52" i="6"/>
  <c r="AM153" i="6"/>
  <c r="AL154" i="6"/>
  <c r="AL155" i="6"/>
  <c r="AL156" i="6"/>
  <c r="AM148" i="6"/>
  <c r="AN50" i="6"/>
  <c r="AL149" i="6"/>
  <c r="AL150" i="6"/>
  <c r="AL151" i="6"/>
  <c r="AM143" i="6"/>
  <c r="AN48" i="6"/>
  <c r="AL144" i="6"/>
  <c r="AL145" i="6"/>
  <c r="AL146" i="6"/>
  <c r="AO60" i="9"/>
  <c r="AN159" i="9"/>
  <c r="AM160" i="9"/>
  <c r="AM161" i="9"/>
  <c r="AM162" i="9"/>
  <c r="AM154" i="9"/>
  <c r="AN58" i="9"/>
  <c r="AL155" i="9"/>
  <c r="AL156" i="9"/>
  <c r="AL157" i="9"/>
  <c r="AM110" i="9"/>
  <c r="AM111" i="9"/>
  <c r="AM112" i="9"/>
  <c r="AN109" i="9"/>
  <c r="AO40" i="9"/>
  <c r="AM100" i="9"/>
  <c r="AM101" i="9"/>
  <c r="AM102" i="9"/>
  <c r="AN99" i="9"/>
  <c r="AO36" i="9"/>
  <c r="AL167" i="1"/>
  <c r="AL168" i="1"/>
  <c r="AL169" i="1"/>
  <c r="AN62" i="1"/>
  <c r="AM166" i="1"/>
  <c r="AN54" i="1"/>
  <c r="AM146" i="1"/>
  <c r="AM126" i="1"/>
  <c r="AN46" i="1"/>
  <c r="AL147" i="1"/>
  <c r="AL148" i="1"/>
  <c r="AL149" i="1"/>
  <c r="AL127" i="1"/>
  <c r="AL128" i="1"/>
  <c r="AL129" i="1"/>
  <c r="AO121" i="1"/>
  <c r="AP44" i="1"/>
  <c r="AN122" i="1"/>
  <c r="AN123" i="1"/>
  <c r="AN124" i="1"/>
  <c r="AO101" i="1"/>
  <c r="AP36" i="1"/>
  <c r="AN112" i="1"/>
  <c r="AN113" i="1"/>
  <c r="AN114" i="1"/>
  <c r="AN38" i="1"/>
  <c r="AM106" i="1"/>
  <c r="AN102" i="1"/>
  <c r="AN103" i="1"/>
  <c r="AN104" i="1"/>
  <c r="AO111" i="1"/>
  <c r="AP40" i="1"/>
  <c r="AL107" i="1"/>
  <c r="AL108" i="1"/>
  <c r="AL109" i="1"/>
  <c r="U41" i="37"/>
  <c r="W41" i="37"/>
  <c r="V41" i="37"/>
  <c r="T40" i="33"/>
  <c r="AO48" i="7"/>
  <c r="AN129" i="7"/>
  <c r="AN130" i="7"/>
  <c r="AN131" i="7"/>
  <c r="AN132" i="7"/>
  <c r="BS197" i="9"/>
  <c r="U40" i="36"/>
  <c r="BW42" i="2"/>
  <c r="M49" i="41"/>
  <c r="BX163" i="2"/>
  <c r="BV74" i="9"/>
  <c r="BU194" i="9"/>
  <c r="BT195" i="9"/>
  <c r="BT196" i="9"/>
  <c r="BT197" i="9"/>
  <c r="AQ59" i="11"/>
  <c r="AR229" i="11"/>
  <c r="K43" i="31"/>
  <c r="L43" i="31"/>
  <c r="N43" i="31"/>
  <c r="O43" i="31"/>
  <c r="P43" i="31"/>
  <c r="Q43" i="31"/>
  <c r="R43" i="31"/>
  <c r="AA35" i="41"/>
  <c r="T43" i="31"/>
  <c r="M47" i="36"/>
  <c r="CF40" i="2"/>
  <c r="AH35" i="41"/>
  <c r="AG35" i="41"/>
  <c r="Y35" i="41"/>
  <c r="AD35" i="41"/>
  <c r="AB35" i="41"/>
  <c r="AF35" i="41"/>
  <c r="K35" i="41"/>
  <c r="T35" i="41"/>
  <c r="AI35" i="41"/>
  <c r="AC35" i="41"/>
  <c r="X35" i="41"/>
  <c r="AE35" i="41"/>
  <c r="AB41" i="32"/>
  <c r="AC41" i="32"/>
  <c r="AF43" i="31"/>
  <c r="AG43" i="31"/>
  <c r="AB43" i="31"/>
  <c r="Y43" i="31"/>
  <c r="AE43" i="31"/>
  <c r="AC43" i="31"/>
  <c r="Z43" i="31"/>
  <c r="AD43" i="31"/>
  <c r="AK43" i="31"/>
  <c r="AO43" i="31"/>
  <c r="AH43" i="31"/>
  <c r="Q35" i="41"/>
  <c r="AW177" i="10"/>
  <c r="AL202" i="10"/>
  <c r="AR167" i="8"/>
  <c r="AL207" i="8"/>
  <c r="BM132" i="11"/>
  <c r="AM202" i="7"/>
  <c r="AP127" i="11"/>
  <c r="AL202" i="22"/>
  <c r="AV192" i="22"/>
  <c r="BK172" i="22"/>
  <c r="AS207" i="7"/>
  <c r="AL137" i="11"/>
  <c r="AL162" i="10"/>
  <c r="AL167" i="9"/>
  <c r="AL192" i="9"/>
  <c r="BD202" i="8"/>
  <c r="BL212" i="10"/>
  <c r="AT167" i="22"/>
  <c r="AV207" i="22"/>
  <c r="BD269" i="40"/>
  <c r="BD270" i="40"/>
  <c r="BD271" i="40"/>
  <c r="BD272" i="40"/>
  <c r="BE102" i="40"/>
  <c r="BD249" i="40"/>
  <c r="BD250" i="40"/>
  <c r="BD251" i="40"/>
  <c r="BD252" i="40"/>
  <c r="BE94" i="40"/>
  <c r="BC250" i="40"/>
  <c r="BC251" i="40"/>
  <c r="BC252" i="40"/>
  <c r="BJ275" i="40"/>
  <c r="BJ276" i="40"/>
  <c r="BJ277" i="40"/>
  <c r="BK260" i="40"/>
  <c r="BK261" i="40"/>
  <c r="BK262" i="40"/>
  <c r="BD244" i="40"/>
  <c r="BE92" i="40"/>
  <c r="BD289" i="40"/>
  <c r="BE110" i="40"/>
  <c r="BD264" i="40"/>
  <c r="BD265" i="40"/>
  <c r="BD266" i="40"/>
  <c r="BD267" i="40"/>
  <c r="BE100" i="40"/>
  <c r="BD284" i="40"/>
  <c r="BE108" i="40"/>
  <c r="BC245" i="40"/>
  <c r="BC246" i="40"/>
  <c r="BC247" i="40"/>
  <c r="BC290" i="40"/>
  <c r="BC291" i="40"/>
  <c r="BC292" i="40"/>
  <c r="BC265" i="40"/>
  <c r="BC266" i="40"/>
  <c r="BC267" i="40"/>
  <c r="BC285" i="40"/>
  <c r="BC286" i="40"/>
  <c r="BC287" i="40"/>
  <c r="BJ106" i="40"/>
  <c r="BJ279" i="40"/>
  <c r="BK104" i="40"/>
  <c r="BK274" i="40"/>
  <c r="BL98" i="40"/>
  <c r="BL259" i="40"/>
  <c r="BK96" i="40"/>
  <c r="BK254" i="40"/>
  <c r="BK255" i="40"/>
  <c r="BK256" i="40"/>
  <c r="BK257" i="40"/>
  <c r="BG90" i="40"/>
  <c r="BF76" i="40"/>
  <c r="BE204" i="40"/>
  <c r="BE185" i="40"/>
  <c r="BE186" i="40"/>
  <c r="BC200" i="40"/>
  <c r="BC201" i="40"/>
  <c r="BD225" i="40"/>
  <c r="BD226" i="40"/>
  <c r="BE62" i="40"/>
  <c r="BD169" i="40"/>
  <c r="BF80" i="40"/>
  <c r="BE214" i="40"/>
  <c r="BF66" i="40"/>
  <c r="BE179" i="40"/>
  <c r="BD239" i="40"/>
  <c r="BG72" i="40"/>
  <c r="BF194" i="40"/>
  <c r="BC237" i="40"/>
  <c r="BC230" i="40"/>
  <c r="BC231" i="40"/>
  <c r="BG64" i="40"/>
  <c r="BF174" i="40"/>
  <c r="BF84" i="40"/>
  <c r="BE224" i="40"/>
  <c r="BC167" i="40"/>
  <c r="BE44" i="40"/>
  <c r="BD124" i="40"/>
  <c r="BB232" i="40"/>
  <c r="BB202" i="40"/>
  <c r="BC190" i="40"/>
  <c r="BC191" i="40"/>
  <c r="BD140" i="40"/>
  <c r="BD141" i="40"/>
  <c r="BB192" i="40"/>
  <c r="BC217" i="40"/>
  <c r="BE56" i="40"/>
  <c r="BD154" i="40"/>
  <c r="BC160" i="40"/>
  <c r="BC161" i="40"/>
  <c r="BD115" i="40"/>
  <c r="BD116" i="40"/>
  <c r="BD117" i="40"/>
  <c r="BC145" i="40"/>
  <c r="BC146" i="40"/>
  <c r="BC147" i="40"/>
  <c r="BE42" i="40"/>
  <c r="BD119" i="40"/>
  <c r="BE82" i="40"/>
  <c r="BD219" i="40"/>
  <c r="BE78" i="40"/>
  <c r="BD209" i="40"/>
  <c r="BE48" i="40"/>
  <c r="BD134" i="40"/>
  <c r="BF40" i="40"/>
  <c r="BE114" i="40"/>
  <c r="BB157" i="40"/>
  <c r="BG68" i="40"/>
  <c r="BF184" i="40"/>
  <c r="BE74" i="40"/>
  <c r="BD199" i="40"/>
  <c r="BE52" i="40"/>
  <c r="BD144" i="40"/>
  <c r="BC182" i="40"/>
  <c r="BC220" i="40"/>
  <c r="BC221" i="40"/>
  <c r="BC222" i="40"/>
  <c r="BC207" i="40"/>
  <c r="BD187" i="40"/>
  <c r="BB162" i="40"/>
  <c r="BD165" i="40"/>
  <c r="BD166" i="40"/>
  <c r="BC170" i="40"/>
  <c r="BC171" i="40"/>
  <c r="BD180" i="40"/>
  <c r="BD181" i="40"/>
  <c r="BF50" i="40"/>
  <c r="BE139" i="40"/>
  <c r="BD235" i="40"/>
  <c r="BD236" i="40"/>
  <c r="BD237" i="40"/>
  <c r="BC130" i="40"/>
  <c r="BC131" i="40"/>
  <c r="BC132" i="40"/>
  <c r="BC240" i="40"/>
  <c r="BC241" i="40"/>
  <c r="BC210" i="40"/>
  <c r="BC211" i="40"/>
  <c r="BC135" i="40"/>
  <c r="BC136" i="40"/>
  <c r="BC137" i="40"/>
  <c r="BC150" i="40"/>
  <c r="BC151" i="40"/>
  <c r="BC152" i="40"/>
  <c r="BE195" i="40"/>
  <c r="BE196" i="40"/>
  <c r="BE197" i="40"/>
  <c r="BD205" i="40"/>
  <c r="BD206" i="40"/>
  <c r="BD207" i="40"/>
  <c r="BE86" i="40"/>
  <c r="BD229" i="40"/>
  <c r="BB212" i="40"/>
  <c r="BE175" i="40"/>
  <c r="BE176" i="40"/>
  <c r="BE177" i="40"/>
  <c r="BC120" i="40"/>
  <c r="BC121" i="40"/>
  <c r="BC122" i="40"/>
  <c r="BC125" i="40"/>
  <c r="BC126" i="40"/>
  <c r="BC127" i="40"/>
  <c r="BF60" i="40"/>
  <c r="BE164" i="40"/>
  <c r="BD177" i="40"/>
  <c r="BE70" i="40"/>
  <c r="BD189" i="40"/>
  <c r="BD215" i="40"/>
  <c r="BD216" i="40"/>
  <c r="BF88" i="40"/>
  <c r="BE234" i="40"/>
  <c r="BE46" i="40"/>
  <c r="BD129" i="40"/>
  <c r="BE54" i="40"/>
  <c r="BD149" i="40"/>
  <c r="BC155" i="40"/>
  <c r="BC156" i="40"/>
  <c r="BE58" i="40"/>
  <c r="BD159" i="40"/>
  <c r="AL182" i="10"/>
  <c r="T40" i="35"/>
  <c r="AS187" i="22"/>
  <c r="AO50" i="11"/>
  <c r="AN134" i="11"/>
  <c r="AO62" i="9"/>
  <c r="AN164" i="9"/>
  <c r="AW205" i="22"/>
  <c r="AW206" i="22"/>
  <c r="BN170" i="10"/>
  <c r="BN171" i="10"/>
  <c r="AU204" i="7"/>
  <c r="AV78" i="7"/>
  <c r="AX176" i="10"/>
  <c r="AX175" i="10"/>
  <c r="AL202" i="11"/>
  <c r="AU207" i="9"/>
  <c r="BN176" i="9"/>
  <c r="BN175" i="9"/>
  <c r="BB58" i="8"/>
  <c r="BA154" i="8"/>
  <c r="AO70" i="8"/>
  <c r="AN184" i="8"/>
  <c r="AM180" i="10"/>
  <c r="AM181" i="10"/>
  <c r="AW55" i="11"/>
  <c r="AX227" i="11"/>
  <c r="AL187" i="8"/>
  <c r="AN199" i="22"/>
  <c r="AO76" i="22"/>
  <c r="BK174" i="22"/>
  <c r="BL66" i="22"/>
  <c r="AM200" i="10"/>
  <c r="AM201" i="10"/>
  <c r="AS166" i="8"/>
  <c r="AS165" i="8"/>
  <c r="AT78" i="11"/>
  <c r="AS204" i="11"/>
  <c r="AQ126" i="11"/>
  <c r="AQ125" i="11"/>
  <c r="BA240" i="8"/>
  <c r="AZ81" i="8"/>
  <c r="AM161" i="10"/>
  <c r="AM160" i="10"/>
  <c r="AY157" i="8"/>
  <c r="BM210" i="10"/>
  <c r="BM211" i="10"/>
  <c r="AM200" i="11"/>
  <c r="AM201" i="11"/>
  <c r="AM166" i="9"/>
  <c r="AM165" i="9"/>
  <c r="BP64" i="10"/>
  <c r="BO169" i="10"/>
  <c r="AV206" i="9"/>
  <c r="AV205" i="9"/>
  <c r="BP66" i="9"/>
  <c r="BO174" i="9"/>
  <c r="BC195" i="11"/>
  <c r="BC196" i="11"/>
  <c r="AW191" i="22"/>
  <c r="AW190" i="22"/>
  <c r="AM200" i="22"/>
  <c r="AM201" i="22"/>
  <c r="BJ176" i="22"/>
  <c r="BJ175" i="22"/>
  <c r="AN199" i="10"/>
  <c r="AO76" i="10"/>
  <c r="AU62" i="8"/>
  <c r="AT164" i="8"/>
  <c r="BA62" i="10"/>
  <c r="AZ164" i="10"/>
  <c r="AM175" i="7"/>
  <c r="AM176" i="7"/>
  <c r="AS46" i="11"/>
  <c r="AR124" i="11"/>
  <c r="AO60" i="10"/>
  <c r="AN159" i="10"/>
  <c r="BO80" i="10"/>
  <c r="BN209" i="10"/>
  <c r="AN149" i="22"/>
  <c r="AN150" i="22"/>
  <c r="AN151" i="22"/>
  <c r="AN152" i="22"/>
  <c r="AO56" i="22"/>
  <c r="AH41" i="32"/>
  <c r="AO76" i="11"/>
  <c r="AN199" i="11"/>
  <c r="AM152" i="11"/>
  <c r="AP155" i="7"/>
  <c r="AP156" i="7"/>
  <c r="AX167" i="10"/>
  <c r="AL177" i="7"/>
  <c r="AQ162" i="7"/>
  <c r="BI177" i="22"/>
  <c r="AW204" i="9"/>
  <c r="AX78" i="9"/>
  <c r="AU172" i="9"/>
  <c r="AT185" i="22"/>
  <c r="AT186" i="22"/>
  <c r="BA187" i="10"/>
  <c r="AV170" i="9"/>
  <c r="AV171" i="9"/>
  <c r="BE74" i="11"/>
  <c r="BD194" i="11"/>
  <c r="AM206" i="8"/>
  <c r="AM205" i="8"/>
  <c r="AY72" i="22"/>
  <c r="AX189" i="22"/>
  <c r="AN201" i="7"/>
  <c r="AN200" i="7"/>
  <c r="BQ58" i="10"/>
  <c r="BP154" i="10"/>
  <c r="AN150" i="11"/>
  <c r="AN151" i="11"/>
  <c r="AO157" i="7"/>
  <c r="AY166" i="10"/>
  <c r="AY165" i="10"/>
  <c r="AO66" i="7"/>
  <c r="AN174" i="7"/>
  <c r="AT60" i="7"/>
  <c r="AS159" i="7"/>
  <c r="BI54" i="10"/>
  <c r="BH144" i="10"/>
  <c r="BM172" i="10"/>
  <c r="AN138" i="6"/>
  <c r="AN139" i="6"/>
  <c r="AN140" i="6"/>
  <c r="AN141" i="6"/>
  <c r="AO46" i="6"/>
  <c r="BD70" i="10"/>
  <c r="BC184" i="10"/>
  <c r="AU166" i="22"/>
  <c r="AU165" i="22"/>
  <c r="AM135" i="11"/>
  <c r="AM136" i="11"/>
  <c r="AR58" i="7"/>
  <c r="AQ154" i="7"/>
  <c r="AQ207" i="11"/>
  <c r="AY78" i="22"/>
  <c r="AX204" i="22"/>
  <c r="BF147" i="10"/>
  <c r="AT206" i="7"/>
  <c r="AT205" i="7"/>
  <c r="BN157" i="10"/>
  <c r="BM177" i="9"/>
  <c r="AY174" i="10"/>
  <c r="AZ66" i="10"/>
  <c r="AU184" i="22"/>
  <c r="AV70" i="22"/>
  <c r="AZ156" i="8"/>
  <c r="AZ155" i="8"/>
  <c r="AW169" i="9"/>
  <c r="AX64" i="9"/>
  <c r="AM186" i="8"/>
  <c r="AM185" i="8"/>
  <c r="AN204" i="8"/>
  <c r="AO78" i="8"/>
  <c r="AN179" i="10"/>
  <c r="AO68" i="10"/>
  <c r="BD230" i="11"/>
  <c r="BC61" i="11"/>
  <c r="AP76" i="7"/>
  <c r="AO199" i="7"/>
  <c r="BO155" i="10"/>
  <c r="BO156" i="10"/>
  <c r="AP56" i="11"/>
  <c r="AO149" i="11"/>
  <c r="AR205" i="11"/>
  <c r="AR206" i="11"/>
  <c r="AR161" i="7"/>
  <c r="AR160" i="7"/>
  <c r="BG145" i="10"/>
  <c r="BG146" i="10"/>
  <c r="BB186" i="10"/>
  <c r="BB185" i="10"/>
  <c r="AV164" i="22"/>
  <c r="AW62" i="22"/>
  <c r="BB197" i="11"/>
  <c r="AA22" i="26"/>
  <c r="S39" i="35"/>
  <c r="Q40" i="35"/>
  <c r="R40" i="35"/>
  <c r="AE41" i="32"/>
  <c r="X41" i="32"/>
  <c r="AJ41" i="32"/>
  <c r="AK41" i="32"/>
  <c r="G25" i="26"/>
  <c r="S42" i="31"/>
  <c r="AM43" i="31"/>
  <c r="X43" i="31"/>
  <c r="AJ43" i="31"/>
  <c r="AA43" i="31"/>
  <c r="AP43" i="31"/>
  <c r="AQ43" i="31"/>
  <c r="AN43" i="31"/>
  <c r="AI43" i="31"/>
  <c r="AL43" i="31"/>
  <c r="AQ40" i="11"/>
  <c r="AP109" i="11"/>
  <c r="AP110" i="11"/>
  <c r="AP111" i="11"/>
  <c r="AP112" i="11"/>
  <c r="AO38" i="10"/>
  <c r="AN104" i="10"/>
  <c r="AN105" i="10"/>
  <c r="AN106" i="10"/>
  <c r="AN107" i="10"/>
  <c r="AO40" i="10"/>
  <c r="AN109" i="10"/>
  <c r="AN110" i="10"/>
  <c r="AN111" i="10"/>
  <c r="AN112" i="10"/>
  <c r="AN124" i="10"/>
  <c r="AN125" i="10"/>
  <c r="AN126" i="10"/>
  <c r="AN127" i="10"/>
  <c r="AO46" i="10"/>
  <c r="AO30" i="10"/>
  <c r="AN84" i="10"/>
  <c r="AN85" i="10"/>
  <c r="AN86" i="10"/>
  <c r="AN87" i="10"/>
  <c r="AN139" i="10"/>
  <c r="AN140" i="10"/>
  <c r="AN141" i="10"/>
  <c r="AN142" i="10"/>
  <c r="AO52" i="10"/>
  <c r="AP44" i="10"/>
  <c r="AO119" i="10"/>
  <c r="AO120" i="10"/>
  <c r="AO121" i="10"/>
  <c r="AO122" i="10"/>
  <c r="AN89" i="10"/>
  <c r="AN90" i="10"/>
  <c r="AN91" i="10"/>
  <c r="AN92" i="10"/>
  <c r="AO32" i="10"/>
  <c r="AN94" i="10"/>
  <c r="AN95" i="10"/>
  <c r="AN96" i="10"/>
  <c r="AN97" i="10"/>
  <c r="AO34" i="10"/>
  <c r="AO48" i="10"/>
  <c r="AN129" i="10"/>
  <c r="AN130" i="10"/>
  <c r="AN131" i="10"/>
  <c r="AN132" i="10"/>
  <c r="AN114" i="10"/>
  <c r="AN115" i="10"/>
  <c r="AN116" i="10"/>
  <c r="AN117" i="10"/>
  <c r="AO42" i="10"/>
  <c r="AP52" i="22"/>
  <c r="AO139" i="22"/>
  <c r="AO140" i="22"/>
  <c r="AO141" i="22"/>
  <c r="AO142" i="22"/>
  <c r="AO124" i="22"/>
  <c r="AO125" i="22"/>
  <c r="AO126" i="22"/>
  <c r="AO127" i="22"/>
  <c r="AP46" i="22"/>
  <c r="AO42" i="22"/>
  <c r="AN114" i="22"/>
  <c r="AN115" i="22"/>
  <c r="AN116" i="22"/>
  <c r="AN117" i="22"/>
  <c r="AN134" i="22"/>
  <c r="AN135" i="22"/>
  <c r="AN136" i="22"/>
  <c r="AN137" i="22"/>
  <c r="AO50" i="22"/>
  <c r="AP50" i="8"/>
  <c r="AO134" i="8"/>
  <c r="AO135" i="8"/>
  <c r="AO136" i="8"/>
  <c r="AO137" i="8"/>
  <c r="AO46" i="8"/>
  <c r="AN124" i="8"/>
  <c r="AN125" i="8"/>
  <c r="AN126" i="8"/>
  <c r="AN127" i="8"/>
  <c r="BM212" i="9"/>
  <c r="BQ142" i="11"/>
  <c r="BJ207" i="10"/>
  <c r="BI182" i="9"/>
  <c r="BF177" i="8"/>
  <c r="BC192" i="11"/>
  <c r="AQ192" i="8"/>
  <c r="BN182" i="7"/>
  <c r="BR192" i="10"/>
  <c r="BF175" i="11"/>
  <c r="BF176" i="11"/>
  <c r="AM201" i="9"/>
  <c r="AM200" i="9"/>
  <c r="BN64" i="22"/>
  <c r="BM169" i="22"/>
  <c r="BH197" i="22"/>
  <c r="BS191" i="10"/>
  <c r="BS190" i="10"/>
  <c r="BX84" i="22"/>
  <c r="BY30" i="22"/>
  <c r="BE180" i="8"/>
  <c r="BE181" i="8"/>
  <c r="BD190" i="11"/>
  <c r="BD191" i="11"/>
  <c r="AV41" i="2"/>
  <c r="M48" i="35"/>
  <c r="AW162" i="2"/>
  <c r="BE41" i="2"/>
  <c r="BF162" i="2"/>
  <c r="BP179" i="7"/>
  <c r="BQ68" i="7"/>
  <c r="AN189" i="9"/>
  <c r="AO72" i="9"/>
  <c r="BE69" i="11"/>
  <c r="BF234" i="11"/>
  <c r="BN56" i="10"/>
  <c r="BM149" i="10"/>
  <c r="AN89" i="22"/>
  <c r="AN90" i="22"/>
  <c r="AN91" i="22"/>
  <c r="AN92" i="22"/>
  <c r="AO32" i="22"/>
  <c r="BI80" i="11"/>
  <c r="BH209" i="11"/>
  <c r="BY170" i="7"/>
  <c r="BY171" i="7"/>
  <c r="BF162" i="22"/>
  <c r="BK152" i="10"/>
  <c r="BK187" i="9"/>
  <c r="BI212" i="22"/>
  <c r="BH186" i="7"/>
  <c r="BH185" i="7"/>
  <c r="BF212" i="11"/>
  <c r="BI179" i="22"/>
  <c r="BJ68" i="22"/>
  <c r="BG174" i="11"/>
  <c r="BH66" i="11"/>
  <c r="BD182" i="8"/>
  <c r="AN199" i="9"/>
  <c r="AO76" i="9"/>
  <c r="BL171" i="22"/>
  <c r="BL170" i="22"/>
  <c r="BK210" i="7"/>
  <c r="BK211" i="7"/>
  <c r="AR191" i="8"/>
  <c r="AR190" i="8"/>
  <c r="BJ210" i="22"/>
  <c r="BJ211" i="22"/>
  <c r="BN130" i="11"/>
  <c r="BN131" i="11"/>
  <c r="BC160" i="8"/>
  <c r="BC161" i="8"/>
  <c r="BU72" i="10"/>
  <c r="BT189" i="10"/>
  <c r="BW85" i="22"/>
  <c r="BW86" i="22"/>
  <c r="BG182" i="22"/>
  <c r="BE177" i="11"/>
  <c r="AL202" i="9"/>
  <c r="BF72" i="11"/>
  <c r="BE189" i="11"/>
  <c r="BR141" i="11"/>
  <c r="BR140" i="11"/>
  <c r="BI195" i="22"/>
  <c r="BI196" i="22"/>
  <c r="BJ212" i="7"/>
  <c r="BN41" i="2"/>
  <c r="M48" i="37"/>
  <c r="BO162" i="2"/>
  <c r="L41" i="2"/>
  <c r="M48" i="31"/>
  <c r="M162" i="2"/>
  <c r="BD63" i="11"/>
  <c r="BE231" i="11"/>
  <c r="AR65" i="8"/>
  <c r="AS232" i="8"/>
  <c r="BK179" i="9"/>
  <c r="BL68" i="9"/>
  <c r="BG187" i="7"/>
  <c r="BO209" i="9"/>
  <c r="BP80" i="9"/>
  <c r="BG197" i="7"/>
  <c r="BJ70" i="7"/>
  <c r="BI184" i="7"/>
  <c r="BV87" i="22"/>
  <c r="BH181" i="22"/>
  <c r="BH180" i="22"/>
  <c r="BI196" i="8"/>
  <c r="BI195" i="8"/>
  <c r="BH159" i="22"/>
  <c r="BI60" i="22"/>
  <c r="AP73" i="7"/>
  <c r="AQ236" i="7"/>
  <c r="BL209" i="7"/>
  <c r="BM80" i="7"/>
  <c r="AT72" i="8"/>
  <c r="AS189" i="8"/>
  <c r="BM184" i="9"/>
  <c r="BN70" i="9"/>
  <c r="BK209" i="22"/>
  <c r="BL80" i="22"/>
  <c r="BO129" i="11"/>
  <c r="BP48" i="11"/>
  <c r="BD159" i="8"/>
  <c r="BE60" i="8"/>
  <c r="BI66" i="8"/>
  <c r="BH174" i="8"/>
  <c r="BK206" i="10"/>
  <c r="BK205" i="10"/>
  <c r="BT52" i="11"/>
  <c r="BS139" i="11"/>
  <c r="BK74" i="22"/>
  <c r="BJ194" i="22"/>
  <c r="AM41" i="2"/>
  <c r="M48" i="34"/>
  <c r="AN162" i="2"/>
  <c r="U41" i="2"/>
  <c r="M48" i="32"/>
  <c r="V162" i="2"/>
  <c r="BH197" i="10"/>
  <c r="BX172" i="7"/>
  <c r="BE200" i="8"/>
  <c r="BE201" i="8"/>
  <c r="BH196" i="7"/>
  <c r="BH195" i="7"/>
  <c r="BJ180" i="9"/>
  <c r="BJ181" i="9"/>
  <c r="AM163" i="2"/>
  <c r="L163" i="2"/>
  <c r="BN163" i="2"/>
  <c r="U163" i="2"/>
  <c r="AV163" i="2"/>
  <c r="AD163" i="2"/>
  <c r="BE163" i="2"/>
  <c r="C163" i="2"/>
  <c r="BI195" i="10"/>
  <c r="BI196" i="10"/>
  <c r="BN210" i="9"/>
  <c r="BN211" i="9"/>
  <c r="BH197" i="8"/>
  <c r="BK74" i="8"/>
  <c r="BJ194" i="8"/>
  <c r="BG160" i="22"/>
  <c r="BG161" i="22"/>
  <c r="BL186" i="9"/>
  <c r="BL185" i="9"/>
  <c r="BG175" i="8"/>
  <c r="BG176" i="8"/>
  <c r="BG68" i="8"/>
  <c r="BF179" i="8"/>
  <c r="BL204" i="10"/>
  <c r="BM78" i="10"/>
  <c r="AD41" i="2"/>
  <c r="M48" i="33"/>
  <c r="AE162" i="2"/>
  <c r="C41" i="2"/>
  <c r="M49" i="30"/>
  <c r="D162" i="2"/>
  <c r="BB162" i="8"/>
  <c r="AZ65" i="11"/>
  <c r="BA232" i="11"/>
  <c r="BO181" i="7"/>
  <c r="BO180" i="7"/>
  <c r="AM190" i="9"/>
  <c r="AM191" i="9"/>
  <c r="BG76" i="8"/>
  <c r="BF199" i="8"/>
  <c r="BL150" i="10"/>
  <c r="BL151" i="10"/>
  <c r="BJ74" i="7"/>
  <c r="BI194" i="7"/>
  <c r="A164" i="2"/>
  <c r="BW164" i="2"/>
  <c r="A44" i="2"/>
  <c r="BG210" i="11"/>
  <c r="BG211" i="11"/>
  <c r="BJ194" i="10"/>
  <c r="BK74" i="10"/>
  <c r="CA64" i="7"/>
  <c r="BZ169" i="7"/>
  <c r="W35" i="30"/>
  <c r="V35" i="30"/>
  <c r="K35" i="30"/>
  <c r="S30" i="30"/>
  <c r="B12" i="26"/>
  <c r="R29" i="30"/>
  <c r="U41" i="33"/>
  <c r="W41" i="33"/>
  <c r="V41" i="33"/>
  <c r="AT34" i="8"/>
  <c r="AS94" i="8"/>
  <c r="AS95" i="8"/>
  <c r="AS96" i="8"/>
  <c r="AS97" i="8"/>
  <c r="AO42" i="8"/>
  <c r="AN114" i="8"/>
  <c r="AN119" i="8"/>
  <c r="AN120" i="8"/>
  <c r="AN121" i="8"/>
  <c r="AN122" i="8"/>
  <c r="AO44" i="8"/>
  <c r="AN89" i="11"/>
  <c r="AN90" i="11"/>
  <c r="AN91" i="11"/>
  <c r="AN92" i="11"/>
  <c r="AO32" i="11"/>
  <c r="AU165" i="7"/>
  <c r="AU166" i="7"/>
  <c r="AT167" i="7"/>
  <c r="AV164" i="7"/>
  <c r="AW62" i="7"/>
  <c r="AO84" i="9"/>
  <c r="AO85" i="9"/>
  <c r="AO86" i="9"/>
  <c r="AO87" i="9"/>
  <c r="AP30" i="9"/>
  <c r="AO52" i="9"/>
  <c r="AN139" i="9"/>
  <c r="AN140" i="9"/>
  <c r="AN141" i="9"/>
  <c r="AN142" i="9"/>
  <c r="AP86" i="1"/>
  <c r="AP87" i="1"/>
  <c r="AP88" i="1"/>
  <c r="AP89" i="1"/>
  <c r="AQ30" i="1"/>
  <c r="AQ32" i="1"/>
  <c r="AP91" i="1"/>
  <c r="AP92" i="1"/>
  <c r="AP93" i="1"/>
  <c r="AP94" i="1"/>
  <c r="AN141" i="1"/>
  <c r="AN142" i="1"/>
  <c r="AN143" i="1"/>
  <c r="AN144" i="1"/>
  <c r="AO52" i="1"/>
  <c r="AM172" i="1"/>
  <c r="AM173" i="1"/>
  <c r="AM174" i="1"/>
  <c r="AO58" i="1"/>
  <c r="AN156" i="1"/>
  <c r="AN157" i="1"/>
  <c r="AN158" i="1"/>
  <c r="AN159" i="1"/>
  <c r="AO68" i="1"/>
  <c r="AN181" i="1"/>
  <c r="AN182" i="1"/>
  <c r="AN183" i="1"/>
  <c r="AN184" i="1"/>
  <c r="AO64" i="1"/>
  <c r="AN171" i="1"/>
  <c r="AM157" i="1"/>
  <c r="AM158" i="1"/>
  <c r="AM159" i="1"/>
  <c r="AN131" i="1"/>
  <c r="AN132" i="1"/>
  <c r="AN133" i="1"/>
  <c r="AN134" i="1"/>
  <c r="AO48" i="1"/>
  <c r="AM182" i="1"/>
  <c r="AM183" i="1"/>
  <c r="AM184" i="1"/>
  <c r="AN96" i="1"/>
  <c r="AN97" i="1"/>
  <c r="AN98" i="1"/>
  <c r="AN99" i="1"/>
  <c r="AO34" i="1"/>
  <c r="AN204" i="1"/>
  <c r="AN136" i="1"/>
  <c r="AN137" i="1"/>
  <c r="AN138" i="1"/>
  <c r="AN139" i="1"/>
  <c r="AO50" i="1"/>
  <c r="AD41" i="32"/>
  <c r="AI41" i="32"/>
  <c r="Z41" i="32"/>
  <c r="AG41" i="32"/>
  <c r="AM41" i="32"/>
  <c r="Y41" i="32"/>
  <c r="AO41" i="32"/>
  <c r="AA41" i="32"/>
  <c r="AL41" i="32"/>
  <c r="AO119" i="22"/>
  <c r="AO120" i="22"/>
  <c r="AO121" i="22"/>
  <c r="AO122" i="22"/>
  <c r="AP44" i="22"/>
  <c r="AN93" i="6"/>
  <c r="AN94" i="6"/>
  <c r="AN95" i="6"/>
  <c r="AN96" i="6"/>
  <c r="AO28" i="6"/>
  <c r="AO34" i="6"/>
  <c r="AN108" i="6"/>
  <c r="AN109" i="6"/>
  <c r="AN110" i="6"/>
  <c r="AN111" i="6"/>
  <c r="AO36" i="6"/>
  <c r="AN113" i="6"/>
  <c r="AN114" i="6"/>
  <c r="AN115" i="6"/>
  <c r="AN116" i="6"/>
  <c r="AP42" i="6"/>
  <c r="AO128" i="6"/>
  <c r="AO129" i="6"/>
  <c r="AO130" i="6"/>
  <c r="AO131" i="6"/>
  <c r="AO44" i="6"/>
  <c r="AN133" i="6"/>
  <c r="AN134" i="6"/>
  <c r="AN135" i="6"/>
  <c r="AN136" i="6"/>
  <c r="AO32" i="6"/>
  <c r="AN103" i="6"/>
  <c r="AN104" i="6"/>
  <c r="AN105" i="6"/>
  <c r="AN106" i="6"/>
  <c r="AO98" i="6"/>
  <c r="AO99" i="6"/>
  <c r="AO100" i="6"/>
  <c r="AO101" i="6"/>
  <c r="AP30" i="6"/>
  <c r="AN88" i="6"/>
  <c r="AN89" i="6"/>
  <c r="AN90" i="6"/>
  <c r="AN91" i="6"/>
  <c r="AO26" i="6"/>
  <c r="AN83" i="6"/>
  <c r="AN84" i="6"/>
  <c r="AN85" i="6"/>
  <c r="AN86" i="6"/>
  <c r="AO24" i="6"/>
  <c r="AN78" i="6"/>
  <c r="AN79" i="6"/>
  <c r="AN80" i="6"/>
  <c r="AN81" i="6"/>
  <c r="AO22" i="6"/>
  <c r="AN123" i="6"/>
  <c r="AN124" i="6"/>
  <c r="AN125" i="6"/>
  <c r="AN126" i="6"/>
  <c r="AO40" i="6"/>
  <c r="AN116" i="1"/>
  <c r="AN117" i="1"/>
  <c r="AN118" i="1"/>
  <c r="AN119" i="1"/>
  <c r="AO42" i="1"/>
  <c r="AO217" i="1"/>
  <c r="AO218" i="1"/>
  <c r="AN219" i="1"/>
  <c r="AQ82" i="1"/>
  <c r="AP216" i="1"/>
  <c r="AR80" i="1"/>
  <c r="AQ211" i="1"/>
  <c r="AQ212" i="1"/>
  <c r="AQ213" i="1"/>
  <c r="AQ214" i="1"/>
  <c r="AS38" i="8"/>
  <c r="AR104" i="8"/>
  <c r="AR105" i="8"/>
  <c r="AR106" i="8"/>
  <c r="AR107" i="8"/>
  <c r="AO99" i="8"/>
  <c r="AO100" i="8"/>
  <c r="AO101" i="8"/>
  <c r="AO102" i="8"/>
  <c r="AP36" i="8"/>
  <c r="AP44" i="11"/>
  <c r="AO119" i="11"/>
  <c r="AN120" i="11"/>
  <c r="AN121" i="11"/>
  <c r="AN122" i="11"/>
  <c r="R41" i="32"/>
  <c r="AN94" i="22"/>
  <c r="AN95" i="22"/>
  <c r="AN96" i="22"/>
  <c r="AN97" i="22"/>
  <c r="AO34" i="22"/>
  <c r="AO48" i="22"/>
  <c r="AN129" i="22"/>
  <c r="AN130" i="22"/>
  <c r="AN131" i="22"/>
  <c r="AN132" i="22"/>
  <c r="AM95" i="22"/>
  <c r="AM96" i="22"/>
  <c r="AM97" i="22"/>
  <c r="AO104" i="22"/>
  <c r="AO105" i="22"/>
  <c r="AO106" i="22"/>
  <c r="AO107" i="22"/>
  <c r="AP38" i="22"/>
  <c r="AN114" i="7"/>
  <c r="AN115" i="7"/>
  <c r="AN116" i="7"/>
  <c r="AN117" i="7"/>
  <c r="AO42" i="7"/>
  <c r="AO104" i="7"/>
  <c r="AO105" i="7"/>
  <c r="AO106" i="7"/>
  <c r="AO107" i="7"/>
  <c r="AP38" i="7"/>
  <c r="AO34" i="7"/>
  <c r="AN94" i="7"/>
  <c r="AN95" i="7"/>
  <c r="AN96" i="7"/>
  <c r="AN97" i="7"/>
  <c r="AP36" i="7"/>
  <c r="AO99" i="7"/>
  <c r="AO100" i="7"/>
  <c r="AO101" i="7"/>
  <c r="AO102" i="7"/>
  <c r="AR40" i="7"/>
  <c r="AQ109" i="7"/>
  <c r="AP30" i="7"/>
  <c r="AO84" i="7"/>
  <c r="AO85" i="7"/>
  <c r="AO86" i="7"/>
  <c r="AO87" i="7"/>
  <c r="AQ118" i="6"/>
  <c r="AQ119" i="6"/>
  <c r="AQ120" i="6"/>
  <c r="AQ121" i="6"/>
  <c r="AR38" i="6"/>
  <c r="AR38" i="9"/>
  <c r="AQ104" i="9"/>
  <c r="AQ105" i="9"/>
  <c r="AQ106" i="9"/>
  <c r="AQ107" i="9"/>
  <c r="AN42" i="9"/>
  <c r="AM114" i="9"/>
  <c r="AM115" i="9"/>
  <c r="AM116" i="9"/>
  <c r="AM117" i="9"/>
  <c r="AN94" i="9"/>
  <c r="AN95" i="9"/>
  <c r="AN96" i="9"/>
  <c r="AN97" i="9"/>
  <c r="AO34" i="9"/>
  <c r="AM125" i="9"/>
  <c r="AM126" i="9"/>
  <c r="AM127" i="9"/>
  <c r="AR144" i="9"/>
  <c r="AR145" i="9"/>
  <c r="AR146" i="9"/>
  <c r="AR147" i="9"/>
  <c r="AS54" i="9"/>
  <c r="AO46" i="9"/>
  <c r="AN124" i="9"/>
  <c r="AN125" i="9"/>
  <c r="AN126" i="9"/>
  <c r="AN127" i="9"/>
  <c r="AO134" i="9"/>
  <c r="AO135" i="9"/>
  <c r="AO136" i="9"/>
  <c r="AO137" i="9"/>
  <c r="AP50" i="9"/>
  <c r="AO48" i="9"/>
  <c r="AN129" i="9"/>
  <c r="AN119" i="9"/>
  <c r="AN120" i="9"/>
  <c r="AN121" i="9"/>
  <c r="AN122" i="9"/>
  <c r="AO44" i="9"/>
  <c r="AQ32" i="9"/>
  <c r="AP89" i="9"/>
  <c r="AP90" i="9"/>
  <c r="AP91" i="9"/>
  <c r="AP92" i="9"/>
  <c r="AO56" i="9"/>
  <c r="AN149" i="9"/>
  <c r="AQ76" i="1"/>
  <c r="AP201" i="1"/>
  <c r="AO177" i="1"/>
  <c r="AO178" i="1"/>
  <c r="AO179" i="1"/>
  <c r="AQ66" i="1"/>
  <c r="AP176" i="1"/>
  <c r="AP177" i="1"/>
  <c r="AP178" i="1"/>
  <c r="AP179" i="1"/>
  <c r="AP72" i="1"/>
  <c r="AO191" i="1"/>
  <c r="AO74" i="1"/>
  <c r="AN196" i="1"/>
  <c r="AU56" i="1"/>
  <c r="AT151" i="1"/>
  <c r="AT152" i="1"/>
  <c r="AT153" i="1"/>
  <c r="AT154" i="1"/>
  <c r="AO202" i="1"/>
  <c r="AO203" i="1"/>
  <c r="AO204" i="1"/>
  <c r="AO70" i="1"/>
  <c r="AN186" i="1"/>
  <c r="AN187" i="1"/>
  <c r="AN188" i="1"/>
  <c r="AN189" i="1"/>
  <c r="AP60" i="1"/>
  <c r="AO161" i="1"/>
  <c r="AO78" i="1"/>
  <c r="AN206" i="1"/>
  <c r="AN207" i="1"/>
  <c r="AN208" i="1"/>
  <c r="AN209" i="1"/>
  <c r="AS115" i="11"/>
  <c r="AS116" i="11"/>
  <c r="AS117" i="11"/>
  <c r="AU42" i="11"/>
  <c r="AT114" i="11"/>
  <c r="W38" i="34"/>
  <c r="V38" i="34"/>
  <c r="K38" i="34"/>
  <c r="P40" i="34"/>
  <c r="Q40" i="34"/>
  <c r="S34" i="34"/>
  <c r="V17" i="26"/>
  <c r="U41" i="35"/>
  <c r="K41" i="37"/>
  <c r="T41" i="37"/>
  <c r="AN105" i="11"/>
  <c r="AN106" i="11"/>
  <c r="AO100" i="11"/>
  <c r="AO101" i="11"/>
  <c r="AO102" i="11"/>
  <c r="AM107" i="11"/>
  <c r="AQ85" i="11"/>
  <c r="AQ86" i="11"/>
  <c r="AQ87" i="11"/>
  <c r="AO104" i="11"/>
  <c r="AP38" i="11"/>
  <c r="AP99" i="11"/>
  <c r="AQ36" i="11"/>
  <c r="AR84" i="11"/>
  <c r="AS30" i="11"/>
  <c r="AN135" i="10"/>
  <c r="AN136" i="10"/>
  <c r="AN137" i="10"/>
  <c r="AP50" i="10"/>
  <c r="AO134" i="10"/>
  <c r="AO99" i="10"/>
  <c r="AP36" i="10"/>
  <c r="AN100" i="10"/>
  <c r="AN101" i="10"/>
  <c r="AN102" i="10"/>
  <c r="AO58" i="22"/>
  <c r="AN154" i="22"/>
  <c r="AM155" i="22"/>
  <c r="AM156" i="22"/>
  <c r="AM157" i="22"/>
  <c r="AP54" i="22"/>
  <c r="AO144" i="22"/>
  <c r="AN145" i="22"/>
  <c r="AN146" i="22"/>
  <c r="AN147" i="22"/>
  <c r="AP36" i="22"/>
  <c r="AO99" i="22"/>
  <c r="AP40" i="22"/>
  <c r="AO109" i="22"/>
  <c r="AN100" i="22"/>
  <c r="AN101" i="22"/>
  <c r="AN102" i="22"/>
  <c r="AN110" i="22"/>
  <c r="AN111" i="22"/>
  <c r="AN112" i="22"/>
  <c r="AP150" i="8"/>
  <c r="AP151" i="8"/>
  <c r="AP152" i="8"/>
  <c r="AQ149" i="8"/>
  <c r="AR56" i="8"/>
  <c r="AN145" i="8"/>
  <c r="AN146" i="8"/>
  <c r="AN147" i="8"/>
  <c r="AO144" i="8"/>
  <c r="AP54" i="8"/>
  <c r="AM130" i="8"/>
  <c r="AM131" i="8"/>
  <c r="AM132" i="8"/>
  <c r="AL85" i="8"/>
  <c r="AL86" i="8"/>
  <c r="AL87" i="8"/>
  <c r="AM140" i="8"/>
  <c r="AM141" i="8"/>
  <c r="AM142" i="8"/>
  <c r="AN109" i="8"/>
  <c r="AO40" i="8"/>
  <c r="AM84" i="8"/>
  <c r="AN30" i="8"/>
  <c r="AM90" i="8"/>
  <c r="AM91" i="8"/>
  <c r="AM92" i="8"/>
  <c r="AM110" i="8"/>
  <c r="AM111" i="8"/>
  <c r="AM112" i="8"/>
  <c r="AN89" i="8"/>
  <c r="AO32" i="8"/>
  <c r="AO48" i="8"/>
  <c r="AN129" i="8"/>
  <c r="AO52" i="8"/>
  <c r="AN139" i="8"/>
  <c r="AN144" i="7"/>
  <c r="AO54" i="7"/>
  <c r="AM145" i="7"/>
  <c r="AM146" i="7"/>
  <c r="AM147" i="7"/>
  <c r="AO52" i="7"/>
  <c r="AN139" i="7"/>
  <c r="AM140" i="7"/>
  <c r="AM141" i="7"/>
  <c r="AM142" i="7"/>
  <c r="AM135" i="7"/>
  <c r="AM136" i="7"/>
  <c r="AM137" i="7"/>
  <c r="AO50" i="7"/>
  <c r="AN134" i="7"/>
  <c r="AT90" i="7"/>
  <c r="AT91" i="7"/>
  <c r="AT92" i="7"/>
  <c r="AQ119" i="7"/>
  <c r="AR44" i="7"/>
  <c r="AU89" i="7"/>
  <c r="AV32" i="7"/>
  <c r="AP120" i="7"/>
  <c r="AP121" i="7"/>
  <c r="AP122" i="7"/>
  <c r="AO125" i="7"/>
  <c r="AO126" i="7"/>
  <c r="AO127" i="7"/>
  <c r="AP124" i="7"/>
  <c r="AQ46" i="7"/>
  <c r="AN163" i="6"/>
  <c r="AO56" i="6"/>
  <c r="AM164" i="6"/>
  <c r="AM165" i="6"/>
  <c r="AM166" i="6"/>
  <c r="AM159" i="6"/>
  <c r="AM160" i="6"/>
  <c r="AM161" i="6"/>
  <c r="AO54" i="6"/>
  <c r="AN158" i="6"/>
  <c r="AM154" i="6"/>
  <c r="AM155" i="6"/>
  <c r="AM156" i="6"/>
  <c r="AO52" i="6"/>
  <c r="AN153" i="6"/>
  <c r="AO50" i="6"/>
  <c r="AN148" i="6"/>
  <c r="AM149" i="6"/>
  <c r="AM150" i="6"/>
  <c r="AM151" i="6"/>
  <c r="AM144" i="6"/>
  <c r="AM145" i="6"/>
  <c r="AM146" i="6"/>
  <c r="AN143" i="6"/>
  <c r="AO48" i="6"/>
  <c r="AN160" i="9"/>
  <c r="AN161" i="9"/>
  <c r="AN162" i="9"/>
  <c r="AP60" i="9"/>
  <c r="AO159" i="9"/>
  <c r="AO58" i="9"/>
  <c r="AN154" i="9"/>
  <c r="AM155" i="9"/>
  <c r="AM156" i="9"/>
  <c r="AM157" i="9"/>
  <c r="AN110" i="9"/>
  <c r="AN111" i="9"/>
  <c r="AN112" i="9"/>
  <c r="AO109" i="9"/>
  <c r="AP40" i="9"/>
  <c r="AO99" i="9"/>
  <c r="AP36" i="9"/>
  <c r="AN100" i="9"/>
  <c r="AN101" i="9"/>
  <c r="AN102" i="9"/>
  <c r="AM167" i="1"/>
  <c r="AM168" i="1"/>
  <c r="AM169" i="1"/>
  <c r="AO62" i="1"/>
  <c r="AN166" i="1"/>
  <c r="AM127" i="1"/>
  <c r="AM128" i="1"/>
  <c r="AM129" i="1"/>
  <c r="AM147" i="1"/>
  <c r="AM148" i="1"/>
  <c r="AM149" i="1"/>
  <c r="AO46" i="1"/>
  <c r="AN126" i="1"/>
  <c r="AO54" i="1"/>
  <c r="AN146" i="1"/>
  <c r="AQ44" i="1"/>
  <c r="AP121" i="1"/>
  <c r="AO122" i="1"/>
  <c r="AO123" i="1"/>
  <c r="AO124" i="1"/>
  <c r="AQ40" i="1"/>
  <c r="AP111" i="1"/>
  <c r="AM107" i="1"/>
  <c r="AM108" i="1"/>
  <c r="AM109" i="1"/>
  <c r="AP101" i="1"/>
  <c r="AQ36" i="1"/>
  <c r="AO112" i="1"/>
  <c r="AO113" i="1"/>
  <c r="AO114" i="1"/>
  <c r="AN106" i="1"/>
  <c r="AO38" i="1"/>
  <c r="AO102" i="1"/>
  <c r="AO103" i="1"/>
  <c r="AO104" i="1"/>
  <c r="AD41" i="37"/>
  <c r="X41" i="37"/>
  <c r="AB41" i="37"/>
  <c r="AH41" i="37"/>
  <c r="AL41" i="37"/>
  <c r="AK41" i="37"/>
  <c r="AJ41" i="37"/>
  <c r="AF41" i="37"/>
  <c r="Y41" i="37"/>
  <c r="AN41" i="37"/>
  <c r="AE41" i="37"/>
  <c r="AA41" i="37"/>
  <c r="AM41" i="37"/>
  <c r="AO41" i="37"/>
  <c r="AG41" i="37"/>
  <c r="AC41" i="37"/>
  <c r="AI41" i="37"/>
  <c r="Z41" i="37"/>
  <c r="AO129" i="7"/>
  <c r="AO130" i="7"/>
  <c r="AO131" i="7"/>
  <c r="AO132" i="7"/>
  <c r="AP48" i="7"/>
  <c r="W40" i="36"/>
  <c r="V40" i="36"/>
  <c r="K40" i="36"/>
  <c r="BU195" i="9"/>
  <c r="BU196" i="9"/>
  <c r="AP59" i="11"/>
  <c r="AQ229" i="11"/>
  <c r="BW74" i="9"/>
  <c r="BV194" i="9"/>
  <c r="BX164" i="2"/>
  <c r="BW43" i="2"/>
  <c r="M50" i="41"/>
  <c r="L41" i="37"/>
  <c r="N41" i="37"/>
  <c r="O41" i="37"/>
  <c r="P41" i="37"/>
  <c r="Q41" i="37"/>
  <c r="M48" i="36"/>
  <c r="CF41" i="2"/>
  <c r="U36" i="41"/>
  <c r="BF177" i="11"/>
  <c r="AM177" i="7"/>
  <c r="BN172" i="10"/>
  <c r="AU167" i="22"/>
  <c r="AN202" i="7"/>
  <c r="AM187" i="8"/>
  <c r="AZ157" i="8"/>
  <c r="BI197" i="10"/>
  <c r="BM212" i="10"/>
  <c r="BK207" i="10"/>
  <c r="AM137" i="11"/>
  <c r="AY167" i="10"/>
  <c r="AM207" i="8"/>
  <c r="BJ280" i="40"/>
  <c r="BJ281" i="40"/>
  <c r="BJ282" i="40"/>
  <c r="BE264" i="40"/>
  <c r="BF100" i="40"/>
  <c r="BE244" i="40"/>
  <c r="BE245" i="40"/>
  <c r="BE246" i="40"/>
  <c r="BE247" i="40"/>
  <c r="BF92" i="40"/>
  <c r="BE249" i="40"/>
  <c r="BE250" i="40"/>
  <c r="BE251" i="40"/>
  <c r="BE252" i="40"/>
  <c r="BF94" i="40"/>
  <c r="BL260" i="40"/>
  <c r="BL261" i="40"/>
  <c r="BL262" i="40"/>
  <c r="BD245" i="40"/>
  <c r="BD246" i="40"/>
  <c r="BD247" i="40"/>
  <c r="BE284" i="40"/>
  <c r="BE285" i="40"/>
  <c r="BE286" i="40"/>
  <c r="BE287" i="40"/>
  <c r="BF108" i="40"/>
  <c r="BE289" i="40"/>
  <c r="BF110" i="40"/>
  <c r="BE269" i="40"/>
  <c r="BE270" i="40"/>
  <c r="BE271" i="40"/>
  <c r="BE272" i="40"/>
  <c r="BF102" i="40"/>
  <c r="BK275" i="40"/>
  <c r="BK276" i="40"/>
  <c r="BK277" i="40"/>
  <c r="BD285" i="40"/>
  <c r="BD286" i="40"/>
  <c r="BD287" i="40"/>
  <c r="BD290" i="40"/>
  <c r="BD291" i="40"/>
  <c r="BD292" i="40"/>
  <c r="BL96" i="40"/>
  <c r="BL254" i="40"/>
  <c r="BL255" i="40"/>
  <c r="BL256" i="40"/>
  <c r="BL257" i="40"/>
  <c r="BK106" i="40"/>
  <c r="BK279" i="40"/>
  <c r="BM98" i="40"/>
  <c r="BM259" i="40"/>
  <c r="BM260" i="40"/>
  <c r="BM261" i="40"/>
  <c r="BM262" i="40"/>
  <c r="BL104" i="40"/>
  <c r="BL274" i="40"/>
  <c r="BL275" i="40"/>
  <c r="BL276" i="40"/>
  <c r="BL277" i="40"/>
  <c r="BH90" i="40"/>
  <c r="BF54" i="40"/>
  <c r="BE149" i="40"/>
  <c r="BE235" i="40"/>
  <c r="BE236" i="40"/>
  <c r="BG50" i="40"/>
  <c r="BF139" i="40"/>
  <c r="BD200" i="40"/>
  <c r="BD201" i="40"/>
  <c r="BG40" i="40"/>
  <c r="BF114" i="40"/>
  <c r="BD220" i="40"/>
  <c r="BD221" i="40"/>
  <c r="BD222" i="40"/>
  <c r="BF42" i="40"/>
  <c r="BE119" i="40"/>
  <c r="BD155" i="40"/>
  <c r="BD156" i="40"/>
  <c r="BD157" i="40"/>
  <c r="BH64" i="40"/>
  <c r="BG174" i="40"/>
  <c r="BF195" i="40"/>
  <c r="BF196" i="40"/>
  <c r="BF197" i="40"/>
  <c r="BD170" i="40"/>
  <c r="BD171" i="40"/>
  <c r="BD172" i="40"/>
  <c r="BD160" i="40"/>
  <c r="BD161" i="40"/>
  <c r="BC157" i="40"/>
  <c r="BD130" i="40"/>
  <c r="BD131" i="40"/>
  <c r="BD132" i="40"/>
  <c r="BD190" i="40"/>
  <c r="BD191" i="40"/>
  <c r="BD192" i="40"/>
  <c r="BE165" i="40"/>
  <c r="BE166" i="40"/>
  <c r="BE167" i="40"/>
  <c r="BF86" i="40"/>
  <c r="BE229" i="40"/>
  <c r="BC242" i="40"/>
  <c r="BD182" i="40"/>
  <c r="BD167" i="40"/>
  <c r="BD145" i="40"/>
  <c r="BD146" i="40"/>
  <c r="BD147" i="40"/>
  <c r="BH68" i="40"/>
  <c r="BG184" i="40"/>
  <c r="BD210" i="40"/>
  <c r="BD211" i="40"/>
  <c r="BF56" i="40"/>
  <c r="BE154" i="40"/>
  <c r="BD142" i="40"/>
  <c r="BF44" i="40"/>
  <c r="BE124" i="40"/>
  <c r="BG84" i="40"/>
  <c r="BF224" i="40"/>
  <c r="BC232" i="40"/>
  <c r="BE239" i="40"/>
  <c r="BE215" i="40"/>
  <c r="BE216" i="40"/>
  <c r="BC202" i="40"/>
  <c r="BE205" i="40"/>
  <c r="BE206" i="40"/>
  <c r="BE207" i="40"/>
  <c r="BD150" i="40"/>
  <c r="BD151" i="40"/>
  <c r="BD152" i="40"/>
  <c r="BG88" i="40"/>
  <c r="BF234" i="40"/>
  <c r="BG60" i="40"/>
  <c r="BF164" i="40"/>
  <c r="BE140" i="40"/>
  <c r="BE141" i="40"/>
  <c r="BE142" i="40"/>
  <c r="BF74" i="40"/>
  <c r="BE199" i="40"/>
  <c r="BD135" i="40"/>
  <c r="BD136" i="40"/>
  <c r="BD137" i="40"/>
  <c r="BF82" i="40"/>
  <c r="BE219" i="40"/>
  <c r="BF175" i="40"/>
  <c r="BF176" i="40"/>
  <c r="BH72" i="40"/>
  <c r="BG194" i="40"/>
  <c r="BE180" i="40"/>
  <c r="BE181" i="40"/>
  <c r="BF62" i="40"/>
  <c r="BE169" i="40"/>
  <c r="BF58" i="40"/>
  <c r="BE159" i="40"/>
  <c r="BF46" i="40"/>
  <c r="BE129" i="40"/>
  <c r="BD217" i="40"/>
  <c r="BF70" i="40"/>
  <c r="BE189" i="40"/>
  <c r="BD230" i="40"/>
  <c r="BD231" i="40"/>
  <c r="BD232" i="40"/>
  <c r="BC212" i="40"/>
  <c r="BC172" i="40"/>
  <c r="BE144" i="40"/>
  <c r="BF52" i="40"/>
  <c r="BF185" i="40"/>
  <c r="BF186" i="40"/>
  <c r="BF187" i="40"/>
  <c r="BE115" i="40"/>
  <c r="BE116" i="40"/>
  <c r="BE117" i="40"/>
  <c r="BF48" i="40"/>
  <c r="BE134" i="40"/>
  <c r="BF78" i="40"/>
  <c r="BE209" i="40"/>
  <c r="BD120" i="40"/>
  <c r="BD121" i="40"/>
  <c r="BD122" i="40"/>
  <c r="BC162" i="40"/>
  <c r="BC192" i="40"/>
  <c r="BD125" i="40"/>
  <c r="BD126" i="40"/>
  <c r="BD127" i="40"/>
  <c r="BE225" i="40"/>
  <c r="BE226" i="40"/>
  <c r="BE227" i="40"/>
  <c r="BD240" i="40"/>
  <c r="BD241" i="40"/>
  <c r="BD242" i="40"/>
  <c r="BG66" i="40"/>
  <c r="BF179" i="40"/>
  <c r="BG80" i="40"/>
  <c r="BF214" i="40"/>
  <c r="BD227" i="40"/>
  <c r="BE187" i="40"/>
  <c r="BG76" i="40"/>
  <c r="BF204" i="40"/>
  <c r="AA23" i="26"/>
  <c r="S40" i="35"/>
  <c r="AU167" i="7"/>
  <c r="AV166" i="22"/>
  <c r="AV165" i="22"/>
  <c r="AP68" i="10"/>
  <c r="AO179" i="10"/>
  <c r="AU185" i="22"/>
  <c r="AU186" i="22"/>
  <c r="AX205" i="22"/>
  <c r="AX206" i="22"/>
  <c r="AS58" i="7"/>
  <c r="AR154" i="7"/>
  <c r="AS160" i="7"/>
  <c r="AS161" i="7"/>
  <c r="AV172" i="9"/>
  <c r="AP157" i="7"/>
  <c r="AP76" i="11"/>
  <c r="AO199" i="11"/>
  <c r="BN211" i="10"/>
  <c r="BN210" i="10"/>
  <c r="AR125" i="11"/>
  <c r="AR126" i="11"/>
  <c r="AZ166" i="10"/>
  <c r="AZ165" i="10"/>
  <c r="AP76" i="10"/>
  <c r="AO199" i="10"/>
  <c r="AM202" i="22"/>
  <c r="BC197" i="11"/>
  <c r="BO170" i="10"/>
  <c r="BO171" i="10"/>
  <c r="AM202" i="11"/>
  <c r="AS205" i="11"/>
  <c r="AS206" i="11"/>
  <c r="AM202" i="10"/>
  <c r="AP76" i="22"/>
  <c r="AO199" i="22"/>
  <c r="BA155" i="8"/>
  <c r="BA156" i="8"/>
  <c r="AV204" i="7"/>
  <c r="AW78" i="7"/>
  <c r="AW207" i="22"/>
  <c r="AO151" i="11"/>
  <c r="AO150" i="11"/>
  <c r="AO200" i="7"/>
  <c r="AO201" i="7"/>
  <c r="AN181" i="10"/>
  <c r="AN180" i="10"/>
  <c r="AZ174" i="10"/>
  <c r="BA66" i="10"/>
  <c r="AY204" i="22"/>
  <c r="AZ78" i="22"/>
  <c r="BC185" i="10"/>
  <c r="BC186" i="10"/>
  <c r="AU60" i="7"/>
  <c r="AT159" i="7"/>
  <c r="BP156" i="10"/>
  <c r="BP155" i="10"/>
  <c r="BP80" i="10"/>
  <c r="BO209" i="10"/>
  <c r="AT46" i="11"/>
  <c r="AS124" i="11"/>
  <c r="BA164" i="10"/>
  <c r="BB62" i="10"/>
  <c r="AN200" i="10"/>
  <c r="AN201" i="10"/>
  <c r="BQ64" i="10"/>
  <c r="BP169" i="10"/>
  <c r="AU78" i="11"/>
  <c r="AT204" i="11"/>
  <c r="AN201" i="22"/>
  <c r="AN200" i="22"/>
  <c r="AN185" i="8"/>
  <c r="AN186" i="8"/>
  <c r="BC58" i="8"/>
  <c r="BB154" i="8"/>
  <c r="AU206" i="7"/>
  <c r="AU205" i="7"/>
  <c r="AN135" i="11"/>
  <c r="AN136" i="11"/>
  <c r="BI197" i="8"/>
  <c r="AR192" i="8"/>
  <c r="BB187" i="10"/>
  <c r="AR162" i="7"/>
  <c r="AQ56" i="11"/>
  <c r="AP149" i="11"/>
  <c r="AQ76" i="7"/>
  <c r="AP199" i="7"/>
  <c r="AP78" i="8"/>
  <c r="AO204" i="8"/>
  <c r="AX169" i="9"/>
  <c r="AY64" i="9"/>
  <c r="AY176" i="10"/>
  <c r="AY175" i="10"/>
  <c r="AT207" i="7"/>
  <c r="BE70" i="10"/>
  <c r="BD184" i="10"/>
  <c r="BH145" i="10"/>
  <c r="BH146" i="10"/>
  <c r="AN176" i="7"/>
  <c r="AN175" i="7"/>
  <c r="BR58" i="10"/>
  <c r="BQ154" i="10"/>
  <c r="AX191" i="22"/>
  <c r="AX190" i="22"/>
  <c r="BD195" i="11"/>
  <c r="BD196" i="11"/>
  <c r="AY78" i="9"/>
  <c r="AX204" i="9"/>
  <c r="AO149" i="22"/>
  <c r="AO150" i="22"/>
  <c r="AO151" i="22"/>
  <c r="AO152" i="22"/>
  <c r="AP56" i="22"/>
  <c r="AN160" i="10"/>
  <c r="AN161" i="10"/>
  <c r="AT165" i="8"/>
  <c r="AT166" i="8"/>
  <c r="BO176" i="9"/>
  <c r="BO175" i="9"/>
  <c r="AV207" i="9"/>
  <c r="AM162" i="10"/>
  <c r="AQ127" i="11"/>
  <c r="BM66" i="22"/>
  <c r="BL174" i="22"/>
  <c r="AV55" i="11"/>
  <c r="AW227" i="11"/>
  <c r="AP70" i="8"/>
  <c r="AO184" i="8"/>
  <c r="AN165" i="9"/>
  <c r="AN166" i="9"/>
  <c r="AP50" i="11"/>
  <c r="AO134" i="11"/>
  <c r="AX62" i="22"/>
  <c r="AW164" i="22"/>
  <c r="BG147" i="10"/>
  <c r="AR207" i="11"/>
  <c r="BO157" i="10"/>
  <c r="BB61" i="11"/>
  <c r="BC230" i="11"/>
  <c r="AN205" i="8"/>
  <c r="AN206" i="8"/>
  <c r="AW171" i="9"/>
  <c r="AW170" i="9"/>
  <c r="AV184" i="22"/>
  <c r="AW70" i="22"/>
  <c r="AQ155" i="7"/>
  <c r="AQ156" i="7"/>
  <c r="AP46" i="6"/>
  <c r="AO138" i="6"/>
  <c r="AO139" i="6"/>
  <c r="AO140" i="6"/>
  <c r="AO141" i="6"/>
  <c r="BJ54" i="10"/>
  <c r="BI144" i="10"/>
  <c r="AP66" i="7"/>
  <c r="AO174" i="7"/>
  <c r="AN152" i="11"/>
  <c r="AZ72" i="22"/>
  <c r="AY189" i="22"/>
  <c r="BE194" i="11"/>
  <c r="BF74" i="11"/>
  <c r="AT187" i="22"/>
  <c r="AW206" i="9"/>
  <c r="AW205" i="9"/>
  <c r="AN200" i="11"/>
  <c r="AN201" i="11"/>
  <c r="AO159" i="10"/>
  <c r="AP60" i="10"/>
  <c r="AV62" i="8"/>
  <c r="AU164" i="8"/>
  <c r="BJ177" i="22"/>
  <c r="AW192" i="22"/>
  <c r="BQ66" i="9"/>
  <c r="BP174" i="9"/>
  <c r="AM167" i="9"/>
  <c r="AZ240" i="8"/>
  <c r="AY81" i="8"/>
  <c r="AS167" i="8"/>
  <c r="BK176" i="22"/>
  <c r="BK175" i="22"/>
  <c r="AM182" i="10"/>
  <c r="BN177" i="9"/>
  <c r="AX177" i="10"/>
  <c r="AP62" i="9"/>
  <c r="AO164" i="9"/>
  <c r="K41" i="33"/>
  <c r="S43" i="31"/>
  <c r="G26" i="26"/>
  <c r="U44" i="31"/>
  <c r="AQ109" i="11"/>
  <c r="AQ110" i="11"/>
  <c r="AQ111" i="11"/>
  <c r="AQ112" i="11"/>
  <c r="AR40" i="11"/>
  <c r="AO114" i="10"/>
  <c r="AO115" i="10"/>
  <c r="AO116" i="10"/>
  <c r="AO117" i="10"/>
  <c r="AP42" i="10"/>
  <c r="AP34" i="10"/>
  <c r="AO94" i="10"/>
  <c r="AO95" i="10"/>
  <c r="AO96" i="10"/>
  <c r="AO97" i="10"/>
  <c r="AQ44" i="10"/>
  <c r="AP119" i="10"/>
  <c r="AP120" i="10"/>
  <c r="AP121" i="10"/>
  <c r="AP122" i="10"/>
  <c r="AP30" i="10"/>
  <c r="AO84" i="10"/>
  <c r="AO85" i="10"/>
  <c r="AO86" i="10"/>
  <c r="AO87" i="10"/>
  <c r="AO109" i="10"/>
  <c r="AO110" i="10"/>
  <c r="AO111" i="10"/>
  <c r="AO112" i="10"/>
  <c r="AP40" i="10"/>
  <c r="AO89" i="10"/>
  <c r="AO90" i="10"/>
  <c r="AO91" i="10"/>
  <c r="AO92" i="10"/>
  <c r="AP32" i="10"/>
  <c r="AP52" i="10"/>
  <c r="AO139" i="10"/>
  <c r="AO140" i="10"/>
  <c r="AO141" i="10"/>
  <c r="AO142" i="10"/>
  <c r="AO124" i="10"/>
  <c r="AO125" i="10"/>
  <c r="AO126" i="10"/>
  <c r="AO127" i="10"/>
  <c r="AP46" i="10"/>
  <c r="AO129" i="10"/>
  <c r="AO130" i="10"/>
  <c r="AO131" i="10"/>
  <c r="AO132" i="10"/>
  <c r="AP48" i="10"/>
  <c r="AO104" i="10"/>
  <c r="AO105" i="10"/>
  <c r="AO106" i="10"/>
  <c r="AO107" i="10"/>
  <c r="AP38" i="10"/>
  <c r="AO114" i="22"/>
  <c r="AO115" i="22"/>
  <c r="AO116" i="22"/>
  <c r="AO117" i="22"/>
  <c r="AP42" i="22"/>
  <c r="AP139" i="22"/>
  <c r="AP140" i="22"/>
  <c r="AP141" i="22"/>
  <c r="AP142" i="22"/>
  <c r="AQ52" i="22"/>
  <c r="AO134" i="22"/>
  <c r="AO135" i="22"/>
  <c r="AO136" i="22"/>
  <c r="AO137" i="22"/>
  <c r="AP50" i="22"/>
  <c r="AQ46" i="22"/>
  <c r="AP124" i="22"/>
  <c r="AP125" i="22"/>
  <c r="AP126" i="22"/>
  <c r="AP127" i="22"/>
  <c r="AP46" i="8"/>
  <c r="AO124" i="8"/>
  <c r="AO125" i="8"/>
  <c r="AO126" i="8"/>
  <c r="AO127" i="8"/>
  <c r="AP134" i="8"/>
  <c r="AP135" i="8"/>
  <c r="AP136" i="8"/>
  <c r="AP137" i="8"/>
  <c r="AQ50" i="8"/>
  <c r="BL172" i="22"/>
  <c r="BS192" i="10"/>
  <c r="BR142" i="11"/>
  <c r="BG162" i="22"/>
  <c r="BJ182" i="9"/>
  <c r="BE202" i="8"/>
  <c r="BW87" i="22"/>
  <c r="BE182" i="8"/>
  <c r="BD192" i="11"/>
  <c r="AM192" i="9"/>
  <c r="BL187" i="9"/>
  <c r="BN212" i="9"/>
  <c r="AJ41" i="33"/>
  <c r="AH41" i="33"/>
  <c r="AB41" i="33"/>
  <c r="AN41" i="33"/>
  <c r="AC41" i="33"/>
  <c r="AK41" i="33"/>
  <c r="AG41" i="33"/>
  <c r="AL41" i="33"/>
  <c r="AF41" i="33"/>
  <c r="AI41" i="33"/>
  <c r="BG212" i="11"/>
  <c r="A45" i="2"/>
  <c r="A165" i="2"/>
  <c r="BW165" i="2"/>
  <c r="BI196" i="7"/>
  <c r="BI195" i="7"/>
  <c r="AY65" i="11"/>
  <c r="AZ232" i="11"/>
  <c r="BF181" i="8"/>
  <c r="BF180" i="8"/>
  <c r="BG177" i="8"/>
  <c r="BL74" i="8"/>
  <c r="BK194" i="8"/>
  <c r="AD42" i="2"/>
  <c r="M49" i="33"/>
  <c r="AE163" i="2"/>
  <c r="L42" i="2"/>
  <c r="M49" i="31"/>
  <c r="M163" i="2"/>
  <c r="BD161" i="8"/>
  <c r="BD160" i="8"/>
  <c r="BK210" i="22"/>
  <c r="BK211" i="22"/>
  <c r="BN80" i="7"/>
  <c r="BM209" i="7"/>
  <c r="BJ60" i="22"/>
  <c r="BI159" i="22"/>
  <c r="BK70" i="7"/>
  <c r="BJ184" i="7"/>
  <c r="BP209" i="9"/>
  <c r="BQ80" i="9"/>
  <c r="AQ65" i="8"/>
  <c r="AR232" i="8"/>
  <c r="BI197" i="22"/>
  <c r="BT191" i="10"/>
  <c r="BT190" i="10"/>
  <c r="BN132" i="11"/>
  <c r="BJ212" i="22"/>
  <c r="BK212" i="7"/>
  <c r="AN200" i="9"/>
  <c r="AN201" i="9"/>
  <c r="BI66" i="11"/>
  <c r="BH174" i="11"/>
  <c r="BH187" i="7"/>
  <c r="BY172" i="7"/>
  <c r="BH211" i="11"/>
  <c r="BH210" i="11"/>
  <c r="AO89" i="22"/>
  <c r="AO90" i="22"/>
  <c r="AO91" i="22"/>
  <c r="AO92" i="22"/>
  <c r="AP32" i="22"/>
  <c r="BO56" i="10"/>
  <c r="BN149" i="10"/>
  <c r="BR68" i="7"/>
  <c r="BQ179" i="7"/>
  <c r="BZ170" i="7"/>
  <c r="BZ171" i="7"/>
  <c r="AM164" i="2"/>
  <c r="BN164" i="2"/>
  <c r="AD164" i="2"/>
  <c r="C164" i="2"/>
  <c r="AV164" i="2"/>
  <c r="U164" i="2"/>
  <c r="BE164" i="2"/>
  <c r="L164" i="2"/>
  <c r="BJ194" i="7"/>
  <c r="BK74" i="7"/>
  <c r="BM204" i="10"/>
  <c r="BN78" i="10"/>
  <c r="BG179" i="8"/>
  <c r="BH68" i="8"/>
  <c r="AV42" i="2"/>
  <c r="M49" i="35"/>
  <c r="AW163" i="2"/>
  <c r="AM42" i="2"/>
  <c r="M49" i="34"/>
  <c r="AN163" i="2"/>
  <c r="BS140" i="11"/>
  <c r="BS141" i="11"/>
  <c r="AS190" i="8"/>
  <c r="AS191" i="8"/>
  <c r="BL211" i="7"/>
  <c r="BL210" i="7"/>
  <c r="AO73" i="7"/>
  <c r="AP236" i="7"/>
  <c r="BH161" i="22"/>
  <c r="BH160" i="22"/>
  <c r="BO211" i="9"/>
  <c r="BO210" i="9"/>
  <c r="BL179" i="9"/>
  <c r="BM68" i="9"/>
  <c r="BE190" i="11"/>
  <c r="BE191" i="11"/>
  <c r="BU189" i="10"/>
  <c r="BV72" i="10"/>
  <c r="BG175" i="11"/>
  <c r="BG176" i="11"/>
  <c r="BK68" i="22"/>
  <c r="BJ179" i="22"/>
  <c r="BJ80" i="11"/>
  <c r="BI209" i="11"/>
  <c r="AO189" i="9"/>
  <c r="AP72" i="9"/>
  <c r="BP180" i="7"/>
  <c r="BP181" i="7"/>
  <c r="AM202" i="9"/>
  <c r="CB64" i="7"/>
  <c r="CA169" i="7"/>
  <c r="BL74" i="10"/>
  <c r="BK194" i="10"/>
  <c r="BL152" i="10"/>
  <c r="BF201" i="8"/>
  <c r="BF200" i="8"/>
  <c r="BO182" i="7"/>
  <c r="BL206" i="10"/>
  <c r="BL205" i="10"/>
  <c r="C42" i="2"/>
  <c r="M50" i="30"/>
  <c r="D163" i="2"/>
  <c r="U42" i="2"/>
  <c r="M49" i="32"/>
  <c r="V163" i="2"/>
  <c r="BH197" i="7"/>
  <c r="BJ196" i="22"/>
  <c r="BJ195" i="22"/>
  <c r="BT139" i="11"/>
  <c r="BU52" i="11"/>
  <c r="BH175" i="8"/>
  <c r="BH176" i="8"/>
  <c r="BQ48" i="11"/>
  <c r="BP129" i="11"/>
  <c r="BN184" i="9"/>
  <c r="BO70" i="9"/>
  <c r="AU72" i="8"/>
  <c r="AT189" i="8"/>
  <c r="BH182" i="22"/>
  <c r="BK181" i="9"/>
  <c r="BK180" i="9"/>
  <c r="BC63" i="11"/>
  <c r="BD231" i="11"/>
  <c r="BG72" i="11"/>
  <c r="BF189" i="11"/>
  <c r="BC162" i="8"/>
  <c r="BI180" i="22"/>
  <c r="BI181" i="22"/>
  <c r="AN190" i="9"/>
  <c r="AN191" i="9"/>
  <c r="BZ30" i="22"/>
  <c r="BY84" i="22"/>
  <c r="BM171" i="22"/>
  <c r="BM170" i="22"/>
  <c r="BJ195" i="10"/>
  <c r="BJ196" i="10"/>
  <c r="BH76" i="8"/>
  <c r="BG199" i="8"/>
  <c r="BJ195" i="8"/>
  <c r="BJ196" i="8"/>
  <c r="BE42" i="2"/>
  <c r="BF163" i="2"/>
  <c r="BO163" i="2"/>
  <c r="BN42" i="2"/>
  <c r="M49" i="37"/>
  <c r="BL74" i="22"/>
  <c r="BK194" i="22"/>
  <c r="BJ66" i="8"/>
  <c r="BI174" i="8"/>
  <c r="BF60" i="8"/>
  <c r="BE159" i="8"/>
  <c r="BO130" i="11"/>
  <c r="BO131" i="11"/>
  <c r="BM80" i="22"/>
  <c r="BL209" i="22"/>
  <c r="BM186" i="9"/>
  <c r="BM185" i="9"/>
  <c r="BI186" i="7"/>
  <c r="BI185" i="7"/>
  <c r="AP76" i="9"/>
  <c r="AO199" i="9"/>
  <c r="BM151" i="10"/>
  <c r="BM150" i="10"/>
  <c r="BD69" i="11"/>
  <c r="BE234" i="11"/>
  <c r="BX86" i="22"/>
  <c r="BX85" i="22"/>
  <c r="BN169" i="22"/>
  <c r="BO64" i="22"/>
  <c r="L35" i="30"/>
  <c r="N35" i="30"/>
  <c r="O35" i="30"/>
  <c r="P35" i="30"/>
  <c r="T35" i="30"/>
  <c r="AE35" i="30"/>
  <c r="AA35" i="30"/>
  <c r="AH35" i="30"/>
  <c r="Z35" i="30"/>
  <c r="AB35" i="30"/>
  <c r="AG35" i="30"/>
  <c r="Y35" i="30"/>
  <c r="AF35" i="30"/>
  <c r="AD35" i="30"/>
  <c r="AC35" i="30"/>
  <c r="X35" i="30"/>
  <c r="S29" i="30"/>
  <c r="B11" i="26"/>
  <c r="R28" i="30"/>
  <c r="AO119" i="8"/>
  <c r="AP44" i="8"/>
  <c r="AN115" i="8"/>
  <c r="AN116" i="8"/>
  <c r="AN117" i="8"/>
  <c r="AP42" i="8"/>
  <c r="AO114" i="8"/>
  <c r="AO115" i="8"/>
  <c r="AO116" i="8"/>
  <c r="AO117" i="8"/>
  <c r="AT94" i="8"/>
  <c r="AT95" i="8"/>
  <c r="AT96" i="8"/>
  <c r="AT97" i="8"/>
  <c r="AU34" i="8"/>
  <c r="AW164" i="7"/>
  <c r="AX62" i="7"/>
  <c r="AP32" i="11"/>
  <c r="AO89" i="11"/>
  <c r="AO90" i="11"/>
  <c r="AO91" i="11"/>
  <c r="AO92" i="11"/>
  <c r="AV166" i="7"/>
  <c r="AV165" i="7"/>
  <c r="AP84" i="9"/>
  <c r="AP85" i="9"/>
  <c r="AP86" i="9"/>
  <c r="AP87" i="9"/>
  <c r="AQ30" i="9"/>
  <c r="AO139" i="9"/>
  <c r="AO140" i="9"/>
  <c r="AO141" i="9"/>
  <c r="AO142" i="9"/>
  <c r="AP52" i="9"/>
  <c r="AQ86" i="1"/>
  <c r="AQ87" i="1"/>
  <c r="AQ88" i="1"/>
  <c r="AQ89" i="1"/>
  <c r="AR30" i="1"/>
  <c r="AO171" i="1"/>
  <c r="AO172" i="1"/>
  <c r="AO173" i="1"/>
  <c r="AO174" i="1"/>
  <c r="AP64" i="1"/>
  <c r="AP68" i="1"/>
  <c r="AO181" i="1"/>
  <c r="AO182" i="1"/>
  <c r="AO183" i="1"/>
  <c r="AO184" i="1"/>
  <c r="AO156" i="1"/>
  <c r="AP58" i="1"/>
  <c r="AQ91" i="1"/>
  <c r="AQ92" i="1"/>
  <c r="AQ93" i="1"/>
  <c r="AQ94" i="1"/>
  <c r="AR32" i="1"/>
  <c r="AP34" i="1"/>
  <c r="AO96" i="1"/>
  <c r="AO97" i="1"/>
  <c r="AO98" i="1"/>
  <c r="AO99" i="1"/>
  <c r="AP48" i="1"/>
  <c r="AO131" i="1"/>
  <c r="AO132" i="1"/>
  <c r="AO133" i="1"/>
  <c r="AO134" i="1"/>
  <c r="AN172" i="1"/>
  <c r="AN173" i="1"/>
  <c r="AN174" i="1"/>
  <c r="AO141" i="1"/>
  <c r="AO142" i="1"/>
  <c r="AO143" i="1"/>
  <c r="AO144" i="1"/>
  <c r="AP52" i="1"/>
  <c r="AO136" i="1"/>
  <c r="AO137" i="1"/>
  <c r="AO138" i="1"/>
  <c r="AO139" i="1"/>
  <c r="AP50" i="1"/>
  <c r="AO41" i="33"/>
  <c r="Y41" i="33"/>
  <c r="AA41" i="33"/>
  <c r="X41" i="33"/>
  <c r="AD41" i="33"/>
  <c r="AM41" i="33"/>
  <c r="AE41" i="33"/>
  <c r="Z41" i="33"/>
  <c r="U42" i="32"/>
  <c r="W42" i="32"/>
  <c r="V42" i="32"/>
  <c r="AQ44" i="22"/>
  <c r="AP119" i="22"/>
  <c r="AP120" i="22"/>
  <c r="AP121" i="22"/>
  <c r="AP122" i="22"/>
  <c r="AP40" i="6"/>
  <c r="AO123" i="6"/>
  <c r="AO124" i="6"/>
  <c r="AO125" i="6"/>
  <c r="AO126" i="6"/>
  <c r="AP22" i="6"/>
  <c r="AO78" i="6"/>
  <c r="AO79" i="6"/>
  <c r="AO80" i="6"/>
  <c r="AO81" i="6"/>
  <c r="AO83" i="6"/>
  <c r="AO84" i="6"/>
  <c r="AO85" i="6"/>
  <c r="AO86" i="6"/>
  <c r="AP24" i="6"/>
  <c r="AO88" i="6"/>
  <c r="AO89" i="6"/>
  <c r="AO90" i="6"/>
  <c r="AO91" i="6"/>
  <c r="AP26" i="6"/>
  <c r="AQ30" i="6"/>
  <c r="AP98" i="6"/>
  <c r="AP99" i="6"/>
  <c r="AP100" i="6"/>
  <c r="AP101" i="6"/>
  <c r="AO93" i="6"/>
  <c r="AO94" i="6"/>
  <c r="AO95" i="6"/>
  <c r="AO96" i="6"/>
  <c r="AP28" i="6"/>
  <c r="AO103" i="6"/>
  <c r="AO104" i="6"/>
  <c r="AO105" i="6"/>
  <c r="AO106" i="6"/>
  <c r="AP32" i="6"/>
  <c r="AO133" i="6"/>
  <c r="AO134" i="6"/>
  <c r="AO135" i="6"/>
  <c r="AO136" i="6"/>
  <c r="AP44" i="6"/>
  <c r="AP128" i="6"/>
  <c r="AP129" i="6"/>
  <c r="AP130" i="6"/>
  <c r="AP131" i="6"/>
  <c r="AQ42" i="6"/>
  <c r="AO113" i="6"/>
  <c r="AO114" i="6"/>
  <c r="AO115" i="6"/>
  <c r="AO116" i="6"/>
  <c r="AP36" i="6"/>
  <c r="AP34" i="6"/>
  <c r="AO108" i="6"/>
  <c r="AO109" i="6"/>
  <c r="AO110" i="6"/>
  <c r="AO111" i="6"/>
  <c r="AR82" i="1"/>
  <c r="AQ216" i="1"/>
  <c r="AO219" i="1"/>
  <c r="AP42" i="1"/>
  <c r="AO116" i="1"/>
  <c r="AO117" i="1"/>
  <c r="AO118" i="1"/>
  <c r="AO119" i="1"/>
  <c r="AS80" i="1"/>
  <c r="AR211" i="1"/>
  <c r="AR212" i="1"/>
  <c r="AR213" i="1"/>
  <c r="AR214" i="1"/>
  <c r="AP217" i="1"/>
  <c r="AP218" i="1"/>
  <c r="AP99" i="8"/>
  <c r="AP100" i="8"/>
  <c r="AP101" i="8"/>
  <c r="AP102" i="8"/>
  <c r="AQ36" i="8"/>
  <c r="AS104" i="8"/>
  <c r="AS105" i="8"/>
  <c r="AS106" i="8"/>
  <c r="AS107" i="8"/>
  <c r="AT38" i="8"/>
  <c r="AO120" i="11"/>
  <c r="AO121" i="11"/>
  <c r="AO122" i="11"/>
  <c r="AQ44" i="11"/>
  <c r="AP119" i="11"/>
  <c r="L24" i="26"/>
  <c r="S41" i="32"/>
  <c r="AP104" i="22"/>
  <c r="AP105" i="22"/>
  <c r="AP106" i="22"/>
  <c r="AP107" i="22"/>
  <c r="AQ38" i="22"/>
  <c r="AP48" i="22"/>
  <c r="AO129" i="22"/>
  <c r="AO130" i="22"/>
  <c r="AO131" i="22"/>
  <c r="AO132" i="22"/>
  <c r="AO94" i="22"/>
  <c r="AO95" i="22"/>
  <c r="AO96" i="22"/>
  <c r="AO97" i="22"/>
  <c r="AP34" i="22"/>
  <c r="AQ110" i="7"/>
  <c r="AQ111" i="7"/>
  <c r="AQ112" i="7"/>
  <c r="AQ38" i="7"/>
  <c r="AP104" i="7"/>
  <c r="AP105" i="7"/>
  <c r="AP106" i="7"/>
  <c r="AP107" i="7"/>
  <c r="AR109" i="7"/>
  <c r="AR110" i="7"/>
  <c r="AR111" i="7"/>
  <c r="AR112" i="7"/>
  <c r="AS40" i="7"/>
  <c r="AP34" i="7"/>
  <c r="AO94" i="7"/>
  <c r="AO95" i="7"/>
  <c r="AO96" i="7"/>
  <c r="AO97" i="7"/>
  <c r="AO114" i="7"/>
  <c r="AO115" i="7"/>
  <c r="AO116" i="7"/>
  <c r="AO117" i="7"/>
  <c r="AP42" i="7"/>
  <c r="AQ30" i="7"/>
  <c r="AP84" i="7"/>
  <c r="AQ36" i="7"/>
  <c r="AP99" i="7"/>
  <c r="AP100" i="7"/>
  <c r="AP101" i="7"/>
  <c r="AP102" i="7"/>
  <c r="AS38" i="6"/>
  <c r="AR118" i="6"/>
  <c r="AR119" i="6"/>
  <c r="AR120" i="6"/>
  <c r="AR121" i="6"/>
  <c r="AO42" i="9"/>
  <c r="AN114" i="9"/>
  <c r="AN115" i="9"/>
  <c r="AN116" i="9"/>
  <c r="AN117" i="9"/>
  <c r="AS144" i="9"/>
  <c r="AS145" i="9"/>
  <c r="AS146" i="9"/>
  <c r="AS147" i="9"/>
  <c r="AT54" i="9"/>
  <c r="AP34" i="9"/>
  <c r="AO94" i="9"/>
  <c r="AO95" i="9"/>
  <c r="AO96" i="9"/>
  <c r="AO97" i="9"/>
  <c r="AO124" i="9"/>
  <c r="AO125" i="9"/>
  <c r="AO126" i="9"/>
  <c r="AO127" i="9"/>
  <c r="AP46" i="9"/>
  <c r="AS38" i="9"/>
  <c r="AR104" i="9"/>
  <c r="AR105" i="9"/>
  <c r="AR106" i="9"/>
  <c r="AR107" i="9"/>
  <c r="AQ50" i="9"/>
  <c r="AP134" i="9"/>
  <c r="AP135" i="9"/>
  <c r="AP136" i="9"/>
  <c r="AP137" i="9"/>
  <c r="AO119" i="9"/>
  <c r="AO120" i="9"/>
  <c r="AO121" i="9"/>
  <c r="AO122" i="9"/>
  <c r="AP44" i="9"/>
  <c r="AN150" i="9"/>
  <c r="AN151" i="9"/>
  <c r="AQ89" i="9"/>
  <c r="AQ90" i="9"/>
  <c r="AQ91" i="9"/>
  <c r="AQ92" i="9"/>
  <c r="AR32" i="9"/>
  <c r="AN130" i="9"/>
  <c r="AN131" i="9"/>
  <c r="AP56" i="9"/>
  <c r="AO149" i="9"/>
  <c r="AO129" i="9"/>
  <c r="AO130" i="9"/>
  <c r="AO131" i="9"/>
  <c r="AO132" i="9"/>
  <c r="AP48" i="9"/>
  <c r="AP161" i="1"/>
  <c r="AP162" i="1"/>
  <c r="AP163" i="1"/>
  <c r="AP164" i="1"/>
  <c r="AQ60" i="1"/>
  <c r="AQ72" i="1"/>
  <c r="AP191" i="1"/>
  <c r="AP192" i="1"/>
  <c r="AP193" i="1"/>
  <c r="AP194" i="1"/>
  <c r="AP78" i="1"/>
  <c r="AO206" i="1"/>
  <c r="AN197" i="1"/>
  <c r="AN198" i="1"/>
  <c r="AN199" i="1"/>
  <c r="AR66" i="1"/>
  <c r="AQ176" i="1"/>
  <c r="AQ177" i="1"/>
  <c r="AQ178" i="1"/>
  <c r="AQ179" i="1"/>
  <c r="AP202" i="1"/>
  <c r="AP203" i="1"/>
  <c r="AO162" i="1"/>
  <c r="AO163" i="1"/>
  <c r="AO164" i="1"/>
  <c r="AP70" i="1"/>
  <c r="AO186" i="1"/>
  <c r="AV56" i="1"/>
  <c r="AU151" i="1"/>
  <c r="AU152" i="1"/>
  <c r="AU153" i="1"/>
  <c r="AU154" i="1"/>
  <c r="AP74" i="1"/>
  <c r="AO196" i="1"/>
  <c r="AO197" i="1"/>
  <c r="AO198" i="1"/>
  <c r="AO199" i="1"/>
  <c r="AO192" i="1"/>
  <c r="AO193" i="1"/>
  <c r="AO194" i="1"/>
  <c r="AR76" i="1"/>
  <c r="AQ201" i="1"/>
  <c r="AQ202" i="1"/>
  <c r="AQ203" i="1"/>
  <c r="AQ204" i="1"/>
  <c r="AT115" i="11"/>
  <c r="AT116" i="11"/>
  <c r="AT117" i="11"/>
  <c r="AV42" i="11"/>
  <c r="AU114" i="11"/>
  <c r="T38" i="34"/>
  <c r="AA38" i="34"/>
  <c r="AB38" i="34"/>
  <c r="AC38" i="34"/>
  <c r="AK38" i="34"/>
  <c r="AL38" i="34"/>
  <c r="X38" i="34"/>
  <c r="AD38" i="34"/>
  <c r="Y38" i="34"/>
  <c r="AG38" i="34"/>
  <c r="AH38" i="34"/>
  <c r="AI38" i="34"/>
  <c r="AJ38" i="34"/>
  <c r="AE38" i="34"/>
  <c r="AF38" i="34"/>
  <c r="Z38" i="34"/>
  <c r="W41" i="35"/>
  <c r="V41" i="35"/>
  <c r="K41" i="35"/>
  <c r="AQ99" i="11"/>
  <c r="AR36" i="11"/>
  <c r="AS84" i="11"/>
  <c r="AT30" i="11"/>
  <c r="AP100" i="11"/>
  <c r="AP101" i="11"/>
  <c r="AP102" i="11"/>
  <c r="AP104" i="11"/>
  <c r="AQ38" i="11"/>
  <c r="AR85" i="11"/>
  <c r="AR86" i="11"/>
  <c r="AR87" i="11"/>
  <c r="AO105" i="11"/>
  <c r="AO106" i="11"/>
  <c r="AO107" i="11"/>
  <c r="AN107" i="11"/>
  <c r="AO135" i="10"/>
  <c r="AO136" i="10"/>
  <c r="AQ50" i="10"/>
  <c r="AP134" i="10"/>
  <c r="AO100" i="10"/>
  <c r="AO101" i="10"/>
  <c r="AO102" i="10"/>
  <c r="AQ36" i="10"/>
  <c r="AP99" i="10"/>
  <c r="AN155" i="22"/>
  <c r="AN156" i="22"/>
  <c r="AN157" i="22"/>
  <c r="AO154" i="22"/>
  <c r="AP58" i="22"/>
  <c r="AP99" i="22"/>
  <c r="AQ36" i="22"/>
  <c r="AO145" i="22"/>
  <c r="AO146" i="22"/>
  <c r="AO147" i="22"/>
  <c r="AO110" i="22"/>
  <c r="AO111" i="22"/>
  <c r="AO112" i="22"/>
  <c r="AP144" i="22"/>
  <c r="AQ54" i="22"/>
  <c r="AQ40" i="22"/>
  <c r="AP109" i="22"/>
  <c r="AO100" i="22"/>
  <c r="AO101" i="22"/>
  <c r="AO102" i="22"/>
  <c r="AR149" i="8"/>
  <c r="AS56" i="8"/>
  <c r="AQ150" i="8"/>
  <c r="AQ151" i="8"/>
  <c r="AQ152" i="8"/>
  <c r="AP144" i="8"/>
  <c r="AQ54" i="8"/>
  <c r="AO145" i="8"/>
  <c r="AO146" i="8"/>
  <c r="AO147" i="8"/>
  <c r="AN130" i="8"/>
  <c r="AN131" i="8"/>
  <c r="AN90" i="8"/>
  <c r="AN91" i="8"/>
  <c r="AN92" i="8"/>
  <c r="AN140" i="8"/>
  <c r="AN141" i="8"/>
  <c r="AN142" i="8"/>
  <c r="AO30" i="8"/>
  <c r="AN84" i="8"/>
  <c r="AP40" i="8"/>
  <c r="AO109" i="8"/>
  <c r="AP48" i="8"/>
  <c r="AO129" i="8"/>
  <c r="AO139" i="8"/>
  <c r="AP52" i="8"/>
  <c r="AO89" i="8"/>
  <c r="AP32" i="8"/>
  <c r="AM85" i="8"/>
  <c r="AM86" i="8"/>
  <c r="AM87" i="8"/>
  <c r="AN110" i="8"/>
  <c r="AN111" i="8"/>
  <c r="AN112" i="8"/>
  <c r="AP54" i="7"/>
  <c r="AO144" i="7"/>
  <c r="AN145" i="7"/>
  <c r="AN146" i="7"/>
  <c r="AN147" i="7"/>
  <c r="AN140" i="7"/>
  <c r="AN141" i="7"/>
  <c r="AN142" i="7"/>
  <c r="AO139" i="7"/>
  <c r="AP52" i="7"/>
  <c r="AN135" i="7"/>
  <c r="AN136" i="7"/>
  <c r="AN137" i="7"/>
  <c r="AP50" i="7"/>
  <c r="AO134" i="7"/>
  <c r="AR119" i="7"/>
  <c r="AS44" i="7"/>
  <c r="AQ124" i="7"/>
  <c r="AR46" i="7"/>
  <c r="AW32" i="7"/>
  <c r="AV89" i="7"/>
  <c r="AP125" i="7"/>
  <c r="AP126" i="7"/>
  <c r="AP127" i="7"/>
  <c r="AU90" i="7"/>
  <c r="AU91" i="7"/>
  <c r="AU92" i="7"/>
  <c r="AQ120" i="7"/>
  <c r="AQ121" i="7"/>
  <c r="AQ122" i="7"/>
  <c r="AO163" i="6"/>
  <c r="AP56" i="6"/>
  <c r="AN164" i="6"/>
  <c r="AN165" i="6"/>
  <c r="AN166" i="6"/>
  <c r="AN159" i="6"/>
  <c r="AN160" i="6"/>
  <c r="AN161" i="6"/>
  <c r="AP54" i="6"/>
  <c r="AO158" i="6"/>
  <c r="AN154" i="6"/>
  <c r="AN155" i="6"/>
  <c r="AN156" i="6"/>
  <c r="AO153" i="6"/>
  <c r="AP52" i="6"/>
  <c r="AN149" i="6"/>
  <c r="AN150" i="6"/>
  <c r="AN151" i="6"/>
  <c r="AP50" i="6"/>
  <c r="AO148" i="6"/>
  <c r="AN144" i="6"/>
  <c r="AN145" i="6"/>
  <c r="AN146" i="6"/>
  <c r="AO143" i="6"/>
  <c r="AP48" i="6"/>
  <c r="AO160" i="9"/>
  <c r="AO161" i="9"/>
  <c r="AO162" i="9"/>
  <c r="AP159" i="9"/>
  <c r="AQ60" i="9"/>
  <c r="AN155" i="9"/>
  <c r="AN156" i="9"/>
  <c r="AN157" i="9"/>
  <c r="AP58" i="9"/>
  <c r="AO154" i="9"/>
  <c r="AO100" i="9"/>
  <c r="AO101" i="9"/>
  <c r="AO102" i="9"/>
  <c r="AQ40" i="9"/>
  <c r="AP109" i="9"/>
  <c r="AO110" i="9"/>
  <c r="AO111" i="9"/>
  <c r="AO112" i="9"/>
  <c r="AP99" i="9"/>
  <c r="AQ36" i="9"/>
  <c r="AN167" i="1"/>
  <c r="AN168" i="1"/>
  <c r="AN169" i="1"/>
  <c r="AP62" i="1"/>
  <c r="AO166" i="1"/>
  <c r="AN147" i="1"/>
  <c r="AN148" i="1"/>
  <c r="AN149" i="1"/>
  <c r="AO126" i="1"/>
  <c r="AP46" i="1"/>
  <c r="AO146" i="1"/>
  <c r="AP54" i="1"/>
  <c r="AN127" i="1"/>
  <c r="AN128" i="1"/>
  <c r="AN129" i="1"/>
  <c r="AP122" i="1"/>
  <c r="AP123" i="1"/>
  <c r="AR44" i="1"/>
  <c r="AQ121" i="1"/>
  <c r="AN107" i="1"/>
  <c r="AN108" i="1"/>
  <c r="AN109" i="1"/>
  <c r="AQ101" i="1"/>
  <c r="AR36" i="1"/>
  <c r="AP112" i="1"/>
  <c r="AP113" i="1"/>
  <c r="AP114" i="1"/>
  <c r="AO106" i="1"/>
  <c r="AP38" i="1"/>
  <c r="AP102" i="1"/>
  <c r="AP103" i="1"/>
  <c r="AP104" i="1"/>
  <c r="AQ111" i="1"/>
  <c r="AR40" i="1"/>
  <c r="U42" i="37"/>
  <c r="W42" i="37"/>
  <c r="V42" i="37"/>
  <c r="AQ48" i="7"/>
  <c r="AP129" i="7"/>
  <c r="AP130" i="7"/>
  <c r="AP131" i="7"/>
  <c r="AP132" i="7"/>
  <c r="T40" i="36"/>
  <c r="AK40" i="36"/>
  <c r="AM40" i="36"/>
  <c r="AF40" i="36"/>
  <c r="Z40" i="36"/>
  <c r="AC40" i="36"/>
  <c r="AE40" i="36"/>
  <c r="X40" i="36"/>
  <c r="U41" i="36"/>
  <c r="W41" i="36"/>
  <c r="V41" i="36"/>
  <c r="AI40" i="36"/>
  <c r="AL40" i="36"/>
  <c r="AN40" i="36"/>
  <c r="AH40" i="36"/>
  <c r="AG40" i="36"/>
  <c r="AA40" i="36"/>
  <c r="AB40" i="36"/>
  <c r="AD40" i="36"/>
  <c r="Y40" i="36"/>
  <c r="AJ40" i="36"/>
  <c r="P42" i="37"/>
  <c r="Q42" i="37"/>
  <c r="BU197" i="9"/>
  <c r="BW44" i="2"/>
  <c r="M51" i="41"/>
  <c r="BX165" i="2"/>
  <c r="AO59" i="11"/>
  <c r="AP229" i="11"/>
  <c r="BV195" i="9"/>
  <c r="BV196" i="9"/>
  <c r="BW194" i="9"/>
  <c r="BX74" i="9"/>
  <c r="K42" i="32"/>
  <c r="L42" i="32"/>
  <c r="N42" i="32"/>
  <c r="O42" i="32"/>
  <c r="P42" i="32"/>
  <c r="Q42" i="32"/>
  <c r="M49" i="36"/>
  <c r="CF42" i="2"/>
  <c r="W36" i="41"/>
  <c r="V36" i="41"/>
  <c r="K36" i="41"/>
  <c r="AN137" i="11"/>
  <c r="AU207" i="7"/>
  <c r="AW172" i="9"/>
  <c r="AZ167" i="10"/>
  <c r="BN212" i="10"/>
  <c r="AV167" i="22"/>
  <c r="AN207" i="8"/>
  <c r="BA157" i="8"/>
  <c r="BO172" i="10"/>
  <c r="AR127" i="11"/>
  <c r="AS162" i="7"/>
  <c r="AX207" i="22"/>
  <c r="AN202" i="11"/>
  <c r="AO152" i="11"/>
  <c r="BK177" i="22"/>
  <c r="BO177" i="9"/>
  <c r="AX192" i="22"/>
  <c r="AN177" i="7"/>
  <c r="AN202" i="10"/>
  <c r="BC187" i="10"/>
  <c r="BF289" i="40"/>
  <c r="BF290" i="40"/>
  <c r="BF291" i="40"/>
  <c r="BF292" i="40"/>
  <c r="BG110" i="40"/>
  <c r="BF249" i="40"/>
  <c r="BG94" i="40"/>
  <c r="BF264" i="40"/>
  <c r="BG100" i="40"/>
  <c r="BE290" i="40"/>
  <c r="BE291" i="40"/>
  <c r="BE292" i="40"/>
  <c r="BE265" i="40"/>
  <c r="BE266" i="40"/>
  <c r="BE267" i="40"/>
  <c r="BF269" i="40"/>
  <c r="BG102" i="40"/>
  <c r="BF284" i="40"/>
  <c r="BF285" i="40"/>
  <c r="BF286" i="40"/>
  <c r="BF287" i="40"/>
  <c r="BG108" i="40"/>
  <c r="BF244" i="40"/>
  <c r="BG92" i="40"/>
  <c r="BK280" i="40"/>
  <c r="BK281" i="40"/>
  <c r="BK282" i="40"/>
  <c r="BM96" i="40"/>
  <c r="BM254" i="40"/>
  <c r="BM255" i="40"/>
  <c r="BM256" i="40"/>
  <c r="BM257" i="40"/>
  <c r="BM104" i="40"/>
  <c r="BM274" i="40"/>
  <c r="BM275" i="40"/>
  <c r="BM276" i="40"/>
  <c r="BM277" i="40"/>
  <c r="BN98" i="40"/>
  <c r="BN259" i="40"/>
  <c r="BN260" i="40"/>
  <c r="BN261" i="40"/>
  <c r="BN262" i="40"/>
  <c r="BL106" i="40"/>
  <c r="BL279" i="40"/>
  <c r="BL280" i="40"/>
  <c r="BL281" i="40"/>
  <c r="BL282" i="40"/>
  <c r="BI90" i="40"/>
  <c r="BF205" i="40"/>
  <c r="BF206" i="40"/>
  <c r="BF207" i="40"/>
  <c r="BF165" i="40"/>
  <c r="BF166" i="40"/>
  <c r="BF167" i="40"/>
  <c r="BG42" i="40"/>
  <c r="BF119" i="40"/>
  <c r="BF215" i="40"/>
  <c r="BF216" i="40"/>
  <c r="BH66" i="40"/>
  <c r="BG179" i="40"/>
  <c r="BE210" i="40"/>
  <c r="BE211" i="40"/>
  <c r="BE212" i="40"/>
  <c r="BG48" i="40"/>
  <c r="BF134" i="40"/>
  <c r="BE160" i="40"/>
  <c r="BE161" i="40"/>
  <c r="BE162" i="40"/>
  <c r="BG62" i="40"/>
  <c r="BF169" i="40"/>
  <c r="BG195" i="40"/>
  <c r="BG196" i="40"/>
  <c r="BG197" i="40"/>
  <c r="BF177" i="40"/>
  <c r="BH88" i="40"/>
  <c r="BG234" i="40"/>
  <c r="BE240" i="40"/>
  <c r="BE241" i="40"/>
  <c r="BF225" i="40"/>
  <c r="BF226" i="40"/>
  <c r="BG44" i="40"/>
  <c r="BF124" i="40"/>
  <c r="BG56" i="40"/>
  <c r="BF154" i="40"/>
  <c r="BG185" i="40"/>
  <c r="BG186" i="40"/>
  <c r="BE230" i="40"/>
  <c r="BE231" i="40"/>
  <c r="BE232" i="40"/>
  <c r="BG175" i="40"/>
  <c r="BG176" i="40"/>
  <c r="BG177" i="40"/>
  <c r="BH40" i="40"/>
  <c r="BG114" i="40"/>
  <c r="BH50" i="40"/>
  <c r="BG139" i="40"/>
  <c r="BE150" i="40"/>
  <c r="BE151" i="40"/>
  <c r="BE152" i="40"/>
  <c r="BE145" i="40"/>
  <c r="BE146" i="40"/>
  <c r="BE147" i="40"/>
  <c r="BG46" i="40"/>
  <c r="BF129" i="40"/>
  <c r="BE155" i="40"/>
  <c r="BE156" i="40"/>
  <c r="BE157" i="40"/>
  <c r="BF140" i="40"/>
  <c r="BF141" i="40"/>
  <c r="BF142" i="40"/>
  <c r="BH76" i="40"/>
  <c r="BG204" i="40"/>
  <c r="BG78" i="40"/>
  <c r="BF209" i="40"/>
  <c r="BE190" i="40"/>
  <c r="BE191" i="40"/>
  <c r="BE130" i="40"/>
  <c r="BE131" i="40"/>
  <c r="BE132" i="40"/>
  <c r="BI72" i="40"/>
  <c r="BH194" i="40"/>
  <c r="BE220" i="40"/>
  <c r="BE221" i="40"/>
  <c r="BH60" i="40"/>
  <c r="BG164" i="40"/>
  <c r="BF239" i="40"/>
  <c r="BI68" i="40"/>
  <c r="BH184" i="40"/>
  <c r="BG86" i="40"/>
  <c r="BF229" i="40"/>
  <c r="BI64" i="40"/>
  <c r="BH174" i="40"/>
  <c r="BE120" i="40"/>
  <c r="BE121" i="40"/>
  <c r="BE122" i="40"/>
  <c r="BD202" i="40"/>
  <c r="BF180" i="40"/>
  <c r="BF181" i="40"/>
  <c r="BE135" i="40"/>
  <c r="BE136" i="40"/>
  <c r="BE137" i="40"/>
  <c r="BE170" i="40"/>
  <c r="BE171" i="40"/>
  <c r="BE172" i="40"/>
  <c r="BG74" i="40"/>
  <c r="BF199" i="40"/>
  <c r="BE125" i="40"/>
  <c r="BE126" i="40"/>
  <c r="BE127" i="40"/>
  <c r="BH80" i="40"/>
  <c r="BG214" i="40"/>
  <c r="BG52" i="40"/>
  <c r="BF144" i="40"/>
  <c r="BG70" i="40"/>
  <c r="BF189" i="40"/>
  <c r="BG58" i="40"/>
  <c r="BF159" i="40"/>
  <c r="BE182" i="40"/>
  <c r="BG82" i="40"/>
  <c r="BF219" i="40"/>
  <c r="BE200" i="40"/>
  <c r="BE201" i="40"/>
  <c r="BE202" i="40"/>
  <c r="BF235" i="40"/>
  <c r="BF236" i="40"/>
  <c r="BF237" i="40"/>
  <c r="BE217" i="40"/>
  <c r="BH84" i="40"/>
  <c r="BG224" i="40"/>
  <c r="BD212" i="40"/>
  <c r="BD162" i="40"/>
  <c r="BF115" i="40"/>
  <c r="BF116" i="40"/>
  <c r="BF117" i="40"/>
  <c r="BE237" i="40"/>
  <c r="BG54" i="40"/>
  <c r="BF149" i="40"/>
  <c r="AN187" i="8"/>
  <c r="BQ174" i="9"/>
  <c r="BR66" i="9"/>
  <c r="AW62" i="8"/>
  <c r="AV164" i="8"/>
  <c r="BF194" i="11"/>
  <c r="BG74" i="11"/>
  <c r="BJ144" i="10"/>
  <c r="BK54" i="10"/>
  <c r="AY62" i="22"/>
  <c r="AX164" i="22"/>
  <c r="AU55" i="11"/>
  <c r="AV227" i="11"/>
  <c r="AT167" i="8"/>
  <c r="AQ56" i="22"/>
  <c r="AP149" i="22"/>
  <c r="AP150" i="22"/>
  <c r="AP151" i="22"/>
  <c r="AP152" i="22"/>
  <c r="BD197" i="11"/>
  <c r="BQ156" i="10"/>
  <c r="BQ155" i="10"/>
  <c r="BH147" i="10"/>
  <c r="AX170" i="9"/>
  <c r="AX171" i="9"/>
  <c r="AR56" i="11"/>
  <c r="AQ149" i="11"/>
  <c r="AT206" i="11"/>
  <c r="AT205" i="11"/>
  <c r="BQ169" i="10"/>
  <c r="BR64" i="10"/>
  <c r="BA165" i="10"/>
  <c r="BA166" i="10"/>
  <c r="BQ80" i="10"/>
  <c r="BP209" i="10"/>
  <c r="AV60" i="7"/>
  <c r="AU159" i="7"/>
  <c r="BA78" i="22"/>
  <c r="AZ204" i="22"/>
  <c r="AN182" i="10"/>
  <c r="AV206" i="7"/>
  <c r="AV205" i="7"/>
  <c r="AQ76" i="22"/>
  <c r="AP199" i="22"/>
  <c r="AT58" i="7"/>
  <c r="AS154" i="7"/>
  <c r="AQ60" i="10"/>
  <c r="AP159" i="10"/>
  <c r="BE196" i="11"/>
  <c r="BE195" i="11"/>
  <c r="AO175" i="7"/>
  <c r="AO176" i="7"/>
  <c r="AX70" i="22"/>
  <c r="AW184" i="22"/>
  <c r="AO136" i="11"/>
  <c r="AO135" i="11"/>
  <c r="AO185" i="8"/>
  <c r="AO186" i="8"/>
  <c r="BL176" i="22"/>
  <c r="BL175" i="22"/>
  <c r="BS58" i="10"/>
  <c r="BR154" i="10"/>
  <c r="AO205" i="8"/>
  <c r="AO206" i="8"/>
  <c r="AP201" i="7"/>
  <c r="AP200" i="7"/>
  <c r="BB155" i="8"/>
  <c r="BB156" i="8"/>
  <c r="AV78" i="11"/>
  <c r="AU204" i="11"/>
  <c r="AS126" i="11"/>
  <c r="AS125" i="11"/>
  <c r="AY206" i="22"/>
  <c r="AY205" i="22"/>
  <c r="AO201" i="10"/>
  <c r="AO200" i="10"/>
  <c r="AO200" i="11"/>
  <c r="AO201" i="11"/>
  <c r="AO181" i="10"/>
  <c r="AO180" i="10"/>
  <c r="AO165" i="9"/>
  <c r="AO166" i="9"/>
  <c r="AO160" i="10"/>
  <c r="AO161" i="10"/>
  <c r="AW207" i="9"/>
  <c r="AY190" i="22"/>
  <c r="AY191" i="22"/>
  <c r="AP174" i="7"/>
  <c r="AQ66" i="7"/>
  <c r="AP138" i="6"/>
  <c r="AP139" i="6"/>
  <c r="AP140" i="6"/>
  <c r="AP141" i="6"/>
  <c r="AQ46" i="6"/>
  <c r="AV186" i="22"/>
  <c r="AV185" i="22"/>
  <c r="AQ50" i="11"/>
  <c r="AP134" i="11"/>
  <c r="AQ70" i="8"/>
  <c r="AP184" i="8"/>
  <c r="BM174" i="22"/>
  <c r="BN66" i="22"/>
  <c r="AN162" i="10"/>
  <c r="AX205" i="9"/>
  <c r="AX206" i="9"/>
  <c r="BD185" i="10"/>
  <c r="BD186" i="10"/>
  <c r="AY177" i="10"/>
  <c r="AQ78" i="8"/>
  <c r="AP204" i="8"/>
  <c r="AR76" i="7"/>
  <c r="AQ199" i="7"/>
  <c r="BD58" i="8"/>
  <c r="BC154" i="8"/>
  <c r="AN202" i="22"/>
  <c r="AU46" i="11"/>
  <c r="AT124" i="11"/>
  <c r="BP157" i="10"/>
  <c r="BA174" i="10"/>
  <c r="BB66" i="10"/>
  <c r="AO202" i="7"/>
  <c r="AS207" i="11"/>
  <c r="AQ76" i="10"/>
  <c r="AP199" i="10"/>
  <c r="AQ76" i="11"/>
  <c r="AP199" i="11"/>
  <c r="AQ68" i="10"/>
  <c r="AP179" i="10"/>
  <c r="AP164" i="9"/>
  <c r="AQ62" i="9"/>
  <c r="AX81" i="8"/>
  <c r="AY240" i="8"/>
  <c r="BP176" i="9"/>
  <c r="BP175" i="9"/>
  <c r="AU165" i="8"/>
  <c r="AU166" i="8"/>
  <c r="BA72" i="22"/>
  <c r="AZ189" i="22"/>
  <c r="BI146" i="10"/>
  <c r="BI145" i="10"/>
  <c r="AQ157" i="7"/>
  <c r="BA61" i="11"/>
  <c r="BB230" i="11"/>
  <c r="AW166" i="22"/>
  <c r="AW165" i="22"/>
  <c r="AN167" i="9"/>
  <c r="AY204" i="9"/>
  <c r="AZ78" i="9"/>
  <c r="BF70" i="10"/>
  <c r="BE184" i="10"/>
  <c r="AY169" i="9"/>
  <c r="AZ64" i="9"/>
  <c r="AP150" i="11"/>
  <c r="AP151" i="11"/>
  <c r="BP170" i="10"/>
  <c r="BP171" i="10"/>
  <c r="BB164" i="10"/>
  <c r="BC62" i="10"/>
  <c r="BO211" i="10"/>
  <c r="BO210" i="10"/>
  <c r="AT161" i="7"/>
  <c r="AT160" i="7"/>
  <c r="AZ176" i="10"/>
  <c r="AZ175" i="10"/>
  <c r="AW204" i="7"/>
  <c r="AX78" i="7"/>
  <c r="AO201" i="22"/>
  <c r="AO200" i="22"/>
  <c r="AR156" i="7"/>
  <c r="AR155" i="7"/>
  <c r="AU187" i="22"/>
  <c r="T41" i="33"/>
  <c r="L41" i="33"/>
  <c r="N41" i="33"/>
  <c r="O41" i="33"/>
  <c r="P41" i="33"/>
  <c r="K44" i="31"/>
  <c r="W44" i="31"/>
  <c r="V44" i="31"/>
  <c r="Q35" i="30"/>
  <c r="R35" i="30"/>
  <c r="AS40" i="11"/>
  <c r="AR109" i="11"/>
  <c r="AR110" i="11"/>
  <c r="AR111" i="11"/>
  <c r="AR112" i="11"/>
  <c r="AQ38" i="10"/>
  <c r="AP104" i="10"/>
  <c r="AP105" i="10"/>
  <c r="AP106" i="10"/>
  <c r="AP107" i="10"/>
  <c r="AQ46" i="10"/>
  <c r="AP124" i="10"/>
  <c r="AP125" i="10"/>
  <c r="AP126" i="10"/>
  <c r="AP127" i="10"/>
  <c r="AQ32" i="10"/>
  <c r="AP89" i="10"/>
  <c r="AP90" i="10"/>
  <c r="AP91" i="10"/>
  <c r="AP92" i="10"/>
  <c r="AP84" i="10"/>
  <c r="AP85" i="10"/>
  <c r="AP86" i="10"/>
  <c r="AP87" i="10"/>
  <c r="AQ30" i="10"/>
  <c r="AP94" i="10"/>
  <c r="AP95" i="10"/>
  <c r="AP96" i="10"/>
  <c r="AP97" i="10"/>
  <c r="AQ34" i="10"/>
  <c r="AQ48" i="10"/>
  <c r="AP129" i="10"/>
  <c r="AP130" i="10"/>
  <c r="AP131" i="10"/>
  <c r="AP132" i="10"/>
  <c r="AP109" i="10"/>
  <c r="AP110" i="10"/>
  <c r="AP111" i="10"/>
  <c r="AP112" i="10"/>
  <c r="AQ40" i="10"/>
  <c r="AQ42" i="10"/>
  <c r="AP114" i="10"/>
  <c r="AP115" i="10"/>
  <c r="AP116" i="10"/>
  <c r="AP117" i="10"/>
  <c r="AP139" i="10"/>
  <c r="AP140" i="10"/>
  <c r="AP141" i="10"/>
  <c r="AP142" i="10"/>
  <c r="AQ52" i="10"/>
  <c r="AR44" i="10"/>
  <c r="AQ119" i="10"/>
  <c r="AQ120" i="10"/>
  <c r="AQ121" i="10"/>
  <c r="AQ122" i="10"/>
  <c r="AR52" i="22"/>
  <c r="AQ139" i="22"/>
  <c r="AQ140" i="22"/>
  <c r="AQ141" i="22"/>
  <c r="AQ142" i="22"/>
  <c r="AQ124" i="22"/>
  <c r="AQ125" i="22"/>
  <c r="AQ126" i="22"/>
  <c r="AQ127" i="22"/>
  <c r="AR46" i="22"/>
  <c r="AP134" i="22"/>
  <c r="AP135" i="22"/>
  <c r="AP136" i="22"/>
  <c r="AP137" i="22"/>
  <c r="AQ50" i="22"/>
  <c r="AQ42" i="22"/>
  <c r="AP114" i="22"/>
  <c r="AP115" i="22"/>
  <c r="AP116" i="22"/>
  <c r="AP117" i="22"/>
  <c r="AQ134" i="8"/>
  <c r="AQ135" i="8"/>
  <c r="AQ136" i="8"/>
  <c r="AQ137" i="8"/>
  <c r="AR50" i="8"/>
  <c r="AQ46" i="8"/>
  <c r="AP124" i="8"/>
  <c r="AP125" i="8"/>
  <c r="AP126" i="8"/>
  <c r="AP127" i="8"/>
  <c r="BI187" i="7"/>
  <c r="BK182" i="9"/>
  <c r="AN192" i="9"/>
  <c r="AS192" i="8"/>
  <c r="BX87" i="22"/>
  <c r="BJ197" i="22"/>
  <c r="BH162" i="22"/>
  <c r="AN202" i="9"/>
  <c r="BD162" i="8"/>
  <c r="BP182" i="7"/>
  <c r="BG177" i="11"/>
  <c r="BE192" i="11"/>
  <c r="BN80" i="22"/>
  <c r="BM209" i="22"/>
  <c r="BE161" i="8"/>
  <c r="BE160" i="8"/>
  <c r="BK66" i="8"/>
  <c r="BJ174" i="8"/>
  <c r="BK195" i="22"/>
  <c r="BK196" i="22"/>
  <c r="BP131" i="11"/>
  <c r="BP130" i="11"/>
  <c r="BV52" i="11"/>
  <c r="BU139" i="11"/>
  <c r="AO190" i="9"/>
  <c r="AO191" i="9"/>
  <c r="BI210" i="11"/>
  <c r="BI211" i="11"/>
  <c r="BU190" i="10"/>
  <c r="BU191" i="10"/>
  <c r="BL180" i="9"/>
  <c r="BL181" i="9"/>
  <c r="BI68" i="8"/>
  <c r="BH179" i="8"/>
  <c r="BM206" i="10"/>
  <c r="BM205" i="10"/>
  <c r="BK194" i="7"/>
  <c r="BL74" i="7"/>
  <c r="U43" i="2"/>
  <c r="M50" i="32"/>
  <c r="V164" i="2"/>
  <c r="BN43" i="2"/>
  <c r="M50" i="37"/>
  <c r="BO164" i="2"/>
  <c r="BN150" i="10"/>
  <c r="BN151" i="10"/>
  <c r="BJ185" i="7"/>
  <c r="BJ186" i="7"/>
  <c r="BK60" i="22"/>
  <c r="BJ159" i="22"/>
  <c r="BM210" i="7"/>
  <c r="BM211" i="7"/>
  <c r="AX65" i="11"/>
  <c r="AY232" i="11"/>
  <c r="A166" i="2"/>
  <c r="BW166" i="2"/>
  <c r="A46" i="2"/>
  <c r="BM152" i="10"/>
  <c r="AO201" i="9"/>
  <c r="AO200" i="9"/>
  <c r="BM187" i="9"/>
  <c r="BO132" i="11"/>
  <c r="BF159" i="8"/>
  <c r="BG60" i="8"/>
  <c r="BL194" i="22"/>
  <c r="BM74" i="22"/>
  <c r="BJ197" i="10"/>
  <c r="BM172" i="22"/>
  <c r="BP70" i="9"/>
  <c r="BO184" i="9"/>
  <c r="BR48" i="11"/>
  <c r="BQ129" i="11"/>
  <c r="BT140" i="11"/>
  <c r="BT141" i="11"/>
  <c r="CA170" i="7"/>
  <c r="CA171" i="7"/>
  <c r="BJ209" i="11"/>
  <c r="BK80" i="11"/>
  <c r="BJ181" i="22"/>
  <c r="BJ180" i="22"/>
  <c r="BG181" i="8"/>
  <c r="BG180" i="8"/>
  <c r="BJ196" i="7"/>
  <c r="BJ195" i="7"/>
  <c r="AV43" i="2"/>
  <c r="M50" i="35"/>
  <c r="AW164" i="2"/>
  <c r="AM43" i="2"/>
  <c r="M50" i="34"/>
  <c r="AN164" i="2"/>
  <c r="BQ180" i="7"/>
  <c r="BQ181" i="7"/>
  <c r="BP56" i="10"/>
  <c r="BO149" i="10"/>
  <c r="BH212" i="11"/>
  <c r="AP65" i="8"/>
  <c r="AQ232" i="8"/>
  <c r="BK184" i="7"/>
  <c r="BL70" i="7"/>
  <c r="BO80" i="7"/>
  <c r="BN209" i="7"/>
  <c r="BK196" i="8"/>
  <c r="BK195" i="8"/>
  <c r="BF182" i="8"/>
  <c r="BO169" i="22"/>
  <c r="BP64" i="22"/>
  <c r="AP199" i="9"/>
  <c r="AQ76" i="9"/>
  <c r="BJ197" i="8"/>
  <c r="BG201" i="8"/>
  <c r="BG200" i="8"/>
  <c r="BY85" i="22"/>
  <c r="BY86" i="22"/>
  <c r="BI182" i="22"/>
  <c r="BF190" i="11"/>
  <c r="BF191" i="11"/>
  <c r="BB63" i="11"/>
  <c r="BC231" i="11"/>
  <c r="AT191" i="8"/>
  <c r="AT190" i="8"/>
  <c r="BN186" i="9"/>
  <c r="BN185" i="9"/>
  <c r="BH177" i="8"/>
  <c r="BF202" i="8"/>
  <c r="BK196" i="10"/>
  <c r="BK195" i="10"/>
  <c r="CB65" i="7"/>
  <c r="CA65" i="7"/>
  <c r="BZ65" i="7"/>
  <c r="BY65" i="7"/>
  <c r="BX65" i="7"/>
  <c r="CB169" i="7"/>
  <c r="BL68" i="22"/>
  <c r="BK179" i="22"/>
  <c r="BO212" i="9"/>
  <c r="AN73" i="7"/>
  <c r="AO236" i="7"/>
  <c r="BL212" i="7"/>
  <c r="BS142" i="11"/>
  <c r="M164" i="2"/>
  <c r="L43" i="2"/>
  <c r="M50" i="31"/>
  <c r="C43" i="2"/>
  <c r="M51" i="30"/>
  <c r="D164" i="2"/>
  <c r="BZ172" i="7"/>
  <c r="BR179" i="7"/>
  <c r="BS68" i="7"/>
  <c r="AQ32" i="22"/>
  <c r="AP89" i="22"/>
  <c r="AP90" i="22"/>
  <c r="AP91" i="22"/>
  <c r="AP92" i="22"/>
  <c r="BY232" i="7"/>
  <c r="BH175" i="11"/>
  <c r="BH176" i="11"/>
  <c r="BT192" i="10"/>
  <c r="BQ209" i="9"/>
  <c r="BR80" i="9"/>
  <c r="BK212" i="22"/>
  <c r="BM74" i="8"/>
  <c r="BL194" i="8"/>
  <c r="BI197" i="7"/>
  <c r="U39" i="34"/>
  <c r="W39" i="34"/>
  <c r="V39" i="34"/>
  <c r="Z39" i="34"/>
  <c r="BN171" i="22"/>
  <c r="BN170" i="22"/>
  <c r="BC69" i="11"/>
  <c r="BD234" i="11"/>
  <c r="BL210" i="22"/>
  <c r="BL211" i="22"/>
  <c r="BI176" i="8"/>
  <c r="BI175" i="8"/>
  <c r="BI76" i="8"/>
  <c r="BH199" i="8"/>
  <c r="BZ84" i="22"/>
  <c r="CA30" i="22"/>
  <c r="BH72" i="11"/>
  <c r="BG189" i="11"/>
  <c r="AV72" i="8"/>
  <c r="AU189" i="8"/>
  <c r="BL207" i="10"/>
  <c r="BL194" i="10"/>
  <c r="BM74" i="10"/>
  <c r="AQ72" i="9"/>
  <c r="AP189" i="9"/>
  <c r="BW72" i="10"/>
  <c r="BV189" i="10"/>
  <c r="BN68" i="9"/>
  <c r="BM179" i="9"/>
  <c r="BO78" i="10"/>
  <c r="BN204" i="10"/>
  <c r="BE43" i="2"/>
  <c r="BF164" i="2"/>
  <c r="AE164" i="2"/>
  <c r="AD43" i="2"/>
  <c r="M50" i="33"/>
  <c r="BJ66" i="11"/>
  <c r="BI174" i="11"/>
  <c r="BP210" i="9"/>
  <c r="BP211" i="9"/>
  <c r="BI161" i="22"/>
  <c r="BI160" i="22"/>
  <c r="AM165" i="2"/>
  <c r="BE165" i="2"/>
  <c r="L165" i="2"/>
  <c r="BN165" i="2"/>
  <c r="AD165" i="2"/>
  <c r="AV165" i="2"/>
  <c r="U165" i="2"/>
  <c r="C165" i="2"/>
  <c r="U36" i="30"/>
  <c r="S28" i="30"/>
  <c r="B10" i="26"/>
  <c r="R27" i="30"/>
  <c r="U42" i="33"/>
  <c r="W42" i="33"/>
  <c r="V42" i="33"/>
  <c r="AV34" i="8"/>
  <c r="AU94" i="8"/>
  <c r="AU95" i="8"/>
  <c r="AU96" i="8"/>
  <c r="AU97" i="8"/>
  <c r="AP119" i="8"/>
  <c r="AP120" i="8"/>
  <c r="AP121" i="8"/>
  <c r="AP122" i="8"/>
  <c r="AQ44" i="8"/>
  <c r="AP114" i="8"/>
  <c r="AP115" i="8"/>
  <c r="AP116" i="8"/>
  <c r="AP117" i="8"/>
  <c r="AQ42" i="8"/>
  <c r="AO120" i="8"/>
  <c r="AO121" i="8"/>
  <c r="AO122" i="8"/>
  <c r="AV167" i="7"/>
  <c r="AQ32" i="11"/>
  <c r="AP89" i="11"/>
  <c r="AP90" i="11"/>
  <c r="AP91" i="11"/>
  <c r="AP92" i="11"/>
  <c r="AX164" i="7"/>
  <c r="AY62" i="7"/>
  <c r="AW165" i="7"/>
  <c r="AW166" i="7"/>
  <c r="AP139" i="9"/>
  <c r="AP140" i="9"/>
  <c r="AP141" i="9"/>
  <c r="AP142" i="9"/>
  <c r="AQ52" i="9"/>
  <c r="AQ84" i="9"/>
  <c r="AQ85" i="9"/>
  <c r="AQ86" i="9"/>
  <c r="AQ87" i="9"/>
  <c r="AR30" i="9"/>
  <c r="AS30" i="1"/>
  <c r="AR86" i="1"/>
  <c r="AR87" i="1"/>
  <c r="AR88" i="1"/>
  <c r="AR89" i="1"/>
  <c r="AQ48" i="1"/>
  <c r="AP131" i="1"/>
  <c r="AP132" i="1"/>
  <c r="AP133" i="1"/>
  <c r="AP134" i="1"/>
  <c r="AP96" i="1"/>
  <c r="AP97" i="1"/>
  <c r="AP98" i="1"/>
  <c r="AP99" i="1"/>
  <c r="AQ34" i="1"/>
  <c r="AO157" i="1"/>
  <c r="AO158" i="1"/>
  <c r="AO159" i="1"/>
  <c r="AQ68" i="1"/>
  <c r="AP181" i="1"/>
  <c r="AP182" i="1"/>
  <c r="AP183" i="1"/>
  <c r="AP184" i="1"/>
  <c r="AQ52" i="1"/>
  <c r="AP141" i="1"/>
  <c r="AP142" i="1"/>
  <c r="AP143" i="1"/>
  <c r="AP144" i="1"/>
  <c r="AS32" i="1"/>
  <c r="AR91" i="1"/>
  <c r="AR92" i="1"/>
  <c r="AR93" i="1"/>
  <c r="AR94" i="1"/>
  <c r="AQ58" i="1"/>
  <c r="AP156" i="1"/>
  <c r="AP157" i="1"/>
  <c r="AP158" i="1"/>
  <c r="AP159" i="1"/>
  <c r="AP171" i="1"/>
  <c r="AP172" i="1"/>
  <c r="AP173" i="1"/>
  <c r="AP174" i="1"/>
  <c r="AQ64" i="1"/>
  <c r="AP136" i="1"/>
  <c r="AP137" i="1"/>
  <c r="AP138" i="1"/>
  <c r="AP139" i="1"/>
  <c r="AQ50" i="1"/>
  <c r="AO137" i="10"/>
  <c r="AR44" i="22"/>
  <c r="AQ119" i="22"/>
  <c r="AQ120" i="22"/>
  <c r="AQ121" i="22"/>
  <c r="AQ122" i="22"/>
  <c r="AN132" i="8"/>
  <c r="AQ36" i="6"/>
  <c r="AP113" i="6"/>
  <c r="AP114" i="6"/>
  <c r="AP115" i="6"/>
  <c r="AP116" i="6"/>
  <c r="AR42" i="6"/>
  <c r="AQ128" i="6"/>
  <c r="AQ129" i="6"/>
  <c r="AQ130" i="6"/>
  <c r="AQ131" i="6"/>
  <c r="AP133" i="6"/>
  <c r="AP134" i="6"/>
  <c r="AP135" i="6"/>
  <c r="AP136" i="6"/>
  <c r="AQ44" i="6"/>
  <c r="AP103" i="6"/>
  <c r="AP104" i="6"/>
  <c r="AP105" i="6"/>
  <c r="AP106" i="6"/>
  <c r="AQ32" i="6"/>
  <c r="AP93" i="6"/>
  <c r="AP94" i="6"/>
  <c r="AP95" i="6"/>
  <c r="AP96" i="6"/>
  <c r="AQ28" i="6"/>
  <c r="AP88" i="6"/>
  <c r="AP89" i="6"/>
  <c r="AP90" i="6"/>
  <c r="AP91" i="6"/>
  <c r="AQ26" i="6"/>
  <c r="AQ24" i="6"/>
  <c r="AP83" i="6"/>
  <c r="AP84" i="6"/>
  <c r="AP85" i="6"/>
  <c r="AP86" i="6"/>
  <c r="AP108" i="6"/>
  <c r="AP109" i="6"/>
  <c r="AP110" i="6"/>
  <c r="AP111" i="6"/>
  <c r="AQ34" i="6"/>
  <c r="AQ98" i="6"/>
  <c r="AQ99" i="6"/>
  <c r="AQ100" i="6"/>
  <c r="AQ101" i="6"/>
  <c r="AR30" i="6"/>
  <c r="AQ22" i="6"/>
  <c r="AP78" i="6"/>
  <c r="AP79" i="6"/>
  <c r="AP80" i="6"/>
  <c r="AP81" i="6"/>
  <c r="AP123" i="6"/>
  <c r="AP124" i="6"/>
  <c r="AP125" i="6"/>
  <c r="AP126" i="6"/>
  <c r="AQ40" i="6"/>
  <c r="AQ217" i="1"/>
  <c r="AQ218" i="1"/>
  <c r="AP219" i="1"/>
  <c r="AT80" i="1"/>
  <c r="AS211" i="1"/>
  <c r="AS212" i="1"/>
  <c r="AS213" i="1"/>
  <c r="AS214" i="1"/>
  <c r="AP116" i="1"/>
  <c r="AP117" i="1"/>
  <c r="AP118" i="1"/>
  <c r="AP119" i="1"/>
  <c r="AQ42" i="1"/>
  <c r="AS82" i="1"/>
  <c r="AR216" i="1"/>
  <c r="AP124" i="1"/>
  <c r="AP204" i="1"/>
  <c r="AN132" i="9"/>
  <c r="AN152" i="9"/>
  <c r="AU38" i="8"/>
  <c r="AT104" i="8"/>
  <c r="AT105" i="8"/>
  <c r="AT106" i="8"/>
  <c r="AT107" i="8"/>
  <c r="AQ99" i="8"/>
  <c r="AQ100" i="8"/>
  <c r="AQ101" i="8"/>
  <c r="AQ102" i="8"/>
  <c r="AR36" i="8"/>
  <c r="AQ119" i="11"/>
  <c r="AR44" i="11"/>
  <c r="AP120" i="11"/>
  <c r="AP121" i="11"/>
  <c r="AP122" i="11"/>
  <c r="T42" i="32"/>
  <c r="AA42" i="32"/>
  <c r="Z42" i="32"/>
  <c r="AO42" i="32"/>
  <c r="AE42" i="32"/>
  <c r="AH42" i="32"/>
  <c r="Y42" i="32"/>
  <c r="AM42" i="32"/>
  <c r="AD42" i="32"/>
  <c r="AJ42" i="32"/>
  <c r="AB42" i="32"/>
  <c r="X42" i="32"/>
  <c r="AG42" i="32"/>
  <c r="AN42" i="32"/>
  <c r="AC42" i="32"/>
  <c r="AL42" i="32"/>
  <c r="AP42" i="32"/>
  <c r="AF42" i="32"/>
  <c r="AK42" i="32"/>
  <c r="AI42" i="32"/>
  <c r="AP129" i="22"/>
  <c r="AQ48" i="22"/>
  <c r="AQ34" i="22"/>
  <c r="AP94" i="22"/>
  <c r="AP95" i="22"/>
  <c r="AP96" i="22"/>
  <c r="AP97" i="22"/>
  <c r="AR38" i="22"/>
  <c r="AQ104" i="22"/>
  <c r="AQ105" i="22"/>
  <c r="AQ106" i="22"/>
  <c r="AQ107" i="22"/>
  <c r="AP85" i="7"/>
  <c r="AP86" i="7"/>
  <c r="AR30" i="7"/>
  <c r="AQ84" i="7"/>
  <c r="AQ85" i="7"/>
  <c r="AQ86" i="7"/>
  <c r="AQ87" i="7"/>
  <c r="AP94" i="7"/>
  <c r="AQ34" i="7"/>
  <c r="AR38" i="7"/>
  <c r="AQ104" i="7"/>
  <c r="AP114" i="7"/>
  <c r="AP115" i="7"/>
  <c r="AP116" i="7"/>
  <c r="AP117" i="7"/>
  <c r="AQ42" i="7"/>
  <c r="AT40" i="7"/>
  <c r="AS109" i="7"/>
  <c r="AS110" i="7"/>
  <c r="AS111" i="7"/>
  <c r="AS112" i="7"/>
  <c r="AQ99" i="7"/>
  <c r="AR36" i="7"/>
  <c r="AS118" i="6"/>
  <c r="AS119" i="6"/>
  <c r="AS120" i="6"/>
  <c r="AS121" i="6"/>
  <c r="AT38" i="6"/>
  <c r="AS104" i="9"/>
  <c r="AS105" i="9"/>
  <c r="AS106" i="9"/>
  <c r="AS107" i="9"/>
  <c r="AT38" i="9"/>
  <c r="AQ34" i="9"/>
  <c r="AP94" i="9"/>
  <c r="AP95" i="9"/>
  <c r="AP96" i="9"/>
  <c r="AP97" i="9"/>
  <c r="AO114" i="9"/>
  <c r="AO115" i="9"/>
  <c r="AO116" i="9"/>
  <c r="AO117" i="9"/>
  <c r="AP42" i="9"/>
  <c r="AP124" i="9"/>
  <c r="AP125" i="9"/>
  <c r="AP126" i="9"/>
  <c r="AP127" i="9"/>
  <c r="AQ46" i="9"/>
  <c r="AU54" i="9"/>
  <c r="AT144" i="9"/>
  <c r="AT145" i="9"/>
  <c r="AT146" i="9"/>
  <c r="AT147" i="9"/>
  <c r="AQ134" i="9"/>
  <c r="AQ135" i="9"/>
  <c r="AQ136" i="9"/>
  <c r="AQ137" i="9"/>
  <c r="AR50" i="9"/>
  <c r="AO150" i="9"/>
  <c r="AO151" i="9"/>
  <c r="AO152" i="9"/>
  <c r="AP119" i="9"/>
  <c r="AP120" i="9"/>
  <c r="AP121" i="9"/>
  <c r="AP122" i="9"/>
  <c r="AQ44" i="9"/>
  <c r="AQ48" i="9"/>
  <c r="AP129" i="9"/>
  <c r="AP130" i="9"/>
  <c r="AP131" i="9"/>
  <c r="AP132" i="9"/>
  <c r="AP149" i="9"/>
  <c r="AP150" i="9"/>
  <c r="AP151" i="9"/>
  <c r="AP152" i="9"/>
  <c r="AQ56" i="9"/>
  <c r="AS32" i="9"/>
  <c r="AR89" i="9"/>
  <c r="AR90" i="9"/>
  <c r="AR91" i="9"/>
  <c r="AR92" i="9"/>
  <c r="AW56" i="1"/>
  <c r="AV151" i="1"/>
  <c r="AV152" i="1"/>
  <c r="AV153" i="1"/>
  <c r="AV154" i="1"/>
  <c r="AS66" i="1"/>
  <c r="AR176" i="1"/>
  <c r="AR177" i="1"/>
  <c r="AR178" i="1"/>
  <c r="AR179" i="1"/>
  <c r="AS76" i="1"/>
  <c r="AR201" i="1"/>
  <c r="AR202" i="1"/>
  <c r="AR203" i="1"/>
  <c r="AR204" i="1"/>
  <c r="AO207" i="1"/>
  <c r="AO208" i="1"/>
  <c r="AO209" i="1"/>
  <c r="AQ74" i="1"/>
  <c r="AP196" i="1"/>
  <c r="AO187" i="1"/>
  <c r="AO188" i="1"/>
  <c r="AQ78" i="1"/>
  <c r="AP206" i="1"/>
  <c r="AP207" i="1"/>
  <c r="AP208" i="1"/>
  <c r="AP209" i="1"/>
  <c r="AR60" i="1"/>
  <c r="AQ161" i="1"/>
  <c r="AQ70" i="1"/>
  <c r="AP186" i="1"/>
  <c r="AP187" i="1"/>
  <c r="AP188" i="1"/>
  <c r="AP189" i="1"/>
  <c r="AR72" i="1"/>
  <c r="AQ191" i="1"/>
  <c r="AQ192" i="1"/>
  <c r="AQ193" i="1"/>
  <c r="AQ194" i="1"/>
  <c r="AU115" i="11"/>
  <c r="AU116" i="11"/>
  <c r="AU117" i="11"/>
  <c r="AV114" i="11"/>
  <c r="AW42" i="11"/>
  <c r="AM39" i="34"/>
  <c r="AK39" i="34"/>
  <c r="L41" i="35"/>
  <c r="N41" i="35"/>
  <c r="O41" i="35"/>
  <c r="P41" i="35"/>
  <c r="Q41" i="35"/>
  <c r="T41" i="35"/>
  <c r="AL41" i="35"/>
  <c r="AM41" i="35"/>
  <c r="AJ41" i="35"/>
  <c r="AG41" i="35"/>
  <c r="Z41" i="35"/>
  <c r="AA41" i="35"/>
  <c r="X41" i="35"/>
  <c r="AN41" i="35"/>
  <c r="AK41" i="35"/>
  <c r="AD41" i="35"/>
  <c r="AE41" i="35"/>
  <c r="AB41" i="35"/>
  <c r="Y41" i="35"/>
  <c r="AO41" i="35"/>
  <c r="AH41" i="35"/>
  <c r="AI41" i="35"/>
  <c r="AF41" i="35"/>
  <c r="AC41" i="35"/>
  <c r="K42" i="37"/>
  <c r="T42" i="37"/>
  <c r="AR38" i="11"/>
  <c r="AQ104" i="11"/>
  <c r="AP105" i="11"/>
  <c r="AP106" i="11"/>
  <c r="AT84" i="11"/>
  <c r="AU30" i="11"/>
  <c r="AS85" i="11"/>
  <c r="AS86" i="11"/>
  <c r="AS87" i="11"/>
  <c r="AR99" i="11"/>
  <c r="AS36" i="11"/>
  <c r="AQ100" i="11"/>
  <c r="AQ101" i="11"/>
  <c r="AQ102" i="11"/>
  <c r="AP135" i="10"/>
  <c r="AP136" i="10"/>
  <c r="AP137" i="10"/>
  <c r="AR50" i="10"/>
  <c r="AQ134" i="10"/>
  <c r="AP100" i="10"/>
  <c r="AP101" i="10"/>
  <c r="AP102" i="10"/>
  <c r="AQ99" i="10"/>
  <c r="AR36" i="10"/>
  <c r="AO155" i="22"/>
  <c r="AO156" i="22"/>
  <c r="AO157" i="22"/>
  <c r="AP154" i="22"/>
  <c r="AQ58" i="22"/>
  <c r="AR36" i="22"/>
  <c r="AQ99" i="22"/>
  <c r="AP110" i="22"/>
  <c r="AP111" i="22"/>
  <c r="AP112" i="22"/>
  <c r="AP100" i="22"/>
  <c r="AP101" i="22"/>
  <c r="AP102" i="22"/>
  <c r="AR40" i="22"/>
  <c r="AQ109" i="22"/>
  <c r="AQ144" i="22"/>
  <c r="AR54" i="22"/>
  <c r="AP145" i="22"/>
  <c r="AP146" i="22"/>
  <c r="AP147" i="22"/>
  <c r="AS149" i="8"/>
  <c r="AT56" i="8"/>
  <c r="AR150" i="8"/>
  <c r="AR151" i="8"/>
  <c r="AR152" i="8"/>
  <c r="AR54" i="8"/>
  <c r="AQ144" i="8"/>
  <c r="AP145" i="8"/>
  <c r="AP146" i="8"/>
  <c r="AP147" i="8"/>
  <c r="AQ40" i="8"/>
  <c r="AP109" i="8"/>
  <c r="AQ52" i="8"/>
  <c r="AP139" i="8"/>
  <c r="AO110" i="8"/>
  <c r="AO111" i="8"/>
  <c r="AO112" i="8"/>
  <c r="AP30" i="8"/>
  <c r="AO84" i="8"/>
  <c r="AQ32" i="8"/>
  <c r="AP89" i="8"/>
  <c r="AO130" i="8"/>
  <c r="AO131" i="8"/>
  <c r="AO132" i="8"/>
  <c r="AO140" i="8"/>
  <c r="AO141" i="8"/>
  <c r="AO142" i="8"/>
  <c r="AO90" i="8"/>
  <c r="AO91" i="8"/>
  <c r="AO92" i="8"/>
  <c r="AQ48" i="8"/>
  <c r="AP129" i="8"/>
  <c r="AN85" i="8"/>
  <c r="AN86" i="8"/>
  <c r="AN87" i="8"/>
  <c r="AO145" i="7"/>
  <c r="AO146" i="7"/>
  <c r="AO147" i="7"/>
  <c r="AP144" i="7"/>
  <c r="AQ54" i="7"/>
  <c r="AP139" i="7"/>
  <c r="AQ52" i="7"/>
  <c r="AO140" i="7"/>
  <c r="AO141" i="7"/>
  <c r="AO142" i="7"/>
  <c r="AO135" i="7"/>
  <c r="AO136" i="7"/>
  <c r="AO137" i="7"/>
  <c r="AQ50" i="7"/>
  <c r="AP134" i="7"/>
  <c r="AV90" i="7"/>
  <c r="AV91" i="7"/>
  <c r="AV92" i="7"/>
  <c r="AQ125" i="7"/>
  <c r="AQ126" i="7"/>
  <c r="AQ127" i="7"/>
  <c r="AS119" i="7"/>
  <c r="AT44" i="7"/>
  <c r="AR124" i="7"/>
  <c r="AS46" i="7"/>
  <c r="AW89" i="7"/>
  <c r="AX32" i="7"/>
  <c r="AR120" i="7"/>
  <c r="AR121" i="7"/>
  <c r="AR122" i="7"/>
  <c r="AQ56" i="6"/>
  <c r="AP163" i="6"/>
  <c r="AO164" i="6"/>
  <c r="AO165" i="6"/>
  <c r="AO166" i="6"/>
  <c r="AO159" i="6"/>
  <c r="AO160" i="6"/>
  <c r="AO161" i="6"/>
  <c r="AQ54" i="6"/>
  <c r="AP158" i="6"/>
  <c r="AP153" i="6"/>
  <c r="AQ52" i="6"/>
  <c r="AO154" i="6"/>
  <c r="AO155" i="6"/>
  <c r="AO156" i="6"/>
  <c r="AP148" i="6"/>
  <c r="AQ50" i="6"/>
  <c r="AO149" i="6"/>
  <c r="AO150" i="6"/>
  <c r="AO151" i="6"/>
  <c r="AQ48" i="6"/>
  <c r="AP143" i="6"/>
  <c r="AO144" i="6"/>
  <c r="AO145" i="6"/>
  <c r="AO146" i="6"/>
  <c r="AR60" i="9"/>
  <c r="AQ159" i="9"/>
  <c r="AP160" i="9"/>
  <c r="AP161" i="9"/>
  <c r="AP162" i="9"/>
  <c r="AO155" i="9"/>
  <c r="AO156" i="9"/>
  <c r="AO157" i="9"/>
  <c r="AQ58" i="9"/>
  <c r="AP154" i="9"/>
  <c r="AR36" i="9"/>
  <c r="AQ99" i="9"/>
  <c r="AP110" i="9"/>
  <c r="AP111" i="9"/>
  <c r="AP112" i="9"/>
  <c r="AP100" i="9"/>
  <c r="AP101" i="9"/>
  <c r="AP102" i="9"/>
  <c r="AR40" i="9"/>
  <c r="AQ109" i="9"/>
  <c r="AO167" i="1"/>
  <c r="AO168" i="1"/>
  <c r="AO169" i="1"/>
  <c r="AP166" i="1"/>
  <c r="AQ62" i="1"/>
  <c r="AP126" i="1"/>
  <c r="AQ46" i="1"/>
  <c r="AQ54" i="1"/>
  <c r="AP146" i="1"/>
  <c r="AO127" i="1"/>
  <c r="AO128" i="1"/>
  <c r="AO129" i="1"/>
  <c r="AO147" i="1"/>
  <c r="AO148" i="1"/>
  <c r="AO149" i="1"/>
  <c r="AQ122" i="1"/>
  <c r="AQ123" i="1"/>
  <c r="AQ124" i="1"/>
  <c r="AR121" i="1"/>
  <c r="AS44" i="1"/>
  <c r="AO107" i="1"/>
  <c r="AO108" i="1"/>
  <c r="AO109" i="1"/>
  <c r="AQ38" i="1"/>
  <c r="AP106" i="1"/>
  <c r="AQ102" i="1"/>
  <c r="AQ103" i="1"/>
  <c r="AQ104" i="1"/>
  <c r="AS40" i="1"/>
  <c r="AR111" i="1"/>
  <c r="AQ112" i="1"/>
  <c r="AQ113" i="1"/>
  <c r="AQ114" i="1"/>
  <c r="AR101" i="1"/>
  <c r="AS36" i="1"/>
  <c r="X42" i="37"/>
  <c r="AC42" i="37"/>
  <c r="AB42" i="37"/>
  <c r="AA42" i="37"/>
  <c r="AO42" i="37"/>
  <c r="AH42" i="37"/>
  <c r="AN42" i="37"/>
  <c r="AM42" i="37"/>
  <c r="AJ42" i="37"/>
  <c r="AI42" i="37"/>
  <c r="AF42" i="37"/>
  <c r="AL42" i="37"/>
  <c r="Z42" i="37"/>
  <c r="AE42" i="37"/>
  <c r="AG42" i="37"/>
  <c r="AK42" i="37"/>
  <c r="AP42" i="37"/>
  <c r="AD42" i="37"/>
  <c r="Y42" i="37"/>
  <c r="AE39" i="34"/>
  <c r="X39" i="34"/>
  <c r="AQ129" i="7"/>
  <c r="AQ130" i="7"/>
  <c r="AQ131" i="7"/>
  <c r="AQ132" i="7"/>
  <c r="AR48" i="7"/>
  <c r="Z41" i="36"/>
  <c r="AN41" i="36"/>
  <c r="AH41" i="36"/>
  <c r="AJ41" i="36"/>
  <c r="AC41" i="36"/>
  <c r="AG41" i="36"/>
  <c r="AB41" i="36"/>
  <c r="AD41" i="36"/>
  <c r="AO41" i="36"/>
  <c r="AL41" i="36"/>
  <c r="X41" i="36"/>
  <c r="AI41" i="36"/>
  <c r="AK41" i="36"/>
  <c r="AF41" i="36"/>
  <c r="AE41" i="36"/>
  <c r="Y41" i="36"/>
  <c r="AA41" i="36"/>
  <c r="AM41" i="36"/>
  <c r="K41" i="36"/>
  <c r="P43" i="37"/>
  <c r="Q43" i="37"/>
  <c r="BV197" i="9"/>
  <c r="BX194" i="9"/>
  <c r="BY74" i="9"/>
  <c r="BW45" i="2"/>
  <c r="BX166" i="2"/>
  <c r="BW195" i="9"/>
  <c r="BW196" i="9"/>
  <c r="AN59" i="11"/>
  <c r="AO229" i="11"/>
  <c r="BZ232" i="7"/>
  <c r="AD39" i="34"/>
  <c r="AG39" i="34"/>
  <c r="AL39" i="34"/>
  <c r="AF39" i="34"/>
  <c r="M50" i="36"/>
  <c r="CF43" i="2"/>
  <c r="L36" i="41"/>
  <c r="N36" i="41"/>
  <c r="O36" i="41"/>
  <c r="P36" i="41"/>
  <c r="T36" i="41"/>
  <c r="AC36" i="41"/>
  <c r="AB36" i="41"/>
  <c r="X36" i="41"/>
  <c r="AG36" i="41"/>
  <c r="AF36" i="41"/>
  <c r="AH36" i="41"/>
  <c r="AE36" i="41"/>
  <c r="AJ36" i="41"/>
  <c r="AD36" i="41"/>
  <c r="AI36" i="41"/>
  <c r="AA36" i="41"/>
  <c r="Y36" i="41"/>
  <c r="Z36" i="41"/>
  <c r="K42" i="33"/>
  <c r="AO167" i="9"/>
  <c r="AO202" i="11"/>
  <c r="AO187" i="8"/>
  <c r="AR157" i="7"/>
  <c r="AO177" i="7"/>
  <c r="BP172" i="10"/>
  <c r="AU167" i="8"/>
  <c r="AT192" i="8"/>
  <c r="AO207" i="8"/>
  <c r="BP177" i="9"/>
  <c r="BG202" i="8"/>
  <c r="BI212" i="11"/>
  <c r="AP152" i="11"/>
  <c r="AY192" i="22"/>
  <c r="AX172" i="9"/>
  <c r="BQ157" i="10"/>
  <c r="AW167" i="22"/>
  <c r="BG244" i="40"/>
  <c r="BH92" i="40"/>
  <c r="BG269" i="40"/>
  <c r="BG270" i="40"/>
  <c r="BG271" i="40"/>
  <c r="BG272" i="40"/>
  <c r="BH102" i="40"/>
  <c r="BG249" i="40"/>
  <c r="BH94" i="40"/>
  <c r="BF245" i="40"/>
  <c r="BF246" i="40"/>
  <c r="BF247" i="40"/>
  <c r="BF270" i="40"/>
  <c r="BF271" i="40"/>
  <c r="BF272" i="40"/>
  <c r="BF250" i="40"/>
  <c r="BF251" i="40"/>
  <c r="BF252" i="40"/>
  <c r="BG284" i="40"/>
  <c r="BH108" i="40"/>
  <c r="BG264" i="40"/>
  <c r="BH100" i="40"/>
  <c r="BG289" i="40"/>
  <c r="BG290" i="40"/>
  <c r="BG291" i="40"/>
  <c r="BG292" i="40"/>
  <c r="BH110" i="40"/>
  <c r="BF265" i="40"/>
  <c r="BF266" i="40"/>
  <c r="BF267" i="40"/>
  <c r="BN104" i="40"/>
  <c r="BN274" i="40"/>
  <c r="BM106" i="40"/>
  <c r="BM279" i="40"/>
  <c r="BM280" i="40"/>
  <c r="BM281" i="40"/>
  <c r="BM282" i="40"/>
  <c r="BO98" i="40"/>
  <c r="BO259" i="40"/>
  <c r="BN96" i="40"/>
  <c r="BN254" i="40"/>
  <c r="BN255" i="40"/>
  <c r="BN256" i="40"/>
  <c r="BN257" i="40"/>
  <c r="BJ90" i="40"/>
  <c r="BH58" i="40"/>
  <c r="BG159" i="40"/>
  <c r="BG215" i="40"/>
  <c r="BG216" i="40"/>
  <c r="BG217" i="40"/>
  <c r="BJ68" i="40"/>
  <c r="BI184" i="40"/>
  <c r="BG180" i="40"/>
  <c r="BG181" i="40"/>
  <c r="BG182" i="40"/>
  <c r="BH54" i="40"/>
  <c r="BG149" i="40"/>
  <c r="BF145" i="40"/>
  <c r="BF146" i="40"/>
  <c r="BF147" i="40"/>
  <c r="BI80" i="40"/>
  <c r="BH214" i="40"/>
  <c r="BF200" i="40"/>
  <c r="BF201" i="40"/>
  <c r="BF182" i="40"/>
  <c r="BH175" i="40"/>
  <c r="BH176" i="40"/>
  <c r="BH177" i="40"/>
  <c r="BH86" i="40"/>
  <c r="BG229" i="40"/>
  <c r="BG165" i="40"/>
  <c r="BG166" i="40"/>
  <c r="BE222" i="40"/>
  <c r="BF210" i="40"/>
  <c r="BF211" i="40"/>
  <c r="BF212" i="40"/>
  <c r="BI76" i="40"/>
  <c r="BH204" i="40"/>
  <c r="BH46" i="40"/>
  <c r="BG129" i="40"/>
  <c r="BG115" i="40"/>
  <c r="BG116" i="40"/>
  <c r="BG117" i="40"/>
  <c r="BG187" i="40"/>
  <c r="BF125" i="40"/>
  <c r="BF126" i="40"/>
  <c r="BF127" i="40"/>
  <c r="BF227" i="40"/>
  <c r="BI88" i="40"/>
  <c r="BH234" i="40"/>
  <c r="BH48" i="40"/>
  <c r="BG134" i="40"/>
  <c r="BI66" i="40"/>
  <c r="BH179" i="40"/>
  <c r="BF120" i="40"/>
  <c r="BF121" i="40"/>
  <c r="BF122" i="40"/>
  <c r="BH82" i="40"/>
  <c r="BG219" i="40"/>
  <c r="BH56" i="40"/>
  <c r="BG154" i="40"/>
  <c r="BF190" i="40"/>
  <c r="BF191" i="40"/>
  <c r="BH74" i="40"/>
  <c r="BG199" i="40"/>
  <c r="BJ64" i="40"/>
  <c r="BI174" i="40"/>
  <c r="BF240" i="40"/>
  <c r="BF241" i="40"/>
  <c r="BH195" i="40"/>
  <c r="BH196" i="40"/>
  <c r="BH197" i="40"/>
  <c r="BH78" i="40"/>
  <c r="BG209" i="40"/>
  <c r="BG140" i="40"/>
  <c r="BG141" i="40"/>
  <c r="BF155" i="40"/>
  <c r="BF156" i="40"/>
  <c r="BF157" i="40"/>
  <c r="BH44" i="40"/>
  <c r="BG124" i="40"/>
  <c r="BF170" i="40"/>
  <c r="BF171" i="40"/>
  <c r="BI84" i="40"/>
  <c r="BH224" i="40"/>
  <c r="BF230" i="40"/>
  <c r="BF231" i="40"/>
  <c r="BF232" i="40"/>
  <c r="BG205" i="40"/>
  <c r="BG206" i="40"/>
  <c r="BG235" i="40"/>
  <c r="BG236" i="40"/>
  <c r="BG237" i="40"/>
  <c r="BF150" i="40"/>
  <c r="BF151" i="40"/>
  <c r="BF152" i="40"/>
  <c r="BG225" i="40"/>
  <c r="BG226" i="40"/>
  <c r="BF220" i="40"/>
  <c r="BF221" i="40"/>
  <c r="BF222" i="40"/>
  <c r="BF160" i="40"/>
  <c r="BF161" i="40"/>
  <c r="BH70" i="40"/>
  <c r="BG189" i="40"/>
  <c r="BH52" i="40"/>
  <c r="BG144" i="40"/>
  <c r="BH185" i="40"/>
  <c r="BH186" i="40"/>
  <c r="BG239" i="40"/>
  <c r="BI60" i="40"/>
  <c r="BH164" i="40"/>
  <c r="BJ72" i="40"/>
  <c r="BI194" i="40"/>
  <c r="BE192" i="40"/>
  <c r="BF130" i="40"/>
  <c r="BF131" i="40"/>
  <c r="BF132" i="40"/>
  <c r="BI50" i="40"/>
  <c r="BH139" i="40"/>
  <c r="BH114" i="40"/>
  <c r="BI40" i="40"/>
  <c r="BE242" i="40"/>
  <c r="BH62" i="40"/>
  <c r="BG169" i="40"/>
  <c r="BF135" i="40"/>
  <c r="BF136" i="40"/>
  <c r="BF137" i="40"/>
  <c r="BF217" i="40"/>
  <c r="BH42" i="40"/>
  <c r="BG119" i="40"/>
  <c r="AO182" i="10"/>
  <c r="AV187" i="22"/>
  <c r="BY87" i="22"/>
  <c r="AO192" i="9"/>
  <c r="BK197" i="22"/>
  <c r="AY78" i="7"/>
  <c r="AX204" i="7"/>
  <c r="BD62" i="10"/>
  <c r="BC164" i="10"/>
  <c r="BE185" i="10"/>
  <c r="BE186" i="10"/>
  <c r="BA230" i="11"/>
  <c r="AZ61" i="11"/>
  <c r="AZ191" i="22"/>
  <c r="AZ190" i="22"/>
  <c r="AQ164" i="9"/>
  <c r="AR62" i="9"/>
  <c r="AP201" i="11"/>
  <c r="AP200" i="11"/>
  <c r="BC155" i="8"/>
  <c r="BC156" i="8"/>
  <c r="AP206" i="8"/>
  <c r="AP205" i="8"/>
  <c r="BO66" i="22"/>
  <c r="BN174" i="22"/>
  <c r="AP136" i="11"/>
  <c r="AP135" i="11"/>
  <c r="AR46" i="6"/>
  <c r="AQ138" i="6"/>
  <c r="AQ139" i="6"/>
  <c r="AQ140" i="6"/>
  <c r="AQ141" i="6"/>
  <c r="AW78" i="11"/>
  <c r="AV204" i="11"/>
  <c r="BR155" i="10"/>
  <c r="BR156" i="10"/>
  <c r="AP160" i="10"/>
  <c r="AP161" i="10"/>
  <c r="AP200" i="22"/>
  <c r="AP201" i="22"/>
  <c r="AW60" i="7"/>
  <c r="AV159" i="7"/>
  <c r="AY164" i="22"/>
  <c r="AZ62" i="22"/>
  <c r="BJ146" i="10"/>
  <c r="BJ145" i="10"/>
  <c r="AX62" i="8"/>
  <c r="AW164" i="8"/>
  <c r="CA172" i="7"/>
  <c r="CA232" i="7"/>
  <c r="BJ187" i="7"/>
  <c r="AW205" i="7"/>
  <c r="AW206" i="7"/>
  <c r="AT162" i="7"/>
  <c r="BB166" i="10"/>
  <c r="BB165" i="10"/>
  <c r="BF184" i="10"/>
  <c r="BG70" i="10"/>
  <c r="BA189" i="22"/>
  <c r="BB72" i="22"/>
  <c r="AP165" i="9"/>
  <c r="AP166" i="9"/>
  <c r="AR76" i="11"/>
  <c r="AQ199" i="11"/>
  <c r="AT125" i="11"/>
  <c r="AT126" i="11"/>
  <c r="BD154" i="8"/>
  <c r="BE58" i="8"/>
  <c r="AR78" i="8"/>
  <c r="AQ204" i="8"/>
  <c r="AX207" i="9"/>
  <c r="BM175" i="22"/>
  <c r="BM176" i="22"/>
  <c r="AR50" i="11"/>
  <c r="AQ134" i="11"/>
  <c r="AO202" i="10"/>
  <c r="AS127" i="11"/>
  <c r="BB157" i="8"/>
  <c r="AP202" i="7"/>
  <c r="BT58" i="10"/>
  <c r="BS154" i="10"/>
  <c r="AR60" i="10"/>
  <c r="AQ159" i="10"/>
  <c r="AR76" i="22"/>
  <c r="AQ199" i="22"/>
  <c r="AZ206" i="22"/>
  <c r="AZ205" i="22"/>
  <c r="BP211" i="10"/>
  <c r="BP210" i="10"/>
  <c r="AT207" i="11"/>
  <c r="BG194" i="11"/>
  <c r="BH74" i="11"/>
  <c r="BA64" i="9"/>
  <c r="AZ169" i="9"/>
  <c r="BA78" i="9"/>
  <c r="AZ204" i="9"/>
  <c r="AP181" i="10"/>
  <c r="AP180" i="10"/>
  <c r="AP200" i="10"/>
  <c r="AP201" i="10"/>
  <c r="BC66" i="10"/>
  <c r="BB174" i="10"/>
  <c r="AV46" i="11"/>
  <c r="AU124" i="11"/>
  <c r="AQ201" i="7"/>
  <c r="AQ200" i="7"/>
  <c r="AP185" i="8"/>
  <c r="AP186" i="8"/>
  <c r="AR66" i="7"/>
  <c r="AQ174" i="7"/>
  <c r="AW186" i="22"/>
  <c r="AW185" i="22"/>
  <c r="AS155" i="7"/>
  <c r="AS156" i="7"/>
  <c r="BB78" i="22"/>
  <c r="BA204" i="22"/>
  <c r="BR80" i="10"/>
  <c r="BQ209" i="10"/>
  <c r="BS64" i="10"/>
  <c r="BR169" i="10"/>
  <c r="AQ150" i="11"/>
  <c r="AQ151" i="11"/>
  <c r="AT55" i="11"/>
  <c r="AU227" i="11"/>
  <c r="BF195" i="11"/>
  <c r="BF196" i="11"/>
  <c r="BS66" i="9"/>
  <c r="BR174" i="9"/>
  <c r="AO202" i="22"/>
  <c r="AZ177" i="10"/>
  <c r="BO212" i="10"/>
  <c r="AY170" i="9"/>
  <c r="AY171" i="9"/>
  <c r="AY206" i="9"/>
  <c r="AY205" i="9"/>
  <c r="BI147" i="10"/>
  <c r="AW81" i="8"/>
  <c r="AX240" i="8"/>
  <c r="AQ179" i="10"/>
  <c r="AR68" i="10"/>
  <c r="AR76" i="10"/>
  <c r="AQ199" i="10"/>
  <c r="BA176" i="10"/>
  <c r="BA175" i="10"/>
  <c r="AS76" i="7"/>
  <c r="AR199" i="7"/>
  <c r="BD187" i="10"/>
  <c r="AR70" i="8"/>
  <c r="AQ184" i="8"/>
  <c r="AP175" i="7"/>
  <c r="AP176" i="7"/>
  <c r="AO162" i="10"/>
  <c r="AY207" i="22"/>
  <c r="AU205" i="11"/>
  <c r="AU206" i="11"/>
  <c r="BL177" i="22"/>
  <c r="AO137" i="11"/>
  <c r="AX184" i="22"/>
  <c r="AY70" i="22"/>
  <c r="BE197" i="11"/>
  <c r="AT154" i="7"/>
  <c r="AU58" i="7"/>
  <c r="AV207" i="7"/>
  <c r="AU160" i="7"/>
  <c r="AU161" i="7"/>
  <c r="BA167" i="10"/>
  <c r="BQ170" i="10"/>
  <c r="BQ171" i="10"/>
  <c r="AS56" i="11"/>
  <c r="AR149" i="11"/>
  <c r="AR56" i="22"/>
  <c r="AQ149" i="22"/>
  <c r="AQ150" i="22"/>
  <c r="AQ151" i="22"/>
  <c r="AQ152" i="22"/>
  <c r="AX166" i="22"/>
  <c r="AX165" i="22"/>
  <c r="BK144" i="10"/>
  <c r="BL54" i="10"/>
  <c r="AV166" i="8"/>
  <c r="AV165" i="8"/>
  <c r="BQ175" i="9"/>
  <c r="BQ176" i="9"/>
  <c r="AA39" i="34"/>
  <c r="AI39" i="34"/>
  <c r="AB39" i="34"/>
  <c r="Y39" i="34"/>
  <c r="K39" i="34"/>
  <c r="AH39" i="34"/>
  <c r="AJ39" i="34"/>
  <c r="AC39" i="34"/>
  <c r="Q41" i="33"/>
  <c r="AD44" i="31"/>
  <c r="AO44" i="31"/>
  <c r="Y44" i="31"/>
  <c r="Z44" i="31"/>
  <c r="AJ44" i="31"/>
  <c r="AF44" i="31"/>
  <c r="X44" i="31"/>
  <c r="AP44" i="31"/>
  <c r="AG44" i="31"/>
  <c r="AK44" i="31"/>
  <c r="AN44" i="31"/>
  <c r="AH44" i="31"/>
  <c r="AM44" i="31"/>
  <c r="AA44" i="31"/>
  <c r="AI44" i="31"/>
  <c r="AE44" i="31"/>
  <c r="AB44" i="31"/>
  <c r="AL44" i="31"/>
  <c r="AC44" i="31"/>
  <c r="AR44" i="31"/>
  <c r="AQ44" i="31"/>
  <c r="T44" i="31"/>
  <c r="L44" i="31"/>
  <c r="N44" i="31"/>
  <c r="O44" i="31"/>
  <c r="P44" i="31"/>
  <c r="S35" i="30"/>
  <c r="B17" i="26"/>
  <c r="AS109" i="11"/>
  <c r="AS110" i="11"/>
  <c r="AS111" i="11"/>
  <c r="AS112" i="11"/>
  <c r="AT40" i="11"/>
  <c r="AQ84" i="10"/>
  <c r="AQ85" i="10"/>
  <c r="AQ86" i="10"/>
  <c r="AQ87" i="10"/>
  <c r="AR30" i="10"/>
  <c r="AS44" i="10"/>
  <c r="AR119" i="10"/>
  <c r="AR120" i="10"/>
  <c r="AR121" i="10"/>
  <c r="AR122" i="10"/>
  <c r="AR42" i="10"/>
  <c r="AQ114" i="10"/>
  <c r="AQ115" i="10"/>
  <c r="AQ116" i="10"/>
  <c r="AQ117" i="10"/>
  <c r="AR48" i="10"/>
  <c r="AQ129" i="10"/>
  <c r="AQ130" i="10"/>
  <c r="AQ131" i="10"/>
  <c r="AQ132" i="10"/>
  <c r="AR46" i="10"/>
  <c r="AQ124" i="10"/>
  <c r="AQ125" i="10"/>
  <c r="AQ126" i="10"/>
  <c r="AQ127" i="10"/>
  <c r="AQ139" i="10"/>
  <c r="AQ140" i="10"/>
  <c r="AQ141" i="10"/>
  <c r="AQ142" i="10"/>
  <c r="AR52" i="10"/>
  <c r="AR40" i="10"/>
  <c r="AQ109" i="10"/>
  <c r="AQ110" i="10"/>
  <c r="AQ111" i="10"/>
  <c r="AQ112" i="10"/>
  <c r="AQ94" i="10"/>
  <c r="AQ95" i="10"/>
  <c r="AQ96" i="10"/>
  <c r="AQ97" i="10"/>
  <c r="AR34" i="10"/>
  <c r="AR32" i="10"/>
  <c r="AQ89" i="10"/>
  <c r="AQ90" i="10"/>
  <c r="AQ91" i="10"/>
  <c r="AQ92" i="10"/>
  <c r="AR38" i="10"/>
  <c r="AQ104" i="10"/>
  <c r="AQ105" i="10"/>
  <c r="AQ106" i="10"/>
  <c r="AQ107" i="10"/>
  <c r="AR50" i="22"/>
  <c r="AQ134" i="22"/>
  <c r="AQ135" i="22"/>
  <c r="AQ136" i="22"/>
  <c r="AQ137" i="22"/>
  <c r="AS46" i="22"/>
  <c r="AR124" i="22"/>
  <c r="AR125" i="22"/>
  <c r="AR126" i="22"/>
  <c r="AR127" i="22"/>
  <c r="AQ114" i="22"/>
  <c r="AQ115" i="22"/>
  <c r="AQ116" i="22"/>
  <c r="AQ117" i="22"/>
  <c r="AR42" i="22"/>
  <c r="AS52" i="22"/>
  <c r="AR139" i="22"/>
  <c r="AR140" i="22"/>
  <c r="AR141" i="22"/>
  <c r="AR142" i="22"/>
  <c r="AR46" i="8"/>
  <c r="AQ124" i="8"/>
  <c r="AQ125" i="8"/>
  <c r="AQ126" i="8"/>
  <c r="AQ127" i="8"/>
  <c r="AR134" i="8"/>
  <c r="AR135" i="8"/>
  <c r="AR136" i="8"/>
  <c r="AR137" i="8"/>
  <c r="AS50" i="8"/>
  <c r="BL212" i="22"/>
  <c r="BG182" i="8"/>
  <c r="AO202" i="9"/>
  <c r="BP132" i="11"/>
  <c r="BE162" i="8"/>
  <c r="BN187" i="9"/>
  <c r="BJ182" i="22"/>
  <c r="BI162" i="22"/>
  <c r="BJ197" i="7"/>
  <c r="D165" i="2"/>
  <c r="C44" i="2"/>
  <c r="M52" i="30"/>
  <c r="BN44" i="2"/>
  <c r="M51" i="37"/>
  <c r="BO165" i="2"/>
  <c r="BP78" i="10"/>
  <c r="BO204" i="10"/>
  <c r="BV191" i="10"/>
  <c r="BV190" i="10"/>
  <c r="AQ189" i="9"/>
  <c r="AR72" i="9"/>
  <c r="BM194" i="10"/>
  <c r="BN74" i="10"/>
  <c r="BG190" i="11"/>
  <c r="BG191" i="11"/>
  <c r="BJ76" i="8"/>
  <c r="BI199" i="8"/>
  <c r="BL195" i="8"/>
  <c r="BL196" i="8"/>
  <c r="BQ211" i="9"/>
  <c r="BQ210" i="9"/>
  <c r="BR180" i="7"/>
  <c r="BR181" i="7"/>
  <c r="BL179" i="22"/>
  <c r="BM68" i="22"/>
  <c r="BQ64" i="22"/>
  <c r="BP169" i="22"/>
  <c r="BP80" i="7"/>
  <c r="BO209" i="7"/>
  <c r="AO65" i="8"/>
  <c r="AP232" i="8"/>
  <c r="BQ56" i="10"/>
  <c r="BP149" i="10"/>
  <c r="BS48" i="11"/>
  <c r="BR129" i="11"/>
  <c r="BG159" i="8"/>
  <c r="BH60" i="8"/>
  <c r="A167" i="2"/>
  <c r="BW167" i="2"/>
  <c r="A47" i="2"/>
  <c r="BJ161" i="22"/>
  <c r="BJ160" i="22"/>
  <c r="BI179" i="8"/>
  <c r="BJ68" i="8"/>
  <c r="V165" i="2"/>
  <c r="U44" i="2"/>
  <c r="M51" i="32"/>
  <c r="M165" i="2"/>
  <c r="L44" i="2"/>
  <c r="M51" i="31"/>
  <c r="BP212" i="9"/>
  <c r="BM181" i="9"/>
  <c r="BM180" i="9"/>
  <c r="BX72" i="10"/>
  <c r="BW189" i="10"/>
  <c r="BL196" i="10"/>
  <c r="BL195" i="10"/>
  <c r="AU191" i="8"/>
  <c r="AU190" i="8"/>
  <c r="BI72" i="11"/>
  <c r="BH189" i="11"/>
  <c r="BI177" i="8"/>
  <c r="BN74" i="8"/>
  <c r="BM194" i="8"/>
  <c r="BH177" i="11"/>
  <c r="AR32" i="22"/>
  <c r="AQ89" i="22"/>
  <c r="AQ90" i="22"/>
  <c r="AQ91" i="22"/>
  <c r="AQ92" i="22"/>
  <c r="AM73" i="7"/>
  <c r="AN236" i="7"/>
  <c r="BK197" i="10"/>
  <c r="AR76" i="9"/>
  <c r="AQ199" i="9"/>
  <c r="BO170" i="22"/>
  <c r="BO171" i="22"/>
  <c r="BK197" i="8"/>
  <c r="BQ182" i="7"/>
  <c r="BT142" i="11"/>
  <c r="BM194" i="22"/>
  <c r="BN74" i="22"/>
  <c r="BF161" i="8"/>
  <c r="BF160" i="8"/>
  <c r="AM166" i="2"/>
  <c r="BN166" i="2"/>
  <c r="C166" i="2"/>
  <c r="AD166" i="2"/>
  <c r="BE166" i="2"/>
  <c r="L166" i="2"/>
  <c r="AV166" i="2"/>
  <c r="U166" i="2"/>
  <c r="BM212" i="7"/>
  <c r="BL60" i="22"/>
  <c r="BK159" i="22"/>
  <c r="BM207" i="10"/>
  <c r="BL182" i="9"/>
  <c r="BU141" i="11"/>
  <c r="BU140" i="11"/>
  <c r="BJ175" i="8"/>
  <c r="BJ176" i="8"/>
  <c r="AW165" i="2"/>
  <c r="AV44" i="2"/>
  <c r="M51" i="35"/>
  <c r="BE44" i="2"/>
  <c r="BF165" i="2"/>
  <c r="BI175" i="11"/>
  <c r="BI176" i="11"/>
  <c r="BN179" i="9"/>
  <c r="BO68" i="9"/>
  <c r="AV189" i="8"/>
  <c r="AW72" i="8"/>
  <c r="CA84" i="22"/>
  <c r="CB30" i="22"/>
  <c r="BB69" i="11"/>
  <c r="BC234" i="11"/>
  <c r="CB170" i="7"/>
  <c r="CB171" i="7"/>
  <c r="BA63" i="11"/>
  <c r="BB231" i="11"/>
  <c r="AP201" i="9"/>
  <c r="AP200" i="9"/>
  <c r="BM70" i="7"/>
  <c r="BL184" i="7"/>
  <c r="BL80" i="11"/>
  <c r="BK209" i="11"/>
  <c r="BO185" i="9"/>
  <c r="BO186" i="9"/>
  <c r="BL195" i="22"/>
  <c r="BL196" i="22"/>
  <c r="BM74" i="7"/>
  <c r="BL194" i="7"/>
  <c r="BW52" i="11"/>
  <c r="BV139" i="11"/>
  <c r="BL66" i="8"/>
  <c r="BK174" i="8"/>
  <c r="BM211" i="22"/>
  <c r="BM210" i="22"/>
  <c r="AD44" i="2"/>
  <c r="M51" i="33"/>
  <c r="AE165" i="2"/>
  <c r="AM44" i="2"/>
  <c r="M51" i="34"/>
  <c r="AN165" i="2"/>
  <c r="BK66" i="11"/>
  <c r="BJ174" i="11"/>
  <c r="BN205" i="10"/>
  <c r="BN206" i="10"/>
  <c r="AP191" i="9"/>
  <c r="AP190" i="9"/>
  <c r="BZ86" i="22"/>
  <c r="BZ85" i="22"/>
  <c r="BH201" i="8"/>
  <c r="BH200" i="8"/>
  <c r="BN172" i="22"/>
  <c r="BS80" i="9"/>
  <c r="BR209" i="9"/>
  <c r="BT68" i="7"/>
  <c r="BS179" i="7"/>
  <c r="BK181" i="22"/>
  <c r="BK180" i="22"/>
  <c r="BW65" i="7"/>
  <c r="BX232" i="7"/>
  <c r="BF192" i="11"/>
  <c r="BN211" i="7"/>
  <c r="BN210" i="7"/>
  <c r="BK186" i="7"/>
  <c r="BK185" i="7"/>
  <c r="BO150" i="10"/>
  <c r="BO151" i="10"/>
  <c r="BJ211" i="11"/>
  <c r="BJ210" i="11"/>
  <c r="BQ131" i="11"/>
  <c r="BQ130" i="11"/>
  <c r="BQ70" i="9"/>
  <c r="BP184" i="9"/>
  <c r="AW65" i="11"/>
  <c r="AX232" i="11"/>
  <c r="BN152" i="10"/>
  <c r="BK195" i="7"/>
  <c r="BK196" i="7"/>
  <c r="BH180" i="8"/>
  <c r="BH181" i="8"/>
  <c r="BU192" i="10"/>
  <c r="BN209" i="22"/>
  <c r="BO80" i="22"/>
  <c r="W36" i="30"/>
  <c r="V36" i="30"/>
  <c r="K36" i="30"/>
  <c r="S27" i="30"/>
  <c r="B9" i="26"/>
  <c r="R26" i="30"/>
  <c r="AQ114" i="8"/>
  <c r="AQ115" i="8"/>
  <c r="AQ116" i="8"/>
  <c r="AQ117" i="8"/>
  <c r="AR42" i="8"/>
  <c r="AR44" i="8"/>
  <c r="AQ119" i="8"/>
  <c r="AQ120" i="8"/>
  <c r="AQ121" i="8"/>
  <c r="AQ122" i="8"/>
  <c r="AV94" i="8"/>
  <c r="AV95" i="8"/>
  <c r="AV96" i="8"/>
  <c r="AV97" i="8"/>
  <c r="AW34" i="8"/>
  <c r="AW167" i="7"/>
  <c r="AX165" i="7"/>
  <c r="AX166" i="7"/>
  <c r="AQ89" i="11"/>
  <c r="AQ90" i="11"/>
  <c r="AQ91" i="11"/>
  <c r="AQ92" i="11"/>
  <c r="AR32" i="11"/>
  <c r="AZ62" i="7"/>
  <c r="AY164" i="7"/>
  <c r="AR84" i="9"/>
  <c r="AR85" i="9"/>
  <c r="AR86" i="9"/>
  <c r="AR87" i="9"/>
  <c r="AS30" i="9"/>
  <c r="AR52" i="9"/>
  <c r="AQ139" i="9"/>
  <c r="AQ140" i="9"/>
  <c r="AQ141" i="9"/>
  <c r="AQ142" i="9"/>
  <c r="AQ219" i="1"/>
  <c r="AT30" i="1"/>
  <c r="AS86" i="1"/>
  <c r="AS87" i="1"/>
  <c r="AS88" i="1"/>
  <c r="AS89" i="1"/>
  <c r="AQ156" i="1"/>
  <c r="AQ157" i="1"/>
  <c r="AQ158" i="1"/>
  <c r="AQ159" i="1"/>
  <c r="AR58" i="1"/>
  <c r="AT32" i="1"/>
  <c r="AS91" i="1"/>
  <c r="AS92" i="1"/>
  <c r="AS93" i="1"/>
  <c r="AS94" i="1"/>
  <c r="AR52" i="1"/>
  <c r="AQ141" i="1"/>
  <c r="AQ142" i="1"/>
  <c r="AQ143" i="1"/>
  <c r="AQ144" i="1"/>
  <c r="AQ181" i="1"/>
  <c r="AQ182" i="1"/>
  <c r="AQ183" i="1"/>
  <c r="AQ184" i="1"/>
  <c r="AR68" i="1"/>
  <c r="AR48" i="1"/>
  <c r="AQ131" i="1"/>
  <c r="AQ132" i="1"/>
  <c r="AQ133" i="1"/>
  <c r="AQ134" i="1"/>
  <c r="AQ171" i="1"/>
  <c r="AQ172" i="1"/>
  <c r="AQ173" i="1"/>
  <c r="AQ174" i="1"/>
  <c r="AR64" i="1"/>
  <c r="AQ96" i="1"/>
  <c r="AQ97" i="1"/>
  <c r="AQ98" i="1"/>
  <c r="AQ99" i="1"/>
  <c r="AR34" i="1"/>
  <c r="AR50" i="1"/>
  <c r="AQ136" i="1"/>
  <c r="AQ137" i="1"/>
  <c r="AQ138" i="1"/>
  <c r="AQ139" i="1"/>
  <c r="L42" i="33"/>
  <c r="N42" i="33"/>
  <c r="O42" i="33"/>
  <c r="P42" i="33"/>
  <c r="Q42" i="33"/>
  <c r="T42" i="33"/>
  <c r="AG42" i="33"/>
  <c r="AI42" i="33"/>
  <c r="AJ42" i="33"/>
  <c r="AK42" i="33"/>
  <c r="AL42" i="33"/>
  <c r="AA42" i="33"/>
  <c r="AH42" i="33"/>
  <c r="AO42" i="33"/>
  <c r="AP42" i="33"/>
  <c r="X42" i="33"/>
  <c r="Y42" i="33"/>
  <c r="Z42" i="33"/>
  <c r="AM42" i="33"/>
  <c r="AB42" i="33"/>
  <c r="AC42" i="33"/>
  <c r="AD42" i="33"/>
  <c r="AE42" i="33"/>
  <c r="AF42" i="33"/>
  <c r="AN42" i="33"/>
  <c r="AR119" i="22"/>
  <c r="AS44" i="22"/>
  <c r="AR40" i="6"/>
  <c r="AQ123" i="6"/>
  <c r="AQ124" i="6"/>
  <c r="AQ125" i="6"/>
  <c r="AQ126" i="6"/>
  <c r="AR98" i="6"/>
  <c r="AR99" i="6"/>
  <c r="AR100" i="6"/>
  <c r="AR101" i="6"/>
  <c r="AS30" i="6"/>
  <c r="AR34" i="6"/>
  <c r="AQ108" i="6"/>
  <c r="AQ109" i="6"/>
  <c r="AQ110" i="6"/>
  <c r="AQ111" i="6"/>
  <c r="AQ88" i="6"/>
  <c r="AQ89" i="6"/>
  <c r="AQ90" i="6"/>
  <c r="AQ91" i="6"/>
  <c r="AR26" i="6"/>
  <c r="AQ93" i="6"/>
  <c r="AQ94" i="6"/>
  <c r="AQ95" i="6"/>
  <c r="AQ96" i="6"/>
  <c r="AR28" i="6"/>
  <c r="AR32" i="6"/>
  <c r="AQ103" i="6"/>
  <c r="AQ104" i="6"/>
  <c r="AQ105" i="6"/>
  <c r="AQ106" i="6"/>
  <c r="AQ133" i="6"/>
  <c r="AQ134" i="6"/>
  <c r="AQ135" i="6"/>
  <c r="AQ136" i="6"/>
  <c r="AR44" i="6"/>
  <c r="AQ78" i="6"/>
  <c r="AQ79" i="6"/>
  <c r="AQ80" i="6"/>
  <c r="AQ81" i="6"/>
  <c r="AR22" i="6"/>
  <c r="AR24" i="6"/>
  <c r="AQ83" i="6"/>
  <c r="AQ84" i="6"/>
  <c r="AQ85" i="6"/>
  <c r="AQ86" i="6"/>
  <c r="AS42" i="6"/>
  <c r="AR128" i="6"/>
  <c r="AR129" i="6"/>
  <c r="AR130" i="6"/>
  <c r="AR131" i="6"/>
  <c r="AQ113" i="6"/>
  <c r="AQ114" i="6"/>
  <c r="AQ115" i="6"/>
  <c r="AQ116" i="6"/>
  <c r="AR36" i="6"/>
  <c r="AT82" i="1"/>
  <c r="AS216" i="1"/>
  <c r="AR218" i="1"/>
  <c r="AR217" i="1"/>
  <c r="AQ116" i="1"/>
  <c r="AQ117" i="1"/>
  <c r="AQ118" i="1"/>
  <c r="AQ119" i="1"/>
  <c r="AR42" i="1"/>
  <c r="AU80" i="1"/>
  <c r="AT211" i="1"/>
  <c r="AT212" i="1"/>
  <c r="AT213" i="1"/>
  <c r="AT214" i="1"/>
  <c r="AO189" i="1"/>
  <c r="AP87" i="7"/>
  <c r="AS36" i="8"/>
  <c r="AR99" i="8"/>
  <c r="AR100" i="8"/>
  <c r="AR101" i="8"/>
  <c r="AR102" i="8"/>
  <c r="AV38" i="8"/>
  <c r="AU104" i="8"/>
  <c r="AU105" i="8"/>
  <c r="AU106" i="8"/>
  <c r="AU107" i="8"/>
  <c r="AS44" i="11"/>
  <c r="AR119" i="11"/>
  <c r="AQ120" i="11"/>
  <c r="AQ121" i="11"/>
  <c r="AQ122" i="11"/>
  <c r="U43" i="32"/>
  <c r="AR34" i="22"/>
  <c r="AQ94" i="22"/>
  <c r="AQ129" i="22"/>
  <c r="AQ130" i="22"/>
  <c r="AQ131" i="22"/>
  <c r="AQ132" i="22"/>
  <c r="AR48" i="22"/>
  <c r="AS38" i="22"/>
  <c r="AR104" i="22"/>
  <c r="AR105" i="22"/>
  <c r="AR106" i="22"/>
  <c r="AR107" i="22"/>
  <c r="AP130" i="22"/>
  <c r="AP131" i="22"/>
  <c r="AS36" i="7"/>
  <c r="AR99" i="7"/>
  <c r="AR100" i="7"/>
  <c r="AR101" i="7"/>
  <c r="AR102" i="7"/>
  <c r="AQ114" i="7"/>
  <c r="AQ115" i="7"/>
  <c r="AQ116" i="7"/>
  <c r="AQ117" i="7"/>
  <c r="AR42" i="7"/>
  <c r="AQ94" i="7"/>
  <c r="AR34" i="7"/>
  <c r="AQ100" i="7"/>
  <c r="AQ101" i="7"/>
  <c r="AQ102" i="7"/>
  <c r="AP95" i="7"/>
  <c r="AP96" i="7"/>
  <c r="AP97" i="7"/>
  <c r="AQ105" i="7"/>
  <c r="AQ106" i="7"/>
  <c r="AU40" i="7"/>
  <c r="AT109" i="7"/>
  <c r="AT110" i="7"/>
  <c r="AT111" i="7"/>
  <c r="AT112" i="7"/>
  <c r="AR104" i="7"/>
  <c r="AR105" i="7"/>
  <c r="AR106" i="7"/>
  <c r="AR107" i="7"/>
  <c r="AS38" i="7"/>
  <c r="AS30" i="7"/>
  <c r="AR84" i="7"/>
  <c r="AR85" i="7"/>
  <c r="AR86" i="7"/>
  <c r="AR87" i="7"/>
  <c r="AU38" i="6"/>
  <c r="AT118" i="6"/>
  <c r="AT119" i="6"/>
  <c r="AT120" i="6"/>
  <c r="AT121" i="6"/>
  <c r="AQ124" i="9"/>
  <c r="AQ125" i="9"/>
  <c r="AQ126" i="9"/>
  <c r="AQ127" i="9"/>
  <c r="AR46" i="9"/>
  <c r="AR34" i="9"/>
  <c r="AQ94" i="9"/>
  <c r="AQ95" i="9"/>
  <c r="AQ96" i="9"/>
  <c r="AQ97" i="9"/>
  <c r="AQ42" i="9"/>
  <c r="AP114" i="9"/>
  <c r="AP115" i="9"/>
  <c r="AP116" i="9"/>
  <c r="AP117" i="9"/>
  <c r="AU38" i="9"/>
  <c r="AT104" i="9"/>
  <c r="AT105" i="9"/>
  <c r="AT106" i="9"/>
  <c r="AT107" i="9"/>
  <c r="AV54" i="9"/>
  <c r="AU144" i="9"/>
  <c r="AU145" i="9"/>
  <c r="AU146" i="9"/>
  <c r="AU147" i="9"/>
  <c r="AS50" i="9"/>
  <c r="AR134" i="9"/>
  <c r="AR135" i="9"/>
  <c r="AR136" i="9"/>
  <c r="AR137" i="9"/>
  <c r="AQ129" i="9"/>
  <c r="AQ130" i="9"/>
  <c r="AQ131" i="9"/>
  <c r="AQ132" i="9"/>
  <c r="AR48" i="9"/>
  <c r="AT32" i="9"/>
  <c r="AS89" i="9"/>
  <c r="AS90" i="9"/>
  <c r="AS91" i="9"/>
  <c r="AS92" i="9"/>
  <c r="AR56" i="9"/>
  <c r="AQ149" i="9"/>
  <c r="AR44" i="9"/>
  <c r="AQ119" i="9"/>
  <c r="AQ120" i="9"/>
  <c r="AQ121" i="9"/>
  <c r="AQ122" i="9"/>
  <c r="AR70" i="1"/>
  <c r="AQ186" i="1"/>
  <c r="AQ187" i="1"/>
  <c r="AQ188" i="1"/>
  <c r="AQ189" i="1"/>
  <c r="AR74" i="1"/>
  <c r="AQ196" i="1"/>
  <c r="AQ197" i="1"/>
  <c r="AQ198" i="1"/>
  <c r="AQ199" i="1"/>
  <c r="AQ162" i="1"/>
  <c r="AQ163" i="1"/>
  <c r="AR78" i="1"/>
  <c r="AQ206" i="1"/>
  <c r="AQ207" i="1"/>
  <c r="AQ208" i="1"/>
  <c r="AQ209" i="1"/>
  <c r="AT66" i="1"/>
  <c r="AS176" i="1"/>
  <c r="AS177" i="1"/>
  <c r="AS178" i="1"/>
  <c r="AS179" i="1"/>
  <c r="AR161" i="1"/>
  <c r="AS60" i="1"/>
  <c r="AT76" i="1"/>
  <c r="AS201" i="1"/>
  <c r="AS202" i="1"/>
  <c r="AS203" i="1"/>
  <c r="AS204" i="1"/>
  <c r="AS72" i="1"/>
  <c r="AR191" i="1"/>
  <c r="AR192" i="1"/>
  <c r="AR193" i="1"/>
  <c r="AR194" i="1"/>
  <c r="AP197" i="1"/>
  <c r="AP198" i="1"/>
  <c r="AX56" i="1"/>
  <c r="AW151" i="1"/>
  <c r="AW152" i="1"/>
  <c r="AW153" i="1"/>
  <c r="AW154" i="1"/>
  <c r="AX42" i="11"/>
  <c r="AW114" i="11"/>
  <c r="AV115" i="11"/>
  <c r="AV116" i="11"/>
  <c r="AV117" i="11"/>
  <c r="T39" i="34"/>
  <c r="U42" i="35"/>
  <c r="AQ105" i="11"/>
  <c r="AQ106" i="11"/>
  <c r="AR104" i="11"/>
  <c r="AS38" i="11"/>
  <c r="AR100" i="11"/>
  <c r="AR101" i="11"/>
  <c r="AR102" i="11"/>
  <c r="AT85" i="11"/>
  <c r="AT86" i="11"/>
  <c r="AT87" i="11"/>
  <c r="AP107" i="11"/>
  <c r="AS99" i="11"/>
  <c r="AT36" i="11"/>
  <c r="AU84" i="11"/>
  <c r="AV30" i="11"/>
  <c r="AQ135" i="10"/>
  <c r="AQ136" i="10"/>
  <c r="AQ137" i="10"/>
  <c r="AR134" i="10"/>
  <c r="AS50" i="10"/>
  <c r="AR99" i="10"/>
  <c r="AS36" i="10"/>
  <c r="AQ100" i="10"/>
  <c r="AQ101" i="10"/>
  <c r="AQ102" i="10"/>
  <c r="AP155" i="22"/>
  <c r="AP156" i="22"/>
  <c r="AP157" i="22"/>
  <c r="AQ154" i="22"/>
  <c r="AR58" i="22"/>
  <c r="AR144" i="22"/>
  <c r="AS54" i="22"/>
  <c r="AR109" i="22"/>
  <c r="AS40" i="22"/>
  <c r="AQ100" i="22"/>
  <c r="AQ101" i="22"/>
  <c r="AQ102" i="22"/>
  <c r="AQ145" i="22"/>
  <c r="AQ146" i="22"/>
  <c r="AQ147" i="22"/>
  <c r="AQ110" i="22"/>
  <c r="AQ111" i="22"/>
  <c r="AQ112" i="22"/>
  <c r="AS36" i="22"/>
  <c r="AR99" i="22"/>
  <c r="AU56" i="8"/>
  <c r="AT149" i="8"/>
  <c r="AS150" i="8"/>
  <c r="AS151" i="8"/>
  <c r="AS152" i="8"/>
  <c r="AQ145" i="8"/>
  <c r="AQ146" i="8"/>
  <c r="AQ147" i="8"/>
  <c r="AR144" i="8"/>
  <c r="AS54" i="8"/>
  <c r="AQ89" i="8"/>
  <c r="AR32" i="8"/>
  <c r="AP84" i="8"/>
  <c r="AQ30" i="8"/>
  <c r="AP140" i="8"/>
  <c r="AP141" i="8"/>
  <c r="AP142" i="8"/>
  <c r="AQ139" i="8"/>
  <c r="AR52" i="8"/>
  <c r="AP130" i="8"/>
  <c r="AP131" i="8"/>
  <c r="AP132" i="8"/>
  <c r="AP110" i="8"/>
  <c r="AP111" i="8"/>
  <c r="AP112" i="8"/>
  <c r="AQ129" i="8"/>
  <c r="AR48" i="8"/>
  <c r="AP90" i="8"/>
  <c r="AP91" i="8"/>
  <c r="AP92" i="8"/>
  <c r="AO85" i="8"/>
  <c r="AO86" i="8"/>
  <c r="AR40" i="8"/>
  <c r="AQ109" i="8"/>
  <c r="AQ144" i="7"/>
  <c r="AR54" i="7"/>
  <c r="AP145" i="7"/>
  <c r="AP146" i="7"/>
  <c r="AP147" i="7"/>
  <c r="AQ139" i="7"/>
  <c r="AR52" i="7"/>
  <c r="AP140" i="7"/>
  <c r="AP141" i="7"/>
  <c r="AP142" i="7"/>
  <c r="AP135" i="7"/>
  <c r="AP136" i="7"/>
  <c r="AP137" i="7"/>
  <c r="AR50" i="7"/>
  <c r="AQ134" i="7"/>
  <c r="AS120" i="7"/>
  <c r="AS121" i="7"/>
  <c r="AS122" i="7"/>
  <c r="AY32" i="7"/>
  <c r="AX89" i="7"/>
  <c r="AT46" i="7"/>
  <c r="AS124" i="7"/>
  <c r="AW90" i="7"/>
  <c r="AW91" i="7"/>
  <c r="AW92" i="7"/>
  <c r="AR125" i="7"/>
  <c r="AR126" i="7"/>
  <c r="AR127" i="7"/>
  <c r="AT119" i="7"/>
  <c r="AU44" i="7"/>
  <c r="AP164" i="6"/>
  <c r="AP165" i="6"/>
  <c r="AP166" i="6"/>
  <c r="AQ163" i="6"/>
  <c r="AR56" i="6"/>
  <c r="AP159" i="6"/>
  <c r="AP160" i="6"/>
  <c r="AP161" i="6"/>
  <c r="AR54" i="6"/>
  <c r="AQ158" i="6"/>
  <c r="AQ153" i="6"/>
  <c r="AR52" i="6"/>
  <c r="AP154" i="6"/>
  <c r="AP155" i="6"/>
  <c r="AP156" i="6"/>
  <c r="AR50" i="6"/>
  <c r="AQ148" i="6"/>
  <c r="AP149" i="6"/>
  <c r="AP150" i="6"/>
  <c r="AP151" i="6"/>
  <c r="AP144" i="6"/>
  <c r="AP145" i="6"/>
  <c r="AP146" i="6"/>
  <c r="AQ143" i="6"/>
  <c r="AR48" i="6"/>
  <c r="AQ160" i="9"/>
  <c r="AQ161" i="9"/>
  <c r="AQ162" i="9"/>
  <c r="AR159" i="9"/>
  <c r="AS60" i="9"/>
  <c r="AP155" i="9"/>
  <c r="AP156" i="9"/>
  <c r="AP157" i="9"/>
  <c r="AQ154" i="9"/>
  <c r="AR58" i="9"/>
  <c r="AQ110" i="9"/>
  <c r="AQ111" i="9"/>
  <c r="AQ112" i="9"/>
  <c r="AQ100" i="9"/>
  <c r="AQ101" i="9"/>
  <c r="AQ102" i="9"/>
  <c r="AR99" i="9"/>
  <c r="AS36" i="9"/>
  <c r="AS40" i="9"/>
  <c r="AR109" i="9"/>
  <c r="AR62" i="1"/>
  <c r="AQ166" i="1"/>
  <c r="AP167" i="1"/>
  <c r="AP168" i="1"/>
  <c r="AP169" i="1"/>
  <c r="AP147" i="1"/>
  <c r="AP148" i="1"/>
  <c r="AP149" i="1"/>
  <c r="AP127" i="1"/>
  <c r="AP128" i="1"/>
  <c r="AP129" i="1"/>
  <c r="AQ146" i="1"/>
  <c r="AR54" i="1"/>
  <c r="AQ126" i="1"/>
  <c r="AR46" i="1"/>
  <c r="AR122" i="1"/>
  <c r="AR123" i="1"/>
  <c r="AR124" i="1"/>
  <c r="AT44" i="1"/>
  <c r="AS121" i="1"/>
  <c r="AR112" i="1"/>
  <c r="AR113" i="1"/>
  <c r="AR114" i="1"/>
  <c r="AS101" i="1"/>
  <c r="AT36" i="1"/>
  <c r="AS111" i="1"/>
  <c r="AT40" i="1"/>
  <c r="AP107" i="1"/>
  <c r="AP108" i="1"/>
  <c r="AP109" i="1"/>
  <c r="AR102" i="1"/>
  <c r="AR103" i="1"/>
  <c r="AR104" i="1"/>
  <c r="AR38" i="1"/>
  <c r="AQ106" i="1"/>
  <c r="U43" i="37"/>
  <c r="W43" i="37"/>
  <c r="V43" i="37"/>
  <c r="AR129" i="7"/>
  <c r="AR130" i="7"/>
  <c r="AR131" i="7"/>
  <c r="AR132" i="7"/>
  <c r="AS48" i="7"/>
  <c r="P44" i="37"/>
  <c r="Q44" i="37"/>
  <c r="T41" i="36"/>
  <c r="L41" i="36"/>
  <c r="N41" i="36"/>
  <c r="O41" i="36"/>
  <c r="P41" i="36"/>
  <c r="U42" i="36"/>
  <c r="BW197" i="9"/>
  <c r="AM59" i="11"/>
  <c r="AN229" i="11"/>
  <c r="BY194" i="9"/>
  <c r="BZ74" i="9"/>
  <c r="BX167" i="2"/>
  <c r="BW46" i="2"/>
  <c r="BX196" i="9"/>
  <c r="BX195" i="9"/>
  <c r="M51" i="36"/>
  <c r="CF44" i="2"/>
  <c r="U37" i="41"/>
  <c r="K37" i="41"/>
  <c r="T37" i="41"/>
  <c r="Q36" i="41"/>
  <c r="P37" i="41"/>
  <c r="R41" i="33"/>
  <c r="Q24" i="26"/>
  <c r="R40" i="33"/>
  <c r="AP162" i="10"/>
  <c r="BJ212" i="11"/>
  <c r="AQ202" i="7"/>
  <c r="AP182" i="10"/>
  <c r="BC157" i="8"/>
  <c r="AV167" i="8"/>
  <c r="AX167" i="22"/>
  <c r="AU162" i="7"/>
  <c r="AY172" i="9"/>
  <c r="BQ177" i="9"/>
  <c r="BQ172" i="10"/>
  <c r="BP212" i="10"/>
  <c r="BI177" i="11"/>
  <c r="AY207" i="9"/>
  <c r="BF197" i="11"/>
  <c r="AP187" i="8"/>
  <c r="AP202" i="10"/>
  <c r="AP137" i="11"/>
  <c r="AP207" i="8"/>
  <c r="AP202" i="11"/>
  <c r="AZ192" i="22"/>
  <c r="BK197" i="7"/>
  <c r="BH264" i="40"/>
  <c r="BH265" i="40"/>
  <c r="BH266" i="40"/>
  <c r="BH267" i="40"/>
  <c r="BI100" i="40"/>
  <c r="BH269" i="40"/>
  <c r="BH270" i="40"/>
  <c r="BH271" i="40"/>
  <c r="BH272" i="40"/>
  <c r="BI102" i="40"/>
  <c r="BG265" i="40"/>
  <c r="BG266" i="40"/>
  <c r="BG267" i="40"/>
  <c r="BH289" i="40"/>
  <c r="BI110" i="40"/>
  <c r="BH284" i="40"/>
  <c r="BI108" i="40"/>
  <c r="BH249" i="40"/>
  <c r="BI94" i="40"/>
  <c r="BH244" i="40"/>
  <c r="BI92" i="40"/>
  <c r="BO260" i="40"/>
  <c r="BO261" i="40"/>
  <c r="BO262" i="40"/>
  <c r="BN275" i="40"/>
  <c r="BN276" i="40"/>
  <c r="BN277" i="40"/>
  <c r="BG285" i="40"/>
  <c r="BG286" i="40"/>
  <c r="BG287" i="40"/>
  <c r="BG250" i="40"/>
  <c r="BG251" i="40"/>
  <c r="BG252" i="40"/>
  <c r="BG245" i="40"/>
  <c r="BG246" i="40"/>
  <c r="BG247" i="40"/>
  <c r="BO96" i="40"/>
  <c r="BO254" i="40"/>
  <c r="BN106" i="40"/>
  <c r="BN279" i="40"/>
  <c r="BP98" i="40"/>
  <c r="BP259" i="40"/>
  <c r="BO104" i="40"/>
  <c r="BO274" i="40"/>
  <c r="BO275" i="40"/>
  <c r="BO276" i="40"/>
  <c r="BO277" i="40"/>
  <c r="BK90" i="40"/>
  <c r="BK72" i="40"/>
  <c r="BJ194" i="40"/>
  <c r="BH180" i="40"/>
  <c r="BH181" i="40"/>
  <c r="BI54" i="40"/>
  <c r="BH149" i="40"/>
  <c r="BG170" i="40"/>
  <c r="BG171" i="40"/>
  <c r="BJ40" i="40"/>
  <c r="BI114" i="40"/>
  <c r="BH165" i="40"/>
  <c r="BH166" i="40"/>
  <c r="BG145" i="40"/>
  <c r="BG146" i="40"/>
  <c r="BG147" i="40"/>
  <c r="BH225" i="40"/>
  <c r="BH226" i="40"/>
  <c r="BF172" i="40"/>
  <c r="BG210" i="40"/>
  <c r="BG211" i="40"/>
  <c r="BK64" i="40"/>
  <c r="BJ174" i="40"/>
  <c r="BI74" i="40"/>
  <c r="BH199" i="40"/>
  <c r="BI82" i="40"/>
  <c r="BH219" i="40"/>
  <c r="BI48" i="40"/>
  <c r="BH134" i="40"/>
  <c r="BG167" i="40"/>
  <c r="BF202" i="40"/>
  <c r="BG160" i="40"/>
  <c r="BG161" i="40"/>
  <c r="BG190" i="40"/>
  <c r="BG191" i="40"/>
  <c r="BG192" i="40"/>
  <c r="BG155" i="40"/>
  <c r="BG156" i="40"/>
  <c r="BI46" i="40"/>
  <c r="BH129" i="40"/>
  <c r="BI86" i="40"/>
  <c r="BH229" i="40"/>
  <c r="BI185" i="40"/>
  <c r="BI186" i="40"/>
  <c r="BI187" i="40"/>
  <c r="BH115" i="40"/>
  <c r="BH116" i="40"/>
  <c r="BH117" i="40"/>
  <c r="BJ50" i="40"/>
  <c r="BI139" i="40"/>
  <c r="BI195" i="40"/>
  <c r="BI196" i="40"/>
  <c r="BJ60" i="40"/>
  <c r="BI164" i="40"/>
  <c r="BH239" i="40"/>
  <c r="BI70" i="40"/>
  <c r="BH189" i="40"/>
  <c r="BG207" i="40"/>
  <c r="BJ84" i="40"/>
  <c r="BI224" i="40"/>
  <c r="BG125" i="40"/>
  <c r="BG126" i="40"/>
  <c r="BG127" i="40"/>
  <c r="BI56" i="40"/>
  <c r="BH154" i="40"/>
  <c r="BJ66" i="40"/>
  <c r="BI179" i="40"/>
  <c r="BH235" i="40"/>
  <c r="BH236" i="40"/>
  <c r="BH205" i="40"/>
  <c r="BH206" i="40"/>
  <c r="BG230" i="40"/>
  <c r="BG231" i="40"/>
  <c r="BG232" i="40"/>
  <c r="BH215" i="40"/>
  <c r="BH216" i="40"/>
  <c r="BH217" i="40"/>
  <c r="BK68" i="40"/>
  <c r="BJ184" i="40"/>
  <c r="BI58" i="40"/>
  <c r="BH159" i="40"/>
  <c r="BI42" i="40"/>
  <c r="BH119" i="40"/>
  <c r="BH140" i="40"/>
  <c r="BH141" i="40"/>
  <c r="BG240" i="40"/>
  <c r="BG241" i="40"/>
  <c r="BG242" i="40"/>
  <c r="BI44" i="40"/>
  <c r="BH124" i="40"/>
  <c r="BI175" i="40"/>
  <c r="BI176" i="40"/>
  <c r="BI177" i="40"/>
  <c r="BG120" i="40"/>
  <c r="BG121" i="40"/>
  <c r="BG122" i="40"/>
  <c r="BI62" i="40"/>
  <c r="BH169" i="40"/>
  <c r="BH187" i="40"/>
  <c r="BI52" i="40"/>
  <c r="BH144" i="40"/>
  <c r="BF162" i="40"/>
  <c r="BG227" i="40"/>
  <c r="BG142" i="40"/>
  <c r="BI78" i="40"/>
  <c r="BH209" i="40"/>
  <c r="BF242" i="40"/>
  <c r="BG200" i="40"/>
  <c r="BG201" i="40"/>
  <c r="BG202" i="40"/>
  <c r="BF192" i="40"/>
  <c r="BG220" i="40"/>
  <c r="BG221" i="40"/>
  <c r="BG135" i="40"/>
  <c r="BG136" i="40"/>
  <c r="BG137" i="40"/>
  <c r="BJ88" i="40"/>
  <c r="BI234" i="40"/>
  <c r="BG130" i="40"/>
  <c r="BG131" i="40"/>
  <c r="BG132" i="40"/>
  <c r="BJ76" i="40"/>
  <c r="BI204" i="40"/>
  <c r="BJ80" i="40"/>
  <c r="BI214" i="40"/>
  <c r="BG150" i="40"/>
  <c r="BG151" i="40"/>
  <c r="BG152" i="40"/>
  <c r="AR150" i="11"/>
  <c r="AR151" i="11"/>
  <c r="AU154" i="7"/>
  <c r="AV58" i="7"/>
  <c r="AX186" i="22"/>
  <c r="AX185" i="22"/>
  <c r="AR201" i="7"/>
  <c r="AR200" i="7"/>
  <c r="AQ200" i="10"/>
  <c r="AQ201" i="10"/>
  <c r="BS174" i="9"/>
  <c r="BT66" i="9"/>
  <c r="BQ210" i="10"/>
  <c r="BQ211" i="10"/>
  <c r="AS157" i="7"/>
  <c r="AQ175" i="7"/>
  <c r="AQ176" i="7"/>
  <c r="BB175" i="10"/>
  <c r="BB176" i="10"/>
  <c r="BA204" i="9"/>
  <c r="BB78" i="9"/>
  <c r="BG195" i="11"/>
  <c r="BG196" i="11"/>
  <c r="AQ201" i="22"/>
  <c r="AQ200" i="22"/>
  <c r="BS155" i="10"/>
  <c r="BS156" i="10"/>
  <c r="BM177" i="22"/>
  <c r="AS78" i="8"/>
  <c r="AR204" i="8"/>
  <c r="BF186" i="10"/>
  <c r="BF185" i="10"/>
  <c r="AW207" i="7"/>
  <c r="AW166" i="8"/>
  <c r="AW165" i="8"/>
  <c r="BA62" i="22"/>
  <c r="AZ164" i="22"/>
  <c r="AP202" i="22"/>
  <c r="BR157" i="10"/>
  <c r="AX78" i="11"/>
  <c r="AW204" i="11"/>
  <c r="AY204" i="7"/>
  <c r="AZ78" i="7"/>
  <c r="AX167" i="7"/>
  <c r="BO187" i="9"/>
  <c r="BR182" i="7"/>
  <c r="BL197" i="8"/>
  <c r="AT56" i="11"/>
  <c r="AS149" i="11"/>
  <c r="AT155" i="7"/>
  <c r="AT156" i="7"/>
  <c r="AQ186" i="8"/>
  <c r="AQ185" i="8"/>
  <c r="AT76" i="7"/>
  <c r="AS199" i="7"/>
  <c r="AR199" i="10"/>
  <c r="AS76" i="10"/>
  <c r="AW240" i="8"/>
  <c r="AV81" i="8"/>
  <c r="BR209" i="10"/>
  <c r="BS80" i="10"/>
  <c r="AR174" i="7"/>
  <c r="AS66" i="7"/>
  <c r="BC174" i="10"/>
  <c r="BD66" i="10"/>
  <c r="AZ170" i="9"/>
  <c r="AZ171" i="9"/>
  <c r="AR199" i="22"/>
  <c r="AS76" i="22"/>
  <c r="BU58" i="10"/>
  <c r="BT154" i="10"/>
  <c r="BF58" i="8"/>
  <c r="BE154" i="8"/>
  <c r="AQ200" i="11"/>
  <c r="AQ201" i="11"/>
  <c r="BB189" i="22"/>
  <c r="BC72" i="22"/>
  <c r="AY62" i="8"/>
  <c r="AX164" i="8"/>
  <c r="AY166" i="22"/>
  <c r="AY165" i="22"/>
  <c r="BN176" i="22"/>
  <c r="BN175" i="22"/>
  <c r="AS62" i="9"/>
  <c r="AR164" i="9"/>
  <c r="AZ230" i="11"/>
  <c r="AY61" i="11"/>
  <c r="BC165" i="10"/>
  <c r="BC166" i="10"/>
  <c r="U40" i="34"/>
  <c r="W40" i="34"/>
  <c r="V40" i="34"/>
  <c r="AJ40" i="34"/>
  <c r="BL144" i="10"/>
  <c r="BM54" i="10"/>
  <c r="AS70" i="8"/>
  <c r="AR184" i="8"/>
  <c r="AR179" i="10"/>
  <c r="AS68" i="10"/>
  <c r="AS55" i="11"/>
  <c r="AT227" i="11"/>
  <c r="BR170" i="10"/>
  <c r="BR171" i="10"/>
  <c r="BA205" i="22"/>
  <c r="BA206" i="22"/>
  <c r="AU125" i="11"/>
  <c r="AU126" i="11"/>
  <c r="BB64" i="9"/>
  <c r="BA169" i="9"/>
  <c r="AQ161" i="10"/>
  <c r="AQ160" i="10"/>
  <c r="AQ136" i="11"/>
  <c r="AQ135" i="11"/>
  <c r="BD155" i="8"/>
  <c r="BD156" i="8"/>
  <c r="AS76" i="11"/>
  <c r="AR199" i="11"/>
  <c r="BA190" i="22"/>
  <c r="BA191" i="22"/>
  <c r="BB167" i="10"/>
  <c r="AV161" i="7"/>
  <c r="AV160" i="7"/>
  <c r="AS46" i="6"/>
  <c r="AR138" i="6"/>
  <c r="AR139" i="6"/>
  <c r="AR140" i="6"/>
  <c r="AR141" i="6"/>
  <c r="BO174" i="22"/>
  <c r="BP66" i="22"/>
  <c r="AQ165" i="9"/>
  <c r="AQ166" i="9"/>
  <c r="BE62" i="10"/>
  <c r="BD164" i="10"/>
  <c r="BK146" i="10"/>
  <c r="BK145" i="10"/>
  <c r="AR149" i="22"/>
  <c r="AR150" i="22"/>
  <c r="AR151" i="22"/>
  <c r="AR152" i="22"/>
  <c r="AS56" i="22"/>
  <c r="AZ70" i="22"/>
  <c r="AY184" i="22"/>
  <c r="AU207" i="11"/>
  <c r="AP177" i="7"/>
  <c r="BA177" i="10"/>
  <c r="AQ181" i="10"/>
  <c r="AQ180" i="10"/>
  <c r="BR175" i="9"/>
  <c r="BR176" i="9"/>
  <c r="AQ152" i="11"/>
  <c r="BS169" i="10"/>
  <c r="BT64" i="10"/>
  <c r="BC78" i="22"/>
  <c r="BB204" i="22"/>
  <c r="AW187" i="22"/>
  <c r="AW46" i="11"/>
  <c r="AV124" i="11"/>
  <c r="AZ205" i="9"/>
  <c r="AZ206" i="9"/>
  <c r="BH194" i="11"/>
  <c r="BI74" i="11"/>
  <c r="AZ207" i="22"/>
  <c r="AR159" i="10"/>
  <c r="AS60" i="10"/>
  <c r="AS50" i="11"/>
  <c r="AR134" i="11"/>
  <c r="AQ205" i="8"/>
  <c r="AQ206" i="8"/>
  <c r="AT127" i="11"/>
  <c r="AP167" i="9"/>
  <c r="BH70" i="10"/>
  <c r="BG184" i="10"/>
  <c r="BJ147" i="10"/>
  <c r="AX60" i="7"/>
  <c r="AW159" i="7"/>
  <c r="AV205" i="11"/>
  <c r="AV206" i="11"/>
  <c r="BE187" i="10"/>
  <c r="AX206" i="7"/>
  <c r="AX205" i="7"/>
  <c r="U45" i="31"/>
  <c r="Q44" i="31"/>
  <c r="R44" i="31"/>
  <c r="AT109" i="11"/>
  <c r="AT110" i="11"/>
  <c r="AT111" i="11"/>
  <c r="AT112" i="11"/>
  <c r="AU40" i="11"/>
  <c r="AR94" i="10"/>
  <c r="AR95" i="10"/>
  <c r="AR96" i="10"/>
  <c r="AR97" i="10"/>
  <c r="AS34" i="10"/>
  <c r="AS52" i="10"/>
  <c r="AR139" i="10"/>
  <c r="AR140" i="10"/>
  <c r="AR141" i="10"/>
  <c r="AR142" i="10"/>
  <c r="AS38" i="10"/>
  <c r="AR104" i="10"/>
  <c r="AR105" i="10"/>
  <c r="AR106" i="10"/>
  <c r="AR107" i="10"/>
  <c r="AS48" i="10"/>
  <c r="AR129" i="10"/>
  <c r="AR130" i="10"/>
  <c r="AR131" i="10"/>
  <c r="AR132" i="10"/>
  <c r="AS119" i="10"/>
  <c r="AS120" i="10"/>
  <c r="AS121" i="10"/>
  <c r="AS122" i="10"/>
  <c r="AT44" i="10"/>
  <c r="AR84" i="10"/>
  <c r="AR85" i="10"/>
  <c r="AR86" i="10"/>
  <c r="AR87" i="10"/>
  <c r="AS30" i="10"/>
  <c r="AS32" i="10"/>
  <c r="AR89" i="10"/>
  <c r="AR90" i="10"/>
  <c r="AR91" i="10"/>
  <c r="AR92" i="10"/>
  <c r="AS40" i="10"/>
  <c r="AR109" i="10"/>
  <c r="AR110" i="10"/>
  <c r="AR111" i="10"/>
  <c r="AR112" i="10"/>
  <c r="AR124" i="10"/>
  <c r="AR125" i="10"/>
  <c r="AR126" i="10"/>
  <c r="AR127" i="10"/>
  <c r="AS46" i="10"/>
  <c r="AR114" i="10"/>
  <c r="AR115" i="10"/>
  <c r="AR116" i="10"/>
  <c r="AR117" i="10"/>
  <c r="AS42" i="10"/>
  <c r="AS42" i="22"/>
  <c r="AR114" i="22"/>
  <c r="AR115" i="22"/>
  <c r="AR116" i="22"/>
  <c r="AR117" i="22"/>
  <c r="AT46" i="22"/>
  <c r="AS124" i="22"/>
  <c r="AS125" i="22"/>
  <c r="AS126" i="22"/>
  <c r="AS127" i="22"/>
  <c r="AS139" i="22"/>
  <c r="AS140" i="22"/>
  <c r="AS141" i="22"/>
  <c r="AS142" i="22"/>
  <c r="AT52" i="22"/>
  <c r="AR134" i="22"/>
  <c r="AR135" i="22"/>
  <c r="AR136" i="22"/>
  <c r="AR137" i="22"/>
  <c r="AS50" i="22"/>
  <c r="AT50" i="8"/>
  <c r="AS134" i="8"/>
  <c r="AS135" i="8"/>
  <c r="AS136" i="8"/>
  <c r="AS137" i="8"/>
  <c r="AS46" i="8"/>
  <c r="AR124" i="8"/>
  <c r="AR125" i="8"/>
  <c r="AR126" i="8"/>
  <c r="AR127" i="8"/>
  <c r="BL197" i="22"/>
  <c r="CB172" i="7"/>
  <c r="CB232" i="7"/>
  <c r="BJ177" i="8"/>
  <c r="BG192" i="11"/>
  <c r="BQ132" i="11"/>
  <c r="BN212" i="7"/>
  <c r="BL197" i="10"/>
  <c r="BJ162" i="22"/>
  <c r="BH182" i="8"/>
  <c r="BN207" i="10"/>
  <c r="BO172" i="22"/>
  <c r="BV192" i="10"/>
  <c r="BO209" i="22"/>
  <c r="BP80" i="22"/>
  <c r="BU68" i="7"/>
  <c r="BT179" i="7"/>
  <c r="BN74" i="7"/>
  <c r="BM194" i="7"/>
  <c r="BM80" i="11"/>
  <c r="BL209" i="11"/>
  <c r="BL185" i="7"/>
  <c r="BL186" i="7"/>
  <c r="AZ63" i="11"/>
  <c r="BA231" i="11"/>
  <c r="BA69" i="11"/>
  <c r="BB234" i="11"/>
  <c r="CB31" i="22"/>
  <c r="CA31" i="22"/>
  <c r="BZ31" i="22"/>
  <c r="BY31" i="22"/>
  <c r="CB84" i="22"/>
  <c r="AV190" i="8"/>
  <c r="AV191" i="8"/>
  <c r="BM60" i="22"/>
  <c r="BL159" i="22"/>
  <c r="U45" i="2"/>
  <c r="V166" i="2"/>
  <c r="AD45" i="2"/>
  <c r="AE166" i="2"/>
  <c r="BM195" i="22"/>
  <c r="BM196" i="22"/>
  <c r="AS76" i="9"/>
  <c r="AR199" i="9"/>
  <c r="AL73" i="7"/>
  <c r="AM236" i="7"/>
  <c r="BK68" i="8"/>
  <c r="BJ179" i="8"/>
  <c r="A168" i="2"/>
  <c r="BW168" i="2"/>
  <c r="A48" i="2"/>
  <c r="BI60" i="8"/>
  <c r="BH159" i="8"/>
  <c r="BR130" i="11"/>
  <c r="BR131" i="11"/>
  <c r="BR56" i="10"/>
  <c r="BQ149" i="10"/>
  <c r="AN65" i="8"/>
  <c r="AO232" i="8"/>
  <c r="BO210" i="7"/>
  <c r="BO211" i="7"/>
  <c r="BI201" i="8"/>
  <c r="BI200" i="8"/>
  <c r="AS72" i="9"/>
  <c r="AR189" i="9"/>
  <c r="BN211" i="22"/>
  <c r="BN210" i="22"/>
  <c r="BP185" i="9"/>
  <c r="BP186" i="9"/>
  <c r="BK187" i="7"/>
  <c r="BV65" i="7"/>
  <c r="BW232" i="7"/>
  <c r="BH202" i="8"/>
  <c r="AP192" i="9"/>
  <c r="BJ176" i="11"/>
  <c r="BJ175" i="11"/>
  <c r="BV141" i="11"/>
  <c r="BV140" i="11"/>
  <c r="BM184" i="7"/>
  <c r="BN70" i="7"/>
  <c r="CA85" i="22"/>
  <c r="CA86" i="22"/>
  <c r="BU142" i="11"/>
  <c r="AV45" i="2"/>
  <c r="AW166" i="2"/>
  <c r="C45" i="2"/>
  <c r="D166" i="2"/>
  <c r="BF162" i="8"/>
  <c r="AR89" i="22"/>
  <c r="AR90" i="22"/>
  <c r="AR91" i="22"/>
  <c r="AR92" i="22"/>
  <c r="AS32" i="22"/>
  <c r="BM195" i="8"/>
  <c r="BM196" i="8"/>
  <c r="BW191" i="10"/>
  <c r="BW190" i="10"/>
  <c r="BI181" i="8"/>
  <c r="BI180" i="8"/>
  <c r="AM167" i="2"/>
  <c r="AD167" i="2"/>
  <c r="L167" i="2"/>
  <c r="AV167" i="2"/>
  <c r="BN167" i="2"/>
  <c r="BE167" i="2"/>
  <c r="U167" i="2"/>
  <c r="C167" i="2"/>
  <c r="BG161" i="8"/>
  <c r="BG160" i="8"/>
  <c r="BS129" i="11"/>
  <c r="BT48" i="11"/>
  <c r="BQ80" i="7"/>
  <c r="BP209" i="7"/>
  <c r="BP170" i="22"/>
  <c r="BP171" i="22"/>
  <c r="BJ199" i="8"/>
  <c r="BK76" i="8"/>
  <c r="BO74" i="10"/>
  <c r="BN194" i="10"/>
  <c r="AQ190" i="9"/>
  <c r="AQ191" i="9"/>
  <c r="BR70" i="9"/>
  <c r="BQ184" i="9"/>
  <c r="BR211" i="9"/>
  <c r="BR210" i="9"/>
  <c r="BK174" i="11"/>
  <c r="BL66" i="11"/>
  <c r="BK175" i="8"/>
  <c r="BK176" i="8"/>
  <c r="BX52" i="11"/>
  <c r="BW139" i="11"/>
  <c r="BO179" i="9"/>
  <c r="BP68" i="9"/>
  <c r="M166" i="2"/>
  <c r="L45" i="2"/>
  <c r="BN45" i="2"/>
  <c r="BO166" i="2"/>
  <c r="BO74" i="8"/>
  <c r="BN194" i="8"/>
  <c r="BH190" i="11"/>
  <c r="BH191" i="11"/>
  <c r="BX189" i="10"/>
  <c r="BY72" i="10"/>
  <c r="BR64" i="22"/>
  <c r="BQ169" i="22"/>
  <c r="BM179" i="22"/>
  <c r="BN68" i="22"/>
  <c r="BM196" i="10"/>
  <c r="BM195" i="10"/>
  <c r="BO205" i="10"/>
  <c r="BO206" i="10"/>
  <c r="AV65" i="11"/>
  <c r="AW232" i="11"/>
  <c r="BO152" i="10"/>
  <c r="BK182" i="22"/>
  <c r="BS181" i="7"/>
  <c r="BS180" i="7"/>
  <c r="BS209" i="9"/>
  <c r="BT80" i="9"/>
  <c r="BZ87" i="22"/>
  <c r="BM212" i="22"/>
  <c r="BM66" i="8"/>
  <c r="BL174" i="8"/>
  <c r="BL195" i="7"/>
  <c r="BL196" i="7"/>
  <c r="BK211" i="11"/>
  <c r="BK210" i="11"/>
  <c r="AP202" i="9"/>
  <c r="AX72" i="8"/>
  <c r="AW189" i="8"/>
  <c r="BN180" i="9"/>
  <c r="BN181" i="9"/>
  <c r="BK160" i="22"/>
  <c r="BK161" i="22"/>
  <c r="BE45" i="2"/>
  <c r="CF45" i="2"/>
  <c r="BF166" i="2"/>
  <c r="AM45" i="2"/>
  <c r="AN166" i="2"/>
  <c r="BN194" i="22"/>
  <c r="BO74" i="22"/>
  <c r="AQ201" i="9"/>
  <c r="AQ200" i="9"/>
  <c r="BJ72" i="11"/>
  <c r="BI189" i="11"/>
  <c r="AU192" i="8"/>
  <c r="BM182" i="9"/>
  <c r="BP150" i="10"/>
  <c r="BP151" i="10"/>
  <c r="BL180" i="22"/>
  <c r="BL181" i="22"/>
  <c r="BQ212" i="9"/>
  <c r="BQ78" i="10"/>
  <c r="BP204" i="10"/>
  <c r="L36" i="30"/>
  <c r="N36" i="30"/>
  <c r="O36" i="30"/>
  <c r="P36" i="30"/>
  <c r="Q36" i="30"/>
  <c r="T36" i="30"/>
  <c r="AB36" i="30"/>
  <c r="AE36" i="30"/>
  <c r="Y36" i="30"/>
  <c r="AC36" i="30"/>
  <c r="AA36" i="30"/>
  <c r="X36" i="30"/>
  <c r="AF36" i="30"/>
  <c r="AD36" i="30"/>
  <c r="Z36" i="30"/>
  <c r="AH36" i="30"/>
  <c r="AG36" i="30"/>
  <c r="AI36" i="30"/>
  <c r="B8" i="26"/>
  <c r="S26" i="30"/>
  <c r="R25" i="30"/>
  <c r="AX34" i="8"/>
  <c r="AW94" i="8"/>
  <c r="AW95" i="8"/>
  <c r="AW96" i="8"/>
  <c r="AW97" i="8"/>
  <c r="AR114" i="8"/>
  <c r="AR115" i="8"/>
  <c r="AR116" i="8"/>
  <c r="AR117" i="8"/>
  <c r="AS42" i="8"/>
  <c r="AR119" i="8"/>
  <c r="AR120" i="8"/>
  <c r="AR121" i="8"/>
  <c r="AR122" i="8"/>
  <c r="AS44" i="8"/>
  <c r="AY165" i="7"/>
  <c r="AY166" i="7"/>
  <c r="BA62" i="7"/>
  <c r="AZ164" i="7"/>
  <c r="AS32" i="11"/>
  <c r="AR89" i="11"/>
  <c r="AR90" i="11"/>
  <c r="AR91" i="11"/>
  <c r="AR92" i="11"/>
  <c r="AS84" i="9"/>
  <c r="AS85" i="9"/>
  <c r="AS86" i="9"/>
  <c r="AS87" i="9"/>
  <c r="AT30" i="9"/>
  <c r="AR139" i="9"/>
  <c r="AR140" i="9"/>
  <c r="AR141" i="9"/>
  <c r="AR142" i="9"/>
  <c r="AS52" i="9"/>
  <c r="AU30" i="1"/>
  <c r="AT86" i="1"/>
  <c r="AT87" i="1"/>
  <c r="AT88" i="1"/>
  <c r="AT89" i="1"/>
  <c r="AS48" i="1"/>
  <c r="AR131" i="1"/>
  <c r="AR132" i="1"/>
  <c r="AR133" i="1"/>
  <c r="AR134" i="1"/>
  <c r="AS52" i="1"/>
  <c r="AR141" i="1"/>
  <c r="AR142" i="1"/>
  <c r="AR143" i="1"/>
  <c r="AR144" i="1"/>
  <c r="AT91" i="1"/>
  <c r="AT92" i="1"/>
  <c r="AT93" i="1"/>
  <c r="AT94" i="1"/>
  <c r="AU32" i="1"/>
  <c r="AR96" i="1"/>
  <c r="AR97" i="1"/>
  <c r="AR98" i="1"/>
  <c r="AR99" i="1"/>
  <c r="AS34" i="1"/>
  <c r="AS64" i="1"/>
  <c r="AR171" i="1"/>
  <c r="AR172" i="1"/>
  <c r="AR173" i="1"/>
  <c r="AR174" i="1"/>
  <c r="AS68" i="1"/>
  <c r="AR181" i="1"/>
  <c r="AR182" i="1"/>
  <c r="AR183" i="1"/>
  <c r="AR184" i="1"/>
  <c r="AS58" i="1"/>
  <c r="AR156" i="1"/>
  <c r="AR157" i="1"/>
  <c r="AR158" i="1"/>
  <c r="AR159" i="1"/>
  <c r="AR136" i="1"/>
  <c r="AR137" i="1"/>
  <c r="AR138" i="1"/>
  <c r="AR139" i="1"/>
  <c r="AS50" i="1"/>
  <c r="U43" i="33"/>
  <c r="AR120" i="22"/>
  <c r="AR121" i="22"/>
  <c r="AT44" i="22"/>
  <c r="AS119" i="22"/>
  <c r="AS120" i="22"/>
  <c r="AS121" i="22"/>
  <c r="AS122" i="22"/>
  <c r="AR113" i="6"/>
  <c r="AR114" i="6"/>
  <c r="AR115" i="6"/>
  <c r="AR116" i="6"/>
  <c r="AS36" i="6"/>
  <c r="AS22" i="6"/>
  <c r="AR78" i="6"/>
  <c r="AR79" i="6"/>
  <c r="AR80" i="6"/>
  <c r="AR81" i="6"/>
  <c r="AR133" i="6"/>
  <c r="AR134" i="6"/>
  <c r="AR135" i="6"/>
  <c r="AR136" i="6"/>
  <c r="AS44" i="6"/>
  <c r="AS28" i="6"/>
  <c r="AR93" i="6"/>
  <c r="AR94" i="6"/>
  <c r="AR95" i="6"/>
  <c r="AR96" i="6"/>
  <c r="AR88" i="6"/>
  <c r="AR89" i="6"/>
  <c r="AR90" i="6"/>
  <c r="AR91" i="6"/>
  <c r="AS26" i="6"/>
  <c r="AT30" i="6"/>
  <c r="AS98" i="6"/>
  <c r="AS99" i="6"/>
  <c r="AS100" i="6"/>
  <c r="AS101" i="6"/>
  <c r="AS128" i="6"/>
  <c r="AS129" i="6"/>
  <c r="AS130" i="6"/>
  <c r="AS131" i="6"/>
  <c r="AT42" i="6"/>
  <c r="AR83" i="6"/>
  <c r="AR84" i="6"/>
  <c r="AR85" i="6"/>
  <c r="AR86" i="6"/>
  <c r="AS24" i="6"/>
  <c r="AR103" i="6"/>
  <c r="AR104" i="6"/>
  <c r="AR105" i="6"/>
  <c r="AR106" i="6"/>
  <c r="AS32" i="6"/>
  <c r="AS34" i="6"/>
  <c r="AR108" i="6"/>
  <c r="AR109" i="6"/>
  <c r="AR110" i="6"/>
  <c r="AR111" i="6"/>
  <c r="AR123" i="6"/>
  <c r="AR124" i="6"/>
  <c r="AR125" i="6"/>
  <c r="AR126" i="6"/>
  <c r="AS40" i="6"/>
  <c r="AR116" i="1"/>
  <c r="AR117" i="1"/>
  <c r="AR118" i="1"/>
  <c r="AR119" i="1"/>
  <c r="AS42" i="1"/>
  <c r="AS218" i="1"/>
  <c r="AS217" i="1"/>
  <c r="AP199" i="1"/>
  <c r="AQ164" i="1"/>
  <c r="AV80" i="1"/>
  <c r="AU211" i="1"/>
  <c r="AU212" i="1"/>
  <c r="AU213" i="1"/>
  <c r="AU214" i="1"/>
  <c r="AR219" i="1"/>
  <c r="AU82" i="1"/>
  <c r="AT216" i="1"/>
  <c r="AQ107" i="7"/>
  <c r="AP132" i="22"/>
  <c r="AO87" i="8"/>
  <c r="AW38" i="8"/>
  <c r="AV104" i="8"/>
  <c r="AV105" i="8"/>
  <c r="AV106" i="8"/>
  <c r="AV107" i="8"/>
  <c r="AT36" i="8"/>
  <c r="AS99" i="8"/>
  <c r="AS100" i="8"/>
  <c r="AS101" i="8"/>
  <c r="AS102" i="8"/>
  <c r="AR120" i="11"/>
  <c r="AR121" i="11"/>
  <c r="AR122" i="11"/>
  <c r="AT44" i="11"/>
  <c r="AS119" i="11"/>
  <c r="K40" i="34"/>
  <c r="T40" i="34"/>
  <c r="W43" i="32"/>
  <c r="V43" i="32"/>
  <c r="K43" i="32"/>
  <c r="L43" i="32"/>
  <c r="N43" i="32"/>
  <c r="O43" i="32"/>
  <c r="P43" i="32"/>
  <c r="Q43" i="32"/>
  <c r="AR129" i="22"/>
  <c r="AR130" i="22"/>
  <c r="AR131" i="22"/>
  <c r="AR132" i="22"/>
  <c r="AS48" i="22"/>
  <c r="AQ95" i="22"/>
  <c r="AQ96" i="22"/>
  <c r="AQ97" i="22"/>
  <c r="AT38" i="22"/>
  <c r="AS104" i="22"/>
  <c r="AS105" i="22"/>
  <c r="AS106" i="22"/>
  <c r="AS107" i="22"/>
  <c r="AS34" i="22"/>
  <c r="AR94" i="22"/>
  <c r="AR95" i="22"/>
  <c r="AR96" i="22"/>
  <c r="AR97" i="22"/>
  <c r="AR114" i="7"/>
  <c r="AS42" i="7"/>
  <c r="AT30" i="7"/>
  <c r="AS84" i="7"/>
  <c r="AS85" i="7"/>
  <c r="AS86" i="7"/>
  <c r="AS87" i="7"/>
  <c r="AU109" i="7"/>
  <c r="AU110" i="7"/>
  <c r="AU111" i="7"/>
  <c r="AU112" i="7"/>
  <c r="AV40" i="7"/>
  <c r="AS104" i="7"/>
  <c r="AS105" i="7"/>
  <c r="AS106" i="7"/>
  <c r="AS107" i="7"/>
  <c r="AT38" i="7"/>
  <c r="AR94" i="7"/>
  <c r="AR95" i="7"/>
  <c r="AR96" i="7"/>
  <c r="AR97" i="7"/>
  <c r="AS34" i="7"/>
  <c r="AQ95" i="7"/>
  <c r="AQ96" i="7"/>
  <c r="AQ97" i="7"/>
  <c r="AS99" i="7"/>
  <c r="AS100" i="7"/>
  <c r="AS101" i="7"/>
  <c r="AS102" i="7"/>
  <c r="AT36" i="7"/>
  <c r="AV38" i="6"/>
  <c r="AU118" i="6"/>
  <c r="AU119" i="6"/>
  <c r="AU120" i="6"/>
  <c r="AU121" i="6"/>
  <c r="AW54" i="9"/>
  <c r="AV144" i="9"/>
  <c r="AV145" i="9"/>
  <c r="AV146" i="9"/>
  <c r="AV147" i="9"/>
  <c r="AQ114" i="9"/>
  <c r="AQ115" i="9"/>
  <c r="AQ116" i="9"/>
  <c r="AQ117" i="9"/>
  <c r="AR42" i="9"/>
  <c r="AR124" i="9"/>
  <c r="AR125" i="9"/>
  <c r="AR126" i="9"/>
  <c r="AR127" i="9"/>
  <c r="AS46" i="9"/>
  <c r="AV38" i="9"/>
  <c r="AU104" i="9"/>
  <c r="AU105" i="9"/>
  <c r="AU106" i="9"/>
  <c r="AU107" i="9"/>
  <c r="AS34" i="9"/>
  <c r="AR94" i="9"/>
  <c r="AR95" i="9"/>
  <c r="AR96" i="9"/>
  <c r="AR97" i="9"/>
  <c r="AT50" i="9"/>
  <c r="AS134" i="9"/>
  <c r="AS135" i="9"/>
  <c r="AS136" i="9"/>
  <c r="AS137" i="9"/>
  <c r="AT89" i="9"/>
  <c r="AT90" i="9"/>
  <c r="AT91" i="9"/>
  <c r="AT92" i="9"/>
  <c r="AU32" i="9"/>
  <c r="AQ150" i="9"/>
  <c r="AQ151" i="9"/>
  <c r="AQ152" i="9"/>
  <c r="AR129" i="9"/>
  <c r="AS48" i="9"/>
  <c r="AS56" i="9"/>
  <c r="AR149" i="9"/>
  <c r="AR150" i="9"/>
  <c r="AR151" i="9"/>
  <c r="AR152" i="9"/>
  <c r="AS44" i="9"/>
  <c r="AR119" i="9"/>
  <c r="AR120" i="9"/>
  <c r="AR121" i="9"/>
  <c r="AR122" i="9"/>
  <c r="AU76" i="1"/>
  <c r="AT201" i="1"/>
  <c r="AT202" i="1"/>
  <c r="AT203" i="1"/>
  <c r="AT204" i="1"/>
  <c r="AR162" i="1"/>
  <c r="AR163" i="1"/>
  <c r="AR164" i="1"/>
  <c r="AS74" i="1"/>
  <c r="AR196" i="1"/>
  <c r="AT72" i="1"/>
  <c r="AS191" i="1"/>
  <c r="AS192" i="1"/>
  <c r="AS193" i="1"/>
  <c r="AS194" i="1"/>
  <c r="AY56" i="1"/>
  <c r="AX151" i="1"/>
  <c r="AX152" i="1"/>
  <c r="AX153" i="1"/>
  <c r="AX154" i="1"/>
  <c r="AS161" i="1"/>
  <c r="AS162" i="1"/>
  <c r="AS163" i="1"/>
  <c r="AS164" i="1"/>
  <c r="AT60" i="1"/>
  <c r="AU66" i="1"/>
  <c r="AT176" i="1"/>
  <c r="AT177" i="1"/>
  <c r="AT178" i="1"/>
  <c r="AT179" i="1"/>
  <c r="AS78" i="1"/>
  <c r="AR206" i="1"/>
  <c r="AS70" i="1"/>
  <c r="AR186" i="1"/>
  <c r="AR187" i="1"/>
  <c r="AR188" i="1"/>
  <c r="AR189" i="1"/>
  <c r="AW115" i="11"/>
  <c r="AW116" i="11"/>
  <c r="AW117" i="11"/>
  <c r="AY42" i="11"/>
  <c r="AX114" i="11"/>
  <c r="AC40" i="34"/>
  <c r="AH40" i="34"/>
  <c r="Z40" i="34"/>
  <c r="AB40" i="34"/>
  <c r="AK40" i="34"/>
  <c r="AD40" i="34"/>
  <c r="AM40" i="34"/>
  <c r="AF40" i="34"/>
  <c r="X40" i="34"/>
  <c r="W42" i="35"/>
  <c r="V42" i="35"/>
  <c r="K42" i="35"/>
  <c r="K43" i="37"/>
  <c r="T43" i="37"/>
  <c r="AR105" i="11"/>
  <c r="AR106" i="11"/>
  <c r="AV84" i="11"/>
  <c r="AW30" i="11"/>
  <c r="AS100" i="11"/>
  <c r="AS101" i="11"/>
  <c r="AS102" i="11"/>
  <c r="AQ107" i="11"/>
  <c r="AT99" i="11"/>
  <c r="AU36" i="11"/>
  <c r="AU85" i="11"/>
  <c r="AU86" i="11"/>
  <c r="AU87" i="11"/>
  <c r="AT38" i="11"/>
  <c r="AS104" i="11"/>
  <c r="AT50" i="10"/>
  <c r="AS134" i="10"/>
  <c r="AR135" i="10"/>
  <c r="AR136" i="10"/>
  <c r="AR137" i="10"/>
  <c r="AS99" i="10"/>
  <c r="AT36" i="10"/>
  <c r="AR100" i="10"/>
  <c r="AR101" i="10"/>
  <c r="AR102" i="10"/>
  <c r="AR154" i="22"/>
  <c r="AS58" i="22"/>
  <c r="AQ155" i="22"/>
  <c r="AQ156" i="22"/>
  <c r="AQ157" i="22"/>
  <c r="AR110" i="22"/>
  <c r="AR111" i="22"/>
  <c r="AR112" i="22"/>
  <c r="AR100" i="22"/>
  <c r="AR101" i="22"/>
  <c r="AS99" i="22"/>
  <c r="AT36" i="22"/>
  <c r="AS144" i="22"/>
  <c r="AT54" i="22"/>
  <c r="AS109" i="22"/>
  <c r="AT40" i="22"/>
  <c r="AR145" i="22"/>
  <c r="AR146" i="22"/>
  <c r="AR147" i="22"/>
  <c r="AT150" i="8"/>
  <c r="AT151" i="8"/>
  <c r="AT152" i="8"/>
  <c r="AU149" i="8"/>
  <c r="AV56" i="8"/>
  <c r="AS144" i="8"/>
  <c r="AT54" i="8"/>
  <c r="AR145" i="8"/>
  <c r="AR146" i="8"/>
  <c r="AR147" i="8"/>
  <c r="AS32" i="8"/>
  <c r="AR89" i="8"/>
  <c r="AQ84" i="8"/>
  <c r="AR30" i="8"/>
  <c r="AQ90" i="8"/>
  <c r="AQ91" i="8"/>
  <c r="AQ92" i="8"/>
  <c r="AQ110" i="8"/>
  <c r="AQ111" i="8"/>
  <c r="AQ112" i="8"/>
  <c r="AR109" i="8"/>
  <c r="AS40" i="8"/>
  <c r="AS48" i="8"/>
  <c r="AR129" i="8"/>
  <c r="AS52" i="8"/>
  <c r="AR139" i="8"/>
  <c r="AP85" i="8"/>
  <c r="AP86" i="8"/>
  <c r="AP87" i="8"/>
  <c r="AQ130" i="8"/>
  <c r="AQ131" i="8"/>
  <c r="AQ132" i="8"/>
  <c r="AQ140" i="8"/>
  <c r="AQ141" i="8"/>
  <c r="AQ142" i="8"/>
  <c r="AS54" i="7"/>
  <c r="AR144" i="7"/>
  <c r="AQ145" i="7"/>
  <c r="AQ146" i="7"/>
  <c r="AQ147" i="7"/>
  <c r="AS52" i="7"/>
  <c r="AR139" i="7"/>
  <c r="AQ140" i="7"/>
  <c r="AQ141" i="7"/>
  <c r="AQ142" i="7"/>
  <c r="AQ135" i="7"/>
  <c r="AQ136" i="7"/>
  <c r="AQ137" i="7"/>
  <c r="AS50" i="7"/>
  <c r="AR134" i="7"/>
  <c r="AT120" i="7"/>
  <c r="AT121" i="7"/>
  <c r="AT122" i="7"/>
  <c r="AS125" i="7"/>
  <c r="AS126" i="7"/>
  <c r="AS127" i="7"/>
  <c r="AU46" i="7"/>
  <c r="AT124" i="7"/>
  <c r="AX90" i="7"/>
  <c r="AX91" i="7"/>
  <c r="AX92" i="7"/>
  <c r="AY89" i="7"/>
  <c r="AZ32" i="7"/>
  <c r="AU119" i="7"/>
  <c r="AV44" i="7"/>
  <c r="AS56" i="6"/>
  <c r="AR163" i="6"/>
  <c r="AQ164" i="6"/>
  <c r="AQ165" i="6"/>
  <c r="AQ159" i="6"/>
  <c r="AQ160" i="6"/>
  <c r="AQ161" i="6"/>
  <c r="AR158" i="6"/>
  <c r="AS54" i="6"/>
  <c r="AS52" i="6"/>
  <c r="AR153" i="6"/>
  <c r="AQ154" i="6"/>
  <c r="AQ155" i="6"/>
  <c r="AQ156" i="6"/>
  <c r="AQ149" i="6"/>
  <c r="AQ150" i="6"/>
  <c r="AQ151" i="6"/>
  <c r="AS50" i="6"/>
  <c r="AR148" i="6"/>
  <c r="AQ144" i="6"/>
  <c r="AQ145" i="6"/>
  <c r="AQ146" i="6"/>
  <c r="AS48" i="6"/>
  <c r="AR143" i="6"/>
  <c r="AT60" i="9"/>
  <c r="AS159" i="9"/>
  <c r="AR160" i="9"/>
  <c r="AR161" i="9"/>
  <c r="AR162" i="9"/>
  <c r="AR154" i="9"/>
  <c r="AS58" i="9"/>
  <c r="AQ155" i="9"/>
  <c r="AQ156" i="9"/>
  <c r="AQ157" i="9"/>
  <c r="AR100" i="9"/>
  <c r="AR101" i="9"/>
  <c r="AR102" i="9"/>
  <c r="AR110" i="9"/>
  <c r="AR111" i="9"/>
  <c r="AR112" i="9"/>
  <c r="AT40" i="9"/>
  <c r="AS109" i="9"/>
  <c r="AT36" i="9"/>
  <c r="AS99" i="9"/>
  <c r="AQ167" i="1"/>
  <c r="AQ168" i="1"/>
  <c r="AQ169" i="1"/>
  <c r="AS62" i="1"/>
  <c r="AR166" i="1"/>
  <c r="AS46" i="1"/>
  <c r="AR126" i="1"/>
  <c r="AQ127" i="1"/>
  <c r="AQ128" i="1"/>
  <c r="AQ129" i="1"/>
  <c r="AR146" i="1"/>
  <c r="AS54" i="1"/>
  <c r="AQ147" i="1"/>
  <c r="AQ148" i="1"/>
  <c r="AQ149" i="1"/>
  <c r="AS122" i="1"/>
  <c r="AS123" i="1"/>
  <c r="AS124" i="1"/>
  <c r="AT121" i="1"/>
  <c r="AU44" i="1"/>
  <c r="AQ107" i="1"/>
  <c r="AQ108" i="1"/>
  <c r="AQ109" i="1"/>
  <c r="AT111" i="1"/>
  <c r="AU40" i="1"/>
  <c r="AS112" i="1"/>
  <c r="AS113" i="1"/>
  <c r="AS114" i="1"/>
  <c r="AU36" i="1"/>
  <c r="AT101" i="1"/>
  <c r="AS102" i="1"/>
  <c r="AS103" i="1"/>
  <c r="AS104" i="1"/>
  <c r="AS38" i="1"/>
  <c r="AR106" i="1"/>
  <c r="AK43" i="37"/>
  <c r="AP43" i="37"/>
  <c r="AL43" i="37"/>
  <c r="AQ43" i="37"/>
  <c r="AJ43" i="37"/>
  <c r="AO43" i="37"/>
  <c r="AH43" i="37"/>
  <c r="AE43" i="37"/>
  <c r="AD43" i="37"/>
  <c r="AN43" i="37"/>
  <c r="X43" i="37"/>
  <c r="AI43" i="37"/>
  <c r="Z43" i="37"/>
  <c r="AF43" i="37"/>
  <c r="AA43" i="37"/>
  <c r="AG43" i="37"/>
  <c r="AM43" i="37"/>
  <c r="Y43" i="37"/>
  <c r="AB43" i="37"/>
  <c r="AC43" i="37"/>
  <c r="AS129" i="7"/>
  <c r="AS130" i="7"/>
  <c r="AS131" i="7"/>
  <c r="AS132" i="7"/>
  <c r="AT48" i="7"/>
  <c r="P45" i="37"/>
  <c r="Q45" i="37"/>
  <c r="W42" i="36"/>
  <c r="V42" i="36"/>
  <c r="K42" i="36"/>
  <c r="T42" i="36"/>
  <c r="Q41" i="36"/>
  <c r="P42" i="36"/>
  <c r="Y40" i="34"/>
  <c r="AN40" i="34"/>
  <c r="AL40" i="34"/>
  <c r="AA40" i="34"/>
  <c r="AI40" i="34"/>
  <c r="AG40" i="34"/>
  <c r="AE40" i="34"/>
  <c r="BW47" i="2"/>
  <c r="BX168" i="2"/>
  <c r="BZ194" i="9"/>
  <c r="CA74" i="9"/>
  <c r="BX197" i="9"/>
  <c r="BY196" i="9"/>
  <c r="BY195" i="9"/>
  <c r="AL59" i="11"/>
  <c r="AM229" i="11"/>
  <c r="W37" i="41"/>
  <c r="V37" i="41"/>
  <c r="AE37" i="41"/>
  <c r="Q37" i="41"/>
  <c r="P38" i="41"/>
  <c r="AI37" i="41"/>
  <c r="S41" i="33"/>
  <c r="Q23" i="26"/>
  <c r="R39" i="33"/>
  <c r="S40" i="33"/>
  <c r="AZ207" i="9"/>
  <c r="BR177" i="9"/>
  <c r="BA192" i="22"/>
  <c r="AV162" i="7"/>
  <c r="AQ207" i="8"/>
  <c r="AQ167" i="9"/>
  <c r="AQ202" i="11"/>
  <c r="BS157" i="10"/>
  <c r="BG197" i="11"/>
  <c r="BB177" i="10"/>
  <c r="AZ172" i="9"/>
  <c r="AR202" i="7"/>
  <c r="AQ162" i="10"/>
  <c r="AU127" i="11"/>
  <c r="BR172" i="10"/>
  <c r="AY167" i="22"/>
  <c r="AQ187" i="8"/>
  <c r="AQ202" i="22"/>
  <c r="AQ202" i="10"/>
  <c r="AR152" i="11"/>
  <c r="BO255" i="40"/>
  <c r="BO256" i="40"/>
  <c r="BO257" i="40"/>
  <c r="BI249" i="40"/>
  <c r="BI250" i="40"/>
  <c r="BI251" i="40"/>
  <c r="BI252" i="40"/>
  <c r="BJ94" i="40"/>
  <c r="BI289" i="40"/>
  <c r="BJ110" i="40"/>
  <c r="BI269" i="40"/>
  <c r="BI270" i="40"/>
  <c r="BI271" i="40"/>
  <c r="BI272" i="40"/>
  <c r="BJ102" i="40"/>
  <c r="BH250" i="40"/>
  <c r="BH251" i="40"/>
  <c r="BH252" i="40"/>
  <c r="BH290" i="40"/>
  <c r="BH291" i="40"/>
  <c r="BH292" i="40"/>
  <c r="BP260" i="40"/>
  <c r="BP261" i="40"/>
  <c r="BP262" i="40"/>
  <c r="BI244" i="40"/>
  <c r="BI245" i="40"/>
  <c r="BI246" i="40"/>
  <c r="BI247" i="40"/>
  <c r="BJ92" i="40"/>
  <c r="BI284" i="40"/>
  <c r="BI285" i="40"/>
  <c r="BI286" i="40"/>
  <c r="BI287" i="40"/>
  <c r="BJ108" i="40"/>
  <c r="BI264" i="40"/>
  <c r="BJ100" i="40"/>
  <c r="BN280" i="40"/>
  <c r="BN281" i="40"/>
  <c r="BN282" i="40"/>
  <c r="BH245" i="40"/>
  <c r="BH246" i="40"/>
  <c r="BH247" i="40"/>
  <c r="BH285" i="40"/>
  <c r="BH286" i="40"/>
  <c r="BH287" i="40"/>
  <c r="BQ98" i="40"/>
  <c r="BQ259" i="40"/>
  <c r="BQ260" i="40"/>
  <c r="BQ261" i="40"/>
  <c r="BQ262" i="40"/>
  <c r="BP96" i="40"/>
  <c r="BP254" i="40"/>
  <c r="BP104" i="40"/>
  <c r="BP274" i="40"/>
  <c r="BP275" i="40"/>
  <c r="BP276" i="40"/>
  <c r="BP277" i="40"/>
  <c r="BO106" i="40"/>
  <c r="BO279" i="40"/>
  <c r="BL90" i="40"/>
  <c r="BK88" i="40"/>
  <c r="BJ234" i="40"/>
  <c r="BH160" i="40"/>
  <c r="BH161" i="40"/>
  <c r="BH162" i="40"/>
  <c r="BK84" i="40"/>
  <c r="BJ224" i="40"/>
  <c r="BI165" i="40"/>
  <c r="BI166" i="40"/>
  <c r="BK40" i="40"/>
  <c r="BJ114" i="40"/>
  <c r="BI205" i="40"/>
  <c r="BI206" i="40"/>
  <c r="BI207" i="40"/>
  <c r="BH210" i="40"/>
  <c r="BH211" i="40"/>
  <c r="BH212" i="40"/>
  <c r="BJ62" i="40"/>
  <c r="BI169" i="40"/>
  <c r="BH120" i="40"/>
  <c r="BH121" i="40"/>
  <c r="BH122" i="40"/>
  <c r="BL68" i="40"/>
  <c r="BK184" i="40"/>
  <c r="BH237" i="40"/>
  <c r="BH155" i="40"/>
  <c r="BH156" i="40"/>
  <c r="BH240" i="40"/>
  <c r="BH241" i="40"/>
  <c r="BK60" i="40"/>
  <c r="BJ164" i="40"/>
  <c r="BI140" i="40"/>
  <c r="BI141" i="40"/>
  <c r="BI142" i="40"/>
  <c r="BH220" i="40"/>
  <c r="BH221" i="40"/>
  <c r="BH222" i="40"/>
  <c r="BL64" i="40"/>
  <c r="BK174" i="40"/>
  <c r="BH227" i="40"/>
  <c r="BH167" i="40"/>
  <c r="BJ54" i="40"/>
  <c r="BI149" i="40"/>
  <c r="BJ195" i="40"/>
  <c r="BJ196" i="40"/>
  <c r="BJ52" i="40"/>
  <c r="BI144" i="40"/>
  <c r="BJ70" i="40"/>
  <c r="BI189" i="40"/>
  <c r="BH230" i="40"/>
  <c r="BH231" i="40"/>
  <c r="BH232" i="40"/>
  <c r="BJ46" i="40"/>
  <c r="BI129" i="40"/>
  <c r="BH200" i="40"/>
  <c r="BH201" i="40"/>
  <c r="BH202" i="40"/>
  <c r="BH150" i="40"/>
  <c r="BH151" i="40"/>
  <c r="BH152" i="40"/>
  <c r="BI215" i="40"/>
  <c r="BI216" i="40"/>
  <c r="BI217" i="40"/>
  <c r="BI235" i="40"/>
  <c r="BI236" i="40"/>
  <c r="BH125" i="40"/>
  <c r="BH126" i="40"/>
  <c r="BH127" i="40"/>
  <c r="BJ58" i="40"/>
  <c r="BI159" i="40"/>
  <c r="BI180" i="40"/>
  <c r="BI181" i="40"/>
  <c r="BJ56" i="40"/>
  <c r="BI154" i="40"/>
  <c r="BI225" i="40"/>
  <c r="BI226" i="40"/>
  <c r="BH190" i="40"/>
  <c r="BH191" i="40"/>
  <c r="BH192" i="40"/>
  <c r="BJ86" i="40"/>
  <c r="BI229" i="40"/>
  <c r="BH135" i="40"/>
  <c r="BH136" i="40"/>
  <c r="BH137" i="40"/>
  <c r="BJ74" i="40"/>
  <c r="BI199" i="40"/>
  <c r="BK80" i="40"/>
  <c r="BJ214" i="40"/>
  <c r="BK76" i="40"/>
  <c r="BJ204" i="40"/>
  <c r="BG222" i="40"/>
  <c r="BJ78" i="40"/>
  <c r="BI209" i="40"/>
  <c r="BH145" i="40"/>
  <c r="BH146" i="40"/>
  <c r="BH147" i="40"/>
  <c r="BH170" i="40"/>
  <c r="BH171" i="40"/>
  <c r="BJ44" i="40"/>
  <c r="BI124" i="40"/>
  <c r="BH142" i="40"/>
  <c r="BJ42" i="40"/>
  <c r="BI119" i="40"/>
  <c r="BJ185" i="40"/>
  <c r="BJ186" i="40"/>
  <c r="BH207" i="40"/>
  <c r="BK66" i="40"/>
  <c r="BJ179" i="40"/>
  <c r="BI239" i="40"/>
  <c r="BI197" i="40"/>
  <c r="BK50" i="40"/>
  <c r="BJ139" i="40"/>
  <c r="BH130" i="40"/>
  <c r="BH131" i="40"/>
  <c r="BH132" i="40"/>
  <c r="BG157" i="40"/>
  <c r="BG162" i="40"/>
  <c r="BJ48" i="40"/>
  <c r="BI134" i="40"/>
  <c r="BJ82" i="40"/>
  <c r="BI219" i="40"/>
  <c r="BJ175" i="40"/>
  <c r="BJ176" i="40"/>
  <c r="BJ177" i="40"/>
  <c r="BG212" i="40"/>
  <c r="BI115" i="40"/>
  <c r="BI116" i="40"/>
  <c r="BI117" i="40"/>
  <c r="BG172" i="40"/>
  <c r="BH182" i="40"/>
  <c r="BL72" i="40"/>
  <c r="BK194" i="40"/>
  <c r="AY167" i="7"/>
  <c r="BL182" i="22"/>
  <c r="BP152" i="10"/>
  <c r="AV207" i="11"/>
  <c r="AT50" i="11"/>
  <c r="AS134" i="11"/>
  <c r="BI194" i="11"/>
  <c r="BJ74" i="11"/>
  <c r="AV125" i="11"/>
  <c r="AV126" i="11"/>
  <c r="BD78" i="22"/>
  <c r="BC204" i="22"/>
  <c r="AT56" i="22"/>
  <c r="AS149" i="22"/>
  <c r="AS150" i="22"/>
  <c r="AS151" i="22"/>
  <c r="AS152" i="22"/>
  <c r="BD166" i="10"/>
  <c r="BD165" i="10"/>
  <c r="BQ66" i="22"/>
  <c r="BP174" i="22"/>
  <c r="BD157" i="8"/>
  <c r="BC64" i="9"/>
  <c r="BB169" i="9"/>
  <c r="AR55" i="11"/>
  <c r="AS227" i="11"/>
  <c r="AT70" i="8"/>
  <c r="AS184" i="8"/>
  <c r="BC167" i="10"/>
  <c r="AR165" i="9"/>
  <c r="AR166" i="9"/>
  <c r="BC189" i="22"/>
  <c r="BD72" i="22"/>
  <c r="BE155" i="8"/>
  <c r="BE156" i="8"/>
  <c r="AT76" i="22"/>
  <c r="AS199" i="22"/>
  <c r="BD174" i="10"/>
  <c r="BE66" i="10"/>
  <c r="BT80" i="10"/>
  <c r="BS209" i="10"/>
  <c r="AS199" i="10"/>
  <c r="AT76" i="10"/>
  <c r="BA78" i="7"/>
  <c r="AZ204" i="7"/>
  <c r="AW205" i="11"/>
  <c r="AW206" i="11"/>
  <c r="AZ166" i="22"/>
  <c r="AZ165" i="22"/>
  <c r="AT78" i="8"/>
  <c r="AS204" i="8"/>
  <c r="BB204" i="9"/>
  <c r="BC78" i="9"/>
  <c r="AQ177" i="7"/>
  <c r="BU66" i="9"/>
  <c r="BT174" i="9"/>
  <c r="AW58" i="7"/>
  <c r="AV154" i="7"/>
  <c r="BG185" i="10"/>
  <c r="BG186" i="10"/>
  <c r="AT60" i="10"/>
  <c r="AS159" i="10"/>
  <c r="BH196" i="11"/>
  <c r="BH195" i="11"/>
  <c r="AX46" i="11"/>
  <c r="AW124" i="11"/>
  <c r="BE164" i="10"/>
  <c r="BF62" i="10"/>
  <c r="BO176" i="22"/>
  <c r="BO175" i="22"/>
  <c r="AS179" i="10"/>
  <c r="AT68" i="10"/>
  <c r="BM144" i="10"/>
  <c r="BN54" i="10"/>
  <c r="AT62" i="9"/>
  <c r="AS164" i="9"/>
  <c r="BB190" i="22"/>
  <c r="BB191" i="22"/>
  <c r="BG58" i="8"/>
  <c r="BF154" i="8"/>
  <c r="AR201" i="22"/>
  <c r="AR200" i="22"/>
  <c r="BC175" i="10"/>
  <c r="BC176" i="10"/>
  <c r="BR210" i="10"/>
  <c r="BR211" i="10"/>
  <c r="AR201" i="10"/>
  <c r="AR200" i="10"/>
  <c r="AS150" i="11"/>
  <c r="AS151" i="11"/>
  <c r="AY205" i="7"/>
  <c r="AY206" i="7"/>
  <c r="AY78" i="11"/>
  <c r="AX204" i="11"/>
  <c r="BA164" i="22"/>
  <c r="BB62" i="22"/>
  <c r="BA206" i="9"/>
  <c r="BA205" i="9"/>
  <c r="BS175" i="9"/>
  <c r="BS176" i="9"/>
  <c r="AU155" i="7"/>
  <c r="AU156" i="7"/>
  <c r="AX207" i="7"/>
  <c r="AW161" i="7"/>
  <c r="AW160" i="7"/>
  <c r="BH184" i="10"/>
  <c r="BI70" i="10"/>
  <c r="AR160" i="10"/>
  <c r="AR161" i="10"/>
  <c r="BT169" i="10"/>
  <c r="BU64" i="10"/>
  <c r="AQ182" i="10"/>
  <c r="AY185" i="22"/>
  <c r="AY186" i="22"/>
  <c r="AR201" i="11"/>
  <c r="AR200" i="11"/>
  <c r="AR181" i="10"/>
  <c r="AR180" i="10"/>
  <c r="BL146" i="10"/>
  <c r="BL145" i="10"/>
  <c r="AX61" i="11"/>
  <c r="AY230" i="11"/>
  <c r="AX165" i="8"/>
  <c r="AX166" i="8"/>
  <c r="BT156" i="10"/>
  <c r="BT155" i="10"/>
  <c r="AT66" i="7"/>
  <c r="AS174" i="7"/>
  <c r="AV240" i="8"/>
  <c r="AU81" i="8"/>
  <c r="AS201" i="7"/>
  <c r="AS200" i="7"/>
  <c r="AU56" i="11"/>
  <c r="AT149" i="11"/>
  <c r="BF187" i="10"/>
  <c r="AY60" i="7"/>
  <c r="AX159" i="7"/>
  <c r="AR136" i="11"/>
  <c r="AR135" i="11"/>
  <c r="BB206" i="22"/>
  <c r="BB205" i="22"/>
  <c r="BS171" i="10"/>
  <c r="BS170" i="10"/>
  <c r="BA70" i="22"/>
  <c r="AZ184" i="22"/>
  <c r="BK147" i="10"/>
  <c r="AT46" i="6"/>
  <c r="AS138" i="6"/>
  <c r="AS139" i="6"/>
  <c r="AS140" i="6"/>
  <c r="AS141" i="6"/>
  <c r="AT76" i="11"/>
  <c r="AS199" i="11"/>
  <c r="AQ137" i="11"/>
  <c r="BA171" i="9"/>
  <c r="BA170" i="9"/>
  <c r="BA207" i="22"/>
  <c r="AR185" i="8"/>
  <c r="AR186" i="8"/>
  <c r="BN177" i="22"/>
  <c r="AZ62" i="8"/>
  <c r="AY164" i="8"/>
  <c r="BV58" i="10"/>
  <c r="BU154" i="10"/>
  <c r="AR176" i="7"/>
  <c r="AR175" i="7"/>
  <c r="AU76" i="7"/>
  <c r="AT199" i="7"/>
  <c r="AT157" i="7"/>
  <c r="AW167" i="8"/>
  <c r="AR206" i="8"/>
  <c r="AR205" i="8"/>
  <c r="BQ212" i="10"/>
  <c r="AX187" i="22"/>
  <c r="S44" i="31"/>
  <c r="G27" i="26"/>
  <c r="W45" i="31"/>
  <c r="V45" i="31"/>
  <c r="K45" i="31"/>
  <c r="AU109" i="11"/>
  <c r="AU110" i="11"/>
  <c r="AU111" i="11"/>
  <c r="AU112" i="11"/>
  <c r="AV40" i="11"/>
  <c r="AS114" i="10"/>
  <c r="AS115" i="10"/>
  <c r="AS116" i="10"/>
  <c r="AS117" i="10"/>
  <c r="AT42" i="10"/>
  <c r="AT30" i="10"/>
  <c r="AS84" i="10"/>
  <c r="AS85" i="10"/>
  <c r="AS86" i="10"/>
  <c r="AS87" i="10"/>
  <c r="AT40" i="10"/>
  <c r="AS109" i="10"/>
  <c r="AS110" i="10"/>
  <c r="AS111" i="10"/>
  <c r="AS112" i="10"/>
  <c r="AT48" i="10"/>
  <c r="AS129" i="10"/>
  <c r="AS130" i="10"/>
  <c r="AS131" i="10"/>
  <c r="AS132" i="10"/>
  <c r="AS139" i="10"/>
  <c r="AS140" i="10"/>
  <c r="AS141" i="10"/>
  <c r="AS142" i="10"/>
  <c r="AT52" i="10"/>
  <c r="AT46" i="10"/>
  <c r="AS124" i="10"/>
  <c r="AS125" i="10"/>
  <c r="AS126" i="10"/>
  <c r="AS127" i="10"/>
  <c r="AU44" i="10"/>
  <c r="AT119" i="10"/>
  <c r="AT120" i="10"/>
  <c r="AT121" i="10"/>
  <c r="AT122" i="10"/>
  <c r="AS94" i="10"/>
  <c r="AS95" i="10"/>
  <c r="AS96" i="10"/>
  <c r="AS97" i="10"/>
  <c r="AT34" i="10"/>
  <c r="AT32" i="10"/>
  <c r="AS89" i="10"/>
  <c r="AS90" i="10"/>
  <c r="AS91" i="10"/>
  <c r="AS92" i="10"/>
  <c r="AS104" i="10"/>
  <c r="AS105" i="10"/>
  <c r="AS106" i="10"/>
  <c r="AS107" i="10"/>
  <c r="AT38" i="10"/>
  <c r="AU46" i="22"/>
  <c r="AT124" i="22"/>
  <c r="AT125" i="22"/>
  <c r="AT126" i="22"/>
  <c r="AT127" i="22"/>
  <c r="AS134" i="22"/>
  <c r="AS135" i="22"/>
  <c r="AS136" i="22"/>
  <c r="AS137" i="22"/>
  <c r="AT50" i="22"/>
  <c r="AU52" i="22"/>
  <c r="AT139" i="22"/>
  <c r="AT140" i="22"/>
  <c r="AT141" i="22"/>
  <c r="AT142" i="22"/>
  <c r="AS114" i="22"/>
  <c r="AS115" i="22"/>
  <c r="AS116" i="22"/>
  <c r="AS117" i="22"/>
  <c r="AT42" i="22"/>
  <c r="AT46" i="8"/>
  <c r="AS124" i="8"/>
  <c r="AS125" i="8"/>
  <c r="AS126" i="8"/>
  <c r="AS127" i="8"/>
  <c r="AT134" i="8"/>
  <c r="AT135" i="8"/>
  <c r="AT136" i="8"/>
  <c r="AT137" i="8"/>
  <c r="AU50" i="8"/>
  <c r="BG162" i="8"/>
  <c r="BL197" i="7"/>
  <c r="BP187" i="9"/>
  <c r="BR132" i="11"/>
  <c r="BM197" i="22"/>
  <c r="AV192" i="8"/>
  <c r="BL187" i="7"/>
  <c r="BH192" i="11"/>
  <c r="AQ202" i="9"/>
  <c r="BK162" i="22"/>
  <c r="BK212" i="11"/>
  <c r="BK177" i="8"/>
  <c r="BN212" i="22"/>
  <c r="BI202" i="8"/>
  <c r="BR78" i="10"/>
  <c r="BQ204" i="10"/>
  <c r="BO194" i="22"/>
  <c r="BP74" i="22"/>
  <c r="BN66" i="8"/>
  <c r="BM174" i="8"/>
  <c r="BT209" i="9"/>
  <c r="BU80" i="9"/>
  <c r="BO68" i="22"/>
  <c r="BN179" i="22"/>
  <c r="BR169" i="22"/>
  <c r="BS64" i="22"/>
  <c r="BX191" i="10"/>
  <c r="BX190" i="10"/>
  <c r="BQ68" i="9"/>
  <c r="BP179" i="9"/>
  <c r="BW141" i="11"/>
  <c r="BW140" i="11"/>
  <c r="BK175" i="11"/>
  <c r="BK176" i="11"/>
  <c r="BJ201" i="8"/>
  <c r="BJ200" i="8"/>
  <c r="BN46" i="2"/>
  <c r="BO167" i="2"/>
  <c r="AM46" i="2"/>
  <c r="AN167" i="2"/>
  <c r="AT32" i="22"/>
  <c r="AS89" i="22"/>
  <c r="AS90" i="22"/>
  <c r="AS91" i="22"/>
  <c r="AS92" i="22"/>
  <c r="AT72" i="9"/>
  <c r="AS189" i="9"/>
  <c r="BR149" i="10"/>
  <c r="BS56" i="10"/>
  <c r="BJ60" i="8"/>
  <c r="BI159" i="8"/>
  <c r="AR200" i="9"/>
  <c r="AR201" i="9"/>
  <c r="BL161" i="22"/>
  <c r="BL160" i="22"/>
  <c r="BX31" i="22"/>
  <c r="BY215" i="22"/>
  <c r="BO74" i="7"/>
  <c r="BN194" i="7"/>
  <c r="BN195" i="22"/>
  <c r="BN196" i="22"/>
  <c r="BZ215" i="22"/>
  <c r="BS210" i="9"/>
  <c r="BS211" i="9"/>
  <c r="BM180" i="22"/>
  <c r="BM181" i="22"/>
  <c r="BN195" i="8"/>
  <c r="BN196" i="8"/>
  <c r="BO180" i="9"/>
  <c r="BO181" i="9"/>
  <c r="BX139" i="11"/>
  <c r="BY52" i="11"/>
  <c r="BN196" i="10"/>
  <c r="BN195" i="10"/>
  <c r="BP211" i="7"/>
  <c r="BP210" i="7"/>
  <c r="BU48" i="11"/>
  <c r="BT129" i="11"/>
  <c r="C46" i="2"/>
  <c r="D167" i="2"/>
  <c r="AV46" i="2"/>
  <c r="AW167" i="2"/>
  <c r="BO70" i="7"/>
  <c r="BN184" i="7"/>
  <c r="BV142" i="11"/>
  <c r="BJ177" i="11"/>
  <c r="BU65" i="7"/>
  <c r="BV232" i="7"/>
  <c r="AM65" i="8"/>
  <c r="AN232" i="8"/>
  <c r="A169" i="2"/>
  <c r="BW169" i="2"/>
  <c r="A49" i="2"/>
  <c r="BJ180" i="8"/>
  <c r="BJ181" i="8"/>
  <c r="AS199" i="9"/>
  <c r="AT76" i="9"/>
  <c r="BN60" i="22"/>
  <c r="BM159" i="22"/>
  <c r="BT181" i="7"/>
  <c r="BT180" i="7"/>
  <c r="BI190" i="11"/>
  <c r="BI191" i="11"/>
  <c r="AW190" i="8"/>
  <c r="AW191" i="8"/>
  <c r="BP74" i="8"/>
  <c r="BO194" i="8"/>
  <c r="BR212" i="9"/>
  <c r="BQ186" i="9"/>
  <c r="BQ185" i="9"/>
  <c r="AQ192" i="9"/>
  <c r="BO194" i="10"/>
  <c r="BP74" i="10"/>
  <c r="BP172" i="22"/>
  <c r="BR80" i="7"/>
  <c r="BQ209" i="7"/>
  <c r="BS131" i="11"/>
  <c r="BS130" i="11"/>
  <c r="U46" i="2"/>
  <c r="V167" i="2"/>
  <c r="L46" i="2"/>
  <c r="M167" i="2"/>
  <c r="BI182" i="8"/>
  <c r="BW192" i="10"/>
  <c r="BM197" i="8"/>
  <c r="BM186" i="7"/>
  <c r="BM185" i="7"/>
  <c r="BO212" i="7"/>
  <c r="AD168" i="2"/>
  <c r="U168" i="2"/>
  <c r="AV168" i="2"/>
  <c r="L168" i="2"/>
  <c r="C168" i="2"/>
  <c r="AM168" i="2"/>
  <c r="BN168" i="2"/>
  <c r="BE168" i="2"/>
  <c r="BL68" i="8"/>
  <c r="BK179" i="8"/>
  <c r="AZ69" i="11"/>
  <c r="BA234" i="11"/>
  <c r="AY63" i="11"/>
  <c r="AZ231" i="11"/>
  <c r="BL211" i="11"/>
  <c r="BL210" i="11"/>
  <c r="BV68" i="7"/>
  <c r="BU179" i="7"/>
  <c r="BP209" i="22"/>
  <c r="BQ80" i="22"/>
  <c r="BP205" i="10"/>
  <c r="BP206" i="10"/>
  <c r="BK72" i="11"/>
  <c r="BJ189" i="11"/>
  <c r="BN182" i="9"/>
  <c r="AY72" i="8"/>
  <c r="AX189" i="8"/>
  <c r="BL175" i="8"/>
  <c r="BL176" i="8"/>
  <c r="BS182" i="7"/>
  <c r="AU65" i="11"/>
  <c r="AV232" i="11"/>
  <c r="BO207" i="10"/>
  <c r="BM197" i="10"/>
  <c r="BQ170" i="22"/>
  <c r="BQ171" i="22"/>
  <c r="BZ72" i="10"/>
  <c r="BY189" i="10"/>
  <c r="BM66" i="11"/>
  <c r="BL174" i="11"/>
  <c r="BS70" i="9"/>
  <c r="BR184" i="9"/>
  <c r="BK199" i="8"/>
  <c r="BL76" i="8"/>
  <c r="BE46" i="2"/>
  <c r="CF46" i="2"/>
  <c r="BF167" i="2"/>
  <c r="AD46" i="2"/>
  <c r="AE167" i="2"/>
  <c r="CA87" i="22"/>
  <c r="CA215" i="22"/>
  <c r="AR190" i="9"/>
  <c r="AR191" i="9"/>
  <c r="BQ151" i="10"/>
  <c r="BQ150" i="10"/>
  <c r="BH161" i="8"/>
  <c r="BH160" i="8"/>
  <c r="AK73" i="7"/>
  <c r="AL236" i="7"/>
  <c r="CB85" i="22"/>
  <c r="CB86" i="22"/>
  <c r="BN80" i="11"/>
  <c r="BM209" i="11"/>
  <c r="BM196" i="7"/>
  <c r="BM195" i="7"/>
  <c r="BO210" i="22"/>
  <c r="BO211" i="22"/>
  <c r="U37" i="30"/>
  <c r="S25" i="30"/>
  <c r="B7" i="26"/>
  <c r="R24" i="30"/>
  <c r="AT44" i="8"/>
  <c r="AS119" i="8"/>
  <c r="AS120" i="8"/>
  <c r="AS121" i="8"/>
  <c r="AS122" i="8"/>
  <c r="AS114" i="8"/>
  <c r="AS115" i="8"/>
  <c r="AS116" i="8"/>
  <c r="AS117" i="8"/>
  <c r="AT42" i="8"/>
  <c r="AY34" i="8"/>
  <c r="AX94" i="8"/>
  <c r="AX95" i="8"/>
  <c r="AX96" i="8"/>
  <c r="AX97" i="8"/>
  <c r="AT32" i="11"/>
  <c r="AS89" i="11"/>
  <c r="AS90" i="11"/>
  <c r="AS91" i="11"/>
  <c r="AS92" i="11"/>
  <c r="AZ165" i="7"/>
  <c r="AZ166" i="7"/>
  <c r="BA164" i="7"/>
  <c r="BB62" i="7"/>
  <c r="AS139" i="9"/>
  <c r="AS140" i="9"/>
  <c r="AS141" i="9"/>
  <c r="AS142" i="9"/>
  <c r="AT52" i="9"/>
  <c r="AT84" i="9"/>
  <c r="AT85" i="9"/>
  <c r="AT86" i="9"/>
  <c r="AT87" i="9"/>
  <c r="AU30" i="9"/>
  <c r="AV30" i="1"/>
  <c r="AU86" i="1"/>
  <c r="AU87" i="1"/>
  <c r="AU88" i="1"/>
  <c r="AU89" i="1"/>
  <c r="AT58" i="1"/>
  <c r="AS156" i="1"/>
  <c r="AS157" i="1"/>
  <c r="AS158" i="1"/>
  <c r="AS159" i="1"/>
  <c r="AS181" i="1"/>
  <c r="AS182" i="1"/>
  <c r="AS183" i="1"/>
  <c r="AS184" i="1"/>
  <c r="AT68" i="1"/>
  <c r="AT64" i="1"/>
  <c r="AS171" i="1"/>
  <c r="AS141" i="1"/>
  <c r="AS142" i="1"/>
  <c r="AS143" i="1"/>
  <c r="AS144" i="1"/>
  <c r="AT52" i="1"/>
  <c r="AT48" i="1"/>
  <c r="AS131" i="1"/>
  <c r="AS132" i="1"/>
  <c r="AS133" i="1"/>
  <c r="AS134" i="1"/>
  <c r="AT34" i="1"/>
  <c r="AS96" i="1"/>
  <c r="AS97" i="1"/>
  <c r="AS98" i="1"/>
  <c r="AS99" i="1"/>
  <c r="AV32" i="1"/>
  <c r="AU91" i="1"/>
  <c r="AU92" i="1"/>
  <c r="AU93" i="1"/>
  <c r="AU94" i="1"/>
  <c r="AT50" i="1"/>
  <c r="AS136" i="1"/>
  <c r="K43" i="33"/>
  <c r="W43" i="33"/>
  <c r="V43" i="33"/>
  <c r="AU44" i="22"/>
  <c r="AT119" i="22"/>
  <c r="AT120" i="22"/>
  <c r="AT121" i="22"/>
  <c r="AT122" i="22"/>
  <c r="AR122" i="22"/>
  <c r="AT40" i="6"/>
  <c r="AS123" i="6"/>
  <c r="AS124" i="6"/>
  <c r="AS125" i="6"/>
  <c r="AS126" i="6"/>
  <c r="AS103" i="6"/>
  <c r="AT32" i="6"/>
  <c r="AS83" i="6"/>
  <c r="AS84" i="6"/>
  <c r="AS85" i="6"/>
  <c r="AS86" i="6"/>
  <c r="AT24" i="6"/>
  <c r="AU42" i="6"/>
  <c r="AT128" i="6"/>
  <c r="AT129" i="6"/>
  <c r="AT130" i="6"/>
  <c r="AT131" i="6"/>
  <c r="AT26" i="6"/>
  <c r="AS88" i="6"/>
  <c r="AS89" i="6"/>
  <c r="AS90" i="6"/>
  <c r="AS91" i="6"/>
  <c r="AT44" i="6"/>
  <c r="AS133" i="6"/>
  <c r="AS134" i="6"/>
  <c r="AS135" i="6"/>
  <c r="AS136" i="6"/>
  <c r="AS113" i="6"/>
  <c r="AS114" i="6"/>
  <c r="AS115" i="6"/>
  <c r="AS116" i="6"/>
  <c r="AT36" i="6"/>
  <c r="AT34" i="6"/>
  <c r="AS108" i="6"/>
  <c r="AS109" i="6"/>
  <c r="AS110" i="6"/>
  <c r="AS111" i="6"/>
  <c r="AT98" i="6"/>
  <c r="AT99" i="6"/>
  <c r="AT100" i="6"/>
  <c r="AT101" i="6"/>
  <c r="AU30" i="6"/>
  <c r="AT28" i="6"/>
  <c r="AS93" i="6"/>
  <c r="AS94" i="6"/>
  <c r="AS95" i="6"/>
  <c r="AS96" i="6"/>
  <c r="AT22" i="6"/>
  <c r="AS78" i="6"/>
  <c r="AS79" i="6"/>
  <c r="AS80" i="6"/>
  <c r="AS81" i="6"/>
  <c r="AT217" i="1"/>
  <c r="AT218" i="1"/>
  <c r="AS219" i="1"/>
  <c r="AS116" i="1"/>
  <c r="AS117" i="1"/>
  <c r="AS118" i="1"/>
  <c r="AS119" i="1"/>
  <c r="AT42" i="1"/>
  <c r="AV82" i="1"/>
  <c r="AU216" i="1"/>
  <c r="AW80" i="1"/>
  <c r="AV211" i="1"/>
  <c r="AQ166" i="6"/>
  <c r="AR102" i="22"/>
  <c r="AT99" i="8"/>
  <c r="AT100" i="8"/>
  <c r="AT101" i="8"/>
  <c r="AT102" i="8"/>
  <c r="AU36" i="8"/>
  <c r="AW104" i="8"/>
  <c r="AW105" i="8"/>
  <c r="AW106" i="8"/>
  <c r="AW107" i="8"/>
  <c r="AX38" i="8"/>
  <c r="AS120" i="11"/>
  <c r="AS121" i="11"/>
  <c r="AS122" i="11"/>
  <c r="AU44" i="11"/>
  <c r="AT119" i="11"/>
  <c r="AB43" i="32"/>
  <c r="Y43" i="32"/>
  <c r="AA43" i="32"/>
  <c r="X43" i="32"/>
  <c r="AJ43" i="32"/>
  <c r="AO43" i="32"/>
  <c r="AQ43" i="32"/>
  <c r="AG43" i="32"/>
  <c r="AL43" i="32"/>
  <c r="AK43" i="32"/>
  <c r="AD43" i="32"/>
  <c r="AI43" i="32"/>
  <c r="AF43" i="32"/>
  <c r="AM43" i="32"/>
  <c r="AN43" i="32"/>
  <c r="AH43" i="32"/>
  <c r="AC43" i="32"/>
  <c r="AP43" i="32"/>
  <c r="Z43" i="32"/>
  <c r="AE43" i="32"/>
  <c r="T43" i="32"/>
  <c r="AS94" i="22"/>
  <c r="AS95" i="22"/>
  <c r="AS96" i="22"/>
  <c r="AS97" i="22"/>
  <c r="AT34" i="22"/>
  <c r="AT48" i="22"/>
  <c r="AS129" i="22"/>
  <c r="AS130" i="22"/>
  <c r="AS131" i="22"/>
  <c r="AS132" i="22"/>
  <c r="AT104" i="22"/>
  <c r="AT105" i="22"/>
  <c r="AT106" i="22"/>
  <c r="AT107" i="22"/>
  <c r="AU38" i="22"/>
  <c r="AU36" i="7"/>
  <c r="AT99" i="7"/>
  <c r="AT100" i="7"/>
  <c r="AT101" i="7"/>
  <c r="AT102" i="7"/>
  <c r="AT34" i="7"/>
  <c r="AS94" i="7"/>
  <c r="AS95" i="7"/>
  <c r="AS96" i="7"/>
  <c r="AS97" i="7"/>
  <c r="AT104" i="7"/>
  <c r="AT105" i="7"/>
  <c r="AT106" i="7"/>
  <c r="AT107" i="7"/>
  <c r="AU38" i="7"/>
  <c r="AT84" i="7"/>
  <c r="AT85" i="7"/>
  <c r="AT86" i="7"/>
  <c r="AT87" i="7"/>
  <c r="AU30" i="7"/>
  <c r="AV109" i="7"/>
  <c r="AV110" i="7"/>
  <c r="AV111" i="7"/>
  <c r="AV112" i="7"/>
  <c r="AW40" i="7"/>
  <c r="AS114" i="7"/>
  <c r="AS115" i="7"/>
  <c r="AS116" i="7"/>
  <c r="AS117" i="7"/>
  <c r="AT42" i="7"/>
  <c r="AR115" i="7"/>
  <c r="AR116" i="7"/>
  <c r="AR117" i="7"/>
  <c r="AW38" i="6"/>
  <c r="AV118" i="6"/>
  <c r="AS124" i="9"/>
  <c r="AS125" i="9"/>
  <c r="AS126" i="9"/>
  <c r="AS127" i="9"/>
  <c r="AT46" i="9"/>
  <c r="AR114" i="9"/>
  <c r="AR115" i="9"/>
  <c r="AR116" i="9"/>
  <c r="AR117" i="9"/>
  <c r="AS42" i="9"/>
  <c r="AT34" i="9"/>
  <c r="AS94" i="9"/>
  <c r="AS95" i="9"/>
  <c r="AS96" i="9"/>
  <c r="AS97" i="9"/>
  <c r="AW38" i="9"/>
  <c r="AV104" i="9"/>
  <c r="AV105" i="9"/>
  <c r="AV106" i="9"/>
  <c r="AV107" i="9"/>
  <c r="AW144" i="9"/>
  <c r="AW145" i="9"/>
  <c r="AW146" i="9"/>
  <c r="AW147" i="9"/>
  <c r="AX54" i="9"/>
  <c r="AU50" i="9"/>
  <c r="AT134" i="9"/>
  <c r="AT135" i="9"/>
  <c r="AT136" i="9"/>
  <c r="AT137" i="9"/>
  <c r="AT48" i="9"/>
  <c r="AS129" i="9"/>
  <c r="AS130" i="9"/>
  <c r="AS131" i="9"/>
  <c r="AS132" i="9"/>
  <c r="AT56" i="9"/>
  <c r="AS149" i="9"/>
  <c r="AS150" i="9"/>
  <c r="AS151" i="9"/>
  <c r="AS152" i="9"/>
  <c r="AR130" i="9"/>
  <c r="AR131" i="9"/>
  <c r="AR132" i="9"/>
  <c r="AT44" i="9"/>
  <c r="AS119" i="9"/>
  <c r="AU89" i="9"/>
  <c r="AU90" i="9"/>
  <c r="AU91" i="9"/>
  <c r="AU92" i="9"/>
  <c r="AV32" i="9"/>
  <c r="AT78" i="1"/>
  <c r="AS206" i="1"/>
  <c r="AT74" i="1"/>
  <c r="AS196" i="1"/>
  <c r="AS197" i="1"/>
  <c r="AS198" i="1"/>
  <c r="AS199" i="1"/>
  <c r="AU72" i="1"/>
  <c r="AT191" i="1"/>
  <c r="AT192" i="1"/>
  <c r="AT193" i="1"/>
  <c r="AT194" i="1"/>
  <c r="AV66" i="1"/>
  <c r="AU176" i="1"/>
  <c r="AU177" i="1"/>
  <c r="AU178" i="1"/>
  <c r="AU179" i="1"/>
  <c r="AY151" i="1"/>
  <c r="AY152" i="1"/>
  <c r="AY153" i="1"/>
  <c r="AY154" i="1"/>
  <c r="AZ56" i="1"/>
  <c r="AT70" i="1"/>
  <c r="AS186" i="1"/>
  <c r="AS187" i="1"/>
  <c r="AS188" i="1"/>
  <c r="AS189" i="1"/>
  <c r="AR207" i="1"/>
  <c r="AR208" i="1"/>
  <c r="AR209" i="1"/>
  <c r="AU60" i="1"/>
  <c r="AT161" i="1"/>
  <c r="AT162" i="1"/>
  <c r="AT163" i="1"/>
  <c r="AT164" i="1"/>
  <c r="AR197" i="1"/>
  <c r="AR198" i="1"/>
  <c r="AR199" i="1"/>
  <c r="AV76" i="1"/>
  <c r="AU201" i="1"/>
  <c r="AU202" i="1"/>
  <c r="AU203" i="1"/>
  <c r="AU204" i="1"/>
  <c r="AX115" i="11"/>
  <c r="AX116" i="11"/>
  <c r="AX117" i="11"/>
  <c r="AZ42" i="11"/>
  <c r="AY114" i="11"/>
  <c r="U41" i="34"/>
  <c r="L42" i="35"/>
  <c r="N42" i="35"/>
  <c r="O42" i="35"/>
  <c r="P42" i="35"/>
  <c r="Q42" i="35"/>
  <c r="T42" i="35"/>
  <c r="AI42" i="35"/>
  <c r="AF42" i="35"/>
  <c r="AC42" i="35"/>
  <c r="Z42" i="35"/>
  <c r="AP42" i="35"/>
  <c r="AM42" i="35"/>
  <c r="AJ42" i="35"/>
  <c r="AG42" i="35"/>
  <c r="AD42" i="35"/>
  <c r="AA42" i="35"/>
  <c r="X42" i="35"/>
  <c r="AN42" i="35"/>
  <c r="AK42" i="35"/>
  <c r="AH42" i="35"/>
  <c r="AE42" i="35"/>
  <c r="AB42" i="35"/>
  <c r="Y42" i="35"/>
  <c r="AO42" i="35"/>
  <c r="AL42" i="35"/>
  <c r="AS105" i="11"/>
  <c r="AS106" i="11"/>
  <c r="AT100" i="11"/>
  <c r="AT101" i="11"/>
  <c r="AT102" i="11"/>
  <c r="AU99" i="11"/>
  <c r="AV36" i="11"/>
  <c r="AU38" i="11"/>
  <c r="AT104" i="11"/>
  <c r="AW84" i="11"/>
  <c r="AX30" i="11"/>
  <c r="AV85" i="11"/>
  <c r="AV86" i="11"/>
  <c r="AR107" i="11"/>
  <c r="AS135" i="10"/>
  <c r="AS136" i="10"/>
  <c r="AS137" i="10"/>
  <c r="AT134" i="10"/>
  <c r="AU50" i="10"/>
  <c r="AS100" i="10"/>
  <c r="AS101" i="10"/>
  <c r="AS102" i="10"/>
  <c r="AT99" i="10"/>
  <c r="AU36" i="10"/>
  <c r="AS154" i="22"/>
  <c r="AT58" i="22"/>
  <c r="AR155" i="22"/>
  <c r="AR156" i="22"/>
  <c r="AR157" i="22"/>
  <c r="AS110" i="22"/>
  <c r="AS111" i="22"/>
  <c r="AS112" i="22"/>
  <c r="AU54" i="22"/>
  <c r="AT144" i="22"/>
  <c r="AU36" i="22"/>
  <c r="AT99" i="22"/>
  <c r="AT109" i="22"/>
  <c r="AU40" i="22"/>
  <c r="AS145" i="22"/>
  <c r="AS146" i="22"/>
  <c r="AS147" i="22"/>
  <c r="AS100" i="22"/>
  <c r="AS101" i="22"/>
  <c r="AS102" i="22"/>
  <c r="AW56" i="8"/>
  <c r="AV149" i="8"/>
  <c r="AU150" i="8"/>
  <c r="AU151" i="8"/>
  <c r="AU152" i="8"/>
  <c r="AU54" i="8"/>
  <c r="AT144" i="8"/>
  <c r="AS145" i="8"/>
  <c r="AS146" i="8"/>
  <c r="AS109" i="8"/>
  <c r="AT40" i="8"/>
  <c r="AS30" i="8"/>
  <c r="AR84" i="8"/>
  <c r="AR110" i="8"/>
  <c r="AR111" i="8"/>
  <c r="AR112" i="8"/>
  <c r="AQ85" i="8"/>
  <c r="AQ86" i="8"/>
  <c r="AR140" i="8"/>
  <c r="AR141" i="8"/>
  <c r="AR142" i="8"/>
  <c r="AR130" i="8"/>
  <c r="AR131" i="8"/>
  <c r="AR132" i="8"/>
  <c r="AR90" i="8"/>
  <c r="AR91" i="8"/>
  <c r="AR92" i="8"/>
  <c r="AS139" i="8"/>
  <c r="AT52" i="8"/>
  <c r="AS129" i="8"/>
  <c r="AT48" i="8"/>
  <c r="AS89" i="8"/>
  <c r="AT32" i="8"/>
  <c r="AR145" i="7"/>
  <c r="AR146" i="7"/>
  <c r="AS144" i="7"/>
  <c r="AT54" i="7"/>
  <c r="AR140" i="7"/>
  <c r="AR141" i="7"/>
  <c r="AR142" i="7"/>
  <c r="AS139" i="7"/>
  <c r="AT52" i="7"/>
  <c r="AR135" i="7"/>
  <c r="AR136" i="7"/>
  <c r="AR137" i="7"/>
  <c r="AS134" i="7"/>
  <c r="AT50" i="7"/>
  <c r="BA32" i="7"/>
  <c r="AZ89" i="7"/>
  <c r="AY90" i="7"/>
  <c r="AY91" i="7"/>
  <c r="AY92" i="7"/>
  <c r="AT125" i="7"/>
  <c r="AT126" i="7"/>
  <c r="AT127" i="7"/>
  <c r="AW44" i="7"/>
  <c r="AV119" i="7"/>
  <c r="AU124" i="7"/>
  <c r="AV46" i="7"/>
  <c r="AU120" i="7"/>
  <c r="AU121" i="7"/>
  <c r="AU122" i="7"/>
  <c r="AR164" i="6"/>
  <c r="AR165" i="6"/>
  <c r="AR166" i="6"/>
  <c r="AT56" i="6"/>
  <c r="AS163" i="6"/>
  <c r="AS158" i="6"/>
  <c r="AT54" i="6"/>
  <c r="AR159" i="6"/>
  <c r="AR160" i="6"/>
  <c r="AR161" i="6"/>
  <c r="AR154" i="6"/>
  <c r="AR155" i="6"/>
  <c r="AR156" i="6"/>
  <c r="AT52" i="6"/>
  <c r="AS153" i="6"/>
  <c r="AR149" i="6"/>
  <c r="AR150" i="6"/>
  <c r="AR151" i="6"/>
  <c r="AS148" i="6"/>
  <c r="AT50" i="6"/>
  <c r="AR144" i="6"/>
  <c r="AR145" i="6"/>
  <c r="AR146" i="6"/>
  <c r="AS143" i="6"/>
  <c r="AT48" i="6"/>
  <c r="AS160" i="9"/>
  <c r="AS161" i="9"/>
  <c r="AS162" i="9"/>
  <c r="AT159" i="9"/>
  <c r="AU60" i="9"/>
  <c r="AS154" i="9"/>
  <c r="AT58" i="9"/>
  <c r="AR155" i="9"/>
  <c r="AR156" i="9"/>
  <c r="AR157" i="9"/>
  <c r="AU36" i="9"/>
  <c r="AT99" i="9"/>
  <c r="AS110" i="9"/>
  <c r="AS111" i="9"/>
  <c r="AS112" i="9"/>
  <c r="AS100" i="9"/>
  <c r="AS101" i="9"/>
  <c r="AS102" i="9"/>
  <c r="AT109" i="9"/>
  <c r="AU40" i="9"/>
  <c r="AT62" i="1"/>
  <c r="AS166" i="1"/>
  <c r="AR167" i="1"/>
  <c r="AR168" i="1"/>
  <c r="AR169" i="1"/>
  <c r="AS126" i="1"/>
  <c r="AT46" i="1"/>
  <c r="AS146" i="1"/>
  <c r="AT54" i="1"/>
  <c r="AR147" i="1"/>
  <c r="AR148" i="1"/>
  <c r="AR149" i="1"/>
  <c r="AR127" i="1"/>
  <c r="AR128" i="1"/>
  <c r="AR129" i="1"/>
  <c r="AV44" i="1"/>
  <c r="AU121" i="1"/>
  <c r="AT122" i="1"/>
  <c r="AT123" i="1"/>
  <c r="AT124" i="1"/>
  <c r="AR107" i="1"/>
  <c r="AR108" i="1"/>
  <c r="AR109" i="1"/>
  <c r="AU101" i="1"/>
  <c r="AV36" i="1"/>
  <c r="AT112" i="1"/>
  <c r="AT113" i="1"/>
  <c r="AT114" i="1"/>
  <c r="AT38" i="1"/>
  <c r="AS106" i="1"/>
  <c r="AT102" i="1"/>
  <c r="AT103" i="1"/>
  <c r="AT104" i="1"/>
  <c r="AU111" i="1"/>
  <c r="AV40" i="1"/>
  <c r="U44" i="37"/>
  <c r="W44" i="37"/>
  <c r="V44" i="37"/>
  <c r="AP44" i="37"/>
  <c r="AT129" i="7"/>
  <c r="AT130" i="7"/>
  <c r="AT131" i="7"/>
  <c r="AT132" i="7"/>
  <c r="AU48" i="7"/>
  <c r="Q42" i="36"/>
  <c r="P43" i="36"/>
  <c r="R41" i="36"/>
  <c r="R40" i="36"/>
  <c r="X42" i="36"/>
  <c r="Y42" i="36"/>
  <c r="Z42" i="36"/>
  <c r="AA42" i="36"/>
  <c r="AB42" i="36"/>
  <c r="AC42" i="36"/>
  <c r="AD42" i="36"/>
  <c r="AE42" i="36"/>
  <c r="AF42" i="36"/>
  <c r="AG42" i="36"/>
  <c r="AH42" i="36"/>
  <c r="AI42" i="36"/>
  <c r="AJ42" i="36"/>
  <c r="AK42" i="36"/>
  <c r="AL42" i="36"/>
  <c r="AM42" i="36"/>
  <c r="AN42" i="36"/>
  <c r="AO42" i="36"/>
  <c r="AP42" i="36"/>
  <c r="AG37" i="41"/>
  <c r="AD37" i="41"/>
  <c r="BW48" i="2"/>
  <c r="BX169" i="2"/>
  <c r="AK59" i="11"/>
  <c r="AL229" i="11"/>
  <c r="CB74" i="9"/>
  <c r="CA194" i="9"/>
  <c r="BZ196" i="9"/>
  <c r="BZ195" i="9"/>
  <c r="BY197" i="9"/>
  <c r="Y37" i="41"/>
  <c r="AH37" i="41"/>
  <c r="AF37" i="41"/>
  <c r="AB37" i="41"/>
  <c r="X37" i="41"/>
  <c r="AJ37" i="41"/>
  <c r="AA37" i="41"/>
  <c r="Z37" i="41"/>
  <c r="AK37" i="41"/>
  <c r="AC37" i="41"/>
  <c r="Q38" i="41"/>
  <c r="P39" i="41"/>
  <c r="Q22" i="26"/>
  <c r="R38" i="33"/>
  <c r="S39" i="33"/>
  <c r="BA172" i="9"/>
  <c r="AR207" i="8"/>
  <c r="BM182" i="22"/>
  <c r="AR187" i="8"/>
  <c r="AS202" i="7"/>
  <c r="BL147" i="10"/>
  <c r="AR202" i="11"/>
  <c r="AR162" i="10"/>
  <c r="BA207" i="9"/>
  <c r="BE157" i="8"/>
  <c r="AV127" i="11"/>
  <c r="AS152" i="11"/>
  <c r="BR212" i="10"/>
  <c r="BB192" i="22"/>
  <c r="BG187" i="10"/>
  <c r="BN197" i="8"/>
  <c r="BS212" i="9"/>
  <c r="BS172" i="10"/>
  <c r="AR137" i="11"/>
  <c r="AY187" i="22"/>
  <c r="AY207" i="7"/>
  <c r="BC177" i="10"/>
  <c r="BD167" i="10"/>
  <c r="BP255" i="40"/>
  <c r="BP256" i="40"/>
  <c r="BP257" i="40"/>
  <c r="BJ264" i="40"/>
  <c r="BK100" i="40"/>
  <c r="BJ244" i="40"/>
  <c r="BK92" i="40"/>
  <c r="BJ269" i="40"/>
  <c r="BK102" i="40"/>
  <c r="BJ249" i="40"/>
  <c r="BK94" i="40"/>
  <c r="BI265" i="40"/>
  <c r="BI266" i="40"/>
  <c r="BI267" i="40"/>
  <c r="BJ284" i="40"/>
  <c r="BK108" i="40"/>
  <c r="BJ289" i="40"/>
  <c r="BK110" i="40"/>
  <c r="BO280" i="40"/>
  <c r="BO281" i="40"/>
  <c r="BO282" i="40"/>
  <c r="BI290" i="40"/>
  <c r="BI291" i="40"/>
  <c r="BI292" i="40"/>
  <c r="BQ96" i="40"/>
  <c r="BQ254" i="40"/>
  <c r="BQ255" i="40"/>
  <c r="BQ256" i="40"/>
  <c r="BQ257" i="40"/>
  <c r="BQ104" i="40"/>
  <c r="BQ274" i="40"/>
  <c r="BQ275" i="40"/>
  <c r="BQ276" i="40"/>
  <c r="BQ277" i="40"/>
  <c r="BR98" i="40"/>
  <c r="BR259" i="40"/>
  <c r="BP106" i="40"/>
  <c r="BP279" i="40"/>
  <c r="BM90" i="40"/>
  <c r="BI220" i="40"/>
  <c r="BI221" i="40"/>
  <c r="BK48" i="40"/>
  <c r="BJ134" i="40"/>
  <c r="BL50" i="40"/>
  <c r="BK139" i="40"/>
  <c r="BK44" i="40"/>
  <c r="BJ124" i="40"/>
  <c r="BL76" i="40"/>
  <c r="BK204" i="40"/>
  <c r="BI200" i="40"/>
  <c r="BI201" i="40"/>
  <c r="BI202" i="40"/>
  <c r="BI155" i="40"/>
  <c r="BI156" i="40"/>
  <c r="BI157" i="40"/>
  <c r="BK46" i="40"/>
  <c r="BJ129" i="40"/>
  <c r="BK70" i="40"/>
  <c r="BJ189" i="40"/>
  <c r="BK175" i="40"/>
  <c r="BK176" i="40"/>
  <c r="BM68" i="40"/>
  <c r="BL184" i="40"/>
  <c r="BI170" i="40"/>
  <c r="BI171" i="40"/>
  <c r="BI172" i="40"/>
  <c r="BJ225" i="40"/>
  <c r="BJ226" i="40"/>
  <c r="BJ227" i="40"/>
  <c r="BK82" i="40"/>
  <c r="BJ219" i="40"/>
  <c r="BJ180" i="40"/>
  <c r="BJ181" i="40"/>
  <c r="BK42" i="40"/>
  <c r="BJ119" i="40"/>
  <c r="BJ215" i="40"/>
  <c r="BJ216" i="40"/>
  <c r="BJ217" i="40"/>
  <c r="BK74" i="40"/>
  <c r="BJ199" i="40"/>
  <c r="BI230" i="40"/>
  <c r="BI231" i="40"/>
  <c r="BI232" i="40"/>
  <c r="BK56" i="40"/>
  <c r="BJ154" i="40"/>
  <c r="BI160" i="40"/>
  <c r="BI161" i="40"/>
  <c r="BK54" i="40"/>
  <c r="BJ149" i="40"/>
  <c r="BL60" i="40"/>
  <c r="BK164" i="40"/>
  <c r="BH157" i="40"/>
  <c r="BL40" i="40"/>
  <c r="BK114" i="40"/>
  <c r="BJ235" i="40"/>
  <c r="BJ236" i="40"/>
  <c r="BJ237" i="40"/>
  <c r="BK195" i="40"/>
  <c r="BK196" i="40"/>
  <c r="BK197" i="40"/>
  <c r="BJ140" i="40"/>
  <c r="BJ141" i="40"/>
  <c r="BJ142" i="40"/>
  <c r="BI240" i="40"/>
  <c r="BI241" i="40"/>
  <c r="BI242" i="40"/>
  <c r="BL66" i="40"/>
  <c r="BK179" i="40"/>
  <c r="BJ187" i="40"/>
  <c r="BH172" i="40"/>
  <c r="BI210" i="40"/>
  <c r="BI211" i="40"/>
  <c r="BI212" i="40"/>
  <c r="BJ205" i="40"/>
  <c r="BJ206" i="40"/>
  <c r="BJ207" i="40"/>
  <c r="BK86" i="40"/>
  <c r="BJ229" i="40"/>
  <c r="BI227" i="40"/>
  <c r="BI237" i="40"/>
  <c r="BI130" i="40"/>
  <c r="BI131" i="40"/>
  <c r="BI132" i="40"/>
  <c r="BI145" i="40"/>
  <c r="BI146" i="40"/>
  <c r="BI147" i="40"/>
  <c r="BJ197" i="40"/>
  <c r="BM64" i="40"/>
  <c r="BL174" i="40"/>
  <c r="BH242" i="40"/>
  <c r="BK62" i="40"/>
  <c r="BJ169" i="40"/>
  <c r="BI167" i="40"/>
  <c r="BL84" i="40"/>
  <c r="BK224" i="40"/>
  <c r="BM72" i="40"/>
  <c r="BL194" i="40"/>
  <c r="BI135" i="40"/>
  <c r="BI136" i="40"/>
  <c r="BI137" i="40"/>
  <c r="BJ239" i="40"/>
  <c r="BI120" i="40"/>
  <c r="BI121" i="40"/>
  <c r="BI122" i="40"/>
  <c r="BI125" i="40"/>
  <c r="BI126" i="40"/>
  <c r="BI127" i="40"/>
  <c r="BK78" i="40"/>
  <c r="BJ209" i="40"/>
  <c r="BL80" i="40"/>
  <c r="BK214" i="40"/>
  <c r="BI182" i="40"/>
  <c r="BK58" i="40"/>
  <c r="BJ159" i="40"/>
  <c r="BI190" i="40"/>
  <c r="BI191" i="40"/>
  <c r="BK52" i="40"/>
  <c r="BJ144" i="40"/>
  <c r="BI150" i="40"/>
  <c r="BI151" i="40"/>
  <c r="BI152" i="40"/>
  <c r="BJ165" i="40"/>
  <c r="BJ166" i="40"/>
  <c r="BJ167" i="40"/>
  <c r="BK185" i="40"/>
  <c r="BK186" i="40"/>
  <c r="BJ115" i="40"/>
  <c r="BJ116" i="40"/>
  <c r="BJ117" i="40"/>
  <c r="BL88" i="40"/>
  <c r="BK234" i="40"/>
  <c r="BS177" i="9"/>
  <c r="AR192" i="9"/>
  <c r="BM187" i="7"/>
  <c r="BK177" i="11"/>
  <c r="AR177" i="7"/>
  <c r="AZ164" i="8"/>
  <c r="BA62" i="8"/>
  <c r="AT138" i="6"/>
  <c r="AT139" i="6"/>
  <c r="AT140" i="6"/>
  <c r="AT141" i="6"/>
  <c r="AU46" i="6"/>
  <c r="AS175" i="7"/>
  <c r="AS176" i="7"/>
  <c r="AX167" i="8"/>
  <c r="BU169" i="10"/>
  <c r="BV64" i="10"/>
  <c r="BI184" i="10"/>
  <c r="BJ70" i="10"/>
  <c r="BA166" i="22"/>
  <c r="BA165" i="22"/>
  <c r="BF155" i="8"/>
  <c r="BF156" i="8"/>
  <c r="AS166" i="9"/>
  <c r="AS165" i="9"/>
  <c r="AU68" i="10"/>
  <c r="AT179" i="10"/>
  <c r="BG62" i="10"/>
  <c r="BF164" i="10"/>
  <c r="AW126" i="11"/>
  <c r="AW125" i="11"/>
  <c r="AS161" i="10"/>
  <c r="AS160" i="10"/>
  <c r="AV156" i="7"/>
  <c r="AV155" i="7"/>
  <c r="BV66" i="9"/>
  <c r="BU174" i="9"/>
  <c r="AS206" i="8"/>
  <c r="AS205" i="8"/>
  <c r="AW207" i="11"/>
  <c r="AT199" i="10"/>
  <c r="AU76" i="10"/>
  <c r="BF66" i="10"/>
  <c r="BE174" i="10"/>
  <c r="AR167" i="9"/>
  <c r="AU70" i="8"/>
  <c r="AT184" i="8"/>
  <c r="BC169" i="9"/>
  <c r="BD64" i="9"/>
  <c r="BC205" i="22"/>
  <c r="BC206" i="22"/>
  <c r="BJ194" i="11"/>
  <c r="BK74" i="11"/>
  <c r="AT200" i="7"/>
  <c r="AT201" i="7"/>
  <c r="BU156" i="10"/>
  <c r="BU155" i="10"/>
  <c r="AS200" i="11"/>
  <c r="AS201" i="11"/>
  <c r="AU66" i="7"/>
  <c r="AT174" i="7"/>
  <c r="BT171" i="10"/>
  <c r="BT170" i="10"/>
  <c r="BH186" i="10"/>
  <c r="BH185" i="10"/>
  <c r="AU157" i="7"/>
  <c r="AR202" i="10"/>
  <c r="BH58" i="8"/>
  <c r="BG154" i="8"/>
  <c r="AU62" i="9"/>
  <c r="AT164" i="9"/>
  <c r="AS180" i="10"/>
  <c r="AS181" i="10"/>
  <c r="BE166" i="10"/>
  <c r="BE165" i="10"/>
  <c r="AY46" i="11"/>
  <c r="AX124" i="11"/>
  <c r="AU60" i="10"/>
  <c r="AT159" i="10"/>
  <c r="AW154" i="7"/>
  <c r="AX58" i="7"/>
  <c r="AU78" i="8"/>
  <c r="AT204" i="8"/>
  <c r="AS200" i="10"/>
  <c r="AS201" i="10"/>
  <c r="BD175" i="10"/>
  <c r="BD176" i="10"/>
  <c r="BD204" i="22"/>
  <c r="BE78" i="22"/>
  <c r="BI196" i="11"/>
  <c r="BI195" i="11"/>
  <c r="BL212" i="11"/>
  <c r="BT182" i="7"/>
  <c r="AV76" i="7"/>
  <c r="AU199" i="7"/>
  <c r="BW58" i="10"/>
  <c r="BV154" i="10"/>
  <c r="AU76" i="11"/>
  <c r="AT199" i="11"/>
  <c r="AZ186" i="22"/>
  <c r="AZ185" i="22"/>
  <c r="AX160" i="7"/>
  <c r="AX161" i="7"/>
  <c r="AT151" i="11"/>
  <c r="AT150" i="11"/>
  <c r="AU240" i="8"/>
  <c r="AT81" i="8"/>
  <c r="AX205" i="11"/>
  <c r="AX206" i="11"/>
  <c r="BN144" i="10"/>
  <c r="BO54" i="10"/>
  <c r="BC204" i="9"/>
  <c r="BD78" i="9"/>
  <c r="AZ206" i="7"/>
  <c r="AZ205" i="7"/>
  <c r="BS211" i="10"/>
  <c r="BS210" i="10"/>
  <c r="AS200" i="22"/>
  <c r="AS201" i="22"/>
  <c r="BD189" i="22"/>
  <c r="BE72" i="22"/>
  <c r="AQ55" i="11"/>
  <c r="AR227" i="11"/>
  <c r="BP175" i="22"/>
  <c r="BP176" i="22"/>
  <c r="AS135" i="11"/>
  <c r="AS136" i="11"/>
  <c r="AY165" i="8"/>
  <c r="AY166" i="8"/>
  <c r="BA184" i="22"/>
  <c r="BB70" i="22"/>
  <c r="BB207" i="22"/>
  <c r="AY159" i="7"/>
  <c r="AZ60" i="7"/>
  <c r="AV56" i="11"/>
  <c r="AU149" i="11"/>
  <c r="BT157" i="10"/>
  <c r="AW61" i="11"/>
  <c r="AX230" i="11"/>
  <c r="AR182" i="10"/>
  <c r="AW162" i="7"/>
  <c r="BB164" i="22"/>
  <c r="BC62" i="22"/>
  <c r="AZ78" i="11"/>
  <c r="AY204" i="11"/>
  <c r="AR202" i="22"/>
  <c r="BM145" i="10"/>
  <c r="BM146" i="10"/>
  <c r="BO177" i="22"/>
  <c r="BH197" i="11"/>
  <c r="BT175" i="9"/>
  <c r="BT176" i="9"/>
  <c r="BB205" i="9"/>
  <c r="BB206" i="9"/>
  <c r="AZ167" i="22"/>
  <c r="BA204" i="7"/>
  <c r="BB78" i="7"/>
  <c r="BT209" i="10"/>
  <c r="BU80" i="10"/>
  <c r="AU76" i="22"/>
  <c r="AT199" i="22"/>
  <c r="BC190" i="22"/>
  <c r="BC191" i="22"/>
  <c r="AS185" i="8"/>
  <c r="AS186" i="8"/>
  <c r="BB170" i="9"/>
  <c r="BB171" i="9"/>
  <c r="BR66" i="22"/>
  <c r="BQ174" i="22"/>
  <c r="AT149" i="22"/>
  <c r="AT150" i="22"/>
  <c r="AT151" i="22"/>
  <c r="AT152" i="22"/>
  <c r="AU56" i="22"/>
  <c r="AU50" i="11"/>
  <c r="AT134" i="11"/>
  <c r="T45" i="31"/>
  <c r="L45" i="31"/>
  <c r="N45" i="31"/>
  <c r="O45" i="31"/>
  <c r="P45" i="31"/>
  <c r="AO45" i="31"/>
  <c r="AB45" i="31"/>
  <c r="X45" i="31"/>
  <c r="AM45" i="31"/>
  <c r="Z45" i="31"/>
  <c r="AG45" i="31"/>
  <c r="AA45" i="31"/>
  <c r="AE45" i="31"/>
  <c r="AJ45" i="31"/>
  <c r="AK45" i="31"/>
  <c r="AF45" i="31"/>
  <c r="AS45" i="31"/>
  <c r="AR45" i="31"/>
  <c r="AN45" i="31"/>
  <c r="Y45" i="31"/>
  <c r="AH45" i="31"/>
  <c r="AL45" i="31"/>
  <c r="AC45" i="31"/>
  <c r="AD45" i="31"/>
  <c r="AI45" i="31"/>
  <c r="AQ45" i="31"/>
  <c r="AP45" i="31"/>
  <c r="AW40" i="11"/>
  <c r="AV109" i="11"/>
  <c r="AV110" i="11"/>
  <c r="AV111" i="11"/>
  <c r="AV112" i="11"/>
  <c r="AU38" i="10"/>
  <c r="AT104" i="10"/>
  <c r="AT105" i="10"/>
  <c r="AT106" i="10"/>
  <c r="AT107" i="10"/>
  <c r="AT94" i="10"/>
  <c r="AT95" i="10"/>
  <c r="AT96" i="10"/>
  <c r="AT97" i="10"/>
  <c r="AU34" i="10"/>
  <c r="AT124" i="10"/>
  <c r="AT125" i="10"/>
  <c r="AT126" i="10"/>
  <c r="AT127" i="10"/>
  <c r="AU46" i="10"/>
  <c r="AT129" i="10"/>
  <c r="AT130" i="10"/>
  <c r="AT131" i="10"/>
  <c r="AT132" i="10"/>
  <c r="AU48" i="10"/>
  <c r="AT84" i="10"/>
  <c r="AT85" i="10"/>
  <c r="AT86" i="10"/>
  <c r="AT87" i="10"/>
  <c r="AU30" i="10"/>
  <c r="AU52" i="10"/>
  <c r="AT139" i="10"/>
  <c r="AT140" i="10"/>
  <c r="AT141" i="10"/>
  <c r="AT142" i="10"/>
  <c r="AT114" i="10"/>
  <c r="AT115" i="10"/>
  <c r="AT116" i="10"/>
  <c r="AT117" i="10"/>
  <c r="AU42" i="10"/>
  <c r="AT89" i="10"/>
  <c r="AT90" i="10"/>
  <c r="AT91" i="10"/>
  <c r="AT92" i="10"/>
  <c r="AU32" i="10"/>
  <c r="AV44" i="10"/>
  <c r="AU119" i="10"/>
  <c r="AU120" i="10"/>
  <c r="AU121" i="10"/>
  <c r="AU122" i="10"/>
  <c r="AU40" i="10"/>
  <c r="AT109" i="10"/>
  <c r="AT110" i="10"/>
  <c r="AT111" i="10"/>
  <c r="AT112" i="10"/>
  <c r="AU139" i="22"/>
  <c r="AU140" i="22"/>
  <c r="AU141" i="22"/>
  <c r="AU142" i="22"/>
  <c r="AV52" i="22"/>
  <c r="AU124" i="22"/>
  <c r="AU125" i="22"/>
  <c r="AU126" i="22"/>
  <c r="AU127" i="22"/>
  <c r="AV46" i="22"/>
  <c r="AU42" i="22"/>
  <c r="AT114" i="22"/>
  <c r="AT115" i="22"/>
  <c r="AT116" i="22"/>
  <c r="AT117" i="22"/>
  <c r="AU50" i="22"/>
  <c r="AT134" i="22"/>
  <c r="AT135" i="22"/>
  <c r="AT136" i="22"/>
  <c r="AT137" i="22"/>
  <c r="AV50" i="8"/>
  <c r="AU134" i="8"/>
  <c r="AU135" i="8"/>
  <c r="AU136" i="8"/>
  <c r="AU137" i="8"/>
  <c r="AT124" i="8"/>
  <c r="AT125" i="8"/>
  <c r="AT126" i="8"/>
  <c r="AT127" i="8"/>
  <c r="AU46" i="8"/>
  <c r="BQ172" i="22"/>
  <c r="BJ182" i="8"/>
  <c r="BS132" i="11"/>
  <c r="BI192" i="11"/>
  <c r="BW142" i="11"/>
  <c r="BM197" i="7"/>
  <c r="BH162" i="8"/>
  <c r="BO182" i="9"/>
  <c r="BJ202" i="8"/>
  <c r="CB87" i="22"/>
  <c r="CB215" i="22"/>
  <c r="BS184" i="9"/>
  <c r="BT70" i="9"/>
  <c r="BL175" i="11"/>
  <c r="BL176" i="11"/>
  <c r="BL72" i="11"/>
  <c r="BK189" i="11"/>
  <c r="BP207" i="10"/>
  <c r="BP211" i="22"/>
  <c r="BP210" i="22"/>
  <c r="BL179" i="8"/>
  <c r="BM68" i="8"/>
  <c r="C47" i="2"/>
  <c r="D168" i="2"/>
  <c r="AD47" i="2"/>
  <c r="AE168" i="2"/>
  <c r="AW192" i="8"/>
  <c r="BN159" i="22"/>
  <c r="BO60" i="22"/>
  <c r="AS200" i="9"/>
  <c r="AS201" i="9"/>
  <c r="AM169" i="2"/>
  <c r="U169" i="2"/>
  <c r="BN169" i="2"/>
  <c r="AV169" i="2"/>
  <c r="L169" i="2"/>
  <c r="C169" i="2"/>
  <c r="AD169" i="2"/>
  <c r="BE169" i="2"/>
  <c r="BT65" i="7"/>
  <c r="BU232" i="7"/>
  <c r="BN186" i="7"/>
  <c r="BN185" i="7"/>
  <c r="BT131" i="11"/>
  <c r="BT130" i="11"/>
  <c r="BN197" i="22"/>
  <c r="BN196" i="7"/>
  <c r="BN195" i="7"/>
  <c r="BW31" i="22"/>
  <c r="BX215" i="22"/>
  <c r="BI160" i="8"/>
  <c r="BI161" i="8"/>
  <c r="BT56" i="10"/>
  <c r="BS149" i="10"/>
  <c r="AS191" i="9"/>
  <c r="AS190" i="9"/>
  <c r="BQ179" i="9"/>
  <c r="BR68" i="9"/>
  <c r="BN180" i="22"/>
  <c r="BN181" i="22"/>
  <c r="BT211" i="9"/>
  <c r="BT210" i="9"/>
  <c r="BN66" i="11"/>
  <c r="BM174" i="11"/>
  <c r="BY190" i="10"/>
  <c r="BY191" i="10"/>
  <c r="AX191" i="8"/>
  <c r="AX190" i="8"/>
  <c r="AY69" i="11"/>
  <c r="AZ234" i="11"/>
  <c r="BE47" i="2"/>
  <c r="CF47" i="2"/>
  <c r="BF168" i="2"/>
  <c r="M168" i="2"/>
  <c r="L47" i="2"/>
  <c r="BP70" i="7"/>
  <c r="BO184" i="7"/>
  <c r="BV48" i="11"/>
  <c r="BU129" i="11"/>
  <c r="BP74" i="7"/>
  <c r="BO194" i="7"/>
  <c r="BJ159" i="8"/>
  <c r="BK60" i="8"/>
  <c r="BR150" i="10"/>
  <c r="BR151" i="10"/>
  <c r="AT189" i="9"/>
  <c r="AU72" i="9"/>
  <c r="BT64" i="22"/>
  <c r="BS169" i="22"/>
  <c r="BO179" i="22"/>
  <c r="BP68" i="22"/>
  <c r="BQ74" i="22"/>
  <c r="BP194" i="22"/>
  <c r="BM210" i="11"/>
  <c r="BM211" i="11"/>
  <c r="BQ152" i="10"/>
  <c r="BM76" i="8"/>
  <c r="BL199" i="8"/>
  <c r="BR185" i="9"/>
  <c r="BR186" i="9"/>
  <c r="AT65" i="11"/>
  <c r="AU232" i="11"/>
  <c r="AY189" i="8"/>
  <c r="AZ72" i="8"/>
  <c r="BU181" i="7"/>
  <c r="BU180" i="7"/>
  <c r="BN47" i="2"/>
  <c r="BO168" i="2"/>
  <c r="AV47" i="2"/>
  <c r="AW168" i="2"/>
  <c r="BQ210" i="7"/>
  <c r="BQ211" i="7"/>
  <c r="BP194" i="10"/>
  <c r="BQ74" i="10"/>
  <c r="BQ187" i="9"/>
  <c r="BO195" i="8"/>
  <c r="BO196" i="8"/>
  <c r="AL65" i="8"/>
  <c r="AM232" i="8"/>
  <c r="BN197" i="10"/>
  <c r="BZ52" i="11"/>
  <c r="BY139" i="11"/>
  <c r="BL162" i="22"/>
  <c r="AU32" i="22"/>
  <c r="AT89" i="22"/>
  <c r="BR170" i="22"/>
  <c r="BR171" i="22"/>
  <c r="BV80" i="9"/>
  <c r="BU209" i="9"/>
  <c r="BM176" i="8"/>
  <c r="BM175" i="8"/>
  <c r="BO195" i="22"/>
  <c r="BO196" i="22"/>
  <c r="BQ205" i="10"/>
  <c r="BQ206" i="10"/>
  <c r="BO212" i="22"/>
  <c r="BO80" i="11"/>
  <c r="BN209" i="11"/>
  <c r="AJ73" i="7"/>
  <c r="AK236" i="7"/>
  <c r="BK201" i="8"/>
  <c r="BK200" i="8"/>
  <c r="BZ189" i="10"/>
  <c r="CA72" i="10"/>
  <c r="BL177" i="8"/>
  <c r="BJ191" i="11"/>
  <c r="BJ190" i="11"/>
  <c r="BR80" i="22"/>
  <c r="BQ209" i="22"/>
  <c r="BV179" i="7"/>
  <c r="BW68" i="7"/>
  <c r="AX63" i="11"/>
  <c r="AY231" i="11"/>
  <c r="BK181" i="8"/>
  <c r="BK180" i="8"/>
  <c r="AM47" i="2"/>
  <c r="AN168" i="2"/>
  <c r="U47" i="2"/>
  <c r="V168" i="2"/>
  <c r="BR209" i="7"/>
  <c r="BS80" i="7"/>
  <c r="BO195" i="10"/>
  <c r="BO196" i="10"/>
  <c r="BQ74" i="8"/>
  <c r="BP194" i="8"/>
  <c r="BM160" i="22"/>
  <c r="BM161" i="22"/>
  <c r="AU76" i="9"/>
  <c r="AT199" i="9"/>
  <c r="A170" i="2"/>
  <c r="BW170" i="2"/>
  <c r="A50" i="2"/>
  <c r="BP212" i="7"/>
  <c r="BX141" i="11"/>
  <c r="BX140" i="11"/>
  <c r="AR202" i="9"/>
  <c r="BP181" i="9"/>
  <c r="BP180" i="9"/>
  <c r="BX192" i="10"/>
  <c r="BO66" i="8"/>
  <c r="BN174" i="8"/>
  <c r="BS78" i="10"/>
  <c r="BR204" i="10"/>
  <c r="W37" i="30"/>
  <c r="V37" i="30"/>
  <c r="K37" i="30"/>
  <c r="S24" i="30"/>
  <c r="B6" i="26"/>
  <c r="AT114" i="8"/>
  <c r="AT115" i="8"/>
  <c r="AT116" i="8"/>
  <c r="AT117" i="8"/>
  <c r="AU42" i="8"/>
  <c r="AY94" i="8"/>
  <c r="AY95" i="8"/>
  <c r="AY96" i="8"/>
  <c r="AY97" i="8"/>
  <c r="AZ34" i="8"/>
  <c r="AT119" i="8"/>
  <c r="AT120" i="8"/>
  <c r="AT121" i="8"/>
  <c r="AT122" i="8"/>
  <c r="AU44" i="8"/>
  <c r="BA166" i="7"/>
  <c r="BA165" i="7"/>
  <c r="BC62" i="7"/>
  <c r="BB164" i="7"/>
  <c r="AZ167" i="7"/>
  <c r="AU32" i="11"/>
  <c r="AT89" i="11"/>
  <c r="AT90" i="11"/>
  <c r="AT91" i="11"/>
  <c r="AT92" i="11"/>
  <c r="AV30" i="9"/>
  <c r="AU84" i="9"/>
  <c r="AU85" i="9"/>
  <c r="AU86" i="9"/>
  <c r="AU87" i="9"/>
  <c r="AT139" i="9"/>
  <c r="AT140" i="9"/>
  <c r="AT141" i="9"/>
  <c r="AT142" i="9"/>
  <c r="AU52" i="9"/>
  <c r="AT219" i="1"/>
  <c r="AV86" i="1"/>
  <c r="AV87" i="1"/>
  <c r="AV88" i="1"/>
  <c r="AV89" i="1"/>
  <c r="AW30" i="1"/>
  <c r="AW32" i="1"/>
  <c r="AV91" i="1"/>
  <c r="AV92" i="1"/>
  <c r="AV93" i="1"/>
  <c r="AV94" i="1"/>
  <c r="AU34" i="1"/>
  <c r="AT96" i="1"/>
  <c r="AT97" i="1"/>
  <c r="AT98" i="1"/>
  <c r="AT99" i="1"/>
  <c r="AT131" i="1"/>
  <c r="AT132" i="1"/>
  <c r="AT133" i="1"/>
  <c r="AT134" i="1"/>
  <c r="AU48" i="1"/>
  <c r="AU64" i="1"/>
  <c r="AT171" i="1"/>
  <c r="AT172" i="1"/>
  <c r="AT173" i="1"/>
  <c r="AT174" i="1"/>
  <c r="AT156" i="1"/>
  <c r="AT157" i="1"/>
  <c r="AT158" i="1"/>
  <c r="AT159" i="1"/>
  <c r="AU58" i="1"/>
  <c r="AT141" i="1"/>
  <c r="AT142" i="1"/>
  <c r="AT143" i="1"/>
  <c r="AT144" i="1"/>
  <c r="AU52" i="1"/>
  <c r="AS172" i="1"/>
  <c r="AS173" i="1"/>
  <c r="AS174" i="1"/>
  <c r="AU68" i="1"/>
  <c r="AT181" i="1"/>
  <c r="AT182" i="1"/>
  <c r="AT183" i="1"/>
  <c r="AT184" i="1"/>
  <c r="AS137" i="1"/>
  <c r="AS138" i="1"/>
  <c r="AT136" i="1"/>
  <c r="AT137" i="1"/>
  <c r="AT138" i="1"/>
  <c r="AT139" i="1"/>
  <c r="AU50" i="1"/>
  <c r="AB43" i="33"/>
  <c r="AI43" i="33"/>
  <c r="Y43" i="33"/>
  <c r="AN43" i="33"/>
  <c r="AF43" i="33"/>
  <c r="AP43" i="33"/>
  <c r="Z43" i="33"/>
  <c r="AL43" i="33"/>
  <c r="AJ43" i="33"/>
  <c r="AE43" i="33"/>
  <c r="AO43" i="33"/>
  <c r="AM43" i="33"/>
  <c r="AA43" i="33"/>
  <c r="X43" i="33"/>
  <c r="AD43" i="33"/>
  <c r="AG43" i="33"/>
  <c r="AH43" i="33"/>
  <c r="AK43" i="33"/>
  <c r="AC43" i="33"/>
  <c r="AQ43" i="33"/>
  <c r="L43" i="33"/>
  <c r="N43" i="33"/>
  <c r="O43" i="33"/>
  <c r="P43" i="33"/>
  <c r="Q43" i="33"/>
  <c r="T43" i="33"/>
  <c r="U44" i="32"/>
  <c r="W44" i="32"/>
  <c r="V44" i="32"/>
  <c r="AV44" i="22"/>
  <c r="AU119" i="22"/>
  <c r="AU120" i="22"/>
  <c r="AU121" i="22"/>
  <c r="AU122" i="22"/>
  <c r="AS147" i="8"/>
  <c r="AR147" i="7"/>
  <c r="AV30" i="6"/>
  <c r="AU98" i="6"/>
  <c r="AU99" i="6"/>
  <c r="AU100" i="6"/>
  <c r="AU101" i="6"/>
  <c r="AU36" i="6"/>
  <c r="AT113" i="6"/>
  <c r="AT114" i="6"/>
  <c r="AT115" i="6"/>
  <c r="AT116" i="6"/>
  <c r="AU24" i="6"/>
  <c r="AT83" i="6"/>
  <c r="AT84" i="6"/>
  <c r="AT85" i="6"/>
  <c r="AT86" i="6"/>
  <c r="AU32" i="6"/>
  <c r="AT103" i="6"/>
  <c r="AT104" i="6"/>
  <c r="AT105" i="6"/>
  <c r="AT106" i="6"/>
  <c r="AU22" i="6"/>
  <c r="AT78" i="6"/>
  <c r="AT79" i="6"/>
  <c r="AT80" i="6"/>
  <c r="AT81" i="6"/>
  <c r="AT93" i="6"/>
  <c r="AT94" i="6"/>
  <c r="AT95" i="6"/>
  <c r="AT96" i="6"/>
  <c r="AU28" i="6"/>
  <c r="AU34" i="6"/>
  <c r="AT108" i="6"/>
  <c r="AT109" i="6"/>
  <c r="AT110" i="6"/>
  <c r="AT111" i="6"/>
  <c r="AT133" i="6"/>
  <c r="AT134" i="6"/>
  <c r="AT135" i="6"/>
  <c r="AT136" i="6"/>
  <c r="AU44" i="6"/>
  <c r="AU26" i="6"/>
  <c r="AT88" i="6"/>
  <c r="AT89" i="6"/>
  <c r="AT90" i="6"/>
  <c r="AT91" i="6"/>
  <c r="AV42" i="6"/>
  <c r="AU128" i="6"/>
  <c r="AU129" i="6"/>
  <c r="AU130" i="6"/>
  <c r="AU131" i="6"/>
  <c r="AS104" i="6"/>
  <c r="AS105" i="6"/>
  <c r="AT123" i="6"/>
  <c r="AT124" i="6"/>
  <c r="AT125" i="6"/>
  <c r="AT126" i="6"/>
  <c r="AU40" i="6"/>
  <c r="AX80" i="1"/>
  <c r="AW211" i="1"/>
  <c r="AW212" i="1"/>
  <c r="AW213" i="1"/>
  <c r="AW214" i="1"/>
  <c r="AU218" i="1"/>
  <c r="AU217" i="1"/>
  <c r="AU42" i="1"/>
  <c r="AT116" i="1"/>
  <c r="AT117" i="1"/>
  <c r="AT118" i="1"/>
  <c r="AT119" i="1"/>
  <c r="AV212" i="1"/>
  <c r="AV213" i="1"/>
  <c r="AV214" i="1"/>
  <c r="AW82" i="1"/>
  <c r="AV216" i="1"/>
  <c r="AQ87" i="8"/>
  <c r="AV36" i="8"/>
  <c r="AU99" i="8"/>
  <c r="AU100" i="8"/>
  <c r="AU101" i="8"/>
  <c r="AU102" i="8"/>
  <c r="AY38" i="8"/>
  <c r="AX104" i="8"/>
  <c r="AV44" i="11"/>
  <c r="AU119" i="11"/>
  <c r="AT120" i="11"/>
  <c r="AT121" i="11"/>
  <c r="AT122" i="11"/>
  <c r="AV87" i="11"/>
  <c r="AT129" i="22"/>
  <c r="AT130" i="22"/>
  <c r="AT131" i="22"/>
  <c r="AT132" i="22"/>
  <c r="AU48" i="22"/>
  <c r="AV38" i="22"/>
  <c r="AU104" i="22"/>
  <c r="AU105" i="22"/>
  <c r="AU106" i="22"/>
  <c r="AU107" i="22"/>
  <c r="AU34" i="22"/>
  <c r="AT94" i="22"/>
  <c r="AT95" i="22"/>
  <c r="AT96" i="22"/>
  <c r="AT97" i="22"/>
  <c r="AU42" i="7"/>
  <c r="AT114" i="7"/>
  <c r="AV30" i="7"/>
  <c r="AU84" i="7"/>
  <c r="AU85" i="7"/>
  <c r="AU86" i="7"/>
  <c r="AU87" i="7"/>
  <c r="AT94" i="7"/>
  <c r="AU34" i="7"/>
  <c r="AX40" i="7"/>
  <c r="AW109" i="7"/>
  <c r="AW110" i="7"/>
  <c r="AW111" i="7"/>
  <c r="AW112" i="7"/>
  <c r="AU104" i="7"/>
  <c r="AU105" i="7"/>
  <c r="AU106" i="7"/>
  <c r="AU107" i="7"/>
  <c r="AV38" i="7"/>
  <c r="AU99" i="7"/>
  <c r="AV36" i="7"/>
  <c r="AV119" i="6"/>
  <c r="AV120" i="6"/>
  <c r="AV121" i="6"/>
  <c r="AX38" i="6"/>
  <c r="AW118" i="6"/>
  <c r="AW119" i="6"/>
  <c r="AW120" i="6"/>
  <c r="AW121" i="6"/>
  <c r="AX144" i="9"/>
  <c r="AX145" i="9"/>
  <c r="AX146" i="9"/>
  <c r="AX147" i="9"/>
  <c r="AY54" i="9"/>
  <c r="AT42" i="9"/>
  <c r="AS114" i="9"/>
  <c r="AS115" i="9"/>
  <c r="AS116" i="9"/>
  <c r="AS117" i="9"/>
  <c r="AU46" i="9"/>
  <c r="AT124" i="9"/>
  <c r="AT125" i="9"/>
  <c r="AT126" i="9"/>
  <c r="AT127" i="9"/>
  <c r="AW104" i="9"/>
  <c r="AW105" i="9"/>
  <c r="AW106" i="9"/>
  <c r="AW107" i="9"/>
  <c r="AX38" i="9"/>
  <c r="AU34" i="9"/>
  <c r="AT94" i="9"/>
  <c r="AT95" i="9"/>
  <c r="AT96" i="9"/>
  <c r="AT97" i="9"/>
  <c r="AU134" i="9"/>
  <c r="AU135" i="9"/>
  <c r="AU136" i="9"/>
  <c r="AU137" i="9"/>
  <c r="AV50" i="9"/>
  <c r="AS120" i="9"/>
  <c r="AS121" i="9"/>
  <c r="AS122" i="9"/>
  <c r="AT129" i="9"/>
  <c r="AT130" i="9"/>
  <c r="AT131" i="9"/>
  <c r="AT132" i="9"/>
  <c r="AU48" i="9"/>
  <c r="AW32" i="9"/>
  <c r="AV89" i="9"/>
  <c r="AV90" i="9"/>
  <c r="AV91" i="9"/>
  <c r="AV92" i="9"/>
  <c r="AU44" i="9"/>
  <c r="AT119" i="9"/>
  <c r="AT120" i="9"/>
  <c r="AT121" i="9"/>
  <c r="AT122" i="9"/>
  <c r="AU56" i="9"/>
  <c r="AT149" i="9"/>
  <c r="AT150" i="9"/>
  <c r="AT151" i="9"/>
  <c r="AT152" i="9"/>
  <c r="BA56" i="1"/>
  <c r="AZ151" i="1"/>
  <c r="AZ152" i="1"/>
  <c r="AZ153" i="1"/>
  <c r="AZ154" i="1"/>
  <c r="AW66" i="1"/>
  <c r="AV176" i="1"/>
  <c r="AV177" i="1"/>
  <c r="AV178" i="1"/>
  <c r="AV179" i="1"/>
  <c r="AS207" i="1"/>
  <c r="AS208" i="1"/>
  <c r="AS209" i="1"/>
  <c r="AW76" i="1"/>
  <c r="AV201" i="1"/>
  <c r="AV202" i="1"/>
  <c r="AV203" i="1"/>
  <c r="AV204" i="1"/>
  <c r="AV72" i="1"/>
  <c r="AU191" i="1"/>
  <c r="AU78" i="1"/>
  <c r="AT206" i="1"/>
  <c r="AU74" i="1"/>
  <c r="AT196" i="1"/>
  <c r="AT197" i="1"/>
  <c r="AT198" i="1"/>
  <c r="AT199" i="1"/>
  <c r="AV60" i="1"/>
  <c r="AU161" i="1"/>
  <c r="AU162" i="1"/>
  <c r="AU163" i="1"/>
  <c r="AU164" i="1"/>
  <c r="AU70" i="1"/>
  <c r="AT186" i="1"/>
  <c r="AT187" i="1"/>
  <c r="AT188" i="1"/>
  <c r="AT189" i="1"/>
  <c r="AR44" i="37"/>
  <c r="K44" i="37"/>
  <c r="T44" i="37"/>
  <c r="AG44" i="37"/>
  <c r="AK44" i="37"/>
  <c r="AL44" i="37"/>
  <c r="AI44" i="37"/>
  <c r="AE44" i="37"/>
  <c r="AH44" i="37"/>
  <c r="X44" i="37"/>
  <c r="AY115" i="11"/>
  <c r="AY116" i="11"/>
  <c r="AY117" i="11"/>
  <c r="BA42" i="11"/>
  <c r="AZ114" i="11"/>
  <c r="W41" i="34"/>
  <c r="V41" i="34"/>
  <c r="K41" i="34"/>
  <c r="U43" i="35"/>
  <c r="Z44" i="37"/>
  <c r="AO44" i="37"/>
  <c r="AN44" i="37"/>
  <c r="AJ44" i="37"/>
  <c r="AC44" i="37"/>
  <c r="AB44" i="37"/>
  <c r="Y44" i="37"/>
  <c r="AQ44" i="37"/>
  <c r="AF44" i="37"/>
  <c r="AM44" i="37"/>
  <c r="AS107" i="11"/>
  <c r="AU100" i="11"/>
  <c r="AU101" i="11"/>
  <c r="AY30" i="11"/>
  <c r="AX84" i="11"/>
  <c r="AT105" i="11"/>
  <c r="AT106" i="11"/>
  <c r="AW85" i="11"/>
  <c r="AW86" i="11"/>
  <c r="AU104" i="11"/>
  <c r="AV38" i="11"/>
  <c r="AV99" i="11"/>
  <c r="AW36" i="11"/>
  <c r="AV50" i="10"/>
  <c r="AU134" i="10"/>
  <c r="AT135" i="10"/>
  <c r="AT136" i="10"/>
  <c r="AT137" i="10"/>
  <c r="AU99" i="10"/>
  <c r="AV36" i="10"/>
  <c r="AT100" i="10"/>
  <c r="AT101" i="10"/>
  <c r="AT102" i="10"/>
  <c r="AU58" i="22"/>
  <c r="AT154" i="22"/>
  <c r="AS155" i="22"/>
  <c r="AS156" i="22"/>
  <c r="AS157" i="22"/>
  <c r="AT145" i="22"/>
  <c r="AT146" i="22"/>
  <c r="AT147" i="22"/>
  <c r="AV40" i="22"/>
  <c r="AU109" i="22"/>
  <c r="AT100" i="22"/>
  <c r="AT101" i="22"/>
  <c r="AT102" i="22"/>
  <c r="AV54" i="22"/>
  <c r="AU144" i="22"/>
  <c r="AT110" i="22"/>
  <c r="AT111" i="22"/>
  <c r="AT112" i="22"/>
  <c r="AU99" i="22"/>
  <c r="AV36" i="22"/>
  <c r="AV150" i="8"/>
  <c r="AV151" i="8"/>
  <c r="AV152" i="8"/>
  <c r="AX56" i="8"/>
  <c r="AW149" i="8"/>
  <c r="AT145" i="8"/>
  <c r="AT146" i="8"/>
  <c r="AT147" i="8"/>
  <c r="AV54" i="8"/>
  <c r="AU144" i="8"/>
  <c r="AU40" i="8"/>
  <c r="AT109" i="8"/>
  <c r="AT89" i="8"/>
  <c r="AU32" i="8"/>
  <c r="AT139" i="8"/>
  <c r="AU52" i="8"/>
  <c r="AR85" i="8"/>
  <c r="AR86" i="8"/>
  <c r="AR87" i="8"/>
  <c r="AS110" i="8"/>
  <c r="AS111" i="8"/>
  <c r="AS112" i="8"/>
  <c r="AS90" i="8"/>
  <c r="AS91" i="8"/>
  <c r="AS92" i="8"/>
  <c r="AT129" i="8"/>
  <c r="AU48" i="8"/>
  <c r="AS140" i="8"/>
  <c r="AS141" i="8"/>
  <c r="AS142" i="8"/>
  <c r="AS84" i="8"/>
  <c r="AT30" i="8"/>
  <c r="AS130" i="8"/>
  <c r="AS131" i="8"/>
  <c r="AS132" i="8"/>
  <c r="AT144" i="7"/>
  <c r="AU54" i="7"/>
  <c r="AS145" i="7"/>
  <c r="AS146" i="7"/>
  <c r="AS147" i="7"/>
  <c r="AU52" i="7"/>
  <c r="AT139" i="7"/>
  <c r="AS140" i="7"/>
  <c r="AS141" i="7"/>
  <c r="AS142" i="7"/>
  <c r="AT134" i="7"/>
  <c r="AU50" i="7"/>
  <c r="AS135" i="7"/>
  <c r="AS136" i="7"/>
  <c r="AS137" i="7"/>
  <c r="AV120" i="7"/>
  <c r="AV121" i="7"/>
  <c r="AV122" i="7"/>
  <c r="AX44" i="7"/>
  <c r="AW119" i="7"/>
  <c r="AW46" i="7"/>
  <c r="AV124" i="7"/>
  <c r="AZ90" i="7"/>
  <c r="AZ91" i="7"/>
  <c r="AZ92" i="7"/>
  <c r="AU125" i="7"/>
  <c r="AU126" i="7"/>
  <c r="AU127" i="7"/>
  <c r="BB32" i="7"/>
  <c r="BA89" i="7"/>
  <c r="AS164" i="6"/>
  <c r="AS165" i="6"/>
  <c r="AS166" i="6"/>
  <c r="AT163" i="6"/>
  <c r="AU56" i="6"/>
  <c r="AS159" i="6"/>
  <c r="AS160" i="6"/>
  <c r="AS161" i="6"/>
  <c r="AT158" i="6"/>
  <c r="AU54" i="6"/>
  <c r="AS154" i="6"/>
  <c r="AS155" i="6"/>
  <c r="AS156" i="6"/>
  <c r="AT153" i="6"/>
  <c r="AU52" i="6"/>
  <c r="AT148" i="6"/>
  <c r="AU50" i="6"/>
  <c r="AS149" i="6"/>
  <c r="AS150" i="6"/>
  <c r="AS151" i="6"/>
  <c r="AT143" i="6"/>
  <c r="AU48" i="6"/>
  <c r="AS144" i="6"/>
  <c r="AS145" i="6"/>
  <c r="AS146" i="6"/>
  <c r="AV60" i="9"/>
  <c r="AU159" i="9"/>
  <c r="AT160" i="9"/>
  <c r="AT161" i="9"/>
  <c r="AT162" i="9"/>
  <c r="AU58" i="9"/>
  <c r="AT154" i="9"/>
  <c r="AS155" i="9"/>
  <c r="AS156" i="9"/>
  <c r="AS157" i="9"/>
  <c r="AV36" i="9"/>
  <c r="AU99" i="9"/>
  <c r="AV40" i="9"/>
  <c r="AU109" i="9"/>
  <c r="AT110" i="9"/>
  <c r="AT111" i="9"/>
  <c r="AT112" i="9"/>
  <c r="AT100" i="9"/>
  <c r="AT101" i="9"/>
  <c r="AT102" i="9"/>
  <c r="AS167" i="1"/>
  <c r="AS168" i="1"/>
  <c r="AS169" i="1"/>
  <c r="AU62" i="1"/>
  <c r="AT166" i="1"/>
  <c r="AT126" i="1"/>
  <c r="AU46" i="1"/>
  <c r="AT146" i="1"/>
  <c r="AU54" i="1"/>
  <c r="AS127" i="1"/>
  <c r="AS128" i="1"/>
  <c r="AS129" i="1"/>
  <c r="AS147" i="1"/>
  <c r="AS148" i="1"/>
  <c r="AS149" i="1"/>
  <c r="AU122" i="1"/>
  <c r="AU123" i="1"/>
  <c r="AU124" i="1"/>
  <c r="AW44" i="1"/>
  <c r="AV121" i="1"/>
  <c r="AW40" i="1"/>
  <c r="AV111" i="1"/>
  <c r="AU38" i="1"/>
  <c r="AT106" i="1"/>
  <c r="AU112" i="1"/>
  <c r="AU113" i="1"/>
  <c r="AU114" i="1"/>
  <c r="AV101" i="1"/>
  <c r="AW36" i="1"/>
  <c r="AS107" i="1"/>
  <c r="AS108" i="1"/>
  <c r="AS109" i="1"/>
  <c r="AU102" i="1"/>
  <c r="AU103" i="1"/>
  <c r="AU104" i="1"/>
  <c r="AA44" i="37"/>
  <c r="AD44" i="37"/>
  <c r="AV48" i="7"/>
  <c r="AU129" i="7"/>
  <c r="AU130" i="7"/>
  <c r="AU131" i="7"/>
  <c r="AU132" i="7"/>
  <c r="S40" i="36"/>
  <c r="AF23" i="26"/>
  <c r="R39" i="36"/>
  <c r="AF24" i="26"/>
  <c r="S41" i="36"/>
  <c r="Q43" i="36"/>
  <c r="P44" i="36"/>
  <c r="U43" i="36"/>
  <c r="BZ197" i="9"/>
  <c r="BW49" i="2"/>
  <c r="BX170" i="2"/>
  <c r="CA196" i="9"/>
  <c r="CA197" i="9"/>
  <c r="CA237" i="9"/>
  <c r="CA195" i="9"/>
  <c r="AJ59" i="11"/>
  <c r="AK229" i="11"/>
  <c r="CB194" i="9"/>
  <c r="CB75" i="9"/>
  <c r="CA75" i="9"/>
  <c r="BZ75" i="9"/>
  <c r="U38" i="41"/>
  <c r="W38" i="41"/>
  <c r="V38" i="41"/>
  <c r="P40" i="41"/>
  <c r="Q39" i="41"/>
  <c r="S38" i="33"/>
  <c r="R37" i="33"/>
  <c r="Q21" i="26"/>
  <c r="BR152" i="10"/>
  <c r="BN182" i="22"/>
  <c r="AS202" i="10"/>
  <c r="AS182" i="10"/>
  <c r="AS202" i="11"/>
  <c r="AT202" i="7"/>
  <c r="BC207" i="22"/>
  <c r="BI197" i="11"/>
  <c r="BE167" i="10"/>
  <c r="BT172" i="10"/>
  <c r="BU157" i="10"/>
  <c r="AS167" i="9"/>
  <c r="AS202" i="9"/>
  <c r="AS187" i="8"/>
  <c r="AZ207" i="7"/>
  <c r="AT152" i="11"/>
  <c r="AZ187" i="22"/>
  <c r="AS207" i="8"/>
  <c r="AW127" i="11"/>
  <c r="AS177" i="7"/>
  <c r="BM212" i="11"/>
  <c r="AY167" i="8"/>
  <c r="BP177" i="22"/>
  <c r="AX207" i="11"/>
  <c r="AX162" i="7"/>
  <c r="BB172" i="9"/>
  <c r="BC192" i="22"/>
  <c r="BM147" i="10"/>
  <c r="BR260" i="40"/>
  <c r="BR261" i="40"/>
  <c r="BR262" i="40"/>
  <c r="BK289" i="40"/>
  <c r="BL110" i="40"/>
  <c r="BK269" i="40"/>
  <c r="BK270" i="40"/>
  <c r="BK271" i="40"/>
  <c r="BK272" i="40"/>
  <c r="BL102" i="40"/>
  <c r="BK264" i="40"/>
  <c r="BL100" i="40"/>
  <c r="BJ290" i="40"/>
  <c r="BJ291" i="40"/>
  <c r="BJ292" i="40"/>
  <c r="BJ270" i="40"/>
  <c r="BJ271" i="40"/>
  <c r="BJ272" i="40"/>
  <c r="BJ265" i="40"/>
  <c r="BJ266" i="40"/>
  <c r="BJ267" i="40"/>
  <c r="BK284" i="40"/>
  <c r="BL108" i="40"/>
  <c r="BK249" i="40"/>
  <c r="BL94" i="40"/>
  <c r="BK244" i="40"/>
  <c r="BL92" i="40"/>
  <c r="BP280" i="40"/>
  <c r="BP281" i="40"/>
  <c r="BP282" i="40"/>
  <c r="BJ285" i="40"/>
  <c r="BJ286" i="40"/>
  <c r="BJ287" i="40"/>
  <c r="BJ250" i="40"/>
  <c r="BJ251" i="40"/>
  <c r="BJ252" i="40"/>
  <c r="BJ245" i="40"/>
  <c r="BJ246" i="40"/>
  <c r="BJ247" i="40"/>
  <c r="BS98" i="40"/>
  <c r="BS259" i="40"/>
  <c r="BQ106" i="40"/>
  <c r="BQ279" i="40"/>
  <c r="BQ280" i="40"/>
  <c r="BQ281" i="40"/>
  <c r="BQ282" i="40"/>
  <c r="BR104" i="40"/>
  <c r="BR274" i="40"/>
  <c r="BR96" i="40"/>
  <c r="BR254" i="40"/>
  <c r="BN90" i="40"/>
  <c r="BJ145" i="40"/>
  <c r="BJ146" i="40"/>
  <c r="BJ147" i="40"/>
  <c r="BJ210" i="40"/>
  <c r="BJ211" i="40"/>
  <c r="BJ212" i="40"/>
  <c r="BK239" i="40"/>
  <c r="BM84" i="40"/>
  <c r="BL224" i="40"/>
  <c r="BM66" i="40"/>
  <c r="BL179" i="40"/>
  <c r="BJ150" i="40"/>
  <c r="BJ151" i="40"/>
  <c r="BJ152" i="40"/>
  <c r="BL42" i="40"/>
  <c r="BK119" i="40"/>
  <c r="BN68" i="40"/>
  <c r="BM184" i="40"/>
  <c r="BL46" i="40"/>
  <c r="BK129" i="40"/>
  <c r="BK140" i="40"/>
  <c r="BK141" i="40"/>
  <c r="BK235" i="40"/>
  <c r="BK236" i="40"/>
  <c r="BJ160" i="40"/>
  <c r="BJ161" i="40"/>
  <c r="BK215" i="40"/>
  <c r="BK216" i="40"/>
  <c r="BL78" i="40"/>
  <c r="BK209" i="40"/>
  <c r="BN72" i="40"/>
  <c r="BM194" i="40"/>
  <c r="BJ230" i="40"/>
  <c r="BJ231" i="40"/>
  <c r="BK115" i="40"/>
  <c r="BK116" i="40"/>
  <c r="BK117" i="40"/>
  <c r="BK165" i="40"/>
  <c r="BK166" i="40"/>
  <c r="BL54" i="40"/>
  <c r="BK149" i="40"/>
  <c r="BJ155" i="40"/>
  <c r="BJ156" i="40"/>
  <c r="BL82" i="40"/>
  <c r="BK219" i="40"/>
  <c r="BL70" i="40"/>
  <c r="BK189" i="40"/>
  <c r="BJ125" i="40"/>
  <c r="BJ126" i="40"/>
  <c r="BJ127" i="40"/>
  <c r="BM50" i="40"/>
  <c r="BL139" i="40"/>
  <c r="BL48" i="40"/>
  <c r="BK134" i="40"/>
  <c r="BL195" i="40"/>
  <c r="BL196" i="40"/>
  <c r="BN64" i="40"/>
  <c r="BM174" i="40"/>
  <c r="BJ220" i="40"/>
  <c r="BJ221" i="40"/>
  <c r="BJ190" i="40"/>
  <c r="BJ191" i="40"/>
  <c r="BM88" i="40"/>
  <c r="BL234" i="40"/>
  <c r="BK187" i="40"/>
  <c r="BL52" i="40"/>
  <c r="BK144" i="40"/>
  <c r="BL58" i="40"/>
  <c r="BK159" i="40"/>
  <c r="BM80" i="40"/>
  <c r="BL214" i="40"/>
  <c r="BL86" i="40"/>
  <c r="BK229" i="40"/>
  <c r="BK180" i="40"/>
  <c r="BK181" i="40"/>
  <c r="BK182" i="40"/>
  <c r="BJ200" i="40"/>
  <c r="BJ201" i="40"/>
  <c r="BK205" i="40"/>
  <c r="BK206" i="40"/>
  <c r="BK207" i="40"/>
  <c r="BL62" i="40"/>
  <c r="BK169" i="40"/>
  <c r="BI192" i="40"/>
  <c r="BJ240" i="40"/>
  <c r="BJ241" i="40"/>
  <c r="BK225" i="40"/>
  <c r="BK226" i="40"/>
  <c r="BJ170" i="40"/>
  <c r="BJ171" i="40"/>
  <c r="BL175" i="40"/>
  <c r="BL176" i="40"/>
  <c r="BM40" i="40"/>
  <c r="BL114" i="40"/>
  <c r="BM60" i="40"/>
  <c r="BL164" i="40"/>
  <c r="BI162" i="40"/>
  <c r="BL56" i="40"/>
  <c r="BK154" i="40"/>
  <c r="BL74" i="40"/>
  <c r="BK199" i="40"/>
  <c r="BJ120" i="40"/>
  <c r="BJ121" i="40"/>
  <c r="BJ122" i="40"/>
  <c r="BJ182" i="40"/>
  <c r="BL185" i="40"/>
  <c r="BL186" i="40"/>
  <c r="BL187" i="40"/>
  <c r="BK177" i="40"/>
  <c r="BJ130" i="40"/>
  <c r="BJ131" i="40"/>
  <c r="BJ132" i="40"/>
  <c r="BM76" i="40"/>
  <c r="BL204" i="40"/>
  <c r="BL44" i="40"/>
  <c r="BK124" i="40"/>
  <c r="BJ135" i="40"/>
  <c r="BJ136" i="40"/>
  <c r="BJ137" i="40"/>
  <c r="BI222" i="40"/>
  <c r="AX192" i="8"/>
  <c r="BT211" i="10"/>
  <c r="BT210" i="10"/>
  <c r="BB207" i="9"/>
  <c r="BA78" i="11"/>
  <c r="AZ204" i="11"/>
  <c r="AY161" i="7"/>
  <c r="AY160" i="7"/>
  <c r="AS137" i="11"/>
  <c r="AS202" i="22"/>
  <c r="BO144" i="10"/>
  <c r="BP54" i="10"/>
  <c r="AV76" i="11"/>
  <c r="AU199" i="11"/>
  <c r="AV199" i="7"/>
  <c r="AW76" i="7"/>
  <c r="AV78" i="8"/>
  <c r="AU204" i="8"/>
  <c r="AU159" i="10"/>
  <c r="AV60" i="10"/>
  <c r="AV62" i="9"/>
  <c r="AU164" i="9"/>
  <c r="AV66" i="7"/>
  <c r="AU174" i="7"/>
  <c r="BL74" i="11"/>
  <c r="BK194" i="11"/>
  <c r="BE64" i="9"/>
  <c r="BD169" i="9"/>
  <c r="AT201" i="10"/>
  <c r="AT200" i="10"/>
  <c r="AT180" i="10"/>
  <c r="AT181" i="10"/>
  <c r="BF157" i="8"/>
  <c r="BJ184" i="10"/>
  <c r="BK70" i="10"/>
  <c r="BU171" i="10"/>
  <c r="BU170" i="10"/>
  <c r="AV46" i="6"/>
  <c r="AU138" i="6"/>
  <c r="AU139" i="6"/>
  <c r="AU140" i="6"/>
  <c r="AU141" i="6"/>
  <c r="U46" i="31"/>
  <c r="W46" i="31"/>
  <c r="V46" i="31"/>
  <c r="AT135" i="11"/>
  <c r="AT136" i="11"/>
  <c r="BQ175" i="22"/>
  <c r="BQ176" i="22"/>
  <c r="AT201" i="22"/>
  <c r="AT200" i="22"/>
  <c r="BB204" i="7"/>
  <c r="BC78" i="7"/>
  <c r="BD62" i="22"/>
  <c r="BC164" i="22"/>
  <c r="AU151" i="11"/>
  <c r="AU150" i="11"/>
  <c r="AP55" i="11"/>
  <c r="AQ227" i="11"/>
  <c r="BN146" i="10"/>
  <c r="BN145" i="10"/>
  <c r="BV155" i="10"/>
  <c r="BV156" i="10"/>
  <c r="BF78" i="22"/>
  <c r="BE204" i="22"/>
  <c r="AY58" i="7"/>
  <c r="AX154" i="7"/>
  <c r="AX125" i="11"/>
  <c r="AX126" i="11"/>
  <c r="BG155" i="8"/>
  <c r="BG156" i="8"/>
  <c r="BJ196" i="11"/>
  <c r="BJ195" i="11"/>
  <c r="BC170" i="9"/>
  <c r="BC171" i="9"/>
  <c r="BE176" i="10"/>
  <c r="BE175" i="10"/>
  <c r="BU175" i="9"/>
  <c r="BU176" i="9"/>
  <c r="BF166" i="10"/>
  <c r="BF165" i="10"/>
  <c r="AV68" i="10"/>
  <c r="AU179" i="10"/>
  <c r="BI185" i="10"/>
  <c r="BI186" i="10"/>
  <c r="AV50" i="11"/>
  <c r="AU134" i="11"/>
  <c r="BR174" i="22"/>
  <c r="BS66" i="22"/>
  <c r="AU199" i="22"/>
  <c r="AV76" i="22"/>
  <c r="BA206" i="7"/>
  <c r="BA205" i="7"/>
  <c r="BT177" i="9"/>
  <c r="BB165" i="22"/>
  <c r="BB166" i="22"/>
  <c r="AW230" i="11"/>
  <c r="AV61" i="11"/>
  <c r="AW56" i="11"/>
  <c r="AV149" i="11"/>
  <c r="BC70" i="22"/>
  <c r="BB184" i="22"/>
  <c r="BE189" i="22"/>
  <c r="BF72" i="22"/>
  <c r="BD204" i="9"/>
  <c r="BE78" i="9"/>
  <c r="AS81" i="8"/>
  <c r="AT240" i="8"/>
  <c r="BX58" i="10"/>
  <c r="BW154" i="10"/>
  <c r="BD205" i="22"/>
  <c r="BD206" i="22"/>
  <c r="AW155" i="7"/>
  <c r="AW156" i="7"/>
  <c r="AZ46" i="11"/>
  <c r="AY124" i="11"/>
  <c r="BI58" i="8"/>
  <c r="BH154" i="8"/>
  <c r="BH187" i="10"/>
  <c r="AT186" i="8"/>
  <c r="AT185" i="8"/>
  <c r="BG66" i="10"/>
  <c r="BF174" i="10"/>
  <c r="BW66" i="9"/>
  <c r="BV174" i="9"/>
  <c r="AS162" i="10"/>
  <c r="BG164" i="10"/>
  <c r="BH62" i="10"/>
  <c r="BB62" i="8"/>
  <c r="BA164" i="8"/>
  <c r="AU149" i="22"/>
  <c r="AU150" i="22"/>
  <c r="AU151" i="22"/>
  <c r="AU152" i="22"/>
  <c r="AV56" i="22"/>
  <c r="BU209" i="10"/>
  <c r="BV80" i="10"/>
  <c r="AY205" i="11"/>
  <c r="AY206" i="11"/>
  <c r="AZ159" i="7"/>
  <c r="BA60" i="7"/>
  <c r="BA186" i="22"/>
  <c r="BA185" i="22"/>
  <c r="BD190" i="22"/>
  <c r="BD191" i="22"/>
  <c r="BS212" i="10"/>
  <c r="BC206" i="9"/>
  <c r="BC205" i="9"/>
  <c r="AT200" i="11"/>
  <c r="AT201" i="11"/>
  <c r="AU200" i="7"/>
  <c r="AU201" i="7"/>
  <c r="BD177" i="10"/>
  <c r="AT206" i="8"/>
  <c r="AT205" i="8"/>
  <c r="AT160" i="10"/>
  <c r="AT161" i="10"/>
  <c r="AT166" i="9"/>
  <c r="AT165" i="9"/>
  <c r="AT176" i="7"/>
  <c r="AT175" i="7"/>
  <c r="AV70" i="8"/>
  <c r="AU184" i="8"/>
  <c r="AV76" i="10"/>
  <c r="AU199" i="10"/>
  <c r="AV157" i="7"/>
  <c r="BA167" i="22"/>
  <c r="BV169" i="10"/>
  <c r="BW64" i="10"/>
  <c r="AZ165" i="8"/>
  <c r="AZ166" i="8"/>
  <c r="Q45" i="31"/>
  <c r="R45" i="31"/>
  <c r="AX40" i="11"/>
  <c r="AW109" i="11"/>
  <c r="AW110" i="11"/>
  <c r="AW111" i="11"/>
  <c r="AW112" i="11"/>
  <c r="AV32" i="10"/>
  <c r="AU89" i="10"/>
  <c r="AU90" i="10"/>
  <c r="AU91" i="10"/>
  <c r="AU92" i="10"/>
  <c r="AV48" i="10"/>
  <c r="AU129" i="10"/>
  <c r="AU130" i="10"/>
  <c r="AU131" i="10"/>
  <c r="AU132" i="10"/>
  <c r="AV34" i="10"/>
  <c r="AU94" i="10"/>
  <c r="AU95" i="10"/>
  <c r="AU96" i="10"/>
  <c r="AU97" i="10"/>
  <c r="AU109" i="10"/>
  <c r="AU110" i="10"/>
  <c r="AU111" i="10"/>
  <c r="AU112" i="10"/>
  <c r="AV40" i="10"/>
  <c r="AV52" i="10"/>
  <c r="AU139" i="10"/>
  <c r="AU140" i="10"/>
  <c r="AU141" i="10"/>
  <c r="AU142" i="10"/>
  <c r="AU114" i="10"/>
  <c r="AU115" i="10"/>
  <c r="AU116" i="10"/>
  <c r="AU117" i="10"/>
  <c r="AV42" i="10"/>
  <c r="AU84" i="10"/>
  <c r="AU85" i="10"/>
  <c r="AU86" i="10"/>
  <c r="AU87" i="10"/>
  <c r="AV30" i="10"/>
  <c r="AU124" i="10"/>
  <c r="AU125" i="10"/>
  <c r="AU126" i="10"/>
  <c r="AU127" i="10"/>
  <c r="AV46" i="10"/>
  <c r="AV119" i="10"/>
  <c r="AV120" i="10"/>
  <c r="AV121" i="10"/>
  <c r="AV122" i="10"/>
  <c r="AW44" i="10"/>
  <c r="AU104" i="10"/>
  <c r="AU105" i="10"/>
  <c r="AU106" i="10"/>
  <c r="AU107" i="10"/>
  <c r="AV38" i="10"/>
  <c r="AV124" i="22"/>
  <c r="AV125" i="22"/>
  <c r="AV126" i="22"/>
  <c r="AV127" i="22"/>
  <c r="AW46" i="22"/>
  <c r="AU134" i="22"/>
  <c r="AU135" i="22"/>
  <c r="AU136" i="22"/>
  <c r="AU137" i="22"/>
  <c r="AV50" i="22"/>
  <c r="AV139" i="22"/>
  <c r="AV140" i="22"/>
  <c r="AV141" i="22"/>
  <c r="AV142" i="22"/>
  <c r="AW52" i="22"/>
  <c r="AU114" i="22"/>
  <c r="AU115" i="22"/>
  <c r="AU116" i="22"/>
  <c r="AU117" i="22"/>
  <c r="AV42" i="22"/>
  <c r="AU124" i="8"/>
  <c r="AU125" i="8"/>
  <c r="AU126" i="8"/>
  <c r="AU127" i="8"/>
  <c r="AV46" i="8"/>
  <c r="AW50" i="8"/>
  <c r="AV134" i="8"/>
  <c r="AV135" i="8"/>
  <c r="AV136" i="8"/>
  <c r="AV137" i="8"/>
  <c r="BM162" i="22"/>
  <c r="BK182" i="8"/>
  <c r="BM177" i="8"/>
  <c r="BO197" i="8"/>
  <c r="BQ207" i="10"/>
  <c r="BX142" i="11"/>
  <c r="BQ212" i="7"/>
  <c r="BP212" i="22"/>
  <c r="BP182" i="9"/>
  <c r="BO197" i="22"/>
  <c r="BR172" i="22"/>
  <c r="BL177" i="11"/>
  <c r="BX68" i="7"/>
  <c r="BW179" i="7"/>
  <c r="BA72" i="8"/>
  <c r="AZ189" i="8"/>
  <c r="BO196" i="7"/>
  <c r="BO195" i="7"/>
  <c r="BQ70" i="7"/>
  <c r="BP184" i="7"/>
  <c r="AX69" i="11"/>
  <c r="AY234" i="11"/>
  <c r="BM176" i="11"/>
  <c r="BM175" i="11"/>
  <c r="BQ180" i="9"/>
  <c r="BQ181" i="9"/>
  <c r="BU56" i="10"/>
  <c r="BT149" i="10"/>
  <c r="BV31" i="22"/>
  <c r="BW215" i="22"/>
  <c r="C48" i="2"/>
  <c r="D169" i="2"/>
  <c r="U48" i="2"/>
  <c r="V169" i="2"/>
  <c r="BP66" i="8"/>
  <c r="BO174" i="8"/>
  <c r="A171" i="2"/>
  <c r="BW171" i="2"/>
  <c r="A51" i="2"/>
  <c r="AU199" i="9"/>
  <c r="AV76" i="9"/>
  <c r="BR74" i="8"/>
  <c r="BQ194" i="8"/>
  <c r="BV180" i="7"/>
  <c r="BV181" i="7"/>
  <c r="BJ192" i="11"/>
  <c r="CB72" i="10"/>
  <c r="CA189" i="10"/>
  <c r="BK202" i="8"/>
  <c r="BN210" i="11"/>
  <c r="BN211" i="11"/>
  <c r="AU89" i="22"/>
  <c r="AU90" i="22"/>
  <c r="AU91" i="22"/>
  <c r="AU92" i="22"/>
  <c r="AV32" i="22"/>
  <c r="CA52" i="11"/>
  <c r="BZ139" i="11"/>
  <c r="BU182" i="7"/>
  <c r="AY190" i="8"/>
  <c r="AY191" i="8"/>
  <c r="BR187" i="9"/>
  <c r="BN76" i="8"/>
  <c r="BM199" i="8"/>
  <c r="BP195" i="22"/>
  <c r="BP196" i="22"/>
  <c r="BP179" i="22"/>
  <c r="BQ68" i="22"/>
  <c r="BU64" i="22"/>
  <c r="BT169" i="22"/>
  <c r="AT190" i="9"/>
  <c r="AT191" i="9"/>
  <c r="BK159" i="8"/>
  <c r="BL60" i="8"/>
  <c r="BQ74" i="7"/>
  <c r="BP194" i="7"/>
  <c r="BW48" i="11"/>
  <c r="BV129" i="11"/>
  <c r="BY192" i="10"/>
  <c r="BO66" i="11"/>
  <c r="BN174" i="11"/>
  <c r="AS192" i="9"/>
  <c r="BI162" i="8"/>
  <c r="BN197" i="7"/>
  <c r="BN187" i="7"/>
  <c r="M169" i="2"/>
  <c r="L48" i="2"/>
  <c r="AM48" i="2"/>
  <c r="AN169" i="2"/>
  <c r="BO159" i="22"/>
  <c r="BP60" i="22"/>
  <c r="BN68" i="8"/>
  <c r="BM179" i="8"/>
  <c r="BK190" i="11"/>
  <c r="BK191" i="11"/>
  <c r="BP195" i="8"/>
  <c r="BP196" i="8"/>
  <c r="BS80" i="22"/>
  <c r="BR209" i="22"/>
  <c r="BY140" i="11"/>
  <c r="BY141" i="11"/>
  <c r="BS170" i="22"/>
  <c r="BS171" i="22"/>
  <c r="BU130" i="11"/>
  <c r="BU131" i="11"/>
  <c r="BR206" i="10"/>
  <c r="BR205" i="10"/>
  <c r="BN170" i="2"/>
  <c r="L170" i="2"/>
  <c r="AV170" i="2"/>
  <c r="C170" i="2"/>
  <c r="BE170" i="2"/>
  <c r="AD170" i="2"/>
  <c r="U170" i="2"/>
  <c r="AM170" i="2"/>
  <c r="BT80" i="7"/>
  <c r="BS209" i="7"/>
  <c r="AW63" i="11"/>
  <c r="AX231" i="11"/>
  <c r="BP80" i="11"/>
  <c r="BO209" i="11"/>
  <c r="BU211" i="9"/>
  <c r="BU210" i="9"/>
  <c r="AK65" i="8"/>
  <c r="AL232" i="8"/>
  <c r="BR74" i="10"/>
  <c r="BQ194" i="10"/>
  <c r="BQ194" i="22"/>
  <c r="BR74" i="22"/>
  <c r="BO181" i="22"/>
  <c r="BO180" i="22"/>
  <c r="BJ160" i="8"/>
  <c r="BJ161" i="8"/>
  <c r="BE48" i="2"/>
  <c r="CF48" i="2"/>
  <c r="BF169" i="2"/>
  <c r="AV48" i="2"/>
  <c r="AW169" i="2"/>
  <c r="BN160" i="22"/>
  <c r="BN161" i="22"/>
  <c r="BL181" i="8"/>
  <c r="BL180" i="8"/>
  <c r="BM72" i="11"/>
  <c r="BL189" i="11"/>
  <c r="BT184" i="9"/>
  <c r="BU70" i="9"/>
  <c r="BN175" i="8"/>
  <c r="BN176" i="8"/>
  <c r="AT201" i="9"/>
  <c r="AT200" i="9"/>
  <c r="AT90" i="22"/>
  <c r="AT91" i="22"/>
  <c r="AT92" i="22"/>
  <c r="BL200" i="8"/>
  <c r="BL201" i="8"/>
  <c r="AU189" i="9"/>
  <c r="AV72" i="9"/>
  <c r="BS204" i="10"/>
  <c r="BT78" i="10"/>
  <c r="BO197" i="10"/>
  <c r="BR210" i="7"/>
  <c r="BR211" i="7"/>
  <c r="BQ211" i="22"/>
  <c r="BQ210" i="22"/>
  <c r="BZ190" i="10"/>
  <c r="BZ191" i="10"/>
  <c r="AI73" i="7"/>
  <c r="AJ236" i="7"/>
  <c r="BV209" i="9"/>
  <c r="BW80" i="9"/>
  <c r="BP196" i="10"/>
  <c r="BP195" i="10"/>
  <c r="AS65" i="11"/>
  <c r="AT232" i="11"/>
  <c r="BO186" i="7"/>
  <c r="BO185" i="7"/>
  <c r="BT212" i="9"/>
  <c r="BR179" i="9"/>
  <c r="BS68" i="9"/>
  <c r="BS151" i="10"/>
  <c r="BS150" i="10"/>
  <c r="BT132" i="11"/>
  <c r="BS65" i="7"/>
  <c r="BT232" i="7"/>
  <c r="AD48" i="2"/>
  <c r="AE169" i="2"/>
  <c r="BN48" i="2"/>
  <c r="BO169" i="2"/>
  <c r="BS185" i="9"/>
  <c r="BS186" i="9"/>
  <c r="L37" i="30"/>
  <c r="N37" i="30"/>
  <c r="O37" i="30"/>
  <c r="P37" i="30"/>
  <c r="Q37" i="30"/>
  <c r="T37" i="30"/>
  <c r="AG37" i="30"/>
  <c r="AJ37" i="30"/>
  <c r="AC37" i="30"/>
  <c r="Z37" i="30"/>
  <c r="AD37" i="30"/>
  <c r="Y37" i="30"/>
  <c r="AE37" i="30"/>
  <c r="AI37" i="30"/>
  <c r="X37" i="30"/>
  <c r="AF37" i="30"/>
  <c r="AB37" i="30"/>
  <c r="AA37" i="30"/>
  <c r="AH37" i="30"/>
  <c r="AU119" i="8"/>
  <c r="AU120" i="8"/>
  <c r="AU121" i="8"/>
  <c r="AU122" i="8"/>
  <c r="AV44" i="8"/>
  <c r="BA34" i="8"/>
  <c r="AZ94" i="8"/>
  <c r="AZ95" i="8"/>
  <c r="AZ96" i="8"/>
  <c r="AZ97" i="8"/>
  <c r="AV42" i="8"/>
  <c r="AU114" i="8"/>
  <c r="AU115" i="8"/>
  <c r="AU116" i="8"/>
  <c r="AU117" i="8"/>
  <c r="AU89" i="11"/>
  <c r="AU90" i="11"/>
  <c r="AU91" i="11"/>
  <c r="AU92" i="11"/>
  <c r="AV32" i="11"/>
  <c r="BB166" i="7"/>
  <c r="BB165" i="7"/>
  <c r="BD62" i="7"/>
  <c r="BC164" i="7"/>
  <c r="BA167" i="7"/>
  <c r="AV52" i="9"/>
  <c r="AU139" i="9"/>
  <c r="AU140" i="9"/>
  <c r="AU141" i="9"/>
  <c r="AU142" i="9"/>
  <c r="AW30" i="9"/>
  <c r="AV84" i="9"/>
  <c r="AV85" i="9"/>
  <c r="AV86" i="9"/>
  <c r="AV87" i="9"/>
  <c r="AW86" i="1"/>
  <c r="AW87" i="1"/>
  <c r="AW88" i="1"/>
  <c r="AW89" i="1"/>
  <c r="AX30" i="1"/>
  <c r="AU181" i="1"/>
  <c r="AU182" i="1"/>
  <c r="AU183" i="1"/>
  <c r="AU184" i="1"/>
  <c r="AV68" i="1"/>
  <c r="AV64" i="1"/>
  <c r="AU171" i="1"/>
  <c r="AU172" i="1"/>
  <c r="AU173" i="1"/>
  <c r="AU174" i="1"/>
  <c r="AU96" i="1"/>
  <c r="AU97" i="1"/>
  <c r="AU98" i="1"/>
  <c r="AU99" i="1"/>
  <c r="AV34" i="1"/>
  <c r="AW91" i="1"/>
  <c r="AW92" i="1"/>
  <c r="AW93" i="1"/>
  <c r="AW94" i="1"/>
  <c r="AX32" i="1"/>
  <c r="AU141" i="1"/>
  <c r="AU142" i="1"/>
  <c r="AU143" i="1"/>
  <c r="AU144" i="1"/>
  <c r="AV52" i="1"/>
  <c r="AU156" i="1"/>
  <c r="AU157" i="1"/>
  <c r="AU158" i="1"/>
  <c r="AU159" i="1"/>
  <c r="AV58" i="1"/>
  <c r="AV48" i="1"/>
  <c r="AU131" i="1"/>
  <c r="AU132" i="1"/>
  <c r="AU133" i="1"/>
  <c r="AU134" i="1"/>
  <c r="AV50" i="1"/>
  <c r="AU136" i="1"/>
  <c r="AU137" i="1"/>
  <c r="AU138" i="1"/>
  <c r="AU139" i="1"/>
  <c r="AS139" i="1"/>
  <c r="U44" i="33"/>
  <c r="K44" i="32"/>
  <c r="L44" i="32"/>
  <c r="N44" i="32"/>
  <c r="O44" i="32"/>
  <c r="P44" i="32"/>
  <c r="Q44" i="32"/>
  <c r="AU219" i="1"/>
  <c r="AW44" i="22"/>
  <c r="AV119" i="22"/>
  <c r="AV120" i="22"/>
  <c r="AV121" i="22"/>
  <c r="AV122" i="22"/>
  <c r="AV40" i="6"/>
  <c r="AU123" i="6"/>
  <c r="AU124" i="6"/>
  <c r="AU125" i="6"/>
  <c r="AU126" i="6"/>
  <c r="AU133" i="6"/>
  <c r="AU134" i="6"/>
  <c r="AU135" i="6"/>
  <c r="AU136" i="6"/>
  <c r="AV44" i="6"/>
  <c r="AV28" i="6"/>
  <c r="AU93" i="6"/>
  <c r="AU94" i="6"/>
  <c r="AU95" i="6"/>
  <c r="AU96" i="6"/>
  <c r="AS106" i="6"/>
  <c r="AV128" i="6"/>
  <c r="AV129" i="6"/>
  <c r="AV130" i="6"/>
  <c r="AV131" i="6"/>
  <c r="AW42" i="6"/>
  <c r="AU88" i="6"/>
  <c r="AU89" i="6"/>
  <c r="AU90" i="6"/>
  <c r="AU91" i="6"/>
  <c r="AV26" i="6"/>
  <c r="AV34" i="6"/>
  <c r="AU108" i="6"/>
  <c r="AU109" i="6"/>
  <c r="AU110" i="6"/>
  <c r="AU111" i="6"/>
  <c r="AV22" i="6"/>
  <c r="AU78" i="6"/>
  <c r="AU79" i="6"/>
  <c r="AU80" i="6"/>
  <c r="AU81" i="6"/>
  <c r="AU103" i="6"/>
  <c r="AU104" i="6"/>
  <c r="AU105" i="6"/>
  <c r="AU106" i="6"/>
  <c r="AV32" i="6"/>
  <c r="AU83" i="6"/>
  <c r="AU84" i="6"/>
  <c r="AU85" i="6"/>
  <c r="AU86" i="6"/>
  <c r="AV24" i="6"/>
  <c r="AU113" i="6"/>
  <c r="AU114" i="6"/>
  <c r="AU115" i="6"/>
  <c r="AU116" i="6"/>
  <c r="AV36" i="6"/>
  <c r="AV98" i="6"/>
  <c r="AV99" i="6"/>
  <c r="AV100" i="6"/>
  <c r="AV101" i="6"/>
  <c r="AW30" i="6"/>
  <c r="AX82" i="1"/>
  <c r="AW216" i="1"/>
  <c r="AU116" i="1"/>
  <c r="AV42" i="1"/>
  <c r="AV217" i="1"/>
  <c r="AV218" i="1"/>
  <c r="AY80" i="1"/>
  <c r="AX211" i="1"/>
  <c r="AX212" i="1"/>
  <c r="AX213" i="1"/>
  <c r="AX214" i="1"/>
  <c r="AZ38" i="8"/>
  <c r="AY104" i="8"/>
  <c r="AY105" i="8"/>
  <c r="AY106" i="8"/>
  <c r="AY107" i="8"/>
  <c r="AX105" i="8"/>
  <c r="AX106" i="8"/>
  <c r="AX107" i="8"/>
  <c r="AV99" i="8"/>
  <c r="AW36" i="8"/>
  <c r="AU120" i="11"/>
  <c r="AU121" i="11"/>
  <c r="AU122" i="11"/>
  <c r="AV119" i="11"/>
  <c r="AW44" i="11"/>
  <c r="AH44" i="32"/>
  <c r="Z44" i="32"/>
  <c r="AM44" i="32"/>
  <c r="AB44" i="32"/>
  <c r="AJ44" i="32"/>
  <c r="AE44" i="32"/>
  <c r="AQ44" i="32"/>
  <c r="AF44" i="32"/>
  <c r="AP44" i="32"/>
  <c r="AI44" i="32"/>
  <c r="Y44" i="32"/>
  <c r="AD44" i="32"/>
  <c r="AO44" i="32"/>
  <c r="X44" i="32"/>
  <c r="AN44" i="32"/>
  <c r="AR44" i="32"/>
  <c r="AA44" i="32"/>
  <c r="AL44" i="32"/>
  <c r="AG44" i="32"/>
  <c r="AC44" i="32"/>
  <c r="AK44" i="32"/>
  <c r="AW87" i="11"/>
  <c r="AU102" i="11"/>
  <c r="AW38" i="22"/>
  <c r="AV104" i="22"/>
  <c r="AV105" i="22"/>
  <c r="AV106" i="22"/>
  <c r="AV107" i="22"/>
  <c r="AU129" i="22"/>
  <c r="AU130" i="22"/>
  <c r="AU131" i="22"/>
  <c r="AU132" i="22"/>
  <c r="AV48" i="22"/>
  <c r="AU94" i="22"/>
  <c r="AU95" i="22"/>
  <c r="AU96" i="22"/>
  <c r="AU97" i="22"/>
  <c r="AV34" i="22"/>
  <c r="AY40" i="7"/>
  <c r="AX109" i="7"/>
  <c r="AX110" i="7"/>
  <c r="AX111" i="7"/>
  <c r="AX112" i="7"/>
  <c r="AV84" i="7"/>
  <c r="AV85" i="7"/>
  <c r="AV86" i="7"/>
  <c r="AV87" i="7"/>
  <c r="AW30" i="7"/>
  <c r="AV99" i="7"/>
  <c r="AV100" i="7"/>
  <c r="AV101" i="7"/>
  <c r="AV102" i="7"/>
  <c r="AW36" i="7"/>
  <c r="AV104" i="7"/>
  <c r="AV105" i="7"/>
  <c r="AV106" i="7"/>
  <c r="AV107" i="7"/>
  <c r="AW38" i="7"/>
  <c r="AV34" i="7"/>
  <c r="AU94" i="7"/>
  <c r="AU95" i="7"/>
  <c r="AU96" i="7"/>
  <c r="AU97" i="7"/>
  <c r="AT115" i="7"/>
  <c r="AT116" i="7"/>
  <c r="AT117" i="7"/>
  <c r="AU100" i="7"/>
  <c r="AU101" i="7"/>
  <c r="AU102" i="7"/>
  <c r="AT95" i="7"/>
  <c r="AT96" i="7"/>
  <c r="AV42" i="7"/>
  <c r="AU114" i="7"/>
  <c r="AU115" i="7"/>
  <c r="AU116" i="7"/>
  <c r="AU117" i="7"/>
  <c r="AX118" i="6"/>
  <c r="AX119" i="6"/>
  <c r="AX120" i="6"/>
  <c r="AX121" i="6"/>
  <c r="AY38" i="6"/>
  <c r="AV34" i="9"/>
  <c r="AU94" i="9"/>
  <c r="AU95" i="9"/>
  <c r="AU96" i="9"/>
  <c r="AU97" i="9"/>
  <c r="AV46" i="9"/>
  <c r="AU124" i="9"/>
  <c r="AU125" i="9"/>
  <c r="AU126" i="9"/>
  <c r="AU127" i="9"/>
  <c r="AX104" i="9"/>
  <c r="AX105" i="9"/>
  <c r="AX106" i="9"/>
  <c r="AX107" i="9"/>
  <c r="AY38" i="9"/>
  <c r="AZ54" i="9"/>
  <c r="AY144" i="9"/>
  <c r="AY145" i="9"/>
  <c r="AY146" i="9"/>
  <c r="AY147" i="9"/>
  <c r="AT114" i="9"/>
  <c r="AT115" i="9"/>
  <c r="AT116" i="9"/>
  <c r="AT117" i="9"/>
  <c r="AU42" i="9"/>
  <c r="AV134" i="9"/>
  <c r="AV135" i="9"/>
  <c r="AV136" i="9"/>
  <c r="AV137" i="9"/>
  <c r="AW50" i="9"/>
  <c r="AU129" i="9"/>
  <c r="AU130" i="9"/>
  <c r="AU131" i="9"/>
  <c r="AU132" i="9"/>
  <c r="AV48" i="9"/>
  <c r="AU119" i="9"/>
  <c r="AU120" i="9"/>
  <c r="AU121" i="9"/>
  <c r="AU122" i="9"/>
  <c r="AV44" i="9"/>
  <c r="AV56" i="9"/>
  <c r="AU149" i="9"/>
  <c r="AW89" i="9"/>
  <c r="AW90" i="9"/>
  <c r="AW91" i="9"/>
  <c r="AW92" i="9"/>
  <c r="AX32" i="9"/>
  <c r="AV74" i="1"/>
  <c r="AU196" i="1"/>
  <c r="AW72" i="1"/>
  <c r="AV191" i="1"/>
  <c r="AV192" i="1"/>
  <c r="AV193" i="1"/>
  <c r="AV194" i="1"/>
  <c r="AX76" i="1"/>
  <c r="AW201" i="1"/>
  <c r="AW202" i="1"/>
  <c r="AW203" i="1"/>
  <c r="AW204" i="1"/>
  <c r="AW60" i="1"/>
  <c r="AV161" i="1"/>
  <c r="AX66" i="1"/>
  <c r="AW176" i="1"/>
  <c r="AT207" i="1"/>
  <c r="AT208" i="1"/>
  <c r="AV70" i="1"/>
  <c r="AU186" i="1"/>
  <c r="AV78" i="1"/>
  <c r="AU206" i="1"/>
  <c r="AU207" i="1"/>
  <c r="AU208" i="1"/>
  <c r="AU209" i="1"/>
  <c r="AU192" i="1"/>
  <c r="AU193" i="1"/>
  <c r="BA151" i="1"/>
  <c r="BB56" i="1"/>
  <c r="AZ115" i="11"/>
  <c r="AZ116" i="11"/>
  <c r="AZ117" i="11"/>
  <c r="BB42" i="11"/>
  <c r="BA114" i="11"/>
  <c r="L41" i="34"/>
  <c r="N41" i="34"/>
  <c r="O41" i="34"/>
  <c r="P41" i="34"/>
  <c r="Q41" i="34"/>
  <c r="T41" i="34"/>
  <c r="AE41" i="34"/>
  <c r="AN41" i="34"/>
  <c r="AD41" i="34"/>
  <c r="AK41" i="34"/>
  <c r="Y41" i="34"/>
  <c r="AH41" i="34"/>
  <c r="AO41" i="34"/>
  <c r="AF41" i="34"/>
  <c r="AM41" i="34"/>
  <c r="AA41" i="34"/>
  <c r="AJ41" i="34"/>
  <c r="Z41" i="34"/>
  <c r="AG41" i="34"/>
  <c r="X41" i="34"/>
  <c r="AC41" i="34"/>
  <c r="AL41" i="34"/>
  <c r="AB41" i="34"/>
  <c r="AI41" i="34"/>
  <c r="W43" i="35"/>
  <c r="V43" i="35"/>
  <c r="K43" i="35"/>
  <c r="U45" i="37"/>
  <c r="W45" i="37"/>
  <c r="V45" i="37"/>
  <c r="X45" i="37"/>
  <c r="AV100" i="11"/>
  <c r="AV101" i="11"/>
  <c r="AX85" i="11"/>
  <c r="AX86" i="11"/>
  <c r="AX87" i="11"/>
  <c r="AV104" i="11"/>
  <c r="AW38" i="11"/>
  <c r="AW99" i="11"/>
  <c r="AX36" i="11"/>
  <c r="AU105" i="11"/>
  <c r="AU106" i="11"/>
  <c r="AU107" i="11"/>
  <c r="AT107" i="11"/>
  <c r="AZ30" i="11"/>
  <c r="AY84" i="11"/>
  <c r="AU135" i="10"/>
  <c r="AU136" i="10"/>
  <c r="AU137" i="10"/>
  <c r="AW50" i="10"/>
  <c r="AV134" i="10"/>
  <c r="AV99" i="10"/>
  <c r="AW36" i="10"/>
  <c r="AU100" i="10"/>
  <c r="AU101" i="10"/>
  <c r="AU102" i="10"/>
  <c r="AT155" i="22"/>
  <c r="AT156" i="22"/>
  <c r="AT157" i="22"/>
  <c r="AV58" i="22"/>
  <c r="AU154" i="22"/>
  <c r="AV99" i="22"/>
  <c r="AW36" i="22"/>
  <c r="AU100" i="22"/>
  <c r="AU101" i="22"/>
  <c r="AU102" i="22"/>
  <c r="AV144" i="22"/>
  <c r="AW54" i="22"/>
  <c r="AU110" i="22"/>
  <c r="AU111" i="22"/>
  <c r="AU112" i="22"/>
  <c r="AU145" i="22"/>
  <c r="AU146" i="22"/>
  <c r="AU147" i="22"/>
  <c r="AV109" i="22"/>
  <c r="AW40" i="22"/>
  <c r="AW150" i="8"/>
  <c r="AW151" i="8"/>
  <c r="AW152" i="8"/>
  <c r="AX149" i="8"/>
  <c r="AY56" i="8"/>
  <c r="AU145" i="8"/>
  <c r="AU146" i="8"/>
  <c r="AW54" i="8"/>
  <c r="AV144" i="8"/>
  <c r="AS85" i="8"/>
  <c r="AS86" i="8"/>
  <c r="AU89" i="8"/>
  <c r="AV32" i="8"/>
  <c r="AU109" i="8"/>
  <c r="AV40" i="8"/>
  <c r="AV52" i="8"/>
  <c r="AU139" i="8"/>
  <c r="AT90" i="8"/>
  <c r="AT91" i="8"/>
  <c r="AT92" i="8"/>
  <c r="AU129" i="8"/>
  <c r="AV48" i="8"/>
  <c r="AT130" i="8"/>
  <c r="AT131" i="8"/>
  <c r="AT132" i="8"/>
  <c r="AT140" i="8"/>
  <c r="AT141" i="8"/>
  <c r="AT142" i="8"/>
  <c r="AU30" i="8"/>
  <c r="AT84" i="8"/>
  <c r="AT110" i="8"/>
  <c r="AT111" i="8"/>
  <c r="AT112" i="8"/>
  <c r="AU144" i="7"/>
  <c r="AV54" i="7"/>
  <c r="AT145" i="7"/>
  <c r="AT146" i="7"/>
  <c r="AT147" i="7"/>
  <c r="AU139" i="7"/>
  <c r="AV52" i="7"/>
  <c r="AT140" i="7"/>
  <c r="AT141" i="7"/>
  <c r="AT142" i="7"/>
  <c r="AU134" i="7"/>
  <c r="AV50" i="7"/>
  <c r="AT135" i="7"/>
  <c r="AT136" i="7"/>
  <c r="AT137" i="7"/>
  <c r="BA90" i="7"/>
  <c r="BA91" i="7"/>
  <c r="BA92" i="7"/>
  <c r="AX46" i="7"/>
  <c r="AW124" i="7"/>
  <c r="BB89" i="7"/>
  <c r="BC32" i="7"/>
  <c r="AW120" i="7"/>
  <c r="AW121" i="7"/>
  <c r="AW122" i="7"/>
  <c r="AV125" i="7"/>
  <c r="AV126" i="7"/>
  <c r="AY44" i="7"/>
  <c r="AX119" i="7"/>
  <c r="AV56" i="6"/>
  <c r="AU163" i="6"/>
  <c r="AT164" i="6"/>
  <c r="AT165" i="6"/>
  <c r="AT166" i="6"/>
  <c r="AU158" i="6"/>
  <c r="AV54" i="6"/>
  <c r="AT159" i="6"/>
  <c r="AT160" i="6"/>
  <c r="AT161" i="6"/>
  <c r="AU153" i="6"/>
  <c r="AV52" i="6"/>
  <c r="AT154" i="6"/>
  <c r="AT155" i="6"/>
  <c r="AT156" i="6"/>
  <c r="AU148" i="6"/>
  <c r="AV50" i="6"/>
  <c r="AT149" i="6"/>
  <c r="AT150" i="6"/>
  <c r="AT151" i="6"/>
  <c r="AU143" i="6"/>
  <c r="AV48" i="6"/>
  <c r="AT144" i="6"/>
  <c r="AT145" i="6"/>
  <c r="AT146" i="6"/>
  <c r="AU160" i="9"/>
  <c r="AU161" i="9"/>
  <c r="AU162" i="9"/>
  <c r="AV159" i="9"/>
  <c r="AW60" i="9"/>
  <c r="AV58" i="9"/>
  <c r="AU154" i="9"/>
  <c r="AT155" i="9"/>
  <c r="AT156" i="9"/>
  <c r="AT157" i="9"/>
  <c r="AU110" i="9"/>
  <c r="AU111" i="9"/>
  <c r="AU112" i="9"/>
  <c r="AU100" i="9"/>
  <c r="AU101" i="9"/>
  <c r="AU102" i="9"/>
  <c r="AV99" i="9"/>
  <c r="AW36" i="9"/>
  <c r="AV109" i="9"/>
  <c r="AW40" i="9"/>
  <c r="AT167" i="1"/>
  <c r="AT168" i="1"/>
  <c r="AT169" i="1"/>
  <c r="AV62" i="1"/>
  <c r="AU166" i="1"/>
  <c r="AT147" i="1"/>
  <c r="AT148" i="1"/>
  <c r="AT149" i="1"/>
  <c r="AT127" i="1"/>
  <c r="AT128" i="1"/>
  <c r="AT129" i="1"/>
  <c r="AU146" i="1"/>
  <c r="AV54" i="1"/>
  <c r="AV46" i="1"/>
  <c r="AU126" i="1"/>
  <c r="AV122" i="1"/>
  <c r="AV123" i="1"/>
  <c r="AV124" i="1"/>
  <c r="AX44" i="1"/>
  <c r="AW121" i="1"/>
  <c r="AX36" i="1"/>
  <c r="AW101" i="1"/>
  <c r="AV38" i="1"/>
  <c r="AU106" i="1"/>
  <c r="AV112" i="1"/>
  <c r="AV113" i="1"/>
  <c r="AV114" i="1"/>
  <c r="AV102" i="1"/>
  <c r="AV103" i="1"/>
  <c r="AV104" i="1"/>
  <c r="AT107" i="1"/>
  <c r="AT108" i="1"/>
  <c r="AT109" i="1"/>
  <c r="AX40" i="1"/>
  <c r="AW111" i="1"/>
  <c r="AW48" i="7"/>
  <c r="AV129" i="7"/>
  <c r="AV130" i="7"/>
  <c r="AV131" i="7"/>
  <c r="AV132" i="7"/>
  <c r="W43" i="36"/>
  <c r="V43" i="36"/>
  <c r="K43" i="36"/>
  <c r="T43" i="36"/>
  <c r="Q44" i="36"/>
  <c r="P45" i="36"/>
  <c r="Q45" i="36"/>
  <c r="AF22" i="26"/>
  <c r="R38" i="36"/>
  <c r="S39" i="36"/>
  <c r="BY75" i="9"/>
  <c r="BZ237" i="9"/>
  <c r="CB195" i="9"/>
  <c r="CB196" i="9"/>
  <c r="BW50" i="2"/>
  <c r="BX171" i="2"/>
  <c r="K46" i="31"/>
  <c r="L46" i="31"/>
  <c r="N46" i="31"/>
  <c r="O46" i="31"/>
  <c r="P46" i="31"/>
  <c r="AI59" i="11"/>
  <c r="AJ229" i="11"/>
  <c r="K38" i="41"/>
  <c r="T38" i="41"/>
  <c r="AK38" i="41"/>
  <c r="Z38" i="41"/>
  <c r="AH38" i="41"/>
  <c r="AJ38" i="41"/>
  <c r="AB38" i="41"/>
  <c r="AC38" i="41"/>
  <c r="X38" i="41"/>
  <c r="AI38" i="41"/>
  <c r="AF38" i="41"/>
  <c r="AG38" i="41"/>
  <c r="Y38" i="41"/>
  <c r="AE38" i="41"/>
  <c r="AL38" i="41"/>
  <c r="AD38" i="41"/>
  <c r="AA38" i="41"/>
  <c r="P41" i="41"/>
  <c r="Q40" i="41"/>
  <c r="Q20" i="26"/>
  <c r="S37" i="33"/>
  <c r="AT177" i="7"/>
  <c r="AY162" i="7"/>
  <c r="AZ167" i="8"/>
  <c r="BF167" i="10"/>
  <c r="BE177" i="10"/>
  <c r="BJ197" i="11"/>
  <c r="BN147" i="10"/>
  <c r="AU152" i="11"/>
  <c r="AU202" i="7"/>
  <c r="BU177" i="9"/>
  <c r="BC172" i="9"/>
  <c r="BG157" i="8"/>
  <c r="BV157" i="10"/>
  <c r="AT187" i="8"/>
  <c r="AT202" i="22"/>
  <c r="AT202" i="10"/>
  <c r="AT167" i="9"/>
  <c r="AT207" i="8"/>
  <c r="AT202" i="11"/>
  <c r="BA187" i="22"/>
  <c r="BD207" i="22"/>
  <c r="BR275" i="40"/>
  <c r="BR276" i="40"/>
  <c r="BR277" i="40"/>
  <c r="BK245" i="40"/>
  <c r="BK246" i="40"/>
  <c r="BK247" i="40"/>
  <c r="BK290" i="40"/>
  <c r="BK291" i="40"/>
  <c r="BK292" i="40"/>
  <c r="BR255" i="40"/>
  <c r="BR256" i="40"/>
  <c r="BR257" i="40"/>
  <c r="BL244" i="40"/>
  <c r="BM92" i="40"/>
  <c r="BL284" i="40"/>
  <c r="BM108" i="40"/>
  <c r="BL264" i="40"/>
  <c r="BL265" i="40"/>
  <c r="BL266" i="40"/>
  <c r="BL267" i="40"/>
  <c r="BM100" i="40"/>
  <c r="BL289" i="40"/>
  <c r="BL290" i="40"/>
  <c r="BL291" i="40"/>
  <c r="BL292" i="40"/>
  <c r="BM110" i="40"/>
  <c r="BK285" i="40"/>
  <c r="BK286" i="40"/>
  <c r="BK287" i="40"/>
  <c r="BK265" i="40"/>
  <c r="BK266" i="40"/>
  <c r="BK267" i="40"/>
  <c r="BL249" i="40"/>
  <c r="BM94" i="40"/>
  <c r="BL269" i="40"/>
  <c r="BL270" i="40"/>
  <c r="BL271" i="40"/>
  <c r="BL272" i="40"/>
  <c r="BM102" i="40"/>
  <c r="BS260" i="40"/>
  <c r="BS261" i="40"/>
  <c r="BS262" i="40"/>
  <c r="BK250" i="40"/>
  <c r="BK251" i="40"/>
  <c r="BK252" i="40"/>
  <c r="BS96" i="40"/>
  <c r="BS254" i="40"/>
  <c r="BR106" i="40"/>
  <c r="BR279" i="40"/>
  <c r="BS104" i="40"/>
  <c r="BS274" i="40"/>
  <c r="BT98" i="40"/>
  <c r="BT259" i="40"/>
  <c r="BO90" i="40"/>
  <c r="BK155" i="40"/>
  <c r="BK156" i="40"/>
  <c r="BK157" i="40"/>
  <c r="BM62" i="40"/>
  <c r="BL169" i="40"/>
  <c r="BN80" i="40"/>
  <c r="BM214" i="40"/>
  <c r="BL140" i="40"/>
  <c r="BL141" i="40"/>
  <c r="BK130" i="40"/>
  <c r="BK131" i="40"/>
  <c r="BK132" i="40"/>
  <c r="BM44" i="40"/>
  <c r="BL124" i="40"/>
  <c r="BK200" i="40"/>
  <c r="BK201" i="40"/>
  <c r="BM56" i="40"/>
  <c r="BL154" i="40"/>
  <c r="BN60" i="40"/>
  <c r="BM164" i="40"/>
  <c r="BN40" i="40"/>
  <c r="BM114" i="40"/>
  <c r="BJ172" i="40"/>
  <c r="BJ242" i="40"/>
  <c r="BJ202" i="40"/>
  <c r="BK145" i="40"/>
  <c r="BK146" i="40"/>
  <c r="BK147" i="40"/>
  <c r="BL235" i="40"/>
  <c r="BL236" i="40"/>
  <c r="BL237" i="40"/>
  <c r="BJ192" i="40"/>
  <c r="BO64" i="40"/>
  <c r="BN174" i="40"/>
  <c r="BK135" i="40"/>
  <c r="BK136" i="40"/>
  <c r="BK137" i="40"/>
  <c r="BN50" i="40"/>
  <c r="BM139" i="40"/>
  <c r="BK190" i="40"/>
  <c r="BK191" i="40"/>
  <c r="BK192" i="40"/>
  <c r="BK150" i="40"/>
  <c r="BK151" i="40"/>
  <c r="BK152" i="40"/>
  <c r="BK167" i="40"/>
  <c r="BJ232" i="40"/>
  <c r="BK210" i="40"/>
  <c r="BK211" i="40"/>
  <c r="BK212" i="40"/>
  <c r="BK217" i="40"/>
  <c r="BK237" i="40"/>
  <c r="BM46" i="40"/>
  <c r="BL129" i="40"/>
  <c r="BO68" i="40"/>
  <c r="BN184" i="40"/>
  <c r="BN66" i="40"/>
  <c r="BM179" i="40"/>
  <c r="BK240" i="40"/>
  <c r="BK241" i="40"/>
  <c r="BL165" i="40"/>
  <c r="BL166" i="40"/>
  <c r="BK230" i="40"/>
  <c r="BK231" i="40"/>
  <c r="BK232" i="40"/>
  <c r="BM175" i="40"/>
  <c r="BM176" i="40"/>
  <c r="BK220" i="40"/>
  <c r="BK221" i="40"/>
  <c r="BK222" i="40"/>
  <c r="BO72" i="40"/>
  <c r="BN194" i="40"/>
  <c r="BL205" i="40"/>
  <c r="BL206" i="40"/>
  <c r="BL207" i="40"/>
  <c r="BL177" i="40"/>
  <c r="BK227" i="40"/>
  <c r="BM86" i="40"/>
  <c r="BL229" i="40"/>
  <c r="BK160" i="40"/>
  <c r="BK161" i="40"/>
  <c r="BN88" i="40"/>
  <c r="BM234" i="40"/>
  <c r="BJ222" i="40"/>
  <c r="BM82" i="40"/>
  <c r="BL219" i="40"/>
  <c r="BM54" i="40"/>
  <c r="BL149" i="40"/>
  <c r="BM195" i="40"/>
  <c r="BM196" i="40"/>
  <c r="BM197" i="40"/>
  <c r="BJ162" i="40"/>
  <c r="BK142" i="40"/>
  <c r="BK120" i="40"/>
  <c r="BK121" i="40"/>
  <c r="BK122" i="40"/>
  <c r="BL225" i="40"/>
  <c r="BL226" i="40"/>
  <c r="BK125" i="40"/>
  <c r="BK126" i="40"/>
  <c r="BK127" i="40"/>
  <c r="BN76" i="40"/>
  <c r="BM204" i="40"/>
  <c r="BM74" i="40"/>
  <c r="BL199" i="40"/>
  <c r="BL115" i="40"/>
  <c r="BL116" i="40"/>
  <c r="BL117" i="40"/>
  <c r="BK170" i="40"/>
  <c r="BK171" i="40"/>
  <c r="BL215" i="40"/>
  <c r="BL216" i="40"/>
  <c r="BL217" i="40"/>
  <c r="BM58" i="40"/>
  <c r="BL159" i="40"/>
  <c r="BM52" i="40"/>
  <c r="BL144" i="40"/>
  <c r="BL197" i="40"/>
  <c r="BM48" i="40"/>
  <c r="BL134" i="40"/>
  <c r="BM70" i="40"/>
  <c r="BL189" i="40"/>
  <c r="BJ157" i="40"/>
  <c r="BM78" i="40"/>
  <c r="BL209" i="40"/>
  <c r="BM185" i="40"/>
  <c r="BM186" i="40"/>
  <c r="BM42" i="40"/>
  <c r="BL119" i="40"/>
  <c r="BL180" i="40"/>
  <c r="BL181" i="40"/>
  <c r="BL182" i="40"/>
  <c r="BN84" i="40"/>
  <c r="BM224" i="40"/>
  <c r="BL239" i="40"/>
  <c r="BC207" i="9"/>
  <c r="BU132" i="11"/>
  <c r="AW70" i="8"/>
  <c r="AV184" i="8"/>
  <c r="BG166" i="10"/>
  <c r="BG165" i="10"/>
  <c r="BW174" i="9"/>
  <c r="BX66" i="9"/>
  <c r="BH156" i="8"/>
  <c r="BH155" i="8"/>
  <c r="AW157" i="7"/>
  <c r="BW155" i="10"/>
  <c r="BW156" i="10"/>
  <c r="BE204" i="9"/>
  <c r="BF78" i="9"/>
  <c r="BB186" i="22"/>
  <c r="BB185" i="22"/>
  <c r="AX56" i="11"/>
  <c r="AW149" i="11"/>
  <c r="AW76" i="22"/>
  <c r="AV199" i="22"/>
  <c r="AU135" i="11"/>
  <c r="AU136" i="11"/>
  <c r="AX127" i="11"/>
  <c r="BE206" i="22"/>
  <c r="BE205" i="22"/>
  <c r="BE62" i="22"/>
  <c r="BD164" i="22"/>
  <c r="BM74" i="11"/>
  <c r="BL194" i="11"/>
  <c r="AW62" i="9"/>
  <c r="AV164" i="9"/>
  <c r="AV204" i="8"/>
  <c r="AW78" i="8"/>
  <c r="AU200" i="11"/>
  <c r="AU201" i="11"/>
  <c r="BO145" i="10"/>
  <c r="BO146" i="10"/>
  <c r="BX64" i="10"/>
  <c r="BW169" i="10"/>
  <c r="AU200" i="10"/>
  <c r="AU201" i="10"/>
  <c r="AT162" i="10"/>
  <c r="BD192" i="22"/>
  <c r="BA159" i="7"/>
  <c r="BB60" i="7"/>
  <c r="BW80" i="10"/>
  <c r="BV209" i="10"/>
  <c r="BA165" i="8"/>
  <c r="BA166" i="8"/>
  <c r="BF176" i="10"/>
  <c r="BF175" i="10"/>
  <c r="BI154" i="8"/>
  <c r="BJ58" i="8"/>
  <c r="BY58" i="10"/>
  <c r="BX154" i="10"/>
  <c r="BD205" i="9"/>
  <c r="BD206" i="9"/>
  <c r="BC184" i="22"/>
  <c r="BD70" i="22"/>
  <c r="AU61" i="11"/>
  <c r="AV230" i="11"/>
  <c r="AU200" i="22"/>
  <c r="AU201" i="22"/>
  <c r="AW50" i="11"/>
  <c r="AV134" i="11"/>
  <c r="BG78" i="22"/>
  <c r="BF204" i="22"/>
  <c r="BC204" i="7"/>
  <c r="BD78" i="7"/>
  <c r="BQ177" i="22"/>
  <c r="BU172" i="10"/>
  <c r="AT182" i="10"/>
  <c r="BD171" i="9"/>
  <c r="BD170" i="9"/>
  <c r="AU176" i="7"/>
  <c r="AU175" i="7"/>
  <c r="AV159" i="10"/>
  <c r="AW60" i="10"/>
  <c r="AX76" i="7"/>
  <c r="AW199" i="7"/>
  <c r="AW76" i="11"/>
  <c r="AV199" i="11"/>
  <c r="BV171" i="10"/>
  <c r="BV170" i="10"/>
  <c r="AV199" i="10"/>
  <c r="AW76" i="10"/>
  <c r="AZ161" i="7"/>
  <c r="AZ160" i="7"/>
  <c r="BU210" i="10"/>
  <c r="BU211" i="10"/>
  <c r="BC62" i="8"/>
  <c r="BB164" i="8"/>
  <c r="BG174" i="10"/>
  <c r="BH66" i="10"/>
  <c r="AY126" i="11"/>
  <c r="AY125" i="11"/>
  <c r="BF189" i="22"/>
  <c r="BG72" i="22"/>
  <c r="BT66" i="22"/>
  <c r="BS174" i="22"/>
  <c r="AU180" i="10"/>
  <c r="AU181" i="10"/>
  <c r="AX155" i="7"/>
  <c r="AX156" i="7"/>
  <c r="BB205" i="7"/>
  <c r="BB206" i="7"/>
  <c r="BL70" i="10"/>
  <c r="BK184" i="10"/>
  <c r="BE169" i="9"/>
  <c r="BF64" i="9"/>
  <c r="AW66" i="7"/>
  <c r="AV174" i="7"/>
  <c r="AU161" i="10"/>
  <c r="AU160" i="10"/>
  <c r="AV201" i="7"/>
  <c r="AV200" i="7"/>
  <c r="AZ205" i="11"/>
  <c r="AZ206" i="11"/>
  <c r="BT212" i="10"/>
  <c r="BN162" i="22"/>
  <c r="AU185" i="8"/>
  <c r="AU186" i="8"/>
  <c r="AY207" i="11"/>
  <c r="AW56" i="22"/>
  <c r="AV149" i="22"/>
  <c r="AV150" i="22"/>
  <c r="AV151" i="22"/>
  <c r="AV152" i="22"/>
  <c r="BH164" i="10"/>
  <c r="BI62" i="10"/>
  <c r="BV175" i="9"/>
  <c r="BV176" i="9"/>
  <c r="BA46" i="11"/>
  <c r="AZ124" i="11"/>
  <c r="AR81" i="8"/>
  <c r="AS240" i="8"/>
  <c r="BE190" i="22"/>
  <c r="BE191" i="22"/>
  <c r="AV150" i="11"/>
  <c r="AV151" i="11"/>
  <c r="BB167" i="22"/>
  <c r="BA207" i="7"/>
  <c r="BR175" i="22"/>
  <c r="BR176" i="22"/>
  <c r="BI187" i="10"/>
  <c r="AW68" i="10"/>
  <c r="AV179" i="10"/>
  <c r="AZ58" i="7"/>
  <c r="AY154" i="7"/>
  <c r="AO55" i="11"/>
  <c r="AP227" i="11"/>
  <c r="BC166" i="22"/>
  <c r="BC165" i="22"/>
  <c r="AT137" i="11"/>
  <c r="AW46" i="6"/>
  <c r="AV138" i="6"/>
  <c r="AV139" i="6"/>
  <c r="AV140" i="6"/>
  <c r="AV141" i="6"/>
  <c r="BJ185" i="10"/>
  <c r="BJ186" i="10"/>
  <c r="BK195" i="11"/>
  <c r="BK196" i="11"/>
  <c r="AU165" i="9"/>
  <c r="AU166" i="9"/>
  <c r="AU205" i="8"/>
  <c r="AU206" i="8"/>
  <c r="BP144" i="10"/>
  <c r="BQ54" i="10"/>
  <c r="BB78" i="11"/>
  <c r="BA204" i="11"/>
  <c r="T44" i="32"/>
  <c r="AP46" i="31"/>
  <c r="AQ46" i="31"/>
  <c r="AI46" i="31"/>
  <c r="AA46" i="31"/>
  <c r="AJ46" i="31"/>
  <c r="AT46" i="31"/>
  <c r="Y46" i="31"/>
  <c r="AR46" i="31"/>
  <c r="AH46" i="31"/>
  <c r="AM46" i="31"/>
  <c r="AE46" i="31"/>
  <c r="Z46" i="31"/>
  <c r="AB46" i="31"/>
  <c r="AO46" i="31"/>
  <c r="AD46" i="31"/>
  <c r="AS46" i="31"/>
  <c r="AK46" i="31"/>
  <c r="AL46" i="31"/>
  <c r="AN46" i="31"/>
  <c r="X46" i="31"/>
  <c r="AC46" i="31"/>
  <c r="AG46" i="31"/>
  <c r="AF46" i="31"/>
  <c r="S45" i="31"/>
  <c r="G28" i="26"/>
  <c r="T46" i="31"/>
  <c r="AX109" i="11"/>
  <c r="AX110" i="11"/>
  <c r="AX111" i="11"/>
  <c r="AX112" i="11"/>
  <c r="AY40" i="11"/>
  <c r="AW38" i="10"/>
  <c r="AV104" i="10"/>
  <c r="AV105" i="10"/>
  <c r="AV106" i="10"/>
  <c r="AV107" i="10"/>
  <c r="AV124" i="10"/>
  <c r="AV125" i="10"/>
  <c r="AV126" i="10"/>
  <c r="AV127" i="10"/>
  <c r="AW46" i="10"/>
  <c r="AW42" i="10"/>
  <c r="AV114" i="10"/>
  <c r="AV115" i="10"/>
  <c r="AV116" i="10"/>
  <c r="AV117" i="10"/>
  <c r="AW40" i="10"/>
  <c r="AV109" i="10"/>
  <c r="AV110" i="10"/>
  <c r="AV111" i="10"/>
  <c r="AV112" i="10"/>
  <c r="AV129" i="10"/>
  <c r="AV130" i="10"/>
  <c r="AV131" i="10"/>
  <c r="AV132" i="10"/>
  <c r="AW48" i="10"/>
  <c r="AX44" i="10"/>
  <c r="AW119" i="10"/>
  <c r="AW120" i="10"/>
  <c r="AW121" i="10"/>
  <c r="AW122" i="10"/>
  <c r="AW30" i="10"/>
  <c r="AV84" i="10"/>
  <c r="AV85" i="10"/>
  <c r="AV86" i="10"/>
  <c r="AV87" i="10"/>
  <c r="AW52" i="10"/>
  <c r="AV139" i="10"/>
  <c r="AV140" i="10"/>
  <c r="AV141" i="10"/>
  <c r="AV142" i="10"/>
  <c r="AV94" i="10"/>
  <c r="AV95" i="10"/>
  <c r="AV96" i="10"/>
  <c r="AV97" i="10"/>
  <c r="AW34" i="10"/>
  <c r="AW32" i="10"/>
  <c r="AV89" i="10"/>
  <c r="AV90" i="10"/>
  <c r="AV91" i="10"/>
  <c r="AV92" i="10"/>
  <c r="AX52" i="22"/>
  <c r="AW139" i="22"/>
  <c r="AW140" i="22"/>
  <c r="AW141" i="22"/>
  <c r="AW142" i="22"/>
  <c r="AW50" i="22"/>
  <c r="AV134" i="22"/>
  <c r="AV135" i="22"/>
  <c r="AV136" i="22"/>
  <c r="AV137" i="22"/>
  <c r="AW42" i="22"/>
  <c r="AV114" i="22"/>
  <c r="AV115" i="22"/>
  <c r="AV116" i="22"/>
  <c r="AV117" i="22"/>
  <c r="AW124" i="22"/>
  <c r="AW125" i="22"/>
  <c r="AW126" i="22"/>
  <c r="AW127" i="22"/>
  <c r="AX46" i="22"/>
  <c r="AX50" i="8"/>
  <c r="AW134" i="8"/>
  <c r="AW135" i="8"/>
  <c r="AW136" i="8"/>
  <c r="AW137" i="8"/>
  <c r="AV124" i="8"/>
  <c r="AV125" i="8"/>
  <c r="AV126" i="8"/>
  <c r="AV127" i="8"/>
  <c r="AW46" i="8"/>
  <c r="BS152" i="10"/>
  <c r="BP197" i="10"/>
  <c r="BQ182" i="9"/>
  <c r="BZ192" i="10"/>
  <c r="BR207" i="10"/>
  <c r="BN212" i="11"/>
  <c r="BM177" i="11"/>
  <c r="BO197" i="7"/>
  <c r="AT202" i="9"/>
  <c r="BL182" i="8"/>
  <c r="BQ212" i="22"/>
  <c r="BQ195" i="10"/>
  <c r="BQ196" i="10"/>
  <c r="AM49" i="2"/>
  <c r="AN170" i="2"/>
  <c r="BQ195" i="8"/>
  <c r="BQ196" i="8"/>
  <c r="AU201" i="9"/>
  <c r="AU200" i="9"/>
  <c r="BQ66" i="8"/>
  <c r="BP174" i="8"/>
  <c r="AZ191" i="8"/>
  <c r="AZ190" i="8"/>
  <c r="BW180" i="7"/>
  <c r="BW181" i="7"/>
  <c r="BR180" i="9"/>
  <c r="BR181" i="9"/>
  <c r="BO187" i="7"/>
  <c r="AV189" i="9"/>
  <c r="AW72" i="9"/>
  <c r="BO182" i="22"/>
  <c r="BR194" i="10"/>
  <c r="BS74" i="10"/>
  <c r="AJ65" i="8"/>
  <c r="AK232" i="8"/>
  <c r="BU212" i="9"/>
  <c r="U49" i="2"/>
  <c r="V170" i="2"/>
  <c r="AV49" i="2"/>
  <c r="AW170" i="2"/>
  <c r="BR211" i="22"/>
  <c r="BR210" i="22"/>
  <c r="BK192" i="11"/>
  <c r="BM180" i="8"/>
  <c r="BM181" i="8"/>
  <c r="BN176" i="11"/>
  <c r="BN175" i="11"/>
  <c r="BM60" i="8"/>
  <c r="BL159" i="8"/>
  <c r="BR68" i="22"/>
  <c r="BQ179" i="22"/>
  <c r="AY192" i="8"/>
  <c r="BZ141" i="11"/>
  <c r="BZ140" i="11"/>
  <c r="BS74" i="8"/>
  <c r="BR194" i="8"/>
  <c r="A52" i="2"/>
  <c r="A172" i="2"/>
  <c r="BW172" i="2"/>
  <c r="BB72" i="8"/>
  <c r="BA189" i="8"/>
  <c r="BY68" i="7"/>
  <c r="BX179" i="7"/>
  <c r="BV210" i="9"/>
  <c r="BV211" i="9"/>
  <c r="C49" i="2"/>
  <c r="D170" i="2"/>
  <c r="BX48" i="11"/>
  <c r="BW129" i="11"/>
  <c r="BU31" i="22"/>
  <c r="BV215" i="22"/>
  <c r="BR70" i="7"/>
  <c r="BQ184" i="7"/>
  <c r="BS187" i="9"/>
  <c r="BX80" i="9"/>
  <c r="BW209" i="9"/>
  <c r="BT204" i="10"/>
  <c r="BU78" i="10"/>
  <c r="AU190" i="9"/>
  <c r="AU191" i="9"/>
  <c r="BN177" i="8"/>
  <c r="BV70" i="9"/>
  <c r="BU184" i="9"/>
  <c r="BL190" i="11"/>
  <c r="BL191" i="11"/>
  <c r="BS74" i="22"/>
  <c r="BR194" i="22"/>
  <c r="BS211" i="7"/>
  <c r="BS210" i="7"/>
  <c r="AD49" i="2"/>
  <c r="AE170" i="2"/>
  <c r="L49" i="2"/>
  <c r="M170" i="2"/>
  <c r="BS172" i="22"/>
  <c r="BY142" i="11"/>
  <c r="BT80" i="22"/>
  <c r="BS209" i="22"/>
  <c r="BO68" i="8"/>
  <c r="BN179" i="8"/>
  <c r="BP159" i="22"/>
  <c r="BQ60" i="22"/>
  <c r="BP66" i="11"/>
  <c r="BO174" i="11"/>
  <c r="BP195" i="7"/>
  <c r="BP196" i="7"/>
  <c r="BK160" i="8"/>
  <c r="BK161" i="8"/>
  <c r="BT171" i="22"/>
  <c r="BT170" i="22"/>
  <c r="BP181" i="22"/>
  <c r="BP180" i="22"/>
  <c r="CB52" i="11"/>
  <c r="CA139" i="11"/>
  <c r="CA190" i="10"/>
  <c r="CA191" i="10"/>
  <c r="AM171" i="2"/>
  <c r="C171" i="2"/>
  <c r="L171" i="2"/>
  <c r="AV171" i="2"/>
  <c r="AD171" i="2"/>
  <c r="U171" i="2"/>
  <c r="BN171" i="2"/>
  <c r="BE171" i="2"/>
  <c r="BT150" i="10"/>
  <c r="BT151" i="10"/>
  <c r="AW69" i="11"/>
  <c r="AX234" i="11"/>
  <c r="BR65" i="7"/>
  <c r="BS232" i="7"/>
  <c r="BT68" i="9"/>
  <c r="BS179" i="9"/>
  <c r="BQ80" i="11"/>
  <c r="BP209" i="11"/>
  <c r="AV63" i="11"/>
  <c r="AW231" i="11"/>
  <c r="BO76" i="8"/>
  <c r="BN199" i="8"/>
  <c r="AV89" i="22"/>
  <c r="AV90" i="22"/>
  <c r="AV91" i="22"/>
  <c r="AV92" i="22"/>
  <c r="AW32" i="22"/>
  <c r="AR65" i="11"/>
  <c r="AS232" i="11"/>
  <c r="AH73" i="7"/>
  <c r="AI236" i="7"/>
  <c r="BR212" i="7"/>
  <c r="BS206" i="10"/>
  <c r="BS205" i="10"/>
  <c r="BL202" i="8"/>
  <c r="BT185" i="9"/>
  <c r="BT186" i="9"/>
  <c r="BN72" i="11"/>
  <c r="BM189" i="11"/>
  <c r="BJ162" i="8"/>
  <c r="BQ195" i="22"/>
  <c r="BQ196" i="22"/>
  <c r="BO210" i="11"/>
  <c r="BO211" i="11"/>
  <c r="BT209" i="7"/>
  <c r="BU80" i="7"/>
  <c r="BE49" i="2"/>
  <c r="CF49" i="2"/>
  <c r="BF170" i="2"/>
  <c r="BN49" i="2"/>
  <c r="BO170" i="2"/>
  <c r="BP197" i="8"/>
  <c r="BO161" i="22"/>
  <c r="BO160" i="22"/>
  <c r="BV130" i="11"/>
  <c r="BV131" i="11"/>
  <c r="BR74" i="7"/>
  <c r="BQ194" i="7"/>
  <c r="AT192" i="9"/>
  <c r="BU169" i="22"/>
  <c r="BV64" i="22"/>
  <c r="BP197" i="22"/>
  <c r="BM200" i="8"/>
  <c r="BM201" i="8"/>
  <c r="CB73" i="10"/>
  <c r="CA73" i="10"/>
  <c r="BZ73" i="10"/>
  <c r="BY73" i="10"/>
  <c r="BX73" i="10"/>
  <c r="CB189" i="10"/>
  <c r="BV182" i="7"/>
  <c r="AV199" i="9"/>
  <c r="AW76" i="9"/>
  <c r="BO175" i="8"/>
  <c r="BO176" i="8"/>
  <c r="BV56" i="10"/>
  <c r="BU149" i="10"/>
  <c r="BP185" i="7"/>
  <c r="BP186" i="7"/>
  <c r="U38" i="30"/>
  <c r="W38" i="30"/>
  <c r="V38" i="30"/>
  <c r="AG38" i="30"/>
  <c r="BB167" i="7"/>
  <c r="AW44" i="8"/>
  <c r="AV119" i="8"/>
  <c r="AV120" i="8"/>
  <c r="AV121" i="8"/>
  <c r="AV122" i="8"/>
  <c r="AW42" i="8"/>
  <c r="AV114" i="8"/>
  <c r="AV115" i="8"/>
  <c r="AV116" i="8"/>
  <c r="AV117" i="8"/>
  <c r="BB34" i="8"/>
  <c r="BA94" i="8"/>
  <c r="BA95" i="8"/>
  <c r="BA96" i="8"/>
  <c r="BA97" i="8"/>
  <c r="BE62" i="7"/>
  <c r="BD164" i="7"/>
  <c r="BC165" i="7"/>
  <c r="BC166" i="7"/>
  <c r="AV89" i="11"/>
  <c r="AV90" i="11"/>
  <c r="AV91" i="11"/>
  <c r="AV92" i="11"/>
  <c r="AW32" i="11"/>
  <c r="AX30" i="9"/>
  <c r="AW84" i="9"/>
  <c r="AW85" i="9"/>
  <c r="AW86" i="9"/>
  <c r="AW87" i="9"/>
  <c r="AW52" i="9"/>
  <c r="AV139" i="9"/>
  <c r="AV140" i="9"/>
  <c r="AV141" i="9"/>
  <c r="AV142" i="9"/>
  <c r="AX86" i="1"/>
  <c r="AX87" i="1"/>
  <c r="AX88" i="1"/>
  <c r="AX89" i="1"/>
  <c r="AY30" i="1"/>
  <c r="AW58" i="1"/>
  <c r="AV156" i="1"/>
  <c r="AV157" i="1"/>
  <c r="AV158" i="1"/>
  <c r="AV159" i="1"/>
  <c r="AV141" i="1"/>
  <c r="AV142" i="1"/>
  <c r="AV143" i="1"/>
  <c r="AV144" i="1"/>
  <c r="AW52" i="1"/>
  <c r="AY32" i="1"/>
  <c r="AX91" i="1"/>
  <c r="AX92" i="1"/>
  <c r="AX93" i="1"/>
  <c r="AX94" i="1"/>
  <c r="AV96" i="1"/>
  <c r="AV97" i="1"/>
  <c r="AV98" i="1"/>
  <c r="AV99" i="1"/>
  <c r="AW34" i="1"/>
  <c r="AW68" i="1"/>
  <c r="AV181" i="1"/>
  <c r="AV182" i="1"/>
  <c r="AV183" i="1"/>
  <c r="AV184" i="1"/>
  <c r="AV131" i="1"/>
  <c r="AV132" i="1"/>
  <c r="AV133" i="1"/>
  <c r="AV134" i="1"/>
  <c r="AW48" i="1"/>
  <c r="AV171" i="1"/>
  <c r="AV172" i="1"/>
  <c r="AV173" i="1"/>
  <c r="AV174" i="1"/>
  <c r="AW64" i="1"/>
  <c r="AU194" i="1"/>
  <c r="AT209" i="1"/>
  <c r="AW50" i="1"/>
  <c r="AV136" i="1"/>
  <c r="AV137" i="1"/>
  <c r="AV138" i="1"/>
  <c r="AV139" i="1"/>
  <c r="W44" i="33"/>
  <c r="V44" i="33"/>
  <c r="K44" i="33"/>
  <c r="AV219" i="1"/>
  <c r="AX44" i="22"/>
  <c r="AW119" i="22"/>
  <c r="AW120" i="22"/>
  <c r="AW121" i="22"/>
  <c r="AW122" i="22"/>
  <c r="AV78" i="6"/>
  <c r="AV79" i="6"/>
  <c r="AV80" i="6"/>
  <c r="AV81" i="6"/>
  <c r="AW22" i="6"/>
  <c r="AV108" i="6"/>
  <c r="AV109" i="6"/>
  <c r="AV110" i="6"/>
  <c r="AV111" i="6"/>
  <c r="AW34" i="6"/>
  <c r="AW44" i="6"/>
  <c r="AV133" i="6"/>
  <c r="AV134" i="6"/>
  <c r="AV135" i="6"/>
  <c r="AV136" i="6"/>
  <c r="AX30" i="6"/>
  <c r="AW98" i="6"/>
  <c r="AW99" i="6"/>
  <c r="AW100" i="6"/>
  <c r="AW101" i="6"/>
  <c r="AV113" i="6"/>
  <c r="AV114" i="6"/>
  <c r="AV115" i="6"/>
  <c r="AV116" i="6"/>
  <c r="AW36" i="6"/>
  <c r="AV83" i="6"/>
  <c r="AV84" i="6"/>
  <c r="AV85" i="6"/>
  <c r="AV86" i="6"/>
  <c r="AW24" i="6"/>
  <c r="AW32" i="6"/>
  <c r="AV103" i="6"/>
  <c r="AV104" i="6"/>
  <c r="AV105" i="6"/>
  <c r="AV106" i="6"/>
  <c r="AV88" i="6"/>
  <c r="AV89" i="6"/>
  <c r="AV90" i="6"/>
  <c r="AV91" i="6"/>
  <c r="AW26" i="6"/>
  <c r="AX42" i="6"/>
  <c r="AW128" i="6"/>
  <c r="AW129" i="6"/>
  <c r="AW130" i="6"/>
  <c r="AW131" i="6"/>
  <c r="AW28" i="6"/>
  <c r="AV93" i="6"/>
  <c r="AV94" i="6"/>
  <c r="AV95" i="6"/>
  <c r="AV96" i="6"/>
  <c r="AW40" i="6"/>
  <c r="AV123" i="6"/>
  <c r="AV124" i="6"/>
  <c r="AV125" i="6"/>
  <c r="AV126" i="6"/>
  <c r="AU117" i="1"/>
  <c r="AU118" i="1"/>
  <c r="AU119" i="1"/>
  <c r="AW217" i="1"/>
  <c r="AW218" i="1"/>
  <c r="AZ80" i="1"/>
  <c r="AY211" i="1"/>
  <c r="AY212" i="1"/>
  <c r="AY213" i="1"/>
  <c r="AY214" i="1"/>
  <c r="AV116" i="1"/>
  <c r="AV117" i="1"/>
  <c r="AV118" i="1"/>
  <c r="AV119" i="1"/>
  <c r="AW42" i="1"/>
  <c r="AY82" i="1"/>
  <c r="AX216" i="1"/>
  <c r="AV127" i="7"/>
  <c r="AS87" i="8"/>
  <c r="AU147" i="8"/>
  <c r="AT97" i="7"/>
  <c r="AW99" i="8"/>
  <c r="AW100" i="8"/>
  <c r="AW101" i="8"/>
  <c r="AW102" i="8"/>
  <c r="AX36" i="8"/>
  <c r="AV100" i="8"/>
  <c r="AV101" i="8"/>
  <c r="AV102" i="8"/>
  <c r="BA38" i="8"/>
  <c r="AZ104" i="8"/>
  <c r="AZ105" i="8"/>
  <c r="AZ106" i="8"/>
  <c r="AZ107" i="8"/>
  <c r="AV120" i="11"/>
  <c r="AV121" i="11"/>
  <c r="AV122" i="11"/>
  <c r="AX44" i="11"/>
  <c r="AW119" i="11"/>
  <c r="U45" i="32"/>
  <c r="AV102" i="11"/>
  <c r="AW48" i="22"/>
  <c r="AV129" i="22"/>
  <c r="AV130" i="22"/>
  <c r="AV131" i="22"/>
  <c r="AV132" i="22"/>
  <c r="AV94" i="22"/>
  <c r="AV95" i="22"/>
  <c r="AV96" i="22"/>
  <c r="AV97" i="22"/>
  <c r="AW34" i="22"/>
  <c r="AX38" i="22"/>
  <c r="AW104" i="22"/>
  <c r="AW105" i="22"/>
  <c r="AW106" i="22"/>
  <c r="AW107" i="22"/>
  <c r="AX38" i="7"/>
  <c r="AW104" i="7"/>
  <c r="AW105" i="7"/>
  <c r="AW106" i="7"/>
  <c r="AW107" i="7"/>
  <c r="AW84" i="7"/>
  <c r="AW85" i="7"/>
  <c r="AW86" i="7"/>
  <c r="AW87" i="7"/>
  <c r="AX30" i="7"/>
  <c r="AX36" i="7"/>
  <c r="AW99" i="7"/>
  <c r="AV114" i="7"/>
  <c r="AV115" i="7"/>
  <c r="AV116" i="7"/>
  <c r="AV117" i="7"/>
  <c r="AW42" i="7"/>
  <c r="AW34" i="7"/>
  <c r="AV94" i="7"/>
  <c r="AV95" i="7"/>
  <c r="AV96" i="7"/>
  <c r="AV97" i="7"/>
  <c r="AY109" i="7"/>
  <c r="AZ40" i="7"/>
  <c r="AY118" i="6"/>
  <c r="AY119" i="6"/>
  <c r="AY120" i="6"/>
  <c r="AY121" i="6"/>
  <c r="AZ38" i="6"/>
  <c r="AV42" i="9"/>
  <c r="AU114" i="9"/>
  <c r="AU115" i="9"/>
  <c r="AU116" i="9"/>
  <c r="AU117" i="9"/>
  <c r="AY104" i="9"/>
  <c r="AY105" i="9"/>
  <c r="AY106" i="9"/>
  <c r="AY107" i="9"/>
  <c r="AZ38" i="9"/>
  <c r="AV94" i="9"/>
  <c r="AV95" i="9"/>
  <c r="AV96" i="9"/>
  <c r="AV97" i="9"/>
  <c r="AW34" i="9"/>
  <c r="BA54" i="9"/>
  <c r="AZ144" i="9"/>
  <c r="AZ145" i="9"/>
  <c r="AZ146" i="9"/>
  <c r="AZ147" i="9"/>
  <c r="AW46" i="9"/>
  <c r="AV124" i="9"/>
  <c r="AV125" i="9"/>
  <c r="AV126" i="9"/>
  <c r="AV127" i="9"/>
  <c r="AW134" i="9"/>
  <c r="AW135" i="9"/>
  <c r="AW136" i="9"/>
  <c r="AW137" i="9"/>
  <c r="AX50" i="9"/>
  <c r="AU150" i="9"/>
  <c r="AU151" i="9"/>
  <c r="AU152" i="9"/>
  <c r="AW56" i="9"/>
  <c r="AV149" i="9"/>
  <c r="AY32" i="9"/>
  <c r="AX89" i="9"/>
  <c r="AX90" i="9"/>
  <c r="AX91" i="9"/>
  <c r="AX92" i="9"/>
  <c r="AW48" i="9"/>
  <c r="AV129" i="9"/>
  <c r="AV130" i="9"/>
  <c r="AV131" i="9"/>
  <c r="AV132" i="9"/>
  <c r="AV119" i="9"/>
  <c r="AV120" i="9"/>
  <c r="AV121" i="9"/>
  <c r="AV122" i="9"/>
  <c r="AW44" i="9"/>
  <c r="BA152" i="1"/>
  <c r="BA153" i="1"/>
  <c r="BA154" i="1"/>
  <c r="AW78" i="1"/>
  <c r="AV206" i="1"/>
  <c r="AV207" i="1"/>
  <c r="AV208" i="1"/>
  <c r="AV209" i="1"/>
  <c r="AU187" i="1"/>
  <c r="AU188" i="1"/>
  <c r="AU189" i="1"/>
  <c r="AY66" i="1"/>
  <c r="AX176" i="1"/>
  <c r="AW161" i="1"/>
  <c r="AX60" i="1"/>
  <c r="AX72" i="1"/>
  <c r="AW191" i="1"/>
  <c r="AW192" i="1"/>
  <c r="AW193" i="1"/>
  <c r="AW194" i="1"/>
  <c r="AU197" i="1"/>
  <c r="AU198" i="1"/>
  <c r="AU199" i="1"/>
  <c r="AW70" i="1"/>
  <c r="AV186" i="1"/>
  <c r="AV187" i="1"/>
  <c r="AV188" i="1"/>
  <c r="AV189" i="1"/>
  <c r="AW74" i="1"/>
  <c r="AV196" i="1"/>
  <c r="AV197" i="1"/>
  <c r="AV198" i="1"/>
  <c r="AV199" i="1"/>
  <c r="BB151" i="1"/>
  <c r="BC56" i="1"/>
  <c r="AW177" i="1"/>
  <c r="AW178" i="1"/>
  <c r="AW179" i="1"/>
  <c r="AV162" i="1"/>
  <c r="AV163" i="1"/>
  <c r="AV164" i="1"/>
  <c r="AY76" i="1"/>
  <c r="AX201" i="1"/>
  <c r="AX202" i="1"/>
  <c r="AX203" i="1"/>
  <c r="AX204" i="1"/>
  <c r="K45" i="37"/>
  <c r="T45" i="37"/>
  <c r="BA115" i="11"/>
  <c r="BA116" i="11"/>
  <c r="BA117" i="11"/>
  <c r="BC42" i="11"/>
  <c r="BB114" i="11"/>
  <c r="U42" i="34"/>
  <c r="P42" i="34"/>
  <c r="Q42" i="34"/>
  <c r="T43" i="35"/>
  <c r="L43" i="35"/>
  <c r="N43" i="35"/>
  <c r="O43" i="35"/>
  <c r="P43" i="35"/>
  <c r="Q43" i="35"/>
  <c r="AE43" i="35"/>
  <c r="X43" i="35"/>
  <c r="AN43" i="35"/>
  <c r="AK43" i="35"/>
  <c r="AH43" i="35"/>
  <c r="AI43" i="35"/>
  <c r="AB43" i="35"/>
  <c r="Y43" i="35"/>
  <c r="AO43" i="35"/>
  <c r="AL43" i="35"/>
  <c r="AM43" i="35"/>
  <c r="AF43" i="35"/>
  <c r="AC43" i="35"/>
  <c r="Z43" i="35"/>
  <c r="AP43" i="35"/>
  <c r="AA43" i="35"/>
  <c r="AQ43" i="35"/>
  <c r="AJ43" i="35"/>
  <c r="AG43" i="35"/>
  <c r="AD43" i="35"/>
  <c r="Z45" i="37"/>
  <c r="AL45" i="37"/>
  <c r="AE45" i="37"/>
  <c r="AC45" i="37"/>
  <c r="AW100" i="11"/>
  <c r="AW101" i="11"/>
  <c r="AW102" i="11"/>
  <c r="AW104" i="11"/>
  <c r="AX38" i="11"/>
  <c r="AY36" i="11"/>
  <c r="AX99" i="11"/>
  <c r="AY85" i="11"/>
  <c r="AY86" i="11"/>
  <c r="AY87" i="11"/>
  <c r="AV105" i="11"/>
  <c r="AV106" i="11"/>
  <c r="AV107" i="11"/>
  <c r="BA30" i="11"/>
  <c r="AZ84" i="11"/>
  <c r="AV135" i="10"/>
  <c r="AV136" i="10"/>
  <c r="AV137" i="10"/>
  <c r="AX50" i="10"/>
  <c r="AW134" i="10"/>
  <c r="AW99" i="10"/>
  <c r="AX36" i="10"/>
  <c r="AV100" i="10"/>
  <c r="AV101" i="10"/>
  <c r="AV102" i="10"/>
  <c r="AW58" i="22"/>
  <c r="AV154" i="22"/>
  <c r="AU155" i="22"/>
  <c r="AU156" i="22"/>
  <c r="AU157" i="22"/>
  <c r="AV145" i="22"/>
  <c r="AV146" i="22"/>
  <c r="AV147" i="22"/>
  <c r="AW144" i="22"/>
  <c r="AX54" i="22"/>
  <c r="AW109" i="22"/>
  <c r="AX40" i="22"/>
  <c r="AX36" i="22"/>
  <c r="AW99" i="22"/>
  <c r="AV110" i="22"/>
  <c r="AV111" i="22"/>
  <c r="AV100" i="22"/>
  <c r="AV101" i="22"/>
  <c r="AV102" i="22"/>
  <c r="AZ56" i="8"/>
  <c r="AY149" i="8"/>
  <c r="AX150" i="8"/>
  <c r="AX151" i="8"/>
  <c r="AX152" i="8"/>
  <c r="AV145" i="8"/>
  <c r="AV146" i="8"/>
  <c r="AV147" i="8"/>
  <c r="AW144" i="8"/>
  <c r="AX54" i="8"/>
  <c r="AU130" i="8"/>
  <c r="AU131" i="8"/>
  <c r="AU132" i="8"/>
  <c r="AU140" i="8"/>
  <c r="AU141" i="8"/>
  <c r="AU142" i="8"/>
  <c r="AU110" i="8"/>
  <c r="AU111" i="8"/>
  <c r="AU112" i="8"/>
  <c r="AV139" i="8"/>
  <c r="AW52" i="8"/>
  <c r="AT85" i="8"/>
  <c r="AT86" i="8"/>
  <c r="AT87" i="8"/>
  <c r="AV30" i="8"/>
  <c r="AU84" i="8"/>
  <c r="AV89" i="8"/>
  <c r="AW32" i="8"/>
  <c r="AW48" i="8"/>
  <c r="AV129" i="8"/>
  <c r="AV109" i="8"/>
  <c r="AW40" i="8"/>
  <c r="AU90" i="8"/>
  <c r="AU91" i="8"/>
  <c r="AU92" i="8"/>
  <c r="AW54" i="7"/>
  <c r="AV144" i="7"/>
  <c r="AU145" i="7"/>
  <c r="AU146" i="7"/>
  <c r="AU147" i="7"/>
  <c r="AU140" i="7"/>
  <c r="AU141" i="7"/>
  <c r="AU142" i="7"/>
  <c r="AV139" i="7"/>
  <c r="AW52" i="7"/>
  <c r="AV134" i="7"/>
  <c r="AW50" i="7"/>
  <c r="AU135" i="7"/>
  <c r="AU136" i="7"/>
  <c r="AU137" i="7"/>
  <c r="AX120" i="7"/>
  <c r="AX121" i="7"/>
  <c r="AX122" i="7"/>
  <c r="AY119" i="7"/>
  <c r="AZ44" i="7"/>
  <c r="BC89" i="7"/>
  <c r="BD32" i="7"/>
  <c r="AW125" i="7"/>
  <c r="AW126" i="7"/>
  <c r="AW127" i="7"/>
  <c r="BB90" i="7"/>
  <c r="BB91" i="7"/>
  <c r="AX124" i="7"/>
  <c r="AY46" i="7"/>
  <c r="AU164" i="6"/>
  <c r="AU165" i="6"/>
  <c r="AU166" i="6"/>
  <c r="AW56" i="6"/>
  <c r="AV163" i="6"/>
  <c r="AU159" i="6"/>
  <c r="AU160" i="6"/>
  <c r="AU161" i="6"/>
  <c r="AW54" i="6"/>
  <c r="AV158" i="6"/>
  <c r="AV153" i="6"/>
  <c r="AW52" i="6"/>
  <c r="AU154" i="6"/>
  <c r="AU155" i="6"/>
  <c r="AU156" i="6"/>
  <c r="AV148" i="6"/>
  <c r="AW50" i="6"/>
  <c r="AU149" i="6"/>
  <c r="AU150" i="6"/>
  <c r="AU151" i="6"/>
  <c r="AV143" i="6"/>
  <c r="AW48" i="6"/>
  <c r="AU144" i="6"/>
  <c r="AU145" i="6"/>
  <c r="AU146" i="6"/>
  <c r="AX60" i="9"/>
  <c r="AW159" i="9"/>
  <c r="AV160" i="9"/>
  <c r="AV161" i="9"/>
  <c r="AV162" i="9"/>
  <c r="AW58" i="9"/>
  <c r="AV154" i="9"/>
  <c r="AU155" i="9"/>
  <c r="AU156" i="9"/>
  <c r="AU157" i="9"/>
  <c r="AV100" i="9"/>
  <c r="AV101" i="9"/>
  <c r="AV102" i="9"/>
  <c r="AW109" i="9"/>
  <c r="AX40" i="9"/>
  <c r="AV110" i="9"/>
  <c r="AV111" i="9"/>
  <c r="AV112" i="9"/>
  <c r="AW99" i="9"/>
  <c r="AX36" i="9"/>
  <c r="AU167" i="1"/>
  <c r="AU168" i="1"/>
  <c r="AU169" i="1"/>
  <c r="AV166" i="1"/>
  <c r="AW62" i="1"/>
  <c r="AW46" i="1"/>
  <c r="AV126" i="1"/>
  <c r="AU147" i="1"/>
  <c r="AU148" i="1"/>
  <c r="AU149" i="1"/>
  <c r="AU127" i="1"/>
  <c r="AU128" i="1"/>
  <c r="AU129" i="1"/>
  <c r="AV146" i="1"/>
  <c r="AW54" i="1"/>
  <c r="AY44" i="1"/>
  <c r="AX121" i="1"/>
  <c r="AW122" i="1"/>
  <c r="AW123" i="1"/>
  <c r="AW124" i="1"/>
  <c r="AU107" i="1"/>
  <c r="AU108" i="1"/>
  <c r="AU109" i="1"/>
  <c r="AW112" i="1"/>
  <c r="AW113" i="1"/>
  <c r="AW114" i="1"/>
  <c r="AW102" i="1"/>
  <c r="AW103" i="1"/>
  <c r="AW104" i="1"/>
  <c r="AV106" i="1"/>
  <c r="AW38" i="1"/>
  <c r="AX111" i="1"/>
  <c r="AY40" i="1"/>
  <c r="AX101" i="1"/>
  <c r="AY36" i="1"/>
  <c r="AF45" i="37"/>
  <c r="AD45" i="37"/>
  <c r="AB45" i="37"/>
  <c r="Y45" i="37"/>
  <c r="AA45" i="37"/>
  <c r="AR45" i="37"/>
  <c r="AP45" i="37"/>
  <c r="AJ45" i="37"/>
  <c r="AS45" i="37"/>
  <c r="AH45" i="37"/>
  <c r="AO45" i="37"/>
  <c r="AG45" i="37"/>
  <c r="AN45" i="37"/>
  <c r="AK45" i="37"/>
  <c r="AQ45" i="37"/>
  <c r="AI45" i="37"/>
  <c r="AM45" i="37"/>
  <c r="AX48" i="7"/>
  <c r="AW129" i="7"/>
  <c r="AW130" i="7"/>
  <c r="AW131" i="7"/>
  <c r="AW132" i="7"/>
  <c r="R37" i="36"/>
  <c r="AF21" i="26"/>
  <c r="S38" i="36"/>
  <c r="AF43" i="36"/>
  <c r="AP43" i="36"/>
  <c r="AM43" i="36"/>
  <c r="AD43" i="36"/>
  <c r="AE43" i="36"/>
  <c r="AB43" i="36"/>
  <c r="AO43" i="36"/>
  <c r="AG43" i="36"/>
  <c r="AN43" i="36"/>
  <c r="Z43" i="36"/>
  <c r="AL43" i="36"/>
  <c r="Y43" i="36"/>
  <c r="AQ43" i="36"/>
  <c r="AI43" i="36"/>
  <c r="AC43" i="36"/>
  <c r="AK43" i="36"/>
  <c r="X43" i="36"/>
  <c r="U44" i="36"/>
  <c r="K44" i="36"/>
  <c r="AJ43" i="36"/>
  <c r="AH43" i="36"/>
  <c r="AA43" i="36"/>
  <c r="BX172" i="2"/>
  <c r="BW51" i="2"/>
  <c r="AH59" i="11"/>
  <c r="AI229" i="11"/>
  <c r="CB197" i="9"/>
  <c r="CB237" i="9"/>
  <c r="BX75" i="9"/>
  <c r="BY237" i="9"/>
  <c r="U39" i="41"/>
  <c r="K39" i="41"/>
  <c r="T39" i="41"/>
  <c r="Q41" i="41"/>
  <c r="P42" i="41"/>
  <c r="BC167" i="22"/>
  <c r="BD172" i="9"/>
  <c r="BB187" i="22"/>
  <c r="BG167" i="10"/>
  <c r="AV202" i="7"/>
  <c r="AY127" i="11"/>
  <c r="AZ162" i="7"/>
  <c r="BV172" i="10"/>
  <c r="AU207" i="8"/>
  <c r="BK197" i="11"/>
  <c r="BR177" i="22"/>
  <c r="AV152" i="11"/>
  <c r="BV177" i="9"/>
  <c r="AU202" i="11"/>
  <c r="BF177" i="10"/>
  <c r="BT172" i="22"/>
  <c r="AU187" i="8"/>
  <c r="BB207" i="7"/>
  <c r="AU182" i="10"/>
  <c r="BU212" i="10"/>
  <c r="BT260" i="40"/>
  <c r="BT261" i="40"/>
  <c r="BT262" i="40"/>
  <c r="BM289" i="40"/>
  <c r="BN110" i="40"/>
  <c r="BS275" i="40"/>
  <c r="BS276" i="40"/>
  <c r="BS277" i="40"/>
  <c r="BL285" i="40"/>
  <c r="BL286" i="40"/>
  <c r="BL287" i="40"/>
  <c r="BM269" i="40"/>
  <c r="BM270" i="40"/>
  <c r="BM271" i="40"/>
  <c r="BM272" i="40"/>
  <c r="BN102" i="40"/>
  <c r="BR280" i="40"/>
  <c r="BR281" i="40"/>
  <c r="BR282" i="40"/>
  <c r="BM249" i="40"/>
  <c r="BN94" i="40"/>
  <c r="BM264" i="40"/>
  <c r="BN100" i="40"/>
  <c r="BM244" i="40"/>
  <c r="BM245" i="40"/>
  <c r="BM246" i="40"/>
  <c r="BM247" i="40"/>
  <c r="BN92" i="40"/>
  <c r="BM284" i="40"/>
  <c r="BM285" i="40"/>
  <c r="BM286" i="40"/>
  <c r="BM287" i="40"/>
  <c r="BN108" i="40"/>
  <c r="BS255" i="40"/>
  <c r="BS256" i="40"/>
  <c r="BS257" i="40"/>
  <c r="BL250" i="40"/>
  <c r="BL251" i="40"/>
  <c r="BL252" i="40"/>
  <c r="BL245" i="40"/>
  <c r="BL246" i="40"/>
  <c r="BL247" i="40"/>
  <c r="BU98" i="40"/>
  <c r="BU259" i="40"/>
  <c r="BU260" i="40"/>
  <c r="BU261" i="40"/>
  <c r="BU262" i="40"/>
  <c r="BS106" i="40"/>
  <c r="BS279" i="40"/>
  <c r="BS280" i="40"/>
  <c r="BS281" i="40"/>
  <c r="BS282" i="40"/>
  <c r="BT96" i="40"/>
  <c r="BT254" i="40"/>
  <c r="BT104" i="40"/>
  <c r="BT274" i="40"/>
  <c r="BT275" i="40"/>
  <c r="BT276" i="40"/>
  <c r="BT277" i="40"/>
  <c r="BP90" i="40"/>
  <c r="BL210" i="40"/>
  <c r="BL211" i="40"/>
  <c r="BL212" i="40"/>
  <c r="BN48" i="40"/>
  <c r="BM134" i="40"/>
  <c r="BN58" i="40"/>
  <c r="BM159" i="40"/>
  <c r="BN54" i="40"/>
  <c r="BM149" i="40"/>
  <c r="BO88" i="40"/>
  <c r="BN234" i="40"/>
  <c r="BP72" i="40"/>
  <c r="BO194" i="40"/>
  <c r="BO66" i="40"/>
  <c r="BN179" i="40"/>
  <c r="BO50" i="40"/>
  <c r="BN139" i="40"/>
  <c r="BM215" i="40"/>
  <c r="BM216" i="40"/>
  <c r="BM239" i="40"/>
  <c r="BN42" i="40"/>
  <c r="BM119" i="40"/>
  <c r="BN52" i="40"/>
  <c r="BM144" i="40"/>
  <c r="BN74" i="40"/>
  <c r="BM199" i="40"/>
  <c r="BN86" i="40"/>
  <c r="BM229" i="40"/>
  <c r="BL130" i="40"/>
  <c r="BL131" i="40"/>
  <c r="BL132" i="40"/>
  <c r="BP64" i="40"/>
  <c r="BO174" i="40"/>
  <c r="BM165" i="40"/>
  <c r="BM166" i="40"/>
  <c r="BM167" i="40"/>
  <c r="BN56" i="40"/>
  <c r="BM154" i="40"/>
  <c r="BL125" i="40"/>
  <c r="BL126" i="40"/>
  <c r="BL127" i="40"/>
  <c r="BN62" i="40"/>
  <c r="BM169" i="40"/>
  <c r="BL190" i="40"/>
  <c r="BL191" i="40"/>
  <c r="BO76" i="40"/>
  <c r="BN204" i="40"/>
  <c r="BN82" i="40"/>
  <c r="BM219" i="40"/>
  <c r="BP68" i="40"/>
  <c r="BO184" i="40"/>
  <c r="BL155" i="40"/>
  <c r="BL156" i="40"/>
  <c r="BL157" i="40"/>
  <c r="BM225" i="40"/>
  <c r="BM226" i="40"/>
  <c r="BM187" i="40"/>
  <c r="BN78" i="40"/>
  <c r="BM209" i="40"/>
  <c r="BN70" i="40"/>
  <c r="BM189" i="40"/>
  <c r="BL160" i="40"/>
  <c r="BL161" i="40"/>
  <c r="BL162" i="40"/>
  <c r="BM205" i="40"/>
  <c r="BM206" i="40"/>
  <c r="BM207" i="40"/>
  <c r="BL220" i="40"/>
  <c r="BL221" i="40"/>
  <c r="BL222" i="40"/>
  <c r="BM235" i="40"/>
  <c r="BM236" i="40"/>
  <c r="BM237" i="40"/>
  <c r="BK162" i="40"/>
  <c r="BN195" i="40"/>
  <c r="BN196" i="40"/>
  <c r="BK242" i="40"/>
  <c r="BN185" i="40"/>
  <c r="BN186" i="40"/>
  <c r="BN46" i="40"/>
  <c r="BM129" i="40"/>
  <c r="BM140" i="40"/>
  <c r="BM141" i="40"/>
  <c r="BM142" i="40"/>
  <c r="BM115" i="40"/>
  <c r="BM116" i="40"/>
  <c r="BM117" i="40"/>
  <c r="BO60" i="40"/>
  <c r="BN164" i="40"/>
  <c r="BN44" i="40"/>
  <c r="BM124" i="40"/>
  <c r="BL142" i="40"/>
  <c r="BO80" i="40"/>
  <c r="BN214" i="40"/>
  <c r="BO84" i="40"/>
  <c r="BN224" i="40"/>
  <c r="BL240" i="40"/>
  <c r="BL241" i="40"/>
  <c r="BL242" i="40"/>
  <c r="BL120" i="40"/>
  <c r="BL121" i="40"/>
  <c r="BL122" i="40"/>
  <c r="BL135" i="40"/>
  <c r="BL136" i="40"/>
  <c r="BL137" i="40"/>
  <c r="BL145" i="40"/>
  <c r="BL146" i="40"/>
  <c r="BL147" i="40"/>
  <c r="BK172" i="40"/>
  <c r="BL200" i="40"/>
  <c r="BL201" i="40"/>
  <c r="BL227" i="40"/>
  <c r="BL150" i="40"/>
  <c r="BL151" i="40"/>
  <c r="BL152" i="40"/>
  <c r="BL230" i="40"/>
  <c r="BL231" i="40"/>
  <c r="BL232" i="40"/>
  <c r="BM177" i="40"/>
  <c r="BL167" i="40"/>
  <c r="BM180" i="40"/>
  <c r="BM181" i="40"/>
  <c r="BM182" i="40"/>
  <c r="BN175" i="40"/>
  <c r="BN176" i="40"/>
  <c r="BN177" i="40"/>
  <c r="BO40" i="40"/>
  <c r="BN114" i="40"/>
  <c r="BK202" i="40"/>
  <c r="BL170" i="40"/>
  <c r="BL171" i="40"/>
  <c r="BP145" i="10"/>
  <c r="BP146" i="10"/>
  <c r="AY156" i="7"/>
  <c r="AY155" i="7"/>
  <c r="AW179" i="10"/>
  <c r="AX68" i="10"/>
  <c r="BE192" i="22"/>
  <c r="AZ125" i="11"/>
  <c r="AZ126" i="11"/>
  <c r="BI164" i="10"/>
  <c r="BJ62" i="10"/>
  <c r="AV175" i="7"/>
  <c r="AV176" i="7"/>
  <c r="BK186" i="10"/>
  <c r="BK185" i="10"/>
  <c r="AX157" i="7"/>
  <c r="BS175" i="22"/>
  <c r="BS176" i="22"/>
  <c r="BB166" i="8"/>
  <c r="BB165" i="8"/>
  <c r="AV200" i="11"/>
  <c r="AV201" i="11"/>
  <c r="AX60" i="10"/>
  <c r="AW159" i="10"/>
  <c r="BH78" i="22"/>
  <c r="BG204" i="22"/>
  <c r="BC185" i="22"/>
  <c r="BC186" i="22"/>
  <c r="BY154" i="10"/>
  <c r="BZ58" i="10"/>
  <c r="BA161" i="7"/>
  <c r="BA160" i="7"/>
  <c r="BO147" i="10"/>
  <c r="AW204" i="8"/>
  <c r="AX78" i="8"/>
  <c r="BF62" i="22"/>
  <c r="BE164" i="22"/>
  <c r="AU137" i="11"/>
  <c r="BA206" i="11"/>
  <c r="BA205" i="11"/>
  <c r="BA58" i="7"/>
  <c r="AZ154" i="7"/>
  <c r="BB46" i="11"/>
  <c r="BA124" i="11"/>
  <c r="BH165" i="10"/>
  <c r="BH166" i="10"/>
  <c r="AZ207" i="11"/>
  <c r="AW174" i="7"/>
  <c r="AX66" i="7"/>
  <c r="BM70" i="10"/>
  <c r="BL184" i="10"/>
  <c r="BT174" i="22"/>
  <c r="BU66" i="22"/>
  <c r="BC164" i="8"/>
  <c r="BD62" i="8"/>
  <c r="AX76" i="11"/>
  <c r="AW199" i="11"/>
  <c r="AV160" i="10"/>
  <c r="AV161" i="10"/>
  <c r="BD204" i="7"/>
  <c r="BE78" i="7"/>
  <c r="AV136" i="11"/>
  <c r="AV135" i="11"/>
  <c r="BD207" i="9"/>
  <c r="BK58" i="8"/>
  <c r="BJ154" i="8"/>
  <c r="BV210" i="10"/>
  <c r="BV211" i="10"/>
  <c r="AV205" i="8"/>
  <c r="AV206" i="8"/>
  <c r="BL196" i="11"/>
  <c r="BL195" i="11"/>
  <c r="AW150" i="11"/>
  <c r="AW151" i="11"/>
  <c r="BF204" i="9"/>
  <c r="BG78" i="9"/>
  <c r="BX174" i="9"/>
  <c r="BY66" i="9"/>
  <c r="AV186" i="8"/>
  <c r="AV185" i="8"/>
  <c r="BC78" i="11"/>
  <c r="BB204" i="11"/>
  <c r="AW138" i="6"/>
  <c r="AW139" i="6"/>
  <c r="AW140" i="6"/>
  <c r="AW141" i="6"/>
  <c r="AX46" i="6"/>
  <c r="BF169" i="9"/>
  <c r="BG64" i="9"/>
  <c r="BH72" i="22"/>
  <c r="BG189" i="22"/>
  <c r="BH174" i="10"/>
  <c r="BI66" i="10"/>
  <c r="AX76" i="10"/>
  <c r="AW199" i="10"/>
  <c r="AW201" i="7"/>
  <c r="AW200" i="7"/>
  <c r="BC205" i="7"/>
  <c r="BC206" i="7"/>
  <c r="AX50" i="11"/>
  <c r="AW134" i="11"/>
  <c r="AU230" i="11"/>
  <c r="AT61" i="11"/>
  <c r="BI156" i="8"/>
  <c r="BI155" i="8"/>
  <c r="BX80" i="10"/>
  <c r="BW209" i="10"/>
  <c r="BW170" i="10"/>
  <c r="BW171" i="10"/>
  <c r="AV165" i="9"/>
  <c r="AV166" i="9"/>
  <c r="BM194" i="11"/>
  <c r="BN74" i="11"/>
  <c r="BE207" i="22"/>
  <c r="AV200" i="22"/>
  <c r="AV201" i="22"/>
  <c r="AY56" i="11"/>
  <c r="AX149" i="11"/>
  <c r="BE205" i="9"/>
  <c r="BE206" i="9"/>
  <c r="BW175" i="9"/>
  <c r="BW176" i="9"/>
  <c r="AW184" i="8"/>
  <c r="AX70" i="8"/>
  <c r="U47" i="31"/>
  <c r="K47" i="31"/>
  <c r="BR54" i="10"/>
  <c r="BQ144" i="10"/>
  <c r="AU167" i="9"/>
  <c r="BJ187" i="10"/>
  <c r="AN55" i="11"/>
  <c r="AO227" i="11"/>
  <c r="AV180" i="10"/>
  <c r="AV181" i="10"/>
  <c r="AQ81" i="8"/>
  <c r="AR240" i="8"/>
  <c r="AW149" i="22"/>
  <c r="AW150" i="22"/>
  <c r="AW151" i="22"/>
  <c r="AW152" i="22"/>
  <c r="AX56" i="22"/>
  <c r="AU162" i="10"/>
  <c r="BE170" i="9"/>
  <c r="BE171" i="9"/>
  <c r="BF191" i="22"/>
  <c r="BF190" i="22"/>
  <c r="BG176" i="10"/>
  <c r="BG175" i="10"/>
  <c r="AV200" i="10"/>
  <c r="AV201" i="10"/>
  <c r="AY76" i="7"/>
  <c r="AX199" i="7"/>
  <c r="AU177" i="7"/>
  <c r="BF205" i="22"/>
  <c r="BF206" i="22"/>
  <c r="AU202" i="22"/>
  <c r="BD184" i="22"/>
  <c r="BE70" i="22"/>
  <c r="BX155" i="10"/>
  <c r="BX156" i="10"/>
  <c r="BA167" i="8"/>
  <c r="BB159" i="7"/>
  <c r="BC60" i="7"/>
  <c r="AU202" i="10"/>
  <c r="BX169" i="10"/>
  <c r="BY64" i="10"/>
  <c r="AX62" i="9"/>
  <c r="AW164" i="9"/>
  <c r="BD166" i="22"/>
  <c r="BD165" i="22"/>
  <c r="AX76" i="22"/>
  <c r="AW199" i="22"/>
  <c r="BW157" i="10"/>
  <c r="BH157" i="8"/>
  <c r="Q46" i="31"/>
  <c r="R46" i="31"/>
  <c r="AK38" i="30"/>
  <c r="AJ38" i="30"/>
  <c r="AY109" i="11"/>
  <c r="AY110" i="11"/>
  <c r="AY111" i="11"/>
  <c r="AY112" i="11"/>
  <c r="AZ40" i="11"/>
  <c r="AX46" i="10"/>
  <c r="AW124" i="10"/>
  <c r="AW125" i="10"/>
  <c r="AW126" i="10"/>
  <c r="AW127" i="10"/>
  <c r="AW89" i="10"/>
  <c r="AW90" i="10"/>
  <c r="AW91" i="10"/>
  <c r="AW92" i="10"/>
  <c r="AX32" i="10"/>
  <c r="AX52" i="10"/>
  <c r="AW139" i="10"/>
  <c r="AW140" i="10"/>
  <c r="AW141" i="10"/>
  <c r="AW142" i="10"/>
  <c r="AY44" i="10"/>
  <c r="AX119" i="10"/>
  <c r="AX120" i="10"/>
  <c r="AX121" i="10"/>
  <c r="AX122" i="10"/>
  <c r="AW109" i="10"/>
  <c r="AW110" i="10"/>
  <c r="AW111" i="10"/>
  <c r="AW112" i="10"/>
  <c r="AX40" i="10"/>
  <c r="AW94" i="10"/>
  <c r="AW95" i="10"/>
  <c r="AW96" i="10"/>
  <c r="AW97" i="10"/>
  <c r="AX34" i="10"/>
  <c r="AW129" i="10"/>
  <c r="AW130" i="10"/>
  <c r="AW131" i="10"/>
  <c r="AW132" i="10"/>
  <c r="AX48" i="10"/>
  <c r="AX30" i="10"/>
  <c r="AW84" i="10"/>
  <c r="AW85" i="10"/>
  <c r="AW86" i="10"/>
  <c r="AW87" i="10"/>
  <c r="AW114" i="10"/>
  <c r="AW115" i="10"/>
  <c r="AW116" i="10"/>
  <c r="AW117" i="10"/>
  <c r="AX42" i="10"/>
  <c r="AW104" i="10"/>
  <c r="AW105" i="10"/>
  <c r="AW106" i="10"/>
  <c r="AW107" i="10"/>
  <c r="AX38" i="10"/>
  <c r="AY46" i="22"/>
  <c r="AX124" i="22"/>
  <c r="AX125" i="22"/>
  <c r="AX126" i="22"/>
  <c r="AX127" i="22"/>
  <c r="AW134" i="22"/>
  <c r="AW135" i="22"/>
  <c r="AW136" i="22"/>
  <c r="AW137" i="22"/>
  <c r="AX50" i="22"/>
  <c r="AW114" i="22"/>
  <c r="AW115" i="22"/>
  <c r="AW116" i="22"/>
  <c r="AW117" i="22"/>
  <c r="AX42" i="22"/>
  <c r="AY52" i="22"/>
  <c r="AX139" i="22"/>
  <c r="AX140" i="22"/>
  <c r="AX141" i="22"/>
  <c r="AX142" i="22"/>
  <c r="AX46" i="8"/>
  <c r="AW124" i="8"/>
  <c r="AW125" i="8"/>
  <c r="AW126" i="8"/>
  <c r="AW127" i="8"/>
  <c r="AY50" i="8"/>
  <c r="AX134" i="8"/>
  <c r="AX135" i="8"/>
  <c r="AX136" i="8"/>
  <c r="AX137" i="8"/>
  <c r="BO162" i="22"/>
  <c r="BP182" i="22"/>
  <c r="BS207" i="10"/>
  <c r="AU192" i="9"/>
  <c r="BZ142" i="11"/>
  <c r="BR182" i="9"/>
  <c r="AZ192" i="8"/>
  <c r="BU170" i="22"/>
  <c r="BU171" i="22"/>
  <c r="BS74" i="7"/>
  <c r="BR194" i="7"/>
  <c r="BO72" i="11"/>
  <c r="BN189" i="11"/>
  <c r="BU68" i="9"/>
  <c r="BT179" i="9"/>
  <c r="AV69" i="11"/>
  <c r="AW234" i="11"/>
  <c r="M171" i="2"/>
  <c r="L50" i="2"/>
  <c r="BQ159" i="22"/>
  <c r="BR60" i="22"/>
  <c r="BO179" i="8"/>
  <c r="BP68" i="8"/>
  <c r="BT206" i="10"/>
  <c r="BT205" i="10"/>
  <c r="BY80" i="9"/>
  <c r="BX209" i="9"/>
  <c r="BX181" i="7"/>
  <c r="BX180" i="7"/>
  <c r="BC72" i="8"/>
  <c r="BB189" i="8"/>
  <c r="BR196" i="8"/>
  <c r="BR195" i="8"/>
  <c r="BQ180" i="22"/>
  <c r="BQ181" i="22"/>
  <c r="BN60" i="8"/>
  <c r="BM159" i="8"/>
  <c r="BS194" i="10"/>
  <c r="BT74" i="10"/>
  <c r="AX72" i="9"/>
  <c r="AW189" i="9"/>
  <c r="AC38" i="30"/>
  <c r="BU150" i="10"/>
  <c r="BU151" i="10"/>
  <c r="BV132" i="11"/>
  <c r="BY236" i="10"/>
  <c r="BV80" i="7"/>
  <c r="BU209" i="7"/>
  <c r="BQ197" i="22"/>
  <c r="BT187" i="9"/>
  <c r="AQ65" i="11"/>
  <c r="AR232" i="11"/>
  <c r="BN200" i="8"/>
  <c r="BN201" i="8"/>
  <c r="AU63" i="11"/>
  <c r="AV231" i="11"/>
  <c r="BT152" i="10"/>
  <c r="U50" i="2"/>
  <c r="V171" i="2"/>
  <c r="C50" i="2"/>
  <c r="D171" i="2"/>
  <c r="CA192" i="10"/>
  <c r="CA236" i="10"/>
  <c r="BP197" i="7"/>
  <c r="BQ66" i="11"/>
  <c r="BP174" i="11"/>
  <c r="BP161" i="22"/>
  <c r="BP160" i="22"/>
  <c r="BS212" i="7"/>
  <c r="BU186" i="9"/>
  <c r="BU185" i="9"/>
  <c r="BQ186" i="7"/>
  <c r="BQ185" i="7"/>
  <c r="BT31" i="22"/>
  <c r="BU215" i="22"/>
  <c r="BV212" i="9"/>
  <c r="BZ68" i="7"/>
  <c r="BY179" i="7"/>
  <c r="C172" i="2"/>
  <c r="AM172" i="2"/>
  <c r="BN172" i="2"/>
  <c r="AV172" i="2"/>
  <c r="L172" i="2"/>
  <c r="BE172" i="2"/>
  <c r="AD172" i="2"/>
  <c r="U172" i="2"/>
  <c r="BT74" i="8"/>
  <c r="BS194" i="8"/>
  <c r="BS68" i="22"/>
  <c r="BR179" i="22"/>
  <c r="BN177" i="11"/>
  <c r="BM182" i="8"/>
  <c r="BR212" i="22"/>
  <c r="BR195" i="10"/>
  <c r="BR196" i="10"/>
  <c r="AV191" i="9"/>
  <c r="AV190" i="9"/>
  <c r="BW182" i="7"/>
  <c r="AU202" i="9"/>
  <c r="BQ197" i="10"/>
  <c r="BW73" i="10"/>
  <c r="BX236" i="10"/>
  <c r="BR80" i="11"/>
  <c r="BQ209" i="11"/>
  <c r="BN50" i="2"/>
  <c r="BO171" i="2"/>
  <c r="CA140" i="11"/>
  <c r="CA141" i="11"/>
  <c r="BO176" i="11"/>
  <c r="BO175" i="11"/>
  <c r="X38" i="30"/>
  <c r="AE38" i="30"/>
  <c r="BO177" i="8"/>
  <c r="AW199" i="9"/>
  <c r="AX76" i="9"/>
  <c r="BV169" i="22"/>
  <c r="BW64" i="22"/>
  <c r="BT211" i="7"/>
  <c r="BT210" i="7"/>
  <c r="AX32" i="22"/>
  <c r="AW89" i="22"/>
  <c r="AW90" i="22"/>
  <c r="AW91" i="22"/>
  <c r="AW92" i="22"/>
  <c r="BO199" i="8"/>
  <c r="BP76" i="8"/>
  <c r="BQ65" i="7"/>
  <c r="BR232" i="7"/>
  <c r="AD50" i="2"/>
  <c r="AE171" i="2"/>
  <c r="AM50" i="2"/>
  <c r="AN171" i="2"/>
  <c r="CB139" i="11"/>
  <c r="CB53" i="11"/>
  <c r="CA53" i="11"/>
  <c r="BZ53" i="11"/>
  <c r="BY53" i="11"/>
  <c r="BX53" i="11"/>
  <c r="BS211" i="22"/>
  <c r="BS210" i="22"/>
  <c r="BR195" i="22"/>
  <c r="BR196" i="22"/>
  <c r="BL192" i="11"/>
  <c r="BW70" i="9"/>
  <c r="BV184" i="9"/>
  <c r="BW211" i="9"/>
  <c r="BW210" i="9"/>
  <c r="BR184" i="7"/>
  <c r="BS70" i="7"/>
  <c r="BW130" i="11"/>
  <c r="BW131" i="11"/>
  <c r="A173" i="2"/>
  <c r="BW173" i="2"/>
  <c r="A53" i="2"/>
  <c r="AI65" i="8"/>
  <c r="AJ232" i="8"/>
  <c r="BP176" i="8"/>
  <c r="BP175" i="8"/>
  <c r="BQ197" i="8"/>
  <c r="BP187" i="7"/>
  <c r="BW56" i="10"/>
  <c r="BV149" i="10"/>
  <c r="AV200" i="9"/>
  <c r="AV201" i="9"/>
  <c r="CB190" i="10"/>
  <c r="CB191" i="10"/>
  <c r="BM202" i="8"/>
  <c r="BQ196" i="7"/>
  <c r="BQ195" i="7"/>
  <c r="BO212" i="11"/>
  <c r="BM190" i="11"/>
  <c r="BM191" i="11"/>
  <c r="AG73" i="7"/>
  <c r="AH236" i="7"/>
  <c r="BP210" i="11"/>
  <c r="BP211" i="11"/>
  <c r="BS181" i="9"/>
  <c r="BS180" i="9"/>
  <c r="BE50" i="2"/>
  <c r="CF50" i="2"/>
  <c r="BF171" i="2"/>
  <c r="AV50" i="2"/>
  <c r="AW171" i="2"/>
  <c r="BK162" i="8"/>
  <c r="BN181" i="8"/>
  <c r="BN180" i="8"/>
  <c r="BU80" i="22"/>
  <c r="BT209" i="22"/>
  <c r="BS194" i="22"/>
  <c r="BT74" i="22"/>
  <c r="BU204" i="10"/>
  <c r="BV78" i="10"/>
  <c r="BX129" i="11"/>
  <c r="BY48" i="11"/>
  <c r="BA190" i="8"/>
  <c r="BA191" i="8"/>
  <c r="BL161" i="8"/>
  <c r="BL160" i="8"/>
  <c r="BR66" i="8"/>
  <c r="BQ174" i="8"/>
  <c r="BZ236" i="10"/>
  <c r="AH38" i="30"/>
  <c r="Y38" i="30"/>
  <c r="Z38" i="30"/>
  <c r="AI38" i="30"/>
  <c r="AA38" i="30"/>
  <c r="AB38" i="30"/>
  <c r="K38" i="30"/>
  <c r="L38" i="30"/>
  <c r="N38" i="30"/>
  <c r="O38" i="30"/>
  <c r="P38" i="30"/>
  <c r="Q38" i="30"/>
  <c r="AD38" i="30"/>
  <c r="AF38" i="30"/>
  <c r="BC34" i="8"/>
  <c r="BB94" i="8"/>
  <c r="BB95" i="8"/>
  <c r="BB96" i="8"/>
  <c r="BB97" i="8"/>
  <c r="AX42" i="8"/>
  <c r="AW114" i="8"/>
  <c r="AW115" i="8"/>
  <c r="AW116" i="8"/>
  <c r="AW117" i="8"/>
  <c r="AX44" i="8"/>
  <c r="AW119" i="8"/>
  <c r="AW120" i="8"/>
  <c r="AW121" i="8"/>
  <c r="AW122" i="8"/>
  <c r="BD165" i="7"/>
  <c r="BD166" i="7"/>
  <c r="AX32" i="11"/>
  <c r="AW89" i="11"/>
  <c r="AW90" i="11"/>
  <c r="AW91" i="11"/>
  <c r="AW92" i="11"/>
  <c r="BC167" i="7"/>
  <c r="BF62" i="7"/>
  <c r="BE164" i="7"/>
  <c r="AX52" i="9"/>
  <c r="AW139" i="9"/>
  <c r="AW140" i="9"/>
  <c r="AW141" i="9"/>
  <c r="AW142" i="9"/>
  <c r="AX84" i="9"/>
  <c r="AX85" i="9"/>
  <c r="AX86" i="9"/>
  <c r="AX87" i="9"/>
  <c r="AY30" i="9"/>
  <c r="AZ30" i="1"/>
  <c r="AY86" i="1"/>
  <c r="AY87" i="1"/>
  <c r="AY88" i="1"/>
  <c r="AY89" i="1"/>
  <c r="AW171" i="1"/>
  <c r="AW172" i="1"/>
  <c r="AW173" i="1"/>
  <c r="AW174" i="1"/>
  <c r="AX64" i="1"/>
  <c r="AW131" i="1"/>
  <c r="AW132" i="1"/>
  <c r="AW133" i="1"/>
  <c r="AW134" i="1"/>
  <c r="AX48" i="1"/>
  <c r="AW96" i="1"/>
  <c r="AW97" i="1"/>
  <c r="AW98" i="1"/>
  <c r="AW99" i="1"/>
  <c r="AX34" i="1"/>
  <c r="AX52" i="1"/>
  <c r="AW141" i="1"/>
  <c r="AW142" i="1"/>
  <c r="AW143" i="1"/>
  <c r="AW144" i="1"/>
  <c r="AW181" i="1"/>
  <c r="AW182" i="1"/>
  <c r="AW183" i="1"/>
  <c r="AW184" i="1"/>
  <c r="AX68" i="1"/>
  <c r="AZ32" i="1"/>
  <c r="AY91" i="1"/>
  <c r="AY92" i="1"/>
  <c r="AY93" i="1"/>
  <c r="AY94" i="1"/>
  <c r="AX58" i="1"/>
  <c r="AW156" i="1"/>
  <c r="AW157" i="1"/>
  <c r="AW158" i="1"/>
  <c r="AW159" i="1"/>
  <c r="AW136" i="1"/>
  <c r="AW137" i="1"/>
  <c r="AW138" i="1"/>
  <c r="AW139" i="1"/>
  <c r="AX50" i="1"/>
  <c r="T44" i="33"/>
  <c r="L44" i="33"/>
  <c r="N44" i="33"/>
  <c r="O44" i="33"/>
  <c r="P44" i="33"/>
  <c r="Q44" i="33"/>
  <c r="AI44" i="33"/>
  <c r="AQ44" i="33"/>
  <c r="AB44" i="33"/>
  <c r="AE44" i="33"/>
  <c r="AL44" i="33"/>
  <c r="AG44" i="33"/>
  <c r="AO44" i="33"/>
  <c r="Y44" i="33"/>
  <c r="AF44" i="33"/>
  <c r="AP44" i="33"/>
  <c r="AA44" i="33"/>
  <c r="AC44" i="33"/>
  <c r="AR44" i="33"/>
  <c r="AD44" i="33"/>
  <c r="Z44" i="33"/>
  <c r="AH44" i="33"/>
  <c r="AM44" i="33"/>
  <c r="AJ44" i="33"/>
  <c r="AK44" i="33"/>
  <c r="X44" i="33"/>
  <c r="AN44" i="33"/>
  <c r="AY44" i="22"/>
  <c r="AX119" i="22"/>
  <c r="AX120" i="22"/>
  <c r="AX121" i="22"/>
  <c r="AX122" i="22"/>
  <c r="AX26" i="6"/>
  <c r="AW88" i="6"/>
  <c r="AW89" i="6"/>
  <c r="AW90" i="6"/>
  <c r="AW91" i="6"/>
  <c r="AX24" i="6"/>
  <c r="AW83" i="6"/>
  <c r="AW84" i="6"/>
  <c r="AW85" i="6"/>
  <c r="AW86" i="6"/>
  <c r="AW113" i="6"/>
  <c r="AW114" i="6"/>
  <c r="AW115" i="6"/>
  <c r="AW116" i="6"/>
  <c r="AX36" i="6"/>
  <c r="AW108" i="6"/>
  <c r="AW109" i="6"/>
  <c r="AW110" i="6"/>
  <c r="AW111" i="6"/>
  <c r="AX34" i="6"/>
  <c r="AW78" i="6"/>
  <c r="AX22" i="6"/>
  <c r="AW123" i="6"/>
  <c r="AW124" i="6"/>
  <c r="AW125" i="6"/>
  <c r="AW126" i="6"/>
  <c r="AX40" i="6"/>
  <c r="AX28" i="6"/>
  <c r="AW93" i="6"/>
  <c r="AW94" i="6"/>
  <c r="AW95" i="6"/>
  <c r="AW96" i="6"/>
  <c r="AY42" i="6"/>
  <c r="AX128" i="6"/>
  <c r="AX129" i="6"/>
  <c r="AX130" i="6"/>
  <c r="AX131" i="6"/>
  <c r="AX32" i="6"/>
  <c r="AW103" i="6"/>
  <c r="AW104" i="6"/>
  <c r="AW105" i="6"/>
  <c r="AW106" i="6"/>
  <c r="AX98" i="6"/>
  <c r="AX99" i="6"/>
  <c r="AX100" i="6"/>
  <c r="AX101" i="6"/>
  <c r="AY30" i="6"/>
  <c r="AX44" i="6"/>
  <c r="AW133" i="6"/>
  <c r="AW134" i="6"/>
  <c r="AW135" i="6"/>
  <c r="AW136" i="6"/>
  <c r="AX217" i="1"/>
  <c r="AX218" i="1"/>
  <c r="AW116" i="1"/>
  <c r="AW117" i="1"/>
  <c r="AW118" i="1"/>
  <c r="AW119" i="1"/>
  <c r="AX42" i="1"/>
  <c r="BA80" i="1"/>
  <c r="AZ211" i="1"/>
  <c r="AZ82" i="1"/>
  <c r="AY216" i="1"/>
  <c r="AW219" i="1"/>
  <c r="BB92" i="7"/>
  <c r="AV112" i="22"/>
  <c r="AX99" i="8"/>
  <c r="AX100" i="8"/>
  <c r="AX101" i="8"/>
  <c r="AX102" i="8"/>
  <c r="AY36" i="8"/>
  <c r="BB38" i="8"/>
  <c r="BA104" i="8"/>
  <c r="BA105" i="8"/>
  <c r="BA106" i="8"/>
  <c r="BA107" i="8"/>
  <c r="AX119" i="11"/>
  <c r="AY44" i="11"/>
  <c r="AW120" i="11"/>
  <c r="AW121" i="11"/>
  <c r="W45" i="32"/>
  <c r="V45" i="32"/>
  <c r="K45" i="32"/>
  <c r="L45" i="32"/>
  <c r="N45" i="32"/>
  <c r="O45" i="32"/>
  <c r="P45" i="32"/>
  <c r="Q45" i="32"/>
  <c r="AW94" i="22"/>
  <c r="AW95" i="22"/>
  <c r="AW96" i="22"/>
  <c r="AW97" i="22"/>
  <c r="AX34" i="22"/>
  <c r="AX104" i="22"/>
  <c r="AX105" i="22"/>
  <c r="AX106" i="22"/>
  <c r="AX107" i="22"/>
  <c r="AY38" i="22"/>
  <c r="AX48" i="22"/>
  <c r="AW129" i="22"/>
  <c r="AW130" i="22"/>
  <c r="AW131" i="22"/>
  <c r="AW132" i="22"/>
  <c r="AY30" i="7"/>
  <c r="AX84" i="7"/>
  <c r="AX85" i="7"/>
  <c r="AX86" i="7"/>
  <c r="AX87" i="7"/>
  <c r="AW94" i="7"/>
  <c r="AW95" i="7"/>
  <c r="AW96" i="7"/>
  <c r="AW97" i="7"/>
  <c r="AX34" i="7"/>
  <c r="AZ109" i="7"/>
  <c r="AZ110" i="7"/>
  <c r="AZ111" i="7"/>
  <c r="AZ112" i="7"/>
  <c r="BA40" i="7"/>
  <c r="AX42" i="7"/>
  <c r="AW114" i="7"/>
  <c r="AW115" i="7"/>
  <c r="AW116" i="7"/>
  <c r="AW117" i="7"/>
  <c r="AW100" i="7"/>
  <c r="AW101" i="7"/>
  <c r="AY110" i="7"/>
  <c r="AY111" i="7"/>
  <c r="AY112" i="7"/>
  <c r="AX99" i="7"/>
  <c r="AX100" i="7"/>
  <c r="AX101" i="7"/>
  <c r="AX102" i="7"/>
  <c r="AY36" i="7"/>
  <c r="AY38" i="7"/>
  <c r="AX104" i="7"/>
  <c r="AX105" i="7"/>
  <c r="AX106" i="7"/>
  <c r="AX107" i="7"/>
  <c r="AZ118" i="6"/>
  <c r="AZ119" i="6"/>
  <c r="AZ120" i="6"/>
  <c r="AZ121" i="6"/>
  <c r="BA38" i="6"/>
  <c r="AZ104" i="9"/>
  <c r="AZ105" i="9"/>
  <c r="AZ106" i="9"/>
  <c r="AZ107" i="9"/>
  <c r="BA38" i="9"/>
  <c r="AW124" i="9"/>
  <c r="AW125" i="9"/>
  <c r="AW126" i="9"/>
  <c r="AW127" i="9"/>
  <c r="AX46" i="9"/>
  <c r="AX34" i="9"/>
  <c r="AW94" i="9"/>
  <c r="AW95" i="9"/>
  <c r="AW96" i="9"/>
  <c r="AW97" i="9"/>
  <c r="BA144" i="9"/>
  <c r="BA145" i="9"/>
  <c r="BA146" i="9"/>
  <c r="BA147" i="9"/>
  <c r="BB54" i="9"/>
  <c r="AW42" i="9"/>
  <c r="AV114" i="9"/>
  <c r="AV115" i="9"/>
  <c r="AV116" i="9"/>
  <c r="AV117" i="9"/>
  <c r="AY50" i="9"/>
  <c r="AX134" i="9"/>
  <c r="AX135" i="9"/>
  <c r="AX136" i="9"/>
  <c r="AX137" i="9"/>
  <c r="AX48" i="9"/>
  <c r="AW129" i="9"/>
  <c r="AW130" i="9"/>
  <c r="AW131" i="9"/>
  <c r="AW132" i="9"/>
  <c r="AV150" i="9"/>
  <c r="AV151" i="9"/>
  <c r="AV152" i="9"/>
  <c r="AX56" i="9"/>
  <c r="AW149" i="9"/>
  <c r="AW150" i="9"/>
  <c r="AW151" i="9"/>
  <c r="AW152" i="9"/>
  <c r="AY89" i="9"/>
  <c r="AY90" i="9"/>
  <c r="AY91" i="9"/>
  <c r="AY92" i="9"/>
  <c r="AZ32" i="9"/>
  <c r="AX44" i="9"/>
  <c r="AW119" i="9"/>
  <c r="AW120" i="9"/>
  <c r="AW121" i="9"/>
  <c r="AW122" i="9"/>
  <c r="BC151" i="1"/>
  <c r="BC152" i="1"/>
  <c r="BC153" i="1"/>
  <c r="BC154" i="1"/>
  <c r="BD56" i="1"/>
  <c r="AX70" i="1"/>
  <c r="AW186" i="1"/>
  <c r="AW187" i="1"/>
  <c r="AW188" i="1"/>
  <c r="AW189" i="1"/>
  <c r="AX161" i="1"/>
  <c r="AY60" i="1"/>
  <c r="AZ66" i="1"/>
  <c r="AY176" i="1"/>
  <c r="AY177" i="1"/>
  <c r="AY178" i="1"/>
  <c r="AY179" i="1"/>
  <c r="BB152" i="1"/>
  <c r="BB153" i="1"/>
  <c r="BB154" i="1"/>
  <c r="AX74" i="1"/>
  <c r="AW196" i="1"/>
  <c r="AW197" i="1"/>
  <c r="AW198" i="1"/>
  <c r="AW199" i="1"/>
  <c r="AW162" i="1"/>
  <c r="AW163" i="1"/>
  <c r="AX78" i="1"/>
  <c r="AW206" i="1"/>
  <c r="AZ76" i="1"/>
  <c r="AY201" i="1"/>
  <c r="AY202" i="1"/>
  <c r="AY203" i="1"/>
  <c r="AY204" i="1"/>
  <c r="AY72" i="1"/>
  <c r="AX191" i="1"/>
  <c r="AX192" i="1"/>
  <c r="AX193" i="1"/>
  <c r="AX194" i="1"/>
  <c r="AX177" i="1"/>
  <c r="AX178" i="1"/>
  <c r="AX179" i="1"/>
  <c r="BB115" i="11"/>
  <c r="BB116" i="11"/>
  <c r="BB117" i="11"/>
  <c r="BC114" i="11"/>
  <c r="BD42" i="11"/>
  <c r="R41" i="34"/>
  <c r="R40" i="34"/>
  <c r="P43" i="34"/>
  <c r="Q43" i="34"/>
  <c r="W42" i="34"/>
  <c r="V42" i="34"/>
  <c r="K42" i="34"/>
  <c r="U44" i="35"/>
  <c r="U46" i="37"/>
  <c r="K46" i="37"/>
  <c r="AX100" i="11"/>
  <c r="AX101" i="11"/>
  <c r="AX102" i="11"/>
  <c r="AX104" i="11"/>
  <c r="AY38" i="11"/>
  <c r="BA84" i="11"/>
  <c r="BB30" i="11"/>
  <c r="AZ85" i="11"/>
  <c r="AZ86" i="11"/>
  <c r="AZ87" i="11"/>
  <c r="AY99" i="11"/>
  <c r="AZ36" i="11"/>
  <c r="AW105" i="11"/>
  <c r="AW106" i="11"/>
  <c r="AW135" i="10"/>
  <c r="AW136" i="10"/>
  <c r="AW137" i="10"/>
  <c r="AX134" i="10"/>
  <c r="AY50" i="10"/>
  <c r="AY36" i="10"/>
  <c r="AX99" i="10"/>
  <c r="AW100" i="10"/>
  <c r="AW101" i="10"/>
  <c r="AW102" i="10"/>
  <c r="AV155" i="22"/>
  <c r="AV156" i="22"/>
  <c r="AV157" i="22"/>
  <c r="AW154" i="22"/>
  <c r="AX58" i="22"/>
  <c r="AY36" i="22"/>
  <c r="AX99" i="22"/>
  <c r="AW110" i="22"/>
  <c r="AW111" i="22"/>
  <c r="AW112" i="22"/>
  <c r="AW100" i="22"/>
  <c r="AW101" i="22"/>
  <c r="AW102" i="22"/>
  <c r="AX144" i="22"/>
  <c r="AY54" i="22"/>
  <c r="AX109" i="22"/>
  <c r="AY40" i="22"/>
  <c r="AW145" i="22"/>
  <c r="AW146" i="22"/>
  <c r="AW147" i="22"/>
  <c r="AY150" i="8"/>
  <c r="AY151" i="8"/>
  <c r="AY152" i="8"/>
  <c r="BA56" i="8"/>
  <c r="AZ149" i="8"/>
  <c r="AY54" i="8"/>
  <c r="AX144" i="8"/>
  <c r="AW145" i="8"/>
  <c r="AW146" i="8"/>
  <c r="AW147" i="8"/>
  <c r="AW109" i="8"/>
  <c r="AX40" i="8"/>
  <c r="AV130" i="8"/>
  <c r="AV131" i="8"/>
  <c r="AV132" i="8"/>
  <c r="AX48" i="8"/>
  <c r="AW129" i="8"/>
  <c r="AW139" i="8"/>
  <c r="AX52" i="8"/>
  <c r="AV110" i="8"/>
  <c r="AV111" i="8"/>
  <c r="AV112" i="8"/>
  <c r="AX32" i="8"/>
  <c r="AW89" i="8"/>
  <c r="AV84" i="8"/>
  <c r="AW30" i="8"/>
  <c r="AV140" i="8"/>
  <c r="AV141" i="8"/>
  <c r="AV142" i="8"/>
  <c r="AU85" i="8"/>
  <c r="AU86" i="8"/>
  <c r="AU87" i="8"/>
  <c r="AV90" i="8"/>
  <c r="AV91" i="8"/>
  <c r="AV92" i="8"/>
  <c r="AV145" i="7"/>
  <c r="AV146" i="7"/>
  <c r="AV147" i="7"/>
  <c r="AW144" i="7"/>
  <c r="AX54" i="7"/>
  <c r="AW139" i="7"/>
  <c r="AX52" i="7"/>
  <c r="AV140" i="7"/>
  <c r="AV141" i="7"/>
  <c r="AV142" i="7"/>
  <c r="AV135" i="7"/>
  <c r="AV136" i="7"/>
  <c r="AV137" i="7"/>
  <c r="AW134" i="7"/>
  <c r="AX50" i="7"/>
  <c r="AY124" i="7"/>
  <c r="AZ46" i="7"/>
  <c r="AX125" i="7"/>
  <c r="AX126" i="7"/>
  <c r="AX127" i="7"/>
  <c r="BD89" i="7"/>
  <c r="BE32" i="7"/>
  <c r="AZ119" i="7"/>
  <c r="BA44" i="7"/>
  <c r="BC90" i="7"/>
  <c r="BC91" i="7"/>
  <c r="BC92" i="7"/>
  <c r="AY120" i="7"/>
  <c r="AY121" i="7"/>
  <c r="AY122" i="7"/>
  <c r="AV164" i="6"/>
  <c r="AV165" i="6"/>
  <c r="AV166" i="6"/>
  <c r="AW163" i="6"/>
  <c r="AX56" i="6"/>
  <c r="AV159" i="6"/>
  <c r="AV160" i="6"/>
  <c r="AV161" i="6"/>
  <c r="AX54" i="6"/>
  <c r="AW158" i="6"/>
  <c r="AX52" i="6"/>
  <c r="AW153" i="6"/>
  <c r="AV154" i="6"/>
  <c r="AV155" i="6"/>
  <c r="AV156" i="6"/>
  <c r="AW148" i="6"/>
  <c r="AX50" i="6"/>
  <c r="AV149" i="6"/>
  <c r="AV150" i="6"/>
  <c r="AV151" i="6"/>
  <c r="AW143" i="6"/>
  <c r="AX48" i="6"/>
  <c r="AV144" i="6"/>
  <c r="AV145" i="6"/>
  <c r="AV146" i="6"/>
  <c r="AW160" i="9"/>
  <c r="AW161" i="9"/>
  <c r="AW162" i="9"/>
  <c r="AY60" i="9"/>
  <c r="AX159" i="9"/>
  <c r="AX58" i="9"/>
  <c r="AW154" i="9"/>
  <c r="AV155" i="9"/>
  <c r="AV156" i="9"/>
  <c r="AV157" i="9"/>
  <c r="AW110" i="9"/>
  <c r="AW111" i="9"/>
  <c r="AW112" i="9"/>
  <c r="AY36" i="9"/>
  <c r="AX99" i="9"/>
  <c r="AW100" i="9"/>
  <c r="AW101" i="9"/>
  <c r="AW102" i="9"/>
  <c r="AY40" i="9"/>
  <c r="AX109" i="9"/>
  <c r="AX62" i="1"/>
  <c r="AW166" i="1"/>
  <c r="AV167" i="1"/>
  <c r="AV168" i="1"/>
  <c r="AV169" i="1"/>
  <c r="AV147" i="1"/>
  <c r="AV148" i="1"/>
  <c r="AV149" i="1"/>
  <c r="AX46" i="1"/>
  <c r="AW126" i="1"/>
  <c r="AX54" i="1"/>
  <c r="AW146" i="1"/>
  <c r="AV127" i="1"/>
  <c r="AV128" i="1"/>
  <c r="AV129" i="1"/>
  <c r="AX122" i="1"/>
  <c r="AX123" i="1"/>
  <c r="AX124" i="1"/>
  <c r="AZ44" i="1"/>
  <c r="AY121" i="1"/>
  <c r="AY101" i="1"/>
  <c r="AZ36" i="1"/>
  <c r="AX112" i="1"/>
  <c r="AX113" i="1"/>
  <c r="AX114" i="1"/>
  <c r="AW106" i="1"/>
  <c r="AX38" i="1"/>
  <c r="AV107" i="1"/>
  <c r="AV108" i="1"/>
  <c r="AV109" i="1"/>
  <c r="AX102" i="1"/>
  <c r="AX103" i="1"/>
  <c r="AX104" i="1"/>
  <c r="AY111" i="1"/>
  <c r="AZ40" i="1"/>
  <c r="W44" i="36"/>
  <c r="V44" i="36"/>
  <c r="AY48" i="7"/>
  <c r="AX129" i="7"/>
  <c r="AX130" i="7"/>
  <c r="AX131" i="7"/>
  <c r="AX132" i="7"/>
  <c r="S37" i="36"/>
  <c r="AF20" i="26"/>
  <c r="W47" i="31"/>
  <c r="V47" i="31"/>
  <c r="BW52" i="2"/>
  <c r="BX173" i="2"/>
  <c r="AG59" i="11"/>
  <c r="AH229" i="11"/>
  <c r="BW75" i="9"/>
  <c r="BX237" i="9"/>
  <c r="W39" i="41"/>
  <c r="V39" i="41"/>
  <c r="X39" i="41"/>
  <c r="P43" i="41"/>
  <c r="Q42" i="41"/>
  <c r="AJ39" i="41"/>
  <c r="AY157" i="7"/>
  <c r="AV177" i="7"/>
  <c r="BA207" i="11"/>
  <c r="BA162" i="7"/>
  <c r="BB167" i="8"/>
  <c r="BX157" i="10"/>
  <c r="BE172" i="9"/>
  <c r="BE207" i="9"/>
  <c r="AZ127" i="11"/>
  <c r="BS212" i="22"/>
  <c r="BA192" i="8"/>
  <c r="BF192" i="22"/>
  <c r="AV182" i="10"/>
  <c r="AV137" i="11"/>
  <c r="BH167" i="10"/>
  <c r="AV202" i="11"/>
  <c r="BS177" i="22"/>
  <c r="BK187" i="10"/>
  <c r="BP147" i="10"/>
  <c r="AV202" i="9"/>
  <c r="BW177" i="9"/>
  <c r="BD167" i="7"/>
  <c r="BP177" i="8"/>
  <c r="BF207" i="22"/>
  <c r="BC207" i="7"/>
  <c r="BV212" i="10"/>
  <c r="BT255" i="40"/>
  <c r="BT256" i="40"/>
  <c r="BT257" i="40"/>
  <c r="BN284" i="40"/>
  <c r="BN285" i="40"/>
  <c r="BN286" i="40"/>
  <c r="BN287" i="40"/>
  <c r="BO108" i="40"/>
  <c r="BN264" i="40"/>
  <c r="BO100" i="40"/>
  <c r="BM265" i="40"/>
  <c r="BM266" i="40"/>
  <c r="BM267" i="40"/>
  <c r="BM290" i="40"/>
  <c r="BM291" i="40"/>
  <c r="BM292" i="40"/>
  <c r="BN289" i="40"/>
  <c r="BO110" i="40"/>
  <c r="BN244" i="40"/>
  <c r="BO92" i="40"/>
  <c r="BN249" i="40"/>
  <c r="BN250" i="40"/>
  <c r="BN251" i="40"/>
  <c r="BN252" i="40"/>
  <c r="BO94" i="40"/>
  <c r="BN269" i="40"/>
  <c r="BO102" i="40"/>
  <c r="BM250" i="40"/>
  <c r="BM251" i="40"/>
  <c r="BM252" i="40"/>
  <c r="BU96" i="40"/>
  <c r="BU254" i="40"/>
  <c r="BU255" i="40"/>
  <c r="BU256" i="40"/>
  <c r="BU257" i="40"/>
  <c r="BU104" i="40"/>
  <c r="BU274" i="40"/>
  <c r="BU275" i="40"/>
  <c r="BU276" i="40"/>
  <c r="BU277" i="40"/>
  <c r="BT106" i="40"/>
  <c r="BT279" i="40"/>
  <c r="BT280" i="40"/>
  <c r="BT281" i="40"/>
  <c r="BT282" i="40"/>
  <c r="BV98" i="40"/>
  <c r="BV259" i="40"/>
  <c r="BQ90" i="40"/>
  <c r="BN115" i="40"/>
  <c r="BN116" i="40"/>
  <c r="BN117" i="40"/>
  <c r="BN215" i="40"/>
  <c r="BN216" i="40"/>
  <c r="BN217" i="40"/>
  <c r="BO46" i="40"/>
  <c r="BN129" i="40"/>
  <c r="BO70" i="40"/>
  <c r="BN189" i="40"/>
  <c r="BN205" i="40"/>
  <c r="BN206" i="40"/>
  <c r="BN207" i="40"/>
  <c r="BO56" i="40"/>
  <c r="BN154" i="40"/>
  <c r="BO74" i="40"/>
  <c r="BN199" i="40"/>
  <c r="BN180" i="40"/>
  <c r="BN181" i="40"/>
  <c r="BM160" i="40"/>
  <c r="BM161" i="40"/>
  <c r="BM162" i="40"/>
  <c r="BP40" i="40"/>
  <c r="BO114" i="40"/>
  <c r="BN225" i="40"/>
  <c r="BN226" i="40"/>
  <c r="BN227" i="40"/>
  <c r="BO44" i="40"/>
  <c r="BN124" i="40"/>
  <c r="BP60" i="40"/>
  <c r="BO164" i="40"/>
  <c r="BN197" i="40"/>
  <c r="BM220" i="40"/>
  <c r="BM221" i="40"/>
  <c r="BM170" i="40"/>
  <c r="BM171" i="40"/>
  <c r="BM172" i="40"/>
  <c r="BQ64" i="40"/>
  <c r="BP174" i="40"/>
  <c r="BO86" i="40"/>
  <c r="BN229" i="40"/>
  <c r="BM120" i="40"/>
  <c r="BM121" i="40"/>
  <c r="BM122" i="40"/>
  <c r="BN239" i="40"/>
  <c r="BN140" i="40"/>
  <c r="BN141" i="40"/>
  <c r="BN142" i="40"/>
  <c r="BP66" i="40"/>
  <c r="BO179" i="40"/>
  <c r="BM150" i="40"/>
  <c r="BM151" i="40"/>
  <c r="BM152" i="40"/>
  <c r="BO58" i="40"/>
  <c r="BN159" i="40"/>
  <c r="BM230" i="40"/>
  <c r="BM231" i="40"/>
  <c r="BM240" i="40"/>
  <c r="BM241" i="40"/>
  <c r="BQ72" i="40"/>
  <c r="BP194" i="40"/>
  <c r="BO48" i="40"/>
  <c r="BN134" i="40"/>
  <c r="BL172" i="40"/>
  <c r="BL202" i="40"/>
  <c r="BP80" i="40"/>
  <c r="BO214" i="40"/>
  <c r="BM130" i="40"/>
  <c r="BM131" i="40"/>
  <c r="BM132" i="40"/>
  <c r="BN187" i="40"/>
  <c r="BM210" i="40"/>
  <c r="BM211" i="40"/>
  <c r="BM227" i="40"/>
  <c r="BO185" i="40"/>
  <c r="BO186" i="40"/>
  <c r="BO82" i="40"/>
  <c r="BN219" i="40"/>
  <c r="BP76" i="40"/>
  <c r="BO204" i="40"/>
  <c r="BM155" i="40"/>
  <c r="BM156" i="40"/>
  <c r="BM157" i="40"/>
  <c r="BM145" i="40"/>
  <c r="BM146" i="40"/>
  <c r="BM147" i="40"/>
  <c r="BN235" i="40"/>
  <c r="BN236" i="40"/>
  <c r="BM125" i="40"/>
  <c r="BM126" i="40"/>
  <c r="BM127" i="40"/>
  <c r="BP88" i="40"/>
  <c r="BO234" i="40"/>
  <c r="BP84" i="40"/>
  <c r="BO224" i="40"/>
  <c r="BN165" i="40"/>
  <c r="BN166" i="40"/>
  <c r="BN167" i="40"/>
  <c r="BM190" i="40"/>
  <c r="BM191" i="40"/>
  <c r="BM192" i="40"/>
  <c r="BO78" i="40"/>
  <c r="BN209" i="40"/>
  <c r="BQ68" i="40"/>
  <c r="BP184" i="40"/>
  <c r="BL192" i="40"/>
  <c r="BO62" i="40"/>
  <c r="BN169" i="40"/>
  <c r="BO175" i="40"/>
  <c r="BO176" i="40"/>
  <c r="BO177" i="40"/>
  <c r="BM200" i="40"/>
  <c r="BM201" i="40"/>
  <c r="BM202" i="40"/>
  <c r="BO52" i="40"/>
  <c r="BN144" i="40"/>
  <c r="BO42" i="40"/>
  <c r="BN119" i="40"/>
  <c r="BM217" i="40"/>
  <c r="BP50" i="40"/>
  <c r="BO139" i="40"/>
  <c r="BO195" i="40"/>
  <c r="BO196" i="40"/>
  <c r="BO197" i="40"/>
  <c r="BO54" i="40"/>
  <c r="BN149" i="40"/>
  <c r="BM135" i="40"/>
  <c r="BM136" i="40"/>
  <c r="BM137" i="40"/>
  <c r="BQ187" i="7"/>
  <c r="AW201" i="22"/>
  <c r="AW200" i="22"/>
  <c r="AW166" i="9"/>
  <c r="AW165" i="9"/>
  <c r="BE184" i="22"/>
  <c r="BF70" i="22"/>
  <c r="AV202" i="10"/>
  <c r="AP81" i="8"/>
  <c r="AQ240" i="8"/>
  <c r="AM55" i="11"/>
  <c r="AN227" i="11"/>
  <c r="BQ145" i="10"/>
  <c r="BQ146" i="10"/>
  <c r="AW186" i="8"/>
  <c r="AW185" i="8"/>
  <c r="AV202" i="22"/>
  <c r="BN194" i="11"/>
  <c r="BO74" i="11"/>
  <c r="BW172" i="10"/>
  <c r="BY80" i="10"/>
  <c r="BX209" i="10"/>
  <c r="AY76" i="10"/>
  <c r="AX199" i="10"/>
  <c r="BI72" i="22"/>
  <c r="BH189" i="22"/>
  <c r="AX138" i="6"/>
  <c r="AX139" i="6"/>
  <c r="AX140" i="6"/>
  <c r="AX141" i="6"/>
  <c r="AY46" i="6"/>
  <c r="BC204" i="11"/>
  <c r="BD78" i="11"/>
  <c r="BZ66" i="9"/>
  <c r="BY174" i="9"/>
  <c r="AW152" i="11"/>
  <c r="AV207" i="8"/>
  <c r="BJ155" i="8"/>
  <c r="BJ156" i="8"/>
  <c r="BD164" i="8"/>
  <c r="BE62" i="8"/>
  <c r="BL186" i="10"/>
  <c r="BL185" i="10"/>
  <c r="BC46" i="11"/>
  <c r="BB124" i="11"/>
  <c r="AY78" i="8"/>
  <c r="AX204" i="8"/>
  <c r="AX159" i="10"/>
  <c r="AY60" i="10"/>
  <c r="BK62" i="10"/>
  <c r="BJ164" i="10"/>
  <c r="AY76" i="22"/>
  <c r="AX199" i="22"/>
  <c r="AY62" i="9"/>
  <c r="AX164" i="9"/>
  <c r="BC159" i="7"/>
  <c r="BD60" i="7"/>
  <c r="BD186" i="22"/>
  <c r="BD185" i="22"/>
  <c r="AX149" i="22"/>
  <c r="AX150" i="22"/>
  <c r="AX151" i="22"/>
  <c r="AX152" i="22"/>
  <c r="AY56" i="22"/>
  <c r="BR144" i="10"/>
  <c r="BS54" i="10"/>
  <c r="BM195" i="11"/>
  <c r="BM196" i="11"/>
  <c r="AW136" i="11"/>
  <c r="AW135" i="11"/>
  <c r="BJ66" i="10"/>
  <c r="BI174" i="10"/>
  <c r="BX176" i="9"/>
  <c r="BX175" i="9"/>
  <c r="BL58" i="8"/>
  <c r="BK154" i="8"/>
  <c r="BF78" i="7"/>
  <c r="BE204" i="7"/>
  <c r="BC165" i="8"/>
  <c r="BC166" i="8"/>
  <c r="BN70" i="10"/>
  <c r="BM184" i="10"/>
  <c r="AZ155" i="7"/>
  <c r="AZ156" i="7"/>
  <c r="AW205" i="8"/>
  <c r="AW206" i="8"/>
  <c r="CA58" i="10"/>
  <c r="BZ154" i="10"/>
  <c r="BG206" i="22"/>
  <c r="BG205" i="22"/>
  <c r="BI165" i="10"/>
  <c r="BI166" i="10"/>
  <c r="BY169" i="10"/>
  <c r="BZ64" i="10"/>
  <c r="BB161" i="7"/>
  <c r="BB160" i="7"/>
  <c r="AX201" i="7"/>
  <c r="AX200" i="7"/>
  <c r="AX151" i="11"/>
  <c r="AX150" i="11"/>
  <c r="AV167" i="9"/>
  <c r="BI157" i="8"/>
  <c r="AY50" i="11"/>
  <c r="AX134" i="11"/>
  <c r="AW202" i="7"/>
  <c r="BH175" i="10"/>
  <c r="BH176" i="10"/>
  <c r="BH64" i="9"/>
  <c r="BG169" i="9"/>
  <c r="AV187" i="8"/>
  <c r="BH78" i="9"/>
  <c r="BG204" i="9"/>
  <c r="BD206" i="7"/>
  <c r="BD205" i="7"/>
  <c r="AW200" i="11"/>
  <c r="AW201" i="11"/>
  <c r="BV66" i="22"/>
  <c r="BU174" i="22"/>
  <c r="AY66" i="7"/>
  <c r="AX174" i="7"/>
  <c r="BB58" i="7"/>
  <c r="BA154" i="7"/>
  <c r="BE165" i="22"/>
  <c r="BE166" i="22"/>
  <c r="BY155" i="10"/>
  <c r="BY156" i="10"/>
  <c r="BI78" i="22"/>
  <c r="BH204" i="22"/>
  <c r="AY68" i="10"/>
  <c r="AX179" i="10"/>
  <c r="U39" i="30"/>
  <c r="W39" i="30"/>
  <c r="V39" i="30"/>
  <c r="X39" i="30"/>
  <c r="BD167" i="22"/>
  <c r="BX171" i="10"/>
  <c r="BX170" i="10"/>
  <c r="AY199" i="7"/>
  <c r="AZ76" i="7"/>
  <c r="BG177" i="10"/>
  <c r="AY70" i="8"/>
  <c r="AX184" i="8"/>
  <c r="AZ56" i="11"/>
  <c r="AY149" i="11"/>
  <c r="BW211" i="10"/>
  <c r="BW210" i="10"/>
  <c r="AS61" i="11"/>
  <c r="AT230" i="11"/>
  <c r="AW201" i="10"/>
  <c r="AW200" i="10"/>
  <c r="BG191" i="22"/>
  <c r="BG190" i="22"/>
  <c r="BF170" i="9"/>
  <c r="BF171" i="9"/>
  <c r="BB206" i="11"/>
  <c r="BB205" i="11"/>
  <c r="BF206" i="9"/>
  <c r="BF205" i="9"/>
  <c r="BL197" i="11"/>
  <c r="AV162" i="10"/>
  <c r="AY76" i="11"/>
  <c r="AX199" i="11"/>
  <c r="BT175" i="22"/>
  <c r="BT176" i="22"/>
  <c r="AW176" i="7"/>
  <c r="AW175" i="7"/>
  <c r="BA126" i="11"/>
  <c r="BA125" i="11"/>
  <c r="BF164" i="22"/>
  <c r="BG62" i="22"/>
  <c r="BC187" i="22"/>
  <c r="AW161" i="10"/>
  <c r="AW160" i="10"/>
  <c r="AW180" i="10"/>
  <c r="AW181" i="10"/>
  <c r="AS47" i="31"/>
  <c r="AP47" i="31"/>
  <c r="AF47" i="31"/>
  <c r="AI47" i="31"/>
  <c r="AO47" i="31"/>
  <c r="AN47" i="31"/>
  <c r="AB47" i="31"/>
  <c r="Z47" i="31"/>
  <c r="AC47" i="31"/>
  <c r="AR47" i="31"/>
  <c r="AH47" i="31"/>
  <c r="Y47" i="31"/>
  <c r="AU47" i="31"/>
  <c r="AD47" i="31"/>
  <c r="AA47" i="31"/>
  <c r="AE47" i="31"/>
  <c r="AQ47" i="31"/>
  <c r="AL47" i="31"/>
  <c r="AG47" i="31"/>
  <c r="AJ47" i="31"/>
  <c r="AT47" i="31"/>
  <c r="AM47" i="31"/>
  <c r="AK47" i="31"/>
  <c r="X47" i="31"/>
  <c r="G29" i="26"/>
  <c r="S46" i="31"/>
  <c r="T47" i="31"/>
  <c r="L47" i="31"/>
  <c r="N47" i="31"/>
  <c r="O47" i="31"/>
  <c r="P47" i="31"/>
  <c r="AZ109" i="11"/>
  <c r="AZ110" i="11"/>
  <c r="AZ111" i="11"/>
  <c r="AZ112" i="11"/>
  <c r="BA40" i="11"/>
  <c r="AY38" i="10"/>
  <c r="AX104" i="10"/>
  <c r="AX105" i="10"/>
  <c r="AX106" i="10"/>
  <c r="AX107" i="10"/>
  <c r="AY34" i="10"/>
  <c r="AX94" i="10"/>
  <c r="AX95" i="10"/>
  <c r="AX96" i="10"/>
  <c r="AX97" i="10"/>
  <c r="AX89" i="10"/>
  <c r="AX90" i="10"/>
  <c r="AX91" i="10"/>
  <c r="AX92" i="10"/>
  <c r="AY32" i="10"/>
  <c r="AX84" i="10"/>
  <c r="AX85" i="10"/>
  <c r="AX86" i="10"/>
  <c r="AX87" i="10"/>
  <c r="AY30" i="10"/>
  <c r="AZ44" i="10"/>
  <c r="AY119" i="10"/>
  <c r="AY120" i="10"/>
  <c r="AY121" i="10"/>
  <c r="AY122" i="10"/>
  <c r="AY42" i="10"/>
  <c r="AX114" i="10"/>
  <c r="AX115" i="10"/>
  <c r="AX116" i="10"/>
  <c r="AX117" i="10"/>
  <c r="AX129" i="10"/>
  <c r="AX130" i="10"/>
  <c r="AX131" i="10"/>
  <c r="AX132" i="10"/>
  <c r="AY48" i="10"/>
  <c r="AX109" i="10"/>
  <c r="AX110" i="10"/>
  <c r="AX111" i="10"/>
  <c r="AX112" i="10"/>
  <c r="AY40" i="10"/>
  <c r="AX139" i="10"/>
  <c r="AX140" i="10"/>
  <c r="AX141" i="10"/>
  <c r="AX142" i="10"/>
  <c r="AY52" i="10"/>
  <c r="AX124" i="10"/>
  <c r="AX125" i="10"/>
  <c r="AX126" i="10"/>
  <c r="AX127" i="10"/>
  <c r="AY46" i="10"/>
  <c r="AY42" i="22"/>
  <c r="AX114" i="22"/>
  <c r="AX115" i="22"/>
  <c r="AX116" i="22"/>
  <c r="AX117" i="22"/>
  <c r="AY50" i="22"/>
  <c r="AX134" i="22"/>
  <c r="AX135" i="22"/>
  <c r="AX136" i="22"/>
  <c r="AX137" i="22"/>
  <c r="AZ52" i="22"/>
  <c r="AY139" i="22"/>
  <c r="AY140" i="22"/>
  <c r="AY141" i="22"/>
  <c r="AY142" i="22"/>
  <c r="AZ46" i="22"/>
  <c r="AY124" i="22"/>
  <c r="AY125" i="22"/>
  <c r="AY126" i="22"/>
  <c r="AY127" i="22"/>
  <c r="AY134" i="8"/>
  <c r="AY135" i="8"/>
  <c r="AY136" i="8"/>
  <c r="AY137" i="8"/>
  <c r="AZ50" i="8"/>
  <c r="AY46" i="8"/>
  <c r="AX124" i="8"/>
  <c r="AX125" i="8"/>
  <c r="AX126" i="8"/>
  <c r="AX127" i="8"/>
  <c r="BP162" i="22"/>
  <c r="BU172" i="22"/>
  <c r="CB192" i="10"/>
  <c r="CB236" i="10"/>
  <c r="BW132" i="11"/>
  <c r="BR197" i="10"/>
  <c r="BT212" i="7"/>
  <c r="BS182" i="9"/>
  <c r="BQ197" i="7"/>
  <c r="CA142" i="11"/>
  <c r="CA226" i="11"/>
  <c r="BX182" i="7"/>
  <c r="BT207" i="10"/>
  <c r="BR197" i="22"/>
  <c r="AF73" i="7"/>
  <c r="AG236" i="7"/>
  <c r="BW53" i="11"/>
  <c r="BX226" i="11"/>
  <c r="AX199" i="9"/>
  <c r="AY76" i="9"/>
  <c r="AD51" i="2"/>
  <c r="AE172" i="2"/>
  <c r="BZ179" i="7"/>
  <c r="CA68" i="7"/>
  <c r="AP65" i="11"/>
  <c r="AQ232" i="11"/>
  <c r="BS195" i="10"/>
  <c r="BS196" i="10"/>
  <c r="BZ80" i="9"/>
  <c r="BY209" i="9"/>
  <c r="BO180" i="8"/>
  <c r="BO181" i="8"/>
  <c r="AU69" i="11"/>
  <c r="AV234" i="11"/>
  <c r="BR195" i="7"/>
  <c r="BR196" i="7"/>
  <c r="BR174" i="8"/>
  <c r="BS66" i="8"/>
  <c r="BY129" i="11"/>
  <c r="BZ48" i="11"/>
  <c r="BS196" i="22"/>
  <c r="BS195" i="22"/>
  <c r="BN182" i="8"/>
  <c r="BM192" i="11"/>
  <c r="C173" i="2"/>
  <c r="AM173" i="2"/>
  <c r="BN173" i="2"/>
  <c r="BE173" i="2"/>
  <c r="AD173" i="2"/>
  <c r="U173" i="2"/>
  <c r="AV173" i="2"/>
  <c r="L173" i="2"/>
  <c r="BV186" i="9"/>
  <c r="BV185" i="9"/>
  <c r="CB140" i="11"/>
  <c r="CB141" i="11"/>
  <c r="BV170" i="22"/>
  <c r="BV171" i="22"/>
  <c r="AW200" i="9"/>
  <c r="AW201" i="9"/>
  <c r="BO177" i="11"/>
  <c r="BR180" i="22"/>
  <c r="BR181" i="22"/>
  <c r="BS196" i="8"/>
  <c r="BS195" i="8"/>
  <c r="BE51" i="2"/>
  <c r="CF51" i="2"/>
  <c r="BF172" i="2"/>
  <c r="AM51" i="2"/>
  <c r="AN172" i="2"/>
  <c r="AT63" i="11"/>
  <c r="AU231" i="11"/>
  <c r="BW80" i="7"/>
  <c r="BV209" i="7"/>
  <c r="AW190" i="9"/>
  <c r="AW191" i="9"/>
  <c r="BM160" i="8"/>
  <c r="BM161" i="8"/>
  <c r="BZ226" i="11"/>
  <c r="BB190" i="8"/>
  <c r="BB191" i="8"/>
  <c r="BP72" i="11"/>
  <c r="BO189" i="11"/>
  <c r="BT74" i="7"/>
  <c r="BS194" i="7"/>
  <c r="BW78" i="10"/>
  <c r="BV204" i="10"/>
  <c r="BU74" i="22"/>
  <c r="BT194" i="22"/>
  <c r="BW149" i="10"/>
  <c r="BX56" i="10"/>
  <c r="A174" i="2"/>
  <c r="BW174" i="2"/>
  <c r="A54" i="2"/>
  <c r="BR185" i="7"/>
  <c r="BR186" i="7"/>
  <c r="BU210" i="7"/>
  <c r="BU211" i="7"/>
  <c r="BN190" i="11"/>
  <c r="BN191" i="11"/>
  <c r="BX131" i="11"/>
  <c r="BX130" i="11"/>
  <c r="BU206" i="10"/>
  <c r="BU205" i="10"/>
  <c r="BT211" i="22"/>
  <c r="BT210" i="22"/>
  <c r="BW184" i="9"/>
  <c r="BX70" i="9"/>
  <c r="AY32" i="22"/>
  <c r="AX89" i="22"/>
  <c r="AX90" i="22"/>
  <c r="AX91" i="22"/>
  <c r="AX92" i="22"/>
  <c r="BS179" i="22"/>
  <c r="BT68" i="22"/>
  <c r="BT194" i="8"/>
  <c r="BU74" i="8"/>
  <c r="L51" i="2"/>
  <c r="M172" i="2"/>
  <c r="C51" i="2"/>
  <c r="D172" i="2"/>
  <c r="BS31" i="22"/>
  <c r="BT215" i="22"/>
  <c r="BP175" i="11"/>
  <c r="BP176" i="11"/>
  <c r="AX189" i="9"/>
  <c r="AY72" i="9"/>
  <c r="BO60" i="8"/>
  <c r="BN159" i="8"/>
  <c r="BD72" i="8"/>
  <c r="BC189" i="8"/>
  <c r="BR159" i="22"/>
  <c r="BS60" i="22"/>
  <c r="BT180" i="9"/>
  <c r="BT181" i="9"/>
  <c r="BQ176" i="8"/>
  <c r="BQ175" i="8"/>
  <c r="BY226" i="11"/>
  <c r="BO200" i="8"/>
  <c r="BO201" i="8"/>
  <c r="BS80" i="11"/>
  <c r="BR209" i="11"/>
  <c r="BN51" i="2"/>
  <c r="BO172" i="2"/>
  <c r="BL162" i="8"/>
  <c r="BU209" i="22"/>
  <c r="BV80" i="22"/>
  <c r="BP212" i="11"/>
  <c r="BV150" i="10"/>
  <c r="BV151" i="10"/>
  <c r="AH65" i="8"/>
  <c r="AI232" i="8"/>
  <c r="BT70" i="7"/>
  <c r="BS184" i="7"/>
  <c r="BW212" i="9"/>
  <c r="BP65" i="7"/>
  <c r="BQ232" i="7"/>
  <c r="BQ76" i="8"/>
  <c r="BP199" i="8"/>
  <c r="BW169" i="22"/>
  <c r="BX64" i="22"/>
  <c r="BQ211" i="11"/>
  <c r="BQ210" i="11"/>
  <c r="BV73" i="10"/>
  <c r="BW236" i="10"/>
  <c r="AV192" i="9"/>
  <c r="V172" i="2"/>
  <c r="U51" i="2"/>
  <c r="AV51" i="2"/>
  <c r="AW172" i="2"/>
  <c r="BY181" i="7"/>
  <c r="BY180" i="7"/>
  <c r="BU187" i="9"/>
  <c r="BQ174" i="11"/>
  <c r="BR66" i="11"/>
  <c r="BN202" i="8"/>
  <c r="BU152" i="10"/>
  <c r="BT194" i="10"/>
  <c r="BU74" i="10"/>
  <c r="BQ182" i="22"/>
  <c r="BR197" i="8"/>
  <c r="BX211" i="9"/>
  <c r="BX210" i="9"/>
  <c r="BP179" i="8"/>
  <c r="BQ68" i="8"/>
  <c r="BQ161" i="22"/>
  <c r="BQ160" i="22"/>
  <c r="BU179" i="9"/>
  <c r="BV68" i="9"/>
  <c r="T38" i="30"/>
  <c r="Y39" i="30"/>
  <c r="AX119" i="8"/>
  <c r="AX120" i="8"/>
  <c r="AX121" i="8"/>
  <c r="AX122" i="8"/>
  <c r="AY44" i="8"/>
  <c r="AY42" i="8"/>
  <c r="AX114" i="8"/>
  <c r="AX115" i="8"/>
  <c r="AX116" i="8"/>
  <c r="AX117" i="8"/>
  <c r="BC94" i="8"/>
  <c r="BC95" i="8"/>
  <c r="BC96" i="8"/>
  <c r="BC97" i="8"/>
  <c r="BD34" i="8"/>
  <c r="BE165" i="7"/>
  <c r="BE166" i="7"/>
  <c r="BG62" i="7"/>
  <c r="BF164" i="7"/>
  <c r="AY32" i="11"/>
  <c r="AX89" i="11"/>
  <c r="AX90" i="11"/>
  <c r="AX91" i="11"/>
  <c r="AX92" i="11"/>
  <c r="AZ30" i="9"/>
  <c r="AY84" i="9"/>
  <c r="AY85" i="9"/>
  <c r="AY86" i="9"/>
  <c r="AY87" i="9"/>
  <c r="AY52" i="9"/>
  <c r="AX139" i="9"/>
  <c r="AX140" i="9"/>
  <c r="AX141" i="9"/>
  <c r="AX142" i="9"/>
  <c r="BA30" i="1"/>
  <c r="AZ86" i="1"/>
  <c r="AZ87" i="1"/>
  <c r="AZ88" i="1"/>
  <c r="AZ89" i="1"/>
  <c r="AX156" i="1"/>
  <c r="AX157" i="1"/>
  <c r="AX158" i="1"/>
  <c r="AX159" i="1"/>
  <c r="AY58" i="1"/>
  <c r="AZ91" i="1"/>
  <c r="AZ92" i="1"/>
  <c r="AZ93" i="1"/>
  <c r="AZ94" i="1"/>
  <c r="BA32" i="1"/>
  <c r="AX141" i="1"/>
  <c r="AY52" i="1"/>
  <c r="AX181" i="1"/>
  <c r="AX182" i="1"/>
  <c r="AX183" i="1"/>
  <c r="AX184" i="1"/>
  <c r="AY68" i="1"/>
  <c r="AX96" i="1"/>
  <c r="AX97" i="1"/>
  <c r="AX98" i="1"/>
  <c r="AX99" i="1"/>
  <c r="AY34" i="1"/>
  <c r="AX131" i="1"/>
  <c r="AX132" i="1"/>
  <c r="AX133" i="1"/>
  <c r="AX134" i="1"/>
  <c r="AY48" i="1"/>
  <c r="AY64" i="1"/>
  <c r="AX171" i="1"/>
  <c r="AX172" i="1"/>
  <c r="AX173" i="1"/>
  <c r="AX174" i="1"/>
  <c r="AX219" i="1"/>
  <c r="AY50" i="1"/>
  <c r="AX136" i="1"/>
  <c r="AX137" i="1"/>
  <c r="AX138" i="1"/>
  <c r="AX139" i="1"/>
  <c r="U45" i="33"/>
  <c r="W45" i="33"/>
  <c r="V45" i="33"/>
  <c r="AY119" i="22"/>
  <c r="AY120" i="22"/>
  <c r="AY121" i="22"/>
  <c r="AY122" i="22"/>
  <c r="AZ44" i="22"/>
  <c r="AW102" i="7"/>
  <c r="AY98" i="6"/>
  <c r="AY99" i="6"/>
  <c r="AY100" i="6"/>
  <c r="AY101" i="6"/>
  <c r="AZ30" i="6"/>
  <c r="AY40" i="6"/>
  <c r="AX123" i="6"/>
  <c r="AX124" i="6"/>
  <c r="AX125" i="6"/>
  <c r="AX126" i="6"/>
  <c r="AY22" i="6"/>
  <c r="AX78" i="6"/>
  <c r="AX79" i="6"/>
  <c r="AX80" i="6"/>
  <c r="AX81" i="6"/>
  <c r="AY34" i="6"/>
  <c r="AX108" i="6"/>
  <c r="AY36" i="6"/>
  <c r="AX113" i="6"/>
  <c r="AY44" i="6"/>
  <c r="AX133" i="6"/>
  <c r="AX134" i="6"/>
  <c r="AX135" i="6"/>
  <c r="AX136" i="6"/>
  <c r="AX103" i="6"/>
  <c r="AX104" i="6"/>
  <c r="AX105" i="6"/>
  <c r="AX106" i="6"/>
  <c r="AY32" i="6"/>
  <c r="AY128" i="6"/>
  <c r="AY129" i="6"/>
  <c r="AY130" i="6"/>
  <c r="AY131" i="6"/>
  <c r="AZ42" i="6"/>
  <c r="AY28" i="6"/>
  <c r="AX93" i="6"/>
  <c r="AX94" i="6"/>
  <c r="AX95" i="6"/>
  <c r="AX96" i="6"/>
  <c r="AW79" i="6"/>
  <c r="AW80" i="6"/>
  <c r="AW81" i="6"/>
  <c r="AY24" i="6"/>
  <c r="AX83" i="6"/>
  <c r="AX84" i="6"/>
  <c r="AX85" i="6"/>
  <c r="AX86" i="6"/>
  <c r="AY26" i="6"/>
  <c r="AX88" i="6"/>
  <c r="AX89" i="6"/>
  <c r="AX90" i="6"/>
  <c r="AX91" i="6"/>
  <c r="AW164" i="1"/>
  <c r="BA82" i="1"/>
  <c r="AZ216" i="1"/>
  <c r="AZ212" i="1"/>
  <c r="AZ213" i="1"/>
  <c r="AX116" i="1"/>
  <c r="AX117" i="1"/>
  <c r="AX118" i="1"/>
  <c r="AX119" i="1"/>
  <c r="AY42" i="1"/>
  <c r="AY217" i="1"/>
  <c r="AY218" i="1"/>
  <c r="BB80" i="1"/>
  <c r="BA211" i="1"/>
  <c r="BA212" i="1"/>
  <c r="BA213" i="1"/>
  <c r="BA214" i="1"/>
  <c r="AW122" i="11"/>
  <c r="BB104" i="8"/>
  <c r="BB105" i="8"/>
  <c r="BB106" i="8"/>
  <c r="BB107" i="8"/>
  <c r="BC38" i="8"/>
  <c r="AY99" i="8"/>
  <c r="AY100" i="8"/>
  <c r="AY101" i="8"/>
  <c r="AY102" i="8"/>
  <c r="AZ36" i="8"/>
  <c r="AY119" i="11"/>
  <c r="AZ44" i="11"/>
  <c r="AX120" i="11"/>
  <c r="AX121" i="11"/>
  <c r="AX122" i="11"/>
  <c r="T44" i="36"/>
  <c r="AP44" i="36"/>
  <c r="AN44" i="36"/>
  <c r="AA44" i="36"/>
  <c r="AJ44" i="36"/>
  <c r="AM44" i="36"/>
  <c r="AI44" i="36"/>
  <c r="AK44" i="36"/>
  <c r="AG44" i="36"/>
  <c r="AQ44" i="36"/>
  <c r="Y44" i="36"/>
  <c r="AB44" i="36"/>
  <c r="AO44" i="36"/>
  <c r="AH44" i="36"/>
  <c r="AF44" i="36"/>
  <c r="AE44" i="36"/>
  <c r="AL44" i="36"/>
  <c r="AD44" i="36"/>
  <c r="AR44" i="36"/>
  <c r="Z44" i="36"/>
  <c r="X44" i="36"/>
  <c r="AC44" i="36"/>
  <c r="T45" i="32"/>
  <c r="AL45" i="32"/>
  <c r="AN45" i="32"/>
  <c r="AI45" i="32"/>
  <c r="Z45" i="32"/>
  <c r="AD45" i="32"/>
  <c r="AM45" i="32"/>
  <c r="AO45" i="32"/>
  <c r="AH45" i="32"/>
  <c r="AC45" i="32"/>
  <c r="AE45" i="32"/>
  <c r="AQ45" i="32"/>
  <c r="AP45" i="32"/>
  <c r="AB45" i="32"/>
  <c r="AJ45" i="32"/>
  <c r="AF45" i="32"/>
  <c r="AR45" i="32"/>
  <c r="X45" i="32"/>
  <c r="Y45" i="32"/>
  <c r="AK45" i="32"/>
  <c r="AG45" i="32"/>
  <c r="AS45" i="32"/>
  <c r="AA45" i="32"/>
  <c r="AZ38" i="22"/>
  <c r="AY104" i="22"/>
  <c r="AY105" i="22"/>
  <c r="AY106" i="22"/>
  <c r="AY107" i="22"/>
  <c r="AY34" i="22"/>
  <c r="AX94" i="22"/>
  <c r="AX95" i="22"/>
  <c r="AX96" i="22"/>
  <c r="AX97" i="22"/>
  <c r="AX129" i="22"/>
  <c r="AX130" i="22"/>
  <c r="AX131" i="22"/>
  <c r="AX132" i="22"/>
  <c r="AY48" i="22"/>
  <c r="AY99" i="7"/>
  <c r="AY100" i="7"/>
  <c r="AY101" i="7"/>
  <c r="AY102" i="7"/>
  <c r="AZ36" i="7"/>
  <c r="BA109" i="7"/>
  <c r="BB40" i="7"/>
  <c r="AY34" i="7"/>
  <c r="AX94" i="7"/>
  <c r="AX95" i="7"/>
  <c r="AX96" i="7"/>
  <c r="AX97" i="7"/>
  <c r="AY104" i="7"/>
  <c r="AY105" i="7"/>
  <c r="AY106" i="7"/>
  <c r="AY107" i="7"/>
  <c r="AZ38" i="7"/>
  <c r="AX114" i="7"/>
  <c r="AY42" i="7"/>
  <c r="AY84" i="7"/>
  <c r="AY85" i="7"/>
  <c r="AY86" i="7"/>
  <c r="AY87" i="7"/>
  <c r="AZ30" i="7"/>
  <c r="BB38" i="6"/>
  <c r="BA118" i="6"/>
  <c r="BA119" i="6"/>
  <c r="BA120" i="6"/>
  <c r="BA121" i="6"/>
  <c r="BA104" i="9"/>
  <c r="BA105" i="9"/>
  <c r="BA106" i="9"/>
  <c r="BA107" i="9"/>
  <c r="BB38" i="9"/>
  <c r="AX42" i="9"/>
  <c r="AW114" i="9"/>
  <c r="AW115" i="9"/>
  <c r="AW116" i="9"/>
  <c r="AW117" i="9"/>
  <c r="AX94" i="9"/>
  <c r="AX95" i="9"/>
  <c r="AX96" i="9"/>
  <c r="AX97" i="9"/>
  <c r="AY34" i="9"/>
  <c r="BB144" i="9"/>
  <c r="BB145" i="9"/>
  <c r="BB146" i="9"/>
  <c r="BB147" i="9"/>
  <c r="BC54" i="9"/>
  <c r="AY46" i="9"/>
  <c r="AX124" i="9"/>
  <c r="AX125" i="9"/>
  <c r="AX126" i="9"/>
  <c r="AX127" i="9"/>
  <c r="AY134" i="9"/>
  <c r="AY135" i="9"/>
  <c r="AY136" i="9"/>
  <c r="AY137" i="9"/>
  <c r="AZ50" i="9"/>
  <c r="AY56" i="9"/>
  <c r="AX149" i="9"/>
  <c r="AX150" i="9"/>
  <c r="AX151" i="9"/>
  <c r="AX152" i="9"/>
  <c r="AZ89" i="9"/>
  <c r="AZ90" i="9"/>
  <c r="AZ91" i="9"/>
  <c r="AZ92" i="9"/>
  <c r="BA32" i="9"/>
  <c r="AX129" i="9"/>
  <c r="AX130" i="9"/>
  <c r="AX131" i="9"/>
  <c r="AX132" i="9"/>
  <c r="AY48" i="9"/>
  <c r="AX119" i="9"/>
  <c r="AY44" i="9"/>
  <c r="BA76" i="1"/>
  <c r="AZ201" i="1"/>
  <c r="AZ202" i="1"/>
  <c r="AZ203" i="1"/>
  <c r="AZ204" i="1"/>
  <c r="AW207" i="1"/>
  <c r="AW208" i="1"/>
  <c r="AW209" i="1"/>
  <c r="AY74" i="1"/>
  <c r="AX196" i="1"/>
  <c r="AX197" i="1"/>
  <c r="AX198" i="1"/>
  <c r="AX199" i="1"/>
  <c r="BA66" i="1"/>
  <c r="AZ176" i="1"/>
  <c r="BE56" i="1"/>
  <c r="BD151" i="1"/>
  <c r="BD152" i="1"/>
  <c r="BD153" i="1"/>
  <c r="BD154" i="1"/>
  <c r="AY78" i="1"/>
  <c r="AX206" i="1"/>
  <c r="AY161" i="1"/>
  <c r="AY162" i="1"/>
  <c r="AY163" i="1"/>
  <c r="AY164" i="1"/>
  <c r="AZ60" i="1"/>
  <c r="AY70" i="1"/>
  <c r="AX186" i="1"/>
  <c r="AX162" i="1"/>
  <c r="AX163" i="1"/>
  <c r="AX164" i="1"/>
  <c r="AZ72" i="1"/>
  <c r="AY191" i="1"/>
  <c r="T46" i="37"/>
  <c r="L46" i="37"/>
  <c r="N46" i="37"/>
  <c r="O46" i="37"/>
  <c r="P46" i="37"/>
  <c r="Q46" i="37"/>
  <c r="W46" i="37"/>
  <c r="V46" i="37"/>
  <c r="AQ46" i="37"/>
  <c r="BE42" i="11"/>
  <c r="BD114" i="11"/>
  <c r="BC115" i="11"/>
  <c r="BC116" i="11"/>
  <c r="BC117" i="11"/>
  <c r="T42" i="34"/>
  <c r="P44" i="34"/>
  <c r="Q44" i="34"/>
  <c r="V23" i="26"/>
  <c r="S40" i="34"/>
  <c r="R39" i="34"/>
  <c r="AO42" i="34"/>
  <c r="AA42" i="34"/>
  <c r="AF42" i="34"/>
  <c r="AK42" i="34"/>
  <c r="AP42" i="34"/>
  <c r="AB42" i="34"/>
  <c r="AG42" i="34"/>
  <c r="AL42" i="34"/>
  <c r="X42" i="34"/>
  <c r="AC42" i="34"/>
  <c r="AH42" i="34"/>
  <c r="AM42" i="34"/>
  <c r="Y42" i="34"/>
  <c r="AD42" i="34"/>
  <c r="AI42" i="34"/>
  <c r="AN42" i="34"/>
  <c r="Z42" i="34"/>
  <c r="AE42" i="34"/>
  <c r="AJ42" i="34"/>
  <c r="V24" i="26"/>
  <c r="S41" i="34"/>
  <c r="W44" i="35"/>
  <c r="V44" i="35"/>
  <c r="K44" i="35"/>
  <c r="AW107" i="11"/>
  <c r="AY100" i="11"/>
  <c r="AY101" i="11"/>
  <c r="AY102" i="11"/>
  <c r="BA85" i="11"/>
  <c r="BA86" i="11"/>
  <c r="BA87" i="11"/>
  <c r="AZ38" i="11"/>
  <c r="AY104" i="11"/>
  <c r="BA36" i="11"/>
  <c r="AZ99" i="11"/>
  <c r="BB84" i="11"/>
  <c r="BC30" i="11"/>
  <c r="AX105" i="11"/>
  <c r="AX106" i="11"/>
  <c r="AY134" i="10"/>
  <c r="AZ50" i="10"/>
  <c r="AX135" i="10"/>
  <c r="AX136" i="10"/>
  <c r="AX137" i="10"/>
  <c r="AX100" i="10"/>
  <c r="AX101" i="10"/>
  <c r="AX102" i="10"/>
  <c r="AZ36" i="10"/>
  <c r="AY99" i="10"/>
  <c r="AY58" i="22"/>
  <c r="AX154" i="22"/>
  <c r="AW155" i="22"/>
  <c r="AW156" i="22"/>
  <c r="AX145" i="22"/>
  <c r="AX146" i="22"/>
  <c r="AX147" i="22"/>
  <c r="AY99" i="22"/>
  <c r="AZ36" i="22"/>
  <c r="AX110" i="22"/>
  <c r="AX111" i="22"/>
  <c r="AX112" i="22"/>
  <c r="AY144" i="22"/>
  <c r="AZ54" i="22"/>
  <c r="AX100" i="22"/>
  <c r="AX101" i="22"/>
  <c r="AX102" i="22"/>
  <c r="AY109" i="22"/>
  <c r="AZ40" i="22"/>
  <c r="AZ150" i="8"/>
  <c r="AZ151" i="8"/>
  <c r="AZ152" i="8"/>
  <c r="BA149" i="8"/>
  <c r="BB56" i="8"/>
  <c r="AX145" i="8"/>
  <c r="AX146" i="8"/>
  <c r="AX147" i="8"/>
  <c r="AY144" i="8"/>
  <c r="AZ54" i="8"/>
  <c r="AW84" i="8"/>
  <c r="AX30" i="8"/>
  <c r="AY32" i="8"/>
  <c r="AX89" i="8"/>
  <c r="AV85" i="8"/>
  <c r="AV86" i="8"/>
  <c r="AV87" i="8"/>
  <c r="AY52" i="8"/>
  <c r="AX139" i="8"/>
  <c r="AW140" i="8"/>
  <c r="AW141" i="8"/>
  <c r="AW142" i="8"/>
  <c r="AW130" i="8"/>
  <c r="AW131" i="8"/>
  <c r="AW132" i="8"/>
  <c r="AY40" i="8"/>
  <c r="AX109" i="8"/>
  <c r="AW90" i="8"/>
  <c r="AW91" i="8"/>
  <c r="AW92" i="8"/>
  <c r="AX129" i="8"/>
  <c r="AY48" i="8"/>
  <c r="AW110" i="8"/>
  <c r="AW111" i="8"/>
  <c r="AW112" i="8"/>
  <c r="AX144" i="7"/>
  <c r="AY54" i="7"/>
  <c r="AW145" i="7"/>
  <c r="AW146" i="7"/>
  <c r="AW147" i="7"/>
  <c r="AX139" i="7"/>
  <c r="AY52" i="7"/>
  <c r="AW140" i="7"/>
  <c r="AW141" i="7"/>
  <c r="AW142" i="7"/>
  <c r="AY50" i="7"/>
  <c r="AX134" i="7"/>
  <c r="AW135" i="7"/>
  <c r="AW136" i="7"/>
  <c r="AW137" i="7"/>
  <c r="BD90" i="7"/>
  <c r="BD91" i="7"/>
  <c r="BB44" i="7"/>
  <c r="BA119" i="7"/>
  <c r="AZ120" i="7"/>
  <c r="AZ121" i="7"/>
  <c r="BA46" i="7"/>
  <c r="AZ124" i="7"/>
  <c r="BF32" i="7"/>
  <c r="BE89" i="7"/>
  <c r="AY125" i="7"/>
  <c r="AY126" i="7"/>
  <c r="AY56" i="6"/>
  <c r="AX163" i="6"/>
  <c r="AW164" i="6"/>
  <c r="AW165" i="6"/>
  <c r="AW166" i="6"/>
  <c r="AW159" i="6"/>
  <c r="AW160" i="6"/>
  <c r="AW161" i="6"/>
  <c r="AY54" i="6"/>
  <c r="AX158" i="6"/>
  <c r="AW154" i="6"/>
  <c r="AW155" i="6"/>
  <c r="AW156" i="6"/>
  <c r="AY52" i="6"/>
  <c r="AX153" i="6"/>
  <c r="AY50" i="6"/>
  <c r="AX148" i="6"/>
  <c r="AW149" i="6"/>
  <c r="AW150" i="6"/>
  <c r="AW151" i="6"/>
  <c r="AW144" i="6"/>
  <c r="AW145" i="6"/>
  <c r="AW146" i="6"/>
  <c r="AX143" i="6"/>
  <c r="AY48" i="6"/>
  <c r="AX160" i="9"/>
  <c r="AX161" i="9"/>
  <c r="AX162" i="9"/>
  <c r="AY159" i="9"/>
  <c r="AZ60" i="9"/>
  <c r="AY58" i="9"/>
  <c r="AX154" i="9"/>
  <c r="AW155" i="9"/>
  <c r="AW156" i="9"/>
  <c r="AW157" i="9"/>
  <c r="AX100" i="9"/>
  <c r="AX101" i="9"/>
  <c r="AX102" i="9"/>
  <c r="AX110" i="9"/>
  <c r="AX111" i="9"/>
  <c r="AX112" i="9"/>
  <c r="AZ40" i="9"/>
  <c r="AY109" i="9"/>
  <c r="AY99" i="9"/>
  <c r="AZ36" i="9"/>
  <c r="AW167" i="1"/>
  <c r="AW168" i="1"/>
  <c r="AW169" i="1"/>
  <c r="AY62" i="1"/>
  <c r="AX166" i="1"/>
  <c r="AX126" i="1"/>
  <c r="AY46" i="1"/>
  <c r="AW147" i="1"/>
  <c r="AW148" i="1"/>
  <c r="AW149" i="1"/>
  <c r="AW127" i="1"/>
  <c r="AW128" i="1"/>
  <c r="AW129" i="1"/>
  <c r="AY54" i="1"/>
  <c r="AX146" i="1"/>
  <c r="AY122" i="1"/>
  <c r="AY123" i="1"/>
  <c r="AY124" i="1"/>
  <c r="BA44" i="1"/>
  <c r="AZ121" i="1"/>
  <c r="BA40" i="1"/>
  <c r="AZ111" i="1"/>
  <c r="AY102" i="1"/>
  <c r="AY103" i="1"/>
  <c r="AY104" i="1"/>
  <c r="AX106" i="1"/>
  <c r="AY38" i="1"/>
  <c r="AY112" i="1"/>
  <c r="AY113" i="1"/>
  <c r="AY114" i="1"/>
  <c r="AW107" i="1"/>
  <c r="AW108" i="1"/>
  <c r="AW109" i="1"/>
  <c r="AZ101" i="1"/>
  <c r="BA36" i="1"/>
  <c r="AZ48" i="7"/>
  <c r="AY129" i="7"/>
  <c r="AY130" i="7"/>
  <c r="AY131" i="7"/>
  <c r="AY132" i="7"/>
  <c r="AE39" i="41"/>
  <c r="AC39" i="41"/>
  <c r="AM39" i="41"/>
  <c r="AL39" i="41"/>
  <c r="AB39" i="41"/>
  <c r="Z39" i="41"/>
  <c r="AK39" i="41"/>
  <c r="AF39" i="41"/>
  <c r="BW53" i="2"/>
  <c r="BX174" i="2"/>
  <c r="AF59" i="11"/>
  <c r="AG229" i="11"/>
  <c r="BW237" i="9"/>
  <c r="BV75" i="9"/>
  <c r="AG39" i="30"/>
  <c r="AE39" i="30"/>
  <c r="AB39" i="30"/>
  <c r="Z39" i="30"/>
  <c r="AI39" i="30"/>
  <c r="AI39" i="41"/>
  <c r="Y39" i="41"/>
  <c r="AD39" i="41"/>
  <c r="AA39" i="41"/>
  <c r="AG39" i="41"/>
  <c r="AH39" i="41"/>
  <c r="P44" i="41"/>
  <c r="Q43" i="41"/>
  <c r="AC39" i="30"/>
  <c r="AL39" i="30"/>
  <c r="AH39" i="30"/>
  <c r="AK39" i="30"/>
  <c r="AJ39" i="30"/>
  <c r="AD39" i="30"/>
  <c r="AF39" i="30"/>
  <c r="AA39" i="30"/>
  <c r="K39" i="30"/>
  <c r="BE167" i="22"/>
  <c r="AW202" i="11"/>
  <c r="BQ147" i="10"/>
  <c r="BS197" i="8"/>
  <c r="BB207" i="11"/>
  <c r="BG192" i="22"/>
  <c r="AW177" i="7"/>
  <c r="AW202" i="10"/>
  <c r="BW212" i="10"/>
  <c r="AW167" i="9"/>
  <c r="BT212" i="22"/>
  <c r="AX152" i="11"/>
  <c r="BB162" i="7"/>
  <c r="BS197" i="22"/>
  <c r="AW162" i="10"/>
  <c r="BT177" i="22"/>
  <c r="BX172" i="10"/>
  <c r="BD207" i="7"/>
  <c r="AX202" i="7"/>
  <c r="BG207" i="22"/>
  <c r="BL187" i="10"/>
  <c r="BO249" i="40"/>
  <c r="BP94" i="40"/>
  <c r="BO289" i="40"/>
  <c r="BP110" i="40"/>
  <c r="BN290" i="40"/>
  <c r="BN291" i="40"/>
  <c r="BN292" i="40"/>
  <c r="BV260" i="40"/>
  <c r="BV261" i="40"/>
  <c r="BV262" i="40"/>
  <c r="BO269" i="40"/>
  <c r="BO270" i="40"/>
  <c r="BO271" i="40"/>
  <c r="BO272" i="40"/>
  <c r="BP102" i="40"/>
  <c r="BO244" i="40"/>
  <c r="BP92" i="40"/>
  <c r="BO264" i="40"/>
  <c r="BO265" i="40"/>
  <c r="BO266" i="40"/>
  <c r="BO267" i="40"/>
  <c r="BP100" i="40"/>
  <c r="BO284" i="40"/>
  <c r="BP108" i="40"/>
  <c r="BN270" i="40"/>
  <c r="BN271" i="40"/>
  <c r="BN272" i="40"/>
  <c r="BN245" i="40"/>
  <c r="BN246" i="40"/>
  <c r="BN247" i="40"/>
  <c r="BN265" i="40"/>
  <c r="BN266" i="40"/>
  <c r="BN267" i="40"/>
  <c r="BW98" i="40"/>
  <c r="BW259" i="40"/>
  <c r="BV96" i="40"/>
  <c r="BV254" i="40"/>
  <c r="BU106" i="40"/>
  <c r="BU279" i="40"/>
  <c r="BU280" i="40"/>
  <c r="BU281" i="40"/>
  <c r="BU282" i="40"/>
  <c r="BV104" i="40"/>
  <c r="BV274" i="40"/>
  <c r="BR90" i="40"/>
  <c r="BO205" i="40"/>
  <c r="BO206" i="40"/>
  <c r="BP82" i="40"/>
  <c r="BO219" i="40"/>
  <c r="BP48" i="40"/>
  <c r="BO134" i="40"/>
  <c r="BO239" i="40"/>
  <c r="BN230" i="40"/>
  <c r="BN231" i="40"/>
  <c r="BN232" i="40"/>
  <c r="BR64" i="40"/>
  <c r="BQ174" i="40"/>
  <c r="BP44" i="40"/>
  <c r="BO124" i="40"/>
  <c r="BN150" i="40"/>
  <c r="BN151" i="40"/>
  <c r="BN152" i="40"/>
  <c r="BN145" i="40"/>
  <c r="BN146" i="40"/>
  <c r="BN147" i="40"/>
  <c r="BP62" i="40"/>
  <c r="BO169" i="40"/>
  <c r="BR68" i="40"/>
  <c r="BQ184" i="40"/>
  <c r="BO235" i="40"/>
  <c r="BO236" i="40"/>
  <c r="BQ76" i="40"/>
  <c r="BP204" i="40"/>
  <c r="BM212" i="40"/>
  <c r="BM242" i="40"/>
  <c r="BN160" i="40"/>
  <c r="BN161" i="40"/>
  <c r="BN162" i="40"/>
  <c r="BP86" i="40"/>
  <c r="BO229" i="40"/>
  <c r="BM222" i="40"/>
  <c r="BQ40" i="40"/>
  <c r="BP114" i="40"/>
  <c r="BN182" i="40"/>
  <c r="BN155" i="40"/>
  <c r="BN156" i="40"/>
  <c r="BN157" i="40"/>
  <c r="BN130" i="40"/>
  <c r="BN131" i="40"/>
  <c r="BN132" i="40"/>
  <c r="BN170" i="40"/>
  <c r="BN171" i="40"/>
  <c r="BP54" i="40"/>
  <c r="BO149" i="40"/>
  <c r="BO140" i="40"/>
  <c r="BO141" i="40"/>
  <c r="BN120" i="40"/>
  <c r="BN121" i="40"/>
  <c r="BN122" i="40"/>
  <c r="BP52" i="40"/>
  <c r="BO144" i="40"/>
  <c r="BO225" i="40"/>
  <c r="BO226" i="40"/>
  <c r="BO227" i="40"/>
  <c r="BQ88" i="40"/>
  <c r="BP234" i="40"/>
  <c r="BO215" i="40"/>
  <c r="BO216" i="40"/>
  <c r="BO217" i="40"/>
  <c r="BP195" i="40"/>
  <c r="BP196" i="40"/>
  <c r="BP197" i="40"/>
  <c r="BP58" i="40"/>
  <c r="BO159" i="40"/>
  <c r="BO180" i="40"/>
  <c r="BO181" i="40"/>
  <c r="BO182" i="40"/>
  <c r="BN125" i="40"/>
  <c r="BN126" i="40"/>
  <c r="BN127" i="40"/>
  <c r="BN200" i="40"/>
  <c r="BN201" i="40"/>
  <c r="BN190" i="40"/>
  <c r="BN191" i="40"/>
  <c r="BP185" i="40"/>
  <c r="BP186" i="40"/>
  <c r="BP187" i="40"/>
  <c r="BP78" i="40"/>
  <c r="BO209" i="40"/>
  <c r="BQ60" i="40"/>
  <c r="BP164" i="40"/>
  <c r="BQ50" i="40"/>
  <c r="BP139" i="40"/>
  <c r="BP42" i="40"/>
  <c r="BO119" i="40"/>
  <c r="BN210" i="40"/>
  <c r="BN211" i="40"/>
  <c r="BN212" i="40"/>
  <c r="BQ84" i="40"/>
  <c r="BP224" i="40"/>
  <c r="BN237" i="40"/>
  <c r="BN220" i="40"/>
  <c r="BN221" i="40"/>
  <c r="BN222" i="40"/>
  <c r="BO187" i="40"/>
  <c r="BQ80" i="40"/>
  <c r="BP214" i="40"/>
  <c r="BN135" i="40"/>
  <c r="BN136" i="40"/>
  <c r="BN137" i="40"/>
  <c r="BR72" i="40"/>
  <c r="BQ194" i="40"/>
  <c r="BM232" i="40"/>
  <c r="BQ66" i="40"/>
  <c r="BP179" i="40"/>
  <c r="BN240" i="40"/>
  <c r="BN241" i="40"/>
  <c r="BP175" i="40"/>
  <c r="BP176" i="40"/>
  <c r="BP177" i="40"/>
  <c r="BO165" i="40"/>
  <c r="BO166" i="40"/>
  <c r="BO115" i="40"/>
  <c r="BO116" i="40"/>
  <c r="BO117" i="40"/>
  <c r="BP74" i="40"/>
  <c r="BO199" i="40"/>
  <c r="BP56" i="40"/>
  <c r="BO154" i="40"/>
  <c r="BP70" i="40"/>
  <c r="BO189" i="40"/>
  <c r="BP46" i="40"/>
  <c r="BO129" i="40"/>
  <c r="BA127" i="11"/>
  <c r="BB192" i="8"/>
  <c r="BF166" i="22"/>
  <c r="BF165" i="22"/>
  <c r="AX200" i="11"/>
  <c r="AX201" i="11"/>
  <c r="BF207" i="9"/>
  <c r="BF172" i="9"/>
  <c r="BA56" i="11"/>
  <c r="AZ149" i="11"/>
  <c r="BA76" i="7"/>
  <c r="AZ199" i="7"/>
  <c r="AZ68" i="10"/>
  <c r="AY179" i="10"/>
  <c r="BC58" i="7"/>
  <c r="BB154" i="7"/>
  <c r="BW66" i="22"/>
  <c r="BV174" i="22"/>
  <c r="BZ169" i="10"/>
  <c r="CA64" i="10"/>
  <c r="AW207" i="8"/>
  <c r="BM58" i="8"/>
  <c r="BL154" i="8"/>
  <c r="BJ174" i="10"/>
  <c r="BK66" i="10"/>
  <c r="BC160" i="7"/>
  <c r="BC161" i="7"/>
  <c r="AY199" i="22"/>
  <c r="AZ76" i="22"/>
  <c r="AY159" i="10"/>
  <c r="AZ60" i="10"/>
  <c r="BB125" i="11"/>
  <c r="BB126" i="11"/>
  <c r="BE164" i="8"/>
  <c r="BF62" i="8"/>
  <c r="BZ174" i="9"/>
  <c r="CA66" i="9"/>
  <c r="AZ46" i="6"/>
  <c r="AY138" i="6"/>
  <c r="AY139" i="6"/>
  <c r="AY140" i="6"/>
  <c r="AY141" i="6"/>
  <c r="AX200" i="10"/>
  <c r="AX201" i="10"/>
  <c r="BZ80" i="10"/>
  <c r="BY209" i="10"/>
  <c r="BN196" i="11"/>
  <c r="BN195" i="11"/>
  <c r="BE185" i="22"/>
  <c r="BE186" i="22"/>
  <c r="AZ76" i="11"/>
  <c r="AY199" i="11"/>
  <c r="AX185" i="8"/>
  <c r="AX186" i="8"/>
  <c r="AY201" i="7"/>
  <c r="AY200" i="7"/>
  <c r="BH205" i="22"/>
  <c r="BH206" i="22"/>
  <c r="AX175" i="7"/>
  <c r="AX176" i="7"/>
  <c r="BG206" i="9"/>
  <c r="BG205" i="9"/>
  <c r="BG170" i="9"/>
  <c r="BG171" i="9"/>
  <c r="BY170" i="10"/>
  <c r="BY171" i="10"/>
  <c r="BM186" i="10"/>
  <c r="BM185" i="10"/>
  <c r="BE205" i="7"/>
  <c r="BE206" i="7"/>
  <c r="BS144" i="10"/>
  <c r="BT54" i="10"/>
  <c r="AX165" i="9"/>
  <c r="AX166" i="9"/>
  <c r="BJ165" i="10"/>
  <c r="BJ166" i="10"/>
  <c r="AX160" i="10"/>
  <c r="AX161" i="10"/>
  <c r="BD46" i="11"/>
  <c r="BC124" i="11"/>
  <c r="BD166" i="8"/>
  <c r="BD165" i="8"/>
  <c r="AY199" i="10"/>
  <c r="AZ76" i="10"/>
  <c r="AP240" i="8"/>
  <c r="AO81" i="8"/>
  <c r="BQ177" i="8"/>
  <c r="AW182" i="10"/>
  <c r="AZ70" i="8"/>
  <c r="AY184" i="8"/>
  <c r="BJ78" i="22"/>
  <c r="BI204" i="22"/>
  <c r="AZ66" i="7"/>
  <c r="AY174" i="7"/>
  <c r="BI78" i="9"/>
  <c r="BH204" i="9"/>
  <c r="BI64" i="9"/>
  <c r="BH169" i="9"/>
  <c r="AX136" i="11"/>
  <c r="AX135" i="11"/>
  <c r="BI167" i="10"/>
  <c r="BZ155" i="10"/>
  <c r="BZ156" i="10"/>
  <c r="BO70" i="10"/>
  <c r="BN184" i="10"/>
  <c r="BF204" i="7"/>
  <c r="BG78" i="7"/>
  <c r="BX177" i="9"/>
  <c r="AW137" i="11"/>
  <c r="BR145" i="10"/>
  <c r="BR146" i="10"/>
  <c r="BD187" i="22"/>
  <c r="AZ62" i="9"/>
  <c r="AY164" i="9"/>
  <c r="BL62" i="10"/>
  <c r="BK164" i="10"/>
  <c r="AX206" i="8"/>
  <c r="AX205" i="8"/>
  <c r="BE78" i="11"/>
  <c r="BD204" i="11"/>
  <c r="BH190" i="22"/>
  <c r="BH191" i="22"/>
  <c r="AW202" i="22"/>
  <c r="U48" i="31"/>
  <c r="W48" i="31"/>
  <c r="V48" i="31"/>
  <c r="BH62" i="22"/>
  <c r="BG164" i="22"/>
  <c r="AS230" i="11"/>
  <c r="AR61" i="11"/>
  <c r="AY150" i="11"/>
  <c r="AY151" i="11"/>
  <c r="AX180" i="10"/>
  <c r="AX181" i="10"/>
  <c r="BY157" i="10"/>
  <c r="BA155" i="7"/>
  <c r="BA156" i="7"/>
  <c r="BU175" i="22"/>
  <c r="BU176" i="22"/>
  <c r="BH177" i="10"/>
  <c r="AZ50" i="11"/>
  <c r="AY134" i="11"/>
  <c r="CA154" i="10"/>
  <c r="CB58" i="10"/>
  <c r="AZ157" i="7"/>
  <c r="BC167" i="8"/>
  <c r="BK155" i="8"/>
  <c r="BK156" i="8"/>
  <c r="BI175" i="10"/>
  <c r="BI176" i="10"/>
  <c r="BM197" i="11"/>
  <c r="AY149" i="22"/>
  <c r="AY150" i="22"/>
  <c r="AY151" i="22"/>
  <c r="AY152" i="22"/>
  <c r="AZ56" i="22"/>
  <c r="BD159" i="7"/>
  <c r="BE60" i="7"/>
  <c r="AX201" i="22"/>
  <c r="AX200" i="22"/>
  <c r="AY204" i="8"/>
  <c r="AZ78" i="8"/>
  <c r="BJ157" i="8"/>
  <c r="BY175" i="9"/>
  <c r="BY176" i="9"/>
  <c r="BC205" i="11"/>
  <c r="BC206" i="11"/>
  <c r="BI189" i="22"/>
  <c r="BJ72" i="22"/>
  <c r="BX211" i="10"/>
  <c r="BX210" i="10"/>
  <c r="BP74" i="11"/>
  <c r="BO194" i="11"/>
  <c r="AW187" i="8"/>
  <c r="AL55" i="11"/>
  <c r="AM227" i="11"/>
  <c r="BF184" i="22"/>
  <c r="BG70" i="22"/>
  <c r="Q47" i="31"/>
  <c r="R47" i="31"/>
  <c r="BB40" i="11"/>
  <c r="BA109" i="11"/>
  <c r="BA110" i="11"/>
  <c r="BA111" i="11"/>
  <c r="BA112" i="11"/>
  <c r="AY124" i="10"/>
  <c r="AY125" i="10"/>
  <c r="AY126" i="10"/>
  <c r="AY127" i="10"/>
  <c r="AZ46" i="10"/>
  <c r="AZ40" i="10"/>
  <c r="AY109" i="10"/>
  <c r="AY110" i="10"/>
  <c r="AY111" i="10"/>
  <c r="AY112" i="10"/>
  <c r="AZ30" i="10"/>
  <c r="AY84" i="10"/>
  <c r="AY85" i="10"/>
  <c r="AY86" i="10"/>
  <c r="AY87" i="10"/>
  <c r="AY114" i="10"/>
  <c r="AY115" i="10"/>
  <c r="AY116" i="10"/>
  <c r="AY117" i="10"/>
  <c r="AZ42" i="10"/>
  <c r="AZ34" i="10"/>
  <c r="AY94" i="10"/>
  <c r="AY95" i="10"/>
  <c r="AY96" i="10"/>
  <c r="AY97" i="10"/>
  <c r="AZ52" i="10"/>
  <c r="AY139" i="10"/>
  <c r="AY140" i="10"/>
  <c r="AY141" i="10"/>
  <c r="AY142" i="10"/>
  <c r="AZ48" i="10"/>
  <c r="AY129" i="10"/>
  <c r="AY130" i="10"/>
  <c r="AY131" i="10"/>
  <c r="AY132" i="10"/>
  <c r="AZ32" i="10"/>
  <c r="AY89" i="10"/>
  <c r="AY90" i="10"/>
  <c r="AY91" i="10"/>
  <c r="AY92" i="10"/>
  <c r="BA44" i="10"/>
  <c r="AZ119" i="10"/>
  <c r="AZ120" i="10"/>
  <c r="AZ121" i="10"/>
  <c r="AZ122" i="10"/>
  <c r="AY104" i="10"/>
  <c r="AY105" i="10"/>
  <c r="AY106" i="10"/>
  <c r="AY107" i="10"/>
  <c r="AZ38" i="10"/>
  <c r="BA52" i="22"/>
  <c r="AZ139" i="22"/>
  <c r="AZ140" i="22"/>
  <c r="AZ141" i="22"/>
  <c r="AZ142" i="22"/>
  <c r="AZ50" i="22"/>
  <c r="AY134" i="22"/>
  <c r="AY135" i="22"/>
  <c r="AY136" i="22"/>
  <c r="AY137" i="22"/>
  <c r="AZ124" i="22"/>
  <c r="AZ125" i="22"/>
  <c r="AZ126" i="22"/>
  <c r="AZ127" i="22"/>
  <c r="BA46" i="22"/>
  <c r="AZ42" i="22"/>
  <c r="AY114" i="22"/>
  <c r="AY115" i="22"/>
  <c r="AY116" i="22"/>
  <c r="AY117" i="22"/>
  <c r="AY124" i="8"/>
  <c r="AY125" i="8"/>
  <c r="AY126" i="8"/>
  <c r="AY127" i="8"/>
  <c r="AZ46" i="8"/>
  <c r="AZ134" i="8"/>
  <c r="AZ135" i="8"/>
  <c r="AZ136" i="8"/>
  <c r="AZ137" i="8"/>
  <c r="BA50" i="8"/>
  <c r="BR182" i="22"/>
  <c r="BQ162" i="22"/>
  <c r="BV187" i="9"/>
  <c r="BV172" i="22"/>
  <c r="CB142" i="11"/>
  <c r="CB226" i="11"/>
  <c r="BX212" i="9"/>
  <c r="BV152" i="10"/>
  <c r="BU212" i="7"/>
  <c r="BW170" i="22"/>
  <c r="BW171" i="22"/>
  <c r="BV209" i="22"/>
  <c r="BW80" i="22"/>
  <c r="BY56" i="10"/>
  <c r="BX149" i="10"/>
  <c r="BO191" i="11"/>
  <c r="BO190" i="11"/>
  <c r="BW209" i="7"/>
  <c r="BX80" i="7"/>
  <c r="M173" i="2"/>
  <c r="L52" i="2"/>
  <c r="BE52" i="2"/>
  <c r="CF52" i="2"/>
  <c r="BF173" i="2"/>
  <c r="AT69" i="11"/>
  <c r="AU234" i="11"/>
  <c r="CA80" i="9"/>
  <c r="BZ209" i="9"/>
  <c r="AX200" i="9"/>
  <c r="AX201" i="9"/>
  <c r="BV179" i="9"/>
  <c r="BW68" i="9"/>
  <c r="BS66" i="11"/>
  <c r="BR174" i="11"/>
  <c r="BY182" i="7"/>
  <c r="BQ212" i="11"/>
  <c r="BU211" i="22"/>
  <c r="BU210" i="22"/>
  <c r="BR211" i="11"/>
  <c r="BR210" i="11"/>
  <c r="BT60" i="22"/>
  <c r="BS159" i="22"/>
  <c r="BC191" i="8"/>
  <c r="BC190" i="8"/>
  <c r="BO159" i="8"/>
  <c r="BP60" i="8"/>
  <c r="BP177" i="11"/>
  <c r="BR31" i="22"/>
  <c r="BS215" i="22"/>
  <c r="BV74" i="8"/>
  <c r="BU194" i="8"/>
  <c r="BS180" i="22"/>
  <c r="BS181" i="22"/>
  <c r="AZ32" i="22"/>
  <c r="AY89" i="22"/>
  <c r="AY90" i="22"/>
  <c r="AY91" i="22"/>
  <c r="AY92" i="22"/>
  <c r="BX184" i="9"/>
  <c r="BY70" i="9"/>
  <c r="BX132" i="11"/>
  <c r="A175" i="2"/>
  <c r="BW175" i="2"/>
  <c r="A55" i="2"/>
  <c r="BW150" i="10"/>
  <c r="BW151" i="10"/>
  <c r="BT196" i="22"/>
  <c r="BT195" i="22"/>
  <c r="BX78" i="10"/>
  <c r="BW204" i="10"/>
  <c r="BS195" i="7"/>
  <c r="BS196" i="7"/>
  <c r="BQ72" i="11"/>
  <c r="BP189" i="11"/>
  <c r="BM162" i="8"/>
  <c r="AW192" i="9"/>
  <c r="AV52" i="2"/>
  <c r="AW173" i="2"/>
  <c r="BN52" i="2"/>
  <c r="BO173" i="2"/>
  <c r="BY131" i="11"/>
  <c r="BY130" i="11"/>
  <c r="BR197" i="7"/>
  <c r="BS197" i="10"/>
  <c r="CB68" i="7"/>
  <c r="CA179" i="7"/>
  <c r="BQ199" i="8"/>
  <c r="BR76" i="8"/>
  <c r="AX191" i="9"/>
  <c r="AX190" i="9"/>
  <c r="BU180" i="9"/>
  <c r="BU181" i="9"/>
  <c r="BQ179" i="8"/>
  <c r="BR68" i="8"/>
  <c r="BV74" i="10"/>
  <c r="BU194" i="10"/>
  <c r="BQ175" i="11"/>
  <c r="BQ176" i="11"/>
  <c r="BO65" i="7"/>
  <c r="BP232" i="7"/>
  <c r="BS186" i="7"/>
  <c r="BS185" i="7"/>
  <c r="BS209" i="11"/>
  <c r="BT80" i="11"/>
  <c r="BO202" i="8"/>
  <c r="BT182" i="9"/>
  <c r="BR160" i="22"/>
  <c r="BR161" i="22"/>
  <c r="BE72" i="8"/>
  <c r="BD189" i="8"/>
  <c r="BT195" i="8"/>
  <c r="BT196" i="8"/>
  <c r="BU207" i="10"/>
  <c r="BN192" i="11"/>
  <c r="C174" i="2"/>
  <c r="AM174" i="2"/>
  <c r="BN174" i="2"/>
  <c r="AD174" i="2"/>
  <c r="BE174" i="2"/>
  <c r="AV174" i="2"/>
  <c r="L174" i="2"/>
  <c r="U174" i="2"/>
  <c r="BV74" i="22"/>
  <c r="BU194" i="22"/>
  <c r="BU74" i="7"/>
  <c r="BT194" i="7"/>
  <c r="AS63" i="11"/>
  <c r="AT231" i="11"/>
  <c r="AW202" i="9"/>
  <c r="V173" i="2"/>
  <c r="U52" i="2"/>
  <c r="AM52" i="2"/>
  <c r="AN173" i="2"/>
  <c r="BS174" i="8"/>
  <c r="BT66" i="8"/>
  <c r="AO65" i="11"/>
  <c r="AP232" i="11"/>
  <c r="BV53" i="11"/>
  <c r="BW226" i="11"/>
  <c r="BN160" i="8"/>
  <c r="BN161" i="8"/>
  <c r="BU68" i="22"/>
  <c r="BT179" i="22"/>
  <c r="BP181" i="8"/>
  <c r="BP180" i="8"/>
  <c r="BT196" i="10"/>
  <c r="BT195" i="10"/>
  <c r="BU73" i="10"/>
  <c r="BV236" i="10"/>
  <c r="BX169" i="22"/>
  <c r="BY64" i="22"/>
  <c r="BP200" i="8"/>
  <c r="BP201" i="8"/>
  <c r="BU70" i="7"/>
  <c r="BT184" i="7"/>
  <c r="AG65" i="8"/>
  <c r="AH232" i="8"/>
  <c r="AY189" i="9"/>
  <c r="AZ72" i="9"/>
  <c r="BW185" i="9"/>
  <c r="BW186" i="9"/>
  <c r="BR187" i="7"/>
  <c r="BV206" i="10"/>
  <c r="BV205" i="10"/>
  <c r="BV210" i="7"/>
  <c r="BV211" i="7"/>
  <c r="AD52" i="2"/>
  <c r="AE173" i="2"/>
  <c r="C52" i="2"/>
  <c r="D173" i="2"/>
  <c r="CA48" i="11"/>
  <c r="BZ129" i="11"/>
  <c r="BR175" i="8"/>
  <c r="BR176" i="8"/>
  <c r="BO182" i="8"/>
  <c r="BY210" i="9"/>
  <c r="BY211" i="9"/>
  <c r="BZ181" i="7"/>
  <c r="BZ180" i="7"/>
  <c r="AZ76" i="9"/>
  <c r="AY199" i="9"/>
  <c r="AE73" i="7"/>
  <c r="AF236" i="7"/>
  <c r="BE167" i="7"/>
  <c r="BD94" i="8"/>
  <c r="BD95" i="8"/>
  <c r="BD96" i="8"/>
  <c r="BD97" i="8"/>
  <c r="BE34" i="8"/>
  <c r="AZ44" i="8"/>
  <c r="AY119" i="8"/>
  <c r="AY120" i="8"/>
  <c r="AY121" i="8"/>
  <c r="AY122" i="8"/>
  <c r="AZ42" i="8"/>
  <c r="AY114" i="8"/>
  <c r="AY89" i="11"/>
  <c r="AY90" i="11"/>
  <c r="AY91" i="11"/>
  <c r="AY92" i="11"/>
  <c r="AZ32" i="11"/>
  <c r="BF166" i="7"/>
  <c r="BF165" i="7"/>
  <c r="BH62" i="7"/>
  <c r="BG164" i="7"/>
  <c r="AY139" i="9"/>
  <c r="AY140" i="9"/>
  <c r="AY141" i="9"/>
  <c r="AY142" i="9"/>
  <c r="AZ52" i="9"/>
  <c r="AZ84" i="9"/>
  <c r="AZ85" i="9"/>
  <c r="AZ86" i="9"/>
  <c r="AZ87" i="9"/>
  <c r="BA30" i="9"/>
  <c r="BB30" i="1"/>
  <c r="BA86" i="1"/>
  <c r="BA87" i="1"/>
  <c r="BA88" i="1"/>
  <c r="BA89" i="1"/>
  <c r="AZ64" i="1"/>
  <c r="AY171" i="1"/>
  <c r="AY172" i="1"/>
  <c r="AY173" i="1"/>
  <c r="AY174" i="1"/>
  <c r="AX142" i="1"/>
  <c r="AX143" i="1"/>
  <c r="AX144" i="1"/>
  <c r="AY131" i="1"/>
  <c r="AY132" i="1"/>
  <c r="AY133" i="1"/>
  <c r="AY134" i="1"/>
  <c r="AZ48" i="1"/>
  <c r="AY96" i="1"/>
  <c r="AY97" i="1"/>
  <c r="AY98" i="1"/>
  <c r="AY99" i="1"/>
  <c r="AZ34" i="1"/>
  <c r="AZ68" i="1"/>
  <c r="AY181" i="1"/>
  <c r="AY182" i="1"/>
  <c r="AY183" i="1"/>
  <c r="AY184" i="1"/>
  <c r="AY141" i="1"/>
  <c r="AZ52" i="1"/>
  <c r="BB32" i="1"/>
  <c r="BA91" i="1"/>
  <c r="BA92" i="1"/>
  <c r="BA93" i="1"/>
  <c r="BA94" i="1"/>
  <c r="AY156" i="1"/>
  <c r="AY157" i="1"/>
  <c r="AY158" i="1"/>
  <c r="AY159" i="1"/>
  <c r="AZ58" i="1"/>
  <c r="AZ50" i="1"/>
  <c r="AY136" i="1"/>
  <c r="AY137" i="1"/>
  <c r="AY138" i="1"/>
  <c r="AY139" i="1"/>
  <c r="K45" i="33"/>
  <c r="T45" i="33"/>
  <c r="L45" i="33"/>
  <c r="N45" i="33"/>
  <c r="O45" i="33"/>
  <c r="P45" i="33"/>
  <c r="Q45" i="33"/>
  <c r="AG45" i="33"/>
  <c r="AK45" i="33"/>
  <c r="AE45" i="33"/>
  <c r="AJ45" i="33"/>
  <c r="AB45" i="33"/>
  <c r="AS45" i="33"/>
  <c r="AC45" i="33"/>
  <c r="AA45" i="33"/>
  <c r="Z45" i="33"/>
  <c r="AF45" i="33"/>
  <c r="AO45" i="33"/>
  <c r="X45" i="33"/>
  <c r="Y45" i="33"/>
  <c r="AL45" i="33"/>
  <c r="AD45" i="33"/>
  <c r="AN45" i="33"/>
  <c r="AR45" i="33"/>
  <c r="AH45" i="33"/>
  <c r="AQ45" i="33"/>
  <c r="AM45" i="33"/>
  <c r="AI45" i="33"/>
  <c r="AP45" i="33"/>
  <c r="AZ119" i="22"/>
  <c r="AZ120" i="22"/>
  <c r="AZ121" i="22"/>
  <c r="AZ122" i="22"/>
  <c r="BA44" i="22"/>
  <c r="AY127" i="7"/>
  <c r="BD92" i="7"/>
  <c r="BA42" i="6"/>
  <c r="AZ128" i="6"/>
  <c r="AY103" i="6"/>
  <c r="AY104" i="6"/>
  <c r="AY105" i="6"/>
  <c r="AY106" i="6"/>
  <c r="AZ32" i="6"/>
  <c r="AX114" i="6"/>
  <c r="AX115" i="6"/>
  <c r="AX109" i="6"/>
  <c r="AX110" i="6"/>
  <c r="AX111" i="6"/>
  <c r="BA30" i="6"/>
  <c r="AZ98" i="6"/>
  <c r="AZ99" i="6"/>
  <c r="AZ100" i="6"/>
  <c r="AZ101" i="6"/>
  <c r="AY88" i="6"/>
  <c r="AY89" i="6"/>
  <c r="AY90" i="6"/>
  <c r="AY91" i="6"/>
  <c r="AZ26" i="6"/>
  <c r="AZ24" i="6"/>
  <c r="AY83" i="6"/>
  <c r="AY84" i="6"/>
  <c r="AY85" i="6"/>
  <c r="AY86" i="6"/>
  <c r="AY93" i="6"/>
  <c r="AY94" i="6"/>
  <c r="AY95" i="6"/>
  <c r="AY96" i="6"/>
  <c r="AZ28" i="6"/>
  <c r="AY133" i="6"/>
  <c r="AY134" i="6"/>
  <c r="AY135" i="6"/>
  <c r="AY136" i="6"/>
  <c r="AZ44" i="6"/>
  <c r="AY113" i="6"/>
  <c r="AY114" i="6"/>
  <c r="AY115" i="6"/>
  <c r="AY116" i="6"/>
  <c r="AZ36" i="6"/>
  <c r="AZ34" i="6"/>
  <c r="AY108" i="6"/>
  <c r="AY109" i="6"/>
  <c r="AY110" i="6"/>
  <c r="AY111" i="6"/>
  <c r="AZ22" i="6"/>
  <c r="AY78" i="6"/>
  <c r="AY123" i="6"/>
  <c r="AY124" i="6"/>
  <c r="AY125" i="6"/>
  <c r="AY126" i="6"/>
  <c r="AZ40" i="6"/>
  <c r="AY219" i="1"/>
  <c r="AZ42" i="1"/>
  <c r="AY116" i="1"/>
  <c r="AY117" i="1"/>
  <c r="AY118" i="1"/>
  <c r="AY119" i="1"/>
  <c r="AZ214" i="1"/>
  <c r="BB82" i="1"/>
  <c r="BA216" i="1"/>
  <c r="BC80" i="1"/>
  <c r="BB211" i="1"/>
  <c r="AZ217" i="1"/>
  <c r="AZ218" i="1"/>
  <c r="AZ122" i="7"/>
  <c r="AW157" i="22"/>
  <c r="BC104" i="8"/>
  <c r="BC105" i="8"/>
  <c r="BC106" i="8"/>
  <c r="BC107" i="8"/>
  <c r="BD38" i="8"/>
  <c r="BA36" i="8"/>
  <c r="AZ99" i="8"/>
  <c r="AZ100" i="8"/>
  <c r="AZ101" i="8"/>
  <c r="AZ102" i="8"/>
  <c r="AZ119" i="11"/>
  <c r="BA44" i="11"/>
  <c r="AY120" i="11"/>
  <c r="AY121" i="11"/>
  <c r="U45" i="36"/>
  <c r="U43" i="34"/>
  <c r="W43" i="34"/>
  <c r="V43" i="34"/>
  <c r="U46" i="32"/>
  <c r="AZ34" i="22"/>
  <c r="AY94" i="22"/>
  <c r="AY95" i="22"/>
  <c r="AY96" i="22"/>
  <c r="AY97" i="22"/>
  <c r="AZ48" i="22"/>
  <c r="AY129" i="22"/>
  <c r="AY130" i="22"/>
  <c r="AY131" i="22"/>
  <c r="AY132" i="22"/>
  <c r="BA38" i="22"/>
  <c r="AZ104" i="22"/>
  <c r="AZ105" i="22"/>
  <c r="AZ106" i="22"/>
  <c r="AZ107" i="22"/>
  <c r="AY114" i="7"/>
  <c r="AY115" i="7"/>
  <c r="AY116" i="7"/>
  <c r="AY117" i="7"/>
  <c r="AZ42" i="7"/>
  <c r="BB109" i="7"/>
  <c r="BB110" i="7"/>
  <c r="BB111" i="7"/>
  <c r="BB112" i="7"/>
  <c r="BC40" i="7"/>
  <c r="AX115" i="7"/>
  <c r="AX116" i="7"/>
  <c r="AX117" i="7"/>
  <c r="BA110" i="7"/>
  <c r="BA111" i="7"/>
  <c r="BA30" i="7"/>
  <c r="AZ84" i="7"/>
  <c r="AZ85" i="7"/>
  <c r="AZ86" i="7"/>
  <c r="AZ87" i="7"/>
  <c r="BA38" i="7"/>
  <c r="AZ104" i="7"/>
  <c r="AZ105" i="7"/>
  <c r="AZ106" i="7"/>
  <c r="AZ107" i="7"/>
  <c r="BA36" i="7"/>
  <c r="AZ99" i="7"/>
  <c r="AZ34" i="7"/>
  <c r="AY94" i="7"/>
  <c r="AY95" i="7"/>
  <c r="AY96" i="7"/>
  <c r="AY97" i="7"/>
  <c r="BC38" i="6"/>
  <c r="BB118" i="6"/>
  <c r="BB119" i="6"/>
  <c r="BB120" i="6"/>
  <c r="BB121" i="6"/>
  <c r="BD54" i="9"/>
  <c r="BC144" i="9"/>
  <c r="BC145" i="9"/>
  <c r="BC146" i="9"/>
  <c r="BC147" i="9"/>
  <c r="AX114" i="9"/>
  <c r="AX115" i="9"/>
  <c r="AX116" i="9"/>
  <c r="AX117" i="9"/>
  <c r="AY42" i="9"/>
  <c r="AY94" i="9"/>
  <c r="AY95" i="9"/>
  <c r="AY96" i="9"/>
  <c r="AY97" i="9"/>
  <c r="AZ34" i="9"/>
  <c r="BB104" i="9"/>
  <c r="BB105" i="9"/>
  <c r="BB106" i="9"/>
  <c r="BB107" i="9"/>
  <c r="BC38" i="9"/>
  <c r="AZ46" i="9"/>
  <c r="AY124" i="9"/>
  <c r="AY125" i="9"/>
  <c r="AY126" i="9"/>
  <c r="AY127" i="9"/>
  <c r="AZ134" i="9"/>
  <c r="AZ135" i="9"/>
  <c r="AZ136" i="9"/>
  <c r="AZ137" i="9"/>
  <c r="BA50" i="9"/>
  <c r="AZ44" i="9"/>
  <c r="AY119" i="9"/>
  <c r="AY120" i="9"/>
  <c r="AY121" i="9"/>
  <c r="AY122" i="9"/>
  <c r="AX120" i="9"/>
  <c r="AX121" i="9"/>
  <c r="AX122" i="9"/>
  <c r="AZ48" i="9"/>
  <c r="AY129" i="9"/>
  <c r="AY130" i="9"/>
  <c r="AY131" i="9"/>
  <c r="AY132" i="9"/>
  <c r="BB32" i="9"/>
  <c r="BA89" i="9"/>
  <c r="BA90" i="9"/>
  <c r="BA91" i="9"/>
  <c r="BA92" i="9"/>
  <c r="AY149" i="9"/>
  <c r="AY150" i="9"/>
  <c r="AY151" i="9"/>
  <c r="AY152" i="9"/>
  <c r="AZ56" i="9"/>
  <c r="BA60" i="1"/>
  <c r="AZ161" i="1"/>
  <c r="AZ162" i="1"/>
  <c r="AZ163" i="1"/>
  <c r="AZ164" i="1"/>
  <c r="AZ78" i="1"/>
  <c r="AY206" i="1"/>
  <c r="AZ177" i="1"/>
  <c r="AZ178" i="1"/>
  <c r="AZ179" i="1"/>
  <c r="AZ74" i="1"/>
  <c r="AY196" i="1"/>
  <c r="BB66" i="1"/>
  <c r="BA176" i="1"/>
  <c r="AY192" i="1"/>
  <c r="AY193" i="1"/>
  <c r="AY194" i="1"/>
  <c r="AX187" i="1"/>
  <c r="AX188" i="1"/>
  <c r="AX189" i="1"/>
  <c r="BE151" i="1"/>
  <c r="BE152" i="1"/>
  <c r="BE153" i="1"/>
  <c r="BE154" i="1"/>
  <c r="BF56" i="1"/>
  <c r="BA72" i="1"/>
  <c r="AZ191" i="1"/>
  <c r="AZ70" i="1"/>
  <c r="AY186" i="1"/>
  <c r="AY187" i="1"/>
  <c r="AY188" i="1"/>
  <c r="AY189" i="1"/>
  <c r="AX207" i="1"/>
  <c r="AX208" i="1"/>
  <c r="BB76" i="1"/>
  <c r="BA201" i="1"/>
  <c r="BA202" i="1"/>
  <c r="BA203" i="1"/>
  <c r="BA204" i="1"/>
  <c r="AH46" i="37"/>
  <c r="AL46" i="37"/>
  <c r="AS46" i="37"/>
  <c r="AF46" i="37"/>
  <c r="P47" i="37"/>
  <c r="Q47" i="37"/>
  <c r="AB46" i="37"/>
  <c r="Z46" i="37"/>
  <c r="AI46" i="37"/>
  <c r="AJ46" i="37"/>
  <c r="AE46" i="37"/>
  <c r="AN46" i="37"/>
  <c r="AM46" i="37"/>
  <c r="AP46" i="37"/>
  <c r="AK46" i="37"/>
  <c r="X46" i="37"/>
  <c r="AR46" i="37"/>
  <c r="Y46" i="37"/>
  <c r="AC46" i="37"/>
  <c r="AT46" i="37"/>
  <c r="AO46" i="37"/>
  <c r="AD46" i="37"/>
  <c r="AA46" i="37"/>
  <c r="AG46" i="37"/>
  <c r="BD115" i="11"/>
  <c r="BD116" i="11"/>
  <c r="BE114" i="11"/>
  <c r="BF42" i="11"/>
  <c r="S39" i="34"/>
  <c r="V22" i="26"/>
  <c r="R38" i="34"/>
  <c r="P45" i="34"/>
  <c r="Q45" i="34"/>
  <c r="L44" i="35"/>
  <c r="N44" i="35"/>
  <c r="O44" i="35"/>
  <c r="P44" i="35"/>
  <c r="Q44" i="35"/>
  <c r="T44" i="35"/>
  <c r="Z44" i="35"/>
  <c r="AP44" i="35"/>
  <c r="AM44" i="35"/>
  <c r="AF44" i="35"/>
  <c r="Y44" i="35"/>
  <c r="AO44" i="35"/>
  <c r="AD44" i="35"/>
  <c r="AA44" i="35"/>
  <c r="AQ44" i="35"/>
  <c r="AJ44" i="35"/>
  <c r="AC44" i="35"/>
  <c r="AH44" i="35"/>
  <c r="AE44" i="35"/>
  <c r="X44" i="35"/>
  <c r="AN44" i="35"/>
  <c r="AG44" i="35"/>
  <c r="AL44" i="35"/>
  <c r="AI44" i="35"/>
  <c r="AB44" i="35"/>
  <c r="AR44" i="35"/>
  <c r="AK44" i="35"/>
  <c r="BD30" i="11"/>
  <c r="BC84" i="11"/>
  <c r="BB36" i="11"/>
  <c r="BA99" i="11"/>
  <c r="AZ104" i="11"/>
  <c r="BA38" i="11"/>
  <c r="BB85" i="11"/>
  <c r="BB86" i="11"/>
  <c r="BB87" i="11"/>
  <c r="AX107" i="11"/>
  <c r="AZ100" i="11"/>
  <c r="AZ101" i="11"/>
  <c r="AY105" i="11"/>
  <c r="AY106" i="11"/>
  <c r="BA50" i="10"/>
  <c r="AZ134" i="10"/>
  <c r="AY135" i="10"/>
  <c r="AY136" i="10"/>
  <c r="AY137" i="10"/>
  <c r="AZ99" i="10"/>
  <c r="BA36" i="10"/>
  <c r="AY100" i="10"/>
  <c r="AY101" i="10"/>
  <c r="AY102" i="10"/>
  <c r="AX155" i="22"/>
  <c r="AX156" i="22"/>
  <c r="AX157" i="22"/>
  <c r="AZ58" i="22"/>
  <c r="AY154" i="22"/>
  <c r="AY145" i="22"/>
  <c r="AY146" i="22"/>
  <c r="AY147" i="22"/>
  <c r="BA54" i="22"/>
  <c r="AZ144" i="22"/>
  <c r="BA40" i="22"/>
  <c r="AZ109" i="22"/>
  <c r="BA36" i="22"/>
  <c r="AZ99" i="22"/>
  <c r="AY110" i="22"/>
  <c r="AY111" i="22"/>
  <c r="AY112" i="22"/>
  <c r="AY100" i="22"/>
  <c r="AY101" i="22"/>
  <c r="AY102" i="22"/>
  <c r="BB149" i="8"/>
  <c r="BC56" i="8"/>
  <c r="BA150" i="8"/>
  <c r="BA151" i="8"/>
  <c r="BA152" i="8"/>
  <c r="BA54" i="8"/>
  <c r="AZ144" i="8"/>
  <c r="AY145" i="8"/>
  <c r="AY146" i="8"/>
  <c r="AY147" i="8"/>
  <c r="AX130" i="8"/>
  <c r="AX131" i="8"/>
  <c r="AX132" i="8"/>
  <c r="AX140" i="8"/>
  <c r="AX141" i="8"/>
  <c r="AX142" i="8"/>
  <c r="AY30" i="8"/>
  <c r="AX84" i="8"/>
  <c r="AX110" i="8"/>
  <c r="AX111" i="8"/>
  <c r="AX112" i="8"/>
  <c r="AY139" i="8"/>
  <c r="AZ52" i="8"/>
  <c r="AX90" i="8"/>
  <c r="AX91" i="8"/>
  <c r="AX92" i="8"/>
  <c r="AW85" i="8"/>
  <c r="AW86" i="8"/>
  <c r="AW87" i="8"/>
  <c r="AZ40" i="8"/>
  <c r="AY109" i="8"/>
  <c r="AY89" i="8"/>
  <c r="AZ32" i="8"/>
  <c r="AZ48" i="8"/>
  <c r="AY129" i="8"/>
  <c r="AZ54" i="7"/>
  <c r="AY144" i="7"/>
  <c r="AX145" i="7"/>
  <c r="AX146" i="7"/>
  <c r="AX147" i="7"/>
  <c r="AX140" i="7"/>
  <c r="AX141" i="7"/>
  <c r="AX142" i="7"/>
  <c r="AZ52" i="7"/>
  <c r="AY139" i="7"/>
  <c r="AY134" i="7"/>
  <c r="AZ50" i="7"/>
  <c r="AX135" i="7"/>
  <c r="AX136" i="7"/>
  <c r="AX137" i="7"/>
  <c r="BE90" i="7"/>
  <c r="BE91" i="7"/>
  <c r="BE92" i="7"/>
  <c r="BA124" i="7"/>
  <c r="BB46" i="7"/>
  <c r="AZ125" i="7"/>
  <c r="AZ126" i="7"/>
  <c r="AZ127" i="7"/>
  <c r="BF89" i="7"/>
  <c r="BG32" i="7"/>
  <c r="BC44" i="7"/>
  <c r="BB119" i="7"/>
  <c r="BA120" i="7"/>
  <c r="BA121" i="7"/>
  <c r="BA122" i="7"/>
  <c r="AX164" i="6"/>
  <c r="AX165" i="6"/>
  <c r="AX166" i="6"/>
  <c r="AZ56" i="6"/>
  <c r="AY163" i="6"/>
  <c r="AX159" i="6"/>
  <c r="AX160" i="6"/>
  <c r="AX161" i="6"/>
  <c r="AY158" i="6"/>
  <c r="AZ54" i="6"/>
  <c r="AX154" i="6"/>
  <c r="AX155" i="6"/>
  <c r="AX156" i="6"/>
  <c r="AY153" i="6"/>
  <c r="AZ52" i="6"/>
  <c r="AX149" i="6"/>
  <c r="AX150" i="6"/>
  <c r="AX151" i="6"/>
  <c r="AZ50" i="6"/>
  <c r="AY148" i="6"/>
  <c r="AY143" i="6"/>
  <c r="AZ48" i="6"/>
  <c r="AX144" i="6"/>
  <c r="AX145" i="6"/>
  <c r="AX146" i="6"/>
  <c r="AZ159" i="9"/>
  <c r="BA60" i="9"/>
  <c r="AY160" i="9"/>
  <c r="AY161" i="9"/>
  <c r="AY162" i="9"/>
  <c r="AX155" i="9"/>
  <c r="AX156" i="9"/>
  <c r="AX157" i="9"/>
  <c r="AY154" i="9"/>
  <c r="AZ58" i="9"/>
  <c r="AY100" i="9"/>
  <c r="AY101" i="9"/>
  <c r="AY102" i="9"/>
  <c r="AY110" i="9"/>
  <c r="AY111" i="9"/>
  <c r="AY112" i="9"/>
  <c r="AZ109" i="9"/>
  <c r="BA40" i="9"/>
  <c r="BA36" i="9"/>
  <c r="AZ99" i="9"/>
  <c r="AX167" i="1"/>
  <c r="AX168" i="1"/>
  <c r="AX169" i="1"/>
  <c r="AZ62" i="1"/>
  <c r="AY166" i="1"/>
  <c r="AX127" i="1"/>
  <c r="AX128" i="1"/>
  <c r="AX129" i="1"/>
  <c r="AX147" i="1"/>
  <c r="AX148" i="1"/>
  <c r="AX149" i="1"/>
  <c r="AY146" i="1"/>
  <c r="AZ54" i="1"/>
  <c r="AY126" i="1"/>
  <c r="AZ46" i="1"/>
  <c r="AZ122" i="1"/>
  <c r="AZ123" i="1"/>
  <c r="AZ124" i="1"/>
  <c r="BA121" i="1"/>
  <c r="BB44" i="1"/>
  <c r="AX107" i="1"/>
  <c r="AX108" i="1"/>
  <c r="AX109" i="1"/>
  <c r="AY106" i="1"/>
  <c r="AZ38" i="1"/>
  <c r="BA101" i="1"/>
  <c r="BB36" i="1"/>
  <c r="AZ112" i="1"/>
  <c r="AZ113" i="1"/>
  <c r="AZ114" i="1"/>
  <c r="AZ102" i="1"/>
  <c r="AZ103" i="1"/>
  <c r="AZ104" i="1"/>
  <c r="BA111" i="1"/>
  <c r="BB40" i="1"/>
  <c r="BA48" i="7"/>
  <c r="AZ129" i="7"/>
  <c r="AZ130" i="7"/>
  <c r="AZ131" i="7"/>
  <c r="AZ132" i="7"/>
  <c r="BX175" i="2"/>
  <c r="BW54" i="2"/>
  <c r="AE59" i="11"/>
  <c r="AF229" i="11"/>
  <c r="BV237" i="9"/>
  <c r="BU75" i="9"/>
  <c r="K48" i="31"/>
  <c r="U40" i="30"/>
  <c r="K40" i="30"/>
  <c r="K43" i="34"/>
  <c r="T43" i="34"/>
  <c r="U40" i="41"/>
  <c r="K40" i="41"/>
  <c r="T40" i="41"/>
  <c r="P45" i="41"/>
  <c r="Q44" i="41"/>
  <c r="T39" i="30"/>
  <c r="L39" i="30"/>
  <c r="N39" i="30"/>
  <c r="O39" i="30"/>
  <c r="P39" i="30"/>
  <c r="Q39" i="30"/>
  <c r="R28" i="41"/>
  <c r="BC207" i="11"/>
  <c r="BJ167" i="10"/>
  <c r="BG172" i="9"/>
  <c r="AX177" i="7"/>
  <c r="AX137" i="11"/>
  <c r="BG207" i="9"/>
  <c r="BN197" i="11"/>
  <c r="AX202" i="22"/>
  <c r="AX207" i="8"/>
  <c r="BY177" i="9"/>
  <c r="BI177" i="10"/>
  <c r="AX182" i="10"/>
  <c r="BE187" i="22"/>
  <c r="BC162" i="7"/>
  <c r="BV275" i="40"/>
  <c r="BV276" i="40"/>
  <c r="BV277" i="40"/>
  <c r="BW260" i="40"/>
  <c r="BW261" i="40"/>
  <c r="BW262" i="40"/>
  <c r="BO285" i="40"/>
  <c r="BO286" i="40"/>
  <c r="BO287" i="40"/>
  <c r="BO245" i="40"/>
  <c r="BO246" i="40"/>
  <c r="BO247" i="40"/>
  <c r="BO290" i="40"/>
  <c r="BO291" i="40"/>
  <c r="BO292" i="40"/>
  <c r="BP284" i="40"/>
  <c r="BQ108" i="40"/>
  <c r="BP244" i="40"/>
  <c r="BQ92" i="40"/>
  <c r="BP289" i="40"/>
  <c r="BQ110" i="40"/>
  <c r="BV255" i="40"/>
  <c r="BV256" i="40"/>
  <c r="BV257" i="40"/>
  <c r="BP264" i="40"/>
  <c r="BP265" i="40"/>
  <c r="BP266" i="40"/>
  <c r="BP267" i="40"/>
  <c r="BQ100" i="40"/>
  <c r="BP269" i="40"/>
  <c r="BP270" i="40"/>
  <c r="BP271" i="40"/>
  <c r="BP272" i="40"/>
  <c r="BQ102" i="40"/>
  <c r="BP249" i="40"/>
  <c r="BQ94" i="40"/>
  <c r="BO250" i="40"/>
  <c r="BO251" i="40"/>
  <c r="BO252" i="40"/>
  <c r="BW104" i="40"/>
  <c r="BW274" i="40"/>
  <c r="BX98" i="40"/>
  <c r="BX259" i="40"/>
  <c r="BW96" i="40"/>
  <c r="BW254" i="40"/>
  <c r="BV106" i="40"/>
  <c r="BV279" i="40"/>
  <c r="BS90" i="40"/>
  <c r="BQ46" i="40"/>
  <c r="BP129" i="40"/>
  <c r="BO200" i="40"/>
  <c r="BO201" i="40"/>
  <c r="BR84" i="40"/>
  <c r="BQ224" i="40"/>
  <c r="BQ52" i="40"/>
  <c r="BP144" i="40"/>
  <c r="BR40" i="40"/>
  <c r="BQ114" i="40"/>
  <c r="BO155" i="40"/>
  <c r="BO156" i="40"/>
  <c r="BR66" i="40"/>
  <c r="BQ179" i="40"/>
  <c r="BS72" i="40"/>
  <c r="BR194" i="40"/>
  <c r="BR80" i="40"/>
  <c r="BQ214" i="40"/>
  <c r="BQ42" i="40"/>
  <c r="BP119" i="40"/>
  <c r="BR50" i="40"/>
  <c r="BQ139" i="40"/>
  <c r="BO210" i="40"/>
  <c r="BO211" i="40"/>
  <c r="BO212" i="40"/>
  <c r="BN202" i="40"/>
  <c r="BP235" i="40"/>
  <c r="BP236" i="40"/>
  <c r="BP237" i="40"/>
  <c r="BO150" i="40"/>
  <c r="BO151" i="40"/>
  <c r="BO152" i="40"/>
  <c r="BN172" i="40"/>
  <c r="BQ86" i="40"/>
  <c r="BP229" i="40"/>
  <c r="BS68" i="40"/>
  <c r="BR184" i="40"/>
  <c r="BO125" i="40"/>
  <c r="BO126" i="40"/>
  <c r="BO127" i="40"/>
  <c r="BS64" i="40"/>
  <c r="BR174" i="40"/>
  <c r="BO240" i="40"/>
  <c r="BO241" i="40"/>
  <c r="BQ82" i="40"/>
  <c r="BP219" i="40"/>
  <c r="BQ175" i="40"/>
  <c r="BQ176" i="40"/>
  <c r="BO190" i="40"/>
  <c r="BO191" i="40"/>
  <c r="BO192" i="40"/>
  <c r="BQ56" i="40"/>
  <c r="BP154" i="40"/>
  <c r="BQ74" i="40"/>
  <c r="BP199" i="40"/>
  <c r="BO167" i="40"/>
  <c r="BN242" i="40"/>
  <c r="BP165" i="40"/>
  <c r="BP166" i="40"/>
  <c r="BO160" i="40"/>
  <c r="BO161" i="40"/>
  <c r="BR88" i="40"/>
  <c r="BQ234" i="40"/>
  <c r="BO145" i="40"/>
  <c r="BO146" i="40"/>
  <c r="BO147" i="40"/>
  <c r="BQ54" i="40"/>
  <c r="BP149" i="40"/>
  <c r="BP205" i="40"/>
  <c r="BP206" i="40"/>
  <c r="BO237" i="40"/>
  <c r="BO170" i="40"/>
  <c r="BO171" i="40"/>
  <c r="BO172" i="40"/>
  <c r="BQ48" i="40"/>
  <c r="BP134" i="40"/>
  <c r="BQ70" i="40"/>
  <c r="BP189" i="40"/>
  <c r="BP215" i="40"/>
  <c r="BP216" i="40"/>
  <c r="BP217" i="40"/>
  <c r="BO120" i="40"/>
  <c r="BO121" i="40"/>
  <c r="BO122" i="40"/>
  <c r="BQ58" i="40"/>
  <c r="BP159" i="40"/>
  <c r="BO135" i="40"/>
  <c r="BO136" i="40"/>
  <c r="BO137" i="40"/>
  <c r="BO130" i="40"/>
  <c r="BO131" i="40"/>
  <c r="BO132" i="40"/>
  <c r="BP180" i="40"/>
  <c r="BP181" i="40"/>
  <c r="BP182" i="40"/>
  <c r="BQ195" i="40"/>
  <c r="BQ196" i="40"/>
  <c r="BP225" i="40"/>
  <c r="BP226" i="40"/>
  <c r="BP227" i="40"/>
  <c r="BP140" i="40"/>
  <c r="BP141" i="40"/>
  <c r="BR60" i="40"/>
  <c r="BQ164" i="40"/>
  <c r="BQ78" i="40"/>
  <c r="BP209" i="40"/>
  <c r="BN192" i="40"/>
  <c r="BO142" i="40"/>
  <c r="BP115" i="40"/>
  <c r="BP116" i="40"/>
  <c r="BP117" i="40"/>
  <c r="BO230" i="40"/>
  <c r="BO231" i="40"/>
  <c r="BR76" i="40"/>
  <c r="BQ204" i="40"/>
  <c r="BQ185" i="40"/>
  <c r="BQ186" i="40"/>
  <c r="BQ187" i="40"/>
  <c r="BQ62" i="40"/>
  <c r="BP169" i="40"/>
  <c r="BQ44" i="40"/>
  <c r="BP124" i="40"/>
  <c r="BP239" i="40"/>
  <c r="BO220" i="40"/>
  <c r="BO221" i="40"/>
  <c r="BO207" i="40"/>
  <c r="BT197" i="10"/>
  <c r="BF185" i="22"/>
  <c r="BF186" i="22"/>
  <c r="BX212" i="10"/>
  <c r="AZ204" i="8"/>
  <c r="BA78" i="8"/>
  <c r="BF60" i="7"/>
  <c r="BE159" i="7"/>
  <c r="CA155" i="10"/>
  <c r="CA156" i="10"/>
  <c r="BU177" i="22"/>
  <c r="BI62" i="22"/>
  <c r="BH164" i="22"/>
  <c r="AY166" i="9"/>
  <c r="AY165" i="9"/>
  <c r="BF206" i="7"/>
  <c r="BF205" i="7"/>
  <c r="BJ78" i="9"/>
  <c r="BI204" i="9"/>
  <c r="BK78" i="22"/>
  <c r="BJ204" i="22"/>
  <c r="BY211" i="10"/>
  <c r="BY210" i="10"/>
  <c r="BG62" i="8"/>
  <c r="BF164" i="8"/>
  <c r="AZ159" i="10"/>
  <c r="BA60" i="10"/>
  <c r="BL155" i="8"/>
  <c r="BL156" i="8"/>
  <c r="BZ171" i="10"/>
  <c r="BZ170" i="10"/>
  <c r="BD58" i="7"/>
  <c r="BC154" i="7"/>
  <c r="AZ201" i="7"/>
  <c r="AZ200" i="7"/>
  <c r="BB56" i="11"/>
  <c r="BA149" i="11"/>
  <c r="BO195" i="11"/>
  <c r="BO196" i="11"/>
  <c r="BJ189" i="22"/>
  <c r="BK72" i="22"/>
  <c r="AY206" i="8"/>
  <c r="AY205" i="8"/>
  <c r="BD160" i="7"/>
  <c r="BD161" i="7"/>
  <c r="AY135" i="11"/>
  <c r="AY136" i="11"/>
  <c r="AR230" i="11"/>
  <c r="AQ61" i="11"/>
  <c r="BA62" i="9"/>
  <c r="AZ164" i="9"/>
  <c r="BN185" i="10"/>
  <c r="BN186" i="10"/>
  <c r="BH171" i="9"/>
  <c r="BH170" i="9"/>
  <c r="AY176" i="7"/>
  <c r="AY175" i="7"/>
  <c r="AY185" i="8"/>
  <c r="AY186" i="8"/>
  <c r="AZ199" i="10"/>
  <c r="BA76" i="10"/>
  <c r="BC125" i="11"/>
  <c r="BC126" i="11"/>
  <c r="BU54" i="10"/>
  <c r="BT144" i="10"/>
  <c r="BZ209" i="10"/>
  <c r="CA80" i="10"/>
  <c r="BA46" i="6"/>
  <c r="AZ138" i="6"/>
  <c r="AZ139" i="6"/>
  <c r="AZ140" i="6"/>
  <c r="AZ141" i="6"/>
  <c r="BE165" i="8"/>
  <c r="BE166" i="8"/>
  <c r="AY160" i="10"/>
  <c r="AY161" i="10"/>
  <c r="BN58" i="8"/>
  <c r="BM154" i="8"/>
  <c r="BV176" i="22"/>
  <c r="BV175" i="22"/>
  <c r="BB76" i="7"/>
  <c r="BA199" i="7"/>
  <c r="BT197" i="22"/>
  <c r="AK55" i="11"/>
  <c r="AL227" i="11"/>
  <c r="BP194" i="11"/>
  <c r="BQ74" i="11"/>
  <c r="BI190" i="22"/>
  <c r="BI191" i="22"/>
  <c r="BA56" i="22"/>
  <c r="AZ149" i="22"/>
  <c r="AZ150" i="22"/>
  <c r="AZ151" i="22"/>
  <c r="AZ152" i="22"/>
  <c r="BA50" i="11"/>
  <c r="AZ134" i="11"/>
  <c r="BA157" i="7"/>
  <c r="BD205" i="11"/>
  <c r="BD206" i="11"/>
  <c r="BK165" i="10"/>
  <c r="BK166" i="10"/>
  <c r="BO184" i="10"/>
  <c r="BP70" i="10"/>
  <c r="BJ64" i="9"/>
  <c r="BI169" i="9"/>
  <c r="BA66" i="7"/>
  <c r="AZ174" i="7"/>
  <c r="BA70" i="8"/>
  <c r="AZ184" i="8"/>
  <c r="AY200" i="10"/>
  <c r="AY201" i="10"/>
  <c r="BD124" i="11"/>
  <c r="BE46" i="11"/>
  <c r="BS145" i="10"/>
  <c r="BS146" i="10"/>
  <c r="BM187" i="10"/>
  <c r="AY202" i="7"/>
  <c r="AY200" i="11"/>
  <c r="AY201" i="11"/>
  <c r="AX202" i="10"/>
  <c r="CA174" i="9"/>
  <c r="CB66" i="9"/>
  <c r="BB127" i="11"/>
  <c r="AZ199" i="22"/>
  <c r="BA76" i="22"/>
  <c r="BL66" i="10"/>
  <c r="BK174" i="10"/>
  <c r="BX66" i="22"/>
  <c r="BW174" i="22"/>
  <c r="AY180" i="10"/>
  <c r="AY181" i="10"/>
  <c r="BF167" i="22"/>
  <c r="BH70" i="22"/>
  <c r="BG184" i="22"/>
  <c r="BK157" i="8"/>
  <c r="CB154" i="10"/>
  <c r="CB59" i="10"/>
  <c r="CA59" i="10"/>
  <c r="BZ59" i="10"/>
  <c r="AY152" i="11"/>
  <c r="BG165" i="22"/>
  <c r="BG166" i="22"/>
  <c r="BH192" i="22"/>
  <c r="BF78" i="11"/>
  <c r="BE204" i="11"/>
  <c r="BM62" i="10"/>
  <c r="BL164" i="10"/>
  <c r="BR147" i="10"/>
  <c r="BH78" i="7"/>
  <c r="BG204" i="7"/>
  <c r="BZ157" i="10"/>
  <c r="BH205" i="9"/>
  <c r="BH206" i="9"/>
  <c r="BI205" i="22"/>
  <c r="BI206" i="22"/>
  <c r="AO240" i="8"/>
  <c r="AN81" i="8"/>
  <c r="BD167" i="8"/>
  <c r="AX162" i="10"/>
  <c r="AX167" i="9"/>
  <c r="BE207" i="7"/>
  <c r="BY172" i="10"/>
  <c r="BH207" i="22"/>
  <c r="AX187" i="8"/>
  <c r="BA76" i="11"/>
  <c r="AZ199" i="11"/>
  <c r="BZ175" i="9"/>
  <c r="BZ176" i="9"/>
  <c r="AY201" i="22"/>
  <c r="AY200" i="22"/>
  <c r="BJ175" i="10"/>
  <c r="BJ176" i="10"/>
  <c r="CB64" i="10"/>
  <c r="CA169" i="10"/>
  <c r="BB156" i="7"/>
  <c r="BB155" i="7"/>
  <c r="AZ179" i="10"/>
  <c r="BA68" i="10"/>
  <c r="AZ150" i="11"/>
  <c r="AZ151" i="11"/>
  <c r="AX202" i="11"/>
  <c r="X48" i="31"/>
  <c r="AS48" i="31"/>
  <c r="AN48" i="31"/>
  <c r="Z48" i="31"/>
  <c r="AD48" i="31"/>
  <c r="AF48" i="31"/>
  <c r="AC48" i="31"/>
  <c r="AT48" i="31"/>
  <c r="AI48" i="31"/>
  <c r="Y48" i="31"/>
  <c r="AQ48" i="31"/>
  <c r="AJ48" i="31"/>
  <c r="AP48" i="31"/>
  <c r="AE48" i="31"/>
  <c r="AV48" i="31"/>
  <c r="AH48" i="31"/>
  <c r="AA48" i="31"/>
  <c r="AL48" i="31"/>
  <c r="AM48" i="31"/>
  <c r="AB48" i="31"/>
  <c r="AO48" i="31"/>
  <c r="AR48" i="31"/>
  <c r="AU48" i="31"/>
  <c r="AK48" i="31"/>
  <c r="AG48" i="31"/>
  <c r="S47" i="31"/>
  <c r="G30" i="26"/>
  <c r="L48" i="31"/>
  <c r="N48" i="31"/>
  <c r="O48" i="31"/>
  <c r="P48" i="31"/>
  <c r="T48" i="31"/>
  <c r="BB109" i="11"/>
  <c r="BB110" i="11"/>
  <c r="BB111" i="11"/>
  <c r="BB112" i="11"/>
  <c r="BC40" i="11"/>
  <c r="BA38" i="10"/>
  <c r="AZ104" i="10"/>
  <c r="AZ105" i="10"/>
  <c r="AZ106" i="10"/>
  <c r="AZ107" i="10"/>
  <c r="AZ114" i="10"/>
  <c r="AZ115" i="10"/>
  <c r="AZ116" i="10"/>
  <c r="AZ117" i="10"/>
  <c r="BA42" i="10"/>
  <c r="BA32" i="10"/>
  <c r="AZ89" i="10"/>
  <c r="AZ90" i="10"/>
  <c r="AZ91" i="10"/>
  <c r="AZ92" i="10"/>
  <c r="AZ139" i="10"/>
  <c r="AZ140" i="10"/>
  <c r="AZ141" i="10"/>
  <c r="AZ142" i="10"/>
  <c r="BA52" i="10"/>
  <c r="AZ109" i="10"/>
  <c r="AZ110" i="10"/>
  <c r="AZ111" i="10"/>
  <c r="AZ112" i="10"/>
  <c r="BA40" i="10"/>
  <c r="AZ124" i="10"/>
  <c r="AZ125" i="10"/>
  <c r="AZ126" i="10"/>
  <c r="AZ127" i="10"/>
  <c r="BA46" i="10"/>
  <c r="BA119" i="10"/>
  <c r="BA120" i="10"/>
  <c r="BA121" i="10"/>
  <c r="BA122" i="10"/>
  <c r="BB44" i="10"/>
  <c r="AZ129" i="10"/>
  <c r="AZ130" i="10"/>
  <c r="AZ131" i="10"/>
  <c r="AZ132" i="10"/>
  <c r="BA48" i="10"/>
  <c r="AZ94" i="10"/>
  <c r="AZ95" i="10"/>
  <c r="AZ96" i="10"/>
  <c r="AZ97" i="10"/>
  <c r="BA34" i="10"/>
  <c r="BA30" i="10"/>
  <c r="AZ84" i="10"/>
  <c r="AZ85" i="10"/>
  <c r="AZ86" i="10"/>
  <c r="AZ87" i="10"/>
  <c r="BA124" i="22"/>
  <c r="BA125" i="22"/>
  <c r="BA126" i="22"/>
  <c r="BA127" i="22"/>
  <c r="BB46" i="22"/>
  <c r="AZ134" i="22"/>
  <c r="AZ135" i="22"/>
  <c r="AZ136" i="22"/>
  <c r="AZ137" i="22"/>
  <c r="BA50" i="22"/>
  <c r="BA42" i="22"/>
  <c r="AZ114" i="22"/>
  <c r="AZ115" i="22"/>
  <c r="AZ116" i="22"/>
  <c r="AZ117" i="22"/>
  <c r="BA139" i="22"/>
  <c r="BA140" i="22"/>
  <c r="BA141" i="22"/>
  <c r="BA142" i="22"/>
  <c r="BB52" i="22"/>
  <c r="BB50" i="8"/>
  <c r="BA134" i="8"/>
  <c r="BA135" i="8"/>
  <c r="BA136" i="8"/>
  <c r="BA137" i="8"/>
  <c r="BA46" i="8"/>
  <c r="AZ124" i="8"/>
  <c r="AZ125" i="8"/>
  <c r="AZ126" i="8"/>
  <c r="AZ127" i="8"/>
  <c r="AX192" i="9"/>
  <c r="BW172" i="22"/>
  <c r="BU182" i="9"/>
  <c r="BQ177" i="11"/>
  <c r="BY212" i="9"/>
  <c r="BV70" i="7"/>
  <c r="BU184" i="7"/>
  <c r="BT73" i="10"/>
  <c r="BU236" i="10"/>
  <c r="AD53" i="2"/>
  <c r="AE174" i="2"/>
  <c r="BU80" i="11"/>
  <c r="BT209" i="11"/>
  <c r="AM175" i="2"/>
  <c r="BE175" i="2"/>
  <c r="AD175" i="2"/>
  <c r="U175" i="2"/>
  <c r="AV175" i="2"/>
  <c r="L175" i="2"/>
  <c r="C175" i="2"/>
  <c r="BN175" i="2"/>
  <c r="W40" i="30"/>
  <c r="V40" i="30"/>
  <c r="AK40" i="30"/>
  <c r="BA76" i="9"/>
  <c r="AZ199" i="9"/>
  <c r="BR177" i="8"/>
  <c r="CB48" i="11"/>
  <c r="CA129" i="11"/>
  <c r="BV212" i="7"/>
  <c r="BW187" i="9"/>
  <c r="BT185" i="7"/>
  <c r="BT186" i="7"/>
  <c r="BY169" i="22"/>
  <c r="BZ64" i="22"/>
  <c r="BT181" i="22"/>
  <c r="BT180" i="22"/>
  <c r="BU195" i="22"/>
  <c r="BU196" i="22"/>
  <c r="BE53" i="2"/>
  <c r="CF53" i="2"/>
  <c r="BF174" i="2"/>
  <c r="C53" i="2"/>
  <c r="D174" i="2"/>
  <c r="BT197" i="8"/>
  <c r="BR162" i="22"/>
  <c r="BN65" i="7"/>
  <c r="BO232" i="7"/>
  <c r="BQ181" i="8"/>
  <c r="BQ180" i="8"/>
  <c r="BQ201" i="8"/>
  <c r="BQ200" i="8"/>
  <c r="BP190" i="11"/>
  <c r="BP191" i="11"/>
  <c r="A176" i="2"/>
  <c r="BW176" i="2"/>
  <c r="A56" i="2"/>
  <c r="BX185" i="9"/>
  <c r="BX186" i="9"/>
  <c r="BS182" i="22"/>
  <c r="BW74" i="8"/>
  <c r="BV194" i="8"/>
  <c r="BC192" i="8"/>
  <c r="AX202" i="9"/>
  <c r="BZ210" i="9"/>
  <c r="BZ211" i="9"/>
  <c r="AS69" i="11"/>
  <c r="AT234" i="11"/>
  <c r="BW210" i="7"/>
  <c r="BW211" i="7"/>
  <c r="BX150" i="10"/>
  <c r="BX151" i="10"/>
  <c r="AD73" i="7"/>
  <c r="AE236" i="7"/>
  <c r="BX170" i="22"/>
  <c r="BX171" i="22"/>
  <c r="BV68" i="22"/>
  <c r="BU179" i="22"/>
  <c r="BT195" i="7"/>
  <c r="BT196" i="7"/>
  <c r="BW74" i="22"/>
  <c r="BV194" i="22"/>
  <c r="BU196" i="10"/>
  <c r="BU195" i="10"/>
  <c r="BR72" i="11"/>
  <c r="BQ189" i="11"/>
  <c r="BZ56" i="10"/>
  <c r="BY149" i="10"/>
  <c r="BZ182" i="7"/>
  <c r="BV207" i="10"/>
  <c r="AZ189" i="9"/>
  <c r="BA72" i="9"/>
  <c r="AF65" i="8"/>
  <c r="AG232" i="8"/>
  <c r="BP202" i="8"/>
  <c r="BP182" i="8"/>
  <c r="BN162" i="8"/>
  <c r="BU53" i="11"/>
  <c r="BV226" i="11"/>
  <c r="BU66" i="8"/>
  <c r="BT174" i="8"/>
  <c r="AR63" i="11"/>
  <c r="AS231" i="11"/>
  <c r="BV74" i="7"/>
  <c r="BU194" i="7"/>
  <c r="L53" i="2"/>
  <c r="M174" i="2"/>
  <c r="BN53" i="2"/>
  <c r="BO174" i="2"/>
  <c r="BD190" i="8"/>
  <c r="BD191" i="8"/>
  <c r="BS210" i="11"/>
  <c r="BS211" i="11"/>
  <c r="BS187" i="7"/>
  <c r="BV194" i="10"/>
  <c r="BW74" i="10"/>
  <c r="CB69" i="7"/>
  <c r="CA69" i="7"/>
  <c r="BZ69" i="7"/>
  <c r="BY69" i="7"/>
  <c r="BX69" i="7"/>
  <c r="CB179" i="7"/>
  <c r="BY132" i="11"/>
  <c r="BS197" i="7"/>
  <c r="BW205" i="10"/>
  <c r="BW206" i="10"/>
  <c r="BW152" i="10"/>
  <c r="BQ31" i="22"/>
  <c r="BR215" i="22"/>
  <c r="BO160" i="8"/>
  <c r="BO161" i="8"/>
  <c r="BS160" i="22"/>
  <c r="BS161" i="22"/>
  <c r="BR212" i="11"/>
  <c r="BU212" i="22"/>
  <c r="BR175" i="11"/>
  <c r="BR176" i="11"/>
  <c r="CB80" i="9"/>
  <c r="CA209" i="9"/>
  <c r="BO192" i="11"/>
  <c r="BW209" i="22"/>
  <c r="BX80" i="22"/>
  <c r="U53" i="2"/>
  <c r="V174" i="2"/>
  <c r="CA181" i="7"/>
  <c r="CA180" i="7"/>
  <c r="BQ60" i="8"/>
  <c r="BP159" i="8"/>
  <c r="BV181" i="9"/>
  <c r="BV180" i="9"/>
  <c r="AY201" i="9"/>
  <c r="AY200" i="9"/>
  <c r="BZ131" i="11"/>
  <c r="BZ130" i="11"/>
  <c r="AY190" i="9"/>
  <c r="AY191" i="9"/>
  <c r="AN65" i="11"/>
  <c r="AO232" i="11"/>
  <c r="BS175" i="8"/>
  <c r="BS176" i="8"/>
  <c r="AV53" i="2"/>
  <c r="AW174" i="2"/>
  <c r="AM53" i="2"/>
  <c r="AN174" i="2"/>
  <c r="BF72" i="8"/>
  <c r="BE189" i="8"/>
  <c r="BS68" i="8"/>
  <c r="BR179" i="8"/>
  <c r="BR199" i="8"/>
  <c r="BS76" i="8"/>
  <c r="BY78" i="10"/>
  <c r="BX204" i="10"/>
  <c r="BZ70" i="9"/>
  <c r="BY184" i="9"/>
  <c r="AZ89" i="22"/>
  <c r="AZ90" i="22"/>
  <c r="AZ91" i="22"/>
  <c r="AZ92" i="22"/>
  <c r="BA32" i="22"/>
  <c r="BU196" i="8"/>
  <c r="BU195" i="8"/>
  <c r="BU60" i="22"/>
  <c r="BT159" i="22"/>
  <c r="BS174" i="11"/>
  <c r="BT66" i="11"/>
  <c r="BW179" i="9"/>
  <c r="BX68" i="9"/>
  <c r="BY80" i="7"/>
  <c r="BX209" i="7"/>
  <c r="BV210" i="22"/>
  <c r="BV211" i="22"/>
  <c r="L40" i="30"/>
  <c r="N40" i="30"/>
  <c r="O40" i="30"/>
  <c r="T40" i="30"/>
  <c r="AA40" i="30"/>
  <c r="Z40" i="30"/>
  <c r="BF167" i="7"/>
  <c r="AY115" i="8"/>
  <c r="AY116" i="8"/>
  <c r="AY117" i="8"/>
  <c r="BE94" i="8"/>
  <c r="BE95" i="8"/>
  <c r="BE96" i="8"/>
  <c r="BE97" i="8"/>
  <c r="BF34" i="8"/>
  <c r="BA42" i="8"/>
  <c r="AZ114" i="8"/>
  <c r="AZ115" i="8"/>
  <c r="AZ116" i="8"/>
  <c r="AZ117" i="8"/>
  <c r="BA44" i="8"/>
  <c r="AZ119" i="8"/>
  <c r="AZ120" i="8"/>
  <c r="AZ121" i="8"/>
  <c r="AZ122" i="8"/>
  <c r="BG166" i="7"/>
  <c r="BG165" i="7"/>
  <c r="BI62" i="7"/>
  <c r="BH164" i="7"/>
  <c r="AZ89" i="11"/>
  <c r="AZ90" i="11"/>
  <c r="AZ91" i="11"/>
  <c r="AZ92" i="11"/>
  <c r="BA32" i="11"/>
  <c r="BA84" i="9"/>
  <c r="BA85" i="9"/>
  <c r="BA86" i="9"/>
  <c r="BA87" i="9"/>
  <c r="BB30" i="9"/>
  <c r="AZ139" i="9"/>
  <c r="AZ140" i="9"/>
  <c r="AZ141" i="9"/>
  <c r="AZ142" i="9"/>
  <c r="BA52" i="9"/>
  <c r="BC30" i="1"/>
  <c r="BB86" i="1"/>
  <c r="BB87" i="1"/>
  <c r="BB88" i="1"/>
  <c r="BB89" i="1"/>
  <c r="BC32" i="1"/>
  <c r="BB91" i="1"/>
  <c r="BB92" i="1"/>
  <c r="BB93" i="1"/>
  <c r="BB94" i="1"/>
  <c r="AY142" i="1"/>
  <c r="AY143" i="1"/>
  <c r="AY144" i="1"/>
  <c r="AZ181" i="1"/>
  <c r="AZ182" i="1"/>
  <c r="AZ183" i="1"/>
  <c r="AZ184" i="1"/>
  <c r="BA68" i="1"/>
  <c r="BA64" i="1"/>
  <c r="AZ171" i="1"/>
  <c r="AZ172" i="1"/>
  <c r="AZ173" i="1"/>
  <c r="AZ174" i="1"/>
  <c r="AZ219" i="1"/>
  <c r="AZ156" i="1"/>
  <c r="AZ157" i="1"/>
  <c r="AZ158" i="1"/>
  <c r="AZ159" i="1"/>
  <c r="BA58" i="1"/>
  <c r="AZ141" i="1"/>
  <c r="AZ142" i="1"/>
  <c r="AZ143" i="1"/>
  <c r="AZ144" i="1"/>
  <c r="BA52" i="1"/>
  <c r="BA34" i="1"/>
  <c r="AZ96" i="1"/>
  <c r="AZ97" i="1"/>
  <c r="AZ98" i="1"/>
  <c r="AZ99" i="1"/>
  <c r="AZ131" i="1"/>
  <c r="AZ132" i="1"/>
  <c r="AZ133" i="1"/>
  <c r="AZ134" i="1"/>
  <c r="BA48" i="1"/>
  <c r="AX209" i="1"/>
  <c r="BA50" i="1"/>
  <c r="AZ136" i="1"/>
  <c r="AZ137" i="1"/>
  <c r="AZ138" i="1"/>
  <c r="AZ139" i="1"/>
  <c r="U46" i="33"/>
  <c r="BA119" i="22"/>
  <c r="BA120" i="22"/>
  <c r="BA121" i="22"/>
  <c r="BA122" i="22"/>
  <c r="BB44" i="22"/>
  <c r="BA112" i="7"/>
  <c r="BA40" i="6"/>
  <c r="AZ123" i="6"/>
  <c r="AZ124" i="6"/>
  <c r="AZ125" i="6"/>
  <c r="AZ126" i="6"/>
  <c r="AY79" i="6"/>
  <c r="AY80" i="6"/>
  <c r="AY81" i="6"/>
  <c r="BA36" i="6"/>
  <c r="AZ113" i="6"/>
  <c r="AZ114" i="6"/>
  <c r="AZ115" i="6"/>
  <c r="AZ116" i="6"/>
  <c r="BA44" i="6"/>
  <c r="AZ133" i="6"/>
  <c r="AZ134" i="6"/>
  <c r="AZ135" i="6"/>
  <c r="AZ136" i="6"/>
  <c r="AZ93" i="6"/>
  <c r="AZ94" i="6"/>
  <c r="AZ95" i="6"/>
  <c r="AZ96" i="6"/>
  <c r="BA28" i="6"/>
  <c r="BA26" i="6"/>
  <c r="AZ88" i="6"/>
  <c r="AZ89" i="6"/>
  <c r="AZ90" i="6"/>
  <c r="AZ91" i="6"/>
  <c r="AX116" i="6"/>
  <c r="AZ103" i="6"/>
  <c r="AZ104" i="6"/>
  <c r="AZ105" i="6"/>
  <c r="AZ106" i="6"/>
  <c r="BA32" i="6"/>
  <c r="AZ129" i="6"/>
  <c r="AZ130" i="6"/>
  <c r="BA22" i="6"/>
  <c r="AZ78" i="6"/>
  <c r="AZ79" i="6"/>
  <c r="AZ80" i="6"/>
  <c r="AZ81" i="6"/>
  <c r="BA34" i="6"/>
  <c r="AZ108" i="6"/>
  <c r="AZ109" i="6"/>
  <c r="AZ110" i="6"/>
  <c r="AZ111" i="6"/>
  <c r="BA24" i="6"/>
  <c r="AZ83" i="6"/>
  <c r="AZ84" i="6"/>
  <c r="AZ85" i="6"/>
  <c r="AZ86" i="6"/>
  <c r="BB30" i="6"/>
  <c r="BA98" i="6"/>
  <c r="BA99" i="6"/>
  <c r="BA100" i="6"/>
  <c r="BA101" i="6"/>
  <c r="BA128" i="6"/>
  <c r="BA129" i="6"/>
  <c r="BA130" i="6"/>
  <c r="BA131" i="6"/>
  <c r="BB42" i="6"/>
  <c r="BB212" i="1"/>
  <c r="BB213" i="1"/>
  <c r="BA218" i="1"/>
  <c r="BA217" i="1"/>
  <c r="AZ116" i="1"/>
  <c r="AZ117" i="1"/>
  <c r="AZ118" i="1"/>
  <c r="AZ119" i="1"/>
  <c r="BA42" i="1"/>
  <c r="BD80" i="1"/>
  <c r="BC211" i="1"/>
  <c r="BC212" i="1"/>
  <c r="BC213" i="1"/>
  <c r="BC214" i="1"/>
  <c r="BC82" i="1"/>
  <c r="BB216" i="1"/>
  <c r="AZ102" i="11"/>
  <c r="AY122" i="11"/>
  <c r="BB36" i="8"/>
  <c r="BA99" i="8"/>
  <c r="BA100" i="8"/>
  <c r="BA101" i="8"/>
  <c r="BA102" i="8"/>
  <c r="BE38" i="8"/>
  <c r="BD104" i="8"/>
  <c r="BD105" i="8"/>
  <c r="BD106" i="8"/>
  <c r="BD107" i="8"/>
  <c r="BB44" i="11"/>
  <c r="BA119" i="11"/>
  <c r="AZ120" i="11"/>
  <c r="AZ121" i="11"/>
  <c r="AZ122" i="11"/>
  <c r="W45" i="36"/>
  <c r="V45" i="36"/>
  <c r="K45" i="36"/>
  <c r="W46" i="32"/>
  <c r="V46" i="32"/>
  <c r="K46" i="32"/>
  <c r="BD117" i="11"/>
  <c r="AZ129" i="22"/>
  <c r="AZ130" i="22"/>
  <c r="AZ131" i="22"/>
  <c r="AZ132" i="22"/>
  <c r="BA48" i="22"/>
  <c r="BA104" i="22"/>
  <c r="BA105" i="22"/>
  <c r="BA106" i="22"/>
  <c r="BA107" i="22"/>
  <c r="BB38" i="22"/>
  <c r="AZ94" i="22"/>
  <c r="AZ95" i="22"/>
  <c r="AZ96" i="22"/>
  <c r="AZ97" i="22"/>
  <c r="BA34" i="22"/>
  <c r="AZ100" i="7"/>
  <c r="AZ101" i="7"/>
  <c r="BA99" i="7"/>
  <c r="BA100" i="7"/>
  <c r="BA101" i="7"/>
  <c r="BA102" i="7"/>
  <c r="BB36" i="7"/>
  <c r="BB30" i="7"/>
  <c r="BA84" i="7"/>
  <c r="BA85" i="7"/>
  <c r="BA86" i="7"/>
  <c r="BA87" i="7"/>
  <c r="BC109" i="7"/>
  <c r="BD40" i="7"/>
  <c r="AZ114" i="7"/>
  <c r="BA42" i="7"/>
  <c r="AZ94" i="7"/>
  <c r="AZ95" i="7"/>
  <c r="AZ96" i="7"/>
  <c r="AZ97" i="7"/>
  <c r="BA34" i="7"/>
  <c r="BA104" i="7"/>
  <c r="BB38" i="7"/>
  <c r="BC118" i="6"/>
  <c r="BC119" i="6"/>
  <c r="BC120" i="6"/>
  <c r="BC121" i="6"/>
  <c r="BD38" i="6"/>
  <c r="AZ94" i="9"/>
  <c r="AZ95" i="9"/>
  <c r="AZ96" i="9"/>
  <c r="AZ97" i="9"/>
  <c r="BA34" i="9"/>
  <c r="AZ124" i="9"/>
  <c r="AZ125" i="9"/>
  <c r="AZ126" i="9"/>
  <c r="AZ127" i="9"/>
  <c r="BA46" i="9"/>
  <c r="BC104" i="9"/>
  <c r="BC105" i="9"/>
  <c r="BC106" i="9"/>
  <c r="BC107" i="9"/>
  <c r="BD38" i="9"/>
  <c r="AZ42" i="9"/>
  <c r="AY114" i="9"/>
  <c r="AY115" i="9"/>
  <c r="AY116" i="9"/>
  <c r="AY117" i="9"/>
  <c r="BD144" i="9"/>
  <c r="BD145" i="9"/>
  <c r="BD146" i="9"/>
  <c r="BD147" i="9"/>
  <c r="BE54" i="9"/>
  <c r="BA134" i="9"/>
  <c r="BA135" i="9"/>
  <c r="BA136" i="9"/>
  <c r="BA137" i="9"/>
  <c r="BB50" i="9"/>
  <c r="BA56" i="9"/>
  <c r="AZ149" i="9"/>
  <c r="BA48" i="9"/>
  <c r="AZ129" i="9"/>
  <c r="AZ130" i="9"/>
  <c r="AZ131" i="9"/>
  <c r="AZ132" i="9"/>
  <c r="BB89" i="9"/>
  <c r="BB90" i="9"/>
  <c r="BB91" i="9"/>
  <c r="BB92" i="9"/>
  <c r="BC32" i="9"/>
  <c r="BA44" i="9"/>
  <c r="AZ119" i="9"/>
  <c r="AZ120" i="9"/>
  <c r="AZ121" i="9"/>
  <c r="AZ122" i="9"/>
  <c r="BA177" i="1"/>
  <c r="BA178" i="1"/>
  <c r="BC76" i="1"/>
  <c r="BB201" i="1"/>
  <c r="AZ192" i="1"/>
  <c r="AZ193" i="1"/>
  <c r="AZ194" i="1"/>
  <c r="BC66" i="1"/>
  <c r="BB176" i="1"/>
  <c r="BB177" i="1"/>
  <c r="BB178" i="1"/>
  <c r="BB179" i="1"/>
  <c r="AY197" i="1"/>
  <c r="AY198" i="1"/>
  <c r="BA161" i="1"/>
  <c r="BA162" i="1"/>
  <c r="BA163" i="1"/>
  <c r="BA164" i="1"/>
  <c r="BB60" i="1"/>
  <c r="BA70" i="1"/>
  <c r="AZ186" i="1"/>
  <c r="BB72" i="1"/>
  <c r="BA191" i="1"/>
  <c r="BA74" i="1"/>
  <c r="AZ196" i="1"/>
  <c r="AY207" i="1"/>
  <c r="AY208" i="1"/>
  <c r="AY209" i="1"/>
  <c r="BG56" i="1"/>
  <c r="BF151" i="1"/>
  <c r="BF152" i="1"/>
  <c r="BF153" i="1"/>
  <c r="BF154" i="1"/>
  <c r="BA78" i="1"/>
  <c r="AZ206" i="1"/>
  <c r="P48" i="37"/>
  <c r="Q48" i="37"/>
  <c r="U47" i="37"/>
  <c r="K47" i="37"/>
  <c r="T47" i="37"/>
  <c r="BG42" i="11"/>
  <c r="BF114" i="11"/>
  <c r="BE115" i="11"/>
  <c r="BE116" i="11"/>
  <c r="BE117" i="11"/>
  <c r="V21" i="26"/>
  <c r="S38" i="34"/>
  <c r="R37" i="34"/>
  <c r="Z43" i="34"/>
  <c r="AI43" i="34"/>
  <c r="AN43" i="34"/>
  <c r="AM43" i="34"/>
  <c r="AQ43" i="34"/>
  <c r="AJ43" i="34"/>
  <c r="AK43" i="34"/>
  <c r="AA43" i="34"/>
  <c r="AO43" i="34"/>
  <c r="AE43" i="34"/>
  <c r="AL43" i="34"/>
  <c r="AB43" i="34"/>
  <c r="AP43" i="34"/>
  <c r="AF43" i="34"/>
  <c r="AG43" i="34"/>
  <c r="Y43" i="34"/>
  <c r="AD43" i="34"/>
  <c r="AC43" i="34"/>
  <c r="AH43" i="34"/>
  <c r="X43" i="34"/>
  <c r="U45" i="35"/>
  <c r="AZ105" i="11"/>
  <c r="AZ106" i="11"/>
  <c r="BA100" i="11"/>
  <c r="BA101" i="11"/>
  <c r="BA102" i="11"/>
  <c r="BE30" i="11"/>
  <c r="BD84" i="11"/>
  <c r="BB99" i="11"/>
  <c r="BC36" i="11"/>
  <c r="AY107" i="11"/>
  <c r="BA104" i="11"/>
  <c r="BB38" i="11"/>
  <c r="BC85" i="11"/>
  <c r="BC86" i="11"/>
  <c r="BC87" i="11"/>
  <c r="AZ135" i="10"/>
  <c r="AZ136" i="10"/>
  <c r="AZ137" i="10"/>
  <c r="BA134" i="10"/>
  <c r="BB50" i="10"/>
  <c r="BB36" i="10"/>
  <c r="BA99" i="10"/>
  <c r="AZ100" i="10"/>
  <c r="AZ101" i="10"/>
  <c r="AZ102" i="10"/>
  <c r="AY155" i="22"/>
  <c r="AY156" i="22"/>
  <c r="AY157" i="22"/>
  <c r="AZ154" i="22"/>
  <c r="BA58" i="22"/>
  <c r="AZ100" i="22"/>
  <c r="AZ101" i="22"/>
  <c r="AZ102" i="22"/>
  <c r="BA144" i="22"/>
  <c r="BB54" i="22"/>
  <c r="BA99" i="22"/>
  <c r="BB36" i="22"/>
  <c r="BB40" i="22"/>
  <c r="BA109" i="22"/>
  <c r="AZ110" i="22"/>
  <c r="AZ111" i="22"/>
  <c r="AZ112" i="22"/>
  <c r="AZ145" i="22"/>
  <c r="AZ146" i="22"/>
  <c r="AZ147" i="22"/>
  <c r="BB150" i="8"/>
  <c r="BB151" i="8"/>
  <c r="BB152" i="8"/>
  <c r="BC149" i="8"/>
  <c r="BD56" i="8"/>
  <c r="AZ145" i="8"/>
  <c r="AZ146" i="8"/>
  <c r="AZ147" i="8"/>
  <c r="BB54" i="8"/>
  <c r="BA144" i="8"/>
  <c r="BA40" i="8"/>
  <c r="AZ109" i="8"/>
  <c r="BA52" i="8"/>
  <c r="AZ139" i="8"/>
  <c r="AY84" i="8"/>
  <c r="AZ30" i="8"/>
  <c r="AY140" i="8"/>
  <c r="AY141" i="8"/>
  <c r="AY142" i="8"/>
  <c r="AY130" i="8"/>
  <c r="AY131" i="8"/>
  <c r="AY132" i="8"/>
  <c r="AY90" i="8"/>
  <c r="AY91" i="8"/>
  <c r="AY92" i="8"/>
  <c r="BA32" i="8"/>
  <c r="AZ89" i="8"/>
  <c r="AZ129" i="8"/>
  <c r="BA48" i="8"/>
  <c r="AY110" i="8"/>
  <c r="AY111" i="8"/>
  <c r="AY112" i="8"/>
  <c r="AX85" i="8"/>
  <c r="AX86" i="8"/>
  <c r="AX87" i="8"/>
  <c r="AY145" i="7"/>
  <c r="AY146" i="7"/>
  <c r="AY147" i="7"/>
  <c r="AZ144" i="7"/>
  <c r="BA54" i="7"/>
  <c r="AY140" i="7"/>
  <c r="AY141" i="7"/>
  <c r="AY142" i="7"/>
  <c r="AZ139" i="7"/>
  <c r="BA52" i="7"/>
  <c r="AY135" i="7"/>
  <c r="AY136" i="7"/>
  <c r="AZ134" i="7"/>
  <c r="BA50" i="7"/>
  <c r="BF90" i="7"/>
  <c r="BF91" i="7"/>
  <c r="BF92" i="7"/>
  <c r="BH32" i="7"/>
  <c r="BG89" i="7"/>
  <c r="BB124" i="7"/>
  <c r="BC46" i="7"/>
  <c r="BB120" i="7"/>
  <c r="BB121" i="7"/>
  <c r="BB122" i="7"/>
  <c r="BA125" i="7"/>
  <c r="BA126" i="7"/>
  <c r="BA127" i="7"/>
  <c r="BC119" i="7"/>
  <c r="BD44" i="7"/>
  <c r="AY164" i="6"/>
  <c r="AY165" i="6"/>
  <c r="AY166" i="6"/>
  <c r="AZ163" i="6"/>
  <c r="BA56" i="6"/>
  <c r="AZ158" i="6"/>
  <c r="BA54" i="6"/>
  <c r="AY159" i="6"/>
  <c r="AY160" i="6"/>
  <c r="AY161" i="6"/>
  <c r="BA52" i="6"/>
  <c r="AZ153" i="6"/>
  <c r="AY154" i="6"/>
  <c r="AY155" i="6"/>
  <c r="AY156" i="6"/>
  <c r="AY149" i="6"/>
  <c r="AY150" i="6"/>
  <c r="AY151" i="6"/>
  <c r="AZ148" i="6"/>
  <c r="BA50" i="6"/>
  <c r="AZ143" i="6"/>
  <c r="BA48" i="6"/>
  <c r="AY144" i="6"/>
  <c r="AY145" i="6"/>
  <c r="AY146" i="6"/>
  <c r="BA159" i="9"/>
  <c r="BB60" i="9"/>
  <c r="AZ160" i="9"/>
  <c r="AZ161" i="9"/>
  <c r="AZ162" i="9"/>
  <c r="AZ154" i="9"/>
  <c r="BA58" i="9"/>
  <c r="AY155" i="9"/>
  <c r="AY156" i="9"/>
  <c r="AY157" i="9"/>
  <c r="AZ100" i="9"/>
  <c r="AZ101" i="9"/>
  <c r="AZ102" i="9"/>
  <c r="BA109" i="9"/>
  <c r="BB40" i="9"/>
  <c r="BA99" i="9"/>
  <c r="BB36" i="9"/>
  <c r="AZ110" i="9"/>
  <c r="AZ111" i="9"/>
  <c r="AZ112" i="9"/>
  <c r="AY167" i="1"/>
  <c r="AY168" i="1"/>
  <c r="AY169" i="1"/>
  <c r="AZ166" i="1"/>
  <c r="BA62" i="1"/>
  <c r="AZ126" i="1"/>
  <c r="BA46" i="1"/>
  <c r="AZ146" i="1"/>
  <c r="BA54" i="1"/>
  <c r="AY147" i="1"/>
  <c r="AY148" i="1"/>
  <c r="AY149" i="1"/>
  <c r="AY127" i="1"/>
  <c r="AY128" i="1"/>
  <c r="AY129" i="1"/>
  <c r="BA122" i="1"/>
  <c r="BA123" i="1"/>
  <c r="BB121" i="1"/>
  <c r="BC44" i="1"/>
  <c r="BA38" i="1"/>
  <c r="AZ106" i="1"/>
  <c r="BC40" i="1"/>
  <c r="BB111" i="1"/>
  <c r="BC36" i="1"/>
  <c r="BB101" i="1"/>
  <c r="AY107" i="1"/>
  <c r="AY108" i="1"/>
  <c r="AY109" i="1"/>
  <c r="BA112" i="1"/>
  <c r="BA113" i="1"/>
  <c r="BA102" i="1"/>
  <c r="BA103" i="1"/>
  <c r="BA104" i="1"/>
  <c r="BB48" i="7"/>
  <c r="BA129" i="7"/>
  <c r="BA130" i="7"/>
  <c r="BA131" i="7"/>
  <c r="BA132" i="7"/>
  <c r="AH40" i="30"/>
  <c r="BX176" i="2"/>
  <c r="BW55" i="2"/>
  <c r="AD59" i="11"/>
  <c r="AE229" i="11"/>
  <c r="BU237" i="9"/>
  <c r="BT75" i="9"/>
  <c r="W40" i="41"/>
  <c r="V40" i="41"/>
  <c r="AE40" i="41"/>
  <c r="Q45" i="41"/>
  <c r="P46" i="41"/>
  <c r="P40" i="30"/>
  <c r="Q40" i="30"/>
  <c r="AC40" i="30"/>
  <c r="R27" i="41"/>
  <c r="S28" i="41"/>
  <c r="AP11" i="26"/>
  <c r="BH207" i="9"/>
  <c r="AY162" i="10"/>
  <c r="BT187" i="7"/>
  <c r="BE167" i="8"/>
  <c r="BC127" i="11"/>
  <c r="BN187" i="10"/>
  <c r="BH172" i="9"/>
  <c r="BW207" i="10"/>
  <c r="BZ212" i="9"/>
  <c r="BI192" i="22"/>
  <c r="BF207" i="7"/>
  <c r="AY202" i="22"/>
  <c r="AY202" i="11"/>
  <c r="BS147" i="10"/>
  <c r="AY202" i="10"/>
  <c r="AY137" i="11"/>
  <c r="BO197" i="11"/>
  <c r="BF187" i="22"/>
  <c r="BT197" i="7"/>
  <c r="BX152" i="10"/>
  <c r="AZ152" i="11"/>
  <c r="BJ177" i="10"/>
  <c r="BZ177" i="9"/>
  <c r="BV177" i="22"/>
  <c r="CA157" i="10"/>
  <c r="CA229" i="10"/>
  <c r="BQ249" i="40"/>
  <c r="BQ250" i="40"/>
  <c r="BQ251" i="40"/>
  <c r="BQ252" i="40"/>
  <c r="BR94" i="40"/>
  <c r="BQ289" i="40"/>
  <c r="BR110" i="40"/>
  <c r="BW255" i="40"/>
  <c r="BW256" i="40"/>
  <c r="BW257" i="40"/>
  <c r="BW275" i="40"/>
  <c r="BW276" i="40"/>
  <c r="BW277" i="40"/>
  <c r="BP250" i="40"/>
  <c r="BP251" i="40"/>
  <c r="BP252" i="40"/>
  <c r="BP290" i="40"/>
  <c r="BP291" i="40"/>
  <c r="BP292" i="40"/>
  <c r="BP285" i="40"/>
  <c r="BP286" i="40"/>
  <c r="BP287" i="40"/>
  <c r="BQ264" i="40"/>
  <c r="BR100" i="40"/>
  <c r="BX260" i="40"/>
  <c r="BX261" i="40"/>
  <c r="BX262" i="40"/>
  <c r="BQ269" i="40"/>
  <c r="BQ270" i="40"/>
  <c r="BQ271" i="40"/>
  <c r="BQ272" i="40"/>
  <c r="BR102" i="40"/>
  <c r="BQ244" i="40"/>
  <c r="BQ245" i="40"/>
  <c r="BQ246" i="40"/>
  <c r="BQ247" i="40"/>
  <c r="BR92" i="40"/>
  <c r="BQ284" i="40"/>
  <c r="BQ285" i="40"/>
  <c r="BQ286" i="40"/>
  <c r="BQ287" i="40"/>
  <c r="BR108" i="40"/>
  <c r="BV280" i="40"/>
  <c r="BV281" i="40"/>
  <c r="BV282" i="40"/>
  <c r="BP245" i="40"/>
  <c r="BP246" i="40"/>
  <c r="BP247" i="40"/>
  <c r="BY98" i="40"/>
  <c r="BY259" i="40"/>
  <c r="BY260" i="40"/>
  <c r="BY261" i="40"/>
  <c r="BY262" i="40"/>
  <c r="BX96" i="40"/>
  <c r="BX254" i="40"/>
  <c r="BW106" i="40"/>
  <c r="BW279" i="40"/>
  <c r="BX104" i="40"/>
  <c r="BX274" i="40"/>
  <c r="BT90" i="40"/>
  <c r="BP125" i="40"/>
  <c r="BP126" i="40"/>
  <c r="BP127" i="40"/>
  <c r="BQ165" i="40"/>
  <c r="BQ166" i="40"/>
  <c r="BQ167" i="40"/>
  <c r="BR70" i="40"/>
  <c r="BQ189" i="40"/>
  <c r="BT64" i="40"/>
  <c r="BS174" i="40"/>
  <c r="BR86" i="40"/>
  <c r="BQ229" i="40"/>
  <c r="BT72" i="40"/>
  <c r="BS194" i="40"/>
  <c r="BQ225" i="40"/>
  <c r="BQ226" i="40"/>
  <c r="BQ227" i="40"/>
  <c r="BP240" i="40"/>
  <c r="BP241" i="40"/>
  <c r="BR62" i="40"/>
  <c r="BQ169" i="40"/>
  <c r="BP210" i="40"/>
  <c r="BP211" i="40"/>
  <c r="BP212" i="40"/>
  <c r="BR58" i="40"/>
  <c r="BQ159" i="40"/>
  <c r="BP135" i="40"/>
  <c r="BP136" i="40"/>
  <c r="BP137" i="40"/>
  <c r="BP150" i="40"/>
  <c r="BP151" i="40"/>
  <c r="BP152" i="40"/>
  <c r="BR74" i="40"/>
  <c r="BQ199" i="40"/>
  <c r="BP220" i="40"/>
  <c r="BP221" i="40"/>
  <c r="BO242" i="40"/>
  <c r="BT68" i="40"/>
  <c r="BS184" i="40"/>
  <c r="BQ140" i="40"/>
  <c r="BQ141" i="40"/>
  <c r="BR42" i="40"/>
  <c r="BQ119" i="40"/>
  <c r="BS80" i="40"/>
  <c r="BR214" i="40"/>
  <c r="BQ180" i="40"/>
  <c r="BQ181" i="40"/>
  <c r="BO157" i="40"/>
  <c r="BP145" i="40"/>
  <c r="BP146" i="40"/>
  <c r="BP147" i="40"/>
  <c r="BP130" i="40"/>
  <c r="BP131" i="40"/>
  <c r="BP132" i="40"/>
  <c r="BR44" i="40"/>
  <c r="BQ124" i="40"/>
  <c r="BS76" i="40"/>
  <c r="BR204" i="40"/>
  <c r="BS60" i="40"/>
  <c r="BR164" i="40"/>
  <c r="BP190" i="40"/>
  <c r="BP191" i="40"/>
  <c r="BR54" i="40"/>
  <c r="BQ149" i="40"/>
  <c r="BQ235" i="40"/>
  <c r="BQ236" i="40"/>
  <c r="BQ237" i="40"/>
  <c r="BO162" i="40"/>
  <c r="BP155" i="40"/>
  <c r="BP156" i="40"/>
  <c r="BP157" i="40"/>
  <c r="BR175" i="40"/>
  <c r="BR176" i="40"/>
  <c r="BR177" i="40"/>
  <c r="BP230" i="40"/>
  <c r="BP231" i="40"/>
  <c r="BR195" i="40"/>
  <c r="BR196" i="40"/>
  <c r="BR197" i="40"/>
  <c r="BS66" i="40"/>
  <c r="BR179" i="40"/>
  <c r="BQ115" i="40"/>
  <c r="BQ116" i="40"/>
  <c r="BQ117" i="40"/>
  <c r="BR52" i="40"/>
  <c r="BQ144" i="40"/>
  <c r="BS84" i="40"/>
  <c r="BR224" i="40"/>
  <c r="BQ205" i="40"/>
  <c r="BQ206" i="40"/>
  <c r="BQ207" i="40"/>
  <c r="BS88" i="40"/>
  <c r="BR234" i="40"/>
  <c r="BP120" i="40"/>
  <c r="BP121" i="40"/>
  <c r="BP122" i="40"/>
  <c r="BO222" i="40"/>
  <c r="BQ239" i="40"/>
  <c r="BP170" i="40"/>
  <c r="BP171" i="40"/>
  <c r="BO232" i="40"/>
  <c r="BR78" i="40"/>
  <c r="BQ209" i="40"/>
  <c r="BP142" i="40"/>
  <c r="BQ197" i="40"/>
  <c r="BP160" i="40"/>
  <c r="BP161" i="40"/>
  <c r="BR48" i="40"/>
  <c r="BQ134" i="40"/>
  <c r="BP207" i="40"/>
  <c r="BP167" i="40"/>
  <c r="BP200" i="40"/>
  <c r="BP201" i="40"/>
  <c r="BP202" i="40"/>
  <c r="BR56" i="40"/>
  <c r="BQ154" i="40"/>
  <c r="BQ177" i="40"/>
  <c r="BR82" i="40"/>
  <c r="BQ219" i="40"/>
  <c r="BR185" i="40"/>
  <c r="BR186" i="40"/>
  <c r="BR187" i="40"/>
  <c r="BS50" i="40"/>
  <c r="BR139" i="40"/>
  <c r="BQ215" i="40"/>
  <c r="BQ216" i="40"/>
  <c r="BQ217" i="40"/>
  <c r="BS40" i="40"/>
  <c r="BR114" i="40"/>
  <c r="BO202" i="40"/>
  <c r="BR46" i="40"/>
  <c r="BQ129" i="40"/>
  <c r="AG40" i="30"/>
  <c r="AB40" i="30"/>
  <c r="AJ40" i="30"/>
  <c r="AL40" i="30"/>
  <c r="Y40" i="30"/>
  <c r="AE40" i="30"/>
  <c r="AF40" i="30"/>
  <c r="AD40" i="30"/>
  <c r="AM40" i="30"/>
  <c r="X40" i="30"/>
  <c r="AI40" i="30"/>
  <c r="BB157" i="7"/>
  <c r="BI78" i="7"/>
  <c r="BH204" i="7"/>
  <c r="BG167" i="22"/>
  <c r="CB156" i="10"/>
  <c r="CB155" i="10"/>
  <c r="BW175" i="22"/>
  <c r="BW176" i="22"/>
  <c r="BB76" i="22"/>
  <c r="BA199" i="22"/>
  <c r="CA175" i="9"/>
  <c r="CA176" i="9"/>
  <c r="BB66" i="7"/>
  <c r="BA174" i="7"/>
  <c r="BQ70" i="10"/>
  <c r="BP184" i="10"/>
  <c r="BD207" i="11"/>
  <c r="BB50" i="11"/>
  <c r="BA134" i="11"/>
  <c r="BC76" i="7"/>
  <c r="BB199" i="7"/>
  <c r="BM155" i="8"/>
  <c r="BM156" i="8"/>
  <c r="CB80" i="10"/>
  <c r="CA209" i="10"/>
  <c r="BB62" i="9"/>
  <c r="BA164" i="9"/>
  <c r="BC56" i="11"/>
  <c r="BB149" i="11"/>
  <c r="BE58" i="7"/>
  <c r="BD154" i="7"/>
  <c r="BG164" i="8"/>
  <c r="BH62" i="8"/>
  <c r="BK204" i="22"/>
  <c r="BL78" i="22"/>
  <c r="BJ62" i="22"/>
  <c r="BI164" i="22"/>
  <c r="BE161" i="7"/>
  <c r="BE160" i="7"/>
  <c r="BB68" i="10"/>
  <c r="BA179" i="10"/>
  <c r="CA170" i="10"/>
  <c r="CA171" i="10"/>
  <c r="BI207" i="22"/>
  <c r="BE206" i="11"/>
  <c r="BE205" i="11"/>
  <c r="AY182" i="10"/>
  <c r="BY66" i="22"/>
  <c r="BX174" i="22"/>
  <c r="AZ200" i="22"/>
  <c r="AZ201" i="22"/>
  <c r="BF46" i="11"/>
  <c r="BE124" i="11"/>
  <c r="AZ185" i="8"/>
  <c r="AZ186" i="8"/>
  <c r="BO185" i="10"/>
  <c r="BO186" i="10"/>
  <c r="AJ55" i="11"/>
  <c r="AK227" i="11"/>
  <c r="BN154" i="8"/>
  <c r="BO58" i="8"/>
  <c r="BZ211" i="10"/>
  <c r="BZ210" i="10"/>
  <c r="AY177" i="7"/>
  <c r="AQ230" i="11"/>
  <c r="AP61" i="11"/>
  <c r="AY207" i="8"/>
  <c r="BA159" i="10"/>
  <c r="BB60" i="10"/>
  <c r="BI206" i="9"/>
  <c r="BI205" i="9"/>
  <c r="BF159" i="7"/>
  <c r="BG60" i="7"/>
  <c r="AZ180" i="10"/>
  <c r="AZ181" i="10"/>
  <c r="CB169" i="10"/>
  <c r="CB65" i="10"/>
  <c r="CA65" i="10"/>
  <c r="BZ65" i="10"/>
  <c r="AZ200" i="11"/>
  <c r="AZ201" i="11"/>
  <c r="BL166" i="10"/>
  <c r="BL165" i="10"/>
  <c r="BG78" i="11"/>
  <c r="BF204" i="11"/>
  <c r="BG186" i="22"/>
  <c r="BG185" i="22"/>
  <c r="BK175" i="10"/>
  <c r="BK176" i="10"/>
  <c r="BD126" i="11"/>
  <c r="BD125" i="11"/>
  <c r="BB70" i="8"/>
  <c r="BA184" i="8"/>
  <c r="BI170" i="9"/>
  <c r="BI171" i="9"/>
  <c r="BK167" i="10"/>
  <c r="BA149" i="22"/>
  <c r="BA150" i="22"/>
  <c r="BA151" i="22"/>
  <c r="BA152" i="22"/>
  <c r="BB56" i="22"/>
  <c r="BR74" i="11"/>
  <c r="BQ194" i="11"/>
  <c r="BT145" i="10"/>
  <c r="BT146" i="10"/>
  <c r="BB76" i="10"/>
  <c r="BA199" i="10"/>
  <c r="AY187" i="8"/>
  <c r="BD162" i="7"/>
  <c r="BL72" i="22"/>
  <c r="BK189" i="22"/>
  <c r="AZ202" i="7"/>
  <c r="BZ172" i="10"/>
  <c r="AZ161" i="10"/>
  <c r="AZ160" i="10"/>
  <c r="BY212" i="10"/>
  <c r="BJ204" i="9"/>
  <c r="BK78" i="9"/>
  <c r="AY167" i="9"/>
  <c r="BB78" i="8"/>
  <c r="BA204" i="8"/>
  <c r="BB76" i="11"/>
  <c r="BA199" i="11"/>
  <c r="AM81" i="8"/>
  <c r="AN240" i="8"/>
  <c r="BG205" i="7"/>
  <c r="BG206" i="7"/>
  <c r="BN62" i="10"/>
  <c r="BM164" i="10"/>
  <c r="BY59" i="10"/>
  <c r="BZ229" i="10"/>
  <c r="BH184" i="22"/>
  <c r="BI70" i="22"/>
  <c r="BM66" i="10"/>
  <c r="BL174" i="10"/>
  <c r="CB67" i="9"/>
  <c r="CA67" i="9"/>
  <c r="BZ67" i="9"/>
  <c r="CB174" i="9"/>
  <c r="AZ175" i="7"/>
  <c r="AZ176" i="7"/>
  <c r="BJ169" i="9"/>
  <c r="BK64" i="9"/>
  <c r="AZ136" i="11"/>
  <c r="AZ135" i="11"/>
  <c r="BP195" i="11"/>
  <c r="BP196" i="11"/>
  <c r="BA200" i="7"/>
  <c r="BA201" i="7"/>
  <c r="BA138" i="6"/>
  <c r="BA139" i="6"/>
  <c r="BA140" i="6"/>
  <c r="BA141" i="6"/>
  <c r="BB46" i="6"/>
  <c r="BV54" i="10"/>
  <c r="BU144" i="10"/>
  <c r="AZ200" i="10"/>
  <c r="AZ201" i="10"/>
  <c r="AZ166" i="9"/>
  <c r="AZ165" i="9"/>
  <c r="BJ191" i="22"/>
  <c r="BJ190" i="22"/>
  <c r="BA150" i="11"/>
  <c r="BA151" i="11"/>
  <c r="BC155" i="7"/>
  <c r="BC156" i="7"/>
  <c r="BL157" i="8"/>
  <c r="BF166" i="8"/>
  <c r="BF165" i="8"/>
  <c r="BJ205" i="22"/>
  <c r="BJ206" i="22"/>
  <c r="BH166" i="22"/>
  <c r="BH165" i="22"/>
  <c r="AZ206" i="8"/>
  <c r="AZ205" i="8"/>
  <c r="Q48" i="31"/>
  <c r="R48" i="31"/>
  <c r="U49" i="31"/>
  <c r="BD40" i="11"/>
  <c r="BC109" i="11"/>
  <c r="BC110" i="11"/>
  <c r="BC111" i="11"/>
  <c r="BC112" i="11"/>
  <c r="BB48" i="10"/>
  <c r="BA129" i="10"/>
  <c r="BA130" i="10"/>
  <c r="BA131" i="10"/>
  <c r="BA132" i="10"/>
  <c r="BA124" i="10"/>
  <c r="BA125" i="10"/>
  <c r="BA126" i="10"/>
  <c r="BA127" i="10"/>
  <c r="BB46" i="10"/>
  <c r="BB52" i="10"/>
  <c r="BA139" i="10"/>
  <c r="BA140" i="10"/>
  <c r="BA141" i="10"/>
  <c r="BA142" i="10"/>
  <c r="BB42" i="10"/>
  <c r="BA114" i="10"/>
  <c r="BA115" i="10"/>
  <c r="BA116" i="10"/>
  <c r="BA117" i="10"/>
  <c r="BB30" i="10"/>
  <c r="BA84" i="10"/>
  <c r="BA85" i="10"/>
  <c r="BA86" i="10"/>
  <c r="BA87" i="10"/>
  <c r="BB34" i="10"/>
  <c r="BA94" i="10"/>
  <c r="BA95" i="10"/>
  <c r="BA96" i="10"/>
  <c r="BA97" i="10"/>
  <c r="BB119" i="10"/>
  <c r="BB120" i="10"/>
  <c r="BB121" i="10"/>
  <c r="BB122" i="10"/>
  <c r="BC44" i="10"/>
  <c r="BA109" i="10"/>
  <c r="BA110" i="10"/>
  <c r="BA111" i="10"/>
  <c r="BA112" i="10"/>
  <c r="BB40" i="10"/>
  <c r="BB32" i="10"/>
  <c r="BA89" i="10"/>
  <c r="BA90" i="10"/>
  <c r="BA91" i="10"/>
  <c r="BA92" i="10"/>
  <c r="BB38" i="10"/>
  <c r="BA104" i="10"/>
  <c r="BA105" i="10"/>
  <c r="BA106" i="10"/>
  <c r="BA107" i="10"/>
  <c r="BA134" i="22"/>
  <c r="BA135" i="22"/>
  <c r="BA136" i="22"/>
  <c r="BA137" i="22"/>
  <c r="BB50" i="22"/>
  <c r="BB139" i="22"/>
  <c r="BB140" i="22"/>
  <c r="BB141" i="22"/>
  <c r="BB142" i="22"/>
  <c r="BC52" i="22"/>
  <c r="BB124" i="22"/>
  <c r="BB125" i="22"/>
  <c r="BB126" i="22"/>
  <c r="BB127" i="22"/>
  <c r="BC46" i="22"/>
  <c r="BA114" i="22"/>
  <c r="BA115" i="22"/>
  <c r="BA116" i="22"/>
  <c r="BA117" i="22"/>
  <c r="BB42" i="22"/>
  <c r="BB46" i="8"/>
  <c r="BA124" i="8"/>
  <c r="BA125" i="8"/>
  <c r="BA126" i="8"/>
  <c r="BA127" i="8"/>
  <c r="BB134" i="8"/>
  <c r="BB135" i="8"/>
  <c r="BB136" i="8"/>
  <c r="BB137" i="8"/>
  <c r="BC50" i="8"/>
  <c r="AY202" i="9"/>
  <c r="BV212" i="22"/>
  <c r="BS177" i="8"/>
  <c r="AY192" i="9"/>
  <c r="CA182" i="7"/>
  <c r="CA234" i="7"/>
  <c r="BD192" i="8"/>
  <c r="BU197" i="22"/>
  <c r="BR177" i="11"/>
  <c r="BX172" i="22"/>
  <c r="BU197" i="10"/>
  <c r="BG167" i="7"/>
  <c r="BW212" i="7"/>
  <c r="BS212" i="11"/>
  <c r="BW69" i="7"/>
  <c r="BX234" i="7"/>
  <c r="BV195" i="8"/>
  <c r="BV196" i="8"/>
  <c r="BN54" i="2"/>
  <c r="BO175" i="2"/>
  <c r="BV184" i="7"/>
  <c r="BW70" i="7"/>
  <c r="BW180" i="9"/>
  <c r="BW181" i="9"/>
  <c r="BV60" i="22"/>
  <c r="BU159" i="22"/>
  <c r="BU197" i="8"/>
  <c r="BY186" i="9"/>
  <c r="BY185" i="9"/>
  <c r="BZ78" i="10"/>
  <c r="BY204" i="10"/>
  <c r="BT76" i="8"/>
  <c r="BS199" i="8"/>
  <c r="BT68" i="8"/>
  <c r="BS179" i="8"/>
  <c r="AM65" i="11"/>
  <c r="AN232" i="11"/>
  <c r="BV182" i="9"/>
  <c r="BP161" i="8"/>
  <c r="BP160" i="8"/>
  <c r="BO162" i="8"/>
  <c r="BP31" i="22"/>
  <c r="BQ215" i="22"/>
  <c r="CB180" i="7"/>
  <c r="CB181" i="7"/>
  <c r="AE65" i="8"/>
  <c r="AF232" i="8"/>
  <c r="BB72" i="9"/>
  <c r="BA189" i="9"/>
  <c r="BQ190" i="11"/>
  <c r="BQ191" i="11"/>
  <c r="BU181" i="22"/>
  <c r="BU180" i="22"/>
  <c r="AC73" i="7"/>
  <c r="AD236" i="7"/>
  <c r="AR69" i="11"/>
  <c r="AS234" i="11"/>
  <c r="BX187" i="9"/>
  <c r="BP192" i="11"/>
  <c r="BQ202" i="8"/>
  <c r="BT182" i="22"/>
  <c r="BZ169" i="22"/>
  <c r="CA64" i="22"/>
  <c r="CA130" i="11"/>
  <c r="CA131" i="11"/>
  <c r="AW175" i="2"/>
  <c r="AV54" i="2"/>
  <c r="AM54" i="2"/>
  <c r="AN175" i="2"/>
  <c r="BU186" i="7"/>
  <c r="BU185" i="7"/>
  <c r="BR200" i="8"/>
  <c r="BR201" i="8"/>
  <c r="CA210" i="9"/>
  <c r="CA211" i="9"/>
  <c r="BW194" i="10"/>
  <c r="BX74" i="10"/>
  <c r="BT176" i="8"/>
  <c r="BT175" i="8"/>
  <c r="AZ191" i="9"/>
  <c r="AZ190" i="9"/>
  <c r="BZ149" i="10"/>
  <c r="CA56" i="10"/>
  <c r="BV179" i="22"/>
  <c r="BW68" i="22"/>
  <c r="BM65" i="7"/>
  <c r="BN232" i="7"/>
  <c r="AZ201" i="9"/>
  <c r="AZ200" i="9"/>
  <c r="BT210" i="11"/>
  <c r="BT211" i="11"/>
  <c r="BX211" i="7"/>
  <c r="BX210" i="7"/>
  <c r="BX179" i="9"/>
  <c r="BY68" i="9"/>
  <c r="BT174" i="11"/>
  <c r="BU66" i="11"/>
  <c r="BF189" i="8"/>
  <c r="BG72" i="8"/>
  <c r="BZ132" i="11"/>
  <c r="BW210" i="22"/>
  <c r="BW211" i="22"/>
  <c r="CB209" i="9"/>
  <c r="CB81" i="9"/>
  <c r="CA81" i="9"/>
  <c r="BZ81" i="9"/>
  <c r="BY81" i="9"/>
  <c r="BS162" i="22"/>
  <c r="BV195" i="10"/>
  <c r="BV196" i="10"/>
  <c r="BW74" i="7"/>
  <c r="BV194" i="7"/>
  <c r="AQ63" i="11"/>
  <c r="AR231" i="11"/>
  <c r="BV66" i="8"/>
  <c r="BU174" i="8"/>
  <c r="BT53" i="11"/>
  <c r="BU226" i="11"/>
  <c r="BZ234" i="7"/>
  <c r="BY234" i="7"/>
  <c r="BW194" i="8"/>
  <c r="BX74" i="8"/>
  <c r="AM176" i="2"/>
  <c r="AV176" i="2"/>
  <c r="AD176" i="2"/>
  <c r="U176" i="2"/>
  <c r="C176" i="2"/>
  <c r="BN176" i="2"/>
  <c r="BE176" i="2"/>
  <c r="L176" i="2"/>
  <c r="BQ182" i="8"/>
  <c r="CB129" i="11"/>
  <c r="CB49" i="11"/>
  <c r="CA49" i="11"/>
  <c r="BZ49" i="11"/>
  <c r="BY49" i="11"/>
  <c r="BX49" i="11"/>
  <c r="BA199" i="9"/>
  <c r="BB76" i="9"/>
  <c r="C54" i="2"/>
  <c r="D175" i="2"/>
  <c r="AD54" i="2"/>
  <c r="AE175" i="2"/>
  <c r="BV80" i="11"/>
  <c r="BU209" i="11"/>
  <c r="BS73" i="10"/>
  <c r="BT236" i="10"/>
  <c r="BB32" i="22"/>
  <c r="BA89" i="22"/>
  <c r="BA90" i="22"/>
  <c r="BA91" i="22"/>
  <c r="BA92" i="22"/>
  <c r="CA70" i="9"/>
  <c r="BZ184" i="9"/>
  <c r="BE190" i="8"/>
  <c r="BE191" i="8"/>
  <c r="BR60" i="8"/>
  <c r="BQ159" i="8"/>
  <c r="BY80" i="22"/>
  <c r="BX209" i="22"/>
  <c r="BU196" i="7"/>
  <c r="BU195" i="7"/>
  <c r="BS72" i="11"/>
  <c r="BR189" i="11"/>
  <c r="BW194" i="22"/>
  <c r="BX74" i="22"/>
  <c r="A177" i="2"/>
  <c r="BW177" i="2"/>
  <c r="A57" i="2"/>
  <c r="BY170" i="22"/>
  <c r="BY171" i="22"/>
  <c r="V175" i="2"/>
  <c r="U54" i="2"/>
  <c r="BY209" i="7"/>
  <c r="BZ80" i="7"/>
  <c r="BS175" i="11"/>
  <c r="BS176" i="11"/>
  <c r="BT161" i="22"/>
  <c r="BT160" i="22"/>
  <c r="BX205" i="10"/>
  <c r="BX206" i="10"/>
  <c r="BR181" i="8"/>
  <c r="BR180" i="8"/>
  <c r="BY151" i="10"/>
  <c r="BY150" i="10"/>
  <c r="BV196" i="22"/>
  <c r="BV195" i="22"/>
  <c r="M175" i="2"/>
  <c r="L54" i="2"/>
  <c r="BE54" i="2"/>
  <c r="CF54" i="2"/>
  <c r="BF175" i="2"/>
  <c r="BF94" i="8"/>
  <c r="BF95" i="8"/>
  <c r="BF96" i="8"/>
  <c r="BF97" i="8"/>
  <c r="BG34" i="8"/>
  <c r="BB44" i="8"/>
  <c r="BA119" i="8"/>
  <c r="BA120" i="8"/>
  <c r="BA121" i="8"/>
  <c r="BA122" i="8"/>
  <c r="BB42" i="8"/>
  <c r="BA114" i="8"/>
  <c r="BA115" i="8"/>
  <c r="BA116" i="8"/>
  <c r="BA117" i="8"/>
  <c r="BH166" i="7"/>
  <c r="BH165" i="7"/>
  <c r="BB32" i="11"/>
  <c r="BA89" i="11"/>
  <c r="BA90" i="11"/>
  <c r="BA91" i="11"/>
  <c r="BA92" i="11"/>
  <c r="BJ62" i="7"/>
  <c r="BI164" i="7"/>
  <c r="BB52" i="9"/>
  <c r="BA139" i="9"/>
  <c r="BA140" i="9"/>
  <c r="BA141" i="9"/>
  <c r="BA142" i="9"/>
  <c r="BB84" i="9"/>
  <c r="BB85" i="9"/>
  <c r="BB86" i="9"/>
  <c r="BB87" i="9"/>
  <c r="BC30" i="9"/>
  <c r="BD30" i="1"/>
  <c r="BC86" i="1"/>
  <c r="BC87" i="1"/>
  <c r="BC88" i="1"/>
  <c r="BC89" i="1"/>
  <c r="BA131" i="1"/>
  <c r="BA132" i="1"/>
  <c r="BA133" i="1"/>
  <c r="BA134" i="1"/>
  <c r="BB48" i="1"/>
  <c r="BA141" i="1"/>
  <c r="BA142" i="1"/>
  <c r="BA143" i="1"/>
  <c r="BA144" i="1"/>
  <c r="BB52" i="1"/>
  <c r="BA156" i="1"/>
  <c r="BA157" i="1"/>
  <c r="BA158" i="1"/>
  <c r="BA159" i="1"/>
  <c r="BB58" i="1"/>
  <c r="BB64" i="1"/>
  <c r="BA171" i="1"/>
  <c r="BC91" i="1"/>
  <c r="BC92" i="1"/>
  <c r="BC93" i="1"/>
  <c r="BC94" i="1"/>
  <c r="BD32" i="1"/>
  <c r="BA96" i="1"/>
  <c r="BA97" i="1"/>
  <c r="BA98" i="1"/>
  <c r="BA99" i="1"/>
  <c r="BB34" i="1"/>
  <c r="BA181" i="1"/>
  <c r="BA182" i="1"/>
  <c r="BA183" i="1"/>
  <c r="BA184" i="1"/>
  <c r="BB68" i="1"/>
  <c r="BA219" i="1"/>
  <c r="BB214" i="1"/>
  <c r="BA136" i="1"/>
  <c r="BA137" i="1"/>
  <c r="BA138" i="1"/>
  <c r="BA139" i="1"/>
  <c r="BB50" i="1"/>
  <c r="K46" i="33"/>
  <c r="W46" i="33"/>
  <c r="V46" i="33"/>
  <c r="BB119" i="22"/>
  <c r="BB120" i="22"/>
  <c r="BB121" i="22"/>
  <c r="BB122" i="22"/>
  <c r="BC44" i="22"/>
  <c r="BB98" i="6"/>
  <c r="BB99" i="6"/>
  <c r="BB100" i="6"/>
  <c r="BB101" i="6"/>
  <c r="BC30" i="6"/>
  <c r="BA83" i="6"/>
  <c r="BB24" i="6"/>
  <c r="BA108" i="6"/>
  <c r="BB34" i="6"/>
  <c r="BB22" i="6"/>
  <c r="BA78" i="6"/>
  <c r="BA79" i="6"/>
  <c r="BA80" i="6"/>
  <c r="BA81" i="6"/>
  <c r="BA93" i="6"/>
  <c r="BA94" i="6"/>
  <c r="BA95" i="6"/>
  <c r="BA96" i="6"/>
  <c r="BB28" i="6"/>
  <c r="BC42" i="6"/>
  <c r="BB128" i="6"/>
  <c r="BB129" i="6"/>
  <c r="BB130" i="6"/>
  <c r="BB131" i="6"/>
  <c r="AZ131" i="6"/>
  <c r="BA103" i="6"/>
  <c r="BA104" i="6"/>
  <c r="BA105" i="6"/>
  <c r="BA106" i="6"/>
  <c r="BB32" i="6"/>
  <c r="BB26" i="6"/>
  <c r="BA88" i="6"/>
  <c r="BA89" i="6"/>
  <c r="BA90" i="6"/>
  <c r="BA91" i="6"/>
  <c r="BA133" i="6"/>
  <c r="BA134" i="6"/>
  <c r="BA135" i="6"/>
  <c r="BA136" i="6"/>
  <c r="BB44" i="6"/>
  <c r="BB36" i="6"/>
  <c r="BA113" i="6"/>
  <c r="BA114" i="6"/>
  <c r="BA115" i="6"/>
  <c r="BA116" i="6"/>
  <c r="BB40" i="6"/>
  <c r="BA123" i="6"/>
  <c r="BA124" i="6"/>
  <c r="BA125" i="6"/>
  <c r="BA126" i="6"/>
  <c r="BD82" i="1"/>
  <c r="BC216" i="1"/>
  <c r="BA124" i="1"/>
  <c r="AY199" i="1"/>
  <c r="BB217" i="1"/>
  <c r="BB218" i="1"/>
  <c r="BE80" i="1"/>
  <c r="BD211" i="1"/>
  <c r="BD212" i="1"/>
  <c r="BD213" i="1"/>
  <c r="BD214" i="1"/>
  <c r="BA116" i="1"/>
  <c r="BA117" i="1"/>
  <c r="BA118" i="1"/>
  <c r="BA119" i="1"/>
  <c r="BB42" i="1"/>
  <c r="AZ102" i="7"/>
  <c r="BA114" i="1"/>
  <c r="AY137" i="7"/>
  <c r="BA179" i="1"/>
  <c r="BE104" i="8"/>
  <c r="BE105" i="8"/>
  <c r="BE106" i="8"/>
  <c r="BE107" i="8"/>
  <c r="BF38" i="8"/>
  <c r="BB99" i="8"/>
  <c r="BB100" i="8"/>
  <c r="BB101" i="8"/>
  <c r="BB102" i="8"/>
  <c r="BC36" i="8"/>
  <c r="BA120" i="11"/>
  <c r="BA121" i="11"/>
  <c r="BA122" i="11"/>
  <c r="BB119" i="11"/>
  <c r="BC44" i="11"/>
  <c r="T45" i="36"/>
  <c r="AG45" i="36"/>
  <c r="AL45" i="36"/>
  <c r="AC45" i="36"/>
  <c r="AB45" i="36"/>
  <c r="AM45" i="36"/>
  <c r="AH45" i="36"/>
  <c r="AF45" i="36"/>
  <c r="AE45" i="36"/>
  <c r="Z45" i="36"/>
  <c r="AK45" i="36"/>
  <c r="AA45" i="36"/>
  <c r="AI45" i="36"/>
  <c r="Y45" i="36"/>
  <c r="AN45" i="36"/>
  <c r="AD45" i="36"/>
  <c r="AJ45" i="36"/>
  <c r="AP45" i="36"/>
  <c r="AR45" i="36"/>
  <c r="AQ45" i="36"/>
  <c r="AO45" i="36"/>
  <c r="X45" i="36"/>
  <c r="AS45" i="36"/>
  <c r="L46" i="32"/>
  <c r="N46" i="32"/>
  <c r="O46" i="32"/>
  <c r="P46" i="32"/>
  <c r="Q46" i="32"/>
  <c r="T46" i="32"/>
  <c r="AT46" i="32"/>
  <c r="AH46" i="32"/>
  <c r="AS46" i="32"/>
  <c r="AG46" i="32"/>
  <c r="AR46" i="32"/>
  <c r="AF46" i="32"/>
  <c r="AQ46" i="32"/>
  <c r="AE46" i="32"/>
  <c r="AP46" i="32"/>
  <c r="AD46" i="32"/>
  <c r="AO46" i="32"/>
  <c r="AC46" i="32"/>
  <c r="AN46" i="32"/>
  <c r="AB46" i="32"/>
  <c r="AM46" i="32"/>
  <c r="AA46" i="32"/>
  <c r="AL46" i="32"/>
  <c r="Z46" i="32"/>
  <c r="AK46" i="32"/>
  <c r="Y46" i="32"/>
  <c r="AJ46" i="32"/>
  <c r="X46" i="32"/>
  <c r="AI46" i="32"/>
  <c r="BB104" i="22"/>
  <c r="BB105" i="22"/>
  <c r="BB106" i="22"/>
  <c r="BB107" i="22"/>
  <c r="BC38" i="22"/>
  <c r="BA94" i="22"/>
  <c r="BB34" i="22"/>
  <c r="BB48" i="22"/>
  <c r="BA129" i="22"/>
  <c r="BA130" i="22"/>
  <c r="BA131" i="22"/>
  <c r="BA132" i="22"/>
  <c r="BA105" i="7"/>
  <c r="BA106" i="7"/>
  <c r="BA107" i="7"/>
  <c r="BB42" i="7"/>
  <c r="BA114" i="7"/>
  <c r="BA115" i="7"/>
  <c r="BA116" i="7"/>
  <c r="BA117" i="7"/>
  <c r="BC36" i="7"/>
  <c r="BB99" i="7"/>
  <c r="AZ115" i="7"/>
  <c r="AZ116" i="7"/>
  <c r="AZ117" i="7"/>
  <c r="BA94" i="7"/>
  <c r="BB34" i="7"/>
  <c r="BE40" i="7"/>
  <c r="BD109" i="7"/>
  <c r="BD110" i="7"/>
  <c r="BD111" i="7"/>
  <c r="BD112" i="7"/>
  <c r="BB104" i="7"/>
  <c r="BB105" i="7"/>
  <c r="BB106" i="7"/>
  <c r="BB107" i="7"/>
  <c r="BC38" i="7"/>
  <c r="BC110" i="7"/>
  <c r="BC111" i="7"/>
  <c r="BC30" i="7"/>
  <c r="BB84" i="7"/>
  <c r="BB85" i="7"/>
  <c r="BB86" i="7"/>
  <c r="BB87" i="7"/>
  <c r="BD118" i="6"/>
  <c r="BD119" i="6"/>
  <c r="BD120" i="6"/>
  <c r="BD121" i="6"/>
  <c r="BE38" i="6"/>
  <c r="BE144" i="9"/>
  <c r="BE145" i="9"/>
  <c r="BE146" i="9"/>
  <c r="BE147" i="9"/>
  <c r="BF54" i="9"/>
  <c r="BD104" i="9"/>
  <c r="BD105" i="9"/>
  <c r="BD106" i="9"/>
  <c r="BD107" i="9"/>
  <c r="BE38" i="9"/>
  <c r="BB46" i="9"/>
  <c r="BA124" i="9"/>
  <c r="BA125" i="9"/>
  <c r="BA126" i="9"/>
  <c r="BA127" i="9"/>
  <c r="BA94" i="9"/>
  <c r="BA95" i="9"/>
  <c r="BA96" i="9"/>
  <c r="BA97" i="9"/>
  <c r="BB34" i="9"/>
  <c r="AZ114" i="9"/>
  <c r="AZ115" i="9"/>
  <c r="AZ116" i="9"/>
  <c r="AZ117" i="9"/>
  <c r="BA42" i="9"/>
  <c r="BB134" i="9"/>
  <c r="BB135" i="9"/>
  <c r="BB136" i="9"/>
  <c r="BB137" i="9"/>
  <c r="BC50" i="9"/>
  <c r="BB44" i="9"/>
  <c r="BA119" i="9"/>
  <c r="BA120" i="9"/>
  <c r="BA121" i="9"/>
  <c r="BA122" i="9"/>
  <c r="BB48" i="9"/>
  <c r="BA129" i="9"/>
  <c r="BA130" i="9"/>
  <c r="BA131" i="9"/>
  <c r="BA132" i="9"/>
  <c r="AZ150" i="9"/>
  <c r="AZ151" i="9"/>
  <c r="AZ152" i="9"/>
  <c r="BD32" i="9"/>
  <c r="BC89" i="9"/>
  <c r="BA149" i="9"/>
  <c r="BA150" i="9"/>
  <c r="BA151" i="9"/>
  <c r="BA152" i="9"/>
  <c r="BB56" i="9"/>
  <c r="AZ197" i="1"/>
  <c r="AZ198" i="1"/>
  <c r="BC72" i="1"/>
  <c r="BB191" i="1"/>
  <c r="AZ187" i="1"/>
  <c r="AZ188" i="1"/>
  <c r="AZ189" i="1"/>
  <c r="BD66" i="1"/>
  <c r="BC176" i="1"/>
  <c r="BB202" i="1"/>
  <c r="BB203" i="1"/>
  <c r="BB204" i="1"/>
  <c r="BB74" i="1"/>
  <c r="BA196" i="1"/>
  <c r="BB70" i="1"/>
  <c r="BA186" i="1"/>
  <c r="BD76" i="1"/>
  <c r="BC201" i="1"/>
  <c r="AZ207" i="1"/>
  <c r="AZ208" i="1"/>
  <c r="AZ209" i="1"/>
  <c r="BC60" i="1"/>
  <c r="BB161" i="1"/>
  <c r="BB162" i="1"/>
  <c r="BB163" i="1"/>
  <c r="BB164" i="1"/>
  <c r="BB78" i="1"/>
  <c r="BA206" i="1"/>
  <c r="BA207" i="1"/>
  <c r="BA208" i="1"/>
  <c r="BA209" i="1"/>
  <c r="BG151" i="1"/>
  <c r="BG152" i="1"/>
  <c r="BG153" i="1"/>
  <c r="BG154" i="1"/>
  <c r="BH56" i="1"/>
  <c r="BA192" i="1"/>
  <c r="BA193" i="1"/>
  <c r="P49" i="37"/>
  <c r="Q49" i="37"/>
  <c r="W47" i="37"/>
  <c r="V47" i="37"/>
  <c r="BF115" i="11"/>
  <c r="BF116" i="11"/>
  <c r="BH42" i="11"/>
  <c r="BG114" i="11"/>
  <c r="U44" i="34"/>
  <c r="V20" i="26"/>
  <c r="S37" i="34"/>
  <c r="W45" i="35"/>
  <c r="V45" i="35"/>
  <c r="K45" i="35"/>
  <c r="BD85" i="11"/>
  <c r="BD86" i="11"/>
  <c r="BD87" i="11"/>
  <c r="BB104" i="11"/>
  <c r="BC38" i="11"/>
  <c r="BD36" i="11"/>
  <c r="BC99" i="11"/>
  <c r="BE84" i="11"/>
  <c r="BF30" i="11"/>
  <c r="AZ107" i="11"/>
  <c r="BA105" i="11"/>
  <c r="BA106" i="11"/>
  <c r="BB100" i="11"/>
  <c r="BB101" i="11"/>
  <c r="BB102" i="11"/>
  <c r="BB134" i="10"/>
  <c r="BC50" i="10"/>
  <c r="BA135" i="10"/>
  <c r="BA136" i="10"/>
  <c r="BA100" i="10"/>
  <c r="BA101" i="10"/>
  <c r="BA102" i="10"/>
  <c r="BB99" i="10"/>
  <c r="BC36" i="10"/>
  <c r="AZ155" i="22"/>
  <c r="AZ156" i="22"/>
  <c r="AZ157" i="22"/>
  <c r="BB58" i="22"/>
  <c r="BA154" i="22"/>
  <c r="BC40" i="22"/>
  <c r="BB109" i="22"/>
  <c r="BB99" i="22"/>
  <c r="BC36" i="22"/>
  <c r="BA145" i="22"/>
  <c r="BA146" i="22"/>
  <c r="BA147" i="22"/>
  <c r="BA100" i="22"/>
  <c r="BA101" i="22"/>
  <c r="BA102" i="22"/>
  <c r="BA110" i="22"/>
  <c r="BA111" i="22"/>
  <c r="BA112" i="22"/>
  <c r="BC54" i="22"/>
  <c r="BB144" i="22"/>
  <c r="BE56" i="8"/>
  <c r="BD149" i="8"/>
  <c r="BC150" i="8"/>
  <c r="BC151" i="8"/>
  <c r="BC152" i="8"/>
  <c r="BA145" i="8"/>
  <c r="BA146" i="8"/>
  <c r="BA147" i="8"/>
  <c r="BC54" i="8"/>
  <c r="BB144" i="8"/>
  <c r="BB48" i="8"/>
  <c r="BA129" i="8"/>
  <c r="BA89" i="8"/>
  <c r="BB32" i="8"/>
  <c r="AZ110" i="8"/>
  <c r="AZ111" i="8"/>
  <c r="AZ112" i="8"/>
  <c r="AZ140" i="8"/>
  <c r="AZ141" i="8"/>
  <c r="AZ142" i="8"/>
  <c r="BB40" i="8"/>
  <c r="BA109" i="8"/>
  <c r="AZ130" i="8"/>
  <c r="AZ131" i="8"/>
  <c r="AZ132" i="8"/>
  <c r="BA30" i="8"/>
  <c r="AZ84" i="8"/>
  <c r="BB52" i="8"/>
  <c r="BA139" i="8"/>
  <c r="AZ90" i="8"/>
  <c r="AZ91" i="8"/>
  <c r="AZ92" i="8"/>
  <c r="AY85" i="8"/>
  <c r="AY86" i="8"/>
  <c r="AY87" i="8"/>
  <c r="BA144" i="7"/>
  <c r="BB54" i="7"/>
  <c r="AZ145" i="7"/>
  <c r="AZ146" i="7"/>
  <c r="AZ147" i="7"/>
  <c r="BA139" i="7"/>
  <c r="BB52" i="7"/>
  <c r="AZ140" i="7"/>
  <c r="AZ141" i="7"/>
  <c r="AZ142" i="7"/>
  <c r="BA134" i="7"/>
  <c r="BB50" i="7"/>
  <c r="AZ135" i="7"/>
  <c r="AZ136" i="7"/>
  <c r="AZ137" i="7"/>
  <c r="BE44" i="7"/>
  <c r="BD119" i="7"/>
  <c r="BB125" i="7"/>
  <c r="BB126" i="7"/>
  <c r="BB127" i="7"/>
  <c r="BG90" i="7"/>
  <c r="BG91" i="7"/>
  <c r="BG92" i="7"/>
  <c r="BC120" i="7"/>
  <c r="BC121" i="7"/>
  <c r="BC122" i="7"/>
  <c r="BC124" i="7"/>
  <c r="BD46" i="7"/>
  <c r="BI32" i="7"/>
  <c r="BH89" i="7"/>
  <c r="BA163" i="6"/>
  <c r="BB56" i="6"/>
  <c r="AZ164" i="6"/>
  <c r="AZ165" i="6"/>
  <c r="AZ166" i="6"/>
  <c r="AZ159" i="6"/>
  <c r="AZ160" i="6"/>
  <c r="AZ161" i="6"/>
  <c r="BB54" i="6"/>
  <c r="BA158" i="6"/>
  <c r="AZ154" i="6"/>
  <c r="AZ155" i="6"/>
  <c r="AZ156" i="6"/>
  <c r="BB52" i="6"/>
  <c r="BA153" i="6"/>
  <c r="BB50" i="6"/>
  <c r="BA148" i="6"/>
  <c r="AZ149" i="6"/>
  <c r="AZ150" i="6"/>
  <c r="AZ151" i="6"/>
  <c r="BB48" i="6"/>
  <c r="BA143" i="6"/>
  <c r="AZ144" i="6"/>
  <c r="AZ145" i="6"/>
  <c r="AZ146" i="6"/>
  <c r="BB159" i="9"/>
  <c r="BC60" i="9"/>
  <c r="BA160" i="9"/>
  <c r="BA161" i="9"/>
  <c r="BA162" i="9"/>
  <c r="BA154" i="9"/>
  <c r="BB58" i="9"/>
  <c r="AZ155" i="9"/>
  <c r="AZ156" i="9"/>
  <c r="AZ157" i="9"/>
  <c r="BB109" i="9"/>
  <c r="BC40" i="9"/>
  <c r="BC36" i="9"/>
  <c r="BB99" i="9"/>
  <c r="BA110" i="9"/>
  <c r="BA111" i="9"/>
  <c r="BA112" i="9"/>
  <c r="BA100" i="9"/>
  <c r="BA101" i="9"/>
  <c r="BA102" i="9"/>
  <c r="BB62" i="1"/>
  <c r="BA166" i="1"/>
  <c r="AZ167" i="1"/>
  <c r="AZ168" i="1"/>
  <c r="AZ169" i="1"/>
  <c r="BA146" i="1"/>
  <c r="BB54" i="1"/>
  <c r="AZ147" i="1"/>
  <c r="AZ148" i="1"/>
  <c r="AZ149" i="1"/>
  <c r="BA126" i="1"/>
  <c r="BB46" i="1"/>
  <c r="AZ127" i="1"/>
  <c r="AZ128" i="1"/>
  <c r="AZ129" i="1"/>
  <c r="BD44" i="1"/>
  <c r="BC121" i="1"/>
  <c r="BB122" i="1"/>
  <c r="BB123" i="1"/>
  <c r="BB124" i="1"/>
  <c r="BD40" i="1"/>
  <c r="BC111" i="1"/>
  <c r="BD36" i="1"/>
  <c r="BC101" i="1"/>
  <c r="AZ107" i="1"/>
  <c r="AZ108" i="1"/>
  <c r="AZ109" i="1"/>
  <c r="BB102" i="1"/>
  <c r="BB103" i="1"/>
  <c r="BB104" i="1"/>
  <c r="BB112" i="1"/>
  <c r="BB113" i="1"/>
  <c r="BB114" i="1"/>
  <c r="BB38" i="1"/>
  <c r="BA106" i="1"/>
  <c r="BC48" i="7"/>
  <c r="BB129" i="7"/>
  <c r="BB130" i="7"/>
  <c r="BB131" i="7"/>
  <c r="BB132" i="7"/>
  <c r="X40" i="41"/>
  <c r="AC40" i="41"/>
  <c r="AK40" i="41"/>
  <c r="AM40" i="41"/>
  <c r="AI40" i="41"/>
  <c r="AN40" i="41"/>
  <c r="AA40" i="41"/>
  <c r="AB40" i="41"/>
  <c r="AF40" i="41"/>
  <c r="AH40" i="41"/>
  <c r="AG40" i="41"/>
  <c r="AL40" i="41"/>
  <c r="Z40" i="41"/>
  <c r="AJ40" i="41"/>
  <c r="BX177" i="2"/>
  <c r="BW56" i="2"/>
  <c r="AC59" i="11"/>
  <c r="AD229" i="11"/>
  <c r="BT237" i="9"/>
  <c r="BS75" i="9"/>
  <c r="AD40" i="41"/>
  <c r="Y40" i="41"/>
  <c r="Q46" i="41"/>
  <c r="P47" i="41"/>
  <c r="U41" i="30"/>
  <c r="W41" i="30"/>
  <c r="V41" i="30"/>
  <c r="AE41" i="30"/>
  <c r="AP10" i="26"/>
  <c r="S27" i="41"/>
  <c r="BH167" i="22"/>
  <c r="BF167" i="8"/>
  <c r="BC157" i="7"/>
  <c r="BI172" i="9"/>
  <c r="BM157" i="8"/>
  <c r="BE162" i="7"/>
  <c r="BE192" i="8"/>
  <c r="BA152" i="11"/>
  <c r="BA202" i="7"/>
  <c r="AZ177" i="7"/>
  <c r="BG207" i="7"/>
  <c r="BJ207" i="22"/>
  <c r="BT147" i="10"/>
  <c r="BL167" i="10"/>
  <c r="BK177" i="10"/>
  <c r="AZ202" i="11"/>
  <c r="AZ182" i="10"/>
  <c r="AZ202" i="22"/>
  <c r="CA172" i="10"/>
  <c r="CA232" i="10"/>
  <c r="BW280" i="40"/>
  <c r="BW281" i="40"/>
  <c r="BW282" i="40"/>
  <c r="BR284" i="40"/>
  <c r="BS108" i="40"/>
  <c r="BR269" i="40"/>
  <c r="BS102" i="40"/>
  <c r="BR264" i="40"/>
  <c r="BS100" i="40"/>
  <c r="BR289" i="40"/>
  <c r="BS110" i="40"/>
  <c r="BX255" i="40"/>
  <c r="BX256" i="40"/>
  <c r="BX257" i="40"/>
  <c r="BQ265" i="40"/>
  <c r="BQ266" i="40"/>
  <c r="BQ267" i="40"/>
  <c r="BQ290" i="40"/>
  <c r="BQ291" i="40"/>
  <c r="BQ292" i="40"/>
  <c r="BX275" i="40"/>
  <c r="BX276" i="40"/>
  <c r="BX277" i="40"/>
  <c r="BR244" i="40"/>
  <c r="BS92" i="40"/>
  <c r="BR249" i="40"/>
  <c r="BS94" i="40"/>
  <c r="BY104" i="40"/>
  <c r="BY274" i="40"/>
  <c r="BY275" i="40"/>
  <c r="BY276" i="40"/>
  <c r="BY277" i="40"/>
  <c r="BX106" i="40"/>
  <c r="BX279" i="40"/>
  <c r="BX280" i="40"/>
  <c r="BX281" i="40"/>
  <c r="BX282" i="40"/>
  <c r="BZ98" i="40"/>
  <c r="BZ259" i="40"/>
  <c r="BY96" i="40"/>
  <c r="BY254" i="40"/>
  <c r="BY255" i="40"/>
  <c r="BY256" i="40"/>
  <c r="BY257" i="40"/>
  <c r="BU90" i="40"/>
  <c r="BR225" i="40"/>
  <c r="BR226" i="40"/>
  <c r="BS52" i="40"/>
  <c r="BR144" i="40"/>
  <c r="BS54" i="40"/>
  <c r="BR149" i="40"/>
  <c r="BT76" i="40"/>
  <c r="BS204" i="40"/>
  <c r="BS42" i="40"/>
  <c r="BR119" i="40"/>
  <c r="BU68" i="40"/>
  <c r="BT184" i="40"/>
  <c r="BQ160" i="40"/>
  <c r="BQ161" i="40"/>
  <c r="BS195" i="40"/>
  <c r="BS196" i="40"/>
  <c r="BS86" i="40"/>
  <c r="BR229" i="40"/>
  <c r="BS46" i="40"/>
  <c r="BR129" i="40"/>
  <c r="BT40" i="40"/>
  <c r="BS114" i="40"/>
  <c r="BT50" i="40"/>
  <c r="BS139" i="40"/>
  <c r="BQ220" i="40"/>
  <c r="BQ221" i="40"/>
  <c r="BQ222" i="40"/>
  <c r="BQ155" i="40"/>
  <c r="BQ156" i="40"/>
  <c r="BS48" i="40"/>
  <c r="BR134" i="40"/>
  <c r="BQ240" i="40"/>
  <c r="BQ241" i="40"/>
  <c r="BT88" i="40"/>
  <c r="BS234" i="40"/>
  <c r="BT66" i="40"/>
  <c r="BS179" i="40"/>
  <c r="BP232" i="40"/>
  <c r="BP192" i="40"/>
  <c r="BT60" i="40"/>
  <c r="BS164" i="40"/>
  <c r="BQ125" i="40"/>
  <c r="BQ126" i="40"/>
  <c r="BQ127" i="40"/>
  <c r="BQ182" i="40"/>
  <c r="BT80" i="40"/>
  <c r="BS214" i="40"/>
  <c r="BQ142" i="40"/>
  <c r="BQ200" i="40"/>
  <c r="BQ201" i="40"/>
  <c r="BQ202" i="40"/>
  <c r="BS58" i="40"/>
  <c r="BR159" i="40"/>
  <c r="BQ170" i="40"/>
  <c r="BQ171" i="40"/>
  <c r="BP242" i="40"/>
  <c r="BU72" i="40"/>
  <c r="BT194" i="40"/>
  <c r="BQ190" i="40"/>
  <c r="BQ191" i="40"/>
  <c r="BS82" i="40"/>
  <c r="BR219" i="40"/>
  <c r="BS56" i="40"/>
  <c r="BR154" i="40"/>
  <c r="BR239" i="40"/>
  <c r="BT84" i="40"/>
  <c r="BS224" i="40"/>
  <c r="BQ150" i="40"/>
  <c r="BQ151" i="40"/>
  <c r="BQ152" i="40"/>
  <c r="BR205" i="40"/>
  <c r="BR206" i="40"/>
  <c r="BS44" i="40"/>
  <c r="BR124" i="40"/>
  <c r="BQ120" i="40"/>
  <c r="BQ121" i="40"/>
  <c r="BQ122" i="40"/>
  <c r="BS74" i="40"/>
  <c r="BR199" i="40"/>
  <c r="BS62" i="40"/>
  <c r="BR169" i="40"/>
  <c r="BS175" i="40"/>
  <c r="BS176" i="40"/>
  <c r="BS177" i="40"/>
  <c r="BS70" i="40"/>
  <c r="BR189" i="40"/>
  <c r="BR140" i="40"/>
  <c r="BR141" i="40"/>
  <c r="BR142" i="40"/>
  <c r="BQ135" i="40"/>
  <c r="BQ136" i="40"/>
  <c r="BQ137" i="40"/>
  <c r="BS78" i="40"/>
  <c r="BR209" i="40"/>
  <c r="BR180" i="40"/>
  <c r="BR181" i="40"/>
  <c r="BQ130" i="40"/>
  <c r="BQ131" i="40"/>
  <c r="BQ132" i="40"/>
  <c r="BR115" i="40"/>
  <c r="BR116" i="40"/>
  <c r="BR117" i="40"/>
  <c r="BP162" i="40"/>
  <c r="BQ210" i="40"/>
  <c r="BQ211" i="40"/>
  <c r="BP172" i="40"/>
  <c r="BR235" i="40"/>
  <c r="BR236" i="40"/>
  <c r="BQ145" i="40"/>
  <c r="BQ146" i="40"/>
  <c r="BQ147" i="40"/>
  <c r="BR165" i="40"/>
  <c r="BR166" i="40"/>
  <c r="BR167" i="40"/>
  <c r="BR215" i="40"/>
  <c r="BR216" i="40"/>
  <c r="BR217" i="40"/>
  <c r="BS185" i="40"/>
  <c r="BS186" i="40"/>
  <c r="BS187" i="40"/>
  <c r="BP222" i="40"/>
  <c r="BQ230" i="40"/>
  <c r="BQ231" i="40"/>
  <c r="BU64" i="40"/>
  <c r="BT174" i="40"/>
  <c r="BL64" i="9"/>
  <c r="BK169" i="9"/>
  <c r="CB176" i="9"/>
  <c r="CB175" i="9"/>
  <c r="BJ70" i="22"/>
  <c r="BI184" i="22"/>
  <c r="BM166" i="10"/>
  <c r="BM165" i="10"/>
  <c r="BC76" i="11"/>
  <c r="BB199" i="11"/>
  <c r="BK191" i="22"/>
  <c r="BK190" i="22"/>
  <c r="BA200" i="10"/>
  <c r="BA201" i="10"/>
  <c r="BA185" i="8"/>
  <c r="BA186" i="8"/>
  <c r="BY65" i="10"/>
  <c r="BZ232" i="10"/>
  <c r="BH60" i="7"/>
  <c r="BG159" i="7"/>
  <c r="BC60" i="10"/>
  <c r="BB159" i="10"/>
  <c r="AI55" i="11"/>
  <c r="AJ227" i="11"/>
  <c r="BB179" i="10"/>
  <c r="BC68" i="10"/>
  <c r="BJ164" i="22"/>
  <c r="BK62" i="22"/>
  <c r="BG165" i="8"/>
  <c r="BG166" i="8"/>
  <c r="BB150" i="11"/>
  <c r="BB151" i="11"/>
  <c r="BD76" i="7"/>
  <c r="BC199" i="7"/>
  <c r="BP185" i="10"/>
  <c r="BP186" i="10"/>
  <c r="CA177" i="9"/>
  <c r="CA233" i="9"/>
  <c r="BW177" i="22"/>
  <c r="BU145" i="10"/>
  <c r="BU146" i="10"/>
  <c r="BJ171" i="9"/>
  <c r="BJ170" i="9"/>
  <c r="BY67" i="9"/>
  <c r="BZ233" i="9"/>
  <c r="BH186" i="22"/>
  <c r="BH185" i="22"/>
  <c r="BN164" i="10"/>
  <c r="BO62" i="10"/>
  <c r="AL81" i="8"/>
  <c r="AM240" i="8"/>
  <c r="BA205" i="8"/>
  <c r="BA206" i="8"/>
  <c r="BL78" i="9"/>
  <c r="BK204" i="9"/>
  <c r="AZ162" i="10"/>
  <c r="BL189" i="22"/>
  <c r="BM72" i="22"/>
  <c r="BB199" i="10"/>
  <c r="BC76" i="10"/>
  <c r="BQ196" i="11"/>
  <c r="BQ195" i="11"/>
  <c r="BC70" i="8"/>
  <c r="BB184" i="8"/>
  <c r="BF206" i="11"/>
  <c r="BF205" i="11"/>
  <c r="CB171" i="10"/>
  <c r="CB170" i="10"/>
  <c r="BF160" i="7"/>
  <c r="BF161" i="7"/>
  <c r="BA160" i="10"/>
  <c r="BA161" i="10"/>
  <c r="BP58" i="8"/>
  <c r="BO154" i="8"/>
  <c r="BO187" i="10"/>
  <c r="BE207" i="11"/>
  <c r="BL204" i="22"/>
  <c r="BM78" i="22"/>
  <c r="BD156" i="7"/>
  <c r="BD155" i="7"/>
  <c r="BC149" i="11"/>
  <c r="BD56" i="11"/>
  <c r="BA136" i="11"/>
  <c r="BA135" i="11"/>
  <c r="BQ184" i="10"/>
  <c r="BR70" i="10"/>
  <c r="BH206" i="7"/>
  <c r="BH205" i="7"/>
  <c r="AZ207" i="8"/>
  <c r="AZ167" i="9"/>
  <c r="BW54" i="10"/>
  <c r="BV144" i="10"/>
  <c r="AZ137" i="11"/>
  <c r="BL175" i="10"/>
  <c r="BL176" i="10"/>
  <c r="BC78" i="8"/>
  <c r="BB204" i="8"/>
  <c r="BJ205" i="9"/>
  <c r="BJ206" i="9"/>
  <c r="BS74" i="11"/>
  <c r="BR194" i="11"/>
  <c r="BH78" i="11"/>
  <c r="BG204" i="11"/>
  <c r="BN155" i="8"/>
  <c r="BN156" i="8"/>
  <c r="BE126" i="11"/>
  <c r="BE125" i="11"/>
  <c r="BX175" i="22"/>
  <c r="BX176" i="22"/>
  <c r="BK206" i="22"/>
  <c r="BK205" i="22"/>
  <c r="BF58" i="7"/>
  <c r="BE154" i="7"/>
  <c r="BA166" i="9"/>
  <c r="BA165" i="9"/>
  <c r="CA211" i="10"/>
  <c r="CA210" i="10"/>
  <c r="BC50" i="11"/>
  <c r="BB134" i="11"/>
  <c r="BA176" i="7"/>
  <c r="BA175" i="7"/>
  <c r="BA201" i="22"/>
  <c r="BA200" i="22"/>
  <c r="BI204" i="7"/>
  <c r="BJ78" i="7"/>
  <c r="BX212" i="7"/>
  <c r="AZ192" i="9"/>
  <c r="BJ192" i="22"/>
  <c r="AZ202" i="10"/>
  <c r="BB138" i="6"/>
  <c r="BB139" i="6"/>
  <c r="BB140" i="6"/>
  <c r="BB141" i="6"/>
  <c r="BC46" i="6"/>
  <c r="BP197" i="11"/>
  <c r="BN66" i="10"/>
  <c r="BM174" i="10"/>
  <c r="BX59" i="10"/>
  <c r="BY229" i="10"/>
  <c r="BA201" i="11"/>
  <c r="BA200" i="11"/>
  <c r="BB149" i="22"/>
  <c r="BB150" i="22"/>
  <c r="BB151" i="22"/>
  <c r="BB152" i="22"/>
  <c r="BC56" i="22"/>
  <c r="BD127" i="11"/>
  <c r="BG187" i="22"/>
  <c r="BI207" i="9"/>
  <c r="AO61" i="11"/>
  <c r="AP230" i="11"/>
  <c r="BZ212" i="10"/>
  <c r="AZ187" i="8"/>
  <c r="BF124" i="11"/>
  <c r="BG46" i="11"/>
  <c r="BY174" i="22"/>
  <c r="BZ66" i="22"/>
  <c r="BA180" i="10"/>
  <c r="BA181" i="10"/>
  <c r="BI166" i="22"/>
  <c r="BI165" i="22"/>
  <c r="BI62" i="8"/>
  <c r="BH164" i="8"/>
  <c r="BC62" i="9"/>
  <c r="BB164" i="9"/>
  <c r="CB209" i="10"/>
  <c r="CB81" i="10"/>
  <c r="CA81" i="10"/>
  <c r="BZ81" i="10"/>
  <c r="BY81" i="10"/>
  <c r="BB201" i="7"/>
  <c r="BB200" i="7"/>
  <c r="BB174" i="7"/>
  <c r="BC66" i="7"/>
  <c r="BC76" i="22"/>
  <c r="BB199" i="22"/>
  <c r="CB157" i="10"/>
  <c r="CB229" i="10"/>
  <c r="S48" i="31"/>
  <c r="G31" i="26"/>
  <c r="W49" i="31"/>
  <c r="V49" i="31"/>
  <c r="K49" i="31"/>
  <c r="BE40" i="11"/>
  <c r="BD109" i="11"/>
  <c r="BD110" i="11"/>
  <c r="BD111" i="11"/>
  <c r="BD112" i="11"/>
  <c r="BC40" i="10"/>
  <c r="BB109" i="10"/>
  <c r="BB110" i="10"/>
  <c r="BB111" i="10"/>
  <c r="BB112" i="10"/>
  <c r="BC46" i="10"/>
  <c r="BB124" i="10"/>
  <c r="BB125" i="10"/>
  <c r="BB126" i="10"/>
  <c r="BB127" i="10"/>
  <c r="BC38" i="10"/>
  <c r="BB104" i="10"/>
  <c r="BB105" i="10"/>
  <c r="BB106" i="10"/>
  <c r="BB107" i="10"/>
  <c r="BC34" i="10"/>
  <c r="BB94" i="10"/>
  <c r="BB95" i="10"/>
  <c r="BB96" i="10"/>
  <c r="BB97" i="10"/>
  <c r="BB114" i="10"/>
  <c r="BB115" i="10"/>
  <c r="BB116" i="10"/>
  <c r="BB117" i="10"/>
  <c r="BC42" i="10"/>
  <c r="BD44" i="10"/>
  <c r="BC119" i="10"/>
  <c r="BC120" i="10"/>
  <c r="BC121" i="10"/>
  <c r="BC122" i="10"/>
  <c r="BB89" i="10"/>
  <c r="BB90" i="10"/>
  <c r="BB91" i="10"/>
  <c r="BB92" i="10"/>
  <c r="BC32" i="10"/>
  <c r="BC30" i="10"/>
  <c r="BB84" i="10"/>
  <c r="BB85" i="10"/>
  <c r="BB86" i="10"/>
  <c r="BB87" i="10"/>
  <c r="BC52" i="10"/>
  <c r="BB139" i="10"/>
  <c r="BB140" i="10"/>
  <c r="BB141" i="10"/>
  <c r="BB142" i="10"/>
  <c r="BC48" i="10"/>
  <c r="BB129" i="10"/>
  <c r="BB130" i="10"/>
  <c r="BB131" i="10"/>
  <c r="BB132" i="10"/>
  <c r="BD46" i="22"/>
  <c r="BC124" i="22"/>
  <c r="BC125" i="22"/>
  <c r="BC126" i="22"/>
  <c r="BC127" i="22"/>
  <c r="BB134" i="22"/>
  <c r="BB135" i="22"/>
  <c r="BB136" i="22"/>
  <c r="BB137" i="22"/>
  <c r="BC50" i="22"/>
  <c r="BC42" i="22"/>
  <c r="BB114" i="22"/>
  <c r="BB115" i="22"/>
  <c r="BB116" i="22"/>
  <c r="BB117" i="22"/>
  <c r="BD52" i="22"/>
  <c r="BC139" i="22"/>
  <c r="BC140" i="22"/>
  <c r="BC141" i="22"/>
  <c r="BC142" i="22"/>
  <c r="BD50" i="8"/>
  <c r="BC134" i="8"/>
  <c r="BC135" i="8"/>
  <c r="BC136" i="8"/>
  <c r="BC137" i="8"/>
  <c r="BB124" i="8"/>
  <c r="BB125" i="8"/>
  <c r="BB126" i="8"/>
  <c r="BB127" i="8"/>
  <c r="BC46" i="8"/>
  <c r="BB219" i="1"/>
  <c r="BV197" i="8"/>
  <c r="BX207" i="10"/>
  <c r="BS177" i="11"/>
  <c r="BY172" i="22"/>
  <c r="BV197" i="10"/>
  <c r="BU197" i="7"/>
  <c r="BW212" i="22"/>
  <c r="BT212" i="11"/>
  <c r="CA212" i="9"/>
  <c r="CA240" i="9"/>
  <c r="BY211" i="7"/>
  <c r="BY210" i="7"/>
  <c r="BY74" i="22"/>
  <c r="BX194" i="22"/>
  <c r="BT72" i="11"/>
  <c r="BS189" i="11"/>
  <c r="CA184" i="9"/>
  <c r="CB70" i="9"/>
  <c r="L55" i="2"/>
  <c r="M176" i="2"/>
  <c r="BX81" i="9"/>
  <c r="BY240" i="9"/>
  <c r="BF190" i="8"/>
  <c r="BF191" i="8"/>
  <c r="BW179" i="22"/>
  <c r="BX68" i="22"/>
  <c r="BA191" i="9"/>
  <c r="BA190" i="9"/>
  <c r="BU68" i="8"/>
  <c r="BT179" i="8"/>
  <c r="BT162" i="22"/>
  <c r="CA80" i="7"/>
  <c r="BZ209" i="7"/>
  <c r="A58" i="2"/>
  <c r="A178" i="2"/>
  <c r="BW178" i="2"/>
  <c r="BR191" i="11"/>
  <c r="BR190" i="11"/>
  <c r="BX210" i="22"/>
  <c r="BX211" i="22"/>
  <c r="BZ186" i="9"/>
  <c r="BZ185" i="9"/>
  <c r="BR73" i="10"/>
  <c r="BS236" i="10"/>
  <c r="BA200" i="9"/>
  <c r="BA201" i="9"/>
  <c r="C55" i="2"/>
  <c r="D176" i="2"/>
  <c r="AM55" i="2"/>
  <c r="AN176" i="2"/>
  <c r="BS53" i="11"/>
  <c r="BT226" i="11"/>
  <c r="BX74" i="7"/>
  <c r="BW194" i="7"/>
  <c r="BZ224" i="11"/>
  <c r="BH72" i="8"/>
  <c r="BG189" i="8"/>
  <c r="BT176" i="11"/>
  <c r="BT175" i="11"/>
  <c r="AZ202" i="9"/>
  <c r="BZ240" i="9"/>
  <c r="BY74" i="10"/>
  <c r="BX194" i="10"/>
  <c r="BR202" i="8"/>
  <c r="BU187" i="7"/>
  <c r="CA132" i="11"/>
  <c r="CA224" i="11"/>
  <c r="CB64" i="22"/>
  <c r="CA169" i="22"/>
  <c r="BQ192" i="11"/>
  <c r="AD65" i="8"/>
  <c r="AE232" i="8"/>
  <c r="CB182" i="7"/>
  <c r="CB234" i="7"/>
  <c r="BO31" i="22"/>
  <c r="BP215" i="22"/>
  <c r="BS180" i="8"/>
  <c r="BS181" i="8"/>
  <c r="BY206" i="10"/>
  <c r="BY205" i="10"/>
  <c r="BW182" i="9"/>
  <c r="BV69" i="7"/>
  <c r="BW234" i="7"/>
  <c r="BZ80" i="22"/>
  <c r="BY209" i="22"/>
  <c r="U55" i="2"/>
  <c r="V176" i="2"/>
  <c r="CA149" i="10"/>
  <c r="CB56" i="10"/>
  <c r="BW195" i="10"/>
  <c r="BW196" i="10"/>
  <c r="BZ204" i="10"/>
  <c r="CA78" i="10"/>
  <c r="BW184" i="7"/>
  <c r="BX70" i="7"/>
  <c r="BY152" i="10"/>
  <c r="BR182" i="8"/>
  <c r="BW196" i="22"/>
  <c r="BW195" i="22"/>
  <c r="BS60" i="8"/>
  <c r="BR159" i="8"/>
  <c r="BU210" i="11"/>
  <c r="BU211" i="11"/>
  <c r="CB130" i="11"/>
  <c r="CB131" i="11"/>
  <c r="BE55" i="2"/>
  <c r="CF55" i="2"/>
  <c r="BF176" i="2"/>
  <c r="AD55" i="2"/>
  <c r="AE176" i="2"/>
  <c r="BY74" i="8"/>
  <c r="BX194" i="8"/>
  <c r="BU175" i="8"/>
  <c r="BU176" i="8"/>
  <c r="CB210" i="9"/>
  <c r="CB211" i="9"/>
  <c r="BZ68" i="9"/>
  <c r="BY179" i="9"/>
  <c r="BV181" i="22"/>
  <c r="BV180" i="22"/>
  <c r="BZ151" i="10"/>
  <c r="BZ150" i="10"/>
  <c r="BT177" i="8"/>
  <c r="BC72" i="9"/>
  <c r="BB189" i="9"/>
  <c r="BP162" i="8"/>
  <c r="AL65" i="11"/>
  <c r="AM232" i="11"/>
  <c r="BU76" i="8"/>
  <c r="BT199" i="8"/>
  <c r="BU160" i="22"/>
  <c r="BU161" i="22"/>
  <c r="BV185" i="7"/>
  <c r="BV186" i="7"/>
  <c r="AM177" i="2"/>
  <c r="C177" i="2"/>
  <c r="AD177" i="2"/>
  <c r="U177" i="2"/>
  <c r="BN177" i="2"/>
  <c r="BE177" i="2"/>
  <c r="AV177" i="2"/>
  <c r="L177" i="2"/>
  <c r="BQ160" i="8"/>
  <c r="BQ161" i="8"/>
  <c r="BW49" i="11"/>
  <c r="BX224" i="11"/>
  <c r="AP63" i="11"/>
  <c r="AQ231" i="11"/>
  <c r="BZ171" i="22"/>
  <c r="BZ170" i="22"/>
  <c r="AB73" i="7"/>
  <c r="AC236" i="7"/>
  <c r="BS200" i="8"/>
  <c r="BS201" i="8"/>
  <c r="BV197" i="22"/>
  <c r="BY224" i="11"/>
  <c r="BB89" i="22"/>
  <c r="BB90" i="22"/>
  <c r="BB91" i="22"/>
  <c r="BB92" i="22"/>
  <c r="BC32" i="22"/>
  <c r="BW80" i="11"/>
  <c r="BV209" i="11"/>
  <c r="BC76" i="9"/>
  <c r="BB199" i="9"/>
  <c r="BN55" i="2"/>
  <c r="BO176" i="2"/>
  <c r="AV55" i="2"/>
  <c r="AW176" i="2"/>
  <c r="BW196" i="8"/>
  <c r="BW195" i="8"/>
  <c r="BV174" i="8"/>
  <c r="BW66" i="8"/>
  <c r="BV196" i="7"/>
  <c r="BV195" i="7"/>
  <c r="BV66" i="11"/>
  <c r="BU174" i="11"/>
  <c r="BX180" i="9"/>
  <c r="BX181" i="9"/>
  <c r="BL65" i="7"/>
  <c r="BM232" i="7"/>
  <c r="AQ69" i="11"/>
  <c r="AR234" i="11"/>
  <c r="BU182" i="22"/>
  <c r="BY187" i="9"/>
  <c r="BV159" i="22"/>
  <c r="BW60" i="22"/>
  <c r="AL41" i="30"/>
  <c r="Z41" i="30"/>
  <c r="L43" i="30"/>
  <c r="N43" i="30"/>
  <c r="O43" i="30"/>
  <c r="BH34" i="8"/>
  <c r="BG94" i="8"/>
  <c r="BG95" i="8"/>
  <c r="BG96" i="8"/>
  <c r="BG97" i="8"/>
  <c r="BC42" i="8"/>
  <c r="BB114" i="8"/>
  <c r="BB115" i="8"/>
  <c r="BB116" i="8"/>
  <c r="BB117" i="8"/>
  <c r="BB119" i="8"/>
  <c r="BB120" i="8"/>
  <c r="BB121" i="8"/>
  <c r="BB122" i="8"/>
  <c r="BC44" i="8"/>
  <c r="BI166" i="7"/>
  <c r="BI165" i="7"/>
  <c r="BJ164" i="7"/>
  <c r="BK62" i="7"/>
  <c r="BC32" i="11"/>
  <c r="BB89" i="11"/>
  <c r="BB90" i="11"/>
  <c r="BB91" i="11"/>
  <c r="BB92" i="11"/>
  <c r="BH167" i="7"/>
  <c r="BD30" i="9"/>
  <c r="BC84" i="9"/>
  <c r="BC85" i="9"/>
  <c r="BC86" i="9"/>
  <c r="BC87" i="9"/>
  <c r="BB139" i="9"/>
  <c r="BB140" i="9"/>
  <c r="BB141" i="9"/>
  <c r="BB142" i="9"/>
  <c r="BC52" i="9"/>
  <c r="BD86" i="1"/>
  <c r="BD87" i="1"/>
  <c r="BD88" i="1"/>
  <c r="BD89" i="1"/>
  <c r="BE30" i="1"/>
  <c r="BB171" i="1"/>
  <c r="BC64" i="1"/>
  <c r="BC68" i="1"/>
  <c r="BB181" i="1"/>
  <c r="BB182" i="1"/>
  <c r="BB183" i="1"/>
  <c r="BB184" i="1"/>
  <c r="BC34" i="1"/>
  <c r="BB96" i="1"/>
  <c r="BB97" i="1"/>
  <c r="BB98" i="1"/>
  <c r="BB99" i="1"/>
  <c r="BD91" i="1"/>
  <c r="BD92" i="1"/>
  <c r="BD93" i="1"/>
  <c r="BD94" i="1"/>
  <c r="BE32" i="1"/>
  <c r="BA172" i="1"/>
  <c r="BA173" i="1"/>
  <c r="BA174" i="1"/>
  <c r="BB156" i="1"/>
  <c r="BB157" i="1"/>
  <c r="BB158" i="1"/>
  <c r="BB159" i="1"/>
  <c r="BC58" i="1"/>
  <c r="BB141" i="1"/>
  <c r="BB142" i="1"/>
  <c r="BB143" i="1"/>
  <c r="BB144" i="1"/>
  <c r="BC52" i="1"/>
  <c r="BC48" i="1"/>
  <c r="BB131" i="1"/>
  <c r="BB132" i="1"/>
  <c r="BB133" i="1"/>
  <c r="BB134" i="1"/>
  <c r="BB136" i="1"/>
  <c r="BB137" i="1"/>
  <c r="BB138" i="1"/>
  <c r="BB139" i="1"/>
  <c r="BC50" i="1"/>
  <c r="AM46" i="33"/>
  <c r="AK46" i="33"/>
  <c r="AC46" i="33"/>
  <c r="AO46" i="33"/>
  <c r="AI46" i="33"/>
  <c r="AG46" i="33"/>
  <c r="AE46" i="33"/>
  <c r="AQ46" i="33"/>
  <c r="AF46" i="33"/>
  <c r="AD46" i="33"/>
  <c r="AB46" i="33"/>
  <c r="AS46" i="33"/>
  <c r="Z46" i="33"/>
  <c r="AT46" i="33"/>
  <c r="AJ46" i="33"/>
  <c r="AR46" i="33"/>
  <c r="AP46" i="33"/>
  <c r="AL46" i="33"/>
  <c r="AA46" i="33"/>
  <c r="AN46" i="33"/>
  <c r="AH46" i="33"/>
  <c r="X46" i="33"/>
  <c r="Y46" i="33"/>
  <c r="L46" i="33"/>
  <c r="N46" i="33"/>
  <c r="O46" i="33"/>
  <c r="P46" i="33"/>
  <c r="Q46" i="33"/>
  <c r="T46" i="33"/>
  <c r="BD44" i="22"/>
  <c r="BC119" i="22"/>
  <c r="BC120" i="22"/>
  <c r="BC121" i="22"/>
  <c r="BC122" i="22"/>
  <c r="BB123" i="6"/>
  <c r="BB124" i="6"/>
  <c r="BB125" i="6"/>
  <c r="BB126" i="6"/>
  <c r="BC40" i="6"/>
  <c r="BC36" i="6"/>
  <c r="BB113" i="6"/>
  <c r="BB114" i="6"/>
  <c r="BB115" i="6"/>
  <c r="BB116" i="6"/>
  <c r="BB88" i="6"/>
  <c r="BB89" i="6"/>
  <c r="BB90" i="6"/>
  <c r="BB91" i="6"/>
  <c r="BC26" i="6"/>
  <c r="BC28" i="6"/>
  <c r="BB93" i="6"/>
  <c r="BB94" i="6"/>
  <c r="BB95" i="6"/>
  <c r="BB96" i="6"/>
  <c r="BC34" i="6"/>
  <c r="BB108" i="6"/>
  <c r="BB109" i="6"/>
  <c r="BB110" i="6"/>
  <c r="BB111" i="6"/>
  <c r="BC24" i="6"/>
  <c r="BB83" i="6"/>
  <c r="BB84" i="6"/>
  <c r="BB85" i="6"/>
  <c r="BB86" i="6"/>
  <c r="BC98" i="6"/>
  <c r="BC99" i="6"/>
  <c r="BC100" i="6"/>
  <c r="BC101" i="6"/>
  <c r="BD30" i="6"/>
  <c r="BB133" i="6"/>
  <c r="BB134" i="6"/>
  <c r="BB135" i="6"/>
  <c r="BB136" i="6"/>
  <c r="BC44" i="6"/>
  <c r="BC32" i="6"/>
  <c r="BB103" i="6"/>
  <c r="BB104" i="6"/>
  <c r="BB105" i="6"/>
  <c r="BB106" i="6"/>
  <c r="BC128" i="6"/>
  <c r="BC129" i="6"/>
  <c r="BC130" i="6"/>
  <c r="BC131" i="6"/>
  <c r="BD42" i="6"/>
  <c r="BC22" i="6"/>
  <c r="BB78" i="6"/>
  <c r="BB79" i="6"/>
  <c r="BB80" i="6"/>
  <c r="BB81" i="6"/>
  <c r="BA109" i="6"/>
  <c r="BA110" i="6"/>
  <c r="BA84" i="6"/>
  <c r="BA85" i="6"/>
  <c r="BA86" i="6"/>
  <c r="BC218" i="1"/>
  <c r="BC217" i="1"/>
  <c r="BC42" i="1"/>
  <c r="BB116" i="1"/>
  <c r="BB117" i="1"/>
  <c r="BB118" i="1"/>
  <c r="BB119" i="1"/>
  <c r="BF80" i="1"/>
  <c r="BE211" i="1"/>
  <c r="BE212" i="1"/>
  <c r="BE213" i="1"/>
  <c r="BE214" i="1"/>
  <c r="BE82" i="1"/>
  <c r="BD216" i="1"/>
  <c r="BA137" i="10"/>
  <c r="BA194" i="1"/>
  <c r="AZ199" i="1"/>
  <c r="BC112" i="7"/>
  <c r="BF104" i="8"/>
  <c r="BF105" i="8"/>
  <c r="BF106" i="8"/>
  <c r="BF107" i="8"/>
  <c r="BG38" i="8"/>
  <c r="BC99" i="8"/>
  <c r="BC100" i="8"/>
  <c r="BC101" i="8"/>
  <c r="BC102" i="8"/>
  <c r="BD36" i="8"/>
  <c r="BB120" i="11"/>
  <c r="BB121" i="11"/>
  <c r="BB122" i="11"/>
  <c r="BC119" i="11"/>
  <c r="BD44" i="11"/>
  <c r="U46" i="36"/>
  <c r="U47" i="32"/>
  <c r="BF117" i="11"/>
  <c r="BC34" i="22"/>
  <c r="BB94" i="22"/>
  <c r="BA95" i="22"/>
  <c r="BA96" i="22"/>
  <c r="BC104" i="22"/>
  <c r="BC105" i="22"/>
  <c r="BC106" i="22"/>
  <c r="BC107" i="22"/>
  <c r="BD38" i="22"/>
  <c r="BB129" i="22"/>
  <c r="BB130" i="22"/>
  <c r="BB131" i="22"/>
  <c r="BB132" i="22"/>
  <c r="BC48" i="22"/>
  <c r="BC84" i="7"/>
  <c r="BC85" i="7"/>
  <c r="BC86" i="7"/>
  <c r="BC87" i="7"/>
  <c r="BD30" i="7"/>
  <c r="BC34" i="7"/>
  <c r="BB94" i="7"/>
  <c r="BB100" i="7"/>
  <c r="BB101" i="7"/>
  <c r="BA95" i="7"/>
  <c r="BA96" i="7"/>
  <c r="BD36" i="7"/>
  <c r="BC99" i="7"/>
  <c r="BC100" i="7"/>
  <c r="BC101" i="7"/>
  <c r="BC102" i="7"/>
  <c r="BC42" i="7"/>
  <c r="BB114" i="7"/>
  <c r="BB115" i="7"/>
  <c r="BB116" i="7"/>
  <c r="BB117" i="7"/>
  <c r="BE109" i="7"/>
  <c r="BE110" i="7"/>
  <c r="BE111" i="7"/>
  <c r="BE112" i="7"/>
  <c r="BF40" i="7"/>
  <c r="BD38" i="7"/>
  <c r="BC104" i="7"/>
  <c r="BC105" i="7"/>
  <c r="BC106" i="7"/>
  <c r="BC107" i="7"/>
  <c r="BE118" i="6"/>
  <c r="BF38" i="6"/>
  <c r="BC34" i="9"/>
  <c r="BB94" i="9"/>
  <c r="BB95" i="9"/>
  <c r="BB96" i="9"/>
  <c r="BB97" i="9"/>
  <c r="BF38" i="9"/>
  <c r="BE104" i="9"/>
  <c r="BE105" i="9"/>
  <c r="BE106" i="9"/>
  <c r="BE107" i="9"/>
  <c r="BB42" i="9"/>
  <c r="BA114" i="9"/>
  <c r="BA115" i="9"/>
  <c r="BA116" i="9"/>
  <c r="BA117" i="9"/>
  <c r="BF144" i="9"/>
  <c r="BF145" i="9"/>
  <c r="BF146" i="9"/>
  <c r="BF147" i="9"/>
  <c r="BG54" i="9"/>
  <c r="BC46" i="9"/>
  <c r="BB124" i="9"/>
  <c r="BB125" i="9"/>
  <c r="BB126" i="9"/>
  <c r="BB127" i="9"/>
  <c r="BC134" i="9"/>
  <c r="BC135" i="9"/>
  <c r="BC136" i="9"/>
  <c r="BC137" i="9"/>
  <c r="BD50" i="9"/>
  <c r="BC44" i="9"/>
  <c r="BB119" i="9"/>
  <c r="BB120" i="9"/>
  <c r="BB121" i="9"/>
  <c r="BB122" i="9"/>
  <c r="BC90" i="9"/>
  <c r="BC91" i="9"/>
  <c r="BB149" i="9"/>
  <c r="BC56" i="9"/>
  <c r="BD89" i="9"/>
  <c r="BD90" i="9"/>
  <c r="BD91" i="9"/>
  <c r="BD92" i="9"/>
  <c r="BE32" i="9"/>
  <c r="BB129" i="9"/>
  <c r="BC48" i="9"/>
  <c r="BH151" i="1"/>
  <c r="BH152" i="1"/>
  <c r="BH153" i="1"/>
  <c r="BH154" i="1"/>
  <c r="BI56" i="1"/>
  <c r="BC78" i="1"/>
  <c r="BB206" i="1"/>
  <c r="BC161" i="1"/>
  <c r="BC162" i="1"/>
  <c r="BC163" i="1"/>
  <c r="BC164" i="1"/>
  <c r="BD60" i="1"/>
  <c r="BC202" i="1"/>
  <c r="BC203" i="1"/>
  <c r="BA197" i="1"/>
  <c r="BA198" i="1"/>
  <c r="BE66" i="1"/>
  <c r="BD176" i="1"/>
  <c r="BB192" i="1"/>
  <c r="BB193" i="1"/>
  <c r="BB194" i="1"/>
  <c r="BE76" i="1"/>
  <c r="BD201" i="1"/>
  <c r="BD202" i="1"/>
  <c r="BD203" i="1"/>
  <c r="BD204" i="1"/>
  <c r="BA187" i="1"/>
  <c r="BA188" i="1"/>
  <c r="BC74" i="1"/>
  <c r="BB196" i="1"/>
  <c r="BB197" i="1"/>
  <c r="BB198" i="1"/>
  <c r="BB199" i="1"/>
  <c r="BD72" i="1"/>
  <c r="BC191" i="1"/>
  <c r="BC192" i="1"/>
  <c r="BC193" i="1"/>
  <c r="BC194" i="1"/>
  <c r="BC70" i="1"/>
  <c r="BB186" i="1"/>
  <c r="BB187" i="1"/>
  <c r="BB188" i="1"/>
  <c r="BB189" i="1"/>
  <c r="BC177" i="1"/>
  <c r="BC178" i="1"/>
  <c r="BC179" i="1"/>
  <c r="P50" i="37"/>
  <c r="Q50" i="37"/>
  <c r="Y47" i="37"/>
  <c r="AC47" i="37"/>
  <c r="AU47" i="37"/>
  <c r="AL47" i="37"/>
  <c r="AM47" i="37"/>
  <c r="AN47" i="37"/>
  <c r="AD47" i="37"/>
  <c r="AK47" i="37"/>
  <c r="AP47" i="37"/>
  <c r="AG47" i="37"/>
  <c r="AB47" i="37"/>
  <c r="AQ47" i="37"/>
  <c r="Z47" i="37"/>
  <c r="AF47" i="37"/>
  <c r="X47" i="37"/>
  <c r="AS47" i="37"/>
  <c r="AR47" i="37"/>
  <c r="AJ47" i="37"/>
  <c r="AA47" i="37"/>
  <c r="AO47" i="37"/>
  <c r="AT47" i="37"/>
  <c r="AE47" i="37"/>
  <c r="AI47" i="37"/>
  <c r="AH47" i="37"/>
  <c r="BG115" i="11"/>
  <c r="BG116" i="11"/>
  <c r="BH114" i="11"/>
  <c r="BI42" i="11"/>
  <c r="W44" i="34"/>
  <c r="V44" i="34"/>
  <c r="K44" i="34"/>
  <c r="T45" i="35"/>
  <c r="L45" i="35"/>
  <c r="N45" i="35"/>
  <c r="O45" i="35"/>
  <c r="P45" i="35"/>
  <c r="Q45" i="35"/>
  <c r="AB45" i="35"/>
  <c r="AR45" i="35"/>
  <c r="AK45" i="35"/>
  <c r="AD45" i="35"/>
  <c r="AA45" i="35"/>
  <c r="AQ45" i="35"/>
  <c r="AF45" i="35"/>
  <c r="Y45" i="35"/>
  <c r="AO45" i="35"/>
  <c r="AH45" i="35"/>
  <c r="AE45" i="35"/>
  <c r="AJ45" i="35"/>
  <c r="AC45" i="35"/>
  <c r="AS45" i="35"/>
  <c r="AL45" i="35"/>
  <c r="AI45" i="35"/>
  <c r="X45" i="35"/>
  <c r="AN45" i="35"/>
  <c r="AG45" i="35"/>
  <c r="Z45" i="35"/>
  <c r="AP45" i="35"/>
  <c r="AM45" i="35"/>
  <c r="BE85" i="11"/>
  <c r="BE86" i="11"/>
  <c r="BE87" i="11"/>
  <c r="BB105" i="11"/>
  <c r="BB106" i="11"/>
  <c r="BC100" i="11"/>
  <c r="BC101" i="11"/>
  <c r="BC102" i="11"/>
  <c r="BA107" i="11"/>
  <c r="BF84" i="11"/>
  <c r="BG30" i="11"/>
  <c r="BD99" i="11"/>
  <c r="BE36" i="11"/>
  <c r="BD38" i="11"/>
  <c r="BC104" i="11"/>
  <c r="BC134" i="10"/>
  <c r="BD50" i="10"/>
  <c r="BB135" i="10"/>
  <c r="BB136" i="10"/>
  <c r="BB137" i="10"/>
  <c r="BB100" i="10"/>
  <c r="BB101" i="10"/>
  <c r="BB102" i="10"/>
  <c r="BD36" i="10"/>
  <c r="BC99" i="10"/>
  <c r="BA155" i="22"/>
  <c r="BA156" i="22"/>
  <c r="BA157" i="22"/>
  <c r="BB154" i="22"/>
  <c r="BC58" i="22"/>
  <c r="BB100" i="22"/>
  <c r="BB101" i="22"/>
  <c r="BB102" i="22"/>
  <c r="BB145" i="22"/>
  <c r="BB146" i="22"/>
  <c r="BB147" i="22"/>
  <c r="BB110" i="22"/>
  <c r="BB111" i="22"/>
  <c r="BB112" i="22"/>
  <c r="BD54" i="22"/>
  <c r="BC144" i="22"/>
  <c r="BD36" i="22"/>
  <c r="BC99" i="22"/>
  <c r="BC109" i="22"/>
  <c r="BD40" i="22"/>
  <c r="BD150" i="8"/>
  <c r="BD151" i="8"/>
  <c r="BD152" i="8"/>
  <c r="BF56" i="8"/>
  <c r="BE149" i="8"/>
  <c r="BB145" i="8"/>
  <c r="BB146" i="8"/>
  <c r="BB147" i="8"/>
  <c r="BC144" i="8"/>
  <c r="BD54" i="8"/>
  <c r="BA110" i="8"/>
  <c r="BA111" i="8"/>
  <c r="BA112" i="8"/>
  <c r="BB89" i="8"/>
  <c r="BC32" i="8"/>
  <c r="BC48" i="8"/>
  <c r="BB129" i="8"/>
  <c r="AZ85" i="8"/>
  <c r="AZ86" i="8"/>
  <c r="AZ87" i="8"/>
  <c r="BA90" i="8"/>
  <c r="BA91" i="8"/>
  <c r="BA92" i="8"/>
  <c r="BC40" i="8"/>
  <c r="BB109" i="8"/>
  <c r="BA140" i="8"/>
  <c r="BA141" i="8"/>
  <c r="BA142" i="8"/>
  <c r="BA84" i="8"/>
  <c r="BB30" i="8"/>
  <c r="BB139" i="8"/>
  <c r="BC52" i="8"/>
  <c r="BA130" i="8"/>
  <c r="BA131" i="8"/>
  <c r="BA132" i="8"/>
  <c r="BC54" i="7"/>
  <c r="BB144" i="7"/>
  <c r="BA145" i="7"/>
  <c r="BA146" i="7"/>
  <c r="BA147" i="7"/>
  <c r="BA140" i="7"/>
  <c r="BA141" i="7"/>
  <c r="BA142" i="7"/>
  <c r="BB139" i="7"/>
  <c r="BC52" i="7"/>
  <c r="BB134" i="7"/>
  <c r="BC50" i="7"/>
  <c r="BA135" i="7"/>
  <c r="BA136" i="7"/>
  <c r="BA137" i="7"/>
  <c r="BE46" i="7"/>
  <c r="BD124" i="7"/>
  <c r="BH90" i="7"/>
  <c r="BH91" i="7"/>
  <c r="BH92" i="7"/>
  <c r="BC125" i="7"/>
  <c r="BC126" i="7"/>
  <c r="BC127" i="7"/>
  <c r="BJ32" i="7"/>
  <c r="BI89" i="7"/>
  <c r="BD120" i="7"/>
  <c r="BD121" i="7"/>
  <c r="BD122" i="7"/>
  <c r="BF44" i="7"/>
  <c r="BE119" i="7"/>
  <c r="BB163" i="6"/>
  <c r="BC56" i="6"/>
  <c r="BA164" i="6"/>
  <c r="BA165" i="6"/>
  <c r="BA166" i="6"/>
  <c r="BA159" i="6"/>
  <c r="BA160" i="6"/>
  <c r="BA161" i="6"/>
  <c r="BB158" i="6"/>
  <c r="BC54" i="6"/>
  <c r="BA154" i="6"/>
  <c r="BA155" i="6"/>
  <c r="BA156" i="6"/>
  <c r="BB153" i="6"/>
  <c r="BC52" i="6"/>
  <c r="BA149" i="6"/>
  <c r="BA150" i="6"/>
  <c r="BA151" i="6"/>
  <c r="BB148" i="6"/>
  <c r="BC50" i="6"/>
  <c r="BA144" i="6"/>
  <c r="BA145" i="6"/>
  <c r="BA146" i="6"/>
  <c r="BB143" i="6"/>
  <c r="BC48" i="6"/>
  <c r="BD60" i="9"/>
  <c r="BC159" i="9"/>
  <c r="BB160" i="9"/>
  <c r="BB161" i="9"/>
  <c r="BB162" i="9"/>
  <c r="BB154" i="9"/>
  <c r="BC58" i="9"/>
  <c r="BA155" i="9"/>
  <c r="BA156" i="9"/>
  <c r="BA157" i="9"/>
  <c r="BC99" i="9"/>
  <c r="BD36" i="9"/>
  <c r="BB110" i="9"/>
  <c r="BB111" i="9"/>
  <c r="BB112" i="9"/>
  <c r="BB100" i="9"/>
  <c r="BB101" i="9"/>
  <c r="BB102" i="9"/>
  <c r="BC109" i="9"/>
  <c r="BD40" i="9"/>
  <c r="BA167" i="1"/>
  <c r="BA168" i="1"/>
  <c r="BA169" i="1"/>
  <c r="BB166" i="1"/>
  <c r="BC62" i="1"/>
  <c r="BB126" i="1"/>
  <c r="BC46" i="1"/>
  <c r="BA127" i="1"/>
  <c r="BA128" i="1"/>
  <c r="BA129" i="1"/>
  <c r="BA147" i="1"/>
  <c r="BA148" i="1"/>
  <c r="BA149" i="1"/>
  <c r="BB146" i="1"/>
  <c r="BC54" i="1"/>
  <c r="BC122" i="1"/>
  <c r="BC123" i="1"/>
  <c r="BC124" i="1"/>
  <c r="BD121" i="1"/>
  <c r="BE44" i="1"/>
  <c r="BC38" i="1"/>
  <c r="BB106" i="1"/>
  <c r="BC112" i="1"/>
  <c r="BC113" i="1"/>
  <c r="BC114" i="1"/>
  <c r="BC102" i="1"/>
  <c r="BC103" i="1"/>
  <c r="BC104" i="1"/>
  <c r="BE40" i="1"/>
  <c r="BD111" i="1"/>
  <c r="BA107" i="1"/>
  <c r="BA108" i="1"/>
  <c r="BA109" i="1"/>
  <c r="BD101" i="1"/>
  <c r="BE36" i="1"/>
  <c r="BD48" i="7"/>
  <c r="BC129" i="7"/>
  <c r="BC130" i="7"/>
  <c r="BC131" i="7"/>
  <c r="BC132" i="7"/>
  <c r="AF41" i="30"/>
  <c r="AB41" i="30"/>
  <c r="AH41" i="30"/>
  <c r="U41" i="41"/>
  <c r="K41" i="41"/>
  <c r="T41" i="41"/>
  <c r="AB59" i="11"/>
  <c r="AC229" i="11"/>
  <c r="BX178" i="2"/>
  <c r="BW57" i="2"/>
  <c r="BS237" i="9"/>
  <c r="BR75" i="9"/>
  <c r="AC41" i="30"/>
  <c r="AD41" i="30"/>
  <c r="AN41" i="30"/>
  <c r="AA41" i="30"/>
  <c r="K41" i="30"/>
  <c r="AG41" i="30"/>
  <c r="X41" i="30"/>
  <c r="AM41" i="30"/>
  <c r="AJ41" i="30"/>
  <c r="AI41" i="30"/>
  <c r="AK41" i="30"/>
  <c r="Y41" i="30"/>
  <c r="Q47" i="41"/>
  <c r="P48" i="41"/>
  <c r="BW197" i="10"/>
  <c r="BF192" i="8"/>
  <c r="BA202" i="22"/>
  <c r="BA167" i="9"/>
  <c r="BK207" i="22"/>
  <c r="BE127" i="11"/>
  <c r="BH187" i="22"/>
  <c r="BJ172" i="9"/>
  <c r="BA202" i="11"/>
  <c r="BJ207" i="9"/>
  <c r="BL177" i="10"/>
  <c r="CB172" i="10"/>
  <c r="CB232" i="10"/>
  <c r="BS182" i="8"/>
  <c r="BF162" i="7"/>
  <c r="BA187" i="8"/>
  <c r="BX177" i="22"/>
  <c r="BN157" i="8"/>
  <c r="BA207" i="8"/>
  <c r="BU147" i="10"/>
  <c r="BP187" i="10"/>
  <c r="BG167" i="8"/>
  <c r="BS264" i="40"/>
  <c r="BS265" i="40"/>
  <c r="BS266" i="40"/>
  <c r="BS267" i="40"/>
  <c r="BT100" i="40"/>
  <c r="BR245" i="40"/>
  <c r="BR246" i="40"/>
  <c r="BR247" i="40"/>
  <c r="BR265" i="40"/>
  <c r="BR266" i="40"/>
  <c r="BR267" i="40"/>
  <c r="BR285" i="40"/>
  <c r="BR286" i="40"/>
  <c r="BR287" i="40"/>
  <c r="BS244" i="40"/>
  <c r="BT92" i="40"/>
  <c r="BS284" i="40"/>
  <c r="BT108" i="40"/>
  <c r="BS249" i="40"/>
  <c r="BT94" i="40"/>
  <c r="BS289" i="40"/>
  <c r="BT110" i="40"/>
  <c r="BS269" i="40"/>
  <c r="BS270" i="40"/>
  <c r="BS271" i="40"/>
  <c r="BS272" i="40"/>
  <c r="BT102" i="40"/>
  <c r="BZ260" i="40"/>
  <c r="BZ261" i="40"/>
  <c r="BZ262" i="40"/>
  <c r="BR250" i="40"/>
  <c r="BR251" i="40"/>
  <c r="BR252" i="40"/>
  <c r="BR290" i="40"/>
  <c r="BR291" i="40"/>
  <c r="BR292" i="40"/>
  <c r="BR270" i="40"/>
  <c r="BR271" i="40"/>
  <c r="BR272" i="40"/>
  <c r="BZ96" i="40"/>
  <c r="BZ254" i="40"/>
  <c r="BZ255" i="40"/>
  <c r="BZ256" i="40"/>
  <c r="BZ257" i="40"/>
  <c r="CA98" i="40"/>
  <c r="CA259" i="40"/>
  <c r="BY106" i="40"/>
  <c r="BY279" i="40"/>
  <c r="BY280" i="40"/>
  <c r="BY281" i="40"/>
  <c r="BY282" i="40"/>
  <c r="BZ104" i="40"/>
  <c r="BZ274" i="40"/>
  <c r="BV90" i="40"/>
  <c r="BR125" i="40"/>
  <c r="BR126" i="40"/>
  <c r="BR127" i="40"/>
  <c r="BU84" i="40"/>
  <c r="BT224" i="40"/>
  <c r="BR220" i="40"/>
  <c r="BR221" i="40"/>
  <c r="BT58" i="40"/>
  <c r="BS159" i="40"/>
  <c r="BU60" i="40"/>
  <c r="BT164" i="40"/>
  <c r="BS180" i="40"/>
  <c r="BS181" i="40"/>
  <c r="BS182" i="40"/>
  <c r="BU88" i="40"/>
  <c r="BT234" i="40"/>
  <c r="BR135" i="40"/>
  <c r="BR136" i="40"/>
  <c r="BR137" i="40"/>
  <c r="BU50" i="40"/>
  <c r="BT139" i="40"/>
  <c r="BU40" i="40"/>
  <c r="BT114" i="40"/>
  <c r="BR230" i="40"/>
  <c r="BR231" i="40"/>
  <c r="BV68" i="40"/>
  <c r="BU184" i="40"/>
  <c r="BT42" i="40"/>
  <c r="BS119" i="40"/>
  <c r="BR150" i="40"/>
  <c r="BR151" i="40"/>
  <c r="BR152" i="40"/>
  <c r="BQ232" i="40"/>
  <c r="BR237" i="40"/>
  <c r="BT78" i="40"/>
  <c r="BS209" i="40"/>
  <c r="BT62" i="40"/>
  <c r="BS169" i="40"/>
  <c r="BT44" i="40"/>
  <c r="BS124" i="40"/>
  <c r="BR155" i="40"/>
  <c r="BR156" i="40"/>
  <c r="BT82" i="40"/>
  <c r="BS219" i="40"/>
  <c r="BT195" i="40"/>
  <c r="BT196" i="40"/>
  <c r="BT197" i="40"/>
  <c r="BQ172" i="40"/>
  <c r="BS215" i="40"/>
  <c r="BS216" i="40"/>
  <c r="BS217" i="40"/>
  <c r="BR130" i="40"/>
  <c r="BR131" i="40"/>
  <c r="BR132" i="40"/>
  <c r="BT86" i="40"/>
  <c r="BS229" i="40"/>
  <c r="BQ162" i="40"/>
  <c r="BS205" i="40"/>
  <c r="BS206" i="40"/>
  <c r="BS207" i="40"/>
  <c r="BT52" i="40"/>
  <c r="BS144" i="40"/>
  <c r="BT70" i="40"/>
  <c r="BS189" i="40"/>
  <c r="BT175" i="40"/>
  <c r="BT176" i="40"/>
  <c r="BR240" i="40"/>
  <c r="BR241" i="40"/>
  <c r="BR242" i="40"/>
  <c r="BV72" i="40"/>
  <c r="BU194" i="40"/>
  <c r="BU80" i="40"/>
  <c r="BT214" i="40"/>
  <c r="BU66" i="40"/>
  <c r="BT179" i="40"/>
  <c r="BT48" i="40"/>
  <c r="BS134" i="40"/>
  <c r="BS115" i="40"/>
  <c r="BS116" i="40"/>
  <c r="BS117" i="40"/>
  <c r="BT46" i="40"/>
  <c r="BS129" i="40"/>
  <c r="BR120" i="40"/>
  <c r="BR121" i="40"/>
  <c r="BR122" i="40"/>
  <c r="BU76" i="40"/>
  <c r="BT204" i="40"/>
  <c r="BT54" i="40"/>
  <c r="BS149" i="40"/>
  <c r="BR210" i="40"/>
  <c r="BR211" i="40"/>
  <c r="BR212" i="40"/>
  <c r="BR170" i="40"/>
  <c r="BR171" i="40"/>
  <c r="BT74" i="40"/>
  <c r="BS199" i="40"/>
  <c r="BV64" i="40"/>
  <c r="BU174" i="40"/>
  <c r="BQ212" i="40"/>
  <c r="BR182" i="40"/>
  <c r="BR190" i="40"/>
  <c r="BR191" i="40"/>
  <c r="BR200" i="40"/>
  <c r="BR201" i="40"/>
  <c r="BR207" i="40"/>
  <c r="BS225" i="40"/>
  <c r="BS226" i="40"/>
  <c r="BS239" i="40"/>
  <c r="BT56" i="40"/>
  <c r="BS154" i="40"/>
  <c r="BQ192" i="40"/>
  <c r="BR160" i="40"/>
  <c r="BR161" i="40"/>
  <c r="BR162" i="40"/>
  <c r="BS165" i="40"/>
  <c r="BS166" i="40"/>
  <c r="BS235" i="40"/>
  <c r="BS236" i="40"/>
  <c r="BQ242" i="40"/>
  <c r="BQ157" i="40"/>
  <c r="BS140" i="40"/>
  <c r="BS141" i="40"/>
  <c r="BS142" i="40"/>
  <c r="BS197" i="40"/>
  <c r="BT185" i="40"/>
  <c r="BT186" i="40"/>
  <c r="BR145" i="40"/>
  <c r="BR146" i="40"/>
  <c r="BR147" i="40"/>
  <c r="BR227" i="40"/>
  <c r="BF207" i="11"/>
  <c r="BB152" i="11"/>
  <c r="BB175" i="7"/>
  <c r="BB176" i="7"/>
  <c r="CB210" i="10"/>
  <c r="CB211" i="10"/>
  <c r="BJ62" i="8"/>
  <c r="BI164" i="8"/>
  <c r="BH46" i="11"/>
  <c r="BG124" i="11"/>
  <c r="BN174" i="10"/>
  <c r="BO66" i="10"/>
  <c r="BK78" i="7"/>
  <c r="BJ204" i="7"/>
  <c r="BD50" i="11"/>
  <c r="BC134" i="11"/>
  <c r="BG205" i="11"/>
  <c r="BG206" i="11"/>
  <c r="BT74" i="11"/>
  <c r="BS194" i="11"/>
  <c r="BD78" i="8"/>
  <c r="BC204" i="8"/>
  <c r="BV145" i="10"/>
  <c r="BV146" i="10"/>
  <c r="BC150" i="11"/>
  <c r="BC151" i="11"/>
  <c r="BL205" i="22"/>
  <c r="BL206" i="22"/>
  <c r="BO156" i="8"/>
  <c r="BO155" i="8"/>
  <c r="BM189" i="22"/>
  <c r="BN72" i="22"/>
  <c r="BM78" i="9"/>
  <c r="BL204" i="9"/>
  <c r="AK81" i="8"/>
  <c r="AL240" i="8"/>
  <c r="BE76" i="7"/>
  <c r="BD199" i="7"/>
  <c r="BJ166" i="22"/>
  <c r="BJ165" i="22"/>
  <c r="BD60" i="10"/>
  <c r="BC159" i="10"/>
  <c r="BX65" i="10"/>
  <c r="BY232" i="10"/>
  <c r="BB201" i="11"/>
  <c r="BB200" i="11"/>
  <c r="BI185" i="22"/>
  <c r="BI186" i="22"/>
  <c r="BB201" i="22"/>
  <c r="BB200" i="22"/>
  <c r="BB165" i="9"/>
  <c r="BB166" i="9"/>
  <c r="BZ174" i="22"/>
  <c r="CA66" i="22"/>
  <c r="BF125" i="11"/>
  <c r="BF126" i="11"/>
  <c r="AN61" i="11"/>
  <c r="AO230" i="11"/>
  <c r="BC149" i="22"/>
  <c r="BC150" i="22"/>
  <c r="BC151" i="22"/>
  <c r="BC152" i="22"/>
  <c r="BD56" i="22"/>
  <c r="BI206" i="7"/>
  <c r="BI205" i="7"/>
  <c r="BA177" i="7"/>
  <c r="BE155" i="7"/>
  <c r="BE156" i="7"/>
  <c r="BI78" i="11"/>
  <c r="BH204" i="11"/>
  <c r="BW144" i="10"/>
  <c r="BX54" i="10"/>
  <c r="BH207" i="7"/>
  <c r="BA137" i="11"/>
  <c r="BQ58" i="8"/>
  <c r="BP154" i="8"/>
  <c r="BQ197" i="11"/>
  <c r="BL191" i="22"/>
  <c r="BL190" i="22"/>
  <c r="BP62" i="10"/>
  <c r="BO164" i="10"/>
  <c r="BG160" i="7"/>
  <c r="BG161" i="7"/>
  <c r="BD76" i="11"/>
  <c r="BC199" i="11"/>
  <c r="BK70" i="22"/>
  <c r="BJ184" i="22"/>
  <c r="BK171" i="9"/>
  <c r="BK170" i="9"/>
  <c r="BX182" i="9"/>
  <c r="BV182" i="22"/>
  <c r="BU177" i="8"/>
  <c r="BU212" i="11"/>
  <c r="BZ187" i="9"/>
  <c r="BR192" i="11"/>
  <c r="BC199" i="22"/>
  <c r="BD76" i="22"/>
  <c r="BB202" i="7"/>
  <c r="BD62" i="9"/>
  <c r="BC164" i="9"/>
  <c r="BI167" i="22"/>
  <c r="BY175" i="22"/>
  <c r="BY176" i="22"/>
  <c r="BW59" i="10"/>
  <c r="BX229" i="10"/>
  <c r="BC138" i="6"/>
  <c r="BC139" i="6"/>
  <c r="BC140" i="6"/>
  <c r="BC141" i="6"/>
  <c r="BD46" i="6"/>
  <c r="CA212" i="10"/>
  <c r="CA240" i="10"/>
  <c r="BG58" i="7"/>
  <c r="BF154" i="7"/>
  <c r="BS70" i="10"/>
  <c r="BR184" i="10"/>
  <c r="BD157" i="7"/>
  <c r="BA162" i="10"/>
  <c r="BB185" i="8"/>
  <c r="BB186" i="8"/>
  <c r="BC199" i="10"/>
  <c r="BD76" i="10"/>
  <c r="BN166" i="10"/>
  <c r="BN165" i="10"/>
  <c r="BY233" i="9"/>
  <c r="BX67" i="9"/>
  <c r="BD68" i="10"/>
  <c r="BC179" i="10"/>
  <c r="AH55" i="11"/>
  <c r="AI227" i="11"/>
  <c r="BI60" i="7"/>
  <c r="BH159" i="7"/>
  <c r="BK192" i="22"/>
  <c r="BM64" i="9"/>
  <c r="BL169" i="9"/>
  <c r="BC174" i="7"/>
  <c r="BD66" i="7"/>
  <c r="BY240" i="10"/>
  <c r="BX81" i="10"/>
  <c r="BH165" i="8"/>
  <c r="BH166" i="8"/>
  <c r="BA182" i="10"/>
  <c r="BZ240" i="10"/>
  <c r="BM175" i="10"/>
  <c r="BM176" i="10"/>
  <c r="BB135" i="11"/>
  <c r="BB136" i="11"/>
  <c r="BR195" i="11"/>
  <c r="BR196" i="11"/>
  <c r="BB205" i="8"/>
  <c r="BB206" i="8"/>
  <c r="BQ185" i="10"/>
  <c r="BQ186" i="10"/>
  <c r="BD149" i="11"/>
  <c r="BE56" i="11"/>
  <c r="BN78" i="22"/>
  <c r="BM204" i="22"/>
  <c r="BC184" i="8"/>
  <c r="BD70" i="8"/>
  <c r="BB201" i="10"/>
  <c r="BB200" i="10"/>
  <c r="BK206" i="9"/>
  <c r="BK205" i="9"/>
  <c r="BC201" i="7"/>
  <c r="BC200" i="7"/>
  <c r="BL62" i="22"/>
  <c r="BK164" i="22"/>
  <c r="BB181" i="10"/>
  <c r="BB180" i="10"/>
  <c r="BB161" i="10"/>
  <c r="BB160" i="10"/>
  <c r="BA202" i="10"/>
  <c r="BM167" i="10"/>
  <c r="CB177" i="9"/>
  <c r="CB233" i="9"/>
  <c r="L49" i="31"/>
  <c r="N49" i="31"/>
  <c r="O49" i="31"/>
  <c r="P49" i="31"/>
  <c r="T49" i="31"/>
  <c r="AE49" i="31"/>
  <c r="AF49" i="31"/>
  <c r="AN49" i="31"/>
  <c r="Z49" i="31"/>
  <c r="Y49" i="31"/>
  <c r="X49" i="31"/>
  <c r="AI49" i="31"/>
  <c r="AU49" i="31"/>
  <c r="AC49" i="31"/>
  <c r="AD49" i="31"/>
  <c r="AH49" i="31"/>
  <c r="AG49" i="31"/>
  <c r="AM49" i="31"/>
  <c r="AT49" i="31"/>
  <c r="AB49" i="31"/>
  <c r="AR49" i="31"/>
  <c r="AV49" i="31"/>
  <c r="AQ49" i="31"/>
  <c r="AL49" i="31"/>
  <c r="AJ49" i="31"/>
  <c r="AP49" i="31"/>
  <c r="AW49" i="31"/>
  <c r="AA49" i="31"/>
  <c r="AO49" i="31"/>
  <c r="AS49" i="31"/>
  <c r="AK49" i="31"/>
  <c r="BF40" i="11"/>
  <c r="BE109" i="11"/>
  <c r="BE110" i="11"/>
  <c r="BE111" i="11"/>
  <c r="BE112" i="11"/>
  <c r="BD48" i="10"/>
  <c r="BC129" i="10"/>
  <c r="BC130" i="10"/>
  <c r="BC131" i="10"/>
  <c r="BC132" i="10"/>
  <c r="BC84" i="10"/>
  <c r="BC85" i="10"/>
  <c r="BC86" i="10"/>
  <c r="BC87" i="10"/>
  <c r="BD30" i="10"/>
  <c r="BE44" i="10"/>
  <c r="BD119" i="10"/>
  <c r="BD120" i="10"/>
  <c r="BD121" i="10"/>
  <c r="BD122" i="10"/>
  <c r="BD34" i="10"/>
  <c r="BC94" i="10"/>
  <c r="BC95" i="10"/>
  <c r="BC96" i="10"/>
  <c r="BC97" i="10"/>
  <c r="BD46" i="10"/>
  <c r="BC124" i="10"/>
  <c r="BC125" i="10"/>
  <c r="BC126" i="10"/>
  <c r="BC127" i="10"/>
  <c r="BD32" i="10"/>
  <c r="BC89" i="10"/>
  <c r="BC90" i="10"/>
  <c r="BC91" i="10"/>
  <c r="BC92" i="10"/>
  <c r="BD42" i="10"/>
  <c r="BC114" i="10"/>
  <c r="BC115" i="10"/>
  <c r="BC116" i="10"/>
  <c r="BC117" i="10"/>
  <c r="BC139" i="10"/>
  <c r="BC140" i="10"/>
  <c r="BC141" i="10"/>
  <c r="BC142" i="10"/>
  <c r="BD52" i="10"/>
  <c r="BC104" i="10"/>
  <c r="BC105" i="10"/>
  <c r="BC106" i="10"/>
  <c r="BC107" i="10"/>
  <c r="BD38" i="10"/>
  <c r="BD40" i="10"/>
  <c r="BC109" i="10"/>
  <c r="BC110" i="10"/>
  <c r="BC111" i="10"/>
  <c r="BC112" i="10"/>
  <c r="BD50" i="22"/>
  <c r="BC134" i="22"/>
  <c r="BC135" i="22"/>
  <c r="BC136" i="22"/>
  <c r="BC137" i="22"/>
  <c r="BE52" i="22"/>
  <c r="BD139" i="22"/>
  <c r="BD140" i="22"/>
  <c r="BD141" i="22"/>
  <c r="BD142" i="22"/>
  <c r="BC114" i="22"/>
  <c r="BC115" i="22"/>
  <c r="BC116" i="22"/>
  <c r="BC117" i="22"/>
  <c r="BD42" i="22"/>
  <c r="BD124" i="22"/>
  <c r="BD125" i="22"/>
  <c r="BD126" i="22"/>
  <c r="BD127" i="22"/>
  <c r="BE46" i="22"/>
  <c r="BD46" i="8"/>
  <c r="BC124" i="8"/>
  <c r="BC125" i="8"/>
  <c r="BC126" i="8"/>
  <c r="BC127" i="8"/>
  <c r="BD134" i="8"/>
  <c r="BD135" i="8"/>
  <c r="BD136" i="8"/>
  <c r="BD137" i="8"/>
  <c r="BE50" i="8"/>
  <c r="CB212" i="9"/>
  <c r="CB240" i="9"/>
  <c r="CB132" i="11"/>
  <c r="CB224" i="11"/>
  <c r="BS202" i="8"/>
  <c r="BQ162" i="8"/>
  <c r="BC189" i="9"/>
  <c r="BD72" i="9"/>
  <c r="BT60" i="8"/>
  <c r="BS159" i="8"/>
  <c r="A59" i="2"/>
  <c r="A179" i="2"/>
  <c r="BW179" i="2"/>
  <c r="CB80" i="7"/>
  <c r="CA209" i="7"/>
  <c r="CB71" i="9"/>
  <c r="CA71" i="9"/>
  <c r="BZ71" i="9"/>
  <c r="BY71" i="9"/>
  <c r="BX71" i="9"/>
  <c r="CB184" i="9"/>
  <c r="BV197" i="7"/>
  <c r="BW197" i="8"/>
  <c r="BC199" i="9"/>
  <c r="BD76" i="9"/>
  <c r="BC89" i="22"/>
  <c r="BC90" i="22"/>
  <c r="BC91" i="22"/>
  <c r="BC92" i="22"/>
  <c r="BD32" i="22"/>
  <c r="AA73" i="7"/>
  <c r="AB236" i="7"/>
  <c r="BV49" i="11"/>
  <c r="BW224" i="11"/>
  <c r="AV56" i="2"/>
  <c r="AW177" i="2"/>
  <c r="AD56" i="2"/>
  <c r="AE177" i="2"/>
  <c r="BV187" i="7"/>
  <c r="AK65" i="11"/>
  <c r="AL232" i="11"/>
  <c r="BB190" i="9"/>
  <c r="BB191" i="9"/>
  <c r="BY180" i="9"/>
  <c r="BY181" i="9"/>
  <c r="BR160" i="8"/>
  <c r="BR161" i="8"/>
  <c r="BY70" i="7"/>
  <c r="BX184" i="7"/>
  <c r="BZ205" i="10"/>
  <c r="BZ206" i="10"/>
  <c r="CA80" i="22"/>
  <c r="BZ209" i="22"/>
  <c r="CA170" i="22"/>
  <c r="CA171" i="22"/>
  <c r="BY194" i="10"/>
  <c r="BZ74" i="10"/>
  <c r="BT177" i="11"/>
  <c r="BY74" i="7"/>
  <c r="BX194" i="7"/>
  <c r="BX212" i="22"/>
  <c r="AD178" i="2"/>
  <c r="C178" i="2"/>
  <c r="AM178" i="2"/>
  <c r="BN178" i="2"/>
  <c r="AV178" i="2"/>
  <c r="BE178" i="2"/>
  <c r="L178" i="2"/>
  <c r="U178" i="2"/>
  <c r="BZ210" i="7"/>
  <c r="BZ211" i="7"/>
  <c r="BV68" i="8"/>
  <c r="BU179" i="8"/>
  <c r="BW180" i="22"/>
  <c r="BW181" i="22"/>
  <c r="BX196" i="22"/>
  <c r="BX195" i="22"/>
  <c r="BE56" i="2"/>
  <c r="CF56" i="2"/>
  <c r="BF177" i="2"/>
  <c r="BZ74" i="22"/>
  <c r="BY194" i="22"/>
  <c r="BX60" i="22"/>
  <c r="BW159" i="22"/>
  <c r="BK65" i="7"/>
  <c r="BL232" i="7"/>
  <c r="BU175" i="11"/>
  <c r="BU176" i="11"/>
  <c r="BX66" i="8"/>
  <c r="BW174" i="8"/>
  <c r="BV211" i="11"/>
  <c r="BV210" i="11"/>
  <c r="BZ172" i="22"/>
  <c r="AO63" i="11"/>
  <c r="AP231" i="11"/>
  <c r="BN56" i="2"/>
  <c r="BO177" i="2"/>
  <c r="AM56" i="2"/>
  <c r="AN177" i="2"/>
  <c r="BU162" i="22"/>
  <c r="BV76" i="8"/>
  <c r="BU199" i="8"/>
  <c r="BZ152" i="10"/>
  <c r="BZ179" i="9"/>
  <c r="CA68" i="9"/>
  <c r="BX195" i="8"/>
  <c r="BX196" i="8"/>
  <c r="BW197" i="22"/>
  <c r="CA151" i="10"/>
  <c r="CA150" i="10"/>
  <c r="BU69" i="7"/>
  <c r="BV234" i="7"/>
  <c r="BY207" i="10"/>
  <c r="AC65" i="8"/>
  <c r="AD232" i="8"/>
  <c r="CB65" i="22"/>
  <c r="CA65" i="22"/>
  <c r="BZ65" i="22"/>
  <c r="BY65" i="22"/>
  <c r="CB169" i="22"/>
  <c r="BG190" i="8"/>
  <c r="BG191" i="8"/>
  <c r="BR53" i="11"/>
  <c r="BS226" i="11"/>
  <c r="BA202" i="9"/>
  <c r="BA192" i="9"/>
  <c r="CA185" i="9"/>
  <c r="CA186" i="9"/>
  <c r="BT189" i="11"/>
  <c r="BU72" i="11"/>
  <c r="AP69" i="11"/>
  <c r="AQ234" i="11"/>
  <c r="C56" i="2"/>
  <c r="D177" i="2"/>
  <c r="BT200" i="8"/>
  <c r="BT201" i="8"/>
  <c r="BW185" i="7"/>
  <c r="BW186" i="7"/>
  <c r="CB149" i="10"/>
  <c r="CB57" i="10"/>
  <c r="CA57" i="10"/>
  <c r="BZ57" i="10"/>
  <c r="BY57" i="10"/>
  <c r="BX57" i="10"/>
  <c r="BQ73" i="10"/>
  <c r="BR236" i="10"/>
  <c r="BW81" i="9"/>
  <c r="BX240" i="9"/>
  <c r="BS190" i="11"/>
  <c r="BS191" i="11"/>
  <c r="BV160" i="22"/>
  <c r="BV161" i="22"/>
  <c r="BV174" i="11"/>
  <c r="BW66" i="11"/>
  <c r="BV175" i="8"/>
  <c r="BV176" i="8"/>
  <c r="BB200" i="9"/>
  <c r="BB201" i="9"/>
  <c r="BX80" i="11"/>
  <c r="BW209" i="11"/>
  <c r="M177" i="2"/>
  <c r="L56" i="2"/>
  <c r="U56" i="2"/>
  <c r="V177" i="2"/>
  <c r="BZ74" i="8"/>
  <c r="BY194" i="8"/>
  <c r="CB78" i="10"/>
  <c r="CA204" i="10"/>
  <c r="BY211" i="22"/>
  <c r="BY210" i="22"/>
  <c r="BN31" i="22"/>
  <c r="BO215" i="22"/>
  <c r="BX195" i="10"/>
  <c r="BX196" i="10"/>
  <c r="BI72" i="8"/>
  <c r="BH189" i="8"/>
  <c r="BW195" i="7"/>
  <c r="BW196" i="7"/>
  <c r="BT180" i="8"/>
  <c r="BT181" i="8"/>
  <c r="BY68" i="22"/>
  <c r="BX179" i="22"/>
  <c r="BY212" i="7"/>
  <c r="U42" i="30"/>
  <c r="BI167" i="7"/>
  <c r="BC119" i="8"/>
  <c r="BC120" i="8"/>
  <c r="BC121" i="8"/>
  <c r="BC122" i="8"/>
  <c r="BD44" i="8"/>
  <c r="BC114" i="8"/>
  <c r="BD42" i="8"/>
  <c r="BI34" i="8"/>
  <c r="BH94" i="8"/>
  <c r="BH95" i="8"/>
  <c r="BH96" i="8"/>
  <c r="BH97" i="8"/>
  <c r="BC89" i="11"/>
  <c r="BC90" i="11"/>
  <c r="BC91" i="11"/>
  <c r="BC92" i="11"/>
  <c r="BD32" i="11"/>
  <c r="BL62" i="7"/>
  <c r="BK164" i="7"/>
  <c r="BJ165" i="7"/>
  <c r="BJ166" i="7"/>
  <c r="BD52" i="9"/>
  <c r="BC139" i="9"/>
  <c r="BC140" i="9"/>
  <c r="BC141" i="9"/>
  <c r="BC142" i="9"/>
  <c r="BD84" i="9"/>
  <c r="BD85" i="9"/>
  <c r="BD86" i="9"/>
  <c r="BD87" i="9"/>
  <c r="BE30" i="9"/>
  <c r="BE86" i="1"/>
  <c r="BE87" i="1"/>
  <c r="BE88" i="1"/>
  <c r="BE89" i="1"/>
  <c r="BF30" i="1"/>
  <c r="BD48" i="1"/>
  <c r="BC131" i="1"/>
  <c r="BC132" i="1"/>
  <c r="BC133" i="1"/>
  <c r="BC134" i="1"/>
  <c r="BC96" i="1"/>
  <c r="BC97" i="1"/>
  <c r="BC98" i="1"/>
  <c r="BC99" i="1"/>
  <c r="BD34" i="1"/>
  <c r="BD68" i="1"/>
  <c r="BC181" i="1"/>
  <c r="BC182" i="1"/>
  <c r="BC183" i="1"/>
  <c r="BC184" i="1"/>
  <c r="BB172" i="1"/>
  <c r="BB173" i="1"/>
  <c r="BB174" i="1"/>
  <c r="BC141" i="1"/>
  <c r="BC142" i="1"/>
  <c r="BC143" i="1"/>
  <c r="BC144" i="1"/>
  <c r="BD52" i="1"/>
  <c r="BD58" i="1"/>
  <c r="BC156" i="1"/>
  <c r="BC157" i="1"/>
  <c r="BC158" i="1"/>
  <c r="BC159" i="1"/>
  <c r="BF32" i="1"/>
  <c r="BE91" i="1"/>
  <c r="BE92" i="1"/>
  <c r="BE93" i="1"/>
  <c r="BE94" i="1"/>
  <c r="BD64" i="1"/>
  <c r="BC171" i="1"/>
  <c r="BC172" i="1"/>
  <c r="BC173" i="1"/>
  <c r="BC174" i="1"/>
  <c r="BD50" i="1"/>
  <c r="BC136" i="1"/>
  <c r="U47" i="33"/>
  <c r="BC219" i="1"/>
  <c r="BD119" i="22"/>
  <c r="BD120" i="22"/>
  <c r="BD121" i="22"/>
  <c r="BD122" i="22"/>
  <c r="BE44" i="22"/>
  <c r="BA97" i="7"/>
  <c r="BB102" i="7"/>
  <c r="BE42" i="6"/>
  <c r="BD128" i="6"/>
  <c r="BD129" i="6"/>
  <c r="BD130" i="6"/>
  <c r="BD131" i="6"/>
  <c r="BC133" i="6"/>
  <c r="BC134" i="6"/>
  <c r="BC135" i="6"/>
  <c r="BC136" i="6"/>
  <c r="BD44" i="6"/>
  <c r="BE30" i="6"/>
  <c r="BD98" i="6"/>
  <c r="BD99" i="6"/>
  <c r="BD100" i="6"/>
  <c r="BD101" i="6"/>
  <c r="BD26" i="6"/>
  <c r="BC88" i="6"/>
  <c r="BC89" i="6"/>
  <c r="BC90" i="6"/>
  <c r="BC91" i="6"/>
  <c r="BC123" i="6"/>
  <c r="BC124" i="6"/>
  <c r="BC125" i="6"/>
  <c r="BC126" i="6"/>
  <c r="BD40" i="6"/>
  <c r="BA111" i="6"/>
  <c r="BC78" i="6"/>
  <c r="BC79" i="6"/>
  <c r="BC80" i="6"/>
  <c r="BC81" i="6"/>
  <c r="BD22" i="6"/>
  <c r="BD32" i="6"/>
  <c r="BC103" i="6"/>
  <c r="BC104" i="6"/>
  <c r="BC105" i="6"/>
  <c r="BC106" i="6"/>
  <c r="BD24" i="6"/>
  <c r="BC83" i="6"/>
  <c r="BC84" i="6"/>
  <c r="BC85" i="6"/>
  <c r="BC86" i="6"/>
  <c r="BC108" i="6"/>
  <c r="BC109" i="6"/>
  <c r="BC110" i="6"/>
  <c r="BC111" i="6"/>
  <c r="BD34" i="6"/>
  <c r="BD28" i="6"/>
  <c r="BC93" i="6"/>
  <c r="BC94" i="6"/>
  <c r="BC95" i="6"/>
  <c r="BC96" i="6"/>
  <c r="BD36" i="6"/>
  <c r="BC113" i="6"/>
  <c r="BC114" i="6"/>
  <c r="BC115" i="6"/>
  <c r="BC116" i="6"/>
  <c r="BA199" i="1"/>
  <c r="BD218" i="1"/>
  <c r="BD217" i="1"/>
  <c r="BG80" i="1"/>
  <c r="BF211" i="1"/>
  <c r="BD42" i="1"/>
  <c r="BC116" i="1"/>
  <c r="BC117" i="1"/>
  <c r="BC118" i="1"/>
  <c r="BC119" i="1"/>
  <c r="BF82" i="1"/>
  <c r="BE216" i="1"/>
  <c r="BG117" i="11"/>
  <c r="BA189" i="1"/>
  <c r="BC204" i="1"/>
  <c r="BA97" i="22"/>
  <c r="BG104" i="8"/>
  <c r="BG105" i="8"/>
  <c r="BG106" i="8"/>
  <c r="BG107" i="8"/>
  <c r="BH38" i="8"/>
  <c r="BD99" i="8"/>
  <c r="BD100" i="8"/>
  <c r="BD101" i="8"/>
  <c r="BD102" i="8"/>
  <c r="BE36" i="8"/>
  <c r="BC120" i="11"/>
  <c r="BC121" i="11"/>
  <c r="BC122" i="11"/>
  <c r="BE44" i="11"/>
  <c r="BD119" i="11"/>
  <c r="BC92" i="9"/>
  <c r="W46" i="36"/>
  <c r="V46" i="36"/>
  <c r="K46" i="36"/>
  <c r="R46" i="32"/>
  <c r="R45" i="32"/>
  <c r="W47" i="32"/>
  <c r="V47" i="32"/>
  <c r="K47" i="32"/>
  <c r="L47" i="32"/>
  <c r="N47" i="32"/>
  <c r="O47" i="32"/>
  <c r="P47" i="32"/>
  <c r="Q47" i="32"/>
  <c r="BD48" i="22"/>
  <c r="BC129" i="22"/>
  <c r="BC130" i="22"/>
  <c r="BC131" i="22"/>
  <c r="BC132" i="22"/>
  <c r="BD104" i="22"/>
  <c r="BD105" i="22"/>
  <c r="BD106" i="22"/>
  <c r="BD107" i="22"/>
  <c r="BE38" i="22"/>
  <c r="BB95" i="22"/>
  <c r="BB96" i="22"/>
  <c r="BB97" i="22"/>
  <c r="BC94" i="22"/>
  <c r="BC95" i="22"/>
  <c r="BC96" i="22"/>
  <c r="BC97" i="22"/>
  <c r="BD34" i="22"/>
  <c r="BF109" i="7"/>
  <c r="BF110" i="7"/>
  <c r="BF111" i="7"/>
  <c r="BF112" i="7"/>
  <c r="BG40" i="7"/>
  <c r="BB95" i="7"/>
  <c r="BB96" i="7"/>
  <c r="BB97" i="7"/>
  <c r="BD104" i="7"/>
  <c r="BD105" i="7"/>
  <c r="BD106" i="7"/>
  <c r="BD107" i="7"/>
  <c r="BE38" i="7"/>
  <c r="BD34" i="7"/>
  <c r="BC94" i="7"/>
  <c r="BD99" i="7"/>
  <c r="BE36" i="7"/>
  <c r="BD84" i="7"/>
  <c r="BD85" i="7"/>
  <c r="BD86" i="7"/>
  <c r="BD87" i="7"/>
  <c r="BE30" i="7"/>
  <c r="BD42" i="7"/>
  <c r="BC114" i="7"/>
  <c r="BC115" i="7"/>
  <c r="BC116" i="7"/>
  <c r="BC117" i="7"/>
  <c r="BF118" i="6"/>
  <c r="BF119" i="6"/>
  <c r="BF120" i="6"/>
  <c r="BF121" i="6"/>
  <c r="BG38" i="6"/>
  <c r="BE119" i="6"/>
  <c r="BE120" i="6"/>
  <c r="BE121" i="6"/>
  <c r="BC124" i="9"/>
  <c r="BC125" i="9"/>
  <c r="BC126" i="9"/>
  <c r="BC127" i="9"/>
  <c r="BD46" i="9"/>
  <c r="BC42" i="9"/>
  <c r="BB114" i="9"/>
  <c r="BB115" i="9"/>
  <c r="BB116" i="9"/>
  <c r="BB117" i="9"/>
  <c r="BC94" i="9"/>
  <c r="BC95" i="9"/>
  <c r="BC96" i="9"/>
  <c r="BC97" i="9"/>
  <c r="BD34" i="9"/>
  <c r="BG144" i="9"/>
  <c r="BG145" i="9"/>
  <c r="BG146" i="9"/>
  <c r="BG147" i="9"/>
  <c r="BH54" i="9"/>
  <c r="BG38" i="9"/>
  <c r="BF104" i="9"/>
  <c r="BF105" i="9"/>
  <c r="BF106" i="9"/>
  <c r="BF107" i="9"/>
  <c r="BE50" i="9"/>
  <c r="BD134" i="9"/>
  <c r="BD135" i="9"/>
  <c r="BD136" i="9"/>
  <c r="BD137" i="9"/>
  <c r="BB130" i="9"/>
  <c r="BB131" i="9"/>
  <c r="BB132" i="9"/>
  <c r="BC149" i="9"/>
  <c r="BD56" i="9"/>
  <c r="BE89" i="9"/>
  <c r="BE90" i="9"/>
  <c r="BE91" i="9"/>
  <c r="BE92" i="9"/>
  <c r="BF32" i="9"/>
  <c r="BB150" i="9"/>
  <c r="BB151" i="9"/>
  <c r="BB152" i="9"/>
  <c r="BD48" i="9"/>
  <c r="BC129" i="9"/>
  <c r="BC130" i="9"/>
  <c r="BC131" i="9"/>
  <c r="BC132" i="9"/>
  <c r="BC119" i="9"/>
  <c r="BC120" i="9"/>
  <c r="BC121" i="9"/>
  <c r="BC122" i="9"/>
  <c r="BD44" i="9"/>
  <c r="BF66" i="1"/>
  <c r="BE176" i="1"/>
  <c r="BE177" i="1"/>
  <c r="BE178" i="1"/>
  <c r="BE179" i="1"/>
  <c r="BB207" i="1"/>
  <c r="BB208" i="1"/>
  <c r="BD70" i="1"/>
  <c r="BC186" i="1"/>
  <c r="BC187" i="1"/>
  <c r="BC188" i="1"/>
  <c r="BC189" i="1"/>
  <c r="BD161" i="1"/>
  <c r="BD162" i="1"/>
  <c r="BD163" i="1"/>
  <c r="BD164" i="1"/>
  <c r="BE60" i="1"/>
  <c r="BD78" i="1"/>
  <c r="BC206" i="1"/>
  <c r="BC207" i="1"/>
  <c r="BC208" i="1"/>
  <c r="BC209" i="1"/>
  <c r="BD74" i="1"/>
  <c r="BC196" i="1"/>
  <c r="BI151" i="1"/>
  <c r="BI152" i="1"/>
  <c r="BI153" i="1"/>
  <c r="BI154" i="1"/>
  <c r="BJ56" i="1"/>
  <c r="BE72" i="1"/>
  <c r="BD191" i="1"/>
  <c r="BD192" i="1"/>
  <c r="BD193" i="1"/>
  <c r="BD194" i="1"/>
  <c r="BF76" i="1"/>
  <c r="BE201" i="1"/>
  <c r="BD177" i="1"/>
  <c r="BD178" i="1"/>
  <c r="BD179" i="1"/>
  <c r="U48" i="37"/>
  <c r="BJ42" i="11"/>
  <c r="BI114" i="11"/>
  <c r="BH115" i="11"/>
  <c r="BH116" i="11"/>
  <c r="BH117" i="11"/>
  <c r="T44" i="34"/>
  <c r="AO44" i="34"/>
  <c r="AK44" i="34"/>
  <c r="Z44" i="34"/>
  <c r="AN44" i="34"/>
  <c r="Y44" i="34"/>
  <c r="AR44" i="34"/>
  <c r="AF44" i="34"/>
  <c r="AL44" i="34"/>
  <c r="AJ44" i="34"/>
  <c r="AI44" i="34"/>
  <c r="AQ44" i="34"/>
  <c r="AP44" i="34"/>
  <c r="AE44" i="34"/>
  <c r="AA44" i="34"/>
  <c r="AG44" i="34"/>
  <c r="X44" i="34"/>
  <c r="AM44" i="34"/>
  <c r="AC44" i="34"/>
  <c r="AD44" i="34"/>
  <c r="AB44" i="34"/>
  <c r="AH44" i="34"/>
  <c r="U46" i="35"/>
  <c r="BC105" i="11"/>
  <c r="BC106" i="11"/>
  <c r="BD100" i="11"/>
  <c r="BD101" i="11"/>
  <c r="BD102" i="11"/>
  <c r="BB107" i="11"/>
  <c r="BD104" i="11"/>
  <c r="BE38" i="11"/>
  <c r="BH30" i="11"/>
  <c r="BG84" i="11"/>
  <c r="BF36" i="11"/>
  <c r="BE99" i="11"/>
  <c r="BF85" i="11"/>
  <c r="BF86" i="11"/>
  <c r="BD134" i="10"/>
  <c r="BE50" i="10"/>
  <c r="BC135" i="10"/>
  <c r="BC136" i="10"/>
  <c r="BC137" i="10"/>
  <c r="BC100" i="10"/>
  <c r="BC101" i="10"/>
  <c r="BC102" i="10"/>
  <c r="BD99" i="10"/>
  <c r="BE36" i="10"/>
  <c r="BB155" i="22"/>
  <c r="BB156" i="22"/>
  <c r="BB157" i="22"/>
  <c r="BD58" i="22"/>
  <c r="BC154" i="22"/>
  <c r="BC110" i="22"/>
  <c r="BC111" i="22"/>
  <c r="BC112" i="22"/>
  <c r="BC100" i="22"/>
  <c r="BC101" i="22"/>
  <c r="BC102" i="22"/>
  <c r="BC145" i="22"/>
  <c r="BC146" i="22"/>
  <c r="BC147" i="22"/>
  <c r="BE40" i="22"/>
  <c r="BD109" i="22"/>
  <c r="BD99" i="22"/>
  <c r="BE36" i="22"/>
  <c r="BD144" i="22"/>
  <c r="BE54" i="22"/>
  <c r="BF149" i="8"/>
  <c r="BG56" i="8"/>
  <c r="BE150" i="8"/>
  <c r="BE151" i="8"/>
  <c r="BE152" i="8"/>
  <c r="BD144" i="8"/>
  <c r="BE54" i="8"/>
  <c r="BC145" i="8"/>
  <c r="BC146" i="8"/>
  <c r="BC147" i="8"/>
  <c r="BC89" i="8"/>
  <c r="BD32" i="8"/>
  <c r="BC139" i="8"/>
  <c r="BD52" i="8"/>
  <c r="BB84" i="8"/>
  <c r="BC30" i="8"/>
  <c r="BB130" i="8"/>
  <c r="BB131" i="8"/>
  <c r="BB132" i="8"/>
  <c r="BB90" i="8"/>
  <c r="BB91" i="8"/>
  <c r="BB92" i="8"/>
  <c r="BB140" i="8"/>
  <c r="BB141" i="8"/>
  <c r="BB142" i="8"/>
  <c r="BA85" i="8"/>
  <c r="BA86" i="8"/>
  <c r="BA87" i="8"/>
  <c r="BB110" i="8"/>
  <c r="BB111" i="8"/>
  <c r="BB112" i="8"/>
  <c r="BC129" i="8"/>
  <c r="BD48" i="8"/>
  <c r="BC109" i="8"/>
  <c r="BD40" i="8"/>
  <c r="BB145" i="7"/>
  <c r="BB146" i="7"/>
  <c r="BB147" i="7"/>
  <c r="BC144" i="7"/>
  <c r="BD54" i="7"/>
  <c r="BC139" i="7"/>
  <c r="BD52" i="7"/>
  <c r="BB140" i="7"/>
  <c r="BB141" i="7"/>
  <c r="BB142" i="7"/>
  <c r="BD50" i="7"/>
  <c r="BC134" i="7"/>
  <c r="BB135" i="7"/>
  <c r="BB136" i="7"/>
  <c r="BB137" i="7"/>
  <c r="BI90" i="7"/>
  <c r="BI91" i="7"/>
  <c r="BI92" i="7"/>
  <c r="BE120" i="7"/>
  <c r="BE121" i="7"/>
  <c r="BE122" i="7"/>
  <c r="BK32" i="7"/>
  <c r="BJ89" i="7"/>
  <c r="BF119" i="7"/>
  <c r="BG44" i="7"/>
  <c r="BD125" i="7"/>
  <c r="BD126" i="7"/>
  <c r="BD127" i="7"/>
  <c r="BF46" i="7"/>
  <c r="BE124" i="7"/>
  <c r="BD56" i="6"/>
  <c r="BC163" i="6"/>
  <c r="BB164" i="6"/>
  <c r="BB165" i="6"/>
  <c r="BB166" i="6"/>
  <c r="BC158" i="6"/>
  <c r="BD54" i="6"/>
  <c r="BB159" i="6"/>
  <c r="BB160" i="6"/>
  <c r="BB161" i="6"/>
  <c r="BC153" i="6"/>
  <c r="BD52" i="6"/>
  <c r="BB154" i="6"/>
  <c r="BB155" i="6"/>
  <c r="BB156" i="6"/>
  <c r="BC148" i="6"/>
  <c r="BD50" i="6"/>
  <c r="BB149" i="6"/>
  <c r="BB150" i="6"/>
  <c r="BB151" i="6"/>
  <c r="BD48" i="6"/>
  <c r="BC143" i="6"/>
  <c r="BB144" i="6"/>
  <c r="BB145" i="6"/>
  <c r="BB146" i="6"/>
  <c r="BC160" i="9"/>
  <c r="BC161" i="9"/>
  <c r="BC162" i="9"/>
  <c r="BD159" i="9"/>
  <c r="BE60" i="9"/>
  <c r="BD58" i="9"/>
  <c r="BC154" i="9"/>
  <c r="BB155" i="9"/>
  <c r="BB156" i="9"/>
  <c r="BB157" i="9"/>
  <c r="BC100" i="9"/>
  <c r="BC101" i="9"/>
  <c r="BC102" i="9"/>
  <c r="BD109" i="9"/>
  <c r="BE40" i="9"/>
  <c r="BC110" i="9"/>
  <c r="BC111" i="9"/>
  <c r="BC112" i="9"/>
  <c r="BE36" i="9"/>
  <c r="BD99" i="9"/>
  <c r="BD62" i="1"/>
  <c r="BC166" i="1"/>
  <c r="BB167" i="1"/>
  <c r="BB168" i="1"/>
  <c r="BB169" i="1"/>
  <c r="BC146" i="1"/>
  <c r="BD54" i="1"/>
  <c r="BB147" i="1"/>
  <c r="BB148" i="1"/>
  <c r="BB149" i="1"/>
  <c r="BD46" i="1"/>
  <c r="BC126" i="1"/>
  <c r="BB127" i="1"/>
  <c r="BB128" i="1"/>
  <c r="BB129" i="1"/>
  <c r="BD122" i="1"/>
  <c r="BD123" i="1"/>
  <c r="BD124" i="1"/>
  <c r="BE121" i="1"/>
  <c r="BF44" i="1"/>
  <c r="BD102" i="1"/>
  <c r="BD103" i="1"/>
  <c r="BD104" i="1"/>
  <c r="BD112" i="1"/>
  <c r="BD113" i="1"/>
  <c r="BD114" i="1"/>
  <c r="BB107" i="1"/>
  <c r="BB108" i="1"/>
  <c r="BB109" i="1"/>
  <c r="BF36" i="1"/>
  <c r="BE101" i="1"/>
  <c r="BF40" i="1"/>
  <c r="BE111" i="1"/>
  <c r="BD38" i="1"/>
  <c r="BC106" i="1"/>
  <c r="BE48" i="7"/>
  <c r="BD129" i="7"/>
  <c r="BD130" i="7"/>
  <c r="BD131" i="7"/>
  <c r="BD132" i="7"/>
  <c r="W41" i="41"/>
  <c r="V41" i="41"/>
  <c r="AA41" i="41"/>
  <c r="BR237" i="9"/>
  <c r="BQ75" i="9"/>
  <c r="BW58" i="2"/>
  <c r="BX179" i="2"/>
  <c r="U50" i="31"/>
  <c r="BZ235" i="9"/>
  <c r="AA59" i="11"/>
  <c r="AB229" i="11"/>
  <c r="AN41" i="41"/>
  <c r="L41" i="30"/>
  <c r="N41" i="30"/>
  <c r="O41" i="30"/>
  <c r="P41" i="30"/>
  <c r="Q41" i="30"/>
  <c r="T41" i="30"/>
  <c r="AL41" i="41"/>
  <c r="Z41" i="41"/>
  <c r="AG41" i="41"/>
  <c r="X41" i="41"/>
  <c r="AJ41" i="41"/>
  <c r="AD41" i="41"/>
  <c r="Y41" i="41"/>
  <c r="AF41" i="41"/>
  <c r="AO41" i="41"/>
  <c r="AI41" i="41"/>
  <c r="AE41" i="41"/>
  <c r="Q48" i="41"/>
  <c r="P49" i="41"/>
  <c r="BY177" i="22"/>
  <c r="BG162" i="7"/>
  <c r="BC152" i="11"/>
  <c r="BG207" i="11"/>
  <c r="CB212" i="10"/>
  <c r="CB240" i="10"/>
  <c r="BQ187" i="10"/>
  <c r="BF127" i="11"/>
  <c r="BB167" i="9"/>
  <c r="BI187" i="22"/>
  <c r="BL207" i="22"/>
  <c r="BV147" i="10"/>
  <c r="BB177" i="7"/>
  <c r="BB162" i="10"/>
  <c r="BK207" i="9"/>
  <c r="BE157" i="7"/>
  <c r="BB182" i="10"/>
  <c r="BC202" i="7"/>
  <c r="BB202" i="10"/>
  <c r="BB187" i="8"/>
  <c r="BK172" i="9"/>
  <c r="BS290" i="40"/>
  <c r="BS291" i="40"/>
  <c r="BS292" i="40"/>
  <c r="BS285" i="40"/>
  <c r="BS286" i="40"/>
  <c r="BS287" i="40"/>
  <c r="BT289" i="40"/>
  <c r="BU110" i="40"/>
  <c r="BT284" i="40"/>
  <c r="BT285" i="40"/>
  <c r="BT286" i="40"/>
  <c r="BT287" i="40"/>
  <c r="BU108" i="40"/>
  <c r="BT269" i="40"/>
  <c r="BT270" i="40"/>
  <c r="BT271" i="40"/>
  <c r="BT272" i="40"/>
  <c r="BU102" i="40"/>
  <c r="BT249" i="40"/>
  <c r="BT250" i="40"/>
  <c r="BT251" i="40"/>
  <c r="BT252" i="40"/>
  <c r="BU94" i="40"/>
  <c r="BT244" i="40"/>
  <c r="BU92" i="40"/>
  <c r="BT264" i="40"/>
  <c r="BT265" i="40"/>
  <c r="BT266" i="40"/>
  <c r="BT267" i="40"/>
  <c r="BU100" i="40"/>
  <c r="BZ275" i="40"/>
  <c r="BZ276" i="40"/>
  <c r="BZ277" i="40"/>
  <c r="CA260" i="40"/>
  <c r="CA261" i="40"/>
  <c r="CA262" i="40"/>
  <c r="BS250" i="40"/>
  <c r="BS251" i="40"/>
  <c r="BS252" i="40"/>
  <c r="BS245" i="40"/>
  <c r="BS246" i="40"/>
  <c r="BS247" i="40"/>
  <c r="CA96" i="40"/>
  <c r="CA254" i="40"/>
  <c r="CA255" i="40"/>
  <c r="CA256" i="40"/>
  <c r="CA257" i="40"/>
  <c r="CA104" i="40"/>
  <c r="CA274" i="40"/>
  <c r="BZ106" i="40"/>
  <c r="BZ279" i="40"/>
  <c r="CB98" i="40"/>
  <c r="BW90" i="40"/>
  <c r="BT239" i="40"/>
  <c r="BW64" i="40"/>
  <c r="BV174" i="40"/>
  <c r="BS150" i="40"/>
  <c r="BS151" i="40"/>
  <c r="BS152" i="40"/>
  <c r="BS130" i="40"/>
  <c r="BS131" i="40"/>
  <c r="BS132" i="40"/>
  <c r="BT180" i="40"/>
  <c r="BT181" i="40"/>
  <c r="BT182" i="40"/>
  <c r="BV80" i="40"/>
  <c r="BU214" i="40"/>
  <c r="BW72" i="40"/>
  <c r="BV194" i="40"/>
  <c r="BS145" i="40"/>
  <c r="BS146" i="40"/>
  <c r="BS147" i="40"/>
  <c r="BU86" i="40"/>
  <c r="BT229" i="40"/>
  <c r="BS220" i="40"/>
  <c r="BS221" i="40"/>
  <c r="BS170" i="40"/>
  <c r="BS171" i="40"/>
  <c r="BV60" i="40"/>
  <c r="BU164" i="40"/>
  <c r="BU58" i="40"/>
  <c r="BT159" i="40"/>
  <c r="BV84" i="40"/>
  <c r="BU224" i="40"/>
  <c r="BT187" i="40"/>
  <c r="BS237" i="40"/>
  <c r="BU56" i="40"/>
  <c r="BT154" i="40"/>
  <c r="BS227" i="40"/>
  <c r="BR202" i="40"/>
  <c r="BS200" i="40"/>
  <c r="BS201" i="40"/>
  <c r="BR172" i="40"/>
  <c r="BU54" i="40"/>
  <c r="BT149" i="40"/>
  <c r="BU46" i="40"/>
  <c r="BT129" i="40"/>
  <c r="BS135" i="40"/>
  <c r="BS136" i="40"/>
  <c r="BS137" i="40"/>
  <c r="BS190" i="40"/>
  <c r="BS191" i="40"/>
  <c r="BS192" i="40"/>
  <c r="BS125" i="40"/>
  <c r="BS126" i="40"/>
  <c r="BS127" i="40"/>
  <c r="BU78" i="40"/>
  <c r="BT209" i="40"/>
  <c r="BU185" i="40"/>
  <c r="BU186" i="40"/>
  <c r="BR232" i="40"/>
  <c r="BT140" i="40"/>
  <c r="BT141" i="40"/>
  <c r="BT142" i="40"/>
  <c r="BR222" i="40"/>
  <c r="BV66" i="40"/>
  <c r="BU179" i="40"/>
  <c r="BU195" i="40"/>
  <c r="BU196" i="40"/>
  <c r="BU197" i="40"/>
  <c r="BU52" i="40"/>
  <c r="BT144" i="40"/>
  <c r="BS230" i="40"/>
  <c r="BS231" i="40"/>
  <c r="BU82" i="40"/>
  <c r="BT219" i="40"/>
  <c r="BU62" i="40"/>
  <c r="BT169" i="40"/>
  <c r="BS120" i="40"/>
  <c r="BS121" i="40"/>
  <c r="BS122" i="40"/>
  <c r="BT115" i="40"/>
  <c r="BT116" i="40"/>
  <c r="BT117" i="40"/>
  <c r="BT235" i="40"/>
  <c r="BT236" i="40"/>
  <c r="BS160" i="40"/>
  <c r="BS161" i="40"/>
  <c r="BS162" i="40"/>
  <c r="BV76" i="40"/>
  <c r="BU204" i="40"/>
  <c r="BS240" i="40"/>
  <c r="BS241" i="40"/>
  <c r="BU175" i="40"/>
  <c r="BU176" i="40"/>
  <c r="BU177" i="40"/>
  <c r="BS167" i="40"/>
  <c r="BS155" i="40"/>
  <c r="BS156" i="40"/>
  <c r="BS157" i="40"/>
  <c r="BR192" i="40"/>
  <c r="BU74" i="40"/>
  <c r="BT199" i="40"/>
  <c r="BT205" i="40"/>
  <c r="BT206" i="40"/>
  <c r="BU48" i="40"/>
  <c r="BT134" i="40"/>
  <c r="BT215" i="40"/>
  <c r="BT216" i="40"/>
  <c r="BT217" i="40"/>
  <c r="BT177" i="40"/>
  <c r="BU70" i="40"/>
  <c r="BT189" i="40"/>
  <c r="BR157" i="40"/>
  <c r="BU44" i="40"/>
  <c r="BT124" i="40"/>
  <c r="BS210" i="40"/>
  <c r="BS211" i="40"/>
  <c r="BU42" i="40"/>
  <c r="BT119" i="40"/>
  <c r="BW68" i="40"/>
  <c r="BV184" i="40"/>
  <c r="BV40" i="40"/>
  <c r="BU114" i="40"/>
  <c r="BV50" i="40"/>
  <c r="BU139" i="40"/>
  <c r="BV88" i="40"/>
  <c r="BU234" i="40"/>
  <c r="BT165" i="40"/>
  <c r="BT166" i="40"/>
  <c r="BT225" i="40"/>
  <c r="BT226" i="40"/>
  <c r="BX197" i="8"/>
  <c r="BK165" i="22"/>
  <c r="BK166" i="22"/>
  <c r="BD184" i="8"/>
  <c r="BE70" i="8"/>
  <c r="BR197" i="11"/>
  <c r="BM177" i="10"/>
  <c r="BH167" i="8"/>
  <c r="BD174" i="7"/>
  <c r="BE66" i="7"/>
  <c r="BM169" i="9"/>
  <c r="BN64" i="9"/>
  <c r="BD179" i="10"/>
  <c r="BE68" i="10"/>
  <c r="BN167" i="10"/>
  <c r="BS184" i="10"/>
  <c r="BT70" i="10"/>
  <c r="BD138" i="6"/>
  <c r="BD139" i="6"/>
  <c r="BD140" i="6"/>
  <c r="BD141" i="6"/>
  <c r="BE46" i="6"/>
  <c r="BD164" i="9"/>
  <c r="BE62" i="9"/>
  <c r="BJ185" i="22"/>
  <c r="BJ186" i="22"/>
  <c r="BD199" i="11"/>
  <c r="BE76" i="11"/>
  <c r="BP155" i="8"/>
  <c r="BP156" i="8"/>
  <c r="BX144" i="10"/>
  <c r="BY54" i="10"/>
  <c r="BJ78" i="11"/>
  <c r="BI204" i="11"/>
  <c r="CA174" i="22"/>
  <c r="CB66" i="22"/>
  <c r="BC161" i="10"/>
  <c r="BC160" i="10"/>
  <c r="BD200" i="7"/>
  <c r="BD201" i="7"/>
  <c r="BL206" i="9"/>
  <c r="BL205" i="9"/>
  <c r="BC206" i="8"/>
  <c r="BC205" i="8"/>
  <c r="BT194" i="11"/>
  <c r="BU74" i="11"/>
  <c r="BC135" i="11"/>
  <c r="BC136" i="11"/>
  <c r="BO174" i="10"/>
  <c r="BP66" i="10"/>
  <c r="BI46" i="11"/>
  <c r="BH124" i="11"/>
  <c r="BY235" i="9"/>
  <c r="BM62" i="22"/>
  <c r="BL164" i="22"/>
  <c r="BC185" i="8"/>
  <c r="BC186" i="8"/>
  <c r="BF56" i="11"/>
  <c r="BE149" i="11"/>
  <c r="BC176" i="7"/>
  <c r="BC175" i="7"/>
  <c r="AG55" i="11"/>
  <c r="AH227" i="11"/>
  <c r="BX233" i="9"/>
  <c r="BW67" i="9"/>
  <c r="BE76" i="10"/>
  <c r="BD199" i="10"/>
  <c r="BF156" i="7"/>
  <c r="BF155" i="7"/>
  <c r="BK184" i="22"/>
  <c r="BL70" i="22"/>
  <c r="BL192" i="22"/>
  <c r="BR58" i="8"/>
  <c r="BQ154" i="8"/>
  <c r="BW145" i="10"/>
  <c r="BW146" i="10"/>
  <c r="BI207" i="7"/>
  <c r="AN230" i="11"/>
  <c r="AM61" i="11"/>
  <c r="BZ175" i="22"/>
  <c r="BZ176" i="22"/>
  <c r="BB202" i="22"/>
  <c r="BB202" i="11"/>
  <c r="BD159" i="10"/>
  <c r="BE60" i="10"/>
  <c r="BE199" i="7"/>
  <c r="BF76" i="7"/>
  <c r="BN78" i="9"/>
  <c r="BM204" i="9"/>
  <c r="BO157" i="8"/>
  <c r="BE78" i="8"/>
  <c r="BD204" i="8"/>
  <c r="BE50" i="11"/>
  <c r="BD134" i="11"/>
  <c r="BN176" i="10"/>
  <c r="BN175" i="10"/>
  <c r="BM205" i="22"/>
  <c r="BM206" i="22"/>
  <c r="BD150" i="11"/>
  <c r="BD151" i="11"/>
  <c r="BB207" i="8"/>
  <c r="BB137" i="11"/>
  <c r="BX240" i="10"/>
  <c r="BW81" i="10"/>
  <c r="BH161" i="7"/>
  <c r="BH160" i="7"/>
  <c r="BC201" i="10"/>
  <c r="BC200" i="10"/>
  <c r="BG154" i="7"/>
  <c r="BH58" i="7"/>
  <c r="BE76" i="22"/>
  <c r="BD199" i="22"/>
  <c r="BO166" i="10"/>
  <c r="BO165" i="10"/>
  <c r="BD149" i="22"/>
  <c r="BD150" i="22"/>
  <c r="BD151" i="22"/>
  <c r="BD152" i="22"/>
  <c r="BE56" i="22"/>
  <c r="BN189" i="22"/>
  <c r="BO72" i="22"/>
  <c r="BJ206" i="7"/>
  <c r="BJ205" i="7"/>
  <c r="BI166" i="8"/>
  <c r="BI165" i="8"/>
  <c r="BO78" i="22"/>
  <c r="BN204" i="22"/>
  <c r="BL170" i="9"/>
  <c r="BL171" i="9"/>
  <c r="BJ60" i="7"/>
  <c r="BI159" i="7"/>
  <c r="BC180" i="10"/>
  <c r="BC181" i="10"/>
  <c r="BR185" i="10"/>
  <c r="BR186" i="10"/>
  <c r="BV59" i="10"/>
  <c r="BW229" i="10"/>
  <c r="BC165" i="9"/>
  <c r="BC166" i="9"/>
  <c r="BC201" i="22"/>
  <c r="BC200" i="22"/>
  <c r="BC200" i="11"/>
  <c r="BC201" i="11"/>
  <c r="BQ62" i="10"/>
  <c r="BP164" i="10"/>
  <c r="BH205" i="11"/>
  <c r="BH206" i="11"/>
  <c r="BX232" i="10"/>
  <c r="BW65" i="10"/>
  <c r="BJ167" i="22"/>
  <c r="AJ81" i="8"/>
  <c r="AK240" i="8"/>
  <c r="BM190" i="22"/>
  <c r="BM191" i="22"/>
  <c r="BS195" i="11"/>
  <c r="BS196" i="11"/>
  <c r="BL78" i="7"/>
  <c r="BK204" i="7"/>
  <c r="BG125" i="11"/>
  <c r="BG126" i="11"/>
  <c r="BK62" i="8"/>
  <c r="BJ164" i="8"/>
  <c r="W50" i="31"/>
  <c r="V50" i="31"/>
  <c r="K50" i="31"/>
  <c r="Q49" i="31"/>
  <c r="R49" i="31"/>
  <c r="BG40" i="11"/>
  <c r="BF109" i="11"/>
  <c r="BF110" i="11"/>
  <c r="BF111" i="11"/>
  <c r="BF112" i="11"/>
  <c r="BE30" i="10"/>
  <c r="BD84" i="10"/>
  <c r="BD85" i="10"/>
  <c r="BD86" i="10"/>
  <c r="BD87" i="10"/>
  <c r="BD109" i="10"/>
  <c r="BD110" i="10"/>
  <c r="BD111" i="10"/>
  <c r="BD112" i="10"/>
  <c r="BE40" i="10"/>
  <c r="BE32" i="10"/>
  <c r="BD89" i="10"/>
  <c r="BD90" i="10"/>
  <c r="BD91" i="10"/>
  <c r="BD92" i="10"/>
  <c r="BD94" i="10"/>
  <c r="BD95" i="10"/>
  <c r="BD96" i="10"/>
  <c r="BD97" i="10"/>
  <c r="BE34" i="10"/>
  <c r="BE38" i="10"/>
  <c r="BD104" i="10"/>
  <c r="BD105" i="10"/>
  <c r="BD106" i="10"/>
  <c r="BD107" i="10"/>
  <c r="BE52" i="10"/>
  <c r="BD139" i="10"/>
  <c r="BD140" i="10"/>
  <c r="BD141" i="10"/>
  <c r="BD142" i="10"/>
  <c r="BD114" i="10"/>
  <c r="BD115" i="10"/>
  <c r="BD116" i="10"/>
  <c r="BD117" i="10"/>
  <c r="BE42" i="10"/>
  <c r="BD124" i="10"/>
  <c r="BD125" i="10"/>
  <c r="BD126" i="10"/>
  <c r="BD127" i="10"/>
  <c r="BE46" i="10"/>
  <c r="BF44" i="10"/>
  <c r="BE119" i="10"/>
  <c r="BE120" i="10"/>
  <c r="BE121" i="10"/>
  <c r="BE122" i="10"/>
  <c r="BD129" i="10"/>
  <c r="BD130" i="10"/>
  <c r="BD131" i="10"/>
  <c r="BD132" i="10"/>
  <c r="BE48" i="10"/>
  <c r="BE42" i="22"/>
  <c r="BD114" i="22"/>
  <c r="BD115" i="22"/>
  <c r="BD116" i="22"/>
  <c r="BD117" i="22"/>
  <c r="BF52" i="22"/>
  <c r="BE139" i="22"/>
  <c r="BE140" i="22"/>
  <c r="BE141" i="22"/>
  <c r="BE142" i="22"/>
  <c r="BE124" i="22"/>
  <c r="BE125" i="22"/>
  <c r="BE126" i="22"/>
  <c r="BE127" i="22"/>
  <c r="BF46" i="22"/>
  <c r="BE50" i="22"/>
  <c r="BD134" i="22"/>
  <c r="BD135" i="22"/>
  <c r="BD136" i="22"/>
  <c r="BD137" i="22"/>
  <c r="BE134" i="8"/>
  <c r="BE135" i="8"/>
  <c r="BE136" i="8"/>
  <c r="BE137" i="8"/>
  <c r="BF50" i="8"/>
  <c r="BE46" i="8"/>
  <c r="BD124" i="8"/>
  <c r="BD125" i="8"/>
  <c r="BD126" i="8"/>
  <c r="BD127" i="8"/>
  <c r="BX197" i="10"/>
  <c r="BV177" i="8"/>
  <c r="CA187" i="9"/>
  <c r="CA235" i="9"/>
  <c r="BW182" i="22"/>
  <c r="BR162" i="8"/>
  <c r="BY212" i="22"/>
  <c r="BV212" i="11"/>
  <c r="BB202" i="9"/>
  <c r="BV162" i="22"/>
  <c r="BT202" i="8"/>
  <c r="BV175" i="11"/>
  <c r="BV176" i="11"/>
  <c r="BX65" i="22"/>
  <c r="BY232" i="22"/>
  <c r="BW76" i="8"/>
  <c r="BV199" i="8"/>
  <c r="BZ232" i="22"/>
  <c r="BY195" i="22"/>
  <c r="BY196" i="22"/>
  <c r="AD57" i="2"/>
  <c r="AE178" i="2"/>
  <c r="BZ194" i="10"/>
  <c r="CA74" i="10"/>
  <c r="BZ68" i="22"/>
  <c r="BY179" i="22"/>
  <c r="BW197" i="7"/>
  <c r="BJ72" i="8"/>
  <c r="BI189" i="8"/>
  <c r="BY195" i="8"/>
  <c r="BY196" i="8"/>
  <c r="BX209" i="11"/>
  <c r="BY80" i="11"/>
  <c r="BW174" i="11"/>
  <c r="BX66" i="11"/>
  <c r="BS192" i="11"/>
  <c r="BW187" i="7"/>
  <c r="AO69" i="11"/>
  <c r="AP234" i="11"/>
  <c r="BT191" i="11"/>
  <c r="BT190" i="11"/>
  <c r="CB171" i="22"/>
  <c r="CB170" i="22"/>
  <c r="BT69" i="7"/>
  <c r="BU234" i="7"/>
  <c r="BZ228" i="10"/>
  <c r="BU201" i="8"/>
  <c r="BU200" i="8"/>
  <c r="AN63" i="11"/>
  <c r="AO231" i="11"/>
  <c r="BX197" i="22"/>
  <c r="BU180" i="8"/>
  <c r="BU181" i="8"/>
  <c r="BZ212" i="7"/>
  <c r="BE57" i="2"/>
  <c r="CF57" i="2"/>
  <c r="BF178" i="2"/>
  <c r="C57" i="2"/>
  <c r="D178" i="2"/>
  <c r="BX195" i="7"/>
  <c r="BX196" i="7"/>
  <c r="CA172" i="22"/>
  <c r="CA232" i="22"/>
  <c r="BZ210" i="22"/>
  <c r="BZ211" i="22"/>
  <c r="BY228" i="10"/>
  <c r="BB192" i="9"/>
  <c r="AJ65" i="11"/>
  <c r="AK232" i="11"/>
  <c r="BE32" i="22"/>
  <c r="BD89" i="22"/>
  <c r="BD90" i="22"/>
  <c r="BD91" i="22"/>
  <c r="BD92" i="22"/>
  <c r="BC201" i="9"/>
  <c r="BC200" i="9"/>
  <c r="BC190" i="9"/>
  <c r="BC191" i="9"/>
  <c r="CA206" i="10"/>
  <c r="CA205" i="10"/>
  <c r="BQ53" i="11"/>
  <c r="BR226" i="11"/>
  <c r="CB68" i="9"/>
  <c r="CA179" i="9"/>
  <c r="BW160" i="22"/>
  <c r="BW161" i="22"/>
  <c r="AV57" i="2"/>
  <c r="AW178" i="2"/>
  <c r="BY194" i="7"/>
  <c r="BZ74" i="7"/>
  <c r="BT182" i="8"/>
  <c r="BM31" i="22"/>
  <c r="BN215" i="22"/>
  <c r="BW57" i="10"/>
  <c r="BX228" i="10"/>
  <c r="BG192" i="8"/>
  <c r="AB65" i="8"/>
  <c r="AC232" i="8"/>
  <c r="CA152" i="10"/>
  <c r="CA228" i="10"/>
  <c r="BY66" i="8"/>
  <c r="BX174" i="8"/>
  <c r="BU177" i="11"/>
  <c r="CA74" i="22"/>
  <c r="BZ194" i="22"/>
  <c r="U57" i="2"/>
  <c r="V178" i="2"/>
  <c r="BO178" i="2"/>
  <c r="BN57" i="2"/>
  <c r="BY195" i="10"/>
  <c r="BY196" i="10"/>
  <c r="CA209" i="22"/>
  <c r="CB80" i="22"/>
  <c r="BZ207" i="10"/>
  <c r="BY184" i="7"/>
  <c r="BZ70" i="7"/>
  <c r="BY182" i="9"/>
  <c r="CB185" i="9"/>
  <c r="CB186" i="9"/>
  <c r="AD179" i="2"/>
  <c r="AM179" i="2"/>
  <c r="L179" i="2"/>
  <c r="C179" i="2"/>
  <c r="BN179" i="2"/>
  <c r="U179" i="2"/>
  <c r="BE179" i="2"/>
  <c r="AV179" i="2"/>
  <c r="BS160" i="8"/>
  <c r="BS161" i="8"/>
  <c r="CA74" i="8"/>
  <c r="BZ194" i="8"/>
  <c r="BW176" i="8"/>
  <c r="BW175" i="8"/>
  <c r="BJ65" i="7"/>
  <c r="BK232" i="7"/>
  <c r="BW68" i="8"/>
  <c r="BV179" i="8"/>
  <c r="BX186" i="7"/>
  <c r="BX185" i="7"/>
  <c r="Z73" i="7"/>
  <c r="AA236" i="7"/>
  <c r="CB81" i="7"/>
  <c r="CA81" i="7"/>
  <c r="BZ81" i="7"/>
  <c r="BY81" i="7"/>
  <c r="BX81" i="7"/>
  <c r="CB209" i="7"/>
  <c r="BX181" i="22"/>
  <c r="BX180" i="22"/>
  <c r="BH191" i="8"/>
  <c r="BH190" i="8"/>
  <c r="CB204" i="10"/>
  <c r="CB79" i="10"/>
  <c r="CA79" i="10"/>
  <c r="BZ79" i="10"/>
  <c r="BY79" i="10"/>
  <c r="BX79" i="10"/>
  <c r="BW211" i="11"/>
  <c r="BW210" i="11"/>
  <c r="BV81" i="9"/>
  <c r="BW240" i="9"/>
  <c r="BP73" i="10"/>
  <c r="BQ236" i="10"/>
  <c r="CB150" i="10"/>
  <c r="CB151" i="10"/>
  <c r="BU189" i="11"/>
  <c r="BV72" i="11"/>
  <c r="BZ180" i="9"/>
  <c r="BZ181" i="9"/>
  <c r="BY60" i="22"/>
  <c r="BX159" i="22"/>
  <c r="M178" i="2"/>
  <c r="L57" i="2"/>
  <c r="AM57" i="2"/>
  <c r="AN178" i="2"/>
  <c r="BU49" i="11"/>
  <c r="BV224" i="11"/>
  <c r="BE76" i="9"/>
  <c r="BD199" i="9"/>
  <c r="BW71" i="9"/>
  <c r="BX235" i="9"/>
  <c r="CA210" i="7"/>
  <c r="CA211" i="7"/>
  <c r="A180" i="2"/>
  <c r="BW180" i="2"/>
  <c r="A60" i="2"/>
  <c r="BU60" i="8"/>
  <c r="BT159" i="8"/>
  <c r="BE72" i="9"/>
  <c r="BD189" i="9"/>
  <c r="W42" i="30"/>
  <c r="V42" i="30"/>
  <c r="K42" i="30"/>
  <c r="L44" i="30"/>
  <c r="N44" i="30"/>
  <c r="O44" i="30"/>
  <c r="BJ34" i="8"/>
  <c r="BI94" i="8"/>
  <c r="BI95" i="8"/>
  <c r="BI96" i="8"/>
  <c r="BI97" i="8"/>
  <c r="BC115" i="8"/>
  <c r="BC116" i="8"/>
  <c r="BC117" i="8"/>
  <c r="BE42" i="8"/>
  <c r="BD114" i="8"/>
  <c r="BD115" i="8"/>
  <c r="BD116" i="8"/>
  <c r="BD117" i="8"/>
  <c r="BD119" i="8"/>
  <c r="BD120" i="8"/>
  <c r="BD121" i="8"/>
  <c r="BD122" i="8"/>
  <c r="BE44" i="8"/>
  <c r="BM62" i="7"/>
  <c r="BL164" i="7"/>
  <c r="BJ167" i="7"/>
  <c r="BK166" i="7"/>
  <c r="BK165" i="7"/>
  <c r="BE32" i="11"/>
  <c r="BD89" i="11"/>
  <c r="BD90" i="11"/>
  <c r="BD91" i="11"/>
  <c r="BD92" i="11"/>
  <c r="BF30" i="9"/>
  <c r="BE84" i="9"/>
  <c r="BE85" i="9"/>
  <c r="BE86" i="9"/>
  <c r="BE87" i="9"/>
  <c r="BE52" i="9"/>
  <c r="BD139" i="9"/>
  <c r="BD140" i="9"/>
  <c r="BD141" i="9"/>
  <c r="BD142" i="9"/>
  <c r="BG30" i="1"/>
  <c r="BF86" i="1"/>
  <c r="BF87" i="1"/>
  <c r="BF88" i="1"/>
  <c r="BF89" i="1"/>
  <c r="BD171" i="1"/>
  <c r="BD172" i="1"/>
  <c r="BD173" i="1"/>
  <c r="BD174" i="1"/>
  <c r="BE64" i="1"/>
  <c r="BG32" i="1"/>
  <c r="BF91" i="1"/>
  <c r="BF92" i="1"/>
  <c r="BF93" i="1"/>
  <c r="BF94" i="1"/>
  <c r="BD156" i="1"/>
  <c r="BD157" i="1"/>
  <c r="BD158" i="1"/>
  <c r="BD159" i="1"/>
  <c r="BE58" i="1"/>
  <c r="BD181" i="1"/>
  <c r="BD182" i="1"/>
  <c r="BD183" i="1"/>
  <c r="BD184" i="1"/>
  <c r="BE68" i="1"/>
  <c r="BE48" i="1"/>
  <c r="BD131" i="1"/>
  <c r="BD132" i="1"/>
  <c r="BD133" i="1"/>
  <c r="BD134" i="1"/>
  <c r="BD219" i="1"/>
  <c r="BD141" i="1"/>
  <c r="BD142" i="1"/>
  <c r="BD143" i="1"/>
  <c r="BD144" i="1"/>
  <c r="BE52" i="1"/>
  <c r="BE34" i="1"/>
  <c r="BD96" i="1"/>
  <c r="BD97" i="1"/>
  <c r="BD98" i="1"/>
  <c r="BD99" i="1"/>
  <c r="BD136" i="1"/>
  <c r="BD137" i="1"/>
  <c r="BD138" i="1"/>
  <c r="BD139" i="1"/>
  <c r="BE50" i="1"/>
  <c r="BC137" i="1"/>
  <c r="BC138" i="1"/>
  <c r="BC139" i="1"/>
  <c r="W47" i="33"/>
  <c r="V47" i="33"/>
  <c r="K47" i="33"/>
  <c r="R46" i="33"/>
  <c r="R45" i="33"/>
  <c r="BF87" i="11"/>
  <c r="BE119" i="22"/>
  <c r="BE120" i="22"/>
  <c r="BE121" i="22"/>
  <c r="BE122" i="22"/>
  <c r="BF44" i="22"/>
  <c r="BD113" i="6"/>
  <c r="BD114" i="6"/>
  <c r="BD115" i="6"/>
  <c r="BD116" i="6"/>
  <c r="BE36" i="6"/>
  <c r="BD93" i="6"/>
  <c r="BD94" i="6"/>
  <c r="BD95" i="6"/>
  <c r="BD96" i="6"/>
  <c r="BE28" i="6"/>
  <c r="BE24" i="6"/>
  <c r="BD83" i="6"/>
  <c r="BD84" i="6"/>
  <c r="BD85" i="6"/>
  <c r="BD86" i="6"/>
  <c r="BE32" i="6"/>
  <c r="BD103" i="6"/>
  <c r="BD104" i="6"/>
  <c r="BD105" i="6"/>
  <c r="BD106" i="6"/>
  <c r="BE40" i="6"/>
  <c r="BD123" i="6"/>
  <c r="BD124" i="6"/>
  <c r="BD125" i="6"/>
  <c r="BD126" i="6"/>
  <c r="BD133" i="6"/>
  <c r="BD134" i="6"/>
  <c r="BD135" i="6"/>
  <c r="BD136" i="6"/>
  <c r="BE44" i="6"/>
  <c r="BD108" i="6"/>
  <c r="BD109" i="6"/>
  <c r="BD110" i="6"/>
  <c r="BD111" i="6"/>
  <c r="BE34" i="6"/>
  <c r="BD78" i="6"/>
  <c r="BD79" i="6"/>
  <c r="BD80" i="6"/>
  <c r="BD81" i="6"/>
  <c r="BE22" i="6"/>
  <c r="BE26" i="6"/>
  <c r="BD88" i="6"/>
  <c r="BD89" i="6"/>
  <c r="BD90" i="6"/>
  <c r="BD91" i="6"/>
  <c r="BE98" i="6"/>
  <c r="BE99" i="6"/>
  <c r="BE100" i="6"/>
  <c r="BE101" i="6"/>
  <c r="BF30" i="6"/>
  <c r="BF42" i="6"/>
  <c r="BE128" i="6"/>
  <c r="BE129" i="6"/>
  <c r="BE130" i="6"/>
  <c r="BE131" i="6"/>
  <c r="BE218" i="1"/>
  <c r="BE217" i="1"/>
  <c r="BH80" i="1"/>
  <c r="BG211" i="1"/>
  <c r="BG212" i="1"/>
  <c r="BG213" i="1"/>
  <c r="BG214" i="1"/>
  <c r="BG82" i="1"/>
  <c r="BF216" i="1"/>
  <c r="BE42" i="1"/>
  <c r="BD116" i="1"/>
  <c r="BD117" i="1"/>
  <c r="BD118" i="1"/>
  <c r="BD119" i="1"/>
  <c r="BF212" i="1"/>
  <c r="BF213" i="1"/>
  <c r="BB209" i="1"/>
  <c r="BE99" i="8"/>
  <c r="BE100" i="8"/>
  <c r="BE101" i="8"/>
  <c r="BE102" i="8"/>
  <c r="BF36" i="8"/>
  <c r="BI38" i="8"/>
  <c r="BH104" i="8"/>
  <c r="BH105" i="8"/>
  <c r="BH106" i="8"/>
  <c r="BH107" i="8"/>
  <c r="BF44" i="11"/>
  <c r="BE119" i="11"/>
  <c r="BD120" i="11"/>
  <c r="BD121" i="11"/>
  <c r="BD122" i="11"/>
  <c r="L46" i="36"/>
  <c r="N46" i="36"/>
  <c r="O46" i="36"/>
  <c r="P46" i="36"/>
  <c r="Q46" i="36"/>
  <c r="T46" i="36"/>
  <c r="AO46" i="36"/>
  <c r="AB46" i="36"/>
  <c r="AL46" i="36"/>
  <c r="Y46" i="36"/>
  <c r="AI46" i="36"/>
  <c r="AS46" i="36"/>
  <c r="AF46" i="36"/>
  <c r="AP46" i="36"/>
  <c r="AC46" i="36"/>
  <c r="AM46" i="36"/>
  <c r="Z46" i="36"/>
  <c r="AJ46" i="36"/>
  <c r="AT46" i="36"/>
  <c r="AG46" i="36"/>
  <c r="AQ46" i="36"/>
  <c r="AD46" i="36"/>
  <c r="AN46" i="36"/>
  <c r="AA46" i="36"/>
  <c r="AK46" i="36"/>
  <c r="X46" i="36"/>
  <c r="AH46" i="36"/>
  <c r="AR46" i="36"/>
  <c r="AE46" i="36"/>
  <c r="U45" i="34"/>
  <c r="W45" i="34"/>
  <c r="V45" i="34"/>
  <c r="T47" i="32"/>
  <c r="L28" i="26"/>
  <c r="S45" i="32"/>
  <c r="R44" i="32"/>
  <c r="AD47" i="32"/>
  <c r="AO47" i="32"/>
  <c r="AE47" i="32"/>
  <c r="AM47" i="32"/>
  <c r="AK47" i="32"/>
  <c r="AP47" i="32"/>
  <c r="AJ47" i="32"/>
  <c r="AL47" i="32"/>
  <c r="AI47" i="32"/>
  <c r="X47" i="32"/>
  <c r="AQ47" i="32"/>
  <c r="AR47" i="32"/>
  <c r="AB47" i="32"/>
  <c r="AH47" i="32"/>
  <c r="Z47" i="32"/>
  <c r="AG47" i="32"/>
  <c r="AC47" i="32"/>
  <c r="AA47" i="32"/>
  <c r="AU47" i="32"/>
  <c r="Y47" i="32"/>
  <c r="AN47" i="32"/>
  <c r="AT47" i="32"/>
  <c r="AS47" i="32"/>
  <c r="AF47" i="32"/>
  <c r="S46" i="32"/>
  <c r="L29" i="26"/>
  <c r="BC107" i="11"/>
  <c r="BE34" i="22"/>
  <c r="BD94" i="22"/>
  <c r="BE104" i="22"/>
  <c r="BE105" i="22"/>
  <c r="BE106" i="22"/>
  <c r="BE107" i="22"/>
  <c r="BF38" i="22"/>
  <c r="BD129" i="22"/>
  <c r="BD130" i="22"/>
  <c r="BD131" i="22"/>
  <c r="BD132" i="22"/>
  <c r="BE48" i="22"/>
  <c r="BE84" i="7"/>
  <c r="BE85" i="7"/>
  <c r="BE86" i="7"/>
  <c r="BE87" i="7"/>
  <c r="BF30" i="7"/>
  <c r="BD100" i="7"/>
  <c r="BD101" i="7"/>
  <c r="BD102" i="7"/>
  <c r="BC95" i="7"/>
  <c r="BC96" i="7"/>
  <c r="BE34" i="7"/>
  <c r="BD94" i="7"/>
  <c r="BD95" i="7"/>
  <c r="BD96" i="7"/>
  <c r="BD97" i="7"/>
  <c r="BE104" i="7"/>
  <c r="BE105" i="7"/>
  <c r="BE106" i="7"/>
  <c r="BE107" i="7"/>
  <c r="BF38" i="7"/>
  <c r="BH40" i="7"/>
  <c r="BG109" i="7"/>
  <c r="BG110" i="7"/>
  <c r="BG111" i="7"/>
  <c r="BG112" i="7"/>
  <c r="BE42" i="7"/>
  <c r="BD114" i="7"/>
  <c r="BD115" i="7"/>
  <c r="BD116" i="7"/>
  <c r="BD117" i="7"/>
  <c r="BE99" i="7"/>
  <c r="BE100" i="7"/>
  <c r="BE101" i="7"/>
  <c r="BE102" i="7"/>
  <c r="BF36" i="7"/>
  <c r="BH38" i="6"/>
  <c r="BG118" i="6"/>
  <c r="BG119" i="6"/>
  <c r="BG120" i="6"/>
  <c r="BG121" i="6"/>
  <c r="BI54" i="9"/>
  <c r="BH144" i="9"/>
  <c r="BH145" i="9"/>
  <c r="BH146" i="9"/>
  <c r="BH147" i="9"/>
  <c r="BD42" i="9"/>
  <c r="BC114" i="9"/>
  <c r="BC115" i="9"/>
  <c r="BC116" i="9"/>
  <c r="BC117" i="9"/>
  <c r="BD94" i="9"/>
  <c r="BD95" i="9"/>
  <c r="BD96" i="9"/>
  <c r="BD97" i="9"/>
  <c r="BE34" i="9"/>
  <c r="BE46" i="9"/>
  <c r="BD124" i="9"/>
  <c r="BD125" i="9"/>
  <c r="BD126" i="9"/>
  <c r="BD127" i="9"/>
  <c r="BH38" i="9"/>
  <c r="BG104" i="9"/>
  <c r="BG105" i="9"/>
  <c r="BG106" i="9"/>
  <c r="BG107" i="9"/>
  <c r="BE134" i="9"/>
  <c r="BE135" i="9"/>
  <c r="BE136" i="9"/>
  <c r="BE137" i="9"/>
  <c r="BF50" i="9"/>
  <c r="BD129" i="9"/>
  <c r="BD130" i="9"/>
  <c r="BD131" i="9"/>
  <c r="BD132" i="9"/>
  <c r="BE48" i="9"/>
  <c r="BD149" i="9"/>
  <c r="BE56" i="9"/>
  <c r="BE44" i="9"/>
  <c r="BD119" i="9"/>
  <c r="BD120" i="9"/>
  <c r="BD121" i="9"/>
  <c r="BD122" i="9"/>
  <c r="BC150" i="9"/>
  <c r="BC151" i="9"/>
  <c r="BG32" i="9"/>
  <c r="BF89" i="9"/>
  <c r="BF90" i="9"/>
  <c r="BF91" i="9"/>
  <c r="BF92" i="9"/>
  <c r="BE202" i="1"/>
  <c r="BE203" i="1"/>
  <c r="BE204" i="1"/>
  <c r="BG76" i="1"/>
  <c r="BF201" i="1"/>
  <c r="BF202" i="1"/>
  <c r="BF203" i="1"/>
  <c r="BF204" i="1"/>
  <c r="BG66" i="1"/>
  <c r="BF176" i="1"/>
  <c r="BF177" i="1"/>
  <c r="BF178" i="1"/>
  <c r="BF179" i="1"/>
  <c r="BF72" i="1"/>
  <c r="BE191" i="1"/>
  <c r="BE192" i="1"/>
  <c r="BE193" i="1"/>
  <c r="BE194" i="1"/>
  <c r="BC197" i="1"/>
  <c r="BC198" i="1"/>
  <c r="BC199" i="1"/>
  <c r="BE78" i="1"/>
  <c r="BD206" i="1"/>
  <c r="BD207" i="1"/>
  <c r="BD208" i="1"/>
  <c r="BD209" i="1"/>
  <c r="BE70" i="1"/>
  <c r="BD186" i="1"/>
  <c r="BJ151" i="1"/>
  <c r="BJ152" i="1"/>
  <c r="BJ153" i="1"/>
  <c r="BJ154" i="1"/>
  <c r="BK56" i="1"/>
  <c r="BE74" i="1"/>
  <c r="BD196" i="1"/>
  <c r="BD197" i="1"/>
  <c r="BD198" i="1"/>
  <c r="BD199" i="1"/>
  <c r="BF60" i="1"/>
  <c r="BE161" i="1"/>
  <c r="BE162" i="1"/>
  <c r="BE163" i="1"/>
  <c r="BE164" i="1"/>
  <c r="W48" i="37"/>
  <c r="V48" i="37"/>
  <c r="K48" i="37"/>
  <c r="T48" i="37"/>
  <c r="BI115" i="11"/>
  <c r="BI116" i="11"/>
  <c r="BI117" i="11"/>
  <c r="BK42" i="11"/>
  <c r="BJ114" i="11"/>
  <c r="W46" i="35"/>
  <c r="V46" i="35"/>
  <c r="K46" i="35"/>
  <c r="BE100" i="11"/>
  <c r="BE101" i="11"/>
  <c r="BE102" i="11"/>
  <c r="BG85" i="11"/>
  <c r="BG86" i="11"/>
  <c r="BG87" i="11"/>
  <c r="BD105" i="11"/>
  <c r="BD106" i="11"/>
  <c r="BG36" i="11"/>
  <c r="BF99" i="11"/>
  <c r="BH84" i="11"/>
  <c r="BI30" i="11"/>
  <c r="BF38" i="11"/>
  <c r="BE104" i="11"/>
  <c r="BF50" i="10"/>
  <c r="BE134" i="10"/>
  <c r="BD135" i="10"/>
  <c r="BD136" i="10"/>
  <c r="BD137" i="10"/>
  <c r="BE99" i="10"/>
  <c r="BF36" i="10"/>
  <c r="BD100" i="10"/>
  <c r="BD101" i="10"/>
  <c r="BD102" i="10"/>
  <c r="BD154" i="22"/>
  <c r="BE58" i="22"/>
  <c r="BC155" i="22"/>
  <c r="BC156" i="22"/>
  <c r="BC157" i="22"/>
  <c r="BD145" i="22"/>
  <c r="BD146" i="22"/>
  <c r="BD147" i="22"/>
  <c r="BD110" i="22"/>
  <c r="BD111" i="22"/>
  <c r="BD112" i="22"/>
  <c r="BF36" i="22"/>
  <c r="BE99" i="22"/>
  <c r="BF40" i="22"/>
  <c r="BE109" i="22"/>
  <c r="BE144" i="22"/>
  <c r="BF54" i="22"/>
  <c r="BD100" i="22"/>
  <c r="BD101" i="22"/>
  <c r="BD102" i="22"/>
  <c r="BG149" i="8"/>
  <c r="BH56" i="8"/>
  <c r="BF150" i="8"/>
  <c r="BF151" i="8"/>
  <c r="BF152" i="8"/>
  <c r="BE144" i="8"/>
  <c r="BF54" i="8"/>
  <c r="BD145" i="8"/>
  <c r="BD146" i="8"/>
  <c r="BD147" i="8"/>
  <c r="BD139" i="8"/>
  <c r="BE52" i="8"/>
  <c r="BE48" i="8"/>
  <c r="BD129" i="8"/>
  <c r="BE40" i="8"/>
  <c r="BD109" i="8"/>
  <c r="BC130" i="8"/>
  <c r="BC131" i="8"/>
  <c r="BC132" i="8"/>
  <c r="BD30" i="8"/>
  <c r="BC84" i="8"/>
  <c r="BC140" i="8"/>
  <c r="BC141" i="8"/>
  <c r="BC142" i="8"/>
  <c r="BE32" i="8"/>
  <c r="BD89" i="8"/>
  <c r="BC110" i="8"/>
  <c r="BC111" i="8"/>
  <c r="BC112" i="8"/>
  <c r="BB85" i="8"/>
  <c r="BB86" i="8"/>
  <c r="BB87" i="8"/>
  <c r="BC90" i="8"/>
  <c r="BC91" i="8"/>
  <c r="BC92" i="8"/>
  <c r="BE54" i="7"/>
  <c r="BD144" i="7"/>
  <c r="BC145" i="7"/>
  <c r="BC146" i="7"/>
  <c r="BC147" i="7"/>
  <c r="BC140" i="7"/>
  <c r="BC141" i="7"/>
  <c r="BC142" i="7"/>
  <c r="BD139" i="7"/>
  <c r="BE52" i="7"/>
  <c r="BC135" i="7"/>
  <c r="BC136" i="7"/>
  <c r="BC137" i="7"/>
  <c r="BE50" i="7"/>
  <c r="BD134" i="7"/>
  <c r="BF120" i="7"/>
  <c r="BF121" i="7"/>
  <c r="BF122" i="7"/>
  <c r="BE125" i="7"/>
  <c r="BE126" i="7"/>
  <c r="BE127" i="7"/>
  <c r="BF124" i="7"/>
  <c r="BG46" i="7"/>
  <c r="BJ90" i="7"/>
  <c r="BJ91" i="7"/>
  <c r="BJ92" i="7"/>
  <c r="BH44" i="7"/>
  <c r="BG119" i="7"/>
  <c r="BL32" i="7"/>
  <c r="BK89" i="7"/>
  <c r="BE56" i="6"/>
  <c r="BD163" i="6"/>
  <c r="BC164" i="6"/>
  <c r="BC165" i="6"/>
  <c r="BC166" i="6"/>
  <c r="BC159" i="6"/>
  <c r="BC160" i="6"/>
  <c r="BC161" i="6"/>
  <c r="BD158" i="6"/>
  <c r="BE54" i="6"/>
  <c r="BD153" i="6"/>
  <c r="BE52" i="6"/>
  <c r="BC154" i="6"/>
  <c r="BC155" i="6"/>
  <c r="BC156" i="6"/>
  <c r="BD148" i="6"/>
  <c r="BE50" i="6"/>
  <c r="BC149" i="6"/>
  <c r="BC150" i="6"/>
  <c r="BC151" i="6"/>
  <c r="BC144" i="6"/>
  <c r="BC145" i="6"/>
  <c r="BC146" i="6"/>
  <c r="BE48" i="6"/>
  <c r="BD143" i="6"/>
  <c r="BF60" i="9"/>
  <c r="BE159" i="9"/>
  <c r="BD160" i="9"/>
  <c r="BD161" i="9"/>
  <c r="BD162" i="9"/>
  <c r="BC155" i="9"/>
  <c r="BC156" i="9"/>
  <c r="BC157" i="9"/>
  <c r="BD154" i="9"/>
  <c r="BE58" i="9"/>
  <c r="BF40" i="9"/>
  <c r="BE109" i="9"/>
  <c r="BD110" i="9"/>
  <c r="BD111" i="9"/>
  <c r="BD112" i="9"/>
  <c r="BD100" i="9"/>
  <c r="BD101" i="9"/>
  <c r="BD102" i="9"/>
  <c r="BE99" i="9"/>
  <c r="BF36" i="9"/>
  <c r="BC167" i="1"/>
  <c r="BC168" i="1"/>
  <c r="BE62" i="1"/>
  <c r="BD166" i="1"/>
  <c r="BE46" i="1"/>
  <c r="BD126" i="1"/>
  <c r="BC127" i="1"/>
  <c r="BC128" i="1"/>
  <c r="BC129" i="1"/>
  <c r="BD146" i="1"/>
  <c r="BE54" i="1"/>
  <c r="BC147" i="1"/>
  <c r="BC148" i="1"/>
  <c r="BG44" i="1"/>
  <c r="BF121" i="1"/>
  <c r="BE122" i="1"/>
  <c r="BE123" i="1"/>
  <c r="BE124" i="1"/>
  <c r="BC107" i="1"/>
  <c r="BC108" i="1"/>
  <c r="BC109" i="1"/>
  <c r="BE38" i="1"/>
  <c r="BD106" i="1"/>
  <c r="BG40" i="1"/>
  <c r="BF111" i="1"/>
  <c r="BE112" i="1"/>
  <c r="BE113" i="1"/>
  <c r="BE114" i="1"/>
  <c r="BG36" i="1"/>
  <c r="BF101" i="1"/>
  <c r="BE102" i="1"/>
  <c r="BE103" i="1"/>
  <c r="AH41" i="41"/>
  <c r="AC41" i="41"/>
  <c r="AK41" i="41"/>
  <c r="BE129" i="7"/>
  <c r="BE130" i="7"/>
  <c r="BE131" i="7"/>
  <c r="BE132" i="7"/>
  <c r="BF48" i="7"/>
  <c r="K45" i="34"/>
  <c r="T45" i="34"/>
  <c r="AB41" i="41"/>
  <c r="AM41" i="41"/>
  <c r="U42" i="41"/>
  <c r="K42" i="41"/>
  <c r="T42" i="41"/>
  <c r="BX180" i="2"/>
  <c r="BW59" i="2"/>
  <c r="Z59" i="11"/>
  <c r="AA229" i="11"/>
  <c r="BQ237" i="9"/>
  <c r="BP75" i="9"/>
  <c r="Q49" i="41"/>
  <c r="P50" i="41"/>
  <c r="Q50" i="41"/>
  <c r="BK167" i="22"/>
  <c r="BM192" i="22"/>
  <c r="BC202" i="22"/>
  <c r="BI167" i="8"/>
  <c r="BL207" i="9"/>
  <c r="BD152" i="11"/>
  <c r="BC162" i="10"/>
  <c r="BX187" i="7"/>
  <c r="BX197" i="7"/>
  <c r="BT192" i="11"/>
  <c r="BJ207" i="7"/>
  <c r="BC207" i="8"/>
  <c r="BC187" i="8"/>
  <c r="BW162" i="22"/>
  <c r="BF157" i="7"/>
  <c r="BC177" i="7"/>
  <c r="BC137" i="11"/>
  <c r="BM207" i="22"/>
  <c r="BP157" i="8"/>
  <c r="BX182" i="22"/>
  <c r="CA207" i="10"/>
  <c r="CA239" i="10"/>
  <c r="BG127" i="11"/>
  <c r="BS197" i="11"/>
  <c r="BZ177" i="22"/>
  <c r="BU249" i="40"/>
  <c r="BU250" i="40"/>
  <c r="BU251" i="40"/>
  <c r="BU252" i="40"/>
  <c r="BV94" i="40"/>
  <c r="CA275" i="40"/>
  <c r="CA276" i="40"/>
  <c r="CA277" i="40"/>
  <c r="CB99" i="40"/>
  <c r="CA99" i="40"/>
  <c r="BZ99" i="40"/>
  <c r="CB259" i="40"/>
  <c r="BZ280" i="40"/>
  <c r="BZ281" i="40"/>
  <c r="BZ282" i="40"/>
  <c r="BU244" i="40"/>
  <c r="BU245" i="40"/>
  <c r="BU246" i="40"/>
  <c r="BU247" i="40"/>
  <c r="BV92" i="40"/>
  <c r="BU269" i="40"/>
  <c r="BU270" i="40"/>
  <c r="BU271" i="40"/>
  <c r="BU272" i="40"/>
  <c r="BV102" i="40"/>
  <c r="BU289" i="40"/>
  <c r="BV110" i="40"/>
  <c r="BU264" i="40"/>
  <c r="BV100" i="40"/>
  <c r="BU284" i="40"/>
  <c r="BU285" i="40"/>
  <c r="BU286" i="40"/>
  <c r="BU287" i="40"/>
  <c r="BV108" i="40"/>
  <c r="BT245" i="40"/>
  <c r="BT246" i="40"/>
  <c r="BT247" i="40"/>
  <c r="BT290" i="40"/>
  <c r="BT291" i="40"/>
  <c r="BT292" i="40"/>
  <c r="CA106" i="40"/>
  <c r="CA279" i="40"/>
  <c r="CB96" i="40"/>
  <c r="CB104" i="40"/>
  <c r="BX90" i="40"/>
  <c r="BW50" i="40"/>
  <c r="BV139" i="40"/>
  <c r="BV185" i="40"/>
  <c r="BV186" i="40"/>
  <c r="BV187" i="40"/>
  <c r="BV42" i="40"/>
  <c r="BU119" i="40"/>
  <c r="BT125" i="40"/>
  <c r="BT126" i="40"/>
  <c r="BT127" i="40"/>
  <c r="BT190" i="40"/>
  <c r="BT191" i="40"/>
  <c r="BT192" i="40"/>
  <c r="BV48" i="40"/>
  <c r="BU134" i="40"/>
  <c r="BW76" i="40"/>
  <c r="BV204" i="40"/>
  <c r="BT220" i="40"/>
  <c r="BT221" i="40"/>
  <c r="BT222" i="40"/>
  <c r="BT130" i="40"/>
  <c r="BT131" i="40"/>
  <c r="BT132" i="40"/>
  <c r="BV56" i="40"/>
  <c r="BU154" i="40"/>
  <c r="BU225" i="40"/>
  <c r="BU226" i="40"/>
  <c r="BW60" i="40"/>
  <c r="BV164" i="40"/>
  <c r="BX72" i="40"/>
  <c r="BW194" i="40"/>
  <c r="BX64" i="40"/>
  <c r="BW174" i="40"/>
  <c r="BW40" i="40"/>
  <c r="BV114" i="40"/>
  <c r="BV44" i="40"/>
  <c r="BU124" i="40"/>
  <c r="BV70" i="40"/>
  <c r="BU189" i="40"/>
  <c r="BU180" i="40"/>
  <c r="BU181" i="40"/>
  <c r="BT167" i="40"/>
  <c r="BW88" i="40"/>
  <c r="BV234" i="40"/>
  <c r="BU115" i="40"/>
  <c r="BU116" i="40"/>
  <c r="BU117" i="40"/>
  <c r="BT207" i="40"/>
  <c r="BV74" i="40"/>
  <c r="BU199" i="40"/>
  <c r="BS242" i="40"/>
  <c r="BT170" i="40"/>
  <c r="BT171" i="40"/>
  <c r="BT172" i="40"/>
  <c r="BT145" i="40"/>
  <c r="BT146" i="40"/>
  <c r="BT147" i="40"/>
  <c r="BU187" i="40"/>
  <c r="BV78" i="40"/>
  <c r="BU209" i="40"/>
  <c r="BV54" i="40"/>
  <c r="BU149" i="40"/>
  <c r="BV58" i="40"/>
  <c r="BU159" i="40"/>
  <c r="BS172" i="40"/>
  <c r="BT230" i="40"/>
  <c r="BT231" i="40"/>
  <c r="BU215" i="40"/>
  <c r="BU216" i="40"/>
  <c r="BT240" i="40"/>
  <c r="BT241" i="40"/>
  <c r="BT242" i="40"/>
  <c r="BU140" i="40"/>
  <c r="BU141" i="40"/>
  <c r="BX68" i="40"/>
  <c r="BW184" i="40"/>
  <c r="BT135" i="40"/>
  <c r="BT136" i="40"/>
  <c r="BT137" i="40"/>
  <c r="BU205" i="40"/>
  <c r="BU206" i="40"/>
  <c r="BU207" i="40"/>
  <c r="BV82" i="40"/>
  <c r="BU219" i="40"/>
  <c r="BV46" i="40"/>
  <c r="BU129" i="40"/>
  <c r="BW84" i="40"/>
  <c r="BV224" i="40"/>
  <c r="BU165" i="40"/>
  <c r="BU166" i="40"/>
  <c r="BV195" i="40"/>
  <c r="BV196" i="40"/>
  <c r="BV197" i="40"/>
  <c r="BV175" i="40"/>
  <c r="BV176" i="40"/>
  <c r="BV177" i="40"/>
  <c r="BT227" i="40"/>
  <c r="BU235" i="40"/>
  <c r="BU236" i="40"/>
  <c r="BU237" i="40"/>
  <c r="BT120" i="40"/>
  <c r="BT121" i="40"/>
  <c r="BT122" i="40"/>
  <c r="BS212" i="40"/>
  <c r="BT200" i="40"/>
  <c r="BT201" i="40"/>
  <c r="BT237" i="40"/>
  <c r="BV62" i="40"/>
  <c r="BU169" i="40"/>
  <c r="BS232" i="40"/>
  <c r="BV52" i="40"/>
  <c r="BU144" i="40"/>
  <c r="BW66" i="40"/>
  <c r="BV179" i="40"/>
  <c r="BT210" i="40"/>
  <c r="BT211" i="40"/>
  <c r="BT212" i="40"/>
  <c r="BT150" i="40"/>
  <c r="BT151" i="40"/>
  <c r="BT152" i="40"/>
  <c r="BS202" i="40"/>
  <c r="BT155" i="40"/>
  <c r="BT156" i="40"/>
  <c r="BT160" i="40"/>
  <c r="BT161" i="40"/>
  <c r="BS222" i="40"/>
  <c r="BV86" i="40"/>
  <c r="BU229" i="40"/>
  <c r="BW80" i="40"/>
  <c r="BV214" i="40"/>
  <c r="BU239" i="40"/>
  <c r="BC202" i="10"/>
  <c r="BJ165" i="8"/>
  <c r="BJ166" i="8"/>
  <c r="BK206" i="7"/>
  <c r="BK205" i="7"/>
  <c r="BK60" i="7"/>
  <c r="BJ159" i="7"/>
  <c r="BO204" i="22"/>
  <c r="BP78" i="22"/>
  <c r="BD201" i="22"/>
  <c r="BD200" i="22"/>
  <c r="BV81" i="10"/>
  <c r="BW240" i="10"/>
  <c r="BF50" i="11"/>
  <c r="BE134" i="11"/>
  <c r="BM205" i="9"/>
  <c r="BM206" i="9"/>
  <c r="BE159" i="10"/>
  <c r="BF60" i="10"/>
  <c r="BQ155" i="8"/>
  <c r="BQ156" i="8"/>
  <c r="BK185" i="22"/>
  <c r="BK186" i="22"/>
  <c r="BE199" i="10"/>
  <c r="BF76" i="10"/>
  <c r="AF55" i="11"/>
  <c r="AG227" i="11"/>
  <c r="BE150" i="11"/>
  <c r="BE151" i="11"/>
  <c r="BL166" i="22"/>
  <c r="BL165" i="22"/>
  <c r="BH126" i="11"/>
  <c r="BH125" i="11"/>
  <c r="BT196" i="11"/>
  <c r="BT195" i="11"/>
  <c r="BI205" i="11"/>
  <c r="BI206" i="11"/>
  <c r="BN169" i="9"/>
  <c r="BO64" i="9"/>
  <c r="BD186" i="8"/>
  <c r="BD185" i="8"/>
  <c r="BL62" i="8"/>
  <c r="BK164" i="8"/>
  <c r="BM78" i="7"/>
  <c r="BL204" i="7"/>
  <c r="BW232" i="10"/>
  <c r="BV65" i="10"/>
  <c r="BP165" i="10"/>
  <c r="BP166" i="10"/>
  <c r="BC182" i="10"/>
  <c r="BL172" i="9"/>
  <c r="BP72" i="22"/>
  <c r="BO189" i="22"/>
  <c r="BF76" i="22"/>
  <c r="BE199" i="22"/>
  <c r="BN177" i="10"/>
  <c r="BD206" i="8"/>
  <c r="BD205" i="8"/>
  <c r="BO78" i="9"/>
  <c r="BN204" i="9"/>
  <c r="BD161" i="10"/>
  <c r="BD160" i="10"/>
  <c r="BW147" i="10"/>
  <c r="BR154" i="8"/>
  <c r="BS58" i="8"/>
  <c r="BW233" i="9"/>
  <c r="BV67" i="9"/>
  <c r="BF149" i="11"/>
  <c r="BG56" i="11"/>
  <c r="BM164" i="22"/>
  <c r="BN62" i="22"/>
  <c r="BI124" i="11"/>
  <c r="BJ46" i="11"/>
  <c r="BD202" i="7"/>
  <c r="CB67" i="22"/>
  <c r="CA67" i="22"/>
  <c r="BZ67" i="22"/>
  <c r="CB174" i="22"/>
  <c r="BJ204" i="11"/>
  <c r="BK78" i="11"/>
  <c r="BE199" i="11"/>
  <c r="BF76" i="11"/>
  <c r="BF62" i="9"/>
  <c r="BE164" i="9"/>
  <c r="BT184" i="10"/>
  <c r="BU70" i="10"/>
  <c r="BF68" i="10"/>
  <c r="BE179" i="10"/>
  <c r="BM170" i="9"/>
  <c r="BM171" i="9"/>
  <c r="BQ164" i="10"/>
  <c r="BR62" i="10"/>
  <c r="BU59" i="10"/>
  <c r="BV229" i="10"/>
  <c r="BN190" i="22"/>
  <c r="BN191" i="22"/>
  <c r="BI58" i="7"/>
  <c r="BH154" i="7"/>
  <c r="BF78" i="8"/>
  <c r="BE204" i="8"/>
  <c r="BG76" i="7"/>
  <c r="BF199" i="7"/>
  <c r="AL61" i="11"/>
  <c r="AM230" i="11"/>
  <c r="BQ66" i="10"/>
  <c r="BP174" i="10"/>
  <c r="CA175" i="22"/>
  <c r="CA176" i="22"/>
  <c r="BZ54" i="10"/>
  <c r="BY144" i="10"/>
  <c r="BD201" i="11"/>
  <c r="BD200" i="11"/>
  <c r="BD165" i="9"/>
  <c r="BD166" i="9"/>
  <c r="BS185" i="10"/>
  <c r="BS186" i="10"/>
  <c r="BD181" i="10"/>
  <c r="BD180" i="10"/>
  <c r="BF66" i="7"/>
  <c r="BE174" i="7"/>
  <c r="AI81" i="8"/>
  <c r="AJ240" i="8"/>
  <c r="BH207" i="11"/>
  <c r="BC202" i="11"/>
  <c r="BC167" i="9"/>
  <c r="BR187" i="10"/>
  <c r="BI160" i="7"/>
  <c r="BI161" i="7"/>
  <c r="BN205" i="22"/>
  <c r="BN206" i="22"/>
  <c r="BE149" i="22"/>
  <c r="BE150" i="22"/>
  <c r="BE151" i="22"/>
  <c r="BE152" i="22"/>
  <c r="BF56" i="22"/>
  <c r="BO167" i="10"/>
  <c r="BG155" i="7"/>
  <c r="BG156" i="7"/>
  <c r="BH162" i="7"/>
  <c r="BD135" i="11"/>
  <c r="BD136" i="11"/>
  <c r="BE200" i="7"/>
  <c r="BE201" i="7"/>
  <c r="BL184" i="22"/>
  <c r="BM70" i="22"/>
  <c r="BD201" i="10"/>
  <c r="BD200" i="10"/>
  <c r="BO175" i="10"/>
  <c r="BO176" i="10"/>
  <c r="BU194" i="11"/>
  <c r="BV74" i="11"/>
  <c r="BX145" i="10"/>
  <c r="BX146" i="10"/>
  <c r="BJ187" i="22"/>
  <c r="BF46" i="6"/>
  <c r="BE138" i="6"/>
  <c r="BE139" i="6"/>
  <c r="BE140" i="6"/>
  <c r="BE141" i="6"/>
  <c r="BD175" i="7"/>
  <c r="BD176" i="7"/>
  <c r="BF70" i="8"/>
  <c r="BE184" i="8"/>
  <c r="S49" i="31"/>
  <c r="G32" i="26"/>
  <c r="L50" i="31"/>
  <c r="N50" i="31"/>
  <c r="O50" i="31"/>
  <c r="P50" i="31"/>
  <c r="T50" i="31"/>
  <c r="AH50" i="31"/>
  <c r="AU50" i="31"/>
  <c r="AJ50" i="31"/>
  <c r="AL50" i="31"/>
  <c r="AO50" i="31"/>
  <c r="AT50" i="31"/>
  <c r="Z50" i="31"/>
  <c r="Y50" i="31"/>
  <c r="AQ50" i="31"/>
  <c r="AA50" i="31"/>
  <c r="AC50" i="31"/>
  <c r="AP50" i="31"/>
  <c r="AG50" i="31"/>
  <c r="AK50" i="31"/>
  <c r="AS50" i="31"/>
  <c r="AX50" i="31"/>
  <c r="AF50" i="31"/>
  <c r="AV50" i="31"/>
  <c r="AM50" i="31"/>
  <c r="AB50" i="31"/>
  <c r="AW50" i="31"/>
  <c r="X50" i="31"/>
  <c r="AD50" i="31"/>
  <c r="AI50" i="31"/>
  <c r="AR50" i="31"/>
  <c r="AN50" i="31"/>
  <c r="AE50" i="31"/>
  <c r="BG109" i="11"/>
  <c r="BG110" i="11"/>
  <c r="BG111" i="11"/>
  <c r="BG112" i="11"/>
  <c r="BH40" i="11"/>
  <c r="BE129" i="10"/>
  <c r="BE130" i="10"/>
  <c r="BE131" i="10"/>
  <c r="BE132" i="10"/>
  <c r="BF48" i="10"/>
  <c r="BF46" i="10"/>
  <c r="BE124" i="10"/>
  <c r="BE125" i="10"/>
  <c r="BE126" i="10"/>
  <c r="BE127" i="10"/>
  <c r="BE94" i="10"/>
  <c r="BE95" i="10"/>
  <c r="BE96" i="10"/>
  <c r="BE97" i="10"/>
  <c r="BF34" i="10"/>
  <c r="BE109" i="10"/>
  <c r="BE110" i="10"/>
  <c r="BE111" i="10"/>
  <c r="BE112" i="10"/>
  <c r="BF40" i="10"/>
  <c r="BF52" i="10"/>
  <c r="BE139" i="10"/>
  <c r="BE140" i="10"/>
  <c r="BE141" i="10"/>
  <c r="BE142" i="10"/>
  <c r="BF42" i="10"/>
  <c r="BE114" i="10"/>
  <c r="BE115" i="10"/>
  <c r="BE116" i="10"/>
  <c r="BE117" i="10"/>
  <c r="BF119" i="10"/>
  <c r="BF120" i="10"/>
  <c r="BF121" i="10"/>
  <c r="BF122" i="10"/>
  <c r="BG44" i="10"/>
  <c r="BF38" i="10"/>
  <c r="BE104" i="10"/>
  <c r="BE105" i="10"/>
  <c r="BE106" i="10"/>
  <c r="BE107" i="10"/>
  <c r="BF32" i="10"/>
  <c r="BE89" i="10"/>
  <c r="BE90" i="10"/>
  <c r="BE91" i="10"/>
  <c r="BE92" i="10"/>
  <c r="BF30" i="10"/>
  <c r="BE84" i="10"/>
  <c r="BE85" i="10"/>
  <c r="BE86" i="10"/>
  <c r="BE87" i="10"/>
  <c r="BG52" i="22"/>
  <c r="BF139" i="22"/>
  <c r="BF140" i="22"/>
  <c r="BF141" i="22"/>
  <c r="BF142" i="22"/>
  <c r="BG46" i="22"/>
  <c r="BF124" i="22"/>
  <c r="BF125" i="22"/>
  <c r="BF126" i="22"/>
  <c r="BF127" i="22"/>
  <c r="BF50" i="22"/>
  <c r="BE134" i="22"/>
  <c r="BE135" i="22"/>
  <c r="BE136" i="22"/>
  <c r="BE137" i="22"/>
  <c r="BF42" i="22"/>
  <c r="BE114" i="22"/>
  <c r="BE115" i="22"/>
  <c r="BE116" i="22"/>
  <c r="BE117" i="22"/>
  <c r="BF46" i="8"/>
  <c r="BE124" i="8"/>
  <c r="BE125" i="8"/>
  <c r="BE126" i="8"/>
  <c r="BE127" i="8"/>
  <c r="BF134" i="8"/>
  <c r="BF135" i="8"/>
  <c r="BF136" i="8"/>
  <c r="BF137" i="8"/>
  <c r="BG50" i="8"/>
  <c r="BW177" i="8"/>
  <c r="BZ182" i="9"/>
  <c r="BC202" i="9"/>
  <c r="BD200" i="9"/>
  <c r="BD201" i="9"/>
  <c r="D179" i="2"/>
  <c r="C58" i="2"/>
  <c r="CB69" i="9"/>
  <c r="CA69" i="9"/>
  <c r="BZ69" i="9"/>
  <c r="BY69" i="9"/>
  <c r="BX69" i="9"/>
  <c r="CB179" i="9"/>
  <c r="BV201" i="8"/>
  <c r="BV200" i="8"/>
  <c r="BD190" i="9"/>
  <c r="BD191" i="9"/>
  <c r="BU159" i="8"/>
  <c r="BV60" i="8"/>
  <c r="A61" i="2"/>
  <c r="A181" i="2"/>
  <c r="BW181" i="2"/>
  <c r="BF76" i="9"/>
  <c r="BE199" i="9"/>
  <c r="BT49" i="11"/>
  <c r="BU224" i="11"/>
  <c r="BV189" i="11"/>
  <c r="BW72" i="11"/>
  <c r="BO73" i="10"/>
  <c r="BP236" i="10"/>
  <c r="BH192" i="8"/>
  <c r="BW81" i="7"/>
  <c r="BX240" i="7"/>
  <c r="BV181" i="8"/>
  <c r="BV180" i="8"/>
  <c r="BI65" i="7"/>
  <c r="BJ232" i="7"/>
  <c r="BE58" i="2"/>
  <c r="CF58" i="2"/>
  <c r="BF179" i="2"/>
  <c r="M179" i="2"/>
  <c r="L58" i="2"/>
  <c r="BY185" i="7"/>
  <c r="BY186" i="7"/>
  <c r="CA210" i="22"/>
  <c r="CA211" i="22"/>
  <c r="BZ195" i="22"/>
  <c r="BZ196" i="22"/>
  <c r="BY239" i="10"/>
  <c r="CA74" i="7"/>
  <c r="BZ194" i="7"/>
  <c r="BY240" i="7"/>
  <c r="AI65" i="11"/>
  <c r="AJ232" i="11"/>
  <c r="BZ240" i="7"/>
  <c r="BU202" i="8"/>
  <c r="CB172" i="22"/>
  <c r="CB232" i="22"/>
  <c r="BZ80" i="11"/>
  <c r="BY209" i="11"/>
  <c r="BY197" i="8"/>
  <c r="BY181" i="22"/>
  <c r="BY180" i="22"/>
  <c r="BX76" i="8"/>
  <c r="BW199" i="8"/>
  <c r="BV177" i="11"/>
  <c r="CB205" i="10"/>
  <c r="CB206" i="10"/>
  <c r="CB209" i="22"/>
  <c r="CB81" i="22"/>
  <c r="CA81" i="22"/>
  <c r="BZ81" i="22"/>
  <c r="BY81" i="22"/>
  <c r="BE189" i="9"/>
  <c r="BF72" i="9"/>
  <c r="BN180" i="2"/>
  <c r="U180" i="2"/>
  <c r="L180" i="2"/>
  <c r="BE180" i="2"/>
  <c r="AV180" i="2"/>
  <c r="C180" i="2"/>
  <c r="AM180" i="2"/>
  <c r="AD180" i="2"/>
  <c r="BV71" i="9"/>
  <c r="BW235" i="9"/>
  <c r="BX161" i="22"/>
  <c r="BX160" i="22"/>
  <c r="BU191" i="11"/>
  <c r="BU190" i="11"/>
  <c r="CB152" i="10"/>
  <c r="CB228" i="10"/>
  <c r="BW212" i="11"/>
  <c r="BW179" i="8"/>
  <c r="BX68" i="8"/>
  <c r="BZ195" i="8"/>
  <c r="BZ196" i="8"/>
  <c r="BS162" i="8"/>
  <c r="U58" i="2"/>
  <c r="V179" i="2"/>
  <c r="AM58" i="2"/>
  <c r="AN179" i="2"/>
  <c r="CB187" i="9"/>
  <c r="CB235" i="9"/>
  <c r="BZ239" i="10"/>
  <c r="CB74" i="22"/>
  <c r="CA194" i="22"/>
  <c r="BX176" i="8"/>
  <c r="BX175" i="8"/>
  <c r="BV57" i="10"/>
  <c r="BW228" i="10"/>
  <c r="BL31" i="22"/>
  <c r="BM215" i="22"/>
  <c r="BY195" i="7"/>
  <c r="BY196" i="7"/>
  <c r="CA181" i="9"/>
  <c r="CA180" i="9"/>
  <c r="BP53" i="11"/>
  <c r="BQ226" i="11"/>
  <c r="BC192" i="9"/>
  <c r="BZ212" i="22"/>
  <c r="BU182" i="8"/>
  <c r="AN69" i="11"/>
  <c r="AO234" i="11"/>
  <c r="BY66" i="11"/>
  <c r="BX174" i="11"/>
  <c r="BX210" i="11"/>
  <c r="BX211" i="11"/>
  <c r="BI191" i="8"/>
  <c r="BI190" i="8"/>
  <c r="CB74" i="10"/>
  <c r="CA194" i="10"/>
  <c r="BY197" i="22"/>
  <c r="BW65" i="22"/>
  <c r="BX232" i="22"/>
  <c r="BT160" i="8"/>
  <c r="BT161" i="8"/>
  <c r="BY159" i="22"/>
  <c r="BZ60" i="22"/>
  <c r="CB210" i="7"/>
  <c r="CB211" i="7"/>
  <c r="AV58" i="2"/>
  <c r="AW179" i="2"/>
  <c r="CA212" i="7"/>
  <c r="CA240" i="7"/>
  <c r="BU81" i="9"/>
  <c r="BV240" i="9"/>
  <c r="BW79" i="10"/>
  <c r="BX239" i="10"/>
  <c r="Y73" i="7"/>
  <c r="Z236" i="7"/>
  <c r="CB74" i="8"/>
  <c r="CA194" i="8"/>
  <c r="BN58" i="2"/>
  <c r="BO179" i="2"/>
  <c r="AD58" i="2"/>
  <c r="AE179" i="2"/>
  <c r="CA70" i="7"/>
  <c r="BZ184" i="7"/>
  <c r="BY197" i="10"/>
  <c r="BY174" i="8"/>
  <c r="BZ66" i="8"/>
  <c r="AA65" i="8"/>
  <c r="AB232" i="8"/>
  <c r="BF32" i="22"/>
  <c r="BE89" i="22"/>
  <c r="BE90" i="22"/>
  <c r="BE91" i="22"/>
  <c r="BE92" i="22"/>
  <c r="AM63" i="11"/>
  <c r="AN231" i="11"/>
  <c r="BS69" i="7"/>
  <c r="BT234" i="7"/>
  <c r="BW176" i="11"/>
  <c r="BW175" i="11"/>
  <c r="BK72" i="8"/>
  <c r="BJ189" i="8"/>
  <c r="BZ179" i="22"/>
  <c r="CA68" i="22"/>
  <c r="BZ195" i="10"/>
  <c r="BZ196" i="10"/>
  <c r="L42" i="30"/>
  <c r="N42" i="30"/>
  <c r="O42" i="30"/>
  <c r="P42" i="30"/>
  <c r="Q42" i="30"/>
  <c r="T42" i="30"/>
  <c r="AF42" i="30"/>
  <c r="AD42" i="30"/>
  <c r="Y42" i="30"/>
  <c r="AK42" i="30"/>
  <c r="AN42" i="30"/>
  <c r="AE42" i="30"/>
  <c r="AL42" i="30"/>
  <c r="X42" i="30"/>
  <c r="AA42" i="30"/>
  <c r="AM42" i="30"/>
  <c r="AH42" i="30"/>
  <c r="AB42" i="30"/>
  <c r="Z42" i="30"/>
  <c r="AO42" i="30"/>
  <c r="AC42" i="30"/>
  <c r="AI42" i="30"/>
  <c r="AJ42" i="30"/>
  <c r="AG42" i="30"/>
  <c r="L45" i="30"/>
  <c r="N45" i="30"/>
  <c r="O45" i="30"/>
  <c r="BF42" i="8"/>
  <c r="BE114" i="8"/>
  <c r="BE115" i="8"/>
  <c r="BE116" i="8"/>
  <c r="BE117" i="8"/>
  <c r="BK34" i="8"/>
  <c r="BJ94" i="8"/>
  <c r="BJ95" i="8"/>
  <c r="BJ96" i="8"/>
  <c r="BJ97" i="8"/>
  <c r="BF44" i="8"/>
  <c r="BE119" i="8"/>
  <c r="BE120" i="8"/>
  <c r="BE121" i="8"/>
  <c r="BE122" i="8"/>
  <c r="BL165" i="7"/>
  <c r="BL166" i="7"/>
  <c r="BE89" i="11"/>
  <c r="BE90" i="11"/>
  <c r="BE91" i="11"/>
  <c r="BE92" i="11"/>
  <c r="BF32" i="11"/>
  <c r="BK167" i="7"/>
  <c r="BM164" i="7"/>
  <c r="BN62" i="7"/>
  <c r="BF52" i="9"/>
  <c r="BE139" i="9"/>
  <c r="BE140" i="9"/>
  <c r="BE141" i="9"/>
  <c r="BE142" i="9"/>
  <c r="BF84" i="9"/>
  <c r="BF85" i="9"/>
  <c r="BF86" i="9"/>
  <c r="BF87" i="9"/>
  <c r="BG30" i="9"/>
  <c r="BG86" i="1"/>
  <c r="BG87" i="1"/>
  <c r="BG88" i="1"/>
  <c r="BG89" i="1"/>
  <c r="BH30" i="1"/>
  <c r="BF52" i="1"/>
  <c r="BE141" i="1"/>
  <c r="BE142" i="1"/>
  <c r="BE143" i="1"/>
  <c r="BE144" i="1"/>
  <c r="BE131" i="1"/>
  <c r="BE132" i="1"/>
  <c r="BE133" i="1"/>
  <c r="BE134" i="1"/>
  <c r="BF48" i="1"/>
  <c r="BH32" i="1"/>
  <c r="BG91" i="1"/>
  <c r="BG92" i="1"/>
  <c r="BG93" i="1"/>
  <c r="BG94" i="1"/>
  <c r="BE96" i="1"/>
  <c r="BE97" i="1"/>
  <c r="BE98" i="1"/>
  <c r="BE99" i="1"/>
  <c r="BF34" i="1"/>
  <c r="BF68" i="1"/>
  <c r="BE181" i="1"/>
  <c r="BE182" i="1"/>
  <c r="BE183" i="1"/>
  <c r="BE184" i="1"/>
  <c r="BF58" i="1"/>
  <c r="BE156" i="1"/>
  <c r="BE157" i="1"/>
  <c r="BE158" i="1"/>
  <c r="BE159" i="1"/>
  <c r="BF64" i="1"/>
  <c r="BE171" i="1"/>
  <c r="BE172" i="1"/>
  <c r="BE173" i="1"/>
  <c r="BE174" i="1"/>
  <c r="BF214" i="1"/>
  <c r="BE219" i="1"/>
  <c r="BF50" i="1"/>
  <c r="BE136" i="1"/>
  <c r="BE137" i="1"/>
  <c r="BE138" i="1"/>
  <c r="BE139" i="1"/>
  <c r="T47" i="33"/>
  <c r="L47" i="33"/>
  <c r="N47" i="33"/>
  <c r="O47" i="33"/>
  <c r="P47" i="33"/>
  <c r="Q47" i="33"/>
  <c r="Q28" i="26"/>
  <c r="S45" i="33"/>
  <c r="R44" i="33"/>
  <c r="R43" i="33"/>
  <c r="S43" i="33"/>
  <c r="Q29" i="26"/>
  <c r="S46" i="33"/>
  <c r="AD47" i="33"/>
  <c r="AR47" i="33"/>
  <c r="AF47" i="33"/>
  <c r="AQ47" i="33"/>
  <c r="AE47" i="33"/>
  <c r="AP47" i="33"/>
  <c r="AJ47" i="33"/>
  <c r="AL47" i="33"/>
  <c r="AM47" i="33"/>
  <c r="AA47" i="33"/>
  <c r="AO47" i="33"/>
  <c r="AC47" i="33"/>
  <c r="AN47" i="33"/>
  <c r="AB47" i="33"/>
  <c r="X47" i="33"/>
  <c r="AK47" i="33"/>
  <c r="Z47" i="33"/>
  <c r="AG47" i="33"/>
  <c r="AU47" i="33"/>
  <c r="AI47" i="33"/>
  <c r="AT47" i="33"/>
  <c r="AH47" i="33"/>
  <c r="AS47" i="33"/>
  <c r="Y47" i="33"/>
  <c r="U47" i="36"/>
  <c r="W47" i="36"/>
  <c r="V47" i="36"/>
  <c r="U48" i="32"/>
  <c r="K48" i="32"/>
  <c r="L48" i="32"/>
  <c r="N48" i="32"/>
  <c r="O48" i="32"/>
  <c r="P48" i="32"/>
  <c r="Q48" i="32"/>
  <c r="BF119" i="22"/>
  <c r="BF120" i="22"/>
  <c r="BF121" i="22"/>
  <c r="BF122" i="22"/>
  <c r="BG44" i="22"/>
  <c r="BF98" i="6"/>
  <c r="BF99" i="6"/>
  <c r="BF100" i="6"/>
  <c r="BF101" i="6"/>
  <c r="BG30" i="6"/>
  <c r="BE78" i="6"/>
  <c r="BE79" i="6"/>
  <c r="BE80" i="6"/>
  <c r="BE81" i="6"/>
  <c r="BF22" i="6"/>
  <c r="BF34" i="6"/>
  <c r="BE108" i="6"/>
  <c r="BE109" i="6"/>
  <c r="BE110" i="6"/>
  <c r="BE111" i="6"/>
  <c r="BE133" i="6"/>
  <c r="BE134" i="6"/>
  <c r="BE135" i="6"/>
  <c r="BE136" i="6"/>
  <c r="BF44" i="6"/>
  <c r="BE93" i="6"/>
  <c r="BE94" i="6"/>
  <c r="BE95" i="6"/>
  <c r="BE96" i="6"/>
  <c r="BF28" i="6"/>
  <c r="BE113" i="6"/>
  <c r="BE114" i="6"/>
  <c r="BE115" i="6"/>
  <c r="BE116" i="6"/>
  <c r="BF36" i="6"/>
  <c r="BG42" i="6"/>
  <c r="BF128" i="6"/>
  <c r="BF129" i="6"/>
  <c r="BF130" i="6"/>
  <c r="BF131" i="6"/>
  <c r="BF26" i="6"/>
  <c r="BE88" i="6"/>
  <c r="BE89" i="6"/>
  <c r="BE90" i="6"/>
  <c r="BE91" i="6"/>
  <c r="BE123" i="6"/>
  <c r="BE124" i="6"/>
  <c r="BE125" i="6"/>
  <c r="BE126" i="6"/>
  <c r="BF40" i="6"/>
  <c r="BF32" i="6"/>
  <c r="BE103" i="6"/>
  <c r="BE104" i="6"/>
  <c r="BE105" i="6"/>
  <c r="BE106" i="6"/>
  <c r="BE83" i="6"/>
  <c r="BE84" i="6"/>
  <c r="BE85" i="6"/>
  <c r="BE86" i="6"/>
  <c r="BF24" i="6"/>
  <c r="BE104" i="1"/>
  <c r="BC149" i="1"/>
  <c r="BE116" i="1"/>
  <c r="BE117" i="1"/>
  <c r="BE118" i="1"/>
  <c r="BE119" i="1"/>
  <c r="BF42" i="1"/>
  <c r="BF217" i="1"/>
  <c r="BF218" i="1"/>
  <c r="BH82" i="1"/>
  <c r="BG216" i="1"/>
  <c r="BI80" i="1"/>
  <c r="BH211" i="1"/>
  <c r="BC169" i="1"/>
  <c r="BC152" i="9"/>
  <c r="BC97" i="7"/>
  <c r="BJ38" i="8"/>
  <c r="BI104" i="8"/>
  <c r="BI105" i="8"/>
  <c r="BI106" i="8"/>
  <c r="BI107" i="8"/>
  <c r="BG36" i="8"/>
  <c r="BF99" i="8"/>
  <c r="BF100" i="8"/>
  <c r="BF101" i="8"/>
  <c r="BF102" i="8"/>
  <c r="BE120" i="11"/>
  <c r="BE121" i="11"/>
  <c r="BE122" i="11"/>
  <c r="BG44" i="11"/>
  <c r="BF119" i="11"/>
  <c r="P47" i="36"/>
  <c r="Q47" i="36"/>
  <c r="L27" i="26"/>
  <c r="S44" i="32"/>
  <c r="R43" i="32"/>
  <c r="BG38" i="22"/>
  <c r="BF104" i="22"/>
  <c r="BF105" i="22"/>
  <c r="BF106" i="22"/>
  <c r="BF107" i="22"/>
  <c r="BE129" i="22"/>
  <c r="BE130" i="22"/>
  <c r="BE131" i="22"/>
  <c r="BE132" i="22"/>
  <c r="BF48" i="22"/>
  <c r="BD95" i="22"/>
  <c r="BD96" i="22"/>
  <c r="BD97" i="22"/>
  <c r="BE94" i="22"/>
  <c r="BE95" i="22"/>
  <c r="BE96" i="22"/>
  <c r="BE97" i="22"/>
  <c r="BF34" i="22"/>
  <c r="BH109" i="7"/>
  <c r="BH110" i="7"/>
  <c r="BH111" i="7"/>
  <c r="BH112" i="7"/>
  <c r="BI40" i="7"/>
  <c r="BF104" i="7"/>
  <c r="BF105" i="7"/>
  <c r="BF106" i="7"/>
  <c r="BF107" i="7"/>
  <c r="BG38" i="7"/>
  <c r="BE114" i="7"/>
  <c r="BE115" i="7"/>
  <c r="BE116" i="7"/>
  <c r="BE117" i="7"/>
  <c r="BF42" i="7"/>
  <c r="BG30" i="7"/>
  <c r="BF84" i="7"/>
  <c r="BF85" i="7"/>
  <c r="BF86" i="7"/>
  <c r="BF87" i="7"/>
  <c r="BF99" i="7"/>
  <c r="BG36" i="7"/>
  <c r="BE94" i="7"/>
  <c r="BE95" i="7"/>
  <c r="BE96" i="7"/>
  <c r="BE97" i="7"/>
  <c r="BF34" i="7"/>
  <c r="BH118" i="6"/>
  <c r="BH119" i="6"/>
  <c r="BH120" i="6"/>
  <c r="BH121" i="6"/>
  <c r="BI38" i="6"/>
  <c r="BF34" i="9"/>
  <c r="BE94" i="9"/>
  <c r="BE95" i="9"/>
  <c r="BE96" i="9"/>
  <c r="BE97" i="9"/>
  <c r="BH104" i="9"/>
  <c r="BH105" i="9"/>
  <c r="BH106" i="9"/>
  <c r="BH107" i="9"/>
  <c r="BI38" i="9"/>
  <c r="BI144" i="9"/>
  <c r="BI145" i="9"/>
  <c r="BI146" i="9"/>
  <c r="BI147" i="9"/>
  <c r="BJ54" i="9"/>
  <c r="BF46" i="9"/>
  <c r="BE124" i="9"/>
  <c r="BE125" i="9"/>
  <c r="BE126" i="9"/>
  <c r="BE127" i="9"/>
  <c r="BD114" i="9"/>
  <c r="BD115" i="9"/>
  <c r="BD116" i="9"/>
  <c r="BD117" i="9"/>
  <c r="BE42" i="9"/>
  <c r="BG50" i="9"/>
  <c r="BF134" i="9"/>
  <c r="BD150" i="9"/>
  <c r="BD151" i="9"/>
  <c r="BD152" i="9"/>
  <c r="BE119" i="9"/>
  <c r="BE120" i="9"/>
  <c r="BE121" i="9"/>
  <c r="BE122" i="9"/>
  <c r="BF44" i="9"/>
  <c r="BF48" i="9"/>
  <c r="BE129" i="9"/>
  <c r="BG89" i="9"/>
  <c r="BG90" i="9"/>
  <c r="BG91" i="9"/>
  <c r="BG92" i="9"/>
  <c r="BH32" i="9"/>
  <c r="BF56" i="9"/>
  <c r="BE149" i="9"/>
  <c r="BE150" i="9"/>
  <c r="BE151" i="9"/>
  <c r="BE152" i="9"/>
  <c r="BF74" i="1"/>
  <c r="BE196" i="1"/>
  <c r="BF78" i="1"/>
  <c r="BE206" i="1"/>
  <c r="BE207" i="1"/>
  <c r="BE208" i="1"/>
  <c r="BE209" i="1"/>
  <c r="BH66" i="1"/>
  <c r="BG176" i="1"/>
  <c r="BF161" i="1"/>
  <c r="BG60" i="1"/>
  <c r="BK151" i="1"/>
  <c r="BK152" i="1"/>
  <c r="BK153" i="1"/>
  <c r="BK154" i="1"/>
  <c r="BL56" i="1"/>
  <c r="BD187" i="1"/>
  <c r="BD188" i="1"/>
  <c r="BF70" i="1"/>
  <c r="BE186" i="1"/>
  <c r="BE187" i="1"/>
  <c r="BE188" i="1"/>
  <c r="BE189" i="1"/>
  <c r="BG72" i="1"/>
  <c r="BF191" i="1"/>
  <c r="BF192" i="1"/>
  <c r="BF193" i="1"/>
  <c r="BF194" i="1"/>
  <c r="BH76" i="1"/>
  <c r="BG201" i="1"/>
  <c r="BG202" i="1"/>
  <c r="BG203" i="1"/>
  <c r="BG204" i="1"/>
  <c r="AS48" i="37"/>
  <c r="X48" i="37"/>
  <c r="Z48" i="37"/>
  <c r="AK48" i="37"/>
  <c r="AT48" i="37"/>
  <c r="AM48" i="37"/>
  <c r="AG48" i="37"/>
  <c r="AI48" i="37"/>
  <c r="AR48" i="37"/>
  <c r="AU48" i="37"/>
  <c r="AD48" i="37"/>
  <c r="AO48" i="37"/>
  <c r="AH48" i="37"/>
  <c r="AA48" i="37"/>
  <c r="AN48" i="37"/>
  <c r="AC48" i="37"/>
  <c r="AQ48" i="37"/>
  <c r="AF48" i="37"/>
  <c r="AB48" i="37"/>
  <c r="Y48" i="37"/>
  <c r="AV48" i="37"/>
  <c r="AP48" i="37"/>
  <c r="AE48" i="37"/>
  <c r="AJ48" i="37"/>
  <c r="AL48" i="37"/>
  <c r="BJ115" i="11"/>
  <c r="BJ116" i="11"/>
  <c r="BJ117" i="11"/>
  <c r="BK114" i="11"/>
  <c r="BL42" i="11"/>
  <c r="AE45" i="34"/>
  <c r="AF45" i="34"/>
  <c r="AP45" i="34"/>
  <c r="AR45" i="34"/>
  <c r="AM45" i="34"/>
  <c r="AK45" i="34"/>
  <c r="AL45" i="34"/>
  <c r="AG45" i="34"/>
  <c r="AI45" i="34"/>
  <c r="AS45" i="34"/>
  <c r="Z45" i="34"/>
  <c r="AB45" i="34"/>
  <c r="AC45" i="34"/>
  <c r="X45" i="34"/>
  <c r="AH45" i="34"/>
  <c r="AJ45" i="34"/>
  <c r="AN45" i="34"/>
  <c r="AO45" i="34"/>
  <c r="AQ45" i="34"/>
  <c r="AD45" i="34"/>
  <c r="Y45" i="34"/>
  <c r="AA45" i="34"/>
  <c r="L46" i="35"/>
  <c r="N46" i="35"/>
  <c r="O46" i="35"/>
  <c r="P46" i="35"/>
  <c r="Q46" i="35"/>
  <c r="T46" i="35"/>
  <c r="Y46" i="35"/>
  <c r="AO46" i="35"/>
  <c r="AH46" i="35"/>
  <c r="AA46" i="35"/>
  <c r="AQ46" i="35"/>
  <c r="AJ46" i="35"/>
  <c r="AC46" i="35"/>
  <c r="AS46" i="35"/>
  <c r="AL46" i="35"/>
  <c r="AE46" i="35"/>
  <c r="X46" i="35"/>
  <c r="AN46" i="35"/>
  <c r="AG46" i="35"/>
  <c r="Z46" i="35"/>
  <c r="AP46" i="35"/>
  <c r="AI46" i="35"/>
  <c r="AB46" i="35"/>
  <c r="AR46" i="35"/>
  <c r="AK46" i="35"/>
  <c r="AD46" i="35"/>
  <c r="AT46" i="35"/>
  <c r="AM46" i="35"/>
  <c r="AF46" i="35"/>
  <c r="BD107" i="11"/>
  <c r="BG38" i="11"/>
  <c r="BF104" i="11"/>
  <c r="BH85" i="11"/>
  <c r="BH86" i="11"/>
  <c r="BH87" i="11"/>
  <c r="BF100" i="11"/>
  <c r="BF101" i="11"/>
  <c r="BF102" i="11"/>
  <c r="BG99" i="11"/>
  <c r="BH36" i="11"/>
  <c r="BE105" i="11"/>
  <c r="BE106" i="11"/>
  <c r="BJ30" i="11"/>
  <c r="BI84" i="11"/>
  <c r="BE135" i="10"/>
  <c r="BE136" i="10"/>
  <c r="BE137" i="10"/>
  <c r="BG50" i="10"/>
  <c r="BF134" i="10"/>
  <c r="BF99" i="10"/>
  <c r="BG36" i="10"/>
  <c r="BE100" i="10"/>
  <c r="BE101" i="10"/>
  <c r="BE102" i="10"/>
  <c r="BF58" i="22"/>
  <c r="BE154" i="22"/>
  <c r="BD155" i="22"/>
  <c r="BD156" i="22"/>
  <c r="BD157" i="22"/>
  <c r="BF144" i="22"/>
  <c r="BG54" i="22"/>
  <c r="BE110" i="22"/>
  <c r="BE111" i="22"/>
  <c r="BE112" i="22"/>
  <c r="BE100" i="22"/>
  <c r="BE101" i="22"/>
  <c r="BE102" i="22"/>
  <c r="BG40" i="22"/>
  <c r="BF109" i="22"/>
  <c r="BF99" i="22"/>
  <c r="BG36" i="22"/>
  <c r="BE145" i="22"/>
  <c r="BE146" i="22"/>
  <c r="BE147" i="22"/>
  <c r="BH149" i="8"/>
  <c r="BI56" i="8"/>
  <c r="BG150" i="8"/>
  <c r="BG151" i="8"/>
  <c r="BG152" i="8"/>
  <c r="BG54" i="8"/>
  <c r="BF144" i="8"/>
  <c r="BE145" i="8"/>
  <c r="BE146" i="8"/>
  <c r="BE147" i="8"/>
  <c r="BE109" i="8"/>
  <c r="BF40" i="8"/>
  <c r="BE139" i="8"/>
  <c r="BF52" i="8"/>
  <c r="BD140" i="8"/>
  <c r="BD141" i="8"/>
  <c r="BD142" i="8"/>
  <c r="BF32" i="8"/>
  <c r="BE89" i="8"/>
  <c r="BC85" i="8"/>
  <c r="BC86" i="8"/>
  <c r="BC87" i="8"/>
  <c r="BD130" i="8"/>
  <c r="BD131" i="8"/>
  <c r="BD132" i="8"/>
  <c r="BD90" i="8"/>
  <c r="BD91" i="8"/>
  <c r="BD84" i="8"/>
  <c r="BE30" i="8"/>
  <c r="BD110" i="8"/>
  <c r="BD111" i="8"/>
  <c r="BD112" i="8"/>
  <c r="BE129" i="8"/>
  <c r="BF48" i="8"/>
  <c r="BD145" i="7"/>
  <c r="BD146" i="7"/>
  <c r="BD147" i="7"/>
  <c r="BE144" i="7"/>
  <c r="BF54" i="7"/>
  <c r="BD140" i="7"/>
  <c r="BD141" i="7"/>
  <c r="BD142" i="7"/>
  <c r="BF52" i="7"/>
  <c r="BE139" i="7"/>
  <c r="BD135" i="7"/>
  <c r="BD136" i="7"/>
  <c r="BD137" i="7"/>
  <c r="BE134" i="7"/>
  <c r="BF50" i="7"/>
  <c r="BK90" i="7"/>
  <c r="BK91" i="7"/>
  <c r="BK92" i="7"/>
  <c r="BH119" i="7"/>
  <c r="BI44" i="7"/>
  <c r="BH46" i="7"/>
  <c r="BG124" i="7"/>
  <c r="BG120" i="7"/>
  <c r="BG121" i="7"/>
  <c r="BG122" i="7"/>
  <c r="BL89" i="7"/>
  <c r="BM32" i="7"/>
  <c r="BF125" i="7"/>
  <c r="BF126" i="7"/>
  <c r="BF127" i="7"/>
  <c r="BD164" i="6"/>
  <c r="BD165" i="6"/>
  <c r="BF56" i="6"/>
  <c r="BE163" i="6"/>
  <c r="BF54" i="6"/>
  <c r="BE158" i="6"/>
  <c r="BD159" i="6"/>
  <c r="BD160" i="6"/>
  <c r="BD161" i="6"/>
  <c r="BF52" i="6"/>
  <c r="BE153" i="6"/>
  <c r="BD154" i="6"/>
  <c r="BD155" i="6"/>
  <c r="BD156" i="6"/>
  <c r="BE148" i="6"/>
  <c r="BF50" i="6"/>
  <c r="BD149" i="6"/>
  <c r="BD150" i="6"/>
  <c r="BD151" i="6"/>
  <c r="BD144" i="6"/>
  <c r="BD145" i="6"/>
  <c r="BD146" i="6"/>
  <c r="BE143" i="6"/>
  <c r="BF48" i="6"/>
  <c r="BE160" i="9"/>
  <c r="BE161" i="9"/>
  <c r="BE162" i="9"/>
  <c r="BF159" i="9"/>
  <c r="BG60" i="9"/>
  <c r="BE154" i="9"/>
  <c r="BF58" i="9"/>
  <c r="BD155" i="9"/>
  <c r="BD156" i="9"/>
  <c r="BD157" i="9"/>
  <c r="BG36" i="9"/>
  <c r="BF99" i="9"/>
  <c r="BE110" i="9"/>
  <c r="BE111" i="9"/>
  <c r="BE112" i="9"/>
  <c r="BE100" i="9"/>
  <c r="BE101" i="9"/>
  <c r="BE102" i="9"/>
  <c r="BF109" i="9"/>
  <c r="BG40" i="9"/>
  <c r="BD167" i="1"/>
  <c r="BD168" i="1"/>
  <c r="BD169" i="1"/>
  <c r="BF62" i="1"/>
  <c r="BE166" i="1"/>
  <c r="BE126" i="1"/>
  <c r="BF46" i="1"/>
  <c r="BF54" i="1"/>
  <c r="BE146" i="1"/>
  <c r="BD147" i="1"/>
  <c r="BD148" i="1"/>
  <c r="BD127" i="1"/>
  <c r="BD128" i="1"/>
  <c r="BD129" i="1"/>
  <c r="BF122" i="1"/>
  <c r="BF123" i="1"/>
  <c r="BF124" i="1"/>
  <c r="BG121" i="1"/>
  <c r="BH44" i="1"/>
  <c r="BG111" i="1"/>
  <c r="BH40" i="1"/>
  <c r="BF112" i="1"/>
  <c r="BF113" i="1"/>
  <c r="BF114" i="1"/>
  <c r="BD107" i="1"/>
  <c r="BD108" i="1"/>
  <c r="BD109" i="1"/>
  <c r="BF102" i="1"/>
  <c r="BF103" i="1"/>
  <c r="BF104" i="1"/>
  <c r="BG101" i="1"/>
  <c r="BH36" i="1"/>
  <c r="BE106" i="1"/>
  <c r="BF38" i="1"/>
  <c r="BF129" i="7"/>
  <c r="BF130" i="7"/>
  <c r="BF131" i="7"/>
  <c r="BF132" i="7"/>
  <c r="BG48" i="7"/>
  <c r="Y59" i="11"/>
  <c r="Z229" i="11"/>
  <c r="BW60" i="2"/>
  <c r="BX181" i="2"/>
  <c r="BP237" i="9"/>
  <c r="BO75" i="9"/>
  <c r="BZ240" i="22"/>
  <c r="W42" i="41"/>
  <c r="V42" i="41"/>
  <c r="AF42" i="41"/>
  <c r="BD202" i="10"/>
  <c r="BD202" i="11"/>
  <c r="BI207" i="11"/>
  <c r="BK187" i="22"/>
  <c r="BJ167" i="8"/>
  <c r="BM172" i="9"/>
  <c r="BD187" i="8"/>
  <c r="BH127" i="11"/>
  <c r="BK207" i="7"/>
  <c r="BO177" i="10"/>
  <c r="BD137" i="11"/>
  <c r="BN207" i="22"/>
  <c r="BD167" i="9"/>
  <c r="CA177" i="22"/>
  <c r="CA233" i="22"/>
  <c r="BT197" i="11"/>
  <c r="BL167" i="22"/>
  <c r="BY99" i="40"/>
  <c r="BZ326" i="40"/>
  <c r="CA326" i="40"/>
  <c r="BV269" i="40"/>
  <c r="BW102" i="40"/>
  <c r="CA280" i="40"/>
  <c r="CA281" i="40"/>
  <c r="CA282" i="40"/>
  <c r="BU265" i="40"/>
  <c r="BU266" i="40"/>
  <c r="BU267" i="40"/>
  <c r="BV264" i="40"/>
  <c r="BW100" i="40"/>
  <c r="CB97" i="40"/>
  <c r="CA97" i="40"/>
  <c r="CB254" i="40"/>
  <c r="CB255" i="40"/>
  <c r="CB256" i="40"/>
  <c r="CB257" i="40"/>
  <c r="BV284" i="40"/>
  <c r="BW108" i="40"/>
  <c r="BV289" i="40"/>
  <c r="BW110" i="40"/>
  <c r="BV244" i="40"/>
  <c r="BW92" i="40"/>
  <c r="CB260" i="40"/>
  <c r="CB261" i="40"/>
  <c r="CB262" i="40"/>
  <c r="CB326" i="40"/>
  <c r="BV249" i="40"/>
  <c r="BW94" i="40"/>
  <c r="CB105" i="40"/>
  <c r="CA105" i="40"/>
  <c r="BZ105" i="40"/>
  <c r="CB274" i="40"/>
  <c r="CB275" i="40"/>
  <c r="CB276" i="40"/>
  <c r="CB277" i="40"/>
  <c r="BU290" i="40"/>
  <c r="BU291" i="40"/>
  <c r="BU292" i="40"/>
  <c r="CB106" i="40"/>
  <c r="BY90" i="40"/>
  <c r="BW58" i="40"/>
  <c r="BV159" i="40"/>
  <c r="BV239" i="40"/>
  <c r="BX80" i="40"/>
  <c r="BW214" i="40"/>
  <c r="BW46" i="40"/>
  <c r="BV129" i="40"/>
  <c r="BW185" i="40"/>
  <c r="BW186" i="40"/>
  <c r="BU160" i="40"/>
  <c r="BU161" i="40"/>
  <c r="BW74" i="40"/>
  <c r="BV199" i="40"/>
  <c r="BW70" i="40"/>
  <c r="BV189" i="40"/>
  <c r="BW175" i="40"/>
  <c r="BW176" i="40"/>
  <c r="BY72" i="40"/>
  <c r="BX194" i="40"/>
  <c r="BX60" i="40"/>
  <c r="BW164" i="40"/>
  <c r="BW56" i="40"/>
  <c r="BV154" i="40"/>
  <c r="BX76" i="40"/>
  <c r="BW204" i="40"/>
  <c r="BU120" i="40"/>
  <c r="BU121" i="40"/>
  <c r="BU122" i="40"/>
  <c r="BV215" i="40"/>
  <c r="BV216" i="40"/>
  <c r="BW86" i="40"/>
  <c r="BV229" i="40"/>
  <c r="BV180" i="40"/>
  <c r="BV181" i="40"/>
  <c r="BV182" i="40"/>
  <c r="BW48" i="40"/>
  <c r="BV134" i="40"/>
  <c r="BU230" i="40"/>
  <c r="BU231" i="40"/>
  <c r="BU232" i="40"/>
  <c r="BT162" i="40"/>
  <c r="BU145" i="40"/>
  <c r="BU146" i="40"/>
  <c r="BU147" i="40"/>
  <c r="BU170" i="40"/>
  <c r="BU171" i="40"/>
  <c r="BU172" i="40"/>
  <c r="BT202" i="40"/>
  <c r="BU167" i="40"/>
  <c r="BX84" i="40"/>
  <c r="BW224" i="40"/>
  <c r="BU220" i="40"/>
  <c r="BU221" i="40"/>
  <c r="BY68" i="40"/>
  <c r="BX184" i="40"/>
  <c r="BT232" i="40"/>
  <c r="BW54" i="40"/>
  <c r="BV149" i="40"/>
  <c r="BV235" i="40"/>
  <c r="BV236" i="40"/>
  <c r="BU182" i="40"/>
  <c r="BV115" i="40"/>
  <c r="BV116" i="40"/>
  <c r="BV117" i="40"/>
  <c r="BY64" i="40"/>
  <c r="BX174" i="40"/>
  <c r="BU227" i="40"/>
  <c r="BU135" i="40"/>
  <c r="BU136" i="40"/>
  <c r="BU137" i="40"/>
  <c r="BV140" i="40"/>
  <c r="BV141" i="40"/>
  <c r="BW52" i="40"/>
  <c r="BV144" i="40"/>
  <c r="BW62" i="40"/>
  <c r="BV169" i="40"/>
  <c r="BU130" i="40"/>
  <c r="BU131" i="40"/>
  <c r="BU132" i="40"/>
  <c r="BW82" i="40"/>
  <c r="BV219" i="40"/>
  <c r="BU210" i="40"/>
  <c r="BU211" i="40"/>
  <c r="BU212" i="40"/>
  <c r="BU125" i="40"/>
  <c r="BU126" i="40"/>
  <c r="BU127" i="40"/>
  <c r="BX40" i="40"/>
  <c r="BW114" i="40"/>
  <c r="BV165" i="40"/>
  <c r="BV166" i="40"/>
  <c r="BV167" i="40"/>
  <c r="BV205" i="40"/>
  <c r="BV206" i="40"/>
  <c r="BW42" i="40"/>
  <c r="BV119" i="40"/>
  <c r="BX50" i="40"/>
  <c r="BW139" i="40"/>
  <c r="BU240" i="40"/>
  <c r="BU241" i="40"/>
  <c r="BU242" i="40"/>
  <c r="BT157" i="40"/>
  <c r="BX66" i="40"/>
  <c r="BW179" i="40"/>
  <c r="BV225" i="40"/>
  <c r="BV226" i="40"/>
  <c r="BU142" i="40"/>
  <c r="BU217" i="40"/>
  <c r="BU150" i="40"/>
  <c r="BU151" i="40"/>
  <c r="BU152" i="40"/>
  <c r="BW78" i="40"/>
  <c r="BV209" i="40"/>
  <c r="BU200" i="40"/>
  <c r="BU201" i="40"/>
  <c r="BU202" i="40"/>
  <c r="BX88" i="40"/>
  <c r="BW234" i="40"/>
  <c r="BU190" i="40"/>
  <c r="BU191" i="40"/>
  <c r="BW44" i="40"/>
  <c r="BV124" i="40"/>
  <c r="BW195" i="40"/>
  <c r="BW196" i="40"/>
  <c r="BU155" i="40"/>
  <c r="BU156" i="40"/>
  <c r="BU157" i="40"/>
  <c r="BX147" i="10"/>
  <c r="BU195" i="11"/>
  <c r="BU196" i="11"/>
  <c r="BG157" i="7"/>
  <c r="BF174" i="7"/>
  <c r="BG66" i="7"/>
  <c r="BZ144" i="10"/>
  <c r="CA54" i="10"/>
  <c r="BQ174" i="10"/>
  <c r="BR66" i="10"/>
  <c r="BF200" i="7"/>
  <c r="BF201" i="7"/>
  <c r="BS62" i="10"/>
  <c r="BR164" i="10"/>
  <c r="BT185" i="10"/>
  <c r="BT186" i="10"/>
  <c r="BG76" i="11"/>
  <c r="BF199" i="11"/>
  <c r="BJ205" i="11"/>
  <c r="BJ206" i="11"/>
  <c r="BM165" i="22"/>
  <c r="BM166" i="22"/>
  <c r="BV233" i="9"/>
  <c r="BU67" i="9"/>
  <c r="BR155" i="8"/>
  <c r="BR156" i="8"/>
  <c r="BN206" i="9"/>
  <c r="BN205" i="9"/>
  <c r="BP189" i="22"/>
  <c r="BQ72" i="22"/>
  <c r="BM204" i="7"/>
  <c r="BN78" i="7"/>
  <c r="BO169" i="9"/>
  <c r="BP64" i="9"/>
  <c r="BE200" i="10"/>
  <c r="BE201" i="10"/>
  <c r="BP204" i="22"/>
  <c r="BQ78" i="22"/>
  <c r="BX162" i="22"/>
  <c r="BE186" i="8"/>
  <c r="BE185" i="8"/>
  <c r="BM184" i="22"/>
  <c r="BN70" i="22"/>
  <c r="BG199" i="7"/>
  <c r="BH76" i="7"/>
  <c r="BH156" i="7"/>
  <c r="BH155" i="7"/>
  <c r="BQ165" i="10"/>
  <c r="BQ166" i="10"/>
  <c r="BE181" i="10"/>
  <c r="BE180" i="10"/>
  <c r="BE166" i="9"/>
  <c r="BE165" i="9"/>
  <c r="BE201" i="11"/>
  <c r="BE200" i="11"/>
  <c r="CB175" i="22"/>
  <c r="CB176" i="22"/>
  <c r="BK46" i="11"/>
  <c r="BJ124" i="11"/>
  <c r="BO204" i="9"/>
  <c r="BP78" i="9"/>
  <c r="BE200" i="22"/>
  <c r="BE201" i="22"/>
  <c r="BV232" i="10"/>
  <c r="BU65" i="10"/>
  <c r="BN171" i="9"/>
  <c r="BN170" i="9"/>
  <c r="BG60" i="10"/>
  <c r="BF159" i="10"/>
  <c r="BU81" i="10"/>
  <c r="BV240" i="10"/>
  <c r="BO206" i="22"/>
  <c r="BO205" i="22"/>
  <c r="BF184" i="8"/>
  <c r="BG70" i="8"/>
  <c r="BG46" i="6"/>
  <c r="BF138" i="6"/>
  <c r="BF139" i="6"/>
  <c r="BF140" i="6"/>
  <c r="BF141" i="6"/>
  <c r="BL185" i="22"/>
  <c r="BL186" i="22"/>
  <c r="AH81" i="8"/>
  <c r="AI240" i="8"/>
  <c r="BD182" i="10"/>
  <c r="AK61" i="11"/>
  <c r="AL230" i="11"/>
  <c r="BE206" i="8"/>
  <c r="BE205" i="8"/>
  <c r="BJ58" i="7"/>
  <c r="BI154" i="7"/>
  <c r="BF179" i="10"/>
  <c r="BG68" i="10"/>
  <c r="BF164" i="9"/>
  <c r="BG62" i="9"/>
  <c r="BY67" i="22"/>
  <c r="BZ233" i="22"/>
  <c r="BI125" i="11"/>
  <c r="BI126" i="11"/>
  <c r="BH56" i="11"/>
  <c r="BG149" i="11"/>
  <c r="BF199" i="22"/>
  <c r="BG76" i="22"/>
  <c r="BK166" i="8"/>
  <c r="BK165" i="8"/>
  <c r="AE55" i="11"/>
  <c r="AF227" i="11"/>
  <c r="BE161" i="10"/>
  <c r="BE160" i="10"/>
  <c r="BE136" i="11"/>
  <c r="BE135" i="11"/>
  <c r="BJ160" i="7"/>
  <c r="BJ161" i="7"/>
  <c r="U51" i="31"/>
  <c r="W51" i="31"/>
  <c r="V51" i="31"/>
  <c r="BD177" i="7"/>
  <c r="BV194" i="11"/>
  <c r="BW74" i="11"/>
  <c r="BE202" i="7"/>
  <c r="BG56" i="22"/>
  <c r="BF149" i="22"/>
  <c r="BF150" i="22"/>
  <c r="BF151" i="22"/>
  <c r="BF152" i="22"/>
  <c r="BI162" i="7"/>
  <c r="BE175" i="7"/>
  <c r="BE176" i="7"/>
  <c r="BS187" i="10"/>
  <c r="BY145" i="10"/>
  <c r="BY146" i="10"/>
  <c r="BP175" i="10"/>
  <c r="BP176" i="10"/>
  <c r="BG78" i="8"/>
  <c r="BF204" i="8"/>
  <c r="BN192" i="22"/>
  <c r="BU229" i="10"/>
  <c r="BT59" i="10"/>
  <c r="BU184" i="10"/>
  <c r="BV70" i="10"/>
  <c r="BK204" i="11"/>
  <c r="BL78" i="11"/>
  <c r="BO62" i="22"/>
  <c r="BN164" i="22"/>
  <c r="BF150" i="11"/>
  <c r="BF151" i="11"/>
  <c r="BT58" i="8"/>
  <c r="BS154" i="8"/>
  <c r="BD162" i="10"/>
  <c r="BD207" i="8"/>
  <c r="BO191" i="22"/>
  <c r="BO190" i="22"/>
  <c r="BP167" i="10"/>
  <c r="BL206" i="7"/>
  <c r="BL205" i="7"/>
  <c r="BL164" i="8"/>
  <c r="BM62" i="8"/>
  <c r="BE152" i="11"/>
  <c r="BG76" i="10"/>
  <c r="BF199" i="10"/>
  <c r="BQ157" i="8"/>
  <c r="BM207" i="9"/>
  <c r="BG50" i="11"/>
  <c r="BF134" i="11"/>
  <c r="BD202" i="22"/>
  <c r="BK159" i="7"/>
  <c r="BL60" i="7"/>
  <c r="Q50" i="31"/>
  <c r="R50" i="31"/>
  <c r="BI40" i="11"/>
  <c r="BH109" i="11"/>
  <c r="BH110" i="11"/>
  <c r="BH111" i="11"/>
  <c r="BH112" i="11"/>
  <c r="BG30" i="10"/>
  <c r="BF84" i="10"/>
  <c r="BF85" i="10"/>
  <c r="BF86" i="10"/>
  <c r="BF87" i="10"/>
  <c r="BF104" i="10"/>
  <c r="BF105" i="10"/>
  <c r="BF106" i="10"/>
  <c r="BF107" i="10"/>
  <c r="BG38" i="10"/>
  <c r="BG42" i="10"/>
  <c r="BF114" i="10"/>
  <c r="BF115" i="10"/>
  <c r="BF116" i="10"/>
  <c r="BF117" i="10"/>
  <c r="BF124" i="10"/>
  <c r="BF125" i="10"/>
  <c r="BF126" i="10"/>
  <c r="BF127" i="10"/>
  <c r="BG46" i="10"/>
  <c r="BH44" i="10"/>
  <c r="BG119" i="10"/>
  <c r="BG120" i="10"/>
  <c r="BG121" i="10"/>
  <c r="BG122" i="10"/>
  <c r="BF94" i="10"/>
  <c r="BF95" i="10"/>
  <c r="BF96" i="10"/>
  <c r="BF97" i="10"/>
  <c r="BG34" i="10"/>
  <c r="BF129" i="10"/>
  <c r="BF130" i="10"/>
  <c r="BF131" i="10"/>
  <c r="BF132" i="10"/>
  <c r="BG48" i="10"/>
  <c r="BG40" i="10"/>
  <c r="BF109" i="10"/>
  <c r="BF110" i="10"/>
  <c r="BF111" i="10"/>
  <c r="BF112" i="10"/>
  <c r="BF89" i="10"/>
  <c r="BF90" i="10"/>
  <c r="BF91" i="10"/>
  <c r="BF92" i="10"/>
  <c r="BG32" i="10"/>
  <c r="BF139" i="10"/>
  <c r="BF140" i="10"/>
  <c r="BF141" i="10"/>
  <c r="BF142" i="10"/>
  <c r="BG52" i="10"/>
  <c r="BG50" i="22"/>
  <c r="BF134" i="22"/>
  <c r="BF135" i="22"/>
  <c r="BF136" i="22"/>
  <c r="BF137" i="22"/>
  <c r="BG139" i="22"/>
  <c r="BG140" i="22"/>
  <c r="BG141" i="22"/>
  <c r="BG142" i="22"/>
  <c r="BH52" i="22"/>
  <c r="BG42" i="22"/>
  <c r="BF114" i="22"/>
  <c r="BF115" i="22"/>
  <c r="BF116" i="22"/>
  <c r="BF117" i="22"/>
  <c r="BG124" i="22"/>
  <c r="BG125" i="22"/>
  <c r="BG126" i="22"/>
  <c r="BG127" i="22"/>
  <c r="BH46" i="22"/>
  <c r="BH50" i="8"/>
  <c r="BG134" i="8"/>
  <c r="BG135" i="8"/>
  <c r="BG136" i="8"/>
  <c r="BG137" i="8"/>
  <c r="BF124" i="8"/>
  <c r="BF125" i="8"/>
  <c r="BF126" i="8"/>
  <c r="BF127" i="8"/>
  <c r="BG46" i="8"/>
  <c r="BZ197" i="22"/>
  <c r="BY187" i="7"/>
  <c r="BI192" i="8"/>
  <c r="BW177" i="11"/>
  <c r="BX177" i="8"/>
  <c r="BU192" i="11"/>
  <c r="BY182" i="22"/>
  <c r="BL72" i="8"/>
  <c r="BK189" i="8"/>
  <c r="BR69" i="7"/>
  <c r="BS234" i="7"/>
  <c r="AM69" i="11"/>
  <c r="AN234" i="11"/>
  <c r="CA196" i="22"/>
  <c r="CA195" i="22"/>
  <c r="BU71" i="9"/>
  <c r="BV235" i="9"/>
  <c r="BE191" i="9"/>
  <c r="BE190" i="9"/>
  <c r="BU161" i="8"/>
  <c r="BU160" i="8"/>
  <c r="BZ180" i="22"/>
  <c r="BZ181" i="22"/>
  <c r="Z65" i="8"/>
  <c r="AA232" i="8"/>
  <c r="CB70" i="7"/>
  <c r="CA184" i="7"/>
  <c r="CB194" i="8"/>
  <c r="CB75" i="8"/>
  <c r="CA75" i="8"/>
  <c r="BZ75" i="8"/>
  <c r="BY75" i="8"/>
  <c r="BX75" i="8"/>
  <c r="X73" i="7"/>
  <c r="Y236" i="7"/>
  <c r="BV79" i="10"/>
  <c r="BW239" i="10"/>
  <c r="CB212" i="7"/>
  <c r="CB240" i="7"/>
  <c r="BT162" i="8"/>
  <c r="CA195" i="10"/>
  <c r="CA196" i="10"/>
  <c r="BX176" i="11"/>
  <c r="BX175" i="11"/>
  <c r="CA182" i="9"/>
  <c r="CA234" i="9"/>
  <c r="BU57" i="10"/>
  <c r="BV228" i="10"/>
  <c r="CB194" i="22"/>
  <c r="CB75" i="22"/>
  <c r="CA75" i="22"/>
  <c r="BZ75" i="22"/>
  <c r="BY75" i="22"/>
  <c r="BX75" i="22"/>
  <c r="AD59" i="2"/>
  <c r="AE180" i="2"/>
  <c r="BE59" i="2"/>
  <c r="CF59" i="2"/>
  <c r="BF180" i="2"/>
  <c r="BX81" i="22"/>
  <c r="BY240" i="22"/>
  <c r="CA80" i="11"/>
  <c r="BZ209" i="11"/>
  <c r="BV182" i="8"/>
  <c r="BV81" i="7"/>
  <c r="BW240" i="7"/>
  <c r="BE200" i="9"/>
  <c r="BE201" i="9"/>
  <c r="A182" i="2"/>
  <c r="BW182" i="2"/>
  <c r="A62" i="2"/>
  <c r="BD192" i="9"/>
  <c r="BV202" i="8"/>
  <c r="BZ234" i="9"/>
  <c r="BY176" i="8"/>
  <c r="BY175" i="8"/>
  <c r="AV59" i="2"/>
  <c r="AW180" i="2"/>
  <c r="BX199" i="8"/>
  <c r="BY76" i="8"/>
  <c r="BY211" i="11"/>
  <c r="BY210" i="11"/>
  <c r="AH65" i="11"/>
  <c r="AI232" i="11"/>
  <c r="AM181" i="2"/>
  <c r="BN181" i="2"/>
  <c r="AV181" i="2"/>
  <c r="L181" i="2"/>
  <c r="C181" i="2"/>
  <c r="BE181" i="2"/>
  <c r="U181" i="2"/>
  <c r="AD181" i="2"/>
  <c r="BL167" i="7"/>
  <c r="AL63" i="11"/>
  <c r="AM231" i="11"/>
  <c r="BT81" i="9"/>
  <c r="BU240" i="9"/>
  <c r="BV65" i="22"/>
  <c r="BW232" i="22"/>
  <c r="CB75" i="10"/>
  <c r="CA75" i="10"/>
  <c r="BZ75" i="10"/>
  <c r="BY75" i="10"/>
  <c r="BX75" i="10"/>
  <c r="CB194" i="10"/>
  <c r="BX212" i="11"/>
  <c r="BZ66" i="11"/>
  <c r="BY174" i="11"/>
  <c r="BY197" i="7"/>
  <c r="BY234" i="9"/>
  <c r="BY68" i="8"/>
  <c r="BX179" i="8"/>
  <c r="AM59" i="2"/>
  <c r="AN180" i="2"/>
  <c r="M180" i="2"/>
  <c r="L59" i="2"/>
  <c r="CB210" i="22"/>
  <c r="CB211" i="22"/>
  <c r="CB207" i="10"/>
  <c r="CB239" i="10"/>
  <c r="BZ195" i="7"/>
  <c r="BZ196" i="7"/>
  <c r="CA212" i="22"/>
  <c r="CA240" i="22"/>
  <c r="BN73" i="10"/>
  <c r="BO236" i="10"/>
  <c r="BX72" i="11"/>
  <c r="BW189" i="11"/>
  <c r="BF199" i="9"/>
  <c r="BG76" i="9"/>
  <c r="BD202" i="9"/>
  <c r="BF89" i="22"/>
  <c r="BF90" i="22"/>
  <c r="BF91" i="22"/>
  <c r="BF92" i="22"/>
  <c r="BG32" i="22"/>
  <c r="BZ185" i="7"/>
  <c r="BZ186" i="7"/>
  <c r="BY160" i="22"/>
  <c r="BY161" i="22"/>
  <c r="BN59" i="2"/>
  <c r="BO180" i="2"/>
  <c r="BW69" i="9"/>
  <c r="BX234" i="9"/>
  <c r="BZ197" i="10"/>
  <c r="BZ237" i="10"/>
  <c r="CA179" i="22"/>
  <c r="CB68" i="22"/>
  <c r="BJ190" i="8"/>
  <c r="BJ191" i="8"/>
  <c r="BZ174" i="8"/>
  <c r="CA66" i="8"/>
  <c r="BY237" i="10"/>
  <c r="CA195" i="8"/>
  <c r="CA196" i="8"/>
  <c r="BZ159" i="22"/>
  <c r="CA60" i="22"/>
  <c r="BO53" i="11"/>
  <c r="BP226" i="11"/>
  <c r="BK31" i="22"/>
  <c r="BL215" i="22"/>
  <c r="BZ197" i="8"/>
  <c r="BW180" i="8"/>
  <c r="BW181" i="8"/>
  <c r="C59" i="2"/>
  <c r="D180" i="2"/>
  <c r="U59" i="2"/>
  <c r="V180" i="2"/>
  <c r="BG72" i="9"/>
  <c r="BF189" i="9"/>
  <c r="BW201" i="8"/>
  <c r="BW200" i="8"/>
  <c r="CB74" i="7"/>
  <c r="CA194" i="7"/>
  <c r="BH65" i="7"/>
  <c r="BI232" i="7"/>
  <c r="BV190" i="11"/>
  <c r="BV191" i="11"/>
  <c r="BS49" i="11"/>
  <c r="BT224" i="11"/>
  <c r="BV159" i="8"/>
  <c r="BW60" i="8"/>
  <c r="CB181" i="9"/>
  <c r="CB180" i="9"/>
  <c r="U43" i="30"/>
  <c r="P43" i="30"/>
  <c r="Q43" i="30"/>
  <c r="L46" i="30"/>
  <c r="N46" i="30"/>
  <c r="O46" i="30"/>
  <c r="Q26" i="26"/>
  <c r="R42" i="33"/>
  <c r="Q25" i="26"/>
  <c r="K47" i="36"/>
  <c r="T47" i="36"/>
  <c r="BG44" i="8"/>
  <c r="BF119" i="8"/>
  <c r="BF120" i="8"/>
  <c r="BF121" i="8"/>
  <c r="BF122" i="8"/>
  <c r="BL34" i="8"/>
  <c r="BK94" i="8"/>
  <c r="BK95" i="8"/>
  <c r="BK96" i="8"/>
  <c r="BK97" i="8"/>
  <c r="BG42" i="8"/>
  <c r="BF114" i="8"/>
  <c r="BF115" i="8"/>
  <c r="BF116" i="8"/>
  <c r="BF117" i="8"/>
  <c r="BN164" i="7"/>
  <c r="BO62" i="7"/>
  <c r="BM165" i="7"/>
  <c r="BM166" i="7"/>
  <c r="BG32" i="11"/>
  <c r="BF89" i="11"/>
  <c r="BF90" i="11"/>
  <c r="BF91" i="11"/>
  <c r="BF92" i="11"/>
  <c r="BG84" i="9"/>
  <c r="BG85" i="9"/>
  <c r="BG86" i="9"/>
  <c r="BG87" i="9"/>
  <c r="BH30" i="9"/>
  <c r="BF139" i="9"/>
  <c r="BF140" i="9"/>
  <c r="BF141" i="9"/>
  <c r="BF142" i="9"/>
  <c r="BG52" i="9"/>
  <c r="BI30" i="1"/>
  <c r="BH86" i="1"/>
  <c r="BH87" i="1"/>
  <c r="BH88" i="1"/>
  <c r="BH89" i="1"/>
  <c r="BG64" i="1"/>
  <c r="BF171" i="1"/>
  <c r="BF156" i="1"/>
  <c r="BF157" i="1"/>
  <c r="BF158" i="1"/>
  <c r="BF159" i="1"/>
  <c r="BG58" i="1"/>
  <c r="BG68" i="1"/>
  <c r="BF181" i="1"/>
  <c r="BF182" i="1"/>
  <c r="BF183" i="1"/>
  <c r="BF184" i="1"/>
  <c r="BI32" i="1"/>
  <c r="BH91" i="1"/>
  <c r="BH92" i="1"/>
  <c r="BH93" i="1"/>
  <c r="BH94" i="1"/>
  <c r="BF141" i="1"/>
  <c r="BF142" i="1"/>
  <c r="BF143" i="1"/>
  <c r="BF144" i="1"/>
  <c r="BG52" i="1"/>
  <c r="BF96" i="1"/>
  <c r="BF97" i="1"/>
  <c r="BF98" i="1"/>
  <c r="BF99" i="1"/>
  <c r="BG34" i="1"/>
  <c r="BF131" i="1"/>
  <c r="BF132" i="1"/>
  <c r="BF133" i="1"/>
  <c r="BF134" i="1"/>
  <c r="BG48" i="1"/>
  <c r="BG50" i="1"/>
  <c r="BF136" i="1"/>
  <c r="BF137" i="1"/>
  <c r="BF138" i="1"/>
  <c r="BF139" i="1"/>
  <c r="U48" i="33"/>
  <c r="S44" i="33"/>
  <c r="Q27" i="26"/>
  <c r="W48" i="32"/>
  <c r="V48" i="32"/>
  <c r="AO48" i="32"/>
  <c r="BH44" i="22"/>
  <c r="BG119" i="22"/>
  <c r="BG120" i="22"/>
  <c r="BG121" i="22"/>
  <c r="BG122" i="22"/>
  <c r="BG24" i="6"/>
  <c r="BF83" i="6"/>
  <c r="BF84" i="6"/>
  <c r="BF85" i="6"/>
  <c r="BF86" i="6"/>
  <c r="BG40" i="6"/>
  <c r="BF123" i="6"/>
  <c r="BF124" i="6"/>
  <c r="BF125" i="6"/>
  <c r="BF126" i="6"/>
  <c r="BF113" i="6"/>
  <c r="BF114" i="6"/>
  <c r="BF115" i="6"/>
  <c r="BF116" i="6"/>
  <c r="BG36" i="6"/>
  <c r="BF93" i="6"/>
  <c r="BF94" i="6"/>
  <c r="BF95" i="6"/>
  <c r="BF96" i="6"/>
  <c r="BG28" i="6"/>
  <c r="BF133" i="6"/>
  <c r="BF134" i="6"/>
  <c r="BF135" i="6"/>
  <c r="BF136" i="6"/>
  <c r="BG44" i="6"/>
  <c r="BF78" i="6"/>
  <c r="BG22" i="6"/>
  <c r="BG98" i="6"/>
  <c r="BG99" i="6"/>
  <c r="BG100" i="6"/>
  <c r="BG101" i="6"/>
  <c r="BH30" i="6"/>
  <c r="BG32" i="6"/>
  <c r="BF103" i="6"/>
  <c r="BF104" i="6"/>
  <c r="BF105" i="6"/>
  <c r="BF106" i="6"/>
  <c r="BG26" i="6"/>
  <c r="BF88" i="6"/>
  <c r="BF89" i="6"/>
  <c r="BF90" i="6"/>
  <c r="BF91" i="6"/>
  <c r="BH42" i="6"/>
  <c r="BG128" i="6"/>
  <c r="BG129" i="6"/>
  <c r="BG130" i="6"/>
  <c r="BG131" i="6"/>
  <c r="BG34" i="6"/>
  <c r="BF108" i="6"/>
  <c r="BF109" i="6"/>
  <c r="BF110" i="6"/>
  <c r="BF111" i="6"/>
  <c r="BD189" i="1"/>
  <c r="BH212" i="1"/>
  <c r="BH213" i="1"/>
  <c r="BH214" i="1"/>
  <c r="BI82" i="1"/>
  <c r="BH216" i="1"/>
  <c r="BJ80" i="1"/>
  <c r="BI211" i="1"/>
  <c r="BG217" i="1"/>
  <c r="BG218" i="1"/>
  <c r="BF219" i="1"/>
  <c r="BG42" i="1"/>
  <c r="BF116" i="1"/>
  <c r="BF117" i="1"/>
  <c r="BF118" i="1"/>
  <c r="BF119" i="1"/>
  <c r="BD149" i="1"/>
  <c r="BD166" i="6"/>
  <c r="BD92" i="8"/>
  <c r="BG99" i="8"/>
  <c r="BG100" i="8"/>
  <c r="BG101" i="8"/>
  <c r="BG102" i="8"/>
  <c r="BH36" i="8"/>
  <c r="BJ104" i="8"/>
  <c r="BJ105" i="8"/>
  <c r="BJ106" i="8"/>
  <c r="BJ107" i="8"/>
  <c r="BK38" i="8"/>
  <c r="BH44" i="11"/>
  <c r="BG119" i="11"/>
  <c r="BF120" i="11"/>
  <c r="BF121" i="11"/>
  <c r="BF122" i="11"/>
  <c r="P48" i="36"/>
  <c r="Q48" i="36"/>
  <c r="R46" i="36"/>
  <c r="R45" i="36"/>
  <c r="AT47" i="36"/>
  <c r="AH47" i="36"/>
  <c r="AC47" i="36"/>
  <c r="AM47" i="36"/>
  <c r="AO47" i="36"/>
  <c r="AJ47" i="36"/>
  <c r="AP47" i="36"/>
  <c r="AK47" i="36"/>
  <c r="Y47" i="36"/>
  <c r="AI47" i="36"/>
  <c r="AD47" i="36"/>
  <c r="AF47" i="36"/>
  <c r="AG47" i="36"/>
  <c r="AB47" i="36"/>
  <c r="AU47" i="36"/>
  <c r="Z47" i="36"/>
  <c r="AR47" i="36"/>
  <c r="AE47" i="36"/>
  <c r="X47" i="36"/>
  <c r="AQ47" i="36"/>
  <c r="AL47" i="36"/>
  <c r="AN47" i="36"/>
  <c r="AA47" i="36"/>
  <c r="AS47" i="36"/>
  <c r="T48" i="32"/>
  <c r="L26" i="26"/>
  <c r="S43" i="32"/>
  <c r="R42" i="32"/>
  <c r="BF94" i="22"/>
  <c r="BF95" i="22"/>
  <c r="BF96" i="22"/>
  <c r="BF97" i="22"/>
  <c r="BG34" i="22"/>
  <c r="BF129" i="22"/>
  <c r="BF130" i="22"/>
  <c r="BF131" i="22"/>
  <c r="BF132" i="22"/>
  <c r="BG48" i="22"/>
  <c r="BG104" i="22"/>
  <c r="BG105" i="22"/>
  <c r="BG106" i="22"/>
  <c r="BG107" i="22"/>
  <c r="BH38" i="22"/>
  <c r="BH36" i="7"/>
  <c r="BG99" i="7"/>
  <c r="BG100" i="7"/>
  <c r="BG101" i="7"/>
  <c r="BG102" i="7"/>
  <c r="BF114" i="7"/>
  <c r="BF115" i="7"/>
  <c r="BF116" i="7"/>
  <c r="BF117" i="7"/>
  <c r="BG42" i="7"/>
  <c r="BG104" i="7"/>
  <c r="BH38" i="7"/>
  <c r="BG34" i="7"/>
  <c r="BF94" i="7"/>
  <c r="BF95" i="7"/>
  <c r="BF96" i="7"/>
  <c r="BF97" i="7"/>
  <c r="BF100" i="7"/>
  <c r="BF101" i="7"/>
  <c r="BF102" i="7"/>
  <c r="BJ40" i="7"/>
  <c r="BI109" i="7"/>
  <c r="BI110" i="7"/>
  <c r="BI111" i="7"/>
  <c r="BI112" i="7"/>
  <c r="BG84" i="7"/>
  <c r="BG85" i="7"/>
  <c r="BG86" i="7"/>
  <c r="BG87" i="7"/>
  <c r="BH30" i="7"/>
  <c r="BJ38" i="6"/>
  <c r="BI118" i="6"/>
  <c r="BI119" i="6"/>
  <c r="BI120" i="6"/>
  <c r="BI121" i="6"/>
  <c r="BJ38" i="9"/>
  <c r="BI104" i="9"/>
  <c r="BI105" i="9"/>
  <c r="BI106" i="9"/>
  <c r="BI107" i="9"/>
  <c r="BG46" i="9"/>
  <c r="BF124" i="9"/>
  <c r="BF125" i="9"/>
  <c r="BF126" i="9"/>
  <c r="BF127" i="9"/>
  <c r="BF42" i="9"/>
  <c r="BE114" i="9"/>
  <c r="BE115" i="9"/>
  <c r="BE116" i="9"/>
  <c r="BE117" i="9"/>
  <c r="BK54" i="9"/>
  <c r="BJ144" i="9"/>
  <c r="BJ145" i="9"/>
  <c r="BJ146" i="9"/>
  <c r="BJ147" i="9"/>
  <c r="BF94" i="9"/>
  <c r="BF95" i="9"/>
  <c r="BF96" i="9"/>
  <c r="BF97" i="9"/>
  <c r="BG34" i="9"/>
  <c r="BF135" i="9"/>
  <c r="BF136" i="9"/>
  <c r="BG134" i="9"/>
  <c r="BG135" i="9"/>
  <c r="BG136" i="9"/>
  <c r="BG137" i="9"/>
  <c r="BH50" i="9"/>
  <c r="BG48" i="9"/>
  <c r="BF129" i="9"/>
  <c r="BF130" i="9"/>
  <c r="BF131" i="9"/>
  <c r="BF132" i="9"/>
  <c r="BI32" i="9"/>
  <c r="BH89" i="9"/>
  <c r="BH90" i="9"/>
  <c r="BH91" i="9"/>
  <c r="BH92" i="9"/>
  <c r="BG44" i="9"/>
  <c r="BF119" i="9"/>
  <c r="BF120" i="9"/>
  <c r="BF121" i="9"/>
  <c r="BF122" i="9"/>
  <c r="BG56" i="9"/>
  <c r="BF149" i="9"/>
  <c r="BE130" i="9"/>
  <c r="BE131" i="9"/>
  <c r="BE132" i="9"/>
  <c r="BG177" i="1"/>
  <c r="BG178" i="1"/>
  <c r="BG179" i="1"/>
  <c r="BG78" i="1"/>
  <c r="BF206" i="1"/>
  <c r="BF207" i="1"/>
  <c r="BF208" i="1"/>
  <c r="BF209" i="1"/>
  <c r="BH72" i="1"/>
  <c r="BG191" i="1"/>
  <c r="BI66" i="1"/>
  <c r="BH176" i="1"/>
  <c r="BI76" i="1"/>
  <c r="BH201" i="1"/>
  <c r="BH202" i="1"/>
  <c r="BH203" i="1"/>
  <c r="BH204" i="1"/>
  <c r="BG70" i="1"/>
  <c r="BF186" i="1"/>
  <c r="BF187" i="1"/>
  <c r="BF188" i="1"/>
  <c r="BF189" i="1"/>
  <c r="BG161" i="1"/>
  <c r="BG162" i="1"/>
  <c r="BG163" i="1"/>
  <c r="BG164" i="1"/>
  <c r="BH60" i="1"/>
  <c r="BE197" i="1"/>
  <c r="BE198" i="1"/>
  <c r="BE199" i="1"/>
  <c r="BL151" i="1"/>
  <c r="BL152" i="1"/>
  <c r="BL153" i="1"/>
  <c r="BL154" i="1"/>
  <c r="BM56" i="1"/>
  <c r="BF162" i="1"/>
  <c r="BF163" i="1"/>
  <c r="BF164" i="1"/>
  <c r="BG74" i="1"/>
  <c r="BF196" i="1"/>
  <c r="BF197" i="1"/>
  <c r="BF198" i="1"/>
  <c r="BF199" i="1"/>
  <c r="U49" i="37"/>
  <c r="K49" i="37"/>
  <c r="T49" i="37"/>
  <c r="BL114" i="11"/>
  <c r="BM42" i="11"/>
  <c r="BK115" i="11"/>
  <c r="BK116" i="11"/>
  <c r="BK117" i="11"/>
  <c r="U46" i="34"/>
  <c r="U47" i="35"/>
  <c r="BE107" i="11"/>
  <c r="BH99" i="11"/>
  <c r="BI36" i="11"/>
  <c r="BI85" i="11"/>
  <c r="BI86" i="11"/>
  <c r="BI87" i="11"/>
  <c r="BG100" i="11"/>
  <c r="BG101" i="11"/>
  <c r="BG102" i="11"/>
  <c r="BK30" i="11"/>
  <c r="BJ84" i="11"/>
  <c r="BF105" i="11"/>
  <c r="BF106" i="11"/>
  <c r="BH38" i="11"/>
  <c r="BG104" i="11"/>
  <c r="BF135" i="10"/>
  <c r="BF136" i="10"/>
  <c r="BF137" i="10"/>
  <c r="BH50" i="10"/>
  <c r="BG134" i="10"/>
  <c r="BG99" i="10"/>
  <c r="BH36" i="10"/>
  <c r="BF100" i="10"/>
  <c r="BF101" i="10"/>
  <c r="BF102" i="10"/>
  <c r="BE155" i="22"/>
  <c r="BE156" i="22"/>
  <c r="BE157" i="22"/>
  <c r="BF154" i="22"/>
  <c r="BG58" i="22"/>
  <c r="BF110" i="22"/>
  <c r="BF111" i="22"/>
  <c r="BF112" i="22"/>
  <c r="BH54" i="22"/>
  <c r="BG144" i="22"/>
  <c r="BH36" i="22"/>
  <c r="BG99" i="22"/>
  <c r="BG109" i="22"/>
  <c r="BH40" i="22"/>
  <c r="BF145" i="22"/>
  <c r="BF146" i="22"/>
  <c r="BF147" i="22"/>
  <c r="BF100" i="22"/>
  <c r="BF101" i="22"/>
  <c r="BF102" i="22"/>
  <c r="BI149" i="8"/>
  <c r="BJ56" i="8"/>
  <c r="BH150" i="8"/>
  <c r="BH151" i="8"/>
  <c r="BH152" i="8"/>
  <c r="BF145" i="8"/>
  <c r="BF146" i="8"/>
  <c r="BG144" i="8"/>
  <c r="BH54" i="8"/>
  <c r="BE90" i="8"/>
  <c r="BE91" i="8"/>
  <c r="BG52" i="8"/>
  <c r="BF139" i="8"/>
  <c r="BE110" i="8"/>
  <c r="BE111" i="8"/>
  <c r="BE112" i="8"/>
  <c r="BG32" i="8"/>
  <c r="BF89" i="8"/>
  <c r="BE140" i="8"/>
  <c r="BE141" i="8"/>
  <c r="BE142" i="8"/>
  <c r="BF129" i="8"/>
  <c r="BG48" i="8"/>
  <c r="BE130" i="8"/>
  <c r="BE131" i="8"/>
  <c r="BE132" i="8"/>
  <c r="BE84" i="8"/>
  <c r="BF30" i="8"/>
  <c r="BD85" i="8"/>
  <c r="BD86" i="8"/>
  <c r="BD87" i="8"/>
  <c r="BF109" i="8"/>
  <c r="BG40" i="8"/>
  <c r="BF144" i="7"/>
  <c r="BG54" i="7"/>
  <c r="BE145" i="7"/>
  <c r="BE146" i="7"/>
  <c r="BE147" i="7"/>
  <c r="BF139" i="7"/>
  <c r="BG52" i="7"/>
  <c r="BE140" i="7"/>
  <c r="BE141" i="7"/>
  <c r="BE142" i="7"/>
  <c r="BG50" i="7"/>
  <c r="BF134" i="7"/>
  <c r="BE135" i="7"/>
  <c r="BE136" i="7"/>
  <c r="BE137" i="7"/>
  <c r="BH120" i="7"/>
  <c r="BH121" i="7"/>
  <c r="BN32" i="7"/>
  <c r="BM89" i="7"/>
  <c r="BG125" i="7"/>
  <c r="BG126" i="7"/>
  <c r="BL90" i="7"/>
  <c r="BL91" i="7"/>
  <c r="BL92" i="7"/>
  <c r="BH124" i="7"/>
  <c r="BI46" i="7"/>
  <c r="BJ44" i="7"/>
  <c r="BI119" i="7"/>
  <c r="BE164" i="6"/>
  <c r="BE165" i="6"/>
  <c r="BE166" i="6"/>
  <c r="BF163" i="6"/>
  <c r="BG56" i="6"/>
  <c r="BG54" i="6"/>
  <c r="BF158" i="6"/>
  <c r="BE159" i="6"/>
  <c r="BE160" i="6"/>
  <c r="BE161" i="6"/>
  <c r="BE154" i="6"/>
  <c r="BE155" i="6"/>
  <c r="BE156" i="6"/>
  <c r="BG52" i="6"/>
  <c r="BF153" i="6"/>
  <c r="BG50" i="6"/>
  <c r="BF148" i="6"/>
  <c r="BE149" i="6"/>
  <c r="BE150" i="6"/>
  <c r="BE151" i="6"/>
  <c r="BG48" i="6"/>
  <c r="BF143" i="6"/>
  <c r="BE144" i="6"/>
  <c r="BE145" i="6"/>
  <c r="BE146" i="6"/>
  <c r="BH60" i="9"/>
  <c r="BG159" i="9"/>
  <c r="BF160" i="9"/>
  <c r="BF161" i="9"/>
  <c r="BF162" i="9"/>
  <c r="BG58" i="9"/>
  <c r="BF154" i="9"/>
  <c r="BE155" i="9"/>
  <c r="BE156" i="9"/>
  <c r="BE157" i="9"/>
  <c r="BH40" i="9"/>
  <c r="BG109" i="9"/>
  <c r="BF100" i="9"/>
  <c r="BF101" i="9"/>
  <c r="BF102" i="9"/>
  <c r="BF110" i="9"/>
  <c r="BF111" i="9"/>
  <c r="BF112" i="9"/>
  <c r="BG99" i="9"/>
  <c r="BH36" i="9"/>
  <c r="BE167" i="1"/>
  <c r="BE168" i="1"/>
  <c r="BE169" i="1"/>
  <c r="BG62" i="1"/>
  <c r="BF166" i="1"/>
  <c r="BE147" i="1"/>
  <c r="BE148" i="1"/>
  <c r="BE149" i="1"/>
  <c r="BG54" i="1"/>
  <c r="BF146" i="1"/>
  <c r="BG46" i="1"/>
  <c r="BF126" i="1"/>
  <c r="BE127" i="1"/>
  <c r="BE128" i="1"/>
  <c r="BE129" i="1"/>
  <c r="BH121" i="1"/>
  <c r="BI44" i="1"/>
  <c r="BG122" i="1"/>
  <c r="BG123" i="1"/>
  <c r="BG124" i="1"/>
  <c r="BG102" i="1"/>
  <c r="BG103" i="1"/>
  <c r="BG104" i="1"/>
  <c r="BH111" i="1"/>
  <c r="BI40" i="1"/>
  <c r="BF106" i="1"/>
  <c r="BG38" i="1"/>
  <c r="BG112" i="1"/>
  <c r="BG113" i="1"/>
  <c r="BG114" i="1"/>
  <c r="BE107" i="1"/>
  <c r="BE108" i="1"/>
  <c r="BE109" i="1"/>
  <c r="BI36" i="1"/>
  <c r="BH101" i="1"/>
  <c r="BH48" i="7"/>
  <c r="BG129" i="7"/>
  <c r="BG130" i="7"/>
  <c r="BG131" i="7"/>
  <c r="BG132" i="7"/>
  <c r="AU48" i="32"/>
  <c r="AI42" i="41"/>
  <c r="Y42" i="41"/>
  <c r="AK42" i="41"/>
  <c r="AC42" i="41"/>
  <c r="AN42" i="41"/>
  <c r="AM42" i="41"/>
  <c r="AB42" i="41"/>
  <c r="AL42" i="41"/>
  <c r="Z42" i="41"/>
  <c r="BN75" i="9"/>
  <c r="BO237" i="9"/>
  <c r="BW61" i="2"/>
  <c r="BX182" i="2"/>
  <c r="AA42" i="41"/>
  <c r="AE42" i="41"/>
  <c r="AO42" i="41"/>
  <c r="X59" i="11"/>
  <c r="Y229" i="11"/>
  <c r="X42" i="41"/>
  <c r="AD42" i="41"/>
  <c r="AJ42" i="41"/>
  <c r="AG42" i="41"/>
  <c r="AH42" i="41"/>
  <c r="AP42" i="41"/>
  <c r="CB329" i="40"/>
  <c r="Y48" i="32"/>
  <c r="AR48" i="32"/>
  <c r="AM48" i="32"/>
  <c r="AD48" i="32"/>
  <c r="K51" i="31"/>
  <c r="BE202" i="10"/>
  <c r="BO192" i="22"/>
  <c r="BE137" i="11"/>
  <c r="BP177" i="10"/>
  <c r="BZ197" i="7"/>
  <c r="BE202" i="11"/>
  <c r="BH157" i="7"/>
  <c r="BE162" i="10"/>
  <c r="BK167" i="8"/>
  <c r="BE207" i="8"/>
  <c r="CB177" i="22"/>
  <c r="CB233" i="22"/>
  <c r="BQ167" i="10"/>
  <c r="BU197" i="11"/>
  <c r="BY147" i="10"/>
  <c r="BL187" i="22"/>
  <c r="BE202" i="22"/>
  <c r="BF152" i="11"/>
  <c r="BI127" i="11"/>
  <c r="BO207" i="22"/>
  <c r="BR157" i="8"/>
  <c r="BM167" i="22"/>
  <c r="BZ97" i="40"/>
  <c r="CA325" i="40"/>
  <c r="BY105" i="40"/>
  <c r="BZ329" i="40"/>
  <c r="BX99" i="40"/>
  <c r="BY326" i="40"/>
  <c r="CB325" i="40"/>
  <c r="CA329" i="40"/>
  <c r="BW264" i="40"/>
  <c r="BW265" i="40"/>
  <c r="BW266" i="40"/>
  <c r="BW267" i="40"/>
  <c r="BX100" i="40"/>
  <c r="BV250" i="40"/>
  <c r="BV251" i="40"/>
  <c r="BV252" i="40"/>
  <c r="BV245" i="40"/>
  <c r="BV246" i="40"/>
  <c r="BV247" i="40"/>
  <c r="BV285" i="40"/>
  <c r="BV286" i="40"/>
  <c r="BV287" i="40"/>
  <c r="BV265" i="40"/>
  <c r="BV266" i="40"/>
  <c r="BV267" i="40"/>
  <c r="CB107" i="40"/>
  <c r="CA107" i="40"/>
  <c r="BZ107" i="40"/>
  <c r="CB279" i="40"/>
  <c r="BW249" i="40"/>
  <c r="BX94" i="40"/>
  <c r="BW244" i="40"/>
  <c r="BX92" i="40"/>
  <c r="BW284" i="40"/>
  <c r="BW285" i="40"/>
  <c r="BW286" i="40"/>
  <c r="BW287" i="40"/>
  <c r="BX108" i="40"/>
  <c r="BW289" i="40"/>
  <c r="BX110" i="40"/>
  <c r="BW269" i="40"/>
  <c r="BW270" i="40"/>
  <c r="BW271" i="40"/>
  <c r="BW272" i="40"/>
  <c r="BX102" i="40"/>
  <c r="BV290" i="40"/>
  <c r="BV291" i="40"/>
  <c r="BV292" i="40"/>
  <c r="BV270" i="40"/>
  <c r="BV271" i="40"/>
  <c r="BV272" i="40"/>
  <c r="BZ90" i="40"/>
  <c r="BV125" i="40"/>
  <c r="BV126" i="40"/>
  <c r="BV127" i="40"/>
  <c r="BU192" i="40"/>
  <c r="BX78" i="40"/>
  <c r="BW209" i="40"/>
  <c r="BW180" i="40"/>
  <c r="BW181" i="40"/>
  <c r="BW182" i="40"/>
  <c r="BV207" i="40"/>
  <c r="BW115" i="40"/>
  <c r="BW116" i="40"/>
  <c r="BW117" i="40"/>
  <c r="BX82" i="40"/>
  <c r="BW219" i="40"/>
  <c r="BV170" i="40"/>
  <c r="BV171" i="40"/>
  <c r="BX52" i="40"/>
  <c r="BW144" i="40"/>
  <c r="BZ64" i="40"/>
  <c r="BY174" i="40"/>
  <c r="BZ68" i="40"/>
  <c r="BY184" i="40"/>
  <c r="BW225" i="40"/>
  <c r="BW226" i="40"/>
  <c r="BW227" i="40"/>
  <c r="BV135" i="40"/>
  <c r="BV136" i="40"/>
  <c r="BV137" i="40"/>
  <c r="BV217" i="40"/>
  <c r="BW205" i="40"/>
  <c r="BW206" i="40"/>
  <c r="BY60" i="40"/>
  <c r="BX164" i="40"/>
  <c r="BW177" i="40"/>
  <c r="BU162" i="40"/>
  <c r="BV130" i="40"/>
  <c r="BV131" i="40"/>
  <c r="BV132" i="40"/>
  <c r="BY80" i="40"/>
  <c r="BX214" i="40"/>
  <c r="BV120" i="40"/>
  <c r="BV121" i="40"/>
  <c r="BV122" i="40"/>
  <c r="BY84" i="40"/>
  <c r="BX224" i="40"/>
  <c r="BX48" i="40"/>
  <c r="BW134" i="40"/>
  <c r="BY76" i="40"/>
  <c r="BX204" i="40"/>
  <c r="BX195" i="40"/>
  <c r="BX196" i="40"/>
  <c r="BX197" i="40"/>
  <c r="BV160" i="40"/>
  <c r="BV161" i="40"/>
  <c r="BX44" i="40"/>
  <c r="BW124" i="40"/>
  <c r="BW235" i="40"/>
  <c r="BW236" i="40"/>
  <c r="BW140" i="40"/>
  <c r="BW141" i="40"/>
  <c r="BW142" i="40"/>
  <c r="BX42" i="40"/>
  <c r="BW119" i="40"/>
  <c r="BX114" i="40"/>
  <c r="BY40" i="40"/>
  <c r="BV237" i="40"/>
  <c r="BX86" i="40"/>
  <c r="BW229" i="40"/>
  <c r="BW165" i="40"/>
  <c r="BW166" i="40"/>
  <c r="BZ72" i="40"/>
  <c r="BY194" i="40"/>
  <c r="BV190" i="40"/>
  <c r="BV191" i="40"/>
  <c r="BV192" i="40"/>
  <c r="BX74" i="40"/>
  <c r="BW199" i="40"/>
  <c r="BX46" i="40"/>
  <c r="BW129" i="40"/>
  <c r="BV240" i="40"/>
  <c r="BV241" i="40"/>
  <c r="BV242" i="40"/>
  <c r="BX58" i="40"/>
  <c r="BW159" i="40"/>
  <c r="BY66" i="40"/>
  <c r="BX179" i="40"/>
  <c r="BX62" i="40"/>
  <c r="BW169" i="40"/>
  <c r="BX54" i="40"/>
  <c r="BW149" i="40"/>
  <c r="BV230" i="40"/>
  <c r="BV231" i="40"/>
  <c r="BX56" i="40"/>
  <c r="BW154" i="40"/>
  <c r="BV200" i="40"/>
  <c r="BV201" i="40"/>
  <c r="BW197" i="40"/>
  <c r="BY88" i="40"/>
  <c r="BX234" i="40"/>
  <c r="BV210" i="40"/>
  <c r="BV211" i="40"/>
  <c r="BV212" i="40"/>
  <c r="BV227" i="40"/>
  <c r="BY50" i="40"/>
  <c r="BX139" i="40"/>
  <c r="BV220" i="40"/>
  <c r="BV221" i="40"/>
  <c r="BV222" i="40"/>
  <c r="BV145" i="40"/>
  <c r="BV146" i="40"/>
  <c r="BV147" i="40"/>
  <c r="BV142" i="40"/>
  <c r="BX175" i="40"/>
  <c r="BX176" i="40"/>
  <c r="BV150" i="40"/>
  <c r="BV151" i="40"/>
  <c r="BV152" i="40"/>
  <c r="BX185" i="40"/>
  <c r="BX186" i="40"/>
  <c r="BU222" i="40"/>
  <c r="BV155" i="40"/>
  <c r="BV156" i="40"/>
  <c r="BV157" i="40"/>
  <c r="BX70" i="40"/>
  <c r="BW189" i="40"/>
  <c r="BW187" i="40"/>
  <c r="BW215" i="40"/>
  <c r="BW216" i="40"/>
  <c r="BW239" i="40"/>
  <c r="BL207" i="7"/>
  <c r="BT154" i="8"/>
  <c r="BU58" i="8"/>
  <c r="BO164" i="22"/>
  <c r="BP62" i="22"/>
  <c r="BW70" i="10"/>
  <c r="BV184" i="10"/>
  <c r="BE177" i="7"/>
  <c r="BH56" i="22"/>
  <c r="BG149" i="22"/>
  <c r="BG150" i="22"/>
  <c r="BG151" i="22"/>
  <c r="BG152" i="22"/>
  <c r="BV195" i="11"/>
  <c r="BV196" i="11"/>
  <c r="BJ162" i="7"/>
  <c r="BF165" i="9"/>
  <c r="BF166" i="9"/>
  <c r="BI155" i="7"/>
  <c r="BI156" i="7"/>
  <c r="AG81" i="8"/>
  <c r="AH240" i="8"/>
  <c r="BG138" i="6"/>
  <c r="BG139" i="6"/>
  <c r="BG140" i="6"/>
  <c r="BG141" i="6"/>
  <c r="BH46" i="6"/>
  <c r="BF161" i="10"/>
  <c r="BF160" i="10"/>
  <c r="BU232" i="10"/>
  <c r="BT65" i="10"/>
  <c r="BQ78" i="9"/>
  <c r="BP204" i="9"/>
  <c r="BK124" i="11"/>
  <c r="BL46" i="11"/>
  <c r="BM185" i="22"/>
  <c r="BM186" i="22"/>
  <c r="BQ204" i="22"/>
  <c r="BR78" i="22"/>
  <c r="BM205" i="7"/>
  <c r="BM206" i="7"/>
  <c r="BN207" i="9"/>
  <c r="BT187" i="10"/>
  <c r="BF202" i="7"/>
  <c r="CB54" i="10"/>
  <c r="CA144" i="10"/>
  <c r="BL159" i="7"/>
  <c r="BM60" i="7"/>
  <c r="BF135" i="11"/>
  <c r="BF136" i="11"/>
  <c r="BF200" i="10"/>
  <c r="BF201" i="10"/>
  <c r="BN62" i="8"/>
  <c r="BM164" i="8"/>
  <c r="BU186" i="10"/>
  <c r="BU185" i="10"/>
  <c r="BF205" i="8"/>
  <c r="BF206" i="8"/>
  <c r="BG150" i="11"/>
  <c r="BG151" i="11"/>
  <c r="BJ154" i="7"/>
  <c r="BK58" i="7"/>
  <c r="AJ61" i="11"/>
  <c r="AK230" i="11"/>
  <c r="BG159" i="10"/>
  <c r="BH60" i="10"/>
  <c r="BO206" i="9"/>
  <c r="BO205" i="9"/>
  <c r="BP206" i="22"/>
  <c r="BP205" i="22"/>
  <c r="BP169" i="9"/>
  <c r="BQ64" i="9"/>
  <c r="BR72" i="22"/>
  <c r="BQ189" i="22"/>
  <c r="BZ145" i="10"/>
  <c r="BZ146" i="10"/>
  <c r="BK160" i="7"/>
  <c r="BK161" i="7"/>
  <c r="BH50" i="11"/>
  <c r="BG134" i="11"/>
  <c r="BH76" i="10"/>
  <c r="BG199" i="10"/>
  <c r="BL165" i="8"/>
  <c r="BL166" i="8"/>
  <c r="BM78" i="11"/>
  <c r="BL204" i="11"/>
  <c r="BS59" i="10"/>
  <c r="BT229" i="10"/>
  <c r="BH78" i="8"/>
  <c r="BG204" i="8"/>
  <c r="BH76" i="22"/>
  <c r="BG199" i="22"/>
  <c r="BH149" i="11"/>
  <c r="BI56" i="11"/>
  <c r="BX67" i="22"/>
  <c r="BY233" i="22"/>
  <c r="BG179" i="10"/>
  <c r="BH68" i="10"/>
  <c r="BG184" i="8"/>
  <c r="BH70" i="8"/>
  <c r="BE167" i="9"/>
  <c r="BI76" i="7"/>
  <c r="BH199" i="7"/>
  <c r="BE187" i="8"/>
  <c r="BO170" i="9"/>
  <c r="BO171" i="9"/>
  <c r="BP190" i="22"/>
  <c r="BP191" i="22"/>
  <c r="BF200" i="11"/>
  <c r="BF201" i="11"/>
  <c r="BR166" i="10"/>
  <c r="BR165" i="10"/>
  <c r="BR174" i="10"/>
  <c r="BS66" i="10"/>
  <c r="BG174" i="7"/>
  <c r="BH66" i="7"/>
  <c r="BS155" i="8"/>
  <c r="BS156" i="8"/>
  <c r="BN165" i="22"/>
  <c r="BN166" i="22"/>
  <c r="BK205" i="11"/>
  <c r="BK206" i="11"/>
  <c r="BW194" i="11"/>
  <c r="BX74" i="11"/>
  <c r="AD55" i="11"/>
  <c r="AE227" i="11"/>
  <c r="BF201" i="22"/>
  <c r="BF200" i="22"/>
  <c r="BH62" i="9"/>
  <c r="BG164" i="9"/>
  <c r="BF180" i="10"/>
  <c r="BF181" i="10"/>
  <c r="BF186" i="8"/>
  <c r="BF185" i="8"/>
  <c r="BT81" i="10"/>
  <c r="BU240" i="10"/>
  <c r="BN172" i="9"/>
  <c r="BJ125" i="11"/>
  <c r="BJ126" i="11"/>
  <c r="BE182" i="10"/>
  <c r="BG200" i="7"/>
  <c r="BG201" i="7"/>
  <c r="BN184" i="22"/>
  <c r="BO70" i="22"/>
  <c r="BO78" i="7"/>
  <c r="BN204" i="7"/>
  <c r="BU233" i="9"/>
  <c r="BT67" i="9"/>
  <c r="BJ207" i="11"/>
  <c r="BG199" i="11"/>
  <c r="BH76" i="11"/>
  <c r="BS164" i="10"/>
  <c r="BT62" i="10"/>
  <c r="BQ176" i="10"/>
  <c r="BQ175" i="10"/>
  <c r="BF175" i="7"/>
  <c r="BF176" i="7"/>
  <c r="AL48" i="32"/>
  <c r="AG48" i="32"/>
  <c r="Z48" i="32"/>
  <c r="AC48" i="32"/>
  <c r="AS48" i="32"/>
  <c r="AN48" i="32"/>
  <c r="AT48" i="32"/>
  <c r="AB48" i="32"/>
  <c r="AA48" i="32"/>
  <c r="X48" i="32"/>
  <c r="AE48" i="32"/>
  <c r="AP48" i="32"/>
  <c r="AQ48" i="32"/>
  <c r="AH48" i="32"/>
  <c r="G33" i="26"/>
  <c r="S50" i="31"/>
  <c r="T51" i="31"/>
  <c r="L51" i="31"/>
  <c r="N51" i="31"/>
  <c r="O51" i="31"/>
  <c r="P51" i="31"/>
  <c r="Z51" i="31"/>
  <c r="X51" i="31"/>
  <c r="AF51" i="31"/>
  <c r="AX51" i="31"/>
  <c r="AJ51" i="31"/>
  <c r="AK51" i="31"/>
  <c r="AQ51" i="31"/>
  <c r="AV51" i="31"/>
  <c r="AU51" i="31"/>
  <c r="AC51" i="31"/>
  <c r="AH51" i="31"/>
  <c r="AW51" i="31"/>
  <c r="Y51" i="31"/>
  <c r="AN51" i="31"/>
  <c r="AI51" i="31"/>
  <c r="AT51" i="31"/>
  <c r="AR51" i="31"/>
  <c r="AB51" i="31"/>
  <c r="AY51" i="31"/>
  <c r="AM51" i="31"/>
  <c r="AG51" i="31"/>
  <c r="AL51" i="31"/>
  <c r="AD51" i="31"/>
  <c r="AA51" i="31"/>
  <c r="AO51" i="31"/>
  <c r="AP51" i="31"/>
  <c r="AE51" i="31"/>
  <c r="AS51" i="31"/>
  <c r="BI109" i="11"/>
  <c r="BI110" i="11"/>
  <c r="BI111" i="11"/>
  <c r="BI112" i="11"/>
  <c r="BJ40" i="11"/>
  <c r="BG139" i="10"/>
  <c r="BG140" i="10"/>
  <c r="BG141" i="10"/>
  <c r="BG142" i="10"/>
  <c r="BH52" i="10"/>
  <c r="BH34" i="10"/>
  <c r="BG94" i="10"/>
  <c r="BG95" i="10"/>
  <c r="BG96" i="10"/>
  <c r="BG97" i="10"/>
  <c r="BH46" i="10"/>
  <c r="BG124" i="10"/>
  <c r="BG125" i="10"/>
  <c r="BG126" i="10"/>
  <c r="BG127" i="10"/>
  <c r="BG104" i="10"/>
  <c r="BG105" i="10"/>
  <c r="BG106" i="10"/>
  <c r="BG107" i="10"/>
  <c r="BH38" i="10"/>
  <c r="BG109" i="10"/>
  <c r="BG110" i="10"/>
  <c r="BG111" i="10"/>
  <c r="BG112" i="10"/>
  <c r="BH40" i="10"/>
  <c r="BH32" i="10"/>
  <c r="BG89" i="10"/>
  <c r="BG90" i="10"/>
  <c r="BG91" i="10"/>
  <c r="BG92" i="10"/>
  <c r="BH48" i="10"/>
  <c r="BG129" i="10"/>
  <c r="BG130" i="10"/>
  <c r="BG131" i="10"/>
  <c r="BG132" i="10"/>
  <c r="BH119" i="10"/>
  <c r="BH120" i="10"/>
  <c r="BH121" i="10"/>
  <c r="BH122" i="10"/>
  <c r="BI44" i="10"/>
  <c r="BG114" i="10"/>
  <c r="BG115" i="10"/>
  <c r="BG116" i="10"/>
  <c r="BG117" i="10"/>
  <c r="BH42" i="10"/>
  <c r="BH30" i="10"/>
  <c r="BG84" i="10"/>
  <c r="BG85" i="10"/>
  <c r="BG86" i="10"/>
  <c r="BG87" i="10"/>
  <c r="BI46" i="22"/>
  <c r="BH124" i="22"/>
  <c r="BH125" i="22"/>
  <c r="BH126" i="22"/>
  <c r="BH127" i="22"/>
  <c r="BI52" i="22"/>
  <c r="BH139" i="22"/>
  <c r="BH140" i="22"/>
  <c r="BH141" i="22"/>
  <c r="BH142" i="22"/>
  <c r="BG114" i="22"/>
  <c r="BG115" i="22"/>
  <c r="BG116" i="22"/>
  <c r="BG117" i="22"/>
  <c r="BH42" i="22"/>
  <c r="BG134" i="22"/>
  <c r="BG135" i="22"/>
  <c r="BG136" i="22"/>
  <c r="BG137" i="22"/>
  <c r="BH50" i="22"/>
  <c r="BH46" i="8"/>
  <c r="BG124" i="8"/>
  <c r="BG125" i="8"/>
  <c r="BG126" i="8"/>
  <c r="BG127" i="8"/>
  <c r="BH134" i="8"/>
  <c r="BH135" i="8"/>
  <c r="BH136" i="8"/>
  <c r="BH137" i="8"/>
  <c r="BI50" i="8"/>
  <c r="CA197" i="10"/>
  <c r="CA237" i="10"/>
  <c r="BW202" i="8"/>
  <c r="CA197" i="8"/>
  <c r="CA237" i="8"/>
  <c r="BY162" i="22"/>
  <c r="BX177" i="11"/>
  <c r="BY212" i="11"/>
  <c r="BU162" i="8"/>
  <c r="CA197" i="22"/>
  <c r="CA237" i="22"/>
  <c r="BN53" i="11"/>
  <c r="BO226" i="11"/>
  <c r="CA174" i="8"/>
  <c r="CB66" i="8"/>
  <c r="BH76" i="9"/>
  <c r="BG199" i="9"/>
  <c r="U60" i="2"/>
  <c r="V181" i="2"/>
  <c r="AG65" i="11"/>
  <c r="AH232" i="11"/>
  <c r="BW75" i="22"/>
  <c r="BX237" i="22"/>
  <c r="BW75" i="8"/>
  <c r="BX237" i="8"/>
  <c r="CB184" i="7"/>
  <c r="CB71" i="7"/>
  <c r="CA71" i="7"/>
  <c r="BZ71" i="7"/>
  <c r="BY71" i="7"/>
  <c r="BQ69" i="7"/>
  <c r="BR234" i="7"/>
  <c r="BR49" i="11"/>
  <c r="BS224" i="11"/>
  <c r="CA195" i="7"/>
  <c r="CA196" i="7"/>
  <c r="BF191" i="9"/>
  <c r="BF190" i="9"/>
  <c r="BW182" i="8"/>
  <c r="BY237" i="22"/>
  <c r="BZ176" i="8"/>
  <c r="BZ175" i="8"/>
  <c r="BH32" i="22"/>
  <c r="BG89" i="22"/>
  <c r="BG90" i="22"/>
  <c r="BG91" i="22"/>
  <c r="BG92" i="22"/>
  <c r="BF201" i="9"/>
  <c r="BF200" i="9"/>
  <c r="BY72" i="11"/>
  <c r="BX189" i="11"/>
  <c r="CB195" i="10"/>
  <c r="CB196" i="10"/>
  <c r="AK63" i="11"/>
  <c r="AL231" i="11"/>
  <c r="BE60" i="2"/>
  <c r="CF60" i="2"/>
  <c r="BF181" i="2"/>
  <c r="BN60" i="2"/>
  <c r="BO181" i="2"/>
  <c r="BX201" i="8"/>
  <c r="BX200" i="8"/>
  <c r="BY177" i="8"/>
  <c r="A183" i="2"/>
  <c r="BW183" i="2"/>
  <c r="A63" i="2"/>
  <c r="CB196" i="22"/>
  <c r="CB195" i="22"/>
  <c r="BT57" i="10"/>
  <c r="BU228" i="10"/>
  <c r="BU79" i="10"/>
  <c r="BV239" i="10"/>
  <c r="CB195" i="8"/>
  <c r="CB196" i="8"/>
  <c r="AL69" i="11"/>
  <c r="AM234" i="11"/>
  <c r="CB69" i="22"/>
  <c r="CA69" i="22"/>
  <c r="BZ69" i="22"/>
  <c r="BY69" i="22"/>
  <c r="CB179" i="22"/>
  <c r="BZ68" i="8"/>
  <c r="BY179" i="8"/>
  <c r="BU65" i="22"/>
  <c r="BV232" i="22"/>
  <c r="BS81" i="9"/>
  <c r="BT240" i="9"/>
  <c r="BW81" i="22"/>
  <c r="BX240" i="22"/>
  <c r="BY237" i="8"/>
  <c r="BX60" i="8"/>
  <c r="BW159" i="8"/>
  <c r="BV192" i="11"/>
  <c r="CB75" i="7"/>
  <c r="CA75" i="7"/>
  <c r="BZ75" i="7"/>
  <c r="BY75" i="7"/>
  <c r="BX75" i="7"/>
  <c r="CB194" i="7"/>
  <c r="BG189" i="9"/>
  <c r="BH72" i="9"/>
  <c r="BJ31" i="22"/>
  <c r="BK215" i="22"/>
  <c r="BJ192" i="8"/>
  <c r="CA180" i="22"/>
  <c r="CA181" i="22"/>
  <c r="BV69" i="9"/>
  <c r="BW234" i="9"/>
  <c r="BZ187" i="7"/>
  <c r="BZ235" i="7"/>
  <c r="BY176" i="11"/>
  <c r="BY175" i="11"/>
  <c r="BW75" i="10"/>
  <c r="BX237" i="10"/>
  <c r="C60" i="2"/>
  <c r="D181" i="2"/>
  <c r="AM60" i="2"/>
  <c r="AN181" i="2"/>
  <c r="BZ237" i="22"/>
  <c r="AM182" i="2"/>
  <c r="BE182" i="2"/>
  <c r="AV182" i="2"/>
  <c r="AD182" i="2"/>
  <c r="L182" i="2"/>
  <c r="C182" i="2"/>
  <c r="U182" i="2"/>
  <c r="BN182" i="2"/>
  <c r="BU81" i="7"/>
  <c r="BV240" i="7"/>
  <c r="BZ210" i="11"/>
  <c r="BZ211" i="11"/>
  <c r="Y65" i="8"/>
  <c r="Z232" i="8"/>
  <c r="BZ182" i="22"/>
  <c r="BT71" i="9"/>
  <c r="BU235" i="9"/>
  <c r="BK191" i="8"/>
  <c r="BK190" i="8"/>
  <c r="BZ161" i="22"/>
  <c r="BZ160" i="22"/>
  <c r="BW191" i="11"/>
  <c r="BW190" i="11"/>
  <c r="AV60" i="2"/>
  <c r="AW181" i="2"/>
  <c r="CB182" i="9"/>
  <c r="CB234" i="9"/>
  <c r="BV160" i="8"/>
  <c r="BV161" i="8"/>
  <c r="BG65" i="7"/>
  <c r="BH232" i="7"/>
  <c r="BZ237" i="8"/>
  <c r="CA159" i="22"/>
  <c r="CB60" i="22"/>
  <c r="BM73" i="10"/>
  <c r="BN236" i="10"/>
  <c r="CB212" i="22"/>
  <c r="CB240" i="22"/>
  <c r="BX180" i="8"/>
  <c r="BX181" i="8"/>
  <c r="CA66" i="11"/>
  <c r="BZ174" i="11"/>
  <c r="AE181" i="2"/>
  <c r="AD60" i="2"/>
  <c r="L60" i="2"/>
  <c r="M181" i="2"/>
  <c r="BY199" i="8"/>
  <c r="BZ76" i="8"/>
  <c r="BE202" i="9"/>
  <c r="CB80" i="11"/>
  <c r="CA209" i="11"/>
  <c r="W73" i="7"/>
  <c r="X236" i="7"/>
  <c r="CA186" i="7"/>
  <c r="CA185" i="7"/>
  <c r="BE192" i="9"/>
  <c r="BM72" i="8"/>
  <c r="BL189" i="8"/>
  <c r="P44" i="30"/>
  <c r="Q44" i="30"/>
  <c r="W43" i="30"/>
  <c r="V43" i="30"/>
  <c r="K43" i="30"/>
  <c r="S42" i="33"/>
  <c r="BH42" i="8"/>
  <c r="BG114" i="8"/>
  <c r="BG115" i="8"/>
  <c r="BG116" i="8"/>
  <c r="BG117" i="8"/>
  <c r="BL94" i="8"/>
  <c r="BL95" i="8"/>
  <c r="BL96" i="8"/>
  <c r="BL97" i="8"/>
  <c r="BM34" i="8"/>
  <c r="BH44" i="8"/>
  <c r="BG119" i="8"/>
  <c r="BG120" i="8"/>
  <c r="BG121" i="8"/>
  <c r="BG122" i="8"/>
  <c r="BM167" i="7"/>
  <c r="BH32" i="11"/>
  <c r="BG89" i="11"/>
  <c r="BG90" i="11"/>
  <c r="BG91" i="11"/>
  <c r="BG92" i="11"/>
  <c r="BP62" i="7"/>
  <c r="BO164" i="7"/>
  <c r="BN165" i="7"/>
  <c r="BN166" i="7"/>
  <c r="BH52" i="9"/>
  <c r="BG139" i="9"/>
  <c r="BG140" i="9"/>
  <c r="BG141" i="9"/>
  <c r="BG142" i="9"/>
  <c r="BH84" i="9"/>
  <c r="BH85" i="9"/>
  <c r="BH86" i="9"/>
  <c r="BH87" i="9"/>
  <c r="BI30" i="9"/>
  <c r="BJ30" i="1"/>
  <c r="BI86" i="1"/>
  <c r="BI87" i="1"/>
  <c r="BI88" i="1"/>
  <c r="BI89" i="1"/>
  <c r="BI91" i="1"/>
  <c r="BI92" i="1"/>
  <c r="BI93" i="1"/>
  <c r="BI94" i="1"/>
  <c r="BJ32" i="1"/>
  <c r="BH68" i="1"/>
  <c r="BG181" i="1"/>
  <c r="BG182" i="1"/>
  <c r="BG183" i="1"/>
  <c r="BG184" i="1"/>
  <c r="BH64" i="1"/>
  <c r="BG171" i="1"/>
  <c r="BG172" i="1"/>
  <c r="BG173" i="1"/>
  <c r="BG174" i="1"/>
  <c r="BH48" i="1"/>
  <c r="BG131" i="1"/>
  <c r="BG132" i="1"/>
  <c r="BG133" i="1"/>
  <c r="BG134" i="1"/>
  <c r="BG96" i="1"/>
  <c r="BG97" i="1"/>
  <c r="BG98" i="1"/>
  <c r="BG99" i="1"/>
  <c r="BH34" i="1"/>
  <c r="BG141" i="1"/>
  <c r="BG142" i="1"/>
  <c r="BG143" i="1"/>
  <c r="BG144" i="1"/>
  <c r="BH52" i="1"/>
  <c r="BG156" i="1"/>
  <c r="BG157" i="1"/>
  <c r="BG158" i="1"/>
  <c r="BG159" i="1"/>
  <c r="BH58" i="1"/>
  <c r="BF172" i="1"/>
  <c r="BF173" i="1"/>
  <c r="BF174" i="1"/>
  <c r="BH50" i="1"/>
  <c r="BG136" i="1"/>
  <c r="BG137" i="1"/>
  <c r="BG138" i="1"/>
  <c r="BG139" i="1"/>
  <c r="W48" i="33"/>
  <c r="V48" i="33"/>
  <c r="K48" i="33"/>
  <c r="L48" i="33"/>
  <c r="N48" i="33"/>
  <c r="O48" i="33"/>
  <c r="P48" i="33"/>
  <c r="Q48" i="33"/>
  <c r="AJ48" i="32"/>
  <c r="AK48" i="32"/>
  <c r="AI48" i="32"/>
  <c r="AV48" i="32"/>
  <c r="AF48" i="32"/>
  <c r="BG219" i="1"/>
  <c r="BI44" i="22"/>
  <c r="BH119" i="22"/>
  <c r="BH120" i="22"/>
  <c r="BH121" i="22"/>
  <c r="BH122" i="22"/>
  <c r="BH98" i="6"/>
  <c r="BH99" i="6"/>
  <c r="BH100" i="6"/>
  <c r="BH101" i="6"/>
  <c r="BI30" i="6"/>
  <c r="BG78" i="6"/>
  <c r="BG79" i="6"/>
  <c r="BG80" i="6"/>
  <c r="BG81" i="6"/>
  <c r="BH22" i="6"/>
  <c r="BH44" i="6"/>
  <c r="BG133" i="6"/>
  <c r="BG134" i="6"/>
  <c r="BG135" i="6"/>
  <c r="BG136" i="6"/>
  <c r="BH28" i="6"/>
  <c r="BG93" i="6"/>
  <c r="BG94" i="6"/>
  <c r="BG95" i="6"/>
  <c r="BG96" i="6"/>
  <c r="BH36" i="6"/>
  <c r="BG113" i="6"/>
  <c r="BG114" i="6"/>
  <c r="BG115" i="6"/>
  <c r="BG116" i="6"/>
  <c r="BG108" i="6"/>
  <c r="BG109" i="6"/>
  <c r="BG110" i="6"/>
  <c r="BG111" i="6"/>
  <c r="BH34" i="6"/>
  <c r="BI42" i="6"/>
  <c r="BH128" i="6"/>
  <c r="BH129" i="6"/>
  <c r="BH130" i="6"/>
  <c r="BH131" i="6"/>
  <c r="BH26" i="6"/>
  <c r="BG88" i="6"/>
  <c r="BG103" i="6"/>
  <c r="BG104" i="6"/>
  <c r="BG105" i="6"/>
  <c r="BG106" i="6"/>
  <c r="BH32" i="6"/>
  <c r="BF79" i="6"/>
  <c r="BF80" i="6"/>
  <c r="BG123" i="6"/>
  <c r="BG124" i="6"/>
  <c r="BG125" i="6"/>
  <c r="BG126" i="6"/>
  <c r="BH40" i="6"/>
  <c r="BG83" i="6"/>
  <c r="BG84" i="6"/>
  <c r="BG85" i="6"/>
  <c r="BG86" i="6"/>
  <c r="BH24" i="6"/>
  <c r="BF137" i="9"/>
  <c r="BI212" i="1"/>
  <c r="BI213" i="1"/>
  <c r="BJ82" i="1"/>
  <c r="BI216" i="1"/>
  <c r="BH42" i="1"/>
  <c r="BG116" i="1"/>
  <c r="BG117" i="1"/>
  <c r="BG118" i="1"/>
  <c r="BG119" i="1"/>
  <c r="BK80" i="1"/>
  <c r="BJ211" i="1"/>
  <c r="BJ212" i="1"/>
  <c r="BJ213" i="1"/>
  <c r="BJ214" i="1"/>
  <c r="BH218" i="1"/>
  <c r="BH217" i="1"/>
  <c r="BG127" i="7"/>
  <c r="BH122" i="7"/>
  <c r="BE92" i="8"/>
  <c r="BF147" i="8"/>
  <c r="BH99" i="8"/>
  <c r="BH100" i="8"/>
  <c r="BH101" i="8"/>
  <c r="BH102" i="8"/>
  <c r="BI36" i="8"/>
  <c r="BK104" i="8"/>
  <c r="BK105" i="8"/>
  <c r="BK106" i="8"/>
  <c r="BK107" i="8"/>
  <c r="BL38" i="8"/>
  <c r="BG120" i="11"/>
  <c r="BG121" i="11"/>
  <c r="BG122" i="11"/>
  <c r="BI44" i="11"/>
  <c r="BH119" i="11"/>
  <c r="AF28" i="26"/>
  <c r="S45" i="36"/>
  <c r="R44" i="36"/>
  <c r="U48" i="36"/>
  <c r="AF29" i="26"/>
  <c r="S46" i="36"/>
  <c r="P49" i="36"/>
  <c r="Q49" i="36"/>
  <c r="L25" i="26"/>
  <c r="S42" i="32"/>
  <c r="BH48" i="22"/>
  <c r="BG129" i="22"/>
  <c r="BG130" i="22"/>
  <c r="BG131" i="22"/>
  <c r="BG132" i="22"/>
  <c r="BH104" i="22"/>
  <c r="BI38" i="22"/>
  <c r="BG94" i="22"/>
  <c r="BG95" i="22"/>
  <c r="BG96" i="22"/>
  <c r="BG97" i="22"/>
  <c r="BH34" i="22"/>
  <c r="BH84" i="7"/>
  <c r="BH85" i="7"/>
  <c r="BH86" i="7"/>
  <c r="BH87" i="7"/>
  <c r="BI30" i="7"/>
  <c r="BG94" i="7"/>
  <c r="BG95" i="7"/>
  <c r="BG96" i="7"/>
  <c r="BG97" i="7"/>
  <c r="BH34" i="7"/>
  <c r="BI38" i="7"/>
  <c r="BH104" i="7"/>
  <c r="BG105" i="7"/>
  <c r="BG106" i="7"/>
  <c r="BJ109" i="7"/>
  <c r="BJ110" i="7"/>
  <c r="BJ111" i="7"/>
  <c r="BJ112" i="7"/>
  <c r="BK40" i="7"/>
  <c r="BG114" i="7"/>
  <c r="BG115" i="7"/>
  <c r="BG116" i="7"/>
  <c r="BG117" i="7"/>
  <c r="BH42" i="7"/>
  <c r="BH99" i="7"/>
  <c r="BH100" i="7"/>
  <c r="BH101" i="7"/>
  <c r="BH102" i="7"/>
  <c r="BI36" i="7"/>
  <c r="BJ118" i="6"/>
  <c r="BJ119" i="6"/>
  <c r="BJ120" i="6"/>
  <c r="BJ121" i="6"/>
  <c r="BK38" i="6"/>
  <c r="BH34" i="9"/>
  <c r="BG94" i="9"/>
  <c r="BG95" i="9"/>
  <c r="BG96" i="9"/>
  <c r="BG97" i="9"/>
  <c r="BG42" i="9"/>
  <c r="BF114" i="9"/>
  <c r="BF115" i="9"/>
  <c r="BF116" i="9"/>
  <c r="BF117" i="9"/>
  <c r="BL54" i="9"/>
  <c r="BK144" i="9"/>
  <c r="BK145" i="9"/>
  <c r="BK146" i="9"/>
  <c r="BK147" i="9"/>
  <c r="BH46" i="9"/>
  <c r="BG124" i="9"/>
  <c r="BG125" i="9"/>
  <c r="BG126" i="9"/>
  <c r="BG127" i="9"/>
  <c r="BJ104" i="9"/>
  <c r="BJ105" i="9"/>
  <c r="BJ106" i="9"/>
  <c r="BJ107" i="9"/>
  <c r="BK38" i="9"/>
  <c r="BH134" i="9"/>
  <c r="BH135" i="9"/>
  <c r="BH136" i="9"/>
  <c r="BH137" i="9"/>
  <c r="BI50" i="9"/>
  <c r="BF150" i="9"/>
  <c r="BF151" i="9"/>
  <c r="BF152" i="9"/>
  <c r="BG119" i="9"/>
  <c r="BG120" i="9"/>
  <c r="BG121" i="9"/>
  <c r="BG122" i="9"/>
  <c r="BH44" i="9"/>
  <c r="BH48" i="9"/>
  <c r="BG129" i="9"/>
  <c r="BG130" i="9"/>
  <c r="BG131" i="9"/>
  <c r="BG132" i="9"/>
  <c r="BH56" i="9"/>
  <c r="BG149" i="9"/>
  <c r="BJ32" i="9"/>
  <c r="BI89" i="9"/>
  <c r="BI90" i="9"/>
  <c r="BI91" i="9"/>
  <c r="BI92" i="9"/>
  <c r="BJ66" i="1"/>
  <c r="BI176" i="1"/>
  <c r="BI177" i="1"/>
  <c r="BI178" i="1"/>
  <c r="BI179" i="1"/>
  <c r="BJ76" i="1"/>
  <c r="BI201" i="1"/>
  <c r="BI202" i="1"/>
  <c r="BI203" i="1"/>
  <c r="BI204" i="1"/>
  <c r="BG192" i="1"/>
  <c r="BG193" i="1"/>
  <c r="BG194" i="1"/>
  <c r="BH78" i="1"/>
  <c r="BG206" i="1"/>
  <c r="BG207" i="1"/>
  <c r="BG208" i="1"/>
  <c r="BG209" i="1"/>
  <c r="BH74" i="1"/>
  <c r="BG196" i="1"/>
  <c r="BH161" i="1"/>
  <c r="BH162" i="1"/>
  <c r="BH163" i="1"/>
  <c r="BH164" i="1"/>
  <c r="BI60" i="1"/>
  <c r="BH70" i="1"/>
  <c r="BG186" i="1"/>
  <c r="BG187" i="1"/>
  <c r="BG188" i="1"/>
  <c r="BG189" i="1"/>
  <c r="BI72" i="1"/>
  <c r="BH191" i="1"/>
  <c r="BH192" i="1"/>
  <c r="BH193" i="1"/>
  <c r="BH194" i="1"/>
  <c r="BN56" i="1"/>
  <c r="BM151" i="1"/>
  <c r="BM152" i="1"/>
  <c r="BM153" i="1"/>
  <c r="BM154" i="1"/>
  <c r="BH177" i="1"/>
  <c r="BH178" i="1"/>
  <c r="BH179" i="1"/>
  <c r="W49" i="37"/>
  <c r="V49" i="37"/>
  <c r="AF49" i="37"/>
  <c r="BM114" i="11"/>
  <c r="BN42" i="11"/>
  <c r="BL115" i="11"/>
  <c r="BL116" i="11"/>
  <c r="BL117" i="11"/>
  <c r="W46" i="34"/>
  <c r="V46" i="34"/>
  <c r="K46" i="34"/>
  <c r="W47" i="35"/>
  <c r="V47" i="35"/>
  <c r="K47" i="35"/>
  <c r="BF107" i="11"/>
  <c r="BI38" i="11"/>
  <c r="BH104" i="11"/>
  <c r="BJ85" i="11"/>
  <c r="BJ86" i="11"/>
  <c r="BJ87" i="11"/>
  <c r="BK84" i="11"/>
  <c r="BL30" i="11"/>
  <c r="BJ36" i="11"/>
  <c r="BI99" i="11"/>
  <c r="BG105" i="11"/>
  <c r="BG106" i="11"/>
  <c r="BH100" i="11"/>
  <c r="BH101" i="11"/>
  <c r="BG135" i="10"/>
  <c r="BG136" i="10"/>
  <c r="BG137" i="10"/>
  <c r="BH134" i="10"/>
  <c r="BI50" i="10"/>
  <c r="BH99" i="10"/>
  <c r="BI36" i="10"/>
  <c r="BG100" i="10"/>
  <c r="BG101" i="10"/>
  <c r="BG102" i="10"/>
  <c r="BH58" i="22"/>
  <c r="BG154" i="22"/>
  <c r="BF155" i="22"/>
  <c r="BF156" i="22"/>
  <c r="BF157" i="22"/>
  <c r="BG110" i="22"/>
  <c r="BG111" i="22"/>
  <c r="BG112" i="22"/>
  <c r="BI36" i="22"/>
  <c r="BH99" i="22"/>
  <c r="BG145" i="22"/>
  <c r="BG146" i="22"/>
  <c r="BG147" i="22"/>
  <c r="BI54" i="22"/>
  <c r="BH144" i="22"/>
  <c r="BG100" i="22"/>
  <c r="BG101" i="22"/>
  <c r="BG102" i="22"/>
  <c r="BH109" i="22"/>
  <c r="BI40" i="22"/>
  <c r="BK56" i="8"/>
  <c r="BJ149" i="8"/>
  <c r="BI150" i="8"/>
  <c r="BI151" i="8"/>
  <c r="BI152" i="8"/>
  <c r="BH144" i="8"/>
  <c r="BI54" i="8"/>
  <c r="BG145" i="8"/>
  <c r="BG146" i="8"/>
  <c r="BG147" i="8"/>
  <c r="BF110" i="8"/>
  <c r="BF111" i="8"/>
  <c r="BF112" i="8"/>
  <c r="BF130" i="8"/>
  <c r="BF131" i="8"/>
  <c r="BF132" i="8"/>
  <c r="BF90" i="8"/>
  <c r="BF91" i="8"/>
  <c r="BF92" i="8"/>
  <c r="BG89" i="8"/>
  <c r="BH32" i="8"/>
  <c r="BF140" i="8"/>
  <c r="BF141" i="8"/>
  <c r="BF142" i="8"/>
  <c r="BF84" i="8"/>
  <c r="BG30" i="8"/>
  <c r="BG139" i="8"/>
  <c r="BH52" i="8"/>
  <c r="BH40" i="8"/>
  <c r="BG109" i="8"/>
  <c r="BE85" i="8"/>
  <c r="BE86" i="8"/>
  <c r="BE87" i="8"/>
  <c r="BH48" i="8"/>
  <c r="BG129" i="8"/>
  <c r="BH54" i="7"/>
  <c r="BG144" i="7"/>
  <c r="BF145" i="7"/>
  <c r="BF146" i="7"/>
  <c r="BF147" i="7"/>
  <c r="BF140" i="7"/>
  <c r="BF141" i="7"/>
  <c r="BF142" i="7"/>
  <c r="BG139" i="7"/>
  <c r="BH52" i="7"/>
  <c r="BF135" i="7"/>
  <c r="BF136" i="7"/>
  <c r="BF137" i="7"/>
  <c r="BG134" i="7"/>
  <c r="BH50" i="7"/>
  <c r="BJ46" i="7"/>
  <c r="BI124" i="7"/>
  <c r="BM90" i="7"/>
  <c r="BM91" i="7"/>
  <c r="BM92" i="7"/>
  <c r="BH125" i="7"/>
  <c r="BH126" i="7"/>
  <c r="BH127" i="7"/>
  <c r="BO32" i="7"/>
  <c r="BN89" i="7"/>
  <c r="BJ119" i="7"/>
  <c r="BK44" i="7"/>
  <c r="BI120" i="7"/>
  <c r="BI121" i="7"/>
  <c r="BG163" i="6"/>
  <c r="BH56" i="6"/>
  <c r="BF164" i="6"/>
  <c r="BF165" i="6"/>
  <c r="BF166" i="6"/>
  <c r="BH54" i="6"/>
  <c r="BG158" i="6"/>
  <c r="BF159" i="6"/>
  <c r="BF160" i="6"/>
  <c r="BF161" i="6"/>
  <c r="BF154" i="6"/>
  <c r="BF155" i="6"/>
  <c r="BF156" i="6"/>
  <c r="BH52" i="6"/>
  <c r="BG153" i="6"/>
  <c r="BF149" i="6"/>
  <c r="BF150" i="6"/>
  <c r="BG148" i="6"/>
  <c r="BH50" i="6"/>
  <c r="BF144" i="6"/>
  <c r="BF145" i="6"/>
  <c r="BF146" i="6"/>
  <c r="BG143" i="6"/>
  <c r="BH48" i="6"/>
  <c r="BG160" i="9"/>
  <c r="BG161" i="9"/>
  <c r="BG162" i="9"/>
  <c r="BH159" i="9"/>
  <c r="BI60" i="9"/>
  <c r="BF155" i="9"/>
  <c r="BF156" i="9"/>
  <c r="BF157" i="9"/>
  <c r="BG154" i="9"/>
  <c r="BH58" i="9"/>
  <c r="BG100" i="9"/>
  <c r="BG101" i="9"/>
  <c r="BG102" i="9"/>
  <c r="BG110" i="9"/>
  <c r="BG111" i="9"/>
  <c r="BG112" i="9"/>
  <c r="BI36" i="9"/>
  <c r="BH99" i="9"/>
  <c r="BI40" i="9"/>
  <c r="BH109" i="9"/>
  <c r="BF167" i="1"/>
  <c r="BF168" i="1"/>
  <c r="BF169" i="1"/>
  <c r="BG166" i="1"/>
  <c r="BH62" i="1"/>
  <c r="BH46" i="1"/>
  <c r="BG126" i="1"/>
  <c r="BF147" i="1"/>
  <c r="BF148" i="1"/>
  <c r="BF149" i="1"/>
  <c r="BF127" i="1"/>
  <c r="BF128" i="1"/>
  <c r="BF129" i="1"/>
  <c r="BG146" i="1"/>
  <c r="BH54" i="1"/>
  <c r="BI121" i="1"/>
  <c r="BJ44" i="1"/>
  <c r="BH122" i="1"/>
  <c r="BH123" i="1"/>
  <c r="BH124" i="1"/>
  <c r="BH102" i="1"/>
  <c r="BH103" i="1"/>
  <c r="BH104" i="1"/>
  <c r="BJ36" i="1"/>
  <c r="BI101" i="1"/>
  <c r="BF107" i="1"/>
  <c r="BF108" i="1"/>
  <c r="BF109" i="1"/>
  <c r="BJ40" i="1"/>
  <c r="BI111" i="1"/>
  <c r="BG106" i="1"/>
  <c r="BH38" i="1"/>
  <c r="BH112" i="1"/>
  <c r="BH113" i="1"/>
  <c r="BH114" i="1"/>
  <c r="BI48" i="7"/>
  <c r="BH129" i="7"/>
  <c r="BH130" i="7"/>
  <c r="BH131" i="7"/>
  <c r="BH132" i="7"/>
  <c r="BX183" i="2"/>
  <c r="BW62" i="2"/>
  <c r="BM75" i="9"/>
  <c r="BN237" i="9"/>
  <c r="W59" i="11"/>
  <c r="X229" i="11"/>
  <c r="BZ234" i="22"/>
  <c r="U43" i="41"/>
  <c r="K43" i="41"/>
  <c r="T43" i="41"/>
  <c r="BF182" i="10"/>
  <c r="BL167" i="8"/>
  <c r="BZ147" i="10"/>
  <c r="BF137" i="11"/>
  <c r="BK207" i="11"/>
  <c r="BS157" i="8"/>
  <c r="BF202" i="11"/>
  <c r="BO172" i="9"/>
  <c r="BG152" i="11"/>
  <c r="BF202" i="10"/>
  <c r="BM207" i="7"/>
  <c r="BM187" i="22"/>
  <c r="BJ127" i="11"/>
  <c r="BR167" i="10"/>
  <c r="BF162" i="10"/>
  <c r="BF187" i="8"/>
  <c r="BI157" i="7"/>
  <c r="BX105" i="40"/>
  <c r="BY329" i="40"/>
  <c r="BW99" i="40"/>
  <c r="BX326" i="40"/>
  <c r="CA330" i="40"/>
  <c r="BY97" i="40"/>
  <c r="BZ325" i="40"/>
  <c r="BY107" i="40"/>
  <c r="BZ330" i="40"/>
  <c r="CB280" i="40"/>
  <c r="CB281" i="40"/>
  <c r="CB282" i="40"/>
  <c r="CB330" i="40"/>
  <c r="BX289" i="40"/>
  <c r="BX290" i="40"/>
  <c r="BX291" i="40"/>
  <c r="BX292" i="40"/>
  <c r="BY110" i="40"/>
  <c r="BW245" i="40"/>
  <c r="BW246" i="40"/>
  <c r="BW247" i="40"/>
  <c r="BX269" i="40"/>
  <c r="BX270" i="40"/>
  <c r="BX271" i="40"/>
  <c r="BX272" i="40"/>
  <c r="BY102" i="40"/>
  <c r="BX284" i="40"/>
  <c r="BY108" i="40"/>
  <c r="BX249" i="40"/>
  <c r="BY94" i="40"/>
  <c r="BX264" i="40"/>
  <c r="BX265" i="40"/>
  <c r="BX266" i="40"/>
  <c r="BX267" i="40"/>
  <c r="BY100" i="40"/>
  <c r="BX244" i="40"/>
  <c r="BY92" i="40"/>
  <c r="BW290" i="40"/>
  <c r="BW291" i="40"/>
  <c r="BW292" i="40"/>
  <c r="BW250" i="40"/>
  <c r="BW251" i="40"/>
  <c r="BW252" i="40"/>
  <c r="CA90" i="40"/>
  <c r="BY56" i="40"/>
  <c r="BX154" i="40"/>
  <c r="BW200" i="40"/>
  <c r="BW201" i="40"/>
  <c r="BX115" i="40"/>
  <c r="BX116" i="40"/>
  <c r="BX117" i="40"/>
  <c r="BY48" i="40"/>
  <c r="BX134" i="40"/>
  <c r="CA64" i="40"/>
  <c r="BZ174" i="40"/>
  <c r="BY78" i="40"/>
  <c r="BX209" i="40"/>
  <c r="BX239" i="40"/>
  <c r="BW190" i="40"/>
  <c r="BW191" i="40"/>
  <c r="BZ88" i="40"/>
  <c r="BY234" i="40"/>
  <c r="BV202" i="40"/>
  <c r="BX180" i="40"/>
  <c r="BX181" i="40"/>
  <c r="BX182" i="40"/>
  <c r="BY58" i="40"/>
  <c r="BX159" i="40"/>
  <c r="BW130" i="40"/>
  <c r="BW131" i="40"/>
  <c r="BW132" i="40"/>
  <c r="BY195" i="40"/>
  <c r="BY196" i="40"/>
  <c r="BY197" i="40"/>
  <c r="BW167" i="40"/>
  <c r="BW120" i="40"/>
  <c r="BW121" i="40"/>
  <c r="BW122" i="40"/>
  <c r="BX225" i="40"/>
  <c r="BX226" i="40"/>
  <c r="BX227" i="40"/>
  <c r="BX165" i="40"/>
  <c r="BX166" i="40"/>
  <c r="BW207" i="40"/>
  <c r="CA68" i="40"/>
  <c r="BZ184" i="40"/>
  <c r="BW145" i="40"/>
  <c r="BW146" i="40"/>
  <c r="BW147" i="40"/>
  <c r="BV172" i="40"/>
  <c r="BX235" i="40"/>
  <c r="BX236" i="40"/>
  <c r="BX237" i="40"/>
  <c r="BW160" i="40"/>
  <c r="BW161" i="40"/>
  <c r="BY86" i="40"/>
  <c r="BX229" i="40"/>
  <c r="BZ76" i="40"/>
  <c r="BY204" i="40"/>
  <c r="BY82" i="40"/>
  <c r="BX219" i="40"/>
  <c r="BX140" i="40"/>
  <c r="BX141" i="40"/>
  <c r="BX142" i="40"/>
  <c r="BW155" i="40"/>
  <c r="BW156" i="40"/>
  <c r="BW157" i="40"/>
  <c r="BV232" i="40"/>
  <c r="BW170" i="40"/>
  <c r="BW171" i="40"/>
  <c r="BY46" i="40"/>
  <c r="BX129" i="40"/>
  <c r="BY74" i="40"/>
  <c r="BX199" i="40"/>
  <c r="BW230" i="40"/>
  <c r="BW231" i="40"/>
  <c r="BW232" i="40"/>
  <c r="BZ40" i="40"/>
  <c r="BY114" i="40"/>
  <c r="BY42" i="40"/>
  <c r="BX119" i="40"/>
  <c r="BY44" i="40"/>
  <c r="BX124" i="40"/>
  <c r="BW135" i="40"/>
  <c r="BW136" i="40"/>
  <c r="BW137" i="40"/>
  <c r="BZ84" i="40"/>
  <c r="BY224" i="40"/>
  <c r="BX215" i="40"/>
  <c r="BX216" i="40"/>
  <c r="BX217" i="40"/>
  <c r="BZ60" i="40"/>
  <c r="BY164" i="40"/>
  <c r="BY175" i="40"/>
  <c r="BY176" i="40"/>
  <c r="BW220" i="40"/>
  <c r="BW221" i="40"/>
  <c r="BW222" i="40"/>
  <c r="BW210" i="40"/>
  <c r="BW211" i="40"/>
  <c r="BW212" i="40"/>
  <c r="BY54" i="40"/>
  <c r="BX149" i="40"/>
  <c r="BW125" i="40"/>
  <c r="BW126" i="40"/>
  <c r="BW127" i="40"/>
  <c r="BW240" i="40"/>
  <c r="BW241" i="40"/>
  <c r="BW217" i="40"/>
  <c r="BY70" i="40"/>
  <c r="BX189" i="40"/>
  <c r="BX187" i="40"/>
  <c r="BX177" i="40"/>
  <c r="BZ50" i="40"/>
  <c r="BY139" i="40"/>
  <c r="BW150" i="40"/>
  <c r="BW151" i="40"/>
  <c r="BW152" i="40"/>
  <c r="BY62" i="40"/>
  <c r="BX169" i="40"/>
  <c r="BZ66" i="40"/>
  <c r="BY179" i="40"/>
  <c r="CA72" i="40"/>
  <c r="BZ194" i="40"/>
  <c r="BW237" i="40"/>
  <c r="BV162" i="40"/>
  <c r="BX205" i="40"/>
  <c r="BX206" i="40"/>
  <c r="BZ80" i="40"/>
  <c r="BY214" i="40"/>
  <c r="BY185" i="40"/>
  <c r="BY186" i="40"/>
  <c r="BY52" i="40"/>
  <c r="BX144" i="40"/>
  <c r="BF177" i="7"/>
  <c r="BT164" i="10"/>
  <c r="BU62" i="10"/>
  <c r="BG200" i="11"/>
  <c r="BG201" i="11"/>
  <c r="BN205" i="7"/>
  <c r="BN206" i="7"/>
  <c r="BG202" i="7"/>
  <c r="BG166" i="9"/>
  <c r="BG165" i="9"/>
  <c r="BY74" i="11"/>
  <c r="BX194" i="11"/>
  <c r="BN167" i="22"/>
  <c r="BI66" i="7"/>
  <c r="BH174" i="7"/>
  <c r="BP192" i="22"/>
  <c r="BX233" i="22"/>
  <c r="BW67" i="22"/>
  <c r="BG200" i="22"/>
  <c r="BG201" i="22"/>
  <c r="BN78" i="11"/>
  <c r="BM204" i="11"/>
  <c r="BI76" i="10"/>
  <c r="BH199" i="10"/>
  <c r="BK162" i="7"/>
  <c r="BQ190" i="22"/>
  <c r="BQ191" i="22"/>
  <c r="BP170" i="9"/>
  <c r="BP171" i="9"/>
  <c r="BG161" i="10"/>
  <c r="BG160" i="10"/>
  <c r="BJ156" i="7"/>
  <c r="BJ155" i="7"/>
  <c r="BF207" i="8"/>
  <c r="BL161" i="7"/>
  <c r="BL160" i="7"/>
  <c r="BS78" i="22"/>
  <c r="BR204" i="22"/>
  <c r="BP205" i="9"/>
  <c r="BP206" i="9"/>
  <c r="BF167" i="9"/>
  <c r="BV185" i="10"/>
  <c r="BV186" i="10"/>
  <c r="BS165" i="10"/>
  <c r="BS166" i="10"/>
  <c r="BP78" i="7"/>
  <c r="BO204" i="7"/>
  <c r="BI62" i="9"/>
  <c r="BH164" i="9"/>
  <c r="AC55" i="11"/>
  <c r="AD227" i="11"/>
  <c r="BW195" i="11"/>
  <c r="BW196" i="11"/>
  <c r="BG176" i="7"/>
  <c r="BG175" i="7"/>
  <c r="BH179" i="10"/>
  <c r="BI68" i="10"/>
  <c r="BI76" i="22"/>
  <c r="BH199" i="22"/>
  <c r="BS229" i="10"/>
  <c r="BR59" i="10"/>
  <c r="BR189" i="22"/>
  <c r="BS72" i="22"/>
  <c r="BM166" i="8"/>
  <c r="BM165" i="8"/>
  <c r="CA145" i="10"/>
  <c r="CA146" i="10"/>
  <c r="BQ206" i="22"/>
  <c r="BQ205" i="22"/>
  <c r="BM46" i="11"/>
  <c r="BL124" i="11"/>
  <c r="BQ204" i="9"/>
  <c r="BR78" i="9"/>
  <c r="AF81" i="8"/>
  <c r="AG240" i="8"/>
  <c r="BW184" i="10"/>
  <c r="BX70" i="10"/>
  <c r="BV58" i="8"/>
  <c r="BU154" i="8"/>
  <c r="CA197" i="7"/>
  <c r="CA237" i="7"/>
  <c r="BT233" i="9"/>
  <c r="BS67" i="9"/>
  <c r="BP70" i="22"/>
  <c r="BO184" i="22"/>
  <c r="BT66" i="10"/>
  <c r="BS174" i="10"/>
  <c r="BH200" i="7"/>
  <c r="BH201" i="7"/>
  <c r="BI70" i="8"/>
  <c r="BH184" i="8"/>
  <c r="BG180" i="10"/>
  <c r="BG181" i="10"/>
  <c r="BJ56" i="11"/>
  <c r="BI149" i="11"/>
  <c r="BG206" i="8"/>
  <c r="BG205" i="8"/>
  <c r="BG135" i="11"/>
  <c r="BG136" i="11"/>
  <c r="BP207" i="22"/>
  <c r="BO207" i="9"/>
  <c r="AJ230" i="11"/>
  <c r="AI61" i="11"/>
  <c r="BO62" i="8"/>
  <c r="BN164" i="8"/>
  <c r="CC54" i="10"/>
  <c r="CB144" i="10"/>
  <c r="BK126" i="11"/>
  <c r="BK125" i="11"/>
  <c r="BT232" i="10"/>
  <c r="BS65" i="10"/>
  <c r="BH138" i="6"/>
  <c r="BH139" i="6"/>
  <c r="BH140" i="6"/>
  <c r="BH141" i="6"/>
  <c r="BI46" i="6"/>
  <c r="BH149" i="22"/>
  <c r="BH150" i="22"/>
  <c r="BH151" i="22"/>
  <c r="BH152" i="22"/>
  <c r="BI56" i="22"/>
  <c r="BQ62" i="22"/>
  <c r="BP164" i="22"/>
  <c r="BT155" i="8"/>
  <c r="BT156" i="8"/>
  <c r="BQ177" i="10"/>
  <c r="BI76" i="11"/>
  <c r="BH199" i="11"/>
  <c r="BN185" i="22"/>
  <c r="BN186" i="22"/>
  <c r="BS81" i="10"/>
  <c r="BT240" i="10"/>
  <c r="BF202" i="22"/>
  <c r="BR176" i="10"/>
  <c r="BR175" i="10"/>
  <c r="BJ76" i="7"/>
  <c r="BI199" i="7"/>
  <c r="BG186" i="8"/>
  <c r="BG185" i="8"/>
  <c r="BH150" i="11"/>
  <c r="BH151" i="11"/>
  <c r="BI78" i="8"/>
  <c r="BH204" i="8"/>
  <c r="BL206" i="11"/>
  <c r="BL205" i="11"/>
  <c r="BG200" i="10"/>
  <c r="BG201" i="10"/>
  <c r="BI50" i="11"/>
  <c r="BH134" i="11"/>
  <c r="BR64" i="9"/>
  <c r="BQ169" i="9"/>
  <c r="BI60" i="10"/>
  <c r="BH159" i="10"/>
  <c r="BL58" i="7"/>
  <c r="BK154" i="7"/>
  <c r="BU187" i="10"/>
  <c r="BN60" i="7"/>
  <c r="BM159" i="7"/>
  <c r="BV197" i="11"/>
  <c r="BO166" i="22"/>
  <c r="BO165" i="22"/>
  <c r="Q51" i="31"/>
  <c r="R51" i="31"/>
  <c r="BK40" i="11"/>
  <c r="BJ109" i="11"/>
  <c r="BJ110" i="11"/>
  <c r="BJ111" i="11"/>
  <c r="BJ112" i="11"/>
  <c r="BI30" i="10"/>
  <c r="BH84" i="10"/>
  <c r="BH85" i="10"/>
  <c r="BH86" i="10"/>
  <c r="BH87" i="10"/>
  <c r="BH89" i="10"/>
  <c r="BH90" i="10"/>
  <c r="BH91" i="10"/>
  <c r="BH92" i="10"/>
  <c r="BI32" i="10"/>
  <c r="BI34" i="10"/>
  <c r="BH94" i="10"/>
  <c r="BH95" i="10"/>
  <c r="BH96" i="10"/>
  <c r="BH97" i="10"/>
  <c r="BI119" i="10"/>
  <c r="BI120" i="10"/>
  <c r="BI121" i="10"/>
  <c r="BI122" i="10"/>
  <c r="BJ44" i="10"/>
  <c r="BH114" i="10"/>
  <c r="BH115" i="10"/>
  <c r="BH116" i="10"/>
  <c r="BH117" i="10"/>
  <c r="BI42" i="10"/>
  <c r="BI40" i="10"/>
  <c r="BH109" i="10"/>
  <c r="BH110" i="10"/>
  <c r="BH111" i="10"/>
  <c r="BH112" i="10"/>
  <c r="BH139" i="10"/>
  <c r="BH140" i="10"/>
  <c r="BH141" i="10"/>
  <c r="BH142" i="10"/>
  <c r="BI52" i="10"/>
  <c r="BI38" i="10"/>
  <c r="BH104" i="10"/>
  <c r="BH105" i="10"/>
  <c r="BH106" i="10"/>
  <c r="BH107" i="10"/>
  <c r="BI48" i="10"/>
  <c r="BH129" i="10"/>
  <c r="BH130" i="10"/>
  <c r="BH131" i="10"/>
  <c r="BH132" i="10"/>
  <c r="BI46" i="10"/>
  <c r="BH124" i="10"/>
  <c r="BH125" i="10"/>
  <c r="BH126" i="10"/>
  <c r="BH127" i="10"/>
  <c r="BH114" i="22"/>
  <c r="BH115" i="22"/>
  <c r="BH116" i="22"/>
  <c r="BH117" i="22"/>
  <c r="BI42" i="22"/>
  <c r="BJ52" i="22"/>
  <c r="BI139" i="22"/>
  <c r="BI140" i="22"/>
  <c r="BI141" i="22"/>
  <c r="BI142" i="22"/>
  <c r="BI50" i="22"/>
  <c r="BH134" i="22"/>
  <c r="BH135" i="22"/>
  <c r="BH136" i="22"/>
  <c r="BH137" i="22"/>
  <c r="BI124" i="22"/>
  <c r="BI125" i="22"/>
  <c r="BI126" i="22"/>
  <c r="BI127" i="22"/>
  <c r="BJ46" i="22"/>
  <c r="BJ50" i="8"/>
  <c r="BI134" i="8"/>
  <c r="BI135" i="8"/>
  <c r="BI136" i="8"/>
  <c r="BI137" i="8"/>
  <c r="BI46" i="8"/>
  <c r="BH124" i="8"/>
  <c r="BH125" i="8"/>
  <c r="BH126" i="8"/>
  <c r="BH127" i="8"/>
  <c r="CB197" i="22"/>
  <c r="CB237" i="22"/>
  <c r="BF202" i="9"/>
  <c r="BZ177" i="8"/>
  <c r="BF192" i="9"/>
  <c r="BZ162" i="22"/>
  <c r="CA187" i="7"/>
  <c r="CA235" i="7"/>
  <c r="BW192" i="11"/>
  <c r="BK192" i="8"/>
  <c r="V73" i="7"/>
  <c r="W236" i="7"/>
  <c r="BY200" i="8"/>
  <c r="BY201" i="8"/>
  <c r="AV61" i="2"/>
  <c r="AW182" i="2"/>
  <c r="BW75" i="7"/>
  <c r="BX237" i="7"/>
  <c r="BR81" i="9"/>
  <c r="BS240" i="9"/>
  <c r="BT79" i="10"/>
  <c r="BU239" i="10"/>
  <c r="BH89" i="22"/>
  <c r="BH90" i="22"/>
  <c r="BH91" i="22"/>
  <c r="BH92" i="22"/>
  <c r="BI32" i="22"/>
  <c r="BV75" i="8"/>
  <c r="BW237" i="8"/>
  <c r="BG200" i="9"/>
  <c r="BG201" i="9"/>
  <c r="CB67" i="8"/>
  <c r="CA67" i="8"/>
  <c r="BZ67" i="8"/>
  <c r="BY67" i="8"/>
  <c r="BX67" i="8"/>
  <c r="CB174" i="8"/>
  <c r="CB81" i="11"/>
  <c r="CA81" i="11"/>
  <c r="BZ81" i="11"/>
  <c r="BY81" i="11"/>
  <c r="CB209" i="11"/>
  <c r="CB66" i="11"/>
  <c r="CA174" i="11"/>
  <c r="CA161" i="22"/>
  <c r="CA160" i="22"/>
  <c r="X65" i="8"/>
  <c r="Y232" i="8"/>
  <c r="C61" i="2"/>
  <c r="D182" i="2"/>
  <c r="BE61" i="2"/>
  <c r="CF61" i="2"/>
  <c r="BF182" i="2"/>
  <c r="BY177" i="11"/>
  <c r="BU69" i="9"/>
  <c r="BV234" i="9"/>
  <c r="BG191" i="9"/>
  <c r="BG190" i="9"/>
  <c r="CA68" i="8"/>
  <c r="BZ179" i="8"/>
  <c r="AK69" i="11"/>
  <c r="AL234" i="11"/>
  <c r="CB197" i="8"/>
  <c r="CB237" i="8"/>
  <c r="A64" i="2"/>
  <c r="A184" i="2"/>
  <c r="BW184" i="2"/>
  <c r="AJ63" i="11"/>
  <c r="AK231" i="11"/>
  <c r="CB197" i="10"/>
  <c r="CB237" i="10"/>
  <c r="BQ49" i="11"/>
  <c r="BR224" i="11"/>
  <c r="BX71" i="7"/>
  <c r="BY235" i="7"/>
  <c r="BY237" i="7"/>
  <c r="BH199" i="9"/>
  <c r="BI76" i="9"/>
  <c r="CA175" i="8"/>
  <c r="CA176" i="8"/>
  <c r="BT81" i="7"/>
  <c r="BU240" i="7"/>
  <c r="BH189" i="9"/>
  <c r="BI72" i="9"/>
  <c r="BY60" i="8"/>
  <c r="BX159" i="8"/>
  <c r="BL191" i="8"/>
  <c r="BL190" i="8"/>
  <c r="BZ199" i="8"/>
  <c r="CA76" i="8"/>
  <c r="BX182" i="8"/>
  <c r="BF65" i="7"/>
  <c r="BG232" i="7"/>
  <c r="BS71" i="9"/>
  <c r="BT235" i="9"/>
  <c r="BZ212" i="11"/>
  <c r="M182" i="2"/>
  <c r="L61" i="2"/>
  <c r="AM61" i="2"/>
  <c r="AN182" i="2"/>
  <c r="CA182" i="22"/>
  <c r="CA234" i="22"/>
  <c r="BI31" i="22"/>
  <c r="BJ215" i="22"/>
  <c r="BW161" i="8"/>
  <c r="BW160" i="8"/>
  <c r="BV81" i="22"/>
  <c r="BW240" i="22"/>
  <c r="BT65" i="22"/>
  <c r="BU232" i="22"/>
  <c r="CB180" i="22"/>
  <c r="CB181" i="22"/>
  <c r="BS57" i="10"/>
  <c r="BT228" i="10"/>
  <c r="BN183" i="2"/>
  <c r="BE183" i="2"/>
  <c r="AV183" i="2"/>
  <c r="AD183" i="2"/>
  <c r="U183" i="2"/>
  <c r="L183" i="2"/>
  <c r="C183" i="2"/>
  <c r="AM183" i="2"/>
  <c r="BX191" i="11"/>
  <c r="BX190" i="11"/>
  <c r="CB185" i="7"/>
  <c r="CB186" i="7"/>
  <c r="BV75" i="22"/>
  <c r="BW237" i="22"/>
  <c r="AF65" i="11"/>
  <c r="AG232" i="11"/>
  <c r="BZ237" i="7"/>
  <c r="CA210" i="11"/>
  <c r="CA211" i="11"/>
  <c r="U61" i="2"/>
  <c r="V182" i="2"/>
  <c r="BN72" i="8"/>
  <c r="BM189" i="8"/>
  <c r="BZ176" i="11"/>
  <c r="BZ175" i="11"/>
  <c r="BL73" i="10"/>
  <c r="BM236" i="10"/>
  <c r="CB61" i="22"/>
  <c r="CA61" i="22"/>
  <c r="BZ61" i="22"/>
  <c r="BY61" i="22"/>
  <c r="CB159" i="22"/>
  <c r="BV162" i="8"/>
  <c r="BN61" i="2"/>
  <c r="BO182" i="2"/>
  <c r="AD61" i="2"/>
  <c r="AE182" i="2"/>
  <c r="BV75" i="10"/>
  <c r="BW237" i="10"/>
  <c r="CB195" i="7"/>
  <c r="CB196" i="7"/>
  <c r="BY180" i="8"/>
  <c r="BY181" i="8"/>
  <c r="BX69" i="22"/>
  <c r="BY234" i="22"/>
  <c r="BY233" i="8"/>
  <c r="BX202" i="8"/>
  <c r="BZ72" i="11"/>
  <c r="BY189" i="11"/>
  <c r="BP69" i="7"/>
  <c r="BQ234" i="7"/>
  <c r="BM53" i="11"/>
  <c r="BN226" i="11"/>
  <c r="X43" i="30"/>
  <c r="AK43" i="30"/>
  <c r="AC43" i="30"/>
  <c r="AH43" i="30"/>
  <c r="AA43" i="30"/>
  <c r="Y43" i="30"/>
  <c r="AN43" i="30"/>
  <c r="AO43" i="30"/>
  <c r="AF43" i="30"/>
  <c r="Z43" i="30"/>
  <c r="AD43" i="30"/>
  <c r="AE43" i="30"/>
  <c r="AP43" i="30"/>
  <c r="AB43" i="30"/>
  <c r="AJ43" i="30"/>
  <c r="AM43" i="30"/>
  <c r="AI43" i="30"/>
  <c r="AG43" i="30"/>
  <c r="AL43" i="30"/>
  <c r="P45" i="30"/>
  <c r="Q45" i="30"/>
  <c r="T43" i="30"/>
  <c r="BH119" i="8"/>
  <c r="BH120" i="8"/>
  <c r="BH121" i="8"/>
  <c r="BH122" i="8"/>
  <c r="BI44" i="8"/>
  <c r="BH114" i="8"/>
  <c r="BH115" i="8"/>
  <c r="BH116" i="8"/>
  <c r="BH117" i="8"/>
  <c r="BI42" i="8"/>
  <c r="BN34" i="8"/>
  <c r="BM94" i="8"/>
  <c r="BM95" i="8"/>
  <c r="BM96" i="8"/>
  <c r="BM97" i="8"/>
  <c r="BN167" i="7"/>
  <c r="BO166" i="7"/>
  <c r="BO165" i="7"/>
  <c r="BP164" i="7"/>
  <c r="BQ62" i="7"/>
  <c r="BH89" i="11"/>
  <c r="BH90" i="11"/>
  <c r="BH91" i="11"/>
  <c r="BH92" i="11"/>
  <c r="BI32" i="11"/>
  <c r="BI84" i="9"/>
  <c r="BI85" i="9"/>
  <c r="BI86" i="9"/>
  <c r="BI87" i="9"/>
  <c r="BJ30" i="9"/>
  <c r="BI52" i="9"/>
  <c r="BH139" i="9"/>
  <c r="BH140" i="9"/>
  <c r="BH141" i="9"/>
  <c r="BH142" i="9"/>
  <c r="BK30" i="1"/>
  <c r="BJ86" i="1"/>
  <c r="BJ87" i="1"/>
  <c r="BJ88" i="1"/>
  <c r="BJ89" i="1"/>
  <c r="BH131" i="1"/>
  <c r="BH132" i="1"/>
  <c r="BH133" i="1"/>
  <c r="BH134" i="1"/>
  <c r="BI48" i="1"/>
  <c r="BH171" i="1"/>
  <c r="BH172" i="1"/>
  <c r="BH173" i="1"/>
  <c r="BH174" i="1"/>
  <c r="BI64" i="1"/>
  <c r="BI68" i="1"/>
  <c r="BH181" i="1"/>
  <c r="BH182" i="1"/>
  <c r="BH183" i="1"/>
  <c r="BH184" i="1"/>
  <c r="BH156" i="1"/>
  <c r="BH157" i="1"/>
  <c r="BH158" i="1"/>
  <c r="BH159" i="1"/>
  <c r="BI58" i="1"/>
  <c r="BH141" i="1"/>
  <c r="BH142" i="1"/>
  <c r="BH143" i="1"/>
  <c r="BH144" i="1"/>
  <c r="BI52" i="1"/>
  <c r="BI34" i="1"/>
  <c r="BH96" i="1"/>
  <c r="BH97" i="1"/>
  <c r="BH98" i="1"/>
  <c r="BH99" i="1"/>
  <c r="BK32" i="1"/>
  <c r="BJ91" i="1"/>
  <c r="BJ92" i="1"/>
  <c r="BJ93" i="1"/>
  <c r="BJ94" i="1"/>
  <c r="BI50" i="1"/>
  <c r="BH136" i="1"/>
  <c r="BH137" i="1"/>
  <c r="BH138" i="1"/>
  <c r="BH139" i="1"/>
  <c r="P49" i="33"/>
  <c r="Q49" i="33"/>
  <c r="T48" i="33"/>
  <c r="AV48" i="33"/>
  <c r="AI48" i="33"/>
  <c r="AN48" i="33"/>
  <c r="AK48" i="33"/>
  <c r="AQ48" i="33"/>
  <c r="AT48" i="33"/>
  <c r="AO48" i="33"/>
  <c r="AR48" i="33"/>
  <c r="X48" i="33"/>
  <c r="AH48" i="33"/>
  <c r="AC48" i="33"/>
  <c r="AF48" i="33"/>
  <c r="AG48" i="33"/>
  <c r="AP48" i="33"/>
  <c r="AB48" i="33"/>
  <c r="AD48" i="33"/>
  <c r="AU48" i="33"/>
  <c r="AJ48" i="33"/>
  <c r="AE48" i="33"/>
  <c r="Y48" i="33"/>
  <c r="Z48" i="33"/>
  <c r="AS48" i="33"/>
  <c r="AL48" i="33"/>
  <c r="AM48" i="33"/>
  <c r="AA48" i="33"/>
  <c r="U49" i="32"/>
  <c r="K49" i="32"/>
  <c r="L49" i="32"/>
  <c r="N49" i="32"/>
  <c r="O49" i="32"/>
  <c r="P49" i="32"/>
  <c r="Q49" i="32"/>
  <c r="BJ44" i="22"/>
  <c r="BI119" i="22"/>
  <c r="BI120" i="22"/>
  <c r="BI121" i="22"/>
  <c r="BI122" i="22"/>
  <c r="BG107" i="7"/>
  <c r="BF151" i="6"/>
  <c r="BH83" i="6"/>
  <c r="BH84" i="6"/>
  <c r="BH85" i="6"/>
  <c r="BH86" i="6"/>
  <c r="BI24" i="6"/>
  <c r="BH123" i="6"/>
  <c r="BH124" i="6"/>
  <c r="BH125" i="6"/>
  <c r="BH126" i="6"/>
  <c r="BI40" i="6"/>
  <c r="BI32" i="6"/>
  <c r="BH103" i="6"/>
  <c r="BG89" i="6"/>
  <c r="BG90" i="6"/>
  <c r="BH108" i="6"/>
  <c r="BH109" i="6"/>
  <c r="BH110" i="6"/>
  <c r="BH111" i="6"/>
  <c r="BI34" i="6"/>
  <c r="BI22" i="6"/>
  <c r="BH78" i="6"/>
  <c r="BH79" i="6"/>
  <c r="BH80" i="6"/>
  <c r="BH81" i="6"/>
  <c r="BJ30" i="6"/>
  <c r="BI98" i="6"/>
  <c r="BI99" i="6"/>
  <c r="BI100" i="6"/>
  <c r="BI101" i="6"/>
  <c r="BF81" i="6"/>
  <c r="BH88" i="6"/>
  <c r="BH89" i="6"/>
  <c r="BH90" i="6"/>
  <c r="BH91" i="6"/>
  <c r="BI26" i="6"/>
  <c r="BJ42" i="6"/>
  <c r="BI128" i="6"/>
  <c r="BI129" i="6"/>
  <c r="BI130" i="6"/>
  <c r="BI131" i="6"/>
  <c r="BI36" i="6"/>
  <c r="BH113" i="6"/>
  <c r="BH93" i="6"/>
  <c r="BH94" i="6"/>
  <c r="BH95" i="6"/>
  <c r="BH96" i="6"/>
  <c r="BI28" i="6"/>
  <c r="BH133" i="6"/>
  <c r="BH134" i="6"/>
  <c r="BH135" i="6"/>
  <c r="BH136" i="6"/>
  <c r="BI44" i="6"/>
  <c r="BL80" i="1"/>
  <c r="BK211" i="1"/>
  <c r="BK82" i="1"/>
  <c r="BJ216" i="1"/>
  <c r="BH219" i="1"/>
  <c r="BH116" i="1"/>
  <c r="BH117" i="1"/>
  <c r="BH118" i="1"/>
  <c r="BH119" i="1"/>
  <c r="BI42" i="1"/>
  <c r="BI217" i="1"/>
  <c r="BI218" i="1"/>
  <c r="BI214" i="1"/>
  <c r="BI122" i="7"/>
  <c r="BJ36" i="8"/>
  <c r="BI99" i="8"/>
  <c r="BM38" i="8"/>
  <c r="BL104" i="8"/>
  <c r="BL105" i="8"/>
  <c r="BL106" i="8"/>
  <c r="BL107" i="8"/>
  <c r="BJ44" i="11"/>
  <c r="BI119" i="11"/>
  <c r="BH120" i="11"/>
  <c r="BH121" i="11"/>
  <c r="BH122" i="11"/>
  <c r="P50" i="36"/>
  <c r="Q50" i="36"/>
  <c r="W48" i="36"/>
  <c r="V48" i="36"/>
  <c r="K48" i="36"/>
  <c r="AF27" i="26"/>
  <c r="S44" i="36"/>
  <c r="R43" i="36"/>
  <c r="BH102" i="11"/>
  <c r="BJ38" i="22"/>
  <c r="BI104" i="22"/>
  <c r="BI105" i="22"/>
  <c r="BI106" i="22"/>
  <c r="BI107" i="22"/>
  <c r="BH105" i="22"/>
  <c r="BH106" i="22"/>
  <c r="BH107" i="22"/>
  <c r="BH94" i="22"/>
  <c r="BH95" i="22"/>
  <c r="BH96" i="22"/>
  <c r="BH97" i="22"/>
  <c r="BI34" i="22"/>
  <c r="BI48" i="22"/>
  <c r="BH129" i="22"/>
  <c r="BH130" i="22"/>
  <c r="BH131" i="22"/>
  <c r="BH132" i="22"/>
  <c r="BH94" i="7"/>
  <c r="BH95" i="7"/>
  <c r="BH96" i="7"/>
  <c r="BH97" i="7"/>
  <c r="BI34" i="7"/>
  <c r="BH114" i="7"/>
  <c r="BH115" i="7"/>
  <c r="BH116" i="7"/>
  <c r="BH117" i="7"/>
  <c r="BI42" i="7"/>
  <c r="BH105" i="7"/>
  <c r="BH106" i="7"/>
  <c r="BH107" i="7"/>
  <c r="BI104" i="7"/>
  <c r="BJ38" i="7"/>
  <c r="BI84" i="7"/>
  <c r="BI85" i="7"/>
  <c r="BI86" i="7"/>
  <c r="BI87" i="7"/>
  <c r="BJ30" i="7"/>
  <c r="BI99" i="7"/>
  <c r="BI100" i="7"/>
  <c r="BI101" i="7"/>
  <c r="BI102" i="7"/>
  <c r="BJ36" i="7"/>
  <c r="BK109" i="7"/>
  <c r="BK110" i="7"/>
  <c r="BK111" i="7"/>
  <c r="BK112" i="7"/>
  <c r="BL40" i="7"/>
  <c r="BK118" i="6"/>
  <c r="BK119" i="6"/>
  <c r="BK120" i="6"/>
  <c r="BK121" i="6"/>
  <c r="BL38" i="6"/>
  <c r="BL38" i="9"/>
  <c r="BK104" i="9"/>
  <c r="BK105" i="9"/>
  <c r="BK106" i="9"/>
  <c r="BK107" i="9"/>
  <c r="BM54" i="9"/>
  <c r="BL144" i="9"/>
  <c r="BL145" i="9"/>
  <c r="BL146" i="9"/>
  <c r="BL147" i="9"/>
  <c r="BH124" i="9"/>
  <c r="BH125" i="9"/>
  <c r="BH126" i="9"/>
  <c r="BH127" i="9"/>
  <c r="BI46" i="9"/>
  <c r="BH42" i="9"/>
  <c r="BG114" i="9"/>
  <c r="BG115" i="9"/>
  <c r="BG116" i="9"/>
  <c r="BG117" i="9"/>
  <c r="BI34" i="9"/>
  <c r="BH94" i="9"/>
  <c r="BH95" i="9"/>
  <c r="BH96" i="9"/>
  <c r="BH97" i="9"/>
  <c r="BI134" i="9"/>
  <c r="BI135" i="9"/>
  <c r="BI136" i="9"/>
  <c r="BI137" i="9"/>
  <c r="BJ50" i="9"/>
  <c r="BI56" i="9"/>
  <c r="BH149" i="9"/>
  <c r="BH119" i="9"/>
  <c r="BH120" i="9"/>
  <c r="BH121" i="9"/>
  <c r="BH122" i="9"/>
  <c r="BI44" i="9"/>
  <c r="BK32" i="9"/>
  <c r="BJ89" i="9"/>
  <c r="BJ90" i="9"/>
  <c r="BJ91" i="9"/>
  <c r="BJ92" i="9"/>
  <c r="BG150" i="9"/>
  <c r="BG151" i="9"/>
  <c r="BG152" i="9"/>
  <c r="BI48" i="9"/>
  <c r="BH129" i="9"/>
  <c r="BH130" i="9"/>
  <c r="BH131" i="9"/>
  <c r="BH132" i="9"/>
  <c r="BJ60" i="1"/>
  <c r="BI161" i="1"/>
  <c r="BI74" i="1"/>
  <c r="BH196" i="1"/>
  <c r="BI78" i="1"/>
  <c r="BH206" i="1"/>
  <c r="BK66" i="1"/>
  <c r="BJ176" i="1"/>
  <c r="BJ72" i="1"/>
  <c r="BI191" i="1"/>
  <c r="BI70" i="1"/>
  <c r="BH186" i="1"/>
  <c r="BK76" i="1"/>
  <c r="BJ201" i="1"/>
  <c r="BJ202" i="1"/>
  <c r="BJ203" i="1"/>
  <c r="BJ204" i="1"/>
  <c r="BN151" i="1"/>
  <c r="BN152" i="1"/>
  <c r="BN153" i="1"/>
  <c r="BN154" i="1"/>
  <c r="BO56" i="1"/>
  <c r="BG197" i="1"/>
  <c r="BG198" i="1"/>
  <c r="BG199" i="1"/>
  <c r="AU49" i="37"/>
  <c r="X49" i="37"/>
  <c r="AK49" i="37"/>
  <c r="AN49" i="37"/>
  <c r="Z49" i="37"/>
  <c r="AC49" i="37"/>
  <c r="AD49" i="37"/>
  <c r="AP49" i="37"/>
  <c r="AE49" i="37"/>
  <c r="AT49" i="37"/>
  <c r="Y49" i="37"/>
  <c r="AQ49" i="37"/>
  <c r="AW49" i="37"/>
  <c r="AR49" i="37"/>
  <c r="AB49" i="37"/>
  <c r="AH49" i="37"/>
  <c r="AV49" i="37"/>
  <c r="AG49" i="37"/>
  <c r="AS49" i="37"/>
  <c r="AM49" i="37"/>
  <c r="AA49" i="37"/>
  <c r="AO49" i="37"/>
  <c r="AI49" i="37"/>
  <c r="AJ49" i="37"/>
  <c r="AL49" i="37"/>
  <c r="BO42" i="11"/>
  <c r="BN114" i="11"/>
  <c r="BM115" i="11"/>
  <c r="L46" i="34"/>
  <c r="N46" i="34"/>
  <c r="O46" i="34"/>
  <c r="P46" i="34"/>
  <c r="Q46" i="34"/>
  <c r="T46" i="34"/>
  <c r="AR46" i="34"/>
  <c r="AE46" i="34"/>
  <c r="AO46" i="34"/>
  <c r="AB46" i="34"/>
  <c r="AL46" i="34"/>
  <c r="Y46" i="34"/>
  <c r="AI46" i="34"/>
  <c r="AS46" i="34"/>
  <c r="AF46" i="34"/>
  <c r="AP46" i="34"/>
  <c r="AC46" i="34"/>
  <c r="AM46" i="34"/>
  <c r="Z46" i="34"/>
  <c r="AJ46" i="34"/>
  <c r="AT46" i="34"/>
  <c r="AG46" i="34"/>
  <c r="AQ46" i="34"/>
  <c r="AD46" i="34"/>
  <c r="AN46" i="34"/>
  <c r="AA46" i="34"/>
  <c r="AK46" i="34"/>
  <c r="X46" i="34"/>
  <c r="AH46" i="34"/>
  <c r="T47" i="35"/>
  <c r="L47" i="35"/>
  <c r="N47" i="35"/>
  <c r="O47" i="35"/>
  <c r="P47" i="35"/>
  <c r="Q47" i="35"/>
  <c r="Y47" i="35"/>
  <c r="AO47" i="35"/>
  <c r="AI47" i="35"/>
  <c r="X47" i="35"/>
  <c r="AN47" i="35"/>
  <c r="AP47" i="35"/>
  <c r="AC47" i="35"/>
  <c r="AS47" i="35"/>
  <c r="AM47" i="35"/>
  <c r="AB47" i="35"/>
  <c r="AR47" i="35"/>
  <c r="AD47" i="35"/>
  <c r="AG47" i="35"/>
  <c r="AA47" i="35"/>
  <c r="AQ47" i="35"/>
  <c r="AF47" i="35"/>
  <c r="AL47" i="35"/>
  <c r="AT47" i="35"/>
  <c r="AK47" i="35"/>
  <c r="AE47" i="35"/>
  <c r="AU47" i="35"/>
  <c r="AJ47" i="35"/>
  <c r="Z47" i="35"/>
  <c r="AH47" i="35"/>
  <c r="BG107" i="11"/>
  <c r="BM30" i="11"/>
  <c r="BL84" i="11"/>
  <c r="BI100" i="11"/>
  <c r="BI101" i="11"/>
  <c r="BI102" i="11"/>
  <c r="BK85" i="11"/>
  <c r="BK86" i="11"/>
  <c r="BK87" i="11"/>
  <c r="BJ99" i="11"/>
  <c r="BK36" i="11"/>
  <c r="BH105" i="11"/>
  <c r="BH106" i="11"/>
  <c r="BI104" i="11"/>
  <c r="BJ38" i="11"/>
  <c r="BH135" i="10"/>
  <c r="BH136" i="10"/>
  <c r="BH137" i="10"/>
  <c r="BI134" i="10"/>
  <c r="BJ50" i="10"/>
  <c r="BI99" i="10"/>
  <c r="BJ36" i="10"/>
  <c r="BH100" i="10"/>
  <c r="BH101" i="10"/>
  <c r="BG155" i="22"/>
  <c r="BG156" i="22"/>
  <c r="BG157" i="22"/>
  <c r="BH154" i="22"/>
  <c r="BI58" i="22"/>
  <c r="BI144" i="22"/>
  <c r="BJ54" i="22"/>
  <c r="BH100" i="22"/>
  <c r="BH101" i="22"/>
  <c r="BH102" i="22"/>
  <c r="BH110" i="22"/>
  <c r="BH111" i="22"/>
  <c r="BH112" i="22"/>
  <c r="BJ36" i="22"/>
  <c r="BI99" i="22"/>
  <c r="BH145" i="22"/>
  <c r="BH146" i="22"/>
  <c r="BH147" i="22"/>
  <c r="BI109" i="22"/>
  <c r="BJ40" i="22"/>
  <c r="BJ150" i="8"/>
  <c r="BJ151" i="8"/>
  <c r="BJ152" i="8"/>
  <c r="BL56" i="8"/>
  <c r="BK149" i="8"/>
  <c r="BJ54" i="8"/>
  <c r="BI144" i="8"/>
  <c r="BH145" i="8"/>
  <c r="BH146" i="8"/>
  <c r="BH147" i="8"/>
  <c r="BG130" i="8"/>
  <c r="BG131" i="8"/>
  <c r="BG132" i="8"/>
  <c r="BI40" i="8"/>
  <c r="BH109" i="8"/>
  <c r="BH139" i="8"/>
  <c r="BI52" i="8"/>
  <c r="BH129" i="8"/>
  <c r="BI48" i="8"/>
  <c r="BG140" i="8"/>
  <c r="BG141" i="8"/>
  <c r="BG142" i="8"/>
  <c r="BG84" i="8"/>
  <c r="BH30" i="8"/>
  <c r="BI32" i="8"/>
  <c r="BH89" i="8"/>
  <c r="BG110" i="8"/>
  <c r="BG111" i="8"/>
  <c r="BG112" i="8"/>
  <c r="BF85" i="8"/>
  <c r="BF86" i="8"/>
  <c r="BG90" i="8"/>
  <c r="BG91" i="8"/>
  <c r="BG92" i="8"/>
  <c r="BG145" i="7"/>
  <c r="BG146" i="7"/>
  <c r="BG147" i="7"/>
  <c r="BH144" i="7"/>
  <c r="BI54" i="7"/>
  <c r="BH139" i="7"/>
  <c r="BI52" i="7"/>
  <c r="BG140" i="7"/>
  <c r="BG141" i="7"/>
  <c r="BG142" i="7"/>
  <c r="BH134" i="7"/>
  <c r="BI50" i="7"/>
  <c r="BG135" i="7"/>
  <c r="BG136" i="7"/>
  <c r="BG137" i="7"/>
  <c r="BJ120" i="7"/>
  <c r="BJ121" i="7"/>
  <c r="BJ122" i="7"/>
  <c r="BJ124" i="7"/>
  <c r="BK46" i="7"/>
  <c r="BN90" i="7"/>
  <c r="BN91" i="7"/>
  <c r="BN92" i="7"/>
  <c r="BK119" i="7"/>
  <c r="BL44" i="7"/>
  <c r="BO89" i="7"/>
  <c r="BP32" i="7"/>
  <c r="BI125" i="7"/>
  <c r="BI126" i="7"/>
  <c r="BI127" i="7"/>
  <c r="BI56" i="6"/>
  <c r="BH163" i="6"/>
  <c r="BG164" i="6"/>
  <c r="BG165" i="6"/>
  <c r="BG166" i="6"/>
  <c r="BG159" i="6"/>
  <c r="BG160" i="6"/>
  <c r="BG161" i="6"/>
  <c r="BH158" i="6"/>
  <c r="BI54" i="6"/>
  <c r="BG154" i="6"/>
  <c r="BG155" i="6"/>
  <c r="BG156" i="6"/>
  <c r="BH153" i="6"/>
  <c r="BI52" i="6"/>
  <c r="BI50" i="6"/>
  <c r="BH148" i="6"/>
  <c r="BG149" i="6"/>
  <c r="BG150" i="6"/>
  <c r="BG151" i="6"/>
  <c r="BI48" i="6"/>
  <c r="BH143" i="6"/>
  <c r="BG144" i="6"/>
  <c r="BG145" i="6"/>
  <c r="BG146" i="6"/>
  <c r="BI159" i="9"/>
  <c r="BJ60" i="9"/>
  <c r="BH160" i="9"/>
  <c r="BH161" i="9"/>
  <c r="BH162" i="9"/>
  <c r="BI58" i="9"/>
  <c r="BH154" i="9"/>
  <c r="BG155" i="9"/>
  <c r="BG156" i="9"/>
  <c r="BG157" i="9"/>
  <c r="BJ40" i="9"/>
  <c r="BI109" i="9"/>
  <c r="BI99" i="9"/>
  <c r="BJ36" i="9"/>
  <c r="BH110" i="9"/>
  <c r="BH111" i="9"/>
  <c r="BH112" i="9"/>
  <c r="BH100" i="9"/>
  <c r="BH101" i="9"/>
  <c r="BH102" i="9"/>
  <c r="BH166" i="1"/>
  <c r="BI62" i="1"/>
  <c r="BG167" i="1"/>
  <c r="BG168" i="1"/>
  <c r="BG169" i="1"/>
  <c r="BG147" i="1"/>
  <c r="BG148" i="1"/>
  <c r="BG127" i="1"/>
  <c r="BG128" i="1"/>
  <c r="BG129" i="1"/>
  <c r="BI46" i="1"/>
  <c r="BH126" i="1"/>
  <c r="BH146" i="1"/>
  <c r="BI54" i="1"/>
  <c r="BK44" i="1"/>
  <c r="BJ121" i="1"/>
  <c r="BI122" i="1"/>
  <c r="BI123" i="1"/>
  <c r="BI124" i="1"/>
  <c r="BI112" i="1"/>
  <c r="BI113" i="1"/>
  <c r="BI114" i="1"/>
  <c r="BG107" i="1"/>
  <c r="BG108" i="1"/>
  <c r="BG109" i="1"/>
  <c r="BJ111" i="1"/>
  <c r="BK40" i="1"/>
  <c r="BK36" i="1"/>
  <c r="BJ101" i="1"/>
  <c r="BH106" i="1"/>
  <c r="BI38" i="1"/>
  <c r="BI102" i="1"/>
  <c r="BI103" i="1"/>
  <c r="BI104" i="1"/>
  <c r="BI129" i="7"/>
  <c r="BI130" i="7"/>
  <c r="BI131" i="7"/>
  <c r="BI132" i="7"/>
  <c r="BJ48" i="7"/>
  <c r="BL75" i="9"/>
  <c r="BM237" i="9"/>
  <c r="BX184" i="2"/>
  <c r="BW63" i="2"/>
  <c r="W43" i="41"/>
  <c r="V43" i="41"/>
  <c r="Y43" i="41"/>
  <c r="BZ233" i="8"/>
  <c r="V59" i="11"/>
  <c r="W229" i="11"/>
  <c r="BG202" i="10"/>
  <c r="BG182" i="10"/>
  <c r="BP207" i="9"/>
  <c r="BG177" i="7"/>
  <c r="BW197" i="11"/>
  <c r="BG162" i="10"/>
  <c r="BS167" i="10"/>
  <c r="BP172" i="9"/>
  <c r="BL207" i="11"/>
  <c r="BT157" i="8"/>
  <c r="BZ177" i="11"/>
  <c r="BM167" i="8"/>
  <c r="BW162" i="8"/>
  <c r="BO167" i="22"/>
  <c r="BR177" i="10"/>
  <c r="BK127" i="11"/>
  <c r="CA147" i="10"/>
  <c r="BN207" i="7"/>
  <c r="BW105" i="40"/>
  <c r="BX329" i="40"/>
  <c r="BX97" i="40"/>
  <c r="BY325" i="40"/>
  <c r="BV99" i="40"/>
  <c r="BW326" i="40"/>
  <c r="BX107" i="40"/>
  <c r="BY330" i="40"/>
  <c r="BY244" i="40"/>
  <c r="BY245" i="40"/>
  <c r="BY246" i="40"/>
  <c r="BY247" i="40"/>
  <c r="BZ92" i="40"/>
  <c r="BY269" i="40"/>
  <c r="BY270" i="40"/>
  <c r="BY271" i="40"/>
  <c r="BY272" i="40"/>
  <c r="BZ102" i="40"/>
  <c r="BX245" i="40"/>
  <c r="BX246" i="40"/>
  <c r="BX247" i="40"/>
  <c r="BX250" i="40"/>
  <c r="BX251" i="40"/>
  <c r="BX252" i="40"/>
  <c r="BY249" i="40"/>
  <c r="BY250" i="40"/>
  <c r="BY251" i="40"/>
  <c r="BY252" i="40"/>
  <c r="BZ94" i="40"/>
  <c r="BY289" i="40"/>
  <c r="BZ110" i="40"/>
  <c r="BY264" i="40"/>
  <c r="BZ100" i="40"/>
  <c r="BY284" i="40"/>
  <c r="BY285" i="40"/>
  <c r="BY286" i="40"/>
  <c r="BY287" i="40"/>
  <c r="BZ108" i="40"/>
  <c r="BX285" i="40"/>
  <c r="BX286" i="40"/>
  <c r="BX287" i="40"/>
  <c r="CB90" i="40"/>
  <c r="BX145" i="40"/>
  <c r="BX146" i="40"/>
  <c r="BX147" i="40"/>
  <c r="CA66" i="40"/>
  <c r="BZ179" i="40"/>
  <c r="BX150" i="40"/>
  <c r="BX151" i="40"/>
  <c r="BX152" i="40"/>
  <c r="CA84" i="40"/>
  <c r="BZ224" i="40"/>
  <c r="BZ42" i="40"/>
  <c r="BY119" i="40"/>
  <c r="BZ74" i="40"/>
  <c r="BY199" i="40"/>
  <c r="CA76" i="40"/>
  <c r="BZ204" i="40"/>
  <c r="BZ58" i="40"/>
  <c r="BY159" i="40"/>
  <c r="BX210" i="40"/>
  <c r="BX211" i="40"/>
  <c r="BX212" i="40"/>
  <c r="BZ52" i="40"/>
  <c r="BY144" i="40"/>
  <c r="BY215" i="40"/>
  <c r="BY216" i="40"/>
  <c r="BX207" i="40"/>
  <c r="CA50" i="40"/>
  <c r="BZ139" i="40"/>
  <c r="BW242" i="40"/>
  <c r="BY165" i="40"/>
  <c r="BY166" i="40"/>
  <c r="BY115" i="40"/>
  <c r="BY116" i="40"/>
  <c r="BY117" i="40"/>
  <c r="BX130" i="40"/>
  <c r="BX131" i="40"/>
  <c r="BX132" i="40"/>
  <c r="BW172" i="40"/>
  <c r="BZ82" i="40"/>
  <c r="BY219" i="40"/>
  <c r="BX230" i="40"/>
  <c r="BX231" i="40"/>
  <c r="BX232" i="40"/>
  <c r="BW162" i="40"/>
  <c r="CB68" i="40"/>
  <c r="CA184" i="40"/>
  <c r="BX240" i="40"/>
  <c r="BX241" i="40"/>
  <c r="CB64" i="40"/>
  <c r="CA174" i="40"/>
  <c r="BX155" i="40"/>
  <c r="BX156" i="40"/>
  <c r="BX157" i="40"/>
  <c r="BZ195" i="40"/>
  <c r="BZ196" i="40"/>
  <c r="BZ62" i="40"/>
  <c r="BY169" i="40"/>
  <c r="BZ44" i="40"/>
  <c r="BY124" i="40"/>
  <c r="BY235" i="40"/>
  <c r="BY236" i="40"/>
  <c r="BY237" i="40"/>
  <c r="CB72" i="40"/>
  <c r="CA194" i="40"/>
  <c r="BX170" i="40"/>
  <c r="BX171" i="40"/>
  <c r="BZ70" i="40"/>
  <c r="BY189" i="40"/>
  <c r="BZ54" i="40"/>
  <c r="BY149" i="40"/>
  <c r="CA60" i="40"/>
  <c r="BZ164" i="40"/>
  <c r="BY225" i="40"/>
  <c r="BY226" i="40"/>
  <c r="BY227" i="40"/>
  <c r="BX120" i="40"/>
  <c r="BX121" i="40"/>
  <c r="BX122" i="40"/>
  <c r="CA40" i="40"/>
  <c r="BZ114" i="40"/>
  <c r="BX200" i="40"/>
  <c r="BX201" i="40"/>
  <c r="BX202" i="40"/>
  <c r="BZ46" i="40"/>
  <c r="BY129" i="40"/>
  <c r="BY205" i="40"/>
  <c r="BY206" i="40"/>
  <c r="BY207" i="40"/>
  <c r="BX160" i="40"/>
  <c r="BX161" i="40"/>
  <c r="CA88" i="40"/>
  <c r="BZ234" i="40"/>
  <c r="BZ78" i="40"/>
  <c r="BY209" i="40"/>
  <c r="BX135" i="40"/>
  <c r="BX136" i="40"/>
  <c r="BX137" i="40"/>
  <c r="BZ56" i="40"/>
  <c r="BY154" i="40"/>
  <c r="BX190" i="40"/>
  <c r="BX191" i="40"/>
  <c r="BX192" i="40"/>
  <c r="BY187" i="40"/>
  <c r="CA80" i="40"/>
  <c r="BZ214" i="40"/>
  <c r="BY180" i="40"/>
  <c r="BY181" i="40"/>
  <c r="BY140" i="40"/>
  <c r="BY141" i="40"/>
  <c r="BY142" i="40"/>
  <c r="BY177" i="40"/>
  <c r="BX125" i="40"/>
  <c r="BX126" i="40"/>
  <c r="BX127" i="40"/>
  <c r="BX220" i="40"/>
  <c r="BX221" i="40"/>
  <c r="BX222" i="40"/>
  <c r="BZ86" i="40"/>
  <c r="BY229" i="40"/>
  <c r="BZ185" i="40"/>
  <c r="BZ186" i="40"/>
  <c r="BZ187" i="40"/>
  <c r="BX167" i="40"/>
  <c r="BW192" i="40"/>
  <c r="BY239" i="40"/>
  <c r="BZ175" i="40"/>
  <c r="BZ176" i="40"/>
  <c r="BZ177" i="40"/>
  <c r="BZ48" i="40"/>
  <c r="BY134" i="40"/>
  <c r="BW202" i="40"/>
  <c r="BO60" i="7"/>
  <c r="BN159" i="7"/>
  <c r="BH160" i="10"/>
  <c r="BH161" i="10"/>
  <c r="BH136" i="11"/>
  <c r="BH135" i="11"/>
  <c r="BH152" i="11"/>
  <c r="BN187" i="22"/>
  <c r="BJ76" i="11"/>
  <c r="BI199" i="11"/>
  <c r="BP166" i="22"/>
  <c r="BP165" i="22"/>
  <c r="BJ46" i="6"/>
  <c r="BI138" i="6"/>
  <c r="BI139" i="6"/>
  <c r="BI140" i="6"/>
  <c r="BI141" i="6"/>
  <c r="BI151" i="11"/>
  <c r="BI150" i="11"/>
  <c r="BP184" i="22"/>
  <c r="BQ70" i="22"/>
  <c r="BX184" i="10"/>
  <c r="BY70" i="10"/>
  <c r="BL126" i="11"/>
  <c r="BL125" i="11"/>
  <c r="BR229" i="10"/>
  <c r="BQ59" i="10"/>
  <c r="AB55" i="11"/>
  <c r="AC227" i="11"/>
  <c r="BP204" i="7"/>
  <c r="BQ78" i="7"/>
  <c r="BR205" i="22"/>
  <c r="BR206" i="22"/>
  <c r="BH175" i="7"/>
  <c r="BH176" i="7"/>
  <c r="BX195" i="11"/>
  <c r="BX196" i="11"/>
  <c r="BJ60" i="10"/>
  <c r="BI159" i="10"/>
  <c r="BQ170" i="9"/>
  <c r="BQ171" i="9"/>
  <c r="BI134" i="11"/>
  <c r="BJ50" i="11"/>
  <c r="BI200" i="7"/>
  <c r="BI201" i="7"/>
  <c r="BR62" i="22"/>
  <c r="BQ164" i="22"/>
  <c r="BN166" i="8"/>
  <c r="BN165" i="8"/>
  <c r="BK56" i="11"/>
  <c r="BJ149" i="11"/>
  <c r="BH185" i="8"/>
  <c r="BH186" i="8"/>
  <c r="BS176" i="10"/>
  <c r="BS175" i="10"/>
  <c r="BS233" i="9"/>
  <c r="BR67" i="9"/>
  <c r="BU155" i="8"/>
  <c r="BU156" i="8"/>
  <c r="BW185" i="10"/>
  <c r="BW186" i="10"/>
  <c r="BR204" i="9"/>
  <c r="BS78" i="9"/>
  <c r="BM124" i="11"/>
  <c r="BN46" i="11"/>
  <c r="BS189" i="22"/>
  <c r="BT72" i="22"/>
  <c r="BI179" i="10"/>
  <c r="BJ68" i="10"/>
  <c r="BH165" i="9"/>
  <c r="BH166" i="9"/>
  <c r="BS204" i="22"/>
  <c r="BT78" i="22"/>
  <c r="BM205" i="11"/>
  <c r="BM206" i="11"/>
  <c r="BW233" i="22"/>
  <c r="BV67" i="22"/>
  <c r="BJ66" i="7"/>
  <c r="BI174" i="7"/>
  <c r="BY194" i="11"/>
  <c r="BZ74" i="11"/>
  <c r="BV62" i="10"/>
  <c r="BU164" i="10"/>
  <c r="BK156" i="7"/>
  <c r="BK155" i="7"/>
  <c r="BR169" i="9"/>
  <c r="BS64" i="9"/>
  <c r="BH205" i="8"/>
  <c r="BH206" i="8"/>
  <c r="BJ199" i="7"/>
  <c r="BK76" i="7"/>
  <c r="BJ56" i="22"/>
  <c r="BI149" i="22"/>
  <c r="BI150" i="22"/>
  <c r="BI151" i="22"/>
  <c r="BI152" i="22"/>
  <c r="BS232" i="10"/>
  <c r="BR65" i="10"/>
  <c r="CB145" i="10"/>
  <c r="CB146" i="10"/>
  <c r="BO164" i="8"/>
  <c r="BP62" i="8"/>
  <c r="BG207" i="8"/>
  <c r="BJ70" i="8"/>
  <c r="BI184" i="8"/>
  <c r="BU66" i="10"/>
  <c r="BT174" i="10"/>
  <c r="BW58" i="8"/>
  <c r="BV154" i="8"/>
  <c r="BQ205" i="9"/>
  <c r="BQ206" i="9"/>
  <c r="BR191" i="22"/>
  <c r="BR190" i="22"/>
  <c r="BH201" i="22"/>
  <c r="BH200" i="22"/>
  <c r="BH180" i="10"/>
  <c r="BH181" i="10"/>
  <c r="BJ62" i="9"/>
  <c r="BI164" i="9"/>
  <c r="BJ157" i="7"/>
  <c r="BH200" i="10"/>
  <c r="BH201" i="10"/>
  <c r="BO78" i="11"/>
  <c r="BN204" i="11"/>
  <c r="BT165" i="10"/>
  <c r="BT166" i="10"/>
  <c r="BM161" i="7"/>
  <c r="BM160" i="7"/>
  <c r="BM58" i="7"/>
  <c r="BL154" i="7"/>
  <c r="BJ78" i="8"/>
  <c r="BI204" i="8"/>
  <c r="BG187" i="8"/>
  <c r="BR81" i="10"/>
  <c r="BS240" i="10"/>
  <c r="BH200" i="11"/>
  <c r="BH201" i="11"/>
  <c r="CC144" i="10"/>
  <c r="CD54" i="10"/>
  <c r="AH61" i="11"/>
  <c r="AI230" i="11"/>
  <c r="BG137" i="11"/>
  <c r="BH202" i="7"/>
  <c r="BO185" i="22"/>
  <c r="BO186" i="22"/>
  <c r="AE81" i="8"/>
  <c r="AF240" i="8"/>
  <c r="BQ207" i="22"/>
  <c r="BJ76" i="22"/>
  <c r="BI199" i="22"/>
  <c r="BO205" i="7"/>
  <c r="BO206" i="7"/>
  <c r="BV187" i="10"/>
  <c r="BL162" i="7"/>
  <c r="BQ192" i="22"/>
  <c r="BJ76" i="10"/>
  <c r="BI199" i="10"/>
  <c r="BG202" i="22"/>
  <c r="BG167" i="9"/>
  <c r="BG202" i="11"/>
  <c r="G34" i="26"/>
  <c r="S51" i="31"/>
  <c r="BL40" i="11"/>
  <c r="BK109" i="11"/>
  <c r="BK110" i="11"/>
  <c r="BK111" i="11"/>
  <c r="BK112" i="11"/>
  <c r="BK44" i="10"/>
  <c r="BJ119" i="10"/>
  <c r="BJ120" i="10"/>
  <c r="BJ121" i="10"/>
  <c r="BJ122" i="10"/>
  <c r="BJ32" i="10"/>
  <c r="BI89" i="10"/>
  <c r="BI90" i="10"/>
  <c r="BI91" i="10"/>
  <c r="BI92" i="10"/>
  <c r="BJ46" i="10"/>
  <c r="BI124" i="10"/>
  <c r="BI125" i="10"/>
  <c r="BI126" i="10"/>
  <c r="BI127" i="10"/>
  <c r="BJ38" i="10"/>
  <c r="BI104" i="10"/>
  <c r="BI105" i="10"/>
  <c r="BI106" i="10"/>
  <c r="BI107" i="10"/>
  <c r="BI109" i="10"/>
  <c r="BI110" i="10"/>
  <c r="BI111" i="10"/>
  <c r="BI112" i="10"/>
  <c r="BJ40" i="10"/>
  <c r="BJ52" i="10"/>
  <c r="BI139" i="10"/>
  <c r="BI140" i="10"/>
  <c r="BI141" i="10"/>
  <c r="BI142" i="10"/>
  <c r="BJ42" i="10"/>
  <c r="BI114" i="10"/>
  <c r="BI115" i="10"/>
  <c r="BI116" i="10"/>
  <c r="BI117" i="10"/>
  <c r="BJ48" i="10"/>
  <c r="BI129" i="10"/>
  <c r="BI130" i="10"/>
  <c r="BI131" i="10"/>
  <c r="BI132" i="10"/>
  <c r="BJ34" i="10"/>
  <c r="BI94" i="10"/>
  <c r="BI95" i="10"/>
  <c r="BI96" i="10"/>
  <c r="BI97" i="10"/>
  <c r="BI84" i="10"/>
  <c r="BI85" i="10"/>
  <c r="BI86" i="10"/>
  <c r="BI87" i="10"/>
  <c r="BJ30" i="10"/>
  <c r="BK52" i="22"/>
  <c r="BJ139" i="22"/>
  <c r="BJ140" i="22"/>
  <c r="BJ141" i="22"/>
  <c r="BJ142" i="22"/>
  <c r="BJ124" i="22"/>
  <c r="BJ125" i="22"/>
  <c r="BJ126" i="22"/>
  <c r="BJ127" i="22"/>
  <c r="BK46" i="22"/>
  <c r="BI114" i="22"/>
  <c r="BI115" i="22"/>
  <c r="BI116" i="22"/>
  <c r="BI117" i="22"/>
  <c r="BJ42" i="22"/>
  <c r="BJ50" i="22"/>
  <c r="BI134" i="22"/>
  <c r="BI135" i="22"/>
  <c r="BI136" i="22"/>
  <c r="BI137" i="22"/>
  <c r="BI124" i="8"/>
  <c r="BI125" i="8"/>
  <c r="BI126" i="8"/>
  <c r="BI127" i="8"/>
  <c r="BJ46" i="8"/>
  <c r="BK50" i="8"/>
  <c r="BJ134" i="8"/>
  <c r="BJ135" i="8"/>
  <c r="BJ136" i="8"/>
  <c r="BJ137" i="8"/>
  <c r="BY202" i="8"/>
  <c r="BX192" i="11"/>
  <c r="CA177" i="8"/>
  <c r="CA233" i="8"/>
  <c r="BG202" i="9"/>
  <c r="AM62" i="2"/>
  <c r="AN183" i="2"/>
  <c r="BH201" i="9"/>
  <c r="BH200" i="9"/>
  <c r="AM184" i="2"/>
  <c r="AV184" i="2"/>
  <c r="AD184" i="2"/>
  <c r="U184" i="2"/>
  <c r="C184" i="2"/>
  <c r="L184" i="2"/>
  <c r="BN184" i="2"/>
  <c r="BE184" i="2"/>
  <c r="CA179" i="8"/>
  <c r="CB68" i="8"/>
  <c r="BT69" i="9"/>
  <c r="BU234" i="9"/>
  <c r="BV75" i="7"/>
  <c r="BW237" i="7"/>
  <c r="BL53" i="11"/>
  <c r="BM226" i="11"/>
  <c r="BY182" i="8"/>
  <c r="CB160" i="22"/>
  <c r="CB161" i="22"/>
  <c r="CB187" i="7"/>
  <c r="CB235" i="7"/>
  <c r="C62" i="2"/>
  <c r="D183" i="2"/>
  <c r="AV62" i="2"/>
  <c r="AW183" i="2"/>
  <c r="BU81" i="22"/>
  <c r="BV240" i="22"/>
  <c r="BZ240" i="11"/>
  <c r="BR71" i="9"/>
  <c r="BS235" i="9"/>
  <c r="CA199" i="8"/>
  <c r="CB76" i="8"/>
  <c r="BL192" i="8"/>
  <c r="BP49" i="11"/>
  <c r="BQ224" i="11"/>
  <c r="A65" i="2"/>
  <c r="A185" i="2"/>
  <c r="BW185" i="2"/>
  <c r="AJ69" i="11"/>
  <c r="AK234" i="11"/>
  <c r="BG192" i="9"/>
  <c r="W65" i="8"/>
  <c r="X232" i="8"/>
  <c r="CA162" i="22"/>
  <c r="CA230" i="22"/>
  <c r="CA176" i="11"/>
  <c r="CA175" i="11"/>
  <c r="BU75" i="8"/>
  <c r="BV237" i="8"/>
  <c r="BS79" i="10"/>
  <c r="BT239" i="10"/>
  <c r="BW69" i="22"/>
  <c r="BX234" i="22"/>
  <c r="BK73" i="10"/>
  <c r="BL236" i="10"/>
  <c r="BU75" i="22"/>
  <c r="BV237" i="22"/>
  <c r="AD62" i="2"/>
  <c r="AE183" i="2"/>
  <c r="BZ60" i="8"/>
  <c r="BY159" i="8"/>
  <c r="BX81" i="11"/>
  <c r="BY240" i="11"/>
  <c r="W49" i="32"/>
  <c r="V49" i="32"/>
  <c r="AE49" i="32"/>
  <c r="BU75" i="10"/>
  <c r="BV237" i="10"/>
  <c r="BX61" i="22"/>
  <c r="BY230" i="22"/>
  <c r="CA212" i="11"/>
  <c r="CA240" i="11"/>
  <c r="AE65" i="11"/>
  <c r="AF232" i="11"/>
  <c r="L62" i="2"/>
  <c r="M183" i="2"/>
  <c r="BE62" i="2"/>
  <c r="CF62" i="2"/>
  <c r="BF183" i="2"/>
  <c r="BH31" i="22"/>
  <c r="BI215" i="22"/>
  <c r="BZ230" i="22"/>
  <c r="BE65" i="7"/>
  <c r="BF232" i="7"/>
  <c r="BJ72" i="9"/>
  <c r="BI189" i="9"/>
  <c r="AI63" i="11"/>
  <c r="AJ231" i="11"/>
  <c r="BZ181" i="8"/>
  <c r="BZ180" i="8"/>
  <c r="CB67" i="11"/>
  <c r="CA67" i="11"/>
  <c r="BZ67" i="11"/>
  <c r="BY67" i="11"/>
  <c r="BX67" i="11"/>
  <c r="CB174" i="11"/>
  <c r="CB175" i="8"/>
  <c r="CB176" i="8"/>
  <c r="BQ81" i="9"/>
  <c r="BR240" i="9"/>
  <c r="BZ189" i="11"/>
  <c r="CA72" i="11"/>
  <c r="BO72" i="8"/>
  <c r="BN189" i="8"/>
  <c r="BO69" i="7"/>
  <c r="BP234" i="7"/>
  <c r="BY190" i="11"/>
  <c r="BY191" i="11"/>
  <c r="CB197" i="7"/>
  <c r="CB237" i="7"/>
  <c r="BM190" i="8"/>
  <c r="BM191" i="8"/>
  <c r="U62" i="2"/>
  <c r="V183" i="2"/>
  <c r="BN62" i="2"/>
  <c r="BO183" i="2"/>
  <c r="BR57" i="10"/>
  <c r="BS228" i="10"/>
  <c r="CB182" i="22"/>
  <c r="CB234" i="22"/>
  <c r="BS65" i="22"/>
  <c r="BT232" i="22"/>
  <c r="BZ201" i="8"/>
  <c r="BZ200" i="8"/>
  <c r="BX161" i="8"/>
  <c r="BX160" i="8"/>
  <c r="BH191" i="9"/>
  <c r="BH190" i="9"/>
  <c r="BS81" i="7"/>
  <c r="BT240" i="7"/>
  <c r="BJ76" i="9"/>
  <c r="BI199" i="9"/>
  <c r="BW71" i="7"/>
  <c r="BX235" i="7"/>
  <c r="CB210" i="11"/>
  <c r="CB211" i="11"/>
  <c r="BW67" i="8"/>
  <c r="BX233" i="8"/>
  <c r="BJ32" i="22"/>
  <c r="BI89" i="22"/>
  <c r="BI90" i="22"/>
  <c r="BI91" i="22"/>
  <c r="BI92" i="22"/>
  <c r="U73" i="7"/>
  <c r="V236" i="7"/>
  <c r="U44" i="30"/>
  <c r="W44" i="30"/>
  <c r="V44" i="30"/>
  <c r="P46" i="30"/>
  <c r="Q46" i="30"/>
  <c r="BN94" i="8"/>
  <c r="BN95" i="8"/>
  <c r="BN96" i="8"/>
  <c r="BN97" i="8"/>
  <c r="BO34" i="8"/>
  <c r="BJ42" i="8"/>
  <c r="BI114" i="8"/>
  <c r="BI115" i="8"/>
  <c r="BI116" i="8"/>
  <c r="BI117" i="8"/>
  <c r="BI119" i="8"/>
  <c r="BI120" i="8"/>
  <c r="BI121" i="8"/>
  <c r="BI122" i="8"/>
  <c r="BJ44" i="8"/>
  <c r="BI89" i="11"/>
  <c r="BI90" i="11"/>
  <c r="BI91" i="11"/>
  <c r="BI92" i="11"/>
  <c r="BJ32" i="11"/>
  <c r="BP165" i="7"/>
  <c r="BP166" i="7"/>
  <c r="BO167" i="7"/>
  <c r="BR62" i="7"/>
  <c r="BQ164" i="7"/>
  <c r="BK30" i="9"/>
  <c r="BJ84" i="9"/>
  <c r="BJ85" i="9"/>
  <c r="BJ86" i="9"/>
  <c r="BJ87" i="9"/>
  <c r="BI139" i="9"/>
  <c r="BI140" i="9"/>
  <c r="BI141" i="9"/>
  <c r="BI142" i="9"/>
  <c r="BJ52" i="9"/>
  <c r="BK86" i="1"/>
  <c r="BK87" i="1"/>
  <c r="BK88" i="1"/>
  <c r="BK89" i="1"/>
  <c r="BL30" i="1"/>
  <c r="BL32" i="1"/>
  <c r="BK91" i="1"/>
  <c r="BK92" i="1"/>
  <c r="BK93" i="1"/>
  <c r="BK94" i="1"/>
  <c r="BI96" i="1"/>
  <c r="BI97" i="1"/>
  <c r="BI98" i="1"/>
  <c r="BI99" i="1"/>
  <c r="BJ34" i="1"/>
  <c r="BJ68" i="1"/>
  <c r="BI181" i="1"/>
  <c r="BI182" i="1"/>
  <c r="BI183" i="1"/>
  <c r="BI184" i="1"/>
  <c r="BJ52" i="1"/>
  <c r="BI141" i="1"/>
  <c r="BI142" i="1"/>
  <c r="BI143" i="1"/>
  <c r="BI144" i="1"/>
  <c r="BI156" i="1"/>
  <c r="BI157" i="1"/>
  <c r="BI158" i="1"/>
  <c r="BI159" i="1"/>
  <c r="BJ58" i="1"/>
  <c r="BI171" i="1"/>
  <c r="BI172" i="1"/>
  <c r="BI173" i="1"/>
  <c r="BI174" i="1"/>
  <c r="BJ64" i="1"/>
  <c r="BJ48" i="1"/>
  <c r="BI131" i="1"/>
  <c r="BI132" i="1"/>
  <c r="BI133" i="1"/>
  <c r="BI134" i="1"/>
  <c r="BI136" i="1"/>
  <c r="BI137" i="1"/>
  <c r="BI138" i="1"/>
  <c r="BI139" i="1"/>
  <c r="BJ50" i="1"/>
  <c r="U49" i="33"/>
  <c r="W49" i="33"/>
  <c r="V49" i="33"/>
  <c r="BH102" i="10"/>
  <c r="BK44" i="22"/>
  <c r="BJ119" i="22"/>
  <c r="BJ120" i="22"/>
  <c r="BJ121" i="22"/>
  <c r="BJ122" i="22"/>
  <c r="BI113" i="6"/>
  <c r="BI114" i="6"/>
  <c r="BI115" i="6"/>
  <c r="BI116" i="6"/>
  <c r="BJ36" i="6"/>
  <c r="BK42" i="6"/>
  <c r="BJ128" i="6"/>
  <c r="BJ129" i="6"/>
  <c r="BJ130" i="6"/>
  <c r="BJ131" i="6"/>
  <c r="BI108" i="6"/>
  <c r="BI109" i="6"/>
  <c r="BI110" i="6"/>
  <c r="BI111" i="6"/>
  <c r="BJ34" i="6"/>
  <c r="BG91" i="6"/>
  <c r="BH104" i="6"/>
  <c r="BH105" i="6"/>
  <c r="BI123" i="6"/>
  <c r="BI124" i="6"/>
  <c r="BI125" i="6"/>
  <c r="BI126" i="6"/>
  <c r="BJ40" i="6"/>
  <c r="BI83" i="6"/>
  <c r="BI84" i="6"/>
  <c r="BI85" i="6"/>
  <c r="BI86" i="6"/>
  <c r="BJ24" i="6"/>
  <c r="BI133" i="6"/>
  <c r="BI134" i="6"/>
  <c r="BI135" i="6"/>
  <c r="BI136" i="6"/>
  <c r="BJ44" i="6"/>
  <c r="BI93" i="6"/>
  <c r="BJ28" i="6"/>
  <c r="BH114" i="6"/>
  <c r="BH115" i="6"/>
  <c r="BJ26" i="6"/>
  <c r="BI88" i="6"/>
  <c r="BJ98" i="6"/>
  <c r="BJ99" i="6"/>
  <c r="BJ100" i="6"/>
  <c r="BJ101" i="6"/>
  <c r="BK30" i="6"/>
  <c r="BI78" i="6"/>
  <c r="BI79" i="6"/>
  <c r="BI80" i="6"/>
  <c r="BI81" i="6"/>
  <c r="BJ22" i="6"/>
  <c r="BJ32" i="6"/>
  <c r="BI103" i="6"/>
  <c r="BI104" i="6"/>
  <c r="BI105" i="6"/>
  <c r="BI106" i="6"/>
  <c r="BL82" i="1"/>
  <c r="BK216" i="1"/>
  <c r="BK212" i="1"/>
  <c r="BK213" i="1"/>
  <c r="BG149" i="1"/>
  <c r="BI219" i="1"/>
  <c r="BJ42" i="1"/>
  <c r="BI116" i="1"/>
  <c r="BI117" i="1"/>
  <c r="BI118" i="1"/>
  <c r="BI119" i="1"/>
  <c r="BJ217" i="1"/>
  <c r="BJ218" i="1"/>
  <c r="BM80" i="1"/>
  <c r="BL211" i="1"/>
  <c r="BL212" i="1"/>
  <c r="BL213" i="1"/>
  <c r="BL214" i="1"/>
  <c r="BF87" i="8"/>
  <c r="BN38" i="8"/>
  <c r="BM104" i="8"/>
  <c r="BM105" i="8"/>
  <c r="BM106" i="8"/>
  <c r="BM107" i="8"/>
  <c r="BI100" i="8"/>
  <c r="BI101" i="8"/>
  <c r="BJ99" i="8"/>
  <c r="BJ100" i="8"/>
  <c r="BJ101" i="8"/>
  <c r="BJ102" i="8"/>
  <c r="BK36" i="8"/>
  <c r="BI120" i="11"/>
  <c r="BI121" i="11"/>
  <c r="BK44" i="11"/>
  <c r="BJ119" i="11"/>
  <c r="AF26" i="26"/>
  <c r="S43" i="36"/>
  <c r="R42" i="36"/>
  <c r="T48" i="36"/>
  <c r="AV48" i="36"/>
  <c r="AJ48" i="36"/>
  <c r="AI48" i="36"/>
  <c r="AT48" i="36"/>
  <c r="AC48" i="36"/>
  <c r="X48" i="36"/>
  <c r="AR48" i="36"/>
  <c r="AQ48" i="36"/>
  <c r="AE48" i="36"/>
  <c r="Z48" i="36"/>
  <c r="AO48" i="36"/>
  <c r="AU48" i="36"/>
  <c r="AP48" i="36"/>
  <c r="AM48" i="36"/>
  <c r="AH48" i="36"/>
  <c r="Y48" i="36"/>
  <c r="AK48" i="36"/>
  <c r="AF48" i="36"/>
  <c r="AL48" i="36"/>
  <c r="AD48" i="36"/>
  <c r="AS48" i="36"/>
  <c r="AN48" i="36"/>
  <c r="AB48" i="36"/>
  <c r="AA48" i="36"/>
  <c r="AG48" i="36"/>
  <c r="T49" i="32"/>
  <c r="AF49" i="32"/>
  <c r="BI129" i="22"/>
  <c r="BI130" i="22"/>
  <c r="BI131" i="22"/>
  <c r="BI132" i="22"/>
  <c r="BJ48" i="22"/>
  <c r="BI94" i="22"/>
  <c r="BI95" i="22"/>
  <c r="BI96" i="22"/>
  <c r="BI97" i="22"/>
  <c r="BJ34" i="22"/>
  <c r="BJ104" i="22"/>
  <c r="BJ105" i="22"/>
  <c r="BJ106" i="22"/>
  <c r="BJ107" i="22"/>
  <c r="BK38" i="22"/>
  <c r="BK36" i="7"/>
  <c r="BJ99" i="7"/>
  <c r="BJ100" i="7"/>
  <c r="BJ101" i="7"/>
  <c r="BJ102" i="7"/>
  <c r="BK38" i="7"/>
  <c r="BJ104" i="7"/>
  <c r="BJ105" i="7"/>
  <c r="BJ106" i="7"/>
  <c r="BJ107" i="7"/>
  <c r="BL109" i="7"/>
  <c r="BL110" i="7"/>
  <c r="BL111" i="7"/>
  <c r="BL112" i="7"/>
  <c r="BM40" i="7"/>
  <c r="BI105" i="7"/>
  <c r="BI106" i="7"/>
  <c r="BI107" i="7"/>
  <c r="BI94" i="7"/>
  <c r="BI95" i="7"/>
  <c r="BI96" i="7"/>
  <c r="BI97" i="7"/>
  <c r="BJ34" i="7"/>
  <c r="BJ84" i="7"/>
  <c r="BK30" i="7"/>
  <c r="BI114" i="7"/>
  <c r="BI115" i="7"/>
  <c r="BI116" i="7"/>
  <c r="BI117" i="7"/>
  <c r="BJ42" i="7"/>
  <c r="BL118" i="6"/>
  <c r="BL119" i="6"/>
  <c r="BL120" i="6"/>
  <c r="BL121" i="6"/>
  <c r="BM38" i="6"/>
  <c r="BI124" i="9"/>
  <c r="BI125" i="9"/>
  <c r="BI126" i="9"/>
  <c r="BI127" i="9"/>
  <c r="BJ46" i="9"/>
  <c r="BI94" i="9"/>
  <c r="BI95" i="9"/>
  <c r="BI96" i="9"/>
  <c r="BI97" i="9"/>
  <c r="BJ34" i="9"/>
  <c r="BH114" i="9"/>
  <c r="BH115" i="9"/>
  <c r="BH116" i="9"/>
  <c r="BH117" i="9"/>
  <c r="BI42" i="9"/>
  <c r="BM144" i="9"/>
  <c r="BM145" i="9"/>
  <c r="BM146" i="9"/>
  <c r="BM147" i="9"/>
  <c r="BN54" i="9"/>
  <c r="BL104" i="9"/>
  <c r="BL105" i="9"/>
  <c r="BL106" i="9"/>
  <c r="BL107" i="9"/>
  <c r="BM38" i="9"/>
  <c r="BJ134" i="9"/>
  <c r="BJ135" i="9"/>
  <c r="BJ136" i="9"/>
  <c r="BJ137" i="9"/>
  <c r="BK50" i="9"/>
  <c r="BH150" i="9"/>
  <c r="BH151" i="9"/>
  <c r="BH152" i="9"/>
  <c r="BI129" i="9"/>
  <c r="BI130" i="9"/>
  <c r="BI131" i="9"/>
  <c r="BI132" i="9"/>
  <c r="BJ48" i="9"/>
  <c r="BI119" i="9"/>
  <c r="BI120" i="9"/>
  <c r="BI121" i="9"/>
  <c r="BI122" i="9"/>
  <c r="BJ44" i="9"/>
  <c r="BI149" i="9"/>
  <c r="BJ56" i="9"/>
  <c r="BL32" i="9"/>
  <c r="BK89" i="9"/>
  <c r="BK90" i="9"/>
  <c r="BK91" i="9"/>
  <c r="BK92" i="9"/>
  <c r="BJ70" i="1"/>
  <c r="BI186" i="1"/>
  <c r="BL66" i="1"/>
  <c r="BK176" i="1"/>
  <c r="BK177" i="1"/>
  <c r="BK178" i="1"/>
  <c r="BK179" i="1"/>
  <c r="BH207" i="1"/>
  <c r="BH208" i="1"/>
  <c r="BI162" i="1"/>
  <c r="BI163" i="1"/>
  <c r="BI164" i="1"/>
  <c r="BJ78" i="1"/>
  <c r="BI206" i="1"/>
  <c r="BH197" i="1"/>
  <c r="BH198" i="1"/>
  <c r="BH199" i="1"/>
  <c r="BK60" i="1"/>
  <c r="BJ161" i="1"/>
  <c r="BJ162" i="1"/>
  <c r="BJ163" i="1"/>
  <c r="BJ164" i="1"/>
  <c r="BI192" i="1"/>
  <c r="BI193" i="1"/>
  <c r="BJ74" i="1"/>
  <c r="BI196" i="1"/>
  <c r="BI197" i="1"/>
  <c r="BI198" i="1"/>
  <c r="BI199" i="1"/>
  <c r="BP56" i="1"/>
  <c r="BO151" i="1"/>
  <c r="BL76" i="1"/>
  <c r="BK201" i="1"/>
  <c r="BK202" i="1"/>
  <c r="BK203" i="1"/>
  <c r="BK204" i="1"/>
  <c r="BH187" i="1"/>
  <c r="BH188" i="1"/>
  <c r="BK72" i="1"/>
  <c r="BJ191" i="1"/>
  <c r="BJ177" i="1"/>
  <c r="BJ178" i="1"/>
  <c r="BJ179" i="1"/>
  <c r="U50" i="37"/>
  <c r="K50" i="37"/>
  <c r="T50" i="37"/>
  <c r="BN115" i="11"/>
  <c r="BN116" i="11"/>
  <c r="BN117" i="11"/>
  <c r="BM116" i="11"/>
  <c r="BM117" i="11"/>
  <c r="BP42" i="11"/>
  <c r="BO114" i="11"/>
  <c r="U47" i="34"/>
  <c r="P47" i="34"/>
  <c r="Q47" i="34"/>
  <c r="U48" i="35"/>
  <c r="W48" i="35"/>
  <c r="V48" i="35"/>
  <c r="BH107" i="11"/>
  <c r="BI105" i="11"/>
  <c r="BI106" i="11"/>
  <c r="BI107" i="11"/>
  <c r="BM84" i="11"/>
  <c r="BN30" i="11"/>
  <c r="BL36" i="11"/>
  <c r="BK99" i="11"/>
  <c r="BJ104" i="11"/>
  <c r="BK38" i="11"/>
  <c r="BJ100" i="11"/>
  <c r="BJ101" i="11"/>
  <c r="BJ102" i="11"/>
  <c r="BL85" i="11"/>
  <c r="BL86" i="11"/>
  <c r="BL87" i="11"/>
  <c r="BJ134" i="10"/>
  <c r="BK50" i="10"/>
  <c r="BI135" i="10"/>
  <c r="BI136" i="10"/>
  <c r="BI137" i="10"/>
  <c r="BI100" i="10"/>
  <c r="BI101" i="10"/>
  <c r="BI102" i="10"/>
  <c r="BJ99" i="10"/>
  <c r="BK36" i="10"/>
  <c r="BH155" i="22"/>
  <c r="BH156" i="22"/>
  <c r="BH157" i="22"/>
  <c r="BJ58" i="22"/>
  <c r="BI154" i="22"/>
  <c r="BJ99" i="22"/>
  <c r="BK36" i="22"/>
  <c r="BJ109" i="22"/>
  <c r="BK40" i="22"/>
  <c r="BK54" i="22"/>
  <c r="BJ144" i="22"/>
  <c r="BI110" i="22"/>
  <c r="BI111" i="22"/>
  <c r="BI112" i="22"/>
  <c r="BI100" i="22"/>
  <c r="BI101" i="22"/>
  <c r="BI102" i="22"/>
  <c r="BI145" i="22"/>
  <c r="BI146" i="22"/>
  <c r="BI147" i="22"/>
  <c r="BK150" i="8"/>
  <c r="BK151" i="8"/>
  <c r="BK152" i="8"/>
  <c r="BM56" i="8"/>
  <c r="BL149" i="8"/>
  <c r="BI145" i="8"/>
  <c r="BI146" i="8"/>
  <c r="BI147" i="8"/>
  <c r="BK54" i="8"/>
  <c r="BJ144" i="8"/>
  <c r="BI30" i="8"/>
  <c r="BH84" i="8"/>
  <c r="BI139" i="8"/>
  <c r="BJ52" i="8"/>
  <c r="BH110" i="8"/>
  <c r="BH111" i="8"/>
  <c r="BH112" i="8"/>
  <c r="BH90" i="8"/>
  <c r="BH91" i="8"/>
  <c r="BH92" i="8"/>
  <c r="BG85" i="8"/>
  <c r="BG86" i="8"/>
  <c r="BG87" i="8"/>
  <c r="BH140" i="8"/>
  <c r="BH141" i="8"/>
  <c r="BH142" i="8"/>
  <c r="BJ40" i="8"/>
  <c r="BI109" i="8"/>
  <c r="BI89" i="8"/>
  <c r="BJ32" i="8"/>
  <c r="BI129" i="8"/>
  <c r="BJ48" i="8"/>
  <c r="BH130" i="8"/>
  <c r="BH131" i="8"/>
  <c r="BH132" i="8"/>
  <c r="BH145" i="7"/>
  <c r="BH146" i="7"/>
  <c r="BH147" i="7"/>
  <c r="BI144" i="7"/>
  <c r="BJ54" i="7"/>
  <c r="BI139" i="7"/>
  <c r="BJ52" i="7"/>
  <c r="BH140" i="7"/>
  <c r="BH141" i="7"/>
  <c r="BH142" i="7"/>
  <c r="BH135" i="7"/>
  <c r="BH136" i="7"/>
  <c r="BH137" i="7"/>
  <c r="BJ50" i="7"/>
  <c r="BI134" i="7"/>
  <c r="BM44" i="7"/>
  <c r="BL119" i="7"/>
  <c r="BK124" i="7"/>
  <c r="BL46" i="7"/>
  <c r="BP89" i="7"/>
  <c r="BQ32" i="7"/>
  <c r="BK120" i="7"/>
  <c r="BK121" i="7"/>
  <c r="BK122" i="7"/>
  <c r="BJ125" i="7"/>
  <c r="BJ126" i="7"/>
  <c r="BJ127" i="7"/>
  <c r="BO90" i="7"/>
  <c r="BO91" i="7"/>
  <c r="BO92" i="7"/>
  <c r="BH164" i="6"/>
  <c r="BH165" i="6"/>
  <c r="BH166" i="6"/>
  <c r="BJ56" i="6"/>
  <c r="BI163" i="6"/>
  <c r="BJ54" i="6"/>
  <c r="BI158" i="6"/>
  <c r="BH159" i="6"/>
  <c r="BH160" i="6"/>
  <c r="BH161" i="6"/>
  <c r="BJ52" i="6"/>
  <c r="BI153" i="6"/>
  <c r="BH154" i="6"/>
  <c r="BH155" i="6"/>
  <c r="BH156" i="6"/>
  <c r="BH149" i="6"/>
  <c r="BH150" i="6"/>
  <c r="BH151" i="6"/>
  <c r="BI148" i="6"/>
  <c r="BJ50" i="6"/>
  <c r="BH144" i="6"/>
  <c r="BH145" i="6"/>
  <c r="BH146" i="6"/>
  <c r="BJ48" i="6"/>
  <c r="BI143" i="6"/>
  <c r="BJ159" i="9"/>
  <c r="BK60" i="9"/>
  <c r="BI160" i="9"/>
  <c r="BI161" i="9"/>
  <c r="BI162" i="9"/>
  <c r="BH155" i="9"/>
  <c r="BH156" i="9"/>
  <c r="BH157" i="9"/>
  <c r="BJ58" i="9"/>
  <c r="BI154" i="9"/>
  <c r="BI110" i="9"/>
  <c r="BI111" i="9"/>
  <c r="BI112" i="9"/>
  <c r="BI100" i="9"/>
  <c r="BI101" i="9"/>
  <c r="BI102" i="9"/>
  <c r="BJ109" i="9"/>
  <c r="BK40" i="9"/>
  <c r="BK36" i="9"/>
  <c r="BJ99" i="9"/>
  <c r="BI166" i="1"/>
  <c r="BJ62" i="1"/>
  <c r="BH167" i="1"/>
  <c r="BH168" i="1"/>
  <c r="BI126" i="1"/>
  <c r="BJ46" i="1"/>
  <c r="BI146" i="1"/>
  <c r="BJ54" i="1"/>
  <c r="BH147" i="1"/>
  <c r="BH148" i="1"/>
  <c r="BH149" i="1"/>
  <c r="BH127" i="1"/>
  <c r="BH128" i="1"/>
  <c r="BH129" i="1"/>
  <c r="BJ122" i="1"/>
  <c r="BJ123" i="1"/>
  <c r="BJ124" i="1"/>
  <c r="BL44" i="1"/>
  <c r="BK121" i="1"/>
  <c r="BJ112" i="1"/>
  <c r="BJ113" i="1"/>
  <c r="BJ114" i="1"/>
  <c r="BH107" i="1"/>
  <c r="BH108" i="1"/>
  <c r="BH109" i="1"/>
  <c r="BL40" i="1"/>
  <c r="BK111" i="1"/>
  <c r="BJ102" i="1"/>
  <c r="BJ103" i="1"/>
  <c r="BJ104" i="1"/>
  <c r="BI106" i="1"/>
  <c r="BJ38" i="1"/>
  <c r="BL36" i="1"/>
  <c r="BK101" i="1"/>
  <c r="I72" i="26"/>
  <c r="I89" i="26"/>
  <c r="I59" i="26"/>
  <c r="I8" i="26"/>
  <c r="I82" i="26"/>
  <c r="I103" i="26"/>
  <c r="I44" i="26"/>
  <c r="I85" i="26"/>
  <c r="I73" i="26"/>
  <c r="I43" i="26"/>
  <c r="I34" i="26"/>
  <c r="I99" i="26"/>
  <c r="I52" i="26"/>
  <c r="I87" i="26"/>
  <c r="I18" i="26"/>
  <c r="I39" i="26"/>
  <c r="I16" i="26"/>
  <c r="I104" i="26"/>
  <c r="I28" i="26"/>
  <c r="I20" i="26"/>
  <c r="I9" i="26"/>
  <c r="I93" i="26"/>
  <c r="I70" i="26"/>
  <c r="I79" i="26"/>
  <c r="I101" i="26"/>
  <c r="I100" i="26"/>
  <c r="I55" i="26"/>
  <c r="I33" i="26"/>
  <c r="I58" i="26"/>
  <c r="I37" i="26"/>
  <c r="I50" i="26"/>
  <c r="I84" i="26"/>
  <c r="I12" i="26"/>
  <c r="I27" i="26"/>
  <c r="I56" i="26"/>
  <c r="I14" i="26"/>
  <c r="I53" i="26"/>
  <c r="I74" i="26"/>
  <c r="I65" i="26"/>
  <c r="I42" i="26"/>
  <c r="I49" i="26"/>
  <c r="I68" i="26"/>
  <c r="I36" i="26"/>
  <c r="I60" i="26"/>
  <c r="I5" i="26"/>
  <c r="I88" i="26"/>
  <c r="I15" i="26"/>
  <c r="I92" i="26"/>
  <c r="I64" i="26"/>
  <c r="I90" i="26"/>
  <c r="I17" i="26"/>
  <c r="I6" i="26"/>
  <c r="I21" i="26"/>
  <c r="I30" i="26"/>
  <c r="I26" i="26"/>
  <c r="I7" i="26"/>
  <c r="I19" i="26"/>
  <c r="I78" i="26"/>
  <c r="I77" i="26"/>
  <c r="I24" i="26"/>
  <c r="I80" i="26"/>
  <c r="I51" i="26"/>
  <c r="I41" i="26"/>
  <c r="I94" i="26"/>
  <c r="I95" i="26"/>
  <c r="I57" i="26"/>
  <c r="I102" i="26"/>
  <c r="I98" i="26"/>
  <c r="I66" i="26"/>
  <c r="I10" i="26"/>
  <c r="I31" i="26"/>
  <c r="I63" i="26"/>
  <c r="I54" i="26"/>
  <c r="I47" i="26"/>
  <c r="I91" i="26"/>
  <c r="I45" i="26"/>
  <c r="I81" i="26"/>
  <c r="I25" i="26"/>
  <c r="I32" i="26"/>
  <c r="I40" i="26"/>
  <c r="I35" i="26"/>
  <c r="I69" i="26"/>
  <c r="I23" i="26"/>
  <c r="I38" i="26"/>
  <c r="I67" i="26"/>
  <c r="I83" i="26"/>
  <c r="I71" i="26"/>
  <c r="I62" i="26"/>
  <c r="I97" i="26"/>
  <c r="I46" i="26"/>
  <c r="I13" i="26"/>
  <c r="I75" i="26"/>
  <c r="I61" i="26"/>
  <c r="I11" i="26"/>
  <c r="I76" i="26"/>
  <c r="I22" i="26"/>
  <c r="I48" i="26"/>
  <c r="I96" i="26"/>
  <c r="I29" i="26"/>
  <c r="I86" i="26"/>
  <c r="AD43" i="41"/>
  <c r="AQ43" i="41"/>
  <c r="AB43" i="41"/>
  <c r="AC43" i="41"/>
  <c r="AP43" i="41"/>
  <c r="AA43" i="41"/>
  <c r="AE43" i="41"/>
  <c r="AM43" i="41"/>
  <c r="AI43" i="41"/>
  <c r="BK48" i="7"/>
  <c r="BJ129" i="7"/>
  <c r="BJ130" i="7"/>
  <c r="BJ131" i="7"/>
  <c r="BJ132" i="7"/>
  <c r="AA49" i="32"/>
  <c r="AM49" i="32"/>
  <c r="BX185" i="2"/>
  <c r="BW64" i="2"/>
  <c r="AH43" i="41"/>
  <c r="X43" i="41"/>
  <c r="U59" i="11"/>
  <c r="V229" i="11"/>
  <c r="AO43" i="41"/>
  <c r="AF43" i="41"/>
  <c r="Z43" i="41"/>
  <c r="AL43" i="41"/>
  <c r="AJ43" i="41"/>
  <c r="AK43" i="41"/>
  <c r="AG43" i="41"/>
  <c r="AN43" i="41"/>
  <c r="BL237" i="9"/>
  <c r="BK75" i="9"/>
  <c r="AD49" i="32"/>
  <c r="AK49" i="32"/>
  <c r="AB49" i="32"/>
  <c r="AN49" i="32"/>
  <c r="R31" i="41"/>
  <c r="BS177" i="10"/>
  <c r="BI152" i="11"/>
  <c r="BP167" i="22"/>
  <c r="BO187" i="22"/>
  <c r="BH202" i="11"/>
  <c r="CB147" i="10"/>
  <c r="BW187" i="10"/>
  <c r="BH187" i="8"/>
  <c r="BH207" i="8"/>
  <c r="BH182" i="10"/>
  <c r="BH202" i="22"/>
  <c r="BM207" i="11"/>
  <c r="BH167" i="9"/>
  <c r="BH177" i="7"/>
  <c r="BH162" i="10"/>
  <c r="BK157" i="7"/>
  <c r="BN167" i="8"/>
  <c r="BW97" i="40"/>
  <c r="BX325" i="40"/>
  <c r="BV105" i="40"/>
  <c r="BW329" i="40"/>
  <c r="BW107" i="40"/>
  <c r="BX330" i="40"/>
  <c r="BU99" i="40"/>
  <c r="BV326" i="40"/>
  <c r="BZ289" i="40"/>
  <c r="CA110" i="40"/>
  <c r="BY290" i="40"/>
  <c r="BY291" i="40"/>
  <c r="BY292" i="40"/>
  <c r="BZ264" i="40"/>
  <c r="CA100" i="40"/>
  <c r="BZ249" i="40"/>
  <c r="BZ250" i="40"/>
  <c r="BZ251" i="40"/>
  <c r="BZ252" i="40"/>
  <c r="CA94" i="40"/>
  <c r="BZ244" i="40"/>
  <c r="CA92" i="40"/>
  <c r="BZ284" i="40"/>
  <c r="CA108" i="40"/>
  <c r="BZ269" i="40"/>
  <c r="CA102" i="40"/>
  <c r="BY265" i="40"/>
  <c r="BY266" i="40"/>
  <c r="BY267" i="40"/>
  <c r="CB91" i="40"/>
  <c r="BZ239" i="40"/>
  <c r="BY182" i="40"/>
  <c r="CB80" i="40"/>
  <c r="CA214" i="40"/>
  <c r="BY155" i="40"/>
  <c r="BY156" i="40"/>
  <c r="BY157" i="40"/>
  <c r="BZ235" i="40"/>
  <c r="BZ236" i="40"/>
  <c r="BZ237" i="40"/>
  <c r="BZ115" i="40"/>
  <c r="BZ116" i="40"/>
  <c r="BZ117" i="40"/>
  <c r="BZ149" i="40"/>
  <c r="CA54" i="40"/>
  <c r="BX172" i="40"/>
  <c r="CA44" i="40"/>
  <c r="BZ124" i="40"/>
  <c r="CA62" i="40"/>
  <c r="BZ169" i="40"/>
  <c r="BX242" i="40"/>
  <c r="BY220" i="40"/>
  <c r="BY221" i="40"/>
  <c r="BY222" i="40"/>
  <c r="BY167" i="40"/>
  <c r="CA58" i="40"/>
  <c r="BZ159" i="40"/>
  <c r="BY200" i="40"/>
  <c r="BY201" i="40"/>
  <c r="BY202" i="40"/>
  <c r="CB84" i="40"/>
  <c r="CA224" i="40"/>
  <c r="CB66" i="40"/>
  <c r="CA179" i="40"/>
  <c r="CA56" i="40"/>
  <c r="BZ154" i="40"/>
  <c r="BY210" i="40"/>
  <c r="BY211" i="40"/>
  <c r="CA46" i="40"/>
  <c r="BZ129" i="40"/>
  <c r="CB60" i="40"/>
  <c r="CA164" i="40"/>
  <c r="BY190" i="40"/>
  <c r="BY191" i="40"/>
  <c r="CA175" i="40"/>
  <c r="CA176" i="40"/>
  <c r="CA82" i="40"/>
  <c r="BZ219" i="40"/>
  <c r="CB50" i="40"/>
  <c r="CA139" i="40"/>
  <c r="BY145" i="40"/>
  <c r="BY146" i="40"/>
  <c r="BY147" i="40"/>
  <c r="BZ205" i="40"/>
  <c r="BZ206" i="40"/>
  <c r="CA74" i="40"/>
  <c r="BZ199" i="40"/>
  <c r="CA42" i="40"/>
  <c r="BZ119" i="40"/>
  <c r="BY135" i="40"/>
  <c r="BY136" i="40"/>
  <c r="BY137" i="40"/>
  <c r="BY230" i="40"/>
  <c r="BY231" i="40"/>
  <c r="BY232" i="40"/>
  <c r="BZ215" i="40"/>
  <c r="BZ216" i="40"/>
  <c r="CA78" i="40"/>
  <c r="BZ209" i="40"/>
  <c r="CB88" i="40"/>
  <c r="CA234" i="40"/>
  <c r="CB40" i="40"/>
  <c r="CA114" i="40"/>
  <c r="BY150" i="40"/>
  <c r="BY151" i="40"/>
  <c r="BY152" i="40"/>
  <c r="CA70" i="40"/>
  <c r="BZ189" i="40"/>
  <c r="CA195" i="40"/>
  <c r="CA196" i="40"/>
  <c r="CA197" i="40"/>
  <c r="BY170" i="40"/>
  <c r="BY171" i="40"/>
  <c r="BY172" i="40"/>
  <c r="BZ197" i="40"/>
  <c r="CA185" i="40"/>
  <c r="CA186" i="40"/>
  <c r="CA52" i="40"/>
  <c r="BZ144" i="40"/>
  <c r="BY160" i="40"/>
  <c r="BY161" i="40"/>
  <c r="BY162" i="40"/>
  <c r="BZ225" i="40"/>
  <c r="BZ226" i="40"/>
  <c r="BZ227" i="40"/>
  <c r="CA48" i="40"/>
  <c r="BZ134" i="40"/>
  <c r="BY240" i="40"/>
  <c r="BY241" i="40"/>
  <c r="CA86" i="40"/>
  <c r="BZ229" i="40"/>
  <c r="BX162" i="40"/>
  <c r="BY130" i="40"/>
  <c r="BY131" i="40"/>
  <c r="BY132" i="40"/>
  <c r="BZ165" i="40"/>
  <c r="BZ166" i="40"/>
  <c r="CB73" i="40"/>
  <c r="CB194" i="40"/>
  <c r="BY125" i="40"/>
  <c r="BY126" i="40"/>
  <c r="BY127" i="40"/>
  <c r="CB65" i="40"/>
  <c r="CB174" i="40"/>
  <c r="CB69" i="40"/>
  <c r="CB184" i="40"/>
  <c r="BZ140" i="40"/>
  <c r="BZ141" i="40"/>
  <c r="BZ142" i="40"/>
  <c r="BY217" i="40"/>
  <c r="CB76" i="40"/>
  <c r="CA204" i="40"/>
  <c r="BY120" i="40"/>
  <c r="BY121" i="40"/>
  <c r="BY122" i="40"/>
  <c r="BZ180" i="40"/>
  <c r="BZ181" i="40"/>
  <c r="BZ182" i="40"/>
  <c r="CD144" i="10"/>
  <c r="CE54" i="10"/>
  <c r="BK78" i="8"/>
  <c r="BJ204" i="8"/>
  <c r="BM154" i="7"/>
  <c r="BN58" i="7"/>
  <c r="BH202" i="10"/>
  <c r="BJ164" i="9"/>
  <c r="BK62" i="9"/>
  <c r="BT175" i="10"/>
  <c r="BT176" i="10"/>
  <c r="BK70" i="8"/>
  <c r="BJ184" i="8"/>
  <c r="BO165" i="8"/>
  <c r="BO166" i="8"/>
  <c r="BK199" i="7"/>
  <c r="BL76" i="7"/>
  <c r="BY195" i="11"/>
  <c r="BY196" i="11"/>
  <c r="BS206" i="22"/>
  <c r="BS205" i="22"/>
  <c r="BJ179" i="10"/>
  <c r="BK68" i="10"/>
  <c r="BT78" i="9"/>
  <c r="BS204" i="9"/>
  <c r="BU157" i="8"/>
  <c r="BQ172" i="9"/>
  <c r="BX197" i="11"/>
  <c r="BR207" i="22"/>
  <c r="BX186" i="10"/>
  <c r="BX185" i="10"/>
  <c r="BI201" i="22"/>
  <c r="BI200" i="22"/>
  <c r="AE240" i="8"/>
  <c r="AD81" i="8"/>
  <c r="CC146" i="10"/>
  <c r="CC145" i="10"/>
  <c r="BR240" i="10"/>
  <c r="BQ81" i="10"/>
  <c r="BU174" i="10"/>
  <c r="BV66" i="10"/>
  <c r="BJ200" i="7"/>
  <c r="BJ201" i="7"/>
  <c r="BS169" i="9"/>
  <c r="BT64" i="9"/>
  <c r="BU166" i="10"/>
  <c r="BU165" i="10"/>
  <c r="BI175" i="7"/>
  <c r="BI176" i="7"/>
  <c r="BI181" i="10"/>
  <c r="BI180" i="10"/>
  <c r="BN124" i="11"/>
  <c r="BO46" i="11"/>
  <c r="BR206" i="9"/>
  <c r="BR205" i="9"/>
  <c r="BJ150" i="11"/>
  <c r="BJ151" i="11"/>
  <c r="BQ165" i="22"/>
  <c r="BQ166" i="22"/>
  <c r="AA55" i="11"/>
  <c r="AB227" i="11"/>
  <c r="BR70" i="22"/>
  <c r="BQ184" i="22"/>
  <c r="BI200" i="10"/>
  <c r="BI201" i="10"/>
  <c r="BJ199" i="22"/>
  <c r="BK76" i="22"/>
  <c r="BM162" i="7"/>
  <c r="BN205" i="11"/>
  <c r="BN206" i="11"/>
  <c r="BR192" i="22"/>
  <c r="BV156" i="8"/>
  <c r="BV155" i="8"/>
  <c r="BP164" i="8"/>
  <c r="BQ62" i="8"/>
  <c r="BK56" i="22"/>
  <c r="BJ149" i="22"/>
  <c r="BJ150" i="22"/>
  <c r="BJ151" i="22"/>
  <c r="BJ152" i="22"/>
  <c r="BR170" i="9"/>
  <c r="BR171" i="9"/>
  <c r="BV164" i="10"/>
  <c r="BW62" i="10"/>
  <c r="BK66" i="7"/>
  <c r="BJ174" i="7"/>
  <c r="BU72" i="22"/>
  <c r="BT189" i="22"/>
  <c r="BM125" i="11"/>
  <c r="BM126" i="11"/>
  <c r="BR233" i="9"/>
  <c r="BQ67" i="9"/>
  <c r="BL56" i="11"/>
  <c r="BK149" i="11"/>
  <c r="BS62" i="22"/>
  <c r="BR164" i="22"/>
  <c r="BJ134" i="11"/>
  <c r="BK50" i="11"/>
  <c r="BI161" i="10"/>
  <c r="BI160" i="10"/>
  <c r="BQ204" i="7"/>
  <c r="BR78" i="7"/>
  <c r="BP59" i="10"/>
  <c r="BQ229" i="10"/>
  <c r="BL127" i="11"/>
  <c r="BP185" i="22"/>
  <c r="BP186" i="22"/>
  <c r="BK46" i="6"/>
  <c r="BJ138" i="6"/>
  <c r="BJ139" i="6"/>
  <c r="BJ140" i="6"/>
  <c r="BJ141" i="6"/>
  <c r="BI201" i="11"/>
  <c r="BI200" i="11"/>
  <c r="BN160" i="7"/>
  <c r="BN161" i="7"/>
  <c r="BJ199" i="10"/>
  <c r="BK76" i="10"/>
  <c r="BO207" i="7"/>
  <c r="AG61" i="11"/>
  <c r="AH230" i="11"/>
  <c r="BI205" i="8"/>
  <c r="BI206" i="8"/>
  <c r="BL155" i="7"/>
  <c r="BL156" i="7"/>
  <c r="BT167" i="10"/>
  <c r="BO204" i="11"/>
  <c r="BP78" i="11"/>
  <c r="BI166" i="9"/>
  <c r="BI165" i="9"/>
  <c r="BQ207" i="9"/>
  <c r="BW154" i="8"/>
  <c r="BX58" i="8"/>
  <c r="BI186" i="8"/>
  <c r="BI185" i="8"/>
  <c r="BR232" i="10"/>
  <c r="BQ65" i="10"/>
  <c r="CA74" i="11"/>
  <c r="BZ194" i="11"/>
  <c r="BU67" i="22"/>
  <c r="BV233" i="22"/>
  <c r="BU78" i="22"/>
  <c r="BT204" i="22"/>
  <c r="BS190" i="22"/>
  <c r="BS191" i="22"/>
  <c r="BI202" i="7"/>
  <c r="BI136" i="11"/>
  <c r="BI135" i="11"/>
  <c r="BK60" i="10"/>
  <c r="BJ159" i="10"/>
  <c r="BP205" i="7"/>
  <c r="BP206" i="7"/>
  <c r="BZ70" i="10"/>
  <c r="BY184" i="10"/>
  <c r="BK76" i="11"/>
  <c r="BJ199" i="11"/>
  <c r="BH137" i="11"/>
  <c r="BP60" i="7"/>
  <c r="BO159" i="7"/>
  <c r="Y49" i="32"/>
  <c r="AU49" i="32"/>
  <c r="AV49" i="32"/>
  <c r="AG49" i="32"/>
  <c r="AJ49" i="32"/>
  <c r="AI49" i="32"/>
  <c r="AO49" i="32"/>
  <c r="AH49" i="32"/>
  <c r="AQ49" i="32"/>
  <c r="AL49" i="32"/>
  <c r="Z49" i="32"/>
  <c r="X49" i="32"/>
  <c r="AW49" i="32"/>
  <c r="AT49" i="32"/>
  <c r="AR49" i="32"/>
  <c r="AS49" i="32"/>
  <c r="AC49" i="32"/>
  <c r="AP49" i="32"/>
  <c r="M87" i="2"/>
  <c r="M99" i="2"/>
  <c r="M59" i="2"/>
  <c r="N59" i="2"/>
  <c r="M27" i="2"/>
  <c r="N27" i="2"/>
  <c r="M94" i="2"/>
  <c r="M66" i="2"/>
  <c r="M50" i="2"/>
  <c r="N50" i="2"/>
  <c r="M34" i="2"/>
  <c r="N34" i="2"/>
  <c r="M18" i="2"/>
  <c r="N18" i="2"/>
  <c r="M101" i="2"/>
  <c r="M85" i="2"/>
  <c r="M69" i="2"/>
  <c r="M53" i="2"/>
  <c r="N53" i="2"/>
  <c r="M37" i="2"/>
  <c r="N37" i="2"/>
  <c r="M21" i="2"/>
  <c r="N21" i="2"/>
  <c r="M83" i="2"/>
  <c r="M47" i="2"/>
  <c r="N47" i="2"/>
  <c r="M114" i="2"/>
  <c r="M74" i="2"/>
  <c r="M100" i="2"/>
  <c r="M84" i="2"/>
  <c r="M68" i="2"/>
  <c r="M52" i="2"/>
  <c r="N52" i="2"/>
  <c r="M36" i="2"/>
  <c r="N36" i="2"/>
  <c r="M20" i="2"/>
  <c r="N20" i="2"/>
  <c r="M16" i="2"/>
  <c r="N16" i="2"/>
  <c r="M108" i="2"/>
  <c r="M60" i="2"/>
  <c r="N60" i="2"/>
  <c r="M28" i="2"/>
  <c r="N28" i="2"/>
  <c r="M40" i="2"/>
  <c r="N40" i="2"/>
  <c r="M67" i="2"/>
  <c r="M91" i="2"/>
  <c r="M51" i="2"/>
  <c r="N51" i="2"/>
  <c r="M19" i="2"/>
  <c r="N19" i="2"/>
  <c r="M82" i="2"/>
  <c r="M62" i="2"/>
  <c r="N62" i="2"/>
  <c r="M46" i="2"/>
  <c r="N46" i="2"/>
  <c r="M30" i="2"/>
  <c r="N30" i="2"/>
  <c r="M113" i="2"/>
  <c r="M97" i="2"/>
  <c r="M81" i="2"/>
  <c r="M65" i="2"/>
  <c r="M49" i="2"/>
  <c r="N49" i="2"/>
  <c r="M33" i="2"/>
  <c r="N33" i="2"/>
  <c r="M17" i="2"/>
  <c r="N17" i="2"/>
  <c r="M75" i="2"/>
  <c r="M39" i="2"/>
  <c r="N39" i="2"/>
  <c r="M106" i="2"/>
  <c r="M112" i="2"/>
  <c r="M96" i="2"/>
  <c r="M80" i="2"/>
  <c r="M64" i="2"/>
  <c r="M48" i="2"/>
  <c r="N48" i="2"/>
  <c r="O48" i="2"/>
  <c r="M32" i="2"/>
  <c r="N32" i="2"/>
  <c r="M92" i="2"/>
  <c r="M44" i="2"/>
  <c r="N44" i="2"/>
  <c r="M15" i="2"/>
  <c r="N15" i="2"/>
  <c r="M90" i="2"/>
  <c r="M79" i="2"/>
  <c r="M43" i="2"/>
  <c r="N43" i="2"/>
  <c r="M110" i="2"/>
  <c r="M78" i="2"/>
  <c r="M58" i="2"/>
  <c r="N58" i="2"/>
  <c r="M42" i="2"/>
  <c r="N42" i="2"/>
  <c r="M26" i="2"/>
  <c r="N26" i="2"/>
  <c r="M109" i="2"/>
  <c r="M93" i="2"/>
  <c r="M77" i="2"/>
  <c r="M61" i="2"/>
  <c r="N61" i="2"/>
  <c r="M45" i="2"/>
  <c r="N45" i="2"/>
  <c r="M29" i="2"/>
  <c r="N29" i="2"/>
  <c r="M107" i="2"/>
  <c r="M63" i="2"/>
  <c r="M31" i="2"/>
  <c r="N31" i="2"/>
  <c r="M98" i="2"/>
  <c r="M76" i="2"/>
  <c r="M103" i="2"/>
  <c r="M111" i="2"/>
  <c r="M71" i="2"/>
  <c r="M35" i="2"/>
  <c r="N35" i="2"/>
  <c r="O35" i="2"/>
  <c r="Q35" i="2"/>
  <c r="M102" i="2"/>
  <c r="M70" i="2"/>
  <c r="M54" i="2"/>
  <c r="N54" i="2"/>
  <c r="M38" i="2"/>
  <c r="N38" i="2"/>
  <c r="M22" i="2"/>
  <c r="N22" i="2"/>
  <c r="M105" i="2"/>
  <c r="M89" i="2"/>
  <c r="M73" i="2"/>
  <c r="M57" i="2"/>
  <c r="N57" i="2"/>
  <c r="M41" i="2"/>
  <c r="N41" i="2"/>
  <c r="O41" i="2"/>
  <c r="Q41" i="2"/>
  <c r="M25" i="2"/>
  <c r="N25" i="2"/>
  <c r="M95" i="2"/>
  <c r="M55" i="2"/>
  <c r="N55" i="2"/>
  <c r="M23" i="2"/>
  <c r="N23" i="2"/>
  <c r="M86" i="2"/>
  <c r="M104" i="2"/>
  <c r="M88" i="2"/>
  <c r="M72" i="2"/>
  <c r="M56" i="2"/>
  <c r="N56" i="2"/>
  <c r="M24" i="2"/>
  <c r="N24" i="2"/>
  <c r="K44" i="30"/>
  <c r="T44" i="30"/>
  <c r="BM40" i="11"/>
  <c r="BL109" i="11"/>
  <c r="BL110" i="11"/>
  <c r="BL111" i="11"/>
  <c r="BL112" i="11"/>
  <c r="BK30" i="10"/>
  <c r="BJ84" i="10"/>
  <c r="BJ85" i="10"/>
  <c r="BJ86" i="10"/>
  <c r="BJ87" i="10"/>
  <c r="BJ129" i="10"/>
  <c r="BJ130" i="10"/>
  <c r="BJ131" i="10"/>
  <c r="BJ132" i="10"/>
  <c r="BK48" i="10"/>
  <c r="BK52" i="10"/>
  <c r="BJ139" i="10"/>
  <c r="BJ140" i="10"/>
  <c r="BJ141" i="10"/>
  <c r="BJ142" i="10"/>
  <c r="BK38" i="10"/>
  <c r="BJ104" i="10"/>
  <c r="BJ105" i="10"/>
  <c r="BJ106" i="10"/>
  <c r="BJ107" i="10"/>
  <c r="BJ89" i="10"/>
  <c r="BJ90" i="10"/>
  <c r="BJ91" i="10"/>
  <c r="BJ92" i="10"/>
  <c r="BK32" i="10"/>
  <c r="BJ109" i="10"/>
  <c r="BJ110" i="10"/>
  <c r="BJ111" i="10"/>
  <c r="BJ112" i="10"/>
  <c r="BK40" i="10"/>
  <c r="BJ94" i="10"/>
  <c r="BJ95" i="10"/>
  <c r="BJ96" i="10"/>
  <c r="BJ97" i="10"/>
  <c r="BK34" i="10"/>
  <c r="BK42" i="10"/>
  <c r="BJ114" i="10"/>
  <c r="BJ115" i="10"/>
  <c r="BJ116" i="10"/>
  <c r="BJ117" i="10"/>
  <c r="BJ124" i="10"/>
  <c r="BJ125" i="10"/>
  <c r="BJ126" i="10"/>
  <c r="BJ127" i="10"/>
  <c r="BK46" i="10"/>
  <c r="BL44" i="10"/>
  <c r="BK119" i="10"/>
  <c r="BK120" i="10"/>
  <c r="BK121" i="10"/>
  <c r="BK122" i="10"/>
  <c r="BJ114" i="22"/>
  <c r="BJ115" i="22"/>
  <c r="BJ116" i="22"/>
  <c r="BJ117" i="22"/>
  <c r="BK42" i="22"/>
  <c r="BL52" i="22"/>
  <c r="BK139" i="22"/>
  <c r="BK140" i="22"/>
  <c r="BK141" i="22"/>
  <c r="BK142" i="22"/>
  <c r="BL46" i="22"/>
  <c r="BK124" i="22"/>
  <c r="BK125" i="22"/>
  <c r="BK126" i="22"/>
  <c r="BK127" i="22"/>
  <c r="BJ134" i="22"/>
  <c r="BJ135" i="22"/>
  <c r="BJ136" i="22"/>
  <c r="BJ137" i="22"/>
  <c r="BK50" i="22"/>
  <c r="BK134" i="8"/>
  <c r="BK135" i="8"/>
  <c r="BK136" i="8"/>
  <c r="BK137" i="8"/>
  <c r="BL50" i="8"/>
  <c r="BJ124" i="8"/>
  <c r="BJ125" i="8"/>
  <c r="BJ126" i="8"/>
  <c r="BJ127" i="8"/>
  <c r="BK46" i="8"/>
  <c r="BZ202" i="8"/>
  <c r="CB177" i="8"/>
  <c r="CB233" i="8"/>
  <c r="BM192" i="8"/>
  <c r="BV67" i="8"/>
  <c r="BW233" i="8"/>
  <c r="BV71" i="7"/>
  <c r="BW235" i="7"/>
  <c r="BZ191" i="11"/>
  <c r="BZ190" i="11"/>
  <c r="CA60" i="8"/>
  <c r="BZ159" i="8"/>
  <c r="V65" i="8"/>
  <c r="W232" i="8"/>
  <c r="AD185" i="2"/>
  <c r="BN185" i="2"/>
  <c r="BE185" i="2"/>
  <c r="U185" i="2"/>
  <c r="L185" i="2"/>
  <c r="AV185" i="2"/>
  <c r="C185" i="2"/>
  <c r="AM185" i="2"/>
  <c r="BS69" i="9"/>
  <c r="BT234" i="9"/>
  <c r="K49" i="33"/>
  <c r="T49" i="33"/>
  <c r="BJ199" i="9"/>
  <c r="BK76" i="9"/>
  <c r="BR81" i="7"/>
  <c r="BS240" i="7"/>
  <c r="BH192" i="9"/>
  <c r="BR65" i="22"/>
  <c r="BS232" i="22"/>
  <c r="BY192" i="11"/>
  <c r="BP72" i="8"/>
  <c r="BO189" i="8"/>
  <c r="AH63" i="11"/>
  <c r="AI231" i="11"/>
  <c r="BK72" i="9"/>
  <c r="BJ189" i="9"/>
  <c r="BW61" i="22"/>
  <c r="BX230" i="22"/>
  <c r="BW81" i="11"/>
  <c r="BX240" i="11"/>
  <c r="BY161" i="8"/>
  <c r="BY160" i="8"/>
  <c r="BJ73" i="10"/>
  <c r="BK236" i="10"/>
  <c r="BV69" i="22"/>
  <c r="BW234" i="22"/>
  <c r="BR79" i="10"/>
  <c r="BS239" i="10"/>
  <c r="CA177" i="11"/>
  <c r="CA233" i="11"/>
  <c r="CB77" i="8"/>
  <c r="CA77" i="8"/>
  <c r="BZ77" i="8"/>
  <c r="BY77" i="8"/>
  <c r="CB199" i="8"/>
  <c r="CB162" i="22"/>
  <c r="CB230" i="22"/>
  <c r="BK53" i="11"/>
  <c r="BL226" i="11"/>
  <c r="CA180" i="8"/>
  <c r="CA181" i="8"/>
  <c r="C63" i="2"/>
  <c r="D184" i="2"/>
  <c r="AM63" i="2"/>
  <c r="AN184" i="2"/>
  <c r="T73" i="7"/>
  <c r="U236" i="7"/>
  <c r="BK32" i="22"/>
  <c r="BJ89" i="22"/>
  <c r="BJ90" i="22"/>
  <c r="BJ91" i="22"/>
  <c r="BJ92" i="22"/>
  <c r="CB175" i="11"/>
  <c r="CB176" i="11"/>
  <c r="BE63" i="2"/>
  <c r="CF63" i="2"/>
  <c r="BF184" i="2"/>
  <c r="CB212" i="11"/>
  <c r="CB240" i="11"/>
  <c r="BX162" i="8"/>
  <c r="BW67" i="11"/>
  <c r="BX233" i="11"/>
  <c r="BZ182" i="8"/>
  <c r="BG31" i="22"/>
  <c r="BH215" i="22"/>
  <c r="BZ233" i="11"/>
  <c r="BT75" i="10"/>
  <c r="BU237" i="10"/>
  <c r="BT75" i="22"/>
  <c r="BU237" i="22"/>
  <c r="BT75" i="8"/>
  <c r="BU237" i="8"/>
  <c r="A186" i="2"/>
  <c r="BW186" i="2"/>
  <c r="A66" i="2"/>
  <c r="BO49" i="11"/>
  <c r="BP224" i="11"/>
  <c r="CA201" i="8"/>
  <c r="CA200" i="8"/>
  <c r="BQ71" i="9"/>
  <c r="BR235" i="9"/>
  <c r="CB69" i="8"/>
  <c r="CA69" i="8"/>
  <c r="BZ69" i="8"/>
  <c r="BY69" i="8"/>
  <c r="BX69" i="8"/>
  <c r="CB179" i="8"/>
  <c r="BN63" i="2"/>
  <c r="BO184" i="2"/>
  <c r="AD63" i="2"/>
  <c r="AE184" i="2"/>
  <c r="BH202" i="9"/>
  <c r="U63" i="2"/>
  <c r="V184" i="2"/>
  <c r="BI200" i="9"/>
  <c r="BI201" i="9"/>
  <c r="BQ57" i="10"/>
  <c r="BR228" i="10"/>
  <c r="BN69" i="7"/>
  <c r="BO234" i="7"/>
  <c r="BN190" i="8"/>
  <c r="BN191" i="8"/>
  <c r="CB72" i="11"/>
  <c r="CA189" i="11"/>
  <c r="BP81" i="9"/>
  <c r="BQ240" i="9"/>
  <c r="BI191" i="9"/>
  <c r="BI190" i="9"/>
  <c r="BD65" i="7"/>
  <c r="BE232" i="7"/>
  <c r="AD65" i="11"/>
  <c r="AE232" i="11"/>
  <c r="BY233" i="11"/>
  <c r="AI69" i="11"/>
  <c r="AJ234" i="11"/>
  <c r="BT81" i="22"/>
  <c r="BU240" i="22"/>
  <c r="BU75" i="7"/>
  <c r="BV237" i="7"/>
  <c r="L63" i="2"/>
  <c r="M184" i="2"/>
  <c r="AV63" i="2"/>
  <c r="AW184" i="2"/>
  <c r="AC44" i="30"/>
  <c r="Y44" i="30"/>
  <c r="AP44" i="30"/>
  <c r="AF44" i="30"/>
  <c r="X44" i="30"/>
  <c r="AE44" i="30"/>
  <c r="AA44" i="30"/>
  <c r="AN44" i="30"/>
  <c r="AL44" i="30"/>
  <c r="Z44" i="30"/>
  <c r="AM44" i="30"/>
  <c r="AQ44" i="30"/>
  <c r="AH44" i="30"/>
  <c r="AB44" i="30"/>
  <c r="AI44" i="30"/>
  <c r="AJ44" i="30"/>
  <c r="AG44" i="30"/>
  <c r="AK44" i="30"/>
  <c r="AD44" i="30"/>
  <c r="AO44" i="30"/>
  <c r="BJ114" i="8"/>
  <c r="BJ115" i="8"/>
  <c r="BJ116" i="8"/>
  <c r="BJ117" i="8"/>
  <c r="BK42" i="8"/>
  <c r="BJ119" i="8"/>
  <c r="BJ120" i="8"/>
  <c r="BJ121" i="8"/>
  <c r="BJ122" i="8"/>
  <c r="BK44" i="8"/>
  <c r="BO94" i="8"/>
  <c r="BO95" i="8"/>
  <c r="BO96" i="8"/>
  <c r="BO97" i="8"/>
  <c r="BP34" i="8"/>
  <c r="BS62" i="7"/>
  <c r="BR164" i="7"/>
  <c r="BP167" i="7"/>
  <c r="BJ89" i="11"/>
  <c r="BJ90" i="11"/>
  <c r="BJ91" i="11"/>
  <c r="BJ92" i="11"/>
  <c r="BK32" i="11"/>
  <c r="BQ166" i="7"/>
  <c r="BQ165" i="7"/>
  <c r="BK52" i="9"/>
  <c r="BJ139" i="9"/>
  <c r="BJ140" i="9"/>
  <c r="BJ141" i="9"/>
  <c r="BJ142" i="9"/>
  <c r="BK84" i="9"/>
  <c r="BK85" i="9"/>
  <c r="BK86" i="9"/>
  <c r="BK87" i="9"/>
  <c r="BL30" i="9"/>
  <c r="BL86" i="1"/>
  <c r="BL87" i="1"/>
  <c r="BL88" i="1"/>
  <c r="BL89" i="1"/>
  <c r="BM30" i="1"/>
  <c r="BJ131" i="1"/>
  <c r="BJ132" i="1"/>
  <c r="BJ133" i="1"/>
  <c r="BJ134" i="1"/>
  <c r="BK48" i="1"/>
  <c r="BJ141" i="1"/>
  <c r="BJ142" i="1"/>
  <c r="BJ143" i="1"/>
  <c r="BJ144" i="1"/>
  <c r="BK52" i="1"/>
  <c r="BJ181" i="1"/>
  <c r="BJ182" i="1"/>
  <c r="BJ183" i="1"/>
  <c r="BJ184" i="1"/>
  <c r="BK68" i="1"/>
  <c r="BM32" i="1"/>
  <c r="BL91" i="1"/>
  <c r="BL92" i="1"/>
  <c r="BL93" i="1"/>
  <c r="BL94" i="1"/>
  <c r="BK64" i="1"/>
  <c r="BJ171" i="1"/>
  <c r="BK58" i="1"/>
  <c r="BJ156" i="1"/>
  <c r="BJ157" i="1"/>
  <c r="BJ158" i="1"/>
  <c r="BJ159" i="1"/>
  <c r="BK34" i="1"/>
  <c r="BJ96" i="1"/>
  <c r="BJ97" i="1"/>
  <c r="BJ98" i="1"/>
  <c r="BJ99" i="1"/>
  <c r="BJ136" i="1"/>
  <c r="BJ137" i="1"/>
  <c r="BJ138" i="1"/>
  <c r="BJ139" i="1"/>
  <c r="BK50" i="1"/>
  <c r="AI49" i="33"/>
  <c r="AC49" i="33"/>
  <c r="AA49" i="33"/>
  <c r="Y49" i="33"/>
  <c r="AW49" i="33"/>
  <c r="AR49" i="33"/>
  <c r="AH49" i="33"/>
  <c r="AM49" i="33"/>
  <c r="X49" i="33"/>
  <c r="AU49" i="33"/>
  <c r="AT49" i="33"/>
  <c r="AN49" i="33"/>
  <c r="Z49" i="33"/>
  <c r="AG49" i="33"/>
  <c r="AD49" i="33"/>
  <c r="AP49" i="33"/>
  <c r="AO49" i="33"/>
  <c r="AE49" i="33"/>
  <c r="AF49" i="33"/>
  <c r="AJ49" i="33"/>
  <c r="AV49" i="33"/>
  <c r="AQ49" i="33"/>
  <c r="AS49" i="33"/>
  <c r="AB49" i="33"/>
  <c r="AL49" i="33"/>
  <c r="AK49" i="33"/>
  <c r="BL44" i="22"/>
  <c r="BK119" i="22"/>
  <c r="BK120" i="22"/>
  <c r="BK121" i="22"/>
  <c r="BK122" i="22"/>
  <c r="BI102" i="8"/>
  <c r="BJ103" i="6"/>
  <c r="BJ104" i="6"/>
  <c r="BJ105" i="6"/>
  <c r="BJ106" i="6"/>
  <c r="BK32" i="6"/>
  <c r="BJ88" i="6"/>
  <c r="BJ89" i="6"/>
  <c r="BJ90" i="6"/>
  <c r="BJ91" i="6"/>
  <c r="BK26" i="6"/>
  <c r="BI94" i="6"/>
  <c r="BI95" i="6"/>
  <c r="BH106" i="6"/>
  <c r="BK34" i="6"/>
  <c r="BJ108" i="6"/>
  <c r="BJ109" i="6"/>
  <c r="BJ110" i="6"/>
  <c r="BJ111" i="6"/>
  <c r="BJ113" i="6"/>
  <c r="BK36" i="6"/>
  <c r="BK22" i="6"/>
  <c r="BJ78" i="6"/>
  <c r="BJ79" i="6"/>
  <c r="BJ80" i="6"/>
  <c r="BJ81" i="6"/>
  <c r="BK98" i="6"/>
  <c r="BK99" i="6"/>
  <c r="BK100" i="6"/>
  <c r="BK101" i="6"/>
  <c r="BL30" i="6"/>
  <c r="BI89" i="6"/>
  <c r="BI90" i="6"/>
  <c r="BH116" i="6"/>
  <c r="BJ93" i="6"/>
  <c r="BJ94" i="6"/>
  <c r="BJ95" i="6"/>
  <c r="BJ96" i="6"/>
  <c r="BK28" i="6"/>
  <c r="BJ133" i="6"/>
  <c r="BJ134" i="6"/>
  <c r="BJ135" i="6"/>
  <c r="BJ136" i="6"/>
  <c r="BK44" i="6"/>
  <c r="BJ83" i="6"/>
  <c r="BJ84" i="6"/>
  <c r="BJ85" i="6"/>
  <c r="BJ86" i="6"/>
  <c r="BK24" i="6"/>
  <c r="BK40" i="6"/>
  <c r="BJ123" i="6"/>
  <c r="BJ124" i="6"/>
  <c r="BJ125" i="6"/>
  <c r="BJ126" i="6"/>
  <c r="BK128" i="6"/>
  <c r="BK129" i="6"/>
  <c r="BK130" i="6"/>
  <c r="BK131" i="6"/>
  <c r="BL42" i="6"/>
  <c r="BN80" i="1"/>
  <c r="BM211" i="1"/>
  <c r="BM82" i="1"/>
  <c r="BL216" i="1"/>
  <c r="BH209" i="1"/>
  <c r="BJ219" i="1"/>
  <c r="BK42" i="1"/>
  <c r="BJ116" i="1"/>
  <c r="BJ117" i="1"/>
  <c r="BJ118" i="1"/>
  <c r="BJ119" i="1"/>
  <c r="BK214" i="1"/>
  <c r="BK217" i="1"/>
  <c r="BK218" i="1"/>
  <c r="BH169" i="1"/>
  <c r="BH189" i="1"/>
  <c r="BI194" i="1"/>
  <c r="BI122" i="11"/>
  <c r="BL36" i="8"/>
  <c r="BK99" i="8"/>
  <c r="BK100" i="8"/>
  <c r="BK101" i="8"/>
  <c r="BK102" i="8"/>
  <c r="BN104" i="8"/>
  <c r="BN105" i="8"/>
  <c r="BN106" i="8"/>
  <c r="BN107" i="8"/>
  <c r="BO38" i="8"/>
  <c r="BL44" i="11"/>
  <c r="BK119" i="11"/>
  <c r="BJ120" i="11"/>
  <c r="BJ121" i="11"/>
  <c r="BJ122" i="11"/>
  <c r="U49" i="36"/>
  <c r="AF25" i="26"/>
  <c r="S42" i="36"/>
  <c r="BJ94" i="22"/>
  <c r="BJ95" i="22"/>
  <c r="BJ96" i="22"/>
  <c r="BJ97" i="22"/>
  <c r="BK34" i="22"/>
  <c r="BK104" i="22"/>
  <c r="BK105" i="22"/>
  <c r="BK106" i="22"/>
  <c r="BK107" i="22"/>
  <c r="BL38" i="22"/>
  <c r="BJ129" i="22"/>
  <c r="BJ130" i="22"/>
  <c r="BJ131" i="22"/>
  <c r="BJ132" i="22"/>
  <c r="BK48" i="22"/>
  <c r="BK84" i="7"/>
  <c r="BK85" i="7"/>
  <c r="BK86" i="7"/>
  <c r="BK87" i="7"/>
  <c r="BL30" i="7"/>
  <c r="BK104" i="7"/>
  <c r="BK105" i="7"/>
  <c r="BK106" i="7"/>
  <c r="BK107" i="7"/>
  <c r="BL38" i="7"/>
  <c r="BJ85" i="7"/>
  <c r="BJ86" i="7"/>
  <c r="BJ87" i="7"/>
  <c r="BN40" i="7"/>
  <c r="BM109" i="7"/>
  <c r="BM110" i="7"/>
  <c r="BM111" i="7"/>
  <c r="BM112" i="7"/>
  <c r="BJ114" i="7"/>
  <c r="BJ115" i="7"/>
  <c r="BJ116" i="7"/>
  <c r="BJ117" i="7"/>
  <c r="BK42" i="7"/>
  <c r="BJ94" i="7"/>
  <c r="BJ95" i="7"/>
  <c r="BJ96" i="7"/>
  <c r="BJ97" i="7"/>
  <c r="BK34" i="7"/>
  <c r="BL36" i="7"/>
  <c r="BK99" i="7"/>
  <c r="BK100" i="7"/>
  <c r="BK101" i="7"/>
  <c r="BK102" i="7"/>
  <c r="BN38" i="6"/>
  <c r="BM118" i="6"/>
  <c r="BM119" i="6"/>
  <c r="BM120" i="6"/>
  <c r="BM121" i="6"/>
  <c r="BM104" i="9"/>
  <c r="BM105" i="9"/>
  <c r="BM106" i="9"/>
  <c r="BM107" i="9"/>
  <c r="BN38" i="9"/>
  <c r="BJ42" i="9"/>
  <c r="BI114" i="9"/>
  <c r="BI115" i="9"/>
  <c r="BI116" i="9"/>
  <c r="BI117" i="9"/>
  <c r="BK34" i="9"/>
  <c r="BJ94" i="9"/>
  <c r="BJ95" i="9"/>
  <c r="BJ96" i="9"/>
  <c r="BJ97" i="9"/>
  <c r="BO54" i="9"/>
  <c r="BN144" i="9"/>
  <c r="BN145" i="9"/>
  <c r="BN146" i="9"/>
  <c r="BN147" i="9"/>
  <c r="BJ124" i="9"/>
  <c r="BJ125" i="9"/>
  <c r="BJ126" i="9"/>
  <c r="BJ127" i="9"/>
  <c r="BK46" i="9"/>
  <c r="BL50" i="9"/>
  <c r="BK134" i="9"/>
  <c r="BK135" i="9"/>
  <c r="BK136" i="9"/>
  <c r="BK137" i="9"/>
  <c r="BJ149" i="9"/>
  <c r="BJ150" i="9"/>
  <c r="BJ151" i="9"/>
  <c r="BJ152" i="9"/>
  <c r="BK56" i="9"/>
  <c r="BK48" i="9"/>
  <c r="BJ129" i="9"/>
  <c r="BJ130" i="9"/>
  <c r="BJ131" i="9"/>
  <c r="BJ132" i="9"/>
  <c r="BI150" i="9"/>
  <c r="BI151" i="9"/>
  <c r="BI152" i="9"/>
  <c r="BM32" i="9"/>
  <c r="BL89" i="9"/>
  <c r="BL90" i="9"/>
  <c r="BL91" i="9"/>
  <c r="BL92" i="9"/>
  <c r="BJ119" i="9"/>
  <c r="BJ120" i="9"/>
  <c r="BJ121" i="9"/>
  <c r="BJ122" i="9"/>
  <c r="BK44" i="9"/>
  <c r="BO152" i="1"/>
  <c r="BO153" i="1"/>
  <c r="BL60" i="1"/>
  <c r="BK161" i="1"/>
  <c r="BI207" i="1"/>
  <c r="BI208" i="1"/>
  <c r="BI209" i="1"/>
  <c r="BM66" i="1"/>
  <c r="BL176" i="1"/>
  <c r="BJ192" i="1"/>
  <c r="BJ193" i="1"/>
  <c r="BJ194" i="1"/>
  <c r="BQ56" i="1"/>
  <c r="BP151" i="1"/>
  <c r="BP152" i="1"/>
  <c r="BP153" i="1"/>
  <c r="BP154" i="1"/>
  <c r="BK78" i="1"/>
  <c r="BJ206" i="1"/>
  <c r="BJ207" i="1"/>
  <c r="BJ208" i="1"/>
  <c r="BJ209" i="1"/>
  <c r="BL72" i="1"/>
  <c r="BK191" i="1"/>
  <c r="BK192" i="1"/>
  <c r="BK193" i="1"/>
  <c r="BK194" i="1"/>
  <c r="BK74" i="1"/>
  <c r="BJ196" i="1"/>
  <c r="BJ197" i="1"/>
  <c r="BJ198" i="1"/>
  <c r="BJ199" i="1"/>
  <c r="BI187" i="1"/>
  <c r="BI188" i="1"/>
  <c r="BM76" i="1"/>
  <c r="BL201" i="1"/>
  <c r="BL202" i="1"/>
  <c r="BL203" i="1"/>
  <c r="BL204" i="1"/>
  <c r="BK70" i="1"/>
  <c r="BJ186" i="1"/>
  <c r="W50" i="37"/>
  <c r="V50" i="37"/>
  <c r="AX50" i="37"/>
  <c r="BO115" i="11"/>
  <c r="BO116" i="11"/>
  <c r="BO117" i="11"/>
  <c r="BQ42" i="11"/>
  <c r="BP114" i="11"/>
  <c r="P48" i="34"/>
  <c r="Q48" i="34"/>
  <c r="R46" i="34"/>
  <c r="R45" i="34"/>
  <c r="W47" i="34"/>
  <c r="V47" i="34"/>
  <c r="K47" i="34"/>
  <c r="K48" i="35"/>
  <c r="L48" i="35"/>
  <c r="N48" i="35"/>
  <c r="O48" i="35"/>
  <c r="P48" i="35"/>
  <c r="Q48" i="35"/>
  <c r="AJ48" i="35"/>
  <c r="Z48" i="35"/>
  <c r="AP48" i="35"/>
  <c r="AI48" i="35"/>
  <c r="Y48" i="35"/>
  <c r="AG48" i="35"/>
  <c r="X48" i="35"/>
  <c r="AN48" i="35"/>
  <c r="AD48" i="35"/>
  <c r="AT48" i="35"/>
  <c r="AM48" i="35"/>
  <c r="AO48" i="35"/>
  <c r="AK48" i="35"/>
  <c r="AB48" i="35"/>
  <c r="AR48" i="35"/>
  <c r="AH48" i="35"/>
  <c r="AA48" i="35"/>
  <c r="AQ48" i="35"/>
  <c r="AC48" i="35"/>
  <c r="AF48" i="35"/>
  <c r="AV48" i="35"/>
  <c r="AL48" i="35"/>
  <c r="AE48" i="35"/>
  <c r="AU48" i="35"/>
  <c r="AS48" i="35"/>
  <c r="BJ105" i="11"/>
  <c r="BJ106" i="11"/>
  <c r="BM85" i="11"/>
  <c r="BM86" i="11"/>
  <c r="BM87" i="11"/>
  <c r="BK100" i="11"/>
  <c r="BK101" i="11"/>
  <c r="BL99" i="11"/>
  <c r="BM36" i="11"/>
  <c r="BK104" i="11"/>
  <c r="BL38" i="11"/>
  <c r="BN84" i="11"/>
  <c r="BO30" i="11"/>
  <c r="BL50" i="10"/>
  <c r="BK134" i="10"/>
  <c r="BJ135" i="10"/>
  <c r="BJ136" i="10"/>
  <c r="BJ137" i="10"/>
  <c r="BK99" i="10"/>
  <c r="BL36" i="10"/>
  <c r="BJ100" i="10"/>
  <c r="BJ101" i="10"/>
  <c r="BJ102" i="10"/>
  <c r="BI155" i="22"/>
  <c r="BI156" i="22"/>
  <c r="BK58" i="22"/>
  <c r="BJ154" i="22"/>
  <c r="BL54" i="22"/>
  <c r="BK144" i="22"/>
  <c r="BJ110" i="22"/>
  <c r="BJ111" i="22"/>
  <c r="BJ112" i="22"/>
  <c r="BK99" i="22"/>
  <c r="BL36" i="22"/>
  <c r="BJ145" i="22"/>
  <c r="BJ146" i="22"/>
  <c r="BJ147" i="22"/>
  <c r="BJ100" i="22"/>
  <c r="BJ101" i="22"/>
  <c r="BJ102" i="22"/>
  <c r="BL40" i="22"/>
  <c r="BK109" i="22"/>
  <c r="BL150" i="8"/>
  <c r="BL151" i="8"/>
  <c r="BL152" i="8"/>
  <c r="BM149" i="8"/>
  <c r="BN56" i="8"/>
  <c r="BJ145" i="8"/>
  <c r="BJ146" i="8"/>
  <c r="BJ147" i="8"/>
  <c r="BL54" i="8"/>
  <c r="BK144" i="8"/>
  <c r="BI90" i="8"/>
  <c r="BI91" i="8"/>
  <c r="BI92" i="8"/>
  <c r="BK52" i="8"/>
  <c r="BJ139" i="8"/>
  <c r="BI84" i="8"/>
  <c r="BJ30" i="8"/>
  <c r="BI140" i="8"/>
  <c r="BI141" i="8"/>
  <c r="BI142" i="8"/>
  <c r="BJ129" i="8"/>
  <c r="BK48" i="8"/>
  <c r="BJ109" i="8"/>
  <c r="BK40" i="8"/>
  <c r="BI110" i="8"/>
  <c r="BI111" i="8"/>
  <c r="BI112" i="8"/>
  <c r="BI130" i="8"/>
  <c r="BI131" i="8"/>
  <c r="BI132" i="8"/>
  <c r="BJ89" i="8"/>
  <c r="BK32" i="8"/>
  <c r="BH85" i="8"/>
  <c r="BH86" i="8"/>
  <c r="BH87" i="8"/>
  <c r="BK54" i="7"/>
  <c r="BJ144" i="7"/>
  <c r="BI145" i="7"/>
  <c r="BI146" i="7"/>
  <c r="BI147" i="7"/>
  <c r="BK52" i="7"/>
  <c r="BJ139" i="7"/>
  <c r="BI140" i="7"/>
  <c r="BI141" i="7"/>
  <c r="BI142" i="7"/>
  <c r="BI135" i="7"/>
  <c r="BI136" i="7"/>
  <c r="BI137" i="7"/>
  <c r="BJ134" i="7"/>
  <c r="BK50" i="7"/>
  <c r="BL120" i="7"/>
  <c r="BL121" i="7"/>
  <c r="BL122" i="7"/>
  <c r="BL124" i="7"/>
  <c r="BM46" i="7"/>
  <c r="BN44" i="7"/>
  <c r="BM119" i="7"/>
  <c r="BP90" i="7"/>
  <c r="BP91" i="7"/>
  <c r="BP92" i="7"/>
  <c r="BK125" i="7"/>
  <c r="BK126" i="7"/>
  <c r="BK127" i="7"/>
  <c r="BQ89" i="7"/>
  <c r="BR32" i="7"/>
  <c r="BI164" i="6"/>
  <c r="BI165" i="6"/>
  <c r="BI166" i="6"/>
  <c r="BJ163" i="6"/>
  <c r="BK56" i="6"/>
  <c r="BI159" i="6"/>
  <c r="BI160" i="6"/>
  <c r="BI161" i="6"/>
  <c r="BJ158" i="6"/>
  <c r="BK54" i="6"/>
  <c r="BI154" i="6"/>
  <c r="BI155" i="6"/>
  <c r="BI156" i="6"/>
  <c r="BK52" i="6"/>
  <c r="BJ153" i="6"/>
  <c r="BK50" i="6"/>
  <c r="BJ148" i="6"/>
  <c r="BI149" i="6"/>
  <c r="BI150" i="6"/>
  <c r="BI151" i="6"/>
  <c r="BI144" i="6"/>
  <c r="BI145" i="6"/>
  <c r="BI146" i="6"/>
  <c r="BJ143" i="6"/>
  <c r="BK48" i="6"/>
  <c r="BK159" i="9"/>
  <c r="BL60" i="9"/>
  <c r="BJ160" i="9"/>
  <c r="BJ161" i="9"/>
  <c r="BJ162" i="9"/>
  <c r="BI155" i="9"/>
  <c r="BI156" i="9"/>
  <c r="BI157" i="9"/>
  <c r="BK58" i="9"/>
  <c r="BJ154" i="9"/>
  <c r="BL36" i="9"/>
  <c r="BK99" i="9"/>
  <c r="BJ110" i="9"/>
  <c r="BJ111" i="9"/>
  <c r="BJ112" i="9"/>
  <c r="BK109" i="9"/>
  <c r="BL40" i="9"/>
  <c r="BJ100" i="9"/>
  <c r="BJ101" i="9"/>
  <c r="BJ102" i="9"/>
  <c r="BK62" i="1"/>
  <c r="BJ166" i="1"/>
  <c r="BI167" i="1"/>
  <c r="BI168" i="1"/>
  <c r="BI169" i="1"/>
  <c r="BK54" i="1"/>
  <c r="BJ146" i="1"/>
  <c r="BI147" i="1"/>
  <c r="BI148" i="1"/>
  <c r="BI149" i="1"/>
  <c r="BK46" i="1"/>
  <c r="BJ126" i="1"/>
  <c r="BI127" i="1"/>
  <c r="BI128" i="1"/>
  <c r="BI129" i="1"/>
  <c r="BK122" i="1"/>
  <c r="BK123" i="1"/>
  <c r="BK124" i="1"/>
  <c r="BL121" i="1"/>
  <c r="BM44" i="1"/>
  <c r="BI107" i="1"/>
  <c r="BI108" i="1"/>
  <c r="BI109" i="1"/>
  <c r="BL111" i="1"/>
  <c r="BM40" i="1"/>
  <c r="BM36" i="1"/>
  <c r="BL101" i="1"/>
  <c r="BJ106" i="1"/>
  <c r="BK38" i="1"/>
  <c r="BK112" i="1"/>
  <c r="BK113" i="1"/>
  <c r="BK114" i="1"/>
  <c r="BK102" i="1"/>
  <c r="BK103" i="1"/>
  <c r="BK104" i="1"/>
  <c r="BK129" i="7"/>
  <c r="BK130" i="7"/>
  <c r="BK131" i="7"/>
  <c r="BK132" i="7"/>
  <c r="BL48" i="7"/>
  <c r="BK237" i="9"/>
  <c r="BJ75" i="9"/>
  <c r="U44" i="41"/>
  <c r="BX186" i="2"/>
  <c r="BW65" i="2"/>
  <c r="T59" i="11"/>
  <c r="U229" i="11"/>
  <c r="R30" i="41"/>
  <c r="AP14" i="26"/>
  <c r="S31" i="41"/>
  <c r="BI137" i="11"/>
  <c r="BR207" i="9"/>
  <c r="BI182" i="10"/>
  <c r="BU167" i="10"/>
  <c r="BI202" i="22"/>
  <c r="BI207" i="8"/>
  <c r="BI202" i="10"/>
  <c r="BJ152" i="11"/>
  <c r="BI177" i="7"/>
  <c r="BO167" i="8"/>
  <c r="BT177" i="10"/>
  <c r="BN162" i="7"/>
  <c r="BI187" i="8"/>
  <c r="BS192" i="22"/>
  <c r="BI202" i="11"/>
  <c r="BM127" i="11"/>
  <c r="BJ202" i="7"/>
  <c r="BV107" i="40"/>
  <c r="BW330" i="40"/>
  <c r="BU105" i="40"/>
  <c r="BV329" i="40"/>
  <c r="BV97" i="40"/>
  <c r="BW325" i="40"/>
  <c r="BT99" i="40"/>
  <c r="BU326" i="40"/>
  <c r="CA284" i="40"/>
  <c r="CB108" i="40"/>
  <c r="BZ285" i="40"/>
  <c r="BZ286" i="40"/>
  <c r="BZ287" i="40"/>
  <c r="CA249" i="40"/>
  <c r="CB94" i="40"/>
  <c r="CA269" i="40"/>
  <c r="CA270" i="40"/>
  <c r="CA271" i="40"/>
  <c r="CA272" i="40"/>
  <c r="CB102" i="40"/>
  <c r="CA244" i="40"/>
  <c r="CB92" i="40"/>
  <c r="CA264" i="40"/>
  <c r="CA265" i="40"/>
  <c r="CA266" i="40"/>
  <c r="CA267" i="40"/>
  <c r="CB100" i="40"/>
  <c r="CA289" i="40"/>
  <c r="CB110" i="40"/>
  <c r="BZ270" i="40"/>
  <c r="BZ271" i="40"/>
  <c r="BZ272" i="40"/>
  <c r="BZ245" i="40"/>
  <c r="BZ246" i="40"/>
  <c r="BZ247" i="40"/>
  <c r="BZ265" i="40"/>
  <c r="BZ266" i="40"/>
  <c r="BZ267" i="40"/>
  <c r="BZ290" i="40"/>
  <c r="BZ291" i="40"/>
  <c r="BZ292" i="40"/>
  <c r="CA91" i="40"/>
  <c r="CB185" i="40"/>
  <c r="CB186" i="40"/>
  <c r="CB187" i="40"/>
  <c r="CB311" i="40"/>
  <c r="BZ167" i="40"/>
  <c r="BY242" i="40"/>
  <c r="CA187" i="40"/>
  <c r="CB70" i="40"/>
  <c r="CA189" i="40"/>
  <c r="CA115" i="40"/>
  <c r="CA116" i="40"/>
  <c r="CA117" i="40"/>
  <c r="CB89" i="40"/>
  <c r="CB234" i="40"/>
  <c r="BZ220" i="40"/>
  <c r="BZ221" i="40"/>
  <c r="BZ222" i="40"/>
  <c r="CA177" i="40"/>
  <c r="CB67" i="40"/>
  <c r="CB179" i="40"/>
  <c r="BZ125" i="40"/>
  <c r="BZ126" i="40"/>
  <c r="BZ127" i="40"/>
  <c r="CB54" i="40"/>
  <c r="CA149" i="40"/>
  <c r="CA69" i="40"/>
  <c r="BZ230" i="40"/>
  <c r="BZ231" i="40"/>
  <c r="BZ145" i="40"/>
  <c r="BZ146" i="40"/>
  <c r="BZ147" i="40"/>
  <c r="BZ217" i="40"/>
  <c r="CB42" i="40"/>
  <c r="CA119" i="40"/>
  <c r="BZ207" i="40"/>
  <c r="CA140" i="40"/>
  <c r="CA141" i="40"/>
  <c r="CA142" i="40"/>
  <c r="CB82" i="40"/>
  <c r="CA219" i="40"/>
  <c r="BY192" i="40"/>
  <c r="CB61" i="40"/>
  <c r="CB164" i="40"/>
  <c r="BY212" i="40"/>
  <c r="CB56" i="40"/>
  <c r="CA154" i="40"/>
  <c r="CA225" i="40"/>
  <c r="CA226" i="40"/>
  <c r="CA227" i="40"/>
  <c r="BZ170" i="40"/>
  <c r="BZ171" i="40"/>
  <c r="BZ172" i="40"/>
  <c r="CA215" i="40"/>
  <c r="CA216" i="40"/>
  <c r="BZ240" i="40"/>
  <c r="BZ241" i="40"/>
  <c r="BZ242" i="40"/>
  <c r="CA205" i="40"/>
  <c r="CA206" i="40"/>
  <c r="CB175" i="40"/>
  <c r="CB176" i="40"/>
  <c r="CB195" i="40"/>
  <c r="CB196" i="40"/>
  <c r="CB197" i="40"/>
  <c r="CB313" i="40"/>
  <c r="CB86" i="40"/>
  <c r="CA229" i="40"/>
  <c r="BZ135" i="40"/>
  <c r="BZ136" i="40"/>
  <c r="BZ137" i="40"/>
  <c r="CB41" i="40"/>
  <c r="CB114" i="40"/>
  <c r="BZ210" i="40"/>
  <c r="BZ211" i="40"/>
  <c r="BZ200" i="40"/>
  <c r="BZ201" i="40"/>
  <c r="BZ202" i="40"/>
  <c r="CB51" i="40"/>
  <c r="CB139" i="40"/>
  <c r="BZ130" i="40"/>
  <c r="BZ131" i="40"/>
  <c r="BZ132" i="40"/>
  <c r="CA180" i="40"/>
  <c r="CA181" i="40"/>
  <c r="CA182" i="40"/>
  <c r="CB85" i="40"/>
  <c r="CB224" i="40"/>
  <c r="BZ160" i="40"/>
  <c r="BZ161" i="40"/>
  <c r="CB62" i="40"/>
  <c r="CA169" i="40"/>
  <c r="CB44" i="40"/>
  <c r="CA124" i="40"/>
  <c r="BZ150" i="40"/>
  <c r="BZ151" i="40"/>
  <c r="BZ152" i="40"/>
  <c r="CB81" i="40"/>
  <c r="CB214" i="40"/>
  <c r="CA239" i="40"/>
  <c r="CB77" i="40"/>
  <c r="CB204" i="40"/>
  <c r="CA65" i="40"/>
  <c r="CA73" i="40"/>
  <c r="CB48" i="40"/>
  <c r="CA134" i="40"/>
  <c r="CB52" i="40"/>
  <c r="CA144" i="40"/>
  <c r="BZ190" i="40"/>
  <c r="BZ191" i="40"/>
  <c r="CA235" i="40"/>
  <c r="CA236" i="40"/>
  <c r="CA237" i="40"/>
  <c r="CB78" i="40"/>
  <c r="CA209" i="40"/>
  <c r="BZ120" i="40"/>
  <c r="BZ121" i="40"/>
  <c r="BZ122" i="40"/>
  <c r="CB74" i="40"/>
  <c r="CA199" i="40"/>
  <c r="CA165" i="40"/>
  <c r="CA166" i="40"/>
  <c r="CB46" i="40"/>
  <c r="CA129" i="40"/>
  <c r="BZ155" i="40"/>
  <c r="BZ156" i="40"/>
  <c r="CB58" i="40"/>
  <c r="CA159" i="40"/>
  <c r="BX187" i="10"/>
  <c r="O31" i="2"/>
  <c r="Q31" i="2"/>
  <c r="O62" i="2"/>
  <c r="O55" i="2"/>
  <c r="O57" i="2"/>
  <c r="O22" i="2"/>
  <c r="Q22" i="2"/>
  <c r="O51" i="2"/>
  <c r="O61" i="2"/>
  <c r="O28" i="2"/>
  <c r="Q28" i="2"/>
  <c r="O60" i="2"/>
  <c r="O19" i="2"/>
  <c r="Q19" i="2"/>
  <c r="O26" i="2"/>
  <c r="Q26" i="2"/>
  <c r="O53" i="2"/>
  <c r="O17" i="2"/>
  <c r="Q17" i="2"/>
  <c r="O38" i="2"/>
  <c r="Q38" i="2"/>
  <c r="N63" i="2"/>
  <c r="O63" i="2"/>
  <c r="O54" i="2"/>
  <c r="BY185" i="10"/>
  <c r="BY186" i="10"/>
  <c r="BJ161" i="10"/>
  <c r="BJ160" i="10"/>
  <c r="BV78" i="22"/>
  <c r="BU204" i="22"/>
  <c r="CA194" i="11"/>
  <c r="CB74" i="11"/>
  <c r="BP204" i="11"/>
  <c r="BQ78" i="11"/>
  <c r="AG230" i="11"/>
  <c r="AF61" i="11"/>
  <c r="BQ206" i="7"/>
  <c r="BQ205" i="7"/>
  <c r="BL50" i="11"/>
  <c r="BK134" i="11"/>
  <c r="BV72" i="22"/>
  <c r="BU189" i="22"/>
  <c r="BV165" i="10"/>
  <c r="BV166" i="10"/>
  <c r="BK149" i="22"/>
  <c r="BK150" i="22"/>
  <c r="BK151" i="22"/>
  <c r="BK152" i="22"/>
  <c r="BL56" i="22"/>
  <c r="BU175" i="10"/>
  <c r="BU176" i="10"/>
  <c r="AC81" i="8"/>
  <c r="AD240" i="8"/>
  <c r="BS206" i="9"/>
  <c r="BS205" i="9"/>
  <c r="BJ181" i="10"/>
  <c r="BJ180" i="10"/>
  <c r="BK184" i="8"/>
  <c r="BL70" i="8"/>
  <c r="BJ165" i="9"/>
  <c r="BJ166" i="9"/>
  <c r="BJ206" i="8"/>
  <c r="BJ205" i="8"/>
  <c r="BZ184" i="10"/>
  <c r="CA70" i="10"/>
  <c r="BL60" i="10"/>
  <c r="BK159" i="10"/>
  <c r="BQ232" i="10"/>
  <c r="BP65" i="10"/>
  <c r="BO205" i="11"/>
  <c r="BO206" i="11"/>
  <c r="BK138" i="6"/>
  <c r="BK139" i="6"/>
  <c r="BK140" i="6"/>
  <c r="BK141" i="6"/>
  <c r="BL46" i="6"/>
  <c r="BJ136" i="11"/>
  <c r="BJ135" i="11"/>
  <c r="BK150" i="11"/>
  <c r="BK151" i="11"/>
  <c r="BJ175" i="7"/>
  <c r="BJ176" i="7"/>
  <c r="BR172" i="9"/>
  <c r="BQ164" i="8"/>
  <c r="BR62" i="8"/>
  <c r="BV157" i="8"/>
  <c r="Z55" i="11"/>
  <c r="AA227" i="11"/>
  <c r="BO124" i="11"/>
  <c r="BP46" i="11"/>
  <c r="BU78" i="9"/>
  <c r="BT204" i="9"/>
  <c r="BL78" i="8"/>
  <c r="BK204" i="8"/>
  <c r="BZ234" i="8"/>
  <c r="O23" i="2"/>
  <c r="Q23" i="2"/>
  <c r="O45" i="2"/>
  <c r="O30" i="2"/>
  <c r="Q30" i="2"/>
  <c r="O40" i="2"/>
  <c r="Q40" i="2"/>
  <c r="O37" i="2"/>
  <c r="Q37" i="2"/>
  <c r="U50" i="32"/>
  <c r="W50" i="32"/>
  <c r="V50" i="32"/>
  <c r="AA50" i="32"/>
  <c r="BO161" i="7"/>
  <c r="BO160" i="7"/>
  <c r="BJ201" i="11"/>
  <c r="BJ200" i="11"/>
  <c r="BP207" i="7"/>
  <c r="BU233" i="22"/>
  <c r="BT67" i="22"/>
  <c r="BX154" i="8"/>
  <c r="BY58" i="8"/>
  <c r="BI167" i="9"/>
  <c r="BL76" i="10"/>
  <c r="BK199" i="10"/>
  <c r="BP187" i="22"/>
  <c r="BO59" i="10"/>
  <c r="BP229" i="10"/>
  <c r="BI162" i="10"/>
  <c r="BR165" i="22"/>
  <c r="BR166" i="22"/>
  <c r="BL149" i="11"/>
  <c r="BM56" i="11"/>
  <c r="BK174" i="7"/>
  <c r="BL66" i="7"/>
  <c r="BK199" i="22"/>
  <c r="BL76" i="22"/>
  <c r="BQ185" i="22"/>
  <c r="BQ186" i="22"/>
  <c r="BQ167" i="22"/>
  <c r="BN126" i="11"/>
  <c r="BN125" i="11"/>
  <c r="BT169" i="9"/>
  <c r="BU64" i="9"/>
  <c r="CC147" i="10"/>
  <c r="BS207" i="22"/>
  <c r="BL199" i="7"/>
  <c r="BM76" i="7"/>
  <c r="BN154" i="7"/>
  <c r="BO58" i="7"/>
  <c r="CF54" i="10"/>
  <c r="CE144" i="10"/>
  <c r="BQ60" i="7"/>
  <c r="BP159" i="7"/>
  <c r="BL76" i="11"/>
  <c r="BK199" i="11"/>
  <c r="BT205" i="22"/>
  <c r="BT206" i="22"/>
  <c r="BZ196" i="11"/>
  <c r="BZ195" i="11"/>
  <c r="BW155" i="8"/>
  <c r="BW156" i="8"/>
  <c r="BL157" i="7"/>
  <c r="BJ200" i="10"/>
  <c r="BJ201" i="10"/>
  <c r="BR204" i="7"/>
  <c r="BS78" i="7"/>
  <c r="BT62" i="22"/>
  <c r="BS164" i="22"/>
  <c r="BQ233" i="9"/>
  <c r="BP67" i="9"/>
  <c r="BT190" i="22"/>
  <c r="BT191" i="22"/>
  <c r="BW164" i="10"/>
  <c r="BX62" i="10"/>
  <c r="BP166" i="8"/>
  <c r="BP165" i="8"/>
  <c r="BN207" i="11"/>
  <c r="BJ201" i="22"/>
  <c r="BJ200" i="22"/>
  <c r="BS70" i="22"/>
  <c r="BR184" i="22"/>
  <c r="BS170" i="9"/>
  <c r="BS171" i="9"/>
  <c r="BW66" i="10"/>
  <c r="BV174" i="10"/>
  <c r="BP81" i="10"/>
  <c r="BQ240" i="10"/>
  <c r="BL68" i="10"/>
  <c r="BK179" i="10"/>
  <c r="BY197" i="11"/>
  <c r="BK200" i="7"/>
  <c r="BK201" i="7"/>
  <c r="BJ185" i="8"/>
  <c r="BJ186" i="8"/>
  <c r="BL62" i="9"/>
  <c r="BK164" i="9"/>
  <c r="BM155" i="7"/>
  <c r="BM156" i="7"/>
  <c r="CD146" i="10"/>
  <c r="CD145" i="10"/>
  <c r="O24" i="2"/>
  <c r="Q24" i="2"/>
  <c r="O42" i="2"/>
  <c r="Q42" i="2"/>
  <c r="O43" i="2"/>
  <c r="Q43" i="2"/>
  <c r="O44" i="2"/>
  <c r="O33" i="2"/>
  <c r="Q33" i="2"/>
  <c r="O36" i="2"/>
  <c r="Q36" i="2"/>
  <c r="O34" i="2"/>
  <c r="Q34" i="2"/>
  <c r="O27" i="2"/>
  <c r="Q27" i="2"/>
  <c r="O56" i="2"/>
  <c r="O25" i="2"/>
  <c r="Q25" i="2"/>
  <c r="O29" i="2"/>
  <c r="Q29" i="2"/>
  <c r="O58" i="2"/>
  <c r="O39" i="2"/>
  <c r="Q39" i="2"/>
  <c r="O49" i="2"/>
  <c r="O52" i="2"/>
  <c r="O21" i="2"/>
  <c r="Q21" i="2"/>
  <c r="O50" i="2"/>
  <c r="O59" i="2"/>
  <c r="O32" i="2"/>
  <c r="Q32" i="2"/>
  <c r="O16" i="2"/>
  <c r="Q16" i="2"/>
  <c r="R15" i="2"/>
  <c r="D15" i="20"/>
  <c r="O15" i="2"/>
  <c r="Q15" i="2"/>
  <c r="O46" i="2"/>
  <c r="O20" i="2"/>
  <c r="Q20" i="2"/>
  <c r="O47" i="2"/>
  <c r="O18" i="2"/>
  <c r="Q18" i="2"/>
  <c r="BN40" i="11"/>
  <c r="BM109" i="11"/>
  <c r="BM110" i="11"/>
  <c r="BM111" i="11"/>
  <c r="BM112" i="11"/>
  <c r="BL40" i="10"/>
  <c r="BK109" i="10"/>
  <c r="BK110" i="10"/>
  <c r="BK111" i="10"/>
  <c r="BK112" i="10"/>
  <c r="BK129" i="10"/>
  <c r="BK130" i="10"/>
  <c r="BK131" i="10"/>
  <c r="BK132" i="10"/>
  <c r="BL48" i="10"/>
  <c r="BL119" i="10"/>
  <c r="BL120" i="10"/>
  <c r="BL121" i="10"/>
  <c r="BL122" i="10"/>
  <c r="BM44" i="10"/>
  <c r="BK114" i="10"/>
  <c r="BK115" i="10"/>
  <c r="BK116" i="10"/>
  <c r="BK117" i="10"/>
  <c r="BL42" i="10"/>
  <c r="BK104" i="10"/>
  <c r="BK105" i="10"/>
  <c r="BK106" i="10"/>
  <c r="BK107" i="10"/>
  <c r="BL38" i="10"/>
  <c r="BK124" i="10"/>
  <c r="BK125" i="10"/>
  <c r="BK126" i="10"/>
  <c r="BK127" i="10"/>
  <c r="BL46" i="10"/>
  <c r="BK94" i="10"/>
  <c r="BK95" i="10"/>
  <c r="BK96" i="10"/>
  <c r="BK97" i="10"/>
  <c r="BL34" i="10"/>
  <c r="BK89" i="10"/>
  <c r="BK90" i="10"/>
  <c r="BK91" i="10"/>
  <c r="BK92" i="10"/>
  <c r="BL32" i="10"/>
  <c r="BK139" i="10"/>
  <c r="BK140" i="10"/>
  <c r="BK141" i="10"/>
  <c r="BK142" i="10"/>
  <c r="BL52" i="10"/>
  <c r="BK84" i="10"/>
  <c r="BK85" i="10"/>
  <c r="BK86" i="10"/>
  <c r="BK87" i="10"/>
  <c r="BL30" i="10"/>
  <c r="BM52" i="22"/>
  <c r="BL139" i="22"/>
  <c r="BL140" i="22"/>
  <c r="BL141" i="22"/>
  <c r="BL142" i="22"/>
  <c r="BK134" i="22"/>
  <c r="BK135" i="22"/>
  <c r="BK136" i="22"/>
  <c r="BK137" i="22"/>
  <c r="BL50" i="22"/>
  <c r="BK114" i="22"/>
  <c r="BK115" i="22"/>
  <c r="BK116" i="22"/>
  <c r="BK117" i="22"/>
  <c r="BL42" i="22"/>
  <c r="BL124" i="22"/>
  <c r="BL125" i="22"/>
  <c r="BL126" i="22"/>
  <c r="BL127" i="22"/>
  <c r="BM46" i="22"/>
  <c r="BL46" i="8"/>
  <c r="BK124" i="8"/>
  <c r="BK125" i="8"/>
  <c r="BK126" i="8"/>
  <c r="BK127" i="8"/>
  <c r="BM50" i="8"/>
  <c r="BL134" i="8"/>
  <c r="BL135" i="8"/>
  <c r="BL136" i="8"/>
  <c r="BL137" i="8"/>
  <c r="CA182" i="8"/>
  <c r="CA234" i="8"/>
  <c r="BI192" i="9"/>
  <c r="CB177" i="11"/>
  <c r="CB233" i="11"/>
  <c r="BY162" i="8"/>
  <c r="AC65" i="11"/>
  <c r="AD232" i="11"/>
  <c r="BM69" i="7"/>
  <c r="BN234" i="7"/>
  <c r="BT75" i="7"/>
  <c r="BU237" i="7"/>
  <c r="CA190" i="11"/>
  <c r="CA191" i="11"/>
  <c r="BP71" i="9"/>
  <c r="BQ235" i="9"/>
  <c r="BN49" i="11"/>
  <c r="BO224" i="11"/>
  <c r="BS75" i="22"/>
  <c r="BT237" i="22"/>
  <c r="BF31" i="22"/>
  <c r="BG215" i="22"/>
  <c r="BK89" i="22"/>
  <c r="BK90" i="22"/>
  <c r="BK91" i="22"/>
  <c r="BK92" i="22"/>
  <c r="BL32" i="22"/>
  <c r="BJ53" i="11"/>
  <c r="BK226" i="11"/>
  <c r="CB201" i="8"/>
  <c r="CB200" i="8"/>
  <c r="BK189" i="9"/>
  <c r="BL72" i="9"/>
  <c r="BK199" i="9"/>
  <c r="BL76" i="9"/>
  <c r="BR69" i="9"/>
  <c r="BS234" i="9"/>
  <c r="BY234" i="8"/>
  <c r="C64" i="2"/>
  <c r="D185" i="2"/>
  <c r="BE64" i="2"/>
  <c r="CF64" i="2"/>
  <c r="BF185" i="2"/>
  <c r="U65" i="8"/>
  <c r="V232" i="8"/>
  <c r="BP57" i="10"/>
  <c r="BQ228" i="10"/>
  <c r="BX77" i="8"/>
  <c r="BY238" i="8"/>
  <c r="BU69" i="22"/>
  <c r="BV234" i="22"/>
  <c r="BV81" i="11"/>
  <c r="BW240" i="11"/>
  <c r="BV61" i="22"/>
  <c r="BW230" i="22"/>
  <c r="BO190" i="8"/>
  <c r="BO191" i="8"/>
  <c r="BJ201" i="9"/>
  <c r="BJ200" i="9"/>
  <c r="AV64" i="2"/>
  <c r="AW185" i="2"/>
  <c r="BN64" i="2"/>
  <c r="BO185" i="2"/>
  <c r="BU71" i="7"/>
  <c r="BV235" i="7"/>
  <c r="BS81" i="22"/>
  <c r="BT240" i="22"/>
  <c r="BO81" i="9"/>
  <c r="BP240" i="9"/>
  <c r="BN192" i="8"/>
  <c r="BI202" i="9"/>
  <c r="CB180" i="8"/>
  <c r="CB181" i="8"/>
  <c r="CA202" i="8"/>
  <c r="CA238" i="8"/>
  <c r="A67" i="2"/>
  <c r="A187" i="2"/>
  <c r="BW187" i="2"/>
  <c r="S73" i="7"/>
  <c r="T236" i="7"/>
  <c r="AG63" i="11"/>
  <c r="AH231" i="11"/>
  <c r="BQ72" i="8"/>
  <c r="BP189" i="8"/>
  <c r="BQ81" i="7"/>
  <c r="BR240" i="7"/>
  <c r="M185" i="2"/>
  <c r="L64" i="2"/>
  <c r="N64" i="2"/>
  <c r="AD64" i="2"/>
  <c r="AE185" i="2"/>
  <c r="BZ161" i="8"/>
  <c r="BZ160" i="8"/>
  <c r="BZ192" i="11"/>
  <c r="CB73" i="11"/>
  <c r="CA73" i="11"/>
  <c r="BZ73" i="11"/>
  <c r="BY73" i="11"/>
  <c r="BX73" i="11"/>
  <c r="CB189" i="11"/>
  <c r="BS75" i="10"/>
  <c r="BT237" i="10"/>
  <c r="AH69" i="11"/>
  <c r="AI234" i="11"/>
  <c r="BC65" i="7"/>
  <c r="BD232" i="7"/>
  <c r="BW69" i="8"/>
  <c r="BX234" i="8"/>
  <c r="AM186" i="2"/>
  <c r="BE186" i="2"/>
  <c r="U186" i="2"/>
  <c r="BN186" i="2"/>
  <c r="AV186" i="2"/>
  <c r="C186" i="2"/>
  <c r="AD186" i="2"/>
  <c r="L186" i="2"/>
  <c r="BS75" i="8"/>
  <c r="BT237" i="8"/>
  <c r="BV67" i="11"/>
  <c r="BW233" i="11"/>
  <c r="BQ79" i="10"/>
  <c r="BR239" i="10"/>
  <c r="BI73" i="10"/>
  <c r="BJ236" i="10"/>
  <c r="BJ190" i="9"/>
  <c r="BJ191" i="9"/>
  <c r="BQ65" i="22"/>
  <c r="BR232" i="22"/>
  <c r="AM64" i="2"/>
  <c r="AN185" i="2"/>
  <c r="U64" i="2"/>
  <c r="V185" i="2"/>
  <c r="CB60" i="8"/>
  <c r="CA159" i="8"/>
  <c r="BZ238" i="8"/>
  <c r="BU67" i="8"/>
  <c r="BV233" i="8"/>
  <c r="U45" i="30"/>
  <c r="BQ167" i="7"/>
  <c r="T48" i="35"/>
  <c r="BP94" i="8"/>
  <c r="BP95" i="8"/>
  <c r="BP96" i="8"/>
  <c r="BP97" i="8"/>
  <c r="BQ34" i="8"/>
  <c r="BK119" i="8"/>
  <c r="BK120" i="8"/>
  <c r="BK121" i="8"/>
  <c r="BK122" i="8"/>
  <c r="BL44" i="8"/>
  <c r="BK114" i="8"/>
  <c r="BK115" i="8"/>
  <c r="BK116" i="8"/>
  <c r="BK117" i="8"/>
  <c r="BL42" i="8"/>
  <c r="BL32" i="11"/>
  <c r="BK89" i="11"/>
  <c r="BK90" i="11"/>
  <c r="BK91" i="11"/>
  <c r="BK92" i="11"/>
  <c r="BR166" i="7"/>
  <c r="BR165" i="7"/>
  <c r="BS164" i="7"/>
  <c r="BT62" i="7"/>
  <c r="BM30" i="9"/>
  <c r="BL84" i="9"/>
  <c r="BL85" i="9"/>
  <c r="BL86" i="9"/>
  <c r="BL87" i="9"/>
  <c r="BL52" i="9"/>
  <c r="BK139" i="9"/>
  <c r="BK140" i="9"/>
  <c r="BK141" i="9"/>
  <c r="BK142" i="9"/>
  <c r="BN30" i="1"/>
  <c r="BM86" i="1"/>
  <c r="BM87" i="1"/>
  <c r="BM88" i="1"/>
  <c r="BM89" i="1"/>
  <c r="BK96" i="1"/>
  <c r="BK97" i="1"/>
  <c r="BK98" i="1"/>
  <c r="BK99" i="1"/>
  <c r="BL34" i="1"/>
  <c r="BK156" i="1"/>
  <c r="BK157" i="1"/>
  <c r="BK158" i="1"/>
  <c r="BK159" i="1"/>
  <c r="BL58" i="1"/>
  <c r="BK171" i="1"/>
  <c r="BK172" i="1"/>
  <c r="BK173" i="1"/>
  <c r="BK174" i="1"/>
  <c r="BL64" i="1"/>
  <c r="BM91" i="1"/>
  <c r="BM92" i="1"/>
  <c r="BM93" i="1"/>
  <c r="BM94" i="1"/>
  <c r="BN32" i="1"/>
  <c r="BJ172" i="1"/>
  <c r="BJ173" i="1"/>
  <c r="BJ174" i="1"/>
  <c r="BL68" i="1"/>
  <c r="BK181" i="1"/>
  <c r="BK182" i="1"/>
  <c r="BK183" i="1"/>
  <c r="BK184" i="1"/>
  <c r="BK141" i="1"/>
  <c r="BK142" i="1"/>
  <c r="BK143" i="1"/>
  <c r="BK144" i="1"/>
  <c r="BL52" i="1"/>
  <c r="BL48" i="1"/>
  <c r="BK131" i="1"/>
  <c r="BK132" i="1"/>
  <c r="BK133" i="1"/>
  <c r="BK134" i="1"/>
  <c r="BI189" i="1"/>
  <c r="BL50" i="1"/>
  <c r="BK136" i="1"/>
  <c r="BK137" i="1"/>
  <c r="BK138" i="1"/>
  <c r="BK139" i="1"/>
  <c r="U50" i="33"/>
  <c r="W50" i="33"/>
  <c r="V50" i="33"/>
  <c r="AB50" i="32"/>
  <c r="AL50" i="32"/>
  <c r="AI50" i="32"/>
  <c r="BK219" i="1"/>
  <c r="BM44" i="22"/>
  <c r="BL119" i="22"/>
  <c r="BL120" i="22"/>
  <c r="BL121" i="22"/>
  <c r="BL122" i="22"/>
  <c r="BM42" i="6"/>
  <c r="BL128" i="6"/>
  <c r="BL129" i="6"/>
  <c r="BL130" i="6"/>
  <c r="BL131" i="6"/>
  <c r="BL24" i="6"/>
  <c r="BK83" i="6"/>
  <c r="BK84" i="6"/>
  <c r="BK85" i="6"/>
  <c r="BK86" i="6"/>
  <c r="BL44" i="6"/>
  <c r="BK133" i="6"/>
  <c r="BK134" i="6"/>
  <c r="BK135" i="6"/>
  <c r="BK136" i="6"/>
  <c r="BK93" i="6"/>
  <c r="BK94" i="6"/>
  <c r="BK95" i="6"/>
  <c r="BK96" i="6"/>
  <c r="BL28" i="6"/>
  <c r="BI91" i="6"/>
  <c r="BL22" i="6"/>
  <c r="BK78" i="6"/>
  <c r="BK79" i="6"/>
  <c r="BK80" i="6"/>
  <c r="BK81" i="6"/>
  <c r="BJ114" i="6"/>
  <c r="BJ115" i="6"/>
  <c r="BJ116" i="6"/>
  <c r="BL34" i="6"/>
  <c r="BK108" i="6"/>
  <c r="BK109" i="6"/>
  <c r="BK110" i="6"/>
  <c r="BK111" i="6"/>
  <c r="BI96" i="6"/>
  <c r="BL26" i="6"/>
  <c r="BK88" i="6"/>
  <c r="BK89" i="6"/>
  <c r="BK90" i="6"/>
  <c r="BK91" i="6"/>
  <c r="BL32" i="6"/>
  <c r="BK103" i="6"/>
  <c r="BK104" i="6"/>
  <c r="BK105" i="6"/>
  <c r="BK106" i="6"/>
  <c r="BK123" i="6"/>
  <c r="BK124" i="6"/>
  <c r="BK125" i="6"/>
  <c r="BK126" i="6"/>
  <c r="BL40" i="6"/>
  <c r="BM30" i="6"/>
  <c r="BL98" i="6"/>
  <c r="BL99" i="6"/>
  <c r="BL100" i="6"/>
  <c r="BL101" i="6"/>
  <c r="BL36" i="6"/>
  <c r="BK113" i="6"/>
  <c r="BK114" i="6"/>
  <c r="BK115" i="6"/>
  <c r="BK116" i="6"/>
  <c r="BL42" i="1"/>
  <c r="BK116" i="1"/>
  <c r="BN82" i="1"/>
  <c r="BM216" i="1"/>
  <c r="BO80" i="1"/>
  <c r="BN211" i="1"/>
  <c r="BN212" i="1"/>
  <c r="BN213" i="1"/>
  <c r="BN214" i="1"/>
  <c r="BL217" i="1"/>
  <c r="BL218" i="1"/>
  <c r="BM212" i="1"/>
  <c r="BM213" i="1"/>
  <c r="BM214" i="1"/>
  <c r="BI157" i="22"/>
  <c r="BO154" i="1"/>
  <c r="BP38" i="8"/>
  <c r="BO104" i="8"/>
  <c r="BO105" i="8"/>
  <c r="BO106" i="8"/>
  <c r="BO107" i="8"/>
  <c r="BL99" i="8"/>
  <c r="BL100" i="8"/>
  <c r="BL101" i="8"/>
  <c r="BL102" i="8"/>
  <c r="BM36" i="8"/>
  <c r="BK120" i="11"/>
  <c r="BK121" i="11"/>
  <c r="BK122" i="11"/>
  <c r="BM44" i="11"/>
  <c r="BL119" i="11"/>
  <c r="W49" i="36"/>
  <c r="V49" i="36"/>
  <c r="K49" i="36"/>
  <c r="BK102" i="11"/>
  <c r="BM38" i="22"/>
  <c r="BL104" i="22"/>
  <c r="BL105" i="22"/>
  <c r="BL106" i="22"/>
  <c r="BL107" i="22"/>
  <c r="BK129" i="22"/>
  <c r="BK130" i="22"/>
  <c r="BK131" i="22"/>
  <c r="BK132" i="22"/>
  <c r="BL48" i="22"/>
  <c r="BK94" i="22"/>
  <c r="BK95" i="22"/>
  <c r="BK96" i="22"/>
  <c r="BK97" i="22"/>
  <c r="BL34" i="22"/>
  <c r="BM36" i="7"/>
  <c r="BL99" i="7"/>
  <c r="BL100" i="7"/>
  <c r="BL101" i="7"/>
  <c r="BL102" i="7"/>
  <c r="BK114" i="7"/>
  <c r="BL42" i="7"/>
  <c r="BM38" i="7"/>
  <c r="BL104" i="7"/>
  <c r="BL105" i="7"/>
  <c r="BL106" i="7"/>
  <c r="BL107" i="7"/>
  <c r="BK94" i="7"/>
  <c r="BK95" i="7"/>
  <c r="BK96" i="7"/>
  <c r="BK97" i="7"/>
  <c r="BL34" i="7"/>
  <c r="BM30" i="7"/>
  <c r="BL84" i="7"/>
  <c r="BL85" i="7"/>
  <c r="BL86" i="7"/>
  <c r="BL87" i="7"/>
  <c r="BO40" i="7"/>
  <c r="BN109" i="7"/>
  <c r="BN110" i="7"/>
  <c r="BN111" i="7"/>
  <c r="BN112" i="7"/>
  <c r="BO38" i="6"/>
  <c r="BN118" i="6"/>
  <c r="BN119" i="6"/>
  <c r="BN120" i="6"/>
  <c r="BN121" i="6"/>
  <c r="BL46" i="9"/>
  <c r="BK124" i="9"/>
  <c r="BK125" i="9"/>
  <c r="BK126" i="9"/>
  <c r="BK127" i="9"/>
  <c r="BO144" i="9"/>
  <c r="BO145" i="9"/>
  <c r="BO146" i="9"/>
  <c r="BO147" i="9"/>
  <c r="BP54" i="9"/>
  <c r="BK42" i="9"/>
  <c r="BJ114" i="9"/>
  <c r="BJ115" i="9"/>
  <c r="BJ116" i="9"/>
  <c r="BJ117" i="9"/>
  <c r="BN104" i="9"/>
  <c r="BN105" i="9"/>
  <c r="BN106" i="9"/>
  <c r="BN107" i="9"/>
  <c r="BO38" i="9"/>
  <c r="BL34" i="9"/>
  <c r="BK94" i="9"/>
  <c r="BK95" i="9"/>
  <c r="BK96" i="9"/>
  <c r="BK97" i="9"/>
  <c r="BM50" i="9"/>
  <c r="BL134" i="9"/>
  <c r="BL135" i="9"/>
  <c r="BL136" i="9"/>
  <c r="BL137" i="9"/>
  <c r="BK119" i="9"/>
  <c r="BK120" i="9"/>
  <c r="BK121" i="9"/>
  <c r="BK122" i="9"/>
  <c r="BL44" i="9"/>
  <c r="BK129" i="9"/>
  <c r="BK130" i="9"/>
  <c r="BK131" i="9"/>
  <c r="BK132" i="9"/>
  <c r="BL48" i="9"/>
  <c r="BL56" i="9"/>
  <c r="BK149" i="9"/>
  <c r="BK150" i="9"/>
  <c r="BK151" i="9"/>
  <c r="BK152" i="9"/>
  <c r="BN32" i="9"/>
  <c r="BM89" i="9"/>
  <c r="BL70" i="1"/>
  <c r="BK186" i="1"/>
  <c r="BM72" i="1"/>
  <c r="BL191" i="1"/>
  <c r="BL192" i="1"/>
  <c r="BL193" i="1"/>
  <c r="BL194" i="1"/>
  <c r="BK162" i="1"/>
  <c r="BK163" i="1"/>
  <c r="BK164" i="1"/>
  <c r="BL177" i="1"/>
  <c r="BL178" i="1"/>
  <c r="BM60" i="1"/>
  <c r="BL161" i="1"/>
  <c r="BL162" i="1"/>
  <c r="BL163" i="1"/>
  <c r="BL164" i="1"/>
  <c r="BN66" i="1"/>
  <c r="BM176" i="1"/>
  <c r="BJ187" i="1"/>
  <c r="BJ188" i="1"/>
  <c r="BJ189" i="1"/>
  <c r="BN76" i="1"/>
  <c r="BM201" i="1"/>
  <c r="BM202" i="1"/>
  <c r="BM203" i="1"/>
  <c r="BM204" i="1"/>
  <c r="BL74" i="1"/>
  <c r="BK196" i="1"/>
  <c r="BL78" i="1"/>
  <c r="BK206" i="1"/>
  <c r="BK207" i="1"/>
  <c r="BK208" i="1"/>
  <c r="BK209" i="1"/>
  <c r="BQ151" i="1"/>
  <c r="BQ152" i="1"/>
  <c r="BQ153" i="1"/>
  <c r="BQ154" i="1"/>
  <c r="BR56" i="1"/>
  <c r="AC50" i="37"/>
  <c r="AO50" i="37"/>
  <c r="AR50" i="37"/>
  <c r="AG50" i="37"/>
  <c r="AE50" i="37"/>
  <c r="AF50" i="37"/>
  <c r="AD50" i="37"/>
  <c r="AN50" i="37"/>
  <c r="AK50" i="37"/>
  <c r="AP50" i="37"/>
  <c r="AQ50" i="37"/>
  <c r="AV50" i="37"/>
  <c r="Y50" i="37"/>
  <c r="AS50" i="37"/>
  <c r="AI50" i="37"/>
  <c r="AM50" i="37"/>
  <c r="AL50" i="37"/>
  <c r="AH50" i="37"/>
  <c r="AT50" i="37"/>
  <c r="AB50" i="37"/>
  <c r="Z50" i="37"/>
  <c r="AA50" i="37"/>
  <c r="AW50" i="37"/>
  <c r="AU50" i="37"/>
  <c r="AJ50" i="37"/>
  <c r="X50" i="37"/>
  <c r="BP115" i="11"/>
  <c r="BP116" i="11"/>
  <c r="BP117" i="11"/>
  <c r="BR42" i="11"/>
  <c r="BQ114" i="11"/>
  <c r="V28" i="26"/>
  <c r="S45" i="34"/>
  <c r="R44" i="34"/>
  <c r="V29" i="26"/>
  <c r="S46" i="34"/>
  <c r="T47" i="34"/>
  <c r="AO47" i="34"/>
  <c r="AL47" i="34"/>
  <c r="Z47" i="34"/>
  <c r="AF47" i="34"/>
  <c r="AC47" i="34"/>
  <c r="AI47" i="34"/>
  <c r="AH47" i="34"/>
  <c r="AE47" i="34"/>
  <c r="AR47" i="34"/>
  <c r="Y47" i="34"/>
  <c r="AU47" i="34"/>
  <c r="AB47" i="34"/>
  <c r="AA47" i="34"/>
  <c r="AN47" i="34"/>
  <c r="AK47" i="34"/>
  <c r="AQ47" i="34"/>
  <c r="X47" i="34"/>
  <c r="AT47" i="34"/>
  <c r="AS47" i="34"/>
  <c r="AG47" i="34"/>
  <c r="AD47" i="34"/>
  <c r="AJ47" i="34"/>
  <c r="AP47" i="34"/>
  <c r="AM47" i="34"/>
  <c r="P49" i="34"/>
  <c r="Q49" i="34"/>
  <c r="U49" i="35"/>
  <c r="BN85" i="11"/>
  <c r="BN86" i="11"/>
  <c r="BN87" i="11"/>
  <c r="BM99" i="11"/>
  <c r="BN36" i="11"/>
  <c r="BL104" i="11"/>
  <c r="BM38" i="11"/>
  <c r="BL100" i="11"/>
  <c r="BL101" i="11"/>
  <c r="BL102" i="11"/>
  <c r="BK105" i="11"/>
  <c r="BK106" i="11"/>
  <c r="BK107" i="11"/>
  <c r="BO84" i="11"/>
  <c r="BP30" i="11"/>
  <c r="BJ107" i="11"/>
  <c r="BK135" i="10"/>
  <c r="BK136" i="10"/>
  <c r="BM50" i="10"/>
  <c r="BL134" i="10"/>
  <c r="BM36" i="10"/>
  <c r="BL99" i="10"/>
  <c r="BK100" i="10"/>
  <c r="BK101" i="10"/>
  <c r="BK102" i="10"/>
  <c r="BJ155" i="22"/>
  <c r="BJ156" i="22"/>
  <c r="BJ157" i="22"/>
  <c r="BL58" i="22"/>
  <c r="BK154" i="22"/>
  <c r="BL144" i="22"/>
  <c r="BM54" i="22"/>
  <c r="BL99" i="22"/>
  <c r="BM36" i="22"/>
  <c r="BK110" i="22"/>
  <c r="BK111" i="22"/>
  <c r="BK112" i="22"/>
  <c r="BK100" i="22"/>
  <c r="BK101" i="22"/>
  <c r="BK102" i="22"/>
  <c r="BM40" i="22"/>
  <c r="BL109" i="22"/>
  <c r="BK145" i="22"/>
  <c r="BK146" i="22"/>
  <c r="BK147" i="22"/>
  <c r="BO56" i="8"/>
  <c r="BN149" i="8"/>
  <c r="BM150" i="8"/>
  <c r="BM151" i="8"/>
  <c r="BM152" i="8"/>
  <c r="BK145" i="8"/>
  <c r="BK146" i="8"/>
  <c r="BK147" i="8"/>
  <c r="BL144" i="8"/>
  <c r="BM54" i="8"/>
  <c r="BK109" i="8"/>
  <c r="BL40" i="8"/>
  <c r="BJ90" i="8"/>
  <c r="BJ91" i="8"/>
  <c r="BJ92" i="8"/>
  <c r="BK129" i="8"/>
  <c r="BL48" i="8"/>
  <c r="BK30" i="8"/>
  <c r="BJ84" i="8"/>
  <c r="BJ140" i="8"/>
  <c r="BJ141" i="8"/>
  <c r="BJ142" i="8"/>
  <c r="BJ110" i="8"/>
  <c r="BJ111" i="8"/>
  <c r="BJ112" i="8"/>
  <c r="BI85" i="8"/>
  <c r="BI86" i="8"/>
  <c r="BI87" i="8"/>
  <c r="BK139" i="8"/>
  <c r="BL52" i="8"/>
  <c r="BJ130" i="8"/>
  <c r="BJ131" i="8"/>
  <c r="BJ132" i="8"/>
  <c r="BL32" i="8"/>
  <c r="BK89" i="8"/>
  <c r="BJ145" i="7"/>
  <c r="BJ146" i="7"/>
  <c r="BJ147" i="7"/>
  <c r="BK144" i="7"/>
  <c r="BL54" i="7"/>
  <c r="BJ140" i="7"/>
  <c r="BJ141" i="7"/>
  <c r="BJ142" i="7"/>
  <c r="BK139" i="7"/>
  <c r="BL52" i="7"/>
  <c r="BL50" i="7"/>
  <c r="BK134" i="7"/>
  <c r="BJ135" i="7"/>
  <c r="BJ136" i="7"/>
  <c r="BJ137" i="7"/>
  <c r="BQ90" i="7"/>
  <c r="BQ91" i="7"/>
  <c r="BQ92" i="7"/>
  <c r="BN46" i="7"/>
  <c r="BM124" i="7"/>
  <c r="BS32" i="7"/>
  <c r="BR89" i="7"/>
  <c r="BM120" i="7"/>
  <c r="BM121" i="7"/>
  <c r="BM122" i="7"/>
  <c r="BL125" i="7"/>
  <c r="BL126" i="7"/>
  <c r="BL127" i="7"/>
  <c r="BN119" i="7"/>
  <c r="BO44" i="7"/>
  <c r="BL56" i="6"/>
  <c r="BK163" i="6"/>
  <c r="BJ164" i="6"/>
  <c r="BJ165" i="6"/>
  <c r="BJ166" i="6"/>
  <c r="BK158" i="6"/>
  <c r="BL54" i="6"/>
  <c r="BJ159" i="6"/>
  <c r="BJ160" i="6"/>
  <c r="BJ161" i="6"/>
  <c r="BJ154" i="6"/>
  <c r="BJ155" i="6"/>
  <c r="BJ156" i="6"/>
  <c r="BK153" i="6"/>
  <c r="BL52" i="6"/>
  <c r="BJ149" i="6"/>
  <c r="BJ150" i="6"/>
  <c r="BJ151" i="6"/>
  <c r="BK148" i="6"/>
  <c r="BL50" i="6"/>
  <c r="BK143" i="6"/>
  <c r="BL48" i="6"/>
  <c r="BJ144" i="6"/>
  <c r="BJ145" i="6"/>
  <c r="BJ146" i="6"/>
  <c r="BL159" i="9"/>
  <c r="BM60" i="9"/>
  <c r="BK160" i="9"/>
  <c r="BK161" i="9"/>
  <c r="BK162" i="9"/>
  <c r="BJ155" i="9"/>
  <c r="BJ156" i="9"/>
  <c r="BJ157" i="9"/>
  <c r="BL58" i="9"/>
  <c r="BK154" i="9"/>
  <c r="BM40" i="9"/>
  <c r="BL109" i="9"/>
  <c r="BK100" i="9"/>
  <c r="BK101" i="9"/>
  <c r="BK102" i="9"/>
  <c r="BK110" i="9"/>
  <c r="BK111" i="9"/>
  <c r="BK112" i="9"/>
  <c r="BM36" i="9"/>
  <c r="BL99" i="9"/>
  <c r="BJ167" i="1"/>
  <c r="BJ168" i="1"/>
  <c r="BJ169" i="1"/>
  <c r="BL62" i="1"/>
  <c r="BK166" i="1"/>
  <c r="BK126" i="1"/>
  <c r="BL46" i="1"/>
  <c r="BJ127" i="1"/>
  <c r="BJ128" i="1"/>
  <c r="BJ129" i="1"/>
  <c r="BJ147" i="1"/>
  <c r="BJ148" i="1"/>
  <c r="BJ149" i="1"/>
  <c r="BL54" i="1"/>
  <c r="BK146" i="1"/>
  <c r="BM121" i="1"/>
  <c r="BN44" i="1"/>
  <c r="BL122" i="1"/>
  <c r="BL123" i="1"/>
  <c r="BL124" i="1"/>
  <c r="BJ107" i="1"/>
  <c r="BJ108" i="1"/>
  <c r="BJ109" i="1"/>
  <c r="BM111" i="1"/>
  <c r="BN40" i="1"/>
  <c r="BL102" i="1"/>
  <c r="BL103" i="1"/>
  <c r="BL104" i="1"/>
  <c r="BL112" i="1"/>
  <c r="BL113" i="1"/>
  <c r="BL114" i="1"/>
  <c r="BK106" i="1"/>
  <c r="BL38" i="1"/>
  <c r="BM101" i="1"/>
  <c r="BN36" i="1"/>
  <c r="BL129" i="7"/>
  <c r="BL130" i="7"/>
  <c r="BL131" i="7"/>
  <c r="BL132" i="7"/>
  <c r="BM48" i="7"/>
  <c r="AT50" i="32"/>
  <c r="AQ50" i="32"/>
  <c r="AP50" i="32"/>
  <c r="AG50" i="32"/>
  <c r="AN50" i="32"/>
  <c r="K50" i="32"/>
  <c r="L50" i="32"/>
  <c r="N50" i="32"/>
  <c r="O50" i="32"/>
  <c r="P50" i="32"/>
  <c r="Q50" i="32"/>
  <c r="AU50" i="32"/>
  <c r="Z50" i="32"/>
  <c r="AO50" i="32"/>
  <c r="W44" i="41"/>
  <c r="V44" i="41"/>
  <c r="K44" i="41"/>
  <c r="T44" i="41"/>
  <c r="S59" i="11"/>
  <c r="T229" i="11"/>
  <c r="BJ237" i="9"/>
  <c r="BI75" i="9"/>
  <c r="BW66" i="2"/>
  <c r="BX187" i="2"/>
  <c r="AR50" i="32"/>
  <c r="AV50" i="32"/>
  <c r="AD50" i="32"/>
  <c r="AX50" i="32"/>
  <c r="Y50" i="32"/>
  <c r="AK50" i="32"/>
  <c r="AE50" i="32"/>
  <c r="AJ50" i="32"/>
  <c r="AC50" i="32"/>
  <c r="AH50" i="32"/>
  <c r="AF50" i="32"/>
  <c r="AS50" i="32"/>
  <c r="AM50" i="32"/>
  <c r="AW50" i="32"/>
  <c r="X50" i="32"/>
  <c r="S30" i="41"/>
  <c r="R29" i="41"/>
  <c r="AP13" i="26"/>
  <c r="BJ137" i="11"/>
  <c r="BJ207" i="8"/>
  <c r="BS207" i="9"/>
  <c r="BJ162" i="10"/>
  <c r="BY187" i="10"/>
  <c r="CD147" i="10"/>
  <c r="BO162" i="7"/>
  <c r="BJ202" i="11"/>
  <c r="BR167" i="22"/>
  <c r="BJ182" i="10"/>
  <c r="BQ207" i="7"/>
  <c r="BS172" i="9"/>
  <c r="BP167" i="8"/>
  <c r="BT105" i="40"/>
  <c r="BU329" i="40"/>
  <c r="BS99" i="40"/>
  <c r="BT326" i="40"/>
  <c r="BU97" i="40"/>
  <c r="BV325" i="40"/>
  <c r="BU107" i="40"/>
  <c r="BV330" i="40"/>
  <c r="CB101" i="40"/>
  <c r="CA101" i="40"/>
  <c r="BZ101" i="40"/>
  <c r="BY101" i="40"/>
  <c r="CB264" i="40"/>
  <c r="CB265" i="40"/>
  <c r="CB266" i="40"/>
  <c r="CB267" i="40"/>
  <c r="CB103" i="40"/>
  <c r="CA103" i="40"/>
  <c r="BZ103" i="40"/>
  <c r="BY103" i="40"/>
  <c r="CB269" i="40"/>
  <c r="CB270" i="40"/>
  <c r="CB271" i="40"/>
  <c r="CB272" i="40"/>
  <c r="CB111" i="40"/>
  <c r="CA111" i="40"/>
  <c r="BZ111" i="40"/>
  <c r="BY111" i="40"/>
  <c r="CB289" i="40"/>
  <c r="CB290" i="40"/>
  <c r="CB291" i="40"/>
  <c r="CB292" i="40"/>
  <c r="CB93" i="40"/>
  <c r="CA93" i="40"/>
  <c r="BZ93" i="40"/>
  <c r="BY93" i="40"/>
  <c r="CB244" i="40"/>
  <c r="CB95" i="40"/>
  <c r="CA95" i="40"/>
  <c r="BZ95" i="40"/>
  <c r="CB249" i="40"/>
  <c r="CB109" i="40"/>
  <c r="CA109" i="40"/>
  <c r="BZ109" i="40"/>
  <c r="BY109" i="40"/>
  <c r="CB284" i="40"/>
  <c r="CA290" i="40"/>
  <c r="CA291" i="40"/>
  <c r="CA292" i="40"/>
  <c r="CA332" i="40"/>
  <c r="CA245" i="40"/>
  <c r="CA246" i="40"/>
  <c r="CA247" i="40"/>
  <c r="CA250" i="40"/>
  <c r="CA251" i="40"/>
  <c r="CA252" i="40"/>
  <c r="CA285" i="40"/>
  <c r="CA286" i="40"/>
  <c r="CA287" i="40"/>
  <c r="BZ91" i="40"/>
  <c r="CA313" i="40"/>
  <c r="BZ73" i="40"/>
  <c r="CA89" i="40"/>
  <c r="BZ157" i="40"/>
  <c r="CA210" i="40"/>
  <c r="CA211" i="40"/>
  <c r="CA212" i="40"/>
  <c r="CB49" i="40"/>
  <c r="CB134" i="40"/>
  <c r="CB45" i="40"/>
  <c r="CB124" i="40"/>
  <c r="BZ162" i="40"/>
  <c r="CB140" i="40"/>
  <c r="CB141" i="40"/>
  <c r="CB142" i="40"/>
  <c r="CB302" i="40"/>
  <c r="BZ212" i="40"/>
  <c r="CB87" i="40"/>
  <c r="CB229" i="40"/>
  <c r="CB57" i="40"/>
  <c r="CB154" i="40"/>
  <c r="CA61" i="40"/>
  <c r="CB83" i="40"/>
  <c r="CB219" i="40"/>
  <c r="CA120" i="40"/>
  <c r="CA121" i="40"/>
  <c r="CA122" i="40"/>
  <c r="CA311" i="40"/>
  <c r="BZ69" i="40"/>
  <c r="CA67" i="40"/>
  <c r="CB235" i="40"/>
  <c r="CB236" i="40"/>
  <c r="CB237" i="40"/>
  <c r="CB321" i="40"/>
  <c r="CA190" i="40"/>
  <c r="CA191" i="40"/>
  <c r="CB75" i="40"/>
  <c r="CB199" i="40"/>
  <c r="CB205" i="40"/>
  <c r="CB206" i="40"/>
  <c r="CA170" i="40"/>
  <c r="CA171" i="40"/>
  <c r="CA130" i="40"/>
  <c r="CA131" i="40"/>
  <c r="CA132" i="40"/>
  <c r="CA167" i="40"/>
  <c r="CB79" i="40"/>
  <c r="CB209" i="40"/>
  <c r="BZ192" i="40"/>
  <c r="CA135" i="40"/>
  <c r="CA136" i="40"/>
  <c r="CA137" i="40"/>
  <c r="CA77" i="40"/>
  <c r="CB215" i="40"/>
  <c r="CB216" i="40"/>
  <c r="CA125" i="40"/>
  <c r="CA126" i="40"/>
  <c r="CA127" i="40"/>
  <c r="CB63" i="40"/>
  <c r="CB169" i="40"/>
  <c r="CB225" i="40"/>
  <c r="CB226" i="40"/>
  <c r="CB115" i="40"/>
  <c r="CB116" i="40"/>
  <c r="CB117" i="40"/>
  <c r="CB297" i="40"/>
  <c r="CA230" i="40"/>
  <c r="CA231" i="40"/>
  <c r="CA207" i="40"/>
  <c r="CA217" i="40"/>
  <c r="CA220" i="40"/>
  <c r="CA221" i="40"/>
  <c r="CA150" i="40"/>
  <c r="CA151" i="40"/>
  <c r="CA152" i="40"/>
  <c r="CB71" i="40"/>
  <c r="CB189" i="40"/>
  <c r="CA160" i="40"/>
  <c r="CA161" i="40"/>
  <c r="CA162" i="40"/>
  <c r="CB53" i="40"/>
  <c r="CB144" i="40"/>
  <c r="CB239" i="40"/>
  <c r="CA51" i="40"/>
  <c r="CB43" i="40"/>
  <c r="CB119" i="40"/>
  <c r="CB59" i="40"/>
  <c r="CB159" i="40"/>
  <c r="CB47" i="40"/>
  <c r="CB129" i="40"/>
  <c r="CA200" i="40"/>
  <c r="CA201" i="40"/>
  <c r="CA145" i="40"/>
  <c r="CA146" i="40"/>
  <c r="CA147" i="40"/>
  <c r="CA309" i="40"/>
  <c r="BZ65" i="40"/>
  <c r="CA240" i="40"/>
  <c r="CA241" i="40"/>
  <c r="CA242" i="40"/>
  <c r="CA81" i="40"/>
  <c r="CA85" i="40"/>
  <c r="CA41" i="40"/>
  <c r="CB177" i="40"/>
  <c r="CB309" i="40"/>
  <c r="CA155" i="40"/>
  <c r="CA156" i="40"/>
  <c r="CB165" i="40"/>
  <c r="CB166" i="40"/>
  <c r="CB167" i="40"/>
  <c r="CB307" i="40"/>
  <c r="BZ232" i="40"/>
  <c r="CB55" i="40"/>
  <c r="CB149" i="40"/>
  <c r="CB180" i="40"/>
  <c r="CB181" i="40"/>
  <c r="O64" i="2"/>
  <c r="BM157" i="7"/>
  <c r="BJ187" i="8"/>
  <c r="BX66" i="10"/>
  <c r="BW174" i="10"/>
  <c r="BT70" i="22"/>
  <c r="BS184" i="22"/>
  <c r="BT192" i="22"/>
  <c r="BS165" i="22"/>
  <c r="BS166" i="22"/>
  <c r="BJ202" i="10"/>
  <c r="BM76" i="11"/>
  <c r="BL199" i="11"/>
  <c r="CF144" i="10"/>
  <c r="CG54" i="10"/>
  <c r="BN76" i="7"/>
  <c r="BM199" i="7"/>
  <c r="BT170" i="9"/>
  <c r="BT171" i="9"/>
  <c r="BQ187" i="22"/>
  <c r="BM66" i="7"/>
  <c r="BL174" i="7"/>
  <c r="BL150" i="11"/>
  <c r="BL151" i="11"/>
  <c r="BL199" i="10"/>
  <c r="BM76" i="10"/>
  <c r="BX156" i="8"/>
  <c r="BX155" i="8"/>
  <c r="BL204" i="8"/>
  <c r="BM78" i="8"/>
  <c r="Y55" i="11"/>
  <c r="Z227" i="11"/>
  <c r="BQ165" i="8"/>
  <c r="BQ166" i="8"/>
  <c r="BK152" i="11"/>
  <c r="BM46" i="6"/>
  <c r="BL138" i="6"/>
  <c r="BL139" i="6"/>
  <c r="BL140" i="6"/>
  <c r="BL141" i="6"/>
  <c r="BP232" i="10"/>
  <c r="BO65" i="10"/>
  <c r="CB70" i="10"/>
  <c r="CA184" i="10"/>
  <c r="BJ167" i="9"/>
  <c r="BK186" i="8"/>
  <c r="BK185" i="8"/>
  <c r="BU177" i="10"/>
  <c r="BV167" i="10"/>
  <c r="BV189" i="22"/>
  <c r="BW72" i="22"/>
  <c r="CA195" i="11"/>
  <c r="CA196" i="11"/>
  <c r="BO81" i="10"/>
  <c r="BP240" i="10"/>
  <c r="BT164" i="22"/>
  <c r="BU62" i="22"/>
  <c r="BP161" i="7"/>
  <c r="BP160" i="7"/>
  <c r="BO154" i="7"/>
  <c r="BP58" i="7"/>
  <c r="BL200" i="7"/>
  <c r="BL201" i="7"/>
  <c r="BK176" i="7"/>
  <c r="BK175" i="7"/>
  <c r="BN59" i="10"/>
  <c r="BO229" i="10"/>
  <c r="BS67" i="22"/>
  <c r="BT233" i="22"/>
  <c r="BQ46" i="11"/>
  <c r="BP124" i="11"/>
  <c r="BZ186" i="10"/>
  <c r="BZ185" i="10"/>
  <c r="BQ204" i="11"/>
  <c r="BR78" i="11"/>
  <c r="BU205" i="22"/>
  <c r="BU206" i="22"/>
  <c r="BK166" i="9"/>
  <c r="BK165" i="9"/>
  <c r="BK202" i="7"/>
  <c r="BK181" i="10"/>
  <c r="BK180" i="10"/>
  <c r="BJ202" i="22"/>
  <c r="BX164" i="10"/>
  <c r="BY62" i="10"/>
  <c r="BO67" i="9"/>
  <c r="BP233" i="9"/>
  <c r="BS204" i="7"/>
  <c r="BT78" i="7"/>
  <c r="BZ197" i="11"/>
  <c r="BQ159" i="7"/>
  <c r="BR60" i="7"/>
  <c r="BN156" i="7"/>
  <c r="BN155" i="7"/>
  <c r="BN127" i="11"/>
  <c r="BL199" i="22"/>
  <c r="BM76" i="22"/>
  <c r="BT205" i="9"/>
  <c r="BT206" i="9"/>
  <c r="BO126" i="11"/>
  <c r="BO125" i="11"/>
  <c r="BJ177" i="7"/>
  <c r="BO207" i="11"/>
  <c r="BK160" i="10"/>
  <c r="BK161" i="10"/>
  <c r="BM56" i="22"/>
  <c r="BL149" i="22"/>
  <c r="BL150" i="22"/>
  <c r="BL151" i="22"/>
  <c r="BL152" i="22"/>
  <c r="BK135" i="11"/>
  <c r="BK136" i="11"/>
  <c r="AF230" i="11"/>
  <c r="AE61" i="11"/>
  <c r="BP205" i="11"/>
  <c r="BP206" i="11"/>
  <c r="BW78" i="22"/>
  <c r="BV204" i="22"/>
  <c r="CB182" i="8"/>
  <c r="CB234" i="8"/>
  <c r="BO192" i="8"/>
  <c r="BL164" i="9"/>
  <c r="BM62" i="9"/>
  <c r="BM68" i="10"/>
  <c r="BL179" i="10"/>
  <c r="BV176" i="10"/>
  <c r="BV175" i="10"/>
  <c r="BR185" i="22"/>
  <c r="BR186" i="22"/>
  <c r="BW166" i="10"/>
  <c r="BW165" i="10"/>
  <c r="BR206" i="7"/>
  <c r="BR205" i="7"/>
  <c r="BW157" i="8"/>
  <c r="BT207" i="22"/>
  <c r="BK200" i="11"/>
  <c r="BK201" i="11"/>
  <c r="CE145" i="10"/>
  <c r="CE146" i="10"/>
  <c r="BU169" i="9"/>
  <c r="BV64" i="9"/>
  <c r="BK200" i="22"/>
  <c r="BK201" i="22"/>
  <c r="BN56" i="11"/>
  <c r="BM149" i="11"/>
  <c r="BK201" i="10"/>
  <c r="BK200" i="10"/>
  <c r="BY154" i="8"/>
  <c r="BZ58" i="8"/>
  <c r="BK206" i="8"/>
  <c r="BK205" i="8"/>
  <c r="BU204" i="9"/>
  <c r="BV78" i="9"/>
  <c r="BS62" i="8"/>
  <c r="BR164" i="8"/>
  <c r="BM60" i="10"/>
  <c r="BL159" i="10"/>
  <c r="BM70" i="8"/>
  <c r="BL184" i="8"/>
  <c r="AB81" i="8"/>
  <c r="AC240" i="8"/>
  <c r="BU190" i="22"/>
  <c r="BU191" i="22"/>
  <c r="BM50" i="11"/>
  <c r="BL134" i="11"/>
  <c r="CB194" i="11"/>
  <c r="CB75" i="11"/>
  <c r="CA75" i="11"/>
  <c r="BZ75" i="11"/>
  <c r="K50" i="33"/>
  <c r="L50" i="33"/>
  <c r="N50" i="33"/>
  <c r="O50" i="33"/>
  <c r="P50" i="33"/>
  <c r="Q50" i="33"/>
  <c r="N5" i="39"/>
  <c r="D5" i="39"/>
  <c r="P15" i="20"/>
  <c r="Q15" i="20"/>
  <c r="C13" i="38"/>
  <c r="R16" i="2"/>
  <c r="D16" i="20"/>
  <c r="BN109" i="11"/>
  <c r="BN110" i="11"/>
  <c r="BN111" i="11"/>
  <c r="BN112" i="11"/>
  <c r="BO40" i="11"/>
  <c r="BM30" i="10"/>
  <c r="BL84" i="10"/>
  <c r="BL85" i="10"/>
  <c r="BL86" i="10"/>
  <c r="BL87" i="10"/>
  <c r="BM32" i="10"/>
  <c r="BL89" i="10"/>
  <c r="BL90" i="10"/>
  <c r="BL91" i="10"/>
  <c r="BL92" i="10"/>
  <c r="BM46" i="10"/>
  <c r="BL124" i="10"/>
  <c r="BL125" i="10"/>
  <c r="BL126" i="10"/>
  <c r="BL127" i="10"/>
  <c r="BM42" i="10"/>
  <c r="BL114" i="10"/>
  <c r="BL115" i="10"/>
  <c r="BL116" i="10"/>
  <c r="BL117" i="10"/>
  <c r="BL129" i="10"/>
  <c r="BL130" i="10"/>
  <c r="BL131" i="10"/>
  <c r="BL132" i="10"/>
  <c r="BM48" i="10"/>
  <c r="BM52" i="10"/>
  <c r="BL139" i="10"/>
  <c r="BL140" i="10"/>
  <c r="BL141" i="10"/>
  <c r="BL142" i="10"/>
  <c r="BM34" i="10"/>
  <c r="BL94" i="10"/>
  <c r="BL95" i="10"/>
  <c r="BL96" i="10"/>
  <c r="BL97" i="10"/>
  <c r="BL104" i="10"/>
  <c r="BL105" i="10"/>
  <c r="BL106" i="10"/>
  <c r="BL107" i="10"/>
  <c r="BM38" i="10"/>
  <c r="BM119" i="10"/>
  <c r="BM120" i="10"/>
  <c r="BM121" i="10"/>
  <c r="BM122" i="10"/>
  <c r="BN44" i="10"/>
  <c r="BL109" i="10"/>
  <c r="BL110" i="10"/>
  <c r="BL111" i="10"/>
  <c r="BL112" i="10"/>
  <c r="BM40" i="10"/>
  <c r="BL114" i="22"/>
  <c r="BL115" i="22"/>
  <c r="BL116" i="22"/>
  <c r="BL117" i="22"/>
  <c r="BM42" i="22"/>
  <c r="BM139" i="22"/>
  <c r="BM140" i="22"/>
  <c r="BM141" i="22"/>
  <c r="BM142" i="22"/>
  <c r="BN52" i="22"/>
  <c r="BN46" i="22"/>
  <c r="BM124" i="22"/>
  <c r="BM125" i="22"/>
  <c r="BM126" i="22"/>
  <c r="BM127" i="22"/>
  <c r="BM50" i="22"/>
  <c r="BL134" i="22"/>
  <c r="BL135" i="22"/>
  <c r="BL136" i="22"/>
  <c r="BL137" i="22"/>
  <c r="BM134" i="8"/>
  <c r="BM135" i="8"/>
  <c r="BM136" i="8"/>
  <c r="BM137" i="8"/>
  <c r="BN50" i="8"/>
  <c r="BL124" i="8"/>
  <c r="BL125" i="8"/>
  <c r="BL126" i="8"/>
  <c r="BL127" i="8"/>
  <c r="BM46" i="8"/>
  <c r="BJ192" i="9"/>
  <c r="CB202" i="8"/>
  <c r="CB238" i="8"/>
  <c r="CA192" i="11"/>
  <c r="CA236" i="11"/>
  <c r="CA160" i="8"/>
  <c r="CA161" i="8"/>
  <c r="BP65" i="22"/>
  <c r="BQ232" i="22"/>
  <c r="C65" i="2"/>
  <c r="D186" i="2"/>
  <c r="BE65" i="2"/>
  <c r="CF65" i="2"/>
  <c r="BF186" i="2"/>
  <c r="BB65" i="7"/>
  <c r="BC232" i="7"/>
  <c r="BZ236" i="11"/>
  <c r="BP81" i="7"/>
  <c r="BQ240" i="7"/>
  <c r="BR72" i="8"/>
  <c r="BQ189" i="8"/>
  <c r="A188" i="2"/>
  <c r="BW188" i="2"/>
  <c r="A68" i="2"/>
  <c r="BT71" i="7"/>
  <c r="BU235" i="7"/>
  <c r="BY236" i="11"/>
  <c r="BU61" i="22"/>
  <c r="BV230" i="22"/>
  <c r="BT69" i="22"/>
  <c r="BU234" i="22"/>
  <c r="BO57" i="10"/>
  <c r="BP228" i="10"/>
  <c r="BK200" i="9"/>
  <c r="BK201" i="9"/>
  <c r="BK191" i="9"/>
  <c r="BK190" i="9"/>
  <c r="BE31" i="22"/>
  <c r="BF215" i="22"/>
  <c r="BR75" i="8"/>
  <c r="BS237" i="8"/>
  <c r="AV65" i="2"/>
  <c r="AW186" i="2"/>
  <c r="CB191" i="11"/>
  <c r="CB190" i="11"/>
  <c r="BN81" i="9"/>
  <c r="BO240" i="9"/>
  <c r="BQ69" i="9"/>
  <c r="BR234" i="9"/>
  <c r="BM49" i="11"/>
  <c r="BN224" i="11"/>
  <c r="M186" i="2"/>
  <c r="L65" i="2"/>
  <c r="N65" i="2"/>
  <c r="O65" i="2"/>
  <c r="BN65" i="2"/>
  <c r="BO186" i="2"/>
  <c r="BW73" i="11"/>
  <c r="BX236" i="11"/>
  <c r="BZ162" i="8"/>
  <c r="AF63" i="11"/>
  <c r="AG231" i="11"/>
  <c r="R73" i="7"/>
  <c r="S236" i="7"/>
  <c r="BU81" i="11"/>
  <c r="BV240" i="11"/>
  <c r="BW77" i="8"/>
  <c r="BX238" i="8"/>
  <c r="T65" i="8"/>
  <c r="U232" i="8"/>
  <c r="BI53" i="11"/>
  <c r="BJ226" i="11"/>
  <c r="BR75" i="22"/>
  <c r="BS237" i="22"/>
  <c r="BS75" i="7"/>
  <c r="BT237" i="7"/>
  <c r="BP79" i="10"/>
  <c r="BQ239" i="10"/>
  <c r="AM65" i="2"/>
  <c r="AN186" i="2"/>
  <c r="AG69" i="11"/>
  <c r="AH234" i="11"/>
  <c r="BR81" i="22"/>
  <c r="BS240" i="22"/>
  <c r="BL69" i="7"/>
  <c r="BM234" i="7"/>
  <c r="BT67" i="8"/>
  <c r="BU233" i="8"/>
  <c r="CB61" i="8"/>
  <c r="CA61" i="8"/>
  <c r="BZ61" i="8"/>
  <c r="BY61" i="8"/>
  <c r="CB159" i="8"/>
  <c r="BH73" i="10"/>
  <c r="BI236" i="10"/>
  <c r="BU67" i="11"/>
  <c r="BV233" i="11"/>
  <c r="AD65" i="2"/>
  <c r="AE186" i="2"/>
  <c r="U65" i="2"/>
  <c r="V186" i="2"/>
  <c r="BV69" i="8"/>
  <c r="BW234" i="8"/>
  <c r="BR75" i="10"/>
  <c r="BS237" i="10"/>
  <c r="BP190" i="8"/>
  <c r="BP191" i="8"/>
  <c r="AM187" i="2"/>
  <c r="L187" i="2"/>
  <c r="BE187" i="2"/>
  <c r="AD187" i="2"/>
  <c r="U187" i="2"/>
  <c r="C187" i="2"/>
  <c r="BN187" i="2"/>
  <c r="AV187" i="2"/>
  <c r="BJ202" i="9"/>
  <c r="BM76" i="9"/>
  <c r="BL199" i="9"/>
  <c r="BL189" i="9"/>
  <c r="BM72" i="9"/>
  <c r="BL89" i="22"/>
  <c r="BL90" i="22"/>
  <c r="BL91" i="22"/>
  <c r="BL92" i="22"/>
  <c r="BM32" i="22"/>
  <c r="BO71" i="9"/>
  <c r="BP235" i="9"/>
  <c r="AB65" i="11"/>
  <c r="AC232" i="11"/>
  <c r="W45" i="30"/>
  <c r="V45" i="30"/>
  <c r="K45" i="30"/>
  <c r="BR167" i="7"/>
  <c r="BL114" i="8"/>
  <c r="BL115" i="8"/>
  <c r="BL116" i="8"/>
  <c r="BL117" i="8"/>
  <c r="BM42" i="8"/>
  <c r="BL119" i="8"/>
  <c r="BL120" i="8"/>
  <c r="BL121" i="8"/>
  <c r="BL122" i="8"/>
  <c r="BM44" i="8"/>
  <c r="BR34" i="8"/>
  <c r="BQ94" i="8"/>
  <c r="BQ95" i="8"/>
  <c r="BQ96" i="8"/>
  <c r="BQ97" i="8"/>
  <c r="BU62" i="7"/>
  <c r="BT164" i="7"/>
  <c r="BS165" i="7"/>
  <c r="BS166" i="7"/>
  <c r="BL89" i="11"/>
  <c r="BL90" i="11"/>
  <c r="BL91" i="11"/>
  <c r="BL92" i="11"/>
  <c r="BM32" i="11"/>
  <c r="BM52" i="9"/>
  <c r="BL139" i="9"/>
  <c r="BL140" i="9"/>
  <c r="BL141" i="9"/>
  <c r="BL142" i="9"/>
  <c r="BM84" i="9"/>
  <c r="BM85" i="9"/>
  <c r="BM86" i="9"/>
  <c r="BM87" i="9"/>
  <c r="BN30" i="9"/>
  <c r="BO30" i="1"/>
  <c r="BN86" i="1"/>
  <c r="BN87" i="1"/>
  <c r="BN88" i="1"/>
  <c r="BN89" i="1"/>
  <c r="BM48" i="1"/>
  <c r="BL131" i="1"/>
  <c r="BL132" i="1"/>
  <c r="BL133" i="1"/>
  <c r="BL134" i="1"/>
  <c r="BM68" i="1"/>
  <c r="BL181" i="1"/>
  <c r="BM52" i="1"/>
  <c r="BL141" i="1"/>
  <c r="BL142" i="1"/>
  <c r="BL143" i="1"/>
  <c r="BL144" i="1"/>
  <c r="BN91" i="1"/>
  <c r="BN92" i="1"/>
  <c r="BN93" i="1"/>
  <c r="BN94" i="1"/>
  <c r="BO32" i="1"/>
  <c r="BL171" i="1"/>
  <c r="BL172" i="1"/>
  <c r="BL173" i="1"/>
  <c r="BL174" i="1"/>
  <c r="BM64" i="1"/>
  <c r="BL156" i="1"/>
  <c r="BL157" i="1"/>
  <c r="BL158" i="1"/>
  <c r="BL159" i="1"/>
  <c r="BM58" i="1"/>
  <c r="BL96" i="1"/>
  <c r="BL97" i="1"/>
  <c r="BL98" i="1"/>
  <c r="BL99" i="1"/>
  <c r="BM34" i="1"/>
  <c r="BL136" i="1"/>
  <c r="BL137" i="1"/>
  <c r="BL138" i="1"/>
  <c r="BL139" i="1"/>
  <c r="BM50" i="1"/>
  <c r="AA50" i="33"/>
  <c r="Y50" i="33"/>
  <c r="AJ50" i="33"/>
  <c r="AL50" i="33"/>
  <c r="AW50" i="33"/>
  <c r="AE50" i="33"/>
  <c r="AC50" i="33"/>
  <c r="AS50" i="33"/>
  <c r="AN50" i="33"/>
  <c r="AH50" i="33"/>
  <c r="AM50" i="33"/>
  <c r="AP50" i="33"/>
  <c r="AK50" i="33"/>
  <c r="AR50" i="33"/>
  <c r="Z50" i="33"/>
  <c r="AV50" i="33"/>
  <c r="AT50" i="33"/>
  <c r="AB50" i="33"/>
  <c r="AD50" i="33"/>
  <c r="X50" i="33"/>
  <c r="AF50" i="33"/>
  <c r="AO50" i="33"/>
  <c r="AG50" i="33"/>
  <c r="AX50" i="33"/>
  <c r="AU50" i="33"/>
  <c r="AQ50" i="33"/>
  <c r="AI50" i="33"/>
  <c r="T50" i="32"/>
  <c r="BN44" i="22"/>
  <c r="BM119" i="22"/>
  <c r="BM120" i="22"/>
  <c r="BM121" i="22"/>
  <c r="BM122" i="22"/>
  <c r="BM36" i="6"/>
  <c r="BL113" i="6"/>
  <c r="BL114" i="6"/>
  <c r="BL115" i="6"/>
  <c r="BL116" i="6"/>
  <c r="BN30" i="6"/>
  <c r="BM98" i="6"/>
  <c r="BM99" i="6"/>
  <c r="BM100" i="6"/>
  <c r="BM101" i="6"/>
  <c r="BL103" i="6"/>
  <c r="BM32" i="6"/>
  <c r="BL88" i="6"/>
  <c r="BL89" i="6"/>
  <c r="BL90" i="6"/>
  <c r="BL91" i="6"/>
  <c r="BM26" i="6"/>
  <c r="BM44" i="6"/>
  <c r="BL133" i="6"/>
  <c r="BL134" i="6"/>
  <c r="BL135" i="6"/>
  <c r="BL136" i="6"/>
  <c r="BM24" i="6"/>
  <c r="BL83" i="6"/>
  <c r="BL84" i="6"/>
  <c r="BL85" i="6"/>
  <c r="BL86" i="6"/>
  <c r="BM128" i="6"/>
  <c r="BM129" i="6"/>
  <c r="BM130" i="6"/>
  <c r="BM131" i="6"/>
  <c r="BN42" i="6"/>
  <c r="BM40" i="6"/>
  <c r="BL123" i="6"/>
  <c r="BL124" i="6"/>
  <c r="BL125" i="6"/>
  <c r="BL126" i="6"/>
  <c r="BM34" i="6"/>
  <c r="BL108" i="6"/>
  <c r="BL109" i="6"/>
  <c r="BL110" i="6"/>
  <c r="BL111" i="6"/>
  <c r="BM22" i="6"/>
  <c r="BL78" i="6"/>
  <c r="BL79" i="6"/>
  <c r="BL80" i="6"/>
  <c r="BL81" i="6"/>
  <c r="BM28" i="6"/>
  <c r="BL93" i="6"/>
  <c r="BL94" i="6"/>
  <c r="BL95" i="6"/>
  <c r="BL96" i="6"/>
  <c r="BP80" i="1"/>
  <c r="BO211" i="1"/>
  <c r="BM217" i="1"/>
  <c r="BM218" i="1"/>
  <c r="BK117" i="1"/>
  <c r="BK118" i="1"/>
  <c r="BL219" i="1"/>
  <c r="BO82" i="1"/>
  <c r="BN216" i="1"/>
  <c r="BL116" i="1"/>
  <c r="BL117" i="1"/>
  <c r="BL118" i="1"/>
  <c r="BL119" i="1"/>
  <c r="BM42" i="1"/>
  <c r="BK137" i="10"/>
  <c r="BL179" i="1"/>
  <c r="BM99" i="8"/>
  <c r="BM100" i="8"/>
  <c r="BM101" i="8"/>
  <c r="BM102" i="8"/>
  <c r="BN36" i="8"/>
  <c r="BP104" i="8"/>
  <c r="BP105" i="8"/>
  <c r="BP106" i="8"/>
  <c r="BP107" i="8"/>
  <c r="BQ38" i="8"/>
  <c r="BN44" i="11"/>
  <c r="BM119" i="11"/>
  <c r="BL120" i="11"/>
  <c r="BL121" i="11"/>
  <c r="BL122" i="11"/>
  <c r="T49" i="36"/>
  <c r="AJ49" i="36"/>
  <c r="AP49" i="36"/>
  <c r="AD49" i="36"/>
  <c r="X49" i="36"/>
  <c r="AT49" i="36"/>
  <c r="AL49" i="36"/>
  <c r="Z49" i="36"/>
  <c r="AS49" i="36"/>
  <c r="AQ49" i="36"/>
  <c r="AR49" i="36"/>
  <c r="AE49" i="36"/>
  <c r="AI49" i="36"/>
  <c r="AO49" i="36"/>
  <c r="AM49" i="36"/>
  <c r="Y49" i="36"/>
  <c r="AG49" i="36"/>
  <c r="AH49" i="36"/>
  <c r="AC49" i="36"/>
  <c r="AV49" i="36"/>
  <c r="AN49" i="36"/>
  <c r="AB49" i="36"/>
  <c r="AA49" i="36"/>
  <c r="AW49" i="36"/>
  <c r="AF49" i="36"/>
  <c r="AU49" i="36"/>
  <c r="AK49" i="36"/>
  <c r="BL129" i="22"/>
  <c r="BL130" i="22"/>
  <c r="BL131" i="22"/>
  <c r="BL132" i="22"/>
  <c r="BM48" i="22"/>
  <c r="BM34" i="22"/>
  <c r="BL94" i="22"/>
  <c r="BL95" i="22"/>
  <c r="BL96" i="22"/>
  <c r="BL97" i="22"/>
  <c r="BM104" i="22"/>
  <c r="BM105" i="22"/>
  <c r="BM106" i="22"/>
  <c r="BM107" i="22"/>
  <c r="BN38" i="22"/>
  <c r="BK115" i="7"/>
  <c r="BK116" i="7"/>
  <c r="BP40" i="7"/>
  <c r="BO109" i="7"/>
  <c r="BO110" i="7"/>
  <c r="BO111" i="7"/>
  <c r="BO112" i="7"/>
  <c r="BL94" i="7"/>
  <c r="BM34" i="7"/>
  <c r="BM104" i="7"/>
  <c r="BM105" i="7"/>
  <c r="BM106" i="7"/>
  <c r="BM107" i="7"/>
  <c r="BN38" i="7"/>
  <c r="BM84" i="7"/>
  <c r="BN30" i="7"/>
  <c r="BM42" i="7"/>
  <c r="BL114" i="7"/>
  <c r="BL115" i="7"/>
  <c r="BL116" i="7"/>
  <c r="BL117" i="7"/>
  <c r="BM99" i="7"/>
  <c r="BN36" i="7"/>
  <c r="BO118" i="6"/>
  <c r="BO119" i="6"/>
  <c r="BO120" i="6"/>
  <c r="BO121" i="6"/>
  <c r="BP38" i="6"/>
  <c r="BP144" i="9"/>
  <c r="BP145" i="9"/>
  <c r="BP146" i="9"/>
  <c r="BP147" i="9"/>
  <c r="BQ54" i="9"/>
  <c r="BM34" i="9"/>
  <c r="BL94" i="9"/>
  <c r="BL95" i="9"/>
  <c r="BL96" i="9"/>
  <c r="BL97" i="9"/>
  <c r="BP38" i="9"/>
  <c r="BO104" i="9"/>
  <c r="BO105" i="9"/>
  <c r="BO106" i="9"/>
  <c r="BO107" i="9"/>
  <c r="BL42" i="9"/>
  <c r="BK114" i="9"/>
  <c r="BK115" i="9"/>
  <c r="BK116" i="9"/>
  <c r="BK117" i="9"/>
  <c r="BM46" i="9"/>
  <c r="BL124" i="9"/>
  <c r="BL125" i="9"/>
  <c r="BL126" i="9"/>
  <c r="BL127" i="9"/>
  <c r="BM134" i="9"/>
  <c r="BM135" i="9"/>
  <c r="BM136" i="9"/>
  <c r="BM137" i="9"/>
  <c r="BN50" i="9"/>
  <c r="BM90" i="9"/>
  <c r="BM91" i="9"/>
  <c r="BM92" i="9"/>
  <c r="BL149" i="9"/>
  <c r="BL150" i="9"/>
  <c r="BL151" i="9"/>
  <c r="BL152" i="9"/>
  <c r="BM56" i="9"/>
  <c r="BM48" i="9"/>
  <c r="BL129" i="9"/>
  <c r="BL130" i="9"/>
  <c r="BL131" i="9"/>
  <c r="BL132" i="9"/>
  <c r="BO32" i="9"/>
  <c r="BN89" i="9"/>
  <c r="BN90" i="9"/>
  <c r="BN91" i="9"/>
  <c r="BN92" i="9"/>
  <c r="BL119" i="9"/>
  <c r="BL120" i="9"/>
  <c r="BL121" i="9"/>
  <c r="BL122" i="9"/>
  <c r="BM44" i="9"/>
  <c r="BK197" i="1"/>
  <c r="BK198" i="1"/>
  <c r="BO66" i="1"/>
  <c r="BN176" i="1"/>
  <c r="BM74" i="1"/>
  <c r="BL196" i="1"/>
  <c r="BL197" i="1"/>
  <c r="BL198" i="1"/>
  <c r="BL199" i="1"/>
  <c r="BM161" i="1"/>
  <c r="BM162" i="1"/>
  <c r="BM163" i="1"/>
  <c r="BM164" i="1"/>
  <c r="BN60" i="1"/>
  <c r="BS56" i="1"/>
  <c r="BR151" i="1"/>
  <c r="BR152" i="1"/>
  <c r="BR153" i="1"/>
  <c r="BR154" i="1"/>
  <c r="BM78" i="1"/>
  <c r="BL206" i="1"/>
  <c r="BN72" i="1"/>
  <c r="BM191" i="1"/>
  <c r="BM192" i="1"/>
  <c r="BM193" i="1"/>
  <c r="BM194" i="1"/>
  <c r="BK187" i="1"/>
  <c r="BK188" i="1"/>
  <c r="BO76" i="1"/>
  <c r="BN201" i="1"/>
  <c r="BN202" i="1"/>
  <c r="BN203" i="1"/>
  <c r="BN204" i="1"/>
  <c r="BM177" i="1"/>
  <c r="BM178" i="1"/>
  <c r="BM70" i="1"/>
  <c r="BL186" i="1"/>
  <c r="BL187" i="1"/>
  <c r="BL188" i="1"/>
  <c r="BL189" i="1"/>
  <c r="U51" i="37"/>
  <c r="W51" i="37"/>
  <c r="V51" i="37"/>
  <c r="BQ115" i="11"/>
  <c r="BQ116" i="11"/>
  <c r="BQ117" i="11"/>
  <c r="BS42" i="11"/>
  <c r="BR114" i="11"/>
  <c r="U48" i="34"/>
  <c r="V27" i="26"/>
  <c r="S44" i="34"/>
  <c r="R43" i="34"/>
  <c r="P50" i="34"/>
  <c r="Q50" i="34"/>
  <c r="W49" i="35"/>
  <c r="V49" i="35"/>
  <c r="K49" i="35"/>
  <c r="BL105" i="11"/>
  <c r="BL106" i="11"/>
  <c r="BO36" i="11"/>
  <c r="BN99" i="11"/>
  <c r="BP84" i="11"/>
  <c r="BQ30" i="11"/>
  <c r="BM100" i="11"/>
  <c r="BM101" i="11"/>
  <c r="BM102" i="11"/>
  <c r="BO85" i="11"/>
  <c r="BO86" i="11"/>
  <c r="BN38" i="11"/>
  <c r="BM104" i="11"/>
  <c r="BL135" i="10"/>
  <c r="BL136" i="10"/>
  <c r="BL137" i="10"/>
  <c r="BN50" i="10"/>
  <c r="BM134" i="10"/>
  <c r="BL100" i="10"/>
  <c r="BL101" i="10"/>
  <c r="BL102" i="10"/>
  <c r="BN36" i="10"/>
  <c r="BM99" i="10"/>
  <c r="BL154" i="22"/>
  <c r="BM58" i="22"/>
  <c r="BK155" i="22"/>
  <c r="BK156" i="22"/>
  <c r="BK157" i="22"/>
  <c r="BM99" i="22"/>
  <c r="BN36" i="22"/>
  <c r="BL110" i="22"/>
  <c r="BL111" i="22"/>
  <c r="BL112" i="22"/>
  <c r="BL100" i="22"/>
  <c r="BL101" i="22"/>
  <c r="BL102" i="22"/>
  <c r="BM144" i="22"/>
  <c r="BN54" i="22"/>
  <c r="BN40" i="22"/>
  <c r="BM109" i="22"/>
  <c r="BL145" i="22"/>
  <c r="BL146" i="22"/>
  <c r="BL147" i="22"/>
  <c r="BN150" i="8"/>
  <c r="BN151" i="8"/>
  <c r="BN152" i="8"/>
  <c r="BP56" i="8"/>
  <c r="BO149" i="8"/>
  <c r="BN54" i="8"/>
  <c r="BM144" i="8"/>
  <c r="BL145" i="8"/>
  <c r="BL146" i="8"/>
  <c r="BL147" i="8"/>
  <c r="BK140" i="8"/>
  <c r="BK141" i="8"/>
  <c r="BK142" i="8"/>
  <c r="BK84" i="8"/>
  <c r="BL30" i="8"/>
  <c r="BK90" i="8"/>
  <c r="BK91" i="8"/>
  <c r="BK92" i="8"/>
  <c r="BL129" i="8"/>
  <c r="BM48" i="8"/>
  <c r="BM32" i="8"/>
  <c r="BL89" i="8"/>
  <c r="BK130" i="8"/>
  <c r="BK131" i="8"/>
  <c r="BK132" i="8"/>
  <c r="BM40" i="8"/>
  <c r="BL109" i="8"/>
  <c r="BL139" i="8"/>
  <c r="BM52" i="8"/>
  <c r="BJ85" i="8"/>
  <c r="BJ86" i="8"/>
  <c r="BJ87" i="8"/>
  <c r="BK110" i="8"/>
  <c r="BK111" i="8"/>
  <c r="BK112" i="8"/>
  <c r="BM54" i="7"/>
  <c r="BL144" i="7"/>
  <c r="BK145" i="7"/>
  <c r="BK146" i="7"/>
  <c r="BK147" i="7"/>
  <c r="BM52" i="7"/>
  <c r="BL139" i="7"/>
  <c r="BK140" i="7"/>
  <c r="BK141" i="7"/>
  <c r="BK142" i="7"/>
  <c r="BK135" i="7"/>
  <c r="BK136" i="7"/>
  <c r="BK137" i="7"/>
  <c r="BM50" i="7"/>
  <c r="BL134" i="7"/>
  <c r="BO119" i="7"/>
  <c r="BP44" i="7"/>
  <c r="BT32" i="7"/>
  <c r="BS89" i="7"/>
  <c r="BN120" i="7"/>
  <c r="BN121" i="7"/>
  <c r="BN122" i="7"/>
  <c r="BM125" i="7"/>
  <c r="BM126" i="7"/>
  <c r="BM127" i="7"/>
  <c r="BR90" i="7"/>
  <c r="BR91" i="7"/>
  <c r="BR92" i="7"/>
  <c r="BO46" i="7"/>
  <c r="BN124" i="7"/>
  <c r="BK164" i="6"/>
  <c r="BK165" i="6"/>
  <c r="BK166" i="6"/>
  <c r="BM56" i="6"/>
  <c r="BL163" i="6"/>
  <c r="BL158" i="6"/>
  <c r="BM54" i="6"/>
  <c r="BK159" i="6"/>
  <c r="BK160" i="6"/>
  <c r="BK161" i="6"/>
  <c r="BM52" i="6"/>
  <c r="BL153" i="6"/>
  <c r="BK154" i="6"/>
  <c r="BK155" i="6"/>
  <c r="BK156" i="6"/>
  <c r="BL148" i="6"/>
  <c r="BM50" i="6"/>
  <c r="BK149" i="6"/>
  <c r="BK150" i="6"/>
  <c r="BK151" i="6"/>
  <c r="BL143" i="6"/>
  <c r="BM48" i="6"/>
  <c r="BK144" i="6"/>
  <c r="BK145" i="6"/>
  <c r="BK146" i="6"/>
  <c r="BL160" i="9"/>
  <c r="BL161" i="9"/>
  <c r="BL162" i="9"/>
  <c r="BM159" i="9"/>
  <c r="BN60" i="9"/>
  <c r="BK155" i="9"/>
  <c r="BK156" i="9"/>
  <c r="BK157" i="9"/>
  <c r="BM58" i="9"/>
  <c r="BL154" i="9"/>
  <c r="BL100" i="9"/>
  <c r="BL101" i="9"/>
  <c r="BL102" i="9"/>
  <c r="BM99" i="9"/>
  <c r="BN36" i="9"/>
  <c r="BL110" i="9"/>
  <c r="BL111" i="9"/>
  <c r="BL112" i="9"/>
  <c r="BN40" i="9"/>
  <c r="BM109" i="9"/>
  <c r="BK167" i="1"/>
  <c r="BK168" i="1"/>
  <c r="BK169" i="1"/>
  <c r="BM62" i="1"/>
  <c r="BL166" i="1"/>
  <c r="BK147" i="1"/>
  <c r="BK148" i="1"/>
  <c r="BK149" i="1"/>
  <c r="BL146" i="1"/>
  <c r="BM54" i="1"/>
  <c r="BL126" i="1"/>
  <c r="BM46" i="1"/>
  <c r="BK127" i="1"/>
  <c r="BK128" i="1"/>
  <c r="BO44" i="1"/>
  <c r="BN121" i="1"/>
  <c r="BM122" i="1"/>
  <c r="BM123" i="1"/>
  <c r="BM124" i="1"/>
  <c r="BO36" i="1"/>
  <c r="BN101" i="1"/>
  <c r="BL106" i="1"/>
  <c r="BM38" i="1"/>
  <c r="BM112" i="1"/>
  <c r="BM113" i="1"/>
  <c r="BM114" i="1"/>
  <c r="BK107" i="1"/>
  <c r="BK108" i="1"/>
  <c r="BK109" i="1"/>
  <c r="BM102" i="1"/>
  <c r="BM103" i="1"/>
  <c r="BM104" i="1"/>
  <c r="BO40" i="1"/>
  <c r="BN111" i="1"/>
  <c r="T50" i="33"/>
  <c r="BM129" i="7"/>
  <c r="BM130" i="7"/>
  <c r="BM131" i="7"/>
  <c r="BM132" i="7"/>
  <c r="BN48" i="7"/>
  <c r="CA324" i="40"/>
  <c r="CB327" i="40"/>
  <c r="R59" i="11"/>
  <c r="S229" i="11"/>
  <c r="BH75" i="9"/>
  <c r="BI237" i="9"/>
  <c r="BX188" i="2"/>
  <c r="BW67" i="2"/>
  <c r="AF44" i="41"/>
  <c r="AD44" i="41"/>
  <c r="AL44" i="41"/>
  <c r="AC44" i="41"/>
  <c r="AH44" i="41"/>
  <c r="AO44" i="41"/>
  <c r="AG44" i="41"/>
  <c r="Y44" i="41"/>
  <c r="AP44" i="41"/>
  <c r="AI44" i="41"/>
  <c r="AK44" i="41"/>
  <c r="X44" i="41"/>
  <c r="AN44" i="41"/>
  <c r="AJ44" i="41"/>
  <c r="AE44" i="41"/>
  <c r="AA44" i="41"/>
  <c r="AQ44" i="41"/>
  <c r="AB44" i="41"/>
  <c r="AR44" i="41"/>
  <c r="Z44" i="41"/>
  <c r="AM44" i="41"/>
  <c r="U51" i="32"/>
  <c r="W51" i="32"/>
  <c r="V51" i="32"/>
  <c r="AH51" i="32"/>
  <c r="CA323" i="40"/>
  <c r="CA331" i="40"/>
  <c r="CB328" i="40"/>
  <c r="AP12" i="26"/>
  <c r="S29" i="41"/>
  <c r="BK202" i="22"/>
  <c r="BT207" i="9"/>
  <c r="BS167" i="22"/>
  <c r="BN157" i="7"/>
  <c r="BK202" i="9"/>
  <c r="BP207" i="11"/>
  <c r="BK137" i="11"/>
  <c r="BK162" i="10"/>
  <c r="CA197" i="11"/>
  <c r="CA237" i="11"/>
  <c r="BQ167" i="8"/>
  <c r="BK207" i="8"/>
  <c r="BK202" i="10"/>
  <c r="BW167" i="10"/>
  <c r="BV177" i="10"/>
  <c r="BK167" i="9"/>
  <c r="BP162" i="7"/>
  <c r="BK187" i="8"/>
  <c r="BX157" i="8"/>
  <c r="BT172" i="9"/>
  <c r="BR207" i="7"/>
  <c r="BK177" i="7"/>
  <c r="BY95" i="40"/>
  <c r="BZ324" i="40"/>
  <c r="BX111" i="40"/>
  <c r="BY332" i="40"/>
  <c r="BX101" i="40"/>
  <c r="BY327" i="40"/>
  <c r="BT97" i="40"/>
  <c r="BU325" i="40"/>
  <c r="CA327" i="40"/>
  <c r="BZ323" i="40"/>
  <c r="BZ332" i="40"/>
  <c r="BX109" i="40"/>
  <c r="BY331" i="40"/>
  <c r="BX93" i="40"/>
  <c r="BY323" i="40"/>
  <c r="BX103" i="40"/>
  <c r="BY328" i="40"/>
  <c r="BT107" i="40"/>
  <c r="BU330" i="40"/>
  <c r="BR99" i="40"/>
  <c r="BS326" i="40"/>
  <c r="BS105" i="40"/>
  <c r="BT329" i="40"/>
  <c r="BZ327" i="40"/>
  <c r="CB332" i="40"/>
  <c r="CA328" i="40"/>
  <c r="BZ331" i="40"/>
  <c r="BZ328" i="40"/>
  <c r="CB285" i="40"/>
  <c r="CB286" i="40"/>
  <c r="CB287" i="40"/>
  <c r="CB331" i="40"/>
  <c r="CB245" i="40"/>
  <c r="CB246" i="40"/>
  <c r="CB247" i="40"/>
  <c r="CB323" i="40"/>
  <c r="CB250" i="40"/>
  <c r="CB251" i="40"/>
  <c r="CB252" i="40"/>
  <c r="CB324" i="40"/>
  <c r="BY91" i="40"/>
  <c r="CA47" i="40"/>
  <c r="CA45" i="40"/>
  <c r="CA55" i="40"/>
  <c r="CA59" i="40"/>
  <c r="CA53" i="40"/>
  <c r="CA71" i="40"/>
  <c r="CB210" i="40"/>
  <c r="CB211" i="40"/>
  <c r="CB212" i="40"/>
  <c r="CB316" i="40"/>
  <c r="CA87" i="40"/>
  <c r="CA49" i="40"/>
  <c r="CA321" i="40"/>
  <c r="BZ89" i="40"/>
  <c r="CB182" i="40"/>
  <c r="CB310" i="40"/>
  <c r="CA157" i="40"/>
  <c r="CA319" i="40"/>
  <c r="BZ85" i="40"/>
  <c r="CB130" i="40"/>
  <c r="CB131" i="40"/>
  <c r="CB132" i="40"/>
  <c r="CB300" i="40"/>
  <c r="CB120" i="40"/>
  <c r="CB121" i="40"/>
  <c r="CB122" i="40"/>
  <c r="CB298" i="40"/>
  <c r="CB240" i="40"/>
  <c r="CB241" i="40"/>
  <c r="CB170" i="40"/>
  <c r="CB171" i="40"/>
  <c r="CB217" i="40"/>
  <c r="CB317" i="40"/>
  <c r="CA79" i="40"/>
  <c r="CA172" i="40"/>
  <c r="CB200" i="40"/>
  <c r="CB201" i="40"/>
  <c r="CB202" i="40"/>
  <c r="CB314" i="40"/>
  <c r="BZ311" i="40"/>
  <c r="BY69" i="40"/>
  <c r="CB220" i="40"/>
  <c r="CB221" i="40"/>
  <c r="CB222" i="40"/>
  <c r="CB318" i="40"/>
  <c r="CB155" i="40"/>
  <c r="CB156" i="40"/>
  <c r="CB157" i="40"/>
  <c r="CB305" i="40"/>
  <c r="CB125" i="40"/>
  <c r="CB126" i="40"/>
  <c r="CB127" i="40"/>
  <c r="CB299" i="40"/>
  <c r="CA43" i="40"/>
  <c r="CA63" i="40"/>
  <c r="CA75" i="40"/>
  <c r="CA83" i="40"/>
  <c r="CA57" i="40"/>
  <c r="BZ313" i="40"/>
  <c r="BY73" i="40"/>
  <c r="CB150" i="40"/>
  <c r="CB151" i="40"/>
  <c r="CB152" i="40"/>
  <c r="CB304" i="40"/>
  <c r="CA297" i="40"/>
  <c r="BZ41" i="40"/>
  <c r="CA317" i="40"/>
  <c r="BZ81" i="40"/>
  <c r="BZ309" i="40"/>
  <c r="BY65" i="40"/>
  <c r="CA202" i="40"/>
  <c r="CB160" i="40"/>
  <c r="CB161" i="40"/>
  <c r="CA302" i="40"/>
  <c r="BZ51" i="40"/>
  <c r="CB145" i="40"/>
  <c r="CB146" i="40"/>
  <c r="CB147" i="40"/>
  <c r="CB303" i="40"/>
  <c r="CB190" i="40"/>
  <c r="CB191" i="40"/>
  <c r="CA222" i="40"/>
  <c r="CA232" i="40"/>
  <c r="CB227" i="40"/>
  <c r="CB319" i="40"/>
  <c r="CA315" i="40"/>
  <c r="BZ77" i="40"/>
  <c r="CB207" i="40"/>
  <c r="CB315" i="40"/>
  <c r="CA192" i="40"/>
  <c r="CA310" i="40"/>
  <c r="BZ67" i="40"/>
  <c r="CA307" i="40"/>
  <c r="BZ61" i="40"/>
  <c r="CB230" i="40"/>
  <c r="CB231" i="40"/>
  <c r="CB232" i="40"/>
  <c r="CB320" i="40"/>
  <c r="CB135" i="40"/>
  <c r="CB136" i="40"/>
  <c r="CB137" i="40"/>
  <c r="CB301" i="40"/>
  <c r="CB195" i="11"/>
  <c r="CB196" i="11"/>
  <c r="BU192" i="22"/>
  <c r="BN60" i="10"/>
  <c r="BM159" i="10"/>
  <c r="BT62" i="8"/>
  <c r="BS164" i="8"/>
  <c r="BN149" i="11"/>
  <c r="BO56" i="11"/>
  <c r="BV169" i="9"/>
  <c r="BW64" i="9"/>
  <c r="BK202" i="11"/>
  <c r="BR187" i="22"/>
  <c r="BL166" i="9"/>
  <c r="BL165" i="9"/>
  <c r="BX78" i="22"/>
  <c r="BW204" i="22"/>
  <c r="BN56" i="22"/>
  <c r="BM149" i="22"/>
  <c r="BM150" i="22"/>
  <c r="BM151" i="22"/>
  <c r="BM152" i="22"/>
  <c r="BN67" i="9"/>
  <c r="BO233" i="9"/>
  <c r="BZ187" i="10"/>
  <c r="BP154" i="7"/>
  <c r="BQ58" i="7"/>
  <c r="BU164" i="22"/>
  <c r="BV62" i="22"/>
  <c r="BN81" i="10"/>
  <c r="BO240" i="10"/>
  <c r="BX72" i="22"/>
  <c r="BW189" i="22"/>
  <c r="CB184" i="10"/>
  <c r="CB71" i="10"/>
  <c r="CA71" i="10"/>
  <c r="BZ71" i="10"/>
  <c r="BM138" i="6"/>
  <c r="BM139" i="6"/>
  <c r="BM140" i="6"/>
  <c r="BM141" i="6"/>
  <c r="BN46" i="6"/>
  <c r="BL152" i="11"/>
  <c r="CG144" i="10"/>
  <c r="CH54" i="10"/>
  <c r="BM199" i="11"/>
  <c r="BN76" i="11"/>
  <c r="BW176" i="10"/>
  <c r="BW175" i="10"/>
  <c r="BL185" i="8"/>
  <c r="BL186" i="8"/>
  <c r="BU170" i="9"/>
  <c r="BU171" i="9"/>
  <c r="BL181" i="10"/>
  <c r="BL180" i="10"/>
  <c r="BN76" i="22"/>
  <c r="BM199" i="22"/>
  <c r="BU78" i="7"/>
  <c r="BT204" i="7"/>
  <c r="BR204" i="11"/>
  <c r="BS78" i="11"/>
  <c r="BR67" i="22"/>
  <c r="BS233" i="22"/>
  <c r="BO156" i="7"/>
  <c r="BO155" i="7"/>
  <c r="BT166" i="22"/>
  <c r="BT165" i="22"/>
  <c r="BV191" i="22"/>
  <c r="BV190" i="22"/>
  <c r="BN65" i="10"/>
  <c r="BO232" i="10"/>
  <c r="X55" i="11"/>
  <c r="Y227" i="11"/>
  <c r="CF146" i="10"/>
  <c r="CF145" i="10"/>
  <c r="BS186" i="22"/>
  <c r="BS185" i="22"/>
  <c r="BX174" i="10"/>
  <c r="BY66" i="10"/>
  <c r="BL136" i="11"/>
  <c r="BL135" i="11"/>
  <c r="BM184" i="8"/>
  <c r="BN70" i="8"/>
  <c r="BW78" i="9"/>
  <c r="BV204" i="9"/>
  <c r="CA58" i="8"/>
  <c r="BZ154" i="8"/>
  <c r="CE147" i="10"/>
  <c r="BM179" i="10"/>
  <c r="BN68" i="10"/>
  <c r="BO127" i="11"/>
  <c r="BL201" i="22"/>
  <c r="BL200" i="22"/>
  <c r="BS60" i="7"/>
  <c r="BR159" i="7"/>
  <c r="BS206" i="7"/>
  <c r="BS205" i="7"/>
  <c r="BZ62" i="10"/>
  <c r="BY164" i="10"/>
  <c r="BK182" i="10"/>
  <c r="BU207" i="22"/>
  <c r="BQ206" i="11"/>
  <c r="BQ205" i="11"/>
  <c r="BP126" i="11"/>
  <c r="BP125" i="11"/>
  <c r="BL202" i="7"/>
  <c r="BM204" i="8"/>
  <c r="BN78" i="8"/>
  <c r="BN76" i="10"/>
  <c r="BM199" i="10"/>
  <c r="BL175" i="7"/>
  <c r="BL176" i="7"/>
  <c r="BM200" i="7"/>
  <c r="BM201" i="7"/>
  <c r="BT184" i="22"/>
  <c r="BU70" i="22"/>
  <c r="BY75" i="11"/>
  <c r="BZ237" i="11"/>
  <c r="BN50" i="11"/>
  <c r="BM134" i="11"/>
  <c r="AA81" i="8"/>
  <c r="AB240" i="8"/>
  <c r="BL161" i="10"/>
  <c r="BL160" i="10"/>
  <c r="BR166" i="8"/>
  <c r="BR165" i="8"/>
  <c r="BU206" i="9"/>
  <c r="BU205" i="9"/>
  <c r="BY155" i="8"/>
  <c r="BY156" i="8"/>
  <c r="BM150" i="11"/>
  <c r="BM151" i="11"/>
  <c r="BM164" i="9"/>
  <c r="BN62" i="9"/>
  <c r="BV205" i="22"/>
  <c r="BV206" i="22"/>
  <c r="AD61" i="11"/>
  <c r="AE230" i="11"/>
  <c r="BQ161" i="7"/>
  <c r="BQ160" i="7"/>
  <c r="BX165" i="10"/>
  <c r="BX166" i="10"/>
  <c r="BR46" i="11"/>
  <c r="BQ124" i="11"/>
  <c r="BN229" i="10"/>
  <c r="BM59" i="10"/>
  <c r="CA185" i="10"/>
  <c r="CA186" i="10"/>
  <c r="BL206" i="8"/>
  <c r="BL205" i="8"/>
  <c r="BL200" i="10"/>
  <c r="BL201" i="10"/>
  <c r="BN66" i="7"/>
  <c r="BM174" i="7"/>
  <c r="BO76" i="7"/>
  <c r="BN199" i="7"/>
  <c r="BL200" i="11"/>
  <c r="BL201" i="11"/>
  <c r="U13" i="38"/>
  <c r="AD46" i="38"/>
  <c r="C79" i="38"/>
  <c r="R17" i="2"/>
  <c r="D17" i="20"/>
  <c r="BO109" i="11"/>
  <c r="BO110" i="11"/>
  <c r="BO111" i="11"/>
  <c r="BO112" i="11"/>
  <c r="BP40" i="11"/>
  <c r="BM109" i="10"/>
  <c r="BM110" i="10"/>
  <c r="BM111" i="10"/>
  <c r="BM112" i="10"/>
  <c r="BN40" i="10"/>
  <c r="BN38" i="10"/>
  <c r="BM104" i="10"/>
  <c r="BM105" i="10"/>
  <c r="BM106" i="10"/>
  <c r="BM107" i="10"/>
  <c r="BM139" i="10"/>
  <c r="BM140" i="10"/>
  <c r="BM141" i="10"/>
  <c r="BM142" i="10"/>
  <c r="BN52" i="10"/>
  <c r="BM114" i="10"/>
  <c r="BM115" i="10"/>
  <c r="BM116" i="10"/>
  <c r="BM117" i="10"/>
  <c r="BN42" i="10"/>
  <c r="BN32" i="10"/>
  <c r="BM89" i="10"/>
  <c r="BM90" i="10"/>
  <c r="BM91" i="10"/>
  <c r="BM92" i="10"/>
  <c r="BO44" i="10"/>
  <c r="BN119" i="10"/>
  <c r="BN120" i="10"/>
  <c r="BN121" i="10"/>
  <c r="BN122" i="10"/>
  <c r="BN48" i="10"/>
  <c r="BM129" i="10"/>
  <c r="BM130" i="10"/>
  <c r="BM131" i="10"/>
  <c r="BM132" i="10"/>
  <c r="BM94" i="10"/>
  <c r="BM95" i="10"/>
  <c r="BM96" i="10"/>
  <c r="BM97" i="10"/>
  <c r="BN34" i="10"/>
  <c r="BM124" i="10"/>
  <c r="BM125" i="10"/>
  <c r="BM126" i="10"/>
  <c r="BM127" i="10"/>
  <c r="BN46" i="10"/>
  <c r="BN30" i="10"/>
  <c r="BM84" i="10"/>
  <c r="BM85" i="10"/>
  <c r="BM86" i="10"/>
  <c r="BM87" i="10"/>
  <c r="BN139" i="22"/>
  <c r="BN140" i="22"/>
  <c r="BN141" i="22"/>
  <c r="BN142" i="22"/>
  <c r="BO52" i="22"/>
  <c r="BM134" i="22"/>
  <c r="BM135" i="22"/>
  <c r="BM136" i="22"/>
  <c r="BM137" i="22"/>
  <c r="BN50" i="22"/>
  <c r="BM114" i="22"/>
  <c r="BM115" i="22"/>
  <c r="BM116" i="22"/>
  <c r="BM117" i="22"/>
  <c r="BN42" i="22"/>
  <c r="BN124" i="22"/>
  <c r="BN125" i="22"/>
  <c r="BN126" i="22"/>
  <c r="BN127" i="22"/>
  <c r="BO46" i="22"/>
  <c r="BM124" i="8"/>
  <c r="BM125" i="8"/>
  <c r="BM126" i="8"/>
  <c r="BM127" i="8"/>
  <c r="BN46" i="8"/>
  <c r="BO50" i="8"/>
  <c r="BN134" i="8"/>
  <c r="BN135" i="8"/>
  <c r="BN136" i="8"/>
  <c r="BN137" i="8"/>
  <c r="BK192" i="9"/>
  <c r="BP192" i="8"/>
  <c r="CB192" i="11"/>
  <c r="CB236" i="11"/>
  <c r="CA162" i="8"/>
  <c r="CA230" i="8"/>
  <c r="AV66" i="2"/>
  <c r="AW187" i="2"/>
  <c r="BQ75" i="22"/>
  <c r="BR237" i="22"/>
  <c r="BN57" i="10"/>
  <c r="BO228" i="10"/>
  <c r="AS51" i="32"/>
  <c r="BM219" i="1"/>
  <c r="BN71" i="9"/>
  <c r="BO235" i="9"/>
  <c r="BM189" i="9"/>
  <c r="BN72" i="9"/>
  <c r="BN76" i="9"/>
  <c r="BM199" i="9"/>
  <c r="U66" i="2"/>
  <c r="V187" i="2"/>
  <c r="AM66" i="2"/>
  <c r="AN187" i="2"/>
  <c r="BT67" i="11"/>
  <c r="BU233" i="11"/>
  <c r="BG73" i="10"/>
  <c r="BH236" i="10"/>
  <c r="BS67" i="8"/>
  <c r="BT233" i="8"/>
  <c r="AF69" i="11"/>
  <c r="AG234" i="11"/>
  <c r="BR75" i="7"/>
  <c r="BS237" i="7"/>
  <c r="S65" i="8"/>
  <c r="T232" i="8"/>
  <c r="BT81" i="11"/>
  <c r="BU240" i="11"/>
  <c r="BD31" i="22"/>
  <c r="BE215" i="22"/>
  <c r="BS71" i="7"/>
  <c r="BT235" i="7"/>
  <c r="BA65" i="7"/>
  <c r="BB232" i="7"/>
  <c r="BL191" i="9"/>
  <c r="BL190" i="9"/>
  <c r="BQ75" i="10"/>
  <c r="BR237" i="10"/>
  <c r="CB160" i="8"/>
  <c r="CB161" i="8"/>
  <c r="AE63" i="11"/>
  <c r="AF231" i="11"/>
  <c r="BP69" i="9"/>
  <c r="BQ234" i="9"/>
  <c r="A189" i="2"/>
  <c r="BW189" i="2"/>
  <c r="A69" i="2"/>
  <c r="BO81" i="7"/>
  <c r="BP240" i="7"/>
  <c r="K51" i="32"/>
  <c r="L51" i="32"/>
  <c r="N51" i="32"/>
  <c r="O51" i="32"/>
  <c r="P51" i="32"/>
  <c r="Q51" i="32"/>
  <c r="AN51" i="32"/>
  <c r="BN66" i="2"/>
  <c r="BO187" i="2"/>
  <c r="BE66" i="2"/>
  <c r="CF66" i="2"/>
  <c r="BF187" i="2"/>
  <c r="BU69" i="8"/>
  <c r="BV234" i="8"/>
  <c r="BX61" i="8"/>
  <c r="BY230" i="8"/>
  <c r="BK69" i="7"/>
  <c r="BL234" i="7"/>
  <c r="BO79" i="10"/>
  <c r="BP239" i="10"/>
  <c r="BH53" i="11"/>
  <c r="BI226" i="11"/>
  <c r="BV77" i="8"/>
  <c r="BW238" i="8"/>
  <c r="AD188" i="2"/>
  <c r="AM188" i="2"/>
  <c r="BN188" i="2"/>
  <c r="L188" i="2"/>
  <c r="C188" i="2"/>
  <c r="AV188" i="2"/>
  <c r="U188" i="2"/>
  <c r="BE188" i="2"/>
  <c r="BQ191" i="8"/>
  <c r="BQ190" i="8"/>
  <c r="BO65" i="22"/>
  <c r="BP232" i="22"/>
  <c r="BN32" i="22"/>
  <c r="BM89" i="22"/>
  <c r="BM90" i="22"/>
  <c r="BM91" i="22"/>
  <c r="BM92" i="22"/>
  <c r="AD66" i="2"/>
  <c r="AE187" i="2"/>
  <c r="BV73" i="11"/>
  <c r="BW236" i="11"/>
  <c r="BT61" i="22"/>
  <c r="BU230" i="22"/>
  <c r="AG51" i="32"/>
  <c r="AO51" i="32"/>
  <c r="AA65" i="11"/>
  <c r="AB232" i="11"/>
  <c r="BL200" i="9"/>
  <c r="BL201" i="9"/>
  <c r="C66" i="2"/>
  <c r="D187" i="2"/>
  <c r="M187" i="2"/>
  <c r="L66" i="2"/>
  <c r="N66" i="2"/>
  <c r="O66" i="2"/>
  <c r="BQ81" i="22"/>
  <c r="BR240" i="22"/>
  <c r="Q73" i="7"/>
  <c r="R236" i="7"/>
  <c r="BZ230" i="8"/>
  <c r="BL49" i="11"/>
  <c r="BM224" i="11"/>
  <c r="BM81" i="9"/>
  <c r="BN240" i="9"/>
  <c r="BQ75" i="8"/>
  <c r="BR237" i="8"/>
  <c r="BS69" i="22"/>
  <c r="BT234" i="22"/>
  <c r="BS72" i="8"/>
  <c r="BR189" i="8"/>
  <c r="T45" i="30"/>
  <c r="AE45" i="30"/>
  <c r="AK45" i="30"/>
  <c r="AN45" i="30"/>
  <c r="AL45" i="30"/>
  <c r="X45" i="30"/>
  <c r="AI45" i="30"/>
  <c r="AB45" i="30"/>
  <c r="AA45" i="30"/>
  <c r="Z45" i="30"/>
  <c r="AP45" i="30"/>
  <c r="AD45" i="30"/>
  <c r="AM45" i="30"/>
  <c r="AC45" i="30"/>
  <c r="AH45" i="30"/>
  <c r="AF45" i="30"/>
  <c r="AJ45" i="30"/>
  <c r="AQ45" i="30"/>
  <c r="AR45" i="30"/>
  <c r="AG45" i="30"/>
  <c r="Y45" i="30"/>
  <c r="AO45" i="30"/>
  <c r="BS167" i="7"/>
  <c r="BR94" i="8"/>
  <c r="BR95" i="8"/>
  <c r="BR96" i="8"/>
  <c r="BR97" i="8"/>
  <c r="BS34" i="8"/>
  <c r="BM119" i="8"/>
  <c r="BM120" i="8"/>
  <c r="BM121" i="8"/>
  <c r="BM122" i="8"/>
  <c r="BN44" i="8"/>
  <c r="BN42" i="8"/>
  <c r="BM114" i="8"/>
  <c r="BM115" i="8"/>
  <c r="BM116" i="8"/>
  <c r="BM117" i="8"/>
  <c r="BN32" i="11"/>
  <c r="BM89" i="11"/>
  <c r="BM90" i="11"/>
  <c r="BM91" i="11"/>
  <c r="BM92" i="11"/>
  <c r="BU164" i="7"/>
  <c r="BV62" i="7"/>
  <c r="BT166" i="7"/>
  <c r="BT165" i="7"/>
  <c r="BO30" i="9"/>
  <c r="BN84" i="9"/>
  <c r="BN85" i="9"/>
  <c r="BN86" i="9"/>
  <c r="BN87" i="9"/>
  <c r="BN52" i="9"/>
  <c r="BM139" i="9"/>
  <c r="BM140" i="9"/>
  <c r="BM141" i="9"/>
  <c r="BM142" i="9"/>
  <c r="BP30" i="1"/>
  <c r="BO86" i="1"/>
  <c r="BO87" i="1"/>
  <c r="BO88" i="1"/>
  <c r="BO89" i="1"/>
  <c r="BN52" i="1"/>
  <c r="BM141" i="1"/>
  <c r="BM142" i="1"/>
  <c r="BM143" i="1"/>
  <c r="BM144" i="1"/>
  <c r="BM181" i="1"/>
  <c r="BM182" i="1"/>
  <c r="BM183" i="1"/>
  <c r="BM184" i="1"/>
  <c r="BN68" i="1"/>
  <c r="BN48" i="1"/>
  <c r="BM131" i="1"/>
  <c r="BM132" i="1"/>
  <c r="BM133" i="1"/>
  <c r="BM134" i="1"/>
  <c r="BN34" i="1"/>
  <c r="BM96" i="1"/>
  <c r="BM97" i="1"/>
  <c r="BM98" i="1"/>
  <c r="BM99" i="1"/>
  <c r="BN58" i="1"/>
  <c r="BM156" i="1"/>
  <c r="BM157" i="1"/>
  <c r="BM158" i="1"/>
  <c r="BM159" i="1"/>
  <c r="BN64" i="1"/>
  <c r="BM171" i="1"/>
  <c r="BM172" i="1"/>
  <c r="BM173" i="1"/>
  <c r="BM174" i="1"/>
  <c r="BO91" i="1"/>
  <c r="BO92" i="1"/>
  <c r="BO93" i="1"/>
  <c r="BO94" i="1"/>
  <c r="BP32" i="1"/>
  <c r="BL182" i="1"/>
  <c r="BL183" i="1"/>
  <c r="BL184" i="1"/>
  <c r="BM136" i="1"/>
  <c r="BM137" i="1"/>
  <c r="BM138" i="1"/>
  <c r="BM139" i="1"/>
  <c r="BN50" i="1"/>
  <c r="U51" i="33"/>
  <c r="W51" i="33"/>
  <c r="V51" i="33"/>
  <c r="AV51" i="32"/>
  <c r="AC51" i="32"/>
  <c r="AI51" i="32"/>
  <c r="AW51" i="32"/>
  <c r="AY51" i="32"/>
  <c r="AJ51" i="32"/>
  <c r="AB51" i="32"/>
  <c r="Y51" i="32"/>
  <c r="AT51" i="32"/>
  <c r="AF51" i="32"/>
  <c r="AX51" i="32"/>
  <c r="AA51" i="32"/>
  <c r="AQ51" i="32"/>
  <c r="AL51" i="32"/>
  <c r="AK51" i="32"/>
  <c r="AU51" i="32"/>
  <c r="X51" i="32"/>
  <c r="AR51" i="32"/>
  <c r="AP51" i="32"/>
  <c r="AM51" i="32"/>
  <c r="AD51" i="32"/>
  <c r="Z51" i="32"/>
  <c r="BN119" i="22"/>
  <c r="BN120" i="22"/>
  <c r="BN121" i="22"/>
  <c r="BN122" i="22"/>
  <c r="BO44" i="22"/>
  <c r="BN128" i="6"/>
  <c r="BN129" i="6"/>
  <c r="BN130" i="6"/>
  <c r="BN131" i="6"/>
  <c r="BO42" i="6"/>
  <c r="BM88" i="6"/>
  <c r="BM89" i="6"/>
  <c r="BM90" i="6"/>
  <c r="BM91" i="6"/>
  <c r="BN26" i="6"/>
  <c r="BN32" i="6"/>
  <c r="BM103" i="6"/>
  <c r="BM104" i="6"/>
  <c r="BM105" i="6"/>
  <c r="BM106" i="6"/>
  <c r="BN28" i="6"/>
  <c r="BM93" i="6"/>
  <c r="BM94" i="6"/>
  <c r="BM95" i="6"/>
  <c r="BM96" i="6"/>
  <c r="BM78" i="6"/>
  <c r="BM79" i="6"/>
  <c r="BM80" i="6"/>
  <c r="BM81" i="6"/>
  <c r="BN22" i="6"/>
  <c r="BM108" i="6"/>
  <c r="BM109" i="6"/>
  <c r="BM110" i="6"/>
  <c r="BM111" i="6"/>
  <c r="BN34" i="6"/>
  <c r="BN40" i="6"/>
  <c r="BM123" i="6"/>
  <c r="BM124" i="6"/>
  <c r="BM125" i="6"/>
  <c r="BM126" i="6"/>
  <c r="BN24" i="6"/>
  <c r="BM83" i="6"/>
  <c r="BM84" i="6"/>
  <c r="BM85" i="6"/>
  <c r="BM86" i="6"/>
  <c r="BM133" i="6"/>
  <c r="BM134" i="6"/>
  <c r="BM135" i="6"/>
  <c r="BM136" i="6"/>
  <c r="BN44" i="6"/>
  <c r="BL104" i="6"/>
  <c r="BL105" i="6"/>
  <c r="BL106" i="6"/>
  <c r="BO30" i="6"/>
  <c r="BN98" i="6"/>
  <c r="BN99" i="6"/>
  <c r="BN100" i="6"/>
  <c r="BN101" i="6"/>
  <c r="BM113" i="6"/>
  <c r="BM114" i="6"/>
  <c r="BM115" i="6"/>
  <c r="BM116" i="6"/>
  <c r="BN36" i="6"/>
  <c r="BN217" i="1"/>
  <c r="BN218" i="1"/>
  <c r="BQ80" i="1"/>
  <c r="BP211" i="1"/>
  <c r="BP212" i="1"/>
  <c r="BP213" i="1"/>
  <c r="BP214" i="1"/>
  <c r="BK129" i="1"/>
  <c r="BM116" i="1"/>
  <c r="BM117" i="1"/>
  <c r="BM118" i="1"/>
  <c r="BM119" i="1"/>
  <c r="BN42" i="1"/>
  <c r="BP82" i="1"/>
  <c r="BO216" i="1"/>
  <c r="BK119" i="1"/>
  <c r="BO212" i="1"/>
  <c r="BO213" i="1"/>
  <c r="BM179" i="1"/>
  <c r="BK189" i="1"/>
  <c r="BK199" i="1"/>
  <c r="BK117" i="7"/>
  <c r="BR38" i="8"/>
  <c r="BQ104" i="8"/>
  <c r="BQ105" i="8"/>
  <c r="BQ106" i="8"/>
  <c r="BQ107" i="8"/>
  <c r="BN99" i="8"/>
  <c r="BN100" i="8"/>
  <c r="BN101" i="8"/>
  <c r="BN102" i="8"/>
  <c r="BO36" i="8"/>
  <c r="BM120" i="11"/>
  <c r="BM121" i="11"/>
  <c r="BM122" i="11"/>
  <c r="BO44" i="11"/>
  <c r="BN119" i="11"/>
  <c r="U50" i="36"/>
  <c r="T51" i="32"/>
  <c r="BO87" i="11"/>
  <c r="BM94" i="22"/>
  <c r="BM95" i="22"/>
  <c r="BM96" i="22"/>
  <c r="BM97" i="22"/>
  <c r="BN34" i="22"/>
  <c r="BO38" i="22"/>
  <c r="BN104" i="22"/>
  <c r="BM129" i="22"/>
  <c r="BM130" i="22"/>
  <c r="BM131" i="22"/>
  <c r="BM132" i="22"/>
  <c r="BN48" i="22"/>
  <c r="BN42" i="7"/>
  <c r="BM114" i="7"/>
  <c r="BM115" i="7"/>
  <c r="BM116" i="7"/>
  <c r="BM117" i="7"/>
  <c r="BM85" i="7"/>
  <c r="BM86" i="7"/>
  <c r="BN34" i="7"/>
  <c r="BM94" i="7"/>
  <c r="BM95" i="7"/>
  <c r="BM96" i="7"/>
  <c r="BM97" i="7"/>
  <c r="BO36" i="7"/>
  <c r="BN99" i="7"/>
  <c r="BN100" i="7"/>
  <c r="BN101" i="7"/>
  <c r="BN102" i="7"/>
  <c r="BO38" i="7"/>
  <c r="BN104" i="7"/>
  <c r="BN105" i="7"/>
  <c r="BN106" i="7"/>
  <c r="BN107" i="7"/>
  <c r="BL95" i="7"/>
  <c r="BL96" i="7"/>
  <c r="BL97" i="7"/>
  <c r="BM100" i="7"/>
  <c r="BM101" i="7"/>
  <c r="BM102" i="7"/>
  <c r="BO30" i="7"/>
  <c r="BN84" i="7"/>
  <c r="BN85" i="7"/>
  <c r="BN86" i="7"/>
  <c r="BN87" i="7"/>
  <c r="BP109" i="7"/>
  <c r="BP110" i="7"/>
  <c r="BP111" i="7"/>
  <c r="BP112" i="7"/>
  <c r="BQ40" i="7"/>
  <c r="BQ38" i="6"/>
  <c r="BP118" i="6"/>
  <c r="BP119" i="6"/>
  <c r="BP120" i="6"/>
  <c r="BP121" i="6"/>
  <c r="BM124" i="9"/>
  <c r="BM125" i="9"/>
  <c r="BM126" i="9"/>
  <c r="BM127" i="9"/>
  <c r="BN46" i="9"/>
  <c r="BQ38" i="9"/>
  <c r="BP104" i="9"/>
  <c r="BP105" i="9"/>
  <c r="BP106" i="9"/>
  <c r="BP107" i="9"/>
  <c r="BM94" i="9"/>
  <c r="BM95" i="9"/>
  <c r="BM96" i="9"/>
  <c r="BM97" i="9"/>
  <c r="BN34" i="9"/>
  <c r="BQ144" i="9"/>
  <c r="BQ145" i="9"/>
  <c r="BQ146" i="9"/>
  <c r="BQ147" i="9"/>
  <c r="BR54" i="9"/>
  <c r="BM42" i="9"/>
  <c r="BL114" i="9"/>
  <c r="BL115" i="9"/>
  <c r="BL116" i="9"/>
  <c r="BL117" i="9"/>
  <c r="BO50" i="9"/>
  <c r="BN134" i="9"/>
  <c r="BN135" i="9"/>
  <c r="BN136" i="9"/>
  <c r="BN137" i="9"/>
  <c r="BO89" i="9"/>
  <c r="BO90" i="9"/>
  <c r="BO91" i="9"/>
  <c r="BO92" i="9"/>
  <c r="BP32" i="9"/>
  <c r="BN56" i="9"/>
  <c r="BM149" i="9"/>
  <c r="BM119" i="9"/>
  <c r="BM120" i="9"/>
  <c r="BM121" i="9"/>
  <c r="BM122" i="9"/>
  <c r="BN44" i="9"/>
  <c r="BN48" i="9"/>
  <c r="BM129" i="9"/>
  <c r="BM130" i="9"/>
  <c r="BM131" i="9"/>
  <c r="BM132" i="9"/>
  <c r="BS151" i="1"/>
  <c r="BS152" i="1"/>
  <c r="BS153" i="1"/>
  <c r="BS154" i="1"/>
  <c r="BT56" i="1"/>
  <c r="BN74" i="1"/>
  <c r="BM196" i="1"/>
  <c r="BM197" i="1"/>
  <c r="BM198" i="1"/>
  <c r="BM199" i="1"/>
  <c r="BN177" i="1"/>
  <c r="BN178" i="1"/>
  <c r="BN179" i="1"/>
  <c r="BL207" i="1"/>
  <c r="BL208" i="1"/>
  <c r="BL209" i="1"/>
  <c r="BP66" i="1"/>
  <c r="BO176" i="1"/>
  <c r="BO177" i="1"/>
  <c r="BO178" i="1"/>
  <c r="BO179" i="1"/>
  <c r="BN70" i="1"/>
  <c r="BM186" i="1"/>
  <c r="BM187" i="1"/>
  <c r="BM188" i="1"/>
  <c r="BM189" i="1"/>
  <c r="BN78" i="1"/>
  <c r="BM206" i="1"/>
  <c r="BM207" i="1"/>
  <c r="BM208" i="1"/>
  <c r="BM209" i="1"/>
  <c r="BN161" i="1"/>
  <c r="BN162" i="1"/>
  <c r="BN163" i="1"/>
  <c r="BN164" i="1"/>
  <c r="BO60" i="1"/>
  <c r="BP76" i="1"/>
  <c r="BO201" i="1"/>
  <c r="BO202" i="1"/>
  <c r="BO203" i="1"/>
  <c r="BO204" i="1"/>
  <c r="BO72" i="1"/>
  <c r="BN191" i="1"/>
  <c r="BN192" i="1"/>
  <c r="BN193" i="1"/>
  <c r="BN194" i="1"/>
  <c r="K51" i="37"/>
  <c r="T51" i="37"/>
  <c r="AQ51" i="37"/>
  <c r="AW51" i="37"/>
  <c r="AH51" i="37"/>
  <c r="AR51" i="37"/>
  <c r="AK51" i="37"/>
  <c r="X51" i="37"/>
  <c r="AT51" i="37"/>
  <c r="AF51" i="37"/>
  <c r="AX51" i="37"/>
  <c r="AN51" i="37"/>
  <c r="AI51" i="37"/>
  <c r="AJ51" i="37"/>
  <c r="AY51" i="37"/>
  <c r="AB51" i="37"/>
  <c r="AO51" i="37"/>
  <c r="AM51" i="37"/>
  <c r="Z51" i="37"/>
  <c r="AE51" i="37"/>
  <c r="AD51" i="37"/>
  <c r="AV51" i="37"/>
  <c r="AS51" i="37"/>
  <c r="Y51" i="37"/>
  <c r="AG51" i="37"/>
  <c r="AP51" i="37"/>
  <c r="AL51" i="37"/>
  <c r="AA51" i="37"/>
  <c r="AC51" i="37"/>
  <c r="AU51" i="37"/>
  <c r="BR115" i="11"/>
  <c r="BR116" i="11"/>
  <c r="BR117" i="11"/>
  <c r="BT42" i="11"/>
  <c r="BS114" i="11"/>
  <c r="W48" i="34"/>
  <c r="V48" i="34"/>
  <c r="K48" i="34"/>
  <c r="V26" i="26"/>
  <c r="S43" i="34"/>
  <c r="R42" i="34"/>
  <c r="L49" i="35"/>
  <c r="N49" i="35"/>
  <c r="O49" i="35"/>
  <c r="P49" i="35"/>
  <c r="Q49" i="35"/>
  <c r="T49" i="35"/>
  <c r="Z49" i="35"/>
  <c r="AP49" i="35"/>
  <c r="AF49" i="35"/>
  <c r="AV49" i="35"/>
  <c r="AK49" i="35"/>
  <c r="AA49" i="35"/>
  <c r="AI49" i="35"/>
  <c r="AD49" i="35"/>
  <c r="AT49" i="35"/>
  <c r="AJ49" i="35"/>
  <c r="Y49" i="35"/>
  <c r="AO49" i="35"/>
  <c r="AQ49" i="35"/>
  <c r="AM49" i="35"/>
  <c r="AH49" i="35"/>
  <c r="X49" i="35"/>
  <c r="AN49" i="35"/>
  <c r="AC49" i="35"/>
  <c r="AS49" i="35"/>
  <c r="AE49" i="35"/>
  <c r="AL49" i="35"/>
  <c r="AB49" i="35"/>
  <c r="AR49" i="35"/>
  <c r="AG49" i="35"/>
  <c r="AW49" i="35"/>
  <c r="AU49" i="35"/>
  <c r="BL107" i="11"/>
  <c r="BN104" i="11"/>
  <c r="BO38" i="11"/>
  <c r="BO99" i="11"/>
  <c r="BP36" i="11"/>
  <c r="BP85" i="11"/>
  <c r="BP86" i="11"/>
  <c r="BP87" i="11"/>
  <c r="BM105" i="11"/>
  <c r="BM106" i="11"/>
  <c r="BQ84" i="11"/>
  <c r="BR30" i="11"/>
  <c r="BN100" i="11"/>
  <c r="BN101" i="11"/>
  <c r="BN102" i="11"/>
  <c r="BM135" i="10"/>
  <c r="BM136" i="10"/>
  <c r="BM137" i="10"/>
  <c r="BN134" i="10"/>
  <c r="BO50" i="10"/>
  <c r="BM100" i="10"/>
  <c r="BM101" i="10"/>
  <c r="BN99" i="10"/>
  <c r="BO36" i="10"/>
  <c r="BN58" i="22"/>
  <c r="BM154" i="22"/>
  <c r="BL155" i="22"/>
  <c r="BL156" i="22"/>
  <c r="BL157" i="22"/>
  <c r="BO36" i="22"/>
  <c r="BN99" i="22"/>
  <c r="BN109" i="22"/>
  <c r="BO40" i="22"/>
  <c r="BM145" i="22"/>
  <c r="BM146" i="22"/>
  <c r="BM147" i="22"/>
  <c r="BM100" i="22"/>
  <c r="BM101" i="22"/>
  <c r="BM102" i="22"/>
  <c r="BM110" i="22"/>
  <c r="BM111" i="22"/>
  <c r="BM112" i="22"/>
  <c r="BO54" i="22"/>
  <c r="BN144" i="22"/>
  <c r="BO150" i="8"/>
  <c r="BO151" i="8"/>
  <c r="BO152" i="8"/>
  <c r="BQ56" i="8"/>
  <c r="BP149" i="8"/>
  <c r="BM145" i="8"/>
  <c r="BM146" i="8"/>
  <c r="BM147" i="8"/>
  <c r="BN144" i="8"/>
  <c r="BO54" i="8"/>
  <c r="BL140" i="8"/>
  <c r="BL141" i="8"/>
  <c r="BL142" i="8"/>
  <c r="BL110" i="8"/>
  <c r="BL111" i="8"/>
  <c r="BL112" i="8"/>
  <c r="BM89" i="8"/>
  <c r="BN32" i="8"/>
  <c r="BM109" i="8"/>
  <c r="BN40" i="8"/>
  <c r="BM30" i="8"/>
  <c r="BL84" i="8"/>
  <c r="BN48" i="8"/>
  <c r="BM129" i="8"/>
  <c r="BK85" i="8"/>
  <c r="BK86" i="8"/>
  <c r="BK87" i="8"/>
  <c r="BM139" i="8"/>
  <c r="BN52" i="8"/>
  <c r="BL90" i="8"/>
  <c r="BL91" i="8"/>
  <c r="BL92" i="8"/>
  <c r="BL130" i="8"/>
  <c r="BL131" i="8"/>
  <c r="BL132" i="8"/>
  <c r="BL145" i="7"/>
  <c r="BL146" i="7"/>
  <c r="BL147" i="7"/>
  <c r="BM144" i="7"/>
  <c r="BN54" i="7"/>
  <c r="BL140" i="7"/>
  <c r="BL141" i="7"/>
  <c r="BL142" i="7"/>
  <c r="BM139" i="7"/>
  <c r="BN52" i="7"/>
  <c r="BL135" i="7"/>
  <c r="BL136" i="7"/>
  <c r="BL137" i="7"/>
  <c r="BM134" i="7"/>
  <c r="BN50" i="7"/>
  <c r="BS90" i="7"/>
  <c r="BS91" i="7"/>
  <c r="BS92" i="7"/>
  <c r="BU32" i="7"/>
  <c r="BT89" i="7"/>
  <c r="BO124" i="7"/>
  <c r="BP46" i="7"/>
  <c r="BQ44" i="7"/>
  <c r="BP119" i="7"/>
  <c r="BN125" i="7"/>
  <c r="BN126" i="7"/>
  <c r="BO120" i="7"/>
  <c r="BO121" i="7"/>
  <c r="BO122" i="7"/>
  <c r="BM163" i="6"/>
  <c r="BN56" i="6"/>
  <c r="BL164" i="6"/>
  <c r="BL165" i="6"/>
  <c r="BL166" i="6"/>
  <c r="BN54" i="6"/>
  <c r="BM158" i="6"/>
  <c r="BL159" i="6"/>
  <c r="BL160" i="6"/>
  <c r="BL161" i="6"/>
  <c r="BL154" i="6"/>
  <c r="BL155" i="6"/>
  <c r="BL156" i="6"/>
  <c r="BN52" i="6"/>
  <c r="BM153" i="6"/>
  <c r="BM148" i="6"/>
  <c r="BN50" i="6"/>
  <c r="BL149" i="6"/>
  <c r="BL150" i="6"/>
  <c r="BL151" i="6"/>
  <c r="BM143" i="6"/>
  <c r="BN48" i="6"/>
  <c r="BL144" i="6"/>
  <c r="BL145" i="6"/>
  <c r="BL146" i="6"/>
  <c r="BM160" i="9"/>
  <c r="BM161" i="9"/>
  <c r="BM162" i="9"/>
  <c r="BO60" i="9"/>
  <c r="BN159" i="9"/>
  <c r="BL155" i="9"/>
  <c r="BL156" i="9"/>
  <c r="BL157" i="9"/>
  <c r="BM154" i="9"/>
  <c r="BN58" i="9"/>
  <c r="BM110" i="9"/>
  <c r="BM111" i="9"/>
  <c r="BM112" i="9"/>
  <c r="BM100" i="9"/>
  <c r="BM101" i="9"/>
  <c r="BM102" i="9"/>
  <c r="BN109" i="9"/>
  <c r="BO40" i="9"/>
  <c r="BN99" i="9"/>
  <c r="BO36" i="9"/>
  <c r="BL167" i="1"/>
  <c r="BL168" i="1"/>
  <c r="BL169" i="1"/>
  <c r="BM166" i="1"/>
  <c r="BN62" i="1"/>
  <c r="BL127" i="1"/>
  <c r="BL128" i="1"/>
  <c r="BL129" i="1"/>
  <c r="BM146" i="1"/>
  <c r="BN54" i="1"/>
  <c r="BN46" i="1"/>
  <c r="BM126" i="1"/>
  <c r="BL147" i="1"/>
  <c r="BL148" i="1"/>
  <c r="BL149" i="1"/>
  <c r="BN122" i="1"/>
  <c r="BN123" i="1"/>
  <c r="BN124" i="1"/>
  <c r="BP44" i="1"/>
  <c r="BO121" i="1"/>
  <c r="BN112" i="1"/>
  <c r="BN113" i="1"/>
  <c r="BN114" i="1"/>
  <c r="BL107" i="1"/>
  <c r="BL108" i="1"/>
  <c r="BL109" i="1"/>
  <c r="BO111" i="1"/>
  <c r="BP40" i="1"/>
  <c r="BN102" i="1"/>
  <c r="BN103" i="1"/>
  <c r="BN104" i="1"/>
  <c r="BN38" i="1"/>
  <c r="BM106" i="1"/>
  <c r="BO101" i="1"/>
  <c r="BP36" i="1"/>
  <c r="BN129" i="7"/>
  <c r="BN130" i="7"/>
  <c r="BN131" i="7"/>
  <c r="BN132" i="7"/>
  <c r="BO48" i="7"/>
  <c r="AE51" i="32"/>
  <c r="U45" i="41"/>
  <c r="W45" i="41"/>
  <c r="V45" i="41"/>
  <c r="BG75" i="9"/>
  <c r="BH237" i="9"/>
  <c r="BW68" i="2"/>
  <c r="BX189" i="2"/>
  <c r="Q59" i="11"/>
  <c r="R229" i="11"/>
  <c r="BL202" i="11"/>
  <c r="BX167" i="10"/>
  <c r="BM202" i="7"/>
  <c r="BP127" i="11"/>
  <c r="BS207" i="7"/>
  <c r="BL202" i="22"/>
  <c r="CB197" i="11"/>
  <c r="CB237" i="11"/>
  <c r="BV207" i="22"/>
  <c r="BM152" i="11"/>
  <c r="BL177" i="7"/>
  <c r="BU172" i="9"/>
  <c r="BR167" i="8"/>
  <c r="BL182" i="10"/>
  <c r="BO157" i="7"/>
  <c r="BL167" i="9"/>
  <c r="BQ99" i="40"/>
  <c r="BR326" i="40"/>
  <c r="BW103" i="40"/>
  <c r="BX328" i="40"/>
  <c r="BW109" i="40"/>
  <c r="BX331" i="40"/>
  <c r="BS97" i="40"/>
  <c r="BT325" i="40"/>
  <c r="BW111" i="40"/>
  <c r="BX332" i="40"/>
  <c r="BR105" i="40"/>
  <c r="BS329" i="40"/>
  <c r="BS107" i="40"/>
  <c r="BT330" i="40"/>
  <c r="BW93" i="40"/>
  <c r="BX323" i="40"/>
  <c r="BW101" i="40"/>
  <c r="BX327" i="40"/>
  <c r="BX95" i="40"/>
  <c r="BY324" i="40"/>
  <c r="BX91" i="40"/>
  <c r="BZ307" i="40"/>
  <c r="BY61" i="40"/>
  <c r="BY309" i="40"/>
  <c r="BX65" i="40"/>
  <c r="BY313" i="40"/>
  <c r="BX73" i="40"/>
  <c r="CA318" i="40"/>
  <c r="BZ83" i="40"/>
  <c r="CA301" i="40"/>
  <c r="BZ49" i="40"/>
  <c r="CA303" i="40"/>
  <c r="BZ53" i="40"/>
  <c r="CA304" i="40"/>
  <c r="BZ55" i="40"/>
  <c r="CA322" i="40"/>
  <c r="CB162" i="40"/>
  <c r="CB306" i="40"/>
  <c r="CB242" i="40"/>
  <c r="CB322" i="40"/>
  <c r="BZ297" i="40"/>
  <c r="BY41" i="40"/>
  <c r="BZ310" i="40"/>
  <c r="BY67" i="40"/>
  <c r="BZ315" i="40"/>
  <c r="BY77" i="40"/>
  <c r="BZ317" i="40"/>
  <c r="BY81" i="40"/>
  <c r="CA305" i="40"/>
  <c r="BZ57" i="40"/>
  <c r="CA314" i="40"/>
  <c r="BZ75" i="40"/>
  <c r="CA298" i="40"/>
  <c r="BZ43" i="40"/>
  <c r="BY311" i="40"/>
  <c r="BX69" i="40"/>
  <c r="BZ319" i="40"/>
  <c r="BY85" i="40"/>
  <c r="BZ321" i="40"/>
  <c r="BY89" i="40"/>
  <c r="CA320" i="40"/>
  <c r="BZ87" i="40"/>
  <c r="CA312" i="40"/>
  <c r="BZ71" i="40"/>
  <c r="CA306" i="40"/>
  <c r="BZ59" i="40"/>
  <c r="CA299" i="40"/>
  <c r="BZ45" i="40"/>
  <c r="CA300" i="40"/>
  <c r="BZ47" i="40"/>
  <c r="CA308" i="40"/>
  <c r="BZ63" i="40"/>
  <c r="CB192" i="40"/>
  <c r="CB312" i="40"/>
  <c r="BZ302" i="40"/>
  <c r="BY51" i="40"/>
  <c r="CA316" i="40"/>
  <c r="BZ79" i="40"/>
  <c r="CB172" i="40"/>
  <c r="CB308" i="40"/>
  <c r="BL137" i="11"/>
  <c r="BN174" i="7"/>
  <c r="BO66" i="7"/>
  <c r="BL207" i="8"/>
  <c r="BU207" i="9"/>
  <c r="BL162" i="10"/>
  <c r="BM135" i="11"/>
  <c r="BM136" i="11"/>
  <c r="BU184" i="22"/>
  <c r="BV70" i="22"/>
  <c r="BQ207" i="11"/>
  <c r="BZ164" i="10"/>
  <c r="CA62" i="10"/>
  <c r="BT60" i="7"/>
  <c r="BS159" i="7"/>
  <c r="BZ156" i="8"/>
  <c r="BZ155" i="8"/>
  <c r="BW204" i="9"/>
  <c r="BX78" i="9"/>
  <c r="BT167" i="22"/>
  <c r="BQ67" i="22"/>
  <c r="BR233" i="22"/>
  <c r="BT206" i="7"/>
  <c r="BT205" i="7"/>
  <c r="BW177" i="10"/>
  <c r="CI54" i="10"/>
  <c r="CH144" i="10"/>
  <c r="CB185" i="10"/>
  <c r="CB186" i="10"/>
  <c r="BW205" i="22"/>
  <c r="BW206" i="22"/>
  <c r="BV170" i="9"/>
  <c r="BV171" i="9"/>
  <c r="BS166" i="8"/>
  <c r="BS165" i="8"/>
  <c r="BN159" i="10"/>
  <c r="BO60" i="10"/>
  <c r="BN200" i="7"/>
  <c r="BN201" i="7"/>
  <c r="BL202" i="10"/>
  <c r="CA187" i="10"/>
  <c r="CA235" i="10"/>
  <c r="AD230" i="11"/>
  <c r="AC61" i="11"/>
  <c r="BN164" i="9"/>
  <c r="BO62" i="9"/>
  <c r="BY157" i="8"/>
  <c r="BO50" i="11"/>
  <c r="BN134" i="11"/>
  <c r="BT185" i="22"/>
  <c r="BT186" i="22"/>
  <c r="BN204" i="8"/>
  <c r="BO78" i="8"/>
  <c r="BN179" i="10"/>
  <c r="BO68" i="10"/>
  <c r="CB58" i="8"/>
  <c r="CA154" i="8"/>
  <c r="BS187" i="22"/>
  <c r="W55" i="11"/>
  <c r="X227" i="11"/>
  <c r="BV192" i="22"/>
  <c r="BU204" i="7"/>
  <c r="BV78" i="7"/>
  <c r="BL187" i="8"/>
  <c r="CG146" i="10"/>
  <c r="CG145" i="10"/>
  <c r="BN138" i="6"/>
  <c r="BN139" i="6"/>
  <c r="BN140" i="6"/>
  <c r="BN141" i="6"/>
  <c r="BO46" i="6"/>
  <c r="BM81" i="10"/>
  <c r="BN240" i="10"/>
  <c r="BQ154" i="7"/>
  <c r="BR58" i="7"/>
  <c r="BN233" i="9"/>
  <c r="BM67" i="9"/>
  <c r="BX204" i="22"/>
  <c r="BY78" i="22"/>
  <c r="BP76" i="7"/>
  <c r="BO199" i="7"/>
  <c r="BQ125" i="11"/>
  <c r="BQ126" i="11"/>
  <c r="BM166" i="9"/>
  <c r="BM165" i="9"/>
  <c r="Z81" i="8"/>
  <c r="AA240" i="8"/>
  <c r="BM200" i="10"/>
  <c r="BM201" i="10"/>
  <c r="BM205" i="8"/>
  <c r="BM206" i="8"/>
  <c r="BM181" i="10"/>
  <c r="BM180" i="10"/>
  <c r="BO70" i="8"/>
  <c r="BN184" i="8"/>
  <c r="BY174" i="10"/>
  <c r="BZ66" i="10"/>
  <c r="BT78" i="11"/>
  <c r="BS204" i="11"/>
  <c r="BM201" i="22"/>
  <c r="BM200" i="22"/>
  <c r="BN199" i="11"/>
  <c r="BO76" i="11"/>
  <c r="BW191" i="22"/>
  <c r="BW190" i="22"/>
  <c r="BV164" i="22"/>
  <c r="BW62" i="22"/>
  <c r="BP156" i="7"/>
  <c r="BP155" i="7"/>
  <c r="BP56" i="11"/>
  <c r="BO149" i="11"/>
  <c r="BU62" i="8"/>
  <c r="BT164" i="8"/>
  <c r="BM175" i="7"/>
  <c r="BM176" i="7"/>
  <c r="BM229" i="10"/>
  <c r="BL59" i="10"/>
  <c r="BS46" i="11"/>
  <c r="BR124" i="11"/>
  <c r="BQ162" i="7"/>
  <c r="BY237" i="11"/>
  <c r="BX75" i="11"/>
  <c r="BN199" i="10"/>
  <c r="BO76" i="10"/>
  <c r="BY165" i="10"/>
  <c r="BY166" i="10"/>
  <c r="BR161" i="7"/>
  <c r="BR160" i="7"/>
  <c r="BV205" i="9"/>
  <c r="BV206" i="9"/>
  <c r="BM185" i="8"/>
  <c r="BM186" i="8"/>
  <c r="BX176" i="10"/>
  <c r="BX175" i="10"/>
  <c r="CF147" i="10"/>
  <c r="BN232" i="10"/>
  <c r="BM65" i="10"/>
  <c r="BR206" i="11"/>
  <c r="BR205" i="11"/>
  <c r="BO76" i="22"/>
  <c r="BN199" i="22"/>
  <c r="BM200" i="11"/>
  <c r="BM201" i="11"/>
  <c r="BY71" i="10"/>
  <c r="BZ235" i="10"/>
  <c r="BY72" i="22"/>
  <c r="BX189" i="22"/>
  <c r="BU165" i="22"/>
  <c r="BU166" i="22"/>
  <c r="BN149" i="22"/>
  <c r="BN150" i="22"/>
  <c r="BN151" i="22"/>
  <c r="BN152" i="22"/>
  <c r="BO56" i="22"/>
  <c r="BW169" i="9"/>
  <c r="BX64" i="9"/>
  <c r="BN151" i="11"/>
  <c r="BN150" i="11"/>
  <c r="BM160" i="10"/>
  <c r="BM161" i="10"/>
  <c r="K51" i="33"/>
  <c r="R18" i="2"/>
  <c r="D18" i="20"/>
  <c r="P16" i="20"/>
  <c r="Q16" i="20"/>
  <c r="C14" i="38"/>
  <c r="N6" i="39"/>
  <c r="D6" i="39"/>
  <c r="BQ40" i="11"/>
  <c r="BP109" i="11"/>
  <c r="BP110" i="11"/>
  <c r="BP111" i="11"/>
  <c r="BP112" i="11"/>
  <c r="BN94" i="10"/>
  <c r="BN95" i="10"/>
  <c r="BN96" i="10"/>
  <c r="BN97" i="10"/>
  <c r="BO34" i="10"/>
  <c r="BO42" i="10"/>
  <c r="BN114" i="10"/>
  <c r="BN115" i="10"/>
  <c r="BN116" i="10"/>
  <c r="BN117" i="10"/>
  <c r="BO30" i="10"/>
  <c r="BN84" i="10"/>
  <c r="BN85" i="10"/>
  <c r="BN86" i="10"/>
  <c r="BN87" i="10"/>
  <c r="BO119" i="10"/>
  <c r="BO120" i="10"/>
  <c r="BO121" i="10"/>
  <c r="BO122" i="10"/>
  <c r="BP44" i="10"/>
  <c r="BN104" i="10"/>
  <c r="BN105" i="10"/>
  <c r="BN106" i="10"/>
  <c r="BN107" i="10"/>
  <c r="BO38" i="10"/>
  <c r="BO46" i="10"/>
  <c r="BN124" i="10"/>
  <c r="BN125" i="10"/>
  <c r="BN126" i="10"/>
  <c r="BN127" i="10"/>
  <c r="BO52" i="10"/>
  <c r="BN139" i="10"/>
  <c r="BN140" i="10"/>
  <c r="BN141" i="10"/>
  <c r="BN142" i="10"/>
  <c r="BO40" i="10"/>
  <c r="BN109" i="10"/>
  <c r="BN110" i="10"/>
  <c r="BN111" i="10"/>
  <c r="BN112" i="10"/>
  <c r="BN129" i="10"/>
  <c r="BN130" i="10"/>
  <c r="BN131" i="10"/>
  <c r="BN132" i="10"/>
  <c r="BO48" i="10"/>
  <c r="BN89" i="10"/>
  <c r="BN90" i="10"/>
  <c r="BN91" i="10"/>
  <c r="BN92" i="10"/>
  <c r="BO32" i="10"/>
  <c r="BN134" i="22"/>
  <c r="BN135" i="22"/>
  <c r="BN136" i="22"/>
  <c r="BN137" i="22"/>
  <c r="BO50" i="22"/>
  <c r="BP46" i="22"/>
  <c r="BO124" i="22"/>
  <c r="BO125" i="22"/>
  <c r="BO126" i="22"/>
  <c r="BO127" i="22"/>
  <c r="BN114" i="22"/>
  <c r="BN115" i="22"/>
  <c r="BN116" i="22"/>
  <c r="BN117" i="22"/>
  <c r="BO42" i="22"/>
  <c r="BP52" i="22"/>
  <c r="BO139" i="22"/>
  <c r="BO140" i="22"/>
  <c r="BO141" i="22"/>
  <c r="BO142" i="22"/>
  <c r="BO134" i="8"/>
  <c r="BO135" i="8"/>
  <c r="BO136" i="8"/>
  <c r="BO137" i="8"/>
  <c r="BP50" i="8"/>
  <c r="BN124" i="8"/>
  <c r="BN125" i="8"/>
  <c r="BN126" i="8"/>
  <c r="BN127" i="8"/>
  <c r="BO46" i="8"/>
  <c r="BQ192" i="8"/>
  <c r="BP75" i="8"/>
  <c r="BQ237" i="8"/>
  <c r="BP81" i="22"/>
  <c r="BQ240" i="22"/>
  <c r="C67" i="2"/>
  <c r="D188" i="2"/>
  <c r="BW61" i="8"/>
  <c r="BX230" i="8"/>
  <c r="BN81" i="7"/>
  <c r="BO240" i="7"/>
  <c r="AD63" i="11"/>
  <c r="AE231" i="11"/>
  <c r="BP75" i="10"/>
  <c r="BQ237" i="10"/>
  <c r="BM71" i="9"/>
  <c r="BN235" i="9"/>
  <c r="BR191" i="8"/>
  <c r="BR190" i="8"/>
  <c r="BU73" i="11"/>
  <c r="BV236" i="11"/>
  <c r="BE67" i="2"/>
  <c r="CF67" i="2"/>
  <c r="BF188" i="2"/>
  <c r="L67" i="2"/>
  <c r="N67" i="2"/>
  <c r="O67" i="2"/>
  <c r="M188" i="2"/>
  <c r="CB162" i="8"/>
  <c r="CB230" i="8"/>
  <c r="BC31" i="22"/>
  <c r="BD215" i="22"/>
  <c r="BF73" i="10"/>
  <c r="BG236" i="10"/>
  <c r="BS67" i="11"/>
  <c r="BT233" i="11"/>
  <c r="BO72" i="9"/>
  <c r="BN189" i="9"/>
  <c r="BN65" i="22"/>
  <c r="BO232" i="22"/>
  <c r="AD67" i="2"/>
  <c r="AE188" i="2"/>
  <c r="BT72" i="8"/>
  <c r="BS189" i="8"/>
  <c r="P73" i="7"/>
  <c r="Q236" i="7"/>
  <c r="Z65" i="11"/>
  <c r="AA232" i="11"/>
  <c r="BS61" i="22"/>
  <c r="BT230" i="22"/>
  <c r="U67" i="2"/>
  <c r="V188" i="2"/>
  <c r="BO188" i="2"/>
  <c r="BN67" i="2"/>
  <c r="BU77" i="8"/>
  <c r="BV238" i="8"/>
  <c r="BG53" i="11"/>
  <c r="BH226" i="11"/>
  <c r="BN79" i="10"/>
  <c r="BO239" i="10"/>
  <c r="BJ69" i="7"/>
  <c r="BK234" i="7"/>
  <c r="BT69" i="8"/>
  <c r="BU234" i="8"/>
  <c r="A70" i="2"/>
  <c r="A190" i="2"/>
  <c r="BW190" i="2"/>
  <c r="BO69" i="9"/>
  <c r="BP234" i="9"/>
  <c r="AZ65" i="7"/>
  <c r="BA232" i="7"/>
  <c r="BS81" i="11"/>
  <c r="BT240" i="11"/>
  <c r="R65" i="8"/>
  <c r="S232" i="8"/>
  <c r="BQ75" i="7"/>
  <c r="BR237" i="7"/>
  <c r="AE69" i="11"/>
  <c r="AF234" i="11"/>
  <c r="BM201" i="9"/>
  <c r="BM200" i="9"/>
  <c r="BM191" i="9"/>
  <c r="BM190" i="9"/>
  <c r="BM57" i="10"/>
  <c r="BN228" i="10"/>
  <c r="BR69" i="22"/>
  <c r="BS234" i="22"/>
  <c r="BL81" i="9"/>
  <c r="BM240" i="9"/>
  <c r="BK49" i="11"/>
  <c r="BL224" i="11"/>
  <c r="BL202" i="9"/>
  <c r="BN89" i="22"/>
  <c r="BN90" i="22"/>
  <c r="BN91" i="22"/>
  <c r="BN92" i="22"/>
  <c r="BO32" i="22"/>
  <c r="AV67" i="2"/>
  <c r="AW188" i="2"/>
  <c r="AM67" i="2"/>
  <c r="AN188" i="2"/>
  <c r="U189" i="2"/>
  <c r="C189" i="2"/>
  <c r="AD189" i="2"/>
  <c r="AM189" i="2"/>
  <c r="BE189" i="2"/>
  <c r="AV189" i="2"/>
  <c r="L189" i="2"/>
  <c r="BN189" i="2"/>
  <c r="BL192" i="9"/>
  <c r="BR71" i="7"/>
  <c r="BS235" i="7"/>
  <c r="BR67" i="8"/>
  <c r="BS233" i="8"/>
  <c r="BN199" i="9"/>
  <c r="BO76" i="9"/>
  <c r="BP75" i="22"/>
  <c r="BQ237" i="22"/>
  <c r="U46" i="30"/>
  <c r="BO42" i="8"/>
  <c r="BN114" i="8"/>
  <c r="BN115" i="8"/>
  <c r="BN116" i="8"/>
  <c r="BN117" i="8"/>
  <c r="BO44" i="8"/>
  <c r="BN119" i="8"/>
  <c r="BN120" i="8"/>
  <c r="BN121" i="8"/>
  <c r="BN122" i="8"/>
  <c r="BT34" i="8"/>
  <c r="BS94" i="8"/>
  <c r="BS95" i="8"/>
  <c r="BS96" i="8"/>
  <c r="BS97" i="8"/>
  <c r="BV164" i="7"/>
  <c r="BW62" i="7"/>
  <c r="BU166" i="7"/>
  <c r="BU165" i="7"/>
  <c r="BT167" i="7"/>
  <c r="BO32" i="11"/>
  <c r="BN89" i="11"/>
  <c r="BN90" i="11"/>
  <c r="BN91" i="11"/>
  <c r="BN92" i="11"/>
  <c r="BO52" i="9"/>
  <c r="BN139" i="9"/>
  <c r="BN140" i="9"/>
  <c r="BN141" i="9"/>
  <c r="BN142" i="9"/>
  <c r="BP30" i="9"/>
  <c r="BO84" i="9"/>
  <c r="BO85" i="9"/>
  <c r="BO86" i="9"/>
  <c r="BO87" i="9"/>
  <c r="BP86" i="1"/>
  <c r="BP87" i="1"/>
  <c r="BP88" i="1"/>
  <c r="BP89" i="1"/>
  <c r="BQ30" i="1"/>
  <c r="BN171" i="1"/>
  <c r="BN172" i="1"/>
  <c r="BN173" i="1"/>
  <c r="BN174" i="1"/>
  <c r="BO64" i="1"/>
  <c r="BO58" i="1"/>
  <c r="BN156" i="1"/>
  <c r="BN96" i="1"/>
  <c r="BN97" i="1"/>
  <c r="BN98" i="1"/>
  <c r="BN99" i="1"/>
  <c r="BO34" i="1"/>
  <c r="BN131" i="1"/>
  <c r="BO48" i="1"/>
  <c r="BN141" i="1"/>
  <c r="BN142" i="1"/>
  <c r="BN143" i="1"/>
  <c r="BN144" i="1"/>
  <c r="BO52" i="1"/>
  <c r="BP91" i="1"/>
  <c r="BP92" i="1"/>
  <c r="BP93" i="1"/>
  <c r="BP94" i="1"/>
  <c r="BQ32" i="1"/>
  <c r="BO68" i="1"/>
  <c r="BN181" i="1"/>
  <c r="BN182" i="1"/>
  <c r="BN183" i="1"/>
  <c r="BN184" i="1"/>
  <c r="BO50" i="1"/>
  <c r="BN136" i="1"/>
  <c r="BN137" i="1"/>
  <c r="BN138" i="1"/>
  <c r="BN139" i="1"/>
  <c r="T51" i="33"/>
  <c r="L51" i="33"/>
  <c r="N51" i="33"/>
  <c r="O51" i="33"/>
  <c r="P51" i="33"/>
  <c r="Q51" i="33"/>
  <c r="AC51" i="33"/>
  <c r="AL51" i="33"/>
  <c r="AO51" i="33"/>
  <c r="AS51" i="33"/>
  <c r="AR51" i="33"/>
  <c r="Z51" i="33"/>
  <c r="Y51" i="33"/>
  <c r="AB51" i="33"/>
  <c r="AD51" i="33"/>
  <c r="AH51" i="33"/>
  <c r="AK51" i="33"/>
  <c r="AT51" i="33"/>
  <c r="AX51" i="33"/>
  <c r="AW51" i="33"/>
  <c r="AE51" i="33"/>
  <c r="AJ51" i="33"/>
  <c r="AY51" i="33"/>
  <c r="AQ51" i="33"/>
  <c r="AF51" i="33"/>
  <c r="AI51" i="33"/>
  <c r="AM51" i="33"/>
  <c r="AV51" i="33"/>
  <c r="AU51" i="33"/>
  <c r="X51" i="33"/>
  <c r="AG51" i="33"/>
  <c r="AN51" i="33"/>
  <c r="AP51" i="33"/>
  <c r="AA51" i="33"/>
  <c r="L50" i="30"/>
  <c r="N50" i="30"/>
  <c r="O50" i="30"/>
  <c r="BO119" i="22"/>
  <c r="BO120" i="22"/>
  <c r="BO121" i="22"/>
  <c r="BO122" i="22"/>
  <c r="BP44" i="22"/>
  <c r="BM87" i="7"/>
  <c r="BN113" i="6"/>
  <c r="BN114" i="6"/>
  <c r="BN115" i="6"/>
  <c r="BN116" i="6"/>
  <c r="BO36" i="6"/>
  <c r="BO44" i="6"/>
  <c r="BN133" i="6"/>
  <c r="BN134" i="6"/>
  <c r="BN135" i="6"/>
  <c r="BN136" i="6"/>
  <c r="BN108" i="6"/>
  <c r="BN109" i="6"/>
  <c r="BN110" i="6"/>
  <c r="BN111" i="6"/>
  <c r="BO34" i="6"/>
  <c r="BN78" i="6"/>
  <c r="BN79" i="6"/>
  <c r="BN80" i="6"/>
  <c r="BN81" i="6"/>
  <c r="BO22" i="6"/>
  <c r="BN88" i="6"/>
  <c r="BN89" i="6"/>
  <c r="BN90" i="6"/>
  <c r="BN91" i="6"/>
  <c r="BO26" i="6"/>
  <c r="BP42" i="6"/>
  <c r="BO128" i="6"/>
  <c r="BO129" i="6"/>
  <c r="BO130" i="6"/>
  <c r="BO131" i="6"/>
  <c r="BO98" i="6"/>
  <c r="BO99" i="6"/>
  <c r="BO100" i="6"/>
  <c r="BO101" i="6"/>
  <c r="BP30" i="6"/>
  <c r="BN83" i="6"/>
  <c r="BN84" i="6"/>
  <c r="BN85" i="6"/>
  <c r="BN86" i="6"/>
  <c r="BO24" i="6"/>
  <c r="BN123" i="6"/>
  <c r="BN124" i="6"/>
  <c r="BN125" i="6"/>
  <c r="BN126" i="6"/>
  <c r="BO40" i="6"/>
  <c r="BO28" i="6"/>
  <c r="BN93" i="6"/>
  <c r="BN94" i="6"/>
  <c r="BN95" i="6"/>
  <c r="BN96" i="6"/>
  <c r="BN103" i="6"/>
  <c r="BN104" i="6"/>
  <c r="BN105" i="6"/>
  <c r="BN106" i="6"/>
  <c r="BO32" i="6"/>
  <c r="BQ82" i="1"/>
  <c r="BP216" i="1"/>
  <c r="BR80" i="1"/>
  <c r="BQ211" i="1"/>
  <c r="BQ212" i="1"/>
  <c r="BQ213" i="1"/>
  <c r="BQ214" i="1"/>
  <c r="BO214" i="1"/>
  <c r="BO217" i="1"/>
  <c r="BO218" i="1"/>
  <c r="BO42" i="1"/>
  <c r="BN116" i="1"/>
  <c r="BN117" i="1"/>
  <c r="BN118" i="1"/>
  <c r="BN119" i="1"/>
  <c r="BN219" i="1"/>
  <c r="BN127" i="7"/>
  <c r="BM102" i="10"/>
  <c r="BO99" i="8"/>
  <c r="BO100" i="8"/>
  <c r="BO101" i="8"/>
  <c r="BO102" i="8"/>
  <c r="BP36" i="8"/>
  <c r="BR104" i="8"/>
  <c r="BR105" i="8"/>
  <c r="BR106" i="8"/>
  <c r="BR107" i="8"/>
  <c r="BS38" i="8"/>
  <c r="BP44" i="11"/>
  <c r="BO119" i="11"/>
  <c r="BN120" i="11"/>
  <c r="BN121" i="11"/>
  <c r="BN122" i="11"/>
  <c r="W50" i="36"/>
  <c r="V50" i="36"/>
  <c r="K50" i="36"/>
  <c r="R51" i="32"/>
  <c r="R50" i="32"/>
  <c r="BN105" i="22"/>
  <c r="BN106" i="22"/>
  <c r="BP38" i="22"/>
  <c r="BO104" i="22"/>
  <c r="BO105" i="22"/>
  <c r="BO106" i="22"/>
  <c r="BO107" i="22"/>
  <c r="BN129" i="22"/>
  <c r="BN130" i="22"/>
  <c r="BN131" i="22"/>
  <c r="BN132" i="22"/>
  <c r="BO48" i="22"/>
  <c r="BO34" i="22"/>
  <c r="BN94" i="22"/>
  <c r="BN95" i="22"/>
  <c r="BN96" i="22"/>
  <c r="BN97" i="22"/>
  <c r="BP36" i="7"/>
  <c r="BO99" i="7"/>
  <c r="BO100" i="7"/>
  <c r="BO101" i="7"/>
  <c r="BO102" i="7"/>
  <c r="BO84" i="7"/>
  <c r="BO85" i="7"/>
  <c r="BO86" i="7"/>
  <c r="BO87" i="7"/>
  <c r="BP30" i="7"/>
  <c r="BQ109" i="7"/>
  <c r="BQ110" i="7"/>
  <c r="BQ111" i="7"/>
  <c r="BQ112" i="7"/>
  <c r="BR40" i="7"/>
  <c r="BO104" i="7"/>
  <c r="BO105" i="7"/>
  <c r="BO106" i="7"/>
  <c r="BO107" i="7"/>
  <c r="BP38" i="7"/>
  <c r="BN94" i="7"/>
  <c r="BN95" i="7"/>
  <c r="BN96" i="7"/>
  <c r="BN97" i="7"/>
  <c r="BO34" i="7"/>
  <c r="BN114" i="7"/>
  <c r="BN115" i="7"/>
  <c r="BN116" i="7"/>
  <c r="BN117" i="7"/>
  <c r="BO42" i="7"/>
  <c r="BQ118" i="6"/>
  <c r="BQ119" i="6"/>
  <c r="BQ120" i="6"/>
  <c r="BQ121" i="6"/>
  <c r="BR38" i="6"/>
  <c r="BM114" i="9"/>
  <c r="BM115" i="9"/>
  <c r="BM116" i="9"/>
  <c r="BM117" i="9"/>
  <c r="BN42" i="9"/>
  <c r="BR38" i="9"/>
  <c r="BQ104" i="9"/>
  <c r="BQ105" i="9"/>
  <c r="BQ106" i="9"/>
  <c r="BQ107" i="9"/>
  <c r="BS54" i="9"/>
  <c r="BR144" i="9"/>
  <c r="BR145" i="9"/>
  <c r="BR146" i="9"/>
  <c r="BR147" i="9"/>
  <c r="BO34" i="9"/>
  <c r="BN94" i="9"/>
  <c r="BN95" i="9"/>
  <c r="BN96" i="9"/>
  <c r="BN97" i="9"/>
  <c r="BN124" i="9"/>
  <c r="BN125" i="9"/>
  <c r="BN126" i="9"/>
  <c r="BN127" i="9"/>
  <c r="BO46" i="9"/>
  <c r="BO134" i="9"/>
  <c r="BO135" i="9"/>
  <c r="BO136" i="9"/>
  <c r="BO137" i="9"/>
  <c r="BP50" i="9"/>
  <c r="BM150" i="9"/>
  <c r="BM151" i="9"/>
  <c r="BM152" i="9"/>
  <c r="BO48" i="9"/>
  <c r="BN129" i="9"/>
  <c r="BN130" i="9"/>
  <c r="BN131" i="9"/>
  <c r="BN132" i="9"/>
  <c r="BN119" i="9"/>
  <c r="BN120" i="9"/>
  <c r="BN121" i="9"/>
  <c r="BN122" i="9"/>
  <c r="BO44" i="9"/>
  <c r="BO56" i="9"/>
  <c r="BN149" i="9"/>
  <c r="BN150" i="9"/>
  <c r="BN151" i="9"/>
  <c r="BN152" i="9"/>
  <c r="BP89" i="9"/>
  <c r="BP90" i="9"/>
  <c r="BP91" i="9"/>
  <c r="BP92" i="9"/>
  <c r="BQ32" i="9"/>
  <c r="BU56" i="1"/>
  <c r="BT151" i="1"/>
  <c r="BT152" i="1"/>
  <c r="BT153" i="1"/>
  <c r="BT154" i="1"/>
  <c r="BQ76" i="1"/>
  <c r="BP201" i="1"/>
  <c r="BP202" i="1"/>
  <c r="BP203" i="1"/>
  <c r="BP204" i="1"/>
  <c r="BO78" i="1"/>
  <c r="BN206" i="1"/>
  <c r="BN207" i="1"/>
  <c r="BN208" i="1"/>
  <c r="BN209" i="1"/>
  <c r="BO74" i="1"/>
  <c r="BN196" i="1"/>
  <c r="BN197" i="1"/>
  <c r="BN198" i="1"/>
  <c r="BN199" i="1"/>
  <c r="BP72" i="1"/>
  <c r="BO191" i="1"/>
  <c r="BO192" i="1"/>
  <c r="BO193" i="1"/>
  <c r="BO194" i="1"/>
  <c r="BQ66" i="1"/>
  <c r="BP176" i="1"/>
  <c r="BP60" i="1"/>
  <c r="BO161" i="1"/>
  <c r="BO162" i="1"/>
  <c r="BO163" i="1"/>
  <c r="BO164" i="1"/>
  <c r="BO70" i="1"/>
  <c r="BN186" i="1"/>
  <c r="L51" i="37"/>
  <c r="N51" i="37"/>
  <c r="O51" i="37"/>
  <c r="P51" i="37"/>
  <c r="BS115" i="11"/>
  <c r="BS116" i="11"/>
  <c r="BS117" i="11"/>
  <c r="BT114" i="11"/>
  <c r="BU42" i="11"/>
  <c r="V25" i="26"/>
  <c r="S42" i="34"/>
  <c r="AV48" i="34"/>
  <c r="AS48" i="34"/>
  <c r="AG48" i="34"/>
  <c r="AD48" i="34"/>
  <c r="AQ48" i="34"/>
  <c r="X48" i="34"/>
  <c r="AT48" i="34"/>
  <c r="AO48" i="34"/>
  <c r="AL48" i="34"/>
  <c r="Z48" i="34"/>
  <c r="AM48" i="34"/>
  <c r="AJ48" i="34"/>
  <c r="AP48" i="34"/>
  <c r="AH48" i="34"/>
  <c r="AU48" i="34"/>
  <c r="AR48" i="34"/>
  <c r="AF48" i="34"/>
  <c r="AC48" i="34"/>
  <c r="AI48" i="34"/>
  <c r="AA48" i="34"/>
  <c r="AN48" i="34"/>
  <c r="AK48" i="34"/>
  <c r="Y48" i="34"/>
  <c r="AE48" i="34"/>
  <c r="AB48" i="34"/>
  <c r="T48" i="34"/>
  <c r="U50" i="35"/>
  <c r="BO100" i="11"/>
  <c r="BO101" i="11"/>
  <c r="BO102" i="11"/>
  <c r="BN105" i="11"/>
  <c r="BN106" i="11"/>
  <c r="BS30" i="11"/>
  <c r="BR84" i="11"/>
  <c r="BQ85" i="11"/>
  <c r="BQ86" i="11"/>
  <c r="BQ87" i="11"/>
  <c r="BM107" i="11"/>
  <c r="BP99" i="11"/>
  <c r="BQ36" i="11"/>
  <c r="BP38" i="11"/>
  <c r="BO104" i="11"/>
  <c r="BP50" i="10"/>
  <c r="BO134" i="10"/>
  <c r="BN135" i="10"/>
  <c r="BN136" i="10"/>
  <c r="BN137" i="10"/>
  <c r="BO99" i="10"/>
  <c r="BP36" i="10"/>
  <c r="BN100" i="10"/>
  <c r="BN101" i="10"/>
  <c r="BN102" i="10"/>
  <c r="BM155" i="22"/>
  <c r="BM156" i="22"/>
  <c r="BM157" i="22"/>
  <c r="BO58" i="22"/>
  <c r="BN154" i="22"/>
  <c r="BN145" i="22"/>
  <c r="BN146" i="22"/>
  <c r="BN147" i="22"/>
  <c r="BP54" i="22"/>
  <c r="BO144" i="22"/>
  <c r="BP40" i="22"/>
  <c r="BO109" i="22"/>
  <c r="BN100" i="22"/>
  <c r="BN101" i="22"/>
  <c r="BN102" i="22"/>
  <c r="BN110" i="22"/>
  <c r="BN111" i="22"/>
  <c r="BN112" i="22"/>
  <c r="BO99" i="22"/>
  <c r="BP36" i="22"/>
  <c r="BP150" i="8"/>
  <c r="BP151" i="8"/>
  <c r="BP152" i="8"/>
  <c r="BQ149" i="8"/>
  <c r="BR56" i="8"/>
  <c r="BN145" i="8"/>
  <c r="BN146" i="8"/>
  <c r="BN147" i="8"/>
  <c r="BO144" i="8"/>
  <c r="BP54" i="8"/>
  <c r="BM84" i="8"/>
  <c r="BN30" i="8"/>
  <c r="BN139" i="8"/>
  <c r="BO52" i="8"/>
  <c r="BL85" i="8"/>
  <c r="BL86" i="8"/>
  <c r="BL87" i="8"/>
  <c r="BM110" i="8"/>
  <c r="BM111" i="8"/>
  <c r="BM112" i="8"/>
  <c r="BM140" i="8"/>
  <c r="BM141" i="8"/>
  <c r="BM142" i="8"/>
  <c r="BO48" i="8"/>
  <c r="BN129" i="8"/>
  <c r="BN89" i="8"/>
  <c r="BO32" i="8"/>
  <c r="BM130" i="8"/>
  <c r="BM131" i="8"/>
  <c r="BN109" i="8"/>
  <c r="BO40" i="8"/>
  <c r="BM90" i="8"/>
  <c r="BM91" i="8"/>
  <c r="BM92" i="8"/>
  <c r="BM145" i="7"/>
  <c r="BM146" i="7"/>
  <c r="BM147" i="7"/>
  <c r="BN144" i="7"/>
  <c r="BO54" i="7"/>
  <c r="BN139" i="7"/>
  <c r="BO52" i="7"/>
  <c r="BM140" i="7"/>
  <c r="BM141" i="7"/>
  <c r="BM142" i="7"/>
  <c r="BN134" i="7"/>
  <c r="BO50" i="7"/>
  <c r="BM135" i="7"/>
  <c r="BM136" i="7"/>
  <c r="BQ119" i="7"/>
  <c r="BR44" i="7"/>
  <c r="BP120" i="7"/>
  <c r="BP121" i="7"/>
  <c r="BP122" i="7"/>
  <c r="BT90" i="7"/>
  <c r="BT91" i="7"/>
  <c r="BT92" i="7"/>
  <c r="BP124" i="7"/>
  <c r="BQ46" i="7"/>
  <c r="BV32" i="7"/>
  <c r="BU89" i="7"/>
  <c r="BO125" i="7"/>
  <c r="BO126" i="7"/>
  <c r="BO127" i="7"/>
  <c r="BN163" i="6"/>
  <c r="BO56" i="6"/>
  <c r="BM164" i="6"/>
  <c r="BM165" i="6"/>
  <c r="BM166" i="6"/>
  <c r="BM159" i="6"/>
  <c r="BM160" i="6"/>
  <c r="BM161" i="6"/>
  <c r="BN158" i="6"/>
  <c r="BO54" i="6"/>
  <c r="BO52" i="6"/>
  <c r="BN153" i="6"/>
  <c r="BM154" i="6"/>
  <c r="BM155" i="6"/>
  <c r="BM156" i="6"/>
  <c r="BO50" i="6"/>
  <c r="BN148" i="6"/>
  <c r="BM149" i="6"/>
  <c r="BM150" i="6"/>
  <c r="BM151" i="6"/>
  <c r="BN143" i="6"/>
  <c r="BO48" i="6"/>
  <c r="BM144" i="6"/>
  <c r="BM145" i="6"/>
  <c r="BM146" i="6"/>
  <c r="BN160" i="9"/>
  <c r="BN161" i="9"/>
  <c r="BN162" i="9"/>
  <c r="BP60" i="9"/>
  <c r="BO159" i="9"/>
  <c r="BM155" i="9"/>
  <c r="BM156" i="9"/>
  <c r="BM157" i="9"/>
  <c r="BN154" i="9"/>
  <c r="BO58" i="9"/>
  <c r="BP36" i="9"/>
  <c r="BO99" i="9"/>
  <c r="BN100" i="9"/>
  <c r="BN101" i="9"/>
  <c r="BN102" i="9"/>
  <c r="BO109" i="9"/>
  <c r="BP40" i="9"/>
  <c r="BN110" i="9"/>
  <c r="BN111" i="9"/>
  <c r="BN112" i="9"/>
  <c r="BO62" i="1"/>
  <c r="BN166" i="1"/>
  <c r="BM167" i="1"/>
  <c r="BM168" i="1"/>
  <c r="BM169" i="1"/>
  <c r="BN146" i="1"/>
  <c r="BO54" i="1"/>
  <c r="BM147" i="1"/>
  <c r="BM148" i="1"/>
  <c r="BM149" i="1"/>
  <c r="BN126" i="1"/>
  <c r="BO46" i="1"/>
  <c r="BM127" i="1"/>
  <c r="BM128" i="1"/>
  <c r="BM129" i="1"/>
  <c r="BQ44" i="1"/>
  <c r="BP121" i="1"/>
  <c r="BO122" i="1"/>
  <c r="BO123" i="1"/>
  <c r="BO124" i="1"/>
  <c r="BO112" i="1"/>
  <c r="BO113" i="1"/>
  <c r="BO102" i="1"/>
  <c r="BO103" i="1"/>
  <c r="BO104" i="1"/>
  <c r="BQ40" i="1"/>
  <c r="BP111" i="1"/>
  <c r="BM107" i="1"/>
  <c r="BM108" i="1"/>
  <c r="BM109" i="1"/>
  <c r="BP101" i="1"/>
  <c r="BQ36" i="1"/>
  <c r="BN106" i="1"/>
  <c r="BO38" i="1"/>
  <c r="BP48" i="7"/>
  <c r="BO129" i="7"/>
  <c r="BO130" i="7"/>
  <c r="BO131" i="7"/>
  <c r="BO132" i="7"/>
  <c r="K45" i="41"/>
  <c r="T45" i="41"/>
  <c r="BW69" i="2"/>
  <c r="BX190" i="2"/>
  <c r="P59" i="11"/>
  <c r="Q229" i="11"/>
  <c r="BG237" i="9"/>
  <c r="BF75" i="9"/>
  <c r="Y45" i="41"/>
  <c r="AC45" i="41"/>
  <c r="AD45" i="41"/>
  <c r="AS45" i="41"/>
  <c r="Z45" i="41"/>
  <c r="AB45" i="41"/>
  <c r="AA45" i="41"/>
  <c r="AH45" i="41"/>
  <c r="X45" i="41"/>
  <c r="AI45" i="41"/>
  <c r="AF45" i="41"/>
  <c r="AK45" i="41"/>
  <c r="AE45" i="41"/>
  <c r="AQ45" i="41"/>
  <c r="AR45" i="41"/>
  <c r="AO45" i="41"/>
  <c r="AM45" i="41"/>
  <c r="AJ45" i="41"/>
  <c r="AN45" i="41"/>
  <c r="AG45" i="41"/>
  <c r="AL45" i="41"/>
  <c r="AP45" i="41"/>
  <c r="BP157" i="7"/>
  <c r="BW192" i="22"/>
  <c r="BM167" i="9"/>
  <c r="CG147" i="10"/>
  <c r="BM137" i="11"/>
  <c r="BM162" i="10"/>
  <c r="BM202" i="11"/>
  <c r="BN202" i="7"/>
  <c r="BW207" i="22"/>
  <c r="BR162" i="7"/>
  <c r="BM207" i="8"/>
  <c r="BT207" i="7"/>
  <c r="BX177" i="10"/>
  <c r="BM202" i="10"/>
  <c r="BV172" i="9"/>
  <c r="CB187" i="10"/>
  <c r="CB235" i="10"/>
  <c r="BW95" i="40"/>
  <c r="BX324" i="40"/>
  <c r="BV93" i="40"/>
  <c r="BW323" i="40"/>
  <c r="BQ105" i="40"/>
  <c r="BR329" i="40"/>
  <c r="BR97" i="40"/>
  <c r="BS325" i="40"/>
  <c r="BV103" i="40"/>
  <c r="BW328" i="40"/>
  <c r="BV101" i="40"/>
  <c r="BW327" i="40"/>
  <c r="BR107" i="40"/>
  <c r="BS330" i="40"/>
  <c r="BV111" i="40"/>
  <c r="BW332" i="40"/>
  <c r="BV109" i="40"/>
  <c r="BW331" i="40"/>
  <c r="BP99" i="40"/>
  <c r="BQ326" i="40"/>
  <c r="BW91" i="40"/>
  <c r="BZ300" i="40"/>
  <c r="BY47" i="40"/>
  <c r="BY319" i="40"/>
  <c r="BX85" i="40"/>
  <c r="BZ298" i="40"/>
  <c r="BY43" i="40"/>
  <c r="BZ305" i="40"/>
  <c r="BY57" i="40"/>
  <c r="BY315" i="40"/>
  <c r="BX77" i="40"/>
  <c r="BY297" i="40"/>
  <c r="BX41" i="40"/>
  <c r="BZ303" i="40"/>
  <c r="BY53" i="40"/>
  <c r="BZ318" i="40"/>
  <c r="BY83" i="40"/>
  <c r="BX309" i="40"/>
  <c r="BW65" i="40"/>
  <c r="BZ316" i="40"/>
  <c r="BY79" i="40"/>
  <c r="BZ306" i="40"/>
  <c r="BY59" i="40"/>
  <c r="BZ308" i="40"/>
  <c r="BY63" i="40"/>
  <c r="BZ299" i="40"/>
  <c r="BY45" i="40"/>
  <c r="BZ312" i="40"/>
  <c r="BY71" i="40"/>
  <c r="BY321" i="40"/>
  <c r="BX89" i="40"/>
  <c r="BX311" i="40"/>
  <c r="BW69" i="40"/>
  <c r="BZ314" i="40"/>
  <c r="BY75" i="40"/>
  <c r="BY317" i="40"/>
  <c r="BX81" i="40"/>
  <c r="BY310" i="40"/>
  <c r="BX67" i="40"/>
  <c r="BZ304" i="40"/>
  <c r="BY55" i="40"/>
  <c r="BZ301" i="40"/>
  <c r="BY49" i="40"/>
  <c r="BX313" i="40"/>
  <c r="BW73" i="40"/>
  <c r="BY307" i="40"/>
  <c r="BX61" i="40"/>
  <c r="BZ320" i="40"/>
  <c r="BY87" i="40"/>
  <c r="BZ322" i="40"/>
  <c r="BY302" i="40"/>
  <c r="BX51" i="40"/>
  <c r="BX190" i="22"/>
  <c r="BX191" i="22"/>
  <c r="BN200" i="22"/>
  <c r="BN201" i="22"/>
  <c r="BL65" i="10"/>
  <c r="BM232" i="10"/>
  <c r="BT46" i="11"/>
  <c r="BS124" i="11"/>
  <c r="BU78" i="11"/>
  <c r="BT204" i="11"/>
  <c r="BN185" i="8"/>
  <c r="BN186" i="8"/>
  <c r="BO201" i="7"/>
  <c r="BO200" i="7"/>
  <c r="BL67" i="9"/>
  <c r="BM233" i="9"/>
  <c r="BQ156" i="7"/>
  <c r="BQ155" i="7"/>
  <c r="CB59" i="8"/>
  <c r="CA59" i="8"/>
  <c r="BZ59" i="8"/>
  <c r="CB154" i="8"/>
  <c r="AB61" i="11"/>
  <c r="AC230" i="11"/>
  <c r="CH145" i="10"/>
  <c r="CH146" i="10"/>
  <c r="CA164" i="10"/>
  <c r="CB62" i="10"/>
  <c r="BU186" i="22"/>
  <c r="BU185" i="22"/>
  <c r="BX169" i="9"/>
  <c r="BY64" i="9"/>
  <c r="BU167" i="22"/>
  <c r="BY189" i="22"/>
  <c r="BZ72" i="22"/>
  <c r="BP76" i="22"/>
  <c r="BO199" i="22"/>
  <c r="BM187" i="8"/>
  <c r="BP76" i="10"/>
  <c r="BO199" i="10"/>
  <c r="BL229" i="10"/>
  <c r="BK59" i="10"/>
  <c r="BO150" i="11"/>
  <c r="BO151" i="11"/>
  <c r="BX62" i="22"/>
  <c r="BW164" i="22"/>
  <c r="BM202" i="22"/>
  <c r="BZ174" i="10"/>
  <c r="CA66" i="10"/>
  <c r="BP70" i="8"/>
  <c r="BO184" i="8"/>
  <c r="Z240" i="8"/>
  <c r="Y81" i="8"/>
  <c r="BQ127" i="11"/>
  <c r="BQ76" i="7"/>
  <c r="BP199" i="7"/>
  <c r="BW78" i="7"/>
  <c r="BV204" i="7"/>
  <c r="V55" i="11"/>
  <c r="W227" i="11"/>
  <c r="BP78" i="8"/>
  <c r="BO204" i="8"/>
  <c r="BS167" i="8"/>
  <c r="CJ54" i="10"/>
  <c r="CI144" i="10"/>
  <c r="BZ157" i="8"/>
  <c r="BZ166" i="10"/>
  <c r="BZ165" i="10"/>
  <c r="BW170" i="9"/>
  <c r="BW171" i="9"/>
  <c r="BN201" i="10"/>
  <c r="BN200" i="10"/>
  <c r="BT166" i="8"/>
  <c r="BT165" i="8"/>
  <c r="BQ56" i="11"/>
  <c r="BP149" i="11"/>
  <c r="BV166" i="22"/>
  <c r="BV165" i="22"/>
  <c r="BP76" i="11"/>
  <c r="BO199" i="11"/>
  <c r="BY176" i="10"/>
  <c r="BY175" i="10"/>
  <c r="BZ78" i="22"/>
  <c r="BY204" i="22"/>
  <c r="BL81" i="10"/>
  <c r="BM240" i="10"/>
  <c r="BU205" i="7"/>
  <c r="BU206" i="7"/>
  <c r="BP68" i="10"/>
  <c r="BO179" i="10"/>
  <c r="BN205" i="8"/>
  <c r="BN206" i="8"/>
  <c r="BN136" i="11"/>
  <c r="BN135" i="11"/>
  <c r="BO164" i="9"/>
  <c r="BP62" i="9"/>
  <c r="BO159" i="10"/>
  <c r="BP60" i="10"/>
  <c r="BP67" i="22"/>
  <c r="BQ233" i="22"/>
  <c r="BX204" i="9"/>
  <c r="BY78" i="9"/>
  <c r="BS160" i="7"/>
  <c r="BS161" i="7"/>
  <c r="BP66" i="7"/>
  <c r="BO174" i="7"/>
  <c r="BN152" i="11"/>
  <c r="BP56" i="22"/>
  <c r="BO149" i="22"/>
  <c r="BO150" i="22"/>
  <c r="BO151" i="22"/>
  <c r="BO152" i="22"/>
  <c r="BX71" i="10"/>
  <c r="BY235" i="10"/>
  <c r="BR207" i="11"/>
  <c r="BV207" i="9"/>
  <c r="BY167" i="10"/>
  <c r="BX237" i="11"/>
  <c r="BW75" i="11"/>
  <c r="BR126" i="11"/>
  <c r="BR125" i="11"/>
  <c r="BM177" i="7"/>
  <c r="BU164" i="8"/>
  <c r="BV62" i="8"/>
  <c r="BN201" i="11"/>
  <c r="BN200" i="11"/>
  <c r="BS206" i="11"/>
  <c r="BS205" i="11"/>
  <c r="BM182" i="10"/>
  <c r="BX206" i="22"/>
  <c r="BX205" i="22"/>
  <c r="BS58" i="7"/>
  <c r="BR154" i="7"/>
  <c r="BO138" i="6"/>
  <c r="BO139" i="6"/>
  <c r="BO140" i="6"/>
  <c r="BO141" i="6"/>
  <c r="BP46" i="6"/>
  <c r="CA156" i="8"/>
  <c r="CA155" i="8"/>
  <c r="BN180" i="10"/>
  <c r="BN181" i="10"/>
  <c r="BT187" i="22"/>
  <c r="BP50" i="11"/>
  <c r="BO134" i="11"/>
  <c r="BN165" i="9"/>
  <c r="BN166" i="9"/>
  <c r="BN160" i="10"/>
  <c r="BN161" i="10"/>
  <c r="BW205" i="9"/>
  <c r="BW206" i="9"/>
  <c r="BT159" i="7"/>
  <c r="BU60" i="7"/>
  <c r="BV184" i="22"/>
  <c r="BW70" i="22"/>
  <c r="BN175" i="7"/>
  <c r="BN176" i="7"/>
  <c r="Q51" i="37"/>
  <c r="R51" i="37"/>
  <c r="U14" i="38"/>
  <c r="AD47" i="38"/>
  <c r="C80" i="38"/>
  <c r="R19" i="2"/>
  <c r="D19" i="20"/>
  <c r="N7" i="39"/>
  <c r="D7" i="39"/>
  <c r="P17" i="20"/>
  <c r="Q17" i="20"/>
  <c r="C15" i="38"/>
  <c r="BQ109" i="11"/>
  <c r="BQ110" i="11"/>
  <c r="BQ111" i="11"/>
  <c r="BQ112" i="11"/>
  <c r="BR40" i="11"/>
  <c r="BO89" i="10"/>
  <c r="BO90" i="10"/>
  <c r="BO91" i="10"/>
  <c r="BO92" i="10"/>
  <c r="BP32" i="10"/>
  <c r="BQ44" i="10"/>
  <c r="BP119" i="10"/>
  <c r="BP120" i="10"/>
  <c r="BP121" i="10"/>
  <c r="BP122" i="10"/>
  <c r="BP40" i="10"/>
  <c r="BO109" i="10"/>
  <c r="BO110" i="10"/>
  <c r="BO111" i="10"/>
  <c r="BO112" i="10"/>
  <c r="BP46" i="10"/>
  <c r="BO124" i="10"/>
  <c r="BO125" i="10"/>
  <c r="BO126" i="10"/>
  <c r="BO127" i="10"/>
  <c r="BP42" i="10"/>
  <c r="BO114" i="10"/>
  <c r="BO115" i="10"/>
  <c r="BO116" i="10"/>
  <c r="BO117" i="10"/>
  <c r="BO129" i="10"/>
  <c r="BO130" i="10"/>
  <c r="BO131" i="10"/>
  <c r="BO132" i="10"/>
  <c r="BP48" i="10"/>
  <c r="BO104" i="10"/>
  <c r="BO105" i="10"/>
  <c r="BO106" i="10"/>
  <c r="BO107" i="10"/>
  <c r="BP38" i="10"/>
  <c r="BO94" i="10"/>
  <c r="BO95" i="10"/>
  <c r="BO96" i="10"/>
  <c r="BO97" i="10"/>
  <c r="BP34" i="10"/>
  <c r="BP52" i="10"/>
  <c r="BO139" i="10"/>
  <c r="BO140" i="10"/>
  <c r="BO141" i="10"/>
  <c r="BO142" i="10"/>
  <c r="BP30" i="10"/>
  <c r="BO84" i="10"/>
  <c r="BO85" i="10"/>
  <c r="BO86" i="10"/>
  <c r="BO87" i="10"/>
  <c r="BP42" i="22"/>
  <c r="BO114" i="22"/>
  <c r="BO115" i="22"/>
  <c r="BO116" i="22"/>
  <c r="BO117" i="22"/>
  <c r="BP50" i="22"/>
  <c r="BO134" i="22"/>
  <c r="BO135" i="22"/>
  <c r="BO136" i="22"/>
  <c r="BO137" i="22"/>
  <c r="BQ52" i="22"/>
  <c r="BP139" i="22"/>
  <c r="BP140" i="22"/>
  <c r="BP141" i="22"/>
  <c r="BP142" i="22"/>
  <c r="BP124" i="22"/>
  <c r="BP125" i="22"/>
  <c r="BP126" i="22"/>
  <c r="BP127" i="22"/>
  <c r="BQ46" i="22"/>
  <c r="BP46" i="8"/>
  <c r="BO124" i="8"/>
  <c r="BO125" i="8"/>
  <c r="BO126" i="8"/>
  <c r="BO127" i="8"/>
  <c r="BP134" i="8"/>
  <c r="BP135" i="8"/>
  <c r="BP136" i="8"/>
  <c r="BP137" i="8"/>
  <c r="BQ50" i="8"/>
  <c r="BR192" i="8"/>
  <c r="BO199" i="9"/>
  <c r="BP76" i="9"/>
  <c r="L68" i="2"/>
  <c r="N68" i="2"/>
  <c r="O68" i="2"/>
  <c r="M189" i="2"/>
  <c r="AD68" i="2"/>
  <c r="AE189" i="2"/>
  <c r="BJ49" i="11"/>
  <c r="BK224" i="11"/>
  <c r="BQ69" i="22"/>
  <c r="BR234" i="22"/>
  <c r="BP75" i="7"/>
  <c r="BQ237" i="7"/>
  <c r="BR81" i="11"/>
  <c r="BS240" i="11"/>
  <c r="AY65" i="7"/>
  <c r="AZ232" i="7"/>
  <c r="AD190" i="2"/>
  <c r="U190" i="2"/>
  <c r="L190" i="2"/>
  <c r="C190" i="2"/>
  <c r="AM190" i="2"/>
  <c r="BE190" i="2"/>
  <c r="BN190" i="2"/>
  <c r="AV190" i="2"/>
  <c r="Y65" i="11"/>
  <c r="Z232" i="11"/>
  <c r="O73" i="7"/>
  <c r="P236" i="7"/>
  <c r="BM65" i="22"/>
  <c r="BN232" i="22"/>
  <c r="BN191" i="9"/>
  <c r="BN190" i="9"/>
  <c r="BT73" i="11"/>
  <c r="BU236" i="11"/>
  <c r="BL71" i="9"/>
  <c r="BM235" i="9"/>
  <c r="AC63" i="11"/>
  <c r="AD231" i="11"/>
  <c r="BO75" i="8"/>
  <c r="BP237" i="8"/>
  <c r="BN200" i="9"/>
  <c r="BN201" i="9"/>
  <c r="C68" i="2"/>
  <c r="D189" i="2"/>
  <c r="BS69" i="8"/>
  <c r="BT234" i="8"/>
  <c r="BF53" i="11"/>
  <c r="BG226" i="11"/>
  <c r="BO189" i="9"/>
  <c r="BP72" i="9"/>
  <c r="BE68" i="2"/>
  <c r="CF68" i="2"/>
  <c r="BF189" i="2"/>
  <c r="U68" i="2"/>
  <c r="V189" i="2"/>
  <c r="BK81" i="9"/>
  <c r="BL240" i="9"/>
  <c r="BL57" i="10"/>
  <c r="BM228" i="10"/>
  <c r="BM202" i="9"/>
  <c r="AD69" i="11"/>
  <c r="AE234" i="11"/>
  <c r="Q65" i="8"/>
  <c r="R232" i="8"/>
  <c r="BN69" i="9"/>
  <c r="BO234" i="9"/>
  <c r="BR61" i="22"/>
  <c r="BS230" i="22"/>
  <c r="BS191" i="8"/>
  <c r="BS190" i="8"/>
  <c r="BB31" i="22"/>
  <c r="BC215" i="22"/>
  <c r="BO75" i="10"/>
  <c r="BP237" i="10"/>
  <c r="BM81" i="7"/>
  <c r="BN240" i="7"/>
  <c r="BV61" i="8"/>
  <c r="BW230" i="8"/>
  <c r="BO81" i="22"/>
  <c r="BP240" i="22"/>
  <c r="BO75" i="22"/>
  <c r="BP237" i="22"/>
  <c r="AV68" i="2"/>
  <c r="AW189" i="2"/>
  <c r="A71" i="2"/>
  <c r="A191" i="2"/>
  <c r="BW191" i="2"/>
  <c r="BI69" i="7"/>
  <c r="BJ234" i="7"/>
  <c r="BE73" i="10"/>
  <c r="BF236" i="10"/>
  <c r="BQ67" i="8"/>
  <c r="BR233" i="8"/>
  <c r="BQ71" i="7"/>
  <c r="BR235" i="7"/>
  <c r="BN68" i="2"/>
  <c r="BO189" i="2"/>
  <c r="AM68" i="2"/>
  <c r="AN189" i="2"/>
  <c r="BO89" i="22"/>
  <c r="BO90" i="22"/>
  <c r="BO91" i="22"/>
  <c r="BO92" i="22"/>
  <c r="BP32" i="22"/>
  <c r="BM192" i="9"/>
  <c r="BM79" i="10"/>
  <c r="BN239" i="10"/>
  <c r="BT77" i="8"/>
  <c r="BU238" i="8"/>
  <c r="BU72" i="8"/>
  <c r="BT189" i="8"/>
  <c r="BR67" i="11"/>
  <c r="BS233" i="11"/>
  <c r="W46" i="30"/>
  <c r="V46" i="30"/>
  <c r="K46" i="30"/>
  <c r="BU34" i="8"/>
  <c r="BT94" i="8"/>
  <c r="BT95" i="8"/>
  <c r="BT96" i="8"/>
  <c r="BT97" i="8"/>
  <c r="BP44" i="8"/>
  <c r="BO119" i="8"/>
  <c r="BO120" i="8"/>
  <c r="BO121" i="8"/>
  <c r="BO122" i="8"/>
  <c r="BO114" i="8"/>
  <c r="BO115" i="8"/>
  <c r="BO116" i="8"/>
  <c r="BO117" i="8"/>
  <c r="BP42" i="8"/>
  <c r="BU167" i="7"/>
  <c r="BX62" i="7"/>
  <c r="BW164" i="7"/>
  <c r="BP32" i="11"/>
  <c r="BO89" i="11"/>
  <c r="BO90" i="11"/>
  <c r="BO91" i="11"/>
  <c r="BO92" i="11"/>
  <c r="BV165" i="7"/>
  <c r="BV166" i="7"/>
  <c r="BP84" i="9"/>
  <c r="BP85" i="9"/>
  <c r="BP86" i="9"/>
  <c r="BP87" i="9"/>
  <c r="BQ30" i="9"/>
  <c r="BO139" i="9"/>
  <c r="BO140" i="9"/>
  <c r="BO141" i="9"/>
  <c r="BO142" i="9"/>
  <c r="BP52" i="9"/>
  <c r="BR30" i="1"/>
  <c r="BQ86" i="1"/>
  <c r="BQ87" i="1"/>
  <c r="BQ88" i="1"/>
  <c r="BQ89" i="1"/>
  <c r="BP68" i="1"/>
  <c r="BO181" i="1"/>
  <c r="BO182" i="1"/>
  <c r="BO183" i="1"/>
  <c r="BO184" i="1"/>
  <c r="BN132" i="1"/>
  <c r="BN133" i="1"/>
  <c r="BN134" i="1"/>
  <c r="BP58" i="1"/>
  <c r="BO156" i="1"/>
  <c r="BO157" i="1"/>
  <c r="BO158" i="1"/>
  <c r="BO159" i="1"/>
  <c r="BQ91" i="1"/>
  <c r="BQ92" i="1"/>
  <c r="BQ93" i="1"/>
  <c r="BQ94" i="1"/>
  <c r="BR32" i="1"/>
  <c r="BO141" i="1"/>
  <c r="BO142" i="1"/>
  <c r="BO143" i="1"/>
  <c r="BO144" i="1"/>
  <c r="BP52" i="1"/>
  <c r="BO131" i="1"/>
  <c r="BO132" i="1"/>
  <c r="BO133" i="1"/>
  <c r="BO134" i="1"/>
  <c r="BP48" i="1"/>
  <c r="BO96" i="1"/>
  <c r="BO97" i="1"/>
  <c r="BO98" i="1"/>
  <c r="BO99" i="1"/>
  <c r="BP34" i="1"/>
  <c r="BN157" i="1"/>
  <c r="BN158" i="1"/>
  <c r="BN159" i="1"/>
  <c r="BO171" i="1"/>
  <c r="BO172" i="1"/>
  <c r="BO173" i="1"/>
  <c r="BO174" i="1"/>
  <c r="BP64" i="1"/>
  <c r="BO219" i="1"/>
  <c r="BP50" i="1"/>
  <c r="BO136" i="1"/>
  <c r="BO137" i="1"/>
  <c r="BO138" i="1"/>
  <c r="BO139" i="1"/>
  <c r="R51" i="33"/>
  <c r="R50" i="33"/>
  <c r="BN107" i="22"/>
  <c r="BP119" i="22"/>
  <c r="BP120" i="22"/>
  <c r="BP121" i="22"/>
  <c r="BP122" i="22"/>
  <c r="BQ44" i="22"/>
  <c r="BM132" i="8"/>
  <c r="BO103" i="6"/>
  <c r="BO104" i="6"/>
  <c r="BO105" i="6"/>
  <c r="BO106" i="6"/>
  <c r="BP32" i="6"/>
  <c r="BO123" i="6"/>
  <c r="BP40" i="6"/>
  <c r="BP24" i="6"/>
  <c r="BO83" i="6"/>
  <c r="BO84" i="6"/>
  <c r="BO85" i="6"/>
  <c r="BO86" i="6"/>
  <c r="BP98" i="6"/>
  <c r="BP99" i="6"/>
  <c r="BP100" i="6"/>
  <c r="BP101" i="6"/>
  <c r="BQ30" i="6"/>
  <c r="BO88" i="6"/>
  <c r="BO89" i="6"/>
  <c r="BO90" i="6"/>
  <c r="BO91" i="6"/>
  <c r="BP26" i="6"/>
  <c r="BP22" i="6"/>
  <c r="BO78" i="6"/>
  <c r="BO79" i="6"/>
  <c r="BO80" i="6"/>
  <c r="BO81" i="6"/>
  <c r="BO108" i="6"/>
  <c r="BO109" i="6"/>
  <c r="BO110" i="6"/>
  <c r="BO111" i="6"/>
  <c r="BP34" i="6"/>
  <c r="BO113" i="6"/>
  <c r="BO114" i="6"/>
  <c r="BO115" i="6"/>
  <c r="BO116" i="6"/>
  <c r="BP36" i="6"/>
  <c r="BP28" i="6"/>
  <c r="BO93" i="6"/>
  <c r="BO94" i="6"/>
  <c r="BO95" i="6"/>
  <c r="BO96" i="6"/>
  <c r="BQ42" i="6"/>
  <c r="BP128" i="6"/>
  <c r="BP129" i="6"/>
  <c r="BP130" i="6"/>
  <c r="BP131" i="6"/>
  <c r="BO133" i="6"/>
  <c r="BO134" i="6"/>
  <c r="BO135" i="6"/>
  <c r="BO136" i="6"/>
  <c r="BP44" i="6"/>
  <c r="BR82" i="1"/>
  <c r="BQ216" i="1"/>
  <c r="BO114" i="1"/>
  <c r="BP42" i="1"/>
  <c r="BO116" i="1"/>
  <c r="BO117" i="1"/>
  <c r="BO118" i="1"/>
  <c r="BO119" i="1"/>
  <c r="BS80" i="1"/>
  <c r="BR211" i="1"/>
  <c r="BR212" i="1"/>
  <c r="BR213" i="1"/>
  <c r="BR214" i="1"/>
  <c r="BP218" i="1"/>
  <c r="BP217" i="1"/>
  <c r="BM137" i="7"/>
  <c r="BP99" i="8"/>
  <c r="BP100" i="8"/>
  <c r="BP101" i="8"/>
  <c r="BP102" i="8"/>
  <c r="BQ36" i="8"/>
  <c r="BS104" i="8"/>
  <c r="BS105" i="8"/>
  <c r="BS106" i="8"/>
  <c r="BS107" i="8"/>
  <c r="BT38" i="8"/>
  <c r="BO120" i="11"/>
  <c r="BO121" i="11"/>
  <c r="BO122" i="11"/>
  <c r="BQ44" i="11"/>
  <c r="BP119" i="11"/>
  <c r="T50" i="36"/>
  <c r="AQ50" i="36"/>
  <c r="X50" i="36"/>
  <c r="AS50" i="36"/>
  <c r="AW50" i="36"/>
  <c r="AU50" i="36"/>
  <c r="AV50" i="36"/>
  <c r="AM50" i="36"/>
  <c r="AX50" i="36"/>
  <c r="AR50" i="36"/>
  <c r="Y50" i="36"/>
  <c r="Z50" i="36"/>
  <c r="AO50" i="36"/>
  <c r="AB50" i="36"/>
  <c r="AF50" i="36"/>
  <c r="AD50" i="36"/>
  <c r="AK50" i="36"/>
  <c r="AJ50" i="36"/>
  <c r="AG50" i="36"/>
  <c r="AH50" i="36"/>
  <c r="AI50" i="36"/>
  <c r="AP50" i="36"/>
  <c r="AE50" i="36"/>
  <c r="AL50" i="36"/>
  <c r="AC50" i="36"/>
  <c r="AN50" i="36"/>
  <c r="AA50" i="36"/>
  <c r="AT50" i="36"/>
  <c r="U49" i="34"/>
  <c r="K49" i="34"/>
  <c r="R49" i="32"/>
  <c r="L33" i="26"/>
  <c r="S50" i="32"/>
  <c r="L34" i="26"/>
  <c r="S51" i="32"/>
  <c r="BP34" i="22"/>
  <c r="BO94" i="22"/>
  <c r="BO95" i="22"/>
  <c r="BO96" i="22"/>
  <c r="BO97" i="22"/>
  <c r="BQ38" i="22"/>
  <c r="BP104" i="22"/>
  <c r="BP105" i="22"/>
  <c r="BP106" i="22"/>
  <c r="BP107" i="22"/>
  <c r="BO129" i="22"/>
  <c r="BO130" i="22"/>
  <c r="BO131" i="22"/>
  <c r="BO132" i="22"/>
  <c r="BP48" i="22"/>
  <c r="BP42" i="7"/>
  <c r="BO114" i="7"/>
  <c r="BP104" i="7"/>
  <c r="BP105" i="7"/>
  <c r="BP106" i="7"/>
  <c r="BP107" i="7"/>
  <c r="BQ38" i="7"/>
  <c r="BP34" i="7"/>
  <c r="BO94" i="7"/>
  <c r="BO95" i="7"/>
  <c r="BO96" i="7"/>
  <c r="BO97" i="7"/>
  <c r="BS40" i="7"/>
  <c r="BR109" i="7"/>
  <c r="BR110" i="7"/>
  <c r="BR111" i="7"/>
  <c r="BR112" i="7"/>
  <c r="BQ30" i="7"/>
  <c r="BP84" i="7"/>
  <c r="BP99" i="7"/>
  <c r="BQ36" i="7"/>
  <c r="BR118" i="6"/>
  <c r="BS38" i="6"/>
  <c r="BP46" i="9"/>
  <c r="BO124" i="9"/>
  <c r="BO125" i="9"/>
  <c r="BO126" i="9"/>
  <c r="BO127" i="9"/>
  <c r="BS144" i="9"/>
  <c r="BS145" i="9"/>
  <c r="BS146" i="9"/>
  <c r="BS147" i="9"/>
  <c r="BT54" i="9"/>
  <c r="BN114" i="9"/>
  <c r="BN115" i="9"/>
  <c r="BN116" i="9"/>
  <c r="BN117" i="9"/>
  <c r="BO42" i="9"/>
  <c r="BP34" i="9"/>
  <c r="BO94" i="9"/>
  <c r="BO95" i="9"/>
  <c r="BO96" i="9"/>
  <c r="BO97" i="9"/>
  <c r="BS38" i="9"/>
  <c r="BR104" i="9"/>
  <c r="BR105" i="9"/>
  <c r="BR106" i="9"/>
  <c r="BR107" i="9"/>
  <c r="BQ50" i="9"/>
  <c r="BP134" i="9"/>
  <c r="BP135" i="9"/>
  <c r="BP136" i="9"/>
  <c r="BP137" i="9"/>
  <c r="BR32" i="9"/>
  <c r="BQ89" i="9"/>
  <c r="BQ90" i="9"/>
  <c r="BQ91" i="9"/>
  <c r="BQ92" i="9"/>
  <c r="BP44" i="9"/>
  <c r="BO119" i="9"/>
  <c r="BO120" i="9"/>
  <c r="BO121" i="9"/>
  <c r="BO122" i="9"/>
  <c r="BP56" i="9"/>
  <c r="BO149" i="9"/>
  <c r="BO150" i="9"/>
  <c r="BO151" i="9"/>
  <c r="BO152" i="9"/>
  <c r="BO129" i="9"/>
  <c r="BO130" i="9"/>
  <c r="BO131" i="9"/>
  <c r="BO132" i="9"/>
  <c r="BP48" i="9"/>
  <c r="BP70" i="1"/>
  <c r="BO186" i="1"/>
  <c r="BO187" i="1"/>
  <c r="BO188" i="1"/>
  <c r="BO189" i="1"/>
  <c r="BP74" i="1"/>
  <c r="BO196" i="1"/>
  <c r="BU151" i="1"/>
  <c r="BU152" i="1"/>
  <c r="BU153" i="1"/>
  <c r="BU154" i="1"/>
  <c r="BV56" i="1"/>
  <c r="BP177" i="1"/>
  <c r="BP178" i="1"/>
  <c r="BR66" i="1"/>
  <c r="BQ176" i="1"/>
  <c r="BQ177" i="1"/>
  <c r="BQ178" i="1"/>
  <c r="BQ179" i="1"/>
  <c r="BR76" i="1"/>
  <c r="BQ201" i="1"/>
  <c r="BQ202" i="1"/>
  <c r="BQ203" i="1"/>
  <c r="BQ204" i="1"/>
  <c r="BN187" i="1"/>
  <c r="BN188" i="1"/>
  <c r="BN189" i="1"/>
  <c r="BQ60" i="1"/>
  <c r="BP161" i="1"/>
  <c r="BP162" i="1"/>
  <c r="BP163" i="1"/>
  <c r="BP164" i="1"/>
  <c r="BQ72" i="1"/>
  <c r="BP191" i="1"/>
  <c r="BP78" i="1"/>
  <c r="BO206" i="1"/>
  <c r="BO207" i="1"/>
  <c r="BO208" i="1"/>
  <c r="BO209" i="1"/>
  <c r="BV42" i="11"/>
  <c r="BU114" i="11"/>
  <c r="BT115" i="11"/>
  <c r="W50" i="35"/>
  <c r="V50" i="35"/>
  <c r="K50" i="35"/>
  <c r="BO105" i="11"/>
  <c r="BO106" i="11"/>
  <c r="BO107" i="11"/>
  <c r="BN107" i="11"/>
  <c r="BP104" i="11"/>
  <c r="BQ38" i="11"/>
  <c r="BQ99" i="11"/>
  <c r="BR36" i="11"/>
  <c r="BR85" i="11"/>
  <c r="BR86" i="11"/>
  <c r="BR87" i="11"/>
  <c r="BP100" i="11"/>
  <c r="BP101" i="11"/>
  <c r="BP102" i="11"/>
  <c r="BT30" i="11"/>
  <c r="BS84" i="11"/>
  <c r="BO135" i="10"/>
  <c r="BO136" i="10"/>
  <c r="BO137" i="10"/>
  <c r="BQ50" i="10"/>
  <c r="BP134" i="10"/>
  <c r="BQ36" i="10"/>
  <c r="BP99" i="10"/>
  <c r="BO100" i="10"/>
  <c r="BO101" i="10"/>
  <c r="BO102" i="10"/>
  <c r="BP58" i="22"/>
  <c r="BO154" i="22"/>
  <c r="BN155" i="22"/>
  <c r="BN156" i="22"/>
  <c r="BN157" i="22"/>
  <c r="BQ36" i="22"/>
  <c r="BP99" i="22"/>
  <c r="BO145" i="22"/>
  <c r="BO146" i="22"/>
  <c r="BO147" i="22"/>
  <c r="BO100" i="22"/>
  <c r="BO101" i="22"/>
  <c r="BO102" i="22"/>
  <c r="BO110" i="22"/>
  <c r="BO111" i="22"/>
  <c r="BO112" i="22"/>
  <c r="BQ54" i="22"/>
  <c r="BP144" i="22"/>
  <c r="BP109" i="22"/>
  <c r="BQ40" i="22"/>
  <c r="BQ150" i="8"/>
  <c r="BQ151" i="8"/>
  <c r="BS56" i="8"/>
  <c r="BR149" i="8"/>
  <c r="BQ54" i="8"/>
  <c r="BP144" i="8"/>
  <c r="BO145" i="8"/>
  <c r="BO146" i="8"/>
  <c r="BO147" i="8"/>
  <c r="BN110" i="8"/>
  <c r="BN111" i="8"/>
  <c r="BN112" i="8"/>
  <c r="BP40" i="8"/>
  <c r="BO109" i="8"/>
  <c r="BP32" i="8"/>
  <c r="BO89" i="8"/>
  <c r="BO129" i="8"/>
  <c r="BP48" i="8"/>
  <c r="BN140" i="8"/>
  <c r="BN141" i="8"/>
  <c r="BN142" i="8"/>
  <c r="BN90" i="8"/>
  <c r="BN91" i="8"/>
  <c r="BN92" i="8"/>
  <c r="BN130" i="8"/>
  <c r="BN131" i="8"/>
  <c r="BN132" i="8"/>
  <c r="BN84" i="8"/>
  <c r="BO30" i="8"/>
  <c r="BP52" i="8"/>
  <c r="BO139" i="8"/>
  <c r="BM85" i="8"/>
  <c r="BM86" i="8"/>
  <c r="BM87" i="8"/>
  <c r="BP54" i="7"/>
  <c r="BO144" i="7"/>
  <c r="BN145" i="7"/>
  <c r="BN146" i="7"/>
  <c r="BN147" i="7"/>
  <c r="BN140" i="7"/>
  <c r="BN141" i="7"/>
  <c r="BN142" i="7"/>
  <c r="BO139" i="7"/>
  <c r="BP52" i="7"/>
  <c r="BN135" i="7"/>
  <c r="BN136" i="7"/>
  <c r="BO134" i="7"/>
  <c r="BP50" i="7"/>
  <c r="BW32" i="7"/>
  <c r="BV89" i="7"/>
  <c r="BQ124" i="7"/>
  <c r="BR46" i="7"/>
  <c r="BR119" i="7"/>
  <c r="BS44" i="7"/>
  <c r="BU90" i="7"/>
  <c r="BU91" i="7"/>
  <c r="BU92" i="7"/>
  <c r="BP125" i="7"/>
  <c r="BP126" i="7"/>
  <c r="BP127" i="7"/>
  <c r="BQ120" i="7"/>
  <c r="BQ121" i="7"/>
  <c r="BQ122" i="7"/>
  <c r="BO163" i="6"/>
  <c r="BP56" i="6"/>
  <c r="BN164" i="6"/>
  <c r="BN165" i="6"/>
  <c r="BO158" i="6"/>
  <c r="BP54" i="6"/>
  <c r="BN159" i="6"/>
  <c r="BN160" i="6"/>
  <c r="BN154" i="6"/>
  <c r="BN155" i="6"/>
  <c r="BN156" i="6"/>
  <c r="BO153" i="6"/>
  <c r="BP52" i="6"/>
  <c r="BN149" i="6"/>
  <c r="BN150" i="6"/>
  <c r="BO148" i="6"/>
  <c r="BP50" i="6"/>
  <c r="BP48" i="6"/>
  <c r="BO143" i="6"/>
  <c r="BN144" i="6"/>
  <c r="BN145" i="6"/>
  <c r="BO160" i="9"/>
  <c r="BO161" i="9"/>
  <c r="BO162" i="9"/>
  <c r="BP159" i="9"/>
  <c r="BQ60" i="9"/>
  <c r="BN155" i="9"/>
  <c r="BN156" i="9"/>
  <c r="BN157" i="9"/>
  <c r="BP58" i="9"/>
  <c r="BO154" i="9"/>
  <c r="BO100" i="9"/>
  <c r="BO101" i="9"/>
  <c r="BO102" i="9"/>
  <c r="BO110" i="9"/>
  <c r="BO111" i="9"/>
  <c r="BO112" i="9"/>
  <c r="BQ36" i="9"/>
  <c r="BP99" i="9"/>
  <c r="BP109" i="9"/>
  <c r="BQ40" i="9"/>
  <c r="BN167" i="1"/>
  <c r="BN168" i="1"/>
  <c r="BN169" i="1"/>
  <c r="BP62" i="1"/>
  <c r="BO166" i="1"/>
  <c r="BN147" i="1"/>
  <c r="BN148" i="1"/>
  <c r="BN149" i="1"/>
  <c r="BO126" i="1"/>
  <c r="BP46" i="1"/>
  <c r="BN127" i="1"/>
  <c r="BN128" i="1"/>
  <c r="BN129" i="1"/>
  <c r="BP54" i="1"/>
  <c r="BO146" i="1"/>
  <c r="BP122" i="1"/>
  <c r="BP123" i="1"/>
  <c r="BP124" i="1"/>
  <c r="BR44" i="1"/>
  <c r="BQ121" i="1"/>
  <c r="BP38" i="1"/>
  <c r="BO106" i="1"/>
  <c r="BP112" i="1"/>
  <c r="BP113" i="1"/>
  <c r="BP114" i="1"/>
  <c r="BR40" i="1"/>
  <c r="BQ111" i="1"/>
  <c r="BQ101" i="1"/>
  <c r="BR36" i="1"/>
  <c r="BP102" i="1"/>
  <c r="BP103" i="1"/>
  <c r="BP104" i="1"/>
  <c r="BN107" i="1"/>
  <c r="BN108" i="1"/>
  <c r="BN109" i="1"/>
  <c r="BQ48" i="7"/>
  <c r="BP129" i="7"/>
  <c r="BP130" i="7"/>
  <c r="BP131" i="7"/>
  <c r="BP132" i="7"/>
  <c r="BW70" i="2"/>
  <c r="BX191" i="2"/>
  <c r="U46" i="41"/>
  <c r="O59" i="11"/>
  <c r="P229" i="11"/>
  <c r="BF237" i="9"/>
  <c r="BE75" i="9"/>
  <c r="BS162" i="7"/>
  <c r="BN207" i="8"/>
  <c r="BO152" i="11"/>
  <c r="CH147" i="10"/>
  <c r="BN187" i="8"/>
  <c r="BN202" i="22"/>
  <c r="BS207" i="11"/>
  <c r="BX192" i="22"/>
  <c r="BW207" i="9"/>
  <c r="BN167" i="9"/>
  <c r="BR127" i="11"/>
  <c r="BN137" i="11"/>
  <c r="BT167" i="8"/>
  <c r="BQ157" i="7"/>
  <c r="BO202" i="7"/>
  <c r="BO99" i="40"/>
  <c r="BP326" i="40"/>
  <c r="BU111" i="40"/>
  <c r="BV332" i="40"/>
  <c r="BU101" i="40"/>
  <c r="BV327" i="40"/>
  <c r="BQ97" i="40"/>
  <c r="BR325" i="40"/>
  <c r="BU93" i="40"/>
  <c r="BV323" i="40"/>
  <c r="BU109" i="40"/>
  <c r="BV331" i="40"/>
  <c r="BQ107" i="40"/>
  <c r="BR330" i="40"/>
  <c r="BU103" i="40"/>
  <c r="BV328" i="40"/>
  <c r="BP105" i="40"/>
  <c r="BQ329" i="40"/>
  <c r="BV95" i="40"/>
  <c r="BW324" i="40"/>
  <c r="BV91" i="40"/>
  <c r="BX302" i="40"/>
  <c r="BW51" i="40"/>
  <c r="BY320" i="40"/>
  <c r="BX87" i="40"/>
  <c r="BW313" i="40"/>
  <c r="BV73" i="40"/>
  <c r="BY304" i="40"/>
  <c r="BX55" i="40"/>
  <c r="BW311" i="40"/>
  <c r="BV69" i="40"/>
  <c r="BY312" i="40"/>
  <c r="BX71" i="40"/>
  <c r="BY308" i="40"/>
  <c r="BX63" i="40"/>
  <c r="BY316" i="40"/>
  <c r="BX79" i="40"/>
  <c r="BY318" i="40"/>
  <c r="BX83" i="40"/>
  <c r="BX297" i="40"/>
  <c r="BW41" i="40"/>
  <c r="BY305" i="40"/>
  <c r="BX57" i="40"/>
  <c r="BX319" i="40"/>
  <c r="BW85" i="40"/>
  <c r="BY322" i="40"/>
  <c r="BX307" i="40"/>
  <c r="BW61" i="40"/>
  <c r="BY301" i="40"/>
  <c r="BX49" i="40"/>
  <c r="BX310" i="40"/>
  <c r="BW67" i="40"/>
  <c r="BY314" i="40"/>
  <c r="BX75" i="40"/>
  <c r="BX321" i="40"/>
  <c r="BW89" i="40"/>
  <c r="BY299" i="40"/>
  <c r="BX45" i="40"/>
  <c r="BY306" i="40"/>
  <c r="BX59" i="40"/>
  <c r="BW309" i="40"/>
  <c r="BV65" i="40"/>
  <c r="BY303" i="40"/>
  <c r="BX53" i="40"/>
  <c r="BX315" i="40"/>
  <c r="BW77" i="40"/>
  <c r="BY298" i="40"/>
  <c r="BX43" i="40"/>
  <c r="BY300" i="40"/>
  <c r="BX47" i="40"/>
  <c r="BX317" i="40"/>
  <c r="BW81" i="40"/>
  <c r="R50" i="37"/>
  <c r="AK33" i="26"/>
  <c r="BT160" i="7"/>
  <c r="BT161" i="7"/>
  <c r="BO135" i="11"/>
  <c r="BO136" i="11"/>
  <c r="BP174" i="7"/>
  <c r="BQ66" i="7"/>
  <c r="BX205" i="9"/>
  <c r="BX206" i="9"/>
  <c r="BO160" i="10"/>
  <c r="BO161" i="10"/>
  <c r="CA78" i="22"/>
  <c r="BZ204" i="22"/>
  <c r="BO200" i="11"/>
  <c r="BO201" i="11"/>
  <c r="U55" i="11"/>
  <c r="V227" i="11"/>
  <c r="X81" i="8"/>
  <c r="Y240" i="8"/>
  <c r="BP184" i="8"/>
  <c r="BQ70" i="8"/>
  <c r="BW166" i="22"/>
  <c r="BW165" i="22"/>
  <c r="BJ59" i="10"/>
  <c r="BK229" i="10"/>
  <c r="BZ64" i="9"/>
  <c r="BY169" i="9"/>
  <c r="CB63" i="10"/>
  <c r="CA63" i="10"/>
  <c r="BZ63" i="10"/>
  <c r="CB164" i="10"/>
  <c r="BS125" i="11"/>
  <c r="BS126" i="11"/>
  <c r="BW184" i="22"/>
  <c r="BX70" i="22"/>
  <c r="BQ50" i="11"/>
  <c r="BP134" i="11"/>
  <c r="BX207" i="22"/>
  <c r="BU166" i="8"/>
  <c r="BU165" i="8"/>
  <c r="BW237" i="11"/>
  <c r="BV75" i="11"/>
  <c r="BQ56" i="22"/>
  <c r="BP149" i="22"/>
  <c r="BP150" i="22"/>
  <c r="BP151" i="22"/>
  <c r="BP152" i="22"/>
  <c r="BO181" i="10"/>
  <c r="BO180" i="10"/>
  <c r="BQ76" i="11"/>
  <c r="BP199" i="11"/>
  <c r="BP151" i="11"/>
  <c r="BP150" i="11"/>
  <c r="CI145" i="10"/>
  <c r="CI146" i="10"/>
  <c r="BO205" i="8"/>
  <c r="BO206" i="8"/>
  <c r="BP200" i="7"/>
  <c r="BP201" i="7"/>
  <c r="CA174" i="10"/>
  <c r="CB66" i="10"/>
  <c r="BX164" i="22"/>
  <c r="BY62" i="22"/>
  <c r="BO200" i="22"/>
  <c r="BO201" i="22"/>
  <c r="CA72" i="22"/>
  <c r="BZ189" i="22"/>
  <c r="BX170" i="9"/>
  <c r="BX171" i="9"/>
  <c r="CA165" i="10"/>
  <c r="CA166" i="10"/>
  <c r="AA61" i="11"/>
  <c r="AB230" i="11"/>
  <c r="BT206" i="11"/>
  <c r="BT205" i="11"/>
  <c r="BU46" i="11"/>
  <c r="BT124" i="11"/>
  <c r="BS192" i="8"/>
  <c r="BV186" i="22"/>
  <c r="BV185" i="22"/>
  <c r="CA157" i="8"/>
  <c r="CA229" i="8"/>
  <c r="BR156" i="7"/>
  <c r="BR155" i="7"/>
  <c r="BN202" i="11"/>
  <c r="BO67" i="22"/>
  <c r="BP233" i="22"/>
  <c r="BP164" i="9"/>
  <c r="BQ62" i="9"/>
  <c r="BQ68" i="10"/>
  <c r="BP179" i="10"/>
  <c r="BK81" i="10"/>
  <c r="BL240" i="10"/>
  <c r="BY177" i="10"/>
  <c r="BQ149" i="11"/>
  <c r="BR56" i="11"/>
  <c r="BN202" i="10"/>
  <c r="CJ144" i="10"/>
  <c r="CK54" i="10"/>
  <c r="BP204" i="8"/>
  <c r="BQ78" i="8"/>
  <c r="BV205" i="7"/>
  <c r="BV206" i="7"/>
  <c r="BR76" i="7"/>
  <c r="BQ199" i="7"/>
  <c r="BZ175" i="10"/>
  <c r="BZ176" i="10"/>
  <c r="BO200" i="10"/>
  <c r="BO201" i="10"/>
  <c r="BP199" i="22"/>
  <c r="BQ76" i="22"/>
  <c r="BY190" i="22"/>
  <c r="BY191" i="22"/>
  <c r="CB155" i="8"/>
  <c r="CB156" i="8"/>
  <c r="BV78" i="11"/>
  <c r="BU204" i="11"/>
  <c r="BN177" i="7"/>
  <c r="BU159" i="7"/>
  <c r="BV60" i="7"/>
  <c r="BN162" i="10"/>
  <c r="BN182" i="10"/>
  <c r="BP138" i="6"/>
  <c r="BP139" i="6"/>
  <c r="BP140" i="6"/>
  <c r="BP141" i="6"/>
  <c r="BQ46" i="6"/>
  <c r="BT58" i="7"/>
  <c r="BS154" i="7"/>
  <c r="BV164" i="8"/>
  <c r="BW62" i="8"/>
  <c r="BX235" i="10"/>
  <c r="BW71" i="10"/>
  <c r="BO175" i="7"/>
  <c r="BO176" i="7"/>
  <c r="BY204" i="9"/>
  <c r="BZ78" i="9"/>
  <c r="BP159" i="10"/>
  <c r="BQ60" i="10"/>
  <c r="BO166" i="9"/>
  <c r="BO165" i="9"/>
  <c r="BU207" i="7"/>
  <c r="BY206" i="22"/>
  <c r="BY205" i="22"/>
  <c r="BV167" i="22"/>
  <c r="BW172" i="9"/>
  <c r="BZ167" i="10"/>
  <c r="BX78" i="7"/>
  <c r="BW204" i="7"/>
  <c r="BO185" i="8"/>
  <c r="BO186" i="8"/>
  <c r="BP199" i="10"/>
  <c r="BQ76" i="10"/>
  <c r="BU187" i="22"/>
  <c r="BY59" i="8"/>
  <c r="BZ229" i="8"/>
  <c r="BL233" i="9"/>
  <c r="BK67" i="9"/>
  <c r="BK65" i="10"/>
  <c r="BL232" i="10"/>
  <c r="S51" i="37"/>
  <c r="AK34" i="26"/>
  <c r="W49" i="34"/>
  <c r="V49" i="34"/>
  <c r="AJ49" i="34"/>
  <c r="R20" i="2"/>
  <c r="D20" i="20"/>
  <c r="U15" i="38"/>
  <c r="AD48" i="38"/>
  <c r="C81" i="38"/>
  <c r="C16" i="38"/>
  <c r="P18" i="20"/>
  <c r="Q18" i="20"/>
  <c r="N8" i="39"/>
  <c r="D8" i="39"/>
  <c r="BR109" i="11"/>
  <c r="BR110" i="11"/>
  <c r="BR111" i="11"/>
  <c r="BR112" i="11"/>
  <c r="BS40" i="11"/>
  <c r="BP94" i="10"/>
  <c r="BP95" i="10"/>
  <c r="BP96" i="10"/>
  <c r="BP97" i="10"/>
  <c r="BQ34" i="10"/>
  <c r="BQ48" i="10"/>
  <c r="BP129" i="10"/>
  <c r="BP130" i="10"/>
  <c r="BP131" i="10"/>
  <c r="BP132" i="10"/>
  <c r="BP84" i="10"/>
  <c r="BP85" i="10"/>
  <c r="BP86" i="10"/>
  <c r="BP87" i="10"/>
  <c r="BQ30" i="10"/>
  <c r="BP124" i="10"/>
  <c r="BP125" i="10"/>
  <c r="BP126" i="10"/>
  <c r="BP127" i="10"/>
  <c r="BQ46" i="10"/>
  <c r="BR44" i="10"/>
  <c r="BQ119" i="10"/>
  <c r="BQ120" i="10"/>
  <c r="BQ121" i="10"/>
  <c r="BQ122" i="10"/>
  <c r="BQ38" i="10"/>
  <c r="BP104" i="10"/>
  <c r="BP105" i="10"/>
  <c r="BP106" i="10"/>
  <c r="BP107" i="10"/>
  <c r="BQ32" i="10"/>
  <c r="BP89" i="10"/>
  <c r="BP90" i="10"/>
  <c r="BP91" i="10"/>
  <c r="BP92" i="10"/>
  <c r="BQ52" i="10"/>
  <c r="BP139" i="10"/>
  <c r="BP140" i="10"/>
  <c r="BP141" i="10"/>
  <c r="BP142" i="10"/>
  <c r="BQ42" i="10"/>
  <c r="BP114" i="10"/>
  <c r="BP115" i="10"/>
  <c r="BP116" i="10"/>
  <c r="BP117" i="10"/>
  <c r="BP109" i="10"/>
  <c r="BP110" i="10"/>
  <c r="BP111" i="10"/>
  <c r="BP112" i="10"/>
  <c r="BQ40" i="10"/>
  <c r="BR52" i="22"/>
  <c r="BQ139" i="22"/>
  <c r="BQ140" i="22"/>
  <c r="BQ141" i="22"/>
  <c r="BQ142" i="22"/>
  <c r="BQ50" i="22"/>
  <c r="BP134" i="22"/>
  <c r="BP135" i="22"/>
  <c r="BP136" i="22"/>
  <c r="BP137" i="22"/>
  <c r="BR46" i="22"/>
  <c r="BQ124" i="22"/>
  <c r="BQ125" i="22"/>
  <c r="BQ126" i="22"/>
  <c r="BQ127" i="22"/>
  <c r="BP114" i="22"/>
  <c r="BP115" i="22"/>
  <c r="BP116" i="22"/>
  <c r="BP117" i="22"/>
  <c r="BQ42" i="22"/>
  <c r="BR50" i="8"/>
  <c r="BQ134" i="8"/>
  <c r="BQ135" i="8"/>
  <c r="BQ136" i="8"/>
  <c r="BQ137" i="8"/>
  <c r="BP124" i="8"/>
  <c r="BP125" i="8"/>
  <c r="BP126" i="8"/>
  <c r="BP127" i="8"/>
  <c r="BQ46" i="8"/>
  <c r="BN192" i="9"/>
  <c r="BV167" i="7"/>
  <c r="BQ67" i="11"/>
  <c r="BR233" i="11"/>
  <c r="BQ32" i="22"/>
  <c r="BP89" i="22"/>
  <c r="BP90" i="22"/>
  <c r="BP91" i="22"/>
  <c r="BP92" i="22"/>
  <c r="A192" i="2"/>
  <c r="BW192" i="2"/>
  <c r="A72" i="2"/>
  <c r="BN81" i="22"/>
  <c r="BO240" i="22"/>
  <c r="BU61" i="8"/>
  <c r="BV230" i="8"/>
  <c r="BN75" i="10"/>
  <c r="BO237" i="10"/>
  <c r="BA31" i="22"/>
  <c r="BB215" i="22"/>
  <c r="BQ61" i="22"/>
  <c r="BR230" i="22"/>
  <c r="BE53" i="11"/>
  <c r="BF226" i="11"/>
  <c r="AB63" i="11"/>
  <c r="AC231" i="11"/>
  <c r="BK71" i="9"/>
  <c r="BL235" i="9"/>
  <c r="N73" i="7"/>
  <c r="O236" i="7"/>
  <c r="AV69" i="2"/>
  <c r="AW190" i="2"/>
  <c r="C69" i="2"/>
  <c r="D190" i="2"/>
  <c r="BS77" i="8"/>
  <c r="BT238" i="8"/>
  <c r="BP67" i="8"/>
  <c r="BQ233" i="8"/>
  <c r="BD73" i="10"/>
  <c r="BE236" i="10"/>
  <c r="BH69" i="7"/>
  <c r="BI234" i="7"/>
  <c r="P65" i="8"/>
  <c r="Q232" i="8"/>
  <c r="BQ72" i="9"/>
  <c r="BP189" i="9"/>
  <c r="BS73" i="11"/>
  <c r="BT236" i="11"/>
  <c r="BN69" i="2"/>
  <c r="BO190" i="2"/>
  <c r="M190" i="2"/>
  <c r="L69" i="2"/>
  <c r="N69" i="2"/>
  <c r="O69" i="2"/>
  <c r="AX65" i="7"/>
  <c r="AY232" i="7"/>
  <c r="BO75" i="7"/>
  <c r="BP237" i="7"/>
  <c r="BI49" i="11"/>
  <c r="BJ224" i="11"/>
  <c r="BT190" i="8"/>
  <c r="BT191" i="8"/>
  <c r="BL81" i="7"/>
  <c r="BM240" i="7"/>
  <c r="BK57" i="10"/>
  <c r="BL228" i="10"/>
  <c r="BJ81" i="9"/>
  <c r="BK240" i="9"/>
  <c r="BO190" i="9"/>
  <c r="BO191" i="9"/>
  <c r="BR69" i="8"/>
  <c r="BS234" i="8"/>
  <c r="BN75" i="8"/>
  <c r="BO237" i="8"/>
  <c r="BL65" i="22"/>
  <c r="BM232" i="22"/>
  <c r="X65" i="11"/>
  <c r="Y232" i="11"/>
  <c r="BE69" i="2"/>
  <c r="CF69" i="2"/>
  <c r="BF190" i="2"/>
  <c r="U69" i="2"/>
  <c r="V190" i="2"/>
  <c r="BQ76" i="9"/>
  <c r="BP199" i="9"/>
  <c r="BV72" i="8"/>
  <c r="BU189" i="8"/>
  <c r="BL79" i="10"/>
  <c r="BM239" i="10"/>
  <c r="BP71" i="7"/>
  <c r="BQ235" i="7"/>
  <c r="AM191" i="2"/>
  <c r="AD191" i="2"/>
  <c r="C191" i="2"/>
  <c r="BE191" i="2"/>
  <c r="U191" i="2"/>
  <c r="L191" i="2"/>
  <c r="BN191" i="2"/>
  <c r="AV191" i="2"/>
  <c r="BN75" i="22"/>
  <c r="BO237" i="22"/>
  <c r="BM69" i="9"/>
  <c r="BN234" i="9"/>
  <c r="AC69" i="11"/>
  <c r="AD234" i="11"/>
  <c r="BN202" i="9"/>
  <c r="AM69" i="2"/>
  <c r="AN190" i="2"/>
  <c r="AD69" i="2"/>
  <c r="AE190" i="2"/>
  <c r="BQ81" i="11"/>
  <c r="BR240" i="11"/>
  <c r="BP69" i="22"/>
  <c r="BQ234" i="22"/>
  <c r="BO201" i="9"/>
  <c r="BO200" i="9"/>
  <c r="T46" i="30"/>
  <c r="AA46" i="30"/>
  <c r="AS46" i="30"/>
  <c r="AH46" i="30"/>
  <c r="Z46" i="30"/>
  <c r="AK46" i="30"/>
  <c r="AQ46" i="30"/>
  <c r="AB46" i="30"/>
  <c r="AL46" i="30"/>
  <c r="AO46" i="30"/>
  <c r="AD46" i="30"/>
  <c r="AI46" i="30"/>
  <c r="AM46" i="30"/>
  <c r="AN46" i="30"/>
  <c r="AF46" i="30"/>
  <c r="AE46" i="30"/>
  <c r="AC46" i="30"/>
  <c r="X46" i="30"/>
  <c r="AG46" i="30"/>
  <c r="AR46" i="30"/>
  <c r="AP46" i="30"/>
  <c r="Y46" i="30"/>
  <c r="AJ46" i="30"/>
  <c r="BQ44" i="8"/>
  <c r="BP119" i="8"/>
  <c r="BP120" i="8"/>
  <c r="BP121" i="8"/>
  <c r="BP122" i="8"/>
  <c r="BV34" i="8"/>
  <c r="BU94" i="8"/>
  <c r="BQ42" i="8"/>
  <c r="BP114" i="8"/>
  <c r="BP115" i="8"/>
  <c r="BP116" i="8"/>
  <c r="BP117" i="8"/>
  <c r="BP89" i="11"/>
  <c r="BP90" i="11"/>
  <c r="BP91" i="11"/>
  <c r="BP92" i="11"/>
  <c r="BQ32" i="11"/>
  <c r="BW165" i="7"/>
  <c r="BW166" i="7"/>
  <c r="BX164" i="7"/>
  <c r="BY62" i="7"/>
  <c r="BQ52" i="9"/>
  <c r="BP139" i="9"/>
  <c r="BP140" i="9"/>
  <c r="BP141" i="9"/>
  <c r="BP142" i="9"/>
  <c r="BR30" i="9"/>
  <c r="BQ84" i="9"/>
  <c r="BQ85" i="9"/>
  <c r="BQ86" i="9"/>
  <c r="BQ87" i="9"/>
  <c r="BR86" i="1"/>
  <c r="BR87" i="1"/>
  <c r="BR88" i="1"/>
  <c r="BR89" i="1"/>
  <c r="BS30" i="1"/>
  <c r="BP156" i="1"/>
  <c r="BP157" i="1"/>
  <c r="BP158" i="1"/>
  <c r="BP159" i="1"/>
  <c r="BQ58" i="1"/>
  <c r="BQ68" i="1"/>
  <c r="BP181" i="1"/>
  <c r="BP182" i="1"/>
  <c r="BP183" i="1"/>
  <c r="BP184" i="1"/>
  <c r="BP171" i="1"/>
  <c r="BP172" i="1"/>
  <c r="BP173" i="1"/>
  <c r="BP174" i="1"/>
  <c r="BQ64" i="1"/>
  <c r="BQ34" i="1"/>
  <c r="BP96" i="1"/>
  <c r="BP97" i="1"/>
  <c r="BP98" i="1"/>
  <c r="BP99" i="1"/>
  <c r="BP131" i="1"/>
  <c r="BP132" i="1"/>
  <c r="BP133" i="1"/>
  <c r="BP134" i="1"/>
  <c r="BQ48" i="1"/>
  <c r="BQ52" i="1"/>
  <c r="BP141" i="1"/>
  <c r="BP142" i="1"/>
  <c r="BP143" i="1"/>
  <c r="BP144" i="1"/>
  <c r="BS32" i="1"/>
  <c r="BR91" i="1"/>
  <c r="BR92" i="1"/>
  <c r="BR93" i="1"/>
  <c r="BR94" i="1"/>
  <c r="BQ50" i="1"/>
  <c r="BP136" i="1"/>
  <c r="BP137" i="1"/>
  <c r="BP138" i="1"/>
  <c r="BP139" i="1"/>
  <c r="S50" i="33"/>
  <c r="R49" i="33"/>
  <c r="Q33" i="26"/>
  <c r="S51" i="33"/>
  <c r="Q34" i="26"/>
  <c r="BQ119" i="22"/>
  <c r="BQ120" i="22"/>
  <c r="BQ121" i="22"/>
  <c r="BQ122" i="22"/>
  <c r="BR44" i="22"/>
  <c r="BQ152" i="8"/>
  <c r="BN161" i="6"/>
  <c r="BN166" i="6"/>
  <c r="BP133" i="6"/>
  <c r="BP134" i="6"/>
  <c r="BP135" i="6"/>
  <c r="BP136" i="6"/>
  <c r="BQ44" i="6"/>
  <c r="BP113" i="6"/>
  <c r="BP114" i="6"/>
  <c r="BP115" i="6"/>
  <c r="BP116" i="6"/>
  <c r="BQ36" i="6"/>
  <c r="BP108" i="6"/>
  <c r="BP109" i="6"/>
  <c r="BP110" i="6"/>
  <c r="BP111" i="6"/>
  <c r="BQ34" i="6"/>
  <c r="BP88" i="6"/>
  <c r="BQ26" i="6"/>
  <c r="BR30" i="6"/>
  <c r="BQ98" i="6"/>
  <c r="BQ99" i="6"/>
  <c r="BQ100" i="6"/>
  <c r="BQ101" i="6"/>
  <c r="BQ40" i="6"/>
  <c r="BP123" i="6"/>
  <c r="BQ32" i="6"/>
  <c r="BP103" i="6"/>
  <c r="BP104" i="6"/>
  <c r="BP105" i="6"/>
  <c r="BP106" i="6"/>
  <c r="BQ128" i="6"/>
  <c r="BQ129" i="6"/>
  <c r="BQ130" i="6"/>
  <c r="BQ131" i="6"/>
  <c r="BR42" i="6"/>
  <c r="BP93" i="6"/>
  <c r="BQ28" i="6"/>
  <c r="BP78" i="6"/>
  <c r="BP79" i="6"/>
  <c r="BP80" i="6"/>
  <c r="BP81" i="6"/>
  <c r="BQ22" i="6"/>
  <c r="BP83" i="6"/>
  <c r="BP84" i="6"/>
  <c r="BP85" i="6"/>
  <c r="BP86" i="6"/>
  <c r="BQ24" i="6"/>
  <c r="BO124" i="6"/>
  <c r="BO125" i="6"/>
  <c r="BO126" i="6"/>
  <c r="BT80" i="1"/>
  <c r="BS211" i="1"/>
  <c r="BS212" i="1"/>
  <c r="BS213" i="1"/>
  <c r="BS214" i="1"/>
  <c r="BP116" i="1"/>
  <c r="BP117" i="1"/>
  <c r="BP118" i="1"/>
  <c r="BP119" i="1"/>
  <c r="BQ42" i="1"/>
  <c r="BQ218" i="1"/>
  <c r="BQ217" i="1"/>
  <c r="BP219" i="1"/>
  <c r="BS82" i="1"/>
  <c r="BR216" i="1"/>
  <c r="BN146" i="6"/>
  <c r="BN151" i="6"/>
  <c r="BN137" i="7"/>
  <c r="BP179" i="1"/>
  <c r="BT104" i="8"/>
  <c r="BT105" i="8"/>
  <c r="BT106" i="8"/>
  <c r="BT107" i="8"/>
  <c r="BU38" i="8"/>
  <c r="BQ99" i="8"/>
  <c r="BQ100" i="8"/>
  <c r="BQ101" i="8"/>
  <c r="BQ102" i="8"/>
  <c r="BR36" i="8"/>
  <c r="BR44" i="11"/>
  <c r="BQ119" i="11"/>
  <c r="BP120" i="11"/>
  <c r="BP121" i="11"/>
  <c r="BP122" i="11"/>
  <c r="U51" i="36"/>
  <c r="R48" i="32"/>
  <c r="S49" i="32"/>
  <c r="L32" i="26"/>
  <c r="BQ104" i="22"/>
  <c r="BQ105" i="22"/>
  <c r="BQ106" i="22"/>
  <c r="BQ107" i="22"/>
  <c r="BR38" i="22"/>
  <c r="BP129" i="22"/>
  <c r="BP130" i="22"/>
  <c r="BP131" i="22"/>
  <c r="BP132" i="22"/>
  <c r="BQ48" i="22"/>
  <c r="BQ34" i="22"/>
  <c r="BP94" i="22"/>
  <c r="BP95" i="22"/>
  <c r="BP96" i="22"/>
  <c r="BP97" i="22"/>
  <c r="BR30" i="7"/>
  <c r="BQ84" i="7"/>
  <c r="BQ85" i="7"/>
  <c r="BQ86" i="7"/>
  <c r="BQ87" i="7"/>
  <c r="BR38" i="7"/>
  <c r="BQ104" i="7"/>
  <c r="BQ105" i="7"/>
  <c r="BQ106" i="7"/>
  <c r="BQ107" i="7"/>
  <c r="BQ99" i="7"/>
  <c r="BQ100" i="7"/>
  <c r="BQ101" i="7"/>
  <c r="BQ102" i="7"/>
  <c r="BR36" i="7"/>
  <c r="BQ34" i="7"/>
  <c r="BP94" i="7"/>
  <c r="BP100" i="7"/>
  <c r="BP101" i="7"/>
  <c r="BP102" i="7"/>
  <c r="BT40" i="7"/>
  <c r="BS109" i="7"/>
  <c r="BS110" i="7"/>
  <c r="BS111" i="7"/>
  <c r="BS112" i="7"/>
  <c r="BO115" i="7"/>
  <c r="BO116" i="7"/>
  <c r="BO117" i="7"/>
  <c r="BP85" i="7"/>
  <c r="BP86" i="7"/>
  <c r="BP114" i="7"/>
  <c r="BP115" i="7"/>
  <c r="BP116" i="7"/>
  <c r="BP117" i="7"/>
  <c r="BQ42" i="7"/>
  <c r="BR119" i="6"/>
  <c r="BR120" i="6"/>
  <c r="BT38" i="6"/>
  <c r="BS118" i="6"/>
  <c r="BS119" i="6"/>
  <c r="BS120" i="6"/>
  <c r="BS121" i="6"/>
  <c r="BP42" i="9"/>
  <c r="BO114" i="9"/>
  <c r="BO115" i="9"/>
  <c r="BO116" i="9"/>
  <c r="BO117" i="9"/>
  <c r="BT38" i="9"/>
  <c r="BS104" i="9"/>
  <c r="BS105" i="9"/>
  <c r="BS106" i="9"/>
  <c r="BS107" i="9"/>
  <c r="BU54" i="9"/>
  <c r="BT144" i="9"/>
  <c r="BT145" i="9"/>
  <c r="BT146" i="9"/>
  <c r="BT147" i="9"/>
  <c r="BP94" i="9"/>
  <c r="BP95" i="9"/>
  <c r="BP96" i="9"/>
  <c r="BP97" i="9"/>
  <c r="BQ34" i="9"/>
  <c r="BP124" i="9"/>
  <c r="BP125" i="9"/>
  <c r="BP126" i="9"/>
  <c r="BP127" i="9"/>
  <c r="BQ46" i="9"/>
  <c r="BQ134" i="9"/>
  <c r="BQ135" i="9"/>
  <c r="BQ136" i="9"/>
  <c r="BQ137" i="9"/>
  <c r="BR50" i="9"/>
  <c r="BQ48" i="9"/>
  <c r="BP129" i="9"/>
  <c r="BP130" i="9"/>
  <c r="BP131" i="9"/>
  <c r="BP132" i="9"/>
  <c r="BP149" i="9"/>
  <c r="BP150" i="9"/>
  <c r="BP151" i="9"/>
  <c r="BP152" i="9"/>
  <c r="BQ56" i="9"/>
  <c r="BP119" i="9"/>
  <c r="BP120" i="9"/>
  <c r="BP121" i="9"/>
  <c r="BP122" i="9"/>
  <c r="BQ44" i="9"/>
  <c r="BS32" i="9"/>
  <c r="BR89" i="9"/>
  <c r="BR90" i="9"/>
  <c r="BR91" i="9"/>
  <c r="BR92" i="9"/>
  <c r="BP192" i="1"/>
  <c r="BP193" i="1"/>
  <c r="BP194" i="1"/>
  <c r="BQ161" i="1"/>
  <c r="BR60" i="1"/>
  <c r="BS76" i="1"/>
  <c r="BR201" i="1"/>
  <c r="BW56" i="1"/>
  <c r="BV151" i="1"/>
  <c r="BV152" i="1"/>
  <c r="BV153" i="1"/>
  <c r="BV154" i="1"/>
  <c r="BQ74" i="1"/>
  <c r="BP196" i="1"/>
  <c r="BP197" i="1"/>
  <c r="BP198" i="1"/>
  <c r="BP199" i="1"/>
  <c r="BR72" i="1"/>
  <c r="BQ191" i="1"/>
  <c r="BQ192" i="1"/>
  <c r="BQ193" i="1"/>
  <c r="BQ194" i="1"/>
  <c r="BS66" i="1"/>
  <c r="BR176" i="1"/>
  <c r="BR177" i="1"/>
  <c r="BR178" i="1"/>
  <c r="BR179" i="1"/>
  <c r="BQ70" i="1"/>
  <c r="BP186" i="1"/>
  <c r="BQ78" i="1"/>
  <c r="BP206" i="1"/>
  <c r="BO197" i="1"/>
  <c r="BO198" i="1"/>
  <c r="BO199" i="1"/>
  <c r="BU115" i="11"/>
  <c r="BU116" i="11"/>
  <c r="BT116" i="11"/>
  <c r="BT117" i="11"/>
  <c r="BW42" i="11"/>
  <c r="BV114" i="11"/>
  <c r="T49" i="34"/>
  <c r="AG49" i="34"/>
  <c r="AL49" i="34"/>
  <c r="AF49" i="34"/>
  <c r="L50" i="35"/>
  <c r="N50" i="35"/>
  <c r="O50" i="35"/>
  <c r="P50" i="35"/>
  <c r="Q50" i="35"/>
  <c r="T50" i="35"/>
  <c r="AM50" i="35"/>
  <c r="AC50" i="35"/>
  <c r="AS50" i="35"/>
  <c r="AH50" i="35"/>
  <c r="AX50" i="35"/>
  <c r="AV50" i="35"/>
  <c r="AA50" i="35"/>
  <c r="AQ50" i="35"/>
  <c r="AG50" i="35"/>
  <c r="AW50" i="35"/>
  <c r="AL50" i="35"/>
  <c r="AB50" i="35"/>
  <c r="AJ50" i="35"/>
  <c r="AE50" i="35"/>
  <c r="AU50" i="35"/>
  <c r="AK50" i="35"/>
  <c r="Z50" i="35"/>
  <c r="AP50" i="35"/>
  <c r="AR50" i="35"/>
  <c r="X50" i="35"/>
  <c r="AI50" i="35"/>
  <c r="Y50" i="35"/>
  <c r="AO50" i="35"/>
  <c r="AD50" i="35"/>
  <c r="AT50" i="35"/>
  <c r="AF50" i="35"/>
  <c r="AN50" i="35"/>
  <c r="BR99" i="11"/>
  <c r="BS36" i="11"/>
  <c r="BP105" i="11"/>
  <c r="BP106" i="11"/>
  <c r="BP107" i="11"/>
  <c r="BQ100" i="11"/>
  <c r="BQ101" i="11"/>
  <c r="BQ102" i="11"/>
  <c r="BS85" i="11"/>
  <c r="BS86" i="11"/>
  <c r="BS87" i="11"/>
  <c r="BT84" i="11"/>
  <c r="BU30" i="11"/>
  <c r="BQ104" i="11"/>
  <c r="BR38" i="11"/>
  <c r="BR50" i="10"/>
  <c r="BQ134" i="10"/>
  <c r="BP135" i="10"/>
  <c r="BP136" i="10"/>
  <c r="BP137" i="10"/>
  <c r="BP100" i="10"/>
  <c r="BP101" i="10"/>
  <c r="BP102" i="10"/>
  <c r="BQ99" i="10"/>
  <c r="BR36" i="10"/>
  <c r="BO155" i="22"/>
  <c r="BO156" i="22"/>
  <c r="BO157" i="22"/>
  <c r="BP154" i="22"/>
  <c r="BQ58" i="22"/>
  <c r="BQ109" i="22"/>
  <c r="BR40" i="22"/>
  <c r="BP110" i="22"/>
  <c r="BP111" i="22"/>
  <c r="BP112" i="22"/>
  <c r="BP145" i="22"/>
  <c r="BP146" i="22"/>
  <c r="BP147" i="22"/>
  <c r="BP100" i="22"/>
  <c r="BP101" i="22"/>
  <c r="BP102" i="22"/>
  <c r="BQ144" i="22"/>
  <c r="BR54" i="22"/>
  <c r="BR36" i="22"/>
  <c r="BQ99" i="22"/>
  <c r="BS149" i="8"/>
  <c r="BT56" i="8"/>
  <c r="BR150" i="8"/>
  <c r="BR151" i="8"/>
  <c r="BR152" i="8"/>
  <c r="BP145" i="8"/>
  <c r="BP146" i="8"/>
  <c r="BP147" i="8"/>
  <c r="BQ144" i="8"/>
  <c r="BR54" i="8"/>
  <c r="BN85" i="8"/>
  <c r="BN86" i="8"/>
  <c r="BN87" i="8"/>
  <c r="BO130" i="8"/>
  <c r="BO131" i="8"/>
  <c r="BO132" i="8"/>
  <c r="BQ32" i="8"/>
  <c r="BP89" i="8"/>
  <c r="BO110" i="8"/>
  <c r="BO111" i="8"/>
  <c r="BO112" i="8"/>
  <c r="BP109" i="8"/>
  <c r="BQ40" i="8"/>
  <c r="BO140" i="8"/>
  <c r="BO141" i="8"/>
  <c r="BO142" i="8"/>
  <c r="BP139" i="8"/>
  <c r="BQ52" i="8"/>
  <c r="BP30" i="8"/>
  <c r="BO84" i="8"/>
  <c r="BP129" i="8"/>
  <c r="BQ48" i="8"/>
  <c r="BO90" i="8"/>
  <c r="BO91" i="8"/>
  <c r="BO92" i="8"/>
  <c r="BO145" i="7"/>
  <c r="BO146" i="7"/>
  <c r="BO147" i="7"/>
  <c r="BQ54" i="7"/>
  <c r="BP144" i="7"/>
  <c r="BQ52" i="7"/>
  <c r="BP139" i="7"/>
  <c r="BO140" i="7"/>
  <c r="BO141" i="7"/>
  <c r="BO142" i="7"/>
  <c r="BO135" i="7"/>
  <c r="BO136" i="7"/>
  <c r="BO137" i="7"/>
  <c r="BQ50" i="7"/>
  <c r="BP134" i="7"/>
  <c r="BR120" i="7"/>
  <c r="BR121" i="7"/>
  <c r="BR122" i="7"/>
  <c r="BS46" i="7"/>
  <c r="BR124" i="7"/>
  <c r="BV90" i="7"/>
  <c r="BV91" i="7"/>
  <c r="BV92" i="7"/>
  <c r="BT44" i="7"/>
  <c r="BS119" i="7"/>
  <c r="BQ125" i="7"/>
  <c r="BQ126" i="7"/>
  <c r="BQ127" i="7"/>
  <c r="BX32" i="7"/>
  <c r="BW89" i="7"/>
  <c r="BP163" i="6"/>
  <c r="BQ56" i="6"/>
  <c r="BO164" i="6"/>
  <c r="BO165" i="6"/>
  <c r="BO166" i="6"/>
  <c r="BQ54" i="6"/>
  <c r="BP158" i="6"/>
  <c r="BO159" i="6"/>
  <c r="BO160" i="6"/>
  <c r="BO161" i="6"/>
  <c r="BO154" i="6"/>
  <c r="BO155" i="6"/>
  <c r="BO156" i="6"/>
  <c r="BQ52" i="6"/>
  <c r="BP153" i="6"/>
  <c r="BP148" i="6"/>
  <c r="BQ50" i="6"/>
  <c r="BO149" i="6"/>
  <c r="BO150" i="6"/>
  <c r="BO151" i="6"/>
  <c r="BO144" i="6"/>
  <c r="BO145" i="6"/>
  <c r="BO146" i="6"/>
  <c r="BP143" i="6"/>
  <c r="BQ48" i="6"/>
  <c r="BR60" i="9"/>
  <c r="BQ159" i="9"/>
  <c r="BP160" i="9"/>
  <c r="BP161" i="9"/>
  <c r="BP162" i="9"/>
  <c r="BO155" i="9"/>
  <c r="BO156" i="9"/>
  <c r="BO157" i="9"/>
  <c r="BP154" i="9"/>
  <c r="BQ58" i="9"/>
  <c r="BP110" i="9"/>
  <c r="BP111" i="9"/>
  <c r="BP112" i="9"/>
  <c r="BQ99" i="9"/>
  <c r="BR36" i="9"/>
  <c r="BQ109" i="9"/>
  <c r="BR40" i="9"/>
  <c r="BP100" i="9"/>
  <c r="BP101" i="9"/>
  <c r="BP102" i="9"/>
  <c r="BO167" i="1"/>
  <c r="BO168" i="1"/>
  <c r="BQ62" i="1"/>
  <c r="BP166" i="1"/>
  <c r="BQ46" i="1"/>
  <c r="BP126" i="1"/>
  <c r="BO147" i="1"/>
  <c r="BO148" i="1"/>
  <c r="BO127" i="1"/>
  <c r="BO128" i="1"/>
  <c r="BO129" i="1"/>
  <c r="BP146" i="1"/>
  <c r="BQ54" i="1"/>
  <c r="BQ122" i="1"/>
  <c r="BQ123" i="1"/>
  <c r="BQ124" i="1"/>
  <c r="BR121" i="1"/>
  <c r="BS44" i="1"/>
  <c r="BR101" i="1"/>
  <c r="BS36" i="1"/>
  <c r="BS40" i="1"/>
  <c r="BR111" i="1"/>
  <c r="BQ102" i="1"/>
  <c r="BQ103" i="1"/>
  <c r="BQ104" i="1"/>
  <c r="BO107" i="1"/>
  <c r="BO108" i="1"/>
  <c r="BO109" i="1"/>
  <c r="BQ112" i="1"/>
  <c r="BQ113" i="1"/>
  <c r="BQ114" i="1"/>
  <c r="BQ38" i="1"/>
  <c r="BP106" i="1"/>
  <c r="BR48" i="7"/>
  <c r="BQ129" i="7"/>
  <c r="BQ130" i="7"/>
  <c r="BQ131" i="7"/>
  <c r="BQ132" i="7"/>
  <c r="AW49" i="34"/>
  <c r="AS49" i="34"/>
  <c r="AA49" i="34"/>
  <c r="AC49" i="34"/>
  <c r="Y49" i="34"/>
  <c r="X49" i="34"/>
  <c r="AI49" i="34"/>
  <c r="AR49" i="34"/>
  <c r="AK49" i="34"/>
  <c r="AE49" i="34"/>
  <c r="AV49" i="34"/>
  <c r="AH49" i="34"/>
  <c r="AT49" i="34"/>
  <c r="AO49" i="34"/>
  <c r="Z49" i="34"/>
  <c r="AU49" i="34"/>
  <c r="AQ49" i="34"/>
  <c r="AP49" i="34"/>
  <c r="AM49" i="34"/>
  <c r="AD49" i="34"/>
  <c r="AB49" i="34"/>
  <c r="AN49" i="34"/>
  <c r="BX192" i="2"/>
  <c r="BW71" i="2"/>
  <c r="N59" i="11"/>
  <c r="O229" i="11"/>
  <c r="BE237" i="9"/>
  <c r="BD75" i="9"/>
  <c r="K46" i="41"/>
  <c r="T46" i="41"/>
  <c r="W46" i="41"/>
  <c r="V46" i="41"/>
  <c r="R49" i="37"/>
  <c r="AK32" i="26"/>
  <c r="S50" i="37"/>
  <c r="R36" i="41"/>
  <c r="CB157" i="8"/>
  <c r="CB229" i="8"/>
  <c r="BZ177" i="10"/>
  <c r="BO202" i="11"/>
  <c r="BT162" i="7"/>
  <c r="BO167" i="9"/>
  <c r="BS127" i="11"/>
  <c r="BO202" i="9"/>
  <c r="BY207" i="22"/>
  <c r="BX207" i="9"/>
  <c r="BO137" i="11"/>
  <c r="BO177" i="7"/>
  <c r="BT207" i="11"/>
  <c r="BO162" i="10"/>
  <c r="BX172" i="9"/>
  <c r="BO202" i="22"/>
  <c r="BO207" i="8"/>
  <c r="BU95" i="40"/>
  <c r="BV324" i="40"/>
  <c r="BT103" i="40"/>
  <c r="BU328" i="40"/>
  <c r="BT109" i="40"/>
  <c r="BU331" i="40"/>
  <c r="BP97" i="40"/>
  <c r="BQ325" i="40"/>
  <c r="BT111" i="40"/>
  <c r="BU332" i="40"/>
  <c r="BO105" i="40"/>
  <c r="BP329" i="40"/>
  <c r="BP107" i="40"/>
  <c r="BQ330" i="40"/>
  <c r="BT93" i="40"/>
  <c r="BU323" i="40"/>
  <c r="BT101" i="40"/>
  <c r="BU327" i="40"/>
  <c r="BN99" i="40"/>
  <c r="BO326" i="40"/>
  <c r="BU91" i="40"/>
  <c r="BW317" i="40"/>
  <c r="BV81" i="40"/>
  <c r="BX298" i="40"/>
  <c r="BW43" i="40"/>
  <c r="BX303" i="40"/>
  <c r="BW53" i="40"/>
  <c r="BX306" i="40"/>
  <c r="BW59" i="40"/>
  <c r="BW310" i="40"/>
  <c r="BV67" i="40"/>
  <c r="BW307" i="40"/>
  <c r="BV61" i="40"/>
  <c r="BW319" i="40"/>
  <c r="BV85" i="40"/>
  <c r="BW297" i="40"/>
  <c r="BV41" i="40"/>
  <c r="BX316" i="40"/>
  <c r="BW79" i="40"/>
  <c r="BX312" i="40"/>
  <c r="BW71" i="40"/>
  <c r="BX304" i="40"/>
  <c r="BW55" i="40"/>
  <c r="BX320" i="40"/>
  <c r="BW87" i="40"/>
  <c r="BX300" i="40"/>
  <c r="BW47" i="40"/>
  <c r="BW315" i="40"/>
  <c r="BV77" i="40"/>
  <c r="BV309" i="40"/>
  <c r="BU65" i="40"/>
  <c r="BX299" i="40"/>
  <c r="BW45" i="40"/>
  <c r="BX314" i="40"/>
  <c r="BW75" i="40"/>
  <c r="BX301" i="40"/>
  <c r="BW49" i="40"/>
  <c r="BX322" i="40"/>
  <c r="BX305" i="40"/>
  <c r="BW57" i="40"/>
  <c r="BX318" i="40"/>
  <c r="BW83" i="40"/>
  <c r="BX308" i="40"/>
  <c r="BW63" i="40"/>
  <c r="BV311" i="40"/>
  <c r="BU69" i="40"/>
  <c r="BV313" i="40"/>
  <c r="BU73" i="40"/>
  <c r="BW302" i="40"/>
  <c r="BV51" i="40"/>
  <c r="BW321" i="40"/>
  <c r="BV89" i="40"/>
  <c r="BJ67" i="9"/>
  <c r="BK233" i="9"/>
  <c r="BY205" i="9"/>
  <c r="BY206" i="9"/>
  <c r="BU160" i="7"/>
  <c r="BU161" i="7"/>
  <c r="BW78" i="11"/>
  <c r="BV204" i="11"/>
  <c r="BO202" i="10"/>
  <c r="CL54" i="10"/>
  <c r="CK144" i="10"/>
  <c r="BS56" i="11"/>
  <c r="BR149" i="11"/>
  <c r="BJ81" i="10"/>
  <c r="BK240" i="10"/>
  <c r="BO233" i="22"/>
  <c r="BN67" i="22"/>
  <c r="CB72" i="22"/>
  <c r="CA189" i="22"/>
  <c r="BX165" i="22"/>
  <c r="BX166" i="22"/>
  <c r="BP200" i="11"/>
  <c r="BP201" i="11"/>
  <c r="BY70" i="22"/>
  <c r="BX184" i="22"/>
  <c r="CB165" i="10"/>
  <c r="CB166" i="10"/>
  <c r="BP186" i="8"/>
  <c r="BP185" i="8"/>
  <c r="T55" i="11"/>
  <c r="U227" i="11"/>
  <c r="BZ205" i="22"/>
  <c r="BZ206" i="22"/>
  <c r="BQ199" i="10"/>
  <c r="BR76" i="10"/>
  <c r="BQ159" i="10"/>
  <c r="BR60" i="10"/>
  <c r="BS155" i="7"/>
  <c r="BS156" i="7"/>
  <c r="BQ201" i="7"/>
  <c r="BQ200" i="7"/>
  <c r="CJ145" i="10"/>
  <c r="CJ146" i="10"/>
  <c r="BQ151" i="11"/>
  <c r="BQ150" i="11"/>
  <c r="BQ164" i="9"/>
  <c r="BR62" i="9"/>
  <c r="BT126" i="11"/>
  <c r="BT125" i="11"/>
  <c r="CB67" i="10"/>
  <c r="CA67" i="10"/>
  <c r="CB174" i="10"/>
  <c r="BR76" i="11"/>
  <c r="BQ199" i="11"/>
  <c r="BP135" i="11"/>
  <c r="BP136" i="11"/>
  <c r="BW186" i="22"/>
  <c r="BW185" i="22"/>
  <c r="BY63" i="10"/>
  <c r="BZ231" i="10"/>
  <c r="BW167" i="22"/>
  <c r="CB78" i="22"/>
  <c r="CA204" i="22"/>
  <c r="BP200" i="10"/>
  <c r="BP201" i="10"/>
  <c r="BW206" i="7"/>
  <c r="BW205" i="7"/>
  <c r="BP160" i="10"/>
  <c r="BP161" i="10"/>
  <c r="BW164" i="8"/>
  <c r="BX62" i="8"/>
  <c r="BU58" i="7"/>
  <c r="BT154" i="7"/>
  <c r="BQ199" i="22"/>
  <c r="BR76" i="22"/>
  <c r="BR199" i="7"/>
  <c r="BS76" i="7"/>
  <c r="BR78" i="8"/>
  <c r="BQ204" i="8"/>
  <c r="BP181" i="10"/>
  <c r="BP180" i="10"/>
  <c r="BP166" i="9"/>
  <c r="BP165" i="9"/>
  <c r="BV187" i="22"/>
  <c r="BV46" i="11"/>
  <c r="BU124" i="11"/>
  <c r="AA230" i="11"/>
  <c r="Z61" i="11"/>
  <c r="CA176" i="10"/>
  <c r="CA175" i="10"/>
  <c r="BP152" i="11"/>
  <c r="BR56" i="22"/>
  <c r="BQ149" i="22"/>
  <c r="BQ150" i="22"/>
  <c r="BQ151" i="22"/>
  <c r="BQ152" i="22"/>
  <c r="BU167" i="8"/>
  <c r="BR50" i="11"/>
  <c r="BQ134" i="11"/>
  <c r="BY170" i="9"/>
  <c r="BY171" i="9"/>
  <c r="X240" i="8"/>
  <c r="W81" i="8"/>
  <c r="BR66" i="7"/>
  <c r="BQ174" i="7"/>
  <c r="BJ65" i="10"/>
  <c r="BK232" i="10"/>
  <c r="BY229" i="8"/>
  <c r="BX59" i="8"/>
  <c r="BO187" i="8"/>
  <c r="BY78" i="7"/>
  <c r="BX204" i="7"/>
  <c r="BZ204" i="9"/>
  <c r="CA78" i="9"/>
  <c r="BV71" i="10"/>
  <c r="BW235" i="10"/>
  <c r="BV165" i="8"/>
  <c r="BV166" i="8"/>
  <c r="BQ138" i="6"/>
  <c r="BQ139" i="6"/>
  <c r="BQ140" i="6"/>
  <c r="BQ141" i="6"/>
  <c r="BR46" i="6"/>
  <c r="BW60" i="7"/>
  <c r="BV159" i="7"/>
  <c r="BU205" i="11"/>
  <c r="BU206" i="11"/>
  <c r="BY192" i="22"/>
  <c r="BP200" i="22"/>
  <c r="BP201" i="22"/>
  <c r="BV207" i="7"/>
  <c r="BP205" i="8"/>
  <c r="BP206" i="8"/>
  <c r="BQ179" i="10"/>
  <c r="BR68" i="10"/>
  <c r="BR157" i="7"/>
  <c r="CA167" i="10"/>
  <c r="CA231" i="10"/>
  <c r="BZ190" i="22"/>
  <c r="BZ191" i="22"/>
  <c r="BZ62" i="22"/>
  <c r="BY164" i="22"/>
  <c r="BP202" i="7"/>
  <c r="CI147" i="10"/>
  <c r="BO182" i="10"/>
  <c r="BV237" i="11"/>
  <c r="BU75" i="11"/>
  <c r="BZ169" i="9"/>
  <c r="CA64" i="9"/>
  <c r="BJ229" i="10"/>
  <c r="BI59" i="10"/>
  <c r="BR70" i="8"/>
  <c r="BQ184" i="8"/>
  <c r="BP175" i="7"/>
  <c r="BP176" i="7"/>
  <c r="R21" i="2"/>
  <c r="D21" i="20"/>
  <c r="C82" i="38"/>
  <c r="U16" i="38"/>
  <c r="AD49" i="38"/>
  <c r="P19" i="20"/>
  <c r="Q19" i="20"/>
  <c r="N9" i="39"/>
  <c r="D9" i="39"/>
  <c r="C17" i="38"/>
  <c r="BT40" i="11"/>
  <c r="BS109" i="11"/>
  <c r="BS110" i="11"/>
  <c r="BS111" i="11"/>
  <c r="BS112" i="11"/>
  <c r="BR40" i="10"/>
  <c r="BQ109" i="10"/>
  <c r="BQ110" i="10"/>
  <c r="BQ111" i="10"/>
  <c r="BQ112" i="10"/>
  <c r="BR46" i="10"/>
  <c r="BQ124" i="10"/>
  <c r="BQ125" i="10"/>
  <c r="BQ126" i="10"/>
  <c r="BQ127" i="10"/>
  <c r="BR52" i="10"/>
  <c r="BQ139" i="10"/>
  <c r="BQ140" i="10"/>
  <c r="BQ141" i="10"/>
  <c r="BQ142" i="10"/>
  <c r="BR38" i="10"/>
  <c r="BQ104" i="10"/>
  <c r="BQ105" i="10"/>
  <c r="BQ106" i="10"/>
  <c r="BQ107" i="10"/>
  <c r="BR48" i="10"/>
  <c r="BQ129" i="10"/>
  <c r="BQ130" i="10"/>
  <c r="BQ131" i="10"/>
  <c r="BQ132" i="10"/>
  <c r="BR30" i="10"/>
  <c r="BQ84" i="10"/>
  <c r="BQ85" i="10"/>
  <c r="BQ86" i="10"/>
  <c r="BQ87" i="10"/>
  <c r="BQ94" i="10"/>
  <c r="BQ95" i="10"/>
  <c r="BQ96" i="10"/>
  <c r="BQ97" i="10"/>
  <c r="BR34" i="10"/>
  <c r="BQ114" i="10"/>
  <c r="BQ115" i="10"/>
  <c r="BQ116" i="10"/>
  <c r="BQ117" i="10"/>
  <c r="BR42" i="10"/>
  <c r="BR32" i="10"/>
  <c r="BQ89" i="10"/>
  <c r="BQ90" i="10"/>
  <c r="BQ91" i="10"/>
  <c r="BQ92" i="10"/>
  <c r="BR119" i="10"/>
  <c r="BR120" i="10"/>
  <c r="BR121" i="10"/>
  <c r="BR122" i="10"/>
  <c r="BS44" i="10"/>
  <c r="BR50" i="22"/>
  <c r="BQ134" i="22"/>
  <c r="BQ135" i="22"/>
  <c r="BQ136" i="22"/>
  <c r="BQ137" i="22"/>
  <c r="BR42" i="22"/>
  <c r="BQ114" i="22"/>
  <c r="BQ115" i="22"/>
  <c r="BQ116" i="22"/>
  <c r="BQ117" i="22"/>
  <c r="BR124" i="22"/>
  <c r="BR125" i="22"/>
  <c r="BR126" i="22"/>
  <c r="BR127" i="22"/>
  <c r="BS46" i="22"/>
  <c r="BR139" i="22"/>
  <c r="BR140" i="22"/>
  <c r="BR141" i="22"/>
  <c r="BR142" i="22"/>
  <c r="BS52" i="22"/>
  <c r="BR46" i="8"/>
  <c r="BQ124" i="8"/>
  <c r="BQ125" i="8"/>
  <c r="BQ126" i="8"/>
  <c r="BQ127" i="8"/>
  <c r="BS50" i="8"/>
  <c r="BR134" i="8"/>
  <c r="BR135" i="8"/>
  <c r="BR136" i="8"/>
  <c r="BR137" i="8"/>
  <c r="BO192" i="9"/>
  <c r="AD70" i="2"/>
  <c r="AE191" i="2"/>
  <c r="BU190" i="8"/>
  <c r="BU191" i="8"/>
  <c r="W65" i="11"/>
  <c r="X232" i="11"/>
  <c r="BH49" i="11"/>
  <c r="BI224" i="11"/>
  <c r="BN75" i="7"/>
  <c r="BO237" i="7"/>
  <c r="BQ189" i="9"/>
  <c r="BR72" i="9"/>
  <c r="O65" i="8"/>
  <c r="P232" i="8"/>
  <c r="BJ71" i="9"/>
  <c r="BK235" i="9"/>
  <c r="AA63" i="11"/>
  <c r="AB231" i="11"/>
  <c r="BM75" i="10"/>
  <c r="BN237" i="10"/>
  <c r="BM81" i="22"/>
  <c r="BN240" i="22"/>
  <c r="BM75" i="22"/>
  <c r="BN237" i="22"/>
  <c r="U70" i="2"/>
  <c r="V191" i="2"/>
  <c r="AM70" i="2"/>
  <c r="AN191" i="2"/>
  <c r="BO71" i="7"/>
  <c r="BP235" i="7"/>
  <c r="BW72" i="8"/>
  <c r="BV189" i="8"/>
  <c r="BP201" i="9"/>
  <c r="BP200" i="9"/>
  <c r="BJ57" i="10"/>
  <c r="BK228" i="10"/>
  <c r="BT192" i="8"/>
  <c r="BR73" i="11"/>
  <c r="BS236" i="11"/>
  <c r="BG69" i="7"/>
  <c r="BH234" i="7"/>
  <c r="BO67" i="8"/>
  <c r="BP233" i="8"/>
  <c r="BR77" i="8"/>
  <c r="BS238" i="8"/>
  <c r="BP67" i="11"/>
  <c r="BQ233" i="11"/>
  <c r="L70" i="2"/>
  <c r="N70" i="2"/>
  <c r="O70" i="2"/>
  <c r="M191" i="2"/>
  <c r="BK79" i="10"/>
  <c r="BL239" i="10"/>
  <c r="BO69" i="22"/>
  <c r="BP234" i="22"/>
  <c r="BP81" i="11"/>
  <c r="BQ240" i="11"/>
  <c r="AB69" i="11"/>
  <c r="AC234" i="11"/>
  <c r="BL69" i="9"/>
  <c r="BM234" i="9"/>
  <c r="AV70" i="2"/>
  <c r="AW191" i="2"/>
  <c r="BE70" i="2"/>
  <c r="CF70" i="2"/>
  <c r="BF191" i="2"/>
  <c r="BR76" i="9"/>
  <c r="BQ199" i="9"/>
  <c r="BK65" i="22"/>
  <c r="BL232" i="22"/>
  <c r="AW65" i="7"/>
  <c r="AX232" i="7"/>
  <c r="BD53" i="11"/>
  <c r="BE226" i="11"/>
  <c r="AZ31" i="22"/>
  <c r="BA215" i="22"/>
  <c r="BT61" i="8"/>
  <c r="BU230" i="8"/>
  <c r="A73" i="2"/>
  <c r="A193" i="2"/>
  <c r="BW193" i="2"/>
  <c r="BN70" i="2"/>
  <c r="BO191" i="2"/>
  <c r="C70" i="2"/>
  <c r="D191" i="2"/>
  <c r="BM75" i="8"/>
  <c r="BN237" i="8"/>
  <c r="BQ69" i="8"/>
  <c r="BR234" i="8"/>
  <c r="BI81" i="9"/>
  <c r="BJ240" i="9"/>
  <c r="BK81" i="7"/>
  <c r="BL240" i="7"/>
  <c r="BP191" i="9"/>
  <c r="BP190" i="9"/>
  <c r="BC73" i="10"/>
  <c r="BD236" i="10"/>
  <c r="M73" i="7"/>
  <c r="N236" i="7"/>
  <c r="BP61" i="22"/>
  <c r="BQ230" i="22"/>
  <c r="AD192" i="2"/>
  <c r="L192" i="2"/>
  <c r="AM192" i="2"/>
  <c r="BN192" i="2"/>
  <c r="BE192" i="2"/>
  <c r="AV192" i="2"/>
  <c r="C192" i="2"/>
  <c r="U192" i="2"/>
  <c r="BR32" i="22"/>
  <c r="BQ89" i="22"/>
  <c r="BQ90" i="22"/>
  <c r="BQ91" i="22"/>
  <c r="BQ92" i="22"/>
  <c r="U47" i="30"/>
  <c r="BR42" i="8"/>
  <c r="BQ114" i="8"/>
  <c r="BQ115" i="8"/>
  <c r="BQ116" i="8"/>
  <c r="BQ117" i="8"/>
  <c r="BV94" i="8"/>
  <c r="BV95" i="8"/>
  <c r="BV96" i="8"/>
  <c r="BV97" i="8"/>
  <c r="BW34" i="8"/>
  <c r="BR44" i="8"/>
  <c r="BQ119" i="8"/>
  <c r="BQ120" i="8"/>
  <c r="BQ121" i="8"/>
  <c r="BQ122" i="8"/>
  <c r="BU95" i="8"/>
  <c r="BU96" i="8"/>
  <c r="BU97" i="8"/>
  <c r="BW167" i="7"/>
  <c r="BQ89" i="11"/>
  <c r="BQ90" i="11"/>
  <c r="BQ91" i="11"/>
  <c r="BQ92" i="11"/>
  <c r="BR32" i="11"/>
  <c r="BZ62" i="7"/>
  <c r="BY164" i="7"/>
  <c r="BX166" i="7"/>
  <c r="BX165" i="7"/>
  <c r="BR84" i="9"/>
  <c r="BR85" i="9"/>
  <c r="BR86" i="9"/>
  <c r="BR87" i="9"/>
  <c r="BS30" i="9"/>
  <c r="BR52" i="9"/>
  <c r="BQ139" i="9"/>
  <c r="BQ140" i="9"/>
  <c r="BQ141" i="9"/>
  <c r="BQ142" i="9"/>
  <c r="BT30" i="1"/>
  <c r="BS86" i="1"/>
  <c r="BS87" i="1"/>
  <c r="BS88" i="1"/>
  <c r="BS89" i="1"/>
  <c r="BT32" i="1"/>
  <c r="BS91" i="1"/>
  <c r="BS92" i="1"/>
  <c r="BS93" i="1"/>
  <c r="BS94" i="1"/>
  <c r="BR52" i="1"/>
  <c r="BQ141" i="1"/>
  <c r="BQ142" i="1"/>
  <c r="BQ143" i="1"/>
  <c r="BQ144" i="1"/>
  <c r="BQ96" i="1"/>
  <c r="BQ97" i="1"/>
  <c r="BQ98" i="1"/>
  <c r="BQ99" i="1"/>
  <c r="BR34" i="1"/>
  <c r="BQ181" i="1"/>
  <c r="BQ182" i="1"/>
  <c r="BQ183" i="1"/>
  <c r="BQ184" i="1"/>
  <c r="BR68" i="1"/>
  <c r="BQ131" i="1"/>
  <c r="BQ132" i="1"/>
  <c r="BQ133" i="1"/>
  <c r="BQ134" i="1"/>
  <c r="BR48" i="1"/>
  <c r="BR64" i="1"/>
  <c r="BQ171" i="1"/>
  <c r="BQ172" i="1"/>
  <c r="BQ173" i="1"/>
  <c r="BQ174" i="1"/>
  <c r="BQ156" i="1"/>
  <c r="BQ157" i="1"/>
  <c r="BQ158" i="1"/>
  <c r="BQ159" i="1"/>
  <c r="BR58" i="1"/>
  <c r="BQ219" i="1"/>
  <c r="BR50" i="1"/>
  <c r="BQ136" i="1"/>
  <c r="BQ137" i="1"/>
  <c r="BQ138" i="1"/>
  <c r="BQ139" i="1"/>
  <c r="Q32" i="26"/>
  <c r="S49" i="33"/>
  <c r="R48" i="33"/>
  <c r="BS44" i="22"/>
  <c r="BR119" i="22"/>
  <c r="BR120" i="22"/>
  <c r="BR121" i="22"/>
  <c r="BR122" i="22"/>
  <c r="BR121" i="6"/>
  <c r="BR24" i="6"/>
  <c r="BQ83" i="6"/>
  <c r="BQ84" i="6"/>
  <c r="BQ85" i="6"/>
  <c r="BQ86" i="6"/>
  <c r="BQ78" i="6"/>
  <c r="BR22" i="6"/>
  <c r="BR28" i="6"/>
  <c r="BQ93" i="6"/>
  <c r="BR128" i="6"/>
  <c r="BR129" i="6"/>
  <c r="BR130" i="6"/>
  <c r="BR131" i="6"/>
  <c r="BS42" i="6"/>
  <c r="BP124" i="6"/>
  <c r="BP125" i="6"/>
  <c r="BP126" i="6"/>
  <c r="BR26" i="6"/>
  <c r="BQ88" i="6"/>
  <c r="BQ89" i="6"/>
  <c r="BQ90" i="6"/>
  <c r="BQ91" i="6"/>
  <c r="BR34" i="6"/>
  <c r="BQ108" i="6"/>
  <c r="BQ109" i="6"/>
  <c r="BQ110" i="6"/>
  <c r="BQ111" i="6"/>
  <c r="BQ113" i="6"/>
  <c r="BQ114" i="6"/>
  <c r="BQ115" i="6"/>
  <c r="BQ116" i="6"/>
  <c r="BR36" i="6"/>
  <c r="BR44" i="6"/>
  <c r="BQ133" i="6"/>
  <c r="BQ134" i="6"/>
  <c r="BQ135" i="6"/>
  <c r="BQ136" i="6"/>
  <c r="BP94" i="6"/>
  <c r="BP95" i="6"/>
  <c r="BQ103" i="6"/>
  <c r="BQ104" i="6"/>
  <c r="BQ105" i="6"/>
  <c r="BQ106" i="6"/>
  <c r="BR32" i="6"/>
  <c r="BR40" i="6"/>
  <c r="BQ123" i="6"/>
  <c r="BQ124" i="6"/>
  <c r="BQ125" i="6"/>
  <c r="BQ126" i="6"/>
  <c r="BS30" i="6"/>
  <c r="BR98" i="6"/>
  <c r="BR99" i="6"/>
  <c r="BR100" i="6"/>
  <c r="BR101" i="6"/>
  <c r="BP89" i="6"/>
  <c r="BP90" i="6"/>
  <c r="BP91" i="6"/>
  <c r="BR217" i="1"/>
  <c r="BR218" i="1"/>
  <c r="BT82" i="1"/>
  <c r="BS216" i="1"/>
  <c r="BQ116" i="1"/>
  <c r="BQ117" i="1"/>
  <c r="BQ118" i="1"/>
  <c r="BQ119" i="1"/>
  <c r="BR42" i="1"/>
  <c r="BU80" i="1"/>
  <c r="BT211" i="1"/>
  <c r="BT212" i="1"/>
  <c r="BT213" i="1"/>
  <c r="BT214" i="1"/>
  <c r="BO149" i="1"/>
  <c r="BO169" i="1"/>
  <c r="BP87" i="7"/>
  <c r="BS36" i="8"/>
  <c r="BR99" i="8"/>
  <c r="BR100" i="8"/>
  <c r="BR101" i="8"/>
  <c r="BR102" i="8"/>
  <c r="BV38" i="8"/>
  <c r="BU104" i="8"/>
  <c r="BU105" i="8"/>
  <c r="BU106" i="8"/>
  <c r="BU107" i="8"/>
  <c r="BQ120" i="11"/>
  <c r="BQ121" i="11"/>
  <c r="BQ122" i="11"/>
  <c r="BS44" i="11"/>
  <c r="BR119" i="11"/>
  <c r="W51" i="36"/>
  <c r="V51" i="36"/>
  <c r="K51" i="36"/>
  <c r="L31" i="26"/>
  <c r="S48" i="32"/>
  <c r="R47" i="32"/>
  <c r="BR48" i="22"/>
  <c r="BQ129" i="22"/>
  <c r="BQ130" i="22"/>
  <c r="BQ131" i="22"/>
  <c r="BQ132" i="22"/>
  <c r="BR104" i="22"/>
  <c r="BR105" i="22"/>
  <c r="BR106" i="22"/>
  <c r="BR107" i="22"/>
  <c r="BS38" i="22"/>
  <c r="BQ94" i="22"/>
  <c r="BQ95" i="22"/>
  <c r="BQ96" i="22"/>
  <c r="BQ97" i="22"/>
  <c r="BR34" i="22"/>
  <c r="BR34" i="7"/>
  <c r="BQ94" i="7"/>
  <c r="BS38" i="7"/>
  <c r="BR104" i="7"/>
  <c r="BR105" i="7"/>
  <c r="BR106" i="7"/>
  <c r="BR107" i="7"/>
  <c r="BQ114" i="7"/>
  <c r="BQ115" i="7"/>
  <c r="BQ116" i="7"/>
  <c r="BQ117" i="7"/>
  <c r="BR42" i="7"/>
  <c r="BS36" i="7"/>
  <c r="BR99" i="7"/>
  <c r="BR100" i="7"/>
  <c r="BR101" i="7"/>
  <c r="BR102" i="7"/>
  <c r="BT109" i="7"/>
  <c r="BT110" i="7"/>
  <c r="BT111" i="7"/>
  <c r="BT112" i="7"/>
  <c r="BU40" i="7"/>
  <c r="BP95" i="7"/>
  <c r="BP96" i="7"/>
  <c r="BR84" i="7"/>
  <c r="BR85" i="7"/>
  <c r="BR86" i="7"/>
  <c r="BR87" i="7"/>
  <c r="BS30" i="7"/>
  <c r="BT118" i="6"/>
  <c r="BT119" i="6"/>
  <c r="BT120" i="6"/>
  <c r="BT121" i="6"/>
  <c r="BU38" i="6"/>
  <c r="BQ94" i="9"/>
  <c r="BQ95" i="9"/>
  <c r="BQ96" i="9"/>
  <c r="BQ97" i="9"/>
  <c r="BR34" i="9"/>
  <c r="BQ124" i="9"/>
  <c r="BR46" i="9"/>
  <c r="BU144" i="9"/>
  <c r="BU145" i="9"/>
  <c r="BU146" i="9"/>
  <c r="BU147" i="9"/>
  <c r="BV54" i="9"/>
  <c r="BT104" i="9"/>
  <c r="BT105" i="9"/>
  <c r="BT106" i="9"/>
  <c r="BT107" i="9"/>
  <c r="BU38" i="9"/>
  <c r="BP114" i="9"/>
  <c r="BP115" i="9"/>
  <c r="BP116" i="9"/>
  <c r="BP117" i="9"/>
  <c r="BQ42" i="9"/>
  <c r="BS50" i="9"/>
  <c r="BR134" i="9"/>
  <c r="BR135" i="9"/>
  <c r="BR136" i="9"/>
  <c r="BR137" i="9"/>
  <c r="BR44" i="9"/>
  <c r="BQ119" i="9"/>
  <c r="BQ120" i="9"/>
  <c r="BQ121" i="9"/>
  <c r="BQ122" i="9"/>
  <c r="BQ149" i="9"/>
  <c r="BQ150" i="9"/>
  <c r="BQ151" i="9"/>
  <c r="BQ152" i="9"/>
  <c r="BR56" i="9"/>
  <c r="BS89" i="9"/>
  <c r="BS90" i="9"/>
  <c r="BS91" i="9"/>
  <c r="BS92" i="9"/>
  <c r="BT32" i="9"/>
  <c r="BQ129" i="9"/>
  <c r="BQ130" i="9"/>
  <c r="BQ131" i="9"/>
  <c r="BQ132" i="9"/>
  <c r="BR48" i="9"/>
  <c r="BR78" i="1"/>
  <c r="BQ206" i="1"/>
  <c r="BQ207" i="1"/>
  <c r="BQ208" i="1"/>
  <c r="BQ209" i="1"/>
  <c r="BS72" i="1"/>
  <c r="BR191" i="1"/>
  <c r="BR192" i="1"/>
  <c r="BR193" i="1"/>
  <c r="BR194" i="1"/>
  <c r="BR161" i="1"/>
  <c r="BR162" i="1"/>
  <c r="BR163" i="1"/>
  <c r="BR164" i="1"/>
  <c r="BS60" i="1"/>
  <c r="BR74" i="1"/>
  <c r="BQ196" i="1"/>
  <c r="BR202" i="1"/>
  <c r="BR203" i="1"/>
  <c r="BQ162" i="1"/>
  <c r="BQ163" i="1"/>
  <c r="BP187" i="1"/>
  <c r="BP188" i="1"/>
  <c r="BT66" i="1"/>
  <c r="BS176" i="1"/>
  <c r="BS177" i="1"/>
  <c r="BS178" i="1"/>
  <c r="BS179" i="1"/>
  <c r="BT76" i="1"/>
  <c r="BS201" i="1"/>
  <c r="BP207" i="1"/>
  <c r="BP208" i="1"/>
  <c r="BR70" i="1"/>
  <c r="BQ186" i="1"/>
  <c r="BX56" i="1"/>
  <c r="BW151" i="1"/>
  <c r="BW152" i="1"/>
  <c r="BW153" i="1"/>
  <c r="BW154" i="1"/>
  <c r="BV115" i="11"/>
  <c r="BV116" i="11"/>
  <c r="BV117" i="11"/>
  <c r="BU117" i="11"/>
  <c r="BX42" i="11"/>
  <c r="BW114" i="11"/>
  <c r="U51" i="35"/>
  <c r="BT36" i="11"/>
  <c r="BS99" i="11"/>
  <c r="BR104" i="11"/>
  <c r="BS38" i="11"/>
  <c r="BV30" i="11"/>
  <c r="BU84" i="11"/>
  <c r="BR100" i="11"/>
  <c r="BR101" i="11"/>
  <c r="BR102" i="11"/>
  <c r="BQ105" i="11"/>
  <c r="BQ106" i="11"/>
  <c r="BT85" i="11"/>
  <c r="BT86" i="11"/>
  <c r="BT87" i="11"/>
  <c r="BQ135" i="10"/>
  <c r="BQ136" i="10"/>
  <c r="BQ137" i="10"/>
  <c r="BS50" i="10"/>
  <c r="BR134" i="10"/>
  <c r="BS36" i="10"/>
  <c r="BR99" i="10"/>
  <c r="BQ100" i="10"/>
  <c r="BQ101" i="10"/>
  <c r="BQ102" i="10"/>
  <c r="BR58" i="22"/>
  <c r="BQ154" i="22"/>
  <c r="BP155" i="22"/>
  <c r="BP156" i="22"/>
  <c r="BP157" i="22"/>
  <c r="BS54" i="22"/>
  <c r="BR144" i="22"/>
  <c r="BQ100" i="22"/>
  <c r="BQ101" i="22"/>
  <c r="BQ102" i="22"/>
  <c r="BQ145" i="22"/>
  <c r="BQ146" i="22"/>
  <c r="BQ147" i="22"/>
  <c r="BR109" i="22"/>
  <c r="BS40" i="22"/>
  <c r="BS36" i="22"/>
  <c r="BR99" i="22"/>
  <c r="BQ110" i="22"/>
  <c r="BQ111" i="22"/>
  <c r="BQ112" i="22"/>
  <c r="BT149" i="8"/>
  <c r="BU56" i="8"/>
  <c r="BS150" i="8"/>
  <c r="BS151" i="8"/>
  <c r="BS152" i="8"/>
  <c r="BQ145" i="8"/>
  <c r="BQ146" i="8"/>
  <c r="BQ147" i="8"/>
  <c r="BR144" i="8"/>
  <c r="BS54" i="8"/>
  <c r="BO85" i="8"/>
  <c r="BO86" i="8"/>
  <c r="BQ139" i="8"/>
  <c r="BR52" i="8"/>
  <c r="BR40" i="8"/>
  <c r="BQ109" i="8"/>
  <c r="BP90" i="8"/>
  <c r="BP91" i="8"/>
  <c r="BP92" i="8"/>
  <c r="BP140" i="8"/>
  <c r="BP141" i="8"/>
  <c r="BP142" i="8"/>
  <c r="BP110" i="8"/>
  <c r="BP111" i="8"/>
  <c r="BP112" i="8"/>
  <c r="BR32" i="8"/>
  <c r="BQ89" i="8"/>
  <c r="BR48" i="8"/>
  <c r="BQ129" i="8"/>
  <c r="BP84" i="8"/>
  <c r="BQ30" i="8"/>
  <c r="BP130" i="8"/>
  <c r="BP131" i="8"/>
  <c r="BP132" i="8"/>
  <c r="BP145" i="7"/>
  <c r="BP146" i="7"/>
  <c r="BP147" i="7"/>
  <c r="BQ144" i="7"/>
  <c r="BR54" i="7"/>
  <c r="BP140" i="7"/>
  <c r="BP141" i="7"/>
  <c r="BP142" i="7"/>
  <c r="BQ139" i="7"/>
  <c r="BR52" i="7"/>
  <c r="BQ134" i="7"/>
  <c r="BR50" i="7"/>
  <c r="BP135" i="7"/>
  <c r="BP136" i="7"/>
  <c r="BP137" i="7"/>
  <c r="BR125" i="7"/>
  <c r="BR126" i="7"/>
  <c r="BR127" i="7"/>
  <c r="BS120" i="7"/>
  <c r="BS121" i="7"/>
  <c r="BS122" i="7"/>
  <c r="BW90" i="7"/>
  <c r="BW91" i="7"/>
  <c r="BW92" i="7"/>
  <c r="BU44" i="7"/>
  <c r="BT119" i="7"/>
  <c r="BT46" i="7"/>
  <c r="BS124" i="7"/>
  <c r="BX89" i="7"/>
  <c r="BY32" i="7"/>
  <c r="BQ163" i="6"/>
  <c r="BR56" i="6"/>
  <c r="BP164" i="6"/>
  <c r="BP165" i="6"/>
  <c r="BP166" i="6"/>
  <c r="BP159" i="6"/>
  <c r="BP160" i="6"/>
  <c r="BP161" i="6"/>
  <c r="BQ158" i="6"/>
  <c r="BR54" i="6"/>
  <c r="BP154" i="6"/>
  <c r="BP155" i="6"/>
  <c r="BP156" i="6"/>
  <c r="BQ153" i="6"/>
  <c r="BR52" i="6"/>
  <c r="BR50" i="6"/>
  <c r="BQ148" i="6"/>
  <c r="BP149" i="6"/>
  <c r="BP150" i="6"/>
  <c r="BP151" i="6"/>
  <c r="BR48" i="6"/>
  <c r="BQ143" i="6"/>
  <c r="BP144" i="6"/>
  <c r="BP145" i="6"/>
  <c r="BQ160" i="9"/>
  <c r="BQ161" i="9"/>
  <c r="BQ162" i="9"/>
  <c r="BS60" i="9"/>
  <c r="BR159" i="9"/>
  <c r="BP155" i="9"/>
  <c r="BP156" i="9"/>
  <c r="BP157" i="9"/>
  <c r="BR58" i="9"/>
  <c r="BQ154" i="9"/>
  <c r="BR109" i="9"/>
  <c r="BS40" i="9"/>
  <c r="BQ110" i="9"/>
  <c r="BQ111" i="9"/>
  <c r="BQ112" i="9"/>
  <c r="BR99" i="9"/>
  <c r="BS36" i="9"/>
  <c r="BQ100" i="9"/>
  <c r="BQ101" i="9"/>
  <c r="BQ102" i="9"/>
  <c r="BR62" i="1"/>
  <c r="BQ166" i="1"/>
  <c r="BP167" i="1"/>
  <c r="BP168" i="1"/>
  <c r="BP169" i="1"/>
  <c r="BQ146" i="1"/>
  <c r="BR54" i="1"/>
  <c r="BP147" i="1"/>
  <c r="BP148" i="1"/>
  <c r="BP149" i="1"/>
  <c r="BQ126" i="1"/>
  <c r="BR46" i="1"/>
  <c r="BP127" i="1"/>
  <c r="BP128" i="1"/>
  <c r="BP129" i="1"/>
  <c r="BT44" i="1"/>
  <c r="BS121" i="1"/>
  <c r="BR122" i="1"/>
  <c r="BR123" i="1"/>
  <c r="BR124" i="1"/>
  <c r="BR112" i="1"/>
  <c r="BR113" i="1"/>
  <c r="BR114" i="1"/>
  <c r="BP107" i="1"/>
  <c r="BP108" i="1"/>
  <c r="BP109" i="1"/>
  <c r="BS111" i="1"/>
  <c r="BT40" i="1"/>
  <c r="BS101" i="1"/>
  <c r="BT36" i="1"/>
  <c r="BQ106" i="1"/>
  <c r="BR38" i="1"/>
  <c r="BR102" i="1"/>
  <c r="BR103" i="1"/>
  <c r="BR104" i="1"/>
  <c r="U50" i="34"/>
  <c r="BR129" i="7"/>
  <c r="BR130" i="7"/>
  <c r="BR131" i="7"/>
  <c r="BR132" i="7"/>
  <c r="BS48" i="7"/>
  <c r="AS46" i="41"/>
  <c r="AP46" i="41"/>
  <c r="AJ46" i="41"/>
  <c r="AE46" i="41"/>
  <c r="X46" i="41"/>
  <c r="AA46" i="41"/>
  <c r="AQ46" i="41"/>
  <c r="AF46" i="41"/>
  <c r="AD46" i="41"/>
  <c r="AL46" i="41"/>
  <c r="AI46" i="41"/>
  <c r="AH46" i="41"/>
  <c r="AC46" i="41"/>
  <c r="AB46" i="41"/>
  <c r="AT46" i="41"/>
  <c r="AO46" i="41"/>
  <c r="AR46" i="41"/>
  <c r="AK46" i="41"/>
  <c r="Y46" i="41"/>
  <c r="AN46" i="41"/>
  <c r="AG46" i="41"/>
  <c r="Z46" i="41"/>
  <c r="AM46" i="41"/>
  <c r="BW72" i="2"/>
  <c r="BX193" i="2"/>
  <c r="M59" i="11"/>
  <c r="N229" i="11"/>
  <c r="BC75" i="9"/>
  <c r="BD237" i="9"/>
  <c r="R48" i="37"/>
  <c r="AK31" i="26"/>
  <c r="S49" i="37"/>
  <c r="R35" i="41"/>
  <c r="S36" i="41"/>
  <c r="AP19" i="26"/>
  <c r="R33" i="41"/>
  <c r="BQ202" i="7"/>
  <c r="BZ192" i="22"/>
  <c r="CA177" i="10"/>
  <c r="CA233" i="10"/>
  <c r="BP162" i="10"/>
  <c r="BP202" i="10"/>
  <c r="BU162" i="7"/>
  <c r="BP207" i="8"/>
  <c r="BV167" i="8"/>
  <c r="BY207" i="9"/>
  <c r="BP167" i="9"/>
  <c r="CJ147" i="10"/>
  <c r="BS157" i="7"/>
  <c r="CB167" i="10"/>
  <c r="CB231" i="10"/>
  <c r="BP177" i="7"/>
  <c r="BZ207" i="22"/>
  <c r="BX167" i="22"/>
  <c r="BM99" i="40"/>
  <c r="BN326" i="40"/>
  <c r="BS93" i="40"/>
  <c r="BT323" i="40"/>
  <c r="BN105" i="40"/>
  <c r="BO329" i="40"/>
  <c r="BO97" i="40"/>
  <c r="BP325" i="40"/>
  <c r="BS103" i="40"/>
  <c r="BT328" i="40"/>
  <c r="BS101" i="40"/>
  <c r="BT327" i="40"/>
  <c r="BO107" i="40"/>
  <c r="BP330" i="40"/>
  <c r="BS111" i="40"/>
  <c r="BT332" i="40"/>
  <c r="BS109" i="40"/>
  <c r="BT331" i="40"/>
  <c r="BT95" i="40"/>
  <c r="BU324" i="40"/>
  <c r="BT91" i="40"/>
  <c r="BV321" i="40"/>
  <c r="BU89" i="40"/>
  <c r="BU313" i="40"/>
  <c r="BT73" i="40"/>
  <c r="BW308" i="40"/>
  <c r="BV63" i="40"/>
  <c r="BW301" i="40"/>
  <c r="BV49" i="40"/>
  <c r="BW299" i="40"/>
  <c r="BV45" i="40"/>
  <c r="BV315" i="40"/>
  <c r="BU77" i="40"/>
  <c r="BW320" i="40"/>
  <c r="BV87" i="40"/>
  <c r="BW312" i="40"/>
  <c r="BV71" i="40"/>
  <c r="BV297" i="40"/>
  <c r="BU41" i="40"/>
  <c r="BV307" i="40"/>
  <c r="BU61" i="40"/>
  <c r="BW306" i="40"/>
  <c r="BV59" i="40"/>
  <c r="BW298" i="40"/>
  <c r="BV43" i="40"/>
  <c r="BV302" i="40"/>
  <c r="BU51" i="40"/>
  <c r="BU311" i="40"/>
  <c r="BT69" i="40"/>
  <c r="BW318" i="40"/>
  <c r="BV83" i="40"/>
  <c r="BW322" i="40"/>
  <c r="BW314" i="40"/>
  <c r="BV75" i="40"/>
  <c r="BU309" i="40"/>
  <c r="BT65" i="40"/>
  <c r="BW300" i="40"/>
  <c r="BV47" i="40"/>
  <c r="BW304" i="40"/>
  <c r="BV55" i="40"/>
  <c r="BW316" i="40"/>
  <c r="BV79" i="40"/>
  <c r="BV319" i="40"/>
  <c r="BU85" i="40"/>
  <c r="BV310" i="40"/>
  <c r="BU67" i="40"/>
  <c r="BW303" i="40"/>
  <c r="BV53" i="40"/>
  <c r="BV317" i="40"/>
  <c r="BU81" i="40"/>
  <c r="BW305" i="40"/>
  <c r="BV57" i="40"/>
  <c r="BU207" i="11"/>
  <c r="BY166" i="22"/>
  <c r="BY165" i="22"/>
  <c r="BQ181" i="10"/>
  <c r="BQ180" i="10"/>
  <c r="BP202" i="22"/>
  <c r="BU71" i="10"/>
  <c r="BV235" i="10"/>
  <c r="BY204" i="7"/>
  <c r="BZ78" i="7"/>
  <c r="BS66" i="7"/>
  <c r="BR174" i="7"/>
  <c r="BS199" i="7"/>
  <c r="BT76" i="7"/>
  <c r="BR199" i="22"/>
  <c r="BS76" i="22"/>
  <c r="BU154" i="7"/>
  <c r="BV58" i="7"/>
  <c r="BY231" i="10"/>
  <c r="BX63" i="10"/>
  <c r="CB176" i="10"/>
  <c r="CB175" i="10"/>
  <c r="BQ161" i="10"/>
  <c r="BQ160" i="10"/>
  <c r="CB189" i="22"/>
  <c r="CB73" i="22"/>
  <c r="CA73" i="22"/>
  <c r="BZ73" i="22"/>
  <c r="BJ240" i="10"/>
  <c r="BI81" i="10"/>
  <c r="CK145" i="10"/>
  <c r="CK146" i="10"/>
  <c r="BV206" i="11"/>
  <c r="BV205" i="11"/>
  <c r="BQ185" i="8"/>
  <c r="BQ186" i="8"/>
  <c r="CB64" i="9"/>
  <c r="CA169" i="9"/>
  <c r="BZ164" i="22"/>
  <c r="CA62" i="22"/>
  <c r="BV160" i="7"/>
  <c r="BV161" i="7"/>
  <c r="CA204" i="9"/>
  <c r="CB78" i="9"/>
  <c r="BJ232" i="10"/>
  <c r="BI65" i="10"/>
  <c r="V81" i="8"/>
  <c r="W240" i="8"/>
  <c r="BU125" i="11"/>
  <c r="BU126" i="11"/>
  <c r="BQ206" i="8"/>
  <c r="BQ205" i="8"/>
  <c r="BR200" i="7"/>
  <c r="BR201" i="7"/>
  <c r="BQ201" i="22"/>
  <c r="BQ200" i="22"/>
  <c r="BZ67" i="10"/>
  <c r="BS62" i="9"/>
  <c r="BR164" i="9"/>
  <c r="BS76" i="10"/>
  <c r="BR199" i="10"/>
  <c r="BP187" i="8"/>
  <c r="BX186" i="22"/>
  <c r="BX185" i="22"/>
  <c r="BM67" i="22"/>
  <c r="BN233" i="22"/>
  <c r="CL144" i="10"/>
  <c r="CM54" i="10"/>
  <c r="BX78" i="11"/>
  <c r="BW204" i="11"/>
  <c r="BS70" i="8"/>
  <c r="BR184" i="8"/>
  <c r="BZ171" i="9"/>
  <c r="BZ170" i="9"/>
  <c r="BX60" i="7"/>
  <c r="BW159" i="7"/>
  <c r="BZ206" i="9"/>
  <c r="BZ205" i="9"/>
  <c r="BX229" i="8"/>
  <c r="BW59" i="8"/>
  <c r="BQ135" i="11"/>
  <c r="BQ136" i="11"/>
  <c r="BR149" i="22"/>
  <c r="BR150" i="22"/>
  <c r="BR151" i="22"/>
  <c r="BR152" i="22"/>
  <c r="BS56" i="22"/>
  <c r="Y61" i="11"/>
  <c r="Z230" i="11"/>
  <c r="BW46" i="11"/>
  <c r="BV124" i="11"/>
  <c r="BS78" i="8"/>
  <c r="BR204" i="8"/>
  <c r="BX164" i="8"/>
  <c r="BY62" i="8"/>
  <c r="CA206" i="22"/>
  <c r="CA205" i="22"/>
  <c r="BW187" i="22"/>
  <c r="BQ200" i="11"/>
  <c r="BQ201" i="11"/>
  <c r="BQ165" i="9"/>
  <c r="BQ166" i="9"/>
  <c r="BQ200" i="10"/>
  <c r="BQ201" i="10"/>
  <c r="BZ70" i="22"/>
  <c r="BY184" i="22"/>
  <c r="BR150" i="11"/>
  <c r="BR151" i="11"/>
  <c r="BH59" i="10"/>
  <c r="BI229" i="10"/>
  <c r="BU237" i="11"/>
  <c r="BT75" i="11"/>
  <c r="BR179" i="10"/>
  <c r="BS68" i="10"/>
  <c r="BR138" i="6"/>
  <c r="BR139" i="6"/>
  <c r="BR140" i="6"/>
  <c r="BR141" i="6"/>
  <c r="BS46" i="6"/>
  <c r="BX205" i="7"/>
  <c r="BX206" i="7"/>
  <c r="BQ176" i="7"/>
  <c r="BQ175" i="7"/>
  <c r="BY172" i="9"/>
  <c r="BR134" i="11"/>
  <c r="BS50" i="11"/>
  <c r="BP182" i="10"/>
  <c r="BT156" i="7"/>
  <c r="BT155" i="7"/>
  <c r="BW165" i="8"/>
  <c r="BW166" i="8"/>
  <c r="BW207" i="7"/>
  <c r="CB79" i="22"/>
  <c r="CA79" i="22"/>
  <c r="BZ79" i="22"/>
  <c r="CB204" i="22"/>
  <c r="BP137" i="11"/>
  <c r="BS76" i="11"/>
  <c r="BR199" i="11"/>
  <c r="BT127" i="11"/>
  <c r="BQ152" i="11"/>
  <c r="BR159" i="10"/>
  <c r="BS60" i="10"/>
  <c r="S55" i="11"/>
  <c r="T227" i="11"/>
  <c r="BP202" i="11"/>
  <c r="CA191" i="22"/>
  <c r="CA190" i="22"/>
  <c r="BS149" i="11"/>
  <c r="BT56" i="11"/>
  <c r="BI67" i="9"/>
  <c r="BJ233" i="9"/>
  <c r="C83" i="38"/>
  <c r="U17" i="38"/>
  <c r="AD50" i="38"/>
  <c r="R22" i="2"/>
  <c r="D22" i="20"/>
  <c r="P20" i="20"/>
  <c r="Q20" i="20"/>
  <c r="C18" i="38"/>
  <c r="N10" i="39"/>
  <c r="D10" i="39"/>
  <c r="BT109" i="11"/>
  <c r="BT110" i="11"/>
  <c r="BT111" i="11"/>
  <c r="BT112" i="11"/>
  <c r="BU40" i="11"/>
  <c r="BT44" i="10"/>
  <c r="BS119" i="10"/>
  <c r="BS120" i="10"/>
  <c r="BS121" i="10"/>
  <c r="BS122" i="10"/>
  <c r="BR114" i="10"/>
  <c r="BR115" i="10"/>
  <c r="BR116" i="10"/>
  <c r="BR117" i="10"/>
  <c r="BS42" i="10"/>
  <c r="BR84" i="10"/>
  <c r="BR85" i="10"/>
  <c r="BR86" i="10"/>
  <c r="BR87" i="10"/>
  <c r="BS30" i="10"/>
  <c r="BS38" i="10"/>
  <c r="BR104" i="10"/>
  <c r="BR105" i="10"/>
  <c r="BR106" i="10"/>
  <c r="BR107" i="10"/>
  <c r="BR124" i="10"/>
  <c r="BR125" i="10"/>
  <c r="BR126" i="10"/>
  <c r="BR127" i="10"/>
  <c r="BS46" i="10"/>
  <c r="BS34" i="10"/>
  <c r="BR94" i="10"/>
  <c r="BR95" i="10"/>
  <c r="BR96" i="10"/>
  <c r="BR97" i="10"/>
  <c r="BS32" i="10"/>
  <c r="BR89" i="10"/>
  <c r="BR90" i="10"/>
  <c r="BR91" i="10"/>
  <c r="BR92" i="10"/>
  <c r="BR129" i="10"/>
  <c r="BR130" i="10"/>
  <c r="BR131" i="10"/>
  <c r="BR132" i="10"/>
  <c r="BS48" i="10"/>
  <c r="BS52" i="10"/>
  <c r="BR139" i="10"/>
  <c r="BR140" i="10"/>
  <c r="BR141" i="10"/>
  <c r="BR142" i="10"/>
  <c r="BR109" i="10"/>
  <c r="BR110" i="10"/>
  <c r="BR111" i="10"/>
  <c r="BR112" i="10"/>
  <c r="BS40" i="10"/>
  <c r="BS50" i="22"/>
  <c r="BR134" i="22"/>
  <c r="BR135" i="22"/>
  <c r="BR136" i="22"/>
  <c r="BR137" i="22"/>
  <c r="BT46" i="22"/>
  <c r="BS124" i="22"/>
  <c r="BS125" i="22"/>
  <c r="BS126" i="22"/>
  <c r="BS127" i="22"/>
  <c r="BT52" i="22"/>
  <c r="BS139" i="22"/>
  <c r="BS140" i="22"/>
  <c r="BS141" i="22"/>
  <c r="BS142" i="22"/>
  <c r="BS42" i="22"/>
  <c r="BR114" i="22"/>
  <c r="BR115" i="22"/>
  <c r="BR116" i="22"/>
  <c r="BR117" i="22"/>
  <c r="BT50" i="8"/>
  <c r="BS134" i="8"/>
  <c r="BS135" i="8"/>
  <c r="BS136" i="8"/>
  <c r="BS137" i="8"/>
  <c r="BS46" i="8"/>
  <c r="BR124" i="8"/>
  <c r="BR125" i="8"/>
  <c r="BR126" i="8"/>
  <c r="BR127" i="8"/>
  <c r="BU192" i="8"/>
  <c r="BP192" i="9"/>
  <c r="BR89" i="22"/>
  <c r="BR90" i="22"/>
  <c r="BR91" i="22"/>
  <c r="BR92" i="22"/>
  <c r="BS32" i="22"/>
  <c r="AV71" i="2"/>
  <c r="AW192" i="2"/>
  <c r="M192" i="2"/>
  <c r="L71" i="2"/>
  <c r="N71" i="2"/>
  <c r="O71" i="2"/>
  <c r="BB73" i="10"/>
  <c r="BC236" i="10"/>
  <c r="BS61" i="8"/>
  <c r="BT230" i="8"/>
  <c r="AY31" i="22"/>
  <c r="AZ215" i="22"/>
  <c r="AV65" i="7"/>
  <c r="AW232" i="7"/>
  <c r="BJ65" i="22"/>
  <c r="BK232" i="22"/>
  <c r="BJ79" i="10"/>
  <c r="BK239" i="10"/>
  <c r="BN67" i="8"/>
  <c r="BO233" i="8"/>
  <c r="BN71" i="7"/>
  <c r="BO235" i="7"/>
  <c r="BQ191" i="9"/>
  <c r="BQ190" i="9"/>
  <c r="BG49" i="11"/>
  <c r="BH224" i="11"/>
  <c r="BE71" i="2"/>
  <c r="CF71" i="2"/>
  <c r="BF192" i="2"/>
  <c r="L73" i="7"/>
  <c r="M236" i="7"/>
  <c r="BJ81" i="7"/>
  <c r="BK240" i="7"/>
  <c r="BH81" i="9"/>
  <c r="BI240" i="9"/>
  <c r="BN69" i="22"/>
  <c r="BO234" i="22"/>
  <c r="BL81" i="22"/>
  <c r="BM240" i="22"/>
  <c r="N65" i="8"/>
  <c r="O232" i="8"/>
  <c r="V65" i="11"/>
  <c r="W232" i="11"/>
  <c r="V192" i="2"/>
  <c r="U71" i="2"/>
  <c r="BN71" i="2"/>
  <c r="BO192" i="2"/>
  <c r="A74" i="2"/>
  <c r="A194" i="2"/>
  <c r="BW194" i="2"/>
  <c r="BC53" i="11"/>
  <c r="BD226" i="11"/>
  <c r="BQ200" i="9"/>
  <c r="BQ201" i="9"/>
  <c r="BO67" i="11"/>
  <c r="BP233" i="11"/>
  <c r="BQ77" i="8"/>
  <c r="BR238" i="8"/>
  <c r="BF69" i="7"/>
  <c r="BG234" i="7"/>
  <c r="BQ73" i="11"/>
  <c r="BR236" i="11"/>
  <c r="BW189" i="8"/>
  <c r="BX72" i="8"/>
  <c r="BL75" i="22"/>
  <c r="BM237" i="22"/>
  <c r="BM75" i="7"/>
  <c r="BN237" i="7"/>
  <c r="AE192" i="2"/>
  <c r="AD71" i="2"/>
  <c r="BL75" i="8"/>
  <c r="BM237" i="8"/>
  <c r="BN193" i="2"/>
  <c r="BE193" i="2"/>
  <c r="L193" i="2"/>
  <c r="AV193" i="2"/>
  <c r="U193" i="2"/>
  <c r="AM193" i="2"/>
  <c r="AD193" i="2"/>
  <c r="C193" i="2"/>
  <c r="AA69" i="11"/>
  <c r="AB234" i="11"/>
  <c r="BI57" i="10"/>
  <c r="BJ228" i="10"/>
  <c r="BV190" i="8"/>
  <c r="BV191" i="8"/>
  <c r="BI71" i="9"/>
  <c r="BJ235" i="9"/>
  <c r="C71" i="2"/>
  <c r="D192" i="2"/>
  <c r="AM71" i="2"/>
  <c r="AN192" i="2"/>
  <c r="BO61" i="22"/>
  <c r="BP230" i="22"/>
  <c r="BP69" i="8"/>
  <c r="BQ234" i="8"/>
  <c r="BS76" i="9"/>
  <c r="BR199" i="9"/>
  <c r="BK69" i="9"/>
  <c r="BL234" i="9"/>
  <c r="BO81" i="11"/>
  <c r="BP240" i="11"/>
  <c r="BP202" i="9"/>
  <c r="BL75" i="10"/>
  <c r="BM237" i="10"/>
  <c r="Z63" i="11"/>
  <c r="AA231" i="11"/>
  <c r="BS72" i="9"/>
  <c r="BR189" i="9"/>
  <c r="W47" i="30"/>
  <c r="V47" i="30"/>
  <c r="K47" i="30"/>
  <c r="L47" i="30"/>
  <c r="N47" i="30"/>
  <c r="O47" i="30"/>
  <c r="P47" i="30"/>
  <c r="Q47" i="30"/>
  <c r="BS44" i="8"/>
  <c r="BR119" i="8"/>
  <c r="BR120" i="8"/>
  <c r="BR121" i="8"/>
  <c r="BR122" i="8"/>
  <c r="BS42" i="8"/>
  <c r="BR114" i="8"/>
  <c r="BR115" i="8"/>
  <c r="BR116" i="8"/>
  <c r="BR117" i="8"/>
  <c r="BX34" i="8"/>
  <c r="BW94" i="8"/>
  <c r="BW95" i="8"/>
  <c r="BW96" i="8"/>
  <c r="BW97" i="8"/>
  <c r="BY165" i="7"/>
  <c r="BY166" i="7"/>
  <c r="CA62" i="7"/>
  <c r="BZ164" i="7"/>
  <c r="BX167" i="7"/>
  <c r="BR89" i="11"/>
  <c r="BR90" i="11"/>
  <c r="BR91" i="11"/>
  <c r="BR92" i="11"/>
  <c r="BS32" i="11"/>
  <c r="BT30" i="9"/>
  <c r="BS84" i="9"/>
  <c r="BS85" i="9"/>
  <c r="BS86" i="9"/>
  <c r="BS87" i="9"/>
  <c r="BR139" i="9"/>
  <c r="BR140" i="9"/>
  <c r="BR141" i="9"/>
  <c r="BR142" i="9"/>
  <c r="BS52" i="9"/>
  <c r="BU30" i="1"/>
  <c r="BT86" i="1"/>
  <c r="BT87" i="1"/>
  <c r="BT88" i="1"/>
  <c r="BT89" i="1"/>
  <c r="BS64" i="1"/>
  <c r="BR171" i="1"/>
  <c r="BR172" i="1"/>
  <c r="BR173" i="1"/>
  <c r="BR174" i="1"/>
  <c r="BR141" i="1"/>
  <c r="BR142" i="1"/>
  <c r="BR143" i="1"/>
  <c r="BR144" i="1"/>
  <c r="BS52" i="1"/>
  <c r="BT91" i="1"/>
  <c r="BT92" i="1"/>
  <c r="BT93" i="1"/>
  <c r="BT94" i="1"/>
  <c r="BU32" i="1"/>
  <c r="BR156" i="1"/>
  <c r="BR157" i="1"/>
  <c r="BR158" i="1"/>
  <c r="BR159" i="1"/>
  <c r="BS58" i="1"/>
  <c r="BS48" i="1"/>
  <c r="BR131" i="1"/>
  <c r="BR132" i="1"/>
  <c r="BR133" i="1"/>
  <c r="BR134" i="1"/>
  <c r="BS68" i="1"/>
  <c r="BR181" i="1"/>
  <c r="BR182" i="1"/>
  <c r="BR183" i="1"/>
  <c r="BR184" i="1"/>
  <c r="BR96" i="1"/>
  <c r="BR97" i="1"/>
  <c r="BR98" i="1"/>
  <c r="BR99" i="1"/>
  <c r="BS34" i="1"/>
  <c r="BS50" i="1"/>
  <c r="BR136" i="1"/>
  <c r="BR137" i="1"/>
  <c r="BR138" i="1"/>
  <c r="BR139" i="1"/>
  <c r="Q31" i="26"/>
  <c r="S48" i="33"/>
  <c r="R47" i="33"/>
  <c r="BS119" i="22"/>
  <c r="BS120" i="22"/>
  <c r="BS121" i="22"/>
  <c r="BS122" i="22"/>
  <c r="BT44" i="22"/>
  <c r="BR103" i="6"/>
  <c r="BR104" i="6"/>
  <c r="BR105" i="6"/>
  <c r="BR106" i="6"/>
  <c r="BS32" i="6"/>
  <c r="BR113" i="6"/>
  <c r="BR114" i="6"/>
  <c r="BR115" i="6"/>
  <c r="BR116" i="6"/>
  <c r="BS36" i="6"/>
  <c r="BS128" i="6"/>
  <c r="BS129" i="6"/>
  <c r="BS130" i="6"/>
  <c r="BS131" i="6"/>
  <c r="BT42" i="6"/>
  <c r="BQ94" i="6"/>
  <c r="BQ95" i="6"/>
  <c r="BR78" i="6"/>
  <c r="BS22" i="6"/>
  <c r="BP146" i="6"/>
  <c r="BT30" i="6"/>
  <c r="BS98" i="6"/>
  <c r="BS99" i="6"/>
  <c r="BS100" i="6"/>
  <c r="BS101" i="6"/>
  <c r="BS40" i="6"/>
  <c r="BR123" i="6"/>
  <c r="BR124" i="6"/>
  <c r="BR125" i="6"/>
  <c r="BR126" i="6"/>
  <c r="BP96" i="6"/>
  <c r="BR133" i="6"/>
  <c r="BR134" i="6"/>
  <c r="BR135" i="6"/>
  <c r="BR136" i="6"/>
  <c r="BS44" i="6"/>
  <c r="BS34" i="6"/>
  <c r="BR108" i="6"/>
  <c r="BR109" i="6"/>
  <c r="BR110" i="6"/>
  <c r="BR111" i="6"/>
  <c r="BR88" i="6"/>
  <c r="BR89" i="6"/>
  <c r="BR90" i="6"/>
  <c r="BR91" i="6"/>
  <c r="BS26" i="6"/>
  <c r="BS28" i="6"/>
  <c r="BR93" i="6"/>
  <c r="BR94" i="6"/>
  <c r="BR95" i="6"/>
  <c r="BR96" i="6"/>
  <c r="BQ79" i="6"/>
  <c r="BQ80" i="6"/>
  <c r="BS24" i="6"/>
  <c r="BR83" i="6"/>
  <c r="BR84" i="6"/>
  <c r="BR85" i="6"/>
  <c r="BR86" i="6"/>
  <c r="BV80" i="1"/>
  <c r="BU211" i="1"/>
  <c r="BU212" i="1"/>
  <c r="BU213" i="1"/>
  <c r="BU214" i="1"/>
  <c r="BS218" i="1"/>
  <c r="BS217" i="1"/>
  <c r="BR219" i="1"/>
  <c r="BS42" i="1"/>
  <c r="BR116" i="1"/>
  <c r="BR117" i="1"/>
  <c r="BR118" i="1"/>
  <c r="BR119" i="1"/>
  <c r="BU82" i="1"/>
  <c r="BT216" i="1"/>
  <c r="BO87" i="8"/>
  <c r="BP209" i="1"/>
  <c r="BP189" i="1"/>
  <c r="BQ164" i="1"/>
  <c r="BR204" i="1"/>
  <c r="BP97" i="7"/>
  <c r="BV104" i="8"/>
  <c r="BV105" i="8"/>
  <c r="BV106" i="8"/>
  <c r="BV107" i="8"/>
  <c r="BW38" i="8"/>
  <c r="BT36" i="8"/>
  <c r="BS99" i="8"/>
  <c r="BS100" i="8"/>
  <c r="BS101" i="8"/>
  <c r="BS102" i="8"/>
  <c r="BT44" i="11"/>
  <c r="BS119" i="11"/>
  <c r="BR120" i="11"/>
  <c r="BR121" i="11"/>
  <c r="BR122" i="11"/>
  <c r="AD51" i="36"/>
  <c r="AJ51" i="36"/>
  <c r="AF51" i="36"/>
  <c r="AR51" i="36"/>
  <c r="AX51" i="36"/>
  <c r="AI51" i="36"/>
  <c r="AO51" i="36"/>
  <c r="AK51" i="36"/>
  <c r="AW51" i="36"/>
  <c r="AB51" i="36"/>
  <c r="X51" i="36"/>
  <c r="AT51" i="36"/>
  <c r="AP51" i="36"/>
  <c r="AV51" i="36"/>
  <c r="AA51" i="36"/>
  <c r="AG51" i="36"/>
  <c r="AC51" i="36"/>
  <c r="AY51" i="36"/>
  <c r="AU51" i="36"/>
  <c r="Z51" i="36"/>
  <c r="AL51" i="36"/>
  <c r="AH51" i="36"/>
  <c r="AN51" i="36"/>
  <c r="Y51" i="36"/>
  <c r="AE51" i="36"/>
  <c r="AQ51" i="36"/>
  <c r="AM51" i="36"/>
  <c r="AS51" i="36"/>
  <c r="L51" i="36"/>
  <c r="N51" i="36"/>
  <c r="O51" i="36"/>
  <c r="P51" i="36"/>
  <c r="Q51" i="36"/>
  <c r="T51" i="36"/>
  <c r="L30" i="26"/>
  <c r="S47" i="32"/>
  <c r="BS104" i="22"/>
  <c r="BS105" i="22"/>
  <c r="BS106" i="22"/>
  <c r="BS107" i="22"/>
  <c r="BT38" i="22"/>
  <c r="BS34" i="22"/>
  <c r="BR94" i="22"/>
  <c r="BR95" i="22"/>
  <c r="BR96" i="22"/>
  <c r="BR97" i="22"/>
  <c r="BR129" i="22"/>
  <c r="BR130" i="22"/>
  <c r="BR131" i="22"/>
  <c r="BR132" i="22"/>
  <c r="BS48" i="22"/>
  <c r="BS84" i="7"/>
  <c r="BS85" i="7"/>
  <c r="BS86" i="7"/>
  <c r="BS87" i="7"/>
  <c r="BT30" i="7"/>
  <c r="BU109" i="7"/>
  <c r="BU110" i="7"/>
  <c r="BU111" i="7"/>
  <c r="BU112" i="7"/>
  <c r="BV40" i="7"/>
  <c r="BT36" i="7"/>
  <c r="BS99" i="7"/>
  <c r="BS100" i="7"/>
  <c r="BS101" i="7"/>
  <c r="BS102" i="7"/>
  <c r="BT38" i="7"/>
  <c r="BS104" i="7"/>
  <c r="BS105" i="7"/>
  <c r="BS106" i="7"/>
  <c r="BS107" i="7"/>
  <c r="BQ95" i="7"/>
  <c r="BQ96" i="7"/>
  <c r="BQ97" i="7"/>
  <c r="BS42" i="7"/>
  <c r="BR114" i="7"/>
  <c r="BR115" i="7"/>
  <c r="BR116" i="7"/>
  <c r="BR117" i="7"/>
  <c r="BR94" i="7"/>
  <c r="BR95" i="7"/>
  <c r="BR96" i="7"/>
  <c r="BR97" i="7"/>
  <c r="BS34" i="7"/>
  <c r="BU118" i="6"/>
  <c r="BU119" i="6"/>
  <c r="BU120" i="6"/>
  <c r="BU121" i="6"/>
  <c r="BV38" i="6"/>
  <c r="BR42" i="9"/>
  <c r="BQ114" i="9"/>
  <c r="BQ115" i="9"/>
  <c r="BQ116" i="9"/>
  <c r="BQ117" i="9"/>
  <c r="BV144" i="9"/>
  <c r="BV145" i="9"/>
  <c r="BV146" i="9"/>
  <c r="BV147" i="9"/>
  <c r="BW54" i="9"/>
  <c r="BV38" i="9"/>
  <c r="BU104" i="9"/>
  <c r="BU105" i="9"/>
  <c r="BU106" i="9"/>
  <c r="BU107" i="9"/>
  <c r="BS46" i="9"/>
  <c r="BR124" i="9"/>
  <c r="BR125" i="9"/>
  <c r="BR126" i="9"/>
  <c r="BR127" i="9"/>
  <c r="BR94" i="9"/>
  <c r="BR95" i="9"/>
  <c r="BR96" i="9"/>
  <c r="BR97" i="9"/>
  <c r="BS34" i="9"/>
  <c r="BQ125" i="9"/>
  <c r="BQ126" i="9"/>
  <c r="BQ127" i="9"/>
  <c r="BS134" i="9"/>
  <c r="BT50" i="9"/>
  <c r="BR119" i="9"/>
  <c r="BR120" i="9"/>
  <c r="BR121" i="9"/>
  <c r="BR122" i="9"/>
  <c r="BS44" i="9"/>
  <c r="BS56" i="9"/>
  <c r="BR149" i="9"/>
  <c r="BR150" i="9"/>
  <c r="BR151" i="9"/>
  <c r="BR152" i="9"/>
  <c r="BS48" i="9"/>
  <c r="BR129" i="9"/>
  <c r="BR130" i="9"/>
  <c r="BR131" i="9"/>
  <c r="BR132" i="9"/>
  <c r="BU32" i="9"/>
  <c r="BT89" i="9"/>
  <c r="BT90" i="9"/>
  <c r="BT91" i="9"/>
  <c r="BT92" i="9"/>
  <c r="BX151" i="1"/>
  <c r="BY56" i="1"/>
  <c r="BU76" i="1"/>
  <c r="BT201" i="1"/>
  <c r="BT202" i="1"/>
  <c r="BT203" i="1"/>
  <c r="BT204" i="1"/>
  <c r="BS74" i="1"/>
  <c r="BR196" i="1"/>
  <c r="BR197" i="1"/>
  <c r="BR198" i="1"/>
  <c r="BR199" i="1"/>
  <c r="BU66" i="1"/>
  <c r="BT176" i="1"/>
  <c r="BT177" i="1"/>
  <c r="BT178" i="1"/>
  <c r="BT179" i="1"/>
  <c r="BQ187" i="1"/>
  <c r="BQ188" i="1"/>
  <c r="BS78" i="1"/>
  <c r="BR206" i="1"/>
  <c r="BR207" i="1"/>
  <c r="BR208" i="1"/>
  <c r="BR209" i="1"/>
  <c r="BS70" i="1"/>
  <c r="BR186" i="1"/>
  <c r="BS202" i="1"/>
  <c r="BS203" i="1"/>
  <c r="BS204" i="1"/>
  <c r="BQ197" i="1"/>
  <c r="BQ198" i="1"/>
  <c r="BQ199" i="1"/>
  <c r="BT60" i="1"/>
  <c r="BS161" i="1"/>
  <c r="BS162" i="1"/>
  <c r="BS163" i="1"/>
  <c r="BS164" i="1"/>
  <c r="BT72" i="1"/>
  <c r="BS191" i="1"/>
  <c r="BS192" i="1"/>
  <c r="BS193" i="1"/>
  <c r="BS194" i="1"/>
  <c r="BY42" i="11"/>
  <c r="BX114" i="11"/>
  <c r="BW115" i="11"/>
  <c r="BW116" i="11"/>
  <c r="BW117" i="11"/>
  <c r="W50" i="34"/>
  <c r="V50" i="34"/>
  <c r="K50" i="34"/>
  <c r="W51" i="35"/>
  <c r="V51" i="35"/>
  <c r="K51" i="35"/>
  <c r="BQ107" i="11"/>
  <c r="BU85" i="11"/>
  <c r="BU86" i="11"/>
  <c r="BU87" i="11"/>
  <c r="BT38" i="11"/>
  <c r="BS104" i="11"/>
  <c r="BT99" i="11"/>
  <c r="BU36" i="11"/>
  <c r="BR105" i="11"/>
  <c r="BR106" i="11"/>
  <c r="BW30" i="11"/>
  <c r="BV84" i="11"/>
  <c r="BS100" i="11"/>
  <c r="BS101" i="11"/>
  <c r="BS102" i="11"/>
  <c r="BT50" i="10"/>
  <c r="BS134" i="10"/>
  <c r="BR135" i="10"/>
  <c r="BR136" i="10"/>
  <c r="BR137" i="10"/>
  <c r="BR100" i="10"/>
  <c r="BR101" i="10"/>
  <c r="BR102" i="10"/>
  <c r="BT36" i="10"/>
  <c r="BS99" i="10"/>
  <c r="BQ155" i="22"/>
  <c r="BQ156" i="22"/>
  <c r="BQ157" i="22"/>
  <c r="BS58" i="22"/>
  <c r="BR154" i="22"/>
  <c r="BS99" i="22"/>
  <c r="BT36" i="22"/>
  <c r="BS109" i="22"/>
  <c r="BT40" i="22"/>
  <c r="BR145" i="22"/>
  <c r="BR146" i="22"/>
  <c r="BR147" i="22"/>
  <c r="BS144" i="22"/>
  <c r="BT54" i="22"/>
  <c r="BR100" i="22"/>
  <c r="BR101" i="22"/>
  <c r="BR102" i="22"/>
  <c r="BR110" i="22"/>
  <c r="BR111" i="22"/>
  <c r="BR112" i="22"/>
  <c r="BV56" i="8"/>
  <c r="BU149" i="8"/>
  <c r="BT150" i="8"/>
  <c r="BT151" i="8"/>
  <c r="BT152" i="8"/>
  <c r="BT54" i="8"/>
  <c r="BS144" i="8"/>
  <c r="BR145" i="8"/>
  <c r="BR146" i="8"/>
  <c r="BR147" i="8"/>
  <c r="BR129" i="8"/>
  <c r="BS48" i="8"/>
  <c r="BQ110" i="8"/>
  <c r="BQ111" i="8"/>
  <c r="BQ112" i="8"/>
  <c r="BR139" i="8"/>
  <c r="BS52" i="8"/>
  <c r="BQ90" i="8"/>
  <c r="BQ91" i="8"/>
  <c r="BQ92" i="8"/>
  <c r="BS40" i="8"/>
  <c r="BR109" i="8"/>
  <c r="BQ140" i="8"/>
  <c r="BQ141" i="8"/>
  <c r="BQ142" i="8"/>
  <c r="BR30" i="8"/>
  <c r="BQ84" i="8"/>
  <c r="BR89" i="8"/>
  <c r="BS32" i="8"/>
  <c r="BP85" i="8"/>
  <c r="BP86" i="8"/>
  <c r="BP87" i="8"/>
  <c r="BQ130" i="8"/>
  <c r="BQ131" i="8"/>
  <c r="BQ132" i="8"/>
  <c r="BQ145" i="7"/>
  <c r="BQ146" i="7"/>
  <c r="BS54" i="7"/>
  <c r="BR144" i="7"/>
  <c r="BQ140" i="7"/>
  <c r="BQ141" i="7"/>
  <c r="BQ142" i="7"/>
  <c r="BR139" i="7"/>
  <c r="BS52" i="7"/>
  <c r="BS50" i="7"/>
  <c r="BR134" i="7"/>
  <c r="BQ135" i="7"/>
  <c r="BQ136" i="7"/>
  <c r="BQ137" i="7"/>
  <c r="BY89" i="7"/>
  <c r="BZ32" i="7"/>
  <c r="BV44" i="7"/>
  <c r="BU119" i="7"/>
  <c r="BX90" i="7"/>
  <c r="BX91" i="7"/>
  <c r="BX92" i="7"/>
  <c r="BS125" i="7"/>
  <c r="BS126" i="7"/>
  <c r="BS127" i="7"/>
  <c r="BU46" i="7"/>
  <c r="BT124" i="7"/>
  <c r="BT120" i="7"/>
  <c r="BT121" i="7"/>
  <c r="BT122" i="7"/>
  <c r="BS56" i="6"/>
  <c r="BR163" i="6"/>
  <c r="BQ164" i="6"/>
  <c r="BQ165" i="6"/>
  <c r="BQ166" i="6"/>
  <c r="BQ159" i="6"/>
  <c r="BQ160" i="6"/>
  <c r="BQ161" i="6"/>
  <c r="BS54" i="6"/>
  <c r="BR158" i="6"/>
  <c r="BR153" i="6"/>
  <c r="BS52" i="6"/>
  <c r="BQ154" i="6"/>
  <c r="BQ155" i="6"/>
  <c r="BQ156" i="6"/>
  <c r="BQ149" i="6"/>
  <c r="BQ150" i="6"/>
  <c r="BQ151" i="6"/>
  <c r="BS50" i="6"/>
  <c r="BR148" i="6"/>
  <c r="BQ144" i="6"/>
  <c r="BQ145" i="6"/>
  <c r="BQ146" i="6"/>
  <c r="BR143" i="6"/>
  <c r="BS48" i="6"/>
  <c r="BR160" i="9"/>
  <c r="BR161" i="9"/>
  <c r="BR162" i="9"/>
  <c r="BS159" i="9"/>
  <c r="BT60" i="9"/>
  <c r="BQ155" i="9"/>
  <c r="BQ156" i="9"/>
  <c r="BQ157" i="9"/>
  <c r="BR154" i="9"/>
  <c r="BS58" i="9"/>
  <c r="BT40" i="9"/>
  <c r="BS109" i="9"/>
  <c r="BS99" i="9"/>
  <c r="BT36" i="9"/>
  <c r="BR110" i="9"/>
  <c r="BR111" i="9"/>
  <c r="BR112" i="9"/>
  <c r="BR100" i="9"/>
  <c r="BR101" i="9"/>
  <c r="BR102" i="9"/>
  <c r="BR166" i="1"/>
  <c r="BS62" i="1"/>
  <c r="BQ167" i="1"/>
  <c r="BQ168" i="1"/>
  <c r="BQ169" i="1"/>
  <c r="BS54" i="1"/>
  <c r="BR146" i="1"/>
  <c r="BR126" i="1"/>
  <c r="BS46" i="1"/>
  <c r="BQ147" i="1"/>
  <c r="BQ148" i="1"/>
  <c r="BQ149" i="1"/>
  <c r="BQ127" i="1"/>
  <c r="BQ128" i="1"/>
  <c r="BQ129" i="1"/>
  <c r="BS122" i="1"/>
  <c r="BS123" i="1"/>
  <c r="BS124" i="1"/>
  <c r="BU44" i="1"/>
  <c r="BT121" i="1"/>
  <c r="BT101" i="1"/>
  <c r="BU36" i="1"/>
  <c r="BR106" i="1"/>
  <c r="BS38" i="1"/>
  <c r="BU40" i="1"/>
  <c r="BT111" i="1"/>
  <c r="BS112" i="1"/>
  <c r="BS113" i="1"/>
  <c r="BS114" i="1"/>
  <c r="BS102" i="1"/>
  <c r="BS103" i="1"/>
  <c r="BS104" i="1"/>
  <c r="BQ107" i="1"/>
  <c r="BQ108" i="1"/>
  <c r="BQ109" i="1"/>
  <c r="N56" i="26"/>
  <c r="N33" i="26"/>
  <c r="N40" i="26"/>
  <c r="N104" i="26"/>
  <c r="N65" i="26"/>
  <c r="N48" i="26"/>
  <c r="N22" i="26"/>
  <c r="N81" i="26"/>
  <c r="N98" i="26"/>
  <c r="N28" i="26"/>
  <c r="N29" i="26"/>
  <c r="N61" i="26"/>
  <c r="N15" i="26"/>
  <c r="N69" i="26"/>
  <c r="N37" i="26"/>
  <c r="N74" i="26"/>
  <c r="N10" i="26"/>
  <c r="N99" i="26"/>
  <c r="N34" i="26"/>
  <c r="N11" i="26"/>
  <c r="N8" i="26"/>
  <c r="N16" i="26"/>
  <c r="N102" i="26"/>
  <c r="N51" i="26"/>
  <c r="N21" i="26"/>
  <c r="N66" i="26"/>
  <c r="N43" i="26"/>
  <c r="N94" i="26"/>
  <c r="N30" i="26"/>
  <c r="N5" i="26"/>
  <c r="N26" i="26"/>
  <c r="N19" i="26"/>
  <c r="N77" i="26"/>
  <c r="N85" i="26"/>
  <c r="N86" i="26"/>
  <c r="N6" i="26"/>
  <c r="N67" i="26"/>
  <c r="N53" i="26"/>
  <c r="N71" i="26"/>
  <c r="N90" i="26"/>
  <c r="N50" i="26"/>
  <c r="N52" i="26"/>
  <c r="N78" i="26"/>
  <c r="N96" i="26"/>
  <c r="N55" i="26"/>
  <c r="N60" i="26"/>
  <c r="N44" i="26"/>
  <c r="N23" i="26"/>
  <c r="N63" i="26"/>
  <c r="N88" i="26"/>
  <c r="N31" i="26"/>
  <c r="N82" i="26"/>
  <c r="N12" i="26"/>
  <c r="N64" i="26"/>
  <c r="N62" i="26"/>
  <c r="N92" i="26"/>
  <c r="N45" i="26"/>
  <c r="N68" i="26"/>
  <c r="N73" i="26"/>
  <c r="N83" i="26"/>
  <c r="N54" i="26"/>
  <c r="N39" i="26"/>
  <c r="N20" i="26"/>
  <c r="N17" i="26"/>
  <c r="N100" i="26"/>
  <c r="N80" i="26"/>
  <c r="N58" i="26"/>
  <c r="N9" i="26"/>
  <c r="N79" i="26"/>
  <c r="N36" i="26"/>
  <c r="N14" i="26"/>
  <c r="N57" i="26"/>
  <c r="N76" i="26"/>
  <c r="N41" i="26"/>
  <c r="N75" i="26"/>
  <c r="N95" i="26"/>
  <c r="N103" i="26"/>
  <c r="N72" i="26"/>
  <c r="N24" i="26"/>
  <c r="N18" i="26"/>
  <c r="N59" i="26"/>
  <c r="N49" i="26"/>
  <c r="N13" i="26"/>
  <c r="N91" i="26"/>
  <c r="N27" i="26"/>
  <c r="N70" i="26"/>
  <c r="N38" i="26"/>
  <c r="N87" i="26"/>
  <c r="N101" i="26"/>
  <c r="N93" i="26"/>
  <c r="N25" i="26"/>
  <c r="N47" i="26"/>
  <c r="N35" i="26"/>
  <c r="N7" i="26"/>
  <c r="N32" i="26"/>
  <c r="N97" i="26"/>
  <c r="N84" i="26"/>
  <c r="N46" i="26"/>
  <c r="N89" i="26"/>
  <c r="N42" i="26"/>
  <c r="BS129" i="7"/>
  <c r="BS130" i="7"/>
  <c r="BS131" i="7"/>
  <c r="BS132" i="7"/>
  <c r="BT48" i="7"/>
  <c r="U47" i="41"/>
  <c r="W47" i="41"/>
  <c r="V47" i="41"/>
  <c r="AT47" i="41"/>
  <c r="AF47" i="41"/>
  <c r="AM47" i="41"/>
  <c r="AA47" i="41"/>
  <c r="BC237" i="9"/>
  <c r="BB75" i="9"/>
  <c r="BW73" i="2"/>
  <c r="BX194" i="2"/>
  <c r="AC47" i="41"/>
  <c r="K47" i="41"/>
  <c r="T47" i="41"/>
  <c r="L59" i="11"/>
  <c r="M229" i="11"/>
  <c r="AB47" i="41"/>
  <c r="R47" i="37"/>
  <c r="R46" i="37"/>
  <c r="S46" i="37"/>
  <c r="S48" i="37"/>
  <c r="AP18" i="26"/>
  <c r="R34" i="41"/>
  <c r="S35" i="41"/>
  <c r="S33" i="41"/>
  <c r="AP16" i="26"/>
  <c r="R32" i="41"/>
  <c r="BQ167" i="9"/>
  <c r="BV162" i="7"/>
  <c r="BQ182" i="10"/>
  <c r="BR152" i="11"/>
  <c r="BQ202" i="10"/>
  <c r="BQ202" i="11"/>
  <c r="BX187" i="22"/>
  <c r="BQ177" i="7"/>
  <c r="BQ202" i="22"/>
  <c r="BQ207" i="8"/>
  <c r="CA207" i="22"/>
  <c r="CA239" i="22"/>
  <c r="BZ172" i="9"/>
  <c r="BQ137" i="11"/>
  <c r="BW167" i="8"/>
  <c r="BQ187" i="8"/>
  <c r="CK147" i="10"/>
  <c r="BS95" i="40"/>
  <c r="BT324" i="40"/>
  <c r="BR111" i="40"/>
  <c r="BS332" i="40"/>
  <c r="BR101" i="40"/>
  <c r="BS327" i="40"/>
  <c r="BN97" i="40"/>
  <c r="BO325" i="40"/>
  <c r="BR93" i="40"/>
  <c r="BS323" i="40"/>
  <c r="BR109" i="40"/>
  <c r="BS331" i="40"/>
  <c r="BN107" i="40"/>
  <c r="BO330" i="40"/>
  <c r="BR103" i="40"/>
  <c r="BS328" i="40"/>
  <c r="BM105" i="40"/>
  <c r="BN329" i="40"/>
  <c r="BL99" i="40"/>
  <c r="BM326" i="40"/>
  <c r="BS91" i="40"/>
  <c r="BV303" i="40"/>
  <c r="BU53" i="40"/>
  <c r="BU319" i="40"/>
  <c r="BT85" i="40"/>
  <c r="BV304" i="40"/>
  <c r="BU55" i="40"/>
  <c r="BT309" i="40"/>
  <c r="BS65" i="40"/>
  <c r="BV322" i="40"/>
  <c r="BV298" i="40"/>
  <c r="BU43" i="40"/>
  <c r="BU307" i="40"/>
  <c r="BT61" i="40"/>
  <c r="BV312" i="40"/>
  <c r="BU71" i="40"/>
  <c r="BU315" i="40"/>
  <c r="BT77" i="40"/>
  <c r="BV301" i="40"/>
  <c r="BU49" i="40"/>
  <c r="BT313" i="40"/>
  <c r="BS73" i="40"/>
  <c r="BU317" i="40"/>
  <c r="BT81" i="40"/>
  <c r="BU310" i="40"/>
  <c r="BT67" i="40"/>
  <c r="BV316" i="40"/>
  <c r="BU79" i="40"/>
  <c r="BV300" i="40"/>
  <c r="BU47" i="40"/>
  <c r="BV314" i="40"/>
  <c r="BU75" i="40"/>
  <c r="BV318" i="40"/>
  <c r="BU83" i="40"/>
  <c r="BU302" i="40"/>
  <c r="BT51" i="40"/>
  <c r="BV306" i="40"/>
  <c r="BU59" i="40"/>
  <c r="BU297" i="40"/>
  <c r="BT41" i="40"/>
  <c r="BV320" i="40"/>
  <c r="BU87" i="40"/>
  <c r="BV299" i="40"/>
  <c r="BU45" i="40"/>
  <c r="BV308" i="40"/>
  <c r="BU63" i="40"/>
  <c r="BU321" i="40"/>
  <c r="BT89" i="40"/>
  <c r="BV305" i="40"/>
  <c r="BU57" i="40"/>
  <c r="BT311" i="40"/>
  <c r="BS69" i="40"/>
  <c r="BI233" i="9"/>
  <c r="BH67" i="9"/>
  <c r="R55" i="11"/>
  <c r="S227" i="11"/>
  <c r="BS179" i="10"/>
  <c r="BT68" i="10"/>
  <c r="BY186" i="22"/>
  <c r="BY185" i="22"/>
  <c r="BV126" i="11"/>
  <c r="BV125" i="11"/>
  <c r="BS149" i="22"/>
  <c r="BS150" i="22"/>
  <c r="BS151" i="22"/>
  <c r="BS152" i="22"/>
  <c r="BT56" i="22"/>
  <c r="BW229" i="8"/>
  <c r="BV59" i="8"/>
  <c r="CL145" i="10"/>
  <c r="CL146" i="10"/>
  <c r="BY67" i="10"/>
  <c r="BZ233" i="10"/>
  <c r="CA170" i="9"/>
  <c r="CA171" i="9"/>
  <c r="BI240" i="10"/>
  <c r="BH81" i="10"/>
  <c r="BX231" i="10"/>
  <c r="BW63" i="10"/>
  <c r="BU156" i="7"/>
  <c r="BU155" i="7"/>
  <c r="BY206" i="7"/>
  <c r="BY205" i="7"/>
  <c r="CA192" i="22"/>
  <c r="CA236" i="22"/>
  <c r="BT60" i="10"/>
  <c r="BS159" i="10"/>
  <c r="CB206" i="22"/>
  <c r="CB205" i="22"/>
  <c r="BS138" i="6"/>
  <c r="BS139" i="6"/>
  <c r="BS140" i="6"/>
  <c r="BS141" i="6"/>
  <c r="BT46" i="6"/>
  <c r="BR180" i="10"/>
  <c r="BR181" i="10"/>
  <c r="BG59" i="10"/>
  <c r="BH229" i="10"/>
  <c r="CA70" i="22"/>
  <c r="BZ184" i="22"/>
  <c r="BZ62" i="8"/>
  <c r="BY164" i="8"/>
  <c r="BR205" i="8"/>
  <c r="BR206" i="8"/>
  <c r="BX46" i="11"/>
  <c r="BW124" i="11"/>
  <c r="BW160" i="7"/>
  <c r="BW161" i="7"/>
  <c r="BW206" i="11"/>
  <c r="BW205" i="11"/>
  <c r="BR165" i="9"/>
  <c r="BR166" i="9"/>
  <c r="CB79" i="9"/>
  <c r="CA79" i="9"/>
  <c r="BZ79" i="9"/>
  <c r="CB204" i="9"/>
  <c r="CB169" i="9"/>
  <c r="CB65" i="9"/>
  <c r="CA65" i="9"/>
  <c r="BZ65" i="9"/>
  <c r="BY65" i="9"/>
  <c r="BV207" i="11"/>
  <c r="BQ162" i="10"/>
  <c r="BU76" i="7"/>
  <c r="BT199" i="7"/>
  <c r="BR175" i="7"/>
  <c r="BR176" i="7"/>
  <c r="BU56" i="11"/>
  <c r="BT149" i="11"/>
  <c r="BR160" i="10"/>
  <c r="BR161" i="10"/>
  <c r="BR201" i="11"/>
  <c r="BR200" i="11"/>
  <c r="BY79" i="22"/>
  <c r="BZ239" i="22"/>
  <c r="BT50" i="11"/>
  <c r="BS134" i="11"/>
  <c r="BT237" i="11"/>
  <c r="BS75" i="11"/>
  <c r="BS204" i="8"/>
  <c r="BT78" i="8"/>
  <c r="BY60" i="7"/>
  <c r="BX159" i="7"/>
  <c r="BR186" i="8"/>
  <c r="BR185" i="8"/>
  <c r="BX204" i="11"/>
  <c r="BY78" i="11"/>
  <c r="BL67" i="22"/>
  <c r="BM233" i="22"/>
  <c r="BR200" i="10"/>
  <c r="BR201" i="10"/>
  <c r="BS164" i="9"/>
  <c r="BT62" i="9"/>
  <c r="U81" i="8"/>
  <c r="V240" i="8"/>
  <c r="CA205" i="9"/>
  <c r="CA206" i="9"/>
  <c r="CA164" i="22"/>
  <c r="CB62" i="22"/>
  <c r="BY73" i="22"/>
  <c r="BZ236" i="22"/>
  <c r="BS199" i="22"/>
  <c r="BT76" i="22"/>
  <c r="BS201" i="7"/>
  <c r="BS200" i="7"/>
  <c r="BS174" i="7"/>
  <c r="BT66" i="7"/>
  <c r="BT71" i="10"/>
  <c r="BU235" i="10"/>
  <c r="BS151" i="11"/>
  <c r="BS150" i="11"/>
  <c r="BS199" i="11"/>
  <c r="BT76" i="11"/>
  <c r="BT157" i="7"/>
  <c r="BR135" i="11"/>
  <c r="BR136" i="11"/>
  <c r="BX207" i="7"/>
  <c r="BX166" i="8"/>
  <c r="BX165" i="8"/>
  <c r="X61" i="11"/>
  <c r="Y230" i="11"/>
  <c r="BZ207" i="9"/>
  <c r="BS184" i="8"/>
  <c r="BT70" i="8"/>
  <c r="CM144" i="10"/>
  <c r="CN54" i="10"/>
  <c r="BS199" i="10"/>
  <c r="BT76" i="10"/>
  <c r="BR202" i="7"/>
  <c r="BU127" i="11"/>
  <c r="BI232" i="10"/>
  <c r="BH65" i="10"/>
  <c r="BZ166" i="22"/>
  <c r="BZ165" i="22"/>
  <c r="CB191" i="22"/>
  <c r="CB190" i="22"/>
  <c r="CB177" i="10"/>
  <c r="CB233" i="10"/>
  <c r="BV154" i="7"/>
  <c r="BW58" i="7"/>
  <c r="BR201" i="22"/>
  <c r="BR200" i="22"/>
  <c r="CA78" i="7"/>
  <c r="BZ204" i="7"/>
  <c r="BY167" i="22"/>
  <c r="R23" i="2"/>
  <c r="D23" i="20"/>
  <c r="N11" i="39"/>
  <c r="D11" i="39"/>
  <c r="C19" i="38"/>
  <c r="P21" i="20"/>
  <c r="Q21" i="20"/>
  <c r="C84" i="38"/>
  <c r="U18" i="38"/>
  <c r="AD51" i="38"/>
  <c r="BU109" i="11"/>
  <c r="BU110" i="11"/>
  <c r="BU111" i="11"/>
  <c r="BU112" i="11"/>
  <c r="BV40" i="11"/>
  <c r="BT40" i="10"/>
  <c r="BS109" i="10"/>
  <c r="BS110" i="10"/>
  <c r="BS111" i="10"/>
  <c r="BS112" i="10"/>
  <c r="BT48" i="10"/>
  <c r="BS129" i="10"/>
  <c r="BS130" i="10"/>
  <c r="BS131" i="10"/>
  <c r="BS132" i="10"/>
  <c r="BS114" i="10"/>
  <c r="BS115" i="10"/>
  <c r="BS116" i="10"/>
  <c r="BS117" i="10"/>
  <c r="BT42" i="10"/>
  <c r="BS94" i="10"/>
  <c r="BS95" i="10"/>
  <c r="BS96" i="10"/>
  <c r="BS97" i="10"/>
  <c r="BT34" i="10"/>
  <c r="BS104" i="10"/>
  <c r="BS105" i="10"/>
  <c r="BS106" i="10"/>
  <c r="BS107" i="10"/>
  <c r="BT38" i="10"/>
  <c r="BT46" i="10"/>
  <c r="BS124" i="10"/>
  <c r="BS125" i="10"/>
  <c r="BS126" i="10"/>
  <c r="BS127" i="10"/>
  <c r="BT30" i="10"/>
  <c r="BS84" i="10"/>
  <c r="BS85" i="10"/>
  <c r="BS86" i="10"/>
  <c r="BS87" i="10"/>
  <c r="BS139" i="10"/>
  <c r="BS140" i="10"/>
  <c r="BS141" i="10"/>
  <c r="BS142" i="10"/>
  <c r="BT52" i="10"/>
  <c r="BT32" i="10"/>
  <c r="BS89" i="10"/>
  <c r="BS90" i="10"/>
  <c r="BS91" i="10"/>
  <c r="BS92" i="10"/>
  <c r="BT119" i="10"/>
  <c r="BT120" i="10"/>
  <c r="BT121" i="10"/>
  <c r="BT122" i="10"/>
  <c r="BU44" i="10"/>
  <c r="BT124" i="22"/>
  <c r="BT125" i="22"/>
  <c r="BT126" i="22"/>
  <c r="BT127" i="22"/>
  <c r="BU46" i="22"/>
  <c r="BS114" i="22"/>
  <c r="BS115" i="22"/>
  <c r="BS116" i="22"/>
  <c r="BS117" i="22"/>
  <c r="BT42" i="22"/>
  <c r="BT139" i="22"/>
  <c r="BT140" i="22"/>
  <c r="BT141" i="22"/>
  <c r="BT142" i="22"/>
  <c r="BU52" i="22"/>
  <c r="BT50" i="22"/>
  <c r="BS134" i="22"/>
  <c r="BS135" i="22"/>
  <c r="BS136" i="22"/>
  <c r="BS137" i="22"/>
  <c r="BS124" i="8"/>
  <c r="BS125" i="8"/>
  <c r="BS126" i="8"/>
  <c r="BS127" i="8"/>
  <c r="BT46" i="8"/>
  <c r="BU50" i="8"/>
  <c r="BT134" i="8"/>
  <c r="BT135" i="8"/>
  <c r="BT136" i="8"/>
  <c r="BT137" i="8"/>
  <c r="BY167" i="7"/>
  <c r="BQ192" i="9"/>
  <c r="Y63" i="11"/>
  <c r="Z231" i="11"/>
  <c r="BH71" i="9"/>
  <c r="BI235" i="9"/>
  <c r="BP73" i="11"/>
  <c r="BQ236" i="11"/>
  <c r="BJ69" i="9"/>
  <c r="BK234" i="9"/>
  <c r="BV192" i="8"/>
  <c r="C72" i="2"/>
  <c r="D193" i="2"/>
  <c r="AV72" i="2"/>
  <c r="AW193" i="2"/>
  <c r="BK75" i="22"/>
  <c r="BL237" i="22"/>
  <c r="BQ202" i="9"/>
  <c r="M65" i="8"/>
  <c r="N232" i="8"/>
  <c r="BK81" i="22"/>
  <c r="BL240" i="22"/>
  <c r="BI81" i="7"/>
  <c r="BJ240" i="7"/>
  <c r="BI65" i="22"/>
  <c r="BJ232" i="22"/>
  <c r="BR61" i="8"/>
  <c r="BS230" i="8"/>
  <c r="BK75" i="10"/>
  <c r="BL237" i="10"/>
  <c r="BO69" i="8"/>
  <c r="BP234" i="8"/>
  <c r="AD72" i="2"/>
  <c r="AE193" i="2"/>
  <c r="BX189" i="8"/>
  <c r="BY72" i="8"/>
  <c r="BR191" i="9"/>
  <c r="BR190" i="9"/>
  <c r="BN81" i="11"/>
  <c r="BO240" i="11"/>
  <c r="BR200" i="9"/>
  <c r="BR201" i="9"/>
  <c r="AM72" i="2"/>
  <c r="AN193" i="2"/>
  <c r="BE72" i="2"/>
  <c r="CF72" i="2"/>
  <c r="BF193" i="2"/>
  <c r="BL75" i="7"/>
  <c r="BM237" i="7"/>
  <c r="BB53" i="11"/>
  <c r="BC226" i="11"/>
  <c r="AM194" i="2"/>
  <c r="BN194" i="2"/>
  <c r="BE194" i="2"/>
  <c r="AV194" i="2"/>
  <c r="L194" i="2"/>
  <c r="U194" i="2"/>
  <c r="AD194" i="2"/>
  <c r="C194" i="2"/>
  <c r="U65" i="11"/>
  <c r="V232" i="11"/>
  <c r="BM69" i="22"/>
  <c r="BN234" i="22"/>
  <c r="BG81" i="9"/>
  <c r="BH240" i="9"/>
  <c r="K73" i="7"/>
  <c r="L236" i="7"/>
  <c r="BF49" i="11"/>
  <c r="BG224" i="11"/>
  <c r="BM71" i="7"/>
  <c r="BN235" i="7"/>
  <c r="BM67" i="8"/>
  <c r="BN233" i="8"/>
  <c r="BI79" i="10"/>
  <c r="BJ239" i="10"/>
  <c r="AU65" i="7"/>
  <c r="AV232" i="7"/>
  <c r="AX31" i="22"/>
  <c r="AY215" i="22"/>
  <c r="BT32" i="22"/>
  <c r="BS89" i="22"/>
  <c r="BS90" i="22"/>
  <c r="BS91" i="22"/>
  <c r="BS92" i="22"/>
  <c r="L72" i="2"/>
  <c r="N72" i="2"/>
  <c r="O72" i="2"/>
  <c r="M193" i="2"/>
  <c r="BP77" i="8"/>
  <c r="BQ238" i="8"/>
  <c r="BT72" i="9"/>
  <c r="BS189" i="9"/>
  <c r="BT76" i="9"/>
  <c r="BS199" i="9"/>
  <c r="BN61" i="22"/>
  <c r="BO230" i="22"/>
  <c r="BH57" i="10"/>
  <c r="BI228" i="10"/>
  <c r="Z69" i="11"/>
  <c r="AA234" i="11"/>
  <c r="U72" i="2"/>
  <c r="V193" i="2"/>
  <c r="BN72" i="2"/>
  <c r="BO193" i="2"/>
  <c r="BK75" i="8"/>
  <c r="BL237" i="8"/>
  <c r="BW190" i="8"/>
  <c r="BW191" i="8"/>
  <c r="BE69" i="7"/>
  <c r="BF234" i="7"/>
  <c r="BN67" i="11"/>
  <c r="BO233" i="11"/>
  <c r="A75" i="2"/>
  <c r="A195" i="2"/>
  <c r="BW195" i="2"/>
  <c r="BA73" i="10"/>
  <c r="BB236" i="10"/>
  <c r="T47" i="30"/>
  <c r="AR47" i="30"/>
  <c r="X47" i="30"/>
  <c r="AM47" i="30"/>
  <c r="AN47" i="30"/>
  <c r="AA47" i="30"/>
  <c r="AE47" i="30"/>
  <c r="AK47" i="30"/>
  <c r="AT47" i="30"/>
  <c r="Y47" i="30"/>
  <c r="AQ47" i="30"/>
  <c r="AG47" i="30"/>
  <c r="AH47" i="30"/>
  <c r="AJ47" i="30"/>
  <c r="AI47" i="30"/>
  <c r="AC47" i="30"/>
  <c r="AB47" i="30"/>
  <c r="AD47" i="30"/>
  <c r="AF47" i="30"/>
  <c r="AS47" i="30"/>
  <c r="AO47" i="30"/>
  <c r="AP47" i="30"/>
  <c r="Z47" i="30"/>
  <c r="AL47" i="30"/>
  <c r="BY34" i="8"/>
  <c r="BX94" i="8"/>
  <c r="BX95" i="8"/>
  <c r="BX96" i="8"/>
  <c r="BX97" i="8"/>
  <c r="BT42" i="8"/>
  <c r="BS114" i="8"/>
  <c r="BS115" i="8"/>
  <c r="BS116" i="8"/>
  <c r="BS117" i="8"/>
  <c r="BS119" i="8"/>
  <c r="BS120" i="8"/>
  <c r="BS121" i="8"/>
  <c r="BS122" i="8"/>
  <c r="BT44" i="8"/>
  <c r="BT32" i="11"/>
  <c r="BS89" i="11"/>
  <c r="BS90" i="11"/>
  <c r="BS91" i="11"/>
  <c r="BS92" i="11"/>
  <c r="BZ166" i="7"/>
  <c r="BZ165" i="7"/>
  <c r="CB62" i="7"/>
  <c r="CA164" i="7"/>
  <c r="BS139" i="9"/>
  <c r="BS140" i="9"/>
  <c r="BS141" i="9"/>
  <c r="BS142" i="9"/>
  <c r="BT52" i="9"/>
  <c r="BT84" i="9"/>
  <c r="BT85" i="9"/>
  <c r="BT86" i="9"/>
  <c r="BT87" i="9"/>
  <c r="BU30" i="9"/>
  <c r="BV30" i="1"/>
  <c r="BU86" i="1"/>
  <c r="BU87" i="1"/>
  <c r="BU88" i="1"/>
  <c r="BU89" i="1"/>
  <c r="BS181" i="1"/>
  <c r="BS182" i="1"/>
  <c r="BS183" i="1"/>
  <c r="BS184" i="1"/>
  <c r="BT68" i="1"/>
  <c r="BT48" i="1"/>
  <c r="BS131" i="1"/>
  <c r="BS132" i="1"/>
  <c r="BS133" i="1"/>
  <c r="BS134" i="1"/>
  <c r="BT64" i="1"/>
  <c r="BS171" i="1"/>
  <c r="BS172" i="1"/>
  <c r="BS173" i="1"/>
  <c r="BS174" i="1"/>
  <c r="BS96" i="1"/>
  <c r="BS97" i="1"/>
  <c r="BS98" i="1"/>
  <c r="BS99" i="1"/>
  <c r="BT34" i="1"/>
  <c r="BS156" i="1"/>
  <c r="BS157" i="1"/>
  <c r="BS158" i="1"/>
  <c r="BS159" i="1"/>
  <c r="BT58" i="1"/>
  <c r="BU91" i="1"/>
  <c r="BU92" i="1"/>
  <c r="BU93" i="1"/>
  <c r="BU94" i="1"/>
  <c r="BV32" i="1"/>
  <c r="BT52" i="1"/>
  <c r="BS141" i="1"/>
  <c r="BS142" i="1"/>
  <c r="BS143" i="1"/>
  <c r="BS144" i="1"/>
  <c r="BQ189" i="1"/>
  <c r="BS219" i="1"/>
  <c r="BT50" i="1"/>
  <c r="BS136" i="1"/>
  <c r="BS137" i="1"/>
  <c r="BS138" i="1"/>
  <c r="BS139" i="1"/>
  <c r="Q30" i="26"/>
  <c r="S47" i="33"/>
  <c r="BT119" i="22"/>
  <c r="BT120" i="22"/>
  <c r="BT121" i="22"/>
  <c r="BT122" i="22"/>
  <c r="BU44" i="22"/>
  <c r="BQ147" i="7"/>
  <c r="BQ81" i="6"/>
  <c r="BS88" i="6"/>
  <c r="BS89" i="6"/>
  <c r="BS90" i="6"/>
  <c r="BS91" i="6"/>
  <c r="BT26" i="6"/>
  <c r="BS133" i="6"/>
  <c r="BS134" i="6"/>
  <c r="BS135" i="6"/>
  <c r="BS136" i="6"/>
  <c r="BT44" i="6"/>
  <c r="BS123" i="6"/>
  <c r="BS124" i="6"/>
  <c r="BS125" i="6"/>
  <c r="BS126" i="6"/>
  <c r="BT40" i="6"/>
  <c r="BT98" i="6"/>
  <c r="BT99" i="6"/>
  <c r="BT100" i="6"/>
  <c r="BT101" i="6"/>
  <c r="BU30" i="6"/>
  <c r="BS78" i="6"/>
  <c r="BS79" i="6"/>
  <c r="BS80" i="6"/>
  <c r="BS81" i="6"/>
  <c r="BT22" i="6"/>
  <c r="BQ96" i="6"/>
  <c r="BT128" i="6"/>
  <c r="BT129" i="6"/>
  <c r="BT130" i="6"/>
  <c r="BT131" i="6"/>
  <c r="BU42" i="6"/>
  <c r="BS113" i="6"/>
  <c r="BS114" i="6"/>
  <c r="BS115" i="6"/>
  <c r="BS116" i="6"/>
  <c r="BT36" i="6"/>
  <c r="BS103" i="6"/>
  <c r="BS104" i="6"/>
  <c r="BS105" i="6"/>
  <c r="BS106" i="6"/>
  <c r="BT32" i="6"/>
  <c r="BS83" i="6"/>
  <c r="BT24" i="6"/>
  <c r="BT28" i="6"/>
  <c r="BS93" i="6"/>
  <c r="BT34" i="6"/>
  <c r="BS108" i="6"/>
  <c r="BS109" i="6"/>
  <c r="BS110" i="6"/>
  <c r="BS111" i="6"/>
  <c r="BR79" i="6"/>
  <c r="BR80" i="6"/>
  <c r="BT218" i="1"/>
  <c r="BT217" i="1"/>
  <c r="BV82" i="1"/>
  <c r="BU216" i="1"/>
  <c r="BS116" i="1"/>
  <c r="BS117" i="1"/>
  <c r="BS118" i="1"/>
  <c r="BS119" i="1"/>
  <c r="BT42" i="1"/>
  <c r="BW80" i="1"/>
  <c r="BV211" i="1"/>
  <c r="BX38" i="8"/>
  <c r="BW104" i="8"/>
  <c r="BW105" i="8"/>
  <c r="BW106" i="8"/>
  <c r="BW107" i="8"/>
  <c r="BT99" i="8"/>
  <c r="BT100" i="8"/>
  <c r="BT101" i="8"/>
  <c r="BT102" i="8"/>
  <c r="BU36" i="8"/>
  <c r="BS120" i="11"/>
  <c r="BS121" i="11"/>
  <c r="BS122" i="11"/>
  <c r="BU44" i="11"/>
  <c r="BT119" i="11"/>
  <c r="R51" i="36"/>
  <c r="R50" i="36"/>
  <c r="V17" i="2"/>
  <c r="W17" i="2"/>
  <c r="V37" i="2"/>
  <c r="W37" i="2"/>
  <c r="V106" i="2"/>
  <c r="V66" i="2"/>
  <c r="W66" i="2"/>
  <c r="V53" i="2"/>
  <c r="W53" i="2"/>
  <c r="V72" i="2"/>
  <c r="V114" i="2"/>
  <c r="V47" i="2"/>
  <c r="W47" i="2"/>
  <c r="V83" i="2"/>
  <c r="V55" i="2"/>
  <c r="W55" i="2"/>
  <c r="V51" i="2"/>
  <c r="W51" i="2"/>
  <c r="V70" i="2"/>
  <c r="W70" i="2"/>
  <c r="V95" i="2"/>
  <c r="V92" i="2"/>
  <c r="V108" i="2"/>
  <c r="V20" i="2"/>
  <c r="W20" i="2"/>
  <c r="V28" i="2"/>
  <c r="W28" i="2"/>
  <c r="V15" i="2"/>
  <c r="W15" i="2"/>
  <c r="V31" i="2"/>
  <c r="W31" i="2"/>
  <c r="V34" i="2"/>
  <c r="W34" i="2"/>
  <c r="V63" i="2"/>
  <c r="W63" i="2"/>
  <c r="V107" i="2"/>
  <c r="V26" i="2"/>
  <c r="W26" i="2"/>
  <c r="V16" i="2"/>
  <c r="W16" i="2"/>
  <c r="V22" i="2"/>
  <c r="W22" i="2"/>
  <c r="V44" i="2"/>
  <c r="W44" i="2"/>
  <c r="V32" i="2"/>
  <c r="W32" i="2"/>
  <c r="V39" i="2"/>
  <c r="W39" i="2"/>
  <c r="V27" i="2"/>
  <c r="W27" i="2"/>
  <c r="V73" i="2"/>
  <c r="V82" i="2"/>
  <c r="V97" i="2"/>
  <c r="V56" i="2"/>
  <c r="W56" i="2"/>
  <c r="V79" i="2"/>
  <c r="V50" i="2"/>
  <c r="W50" i="2"/>
  <c r="V71" i="2"/>
  <c r="W71" i="2"/>
  <c r="V60" i="2"/>
  <c r="W60" i="2"/>
  <c r="V62" i="2"/>
  <c r="W62" i="2"/>
  <c r="V61" i="2"/>
  <c r="W61" i="2"/>
  <c r="V99" i="2"/>
  <c r="V67" i="2"/>
  <c r="W67" i="2"/>
  <c r="V86" i="2"/>
  <c r="V58" i="2"/>
  <c r="W58" i="2"/>
  <c r="V100" i="2"/>
  <c r="V84" i="2"/>
  <c r="V94" i="2"/>
  <c r="V93" i="2"/>
  <c r="V21" i="2"/>
  <c r="W21" i="2"/>
  <c r="X21" i="2"/>
  <c r="Z21" i="2"/>
  <c r="V19" i="2"/>
  <c r="W19" i="2"/>
  <c r="V18" i="2"/>
  <c r="W18" i="2"/>
  <c r="V41" i="2"/>
  <c r="W41" i="2"/>
  <c r="V43" i="2"/>
  <c r="W43" i="2"/>
  <c r="V109" i="2"/>
  <c r="V111" i="2"/>
  <c r="V25" i="2"/>
  <c r="W25" i="2"/>
  <c r="V24" i="2"/>
  <c r="W24" i="2"/>
  <c r="V23" i="2"/>
  <c r="W23" i="2"/>
  <c r="X23" i="2"/>
  <c r="Z23" i="2"/>
  <c r="V36" i="2"/>
  <c r="W36" i="2"/>
  <c r="V74" i="2"/>
  <c r="V33" i="2"/>
  <c r="W33" i="2"/>
  <c r="V40" i="2"/>
  <c r="W40" i="2"/>
  <c r="V29" i="2"/>
  <c r="W29" i="2"/>
  <c r="V91" i="2"/>
  <c r="V96" i="2"/>
  <c r="V101" i="2"/>
  <c r="V102" i="2"/>
  <c r="V45" i="2"/>
  <c r="W45" i="2"/>
  <c r="V88" i="2"/>
  <c r="V103" i="2"/>
  <c r="V68" i="2"/>
  <c r="W68" i="2"/>
  <c r="V89" i="2"/>
  <c r="V65" i="2"/>
  <c r="W65" i="2"/>
  <c r="V113" i="2"/>
  <c r="V112" i="2"/>
  <c r="V98" i="2"/>
  <c r="V57" i="2"/>
  <c r="W57" i="2"/>
  <c r="V46" i="2"/>
  <c r="W46" i="2"/>
  <c r="V81" i="2"/>
  <c r="V80" i="2"/>
  <c r="V38" i="2"/>
  <c r="W38" i="2"/>
  <c r="V35" i="2"/>
  <c r="W35" i="2"/>
  <c r="V42" i="2"/>
  <c r="W42" i="2"/>
  <c r="V30" i="2"/>
  <c r="W30" i="2"/>
  <c r="V64" i="2"/>
  <c r="W64" i="2"/>
  <c r="V69" i="2"/>
  <c r="W69" i="2"/>
  <c r="V75" i="2"/>
  <c r="V77" i="2"/>
  <c r="V105" i="2"/>
  <c r="V52" i="2"/>
  <c r="W52" i="2"/>
  <c r="V48" i="2"/>
  <c r="W48" i="2"/>
  <c r="V110" i="2"/>
  <c r="V104" i="2"/>
  <c r="V59" i="2"/>
  <c r="W59" i="2"/>
  <c r="V87" i="2"/>
  <c r="V90" i="2"/>
  <c r="V78" i="2"/>
  <c r="V76" i="2"/>
  <c r="V85" i="2"/>
  <c r="V54" i="2"/>
  <c r="W54" i="2"/>
  <c r="V49" i="2"/>
  <c r="W49" i="2"/>
  <c r="BS94" i="22"/>
  <c r="BS95" i="22"/>
  <c r="BS96" i="22"/>
  <c r="BS97" i="22"/>
  <c r="BT34" i="22"/>
  <c r="BS129" i="22"/>
  <c r="BS130" i="22"/>
  <c r="BS131" i="22"/>
  <c r="BS132" i="22"/>
  <c r="BT48" i="22"/>
  <c r="BT104" i="22"/>
  <c r="BT105" i="22"/>
  <c r="BT106" i="22"/>
  <c r="BT107" i="22"/>
  <c r="BU38" i="22"/>
  <c r="BT42" i="7"/>
  <c r="BS114" i="7"/>
  <c r="BS115" i="7"/>
  <c r="BS116" i="7"/>
  <c r="BS117" i="7"/>
  <c r="BT104" i="7"/>
  <c r="BT105" i="7"/>
  <c r="BT106" i="7"/>
  <c r="BT107" i="7"/>
  <c r="BU38" i="7"/>
  <c r="BW40" i="7"/>
  <c r="BV109" i="7"/>
  <c r="BT84" i="7"/>
  <c r="BT85" i="7"/>
  <c r="BT86" i="7"/>
  <c r="BT87" i="7"/>
  <c r="BU30" i="7"/>
  <c r="BS94" i="7"/>
  <c r="BS95" i="7"/>
  <c r="BS96" i="7"/>
  <c r="BS97" i="7"/>
  <c r="BT34" i="7"/>
  <c r="BU36" i="7"/>
  <c r="BT99" i="7"/>
  <c r="BT100" i="7"/>
  <c r="BT101" i="7"/>
  <c r="BT102" i="7"/>
  <c r="BV118" i="6"/>
  <c r="BW38" i="6"/>
  <c r="BT34" i="9"/>
  <c r="BS94" i="9"/>
  <c r="BS95" i="9"/>
  <c r="BS96" i="9"/>
  <c r="BS97" i="9"/>
  <c r="BX54" i="9"/>
  <c r="BW144" i="9"/>
  <c r="BW145" i="9"/>
  <c r="BW146" i="9"/>
  <c r="BW147" i="9"/>
  <c r="BV104" i="9"/>
  <c r="BV105" i="9"/>
  <c r="BV106" i="9"/>
  <c r="BV107" i="9"/>
  <c r="BW38" i="9"/>
  <c r="BT46" i="9"/>
  <c r="BS124" i="9"/>
  <c r="BS125" i="9"/>
  <c r="BS126" i="9"/>
  <c r="BS127" i="9"/>
  <c r="BS42" i="9"/>
  <c r="BR114" i="9"/>
  <c r="BR115" i="9"/>
  <c r="BR116" i="9"/>
  <c r="BR117" i="9"/>
  <c r="BU50" i="9"/>
  <c r="BT134" i="9"/>
  <c r="BT135" i="9"/>
  <c r="BT136" i="9"/>
  <c r="BT137" i="9"/>
  <c r="BS135" i="9"/>
  <c r="BS136" i="9"/>
  <c r="BS137" i="9"/>
  <c r="BS119" i="9"/>
  <c r="BS120" i="9"/>
  <c r="BS121" i="9"/>
  <c r="BS122" i="9"/>
  <c r="BT44" i="9"/>
  <c r="BS129" i="9"/>
  <c r="BS130" i="9"/>
  <c r="BS131" i="9"/>
  <c r="BS132" i="9"/>
  <c r="BT48" i="9"/>
  <c r="BV32" i="9"/>
  <c r="BU89" i="9"/>
  <c r="BU90" i="9"/>
  <c r="BU91" i="9"/>
  <c r="BU92" i="9"/>
  <c r="BS149" i="9"/>
  <c r="BT56" i="9"/>
  <c r="BT78" i="1"/>
  <c r="BS206" i="1"/>
  <c r="BS207" i="1"/>
  <c r="BS208" i="1"/>
  <c r="BS209" i="1"/>
  <c r="BV76" i="1"/>
  <c r="BU201" i="1"/>
  <c r="BU202" i="1"/>
  <c r="BU203" i="1"/>
  <c r="BU204" i="1"/>
  <c r="BR187" i="1"/>
  <c r="BR188" i="1"/>
  <c r="BT74" i="1"/>
  <c r="BS196" i="1"/>
  <c r="BS197" i="1"/>
  <c r="BS198" i="1"/>
  <c r="BS199" i="1"/>
  <c r="BT161" i="1"/>
  <c r="BU60" i="1"/>
  <c r="BT70" i="1"/>
  <c r="BS186" i="1"/>
  <c r="BS187" i="1"/>
  <c r="BS188" i="1"/>
  <c r="BS189" i="1"/>
  <c r="BV66" i="1"/>
  <c r="BU176" i="1"/>
  <c r="BY151" i="1"/>
  <c r="BY152" i="1"/>
  <c r="BY153" i="1"/>
  <c r="BY154" i="1"/>
  <c r="BZ56" i="1"/>
  <c r="BU72" i="1"/>
  <c r="BT191" i="1"/>
  <c r="BT192" i="1"/>
  <c r="BT193" i="1"/>
  <c r="BT194" i="1"/>
  <c r="BX152" i="1"/>
  <c r="BX153" i="1"/>
  <c r="R45" i="37"/>
  <c r="BX115" i="11"/>
  <c r="BX116" i="11"/>
  <c r="BX117" i="11"/>
  <c r="BZ42" i="11"/>
  <c r="BY114" i="11"/>
  <c r="T50" i="34"/>
  <c r="AI50" i="34"/>
  <c r="AA50" i="34"/>
  <c r="AF50" i="34"/>
  <c r="AT50" i="34"/>
  <c r="AX50" i="34"/>
  <c r="AG50" i="34"/>
  <c r="AE50" i="34"/>
  <c r="AD50" i="34"/>
  <c r="AO50" i="34"/>
  <c r="AP50" i="34"/>
  <c r="AH50" i="34"/>
  <c r="AR50" i="34"/>
  <c r="AL50" i="34"/>
  <c r="AW50" i="34"/>
  <c r="Z50" i="34"/>
  <c r="AS50" i="34"/>
  <c r="AB50" i="34"/>
  <c r="Y50" i="34"/>
  <c r="AJ50" i="34"/>
  <c r="AK50" i="34"/>
  <c r="AC50" i="34"/>
  <c r="AU50" i="34"/>
  <c r="X50" i="34"/>
  <c r="AQ50" i="34"/>
  <c r="AV50" i="34"/>
  <c r="AN50" i="34"/>
  <c r="AM50" i="34"/>
  <c r="T51" i="35"/>
  <c r="L51" i="35"/>
  <c r="N51" i="35"/>
  <c r="O51" i="35"/>
  <c r="P51" i="35"/>
  <c r="Q51" i="35"/>
  <c r="AE51" i="35"/>
  <c r="Y51" i="35"/>
  <c r="AQ51" i="35"/>
  <c r="AR51" i="35"/>
  <c r="AK51" i="35"/>
  <c r="AS51" i="35"/>
  <c r="AB51" i="35"/>
  <c r="AG51" i="35"/>
  <c r="AW51" i="35"/>
  <c r="X51" i="35"/>
  <c r="AY51" i="35"/>
  <c r="AN51" i="35"/>
  <c r="AD51" i="35"/>
  <c r="AJ51" i="35"/>
  <c r="Z51" i="35"/>
  <c r="AH51" i="35"/>
  <c r="AU51" i="35"/>
  <c r="AX51" i="35"/>
  <c r="AO51" i="35"/>
  <c r="AV51" i="35"/>
  <c r="AI51" i="35"/>
  <c r="AT51" i="35"/>
  <c r="AA51" i="35"/>
  <c r="AC51" i="35"/>
  <c r="AL51" i="35"/>
  <c r="AM51" i="35"/>
  <c r="AP51" i="35"/>
  <c r="AF51" i="35"/>
  <c r="BR107" i="11"/>
  <c r="BV85" i="11"/>
  <c r="BV86" i="11"/>
  <c r="BV87" i="11"/>
  <c r="BV36" i="11"/>
  <c r="BU99" i="11"/>
  <c r="BU38" i="11"/>
  <c r="BT104" i="11"/>
  <c r="BT100" i="11"/>
  <c r="BT101" i="11"/>
  <c r="BT102" i="11"/>
  <c r="BX30" i="11"/>
  <c r="BW84" i="11"/>
  <c r="BS105" i="11"/>
  <c r="BS106" i="11"/>
  <c r="BS135" i="10"/>
  <c r="BS136" i="10"/>
  <c r="BS137" i="10"/>
  <c r="BU50" i="10"/>
  <c r="BT134" i="10"/>
  <c r="BS100" i="10"/>
  <c r="BS101" i="10"/>
  <c r="BS102" i="10"/>
  <c r="BT99" i="10"/>
  <c r="BU36" i="10"/>
  <c r="BR155" i="22"/>
  <c r="BR156" i="22"/>
  <c r="BR157" i="22"/>
  <c r="BT58" i="22"/>
  <c r="BS154" i="22"/>
  <c r="BT109" i="22"/>
  <c r="BU40" i="22"/>
  <c r="BT144" i="22"/>
  <c r="BU54" i="22"/>
  <c r="BS110" i="22"/>
  <c r="BS111" i="22"/>
  <c r="BS112" i="22"/>
  <c r="BS100" i="22"/>
  <c r="BS101" i="22"/>
  <c r="BS102" i="22"/>
  <c r="BS145" i="22"/>
  <c r="BS146" i="22"/>
  <c r="BS147" i="22"/>
  <c r="BT99" i="22"/>
  <c r="BU36" i="22"/>
  <c r="BU150" i="8"/>
  <c r="BU151" i="8"/>
  <c r="BU152" i="8"/>
  <c r="BV149" i="8"/>
  <c r="BW56" i="8"/>
  <c r="BS145" i="8"/>
  <c r="BS146" i="8"/>
  <c r="BT144" i="8"/>
  <c r="BU54" i="8"/>
  <c r="BR90" i="8"/>
  <c r="BR91" i="8"/>
  <c r="BR92" i="8"/>
  <c r="BR110" i="8"/>
  <c r="BR111" i="8"/>
  <c r="BR112" i="8"/>
  <c r="BR140" i="8"/>
  <c r="BR141" i="8"/>
  <c r="BR142" i="8"/>
  <c r="BR130" i="8"/>
  <c r="BR131" i="8"/>
  <c r="BR132" i="8"/>
  <c r="BQ85" i="8"/>
  <c r="BQ86" i="8"/>
  <c r="BQ87" i="8"/>
  <c r="BS109" i="8"/>
  <c r="BT40" i="8"/>
  <c r="BT32" i="8"/>
  <c r="BS89" i="8"/>
  <c r="BR84" i="8"/>
  <c r="BS30" i="8"/>
  <c r="BT52" i="8"/>
  <c r="BS139" i="8"/>
  <c r="BS129" i="8"/>
  <c r="BT48" i="8"/>
  <c r="BS144" i="7"/>
  <c r="BT54" i="7"/>
  <c r="BR145" i="7"/>
  <c r="BR146" i="7"/>
  <c r="BR147" i="7"/>
  <c r="BT52" i="7"/>
  <c r="BS139" i="7"/>
  <c r="BR140" i="7"/>
  <c r="BR141" i="7"/>
  <c r="BR142" i="7"/>
  <c r="BR135" i="7"/>
  <c r="BR136" i="7"/>
  <c r="BR137" i="7"/>
  <c r="BS134" i="7"/>
  <c r="BT50" i="7"/>
  <c r="BW44" i="7"/>
  <c r="BV119" i="7"/>
  <c r="BT125" i="7"/>
  <c r="BT126" i="7"/>
  <c r="BT127" i="7"/>
  <c r="CA32" i="7"/>
  <c r="BZ89" i="7"/>
  <c r="BU124" i="7"/>
  <c r="BV46" i="7"/>
  <c r="BU120" i="7"/>
  <c r="BU121" i="7"/>
  <c r="BU122" i="7"/>
  <c r="BY90" i="7"/>
  <c r="BY91" i="7"/>
  <c r="BY92" i="7"/>
  <c r="BR164" i="6"/>
  <c r="BR165" i="6"/>
  <c r="BR166" i="6"/>
  <c r="BS163" i="6"/>
  <c r="BT56" i="6"/>
  <c r="BS158" i="6"/>
  <c r="BT54" i="6"/>
  <c r="BR159" i="6"/>
  <c r="BR160" i="6"/>
  <c r="BR161" i="6"/>
  <c r="BS153" i="6"/>
  <c r="BT52" i="6"/>
  <c r="BR154" i="6"/>
  <c r="BR155" i="6"/>
  <c r="BR156" i="6"/>
  <c r="BT50" i="6"/>
  <c r="BS148" i="6"/>
  <c r="BR149" i="6"/>
  <c r="BR150" i="6"/>
  <c r="BR151" i="6"/>
  <c r="BS143" i="6"/>
  <c r="BT48" i="6"/>
  <c r="BR144" i="6"/>
  <c r="BR145" i="6"/>
  <c r="BS160" i="9"/>
  <c r="BS161" i="9"/>
  <c r="BS162" i="9"/>
  <c r="BT159" i="9"/>
  <c r="BU60" i="9"/>
  <c r="BS154" i="9"/>
  <c r="BT58" i="9"/>
  <c r="BR155" i="9"/>
  <c r="BR156" i="9"/>
  <c r="BR157" i="9"/>
  <c r="BS100" i="9"/>
  <c r="BS101" i="9"/>
  <c r="BS102" i="9"/>
  <c r="BS110" i="9"/>
  <c r="BS111" i="9"/>
  <c r="BS112" i="9"/>
  <c r="BU40" i="9"/>
  <c r="BT109" i="9"/>
  <c r="BT99" i="9"/>
  <c r="BU36" i="9"/>
  <c r="BT62" i="1"/>
  <c r="BS166" i="1"/>
  <c r="BR167" i="1"/>
  <c r="BR168" i="1"/>
  <c r="BS146" i="1"/>
  <c r="BT54" i="1"/>
  <c r="BR127" i="1"/>
  <c r="BR128" i="1"/>
  <c r="BR129" i="1"/>
  <c r="BR147" i="1"/>
  <c r="BR148" i="1"/>
  <c r="BR149" i="1"/>
  <c r="BS126" i="1"/>
  <c r="BT46" i="1"/>
  <c r="BT122" i="1"/>
  <c r="BT123" i="1"/>
  <c r="BT124" i="1"/>
  <c r="BU121" i="1"/>
  <c r="BV44" i="1"/>
  <c r="BT112" i="1"/>
  <c r="BT113" i="1"/>
  <c r="BR107" i="1"/>
  <c r="BR108" i="1"/>
  <c r="BR109" i="1"/>
  <c r="BU111" i="1"/>
  <c r="BV40" i="1"/>
  <c r="BV36" i="1"/>
  <c r="BU101" i="1"/>
  <c r="BS106" i="1"/>
  <c r="BT38" i="1"/>
  <c r="BT102" i="1"/>
  <c r="BT103" i="1"/>
  <c r="BT104" i="1"/>
  <c r="S24" i="26"/>
  <c r="S51" i="26"/>
  <c r="S94" i="26"/>
  <c r="S75" i="26"/>
  <c r="S77" i="26"/>
  <c r="S20" i="26"/>
  <c r="S53" i="26"/>
  <c r="S33" i="26"/>
  <c r="S76" i="26"/>
  <c r="S46" i="26"/>
  <c r="S5" i="26"/>
  <c r="S40" i="26"/>
  <c r="S90" i="26"/>
  <c r="S49" i="26"/>
  <c r="S93" i="26"/>
  <c r="S10" i="26"/>
  <c r="S8" i="26"/>
  <c r="S72" i="26"/>
  <c r="S68" i="26"/>
  <c r="S58" i="26"/>
  <c r="S102" i="26"/>
  <c r="S62" i="26"/>
  <c r="S19" i="26"/>
  <c r="S98" i="26"/>
  <c r="S79" i="26"/>
  <c r="S96" i="26"/>
  <c r="S16" i="26"/>
  <c r="S91" i="26"/>
  <c r="S48" i="26"/>
  <c r="S43" i="26"/>
  <c r="S22" i="26"/>
  <c r="S86" i="26"/>
  <c r="S88" i="26"/>
  <c r="S42" i="26"/>
  <c r="S25" i="26"/>
  <c r="S55" i="26"/>
  <c r="S60" i="26"/>
  <c r="S9" i="26"/>
  <c r="S97" i="26"/>
  <c r="S30" i="26"/>
  <c r="S45" i="26"/>
  <c r="S28" i="26"/>
  <c r="S44" i="26"/>
  <c r="S17" i="26"/>
  <c r="S74" i="26"/>
  <c r="S54" i="26"/>
  <c r="S39" i="26"/>
  <c r="S21" i="26"/>
  <c r="S83" i="26"/>
  <c r="S18" i="26"/>
  <c r="S59" i="26"/>
  <c r="S81" i="26"/>
  <c r="S64" i="26"/>
  <c r="S14" i="26"/>
  <c r="S13" i="26"/>
  <c r="S6" i="26"/>
  <c r="S15" i="26"/>
  <c r="S63" i="26"/>
  <c r="S31" i="26"/>
  <c r="S99" i="26"/>
  <c r="S38" i="26"/>
  <c r="S69" i="26"/>
  <c r="S11" i="26"/>
  <c r="S85" i="26"/>
  <c r="S66" i="26"/>
  <c r="S71" i="26"/>
  <c r="S70" i="26"/>
  <c r="S12" i="26"/>
  <c r="S47" i="26"/>
  <c r="S57" i="26"/>
  <c r="S65" i="26"/>
  <c r="S89" i="26"/>
  <c r="S26" i="26"/>
  <c r="S7" i="26"/>
  <c r="S27" i="26"/>
  <c r="S61" i="26"/>
  <c r="S73" i="26"/>
  <c r="S50" i="26"/>
  <c r="S41" i="26"/>
  <c r="S87" i="26"/>
  <c r="S95" i="26"/>
  <c r="S103" i="26"/>
  <c r="S78" i="26"/>
  <c r="S92" i="26"/>
  <c r="S80" i="26"/>
  <c r="S35" i="26"/>
  <c r="S37" i="26"/>
  <c r="S104" i="26"/>
  <c r="S23" i="26"/>
  <c r="S34" i="26"/>
  <c r="S32" i="26"/>
  <c r="S52" i="26"/>
  <c r="S100" i="26"/>
  <c r="S36" i="26"/>
  <c r="S84" i="26"/>
  <c r="S82" i="26"/>
  <c r="S67" i="26"/>
  <c r="S101" i="26"/>
  <c r="S56" i="26"/>
  <c r="S29" i="26"/>
  <c r="AS47" i="41"/>
  <c r="AK47" i="41"/>
  <c r="AG47" i="41"/>
  <c r="AL47" i="41"/>
  <c r="AI47" i="41"/>
  <c r="AR47" i="41"/>
  <c r="AH47" i="41"/>
  <c r="AP47" i="41"/>
  <c r="AD47" i="41"/>
  <c r="AQ47" i="41"/>
  <c r="X47" i="41"/>
  <c r="U48" i="41"/>
  <c r="AE47" i="41"/>
  <c r="AJ47" i="41"/>
  <c r="AU47" i="41"/>
  <c r="AO47" i="41"/>
  <c r="Y47" i="41"/>
  <c r="AN47" i="41"/>
  <c r="Z47" i="41"/>
  <c r="BU48" i="7"/>
  <c r="BT129" i="7"/>
  <c r="BT130" i="7"/>
  <c r="BT131" i="7"/>
  <c r="BT132" i="7"/>
  <c r="X71" i="2"/>
  <c r="BB237" i="9"/>
  <c r="BA75" i="9"/>
  <c r="BW74" i="2"/>
  <c r="BX195" i="2"/>
  <c r="K59" i="11"/>
  <c r="L229" i="11"/>
  <c r="X32" i="2"/>
  <c r="Z32" i="2"/>
  <c r="AK29" i="26"/>
  <c r="S47" i="37"/>
  <c r="AK30" i="26"/>
  <c r="W72" i="2"/>
  <c r="X72" i="2"/>
  <c r="AP17" i="26"/>
  <c r="S34" i="41"/>
  <c r="AP15" i="26"/>
  <c r="S32" i="41"/>
  <c r="BZ167" i="22"/>
  <c r="BR162" i="10"/>
  <c r="BY207" i="7"/>
  <c r="BR137" i="11"/>
  <c r="BR182" i="10"/>
  <c r="BR167" i="9"/>
  <c r="BW162" i="7"/>
  <c r="BR202" i="22"/>
  <c r="BS202" i="7"/>
  <c r="BW192" i="8"/>
  <c r="BX167" i="8"/>
  <c r="BS152" i="11"/>
  <c r="BW207" i="11"/>
  <c r="BK99" i="40"/>
  <c r="BL326" i="40"/>
  <c r="BQ103" i="40"/>
  <c r="BR328" i="40"/>
  <c r="BQ109" i="40"/>
  <c r="BR331" i="40"/>
  <c r="BM97" i="40"/>
  <c r="BN325" i="40"/>
  <c r="BQ111" i="40"/>
  <c r="BR332" i="40"/>
  <c r="BL105" i="40"/>
  <c r="BM329" i="40"/>
  <c r="BM107" i="40"/>
  <c r="BN330" i="40"/>
  <c r="BQ93" i="40"/>
  <c r="BR323" i="40"/>
  <c r="BQ101" i="40"/>
  <c r="BR327" i="40"/>
  <c r="BR95" i="40"/>
  <c r="BS324" i="40"/>
  <c r="BR91" i="40"/>
  <c r="BT321" i="40"/>
  <c r="BS89" i="40"/>
  <c r="BT297" i="40"/>
  <c r="BS41" i="40"/>
  <c r="BT302" i="40"/>
  <c r="BS51" i="40"/>
  <c r="BU301" i="40"/>
  <c r="BT49" i="40"/>
  <c r="BU312" i="40"/>
  <c r="BT71" i="40"/>
  <c r="BT319" i="40"/>
  <c r="BS85" i="40"/>
  <c r="BU316" i="40"/>
  <c r="BT79" i="40"/>
  <c r="BU305" i="40"/>
  <c r="BT57" i="40"/>
  <c r="BU308" i="40"/>
  <c r="BT63" i="40"/>
  <c r="BU320" i="40"/>
  <c r="BT87" i="40"/>
  <c r="BU306" i="40"/>
  <c r="BT59" i="40"/>
  <c r="BU318" i="40"/>
  <c r="BT83" i="40"/>
  <c r="BU300" i="40"/>
  <c r="BT47" i="40"/>
  <c r="BT310" i="40"/>
  <c r="BS67" i="40"/>
  <c r="BS313" i="40"/>
  <c r="BR73" i="40"/>
  <c r="BT315" i="40"/>
  <c r="BS77" i="40"/>
  <c r="BT307" i="40"/>
  <c r="BS61" i="40"/>
  <c r="BU322" i="40"/>
  <c r="BU304" i="40"/>
  <c r="BT55" i="40"/>
  <c r="BU303" i="40"/>
  <c r="BT53" i="40"/>
  <c r="BS311" i="40"/>
  <c r="BR69" i="40"/>
  <c r="BU299" i="40"/>
  <c r="BT45" i="40"/>
  <c r="BU314" i="40"/>
  <c r="BT75" i="40"/>
  <c r="BT317" i="40"/>
  <c r="BS81" i="40"/>
  <c r="BU298" i="40"/>
  <c r="BT43" i="40"/>
  <c r="BS309" i="40"/>
  <c r="BR65" i="40"/>
  <c r="CM145" i="10"/>
  <c r="CM146" i="10"/>
  <c r="CA207" i="9"/>
  <c r="CA239" i="9"/>
  <c r="BX205" i="11"/>
  <c r="BX206" i="11"/>
  <c r="BY159" i="7"/>
  <c r="BZ60" i="7"/>
  <c r="BS206" i="8"/>
  <c r="BS205" i="8"/>
  <c r="BS135" i="11"/>
  <c r="BS136" i="11"/>
  <c r="BR202" i="11"/>
  <c r="CB206" i="9"/>
  <c r="CB205" i="9"/>
  <c r="BT138" i="6"/>
  <c r="BT139" i="6"/>
  <c r="BT140" i="6"/>
  <c r="BT141" i="6"/>
  <c r="BU46" i="6"/>
  <c r="BS161" i="10"/>
  <c r="BS160" i="10"/>
  <c r="BU56" i="22"/>
  <c r="BT149" i="22"/>
  <c r="BT150" i="22"/>
  <c r="BT151" i="22"/>
  <c r="BT152" i="22"/>
  <c r="BT179" i="10"/>
  <c r="BU68" i="10"/>
  <c r="BZ205" i="7"/>
  <c r="BZ206" i="7"/>
  <c r="BG65" i="10"/>
  <c r="BH232" i="10"/>
  <c r="BU76" i="10"/>
  <c r="BT199" i="10"/>
  <c r="BU66" i="7"/>
  <c r="BT174" i="7"/>
  <c r="BY236" i="22"/>
  <c r="BX73" i="22"/>
  <c r="BT164" i="9"/>
  <c r="BU62" i="9"/>
  <c r="BS237" i="11"/>
  <c r="BR75" i="11"/>
  <c r="BT134" i="11"/>
  <c r="BU50" i="11"/>
  <c r="BT151" i="11"/>
  <c r="BT150" i="11"/>
  <c r="BY79" i="9"/>
  <c r="BZ239" i="9"/>
  <c r="BW126" i="11"/>
  <c r="BW125" i="11"/>
  <c r="BY166" i="8"/>
  <c r="BY165" i="8"/>
  <c r="BF59" i="10"/>
  <c r="BG229" i="10"/>
  <c r="BT159" i="10"/>
  <c r="BU60" i="10"/>
  <c r="BH240" i="10"/>
  <c r="BG81" i="10"/>
  <c r="BZ232" i="9"/>
  <c r="BS181" i="10"/>
  <c r="BS180" i="10"/>
  <c r="Q55" i="11"/>
  <c r="R227" i="11"/>
  <c r="CB78" i="7"/>
  <c r="CA204" i="7"/>
  <c r="BX58" i="7"/>
  <c r="BW154" i="7"/>
  <c r="CB192" i="22"/>
  <c r="CB236" i="22"/>
  <c r="BS200" i="10"/>
  <c r="BS201" i="10"/>
  <c r="BU70" i="8"/>
  <c r="BT184" i="8"/>
  <c r="W61" i="11"/>
  <c r="X230" i="11"/>
  <c r="BT199" i="11"/>
  <c r="BU76" i="11"/>
  <c r="BS176" i="7"/>
  <c r="BS175" i="7"/>
  <c r="BU76" i="22"/>
  <c r="BT199" i="22"/>
  <c r="CB63" i="22"/>
  <c r="CA63" i="22"/>
  <c r="BZ63" i="22"/>
  <c r="CB164" i="22"/>
  <c r="BS165" i="9"/>
  <c r="BS166" i="9"/>
  <c r="BL233" i="22"/>
  <c r="BK67" i="22"/>
  <c r="BR187" i="8"/>
  <c r="BU149" i="11"/>
  <c r="BV56" i="11"/>
  <c r="BT201" i="7"/>
  <c r="BT200" i="7"/>
  <c r="BX65" i="9"/>
  <c r="BY232" i="9"/>
  <c r="BY46" i="11"/>
  <c r="BX124" i="11"/>
  <c r="CA62" i="8"/>
  <c r="BZ164" i="8"/>
  <c r="BZ186" i="22"/>
  <c r="BZ185" i="22"/>
  <c r="BU157" i="7"/>
  <c r="BX67" i="10"/>
  <c r="BY233" i="10"/>
  <c r="BV229" i="8"/>
  <c r="BU59" i="8"/>
  <c r="BY187" i="22"/>
  <c r="BG67" i="9"/>
  <c r="BH233" i="9"/>
  <c r="BV155" i="7"/>
  <c r="BV156" i="7"/>
  <c r="CN144" i="10"/>
  <c r="CO54" i="10"/>
  <c r="BS185" i="8"/>
  <c r="BS186" i="8"/>
  <c r="BS201" i="11"/>
  <c r="BS200" i="11"/>
  <c r="BS71" i="10"/>
  <c r="BT235" i="10"/>
  <c r="BS200" i="22"/>
  <c r="BS201" i="22"/>
  <c r="CA166" i="22"/>
  <c r="CA165" i="22"/>
  <c r="T81" i="8"/>
  <c r="U240" i="8"/>
  <c r="BR202" i="10"/>
  <c r="BZ78" i="11"/>
  <c r="BY204" i="11"/>
  <c r="BX160" i="7"/>
  <c r="BX161" i="7"/>
  <c r="BU78" i="8"/>
  <c r="BT204" i="8"/>
  <c r="BX79" i="22"/>
  <c r="BY239" i="22"/>
  <c r="BR177" i="7"/>
  <c r="BV76" i="7"/>
  <c r="BU199" i="7"/>
  <c r="CB170" i="9"/>
  <c r="CB171" i="9"/>
  <c r="BR207" i="8"/>
  <c r="CA184" i="22"/>
  <c r="CB70" i="22"/>
  <c r="CB207" i="22"/>
  <c r="CB239" i="22"/>
  <c r="BV63" i="10"/>
  <c r="BW231" i="10"/>
  <c r="CA172" i="9"/>
  <c r="CA232" i="9"/>
  <c r="CL147" i="10"/>
  <c r="BV127" i="11"/>
  <c r="U19" i="38"/>
  <c r="AD52" i="38"/>
  <c r="C85" i="38"/>
  <c r="R24" i="2"/>
  <c r="D24" i="20"/>
  <c r="C20" i="38"/>
  <c r="N12" i="39"/>
  <c r="D12" i="39"/>
  <c r="P22" i="20"/>
  <c r="Q22" i="20"/>
  <c r="BV109" i="11"/>
  <c r="BV110" i="11"/>
  <c r="BV111" i="11"/>
  <c r="BV112" i="11"/>
  <c r="BW40" i="11"/>
  <c r="BT124" i="10"/>
  <c r="BT125" i="10"/>
  <c r="BT126" i="10"/>
  <c r="BT127" i="10"/>
  <c r="BU46" i="10"/>
  <c r="BU48" i="10"/>
  <c r="BT129" i="10"/>
  <c r="BT130" i="10"/>
  <c r="BT131" i="10"/>
  <c r="BT132" i="10"/>
  <c r="BV44" i="10"/>
  <c r="BU119" i="10"/>
  <c r="BU120" i="10"/>
  <c r="BU121" i="10"/>
  <c r="BU122" i="10"/>
  <c r="BT139" i="10"/>
  <c r="BT140" i="10"/>
  <c r="BT141" i="10"/>
  <c r="BT142" i="10"/>
  <c r="BU52" i="10"/>
  <c r="BU34" i="10"/>
  <c r="BT94" i="10"/>
  <c r="BT95" i="10"/>
  <c r="BT96" i="10"/>
  <c r="BT97" i="10"/>
  <c r="BU38" i="10"/>
  <c r="BT104" i="10"/>
  <c r="BT105" i="10"/>
  <c r="BT106" i="10"/>
  <c r="BT107" i="10"/>
  <c r="BU42" i="10"/>
  <c r="BT114" i="10"/>
  <c r="BT115" i="10"/>
  <c r="BT116" i="10"/>
  <c r="BT117" i="10"/>
  <c r="BU32" i="10"/>
  <c r="BT89" i="10"/>
  <c r="BT90" i="10"/>
  <c r="BT91" i="10"/>
  <c r="BT92" i="10"/>
  <c r="BT84" i="10"/>
  <c r="BT85" i="10"/>
  <c r="BT86" i="10"/>
  <c r="BT87" i="10"/>
  <c r="BU30" i="10"/>
  <c r="BU40" i="10"/>
  <c r="BT109" i="10"/>
  <c r="BT110" i="10"/>
  <c r="BT111" i="10"/>
  <c r="BT112" i="10"/>
  <c r="BU42" i="22"/>
  <c r="BT114" i="22"/>
  <c r="BT115" i="22"/>
  <c r="BT116" i="22"/>
  <c r="BT117" i="22"/>
  <c r="BU50" i="22"/>
  <c r="BT134" i="22"/>
  <c r="BT135" i="22"/>
  <c r="BT136" i="22"/>
  <c r="BT137" i="22"/>
  <c r="BU124" i="22"/>
  <c r="BU125" i="22"/>
  <c r="BU126" i="22"/>
  <c r="BU127" i="22"/>
  <c r="BV46" i="22"/>
  <c r="BU139" i="22"/>
  <c r="BU140" i="22"/>
  <c r="BU141" i="22"/>
  <c r="BU142" i="22"/>
  <c r="BV52" i="22"/>
  <c r="BU134" i="8"/>
  <c r="BU135" i="8"/>
  <c r="BU136" i="8"/>
  <c r="BU137" i="8"/>
  <c r="BV50" i="8"/>
  <c r="BT124" i="8"/>
  <c r="BT125" i="8"/>
  <c r="BT126" i="8"/>
  <c r="BT127" i="8"/>
  <c r="BU46" i="8"/>
  <c r="BK75" i="7"/>
  <c r="BL237" i="7"/>
  <c r="BX190" i="8"/>
  <c r="BX191" i="8"/>
  <c r="A76" i="2"/>
  <c r="A196" i="2"/>
  <c r="BW196" i="2"/>
  <c r="BM67" i="11"/>
  <c r="BN233" i="11"/>
  <c r="Y69" i="11"/>
  <c r="Z234" i="11"/>
  <c r="BS191" i="9"/>
  <c r="BS190" i="9"/>
  <c r="BO77" i="8"/>
  <c r="BP238" i="8"/>
  <c r="AW31" i="22"/>
  <c r="AX215" i="22"/>
  <c r="AT65" i="7"/>
  <c r="AU232" i="7"/>
  <c r="BL71" i="7"/>
  <c r="BM235" i="7"/>
  <c r="J73" i="7"/>
  <c r="K236" i="7"/>
  <c r="T65" i="11"/>
  <c r="U232" i="11"/>
  <c r="AE194" i="2"/>
  <c r="AD73" i="2"/>
  <c r="BE73" i="2"/>
  <c r="CF73" i="2"/>
  <c r="BF194" i="2"/>
  <c r="BA53" i="11"/>
  <c r="BB226" i="11"/>
  <c r="BR202" i="9"/>
  <c r="BR192" i="9"/>
  <c r="BG71" i="9"/>
  <c r="BH235" i="9"/>
  <c r="BT199" i="9"/>
  <c r="BU76" i="9"/>
  <c r="AV73" i="2"/>
  <c r="AW194" i="2"/>
  <c r="BJ75" i="10"/>
  <c r="BK237" i="10"/>
  <c r="BH81" i="7"/>
  <c r="BI240" i="7"/>
  <c r="BZ167" i="7"/>
  <c r="AZ73" i="10"/>
  <c r="BA236" i="10"/>
  <c r="U73" i="2"/>
  <c r="W73" i="2"/>
  <c r="V194" i="2"/>
  <c r="BN73" i="2"/>
  <c r="BO194" i="2"/>
  <c r="BY189" i="8"/>
  <c r="BZ72" i="8"/>
  <c r="BN69" i="8"/>
  <c r="BO234" i="8"/>
  <c r="BQ61" i="8"/>
  <c r="BR230" i="8"/>
  <c r="L65" i="8"/>
  <c r="M232" i="8"/>
  <c r="BI69" i="9"/>
  <c r="BJ234" i="9"/>
  <c r="BN195" i="2"/>
  <c r="U195" i="2"/>
  <c r="AM195" i="2"/>
  <c r="BE195" i="2"/>
  <c r="AD195" i="2"/>
  <c r="L195" i="2"/>
  <c r="C195" i="2"/>
  <c r="AV195" i="2"/>
  <c r="C73" i="2"/>
  <c r="D194" i="2"/>
  <c r="BM81" i="11"/>
  <c r="BN240" i="11"/>
  <c r="BH65" i="22"/>
  <c r="BI232" i="22"/>
  <c r="BJ81" i="22"/>
  <c r="BK240" i="22"/>
  <c r="BD69" i="7"/>
  <c r="BE234" i="7"/>
  <c r="BJ75" i="8"/>
  <c r="BK237" i="8"/>
  <c r="BG57" i="10"/>
  <c r="BH228" i="10"/>
  <c r="BM61" i="22"/>
  <c r="BN230" i="22"/>
  <c r="BS200" i="9"/>
  <c r="BS201" i="9"/>
  <c r="BU72" i="9"/>
  <c r="BT189" i="9"/>
  <c r="BT89" i="22"/>
  <c r="BT90" i="22"/>
  <c r="BT91" i="22"/>
  <c r="BT92" i="22"/>
  <c r="BU32" i="22"/>
  <c r="BH79" i="10"/>
  <c r="BI239" i="10"/>
  <c r="BL67" i="8"/>
  <c r="BM233" i="8"/>
  <c r="BE49" i="11"/>
  <c r="BF224" i="11"/>
  <c r="BF81" i="9"/>
  <c r="BG240" i="9"/>
  <c r="BL69" i="22"/>
  <c r="BM234" i="22"/>
  <c r="L73" i="2"/>
  <c r="N73" i="2"/>
  <c r="O73" i="2"/>
  <c r="M194" i="2"/>
  <c r="AM73" i="2"/>
  <c r="AN194" i="2"/>
  <c r="BJ75" i="22"/>
  <c r="BK237" i="22"/>
  <c r="BO73" i="11"/>
  <c r="BP236" i="11"/>
  <c r="X63" i="11"/>
  <c r="Y231" i="11"/>
  <c r="U48" i="30"/>
  <c r="W48" i="30"/>
  <c r="V48" i="30"/>
  <c r="BT114" i="8"/>
  <c r="BT115" i="8"/>
  <c r="BT116" i="8"/>
  <c r="BT117" i="8"/>
  <c r="BU42" i="8"/>
  <c r="BY94" i="8"/>
  <c r="BY95" i="8"/>
  <c r="BY96" i="8"/>
  <c r="BY97" i="8"/>
  <c r="BZ34" i="8"/>
  <c r="BT119" i="8"/>
  <c r="BT120" i="8"/>
  <c r="BT121" i="8"/>
  <c r="BT122" i="8"/>
  <c r="BU44" i="8"/>
  <c r="CA165" i="7"/>
  <c r="CA166" i="7"/>
  <c r="CB164" i="7"/>
  <c r="CB63" i="7"/>
  <c r="CA63" i="7"/>
  <c r="BZ63" i="7"/>
  <c r="BY63" i="7"/>
  <c r="BU32" i="11"/>
  <c r="BT89" i="11"/>
  <c r="BT90" i="11"/>
  <c r="BT91" i="11"/>
  <c r="BT92" i="11"/>
  <c r="BU84" i="9"/>
  <c r="BU85" i="9"/>
  <c r="BU86" i="9"/>
  <c r="BU87" i="9"/>
  <c r="BV30" i="9"/>
  <c r="BT139" i="9"/>
  <c r="BT140" i="9"/>
  <c r="BT141" i="9"/>
  <c r="BT142" i="9"/>
  <c r="BU52" i="9"/>
  <c r="BW30" i="1"/>
  <c r="BV86" i="1"/>
  <c r="BV87" i="1"/>
  <c r="BV88" i="1"/>
  <c r="BV89" i="1"/>
  <c r="BT141" i="1"/>
  <c r="BT142" i="1"/>
  <c r="BT143" i="1"/>
  <c r="BT144" i="1"/>
  <c r="BU52" i="1"/>
  <c r="BU64" i="1"/>
  <c r="BT171" i="1"/>
  <c r="BT172" i="1"/>
  <c r="BT173" i="1"/>
  <c r="BT174" i="1"/>
  <c r="BT131" i="1"/>
  <c r="BT132" i="1"/>
  <c r="BT133" i="1"/>
  <c r="BT134" i="1"/>
  <c r="BU48" i="1"/>
  <c r="BW32" i="1"/>
  <c r="BV91" i="1"/>
  <c r="BV92" i="1"/>
  <c r="BV93" i="1"/>
  <c r="BV94" i="1"/>
  <c r="BU58" i="1"/>
  <c r="BT156" i="1"/>
  <c r="BT157" i="1"/>
  <c r="BT158" i="1"/>
  <c r="BT159" i="1"/>
  <c r="BU34" i="1"/>
  <c r="BT96" i="1"/>
  <c r="BU68" i="1"/>
  <c r="BT181" i="1"/>
  <c r="BT182" i="1"/>
  <c r="BT183" i="1"/>
  <c r="BT184" i="1"/>
  <c r="BU50" i="1"/>
  <c r="BT136" i="1"/>
  <c r="BT137" i="1"/>
  <c r="BT138" i="1"/>
  <c r="BT139" i="1"/>
  <c r="AE19" i="2"/>
  <c r="AF19" i="2"/>
  <c r="AE82" i="2"/>
  <c r="AE90" i="2"/>
  <c r="AE46" i="2"/>
  <c r="AF46" i="2"/>
  <c r="AE39" i="2"/>
  <c r="AF39" i="2"/>
  <c r="AE60" i="2"/>
  <c r="AF60" i="2"/>
  <c r="AE70" i="2"/>
  <c r="AF70" i="2"/>
  <c r="AE41" i="2"/>
  <c r="AF41" i="2"/>
  <c r="AE16" i="2"/>
  <c r="AF16" i="2"/>
  <c r="AE28" i="2"/>
  <c r="AF28" i="2"/>
  <c r="AE89" i="2"/>
  <c r="AE54" i="2"/>
  <c r="AF54" i="2"/>
  <c r="AE47" i="2"/>
  <c r="AF47" i="2"/>
  <c r="AE100" i="2"/>
  <c r="AE96" i="2"/>
  <c r="AE108" i="2"/>
  <c r="AE27" i="2"/>
  <c r="AF27" i="2"/>
  <c r="AE53" i="2"/>
  <c r="AF53" i="2"/>
  <c r="AE36" i="2"/>
  <c r="AF36" i="2"/>
  <c r="AE18" i="2"/>
  <c r="AF18" i="2"/>
  <c r="AE59" i="2"/>
  <c r="AF59" i="2"/>
  <c r="AE71" i="2"/>
  <c r="AF71" i="2"/>
  <c r="AE91" i="2"/>
  <c r="AE64" i="2"/>
  <c r="AF64" i="2"/>
  <c r="AE15" i="2"/>
  <c r="AF15" i="2"/>
  <c r="AE34" i="2"/>
  <c r="AF34" i="2"/>
  <c r="AE87" i="2"/>
  <c r="AE93" i="2"/>
  <c r="AE99" i="2"/>
  <c r="AE26" i="2"/>
  <c r="AF26" i="2"/>
  <c r="AE50" i="2"/>
  <c r="AF50" i="2"/>
  <c r="AE73" i="2"/>
  <c r="AE85" i="2"/>
  <c r="AE74" i="2"/>
  <c r="AE61" i="2"/>
  <c r="AF61" i="2"/>
  <c r="AE63" i="2"/>
  <c r="AF63" i="2"/>
  <c r="AE44" i="2"/>
  <c r="AF44" i="2"/>
  <c r="AE55" i="2"/>
  <c r="AF55" i="2"/>
  <c r="AE104" i="2"/>
  <c r="AE32" i="2"/>
  <c r="AF32" i="2"/>
  <c r="AE35" i="2"/>
  <c r="AF35" i="2"/>
  <c r="AE78" i="2"/>
  <c r="AE72" i="2"/>
  <c r="AF72" i="2"/>
  <c r="AE111" i="2"/>
  <c r="AE81" i="2"/>
  <c r="AE45" i="2"/>
  <c r="AF45" i="2"/>
  <c r="AE49" i="2"/>
  <c r="AF49" i="2"/>
  <c r="AE66" i="2"/>
  <c r="AF66" i="2"/>
  <c r="AE51" i="2"/>
  <c r="AF51" i="2"/>
  <c r="AE107" i="2"/>
  <c r="AE112" i="2"/>
  <c r="AE67" i="2"/>
  <c r="AF67" i="2"/>
  <c r="AE48" i="2"/>
  <c r="AF48" i="2"/>
  <c r="AE57" i="2"/>
  <c r="AF57" i="2"/>
  <c r="AE52" i="2"/>
  <c r="AF52" i="2"/>
  <c r="AE68" i="2"/>
  <c r="AF68" i="2"/>
  <c r="AE56" i="2"/>
  <c r="AF56" i="2"/>
  <c r="AE58" i="2"/>
  <c r="AF58" i="2"/>
  <c r="AE86" i="2"/>
  <c r="AE77" i="2"/>
  <c r="AE75" i="2"/>
  <c r="AE97" i="2"/>
  <c r="AE80" i="2"/>
  <c r="AE79" i="2"/>
  <c r="AE94" i="2"/>
  <c r="AE30" i="2"/>
  <c r="AF30" i="2"/>
  <c r="AE105" i="2"/>
  <c r="AE37" i="2"/>
  <c r="AF37" i="2"/>
  <c r="AE101" i="2"/>
  <c r="AE31" i="2"/>
  <c r="AF31" i="2"/>
  <c r="AE110" i="2"/>
  <c r="AE20" i="2"/>
  <c r="AF20" i="2"/>
  <c r="AE43" i="2"/>
  <c r="AF43" i="2"/>
  <c r="AE106" i="2"/>
  <c r="AE21" i="2"/>
  <c r="AF21" i="2"/>
  <c r="AE84" i="2"/>
  <c r="AE76" i="2"/>
  <c r="AE40" i="2"/>
  <c r="AF40" i="2"/>
  <c r="AE17" i="2"/>
  <c r="AF17" i="2"/>
  <c r="AE42" i="2"/>
  <c r="AF42" i="2"/>
  <c r="AE114" i="2"/>
  <c r="AE103" i="2"/>
  <c r="AE29" i="2"/>
  <c r="AF29" i="2"/>
  <c r="AE38" i="2"/>
  <c r="AF38" i="2"/>
  <c r="AE113" i="2"/>
  <c r="AE102" i="2"/>
  <c r="AE22" i="2"/>
  <c r="AF22" i="2"/>
  <c r="AG22" i="2"/>
  <c r="AI22" i="2"/>
  <c r="AE33" i="2"/>
  <c r="AF33" i="2"/>
  <c r="AG33" i="2"/>
  <c r="AI33" i="2"/>
  <c r="AE88" i="2"/>
  <c r="AE23" i="2"/>
  <c r="AF23" i="2"/>
  <c r="AE62" i="2"/>
  <c r="AF62" i="2"/>
  <c r="AE24" i="2"/>
  <c r="AF24" i="2"/>
  <c r="AE98" i="2"/>
  <c r="AE25" i="2"/>
  <c r="AF25" i="2"/>
  <c r="AE109" i="2"/>
  <c r="AE69" i="2"/>
  <c r="AF69" i="2"/>
  <c r="AG69" i="2"/>
  <c r="AE65" i="2"/>
  <c r="AF65" i="2"/>
  <c r="AE95" i="2"/>
  <c r="AE92" i="2"/>
  <c r="AE83" i="2"/>
  <c r="X64" i="2"/>
  <c r="BT219" i="1"/>
  <c r="BV44" i="22"/>
  <c r="BU119" i="22"/>
  <c r="BU120" i="22"/>
  <c r="BU121" i="22"/>
  <c r="BU122" i="22"/>
  <c r="BS94" i="6"/>
  <c r="BS95" i="6"/>
  <c r="BT83" i="6"/>
  <c r="BT84" i="6"/>
  <c r="BT85" i="6"/>
  <c r="BT86" i="6"/>
  <c r="BU24" i="6"/>
  <c r="BT103" i="6"/>
  <c r="BT104" i="6"/>
  <c r="BT105" i="6"/>
  <c r="BT106" i="6"/>
  <c r="BU32" i="6"/>
  <c r="BU36" i="6"/>
  <c r="BT113" i="6"/>
  <c r="BT114" i="6"/>
  <c r="BT115" i="6"/>
  <c r="BT116" i="6"/>
  <c r="BU128" i="6"/>
  <c r="BU129" i="6"/>
  <c r="BU130" i="6"/>
  <c r="BU131" i="6"/>
  <c r="BV42" i="6"/>
  <c r="BR81" i="6"/>
  <c r="BU34" i="6"/>
  <c r="BT108" i="6"/>
  <c r="BT109" i="6"/>
  <c r="BT110" i="6"/>
  <c r="BT111" i="6"/>
  <c r="BT93" i="6"/>
  <c r="BT94" i="6"/>
  <c r="BT95" i="6"/>
  <c r="BT96" i="6"/>
  <c r="BU28" i="6"/>
  <c r="BS84" i="6"/>
  <c r="BS85" i="6"/>
  <c r="BT78" i="6"/>
  <c r="BT79" i="6"/>
  <c r="BT80" i="6"/>
  <c r="BT81" i="6"/>
  <c r="BU22" i="6"/>
  <c r="BV30" i="6"/>
  <c r="BU98" i="6"/>
  <c r="BU99" i="6"/>
  <c r="BU100" i="6"/>
  <c r="BU101" i="6"/>
  <c r="BU40" i="6"/>
  <c r="BT123" i="6"/>
  <c r="BT124" i="6"/>
  <c r="BT125" i="6"/>
  <c r="BT126" i="6"/>
  <c r="BT133" i="6"/>
  <c r="BT134" i="6"/>
  <c r="BT135" i="6"/>
  <c r="BT136" i="6"/>
  <c r="BU44" i="6"/>
  <c r="BU26" i="6"/>
  <c r="BT88" i="6"/>
  <c r="BT89" i="6"/>
  <c r="BT90" i="6"/>
  <c r="BT91" i="6"/>
  <c r="BT114" i="1"/>
  <c r="BR169" i="1"/>
  <c r="BX80" i="1"/>
  <c r="BW211" i="1"/>
  <c r="BW212" i="1"/>
  <c r="BW213" i="1"/>
  <c r="BW214" i="1"/>
  <c r="BU218" i="1"/>
  <c r="BU217" i="1"/>
  <c r="BV212" i="1"/>
  <c r="BV213" i="1"/>
  <c r="BV214" i="1"/>
  <c r="BU42" i="1"/>
  <c r="BT116" i="1"/>
  <c r="BT117" i="1"/>
  <c r="BT118" i="1"/>
  <c r="BT119" i="1"/>
  <c r="BW82" i="1"/>
  <c r="BV216" i="1"/>
  <c r="BR146" i="6"/>
  <c r="BS147" i="8"/>
  <c r="BX154" i="1"/>
  <c r="BR189" i="1"/>
  <c r="BV36" i="8"/>
  <c r="BU99" i="8"/>
  <c r="BU100" i="8"/>
  <c r="BU101" i="8"/>
  <c r="BU102" i="8"/>
  <c r="BY38" i="8"/>
  <c r="BX104" i="8"/>
  <c r="BX105" i="8"/>
  <c r="BX106" i="8"/>
  <c r="BX107" i="8"/>
  <c r="X57" i="2"/>
  <c r="BV44" i="11"/>
  <c r="BU119" i="11"/>
  <c r="BT120" i="11"/>
  <c r="BT121" i="11"/>
  <c r="X59" i="2"/>
  <c r="X52" i="2"/>
  <c r="X35" i="2"/>
  <c r="Z35" i="2"/>
  <c r="X40" i="2"/>
  <c r="Z40" i="2"/>
  <c r="X67" i="2"/>
  <c r="X54" i="2"/>
  <c r="X69" i="2"/>
  <c r="X19" i="2"/>
  <c r="Z19" i="2"/>
  <c r="X56" i="2"/>
  <c r="X63" i="2"/>
  <c r="X49" i="2"/>
  <c r="X38" i="2"/>
  <c r="Z38" i="2"/>
  <c r="X16" i="2"/>
  <c r="Z16" i="2"/>
  <c r="X30" i="2"/>
  <c r="Z30" i="2"/>
  <c r="X45" i="2"/>
  <c r="X48" i="2"/>
  <c r="X68" i="2"/>
  <c r="X29" i="2"/>
  <c r="Z29" i="2"/>
  <c r="X18" i="2"/>
  <c r="Z18" i="2"/>
  <c r="X22" i="2"/>
  <c r="Z22" i="2"/>
  <c r="X17" i="2"/>
  <c r="Z17" i="2"/>
  <c r="X25" i="2"/>
  <c r="Z25" i="2"/>
  <c r="X41" i="2"/>
  <c r="Z41" i="2"/>
  <c r="X58" i="2"/>
  <c r="X61" i="2"/>
  <c r="R49" i="36"/>
  <c r="S50" i="36"/>
  <c r="AF33" i="26"/>
  <c r="AF34" i="26"/>
  <c r="S51" i="36"/>
  <c r="X65" i="2"/>
  <c r="X33" i="2"/>
  <c r="Z33" i="2"/>
  <c r="X24" i="2"/>
  <c r="Z24" i="2"/>
  <c r="X43" i="2"/>
  <c r="Z43" i="2"/>
  <c r="X39" i="2"/>
  <c r="Z39" i="2"/>
  <c r="X34" i="2"/>
  <c r="Z34" i="2"/>
  <c r="X20" i="2"/>
  <c r="Z20" i="2"/>
  <c r="X70" i="2"/>
  <c r="X47" i="2"/>
  <c r="X66" i="2"/>
  <c r="X50" i="2"/>
  <c r="X26" i="2"/>
  <c r="Z26" i="2"/>
  <c r="X31" i="2"/>
  <c r="Z31" i="2"/>
  <c r="X51" i="2"/>
  <c r="X42" i="2"/>
  <c r="Z42" i="2"/>
  <c r="X36" i="2"/>
  <c r="Z36" i="2"/>
  <c r="X62" i="2"/>
  <c r="X44" i="2"/>
  <c r="AA15" i="2"/>
  <c r="E15" i="20"/>
  <c r="X15" i="2"/>
  <c r="Z15" i="2"/>
  <c r="X55" i="2"/>
  <c r="X37" i="2"/>
  <c r="Z37" i="2"/>
  <c r="X46" i="2"/>
  <c r="X60" i="2"/>
  <c r="X27" i="2"/>
  <c r="Z27" i="2"/>
  <c r="X28" i="2"/>
  <c r="Z28" i="2"/>
  <c r="X53" i="2"/>
  <c r="BT129" i="22"/>
  <c r="BT130" i="22"/>
  <c r="BT131" i="22"/>
  <c r="BT132" i="22"/>
  <c r="BU48" i="22"/>
  <c r="BU104" i="22"/>
  <c r="BU105" i="22"/>
  <c r="BU106" i="22"/>
  <c r="BU107" i="22"/>
  <c r="BV38" i="22"/>
  <c r="BU34" i="22"/>
  <c r="BT94" i="22"/>
  <c r="BT95" i="22"/>
  <c r="BT96" i="22"/>
  <c r="BT97" i="22"/>
  <c r="BT94" i="7"/>
  <c r="BT95" i="7"/>
  <c r="BT96" i="7"/>
  <c r="BT97" i="7"/>
  <c r="BU34" i="7"/>
  <c r="BV38" i="7"/>
  <c r="BU104" i="7"/>
  <c r="BU105" i="7"/>
  <c r="BU106" i="7"/>
  <c r="BU107" i="7"/>
  <c r="BU99" i="7"/>
  <c r="BU100" i="7"/>
  <c r="BU101" i="7"/>
  <c r="BU102" i="7"/>
  <c r="BV36" i="7"/>
  <c r="BV30" i="7"/>
  <c r="BU84" i="7"/>
  <c r="BV110" i="7"/>
  <c r="BV111" i="7"/>
  <c r="BV112" i="7"/>
  <c r="BW109" i="7"/>
  <c r="BW110" i="7"/>
  <c r="BW111" i="7"/>
  <c r="BW112" i="7"/>
  <c r="BX40" i="7"/>
  <c r="BU42" i="7"/>
  <c r="BT114" i="7"/>
  <c r="BT115" i="7"/>
  <c r="BT116" i="7"/>
  <c r="BT117" i="7"/>
  <c r="BW118" i="6"/>
  <c r="BW119" i="6"/>
  <c r="BW120" i="6"/>
  <c r="BW121" i="6"/>
  <c r="BX38" i="6"/>
  <c r="BV119" i="6"/>
  <c r="BV120" i="6"/>
  <c r="BV121" i="6"/>
  <c r="BS114" i="9"/>
  <c r="BS115" i="9"/>
  <c r="BS116" i="9"/>
  <c r="BS117" i="9"/>
  <c r="BT42" i="9"/>
  <c r="BX144" i="9"/>
  <c r="BY54" i="9"/>
  <c r="BW104" i="9"/>
  <c r="BW105" i="9"/>
  <c r="BW106" i="9"/>
  <c r="BW107" i="9"/>
  <c r="BX38" i="9"/>
  <c r="BU46" i="9"/>
  <c r="BT124" i="9"/>
  <c r="BT125" i="9"/>
  <c r="BT126" i="9"/>
  <c r="BT127" i="9"/>
  <c r="BT94" i="9"/>
  <c r="BT95" i="9"/>
  <c r="BT96" i="9"/>
  <c r="BT97" i="9"/>
  <c r="BU34" i="9"/>
  <c r="BU134" i="9"/>
  <c r="BU135" i="9"/>
  <c r="BU136" i="9"/>
  <c r="BU137" i="9"/>
  <c r="BV50" i="9"/>
  <c r="BT149" i="9"/>
  <c r="BU56" i="9"/>
  <c r="BT129" i="9"/>
  <c r="BT130" i="9"/>
  <c r="BT131" i="9"/>
  <c r="BT132" i="9"/>
  <c r="BU48" i="9"/>
  <c r="BS150" i="9"/>
  <c r="BS151" i="9"/>
  <c r="BS152" i="9"/>
  <c r="BW32" i="9"/>
  <c r="BV89" i="9"/>
  <c r="BV90" i="9"/>
  <c r="BV91" i="9"/>
  <c r="BV92" i="9"/>
  <c r="BU44" i="9"/>
  <c r="BT119" i="9"/>
  <c r="BT120" i="9"/>
  <c r="BT121" i="9"/>
  <c r="BT122" i="9"/>
  <c r="BU177" i="1"/>
  <c r="BU178" i="1"/>
  <c r="BU179" i="1"/>
  <c r="BV60" i="1"/>
  <c r="BU161" i="1"/>
  <c r="BU74" i="1"/>
  <c r="BT196" i="1"/>
  <c r="BT197" i="1"/>
  <c r="BT198" i="1"/>
  <c r="BT199" i="1"/>
  <c r="BW76" i="1"/>
  <c r="BV201" i="1"/>
  <c r="BV202" i="1"/>
  <c r="BV203" i="1"/>
  <c r="BV204" i="1"/>
  <c r="CA56" i="1"/>
  <c r="BZ151" i="1"/>
  <c r="BZ152" i="1"/>
  <c r="BZ153" i="1"/>
  <c r="BZ154" i="1"/>
  <c r="BW66" i="1"/>
  <c r="BV176" i="1"/>
  <c r="BV177" i="1"/>
  <c r="BV178" i="1"/>
  <c r="BV179" i="1"/>
  <c r="BT162" i="1"/>
  <c r="BT163" i="1"/>
  <c r="BT164" i="1"/>
  <c r="BU78" i="1"/>
  <c r="BT206" i="1"/>
  <c r="BT207" i="1"/>
  <c r="BT208" i="1"/>
  <c r="BT209" i="1"/>
  <c r="BU70" i="1"/>
  <c r="BT186" i="1"/>
  <c r="BT187" i="1"/>
  <c r="BT188" i="1"/>
  <c r="BT189" i="1"/>
  <c r="BV72" i="1"/>
  <c r="BU191" i="1"/>
  <c r="BU192" i="1"/>
  <c r="BU193" i="1"/>
  <c r="BU194" i="1"/>
  <c r="S45" i="37"/>
  <c r="AK28" i="26"/>
  <c r="R44" i="37"/>
  <c r="CA42" i="11"/>
  <c r="BZ114" i="11"/>
  <c r="BY115" i="11"/>
  <c r="BY116" i="11"/>
  <c r="BY117" i="11"/>
  <c r="U51" i="34"/>
  <c r="R51" i="35"/>
  <c r="S51" i="35"/>
  <c r="BW85" i="11"/>
  <c r="BW86" i="11"/>
  <c r="BW87" i="11"/>
  <c r="BY30" i="11"/>
  <c r="BX84" i="11"/>
  <c r="BT105" i="11"/>
  <c r="BT106" i="11"/>
  <c r="BU100" i="11"/>
  <c r="BU101" i="11"/>
  <c r="BU102" i="11"/>
  <c r="BS107" i="11"/>
  <c r="BV38" i="11"/>
  <c r="BU104" i="11"/>
  <c r="BV99" i="11"/>
  <c r="BW36" i="11"/>
  <c r="BU134" i="10"/>
  <c r="BV50" i="10"/>
  <c r="BT135" i="10"/>
  <c r="BT136" i="10"/>
  <c r="BV36" i="10"/>
  <c r="BU99" i="10"/>
  <c r="BT100" i="10"/>
  <c r="BT101" i="10"/>
  <c r="BT102" i="10"/>
  <c r="BT154" i="22"/>
  <c r="BU58" i="22"/>
  <c r="BS155" i="22"/>
  <c r="BS156" i="22"/>
  <c r="BS157" i="22"/>
  <c r="BT110" i="22"/>
  <c r="BT111" i="22"/>
  <c r="BT112" i="22"/>
  <c r="BU99" i="22"/>
  <c r="BV36" i="22"/>
  <c r="BV54" i="22"/>
  <c r="BU144" i="22"/>
  <c r="BT145" i="22"/>
  <c r="BT146" i="22"/>
  <c r="BT147" i="22"/>
  <c r="BT100" i="22"/>
  <c r="BT101" i="22"/>
  <c r="BT102" i="22"/>
  <c r="BV40" i="22"/>
  <c r="BU109" i="22"/>
  <c r="BV150" i="8"/>
  <c r="BV151" i="8"/>
  <c r="BV152" i="8"/>
  <c r="BW149" i="8"/>
  <c r="BX56" i="8"/>
  <c r="BT145" i="8"/>
  <c r="BT146" i="8"/>
  <c r="BT147" i="8"/>
  <c r="BU144" i="8"/>
  <c r="BV54" i="8"/>
  <c r="BT129" i="8"/>
  <c r="BU48" i="8"/>
  <c r="BT139" i="8"/>
  <c r="BU52" i="8"/>
  <c r="BS90" i="8"/>
  <c r="BS91" i="8"/>
  <c r="BS92" i="8"/>
  <c r="BS130" i="8"/>
  <c r="BS131" i="8"/>
  <c r="BS132" i="8"/>
  <c r="BS84" i="8"/>
  <c r="BT30" i="8"/>
  <c r="BU32" i="8"/>
  <c r="BT89" i="8"/>
  <c r="BR85" i="8"/>
  <c r="BR86" i="8"/>
  <c r="BR87" i="8"/>
  <c r="BT109" i="8"/>
  <c r="BU40" i="8"/>
  <c r="BS140" i="8"/>
  <c r="BS141" i="8"/>
  <c r="BS142" i="8"/>
  <c r="BS110" i="8"/>
  <c r="BS111" i="8"/>
  <c r="BS112" i="8"/>
  <c r="BT144" i="7"/>
  <c r="BU54" i="7"/>
  <c r="BS145" i="7"/>
  <c r="BS146" i="7"/>
  <c r="BS147" i="7"/>
  <c r="BS140" i="7"/>
  <c r="BS141" i="7"/>
  <c r="BS142" i="7"/>
  <c r="BT139" i="7"/>
  <c r="BU52" i="7"/>
  <c r="BS135" i="7"/>
  <c r="BS136" i="7"/>
  <c r="BS137" i="7"/>
  <c r="BT134" i="7"/>
  <c r="BU50" i="7"/>
  <c r="CB32" i="7"/>
  <c r="CA89" i="7"/>
  <c r="BV124" i="7"/>
  <c r="BW46" i="7"/>
  <c r="BZ90" i="7"/>
  <c r="BZ91" i="7"/>
  <c r="BZ92" i="7"/>
  <c r="BV120" i="7"/>
  <c r="BV121" i="7"/>
  <c r="BV122" i="7"/>
  <c r="BU125" i="7"/>
  <c r="BU126" i="7"/>
  <c r="BU127" i="7"/>
  <c r="BX44" i="7"/>
  <c r="BW119" i="7"/>
  <c r="BS164" i="6"/>
  <c r="BS165" i="6"/>
  <c r="BS166" i="6"/>
  <c r="BT163" i="6"/>
  <c r="BU56" i="6"/>
  <c r="BU54" i="6"/>
  <c r="BT158" i="6"/>
  <c r="BS159" i="6"/>
  <c r="BS160" i="6"/>
  <c r="BS161" i="6"/>
  <c r="BU52" i="6"/>
  <c r="BT153" i="6"/>
  <c r="BS154" i="6"/>
  <c r="BS155" i="6"/>
  <c r="BS156" i="6"/>
  <c r="BS149" i="6"/>
  <c r="BS150" i="6"/>
  <c r="BS151" i="6"/>
  <c r="BU50" i="6"/>
  <c r="BT148" i="6"/>
  <c r="BT143" i="6"/>
  <c r="BU48" i="6"/>
  <c r="BS144" i="6"/>
  <c r="BS145" i="6"/>
  <c r="BU159" i="9"/>
  <c r="BV60" i="9"/>
  <c r="BT160" i="9"/>
  <c r="BT161" i="9"/>
  <c r="BT162" i="9"/>
  <c r="BU58" i="9"/>
  <c r="BT154" i="9"/>
  <c r="BS155" i="9"/>
  <c r="BS156" i="9"/>
  <c r="BS157" i="9"/>
  <c r="BU99" i="9"/>
  <c r="BV36" i="9"/>
  <c r="BT110" i="9"/>
  <c r="BT111" i="9"/>
  <c r="BT112" i="9"/>
  <c r="BT100" i="9"/>
  <c r="BT101" i="9"/>
  <c r="BT102" i="9"/>
  <c r="BV40" i="9"/>
  <c r="BU109" i="9"/>
  <c r="BS167" i="1"/>
  <c r="BS168" i="1"/>
  <c r="BS169" i="1"/>
  <c r="BT166" i="1"/>
  <c r="BU62" i="1"/>
  <c r="BS147" i="1"/>
  <c r="BS148" i="1"/>
  <c r="BS149" i="1"/>
  <c r="BT126" i="1"/>
  <c r="BU46" i="1"/>
  <c r="BS127" i="1"/>
  <c r="BS128" i="1"/>
  <c r="BS129" i="1"/>
  <c r="BU54" i="1"/>
  <c r="BT146" i="1"/>
  <c r="BW44" i="1"/>
  <c r="BV121" i="1"/>
  <c r="BU122" i="1"/>
  <c r="BU123" i="1"/>
  <c r="BU124" i="1"/>
  <c r="BU112" i="1"/>
  <c r="BU113" i="1"/>
  <c r="BT106" i="1"/>
  <c r="BU38" i="1"/>
  <c r="BW40" i="1"/>
  <c r="BV111" i="1"/>
  <c r="BS107" i="1"/>
  <c r="BS108" i="1"/>
  <c r="BS109" i="1"/>
  <c r="BW36" i="1"/>
  <c r="BV101" i="1"/>
  <c r="BU102" i="1"/>
  <c r="BU103" i="1"/>
  <c r="BU104" i="1"/>
  <c r="AG42" i="2"/>
  <c r="AI42" i="2"/>
  <c r="K48" i="41"/>
  <c r="T48" i="41"/>
  <c r="W48" i="41"/>
  <c r="V48" i="41"/>
  <c r="AP48" i="41"/>
  <c r="BV48" i="7"/>
  <c r="BU129" i="7"/>
  <c r="BU130" i="7"/>
  <c r="BU131" i="7"/>
  <c r="BU132" i="7"/>
  <c r="AR48" i="41"/>
  <c r="AG67" i="2"/>
  <c r="AI48" i="41"/>
  <c r="X48" i="41"/>
  <c r="AA48" i="41"/>
  <c r="AO48" i="41"/>
  <c r="Z48" i="41"/>
  <c r="AB48" i="41"/>
  <c r="AN48" i="41"/>
  <c r="AG48" i="41"/>
  <c r="AK48" i="41"/>
  <c r="AS48" i="41"/>
  <c r="AM48" i="41"/>
  <c r="Y48" i="41"/>
  <c r="AT48" i="41"/>
  <c r="AF48" i="41"/>
  <c r="AJ48" i="41"/>
  <c r="AL48" i="41"/>
  <c r="AC48" i="41"/>
  <c r="AV48" i="41"/>
  <c r="AD48" i="41"/>
  <c r="AH48" i="41"/>
  <c r="AU48" i="41"/>
  <c r="AQ48" i="41"/>
  <c r="BX196" i="2"/>
  <c r="BW75" i="2"/>
  <c r="AZ75" i="9"/>
  <c r="BA237" i="9"/>
  <c r="J59" i="11"/>
  <c r="K229" i="11"/>
  <c r="AG68" i="2"/>
  <c r="AG62" i="2"/>
  <c r="AG48" i="2"/>
  <c r="AG38" i="2"/>
  <c r="AI38" i="2"/>
  <c r="AG58" i="2"/>
  <c r="AF73" i="2"/>
  <c r="AG73" i="2"/>
  <c r="X73" i="2"/>
  <c r="BS182" i="10"/>
  <c r="CM147" i="10"/>
  <c r="BS202" i="11"/>
  <c r="BZ187" i="22"/>
  <c r="BZ207" i="7"/>
  <c r="BS187" i="8"/>
  <c r="BV157" i="7"/>
  <c r="BX207" i="11"/>
  <c r="BW127" i="11"/>
  <c r="BT152" i="11"/>
  <c r="BS137" i="11"/>
  <c r="BQ95" i="40"/>
  <c r="BR324" i="40"/>
  <c r="BP93" i="40"/>
  <c r="BQ323" i="40"/>
  <c r="BK105" i="40"/>
  <c r="BL329" i="40"/>
  <c r="BL97" i="40"/>
  <c r="BM325" i="40"/>
  <c r="BP103" i="40"/>
  <c r="BQ328" i="40"/>
  <c r="BP101" i="40"/>
  <c r="BQ327" i="40"/>
  <c r="BL107" i="40"/>
  <c r="BM330" i="40"/>
  <c r="BP111" i="40"/>
  <c r="BQ332" i="40"/>
  <c r="BP109" i="40"/>
  <c r="BQ331" i="40"/>
  <c r="BJ99" i="40"/>
  <c r="BK326" i="40"/>
  <c r="BQ91" i="40"/>
  <c r="BR309" i="40"/>
  <c r="BQ65" i="40"/>
  <c r="BS317" i="40"/>
  <c r="BR81" i="40"/>
  <c r="BT299" i="40"/>
  <c r="BS45" i="40"/>
  <c r="BT303" i="40"/>
  <c r="BS53" i="40"/>
  <c r="BT322" i="40"/>
  <c r="BS315" i="40"/>
  <c r="BR77" i="40"/>
  <c r="BS310" i="40"/>
  <c r="BR67" i="40"/>
  <c r="BT318" i="40"/>
  <c r="BS83" i="40"/>
  <c r="BT320" i="40"/>
  <c r="BS87" i="40"/>
  <c r="BT305" i="40"/>
  <c r="BS57" i="40"/>
  <c r="BS319" i="40"/>
  <c r="BR85" i="40"/>
  <c r="BT301" i="40"/>
  <c r="BS49" i="40"/>
  <c r="BS297" i="40"/>
  <c r="BR41" i="40"/>
  <c r="BT298" i="40"/>
  <c r="BS43" i="40"/>
  <c r="BT314" i="40"/>
  <c r="BS75" i="40"/>
  <c r="BR311" i="40"/>
  <c r="BQ69" i="40"/>
  <c r="BT304" i="40"/>
  <c r="BS55" i="40"/>
  <c r="BS307" i="40"/>
  <c r="BR61" i="40"/>
  <c r="BR313" i="40"/>
  <c r="BQ73" i="40"/>
  <c r="BT300" i="40"/>
  <c r="BS47" i="40"/>
  <c r="BT306" i="40"/>
  <c r="BS59" i="40"/>
  <c r="BT308" i="40"/>
  <c r="BS63" i="40"/>
  <c r="BT316" i="40"/>
  <c r="BS79" i="40"/>
  <c r="BT312" i="40"/>
  <c r="BS71" i="40"/>
  <c r="BS302" i="40"/>
  <c r="BR51" i="40"/>
  <c r="BS321" i="40"/>
  <c r="BR89" i="40"/>
  <c r="R50" i="35"/>
  <c r="R49" i="35"/>
  <c r="R48" i="35"/>
  <c r="CB184" i="22"/>
  <c r="CB71" i="22"/>
  <c r="CA71" i="22"/>
  <c r="BZ71" i="22"/>
  <c r="BY71" i="22"/>
  <c r="BT206" i="8"/>
  <c r="BT205" i="8"/>
  <c r="BY206" i="11"/>
  <c r="BY205" i="11"/>
  <c r="T240" i="8"/>
  <c r="S81" i="8"/>
  <c r="CN146" i="10"/>
  <c r="CN145" i="10"/>
  <c r="BF67" i="9"/>
  <c r="BG233" i="9"/>
  <c r="BX232" i="9"/>
  <c r="BW65" i="9"/>
  <c r="BV149" i="11"/>
  <c r="BW56" i="11"/>
  <c r="BY63" i="22"/>
  <c r="BZ231" i="22"/>
  <c r="BT200" i="11"/>
  <c r="BT201" i="11"/>
  <c r="BX154" i="7"/>
  <c r="BY58" i="7"/>
  <c r="P55" i="11"/>
  <c r="Q227" i="11"/>
  <c r="BF81" i="10"/>
  <c r="BG240" i="10"/>
  <c r="BX236" i="22"/>
  <c r="BW73" i="22"/>
  <c r="BV66" i="7"/>
  <c r="BU174" i="7"/>
  <c r="BV56" i="22"/>
  <c r="BU149" i="22"/>
  <c r="BU150" i="22"/>
  <c r="BU151" i="22"/>
  <c r="BU152" i="22"/>
  <c r="BZ159" i="7"/>
  <c r="CA60" i="7"/>
  <c r="CA185" i="22"/>
  <c r="CA186" i="22"/>
  <c r="BU204" i="8"/>
  <c r="BV78" i="8"/>
  <c r="CA78" i="11"/>
  <c r="BZ204" i="11"/>
  <c r="BX233" i="10"/>
  <c r="BW67" i="10"/>
  <c r="BX126" i="11"/>
  <c r="BX125" i="11"/>
  <c r="BU150" i="11"/>
  <c r="BU151" i="11"/>
  <c r="BS167" i="9"/>
  <c r="BS177" i="7"/>
  <c r="BT186" i="8"/>
  <c r="BT185" i="8"/>
  <c r="CA206" i="7"/>
  <c r="CA205" i="7"/>
  <c r="BF229" i="10"/>
  <c r="BE59" i="10"/>
  <c r="BY167" i="8"/>
  <c r="BX79" i="9"/>
  <c r="BY239" i="9"/>
  <c r="BU134" i="11"/>
  <c r="BV50" i="11"/>
  <c r="BG232" i="10"/>
  <c r="BF65" i="10"/>
  <c r="BV68" i="10"/>
  <c r="BU179" i="10"/>
  <c r="BY160" i="7"/>
  <c r="BY161" i="7"/>
  <c r="BU63" i="10"/>
  <c r="BV231" i="10"/>
  <c r="BU201" i="7"/>
  <c r="BU200" i="7"/>
  <c r="BX239" i="22"/>
  <c r="BW79" i="22"/>
  <c r="BX162" i="7"/>
  <c r="CA167" i="22"/>
  <c r="CA231" i="22"/>
  <c r="BS235" i="10"/>
  <c r="BR71" i="10"/>
  <c r="BU229" i="8"/>
  <c r="BT59" i="8"/>
  <c r="BZ165" i="8"/>
  <c r="BZ166" i="8"/>
  <c r="BZ46" i="11"/>
  <c r="BY124" i="11"/>
  <c r="BT202" i="7"/>
  <c r="BT200" i="22"/>
  <c r="BT201" i="22"/>
  <c r="BV70" i="8"/>
  <c r="BU184" i="8"/>
  <c r="CB79" i="7"/>
  <c r="CA79" i="7"/>
  <c r="BZ79" i="7"/>
  <c r="CB204" i="7"/>
  <c r="BV60" i="10"/>
  <c r="BU159" i="10"/>
  <c r="BT135" i="11"/>
  <c r="BT136" i="11"/>
  <c r="BV62" i="9"/>
  <c r="BU164" i="9"/>
  <c r="BT201" i="10"/>
  <c r="BT200" i="10"/>
  <c r="BT181" i="10"/>
  <c r="BT180" i="10"/>
  <c r="BS162" i="10"/>
  <c r="CB207" i="9"/>
  <c r="CB239" i="9"/>
  <c r="CB172" i="9"/>
  <c r="CB232" i="9"/>
  <c r="BV199" i="7"/>
  <c r="BW76" i="7"/>
  <c r="BS202" i="22"/>
  <c r="CO144" i="10"/>
  <c r="CP54" i="10"/>
  <c r="CB62" i="8"/>
  <c r="CA164" i="8"/>
  <c r="BK233" i="22"/>
  <c r="BJ67" i="22"/>
  <c r="CB166" i="22"/>
  <c r="CB165" i="22"/>
  <c r="BU199" i="22"/>
  <c r="BV76" i="22"/>
  <c r="BV76" i="11"/>
  <c r="BU199" i="11"/>
  <c r="V61" i="11"/>
  <c r="W230" i="11"/>
  <c r="BS202" i="10"/>
  <c r="BW155" i="7"/>
  <c r="BW156" i="7"/>
  <c r="BT161" i="10"/>
  <c r="BT160" i="10"/>
  <c r="BR237" i="11"/>
  <c r="BQ75" i="11"/>
  <c r="BT165" i="9"/>
  <c r="BT166" i="9"/>
  <c r="BT175" i="7"/>
  <c r="BT176" i="7"/>
  <c r="BV76" i="10"/>
  <c r="BU199" i="10"/>
  <c r="BU138" i="6"/>
  <c r="BU139" i="6"/>
  <c r="BU140" i="6"/>
  <c r="BU141" i="6"/>
  <c r="BV46" i="6"/>
  <c r="BS207" i="8"/>
  <c r="R25" i="2"/>
  <c r="D25" i="20"/>
  <c r="N13" i="39"/>
  <c r="D13" i="39"/>
  <c r="P23" i="20"/>
  <c r="Q23" i="20"/>
  <c r="C21" i="38"/>
  <c r="U20" i="38"/>
  <c r="AD53" i="38"/>
  <c r="C86" i="38"/>
  <c r="BW109" i="11"/>
  <c r="BW110" i="11"/>
  <c r="BW111" i="11"/>
  <c r="BW112" i="11"/>
  <c r="BX40" i="11"/>
  <c r="BV52" i="10"/>
  <c r="BU139" i="10"/>
  <c r="BU140" i="10"/>
  <c r="BU141" i="10"/>
  <c r="BU142" i="10"/>
  <c r="BU109" i="10"/>
  <c r="BU110" i="10"/>
  <c r="BU111" i="10"/>
  <c r="BU112" i="10"/>
  <c r="BV40" i="10"/>
  <c r="BU89" i="10"/>
  <c r="BU90" i="10"/>
  <c r="BU91" i="10"/>
  <c r="BU92" i="10"/>
  <c r="BV32" i="10"/>
  <c r="BV38" i="10"/>
  <c r="BU104" i="10"/>
  <c r="BU105" i="10"/>
  <c r="BU106" i="10"/>
  <c r="BU107" i="10"/>
  <c r="BV48" i="10"/>
  <c r="BU129" i="10"/>
  <c r="BU130" i="10"/>
  <c r="BU131" i="10"/>
  <c r="BU132" i="10"/>
  <c r="BV30" i="10"/>
  <c r="BU84" i="10"/>
  <c r="BU85" i="10"/>
  <c r="BU86" i="10"/>
  <c r="BU87" i="10"/>
  <c r="BU124" i="10"/>
  <c r="BU125" i="10"/>
  <c r="BU126" i="10"/>
  <c r="BU127" i="10"/>
  <c r="BV46" i="10"/>
  <c r="BV42" i="10"/>
  <c r="BU114" i="10"/>
  <c r="BU115" i="10"/>
  <c r="BU116" i="10"/>
  <c r="BU117" i="10"/>
  <c r="BU94" i="10"/>
  <c r="BU95" i="10"/>
  <c r="BU96" i="10"/>
  <c r="BU97" i="10"/>
  <c r="BV34" i="10"/>
  <c r="BV119" i="10"/>
  <c r="BV120" i="10"/>
  <c r="BV121" i="10"/>
  <c r="BV122" i="10"/>
  <c r="BW44" i="10"/>
  <c r="BV124" i="22"/>
  <c r="BV125" i="22"/>
  <c r="BV126" i="22"/>
  <c r="BV127" i="22"/>
  <c r="BW46" i="22"/>
  <c r="BW52" i="22"/>
  <c r="BV139" i="22"/>
  <c r="BV140" i="22"/>
  <c r="BV141" i="22"/>
  <c r="BV142" i="22"/>
  <c r="BV50" i="22"/>
  <c r="BU134" i="22"/>
  <c r="BU135" i="22"/>
  <c r="BU136" i="22"/>
  <c r="BU137" i="22"/>
  <c r="BV42" i="22"/>
  <c r="BU114" i="22"/>
  <c r="BU115" i="22"/>
  <c r="BU116" i="22"/>
  <c r="BU117" i="22"/>
  <c r="BV46" i="8"/>
  <c r="BU124" i="8"/>
  <c r="BU125" i="8"/>
  <c r="BU126" i="8"/>
  <c r="BU127" i="8"/>
  <c r="BV134" i="8"/>
  <c r="BV135" i="8"/>
  <c r="BV136" i="8"/>
  <c r="BV137" i="8"/>
  <c r="BW50" i="8"/>
  <c r="BS192" i="9"/>
  <c r="BS202" i="9"/>
  <c r="C74" i="2"/>
  <c r="D195" i="2"/>
  <c r="BL61" i="22"/>
  <c r="BM230" i="22"/>
  <c r="BI75" i="8"/>
  <c r="BJ237" i="8"/>
  <c r="L74" i="2"/>
  <c r="N74" i="2"/>
  <c r="O74" i="2"/>
  <c r="P5" i="2"/>
  <c r="M195" i="2"/>
  <c r="U74" i="2"/>
  <c r="W74" i="2"/>
  <c r="X74" i="2"/>
  <c r="Y5" i="2"/>
  <c r="Y54" i="2"/>
  <c r="Z54" i="2"/>
  <c r="V195" i="2"/>
  <c r="BP61" i="8"/>
  <c r="BQ230" i="8"/>
  <c r="AY73" i="10"/>
  <c r="AZ236" i="10"/>
  <c r="BI75" i="10"/>
  <c r="BJ237" i="10"/>
  <c r="BV76" i="9"/>
  <c r="BU199" i="9"/>
  <c r="AM196" i="2"/>
  <c r="C196" i="2"/>
  <c r="BN196" i="2"/>
  <c r="BE196" i="2"/>
  <c r="U196" i="2"/>
  <c r="AV196" i="2"/>
  <c r="AD196" i="2"/>
  <c r="L196" i="2"/>
  <c r="BK69" i="22"/>
  <c r="BL234" i="22"/>
  <c r="BG79" i="10"/>
  <c r="BH239" i="10"/>
  <c r="AM74" i="2"/>
  <c r="AN195" i="2"/>
  <c r="AZ53" i="11"/>
  <c r="BA226" i="11"/>
  <c r="I73" i="7"/>
  <c r="J236" i="7"/>
  <c r="BN77" i="8"/>
  <c r="BO238" i="8"/>
  <c r="BL67" i="11"/>
  <c r="BM233" i="11"/>
  <c r="BN73" i="11"/>
  <c r="BO236" i="11"/>
  <c r="BE81" i="9"/>
  <c r="BF240" i="9"/>
  <c r="BK67" i="8"/>
  <c r="BL233" i="8"/>
  <c r="BT190" i="9"/>
  <c r="BT191" i="9"/>
  <c r="BG65" i="22"/>
  <c r="BH232" i="22"/>
  <c r="AD74" i="2"/>
  <c r="AF74" i="2"/>
  <c r="AE195" i="2"/>
  <c r="BN74" i="2"/>
  <c r="BO195" i="2"/>
  <c r="BZ189" i="8"/>
  <c r="CA72" i="8"/>
  <c r="BT200" i="9"/>
  <c r="BT201" i="9"/>
  <c r="BF71" i="9"/>
  <c r="BG235" i="9"/>
  <c r="S65" i="11"/>
  <c r="T232" i="11"/>
  <c r="BK71" i="7"/>
  <c r="BL235" i="7"/>
  <c r="AS65" i="7"/>
  <c r="AT232" i="7"/>
  <c r="X69" i="11"/>
  <c r="Y234" i="11"/>
  <c r="A197" i="2"/>
  <c r="BW197" i="2"/>
  <c r="A77" i="2"/>
  <c r="BJ75" i="7"/>
  <c r="BK237" i="7"/>
  <c r="W63" i="11"/>
  <c r="X231" i="11"/>
  <c r="BI75" i="22"/>
  <c r="BJ237" i="22"/>
  <c r="BD49" i="11"/>
  <c r="BE224" i="11"/>
  <c r="BI81" i="22"/>
  <c r="BJ240" i="22"/>
  <c r="BL81" i="11"/>
  <c r="BM240" i="11"/>
  <c r="BY191" i="8"/>
  <c r="BY190" i="8"/>
  <c r="AV31" i="22"/>
  <c r="AW215" i="22"/>
  <c r="BU89" i="22"/>
  <c r="BU90" i="22"/>
  <c r="BU91" i="22"/>
  <c r="BU92" i="22"/>
  <c r="BV32" i="22"/>
  <c r="BU189" i="9"/>
  <c r="BV72" i="9"/>
  <c r="BF57" i="10"/>
  <c r="BG228" i="10"/>
  <c r="BC69" i="7"/>
  <c r="BD234" i="7"/>
  <c r="AV74" i="2"/>
  <c r="AW195" i="2"/>
  <c r="BE74" i="2"/>
  <c r="CF74" i="2"/>
  <c r="BF195" i="2"/>
  <c r="BH69" i="9"/>
  <c r="BI234" i="9"/>
  <c r="K65" i="8"/>
  <c r="L232" i="8"/>
  <c r="BM69" i="8"/>
  <c r="BN234" i="8"/>
  <c r="BG81" i="7"/>
  <c r="BH240" i="7"/>
  <c r="BX192" i="8"/>
  <c r="AG20" i="2"/>
  <c r="AI20" i="2"/>
  <c r="K48" i="30"/>
  <c r="T48" i="30"/>
  <c r="L48" i="30"/>
  <c r="N48" i="30"/>
  <c r="O48" i="30"/>
  <c r="P48" i="30"/>
  <c r="Q48" i="30"/>
  <c r="AG48" i="30"/>
  <c r="AE48" i="30"/>
  <c r="AS48" i="30"/>
  <c r="AO48" i="30"/>
  <c r="AL48" i="30"/>
  <c r="AA48" i="30"/>
  <c r="AC48" i="30"/>
  <c r="AD48" i="30"/>
  <c r="AN48" i="30"/>
  <c r="AU48" i="30"/>
  <c r="AF48" i="30"/>
  <c r="X48" i="30"/>
  <c r="AB48" i="30"/>
  <c r="AI48" i="30"/>
  <c r="AT48" i="30"/>
  <c r="Z48" i="30"/>
  <c r="AH48" i="30"/>
  <c r="AR48" i="30"/>
  <c r="AK48" i="30"/>
  <c r="AJ48" i="30"/>
  <c r="Y48" i="30"/>
  <c r="AP48" i="30"/>
  <c r="AQ48" i="30"/>
  <c r="AM48" i="30"/>
  <c r="AG31" i="2"/>
  <c r="AI31" i="2"/>
  <c r="AG40" i="2"/>
  <c r="AI40" i="2"/>
  <c r="AG65" i="2"/>
  <c r="AG47" i="2"/>
  <c r="AG23" i="2"/>
  <c r="AI23" i="2"/>
  <c r="AG71" i="2"/>
  <c r="AG51" i="2"/>
  <c r="AG37" i="2"/>
  <c r="AI37" i="2"/>
  <c r="AG17" i="2"/>
  <c r="AI17" i="2"/>
  <c r="AG25" i="2"/>
  <c r="AI25" i="2"/>
  <c r="AG45" i="2"/>
  <c r="AG55" i="2"/>
  <c r="AG30" i="2"/>
  <c r="AI30" i="2"/>
  <c r="AG57" i="2"/>
  <c r="AG53" i="2"/>
  <c r="AG28" i="2"/>
  <c r="AI28" i="2"/>
  <c r="AG60" i="2"/>
  <c r="AG43" i="2"/>
  <c r="AI43" i="2"/>
  <c r="AG19" i="2"/>
  <c r="AI19" i="2"/>
  <c r="BV44" i="8"/>
  <c r="BU119" i="8"/>
  <c r="BU120" i="8"/>
  <c r="BU121" i="8"/>
  <c r="BU122" i="8"/>
  <c r="CA34" i="8"/>
  <c r="BZ94" i="8"/>
  <c r="BZ95" i="8"/>
  <c r="BZ96" i="8"/>
  <c r="BZ97" i="8"/>
  <c r="BV42" i="8"/>
  <c r="BU114" i="8"/>
  <c r="BU115" i="8"/>
  <c r="BU116" i="8"/>
  <c r="BU117" i="8"/>
  <c r="BV32" i="11"/>
  <c r="BU89" i="11"/>
  <c r="BU90" i="11"/>
  <c r="BU91" i="11"/>
  <c r="BU92" i="11"/>
  <c r="CB165" i="7"/>
  <c r="CB166" i="7"/>
  <c r="BX63" i="7"/>
  <c r="BY231" i="7"/>
  <c r="CA167" i="7"/>
  <c r="CA231" i="7"/>
  <c r="BZ231" i="7"/>
  <c r="BU139" i="9"/>
  <c r="BU140" i="9"/>
  <c r="BU141" i="9"/>
  <c r="BU142" i="9"/>
  <c r="BV52" i="9"/>
  <c r="BW30" i="9"/>
  <c r="BV84" i="9"/>
  <c r="BV85" i="9"/>
  <c r="BV86" i="9"/>
  <c r="BV87" i="9"/>
  <c r="BW86" i="1"/>
  <c r="BW87" i="1"/>
  <c r="BW88" i="1"/>
  <c r="BW89" i="1"/>
  <c r="BX30" i="1"/>
  <c r="BV68" i="1"/>
  <c r="BU181" i="1"/>
  <c r="BU182" i="1"/>
  <c r="BU183" i="1"/>
  <c r="BU184" i="1"/>
  <c r="BU96" i="1"/>
  <c r="BU97" i="1"/>
  <c r="BU98" i="1"/>
  <c r="BU99" i="1"/>
  <c r="BV34" i="1"/>
  <c r="BU156" i="1"/>
  <c r="BU157" i="1"/>
  <c r="BU158" i="1"/>
  <c r="BU159" i="1"/>
  <c r="BV58" i="1"/>
  <c r="BW91" i="1"/>
  <c r="BW92" i="1"/>
  <c r="BW93" i="1"/>
  <c r="BW94" i="1"/>
  <c r="BX32" i="1"/>
  <c r="BV64" i="1"/>
  <c r="BU171" i="1"/>
  <c r="BU172" i="1"/>
  <c r="BU173" i="1"/>
  <c r="BU174" i="1"/>
  <c r="BT97" i="1"/>
  <c r="BT98" i="1"/>
  <c r="BT99" i="1"/>
  <c r="BU131" i="1"/>
  <c r="BU132" i="1"/>
  <c r="BU133" i="1"/>
  <c r="BU134" i="1"/>
  <c r="BV48" i="1"/>
  <c r="BU141" i="1"/>
  <c r="BU142" i="1"/>
  <c r="BU143" i="1"/>
  <c r="BU144" i="1"/>
  <c r="BV52" i="1"/>
  <c r="BU136" i="1"/>
  <c r="BU137" i="1"/>
  <c r="BU138" i="1"/>
  <c r="BU139" i="1"/>
  <c r="BV50" i="1"/>
  <c r="AG29" i="2"/>
  <c r="AI29" i="2"/>
  <c r="AG24" i="2"/>
  <c r="AI24" i="2"/>
  <c r="AG66" i="2"/>
  <c r="AG32" i="2"/>
  <c r="AI32" i="2"/>
  <c r="AG63" i="2"/>
  <c r="AG64" i="2"/>
  <c r="AG18" i="2"/>
  <c r="AI18" i="2"/>
  <c r="AG54" i="2"/>
  <c r="AG41" i="2"/>
  <c r="AI41" i="2"/>
  <c r="AG46" i="2"/>
  <c r="AG21" i="2"/>
  <c r="AI21" i="2"/>
  <c r="AG52" i="2"/>
  <c r="AG49" i="2"/>
  <c r="AG72" i="2"/>
  <c r="AG61" i="2"/>
  <c r="AG50" i="2"/>
  <c r="AG36" i="2"/>
  <c r="AI36" i="2"/>
  <c r="AG70" i="2"/>
  <c r="AG26" i="2"/>
  <c r="AI26" i="2"/>
  <c r="AG34" i="2"/>
  <c r="AI34" i="2"/>
  <c r="AG56" i="2"/>
  <c r="AG35" i="2"/>
  <c r="AI35" i="2"/>
  <c r="AG44" i="2"/>
  <c r="AJ15" i="2"/>
  <c r="F15" i="20"/>
  <c r="AG15" i="2"/>
  <c r="AI15" i="2"/>
  <c r="AG59" i="2"/>
  <c r="AG27" i="2"/>
  <c r="AI27" i="2"/>
  <c r="AG16" i="2"/>
  <c r="AI16" i="2"/>
  <c r="AG39" i="2"/>
  <c r="AI39" i="2"/>
  <c r="BU219" i="1"/>
  <c r="BT137" i="10"/>
  <c r="BV119" i="22"/>
  <c r="BV120" i="22"/>
  <c r="BV121" i="22"/>
  <c r="BV122" i="22"/>
  <c r="BW44" i="22"/>
  <c r="BS146" i="6"/>
  <c r="BU88" i="6"/>
  <c r="BU89" i="6"/>
  <c r="BU90" i="6"/>
  <c r="BU91" i="6"/>
  <c r="BV26" i="6"/>
  <c r="BU123" i="6"/>
  <c r="BU124" i="6"/>
  <c r="BU125" i="6"/>
  <c r="BU126" i="6"/>
  <c r="BV40" i="6"/>
  <c r="BW30" i="6"/>
  <c r="BV98" i="6"/>
  <c r="BV99" i="6"/>
  <c r="BV100" i="6"/>
  <c r="BV101" i="6"/>
  <c r="BS86" i="6"/>
  <c r="BU108" i="6"/>
  <c r="BU109" i="6"/>
  <c r="BU110" i="6"/>
  <c r="BU111" i="6"/>
  <c r="BV34" i="6"/>
  <c r="BV128" i="6"/>
  <c r="BV129" i="6"/>
  <c r="BV130" i="6"/>
  <c r="BV131" i="6"/>
  <c r="BW42" i="6"/>
  <c r="BU103" i="6"/>
  <c r="BV32" i="6"/>
  <c r="BV24" i="6"/>
  <c r="BU83" i="6"/>
  <c r="BU84" i="6"/>
  <c r="BU85" i="6"/>
  <c r="BU86" i="6"/>
  <c r="BU133" i="6"/>
  <c r="BU134" i="6"/>
  <c r="BU135" i="6"/>
  <c r="BU136" i="6"/>
  <c r="BV44" i="6"/>
  <c r="BV22" i="6"/>
  <c r="BU78" i="6"/>
  <c r="BU79" i="6"/>
  <c r="BU80" i="6"/>
  <c r="BU81" i="6"/>
  <c r="BU93" i="6"/>
  <c r="BU94" i="6"/>
  <c r="BU95" i="6"/>
  <c r="BU96" i="6"/>
  <c r="BV28" i="6"/>
  <c r="BV36" i="6"/>
  <c r="BU113" i="6"/>
  <c r="BU114" i="6"/>
  <c r="BU115" i="6"/>
  <c r="BU116" i="6"/>
  <c r="BS96" i="6"/>
  <c r="BV218" i="1"/>
  <c r="BV217" i="1"/>
  <c r="BY80" i="1"/>
  <c r="BX211" i="1"/>
  <c r="BX212" i="1"/>
  <c r="BX213" i="1"/>
  <c r="BX214" i="1"/>
  <c r="BX82" i="1"/>
  <c r="BW216" i="1"/>
  <c r="BU116" i="1"/>
  <c r="BU117" i="1"/>
  <c r="BU118" i="1"/>
  <c r="BU119" i="1"/>
  <c r="BV42" i="1"/>
  <c r="BT122" i="11"/>
  <c r="BU114" i="1"/>
  <c r="BY104" i="8"/>
  <c r="BY105" i="8"/>
  <c r="BY106" i="8"/>
  <c r="BY107" i="8"/>
  <c r="BZ38" i="8"/>
  <c r="BV99" i="8"/>
  <c r="BV100" i="8"/>
  <c r="BV101" i="8"/>
  <c r="BV102" i="8"/>
  <c r="BW36" i="8"/>
  <c r="BU120" i="11"/>
  <c r="BU121" i="11"/>
  <c r="BU122" i="11"/>
  <c r="BW44" i="11"/>
  <c r="BV119" i="11"/>
  <c r="AF32" i="26"/>
  <c r="S49" i="36"/>
  <c r="R48" i="36"/>
  <c r="AA16" i="2"/>
  <c r="E16" i="20"/>
  <c r="O5" i="39"/>
  <c r="E5" i="39"/>
  <c r="R15" i="20"/>
  <c r="S15" i="20"/>
  <c r="D13" i="38"/>
  <c r="BV104" i="22"/>
  <c r="BW38" i="22"/>
  <c r="BU129" i="22"/>
  <c r="BU130" i="22"/>
  <c r="BU131" i="22"/>
  <c r="BU132" i="22"/>
  <c r="BV48" i="22"/>
  <c r="BV34" i="22"/>
  <c r="BU94" i="22"/>
  <c r="BY40" i="7"/>
  <c r="BX109" i="7"/>
  <c r="BX110" i="7"/>
  <c r="BX111" i="7"/>
  <c r="BX112" i="7"/>
  <c r="BU85" i="7"/>
  <c r="BU86" i="7"/>
  <c r="BW30" i="7"/>
  <c r="BV84" i="7"/>
  <c r="BV85" i="7"/>
  <c r="BV86" i="7"/>
  <c r="BV87" i="7"/>
  <c r="BV104" i="7"/>
  <c r="BV105" i="7"/>
  <c r="BV106" i="7"/>
  <c r="BV107" i="7"/>
  <c r="BW38" i="7"/>
  <c r="BU94" i="7"/>
  <c r="BU95" i="7"/>
  <c r="BU96" i="7"/>
  <c r="BU97" i="7"/>
  <c r="BV34" i="7"/>
  <c r="BV42" i="7"/>
  <c r="BU114" i="7"/>
  <c r="BU115" i="7"/>
  <c r="BU116" i="7"/>
  <c r="BU117" i="7"/>
  <c r="BW36" i="7"/>
  <c r="BV99" i="7"/>
  <c r="BV100" i="7"/>
  <c r="BV101" i="7"/>
  <c r="BV102" i="7"/>
  <c r="BY38" i="6"/>
  <c r="BX118" i="6"/>
  <c r="BU94" i="9"/>
  <c r="BU95" i="9"/>
  <c r="BU96" i="9"/>
  <c r="BU97" i="9"/>
  <c r="BV34" i="9"/>
  <c r="BY38" i="9"/>
  <c r="BX104" i="9"/>
  <c r="BX105" i="9"/>
  <c r="BX106" i="9"/>
  <c r="BX107" i="9"/>
  <c r="BZ54" i="9"/>
  <c r="BY144" i="9"/>
  <c r="BY145" i="9"/>
  <c r="BY146" i="9"/>
  <c r="BY147" i="9"/>
  <c r="BT114" i="9"/>
  <c r="BT115" i="9"/>
  <c r="BT116" i="9"/>
  <c r="BT117" i="9"/>
  <c r="BU42" i="9"/>
  <c r="BU124" i="9"/>
  <c r="BU125" i="9"/>
  <c r="BU126" i="9"/>
  <c r="BU127" i="9"/>
  <c r="BV46" i="9"/>
  <c r="BX145" i="9"/>
  <c r="BX146" i="9"/>
  <c r="BX147" i="9"/>
  <c r="BW50" i="9"/>
  <c r="BV134" i="9"/>
  <c r="BU119" i="9"/>
  <c r="BU120" i="9"/>
  <c r="BU121" i="9"/>
  <c r="BU122" i="9"/>
  <c r="BV44" i="9"/>
  <c r="BU149" i="9"/>
  <c r="BV56" i="9"/>
  <c r="BV48" i="9"/>
  <c r="BU129" i="9"/>
  <c r="BU130" i="9"/>
  <c r="BU131" i="9"/>
  <c r="BU132" i="9"/>
  <c r="BT150" i="9"/>
  <c r="BT151" i="9"/>
  <c r="BT152" i="9"/>
  <c r="BX32" i="9"/>
  <c r="BW89" i="9"/>
  <c r="BV70" i="1"/>
  <c r="BU186" i="1"/>
  <c r="BU187" i="1"/>
  <c r="BU188" i="1"/>
  <c r="BU189" i="1"/>
  <c r="BX66" i="1"/>
  <c r="BW176" i="1"/>
  <c r="BW177" i="1"/>
  <c r="BW178" i="1"/>
  <c r="BW179" i="1"/>
  <c r="BX76" i="1"/>
  <c r="BW201" i="1"/>
  <c r="BW202" i="1"/>
  <c r="BW203" i="1"/>
  <c r="BW204" i="1"/>
  <c r="BU162" i="1"/>
  <c r="BU163" i="1"/>
  <c r="BU164" i="1"/>
  <c r="BW72" i="1"/>
  <c r="BV191" i="1"/>
  <c r="BV192" i="1"/>
  <c r="BV193" i="1"/>
  <c r="BV194" i="1"/>
  <c r="BV161" i="1"/>
  <c r="BV162" i="1"/>
  <c r="BV163" i="1"/>
  <c r="BV164" i="1"/>
  <c r="BW60" i="1"/>
  <c r="BV78" i="1"/>
  <c r="BU206" i="1"/>
  <c r="BU207" i="1"/>
  <c r="BU208" i="1"/>
  <c r="BU209" i="1"/>
  <c r="CB56" i="1"/>
  <c r="CA151" i="1"/>
  <c r="CA152" i="1"/>
  <c r="CA153" i="1"/>
  <c r="CA154" i="1"/>
  <c r="BV74" i="1"/>
  <c r="BU196" i="1"/>
  <c r="AK27" i="26"/>
  <c r="R43" i="37"/>
  <c r="S44" i="37"/>
  <c r="BZ115" i="11"/>
  <c r="BZ116" i="11"/>
  <c r="CB42" i="11"/>
  <c r="CA114" i="11"/>
  <c r="AA34" i="26"/>
  <c r="W51" i="34"/>
  <c r="V51" i="34"/>
  <c r="K51" i="34"/>
  <c r="BT107" i="11"/>
  <c r="BU105" i="11"/>
  <c r="BU106" i="11"/>
  <c r="BU107" i="11"/>
  <c r="BY84" i="11"/>
  <c r="BZ30" i="11"/>
  <c r="BX36" i="11"/>
  <c r="BW99" i="11"/>
  <c r="BV104" i="11"/>
  <c r="BW38" i="11"/>
  <c r="BV100" i="11"/>
  <c r="BV101" i="11"/>
  <c r="BV102" i="11"/>
  <c r="BX85" i="11"/>
  <c r="BX86" i="11"/>
  <c r="BX87" i="11"/>
  <c r="BV134" i="10"/>
  <c r="BW50" i="10"/>
  <c r="BU135" i="10"/>
  <c r="BU136" i="10"/>
  <c r="BU137" i="10"/>
  <c r="BU100" i="10"/>
  <c r="BU101" i="10"/>
  <c r="BU102" i="10"/>
  <c r="BV99" i="10"/>
  <c r="BW36" i="10"/>
  <c r="BV58" i="22"/>
  <c r="BU154" i="22"/>
  <c r="BT155" i="22"/>
  <c r="BT156" i="22"/>
  <c r="BT157" i="22"/>
  <c r="BU110" i="22"/>
  <c r="BU111" i="22"/>
  <c r="BU112" i="22"/>
  <c r="BV99" i="22"/>
  <c r="BW36" i="22"/>
  <c r="BW40" i="22"/>
  <c r="BV109" i="22"/>
  <c r="BV144" i="22"/>
  <c r="BW54" i="22"/>
  <c r="BU100" i="22"/>
  <c r="BU101" i="22"/>
  <c r="BU102" i="22"/>
  <c r="BU145" i="22"/>
  <c r="BU146" i="22"/>
  <c r="BU147" i="22"/>
  <c r="BW150" i="8"/>
  <c r="BW151" i="8"/>
  <c r="BW152" i="8"/>
  <c r="BX149" i="8"/>
  <c r="BY56" i="8"/>
  <c r="BU145" i="8"/>
  <c r="BU146" i="8"/>
  <c r="BU147" i="8"/>
  <c r="BV144" i="8"/>
  <c r="BW54" i="8"/>
  <c r="BT140" i="8"/>
  <c r="BT141" i="8"/>
  <c r="BT142" i="8"/>
  <c r="BT90" i="8"/>
  <c r="BT91" i="8"/>
  <c r="BT92" i="8"/>
  <c r="BS85" i="8"/>
  <c r="BS86" i="8"/>
  <c r="BS87" i="8"/>
  <c r="BV48" i="8"/>
  <c r="BU129" i="8"/>
  <c r="BU109" i="8"/>
  <c r="BV40" i="8"/>
  <c r="BV32" i="8"/>
  <c r="BU89" i="8"/>
  <c r="BT130" i="8"/>
  <c r="BT131" i="8"/>
  <c r="BT132" i="8"/>
  <c r="BT110" i="8"/>
  <c r="BT111" i="8"/>
  <c r="BT112" i="8"/>
  <c r="BT84" i="8"/>
  <c r="BU30" i="8"/>
  <c r="BV52" i="8"/>
  <c r="BU139" i="8"/>
  <c r="BU144" i="7"/>
  <c r="BV54" i="7"/>
  <c r="BT145" i="7"/>
  <c r="BT146" i="7"/>
  <c r="BT147" i="7"/>
  <c r="BU139" i="7"/>
  <c r="BV52" i="7"/>
  <c r="BT140" i="7"/>
  <c r="BT141" i="7"/>
  <c r="BT142" i="7"/>
  <c r="BU134" i="7"/>
  <c r="BV50" i="7"/>
  <c r="BT135" i="7"/>
  <c r="BT136" i="7"/>
  <c r="BT137" i="7"/>
  <c r="BW120" i="7"/>
  <c r="BW121" i="7"/>
  <c r="BW122" i="7"/>
  <c r="CB89" i="7"/>
  <c r="CB33" i="7"/>
  <c r="BW124" i="7"/>
  <c r="BX46" i="7"/>
  <c r="BV125" i="7"/>
  <c r="BV126" i="7"/>
  <c r="BV127" i="7"/>
  <c r="CA90" i="7"/>
  <c r="CA91" i="7"/>
  <c r="CA92" i="7"/>
  <c r="BX119" i="7"/>
  <c r="BY44" i="7"/>
  <c r="BV56" i="6"/>
  <c r="BU163" i="6"/>
  <c r="BT164" i="6"/>
  <c r="BT165" i="6"/>
  <c r="BT166" i="6"/>
  <c r="BT159" i="6"/>
  <c r="BT160" i="6"/>
  <c r="BT161" i="6"/>
  <c r="BU158" i="6"/>
  <c r="BV54" i="6"/>
  <c r="BT154" i="6"/>
  <c r="BT155" i="6"/>
  <c r="BT156" i="6"/>
  <c r="BV52" i="6"/>
  <c r="BU153" i="6"/>
  <c r="BV50" i="6"/>
  <c r="BU148" i="6"/>
  <c r="BT149" i="6"/>
  <c r="BT150" i="6"/>
  <c r="BT151" i="6"/>
  <c r="BU143" i="6"/>
  <c r="BV48" i="6"/>
  <c r="BT144" i="6"/>
  <c r="BT145" i="6"/>
  <c r="BW60" i="9"/>
  <c r="BV159" i="9"/>
  <c r="BU160" i="9"/>
  <c r="BU161" i="9"/>
  <c r="BU162" i="9"/>
  <c r="BU154" i="9"/>
  <c r="BV58" i="9"/>
  <c r="BT155" i="9"/>
  <c r="BT156" i="9"/>
  <c r="BT157" i="9"/>
  <c r="BU110" i="9"/>
  <c r="BU111" i="9"/>
  <c r="BU112" i="9"/>
  <c r="BV109" i="9"/>
  <c r="BW40" i="9"/>
  <c r="BV99" i="9"/>
  <c r="BW36" i="9"/>
  <c r="BU100" i="9"/>
  <c r="BU101" i="9"/>
  <c r="BU102" i="9"/>
  <c r="BU166" i="1"/>
  <c r="BV62" i="1"/>
  <c r="BT167" i="1"/>
  <c r="BT168" i="1"/>
  <c r="BT169" i="1"/>
  <c r="BT147" i="1"/>
  <c r="BT148" i="1"/>
  <c r="BT149" i="1"/>
  <c r="BU146" i="1"/>
  <c r="BV54" i="1"/>
  <c r="BV46" i="1"/>
  <c r="BU126" i="1"/>
  <c r="BT127" i="1"/>
  <c r="BT128" i="1"/>
  <c r="BT129" i="1"/>
  <c r="BV122" i="1"/>
  <c r="BV123" i="1"/>
  <c r="BW121" i="1"/>
  <c r="BX44" i="1"/>
  <c r="BT107" i="1"/>
  <c r="BT108" i="1"/>
  <c r="BV102" i="1"/>
  <c r="BV103" i="1"/>
  <c r="BV104" i="1"/>
  <c r="BW111" i="1"/>
  <c r="BX40" i="1"/>
  <c r="BV38" i="1"/>
  <c r="BU106" i="1"/>
  <c r="BW101" i="1"/>
  <c r="BX36" i="1"/>
  <c r="BV112" i="1"/>
  <c r="BV113" i="1"/>
  <c r="BV114" i="1"/>
  <c r="AE48" i="41"/>
  <c r="BV129" i="7"/>
  <c r="BV130" i="7"/>
  <c r="BV131" i="7"/>
  <c r="BV132" i="7"/>
  <c r="BW48" i="7"/>
  <c r="U49" i="41"/>
  <c r="AZ237" i="9"/>
  <c r="AY75" i="9"/>
  <c r="BW76" i="2"/>
  <c r="BX197" i="2"/>
  <c r="I59" i="11"/>
  <c r="J229" i="11"/>
  <c r="W49" i="41"/>
  <c r="V49" i="41"/>
  <c r="K49" i="41"/>
  <c r="T49" i="41"/>
  <c r="S50" i="35"/>
  <c r="AA33" i="26"/>
  <c r="AG74" i="2"/>
  <c r="AH5" i="2"/>
  <c r="AH67" i="2"/>
  <c r="AI67" i="2"/>
  <c r="BT162" i="10"/>
  <c r="BT202" i="22"/>
  <c r="BU202" i="7"/>
  <c r="BT202" i="11"/>
  <c r="BT207" i="8"/>
  <c r="BU152" i="11"/>
  <c r="BI99" i="40"/>
  <c r="BJ326" i="40"/>
  <c r="BO111" i="40"/>
  <c r="BP332" i="40"/>
  <c r="BO101" i="40"/>
  <c r="BP327" i="40"/>
  <c r="BK97" i="40"/>
  <c r="BL325" i="40"/>
  <c r="BO93" i="40"/>
  <c r="BP323" i="40"/>
  <c r="BO109" i="40"/>
  <c r="BP331" i="40"/>
  <c r="BK107" i="40"/>
  <c r="BL330" i="40"/>
  <c r="BO103" i="40"/>
  <c r="BP328" i="40"/>
  <c r="BJ105" i="40"/>
  <c r="BK329" i="40"/>
  <c r="BP95" i="40"/>
  <c r="BQ324" i="40"/>
  <c r="BP91" i="40"/>
  <c r="BR321" i="40"/>
  <c r="BQ89" i="40"/>
  <c r="BS308" i="40"/>
  <c r="BR63" i="40"/>
  <c r="BS300" i="40"/>
  <c r="BR47" i="40"/>
  <c r="BR307" i="40"/>
  <c r="BQ61" i="40"/>
  <c r="BQ311" i="40"/>
  <c r="BP69" i="40"/>
  <c r="BS298" i="40"/>
  <c r="BR43" i="40"/>
  <c r="BS301" i="40"/>
  <c r="BR49" i="40"/>
  <c r="BS305" i="40"/>
  <c r="BR57" i="40"/>
  <c r="BS318" i="40"/>
  <c r="BR83" i="40"/>
  <c r="BR315" i="40"/>
  <c r="BQ77" i="40"/>
  <c r="BS303" i="40"/>
  <c r="BR53" i="40"/>
  <c r="BR317" i="40"/>
  <c r="BQ81" i="40"/>
  <c r="BR302" i="40"/>
  <c r="BQ51" i="40"/>
  <c r="BS316" i="40"/>
  <c r="BR79" i="40"/>
  <c r="BS306" i="40"/>
  <c r="BR59" i="40"/>
  <c r="BQ313" i="40"/>
  <c r="BP73" i="40"/>
  <c r="BS304" i="40"/>
  <c r="BR55" i="40"/>
  <c r="BS314" i="40"/>
  <c r="BR75" i="40"/>
  <c r="BR297" i="40"/>
  <c r="BQ41" i="40"/>
  <c r="BR319" i="40"/>
  <c r="BQ85" i="40"/>
  <c r="BS320" i="40"/>
  <c r="BR87" i="40"/>
  <c r="BR310" i="40"/>
  <c r="BQ67" i="40"/>
  <c r="BS322" i="40"/>
  <c r="BS299" i="40"/>
  <c r="BR45" i="40"/>
  <c r="BQ309" i="40"/>
  <c r="BP65" i="40"/>
  <c r="BS312" i="40"/>
  <c r="BR71" i="40"/>
  <c r="AJ16" i="2"/>
  <c r="F16" i="20"/>
  <c r="E14" i="38"/>
  <c r="CB167" i="22"/>
  <c r="CB231" i="22"/>
  <c r="Y44" i="2"/>
  <c r="Z44" i="2"/>
  <c r="Y74" i="2"/>
  <c r="Z74" i="2"/>
  <c r="Z75" i="2"/>
  <c r="Z76" i="2"/>
  <c r="Z77" i="2"/>
  <c r="Z78" i="2"/>
  <c r="Z79" i="2"/>
  <c r="Z80" i="2"/>
  <c r="Z81" i="2"/>
  <c r="Z82" i="2"/>
  <c r="Z83" i="2"/>
  <c r="Z84" i="2"/>
  <c r="Z85" i="2"/>
  <c r="Z86" i="2"/>
  <c r="Z87" i="2"/>
  <c r="Z88" i="2"/>
  <c r="Z89" i="2"/>
  <c r="Z90" i="2"/>
  <c r="Z91" i="2"/>
  <c r="Z92" i="2"/>
  <c r="Z93" i="2"/>
  <c r="Z94" i="2"/>
  <c r="Z95" i="2"/>
  <c r="Z96" i="2"/>
  <c r="Z97" i="2"/>
  <c r="Z98" i="2"/>
  <c r="Z99" i="2"/>
  <c r="Z100" i="2"/>
  <c r="Z101" i="2"/>
  <c r="Z102" i="2"/>
  <c r="Z103" i="2"/>
  <c r="Z104" i="2"/>
  <c r="Z105" i="2"/>
  <c r="Z106" i="2"/>
  <c r="Z107" i="2"/>
  <c r="Z108" i="2"/>
  <c r="Z109" i="2"/>
  <c r="Z110" i="2"/>
  <c r="Z111" i="2"/>
  <c r="Z112" i="2"/>
  <c r="Z113" i="2"/>
  <c r="Z114" i="2"/>
  <c r="Y62" i="2"/>
  <c r="Z62" i="2"/>
  <c r="Y68" i="2"/>
  <c r="Z68" i="2"/>
  <c r="Y61" i="2"/>
  <c r="Z61" i="2"/>
  <c r="Y64" i="2"/>
  <c r="Z64" i="2"/>
  <c r="Y70" i="2"/>
  <c r="Z70" i="2"/>
  <c r="Y60" i="2"/>
  <c r="Z60" i="2"/>
  <c r="Y66" i="2"/>
  <c r="Z66" i="2"/>
  <c r="Y46" i="2"/>
  <c r="Z46" i="2"/>
  <c r="Y65" i="2"/>
  <c r="Z65" i="2"/>
  <c r="Y67" i="2"/>
  <c r="Z67" i="2"/>
  <c r="Y47" i="2"/>
  <c r="Z47" i="2"/>
  <c r="Y53" i="2"/>
  <c r="Z53" i="2"/>
  <c r="BV199" i="22"/>
  <c r="BW76" i="22"/>
  <c r="BI67" i="22"/>
  <c r="BJ233" i="22"/>
  <c r="BV164" i="9"/>
  <c r="BW62" i="9"/>
  <c r="BY79" i="7"/>
  <c r="BZ239" i="7"/>
  <c r="CA46" i="11"/>
  <c r="BZ124" i="11"/>
  <c r="BE65" i="10"/>
  <c r="BF232" i="10"/>
  <c r="BU135" i="11"/>
  <c r="BU136" i="11"/>
  <c r="BE229" i="10"/>
  <c r="BD59" i="10"/>
  <c r="BW233" i="10"/>
  <c r="BV67" i="10"/>
  <c r="BW66" i="7"/>
  <c r="BV174" i="7"/>
  <c r="BE81" i="10"/>
  <c r="BF240" i="10"/>
  <c r="BY154" i="7"/>
  <c r="BZ58" i="7"/>
  <c r="BV150" i="11"/>
  <c r="BV151" i="11"/>
  <c r="R81" i="8"/>
  <c r="S240" i="8"/>
  <c r="BU201" i="10"/>
  <c r="BU200" i="10"/>
  <c r="BT167" i="9"/>
  <c r="BU200" i="11"/>
  <c r="BU201" i="11"/>
  <c r="BU200" i="22"/>
  <c r="BU201" i="22"/>
  <c r="CQ54" i="10"/>
  <c r="CP144" i="10"/>
  <c r="BX76" i="7"/>
  <c r="BW199" i="7"/>
  <c r="BT202" i="10"/>
  <c r="BT137" i="11"/>
  <c r="BU160" i="10"/>
  <c r="BU161" i="10"/>
  <c r="BZ167" i="8"/>
  <c r="BR235" i="10"/>
  <c r="BQ71" i="10"/>
  <c r="BW239" i="22"/>
  <c r="BV79" i="22"/>
  <c r="BT187" i="8"/>
  <c r="BW78" i="8"/>
  <c r="BV204" i="8"/>
  <c r="CB60" i="7"/>
  <c r="CA159" i="7"/>
  <c r="BW56" i="22"/>
  <c r="BV149" i="22"/>
  <c r="BV150" i="22"/>
  <c r="BV151" i="22"/>
  <c r="BV152" i="22"/>
  <c r="BW236" i="22"/>
  <c r="BV73" i="22"/>
  <c r="BX156" i="7"/>
  <c r="BX155" i="7"/>
  <c r="BX63" i="22"/>
  <c r="BY231" i="22"/>
  <c r="BW232" i="9"/>
  <c r="BV65" i="9"/>
  <c r="BE67" i="9"/>
  <c r="BF233" i="9"/>
  <c r="BV138" i="6"/>
  <c r="BV139" i="6"/>
  <c r="BV140" i="6"/>
  <c r="BV141" i="6"/>
  <c r="BW46" i="6"/>
  <c r="BW76" i="10"/>
  <c r="BV199" i="10"/>
  <c r="BW76" i="11"/>
  <c r="BV199" i="11"/>
  <c r="CA165" i="8"/>
  <c r="CA166" i="8"/>
  <c r="CO146" i="10"/>
  <c r="CO145" i="10"/>
  <c r="BV200" i="7"/>
  <c r="BV201" i="7"/>
  <c r="BW60" i="10"/>
  <c r="BV159" i="10"/>
  <c r="BU185" i="8"/>
  <c r="BU186" i="8"/>
  <c r="BT63" i="10"/>
  <c r="BU231" i="10"/>
  <c r="BU181" i="10"/>
  <c r="BU180" i="10"/>
  <c r="BX239" i="9"/>
  <c r="BW79" i="9"/>
  <c r="BZ206" i="11"/>
  <c r="BZ205" i="11"/>
  <c r="BU205" i="8"/>
  <c r="BU206" i="8"/>
  <c r="BZ160" i="7"/>
  <c r="BZ161" i="7"/>
  <c r="O55" i="11"/>
  <c r="P227" i="11"/>
  <c r="BY235" i="22"/>
  <c r="BX71" i="22"/>
  <c r="BT177" i="7"/>
  <c r="BQ237" i="11"/>
  <c r="BP75" i="11"/>
  <c r="BW157" i="7"/>
  <c r="V230" i="11"/>
  <c r="U61" i="11"/>
  <c r="CB164" i="8"/>
  <c r="CB63" i="8"/>
  <c r="CA63" i="8"/>
  <c r="BZ63" i="8"/>
  <c r="BY63" i="8"/>
  <c r="BX63" i="8"/>
  <c r="BT182" i="10"/>
  <c r="BU165" i="9"/>
  <c r="BU166" i="9"/>
  <c r="CB205" i="7"/>
  <c r="CB206" i="7"/>
  <c r="BV184" i="8"/>
  <c r="BW70" i="8"/>
  <c r="BY125" i="11"/>
  <c r="BY126" i="11"/>
  <c r="BT229" i="8"/>
  <c r="BS59" i="8"/>
  <c r="BY162" i="7"/>
  <c r="BW68" i="10"/>
  <c r="BV179" i="10"/>
  <c r="BW50" i="11"/>
  <c r="BV134" i="11"/>
  <c r="CA207" i="7"/>
  <c r="CA239" i="7"/>
  <c r="BX127" i="11"/>
  <c r="CB78" i="11"/>
  <c r="CA204" i="11"/>
  <c r="CA187" i="22"/>
  <c r="CA235" i="22"/>
  <c r="BU176" i="7"/>
  <c r="BU175" i="7"/>
  <c r="BW149" i="11"/>
  <c r="BX56" i="11"/>
  <c r="BZ235" i="22"/>
  <c r="CN147" i="10"/>
  <c r="BY207" i="11"/>
  <c r="CB186" i="22"/>
  <c r="CB185" i="22"/>
  <c r="R26" i="2"/>
  <c r="D26" i="20"/>
  <c r="C87" i="38"/>
  <c r="U21" i="38"/>
  <c r="AD54" i="38"/>
  <c r="N14" i="39"/>
  <c r="D14" i="39"/>
  <c r="P24" i="20"/>
  <c r="Q24" i="20"/>
  <c r="C22" i="38"/>
  <c r="BY40" i="11"/>
  <c r="BX109" i="11"/>
  <c r="BX110" i="11"/>
  <c r="BX111" i="11"/>
  <c r="BX112" i="11"/>
  <c r="BW119" i="10"/>
  <c r="BW120" i="10"/>
  <c r="BW121" i="10"/>
  <c r="BW122" i="10"/>
  <c r="BX44" i="10"/>
  <c r="BW40" i="10"/>
  <c r="BV109" i="10"/>
  <c r="BV110" i="10"/>
  <c r="BV111" i="10"/>
  <c r="BV112" i="10"/>
  <c r="BW42" i="10"/>
  <c r="BV114" i="10"/>
  <c r="BV115" i="10"/>
  <c r="BV116" i="10"/>
  <c r="BV117" i="10"/>
  <c r="BW30" i="10"/>
  <c r="BV84" i="10"/>
  <c r="BV85" i="10"/>
  <c r="BV86" i="10"/>
  <c r="BV87" i="10"/>
  <c r="BV104" i="10"/>
  <c r="BV105" i="10"/>
  <c r="BV106" i="10"/>
  <c r="BV107" i="10"/>
  <c r="BW38" i="10"/>
  <c r="BV94" i="10"/>
  <c r="BV95" i="10"/>
  <c r="BV96" i="10"/>
  <c r="BV97" i="10"/>
  <c r="BW34" i="10"/>
  <c r="BW46" i="10"/>
  <c r="BV124" i="10"/>
  <c r="BV125" i="10"/>
  <c r="BV126" i="10"/>
  <c r="BV127" i="10"/>
  <c r="BV89" i="10"/>
  <c r="BV90" i="10"/>
  <c r="BV91" i="10"/>
  <c r="BV92" i="10"/>
  <c r="BW32" i="10"/>
  <c r="BW48" i="10"/>
  <c r="BV129" i="10"/>
  <c r="BV130" i="10"/>
  <c r="BV131" i="10"/>
  <c r="BV132" i="10"/>
  <c r="BW52" i="10"/>
  <c r="BV139" i="10"/>
  <c r="BV140" i="10"/>
  <c r="BV141" i="10"/>
  <c r="BV142" i="10"/>
  <c r="BV134" i="22"/>
  <c r="BV135" i="22"/>
  <c r="BV136" i="22"/>
  <c r="BV137" i="22"/>
  <c r="BW50" i="22"/>
  <c r="BX46" i="22"/>
  <c r="BW124" i="22"/>
  <c r="BW125" i="22"/>
  <c r="BW126" i="22"/>
  <c r="BW127" i="22"/>
  <c r="BV114" i="22"/>
  <c r="BV115" i="22"/>
  <c r="BV116" i="22"/>
  <c r="BV117" i="22"/>
  <c r="BW42" i="22"/>
  <c r="BX52" i="22"/>
  <c r="BW139" i="22"/>
  <c r="BW140" i="22"/>
  <c r="BW141" i="22"/>
  <c r="BW142" i="22"/>
  <c r="BW134" i="8"/>
  <c r="BW135" i="8"/>
  <c r="BW136" i="8"/>
  <c r="BW137" i="8"/>
  <c r="BX50" i="8"/>
  <c r="BW46" i="8"/>
  <c r="BV124" i="8"/>
  <c r="BV125" i="8"/>
  <c r="BV126" i="8"/>
  <c r="BV127" i="8"/>
  <c r="BT202" i="9"/>
  <c r="BT192" i="9"/>
  <c r="Y49" i="2"/>
  <c r="Z49" i="2"/>
  <c r="Y50" i="2"/>
  <c r="Z50" i="2"/>
  <c r="Y48" i="2"/>
  <c r="Z48" i="2"/>
  <c r="Y72" i="2"/>
  <c r="Z72" i="2"/>
  <c r="Y71" i="2"/>
  <c r="Z71" i="2"/>
  <c r="Y45" i="2"/>
  <c r="Z45" i="2"/>
  <c r="Y73" i="2"/>
  <c r="Z73" i="2"/>
  <c r="Y69" i="2"/>
  <c r="Z69" i="2"/>
  <c r="Y55" i="2"/>
  <c r="Z55" i="2"/>
  <c r="Y52" i="2"/>
  <c r="Z52" i="2"/>
  <c r="Y51" i="2"/>
  <c r="Z51" i="2"/>
  <c r="Y63" i="2"/>
  <c r="Z63" i="2"/>
  <c r="Y56" i="2"/>
  <c r="Z56" i="2"/>
  <c r="Y57" i="2"/>
  <c r="Z57" i="2"/>
  <c r="BF81" i="7"/>
  <c r="BG240" i="7"/>
  <c r="BU191" i="9"/>
  <c r="BU190" i="9"/>
  <c r="BC49" i="11"/>
  <c r="BD224" i="11"/>
  <c r="V63" i="11"/>
  <c r="W231" i="11"/>
  <c r="A78" i="2"/>
  <c r="A198" i="2"/>
  <c r="BW198" i="2"/>
  <c r="BJ71" i="7"/>
  <c r="BK235" i="7"/>
  <c r="R65" i="11"/>
  <c r="S232" i="11"/>
  <c r="CB72" i="8"/>
  <c r="CA189" i="8"/>
  <c r="BK67" i="11"/>
  <c r="BL233" i="11"/>
  <c r="H73" i="7"/>
  <c r="I236" i="7"/>
  <c r="BF79" i="10"/>
  <c r="BG239" i="10"/>
  <c r="V196" i="2"/>
  <c r="U75" i="2"/>
  <c r="W75" i="2"/>
  <c r="X75" i="2"/>
  <c r="AM75" i="2"/>
  <c r="AN196" i="2"/>
  <c r="BV199" i="9"/>
  <c r="BW76" i="9"/>
  <c r="P55" i="2"/>
  <c r="Q55" i="2"/>
  <c r="P54" i="2"/>
  <c r="Q54" i="2"/>
  <c r="P45" i="2"/>
  <c r="Q45" i="2"/>
  <c r="P49" i="2"/>
  <c r="Q49" i="2"/>
  <c r="P48" i="2"/>
  <c r="Q48" i="2"/>
  <c r="P50" i="2"/>
  <c r="Q50" i="2"/>
  <c r="P46" i="2"/>
  <c r="Q46" i="2"/>
  <c r="P51" i="2"/>
  <c r="Q51" i="2"/>
  <c r="P44" i="2"/>
  <c r="Q44" i="2"/>
  <c r="P56" i="2"/>
  <c r="Q56" i="2"/>
  <c r="P57" i="2"/>
  <c r="Q57" i="2"/>
  <c r="P47" i="2"/>
  <c r="Q47" i="2"/>
  <c r="P52" i="2"/>
  <c r="Q52" i="2"/>
  <c r="P53" i="2"/>
  <c r="Q53" i="2"/>
  <c r="P58" i="2"/>
  <c r="Q58" i="2"/>
  <c r="P59" i="2"/>
  <c r="Q59" i="2"/>
  <c r="P60" i="2"/>
  <c r="Q60" i="2"/>
  <c r="P61" i="2"/>
  <c r="Q61" i="2"/>
  <c r="P62" i="2"/>
  <c r="Q62" i="2"/>
  <c r="P63" i="2"/>
  <c r="Q63" i="2"/>
  <c r="P64" i="2"/>
  <c r="Q64" i="2"/>
  <c r="P65" i="2"/>
  <c r="Q65" i="2"/>
  <c r="P66" i="2"/>
  <c r="Q66" i="2"/>
  <c r="P67" i="2"/>
  <c r="Q67" i="2"/>
  <c r="P68" i="2"/>
  <c r="Q68" i="2"/>
  <c r="P69" i="2"/>
  <c r="Q69" i="2"/>
  <c r="P70" i="2"/>
  <c r="Q70" i="2"/>
  <c r="P71" i="2"/>
  <c r="Q71" i="2"/>
  <c r="P72" i="2"/>
  <c r="Q72" i="2"/>
  <c r="P73" i="2"/>
  <c r="Q73" i="2"/>
  <c r="P74" i="2"/>
  <c r="Q74" i="2"/>
  <c r="Q75" i="2"/>
  <c r="Q76" i="2"/>
  <c r="Q77" i="2"/>
  <c r="Q78" i="2"/>
  <c r="Q79" i="2"/>
  <c r="Q80" i="2"/>
  <c r="Q81" i="2"/>
  <c r="Q82" i="2"/>
  <c r="Q83" i="2"/>
  <c r="Q84" i="2"/>
  <c r="Q85" i="2"/>
  <c r="Q86" i="2"/>
  <c r="Q87" i="2"/>
  <c r="Q88" i="2"/>
  <c r="Q89" i="2"/>
  <c r="Q90" i="2"/>
  <c r="Q91" i="2"/>
  <c r="Q92" i="2"/>
  <c r="Q93" i="2"/>
  <c r="Q94" i="2"/>
  <c r="Q95" i="2"/>
  <c r="Q96" i="2"/>
  <c r="Q97" i="2"/>
  <c r="Q98" i="2"/>
  <c r="Q99" i="2"/>
  <c r="Q100" i="2"/>
  <c r="Q101" i="2"/>
  <c r="Q102" i="2"/>
  <c r="Q103" i="2"/>
  <c r="Q104" i="2"/>
  <c r="Q105" i="2"/>
  <c r="Q106" i="2"/>
  <c r="Q107" i="2"/>
  <c r="Q108" i="2"/>
  <c r="Q109" i="2"/>
  <c r="Q110" i="2"/>
  <c r="Q111" i="2"/>
  <c r="Q112" i="2"/>
  <c r="Q113" i="2"/>
  <c r="Q114" i="2"/>
  <c r="BH75" i="8"/>
  <c r="BI237" i="8"/>
  <c r="J65" i="8"/>
  <c r="K232" i="8"/>
  <c r="BB69" i="7"/>
  <c r="BC234" i="7"/>
  <c r="BV89" i="22"/>
  <c r="BV90" i="22"/>
  <c r="BV91" i="22"/>
  <c r="BV92" i="22"/>
  <c r="BW32" i="22"/>
  <c r="AU31" i="22"/>
  <c r="AV215" i="22"/>
  <c r="BY192" i="8"/>
  <c r="BH81" i="22"/>
  <c r="BI240" i="22"/>
  <c r="AM197" i="2"/>
  <c r="BN197" i="2"/>
  <c r="AV197" i="2"/>
  <c r="AD197" i="2"/>
  <c r="L197" i="2"/>
  <c r="U197" i="2"/>
  <c r="C197" i="2"/>
  <c r="BE197" i="2"/>
  <c r="BZ190" i="8"/>
  <c r="BZ191" i="8"/>
  <c r="BJ67" i="8"/>
  <c r="BK233" i="8"/>
  <c r="M196" i="2"/>
  <c r="L75" i="2"/>
  <c r="N75" i="2"/>
  <c r="O75" i="2"/>
  <c r="BE75" i="2"/>
  <c r="CF75" i="2"/>
  <c r="BF196" i="2"/>
  <c r="CB167" i="7"/>
  <c r="CB231" i="7"/>
  <c r="BW72" i="9"/>
  <c r="BV189" i="9"/>
  <c r="BH75" i="22"/>
  <c r="BI237" i="22"/>
  <c r="AR65" i="7"/>
  <c r="AS232" i="7"/>
  <c r="BE71" i="9"/>
  <c r="BF235" i="9"/>
  <c r="BM77" i="8"/>
  <c r="BN238" i="8"/>
  <c r="AY53" i="11"/>
  <c r="AZ226" i="11"/>
  <c r="BJ69" i="22"/>
  <c r="BK234" i="22"/>
  <c r="AD75" i="2"/>
  <c r="AF75" i="2"/>
  <c r="AG75" i="2"/>
  <c r="AE196" i="2"/>
  <c r="BO196" i="2"/>
  <c r="BN75" i="2"/>
  <c r="BH75" i="10"/>
  <c r="BI237" i="10"/>
  <c r="AX73" i="10"/>
  <c r="AY236" i="10"/>
  <c r="BO61" i="8"/>
  <c r="BP230" i="8"/>
  <c r="Y59" i="2"/>
  <c r="Z59" i="2"/>
  <c r="Y58" i="2"/>
  <c r="Z58" i="2"/>
  <c r="BK61" i="22"/>
  <c r="BL230" i="22"/>
  <c r="BL69" i="8"/>
  <c r="BM234" i="8"/>
  <c r="BG69" i="9"/>
  <c r="BH234" i="9"/>
  <c r="BE57" i="10"/>
  <c r="BF228" i="10"/>
  <c r="BK81" i="11"/>
  <c r="BL240" i="11"/>
  <c r="BI75" i="7"/>
  <c r="BJ237" i="7"/>
  <c r="W69" i="11"/>
  <c r="X234" i="11"/>
  <c r="BF65" i="22"/>
  <c r="BG232" i="22"/>
  <c r="BD81" i="9"/>
  <c r="BE240" i="9"/>
  <c r="BM73" i="11"/>
  <c r="BN236" i="11"/>
  <c r="AV75" i="2"/>
  <c r="AW196" i="2"/>
  <c r="C75" i="2"/>
  <c r="D196" i="2"/>
  <c r="BU200" i="9"/>
  <c r="BU201" i="9"/>
  <c r="U49" i="30"/>
  <c r="K49" i="30"/>
  <c r="BV114" i="8"/>
  <c r="BV115" i="8"/>
  <c r="BV116" i="8"/>
  <c r="BV117" i="8"/>
  <c r="BW42" i="8"/>
  <c r="CA94" i="8"/>
  <c r="CA95" i="8"/>
  <c r="CA96" i="8"/>
  <c r="CA97" i="8"/>
  <c r="CB34" i="8"/>
  <c r="BW44" i="8"/>
  <c r="BV119" i="8"/>
  <c r="BV120" i="8"/>
  <c r="BV121" i="8"/>
  <c r="BV122" i="8"/>
  <c r="BW63" i="7"/>
  <c r="BX231" i="7"/>
  <c r="BW32" i="11"/>
  <c r="BV89" i="11"/>
  <c r="BV90" i="11"/>
  <c r="BV91" i="11"/>
  <c r="BV92" i="11"/>
  <c r="BV139" i="9"/>
  <c r="BV140" i="9"/>
  <c r="BV141" i="9"/>
  <c r="BV142" i="9"/>
  <c r="BW52" i="9"/>
  <c r="BW84" i="9"/>
  <c r="BW85" i="9"/>
  <c r="BW86" i="9"/>
  <c r="BW87" i="9"/>
  <c r="BX30" i="9"/>
  <c r="BY30" i="1"/>
  <c r="BX86" i="1"/>
  <c r="BX87" i="1"/>
  <c r="BX88" i="1"/>
  <c r="BX89" i="1"/>
  <c r="BV171" i="1"/>
  <c r="BV172" i="1"/>
  <c r="BV173" i="1"/>
  <c r="BV174" i="1"/>
  <c r="BW64" i="1"/>
  <c r="BV181" i="1"/>
  <c r="BV182" i="1"/>
  <c r="BV183" i="1"/>
  <c r="BV184" i="1"/>
  <c r="BW68" i="1"/>
  <c r="BV141" i="1"/>
  <c r="BV142" i="1"/>
  <c r="BV143" i="1"/>
  <c r="BV144" i="1"/>
  <c r="BW52" i="1"/>
  <c r="BW48" i="1"/>
  <c r="BV131" i="1"/>
  <c r="BV132" i="1"/>
  <c r="BV133" i="1"/>
  <c r="BV134" i="1"/>
  <c r="BY32" i="1"/>
  <c r="BX91" i="1"/>
  <c r="BX92" i="1"/>
  <c r="BX93" i="1"/>
  <c r="BX94" i="1"/>
  <c r="BV156" i="1"/>
  <c r="BV157" i="1"/>
  <c r="BV158" i="1"/>
  <c r="BV159" i="1"/>
  <c r="BW58" i="1"/>
  <c r="BW34" i="1"/>
  <c r="BV96" i="1"/>
  <c r="BV97" i="1"/>
  <c r="BV98" i="1"/>
  <c r="BV99" i="1"/>
  <c r="BV136" i="1"/>
  <c r="BV137" i="1"/>
  <c r="BV138" i="1"/>
  <c r="BV139" i="1"/>
  <c r="BW50" i="1"/>
  <c r="T15" i="20"/>
  <c r="U15" i="20"/>
  <c r="P5" i="39"/>
  <c r="F5" i="39"/>
  <c r="E13" i="38"/>
  <c r="BV219" i="1"/>
  <c r="AA31" i="26"/>
  <c r="R47" i="35"/>
  <c r="S48" i="35"/>
  <c r="BW119" i="22"/>
  <c r="BW120" i="22"/>
  <c r="BW121" i="22"/>
  <c r="BW122" i="22"/>
  <c r="BX44" i="22"/>
  <c r="BU87" i="7"/>
  <c r="BW28" i="6"/>
  <c r="BV93" i="6"/>
  <c r="BV94" i="6"/>
  <c r="BV95" i="6"/>
  <c r="BV96" i="6"/>
  <c r="BV133" i="6"/>
  <c r="BV134" i="6"/>
  <c r="BV135" i="6"/>
  <c r="BV136" i="6"/>
  <c r="BW44" i="6"/>
  <c r="BV103" i="6"/>
  <c r="BV104" i="6"/>
  <c r="BV105" i="6"/>
  <c r="BV106" i="6"/>
  <c r="BW32" i="6"/>
  <c r="BX42" i="6"/>
  <c r="BW128" i="6"/>
  <c r="BW129" i="6"/>
  <c r="BW130" i="6"/>
  <c r="BW131" i="6"/>
  <c r="BW34" i="6"/>
  <c r="BV108" i="6"/>
  <c r="BV109" i="6"/>
  <c r="BV110" i="6"/>
  <c r="BV111" i="6"/>
  <c r="BX30" i="6"/>
  <c r="BW98" i="6"/>
  <c r="BW99" i="6"/>
  <c r="BW100" i="6"/>
  <c r="BW101" i="6"/>
  <c r="BV113" i="6"/>
  <c r="BV114" i="6"/>
  <c r="BV115" i="6"/>
  <c r="BV116" i="6"/>
  <c r="BW36" i="6"/>
  <c r="BV78" i="6"/>
  <c r="BV79" i="6"/>
  <c r="BV80" i="6"/>
  <c r="BV81" i="6"/>
  <c r="BW22" i="6"/>
  <c r="BW24" i="6"/>
  <c r="BV83" i="6"/>
  <c r="BV84" i="6"/>
  <c r="BV85" i="6"/>
  <c r="BV86" i="6"/>
  <c r="BU104" i="6"/>
  <c r="BU105" i="6"/>
  <c r="BV123" i="6"/>
  <c r="BV124" i="6"/>
  <c r="BV125" i="6"/>
  <c r="BV126" i="6"/>
  <c r="BW40" i="6"/>
  <c r="BV88" i="6"/>
  <c r="BV89" i="6"/>
  <c r="BV90" i="6"/>
  <c r="BV91" i="6"/>
  <c r="BW26" i="6"/>
  <c r="BW42" i="1"/>
  <c r="BV116" i="1"/>
  <c r="BV117" i="1"/>
  <c r="BV118" i="1"/>
  <c r="BV119" i="1"/>
  <c r="BW218" i="1"/>
  <c r="BW217" i="1"/>
  <c r="BY82" i="1"/>
  <c r="BX216" i="1"/>
  <c r="BZ80" i="1"/>
  <c r="BY211" i="1"/>
  <c r="BY212" i="1"/>
  <c r="BY213" i="1"/>
  <c r="BY214" i="1"/>
  <c r="BT109" i="1"/>
  <c r="BV124" i="1"/>
  <c r="BT146" i="6"/>
  <c r="BW99" i="8"/>
  <c r="BW100" i="8"/>
  <c r="BW101" i="8"/>
  <c r="BW102" i="8"/>
  <c r="BX36" i="8"/>
  <c r="BZ104" i="8"/>
  <c r="BZ105" i="8"/>
  <c r="BZ106" i="8"/>
  <c r="BZ107" i="8"/>
  <c r="CA38" i="8"/>
  <c r="BW119" i="11"/>
  <c r="BX44" i="11"/>
  <c r="BV120" i="11"/>
  <c r="BV121" i="11"/>
  <c r="AF31" i="26"/>
  <c r="S48" i="36"/>
  <c r="R47" i="36"/>
  <c r="D79" i="38"/>
  <c r="V13" i="38"/>
  <c r="AE46" i="38"/>
  <c r="AA17" i="2"/>
  <c r="E17" i="20"/>
  <c r="BV129" i="22"/>
  <c r="BV130" i="22"/>
  <c r="BV131" i="22"/>
  <c r="BV132" i="22"/>
  <c r="BW48" i="22"/>
  <c r="BU95" i="22"/>
  <c r="BU96" i="22"/>
  <c r="BX38" i="22"/>
  <c r="BW104" i="22"/>
  <c r="BW105" i="22"/>
  <c r="BW106" i="22"/>
  <c r="BW107" i="22"/>
  <c r="BW34" i="22"/>
  <c r="BV94" i="22"/>
  <c r="BV95" i="22"/>
  <c r="BV96" i="22"/>
  <c r="BV97" i="22"/>
  <c r="BV105" i="22"/>
  <c r="BV106" i="22"/>
  <c r="BV107" i="22"/>
  <c r="BV114" i="7"/>
  <c r="BV115" i="7"/>
  <c r="BV116" i="7"/>
  <c r="BV117" i="7"/>
  <c r="BW42" i="7"/>
  <c r="BX38" i="7"/>
  <c r="BW104" i="7"/>
  <c r="BW105" i="7"/>
  <c r="BW106" i="7"/>
  <c r="BW107" i="7"/>
  <c r="BW99" i="7"/>
  <c r="BW100" i="7"/>
  <c r="BW101" i="7"/>
  <c r="BW102" i="7"/>
  <c r="BX36" i="7"/>
  <c r="BW34" i="7"/>
  <c r="BV94" i="7"/>
  <c r="BV95" i="7"/>
  <c r="BV96" i="7"/>
  <c r="BV97" i="7"/>
  <c r="BW84" i="7"/>
  <c r="BW85" i="7"/>
  <c r="BW86" i="7"/>
  <c r="BW87" i="7"/>
  <c r="BX30" i="7"/>
  <c r="BY109" i="7"/>
  <c r="BY110" i="7"/>
  <c r="BY111" i="7"/>
  <c r="BY112" i="7"/>
  <c r="BZ40" i="7"/>
  <c r="BX119" i="6"/>
  <c r="BX120" i="6"/>
  <c r="BX121" i="6"/>
  <c r="BY118" i="6"/>
  <c r="BY119" i="6"/>
  <c r="BY120" i="6"/>
  <c r="BY121" i="6"/>
  <c r="BZ38" i="6"/>
  <c r="BV124" i="9"/>
  <c r="BV125" i="9"/>
  <c r="BV126" i="9"/>
  <c r="BV127" i="9"/>
  <c r="BW46" i="9"/>
  <c r="CA54" i="9"/>
  <c r="BZ144" i="9"/>
  <c r="BZ145" i="9"/>
  <c r="BZ146" i="9"/>
  <c r="BZ147" i="9"/>
  <c r="BY104" i="9"/>
  <c r="BY105" i="9"/>
  <c r="BY106" i="9"/>
  <c r="BY107" i="9"/>
  <c r="BZ38" i="9"/>
  <c r="BU114" i="9"/>
  <c r="BU115" i="9"/>
  <c r="BU116" i="9"/>
  <c r="BU117" i="9"/>
  <c r="BV42" i="9"/>
  <c r="BV94" i="9"/>
  <c r="BV95" i="9"/>
  <c r="BV96" i="9"/>
  <c r="BV97" i="9"/>
  <c r="BW34" i="9"/>
  <c r="BV135" i="9"/>
  <c r="BV136" i="9"/>
  <c r="BW134" i="9"/>
  <c r="BW135" i="9"/>
  <c r="BW136" i="9"/>
  <c r="BW137" i="9"/>
  <c r="BX50" i="9"/>
  <c r="BX89" i="9"/>
  <c r="BX90" i="9"/>
  <c r="BX91" i="9"/>
  <c r="BX92" i="9"/>
  <c r="BY32" i="9"/>
  <c r="BW56" i="9"/>
  <c r="BV149" i="9"/>
  <c r="BW48" i="9"/>
  <c r="BV129" i="9"/>
  <c r="BU150" i="9"/>
  <c r="BU151" i="9"/>
  <c r="BU152" i="9"/>
  <c r="BV119" i="9"/>
  <c r="BV120" i="9"/>
  <c r="BV121" i="9"/>
  <c r="BV122" i="9"/>
  <c r="BW44" i="9"/>
  <c r="BW90" i="9"/>
  <c r="BW91" i="9"/>
  <c r="BW92" i="9"/>
  <c r="BU197" i="1"/>
  <c r="BU198" i="1"/>
  <c r="CB151" i="1"/>
  <c r="CB152" i="1"/>
  <c r="CB153" i="1"/>
  <c r="CB154" i="1"/>
  <c r="CB57" i="1"/>
  <c r="CA57" i="1"/>
  <c r="BX60" i="1"/>
  <c r="BW161" i="1"/>
  <c r="BW162" i="1"/>
  <c r="BW163" i="1"/>
  <c r="BW164" i="1"/>
  <c r="BW74" i="1"/>
  <c r="BV196" i="1"/>
  <c r="BY76" i="1"/>
  <c r="BX201" i="1"/>
  <c r="BX202" i="1"/>
  <c r="BX203" i="1"/>
  <c r="BX204" i="1"/>
  <c r="BW70" i="1"/>
  <c r="BV186" i="1"/>
  <c r="BV187" i="1"/>
  <c r="BV188" i="1"/>
  <c r="BV189" i="1"/>
  <c r="BW78" i="1"/>
  <c r="BV206" i="1"/>
  <c r="BX72" i="1"/>
  <c r="BW191" i="1"/>
  <c r="BW192" i="1"/>
  <c r="BW193" i="1"/>
  <c r="BW194" i="1"/>
  <c r="BY66" i="1"/>
  <c r="BX176" i="1"/>
  <c r="BX177" i="1"/>
  <c r="BX178" i="1"/>
  <c r="BX179" i="1"/>
  <c r="R42" i="37"/>
  <c r="R41" i="37"/>
  <c r="S43" i="37"/>
  <c r="AK26" i="26"/>
  <c r="CA115" i="11"/>
  <c r="CA116" i="11"/>
  <c r="CA117" i="11"/>
  <c r="CB43" i="11"/>
  <c r="CB114" i="11"/>
  <c r="BZ117" i="11"/>
  <c r="L51" i="34"/>
  <c r="N51" i="34"/>
  <c r="O51" i="34"/>
  <c r="P51" i="34"/>
  <c r="Q51" i="34"/>
  <c r="T51" i="34"/>
  <c r="AD51" i="34"/>
  <c r="AR51" i="34"/>
  <c r="AO51" i="34"/>
  <c r="AB51" i="34"/>
  <c r="AP51" i="34"/>
  <c r="AC51" i="34"/>
  <c r="AQ51" i="34"/>
  <c r="AU51" i="34"/>
  <c r="AH51" i="34"/>
  <c r="AE51" i="34"/>
  <c r="AS51" i="34"/>
  <c r="AF51" i="34"/>
  <c r="AT51" i="34"/>
  <c r="AG51" i="34"/>
  <c r="AK51" i="34"/>
  <c r="X51" i="34"/>
  <c r="AV51" i="34"/>
  <c r="AI51" i="34"/>
  <c r="AW51" i="34"/>
  <c r="AJ51" i="34"/>
  <c r="AX51" i="34"/>
  <c r="AA51" i="34"/>
  <c r="AY51" i="34"/>
  <c r="AL51" i="34"/>
  <c r="Y51" i="34"/>
  <c r="AM51" i="34"/>
  <c r="Z51" i="34"/>
  <c r="AN51" i="34"/>
  <c r="AA32" i="26"/>
  <c r="S49" i="35"/>
  <c r="BV105" i="11"/>
  <c r="BV106" i="11"/>
  <c r="BX99" i="11"/>
  <c r="BY36" i="11"/>
  <c r="BZ84" i="11"/>
  <c r="CA30" i="11"/>
  <c r="BY85" i="11"/>
  <c r="BY86" i="11"/>
  <c r="BY87" i="11"/>
  <c r="BW104" i="11"/>
  <c r="BX38" i="11"/>
  <c r="BW100" i="11"/>
  <c r="BW101" i="11"/>
  <c r="BW102" i="11"/>
  <c r="BW134" i="10"/>
  <c r="BX50" i="10"/>
  <c r="BV135" i="10"/>
  <c r="BV136" i="10"/>
  <c r="BV137" i="10"/>
  <c r="BW99" i="10"/>
  <c r="BX36" i="10"/>
  <c r="BV100" i="10"/>
  <c r="BV101" i="10"/>
  <c r="BV102" i="10"/>
  <c r="BU155" i="22"/>
  <c r="BU156" i="22"/>
  <c r="BW58" i="22"/>
  <c r="BV154" i="22"/>
  <c r="BV145" i="22"/>
  <c r="BV146" i="22"/>
  <c r="BV147" i="22"/>
  <c r="BW109" i="22"/>
  <c r="BX40" i="22"/>
  <c r="BW99" i="22"/>
  <c r="BX36" i="22"/>
  <c r="BW144" i="22"/>
  <c r="BX54" i="22"/>
  <c r="BV110" i="22"/>
  <c r="BV111" i="22"/>
  <c r="BV112" i="22"/>
  <c r="BV100" i="22"/>
  <c r="BV101" i="22"/>
  <c r="BV102" i="22"/>
  <c r="BY149" i="8"/>
  <c r="BZ56" i="8"/>
  <c r="BX150" i="8"/>
  <c r="BX151" i="8"/>
  <c r="BX152" i="8"/>
  <c r="BV145" i="8"/>
  <c r="BV146" i="8"/>
  <c r="BV147" i="8"/>
  <c r="BX54" i="8"/>
  <c r="BW144" i="8"/>
  <c r="BT85" i="8"/>
  <c r="BT86" i="8"/>
  <c r="BT87" i="8"/>
  <c r="BU130" i="8"/>
  <c r="BU131" i="8"/>
  <c r="BU132" i="8"/>
  <c r="BV139" i="8"/>
  <c r="BW52" i="8"/>
  <c r="BV109" i="8"/>
  <c r="BW40" i="8"/>
  <c r="BW48" i="8"/>
  <c r="BV129" i="8"/>
  <c r="BU90" i="8"/>
  <c r="BU91" i="8"/>
  <c r="BU92" i="8"/>
  <c r="BU110" i="8"/>
  <c r="BU111" i="8"/>
  <c r="BU112" i="8"/>
  <c r="BU140" i="8"/>
  <c r="BU141" i="8"/>
  <c r="BU142" i="8"/>
  <c r="BV30" i="8"/>
  <c r="BU84" i="8"/>
  <c r="BV89" i="8"/>
  <c r="BW32" i="8"/>
  <c r="BV144" i="7"/>
  <c r="BW54" i="7"/>
  <c r="BU145" i="7"/>
  <c r="BU146" i="7"/>
  <c r="BU147" i="7"/>
  <c r="BW52" i="7"/>
  <c r="BV139" i="7"/>
  <c r="BU140" i="7"/>
  <c r="BU141" i="7"/>
  <c r="BU142" i="7"/>
  <c r="BW50" i="7"/>
  <c r="BV134" i="7"/>
  <c r="BU135" i="7"/>
  <c r="BU136" i="7"/>
  <c r="BU137" i="7"/>
  <c r="BY46" i="7"/>
  <c r="BX124" i="7"/>
  <c r="BZ44" i="7"/>
  <c r="BY119" i="7"/>
  <c r="CA33" i="7"/>
  <c r="BX120" i="7"/>
  <c r="BX121" i="7"/>
  <c r="BX122" i="7"/>
  <c r="BW125" i="7"/>
  <c r="BW126" i="7"/>
  <c r="BW127" i="7"/>
  <c r="CB90" i="7"/>
  <c r="CB91" i="7"/>
  <c r="CB92" i="7"/>
  <c r="CB216" i="7"/>
  <c r="BV163" i="6"/>
  <c r="BW56" i="6"/>
  <c r="BU164" i="6"/>
  <c r="BU165" i="6"/>
  <c r="BU166" i="6"/>
  <c r="BU159" i="6"/>
  <c r="BU160" i="6"/>
  <c r="BU161" i="6"/>
  <c r="BW54" i="6"/>
  <c r="BV158" i="6"/>
  <c r="BU154" i="6"/>
  <c r="BU155" i="6"/>
  <c r="BU156" i="6"/>
  <c r="BW52" i="6"/>
  <c r="BV153" i="6"/>
  <c r="BU149" i="6"/>
  <c r="BU150" i="6"/>
  <c r="BU151" i="6"/>
  <c r="BW50" i="6"/>
  <c r="BV148" i="6"/>
  <c r="BU144" i="6"/>
  <c r="BU145" i="6"/>
  <c r="BU146" i="6"/>
  <c r="BV143" i="6"/>
  <c r="BW48" i="6"/>
  <c r="BV160" i="9"/>
  <c r="BV161" i="9"/>
  <c r="BV162" i="9"/>
  <c r="BW159" i="9"/>
  <c r="BX60" i="9"/>
  <c r="BW58" i="9"/>
  <c r="BV154" i="9"/>
  <c r="BU155" i="9"/>
  <c r="BU156" i="9"/>
  <c r="BU157" i="9"/>
  <c r="BW109" i="9"/>
  <c r="BX40" i="9"/>
  <c r="BX36" i="9"/>
  <c r="BW99" i="9"/>
  <c r="BV110" i="9"/>
  <c r="BV111" i="9"/>
  <c r="BV112" i="9"/>
  <c r="BV100" i="9"/>
  <c r="BV101" i="9"/>
  <c r="BV102" i="9"/>
  <c r="BU167" i="1"/>
  <c r="BU168" i="1"/>
  <c r="BU169" i="1"/>
  <c r="BW62" i="1"/>
  <c r="BV166" i="1"/>
  <c r="BU147" i="1"/>
  <c r="BU148" i="1"/>
  <c r="BU149" i="1"/>
  <c r="BU127" i="1"/>
  <c r="BU128" i="1"/>
  <c r="BU129" i="1"/>
  <c r="BV126" i="1"/>
  <c r="BW46" i="1"/>
  <c r="BV146" i="1"/>
  <c r="BW54" i="1"/>
  <c r="BW122" i="1"/>
  <c r="BW123" i="1"/>
  <c r="BW124" i="1"/>
  <c r="BX121" i="1"/>
  <c r="BY44" i="1"/>
  <c r="BY36" i="1"/>
  <c r="BX101" i="1"/>
  <c r="BV106" i="1"/>
  <c r="BW38" i="1"/>
  <c r="BW102" i="1"/>
  <c r="BW103" i="1"/>
  <c r="BW104" i="1"/>
  <c r="BY40" i="1"/>
  <c r="BX111" i="1"/>
  <c r="BU107" i="1"/>
  <c r="BU108" i="1"/>
  <c r="BU109" i="1"/>
  <c r="BW112" i="1"/>
  <c r="BW113" i="1"/>
  <c r="BW114" i="1"/>
  <c r="BW129" i="7"/>
  <c r="BW130" i="7"/>
  <c r="BW131" i="7"/>
  <c r="BW132" i="7"/>
  <c r="BX48" i="7"/>
  <c r="AH68" i="2"/>
  <c r="AI68" i="2"/>
  <c r="AX75" i="9"/>
  <c r="AY237" i="9"/>
  <c r="BW77" i="2"/>
  <c r="BX198" i="2"/>
  <c r="BY231" i="8"/>
  <c r="H59" i="11"/>
  <c r="I229" i="11"/>
  <c r="AH47" i="2"/>
  <c r="AI47" i="2"/>
  <c r="AH44" i="2"/>
  <c r="AI44" i="2"/>
  <c r="AH54" i="2"/>
  <c r="AI54" i="2"/>
  <c r="AH62" i="2"/>
  <c r="AI62" i="2"/>
  <c r="AH45" i="2"/>
  <c r="AI45" i="2"/>
  <c r="AH72" i="2"/>
  <c r="AI72" i="2"/>
  <c r="AH74" i="2"/>
  <c r="AI74" i="2"/>
  <c r="AI75" i="2"/>
  <c r="AI76" i="2"/>
  <c r="AI77" i="2"/>
  <c r="AI78" i="2"/>
  <c r="AI79" i="2"/>
  <c r="AI80" i="2"/>
  <c r="AI81" i="2"/>
  <c r="AI82" i="2"/>
  <c r="AI83" i="2"/>
  <c r="AI84" i="2"/>
  <c r="AI85" i="2"/>
  <c r="AI86" i="2"/>
  <c r="AI87" i="2"/>
  <c r="AI88" i="2"/>
  <c r="AI89" i="2"/>
  <c r="AI90" i="2"/>
  <c r="AI91" i="2"/>
  <c r="AI92" i="2"/>
  <c r="AI93" i="2"/>
  <c r="AI94" i="2"/>
  <c r="AI95" i="2"/>
  <c r="AI96" i="2"/>
  <c r="AI97" i="2"/>
  <c r="AI98" i="2"/>
  <c r="AI99" i="2"/>
  <c r="AI100" i="2"/>
  <c r="AI101" i="2"/>
  <c r="AI102" i="2"/>
  <c r="AI103" i="2"/>
  <c r="AI104" i="2"/>
  <c r="AI105" i="2"/>
  <c r="AI106" i="2"/>
  <c r="AI107" i="2"/>
  <c r="AI108" i="2"/>
  <c r="AI109" i="2"/>
  <c r="AI110" i="2"/>
  <c r="AI111" i="2"/>
  <c r="AI112" i="2"/>
  <c r="AI113" i="2"/>
  <c r="AI114" i="2"/>
  <c r="AH50" i="2"/>
  <c r="AI50" i="2"/>
  <c r="AH49" i="2"/>
  <c r="AI49" i="2"/>
  <c r="AH48" i="2"/>
  <c r="AI48" i="2"/>
  <c r="AH58" i="2"/>
  <c r="AI58" i="2"/>
  <c r="AH46" i="2"/>
  <c r="AI46" i="2"/>
  <c r="AH61" i="2"/>
  <c r="AI61" i="2"/>
  <c r="AH59" i="2"/>
  <c r="AI59" i="2"/>
  <c r="AH57" i="2"/>
  <c r="AI57" i="2"/>
  <c r="AH53" i="2"/>
  <c r="AI53" i="2"/>
  <c r="AH65" i="2"/>
  <c r="AI65" i="2"/>
  <c r="AH55" i="2"/>
  <c r="AI55" i="2"/>
  <c r="AH52" i="2"/>
  <c r="AI52" i="2"/>
  <c r="AH73" i="2"/>
  <c r="AI73" i="2"/>
  <c r="AH69" i="2"/>
  <c r="AI69" i="2"/>
  <c r="R40" i="37"/>
  <c r="S41" i="37"/>
  <c r="AK24" i="26"/>
  <c r="AJ49" i="41"/>
  <c r="AS49" i="41"/>
  <c r="AU49" i="41"/>
  <c r="AL49" i="41"/>
  <c r="AE49" i="41"/>
  <c r="AN49" i="41"/>
  <c r="AR49" i="41"/>
  <c r="AD49" i="41"/>
  <c r="X49" i="41"/>
  <c r="AH49" i="41"/>
  <c r="AF49" i="41"/>
  <c r="Y49" i="41"/>
  <c r="AA49" i="41"/>
  <c r="AP49" i="41"/>
  <c r="AG49" i="41"/>
  <c r="AT49" i="41"/>
  <c r="AV49" i="41"/>
  <c r="AB49" i="41"/>
  <c r="AM49" i="41"/>
  <c r="AO49" i="41"/>
  <c r="AC49" i="41"/>
  <c r="AI49" i="41"/>
  <c r="AW49" i="41"/>
  <c r="AQ49" i="41"/>
  <c r="AK49" i="41"/>
  <c r="Z49" i="41"/>
  <c r="AH56" i="2"/>
  <c r="AI56" i="2"/>
  <c r="AH51" i="2"/>
  <c r="AI51" i="2"/>
  <c r="AH70" i="2"/>
  <c r="AI70" i="2"/>
  <c r="AH66" i="2"/>
  <c r="AI66" i="2"/>
  <c r="AH64" i="2"/>
  <c r="AI64" i="2"/>
  <c r="AH60" i="2"/>
  <c r="AI60" i="2"/>
  <c r="AH63" i="2"/>
  <c r="AI63" i="2"/>
  <c r="AH71" i="2"/>
  <c r="AI71" i="2"/>
  <c r="P6" i="39"/>
  <c r="F6" i="39"/>
  <c r="AJ17" i="2"/>
  <c r="F17" i="20"/>
  <c r="E15" i="38"/>
  <c r="T16" i="20"/>
  <c r="U16" i="20"/>
  <c r="BU177" i="7"/>
  <c r="BZ207" i="11"/>
  <c r="BU182" i="10"/>
  <c r="CB207" i="7"/>
  <c r="CB239" i="7"/>
  <c r="BU137" i="11"/>
  <c r="CB187" i="22"/>
  <c r="CB235" i="22"/>
  <c r="BU167" i="9"/>
  <c r="BU202" i="22"/>
  <c r="BU202" i="9"/>
  <c r="BV202" i="7"/>
  <c r="BU202" i="11"/>
  <c r="BU202" i="10"/>
  <c r="BO95" i="40"/>
  <c r="BP324" i="40"/>
  <c r="BN103" i="40"/>
  <c r="BO328" i="40"/>
  <c r="BN109" i="40"/>
  <c r="BO331" i="40"/>
  <c r="BJ97" i="40"/>
  <c r="BK325" i="40"/>
  <c r="BN111" i="40"/>
  <c r="BO332" i="40"/>
  <c r="BI105" i="40"/>
  <c r="BJ329" i="40"/>
  <c r="BJ107" i="40"/>
  <c r="BK330" i="40"/>
  <c r="BN93" i="40"/>
  <c r="BO323" i="40"/>
  <c r="BN101" i="40"/>
  <c r="BO327" i="40"/>
  <c r="BH99" i="40"/>
  <c r="BI326" i="40"/>
  <c r="BO91" i="40"/>
  <c r="BR312" i="40"/>
  <c r="BQ71" i="40"/>
  <c r="BR299" i="40"/>
  <c r="BQ45" i="40"/>
  <c r="BQ310" i="40"/>
  <c r="BP67" i="40"/>
  <c r="BR314" i="40"/>
  <c r="BQ75" i="40"/>
  <c r="BP313" i="40"/>
  <c r="BO73" i="40"/>
  <c r="BR316" i="40"/>
  <c r="BQ79" i="40"/>
  <c r="BQ317" i="40"/>
  <c r="BP81" i="40"/>
  <c r="BQ315" i="40"/>
  <c r="BP77" i="40"/>
  <c r="BR305" i="40"/>
  <c r="BQ57" i="40"/>
  <c r="BR298" i="40"/>
  <c r="BQ43" i="40"/>
  <c r="BQ307" i="40"/>
  <c r="BP61" i="40"/>
  <c r="BR308" i="40"/>
  <c r="BQ63" i="40"/>
  <c r="BP309" i="40"/>
  <c r="BO65" i="40"/>
  <c r="BR322" i="40"/>
  <c r="BR320" i="40"/>
  <c r="BQ87" i="40"/>
  <c r="BQ297" i="40"/>
  <c r="BP41" i="40"/>
  <c r="BR304" i="40"/>
  <c r="BQ55" i="40"/>
  <c r="BR306" i="40"/>
  <c r="BQ59" i="40"/>
  <c r="BQ302" i="40"/>
  <c r="BP51" i="40"/>
  <c r="BR303" i="40"/>
  <c r="BQ53" i="40"/>
  <c r="BR318" i="40"/>
  <c r="BQ83" i="40"/>
  <c r="BR301" i="40"/>
  <c r="BQ49" i="40"/>
  <c r="BP311" i="40"/>
  <c r="BO69" i="40"/>
  <c r="BR300" i="40"/>
  <c r="BQ47" i="40"/>
  <c r="BQ321" i="40"/>
  <c r="BP89" i="40"/>
  <c r="BQ319" i="40"/>
  <c r="BP85" i="40"/>
  <c r="BX50" i="11"/>
  <c r="BW134" i="11"/>
  <c r="N55" i="11"/>
  <c r="O227" i="11"/>
  <c r="BS63" i="10"/>
  <c r="BT231" i="10"/>
  <c r="BV161" i="10"/>
  <c r="BV160" i="10"/>
  <c r="BV201" i="10"/>
  <c r="BV200" i="10"/>
  <c r="BV236" i="22"/>
  <c r="BU73" i="22"/>
  <c r="CA160" i="7"/>
  <c r="CA161" i="7"/>
  <c r="BX78" i="8"/>
  <c r="BW204" i="8"/>
  <c r="BP71" i="10"/>
  <c r="BQ235" i="10"/>
  <c r="BW201" i="7"/>
  <c r="BW200" i="7"/>
  <c r="R240" i="8"/>
  <c r="Q81" i="8"/>
  <c r="BY156" i="7"/>
  <c r="BY155" i="7"/>
  <c r="BV175" i="7"/>
  <c r="BV176" i="7"/>
  <c r="BD229" i="10"/>
  <c r="BC59" i="10"/>
  <c r="BH67" i="22"/>
  <c r="BI233" i="22"/>
  <c r="BX149" i="11"/>
  <c r="BY56" i="11"/>
  <c r="BS229" i="8"/>
  <c r="BR59" i="8"/>
  <c r="BW63" i="8"/>
  <c r="BX231" i="8"/>
  <c r="BX235" i="22"/>
  <c r="BW71" i="22"/>
  <c r="BZ162" i="7"/>
  <c r="BU187" i="8"/>
  <c r="BW159" i="10"/>
  <c r="BX60" i="10"/>
  <c r="CO147" i="10"/>
  <c r="BV201" i="11"/>
  <c r="BV200" i="11"/>
  <c r="BW199" i="10"/>
  <c r="BX76" i="10"/>
  <c r="BD67" i="9"/>
  <c r="BE233" i="9"/>
  <c r="BX231" i="22"/>
  <c r="BW63" i="22"/>
  <c r="CB61" i="7"/>
  <c r="CA61" i="7"/>
  <c r="BZ61" i="7"/>
  <c r="CB159" i="7"/>
  <c r="BX199" i="7"/>
  <c r="BY76" i="7"/>
  <c r="BV152" i="11"/>
  <c r="BX66" i="7"/>
  <c r="BW174" i="7"/>
  <c r="BE232" i="10"/>
  <c r="BD65" i="10"/>
  <c r="BX79" i="7"/>
  <c r="BY239" i="7"/>
  <c r="BX62" i="9"/>
  <c r="BW164" i="9"/>
  <c r="BW151" i="11"/>
  <c r="BW150" i="11"/>
  <c r="CA206" i="11"/>
  <c r="CA205" i="11"/>
  <c r="BV180" i="10"/>
  <c r="BV181" i="10"/>
  <c r="BW184" i="8"/>
  <c r="BX70" i="8"/>
  <c r="CB165" i="8"/>
  <c r="CB166" i="8"/>
  <c r="BP237" i="11"/>
  <c r="BO75" i="11"/>
  <c r="BX76" i="11"/>
  <c r="BW199" i="11"/>
  <c r="BW138" i="6"/>
  <c r="BW139" i="6"/>
  <c r="BW140" i="6"/>
  <c r="BW141" i="6"/>
  <c r="BX46" i="6"/>
  <c r="BV232" i="9"/>
  <c r="BU65" i="9"/>
  <c r="BU79" i="22"/>
  <c r="BV239" i="22"/>
  <c r="BZ231" i="8"/>
  <c r="CP146" i="10"/>
  <c r="CP145" i="10"/>
  <c r="BD81" i="10"/>
  <c r="BE240" i="10"/>
  <c r="BV233" i="10"/>
  <c r="BU67" i="10"/>
  <c r="BZ125" i="11"/>
  <c r="BZ126" i="11"/>
  <c r="BV166" i="9"/>
  <c r="BV165" i="9"/>
  <c r="BX76" i="22"/>
  <c r="BW199" i="22"/>
  <c r="CB204" i="11"/>
  <c r="CB79" i="11"/>
  <c r="CA79" i="11"/>
  <c r="BV136" i="11"/>
  <c r="BV135" i="11"/>
  <c r="BW179" i="10"/>
  <c r="BX68" i="10"/>
  <c r="BY127" i="11"/>
  <c r="BV185" i="8"/>
  <c r="BV186" i="8"/>
  <c r="T61" i="11"/>
  <c r="U230" i="11"/>
  <c r="BU207" i="8"/>
  <c r="BW239" i="9"/>
  <c r="BV79" i="9"/>
  <c r="CA167" i="8"/>
  <c r="CA231" i="8"/>
  <c r="BX157" i="7"/>
  <c r="BW149" i="22"/>
  <c r="BW150" i="22"/>
  <c r="BW151" i="22"/>
  <c r="BW152" i="22"/>
  <c r="BX56" i="22"/>
  <c r="BV205" i="8"/>
  <c r="BV206" i="8"/>
  <c r="BU162" i="10"/>
  <c r="CR54" i="10"/>
  <c r="CQ144" i="10"/>
  <c r="BZ154" i="7"/>
  <c r="CA58" i="7"/>
  <c r="CB46" i="11"/>
  <c r="CA124" i="11"/>
  <c r="BV200" i="22"/>
  <c r="BV201" i="22"/>
  <c r="C88" i="38"/>
  <c r="U22" i="38"/>
  <c r="AD55" i="38"/>
  <c r="R27" i="2"/>
  <c r="D27" i="20"/>
  <c r="N15" i="39"/>
  <c r="P25" i="20"/>
  <c r="Q25" i="20"/>
  <c r="C23" i="38"/>
  <c r="W49" i="30"/>
  <c r="V49" i="30"/>
  <c r="AO49" i="30"/>
  <c r="BZ40" i="11"/>
  <c r="BY109" i="11"/>
  <c r="BY110" i="11"/>
  <c r="BY111" i="11"/>
  <c r="BY112" i="11"/>
  <c r="BX32" i="10"/>
  <c r="BW89" i="10"/>
  <c r="BW90" i="10"/>
  <c r="BW91" i="10"/>
  <c r="BW92" i="10"/>
  <c r="BW94" i="10"/>
  <c r="BW95" i="10"/>
  <c r="BW96" i="10"/>
  <c r="BW97" i="10"/>
  <c r="BX34" i="10"/>
  <c r="BW139" i="10"/>
  <c r="BW140" i="10"/>
  <c r="BW141" i="10"/>
  <c r="BW142" i="10"/>
  <c r="BX52" i="10"/>
  <c r="BX30" i="10"/>
  <c r="BW84" i="10"/>
  <c r="BW85" i="10"/>
  <c r="BW86" i="10"/>
  <c r="BW87" i="10"/>
  <c r="BX40" i="10"/>
  <c r="BW109" i="10"/>
  <c r="BW110" i="10"/>
  <c r="BW111" i="10"/>
  <c r="BW112" i="10"/>
  <c r="BW104" i="10"/>
  <c r="BW105" i="10"/>
  <c r="BW106" i="10"/>
  <c r="BW107" i="10"/>
  <c r="BX38" i="10"/>
  <c r="BX119" i="10"/>
  <c r="BX120" i="10"/>
  <c r="BX121" i="10"/>
  <c r="BX122" i="10"/>
  <c r="BY44" i="10"/>
  <c r="BX48" i="10"/>
  <c r="BW129" i="10"/>
  <c r="BW130" i="10"/>
  <c r="BW131" i="10"/>
  <c r="BW132" i="10"/>
  <c r="BW124" i="10"/>
  <c r="BW125" i="10"/>
  <c r="BW126" i="10"/>
  <c r="BW127" i="10"/>
  <c r="BX46" i="10"/>
  <c r="BX42" i="10"/>
  <c r="BW114" i="10"/>
  <c r="BW115" i="10"/>
  <c r="BW116" i="10"/>
  <c r="BW117" i="10"/>
  <c r="BX42" i="22"/>
  <c r="BW114" i="22"/>
  <c r="BW115" i="22"/>
  <c r="BW116" i="22"/>
  <c r="BW117" i="22"/>
  <c r="BX50" i="22"/>
  <c r="BW134" i="22"/>
  <c r="BW135" i="22"/>
  <c r="BW136" i="22"/>
  <c r="BW137" i="22"/>
  <c r="BX139" i="22"/>
  <c r="BX140" i="22"/>
  <c r="BX141" i="22"/>
  <c r="BX142" i="22"/>
  <c r="BY52" i="22"/>
  <c r="BY46" i="22"/>
  <c r="BX124" i="22"/>
  <c r="BX125" i="22"/>
  <c r="BX126" i="22"/>
  <c r="BX127" i="22"/>
  <c r="BW124" i="8"/>
  <c r="BW125" i="8"/>
  <c r="BW126" i="8"/>
  <c r="BW127" i="8"/>
  <c r="BX46" i="8"/>
  <c r="BY50" i="8"/>
  <c r="BX134" i="8"/>
  <c r="BX135" i="8"/>
  <c r="BX136" i="8"/>
  <c r="BX137" i="8"/>
  <c r="BZ192" i="8"/>
  <c r="BL73" i="11"/>
  <c r="BM236" i="11"/>
  <c r="BC81" i="9"/>
  <c r="BD240" i="9"/>
  <c r="BE65" i="22"/>
  <c r="BF232" i="22"/>
  <c r="BI67" i="8"/>
  <c r="BJ233" i="8"/>
  <c r="BE76" i="2"/>
  <c r="CF76" i="2"/>
  <c r="BF197" i="2"/>
  <c r="AD76" i="2"/>
  <c r="AF76" i="2"/>
  <c r="AG76" i="2"/>
  <c r="AE197" i="2"/>
  <c r="AT31" i="22"/>
  <c r="AU215" i="22"/>
  <c r="BA69" i="7"/>
  <c r="BB234" i="7"/>
  <c r="BG75" i="8"/>
  <c r="BH237" i="8"/>
  <c r="BJ67" i="11"/>
  <c r="BK233" i="11"/>
  <c r="CB73" i="8"/>
  <c r="CA73" i="8"/>
  <c r="BZ73" i="8"/>
  <c r="BY73" i="8"/>
  <c r="BX73" i="8"/>
  <c r="CB189" i="8"/>
  <c r="Q65" i="11"/>
  <c r="R232" i="11"/>
  <c r="U63" i="11"/>
  <c r="V231" i="11"/>
  <c r="BU192" i="9"/>
  <c r="V69" i="11"/>
  <c r="W234" i="11"/>
  <c r="BH75" i="7"/>
  <c r="BI237" i="7"/>
  <c r="BF69" i="9"/>
  <c r="BG234" i="9"/>
  <c r="BK69" i="8"/>
  <c r="BL234" i="8"/>
  <c r="BJ61" i="22"/>
  <c r="BK230" i="22"/>
  <c r="BN61" i="8"/>
  <c r="BO230" i="8"/>
  <c r="BG75" i="10"/>
  <c r="BH237" i="10"/>
  <c r="BI69" i="22"/>
  <c r="BJ234" i="22"/>
  <c r="BL77" i="8"/>
  <c r="BM238" i="8"/>
  <c r="AQ65" i="7"/>
  <c r="AR232" i="7"/>
  <c r="BV191" i="9"/>
  <c r="BV190" i="9"/>
  <c r="C76" i="2"/>
  <c r="D197" i="2"/>
  <c r="AW197" i="2"/>
  <c r="AV76" i="2"/>
  <c r="BX76" i="9"/>
  <c r="BW199" i="9"/>
  <c r="AD198" i="2"/>
  <c r="AM198" i="2"/>
  <c r="BE198" i="2"/>
  <c r="AV198" i="2"/>
  <c r="U198" i="2"/>
  <c r="C198" i="2"/>
  <c r="L198" i="2"/>
  <c r="BN198" i="2"/>
  <c r="BX72" i="9"/>
  <c r="BW189" i="9"/>
  <c r="U76" i="2"/>
  <c r="W76" i="2"/>
  <c r="X76" i="2"/>
  <c r="V197" i="2"/>
  <c r="BN76" i="2"/>
  <c r="BO197" i="2"/>
  <c r="I65" i="8"/>
  <c r="J232" i="8"/>
  <c r="BV201" i="9"/>
  <c r="BV200" i="9"/>
  <c r="BE79" i="10"/>
  <c r="BF239" i="10"/>
  <c r="G73" i="7"/>
  <c r="H236" i="7"/>
  <c r="CA190" i="8"/>
  <c r="CA191" i="8"/>
  <c r="BI71" i="7"/>
  <c r="BJ235" i="7"/>
  <c r="A79" i="2"/>
  <c r="A199" i="2"/>
  <c r="BW199" i="2"/>
  <c r="BB49" i="11"/>
  <c r="BC224" i="11"/>
  <c r="BE81" i="7"/>
  <c r="BF240" i="7"/>
  <c r="BJ81" i="11"/>
  <c r="BK240" i="11"/>
  <c r="BD57" i="10"/>
  <c r="BE228" i="10"/>
  <c r="AW73" i="10"/>
  <c r="AX236" i="10"/>
  <c r="AX53" i="11"/>
  <c r="AY226" i="11"/>
  <c r="BD71" i="9"/>
  <c r="BE235" i="9"/>
  <c r="BG75" i="22"/>
  <c r="BH237" i="22"/>
  <c r="M197" i="2"/>
  <c r="L76" i="2"/>
  <c r="N76" i="2"/>
  <c r="O76" i="2"/>
  <c r="AM76" i="2"/>
  <c r="AN197" i="2"/>
  <c r="BG81" i="22"/>
  <c r="BH240" i="22"/>
  <c r="BW89" i="22"/>
  <c r="BW90" i="22"/>
  <c r="BW91" i="22"/>
  <c r="BW92" i="22"/>
  <c r="BX32" i="22"/>
  <c r="L49" i="30"/>
  <c r="N49" i="30"/>
  <c r="O49" i="30"/>
  <c r="P49" i="30"/>
  <c r="Q49" i="30"/>
  <c r="T49" i="30"/>
  <c r="AT49" i="30"/>
  <c r="AH49" i="30"/>
  <c r="AR49" i="30"/>
  <c r="AM49" i="30"/>
  <c r="AP49" i="30"/>
  <c r="AQ49" i="30"/>
  <c r="AJ49" i="30"/>
  <c r="Z49" i="30"/>
  <c r="AL49" i="30"/>
  <c r="AN49" i="30"/>
  <c r="AB49" i="30"/>
  <c r="AU49" i="30"/>
  <c r="BW119" i="8"/>
  <c r="BW120" i="8"/>
  <c r="BW121" i="8"/>
  <c r="BW122" i="8"/>
  <c r="BX44" i="8"/>
  <c r="CB35" i="8"/>
  <c r="CB94" i="8"/>
  <c r="CB95" i="8"/>
  <c r="CB96" i="8"/>
  <c r="CB97" i="8"/>
  <c r="BX42" i="8"/>
  <c r="BW114" i="8"/>
  <c r="BW115" i="8"/>
  <c r="BW116" i="8"/>
  <c r="BW117" i="8"/>
  <c r="BX32" i="11"/>
  <c r="BW89" i="11"/>
  <c r="BW90" i="11"/>
  <c r="BW91" i="11"/>
  <c r="BW92" i="11"/>
  <c r="BV63" i="7"/>
  <c r="BW231" i="7"/>
  <c r="BY30" i="9"/>
  <c r="BX84" i="9"/>
  <c r="BX85" i="9"/>
  <c r="BX86" i="9"/>
  <c r="BX87" i="9"/>
  <c r="BX52" i="9"/>
  <c r="BW139" i="9"/>
  <c r="BW140" i="9"/>
  <c r="BW141" i="9"/>
  <c r="BW142" i="9"/>
  <c r="BY86" i="1"/>
  <c r="BY87" i="1"/>
  <c r="BY88" i="1"/>
  <c r="BY89" i="1"/>
  <c r="BZ30" i="1"/>
  <c r="BW96" i="1"/>
  <c r="BW97" i="1"/>
  <c r="BW98" i="1"/>
  <c r="BW99" i="1"/>
  <c r="BX34" i="1"/>
  <c r="BY91" i="1"/>
  <c r="BY92" i="1"/>
  <c r="BY93" i="1"/>
  <c r="BY94" i="1"/>
  <c r="BZ32" i="1"/>
  <c r="BW131" i="1"/>
  <c r="BW132" i="1"/>
  <c r="BW133" i="1"/>
  <c r="BW134" i="1"/>
  <c r="BX48" i="1"/>
  <c r="BW156" i="1"/>
  <c r="BW157" i="1"/>
  <c r="BW158" i="1"/>
  <c r="BW159" i="1"/>
  <c r="BX58" i="1"/>
  <c r="BX52" i="1"/>
  <c r="BW141" i="1"/>
  <c r="BW142" i="1"/>
  <c r="BW143" i="1"/>
  <c r="BW144" i="1"/>
  <c r="BW181" i="1"/>
  <c r="BW182" i="1"/>
  <c r="BW183" i="1"/>
  <c r="BW184" i="1"/>
  <c r="BX68" i="1"/>
  <c r="BW171" i="1"/>
  <c r="BW172" i="1"/>
  <c r="BW173" i="1"/>
  <c r="BW174" i="1"/>
  <c r="BX64" i="1"/>
  <c r="BX50" i="1"/>
  <c r="BW136" i="1"/>
  <c r="BW137" i="1"/>
  <c r="BW138" i="1"/>
  <c r="BW139" i="1"/>
  <c r="W13" i="38"/>
  <c r="AF46" i="38"/>
  <c r="E79" i="38"/>
  <c r="E80" i="38"/>
  <c r="W14" i="38"/>
  <c r="AF47" i="38"/>
  <c r="AA30" i="26"/>
  <c r="R46" i="35"/>
  <c r="S47" i="35"/>
  <c r="BU97" i="22"/>
  <c r="BY44" i="22"/>
  <c r="BX119" i="22"/>
  <c r="BX120" i="22"/>
  <c r="BX121" i="22"/>
  <c r="BX122" i="22"/>
  <c r="BX26" i="6"/>
  <c r="BW88" i="6"/>
  <c r="BW89" i="6"/>
  <c r="BW90" i="6"/>
  <c r="BW91" i="6"/>
  <c r="BW123" i="6"/>
  <c r="BW124" i="6"/>
  <c r="BW125" i="6"/>
  <c r="BW126" i="6"/>
  <c r="BX40" i="6"/>
  <c r="BX22" i="6"/>
  <c r="BW78" i="6"/>
  <c r="BW79" i="6"/>
  <c r="BW80" i="6"/>
  <c r="BW81" i="6"/>
  <c r="BX36" i="6"/>
  <c r="BW113" i="6"/>
  <c r="BW114" i="6"/>
  <c r="BW115" i="6"/>
  <c r="BW116" i="6"/>
  <c r="BW103" i="6"/>
  <c r="BW104" i="6"/>
  <c r="BW105" i="6"/>
  <c r="BW106" i="6"/>
  <c r="BX32" i="6"/>
  <c r="BX44" i="6"/>
  <c r="BW133" i="6"/>
  <c r="BW134" i="6"/>
  <c r="BW135" i="6"/>
  <c r="BW136" i="6"/>
  <c r="BU106" i="6"/>
  <c r="BX24" i="6"/>
  <c r="BW83" i="6"/>
  <c r="BW84" i="6"/>
  <c r="BW85" i="6"/>
  <c r="BW86" i="6"/>
  <c r="BX98" i="6"/>
  <c r="BX99" i="6"/>
  <c r="BX100" i="6"/>
  <c r="BX101" i="6"/>
  <c r="BY30" i="6"/>
  <c r="BX34" i="6"/>
  <c r="BW108" i="6"/>
  <c r="BW109" i="6"/>
  <c r="BW110" i="6"/>
  <c r="BW111" i="6"/>
  <c r="BY42" i="6"/>
  <c r="BX128" i="6"/>
  <c r="BX129" i="6"/>
  <c r="BX130" i="6"/>
  <c r="BX131" i="6"/>
  <c r="BX28" i="6"/>
  <c r="BW93" i="6"/>
  <c r="BW94" i="6"/>
  <c r="BW95" i="6"/>
  <c r="BW96" i="6"/>
  <c r="CB235" i="1"/>
  <c r="BZ82" i="1"/>
  <c r="BY216" i="1"/>
  <c r="BW219" i="1"/>
  <c r="BX42" i="1"/>
  <c r="BW116" i="1"/>
  <c r="BW117" i="1"/>
  <c r="BW118" i="1"/>
  <c r="BW119" i="1"/>
  <c r="CA80" i="1"/>
  <c r="BZ211" i="1"/>
  <c r="BZ212" i="1"/>
  <c r="BZ213" i="1"/>
  <c r="BZ214" i="1"/>
  <c r="BX217" i="1"/>
  <c r="BX218" i="1"/>
  <c r="BU157" i="22"/>
  <c r="BU199" i="1"/>
  <c r="BV137" i="9"/>
  <c r="BV122" i="11"/>
  <c r="CA104" i="8"/>
  <c r="CA105" i="8"/>
  <c r="CA106" i="8"/>
  <c r="CA107" i="8"/>
  <c r="CB38" i="8"/>
  <c r="BY36" i="8"/>
  <c r="BX99" i="8"/>
  <c r="BX100" i="8"/>
  <c r="BX101" i="8"/>
  <c r="BX102" i="8"/>
  <c r="BY44" i="11"/>
  <c r="BX119" i="11"/>
  <c r="BW120" i="11"/>
  <c r="BW121" i="11"/>
  <c r="BW122" i="11"/>
  <c r="AF30" i="26"/>
  <c r="S47" i="36"/>
  <c r="AA18" i="2"/>
  <c r="E18" i="20"/>
  <c r="D14" i="38"/>
  <c r="O6" i="39"/>
  <c r="E6" i="39"/>
  <c r="R16" i="20"/>
  <c r="S16" i="20"/>
  <c r="BW94" i="22"/>
  <c r="BW95" i="22"/>
  <c r="BW96" i="22"/>
  <c r="BW97" i="22"/>
  <c r="BX34" i="22"/>
  <c r="BX48" i="22"/>
  <c r="BW129" i="22"/>
  <c r="BW130" i="22"/>
  <c r="BW131" i="22"/>
  <c r="BW132" i="22"/>
  <c r="BX104" i="22"/>
  <c r="BX105" i="22"/>
  <c r="BX106" i="22"/>
  <c r="BX107" i="22"/>
  <c r="BY38" i="22"/>
  <c r="BZ109" i="7"/>
  <c r="CA40" i="7"/>
  <c r="BW94" i="7"/>
  <c r="BW95" i="7"/>
  <c r="BW96" i="7"/>
  <c r="BW97" i="7"/>
  <c r="BX34" i="7"/>
  <c r="BX104" i="7"/>
  <c r="BX105" i="7"/>
  <c r="BX106" i="7"/>
  <c r="BX107" i="7"/>
  <c r="BY38" i="7"/>
  <c r="BY30" i="7"/>
  <c r="BX84" i="7"/>
  <c r="BX85" i="7"/>
  <c r="BX86" i="7"/>
  <c r="BX87" i="7"/>
  <c r="BX99" i="7"/>
  <c r="BX100" i="7"/>
  <c r="BX101" i="7"/>
  <c r="BX102" i="7"/>
  <c r="BY36" i="7"/>
  <c r="BW114" i="7"/>
  <c r="BW115" i="7"/>
  <c r="BW116" i="7"/>
  <c r="BW117" i="7"/>
  <c r="BX42" i="7"/>
  <c r="CA38" i="6"/>
  <c r="BZ118" i="6"/>
  <c r="BZ119" i="6"/>
  <c r="BZ120" i="6"/>
  <c r="BZ121" i="6"/>
  <c r="CA38" i="9"/>
  <c r="BZ104" i="9"/>
  <c r="BZ105" i="9"/>
  <c r="BZ106" i="9"/>
  <c r="BZ107" i="9"/>
  <c r="CB54" i="9"/>
  <c r="CA144" i="9"/>
  <c r="CA145" i="9"/>
  <c r="CA146" i="9"/>
  <c r="CA147" i="9"/>
  <c r="BX46" i="9"/>
  <c r="BW124" i="9"/>
  <c r="BW125" i="9"/>
  <c r="BW126" i="9"/>
  <c r="BW127" i="9"/>
  <c r="BW94" i="9"/>
  <c r="BW95" i="9"/>
  <c r="BW96" i="9"/>
  <c r="BW97" i="9"/>
  <c r="BX34" i="9"/>
  <c r="BW42" i="9"/>
  <c r="BV114" i="9"/>
  <c r="BV115" i="9"/>
  <c r="BV116" i="9"/>
  <c r="BV117" i="9"/>
  <c r="BX134" i="9"/>
  <c r="BX135" i="9"/>
  <c r="BX136" i="9"/>
  <c r="BX137" i="9"/>
  <c r="BY50" i="9"/>
  <c r="BW129" i="9"/>
  <c r="BW130" i="9"/>
  <c r="BW131" i="9"/>
  <c r="BW132" i="9"/>
  <c r="BX48" i="9"/>
  <c r="BY89" i="9"/>
  <c r="BY90" i="9"/>
  <c r="BY91" i="9"/>
  <c r="BY92" i="9"/>
  <c r="BZ32" i="9"/>
  <c r="BV150" i="9"/>
  <c r="BV151" i="9"/>
  <c r="BV152" i="9"/>
  <c r="BX44" i="9"/>
  <c r="BW119" i="9"/>
  <c r="BW120" i="9"/>
  <c r="BW121" i="9"/>
  <c r="BW122" i="9"/>
  <c r="BV130" i="9"/>
  <c r="BV131" i="9"/>
  <c r="BV132" i="9"/>
  <c r="BX56" i="9"/>
  <c r="BW149" i="9"/>
  <c r="BW150" i="9"/>
  <c r="BW151" i="9"/>
  <c r="BW152" i="9"/>
  <c r="BZ76" i="1"/>
  <c r="BY201" i="1"/>
  <c r="BV197" i="1"/>
  <c r="BV198" i="1"/>
  <c r="BV199" i="1"/>
  <c r="CA235" i="1"/>
  <c r="BZ57" i="1"/>
  <c r="BV207" i="1"/>
  <c r="BV208" i="1"/>
  <c r="BX70" i="1"/>
  <c r="BW186" i="1"/>
  <c r="BW187" i="1"/>
  <c r="BW188" i="1"/>
  <c r="BW189" i="1"/>
  <c r="BX74" i="1"/>
  <c r="BW196" i="1"/>
  <c r="BZ66" i="1"/>
  <c r="BY176" i="1"/>
  <c r="BX78" i="1"/>
  <c r="BW206" i="1"/>
  <c r="BW207" i="1"/>
  <c r="BW208" i="1"/>
  <c r="BW209" i="1"/>
  <c r="BY72" i="1"/>
  <c r="BX191" i="1"/>
  <c r="BX192" i="1"/>
  <c r="BX193" i="1"/>
  <c r="BX194" i="1"/>
  <c r="BY60" i="1"/>
  <c r="BX161" i="1"/>
  <c r="BX162" i="1"/>
  <c r="BX163" i="1"/>
  <c r="BX164" i="1"/>
  <c r="S42" i="37"/>
  <c r="AK25" i="26"/>
  <c r="CB115" i="11"/>
  <c r="CB116" i="11"/>
  <c r="CB117" i="11"/>
  <c r="CB221" i="11"/>
  <c r="CA43" i="11"/>
  <c r="R51" i="34"/>
  <c r="R50" i="34"/>
  <c r="BY38" i="11"/>
  <c r="BX104" i="11"/>
  <c r="BW105" i="11"/>
  <c r="BW106" i="11"/>
  <c r="BZ36" i="11"/>
  <c r="BY99" i="11"/>
  <c r="CB30" i="11"/>
  <c r="CB31" i="11"/>
  <c r="CA31" i="11"/>
  <c r="BZ31" i="11"/>
  <c r="BY31" i="11"/>
  <c r="BX31" i="11"/>
  <c r="BW31" i="11"/>
  <c r="BV31" i="11"/>
  <c r="BU31" i="11"/>
  <c r="BT31" i="11"/>
  <c r="BS31" i="11"/>
  <c r="BR31" i="11"/>
  <c r="BQ31" i="11"/>
  <c r="BP31" i="11"/>
  <c r="BO31" i="11"/>
  <c r="BN31" i="11"/>
  <c r="BM31" i="11"/>
  <c r="BL31" i="11"/>
  <c r="BK31" i="11"/>
  <c r="BJ31" i="11"/>
  <c r="BI31" i="11"/>
  <c r="BH31" i="11"/>
  <c r="BG31" i="11"/>
  <c r="BF31" i="11"/>
  <c r="BE31" i="11"/>
  <c r="BD31" i="11"/>
  <c r="BC31" i="11"/>
  <c r="BB31" i="11"/>
  <c r="BA31" i="11"/>
  <c r="AZ31" i="11"/>
  <c r="AY31" i="11"/>
  <c r="AX31" i="11"/>
  <c r="AW31" i="11"/>
  <c r="AV31" i="11"/>
  <c r="AU31" i="11"/>
  <c r="AT31" i="11"/>
  <c r="AS31" i="11"/>
  <c r="AR31" i="11"/>
  <c r="AQ31" i="11"/>
  <c r="AP31" i="11"/>
  <c r="AO31" i="11"/>
  <c r="AN31" i="11"/>
  <c r="AM31" i="11"/>
  <c r="AL31" i="11"/>
  <c r="AK31" i="11"/>
  <c r="AJ31" i="11"/>
  <c r="AI31" i="11"/>
  <c r="AH31" i="11"/>
  <c r="AG31" i="11"/>
  <c r="AF31" i="11"/>
  <c r="AE31" i="11"/>
  <c r="AD31" i="11"/>
  <c r="AC31" i="11"/>
  <c r="AB31" i="11"/>
  <c r="AA31" i="11"/>
  <c r="Z31" i="11"/>
  <c r="Y31" i="11"/>
  <c r="X31" i="11"/>
  <c r="W31" i="11"/>
  <c r="V31" i="11"/>
  <c r="U31" i="11"/>
  <c r="T31" i="11"/>
  <c r="S31" i="11"/>
  <c r="R31" i="11"/>
  <c r="Q31" i="11"/>
  <c r="P31" i="11"/>
  <c r="O31" i="11"/>
  <c r="N31" i="11"/>
  <c r="M31" i="11"/>
  <c r="L31" i="11"/>
  <c r="K31" i="11"/>
  <c r="J31" i="11"/>
  <c r="I31" i="11"/>
  <c r="H31" i="11"/>
  <c r="G31" i="11"/>
  <c r="F31" i="11"/>
  <c r="E31" i="11"/>
  <c r="D31" i="11"/>
  <c r="C31" i="11"/>
  <c r="CA84" i="11"/>
  <c r="BX100" i="11"/>
  <c r="BX101" i="11"/>
  <c r="BX102" i="11"/>
  <c r="BZ85" i="11"/>
  <c r="BZ86" i="11"/>
  <c r="BZ87" i="11"/>
  <c r="BV107" i="11"/>
  <c r="BX134" i="10"/>
  <c r="BY50" i="10"/>
  <c r="BW135" i="10"/>
  <c r="BW136" i="10"/>
  <c r="BW137" i="10"/>
  <c r="BY36" i="10"/>
  <c r="BX99" i="10"/>
  <c r="BW100" i="10"/>
  <c r="BW101" i="10"/>
  <c r="BW102" i="10"/>
  <c r="BW154" i="22"/>
  <c r="BX58" i="22"/>
  <c r="BV155" i="22"/>
  <c r="BV156" i="22"/>
  <c r="BV157" i="22"/>
  <c r="BX144" i="22"/>
  <c r="BY54" i="22"/>
  <c r="BW100" i="22"/>
  <c r="BW101" i="22"/>
  <c r="BW102" i="22"/>
  <c r="BX109" i="22"/>
  <c r="BY40" i="22"/>
  <c r="BW145" i="22"/>
  <c r="BW146" i="22"/>
  <c r="BW147" i="22"/>
  <c r="BX99" i="22"/>
  <c r="BY36" i="22"/>
  <c r="BW110" i="22"/>
  <c r="BW111" i="22"/>
  <c r="BW112" i="22"/>
  <c r="BZ149" i="8"/>
  <c r="CA56" i="8"/>
  <c r="BY150" i="8"/>
  <c r="BY151" i="8"/>
  <c r="BY152" i="8"/>
  <c r="BX144" i="8"/>
  <c r="BY54" i="8"/>
  <c r="BW145" i="8"/>
  <c r="BW146" i="8"/>
  <c r="BW147" i="8"/>
  <c r="BV90" i="8"/>
  <c r="BV91" i="8"/>
  <c r="BV92" i="8"/>
  <c r="BV84" i="8"/>
  <c r="BW30" i="8"/>
  <c r="BV130" i="8"/>
  <c r="BV131" i="8"/>
  <c r="BV132" i="8"/>
  <c r="BV110" i="8"/>
  <c r="BV111" i="8"/>
  <c r="BV112" i="8"/>
  <c r="BX48" i="8"/>
  <c r="BW129" i="8"/>
  <c r="BX52" i="8"/>
  <c r="BW139" i="8"/>
  <c r="BW89" i="8"/>
  <c r="BX32" i="8"/>
  <c r="BU85" i="8"/>
  <c r="BU86" i="8"/>
  <c r="BU87" i="8"/>
  <c r="BW109" i="8"/>
  <c r="BX40" i="8"/>
  <c r="BV140" i="8"/>
  <c r="BV141" i="8"/>
  <c r="BV142" i="8"/>
  <c r="BW144" i="7"/>
  <c r="BX54" i="7"/>
  <c r="BV145" i="7"/>
  <c r="BV146" i="7"/>
  <c r="BV147" i="7"/>
  <c r="BV140" i="7"/>
  <c r="BV141" i="7"/>
  <c r="BX52" i="7"/>
  <c r="BW139" i="7"/>
  <c r="BV135" i="7"/>
  <c r="BV136" i="7"/>
  <c r="BV137" i="7"/>
  <c r="BW134" i="7"/>
  <c r="BX50" i="7"/>
  <c r="CA216" i="7"/>
  <c r="BZ33" i="7"/>
  <c r="BY120" i="7"/>
  <c r="BY121" i="7"/>
  <c r="BY122" i="7"/>
  <c r="BY124" i="7"/>
  <c r="BZ46" i="7"/>
  <c r="CA44" i="7"/>
  <c r="BZ119" i="7"/>
  <c r="BX125" i="7"/>
  <c r="BX126" i="7"/>
  <c r="BX127" i="7"/>
  <c r="BW163" i="6"/>
  <c r="BX56" i="6"/>
  <c r="BV164" i="6"/>
  <c r="BV165" i="6"/>
  <c r="BV166" i="6"/>
  <c r="BV159" i="6"/>
  <c r="BV160" i="6"/>
  <c r="BV161" i="6"/>
  <c r="BW158" i="6"/>
  <c r="BX54" i="6"/>
  <c r="BW153" i="6"/>
  <c r="BX52" i="6"/>
  <c r="BV154" i="6"/>
  <c r="BV155" i="6"/>
  <c r="BV156" i="6"/>
  <c r="BX50" i="6"/>
  <c r="BW148" i="6"/>
  <c r="BV149" i="6"/>
  <c r="BV150" i="6"/>
  <c r="BV151" i="6"/>
  <c r="BV144" i="6"/>
  <c r="BV145" i="6"/>
  <c r="BV146" i="6"/>
  <c r="BX48" i="6"/>
  <c r="BW143" i="6"/>
  <c r="BW160" i="9"/>
  <c r="BW161" i="9"/>
  <c r="BW162" i="9"/>
  <c r="BY60" i="9"/>
  <c r="BX159" i="9"/>
  <c r="BX58" i="9"/>
  <c r="BW154" i="9"/>
  <c r="BV155" i="9"/>
  <c r="BV156" i="9"/>
  <c r="BV157" i="9"/>
  <c r="BX109" i="9"/>
  <c r="BY40" i="9"/>
  <c r="BW110" i="9"/>
  <c r="BW111" i="9"/>
  <c r="BW112" i="9"/>
  <c r="BW100" i="9"/>
  <c r="BW101" i="9"/>
  <c r="BW102" i="9"/>
  <c r="BY36" i="9"/>
  <c r="BX99" i="9"/>
  <c r="BV167" i="1"/>
  <c r="BV168" i="1"/>
  <c r="BW166" i="1"/>
  <c r="BX62" i="1"/>
  <c r="BV127" i="1"/>
  <c r="BV128" i="1"/>
  <c r="BV147" i="1"/>
  <c r="BV148" i="1"/>
  <c r="BV149" i="1"/>
  <c r="BW126" i="1"/>
  <c r="BX46" i="1"/>
  <c r="BX54" i="1"/>
  <c r="BW146" i="1"/>
  <c r="BX122" i="1"/>
  <c r="BX123" i="1"/>
  <c r="BX124" i="1"/>
  <c r="BZ44" i="1"/>
  <c r="BY121" i="1"/>
  <c r="BX112" i="1"/>
  <c r="BX113" i="1"/>
  <c r="BX114" i="1"/>
  <c r="BX102" i="1"/>
  <c r="BX103" i="1"/>
  <c r="BX104" i="1"/>
  <c r="BY111" i="1"/>
  <c r="BZ40" i="1"/>
  <c r="BX38" i="1"/>
  <c r="BW106" i="1"/>
  <c r="BY101" i="1"/>
  <c r="BZ36" i="1"/>
  <c r="BV107" i="1"/>
  <c r="BV108" i="1"/>
  <c r="BV109" i="1"/>
  <c r="AH29" i="26"/>
  <c r="AH52" i="26"/>
  <c r="AH45" i="26"/>
  <c r="AH64" i="26"/>
  <c r="AH89" i="26"/>
  <c r="AH103" i="26"/>
  <c r="AH10" i="26"/>
  <c r="AH31" i="26"/>
  <c r="AH43" i="26"/>
  <c r="AH96" i="26"/>
  <c r="AH81" i="26"/>
  <c r="AH46" i="26"/>
  <c r="AH27" i="26"/>
  <c r="AH93" i="26"/>
  <c r="AH75" i="26"/>
  <c r="AH24" i="26"/>
  <c r="AH85" i="26"/>
  <c r="AH5" i="26"/>
  <c r="AH71" i="26"/>
  <c r="AH69" i="26"/>
  <c r="AH82" i="26"/>
  <c r="AH9" i="26"/>
  <c r="AH76" i="26"/>
  <c r="AH20" i="26"/>
  <c r="AH7" i="26"/>
  <c r="AH22" i="26"/>
  <c r="AH32" i="26"/>
  <c r="AH68" i="26"/>
  <c r="AH70" i="26"/>
  <c r="AH33" i="26"/>
  <c r="AH86" i="26"/>
  <c r="AH77" i="26"/>
  <c r="AH21" i="26"/>
  <c r="AH37" i="26"/>
  <c r="AH49" i="26"/>
  <c r="AH38" i="26"/>
  <c r="AH88" i="26"/>
  <c r="AH16" i="26"/>
  <c r="AH91" i="26"/>
  <c r="AH55" i="26"/>
  <c r="AH41" i="26"/>
  <c r="AH17" i="26"/>
  <c r="AH47" i="26"/>
  <c r="AH95" i="26"/>
  <c r="AH97" i="26"/>
  <c r="AH26" i="26"/>
  <c r="AH11" i="26"/>
  <c r="AH80" i="26"/>
  <c r="AH84" i="26"/>
  <c r="AH25" i="26"/>
  <c r="AH57" i="26"/>
  <c r="AH58" i="26"/>
  <c r="AH23" i="26"/>
  <c r="AH74" i="26"/>
  <c r="AH100" i="26"/>
  <c r="AH15" i="26"/>
  <c r="AH34" i="26"/>
  <c r="AH13" i="26"/>
  <c r="AH36" i="26"/>
  <c r="AH39" i="26"/>
  <c r="AH90" i="26"/>
  <c r="AH67" i="26"/>
  <c r="AH42" i="26"/>
  <c r="AH102" i="26"/>
  <c r="AH101" i="26"/>
  <c r="AH73" i="26"/>
  <c r="AH12" i="26"/>
  <c r="AH18" i="26"/>
  <c r="AH44" i="26"/>
  <c r="AH28" i="26"/>
  <c r="AH61" i="26"/>
  <c r="AH60" i="26"/>
  <c r="AH94" i="26"/>
  <c r="AH40" i="26"/>
  <c r="AH50" i="26"/>
  <c r="AH83" i="26"/>
  <c r="AH48" i="26"/>
  <c r="AH51" i="26"/>
  <c r="AH35" i="26"/>
  <c r="AH98" i="26"/>
  <c r="AH66" i="26"/>
  <c r="AH62" i="26"/>
  <c r="AH72" i="26"/>
  <c r="AH53" i="26"/>
  <c r="AH79" i="26"/>
  <c r="AH14" i="26"/>
  <c r="AH19" i="26"/>
  <c r="AH87" i="26"/>
  <c r="AH63" i="26"/>
  <c r="AH6" i="26"/>
  <c r="AH78" i="26"/>
  <c r="AH59" i="26"/>
  <c r="AH65" i="26"/>
  <c r="AH8" i="26"/>
  <c r="AH30" i="26"/>
  <c r="AH99" i="26"/>
  <c r="AH104" i="26"/>
  <c r="AH54" i="26"/>
  <c r="AH92" i="26"/>
  <c r="AH56" i="26"/>
  <c r="AG49" i="30"/>
  <c r="AE49" i="30"/>
  <c r="AD49" i="30"/>
  <c r="X49" i="30"/>
  <c r="Y49" i="30"/>
  <c r="U50" i="30"/>
  <c r="W50" i="30"/>
  <c r="V50" i="30"/>
  <c r="AS49" i="30"/>
  <c r="AA49" i="30"/>
  <c r="AK49" i="30"/>
  <c r="AF49" i="30"/>
  <c r="AV49" i="30"/>
  <c r="AC49" i="30"/>
  <c r="AI49" i="30"/>
  <c r="BX129" i="7"/>
  <c r="BX130" i="7"/>
  <c r="BX131" i="7"/>
  <c r="BX132" i="7"/>
  <c r="BY48" i="7"/>
  <c r="G59" i="11"/>
  <c r="H229" i="11"/>
  <c r="BX199" i="2"/>
  <c r="BW78" i="2"/>
  <c r="AX237" i="9"/>
  <c r="AW75" i="9"/>
  <c r="R39" i="37"/>
  <c r="AK23" i="26"/>
  <c r="S40" i="37"/>
  <c r="AJ18" i="2"/>
  <c r="F18" i="20"/>
  <c r="U50" i="41"/>
  <c r="T17" i="20"/>
  <c r="U17" i="20"/>
  <c r="P7" i="39"/>
  <c r="F7" i="39"/>
  <c r="BV167" i="9"/>
  <c r="BV177" i="7"/>
  <c r="CA162" i="7"/>
  <c r="CA230" i="7"/>
  <c r="BV202" i="22"/>
  <c r="BY157" i="7"/>
  <c r="BW202" i="7"/>
  <c r="BV162" i="10"/>
  <c r="BZ127" i="11"/>
  <c r="BW152" i="11"/>
  <c r="BG99" i="40"/>
  <c r="BH326" i="40"/>
  <c r="BM93" i="40"/>
  <c r="BN323" i="40"/>
  <c r="BH105" i="40"/>
  <c r="BI329" i="40"/>
  <c r="BI97" i="40"/>
  <c r="BJ325" i="40"/>
  <c r="BM103" i="40"/>
  <c r="BN328" i="40"/>
  <c r="BM101" i="40"/>
  <c r="BN327" i="40"/>
  <c r="BI107" i="40"/>
  <c r="BJ330" i="40"/>
  <c r="BM111" i="40"/>
  <c r="BN332" i="40"/>
  <c r="BM109" i="40"/>
  <c r="BN331" i="40"/>
  <c r="BN95" i="40"/>
  <c r="BO324" i="40"/>
  <c r="BN91" i="40"/>
  <c r="BP319" i="40"/>
  <c r="BO85" i="40"/>
  <c r="BQ300" i="40"/>
  <c r="BP47" i="40"/>
  <c r="BQ301" i="40"/>
  <c r="BP49" i="40"/>
  <c r="BQ303" i="40"/>
  <c r="BP53" i="40"/>
  <c r="BQ306" i="40"/>
  <c r="BP59" i="40"/>
  <c r="BQ322" i="40"/>
  <c r="BQ308" i="40"/>
  <c r="BP63" i="40"/>
  <c r="BQ298" i="40"/>
  <c r="BP43" i="40"/>
  <c r="BP315" i="40"/>
  <c r="BO77" i="40"/>
  <c r="BQ316" i="40"/>
  <c r="BP79" i="40"/>
  <c r="BQ314" i="40"/>
  <c r="BP75" i="40"/>
  <c r="BQ299" i="40"/>
  <c r="BP45" i="40"/>
  <c r="BP321" i="40"/>
  <c r="BO89" i="40"/>
  <c r="BO311" i="40"/>
  <c r="BN69" i="40"/>
  <c r="BQ318" i="40"/>
  <c r="BP83" i="40"/>
  <c r="BP302" i="40"/>
  <c r="BO51" i="40"/>
  <c r="BQ304" i="40"/>
  <c r="BP55" i="40"/>
  <c r="BQ320" i="40"/>
  <c r="BP87" i="40"/>
  <c r="BO309" i="40"/>
  <c r="BN65" i="40"/>
  <c r="BP307" i="40"/>
  <c r="BO61" i="40"/>
  <c r="BQ305" i="40"/>
  <c r="BP57" i="40"/>
  <c r="BP317" i="40"/>
  <c r="BO81" i="40"/>
  <c r="BO313" i="40"/>
  <c r="BN73" i="40"/>
  <c r="BP310" i="40"/>
  <c r="BO67" i="40"/>
  <c r="BQ312" i="40"/>
  <c r="BP71" i="40"/>
  <c r="BP297" i="40"/>
  <c r="BO41" i="40"/>
  <c r="BV137" i="11"/>
  <c r="BZ236" i="8"/>
  <c r="BZ156" i="7"/>
  <c r="BZ155" i="7"/>
  <c r="BV207" i="8"/>
  <c r="BW181" i="10"/>
  <c r="BW180" i="10"/>
  <c r="CB206" i="11"/>
  <c r="CB205" i="11"/>
  <c r="BC81" i="10"/>
  <c r="BD240" i="10"/>
  <c r="BY46" i="6"/>
  <c r="BX138" i="6"/>
  <c r="BX139" i="6"/>
  <c r="BX140" i="6"/>
  <c r="BX141" i="6"/>
  <c r="BY76" i="11"/>
  <c r="BX199" i="11"/>
  <c r="BV182" i="10"/>
  <c r="BX164" i="9"/>
  <c r="BY62" i="9"/>
  <c r="CB161" i="7"/>
  <c r="CB160" i="7"/>
  <c r="BW201" i="10"/>
  <c r="BW200" i="10"/>
  <c r="BV63" i="8"/>
  <c r="BW231" i="8"/>
  <c r="BX150" i="11"/>
  <c r="BX151" i="11"/>
  <c r="BW206" i="8"/>
  <c r="BW205" i="8"/>
  <c r="BT73" i="22"/>
  <c r="BU236" i="22"/>
  <c r="CA125" i="11"/>
  <c r="CA126" i="11"/>
  <c r="CQ146" i="10"/>
  <c r="CQ145" i="10"/>
  <c r="BU233" i="10"/>
  <c r="BT67" i="10"/>
  <c r="BT79" i="22"/>
  <c r="BU239" i="22"/>
  <c r="BO237" i="11"/>
  <c r="BN75" i="11"/>
  <c r="BY199" i="7"/>
  <c r="BZ76" i="7"/>
  <c r="BY61" i="7"/>
  <c r="BZ230" i="7"/>
  <c r="BD233" i="9"/>
  <c r="BC67" i="9"/>
  <c r="BY60" i="10"/>
  <c r="BX159" i="10"/>
  <c r="BV71" i="22"/>
  <c r="BW235" i="22"/>
  <c r="BR229" i="8"/>
  <c r="BQ59" i="8"/>
  <c r="Q240" i="8"/>
  <c r="P81" i="8"/>
  <c r="BY78" i="8"/>
  <c r="BX204" i="8"/>
  <c r="M55" i="11"/>
  <c r="N227" i="11"/>
  <c r="CB47" i="11"/>
  <c r="CA47" i="11"/>
  <c r="BZ47" i="11"/>
  <c r="BY47" i="11"/>
  <c r="CB124" i="11"/>
  <c r="CR144" i="10"/>
  <c r="CS54" i="10"/>
  <c r="BX149" i="22"/>
  <c r="BX150" i="22"/>
  <c r="BX151" i="22"/>
  <c r="BX152" i="22"/>
  <c r="BY56" i="22"/>
  <c r="BV239" i="9"/>
  <c r="BU79" i="9"/>
  <c r="T230" i="11"/>
  <c r="S61" i="11"/>
  <c r="BW200" i="22"/>
  <c r="BW201" i="22"/>
  <c r="CP147" i="10"/>
  <c r="BU232" i="9"/>
  <c r="BT65" i="9"/>
  <c r="BX184" i="8"/>
  <c r="BY70" i="8"/>
  <c r="BX239" i="7"/>
  <c r="BW79" i="7"/>
  <c r="BW175" i="7"/>
  <c r="BW176" i="7"/>
  <c r="BX200" i="7"/>
  <c r="BX201" i="7"/>
  <c r="BV63" i="22"/>
  <c r="BW231" i="22"/>
  <c r="BV202" i="11"/>
  <c r="BW160" i="10"/>
  <c r="BW161" i="10"/>
  <c r="BG67" i="22"/>
  <c r="BH233" i="22"/>
  <c r="BO71" i="10"/>
  <c r="BP235" i="10"/>
  <c r="BW135" i="11"/>
  <c r="BW136" i="11"/>
  <c r="CB58" i="7"/>
  <c r="CA154" i="7"/>
  <c r="BV187" i="8"/>
  <c r="BY68" i="10"/>
  <c r="BX179" i="10"/>
  <c r="BZ79" i="11"/>
  <c r="BX199" i="22"/>
  <c r="BY76" i="22"/>
  <c r="BW201" i="11"/>
  <c r="BW200" i="11"/>
  <c r="CB167" i="8"/>
  <c r="CB231" i="8"/>
  <c r="BW185" i="8"/>
  <c r="BW186" i="8"/>
  <c r="CA207" i="11"/>
  <c r="CA239" i="11"/>
  <c r="BW166" i="9"/>
  <c r="BW165" i="9"/>
  <c r="BC65" i="10"/>
  <c r="BD232" i="10"/>
  <c r="BX174" i="7"/>
  <c r="BY66" i="7"/>
  <c r="BY76" i="10"/>
  <c r="BX199" i="10"/>
  <c r="BY149" i="11"/>
  <c r="BZ56" i="11"/>
  <c r="BB59" i="10"/>
  <c r="BC229" i="10"/>
  <c r="BV202" i="10"/>
  <c r="BR63" i="10"/>
  <c r="BS231" i="10"/>
  <c r="BY50" i="11"/>
  <c r="BX134" i="11"/>
  <c r="R28" i="2"/>
  <c r="D28" i="20"/>
  <c r="C89" i="38"/>
  <c r="U23" i="38"/>
  <c r="AD56" i="38"/>
  <c r="P26" i="20"/>
  <c r="Q26" i="20"/>
  <c r="C24" i="38"/>
  <c r="N16" i="39"/>
  <c r="CA40" i="11"/>
  <c r="BZ109" i="11"/>
  <c r="BZ110" i="11"/>
  <c r="BZ111" i="11"/>
  <c r="BZ112" i="11"/>
  <c r="BY38" i="10"/>
  <c r="BX104" i="10"/>
  <c r="BX105" i="10"/>
  <c r="BX106" i="10"/>
  <c r="BX107" i="10"/>
  <c r="BX94" i="10"/>
  <c r="BX95" i="10"/>
  <c r="BX96" i="10"/>
  <c r="BX97" i="10"/>
  <c r="BY34" i="10"/>
  <c r="BX114" i="10"/>
  <c r="BX115" i="10"/>
  <c r="BX116" i="10"/>
  <c r="BX117" i="10"/>
  <c r="BY42" i="10"/>
  <c r="BX129" i="10"/>
  <c r="BX130" i="10"/>
  <c r="BX131" i="10"/>
  <c r="BX132" i="10"/>
  <c r="BY48" i="10"/>
  <c r="BY30" i="10"/>
  <c r="BX84" i="10"/>
  <c r="BX85" i="10"/>
  <c r="BX86" i="10"/>
  <c r="BX87" i="10"/>
  <c r="BX124" i="10"/>
  <c r="BX125" i="10"/>
  <c r="BX126" i="10"/>
  <c r="BX127" i="10"/>
  <c r="BY46" i="10"/>
  <c r="BY119" i="10"/>
  <c r="BY120" i="10"/>
  <c r="BY121" i="10"/>
  <c r="BY122" i="10"/>
  <c r="BZ44" i="10"/>
  <c r="BY52" i="10"/>
  <c r="BX139" i="10"/>
  <c r="BX140" i="10"/>
  <c r="BX141" i="10"/>
  <c r="BX142" i="10"/>
  <c r="BX109" i="10"/>
  <c r="BX110" i="10"/>
  <c r="BX111" i="10"/>
  <c r="BX112" i="10"/>
  <c r="BY40" i="10"/>
  <c r="BX89" i="10"/>
  <c r="BX90" i="10"/>
  <c r="BX91" i="10"/>
  <c r="BX92" i="10"/>
  <c r="BY32" i="10"/>
  <c r="BZ52" i="22"/>
  <c r="BY139" i="22"/>
  <c r="BY140" i="22"/>
  <c r="BY141" i="22"/>
  <c r="BY142" i="22"/>
  <c r="BY124" i="22"/>
  <c r="BY125" i="22"/>
  <c r="BY126" i="22"/>
  <c r="BY127" i="22"/>
  <c r="BZ46" i="22"/>
  <c r="BX134" i="22"/>
  <c r="BX135" i="22"/>
  <c r="BX136" i="22"/>
  <c r="BX137" i="22"/>
  <c r="BY50" i="22"/>
  <c r="BX114" i="22"/>
  <c r="BX115" i="22"/>
  <c r="BX116" i="22"/>
  <c r="BX117" i="22"/>
  <c r="BY42" i="22"/>
  <c r="BZ50" i="8"/>
  <c r="BY134" i="8"/>
  <c r="BY135" i="8"/>
  <c r="BY136" i="8"/>
  <c r="BY137" i="8"/>
  <c r="BX124" i="8"/>
  <c r="BX125" i="8"/>
  <c r="BX126" i="8"/>
  <c r="BX127" i="8"/>
  <c r="BY46" i="8"/>
  <c r="BV202" i="9"/>
  <c r="BV192" i="9"/>
  <c r="BY32" i="22"/>
  <c r="BX89" i="22"/>
  <c r="BX90" i="22"/>
  <c r="BX91" i="22"/>
  <c r="BX92" i="22"/>
  <c r="CA192" i="8"/>
  <c r="CA236" i="8"/>
  <c r="BW190" i="9"/>
  <c r="BW191" i="9"/>
  <c r="L77" i="2"/>
  <c r="N77" i="2"/>
  <c r="O77" i="2"/>
  <c r="M198" i="2"/>
  <c r="BE77" i="2"/>
  <c r="CF77" i="2"/>
  <c r="BF198" i="2"/>
  <c r="CB190" i="8"/>
  <c r="CB191" i="8"/>
  <c r="BC57" i="10"/>
  <c r="BD228" i="10"/>
  <c r="BI81" i="11"/>
  <c r="BJ240" i="11"/>
  <c r="BA49" i="11"/>
  <c r="BB224" i="11"/>
  <c r="BH71" i="7"/>
  <c r="BI235" i="7"/>
  <c r="BD79" i="10"/>
  <c r="BE239" i="10"/>
  <c r="H65" i="8"/>
  <c r="I232" i="8"/>
  <c r="C77" i="2"/>
  <c r="D198" i="2"/>
  <c r="AM77" i="2"/>
  <c r="AN198" i="2"/>
  <c r="BX199" i="9"/>
  <c r="BY76" i="9"/>
  <c r="BH69" i="22"/>
  <c r="BI234" i="22"/>
  <c r="BM61" i="8"/>
  <c r="BN230" i="8"/>
  <c r="BJ69" i="8"/>
  <c r="BK234" i="8"/>
  <c r="BG75" i="7"/>
  <c r="BH237" i="7"/>
  <c r="BW73" i="8"/>
  <c r="BX236" i="8"/>
  <c r="BF75" i="8"/>
  <c r="BG237" i="8"/>
  <c r="AS31" i="22"/>
  <c r="AT215" i="22"/>
  <c r="BB81" i="9"/>
  <c r="BC240" i="9"/>
  <c r="U199" i="2"/>
  <c r="AM199" i="2"/>
  <c r="BN199" i="2"/>
  <c r="L199" i="2"/>
  <c r="C199" i="2"/>
  <c r="AD199" i="2"/>
  <c r="BE199" i="2"/>
  <c r="AV199" i="2"/>
  <c r="BY72" i="9"/>
  <c r="BX189" i="9"/>
  <c r="U77" i="2"/>
  <c r="W77" i="2"/>
  <c r="X77" i="2"/>
  <c r="V198" i="2"/>
  <c r="AD77" i="2"/>
  <c r="AF77" i="2"/>
  <c r="AG77" i="2"/>
  <c r="AE198" i="2"/>
  <c r="BY236" i="8"/>
  <c r="BH67" i="8"/>
  <c r="BI233" i="8"/>
  <c r="BF81" i="22"/>
  <c r="BG240" i="22"/>
  <c r="BF75" i="22"/>
  <c r="BG237" i="22"/>
  <c r="BC71" i="9"/>
  <c r="BD235" i="9"/>
  <c r="AW53" i="11"/>
  <c r="AX226" i="11"/>
  <c r="AV73" i="10"/>
  <c r="AW236" i="10"/>
  <c r="BD81" i="7"/>
  <c r="BE240" i="7"/>
  <c r="A200" i="2"/>
  <c r="BW200" i="2"/>
  <c r="A80" i="2"/>
  <c r="F73" i="7"/>
  <c r="G236" i="7"/>
  <c r="BN77" i="2"/>
  <c r="BO198" i="2"/>
  <c r="AV77" i="2"/>
  <c r="AW198" i="2"/>
  <c r="BW200" i="9"/>
  <c r="BW201" i="9"/>
  <c r="AP65" i="7"/>
  <c r="AQ232" i="7"/>
  <c r="BK77" i="8"/>
  <c r="BL238" i="8"/>
  <c r="BF75" i="10"/>
  <c r="BG237" i="10"/>
  <c r="BI61" i="22"/>
  <c r="BJ230" i="22"/>
  <c r="BE69" i="9"/>
  <c r="BF234" i="9"/>
  <c r="U69" i="11"/>
  <c r="V234" i="11"/>
  <c r="T63" i="11"/>
  <c r="U231" i="11"/>
  <c r="P65" i="11"/>
  <c r="Q232" i="11"/>
  <c r="BI67" i="11"/>
  <c r="BJ233" i="11"/>
  <c r="AZ69" i="7"/>
  <c r="BA234" i="7"/>
  <c r="BD65" i="22"/>
  <c r="BE232" i="22"/>
  <c r="BK73" i="11"/>
  <c r="BL236" i="11"/>
  <c r="P50" i="30"/>
  <c r="Q50" i="30"/>
  <c r="BY44" i="8"/>
  <c r="BX119" i="8"/>
  <c r="BX120" i="8"/>
  <c r="BX121" i="8"/>
  <c r="BX122" i="8"/>
  <c r="BY42" i="8"/>
  <c r="BX114" i="8"/>
  <c r="BX115" i="8"/>
  <c r="BX116" i="8"/>
  <c r="BX117" i="8"/>
  <c r="CA35" i="8"/>
  <c r="CB217" i="8"/>
  <c r="BU63" i="7"/>
  <c r="BV231" i="7"/>
  <c r="BX89" i="11"/>
  <c r="BX90" i="11"/>
  <c r="BX91" i="11"/>
  <c r="BX92" i="11"/>
  <c r="BY32" i="11"/>
  <c r="BX139" i="9"/>
  <c r="BX140" i="9"/>
  <c r="BX141" i="9"/>
  <c r="BX142" i="9"/>
  <c r="BY52" i="9"/>
  <c r="BY84" i="9"/>
  <c r="BY85" i="9"/>
  <c r="BY86" i="9"/>
  <c r="BY87" i="9"/>
  <c r="BZ30" i="9"/>
  <c r="CA30" i="1"/>
  <c r="BZ86" i="1"/>
  <c r="BZ87" i="1"/>
  <c r="BZ88" i="1"/>
  <c r="BZ89" i="1"/>
  <c r="BX141" i="1"/>
  <c r="BX142" i="1"/>
  <c r="BX143" i="1"/>
  <c r="BX144" i="1"/>
  <c r="BY52" i="1"/>
  <c r="BX171" i="1"/>
  <c r="BX172" i="1"/>
  <c r="BX173" i="1"/>
  <c r="BX174" i="1"/>
  <c r="BY64" i="1"/>
  <c r="BX181" i="1"/>
  <c r="BX182" i="1"/>
  <c r="BX183" i="1"/>
  <c r="BX184" i="1"/>
  <c r="BY68" i="1"/>
  <c r="BY58" i="1"/>
  <c r="BX156" i="1"/>
  <c r="BX157" i="1"/>
  <c r="BX158" i="1"/>
  <c r="BX159" i="1"/>
  <c r="BY48" i="1"/>
  <c r="BX131" i="1"/>
  <c r="BX132" i="1"/>
  <c r="BX133" i="1"/>
  <c r="BX134" i="1"/>
  <c r="BZ91" i="1"/>
  <c r="BZ92" i="1"/>
  <c r="BZ93" i="1"/>
  <c r="BZ94" i="1"/>
  <c r="CA32" i="1"/>
  <c r="BY34" i="1"/>
  <c r="BX96" i="1"/>
  <c r="BX97" i="1"/>
  <c r="BX98" i="1"/>
  <c r="BX99" i="1"/>
  <c r="BX136" i="1"/>
  <c r="BX137" i="1"/>
  <c r="BX138" i="1"/>
  <c r="BX139" i="1"/>
  <c r="BY50" i="1"/>
  <c r="W15" i="38"/>
  <c r="AF48" i="38"/>
  <c r="E81" i="38"/>
  <c r="R45" i="35"/>
  <c r="S46" i="35"/>
  <c r="AA29" i="26"/>
  <c r="BY119" i="22"/>
  <c r="BY120" i="22"/>
  <c r="BY121" i="22"/>
  <c r="BY122" i="22"/>
  <c r="BZ44" i="22"/>
  <c r="BX93" i="6"/>
  <c r="BX94" i="6"/>
  <c r="BX95" i="6"/>
  <c r="BX96" i="6"/>
  <c r="BY28" i="6"/>
  <c r="BY128" i="6"/>
  <c r="BY129" i="6"/>
  <c r="BY130" i="6"/>
  <c r="BY131" i="6"/>
  <c r="BZ42" i="6"/>
  <c r="BY34" i="6"/>
  <c r="BX108" i="6"/>
  <c r="BX109" i="6"/>
  <c r="BX110" i="6"/>
  <c r="BX111" i="6"/>
  <c r="BY24" i="6"/>
  <c r="BX83" i="6"/>
  <c r="BX84" i="6"/>
  <c r="BX85" i="6"/>
  <c r="BX86" i="6"/>
  <c r="BX103" i="6"/>
  <c r="BX104" i="6"/>
  <c r="BX105" i="6"/>
  <c r="BX106" i="6"/>
  <c r="BY32" i="6"/>
  <c r="BY40" i="6"/>
  <c r="BX123" i="6"/>
  <c r="BX124" i="6"/>
  <c r="BX125" i="6"/>
  <c r="BX126" i="6"/>
  <c r="BY98" i="6"/>
  <c r="BY99" i="6"/>
  <c r="BY100" i="6"/>
  <c r="BY101" i="6"/>
  <c r="BZ30" i="6"/>
  <c r="BX133" i="6"/>
  <c r="BY44" i="6"/>
  <c r="BX113" i="6"/>
  <c r="BX114" i="6"/>
  <c r="BX115" i="6"/>
  <c r="BX116" i="6"/>
  <c r="BY36" i="6"/>
  <c r="BX78" i="6"/>
  <c r="BX79" i="6"/>
  <c r="BX80" i="6"/>
  <c r="BX81" i="6"/>
  <c r="BY22" i="6"/>
  <c r="BY26" i="6"/>
  <c r="BX88" i="6"/>
  <c r="BX89" i="6"/>
  <c r="BX90" i="6"/>
  <c r="BX91" i="6"/>
  <c r="BX219" i="1"/>
  <c r="CB80" i="1"/>
  <c r="CA211" i="1"/>
  <c r="CA212" i="1"/>
  <c r="CA213" i="1"/>
  <c r="CA214" i="1"/>
  <c r="BY42" i="1"/>
  <c r="BX116" i="1"/>
  <c r="BX117" i="1"/>
  <c r="BX118" i="1"/>
  <c r="BX119" i="1"/>
  <c r="BY217" i="1"/>
  <c r="BY218" i="1"/>
  <c r="CA82" i="1"/>
  <c r="BZ216" i="1"/>
  <c r="BV129" i="1"/>
  <c r="BV169" i="1"/>
  <c r="BV142" i="7"/>
  <c r="BV209" i="1"/>
  <c r="BY99" i="8"/>
  <c r="BY100" i="8"/>
  <c r="BY101" i="8"/>
  <c r="BY102" i="8"/>
  <c r="BZ36" i="8"/>
  <c r="CB39" i="8"/>
  <c r="CA39" i="8"/>
  <c r="CB104" i="8"/>
  <c r="CB105" i="8"/>
  <c r="CB106" i="8"/>
  <c r="CB107" i="8"/>
  <c r="BX120" i="11"/>
  <c r="BX121" i="11"/>
  <c r="BX122" i="11"/>
  <c r="BZ44" i="11"/>
  <c r="BY119" i="11"/>
  <c r="BF27" i="2"/>
  <c r="BF39" i="2"/>
  <c r="BF35" i="2"/>
  <c r="BF17" i="2"/>
  <c r="BF74" i="2"/>
  <c r="BF73" i="2"/>
  <c r="BF113" i="2"/>
  <c r="CG113" i="2"/>
  <c r="BF60" i="2"/>
  <c r="BF70" i="2"/>
  <c r="BF78" i="2"/>
  <c r="CG78" i="2"/>
  <c r="BF66" i="2"/>
  <c r="BF49" i="2"/>
  <c r="BF45" i="2"/>
  <c r="BF103" i="2"/>
  <c r="CG103" i="2"/>
  <c r="BF46" i="2"/>
  <c r="BF82" i="2"/>
  <c r="CG82" i="2"/>
  <c r="BF47" i="2"/>
  <c r="BF85" i="2"/>
  <c r="CG85" i="2"/>
  <c r="BF59" i="2"/>
  <c r="BF72" i="2"/>
  <c r="BF54" i="2"/>
  <c r="BF64" i="2"/>
  <c r="BF63" i="2"/>
  <c r="BF32" i="2"/>
  <c r="BF18" i="2"/>
  <c r="BF30" i="2"/>
  <c r="BF33" i="2"/>
  <c r="BF24" i="2"/>
  <c r="BF37" i="2"/>
  <c r="BF19" i="2"/>
  <c r="BF26" i="2"/>
  <c r="BF29" i="2"/>
  <c r="BF38" i="2"/>
  <c r="BF41" i="2"/>
  <c r="BF95" i="2"/>
  <c r="CG95" i="2"/>
  <c r="BF107" i="2"/>
  <c r="CG107" i="2"/>
  <c r="BF55" i="2"/>
  <c r="BF75" i="2"/>
  <c r="BF67" i="2"/>
  <c r="BF105" i="2"/>
  <c r="CG105" i="2"/>
  <c r="BF101" i="2"/>
  <c r="CG101" i="2"/>
  <c r="BF57" i="2"/>
  <c r="BF93" i="2"/>
  <c r="CG93" i="2"/>
  <c r="BF87" i="2"/>
  <c r="CG87" i="2"/>
  <c r="BF48" i="2"/>
  <c r="BF110" i="2"/>
  <c r="CG110" i="2"/>
  <c r="BF96" i="2"/>
  <c r="CG96" i="2"/>
  <c r="BF111" i="2"/>
  <c r="CG111" i="2"/>
  <c r="BF108" i="2"/>
  <c r="CG108" i="2"/>
  <c r="BF76" i="2"/>
  <c r="BF51" i="2"/>
  <c r="BF36" i="2"/>
  <c r="BF28" i="2"/>
  <c r="BF23" i="2"/>
  <c r="BF34" i="2"/>
  <c r="BF20" i="2"/>
  <c r="BF31" i="2"/>
  <c r="BF15" i="2"/>
  <c r="BF22" i="2"/>
  <c r="BF25" i="2"/>
  <c r="BF40" i="2"/>
  <c r="BF42" i="2"/>
  <c r="BF99" i="2"/>
  <c r="CG99" i="2"/>
  <c r="BF50" i="2"/>
  <c r="BF79" i="2"/>
  <c r="CG79" i="2"/>
  <c r="BF98" i="2"/>
  <c r="CG98" i="2"/>
  <c r="BF61" i="2"/>
  <c r="BF52" i="2"/>
  <c r="BF53" i="2"/>
  <c r="BF71" i="2"/>
  <c r="BF65" i="2"/>
  <c r="BF90" i="2"/>
  <c r="CG90" i="2"/>
  <c r="BF86" i="2"/>
  <c r="CG86" i="2"/>
  <c r="BF94" i="2"/>
  <c r="CG94" i="2"/>
  <c r="BF69" i="2"/>
  <c r="BF104" i="2"/>
  <c r="CG104" i="2"/>
  <c r="BF84" i="2"/>
  <c r="CG84" i="2"/>
  <c r="BF114" i="2"/>
  <c r="CG114" i="2"/>
  <c r="BF102" i="2"/>
  <c r="CG102" i="2"/>
  <c r="BF16" i="2"/>
  <c r="BF21" i="2"/>
  <c r="BF44" i="2"/>
  <c r="BF43" i="2"/>
  <c r="BF100" i="2"/>
  <c r="CG100" i="2"/>
  <c r="BF91" i="2"/>
  <c r="CG91" i="2"/>
  <c r="BF89" i="2"/>
  <c r="CG89" i="2"/>
  <c r="BF106" i="2"/>
  <c r="CG106" i="2"/>
  <c r="BF83" i="2"/>
  <c r="CG83" i="2"/>
  <c r="BF112" i="2"/>
  <c r="CG112" i="2"/>
  <c r="BF97" i="2"/>
  <c r="CG97" i="2"/>
  <c r="BF88" i="2"/>
  <c r="CG88" i="2"/>
  <c r="BF56" i="2"/>
  <c r="BF68" i="2"/>
  <c r="BF109" i="2"/>
  <c r="CG109" i="2"/>
  <c r="BF80" i="2"/>
  <c r="CG80" i="2"/>
  <c r="BF92" i="2"/>
  <c r="CG92" i="2"/>
  <c r="BF58" i="2"/>
  <c r="BF77" i="2"/>
  <c r="CG77" i="2"/>
  <c r="BF62" i="2"/>
  <c r="BF81" i="2"/>
  <c r="CG81" i="2"/>
  <c r="D80" i="38"/>
  <c r="V14" i="38"/>
  <c r="AE47" i="38"/>
  <c r="D15" i="38"/>
  <c r="O7" i="39"/>
  <c r="E7" i="39"/>
  <c r="R17" i="20"/>
  <c r="S17" i="20"/>
  <c r="AA19" i="2"/>
  <c r="E19" i="20"/>
  <c r="BX129" i="22"/>
  <c r="BX130" i="22"/>
  <c r="BX131" i="22"/>
  <c r="BX132" i="22"/>
  <c r="BY48" i="22"/>
  <c r="BY104" i="22"/>
  <c r="BY105" i="22"/>
  <c r="BY106" i="22"/>
  <c r="BY107" i="22"/>
  <c r="BZ38" i="22"/>
  <c r="BY34" i="22"/>
  <c r="BX94" i="22"/>
  <c r="BX95" i="22"/>
  <c r="BX96" i="22"/>
  <c r="BX97" i="22"/>
  <c r="BZ30" i="7"/>
  <c r="BY84" i="7"/>
  <c r="BY85" i="7"/>
  <c r="BY86" i="7"/>
  <c r="BY87" i="7"/>
  <c r="BZ36" i="7"/>
  <c r="BY99" i="7"/>
  <c r="BX94" i="7"/>
  <c r="BX95" i="7"/>
  <c r="BX96" i="7"/>
  <c r="BX97" i="7"/>
  <c r="BY34" i="7"/>
  <c r="CB40" i="7"/>
  <c r="CA109" i="7"/>
  <c r="CA110" i="7"/>
  <c r="CA111" i="7"/>
  <c r="CA112" i="7"/>
  <c r="BX114" i="7"/>
  <c r="BX115" i="7"/>
  <c r="BX116" i="7"/>
  <c r="BX117" i="7"/>
  <c r="BY42" i="7"/>
  <c r="BY104" i="7"/>
  <c r="BY105" i="7"/>
  <c r="BY106" i="7"/>
  <c r="BY107" i="7"/>
  <c r="BZ38" i="7"/>
  <c r="BZ110" i="7"/>
  <c r="BZ111" i="7"/>
  <c r="BZ112" i="7"/>
  <c r="CA118" i="6"/>
  <c r="CA119" i="6"/>
  <c r="CA120" i="6"/>
  <c r="CA121" i="6"/>
  <c r="CB38" i="6"/>
  <c r="BX42" i="9"/>
  <c r="BW114" i="9"/>
  <c r="BW115" i="9"/>
  <c r="BW116" i="9"/>
  <c r="BW117" i="9"/>
  <c r="BX124" i="9"/>
  <c r="BX125" i="9"/>
  <c r="BX126" i="9"/>
  <c r="BX127" i="9"/>
  <c r="BY46" i="9"/>
  <c r="CB55" i="9"/>
  <c r="CA55" i="9"/>
  <c r="CB144" i="9"/>
  <c r="CB145" i="9"/>
  <c r="CB146" i="9"/>
  <c r="CB147" i="9"/>
  <c r="BY34" i="9"/>
  <c r="BX94" i="9"/>
  <c r="BX95" i="9"/>
  <c r="BX96" i="9"/>
  <c r="BX97" i="9"/>
  <c r="CA104" i="9"/>
  <c r="CA105" i="9"/>
  <c r="CA106" i="9"/>
  <c r="CA107" i="9"/>
  <c r="CB38" i="9"/>
  <c r="BY134" i="9"/>
  <c r="BY135" i="9"/>
  <c r="BY136" i="9"/>
  <c r="BY137" i="9"/>
  <c r="BZ50" i="9"/>
  <c r="CA32" i="9"/>
  <c r="BZ89" i="9"/>
  <c r="BZ90" i="9"/>
  <c r="BZ91" i="9"/>
  <c r="BZ92" i="9"/>
  <c r="BY56" i="9"/>
  <c r="BX149" i="9"/>
  <c r="BX150" i="9"/>
  <c r="BX151" i="9"/>
  <c r="BX152" i="9"/>
  <c r="BY44" i="9"/>
  <c r="BX119" i="9"/>
  <c r="BX120" i="9"/>
  <c r="BX121" i="9"/>
  <c r="BX122" i="9"/>
  <c r="BX129" i="9"/>
  <c r="BX130" i="9"/>
  <c r="BX131" i="9"/>
  <c r="BX132" i="9"/>
  <c r="BY48" i="9"/>
  <c r="BY78" i="1"/>
  <c r="BX206" i="1"/>
  <c r="BX207" i="1"/>
  <c r="BX208" i="1"/>
  <c r="BX209" i="1"/>
  <c r="BY177" i="1"/>
  <c r="BY178" i="1"/>
  <c r="BY179" i="1"/>
  <c r="BY161" i="1"/>
  <c r="BY162" i="1"/>
  <c r="BY163" i="1"/>
  <c r="BY164" i="1"/>
  <c r="BZ60" i="1"/>
  <c r="BZ72" i="1"/>
  <c r="BY191" i="1"/>
  <c r="BY192" i="1"/>
  <c r="BY193" i="1"/>
  <c r="BY194" i="1"/>
  <c r="CA66" i="1"/>
  <c r="BZ176" i="1"/>
  <c r="BZ177" i="1"/>
  <c r="BZ178" i="1"/>
  <c r="BZ179" i="1"/>
  <c r="BW197" i="1"/>
  <c r="BW198" i="1"/>
  <c r="BZ235" i="1"/>
  <c r="BY57" i="1"/>
  <c r="BY74" i="1"/>
  <c r="BX196" i="1"/>
  <c r="BY70" i="1"/>
  <c r="BX186" i="1"/>
  <c r="BX187" i="1"/>
  <c r="BX188" i="1"/>
  <c r="BX189" i="1"/>
  <c r="BY202" i="1"/>
  <c r="BY203" i="1"/>
  <c r="BY204" i="1"/>
  <c r="CA76" i="1"/>
  <c r="BZ201" i="1"/>
  <c r="BZ202" i="1"/>
  <c r="BZ203" i="1"/>
  <c r="BZ204" i="1"/>
  <c r="CA221" i="11"/>
  <c r="BZ43" i="11"/>
  <c r="V33" i="26"/>
  <c r="S50" i="34"/>
  <c r="R49" i="34"/>
  <c r="V34" i="26"/>
  <c r="S51" i="34"/>
  <c r="BW107" i="11"/>
  <c r="CB84" i="11"/>
  <c r="BZ99" i="11"/>
  <c r="CA36" i="11"/>
  <c r="BX105" i="11"/>
  <c r="BX106" i="11"/>
  <c r="CA85" i="11"/>
  <c r="CA86" i="11"/>
  <c r="CA87" i="11"/>
  <c r="BY100" i="11"/>
  <c r="BY101" i="11"/>
  <c r="BY102" i="11"/>
  <c r="BY104" i="11"/>
  <c r="BZ38" i="11"/>
  <c r="BZ50" i="10"/>
  <c r="BY134" i="10"/>
  <c r="BX135" i="10"/>
  <c r="BX136" i="10"/>
  <c r="BX137" i="10"/>
  <c r="BY99" i="10"/>
  <c r="BZ36" i="10"/>
  <c r="BX100" i="10"/>
  <c r="BX101" i="10"/>
  <c r="BX102" i="10"/>
  <c r="BY58" i="22"/>
  <c r="BX154" i="22"/>
  <c r="BW155" i="22"/>
  <c r="BW156" i="22"/>
  <c r="BW157" i="22"/>
  <c r="BX100" i="22"/>
  <c r="BX101" i="22"/>
  <c r="BX102" i="22"/>
  <c r="BY144" i="22"/>
  <c r="BZ54" i="22"/>
  <c r="BY109" i="22"/>
  <c r="BZ40" i="22"/>
  <c r="BX145" i="22"/>
  <c r="BX146" i="22"/>
  <c r="BX147" i="22"/>
  <c r="BX110" i="22"/>
  <c r="BX111" i="22"/>
  <c r="BX112" i="22"/>
  <c r="BY99" i="22"/>
  <c r="BZ36" i="22"/>
  <c r="CB56" i="8"/>
  <c r="CA149" i="8"/>
  <c r="BZ150" i="8"/>
  <c r="BZ151" i="8"/>
  <c r="BZ152" i="8"/>
  <c r="BY144" i="8"/>
  <c r="BZ54" i="8"/>
  <c r="BX145" i="8"/>
  <c r="BX146" i="8"/>
  <c r="BX147" i="8"/>
  <c r="BX109" i="8"/>
  <c r="BY40" i="8"/>
  <c r="BW90" i="8"/>
  <c r="BW91" i="8"/>
  <c r="BW92" i="8"/>
  <c r="BW130" i="8"/>
  <c r="BW131" i="8"/>
  <c r="BW132" i="8"/>
  <c r="BW110" i="8"/>
  <c r="BW111" i="8"/>
  <c r="BW112" i="8"/>
  <c r="BX129" i="8"/>
  <c r="BY48" i="8"/>
  <c r="BX30" i="8"/>
  <c r="BW84" i="8"/>
  <c r="BX89" i="8"/>
  <c r="BY32" i="8"/>
  <c r="BW140" i="8"/>
  <c r="BW141" i="8"/>
  <c r="BW142" i="8"/>
  <c r="BV85" i="8"/>
  <c r="BV86" i="8"/>
  <c r="BV87" i="8"/>
  <c r="BY52" i="8"/>
  <c r="BX139" i="8"/>
  <c r="BY54" i="7"/>
  <c r="BX144" i="7"/>
  <c r="BW145" i="7"/>
  <c r="BW146" i="7"/>
  <c r="BW147" i="7"/>
  <c r="BW140" i="7"/>
  <c r="BW141" i="7"/>
  <c r="BW142" i="7"/>
  <c r="BX139" i="7"/>
  <c r="BY52" i="7"/>
  <c r="BW135" i="7"/>
  <c r="BW136" i="7"/>
  <c r="BW137" i="7"/>
  <c r="BY50" i="7"/>
  <c r="BX134" i="7"/>
  <c r="BY125" i="7"/>
  <c r="BY126" i="7"/>
  <c r="BY127" i="7"/>
  <c r="BZ120" i="7"/>
  <c r="BZ121" i="7"/>
  <c r="BZ122" i="7"/>
  <c r="BZ216" i="7"/>
  <c r="BY33" i="7"/>
  <c r="CB44" i="7"/>
  <c r="CA119" i="7"/>
  <c r="CA46" i="7"/>
  <c r="BZ124" i="7"/>
  <c r="BY56" i="6"/>
  <c r="BX163" i="6"/>
  <c r="BW164" i="6"/>
  <c r="BW165" i="6"/>
  <c r="BW166" i="6"/>
  <c r="BW159" i="6"/>
  <c r="BW160" i="6"/>
  <c r="BY54" i="6"/>
  <c r="BX158" i="6"/>
  <c r="BX153" i="6"/>
  <c r="BY52" i="6"/>
  <c r="BW154" i="6"/>
  <c r="BW155" i="6"/>
  <c r="BW156" i="6"/>
  <c r="BW149" i="6"/>
  <c r="BW150" i="6"/>
  <c r="BY50" i="6"/>
  <c r="BX148" i="6"/>
  <c r="BX143" i="6"/>
  <c r="BY48" i="6"/>
  <c r="BW144" i="6"/>
  <c r="BW145" i="6"/>
  <c r="BW146" i="6"/>
  <c r="BX160" i="9"/>
  <c r="BX161" i="9"/>
  <c r="BX162" i="9"/>
  <c r="BZ60" i="9"/>
  <c r="BY159" i="9"/>
  <c r="BX154" i="9"/>
  <c r="BY58" i="9"/>
  <c r="BW155" i="9"/>
  <c r="BW156" i="9"/>
  <c r="BW157" i="9"/>
  <c r="BZ36" i="9"/>
  <c r="BY99" i="9"/>
  <c r="BX100" i="9"/>
  <c r="BX101" i="9"/>
  <c r="BX102" i="9"/>
  <c r="BY109" i="9"/>
  <c r="BZ40" i="9"/>
  <c r="BX110" i="9"/>
  <c r="BX111" i="9"/>
  <c r="BX112" i="9"/>
  <c r="BY62" i="1"/>
  <c r="BX166" i="1"/>
  <c r="BW167" i="1"/>
  <c r="BW168" i="1"/>
  <c r="BW169" i="1"/>
  <c r="BW147" i="1"/>
  <c r="BW148" i="1"/>
  <c r="BW149" i="1"/>
  <c r="BX126" i="1"/>
  <c r="BY46" i="1"/>
  <c r="BX146" i="1"/>
  <c r="BY54" i="1"/>
  <c r="BW127" i="1"/>
  <c r="BW128" i="1"/>
  <c r="BW129" i="1"/>
  <c r="BZ121" i="1"/>
  <c r="CA44" i="1"/>
  <c r="BY122" i="1"/>
  <c r="BY123" i="1"/>
  <c r="BY124" i="1"/>
  <c r="BW107" i="1"/>
  <c r="BW108" i="1"/>
  <c r="BW109" i="1"/>
  <c r="BY112" i="1"/>
  <c r="BY113" i="1"/>
  <c r="BY114" i="1"/>
  <c r="CA36" i="1"/>
  <c r="BZ101" i="1"/>
  <c r="BY38" i="1"/>
  <c r="BX106" i="1"/>
  <c r="BY102" i="1"/>
  <c r="BY103" i="1"/>
  <c r="BY104" i="1"/>
  <c r="BZ111" i="1"/>
  <c r="CA40" i="1"/>
  <c r="BY129" i="7"/>
  <c r="BY130" i="7"/>
  <c r="BY131" i="7"/>
  <c r="BY132" i="7"/>
  <c r="BZ48" i="7"/>
  <c r="AJ19" i="2"/>
  <c r="F19" i="20"/>
  <c r="BW79" i="2"/>
  <c r="BX200" i="2"/>
  <c r="AV75" i="9"/>
  <c r="AW237" i="9"/>
  <c r="BZ223" i="11"/>
  <c r="F59" i="11"/>
  <c r="G229" i="11"/>
  <c r="R38" i="37"/>
  <c r="S39" i="37"/>
  <c r="AK22" i="26"/>
  <c r="BG56" i="2"/>
  <c r="CH56" i="2"/>
  <c r="CG56" i="2"/>
  <c r="BG50" i="2"/>
  <c r="CG50" i="2"/>
  <c r="BG20" i="2"/>
  <c r="CH20" i="2"/>
  <c r="CG20" i="2"/>
  <c r="BG32" i="2"/>
  <c r="CH32" i="2"/>
  <c r="CG32" i="2"/>
  <c r="BG62" i="2"/>
  <c r="CG62" i="2"/>
  <c r="BG43" i="2"/>
  <c r="CH43" i="2"/>
  <c r="CG43" i="2"/>
  <c r="BG69" i="2"/>
  <c r="CH69" i="2"/>
  <c r="CG69" i="2"/>
  <c r="BG65" i="2"/>
  <c r="CH65" i="2"/>
  <c r="CG65" i="2"/>
  <c r="BG61" i="2"/>
  <c r="CH61" i="2"/>
  <c r="CG61" i="2"/>
  <c r="BG22" i="2"/>
  <c r="CH22" i="2"/>
  <c r="CG22" i="2"/>
  <c r="BG34" i="2"/>
  <c r="CG34" i="2"/>
  <c r="BG51" i="2"/>
  <c r="CH51" i="2"/>
  <c r="CG51" i="2"/>
  <c r="BG67" i="2"/>
  <c r="CH67" i="2"/>
  <c r="CG67" i="2"/>
  <c r="BG26" i="2"/>
  <c r="CH26" i="2"/>
  <c r="CG26" i="2"/>
  <c r="BG33" i="2"/>
  <c r="CH33" i="2"/>
  <c r="CG33" i="2"/>
  <c r="BG63" i="2"/>
  <c r="CH63" i="2"/>
  <c r="CG63" i="2"/>
  <c r="BG59" i="2"/>
  <c r="CH59" i="2"/>
  <c r="CG59" i="2"/>
  <c r="BG46" i="2"/>
  <c r="CH46" i="2"/>
  <c r="CG46" i="2"/>
  <c r="BG66" i="2"/>
  <c r="CH66" i="2"/>
  <c r="CG66" i="2"/>
  <c r="BG35" i="2"/>
  <c r="CH35" i="2"/>
  <c r="CG35" i="2"/>
  <c r="BG16" i="2"/>
  <c r="CH16" i="2"/>
  <c r="CG16" i="2"/>
  <c r="BG52" i="2"/>
  <c r="CH52" i="2"/>
  <c r="CG52" i="2"/>
  <c r="BG36" i="2"/>
  <c r="CH36" i="2"/>
  <c r="CG36" i="2"/>
  <c r="BG72" i="2"/>
  <c r="CH72" i="2"/>
  <c r="CG72" i="2"/>
  <c r="BG44" i="2"/>
  <c r="CH44" i="2"/>
  <c r="CG44" i="2"/>
  <c r="BG71" i="2"/>
  <c r="CH71" i="2"/>
  <c r="CG71" i="2"/>
  <c r="BG42" i="2"/>
  <c r="CG42" i="2"/>
  <c r="BG15" i="2"/>
  <c r="CH15" i="2"/>
  <c r="CG15" i="2"/>
  <c r="BG23" i="2"/>
  <c r="CH23" i="2"/>
  <c r="CG23" i="2"/>
  <c r="BG76" i="2"/>
  <c r="CG76" i="2"/>
  <c r="BG57" i="2"/>
  <c r="CH57" i="2"/>
  <c r="CG57" i="2"/>
  <c r="BG75" i="2"/>
  <c r="CH75" i="2"/>
  <c r="CG75" i="2"/>
  <c r="BG41" i="2"/>
  <c r="CH41" i="2"/>
  <c r="CG41" i="2"/>
  <c r="BG19" i="2"/>
  <c r="CH19" i="2"/>
  <c r="CG19" i="2"/>
  <c r="BG30" i="2"/>
  <c r="CH30" i="2"/>
  <c r="CG30" i="2"/>
  <c r="BG64" i="2"/>
  <c r="CH64" i="2"/>
  <c r="CG64" i="2"/>
  <c r="BG73" i="2"/>
  <c r="CH73" i="2"/>
  <c r="CG73" i="2"/>
  <c r="BG39" i="2"/>
  <c r="CH39" i="2"/>
  <c r="CG39" i="2"/>
  <c r="BG25" i="2"/>
  <c r="CH25" i="2"/>
  <c r="CG25" i="2"/>
  <c r="BG29" i="2"/>
  <c r="CH29" i="2"/>
  <c r="CG29" i="2"/>
  <c r="BG24" i="2"/>
  <c r="CH24" i="2"/>
  <c r="CG24" i="2"/>
  <c r="BG49" i="2"/>
  <c r="CH49" i="2"/>
  <c r="CG49" i="2"/>
  <c r="BG60" i="2"/>
  <c r="CH60" i="2"/>
  <c r="CG60" i="2"/>
  <c r="BG17" i="2"/>
  <c r="CH17" i="2"/>
  <c r="CG17" i="2"/>
  <c r="BG58" i="2"/>
  <c r="CH58" i="2"/>
  <c r="CG58" i="2"/>
  <c r="BG68" i="2"/>
  <c r="CH68" i="2"/>
  <c r="CG68" i="2"/>
  <c r="BG21" i="2"/>
  <c r="CH21" i="2"/>
  <c r="CG21" i="2"/>
  <c r="BG53" i="2"/>
  <c r="CH53" i="2"/>
  <c r="CG53" i="2"/>
  <c r="BG40" i="2"/>
  <c r="CH40" i="2"/>
  <c r="CG40" i="2"/>
  <c r="BG31" i="2"/>
  <c r="CH31" i="2"/>
  <c r="CG31" i="2"/>
  <c r="BG28" i="2"/>
  <c r="CG28" i="2"/>
  <c r="BG48" i="2"/>
  <c r="CG48" i="2"/>
  <c r="BG55" i="2"/>
  <c r="CG55" i="2"/>
  <c r="BG38" i="2"/>
  <c r="CH38" i="2"/>
  <c r="CG38" i="2"/>
  <c r="BG37" i="2"/>
  <c r="CH37" i="2"/>
  <c r="CG37" i="2"/>
  <c r="BG18" i="2"/>
  <c r="CH18" i="2"/>
  <c r="CG18" i="2"/>
  <c r="BG54" i="2"/>
  <c r="CH54" i="2"/>
  <c r="CG54" i="2"/>
  <c r="BG47" i="2"/>
  <c r="CH47" i="2"/>
  <c r="CG47" i="2"/>
  <c r="BG45" i="2"/>
  <c r="CH45" i="2"/>
  <c r="CG45" i="2"/>
  <c r="BG70" i="2"/>
  <c r="CH70" i="2"/>
  <c r="CG70" i="2"/>
  <c r="BG74" i="2"/>
  <c r="CH74" i="2"/>
  <c r="CG74" i="2"/>
  <c r="BG27" i="2"/>
  <c r="CH27" i="2"/>
  <c r="CG27" i="2"/>
  <c r="W50" i="41"/>
  <c r="V50" i="41"/>
  <c r="K50" i="41"/>
  <c r="T50" i="41"/>
  <c r="BG77" i="2"/>
  <c r="BY219" i="1"/>
  <c r="CQ147" i="10"/>
  <c r="BW202" i="10"/>
  <c r="BW177" i="7"/>
  <c r="CA127" i="11"/>
  <c r="CA223" i="11"/>
  <c r="BZ157" i="7"/>
  <c r="BW137" i="11"/>
  <c r="BX202" i="7"/>
  <c r="BM95" i="40"/>
  <c r="BN324" i="40"/>
  <c r="BL111" i="40"/>
  <c r="BM332" i="40"/>
  <c r="BL101" i="40"/>
  <c r="BM327" i="40"/>
  <c r="BH97" i="40"/>
  <c r="BI325" i="40"/>
  <c r="BL93" i="40"/>
  <c r="BM323" i="40"/>
  <c r="BL109" i="40"/>
  <c r="BM331" i="40"/>
  <c r="BH107" i="40"/>
  <c r="BI330" i="40"/>
  <c r="BL103" i="40"/>
  <c r="BM328" i="40"/>
  <c r="BG105" i="40"/>
  <c r="BH329" i="40"/>
  <c r="BF99" i="40"/>
  <c r="BG326" i="40"/>
  <c r="BM91" i="40"/>
  <c r="BO297" i="40"/>
  <c r="BN41" i="40"/>
  <c r="BO310" i="40"/>
  <c r="BN67" i="40"/>
  <c r="BO317" i="40"/>
  <c r="BN81" i="40"/>
  <c r="BO307" i="40"/>
  <c r="BN61" i="40"/>
  <c r="BP320" i="40"/>
  <c r="BO87" i="40"/>
  <c r="BO302" i="40"/>
  <c r="BN51" i="40"/>
  <c r="BN311" i="40"/>
  <c r="BM69" i="40"/>
  <c r="BP299" i="40"/>
  <c r="BO45" i="40"/>
  <c r="BP316" i="40"/>
  <c r="BO79" i="40"/>
  <c r="BP298" i="40"/>
  <c r="BO43" i="40"/>
  <c r="BP322" i="40"/>
  <c r="BP303" i="40"/>
  <c r="BO53" i="40"/>
  <c r="BP300" i="40"/>
  <c r="BO47" i="40"/>
  <c r="BP312" i="40"/>
  <c r="BO71" i="40"/>
  <c r="BN313" i="40"/>
  <c r="BM73" i="40"/>
  <c r="BP305" i="40"/>
  <c r="BO57" i="40"/>
  <c r="BN309" i="40"/>
  <c r="BM65" i="40"/>
  <c r="BP304" i="40"/>
  <c r="BO55" i="40"/>
  <c r="BP318" i="40"/>
  <c r="BO83" i="40"/>
  <c r="BO321" i="40"/>
  <c r="BN89" i="40"/>
  <c r="BP314" i="40"/>
  <c r="BO75" i="40"/>
  <c r="BO315" i="40"/>
  <c r="BN77" i="40"/>
  <c r="BP308" i="40"/>
  <c r="BO63" i="40"/>
  <c r="BP306" i="40"/>
  <c r="BO59" i="40"/>
  <c r="BP301" i="40"/>
  <c r="BO49" i="40"/>
  <c r="BO319" i="40"/>
  <c r="BN85" i="40"/>
  <c r="BQ63" i="10"/>
  <c r="BR231" i="10"/>
  <c r="BZ149" i="11"/>
  <c r="CA56" i="11"/>
  <c r="BZ76" i="10"/>
  <c r="BY199" i="10"/>
  <c r="BX200" i="22"/>
  <c r="BX201" i="22"/>
  <c r="BY179" i="10"/>
  <c r="BZ68" i="10"/>
  <c r="BN71" i="10"/>
  <c r="BO235" i="10"/>
  <c r="BW239" i="7"/>
  <c r="BV79" i="7"/>
  <c r="BX186" i="8"/>
  <c r="BX185" i="8"/>
  <c r="BY223" i="11"/>
  <c r="BX47" i="11"/>
  <c r="BX206" i="8"/>
  <c r="BX205" i="8"/>
  <c r="BQ229" i="8"/>
  <c r="BP59" i="8"/>
  <c r="BY201" i="7"/>
  <c r="BY200" i="7"/>
  <c r="BS79" i="22"/>
  <c r="BT239" i="22"/>
  <c r="BX152" i="11"/>
  <c r="BY164" i="9"/>
  <c r="BZ62" i="9"/>
  <c r="BX200" i="11"/>
  <c r="BX201" i="11"/>
  <c r="BW182" i="10"/>
  <c r="BX136" i="11"/>
  <c r="BX135" i="11"/>
  <c r="BY151" i="11"/>
  <c r="BY150" i="11"/>
  <c r="BB65" i="10"/>
  <c r="BC232" i="10"/>
  <c r="BW187" i="8"/>
  <c r="BW202" i="11"/>
  <c r="BT232" i="9"/>
  <c r="BS65" i="9"/>
  <c r="BW202" i="22"/>
  <c r="BU239" i="9"/>
  <c r="BT79" i="9"/>
  <c r="CT54" i="10"/>
  <c r="CS144" i="10"/>
  <c r="BY204" i="8"/>
  <c r="BZ78" i="8"/>
  <c r="BX161" i="10"/>
  <c r="BX160" i="10"/>
  <c r="BN237" i="11"/>
  <c r="BM75" i="11"/>
  <c r="BT233" i="10"/>
  <c r="BS67" i="10"/>
  <c r="BS73" i="22"/>
  <c r="BT236" i="22"/>
  <c r="BX165" i="9"/>
  <c r="BX166" i="9"/>
  <c r="BZ76" i="11"/>
  <c r="BY199" i="11"/>
  <c r="BB81" i="10"/>
  <c r="BC240" i="10"/>
  <c r="BZ50" i="11"/>
  <c r="BY134" i="11"/>
  <c r="BZ66" i="7"/>
  <c r="BY174" i="7"/>
  <c r="BY79" i="11"/>
  <c r="BZ239" i="11"/>
  <c r="CA155" i="7"/>
  <c r="CA156" i="7"/>
  <c r="BF67" i="22"/>
  <c r="BG233" i="22"/>
  <c r="CR146" i="10"/>
  <c r="CR145" i="10"/>
  <c r="L55" i="11"/>
  <c r="M227" i="11"/>
  <c r="O81" i="8"/>
  <c r="P240" i="8"/>
  <c r="BZ60" i="10"/>
  <c r="BY159" i="10"/>
  <c r="BX61" i="7"/>
  <c r="BY230" i="7"/>
  <c r="BA59" i="10"/>
  <c r="BB229" i="10"/>
  <c r="BX200" i="10"/>
  <c r="BX201" i="10"/>
  <c r="BX176" i="7"/>
  <c r="BX175" i="7"/>
  <c r="BW167" i="9"/>
  <c r="BY199" i="22"/>
  <c r="BZ76" i="22"/>
  <c r="BX180" i="10"/>
  <c r="BX181" i="10"/>
  <c r="CB59" i="7"/>
  <c r="CA59" i="7"/>
  <c r="BZ59" i="7"/>
  <c r="CB154" i="7"/>
  <c r="BW162" i="10"/>
  <c r="BU63" i="22"/>
  <c r="BV231" i="22"/>
  <c r="BY184" i="8"/>
  <c r="BZ70" i="8"/>
  <c r="R61" i="11"/>
  <c r="S230" i="11"/>
  <c r="BZ56" i="22"/>
  <c r="BY149" i="22"/>
  <c r="BY150" i="22"/>
  <c r="BY151" i="22"/>
  <c r="BY152" i="22"/>
  <c r="CB125" i="11"/>
  <c r="CB126" i="11"/>
  <c r="BU71" i="22"/>
  <c r="BV235" i="22"/>
  <c r="BC233" i="9"/>
  <c r="BB67" i="9"/>
  <c r="BZ199" i="7"/>
  <c r="CA76" i="7"/>
  <c r="BW207" i="8"/>
  <c r="BU63" i="8"/>
  <c r="BV231" i="8"/>
  <c r="CB162" i="7"/>
  <c r="CB230" i="7"/>
  <c r="BZ46" i="6"/>
  <c r="BY138" i="6"/>
  <c r="BY139" i="6"/>
  <c r="BY140" i="6"/>
  <c r="BY141" i="6"/>
  <c r="CB207" i="11"/>
  <c r="CB239" i="11"/>
  <c r="U24" i="38"/>
  <c r="AD57" i="38"/>
  <c r="C90" i="38"/>
  <c r="R29" i="2"/>
  <c r="D29" i="20"/>
  <c r="C25" i="38"/>
  <c r="N17" i="39"/>
  <c r="P27" i="20"/>
  <c r="Q27" i="20"/>
  <c r="K50" i="30"/>
  <c r="T50" i="30"/>
  <c r="CB40" i="11"/>
  <c r="CA109" i="11"/>
  <c r="CA110" i="11"/>
  <c r="CA111" i="11"/>
  <c r="CA112" i="11"/>
  <c r="BY89" i="10"/>
  <c r="BY90" i="10"/>
  <c r="BY91" i="10"/>
  <c r="BY92" i="10"/>
  <c r="BZ32" i="10"/>
  <c r="BZ46" i="10"/>
  <c r="BY124" i="10"/>
  <c r="BY125" i="10"/>
  <c r="BY126" i="10"/>
  <c r="BY127" i="10"/>
  <c r="BZ48" i="10"/>
  <c r="BY129" i="10"/>
  <c r="BY130" i="10"/>
  <c r="BY131" i="10"/>
  <c r="BY132" i="10"/>
  <c r="BZ34" i="10"/>
  <c r="BY94" i="10"/>
  <c r="BY95" i="10"/>
  <c r="BY96" i="10"/>
  <c r="BY97" i="10"/>
  <c r="BY139" i="10"/>
  <c r="BY140" i="10"/>
  <c r="BY141" i="10"/>
  <c r="BY142" i="10"/>
  <c r="BZ52" i="10"/>
  <c r="BY109" i="10"/>
  <c r="BY110" i="10"/>
  <c r="BY111" i="10"/>
  <c r="BY112" i="10"/>
  <c r="BZ40" i="10"/>
  <c r="BZ119" i="10"/>
  <c r="BZ120" i="10"/>
  <c r="BZ121" i="10"/>
  <c r="BZ122" i="10"/>
  <c r="CA44" i="10"/>
  <c r="BY114" i="10"/>
  <c r="BY115" i="10"/>
  <c r="BY116" i="10"/>
  <c r="BY117" i="10"/>
  <c r="BZ42" i="10"/>
  <c r="BY84" i="10"/>
  <c r="BY85" i="10"/>
  <c r="BY86" i="10"/>
  <c r="BY87" i="10"/>
  <c r="BZ30" i="10"/>
  <c r="BZ38" i="10"/>
  <c r="BY104" i="10"/>
  <c r="BY105" i="10"/>
  <c r="BY106" i="10"/>
  <c r="BY107" i="10"/>
  <c r="BZ42" i="22"/>
  <c r="BY114" i="22"/>
  <c r="BY115" i="22"/>
  <c r="BY116" i="22"/>
  <c r="BY117" i="22"/>
  <c r="CA46" i="22"/>
  <c r="BZ124" i="22"/>
  <c r="BZ125" i="22"/>
  <c r="BZ126" i="22"/>
  <c r="BZ127" i="22"/>
  <c r="BZ50" i="22"/>
  <c r="BY134" i="22"/>
  <c r="BY135" i="22"/>
  <c r="BY136" i="22"/>
  <c r="BY137" i="22"/>
  <c r="BZ139" i="22"/>
  <c r="BZ140" i="22"/>
  <c r="BZ141" i="22"/>
  <c r="BZ142" i="22"/>
  <c r="CA52" i="22"/>
  <c r="BZ46" i="8"/>
  <c r="BY124" i="8"/>
  <c r="BY125" i="8"/>
  <c r="BY126" i="8"/>
  <c r="BY127" i="8"/>
  <c r="BZ134" i="8"/>
  <c r="BZ135" i="8"/>
  <c r="BZ136" i="8"/>
  <c r="BZ137" i="8"/>
  <c r="CA50" i="8"/>
  <c r="CB192" i="8"/>
  <c r="CB236" i="8"/>
  <c r="BW192" i="9"/>
  <c r="BW202" i="9"/>
  <c r="AY69" i="7"/>
  <c r="AZ234" i="7"/>
  <c r="O65" i="11"/>
  <c r="P232" i="11"/>
  <c r="T69" i="11"/>
  <c r="U234" i="11"/>
  <c r="BD69" i="9"/>
  <c r="BE234" i="9"/>
  <c r="BE75" i="10"/>
  <c r="BF237" i="10"/>
  <c r="AO65" i="7"/>
  <c r="AP232" i="7"/>
  <c r="A81" i="2"/>
  <c r="A201" i="2"/>
  <c r="BW201" i="2"/>
  <c r="BE78" i="2"/>
  <c r="BF199" i="2"/>
  <c r="BN78" i="2"/>
  <c r="BO199" i="2"/>
  <c r="BA81" i="9"/>
  <c r="BB240" i="9"/>
  <c r="BF75" i="7"/>
  <c r="BG237" i="7"/>
  <c r="BI69" i="8"/>
  <c r="BJ234" i="8"/>
  <c r="BG69" i="22"/>
  <c r="BH234" i="22"/>
  <c r="BZ76" i="9"/>
  <c r="BY199" i="9"/>
  <c r="G65" i="8"/>
  <c r="H232" i="8"/>
  <c r="BC79" i="10"/>
  <c r="BD239" i="10"/>
  <c r="AZ49" i="11"/>
  <c r="BA224" i="11"/>
  <c r="BH81" i="11"/>
  <c r="BI240" i="11"/>
  <c r="BC65" i="22"/>
  <c r="BD232" i="22"/>
  <c r="E73" i="7"/>
  <c r="F236" i="7"/>
  <c r="AD200" i="2"/>
  <c r="AM200" i="2"/>
  <c r="AV200" i="2"/>
  <c r="L200" i="2"/>
  <c r="C200" i="2"/>
  <c r="BN200" i="2"/>
  <c r="BE200" i="2"/>
  <c r="U200" i="2"/>
  <c r="AU73" i="10"/>
  <c r="AV236" i="10"/>
  <c r="BB71" i="9"/>
  <c r="BC235" i="9"/>
  <c r="BE81" i="22"/>
  <c r="BF240" i="22"/>
  <c r="BG67" i="8"/>
  <c r="BH233" i="8"/>
  <c r="BX190" i="9"/>
  <c r="BX191" i="9"/>
  <c r="AE199" i="2"/>
  <c r="AD78" i="2"/>
  <c r="AF78" i="2"/>
  <c r="AG78" i="2"/>
  <c r="AM78" i="2"/>
  <c r="AN199" i="2"/>
  <c r="BX200" i="9"/>
  <c r="BX201" i="9"/>
  <c r="BH67" i="11"/>
  <c r="BI233" i="11"/>
  <c r="S63" i="11"/>
  <c r="T231" i="11"/>
  <c r="BH61" i="22"/>
  <c r="BI230" i="22"/>
  <c r="BJ77" i="8"/>
  <c r="BK238" i="8"/>
  <c r="BZ72" i="9"/>
  <c r="BY189" i="9"/>
  <c r="C78" i="2"/>
  <c r="D199" i="2"/>
  <c r="U78" i="2"/>
  <c r="W78" i="2"/>
  <c r="X78" i="2"/>
  <c r="V199" i="2"/>
  <c r="BL61" i="8"/>
  <c r="BM230" i="8"/>
  <c r="BG71" i="7"/>
  <c r="BH235" i="7"/>
  <c r="BB57" i="10"/>
  <c r="BC228" i="10"/>
  <c r="BJ73" i="11"/>
  <c r="BK236" i="11"/>
  <c r="BC81" i="7"/>
  <c r="BD240" i="7"/>
  <c r="AV53" i="11"/>
  <c r="AW226" i="11"/>
  <c r="BE75" i="22"/>
  <c r="BF237" i="22"/>
  <c r="AV78" i="2"/>
  <c r="AW199" i="2"/>
  <c r="L78" i="2"/>
  <c r="N78" i="2"/>
  <c r="O78" i="2"/>
  <c r="M199" i="2"/>
  <c r="AR31" i="22"/>
  <c r="AS215" i="22"/>
  <c r="BE75" i="8"/>
  <c r="BF237" i="8"/>
  <c r="BV73" i="8"/>
  <c r="BW236" i="8"/>
  <c r="BZ32" i="22"/>
  <c r="BY89" i="22"/>
  <c r="BY90" i="22"/>
  <c r="BY91" i="22"/>
  <c r="BY92" i="22"/>
  <c r="AI50" i="30"/>
  <c r="AA50" i="30"/>
  <c r="AJ50" i="30"/>
  <c r="AQ50" i="30"/>
  <c r="X50" i="30"/>
  <c r="AK50" i="30"/>
  <c r="AM50" i="30"/>
  <c r="AT50" i="30"/>
  <c r="AN50" i="30"/>
  <c r="AO50" i="30"/>
  <c r="AR50" i="30"/>
  <c r="AV50" i="30"/>
  <c r="AD50" i="30"/>
  <c r="AG50" i="30"/>
  <c r="AH50" i="30"/>
  <c r="AE50" i="30"/>
  <c r="Z50" i="30"/>
  <c r="AB50" i="30"/>
  <c r="AP50" i="30"/>
  <c r="AS50" i="30"/>
  <c r="AW50" i="30"/>
  <c r="AU50" i="30"/>
  <c r="AC50" i="30"/>
  <c r="AL50" i="30"/>
  <c r="AF50" i="30"/>
  <c r="Y50" i="30"/>
  <c r="BY114" i="8"/>
  <c r="BY115" i="8"/>
  <c r="BY116" i="8"/>
  <c r="BY117" i="8"/>
  <c r="BZ42" i="8"/>
  <c r="BZ44" i="8"/>
  <c r="BY119" i="8"/>
  <c r="BY120" i="8"/>
  <c r="BY121" i="8"/>
  <c r="BY122" i="8"/>
  <c r="BZ35" i="8"/>
  <c r="CA217" i="8"/>
  <c r="BZ32" i="11"/>
  <c r="BY89" i="11"/>
  <c r="BY90" i="11"/>
  <c r="BY91" i="11"/>
  <c r="BY92" i="11"/>
  <c r="BT63" i="7"/>
  <c r="BU231" i="7"/>
  <c r="CA30" i="9"/>
  <c r="BZ84" i="9"/>
  <c r="BZ85" i="9"/>
  <c r="BZ86" i="9"/>
  <c r="BZ87" i="9"/>
  <c r="BZ52" i="9"/>
  <c r="BY139" i="9"/>
  <c r="CB30" i="1"/>
  <c r="CA86" i="1"/>
  <c r="CA87" i="1"/>
  <c r="CA88" i="1"/>
  <c r="CA89" i="1"/>
  <c r="BY96" i="1"/>
  <c r="BY97" i="1"/>
  <c r="BY98" i="1"/>
  <c r="BY99" i="1"/>
  <c r="BZ34" i="1"/>
  <c r="BY131" i="1"/>
  <c r="BY132" i="1"/>
  <c r="BY133" i="1"/>
  <c r="BY134" i="1"/>
  <c r="BZ48" i="1"/>
  <c r="BY156" i="1"/>
  <c r="BY157" i="1"/>
  <c r="BY158" i="1"/>
  <c r="BY159" i="1"/>
  <c r="BZ58" i="1"/>
  <c r="CA91" i="1"/>
  <c r="CA92" i="1"/>
  <c r="CA93" i="1"/>
  <c r="CA94" i="1"/>
  <c r="CB32" i="1"/>
  <c r="BZ68" i="1"/>
  <c r="BY181" i="1"/>
  <c r="BY182" i="1"/>
  <c r="BY183" i="1"/>
  <c r="BY184" i="1"/>
  <c r="BZ64" i="1"/>
  <c r="BY171" i="1"/>
  <c r="BY172" i="1"/>
  <c r="BY173" i="1"/>
  <c r="BY174" i="1"/>
  <c r="BZ52" i="1"/>
  <c r="BY141" i="1"/>
  <c r="BY142" i="1"/>
  <c r="BY143" i="1"/>
  <c r="BY144" i="1"/>
  <c r="BY136" i="1"/>
  <c r="BY137" i="1"/>
  <c r="BY138" i="1"/>
  <c r="BY139" i="1"/>
  <c r="BZ50" i="1"/>
  <c r="T18" i="20"/>
  <c r="U18" i="20"/>
  <c r="P8" i="39"/>
  <c r="F8" i="39"/>
  <c r="E16" i="38"/>
  <c r="S45" i="35"/>
  <c r="R44" i="35"/>
  <c r="AA28" i="26"/>
  <c r="CA44" i="22"/>
  <c r="BZ119" i="22"/>
  <c r="BZ120" i="22"/>
  <c r="BZ121" i="22"/>
  <c r="BZ122" i="22"/>
  <c r="BW161" i="6"/>
  <c r="BZ22" i="6"/>
  <c r="BY78" i="6"/>
  <c r="BY79" i="6"/>
  <c r="BY80" i="6"/>
  <c r="BY81" i="6"/>
  <c r="BZ36" i="6"/>
  <c r="BY113" i="6"/>
  <c r="BY114" i="6"/>
  <c r="BY115" i="6"/>
  <c r="BY116" i="6"/>
  <c r="BY133" i="6"/>
  <c r="BY134" i="6"/>
  <c r="BY135" i="6"/>
  <c r="BY136" i="6"/>
  <c r="BZ44" i="6"/>
  <c r="CA30" i="6"/>
  <c r="BZ98" i="6"/>
  <c r="BZ99" i="6"/>
  <c r="BZ100" i="6"/>
  <c r="BZ101" i="6"/>
  <c r="BY103" i="6"/>
  <c r="BY104" i="6"/>
  <c r="BY105" i="6"/>
  <c r="BY106" i="6"/>
  <c r="BZ32" i="6"/>
  <c r="CA42" i="6"/>
  <c r="BZ128" i="6"/>
  <c r="BZ129" i="6"/>
  <c r="BZ130" i="6"/>
  <c r="BZ131" i="6"/>
  <c r="BY93" i="6"/>
  <c r="BY94" i="6"/>
  <c r="BY95" i="6"/>
  <c r="BY96" i="6"/>
  <c r="BZ28" i="6"/>
  <c r="BY88" i="6"/>
  <c r="BY89" i="6"/>
  <c r="BY90" i="6"/>
  <c r="BY91" i="6"/>
  <c r="BZ26" i="6"/>
  <c r="BX134" i="6"/>
  <c r="BX135" i="6"/>
  <c r="BX136" i="6"/>
  <c r="BY123" i="6"/>
  <c r="BY124" i="6"/>
  <c r="BY125" i="6"/>
  <c r="BY126" i="6"/>
  <c r="BZ40" i="6"/>
  <c r="BZ24" i="6"/>
  <c r="BY83" i="6"/>
  <c r="BY84" i="6"/>
  <c r="BY85" i="6"/>
  <c r="BY86" i="6"/>
  <c r="BY108" i="6"/>
  <c r="BY109" i="6"/>
  <c r="BY110" i="6"/>
  <c r="BY111" i="6"/>
  <c r="BZ34" i="6"/>
  <c r="CB227" i="9"/>
  <c r="BZ217" i="1"/>
  <c r="BZ218" i="1"/>
  <c r="BZ42" i="1"/>
  <c r="BY116" i="1"/>
  <c r="BY117" i="1"/>
  <c r="BY118" i="1"/>
  <c r="BY119" i="1"/>
  <c r="CB81" i="1"/>
  <c r="CA81" i="1"/>
  <c r="CB211" i="1"/>
  <c r="CB212" i="1"/>
  <c r="CB213" i="1"/>
  <c r="CB214" i="1"/>
  <c r="BW199" i="1"/>
  <c r="CB82" i="1"/>
  <c r="CA216" i="1"/>
  <c r="BW151" i="6"/>
  <c r="CA219" i="8"/>
  <c r="BZ39" i="8"/>
  <c r="CB219" i="8"/>
  <c r="CA36" i="8"/>
  <c r="BZ99" i="8"/>
  <c r="BZ100" i="8"/>
  <c r="BZ101" i="8"/>
  <c r="BZ102" i="8"/>
  <c r="BZ119" i="11"/>
  <c r="CA44" i="11"/>
  <c r="BY120" i="11"/>
  <c r="BY121" i="11"/>
  <c r="BY122" i="11"/>
  <c r="AA20" i="2"/>
  <c r="E20" i="20"/>
  <c r="V15" i="38"/>
  <c r="AE48" i="38"/>
  <c r="D81" i="38"/>
  <c r="R18" i="20"/>
  <c r="S18" i="20"/>
  <c r="D16" i="38"/>
  <c r="O8" i="39"/>
  <c r="E8" i="39"/>
  <c r="BZ34" i="22"/>
  <c r="BY94" i="22"/>
  <c r="BY129" i="22"/>
  <c r="BY130" i="22"/>
  <c r="BY131" i="22"/>
  <c r="BY132" i="22"/>
  <c r="BZ48" i="22"/>
  <c r="BZ104" i="22"/>
  <c r="BZ105" i="22"/>
  <c r="BZ106" i="22"/>
  <c r="BZ107" i="22"/>
  <c r="CA38" i="22"/>
  <c r="CA38" i="7"/>
  <c r="BZ104" i="7"/>
  <c r="BZ105" i="7"/>
  <c r="BZ106" i="7"/>
  <c r="BZ107" i="7"/>
  <c r="CB41" i="7"/>
  <c r="CA41" i="7"/>
  <c r="CB109" i="7"/>
  <c r="CB110" i="7"/>
  <c r="CB111" i="7"/>
  <c r="CB112" i="7"/>
  <c r="BZ84" i="7"/>
  <c r="BZ85" i="7"/>
  <c r="BZ86" i="7"/>
  <c r="BZ87" i="7"/>
  <c r="CA30" i="7"/>
  <c r="BY114" i="7"/>
  <c r="BY115" i="7"/>
  <c r="BY116" i="7"/>
  <c r="BY117" i="7"/>
  <c r="BZ42" i="7"/>
  <c r="BY100" i="7"/>
  <c r="BY101" i="7"/>
  <c r="BY102" i="7"/>
  <c r="BZ34" i="7"/>
  <c r="BY94" i="7"/>
  <c r="BY95" i="7"/>
  <c r="BY96" i="7"/>
  <c r="BY97" i="7"/>
  <c r="BZ99" i="7"/>
  <c r="BZ100" i="7"/>
  <c r="BZ101" i="7"/>
  <c r="BZ102" i="7"/>
  <c r="CA36" i="7"/>
  <c r="CB39" i="6"/>
  <c r="CA39" i="6"/>
  <c r="CB118" i="6"/>
  <c r="CB119" i="6"/>
  <c r="CB120" i="6"/>
  <c r="CB121" i="6"/>
  <c r="BZ46" i="9"/>
  <c r="BY124" i="9"/>
  <c r="BY125" i="9"/>
  <c r="BY126" i="9"/>
  <c r="BY127" i="9"/>
  <c r="BY94" i="9"/>
  <c r="BY95" i="9"/>
  <c r="BY96" i="9"/>
  <c r="BY97" i="9"/>
  <c r="BZ34" i="9"/>
  <c r="CB104" i="9"/>
  <c r="CB105" i="9"/>
  <c r="CB106" i="9"/>
  <c r="CB107" i="9"/>
  <c r="CB39" i="9"/>
  <c r="CA39" i="9"/>
  <c r="CA227" i="9"/>
  <c r="BZ55" i="9"/>
  <c r="BX114" i="9"/>
  <c r="BX115" i="9"/>
  <c r="BX116" i="9"/>
  <c r="BX117" i="9"/>
  <c r="BY42" i="9"/>
  <c r="CA50" i="9"/>
  <c r="BZ134" i="9"/>
  <c r="BZ135" i="9"/>
  <c r="BZ136" i="9"/>
  <c r="BZ137" i="9"/>
  <c r="BZ44" i="9"/>
  <c r="BY119" i="9"/>
  <c r="CA89" i="9"/>
  <c r="CA90" i="9"/>
  <c r="CA91" i="9"/>
  <c r="CA92" i="9"/>
  <c r="CB32" i="9"/>
  <c r="BZ48" i="9"/>
  <c r="BY129" i="9"/>
  <c r="BY130" i="9"/>
  <c r="BY131" i="9"/>
  <c r="BY132" i="9"/>
  <c r="BZ56" i="9"/>
  <c r="BY149" i="9"/>
  <c r="BZ70" i="1"/>
  <c r="BY186" i="1"/>
  <c r="BY187" i="1"/>
  <c r="BY188" i="1"/>
  <c r="BY189" i="1"/>
  <c r="BZ78" i="1"/>
  <c r="BY206" i="1"/>
  <c r="CB76" i="1"/>
  <c r="CA201" i="1"/>
  <c r="CA202" i="1"/>
  <c r="CA203" i="1"/>
  <c r="CA204" i="1"/>
  <c r="BX197" i="1"/>
  <c r="BX198" i="1"/>
  <c r="BX199" i="1"/>
  <c r="BY235" i="1"/>
  <c r="BX57" i="1"/>
  <c r="CB66" i="1"/>
  <c r="CA176" i="1"/>
  <c r="CA177" i="1"/>
  <c r="CA178" i="1"/>
  <c r="CA179" i="1"/>
  <c r="BZ74" i="1"/>
  <c r="BY196" i="1"/>
  <c r="CA72" i="1"/>
  <c r="BZ191" i="1"/>
  <c r="BZ161" i="1"/>
  <c r="BZ162" i="1"/>
  <c r="BZ163" i="1"/>
  <c r="BZ164" i="1"/>
  <c r="CA60" i="1"/>
  <c r="BY43" i="11"/>
  <c r="BZ221" i="11"/>
  <c r="S49" i="34"/>
  <c r="V32" i="26"/>
  <c r="R48" i="34"/>
  <c r="BX107" i="11"/>
  <c r="CB85" i="11"/>
  <c r="CB86" i="11"/>
  <c r="CB87" i="11"/>
  <c r="CB215" i="11"/>
  <c r="CA38" i="11"/>
  <c r="BZ104" i="11"/>
  <c r="CA99" i="11"/>
  <c r="CB36" i="11"/>
  <c r="BY105" i="11"/>
  <c r="BY106" i="11"/>
  <c r="BY107" i="11"/>
  <c r="BZ100" i="11"/>
  <c r="BZ101" i="11"/>
  <c r="BZ102" i="11"/>
  <c r="BY135" i="10"/>
  <c r="BY136" i="10"/>
  <c r="BY137" i="10"/>
  <c r="BZ134" i="10"/>
  <c r="CA50" i="10"/>
  <c r="BZ99" i="10"/>
  <c r="CA36" i="10"/>
  <c r="BY100" i="10"/>
  <c r="BY101" i="10"/>
  <c r="BY102" i="10"/>
  <c r="BX155" i="22"/>
  <c r="BX156" i="22"/>
  <c r="BX157" i="22"/>
  <c r="BY154" i="22"/>
  <c r="BZ58" i="22"/>
  <c r="BY100" i="22"/>
  <c r="BY101" i="22"/>
  <c r="BY102" i="22"/>
  <c r="BY145" i="22"/>
  <c r="BY146" i="22"/>
  <c r="BY147" i="22"/>
  <c r="CA40" i="22"/>
  <c r="BZ109" i="22"/>
  <c r="BZ99" i="22"/>
  <c r="CA36" i="22"/>
  <c r="BY110" i="22"/>
  <c r="BY111" i="22"/>
  <c r="BY112" i="22"/>
  <c r="BZ144" i="22"/>
  <c r="CA54" i="22"/>
  <c r="CA150" i="8"/>
  <c r="CA151" i="8"/>
  <c r="CA152" i="8"/>
  <c r="CB149" i="8"/>
  <c r="CB57" i="8"/>
  <c r="BZ144" i="8"/>
  <c r="CA54" i="8"/>
  <c r="BY145" i="8"/>
  <c r="BY146" i="8"/>
  <c r="BY147" i="8"/>
  <c r="BX140" i="8"/>
  <c r="BX141" i="8"/>
  <c r="BX142" i="8"/>
  <c r="BZ48" i="8"/>
  <c r="BY129" i="8"/>
  <c r="BY89" i="8"/>
  <c r="BZ32" i="8"/>
  <c r="BW85" i="8"/>
  <c r="BW86" i="8"/>
  <c r="BW87" i="8"/>
  <c r="BX130" i="8"/>
  <c r="BX131" i="8"/>
  <c r="BX132" i="8"/>
  <c r="BY109" i="8"/>
  <c r="BZ40" i="8"/>
  <c r="BY139" i="8"/>
  <c r="BZ52" i="8"/>
  <c r="BX90" i="8"/>
  <c r="BX91" i="8"/>
  <c r="BX92" i="8"/>
  <c r="BX84" i="8"/>
  <c r="BY30" i="8"/>
  <c r="BX110" i="8"/>
  <c r="BX111" i="8"/>
  <c r="BX112" i="8"/>
  <c r="BX145" i="7"/>
  <c r="BX146" i="7"/>
  <c r="BX147" i="7"/>
  <c r="BY144" i="7"/>
  <c r="BZ54" i="7"/>
  <c r="BX140" i="7"/>
  <c r="BX141" i="7"/>
  <c r="BX142" i="7"/>
  <c r="BY139" i="7"/>
  <c r="BZ52" i="7"/>
  <c r="BZ50" i="7"/>
  <c r="BY134" i="7"/>
  <c r="BX135" i="7"/>
  <c r="BX136" i="7"/>
  <c r="BX137" i="7"/>
  <c r="BZ125" i="7"/>
  <c r="BZ126" i="7"/>
  <c r="BZ127" i="7"/>
  <c r="CA120" i="7"/>
  <c r="CA121" i="7"/>
  <c r="CA122" i="7"/>
  <c r="BY216" i="7"/>
  <c r="BX33" i="7"/>
  <c r="CB119" i="7"/>
  <c r="CB45" i="7"/>
  <c r="CB46" i="7"/>
  <c r="CA124" i="7"/>
  <c r="BX164" i="6"/>
  <c r="BX165" i="6"/>
  <c r="BX166" i="6"/>
  <c r="BZ56" i="6"/>
  <c r="BY163" i="6"/>
  <c r="BZ54" i="6"/>
  <c r="BY158" i="6"/>
  <c r="BX159" i="6"/>
  <c r="BX160" i="6"/>
  <c r="BX161" i="6"/>
  <c r="BX154" i="6"/>
  <c r="BX155" i="6"/>
  <c r="BX156" i="6"/>
  <c r="BZ52" i="6"/>
  <c r="BY153" i="6"/>
  <c r="BZ50" i="6"/>
  <c r="BY148" i="6"/>
  <c r="BX149" i="6"/>
  <c r="BX150" i="6"/>
  <c r="BX151" i="6"/>
  <c r="BZ48" i="6"/>
  <c r="BY143" i="6"/>
  <c r="BX144" i="6"/>
  <c r="BX145" i="6"/>
  <c r="BX146" i="6"/>
  <c r="BY160" i="9"/>
  <c r="BY161" i="9"/>
  <c r="BY162" i="9"/>
  <c r="CA60" i="9"/>
  <c r="BZ159" i="9"/>
  <c r="BX155" i="9"/>
  <c r="BX156" i="9"/>
  <c r="BX157" i="9"/>
  <c r="BY154" i="9"/>
  <c r="BZ58" i="9"/>
  <c r="BZ109" i="9"/>
  <c r="CA40" i="9"/>
  <c r="BY100" i="9"/>
  <c r="BY101" i="9"/>
  <c r="BY102" i="9"/>
  <c r="BY110" i="9"/>
  <c r="BY111" i="9"/>
  <c r="BY112" i="9"/>
  <c r="CA36" i="9"/>
  <c r="BZ99" i="9"/>
  <c r="BX167" i="1"/>
  <c r="BX168" i="1"/>
  <c r="BX169" i="1"/>
  <c r="BZ62" i="1"/>
  <c r="BY166" i="1"/>
  <c r="BX147" i="1"/>
  <c r="BX148" i="1"/>
  <c r="BX149" i="1"/>
  <c r="BX127" i="1"/>
  <c r="BX128" i="1"/>
  <c r="BX129" i="1"/>
  <c r="BY126" i="1"/>
  <c r="BZ46" i="1"/>
  <c r="BY146" i="1"/>
  <c r="BZ54" i="1"/>
  <c r="BZ122" i="1"/>
  <c r="BZ123" i="1"/>
  <c r="BZ124" i="1"/>
  <c r="CA121" i="1"/>
  <c r="CB44" i="1"/>
  <c r="CA111" i="1"/>
  <c r="CB40" i="1"/>
  <c r="BZ102" i="1"/>
  <c r="BZ103" i="1"/>
  <c r="BZ104" i="1"/>
  <c r="BZ112" i="1"/>
  <c r="BZ113" i="1"/>
  <c r="BZ114" i="1"/>
  <c r="BX107" i="1"/>
  <c r="BX108" i="1"/>
  <c r="BX109" i="1"/>
  <c r="CB36" i="1"/>
  <c r="CA101" i="1"/>
  <c r="BY106" i="1"/>
  <c r="BZ38" i="1"/>
  <c r="CA48" i="7"/>
  <c r="BZ129" i="7"/>
  <c r="BZ130" i="7"/>
  <c r="BZ131" i="7"/>
  <c r="BZ132" i="7"/>
  <c r="AJ20" i="2"/>
  <c r="F20" i="20"/>
  <c r="AU75" i="9"/>
  <c r="AV237" i="9"/>
  <c r="E59" i="11"/>
  <c r="F229" i="11"/>
  <c r="BW80" i="2"/>
  <c r="BX201" i="2"/>
  <c r="BH37" i="2"/>
  <c r="BJ37" i="2"/>
  <c r="CK37" i="2"/>
  <c r="BH25" i="2"/>
  <c r="CI25" i="2"/>
  <c r="BH45" i="2"/>
  <c r="CI45" i="2"/>
  <c r="BH60" i="2"/>
  <c r="CI60" i="2"/>
  <c r="BH41" i="2"/>
  <c r="BJ41" i="2"/>
  <c r="CK41" i="2"/>
  <c r="BH24" i="2"/>
  <c r="BJ24" i="2"/>
  <c r="CK24" i="2"/>
  <c r="BH21" i="2"/>
  <c r="BJ21" i="2"/>
  <c r="CK21" i="2"/>
  <c r="BH67" i="2"/>
  <c r="CI67" i="2"/>
  <c r="BH57" i="2"/>
  <c r="CI57" i="2"/>
  <c r="BH74" i="2"/>
  <c r="CI74" i="2"/>
  <c r="BH61" i="2"/>
  <c r="CI61" i="2"/>
  <c r="BH59" i="2"/>
  <c r="CI59" i="2"/>
  <c r="BH56" i="2"/>
  <c r="CI56" i="2"/>
  <c r="BH58" i="2"/>
  <c r="CI58" i="2"/>
  <c r="R37" i="37"/>
  <c r="AK21" i="26"/>
  <c r="S38" i="37"/>
  <c r="BH64" i="2"/>
  <c r="CI64" i="2"/>
  <c r="BH51" i="2"/>
  <c r="CI51" i="2"/>
  <c r="BH47" i="2"/>
  <c r="CI47" i="2"/>
  <c r="BH44" i="2"/>
  <c r="CI44" i="2"/>
  <c r="BH72" i="2"/>
  <c r="CI72" i="2"/>
  <c r="BH16" i="2"/>
  <c r="BJ16" i="2"/>
  <c r="CK16" i="2"/>
  <c r="BH65" i="2"/>
  <c r="CI65" i="2"/>
  <c r="BH63" i="2"/>
  <c r="CI63" i="2"/>
  <c r="BH36" i="2"/>
  <c r="BJ36" i="2"/>
  <c r="CK36" i="2"/>
  <c r="BH53" i="2"/>
  <c r="CI53" i="2"/>
  <c r="BH69" i="2"/>
  <c r="CI69" i="2"/>
  <c r="BH73" i="2"/>
  <c r="CI73" i="2"/>
  <c r="BK15" i="2"/>
  <c r="I15" i="20"/>
  <c r="Z15" i="20"/>
  <c r="AA15" i="20"/>
  <c r="BH49" i="2"/>
  <c r="CI49" i="2"/>
  <c r="BH29" i="2"/>
  <c r="CI29" i="2"/>
  <c r="BH20" i="2"/>
  <c r="CI20" i="2"/>
  <c r="BH26" i="2"/>
  <c r="CI26" i="2"/>
  <c r="BH22" i="2"/>
  <c r="BJ22" i="2"/>
  <c r="CK22" i="2"/>
  <c r="BH71" i="2"/>
  <c r="CI71" i="2"/>
  <c r="BH27" i="2"/>
  <c r="BJ27" i="2"/>
  <c r="CK27" i="2"/>
  <c r="BH54" i="2"/>
  <c r="CI54" i="2"/>
  <c r="BH30" i="2"/>
  <c r="BJ30" i="2"/>
  <c r="CK30" i="2"/>
  <c r="BH23" i="2"/>
  <c r="BJ23" i="2"/>
  <c r="CK23" i="2"/>
  <c r="BH35" i="2"/>
  <c r="BJ35" i="2"/>
  <c r="CK35" i="2"/>
  <c r="BH17" i="2"/>
  <c r="CI17" i="2"/>
  <c r="BH32" i="2"/>
  <c r="BJ32" i="2"/>
  <c r="CK32" i="2"/>
  <c r="BH52" i="2"/>
  <c r="CI52" i="2"/>
  <c r="BH68" i="2"/>
  <c r="CI68" i="2"/>
  <c r="BH46" i="2"/>
  <c r="CI46" i="2"/>
  <c r="BH75" i="2"/>
  <c r="CI75" i="2"/>
  <c r="BH70" i="2"/>
  <c r="CI70" i="2"/>
  <c r="BH39" i="2"/>
  <c r="CI39" i="2"/>
  <c r="BH19" i="2"/>
  <c r="CI19" i="2"/>
  <c r="BH15" i="2"/>
  <c r="BJ15" i="2"/>
  <c r="CK15" i="2"/>
  <c r="CL15" i="2"/>
  <c r="L15" i="20"/>
  <c r="BH66" i="2"/>
  <c r="CI66" i="2"/>
  <c r="BH18" i="2"/>
  <c r="BJ18" i="2"/>
  <c r="CK18" i="2"/>
  <c r="BH33" i="2"/>
  <c r="CI33" i="2"/>
  <c r="BH31" i="2"/>
  <c r="CI31" i="2"/>
  <c r="BH43" i="2"/>
  <c r="BJ43" i="2"/>
  <c r="CK43" i="2"/>
  <c r="BH40" i="2"/>
  <c r="BJ40" i="2"/>
  <c r="CK40" i="2"/>
  <c r="BH77" i="2"/>
  <c r="CI77" i="2"/>
  <c r="CH77" i="2"/>
  <c r="BH48" i="2"/>
  <c r="CI48" i="2"/>
  <c r="CH48" i="2"/>
  <c r="BH76" i="2"/>
  <c r="CI76" i="2"/>
  <c r="CH76" i="2"/>
  <c r="BH50" i="2"/>
  <c r="CI50" i="2"/>
  <c r="CH50" i="2"/>
  <c r="BH38" i="2"/>
  <c r="BG78" i="2"/>
  <c r="CH78" i="2"/>
  <c r="CF78" i="2"/>
  <c r="BH55" i="2"/>
  <c r="CI55" i="2"/>
  <c r="CH55" i="2"/>
  <c r="BH28" i="2"/>
  <c r="CH28" i="2"/>
  <c r="BH42" i="2"/>
  <c r="CH42" i="2"/>
  <c r="BH34" i="2"/>
  <c r="CH34" i="2"/>
  <c r="BH62" i="2"/>
  <c r="CI62" i="2"/>
  <c r="CH62" i="2"/>
  <c r="AQ50" i="41"/>
  <c r="AS50" i="41"/>
  <c r="AU50" i="41"/>
  <c r="AW50" i="41"/>
  <c r="X50" i="41"/>
  <c r="AH50" i="41"/>
  <c r="AB50" i="41"/>
  <c r="AX50" i="41"/>
  <c r="AF50" i="41"/>
  <c r="AL50" i="41"/>
  <c r="AJ50" i="41"/>
  <c r="Z50" i="41"/>
  <c r="AN50" i="41"/>
  <c r="AP50" i="41"/>
  <c r="AR50" i="41"/>
  <c r="AD50" i="41"/>
  <c r="AV50" i="41"/>
  <c r="AT50" i="41"/>
  <c r="Y50" i="41"/>
  <c r="AA50" i="41"/>
  <c r="AC50" i="41"/>
  <c r="AE50" i="41"/>
  <c r="AG50" i="41"/>
  <c r="AI50" i="41"/>
  <c r="AK50" i="41"/>
  <c r="AM50" i="41"/>
  <c r="AO50" i="41"/>
  <c r="CA157" i="7"/>
  <c r="CA229" i="7"/>
  <c r="BX167" i="9"/>
  <c r="BX177" i="7"/>
  <c r="BY152" i="11"/>
  <c r="BY202" i="7"/>
  <c r="BX207" i="8"/>
  <c r="BX187" i="8"/>
  <c r="CB127" i="11"/>
  <c r="CB223" i="11"/>
  <c r="BX182" i="10"/>
  <c r="BE99" i="40"/>
  <c r="BF326" i="40"/>
  <c r="BK103" i="40"/>
  <c r="BL328" i="40"/>
  <c r="BK109" i="40"/>
  <c r="BL331" i="40"/>
  <c r="BG97" i="40"/>
  <c r="BH325" i="40"/>
  <c r="BK111" i="40"/>
  <c r="BL332" i="40"/>
  <c r="BF105" i="40"/>
  <c r="BG329" i="40"/>
  <c r="BG107" i="40"/>
  <c r="BH330" i="40"/>
  <c r="BK93" i="40"/>
  <c r="BL323" i="40"/>
  <c r="BK101" i="40"/>
  <c r="BL327" i="40"/>
  <c r="BL95" i="40"/>
  <c r="BM324" i="40"/>
  <c r="BL91" i="40"/>
  <c r="BN319" i="40"/>
  <c r="BM85" i="40"/>
  <c r="BO306" i="40"/>
  <c r="BN59" i="40"/>
  <c r="BN315" i="40"/>
  <c r="BM77" i="40"/>
  <c r="BN321" i="40"/>
  <c r="BM89" i="40"/>
  <c r="BO304" i="40"/>
  <c r="BN55" i="40"/>
  <c r="BO305" i="40"/>
  <c r="BN57" i="40"/>
  <c r="BO312" i="40"/>
  <c r="BN71" i="40"/>
  <c r="BO303" i="40"/>
  <c r="BN53" i="40"/>
  <c r="BO298" i="40"/>
  <c r="BN43" i="40"/>
  <c r="BO299" i="40"/>
  <c r="BN45" i="40"/>
  <c r="BN302" i="40"/>
  <c r="BM51" i="40"/>
  <c r="BN307" i="40"/>
  <c r="BM61" i="40"/>
  <c r="BN310" i="40"/>
  <c r="BM67" i="40"/>
  <c r="BO301" i="40"/>
  <c r="BN49" i="40"/>
  <c r="BO308" i="40"/>
  <c r="BN63" i="40"/>
  <c r="BO314" i="40"/>
  <c r="BN75" i="40"/>
  <c r="BO318" i="40"/>
  <c r="BN83" i="40"/>
  <c r="BM309" i="40"/>
  <c r="BL65" i="40"/>
  <c r="BM313" i="40"/>
  <c r="BL73" i="40"/>
  <c r="BO300" i="40"/>
  <c r="BN47" i="40"/>
  <c r="BO322" i="40"/>
  <c r="BO316" i="40"/>
  <c r="BN79" i="40"/>
  <c r="BM311" i="40"/>
  <c r="BL69" i="40"/>
  <c r="BO320" i="40"/>
  <c r="BN87" i="40"/>
  <c r="BN317" i="40"/>
  <c r="BM81" i="40"/>
  <c r="BN297" i="40"/>
  <c r="BM41" i="40"/>
  <c r="BZ201" i="7"/>
  <c r="BZ200" i="7"/>
  <c r="BT71" i="22"/>
  <c r="BU235" i="22"/>
  <c r="BZ149" i="22"/>
  <c r="BZ150" i="22"/>
  <c r="BZ151" i="22"/>
  <c r="BZ152" i="22"/>
  <c r="CA56" i="22"/>
  <c r="BY186" i="8"/>
  <c r="BY185" i="8"/>
  <c r="CB156" i="7"/>
  <c r="CB155" i="7"/>
  <c r="BZ199" i="22"/>
  <c r="CA76" i="22"/>
  <c r="AZ59" i="10"/>
  <c r="BA229" i="10"/>
  <c r="BY175" i="7"/>
  <c r="BY176" i="7"/>
  <c r="BR67" i="10"/>
  <c r="BS233" i="10"/>
  <c r="CS145" i="10"/>
  <c r="CS146" i="10"/>
  <c r="BX202" i="11"/>
  <c r="BN235" i="10"/>
  <c r="BM71" i="10"/>
  <c r="BX202" i="22"/>
  <c r="CB56" i="11"/>
  <c r="CA149" i="11"/>
  <c r="BT63" i="8"/>
  <c r="BU231" i="8"/>
  <c r="BA67" i="9"/>
  <c r="BB233" i="9"/>
  <c r="BY59" i="7"/>
  <c r="BZ229" i="7"/>
  <c r="BY200" i="22"/>
  <c r="BY201" i="22"/>
  <c r="BX202" i="10"/>
  <c r="BX230" i="7"/>
  <c r="BW61" i="7"/>
  <c r="O240" i="8"/>
  <c r="N81" i="8"/>
  <c r="CR147" i="10"/>
  <c r="BZ174" i="7"/>
  <c r="CA66" i="7"/>
  <c r="BA81" i="10"/>
  <c r="BB240" i="10"/>
  <c r="BX162" i="10"/>
  <c r="CT144" i="10"/>
  <c r="CU54" i="10"/>
  <c r="BS232" i="9"/>
  <c r="BR65" i="9"/>
  <c r="BP229" i="8"/>
  <c r="BO59" i="8"/>
  <c r="BX223" i="11"/>
  <c r="BW47" i="11"/>
  <c r="BV239" i="7"/>
  <c r="BU79" i="7"/>
  <c r="BZ151" i="11"/>
  <c r="BZ150" i="11"/>
  <c r="BZ138" i="6"/>
  <c r="BZ139" i="6"/>
  <c r="BZ140" i="6"/>
  <c r="BZ141" i="6"/>
  <c r="CA46" i="6"/>
  <c r="Q61" i="11"/>
  <c r="R230" i="11"/>
  <c r="BU231" i="22"/>
  <c r="BT63" i="22"/>
  <c r="BY160" i="10"/>
  <c r="BY161" i="10"/>
  <c r="BY135" i="11"/>
  <c r="BY136" i="11"/>
  <c r="BY200" i="11"/>
  <c r="BY201" i="11"/>
  <c r="BM237" i="11"/>
  <c r="BL75" i="11"/>
  <c r="CA78" i="8"/>
  <c r="BZ204" i="8"/>
  <c r="BT239" i="9"/>
  <c r="BS79" i="9"/>
  <c r="BA65" i="10"/>
  <c r="BB232" i="10"/>
  <c r="BX137" i="11"/>
  <c r="CA62" i="9"/>
  <c r="BZ164" i="9"/>
  <c r="BR79" i="22"/>
  <c r="BS239" i="22"/>
  <c r="BZ179" i="10"/>
  <c r="CA68" i="10"/>
  <c r="BY200" i="10"/>
  <c r="BY201" i="10"/>
  <c r="CA199" i="7"/>
  <c r="CB76" i="7"/>
  <c r="CA70" i="8"/>
  <c r="BZ184" i="8"/>
  <c r="BZ159" i="10"/>
  <c r="CA60" i="10"/>
  <c r="K55" i="11"/>
  <c r="L227" i="11"/>
  <c r="BE67" i="22"/>
  <c r="BF233" i="22"/>
  <c r="BX79" i="11"/>
  <c r="BY239" i="11"/>
  <c r="BZ134" i="11"/>
  <c r="CA50" i="11"/>
  <c r="CA76" i="11"/>
  <c r="BZ199" i="11"/>
  <c r="BR73" i="22"/>
  <c r="BS236" i="22"/>
  <c r="BY205" i="8"/>
  <c r="BY206" i="8"/>
  <c r="BY166" i="9"/>
  <c r="BY165" i="9"/>
  <c r="BY181" i="10"/>
  <c r="BY180" i="10"/>
  <c r="BZ199" i="10"/>
  <c r="CA76" i="10"/>
  <c r="BQ231" i="10"/>
  <c r="BP63" i="10"/>
  <c r="R30" i="2"/>
  <c r="D30" i="20"/>
  <c r="P28" i="20"/>
  <c r="Q28" i="20"/>
  <c r="N18" i="39"/>
  <c r="C26" i="38"/>
  <c r="U25" i="38"/>
  <c r="AD58" i="38"/>
  <c r="C91" i="38"/>
  <c r="CB109" i="11"/>
  <c r="CB110" i="11"/>
  <c r="CB111" i="11"/>
  <c r="CB112" i="11"/>
  <c r="CB41" i="11"/>
  <c r="CA41" i="11"/>
  <c r="CA220" i="11"/>
  <c r="CA30" i="10"/>
  <c r="BZ84" i="10"/>
  <c r="BZ85" i="10"/>
  <c r="BZ86" i="10"/>
  <c r="BZ87" i="10"/>
  <c r="CB44" i="10"/>
  <c r="CA119" i="10"/>
  <c r="CA120" i="10"/>
  <c r="CA121" i="10"/>
  <c r="CA122" i="10"/>
  <c r="BZ94" i="10"/>
  <c r="BZ95" i="10"/>
  <c r="BZ96" i="10"/>
  <c r="BZ97" i="10"/>
  <c r="CA34" i="10"/>
  <c r="CA46" i="10"/>
  <c r="BZ124" i="10"/>
  <c r="BZ125" i="10"/>
  <c r="BZ126" i="10"/>
  <c r="BZ127" i="10"/>
  <c r="BZ114" i="10"/>
  <c r="BZ115" i="10"/>
  <c r="BZ116" i="10"/>
  <c r="BZ117" i="10"/>
  <c r="CA42" i="10"/>
  <c r="BZ139" i="10"/>
  <c r="BZ140" i="10"/>
  <c r="BZ141" i="10"/>
  <c r="BZ142" i="10"/>
  <c r="CA52" i="10"/>
  <c r="CA32" i="10"/>
  <c r="BZ89" i="10"/>
  <c r="BZ90" i="10"/>
  <c r="BZ91" i="10"/>
  <c r="BZ92" i="10"/>
  <c r="BZ104" i="10"/>
  <c r="BZ105" i="10"/>
  <c r="BZ106" i="10"/>
  <c r="BZ107" i="10"/>
  <c r="CA38" i="10"/>
  <c r="BZ109" i="10"/>
  <c r="BZ110" i="10"/>
  <c r="BZ111" i="10"/>
  <c r="BZ112" i="10"/>
  <c r="CA40" i="10"/>
  <c r="BZ129" i="10"/>
  <c r="BZ130" i="10"/>
  <c r="BZ131" i="10"/>
  <c r="BZ132" i="10"/>
  <c r="CA48" i="10"/>
  <c r="BZ134" i="22"/>
  <c r="BZ135" i="22"/>
  <c r="BZ136" i="22"/>
  <c r="BZ137" i="22"/>
  <c r="CA50" i="22"/>
  <c r="CB46" i="22"/>
  <c r="CA124" i="22"/>
  <c r="CA125" i="22"/>
  <c r="CA126" i="22"/>
  <c r="CA127" i="22"/>
  <c r="CA139" i="22"/>
  <c r="CA140" i="22"/>
  <c r="CA141" i="22"/>
  <c r="CA142" i="22"/>
  <c r="CB52" i="22"/>
  <c r="CA42" i="22"/>
  <c r="BZ114" i="22"/>
  <c r="BZ115" i="22"/>
  <c r="BZ116" i="22"/>
  <c r="BZ117" i="22"/>
  <c r="CA134" i="8"/>
  <c r="CA135" i="8"/>
  <c r="CA136" i="8"/>
  <c r="CA137" i="8"/>
  <c r="CB50" i="8"/>
  <c r="BZ124" i="8"/>
  <c r="BZ125" i="8"/>
  <c r="BZ126" i="8"/>
  <c r="BZ127" i="8"/>
  <c r="CA46" i="8"/>
  <c r="BX202" i="9"/>
  <c r="BX192" i="9"/>
  <c r="BU73" i="8"/>
  <c r="BV236" i="8"/>
  <c r="AQ31" i="22"/>
  <c r="AR215" i="22"/>
  <c r="AU53" i="11"/>
  <c r="AV226" i="11"/>
  <c r="BY190" i="9"/>
  <c r="BY191" i="9"/>
  <c r="BG61" i="22"/>
  <c r="BH230" i="22"/>
  <c r="R63" i="11"/>
  <c r="S231" i="11"/>
  <c r="BD81" i="22"/>
  <c r="BE240" i="22"/>
  <c r="AT73" i="10"/>
  <c r="AU236" i="10"/>
  <c r="D200" i="2"/>
  <c r="C79" i="2"/>
  <c r="AD79" i="2"/>
  <c r="AF79" i="2"/>
  <c r="AG79" i="2"/>
  <c r="AE200" i="2"/>
  <c r="AY49" i="11"/>
  <c r="AZ224" i="11"/>
  <c r="F65" i="8"/>
  <c r="G232" i="8"/>
  <c r="BF69" i="22"/>
  <c r="BG234" i="22"/>
  <c r="BE75" i="7"/>
  <c r="BF237" i="7"/>
  <c r="BA57" i="10"/>
  <c r="BB228" i="10"/>
  <c r="BF71" i="7"/>
  <c r="BG235" i="7"/>
  <c r="BK61" i="8"/>
  <c r="BL230" i="8"/>
  <c r="U79" i="2"/>
  <c r="W79" i="2"/>
  <c r="X79" i="2"/>
  <c r="V200" i="2"/>
  <c r="L79" i="2"/>
  <c r="N79" i="2"/>
  <c r="O79" i="2"/>
  <c r="M200" i="2"/>
  <c r="BB65" i="22"/>
  <c r="BC232" i="22"/>
  <c r="CA76" i="9"/>
  <c r="BZ199" i="9"/>
  <c r="BD75" i="10"/>
  <c r="BE237" i="10"/>
  <c r="S69" i="11"/>
  <c r="T234" i="11"/>
  <c r="U51" i="30"/>
  <c r="W51" i="30"/>
  <c r="V51" i="30"/>
  <c r="BD75" i="8"/>
  <c r="BE237" i="8"/>
  <c r="BD75" i="22"/>
  <c r="BE237" i="22"/>
  <c r="BB81" i="7"/>
  <c r="BC240" i="7"/>
  <c r="BI73" i="11"/>
  <c r="BJ236" i="11"/>
  <c r="BZ189" i="9"/>
  <c r="CA72" i="9"/>
  <c r="BI77" i="8"/>
  <c r="BJ238" i="8"/>
  <c r="BG67" i="11"/>
  <c r="BH233" i="11"/>
  <c r="BF67" i="8"/>
  <c r="BG233" i="8"/>
  <c r="BA71" i="9"/>
  <c r="BB235" i="9"/>
  <c r="BE79" i="2"/>
  <c r="BF200" i="2"/>
  <c r="AV79" i="2"/>
  <c r="AW200" i="2"/>
  <c r="D73" i="7"/>
  <c r="E236" i="7"/>
  <c r="BG81" i="11"/>
  <c r="BH240" i="11"/>
  <c r="BB79" i="10"/>
  <c r="BC239" i="10"/>
  <c r="BH69" i="8"/>
  <c r="BI234" i="8"/>
  <c r="AZ81" i="9"/>
  <c r="BA240" i="9"/>
  <c r="AM201" i="2"/>
  <c r="BE201" i="2"/>
  <c r="AD201" i="2"/>
  <c r="L201" i="2"/>
  <c r="C201" i="2"/>
  <c r="BN201" i="2"/>
  <c r="AV201" i="2"/>
  <c r="U201" i="2"/>
  <c r="BZ89" i="22"/>
  <c r="BZ90" i="22"/>
  <c r="BZ91" i="22"/>
  <c r="BZ92" i="22"/>
  <c r="CA32" i="22"/>
  <c r="BN79" i="2"/>
  <c r="BO200" i="2"/>
  <c r="AM79" i="2"/>
  <c r="AN200" i="2"/>
  <c r="BY201" i="9"/>
  <c r="BY200" i="9"/>
  <c r="A202" i="2"/>
  <c r="BW202" i="2"/>
  <c r="A82" i="2"/>
  <c r="AN65" i="7"/>
  <c r="AO232" i="7"/>
  <c r="BC69" i="9"/>
  <c r="BD234" i="9"/>
  <c r="N65" i="11"/>
  <c r="O232" i="11"/>
  <c r="AX69" i="7"/>
  <c r="AY234" i="7"/>
  <c r="BZ217" i="8"/>
  <c r="BY35" i="8"/>
  <c r="BZ119" i="8"/>
  <c r="BZ120" i="8"/>
  <c r="BZ121" i="8"/>
  <c r="BZ122" i="8"/>
  <c r="CA44" i="8"/>
  <c r="CA42" i="8"/>
  <c r="BZ114" i="8"/>
  <c r="BZ115" i="8"/>
  <c r="BZ116" i="8"/>
  <c r="BZ117" i="8"/>
  <c r="CB220" i="7"/>
  <c r="BS63" i="7"/>
  <c r="BT231" i="7"/>
  <c r="CA32" i="11"/>
  <c r="BZ89" i="11"/>
  <c r="BZ90" i="11"/>
  <c r="BZ91" i="11"/>
  <c r="BZ92" i="11"/>
  <c r="CA52" i="9"/>
  <c r="BZ139" i="9"/>
  <c r="BZ140" i="9"/>
  <c r="BZ141" i="9"/>
  <c r="BZ142" i="9"/>
  <c r="BY140" i="9"/>
  <c r="BY141" i="9"/>
  <c r="BY142" i="9"/>
  <c r="CA84" i="9"/>
  <c r="CA85" i="9"/>
  <c r="CA86" i="9"/>
  <c r="CA87" i="9"/>
  <c r="CB30" i="9"/>
  <c r="CB31" i="1"/>
  <c r="CB86" i="1"/>
  <c r="CB87" i="1"/>
  <c r="CB88" i="1"/>
  <c r="CB89" i="1"/>
  <c r="CB91" i="1"/>
  <c r="CB92" i="1"/>
  <c r="CB93" i="1"/>
  <c r="CB94" i="1"/>
  <c r="CB33" i="1"/>
  <c r="CA52" i="1"/>
  <c r="BZ141" i="1"/>
  <c r="BZ142" i="1"/>
  <c r="BZ143" i="1"/>
  <c r="BZ144" i="1"/>
  <c r="CA64" i="1"/>
  <c r="BZ171" i="1"/>
  <c r="BZ172" i="1"/>
  <c r="BZ173" i="1"/>
  <c r="BZ174" i="1"/>
  <c r="BZ181" i="1"/>
  <c r="BZ182" i="1"/>
  <c r="BZ183" i="1"/>
  <c r="BZ184" i="1"/>
  <c r="CA68" i="1"/>
  <c r="BZ156" i="1"/>
  <c r="BZ157" i="1"/>
  <c r="BZ158" i="1"/>
  <c r="BZ159" i="1"/>
  <c r="CA58" i="1"/>
  <c r="BZ131" i="1"/>
  <c r="BZ132" i="1"/>
  <c r="BZ133" i="1"/>
  <c r="BZ134" i="1"/>
  <c r="CA48" i="1"/>
  <c r="CA34" i="1"/>
  <c r="BZ96" i="1"/>
  <c r="BZ97" i="1"/>
  <c r="BZ98" i="1"/>
  <c r="BZ99" i="1"/>
  <c r="CA50" i="1"/>
  <c r="BZ136" i="1"/>
  <c r="BZ137" i="1"/>
  <c r="BZ138" i="1"/>
  <c r="BZ139" i="1"/>
  <c r="E17" i="38"/>
  <c r="P9" i="39"/>
  <c r="F9" i="39"/>
  <c r="T19" i="20"/>
  <c r="U19" i="20"/>
  <c r="E82" i="38"/>
  <c r="W16" i="38"/>
  <c r="AF49" i="38"/>
  <c r="AA27" i="26"/>
  <c r="R43" i="35"/>
  <c r="S44" i="35"/>
  <c r="CA119" i="22"/>
  <c r="CA120" i="22"/>
  <c r="CA121" i="22"/>
  <c r="CA122" i="22"/>
  <c r="CB44" i="22"/>
  <c r="CB222" i="6"/>
  <c r="CA24" i="6"/>
  <c r="BZ83" i="6"/>
  <c r="CA128" i="6"/>
  <c r="CA129" i="6"/>
  <c r="CA130" i="6"/>
  <c r="CA131" i="6"/>
  <c r="CB42" i="6"/>
  <c r="BZ133" i="6"/>
  <c r="BZ134" i="6"/>
  <c r="BZ135" i="6"/>
  <c r="BZ136" i="6"/>
  <c r="CA44" i="6"/>
  <c r="CA34" i="6"/>
  <c r="BZ108" i="6"/>
  <c r="BZ109" i="6"/>
  <c r="BZ110" i="6"/>
  <c r="BZ111" i="6"/>
  <c r="CA40" i="6"/>
  <c r="BZ123" i="6"/>
  <c r="BZ124" i="6"/>
  <c r="BZ125" i="6"/>
  <c r="BZ126" i="6"/>
  <c r="BZ88" i="6"/>
  <c r="BZ89" i="6"/>
  <c r="BZ90" i="6"/>
  <c r="BZ91" i="6"/>
  <c r="CA26" i="6"/>
  <c r="BZ93" i="6"/>
  <c r="CA28" i="6"/>
  <c r="CA32" i="6"/>
  <c r="BZ103" i="6"/>
  <c r="BZ104" i="6"/>
  <c r="BZ105" i="6"/>
  <c r="BZ106" i="6"/>
  <c r="CB30" i="6"/>
  <c r="CA98" i="6"/>
  <c r="CA99" i="6"/>
  <c r="CA100" i="6"/>
  <c r="CA101" i="6"/>
  <c r="BZ113" i="6"/>
  <c r="BZ114" i="6"/>
  <c r="BZ115" i="6"/>
  <c r="BZ116" i="6"/>
  <c r="CA36" i="6"/>
  <c r="CA22" i="6"/>
  <c r="BZ78" i="6"/>
  <c r="BZ79" i="6"/>
  <c r="BZ80" i="6"/>
  <c r="BZ81" i="6"/>
  <c r="CB219" i="9"/>
  <c r="CB216" i="1"/>
  <c r="CB83" i="1"/>
  <c r="CA83" i="1"/>
  <c r="BZ83" i="1"/>
  <c r="BY83" i="1"/>
  <c r="CA247" i="1"/>
  <c r="BZ81" i="1"/>
  <c r="BZ219" i="1"/>
  <c r="CA218" i="1"/>
  <c r="CA217" i="1"/>
  <c r="CB247" i="1"/>
  <c r="BZ116" i="1"/>
  <c r="BZ117" i="1"/>
  <c r="BZ118" i="1"/>
  <c r="BZ119" i="1"/>
  <c r="CA42" i="1"/>
  <c r="CB36" i="8"/>
  <c r="CA99" i="8"/>
  <c r="CA100" i="8"/>
  <c r="CA101" i="8"/>
  <c r="CA102" i="8"/>
  <c r="BY39" i="8"/>
  <c r="BZ219" i="8"/>
  <c r="CB44" i="11"/>
  <c r="CA119" i="11"/>
  <c r="BZ120" i="11"/>
  <c r="BZ121" i="11"/>
  <c r="BZ122" i="11"/>
  <c r="D82" i="38"/>
  <c r="V16" i="38"/>
  <c r="AE49" i="38"/>
  <c r="AA21" i="2"/>
  <c r="E21" i="20"/>
  <c r="R19" i="20"/>
  <c r="S19" i="20"/>
  <c r="O9" i="39"/>
  <c r="E9" i="39"/>
  <c r="D17" i="38"/>
  <c r="CB38" i="22"/>
  <c r="CA104" i="22"/>
  <c r="CA105" i="22"/>
  <c r="CA106" i="22"/>
  <c r="CA107" i="22"/>
  <c r="BY95" i="22"/>
  <c r="BY96" i="22"/>
  <c r="BY97" i="22"/>
  <c r="CA48" i="22"/>
  <c r="BZ129" i="22"/>
  <c r="CA34" i="22"/>
  <c r="BZ94" i="22"/>
  <c r="BZ95" i="22"/>
  <c r="BZ96" i="22"/>
  <c r="BZ97" i="22"/>
  <c r="CA99" i="7"/>
  <c r="CA100" i="7"/>
  <c r="CA101" i="7"/>
  <c r="CA102" i="7"/>
  <c r="CB36" i="7"/>
  <c r="BZ94" i="7"/>
  <c r="BZ95" i="7"/>
  <c r="BZ96" i="7"/>
  <c r="BZ97" i="7"/>
  <c r="CA34" i="7"/>
  <c r="CA220" i="7"/>
  <c r="BZ41" i="7"/>
  <c r="CB30" i="7"/>
  <c r="CA84" i="7"/>
  <c r="CA85" i="7"/>
  <c r="CA86" i="7"/>
  <c r="CA87" i="7"/>
  <c r="CA42" i="7"/>
  <c r="BZ114" i="7"/>
  <c r="CB38" i="7"/>
  <c r="CA104" i="7"/>
  <c r="CA105" i="7"/>
  <c r="CA106" i="7"/>
  <c r="CA107" i="7"/>
  <c r="CA222" i="6"/>
  <c r="BZ39" i="6"/>
  <c r="BZ227" i="9"/>
  <c r="BY55" i="9"/>
  <c r="CA219" i="9"/>
  <c r="BZ39" i="9"/>
  <c r="BZ42" i="9"/>
  <c r="BY114" i="9"/>
  <c r="BY115" i="9"/>
  <c r="BY116" i="9"/>
  <c r="BY117" i="9"/>
  <c r="CA34" i="9"/>
  <c r="BZ94" i="9"/>
  <c r="CA46" i="9"/>
  <c r="BZ124" i="9"/>
  <c r="BZ125" i="9"/>
  <c r="BZ126" i="9"/>
  <c r="BZ127" i="9"/>
  <c r="CB50" i="9"/>
  <c r="CA134" i="9"/>
  <c r="CA135" i="9"/>
  <c r="CA136" i="9"/>
  <c r="CA137" i="9"/>
  <c r="BY150" i="9"/>
  <c r="BY151" i="9"/>
  <c r="CA56" i="9"/>
  <c r="BZ149" i="9"/>
  <c r="CB89" i="9"/>
  <c r="CB33" i="9"/>
  <c r="CA33" i="9"/>
  <c r="CA216" i="9"/>
  <c r="CA48" i="9"/>
  <c r="BZ129" i="9"/>
  <c r="BZ130" i="9"/>
  <c r="BZ131" i="9"/>
  <c r="BZ132" i="9"/>
  <c r="BY120" i="9"/>
  <c r="BY121" i="9"/>
  <c r="BY122" i="9"/>
  <c r="BZ119" i="9"/>
  <c r="BZ120" i="9"/>
  <c r="BZ121" i="9"/>
  <c r="BZ122" i="9"/>
  <c r="CA44" i="9"/>
  <c r="CA161" i="1"/>
  <c r="CA162" i="1"/>
  <c r="CA163" i="1"/>
  <c r="CA164" i="1"/>
  <c r="CB60" i="1"/>
  <c r="BY197" i="1"/>
  <c r="BY198" i="1"/>
  <c r="BY207" i="1"/>
  <c r="BY208" i="1"/>
  <c r="BZ192" i="1"/>
  <c r="BZ193" i="1"/>
  <c r="CA74" i="1"/>
  <c r="BZ196" i="1"/>
  <c r="BZ197" i="1"/>
  <c r="BZ198" i="1"/>
  <c r="BZ199" i="1"/>
  <c r="CB67" i="1"/>
  <c r="CB176" i="1"/>
  <c r="CA78" i="1"/>
  <c r="BZ206" i="1"/>
  <c r="BZ207" i="1"/>
  <c r="BZ208" i="1"/>
  <c r="BZ209" i="1"/>
  <c r="CB72" i="1"/>
  <c r="CA191" i="1"/>
  <c r="CA192" i="1"/>
  <c r="CA193" i="1"/>
  <c r="CA194" i="1"/>
  <c r="BW57" i="1"/>
  <c r="BX235" i="1"/>
  <c r="CB77" i="1"/>
  <c r="CA77" i="1"/>
  <c r="CB201" i="1"/>
  <c r="CB202" i="1"/>
  <c r="CB203" i="1"/>
  <c r="CB204" i="1"/>
  <c r="CA70" i="1"/>
  <c r="BZ186" i="1"/>
  <c r="BY221" i="11"/>
  <c r="BX43" i="11"/>
  <c r="S48" i="34"/>
  <c r="V31" i="26"/>
  <c r="R47" i="34"/>
  <c r="CA104" i="11"/>
  <c r="CB38" i="11"/>
  <c r="CB37" i="11"/>
  <c r="CB99" i="11"/>
  <c r="BZ105" i="11"/>
  <c r="BZ106" i="11"/>
  <c r="CA100" i="11"/>
  <c r="CA101" i="11"/>
  <c r="CA102" i="11"/>
  <c r="CA215" i="11"/>
  <c r="CA134" i="10"/>
  <c r="CB50" i="10"/>
  <c r="BZ135" i="10"/>
  <c r="BZ136" i="10"/>
  <c r="BZ137" i="10"/>
  <c r="BZ100" i="10"/>
  <c r="BZ101" i="10"/>
  <c r="BZ102" i="10"/>
  <c r="CA99" i="10"/>
  <c r="CB36" i="10"/>
  <c r="BY155" i="22"/>
  <c r="BY156" i="22"/>
  <c r="BY157" i="22"/>
  <c r="BZ154" i="22"/>
  <c r="CA58" i="22"/>
  <c r="BZ100" i="22"/>
  <c r="BZ101" i="22"/>
  <c r="BZ102" i="22"/>
  <c r="CA109" i="22"/>
  <c r="CB40" i="22"/>
  <c r="CA144" i="22"/>
  <c r="CB54" i="22"/>
  <c r="BZ145" i="22"/>
  <c r="BZ146" i="22"/>
  <c r="BZ147" i="22"/>
  <c r="CA99" i="22"/>
  <c r="CB36" i="22"/>
  <c r="CB37" i="22"/>
  <c r="CA37" i="22"/>
  <c r="BZ37" i="22"/>
  <c r="BY37" i="22"/>
  <c r="BX37" i="22"/>
  <c r="BW37" i="22"/>
  <c r="BV37" i="22"/>
  <c r="BU37" i="22"/>
  <c r="BT37" i="22"/>
  <c r="BS37" i="22"/>
  <c r="BR37" i="22"/>
  <c r="BQ37" i="22"/>
  <c r="BP37" i="22"/>
  <c r="BO37" i="22"/>
  <c r="BN37" i="22"/>
  <c r="BM37" i="22"/>
  <c r="BL37" i="22"/>
  <c r="BK37" i="22"/>
  <c r="BJ37" i="22"/>
  <c r="BI37" i="22"/>
  <c r="BH37" i="22"/>
  <c r="BG37" i="22"/>
  <c r="BF37" i="22"/>
  <c r="BE37" i="22"/>
  <c r="BD37" i="22"/>
  <c r="BC37" i="22"/>
  <c r="BB37" i="22"/>
  <c r="BA37" i="22"/>
  <c r="AZ37" i="22"/>
  <c r="AY37" i="22"/>
  <c r="AX37" i="22"/>
  <c r="AW37" i="22"/>
  <c r="AV37" i="22"/>
  <c r="AU37" i="22"/>
  <c r="AT37" i="22"/>
  <c r="AS37" i="22"/>
  <c r="AR37" i="22"/>
  <c r="AQ37" i="22"/>
  <c r="AP37" i="22"/>
  <c r="AO37" i="22"/>
  <c r="AN37" i="22"/>
  <c r="AM37" i="22"/>
  <c r="AL37" i="22"/>
  <c r="AK37" i="22"/>
  <c r="AJ37" i="22"/>
  <c r="AI37" i="22"/>
  <c r="AH37" i="22"/>
  <c r="AG37" i="22"/>
  <c r="AF37" i="22"/>
  <c r="AE37" i="22"/>
  <c r="AD37" i="22"/>
  <c r="AC37" i="22"/>
  <c r="AB37" i="22"/>
  <c r="AA37" i="22"/>
  <c r="Z37" i="22"/>
  <c r="Y37" i="22"/>
  <c r="X37" i="22"/>
  <c r="W37" i="22"/>
  <c r="V37" i="22"/>
  <c r="U37" i="22"/>
  <c r="T37" i="22"/>
  <c r="S37" i="22"/>
  <c r="R37" i="22"/>
  <c r="Q37" i="22"/>
  <c r="P37" i="22"/>
  <c r="O37" i="22"/>
  <c r="N37" i="22"/>
  <c r="M37" i="22"/>
  <c r="L37" i="22"/>
  <c r="K37" i="22"/>
  <c r="J37" i="22"/>
  <c r="I37" i="22"/>
  <c r="H37" i="22"/>
  <c r="G37" i="22"/>
  <c r="F37" i="22"/>
  <c r="E37" i="22"/>
  <c r="D37" i="22"/>
  <c r="C37" i="22"/>
  <c r="BZ110" i="22"/>
  <c r="BZ111" i="22"/>
  <c r="BZ112" i="22"/>
  <c r="CA57" i="8"/>
  <c r="CB150" i="8"/>
  <c r="CB151" i="8"/>
  <c r="CB152" i="8"/>
  <c r="CB228" i="8"/>
  <c r="CB54" i="8"/>
  <c r="CA144" i="8"/>
  <c r="BZ145" i="8"/>
  <c r="BZ146" i="8"/>
  <c r="BZ147" i="8"/>
  <c r="BZ30" i="8"/>
  <c r="BY84" i="8"/>
  <c r="BY140" i="8"/>
  <c r="BY141" i="8"/>
  <c r="BY142" i="8"/>
  <c r="BZ109" i="8"/>
  <c r="CA40" i="8"/>
  <c r="BY90" i="8"/>
  <c r="BY91" i="8"/>
  <c r="BY92" i="8"/>
  <c r="BY130" i="8"/>
  <c r="BY131" i="8"/>
  <c r="BY132" i="8"/>
  <c r="BY110" i="8"/>
  <c r="BY111" i="8"/>
  <c r="BY112" i="8"/>
  <c r="CA48" i="8"/>
  <c r="BZ129" i="8"/>
  <c r="BX85" i="8"/>
  <c r="BX86" i="8"/>
  <c r="BX87" i="8"/>
  <c r="BZ139" i="8"/>
  <c r="CA52" i="8"/>
  <c r="CA32" i="8"/>
  <c r="BZ89" i="8"/>
  <c r="BZ144" i="7"/>
  <c r="CA54" i="7"/>
  <c r="BY145" i="7"/>
  <c r="BY146" i="7"/>
  <c r="BY147" i="7"/>
  <c r="BZ139" i="7"/>
  <c r="CA52" i="7"/>
  <c r="BY140" i="7"/>
  <c r="BY141" i="7"/>
  <c r="BY142" i="7"/>
  <c r="CA50" i="7"/>
  <c r="BZ134" i="7"/>
  <c r="BY135" i="7"/>
  <c r="BY136" i="7"/>
  <c r="BY137" i="7"/>
  <c r="CA125" i="7"/>
  <c r="CA126" i="7"/>
  <c r="CA127" i="7"/>
  <c r="CA45" i="7"/>
  <c r="CB47" i="7"/>
  <c r="CB124" i="7"/>
  <c r="CB120" i="7"/>
  <c r="CB121" i="7"/>
  <c r="CB122" i="7"/>
  <c r="CB222" i="7"/>
  <c r="BX216" i="7"/>
  <c r="BW33" i="7"/>
  <c r="BY164" i="6"/>
  <c r="BY165" i="6"/>
  <c r="BY166" i="6"/>
  <c r="BZ163" i="6"/>
  <c r="CA56" i="6"/>
  <c r="BY159" i="6"/>
  <c r="BY160" i="6"/>
  <c r="BY161" i="6"/>
  <c r="CA54" i="6"/>
  <c r="BZ158" i="6"/>
  <c r="BY154" i="6"/>
  <c r="BY155" i="6"/>
  <c r="BY156" i="6"/>
  <c r="BZ153" i="6"/>
  <c r="CA52" i="6"/>
  <c r="BY149" i="6"/>
  <c r="BY150" i="6"/>
  <c r="BY151" i="6"/>
  <c r="BZ148" i="6"/>
  <c r="CA50" i="6"/>
  <c r="CA48" i="6"/>
  <c r="BZ143" i="6"/>
  <c r="BY144" i="6"/>
  <c r="BY145" i="6"/>
  <c r="BY146" i="6"/>
  <c r="CB60" i="9"/>
  <c r="CA159" i="9"/>
  <c r="BZ160" i="9"/>
  <c r="BZ161" i="9"/>
  <c r="BZ162" i="9"/>
  <c r="BY155" i="9"/>
  <c r="BY156" i="9"/>
  <c r="BY157" i="9"/>
  <c r="BZ154" i="9"/>
  <c r="CA58" i="9"/>
  <c r="BZ100" i="9"/>
  <c r="BZ101" i="9"/>
  <c r="BZ102" i="9"/>
  <c r="BZ110" i="9"/>
  <c r="BZ111" i="9"/>
  <c r="BZ112" i="9"/>
  <c r="CB36" i="9"/>
  <c r="CA99" i="9"/>
  <c r="CB40" i="9"/>
  <c r="CA109" i="9"/>
  <c r="BY167" i="1"/>
  <c r="BY168" i="1"/>
  <c r="BY169" i="1"/>
  <c r="CA62" i="1"/>
  <c r="BZ166" i="1"/>
  <c r="BY147" i="1"/>
  <c r="BY148" i="1"/>
  <c r="BY149" i="1"/>
  <c r="BY127" i="1"/>
  <c r="BY128" i="1"/>
  <c r="BY129" i="1"/>
  <c r="CA54" i="1"/>
  <c r="BZ146" i="1"/>
  <c r="CA46" i="1"/>
  <c r="BZ126" i="1"/>
  <c r="CA122" i="1"/>
  <c r="CA123" i="1"/>
  <c r="CA124" i="1"/>
  <c r="CB45" i="1"/>
  <c r="CB121" i="1"/>
  <c r="CA102" i="1"/>
  <c r="CA103" i="1"/>
  <c r="CB111" i="1"/>
  <c r="CB41" i="1"/>
  <c r="BZ106" i="1"/>
  <c r="CA38" i="1"/>
  <c r="BY107" i="1"/>
  <c r="BY108" i="1"/>
  <c r="BY109" i="1"/>
  <c r="CA112" i="1"/>
  <c r="CA113" i="1"/>
  <c r="CA114" i="1"/>
  <c r="CB37" i="1"/>
  <c r="CB101" i="1"/>
  <c r="CB48" i="7"/>
  <c r="CA129" i="7"/>
  <c r="CA130" i="7"/>
  <c r="CA131" i="7"/>
  <c r="CA132" i="7"/>
  <c r="BJ25" i="2"/>
  <c r="CK25" i="2"/>
  <c r="AJ21" i="2"/>
  <c r="F21" i="20"/>
  <c r="BZ41" i="11"/>
  <c r="BW81" i="2"/>
  <c r="BX202" i="2"/>
  <c r="D59" i="11"/>
  <c r="E229" i="11"/>
  <c r="AT75" i="9"/>
  <c r="AU237" i="9"/>
  <c r="BI5" i="2"/>
  <c r="BI67" i="2"/>
  <c r="CJ67" i="2"/>
  <c r="CI24" i="2"/>
  <c r="CI37" i="2"/>
  <c r="BH78" i="2"/>
  <c r="CI78" i="2"/>
  <c r="CI21" i="2"/>
  <c r="CI41" i="2"/>
  <c r="R36" i="37"/>
  <c r="S37" i="37"/>
  <c r="AK20" i="26"/>
  <c r="BJ20" i="2"/>
  <c r="CK20" i="2"/>
  <c r="CI18" i="2"/>
  <c r="BJ39" i="2"/>
  <c r="CK39" i="2"/>
  <c r="CI27" i="2"/>
  <c r="BJ29" i="2"/>
  <c r="CK29" i="2"/>
  <c r="CI35" i="2"/>
  <c r="BJ26" i="2"/>
  <c r="CK26" i="2"/>
  <c r="S5" i="39"/>
  <c r="I5" i="39"/>
  <c r="CI40" i="2"/>
  <c r="CI43" i="2"/>
  <c r="CI23" i="2"/>
  <c r="CI16" i="2"/>
  <c r="CI30" i="2"/>
  <c r="CL16" i="2"/>
  <c r="L16" i="20"/>
  <c r="CI15" i="2"/>
  <c r="BJ19" i="2"/>
  <c r="CK19" i="2"/>
  <c r="H13" i="38"/>
  <c r="H79" i="38"/>
  <c r="BJ33" i="2"/>
  <c r="CK33" i="2"/>
  <c r="BJ17" i="2"/>
  <c r="CK17" i="2"/>
  <c r="BK16" i="2"/>
  <c r="I16" i="20"/>
  <c r="S6" i="39"/>
  <c r="I6" i="39"/>
  <c r="CI36" i="2"/>
  <c r="CI32" i="2"/>
  <c r="BJ31" i="2"/>
  <c r="CK31" i="2"/>
  <c r="CI22" i="2"/>
  <c r="BJ42" i="2"/>
  <c r="CK42" i="2"/>
  <c r="CI42" i="2"/>
  <c r="BG79" i="2"/>
  <c r="CF79" i="2"/>
  <c r="BJ34" i="2"/>
  <c r="CK34" i="2"/>
  <c r="CI34" i="2"/>
  <c r="BJ28" i="2"/>
  <c r="CK28" i="2"/>
  <c r="CI28" i="2"/>
  <c r="BJ38" i="2"/>
  <c r="CK38" i="2"/>
  <c r="CI38" i="2"/>
  <c r="U51" i="41"/>
  <c r="K51" i="41"/>
  <c r="BY137" i="11"/>
  <c r="BY182" i="10"/>
  <c r="BY202" i="11"/>
  <c r="BY162" i="10"/>
  <c r="BY167" i="9"/>
  <c r="BK95" i="40"/>
  <c r="BL324" i="40"/>
  <c r="BJ93" i="40"/>
  <c r="BK323" i="40"/>
  <c r="BE105" i="40"/>
  <c r="BF329" i="40"/>
  <c r="BF97" i="40"/>
  <c r="BG325" i="40"/>
  <c r="BJ103" i="40"/>
  <c r="BK328" i="40"/>
  <c r="BJ101" i="40"/>
  <c r="BK327" i="40"/>
  <c r="BF107" i="40"/>
  <c r="BG330" i="40"/>
  <c r="BJ111" i="40"/>
  <c r="BK332" i="40"/>
  <c r="BJ109" i="40"/>
  <c r="BK331" i="40"/>
  <c r="BD99" i="40"/>
  <c r="BE326" i="40"/>
  <c r="BK91" i="40"/>
  <c r="BN320" i="40"/>
  <c r="BM87" i="40"/>
  <c r="BN300" i="40"/>
  <c r="BM47" i="40"/>
  <c r="BN314" i="40"/>
  <c r="BM75" i="40"/>
  <c r="BN305" i="40"/>
  <c r="BM57" i="40"/>
  <c r="BM297" i="40"/>
  <c r="BL41" i="40"/>
  <c r="BN316" i="40"/>
  <c r="BM79" i="40"/>
  <c r="BL309" i="40"/>
  <c r="BK65" i="40"/>
  <c r="BN301" i="40"/>
  <c r="BM49" i="40"/>
  <c r="BM307" i="40"/>
  <c r="BL61" i="40"/>
  <c r="BN299" i="40"/>
  <c r="BM45" i="40"/>
  <c r="BN303" i="40"/>
  <c r="BM53" i="40"/>
  <c r="BM321" i="40"/>
  <c r="BL89" i="40"/>
  <c r="BM317" i="40"/>
  <c r="BL81" i="40"/>
  <c r="BL311" i="40"/>
  <c r="BK69" i="40"/>
  <c r="BN322" i="40"/>
  <c r="BL313" i="40"/>
  <c r="BK73" i="40"/>
  <c r="BN318" i="40"/>
  <c r="BM83" i="40"/>
  <c r="BN308" i="40"/>
  <c r="BM63" i="40"/>
  <c r="BM310" i="40"/>
  <c r="BL67" i="40"/>
  <c r="BM302" i="40"/>
  <c r="BL51" i="40"/>
  <c r="BN298" i="40"/>
  <c r="BM43" i="40"/>
  <c r="BN312" i="40"/>
  <c r="BM71" i="40"/>
  <c r="BN304" i="40"/>
  <c r="BM55" i="40"/>
  <c r="BM315" i="40"/>
  <c r="BL77" i="40"/>
  <c r="BM319" i="40"/>
  <c r="BL85" i="40"/>
  <c r="BN306" i="40"/>
  <c r="BM59" i="40"/>
  <c r="BY202" i="10"/>
  <c r="K51" i="30"/>
  <c r="T51" i="30"/>
  <c r="CB76" i="10"/>
  <c r="CA199" i="10"/>
  <c r="CB50" i="11"/>
  <c r="CA134" i="11"/>
  <c r="CB60" i="10"/>
  <c r="CA159" i="10"/>
  <c r="CB77" i="7"/>
  <c r="CA77" i="7"/>
  <c r="BZ77" i="7"/>
  <c r="CB199" i="7"/>
  <c r="CA179" i="10"/>
  <c r="CB68" i="10"/>
  <c r="BZ166" i="9"/>
  <c r="BZ165" i="9"/>
  <c r="AZ65" i="10"/>
  <c r="BA232" i="10"/>
  <c r="CA204" i="8"/>
  <c r="CB78" i="8"/>
  <c r="CT146" i="10"/>
  <c r="CT145" i="10"/>
  <c r="CB66" i="7"/>
  <c r="CA174" i="7"/>
  <c r="BY202" i="22"/>
  <c r="CA150" i="11"/>
  <c r="CA151" i="11"/>
  <c r="BZ200" i="22"/>
  <c r="BZ201" i="22"/>
  <c r="BY187" i="8"/>
  <c r="BZ201" i="10"/>
  <c r="BZ200" i="10"/>
  <c r="BR236" i="22"/>
  <c r="BQ73" i="22"/>
  <c r="BZ135" i="11"/>
  <c r="BZ136" i="11"/>
  <c r="BE233" i="22"/>
  <c r="BD67" i="22"/>
  <c r="BZ160" i="10"/>
  <c r="BZ161" i="10"/>
  <c r="CA200" i="7"/>
  <c r="CA201" i="7"/>
  <c r="BZ181" i="10"/>
  <c r="BZ180" i="10"/>
  <c r="CA164" i="9"/>
  <c r="CB62" i="9"/>
  <c r="BS239" i="9"/>
  <c r="BR79" i="9"/>
  <c r="BL237" i="11"/>
  <c r="BK75" i="11"/>
  <c r="BW223" i="11"/>
  <c r="BV47" i="11"/>
  <c r="BR232" i="9"/>
  <c r="BQ65" i="9"/>
  <c r="BZ175" i="7"/>
  <c r="BZ176" i="7"/>
  <c r="BV61" i="7"/>
  <c r="BW230" i="7"/>
  <c r="BA233" i="9"/>
  <c r="AZ67" i="9"/>
  <c r="CB57" i="11"/>
  <c r="CA57" i="11"/>
  <c r="BZ57" i="11"/>
  <c r="BY57" i="11"/>
  <c r="CB149" i="11"/>
  <c r="BQ67" i="10"/>
  <c r="BR233" i="10"/>
  <c r="BS71" i="22"/>
  <c r="BT235" i="22"/>
  <c r="BO63" i="10"/>
  <c r="BP231" i="10"/>
  <c r="BY207" i="8"/>
  <c r="BZ200" i="11"/>
  <c r="BZ201" i="11"/>
  <c r="BZ185" i="8"/>
  <c r="BZ186" i="8"/>
  <c r="P61" i="11"/>
  <c r="Q230" i="11"/>
  <c r="BZ152" i="11"/>
  <c r="CS147" i="10"/>
  <c r="BY177" i="7"/>
  <c r="AY59" i="10"/>
  <c r="AZ229" i="10"/>
  <c r="CB157" i="7"/>
  <c r="CB229" i="7"/>
  <c r="CA149" i="22"/>
  <c r="CA150" i="22"/>
  <c r="CA151" i="22"/>
  <c r="CA152" i="22"/>
  <c r="CB56" i="22"/>
  <c r="CB76" i="11"/>
  <c r="CA199" i="11"/>
  <c r="BX239" i="11"/>
  <c r="BW79" i="11"/>
  <c r="J55" i="11"/>
  <c r="K227" i="11"/>
  <c r="CA184" i="8"/>
  <c r="CB70" i="8"/>
  <c r="BR239" i="22"/>
  <c r="BQ79" i="22"/>
  <c r="BZ205" i="8"/>
  <c r="BZ206" i="8"/>
  <c r="BS63" i="22"/>
  <c r="BT231" i="22"/>
  <c r="CB46" i="6"/>
  <c r="CA138" i="6"/>
  <c r="CA139" i="6"/>
  <c r="CA140" i="6"/>
  <c r="CA141" i="6"/>
  <c r="BU239" i="7"/>
  <c r="BT79" i="7"/>
  <c r="BO229" i="8"/>
  <c r="BN59" i="8"/>
  <c r="CV54" i="10"/>
  <c r="CU144" i="10"/>
  <c r="BA240" i="10"/>
  <c r="AZ81" i="10"/>
  <c r="M81" i="8"/>
  <c r="N240" i="8"/>
  <c r="BY229" i="7"/>
  <c r="BX59" i="7"/>
  <c r="BS63" i="8"/>
  <c r="BT231" i="8"/>
  <c r="BL71" i="10"/>
  <c r="BM235" i="10"/>
  <c r="CA199" i="22"/>
  <c r="CB76" i="22"/>
  <c r="BZ202" i="7"/>
  <c r="R31" i="2"/>
  <c r="D31" i="20"/>
  <c r="U26" i="38"/>
  <c r="AD59" i="38"/>
  <c r="C92" i="38"/>
  <c r="C27" i="38"/>
  <c r="P29" i="20"/>
  <c r="Q29" i="20"/>
  <c r="N19" i="39"/>
  <c r="D19" i="39"/>
  <c r="CB220" i="11"/>
  <c r="CA109" i="10"/>
  <c r="CA110" i="10"/>
  <c r="CA111" i="10"/>
  <c r="CA112" i="10"/>
  <c r="CB40" i="10"/>
  <c r="CB42" i="10"/>
  <c r="CA114" i="10"/>
  <c r="CA115" i="10"/>
  <c r="CA116" i="10"/>
  <c r="CA117" i="10"/>
  <c r="CB46" i="10"/>
  <c r="CA124" i="10"/>
  <c r="CA125" i="10"/>
  <c r="CA126" i="10"/>
  <c r="CA127" i="10"/>
  <c r="CA89" i="10"/>
  <c r="CA90" i="10"/>
  <c r="CA91" i="10"/>
  <c r="CA92" i="10"/>
  <c r="CB32" i="10"/>
  <c r="CA94" i="10"/>
  <c r="CA95" i="10"/>
  <c r="CA96" i="10"/>
  <c r="CA97" i="10"/>
  <c r="CB34" i="10"/>
  <c r="CB45" i="10"/>
  <c r="CA45" i="10"/>
  <c r="CB119" i="10"/>
  <c r="CB120" i="10"/>
  <c r="CB121" i="10"/>
  <c r="CB122" i="10"/>
  <c r="CA129" i="10"/>
  <c r="CA130" i="10"/>
  <c r="CA131" i="10"/>
  <c r="CA132" i="10"/>
  <c r="CB48" i="10"/>
  <c r="CB38" i="10"/>
  <c r="CA104" i="10"/>
  <c r="CA105" i="10"/>
  <c r="CA106" i="10"/>
  <c r="CA107" i="10"/>
  <c r="CB52" i="10"/>
  <c r="CA139" i="10"/>
  <c r="CA140" i="10"/>
  <c r="CA141" i="10"/>
  <c r="CA142" i="10"/>
  <c r="CA84" i="10"/>
  <c r="CA85" i="10"/>
  <c r="CA86" i="10"/>
  <c r="CA87" i="10"/>
  <c r="CB30" i="10"/>
  <c r="CB42" i="22"/>
  <c r="CA114" i="22"/>
  <c r="CA115" i="22"/>
  <c r="CA116" i="22"/>
  <c r="CA117" i="22"/>
  <c r="CB50" i="22"/>
  <c r="CA134" i="22"/>
  <c r="CA135" i="22"/>
  <c r="CA136" i="22"/>
  <c r="CA137" i="22"/>
  <c r="CB53" i="22"/>
  <c r="CB139" i="22"/>
  <c r="CB140" i="22"/>
  <c r="CB141" i="22"/>
  <c r="CB142" i="22"/>
  <c r="CB47" i="22"/>
  <c r="CA47" i="22"/>
  <c r="CB124" i="22"/>
  <c r="CB125" i="22"/>
  <c r="CB126" i="22"/>
  <c r="CB127" i="22"/>
  <c r="CB46" i="8"/>
  <c r="CA124" i="8"/>
  <c r="CA125" i="8"/>
  <c r="CA126" i="8"/>
  <c r="CA127" i="8"/>
  <c r="CB134" i="8"/>
  <c r="CB135" i="8"/>
  <c r="CB136" i="8"/>
  <c r="CB137" i="8"/>
  <c r="CB51" i="8"/>
  <c r="A83" i="2"/>
  <c r="A203" i="2"/>
  <c r="BW203" i="2"/>
  <c r="CB32" i="22"/>
  <c r="CA89" i="22"/>
  <c r="CA90" i="22"/>
  <c r="CA91" i="22"/>
  <c r="CA92" i="22"/>
  <c r="BN80" i="2"/>
  <c r="BO201" i="2"/>
  <c r="BE80" i="2"/>
  <c r="BF201" i="2"/>
  <c r="BZ191" i="9"/>
  <c r="BZ190" i="9"/>
  <c r="BA81" i="7"/>
  <c r="BB240" i="7"/>
  <c r="BC75" i="22"/>
  <c r="BD237" i="22"/>
  <c r="BC75" i="8"/>
  <c r="BD237" i="8"/>
  <c r="BA65" i="22"/>
  <c r="BB232" i="22"/>
  <c r="BJ61" i="8"/>
  <c r="BK230" i="8"/>
  <c r="BE71" i="7"/>
  <c r="BF235" i="7"/>
  <c r="M65" i="11"/>
  <c r="N232" i="11"/>
  <c r="AM65" i="7"/>
  <c r="AN232" i="7"/>
  <c r="AM202" i="2"/>
  <c r="C202" i="2"/>
  <c r="BE202" i="2"/>
  <c r="U202" i="2"/>
  <c r="BN202" i="2"/>
  <c r="AV202" i="2"/>
  <c r="AD202" i="2"/>
  <c r="L202" i="2"/>
  <c r="C80" i="2"/>
  <c r="D201" i="2"/>
  <c r="AM80" i="2"/>
  <c r="AN201" i="2"/>
  <c r="BG69" i="8"/>
  <c r="BH234" i="8"/>
  <c r="BA79" i="10"/>
  <c r="BB239" i="10"/>
  <c r="C73" i="7"/>
  <c r="C236" i="7"/>
  <c r="D236" i="7"/>
  <c r="AZ71" i="9"/>
  <c r="BA235" i="9"/>
  <c r="BC75" i="10"/>
  <c r="BD237" i="10"/>
  <c r="BZ201" i="9"/>
  <c r="BZ200" i="9"/>
  <c r="BE69" i="22"/>
  <c r="BF234" i="22"/>
  <c r="AX49" i="11"/>
  <c r="AY224" i="11"/>
  <c r="AS73" i="10"/>
  <c r="AT236" i="10"/>
  <c r="BF61" i="22"/>
  <c r="BG230" i="22"/>
  <c r="AT53" i="11"/>
  <c r="AU226" i="11"/>
  <c r="AP31" i="22"/>
  <c r="AQ215" i="22"/>
  <c r="BY202" i="9"/>
  <c r="U80" i="2"/>
  <c r="W80" i="2"/>
  <c r="X80" i="2"/>
  <c r="V201" i="2"/>
  <c r="M201" i="2"/>
  <c r="L80" i="2"/>
  <c r="N80" i="2"/>
  <c r="O80" i="2"/>
  <c r="CB72" i="9"/>
  <c r="CA189" i="9"/>
  <c r="BH73" i="11"/>
  <c r="BI236" i="11"/>
  <c r="CA199" i="9"/>
  <c r="CB76" i="9"/>
  <c r="AZ57" i="10"/>
  <c r="BA228" i="10"/>
  <c r="BY192" i="9"/>
  <c r="AW69" i="7"/>
  <c r="AX234" i="7"/>
  <c r="BB69" i="9"/>
  <c r="BC234" i="9"/>
  <c r="AV80" i="2"/>
  <c r="AW201" i="2"/>
  <c r="AD80" i="2"/>
  <c r="AF80" i="2"/>
  <c r="AG80" i="2"/>
  <c r="AE201" i="2"/>
  <c r="AY81" i="9"/>
  <c r="AZ240" i="9"/>
  <c r="BF81" i="11"/>
  <c r="BG240" i="11"/>
  <c r="BE67" i="8"/>
  <c r="BF233" i="8"/>
  <c r="BF67" i="11"/>
  <c r="BG233" i="11"/>
  <c r="BH77" i="8"/>
  <c r="BI238" i="8"/>
  <c r="R69" i="11"/>
  <c r="S234" i="11"/>
  <c r="BD75" i="7"/>
  <c r="BE237" i="7"/>
  <c r="E65" i="8"/>
  <c r="F232" i="8"/>
  <c r="BC81" i="22"/>
  <c r="BD240" i="22"/>
  <c r="Q63" i="11"/>
  <c r="R231" i="11"/>
  <c r="BT73" i="8"/>
  <c r="BU236" i="8"/>
  <c r="L51" i="30"/>
  <c r="N51" i="30"/>
  <c r="O51" i="30"/>
  <c r="P51" i="30"/>
  <c r="Q51" i="30"/>
  <c r="X51" i="30"/>
  <c r="AN51" i="30"/>
  <c r="AG51" i="30"/>
  <c r="AE51" i="30"/>
  <c r="AD51" i="30"/>
  <c r="AP51" i="30"/>
  <c r="AV51" i="30"/>
  <c r="AA51" i="30"/>
  <c r="AF51" i="30"/>
  <c r="AL51" i="30"/>
  <c r="AH51" i="30"/>
  <c r="AS51" i="30"/>
  <c r="AT51" i="30"/>
  <c r="AR51" i="30"/>
  <c r="AI51" i="30"/>
  <c r="AC51" i="30"/>
  <c r="AX51" i="30"/>
  <c r="AJ51" i="30"/>
  <c r="AM51" i="30"/>
  <c r="AW51" i="30"/>
  <c r="Z51" i="30"/>
  <c r="AB51" i="30"/>
  <c r="AK51" i="30"/>
  <c r="AQ51" i="30"/>
  <c r="AO51" i="30"/>
  <c r="AU51" i="30"/>
  <c r="Y51" i="30"/>
  <c r="CA114" i="8"/>
  <c r="CA115" i="8"/>
  <c r="CA116" i="8"/>
  <c r="CA117" i="8"/>
  <c r="CB42" i="8"/>
  <c r="CA119" i="8"/>
  <c r="CA120" i="8"/>
  <c r="CA121" i="8"/>
  <c r="CA122" i="8"/>
  <c r="CB44" i="8"/>
  <c r="BY217" i="8"/>
  <c r="BX35" i="8"/>
  <c r="CA89" i="11"/>
  <c r="CA90" i="11"/>
  <c r="CA91" i="11"/>
  <c r="CA92" i="11"/>
  <c r="CB32" i="11"/>
  <c r="BR63" i="7"/>
  <c r="BS231" i="7"/>
  <c r="CB84" i="9"/>
  <c r="CB85" i="9"/>
  <c r="CB86" i="9"/>
  <c r="CB87" i="9"/>
  <c r="CB31" i="9"/>
  <c r="BZ33" i="9"/>
  <c r="BZ216" i="9"/>
  <c r="CA139" i="9"/>
  <c r="CA140" i="9"/>
  <c r="CA141" i="9"/>
  <c r="CA142" i="9"/>
  <c r="CB52" i="9"/>
  <c r="CA31" i="1"/>
  <c r="CB222" i="1"/>
  <c r="CB34" i="1"/>
  <c r="CA96" i="1"/>
  <c r="CA97" i="1"/>
  <c r="CA98" i="1"/>
  <c r="CA99" i="1"/>
  <c r="CA156" i="1"/>
  <c r="CA157" i="1"/>
  <c r="CA158" i="1"/>
  <c r="CA159" i="1"/>
  <c r="CB58" i="1"/>
  <c r="CB68" i="1"/>
  <c r="CA181" i="1"/>
  <c r="CA182" i="1"/>
  <c r="CA183" i="1"/>
  <c r="CA184" i="1"/>
  <c r="CB52" i="1"/>
  <c r="CA141" i="1"/>
  <c r="CA142" i="1"/>
  <c r="CA143" i="1"/>
  <c r="CA144" i="1"/>
  <c r="CB245" i="1"/>
  <c r="CA131" i="1"/>
  <c r="CA132" i="1"/>
  <c r="CA133" i="1"/>
  <c r="CA134" i="1"/>
  <c r="CB48" i="1"/>
  <c r="CA171" i="1"/>
  <c r="CA172" i="1"/>
  <c r="CA173" i="1"/>
  <c r="CA174" i="1"/>
  <c r="CB64" i="1"/>
  <c r="CA33" i="1"/>
  <c r="CB223" i="1"/>
  <c r="CB50" i="1"/>
  <c r="CA136" i="1"/>
  <c r="CA137" i="1"/>
  <c r="CA138" i="1"/>
  <c r="CA139" i="1"/>
  <c r="BZ248" i="1"/>
  <c r="P10" i="39"/>
  <c r="F10" i="39"/>
  <c r="E18" i="38"/>
  <c r="T20" i="20"/>
  <c r="U20" i="20"/>
  <c r="E83" i="38"/>
  <c r="W17" i="38"/>
  <c r="AF50" i="38"/>
  <c r="CA219" i="1"/>
  <c r="CA248" i="1"/>
  <c r="AA26" i="26"/>
  <c r="R42" i="35"/>
  <c r="S43" i="35"/>
  <c r="CB119" i="22"/>
  <c r="CB120" i="22"/>
  <c r="CB121" i="22"/>
  <c r="CB122" i="22"/>
  <c r="CB45" i="22"/>
  <c r="CA45" i="22"/>
  <c r="CA113" i="6"/>
  <c r="CA114" i="6"/>
  <c r="CA115" i="6"/>
  <c r="CA116" i="6"/>
  <c r="CB36" i="6"/>
  <c r="CB28" i="6"/>
  <c r="CB29" i="6"/>
  <c r="CA29" i="6"/>
  <c r="BZ29" i="6"/>
  <c r="BY29" i="6"/>
  <c r="BX29" i="6"/>
  <c r="BW29" i="6"/>
  <c r="BV29" i="6"/>
  <c r="BU29" i="6"/>
  <c r="BT29" i="6"/>
  <c r="BS29" i="6"/>
  <c r="BR29" i="6"/>
  <c r="BQ29" i="6"/>
  <c r="BP29" i="6"/>
  <c r="BO29" i="6"/>
  <c r="BN29" i="6"/>
  <c r="BM29" i="6"/>
  <c r="BL29" i="6"/>
  <c r="BK29" i="6"/>
  <c r="BJ29" i="6"/>
  <c r="BI29" i="6"/>
  <c r="BH29" i="6"/>
  <c r="BG29" i="6"/>
  <c r="BF29" i="6"/>
  <c r="BE29" i="6"/>
  <c r="BD29" i="6"/>
  <c r="BC29" i="6"/>
  <c r="BB29" i="6"/>
  <c r="BA29" i="6"/>
  <c r="AZ29" i="6"/>
  <c r="AY29" i="6"/>
  <c r="AX29" i="6"/>
  <c r="AW29" i="6"/>
  <c r="AV29" i="6"/>
  <c r="AU29" i="6"/>
  <c r="AT29" i="6"/>
  <c r="AS29" i="6"/>
  <c r="AR29" i="6"/>
  <c r="AQ29" i="6"/>
  <c r="AP29" i="6"/>
  <c r="AO29" i="6"/>
  <c r="AN29" i="6"/>
  <c r="AM29" i="6"/>
  <c r="AL29" i="6"/>
  <c r="AK29" i="6"/>
  <c r="AJ29" i="6"/>
  <c r="AI29" i="6"/>
  <c r="AH29" i="6"/>
  <c r="AG29" i="6"/>
  <c r="AF29" i="6"/>
  <c r="AE29" i="6"/>
  <c r="AD29" i="6"/>
  <c r="AC29" i="6"/>
  <c r="AB29" i="6"/>
  <c r="AA29" i="6"/>
  <c r="Z29" i="6"/>
  <c r="Y29" i="6"/>
  <c r="X29" i="6"/>
  <c r="W29" i="6"/>
  <c r="V29" i="6"/>
  <c r="U29" i="6"/>
  <c r="T29" i="6"/>
  <c r="S29" i="6"/>
  <c r="R29" i="6"/>
  <c r="Q29" i="6"/>
  <c r="P29" i="6"/>
  <c r="O29" i="6"/>
  <c r="N29" i="6"/>
  <c r="M29" i="6"/>
  <c r="L29" i="6"/>
  <c r="K29" i="6"/>
  <c r="J29" i="6"/>
  <c r="I29" i="6"/>
  <c r="H29" i="6"/>
  <c r="G29" i="6"/>
  <c r="F29" i="6"/>
  <c r="E29" i="6"/>
  <c r="D29" i="6"/>
  <c r="C29" i="6"/>
  <c r="CA93" i="6"/>
  <c r="CA94" i="6"/>
  <c r="CA95" i="6"/>
  <c r="CA96" i="6"/>
  <c r="CA123" i="6"/>
  <c r="CA124" i="6"/>
  <c r="CA125" i="6"/>
  <c r="CA126" i="6"/>
  <c r="CB40" i="6"/>
  <c r="CA108" i="6"/>
  <c r="CA109" i="6"/>
  <c r="CA110" i="6"/>
  <c r="CA111" i="6"/>
  <c r="CB34" i="6"/>
  <c r="CB43" i="6"/>
  <c r="CA43" i="6"/>
  <c r="CB128" i="6"/>
  <c r="CB129" i="6"/>
  <c r="CB130" i="6"/>
  <c r="CB131" i="6"/>
  <c r="BZ84" i="6"/>
  <c r="BZ85" i="6"/>
  <c r="CA78" i="6"/>
  <c r="CA79" i="6"/>
  <c r="CA80" i="6"/>
  <c r="CA81" i="6"/>
  <c r="CB22" i="6"/>
  <c r="CB98" i="6"/>
  <c r="CB99" i="6"/>
  <c r="CB100" i="6"/>
  <c r="CB101" i="6"/>
  <c r="CB31" i="6"/>
  <c r="CA31" i="6"/>
  <c r="CA103" i="6"/>
  <c r="CA104" i="6"/>
  <c r="CA105" i="6"/>
  <c r="CA106" i="6"/>
  <c r="CB32" i="6"/>
  <c r="BZ94" i="6"/>
  <c r="BZ95" i="6"/>
  <c r="CA88" i="6"/>
  <c r="CA89" i="6"/>
  <c r="CA90" i="6"/>
  <c r="CA91" i="6"/>
  <c r="CB26" i="6"/>
  <c r="CB44" i="6"/>
  <c r="CA133" i="6"/>
  <c r="CA134" i="6"/>
  <c r="CA135" i="6"/>
  <c r="CA136" i="6"/>
  <c r="CB24" i="6"/>
  <c r="CA83" i="6"/>
  <c r="CA84" i="6"/>
  <c r="CA85" i="6"/>
  <c r="CA86" i="6"/>
  <c r="BY152" i="9"/>
  <c r="CA116" i="1"/>
  <c r="CA117" i="1"/>
  <c r="CA118" i="1"/>
  <c r="CA119" i="1"/>
  <c r="CB42" i="1"/>
  <c r="BZ247" i="1"/>
  <c r="BY81" i="1"/>
  <c r="BX83" i="1"/>
  <c r="BY248" i="1"/>
  <c r="CB217" i="1"/>
  <c r="CB218" i="1"/>
  <c r="CA104" i="1"/>
  <c r="BZ194" i="1"/>
  <c r="BY209" i="1"/>
  <c r="BY199" i="1"/>
  <c r="BX39" i="8"/>
  <c r="BY219" i="8"/>
  <c r="CB37" i="8"/>
  <c r="CA37" i="8"/>
  <c r="CB99" i="8"/>
  <c r="CB100" i="8"/>
  <c r="CB101" i="8"/>
  <c r="CB102" i="8"/>
  <c r="CA120" i="11"/>
  <c r="CA121" i="11"/>
  <c r="CA122" i="11"/>
  <c r="CB119" i="11"/>
  <c r="CB45" i="11"/>
  <c r="CA45" i="11"/>
  <c r="BZ45" i="11"/>
  <c r="BY45" i="11"/>
  <c r="AA22" i="2"/>
  <c r="E22" i="20"/>
  <c r="V17" i="38"/>
  <c r="AE50" i="38"/>
  <c r="D83" i="38"/>
  <c r="O10" i="39"/>
  <c r="E10" i="39"/>
  <c r="R20" i="20"/>
  <c r="S20" i="20"/>
  <c r="D18" i="38"/>
  <c r="BZ130" i="22"/>
  <c r="BZ131" i="22"/>
  <c r="BZ132" i="22"/>
  <c r="CA129" i="22"/>
  <c r="CA130" i="22"/>
  <c r="CA131" i="22"/>
  <c r="CA132" i="22"/>
  <c r="CB48" i="22"/>
  <c r="CA94" i="22"/>
  <c r="CA95" i="22"/>
  <c r="CA96" i="22"/>
  <c r="CA97" i="22"/>
  <c r="CB34" i="22"/>
  <c r="CB39" i="22"/>
  <c r="CA39" i="22"/>
  <c r="CB104" i="22"/>
  <c r="CB39" i="7"/>
  <c r="CA39" i="7"/>
  <c r="CB104" i="7"/>
  <c r="CB105" i="7"/>
  <c r="CB106" i="7"/>
  <c r="CB107" i="7"/>
  <c r="BY41" i="7"/>
  <c r="BZ220" i="7"/>
  <c r="BZ115" i="7"/>
  <c r="BZ116" i="7"/>
  <c r="BZ117" i="7"/>
  <c r="CB42" i="7"/>
  <c r="CA114" i="7"/>
  <c r="CA115" i="7"/>
  <c r="CA116" i="7"/>
  <c r="CA117" i="7"/>
  <c r="CB37" i="7"/>
  <c r="CA37" i="7"/>
  <c r="CB99" i="7"/>
  <c r="CB100" i="7"/>
  <c r="CB101" i="7"/>
  <c r="CB102" i="7"/>
  <c r="CB31" i="7"/>
  <c r="CA31" i="7"/>
  <c r="CB84" i="7"/>
  <c r="CB85" i="7"/>
  <c r="CB86" i="7"/>
  <c r="CB87" i="7"/>
  <c r="CB34" i="7"/>
  <c r="CA94" i="7"/>
  <c r="CA95" i="7"/>
  <c r="CA96" i="7"/>
  <c r="CA97" i="7"/>
  <c r="BZ222" i="6"/>
  <c r="BY39" i="6"/>
  <c r="CB46" i="9"/>
  <c r="CA124" i="9"/>
  <c r="CA125" i="9"/>
  <c r="CA126" i="9"/>
  <c r="CA127" i="9"/>
  <c r="BY227" i="9"/>
  <c r="BX55" i="9"/>
  <c r="BZ114" i="9"/>
  <c r="BZ115" i="9"/>
  <c r="BZ116" i="9"/>
  <c r="BZ117" i="9"/>
  <c r="CA42" i="9"/>
  <c r="BZ95" i="9"/>
  <c r="BZ96" i="9"/>
  <c r="BZ97" i="9"/>
  <c r="BZ219" i="9"/>
  <c r="BY39" i="9"/>
  <c r="CA94" i="9"/>
  <c r="CA95" i="9"/>
  <c r="CA96" i="9"/>
  <c r="CA97" i="9"/>
  <c r="CB34" i="9"/>
  <c r="CB51" i="9"/>
  <c r="CA51" i="9"/>
  <c r="CB134" i="9"/>
  <c r="CB135" i="9"/>
  <c r="CB136" i="9"/>
  <c r="CB137" i="9"/>
  <c r="CB44" i="9"/>
  <c r="CA119" i="9"/>
  <c r="CA120" i="9"/>
  <c r="CA121" i="9"/>
  <c r="CA122" i="9"/>
  <c r="CB48" i="9"/>
  <c r="CA129" i="9"/>
  <c r="CA130" i="9"/>
  <c r="CA131" i="9"/>
  <c r="CA132" i="9"/>
  <c r="CB90" i="9"/>
  <c r="CB91" i="9"/>
  <c r="BZ150" i="9"/>
  <c r="BZ151" i="9"/>
  <c r="BZ152" i="9"/>
  <c r="CB56" i="9"/>
  <c r="CA149" i="9"/>
  <c r="CA150" i="9"/>
  <c r="CA151" i="9"/>
  <c r="CA152" i="9"/>
  <c r="BZ187" i="1"/>
  <c r="BZ188" i="1"/>
  <c r="BZ189" i="1"/>
  <c r="CA245" i="1"/>
  <c r="BZ77" i="1"/>
  <c r="CB177" i="1"/>
  <c r="CB178" i="1"/>
  <c r="CB179" i="1"/>
  <c r="CB240" i="1"/>
  <c r="CB191" i="1"/>
  <c r="CB73" i="1"/>
  <c r="CA73" i="1"/>
  <c r="BZ73" i="1"/>
  <c r="CB78" i="1"/>
  <c r="CA206" i="1"/>
  <c r="CA207" i="1"/>
  <c r="CA208" i="1"/>
  <c r="CA209" i="1"/>
  <c r="CA67" i="1"/>
  <c r="CB70" i="1"/>
  <c r="CA186" i="1"/>
  <c r="CA187" i="1"/>
  <c r="CA188" i="1"/>
  <c r="CA189" i="1"/>
  <c r="BV57" i="1"/>
  <c r="BW235" i="1"/>
  <c r="CB74" i="1"/>
  <c r="CA196" i="1"/>
  <c r="CB161" i="1"/>
  <c r="CB162" i="1"/>
  <c r="CB163" i="1"/>
  <c r="CB164" i="1"/>
  <c r="CB61" i="1"/>
  <c r="CA61" i="1"/>
  <c r="BX221" i="11"/>
  <c r="BW43" i="11"/>
  <c r="V30" i="26"/>
  <c r="S47" i="34"/>
  <c r="BZ107" i="11"/>
  <c r="CA37" i="11"/>
  <c r="CB39" i="11"/>
  <c r="CB104" i="11"/>
  <c r="BZ215" i="11"/>
  <c r="BZ220" i="11"/>
  <c r="BY41" i="11"/>
  <c r="CA105" i="11"/>
  <c r="CA106" i="11"/>
  <c r="CA107" i="11"/>
  <c r="CB100" i="11"/>
  <c r="CB101" i="11"/>
  <c r="CB102" i="11"/>
  <c r="CB218" i="11"/>
  <c r="CB134" i="10"/>
  <c r="CB51" i="10"/>
  <c r="CA135" i="10"/>
  <c r="CA136" i="10"/>
  <c r="CA137" i="10"/>
  <c r="CB99" i="10"/>
  <c r="CB37" i="10"/>
  <c r="CA100" i="10"/>
  <c r="CA101" i="10"/>
  <c r="CA102" i="10"/>
  <c r="BZ155" i="22"/>
  <c r="BZ156" i="22"/>
  <c r="BZ157" i="22"/>
  <c r="CB58" i="22"/>
  <c r="CA154" i="22"/>
  <c r="CB144" i="22"/>
  <c r="CB55" i="22"/>
  <c r="CB99" i="22"/>
  <c r="CA110" i="22"/>
  <c r="CA111" i="22"/>
  <c r="CA112" i="22"/>
  <c r="CA145" i="22"/>
  <c r="CA146" i="22"/>
  <c r="CA147" i="22"/>
  <c r="CA100" i="22"/>
  <c r="CA101" i="22"/>
  <c r="CA102" i="22"/>
  <c r="CB109" i="22"/>
  <c r="CB41" i="22"/>
  <c r="CA228" i="8"/>
  <c r="BZ57" i="8"/>
  <c r="CA145" i="8"/>
  <c r="CA146" i="8"/>
  <c r="CA147" i="8"/>
  <c r="CB144" i="8"/>
  <c r="CB55" i="8"/>
  <c r="BZ140" i="8"/>
  <c r="BZ141" i="8"/>
  <c r="BZ142" i="8"/>
  <c r="CB32" i="8"/>
  <c r="CA89" i="8"/>
  <c r="CA109" i="8"/>
  <c r="CB40" i="8"/>
  <c r="BZ110" i="8"/>
  <c r="BZ111" i="8"/>
  <c r="BZ112" i="8"/>
  <c r="BY85" i="8"/>
  <c r="BY86" i="8"/>
  <c r="BY87" i="8"/>
  <c r="CA129" i="8"/>
  <c r="CB48" i="8"/>
  <c r="BZ130" i="8"/>
  <c r="BZ131" i="8"/>
  <c r="BZ132" i="8"/>
  <c r="BZ90" i="8"/>
  <c r="BZ91" i="8"/>
  <c r="BZ92" i="8"/>
  <c r="CB52" i="8"/>
  <c r="CA139" i="8"/>
  <c r="CA30" i="8"/>
  <c r="BZ84" i="8"/>
  <c r="CB54" i="7"/>
  <c r="CA144" i="7"/>
  <c r="BZ145" i="7"/>
  <c r="BZ146" i="7"/>
  <c r="BZ147" i="7"/>
  <c r="CA139" i="7"/>
  <c r="CB52" i="7"/>
  <c r="BZ140" i="7"/>
  <c r="BZ141" i="7"/>
  <c r="BZ142" i="7"/>
  <c r="BZ135" i="7"/>
  <c r="BZ136" i="7"/>
  <c r="BZ137" i="7"/>
  <c r="CA134" i="7"/>
  <c r="CB50" i="7"/>
  <c r="BW216" i="7"/>
  <c r="BV33" i="7"/>
  <c r="CB125" i="7"/>
  <c r="CB126" i="7"/>
  <c r="CB127" i="7"/>
  <c r="CB223" i="7"/>
  <c r="CA222" i="7"/>
  <c r="BZ45" i="7"/>
  <c r="CA47" i="7"/>
  <c r="BZ164" i="6"/>
  <c r="BZ165" i="6"/>
  <c r="BZ166" i="6"/>
  <c r="CA163" i="6"/>
  <c r="CB56" i="6"/>
  <c r="BZ159" i="6"/>
  <c r="BZ160" i="6"/>
  <c r="BZ161" i="6"/>
  <c r="CB54" i="6"/>
  <c r="CA158" i="6"/>
  <c r="BZ154" i="6"/>
  <c r="BZ155" i="6"/>
  <c r="BZ156" i="6"/>
  <c r="CB52" i="6"/>
  <c r="CA153" i="6"/>
  <c r="BZ149" i="6"/>
  <c r="BZ150" i="6"/>
  <c r="BZ151" i="6"/>
  <c r="CA148" i="6"/>
  <c r="CB50" i="6"/>
  <c r="BZ144" i="6"/>
  <c r="BZ145" i="6"/>
  <c r="BZ146" i="6"/>
  <c r="CB48" i="6"/>
  <c r="CA143" i="6"/>
  <c r="CA160" i="9"/>
  <c r="CA161" i="9"/>
  <c r="CA162" i="9"/>
  <c r="CB61" i="9"/>
  <c r="CB159" i="9"/>
  <c r="CA154" i="9"/>
  <c r="CB58" i="9"/>
  <c r="BZ155" i="9"/>
  <c r="BZ156" i="9"/>
  <c r="BZ157" i="9"/>
  <c r="CB41" i="9"/>
  <c r="CB109" i="9"/>
  <c r="CB99" i="9"/>
  <c r="CB37" i="9"/>
  <c r="CA100" i="9"/>
  <c r="CA101" i="9"/>
  <c r="CA102" i="9"/>
  <c r="CA110" i="9"/>
  <c r="CA111" i="9"/>
  <c r="CA112" i="9"/>
  <c r="CA166" i="1"/>
  <c r="CB62" i="1"/>
  <c r="BZ167" i="1"/>
  <c r="BZ168" i="1"/>
  <c r="BZ169" i="1"/>
  <c r="BZ147" i="1"/>
  <c r="BZ148" i="1"/>
  <c r="BZ149" i="1"/>
  <c r="CA146" i="1"/>
  <c r="CB54" i="1"/>
  <c r="CA126" i="1"/>
  <c r="CB46" i="1"/>
  <c r="BZ127" i="1"/>
  <c r="BZ128" i="1"/>
  <c r="BZ129" i="1"/>
  <c r="CA45" i="1"/>
  <c r="CB122" i="1"/>
  <c r="CB123" i="1"/>
  <c r="CB124" i="1"/>
  <c r="CB229" i="1"/>
  <c r="BZ107" i="1"/>
  <c r="BZ108" i="1"/>
  <c r="CA106" i="1"/>
  <c r="CB38" i="1"/>
  <c r="CB102" i="1"/>
  <c r="CB103" i="1"/>
  <c r="CB104" i="1"/>
  <c r="CB225" i="1"/>
  <c r="CA37" i="1"/>
  <c r="CA41" i="1"/>
  <c r="CB112" i="1"/>
  <c r="CB113" i="1"/>
  <c r="CB114" i="1"/>
  <c r="CB227" i="1"/>
  <c r="X26" i="26"/>
  <c r="X33" i="26"/>
  <c r="X90" i="26"/>
  <c r="X46" i="26"/>
  <c r="X43" i="26"/>
  <c r="X91" i="26"/>
  <c r="X64" i="26"/>
  <c r="X69" i="26"/>
  <c r="X24" i="26"/>
  <c r="X48" i="26"/>
  <c r="X103" i="26"/>
  <c r="X14" i="26"/>
  <c r="X41" i="26"/>
  <c r="X104" i="26"/>
  <c r="X98" i="26"/>
  <c r="X85" i="26"/>
  <c r="X82" i="26"/>
  <c r="X75" i="26"/>
  <c r="X44" i="26"/>
  <c r="X20" i="26"/>
  <c r="X23" i="26"/>
  <c r="X96" i="26"/>
  <c r="X37" i="26"/>
  <c r="X57" i="26"/>
  <c r="X61" i="26"/>
  <c r="X60" i="26"/>
  <c r="X11" i="26"/>
  <c r="X87" i="26"/>
  <c r="X65" i="26"/>
  <c r="X74" i="26"/>
  <c r="X30" i="26"/>
  <c r="X28" i="26"/>
  <c r="X51" i="26"/>
  <c r="X12" i="26"/>
  <c r="X78" i="26"/>
  <c r="X7" i="26"/>
  <c r="X38" i="26"/>
  <c r="X59" i="26"/>
  <c r="X102" i="26"/>
  <c r="X45" i="26"/>
  <c r="X67" i="26"/>
  <c r="X63" i="26"/>
  <c r="X31" i="26"/>
  <c r="X101" i="26"/>
  <c r="X89" i="26"/>
  <c r="X40" i="26"/>
  <c r="X8" i="26"/>
  <c r="X19" i="26"/>
  <c r="X35" i="26"/>
  <c r="X95" i="26"/>
  <c r="X15" i="26"/>
  <c r="X13" i="26"/>
  <c r="X54" i="26"/>
  <c r="X16" i="26"/>
  <c r="X6" i="26"/>
  <c r="X56" i="26"/>
  <c r="X10" i="26"/>
  <c r="X93" i="26"/>
  <c r="X42" i="26"/>
  <c r="X27" i="26"/>
  <c r="X29" i="26"/>
  <c r="X86" i="26"/>
  <c r="X47" i="26"/>
  <c r="X94" i="26"/>
  <c r="X100" i="26"/>
  <c r="X79" i="26"/>
  <c r="X71" i="26"/>
  <c r="X97" i="26"/>
  <c r="X70" i="26"/>
  <c r="X9" i="26"/>
  <c r="X52" i="26"/>
  <c r="X80" i="26"/>
  <c r="X25" i="26"/>
  <c r="X76" i="26"/>
  <c r="X39" i="26"/>
  <c r="X83" i="26"/>
  <c r="X5" i="26"/>
  <c r="X62" i="26"/>
  <c r="X49" i="26"/>
  <c r="X36" i="26"/>
  <c r="X77" i="26"/>
  <c r="X55" i="26"/>
  <c r="X18" i="26"/>
  <c r="X58" i="26"/>
  <c r="X34" i="26"/>
  <c r="X72" i="26"/>
  <c r="X88" i="26"/>
  <c r="X53" i="26"/>
  <c r="X66" i="26"/>
  <c r="X22" i="26"/>
  <c r="X73" i="26"/>
  <c r="X32" i="26"/>
  <c r="X21" i="26"/>
  <c r="X68" i="26"/>
  <c r="X50" i="26"/>
  <c r="X81" i="26"/>
  <c r="X84" i="26"/>
  <c r="X17" i="26"/>
  <c r="X92" i="26"/>
  <c r="X99" i="26"/>
  <c r="CB129" i="7"/>
  <c r="CB130" i="7"/>
  <c r="CB131" i="7"/>
  <c r="CB132" i="7"/>
  <c r="CB49" i="7"/>
  <c r="AJ22" i="2"/>
  <c r="F22" i="20"/>
  <c r="BI52" i="2"/>
  <c r="BJ52" i="2"/>
  <c r="CK52" i="2"/>
  <c r="BI53" i="2"/>
  <c r="BJ53" i="2"/>
  <c r="CK53" i="2"/>
  <c r="CJ5" i="2"/>
  <c r="BJ67" i="2"/>
  <c r="CK67" i="2"/>
  <c r="BI54" i="2"/>
  <c r="CJ54" i="2"/>
  <c r="BI74" i="2"/>
  <c r="BJ74" i="2"/>
  <c r="CK74" i="2"/>
  <c r="BI50" i="2"/>
  <c r="CJ50" i="2"/>
  <c r="BI55" i="2"/>
  <c r="CJ55" i="2"/>
  <c r="BI49" i="2"/>
  <c r="BJ49" i="2"/>
  <c r="CK49" i="2"/>
  <c r="BI66" i="2"/>
  <c r="CJ66" i="2"/>
  <c r="BI44" i="2"/>
  <c r="BJ44" i="2"/>
  <c r="CK44" i="2"/>
  <c r="BY33" i="9"/>
  <c r="CB223" i="22"/>
  <c r="C59" i="11"/>
  <c r="C229" i="11"/>
  <c r="D229" i="11"/>
  <c r="BW82" i="2"/>
  <c r="BX203" i="2"/>
  <c r="BI61" i="2"/>
  <c r="BJ61" i="2"/>
  <c r="CK61" i="2"/>
  <c r="BI46" i="2"/>
  <c r="CJ46" i="2"/>
  <c r="BI70" i="2"/>
  <c r="BJ70" i="2"/>
  <c r="CK70" i="2"/>
  <c r="BI56" i="2"/>
  <c r="BJ56" i="2"/>
  <c r="CK56" i="2"/>
  <c r="AS75" i="9"/>
  <c r="AT237" i="9"/>
  <c r="BI58" i="2"/>
  <c r="CJ58" i="2"/>
  <c r="BI47" i="2"/>
  <c r="BJ47" i="2"/>
  <c r="CK47" i="2"/>
  <c r="BI60" i="2"/>
  <c r="BJ60" i="2"/>
  <c r="CK60" i="2"/>
  <c r="BI48" i="2"/>
  <c r="CJ48" i="2"/>
  <c r="BI69" i="2"/>
  <c r="CJ69" i="2"/>
  <c r="BI51" i="2"/>
  <c r="BJ51" i="2"/>
  <c r="CK51" i="2"/>
  <c r="BI71" i="2"/>
  <c r="BJ71" i="2"/>
  <c r="CK71" i="2"/>
  <c r="BI73" i="2"/>
  <c r="CJ73" i="2"/>
  <c r="BI65" i="2"/>
  <c r="BJ65" i="2"/>
  <c r="CK65" i="2"/>
  <c r="BI63" i="2"/>
  <c r="BJ63" i="2"/>
  <c r="CK63" i="2"/>
  <c r="BI57" i="2"/>
  <c r="BJ57" i="2"/>
  <c r="CK57" i="2"/>
  <c r="BI59" i="2"/>
  <c r="BJ59" i="2"/>
  <c r="CK59" i="2"/>
  <c r="BI62" i="2"/>
  <c r="CJ62" i="2"/>
  <c r="BI72" i="2"/>
  <c r="BJ72" i="2"/>
  <c r="CK72" i="2"/>
  <c r="BI64" i="2"/>
  <c r="BJ64" i="2"/>
  <c r="CK64" i="2"/>
  <c r="BI45" i="2"/>
  <c r="BJ45" i="2"/>
  <c r="CK45" i="2"/>
  <c r="BI68" i="2"/>
  <c r="BJ68" i="2"/>
  <c r="CK68" i="2"/>
  <c r="R35" i="37"/>
  <c r="AK19" i="26"/>
  <c r="S36" i="37"/>
  <c r="Z13" i="38"/>
  <c r="AI46" i="38"/>
  <c r="H14" i="38"/>
  <c r="H80" i="38"/>
  <c r="Z16" i="20"/>
  <c r="AA16" i="20"/>
  <c r="CL17" i="2"/>
  <c r="L17" i="20"/>
  <c r="W51" i="41"/>
  <c r="V51" i="41"/>
  <c r="AM51" i="41"/>
  <c r="BK17" i="2"/>
  <c r="I17" i="20"/>
  <c r="Z17" i="20"/>
  <c r="AA17" i="20"/>
  <c r="BH79" i="2"/>
  <c r="CI79" i="2"/>
  <c r="CH79" i="2"/>
  <c r="BG80" i="2"/>
  <c r="CF80" i="2"/>
  <c r="T51" i="41"/>
  <c r="L51" i="41"/>
  <c r="N51" i="41"/>
  <c r="O51" i="41"/>
  <c r="P51" i="41"/>
  <c r="Q51" i="41"/>
  <c r="AA51" i="41"/>
  <c r="AV51" i="41"/>
  <c r="AU51" i="41"/>
  <c r="AB51" i="41"/>
  <c r="AN51" i="41"/>
  <c r="BZ177" i="7"/>
  <c r="CA202" i="7"/>
  <c r="CA238" i="7"/>
  <c r="BZ182" i="10"/>
  <c r="BZ202" i="10"/>
  <c r="CA152" i="11"/>
  <c r="CA228" i="11"/>
  <c r="BZ167" i="9"/>
  <c r="BZ187" i="8"/>
  <c r="BZ202" i="22"/>
  <c r="CT147" i="10"/>
  <c r="BC99" i="40"/>
  <c r="BD326" i="40"/>
  <c r="BI111" i="40"/>
  <c r="BJ332" i="40"/>
  <c r="BI101" i="40"/>
  <c r="BJ327" i="40"/>
  <c r="BE97" i="40"/>
  <c r="BF325" i="40"/>
  <c r="BI93" i="40"/>
  <c r="BJ323" i="40"/>
  <c r="BI109" i="40"/>
  <c r="BJ331" i="40"/>
  <c r="BE107" i="40"/>
  <c r="BF330" i="40"/>
  <c r="BI103" i="40"/>
  <c r="BJ328" i="40"/>
  <c r="BD105" i="40"/>
  <c r="BE329" i="40"/>
  <c r="BJ95" i="40"/>
  <c r="BK324" i="40"/>
  <c r="BJ91" i="40"/>
  <c r="BM306" i="40"/>
  <c r="BL59" i="40"/>
  <c r="BL302" i="40"/>
  <c r="BK51" i="40"/>
  <c r="BK313" i="40"/>
  <c r="BJ73" i="40"/>
  <c r="BL321" i="40"/>
  <c r="BK89" i="40"/>
  <c r="BM305" i="40"/>
  <c r="BL57" i="40"/>
  <c r="BL315" i="40"/>
  <c r="BK77" i="40"/>
  <c r="BM308" i="40"/>
  <c r="BL63" i="40"/>
  <c r="BM299" i="40"/>
  <c r="BL45" i="40"/>
  <c r="BM316" i="40"/>
  <c r="BL79" i="40"/>
  <c r="BL319" i="40"/>
  <c r="BK85" i="40"/>
  <c r="BM304" i="40"/>
  <c r="BL55" i="40"/>
  <c r="BM298" i="40"/>
  <c r="BL43" i="40"/>
  <c r="BL310" i="40"/>
  <c r="BK67" i="40"/>
  <c r="BM318" i="40"/>
  <c r="BL83" i="40"/>
  <c r="BM322" i="40"/>
  <c r="BL317" i="40"/>
  <c r="BK81" i="40"/>
  <c r="BM303" i="40"/>
  <c r="BL53" i="40"/>
  <c r="BL307" i="40"/>
  <c r="BK61" i="40"/>
  <c r="BK309" i="40"/>
  <c r="BJ65" i="40"/>
  <c r="BL297" i="40"/>
  <c r="BK41" i="40"/>
  <c r="BM314" i="40"/>
  <c r="BL75" i="40"/>
  <c r="BM320" i="40"/>
  <c r="BL87" i="40"/>
  <c r="BM312" i="40"/>
  <c r="BL71" i="40"/>
  <c r="BK311" i="40"/>
  <c r="BJ69" i="40"/>
  <c r="BM301" i="40"/>
  <c r="BL49" i="40"/>
  <c r="BM300" i="40"/>
  <c r="BL47" i="40"/>
  <c r="BX229" i="7"/>
  <c r="BW59" i="7"/>
  <c r="AY81" i="10"/>
  <c r="AZ240" i="10"/>
  <c r="BN229" i="8"/>
  <c r="BM59" i="8"/>
  <c r="BZ207" i="8"/>
  <c r="CB71" i="8"/>
  <c r="CA71" i="8"/>
  <c r="BZ71" i="8"/>
  <c r="CB184" i="8"/>
  <c r="BW239" i="11"/>
  <c r="BV79" i="11"/>
  <c r="CB57" i="22"/>
  <c r="CB149" i="22"/>
  <c r="CB150" i="22"/>
  <c r="CB151" i="22"/>
  <c r="CB152" i="22"/>
  <c r="AY229" i="10"/>
  <c r="AX59" i="10"/>
  <c r="CB151" i="11"/>
  <c r="CB150" i="11"/>
  <c r="BQ232" i="9"/>
  <c r="BP65" i="9"/>
  <c r="CB67" i="7"/>
  <c r="CA67" i="7"/>
  <c r="CB174" i="7"/>
  <c r="CA206" i="8"/>
  <c r="CA205" i="8"/>
  <c r="BY77" i="7"/>
  <c r="BZ238" i="7"/>
  <c r="CB51" i="11"/>
  <c r="CA51" i="11"/>
  <c r="BZ51" i="11"/>
  <c r="BY51" i="11"/>
  <c r="CB134" i="11"/>
  <c r="BL235" i="10"/>
  <c r="BK71" i="10"/>
  <c r="CB47" i="6"/>
  <c r="CA47" i="6"/>
  <c r="CB138" i="6"/>
  <c r="CB139" i="6"/>
  <c r="CB140" i="6"/>
  <c r="CB141" i="6"/>
  <c r="CA185" i="8"/>
  <c r="CA186" i="8"/>
  <c r="P230" i="11"/>
  <c r="O61" i="11"/>
  <c r="BR71" i="22"/>
  <c r="BS235" i="22"/>
  <c r="BX57" i="11"/>
  <c r="BY228" i="11"/>
  <c r="BU61" i="7"/>
  <c r="BV230" i="7"/>
  <c r="BK237" i="11"/>
  <c r="BJ75" i="11"/>
  <c r="CB63" i="9"/>
  <c r="CA63" i="9"/>
  <c r="BZ63" i="9"/>
  <c r="CB164" i="9"/>
  <c r="BC67" i="22"/>
  <c r="BD233" i="22"/>
  <c r="BQ236" i="22"/>
  <c r="BP73" i="22"/>
  <c r="CB69" i="10"/>
  <c r="CA69" i="10"/>
  <c r="BZ69" i="10"/>
  <c r="CB179" i="10"/>
  <c r="CA161" i="10"/>
  <c r="CA160" i="10"/>
  <c r="CB77" i="22"/>
  <c r="CA77" i="22"/>
  <c r="BZ77" i="22"/>
  <c r="CB199" i="22"/>
  <c r="CU146" i="10"/>
  <c r="CU145" i="10"/>
  <c r="BT239" i="7"/>
  <c r="BS79" i="7"/>
  <c r="BP79" i="22"/>
  <c r="BQ239" i="22"/>
  <c r="CA201" i="11"/>
  <c r="CA200" i="11"/>
  <c r="AY67" i="9"/>
  <c r="AZ233" i="9"/>
  <c r="BV223" i="11"/>
  <c r="BU47" i="11"/>
  <c r="CA165" i="9"/>
  <c r="CA166" i="9"/>
  <c r="AZ232" i="10"/>
  <c r="AY65" i="10"/>
  <c r="CA180" i="10"/>
  <c r="CA181" i="10"/>
  <c r="CB61" i="10"/>
  <c r="CA61" i="10"/>
  <c r="BZ61" i="10"/>
  <c r="CB159" i="10"/>
  <c r="CA200" i="10"/>
  <c r="CA201" i="10"/>
  <c r="CB222" i="22"/>
  <c r="CA201" i="22"/>
  <c r="CA200" i="22"/>
  <c r="BR63" i="8"/>
  <c r="BS231" i="8"/>
  <c r="L81" i="8"/>
  <c r="M240" i="8"/>
  <c r="CW54" i="10"/>
  <c r="CV144" i="10"/>
  <c r="BR63" i="22"/>
  <c r="BS231" i="22"/>
  <c r="I55" i="11"/>
  <c r="J227" i="11"/>
  <c r="CB199" i="11"/>
  <c r="CB77" i="11"/>
  <c r="CA77" i="11"/>
  <c r="BZ77" i="11"/>
  <c r="BY77" i="11"/>
  <c r="BZ228" i="11"/>
  <c r="BZ202" i="11"/>
  <c r="BN63" i="10"/>
  <c r="BO231" i="10"/>
  <c r="BP67" i="10"/>
  <c r="BQ233" i="10"/>
  <c r="BR239" i="9"/>
  <c r="BQ79" i="9"/>
  <c r="BZ162" i="10"/>
  <c r="BZ137" i="11"/>
  <c r="BZ225" i="11"/>
  <c r="CA176" i="7"/>
  <c r="CA175" i="7"/>
  <c r="CB204" i="8"/>
  <c r="CB79" i="8"/>
  <c r="CA79" i="8"/>
  <c r="BZ79" i="8"/>
  <c r="CB200" i="7"/>
  <c r="CB201" i="7"/>
  <c r="CA136" i="11"/>
  <c r="CA135" i="11"/>
  <c r="CB199" i="10"/>
  <c r="CB77" i="10"/>
  <c r="CA77" i="10"/>
  <c r="BZ77" i="10"/>
  <c r="BY77" i="10"/>
  <c r="R32" i="2"/>
  <c r="D32" i="20"/>
  <c r="C93" i="38"/>
  <c r="U27" i="38"/>
  <c r="AD60" i="38"/>
  <c r="P30" i="20"/>
  <c r="Q30" i="20"/>
  <c r="C28" i="38"/>
  <c r="N20" i="39"/>
  <c r="CB39" i="10"/>
  <c r="CA39" i="10"/>
  <c r="CB104" i="10"/>
  <c r="CB105" i="10"/>
  <c r="CB106" i="10"/>
  <c r="CB107" i="10"/>
  <c r="CA222" i="10"/>
  <c r="BZ45" i="10"/>
  <c r="CB129" i="10"/>
  <c r="CB130" i="10"/>
  <c r="CB131" i="10"/>
  <c r="CB132" i="10"/>
  <c r="CB49" i="10"/>
  <c r="CA49" i="10"/>
  <c r="CB94" i="10"/>
  <c r="CB95" i="10"/>
  <c r="CB96" i="10"/>
  <c r="CB97" i="10"/>
  <c r="CB35" i="10"/>
  <c r="CA35" i="10"/>
  <c r="CB43" i="10"/>
  <c r="CA43" i="10"/>
  <c r="CB114" i="10"/>
  <c r="CB115" i="10"/>
  <c r="CB116" i="10"/>
  <c r="CB117" i="10"/>
  <c r="CB139" i="10"/>
  <c r="CB140" i="10"/>
  <c r="CB141" i="10"/>
  <c r="CB142" i="10"/>
  <c r="CB53" i="10"/>
  <c r="CB41" i="10"/>
  <c r="CA41" i="10"/>
  <c r="CB109" i="10"/>
  <c r="CB110" i="10"/>
  <c r="CB111" i="10"/>
  <c r="CB112" i="10"/>
  <c r="CB31" i="10"/>
  <c r="CB84" i="10"/>
  <c r="CB85" i="10"/>
  <c r="CB86" i="10"/>
  <c r="CB87" i="10"/>
  <c r="CB222" i="10"/>
  <c r="CB33" i="10"/>
  <c r="CA33" i="10"/>
  <c r="CB89" i="10"/>
  <c r="CB90" i="10"/>
  <c r="CB91" i="10"/>
  <c r="CB92" i="10"/>
  <c r="CB124" i="10"/>
  <c r="CB125" i="10"/>
  <c r="CB126" i="10"/>
  <c r="CB127" i="10"/>
  <c r="CB47" i="10"/>
  <c r="CA47" i="10"/>
  <c r="CB226" i="22"/>
  <c r="CA53" i="22"/>
  <c r="CA223" i="22"/>
  <c r="BZ47" i="22"/>
  <c r="CB51" i="22"/>
  <c r="CB134" i="22"/>
  <c r="CB135" i="22"/>
  <c r="CB136" i="22"/>
  <c r="CB137" i="22"/>
  <c r="CB114" i="22"/>
  <c r="CB115" i="22"/>
  <c r="CB116" i="22"/>
  <c r="CB117" i="22"/>
  <c r="CB43" i="22"/>
  <c r="CA43" i="22"/>
  <c r="CA51" i="8"/>
  <c r="CB225" i="8"/>
  <c r="CB47" i="8"/>
  <c r="CB124" i="8"/>
  <c r="CB125" i="8"/>
  <c r="CB126" i="8"/>
  <c r="CB127" i="8"/>
  <c r="BZ192" i="9"/>
  <c r="AY57" i="10"/>
  <c r="AZ228" i="10"/>
  <c r="CB77" i="9"/>
  <c r="CA77" i="9"/>
  <c r="BZ77" i="9"/>
  <c r="BY77" i="9"/>
  <c r="BX77" i="9"/>
  <c r="CB199" i="9"/>
  <c r="CA190" i="9"/>
  <c r="CA191" i="9"/>
  <c r="AO31" i="22"/>
  <c r="AP215" i="22"/>
  <c r="BE61" i="22"/>
  <c r="BF230" i="22"/>
  <c r="BD69" i="22"/>
  <c r="BE234" i="22"/>
  <c r="BZ202" i="9"/>
  <c r="BZ238" i="9"/>
  <c r="BB75" i="10"/>
  <c r="BC237" i="10"/>
  <c r="AZ79" i="10"/>
  <c r="BA239" i="10"/>
  <c r="AD81" i="2"/>
  <c r="AF81" i="2"/>
  <c r="AG81" i="2"/>
  <c r="AE202" i="2"/>
  <c r="BE81" i="2"/>
  <c r="BF202" i="2"/>
  <c r="AL65" i="7"/>
  <c r="AM232" i="7"/>
  <c r="CB218" i="7"/>
  <c r="U52" i="30"/>
  <c r="W52" i="30"/>
  <c r="V52" i="30"/>
  <c r="AP52" i="30"/>
  <c r="BS73" i="8"/>
  <c r="BT236" i="8"/>
  <c r="P63" i="11"/>
  <c r="Q231" i="11"/>
  <c r="BB81" i="22"/>
  <c r="BC240" i="22"/>
  <c r="BC75" i="7"/>
  <c r="BD237" i="7"/>
  <c r="Q69" i="11"/>
  <c r="R234" i="11"/>
  <c r="BE67" i="11"/>
  <c r="BF233" i="11"/>
  <c r="BE81" i="11"/>
  <c r="BF240" i="11"/>
  <c r="AX81" i="9"/>
  <c r="AY240" i="9"/>
  <c r="BA69" i="9"/>
  <c r="BB234" i="9"/>
  <c r="CA200" i="9"/>
  <c r="CA201" i="9"/>
  <c r="CB189" i="9"/>
  <c r="CB73" i="9"/>
  <c r="CA73" i="9"/>
  <c r="BZ73" i="9"/>
  <c r="BY73" i="9"/>
  <c r="BX73" i="9"/>
  <c r="AV81" i="2"/>
  <c r="AW202" i="2"/>
  <c r="C81" i="2"/>
  <c r="D202" i="2"/>
  <c r="BD71" i="7"/>
  <c r="BE235" i="7"/>
  <c r="AZ65" i="22"/>
  <c r="BA232" i="22"/>
  <c r="BB75" i="22"/>
  <c r="BC237" i="22"/>
  <c r="BG73" i="11"/>
  <c r="BH236" i="11"/>
  <c r="BY238" i="9"/>
  <c r="AS53" i="11"/>
  <c r="AT226" i="11"/>
  <c r="AR73" i="10"/>
  <c r="AS236" i="10"/>
  <c r="AW49" i="11"/>
  <c r="AX224" i="11"/>
  <c r="AY71" i="9"/>
  <c r="AZ235" i="9"/>
  <c r="BF69" i="8"/>
  <c r="BG234" i="8"/>
  <c r="BN81" i="2"/>
  <c r="BO202" i="2"/>
  <c r="AM81" i="2"/>
  <c r="AN202" i="2"/>
  <c r="L65" i="11"/>
  <c r="M232" i="11"/>
  <c r="BN203" i="2"/>
  <c r="AM203" i="2"/>
  <c r="AD203" i="2"/>
  <c r="L203" i="2"/>
  <c r="C203" i="2"/>
  <c r="BE203" i="2"/>
  <c r="AV203" i="2"/>
  <c r="U203" i="2"/>
  <c r="D65" i="8"/>
  <c r="E232" i="8"/>
  <c r="BG77" i="8"/>
  <c r="BH238" i="8"/>
  <c r="BD67" i="8"/>
  <c r="BE233" i="8"/>
  <c r="AV69" i="7"/>
  <c r="AW234" i="7"/>
  <c r="L81" i="2"/>
  <c r="N81" i="2"/>
  <c r="O81" i="2"/>
  <c r="M202" i="2"/>
  <c r="U81" i="2"/>
  <c r="W81" i="2"/>
  <c r="X81" i="2"/>
  <c r="V202" i="2"/>
  <c r="BI61" i="8"/>
  <c r="BJ230" i="8"/>
  <c r="BB75" i="8"/>
  <c r="BC237" i="8"/>
  <c r="AZ81" i="7"/>
  <c r="BA240" i="7"/>
  <c r="CB33" i="22"/>
  <c r="CB89" i="22"/>
  <c r="CB90" i="22"/>
  <c r="CB91" i="22"/>
  <c r="CB92" i="22"/>
  <c r="A84" i="2"/>
  <c r="A204" i="2"/>
  <c r="BW204" i="2"/>
  <c r="BW35" i="8"/>
  <c r="BX217" i="8"/>
  <c r="CB45" i="8"/>
  <c r="CA45" i="8"/>
  <c r="CB119" i="8"/>
  <c r="CB120" i="8"/>
  <c r="CB121" i="8"/>
  <c r="CB122" i="8"/>
  <c r="CB43" i="8"/>
  <c r="CA43" i="8"/>
  <c r="BZ43" i="8"/>
  <c r="CB114" i="8"/>
  <c r="CB115" i="8"/>
  <c r="CB116" i="8"/>
  <c r="CB117" i="8"/>
  <c r="BQ63" i="7"/>
  <c r="BR231" i="7"/>
  <c r="CB89" i="11"/>
  <c r="CB90" i="11"/>
  <c r="CB91" i="11"/>
  <c r="CB92" i="11"/>
  <c r="CB33" i="11"/>
  <c r="CA33" i="11"/>
  <c r="CA31" i="9"/>
  <c r="CB215" i="9"/>
  <c r="CB53" i="9"/>
  <c r="CB139" i="9"/>
  <c r="CB140" i="9"/>
  <c r="CB141" i="9"/>
  <c r="CB142" i="9"/>
  <c r="CA222" i="1"/>
  <c r="BZ31" i="1"/>
  <c r="CB59" i="1"/>
  <c r="CB156" i="1"/>
  <c r="CB157" i="1"/>
  <c r="CB158" i="1"/>
  <c r="CB159" i="1"/>
  <c r="CB35" i="1"/>
  <c r="CB96" i="1"/>
  <c r="CB97" i="1"/>
  <c r="CB98" i="1"/>
  <c r="CB99" i="1"/>
  <c r="CB237" i="1"/>
  <c r="CA223" i="1"/>
  <c r="BZ33" i="1"/>
  <c r="CB65" i="1"/>
  <c r="CB171" i="1"/>
  <c r="CB172" i="1"/>
  <c r="CB173" i="1"/>
  <c r="CB174" i="1"/>
  <c r="CB49" i="1"/>
  <c r="CA49" i="1"/>
  <c r="CA231" i="1"/>
  <c r="CB131" i="1"/>
  <c r="CB132" i="1"/>
  <c r="CB133" i="1"/>
  <c r="CB134" i="1"/>
  <c r="CB141" i="1"/>
  <c r="CB142" i="1"/>
  <c r="CB143" i="1"/>
  <c r="CB144" i="1"/>
  <c r="CB53" i="1"/>
  <c r="CA53" i="1"/>
  <c r="CB181" i="1"/>
  <c r="CB182" i="1"/>
  <c r="CB183" i="1"/>
  <c r="CB184" i="1"/>
  <c r="CB69" i="1"/>
  <c r="CA69" i="1"/>
  <c r="BZ69" i="1"/>
  <c r="CB136" i="1"/>
  <c r="CB137" i="1"/>
  <c r="CB138" i="1"/>
  <c r="CB139" i="1"/>
  <c r="CB51" i="1"/>
  <c r="CA51" i="1"/>
  <c r="W18" i="38"/>
  <c r="AF51" i="38"/>
  <c r="E84" i="38"/>
  <c r="P11" i="39"/>
  <c r="F11" i="39"/>
  <c r="T21" i="20"/>
  <c r="U21" i="20"/>
  <c r="E19" i="38"/>
  <c r="S42" i="35"/>
  <c r="R41" i="35"/>
  <c r="AA25" i="26"/>
  <c r="CA222" i="22"/>
  <c r="BZ45" i="22"/>
  <c r="CB218" i="8"/>
  <c r="CB215" i="7"/>
  <c r="CB219" i="7"/>
  <c r="BZ86" i="6"/>
  <c r="CB224" i="6"/>
  <c r="CB103" i="6"/>
  <c r="CB33" i="6"/>
  <c r="CA33" i="6"/>
  <c r="CA218" i="6"/>
  <c r="BZ31" i="6"/>
  <c r="CA224" i="6"/>
  <c r="BZ43" i="6"/>
  <c r="CB108" i="6"/>
  <c r="CB109" i="6"/>
  <c r="CB110" i="6"/>
  <c r="CB111" i="6"/>
  <c r="CB35" i="6"/>
  <c r="CA35" i="6"/>
  <c r="CB41" i="6"/>
  <c r="CA41" i="6"/>
  <c r="CB123" i="6"/>
  <c r="CB124" i="6"/>
  <c r="CB125" i="6"/>
  <c r="CB126" i="6"/>
  <c r="CB37" i="6"/>
  <c r="CA37" i="6"/>
  <c r="CB113" i="6"/>
  <c r="CB114" i="6"/>
  <c r="CB115" i="6"/>
  <c r="CB116" i="6"/>
  <c r="CB83" i="6"/>
  <c r="CB84" i="6"/>
  <c r="CB85" i="6"/>
  <c r="CB86" i="6"/>
  <c r="CB25" i="6"/>
  <c r="CA25" i="6"/>
  <c r="CB133" i="6"/>
  <c r="CB134" i="6"/>
  <c r="CB135" i="6"/>
  <c r="CB136" i="6"/>
  <c r="CB45" i="6"/>
  <c r="CA45" i="6"/>
  <c r="BZ45" i="6"/>
  <c r="CB27" i="6"/>
  <c r="CA27" i="6"/>
  <c r="CB88" i="6"/>
  <c r="CB89" i="6"/>
  <c r="CB90" i="6"/>
  <c r="CB91" i="6"/>
  <c r="BZ96" i="6"/>
  <c r="CB218" i="6"/>
  <c r="CB78" i="6"/>
  <c r="CB79" i="6"/>
  <c r="CB80" i="6"/>
  <c r="CB81" i="6"/>
  <c r="CB23" i="6"/>
  <c r="CA23" i="6"/>
  <c r="CB93" i="6"/>
  <c r="CB94" i="6"/>
  <c r="CB95" i="6"/>
  <c r="CB96" i="6"/>
  <c r="CB225" i="9"/>
  <c r="CB219" i="1"/>
  <c r="CB248" i="1"/>
  <c r="BY247" i="1"/>
  <c r="BX81" i="1"/>
  <c r="CB116" i="1"/>
  <c r="CB117" i="1"/>
  <c r="CB118" i="1"/>
  <c r="CB119" i="1"/>
  <c r="CB43" i="1"/>
  <c r="BW83" i="1"/>
  <c r="BX248" i="1"/>
  <c r="BZ109" i="1"/>
  <c r="CA218" i="8"/>
  <c r="BZ37" i="8"/>
  <c r="BW39" i="8"/>
  <c r="BX219" i="8"/>
  <c r="R42" i="30"/>
  <c r="CA222" i="11"/>
  <c r="CB120" i="11"/>
  <c r="CB121" i="11"/>
  <c r="CB122" i="11"/>
  <c r="CB222" i="11"/>
  <c r="BX45" i="11"/>
  <c r="BY222" i="11"/>
  <c r="BZ222" i="11"/>
  <c r="CB92" i="9"/>
  <c r="CB216" i="9"/>
  <c r="D84" i="38"/>
  <c r="V18" i="38"/>
  <c r="AE51" i="38"/>
  <c r="AA23" i="2"/>
  <c r="E23" i="20"/>
  <c r="R21" i="20"/>
  <c r="S21" i="20"/>
  <c r="D19" i="38"/>
  <c r="O11" i="39"/>
  <c r="E11" i="39"/>
  <c r="CB105" i="22"/>
  <c r="CB106" i="22"/>
  <c r="CB107" i="22"/>
  <c r="CB219" i="22"/>
  <c r="CB129" i="22"/>
  <c r="CB130" i="22"/>
  <c r="CB131" i="22"/>
  <c r="CB132" i="22"/>
  <c r="CB49" i="22"/>
  <c r="CA49" i="22"/>
  <c r="CB35" i="22"/>
  <c r="CA35" i="22"/>
  <c r="CB94" i="22"/>
  <c r="CB95" i="22"/>
  <c r="CB96" i="22"/>
  <c r="CB97" i="22"/>
  <c r="CA219" i="22"/>
  <c r="BZ39" i="22"/>
  <c r="CB94" i="7"/>
  <c r="CB95" i="7"/>
  <c r="CB96" i="7"/>
  <c r="CB97" i="7"/>
  <c r="CB35" i="7"/>
  <c r="CA35" i="7"/>
  <c r="CB43" i="7"/>
  <c r="CA43" i="7"/>
  <c r="CB114" i="7"/>
  <c r="CB115" i="7"/>
  <c r="CB116" i="7"/>
  <c r="CB117" i="7"/>
  <c r="BY220" i="7"/>
  <c r="BX41" i="7"/>
  <c r="BZ31" i="7"/>
  <c r="CA215" i="7"/>
  <c r="CA218" i="7"/>
  <c r="BZ37" i="7"/>
  <c r="CA219" i="7"/>
  <c r="BZ39" i="7"/>
  <c r="BY222" i="6"/>
  <c r="BX39" i="6"/>
  <c r="BW55" i="9"/>
  <c r="BX227" i="9"/>
  <c r="BY219" i="9"/>
  <c r="BX39" i="9"/>
  <c r="CA114" i="9"/>
  <c r="CA115" i="9"/>
  <c r="CA116" i="9"/>
  <c r="CA117" i="9"/>
  <c r="CB42" i="9"/>
  <c r="CB94" i="9"/>
  <c r="CB95" i="9"/>
  <c r="CB96" i="9"/>
  <c r="CB97" i="9"/>
  <c r="CB35" i="9"/>
  <c r="CA35" i="9"/>
  <c r="CB124" i="9"/>
  <c r="CB125" i="9"/>
  <c r="CB126" i="9"/>
  <c r="CB127" i="9"/>
  <c r="CB47" i="9"/>
  <c r="CA225" i="9"/>
  <c r="BZ51" i="9"/>
  <c r="CB129" i="9"/>
  <c r="CB130" i="9"/>
  <c r="CB131" i="9"/>
  <c r="CB132" i="9"/>
  <c r="CB49" i="9"/>
  <c r="CA49" i="9"/>
  <c r="CB149" i="9"/>
  <c r="CB150" i="9"/>
  <c r="CB151" i="9"/>
  <c r="CB152" i="9"/>
  <c r="CB57" i="9"/>
  <c r="CA57" i="9"/>
  <c r="BZ57" i="9"/>
  <c r="BY57" i="9"/>
  <c r="CB45" i="9"/>
  <c r="CA45" i="9"/>
  <c r="CB119" i="9"/>
  <c r="CB120" i="9"/>
  <c r="CB121" i="9"/>
  <c r="CB122" i="9"/>
  <c r="CA237" i="1"/>
  <c r="BZ61" i="1"/>
  <c r="CB192" i="1"/>
  <c r="CB193" i="1"/>
  <c r="BZ245" i="1"/>
  <c r="BY77" i="1"/>
  <c r="CB71" i="1"/>
  <c r="CA71" i="1"/>
  <c r="CB186" i="1"/>
  <c r="CA197" i="1"/>
  <c r="CA198" i="1"/>
  <c r="CA240" i="1"/>
  <c r="BZ67" i="1"/>
  <c r="CB79" i="1"/>
  <c r="CB206" i="1"/>
  <c r="CB75" i="1"/>
  <c r="CA75" i="1"/>
  <c r="CB196" i="1"/>
  <c r="CB197" i="1"/>
  <c r="CB198" i="1"/>
  <c r="CB199" i="1"/>
  <c r="BV235" i="1"/>
  <c r="BU57" i="1"/>
  <c r="BZ243" i="1"/>
  <c r="BY73" i="1"/>
  <c r="CA243" i="1"/>
  <c r="BW221" i="11"/>
  <c r="BV43" i="11"/>
  <c r="AN16" i="2"/>
  <c r="AO16" i="2"/>
  <c r="AN17" i="2"/>
  <c r="AO17" i="2"/>
  <c r="AN15" i="2"/>
  <c r="AO15" i="2"/>
  <c r="AN43" i="2"/>
  <c r="AO43" i="2"/>
  <c r="AN74" i="2"/>
  <c r="AO74" i="2"/>
  <c r="AN40" i="2"/>
  <c r="AO40" i="2"/>
  <c r="AN36" i="2"/>
  <c r="AO36" i="2"/>
  <c r="AN32" i="2"/>
  <c r="AO32" i="2"/>
  <c r="AN28" i="2"/>
  <c r="AO28" i="2"/>
  <c r="AN24" i="2"/>
  <c r="AO24" i="2"/>
  <c r="AN20" i="2"/>
  <c r="AO20" i="2"/>
  <c r="AN44" i="2"/>
  <c r="AO44" i="2"/>
  <c r="AN39" i="2"/>
  <c r="AO39" i="2"/>
  <c r="AN35" i="2"/>
  <c r="AO35" i="2"/>
  <c r="AN31" i="2"/>
  <c r="AO31" i="2"/>
  <c r="AN27" i="2"/>
  <c r="AO27" i="2"/>
  <c r="AN23" i="2"/>
  <c r="AO23" i="2"/>
  <c r="AN19" i="2"/>
  <c r="AO19" i="2"/>
  <c r="AN42" i="2"/>
  <c r="AO42" i="2"/>
  <c r="AN38" i="2"/>
  <c r="AO38" i="2"/>
  <c r="AN34" i="2"/>
  <c r="AO34" i="2"/>
  <c r="AN30" i="2"/>
  <c r="AO30" i="2"/>
  <c r="AN26" i="2"/>
  <c r="AO26" i="2"/>
  <c r="AN22" i="2"/>
  <c r="AO22" i="2"/>
  <c r="AN18" i="2"/>
  <c r="AO18" i="2"/>
  <c r="AN73" i="2"/>
  <c r="AO73" i="2"/>
  <c r="AN41" i="2"/>
  <c r="AO41" i="2"/>
  <c r="AN37" i="2"/>
  <c r="AO37" i="2"/>
  <c r="AN33" i="2"/>
  <c r="AO33" i="2"/>
  <c r="AN29" i="2"/>
  <c r="AO29" i="2"/>
  <c r="AN25" i="2"/>
  <c r="AO25" i="2"/>
  <c r="AN21" i="2"/>
  <c r="AO21" i="2"/>
  <c r="AN64" i="2"/>
  <c r="AO64" i="2"/>
  <c r="AN66" i="2"/>
  <c r="AO66" i="2"/>
  <c r="AN95" i="2"/>
  <c r="AN53" i="2"/>
  <c r="AO53" i="2"/>
  <c r="AN70" i="2"/>
  <c r="AO70" i="2"/>
  <c r="AN99" i="2"/>
  <c r="AN93" i="2"/>
  <c r="AN94" i="2"/>
  <c r="AN77" i="2"/>
  <c r="AO77" i="2"/>
  <c r="AN45" i="2"/>
  <c r="AO45" i="2"/>
  <c r="AN78" i="2"/>
  <c r="AO78" i="2"/>
  <c r="AN61" i="2"/>
  <c r="AO61" i="2"/>
  <c r="AN57" i="2"/>
  <c r="AO57" i="2"/>
  <c r="AN96" i="2"/>
  <c r="AN89" i="2"/>
  <c r="AN82" i="2"/>
  <c r="AN55" i="2"/>
  <c r="AO55" i="2"/>
  <c r="AN51" i="2"/>
  <c r="AO51" i="2"/>
  <c r="AN50" i="2"/>
  <c r="AO50" i="2"/>
  <c r="AN56" i="2"/>
  <c r="AO56" i="2"/>
  <c r="AN63" i="2"/>
  <c r="AO63" i="2"/>
  <c r="AN114" i="2"/>
  <c r="AN81" i="2"/>
  <c r="AN97" i="2"/>
  <c r="AN48" i="2"/>
  <c r="AO48" i="2"/>
  <c r="AN103" i="2"/>
  <c r="AN109" i="2"/>
  <c r="AN79" i="2"/>
  <c r="AO79" i="2"/>
  <c r="AN58" i="2"/>
  <c r="AO58" i="2"/>
  <c r="AP58" i="2"/>
  <c r="AN83" i="2"/>
  <c r="AN76" i="2"/>
  <c r="AO76" i="2"/>
  <c r="AN100" i="2"/>
  <c r="AN60" i="2"/>
  <c r="AO60" i="2"/>
  <c r="AN105" i="2"/>
  <c r="AN85" i="2"/>
  <c r="AN113" i="2"/>
  <c r="AN98" i="2"/>
  <c r="AN47" i="2"/>
  <c r="AO47" i="2"/>
  <c r="AN54" i="2"/>
  <c r="AO54" i="2"/>
  <c r="AN80" i="2"/>
  <c r="AO80" i="2"/>
  <c r="AN104" i="2"/>
  <c r="AN110" i="2"/>
  <c r="AN108" i="2"/>
  <c r="AN49" i="2"/>
  <c r="AO49" i="2"/>
  <c r="AN92" i="2"/>
  <c r="AN67" i="2"/>
  <c r="AO67" i="2"/>
  <c r="AP67" i="2"/>
  <c r="AN68" i="2"/>
  <c r="AO68" i="2"/>
  <c r="AN69" i="2"/>
  <c r="AO69" i="2"/>
  <c r="AN88" i="2"/>
  <c r="AN102" i="2"/>
  <c r="AN111" i="2"/>
  <c r="AN71" i="2"/>
  <c r="AO71" i="2"/>
  <c r="AN72" i="2"/>
  <c r="AO72" i="2"/>
  <c r="AN87" i="2"/>
  <c r="AN91" i="2"/>
  <c r="AN52" i="2"/>
  <c r="AO52" i="2"/>
  <c r="AN46" i="2"/>
  <c r="AO46" i="2"/>
  <c r="AN112" i="2"/>
  <c r="AN86" i="2"/>
  <c r="AN84" i="2"/>
  <c r="AN107" i="2"/>
  <c r="AN75" i="2"/>
  <c r="AO75" i="2"/>
  <c r="AN59" i="2"/>
  <c r="AO59" i="2"/>
  <c r="AN65" i="2"/>
  <c r="AO65" i="2"/>
  <c r="AN62" i="2"/>
  <c r="AO62" i="2"/>
  <c r="AN106" i="2"/>
  <c r="AN90" i="2"/>
  <c r="AN101" i="2"/>
  <c r="BY220" i="11"/>
  <c r="BX41" i="11"/>
  <c r="CB105" i="11"/>
  <c r="CB106" i="11"/>
  <c r="CA39" i="11"/>
  <c r="BY215" i="11"/>
  <c r="CA218" i="11"/>
  <c r="BZ37" i="11"/>
  <c r="CA51" i="10"/>
  <c r="CB135" i="10"/>
  <c r="CB136" i="10"/>
  <c r="CB137" i="10"/>
  <c r="CB225" i="10"/>
  <c r="CA37" i="10"/>
  <c r="CB100" i="10"/>
  <c r="CB101" i="10"/>
  <c r="CB102" i="10"/>
  <c r="CB218" i="10"/>
  <c r="CA155" i="22"/>
  <c r="CA156" i="22"/>
  <c r="CA157" i="22"/>
  <c r="CB59" i="22"/>
  <c r="CB154" i="22"/>
  <c r="CB100" i="22"/>
  <c r="CB101" i="22"/>
  <c r="CB102" i="22"/>
  <c r="CB218" i="22"/>
  <c r="CA41" i="22"/>
  <c r="CA55" i="22"/>
  <c r="CB110" i="22"/>
  <c r="CB111" i="22"/>
  <c r="CB112" i="22"/>
  <c r="CB220" i="22"/>
  <c r="CB145" i="22"/>
  <c r="CB146" i="22"/>
  <c r="CB147" i="22"/>
  <c r="CB227" i="22"/>
  <c r="BZ228" i="8"/>
  <c r="BY57" i="8"/>
  <c r="CA55" i="8"/>
  <c r="CB145" i="8"/>
  <c r="CB146" i="8"/>
  <c r="CB139" i="8"/>
  <c r="CB53" i="8"/>
  <c r="CA110" i="8"/>
  <c r="CA111" i="8"/>
  <c r="BZ85" i="8"/>
  <c r="BZ86" i="8"/>
  <c r="BZ87" i="8"/>
  <c r="CA140" i="8"/>
  <c r="CA141" i="8"/>
  <c r="CA142" i="8"/>
  <c r="CB49" i="8"/>
  <c r="CB129" i="8"/>
  <c r="CA90" i="8"/>
  <c r="CA91" i="8"/>
  <c r="CA92" i="8"/>
  <c r="CA84" i="8"/>
  <c r="CB30" i="8"/>
  <c r="CA130" i="8"/>
  <c r="CA131" i="8"/>
  <c r="CA132" i="8"/>
  <c r="CB109" i="8"/>
  <c r="CB41" i="8"/>
  <c r="CB33" i="8"/>
  <c r="CB89" i="8"/>
  <c r="CA145" i="7"/>
  <c r="CA146" i="7"/>
  <c r="CA147" i="7"/>
  <c r="CB55" i="7"/>
  <c r="CB144" i="7"/>
  <c r="CB53" i="7"/>
  <c r="CB139" i="7"/>
  <c r="CA140" i="7"/>
  <c r="CA141" i="7"/>
  <c r="CA142" i="7"/>
  <c r="CB134" i="7"/>
  <c r="CB51" i="7"/>
  <c r="CA135" i="7"/>
  <c r="CA136" i="7"/>
  <c r="CA137" i="7"/>
  <c r="BV216" i="7"/>
  <c r="BU33" i="7"/>
  <c r="CA223" i="7"/>
  <c r="BZ47" i="7"/>
  <c r="BZ222" i="7"/>
  <c r="BY45" i="7"/>
  <c r="CA164" i="6"/>
  <c r="CA165" i="6"/>
  <c r="CA166" i="6"/>
  <c r="CB163" i="6"/>
  <c r="CB57" i="6"/>
  <c r="CB55" i="6"/>
  <c r="CB158" i="6"/>
  <c r="CA159" i="6"/>
  <c r="CA160" i="6"/>
  <c r="CA161" i="6"/>
  <c r="CB153" i="6"/>
  <c r="CB53" i="6"/>
  <c r="CA154" i="6"/>
  <c r="CA155" i="6"/>
  <c r="CA156" i="6"/>
  <c r="CB51" i="6"/>
  <c r="CB148" i="6"/>
  <c r="CA149" i="6"/>
  <c r="CA150" i="6"/>
  <c r="CA151" i="6"/>
  <c r="CB49" i="6"/>
  <c r="CB143" i="6"/>
  <c r="CA144" i="6"/>
  <c r="CA145" i="6"/>
  <c r="CA146" i="6"/>
  <c r="CB160" i="9"/>
  <c r="CB161" i="9"/>
  <c r="CB162" i="9"/>
  <c r="CB230" i="9"/>
  <c r="CA61" i="9"/>
  <c r="CA155" i="9"/>
  <c r="CA156" i="9"/>
  <c r="CA157" i="9"/>
  <c r="CB59" i="9"/>
  <c r="CB154" i="9"/>
  <c r="BY216" i="9"/>
  <c r="BX33" i="9"/>
  <c r="CB110" i="9"/>
  <c r="CB111" i="9"/>
  <c r="CB112" i="9"/>
  <c r="CB220" i="9"/>
  <c r="CA41" i="9"/>
  <c r="CA37" i="9"/>
  <c r="CB100" i="9"/>
  <c r="CB101" i="9"/>
  <c r="CB102" i="9"/>
  <c r="CB218" i="9"/>
  <c r="CA241" i="1"/>
  <c r="CB166" i="1"/>
  <c r="CB63" i="1"/>
  <c r="CA167" i="1"/>
  <c r="CA168" i="1"/>
  <c r="CA169" i="1"/>
  <c r="CB126" i="1"/>
  <c r="CB47" i="1"/>
  <c r="CB146" i="1"/>
  <c r="CB55" i="1"/>
  <c r="CA127" i="1"/>
  <c r="CA128" i="1"/>
  <c r="CA129" i="1"/>
  <c r="CA147" i="1"/>
  <c r="CA148" i="1"/>
  <c r="CA149" i="1"/>
  <c r="BZ49" i="1"/>
  <c r="CA229" i="1"/>
  <c r="BZ45" i="1"/>
  <c r="CA225" i="1"/>
  <c r="BZ37" i="1"/>
  <c r="CB106" i="1"/>
  <c r="CB39" i="1"/>
  <c r="CA227" i="1"/>
  <c r="BZ41" i="1"/>
  <c r="CA107" i="1"/>
  <c r="CA108" i="1"/>
  <c r="CA109" i="1"/>
  <c r="AJ23" i="2"/>
  <c r="F23" i="20"/>
  <c r="AY51" i="41"/>
  <c r="AI51" i="41"/>
  <c r="AT51" i="41"/>
  <c r="AJ51" i="41"/>
  <c r="AK51" i="41"/>
  <c r="AC51" i="41"/>
  <c r="AP51" i="41"/>
  <c r="AX51" i="41"/>
  <c r="AO51" i="41"/>
  <c r="X51" i="41"/>
  <c r="Z51" i="41"/>
  <c r="AH51" i="41"/>
  <c r="AW51" i="41"/>
  <c r="AL51" i="41"/>
  <c r="K52" i="30"/>
  <c r="AM52" i="30"/>
  <c r="AT52" i="30"/>
  <c r="AU52" i="30"/>
  <c r="AJ52" i="30"/>
  <c r="AH52" i="30"/>
  <c r="AD52" i="30"/>
  <c r="AE52" i="30"/>
  <c r="Z52" i="30"/>
  <c r="AG52" i="30"/>
  <c r="AS52" i="30"/>
  <c r="X52" i="30"/>
  <c r="Y52" i="30"/>
  <c r="AX52" i="30"/>
  <c r="AW52" i="30"/>
  <c r="AL52" i="30"/>
  <c r="AB52" i="30"/>
  <c r="AV52" i="30"/>
  <c r="AO52" i="30"/>
  <c r="CA49" i="7"/>
  <c r="CB224" i="7"/>
  <c r="CB217" i="10"/>
  <c r="CJ52" i="2"/>
  <c r="CJ71" i="2"/>
  <c r="CJ53" i="2"/>
  <c r="BJ66" i="2"/>
  <c r="CK66" i="2"/>
  <c r="BJ75" i="2"/>
  <c r="CK75" i="2"/>
  <c r="CJ74" i="2"/>
  <c r="CJ61" i="2"/>
  <c r="CJ60" i="2"/>
  <c r="Y51" i="41"/>
  <c r="AQ51" i="41"/>
  <c r="AF51" i="41"/>
  <c r="AE51" i="41"/>
  <c r="AD51" i="41"/>
  <c r="AG51" i="41"/>
  <c r="AR51" i="41"/>
  <c r="CB221" i="6"/>
  <c r="CJ56" i="2"/>
  <c r="CJ64" i="2"/>
  <c r="BJ48" i="2"/>
  <c r="CK48" i="2"/>
  <c r="BJ46" i="2"/>
  <c r="CK46" i="2"/>
  <c r="CJ59" i="2"/>
  <c r="BJ50" i="2"/>
  <c r="CK50" i="2"/>
  <c r="CB222" i="8"/>
  <c r="BJ55" i="2"/>
  <c r="CK55" i="2"/>
  <c r="BJ69" i="2"/>
  <c r="CK69" i="2"/>
  <c r="BJ58" i="2"/>
  <c r="CK58" i="2"/>
  <c r="CJ70" i="2"/>
  <c r="CJ63" i="2"/>
  <c r="BJ54" i="2"/>
  <c r="CK54" i="2"/>
  <c r="CJ49" i="2"/>
  <c r="BX204" i="2"/>
  <c r="BW83" i="2"/>
  <c r="AS237" i="9"/>
  <c r="AR75" i="9"/>
  <c r="CB221" i="8"/>
  <c r="CJ47" i="2"/>
  <c r="CJ51" i="2"/>
  <c r="CJ72" i="2"/>
  <c r="BJ73" i="2"/>
  <c r="CK73" i="2"/>
  <c r="CJ57" i="2"/>
  <c r="BJ62" i="2"/>
  <c r="CK62" i="2"/>
  <c r="CJ65" i="2"/>
  <c r="CJ45" i="2"/>
  <c r="CJ68" i="2"/>
  <c r="AP80" i="2"/>
  <c r="AS51" i="41"/>
  <c r="CB216" i="11"/>
  <c r="S35" i="37"/>
  <c r="R34" i="37"/>
  <c r="AK18" i="26"/>
  <c r="Z14" i="38"/>
  <c r="AI47" i="38"/>
  <c r="H15" i="38"/>
  <c r="Z15" i="38"/>
  <c r="AI48" i="38"/>
  <c r="S7" i="39"/>
  <c r="I7" i="39"/>
  <c r="BK18" i="2"/>
  <c r="I18" i="20"/>
  <c r="S8" i="39"/>
  <c r="I8" i="39"/>
  <c r="CL18" i="2"/>
  <c r="CL19" i="2"/>
  <c r="AN52" i="30"/>
  <c r="AK52" i="30"/>
  <c r="AI52" i="30"/>
  <c r="AR52" i="30"/>
  <c r="AA52" i="30"/>
  <c r="AQ52" i="30"/>
  <c r="AF52" i="30"/>
  <c r="AY52" i="30"/>
  <c r="AC52" i="30"/>
  <c r="BJ76" i="2"/>
  <c r="CK76" i="2"/>
  <c r="BH80" i="2"/>
  <c r="CI80" i="2"/>
  <c r="CH80" i="2"/>
  <c r="BG81" i="2"/>
  <c r="CF81" i="2"/>
  <c r="R51" i="41"/>
  <c r="R50" i="41"/>
  <c r="AP44" i="2"/>
  <c r="AO81" i="2"/>
  <c r="AP81" i="2"/>
  <c r="CB224" i="10"/>
  <c r="CA202" i="9"/>
  <c r="CA238" i="9"/>
  <c r="CB152" i="11"/>
  <c r="CB228" i="11"/>
  <c r="CB202" i="7"/>
  <c r="CB238" i="7"/>
  <c r="CA202" i="11"/>
  <c r="CA238" i="11"/>
  <c r="CA207" i="8"/>
  <c r="CA239" i="8"/>
  <c r="CA187" i="8"/>
  <c r="CA235" i="8"/>
  <c r="BI95" i="40"/>
  <c r="BJ324" i="40"/>
  <c r="BH103" i="40"/>
  <c r="BI328" i="40"/>
  <c r="BH109" i="40"/>
  <c r="BI331" i="40"/>
  <c r="BD97" i="40"/>
  <c r="BE325" i="40"/>
  <c r="BH111" i="40"/>
  <c r="BI332" i="40"/>
  <c r="BC105" i="40"/>
  <c r="BD329" i="40"/>
  <c r="BD107" i="40"/>
  <c r="BE330" i="40"/>
  <c r="BH93" i="40"/>
  <c r="BI323" i="40"/>
  <c r="BH101" i="40"/>
  <c r="BI327" i="40"/>
  <c r="BB99" i="40"/>
  <c r="BC326" i="40"/>
  <c r="BI91" i="40"/>
  <c r="BL300" i="40"/>
  <c r="BK47" i="40"/>
  <c r="BJ311" i="40"/>
  <c r="BI69" i="40"/>
  <c r="BL320" i="40"/>
  <c r="BK87" i="40"/>
  <c r="BK297" i="40"/>
  <c r="BJ41" i="40"/>
  <c r="BK307" i="40"/>
  <c r="BJ61" i="40"/>
  <c r="BK317" i="40"/>
  <c r="BJ81" i="40"/>
  <c r="BL318" i="40"/>
  <c r="BK83" i="40"/>
  <c r="BL298" i="40"/>
  <c r="BK43" i="40"/>
  <c r="BK319" i="40"/>
  <c r="BJ85" i="40"/>
  <c r="BL299" i="40"/>
  <c r="BK45" i="40"/>
  <c r="BK315" i="40"/>
  <c r="BJ77" i="40"/>
  <c r="BK321" i="40"/>
  <c r="BJ89" i="40"/>
  <c r="BK302" i="40"/>
  <c r="BJ51" i="40"/>
  <c r="BL301" i="40"/>
  <c r="BK49" i="40"/>
  <c r="BL312" i="40"/>
  <c r="BK71" i="40"/>
  <c r="BL314" i="40"/>
  <c r="BK75" i="40"/>
  <c r="BJ309" i="40"/>
  <c r="BI65" i="40"/>
  <c r="BL303" i="40"/>
  <c r="BK53" i="40"/>
  <c r="BL322" i="40"/>
  <c r="BK310" i="40"/>
  <c r="BJ67" i="40"/>
  <c r="BL304" i="40"/>
  <c r="BK55" i="40"/>
  <c r="BL316" i="40"/>
  <c r="BK79" i="40"/>
  <c r="BL308" i="40"/>
  <c r="BK63" i="40"/>
  <c r="BL305" i="40"/>
  <c r="BK57" i="40"/>
  <c r="BJ313" i="40"/>
  <c r="BI73" i="40"/>
  <c r="BL306" i="40"/>
  <c r="BK59" i="40"/>
  <c r="BY238" i="10"/>
  <c r="BX77" i="10"/>
  <c r="BQ239" i="9"/>
  <c r="BP79" i="9"/>
  <c r="BY238" i="11"/>
  <c r="BX77" i="11"/>
  <c r="AY233" i="9"/>
  <c r="AX67" i="9"/>
  <c r="BY77" i="22"/>
  <c r="BZ238" i="22"/>
  <c r="BY69" i="10"/>
  <c r="BZ234" i="10"/>
  <c r="BB67" i="22"/>
  <c r="BC233" i="22"/>
  <c r="BX228" i="11"/>
  <c r="BW57" i="11"/>
  <c r="BZ47" i="6"/>
  <c r="CA226" i="6"/>
  <c r="BX51" i="11"/>
  <c r="BY225" i="11"/>
  <c r="BZ238" i="10"/>
  <c r="CA57" i="22"/>
  <c r="CB228" i="22"/>
  <c r="BY71" i="8"/>
  <c r="BZ235" i="8"/>
  <c r="CB223" i="10"/>
  <c r="CB201" i="10"/>
  <c r="CB200" i="10"/>
  <c r="CA177" i="7"/>
  <c r="CA233" i="7"/>
  <c r="BM63" i="10"/>
  <c r="BN231" i="10"/>
  <c r="CB201" i="11"/>
  <c r="CB200" i="11"/>
  <c r="BQ63" i="22"/>
  <c r="BR231" i="22"/>
  <c r="L240" i="8"/>
  <c r="K81" i="8"/>
  <c r="CA202" i="22"/>
  <c r="CA238" i="22"/>
  <c r="CB160" i="10"/>
  <c r="CB161" i="10"/>
  <c r="AX65" i="10"/>
  <c r="AY232" i="10"/>
  <c r="BU223" i="11"/>
  <c r="BT47" i="11"/>
  <c r="BO73" i="22"/>
  <c r="BP236" i="22"/>
  <c r="CB166" i="9"/>
  <c r="CB165" i="9"/>
  <c r="BJ71" i="10"/>
  <c r="BK235" i="10"/>
  <c r="CB175" i="7"/>
  <c r="CB176" i="7"/>
  <c r="BP232" i="9"/>
  <c r="BO65" i="9"/>
  <c r="AX229" i="10"/>
  <c r="AW59" i="10"/>
  <c r="BV239" i="11"/>
  <c r="BU79" i="11"/>
  <c r="AX81" i="10"/>
  <c r="AY240" i="10"/>
  <c r="BY79" i="8"/>
  <c r="BZ239" i="8"/>
  <c r="BZ238" i="11"/>
  <c r="CV145" i="10"/>
  <c r="CV146" i="10"/>
  <c r="BY61" i="10"/>
  <c r="BZ230" i="10"/>
  <c r="BO79" i="22"/>
  <c r="BP239" i="22"/>
  <c r="CU147" i="10"/>
  <c r="CA162" i="10"/>
  <c r="CA230" i="10"/>
  <c r="BY63" i="9"/>
  <c r="BZ231" i="9"/>
  <c r="BT61" i="7"/>
  <c r="BU230" i="7"/>
  <c r="BQ71" i="22"/>
  <c r="BR235" i="22"/>
  <c r="BX77" i="7"/>
  <c r="BY238" i="7"/>
  <c r="BZ67" i="7"/>
  <c r="BM229" i="8"/>
  <c r="BL59" i="8"/>
  <c r="BW229" i="7"/>
  <c r="BV59" i="7"/>
  <c r="BZ236" i="9"/>
  <c r="CB220" i="10"/>
  <c r="CB221" i="10"/>
  <c r="CB219" i="10"/>
  <c r="CA137" i="11"/>
  <c r="CA225" i="11"/>
  <c r="CB205" i="8"/>
  <c r="CB206" i="8"/>
  <c r="BO67" i="10"/>
  <c r="BP233" i="10"/>
  <c r="H55" i="11"/>
  <c r="I227" i="11"/>
  <c r="CW144" i="10"/>
  <c r="CX54" i="10"/>
  <c r="BQ63" i="8"/>
  <c r="BR231" i="8"/>
  <c r="CA202" i="10"/>
  <c r="CA238" i="10"/>
  <c r="CA182" i="10"/>
  <c r="CA234" i="10"/>
  <c r="CA167" i="9"/>
  <c r="CA231" i="9"/>
  <c r="BR79" i="7"/>
  <c r="BS239" i="7"/>
  <c r="CB200" i="22"/>
  <c r="CB201" i="22"/>
  <c r="CB180" i="10"/>
  <c r="CB181" i="10"/>
  <c r="BI75" i="11"/>
  <c r="BJ237" i="11"/>
  <c r="N61" i="11"/>
  <c r="O230" i="11"/>
  <c r="CB226" i="6"/>
  <c r="CB136" i="11"/>
  <c r="CB135" i="11"/>
  <c r="CB185" i="8"/>
  <c r="CB186" i="8"/>
  <c r="C94" i="38"/>
  <c r="U28" i="38"/>
  <c r="AD61" i="38"/>
  <c r="R33" i="2"/>
  <c r="D33" i="20"/>
  <c r="C29" i="38"/>
  <c r="N21" i="39"/>
  <c r="P31" i="20"/>
  <c r="Q31" i="20"/>
  <c r="CA53" i="10"/>
  <c r="CB226" i="10"/>
  <c r="CA217" i="10"/>
  <c r="BZ35" i="10"/>
  <c r="BZ222" i="10"/>
  <c r="BY45" i="10"/>
  <c r="CB216" i="10"/>
  <c r="CA31" i="10"/>
  <c r="CB215" i="10"/>
  <c r="CA216" i="10"/>
  <c r="BZ33" i="10"/>
  <c r="CA224" i="10"/>
  <c r="BZ49" i="10"/>
  <c r="CA223" i="10"/>
  <c r="BZ47" i="10"/>
  <c r="CA220" i="10"/>
  <c r="BZ41" i="10"/>
  <c r="BZ43" i="10"/>
  <c r="CA221" i="10"/>
  <c r="CA219" i="10"/>
  <c r="BZ39" i="10"/>
  <c r="BZ53" i="22"/>
  <c r="CA226" i="22"/>
  <c r="CB217" i="22"/>
  <c r="CA51" i="22"/>
  <c r="CB225" i="22"/>
  <c r="CA221" i="22"/>
  <c r="BZ43" i="22"/>
  <c r="BZ223" i="22"/>
  <c r="BY47" i="22"/>
  <c r="CB221" i="22"/>
  <c r="CA47" i="8"/>
  <c r="CB223" i="8"/>
  <c r="CA221" i="8"/>
  <c r="CA225" i="8"/>
  <c r="BZ51" i="8"/>
  <c r="AY81" i="7"/>
  <c r="AZ240" i="7"/>
  <c r="BH61" i="8"/>
  <c r="BI230" i="8"/>
  <c r="AU69" i="7"/>
  <c r="AV234" i="7"/>
  <c r="BF77" i="8"/>
  <c r="BG238" i="8"/>
  <c r="C65" i="8"/>
  <c r="C232" i="8"/>
  <c r="D232" i="8"/>
  <c r="C82" i="2"/>
  <c r="D203" i="2"/>
  <c r="BN82" i="2"/>
  <c r="BO203" i="2"/>
  <c r="BE69" i="8"/>
  <c r="BF234" i="8"/>
  <c r="AX71" i="9"/>
  <c r="AY235" i="9"/>
  <c r="AV49" i="11"/>
  <c r="AW224" i="11"/>
  <c r="AR53" i="11"/>
  <c r="AS226" i="11"/>
  <c r="AW81" i="9"/>
  <c r="AX240" i="9"/>
  <c r="P69" i="11"/>
  <c r="Q234" i="11"/>
  <c r="O63" i="11"/>
  <c r="P231" i="11"/>
  <c r="BR73" i="8"/>
  <c r="BS236" i="8"/>
  <c r="BD61" i="22"/>
  <c r="BE230" i="22"/>
  <c r="AN31" i="22"/>
  <c r="AO215" i="22"/>
  <c r="BW77" i="9"/>
  <c r="BX238" i="9"/>
  <c r="CB216" i="6"/>
  <c r="CB223" i="6"/>
  <c r="AM204" i="2"/>
  <c r="L204" i="2"/>
  <c r="C204" i="2"/>
  <c r="BE204" i="2"/>
  <c r="AV204" i="2"/>
  <c r="U204" i="2"/>
  <c r="AD204" i="2"/>
  <c r="BN204" i="2"/>
  <c r="V203" i="2"/>
  <c r="U82" i="2"/>
  <c r="W82" i="2"/>
  <c r="X82" i="2"/>
  <c r="L82" i="2"/>
  <c r="N82" i="2"/>
  <c r="O82" i="2"/>
  <c r="M203" i="2"/>
  <c r="BA75" i="22"/>
  <c r="BB237" i="22"/>
  <c r="BC71" i="7"/>
  <c r="BD235" i="7"/>
  <c r="BW73" i="9"/>
  <c r="BX236" i="9"/>
  <c r="AY79" i="10"/>
  <c r="AZ239" i="10"/>
  <c r="CA192" i="9"/>
  <c r="CA236" i="9"/>
  <c r="A205" i="2"/>
  <c r="BW205" i="2"/>
  <c r="A85" i="2"/>
  <c r="CA33" i="22"/>
  <c r="CB216" i="22"/>
  <c r="BA75" i="8"/>
  <c r="BB237" i="8"/>
  <c r="BC67" i="8"/>
  <c r="BD233" i="8"/>
  <c r="AV82" i="2"/>
  <c r="AW203" i="2"/>
  <c r="AD82" i="2"/>
  <c r="AF82" i="2"/>
  <c r="AG82" i="2"/>
  <c r="AE203" i="2"/>
  <c r="K65" i="11"/>
  <c r="L232" i="11"/>
  <c r="AQ73" i="10"/>
  <c r="AR236" i="10"/>
  <c r="CB190" i="9"/>
  <c r="CB191" i="9"/>
  <c r="AZ69" i="9"/>
  <c r="BA234" i="9"/>
  <c r="BD81" i="11"/>
  <c r="BE240" i="11"/>
  <c r="BD67" i="11"/>
  <c r="BE233" i="11"/>
  <c r="BB75" i="7"/>
  <c r="BC237" i="7"/>
  <c r="BA81" i="22"/>
  <c r="BB240" i="22"/>
  <c r="BC69" i="22"/>
  <c r="BD234" i="22"/>
  <c r="AX57" i="10"/>
  <c r="AY228" i="10"/>
  <c r="BE82" i="2"/>
  <c r="BF203" i="2"/>
  <c r="AM82" i="2"/>
  <c r="AO82" i="2"/>
  <c r="AN203" i="2"/>
  <c r="BF73" i="11"/>
  <c r="BG236" i="11"/>
  <c r="AY65" i="22"/>
  <c r="AZ232" i="22"/>
  <c r="AK65" i="7"/>
  <c r="AL232" i="7"/>
  <c r="BA75" i="10"/>
  <c r="BB237" i="10"/>
  <c r="CB201" i="9"/>
  <c r="CB200" i="9"/>
  <c r="BY236" i="9"/>
  <c r="T52" i="30"/>
  <c r="L52" i="30"/>
  <c r="N52" i="30"/>
  <c r="O52" i="30"/>
  <c r="P52" i="30"/>
  <c r="BZ221" i="8"/>
  <c r="BY43" i="8"/>
  <c r="CA222" i="8"/>
  <c r="BZ45" i="8"/>
  <c r="BV35" i="8"/>
  <c r="BW217" i="8"/>
  <c r="CB221" i="7"/>
  <c r="CA225" i="6"/>
  <c r="BZ33" i="11"/>
  <c r="CA216" i="11"/>
  <c r="BP63" i="7"/>
  <c r="BQ231" i="7"/>
  <c r="CA53" i="9"/>
  <c r="CB226" i="9"/>
  <c r="CA215" i="9"/>
  <c r="BZ31" i="9"/>
  <c r="BY31" i="1"/>
  <c r="BZ222" i="1"/>
  <c r="CB231" i="1"/>
  <c r="CA233" i="1"/>
  <c r="BZ53" i="1"/>
  <c r="BY33" i="1"/>
  <c r="BZ223" i="1"/>
  <c r="CB224" i="1"/>
  <c r="CA35" i="1"/>
  <c r="CA59" i="1"/>
  <c r="CB236" i="1"/>
  <c r="CB241" i="1"/>
  <c r="CB233" i="1"/>
  <c r="CB239" i="1"/>
  <c r="CA65" i="1"/>
  <c r="CA232" i="1"/>
  <c r="BZ51" i="1"/>
  <c r="CB232" i="1"/>
  <c r="W19" i="38"/>
  <c r="AF52" i="38"/>
  <c r="E85" i="38"/>
  <c r="T22" i="20"/>
  <c r="U22" i="20"/>
  <c r="E20" i="38"/>
  <c r="P12" i="39"/>
  <c r="F12" i="39"/>
  <c r="AA24" i="26"/>
  <c r="S41" i="35"/>
  <c r="CB224" i="22"/>
  <c r="BZ222" i="22"/>
  <c r="BY45" i="22"/>
  <c r="CA112" i="8"/>
  <c r="CB217" i="7"/>
  <c r="CA217" i="6"/>
  <c r="CA214" i="6"/>
  <c r="BZ23" i="6"/>
  <c r="BZ25" i="6"/>
  <c r="CA215" i="6"/>
  <c r="BZ35" i="6"/>
  <c r="CA220" i="6"/>
  <c r="BY43" i="6"/>
  <c r="BZ224" i="6"/>
  <c r="BY31" i="6"/>
  <c r="BZ218" i="6"/>
  <c r="BZ33" i="6"/>
  <c r="CA219" i="6"/>
  <c r="CB217" i="6"/>
  <c r="CB214" i="6"/>
  <c r="CA216" i="6"/>
  <c r="BZ27" i="6"/>
  <c r="CB225" i="6"/>
  <c r="CB215" i="6"/>
  <c r="BZ37" i="6"/>
  <c r="CA221" i="6"/>
  <c r="BZ41" i="6"/>
  <c r="CA223" i="6"/>
  <c r="CB220" i="6"/>
  <c r="CB104" i="6"/>
  <c r="CB105" i="6"/>
  <c r="CB106" i="6"/>
  <c r="CB219" i="6"/>
  <c r="BV83" i="1"/>
  <c r="BW248" i="1"/>
  <c r="CB244" i="1"/>
  <c r="CA43" i="1"/>
  <c r="CB228" i="1"/>
  <c r="BX247" i="1"/>
  <c r="BW81" i="1"/>
  <c r="CB147" i="8"/>
  <c r="CB227" i="8"/>
  <c r="CA199" i="1"/>
  <c r="CA244" i="1"/>
  <c r="CB194" i="1"/>
  <c r="CB243" i="1"/>
  <c r="BV39" i="8"/>
  <c r="BW219" i="8"/>
  <c r="BZ218" i="8"/>
  <c r="BY37" i="8"/>
  <c r="B24" i="26"/>
  <c r="R41" i="30"/>
  <c r="R40" i="30"/>
  <c r="S42" i="30"/>
  <c r="BW45" i="11"/>
  <c r="BX222" i="11"/>
  <c r="CB217" i="9"/>
  <c r="CB222" i="9"/>
  <c r="AA24" i="2"/>
  <c r="E24" i="20"/>
  <c r="D20" i="38"/>
  <c r="O12" i="39"/>
  <c r="E12" i="39"/>
  <c r="R22" i="20"/>
  <c r="S22" i="20"/>
  <c r="D85" i="38"/>
  <c r="V19" i="38"/>
  <c r="AE52" i="38"/>
  <c r="BZ219" i="22"/>
  <c r="BY39" i="22"/>
  <c r="CA224" i="22"/>
  <c r="BZ49" i="22"/>
  <c r="CA217" i="22"/>
  <c r="BZ35" i="22"/>
  <c r="BZ218" i="7"/>
  <c r="BY37" i="7"/>
  <c r="BW41" i="7"/>
  <c r="BX220" i="7"/>
  <c r="BZ219" i="7"/>
  <c r="BY39" i="7"/>
  <c r="CA217" i="7"/>
  <c r="BZ35" i="7"/>
  <c r="BZ215" i="7"/>
  <c r="BY31" i="7"/>
  <c r="CA221" i="7"/>
  <c r="BZ43" i="7"/>
  <c r="BX222" i="6"/>
  <c r="BW39" i="6"/>
  <c r="CA217" i="9"/>
  <c r="BZ35" i="9"/>
  <c r="BW39" i="9"/>
  <c r="BX219" i="9"/>
  <c r="CA47" i="9"/>
  <c r="CB223" i="9"/>
  <c r="CB114" i="9"/>
  <c r="CB115" i="9"/>
  <c r="CB116" i="9"/>
  <c r="CB117" i="9"/>
  <c r="CB43" i="9"/>
  <c r="BW227" i="9"/>
  <c r="BV55" i="9"/>
  <c r="BZ225" i="9"/>
  <c r="BY51" i="9"/>
  <c r="CB224" i="9"/>
  <c r="BX57" i="9"/>
  <c r="BY228" i="9"/>
  <c r="CB228" i="9"/>
  <c r="CA228" i="9"/>
  <c r="BZ45" i="9"/>
  <c r="CA222" i="9"/>
  <c r="CA224" i="9"/>
  <c r="BZ49" i="9"/>
  <c r="BZ228" i="9"/>
  <c r="BU235" i="1"/>
  <c r="BT57" i="1"/>
  <c r="BZ240" i="1"/>
  <c r="BY67" i="1"/>
  <c r="BY243" i="1"/>
  <c r="BX73" i="1"/>
  <c r="CB207" i="1"/>
  <c r="CB208" i="1"/>
  <c r="CB187" i="1"/>
  <c r="CB188" i="1"/>
  <c r="BY245" i="1"/>
  <c r="BX77" i="1"/>
  <c r="BZ237" i="1"/>
  <c r="BY61" i="1"/>
  <c r="BZ75" i="1"/>
  <c r="CA79" i="1"/>
  <c r="CA242" i="1"/>
  <c r="BZ71" i="1"/>
  <c r="BV221" i="11"/>
  <c r="BU43" i="11"/>
  <c r="AP65" i="2"/>
  <c r="AP69" i="2"/>
  <c r="AP79" i="2"/>
  <c r="AP71" i="2"/>
  <c r="AP21" i="2"/>
  <c r="AR21" i="2"/>
  <c r="AP37" i="2"/>
  <c r="AR37" i="2"/>
  <c r="AP46" i="2"/>
  <c r="AP18" i="2"/>
  <c r="AR18" i="2"/>
  <c r="AP62" i="2"/>
  <c r="AP55" i="2"/>
  <c r="AP33" i="2"/>
  <c r="AR33" i="2"/>
  <c r="AP16" i="2"/>
  <c r="AR16" i="2"/>
  <c r="AP75" i="2"/>
  <c r="AP72" i="2"/>
  <c r="AP60" i="2"/>
  <c r="AP77" i="2"/>
  <c r="AP51" i="2"/>
  <c r="AP57" i="2"/>
  <c r="AP23" i="2"/>
  <c r="AR23" i="2"/>
  <c r="AP45" i="2"/>
  <c r="AP39" i="2"/>
  <c r="AR39" i="2"/>
  <c r="AP47" i="2"/>
  <c r="AP29" i="2"/>
  <c r="AR29" i="2"/>
  <c r="AP19" i="2"/>
  <c r="AR19" i="2"/>
  <c r="AP35" i="2"/>
  <c r="AR35" i="2"/>
  <c r="AP24" i="2"/>
  <c r="AR24" i="2"/>
  <c r="AP40" i="2"/>
  <c r="AR40" i="2"/>
  <c r="AP17" i="2"/>
  <c r="AR17" i="2"/>
  <c r="AP28" i="2"/>
  <c r="AR28" i="2"/>
  <c r="AP54" i="2"/>
  <c r="AP52" i="2"/>
  <c r="AP49" i="2"/>
  <c r="AP56" i="2"/>
  <c r="AP61" i="2"/>
  <c r="AP53" i="2"/>
  <c r="AP22" i="2"/>
  <c r="AR22" i="2"/>
  <c r="AP38" i="2"/>
  <c r="AR38" i="2"/>
  <c r="AP27" i="2"/>
  <c r="AR27" i="2"/>
  <c r="AP32" i="2"/>
  <c r="AR32" i="2"/>
  <c r="AP43" i="2"/>
  <c r="AR43" i="2"/>
  <c r="AP59" i="2"/>
  <c r="AP68" i="2"/>
  <c r="AP76" i="2"/>
  <c r="AP50" i="2"/>
  <c r="AP78" i="2"/>
  <c r="AP25" i="2"/>
  <c r="AR25" i="2"/>
  <c r="AP41" i="2"/>
  <c r="AR41" i="2"/>
  <c r="AP26" i="2"/>
  <c r="AR26" i="2"/>
  <c r="AP42" i="2"/>
  <c r="AR42" i="2"/>
  <c r="AP31" i="2"/>
  <c r="AR31" i="2"/>
  <c r="AP20" i="2"/>
  <c r="AR20" i="2"/>
  <c r="AP36" i="2"/>
  <c r="AR36" i="2"/>
  <c r="AS15" i="2"/>
  <c r="G15" i="20"/>
  <c r="AP15" i="2"/>
  <c r="AR15" i="2"/>
  <c r="AP66" i="2"/>
  <c r="AP73" i="2"/>
  <c r="AP30" i="2"/>
  <c r="AR30" i="2"/>
  <c r="AP48" i="2"/>
  <c r="AP63" i="2"/>
  <c r="AP70" i="2"/>
  <c r="AP64" i="2"/>
  <c r="AP34" i="2"/>
  <c r="AR34" i="2"/>
  <c r="AP74" i="2"/>
  <c r="AQ5" i="2"/>
  <c r="BX215" i="11"/>
  <c r="CB107" i="11"/>
  <c r="CB219" i="11"/>
  <c r="BZ218" i="11"/>
  <c r="BY37" i="11"/>
  <c r="CA219" i="11"/>
  <c r="BZ39" i="11"/>
  <c r="BX220" i="11"/>
  <c r="BW41" i="11"/>
  <c r="CA225" i="10"/>
  <c r="BZ51" i="10"/>
  <c r="CA218" i="10"/>
  <c r="BZ37" i="10"/>
  <c r="CB155" i="22"/>
  <c r="CB156" i="22"/>
  <c r="CB157" i="22"/>
  <c r="CB229" i="22"/>
  <c r="CA59" i="22"/>
  <c r="CA227" i="22"/>
  <c r="BZ55" i="22"/>
  <c r="CA220" i="22"/>
  <c r="BZ41" i="22"/>
  <c r="CA218" i="22"/>
  <c r="BY228" i="8"/>
  <c r="BX57" i="8"/>
  <c r="CA227" i="8"/>
  <c r="BZ55" i="8"/>
  <c r="CB110" i="8"/>
  <c r="CB111" i="8"/>
  <c r="CB112" i="8"/>
  <c r="CB220" i="8"/>
  <c r="CB84" i="8"/>
  <c r="CB31" i="8"/>
  <c r="CA53" i="8"/>
  <c r="CB90" i="8"/>
  <c r="CB91" i="8"/>
  <c r="CB92" i="8"/>
  <c r="CB216" i="8"/>
  <c r="CA85" i="8"/>
  <c r="CA86" i="8"/>
  <c r="CA87" i="8"/>
  <c r="CB140" i="8"/>
  <c r="CB141" i="8"/>
  <c r="CB142" i="8"/>
  <c r="CB226" i="8"/>
  <c r="CA33" i="8"/>
  <c r="CB130" i="8"/>
  <c r="CB131" i="8"/>
  <c r="CA41" i="8"/>
  <c r="CA49" i="8"/>
  <c r="CB145" i="7"/>
  <c r="CB146" i="7"/>
  <c r="CA55" i="7"/>
  <c r="CB140" i="7"/>
  <c r="CB141" i="7"/>
  <c r="CB142" i="7"/>
  <c r="CB226" i="7"/>
  <c r="CA53" i="7"/>
  <c r="CA51" i="7"/>
  <c r="CB135" i="7"/>
  <c r="CB136" i="7"/>
  <c r="CB137" i="7"/>
  <c r="CB225" i="7"/>
  <c r="BZ223" i="7"/>
  <c r="BY47" i="7"/>
  <c r="BY222" i="7"/>
  <c r="BX45" i="7"/>
  <c r="BU216" i="7"/>
  <c r="BT33" i="7"/>
  <c r="CA57" i="6"/>
  <c r="CB164" i="6"/>
  <c r="CB165" i="6"/>
  <c r="CB166" i="6"/>
  <c r="CB231" i="6"/>
  <c r="CB159" i="6"/>
  <c r="CB160" i="6"/>
  <c r="CB161" i="6"/>
  <c r="CB230" i="6"/>
  <c r="CA55" i="6"/>
  <c r="CA53" i="6"/>
  <c r="CB154" i="6"/>
  <c r="CB155" i="6"/>
  <c r="CB156" i="6"/>
  <c r="CB229" i="6"/>
  <c r="CB149" i="6"/>
  <c r="CB150" i="6"/>
  <c r="CB151" i="6"/>
  <c r="CB228" i="6"/>
  <c r="CA51" i="6"/>
  <c r="CB144" i="6"/>
  <c r="CB145" i="6"/>
  <c r="CB146" i="6"/>
  <c r="CB227" i="6"/>
  <c r="CA49" i="6"/>
  <c r="BZ225" i="6"/>
  <c r="BY45" i="6"/>
  <c r="CA230" i="9"/>
  <c r="BZ61" i="9"/>
  <c r="CB155" i="9"/>
  <c r="CB156" i="9"/>
  <c r="CB157" i="9"/>
  <c r="CB229" i="9"/>
  <c r="CA59" i="9"/>
  <c r="CA218" i="9"/>
  <c r="BZ37" i="9"/>
  <c r="BX216" i="9"/>
  <c r="BW33" i="9"/>
  <c r="CA220" i="9"/>
  <c r="BZ41" i="9"/>
  <c r="BZ241" i="1"/>
  <c r="BY69" i="1"/>
  <c r="CA63" i="1"/>
  <c r="CB167" i="1"/>
  <c r="CB168" i="1"/>
  <c r="CB169" i="1"/>
  <c r="CB238" i="1"/>
  <c r="CA55" i="1"/>
  <c r="CB147" i="1"/>
  <c r="CB148" i="1"/>
  <c r="CB149" i="1"/>
  <c r="CB234" i="1"/>
  <c r="BZ231" i="1"/>
  <c r="BY49" i="1"/>
  <c r="CA47" i="1"/>
  <c r="CB127" i="1"/>
  <c r="CB128" i="1"/>
  <c r="CB129" i="1"/>
  <c r="CB230" i="1"/>
  <c r="BZ229" i="1"/>
  <c r="BY45" i="1"/>
  <c r="CA39" i="1"/>
  <c r="CB107" i="1"/>
  <c r="CB108" i="1"/>
  <c r="CB109" i="1"/>
  <c r="CB226" i="1"/>
  <c r="BZ227" i="1"/>
  <c r="BY41" i="1"/>
  <c r="BZ225" i="1"/>
  <c r="BY37" i="1"/>
  <c r="AC71" i="26"/>
  <c r="AC16" i="26"/>
  <c r="AC38" i="26"/>
  <c r="AC14" i="26"/>
  <c r="AC77" i="26"/>
  <c r="AC35" i="26"/>
  <c r="AC6" i="26"/>
  <c r="AC33" i="26"/>
  <c r="AC37" i="26"/>
  <c r="AC87" i="26"/>
  <c r="AC51" i="26"/>
  <c r="AC66" i="26"/>
  <c r="AC10" i="26"/>
  <c r="AC32" i="26"/>
  <c r="AC70" i="26"/>
  <c r="AC42" i="26"/>
  <c r="AC98" i="26"/>
  <c r="AC88" i="26"/>
  <c r="AC11" i="26"/>
  <c r="AC75" i="26"/>
  <c r="AC94" i="26"/>
  <c r="AC15" i="26"/>
  <c r="AC83" i="26"/>
  <c r="AC41" i="26"/>
  <c r="AC19" i="26"/>
  <c r="AC72" i="26"/>
  <c r="AC86" i="26"/>
  <c r="AC5" i="26"/>
  <c r="AC89" i="26"/>
  <c r="AC34" i="26"/>
  <c r="AC25" i="26"/>
  <c r="AC95" i="26"/>
  <c r="AC92" i="26"/>
  <c r="AC55" i="26"/>
  <c r="AC29" i="26"/>
  <c r="AC45" i="26"/>
  <c r="AC84" i="26"/>
  <c r="AC58" i="26"/>
  <c r="AC61" i="26"/>
  <c r="AC46" i="26"/>
  <c r="AC68" i="26"/>
  <c r="AC76" i="26"/>
  <c r="AC69" i="26"/>
  <c r="AC12" i="26"/>
  <c r="AC43" i="26"/>
  <c r="AC82" i="26"/>
  <c r="AC17" i="26"/>
  <c r="AC28" i="26"/>
  <c r="AC24" i="26"/>
  <c r="AC49" i="26"/>
  <c r="AC80" i="26"/>
  <c r="AC22" i="26"/>
  <c r="AC21" i="26"/>
  <c r="AC20" i="26"/>
  <c r="AC27" i="26"/>
  <c r="AC74" i="26"/>
  <c r="AC48" i="26"/>
  <c r="AC85" i="26"/>
  <c r="AC96" i="26"/>
  <c r="AC23" i="26"/>
  <c r="AC79" i="26"/>
  <c r="AC97" i="26"/>
  <c r="AC64" i="26"/>
  <c r="AC91" i="26"/>
  <c r="AC26" i="26"/>
  <c r="AC31" i="26"/>
  <c r="AC9" i="26"/>
  <c r="AC65" i="26"/>
  <c r="AC102" i="26"/>
  <c r="AC104" i="26"/>
  <c r="AC99" i="26"/>
  <c r="AC93" i="26"/>
  <c r="AC13" i="26"/>
  <c r="AC101" i="26"/>
  <c r="AC59" i="26"/>
  <c r="AC56" i="26"/>
  <c r="AC44" i="26"/>
  <c r="AC7" i="26"/>
  <c r="AC63" i="26"/>
  <c r="AC57" i="26"/>
  <c r="AC100" i="26"/>
  <c r="AC39" i="26"/>
  <c r="AC67" i="26"/>
  <c r="AC40" i="26"/>
  <c r="AC30" i="26"/>
  <c r="AC90" i="26"/>
  <c r="AC81" i="26"/>
  <c r="AC52" i="26"/>
  <c r="AC60" i="26"/>
  <c r="AC36" i="26"/>
  <c r="AC73" i="26"/>
  <c r="AC78" i="26"/>
  <c r="AC62" i="26"/>
  <c r="AC18" i="26"/>
  <c r="AC103" i="26"/>
  <c r="AC8" i="26"/>
  <c r="AC50" i="26"/>
  <c r="AC53" i="26"/>
  <c r="AC47" i="26"/>
  <c r="AC54" i="26"/>
  <c r="AJ24" i="2"/>
  <c r="F24" i="20"/>
  <c r="BZ49" i="7"/>
  <c r="CA224" i="7"/>
  <c r="AR237" i="9"/>
  <c r="AQ75" i="9"/>
  <c r="BW84" i="2"/>
  <c r="BX205" i="2"/>
  <c r="AK17" i="26"/>
  <c r="S34" i="37"/>
  <c r="H81" i="38"/>
  <c r="H16" i="38"/>
  <c r="Z16" i="38"/>
  <c r="AI49" i="38"/>
  <c r="Z18" i="20"/>
  <c r="AA18" i="20"/>
  <c r="BK19" i="2"/>
  <c r="I19" i="20"/>
  <c r="Z19" i="20"/>
  <c r="AA19" i="20"/>
  <c r="L18" i="20"/>
  <c r="AP82" i="2"/>
  <c r="CL20" i="2"/>
  <c r="L19" i="20"/>
  <c r="BJ77" i="2"/>
  <c r="CK77" i="2"/>
  <c r="BG82" i="2"/>
  <c r="CF82" i="2"/>
  <c r="BH81" i="2"/>
  <c r="CI81" i="2"/>
  <c r="CH81" i="2"/>
  <c r="R49" i="41"/>
  <c r="S50" i="41"/>
  <c r="AP33" i="26"/>
  <c r="S51" i="41"/>
  <c r="AP34" i="26"/>
  <c r="CB177" i="7"/>
  <c r="CB233" i="7"/>
  <c r="CB162" i="10"/>
  <c r="CB230" i="10"/>
  <c r="CB202" i="11"/>
  <c r="CB238" i="11"/>
  <c r="CB187" i="8"/>
  <c r="CB235" i="8"/>
  <c r="CB207" i="8"/>
  <c r="CB239" i="8"/>
  <c r="BA99" i="40"/>
  <c r="BB326" i="40"/>
  <c r="BG93" i="40"/>
  <c r="BH323" i="40"/>
  <c r="BB105" i="40"/>
  <c r="BC329" i="40"/>
  <c r="BC97" i="40"/>
  <c r="BD325" i="40"/>
  <c r="BG103" i="40"/>
  <c r="BH328" i="40"/>
  <c r="BG101" i="40"/>
  <c r="BH327" i="40"/>
  <c r="BC107" i="40"/>
  <c r="BD330" i="40"/>
  <c r="BG111" i="40"/>
  <c r="BH332" i="40"/>
  <c r="BG109" i="40"/>
  <c r="BH331" i="40"/>
  <c r="BH95" i="40"/>
  <c r="BI324" i="40"/>
  <c r="BH91" i="40"/>
  <c r="BI313" i="40"/>
  <c r="BH73" i="40"/>
  <c r="BK304" i="40"/>
  <c r="BJ55" i="40"/>
  <c r="BI309" i="40"/>
  <c r="BH65" i="40"/>
  <c r="BJ302" i="40"/>
  <c r="BI51" i="40"/>
  <c r="BJ315" i="40"/>
  <c r="BI77" i="40"/>
  <c r="BJ307" i="40"/>
  <c r="BI61" i="40"/>
  <c r="BK320" i="40"/>
  <c r="BJ87" i="40"/>
  <c r="BK306" i="40"/>
  <c r="BJ59" i="40"/>
  <c r="BK305" i="40"/>
  <c r="BJ57" i="40"/>
  <c r="BK316" i="40"/>
  <c r="BJ79" i="40"/>
  <c r="BJ310" i="40"/>
  <c r="BI67" i="40"/>
  <c r="BK303" i="40"/>
  <c r="BJ53" i="40"/>
  <c r="BK314" i="40"/>
  <c r="BJ75" i="40"/>
  <c r="BK301" i="40"/>
  <c r="BJ49" i="40"/>
  <c r="BJ321" i="40"/>
  <c r="BI89" i="40"/>
  <c r="BK299" i="40"/>
  <c r="BJ45" i="40"/>
  <c r="BK298" i="40"/>
  <c r="BJ43" i="40"/>
  <c r="BJ317" i="40"/>
  <c r="BI81" i="40"/>
  <c r="BJ297" i="40"/>
  <c r="BI41" i="40"/>
  <c r="BI311" i="40"/>
  <c r="BH69" i="40"/>
  <c r="BK318" i="40"/>
  <c r="BJ83" i="40"/>
  <c r="BK308" i="40"/>
  <c r="BJ63" i="40"/>
  <c r="BK322" i="40"/>
  <c r="BK312" i="40"/>
  <c r="BJ71" i="40"/>
  <c r="BJ319" i="40"/>
  <c r="BI85" i="40"/>
  <c r="BK300" i="40"/>
  <c r="BJ47" i="40"/>
  <c r="M61" i="11"/>
  <c r="N230" i="11"/>
  <c r="BQ79" i="7"/>
  <c r="BR239" i="7"/>
  <c r="BY67" i="7"/>
  <c r="BZ233" i="7"/>
  <c r="BP71" i="22"/>
  <c r="BQ235" i="22"/>
  <c r="BX63" i="9"/>
  <c r="BY231" i="9"/>
  <c r="BN79" i="22"/>
  <c r="BO239" i="22"/>
  <c r="BY230" i="10"/>
  <c r="BX61" i="10"/>
  <c r="BU239" i="11"/>
  <c r="BT79" i="11"/>
  <c r="BO232" i="9"/>
  <c r="BN65" i="9"/>
  <c r="BP63" i="22"/>
  <c r="BQ231" i="22"/>
  <c r="BL63" i="10"/>
  <c r="BM231" i="10"/>
  <c r="CA228" i="22"/>
  <c r="BZ57" i="22"/>
  <c r="BW51" i="11"/>
  <c r="BX225" i="11"/>
  <c r="BX69" i="10"/>
  <c r="BY234" i="10"/>
  <c r="AX233" i="9"/>
  <c r="AW67" i="9"/>
  <c r="BO79" i="9"/>
  <c r="BP239" i="9"/>
  <c r="CB137" i="11"/>
  <c r="CB225" i="11"/>
  <c r="CB202" i="22"/>
  <c r="CB238" i="22"/>
  <c r="BP63" i="8"/>
  <c r="BQ231" i="8"/>
  <c r="G55" i="11"/>
  <c r="H227" i="11"/>
  <c r="BK59" i="8"/>
  <c r="BL229" i="8"/>
  <c r="CV147" i="10"/>
  <c r="BY239" i="8"/>
  <c r="BX79" i="8"/>
  <c r="BI71" i="10"/>
  <c r="BJ235" i="10"/>
  <c r="BN73" i="22"/>
  <c r="BO236" i="22"/>
  <c r="AW65" i="10"/>
  <c r="AX232" i="10"/>
  <c r="J81" i="8"/>
  <c r="K240" i="8"/>
  <c r="BH75" i="11"/>
  <c r="BI237" i="11"/>
  <c r="CX144" i="10"/>
  <c r="CY54" i="10"/>
  <c r="BX238" i="7"/>
  <c r="BW77" i="7"/>
  <c r="BS61" i="7"/>
  <c r="BT230" i="7"/>
  <c r="AW229" i="10"/>
  <c r="AV59" i="10"/>
  <c r="BT223" i="11"/>
  <c r="BS47" i="11"/>
  <c r="BY235" i="8"/>
  <c r="BX71" i="8"/>
  <c r="BZ226" i="6"/>
  <c r="BY47" i="6"/>
  <c r="BA67" i="22"/>
  <c r="BB233" i="22"/>
  <c r="BY238" i="22"/>
  <c r="BX77" i="22"/>
  <c r="BX238" i="11"/>
  <c r="BW77" i="11"/>
  <c r="BX238" i="10"/>
  <c r="BW77" i="10"/>
  <c r="CB182" i="10"/>
  <c r="CB234" i="10"/>
  <c r="CW145" i="10"/>
  <c r="CW146" i="10"/>
  <c r="BN67" i="10"/>
  <c r="BO233" i="10"/>
  <c r="BV229" i="7"/>
  <c r="BU59" i="7"/>
  <c r="AW81" i="10"/>
  <c r="AX240" i="10"/>
  <c r="CB167" i="9"/>
  <c r="CB231" i="9"/>
  <c r="CB202" i="10"/>
  <c r="CB238" i="10"/>
  <c r="BW228" i="11"/>
  <c r="BV57" i="11"/>
  <c r="R34" i="2"/>
  <c r="D34" i="20"/>
  <c r="N22" i="39"/>
  <c r="P32" i="20"/>
  <c r="Q32" i="20"/>
  <c r="C30" i="38"/>
  <c r="U29" i="38"/>
  <c r="AD62" i="38"/>
  <c r="C95" i="38"/>
  <c r="Q52" i="30"/>
  <c r="R52" i="30"/>
  <c r="B34" i="26"/>
  <c r="BZ31" i="10"/>
  <c r="CA215" i="10"/>
  <c r="BZ217" i="10"/>
  <c r="BY35" i="10"/>
  <c r="BZ223" i="10"/>
  <c r="BY47" i="10"/>
  <c r="BZ216" i="10"/>
  <c r="BY33" i="10"/>
  <c r="BZ221" i="10"/>
  <c r="BY43" i="10"/>
  <c r="BX45" i="10"/>
  <c r="BY222" i="10"/>
  <c r="BZ219" i="10"/>
  <c r="BY39" i="10"/>
  <c r="BZ220" i="10"/>
  <c r="BY41" i="10"/>
  <c r="BZ224" i="10"/>
  <c r="BY49" i="10"/>
  <c r="BZ53" i="10"/>
  <c r="CA226" i="10"/>
  <c r="CA225" i="22"/>
  <c r="BZ51" i="22"/>
  <c r="BY43" i="22"/>
  <c r="BZ221" i="22"/>
  <c r="BY223" i="22"/>
  <c r="BX47" i="22"/>
  <c r="BZ226" i="22"/>
  <c r="BY53" i="22"/>
  <c r="BZ225" i="8"/>
  <c r="BY51" i="8"/>
  <c r="BZ47" i="8"/>
  <c r="CA223" i="8"/>
  <c r="CB192" i="9"/>
  <c r="CB236" i="9"/>
  <c r="AX65" i="22"/>
  <c r="AY232" i="22"/>
  <c r="BA75" i="7"/>
  <c r="BB237" i="7"/>
  <c r="BC81" i="11"/>
  <c r="BD240" i="11"/>
  <c r="AP73" i="10"/>
  <c r="AQ236" i="10"/>
  <c r="J65" i="11"/>
  <c r="K232" i="11"/>
  <c r="BB67" i="8"/>
  <c r="BC233" i="8"/>
  <c r="AZ75" i="8"/>
  <c r="BA237" i="8"/>
  <c r="U205" i="2"/>
  <c r="AD205" i="2"/>
  <c r="BN205" i="2"/>
  <c r="BE205" i="2"/>
  <c r="L205" i="2"/>
  <c r="AM205" i="2"/>
  <c r="AV205" i="2"/>
  <c r="C205" i="2"/>
  <c r="AX79" i="10"/>
  <c r="AY239" i="10"/>
  <c r="BN83" i="2"/>
  <c r="BO204" i="2"/>
  <c r="BE83" i="2"/>
  <c r="BF204" i="2"/>
  <c r="BV77" i="9"/>
  <c r="BW238" i="9"/>
  <c r="AM31" i="22"/>
  <c r="AN215" i="22"/>
  <c r="BQ73" i="8"/>
  <c r="BR236" i="8"/>
  <c r="BD69" i="8"/>
  <c r="BE234" i="8"/>
  <c r="BE77" i="8"/>
  <c r="BF238" i="8"/>
  <c r="AT69" i="7"/>
  <c r="AU234" i="7"/>
  <c r="BG61" i="8"/>
  <c r="BH230" i="8"/>
  <c r="AZ75" i="10"/>
  <c r="BA237" i="10"/>
  <c r="AJ65" i="7"/>
  <c r="AK232" i="7"/>
  <c r="BV73" i="9"/>
  <c r="BW236" i="9"/>
  <c r="AZ75" i="22"/>
  <c r="BA237" i="22"/>
  <c r="AD83" i="2"/>
  <c r="AF83" i="2"/>
  <c r="AG83" i="2"/>
  <c r="AE204" i="2"/>
  <c r="C83" i="2"/>
  <c r="D204" i="2"/>
  <c r="BE73" i="11"/>
  <c r="BF236" i="11"/>
  <c r="AW57" i="10"/>
  <c r="AX228" i="10"/>
  <c r="BB69" i="22"/>
  <c r="BC234" i="22"/>
  <c r="AZ81" i="22"/>
  <c r="BA240" i="22"/>
  <c r="BC67" i="11"/>
  <c r="BD233" i="11"/>
  <c r="AY69" i="9"/>
  <c r="AZ234" i="9"/>
  <c r="CA216" i="22"/>
  <c r="BZ33" i="22"/>
  <c r="V204" i="2"/>
  <c r="U83" i="2"/>
  <c r="W83" i="2"/>
  <c r="X83" i="2"/>
  <c r="L83" i="2"/>
  <c r="N83" i="2"/>
  <c r="O83" i="2"/>
  <c r="M204" i="2"/>
  <c r="BC61" i="22"/>
  <c r="BD230" i="22"/>
  <c r="N63" i="11"/>
  <c r="O231" i="11"/>
  <c r="O69" i="11"/>
  <c r="P234" i="11"/>
  <c r="AV81" i="9"/>
  <c r="AW240" i="9"/>
  <c r="AQ53" i="11"/>
  <c r="AR226" i="11"/>
  <c r="AU49" i="11"/>
  <c r="AV224" i="11"/>
  <c r="AW71" i="9"/>
  <c r="AX235" i="9"/>
  <c r="AX81" i="7"/>
  <c r="AY240" i="7"/>
  <c r="CB202" i="9"/>
  <c r="CB238" i="9"/>
  <c r="A86" i="2"/>
  <c r="A206" i="2"/>
  <c r="BW206" i="2"/>
  <c r="BB71" i="7"/>
  <c r="BC235" i="7"/>
  <c r="AV83" i="2"/>
  <c r="AW204" i="2"/>
  <c r="AM83" i="2"/>
  <c r="AO83" i="2"/>
  <c r="AP83" i="2"/>
  <c r="AN204" i="2"/>
  <c r="B22" i="26"/>
  <c r="R39" i="30"/>
  <c r="S40" i="30"/>
  <c r="BV217" i="8"/>
  <c r="BU35" i="8"/>
  <c r="BZ222" i="8"/>
  <c r="BY45" i="8"/>
  <c r="BY221" i="8"/>
  <c r="BX43" i="8"/>
  <c r="BO63" i="7"/>
  <c r="BP231" i="7"/>
  <c r="BZ216" i="11"/>
  <c r="BY33" i="11"/>
  <c r="BY31" i="9"/>
  <c r="BZ215" i="9"/>
  <c r="BZ53" i="9"/>
  <c r="CA226" i="9"/>
  <c r="BY222" i="1"/>
  <c r="BX31" i="1"/>
  <c r="CA236" i="1"/>
  <c r="BZ59" i="1"/>
  <c r="BX33" i="1"/>
  <c r="BY223" i="1"/>
  <c r="CA239" i="1"/>
  <c r="BZ65" i="1"/>
  <c r="CA224" i="1"/>
  <c r="BZ35" i="1"/>
  <c r="BZ233" i="1"/>
  <c r="BY53" i="1"/>
  <c r="BZ232" i="1"/>
  <c r="BY51" i="1"/>
  <c r="E86" i="38"/>
  <c r="W20" i="38"/>
  <c r="AF53" i="38"/>
  <c r="E21" i="38"/>
  <c r="T23" i="20"/>
  <c r="U23" i="20"/>
  <c r="P13" i="39"/>
  <c r="F13" i="39"/>
  <c r="AW80" i="2"/>
  <c r="AX80" i="2"/>
  <c r="AW101" i="2"/>
  <c r="AW22" i="2"/>
  <c r="AX22" i="2"/>
  <c r="AW86" i="2"/>
  <c r="AW64" i="2"/>
  <c r="AX64" i="2"/>
  <c r="AW23" i="2"/>
  <c r="AX23" i="2"/>
  <c r="AW57" i="2"/>
  <c r="AX57" i="2"/>
  <c r="AW90" i="2"/>
  <c r="AW68" i="2"/>
  <c r="AX68" i="2"/>
  <c r="AW73" i="2"/>
  <c r="AX73" i="2"/>
  <c r="AW53" i="2"/>
  <c r="AX53" i="2"/>
  <c r="AW35" i="2"/>
  <c r="AX35" i="2"/>
  <c r="AW79" i="2"/>
  <c r="AX79" i="2"/>
  <c r="AW104" i="2"/>
  <c r="AW97" i="2"/>
  <c r="AW78" i="2"/>
  <c r="AX78" i="2"/>
  <c r="AW42" i="2"/>
  <c r="AX42" i="2"/>
  <c r="AW99" i="2"/>
  <c r="AW84" i="2"/>
  <c r="AW30" i="2"/>
  <c r="AX30" i="2"/>
  <c r="AW51" i="2"/>
  <c r="AX51" i="2"/>
  <c r="AW49" i="2"/>
  <c r="AX49" i="2"/>
  <c r="AW110" i="2"/>
  <c r="AW95" i="2"/>
  <c r="AW44" i="2"/>
  <c r="AX44" i="2"/>
  <c r="AW76" i="2"/>
  <c r="AX76" i="2"/>
  <c r="AW58" i="2"/>
  <c r="AX58" i="2"/>
  <c r="AW82" i="2"/>
  <c r="AX82" i="2"/>
  <c r="AW19" i="2"/>
  <c r="AX19" i="2"/>
  <c r="AW91" i="2"/>
  <c r="AW62" i="2"/>
  <c r="AX62" i="2"/>
  <c r="AW47" i="2"/>
  <c r="AX47" i="2"/>
  <c r="AW33" i="2"/>
  <c r="AX33" i="2"/>
  <c r="AW59" i="2"/>
  <c r="AX59" i="2"/>
  <c r="AW25" i="2"/>
  <c r="AX25" i="2"/>
  <c r="AW72" i="2"/>
  <c r="AX72" i="2"/>
  <c r="AW69" i="2"/>
  <c r="AX69" i="2"/>
  <c r="AW54" i="2"/>
  <c r="AX54" i="2"/>
  <c r="AW24" i="2"/>
  <c r="AX24" i="2"/>
  <c r="AW71" i="2"/>
  <c r="AX71" i="2"/>
  <c r="AW56" i="2"/>
  <c r="AX56" i="2"/>
  <c r="AW34" i="2"/>
  <c r="AX34" i="2"/>
  <c r="AW85" i="2"/>
  <c r="AW113" i="2"/>
  <c r="AW60" i="2"/>
  <c r="AX60" i="2"/>
  <c r="AW45" i="2"/>
  <c r="AX45" i="2"/>
  <c r="AW21" i="2"/>
  <c r="AX21" i="2"/>
  <c r="AW55" i="2"/>
  <c r="AX55" i="2"/>
  <c r="AW98" i="2"/>
  <c r="AW43" i="2"/>
  <c r="AX43" i="2"/>
  <c r="AW89" i="2"/>
  <c r="AW67" i="2"/>
  <c r="AX67" i="2"/>
  <c r="AW31" i="2"/>
  <c r="AX31" i="2"/>
  <c r="AW52" i="2"/>
  <c r="AX52" i="2"/>
  <c r="AW75" i="2"/>
  <c r="AX75" i="2"/>
  <c r="AW26" i="2"/>
  <c r="AX26" i="2"/>
  <c r="AW108" i="2"/>
  <c r="AW32" i="2"/>
  <c r="AX32" i="2"/>
  <c r="AW81" i="2"/>
  <c r="AX81" i="2"/>
  <c r="AW102" i="2"/>
  <c r="AW39" i="2"/>
  <c r="AX39" i="2"/>
  <c r="AW93" i="2"/>
  <c r="AW87" i="2"/>
  <c r="AW37" i="2"/>
  <c r="AX37" i="2"/>
  <c r="AW63" i="2"/>
  <c r="AX63" i="2"/>
  <c r="AW48" i="2"/>
  <c r="AX48" i="2"/>
  <c r="AW65" i="2"/>
  <c r="AX65" i="2"/>
  <c r="AW15" i="2"/>
  <c r="AX15" i="2"/>
  <c r="AW50" i="2"/>
  <c r="AX50" i="2"/>
  <c r="AW111" i="2"/>
  <c r="AW17" i="2"/>
  <c r="AX17" i="2"/>
  <c r="AW114" i="2"/>
  <c r="AW66" i="2"/>
  <c r="AX66" i="2"/>
  <c r="AW61" i="2"/>
  <c r="AX61" i="2"/>
  <c r="AW46" i="2"/>
  <c r="AX46" i="2"/>
  <c r="AW36" i="2"/>
  <c r="AX36" i="2"/>
  <c r="AW107" i="2"/>
  <c r="AW92" i="2"/>
  <c r="AW40" i="2"/>
  <c r="AX40" i="2"/>
  <c r="AW106" i="2"/>
  <c r="AW20" i="2"/>
  <c r="AX20" i="2"/>
  <c r="AW96" i="2"/>
  <c r="AW77" i="2"/>
  <c r="AX77" i="2"/>
  <c r="AW16" i="2"/>
  <c r="AX16" i="2"/>
  <c r="AY16" i="2"/>
  <c r="BA16" i="2"/>
  <c r="AW83" i="2"/>
  <c r="AW38" i="2"/>
  <c r="AX38" i="2"/>
  <c r="AW112" i="2"/>
  <c r="AW103" i="2"/>
  <c r="AW28" i="2"/>
  <c r="AX28" i="2"/>
  <c r="AW88" i="2"/>
  <c r="AW105" i="2"/>
  <c r="AW41" i="2"/>
  <c r="AX41" i="2"/>
  <c r="AW100" i="2"/>
  <c r="AW74" i="2"/>
  <c r="AX74" i="2"/>
  <c r="AW109" i="2"/>
  <c r="AW94" i="2"/>
  <c r="AW29" i="2"/>
  <c r="AX29" i="2"/>
  <c r="AW70" i="2"/>
  <c r="AX70" i="2"/>
  <c r="AW18" i="2"/>
  <c r="AX18" i="2"/>
  <c r="AW27" i="2"/>
  <c r="AX27" i="2"/>
  <c r="AY27" i="2"/>
  <c r="BA27" i="2"/>
  <c r="BY222" i="22"/>
  <c r="BX45" i="22"/>
  <c r="BY27" i="6"/>
  <c r="BZ216" i="6"/>
  <c r="BY23" i="6"/>
  <c r="BZ214" i="6"/>
  <c r="BY41" i="6"/>
  <c r="BZ223" i="6"/>
  <c r="BY37" i="6"/>
  <c r="BZ221" i="6"/>
  <c r="BY33" i="6"/>
  <c r="BZ219" i="6"/>
  <c r="BY218" i="6"/>
  <c r="BX31" i="6"/>
  <c r="BX43" i="6"/>
  <c r="BY224" i="6"/>
  <c r="BY35" i="6"/>
  <c r="BZ220" i="6"/>
  <c r="BY25" i="6"/>
  <c r="BZ215" i="6"/>
  <c r="BZ217" i="6"/>
  <c r="CA228" i="1"/>
  <c r="BZ43" i="1"/>
  <c r="BW247" i="1"/>
  <c r="BV81" i="1"/>
  <c r="BU83" i="1"/>
  <c r="BV248" i="1"/>
  <c r="CB147" i="7"/>
  <c r="CB227" i="7"/>
  <c r="CB132" i="8"/>
  <c r="CB224" i="8"/>
  <c r="CB189" i="1"/>
  <c r="CB242" i="1"/>
  <c r="CB209" i="1"/>
  <c r="CB246" i="1"/>
  <c r="BY218" i="8"/>
  <c r="BX37" i="8"/>
  <c r="BU39" i="8"/>
  <c r="BV219" i="8"/>
  <c r="S41" i="30"/>
  <c r="B23" i="26"/>
  <c r="BV45" i="11"/>
  <c r="BW222" i="11"/>
  <c r="D86" i="38"/>
  <c r="V20" i="38"/>
  <c r="AE53" i="38"/>
  <c r="AA25" i="2"/>
  <c r="E25" i="20"/>
  <c r="R23" i="20"/>
  <c r="S23" i="20"/>
  <c r="D21" i="38"/>
  <c r="O13" i="39"/>
  <c r="E13" i="39"/>
  <c r="BZ224" i="22"/>
  <c r="BY49" i="22"/>
  <c r="BZ217" i="22"/>
  <c r="BY35" i="22"/>
  <c r="BY219" i="22"/>
  <c r="BX39" i="22"/>
  <c r="BX31" i="7"/>
  <c r="BY215" i="7"/>
  <c r="BY219" i="7"/>
  <c r="BX39" i="7"/>
  <c r="BV41" i="7"/>
  <c r="BW220" i="7"/>
  <c r="BY43" i="7"/>
  <c r="BZ221" i="7"/>
  <c r="BZ217" i="7"/>
  <c r="BY35" i="7"/>
  <c r="BY218" i="7"/>
  <c r="BX37" i="7"/>
  <c r="BW222" i="6"/>
  <c r="BV39" i="6"/>
  <c r="CA43" i="9"/>
  <c r="CB221" i="9"/>
  <c r="BW219" i="9"/>
  <c r="BV39" i="9"/>
  <c r="BV227" i="9"/>
  <c r="BU55" i="9"/>
  <c r="BZ217" i="9"/>
  <c r="BY35" i="9"/>
  <c r="CA223" i="9"/>
  <c r="BZ47" i="9"/>
  <c r="BY225" i="9"/>
  <c r="BX51" i="9"/>
  <c r="BZ222" i="9"/>
  <c r="BY45" i="9"/>
  <c r="BW57" i="9"/>
  <c r="BX228" i="9"/>
  <c r="BZ224" i="9"/>
  <c r="BY49" i="9"/>
  <c r="BZ242" i="1"/>
  <c r="BY71" i="1"/>
  <c r="BZ244" i="1"/>
  <c r="BY75" i="1"/>
  <c r="BX243" i="1"/>
  <c r="BW73" i="1"/>
  <c r="BT235" i="1"/>
  <c r="BS57" i="1"/>
  <c r="CA246" i="1"/>
  <c r="BZ79" i="1"/>
  <c r="BY237" i="1"/>
  <c r="BX61" i="1"/>
  <c r="BX245" i="1"/>
  <c r="BW77" i="1"/>
  <c r="BY240" i="1"/>
  <c r="BX67" i="1"/>
  <c r="BU221" i="11"/>
  <c r="BT43" i="11"/>
  <c r="AQ48" i="2"/>
  <c r="AR48" i="2"/>
  <c r="AQ49" i="2"/>
  <c r="AR49" i="2"/>
  <c r="AQ50" i="2"/>
  <c r="AR50" i="2"/>
  <c r="AQ44" i="2"/>
  <c r="AR44" i="2"/>
  <c r="AQ45" i="2"/>
  <c r="AR45" i="2"/>
  <c r="AQ46" i="2"/>
  <c r="AR46" i="2"/>
  <c r="AQ55" i="2"/>
  <c r="AR55" i="2"/>
  <c r="AQ57" i="2"/>
  <c r="AR57" i="2"/>
  <c r="AQ54" i="2"/>
  <c r="AR54" i="2"/>
  <c r="AQ58" i="2"/>
  <c r="AR58" i="2"/>
  <c r="AQ53" i="2"/>
  <c r="AR53" i="2"/>
  <c r="AQ62" i="2"/>
  <c r="AR62" i="2"/>
  <c r="AQ71" i="2"/>
  <c r="AR71" i="2"/>
  <c r="AQ63" i="2"/>
  <c r="AR63" i="2"/>
  <c r="AQ64" i="2"/>
  <c r="AR64" i="2"/>
  <c r="AQ65" i="2"/>
  <c r="AR65" i="2"/>
  <c r="AQ66" i="2"/>
  <c r="AR66" i="2"/>
  <c r="AQ60" i="2"/>
  <c r="AR60" i="2"/>
  <c r="AQ61" i="2"/>
  <c r="AR61" i="2"/>
  <c r="AQ70" i="2"/>
  <c r="AR70" i="2"/>
  <c r="AQ74" i="2"/>
  <c r="AR74" i="2"/>
  <c r="AR75" i="2"/>
  <c r="AR76" i="2"/>
  <c r="AR77" i="2"/>
  <c r="AR78" i="2"/>
  <c r="AR79" i="2"/>
  <c r="AR80" i="2"/>
  <c r="AR81" i="2"/>
  <c r="AR82" i="2"/>
  <c r="AR83" i="2"/>
  <c r="AR84" i="2"/>
  <c r="AR85" i="2"/>
  <c r="AR86" i="2"/>
  <c r="AR87" i="2"/>
  <c r="AR88" i="2"/>
  <c r="AR89" i="2"/>
  <c r="AR90" i="2"/>
  <c r="AR91" i="2"/>
  <c r="AR92" i="2"/>
  <c r="AR93" i="2"/>
  <c r="AR94" i="2"/>
  <c r="AR95" i="2"/>
  <c r="AR96" i="2"/>
  <c r="AR97" i="2"/>
  <c r="AR98" i="2"/>
  <c r="AR99" i="2"/>
  <c r="AR100" i="2"/>
  <c r="AR101" i="2"/>
  <c r="AR102" i="2"/>
  <c r="AR103" i="2"/>
  <c r="AR104" i="2"/>
  <c r="AR105" i="2"/>
  <c r="AR106" i="2"/>
  <c r="AR107" i="2"/>
  <c r="AR108" i="2"/>
  <c r="AR109" i="2"/>
  <c r="AR110" i="2"/>
  <c r="AR111" i="2"/>
  <c r="AR112" i="2"/>
  <c r="AR113" i="2"/>
  <c r="AR114" i="2"/>
  <c r="AQ52" i="2"/>
  <c r="AR52" i="2"/>
  <c r="AQ59" i="2"/>
  <c r="AR59" i="2"/>
  <c r="AQ72" i="2"/>
  <c r="AR72" i="2"/>
  <c r="AQ73" i="2"/>
  <c r="AR73" i="2"/>
  <c r="AQ51" i="2"/>
  <c r="AR51" i="2"/>
  <c r="AQ68" i="2"/>
  <c r="AR68" i="2"/>
  <c r="AQ69" i="2"/>
  <c r="AR69" i="2"/>
  <c r="AQ47" i="2"/>
  <c r="AR47" i="2"/>
  <c r="AQ67" i="2"/>
  <c r="AR67" i="2"/>
  <c r="AQ56" i="2"/>
  <c r="AR56" i="2"/>
  <c r="Q5" i="39"/>
  <c r="G5" i="39"/>
  <c r="V15" i="20"/>
  <c r="W15" i="20"/>
  <c r="F13" i="38"/>
  <c r="AS16" i="2"/>
  <c r="G16" i="20"/>
  <c r="BZ219" i="11"/>
  <c r="BY39" i="11"/>
  <c r="BY218" i="11"/>
  <c r="BX37" i="11"/>
  <c r="BW215" i="11"/>
  <c r="BW220" i="11"/>
  <c r="BV41" i="11"/>
  <c r="BZ225" i="10"/>
  <c r="BY51" i="10"/>
  <c r="BZ218" i="10"/>
  <c r="BY37" i="10"/>
  <c r="CA229" i="22"/>
  <c r="BZ59" i="22"/>
  <c r="BZ218" i="22"/>
  <c r="BZ220" i="22"/>
  <c r="BY41" i="22"/>
  <c r="BZ227" i="22"/>
  <c r="BY55" i="22"/>
  <c r="BX228" i="8"/>
  <c r="BW57" i="8"/>
  <c r="BZ227" i="8"/>
  <c r="BY55" i="8"/>
  <c r="CA220" i="8"/>
  <c r="BZ41" i="8"/>
  <c r="CA216" i="8"/>
  <c r="BZ33" i="8"/>
  <c r="CA226" i="8"/>
  <c r="BZ53" i="8"/>
  <c r="CA31" i="8"/>
  <c r="CB85" i="8"/>
  <c r="CB86" i="8"/>
  <c r="CB87" i="8"/>
  <c r="CB215" i="8"/>
  <c r="CA224" i="8"/>
  <c r="BZ49" i="8"/>
  <c r="CA227" i="7"/>
  <c r="BZ55" i="7"/>
  <c r="CA226" i="7"/>
  <c r="BZ53" i="7"/>
  <c r="CA225" i="7"/>
  <c r="BZ51" i="7"/>
  <c r="BT216" i="7"/>
  <c r="BS33" i="7"/>
  <c r="BY223" i="7"/>
  <c r="BX47" i="7"/>
  <c r="BX222" i="7"/>
  <c r="BW45" i="7"/>
  <c r="CA231" i="6"/>
  <c r="BZ57" i="6"/>
  <c r="CA230" i="6"/>
  <c r="BZ55" i="6"/>
  <c r="CA229" i="6"/>
  <c r="BZ53" i="6"/>
  <c r="CA228" i="6"/>
  <c r="BZ51" i="6"/>
  <c r="CA227" i="6"/>
  <c r="BZ49" i="6"/>
  <c r="BY225" i="6"/>
  <c r="BX45" i="6"/>
  <c r="BZ230" i="9"/>
  <c r="BY61" i="9"/>
  <c r="CA229" i="9"/>
  <c r="BZ59" i="9"/>
  <c r="BZ220" i="9"/>
  <c r="BY41" i="9"/>
  <c r="BW216" i="9"/>
  <c r="BV33" i="9"/>
  <c r="BZ218" i="9"/>
  <c r="BY37" i="9"/>
  <c r="BY241" i="1"/>
  <c r="BX69" i="1"/>
  <c r="CA238" i="1"/>
  <c r="BZ63" i="1"/>
  <c r="BY231" i="1"/>
  <c r="BX49" i="1"/>
  <c r="CA230" i="1"/>
  <c r="BZ47" i="1"/>
  <c r="CA234" i="1"/>
  <c r="BZ55" i="1"/>
  <c r="BY229" i="1"/>
  <c r="BX45" i="1"/>
  <c r="CA226" i="1"/>
  <c r="BZ39" i="1"/>
  <c r="BY225" i="1"/>
  <c r="BX37" i="1"/>
  <c r="BY227" i="1"/>
  <c r="BX41" i="1"/>
  <c r="AM78" i="26"/>
  <c r="AM25" i="26"/>
  <c r="AM79" i="26"/>
  <c r="AM57" i="26"/>
  <c r="AM76" i="26"/>
  <c r="AM40" i="26"/>
  <c r="AM88" i="26"/>
  <c r="AM10" i="26"/>
  <c r="AM18" i="26"/>
  <c r="AM24" i="26"/>
  <c r="AM80" i="26"/>
  <c r="AM13" i="26"/>
  <c r="AM75" i="26"/>
  <c r="AM49" i="26"/>
  <c r="AM42" i="26"/>
  <c r="AM96" i="26"/>
  <c r="AM104" i="26"/>
  <c r="AM37" i="26"/>
  <c r="AM101" i="26"/>
  <c r="AM54" i="26"/>
  <c r="AM50" i="26"/>
  <c r="AM22" i="26"/>
  <c r="AM7" i="26"/>
  <c r="AM29" i="26"/>
  <c r="AM92" i="26"/>
  <c r="AM20" i="26"/>
  <c r="AM53" i="26"/>
  <c r="AM71" i="26"/>
  <c r="AM16" i="26"/>
  <c r="AM33" i="26"/>
  <c r="AM52" i="26"/>
  <c r="AM72" i="26"/>
  <c r="AM103" i="26"/>
  <c r="AM85" i="26"/>
  <c r="AM98" i="26"/>
  <c r="AM91" i="26"/>
  <c r="AM32" i="26"/>
  <c r="AM69" i="26"/>
  <c r="AM9" i="26"/>
  <c r="AM60" i="26"/>
  <c r="AM61" i="26"/>
  <c r="AM51" i="26"/>
  <c r="AM86" i="26"/>
  <c r="AM46" i="26"/>
  <c r="AM64" i="26"/>
  <c r="AM99" i="26"/>
  <c r="AM89" i="26"/>
  <c r="AM93" i="26"/>
  <c r="AM68" i="26"/>
  <c r="AM27" i="26"/>
  <c r="AM87" i="26"/>
  <c r="AM8" i="26"/>
  <c r="AM28" i="26"/>
  <c r="AM47" i="26"/>
  <c r="AM6" i="26"/>
  <c r="AM44" i="26"/>
  <c r="AM94" i="26"/>
  <c r="AM65" i="26"/>
  <c r="AM97" i="26"/>
  <c r="AM55" i="26"/>
  <c r="AM38" i="26"/>
  <c r="AM31" i="26"/>
  <c r="AM82" i="26"/>
  <c r="AM66" i="26"/>
  <c r="AM83" i="26"/>
  <c r="AM67" i="26"/>
  <c r="AM95" i="26"/>
  <c r="AM36" i="26"/>
  <c r="AM58" i="26"/>
  <c r="AM56" i="26"/>
  <c r="AM11" i="26"/>
  <c r="AM30" i="26"/>
  <c r="AM59" i="26"/>
  <c r="AM12" i="26"/>
  <c r="AM100" i="26"/>
  <c r="AM48" i="26"/>
  <c r="AM77" i="26"/>
  <c r="AM43" i="26"/>
  <c r="AM81" i="26"/>
  <c r="AM34" i="26"/>
  <c r="AM70" i="26"/>
  <c r="AM35" i="26"/>
  <c r="AM39" i="26"/>
  <c r="AM45" i="26"/>
  <c r="AM74" i="26"/>
  <c r="AM17" i="26"/>
  <c r="AM19" i="26"/>
  <c r="AM73" i="26"/>
  <c r="AM26" i="26"/>
  <c r="AM14" i="26"/>
  <c r="AM15" i="26"/>
  <c r="AM41" i="26"/>
  <c r="AM90" i="26"/>
  <c r="AM23" i="26"/>
  <c r="AM21" i="26"/>
  <c r="AM84" i="26"/>
  <c r="AM5" i="26"/>
  <c r="AM62" i="26"/>
  <c r="AM63" i="26"/>
  <c r="AM102" i="26"/>
  <c r="AY18" i="2"/>
  <c r="BA18" i="2"/>
  <c r="AY20" i="2"/>
  <c r="BA20" i="2"/>
  <c r="AJ25" i="2"/>
  <c r="F25" i="20"/>
  <c r="BY49" i="7"/>
  <c r="BZ224" i="7"/>
  <c r="AY74" i="2"/>
  <c r="AZ5" i="2"/>
  <c r="AZ55" i="2"/>
  <c r="BW85" i="2"/>
  <c r="BX206" i="2"/>
  <c r="AQ237" i="9"/>
  <c r="AP75" i="9"/>
  <c r="BO34" i="2"/>
  <c r="BP34" i="2"/>
  <c r="BO78" i="2"/>
  <c r="BP78" i="2"/>
  <c r="BO82" i="2"/>
  <c r="BP82" i="2"/>
  <c r="BO38" i="2"/>
  <c r="BP38" i="2"/>
  <c r="BO66" i="2"/>
  <c r="BP66" i="2"/>
  <c r="BO40" i="2"/>
  <c r="BP40" i="2"/>
  <c r="BO56" i="2"/>
  <c r="BP56" i="2"/>
  <c r="BO42" i="2"/>
  <c r="BP42" i="2"/>
  <c r="BO65" i="2"/>
  <c r="BP65" i="2"/>
  <c r="BO24" i="2"/>
  <c r="BP24" i="2"/>
  <c r="BO16" i="2"/>
  <c r="BP16" i="2"/>
  <c r="BO114" i="2"/>
  <c r="BO109" i="2"/>
  <c r="BO106" i="2"/>
  <c r="BO67" i="2"/>
  <c r="BP67" i="2"/>
  <c r="BO101" i="2"/>
  <c r="BO79" i="2"/>
  <c r="BP79" i="2"/>
  <c r="BO50" i="2"/>
  <c r="BP50" i="2"/>
  <c r="BO103" i="2"/>
  <c r="BO44" i="2"/>
  <c r="BP44" i="2"/>
  <c r="BO53" i="2"/>
  <c r="BP53" i="2"/>
  <c r="BO108" i="2"/>
  <c r="BO93" i="2"/>
  <c r="BO39" i="2"/>
  <c r="BP39" i="2"/>
  <c r="BO25" i="2"/>
  <c r="BP25" i="2"/>
  <c r="BO58" i="2"/>
  <c r="BP58" i="2"/>
  <c r="BO69" i="2"/>
  <c r="BP69" i="2"/>
  <c r="BO29" i="2"/>
  <c r="BP29" i="2"/>
  <c r="BO17" i="2"/>
  <c r="BP17" i="2"/>
  <c r="BO31" i="2"/>
  <c r="BP31" i="2"/>
  <c r="BO46" i="2"/>
  <c r="BP46" i="2"/>
  <c r="BO57" i="2"/>
  <c r="BP57" i="2"/>
  <c r="BO49" i="2"/>
  <c r="BP49" i="2"/>
  <c r="BO89" i="2"/>
  <c r="BO63" i="2"/>
  <c r="BP63" i="2"/>
  <c r="BO97" i="2"/>
  <c r="BO83" i="2"/>
  <c r="BP83" i="2"/>
  <c r="BO30" i="2"/>
  <c r="BP30" i="2"/>
  <c r="BO74" i="2"/>
  <c r="BP74" i="2"/>
  <c r="BO52" i="2"/>
  <c r="BP52" i="2"/>
  <c r="BO19" i="2"/>
  <c r="BP19" i="2"/>
  <c r="BO76" i="2"/>
  <c r="BP76" i="2"/>
  <c r="BO48" i="2"/>
  <c r="BP48" i="2"/>
  <c r="BO105" i="2"/>
  <c r="BO15" i="2"/>
  <c r="BP15" i="2"/>
  <c r="BO32" i="2"/>
  <c r="BP32" i="2"/>
  <c r="BO100" i="2"/>
  <c r="BO86" i="2"/>
  <c r="BO107" i="2"/>
  <c r="BO62" i="2"/>
  <c r="BP62" i="2"/>
  <c r="BO111" i="2"/>
  <c r="BO90" i="2"/>
  <c r="BO43" i="2"/>
  <c r="BP43" i="2"/>
  <c r="BO21" i="2"/>
  <c r="BP21" i="2"/>
  <c r="BO85" i="2"/>
  <c r="BO99" i="2"/>
  <c r="BO73" i="2"/>
  <c r="BP73" i="2"/>
  <c r="BO27" i="2"/>
  <c r="BP27" i="2"/>
  <c r="BO87" i="2"/>
  <c r="BO54" i="2"/>
  <c r="BP54" i="2"/>
  <c r="BO68" i="2"/>
  <c r="BP68" i="2"/>
  <c r="BO61" i="2"/>
  <c r="BP61" i="2"/>
  <c r="BO80" i="2"/>
  <c r="BP80" i="2"/>
  <c r="BO22" i="2"/>
  <c r="BP22" i="2"/>
  <c r="BO84" i="2"/>
  <c r="BO110" i="2"/>
  <c r="BO72" i="2"/>
  <c r="BP72" i="2"/>
  <c r="BO60" i="2"/>
  <c r="BP60" i="2"/>
  <c r="BO18" i="2"/>
  <c r="BP18" i="2"/>
  <c r="BQ18" i="2"/>
  <c r="BS18" i="2"/>
  <c r="BO94" i="2"/>
  <c r="BO113" i="2"/>
  <c r="BO92" i="2"/>
  <c r="BO26" i="2"/>
  <c r="BP26" i="2"/>
  <c r="BO23" i="2"/>
  <c r="BP23" i="2"/>
  <c r="BO81" i="2"/>
  <c r="BP81" i="2"/>
  <c r="BO33" i="2"/>
  <c r="BP33" i="2"/>
  <c r="BO71" i="2"/>
  <c r="BP71" i="2"/>
  <c r="BO102" i="2"/>
  <c r="BO64" i="2"/>
  <c r="BP64" i="2"/>
  <c r="BO75" i="2"/>
  <c r="BP75" i="2"/>
  <c r="BO41" i="2"/>
  <c r="BP41" i="2"/>
  <c r="BO55" i="2"/>
  <c r="BP55" i="2"/>
  <c r="BO96" i="2"/>
  <c r="BO35" i="2"/>
  <c r="BP35" i="2"/>
  <c r="BO20" i="2"/>
  <c r="BP20" i="2"/>
  <c r="BO47" i="2"/>
  <c r="BP47" i="2"/>
  <c r="BO59" i="2"/>
  <c r="BP59" i="2"/>
  <c r="BO37" i="2"/>
  <c r="BP37" i="2"/>
  <c r="BO70" i="2"/>
  <c r="BP70" i="2"/>
  <c r="BO36" i="2"/>
  <c r="BP36" i="2"/>
  <c r="BO28" i="2"/>
  <c r="BP28" i="2"/>
  <c r="BO77" i="2"/>
  <c r="BP77" i="2"/>
  <c r="BO95" i="2"/>
  <c r="BO51" i="2"/>
  <c r="BP51" i="2"/>
  <c r="BQ51" i="2"/>
  <c r="BO88" i="2"/>
  <c r="BO91" i="2"/>
  <c r="BO45" i="2"/>
  <c r="BP45" i="2"/>
  <c r="BO104" i="2"/>
  <c r="BO112" i="2"/>
  <c r="BO98" i="2"/>
  <c r="H82" i="38"/>
  <c r="BK20" i="2"/>
  <c r="I20" i="20"/>
  <c r="H18" i="38"/>
  <c r="CL21" i="2"/>
  <c r="L20" i="20"/>
  <c r="BJ78" i="2"/>
  <c r="CK78" i="2"/>
  <c r="BG83" i="2"/>
  <c r="CF83" i="2"/>
  <c r="BH82" i="2"/>
  <c r="CI82" i="2"/>
  <c r="CH82" i="2"/>
  <c r="R48" i="41"/>
  <c r="S49" i="41"/>
  <c r="AP32" i="26"/>
  <c r="AY36" i="2"/>
  <c r="BA36" i="2"/>
  <c r="AY69" i="2"/>
  <c r="BG95" i="40"/>
  <c r="BH324" i="40"/>
  <c r="BF111" i="40"/>
  <c r="BG332" i="40"/>
  <c r="BF101" i="40"/>
  <c r="BG327" i="40"/>
  <c r="BB97" i="40"/>
  <c r="BC325" i="40"/>
  <c r="BF93" i="40"/>
  <c r="BG323" i="40"/>
  <c r="BF109" i="40"/>
  <c r="BG331" i="40"/>
  <c r="BB107" i="40"/>
  <c r="BC330" i="40"/>
  <c r="BF103" i="40"/>
  <c r="BG328" i="40"/>
  <c r="BA105" i="40"/>
  <c r="BB329" i="40"/>
  <c r="AZ99" i="40"/>
  <c r="BA326" i="40"/>
  <c r="BG91" i="40"/>
  <c r="BJ300" i="40"/>
  <c r="BI47" i="40"/>
  <c r="BH311" i="40"/>
  <c r="BG69" i="40"/>
  <c r="BJ299" i="40"/>
  <c r="BI45" i="40"/>
  <c r="BJ301" i="40"/>
  <c r="BI49" i="40"/>
  <c r="BJ316" i="40"/>
  <c r="BI79" i="40"/>
  <c r="BI307" i="40"/>
  <c r="BH61" i="40"/>
  <c r="BJ304" i="40"/>
  <c r="BI55" i="40"/>
  <c r="BI319" i="40"/>
  <c r="BH85" i="40"/>
  <c r="BJ322" i="40"/>
  <c r="BJ318" i="40"/>
  <c r="BI83" i="40"/>
  <c r="BI297" i="40"/>
  <c r="BH41" i="40"/>
  <c r="BJ298" i="40"/>
  <c r="BI43" i="40"/>
  <c r="BI321" i="40"/>
  <c r="BH89" i="40"/>
  <c r="BJ314" i="40"/>
  <c r="BI75" i="40"/>
  <c r="BI310" i="40"/>
  <c r="BH67" i="40"/>
  <c r="BJ305" i="40"/>
  <c r="BI57" i="40"/>
  <c r="BJ320" i="40"/>
  <c r="BI87" i="40"/>
  <c r="BI315" i="40"/>
  <c r="BH77" i="40"/>
  <c r="BH309" i="40"/>
  <c r="BG65" i="40"/>
  <c r="BH313" i="40"/>
  <c r="BG73" i="40"/>
  <c r="BJ312" i="40"/>
  <c r="BI71" i="40"/>
  <c r="BJ308" i="40"/>
  <c r="BI63" i="40"/>
  <c r="BI317" i="40"/>
  <c r="BH81" i="40"/>
  <c r="BJ303" i="40"/>
  <c r="BI53" i="40"/>
  <c r="BJ306" i="40"/>
  <c r="BI59" i="40"/>
  <c r="BI302" i="40"/>
  <c r="BH51" i="40"/>
  <c r="AY29" i="2"/>
  <c r="BA29" i="2"/>
  <c r="AX83" i="2"/>
  <c r="AY83" i="2"/>
  <c r="R51" i="30"/>
  <c r="B33" i="26"/>
  <c r="BU229" i="7"/>
  <c r="BT59" i="7"/>
  <c r="CW147" i="10"/>
  <c r="BR61" i="7"/>
  <c r="BS230" i="7"/>
  <c r="CX145" i="10"/>
  <c r="CX146" i="10"/>
  <c r="I81" i="8"/>
  <c r="J240" i="8"/>
  <c r="BM73" i="22"/>
  <c r="BN236" i="22"/>
  <c r="BY57" i="22"/>
  <c r="BZ228" i="22"/>
  <c r="BT239" i="11"/>
  <c r="BS79" i="11"/>
  <c r="BW238" i="11"/>
  <c r="BV77" i="11"/>
  <c r="BX235" i="8"/>
  <c r="BW71" i="8"/>
  <c r="AV229" i="10"/>
  <c r="AU59" i="10"/>
  <c r="BW238" i="7"/>
  <c r="BV77" i="7"/>
  <c r="BJ59" i="8"/>
  <c r="BK229" i="8"/>
  <c r="BO63" i="8"/>
  <c r="BP231" i="8"/>
  <c r="BO239" i="9"/>
  <c r="BN79" i="9"/>
  <c r="BX234" i="10"/>
  <c r="BW69" i="10"/>
  <c r="BP231" i="22"/>
  <c r="BO63" i="22"/>
  <c r="BM79" i="22"/>
  <c r="BN239" i="22"/>
  <c r="BO71" i="22"/>
  <c r="BP235" i="22"/>
  <c r="BP79" i="7"/>
  <c r="BQ239" i="7"/>
  <c r="BV228" i="11"/>
  <c r="BU57" i="11"/>
  <c r="BA233" i="22"/>
  <c r="AZ67" i="22"/>
  <c r="BG75" i="11"/>
  <c r="BH237" i="11"/>
  <c r="AW232" i="10"/>
  <c r="AV65" i="10"/>
  <c r="BI235" i="10"/>
  <c r="BH71" i="10"/>
  <c r="AV67" i="9"/>
  <c r="AW233" i="9"/>
  <c r="BN232" i="9"/>
  <c r="BM65" i="9"/>
  <c r="BX230" i="10"/>
  <c r="BW61" i="10"/>
  <c r="AV81" i="10"/>
  <c r="AW240" i="10"/>
  <c r="BN233" i="10"/>
  <c r="BM67" i="10"/>
  <c r="BW238" i="10"/>
  <c r="BV77" i="10"/>
  <c r="BX238" i="22"/>
  <c r="BW77" i="22"/>
  <c r="BY226" i="6"/>
  <c r="BX47" i="6"/>
  <c r="BS223" i="11"/>
  <c r="BR47" i="11"/>
  <c r="CZ54" i="10"/>
  <c r="CY144" i="10"/>
  <c r="BX239" i="8"/>
  <c r="BW79" i="8"/>
  <c r="F55" i="11"/>
  <c r="G227" i="11"/>
  <c r="BV51" i="11"/>
  <c r="BW225" i="11"/>
  <c r="BK63" i="10"/>
  <c r="BL231" i="10"/>
  <c r="BX231" i="9"/>
  <c r="BW63" i="9"/>
  <c r="BY233" i="7"/>
  <c r="BX67" i="7"/>
  <c r="L61" i="11"/>
  <c r="M230" i="11"/>
  <c r="R35" i="2"/>
  <c r="D35" i="20"/>
  <c r="U30" i="38"/>
  <c r="AD63" i="38"/>
  <c r="C96" i="38"/>
  <c r="N23" i="39"/>
  <c r="C31" i="38"/>
  <c r="P33" i="20"/>
  <c r="Q33" i="20"/>
  <c r="S52" i="30"/>
  <c r="BY220" i="10"/>
  <c r="BX41" i="10"/>
  <c r="BY216" i="10"/>
  <c r="BX33" i="10"/>
  <c r="BX35" i="10"/>
  <c r="BY217" i="10"/>
  <c r="BZ226" i="10"/>
  <c r="BY53" i="10"/>
  <c r="BX222" i="10"/>
  <c r="BW45" i="10"/>
  <c r="BY224" i="10"/>
  <c r="BX49" i="10"/>
  <c r="BX39" i="10"/>
  <c r="BY219" i="10"/>
  <c r="BY221" i="10"/>
  <c r="BX43" i="10"/>
  <c r="BY223" i="10"/>
  <c r="BX47" i="10"/>
  <c r="BY31" i="10"/>
  <c r="BZ215" i="10"/>
  <c r="BW47" i="22"/>
  <c r="BX223" i="22"/>
  <c r="BY51" i="22"/>
  <c r="BZ225" i="22"/>
  <c r="BY226" i="22"/>
  <c r="BX53" i="22"/>
  <c r="BY221" i="22"/>
  <c r="BX43" i="22"/>
  <c r="BZ223" i="8"/>
  <c r="BY47" i="8"/>
  <c r="BY225" i="8"/>
  <c r="BX51" i="8"/>
  <c r="BB67" i="11"/>
  <c r="BC233" i="11"/>
  <c r="BA69" i="22"/>
  <c r="BB234" i="22"/>
  <c r="AV57" i="10"/>
  <c r="AW228" i="10"/>
  <c r="AM84" i="2"/>
  <c r="AO84" i="2"/>
  <c r="AP84" i="2"/>
  <c r="AN205" i="2"/>
  <c r="AD84" i="2"/>
  <c r="AF84" i="2"/>
  <c r="AG84" i="2"/>
  <c r="AE205" i="2"/>
  <c r="AV206" i="2"/>
  <c r="U206" i="2"/>
  <c r="C206" i="2"/>
  <c r="BN206" i="2"/>
  <c r="AM206" i="2"/>
  <c r="BE206" i="2"/>
  <c r="AD206" i="2"/>
  <c r="L206" i="2"/>
  <c r="AT49" i="11"/>
  <c r="AU224" i="11"/>
  <c r="N69" i="11"/>
  <c r="O234" i="11"/>
  <c r="BB61" i="22"/>
  <c r="BC230" i="22"/>
  <c r="BZ216" i="22"/>
  <c r="BY33" i="22"/>
  <c r="AY75" i="22"/>
  <c r="AZ237" i="22"/>
  <c r="AI65" i="7"/>
  <c r="AJ232" i="7"/>
  <c r="AS69" i="7"/>
  <c r="AT234" i="7"/>
  <c r="BP73" i="8"/>
  <c r="BQ236" i="8"/>
  <c r="AL31" i="22"/>
  <c r="AM215" i="22"/>
  <c r="AW79" i="10"/>
  <c r="AX239" i="10"/>
  <c r="M205" i="2"/>
  <c r="L84" i="2"/>
  <c r="N84" i="2"/>
  <c r="O84" i="2"/>
  <c r="U84" i="2"/>
  <c r="W84" i="2"/>
  <c r="X84" i="2"/>
  <c r="V205" i="2"/>
  <c r="AZ75" i="7"/>
  <c r="BA237" i="7"/>
  <c r="AW65" i="22"/>
  <c r="AX232" i="22"/>
  <c r="BA71" i="7"/>
  <c r="BB235" i="7"/>
  <c r="A87" i="2"/>
  <c r="A207" i="2"/>
  <c r="BW207" i="2"/>
  <c r="AX69" i="9"/>
  <c r="AY234" i="9"/>
  <c r="AY81" i="22"/>
  <c r="AZ240" i="22"/>
  <c r="BD73" i="11"/>
  <c r="BE236" i="11"/>
  <c r="C84" i="2"/>
  <c r="D205" i="2"/>
  <c r="BF205" i="2"/>
  <c r="BE84" i="2"/>
  <c r="AW81" i="7"/>
  <c r="AX240" i="7"/>
  <c r="AV71" i="9"/>
  <c r="AW235" i="9"/>
  <c r="AP53" i="11"/>
  <c r="AQ226" i="11"/>
  <c r="AU81" i="9"/>
  <c r="AV240" i="9"/>
  <c r="M63" i="11"/>
  <c r="N231" i="11"/>
  <c r="BU73" i="9"/>
  <c r="BV236" i="9"/>
  <c r="AY75" i="10"/>
  <c r="AZ237" i="10"/>
  <c r="BF61" i="8"/>
  <c r="BG230" i="8"/>
  <c r="BD77" i="8"/>
  <c r="BE238" i="8"/>
  <c r="BC69" i="8"/>
  <c r="BD234" i="8"/>
  <c r="BU77" i="9"/>
  <c r="BV238" i="9"/>
  <c r="AV84" i="2"/>
  <c r="AX84" i="2"/>
  <c r="AW205" i="2"/>
  <c r="BN84" i="2"/>
  <c r="BO205" i="2"/>
  <c r="AY75" i="8"/>
  <c r="AZ237" i="8"/>
  <c r="BA67" i="8"/>
  <c r="BB233" i="8"/>
  <c r="I65" i="11"/>
  <c r="J232" i="11"/>
  <c r="AO73" i="10"/>
  <c r="AP236" i="10"/>
  <c r="BB81" i="11"/>
  <c r="BC240" i="11"/>
  <c r="B21" i="26"/>
  <c r="S39" i="30"/>
  <c r="R38" i="30"/>
  <c r="AY58" i="2"/>
  <c r="AY65" i="2"/>
  <c r="AY81" i="2"/>
  <c r="AY70" i="2"/>
  <c r="AY61" i="2"/>
  <c r="AY32" i="2"/>
  <c r="BA32" i="2"/>
  <c r="AY52" i="2"/>
  <c r="AY43" i="2"/>
  <c r="BA43" i="2"/>
  <c r="AY45" i="2"/>
  <c r="AY34" i="2"/>
  <c r="BA34" i="2"/>
  <c r="BX221" i="8"/>
  <c r="BW43" i="8"/>
  <c r="BX45" i="8"/>
  <c r="BY222" i="8"/>
  <c r="BU217" i="8"/>
  <c r="BT35" i="8"/>
  <c r="BY216" i="11"/>
  <c r="BX33" i="11"/>
  <c r="BN63" i="7"/>
  <c r="BO231" i="7"/>
  <c r="BY53" i="9"/>
  <c r="BZ226" i="9"/>
  <c r="BX31" i="9"/>
  <c r="BY215" i="9"/>
  <c r="BW31" i="1"/>
  <c r="BX222" i="1"/>
  <c r="BW33" i="1"/>
  <c r="BX223" i="1"/>
  <c r="BX53" i="1"/>
  <c r="BY233" i="1"/>
  <c r="BY35" i="1"/>
  <c r="BZ224" i="1"/>
  <c r="BY65" i="1"/>
  <c r="BZ239" i="1"/>
  <c r="BZ236" i="1"/>
  <c r="BY59" i="1"/>
  <c r="BX51" i="1"/>
  <c r="BY232" i="1"/>
  <c r="P14" i="39"/>
  <c r="F14" i="39"/>
  <c r="E22" i="38"/>
  <c r="T24" i="20"/>
  <c r="U24" i="20"/>
  <c r="E87" i="38"/>
  <c r="W21" i="38"/>
  <c r="AF54" i="38"/>
  <c r="AY38" i="2"/>
  <c r="BA38" i="2"/>
  <c r="AY48" i="2"/>
  <c r="AY31" i="2"/>
  <c r="BA31" i="2"/>
  <c r="AY54" i="2"/>
  <c r="AY50" i="2"/>
  <c r="AY41" i="2"/>
  <c r="BA41" i="2"/>
  <c r="AY26" i="2"/>
  <c r="BA26" i="2"/>
  <c r="AY59" i="2"/>
  <c r="AY23" i="2"/>
  <c r="BA23" i="2"/>
  <c r="AY66" i="2"/>
  <c r="AY63" i="2"/>
  <c r="AY55" i="2"/>
  <c r="AY77" i="2"/>
  <c r="AY40" i="2"/>
  <c r="BA40" i="2"/>
  <c r="AY46" i="2"/>
  <c r="AY24" i="2"/>
  <c r="BA24" i="2"/>
  <c r="AY60" i="2"/>
  <c r="AY15" i="2"/>
  <c r="BA15" i="2"/>
  <c r="BB15" i="2"/>
  <c r="H15" i="20"/>
  <c r="AY37" i="2"/>
  <c r="BA37" i="2"/>
  <c r="AY67" i="2"/>
  <c r="AY71" i="2"/>
  <c r="AY72" i="2"/>
  <c r="AY47" i="2"/>
  <c r="AY82" i="2"/>
  <c r="AY76" i="2"/>
  <c r="AY49" i="2"/>
  <c r="AY30" i="2"/>
  <c r="BA30" i="2"/>
  <c r="AY78" i="2"/>
  <c r="AY35" i="2"/>
  <c r="BA35" i="2"/>
  <c r="AY73" i="2"/>
  <c r="AY28" i="2"/>
  <c r="BA28" i="2"/>
  <c r="AY17" i="2"/>
  <c r="BA17" i="2"/>
  <c r="AY39" i="2"/>
  <c r="BA39" i="2"/>
  <c r="AY75" i="2"/>
  <c r="AY21" i="2"/>
  <c r="BA21" i="2"/>
  <c r="AY56" i="2"/>
  <c r="AY25" i="2"/>
  <c r="BA25" i="2"/>
  <c r="AY33" i="2"/>
  <c r="BA33" i="2"/>
  <c r="AY62" i="2"/>
  <c r="AY19" i="2"/>
  <c r="BA19" i="2"/>
  <c r="AY44" i="2"/>
  <c r="AY51" i="2"/>
  <c r="AY42" i="2"/>
  <c r="BA42" i="2"/>
  <c r="AY79" i="2"/>
  <c r="AY53" i="2"/>
  <c r="AY68" i="2"/>
  <c r="AY57" i="2"/>
  <c r="AY64" i="2"/>
  <c r="AY22" i="2"/>
  <c r="BA22" i="2"/>
  <c r="AY80" i="2"/>
  <c r="BX222" i="22"/>
  <c r="BW45" i="22"/>
  <c r="BX218" i="6"/>
  <c r="BW31" i="6"/>
  <c r="BY217" i="6"/>
  <c r="BY215" i="6"/>
  <c r="BX25" i="6"/>
  <c r="BX35" i="6"/>
  <c r="BY220" i="6"/>
  <c r="BW43" i="6"/>
  <c r="BX224" i="6"/>
  <c r="BX33" i="6"/>
  <c r="BY219" i="6"/>
  <c r="BX37" i="6"/>
  <c r="BY221" i="6"/>
  <c r="BY223" i="6"/>
  <c r="BX41" i="6"/>
  <c r="BX23" i="6"/>
  <c r="BY214" i="6"/>
  <c r="BX27" i="6"/>
  <c r="BY216" i="6"/>
  <c r="BV247" i="1"/>
  <c r="BU81" i="1"/>
  <c r="BZ228" i="1"/>
  <c r="BY43" i="1"/>
  <c r="BT83" i="1"/>
  <c r="BU248" i="1"/>
  <c r="BU219" i="8"/>
  <c r="BT39" i="8"/>
  <c r="BX218" i="8"/>
  <c r="BW37" i="8"/>
  <c r="BU45" i="11"/>
  <c r="BV222" i="11"/>
  <c r="H17" i="38"/>
  <c r="Z17" i="38"/>
  <c r="AI50" i="38"/>
  <c r="S9" i="39"/>
  <c r="I9" i="39"/>
  <c r="AA26" i="2"/>
  <c r="E26" i="20"/>
  <c r="R24" i="20"/>
  <c r="S24" i="20"/>
  <c r="O14" i="39"/>
  <c r="E14" i="39"/>
  <c r="D22" i="38"/>
  <c r="D87" i="38"/>
  <c r="V21" i="38"/>
  <c r="AE54" i="38"/>
  <c r="BY217" i="22"/>
  <c r="BX35" i="22"/>
  <c r="BX219" i="22"/>
  <c r="BW39" i="22"/>
  <c r="BY224" i="22"/>
  <c r="BX49" i="22"/>
  <c r="BX219" i="7"/>
  <c r="BW39" i="7"/>
  <c r="BY221" i="7"/>
  <c r="BX43" i="7"/>
  <c r="BX218" i="7"/>
  <c r="BW37" i="7"/>
  <c r="BY217" i="7"/>
  <c r="BX35" i="7"/>
  <c r="BV220" i="7"/>
  <c r="BU41" i="7"/>
  <c r="BW31" i="7"/>
  <c r="BX215" i="7"/>
  <c r="BV222" i="6"/>
  <c r="BU39" i="6"/>
  <c r="BX35" i="9"/>
  <c r="BY217" i="9"/>
  <c r="BV219" i="9"/>
  <c r="BU39" i="9"/>
  <c r="BZ223" i="9"/>
  <c r="BY47" i="9"/>
  <c r="BU227" i="9"/>
  <c r="BT55" i="9"/>
  <c r="CA221" i="9"/>
  <c r="BZ43" i="9"/>
  <c r="BX225" i="9"/>
  <c r="BW51" i="9"/>
  <c r="BY222" i="9"/>
  <c r="BX45" i="9"/>
  <c r="BV57" i="9"/>
  <c r="BW228" i="9"/>
  <c r="BY224" i="9"/>
  <c r="BX49" i="9"/>
  <c r="BW245" i="1"/>
  <c r="BV77" i="1"/>
  <c r="BZ246" i="1"/>
  <c r="BY79" i="1"/>
  <c r="BX240" i="1"/>
  <c r="BW67" i="1"/>
  <c r="BX237" i="1"/>
  <c r="BW61" i="1"/>
  <c r="BS235" i="1"/>
  <c r="BR57" i="1"/>
  <c r="BW243" i="1"/>
  <c r="BV73" i="1"/>
  <c r="BY244" i="1"/>
  <c r="BX75" i="1"/>
  <c r="BX71" i="1"/>
  <c r="BY242" i="1"/>
  <c r="BT221" i="11"/>
  <c r="BS43" i="11"/>
  <c r="F79" i="38"/>
  <c r="X13" i="38"/>
  <c r="AG46" i="38"/>
  <c r="AS17" i="2"/>
  <c r="G17" i="20"/>
  <c r="BV215" i="11"/>
  <c r="BY219" i="11"/>
  <c r="BX39" i="11"/>
  <c r="BV220" i="11"/>
  <c r="BU41" i="11"/>
  <c r="BX218" i="11"/>
  <c r="BW37" i="11"/>
  <c r="BY225" i="10"/>
  <c r="BX51" i="10"/>
  <c r="BY218" i="10"/>
  <c r="BX37" i="10"/>
  <c r="BZ229" i="22"/>
  <c r="BY59" i="22"/>
  <c r="BY227" i="22"/>
  <c r="BX55" i="22"/>
  <c r="BY218" i="22"/>
  <c r="BY220" i="22"/>
  <c r="BX41" i="22"/>
  <c r="BW228" i="8"/>
  <c r="BV57" i="8"/>
  <c r="BY227" i="8"/>
  <c r="BX55" i="8"/>
  <c r="BZ224" i="8"/>
  <c r="BY49" i="8"/>
  <c r="CA215" i="8"/>
  <c r="BZ31" i="8"/>
  <c r="BZ226" i="8"/>
  <c r="BY53" i="8"/>
  <c r="BZ216" i="8"/>
  <c r="BY33" i="8"/>
  <c r="BZ220" i="8"/>
  <c r="BY41" i="8"/>
  <c r="BZ227" i="7"/>
  <c r="BY55" i="7"/>
  <c r="BZ226" i="7"/>
  <c r="BY53" i="7"/>
  <c r="BZ225" i="7"/>
  <c r="BY51" i="7"/>
  <c r="BX223" i="7"/>
  <c r="BW47" i="7"/>
  <c r="BS216" i="7"/>
  <c r="BR33" i="7"/>
  <c r="BW222" i="7"/>
  <c r="BV45" i="7"/>
  <c r="BZ231" i="6"/>
  <c r="BY57" i="6"/>
  <c r="BZ230" i="6"/>
  <c r="BY55" i="6"/>
  <c r="BZ229" i="6"/>
  <c r="BY53" i="6"/>
  <c r="BZ228" i="6"/>
  <c r="BY51" i="6"/>
  <c r="BZ227" i="6"/>
  <c r="BY49" i="6"/>
  <c r="BX225" i="6"/>
  <c r="BW45" i="6"/>
  <c r="BY230" i="9"/>
  <c r="BX61" i="9"/>
  <c r="BZ229" i="9"/>
  <c r="BY59" i="9"/>
  <c r="BV216" i="9"/>
  <c r="BU33" i="9"/>
  <c r="BY220" i="9"/>
  <c r="BX41" i="9"/>
  <c r="BY218" i="9"/>
  <c r="BX37" i="9"/>
  <c r="BX241" i="1"/>
  <c r="BW69" i="1"/>
  <c r="BZ238" i="1"/>
  <c r="BY63" i="1"/>
  <c r="BX231" i="1"/>
  <c r="BW49" i="1"/>
  <c r="BZ234" i="1"/>
  <c r="BY55" i="1"/>
  <c r="BZ230" i="1"/>
  <c r="BY47" i="1"/>
  <c r="BX229" i="1"/>
  <c r="BW45" i="1"/>
  <c r="BX225" i="1"/>
  <c r="BW37" i="1"/>
  <c r="BX227" i="1"/>
  <c r="BW41" i="1"/>
  <c r="BZ226" i="1"/>
  <c r="BY39" i="1"/>
  <c r="BQ20" i="2"/>
  <c r="BS20" i="2"/>
  <c r="AZ52" i="2"/>
  <c r="BA52" i="2"/>
  <c r="AZ61" i="2"/>
  <c r="BA61" i="2"/>
  <c r="AZ45" i="2"/>
  <c r="BA45" i="2"/>
  <c r="AZ73" i="2"/>
  <c r="BA73" i="2"/>
  <c r="AZ56" i="2"/>
  <c r="BA56" i="2"/>
  <c r="AZ63" i="2"/>
  <c r="BA63" i="2"/>
  <c r="AZ54" i="2"/>
  <c r="BA54" i="2"/>
  <c r="AZ49" i="2"/>
  <c r="BA49" i="2"/>
  <c r="AJ26" i="2"/>
  <c r="F26" i="20"/>
  <c r="AZ74" i="2"/>
  <c r="BA74" i="2"/>
  <c r="BA75" i="2"/>
  <c r="BA76" i="2"/>
  <c r="BA77" i="2"/>
  <c r="BA78" i="2"/>
  <c r="BA79" i="2"/>
  <c r="BA80" i="2"/>
  <c r="BA81" i="2"/>
  <c r="BA82" i="2"/>
  <c r="BA83" i="2"/>
  <c r="BA84" i="2"/>
  <c r="BA85" i="2"/>
  <c r="BA86" i="2"/>
  <c r="BA87" i="2"/>
  <c r="BA88" i="2"/>
  <c r="BA89" i="2"/>
  <c r="BA90" i="2"/>
  <c r="BA91" i="2"/>
  <c r="BA92" i="2"/>
  <c r="BA93" i="2"/>
  <c r="BA94" i="2"/>
  <c r="BA95" i="2"/>
  <c r="BA96" i="2"/>
  <c r="BA97" i="2"/>
  <c r="BA98" i="2"/>
  <c r="BA99" i="2"/>
  <c r="BA100" i="2"/>
  <c r="BA101" i="2"/>
  <c r="BA102" i="2"/>
  <c r="BA103" i="2"/>
  <c r="BA104" i="2"/>
  <c r="BA105" i="2"/>
  <c r="BA106" i="2"/>
  <c r="BA107" i="2"/>
  <c r="BA108" i="2"/>
  <c r="BA109" i="2"/>
  <c r="BA110" i="2"/>
  <c r="BA111" i="2"/>
  <c r="BA112" i="2"/>
  <c r="BA113" i="2"/>
  <c r="BA114" i="2"/>
  <c r="AZ71" i="2"/>
  <c r="BA71" i="2"/>
  <c r="AZ47" i="2"/>
  <c r="BA47" i="2"/>
  <c r="AZ67" i="2"/>
  <c r="BA67" i="2"/>
  <c r="AZ46" i="2"/>
  <c r="BA46" i="2"/>
  <c r="AZ57" i="2"/>
  <c r="BA57" i="2"/>
  <c r="AZ65" i="2"/>
  <c r="BA65" i="2"/>
  <c r="AZ64" i="2"/>
  <c r="BA64" i="2"/>
  <c r="AZ48" i="2"/>
  <c r="BA48" i="2"/>
  <c r="AZ70" i="2"/>
  <c r="BA70" i="2"/>
  <c r="AZ53" i="2"/>
  <c r="BA53" i="2"/>
  <c r="AZ50" i="2"/>
  <c r="BA50" i="2"/>
  <c r="AZ68" i="2"/>
  <c r="BA68" i="2"/>
  <c r="AZ44" i="2"/>
  <c r="BA44" i="2"/>
  <c r="AZ62" i="2"/>
  <c r="BA62" i="2"/>
  <c r="AZ72" i="2"/>
  <c r="BA72" i="2"/>
  <c r="AZ66" i="2"/>
  <c r="BA66" i="2"/>
  <c r="AZ59" i="2"/>
  <c r="BA59" i="2"/>
  <c r="AZ69" i="2"/>
  <c r="BA69" i="2"/>
  <c r="AZ58" i="2"/>
  <c r="BA58" i="2"/>
  <c r="AZ51" i="2"/>
  <c r="BA51" i="2"/>
  <c r="AZ60" i="2"/>
  <c r="BA60" i="2"/>
  <c r="BY224" i="7"/>
  <c r="BX49" i="7"/>
  <c r="BQ26" i="2"/>
  <c r="BS26" i="2"/>
  <c r="BQ32" i="2"/>
  <c r="BS32" i="2"/>
  <c r="AO75" i="9"/>
  <c r="AP237" i="9"/>
  <c r="BW86" i="2"/>
  <c r="BX207" i="2"/>
  <c r="BQ81" i="2"/>
  <c r="BQ64" i="2"/>
  <c r="BQ35" i="2"/>
  <c r="BS35" i="2"/>
  <c r="BP84" i="2"/>
  <c r="BQ84" i="2"/>
  <c r="BQ39" i="2"/>
  <c r="BS39" i="2"/>
  <c r="BQ41" i="2"/>
  <c r="BS41" i="2"/>
  <c r="BQ57" i="2"/>
  <c r="BQ83" i="2"/>
  <c r="BQ68" i="2"/>
  <c r="BQ17" i="2"/>
  <c r="BS17" i="2"/>
  <c r="BQ80" i="2"/>
  <c r="BQ59" i="2"/>
  <c r="BQ28" i="2"/>
  <c r="BS28" i="2"/>
  <c r="BQ36" i="2"/>
  <c r="BS36" i="2"/>
  <c r="BQ55" i="2"/>
  <c r="BQ23" i="2"/>
  <c r="BS23" i="2"/>
  <c r="BQ61" i="2"/>
  <c r="BQ30" i="2"/>
  <c r="BS30" i="2"/>
  <c r="BQ45" i="2"/>
  <c r="BQ43" i="2"/>
  <c r="BS43" i="2"/>
  <c r="BQ77" i="2"/>
  <c r="BQ75" i="2"/>
  <c r="BQ33" i="2"/>
  <c r="BS33" i="2"/>
  <c r="BQ54" i="2"/>
  <c r="BQ67" i="2"/>
  <c r="BQ47" i="2"/>
  <c r="BQ70" i="2"/>
  <c r="BQ25" i="2"/>
  <c r="BS25" i="2"/>
  <c r="BQ79" i="2"/>
  <c r="BQ37" i="2"/>
  <c r="BS37" i="2"/>
  <c r="BQ60" i="2"/>
  <c r="BQ22" i="2"/>
  <c r="BS22" i="2"/>
  <c r="BQ52" i="2"/>
  <c r="BQ29" i="2"/>
  <c r="BS29" i="2"/>
  <c r="BQ44" i="2"/>
  <c r="BQ42" i="2"/>
  <c r="BS42" i="2"/>
  <c r="BQ38" i="2"/>
  <c r="BS38" i="2"/>
  <c r="BQ72" i="2"/>
  <c r="BQ48" i="2"/>
  <c r="BQ74" i="2"/>
  <c r="BR5" i="2"/>
  <c r="BQ63" i="2"/>
  <c r="BQ46" i="2"/>
  <c r="BQ69" i="2"/>
  <c r="BQ16" i="2"/>
  <c r="BS16" i="2"/>
  <c r="BQ56" i="2"/>
  <c r="BQ82" i="2"/>
  <c r="BQ27" i="2"/>
  <c r="BS27" i="2"/>
  <c r="BQ21" i="2"/>
  <c r="BS21" i="2"/>
  <c r="BQ62" i="2"/>
  <c r="BQ76" i="2"/>
  <c r="BQ31" i="2"/>
  <c r="BS31" i="2"/>
  <c r="BQ58" i="2"/>
  <c r="BQ50" i="2"/>
  <c r="BQ24" i="2"/>
  <c r="BS24" i="2"/>
  <c r="BQ40" i="2"/>
  <c r="BS40" i="2"/>
  <c r="BQ78" i="2"/>
  <c r="BQ71" i="2"/>
  <c r="BQ73" i="2"/>
  <c r="BT15" i="2"/>
  <c r="J15" i="20"/>
  <c r="BQ15" i="2"/>
  <c r="BS15" i="2"/>
  <c r="BQ19" i="2"/>
  <c r="BS19" i="2"/>
  <c r="BQ49" i="2"/>
  <c r="BQ53" i="2"/>
  <c r="BQ65" i="2"/>
  <c r="BQ66" i="2"/>
  <c r="BQ34" i="2"/>
  <c r="BS34" i="2"/>
  <c r="Z20" i="20"/>
  <c r="AA20" i="20"/>
  <c r="S10" i="39"/>
  <c r="I10" i="39"/>
  <c r="BK21" i="2"/>
  <c r="I21" i="20"/>
  <c r="Z21" i="20"/>
  <c r="AA21" i="20"/>
  <c r="CL22" i="2"/>
  <c r="L21" i="20"/>
  <c r="BJ79" i="2"/>
  <c r="CK79" i="2"/>
  <c r="BG84" i="2"/>
  <c r="CF84" i="2"/>
  <c r="BH83" i="2"/>
  <c r="CI83" i="2"/>
  <c r="CH83" i="2"/>
  <c r="AP31" i="26"/>
  <c r="R47" i="41"/>
  <c r="S48" i="41"/>
  <c r="AY84" i="2"/>
  <c r="R50" i="30"/>
  <c r="S50" i="30"/>
  <c r="CX147" i="10"/>
  <c r="AY99" i="40"/>
  <c r="AZ326" i="40"/>
  <c r="BE103" i="40"/>
  <c r="BF328" i="40"/>
  <c r="BE109" i="40"/>
  <c r="BF331" i="40"/>
  <c r="BA97" i="40"/>
  <c r="BB325" i="40"/>
  <c r="BE111" i="40"/>
  <c r="BF332" i="40"/>
  <c r="AZ105" i="40"/>
  <c r="BA329" i="40"/>
  <c r="BA107" i="40"/>
  <c r="BB330" i="40"/>
  <c r="BE93" i="40"/>
  <c r="BF323" i="40"/>
  <c r="BE101" i="40"/>
  <c r="BF327" i="40"/>
  <c r="BF95" i="40"/>
  <c r="BG324" i="40"/>
  <c r="BF91" i="40"/>
  <c r="BH302" i="40"/>
  <c r="BG51" i="40"/>
  <c r="BI303" i="40"/>
  <c r="BH53" i="40"/>
  <c r="BI308" i="40"/>
  <c r="BH63" i="40"/>
  <c r="BG313" i="40"/>
  <c r="BF73" i="40"/>
  <c r="BH315" i="40"/>
  <c r="BG77" i="40"/>
  <c r="BI314" i="40"/>
  <c r="BH75" i="40"/>
  <c r="BI298" i="40"/>
  <c r="BH43" i="40"/>
  <c r="BI318" i="40"/>
  <c r="BH83" i="40"/>
  <c r="BH319" i="40"/>
  <c r="BG85" i="40"/>
  <c r="BH307" i="40"/>
  <c r="BG61" i="40"/>
  <c r="BI301" i="40"/>
  <c r="BH49" i="40"/>
  <c r="BG311" i="40"/>
  <c r="BF69" i="40"/>
  <c r="BI306" i="40"/>
  <c r="BH59" i="40"/>
  <c r="BH317" i="40"/>
  <c r="BG81" i="40"/>
  <c r="BI312" i="40"/>
  <c r="BH71" i="40"/>
  <c r="BG309" i="40"/>
  <c r="BF65" i="40"/>
  <c r="BI320" i="40"/>
  <c r="BH87" i="40"/>
  <c r="BH310" i="40"/>
  <c r="BG67" i="40"/>
  <c r="BH321" i="40"/>
  <c r="BG89" i="40"/>
  <c r="BH297" i="40"/>
  <c r="BG41" i="40"/>
  <c r="BI322" i="40"/>
  <c r="BI304" i="40"/>
  <c r="BH55" i="40"/>
  <c r="BI316" i="40"/>
  <c r="BH79" i="40"/>
  <c r="BI299" i="40"/>
  <c r="BH45" i="40"/>
  <c r="BI300" i="40"/>
  <c r="BH47" i="40"/>
  <c r="BI305" i="40"/>
  <c r="BH57" i="40"/>
  <c r="S51" i="30"/>
  <c r="K61" i="11"/>
  <c r="L230" i="11"/>
  <c r="BU51" i="11"/>
  <c r="BV225" i="11"/>
  <c r="DA54" i="10"/>
  <c r="CZ144" i="10"/>
  <c r="AU81" i="10"/>
  <c r="AV240" i="10"/>
  <c r="BG237" i="11"/>
  <c r="BF75" i="11"/>
  <c r="BN71" i="22"/>
  <c r="BO235" i="22"/>
  <c r="BI59" i="8"/>
  <c r="BJ229" i="8"/>
  <c r="BY228" i="22"/>
  <c r="BX57" i="22"/>
  <c r="H81" i="8"/>
  <c r="I240" i="8"/>
  <c r="BQ61" i="7"/>
  <c r="BR230" i="7"/>
  <c r="BX233" i="7"/>
  <c r="BW67" i="7"/>
  <c r="BW239" i="8"/>
  <c r="BV79" i="8"/>
  <c r="BR223" i="11"/>
  <c r="BQ47" i="11"/>
  <c r="BW238" i="22"/>
  <c r="BV77" i="22"/>
  <c r="BM233" i="10"/>
  <c r="BL67" i="10"/>
  <c r="BW230" i="10"/>
  <c r="BV61" i="10"/>
  <c r="AV232" i="10"/>
  <c r="AU65" i="10"/>
  <c r="AY67" i="22"/>
  <c r="AZ233" i="22"/>
  <c r="BW234" i="10"/>
  <c r="BV69" i="10"/>
  <c r="BV238" i="7"/>
  <c r="BU77" i="7"/>
  <c r="BW235" i="8"/>
  <c r="BV71" i="8"/>
  <c r="BS239" i="11"/>
  <c r="BR79" i="11"/>
  <c r="BJ63" i="10"/>
  <c r="BK231" i="10"/>
  <c r="E55" i="11"/>
  <c r="F227" i="11"/>
  <c r="AV233" i="9"/>
  <c r="AU67" i="9"/>
  <c r="BO79" i="7"/>
  <c r="BP239" i="7"/>
  <c r="BL79" i="22"/>
  <c r="BM239" i="22"/>
  <c r="BN63" i="8"/>
  <c r="BO231" i="8"/>
  <c r="BL73" i="22"/>
  <c r="BM236" i="22"/>
  <c r="BT229" i="7"/>
  <c r="BS59" i="7"/>
  <c r="BW231" i="9"/>
  <c r="BV63" i="9"/>
  <c r="CY146" i="10"/>
  <c r="CY145" i="10"/>
  <c r="BW47" i="6"/>
  <c r="BX226" i="6"/>
  <c r="BV238" i="10"/>
  <c r="BU77" i="10"/>
  <c r="BM232" i="9"/>
  <c r="BL65" i="9"/>
  <c r="BH235" i="10"/>
  <c r="BG71" i="10"/>
  <c r="BU228" i="11"/>
  <c r="BT57" i="11"/>
  <c r="BN63" i="22"/>
  <c r="BO231" i="22"/>
  <c r="BM79" i="9"/>
  <c r="BN239" i="9"/>
  <c r="AT59" i="10"/>
  <c r="AU229" i="10"/>
  <c r="BV238" i="11"/>
  <c r="BU77" i="11"/>
  <c r="C97" i="38"/>
  <c r="U31" i="38"/>
  <c r="AD64" i="38"/>
  <c r="R36" i="2"/>
  <c r="D36" i="20"/>
  <c r="P34" i="20"/>
  <c r="Q34" i="20"/>
  <c r="C32" i="38"/>
  <c r="N24" i="39"/>
  <c r="D24" i="39"/>
  <c r="BX221" i="10"/>
  <c r="BW43" i="10"/>
  <c r="BX224" i="10"/>
  <c r="BW49" i="10"/>
  <c r="BX53" i="10"/>
  <c r="BY226" i="10"/>
  <c r="BW33" i="10"/>
  <c r="BX216" i="10"/>
  <c r="BX31" i="10"/>
  <c r="BY215" i="10"/>
  <c r="BW47" i="10"/>
  <c r="BX223" i="10"/>
  <c r="BW222" i="10"/>
  <c r="BV45" i="10"/>
  <c r="BW41" i="10"/>
  <c r="BX220" i="10"/>
  <c r="BW39" i="10"/>
  <c r="BX219" i="10"/>
  <c r="BX217" i="10"/>
  <c r="BW35" i="10"/>
  <c r="BX221" i="22"/>
  <c r="BW43" i="22"/>
  <c r="BX51" i="22"/>
  <c r="BY225" i="22"/>
  <c r="BW53" i="22"/>
  <c r="BX226" i="22"/>
  <c r="BW223" i="22"/>
  <c r="BV47" i="22"/>
  <c r="BX225" i="8"/>
  <c r="BW51" i="8"/>
  <c r="BY223" i="8"/>
  <c r="BX47" i="8"/>
  <c r="AT81" i="9"/>
  <c r="AU240" i="9"/>
  <c r="AU71" i="9"/>
  <c r="AV235" i="9"/>
  <c r="AV81" i="7"/>
  <c r="AW240" i="7"/>
  <c r="BC73" i="11"/>
  <c r="BD236" i="11"/>
  <c r="AX81" i="22"/>
  <c r="AY240" i="22"/>
  <c r="A88" i="2"/>
  <c r="A208" i="2"/>
  <c r="BW208" i="2"/>
  <c r="BY216" i="22"/>
  <c r="BX33" i="22"/>
  <c r="M69" i="11"/>
  <c r="N234" i="11"/>
  <c r="AS49" i="11"/>
  <c r="AT224" i="11"/>
  <c r="AM85" i="2"/>
  <c r="AO85" i="2"/>
  <c r="AP85" i="2"/>
  <c r="AN206" i="2"/>
  <c r="AV85" i="2"/>
  <c r="AX85" i="2"/>
  <c r="AY85" i="2"/>
  <c r="AW206" i="2"/>
  <c r="AZ69" i="22"/>
  <c r="BA234" i="22"/>
  <c r="BA81" i="11"/>
  <c r="BB240" i="11"/>
  <c r="H65" i="11"/>
  <c r="I232" i="11"/>
  <c r="AX75" i="8"/>
  <c r="AY237" i="8"/>
  <c r="BB69" i="8"/>
  <c r="BC234" i="8"/>
  <c r="BE61" i="8"/>
  <c r="BF230" i="8"/>
  <c r="BT73" i="9"/>
  <c r="BU236" i="9"/>
  <c r="AV65" i="22"/>
  <c r="AW232" i="22"/>
  <c r="AY75" i="7"/>
  <c r="AZ237" i="7"/>
  <c r="AK31" i="22"/>
  <c r="AL215" i="22"/>
  <c r="AR69" i="7"/>
  <c r="AS234" i="7"/>
  <c r="AH65" i="7"/>
  <c r="AI232" i="7"/>
  <c r="L85" i="2"/>
  <c r="N85" i="2"/>
  <c r="O85" i="2"/>
  <c r="M206" i="2"/>
  <c r="BN85" i="2"/>
  <c r="BP85" i="2"/>
  <c r="BO206" i="2"/>
  <c r="L63" i="11"/>
  <c r="M231" i="11"/>
  <c r="AO53" i="11"/>
  <c r="AP226" i="11"/>
  <c r="AW69" i="9"/>
  <c r="AX234" i="9"/>
  <c r="AZ71" i="7"/>
  <c r="BA235" i="7"/>
  <c r="BA61" i="22"/>
  <c r="BB230" i="22"/>
  <c r="AD85" i="2"/>
  <c r="AF85" i="2"/>
  <c r="AG85" i="2"/>
  <c r="AE206" i="2"/>
  <c r="C85" i="2"/>
  <c r="D206" i="2"/>
  <c r="AU57" i="10"/>
  <c r="AV228" i="10"/>
  <c r="BA67" i="11"/>
  <c r="BB233" i="11"/>
  <c r="AN73" i="10"/>
  <c r="AO236" i="10"/>
  <c r="AZ67" i="8"/>
  <c r="BA233" i="8"/>
  <c r="BT77" i="9"/>
  <c r="BU238" i="9"/>
  <c r="BC77" i="8"/>
  <c r="BD238" i="8"/>
  <c r="AX75" i="10"/>
  <c r="AY237" i="10"/>
  <c r="AM207" i="2"/>
  <c r="AV207" i="2"/>
  <c r="U207" i="2"/>
  <c r="L207" i="2"/>
  <c r="BN207" i="2"/>
  <c r="AD207" i="2"/>
  <c r="C207" i="2"/>
  <c r="BE207" i="2"/>
  <c r="AV79" i="10"/>
  <c r="AW239" i="10"/>
  <c r="BO73" i="8"/>
  <c r="BP236" i="8"/>
  <c r="AX75" i="22"/>
  <c r="AY237" i="22"/>
  <c r="BE85" i="2"/>
  <c r="BF206" i="2"/>
  <c r="U85" i="2"/>
  <c r="W85" i="2"/>
  <c r="X85" i="2"/>
  <c r="V206" i="2"/>
  <c r="R47" i="30"/>
  <c r="S38" i="30"/>
  <c r="R37" i="30"/>
  <c r="B20" i="26"/>
  <c r="BW45" i="8"/>
  <c r="BX222" i="8"/>
  <c r="BT217" i="8"/>
  <c r="BS35" i="8"/>
  <c r="BW221" i="8"/>
  <c r="BV43" i="8"/>
  <c r="BX216" i="11"/>
  <c r="BW33" i="11"/>
  <c r="BM63" i="7"/>
  <c r="BN231" i="7"/>
  <c r="BW31" i="9"/>
  <c r="BX215" i="9"/>
  <c r="BX53" i="9"/>
  <c r="BY226" i="9"/>
  <c r="BW222" i="1"/>
  <c r="BV31" i="1"/>
  <c r="BX65" i="1"/>
  <c r="BY239" i="1"/>
  <c r="BX35" i="1"/>
  <c r="BY224" i="1"/>
  <c r="BX233" i="1"/>
  <c r="BW53" i="1"/>
  <c r="BW223" i="1"/>
  <c r="BV33" i="1"/>
  <c r="BY236" i="1"/>
  <c r="BX59" i="1"/>
  <c r="BW51" i="1"/>
  <c r="BX232" i="1"/>
  <c r="T25" i="20"/>
  <c r="U25" i="20"/>
  <c r="E23" i="38"/>
  <c r="P15" i="39"/>
  <c r="E88" i="38"/>
  <c r="W22" i="38"/>
  <c r="AF55" i="38"/>
  <c r="BA55" i="2"/>
  <c r="BB16" i="2"/>
  <c r="H16" i="20"/>
  <c r="R5" i="39"/>
  <c r="H5" i="39"/>
  <c r="G13" i="38"/>
  <c r="X15" i="20"/>
  <c r="Y15" i="20"/>
  <c r="BW222" i="22"/>
  <c r="BV45" i="22"/>
  <c r="BW41" i="6"/>
  <c r="BX223" i="6"/>
  <c r="BW25" i="6"/>
  <c r="BX215" i="6"/>
  <c r="BX217" i="6"/>
  <c r="BV31" i="6"/>
  <c r="BW218" i="6"/>
  <c r="BX216" i="6"/>
  <c r="BW27" i="6"/>
  <c r="BX214" i="6"/>
  <c r="BW23" i="6"/>
  <c r="BX221" i="6"/>
  <c r="BW37" i="6"/>
  <c r="BW33" i="6"/>
  <c r="BX219" i="6"/>
  <c r="BV43" i="6"/>
  <c r="BW224" i="6"/>
  <c r="BW35" i="6"/>
  <c r="BX220" i="6"/>
  <c r="BX43" i="1"/>
  <c r="BY228" i="1"/>
  <c r="BU247" i="1"/>
  <c r="BT81" i="1"/>
  <c r="BS83" i="1"/>
  <c r="BT248" i="1"/>
  <c r="BV37" i="8"/>
  <c r="BW218" i="8"/>
  <c r="BT219" i="8"/>
  <c r="BS39" i="8"/>
  <c r="BT45" i="11"/>
  <c r="BU222" i="11"/>
  <c r="H83" i="38"/>
  <c r="H84" i="38"/>
  <c r="Z18" i="38"/>
  <c r="AI51" i="38"/>
  <c r="AA27" i="2"/>
  <c r="E27" i="20"/>
  <c r="V22" i="38"/>
  <c r="AE55" i="38"/>
  <c r="D88" i="38"/>
  <c r="R25" i="20"/>
  <c r="S25" i="20"/>
  <c r="D23" i="38"/>
  <c r="O15" i="39"/>
  <c r="BW219" i="22"/>
  <c r="BV39" i="22"/>
  <c r="BX224" i="22"/>
  <c r="BW49" i="22"/>
  <c r="BX217" i="22"/>
  <c r="BW35" i="22"/>
  <c r="BU220" i="7"/>
  <c r="BT41" i="7"/>
  <c r="BW218" i="7"/>
  <c r="BV37" i="7"/>
  <c r="BV39" i="7"/>
  <c r="BW219" i="7"/>
  <c r="BX217" i="7"/>
  <c r="BW35" i="7"/>
  <c r="BX221" i="7"/>
  <c r="BW43" i="7"/>
  <c r="BW215" i="7"/>
  <c r="BV31" i="7"/>
  <c r="BU222" i="6"/>
  <c r="BT39" i="6"/>
  <c r="BT227" i="9"/>
  <c r="BS55" i="9"/>
  <c r="BU219" i="9"/>
  <c r="BT39" i="9"/>
  <c r="BZ221" i="9"/>
  <c r="BY43" i="9"/>
  <c r="BY223" i="9"/>
  <c r="BX47" i="9"/>
  <c r="BW35" i="9"/>
  <c r="BX217" i="9"/>
  <c r="BW225" i="9"/>
  <c r="BV51" i="9"/>
  <c r="BX224" i="9"/>
  <c r="BW49" i="9"/>
  <c r="BX222" i="9"/>
  <c r="BW45" i="9"/>
  <c r="BU57" i="9"/>
  <c r="BV228" i="9"/>
  <c r="BV243" i="1"/>
  <c r="BU73" i="1"/>
  <c r="BW237" i="1"/>
  <c r="BV61" i="1"/>
  <c r="BY246" i="1"/>
  <c r="BX79" i="1"/>
  <c r="BW71" i="1"/>
  <c r="BX242" i="1"/>
  <c r="BX244" i="1"/>
  <c r="BW75" i="1"/>
  <c r="BR235" i="1"/>
  <c r="BQ57" i="1"/>
  <c r="BW240" i="1"/>
  <c r="BV67" i="1"/>
  <c r="BV245" i="1"/>
  <c r="BU77" i="1"/>
  <c r="BS221" i="11"/>
  <c r="BR43" i="11"/>
  <c r="AS18" i="2"/>
  <c r="G18" i="20"/>
  <c r="V16" i="20"/>
  <c r="W16" i="20"/>
  <c r="F14" i="38"/>
  <c r="Q6" i="39"/>
  <c r="G6" i="39"/>
  <c r="BU220" i="11"/>
  <c r="BT41" i="11"/>
  <c r="BU215" i="11"/>
  <c r="BW218" i="11"/>
  <c r="BV37" i="11"/>
  <c r="BX219" i="11"/>
  <c r="BW39" i="11"/>
  <c r="BX225" i="10"/>
  <c r="BW51" i="10"/>
  <c r="BX218" i="10"/>
  <c r="BW37" i="10"/>
  <c r="BY229" i="22"/>
  <c r="BX59" i="22"/>
  <c r="BX220" i="22"/>
  <c r="BW41" i="22"/>
  <c r="BX218" i="22"/>
  <c r="BX227" i="22"/>
  <c r="BW55" i="22"/>
  <c r="BV228" i="8"/>
  <c r="BU57" i="8"/>
  <c r="BX227" i="8"/>
  <c r="BW55" i="8"/>
  <c r="BY220" i="8"/>
  <c r="BX41" i="8"/>
  <c r="BY226" i="8"/>
  <c r="BX53" i="8"/>
  <c r="BY224" i="8"/>
  <c r="BX49" i="8"/>
  <c r="BY216" i="8"/>
  <c r="BX33" i="8"/>
  <c r="BZ215" i="8"/>
  <c r="BY31" i="8"/>
  <c r="BY227" i="7"/>
  <c r="BX55" i="7"/>
  <c r="BY226" i="7"/>
  <c r="BX53" i="7"/>
  <c r="BY225" i="7"/>
  <c r="BX51" i="7"/>
  <c r="BW223" i="7"/>
  <c r="BV47" i="7"/>
  <c r="BV222" i="7"/>
  <c r="BU45" i="7"/>
  <c r="BR216" i="7"/>
  <c r="BQ33" i="7"/>
  <c r="BY231" i="6"/>
  <c r="BX57" i="6"/>
  <c r="BY230" i="6"/>
  <c r="BX55" i="6"/>
  <c r="BY229" i="6"/>
  <c r="BX53" i="6"/>
  <c r="BY228" i="6"/>
  <c r="BX51" i="6"/>
  <c r="BY227" i="6"/>
  <c r="BX49" i="6"/>
  <c r="BW225" i="6"/>
  <c r="BV45" i="6"/>
  <c r="BX230" i="9"/>
  <c r="BW61" i="9"/>
  <c r="BY229" i="9"/>
  <c r="BX59" i="9"/>
  <c r="BX218" i="9"/>
  <c r="BW37" i="9"/>
  <c r="BX220" i="9"/>
  <c r="BW41" i="9"/>
  <c r="BU216" i="9"/>
  <c r="BT33" i="9"/>
  <c r="BW241" i="1"/>
  <c r="BV69" i="1"/>
  <c r="BY238" i="1"/>
  <c r="BX63" i="1"/>
  <c r="BW231" i="1"/>
  <c r="BV49" i="1"/>
  <c r="BY234" i="1"/>
  <c r="BX55" i="1"/>
  <c r="BY230" i="1"/>
  <c r="BX47" i="1"/>
  <c r="BW229" i="1"/>
  <c r="BV45" i="1"/>
  <c r="BY226" i="1"/>
  <c r="BX39" i="1"/>
  <c r="BW225" i="1"/>
  <c r="BV37" i="1"/>
  <c r="BW227" i="1"/>
  <c r="BV41" i="1"/>
  <c r="AJ27" i="2"/>
  <c r="F27" i="20"/>
  <c r="BX224" i="7"/>
  <c r="BW49" i="7"/>
  <c r="BX208" i="2"/>
  <c r="BW87" i="2"/>
  <c r="AN75" i="9"/>
  <c r="AO237" i="9"/>
  <c r="BQ85" i="2"/>
  <c r="S11" i="39"/>
  <c r="I11" i="39"/>
  <c r="T5" i="39"/>
  <c r="J5" i="39"/>
  <c r="I13" i="38"/>
  <c r="AB15" i="20"/>
  <c r="AC15" i="20"/>
  <c r="BT16" i="2"/>
  <c r="BR44" i="2"/>
  <c r="BS44" i="2"/>
  <c r="BR53" i="2"/>
  <c r="BS53" i="2"/>
  <c r="BR45" i="2"/>
  <c r="BS45" i="2"/>
  <c r="BR66" i="2"/>
  <c r="BS66" i="2"/>
  <c r="BR50" i="2"/>
  <c r="BS50" i="2"/>
  <c r="BR58" i="2"/>
  <c r="BS58" i="2"/>
  <c r="BR57" i="2"/>
  <c r="BS57" i="2"/>
  <c r="BR46" i="2"/>
  <c r="BS46" i="2"/>
  <c r="BR59" i="2"/>
  <c r="BS59" i="2"/>
  <c r="BR63" i="2"/>
  <c r="BS63" i="2"/>
  <c r="BR55" i="2"/>
  <c r="BS55" i="2"/>
  <c r="BR52" i="2"/>
  <c r="BS52" i="2"/>
  <c r="BR70" i="2"/>
  <c r="BS70" i="2"/>
  <c r="BR73" i="2"/>
  <c r="BS73" i="2"/>
  <c r="BR65" i="2"/>
  <c r="BS65" i="2"/>
  <c r="BR62" i="2"/>
  <c r="BS62" i="2"/>
  <c r="BR67" i="2"/>
  <c r="BS67" i="2"/>
  <c r="BR61" i="2"/>
  <c r="BS61" i="2"/>
  <c r="BR48" i="2"/>
  <c r="BS48" i="2"/>
  <c r="BR72" i="2"/>
  <c r="BS72" i="2"/>
  <c r="BR71" i="2"/>
  <c r="BS71" i="2"/>
  <c r="BR68" i="2"/>
  <c r="BS68" i="2"/>
  <c r="BR56" i="2"/>
  <c r="BS56" i="2"/>
  <c r="BR60" i="2"/>
  <c r="BS60" i="2"/>
  <c r="BR69" i="2"/>
  <c r="BS69" i="2"/>
  <c r="BR64" i="2"/>
  <c r="BS64" i="2"/>
  <c r="BR74" i="2"/>
  <c r="BS74" i="2"/>
  <c r="BS75" i="2"/>
  <c r="BS76" i="2"/>
  <c r="BS77" i="2"/>
  <c r="BS78" i="2"/>
  <c r="BS79" i="2"/>
  <c r="BS80" i="2"/>
  <c r="BS81" i="2"/>
  <c r="BS82" i="2"/>
  <c r="BS83" i="2"/>
  <c r="BS84" i="2"/>
  <c r="BS85" i="2"/>
  <c r="BS86" i="2"/>
  <c r="BS87" i="2"/>
  <c r="BS88" i="2"/>
  <c r="BS89" i="2"/>
  <c r="BS90" i="2"/>
  <c r="BS91" i="2"/>
  <c r="BS92" i="2"/>
  <c r="BS93" i="2"/>
  <c r="BS94" i="2"/>
  <c r="BS95" i="2"/>
  <c r="BS96" i="2"/>
  <c r="BS97" i="2"/>
  <c r="BS98" i="2"/>
  <c r="BS99" i="2"/>
  <c r="BS100" i="2"/>
  <c r="BS101" i="2"/>
  <c r="BS102" i="2"/>
  <c r="BS103" i="2"/>
  <c r="BS104" i="2"/>
  <c r="BS105" i="2"/>
  <c r="BS106" i="2"/>
  <c r="BS107" i="2"/>
  <c r="BS108" i="2"/>
  <c r="BS109" i="2"/>
  <c r="BS110" i="2"/>
  <c r="BS111" i="2"/>
  <c r="BS112" i="2"/>
  <c r="BS113" i="2"/>
  <c r="BR47" i="2"/>
  <c r="BS47" i="2"/>
  <c r="BR54" i="2"/>
  <c r="BS54" i="2"/>
  <c r="BR51" i="2"/>
  <c r="BS51" i="2"/>
  <c r="BR49" i="2"/>
  <c r="BS49" i="2"/>
  <c r="H19" i="38"/>
  <c r="Z19" i="38"/>
  <c r="AI52" i="38"/>
  <c r="BK22" i="2"/>
  <c r="I22" i="20"/>
  <c r="Z22" i="20"/>
  <c r="AA22" i="20"/>
  <c r="CL23" i="2"/>
  <c r="L22" i="20"/>
  <c r="BJ80" i="2"/>
  <c r="CK80" i="2"/>
  <c r="BG85" i="2"/>
  <c r="CF85" i="2"/>
  <c r="BH84" i="2"/>
  <c r="CI84" i="2"/>
  <c r="CH84" i="2"/>
  <c r="R46" i="41"/>
  <c r="S47" i="41"/>
  <c r="AP30" i="26"/>
  <c r="R49" i="30"/>
  <c r="R48" i="30"/>
  <c r="B30" i="26"/>
  <c r="B32" i="26"/>
  <c r="BE95" i="40"/>
  <c r="BF324" i="40"/>
  <c r="BD93" i="40"/>
  <c r="BE323" i="40"/>
  <c r="AY105" i="40"/>
  <c r="AZ329" i="40"/>
  <c r="AZ97" i="40"/>
  <c r="BA325" i="40"/>
  <c r="BD103" i="40"/>
  <c r="BE328" i="40"/>
  <c r="BD101" i="40"/>
  <c r="BE327" i="40"/>
  <c r="AZ107" i="40"/>
  <c r="BA330" i="40"/>
  <c r="BD111" i="40"/>
  <c r="BE332" i="40"/>
  <c r="BD109" i="40"/>
  <c r="BE331" i="40"/>
  <c r="AX99" i="40"/>
  <c r="AY326" i="40"/>
  <c r="BE91" i="40"/>
  <c r="BH299" i="40"/>
  <c r="BG45" i="40"/>
  <c r="BH304" i="40"/>
  <c r="BG55" i="40"/>
  <c r="BG310" i="40"/>
  <c r="BF67" i="40"/>
  <c r="BF309" i="40"/>
  <c r="BE65" i="40"/>
  <c r="BG317" i="40"/>
  <c r="BF81" i="40"/>
  <c r="BF311" i="40"/>
  <c r="BE69" i="40"/>
  <c r="BH318" i="40"/>
  <c r="BG83" i="40"/>
  <c r="BH314" i="40"/>
  <c r="BG75" i="40"/>
  <c r="BF313" i="40"/>
  <c r="BE73" i="40"/>
  <c r="BH303" i="40"/>
  <c r="BG53" i="40"/>
  <c r="BH300" i="40"/>
  <c r="BG47" i="40"/>
  <c r="BH316" i="40"/>
  <c r="BG79" i="40"/>
  <c r="BH322" i="40"/>
  <c r="BG321" i="40"/>
  <c r="BF89" i="40"/>
  <c r="BH320" i="40"/>
  <c r="BG87" i="40"/>
  <c r="BH312" i="40"/>
  <c r="BG71" i="40"/>
  <c r="BH306" i="40"/>
  <c r="BG59" i="40"/>
  <c r="BH301" i="40"/>
  <c r="BG49" i="40"/>
  <c r="BG319" i="40"/>
  <c r="BF85" i="40"/>
  <c r="BH298" i="40"/>
  <c r="BG43" i="40"/>
  <c r="BG315" i="40"/>
  <c r="BF77" i="40"/>
  <c r="BH308" i="40"/>
  <c r="BG63" i="40"/>
  <c r="BG302" i="40"/>
  <c r="BF51" i="40"/>
  <c r="BH305" i="40"/>
  <c r="BG57" i="40"/>
  <c r="BG297" i="40"/>
  <c r="BF41" i="40"/>
  <c r="BG307" i="40"/>
  <c r="BF61" i="40"/>
  <c r="BU238" i="11"/>
  <c r="BT77" i="11"/>
  <c r="BT228" i="11"/>
  <c r="BS57" i="11"/>
  <c r="BL232" i="9"/>
  <c r="BK65" i="9"/>
  <c r="BV231" i="9"/>
  <c r="BU63" i="9"/>
  <c r="AU233" i="9"/>
  <c r="AT67" i="9"/>
  <c r="BV235" i="8"/>
  <c r="BU71" i="8"/>
  <c r="BV234" i="10"/>
  <c r="BU69" i="10"/>
  <c r="AU232" i="10"/>
  <c r="AT65" i="10"/>
  <c r="BK67" i="10"/>
  <c r="BL233" i="10"/>
  <c r="BQ223" i="11"/>
  <c r="BP47" i="11"/>
  <c r="BW233" i="7"/>
  <c r="BV67" i="7"/>
  <c r="BE75" i="11"/>
  <c r="BF237" i="11"/>
  <c r="CZ145" i="10"/>
  <c r="CZ146" i="10"/>
  <c r="BL79" i="9"/>
  <c r="BM239" i="9"/>
  <c r="BW226" i="6"/>
  <c r="BV47" i="6"/>
  <c r="BL236" i="22"/>
  <c r="BK73" i="22"/>
  <c r="BK79" i="22"/>
  <c r="BL239" i="22"/>
  <c r="BI63" i="10"/>
  <c r="BJ231" i="10"/>
  <c r="H240" i="8"/>
  <c r="G81" i="8"/>
  <c r="BH59" i="8"/>
  <c r="BI229" i="8"/>
  <c r="DA144" i="10"/>
  <c r="DB54" i="10"/>
  <c r="BT51" i="11"/>
  <c r="BU225" i="11"/>
  <c r="BG235" i="10"/>
  <c r="BF71" i="10"/>
  <c r="BU238" i="10"/>
  <c r="BT77" i="10"/>
  <c r="BS229" i="7"/>
  <c r="BR59" i="7"/>
  <c r="BR239" i="11"/>
  <c r="BQ79" i="11"/>
  <c r="BU238" i="7"/>
  <c r="BT77" i="7"/>
  <c r="BV230" i="10"/>
  <c r="BU61" i="10"/>
  <c r="BV238" i="22"/>
  <c r="BU77" i="22"/>
  <c r="BV239" i="8"/>
  <c r="BU79" i="8"/>
  <c r="BX228" i="22"/>
  <c r="BW57" i="22"/>
  <c r="AT229" i="10"/>
  <c r="AS59" i="10"/>
  <c r="BM63" i="22"/>
  <c r="BN231" i="22"/>
  <c r="CY147" i="10"/>
  <c r="BM63" i="8"/>
  <c r="BN231" i="8"/>
  <c r="BN79" i="7"/>
  <c r="BO239" i="7"/>
  <c r="D55" i="11"/>
  <c r="E227" i="11"/>
  <c r="AX67" i="22"/>
  <c r="AY233" i="22"/>
  <c r="BP61" i="7"/>
  <c r="BQ230" i="7"/>
  <c r="BM71" i="22"/>
  <c r="BN235" i="22"/>
  <c r="AT81" i="10"/>
  <c r="AU240" i="10"/>
  <c r="J61" i="11"/>
  <c r="K230" i="11"/>
  <c r="R37" i="2"/>
  <c r="D37" i="20"/>
  <c r="C33" i="38"/>
  <c r="N25" i="39"/>
  <c r="P35" i="20"/>
  <c r="Q35" i="20"/>
  <c r="U32" i="38"/>
  <c r="AD65" i="38"/>
  <c r="C98" i="38"/>
  <c r="BW217" i="10"/>
  <c r="BV35" i="10"/>
  <c r="BW224" i="10"/>
  <c r="BV49" i="10"/>
  <c r="BW220" i="10"/>
  <c r="BV41" i="10"/>
  <c r="BW223" i="10"/>
  <c r="BV47" i="10"/>
  <c r="BV33" i="10"/>
  <c r="BW216" i="10"/>
  <c r="BV222" i="10"/>
  <c r="BU45" i="10"/>
  <c r="BW221" i="10"/>
  <c r="BV43" i="10"/>
  <c r="BV39" i="10"/>
  <c r="BW219" i="10"/>
  <c r="BW31" i="10"/>
  <c r="BX215" i="10"/>
  <c r="BW53" i="10"/>
  <c r="BX226" i="10"/>
  <c r="BW51" i="22"/>
  <c r="BX225" i="22"/>
  <c r="BV223" i="22"/>
  <c r="BU47" i="22"/>
  <c r="BW221" i="22"/>
  <c r="BV43" i="22"/>
  <c r="BW226" i="22"/>
  <c r="BV53" i="22"/>
  <c r="BV51" i="8"/>
  <c r="BW225" i="8"/>
  <c r="BW47" i="8"/>
  <c r="BX223" i="8"/>
  <c r="R6" i="39"/>
  <c r="H6" i="39"/>
  <c r="AW75" i="22"/>
  <c r="AX237" i="22"/>
  <c r="BN73" i="8"/>
  <c r="BO236" i="8"/>
  <c r="BN86" i="2"/>
  <c r="BP86" i="2"/>
  <c r="BQ86" i="2"/>
  <c r="BO207" i="2"/>
  <c r="AM86" i="2"/>
  <c r="AO86" i="2"/>
  <c r="AP86" i="2"/>
  <c r="AN207" i="2"/>
  <c r="BB77" i="8"/>
  <c r="BC238" i="8"/>
  <c r="AY67" i="8"/>
  <c r="AZ233" i="8"/>
  <c r="AZ67" i="11"/>
  <c r="BA233" i="11"/>
  <c r="AZ61" i="22"/>
  <c r="BA230" i="22"/>
  <c r="AN53" i="11"/>
  <c r="AO226" i="11"/>
  <c r="AG65" i="7"/>
  <c r="AH232" i="7"/>
  <c r="AJ31" i="22"/>
  <c r="AK215" i="22"/>
  <c r="AU65" i="22"/>
  <c r="AV232" i="22"/>
  <c r="BW33" i="22"/>
  <c r="BX216" i="22"/>
  <c r="BF207" i="2"/>
  <c r="BE86" i="2"/>
  <c r="L86" i="2"/>
  <c r="N86" i="2"/>
  <c r="O86" i="2"/>
  <c r="M207" i="2"/>
  <c r="BD61" i="8"/>
  <c r="BE230" i="8"/>
  <c r="AW75" i="8"/>
  <c r="AX237" i="8"/>
  <c r="AZ81" i="11"/>
  <c r="BA240" i="11"/>
  <c r="L69" i="11"/>
  <c r="M234" i="11"/>
  <c r="AW81" i="22"/>
  <c r="AX240" i="22"/>
  <c r="AU81" i="7"/>
  <c r="AV240" i="7"/>
  <c r="AS81" i="9"/>
  <c r="AT240" i="9"/>
  <c r="AU79" i="10"/>
  <c r="AV239" i="10"/>
  <c r="C86" i="2"/>
  <c r="D207" i="2"/>
  <c r="U86" i="2"/>
  <c r="W86" i="2"/>
  <c r="X86" i="2"/>
  <c r="V207" i="2"/>
  <c r="AW75" i="10"/>
  <c r="AX237" i="10"/>
  <c r="BS77" i="9"/>
  <c r="BT238" i="9"/>
  <c r="AM73" i="10"/>
  <c r="AN236" i="10"/>
  <c r="AT57" i="10"/>
  <c r="AU228" i="10"/>
  <c r="AY71" i="7"/>
  <c r="AZ235" i="7"/>
  <c r="AV69" i="9"/>
  <c r="AW234" i="9"/>
  <c r="K63" i="11"/>
  <c r="L231" i="11"/>
  <c r="AQ69" i="7"/>
  <c r="AR234" i="7"/>
  <c r="AX75" i="7"/>
  <c r="AY237" i="7"/>
  <c r="AM208" i="2"/>
  <c r="U208" i="2"/>
  <c r="C208" i="2"/>
  <c r="AV208" i="2"/>
  <c r="AD208" i="2"/>
  <c r="BN208" i="2"/>
  <c r="BE208" i="2"/>
  <c r="L208" i="2"/>
  <c r="AD86" i="2"/>
  <c r="AF86" i="2"/>
  <c r="AG86" i="2"/>
  <c r="AE207" i="2"/>
  <c r="AV86" i="2"/>
  <c r="AX86" i="2"/>
  <c r="AY86" i="2"/>
  <c r="AW207" i="2"/>
  <c r="BS73" i="9"/>
  <c r="BT236" i="9"/>
  <c r="BA69" i="8"/>
  <c r="BB234" i="8"/>
  <c r="G65" i="11"/>
  <c r="H232" i="11"/>
  <c r="AY69" i="22"/>
  <c r="AZ234" i="22"/>
  <c r="AR49" i="11"/>
  <c r="AS224" i="11"/>
  <c r="A209" i="2"/>
  <c r="BW209" i="2"/>
  <c r="A89" i="2"/>
  <c r="BB73" i="11"/>
  <c r="BC236" i="11"/>
  <c r="AT71" i="9"/>
  <c r="AU235" i="9"/>
  <c r="R46" i="30"/>
  <c r="S47" i="30"/>
  <c r="B29" i="26"/>
  <c r="B19" i="26"/>
  <c r="R36" i="30"/>
  <c r="S37" i="30"/>
  <c r="BW222" i="8"/>
  <c r="BV45" i="8"/>
  <c r="BV221" i="8"/>
  <c r="BU43" i="8"/>
  <c r="BS217" i="8"/>
  <c r="BR35" i="8"/>
  <c r="BW216" i="11"/>
  <c r="BV33" i="11"/>
  <c r="BL63" i="7"/>
  <c r="BM231" i="7"/>
  <c r="BW53" i="9"/>
  <c r="BX226" i="9"/>
  <c r="BW215" i="9"/>
  <c r="BV31" i="9"/>
  <c r="BU31" i="1"/>
  <c r="BV222" i="1"/>
  <c r="BX224" i="1"/>
  <c r="BW35" i="1"/>
  <c r="BX239" i="1"/>
  <c r="BW65" i="1"/>
  <c r="BW59" i="1"/>
  <c r="BX236" i="1"/>
  <c r="BV223" i="1"/>
  <c r="BU33" i="1"/>
  <c r="BW233" i="1"/>
  <c r="BV53" i="1"/>
  <c r="BV51" i="1"/>
  <c r="BW232" i="1"/>
  <c r="T26" i="20"/>
  <c r="U26" i="20"/>
  <c r="E24" i="38"/>
  <c r="P16" i="39"/>
  <c r="F16" i="39"/>
  <c r="E89" i="38"/>
  <c r="W23" i="38"/>
  <c r="AF56" i="38"/>
  <c r="BB17" i="2"/>
  <c r="H17" i="20"/>
  <c r="Y13" i="38"/>
  <c r="AH46" i="38"/>
  <c r="G79" i="38"/>
  <c r="BV222" i="22"/>
  <c r="BU45" i="22"/>
  <c r="BW221" i="6"/>
  <c r="BV37" i="6"/>
  <c r="BW214" i="6"/>
  <c r="BV23" i="6"/>
  <c r="BW216" i="6"/>
  <c r="BV27" i="6"/>
  <c r="BW220" i="6"/>
  <c r="BV35" i="6"/>
  <c r="BV224" i="6"/>
  <c r="BU43" i="6"/>
  <c r="BW219" i="6"/>
  <c r="BV33" i="6"/>
  <c r="BU31" i="6"/>
  <c r="BV218" i="6"/>
  <c r="BW217" i="6"/>
  <c r="BW215" i="6"/>
  <c r="BV25" i="6"/>
  <c r="BW223" i="6"/>
  <c r="BV41" i="6"/>
  <c r="BT247" i="1"/>
  <c r="BS81" i="1"/>
  <c r="BR83" i="1"/>
  <c r="BS248" i="1"/>
  <c r="BX228" i="1"/>
  <c r="BW43" i="1"/>
  <c r="BR39" i="8"/>
  <c r="BS219" i="8"/>
  <c r="BU37" i="8"/>
  <c r="BV218" i="8"/>
  <c r="BS45" i="11"/>
  <c r="BT222" i="11"/>
  <c r="V23" i="38"/>
  <c r="AE56" i="38"/>
  <c r="D89" i="38"/>
  <c r="AA28" i="2"/>
  <c r="E28" i="20"/>
  <c r="R26" i="20"/>
  <c r="S26" i="20"/>
  <c r="O16" i="39"/>
  <c r="E16" i="39"/>
  <c r="D24" i="38"/>
  <c r="BW224" i="22"/>
  <c r="BV49" i="22"/>
  <c r="BW217" i="22"/>
  <c r="BV35" i="22"/>
  <c r="BV219" i="22"/>
  <c r="BU39" i="22"/>
  <c r="BW217" i="7"/>
  <c r="BV35" i="7"/>
  <c r="BV218" i="7"/>
  <c r="BU37" i="7"/>
  <c r="BV215" i="7"/>
  <c r="BU31" i="7"/>
  <c r="BW221" i="7"/>
  <c r="BV43" i="7"/>
  <c r="BT220" i="7"/>
  <c r="BS41" i="7"/>
  <c r="BV219" i="7"/>
  <c r="BU39" i="7"/>
  <c r="BT222" i="6"/>
  <c r="BS39" i="6"/>
  <c r="BX223" i="9"/>
  <c r="BW47" i="9"/>
  <c r="BT219" i="9"/>
  <c r="BS39" i="9"/>
  <c r="BY221" i="9"/>
  <c r="BX43" i="9"/>
  <c r="BS227" i="9"/>
  <c r="BR55" i="9"/>
  <c r="BV35" i="9"/>
  <c r="BW217" i="9"/>
  <c r="BV225" i="9"/>
  <c r="BU51" i="9"/>
  <c r="BW222" i="9"/>
  <c r="BV45" i="9"/>
  <c r="BT57" i="9"/>
  <c r="BU228" i="9"/>
  <c r="BW224" i="9"/>
  <c r="BV49" i="9"/>
  <c r="BQ235" i="1"/>
  <c r="BP57" i="1"/>
  <c r="BU243" i="1"/>
  <c r="BT73" i="1"/>
  <c r="BU245" i="1"/>
  <c r="BT77" i="1"/>
  <c r="BV240" i="1"/>
  <c r="BU67" i="1"/>
  <c r="BW244" i="1"/>
  <c r="BV75" i="1"/>
  <c r="BX246" i="1"/>
  <c r="BW79" i="1"/>
  <c r="BV237" i="1"/>
  <c r="BU61" i="1"/>
  <c r="BW242" i="1"/>
  <c r="BV71" i="1"/>
  <c r="BR221" i="11"/>
  <c r="BQ43" i="11"/>
  <c r="F15" i="38"/>
  <c r="V17" i="20"/>
  <c r="W17" i="20"/>
  <c r="Q7" i="39"/>
  <c r="G7" i="39"/>
  <c r="F80" i="38"/>
  <c r="X14" i="38"/>
  <c r="AG47" i="38"/>
  <c r="AS19" i="2"/>
  <c r="G19" i="20"/>
  <c r="BV218" i="11"/>
  <c r="BU37" i="11"/>
  <c r="BT220" i="11"/>
  <c r="BS41" i="11"/>
  <c r="BW219" i="11"/>
  <c r="BV39" i="11"/>
  <c r="BT215" i="11"/>
  <c r="BW225" i="10"/>
  <c r="BV51" i="10"/>
  <c r="BW218" i="10"/>
  <c r="BV37" i="10"/>
  <c r="BX229" i="22"/>
  <c r="BW59" i="22"/>
  <c r="BW227" i="22"/>
  <c r="BV55" i="22"/>
  <c r="BW218" i="22"/>
  <c r="BW220" i="22"/>
  <c r="BV41" i="22"/>
  <c r="BU228" i="8"/>
  <c r="BT57" i="8"/>
  <c r="BW227" i="8"/>
  <c r="BV55" i="8"/>
  <c r="BX216" i="8"/>
  <c r="BW33" i="8"/>
  <c r="BX226" i="8"/>
  <c r="BW53" i="8"/>
  <c r="BY215" i="8"/>
  <c r="BX31" i="8"/>
  <c r="BX224" i="8"/>
  <c r="BW49" i="8"/>
  <c r="BX220" i="8"/>
  <c r="BW41" i="8"/>
  <c r="BX227" i="7"/>
  <c r="BW55" i="7"/>
  <c r="BX226" i="7"/>
  <c r="BW53" i="7"/>
  <c r="BX225" i="7"/>
  <c r="BW51" i="7"/>
  <c r="BQ216" i="7"/>
  <c r="BP33" i="7"/>
  <c r="BV223" i="7"/>
  <c r="BU47" i="7"/>
  <c r="BU222" i="7"/>
  <c r="BT45" i="7"/>
  <c r="BX231" i="6"/>
  <c r="BW57" i="6"/>
  <c r="BX230" i="6"/>
  <c r="BW55" i="6"/>
  <c r="BX229" i="6"/>
  <c r="BW53" i="6"/>
  <c r="BX228" i="6"/>
  <c r="BW51" i="6"/>
  <c r="BX227" i="6"/>
  <c r="BW49" i="6"/>
  <c r="BV225" i="6"/>
  <c r="BU45" i="6"/>
  <c r="BW230" i="9"/>
  <c r="BV61" i="9"/>
  <c r="BX229" i="9"/>
  <c r="BW59" i="9"/>
  <c r="BW220" i="9"/>
  <c r="BV41" i="9"/>
  <c r="BT216" i="9"/>
  <c r="BS33" i="9"/>
  <c r="BW218" i="9"/>
  <c r="BV37" i="9"/>
  <c r="BV241" i="1"/>
  <c r="BU69" i="1"/>
  <c r="BX238" i="1"/>
  <c r="BW63" i="1"/>
  <c r="BX230" i="1"/>
  <c r="BW47" i="1"/>
  <c r="BX234" i="1"/>
  <c r="BW55" i="1"/>
  <c r="BV231" i="1"/>
  <c r="BU49" i="1"/>
  <c r="BV229" i="1"/>
  <c r="BU45" i="1"/>
  <c r="BV227" i="1"/>
  <c r="BU41" i="1"/>
  <c r="BV225" i="1"/>
  <c r="BU37" i="1"/>
  <c r="BX226" i="1"/>
  <c r="BW39" i="1"/>
  <c r="AJ28" i="2"/>
  <c r="F28" i="20"/>
  <c r="BW224" i="7"/>
  <c r="BV49" i="7"/>
  <c r="AN237" i="9"/>
  <c r="AM75" i="9"/>
  <c r="BW88" i="2"/>
  <c r="BX209" i="2"/>
  <c r="S12" i="39"/>
  <c r="I12" i="39"/>
  <c r="H85" i="38"/>
  <c r="I79" i="38"/>
  <c r="AA13" i="38"/>
  <c r="AJ46" i="38"/>
  <c r="J16" i="20"/>
  <c r="BT17" i="2"/>
  <c r="H20" i="38"/>
  <c r="Z20" i="38"/>
  <c r="AI53" i="38"/>
  <c r="BK23" i="2"/>
  <c r="CL24" i="2"/>
  <c r="L23" i="20"/>
  <c r="BJ81" i="2"/>
  <c r="CK81" i="2"/>
  <c r="BG86" i="2"/>
  <c r="CF86" i="2"/>
  <c r="BH85" i="2"/>
  <c r="CI85" i="2"/>
  <c r="CH85" i="2"/>
  <c r="B31" i="26"/>
  <c r="S46" i="41"/>
  <c r="AP29" i="26"/>
  <c r="R45" i="41"/>
  <c r="S48" i="30"/>
  <c r="S49" i="30"/>
  <c r="CZ147" i="10"/>
  <c r="AW99" i="40"/>
  <c r="AX326" i="40"/>
  <c r="BC111" i="40"/>
  <c r="BD332" i="40"/>
  <c r="BC101" i="40"/>
  <c r="BD327" i="40"/>
  <c r="AY97" i="40"/>
  <c r="AZ325" i="40"/>
  <c r="BC93" i="40"/>
  <c r="BD323" i="40"/>
  <c r="BC109" i="40"/>
  <c r="BD331" i="40"/>
  <c r="AY107" i="40"/>
  <c r="AZ330" i="40"/>
  <c r="BC103" i="40"/>
  <c r="BD328" i="40"/>
  <c r="AX105" i="40"/>
  <c r="AY329" i="40"/>
  <c r="BD95" i="40"/>
  <c r="BE324" i="40"/>
  <c r="BD91" i="40"/>
  <c r="BF307" i="40"/>
  <c r="BE61" i="40"/>
  <c r="BG308" i="40"/>
  <c r="BF63" i="40"/>
  <c r="BG301" i="40"/>
  <c r="BF49" i="40"/>
  <c r="BG312" i="40"/>
  <c r="BF71" i="40"/>
  <c r="BF321" i="40"/>
  <c r="BE89" i="40"/>
  <c r="BG316" i="40"/>
  <c r="BF79" i="40"/>
  <c r="BG314" i="40"/>
  <c r="BF75" i="40"/>
  <c r="BE311" i="40"/>
  <c r="BD69" i="40"/>
  <c r="BE309" i="40"/>
  <c r="BD65" i="40"/>
  <c r="BG304" i="40"/>
  <c r="BF55" i="40"/>
  <c r="BF297" i="40"/>
  <c r="BE41" i="40"/>
  <c r="BF302" i="40"/>
  <c r="BE51" i="40"/>
  <c r="BF315" i="40"/>
  <c r="BE77" i="40"/>
  <c r="BF319" i="40"/>
  <c r="BE85" i="40"/>
  <c r="BG306" i="40"/>
  <c r="BF59" i="40"/>
  <c r="BG320" i="40"/>
  <c r="BF87" i="40"/>
  <c r="BG322" i="40"/>
  <c r="BG300" i="40"/>
  <c r="BF47" i="40"/>
  <c r="BE313" i="40"/>
  <c r="BD73" i="40"/>
  <c r="BG318" i="40"/>
  <c r="BF83" i="40"/>
  <c r="BF317" i="40"/>
  <c r="BE81" i="40"/>
  <c r="BF310" i="40"/>
  <c r="BE67" i="40"/>
  <c r="BG299" i="40"/>
  <c r="BF45" i="40"/>
  <c r="BG305" i="40"/>
  <c r="BF57" i="40"/>
  <c r="BG298" i="40"/>
  <c r="BF43" i="40"/>
  <c r="BG303" i="40"/>
  <c r="BF53" i="40"/>
  <c r="X16" i="20"/>
  <c r="Y16" i="20"/>
  <c r="G14" i="38"/>
  <c r="G80" i="38"/>
  <c r="I61" i="11"/>
  <c r="J230" i="11"/>
  <c r="AS81" i="10"/>
  <c r="AT240" i="10"/>
  <c r="BO61" i="7"/>
  <c r="BP230" i="7"/>
  <c r="C55" i="11"/>
  <c r="C227" i="11"/>
  <c r="D227" i="11"/>
  <c r="BL63" i="8"/>
  <c r="BM231" i="8"/>
  <c r="AR59" i="10"/>
  <c r="AS229" i="10"/>
  <c r="BU239" i="8"/>
  <c r="BT79" i="8"/>
  <c r="BT61" i="10"/>
  <c r="BU230" i="10"/>
  <c r="BQ239" i="11"/>
  <c r="BP79" i="11"/>
  <c r="BS77" i="10"/>
  <c r="BT238" i="10"/>
  <c r="BJ73" i="22"/>
  <c r="BK236" i="22"/>
  <c r="BP223" i="11"/>
  <c r="BO47" i="11"/>
  <c r="AT232" i="10"/>
  <c r="AS65" i="10"/>
  <c r="BU235" i="8"/>
  <c r="BT71" i="8"/>
  <c r="BU231" i="9"/>
  <c r="BT63" i="9"/>
  <c r="BS228" i="11"/>
  <c r="BR57" i="11"/>
  <c r="BS51" i="11"/>
  <c r="BT225" i="11"/>
  <c r="BG59" i="8"/>
  <c r="BH229" i="8"/>
  <c r="BH63" i="10"/>
  <c r="BI231" i="10"/>
  <c r="BK79" i="9"/>
  <c r="BL239" i="9"/>
  <c r="BD75" i="11"/>
  <c r="BE237" i="11"/>
  <c r="BL71" i="22"/>
  <c r="BM235" i="22"/>
  <c r="AW67" i="22"/>
  <c r="AX233" i="22"/>
  <c r="BM79" i="7"/>
  <c r="BN239" i="7"/>
  <c r="BV57" i="22"/>
  <c r="BW228" i="22"/>
  <c r="BU238" i="22"/>
  <c r="BT77" i="22"/>
  <c r="BT238" i="7"/>
  <c r="BS77" i="7"/>
  <c r="BR229" i="7"/>
  <c r="BQ59" i="7"/>
  <c r="BE71" i="10"/>
  <c r="BF235" i="10"/>
  <c r="DB144" i="10"/>
  <c r="DC54" i="10"/>
  <c r="F81" i="8"/>
  <c r="G240" i="8"/>
  <c r="BV226" i="6"/>
  <c r="BU47" i="6"/>
  <c r="BV233" i="7"/>
  <c r="BU67" i="7"/>
  <c r="BU234" i="10"/>
  <c r="BT69" i="10"/>
  <c r="AS67" i="9"/>
  <c r="AT233" i="9"/>
  <c r="BK232" i="9"/>
  <c r="BJ65" i="9"/>
  <c r="BT238" i="11"/>
  <c r="BS77" i="11"/>
  <c r="BL63" i="22"/>
  <c r="BM231" i="22"/>
  <c r="DA146" i="10"/>
  <c r="DA145" i="10"/>
  <c r="BJ79" i="22"/>
  <c r="BK239" i="22"/>
  <c r="BJ67" i="10"/>
  <c r="BK233" i="10"/>
  <c r="C99" i="38"/>
  <c r="U33" i="38"/>
  <c r="AD66" i="38"/>
  <c r="R38" i="2"/>
  <c r="D38" i="20"/>
  <c r="N26" i="39"/>
  <c r="P36" i="20"/>
  <c r="Q36" i="20"/>
  <c r="C34" i="38"/>
  <c r="BT45" i="10"/>
  <c r="BU222" i="10"/>
  <c r="BV223" i="10"/>
  <c r="BU47" i="10"/>
  <c r="BU49" i="10"/>
  <c r="BV224" i="10"/>
  <c r="BV53" i="10"/>
  <c r="BW226" i="10"/>
  <c r="BV219" i="10"/>
  <c r="BU39" i="10"/>
  <c r="BV221" i="10"/>
  <c r="BU43" i="10"/>
  <c r="BU41" i="10"/>
  <c r="BV220" i="10"/>
  <c r="BV217" i="10"/>
  <c r="BU35" i="10"/>
  <c r="BV31" i="10"/>
  <c r="BW215" i="10"/>
  <c r="BV216" i="10"/>
  <c r="BU33" i="10"/>
  <c r="BU43" i="22"/>
  <c r="BV221" i="22"/>
  <c r="BW225" i="22"/>
  <c r="BV51" i="22"/>
  <c r="BU53" i="22"/>
  <c r="BV226" i="22"/>
  <c r="BU223" i="22"/>
  <c r="BT47" i="22"/>
  <c r="BV47" i="8"/>
  <c r="BW223" i="8"/>
  <c r="BU51" i="8"/>
  <c r="BV225" i="8"/>
  <c r="AX69" i="22"/>
  <c r="AY234" i="22"/>
  <c r="BR73" i="9"/>
  <c r="BS236" i="9"/>
  <c r="AD87" i="2"/>
  <c r="AF87" i="2"/>
  <c r="AG87" i="2"/>
  <c r="AE208" i="2"/>
  <c r="AN208" i="2"/>
  <c r="AM87" i="2"/>
  <c r="AO87" i="2"/>
  <c r="AP87" i="2"/>
  <c r="AP69" i="7"/>
  <c r="AQ234" i="7"/>
  <c r="AX71" i="7"/>
  <c r="AY235" i="7"/>
  <c r="AS57" i="10"/>
  <c r="AT228" i="10"/>
  <c r="BR77" i="9"/>
  <c r="BS238" i="9"/>
  <c r="AV75" i="10"/>
  <c r="AW237" i="10"/>
  <c r="AT79" i="10"/>
  <c r="AU239" i="10"/>
  <c r="AS71" i="9"/>
  <c r="AT235" i="9"/>
  <c r="L87" i="2"/>
  <c r="N87" i="2"/>
  <c r="O87" i="2"/>
  <c r="M208" i="2"/>
  <c r="AV87" i="2"/>
  <c r="AX87" i="2"/>
  <c r="AY87" i="2"/>
  <c r="AW208" i="2"/>
  <c r="AR81" i="9"/>
  <c r="AS240" i="9"/>
  <c r="AV81" i="22"/>
  <c r="AW240" i="22"/>
  <c r="K69" i="11"/>
  <c r="L234" i="11"/>
  <c r="AY81" i="11"/>
  <c r="AZ240" i="11"/>
  <c r="AT65" i="22"/>
  <c r="AU232" i="22"/>
  <c r="AI31" i="22"/>
  <c r="AJ215" i="22"/>
  <c r="AF65" i="7"/>
  <c r="AG232" i="7"/>
  <c r="AY61" i="22"/>
  <c r="AZ230" i="22"/>
  <c r="AY67" i="11"/>
  <c r="AZ233" i="11"/>
  <c r="BM73" i="8"/>
  <c r="BN236" i="8"/>
  <c r="AV75" i="22"/>
  <c r="AW237" i="22"/>
  <c r="A90" i="2"/>
  <c r="A210" i="2"/>
  <c r="BW210" i="2"/>
  <c r="AQ49" i="11"/>
  <c r="AR224" i="11"/>
  <c r="F65" i="11"/>
  <c r="G232" i="11"/>
  <c r="AZ69" i="8"/>
  <c r="BA234" i="8"/>
  <c r="BE87" i="2"/>
  <c r="BF208" i="2"/>
  <c r="C87" i="2"/>
  <c r="D208" i="2"/>
  <c r="AW75" i="7"/>
  <c r="AX237" i="7"/>
  <c r="J63" i="11"/>
  <c r="K231" i="11"/>
  <c r="AU69" i="9"/>
  <c r="AV234" i="9"/>
  <c r="AL73" i="10"/>
  <c r="AM236" i="10"/>
  <c r="BA73" i="11"/>
  <c r="BB236" i="11"/>
  <c r="AD209" i="2"/>
  <c r="BN209" i="2"/>
  <c r="U209" i="2"/>
  <c r="BE209" i="2"/>
  <c r="L209" i="2"/>
  <c r="AV209" i="2"/>
  <c r="AM209" i="2"/>
  <c r="C209" i="2"/>
  <c r="BN87" i="2"/>
  <c r="BP87" i="2"/>
  <c r="BQ87" i="2"/>
  <c r="BO208" i="2"/>
  <c r="V208" i="2"/>
  <c r="U87" i="2"/>
  <c r="W87" i="2"/>
  <c r="X87" i="2"/>
  <c r="AT81" i="7"/>
  <c r="AU240" i="7"/>
  <c r="AV75" i="8"/>
  <c r="AW237" i="8"/>
  <c r="BC61" i="8"/>
  <c r="BD230" i="8"/>
  <c r="BW216" i="22"/>
  <c r="BV33" i="22"/>
  <c r="AM53" i="11"/>
  <c r="AN226" i="11"/>
  <c r="AX67" i="8"/>
  <c r="AY233" i="8"/>
  <c r="BA77" i="8"/>
  <c r="BB238" i="8"/>
  <c r="S46" i="30"/>
  <c r="R45" i="30"/>
  <c r="B28" i="26"/>
  <c r="S36" i="30"/>
  <c r="B18" i="26"/>
  <c r="BR217" i="8"/>
  <c r="BQ35" i="8"/>
  <c r="BT43" i="8"/>
  <c r="BU221" i="8"/>
  <c r="BU45" i="8"/>
  <c r="BV222" i="8"/>
  <c r="BV216" i="11"/>
  <c r="BU33" i="11"/>
  <c r="BK63" i="7"/>
  <c r="BL231" i="7"/>
  <c r="BV53" i="9"/>
  <c r="BW226" i="9"/>
  <c r="BU31" i="9"/>
  <c r="BV215" i="9"/>
  <c r="BU222" i="1"/>
  <c r="BT31" i="1"/>
  <c r="BV59" i="1"/>
  <c r="BW236" i="1"/>
  <c r="BU53" i="1"/>
  <c r="BV233" i="1"/>
  <c r="BU223" i="1"/>
  <c r="BT33" i="1"/>
  <c r="BW239" i="1"/>
  <c r="BV65" i="1"/>
  <c r="BV35" i="1"/>
  <c r="BW224" i="1"/>
  <c r="BU51" i="1"/>
  <c r="BV232" i="1"/>
  <c r="W24" i="38"/>
  <c r="AF57" i="38"/>
  <c r="E90" i="38"/>
  <c r="P17" i="39"/>
  <c r="T27" i="20"/>
  <c r="U27" i="20"/>
  <c r="E25" i="38"/>
  <c r="BB18" i="2"/>
  <c r="H18" i="20"/>
  <c r="BT45" i="22"/>
  <c r="BU222" i="22"/>
  <c r="BV223" i="6"/>
  <c r="BU41" i="6"/>
  <c r="BV215" i="6"/>
  <c r="BU25" i="6"/>
  <c r="BV217" i="6"/>
  <c r="BV219" i="6"/>
  <c r="BU33" i="6"/>
  <c r="BU224" i="6"/>
  <c r="BT43" i="6"/>
  <c r="BV220" i="6"/>
  <c r="BU35" i="6"/>
  <c r="BU27" i="6"/>
  <c r="BV216" i="6"/>
  <c r="BV214" i="6"/>
  <c r="BU23" i="6"/>
  <c r="BV221" i="6"/>
  <c r="BU37" i="6"/>
  <c r="BU218" i="6"/>
  <c r="BT31" i="6"/>
  <c r="BV43" i="1"/>
  <c r="BW228" i="1"/>
  <c r="BS247" i="1"/>
  <c r="BR81" i="1"/>
  <c r="BQ83" i="1"/>
  <c r="BR248" i="1"/>
  <c r="BU218" i="8"/>
  <c r="BT37" i="8"/>
  <c r="BQ39" i="8"/>
  <c r="BR219" i="8"/>
  <c r="BR45" i="11"/>
  <c r="BS222" i="11"/>
  <c r="AA29" i="2"/>
  <c r="E29" i="20"/>
  <c r="V24" i="38"/>
  <c r="AE57" i="38"/>
  <c r="D90" i="38"/>
  <c r="O17" i="39"/>
  <c r="D25" i="38"/>
  <c r="R27" i="20"/>
  <c r="S27" i="20"/>
  <c r="BV217" i="22"/>
  <c r="BU35" i="22"/>
  <c r="BT39" i="22"/>
  <c r="BU219" i="22"/>
  <c r="BV224" i="22"/>
  <c r="BU49" i="22"/>
  <c r="BS220" i="7"/>
  <c r="BR41" i="7"/>
  <c r="BU215" i="7"/>
  <c r="BT31" i="7"/>
  <c r="BU218" i="7"/>
  <c r="BT37" i="7"/>
  <c r="BT39" i="7"/>
  <c r="BU219" i="7"/>
  <c r="BV221" i="7"/>
  <c r="BU43" i="7"/>
  <c r="BV217" i="7"/>
  <c r="BU35" i="7"/>
  <c r="BS222" i="6"/>
  <c r="BR39" i="6"/>
  <c r="BR227" i="9"/>
  <c r="BQ55" i="9"/>
  <c r="BS219" i="9"/>
  <c r="BR39" i="9"/>
  <c r="BX221" i="9"/>
  <c r="BW43" i="9"/>
  <c r="BW223" i="9"/>
  <c r="BV47" i="9"/>
  <c r="BU35" i="9"/>
  <c r="BV217" i="9"/>
  <c r="BU225" i="9"/>
  <c r="BT51" i="9"/>
  <c r="BV222" i="9"/>
  <c r="BU45" i="9"/>
  <c r="BV224" i="9"/>
  <c r="BU49" i="9"/>
  <c r="BS57" i="9"/>
  <c r="BT228" i="9"/>
  <c r="BV242" i="1"/>
  <c r="BU71" i="1"/>
  <c r="BW246" i="1"/>
  <c r="BV79" i="1"/>
  <c r="BU240" i="1"/>
  <c r="BT67" i="1"/>
  <c r="BU237" i="1"/>
  <c r="BT61" i="1"/>
  <c r="BV244" i="1"/>
  <c r="BU75" i="1"/>
  <c r="BT245" i="1"/>
  <c r="BS77" i="1"/>
  <c r="BT243" i="1"/>
  <c r="BS73" i="1"/>
  <c r="BP235" i="1"/>
  <c r="BO57" i="1"/>
  <c r="BQ221" i="11"/>
  <c r="BP43" i="11"/>
  <c r="F81" i="38"/>
  <c r="X15" i="38"/>
  <c r="AG48" i="38"/>
  <c r="AS20" i="2"/>
  <c r="G20" i="20"/>
  <c r="F16" i="38"/>
  <c r="V18" i="20"/>
  <c r="W18" i="20"/>
  <c r="Q8" i="39"/>
  <c r="G8" i="39"/>
  <c r="BV219" i="11"/>
  <c r="BU39" i="11"/>
  <c r="BU218" i="11"/>
  <c r="BT37" i="11"/>
  <c r="BS215" i="11"/>
  <c r="BS220" i="11"/>
  <c r="BR41" i="11"/>
  <c r="BV225" i="10"/>
  <c r="BU51" i="10"/>
  <c r="BV218" i="10"/>
  <c r="BU37" i="10"/>
  <c r="BW229" i="22"/>
  <c r="BV59" i="22"/>
  <c r="BV220" i="22"/>
  <c r="BU41" i="22"/>
  <c r="BV218" i="22"/>
  <c r="BV227" i="22"/>
  <c r="BU55" i="22"/>
  <c r="BT228" i="8"/>
  <c r="BS57" i="8"/>
  <c r="BV227" i="8"/>
  <c r="BU55" i="8"/>
  <c r="BW220" i="8"/>
  <c r="BV41" i="8"/>
  <c r="BW224" i="8"/>
  <c r="BV49" i="8"/>
  <c r="BX215" i="8"/>
  <c r="BW31" i="8"/>
  <c r="BW226" i="8"/>
  <c r="BV53" i="8"/>
  <c r="BW216" i="8"/>
  <c r="BV33" i="8"/>
  <c r="BW227" i="7"/>
  <c r="BV55" i="7"/>
  <c r="BW226" i="7"/>
  <c r="BV53" i="7"/>
  <c r="BW225" i="7"/>
  <c r="BV51" i="7"/>
  <c r="BU223" i="7"/>
  <c r="BT47" i="7"/>
  <c r="BP216" i="7"/>
  <c r="BO33" i="7"/>
  <c r="BT222" i="7"/>
  <c r="BS45" i="7"/>
  <c r="BW231" i="6"/>
  <c r="BV57" i="6"/>
  <c r="BW230" i="6"/>
  <c r="BV55" i="6"/>
  <c r="BW229" i="6"/>
  <c r="BV53" i="6"/>
  <c r="BW228" i="6"/>
  <c r="BV51" i="6"/>
  <c r="BW227" i="6"/>
  <c r="BV49" i="6"/>
  <c r="BU225" i="6"/>
  <c r="BT45" i="6"/>
  <c r="BV230" i="9"/>
  <c r="BU61" i="9"/>
  <c r="BW229" i="9"/>
  <c r="BV59" i="9"/>
  <c r="BV218" i="9"/>
  <c r="BU37" i="9"/>
  <c r="BS216" i="9"/>
  <c r="BR33" i="9"/>
  <c r="BV220" i="9"/>
  <c r="BU41" i="9"/>
  <c r="BU241" i="1"/>
  <c r="BT69" i="1"/>
  <c r="BW238" i="1"/>
  <c r="BV63" i="1"/>
  <c r="BW234" i="1"/>
  <c r="BV55" i="1"/>
  <c r="BW230" i="1"/>
  <c r="BV47" i="1"/>
  <c r="BU231" i="1"/>
  <c r="BT49" i="1"/>
  <c r="BU229" i="1"/>
  <c r="BT45" i="1"/>
  <c r="BU225" i="1"/>
  <c r="BT37" i="1"/>
  <c r="BW226" i="1"/>
  <c r="BV39" i="1"/>
  <c r="BU227" i="1"/>
  <c r="BT41" i="1"/>
  <c r="BS114" i="2"/>
  <c r="AJ29" i="2"/>
  <c r="F29" i="20"/>
  <c r="BU49" i="7"/>
  <c r="BV224" i="7"/>
  <c r="BW89" i="2"/>
  <c r="BX210" i="2"/>
  <c r="AM237" i="9"/>
  <c r="AL75" i="9"/>
  <c r="H86" i="38"/>
  <c r="J17" i="20"/>
  <c r="BT18" i="2"/>
  <c r="I14" i="38"/>
  <c r="AB16" i="20"/>
  <c r="AC16" i="20"/>
  <c r="T6" i="39"/>
  <c r="J6" i="39"/>
  <c r="I23" i="20"/>
  <c r="BK24" i="2"/>
  <c r="CL25" i="2"/>
  <c r="L24" i="20"/>
  <c r="BJ82" i="2"/>
  <c r="CK82" i="2"/>
  <c r="BG87" i="2"/>
  <c r="CF87" i="2"/>
  <c r="BH86" i="2"/>
  <c r="CI86" i="2"/>
  <c r="CH86" i="2"/>
  <c r="AP28" i="26"/>
  <c r="S45" i="41"/>
  <c r="R44" i="41"/>
  <c r="DA147" i="10"/>
  <c r="BC95" i="40"/>
  <c r="BD324" i="40"/>
  <c r="BB103" i="40"/>
  <c r="BC328" i="40"/>
  <c r="BB109" i="40"/>
  <c r="BC331" i="40"/>
  <c r="AX97" i="40"/>
  <c r="AY325" i="40"/>
  <c r="BB111" i="40"/>
  <c r="BC332" i="40"/>
  <c r="AW105" i="40"/>
  <c r="AX329" i="40"/>
  <c r="AX107" i="40"/>
  <c r="AY330" i="40"/>
  <c r="BB93" i="40"/>
  <c r="BC323" i="40"/>
  <c r="BB101" i="40"/>
  <c r="BC327" i="40"/>
  <c r="AV99" i="40"/>
  <c r="AW326" i="40"/>
  <c r="BC91" i="40"/>
  <c r="BF305" i="40"/>
  <c r="BE57" i="40"/>
  <c r="BE310" i="40"/>
  <c r="BD67" i="40"/>
  <c r="BF320" i="40"/>
  <c r="BE87" i="40"/>
  <c r="BE319" i="40"/>
  <c r="BD85" i="40"/>
  <c r="BE302" i="40"/>
  <c r="BD51" i="40"/>
  <c r="BF304" i="40"/>
  <c r="BE55" i="40"/>
  <c r="BF316" i="40"/>
  <c r="BE79" i="40"/>
  <c r="BF312" i="40"/>
  <c r="BE71" i="40"/>
  <c r="BF308" i="40"/>
  <c r="BE63" i="40"/>
  <c r="BF298" i="40"/>
  <c r="BE43" i="40"/>
  <c r="BF299" i="40"/>
  <c r="BE45" i="40"/>
  <c r="BE317" i="40"/>
  <c r="BD81" i="40"/>
  <c r="BD313" i="40"/>
  <c r="BC73" i="40"/>
  <c r="BF322" i="40"/>
  <c r="BF306" i="40"/>
  <c r="BE59" i="40"/>
  <c r="BE315" i="40"/>
  <c r="BD77" i="40"/>
  <c r="BE297" i="40"/>
  <c r="BD41" i="40"/>
  <c r="BD309" i="40"/>
  <c r="BC65" i="40"/>
  <c r="BF314" i="40"/>
  <c r="BE75" i="40"/>
  <c r="BE321" i="40"/>
  <c r="BD89" i="40"/>
  <c r="BF301" i="40"/>
  <c r="BE49" i="40"/>
  <c r="BE307" i="40"/>
  <c r="BD61" i="40"/>
  <c r="BF303" i="40"/>
  <c r="BE53" i="40"/>
  <c r="BF318" i="40"/>
  <c r="BE83" i="40"/>
  <c r="BF300" i="40"/>
  <c r="BE47" i="40"/>
  <c r="BD311" i="40"/>
  <c r="BC69" i="40"/>
  <c r="Y14" i="38"/>
  <c r="AH47" i="38"/>
  <c r="BS238" i="11"/>
  <c r="BR77" i="11"/>
  <c r="BU233" i="7"/>
  <c r="BT67" i="7"/>
  <c r="BS238" i="7"/>
  <c r="BR77" i="7"/>
  <c r="BR228" i="11"/>
  <c r="BQ57" i="11"/>
  <c r="BT235" i="8"/>
  <c r="BS71" i="8"/>
  <c r="BO223" i="11"/>
  <c r="BN47" i="11"/>
  <c r="BI67" i="10"/>
  <c r="BJ233" i="10"/>
  <c r="AR67" i="9"/>
  <c r="AS233" i="9"/>
  <c r="E81" i="8"/>
  <c r="F240" i="8"/>
  <c r="BD71" i="10"/>
  <c r="BE235" i="10"/>
  <c r="BV228" i="22"/>
  <c r="BU57" i="22"/>
  <c r="AV67" i="22"/>
  <c r="AW233" i="22"/>
  <c r="BC75" i="11"/>
  <c r="BD237" i="11"/>
  <c r="BG63" i="10"/>
  <c r="BH231" i="10"/>
  <c r="BR51" i="11"/>
  <c r="BS225" i="11"/>
  <c r="BR77" i="10"/>
  <c r="BS238" i="10"/>
  <c r="BS61" i="10"/>
  <c r="BT230" i="10"/>
  <c r="AR229" i="10"/>
  <c r="AQ59" i="10"/>
  <c r="AR81" i="10"/>
  <c r="AS240" i="10"/>
  <c r="BJ232" i="9"/>
  <c r="BI65" i="9"/>
  <c r="BT234" i="10"/>
  <c r="BS69" i="10"/>
  <c r="BU226" i="6"/>
  <c r="BT47" i="6"/>
  <c r="DC144" i="10"/>
  <c r="DD54" i="10"/>
  <c r="BQ229" i="7"/>
  <c r="BP59" i="7"/>
  <c r="BT238" i="22"/>
  <c r="BS77" i="22"/>
  <c r="BT231" i="9"/>
  <c r="BS63" i="9"/>
  <c r="AR65" i="10"/>
  <c r="AS232" i="10"/>
  <c r="BP239" i="11"/>
  <c r="BO79" i="11"/>
  <c r="BT239" i="8"/>
  <c r="BS79" i="8"/>
  <c r="BI79" i="22"/>
  <c r="BJ239" i="22"/>
  <c r="BL231" i="22"/>
  <c r="BK63" i="22"/>
  <c r="DB145" i="10"/>
  <c r="DB146" i="10"/>
  <c r="BM239" i="7"/>
  <c r="BL79" i="7"/>
  <c r="BK71" i="22"/>
  <c r="BL235" i="22"/>
  <c r="BJ79" i="9"/>
  <c r="BK239" i="9"/>
  <c r="BF59" i="8"/>
  <c r="BG229" i="8"/>
  <c r="BJ236" i="22"/>
  <c r="BI73" i="22"/>
  <c r="BK63" i="8"/>
  <c r="BL231" i="8"/>
  <c r="BO230" i="7"/>
  <c r="BN61" i="7"/>
  <c r="H61" i="11"/>
  <c r="I230" i="11"/>
  <c r="R39" i="2"/>
  <c r="D39" i="20"/>
  <c r="C100" i="38"/>
  <c r="U34" i="38"/>
  <c r="AD67" i="38"/>
  <c r="P37" i="20"/>
  <c r="Q37" i="20"/>
  <c r="C35" i="38"/>
  <c r="N27" i="39"/>
  <c r="BU216" i="10"/>
  <c r="BT33" i="10"/>
  <c r="BU217" i="10"/>
  <c r="BT35" i="10"/>
  <c r="BU221" i="10"/>
  <c r="BT43" i="10"/>
  <c r="BU223" i="10"/>
  <c r="BT47" i="10"/>
  <c r="BU53" i="10"/>
  <c r="BV226" i="10"/>
  <c r="BU219" i="10"/>
  <c r="BT39" i="10"/>
  <c r="BU31" i="10"/>
  <c r="BV215" i="10"/>
  <c r="BU220" i="10"/>
  <c r="BT41" i="10"/>
  <c r="BU224" i="10"/>
  <c r="BT49" i="10"/>
  <c r="BS45" i="10"/>
  <c r="BT222" i="10"/>
  <c r="BT223" i="22"/>
  <c r="BS47" i="22"/>
  <c r="BV225" i="22"/>
  <c r="BU51" i="22"/>
  <c r="BT53" i="22"/>
  <c r="BU226" i="22"/>
  <c r="BU221" i="22"/>
  <c r="BT43" i="22"/>
  <c r="BU225" i="8"/>
  <c r="BT51" i="8"/>
  <c r="BV223" i="8"/>
  <c r="BU47" i="8"/>
  <c r="BV216" i="22"/>
  <c r="BU33" i="22"/>
  <c r="C88" i="2"/>
  <c r="D209" i="2"/>
  <c r="BE88" i="2"/>
  <c r="BF209" i="2"/>
  <c r="AT69" i="9"/>
  <c r="AU234" i="9"/>
  <c r="AY69" i="8"/>
  <c r="AZ234" i="8"/>
  <c r="A91" i="2"/>
  <c r="A211" i="2"/>
  <c r="BW211" i="2"/>
  <c r="BW90" i="2"/>
  <c r="BL73" i="8"/>
  <c r="BM236" i="8"/>
  <c r="AX67" i="11"/>
  <c r="AY233" i="11"/>
  <c r="AH31" i="22"/>
  <c r="AI215" i="22"/>
  <c r="AZ77" i="8"/>
  <c r="BA238" i="8"/>
  <c r="AU75" i="8"/>
  <c r="AV237" i="8"/>
  <c r="AS81" i="7"/>
  <c r="AT240" i="7"/>
  <c r="AM88" i="2"/>
  <c r="AO88" i="2"/>
  <c r="AP88" i="2"/>
  <c r="AN209" i="2"/>
  <c r="U88" i="2"/>
  <c r="W88" i="2"/>
  <c r="X88" i="2"/>
  <c r="V209" i="2"/>
  <c r="AZ73" i="11"/>
  <c r="BA236" i="11"/>
  <c r="AU81" i="22"/>
  <c r="AV240" i="22"/>
  <c r="AU75" i="10"/>
  <c r="AV237" i="10"/>
  <c r="AW71" i="7"/>
  <c r="AX235" i="7"/>
  <c r="AO69" i="7"/>
  <c r="AP234" i="7"/>
  <c r="BQ73" i="9"/>
  <c r="BR236" i="9"/>
  <c r="AV88" i="2"/>
  <c r="AX88" i="2"/>
  <c r="AY88" i="2"/>
  <c r="AW209" i="2"/>
  <c r="BN88" i="2"/>
  <c r="BP88" i="2"/>
  <c r="BQ88" i="2"/>
  <c r="BO209" i="2"/>
  <c r="AK73" i="10"/>
  <c r="AL236" i="10"/>
  <c r="I63" i="11"/>
  <c r="J231" i="11"/>
  <c r="AV75" i="7"/>
  <c r="AW237" i="7"/>
  <c r="E65" i="11"/>
  <c r="F232" i="11"/>
  <c r="AP49" i="11"/>
  <c r="AQ224" i="11"/>
  <c r="AU75" i="22"/>
  <c r="AV237" i="22"/>
  <c r="AX61" i="22"/>
  <c r="AY230" i="22"/>
  <c r="AE65" i="7"/>
  <c r="AF232" i="7"/>
  <c r="AS65" i="22"/>
  <c r="AT232" i="22"/>
  <c r="AW67" i="8"/>
  <c r="AX233" i="8"/>
  <c r="AL53" i="11"/>
  <c r="AM226" i="11"/>
  <c r="BB61" i="8"/>
  <c r="BC230" i="8"/>
  <c r="L88" i="2"/>
  <c r="N88" i="2"/>
  <c r="O88" i="2"/>
  <c r="M209" i="2"/>
  <c r="AD88" i="2"/>
  <c r="AF88" i="2"/>
  <c r="AG88" i="2"/>
  <c r="AE209" i="2"/>
  <c r="AM210" i="2"/>
  <c r="BN210" i="2"/>
  <c r="AV210" i="2"/>
  <c r="AD210" i="2"/>
  <c r="BE210" i="2"/>
  <c r="C210" i="2"/>
  <c r="L210" i="2"/>
  <c r="U210" i="2"/>
  <c r="AX81" i="11"/>
  <c r="AY240" i="11"/>
  <c r="J69" i="11"/>
  <c r="K234" i="11"/>
  <c r="AQ81" i="9"/>
  <c r="AR240" i="9"/>
  <c r="AR71" i="9"/>
  <c r="AS235" i="9"/>
  <c r="AS79" i="10"/>
  <c r="AT239" i="10"/>
  <c r="BQ77" i="9"/>
  <c r="BR238" i="9"/>
  <c r="AR57" i="10"/>
  <c r="AS228" i="10"/>
  <c r="AW69" i="22"/>
  <c r="AX234" i="22"/>
  <c r="B27" i="26"/>
  <c r="S45" i="30"/>
  <c r="R44" i="30"/>
  <c r="BT45" i="8"/>
  <c r="BU222" i="8"/>
  <c r="BS43" i="8"/>
  <c r="BT221" i="8"/>
  <c r="BQ217" i="8"/>
  <c r="BP35" i="8"/>
  <c r="BT33" i="11"/>
  <c r="BU216" i="11"/>
  <c r="BJ63" i="7"/>
  <c r="BK231" i="7"/>
  <c r="BU215" i="9"/>
  <c r="BT31" i="9"/>
  <c r="BU53" i="9"/>
  <c r="BV226" i="9"/>
  <c r="BS31" i="1"/>
  <c r="BT222" i="1"/>
  <c r="BU35" i="1"/>
  <c r="BV224" i="1"/>
  <c r="BU233" i="1"/>
  <c r="BT53" i="1"/>
  <c r="BU59" i="1"/>
  <c r="BV236" i="1"/>
  <c r="BU65" i="1"/>
  <c r="BV239" i="1"/>
  <c r="BT223" i="1"/>
  <c r="BS33" i="1"/>
  <c r="BU232" i="1"/>
  <c r="BT51" i="1"/>
  <c r="AJ30" i="2"/>
  <c r="F30" i="20"/>
  <c r="E91" i="38"/>
  <c r="W25" i="38"/>
  <c r="AF58" i="38"/>
  <c r="E26" i="38"/>
  <c r="T28" i="20"/>
  <c r="U28" i="20"/>
  <c r="P18" i="39"/>
  <c r="BB19" i="2"/>
  <c r="H19" i="20"/>
  <c r="X17" i="20"/>
  <c r="Y17" i="20"/>
  <c r="G15" i="38"/>
  <c r="R7" i="39"/>
  <c r="H7" i="39"/>
  <c r="BS45" i="22"/>
  <c r="BT222" i="22"/>
  <c r="BT218" i="6"/>
  <c r="BS31" i="6"/>
  <c r="BT37" i="6"/>
  <c r="BU221" i="6"/>
  <c r="BU214" i="6"/>
  <c r="BT23" i="6"/>
  <c r="BU220" i="6"/>
  <c r="BT35" i="6"/>
  <c r="BT224" i="6"/>
  <c r="BS43" i="6"/>
  <c r="BT33" i="6"/>
  <c r="BU219" i="6"/>
  <c r="BU217" i="6"/>
  <c r="BT25" i="6"/>
  <c r="BU215" i="6"/>
  <c r="BT41" i="6"/>
  <c r="BU223" i="6"/>
  <c r="BU216" i="6"/>
  <c r="BT27" i="6"/>
  <c r="BR247" i="1"/>
  <c r="BQ81" i="1"/>
  <c r="BP83" i="1"/>
  <c r="BQ248" i="1"/>
  <c r="BU43" i="1"/>
  <c r="BV228" i="1"/>
  <c r="BQ219" i="8"/>
  <c r="BP39" i="8"/>
  <c r="BT218" i="8"/>
  <c r="BS37" i="8"/>
  <c r="BQ45" i="11"/>
  <c r="BR222" i="11"/>
  <c r="V25" i="38"/>
  <c r="AE58" i="38"/>
  <c r="D91" i="38"/>
  <c r="AA30" i="2"/>
  <c r="E30" i="20"/>
  <c r="O18" i="39"/>
  <c r="D26" i="38"/>
  <c r="R28" i="20"/>
  <c r="S28" i="20"/>
  <c r="BS39" i="22"/>
  <c r="BT219" i="22"/>
  <c r="BU224" i="22"/>
  <c r="BT49" i="22"/>
  <c r="BU217" i="22"/>
  <c r="BT35" i="22"/>
  <c r="BT215" i="7"/>
  <c r="BS31" i="7"/>
  <c r="BS39" i="7"/>
  <c r="BT219" i="7"/>
  <c r="BU217" i="7"/>
  <c r="BT35" i="7"/>
  <c r="BT43" i="7"/>
  <c r="BU221" i="7"/>
  <c r="BT218" i="7"/>
  <c r="BS37" i="7"/>
  <c r="BQ41" i="7"/>
  <c r="BR220" i="7"/>
  <c r="BR222" i="6"/>
  <c r="BQ39" i="6"/>
  <c r="BV223" i="9"/>
  <c r="BU47" i="9"/>
  <c r="BR219" i="9"/>
  <c r="BQ39" i="9"/>
  <c r="BW221" i="9"/>
  <c r="BV43" i="9"/>
  <c r="BQ227" i="9"/>
  <c r="BP55" i="9"/>
  <c r="BT35" i="9"/>
  <c r="BU217" i="9"/>
  <c r="BT225" i="9"/>
  <c r="BS51" i="9"/>
  <c r="BU224" i="9"/>
  <c r="BT49" i="9"/>
  <c r="BR57" i="9"/>
  <c r="BS228" i="9"/>
  <c r="BU222" i="9"/>
  <c r="BT45" i="9"/>
  <c r="BN57" i="1"/>
  <c r="BO235" i="1"/>
  <c r="BS243" i="1"/>
  <c r="BR73" i="1"/>
  <c r="BU244" i="1"/>
  <c r="BT75" i="1"/>
  <c r="BT240" i="1"/>
  <c r="BS67" i="1"/>
  <c r="BS245" i="1"/>
  <c r="BR77" i="1"/>
  <c r="BT237" i="1"/>
  <c r="BS61" i="1"/>
  <c r="BV246" i="1"/>
  <c r="BU79" i="1"/>
  <c r="BU242" i="1"/>
  <c r="BT71" i="1"/>
  <c r="BP221" i="11"/>
  <c r="BO43" i="11"/>
  <c r="AS21" i="2"/>
  <c r="G21" i="20"/>
  <c r="V19" i="20"/>
  <c r="W19" i="20"/>
  <c r="F17" i="38"/>
  <c r="Q9" i="39"/>
  <c r="G9" i="39"/>
  <c r="F82" i="38"/>
  <c r="X16" i="38"/>
  <c r="AG49" i="38"/>
  <c r="BR215" i="11"/>
  <c r="BU219" i="11"/>
  <c r="BT39" i="11"/>
  <c r="BR220" i="11"/>
  <c r="BQ41" i="11"/>
  <c r="BT218" i="11"/>
  <c r="BS37" i="11"/>
  <c r="BU225" i="10"/>
  <c r="BT51" i="10"/>
  <c r="BU218" i="10"/>
  <c r="BT37" i="10"/>
  <c r="BV229" i="22"/>
  <c r="BU59" i="22"/>
  <c r="BU227" i="22"/>
  <c r="BT55" i="22"/>
  <c r="BU218" i="22"/>
  <c r="BU220" i="22"/>
  <c r="BT41" i="22"/>
  <c r="BS228" i="8"/>
  <c r="BR57" i="8"/>
  <c r="BU227" i="8"/>
  <c r="BT55" i="8"/>
  <c r="BV226" i="8"/>
  <c r="BU53" i="8"/>
  <c r="BV224" i="8"/>
  <c r="BU49" i="8"/>
  <c r="BV216" i="8"/>
  <c r="BU33" i="8"/>
  <c r="BW215" i="8"/>
  <c r="BV31" i="8"/>
  <c r="BV220" i="8"/>
  <c r="BU41" i="8"/>
  <c r="BV227" i="7"/>
  <c r="BU55" i="7"/>
  <c r="BV226" i="7"/>
  <c r="BU53" i="7"/>
  <c r="BV225" i="7"/>
  <c r="BU51" i="7"/>
  <c r="BT223" i="7"/>
  <c r="BS47" i="7"/>
  <c r="BS222" i="7"/>
  <c r="BR45" i="7"/>
  <c r="BO216" i="7"/>
  <c r="BN33" i="7"/>
  <c r="BV231" i="6"/>
  <c r="BU57" i="6"/>
  <c r="BV230" i="6"/>
  <c r="BU55" i="6"/>
  <c r="BV229" i="6"/>
  <c r="BU53" i="6"/>
  <c r="BV228" i="6"/>
  <c r="BU51" i="6"/>
  <c r="BV227" i="6"/>
  <c r="BU49" i="6"/>
  <c r="BT225" i="6"/>
  <c r="BS45" i="6"/>
  <c r="BU230" i="9"/>
  <c r="BT61" i="9"/>
  <c r="BV229" i="9"/>
  <c r="BU59" i="9"/>
  <c r="BR216" i="9"/>
  <c r="BQ33" i="9"/>
  <c r="BU220" i="9"/>
  <c r="BT41" i="9"/>
  <c r="BU218" i="9"/>
  <c r="BT37" i="9"/>
  <c r="BT241" i="1"/>
  <c r="BS69" i="1"/>
  <c r="BV238" i="1"/>
  <c r="BU63" i="1"/>
  <c r="BV234" i="1"/>
  <c r="BU55" i="1"/>
  <c r="BT231" i="1"/>
  <c r="BS49" i="1"/>
  <c r="BV230" i="1"/>
  <c r="BU47" i="1"/>
  <c r="BT229" i="1"/>
  <c r="BS45" i="1"/>
  <c r="BV226" i="1"/>
  <c r="BU39" i="1"/>
  <c r="BT227" i="1"/>
  <c r="BS41" i="1"/>
  <c r="BT225" i="1"/>
  <c r="BS37" i="1"/>
  <c r="BT49" i="7"/>
  <c r="BU224" i="7"/>
  <c r="AK75" i="9"/>
  <c r="AL237" i="9"/>
  <c r="BX211" i="2"/>
  <c r="AA14" i="38"/>
  <c r="AJ47" i="38"/>
  <c r="I80" i="38"/>
  <c r="J18" i="20"/>
  <c r="BT19" i="2"/>
  <c r="T7" i="39"/>
  <c r="J7" i="39"/>
  <c r="I15" i="38"/>
  <c r="AB17" i="20"/>
  <c r="AC17" i="20"/>
  <c r="I24" i="20"/>
  <c r="BK25" i="2"/>
  <c r="S13" i="39"/>
  <c r="I13" i="39"/>
  <c r="Z23" i="20"/>
  <c r="AA23" i="20"/>
  <c r="H21" i="38"/>
  <c r="CL26" i="2"/>
  <c r="L25" i="20"/>
  <c r="BJ83" i="2"/>
  <c r="CK83" i="2"/>
  <c r="BG88" i="2"/>
  <c r="CF88" i="2"/>
  <c r="BH87" i="2"/>
  <c r="CI87" i="2"/>
  <c r="CH87" i="2"/>
  <c r="R43" i="41"/>
  <c r="S44" i="41"/>
  <c r="AP27" i="26"/>
  <c r="DB147" i="10"/>
  <c r="AU99" i="40"/>
  <c r="AV326" i="40"/>
  <c r="BA93" i="40"/>
  <c r="BB323" i="40"/>
  <c r="AV105" i="40"/>
  <c r="AW329" i="40"/>
  <c r="AW97" i="40"/>
  <c r="AX325" i="40"/>
  <c r="BA103" i="40"/>
  <c r="BB328" i="40"/>
  <c r="BA101" i="40"/>
  <c r="BB327" i="40"/>
  <c r="AW107" i="40"/>
  <c r="AX330" i="40"/>
  <c r="BA111" i="40"/>
  <c r="BB332" i="40"/>
  <c r="BA109" i="40"/>
  <c r="BB331" i="40"/>
  <c r="BB95" i="40"/>
  <c r="BC324" i="40"/>
  <c r="BB91" i="40"/>
  <c r="BC311" i="40"/>
  <c r="BB69" i="40"/>
  <c r="BE318" i="40"/>
  <c r="BD83" i="40"/>
  <c r="BD307" i="40"/>
  <c r="BC61" i="40"/>
  <c r="BD321" i="40"/>
  <c r="BC89" i="40"/>
  <c r="BC309" i="40"/>
  <c r="BB65" i="40"/>
  <c r="BD315" i="40"/>
  <c r="BC77" i="40"/>
  <c r="BE322" i="40"/>
  <c r="BD317" i="40"/>
  <c r="BC81" i="40"/>
  <c r="BE298" i="40"/>
  <c r="BD43" i="40"/>
  <c r="BE312" i="40"/>
  <c r="BD71" i="40"/>
  <c r="BE304" i="40"/>
  <c r="BD55" i="40"/>
  <c r="BD319" i="40"/>
  <c r="BC85" i="40"/>
  <c r="BD310" i="40"/>
  <c r="BC67" i="40"/>
  <c r="BE300" i="40"/>
  <c r="BD47" i="40"/>
  <c r="BE303" i="40"/>
  <c r="BD53" i="40"/>
  <c r="BE301" i="40"/>
  <c r="BD49" i="40"/>
  <c r="BE314" i="40"/>
  <c r="BD75" i="40"/>
  <c r="BD297" i="40"/>
  <c r="BC41" i="40"/>
  <c r="BE306" i="40"/>
  <c r="BD59" i="40"/>
  <c r="BC313" i="40"/>
  <c r="BB73" i="40"/>
  <c r="BE299" i="40"/>
  <c r="BD45" i="40"/>
  <c r="BE308" i="40"/>
  <c r="BD63" i="40"/>
  <c r="BE316" i="40"/>
  <c r="BD79" i="40"/>
  <c r="BD302" i="40"/>
  <c r="BC51" i="40"/>
  <c r="BE320" i="40"/>
  <c r="BD87" i="40"/>
  <c r="BE305" i="40"/>
  <c r="BD57" i="40"/>
  <c r="BN230" i="7"/>
  <c r="BM61" i="7"/>
  <c r="BH73" i="22"/>
  <c r="BI236" i="22"/>
  <c r="BO239" i="11"/>
  <c r="BN79" i="11"/>
  <c r="BS231" i="9"/>
  <c r="BR63" i="9"/>
  <c r="BO59" i="7"/>
  <c r="BP229" i="7"/>
  <c r="BT226" i="6"/>
  <c r="BS47" i="6"/>
  <c r="BI232" i="9"/>
  <c r="BH65" i="9"/>
  <c r="AQ229" i="10"/>
  <c r="AP59" i="10"/>
  <c r="BN223" i="11"/>
  <c r="BM47" i="11"/>
  <c r="BQ228" i="11"/>
  <c r="BP57" i="11"/>
  <c r="BT233" i="7"/>
  <c r="BS67" i="7"/>
  <c r="BE59" i="8"/>
  <c r="BF229" i="8"/>
  <c r="BK235" i="22"/>
  <c r="BJ71" i="22"/>
  <c r="BH79" i="22"/>
  <c r="BI239" i="22"/>
  <c r="BR238" i="10"/>
  <c r="BQ77" i="10"/>
  <c r="BF63" i="10"/>
  <c r="BG231" i="10"/>
  <c r="AU67" i="22"/>
  <c r="AV233" i="22"/>
  <c r="BC71" i="10"/>
  <c r="BD235" i="10"/>
  <c r="AR233" i="9"/>
  <c r="AQ67" i="9"/>
  <c r="BK79" i="7"/>
  <c r="BL239" i="7"/>
  <c r="BK231" i="22"/>
  <c r="BJ63" i="22"/>
  <c r="BS239" i="8"/>
  <c r="BR79" i="8"/>
  <c r="BS238" i="22"/>
  <c r="BR77" i="22"/>
  <c r="DE54" i="10"/>
  <c r="DD144" i="10"/>
  <c r="BS234" i="10"/>
  <c r="BR69" i="10"/>
  <c r="BT57" i="22"/>
  <c r="BU228" i="22"/>
  <c r="BS235" i="8"/>
  <c r="BR71" i="8"/>
  <c r="BR238" i="7"/>
  <c r="BQ77" i="7"/>
  <c r="BR238" i="11"/>
  <c r="BQ77" i="11"/>
  <c r="G61" i="11"/>
  <c r="H230" i="11"/>
  <c r="BJ63" i="8"/>
  <c r="BK231" i="8"/>
  <c r="BI79" i="9"/>
  <c r="BJ239" i="9"/>
  <c r="AQ65" i="10"/>
  <c r="AR232" i="10"/>
  <c r="DC146" i="10"/>
  <c r="DC145" i="10"/>
  <c r="AR240" i="10"/>
  <c r="AQ81" i="10"/>
  <c r="BR61" i="10"/>
  <c r="BS230" i="10"/>
  <c r="BQ51" i="11"/>
  <c r="BR225" i="11"/>
  <c r="BB75" i="11"/>
  <c r="BC237" i="11"/>
  <c r="E240" i="8"/>
  <c r="D81" i="8"/>
  <c r="BH67" i="10"/>
  <c r="BI233" i="10"/>
  <c r="C101" i="38"/>
  <c r="U35" i="38"/>
  <c r="AD68" i="38"/>
  <c r="R40" i="2"/>
  <c r="D40" i="20"/>
  <c r="N28" i="39"/>
  <c r="C36" i="38"/>
  <c r="P38" i="20"/>
  <c r="Q38" i="20"/>
  <c r="BT220" i="10"/>
  <c r="BS41" i="10"/>
  <c r="BT219" i="10"/>
  <c r="BS39" i="10"/>
  <c r="BT223" i="10"/>
  <c r="BS47" i="10"/>
  <c r="BT217" i="10"/>
  <c r="BS35" i="10"/>
  <c r="BS222" i="10"/>
  <c r="BR45" i="10"/>
  <c r="BT224" i="10"/>
  <c r="BS49" i="10"/>
  <c r="BT221" i="10"/>
  <c r="BS43" i="10"/>
  <c r="BT216" i="10"/>
  <c r="BS33" i="10"/>
  <c r="BT31" i="10"/>
  <c r="BU215" i="10"/>
  <c r="BU226" i="10"/>
  <c r="BT53" i="10"/>
  <c r="BU225" i="22"/>
  <c r="BT51" i="22"/>
  <c r="BT226" i="22"/>
  <c r="BS53" i="22"/>
  <c r="BT221" i="22"/>
  <c r="BS43" i="22"/>
  <c r="BR47" i="22"/>
  <c r="BS223" i="22"/>
  <c r="BU223" i="8"/>
  <c r="BT47" i="8"/>
  <c r="BS51" i="8"/>
  <c r="BT225" i="8"/>
  <c r="V210" i="2"/>
  <c r="U89" i="2"/>
  <c r="W89" i="2"/>
  <c r="X89" i="2"/>
  <c r="AD89" i="2"/>
  <c r="AF89" i="2"/>
  <c r="AG89" i="2"/>
  <c r="AE210" i="2"/>
  <c r="BA61" i="8"/>
  <c r="BB230" i="8"/>
  <c r="AK53" i="11"/>
  <c r="AL226" i="11"/>
  <c r="AV67" i="8"/>
  <c r="AW233" i="8"/>
  <c r="AR65" i="22"/>
  <c r="AS232" i="22"/>
  <c r="AW61" i="22"/>
  <c r="AX230" i="22"/>
  <c r="AO49" i="11"/>
  <c r="AP224" i="11"/>
  <c r="AU75" i="7"/>
  <c r="AV237" i="7"/>
  <c r="AN69" i="7"/>
  <c r="AO234" i="7"/>
  <c r="AT81" i="22"/>
  <c r="AU240" i="22"/>
  <c r="BP77" i="9"/>
  <c r="BQ238" i="9"/>
  <c r="AQ71" i="9"/>
  <c r="AR235" i="9"/>
  <c r="I69" i="11"/>
  <c r="J234" i="11"/>
  <c r="M210" i="2"/>
  <c r="L89" i="2"/>
  <c r="N89" i="2"/>
  <c r="O89" i="2"/>
  <c r="AV89" i="2"/>
  <c r="AX89" i="2"/>
  <c r="AY89" i="2"/>
  <c r="AW210" i="2"/>
  <c r="AY73" i="11"/>
  <c r="AZ236" i="11"/>
  <c r="AY77" i="8"/>
  <c r="AZ238" i="8"/>
  <c r="AG31" i="22"/>
  <c r="AH215" i="22"/>
  <c r="AW67" i="11"/>
  <c r="AX233" i="11"/>
  <c r="BK73" i="8"/>
  <c r="BL236" i="8"/>
  <c r="C89" i="2"/>
  <c r="D210" i="2"/>
  <c r="BN89" i="2"/>
  <c r="BP89" i="2"/>
  <c r="BQ89" i="2"/>
  <c r="BO210" i="2"/>
  <c r="AD65" i="7"/>
  <c r="AE232" i="7"/>
  <c r="AT75" i="22"/>
  <c r="AU237" i="22"/>
  <c r="D65" i="11"/>
  <c r="E232" i="11"/>
  <c r="H63" i="11"/>
  <c r="I231" i="11"/>
  <c r="AJ73" i="10"/>
  <c r="AK236" i="10"/>
  <c r="BP73" i="9"/>
  <c r="BQ236" i="9"/>
  <c r="AV71" i="7"/>
  <c r="AW235" i="7"/>
  <c r="AT75" i="10"/>
  <c r="AU237" i="10"/>
  <c r="AD211" i="2"/>
  <c r="U211" i="2"/>
  <c r="AV211" i="2"/>
  <c r="BN211" i="2"/>
  <c r="BE211" i="2"/>
  <c r="C211" i="2"/>
  <c r="L211" i="2"/>
  <c r="AM211" i="2"/>
  <c r="BU216" i="22"/>
  <c r="BT33" i="22"/>
  <c r="AV69" i="22"/>
  <c r="AW234" i="22"/>
  <c r="AQ57" i="10"/>
  <c r="AR228" i="10"/>
  <c r="AR79" i="10"/>
  <c r="AS239" i="10"/>
  <c r="AP81" i="9"/>
  <c r="AQ240" i="9"/>
  <c r="AW81" i="11"/>
  <c r="AX240" i="11"/>
  <c r="BE89" i="2"/>
  <c r="BF210" i="2"/>
  <c r="AM89" i="2"/>
  <c r="AO89" i="2"/>
  <c r="AP89" i="2"/>
  <c r="AN210" i="2"/>
  <c r="AR81" i="7"/>
  <c r="AS240" i="7"/>
  <c r="AT75" i="8"/>
  <c r="AU237" i="8"/>
  <c r="A92" i="2"/>
  <c r="A212" i="2"/>
  <c r="BW212" i="2"/>
  <c r="AX69" i="8"/>
  <c r="AY234" i="8"/>
  <c r="AS69" i="9"/>
  <c r="AT234" i="9"/>
  <c r="R43" i="30"/>
  <c r="S44" i="30"/>
  <c r="B26" i="26"/>
  <c r="BR43" i="8"/>
  <c r="BS221" i="8"/>
  <c r="BS45" i="8"/>
  <c r="BT222" i="8"/>
  <c r="BP217" i="8"/>
  <c r="BO35" i="8"/>
  <c r="BI63" i="7"/>
  <c r="BJ231" i="7"/>
  <c r="BT216" i="11"/>
  <c r="BS33" i="11"/>
  <c r="BU226" i="9"/>
  <c r="BT53" i="9"/>
  <c r="BT215" i="9"/>
  <c r="BS31" i="9"/>
  <c r="BR31" i="1"/>
  <c r="BS222" i="1"/>
  <c r="BT65" i="1"/>
  <c r="BU239" i="1"/>
  <c r="BT59" i="1"/>
  <c r="BU236" i="1"/>
  <c r="BU224" i="1"/>
  <c r="BT35" i="1"/>
  <c r="BR33" i="1"/>
  <c r="BS223" i="1"/>
  <c r="BS53" i="1"/>
  <c r="BT233" i="1"/>
  <c r="BT232" i="1"/>
  <c r="BS51" i="1"/>
  <c r="AJ31" i="2"/>
  <c r="F31" i="20"/>
  <c r="E92" i="38"/>
  <c r="W26" i="38"/>
  <c r="AF59" i="38"/>
  <c r="P19" i="39"/>
  <c r="F19" i="39"/>
  <c r="T29" i="20"/>
  <c r="U29" i="20"/>
  <c r="E27" i="38"/>
  <c r="Y15" i="38"/>
  <c r="AH48" i="38"/>
  <c r="G81" i="38"/>
  <c r="BB20" i="2"/>
  <c r="H20" i="20"/>
  <c r="R8" i="39"/>
  <c r="H8" i="39"/>
  <c r="G16" i="38"/>
  <c r="X18" i="20"/>
  <c r="Y18" i="20"/>
  <c r="BR45" i="22"/>
  <c r="BS222" i="22"/>
  <c r="BS27" i="6"/>
  <c r="BT216" i="6"/>
  <c r="BR43" i="6"/>
  <c r="BS224" i="6"/>
  <c r="BS35" i="6"/>
  <c r="BT220" i="6"/>
  <c r="BS23" i="6"/>
  <c r="BT214" i="6"/>
  <c r="BR31" i="6"/>
  <c r="BS218" i="6"/>
  <c r="BS41" i="6"/>
  <c r="BT223" i="6"/>
  <c r="BT215" i="6"/>
  <c r="BS25" i="6"/>
  <c r="BT217" i="6"/>
  <c r="BT219" i="6"/>
  <c r="BS33" i="6"/>
  <c r="BS37" i="6"/>
  <c r="BT221" i="6"/>
  <c r="BQ247" i="1"/>
  <c r="BP81" i="1"/>
  <c r="BT43" i="1"/>
  <c r="BU228" i="1"/>
  <c r="BO83" i="1"/>
  <c r="BP248" i="1"/>
  <c r="BS218" i="8"/>
  <c r="BR37" i="8"/>
  <c r="BP219" i="8"/>
  <c r="BO39" i="8"/>
  <c r="BP45" i="11"/>
  <c r="BQ222" i="11"/>
  <c r="AA31" i="2"/>
  <c r="E31" i="20"/>
  <c r="R29" i="20"/>
  <c r="S29" i="20"/>
  <c r="D27" i="38"/>
  <c r="O19" i="39"/>
  <c r="E19" i="39"/>
  <c r="V26" i="38"/>
  <c r="AE59" i="38"/>
  <c r="D92" i="38"/>
  <c r="BT224" i="22"/>
  <c r="BS49" i="22"/>
  <c r="BT217" i="22"/>
  <c r="BS35" i="22"/>
  <c r="BR39" i="22"/>
  <c r="BS219" i="22"/>
  <c r="BS218" i="7"/>
  <c r="BR37" i="7"/>
  <c r="BT217" i="7"/>
  <c r="BS35" i="7"/>
  <c r="BS215" i="7"/>
  <c r="BR31" i="7"/>
  <c r="BQ220" i="7"/>
  <c r="BP41" i="7"/>
  <c r="BT221" i="7"/>
  <c r="BS43" i="7"/>
  <c r="BR39" i="7"/>
  <c r="BS219" i="7"/>
  <c r="BQ222" i="6"/>
  <c r="BP39" i="6"/>
  <c r="BP227" i="9"/>
  <c r="BO55" i="9"/>
  <c r="BQ219" i="9"/>
  <c r="BP39" i="9"/>
  <c r="BV221" i="9"/>
  <c r="BU43" i="9"/>
  <c r="BU223" i="9"/>
  <c r="BT47" i="9"/>
  <c r="BS35" i="9"/>
  <c r="BT217" i="9"/>
  <c r="BS225" i="9"/>
  <c r="BR51" i="9"/>
  <c r="BT222" i="9"/>
  <c r="BS45" i="9"/>
  <c r="BT224" i="9"/>
  <c r="BS49" i="9"/>
  <c r="BQ57" i="9"/>
  <c r="BR228" i="9"/>
  <c r="BU246" i="1"/>
  <c r="BT79" i="1"/>
  <c r="BR245" i="1"/>
  <c r="BQ77" i="1"/>
  <c r="BT244" i="1"/>
  <c r="BS75" i="1"/>
  <c r="BM57" i="1"/>
  <c r="BN235" i="1"/>
  <c r="BT242" i="1"/>
  <c r="BS71" i="1"/>
  <c r="BS237" i="1"/>
  <c r="BR61" i="1"/>
  <c r="BS240" i="1"/>
  <c r="BR67" i="1"/>
  <c r="BR243" i="1"/>
  <c r="BQ73" i="1"/>
  <c r="BO221" i="11"/>
  <c r="BN43" i="11"/>
  <c r="F83" i="38"/>
  <c r="X17" i="38"/>
  <c r="AG50" i="38"/>
  <c r="AS22" i="2"/>
  <c r="G22" i="20"/>
  <c r="F18" i="38"/>
  <c r="V20" i="20"/>
  <c r="W20" i="20"/>
  <c r="Q10" i="39"/>
  <c r="G10" i="39"/>
  <c r="BQ220" i="11"/>
  <c r="BP41" i="11"/>
  <c r="BQ215" i="11"/>
  <c r="BS218" i="11"/>
  <c r="BR37" i="11"/>
  <c r="BT219" i="11"/>
  <c r="BS39" i="11"/>
  <c r="BT225" i="10"/>
  <c r="BS51" i="10"/>
  <c r="BT218" i="10"/>
  <c r="BS37" i="10"/>
  <c r="BU229" i="22"/>
  <c r="BT59" i="22"/>
  <c r="BT218" i="22"/>
  <c r="BT220" i="22"/>
  <c r="BS41" i="22"/>
  <c r="BT227" i="22"/>
  <c r="BS55" i="22"/>
  <c r="BR228" i="8"/>
  <c r="BQ57" i="8"/>
  <c r="BT227" i="8"/>
  <c r="BS55" i="8"/>
  <c r="BU220" i="8"/>
  <c r="BT41" i="8"/>
  <c r="BU216" i="8"/>
  <c r="BT33" i="8"/>
  <c r="BU226" i="8"/>
  <c r="BT53" i="8"/>
  <c r="BV215" i="8"/>
  <c r="BU31" i="8"/>
  <c r="BU224" i="8"/>
  <c r="BT49" i="8"/>
  <c r="BU227" i="7"/>
  <c r="BT55" i="7"/>
  <c r="BU226" i="7"/>
  <c r="BT53" i="7"/>
  <c r="BU225" i="7"/>
  <c r="BT51" i="7"/>
  <c r="BN216" i="7"/>
  <c r="BM33" i="7"/>
  <c r="BS223" i="7"/>
  <c r="BR47" i="7"/>
  <c r="BR222" i="7"/>
  <c r="BQ45" i="7"/>
  <c r="BU231" i="6"/>
  <c r="BT57" i="6"/>
  <c r="BU230" i="6"/>
  <c r="BT55" i="6"/>
  <c r="BU229" i="6"/>
  <c r="BT53" i="6"/>
  <c r="BU228" i="6"/>
  <c r="BT51" i="6"/>
  <c r="BU227" i="6"/>
  <c r="BT49" i="6"/>
  <c r="BS225" i="6"/>
  <c r="BR45" i="6"/>
  <c r="BT230" i="9"/>
  <c r="BS61" i="9"/>
  <c r="BU229" i="9"/>
  <c r="BT59" i="9"/>
  <c r="BQ216" i="9"/>
  <c r="BP33" i="9"/>
  <c r="BT218" i="9"/>
  <c r="BS37" i="9"/>
  <c r="BT220" i="9"/>
  <c r="BS41" i="9"/>
  <c r="BS241" i="1"/>
  <c r="BR69" i="1"/>
  <c r="BU238" i="1"/>
  <c r="BT63" i="1"/>
  <c r="BU230" i="1"/>
  <c r="BT47" i="1"/>
  <c r="BS231" i="1"/>
  <c r="BR49" i="1"/>
  <c r="BU234" i="1"/>
  <c r="BT55" i="1"/>
  <c r="BS229" i="1"/>
  <c r="BR45" i="1"/>
  <c r="BU226" i="1"/>
  <c r="BT39" i="1"/>
  <c r="BS225" i="1"/>
  <c r="BR37" i="1"/>
  <c r="BS227" i="1"/>
  <c r="BR41" i="1"/>
  <c r="BT224" i="7"/>
  <c r="BS49" i="7"/>
  <c r="AK237" i="9"/>
  <c r="AJ75" i="9"/>
  <c r="BX212" i="2"/>
  <c r="BW91" i="2"/>
  <c r="J19" i="20"/>
  <c r="BT20" i="2"/>
  <c r="T8" i="39"/>
  <c r="J8" i="39"/>
  <c r="AB18" i="20"/>
  <c r="AC18" i="20"/>
  <c r="I16" i="38"/>
  <c r="I81" i="38"/>
  <c r="AA15" i="38"/>
  <c r="AJ48" i="38"/>
  <c r="I25" i="20"/>
  <c r="BK26" i="2"/>
  <c r="Z21" i="38"/>
  <c r="AI54" i="38"/>
  <c r="H87" i="38"/>
  <c r="Z24" i="20"/>
  <c r="AA24" i="20"/>
  <c r="H22" i="38"/>
  <c r="S14" i="39"/>
  <c r="I14" i="39"/>
  <c r="CL27" i="2"/>
  <c r="L26" i="20"/>
  <c r="BJ84" i="2"/>
  <c r="CK84" i="2"/>
  <c r="BG89" i="2"/>
  <c r="CF89" i="2"/>
  <c r="BH88" i="2"/>
  <c r="CI88" i="2"/>
  <c r="CH88" i="2"/>
  <c r="S43" i="41"/>
  <c r="R42" i="41"/>
  <c r="AP26" i="26"/>
  <c r="BA95" i="40"/>
  <c r="BB324" i="40"/>
  <c r="AZ111" i="40"/>
  <c r="BA332" i="40"/>
  <c r="AZ101" i="40"/>
  <c r="BA327" i="40"/>
  <c r="AV97" i="40"/>
  <c r="AW325" i="40"/>
  <c r="AZ93" i="40"/>
  <c r="BA323" i="40"/>
  <c r="AZ109" i="40"/>
  <c r="BA331" i="40"/>
  <c r="AV107" i="40"/>
  <c r="AW330" i="40"/>
  <c r="AZ103" i="40"/>
  <c r="BA328" i="40"/>
  <c r="AU105" i="40"/>
  <c r="AV329" i="40"/>
  <c r="AT99" i="40"/>
  <c r="AU326" i="40"/>
  <c r="BA91" i="40"/>
  <c r="BD305" i="40"/>
  <c r="BC57" i="40"/>
  <c r="BC302" i="40"/>
  <c r="BB51" i="40"/>
  <c r="BD308" i="40"/>
  <c r="BC63" i="40"/>
  <c r="BB313" i="40"/>
  <c r="BA73" i="40"/>
  <c r="BC297" i="40"/>
  <c r="BB41" i="40"/>
  <c r="BD301" i="40"/>
  <c r="BC49" i="40"/>
  <c r="BD300" i="40"/>
  <c r="BC47" i="40"/>
  <c r="BC319" i="40"/>
  <c r="BB85" i="40"/>
  <c r="BD312" i="40"/>
  <c r="BC71" i="40"/>
  <c r="BC317" i="40"/>
  <c r="BB81" i="40"/>
  <c r="BC315" i="40"/>
  <c r="BB77" i="40"/>
  <c r="BC321" i="40"/>
  <c r="BB89" i="40"/>
  <c r="BD318" i="40"/>
  <c r="BC83" i="40"/>
  <c r="BD320" i="40"/>
  <c r="BC87" i="40"/>
  <c r="BD316" i="40"/>
  <c r="BC79" i="40"/>
  <c r="BD299" i="40"/>
  <c r="BC45" i="40"/>
  <c r="BD306" i="40"/>
  <c r="BC59" i="40"/>
  <c r="BD314" i="40"/>
  <c r="BC75" i="40"/>
  <c r="BD303" i="40"/>
  <c r="BC53" i="40"/>
  <c r="BC310" i="40"/>
  <c r="BB67" i="40"/>
  <c r="BD304" i="40"/>
  <c r="BC55" i="40"/>
  <c r="BD298" i="40"/>
  <c r="BC43" i="40"/>
  <c r="BD322" i="40"/>
  <c r="BB309" i="40"/>
  <c r="BA65" i="40"/>
  <c r="BC307" i="40"/>
  <c r="BB61" i="40"/>
  <c r="BB311" i="40"/>
  <c r="BA69" i="40"/>
  <c r="C81" i="8"/>
  <c r="C240" i="8"/>
  <c r="D240" i="8"/>
  <c r="AP81" i="10"/>
  <c r="AQ240" i="10"/>
  <c r="BQ238" i="7"/>
  <c r="BP77" i="7"/>
  <c r="DD146" i="10"/>
  <c r="DD145" i="10"/>
  <c r="BR239" i="8"/>
  <c r="BQ79" i="8"/>
  <c r="BP228" i="11"/>
  <c r="BO57" i="11"/>
  <c r="AO59" i="10"/>
  <c r="AP229" i="10"/>
  <c r="BS226" i="6"/>
  <c r="BR47" i="6"/>
  <c r="BR231" i="9"/>
  <c r="BQ63" i="9"/>
  <c r="BP51" i="11"/>
  <c r="BQ225" i="11"/>
  <c r="AP65" i="10"/>
  <c r="AQ232" i="10"/>
  <c r="G230" i="11"/>
  <c r="F61" i="11"/>
  <c r="BS57" i="22"/>
  <c r="BT228" i="22"/>
  <c r="DE144" i="10"/>
  <c r="DF54" i="10"/>
  <c r="BJ79" i="7"/>
  <c r="BK239" i="7"/>
  <c r="BB71" i="10"/>
  <c r="BC235" i="10"/>
  <c r="BE63" i="10"/>
  <c r="BF231" i="10"/>
  <c r="BG79" i="22"/>
  <c r="BH239" i="22"/>
  <c r="BE229" i="8"/>
  <c r="BD59" i="8"/>
  <c r="BG73" i="22"/>
  <c r="BH236" i="22"/>
  <c r="BQ238" i="11"/>
  <c r="BP77" i="11"/>
  <c r="BR235" i="8"/>
  <c r="BQ71" i="8"/>
  <c r="BR234" i="10"/>
  <c r="BQ69" i="10"/>
  <c r="BR238" i="22"/>
  <c r="BQ77" i="22"/>
  <c r="BJ231" i="22"/>
  <c r="BI63" i="22"/>
  <c r="AQ233" i="9"/>
  <c r="AP67" i="9"/>
  <c r="BP77" i="10"/>
  <c r="BQ238" i="10"/>
  <c r="BJ235" i="22"/>
  <c r="BI71" i="22"/>
  <c r="BS233" i="7"/>
  <c r="BR67" i="7"/>
  <c r="BM223" i="11"/>
  <c r="BL47" i="11"/>
  <c r="BH232" i="9"/>
  <c r="BG65" i="9"/>
  <c r="BN239" i="11"/>
  <c r="BM79" i="11"/>
  <c r="BL61" i="7"/>
  <c r="BM230" i="7"/>
  <c r="BG67" i="10"/>
  <c r="BH233" i="10"/>
  <c r="BA75" i="11"/>
  <c r="BB237" i="11"/>
  <c r="BR230" i="10"/>
  <c r="BQ61" i="10"/>
  <c r="DC147" i="10"/>
  <c r="BH79" i="9"/>
  <c r="BI239" i="9"/>
  <c r="BI63" i="8"/>
  <c r="BJ231" i="8"/>
  <c r="AT67" i="22"/>
  <c r="AU233" i="22"/>
  <c r="BN59" i="7"/>
  <c r="BO229" i="7"/>
  <c r="R41" i="2"/>
  <c r="D41" i="20"/>
  <c r="P39" i="20"/>
  <c r="Q39" i="20"/>
  <c r="C37" i="38"/>
  <c r="N29" i="39"/>
  <c r="U36" i="38"/>
  <c r="AD69" i="38"/>
  <c r="C102" i="38"/>
  <c r="BS53" i="10"/>
  <c r="BT226" i="10"/>
  <c r="BS216" i="10"/>
  <c r="BR33" i="10"/>
  <c r="BS224" i="10"/>
  <c r="BR49" i="10"/>
  <c r="BS217" i="10"/>
  <c r="BR35" i="10"/>
  <c r="BS219" i="10"/>
  <c r="BR39" i="10"/>
  <c r="BR43" i="10"/>
  <c r="BS221" i="10"/>
  <c r="BR222" i="10"/>
  <c r="BQ45" i="10"/>
  <c r="BR47" i="10"/>
  <c r="BS223" i="10"/>
  <c r="BS220" i="10"/>
  <c r="BR41" i="10"/>
  <c r="BS31" i="10"/>
  <c r="BT215" i="10"/>
  <c r="BS226" i="22"/>
  <c r="BR53" i="22"/>
  <c r="BQ47" i="22"/>
  <c r="BR223" i="22"/>
  <c r="BS221" i="22"/>
  <c r="BR43" i="22"/>
  <c r="BS51" i="22"/>
  <c r="BT225" i="22"/>
  <c r="BS225" i="8"/>
  <c r="BR51" i="8"/>
  <c r="BT223" i="8"/>
  <c r="BS47" i="8"/>
  <c r="AO81" i="9"/>
  <c r="AP240" i="9"/>
  <c r="AP57" i="10"/>
  <c r="AQ228" i="10"/>
  <c r="AU69" i="22"/>
  <c r="AV234" i="22"/>
  <c r="M211" i="2"/>
  <c r="L90" i="2"/>
  <c r="N90" i="2"/>
  <c r="O90" i="2"/>
  <c r="AV90" i="2"/>
  <c r="AX90" i="2"/>
  <c r="AY90" i="2"/>
  <c r="AW211" i="2"/>
  <c r="AU71" i="7"/>
  <c r="AV235" i="7"/>
  <c r="AI73" i="10"/>
  <c r="AJ236" i="10"/>
  <c r="C65" i="11"/>
  <c r="C232" i="11"/>
  <c r="D232" i="11"/>
  <c r="BJ73" i="8"/>
  <c r="BK236" i="8"/>
  <c r="AF31" i="22"/>
  <c r="AG215" i="22"/>
  <c r="AX73" i="11"/>
  <c r="AY236" i="11"/>
  <c r="AW69" i="8"/>
  <c r="AX234" i="8"/>
  <c r="AQ81" i="7"/>
  <c r="AR240" i="7"/>
  <c r="BT216" i="22"/>
  <c r="BS33" i="22"/>
  <c r="C90" i="2"/>
  <c r="D211" i="2"/>
  <c r="U90" i="2"/>
  <c r="W90" i="2"/>
  <c r="X90" i="2"/>
  <c r="V211" i="2"/>
  <c r="H69" i="11"/>
  <c r="I234" i="11"/>
  <c r="BO77" i="9"/>
  <c r="BP238" i="9"/>
  <c r="AS81" i="22"/>
  <c r="AT240" i="22"/>
  <c r="AN49" i="11"/>
  <c r="AO224" i="11"/>
  <c r="AV61" i="22"/>
  <c r="AW230" i="22"/>
  <c r="AU67" i="8"/>
  <c r="AV233" i="8"/>
  <c r="AZ61" i="8"/>
  <c r="BA230" i="8"/>
  <c r="AM212" i="2"/>
  <c r="BE212" i="2"/>
  <c r="AD212" i="2"/>
  <c r="L212" i="2"/>
  <c r="C212" i="2"/>
  <c r="BN212" i="2"/>
  <c r="AV212" i="2"/>
  <c r="U212" i="2"/>
  <c r="AV81" i="11"/>
  <c r="AW240" i="11"/>
  <c r="AQ79" i="10"/>
  <c r="AR239" i="10"/>
  <c r="BE90" i="2"/>
  <c r="BF211" i="2"/>
  <c r="AD90" i="2"/>
  <c r="AF90" i="2"/>
  <c r="AG90" i="2"/>
  <c r="AE211" i="2"/>
  <c r="AS75" i="10"/>
  <c r="AT237" i="10"/>
  <c r="BO73" i="9"/>
  <c r="BP236" i="9"/>
  <c r="G63" i="11"/>
  <c r="H231" i="11"/>
  <c r="AS75" i="22"/>
  <c r="AT237" i="22"/>
  <c r="AC65" i="7"/>
  <c r="AD232" i="7"/>
  <c r="AV67" i="11"/>
  <c r="AW233" i="11"/>
  <c r="AX77" i="8"/>
  <c r="AY238" i="8"/>
  <c r="AR69" i="9"/>
  <c r="AS234" i="9"/>
  <c r="A93" i="2"/>
  <c r="A213" i="2"/>
  <c r="BW213" i="2"/>
  <c r="AS75" i="8"/>
  <c r="AT237" i="8"/>
  <c r="AM90" i="2"/>
  <c r="AO90" i="2"/>
  <c r="AP90" i="2"/>
  <c r="AN211" i="2"/>
  <c r="BO211" i="2"/>
  <c r="BN90" i="2"/>
  <c r="BP90" i="2"/>
  <c r="BQ90" i="2"/>
  <c r="AP71" i="9"/>
  <c r="AQ235" i="9"/>
  <c r="AM69" i="7"/>
  <c r="AN234" i="7"/>
  <c r="AT75" i="7"/>
  <c r="AU237" i="7"/>
  <c r="AQ65" i="22"/>
  <c r="AR232" i="22"/>
  <c r="AJ53" i="11"/>
  <c r="AK226" i="11"/>
  <c r="S43" i="30"/>
  <c r="B25" i="26"/>
  <c r="BR45" i="8"/>
  <c r="BS222" i="8"/>
  <c r="BQ43" i="8"/>
  <c r="BR221" i="8"/>
  <c r="BO217" i="8"/>
  <c r="BN35" i="8"/>
  <c r="BR33" i="11"/>
  <c r="BS216" i="11"/>
  <c r="BH63" i="7"/>
  <c r="BI231" i="7"/>
  <c r="BS215" i="9"/>
  <c r="BR31" i="9"/>
  <c r="BS53" i="9"/>
  <c r="BT226" i="9"/>
  <c r="BQ31" i="1"/>
  <c r="BR222" i="1"/>
  <c r="BR53" i="1"/>
  <c r="BS233" i="1"/>
  <c r="BQ33" i="1"/>
  <c r="BR223" i="1"/>
  <c r="BS59" i="1"/>
  <c r="BT236" i="1"/>
  <c r="BT239" i="1"/>
  <c r="BS65" i="1"/>
  <c r="BT224" i="1"/>
  <c r="BS35" i="1"/>
  <c r="BR51" i="1"/>
  <c r="BS232" i="1"/>
  <c r="W27" i="38"/>
  <c r="AF60" i="38"/>
  <c r="E93" i="38"/>
  <c r="AJ32" i="2"/>
  <c r="F32" i="20"/>
  <c r="E28" i="38"/>
  <c r="P20" i="39"/>
  <c r="T30" i="20"/>
  <c r="U30" i="20"/>
  <c r="BB21" i="2"/>
  <c r="H21" i="20"/>
  <c r="X19" i="20"/>
  <c r="Y19" i="20"/>
  <c r="R9" i="39"/>
  <c r="H9" i="39"/>
  <c r="G17" i="38"/>
  <c r="Y16" i="38"/>
  <c r="AH49" i="38"/>
  <c r="G82" i="38"/>
  <c r="BR222" i="22"/>
  <c r="BQ45" i="22"/>
  <c r="BR33" i="6"/>
  <c r="BS219" i="6"/>
  <c r="BS215" i="6"/>
  <c r="BR25" i="6"/>
  <c r="BR37" i="6"/>
  <c r="BS221" i="6"/>
  <c r="BS217" i="6"/>
  <c r="BS223" i="6"/>
  <c r="BR41" i="6"/>
  <c r="BR218" i="6"/>
  <c r="BQ31" i="6"/>
  <c r="BS214" i="6"/>
  <c r="BR23" i="6"/>
  <c r="BR35" i="6"/>
  <c r="BS220" i="6"/>
  <c r="BR224" i="6"/>
  <c r="BQ43" i="6"/>
  <c r="BS216" i="6"/>
  <c r="BR27" i="6"/>
  <c r="BP247" i="1"/>
  <c r="BO81" i="1"/>
  <c r="BN83" i="1"/>
  <c r="BO248" i="1"/>
  <c r="BS43" i="1"/>
  <c r="BT228" i="1"/>
  <c r="BN39" i="8"/>
  <c r="BO219" i="8"/>
  <c r="BQ37" i="8"/>
  <c r="BR218" i="8"/>
  <c r="BO45" i="11"/>
  <c r="BP222" i="11"/>
  <c r="V27" i="38"/>
  <c r="AE60" i="38"/>
  <c r="D93" i="38"/>
  <c r="AA32" i="2"/>
  <c r="E32" i="20"/>
  <c r="D28" i="38"/>
  <c r="O20" i="39"/>
  <c r="R30" i="20"/>
  <c r="S30" i="20"/>
  <c r="BS217" i="22"/>
  <c r="BR35" i="22"/>
  <c r="BS224" i="22"/>
  <c r="BR49" i="22"/>
  <c r="BQ39" i="22"/>
  <c r="BR219" i="22"/>
  <c r="BR43" i="7"/>
  <c r="BS221" i="7"/>
  <c r="BS217" i="7"/>
  <c r="BR35" i="7"/>
  <c r="BP220" i="7"/>
  <c r="BO41" i="7"/>
  <c r="BQ31" i="7"/>
  <c r="BR215" i="7"/>
  <c r="BR218" i="7"/>
  <c r="BQ37" i="7"/>
  <c r="BR219" i="7"/>
  <c r="BQ39" i="7"/>
  <c r="BP222" i="6"/>
  <c r="BO39" i="6"/>
  <c r="BT223" i="9"/>
  <c r="BS47" i="9"/>
  <c r="BO39" i="9"/>
  <c r="BP219" i="9"/>
  <c r="BU221" i="9"/>
  <c r="BT43" i="9"/>
  <c r="BN55" i="9"/>
  <c r="BO227" i="9"/>
  <c r="BS217" i="9"/>
  <c r="BR35" i="9"/>
  <c r="BR225" i="9"/>
  <c r="BQ51" i="9"/>
  <c r="BR45" i="9"/>
  <c r="BS222" i="9"/>
  <c r="BP57" i="9"/>
  <c r="BQ228" i="9"/>
  <c r="BS224" i="9"/>
  <c r="BR49" i="9"/>
  <c r="BR240" i="1"/>
  <c r="BQ67" i="1"/>
  <c r="BT246" i="1"/>
  <c r="BS79" i="1"/>
  <c r="BM235" i="1"/>
  <c r="BL57" i="1"/>
  <c r="BQ243" i="1"/>
  <c r="BP73" i="1"/>
  <c r="BR237" i="1"/>
  <c r="BQ61" i="1"/>
  <c r="BS242" i="1"/>
  <c r="BR71" i="1"/>
  <c r="BS244" i="1"/>
  <c r="BR75" i="1"/>
  <c r="BQ245" i="1"/>
  <c r="BP77" i="1"/>
  <c r="BN221" i="11"/>
  <c r="BM43" i="11"/>
  <c r="AS23" i="2"/>
  <c r="G23" i="20"/>
  <c r="F19" i="38"/>
  <c r="V21" i="20"/>
  <c r="W21" i="20"/>
  <c r="Q11" i="39"/>
  <c r="G11" i="39"/>
  <c r="F84" i="38"/>
  <c r="X18" i="38"/>
  <c r="AG51" i="38"/>
  <c r="BR218" i="11"/>
  <c r="BQ37" i="11"/>
  <c r="BP220" i="11"/>
  <c r="BO41" i="11"/>
  <c r="BS219" i="11"/>
  <c r="BR39" i="11"/>
  <c r="BP215" i="11"/>
  <c r="BS225" i="10"/>
  <c r="BR51" i="10"/>
  <c r="BS218" i="10"/>
  <c r="BR37" i="10"/>
  <c r="BT229" i="22"/>
  <c r="BS59" i="22"/>
  <c r="BS227" i="22"/>
  <c r="BR55" i="22"/>
  <c r="BS220" i="22"/>
  <c r="BR41" i="22"/>
  <c r="BS218" i="22"/>
  <c r="BQ228" i="8"/>
  <c r="BP57" i="8"/>
  <c r="BS227" i="8"/>
  <c r="BR55" i="8"/>
  <c r="BT224" i="8"/>
  <c r="BS49" i="8"/>
  <c r="BU215" i="8"/>
  <c r="BT31" i="8"/>
  <c r="BT226" i="8"/>
  <c r="BS53" i="8"/>
  <c r="BT216" i="8"/>
  <c r="BS33" i="8"/>
  <c r="BT220" i="8"/>
  <c r="BS41" i="8"/>
  <c r="BT227" i="7"/>
  <c r="BS55" i="7"/>
  <c r="BT226" i="7"/>
  <c r="BS53" i="7"/>
  <c r="BT225" i="7"/>
  <c r="BS51" i="7"/>
  <c r="BR223" i="7"/>
  <c r="BQ47" i="7"/>
  <c r="BM216" i="7"/>
  <c r="BL33" i="7"/>
  <c r="BQ222" i="7"/>
  <c r="BP45" i="7"/>
  <c r="BT231" i="6"/>
  <c r="BS57" i="6"/>
  <c r="BT230" i="6"/>
  <c r="BS55" i="6"/>
  <c r="BT229" i="6"/>
  <c r="BS53" i="6"/>
  <c r="BT228" i="6"/>
  <c r="BS51" i="6"/>
  <c r="BT227" i="6"/>
  <c r="BS49" i="6"/>
  <c r="BR225" i="6"/>
  <c r="BQ45" i="6"/>
  <c r="BS230" i="9"/>
  <c r="BR61" i="9"/>
  <c r="BT229" i="9"/>
  <c r="BS59" i="9"/>
  <c r="BS220" i="9"/>
  <c r="BR41" i="9"/>
  <c r="BS218" i="9"/>
  <c r="BR37" i="9"/>
  <c r="BP216" i="9"/>
  <c r="BO33" i="9"/>
  <c r="BR241" i="1"/>
  <c r="BQ69" i="1"/>
  <c r="BT238" i="1"/>
  <c r="BS63" i="1"/>
  <c r="BR231" i="1"/>
  <c r="BQ49" i="1"/>
  <c r="BT230" i="1"/>
  <c r="BS47" i="1"/>
  <c r="BT234" i="1"/>
  <c r="BS55" i="1"/>
  <c r="BR229" i="1"/>
  <c r="BQ45" i="1"/>
  <c r="BR225" i="1"/>
  <c r="BQ37" i="1"/>
  <c r="BR227" i="1"/>
  <c r="BQ41" i="1"/>
  <c r="BT226" i="1"/>
  <c r="BS39" i="1"/>
  <c r="D21" i="26"/>
  <c r="D60" i="26"/>
  <c r="D66" i="26"/>
  <c r="D56" i="26"/>
  <c r="D94" i="26"/>
  <c r="D97" i="26"/>
  <c r="D89" i="26"/>
  <c r="D12" i="26"/>
  <c r="D37" i="26"/>
  <c r="D59" i="26"/>
  <c r="D81" i="26"/>
  <c r="D75" i="26"/>
  <c r="D28" i="26"/>
  <c r="D78" i="26"/>
  <c r="D96" i="26"/>
  <c r="D24" i="26"/>
  <c r="D86" i="26"/>
  <c r="D57" i="26"/>
  <c r="D9" i="26"/>
  <c r="D34" i="26"/>
  <c r="D41" i="26"/>
  <c r="D36" i="26"/>
  <c r="D62" i="26"/>
  <c r="D80" i="26"/>
  <c r="D64" i="26"/>
  <c r="D29" i="26"/>
  <c r="D25" i="26"/>
  <c r="D100" i="26"/>
  <c r="D65" i="26"/>
  <c r="D70" i="26"/>
  <c r="D42" i="26"/>
  <c r="D61" i="26"/>
  <c r="D68" i="26"/>
  <c r="D71" i="26"/>
  <c r="D52" i="26"/>
  <c r="D51" i="26"/>
  <c r="D15" i="26"/>
  <c r="D104" i="26"/>
  <c r="D87" i="26"/>
  <c r="D44" i="26"/>
  <c r="D63" i="26"/>
  <c r="D103" i="26"/>
  <c r="D83" i="26"/>
  <c r="D93" i="26"/>
  <c r="D31" i="26"/>
  <c r="D76" i="26"/>
  <c r="D101" i="26"/>
  <c r="D17" i="26"/>
  <c r="D35" i="26"/>
  <c r="D45" i="26"/>
  <c r="D5" i="26"/>
  <c r="D77" i="26"/>
  <c r="D39" i="26"/>
  <c r="D73" i="26"/>
  <c r="D30" i="26"/>
  <c r="D53" i="26"/>
  <c r="D88" i="26"/>
  <c r="D98" i="26"/>
  <c r="D10" i="26"/>
  <c r="D47" i="26"/>
  <c r="D49" i="26"/>
  <c r="D54" i="26"/>
  <c r="D95" i="26"/>
  <c r="D90" i="26"/>
  <c r="D40" i="26"/>
  <c r="D22" i="26"/>
  <c r="D27" i="26"/>
  <c r="D7" i="26"/>
  <c r="D6" i="26"/>
  <c r="D38" i="26"/>
  <c r="D26" i="26"/>
  <c r="D91" i="26"/>
  <c r="D85" i="26"/>
  <c r="D16" i="26"/>
  <c r="D69" i="26"/>
  <c r="D43" i="26"/>
  <c r="D23" i="26"/>
  <c r="D72" i="26"/>
  <c r="D102" i="26"/>
  <c r="D8" i="26"/>
  <c r="D11" i="26"/>
  <c r="D19" i="26"/>
  <c r="D82" i="26"/>
  <c r="D79" i="26"/>
  <c r="D20" i="26"/>
  <c r="D74" i="26"/>
  <c r="D92" i="26"/>
  <c r="D32" i="26"/>
  <c r="D67" i="26"/>
  <c r="D18" i="26"/>
  <c r="D58" i="26"/>
  <c r="D14" i="26"/>
  <c r="D55" i="26"/>
  <c r="D46" i="26"/>
  <c r="D33" i="26"/>
  <c r="D48" i="26"/>
  <c r="D99" i="26"/>
  <c r="D13" i="26"/>
  <c r="D50" i="26"/>
  <c r="D84" i="26"/>
  <c r="BS224" i="7"/>
  <c r="BR49" i="7"/>
  <c r="BW92" i="2"/>
  <c r="BX213" i="2"/>
  <c r="AI75" i="9"/>
  <c r="AJ237" i="9"/>
  <c r="J20" i="20"/>
  <c r="BT21" i="2"/>
  <c r="AA16" i="38"/>
  <c r="AJ49" i="38"/>
  <c r="I82" i="38"/>
  <c r="AB19" i="20"/>
  <c r="AC19" i="20"/>
  <c r="I17" i="38"/>
  <c r="T9" i="39"/>
  <c r="J9" i="39"/>
  <c r="Z22" i="38"/>
  <c r="AI55" i="38"/>
  <c r="H88" i="38"/>
  <c r="I26" i="20"/>
  <c r="BK27" i="2"/>
  <c r="S15" i="39"/>
  <c r="H23" i="38"/>
  <c r="H89" i="38"/>
  <c r="Z25" i="20"/>
  <c r="AA25" i="20"/>
  <c r="CL28" i="2"/>
  <c r="L27" i="20"/>
  <c r="BJ85" i="2"/>
  <c r="CK85" i="2"/>
  <c r="BG90" i="2"/>
  <c r="CF90" i="2"/>
  <c r="BH89" i="2"/>
  <c r="CI89" i="2"/>
  <c r="CH89" i="2"/>
  <c r="AP25" i="26"/>
  <c r="R41" i="41"/>
  <c r="S42" i="41"/>
  <c r="DD147" i="10"/>
  <c r="AS99" i="40"/>
  <c r="AT326" i="40"/>
  <c r="AY103" i="40"/>
  <c r="AZ328" i="40"/>
  <c r="AY109" i="40"/>
  <c r="AZ331" i="40"/>
  <c r="AU97" i="40"/>
  <c r="AV325" i="40"/>
  <c r="AY111" i="40"/>
  <c r="AZ332" i="40"/>
  <c r="AT105" i="40"/>
  <c r="AU329" i="40"/>
  <c r="AU107" i="40"/>
  <c r="AV330" i="40"/>
  <c r="AY93" i="40"/>
  <c r="AZ323" i="40"/>
  <c r="AY101" i="40"/>
  <c r="AZ327" i="40"/>
  <c r="AZ95" i="40"/>
  <c r="BA324" i="40"/>
  <c r="AZ91" i="40"/>
  <c r="BA309" i="40"/>
  <c r="AZ65" i="40"/>
  <c r="BC299" i="40"/>
  <c r="BB45" i="40"/>
  <c r="BC301" i="40"/>
  <c r="BB49" i="40"/>
  <c r="BA311" i="40"/>
  <c r="AZ69" i="40"/>
  <c r="BB310" i="40"/>
  <c r="BA67" i="40"/>
  <c r="BC320" i="40"/>
  <c r="BB87" i="40"/>
  <c r="BB317" i="40"/>
  <c r="BA81" i="40"/>
  <c r="BB319" i="40"/>
  <c r="BA85" i="40"/>
  <c r="BA313" i="40"/>
  <c r="AZ73" i="40"/>
  <c r="BB307" i="40"/>
  <c r="BA61" i="40"/>
  <c r="BC322" i="40"/>
  <c r="BC304" i="40"/>
  <c r="BB55" i="40"/>
  <c r="BC303" i="40"/>
  <c r="BB53" i="40"/>
  <c r="BC306" i="40"/>
  <c r="BB59" i="40"/>
  <c r="BC316" i="40"/>
  <c r="BB79" i="40"/>
  <c r="BC318" i="40"/>
  <c r="BB83" i="40"/>
  <c r="BB315" i="40"/>
  <c r="BA77" i="40"/>
  <c r="BC312" i="40"/>
  <c r="BB71" i="40"/>
  <c r="BC300" i="40"/>
  <c r="BB47" i="40"/>
  <c r="BB297" i="40"/>
  <c r="BA41" i="40"/>
  <c r="BC308" i="40"/>
  <c r="BB63" i="40"/>
  <c r="BC305" i="40"/>
  <c r="BB57" i="40"/>
  <c r="BC298" i="40"/>
  <c r="BB43" i="40"/>
  <c r="BC314" i="40"/>
  <c r="BB75" i="40"/>
  <c r="BB321" i="40"/>
  <c r="BA89" i="40"/>
  <c r="BB302" i="40"/>
  <c r="BA51" i="40"/>
  <c r="AS67" i="22"/>
  <c r="AT233" i="22"/>
  <c r="BG79" i="9"/>
  <c r="BH239" i="9"/>
  <c r="BG232" i="9"/>
  <c r="BF65" i="9"/>
  <c r="BR233" i="7"/>
  <c r="BQ67" i="7"/>
  <c r="BH63" i="22"/>
  <c r="BI231" i="22"/>
  <c r="BQ234" i="10"/>
  <c r="BP69" i="10"/>
  <c r="BP238" i="11"/>
  <c r="BO77" i="11"/>
  <c r="BC59" i="8"/>
  <c r="BD229" i="8"/>
  <c r="BR226" i="6"/>
  <c r="BQ47" i="6"/>
  <c r="BO228" i="11"/>
  <c r="BN57" i="11"/>
  <c r="AZ75" i="11"/>
  <c r="BA237" i="11"/>
  <c r="BK61" i="7"/>
  <c r="BL230" i="7"/>
  <c r="BO77" i="10"/>
  <c r="BP238" i="10"/>
  <c r="BD63" i="10"/>
  <c r="BE231" i="10"/>
  <c r="BI79" i="7"/>
  <c r="BJ239" i="7"/>
  <c r="BR57" i="22"/>
  <c r="BS228" i="22"/>
  <c r="BO51" i="11"/>
  <c r="BP225" i="11"/>
  <c r="AO81" i="10"/>
  <c r="AP240" i="10"/>
  <c r="BN229" i="7"/>
  <c r="BM59" i="7"/>
  <c r="BH63" i="8"/>
  <c r="BI231" i="8"/>
  <c r="BP61" i="10"/>
  <c r="BQ230" i="10"/>
  <c r="BM239" i="11"/>
  <c r="BL79" i="11"/>
  <c r="BL223" i="11"/>
  <c r="BK47" i="11"/>
  <c r="BH71" i="22"/>
  <c r="BI235" i="22"/>
  <c r="AO67" i="9"/>
  <c r="AP233" i="9"/>
  <c r="BQ238" i="22"/>
  <c r="BP77" i="22"/>
  <c r="BQ235" i="8"/>
  <c r="BP71" i="8"/>
  <c r="DF144" i="10"/>
  <c r="DG54" i="10"/>
  <c r="E61" i="11"/>
  <c r="F230" i="11"/>
  <c r="BQ231" i="9"/>
  <c r="BP63" i="9"/>
  <c r="BQ239" i="8"/>
  <c r="BP79" i="8"/>
  <c r="BP238" i="7"/>
  <c r="BO77" i="7"/>
  <c r="BF67" i="10"/>
  <c r="BG233" i="10"/>
  <c r="BF73" i="22"/>
  <c r="BG236" i="22"/>
  <c r="BG239" i="22"/>
  <c r="BF79" i="22"/>
  <c r="BA71" i="10"/>
  <c r="BB235" i="10"/>
  <c r="DE146" i="10"/>
  <c r="DE145" i="10"/>
  <c r="AO65" i="10"/>
  <c r="AP232" i="10"/>
  <c r="AN59" i="10"/>
  <c r="AO229" i="10"/>
  <c r="U37" i="38"/>
  <c r="AD70" i="38"/>
  <c r="C103" i="38"/>
  <c r="R42" i="2"/>
  <c r="D42" i="20"/>
  <c r="C38" i="38"/>
  <c r="N30" i="39"/>
  <c r="P40" i="20"/>
  <c r="Q40" i="20"/>
  <c r="BR217" i="10"/>
  <c r="BQ35" i="10"/>
  <c r="BR216" i="10"/>
  <c r="BQ33" i="10"/>
  <c r="BR31" i="10"/>
  <c r="BS215" i="10"/>
  <c r="BR223" i="10"/>
  <c r="BQ47" i="10"/>
  <c r="BQ43" i="10"/>
  <c r="BR221" i="10"/>
  <c r="BR220" i="10"/>
  <c r="BQ41" i="10"/>
  <c r="BQ222" i="10"/>
  <c r="BP45" i="10"/>
  <c r="BR219" i="10"/>
  <c r="BQ39" i="10"/>
  <c r="BR224" i="10"/>
  <c r="BQ49" i="10"/>
  <c r="BS226" i="10"/>
  <c r="BR53" i="10"/>
  <c r="BS225" i="22"/>
  <c r="BR51" i="22"/>
  <c r="BQ223" i="22"/>
  <c r="BP47" i="22"/>
  <c r="BQ43" i="22"/>
  <c r="BR221" i="22"/>
  <c r="BQ53" i="22"/>
  <c r="BR226" i="22"/>
  <c r="BR47" i="8"/>
  <c r="BS223" i="8"/>
  <c r="BR225" i="8"/>
  <c r="BQ51" i="8"/>
  <c r="AM213" i="2"/>
  <c r="C213" i="2"/>
  <c r="BE213" i="2"/>
  <c r="BN213" i="2"/>
  <c r="U213" i="2"/>
  <c r="L213" i="2"/>
  <c r="AV213" i="2"/>
  <c r="AD213" i="2"/>
  <c r="BN91" i="2"/>
  <c r="BP91" i="2"/>
  <c r="BQ91" i="2"/>
  <c r="BO212" i="2"/>
  <c r="BE91" i="2"/>
  <c r="BF212" i="2"/>
  <c r="BS216" i="22"/>
  <c r="BR33" i="22"/>
  <c r="AP65" i="22"/>
  <c r="AQ232" i="22"/>
  <c r="AS75" i="7"/>
  <c r="AT237" i="7"/>
  <c r="AL69" i="7"/>
  <c r="AM234" i="7"/>
  <c r="AO71" i="9"/>
  <c r="AP235" i="9"/>
  <c r="AR75" i="8"/>
  <c r="AS237" i="8"/>
  <c r="A214" i="2"/>
  <c r="BW214" i="2"/>
  <c r="A94" i="2"/>
  <c r="AU67" i="11"/>
  <c r="AV233" i="11"/>
  <c r="AR75" i="22"/>
  <c r="AS237" i="22"/>
  <c r="BN73" i="9"/>
  <c r="BO236" i="9"/>
  <c r="AU81" i="11"/>
  <c r="AV240" i="11"/>
  <c r="C91" i="2"/>
  <c r="D212" i="2"/>
  <c r="AM91" i="2"/>
  <c r="AO91" i="2"/>
  <c r="AP91" i="2"/>
  <c r="AN212" i="2"/>
  <c r="AT67" i="8"/>
  <c r="AU233" i="8"/>
  <c r="AM49" i="11"/>
  <c r="AN224" i="11"/>
  <c r="AR81" i="22"/>
  <c r="AS240" i="22"/>
  <c r="BN77" i="9"/>
  <c r="BO238" i="9"/>
  <c r="AP81" i="7"/>
  <c r="AQ240" i="7"/>
  <c r="BI73" i="8"/>
  <c r="BJ236" i="8"/>
  <c r="AT71" i="7"/>
  <c r="AU235" i="7"/>
  <c r="AT69" i="22"/>
  <c r="AU234" i="22"/>
  <c r="AN81" i="9"/>
  <c r="AO240" i="9"/>
  <c r="V212" i="2"/>
  <c r="U91" i="2"/>
  <c r="W91" i="2"/>
  <c r="X91" i="2"/>
  <c r="L91" i="2"/>
  <c r="N91" i="2"/>
  <c r="O91" i="2"/>
  <c r="M212" i="2"/>
  <c r="AI53" i="11"/>
  <c r="AJ226" i="11"/>
  <c r="AQ69" i="9"/>
  <c r="AR234" i="9"/>
  <c r="AW77" i="8"/>
  <c r="AX238" i="8"/>
  <c r="AB65" i="7"/>
  <c r="AC232" i="7"/>
  <c r="F63" i="11"/>
  <c r="G231" i="11"/>
  <c r="AR75" i="10"/>
  <c r="AS237" i="10"/>
  <c r="AP79" i="10"/>
  <c r="AQ239" i="10"/>
  <c r="AV91" i="2"/>
  <c r="AX91" i="2"/>
  <c r="AY91" i="2"/>
  <c r="AW212" i="2"/>
  <c r="AE212" i="2"/>
  <c r="AD91" i="2"/>
  <c r="AF91" i="2"/>
  <c r="AG91" i="2"/>
  <c r="AY61" i="8"/>
  <c r="AZ230" i="8"/>
  <c r="AU61" i="22"/>
  <c r="AV230" i="22"/>
  <c r="G69" i="11"/>
  <c r="H234" i="11"/>
  <c r="AV69" i="8"/>
  <c r="AW234" i="8"/>
  <c r="AW73" i="11"/>
  <c r="AX236" i="11"/>
  <c r="AE31" i="22"/>
  <c r="AF215" i="22"/>
  <c r="AH73" i="10"/>
  <c r="AI236" i="10"/>
  <c r="AO57" i="10"/>
  <c r="AP228" i="10"/>
  <c r="D48" i="2"/>
  <c r="E48" i="2"/>
  <c r="D17" i="2"/>
  <c r="E17" i="2"/>
  <c r="D24" i="2"/>
  <c r="E24" i="2"/>
  <c r="D16" i="2"/>
  <c r="E16" i="2"/>
  <c r="D83" i="2"/>
  <c r="E83" i="2"/>
  <c r="D104" i="2"/>
  <c r="D19" i="2"/>
  <c r="E19" i="2"/>
  <c r="D26" i="2"/>
  <c r="E26" i="2"/>
  <c r="D73" i="2"/>
  <c r="E73" i="2"/>
  <c r="D100" i="2"/>
  <c r="D111" i="2"/>
  <c r="D47" i="2"/>
  <c r="E47" i="2"/>
  <c r="D112" i="2"/>
  <c r="D58" i="2"/>
  <c r="E58" i="2"/>
  <c r="D85" i="2"/>
  <c r="E85" i="2"/>
  <c r="D95" i="2"/>
  <c r="D108" i="2"/>
  <c r="D43" i="2"/>
  <c r="E43" i="2"/>
  <c r="D41" i="2"/>
  <c r="E41" i="2"/>
  <c r="D46" i="2"/>
  <c r="E46" i="2"/>
  <c r="D110" i="2"/>
  <c r="D109" i="2"/>
  <c r="D92" i="2"/>
  <c r="D89" i="2"/>
  <c r="E89" i="2"/>
  <c r="D93" i="2"/>
  <c r="D97" i="2"/>
  <c r="D29" i="2"/>
  <c r="E29" i="2"/>
  <c r="D68" i="2"/>
  <c r="E68" i="2"/>
  <c r="D98" i="2"/>
  <c r="D22" i="2"/>
  <c r="E22" i="2"/>
  <c r="D96" i="2"/>
  <c r="D44" i="2"/>
  <c r="E44" i="2"/>
  <c r="D42" i="2"/>
  <c r="E42" i="2"/>
  <c r="D40" i="2"/>
  <c r="E40" i="2"/>
  <c r="D45" i="2"/>
  <c r="E45" i="2"/>
  <c r="D59" i="2"/>
  <c r="E59" i="2"/>
  <c r="D65" i="2"/>
  <c r="E65" i="2"/>
  <c r="D51" i="2"/>
  <c r="E51" i="2"/>
  <c r="D69" i="2"/>
  <c r="E69" i="2"/>
  <c r="D18" i="2"/>
  <c r="E18" i="2"/>
  <c r="D15" i="2"/>
  <c r="E15" i="2"/>
  <c r="D74" i="2"/>
  <c r="E74" i="2"/>
  <c r="D34" i="2"/>
  <c r="E34" i="2"/>
  <c r="D102" i="2"/>
  <c r="D39" i="2"/>
  <c r="E39" i="2"/>
  <c r="D75" i="2"/>
  <c r="E75" i="2"/>
  <c r="D64" i="2"/>
  <c r="E64" i="2"/>
  <c r="D114" i="2"/>
  <c r="D99" i="2"/>
  <c r="D77" i="2"/>
  <c r="E77" i="2"/>
  <c r="D55" i="2"/>
  <c r="E55" i="2"/>
  <c r="D79" i="2"/>
  <c r="E79" i="2"/>
  <c r="D70" i="2"/>
  <c r="E70" i="2"/>
  <c r="D84" i="2"/>
  <c r="E84" i="2"/>
  <c r="D71" i="2"/>
  <c r="E71" i="2"/>
  <c r="D91" i="2"/>
  <c r="D32" i="2"/>
  <c r="E32" i="2"/>
  <c r="D67" i="2"/>
  <c r="E67" i="2"/>
  <c r="D61" i="2"/>
  <c r="E61" i="2"/>
  <c r="D27" i="2"/>
  <c r="E27" i="2"/>
  <c r="F27" i="2"/>
  <c r="H27" i="2"/>
  <c r="D101" i="2"/>
  <c r="D78" i="2"/>
  <c r="E78" i="2"/>
  <c r="D66" i="2"/>
  <c r="E66" i="2"/>
  <c r="D52" i="2"/>
  <c r="E52" i="2"/>
  <c r="D82" i="2"/>
  <c r="E82" i="2"/>
  <c r="D86" i="2"/>
  <c r="E86" i="2"/>
  <c r="D20" i="2"/>
  <c r="E20" i="2"/>
  <c r="F20" i="2"/>
  <c r="H20" i="2"/>
  <c r="D56" i="2"/>
  <c r="E56" i="2"/>
  <c r="D23" i="2"/>
  <c r="E23" i="2"/>
  <c r="D57" i="2"/>
  <c r="E57" i="2"/>
  <c r="D106" i="2"/>
  <c r="D76" i="2"/>
  <c r="E76" i="2"/>
  <c r="D62" i="2"/>
  <c r="E62" i="2"/>
  <c r="D49" i="2"/>
  <c r="E49" i="2"/>
  <c r="D94" i="2"/>
  <c r="D35" i="2"/>
  <c r="E35" i="2"/>
  <c r="D33" i="2"/>
  <c r="E33" i="2"/>
  <c r="D105" i="2"/>
  <c r="D87" i="2"/>
  <c r="E87" i="2"/>
  <c r="D113" i="2"/>
  <c r="D60" i="2"/>
  <c r="E60" i="2"/>
  <c r="D28" i="2"/>
  <c r="E28" i="2"/>
  <c r="D21" i="2"/>
  <c r="E21" i="2"/>
  <c r="D36" i="2"/>
  <c r="E36" i="2"/>
  <c r="D31" i="2"/>
  <c r="E31" i="2"/>
  <c r="D38" i="2"/>
  <c r="E38" i="2"/>
  <c r="D63" i="2"/>
  <c r="E63" i="2"/>
  <c r="D72" i="2"/>
  <c r="E72" i="2"/>
  <c r="D50" i="2"/>
  <c r="E50" i="2"/>
  <c r="D25" i="2"/>
  <c r="E25" i="2"/>
  <c r="D107" i="2"/>
  <c r="D53" i="2"/>
  <c r="E53" i="2"/>
  <c r="F53" i="2"/>
  <c r="D90" i="2"/>
  <c r="E90" i="2"/>
  <c r="D37" i="2"/>
  <c r="E37" i="2"/>
  <c r="D81" i="2"/>
  <c r="E81" i="2"/>
  <c r="D30" i="2"/>
  <c r="E30" i="2"/>
  <c r="D88" i="2"/>
  <c r="E88" i="2"/>
  <c r="D54" i="2"/>
  <c r="E54" i="2"/>
  <c r="D80" i="2"/>
  <c r="E80" i="2"/>
  <c r="D103" i="2"/>
  <c r="BP43" i="8"/>
  <c r="BQ221" i="8"/>
  <c r="BR222" i="8"/>
  <c r="BQ45" i="8"/>
  <c r="BN217" i="8"/>
  <c r="BM35" i="8"/>
  <c r="BG63" i="7"/>
  <c r="BH231" i="7"/>
  <c r="BQ33" i="11"/>
  <c r="BR216" i="11"/>
  <c r="BR53" i="9"/>
  <c r="BS226" i="9"/>
  <c r="BQ31" i="9"/>
  <c r="BR215" i="9"/>
  <c r="BP31" i="1"/>
  <c r="BQ222" i="1"/>
  <c r="BR59" i="1"/>
  <c r="BS236" i="1"/>
  <c r="BP33" i="1"/>
  <c r="BQ223" i="1"/>
  <c r="BQ53" i="1"/>
  <c r="BR233" i="1"/>
  <c r="BR35" i="1"/>
  <c r="BS224" i="1"/>
  <c r="BR65" i="1"/>
  <c r="BS239" i="1"/>
  <c r="BQ51" i="1"/>
  <c r="BR232" i="1"/>
  <c r="P21" i="39"/>
  <c r="T31" i="20"/>
  <c r="U31" i="20"/>
  <c r="E29" i="38"/>
  <c r="AJ33" i="2"/>
  <c r="F33" i="20"/>
  <c r="E94" i="38"/>
  <c r="W28" i="38"/>
  <c r="AF61" i="38"/>
  <c r="BB22" i="2"/>
  <c r="H22" i="20"/>
  <c r="Y17" i="38"/>
  <c r="AH50" i="38"/>
  <c r="G83" i="38"/>
  <c r="R10" i="39"/>
  <c r="H10" i="39"/>
  <c r="G18" i="38"/>
  <c r="X20" i="20"/>
  <c r="Y20" i="20"/>
  <c r="BP45" i="22"/>
  <c r="BQ222" i="22"/>
  <c r="BR216" i="6"/>
  <c r="BQ27" i="6"/>
  <c r="BP43" i="6"/>
  <c r="BQ224" i="6"/>
  <c r="BR214" i="6"/>
  <c r="BQ23" i="6"/>
  <c r="BP31" i="6"/>
  <c r="BQ218" i="6"/>
  <c r="BQ41" i="6"/>
  <c r="BR223" i="6"/>
  <c r="BR217" i="6"/>
  <c r="BQ25" i="6"/>
  <c r="BR215" i="6"/>
  <c r="BQ35" i="6"/>
  <c r="BR220" i="6"/>
  <c r="BQ37" i="6"/>
  <c r="BR221" i="6"/>
  <c r="BQ33" i="6"/>
  <c r="BR219" i="6"/>
  <c r="BO247" i="1"/>
  <c r="BN81" i="1"/>
  <c r="BS228" i="1"/>
  <c r="BR43" i="1"/>
  <c r="BM83" i="1"/>
  <c r="BN248" i="1"/>
  <c r="BP37" i="8"/>
  <c r="BQ218" i="8"/>
  <c r="BM39" i="8"/>
  <c r="BN219" i="8"/>
  <c r="BN45" i="11"/>
  <c r="BO222" i="11"/>
  <c r="AA33" i="2"/>
  <c r="E33" i="20"/>
  <c r="O21" i="39"/>
  <c r="D29" i="38"/>
  <c r="R31" i="20"/>
  <c r="S31" i="20"/>
  <c r="D94" i="38"/>
  <c r="V28" i="38"/>
  <c r="AE61" i="38"/>
  <c r="BR224" i="22"/>
  <c r="BQ49" i="22"/>
  <c r="BQ35" i="22"/>
  <c r="BR217" i="22"/>
  <c r="BQ219" i="22"/>
  <c r="BP39" i="22"/>
  <c r="BQ218" i="7"/>
  <c r="BP37" i="7"/>
  <c r="BN41" i="7"/>
  <c r="BO220" i="7"/>
  <c r="BR217" i="7"/>
  <c r="BQ35" i="7"/>
  <c r="BP39" i="7"/>
  <c r="BQ219" i="7"/>
  <c r="BP31" i="7"/>
  <c r="BQ215" i="7"/>
  <c r="BQ43" i="7"/>
  <c r="BR221" i="7"/>
  <c r="BO222" i="6"/>
  <c r="BN39" i="6"/>
  <c r="BN227" i="9"/>
  <c r="BM55" i="9"/>
  <c r="BO219" i="9"/>
  <c r="BN39" i="9"/>
  <c r="BR217" i="9"/>
  <c r="BQ35" i="9"/>
  <c r="BT221" i="9"/>
  <c r="BS43" i="9"/>
  <c r="BS223" i="9"/>
  <c r="BR47" i="9"/>
  <c r="BQ225" i="9"/>
  <c r="BP51" i="9"/>
  <c r="BR224" i="9"/>
  <c r="BQ49" i="9"/>
  <c r="BO57" i="9"/>
  <c r="BP228" i="9"/>
  <c r="BR222" i="9"/>
  <c r="BQ45" i="9"/>
  <c r="BR244" i="1"/>
  <c r="BQ75" i="1"/>
  <c r="BR242" i="1"/>
  <c r="BQ71" i="1"/>
  <c r="BP243" i="1"/>
  <c r="BO73" i="1"/>
  <c r="BL235" i="1"/>
  <c r="BK57" i="1"/>
  <c r="BP245" i="1"/>
  <c r="BO77" i="1"/>
  <c r="BQ237" i="1"/>
  <c r="BP61" i="1"/>
  <c r="BS246" i="1"/>
  <c r="BR79" i="1"/>
  <c r="BQ240" i="1"/>
  <c r="BP67" i="1"/>
  <c r="BM221" i="11"/>
  <c r="BL43" i="11"/>
  <c r="F85" i="38"/>
  <c r="X19" i="38"/>
  <c r="AG52" i="38"/>
  <c r="AS24" i="2"/>
  <c r="G24" i="20"/>
  <c r="F20" i="38"/>
  <c r="Q12" i="39"/>
  <c r="G12" i="39"/>
  <c r="V22" i="20"/>
  <c r="W22" i="20"/>
  <c r="BR219" i="11"/>
  <c r="BQ39" i="11"/>
  <c r="BQ218" i="11"/>
  <c r="BP37" i="11"/>
  <c r="BO215" i="11"/>
  <c r="BO220" i="11"/>
  <c r="BN41" i="11"/>
  <c r="BR225" i="10"/>
  <c r="BQ51" i="10"/>
  <c r="BR218" i="10"/>
  <c r="BQ37" i="10"/>
  <c r="BS229" i="22"/>
  <c r="BR59" i="22"/>
  <c r="BR218" i="22"/>
  <c r="BR220" i="22"/>
  <c r="BQ41" i="22"/>
  <c r="BR227" i="22"/>
  <c r="BQ55" i="22"/>
  <c r="BP228" i="8"/>
  <c r="BO57" i="8"/>
  <c r="BR227" i="8"/>
  <c r="BQ55" i="8"/>
  <c r="BS220" i="8"/>
  <c r="BR41" i="8"/>
  <c r="BS226" i="8"/>
  <c r="BR53" i="8"/>
  <c r="BS224" i="8"/>
  <c r="BR49" i="8"/>
  <c r="BS216" i="8"/>
  <c r="BR33" i="8"/>
  <c r="BT215" i="8"/>
  <c r="BS31" i="8"/>
  <c r="BS227" i="7"/>
  <c r="BR55" i="7"/>
  <c r="BS226" i="7"/>
  <c r="BR53" i="7"/>
  <c r="BS225" i="7"/>
  <c r="BR51" i="7"/>
  <c r="BL216" i="7"/>
  <c r="BK33" i="7"/>
  <c r="BP222" i="7"/>
  <c r="BO45" i="7"/>
  <c r="BQ223" i="7"/>
  <c r="BP47" i="7"/>
  <c r="BS231" i="6"/>
  <c r="BR57" i="6"/>
  <c r="BS230" i="6"/>
  <c r="BR55" i="6"/>
  <c r="BS229" i="6"/>
  <c r="BR53" i="6"/>
  <c r="BS228" i="6"/>
  <c r="BR51" i="6"/>
  <c r="BS227" i="6"/>
  <c r="BR49" i="6"/>
  <c r="BQ225" i="6"/>
  <c r="BP45" i="6"/>
  <c r="BR230" i="9"/>
  <c r="BQ61" i="9"/>
  <c r="BS229" i="9"/>
  <c r="BR59" i="9"/>
  <c r="BO216" i="9"/>
  <c r="BN33" i="9"/>
  <c r="BR218" i="9"/>
  <c r="BQ37" i="9"/>
  <c r="BR220" i="9"/>
  <c r="BQ41" i="9"/>
  <c r="BQ241" i="1"/>
  <c r="BP69" i="1"/>
  <c r="BS238" i="1"/>
  <c r="BR63" i="1"/>
  <c r="BQ231" i="1"/>
  <c r="BP49" i="1"/>
  <c r="BS234" i="1"/>
  <c r="BR55" i="1"/>
  <c r="BS230" i="1"/>
  <c r="BR47" i="1"/>
  <c r="BQ229" i="1"/>
  <c r="BP45" i="1"/>
  <c r="BS226" i="1"/>
  <c r="BR39" i="1"/>
  <c r="BQ225" i="1"/>
  <c r="BP37" i="1"/>
  <c r="BQ227" i="1"/>
  <c r="BP41" i="1"/>
  <c r="BQ49" i="7"/>
  <c r="BR224" i="7"/>
  <c r="BW93" i="2"/>
  <c r="BX214" i="2"/>
  <c r="AI237" i="9"/>
  <c r="AH75" i="9"/>
  <c r="I83" i="38"/>
  <c r="AA17" i="38"/>
  <c r="AJ50" i="38"/>
  <c r="J21" i="20"/>
  <c r="BT22" i="2"/>
  <c r="I18" i="38"/>
  <c r="T10" i="39"/>
  <c r="J10" i="39"/>
  <c r="AB20" i="20"/>
  <c r="AC20" i="20"/>
  <c r="I27" i="20"/>
  <c r="BK28" i="2"/>
  <c r="Z26" i="20"/>
  <c r="AA26" i="20"/>
  <c r="H24" i="38"/>
  <c r="S16" i="39"/>
  <c r="CL29" i="2"/>
  <c r="L28" i="20"/>
  <c r="BJ86" i="2"/>
  <c r="CK86" i="2"/>
  <c r="BG91" i="2"/>
  <c r="CF91" i="2"/>
  <c r="BH90" i="2"/>
  <c r="CI90" i="2"/>
  <c r="CH90" i="2"/>
  <c r="S41" i="41"/>
  <c r="AP24" i="26"/>
  <c r="R40" i="41"/>
  <c r="F33" i="2"/>
  <c r="H33" i="2"/>
  <c r="F75" i="2"/>
  <c r="F21" i="2"/>
  <c r="H21" i="2"/>
  <c r="F36" i="2"/>
  <c r="H36" i="2"/>
  <c r="F78" i="2"/>
  <c r="E91" i="2"/>
  <c r="F91" i="2"/>
  <c r="AY95" i="40"/>
  <c r="AZ324" i="40"/>
  <c r="AX93" i="40"/>
  <c r="AY323" i="40"/>
  <c r="AS105" i="40"/>
  <c r="AT329" i="40"/>
  <c r="AT97" i="40"/>
  <c r="AU325" i="40"/>
  <c r="AX103" i="40"/>
  <c r="AY328" i="40"/>
  <c r="AX101" i="40"/>
  <c r="AY327" i="40"/>
  <c r="AT107" i="40"/>
  <c r="AU330" i="40"/>
  <c r="AX111" i="40"/>
  <c r="AY332" i="40"/>
  <c r="AX109" i="40"/>
  <c r="AY331" i="40"/>
  <c r="AR99" i="40"/>
  <c r="AS326" i="40"/>
  <c r="AY91" i="40"/>
  <c r="BA302" i="40"/>
  <c r="AZ51" i="40"/>
  <c r="BB314" i="40"/>
  <c r="BA75" i="40"/>
  <c r="BB305" i="40"/>
  <c r="BA57" i="40"/>
  <c r="BA297" i="40"/>
  <c r="AZ41" i="40"/>
  <c r="BB312" i="40"/>
  <c r="BA71" i="40"/>
  <c r="BB318" i="40"/>
  <c r="BA83" i="40"/>
  <c r="BB306" i="40"/>
  <c r="BA59" i="40"/>
  <c r="BB304" i="40"/>
  <c r="BA55" i="40"/>
  <c r="BA307" i="40"/>
  <c r="AZ61" i="40"/>
  <c r="BA319" i="40"/>
  <c r="AZ85" i="40"/>
  <c r="BB320" i="40"/>
  <c r="BA87" i="40"/>
  <c r="AZ311" i="40"/>
  <c r="AY69" i="40"/>
  <c r="BB299" i="40"/>
  <c r="BA45" i="40"/>
  <c r="BA321" i="40"/>
  <c r="AZ89" i="40"/>
  <c r="BB298" i="40"/>
  <c r="BA43" i="40"/>
  <c r="BB308" i="40"/>
  <c r="BA63" i="40"/>
  <c r="BB300" i="40"/>
  <c r="BA47" i="40"/>
  <c r="BA315" i="40"/>
  <c r="AZ77" i="40"/>
  <c r="BB316" i="40"/>
  <c r="BA79" i="40"/>
  <c r="BB303" i="40"/>
  <c r="BA53" i="40"/>
  <c r="BB322" i="40"/>
  <c r="AZ313" i="40"/>
  <c r="AY73" i="40"/>
  <c r="BA317" i="40"/>
  <c r="AZ81" i="40"/>
  <c r="BA310" i="40"/>
  <c r="AZ67" i="40"/>
  <c r="BB301" i="40"/>
  <c r="BA49" i="40"/>
  <c r="AZ309" i="40"/>
  <c r="AY65" i="40"/>
  <c r="BE79" i="22"/>
  <c r="BF239" i="22"/>
  <c r="BP239" i="8"/>
  <c r="BO79" i="8"/>
  <c r="BP235" i="8"/>
  <c r="BO71" i="8"/>
  <c r="BK223" i="11"/>
  <c r="BJ47" i="11"/>
  <c r="BL59" i="7"/>
  <c r="BM229" i="7"/>
  <c r="BQ226" i="6"/>
  <c r="BP47" i="6"/>
  <c r="BP234" i="10"/>
  <c r="BO69" i="10"/>
  <c r="BP67" i="7"/>
  <c r="BQ233" i="7"/>
  <c r="AM59" i="10"/>
  <c r="AN229" i="10"/>
  <c r="DE147" i="10"/>
  <c r="BE67" i="10"/>
  <c r="BF233" i="10"/>
  <c r="D61" i="11"/>
  <c r="E230" i="11"/>
  <c r="AN67" i="9"/>
  <c r="AO233" i="9"/>
  <c r="BO61" i="10"/>
  <c r="BP230" i="10"/>
  <c r="BN51" i="11"/>
  <c r="BO225" i="11"/>
  <c r="BI239" i="7"/>
  <c r="BH79" i="7"/>
  <c r="BN77" i="10"/>
  <c r="BO238" i="10"/>
  <c r="AY75" i="11"/>
  <c r="AZ237" i="11"/>
  <c r="BB59" i="8"/>
  <c r="BC229" i="8"/>
  <c r="BF79" i="9"/>
  <c r="BG239" i="9"/>
  <c r="BO238" i="7"/>
  <c r="BN77" i="7"/>
  <c r="BP231" i="9"/>
  <c r="BO63" i="9"/>
  <c r="DH54" i="10"/>
  <c r="DG144" i="10"/>
  <c r="BP238" i="22"/>
  <c r="BO77" i="22"/>
  <c r="BL239" i="11"/>
  <c r="BK79" i="11"/>
  <c r="BN228" i="11"/>
  <c r="BM57" i="11"/>
  <c r="BO238" i="11"/>
  <c r="BN77" i="11"/>
  <c r="BE65" i="9"/>
  <c r="BF232" i="9"/>
  <c r="AO232" i="10"/>
  <c r="AN65" i="10"/>
  <c r="AZ71" i="10"/>
  <c r="BA235" i="10"/>
  <c r="BE73" i="22"/>
  <c r="BF236" i="22"/>
  <c r="DF146" i="10"/>
  <c r="DF145" i="10"/>
  <c r="BG71" i="22"/>
  <c r="BH235" i="22"/>
  <c r="BG63" i="8"/>
  <c r="BH231" i="8"/>
  <c r="AN81" i="10"/>
  <c r="AO240" i="10"/>
  <c r="BR228" i="22"/>
  <c r="BQ57" i="22"/>
  <c r="BC63" i="10"/>
  <c r="BD231" i="10"/>
  <c r="BJ61" i="7"/>
  <c r="BK230" i="7"/>
  <c r="BG63" i="22"/>
  <c r="BH231" i="22"/>
  <c r="AR67" i="22"/>
  <c r="AS233" i="22"/>
  <c r="R43" i="2"/>
  <c r="D43" i="20"/>
  <c r="C39" i="38"/>
  <c r="P41" i="20"/>
  <c r="Q41" i="20"/>
  <c r="N31" i="39"/>
  <c r="C104" i="38"/>
  <c r="U38" i="38"/>
  <c r="AD71" i="38"/>
  <c r="BR226" i="10"/>
  <c r="BQ53" i="10"/>
  <c r="BQ219" i="10"/>
  <c r="BP39" i="10"/>
  <c r="BQ220" i="10"/>
  <c r="BP41" i="10"/>
  <c r="BQ223" i="10"/>
  <c r="BP47" i="10"/>
  <c r="BQ216" i="10"/>
  <c r="BP33" i="10"/>
  <c r="BQ224" i="10"/>
  <c r="BP49" i="10"/>
  <c r="BP222" i="10"/>
  <c r="BO45" i="10"/>
  <c r="BQ217" i="10"/>
  <c r="BP35" i="10"/>
  <c r="BP43" i="10"/>
  <c r="BQ221" i="10"/>
  <c r="BQ31" i="10"/>
  <c r="BR215" i="10"/>
  <c r="BP223" i="22"/>
  <c r="BO47" i="22"/>
  <c r="BP53" i="22"/>
  <c r="BQ226" i="22"/>
  <c r="BQ51" i="22"/>
  <c r="BR225" i="22"/>
  <c r="BQ221" i="22"/>
  <c r="BP43" i="22"/>
  <c r="BQ225" i="8"/>
  <c r="BP51" i="8"/>
  <c r="BR223" i="8"/>
  <c r="BQ47" i="8"/>
  <c r="AN57" i="10"/>
  <c r="AO228" i="10"/>
  <c r="AG73" i="10"/>
  <c r="AH236" i="10"/>
  <c r="AD31" i="22"/>
  <c r="AE215" i="22"/>
  <c r="AU69" i="8"/>
  <c r="AV234" i="8"/>
  <c r="AX61" i="8"/>
  <c r="AY230" i="8"/>
  <c r="AQ75" i="10"/>
  <c r="AR237" i="10"/>
  <c r="AA65" i="7"/>
  <c r="AB232" i="7"/>
  <c r="AP69" i="9"/>
  <c r="AQ234" i="9"/>
  <c r="AH53" i="11"/>
  <c r="AI226" i="11"/>
  <c r="AD92" i="2"/>
  <c r="AF92" i="2"/>
  <c r="AG92" i="2"/>
  <c r="AE213" i="2"/>
  <c r="BN92" i="2"/>
  <c r="BP92" i="2"/>
  <c r="BQ92" i="2"/>
  <c r="BO213" i="2"/>
  <c r="AM81" i="9"/>
  <c r="AN240" i="9"/>
  <c r="AS71" i="7"/>
  <c r="AT235" i="7"/>
  <c r="BM77" i="9"/>
  <c r="BN238" i="9"/>
  <c r="AS67" i="8"/>
  <c r="AT233" i="8"/>
  <c r="AQ75" i="22"/>
  <c r="AR237" i="22"/>
  <c r="AQ75" i="8"/>
  <c r="AR237" i="8"/>
  <c r="AR75" i="7"/>
  <c r="AS237" i="7"/>
  <c r="AV92" i="2"/>
  <c r="AX92" i="2"/>
  <c r="AY92" i="2"/>
  <c r="AW213" i="2"/>
  <c r="BE92" i="2"/>
  <c r="BF213" i="2"/>
  <c r="AV73" i="11"/>
  <c r="AW236" i="11"/>
  <c r="F69" i="11"/>
  <c r="G234" i="11"/>
  <c r="AT61" i="22"/>
  <c r="AU230" i="22"/>
  <c r="AO79" i="10"/>
  <c r="AP239" i="10"/>
  <c r="E63" i="11"/>
  <c r="F231" i="11"/>
  <c r="AV77" i="8"/>
  <c r="AW238" i="8"/>
  <c r="A215" i="2"/>
  <c r="BW215" i="2"/>
  <c r="A95" i="2"/>
  <c r="BR216" i="22"/>
  <c r="BQ33" i="22"/>
  <c r="L92" i="2"/>
  <c r="N92" i="2"/>
  <c r="O92" i="2"/>
  <c r="M213" i="2"/>
  <c r="C92" i="2"/>
  <c r="E92" i="2"/>
  <c r="D213" i="2"/>
  <c r="AS69" i="22"/>
  <c r="AT234" i="22"/>
  <c r="BH73" i="8"/>
  <c r="BI236" i="8"/>
  <c r="AO81" i="7"/>
  <c r="AP240" i="7"/>
  <c r="AQ81" i="22"/>
  <c r="AR240" i="22"/>
  <c r="AL49" i="11"/>
  <c r="AM224" i="11"/>
  <c r="AT81" i="11"/>
  <c r="AU240" i="11"/>
  <c r="BM73" i="9"/>
  <c r="BN236" i="9"/>
  <c r="AT67" i="11"/>
  <c r="AU233" i="11"/>
  <c r="U214" i="2"/>
  <c r="BN214" i="2"/>
  <c r="C214" i="2"/>
  <c r="BE214" i="2"/>
  <c r="AM214" i="2"/>
  <c r="AV214" i="2"/>
  <c r="AD214" i="2"/>
  <c r="L214" i="2"/>
  <c r="AN71" i="9"/>
  <c r="AO235" i="9"/>
  <c r="AK69" i="7"/>
  <c r="AL234" i="7"/>
  <c r="AO65" i="22"/>
  <c r="AP232" i="22"/>
  <c r="U92" i="2"/>
  <c r="W92" i="2"/>
  <c r="X92" i="2"/>
  <c r="V213" i="2"/>
  <c r="AN213" i="2"/>
  <c r="AM92" i="2"/>
  <c r="AO92" i="2"/>
  <c r="AP92" i="2"/>
  <c r="F49" i="2"/>
  <c r="F84" i="2"/>
  <c r="F74" i="2"/>
  <c r="G5" i="2"/>
  <c r="G55" i="2"/>
  <c r="F25" i="2"/>
  <c r="H25" i="2"/>
  <c r="F80" i="2"/>
  <c r="F69" i="2"/>
  <c r="F54" i="2"/>
  <c r="F37" i="2"/>
  <c r="H37" i="2"/>
  <c r="F28" i="2"/>
  <c r="H28" i="2"/>
  <c r="F57" i="2"/>
  <c r="F17" i="2"/>
  <c r="H17" i="2"/>
  <c r="F90" i="2"/>
  <c r="F60" i="2"/>
  <c r="F45" i="2"/>
  <c r="F30" i="2"/>
  <c r="H30" i="2"/>
  <c r="F23" i="2"/>
  <c r="H23" i="2"/>
  <c r="F72" i="2"/>
  <c r="F35" i="2"/>
  <c r="H35" i="2"/>
  <c r="F56" i="2"/>
  <c r="F86" i="2"/>
  <c r="F67" i="2"/>
  <c r="F77" i="2"/>
  <c r="F88" i="2"/>
  <c r="F31" i="2"/>
  <c r="H31" i="2"/>
  <c r="F62" i="2"/>
  <c r="F70" i="2"/>
  <c r="F65" i="2"/>
  <c r="F42" i="2"/>
  <c r="H42" i="2"/>
  <c r="F48" i="2"/>
  <c r="F40" i="2"/>
  <c r="H40" i="2"/>
  <c r="F22" i="2"/>
  <c r="H22" i="2"/>
  <c r="F43" i="2"/>
  <c r="H43" i="2"/>
  <c r="F76" i="2"/>
  <c r="F52" i="2"/>
  <c r="F79" i="2"/>
  <c r="F18" i="2"/>
  <c r="H18" i="2"/>
  <c r="F59" i="2"/>
  <c r="F44" i="2"/>
  <c r="F68" i="2"/>
  <c r="F89" i="2"/>
  <c r="F46" i="2"/>
  <c r="F47" i="2"/>
  <c r="F26" i="2"/>
  <c r="H26" i="2"/>
  <c r="F16" i="2"/>
  <c r="H16" i="2"/>
  <c r="F81" i="2"/>
  <c r="F63" i="2"/>
  <c r="F87" i="2"/>
  <c r="F66" i="2"/>
  <c r="F61" i="2"/>
  <c r="F71" i="2"/>
  <c r="F55" i="2"/>
  <c r="F64" i="2"/>
  <c r="F34" i="2"/>
  <c r="H34" i="2"/>
  <c r="F29" i="2"/>
  <c r="H29" i="2"/>
  <c r="F41" i="2"/>
  <c r="H41" i="2"/>
  <c r="F85" i="2"/>
  <c r="F19" i="2"/>
  <c r="H19" i="2"/>
  <c r="F24" i="2"/>
  <c r="H24" i="2"/>
  <c r="F38" i="2"/>
  <c r="H38" i="2"/>
  <c r="F51" i="2"/>
  <c r="F58" i="2"/>
  <c r="F50" i="2"/>
  <c r="F82" i="2"/>
  <c r="F32" i="2"/>
  <c r="H32" i="2"/>
  <c r="F39" i="2"/>
  <c r="H39" i="2"/>
  <c r="C14" i="20"/>
  <c r="F15" i="2"/>
  <c r="H15" i="2"/>
  <c r="I15" i="2"/>
  <c r="C15" i="20"/>
  <c r="F73" i="2"/>
  <c r="F83" i="2"/>
  <c r="BO43" i="8"/>
  <c r="BP221" i="8"/>
  <c r="BL35" i="8"/>
  <c r="BM217" i="8"/>
  <c r="BQ222" i="8"/>
  <c r="BP45" i="8"/>
  <c r="BP33" i="11"/>
  <c r="BQ216" i="11"/>
  <c r="BF63" i="7"/>
  <c r="BG231" i="7"/>
  <c r="BQ215" i="9"/>
  <c r="BP31" i="9"/>
  <c r="BQ53" i="9"/>
  <c r="BR226" i="9"/>
  <c r="BP222" i="1"/>
  <c r="BO31" i="1"/>
  <c r="BQ65" i="1"/>
  <c r="BR239" i="1"/>
  <c r="BR224" i="1"/>
  <c r="BQ35" i="1"/>
  <c r="BP53" i="1"/>
  <c r="BQ233" i="1"/>
  <c r="BP223" i="1"/>
  <c r="BO33" i="1"/>
  <c r="BQ59" i="1"/>
  <c r="BR236" i="1"/>
  <c r="BQ232" i="1"/>
  <c r="BP51" i="1"/>
  <c r="E30" i="38"/>
  <c r="P22" i="39"/>
  <c r="T32" i="20"/>
  <c r="U32" i="20"/>
  <c r="E95" i="38"/>
  <c r="W29" i="38"/>
  <c r="AF62" i="38"/>
  <c r="AJ34" i="2"/>
  <c r="F34" i="20"/>
  <c r="Y18" i="38"/>
  <c r="AH51" i="38"/>
  <c r="G84" i="38"/>
  <c r="BB23" i="2"/>
  <c r="H23" i="20"/>
  <c r="X21" i="20"/>
  <c r="Y21" i="20"/>
  <c r="R11" i="39"/>
  <c r="H11" i="39"/>
  <c r="G19" i="38"/>
  <c r="BO45" i="22"/>
  <c r="BP222" i="22"/>
  <c r="BQ217" i="6"/>
  <c r="BQ214" i="6"/>
  <c r="BP23" i="6"/>
  <c r="BP27" i="6"/>
  <c r="BQ216" i="6"/>
  <c r="BQ219" i="6"/>
  <c r="BP33" i="6"/>
  <c r="BQ221" i="6"/>
  <c r="BP37" i="6"/>
  <c r="BQ220" i="6"/>
  <c r="BP35" i="6"/>
  <c r="BQ215" i="6"/>
  <c r="BP25" i="6"/>
  <c r="BP41" i="6"/>
  <c r="BQ223" i="6"/>
  <c r="BO31" i="6"/>
  <c r="BP218" i="6"/>
  <c r="BO43" i="6"/>
  <c r="BP224" i="6"/>
  <c r="BQ43" i="1"/>
  <c r="BR228" i="1"/>
  <c r="BN247" i="1"/>
  <c r="BM81" i="1"/>
  <c r="BL83" i="1"/>
  <c r="BM248" i="1"/>
  <c r="BL39" i="8"/>
  <c r="BM219" i="8"/>
  <c r="BP218" i="8"/>
  <c r="BO37" i="8"/>
  <c r="BM45" i="11"/>
  <c r="BN222" i="11"/>
  <c r="D95" i="38"/>
  <c r="V29" i="38"/>
  <c r="AE62" i="38"/>
  <c r="AA34" i="2"/>
  <c r="E34" i="20"/>
  <c r="O22" i="39"/>
  <c r="D30" i="38"/>
  <c r="R32" i="20"/>
  <c r="S32" i="20"/>
  <c r="BQ217" i="22"/>
  <c r="BP35" i="22"/>
  <c r="BO39" i="22"/>
  <c r="BP219" i="22"/>
  <c r="BQ224" i="22"/>
  <c r="BP49" i="22"/>
  <c r="BP219" i="7"/>
  <c r="BO39" i="7"/>
  <c r="BN220" i="7"/>
  <c r="BM41" i="7"/>
  <c r="BQ217" i="7"/>
  <c r="BP35" i="7"/>
  <c r="BP218" i="7"/>
  <c r="BO37" i="7"/>
  <c r="BQ221" i="7"/>
  <c r="BP43" i="7"/>
  <c r="BP215" i="7"/>
  <c r="BO31" i="7"/>
  <c r="BN222" i="6"/>
  <c r="BM39" i="6"/>
  <c r="BS221" i="9"/>
  <c r="BR43" i="9"/>
  <c r="BN219" i="9"/>
  <c r="BM39" i="9"/>
  <c r="BR223" i="9"/>
  <c r="BQ47" i="9"/>
  <c r="BQ217" i="9"/>
  <c r="BP35" i="9"/>
  <c r="BM227" i="9"/>
  <c r="BL55" i="9"/>
  <c r="BP225" i="9"/>
  <c r="BO51" i="9"/>
  <c r="BP45" i="9"/>
  <c r="BQ222" i="9"/>
  <c r="BQ224" i="9"/>
  <c r="BP49" i="9"/>
  <c r="BN57" i="9"/>
  <c r="BO228" i="9"/>
  <c r="BP237" i="1"/>
  <c r="BO61" i="1"/>
  <c r="BK235" i="1"/>
  <c r="BJ57" i="1"/>
  <c r="BQ242" i="1"/>
  <c r="BP71" i="1"/>
  <c r="BP240" i="1"/>
  <c r="BO67" i="1"/>
  <c r="BR246" i="1"/>
  <c r="BQ79" i="1"/>
  <c r="BO245" i="1"/>
  <c r="BN77" i="1"/>
  <c r="BO243" i="1"/>
  <c r="BN73" i="1"/>
  <c r="BQ244" i="1"/>
  <c r="BP75" i="1"/>
  <c r="BL221" i="11"/>
  <c r="BK43" i="11"/>
  <c r="AS25" i="2"/>
  <c r="G25" i="20"/>
  <c r="F21" i="38"/>
  <c r="V23" i="20"/>
  <c r="W23" i="20"/>
  <c r="Q13" i="39"/>
  <c r="G13" i="39"/>
  <c r="X20" i="38"/>
  <c r="AG53" i="38"/>
  <c r="F86" i="38"/>
  <c r="BN215" i="11"/>
  <c r="BQ219" i="11"/>
  <c r="BP39" i="11"/>
  <c r="BN220" i="11"/>
  <c r="BM41" i="11"/>
  <c r="BP218" i="11"/>
  <c r="BO37" i="11"/>
  <c r="BQ225" i="10"/>
  <c r="BP51" i="10"/>
  <c r="BQ218" i="10"/>
  <c r="BP37" i="10"/>
  <c r="BR229" i="22"/>
  <c r="BQ59" i="22"/>
  <c r="BQ227" i="22"/>
  <c r="BP55" i="22"/>
  <c r="BQ220" i="22"/>
  <c r="BP41" i="22"/>
  <c r="BQ218" i="22"/>
  <c r="BO228" i="8"/>
  <c r="BN57" i="8"/>
  <c r="BQ227" i="8"/>
  <c r="BP55" i="8"/>
  <c r="BR216" i="8"/>
  <c r="BQ33" i="8"/>
  <c r="BR226" i="8"/>
  <c r="BQ53" i="8"/>
  <c r="BS215" i="8"/>
  <c r="BR31" i="8"/>
  <c r="BR224" i="8"/>
  <c r="BQ49" i="8"/>
  <c r="BR220" i="8"/>
  <c r="BQ41" i="8"/>
  <c r="BR227" i="7"/>
  <c r="BQ55" i="7"/>
  <c r="BR226" i="7"/>
  <c r="BQ53" i="7"/>
  <c r="BR225" i="7"/>
  <c r="BQ51" i="7"/>
  <c r="BK216" i="7"/>
  <c r="BJ33" i="7"/>
  <c r="BP223" i="7"/>
  <c r="BO47" i="7"/>
  <c r="BO222" i="7"/>
  <c r="BN45" i="7"/>
  <c r="BR231" i="6"/>
  <c r="BQ57" i="6"/>
  <c r="BR230" i="6"/>
  <c r="BQ55" i="6"/>
  <c r="BR229" i="6"/>
  <c r="BQ53" i="6"/>
  <c r="BR228" i="6"/>
  <c r="BQ51" i="6"/>
  <c r="BR227" i="6"/>
  <c r="BQ49" i="6"/>
  <c r="BP225" i="6"/>
  <c r="BO45" i="6"/>
  <c r="BQ230" i="9"/>
  <c r="BP61" i="9"/>
  <c r="BR229" i="9"/>
  <c r="BQ59" i="9"/>
  <c r="BQ220" i="9"/>
  <c r="BP41" i="9"/>
  <c r="BQ218" i="9"/>
  <c r="BP37" i="9"/>
  <c r="BN216" i="9"/>
  <c r="BM33" i="9"/>
  <c r="BP241" i="1"/>
  <c r="BO69" i="1"/>
  <c r="BR238" i="1"/>
  <c r="BQ63" i="1"/>
  <c r="BP231" i="1"/>
  <c r="BO49" i="1"/>
  <c r="BR230" i="1"/>
  <c r="BQ47" i="1"/>
  <c r="BR234" i="1"/>
  <c r="BQ55" i="1"/>
  <c r="BP229" i="1"/>
  <c r="BO45" i="1"/>
  <c r="BP227" i="1"/>
  <c r="BO41" i="1"/>
  <c r="BP225" i="1"/>
  <c r="BO37" i="1"/>
  <c r="BR226" i="1"/>
  <c r="BQ39" i="1"/>
  <c r="BP49" i="7"/>
  <c r="BQ224" i="7"/>
  <c r="BX215" i="2"/>
  <c r="BW94" i="2"/>
  <c r="AH237" i="9"/>
  <c r="AG75" i="9"/>
  <c r="J22" i="20"/>
  <c r="BT23" i="2"/>
  <c r="AB21" i="20"/>
  <c r="AC21" i="20"/>
  <c r="T11" i="39"/>
  <c r="J11" i="39"/>
  <c r="I19" i="38"/>
  <c r="AA18" i="38"/>
  <c r="AJ51" i="38"/>
  <c r="I84" i="38"/>
  <c r="Z24" i="38"/>
  <c r="AI57" i="38"/>
  <c r="H90" i="38"/>
  <c r="I28" i="20"/>
  <c r="BK29" i="2"/>
  <c r="H25" i="38"/>
  <c r="H91" i="38"/>
  <c r="S17" i="39"/>
  <c r="Z27" i="20"/>
  <c r="AA27" i="20"/>
  <c r="F92" i="2"/>
  <c r="CL30" i="2"/>
  <c r="L29" i="20"/>
  <c r="BJ87" i="2"/>
  <c r="CK87" i="2"/>
  <c r="BG92" i="2"/>
  <c r="CF92" i="2"/>
  <c r="BH91" i="2"/>
  <c r="CI91" i="2"/>
  <c r="CH91" i="2"/>
  <c r="S40" i="41"/>
  <c r="R39" i="41"/>
  <c r="AP23" i="26"/>
  <c r="AQ99" i="40"/>
  <c r="AR326" i="40"/>
  <c r="AW111" i="40"/>
  <c r="AX332" i="40"/>
  <c r="AW101" i="40"/>
  <c r="AX327" i="40"/>
  <c r="AS97" i="40"/>
  <c r="AT325" i="40"/>
  <c r="AW93" i="40"/>
  <c r="AX323" i="40"/>
  <c r="AW109" i="40"/>
  <c r="AX331" i="40"/>
  <c r="AS107" i="40"/>
  <c r="AT330" i="40"/>
  <c r="AW103" i="40"/>
  <c r="AX328" i="40"/>
  <c r="AR105" i="40"/>
  <c r="AS329" i="40"/>
  <c r="AX95" i="40"/>
  <c r="AY324" i="40"/>
  <c r="AX91" i="40"/>
  <c r="BA301" i="40"/>
  <c r="AZ49" i="40"/>
  <c r="BA322" i="40"/>
  <c r="BA306" i="40"/>
  <c r="AZ59" i="40"/>
  <c r="AY309" i="40"/>
  <c r="AX65" i="40"/>
  <c r="AZ310" i="40"/>
  <c r="AY67" i="40"/>
  <c r="AY313" i="40"/>
  <c r="AX73" i="40"/>
  <c r="BA303" i="40"/>
  <c r="AZ53" i="40"/>
  <c r="AZ315" i="40"/>
  <c r="AY77" i="40"/>
  <c r="BA308" i="40"/>
  <c r="AZ63" i="40"/>
  <c r="AZ321" i="40"/>
  <c r="AY89" i="40"/>
  <c r="AY311" i="40"/>
  <c r="AX69" i="40"/>
  <c r="AZ319" i="40"/>
  <c r="AY85" i="40"/>
  <c r="BA304" i="40"/>
  <c r="AZ55" i="40"/>
  <c r="BA318" i="40"/>
  <c r="AZ83" i="40"/>
  <c r="AZ297" i="40"/>
  <c r="AY41" i="40"/>
  <c r="BA314" i="40"/>
  <c r="AZ75" i="40"/>
  <c r="AZ317" i="40"/>
  <c r="AY81" i="40"/>
  <c r="BA316" i="40"/>
  <c r="AZ79" i="40"/>
  <c r="BA300" i="40"/>
  <c r="AZ47" i="40"/>
  <c r="BA298" i="40"/>
  <c r="AZ43" i="40"/>
  <c r="BA299" i="40"/>
  <c r="AZ45" i="40"/>
  <c r="BA320" i="40"/>
  <c r="AZ87" i="40"/>
  <c r="AZ307" i="40"/>
  <c r="AY61" i="40"/>
  <c r="BA312" i="40"/>
  <c r="AZ71" i="40"/>
  <c r="BA305" i="40"/>
  <c r="AZ57" i="40"/>
  <c r="AZ302" i="40"/>
  <c r="AY51" i="40"/>
  <c r="G63" i="2"/>
  <c r="H63" i="2"/>
  <c r="AQ67" i="22"/>
  <c r="AR233" i="22"/>
  <c r="BJ230" i="7"/>
  <c r="BI61" i="7"/>
  <c r="BF63" i="8"/>
  <c r="BG231" i="8"/>
  <c r="AY71" i="10"/>
  <c r="AZ235" i="10"/>
  <c r="BE232" i="9"/>
  <c r="BD65" i="9"/>
  <c r="DH144" i="10"/>
  <c r="DI54" i="10"/>
  <c r="BB229" i="8"/>
  <c r="BA59" i="8"/>
  <c r="BN238" i="10"/>
  <c r="BM77" i="10"/>
  <c r="BM51" i="11"/>
  <c r="BN225" i="11"/>
  <c r="AM67" i="9"/>
  <c r="AN233" i="9"/>
  <c r="BD67" i="10"/>
  <c r="BE233" i="10"/>
  <c r="BP226" i="6"/>
  <c r="BO47" i="6"/>
  <c r="BJ223" i="11"/>
  <c r="BI47" i="11"/>
  <c r="BO239" i="8"/>
  <c r="BN79" i="8"/>
  <c r="AM65" i="10"/>
  <c r="AN232" i="10"/>
  <c r="BN238" i="11"/>
  <c r="BM77" i="11"/>
  <c r="BM228" i="11"/>
  <c r="BL57" i="11"/>
  <c r="BN77" i="22"/>
  <c r="BO238" i="22"/>
  <c r="BO231" i="9"/>
  <c r="BN63" i="9"/>
  <c r="BG79" i="7"/>
  <c r="BH239" i="7"/>
  <c r="BP233" i="7"/>
  <c r="BO67" i="7"/>
  <c r="BF63" i="22"/>
  <c r="BG231" i="22"/>
  <c r="BC231" i="10"/>
  <c r="BB63" i="10"/>
  <c r="AM81" i="10"/>
  <c r="AN240" i="10"/>
  <c r="BF71" i="22"/>
  <c r="BG235" i="22"/>
  <c r="BE236" i="22"/>
  <c r="BD73" i="22"/>
  <c r="BE79" i="9"/>
  <c r="BF239" i="9"/>
  <c r="AX75" i="11"/>
  <c r="AY237" i="11"/>
  <c r="BN61" i="10"/>
  <c r="BO230" i="10"/>
  <c r="C61" i="11"/>
  <c r="C230" i="11"/>
  <c r="D230" i="11"/>
  <c r="BO234" i="10"/>
  <c r="BN69" i="10"/>
  <c r="BO235" i="8"/>
  <c r="BN71" i="8"/>
  <c r="BQ228" i="22"/>
  <c r="BP57" i="22"/>
  <c r="DF147" i="10"/>
  <c r="BK239" i="11"/>
  <c r="BJ79" i="11"/>
  <c r="DG145" i="10"/>
  <c r="DG146" i="10"/>
  <c r="BN238" i="7"/>
  <c r="BM77" i="7"/>
  <c r="AL59" i="10"/>
  <c r="AM229" i="10"/>
  <c r="BL229" i="7"/>
  <c r="BK59" i="7"/>
  <c r="BD79" i="22"/>
  <c r="BE239" i="22"/>
  <c r="U39" i="38"/>
  <c r="AD72" i="38"/>
  <c r="C105" i="38"/>
  <c r="R44" i="2"/>
  <c r="D44" i="20"/>
  <c r="C40" i="38"/>
  <c r="N32" i="39"/>
  <c r="P42" i="20"/>
  <c r="Q42" i="20"/>
  <c r="BP217" i="10"/>
  <c r="BO35" i="10"/>
  <c r="BO49" i="10"/>
  <c r="BP224" i="10"/>
  <c r="BP223" i="10"/>
  <c r="BO47" i="10"/>
  <c r="BP219" i="10"/>
  <c r="BO39" i="10"/>
  <c r="BP31" i="10"/>
  <c r="BQ215" i="10"/>
  <c r="BO222" i="10"/>
  <c r="BN45" i="10"/>
  <c r="BP216" i="10"/>
  <c r="BO33" i="10"/>
  <c r="BO41" i="10"/>
  <c r="BP220" i="10"/>
  <c r="BP53" i="10"/>
  <c r="BQ226" i="10"/>
  <c r="BP221" i="10"/>
  <c r="BO43" i="10"/>
  <c r="BO53" i="22"/>
  <c r="BP226" i="22"/>
  <c r="BP221" i="22"/>
  <c r="BO43" i="22"/>
  <c r="BN47" i="22"/>
  <c r="BO223" i="22"/>
  <c r="BP51" i="22"/>
  <c r="BQ225" i="22"/>
  <c r="BQ223" i="8"/>
  <c r="BP47" i="8"/>
  <c r="BP225" i="8"/>
  <c r="BO51" i="8"/>
  <c r="AN65" i="22"/>
  <c r="AO232" i="22"/>
  <c r="AM71" i="9"/>
  <c r="AN235" i="9"/>
  <c r="AM93" i="2"/>
  <c r="AO93" i="2"/>
  <c r="AP93" i="2"/>
  <c r="AN214" i="2"/>
  <c r="U93" i="2"/>
  <c r="W93" i="2"/>
  <c r="X93" i="2"/>
  <c r="V214" i="2"/>
  <c r="AS81" i="11"/>
  <c r="AT240" i="11"/>
  <c r="AP81" i="22"/>
  <c r="AQ240" i="22"/>
  <c r="AP75" i="22"/>
  <c r="AQ237" i="22"/>
  <c r="AR67" i="8"/>
  <c r="AS233" i="8"/>
  <c r="BL77" i="9"/>
  <c r="BM238" i="9"/>
  <c r="AR71" i="7"/>
  <c r="AS235" i="7"/>
  <c r="AP75" i="10"/>
  <c r="AQ237" i="10"/>
  <c r="AC31" i="22"/>
  <c r="AD215" i="22"/>
  <c r="AF73" i="10"/>
  <c r="AG236" i="10"/>
  <c r="L93" i="2"/>
  <c r="N93" i="2"/>
  <c r="O93" i="2"/>
  <c r="M214" i="2"/>
  <c r="BE93" i="2"/>
  <c r="BF214" i="2"/>
  <c r="A96" i="2"/>
  <c r="A216" i="2"/>
  <c r="BW216" i="2"/>
  <c r="AN79" i="10"/>
  <c r="AO239" i="10"/>
  <c r="AJ69" i="7"/>
  <c r="AK234" i="7"/>
  <c r="AE214" i="2"/>
  <c r="AD93" i="2"/>
  <c r="AF93" i="2"/>
  <c r="AG93" i="2"/>
  <c r="C93" i="2"/>
  <c r="E93" i="2"/>
  <c r="F93" i="2"/>
  <c r="D214" i="2"/>
  <c r="AS67" i="11"/>
  <c r="AT233" i="11"/>
  <c r="BL73" i="9"/>
  <c r="BM236" i="9"/>
  <c r="AK49" i="11"/>
  <c r="AL224" i="11"/>
  <c r="AN81" i="7"/>
  <c r="AO240" i="7"/>
  <c r="BG73" i="8"/>
  <c r="BH236" i="8"/>
  <c r="AR69" i="22"/>
  <c r="AS234" i="22"/>
  <c r="BN215" i="2"/>
  <c r="AD215" i="2"/>
  <c r="BE215" i="2"/>
  <c r="L215" i="2"/>
  <c r="AV215" i="2"/>
  <c r="U215" i="2"/>
  <c r="C215" i="2"/>
  <c r="AM215" i="2"/>
  <c r="AQ75" i="7"/>
  <c r="AR237" i="7"/>
  <c r="AP75" i="8"/>
  <c r="AQ237" i="8"/>
  <c r="AL81" i="9"/>
  <c r="AM240" i="9"/>
  <c r="AO69" i="9"/>
  <c r="AP234" i="9"/>
  <c r="Z65" i="7"/>
  <c r="AA232" i="7"/>
  <c r="AW61" i="8"/>
  <c r="AX230" i="8"/>
  <c r="AT69" i="8"/>
  <c r="AU234" i="8"/>
  <c r="AM57" i="10"/>
  <c r="AN228" i="10"/>
  <c r="AV93" i="2"/>
  <c r="AX93" i="2"/>
  <c r="AY93" i="2"/>
  <c r="AW214" i="2"/>
  <c r="BN93" i="2"/>
  <c r="BP93" i="2"/>
  <c r="BQ93" i="2"/>
  <c r="BO214" i="2"/>
  <c r="BQ216" i="22"/>
  <c r="BP33" i="22"/>
  <c r="AU77" i="8"/>
  <c r="AV238" i="8"/>
  <c r="D63" i="11"/>
  <c r="E231" i="11"/>
  <c r="AS61" i="22"/>
  <c r="AT230" i="22"/>
  <c r="E69" i="11"/>
  <c r="F234" i="11"/>
  <c r="AU73" i="11"/>
  <c r="AV236" i="11"/>
  <c r="AG53" i="11"/>
  <c r="AH226" i="11"/>
  <c r="G51" i="2"/>
  <c r="H51" i="2"/>
  <c r="G59" i="2"/>
  <c r="H59" i="2"/>
  <c r="G64" i="2"/>
  <c r="H64" i="2"/>
  <c r="G57" i="2"/>
  <c r="H57" i="2"/>
  <c r="G46" i="2"/>
  <c r="H46" i="2"/>
  <c r="G60" i="2"/>
  <c r="H60" i="2"/>
  <c r="G52" i="2"/>
  <c r="H52" i="2"/>
  <c r="G47" i="2"/>
  <c r="H47" i="2"/>
  <c r="G70" i="2"/>
  <c r="H70" i="2"/>
  <c r="G61" i="2"/>
  <c r="H61" i="2"/>
  <c r="G50" i="2"/>
  <c r="H50" i="2"/>
  <c r="G73" i="2"/>
  <c r="H73" i="2"/>
  <c r="G48" i="2"/>
  <c r="H48" i="2"/>
  <c r="G69" i="2"/>
  <c r="H69" i="2"/>
  <c r="H55" i="2"/>
  <c r="G65" i="2"/>
  <c r="H65" i="2"/>
  <c r="G68" i="2"/>
  <c r="H68" i="2"/>
  <c r="G74" i="2"/>
  <c r="H74" i="2"/>
  <c r="H75" i="2"/>
  <c r="H76" i="2"/>
  <c r="H77" i="2"/>
  <c r="H78" i="2"/>
  <c r="H79" i="2"/>
  <c r="H80" i="2"/>
  <c r="H81" i="2"/>
  <c r="H82" i="2"/>
  <c r="H83" i="2"/>
  <c r="H84" i="2"/>
  <c r="H85" i="2"/>
  <c r="H86" i="2"/>
  <c r="H87" i="2"/>
  <c r="H88" i="2"/>
  <c r="H89" i="2"/>
  <c r="H90" i="2"/>
  <c r="H91" i="2"/>
  <c r="H92" i="2"/>
  <c r="H93" i="2"/>
  <c r="H94" i="2"/>
  <c r="H95" i="2"/>
  <c r="H96" i="2"/>
  <c r="H97" i="2"/>
  <c r="H98" i="2"/>
  <c r="H99" i="2"/>
  <c r="H100" i="2"/>
  <c r="H101" i="2"/>
  <c r="H102" i="2"/>
  <c r="H103" i="2"/>
  <c r="H104" i="2"/>
  <c r="H105" i="2"/>
  <c r="H106" i="2"/>
  <c r="H107" i="2"/>
  <c r="H108" i="2"/>
  <c r="H109" i="2"/>
  <c r="H110" i="2"/>
  <c r="H111" i="2"/>
  <c r="H112" i="2"/>
  <c r="H113" i="2"/>
  <c r="H114" i="2"/>
  <c r="G49" i="2"/>
  <c r="H49" i="2"/>
  <c r="G44" i="2"/>
  <c r="H44" i="2"/>
  <c r="G71" i="2"/>
  <c r="H71" i="2"/>
  <c r="G67" i="2"/>
  <c r="H67" i="2"/>
  <c r="G53" i="2"/>
  <c r="H53" i="2"/>
  <c r="G72" i="2"/>
  <c r="H72" i="2"/>
  <c r="G54" i="2"/>
  <c r="H54" i="2"/>
  <c r="G66" i="2"/>
  <c r="H66" i="2"/>
  <c r="G56" i="2"/>
  <c r="H56" i="2"/>
  <c r="G58" i="2"/>
  <c r="H58" i="2"/>
  <c r="G45" i="2"/>
  <c r="H45" i="2"/>
  <c r="G62" i="2"/>
  <c r="H62" i="2"/>
  <c r="B13" i="38"/>
  <c r="N15" i="20"/>
  <c r="O15" i="20"/>
  <c r="M5" i="39"/>
  <c r="C5" i="39"/>
  <c r="I16" i="2"/>
  <c r="C16" i="20"/>
  <c r="BK35" i="8"/>
  <c r="BL217" i="8"/>
  <c r="BN43" i="8"/>
  <c r="BO221" i="8"/>
  <c r="BP222" i="8"/>
  <c r="BO45" i="8"/>
  <c r="BE63" i="7"/>
  <c r="BF231" i="7"/>
  <c r="BO33" i="11"/>
  <c r="BP216" i="11"/>
  <c r="BP53" i="9"/>
  <c r="BQ226" i="9"/>
  <c r="BP215" i="9"/>
  <c r="BO31" i="9"/>
  <c r="BN31" i="1"/>
  <c r="BO222" i="1"/>
  <c r="BQ236" i="1"/>
  <c r="BP59" i="1"/>
  <c r="BP233" i="1"/>
  <c r="BO53" i="1"/>
  <c r="BP65" i="1"/>
  <c r="BQ239" i="1"/>
  <c r="BN33" i="1"/>
  <c r="BO223" i="1"/>
  <c r="BP35" i="1"/>
  <c r="BQ224" i="1"/>
  <c r="BP232" i="1"/>
  <c r="BO51" i="1"/>
  <c r="AJ35" i="2"/>
  <c r="F35" i="20"/>
  <c r="E31" i="38"/>
  <c r="P23" i="39"/>
  <c r="T33" i="20"/>
  <c r="U33" i="20"/>
  <c r="W30" i="38"/>
  <c r="AF63" i="38"/>
  <c r="E96" i="38"/>
  <c r="BB24" i="2"/>
  <c r="H24" i="20"/>
  <c r="G85" i="38"/>
  <c r="Y19" i="38"/>
  <c r="AH52" i="38"/>
  <c r="R12" i="39"/>
  <c r="H12" i="39"/>
  <c r="G20" i="38"/>
  <c r="X22" i="20"/>
  <c r="Y22" i="20"/>
  <c r="BO222" i="22"/>
  <c r="BN45" i="22"/>
  <c r="BP215" i="6"/>
  <c r="BO25" i="6"/>
  <c r="BP220" i="6"/>
  <c r="BO35" i="6"/>
  <c r="BP221" i="6"/>
  <c r="BO37" i="6"/>
  <c r="BO33" i="6"/>
  <c r="BP219" i="6"/>
  <c r="BO23" i="6"/>
  <c r="BP214" i="6"/>
  <c r="BO224" i="6"/>
  <c r="BN43" i="6"/>
  <c r="BN31" i="6"/>
  <c r="BO218" i="6"/>
  <c r="BP223" i="6"/>
  <c r="BO41" i="6"/>
  <c r="BO27" i="6"/>
  <c r="BP216" i="6"/>
  <c r="BP217" i="6"/>
  <c r="BM247" i="1"/>
  <c r="BL81" i="1"/>
  <c r="BK83" i="1"/>
  <c r="BL248" i="1"/>
  <c r="BQ228" i="1"/>
  <c r="BP43" i="1"/>
  <c r="BO218" i="8"/>
  <c r="BN37" i="8"/>
  <c r="BK39" i="8"/>
  <c r="BL219" i="8"/>
  <c r="BL45" i="11"/>
  <c r="BM222" i="11"/>
  <c r="AA35" i="2"/>
  <c r="E35" i="20"/>
  <c r="O23" i="39"/>
  <c r="R33" i="20"/>
  <c r="S33" i="20"/>
  <c r="D31" i="38"/>
  <c r="V30" i="38"/>
  <c r="AE63" i="38"/>
  <c r="D96" i="38"/>
  <c r="BO219" i="22"/>
  <c r="BN39" i="22"/>
  <c r="BP224" i="22"/>
  <c r="BO49" i="22"/>
  <c r="BO35" i="22"/>
  <c r="BP217" i="22"/>
  <c r="BP221" i="7"/>
  <c r="BO43" i="7"/>
  <c r="BP217" i="7"/>
  <c r="BO35" i="7"/>
  <c r="BN39" i="7"/>
  <c r="BO219" i="7"/>
  <c r="BN31" i="7"/>
  <c r="BO215" i="7"/>
  <c r="BO218" i="7"/>
  <c r="BN37" i="7"/>
  <c r="BL41" i="7"/>
  <c r="BM220" i="7"/>
  <c r="BM222" i="6"/>
  <c r="BL39" i="6"/>
  <c r="BO35" i="9"/>
  <c r="BP217" i="9"/>
  <c r="BM219" i="9"/>
  <c r="BL39" i="9"/>
  <c r="BL227" i="9"/>
  <c r="BK55" i="9"/>
  <c r="BQ223" i="9"/>
  <c r="BP47" i="9"/>
  <c r="BR221" i="9"/>
  <c r="BQ43" i="9"/>
  <c r="BO225" i="9"/>
  <c r="BN51" i="9"/>
  <c r="BM57" i="9"/>
  <c r="BN228" i="9"/>
  <c r="BP224" i="9"/>
  <c r="BO49" i="9"/>
  <c r="BP222" i="9"/>
  <c r="BO45" i="9"/>
  <c r="BP244" i="1"/>
  <c r="BO75" i="1"/>
  <c r="BN245" i="1"/>
  <c r="BM77" i="1"/>
  <c r="BO240" i="1"/>
  <c r="BN67" i="1"/>
  <c r="BP242" i="1"/>
  <c r="BO71" i="1"/>
  <c r="BO237" i="1"/>
  <c r="BN61" i="1"/>
  <c r="BN243" i="1"/>
  <c r="BM73" i="1"/>
  <c r="BQ246" i="1"/>
  <c r="BP79" i="1"/>
  <c r="BJ235" i="1"/>
  <c r="BI57" i="1"/>
  <c r="BK221" i="11"/>
  <c r="BJ43" i="11"/>
  <c r="F87" i="38"/>
  <c r="X21" i="38"/>
  <c r="AG54" i="38"/>
  <c r="AS26" i="2"/>
  <c r="G26" i="20"/>
  <c r="Q14" i="39"/>
  <c r="G14" i="39"/>
  <c r="V24" i="20"/>
  <c r="W24" i="20"/>
  <c r="F22" i="38"/>
  <c r="BM220" i="11"/>
  <c r="BL41" i="11"/>
  <c r="BM215" i="11"/>
  <c r="BO218" i="11"/>
  <c r="BN37" i="11"/>
  <c r="BP219" i="11"/>
  <c r="BO39" i="11"/>
  <c r="BP225" i="10"/>
  <c r="BO51" i="10"/>
  <c r="BP218" i="10"/>
  <c r="BO37" i="10"/>
  <c r="BQ229" i="22"/>
  <c r="BP59" i="22"/>
  <c r="BP218" i="22"/>
  <c r="BP220" i="22"/>
  <c r="BO41" i="22"/>
  <c r="BP227" i="22"/>
  <c r="BO55" i="22"/>
  <c r="BN228" i="8"/>
  <c r="BM57" i="8"/>
  <c r="BP227" i="8"/>
  <c r="BO55" i="8"/>
  <c r="BQ220" i="8"/>
  <c r="BP41" i="8"/>
  <c r="BQ224" i="8"/>
  <c r="BP49" i="8"/>
  <c r="BR215" i="8"/>
  <c r="BQ31" i="8"/>
  <c r="BQ226" i="8"/>
  <c r="BP53" i="8"/>
  <c r="BQ216" i="8"/>
  <c r="BP33" i="8"/>
  <c r="BQ227" i="7"/>
  <c r="BP55" i="7"/>
  <c r="BQ226" i="7"/>
  <c r="BP53" i="7"/>
  <c r="BQ225" i="7"/>
  <c r="BP51" i="7"/>
  <c r="BO223" i="7"/>
  <c r="BN47" i="7"/>
  <c r="BJ216" i="7"/>
  <c r="BI33" i="7"/>
  <c r="BN222" i="7"/>
  <c r="BM45" i="7"/>
  <c r="BQ231" i="6"/>
  <c r="BP57" i="6"/>
  <c r="BQ230" i="6"/>
  <c r="BP55" i="6"/>
  <c r="BQ229" i="6"/>
  <c r="BP53" i="6"/>
  <c r="BQ228" i="6"/>
  <c r="BP51" i="6"/>
  <c r="BQ227" i="6"/>
  <c r="BP49" i="6"/>
  <c r="BO225" i="6"/>
  <c r="BN45" i="6"/>
  <c r="BP230" i="9"/>
  <c r="BO61" i="9"/>
  <c r="BQ229" i="9"/>
  <c r="BP59" i="9"/>
  <c r="BM216" i="9"/>
  <c r="BL33" i="9"/>
  <c r="BP218" i="9"/>
  <c r="BO37" i="9"/>
  <c r="BP220" i="9"/>
  <c r="BO41" i="9"/>
  <c r="BO241" i="1"/>
  <c r="BN69" i="1"/>
  <c r="BQ238" i="1"/>
  <c r="BP63" i="1"/>
  <c r="BQ234" i="1"/>
  <c r="BP55" i="1"/>
  <c r="BQ230" i="1"/>
  <c r="BP47" i="1"/>
  <c r="BO231" i="1"/>
  <c r="BN49" i="1"/>
  <c r="BO229" i="1"/>
  <c r="BN45" i="1"/>
  <c r="BO225" i="1"/>
  <c r="BN37" i="1"/>
  <c r="BQ226" i="1"/>
  <c r="BP39" i="1"/>
  <c r="BO227" i="1"/>
  <c r="BN41" i="1"/>
  <c r="BP224" i="7"/>
  <c r="BO49" i="7"/>
  <c r="AG237" i="9"/>
  <c r="AF75" i="9"/>
  <c r="BX216" i="2"/>
  <c r="BW95" i="2"/>
  <c r="J23" i="20"/>
  <c r="BT24" i="2"/>
  <c r="I85" i="38"/>
  <c r="AA19" i="38"/>
  <c r="AJ52" i="38"/>
  <c r="I20" i="38"/>
  <c r="AB22" i="20"/>
  <c r="AC22" i="20"/>
  <c r="T12" i="39"/>
  <c r="J12" i="39"/>
  <c r="I29" i="20"/>
  <c r="BK30" i="2"/>
  <c r="S18" i="39"/>
  <c r="Z28" i="20"/>
  <c r="AA28" i="20"/>
  <c r="H26" i="38"/>
  <c r="H92" i="38"/>
  <c r="CL31" i="2"/>
  <c r="L30" i="20"/>
  <c r="BJ88" i="2"/>
  <c r="CK88" i="2"/>
  <c r="BG93" i="2"/>
  <c r="CF93" i="2"/>
  <c r="BH92" i="2"/>
  <c r="CI92" i="2"/>
  <c r="CH92" i="2"/>
  <c r="S39" i="41"/>
  <c r="R38" i="41"/>
  <c r="AP22" i="26"/>
  <c r="DG147" i="10"/>
  <c r="AW95" i="40"/>
  <c r="AX324" i="40"/>
  <c r="AV103" i="40"/>
  <c r="AW328" i="40"/>
  <c r="AV109" i="40"/>
  <c r="AW331" i="40"/>
  <c r="AR97" i="40"/>
  <c r="AS325" i="40"/>
  <c r="AV111" i="40"/>
  <c r="AW332" i="40"/>
  <c r="AQ105" i="40"/>
  <c r="AR329" i="40"/>
  <c r="AR107" i="40"/>
  <c r="AS330" i="40"/>
  <c r="AV93" i="40"/>
  <c r="AW323" i="40"/>
  <c r="AV101" i="40"/>
  <c r="AW327" i="40"/>
  <c r="AP99" i="40"/>
  <c r="AQ326" i="40"/>
  <c r="AW91" i="40"/>
  <c r="AY302" i="40"/>
  <c r="AX51" i="40"/>
  <c r="AZ312" i="40"/>
  <c r="AY71" i="40"/>
  <c r="AZ320" i="40"/>
  <c r="AY87" i="40"/>
  <c r="AZ298" i="40"/>
  <c r="AY43" i="40"/>
  <c r="AZ316" i="40"/>
  <c r="AY79" i="40"/>
  <c r="AZ314" i="40"/>
  <c r="AY75" i="40"/>
  <c r="AZ318" i="40"/>
  <c r="AY83" i="40"/>
  <c r="AY319" i="40"/>
  <c r="AX85" i="40"/>
  <c r="AY321" i="40"/>
  <c r="AX89" i="40"/>
  <c r="AY315" i="40"/>
  <c r="AX77" i="40"/>
  <c r="AX313" i="40"/>
  <c r="AW73" i="40"/>
  <c r="AX309" i="40"/>
  <c r="AW65" i="40"/>
  <c r="AZ322" i="40"/>
  <c r="AZ305" i="40"/>
  <c r="AY57" i="40"/>
  <c r="AY307" i="40"/>
  <c r="AX61" i="40"/>
  <c r="AZ299" i="40"/>
  <c r="AY45" i="40"/>
  <c r="AZ300" i="40"/>
  <c r="AY47" i="40"/>
  <c r="AY317" i="40"/>
  <c r="AX81" i="40"/>
  <c r="AY297" i="40"/>
  <c r="AX41" i="40"/>
  <c r="AZ304" i="40"/>
  <c r="AY55" i="40"/>
  <c r="AX311" i="40"/>
  <c r="AW69" i="40"/>
  <c r="AZ308" i="40"/>
  <c r="AY63" i="40"/>
  <c r="AZ303" i="40"/>
  <c r="AY53" i="40"/>
  <c r="AY310" i="40"/>
  <c r="AX67" i="40"/>
  <c r="AZ306" i="40"/>
  <c r="AY59" i="40"/>
  <c r="AZ301" i="40"/>
  <c r="AY49" i="40"/>
  <c r="BC79" i="22"/>
  <c r="BD239" i="22"/>
  <c r="AK59" i="10"/>
  <c r="AL229" i="10"/>
  <c r="BO57" i="22"/>
  <c r="BP228" i="22"/>
  <c r="BN234" i="10"/>
  <c r="BM69" i="10"/>
  <c r="BA63" i="10"/>
  <c r="BB231" i="10"/>
  <c r="BO233" i="7"/>
  <c r="BN67" i="7"/>
  <c r="BN231" i="9"/>
  <c r="BM63" i="9"/>
  <c r="BL228" i="11"/>
  <c r="BK57" i="11"/>
  <c r="BI223" i="11"/>
  <c r="BH47" i="11"/>
  <c r="AZ59" i="8"/>
  <c r="BA229" i="8"/>
  <c r="BI230" i="7"/>
  <c r="BH61" i="7"/>
  <c r="BJ59" i="7"/>
  <c r="BK229" i="7"/>
  <c r="BM238" i="7"/>
  <c r="BL77" i="7"/>
  <c r="BJ239" i="11"/>
  <c r="BI79" i="11"/>
  <c r="BM61" i="10"/>
  <c r="BN230" i="10"/>
  <c r="BE239" i="9"/>
  <c r="BD79" i="9"/>
  <c r="BE71" i="22"/>
  <c r="BF235" i="22"/>
  <c r="AM232" i="10"/>
  <c r="AL65" i="10"/>
  <c r="BC67" i="10"/>
  <c r="BD233" i="10"/>
  <c r="BL51" i="11"/>
  <c r="BM225" i="11"/>
  <c r="AY235" i="10"/>
  <c r="AX71" i="10"/>
  <c r="BN235" i="8"/>
  <c r="BM71" i="8"/>
  <c r="BC73" i="22"/>
  <c r="BD236" i="22"/>
  <c r="BM238" i="11"/>
  <c r="BL77" i="11"/>
  <c r="BN239" i="8"/>
  <c r="BM79" i="8"/>
  <c r="BO226" i="6"/>
  <c r="BN47" i="6"/>
  <c r="BL77" i="10"/>
  <c r="BM238" i="10"/>
  <c r="DI144" i="10"/>
  <c r="DJ54" i="10"/>
  <c r="BD232" i="9"/>
  <c r="BC65" i="9"/>
  <c r="AW75" i="11"/>
  <c r="AX237" i="11"/>
  <c r="AL81" i="10"/>
  <c r="AM240" i="10"/>
  <c r="BE63" i="22"/>
  <c r="BF231" i="22"/>
  <c r="BF79" i="7"/>
  <c r="BG239" i="7"/>
  <c r="BN238" i="22"/>
  <c r="BM77" i="22"/>
  <c r="AM233" i="9"/>
  <c r="AL67" i="9"/>
  <c r="DH146" i="10"/>
  <c r="DH145" i="10"/>
  <c r="BE63" i="8"/>
  <c r="BF231" i="8"/>
  <c r="AP67" i="22"/>
  <c r="AQ233" i="22"/>
  <c r="R45" i="2"/>
  <c r="D45" i="20"/>
  <c r="N33" i="39"/>
  <c r="P43" i="20"/>
  <c r="Q43" i="20"/>
  <c r="C41" i="38"/>
  <c r="C106" i="38"/>
  <c r="U40" i="38"/>
  <c r="AD73" i="38"/>
  <c r="BO221" i="10"/>
  <c r="BN43" i="10"/>
  <c r="BN222" i="10"/>
  <c r="BM45" i="10"/>
  <c r="BO219" i="10"/>
  <c r="BN39" i="10"/>
  <c r="BO220" i="10"/>
  <c r="BN41" i="10"/>
  <c r="BN49" i="10"/>
  <c r="BO224" i="10"/>
  <c r="BO216" i="10"/>
  <c r="BN33" i="10"/>
  <c r="BO223" i="10"/>
  <c r="BN47" i="10"/>
  <c r="BN35" i="10"/>
  <c r="BO217" i="10"/>
  <c r="BO53" i="10"/>
  <c r="BP226" i="10"/>
  <c r="BO31" i="10"/>
  <c r="BP215" i="10"/>
  <c r="BN223" i="22"/>
  <c r="BM47" i="22"/>
  <c r="BO226" i="22"/>
  <c r="BN53" i="22"/>
  <c r="BO221" i="22"/>
  <c r="BN43" i="22"/>
  <c r="BP225" i="22"/>
  <c r="BO51" i="22"/>
  <c r="BO225" i="8"/>
  <c r="BN51" i="8"/>
  <c r="BP223" i="8"/>
  <c r="BO47" i="8"/>
  <c r="D69" i="11"/>
  <c r="E234" i="11"/>
  <c r="C63" i="11"/>
  <c r="C231" i="11"/>
  <c r="D231" i="11"/>
  <c r="V215" i="2"/>
  <c r="U94" i="2"/>
  <c r="W94" i="2"/>
  <c r="X94" i="2"/>
  <c r="AD94" i="2"/>
  <c r="AF94" i="2"/>
  <c r="AG94" i="2"/>
  <c r="AE215" i="2"/>
  <c r="U216" i="2"/>
  <c r="BE216" i="2"/>
  <c r="L216" i="2"/>
  <c r="AM216" i="2"/>
  <c r="BN216" i="2"/>
  <c r="AV216" i="2"/>
  <c r="AD216" i="2"/>
  <c r="C216" i="2"/>
  <c r="AQ71" i="7"/>
  <c r="AR235" i="7"/>
  <c r="BK77" i="9"/>
  <c r="BL238" i="9"/>
  <c r="AO75" i="22"/>
  <c r="AP237" i="22"/>
  <c r="Y65" i="7"/>
  <c r="Z232" i="7"/>
  <c r="AK81" i="9"/>
  <c r="AL240" i="9"/>
  <c r="AP75" i="7"/>
  <c r="AQ237" i="7"/>
  <c r="AV94" i="2"/>
  <c r="AX94" i="2"/>
  <c r="AY94" i="2"/>
  <c r="AW215" i="2"/>
  <c r="BN94" i="2"/>
  <c r="BP94" i="2"/>
  <c r="BQ94" i="2"/>
  <c r="BO215" i="2"/>
  <c r="BF73" i="8"/>
  <c r="BG236" i="8"/>
  <c r="AJ49" i="11"/>
  <c r="AK224" i="11"/>
  <c r="AR67" i="11"/>
  <c r="AS233" i="11"/>
  <c r="A217" i="2"/>
  <c r="BW217" i="2"/>
  <c r="A97" i="2"/>
  <c r="AB31" i="22"/>
  <c r="AC215" i="22"/>
  <c r="AR81" i="11"/>
  <c r="AS240" i="11"/>
  <c r="AL71" i="9"/>
  <c r="AM235" i="9"/>
  <c r="AF53" i="11"/>
  <c r="AG226" i="11"/>
  <c r="AT73" i="11"/>
  <c r="AU236" i="11"/>
  <c r="AR61" i="22"/>
  <c r="AS230" i="22"/>
  <c r="AT77" i="8"/>
  <c r="AU238" i="8"/>
  <c r="AM94" i="2"/>
  <c r="AO94" i="2"/>
  <c r="AP94" i="2"/>
  <c r="AN215" i="2"/>
  <c r="M215" i="2"/>
  <c r="L94" i="2"/>
  <c r="N94" i="2"/>
  <c r="O94" i="2"/>
  <c r="AQ67" i="8"/>
  <c r="AR233" i="8"/>
  <c r="BP216" i="22"/>
  <c r="BO33" i="22"/>
  <c r="AL57" i="10"/>
  <c r="AM228" i="10"/>
  <c r="AS69" i="8"/>
  <c r="AT234" i="8"/>
  <c r="AV61" i="8"/>
  <c r="AW230" i="8"/>
  <c r="AN69" i="9"/>
  <c r="AO234" i="9"/>
  <c r="AO75" i="8"/>
  <c r="AP237" i="8"/>
  <c r="C94" i="2"/>
  <c r="E94" i="2"/>
  <c r="F94" i="2"/>
  <c r="D215" i="2"/>
  <c r="BE94" i="2"/>
  <c r="BF215" i="2"/>
  <c r="AQ69" i="22"/>
  <c r="AR234" i="22"/>
  <c r="AM81" i="7"/>
  <c r="AN240" i="7"/>
  <c r="BK73" i="9"/>
  <c r="BL236" i="9"/>
  <c r="AI69" i="7"/>
  <c r="AJ234" i="7"/>
  <c r="AM79" i="10"/>
  <c r="AN239" i="10"/>
  <c r="AE73" i="10"/>
  <c r="AF236" i="10"/>
  <c r="AO75" i="10"/>
  <c r="AP237" i="10"/>
  <c r="AO81" i="22"/>
  <c r="AP240" i="22"/>
  <c r="AM65" i="22"/>
  <c r="AN232" i="22"/>
  <c r="I17" i="2"/>
  <c r="C17" i="20"/>
  <c r="B79" i="38"/>
  <c r="T13" i="38"/>
  <c r="AC46" i="38"/>
  <c r="BM43" i="8"/>
  <c r="BN221" i="8"/>
  <c r="BK217" i="8"/>
  <c r="BJ35" i="8"/>
  <c r="BO222" i="8"/>
  <c r="BN45" i="8"/>
  <c r="BN33" i="11"/>
  <c r="BO216" i="11"/>
  <c r="BD63" i="7"/>
  <c r="BE231" i="7"/>
  <c r="BO53" i="9"/>
  <c r="BP226" i="9"/>
  <c r="BO215" i="9"/>
  <c r="BN31" i="9"/>
  <c r="BN222" i="1"/>
  <c r="BM31" i="1"/>
  <c r="BP224" i="1"/>
  <c r="BO35" i="1"/>
  <c r="BN223" i="1"/>
  <c r="BM33" i="1"/>
  <c r="BP239" i="1"/>
  <c r="BO65" i="1"/>
  <c r="BN53" i="1"/>
  <c r="BO233" i="1"/>
  <c r="BP236" i="1"/>
  <c r="BO59" i="1"/>
  <c r="BN51" i="1"/>
  <c r="BO232" i="1"/>
  <c r="W31" i="38"/>
  <c r="AF64" i="38"/>
  <c r="E97" i="38"/>
  <c r="AJ36" i="2"/>
  <c r="F36" i="20"/>
  <c r="T34" i="20"/>
  <c r="U34" i="20"/>
  <c r="E32" i="38"/>
  <c r="P24" i="39"/>
  <c r="F24" i="39"/>
  <c r="Y20" i="38"/>
  <c r="AH53" i="38"/>
  <c r="G86" i="38"/>
  <c r="X23" i="20"/>
  <c r="Y23" i="20"/>
  <c r="G21" i="38"/>
  <c r="R13" i="39"/>
  <c r="H13" i="39"/>
  <c r="BB25" i="2"/>
  <c r="H25" i="20"/>
  <c r="BM45" i="22"/>
  <c r="BN222" i="22"/>
  <c r="BO217" i="6"/>
  <c r="BN41" i="6"/>
  <c r="BO223" i="6"/>
  <c r="BN224" i="6"/>
  <c r="BM43" i="6"/>
  <c r="BO221" i="6"/>
  <c r="BN37" i="6"/>
  <c r="BO220" i="6"/>
  <c r="BN35" i="6"/>
  <c r="BN25" i="6"/>
  <c r="BO215" i="6"/>
  <c r="BO216" i="6"/>
  <c r="BN27" i="6"/>
  <c r="BM31" i="6"/>
  <c r="BN218" i="6"/>
  <c r="BO214" i="6"/>
  <c r="BN23" i="6"/>
  <c r="BO219" i="6"/>
  <c r="BN33" i="6"/>
  <c r="BO43" i="1"/>
  <c r="BP228" i="1"/>
  <c r="BL247" i="1"/>
  <c r="BK81" i="1"/>
  <c r="BJ83" i="1"/>
  <c r="BK248" i="1"/>
  <c r="BJ39" i="8"/>
  <c r="BK219" i="8"/>
  <c r="BN218" i="8"/>
  <c r="BM37" i="8"/>
  <c r="BK45" i="11"/>
  <c r="BL222" i="11"/>
  <c r="AA36" i="2"/>
  <c r="E36" i="20"/>
  <c r="V31" i="38"/>
  <c r="AE64" i="38"/>
  <c r="D97" i="38"/>
  <c r="D32" i="38"/>
  <c r="O24" i="39"/>
  <c r="E24" i="39"/>
  <c r="R34" i="20"/>
  <c r="S34" i="20"/>
  <c r="BO224" i="22"/>
  <c r="BN49" i="22"/>
  <c r="BN219" i="22"/>
  <c r="BM39" i="22"/>
  <c r="BO217" i="22"/>
  <c r="BN35" i="22"/>
  <c r="BO217" i="7"/>
  <c r="BN35" i="7"/>
  <c r="BL220" i="7"/>
  <c r="BK41" i="7"/>
  <c r="BM31" i="7"/>
  <c r="BN215" i="7"/>
  <c r="BN218" i="7"/>
  <c r="BM37" i="7"/>
  <c r="BO221" i="7"/>
  <c r="BN43" i="7"/>
  <c r="BN219" i="7"/>
  <c r="BM39" i="7"/>
  <c r="BL222" i="6"/>
  <c r="BK39" i="6"/>
  <c r="BP223" i="9"/>
  <c r="BO47" i="9"/>
  <c r="BL219" i="9"/>
  <c r="BK39" i="9"/>
  <c r="BP43" i="9"/>
  <c r="BQ221" i="9"/>
  <c r="BK227" i="9"/>
  <c r="BJ55" i="9"/>
  <c r="BN35" i="9"/>
  <c r="BO217" i="9"/>
  <c r="BN225" i="9"/>
  <c r="BM51" i="9"/>
  <c r="BO222" i="9"/>
  <c r="BN45" i="9"/>
  <c r="BL57" i="9"/>
  <c r="BM228" i="9"/>
  <c r="BN49" i="9"/>
  <c r="BO224" i="9"/>
  <c r="BN240" i="1"/>
  <c r="BM67" i="1"/>
  <c r="BI235" i="1"/>
  <c r="BH57" i="1"/>
  <c r="BP246" i="1"/>
  <c r="BO79" i="1"/>
  <c r="BM243" i="1"/>
  <c r="BL73" i="1"/>
  <c r="BN237" i="1"/>
  <c r="BM61" i="1"/>
  <c r="BO242" i="1"/>
  <c r="BN71" i="1"/>
  <c r="BM245" i="1"/>
  <c r="BL77" i="1"/>
  <c r="BO244" i="1"/>
  <c r="BN75" i="1"/>
  <c r="BJ221" i="11"/>
  <c r="BI43" i="11"/>
  <c r="AS27" i="2"/>
  <c r="G27" i="20"/>
  <c r="X22" i="38"/>
  <c r="AG55" i="38"/>
  <c r="F88" i="38"/>
  <c r="V25" i="20"/>
  <c r="W25" i="20"/>
  <c r="Q15" i="39"/>
  <c r="F23" i="38"/>
  <c r="F89" i="38"/>
  <c r="BN218" i="11"/>
  <c r="BM37" i="11"/>
  <c r="BL220" i="11"/>
  <c r="BK41" i="11"/>
  <c r="BO219" i="11"/>
  <c r="BN39" i="11"/>
  <c r="BL215" i="11"/>
  <c r="BO225" i="10"/>
  <c r="BN51" i="10"/>
  <c r="BO218" i="10"/>
  <c r="BN37" i="10"/>
  <c r="BP229" i="22"/>
  <c r="BO59" i="22"/>
  <c r="BO227" i="22"/>
  <c r="BN55" i="22"/>
  <c r="BO218" i="22"/>
  <c r="BO220" i="22"/>
  <c r="BN41" i="22"/>
  <c r="BM228" i="8"/>
  <c r="BL57" i="8"/>
  <c r="BO227" i="8"/>
  <c r="BN55" i="8"/>
  <c r="BP226" i="8"/>
  <c r="BO53" i="8"/>
  <c r="BP224" i="8"/>
  <c r="BO49" i="8"/>
  <c r="BP216" i="8"/>
  <c r="BO33" i="8"/>
  <c r="BQ215" i="8"/>
  <c r="BP31" i="8"/>
  <c r="BP220" i="8"/>
  <c r="BO41" i="8"/>
  <c r="BP227" i="7"/>
  <c r="BO55" i="7"/>
  <c r="BP226" i="7"/>
  <c r="BO53" i="7"/>
  <c r="BP225" i="7"/>
  <c r="BO51" i="7"/>
  <c r="BI216" i="7"/>
  <c r="BH33" i="7"/>
  <c r="BM222" i="7"/>
  <c r="BL45" i="7"/>
  <c r="BN223" i="7"/>
  <c r="BM47" i="7"/>
  <c r="BP231" i="6"/>
  <c r="BO57" i="6"/>
  <c r="BP230" i="6"/>
  <c r="BO55" i="6"/>
  <c r="BP229" i="6"/>
  <c r="BO53" i="6"/>
  <c r="BP228" i="6"/>
  <c r="BO51" i="6"/>
  <c r="BP227" i="6"/>
  <c r="BO49" i="6"/>
  <c r="BN225" i="6"/>
  <c r="BM45" i="6"/>
  <c r="BO230" i="9"/>
  <c r="BN61" i="9"/>
  <c r="BP229" i="9"/>
  <c r="BO59" i="9"/>
  <c r="BO218" i="9"/>
  <c r="BN37" i="9"/>
  <c r="BO220" i="9"/>
  <c r="BN41" i="9"/>
  <c r="BL216" i="9"/>
  <c r="BK33" i="9"/>
  <c r="BN241" i="1"/>
  <c r="BM69" i="1"/>
  <c r="BP238" i="1"/>
  <c r="BO63" i="1"/>
  <c r="BP230" i="1"/>
  <c r="BO47" i="1"/>
  <c r="BN231" i="1"/>
  <c r="BM49" i="1"/>
  <c r="BP234" i="1"/>
  <c r="BO55" i="1"/>
  <c r="BN229" i="1"/>
  <c r="BM45" i="1"/>
  <c r="BP226" i="1"/>
  <c r="BO39" i="1"/>
  <c r="BN227" i="1"/>
  <c r="BM41" i="1"/>
  <c r="BN225" i="1"/>
  <c r="BM37" i="1"/>
  <c r="BO224" i="7"/>
  <c r="BN49" i="7"/>
  <c r="BX217" i="2"/>
  <c r="BW96" i="2"/>
  <c r="AE75" i="9"/>
  <c r="AF237" i="9"/>
  <c r="J24" i="20"/>
  <c r="BT25" i="2"/>
  <c r="I86" i="38"/>
  <c r="AA20" i="38"/>
  <c r="AJ53" i="38"/>
  <c r="I21" i="38"/>
  <c r="T13" i="39"/>
  <c r="J13" i="39"/>
  <c r="AB23" i="20"/>
  <c r="AC23" i="20"/>
  <c r="I30" i="20"/>
  <c r="BK31" i="2"/>
  <c r="H27" i="38"/>
  <c r="Z29" i="20"/>
  <c r="AA29" i="20"/>
  <c r="S19" i="39"/>
  <c r="I19" i="39"/>
  <c r="CL32" i="2"/>
  <c r="L31" i="20"/>
  <c r="BJ89" i="2"/>
  <c r="CK89" i="2"/>
  <c r="BG94" i="2"/>
  <c r="CF94" i="2"/>
  <c r="BH93" i="2"/>
  <c r="CI93" i="2"/>
  <c r="CH93" i="2"/>
  <c r="S38" i="41"/>
  <c r="AP21" i="26"/>
  <c r="R37" i="41"/>
  <c r="AO99" i="40"/>
  <c r="AP326" i="40"/>
  <c r="AU93" i="40"/>
  <c r="AV323" i="40"/>
  <c r="AP105" i="40"/>
  <c r="AQ329" i="40"/>
  <c r="AQ97" i="40"/>
  <c r="AR325" i="40"/>
  <c r="AU103" i="40"/>
  <c r="AV328" i="40"/>
  <c r="AU101" i="40"/>
  <c r="AV327" i="40"/>
  <c r="AQ107" i="40"/>
  <c r="AR330" i="40"/>
  <c r="AU111" i="40"/>
  <c r="AV332" i="40"/>
  <c r="AU109" i="40"/>
  <c r="AV331" i="40"/>
  <c r="AV95" i="40"/>
  <c r="AW324" i="40"/>
  <c r="AV91" i="40"/>
  <c r="AX310" i="40"/>
  <c r="AW67" i="40"/>
  <c r="AY304" i="40"/>
  <c r="AX55" i="40"/>
  <c r="AY299" i="40"/>
  <c r="AX45" i="40"/>
  <c r="AY305" i="40"/>
  <c r="AX57" i="40"/>
  <c r="AW309" i="40"/>
  <c r="AV65" i="40"/>
  <c r="AX315" i="40"/>
  <c r="AW77" i="40"/>
  <c r="AY314" i="40"/>
  <c r="AX75" i="40"/>
  <c r="AY298" i="40"/>
  <c r="AX43" i="40"/>
  <c r="AY312" i="40"/>
  <c r="AX71" i="40"/>
  <c r="AY306" i="40"/>
  <c r="AX59" i="40"/>
  <c r="AY303" i="40"/>
  <c r="AX53" i="40"/>
  <c r="AW311" i="40"/>
  <c r="AV69" i="40"/>
  <c r="AX297" i="40"/>
  <c r="AW41" i="40"/>
  <c r="AY300" i="40"/>
  <c r="AX47" i="40"/>
  <c r="AX307" i="40"/>
  <c r="AW61" i="40"/>
  <c r="AY322" i="40"/>
  <c r="AW313" i="40"/>
  <c r="AV73" i="40"/>
  <c r="AX321" i="40"/>
  <c r="AW89" i="40"/>
  <c r="AY318" i="40"/>
  <c r="AX83" i="40"/>
  <c r="AY316" i="40"/>
  <c r="AX79" i="40"/>
  <c r="AY320" i="40"/>
  <c r="AX87" i="40"/>
  <c r="AX302" i="40"/>
  <c r="AW51" i="40"/>
  <c r="AY301" i="40"/>
  <c r="AX49" i="40"/>
  <c r="AY308" i="40"/>
  <c r="AX63" i="40"/>
  <c r="AX317" i="40"/>
  <c r="AW81" i="40"/>
  <c r="AX319" i="40"/>
  <c r="AW85" i="40"/>
  <c r="AK67" i="9"/>
  <c r="AL233" i="9"/>
  <c r="BB65" i="9"/>
  <c r="BC232" i="9"/>
  <c r="BM239" i="8"/>
  <c r="BL79" i="8"/>
  <c r="AW71" i="10"/>
  <c r="AX235" i="10"/>
  <c r="AL232" i="10"/>
  <c r="AK65" i="10"/>
  <c r="BC79" i="9"/>
  <c r="BD239" i="9"/>
  <c r="BI239" i="11"/>
  <c r="BH79" i="11"/>
  <c r="BK228" i="11"/>
  <c r="BJ57" i="11"/>
  <c r="BM67" i="7"/>
  <c r="BN233" i="7"/>
  <c r="BM234" i="10"/>
  <c r="BL69" i="10"/>
  <c r="BD63" i="8"/>
  <c r="BE231" i="8"/>
  <c r="BE79" i="7"/>
  <c r="BF239" i="7"/>
  <c r="AK81" i="10"/>
  <c r="AL240" i="10"/>
  <c r="BK77" i="10"/>
  <c r="BL238" i="10"/>
  <c r="BC236" i="22"/>
  <c r="BB73" i="22"/>
  <c r="BK51" i="11"/>
  <c r="BL225" i="11"/>
  <c r="BJ229" i="7"/>
  <c r="BI59" i="7"/>
  <c r="AY59" i="8"/>
  <c r="AZ229" i="8"/>
  <c r="AK229" i="10"/>
  <c r="AJ59" i="10"/>
  <c r="BL77" i="22"/>
  <c r="BM238" i="22"/>
  <c r="DJ144" i="10"/>
  <c r="DK54" i="10"/>
  <c r="BN226" i="6"/>
  <c r="BM47" i="6"/>
  <c r="BL238" i="11"/>
  <c r="BK77" i="11"/>
  <c r="BM235" i="8"/>
  <c r="BL71" i="8"/>
  <c r="BL238" i="7"/>
  <c r="BK77" i="7"/>
  <c r="BG61" i="7"/>
  <c r="BH230" i="7"/>
  <c r="BH223" i="11"/>
  <c r="BG47" i="11"/>
  <c r="BL63" i="9"/>
  <c r="BM231" i="9"/>
  <c r="AO67" i="22"/>
  <c r="AP233" i="22"/>
  <c r="DH147" i="10"/>
  <c r="BD63" i="22"/>
  <c r="BE231" i="22"/>
  <c r="AV75" i="11"/>
  <c r="AW237" i="11"/>
  <c r="DI146" i="10"/>
  <c r="DI145" i="10"/>
  <c r="BC233" i="10"/>
  <c r="BB67" i="10"/>
  <c r="BD71" i="22"/>
  <c r="BE235" i="22"/>
  <c r="BL61" i="10"/>
  <c r="BM230" i="10"/>
  <c r="AZ63" i="10"/>
  <c r="BA231" i="10"/>
  <c r="BN57" i="22"/>
  <c r="BO228" i="22"/>
  <c r="BB79" i="22"/>
  <c r="BC239" i="22"/>
  <c r="R46" i="2"/>
  <c r="D46" i="20"/>
  <c r="C107" i="38"/>
  <c r="U41" i="38"/>
  <c r="AD74" i="38"/>
  <c r="C42" i="38"/>
  <c r="N34" i="39"/>
  <c r="D34" i="39"/>
  <c r="P44" i="20"/>
  <c r="Q44" i="20"/>
  <c r="BN216" i="10"/>
  <c r="BM33" i="10"/>
  <c r="BN220" i="10"/>
  <c r="BM41" i="10"/>
  <c r="BM222" i="10"/>
  <c r="BL45" i="10"/>
  <c r="BN31" i="10"/>
  <c r="BO215" i="10"/>
  <c r="BN217" i="10"/>
  <c r="BM35" i="10"/>
  <c r="BN223" i="10"/>
  <c r="BM47" i="10"/>
  <c r="BM39" i="10"/>
  <c r="BN219" i="10"/>
  <c r="BN221" i="10"/>
  <c r="BM43" i="10"/>
  <c r="BN53" i="10"/>
  <c r="BO226" i="10"/>
  <c r="BN224" i="10"/>
  <c r="BM49" i="10"/>
  <c r="BN51" i="22"/>
  <c r="BO225" i="22"/>
  <c r="BM53" i="22"/>
  <c r="BN226" i="22"/>
  <c r="BN221" i="22"/>
  <c r="BM43" i="22"/>
  <c r="BM223" i="22"/>
  <c r="BL47" i="22"/>
  <c r="BN47" i="8"/>
  <c r="BO223" i="8"/>
  <c r="BM51" i="8"/>
  <c r="BN225" i="8"/>
  <c r="BO216" i="22"/>
  <c r="BN33" i="22"/>
  <c r="AQ61" i="22"/>
  <c r="AR230" i="22"/>
  <c r="AE53" i="11"/>
  <c r="AF226" i="11"/>
  <c r="AQ81" i="11"/>
  <c r="AR240" i="11"/>
  <c r="BN217" i="2"/>
  <c r="U217" i="2"/>
  <c r="AM217" i="2"/>
  <c r="AD217" i="2"/>
  <c r="BE217" i="2"/>
  <c r="AV217" i="2"/>
  <c r="C217" i="2"/>
  <c r="L217" i="2"/>
  <c r="AQ67" i="11"/>
  <c r="AR233" i="11"/>
  <c r="BE73" i="8"/>
  <c r="BF236" i="8"/>
  <c r="AJ81" i="9"/>
  <c r="AK240" i="9"/>
  <c r="AV95" i="2"/>
  <c r="AX95" i="2"/>
  <c r="AY95" i="2"/>
  <c r="AW216" i="2"/>
  <c r="BE95" i="2"/>
  <c r="BF216" i="2"/>
  <c r="AL65" i="22"/>
  <c r="AM232" i="22"/>
  <c r="AN81" i="22"/>
  <c r="AO240" i="22"/>
  <c r="AN75" i="10"/>
  <c r="AO237" i="10"/>
  <c r="AD73" i="10"/>
  <c r="AE236" i="10"/>
  <c r="AL79" i="10"/>
  <c r="AM239" i="10"/>
  <c r="BJ73" i="9"/>
  <c r="BK236" i="9"/>
  <c r="AP69" i="22"/>
  <c r="AQ234" i="22"/>
  <c r="AM69" i="9"/>
  <c r="AN234" i="9"/>
  <c r="AR69" i="8"/>
  <c r="AS234" i="8"/>
  <c r="AN75" i="22"/>
  <c r="AO237" i="22"/>
  <c r="AP71" i="7"/>
  <c r="AQ235" i="7"/>
  <c r="BN95" i="2"/>
  <c r="BP95" i="2"/>
  <c r="BQ95" i="2"/>
  <c r="BO216" i="2"/>
  <c r="U95" i="2"/>
  <c r="W95" i="2"/>
  <c r="X95" i="2"/>
  <c r="V216" i="2"/>
  <c r="AS77" i="8"/>
  <c r="AT238" i="8"/>
  <c r="AS73" i="11"/>
  <c r="AT236" i="11"/>
  <c r="AK71" i="9"/>
  <c r="AL235" i="9"/>
  <c r="AA31" i="22"/>
  <c r="AB215" i="22"/>
  <c r="AI49" i="11"/>
  <c r="AJ224" i="11"/>
  <c r="AO75" i="7"/>
  <c r="AP237" i="7"/>
  <c r="X65" i="7"/>
  <c r="Y232" i="7"/>
  <c r="C95" i="2"/>
  <c r="E95" i="2"/>
  <c r="F95" i="2"/>
  <c r="D216" i="2"/>
  <c r="AM95" i="2"/>
  <c r="AO95" i="2"/>
  <c r="AP95" i="2"/>
  <c r="AN216" i="2"/>
  <c r="AH69" i="7"/>
  <c r="AI234" i="7"/>
  <c r="AL81" i="7"/>
  <c r="AM240" i="7"/>
  <c r="AN75" i="8"/>
  <c r="AO237" i="8"/>
  <c r="AU61" i="8"/>
  <c r="AV230" i="8"/>
  <c r="AK57" i="10"/>
  <c r="AL228" i="10"/>
  <c r="AP67" i="8"/>
  <c r="AQ233" i="8"/>
  <c r="A98" i="2"/>
  <c r="A218" i="2"/>
  <c r="BW218" i="2"/>
  <c r="BJ77" i="9"/>
  <c r="BK238" i="9"/>
  <c r="AE216" i="2"/>
  <c r="AD95" i="2"/>
  <c r="AF95" i="2"/>
  <c r="AG95" i="2"/>
  <c r="M216" i="2"/>
  <c r="L95" i="2"/>
  <c r="N95" i="2"/>
  <c r="O95" i="2"/>
  <c r="C69" i="11"/>
  <c r="C234" i="11"/>
  <c r="D234" i="11"/>
  <c r="I18" i="2"/>
  <c r="C18" i="20"/>
  <c r="N16" i="20"/>
  <c r="O16" i="20"/>
  <c r="B14" i="38"/>
  <c r="M6" i="39"/>
  <c r="C6" i="39"/>
  <c r="BL43" i="8"/>
  <c r="BM221" i="8"/>
  <c r="BN222" i="8"/>
  <c r="BM45" i="8"/>
  <c r="BI35" i="8"/>
  <c r="BJ217" i="8"/>
  <c r="BC63" i="7"/>
  <c r="BD231" i="7"/>
  <c r="BN216" i="11"/>
  <c r="BM33" i="11"/>
  <c r="BO226" i="9"/>
  <c r="BN53" i="9"/>
  <c r="BN215" i="9"/>
  <c r="BM31" i="9"/>
  <c r="BM222" i="1"/>
  <c r="BL31" i="1"/>
  <c r="BN233" i="1"/>
  <c r="BM53" i="1"/>
  <c r="BN59" i="1"/>
  <c r="BO236" i="1"/>
  <c r="BO239" i="1"/>
  <c r="BN65" i="1"/>
  <c r="BL33" i="1"/>
  <c r="BM223" i="1"/>
  <c r="BO224" i="1"/>
  <c r="BN35" i="1"/>
  <c r="BN232" i="1"/>
  <c r="BM51" i="1"/>
  <c r="T35" i="20"/>
  <c r="U35" i="20"/>
  <c r="P25" i="39"/>
  <c r="E33" i="38"/>
  <c r="E99" i="38"/>
  <c r="AJ37" i="2"/>
  <c r="F37" i="20"/>
  <c r="W32" i="38"/>
  <c r="AF65" i="38"/>
  <c r="E98" i="38"/>
  <c r="G87" i="38"/>
  <c r="Y21" i="38"/>
  <c r="AH54" i="38"/>
  <c r="BB26" i="2"/>
  <c r="H26" i="20"/>
  <c r="X24" i="20"/>
  <c r="Y24" i="20"/>
  <c r="R14" i="39"/>
  <c r="H14" i="39"/>
  <c r="G22" i="38"/>
  <c r="BL45" i="22"/>
  <c r="BM222" i="22"/>
  <c r="BN219" i="6"/>
  <c r="BM33" i="6"/>
  <c r="BM23" i="6"/>
  <c r="BN214" i="6"/>
  <c r="BM27" i="6"/>
  <c r="BN216" i="6"/>
  <c r="BN220" i="6"/>
  <c r="BM35" i="6"/>
  <c r="BN221" i="6"/>
  <c r="BM37" i="6"/>
  <c r="BM224" i="6"/>
  <c r="BL43" i="6"/>
  <c r="BN217" i="6"/>
  <c r="BL31" i="6"/>
  <c r="BM218" i="6"/>
  <c r="BN215" i="6"/>
  <c r="BM25" i="6"/>
  <c r="BN223" i="6"/>
  <c r="BM41" i="6"/>
  <c r="BK247" i="1"/>
  <c r="BJ81" i="1"/>
  <c r="BI83" i="1"/>
  <c r="BJ248" i="1"/>
  <c r="BO228" i="1"/>
  <c r="BN43" i="1"/>
  <c r="BL37" i="8"/>
  <c r="BM218" i="8"/>
  <c r="BI39" i="8"/>
  <c r="BJ219" i="8"/>
  <c r="BJ45" i="11"/>
  <c r="BK222" i="11"/>
  <c r="AA37" i="2"/>
  <c r="E37" i="20"/>
  <c r="V32" i="38"/>
  <c r="AE65" i="38"/>
  <c r="D98" i="38"/>
  <c r="R35" i="20"/>
  <c r="S35" i="20"/>
  <c r="D33" i="38"/>
  <c r="D99" i="38"/>
  <c r="O25" i="39"/>
  <c r="BM219" i="22"/>
  <c r="BL39" i="22"/>
  <c r="BN217" i="22"/>
  <c r="BM35" i="22"/>
  <c r="BN224" i="22"/>
  <c r="BM49" i="22"/>
  <c r="BN221" i="7"/>
  <c r="BM43" i="7"/>
  <c r="BK220" i="7"/>
  <c r="BJ41" i="7"/>
  <c r="BM219" i="7"/>
  <c r="BL39" i="7"/>
  <c r="BM218" i="7"/>
  <c r="BL37" i="7"/>
  <c r="BN217" i="7"/>
  <c r="BM35" i="7"/>
  <c r="BL31" i="7"/>
  <c r="BM215" i="7"/>
  <c r="BK222" i="6"/>
  <c r="BJ39" i="6"/>
  <c r="BI55" i="9"/>
  <c r="BJ227" i="9"/>
  <c r="BK219" i="9"/>
  <c r="BJ39" i="9"/>
  <c r="BO223" i="9"/>
  <c r="BN47" i="9"/>
  <c r="BN217" i="9"/>
  <c r="BM35" i="9"/>
  <c r="BP221" i="9"/>
  <c r="BO43" i="9"/>
  <c r="BM225" i="9"/>
  <c r="BL51" i="9"/>
  <c r="BN224" i="9"/>
  <c r="BM49" i="9"/>
  <c r="BM45" i="9"/>
  <c r="BN222" i="9"/>
  <c r="BK57" i="9"/>
  <c r="BL228" i="9"/>
  <c r="BL245" i="1"/>
  <c r="BK77" i="1"/>
  <c r="BM237" i="1"/>
  <c r="BL61" i="1"/>
  <c r="BO246" i="1"/>
  <c r="BN79" i="1"/>
  <c r="BM240" i="1"/>
  <c r="BL67" i="1"/>
  <c r="BN244" i="1"/>
  <c r="BM75" i="1"/>
  <c r="BN242" i="1"/>
  <c r="BM71" i="1"/>
  <c r="BL243" i="1"/>
  <c r="BK73" i="1"/>
  <c r="BG57" i="1"/>
  <c r="BH235" i="1"/>
  <c r="BI221" i="11"/>
  <c r="BH43" i="11"/>
  <c r="AS28" i="2"/>
  <c r="G28" i="20"/>
  <c r="V26" i="20"/>
  <c r="W26" i="20"/>
  <c r="F24" i="38"/>
  <c r="Q16" i="39"/>
  <c r="BN219" i="11"/>
  <c r="BM39" i="11"/>
  <c r="BM218" i="11"/>
  <c r="BL37" i="11"/>
  <c r="BK215" i="11"/>
  <c r="BK220" i="11"/>
  <c r="BJ41" i="11"/>
  <c r="BN225" i="10"/>
  <c r="BM51" i="10"/>
  <c r="BN218" i="10"/>
  <c r="BM37" i="10"/>
  <c r="BO229" i="22"/>
  <c r="BN59" i="22"/>
  <c r="BN220" i="22"/>
  <c r="BM41" i="22"/>
  <c r="BN218" i="22"/>
  <c r="BN227" i="22"/>
  <c r="BM55" i="22"/>
  <c r="BL228" i="8"/>
  <c r="BK57" i="8"/>
  <c r="BN227" i="8"/>
  <c r="BM55" i="8"/>
  <c r="BO220" i="8"/>
  <c r="BN41" i="8"/>
  <c r="BO216" i="8"/>
  <c r="BN33" i="8"/>
  <c r="BO226" i="8"/>
  <c r="BN53" i="8"/>
  <c r="BP215" i="8"/>
  <c r="BO31" i="8"/>
  <c r="BO224" i="8"/>
  <c r="BN49" i="8"/>
  <c r="BO227" i="7"/>
  <c r="BN55" i="7"/>
  <c r="BO226" i="7"/>
  <c r="BN53" i="7"/>
  <c r="BO225" i="7"/>
  <c r="BN51" i="7"/>
  <c r="BM223" i="7"/>
  <c r="BL47" i="7"/>
  <c r="BH216" i="7"/>
  <c r="BG33" i="7"/>
  <c r="BL222" i="7"/>
  <c r="BK45" i="7"/>
  <c r="BO231" i="6"/>
  <c r="BN57" i="6"/>
  <c r="BO230" i="6"/>
  <c r="BN55" i="6"/>
  <c r="BO229" i="6"/>
  <c r="BN53" i="6"/>
  <c r="BO228" i="6"/>
  <c r="BN51" i="6"/>
  <c r="BO227" i="6"/>
  <c r="BN49" i="6"/>
  <c r="BM225" i="6"/>
  <c r="BL45" i="6"/>
  <c r="BN230" i="9"/>
  <c r="BM61" i="9"/>
  <c r="BO229" i="9"/>
  <c r="BN59" i="9"/>
  <c r="BN220" i="9"/>
  <c r="BM41" i="9"/>
  <c r="BK216" i="9"/>
  <c r="BJ33" i="9"/>
  <c r="BN218" i="9"/>
  <c r="BM37" i="9"/>
  <c r="BM241" i="1"/>
  <c r="BL69" i="1"/>
  <c r="BO238" i="1"/>
  <c r="BN63" i="1"/>
  <c r="BM231" i="1"/>
  <c r="BL49" i="1"/>
  <c r="BO230" i="1"/>
  <c r="BN47" i="1"/>
  <c r="BO234" i="1"/>
  <c r="BN55" i="1"/>
  <c r="BM229" i="1"/>
  <c r="BL45" i="1"/>
  <c r="BO226" i="1"/>
  <c r="BN39" i="1"/>
  <c r="BM225" i="1"/>
  <c r="BL37" i="1"/>
  <c r="BM227" i="1"/>
  <c r="BL41" i="1"/>
  <c r="BN224" i="7"/>
  <c r="BM49" i="7"/>
  <c r="AE237" i="9"/>
  <c r="AD75" i="9"/>
  <c r="BW97" i="2"/>
  <c r="BX218" i="2"/>
  <c r="J25" i="20"/>
  <c r="BT26" i="2"/>
  <c r="I87" i="38"/>
  <c r="AA21" i="38"/>
  <c r="AJ54" i="38"/>
  <c r="AB24" i="20"/>
  <c r="AC24" i="20"/>
  <c r="I22" i="38"/>
  <c r="T14" i="39"/>
  <c r="J14" i="39"/>
  <c r="H93" i="38"/>
  <c r="Z27" i="38"/>
  <c r="AI60" i="38"/>
  <c r="I31" i="20"/>
  <c r="BK32" i="2"/>
  <c r="S20" i="39"/>
  <c r="H28" i="38"/>
  <c r="H94" i="38"/>
  <c r="Z30" i="20"/>
  <c r="AA30" i="20"/>
  <c r="CL33" i="2"/>
  <c r="L32" i="20"/>
  <c r="BJ90" i="2"/>
  <c r="CK90" i="2"/>
  <c r="BG95" i="2"/>
  <c r="CF95" i="2"/>
  <c r="BH94" i="2"/>
  <c r="CI94" i="2"/>
  <c r="CH94" i="2"/>
  <c r="AP20" i="26"/>
  <c r="S37" i="41"/>
  <c r="DI147" i="10"/>
  <c r="AU95" i="40"/>
  <c r="AV324" i="40"/>
  <c r="AT111" i="40"/>
  <c r="AU332" i="40"/>
  <c r="AT101" i="40"/>
  <c r="AU327" i="40"/>
  <c r="AP97" i="40"/>
  <c r="AQ325" i="40"/>
  <c r="AT93" i="40"/>
  <c r="AU323" i="40"/>
  <c r="AT109" i="40"/>
  <c r="AU331" i="40"/>
  <c r="AP107" i="40"/>
  <c r="AQ330" i="40"/>
  <c r="AT103" i="40"/>
  <c r="AU328" i="40"/>
  <c r="AO105" i="40"/>
  <c r="AP329" i="40"/>
  <c r="AN99" i="40"/>
  <c r="AO326" i="40"/>
  <c r="AU91" i="40"/>
  <c r="AW319" i="40"/>
  <c r="AV85" i="40"/>
  <c r="AX308" i="40"/>
  <c r="AW63" i="40"/>
  <c r="AW302" i="40"/>
  <c r="AV51" i="40"/>
  <c r="AX316" i="40"/>
  <c r="AW79" i="40"/>
  <c r="AW321" i="40"/>
  <c r="AV89" i="40"/>
  <c r="AX322" i="40"/>
  <c r="AX300" i="40"/>
  <c r="AW47" i="40"/>
  <c r="AV311" i="40"/>
  <c r="AU69" i="40"/>
  <c r="AX306" i="40"/>
  <c r="AW59" i="40"/>
  <c r="AX298" i="40"/>
  <c r="AW43" i="40"/>
  <c r="AW315" i="40"/>
  <c r="AV77" i="40"/>
  <c r="AX305" i="40"/>
  <c r="AW57" i="40"/>
  <c r="AX304" i="40"/>
  <c r="AW55" i="40"/>
  <c r="AW317" i="40"/>
  <c r="AV81" i="40"/>
  <c r="AX301" i="40"/>
  <c r="AW49" i="40"/>
  <c r="AX320" i="40"/>
  <c r="AW87" i="40"/>
  <c r="AX318" i="40"/>
  <c r="AW83" i="40"/>
  <c r="AV313" i="40"/>
  <c r="AU73" i="40"/>
  <c r="AW307" i="40"/>
  <c r="AV61" i="40"/>
  <c r="AW297" i="40"/>
  <c r="AV41" i="40"/>
  <c r="AX303" i="40"/>
  <c r="AW53" i="40"/>
  <c r="AX312" i="40"/>
  <c r="AW71" i="40"/>
  <c r="AX314" i="40"/>
  <c r="AW75" i="40"/>
  <c r="AV309" i="40"/>
  <c r="AU65" i="40"/>
  <c r="AX299" i="40"/>
  <c r="AW45" i="40"/>
  <c r="AW310" i="40"/>
  <c r="AV67" i="40"/>
  <c r="BM57" i="22"/>
  <c r="BN228" i="22"/>
  <c r="BL230" i="10"/>
  <c r="BK61" i="10"/>
  <c r="BC63" i="22"/>
  <c r="BD231" i="22"/>
  <c r="BL235" i="8"/>
  <c r="BK71" i="8"/>
  <c r="BM226" i="6"/>
  <c r="BL47" i="6"/>
  <c r="BL234" i="10"/>
  <c r="BK69" i="10"/>
  <c r="BJ228" i="11"/>
  <c r="BI57" i="11"/>
  <c r="BK63" i="9"/>
  <c r="BL231" i="9"/>
  <c r="BF61" i="7"/>
  <c r="BG230" i="7"/>
  <c r="BK77" i="22"/>
  <c r="BL238" i="22"/>
  <c r="AX59" i="8"/>
  <c r="AY229" i="8"/>
  <c r="BJ51" i="11"/>
  <c r="BK225" i="11"/>
  <c r="BJ77" i="10"/>
  <c r="BK238" i="10"/>
  <c r="BD79" i="7"/>
  <c r="BE239" i="7"/>
  <c r="BB79" i="9"/>
  <c r="BC239" i="9"/>
  <c r="AV71" i="10"/>
  <c r="AW235" i="10"/>
  <c r="BA65" i="9"/>
  <c r="BB232" i="9"/>
  <c r="BB239" i="22"/>
  <c r="BA79" i="22"/>
  <c r="AY63" i="10"/>
  <c r="AZ231" i="10"/>
  <c r="BC71" i="22"/>
  <c r="BD235" i="22"/>
  <c r="AV237" i="11"/>
  <c r="AU75" i="11"/>
  <c r="BG223" i="11"/>
  <c r="BF47" i="11"/>
  <c r="BK238" i="7"/>
  <c r="BJ77" i="7"/>
  <c r="BK238" i="11"/>
  <c r="BJ77" i="11"/>
  <c r="DL54" i="10"/>
  <c r="DK144" i="10"/>
  <c r="AI59" i="10"/>
  <c r="AJ229" i="10"/>
  <c r="BH59" i="7"/>
  <c r="BI229" i="7"/>
  <c r="BA73" i="22"/>
  <c r="BB236" i="22"/>
  <c r="BH239" i="11"/>
  <c r="BG79" i="11"/>
  <c r="AJ65" i="10"/>
  <c r="AK232" i="10"/>
  <c r="BK79" i="8"/>
  <c r="BL239" i="8"/>
  <c r="BB233" i="10"/>
  <c r="BA67" i="10"/>
  <c r="AN67" i="22"/>
  <c r="AO233" i="22"/>
  <c r="DJ145" i="10"/>
  <c r="DJ146" i="10"/>
  <c r="AJ81" i="10"/>
  <c r="AK240" i="10"/>
  <c r="BC63" i="8"/>
  <c r="BD231" i="8"/>
  <c r="BL67" i="7"/>
  <c r="BM233" i="7"/>
  <c r="AJ67" i="9"/>
  <c r="AK233" i="9"/>
  <c r="R47" i="2"/>
  <c r="D47" i="20"/>
  <c r="C108" i="38"/>
  <c r="C109" i="38"/>
  <c r="U42" i="38"/>
  <c r="AD75" i="38"/>
  <c r="BM224" i="10"/>
  <c r="BL49" i="10"/>
  <c r="BM221" i="10"/>
  <c r="BL43" i="10"/>
  <c r="BM223" i="10"/>
  <c r="BL47" i="10"/>
  <c r="BM220" i="10"/>
  <c r="BL41" i="10"/>
  <c r="BM31" i="10"/>
  <c r="BN215" i="10"/>
  <c r="BM217" i="10"/>
  <c r="BL35" i="10"/>
  <c r="BL222" i="10"/>
  <c r="BK45" i="10"/>
  <c r="BL33" i="10"/>
  <c r="BM216" i="10"/>
  <c r="BN226" i="10"/>
  <c r="BM53" i="10"/>
  <c r="BM219" i="10"/>
  <c r="BL39" i="10"/>
  <c r="BL223" i="22"/>
  <c r="BK47" i="22"/>
  <c r="BL53" i="22"/>
  <c r="BM226" i="22"/>
  <c r="BM221" i="22"/>
  <c r="BL43" i="22"/>
  <c r="BM51" i="22"/>
  <c r="BN225" i="22"/>
  <c r="BM225" i="8"/>
  <c r="BL51" i="8"/>
  <c r="BM47" i="8"/>
  <c r="BN223" i="8"/>
  <c r="BI77" i="9"/>
  <c r="BJ238" i="9"/>
  <c r="A219" i="2"/>
  <c r="BW219" i="2"/>
  <c r="A99" i="2"/>
  <c r="AT61" i="8"/>
  <c r="AU230" i="8"/>
  <c r="AM75" i="8"/>
  <c r="AN237" i="8"/>
  <c r="AG69" i="7"/>
  <c r="AH234" i="7"/>
  <c r="AH49" i="11"/>
  <c r="AI224" i="11"/>
  <c r="Z31" i="22"/>
  <c r="AA215" i="22"/>
  <c r="AR73" i="11"/>
  <c r="AS236" i="11"/>
  <c r="AI81" i="9"/>
  <c r="AJ240" i="9"/>
  <c r="BD73" i="8"/>
  <c r="BE236" i="8"/>
  <c r="C96" i="2"/>
  <c r="E96" i="2"/>
  <c r="F96" i="2"/>
  <c r="D217" i="2"/>
  <c r="AM96" i="2"/>
  <c r="AO96" i="2"/>
  <c r="AP96" i="2"/>
  <c r="AN217" i="2"/>
  <c r="AM75" i="22"/>
  <c r="AN237" i="22"/>
  <c r="AQ69" i="8"/>
  <c r="AR234" i="8"/>
  <c r="BI73" i="9"/>
  <c r="BJ236" i="9"/>
  <c r="AK79" i="10"/>
  <c r="AL239" i="10"/>
  <c r="AM75" i="10"/>
  <c r="AN237" i="10"/>
  <c r="AK65" i="22"/>
  <c r="AL232" i="22"/>
  <c r="AV96" i="2"/>
  <c r="AX96" i="2"/>
  <c r="AY96" i="2"/>
  <c r="AW217" i="2"/>
  <c r="U96" i="2"/>
  <c r="W96" i="2"/>
  <c r="X96" i="2"/>
  <c r="V217" i="2"/>
  <c r="AD53" i="11"/>
  <c r="AE226" i="11"/>
  <c r="AO67" i="8"/>
  <c r="AP233" i="8"/>
  <c r="AJ57" i="10"/>
  <c r="AK228" i="10"/>
  <c r="AK81" i="7"/>
  <c r="AL240" i="7"/>
  <c r="W65" i="7"/>
  <c r="X232" i="7"/>
  <c r="AN75" i="7"/>
  <c r="AO237" i="7"/>
  <c r="AJ71" i="9"/>
  <c r="AK235" i="9"/>
  <c r="AR77" i="8"/>
  <c r="AS238" i="8"/>
  <c r="AP67" i="11"/>
  <c r="AQ233" i="11"/>
  <c r="BE96" i="2"/>
  <c r="BF217" i="2"/>
  <c r="BN96" i="2"/>
  <c r="BP96" i="2"/>
  <c r="BQ96" i="2"/>
  <c r="BO217" i="2"/>
  <c r="BM33" i="22"/>
  <c r="BN216" i="22"/>
  <c r="AM218" i="2"/>
  <c r="U218" i="2"/>
  <c r="BE218" i="2"/>
  <c r="AV218" i="2"/>
  <c r="L218" i="2"/>
  <c r="C218" i="2"/>
  <c r="AD218" i="2"/>
  <c r="BN218" i="2"/>
  <c r="AO71" i="7"/>
  <c r="AP235" i="7"/>
  <c r="AL69" i="9"/>
  <c r="AM234" i="9"/>
  <c r="AO69" i="22"/>
  <c r="AP234" i="22"/>
  <c r="AC73" i="10"/>
  <c r="AD236" i="10"/>
  <c r="AM81" i="22"/>
  <c r="AN240" i="22"/>
  <c r="M217" i="2"/>
  <c r="L96" i="2"/>
  <c r="N96" i="2"/>
  <c r="O96" i="2"/>
  <c r="AD96" i="2"/>
  <c r="AF96" i="2"/>
  <c r="AG96" i="2"/>
  <c r="AE217" i="2"/>
  <c r="AP81" i="11"/>
  <c r="AQ240" i="11"/>
  <c r="AP61" i="22"/>
  <c r="AQ230" i="22"/>
  <c r="T14" i="38"/>
  <c r="AC47" i="38"/>
  <c r="B80" i="38"/>
  <c r="I19" i="2"/>
  <c r="C19" i="20"/>
  <c r="B15" i="38"/>
  <c r="M7" i="39"/>
  <c r="C7" i="39"/>
  <c r="N17" i="20"/>
  <c r="O17" i="20"/>
  <c r="BH35" i="8"/>
  <c r="BI217" i="8"/>
  <c r="BL221" i="8"/>
  <c r="BK43" i="8"/>
  <c r="BL45" i="8"/>
  <c r="BM222" i="8"/>
  <c r="BL33" i="11"/>
  <c r="BM216" i="11"/>
  <c r="BB63" i="7"/>
  <c r="BC231" i="7"/>
  <c r="BM215" i="9"/>
  <c r="BL31" i="9"/>
  <c r="BM53" i="9"/>
  <c r="BN226" i="9"/>
  <c r="BK31" i="1"/>
  <c r="BL222" i="1"/>
  <c r="BL223" i="1"/>
  <c r="BK33" i="1"/>
  <c r="BN236" i="1"/>
  <c r="BM59" i="1"/>
  <c r="BN224" i="1"/>
  <c r="BM35" i="1"/>
  <c r="BN239" i="1"/>
  <c r="BM65" i="1"/>
  <c r="BL53" i="1"/>
  <c r="BM233" i="1"/>
  <c r="BL51" i="1"/>
  <c r="BM232" i="1"/>
  <c r="T36" i="20"/>
  <c r="U36" i="20"/>
  <c r="E34" i="38"/>
  <c r="E100" i="38"/>
  <c r="P26" i="39"/>
  <c r="AJ38" i="2"/>
  <c r="F38" i="20"/>
  <c r="X25" i="20"/>
  <c r="Y25" i="20"/>
  <c r="R15" i="39"/>
  <c r="G23" i="38"/>
  <c r="G88" i="38"/>
  <c r="Y22" i="38"/>
  <c r="AH55" i="38"/>
  <c r="BB27" i="2"/>
  <c r="H27" i="20"/>
  <c r="BK45" i="22"/>
  <c r="BL222" i="22"/>
  <c r="BL41" i="6"/>
  <c r="BM223" i="6"/>
  <c r="BM215" i="6"/>
  <c r="BL25" i="6"/>
  <c r="BM217" i="6"/>
  <c r="BL224" i="6"/>
  <c r="BK43" i="6"/>
  <c r="BM221" i="6"/>
  <c r="BL37" i="6"/>
  <c r="BM220" i="6"/>
  <c r="BL35" i="6"/>
  <c r="BM219" i="6"/>
  <c r="BL33" i="6"/>
  <c r="BK31" i="6"/>
  <c r="BL218" i="6"/>
  <c r="BL27" i="6"/>
  <c r="BM216" i="6"/>
  <c r="BM214" i="6"/>
  <c r="BL23" i="6"/>
  <c r="BM43" i="1"/>
  <c r="BN228" i="1"/>
  <c r="BJ247" i="1"/>
  <c r="BI81" i="1"/>
  <c r="BH83" i="1"/>
  <c r="BI248" i="1"/>
  <c r="BH39" i="8"/>
  <c r="BI219" i="8"/>
  <c r="BK37" i="8"/>
  <c r="BL218" i="8"/>
  <c r="BI45" i="11"/>
  <c r="BJ222" i="11"/>
  <c r="AA38" i="2"/>
  <c r="E38" i="20"/>
  <c r="D34" i="38"/>
  <c r="D100" i="38"/>
  <c r="R36" i="20"/>
  <c r="S36" i="20"/>
  <c r="O26" i="39"/>
  <c r="BM217" i="22"/>
  <c r="BL35" i="22"/>
  <c r="BM224" i="22"/>
  <c r="BL49" i="22"/>
  <c r="BL219" i="22"/>
  <c r="BK39" i="22"/>
  <c r="BM217" i="7"/>
  <c r="BL35" i="7"/>
  <c r="BL219" i="7"/>
  <c r="BK39" i="7"/>
  <c r="BJ220" i="7"/>
  <c r="BI41" i="7"/>
  <c r="BL218" i="7"/>
  <c r="BK37" i="7"/>
  <c r="BL43" i="7"/>
  <c r="BM221" i="7"/>
  <c r="BL215" i="7"/>
  <c r="BK31" i="7"/>
  <c r="BJ222" i="6"/>
  <c r="BI39" i="6"/>
  <c r="BL35" i="9"/>
  <c r="BM217" i="9"/>
  <c r="BI39" i="9"/>
  <c r="BJ219" i="9"/>
  <c r="BN43" i="9"/>
  <c r="BO221" i="9"/>
  <c r="BN223" i="9"/>
  <c r="BM47" i="9"/>
  <c r="BH55" i="9"/>
  <c r="BI227" i="9"/>
  <c r="BL225" i="9"/>
  <c r="BK51" i="9"/>
  <c r="BL49" i="9"/>
  <c r="BM224" i="9"/>
  <c r="BJ57" i="9"/>
  <c r="BK228" i="9"/>
  <c r="BM222" i="9"/>
  <c r="BL45" i="9"/>
  <c r="BM242" i="1"/>
  <c r="BL71" i="1"/>
  <c r="BL237" i="1"/>
  <c r="BK61" i="1"/>
  <c r="BG235" i="1"/>
  <c r="BF57" i="1"/>
  <c r="BK243" i="1"/>
  <c r="BJ73" i="1"/>
  <c r="BM244" i="1"/>
  <c r="BL75" i="1"/>
  <c r="BL240" i="1"/>
  <c r="BK67" i="1"/>
  <c r="BN246" i="1"/>
  <c r="BM79" i="1"/>
  <c r="BK245" i="1"/>
  <c r="BJ77" i="1"/>
  <c r="BH221" i="11"/>
  <c r="BG43" i="11"/>
  <c r="F90" i="38"/>
  <c r="X24" i="38"/>
  <c r="AG57" i="38"/>
  <c r="AS29" i="2"/>
  <c r="G29" i="20"/>
  <c r="V27" i="20"/>
  <c r="W27" i="20"/>
  <c r="F25" i="38"/>
  <c r="F91" i="38"/>
  <c r="Q17" i="39"/>
  <c r="BJ215" i="11"/>
  <c r="BM219" i="11"/>
  <c r="BL39" i="11"/>
  <c r="BJ220" i="11"/>
  <c r="BI41" i="11"/>
  <c r="BL218" i="11"/>
  <c r="BK37" i="11"/>
  <c r="BM225" i="10"/>
  <c r="BL51" i="10"/>
  <c r="BM218" i="10"/>
  <c r="BL37" i="10"/>
  <c r="BN229" i="22"/>
  <c r="BM59" i="22"/>
  <c r="BM227" i="22"/>
  <c r="BL55" i="22"/>
  <c r="BM218" i="22"/>
  <c r="BM220" i="22"/>
  <c r="BL41" i="22"/>
  <c r="BK228" i="8"/>
  <c r="BJ57" i="8"/>
  <c r="BM227" i="8"/>
  <c r="BL55" i="8"/>
  <c r="BN224" i="8"/>
  <c r="BM49" i="8"/>
  <c r="BO215" i="8"/>
  <c r="BN31" i="8"/>
  <c r="BN226" i="8"/>
  <c r="BM53" i="8"/>
  <c r="BN216" i="8"/>
  <c r="BM33" i="8"/>
  <c r="BN220" i="8"/>
  <c r="BM41" i="8"/>
  <c r="BN227" i="7"/>
  <c r="BM55" i="7"/>
  <c r="BN226" i="7"/>
  <c r="BM53" i="7"/>
  <c r="BN225" i="7"/>
  <c r="BM51" i="7"/>
  <c r="BG216" i="7"/>
  <c r="BF33" i="7"/>
  <c r="BL223" i="7"/>
  <c r="BK47" i="7"/>
  <c r="BK222" i="7"/>
  <c r="BJ45" i="7"/>
  <c r="BN231" i="6"/>
  <c r="BM57" i="6"/>
  <c r="BN230" i="6"/>
  <c r="BM55" i="6"/>
  <c r="BN229" i="6"/>
  <c r="BM53" i="6"/>
  <c r="BN228" i="6"/>
  <c r="BM51" i="6"/>
  <c r="BN227" i="6"/>
  <c r="BM49" i="6"/>
  <c r="BL225" i="6"/>
  <c r="BK45" i="6"/>
  <c r="BM230" i="9"/>
  <c r="BL61" i="9"/>
  <c r="BN229" i="9"/>
  <c r="BM59" i="9"/>
  <c r="BJ216" i="9"/>
  <c r="BI33" i="9"/>
  <c r="BM220" i="9"/>
  <c r="BL41" i="9"/>
  <c r="BM218" i="9"/>
  <c r="BL37" i="9"/>
  <c r="BL241" i="1"/>
  <c r="BK69" i="1"/>
  <c r="BN238" i="1"/>
  <c r="BM63" i="1"/>
  <c r="BN230" i="1"/>
  <c r="BM47" i="1"/>
  <c r="BN234" i="1"/>
  <c r="BM55" i="1"/>
  <c r="BL231" i="1"/>
  <c r="BK49" i="1"/>
  <c r="BL229" i="1"/>
  <c r="BK45" i="1"/>
  <c r="BL225" i="1"/>
  <c r="BK37" i="1"/>
  <c r="BL227" i="1"/>
  <c r="BK41" i="1"/>
  <c r="BN226" i="1"/>
  <c r="BM39" i="1"/>
  <c r="AR104" i="26"/>
  <c r="AR68" i="26"/>
  <c r="AR101" i="26"/>
  <c r="AR12" i="26"/>
  <c r="AR76" i="26"/>
  <c r="AR11" i="26"/>
  <c r="AR94" i="26"/>
  <c r="AR51" i="26"/>
  <c r="AR16" i="26"/>
  <c r="AR15" i="26"/>
  <c r="AR39" i="26"/>
  <c r="AR59" i="26"/>
  <c r="AR91" i="26"/>
  <c r="AR75" i="26"/>
  <c r="AR84" i="26"/>
  <c r="AR73" i="26"/>
  <c r="AR60" i="26"/>
  <c r="AR19" i="26"/>
  <c r="AR17" i="26"/>
  <c r="AR23" i="26"/>
  <c r="AR30" i="26"/>
  <c r="AR56" i="26"/>
  <c r="AR98" i="26"/>
  <c r="AR80" i="26"/>
  <c r="AR65" i="26"/>
  <c r="AR50" i="26"/>
  <c r="AR74" i="26"/>
  <c r="AR20" i="26"/>
  <c r="AR64" i="26"/>
  <c r="AR100" i="26"/>
  <c r="AR96" i="26"/>
  <c r="AR26" i="26"/>
  <c r="AR90" i="26"/>
  <c r="AR38" i="26"/>
  <c r="AR29" i="26"/>
  <c r="AR85" i="26"/>
  <c r="AR81" i="26"/>
  <c r="AR46" i="26"/>
  <c r="AR6" i="26"/>
  <c r="AR58" i="26"/>
  <c r="AR31" i="26"/>
  <c r="AR55" i="26"/>
  <c r="AR97" i="26"/>
  <c r="AR42" i="26"/>
  <c r="AR10" i="26"/>
  <c r="AR18" i="26"/>
  <c r="AR87" i="26"/>
  <c r="AR103" i="26"/>
  <c r="AR63" i="26"/>
  <c r="AR32" i="26"/>
  <c r="AR71" i="26"/>
  <c r="AR36" i="26"/>
  <c r="AR13" i="26"/>
  <c r="AR21" i="26"/>
  <c r="AR8" i="26"/>
  <c r="AR48" i="26"/>
  <c r="AR79" i="26"/>
  <c r="AR78" i="26"/>
  <c r="AR49" i="26"/>
  <c r="AR83" i="26"/>
  <c r="AR33" i="26"/>
  <c r="AR67" i="26"/>
  <c r="AR69" i="26"/>
  <c r="AR37" i="26"/>
  <c r="AR92" i="26"/>
  <c r="AR53" i="26"/>
  <c r="AR89" i="26"/>
  <c r="AR82" i="26"/>
  <c r="AR61" i="26"/>
  <c r="AR95" i="26"/>
  <c r="AR28" i="26"/>
  <c r="AR24" i="26"/>
  <c r="AR57" i="26"/>
  <c r="AR66" i="26"/>
  <c r="AR70" i="26"/>
  <c r="AR25" i="26"/>
  <c r="AR7" i="26"/>
  <c r="AR62" i="26"/>
  <c r="AR93" i="26"/>
  <c r="AR14" i="26"/>
  <c r="AR34" i="26"/>
  <c r="AR86" i="26"/>
  <c r="AR99" i="26"/>
  <c r="AR45" i="26"/>
  <c r="AR22" i="26"/>
  <c r="AR40" i="26"/>
  <c r="AR41" i="26"/>
  <c r="AR54" i="26"/>
  <c r="AR9" i="26"/>
  <c r="AR47" i="26"/>
  <c r="AR88" i="26"/>
  <c r="AR102" i="26"/>
  <c r="AR5" i="26"/>
  <c r="AR72" i="26"/>
  <c r="AR52" i="26"/>
  <c r="AR44" i="26"/>
  <c r="AR43" i="26"/>
  <c r="AR35" i="26"/>
  <c r="AR77" i="26"/>
  <c r="AR27" i="26"/>
  <c r="BM224" i="7"/>
  <c r="BL49" i="7"/>
  <c r="BW98" i="2"/>
  <c r="BX219" i="2"/>
  <c r="AD237" i="9"/>
  <c r="AC75" i="9"/>
  <c r="AA22" i="38"/>
  <c r="AJ55" i="38"/>
  <c r="I88" i="38"/>
  <c r="J26" i="20"/>
  <c r="BT27" i="2"/>
  <c r="I23" i="38"/>
  <c r="I89" i="38"/>
  <c r="T15" i="39"/>
  <c r="AB25" i="20"/>
  <c r="AC25" i="20"/>
  <c r="I32" i="20"/>
  <c r="BK33" i="2"/>
  <c r="H29" i="38"/>
  <c r="H95" i="38"/>
  <c r="Z31" i="20"/>
  <c r="AA31" i="20"/>
  <c r="S21" i="39"/>
  <c r="CL34" i="2"/>
  <c r="L33" i="20"/>
  <c r="BJ91" i="2"/>
  <c r="CK91" i="2"/>
  <c r="BG96" i="2"/>
  <c r="CF96" i="2"/>
  <c r="BH95" i="2"/>
  <c r="CI95" i="2"/>
  <c r="CH95" i="2"/>
  <c r="BX58" i="2"/>
  <c r="BY58" i="2"/>
  <c r="BX109" i="2"/>
  <c r="BX46" i="2"/>
  <c r="BY46" i="2"/>
  <c r="BX34" i="2"/>
  <c r="BY34" i="2"/>
  <c r="BX20" i="2"/>
  <c r="BY20" i="2"/>
  <c r="BX56" i="2"/>
  <c r="BY56" i="2"/>
  <c r="BX105" i="2"/>
  <c r="BX45" i="2"/>
  <c r="BY45" i="2"/>
  <c r="BX106" i="2"/>
  <c r="BX30" i="2"/>
  <c r="BY30" i="2"/>
  <c r="BX112" i="2"/>
  <c r="BX42" i="2"/>
  <c r="BY42" i="2"/>
  <c r="BX87" i="2"/>
  <c r="BY87" i="2"/>
  <c r="BX33" i="2"/>
  <c r="BY33" i="2"/>
  <c r="BX78" i="2"/>
  <c r="BY78" i="2"/>
  <c r="BX107" i="2"/>
  <c r="BX85" i="2"/>
  <c r="BY85" i="2"/>
  <c r="BX50" i="2"/>
  <c r="BY50" i="2"/>
  <c r="BX114" i="2"/>
  <c r="BX79" i="2"/>
  <c r="BY79" i="2"/>
  <c r="BX77" i="2"/>
  <c r="BY77" i="2"/>
  <c r="BX68" i="2"/>
  <c r="BY68" i="2"/>
  <c r="BX113" i="2"/>
  <c r="BX91" i="2"/>
  <c r="BY91" i="2"/>
  <c r="BX88" i="2"/>
  <c r="BY88" i="2"/>
  <c r="BZ88" i="2"/>
  <c r="CB88" i="2"/>
  <c r="BX28" i="2"/>
  <c r="BY28" i="2"/>
  <c r="BX92" i="2"/>
  <c r="BY92" i="2"/>
  <c r="BX57" i="2"/>
  <c r="BY57" i="2"/>
  <c r="BX22" i="2"/>
  <c r="BY22" i="2"/>
  <c r="BX86" i="2"/>
  <c r="BY86" i="2"/>
  <c r="BX51" i="2"/>
  <c r="BY51" i="2"/>
  <c r="BX15" i="2"/>
  <c r="BY15" i="2"/>
  <c r="BX64" i="2"/>
  <c r="BY64" i="2"/>
  <c r="BX100" i="2"/>
  <c r="BX59" i="2"/>
  <c r="BY59" i="2"/>
  <c r="BX63" i="2"/>
  <c r="BY63" i="2"/>
  <c r="BX43" i="2"/>
  <c r="BY43" i="2"/>
  <c r="BX76" i="2"/>
  <c r="BY76" i="2"/>
  <c r="BX35" i="2"/>
  <c r="BY35" i="2"/>
  <c r="BX16" i="2"/>
  <c r="BY16" i="2"/>
  <c r="BX93" i="2"/>
  <c r="BY93" i="2"/>
  <c r="BX55" i="2"/>
  <c r="BY55" i="2"/>
  <c r="BX75" i="2"/>
  <c r="BY75" i="2"/>
  <c r="BX29" i="2"/>
  <c r="BY29" i="2"/>
  <c r="BX74" i="2"/>
  <c r="BY74" i="2"/>
  <c r="BX36" i="2"/>
  <c r="BY36" i="2"/>
  <c r="BX65" i="2"/>
  <c r="BY65" i="2"/>
  <c r="BX110" i="2"/>
  <c r="BX72" i="2"/>
  <c r="BY72" i="2"/>
  <c r="BX101" i="2"/>
  <c r="BX66" i="2"/>
  <c r="BY66" i="2"/>
  <c r="BZ66" i="2"/>
  <c r="CB66" i="2"/>
  <c r="BX31" i="2"/>
  <c r="BY31" i="2"/>
  <c r="BX95" i="2"/>
  <c r="BY95" i="2"/>
  <c r="BX90" i="2"/>
  <c r="BY90" i="2"/>
  <c r="BX17" i="2"/>
  <c r="BY17" i="2"/>
  <c r="BX62" i="2"/>
  <c r="BY62" i="2"/>
  <c r="BX24" i="2"/>
  <c r="BY24" i="2"/>
  <c r="BX104" i="2"/>
  <c r="BX44" i="2"/>
  <c r="BY44" i="2"/>
  <c r="BX108" i="2"/>
  <c r="BX73" i="2"/>
  <c r="BY73" i="2"/>
  <c r="BX38" i="2"/>
  <c r="BY38" i="2"/>
  <c r="BX102" i="2"/>
  <c r="BX67" i="2"/>
  <c r="BY67" i="2"/>
  <c r="BX84" i="2"/>
  <c r="BY84" i="2"/>
  <c r="BX39" i="2"/>
  <c r="BY39" i="2"/>
  <c r="BZ39" i="2"/>
  <c r="CB39" i="2"/>
  <c r="BX69" i="2"/>
  <c r="BY69" i="2"/>
  <c r="BX98" i="2"/>
  <c r="BX81" i="2"/>
  <c r="BY81" i="2"/>
  <c r="BX53" i="2"/>
  <c r="BY53" i="2"/>
  <c r="BX41" i="2"/>
  <c r="BY41" i="2"/>
  <c r="BX70" i="2"/>
  <c r="BY70" i="2"/>
  <c r="BX48" i="2"/>
  <c r="BY48" i="2"/>
  <c r="BX26" i="2"/>
  <c r="BY26" i="2"/>
  <c r="BX103" i="2"/>
  <c r="BX32" i="2"/>
  <c r="BY32" i="2"/>
  <c r="BZ32" i="2"/>
  <c r="CB32" i="2"/>
  <c r="BX61" i="2"/>
  <c r="BY61" i="2"/>
  <c r="BX23" i="2"/>
  <c r="BY23" i="2"/>
  <c r="BX52" i="2"/>
  <c r="BY52" i="2"/>
  <c r="BZ52" i="2"/>
  <c r="CB52" i="2"/>
  <c r="BX97" i="2"/>
  <c r="BY97" i="2"/>
  <c r="BX27" i="2"/>
  <c r="BY27" i="2"/>
  <c r="BX37" i="2"/>
  <c r="BY37" i="2"/>
  <c r="BX18" i="2"/>
  <c r="BY18" i="2"/>
  <c r="BZ18" i="2"/>
  <c r="CB18" i="2"/>
  <c r="BX82" i="2"/>
  <c r="BY82" i="2"/>
  <c r="BX47" i="2"/>
  <c r="BY47" i="2"/>
  <c r="BX111" i="2"/>
  <c r="BX71" i="2"/>
  <c r="BY71" i="2"/>
  <c r="BX49" i="2"/>
  <c r="BY49" i="2"/>
  <c r="BX94" i="2"/>
  <c r="BY94" i="2"/>
  <c r="BZ94" i="2"/>
  <c r="CB94" i="2"/>
  <c r="BX40" i="2"/>
  <c r="BY40" i="2"/>
  <c r="BZ40" i="2"/>
  <c r="CB40" i="2"/>
  <c r="BX21" i="2"/>
  <c r="BY21" i="2"/>
  <c r="BX60" i="2"/>
  <c r="BY60" i="2"/>
  <c r="BX25" i="2"/>
  <c r="BY25" i="2"/>
  <c r="BZ25" i="2"/>
  <c r="CB25" i="2"/>
  <c r="BX89" i="2"/>
  <c r="BY89" i="2"/>
  <c r="BX54" i="2"/>
  <c r="BY54" i="2"/>
  <c r="BX19" i="2"/>
  <c r="BY19" i="2"/>
  <c r="BX83" i="2"/>
  <c r="BY83" i="2"/>
  <c r="BX96" i="2"/>
  <c r="BY96" i="2"/>
  <c r="BX80" i="2"/>
  <c r="BY80" i="2"/>
  <c r="BX99" i="2"/>
  <c r="DJ147" i="10"/>
  <c r="AM99" i="40"/>
  <c r="AN326" i="40"/>
  <c r="AS103" i="40"/>
  <c r="AT328" i="40"/>
  <c r="AS109" i="40"/>
  <c r="AT331" i="40"/>
  <c r="AO97" i="40"/>
  <c r="AP325" i="40"/>
  <c r="AS111" i="40"/>
  <c r="AT332" i="40"/>
  <c r="AN105" i="40"/>
  <c r="AO329" i="40"/>
  <c r="AO107" i="40"/>
  <c r="AP330" i="40"/>
  <c r="AS93" i="40"/>
  <c r="AT323" i="40"/>
  <c r="AS101" i="40"/>
  <c r="AT327" i="40"/>
  <c r="AT95" i="40"/>
  <c r="AU324" i="40"/>
  <c r="AT91" i="40"/>
  <c r="AV310" i="40"/>
  <c r="AU67" i="40"/>
  <c r="AU309" i="40"/>
  <c r="AT65" i="40"/>
  <c r="AW312" i="40"/>
  <c r="AV71" i="40"/>
  <c r="AV297" i="40"/>
  <c r="AU41" i="40"/>
  <c r="AU313" i="40"/>
  <c r="AT73" i="40"/>
  <c r="AW320" i="40"/>
  <c r="AV87" i="40"/>
  <c r="AV317" i="40"/>
  <c r="AU81" i="40"/>
  <c r="AW305" i="40"/>
  <c r="AV57" i="40"/>
  <c r="AW298" i="40"/>
  <c r="AV43" i="40"/>
  <c r="AU311" i="40"/>
  <c r="AT69" i="40"/>
  <c r="AW322" i="40"/>
  <c r="AW316" i="40"/>
  <c r="AV79" i="40"/>
  <c r="AW308" i="40"/>
  <c r="AV63" i="40"/>
  <c r="AW299" i="40"/>
  <c r="AV45" i="40"/>
  <c r="AW314" i="40"/>
  <c r="AV75" i="40"/>
  <c r="AW303" i="40"/>
  <c r="AV53" i="40"/>
  <c r="AV307" i="40"/>
  <c r="AU61" i="40"/>
  <c r="AW318" i="40"/>
  <c r="AV83" i="40"/>
  <c r="AW301" i="40"/>
  <c r="AV49" i="40"/>
  <c r="AW304" i="40"/>
  <c r="AV55" i="40"/>
  <c r="AV315" i="40"/>
  <c r="AU77" i="40"/>
  <c r="AW306" i="40"/>
  <c r="AV59" i="40"/>
  <c r="AW300" i="40"/>
  <c r="AV47" i="40"/>
  <c r="AV321" i="40"/>
  <c r="AU89" i="40"/>
  <c r="AV302" i="40"/>
  <c r="AU51" i="40"/>
  <c r="AV319" i="40"/>
  <c r="AU85" i="40"/>
  <c r="BG239" i="11"/>
  <c r="BF79" i="11"/>
  <c r="DK145" i="10"/>
  <c r="DK146" i="10"/>
  <c r="BJ238" i="7"/>
  <c r="BI77" i="7"/>
  <c r="AU237" i="11"/>
  <c r="AT75" i="11"/>
  <c r="AZ79" i="22"/>
  <c r="BA239" i="22"/>
  <c r="BK234" i="10"/>
  <c r="BJ69" i="10"/>
  <c r="BK235" i="8"/>
  <c r="BJ71" i="8"/>
  <c r="BJ61" i="10"/>
  <c r="BK230" i="10"/>
  <c r="BL233" i="7"/>
  <c r="BK67" i="7"/>
  <c r="AI81" i="10"/>
  <c r="AJ240" i="10"/>
  <c r="AM67" i="22"/>
  <c r="AN233" i="22"/>
  <c r="BJ79" i="8"/>
  <c r="BK239" i="8"/>
  <c r="BG59" i="7"/>
  <c r="BH229" i="7"/>
  <c r="DL144" i="10"/>
  <c r="DM54" i="10"/>
  <c r="BB71" i="22"/>
  <c r="BC235" i="22"/>
  <c r="AU71" i="10"/>
  <c r="AV235" i="10"/>
  <c r="BC79" i="7"/>
  <c r="BD239" i="7"/>
  <c r="BI51" i="11"/>
  <c r="BJ225" i="11"/>
  <c r="BJ77" i="22"/>
  <c r="BK238" i="22"/>
  <c r="BJ63" i="9"/>
  <c r="BK231" i="9"/>
  <c r="BA233" i="10"/>
  <c r="AZ67" i="10"/>
  <c r="BJ238" i="11"/>
  <c r="BI77" i="11"/>
  <c r="BF223" i="11"/>
  <c r="BE47" i="11"/>
  <c r="BI228" i="11"/>
  <c r="BH57" i="11"/>
  <c r="BL226" i="6"/>
  <c r="BK47" i="6"/>
  <c r="AI67" i="9"/>
  <c r="AJ233" i="9"/>
  <c r="BB63" i="8"/>
  <c r="BC231" i="8"/>
  <c r="AI65" i="10"/>
  <c r="AJ232" i="10"/>
  <c r="AZ73" i="22"/>
  <c r="BA236" i="22"/>
  <c r="AH59" i="10"/>
  <c r="AI229" i="10"/>
  <c r="AX63" i="10"/>
  <c r="AY231" i="10"/>
  <c r="BA232" i="9"/>
  <c r="AZ65" i="9"/>
  <c r="BB239" i="9"/>
  <c r="BA79" i="9"/>
  <c r="BI77" i="10"/>
  <c r="BJ238" i="10"/>
  <c r="AW59" i="8"/>
  <c r="AX229" i="8"/>
  <c r="BE61" i="7"/>
  <c r="BF230" i="7"/>
  <c r="BB63" i="22"/>
  <c r="BC231" i="22"/>
  <c r="BM228" i="22"/>
  <c r="BL57" i="22"/>
  <c r="R48" i="2"/>
  <c r="D48" i="20"/>
  <c r="BL219" i="10"/>
  <c r="BK39" i="10"/>
  <c r="BL217" i="10"/>
  <c r="BK35" i="10"/>
  <c r="BL220" i="10"/>
  <c r="BK41" i="10"/>
  <c r="BK43" i="10"/>
  <c r="BL221" i="10"/>
  <c r="BL216" i="10"/>
  <c r="BK33" i="10"/>
  <c r="BL53" i="10"/>
  <c r="BM226" i="10"/>
  <c r="BK222" i="10"/>
  <c r="BJ45" i="10"/>
  <c r="BL223" i="10"/>
  <c r="BK47" i="10"/>
  <c r="BL224" i="10"/>
  <c r="BK49" i="10"/>
  <c r="BL31" i="10"/>
  <c r="BM215" i="10"/>
  <c r="BK53" i="22"/>
  <c r="BL226" i="22"/>
  <c r="BL221" i="22"/>
  <c r="BK43" i="22"/>
  <c r="BK223" i="22"/>
  <c r="BJ47" i="22"/>
  <c r="BM225" i="22"/>
  <c r="BL51" i="22"/>
  <c r="BM223" i="8"/>
  <c r="BL47" i="8"/>
  <c r="BK51" i="8"/>
  <c r="BL225" i="8"/>
  <c r="AO61" i="22"/>
  <c r="AP230" i="22"/>
  <c r="AN71" i="7"/>
  <c r="AO235" i="7"/>
  <c r="L97" i="2"/>
  <c r="N97" i="2"/>
  <c r="O97" i="2"/>
  <c r="M218" i="2"/>
  <c r="AM97" i="2"/>
  <c r="AO97" i="2"/>
  <c r="AP97" i="2"/>
  <c r="AN218" i="2"/>
  <c r="AQ77" i="8"/>
  <c r="AR238" i="8"/>
  <c r="V65" i="7"/>
  <c r="W232" i="7"/>
  <c r="AJ81" i="7"/>
  <c r="AK240" i="7"/>
  <c r="AI57" i="10"/>
  <c r="AJ228" i="10"/>
  <c r="AC53" i="11"/>
  <c r="AD226" i="11"/>
  <c r="A100" i="2"/>
  <c r="A220" i="2"/>
  <c r="BW220" i="2"/>
  <c r="AB73" i="10"/>
  <c r="AC236" i="10"/>
  <c r="AN69" i="22"/>
  <c r="AO234" i="22"/>
  <c r="BN97" i="2"/>
  <c r="BP97" i="2"/>
  <c r="BQ97" i="2"/>
  <c r="BO218" i="2"/>
  <c r="AV97" i="2"/>
  <c r="AX97" i="2"/>
  <c r="AY97" i="2"/>
  <c r="AW218" i="2"/>
  <c r="AL75" i="10"/>
  <c r="AM237" i="10"/>
  <c r="BH73" i="9"/>
  <c r="BI236" i="9"/>
  <c r="AP69" i="8"/>
  <c r="AQ234" i="8"/>
  <c r="AL75" i="22"/>
  <c r="AM237" i="22"/>
  <c r="BC73" i="8"/>
  <c r="BD236" i="8"/>
  <c r="AF69" i="7"/>
  <c r="AG234" i="7"/>
  <c r="AS61" i="8"/>
  <c r="AT230" i="8"/>
  <c r="AD219" i="2"/>
  <c r="AM219" i="2"/>
  <c r="BN219" i="2"/>
  <c r="U219" i="2"/>
  <c r="L219" i="2"/>
  <c r="C219" i="2"/>
  <c r="AV219" i="2"/>
  <c r="BE219" i="2"/>
  <c r="AO81" i="11"/>
  <c r="AP240" i="11"/>
  <c r="AD97" i="2"/>
  <c r="AF97" i="2"/>
  <c r="AG97" i="2"/>
  <c r="AE218" i="2"/>
  <c r="BE97" i="2"/>
  <c r="BF218" i="2"/>
  <c r="BM216" i="22"/>
  <c r="BL33" i="22"/>
  <c r="AO67" i="11"/>
  <c r="AP233" i="11"/>
  <c r="AI71" i="9"/>
  <c r="AJ235" i="9"/>
  <c r="AM75" i="7"/>
  <c r="AN237" i="7"/>
  <c r="AN67" i="8"/>
  <c r="AO233" i="8"/>
  <c r="AL81" i="22"/>
  <c r="AM240" i="22"/>
  <c r="AK69" i="9"/>
  <c r="AL234" i="9"/>
  <c r="C97" i="2"/>
  <c r="E97" i="2"/>
  <c r="F97" i="2"/>
  <c r="D218" i="2"/>
  <c r="U97" i="2"/>
  <c r="W97" i="2"/>
  <c r="X97" i="2"/>
  <c r="V218" i="2"/>
  <c r="AJ65" i="22"/>
  <c r="AK232" i="22"/>
  <c r="AJ79" i="10"/>
  <c r="AK239" i="10"/>
  <c r="AH81" i="9"/>
  <c r="AI240" i="9"/>
  <c r="AQ73" i="11"/>
  <c r="AR236" i="11"/>
  <c r="Y31" i="22"/>
  <c r="Z215" i="22"/>
  <c r="AG49" i="11"/>
  <c r="AH224" i="11"/>
  <c r="AL75" i="8"/>
  <c r="AM237" i="8"/>
  <c r="BH77" i="9"/>
  <c r="BI238" i="9"/>
  <c r="N18" i="20"/>
  <c r="O18" i="20"/>
  <c r="B16" i="38"/>
  <c r="M8" i="39"/>
  <c r="C8" i="39"/>
  <c r="I20" i="2"/>
  <c r="C20" i="20"/>
  <c r="B81" i="38"/>
  <c r="T15" i="38"/>
  <c r="AC48" i="38"/>
  <c r="BL222" i="8"/>
  <c r="BK45" i="8"/>
  <c r="BH217" i="8"/>
  <c r="BG35" i="8"/>
  <c r="BK221" i="8"/>
  <c r="BJ43" i="8"/>
  <c r="BA63" i="7"/>
  <c r="BB231" i="7"/>
  <c r="BK33" i="11"/>
  <c r="BL216" i="11"/>
  <c r="BL215" i="9"/>
  <c r="BK31" i="9"/>
  <c r="BL53" i="9"/>
  <c r="BM226" i="9"/>
  <c r="BJ31" i="1"/>
  <c r="BK222" i="1"/>
  <c r="BK53" i="1"/>
  <c r="BL233" i="1"/>
  <c r="BM239" i="1"/>
  <c r="BL65" i="1"/>
  <c r="BL35" i="1"/>
  <c r="BM224" i="1"/>
  <c r="BM236" i="1"/>
  <c r="BL59" i="1"/>
  <c r="BK223" i="1"/>
  <c r="BJ33" i="1"/>
  <c r="BK51" i="1"/>
  <c r="BL232" i="1"/>
  <c r="T37" i="20"/>
  <c r="U37" i="20"/>
  <c r="E35" i="38"/>
  <c r="E101" i="38"/>
  <c r="P27" i="39"/>
  <c r="AJ39" i="2"/>
  <c r="F39" i="20"/>
  <c r="BB28" i="2"/>
  <c r="H28" i="20"/>
  <c r="G89" i="38"/>
  <c r="Y23" i="38"/>
  <c r="AH56" i="38"/>
  <c r="R16" i="39"/>
  <c r="H16" i="39"/>
  <c r="G24" i="38"/>
  <c r="X26" i="20"/>
  <c r="Y26" i="20"/>
  <c r="BJ45" i="22"/>
  <c r="BK222" i="22"/>
  <c r="BK23" i="6"/>
  <c r="BL214" i="6"/>
  <c r="BK33" i="6"/>
  <c r="BL219" i="6"/>
  <c r="BL220" i="6"/>
  <c r="BK35" i="6"/>
  <c r="BK37" i="6"/>
  <c r="BL221" i="6"/>
  <c r="BK224" i="6"/>
  <c r="BJ43" i="6"/>
  <c r="BL217" i="6"/>
  <c r="BK25" i="6"/>
  <c r="BL215" i="6"/>
  <c r="BL216" i="6"/>
  <c r="BK27" i="6"/>
  <c r="BK218" i="6"/>
  <c r="BJ31" i="6"/>
  <c r="BK41" i="6"/>
  <c r="BL223" i="6"/>
  <c r="BI247" i="1"/>
  <c r="BH81" i="1"/>
  <c r="BG83" i="1"/>
  <c r="BH248" i="1"/>
  <c r="BL43" i="1"/>
  <c r="BM228" i="1"/>
  <c r="BK218" i="8"/>
  <c r="BJ37" i="8"/>
  <c r="BG39" i="8"/>
  <c r="BH219" i="8"/>
  <c r="BI222" i="11"/>
  <c r="BH45" i="11"/>
  <c r="AA39" i="2"/>
  <c r="E39" i="20"/>
  <c r="D35" i="38"/>
  <c r="D101" i="38"/>
  <c r="R37" i="20"/>
  <c r="S37" i="20"/>
  <c r="O27" i="39"/>
  <c r="BK49" i="22"/>
  <c r="BL224" i="22"/>
  <c r="BK219" i="22"/>
  <c r="BJ39" i="22"/>
  <c r="BK35" i="22"/>
  <c r="BL217" i="22"/>
  <c r="BK218" i="7"/>
  <c r="BJ37" i="7"/>
  <c r="BK219" i="7"/>
  <c r="BJ39" i="7"/>
  <c r="BK43" i="7"/>
  <c r="BL221" i="7"/>
  <c r="BJ31" i="7"/>
  <c r="BK215" i="7"/>
  <c r="BH41" i="7"/>
  <c r="BI220" i="7"/>
  <c r="BL217" i="7"/>
  <c r="BK35" i="7"/>
  <c r="BH39" i="6"/>
  <c r="BI222" i="6"/>
  <c r="BM223" i="9"/>
  <c r="BL47" i="9"/>
  <c r="BI219" i="9"/>
  <c r="BH39" i="9"/>
  <c r="BH227" i="9"/>
  <c r="BG55" i="9"/>
  <c r="BN221" i="9"/>
  <c r="BM43" i="9"/>
  <c r="BK35" i="9"/>
  <c r="BL217" i="9"/>
  <c r="BJ51" i="9"/>
  <c r="BK225" i="9"/>
  <c r="BI57" i="9"/>
  <c r="BJ228" i="9"/>
  <c r="BL222" i="9"/>
  <c r="BK45" i="9"/>
  <c r="BK49" i="9"/>
  <c r="BL224" i="9"/>
  <c r="BM246" i="1"/>
  <c r="BL79" i="1"/>
  <c r="BJ243" i="1"/>
  <c r="BI73" i="1"/>
  <c r="BF235" i="1"/>
  <c r="BE57" i="1"/>
  <c r="BK237" i="1"/>
  <c r="BJ61" i="1"/>
  <c r="BL242" i="1"/>
  <c r="BK71" i="1"/>
  <c r="BJ245" i="1"/>
  <c r="BI77" i="1"/>
  <c r="BK240" i="1"/>
  <c r="BJ67" i="1"/>
  <c r="BL244" i="1"/>
  <c r="BK75" i="1"/>
  <c r="BG221" i="11"/>
  <c r="BF43" i="11"/>
  <c r="AS30" i="2"/>
  <c r="G30" i="20"/>
  <c r="V28" i="20"/>
  <c r="W28" i="20"/>
  <c r="F26" i="38"/>
  <c r="F92" i="38"/>
  <c r="Q18" i="39"/>
  <c r="BI220" i="11"/>
  <c r="BH41" i="11"/>
  <c r="BI215" i="11"/>
  <c r="BK218" i="11"/>
  <c r="BJ37" i="11"/>
  <c r="BL219" i="11"/>
  <c r="BK39" i="11"/>
  <c r="BL225" i="10"/>
  <c r="BK51" i="10"/>
  <c r="BL218" i="10"/>
  <c r="BK37" i="10"/>
  <c r="BM229" i="22"/>
  <c r="BL59" i="22"/>
  <c r="BL220" i="22"/>
  <c r="BK41" i="22"/>
  <c r="BL218" i="22"/>
  <c r="BL227" i="22"/>
  <c r="BK55" i="22"/>
  <c r="BJ228" i="8"/>
  <c r="BI57" i="8"/>
  <c r="BL227" i="8"/>
  <c r="BK55" i="8"/>
  <c r="BM220" i="8"/>
  <c r="BL41" i="8"/>
  <c r="BM226" i="8"/>
  <c r="BL53" i="8"/>
  <c r="BM224" i="8"/>
  <c r="BL49" i="8"/>
  <c r="BM216" i="8"/>
  <c r="BL33" i="8"/>
  <c r="BN215" i="8"/>
  <c r="BM31" i="8"/>
  <c r="BM227" i="7"/>
  <c r="BL55" i="7"/>
  <c r="BM226" i="7"/>
  <c r="BL53" i="7"/>
  <c r="BM225" i="7"/>
  <c r="BL51" i="7"/>
  <c r="BF216" i="7"/>
  <c r="BE33" i="7"/>
  <c r="BJ222" i="7"/>
  <c r="BI45" i="7"/>
  <c r="BK223" i="7"/>
  <c r="BJ47" i="7"/>
  <c r="BM231" i="6"/>
  <c r="BL57" i="6"/>
  <c r="BM230" i="6"/>
  <c r="BL55" i="6"/>
  <c r="BM229" i="6"/>
  <c r="BL53" i="6"/>
  <c r="BM228" i="6"/>
  <c r="BL51" i="6"/>
  <c r="BM227" i="6"/>
  <c r="BL49" i="6"/>
  <c r="BK225" i="6"/>
  <c r="BJ45" i="6"/>
  <c r="BL230" i="9"/>
  <c r="BK61" i="9"/>
  <c r="BM229" i="9"/>
  <c r="BL59" i="9"/>
  <c r="BL218" i="9"/>
  <c r="BK37" i="9"/>
  <c r="BI216" i="9"/>
  <c r="BH33" i="9"/>
  <c r="BL220" i="9"/>
  <c r="BK41" i="9"/>
  <c r="BK241" i="1"/>
  <c r="BJ69" i="1"/>
  <c r="BM238" i="1"/>
  <c r="BL63" i="1"/>
  <c r="BK231" i="1"/>
  <c r="BJ49" i="1"/>
  <c r="BM230" i="1"/>
  <c r="BL47" i="1"/>
  <c r="BM234" i="1"/>
  <c r="BL55" i="1"/>
  <c r="BK229" i="1"/>
  <c r="BJ45" i="1"/>
  <c r="BM226" i="1"/>
  <c r="BL39" i="1"/>
  <c r="BK225" i="1"/>
  <c r="BJ37" i="1"/>
  <c r="BK227" i="1"/>
  <c r="BJ41" i="1"/>
  <c r="BZ37" i="2"/>
  <c r="CB37" i="2"/>
  <c r="BL224" i="7"/>
  <c r="BK49" i="7"/>
  <c r="BZ73" i="2"/>
  <c r="CB73" i="2"/>
  <c r="BY98" i="2"/>
  <c r="AB75" i="9"/>
  <c r="AC237" i="9"/>
  <c r="BX220" i="2"/>
  <c r="BW99" i="2"/>
  <c r="BY99" i="2"/>
  <c r="BZ16" i="2"/>
  <c r="CB16" i="2"/>
  <c r="J27" i="20"/>
  <c r="BT28" i="2"/>
  <c r="T16" i="39"/>
  <c r="J16" i="39"/>
  <c r="I24" i="38"/>
  <c r="AB26" i="20"/>
  <c r="AC26" i="20"/>
  <c r="I33" i="20"/>
  <c r="BK34" i="2"/>
  <c r="S22" i="39"/>
  <c r="Z32" i="20"/>
  <c r="AA32" i="20"/>
  <c r="H30" i="38"/>
  <c r="H96" i="38"/>
  <c r="BZ21" i="2"/>
  <c r="CB21" i="2"/>
  <c r="BZ65" i="2"/>
  <c r="CB65" i="2"/>
  <c r="BZ59" i="2"/>
  <c r="CB59" i="2"/>
  <c r="BZ89" i="2"/>
  <c r="CB89" i="2"/>
  <c r="BZ23" i="2"/>
  <c r="CB23" i="2"/>
  <c r="CL35" i="2"/>
  <c r="L34" i="20"/>
  <c r="BZ69" i="2"/>
  <c r="CB69" i="2"/>
  <c r="BJ92" i="2"/>
  <c r="CK92" i="2"/>
  <c r="BG97" i="2"/>
  <c r="CF97" i="2"/>
  <c r="BH96" i="2"/>
  <c r="CI96" i="2"/>
  <c r="CH96" i="2"/>
  <c r="BZ80" i="2"/>
  <c r="CB80" i="2"/>
  <c r="BZ71" i="2"/>
  <c r="CB71" i="2"/>
  <c r="BZ17" i="2"/>
  <c r="CB17" i="2"/>
  <c r="BZ35" i="2"/>
  <c r="CB35" i="2"/>
  <c r="BZ92" i="2"/>
  <c r="CB92" i="2"/>
  <c r="BZ83" i="2"/>
  <c r="CB83" i="2"/>
  <c r="BZ43" i="2"/>
  <c r="CB43" i="2"/>
  <c r="BZ64" i="2"/>
  <c r="CB64" i="2"/>
  <c r="BZ49" i="2"/>
  <c r="CB49" i="2"/>
  <c r="BZ44" i="2"/>
  <c r="CB44" i="2"/>
  <c r="BZ96" i="2"/>
  <c r="CB96" i="2"/>
  <c r="BZ82" i="2"/>
  <c r="CB82" i="2"/>
  <c r="BZ86" i="2"/>
  <c r="CB86" i="2"/>
  <c r="BZ19" i="2"/>
  <c r="CB19" i="2"/>
  <c r="BZ60" i="2"/>
  <c r="CB60" i="2"/>
  <c r="BZ67" i="2"/>
  <c r="CB67" i="2"/>
  <c r="BZ79" i="2"/>
  <c r="CB79" i="2"/>
  <c r="BZ26" i="2"/>
  <c r="CB26" i="2"/>
  <c r="BZ53" i="2"/>
  <c r="CB53" i="2"/>
  <c r="BZ36" i="2"/>
  <c r="CB36" i="2"/>
  <c r="BZ76" i="2"/>
  <c r="CB76" i="2"/>
  <c r="BZ68" i="2"/>
  <c r="CB68" i="2"/>
  <c r="BZ30" i="2"/>
  <c r="CB30" i="2"/>
  <c r="BZ47" i="2"/>
  <c r="CB47" i="2"/>
  <c r="BZ93" i="2"/>
  <c r="CB93" i="2"/>
  <c r="BZ97" i="2"/>
  <c r="CB97" i="2"/>
  <c r="BZ70" i="2"/>
  <c r="CB70" i="2"/>
  <c r="BZ98" i="2"/>
  <c r="CB98" i="2"/>
  <c r="BZ62" i="2"/>
  <c r="CB62" i="2"/>
  <c r="BZ31" i="2"/>
  <c r="CB31" i="2"/>
  <c r="BZ29" i="2"/>
  <c r="CB29" i="2"/>
  <c r="BZ63" i="2"/>
  <c r="CB63" i="2"/>
  <c r="CC15" i="2"/>
  <c r="K15" i="20"/>
  <c r="U5" i="39"/>
  <c r="BZ15" i="2"/>
  <c r="CB15" i="2"/>
  <c r="BZ57" i="2"/>
  <c r="CB57" i="2"/>
  <c r="BZ91" i="2"/>
  <c r="CB91" i="2"/>
  <c r="BZ42" i="2"/>
  <c r="CB42" i="2"/>
  <c r="BZ45" i="2"/>
  <c r="CB45" i="2"/>
  <c r="BZ34" i="2"/>
  <c r="CB34" i="2"/>
  <c r="BZ54" i="2"/>
  <c r="CB54" i="2"/>
  <c r="BZ41" i="2"/>
  <c r="CB41" i="2"/>
  <c r="BZ75" i="2"/>
  <c r="CB75" i="2"/>
  <c r="BZ51" i="2"/>
  <c r="CB51" i="2"/>
  <c r="BZ78" i="2"/>
  <c r="CB78" i="2"/>
  <c r="BZ46" i="2"/>
  <c r="CB46" i="2"/>
  <c r="BZ38" i="2"/>
  <c r="CB38" i="2"/>
  <c r="BZ90" i="2"/>
  <c r="CB90" i="2"/>
  <c r="BZ55" i="2"/>
  <c r="CB55" i="2"/>
  <c r="BZ28" i="2"/>
  <c r="CB28" i="2"/>
  <c r="BZ50" i="2"/>
  <c r="CB50" i="2"/>
  <c r="BZ33" i="2"/>
  <c r="CB33" i="2"/>
  <c r="BZ56" i="2"/>
  <c r="CB56" i="2"/>
  <c r="BZ27" i="2"/>
  <c r="CB27" i="2"/>
  <c r="BZ61" i="2"/>
  <c r="CB61" i="2"/>
  <c r="BZ48" i="2"/>
  <c r="CB48" i="2"/>
  <c r="BZ81" i="2"/>
  <c r="CB81" i="2"/>
  <c r="BZ84" i="2"/>
  <c r="CB84" i="2"/>
  <c r="BZ24" i="2"/>
  <c r="CB24" i="2"/>
  <c r="BZ95" i="2"/>
  <c r="CB95" i="2"/>
  <c r="BZ72" i="2"/>
  <c r="CB72" i="2"/>
  <c r="BZ74" i="2"/>
  <c r="BZ22" i="2"/>
  <c r="CB22" i="2"/>
  <c r="BZ77" i="2"/>
  <c r="CB77" i="2"/>
  <c r="BZ85" i="2"/>
  <c r="CB85" i="2"/>
  <c r="BZ87" i="2"/>
  <c r="CB87" i="2"/>
  <c r="BZ20" i="2"/>
  <c r="CB20" i="2"/>
  <c r="BZ58" i="2"/>
  <c r="CB58" i="2"/>
  <c r="DK147" i="10"/>
  <c r="AS95" i="40"/>
  <c r="AT324" i="40"/>
  <c r="AR93" i="40"/>
  <c r="AS323" i="40"/>
  <c r="AM105" i="40"/>
  <c r="AN329" i="40"/>
  <c r="AN97" i="40"/>
  <c r="AO325" i="40"/>
  <c r="AR103" i="40"/>
  <c r="AS328" i="40"/>
  <c r="AR101" i="40"/>
  <c r="AS327" i="40"/>
  <c r="AN107" i="40"/>
  <c r="AO330" i="40"/>
  <c r="AR111" i="40"/>
  <c r="AS332" i="40"/>
  <c r="AR109" i="40"/>
  <c r="AS331" i="40"/>
  <c r="AL99" i="40"/>
  <c r="AM326" i="40"/>
  <c r="AS91" i="40"/>
  <c r="AU319" i="40"/>
  <c r="AT85" i="40"/>
  <c r="AV320" i="40"/>
  <c r="AU87" i="40"/>
  <c r="AV306" i="40"/>
  <c r="AU59" i="40"/>
  <c r="AV318" i="40"/>
  <c r="AU83" i="40"/>
  <c r="AV299" i="40"/>
  <c r="AU45" i="40"/>
  <c r="AV316" i="40"/>
  <c r="AU79" i="40"/>
  <c r="AV305" i="40"/>
  <c r="AU57" i="40"/>
  <c r="AT309" i="40"/>
  <c r="AS65" i="40"/>
  <c r="AU302" i="40"/>
  <c r="AT51" i="40"/>
  <c r="AV300" i="40"/>
  <c r="AU47" i="40"/>
  <c r="AU315" i="40"/>
  <c r="AT77" i="40"/>
  <c r="AV301" i="40"/>
  <c r="AU49" i="40"/>
  <c r="AU307" i="40"/>
  <c r="AT61" i="40"/>
  <c r="AV314" i="40"/>
  <c r="AU75" i="40"/>
  <c r="AV308" i="40"/>
  <c r="AU63" i="40"/>
  <c r="AV322" i="40"/>
  <c r="AV298" i="40"/>
  <c r="AU43" i="40"/>
  <c r="AU317" i="40"/>
  <c r="AT81" i="40"/>
  <c r="AT313" i="40"/>
  <c r="AS73" i="40"/>
  <c r="AV312" i="40"/>
  <c r="AU71" i="40"/>
  <c r="AU310" i="40"/>
  <c r="AT67" i="40"/>
  <c r="AU321" i="40"/>
  <c r="AT89" i="40"/>
  <c r="AV304" i="40"/>
  <c r="AU55" i="40"/>
  <c r="AV303" i="40"/>
  <c r="AU53" i="40"/>
  <c r="AT311" i="40"/>
  <c r="AS69" i="40"/>
  <c r="AU297" i="40"/>
  <c r="AT41" i="40"/>
  <c r="AZ79" i="9"/>
  <c r="BA239" i="9"/>
  <c r="BH228" i="11"/>
  <c r="BG57" i="11"/>
  <c r="BI238" i="11"/>
  <c r="BH77" i="11"/>
  <c r="DM144" i="10"/>
  <c r="DN54" i="10"/>
  <c r="BJ234" i="10"/>
  <c r="BI69" i="10"/>
  <c r="AS75" i="11"/>
  <c r="AT237" i="11"/>
  <c r="BA63" i="22"/>
  <c r="BB231" i="22"/>
  <c r="AV59" i="8"/>
  <c r="AW229" i="8"/>
  <c r="AW63" i="10"/>
  <c r="AX231" i="10"/>
  <c r="AH229" i="10"/>
  <c r="AG59" i="10"/>
  <c r="AH65" i="10"/>
  <c r="AI232" i="10"/>
  <c r="AH67" i="9"/>
  <c r="AI233" i="9"/>
  <c r="BI63" i="9"/>
  <c r="BJ231" i="9"/>
  <c r="BH51" i="11"/>
  <c r="BI225" i="11"/>
  <c r="AT71" i="10"/>
  <c r="AU235" i="10"/>
  <c r="DL146" i="10"/>
  <c r="DL145" i="10"/>
  <c r="BI79" i="8"/>
  <c r="BJ239" i="8"/>
  <c r="AH81" i="10"/>
  <c r="AI240" i="10"/>
  <c r="BI61" i="10"/>
  <c r="BJ230" i="10"/>
  <c r="BK57" i="22"/>
  <c r="BL228" i="22"/>
  <c r="AY65" i="9"/>
  <c r="AZ232" i="9"/>
  <c r="BK226" i="6"/>
  <c r="BJ47" i="6"/>
  <c r="BE223" i="11"/>
  <c r="BD47" i="11"/>
  <c r="AZ233" i="10"/>
  <c r="AY67" i="10"/>
  <c r="BJ67" i="7"/>
  <c r="BK233" i="7"/>
  <c r="BJ235" i="8"/>
  <c r="BI71" i="8"/>
  <c r="BI238" i="7"/>
  <c r="BH77" i="7"/>
  <c r="BF239" i="11"/>
  <c r="BE79" i="11"/>
  <c r="BD61" i="7"/>
  <c r="BE230" i="7"/>
  <c r="BI238" i="10"/>
  <c r="BH77" i="10"/>
  <c r="AY73" i="22"/>
  <c r="AZ236" i="22"/>
  <c r="BA63" i="8"/>
  <c r="BB231" i="8"/>
  <c r="BI77" i="22"/>
  <c r="BJ238" i="22"/>
  <c r="BB79" i="7"/>
  <c r="BC239" i="7"/>
  <c r="BA71" i="22"/>
  <c r="BB235" i="22"/>
  <c r="BF59" i="7"/>
  <c r="BG229" i="7"/>
  <c r="AL67" i="22"/>
  <c r="AM233" i="22"/>
  <c r="AY79" i="22"/>
  <c r="AZ239" i="22"/>
  <c r="R49" i="2"/>
  <c r="D49" i="20"/>
  <c r="BJ47" i="10"/>
  <c r="BK223" i="10"/>
  <c r="BK217" i="10"/>
  <c r="BJ35" i="10"/>
  <c r="BK31" i="10"/>
  <c r="BL215" i="10"/>
  <c r="BL226" i="10"/>
  <c r="BK53" i="10"/>
  <c r="BK221" i="10"/>
  <c r="BJ43" i="10"/>
  <c r="BK224" i="10"/>
  <c r="BJ49" i="10"/>
  <c r="BJ222" i="10"/>
  <c r="BI45" i="10"/>
  <c r="BK216" i="10"/>
  <c r="BJ33" i="10"/>
  <c r="BK220" i="10"/>
  <c r="BJ41" i="10"/>
  <c r="BK219" i="10"/>
  <c r="BJ39" i="10"/>
  <c r="BJ223" i="22"/>
  <c r="BI47" i="22"/>
  <c r="BK226" i="22"/>
  <c r="BJ53" i="22"/>
  <c r="BK51" i="22"/>
  <c r="BL225" i="22"/>
  <c r="BK221" i="22"/>
  <c r="BJ43" i="22"/>
  <c r="BJ51" i="8"/>
  <c r="BK225" i="8"/>
  <c r="BL223" i="8"/>
  <c r="BK47" i="8"/>
  <c r="C98" i="2"/>
  <c r="E98" i="2"/>
  <c r="F98" i="2"/>
  <c r="D219" i="2"/>
  <c r="AM98" i="2"/>
  <c r="AO98" i="2"/>
  <c r="AP98" i="2"/>
  <c r="AN219" i="2"/>
  <c r="AH57" i="10"/>
  <c r="AI228" i="10"/>
  <c r="AP77" i="8"/>
  <c r="AQ238" i="8"/>
  <c r="BG77" i="9"/>
  <c r="BH238" i="9"/>
  <c r="AK75" i="8"/>
  <c r="AL237" i="8"/>
  <c r="X31" i="22"/>
  <c r="Y215" i="22"/>
  <c r="AG81" i="9"/>
  <c r="AH240" i="9"/>
  <c r="AI65" i="22"/>
  <c r="AJ232" i="22"/>
  <c r="AM67" i="8"/>
  <c r="AN233" i="8"/>
  <c r="AL75" i="7"/>
  <c r="AM237" i="7"/>
  <c r="AH71" i="9"/>
  <c r="AI235" i="9"/>
  <c r="AN67" i="11"/>
  <c r="AO233" i="11"/>
  <c r="AN81" i="11"/>
  <c r="AO240" i="11"/>
  <c r="L98" i="2"/>
  <c r="N98" i="2"/>
  <c r="O98" i="2"/>
  <c r="M219" i="2"/>
  <c r="AD98" i="2"/>
  <c r="AF98" i="2"/>
  <c r="AG98" i="2"/>
  <c r="AE219" i="2"/>
  <c r="AE69" i="7"/>
  <c r="AF234" i="7"/>
  <c r="AO69" i="8"/>
  <c r="AP234" i="8"/>
  <c r="AK75" i="10"/>
  <c r="AL237" i="10"/>
  <c r="AM69" i="22"/>
  <c r="AN234" i="22"/>
  <c r="BL216" i="22"/>
  <c r="BK33" i="22"/>
  <c r="BE98" i="2"/>
  <c r="BF219" i="2"/>
  <c r="U98" i="2"/>
  <c r="W98" i="2"/>
  <c r="X98" i="2"/>
  <c r="V219" i="2"/>
  <c r="AM220" i="2"/>
  <c r="AV220" i="2"/>
  <c r="L220" i="2"/>
  <c r="BN220" i="2"/>
  <c r="C220" i="2"/>
  <c r="BE220" i="2"/>
  <c r="AD220" i="2"/>
  <c r="U220" i="2"/>
  <c r="AB53" i="11"/>
  <c r="AC226" i="11"/>
  <c r="AI81" i="7"/>
  <c r="AJ240" i="7"/>
  <c r="U65" i="7"/>
  <c r="V232" i="7"/>
  <c r="AM71" i="7"/>
  <c r="AN235" i="7"/>
  <c r="AF49" i="11"/>
  <c r="AG224" i="11"/>
  <c r="AP73" i="11"/>
  <c r="AQ236" i="11"/>
  <c r="AI79" i="10"/>
  <c r="AJ239" i="10"/>
  <c r="AJ69" i="9"/>
  <c r="AK234" i="9"/>
  <c r="AK81" i="22"/>
  <c r="AL240" i="22"/>
  <c r="AV98" i="2"/>
  <c r="AX98" i="2"/>
  <c r="AY98" i="2"/>
  <c r="AW219" i="2"/>
  <c r="BN98" i="2"/>
  <c r="BP98" i="2"/>
  <c r="BQ98" i="2"/>
  <c r="BO219" i="2"/>
  <c r="AR61" i="8"/>
  <c r="AS230" i="8"/>
  <c r="BB73" i="8"/>
  <c r="BC236" i="8"/>
  <c r="AK75" i="22"/>
  <c r="AL237" i="22"/>
  <c r="BG73" i="9"/>
  <c r="BH236" i="9"/>
  <c r="AA73" i="10"/>
  <c r="AB236" i="10"/>
  <c r="A221" i="2"/>
  <c r="BW221" i="2"/>
  <c r="A101" i="2"/>
  <c r="AN61" i="22"/>
  <c r="AO230" i="22"/>
  <c r="B17" i="38"/>
  <c r="M9" i="39"/>
  <c r="C9" i="39"/>
  <c r="N19" i="20"/>
  <c r="O19" i="20"/>
  <c r="B82" i="38"/>
  <c r="T16" i="38"/>
  <c r="AC49" i="38"/>
  <c r="I21" i="2"/>
  <c r="C21" i="20"/>
  <c r="BJ221" i="8"/>
  <c r="BI43" i="8"/>
  <c r="BF35" i="8"/>
  <c r="BG217" i="8"/>
  <c r="BJ45" i="8"/>
  <c r="BK222" i="8"/>
  <c r="BJ33" i="11"/>
  <c r="BK216" i="11"/>
  <c r="AZ63" i="7"/>
  <c r="BA231" i="7"/>
  <c r="BJ31" i="9"/>
  <c r="BK215" i="9"/>
  <c r="BK53" i="9"/>
  <c r="BL226" i="9"/>
  <c r="BJ222" i="1"/>
  <c r="BI31" i="1"/>
  <c r="BK35" i="1"/>
  <c r="BL224" i="1"/>
  <c r="BJ53" i="1"/>
  <c r="BK233" i="1"/>
  <c r="BJ223" i="1"/>
  <c r="BI33" i="1"/>
  <c r="BL236" i="1"/>
  <c r="BK59" i="1"/>
  <c r="BK65" i="1"/>
  <c r="BL239" i="1"/>
  <c r="BJ51" i="1"/>
  <c r="BK232" i="1"/>
  <c r="AJ40" i="2"/>
  <c r="F40" i="20"/>
  <c r="E36" i="38"/>
  <c r="E102" i="38"/>
  <c r="T38" i="20"/>
  <c r="U38" i="20"/>
  <c r="P28" i="39"/>
  <c r="G90" i="38"/>
  <c r="Y24" i="38"/>
  <c r="AH57" i="38"/>
  <c r="G25" i="38"/>
  <c r="X27" i="20"/>
  <c r="Y27" i="20"/>
  <c r="R17" i="39"/>
  <c r="BB29" i="2"/>
  <c r="H29" i="20"/>
  <c r="BI45" i="22"/>
  <c r="BJ222" i="22"/>
  <c r="BI31" i="6"/>
  <c r="BJ218" i="6"/>
  <c r="BK216" i="6"/>
  <c r="BJ27" i="6"/>
  <c r="BI43" i="6"/>
  <c r="BJ224" i="6"/>
  <c r="BJ35" i="6"/>
  <c r="BK220" i="6"/>
  <c r="BK223" i="6"/>
  <c r="BJ41" i="6"/>
  <c r="BJ25" i="6"/>
  <c r="BK215" i="6"/>
  <c r="BK217" i="6"/>
  <c r="BK221" i="6"/>
  <c r="BJ37" i="6"/>
  <c r="BK219" i="6"/>
  <c r="BJ33" i="6"/>
  <c r="BK214" i="6"/>
  <c r="BJ23" i="6"/>
  <c r="BH247" i="1"/>
  <c r="BG81" i="1"/>
  <c r="BK43" i="1"/>
  <c r="BL228" i="1"/>
  <c r="BF83" i="1"/>
  <c r="BG248" i="1"/>
  <c r="BG219" i="8"/>
  <c r="BF39" i="8"/>
  <c r="BJ218" i="8"/>
  <c r="BI37" i="8"/>
  <c r="BG45" i="11"/>
  <c r="BH222" i="11"/>
  <c r="AA40" i="2"/>
  <c r="E40" i="20"/>
  <c r="D36" i="38"/>
  <c r="D102" i="38"/>
  <c r="O28" i="39"/>
  <c r="R38" i="20"/>
  <c r="S38" i="20"/>
  <c r="BI39" i="22"/>
  <c r="BJ219" i="22"/>
  <c r="BK217" i="22"/>
  <c r="BJ35" i="22"/>
  <c r="BJ49" i="22"/>
  <c r="BK224" i="22"/>
  <c r="BK217" i="7"/>
  <c r="BJ35" i="7"/>
  <c r="BI39" i="7"/>
  <c r="BJ219" i="7"/>
  <c r="BJ215" i="7"/>
  <c r="BI31" i="7"/>
  <c r="BJ218" i="7"/>
  <c r="BI37" i="7"/>
  <c r="BG41" i="7"/>
  <c r="BH220" i="7"/>
  <c r="BJ43" i="7"/>
  <c r="BK221" i="7"/>
  <c r="BG39" i="6"/>
  <c r="BH222" i="6"/>
  <c r="BL43" i="9"/>
  <c r="BM221" i="9"/>
  <c r="BH219" i="9"/>
  <c r="BG39" i="9"/>
  <c r="BF55" i="9"/>
  <c r="BG227" i="9"/>
  <c r="BL223" i="9"/>
  <c r="BK47" i="9"/>
  <c r="BJ35" i="9"/>
  <c r="BK217" i="9"/>
  <c r="BJ225" i="9"/>
  <c r="BI51" i="9"/>
  <c r="BK224" i="9"/>
  <c r="BJ49" i="9"/>
  <c r="BK222" i="9"/>
  <c r="BJ45" i="9"/>
  <c r="BH57" i="9"/>
  <c r="BI228" i="9"/>
  <c r="BJ240" i="1"/>
  <c r="BI67" i="1"/>
  <c r="BJ237" i="1"/>
  <c r="BI61" i="1"/>
  <c r="BI243" i="1"/>
  <c r="BH73" i="1"/>
  <c r="BL246" i="1"/>
  <c r="BK79" i="1"/>
  <c r="BK244" i="1"/>
  <c r="BJ75" i="1"/>
  <c r="BI245" i="1"/>
  <c r="BH77" i="1"/>
  <c r="BK242" i="1"/>
  <c r="BJ71" i="1"/>
  <c r="BD57" i="1"/>
  <c r="BE235" i="1"/>
  <c r="BF221" i="11"/>
  <c r="BE43" i="11"/>
  <c r="AS31" i="2"/>
  <c r="G31" i="20"/>
  <c r="Q19" i="39"/>
  <c r="F27" i="38"/>
  <c r="V29" i="20"/>
  <c r="W29" i="20"/>
  <c r="BJ218" i="11"/>
  <c r="BI37" i="11"/>
  <c r="BH220" i="11"/>
  <c r="BG41" i="11"/>
  <c r="BK219" i="11"/>
  <c r="BJ39" i="11"/>
  <c r="BH215" i="11"/>
  <c r="BK225" i="10"/>
  <c r="BJ51" i="10"/>
  <c r="BK218" i="10"/>
  <c r="BJ37" i="10"/>
  <c r="BL229" i="22"/>
  <c r="BK59" i="22"/>
  <c r="BK227" i="22"/>
  <c r="BJ55" i="22"/>
  <c r="BK218" i="22"/>
  <c r="BK220" i="22"/>
  <c r="BJ41" i="22"/>
  <c r="BI228" i="8"/>
  <c r="BH57" i="8"/>
  <c r="BK227" i="8"/>
  <c r="BJ55" i="8"/>
  <c r="BL216" i="8"/>
  <c r="BK33" i="8"/>
  <c r="BL226" i="8"/>
  <c r="BK53" i="8"/>
  <c r="BM215" i="8"/>
  <c r="BL31" i="8"/>
  <c r="BL224" i="8"/>
  <c r="BK49" i="8"/>
  <c r="BL220" i="8"/>
  <c r="BK41" i="8"/>
  <c r="BL227" i="7"/>
  <c r="BK55" i="7"/>
  <c r="BL226" i="7"/>
  <c r="BK53" i="7"/>
  <c r="BL225" i="7"/>
  <c r="BK51" i="7"/>
  <c r="BJ223" i="7"/>
  <c r="BI47" i="7"/>
  <c r="BI222" i="7"/>
  <c r="BH45" i="7"/>
  <c r="BE216" i="7"/>
  <c r="BD33" i="7"/>
  <c r="BL231" i="6"/>
  <c r="BK57" i="6"/>
  <c r="BL230" i="6"/>
  <c r="BK55" i="6"/>
  <c r="BL229" i="6"/>
  <c r="BK53" i="6"/>
  <c r="BL228" i="6"/>
  <c r="BK51" i="6"/>
  <c r="BL227" i="6"/>
  <c r="BK49" i="6"/>
  <c r="BJ225" i="6"/>
  <c r="BI45" i="6"/>
  <c r="BK230" i="9"/>
  <c r="BJ61" i="9"/>
  <c r="BL229" i="9"/>
  <c r="BK59" i="9"/>
  <c r="BK220" i="9"/>
  <c r="BJ41" i="9"/>
  <c r="BH216" i="9"/>
  <c r="BG33" i="9"/>
  <c r="BK218" i="9"/>
  <c r="BJ37" i="9"/>
  <c r="BJ241" i="1"/>
  <c r="BI69" i="1"/>
  <c r="BL238" i="1"/>
  <c r="BK63" i="1"/>
  <c r="BJ231" i="1"/>
  <c r="BI49" i="1"/>
  <c r="BL234" i="1"/>
  <c r="BK55" i="1"/>
  <c r="BL230" i="1"/>
  <c r="BK47" i="1"/>
  <c r="BJ229" i="1"/>
  <c r="BI45" i="1"/>
  <c r="BJ227" i="1"/>
  <c r="BI41" i="1"/>
  <c r="BJ225" i="1"/>
  <c r="BI37" i="1"/>
  <c r="BL226" i="1"/>
  <c r="BK39" i="1"/>
  <c r="BZ99" i="2"/>
  <c r="CB99" i="2"/>
  <c r="BK224" i="7"/>
  <c r="BJ49" i="7"/>
  <c r="BW100" i="2"/>
  <c r="BY100" i="2"/>
  <c r="BZ100" i="2"/>
  <c r="CB100" i="2"/>
  <c r="BX221" i="2"/>
  <c r="AB237" i="9"/>
  <c r="AA75" i="9"/>
  <c r="AA24" i="38"/>
  <c r="AJ57" i="38"/>
  <c r="I90" i="38"/>
  <c r="J28" i="20"/>
  <c r="BT29" i="2"/>
  <c r="I25" i="38"/>
  <c r="I91" i="38"/>
  <c r="T17" i="39"/>
  <c r="AB27" i="20"/>
  <c r="AC27" i="20"/>
  <c r="I34" i="20"/>
  <c r="BK35" i="2"/>
  <c r="S23" i="39"/>
  <c r="Z33" i="20"/>
  <c r="AA33" i="20"/>
  <c r="H31" i="38"/>
  <c r="H97" i="38"/>
  <c r="CL36" i="2"/>
  <c r="L35" i="20"/>
  <c r="BJ93" i="2"/>
  <c r="CK93" i="2"/>
  <c r="BG98" i="2"/>
  <c r="CF98" i="2"/>
  <c r="BH97" i="2"/>
  <c r="CI97" i="2"/>
  <c r="CH97" i="2"/>
  <c r="CC16" i="2"/>
  <c r="K16" i="20"/>
  <c r="U6" i="39"/>
  <c r="CA5" i="2"/>
  <c r="CB74" i="2"/>
  <c r="DL147" i="10"/>
  <c r="AK99" i="40"/>
  <c r="AL326" i="40"/>
  <c r="AQ111" i="40"/>
  <c r="AR332" i="40"/>
  <c r="AQ101" i="40"/>
  <c r="AR327" i="40"/>
  <c r="AM97" i="40"/>
  <c r="AN325" i="40"/>
  <c r="AQ93" i="40"/>
  <c r="AR323" i="40"/>
  <c r="AQ109" i="40"/>
  <c r="AR331" i="40"/>
  <c r="AM107" i="40"/>
  <c r="AN330" i="40"/>
  <c r="AQ103" i="40"/>
  <c r="AR328" i="40"/>
  <c r="AL105" i="40"/>
  <c r="AM329" i="40"/>
  <c r="AR95" i="40"/>
  <c r="AS324" i="40"/>
  <c r="AR91" i="40"/>
  <c r="AU303" i="40"/>
  <c r="AT53" i="40"/>
  <c r="AT317" i="40"/>
  <c r="AS81" i="40"/>
  <c r="AU314" i="40"/>
  <c r="AT75" i="40"/>
  <c r="AU300" i="40"/>
  <c r="AT47" i="40"/>
  <c r="AU320" i="40"/>
  <c r="AT87" i="40"/>
  <c r="AT297" i="40"/>
  <c r="AS41" i="40"/>
  <c r="AU312" i="40"/>
  <c r="AT71" i="40"/>
  <c r="AU322" i="40"/>
  <c r="AU301" i="40"/>
  <c r="AT49" i="40"/>
  <c r="AS309" i="40"/>
  <c r="AR65" i="40"/>
  <c r="AU316" i="40"/>
  <c r="AT79" i="40"/>
  <c r="AS311" i="40"/>
  <c r="AR69" i="40"/>
  <c r="AU304" i="40"/>
  <c r="AT55" i="40"/>
  <c r="AT310" i="40"/>
  <c r="AS67" i="40"/>
  <c r="AS313" i="40"/>
  <c r="AR73" i="40"/>
  <c r="AU298" i="40"/>
  <c r="AT43" i="40"/>
  <c r="AU308" i="40"/>
  <c r="AT63" i="40"/>
  <c r="AT307" i="40"/>
  <c r="AS61" i="40"/>
  <c r="AT315" i="40"/>
  <c r="AS77" i="40"/>
  <c r="AT302" i="40"/>
  <c r="AS51" i="40"/>
  <c r="AU305" i="40"/>
  <c r="AT57" i="40"/>
  <c r="AU299" i="40"/>
  <c r="AT45" i="40"/>
  <c r="AU306" i="40"/>
  <c r="AT59" i="40"/>
  <c r="AT319" i="40"/>
  <c r="AS85" i="40"/>
  <c r="AT321" i="40"/>
  <c r="AS89" i="40"/>
  <c r="AU318" i="40"/>
  <c r="AT83" i="40"/>
  <c r="BH238" i="7"/>
  <c r="BG77" i="7"/>
  <c r="BC47" i="11"/>
  <c r="BD223" i="11"/>
  <c r="AF59" i="10"/>
  <c r="AG229" i="10"/>
  <c r="DO54" i="10"/>
  <c r="DN144" i="10"/>
  <c r="BG228" i="11"/>
  <c r="BF57" i="11"/>
  <c r="AL233" i="22"/>
  <c r="AK67" i="22"/>
  <c r="AZ71" i="22"/>
  <c r="BA235" i="22"/>
  <c r="BH77" i="22"/>
  <c r="BI238" i="22"/>
  <c r="AX73" i="22"/>
  <c r="AY236" i="22"/>
  <c r="BC61" i="7"/>
  <c r="BD230" i="7"/>
  <c r="BI67" i="7"/>
  <c r="BJ233" i="7"/>
  <c r="BJ57" i="22"/>
  <c r="BK228" i="22"/>
  <c r="AH240" i="10"/>
  <c r="AG81" i="10"/>
  <c r="BG51" i="11"/>
  <c r="BH225" i="11"/>
  <c r="AG67" i="9"/>
  <c r="AH233" i="9"/>
  <c r="AU59" i="8"/>
  <c r="AV229" i="8"/>
  <c r="AR75" i="11"/>
  <c r="AS237" i="11"/>
  <c r="DM145" i="10"/>
  <c r="DM146" i="10"/>
  <c r="BH238" i="10"/>
  <c r="BG77" i="10"/>
  <c r="BE239" i="11"/>
  <c r="BD79" i="11"/>
  <c r="BI235" i="8"/>
  <c r="BH71" i="8"/>
  <c r="AX67" i="10"/>
  <c r="AY233" i="10"/>
  <c r="BJ226" i="6"/>
  <c r="BI47" i="6"/>
  <c r="BI234" i="10"/>
  <c r="BH69" i="10"/>
  <c r="BH238" i="11"/>
  <c r="BG77" i="11"/>
  <c r="AX79" i="22"/>
  <c r="AY239" i="22"/>
  <c r="BE59" i="7"/>
  <c r="BF229" i="7"/>
  <c r="BA79" i="7"/>
  <c r="BB239" i="7"/>
  <c r="AZ63" i="8"/>
  <c r="BA231" i="8"/>
  <c r="AX65" i="9"/>
  <c r="AY232" i="9"/>
  <c r="BH61" i="10"/>
  <c r="BI230" i="10"/>
  <c r="BI239" i="8"/>
  <c r="BH79" i="8"/>
  <c r="AS71" i="10"/>
  <c r="AT235" i="10"/>
  <c r="BH63" i="9"/>
  <c r="BI231" i="9"/>
  <c r="AG65" i="10"/>
  <c r="AH232" i="10"/>
  <c r="AV63" i="10"/>
  <c r="AW231" i="10"/>
  <c r="AZ63" i="22"/>
  <c r="BA231" i="22"/>
  <c r="AZ239" i="9"/>
  <c r="AY79" i="9"/>
  <c r="R50" i="2"/>
  <c r="D50" i="20"/>
  <c r="BJ219" i="10"/>
  <c r="BI39" i="10"/>
  <c r="BJ216" i="10"/>
  <c r="BI33" i="10"/>
  <c r="BI49" i="10"/>
  <c r="BJ224" i="10"/>
  <c r="BJ53" i="10"/>
  <c r="BK226" i="10"/>
  <c r="BJ217" i="10"/>
  <c r="BI35" i="10"/>
  <c r="BI41" i="10"/>
  <c r="BJ220" i="10"/>
  <c r="BI222" i="10"/>
  <c r="BH45" i="10"/>
  <c r="BI43" i="10"/>
  <c r="BJ221" i="10"/>
  <c r="BJ31" i="10"/>
  <c r="BK215" i="10"/>
  <c r="BJ223" i="10"/>
  <c r="BI47" i="10"/>
  <c r="BJ221" i="22"/>
  <c r="BI43" i="22"/>
  <c r="BJ226" i="22"/>
  <c r="BI53" i="22"/>
  <c r="BI223" i="22"/>
  <c r="BH47" i="22"/>
  <c r="BK225" i="22"/>
  <c r="BJ51" i="22"/>
  <c r="BK223" i="8"/>
  <c r="BJ47" i="8"/>
  <c r="BJ225" i="8"/>
  <c r="BI51" i="8"/>
  <c r="AM61" i="22"/>
  <c r="AN230" i="22"/>
  <c r="Z73" i="10"/>
  <c r="AA236" i="10"/>
  <c r="BF73" i="9"/>
  <c r="BG236" i="9"/>
  <c r="BA73" i="8"/>
  <c r="BB236" i="8"/>
  <c r="AI69" i="9"/>
  <c r="AJ234" i="9"/>
  <c r="AO73" i="11"/>
  <c r="AP236" i="11"/>
  <c r="AL71" i="7"/>
  <c r="AM235" i="7"/>
  <c r="AH81" i="7"/>
  <c r="AI240" i="7"/>
  <c r="AA53" i="11"/>
  <c r="AB226" i="11"/>
  <c r="D220" i="2"/>
  <c r="C99" i="2"/>
  <c r="E99" i="2"/>
  <c r="F99" i="2"/>
  <c r="AM99" i="2"/>
  <c r="AO99" i="2"/>
  <c r="AP99" i="2"/>
  <c r="AN220" i="2"/>
  <c r="A222" i="2"/>
  <c r="BW222" i="2"/>
  <c r="A102" i="2"/>
  <c r="V220" i="2"/>
  <c r="U99" i="2"/>
  <c r="W99" i="2"/>
  <c r="X99" i="2"/>
  <c r="BN99" i="2"/>
  <c r="BP99" i="2"/>
  <c r="BQ99" i="2"/>
  <c r="BO220" i="2"/>
  <c r="BK216" i="22"/>
  <c r="BJ33" i="22"/>
  <c r="AJ75" i="10"/>
  <c r="AK237" i="10"/>
  <c r="AM81" i="11"/>
  <c r="AN240" i="11"/>
  <c r="AG71" i="9"/>
  <c r="AH235" i="9"/>
  <c r="AH65" i="22"/>
  <c r="AI232" i="22"/>
  <c r="W31" i="22"/>
  <c r="X215" i="22"/>
  <c r="AJ75" i="8"/>
  <c r="AK237" i="8"/>
  <c r="AO77" i="8"/>
  <c r="AP238" i="8"/>
  <c r="U221" i="2"/>
  <c r="BE221" i="2"/>
  <c r="C221" i="2"/>
  <c r="AV221" i="2"/>
  <c r="AD221" i="2"/>
  <c r="AM221" i="2"/>
  <c r="BN221" i="2"/>
  <c r="L221" i="2"/>
  <c r="AJ75" i="22"/>
  <c r="AK237" i="22"/>
  <c r="AQ61" i="8"/>
  <c r="AR230" i="8"/>
  <c r="AJ81" i="22"/>
  <c r="AK240" i="22"/>
  <c r="AH79" i="10"/>
  <c r="AI239" i="10"/>
  <c r="AE49" i="11"/>
  <c r="AF224" i="11"/>
  <c r="T65" i="7"/>
  <c r="U232" i="7"/>
  <c r="AE220" i="2"/>
  <c r="AD99" i="2"/>
  <c r="AF99" i="2"/>
  <c r="AG99" i="2"/>
  <c r="L99" i="2"/>
  <c r="N99" i="2"/>
  <c r="O99" i="2"/>
  <c r="M220" i="2"/>
  <c r="BE99" i="2"/>
  <c r="BF220" i="2"/>
  <c r="AW220" i="2"/>
  <c r="AV99" i="2"/>
  <c r="AX99" i="2"/>
  <c r="AY99" i="2"/>
  <c r="AL69" i="22"/>
  <c r="AM234" i="22"/>
  <c r="AN69" i="8"/>
  <c r="AO234" i="8"/>
  <c r="AD69" i="7"/>
  <c r="AE234" i="7"/>
  <c r="AM67" i="11"/>
  <c r="AN233" i="11"/>
  <c r="AK75" i="7"/>
  <c r="AL237" i="7"/>
  <c r="AL67" i="8"/>
  <c r="AM233" i="8"/>
  <c r="AF81" i="9"/>
  <c r="AG240" i="9"/>
  <c r="BF77" i="9"/>
  <c r="BG238" i="9"/>
  <c r="AG57" i="10"/>
  <c r="AH228" i="10"/>
  <c r="I22" i="2"/>
  <c r="C22" i="20"/>
  <c r="N20" i="20"/>
  <c r="O20" i="20"/>
  <c r="M10" i="39"/>
  <c r="C10" i="39"/>
  <c r="B18" i="38"/>
  <c r="T17" i="38"/>
  <c r="AC50" i="38"/>
  <c r="B83" i="38"/>
  <c r="BI45" i="8"/>
  <c r="BJ222" i="8"/>
  <c r="BE35" i="8"/>
  <c r="BF217" i="8"/>
  <c r="BI221" i="8"/>
  <c r="BH43" i="8"/>
  <c r="AY63" i="7"/>
  <c r="AZ231" i="7"/>
  <c r="BI33" i="11"/>
  <c r="BJ216" i="11"/>
  <c r="BK226" i="9"/>
  <c r="BJ53" i="9"/>
  <c r="BI31" i="9"/>
  <c r="BJ215" i="9"/>
  <c r="BI222" i="1"/>
  <c r="BH31" i="1"/>
  <c r="BJ65" i="1"/>
  <c r="BK239" i="1"/>
  <c r="BJ233" i="1"/>
  <c r="BI53" i="1"/>
  <c r="BK224" i="1"/>
  <c r="BJ35" i="1"/>
  <c r="BJ59" i="1"/>
  <c r="BK236" i="1"/>
  <c r="BI223" i="1"/>
  <c r="BH33" i="1"/>
  <c r="BJ232" i="1"/>
  <c r="BI51" i="1"/>
  <c r="AJ41" i="2"/>
  <c r="F41" i="20"/>
  <c r="P29" i="39"/>
  <c r="F29" i="39"/>
  <c r="E37" i="38"/>
  <c r="T39" i="20"/>
  <c r="U39" i="20"/>
  <c r="R18" i="39"/>
  <c r="G26" i="38"/>
  <c r="X28" i="20"/>
  <c r="Y28" i="20"/>
  <c r="Y25" i="38"/>
  <c r="AH58" i="38"/>
  <c r="G91" i="38"/>
  <c r="BB30" i="2"/>
  <c r="H30" i="20"/>
  <c r="BI222" i="22"/>
  <c r="BH45" i="22"/>
  <c r="BI23" i="6"/>
  <c r="BJ214" i="6"/>
  <c r="BI33" i="6"/>
  <c r="BJ219" i="6"/>
  <c r="BI37" i="6"/>
  <c r="BJ221" i="6"/>
  <c r="BI41" i="6"/>
  <c r="BJ223" i="6"/>
  <c r="BJ216" i="6"/>
  <c r="BI27" i="6"/>
  <c r="BJ217" i="6"/>
  <c r="BI25" i="6"/>
  <c r="BJ215" i="6"/>
  <c r="BI35" i="6"/>
  <c r="BJ220" i="6"/>
  <c r="BH43" i="6"/>
  <c r="BI224" i="6"/>
  <c r="BI218" i="6"/>
  <c r="BH31" i="6"/>
  <c r="BG247" i="1"/>
  <c r="BF81" i="1"/>
  <c r="BE83" i="1"/>
  <c r="BF248" i="1"/>
  <c r="BJ43" i="1"/>
  <c r="BK228" i="1"/>
  <c r="BH37" i="8"/>
  <c r="BI218" i="8"/>
  <c r="BF219" i="8"/>
  <c r="BE39" i="8"/>
  <c r="BF45" i="11"/>
  <c r="BG222" i="11"/>
  <c r="AA41" i="2"/>
  <c r="E41" i="20"/>
  <c r="D37" i="38"/>
  <c r="R39" i="20"/>
  <c r="S39" i="20"/>
  <c r="O29" i="39"/>
  <c r="E29" i="39"/>
  <c r="BI35" i="22"/>
  <c r="BJ217" i="22"/>
  <c r="BI49" i="22"/>
  <c r="BJ224" i="22"/>
  <c r="BH39" i="22"/>
  <c r="BI219" i="22"/>
  <c r="BG220" i="7"/>
  <c r="BF41" i="7"/>
  <c r="BI219" i="7"/>
  <c r="BH39" i="7"/>
  <c r="BI218" i="7"/>
  <c r="BH37" i="7"/>
  <c r="BH31" i="7"/>
  <c r="BI215" i="7"/>
  <c r="BJ217" i="7"/>
  <c r="BI35" i="7"/>
  <c r="BI43" i="7"/>
  <c r="BJ221" i="7"/>
  <c r="BF39" i="6"/>
  <c r="BG222" i="6"/>
  <c r="BK223" i="9"/>
  <c r="BJ47" i="9"/>
  <c r="BF39" i="9"/>
  <c r="BG219" i="9"/>
  <c r="BI35" i="9"/>
  <c r="BJ217" i="9"/>
  <c r="BF227" i="9"/>
  <c r="BE55" i="9"/>
  <c r="BL221" i="9"/>
  <c r="BK43" i="9"/>
  <c r="BI225" i="9"/>
  <c r="BH51" i="9"/>
  <c r="BJ222" i="9"/>
  <c r="BI45" i="9"/>
  <c r="BG57" i="9"/>
  <c r="BH228" i="9"/>
  <c r="BJ224" i="9"/>
  <c r="BI49" i="9"/>
  <c r="BJ242" i="1"/>
  <c r="BI71" i="1"/>
  <c r="BJ244" i="1"/>
  <c r="BI75" i="1"/>
  <c r="BK246" i="1"/>
  <c r="BJ79" i="1"/>
  <c r="BI237" i="1"/>
  <c r="BH61" i="1"/>
  <c r="BH245" i="1"/>
  <c r="BG77" i="1"/>
  <c r="BH243" i="1"/>
  <c r="BG73" i="1"/>
  <c r="BI240" i="1"/>
  <c r="BH67" i="1"/>
  <c r="BD235" i="1"/>
  <c r="BC57" i="1"/>
  <c r="BE221" i="11"/>
  <c r="BD43" i="11"/>
  <c r="X27" i="38"/>
  <c r="AG60" i="38"/>
  <c r="F93" i="38"/>
  <c r="AS32" i="2"/>
  <c r="G32" i="20"/>
  <c r="V30" i="20"/>
  <c r="W30" i="20"/>
  <c r="F28" i="38"/>
  <c r="F94" i="38"/>
  <c r="Q20" i="39"/>
  <c r="BJ219" i="11"/>
  <c r="BI39" i="11"/>
  <c r="BI218" i="11"/>
  <c r="BH37" i="11"/>
  <c r="BG215" i="11"/>
  <c r="BG220" i="11"/>
  <c r="BF41" i="11"/>
  <c r="BJ225" i="10"/>
  <c r="BI51" i="10"/>
  <c r="BJ218" i="10"/>
  <c r="BI37" i="10"/>
  <c r="BK229" i="22"/>
  <c r="BJ59" i="22"/>
  <c r="BJ218" i="22"/>
  <c r="BJ220" i="22"/>
  <c r="BI41" i="22"/>
  <c r="BJ227" i="22"/>
  <c r="BI55" i="22"/>
  <c r="BH228" i="8"/>
  <c r="BG57" i="8"/>
  <c r="BJ227" i="8"/>
  <c r="BI55" i="8"/>
  <c r="BK220" i="8"/>
  <c r="BJ41" i="8"/>
  <c r="BK224" i="8"/>
  <c r="BJ49" i="8"/>
  <c r="BL215" i="8"/>
  <c r="BK31" i="8"/>
  <c r="BK226" i="8"/>
  <c r="BJ53" i="8"/>
  <c r="BK216" i="8"/>
  <c r="BJ33" i="8"/>
  <c r="BK227" i="7"/>
  <c r="BJ55" i="7"/>
  <c r="BK226" i="7"/>
  <c r="BJ53" i="7"/>
  <c r="BK225" i="7"/>
  <c r="BJ51" i="7"/>
  <c r="BD216" i="7"/>
  <c r="BC33" i="7"/>
  <c r="BI223" i="7"/>
  <c r="BH47" i="7"/>
  <c r="BH222" i="7"/>
  <c r="BG45" i="7"/>
  <c r="BK231" i="6"/>
  <c r="BJ57" i="6"/>
  <c r="BK230" i="6"/>
  <c r="BJ55" i="6"/>
  <c r="BK229" i="6"/>
  <c r="BJ53" i="6"/>
  <c r="BK228" i="6"/>
  <c r="BJ51" i="6"/>
  <c r="BK227" i="6"/>
  <c r="BJ49" i="6"/>
  <c r="BI225" i="6"/>
  <c r="BH45" i="6"/>
  <c r="BJ230" i="9"/>
  <c r="BI61" i="9"/>
  <c r="BK229" i="9"/>
  <c r="BJ59" i="9"/>
  <c r="BG216" i="9"/>
  <c r="BF33" i="9"/>
  <c r="BJ218" i="9"/>
  <c r="BI37" i="9"/>
  <c r="BJ220" i="9"/>
  <c r="BI41" i="9"/>
  <c r="BI241" i="1"/>
  <c r="BH69" i="1"/>
  <c r="BK238" i="1"/>
  <c r="BJ63" i="1"/>
  <c r="BI231" i="1"/>
  <c r="BH49" i="1"/>
  <c r="BK230" i="1"/>
  <c r="BJ47" i="1"/>
  <c r="BK234" i="1"/>
  <c r="BJ55" i="1"/>
  <c r="BI229" i="1"/>
  <c r="BH45" i="1"/>
  <c r="BI225" i="1"/>
  <c r="BH37" i="1"/>
  <c r="BK226" i="1"/>
  <c r="BJ39" i="1"/>
  <c r="BI227" i="1"/>
  <c r="BH41" i="1"/>
  <c r="BJ224" i="7"/>
  <c r="BI49" i="7"/>
  <c r="AA237" i="9"/>
  <c r="Z75" i="9"/>
  <c r="BW101" i="2"/>
  <c r="BY101" i="2"/>
  <c r="BZ101" i="2"/>
  <c r="CB101" i="2"/>
  <c r="BX222" i="2"/>
  <c r="J29" i="20"/>
  <c r="BT30" i="2"/>
  <c r="I26" i="38"/>
  <c r="I92" i="38"/>
  <c r="T18" i="39"/>
  <c r="AB28" i="20"/>
  <c r="AC28" i="20"/>
  <c r="I35" i="20"/>
  <c r="BK36" i="2"/>
  <c r="H32" i="38"/>
  <c r="Z34" i="20"/>
  <c r="AA34" i="20"/>
  <c r="S24" i="39"/>
  <c r="I24" i="39"/>
  <c r="CL37" i="2"/>
  <c r="L36" i="20"/>
  <c r="BJ94" i="2"/>
  <c r="CK94" i="2"/>
  <c r="BG99" i="2"/>
  <c r="CF99" i="2"/>
  <c r="BH98" i="2"/>
  <c r="CI98" i="2"/>
  <c r="CH98" i="2"/>
  <c r="CC17" i="2"/>
  <c r="K17" i="20"/>
  <c r="U7" i="39"/>
  <c r="CA50" i="2"/>
  <c r="CA65" i="2"/>
  <c r="CA49" i="2"/>
  <c r="CA68" i="2"/>
  <c r="CA52" i="2"/>
  <c r="CA63" i="2"/>
  <c r="CA47" i="2"/>
  <c r="CA62" i="2"/>
  <c r="CA46" i="2"/>
  <c r="CA61" i="2"/>
  <c r="CA64" i="2"/>
  <c r="CA48" i="2"/>
  <c r="CA59" i="2"/>
  <c r="CA74" i="2"/>
  <c r="CA58" i="2"/>
  <c r="CA73" i="2"/>
  <c r="CA57" i="2"/>
  <c r="CA45" i="2"/>
  <c r="CA44" i="2"/>
  <c r="CA60" i="2"/>
  <c r="CA71" i="2"/>
  <c r="CA55" i="2"/>
  <c r="CA70" i="2"/>
  <c r="CA54" i="2"/>
  <c r="CA69" i="2"/>
  <c r="CA53" i="2"/>
  <c r="CA72" i="2"/>
  <c r="CA56" i="2"/>
  <c r="CA67" i="2"/>
  <c r="CA51" i="2"/>
  <c r="CA66" i="2"/>
  <c r="AQ95" i="40"/>
  <c r="AR324" i="40"/>
  <c r="AP103" i="40"/>
  <c r="AQ328" i="40"/>
  <c r="AP109" i="40"/>
  <c r="AQ331" i="40"/>
  <c r="AL97" i="40"/>
  <c r="AM325" i="40"/>
  <c r="AP111" i="40"/>
  <c r="AQ332" i="40"/>
  <c r="AK105" i="40"/>
  <c r="AL329" i="40"/>
  <c r="AL107" i="40"/>
  <c r="AM330" i="40"/>
  <c r="AP93" i="40"/>
  <c r="AQ323" i="40"/>
  <c r="AP101" i="40"/>
  <c r="AQ327" i="40"/>
  <c r="AJ99" i="40"/>
  <c r="AK326" i="40"/>
  <c r="AQ91" i="40"/>
  <c r="AS319" i="40"/>
  <c r="AR85" i="40"/>
  <c r="AS297" i="40"/>
  <c r="AR41" i="40"/>
  <c r="AT299" i="40"/>
  <c r="AS45" i="40"/>
  <c r="AT298" i="40"/>
  <c r="AS43" i="40"/>
  <c r="AR311" i="40"/>
  <c r="AQ69" i="40"/>
  <c r="AT322" i="40"/>
  <c r="AS317" i="40"/>
  <c r="AR81" i="40"/>
  <c r="AS321" i="40"/>
  <c r="AR89" i="40"/>
  <c r="AT306" i="40"/>
  <c r="AS59" i="40"/>
  <c r="AT305" i="40"/>
  <c r="AS57" i="40"/>
  <c r="AS315" i="40"/>
  <c r="AR77" i="40"/>
  <c r="AT308" i="40"/>
  <c r="AS63" i="40"/>
  <c r="AR313" i="40"/>
  <c r="AQ73" i="40"/>
  <c r="AT304" i="40"/>
  <c r="AS55" i="40"/>
  <c r="AT316" i="40"/>
  <c r="AS79" i="40"/>
  <c r="AT301" i="40"/>
  <c r="AS49" i="40"/>
  <c r="AT312" i="40"/>
  <c r="AS71" i="40"/>
  <c r="AT320" i="40"/>
  <c r="AS87" i="40"/>
  <c r="AT314" i="40"/>
  <c r="AS75" i="40"/>
  <c r="AT303" i="40"/>
  <c r="AS53" i="40"/>
  <c r="AT318" i="40"/>
  <c r="AS83" i="40"/>
  <c r="AS302" i="40"/>
  <c r="AR51" i="40"/>
  <c r="AS307" i="40"/>
  <c r="AR61" i="40"/>
  <c r="AS310" i="40"/>
  <c r="AR67" i="40"/>
  <c r="AR309" i="40"/>
  <c r="AQ65" i="40"/>
  <c r="AT300" i="40"/>
  <c r="AS47" i="40"/>
  <c r="BG238" i="11"/>
  <c r="BF77" i="11"/>
  <c r="BI226" i="6"/>
  <c r="BH47" i="6"/>
  <c r="BH235" i="8"/>
  <c r="BG71" i="8"/>
  <c r="BF77" i="10"/>
  <c r="BG238" i="10"/>
  <c r="AF81" i="10"/>
  <c r="AG240" i="10"/>
  <c r="AJ67" i="22"/>
  <c r="AK233" i="22"/>
  <c r="DN145" i="10"/>
  <c r="DN146" i="10"/>
  <c r="AZ231" i="22"/>
  <c r="AY63" i="22"/>
  <c r="AG232" i="10"/>
  <c r="AF65" i="10"/>
  <c r="AS235" i="10"/>
  <c r="AR71" i="10"/>
  <c r="BG61" i="10"/>
  <c r="BH230" i="10"/>
  <c r="AY63" i="8"/>
  <c r="AZ231" i="8"/>
  <c r="BD59" i="7"/>
  <c r="BE229" i="7"/>
  <c r="AQ75" i="11"/>
  <c r="AR237" i="11"/>
  <c r="AF67" i="9"/>
  <c r="AG233" i="9"/>
  <c r="BB61" i="7"/>
  <c r="BC230" i="7"/>
  <c r="BG77" i="22"/>
  <c r="BH238" i="22"/>
  <c r="DO144" i="10"/>
  <c r="DP54" i="10"/>
  <c r="BB47" i="11"/>
  <c r="BC223" i="11"/>
  <c r="AX79" i="9"/>
  <c r="AY239" i="9"/>
  <c r="BH239" i="8"/>
  <c r="BG79" i="8"/>
  <c r="BH234" i="10"/>
  <c r="BG69" i="10"/>
  <c r="BD239" i="11"/>
  <c r="BC79" i="11"/>
  <c r="DM147" i="10"/>
  <c r="BF228" i="11"/>
  <c r="BE57" i="11"/>
  <c r="BG238" i="7"/>
  <c r="BF77" i="7"/>
  <c r="AU63" i="10"/>
  <c r="AV231" i="10"/>
  <c r="BG63" i="9"/>
  <c r="BH231" i="9"/>
  <c r="AW65" i="9"/>
  <c r="AX232" i="9"/>
  <c r="AZ79" i="7"/>
  <c r="BA239" i="7"/>
  <c r="AW79" i="22"/>
  <c r="AX239" i="22"/>
  <c r="AW67" i="10"/>
  <c r="AX233" i="10"/>
  <c r="AU229" i="8"/>
  <c r="AT59" i="8"/>
  <c r="BF51" i="11"/>
  <c r="BG225" i="11"/>
  <c r="BI57" i="22"/>
  <c r="BJ228" i="22"/>
  <c r="BH67" i="7"/>
  <c r="BI233" i="7"/>
  <c r="AW73" i="22"/>
  <c r="AX236" i="22"/>
  <c r="AY71" i="22"/>
  <c r="AZ235" i="22"/>
  <c r="AF229" i="10"/>
  <c r="AE59" i="10"/>
  <c r="R51" i="2"/>
  <c r="D51" i="20"/>
  <c r="BH47" i="10"/>
  <c r="BI223" i="10"/>
  <c r="BI216" i="10"/>
  <c r="BH33" i="10"/>
  <c r="BI221" i="10"/>
  <c r="BH43" i="10"/>
  <c r="BI220" i="10"/>
  <c r="BH41" i="10"/>
  <c r="BI53" i="10"/>
  <c r="BJ226" i="10"/>
  <c r="BH222" i="10"/>
  <c r="BG45" i="10"/>
  <c r="BI217" i="10"/>
  <c r="BH35" i="10"/>
  <c r="BI219" i="10"/>
  <c r="BH39" i="10"/>
  <c r="BI31" i="10"/>
  <c r="BJ215" i="10"/>
  <c r="BI224" i="10"/>
  <c r="BH49" i="10"/>
  <c r="BH53" i="22"/>
  <c r="BI226" i="22"/>
  <c r="BI51" i="22"/>
  <c r="BJ225" i="22"/>
  <c r="BH223" i="22"/>
  <c r="BG47" i="22"/>
  <c r="BI221" i="22"/>
  <c r="BH43" i="22"/>
  <c r="BH51" i="8"/>
  <c r="BI225" i="8"/>
  <c r="BJ223" i="8"/>
  <c r="BI47" i="8"/>
  <c r="AM100" i="2"/>
  <c r="AO100" i="2"/>
  <c r="AP100" i="2"/>
  <c r="AN221" i="2"/>
  <c r="BE100" i="2"/>
  <c r="BF221" i="2"/>
  <c r="V31" i="22"/>
  <c r="W215" i="22"/>
  <c r="AG65" i="22"/>
  <c r="AH232" i="22"/>
  <c r="AL81" i="11"/>
  <c r="AM240" i="11"/>
  <c r="AD222" i="2"/>
  <c r="C222" i="2"/>
  <c r="BE222" i="2"/>
  <c r="AV222" i="2"/>
  <c r="AM222" i="2"/>
  <c r="U222" i="2"/>
  <c r="L222" i="2"/>
  <c r="BN222" i="2"/>
  <c r="AF57" i="10"/>
  <c r="AG228" i="10"/>
  <c r="AK67" i="8"/>
  <c r="AL233" i="8"/>
  <c r="AL67" i="11"/>
  <c r="AM233" i="11"/>
  <c r="AK69" i="22"/>
  <c r="AL234" i="22"/>
  <c r="S65" i="7"/>
  <c r="T232" i="7"/>
  <c r="AI81" i="22"/>
  <c r="AJ240" i="22"/>
  <c r="AD100" i="2"/>
  <c r="AF100" i="2"/>
  <c r="AG100" i="2"/>
  <c r="AE221" i="2"/>
  <c r="U100" i="2"/>
  <c r="W100" i="2"/>
  <c r="X100" i="2"/>
  <c r="V221" i="2"/>
  <c r="BJ216" i="22"/>
  <c r="BI33" i="22"/>
  <c r="Z53" i="11"/>
  <c r="AA226" i="11"/>
  <c r="AZ73" i="8"/>
  <c r="BA236" i="8"/>
  <c r="Y73" i="10"/>
  <c r="Z236" i="10"/>
  <c r="L100" i="2"/>
  <c r="N100" i="2"/>
  <c r="O100" i="2"/>
  <c r="M221" i="2"/>
  <c r="AV100" i="2"/>
  <c r="AX100" i="2"/>
  <c r="AY100" i="2"/>
  <c r="AW221" i="2"/>
  <c r="AI75" i="8"/>
  <c r="AJ237" i="8"/>
  <c r="AF71" i="9"/>
  <c r="AG235" i="9"/>
  <c r="AI75" i="10"/>
  <c r="AJ237" i="10"/>
  <c r="BE77" i="9"/>
  <c r="BF238" i="9"/>
  <c r="AE81" i="9"/>
  <c r="AF240" i="9"/>
  <c r="AJ75" i="7"/>
  <c r="AK237" i="7"/>
  <c r="AC69" i="7"/>
  <c r="AD234" i="7"/>
  <c r="AM69" i="8"/>
  <c r="AN234" i="8"/>
  <c r="AD49" i="11"/>
  <c r="AE224" i="11"/>
  <c r="AG79" i="10"/>
  <c r="AH239" i="10"/>
  <c r="AP61" i="8"/>
  <c r="AQ230" i="8"/>
  <c r="AI75" i="22"/>
  <c r="AJ237" i="22"/>
  <c r="BN100" i="2"/>
  <c r="BP100" i="2"/>
  <c r="BQ100" i="2"/>
  <c r="BO221" i="2"/>
  <c r="C100" i="2"/>
  <c r="E100" i="2"/>
  <c r="F100" i="2"/>
  <c r="D221" i="2"/>
  <c r="AN77" i="8"/>
  <c r="AO238" i="8"/>
  <c r="A103" i="2"/>
  <c r="A223" i="2"/>
  <c r="BW223" i="2"/>
  <c r="AG81" i="7"/>
  <c r="AH240" i="7"/>
  <c r="AK71" i="7"/>
  <c r="AL235" i="7"/>
  <c r="AN73" i="11"/>
  <c r="AO236" i="11"/>
  <c r="AH69" i="9"/>
  <c r="AI234" i="9"/>
  <c r="BE73" i="9"/>
  <c r="BF236" i="9"/>
  <c r="AL61" i="22"/>
  <c r="AM230" i="22"/>
  <c r="N21" i="20"/>
  <c r="O21" i="20"/>
  <c r="B19" i="38"/>
  <c r="M11" i="39"/>
  <c r="C11" i="39"/>
  <c r="B84" i="38"/>
  <c r="T18" i="38"/>
  <c r="AC51" i="38"/>
  <c r="I23" i="2"/>
  <c r="C23" i="20"/>
  <c r="BD35" i="8"/>
  <c r="BE217" i="8"/>
  <c r="BH45" i="8"/>
  <c r="BI222" i="8"/>
  <c r="BH221" i="8"/>
  <c r="BG43" i="8"/>
  <c r="BH33" i="11"/>
  <c r="BI216" i="11"/>
  <c r="AX63" i="7"/>
  <c r="AY231" i="7"/>
  <c r="BJ226" i="9"/>
  <c r="BI53" i="9"/>
  <c r="BI215" i="9"/>
  <c r="BH31" i="9"/>
  <c r="BG31" i="1"/>
  <c r="BH222" i="1"/>
  <c r="BI59" i="1"/>
  <c r="BJ236" i="1"/>
  <c r="BJ239" i="1"/>
  <c r="BI65" i="1"/>
  <c r="BH223" i="1"/>
  <c r="BG33" i="1"/>
  <c r="BI35" i="1"/>
  <c r="BJ224" i="1"/>
  <c r="BI233" i="1"/>
  <c r="BH53" i="1"/>
  <c r="BI232" i="1"/>
  <c r="BH51" i="1"/>
  <c r="E103" i="38"/>
  <c r="W37" i="38"/>
  <c r="AF70" i="38"/>
  <c r="P30" i="39"/>
  <c r="E38" i="38"/>
  <c r="E104" i="38"/>
  <c r="T40" i="20"/>
  <c r="U40" i="20"/>
  <c r="AJ42" i="2"/>
  <c r="F42" i="20"/>
  <c r="X29" i="20"/>
  <c r="Y29" i="20"/>
  <c r="R19" i="39"/>
  <c r="G27" i="38"/>
  <c r="BB31" i="2"/>
  <c r="H31" i="20"/>
  <c r="Y26" i="38"/>
  <c r="AH59" i="38"/>
  <c r="G92" i="38"/>
  <c r="BH222" i="22"/>
  <c r="BG45" i="22"/>
  <c r="BH218" i="6"/>
  <c r="BG31" i="6"/>
  <c r="BI217" i="6"/>
  <c r="BH27" i="6"/>
  <c r="BI216" i="6"/>
  <c r="BG43" i="6"/>
  <c r="BH224" i="6"/>
  <c r="BH35" i="6"/>
  <c r="BI220" i="6"/>
  <c r="BH25" i="6"/>
  <c r="BI215" i="6"/>
  <c r="BH41" i="6"/>
  <c r="BI223" i="6"/>
  <c r="BI221" i="6"/>
  <c r="BH37" i="6"/>
  <c r="BH33" i="6"/>
  <c r="BI219" i="6"/>
  <c r="BI214" i="6"/>
  <c r="BH23" i="6"/>
  <c r="BF247" i="1"/>
  <c r="BE81" i="1"/>
  <c r="BJ228" i="1"/>
  <c r="BI43" i="1"/>
  <c r="BD83" i="1"/>
  <c r="BE248" i="1"/>
  <c r="BD39" i="8"/>
  <c r="BE219" i="8"/>
  <c r="BG37" i="8"/>
  <c r="BH218" i="8"/>
  <c r="BE45" i="11"/>
  <c r="BF222" i="11"/>
  <c r="D103" i="38"/>
  <c r="V37" i="38"/>
  <c r="AE70" i="38"/>
  <c r="AA42" i="2"/>
  <c r="E42" i="20"/>
  <c r="D38" i="38"/>
  <c r="D104" i="38"/>
  <c r="R40" i="20"/>
  <c r="S40" i="20"/>
  <c r="O30" i="39"/>
  <c r="BH49" i="22"/>
  <c r="BI224" i="22"/>
  <c r="BG39" i="22"/>
  <c r="BH219" i="22"/>
  <c r="BI217" i="22"/>
  <c r="BH35" i="22"/>
  <c r="BI217" i="7"/>
  <c r="BH35" i="7"/>
  <c r="BH218" i="7"/>
  <c r="BG37" i="7"/>
  <c r="BG39" i="7"/>
  <c r="BH219" i="7"/>
  <c r="BF220" i="7"/>
  <c r="BE41" i="7"/>
  <c r="BI221" i="7"/>
  <c r="BH43" i="7"/>
  <c r="BH215" i="7"/>
  <c r="BG31" i="7"/>
  <c r="BF222" i="6"/>
  <c r="BE39" i="6"/>
  <c r="BD55" i="9"/>
  <c r="BE227" i="9"/>
  <c r="BF219" i="9"/>
  <c r="BE39" i="9"/>
  <c r="BJ43" i="9"/>
  <c r="BK221" i="9"/>
  <c r="BI47" i="9"/>
  <c r="BJ223" i="9"/>
  <c r="BH35" i="9"/>
  <c r="BI217" i="9"/>
  <c r="BG51" i="9"/>
  <c r="BH225" i="9"/>
  <c r="BI224" i="9"/>
  <c r="BH49" i="9"/>
  <c r="BH45" i="9"/>
  <c r="BI222" i="9"/>
  <c r="BF57" i="9"/>
  <c r="BG228" i="9"/>
  <c r="BB57" i="1"/>
  <c r="BC235" i="1"/>
  <c r="BH240" i="1"/>
  <c r="BG67" i="1"/>
  <c r="BJ246" i="1"/>
  <c r="BI79" i="1"/>
  <c r="BI242" i="1"/>
  <c r="BH71" i="1"/>
  <c r="BG243" i="1"/>
  <c r="BF73" i="1"/>
  <c r="BG245" i="1"/>
  <c r="BF77" i="1"/>
  <c r="BH237" i="1"/>
  <c r="BG61" i="1"/>
  <c r="BI244" i="1"/>
  <c r="BH75" i="1"/>
  <c r="BD221" i="11"/>
  <c r="BC43" i="11"/>
  <c r="AS33" i="2"/>
  <c r="G33" i="20"/>
  <c r="F29" i="38"/>
  <c r="F95" i="38"/>
  <c r="Q21" i="39"/>
  <c r="V31" i="20"/>
  <c r="W31" i="20"/>
  <c r="BF215" i="11"/>
  <c r="BI219" i="11"/>
  <c r="BH39" i="11"/>
  <c r="BF220" i="11"/>
  <c r="BE41" i="11"/>
  <c r="BH218" i="11"/>
  <c r="BG37" i="11"/>
  <c r="BI225" i="10"/>
  <c r="BH51" i="10"/>
  <c r="BI218" i="10"/>
  <c r="BH37" i="10"/>
  <c r="BJ229" i="22"/>
  <c r="BI59" i="22"/>
  <c r="BI227" i="22"/>
  <c r="BH55" i="22"/>
  <c r="BI220" i="22"/>
  <c r="BH41" i="22"/>
  <c r="BI218" i="22"/>
  <c r="BG228" i="8"/>
  <c r="BF57" i="8"/>
  <c r="BI227" i="8"/>
  <c r="BH55" i="8"/>
  <c r="BJ226" i="8"/>
  <c r="BI53" i="8"/>
  <c r="BJ224" i="8"/>
  <c r="BI49" i="8"/>
  <c r="BJ216" i="8"/>
  <c r="BI33" i="8"/>
  <c r="BK215" i="8"/>
  <c r="BJ31" i="8"/>
  <c r="BJ220" i="8"/>
  <c r="BI41" i="8"/>
  <c r="BJ227" i="7"/>
  <c r="BI55" i="7"/>
  <c r="BJ226" i="7"/>
  <c r="BI53" i="7"/>
  <c r="BJ225" i="7"/>
  <c r="BI51" i="7"/>
  <c r="BC216" i="7"/>
  <c r="BB33" i="7"/>
  <c r="BG222" i="7"/>
  <c r="BF45" i="7"/>
  <c r="BH223" i="7"/>
  <c r="BG47" i="7"/>
  <c r="BJ231" i="6"/>
  <c r="BI57" i="6"/>
  <c r="BJ230" i="6"/>
  <c r="BI55" i="6"/>
  <c r="BJ229" i="6"/>
  <c r="BI53" i="6"/>
  <c r="BJ228" i="6"/>
  <c r="BI51" i="6"/>
  <c r="BJ227" i="6"/>
  <c r="BI49" i="6"/>
  <c r="BH225" i="6"/>
  <c r="BG45" i="6"/>
  <c r="BI230" i="9"/>
  <c r="BH61" i="9"/>
  <c r="BJ229" i="9"/>
  <c r="BI59" i="9"/>
  <c r="BF216" i="9"/>
  <c r="BE33" i="9"/>
  <c r="BI220" i="9"/>
  <c r="BH41" i="9"/>
  <c r="BI218" i="9"/>
  <c r="BH37" i="9"/>
  <c r="BH241" i="1"/>
  <c r="BG69" i="1"/>
  <c r="BJ238" i="1"/>
  <c r="BI63" i="1"/>
  <c r="BJ230" i="1"/>
  <c r="BI47" i="1"/>
  <c r="BH231" i="1"/>
  <c r="BG49" i="1"/>
  <c r="BJ234" i="1"/>
  <c r="BI55" i="1"/>
  <c r="BH229" i="1"/>
  <c r="BG45" i="1"/>
  <c r="BJ226" i="1"/>
  <c r="BI39" i="1"/>
  <c r="BH227" i="1"/>
  <c r="BG41" i="1"/>
  <c r="BH225" i="1"/>
  <c r="BG37" i="1"/>
  <c r="BH49" i="7"/>
  <c r="BI224" i="7"/>
  <c r="BX223" i="2"/>
  <c r="BW102" i="2"/>
  <c r="BY102" i="2"/>
  <c r="BZ102" i="2"/>
  <c r="CB102" i="2"/>
  <c r="Y75" i="9"/>
  <c r="Z237" i="9"/>
  <c r="J30" i="20"/>
  <c r="BT31" i="2"/>
  <c r="I27" i="38"/>
  <c r="AB29" i="20"/>
  <c r="AC29" i="20"/>
  <c r="T19" i="39"/>
  <c r="J19" i="39"/>
  <c r="H98" i="38"/>
  <c r="Z32" i="38"/>
  <c r="AI65" i="38"/>
  <c r="I36" i="20"/>
  <c r="BK37" i="2"/>
  <c r="H33" i="38"/>
  <c r="H99" i="38"/>
  <c r="Z35" i="20"/>
  <c r="AA35" i="20"/>
  <c r="S25" i="39"/>
  <c r="CL38" i="2"/>
  <c r="L37" i="20"/>
  <c r="BJ95" i="2"/>
  <c r="CK95" i="2"/>
  <c r="BG100" i="2"/>
  <c r="CF100" i="2"/>
  <c r="BH99" i="2"/>
  <c r="CI99" i="2"/>
  <c r="CH99" i="2"/>
  <c r="CC18" i="2"/>
  <c r="K18" i="20"/>
  <c r="U8" i="39"/>
  <c r="DN147" i="10"/>
  <c r="AI99" i="40"/>
  <c r="AJ326" i="40"/>
  <c r="AO93" i="40"/>
  <c r="AP323" i="40"/>
  <c r="AJ105" i="40"/>
  <c r="AK329" i="40"/>
  <c r="AK97" i="40"/>
  <c r="AL325" i="40"/>
  <c r="AO103" i="40"/>
  <c r="AP328" i="40"/>
  <c r="AO101" i="40"/>
  <c r="AP327" i="40"/>
  <c r="AK107" i="40"/>
  <c r="AL330" i="40"/>
  <c r="AO111" i="40"/>
  <c r="AP332" i="40"/>
  <c r="AO109" i="40"/>
  <c r="AP331" i="40"/>
  <c r="AP95" i="40"/>
  <c r="AQ324" i="40"/>
  <c r="AP91" i="40"/>
  <c r="AS305" i="40"/>
  <c r="AR57" i="40"/>
  <c r="AS300" i="40"/>
  <c r="AR47" i="40"/>
  <c r="AS303" i="40"/>
  <c r="AR53" i="40"/>
  <c r="AS301" i="40"/>
  <c r="AR49" i="40"/>
  <c r="AS308" i="40"/>
  <c r="AR63" i="40"/>
  <c r="AS322" i="40"/>
  <c r="AR297" i="40"/>
  <c r="AQ41" i="40"/>
  <c r="AQ309" i="40"/>
  <c r="AP65" i="40"/>
  <c r="AR307" i="40"/>
  <c r="AQ61" i="40"/>
  <c r="AS318" i="40"/>
  <c r="AR83" i="40"/>
  <c r="AS314" i="40"/>
  <c r="AR75" i="40"/>
  <c r="AS312" i="40"/>
  <c r="AR71" i="40"/>
  <c r="AS316" i="40"/>
  <c r="AR79" i="40"/>
  <c r="AQ313" i="40"/>
  <c r="AP73" i="40"/>
  <c r="AR315" i="40"/>
  <c r="AQ77" i="40"/>
  <c r="AS306" i="40"/>
  <c r="AR59" i="40"/>
  <c r="AR317" i="40"/>
  <c r="AQ81" i="40"/>
  <c r="AQ311" i="40"/>
  <c r="AP69" i="40"/>
  <c r="AS299" i="40"/>
  <c r="AR45" i="40"/>
  <c r="AR319" i="40"/>
  <c r="AQ85" i="40"/>
  <c r="AR310" i="40"/>
  <c r="AQ67" i="40"/>
  <c r="AR302" i="40"/>
  <c r="AQ51" i="40"/>
  <c r="AS320" i="40"/>
  <c r="AR87" i="40"/>
  <c r="AS304" i="40"/>
  <c r="AR55" i="40"/>
  <c r="AR321" i="40"/>
  <c r="AQ89" i="40"/>
  <c r="AS298" i="40"/>
  <c r="AR43" i="40"/>
  <c r="AY235" i="22"/>
  <c r="AX71" i="22"/>
  <c r="BG67" i="7"/>
  <c r="BH233" i="7"/>
  <c r="BE51" i="11"/>
  <c r="BF225" i="11"/>
  <c r="AV67" i="10"/>
  <c r="AW233" i="10"/>
  <c r="AY79" i="7"/>
  <c r="AZ239" i="7"/>
  <c r="BG231" i="9"/>
  <c r="BF63" i="9"/>
  <c r="BC239" i="11"/>
  <c r="BB79" i="11"/>
  <c r="BF79" i="8"/>
  <c r="BG239" i="8"/>
  <c r="AQ71" i="10"/>
  <c r="AR235" i="10"/>
  <c r="AX63" i="22"/>
  <c r="AY231" i="22"/>
  <c r="BH226" i="6"/>
  <c r="BG47" i="6"/>
  <c r="AE229" i="10"/>
  <c r="AD59" i="10"/>
  <c r="AT229" i="8"/>
  <c r="AS59" i="8"/>
  <c r="BE228" i="11"/>
  <c r="BD57" i="11"/>
  <c r="BB223" i="11"/>
  <c r="BA47" i="11"/>
  <c r="BF77" i="22"/>
  <c r="BG238" i="22"/>
  <c r="AP75" i="11"/>
  <c r="AQ237" i="11"/>
  <c r="AX63" i="8"/>
  <c r="AY231" i="8"/>
  <c r="AI67" i="22"/>
  <c r="AJ233" i="22"/>
  <c r="BE77" i="10"/>
  <c r="BF238" i="10"/>
  <c r="AV73" i="22"/>
  <c r="AW236" i="22"/>
  <c r="BH57" i="22"/>
  <c r="BI228" i="22"/>
  <c r="AV79" i="22"/>
  <c r="AW239" i="22"/>
  <c r="AV65" i="9"/>
  <c r="AW232" i="9"/>
  <c r="AU231" i="10"/>
  <c r="AT63" i="10"/>
  <c r="BG234" i="10"/>
  <c r="BF69" i="10"/>
  <c r="DQ54" i="10"/>
  <c r="DP144" i="10"/>
  <c r="AE65" i="10"/>
  <c r="AF232" i="10"/>
  <c r="BG235" i="8"/>
  <c r="BF71" i="8"/>
  <c r="BF238" i="11"/>
  <c r="BE77" i="11"/>
  <c r="BE77" i="7"/>
  <c r="BF238" i="7"/>
  <c r="AW79" i="9"/>
  <c r="AX239" i="9"/>
  <c r="DO146" i="10"/>
  <c r="DO145" i="10"/>
  <c r="BA61" i="7"/>
  <c r="BB230" i="7"/>
  <c r="AF233" i="9"/>
  <c r="AE67" i="9"/>
  <c r="BC59" i="7"/>
  <c r="BD229" i="7"/>
  <c r="BF61" i="10"/>
  <c r="BG230" i="10"/>
  <c r="AE81" i="10"/>
  <c r="AF240" i="10"/>
  <c r="R52" i="2"/>
  <c r="D52" i="20"/>
  <c r="BG49" i="10"/>
  <c r="BH224" i="10"/>
  <c r="BH219" i="10"/>
  <c r="BG39" i="10"/>
  <c r="BG222" i="10"/>
  <c r="BF45" i="10"/>
  <c r="BG41" i="10"/>
  <c r="BH220" i="10"/>
  <c r="BH216" i="10"/>
  <c r="BG33" i="10"/>
  <c r="BG35" i="10"/>
  <c r="BH217" i="10"/>
  <c r="BH221" i="10"/>
  <c r="BG43" i="10"/>
  <c r="BH31" i="10"/>
  <c r="BI215" i="10"/>
  <c r="BH53" i="10"/>
  <c r="BI226" i="10"/>
  <c r="BH223" i="10"/>
  <c r="BG47" i="10"/>
  <c r="BG223" i="22"/>
  <c r="BF47" i="22"/>
  <c r="BH221" i="22"/>
  <c r="BG43" i="22"/>
  <c r="BH51" i="22"/>
  <c r="BI225" i="22"/>
  <c r="BG53" i="22"/>
  <c r="BH226" i="22"/>
  <c r="BH47" i="8"/>
  <c r="BI223" i="8"/>
  <c r="BH225" i="8"/>
  <c r="BG51" i="8"/>
  <c r="AO61" i="8"/>
  <c r="AP230" i="8"/>
  <c r="AF79" i="10"/>
  <c r="AG239" i="10"/>
  <c r="AL69" i="8"/>
  <c r="AM234" i="8"/>
  <c r="AI75" i="7"/>
  <c r="AJ237" i="7"/>
  <c r="AD81" i="9"/>
  <c r="AE240" i="9"/>
  <c r="BI216" i="22"/>
  <c r="BH33" i="22"/>
  <c r="U101" i="2"/>
  <c r="W101" i="2"/>
  <c r="X101" i="2"/>
  <c r="V222" i="2"/>
  <c r="C101" i="2"/>
  <c r="E101" i="2"/>
  <c r="F101" i="2"/>
  <c r="D222" i="2"/>
  <c r="AK61" i="22"/>
  <c r="AL230" i="22"/>
  <c r="AG69" i="9"/>
  <c r="AH234" i="9"/>
  <c r="AJ71" i="7"/>
  <c r="AK235" i="7"/>
  <c r="AH75" i="10"/>
  <c r="AI237" i="10"/>
  <c r="AE71" i="9"/>
  <c r="AF235" i="9"/>
  <c r="X73" i="10"/>
  <c r="Y236" i="10"/>
  <c r="R65" i="7"/>
  <c r="S232" i="7"/>
  <c r="AJ67" i="8"/>
  <c r="AK233" i="8"/>
  <c r="AE57" i="10"/>
  <c r="AF228" i="10"/>
  <c r="AM101" i="2"/>
  <c r="AO101" i="2"/>
  <c r="AP101" i="2"/>
  <c r="AN222" i="2"/>
  <c r="AD101" i="2"/>
  <c r="AF101" i="2"/>
  <c r="AG101" i="2"/>
  <c r="AE222" i="2"/>
  <c r="AK81" i="11"/>
  <c r="AL240" i="11"/>
  <c r="AF65" i="22"/>
  <c r="AG232" i="22"/>
  <c r="AM223" i="2"/>
  <c r="BN223" i="2"/>
  <c r="U223" i="2"/>
  <c r="C223" i="2"/>
  <c r="AD223" i="2"/>
  <c r="L223" i="2"/>
  <c r="BE223" i="2"/>
  <c r="AV223" i="2"/>
  <c r="AM77" i="8"/>
  <c r="AN238" i="8"/>
  <c r="AH75" i="22"/>
  <c r="AI237" i="22"/>
  <c r="AC49" i="11"/>
  <c r="AD224" i="11"/>
  <c r="AB69" i="7"/>
  <c r="AC234" i="7"/>
  <c r="BD77" i="9"/>
  <c r="BE238" i="9"/>
  <c r="BN101" i="2"/>
  <c r="BP101" i="2"/>
  <c r="BQ101" i="2"/>
  <c r="BO222" i="2"/>
  <c r="AV101" i="2"/>
  <c r="AX101" i="2"/>
  <c r="AY101" i="2"/>
  <c r="AW222" i="2"/>
  <c r="BD73" i="9"/>
  <c r="BE236" i="9"/>
  <c r="AM73" i="11"/>
  <c r="AN236" i="11"/>
  <c r="AF81" i="7"/>
  <c r="AG240" i="7"/>
  <c r="A224" i="2"/>
  <c r="BW224" i="2"/>
  <c r="A104" i="2"/>
  <c r="AH75" i="8"/>
  <c r="AI237" i="8"/>
  <c r="AY73" i="8"/>
  <c r="AZ236" i="8"/>
  <c r="Y53" i="11"/>
  <c r="Z226" i="11"/>
  <c r="AH81" i="22"/>
  <c r="AI240" i="22"/>
  <c r="AJ69" i="22"/>
  <c r="AK234" i="22"/>
  <c r="AK67" i="11"/>
  <c r="AL233" i="11"/>
  <c r="M222" i="2"/>
  <c r="L101" i="2"/>
  <c r="N101" i="2"/>
  <c r="O101" i="2"/>
  <c r="BE101" i="2"/>
  <c r="BF222" i="2"/>
  <c r="U31" i="22"/>
  <c r="V215" i="22"/>
  <c r="I24" i="2"/>
  <c r="C24" i="20"/>
  <c r="B20" i="38"/>
  <c r="M12" i="39"/>
  <c r="C12" i="39"/>
  <c r="N22" i="20"/>
  <c r="O22" i="20"/>
  <c r="B85" i="38"/>
  <c r="T19" i="38"/>
  <c r="AC52" i="38"/>
  <c r="BG45" i="8"/>
  <c r="BH222" i="8"/>
  <c r="BC35" i="8"/>
  <c r="BD217" i="8"/>
  <c r="BF43" i="8"/>
  <c r="BG221" i="8"/>
  <c r="AW63" i="7"/>
  <c r="AX231" i="7"/>
  <c r="BG33" i="11"/>
  <c r="BH216" i="11"/>
  <c r="BH215" i="9"/>
  <c r="BG31" i="9"/>
  <c r="BI226" i="9"/>
  <c r="BH53" i="9"/>
  <c r="BF31" i="1"/>
  <c r="BG222" i="1"/>
  <c r="BH35" i="1"/>
  <c r="BI224" i="1"/>
  <c r="BI236" i="1"/>
  <c r="BH59" i="1"/>
  <c r="BH233" i="1"/>
  <c r="BG53" i="1"/>
  <c r="BG223" i="1"/>
  <c r="BF33" i="1"/>
  <c r="BI239" i="1"/>
  <c r="BH65" i="1"/>
  <c r="BH232" i="1"/>
  <c r="BG51" i="1"/>
  <c r="AJ43" i="2"/>
  <c r="F43" i="20"/>
  <c r="P31" i="39"/>
  <c r="E39" i="38"/>
  <c r="E105" i="38"/>
  <c r="T41" i="20"/>
  <c r="U41" i="20"/>
  <c r="R20" i="39"/>
  <c r="X30" i="20"/>
  <c r="Y30" i="20"/>
  <c r="G28" i="38"/>
  <c r="G93" i="38"/>
  <c r="Y27" i="38"/>
  <c r="AH60" i="38"/>
  <c r="BB32" i="2"/>
  <c r="H32" i="20"/>
  <c r="BG222" i="22"/>
  <c r="BF45" i="22"/>
  <c r="BH214" i="6"/>
  <c r="BG23" i="6"/>
  <c r="BH221" i="6"/>
  <c r="BG37" i="6"/>
  <c r="BH217" i="6"/>
  <c r="BG218" i="6"/>
  <c r="BF31" i="6"/>
  <c r="BH219" i="6"/>
  <c r="BG33" i="6"/>
  <c r="BH223" i="6"/>
  <c r="BG41" i="6"/>
  <c r="BH215" i="6"/>
  <c r="BG25" i="6"/>
  <c r="BH220" i="6"/>
  <c r="BG35" i="6"/>
  <c r="BG224" i="6"/>
  <c r="BF43" i="6"/>
  <c r="BG27" i="6"/>
  <c r="BH216" i="6"/>
  <c r="BH43" i="1"/>
  <c r="BI228" i="1"/>
  <c r="BE247" i="1"/>
  <c r="BD81" i="1"/>
  <c r="BC83" i="1"/>
  <c r="BD248" i="1"/>
  <c r="BG218" i="8"/>
  <c r="BF37" i="8"/>
  <c r="BC39" i="8"/>
  <c r="BD219" i="8"/>
  <c r="BD45" i="11"/>
  <c r="BE222" i="11"/>
  <c r="D39" i="38"/>
  <c r="D105" i="38"/>
  <c r="R41" i="20"/>
  <c r="S41" i="20"/>
  <c r="O31" i="39"/>
  <c r="AA43" i="2"/>
  <c r="E43" i="20"/>
  <c r="BF39" i="22"/>
  <c r="BG219" i="22"/>
  <c r="BG35" i="22"/>
  <c r="BH217" i="22"/>
  <c r="BH224" i="22"/>
  <c r="BG49" i="22"/>
  <c r="BH221" i="7"/>
  <c r="BG43" i="7"/>
  <c r="BG218" i="7"/>
  <c r="BF37" i="7"/>
  <c r="BF39" i="7"/>
  <c r="BG219" i="7"/>
  <c r="BF31" i="7"/>
  <c r="BG215" i="7"/>
  <c r="BE220" i="7"/>
  <c r="BD41" i="7"/>
  <c r="BH217" i="7"/>
  <c r="BG35" i="7"/>
  <c r="BE222" i="6"/>
  <c r="BD39" i="6"/>
  <c r="BE219" i="9"/>
  <c r="BD39" i="9"/>
  <c r="BH47" i="9"/>
  <c r="BI223" i="9"/>
  <c r="BG35" i="9"/>
  <c r="BH217" i="9"/>
  <c r="BI43" i="9"/>
  <c r="BJ221" i="9"/>
  <c r="BD227" i="9"/>
  <c r="BC55" i="9"/>
  <c r="BF51" i="9"/>
  <c r="BG225" i="9"/>
  <c r="BE57" i="9"/>
  <c r="BF228" i="9"/>
  <c r="BH222" i="9"/>
  <c r="BG45" i="9"/>
  <c r="BG49" i="9"/>
  <c r="BH224" i="9"/>
  <c r="BH244" i="1"/>
  <c r="BG75" i="1"/>
  <c r="BF245" i="1"/>
  <c r="BE77" i="1"/>
  <c r="BI246" i="1"/>
  <c r="BH79" i="1"/>
  <c r="BG240" i="1"/>
  <c r="BF67" i="1"/>
  <c r="BG237" i="1"/>
  <c r="BF61" i="1"/>
  <c r="BF243" i="1"/>
  <c r="BE73" i="1"/>
  <c r="BH242" i="1"/>
  <c r="BG71" i="1"/>
  <c r="BB235" i="1"/>
  <c r="BA57" i="1"/>
  <c r="BC221" i="11"/>
  <c r="BB43" i="11"/>
  <c r="AS34" i="2"/>
  <c r="G34" i="20"/>
  <c r="Q22" i="39"/>
  <c r="V32" i="20"/>
  <c r="W32" i="20"/>
  <c r="F30" i="38"/>
  <c r="F96" i="38"/>
  <c r="BE220" i="11"/>
  <c r="BD41" i="11"/>
  <c r="BE215" i="11"/>
  <c r="BG218" i="11"/>
  <c r="BF37" i="11"/>
  <c r="BH219" i="11"/>
  <c r="BG39" i="11"/>
  <c r="BH225" i="10"/>
  <c r="BG51" i="10"/>
  <c r="BH218" i="10"/>
  <c r="BG37" i="10"/>
  <c r="BI229" i="22"/>
  <c r="BH59" i="22"/>
  <c r="BH218" i="22"/>
  <c r="BH220" i="22"/>
  <c r="BG41" i="22"/>
  <c r="BH227" i="22"/>
  <c r="BG55" i="22"/>
  <c r="BF228" i="8"/>
  <c r="BE57" i="8"/>
  <c r="BH227" i="8"/>
  <c r="BG55" i="8"/>
  <c r="BI220" i="8"/>
  <c r="BH41" i="8"/>
  <c r="BI216" i="8"/>
  <c r="BH33" i="8"/>
  <c r="BI226" i="8"/>
  <c r="BH53" i="8"/>
  <c r="BJ215" i="8"/>
  <c r="BI31" i="8"/>
  <c r="BI224" i="8"/>
  <c r="BH49" i="8"/>
  <c r="BI227" i="7"/>
  <c r="BH55" i="7"/>
  <c r="BI226" i="7"/>
  <c r="BH53" i="7"/>
  <c r="BI225" i="7"/>
  <c r="BH51" i="7"/>
  <c r="BG223" i="7"/>
  <c r="BF47" i="7"/>
  <c r="BF222" i="7"/>
  <c r="BE45" i="7"/>
  <c r="BB216" i="7"/>
  <c r="BA33" i="7"/>
  <c r="BI231" i="6"/>
  <c r="BH57" i="6"/>
  <c r="BI230" i="6"/>
  <c r="BH55" i="6"/>
  <c r="BI229" i="6"/>
  <c r="BH53" i="6"/>
  <c r="BI228" i="6"/>
  <c r="BH51" i="6"/>
  <c r="BI227" i="6"/>
  <c r="BH49" i="6"/>
  <c r="BG225" i="6"/>
  <c r="BF45" i="6"/>
  <c r="BH230" i="9"/>
  <c r="BG61" i="9"/>
  <c r="BI229" i="9"/>
  <c r="BH59" i="9"/>
  <c r="BH220" i="9"/>
  <c r="BG41" i="9"/>
  <c r="BE216" i="9"/>
  <c r="BD33" i="9"/>
  <c r="BH218" i="9"/>
  <c r="BG37" i="9"/>
  <c r="BG241" i="1"/>
  <c r="BF69" i="1"/>
  <c r="BI238" i="1"/>
  <c r="BH63" i="1"/>
  <c r="BI234" i="1"/>
  <c r="BH55" i="1"/>
  <c r="BI230" i="1"/>
  <c r="BH47" i="1"/>
  <c r="BG231" i="1"/>
  <c r="BF49" i="1"/>
  <c r="BG229" i="1"/>
  <c r="BF45" i="1"/>
  <c r="BI226" i="1"/>
  <c r="BH39" i="1"/>
  <c r="BG225" i="1"/>
  <c r="BF37" i="1"/>
  <c r="BG227" i="1"/>
  <c r="BF41" i="1"/>
  <c r="BG49" i="7"/>
  <c r="BH224" i="7"/>
  <c r="BW103" i="2"/>
  <c r="BY103" i="2"/>
  <c r="BZ103" i="2"/>
  <c r="CB103" i="2"/>
  <c r="BX224" i="2"/>
  <c r="X75" i="9"/>
  <c r="Y237" i="9"/>
  <c r="I93" i="38"/>
  <c r="AA27" i="38"/>
  <c r="AJ60" i="38"/>
  <c r="J31" i="20"/>
  <c r="BT32" i="2"/>
  <c r="I28" i="38"/>
  <c r="I94" i="38"/>
  <c r="AB30" i="20"/>
  <c r="AC30" i="20"/>
  <c r="T20" i="39"/>
  <c r="I37" i="20"/>
  <c r="BK38" i="2"/>
  <c r="H34" i="38"/>
  <c r="H100" i="38"/>
  <c r="Z36" i="20"/>
  <c r="AA36" i="20"/>
  <c r="S26" i="39"/>
  <c r="CL39" i="2"/>
  <c r="L38" i="20"/>
  <c r="BJ96" i="2"/>
  <c r="CK96" i="2"/>
  <c r="BG101" i="2"/>
  <c r="CF101" i="2"/>
  <c r="BH100" i="2"/>
  <c r="CI100" i="2"/>
  <c r="CH100" i="2"/>
  <c r="CC19" i="2"/>
  <c r="K19" i="20"/>
  <c r="U9" i="39"/>
  <c r="DO147" i="10"/>
  <c r="AO95" i="40"/>
  <c r="AP324" i="40"/>
  <c r="AN111" i="40"/>
  <c r="AO332" i="40"/>
  <c r="AN101" i="40"/>
  <c r="AO327" i="40"/>
  <c r="AJ97" i="40"/>
  <c r="AK325" i="40"/>
  <c r="AN93" i="40"/>
  <c r="AO323" i="40"/>
  <c r="AN109" i="40"/>
  <c r="AO331" i="40"/>
  <c r="AJ107" i="40"/>
  <c r="AK330" i="40"/>
  <c r="AN103" i="40"/>
  <c r="AO328" i="40"/>
  <c r="AI105" i="40"/>
  <c r="AJ329" i="40"/>
  <c r="AH99" i="40"/>
  <c r="AI326" i="40"/>
  <c r="AO91" i="40"/>
  <c r="AR298" i="40"/>
  <c r="AQ43" i="40"/>
  <c r="AQ302" i="40"/>
  <c r="AP51" i="40"/>
  <c r="AP311" i="40"/>
  <c r="AO69" i="40"/>
  <c r="AP313" i="40"/>
  <c r="AO73" i="40"/>
  <c r="AR318" i="40"/>
  <c r="AQ83" i="40"/>
  <c r="AR300" i="40"/>
  <c r="AQ47" i="40"/>
  <c r="AR304" i="40"/>
  <c r="AQ55" i="40"/>
  <c r="AQ319" i="40"/>
  <c r="AP85" i="40"/>
  <c r="AR306" i="40"/>
  <c r="AQ59" i="40"/>
  <c r="AR312" i="40"/>
  <c r="AQ71" i="40"/>
  <c r="AP309" i="40"/>
  <c r="AO65" i="40"/>
  <c r="AR301" i="40"/>
  <c r="AQ49" i="40"/>
  <c r="AQ321" i="40"/>
  <c r="AP89" i="40"/>
  <c r="AR320" i="40"/>
  <c r="AQ87" i="40"/>
  <c r="AQ310" i="40"/>
  <c r="AP67" i="40"/>
  <c r="AR299" i="40"/>
  <c r="AQ45" i="40"/>
  <c r="AQ317" i="40"/>
  <c r="AP81" i="40"/>
  <c r="AQ315" i="40"/>
  <c r="AP77" i="40"/>
  <c r="AR316" i="40"/>
  <c r="AQ79" i="40"/>
  <c r="AR314" i="40"/>
  <c r="AQ75" i="40"/>
  <c r="AQ307" i="40"/>
  <c r="AP61" i="40"/>
  <c r="AQ297" i="40"/>
  <c r="AP41" i="40"/>
  <c r="AR308" i="40"/>
  <c r="AQ63" i="40"/>
  <c r="AR303" i="40"/>
  <c r="AQ53" i="40"/>
  <c r="AR305" i="40"/>
  <c r="AQ57" i="40"/>
  <c r="AR322" i="40"/>
  <c r="AE233" i="9"/>
  <c r="AD67" i="9"/>
  <c r="BE71" i="8"/>
  <c r="BF235" i="8"/>
  <c r="DP145" i="10"/>
  <c r="DP146" i="10"/>
  <c r="AS63" i="10"/>
  <c r="AT231" i="10"/>
  <c r="AZ47" i="11"/>
  <c r="BA223" i="11"/>
  <c r="AR59" i="8"/>
  <c r="AS229" i="8"/>
  <c r="BG226" i="6"/>
  <c r="BF47" i="6"/>
  <c r="BE63" i="9"/>
  <c r="BF231" i="9"/>
  <c r="BF230" i="10"/>
  <c r="BE61" i="10"/>
  <c r="BD77" i="7"/>
  <c r="BE238" i="7"/>
  <c r="DR54" i="10"/>
  <c r="DQ144" i="10"/>
  <c r="AV239" i="22"/>
  <c r="AU79" i="22"/>
  <c r="AU73" i="22"/>
  <c r="AV236" i="22"/>
  <c r="AI233" i="22"/>
  <c r="AH67" i="22"/>
  <c r="AP237" i="11"/>
  <c r="AO75" i="11"/>
  <c r="AP71" i="10"/>
  <c r="AQ235" i="10"/>
  <c r="BE79" i="8"/>
  <c r="BF239" i="8"/>
  <c r="AU67" i="10"/>
  <c r="AV233" i="10"/>
  <c r="BG233" i="7"/>
  <c r="BF67" i="7"/>
  <c r="BE238" i="11"/>
  <c r="BD77" i="11"/>
  <c r="BF234" i="10"/>
  <c r="BE69" i="10"/>
  <c r="BD228" i="11"/>
  <c r="BC57" i="11"/>
  <c r="AC59" i="10"/>
  <c r="AD229" i="10"/>
  <c r="BB239" i="11"/>
  <c r="BA79" i="11"/>
  <c r="AW71" i="22"/>
  <c r="AX235" i="22"/>
  <c r="AD81" i="10"/>
  <c r="AE240" i="10"/>
  <c r="BC229" i="7"/>
  <c r="BB59" i="7"/>
  <c r="BA230" i="7"/>
  <c r="AZ61" i="7"/>
  <c r="AV79" i="9"/>
  <c r="AW239" i="9"/>
  <c r="AE232" i="10"/>
  <c r="AD65" i="10"/>
  <c r="AU65" i="9"/>
  <c r="AV232" i="9"/>
  <c r="BG57" i="22"/>
  <c r="BH228" i="22"/>
  <c r="BD77" i="10"/>
  <c r="BE238" i="10"/>
  <c r="AW63" i="8"/>
  <c r="AX231" i="8"/>
  <c r="BF238" i="22"/>
  <c r="BE77" i="22"/>
  <c r="AW63" i="22"/>
  <c r="AX231" i="22"/>
  <c r="AX79" i="7"/>
  <c r="AY239" i="7"/>
  <c r="BD51" i="11"/>
  <c r="BE225" i="11"/>
  <c r="R53" i="2"/>
  <c r="D53" i="20"/>
  <c r="BG223" i="10"/>
  <c r="BF47" i="10"/>
  <c r="BF39" i="10"/>
  <c r="BG219" i="10"/>
  <c r="BG31" i="10"/>
  <c r="BH215" i="10"/>
  <c r="BF35" i="10"/>
  <c r="BG217" i="10"/>
  <c r="BG220" i="10"/>
  <c r="BF41" i="10"/>
  <c r="BG221" i="10"/>
  <c r="BF43" i="10"/>
  <c r="BG216" i="10"/>
  <c r="BF33" i="10"/>
  <c r="BE45" i="10"/>
  <c r="BF222" i="10"/>
  <c r="BH226" i="10"/>
  <c r="BG53" i="10"/>
  <c r="BG224" i="10"/>
  <c r="BF49" i="10"/>
  <c r="BH225" i="22"/>
  <c r="BG51" i="22"/>
  <c r="BF43" i="22"/>
  <c r="BG221" i="22"/>
  <c r="BE47" i="22"/>
  <c r="BF223" i="22"/>
  <c r="BF53" i="22"/>
  <c r="BG226" i="22"/>
  <c r="BG225" i="8"/>
  <c r="BF51" i="8"/>
  <c r="BG47" i="8"/>
  <c r="BH223" i="8"/>
  <c r="BC77" i="9"/>
  <c r="BD238" i="9"/>
  <c r="AA69" i="7"/>
  <c r="AB234" i="7"/>
  <c r="AB49" i="11"/>
  <c r="AC224" i="11"/>
  <c r="AG75" i="22"/>
  <c r="AH237" i="22"/>
  <c r="BE102" i="2"/>
  <c r="BF223" i="2"/>
  <c r="V223" i="2"/>
  <c r="U102" i="2"/>
  <c r="W102" i="2"/>
  <c r="X102" i="2"/>
  <c r="AE65" i="22"/>
  <c r="AF232" i="22"/>
  <c r="AD57" i="10"/>
  <c r="AE228" i="10"/>
  <c r="AI67" i="8"/>
  <c r="AJ233" i="8"/>
  <c r="Q65" i="7"/>
  <c r="R232" i="7"/>
  <c r="AG75" i="10"/>
  <c r="AH237" i="10"/>
  <c r="AF69" i="9"/>
  <c r="AG234" i="9"/>
  <c r="AJ61" i="22"/>
  <c r="AK230" i="22"/>
  <c r="AH75" i="7"/>
  <c r="AI237" i="7"/>
  <c r="AN61" i="8"/>
  <c r="AO230" i="8"/>
  <c r="T31" i="22"/>
  <c r="U215" i="22"/>
  <c r="AI69" i="22"/>
  <c r="AJ234" i="22"/>
  <c r="AG81" i="22"/>
  <c r="AH240" i="22"/>
  <c r="AX73" i="8"/>
  <c r="AY236" i="8"/>
  <c r="AE81" i="7"/>
  <c r="AF240" i="7"/>
  <c r="L102" i="2"/>
  <c r="N102" i="2"/>
  <c r="O102" i="2"/>
  <c r="M223" i="2"/>
  <c r="BN102" i="2"/>
  <c r="BP102" i="2"/>
  <c r="BQ102" i="2"/>
  <c r="BO223" i="2"/>
  <c r="BH216" i="22"/>
  <c r="BG33" i="22"/>
  <c r="A225" i="2"/>
  <c r="BW225" i="2"/>
  <c r="A105" i="2"/>
  <c r="AL77" i="8"/>
  <c r="AM238" i="8"/>
  <c r="AD102" i="2"/>
  <c r="AF102" i="2"/>
  <c r="AG102" i="2"/>
  <c r="AE223" i="2"/>
  <c r="AN223" i="2"/>
  <c r="AM102" i="2"/>
  <c r="AO102" i="2"/>
  <c r="AP102" i="2"/>
  <c r="AJ81" i="11"/>
  <c r="AK240" i="11"/>
  <c r="W73" i="10"/>
  <c r="X236" i="10"/>
  <c r="AD71" i="9"/>
  <c r="AE235" i="9"/>
  <c r="AI71" i="7"/>
  <c r="AJ235" i="7"/>
  <c r="AC81" i="9"/>
  <c r="AD240" i="9"/>
  <c r="AK69" i="8"/>
  <c r="AL234" i="8"/>
  <c r="AE79" i="10"/>
  <c r="AF239" i="10"/>
  <c r="AJ67" i="11"/>
  <c r="AK233" i="11"/>
  <c r="X53" i="11"/>
  <c r="Y226" i="11"/>
  <c r="AG75" i="8"/>
  <c r="AH237" i="8"/>
  <c r="AM224" i="2"/>
  <c r="BE224" i="2"/>
  <c r="AD224" i="2"/>
  <c r="U224" i="2"/>
  <c r="L224" i="2"/>
  <c r="BN224" i="2"/>
  <c r="C224" i="2"/>
  <c r="AV224" i="2"/>
  <c r="AL73" i="11"/>
  <c r="AM236" i="11"/>
  <c r="BC73" i="9"/>
  <c r="BD236" i="9"/>
  <c r="AV102" i="2"/>
  <c r="AX102" i="2"/>
  <c r="AY102" i="2"/>
  <c r="AW223" i="2"/>
  <c r="C102" i="2"/>
  <c r="E102" i="2"/>
  <c r="F102" i="2"/>
  <c r="D223" i="2"/>
  <c r="T20" i="38"/>
  <c r="AC53" i="38"/>
  <c r="B86" i="38"/>
  <c r="B21" i="38"/>
  <c r="N23" i="20"/>
  <c r="O23" i="20"/>
  <c r="M13" i="39"/>
  <c r="C13" i="39"/>
  <c r="I25" i="2"/>
  <c r="C25" i="20"/>
  <c r="BF221" i="8"/>
  <c r="BE43" i="8"/>
  <c r="BB35" i="8"/>
  <c r="BC217" i="8"/>
  <c r="BF45" i="8"/>
  <c r="BG222" i="8"/>
  <c r="BF33" i="11"/>
  <c r="BG216" i="11"/>
  <c r="AV63" i="7"/>
  <c r="AW231" i="7"/>
  <c r="BH226" i="9"/>
  <c r="BG53" i="9"/>
  <c r="BG215" i="9"/>
  <c r="BF31" i="9"/>
  <c r="BF222" i="1"/>
  <c r="BE31" i="1"/>
  <c r="BH224" i="1"/>
  <c r="BG35" i="1"/>
  <c r="BH239" i="1"/>
  <c r="BG65" i="1"/>
  <c r="BF223" i="1"/>
  <c r="BE33" i="1"/>
  <c r="BG233" i="1"/>
  <c r="BF53" i="1"/>
  <c r="BH236" i="1"/>
  <c r="BG59" i="1"/>
  <c r="BG232" i="1"/>
  <c r="BF51" i="1"/>
  <c r="AJ44" i="2"/>
  <c r="F44" i="20"/>
  <c r="E40" i="38"/>
  <c r="E106" i="38"/>
  <c r="P32" i="39"/>
  <c r="T42" i="20"/>
  <c r="U42" i="20"/>
  <c r="BB33" i="2"/>
  <c r="H33" i="20"/>
  <c r="Y28" i="38"/>
  <c r="AH61" i="38"/>
  <c r="G94" i="38"/>
  <c r="R21" i="39"/>
  <c r="X31" i="20"/>
  <c r="Y31" i="20"/>
  <c r="G29" i="38"/>
  <c r="BF222" i="22"/>
  <c r="BE45" i="22"/>
  <c r="BF224" i="6"/>
  <c r="BE43" i="6"/>
  <c r="BF35" i="6"/>
  <c r="BG220" i="6"/>
  <c r="BG215" i="6"/>
  <c r="BF25" i="6"/>
  <c r="BG223" i="6"/>
  <c r="BF41" i="6"/>
  <c r="BF33" i="6"/>
  <c r="BG219" i="6"/>
  <c r="BF218" i="6"/>
  <c r="BE31" i="6"/>
  <c r="BG217" i="6"/>
  <c r="BG221" i="6"/>
  <c r="BF37" i="6"/>
  <c r="BG214" i="6"/>
  <c r="BF23" i="6"/>
  <c r="BF27" i="6"/>
  <c r="BG216" i="6"/>
  <c r="BD247" i="1"/>
  <c r="BC81" i="1"/>
  <c r="BB83" i="1"/>
  <c r="BC248" i="1"/>
  <c r="BG43" i="1"/>
  <c r="BH228" i="1"/>
  <c r="BC219" i="8"/>
  <c r="BB39" i="8"/>
  <c r="BE37" i="8"/>
  <c r="BF218" i="8"/>
  <c r="BC45" i="11"/>
  <c r="BD222" i="11"/>
  <c r="D40" i="38"/>
  <c r="D106" i="38"/>
  <c r="O32" i="39"/>
  <c r="R42" i="20"/>
  <c r="S42" i="20"/>
  <c r="AA44" i="2"/>
  <c r="E44" i="20"/>
  <c r="BG217" i="22"/>
  <c r="BF35" i="22"/>
  <c r="BF49" i="22"/>
  <c r="BG224" i="22"/>
  <c r="BF219" i="22"/>
  <c r="BE39" i="22"/>
  <c r="BF218" i="7"/>
  <c r="BE37" i="7"/>
  <c r="BF215" i="7"/>
  <c r="BE31" i="7"/>
  <c r="BG217" i="7"/>
  <c r="BF35" i="7"/>
  <c r="BC41" i="7"/>
  <c r="BD220" i="7"/>
  <c r="BG221" i="7"/>
  <c r="BF43" i="7"/>
  <c r="BF219" i="7"/>
  <c r="BE39" i="7"/>
  <c r="BC39" i="6"/>
  <c r="BD222" i="6"/>
  <c r="BH43" i="9"/>
  <c r="BI221" i="9"/>
  <c r="BH223" i="9"/>
  <c r="BG47" i="9"/>
  <c r="BC227" i="9"/>
  <c r="BB55" i="9"/>
  <c r="BD219" i="9"/>
  <c r="BC39" i="9"/>
  <c r="BG217" i="9"/>
  <c r="BF35" i="9"/>
  <c r="BE51" i="9"/>
  <c r="BF225" i="9"/>
  <c r="BG224" i="9"/>
  <c r="BF49" i="9"/>
  <c r="BD57" i="9"/>
  <c r="BE228" i="9"/>
  <c r="BG222" i="9"/>
  <c r="BF45" i="9"/>
  <c r="AZ57" i="1"/>
  <c r="BA235" i="1"/>
  <c r="BG242" i="1"/>
  <c r="BF71" i="1"/>
  <c r="BE243" i="1"/>
  <c r="BD73" i="1"/>
  <c r="BH246" i="1"/>
  <c r="BG79" i="1"/>
  <c r="BE245" i="1"/>
  <c r="BD77" i="1"/>
  <c r="BF237" i="1"/>
  <c r="BE61" i="1"/>
  <c r="BF240" i="1"/>
  <c r="BE67" i="1"/>
  <c r="BG244" i="1"/>
  <c r="BF75" i="1"/>
  <c r="BB221" i="11"/>
  <c r="BA43" i="11"/>
  <c r="AS35" i="2"/>
  <c r="G35" i="20"/>
  <c r="Q23" i="39"/>
  <c r="V33" i="20"/>
  <c r="W33" i="20"/>
  <c r="F31" i="38"/>
  <c r="F97" i="38"/>
  <c r="BF218" i="11"/>
  <c r="BE37" i="11"/>
  <c r="BD220" i="11"/>
  <c r="BC41" i="11"/>
  <c r="BG219" i="11"/>
  <c r="BF39" i="11"/>
  <c r="BD215" i="11"/>
  <c r="BG225" i="10"/>
  <c r="BF51" i="10"/>
  <c r="BG218" i="10"/>
  <c r="BF37" i="10"/>
  <c r="BH229" i="22"/>
  <c r="BG59" i="22"/>
  <c r="BG227" i="22"/>
  <c r="BF55" i="22"/>
  <c r="BG220" i="22"/>
  <c r="BF41" i="22"/>
  <c r="BG218" i="22"/>
  <c r="BE228" i="8"/>
  <c r="BD57" i="8"/>
  <c r="BG227" i="8"/>
  <c r="BF55" i="8"/>
  <c r="BH224" i="8"/>
  <c r="BG49" i="8"/>
  <c r="BI215" i="8"/>
  <c r="BH31" i="8"/>
  <c r="BH226" i="8"/>
  <c r="BG53" i="8"/>
  <c r="BH216" i="8"/>
  <c r="BG33" i="8"/>
  <c r="BH220" i="8"/>
  <c r="BG41" i="8"/>
  <c r="BH227" i="7"/>
  <c r="BG55" i="7"/>
  <c r="BH226" i="7"/>
  <c r="BG53" i="7"/>
  <c r="BH225" i="7"/>
  <c r="BG51" i="7"/>
  <c r="BE222" i="7"/>
  <c r="BD45" i="7"/>
  <c r="BA216" i="7"/>
  <c r="AZ33" i="7"/>
  <c r="BF223" i="7"/>
  <c r="BE47" i="7"/>
  <c r="BH231" i="6"/>
  <c r="BG57" i="6"/>
  <c r="BH230" i="6"/>
  <c r="BG55" i="6"/>
  <c r="BH229" i="6"/>
  <c r="BG53" i="6"/>
  <c r="BH228" i="6"/>
  <c r="BG51" i="6"/>
  <c r="BH227" i="6"/>
  <c r="BG49" i="6"/>
  <c r="BF225" i="6"/>
  <c r="BE45" i="6"/>
  <c r="BG230" i="9"/>
  <c r="BF61" i="9"/>
  <c r="BH229" i="9"/>
  <c r="BG59" i="9"/>
  <c r="BD216" i="9"/>
  <c r="BC33" i="9"/>
  <c r="BG220" i="9"/>
  <c r="BF41" i="9"/>
  <c r="BG218" i="9"/>
  <c r="BF37" i="9"/>
  <c r="BF241" i="1"/>
  <c r="BE69" i="1"/>
  <c r="BH238" i="1"/>
  <c r="BG63" i="1"/>
  <c r="BH230" i="1"/>
  <c r="BG47" i="1"/>
  <c r="BF231" i="1"/>
  <c r="BE49" i="1"/>
  <c r="BH234" i="1"/>
  <c r="BG55" i="1"/>
  <c r="BF229" i="1"/>
  <c r="BE45" i="1"/>
  <c r="BF225" i="1"/>
  <c r="BE37" i="1"/>
  <c r="BF227" i="1"/>
  <c r="BE41" i="1"/>
  <c r="BH226" i="1"/>
  <c r="BG39" i="1"/>
  <c r="BG224" i="7"/>
  <c r="BF49" i="7"/>
  <c r="BW104" i="2"/>
  <c r="BY104" i="2"/>
  <c r="BZ104" i="2"/>
  <c r="CB104" i="2"/>
  <c r="BX225" i="2"/>
  <c r="W75" i="9"/>
  <c r="X237" i="9"/>
  <c r="J32" i="20"/>
  <c r="BT33" i="2"/>
  <c r="T21" i="39"/>
  <c r="I29" i="38"/>
  <c r="I95" i="38"/>
  <c r="AB31" i="20"/>
  <c r="AC31" i="20"/>
  <c r="I38" i="20"/>
  <c r="BK39" i="2"/>
  <c r="Z37" i="20"/>
  <c r="AA37" i="20"/>
  <c r="H35" i="38"/>
  <c r="H101" i="38"/>
  <c r="S27" i="39"/>
  <c r="CL40" i="2"/>
  <c r="L39" i="20"/>
  <c r="BJ97" i="2"/>
  <c r="CK97" i="2"/>
  <c r="BG102" i="2"/>
  <c r="CF102" i="2"/>
  <c r="BH101" i="2"/>
  <c r="CI101" i="2"/>
  <c r="CH101" i="2"/>
  <c r="CC20" i="2"/>
  <c r="K20" i="20"/>
  <c r="U10" i="39"/>
  <c r="DP147" i="10"/>
  <c r="AG99" i="40"/>
  <c r="AH326" i="40"/>
  <c r="AM103" i="40"/>
  <c r="AN328" i="40"/>
  <c r="AM109" i="40"/>
  <c r="AN331" i="40"/>
  <c r="AI97" i="40"/>
  <c r="AJ325" i="40"/>
  <c r="AM111" i="40"/>
  <c r="AN332" i="40"/>
  <c r="AH105" i="40"/>
  <c r="AI329" i="40"/>
  <c r="AI107" i="40"/>
  <c r="AJ330" i="40"/>
  <c r="AM93" i="40"/>
  <c r="AN323" i="40"/>
  <c r="AM101" i="40"/>
  <c r="AN327" i="40"/>
  <c r="AN95" i="40"/>
  <c r="AO324" i="40"/>
  <c r="AN91" i="40"/>
  <c r="AQ322" i="40"/>
  <c r="AP315" i="40"/>
  <c r="AO77" i="40"/>
  <c r="AQ300" i="40"/>
  <c r="AP47" i="40"/>
  <c r="AP297" i="40"/>
  <c r="AO41" i="40"/>
  <c r="AQ299" i="40"/>
  <c r="AP45" i="40"/>
  <c r="AQ301" i="40"/>
  <c r="AP49" i="40"/>
  <c r="AP319" i="40"/>
  <c r="AO85" i="40"/>
  <c r="AO313" i="40"/>
  <c r="AN73" i="40"/>
  <c r="AQ305" i="40"/>
  <c r="AP57" i="40"/>
  <c r="AQ308" i="40"/>
  <c r="AP63" i="40"/>
  <c r="AP307" i="40"/>
  <c r="AO61" i="40"/>
  <c r="AQ316" i="40"/>
  <c r="AP79" i="40"/>
  <c r="AP317" i="40"/>
  <c r="AO81" i="40"/>
  <c r="AP310" i="40"/>
  <c r="AO67" i="40"/>
  <c r="AP321" i="40"/>
  <c r="AO89" i="40"/>
  <c r="AO309" i="40"/>
  <c r="AN65" i="40"/>
  <c r="AQ306" i="40"/>
  <c r="AP59" i="40"/>
  <c r="AQ304" i="40"/>
  <c r="AP55" i="40"/>
  <c r="AQ318" i="40"/>
  <c r="AP83" i="40"/>
  <c r="AO311" i="40"/>
  <c r="AN69" i="40"/>
  <c r="AQ298" i="40"/>
  <c r="AP43" i="40"/>
  <c r="AQ303" i="40"/>
  <c r="AP53" i="40"/>
  <c r="AQ314" i="40"/>
  <c r="AP75" i="40"/>
  <c r="AQ320" i="40"/>
  <c r="AP87" i="40"/>
  <c r="AQ312" i="40"/>
  <c r="AP71" i="40"/>
  <c r="AP302" i="40"/>
  <c r="AO51" i="40"/>
  <c r="AC65" i="10"/>
  <c r="AD232" i="10"/>
  <c r="AY61" i="7"/>
  <c r="AZ230" i="7"/>
  <c r="BA239" i="11"/>
  <c r="AZ79" i="11"/>
  <c r="BC228" i="11"/>
  <c r="BB57" i="11"/>
  <c r="BD238" i="11"/>
  <c r="BC77" i="11"/>
  <c r="AG67" i="22"/>
  <c r="AH233" i="22"/>
  <c r="AT79" i="22"/>
  <c r="AU239" i="22"/>
  <c r="AX239" i="7"/>
  <c r="AW79" i="7"/>
  <c r="AW231" i="22"/>
  <c r="AV63" i="22"/>
  <c r="AV63" i="8"/>
  <c r="AW231" i="8"/>
  <c r="BG228" i="22"/>
  <c r="BF57" i="22"/>
  <c r="AC81" i="10"/>
  <c r="AD240" i="10"/>
  <c r="AT67" i="10"/>
  <c r="AU233" i="10"/>
  <c r="AP235" i="10"/>
  <c r="AO71" i="10"/>
  <c r="BC77" i="7"/>
  <c r="BD238" i="7"/>
  <c r="BE231" i="9"/>
  <c r="BD63" i="9"/>
  <c r="AQ59" i="8"/>
  <c r="AR229" i="8"/>
  <c r="AR63" i="10"/>
  <c r="AS231" i="10"/>
  <c r="BD71" i="8"/>
  <c r="BE235" i="8"/>
  <c r="BD77" i="22"/>
  <c r="BE238" i="22"/>
  <c r="BA59" i="7"/>
  <c r="BB229" i="7"/>
  <c r="BE234" i="10"/>
  <c r="BD69" i="10"/>
  <c r="BE67" i="7"/>
  <c r="BF233" i="7"/>
  <c r="AN75" i="11"/>
  <c r="AO237" i="11"/>
  <c r="DQ145" i="10"/>
  <c r="DQ146" i="10"/>
  <c r="BD61" i="10"/>
  <c r="BE230" i="10"/>
  <c r="BF226" i="6"/>
  <c r="BE47" i="6"/>
  <c r="AC67" i="9"/>
  <c r="AD233" i="9"/>
  <c r="BC51" i="11"/>
  <c r="BD225" i="11"/>
  <c r="BC77" i="10"/>
  <c r="BD238" i="10"/>
  <c r="AT65" i="9"/>
  <c r="AU232" i="9"/>
  <c r="AU79" i="9"/>
  <c r="AV239" i="9"/>
  <c r="AV71" i="22"/>
  <c r="AW235" i="22"/>
  <c r="AB59" i="10"/>
  <c r="AC229" i="10"/>
  <c r="BD79" i="8"/>
  <c r="BE239" i="8"/>
  <c r="AT73" i="22"/>
  <c r="AU236" i="22"/>
  <c r="DS54" i="10"/>
  <c r="DR144" i="10"/>
  <c r="AY47" i="11"/>
  <c r="AZ223" i="11"/>
  <c r="R54" i="2"/>
  <c r="D54" i="20"/>
  <c r="BF224" i="10"/>
  <c r="BE49" i="10"/>
  <c r="BF221" i="10"/>
  <c r="BE43" i="10"/>
  <c r="BE222" i="10"/>
  <c r="BD45" i="10"/>
  <c r="BF217" i="10"/>
  <c r="BE35" i="10"/>
  <c r="BF219" i="10"/>
  <c r="BE39" i="10"/>
  <c r="BF53" i="10"/>
  <c r="BG226" i="10"/>
  <c r="BF216" i="10"/>
  <c r="BE33" i="10"/>
  <c r="BF220" i="10"/>
  <c r="BE41" i="10"/>
  <c r="BF223" i="10"/>
  <c r="BE47" i="10"/>
  <c r="BF31" i="10"/>
  <c r="BG215" i="10"/>
  <c r="BE223" i="22"/>
  <c r="BD47" i="22"/>
  <c r="BG225" i="22"/>
  <c r="BF51" i="22"/>
  <c r="BE53" i="22"/>
  <c r="BF226" i="22"/>
  <c r="BE43" i="22"/>
  <c r="BF221" i="22"/>
  <c r="BF47" i="8"/>
  <c r="BG223" i="8"/>
  <c r="BF225" i="8"/>
  <c r="BE51" i="8"/>
  <c r="AV103" i="2"/>
  <c r="AX103" i="2"/>
  <c r="AY103" i="2"/>
  <c r="AW224" i="2"/>
  <c r="V224" i="2"/>
  <c r="U103" i="2"/>
  <c r="W103" i="2"/>
  <c r="X103" i="2"/>
  <c r="AF81" i="22"/>
  <c r="AG240" i="22"/>
  <c r="S31" i="22"/>
  <c r="T215" i="22"/>
  <c r="AE69" i="9"/>
  <c r="AF234" i="9"/>
  <c r="P65" i="7"/>
  <c r="Q232" i="7"/>
  <c r="AC57" i="10"/>
  <c r="AD228" i="10"/>
  <c r="AF75" i="22"/>
  <c r="AG237" i="22"/>
  <c r="Z69" i="7"/>
  <c r="AA234" i="7"/>
  <c r="BB73" i="9"/>
  <c r="BC236" i="9"/>
  <c r="C103" i="2"/>
  <c r="E103" i="2"/>
  <c r="F103" i="2"/>
  <c r="D224" i="2"/>
  <c r="AD103" i="2"/>
  <c r="AF103" i="2"/>
  <c r="AG103" i="2"/>
  <c r="AE224" i="2"/>
  <c r="AI67" i="11"/>
  <c r="AJ233" i="11"/>
  <c r="AD79" i="10"/>
  <c r="AE239" i="10"/>
  <c r="AB81" i="9"/>
  <c r="AC240" i="9"/>
  <c r="AH71" i="7"/>
  <c r="AI235" i="7"/>
  <c r="V73" i="10"/>
  <c r="W236" i="10"/>
  <c r="AI81" i="11"/>
  <c r="AJ240" i="11"/>
  <c r="A106" i="2"/>
  <c r="A226" i="2"/>
  <c r="BW226" i="2"/>
  <c r="BN103" i="2"/>
  <c r="BP103" i="2"/>
  <c r="BQ103" i="2"/>
  <c r="BO224" i="2"/>
  <c r="BE103" i="2"/>
  <c r="BF224" i="2"/>
  <c r="BN225" i="2"/>
  <c r="AM225" i="2"/>
  <c r="U225" i="2"/>
  <c r="L225" i="2"/>
  <c r="BE225" i="2"/>
  <c r="AV225" i="2"/>
  <c r="AD225" i="2"/>
  <c r="C225" i="2"/>
  <c r="AD81" i="7"/>
  <c r="AE240" i="7"/>
  <c r="AW73" i="8"/>
  <c r="AX236" i="8"/>
  <c r="AH69" i="22"/>
  <c r="AI234" i="22"/>
  <c r="AM61" i="8"/>
  <c r="AN230" i="8"/>
  <c r="AG75" i="7"/>
  <c r="AH237" i="7"/>
  <c r="AI61" i="22"/>
  <c r="AJ230" i="22"/>
  <c r="AF75" i="10"/>
  <c r="AG237" i="10"/>
  <c r="AH67" i="8"/>
  <c r="AI233" i="8"/>
  <c r="AD65" i="22"/>
  <c r="AE232" i="22"/>
  <c r="AA49" i="11"/>
  <c r="AB224" i="11"/>
  <c r="BB77" i="9"/>
  <c r="BC238" i="9"/>
  <c r="AK73" i="11"/>
  <c r="AL236" i="11"/>
  <c r="L103" i="2"/>
  <c r="N103" i="2"/>
  <c r="O103" i="2"/>
  <c r="M224" i="2"/>
  <c r="AN224" i="2"/>
  <c r="AM103" i="2"/>
  <c r="AO103" i="2"/>
  <c r="AP103" i="2"/>
  <c r="AF75" i="8"/>
  <c r="AG237" i="8"/>
  <c r="W53" i="11"/>
  <c r="X226" i="11"/>
  <c r="AJ69" i="8"/>
  <c r="AK234" i="8"/>
  <c r="AC71" i="9"/>
  <c r="AD235" i="9"/>
  <c r="AK77" i="8"/>
  <c r="AL238" i="8"/>
  <c r="BF33" i="22"/>
  <c r="BG216" i="22"/>
  <c r="B22" i="38"/>
  <c r="N24" i="20"/>
  <c r="O24" i="20"/>
  <c r="M14" i="39"/>
  <c r="C14" i="39"/>
  <c r="T21" i="38"/>
  <c r="AC54" i="38"/>
  <c r="B87" i="38"/>
  <c r="I26" i="2"/>
  <c r="C26" i="20"/>
  <c r="BF222" i="8"/>
  <c r="BE45" i="8"/>
  <c r="BB217" i="8"/>
  <c r="BA35" i="8"/>
  <c r="BE221" i="8"/>
  <c r="BD43" i="8"/>
  <c r="AU63" i="7"/>
  <c r="AV231" i="7"/>
  <c r="BE33" i="11"/>
  <c r="BF216" i="11"/>
  <c r="BE31" i="9"/>
  <c r="BF215" i="9"/>
  <c r="BG226" i="9"/>
  <c r="BF53" i="9"/>
  <c r="BD31" i="1"/>
  <c r="BE222" i="1"/>
  <c r="BF59" i="1"/>
  <c r="BG236" i="1"/>
  <c r="BE53" i="1"/>
  <c r="BF233" i="1"/>
  <c r="BD33" i="1"/>
  <c r="BE223" i="1"/>
  <c r="BG239" i="1"/>
  <c r="BF65" i="1"/>
  <c r="BF35" i="1"/>
  <c r="BG224" i="1"/>
  <c r="BE51" i="1"/>
  <c r="BF232" i="1"/>
  <c r="E41" i="38"/>
  <c r="E107" i="38"/>
  <c r="P33" i="39"/>
  <c r="T43" i="20"/>
  <c r="U43" i="20"/>
  <c r="AJ45" i="2"/>
  <c r="F45" i="20"/>
  <c r="Y29" i="38"/>
  <c r="AH62" i="38"/>
  <c r="G95" i="38"/>
  <c r="BB34" i="2"/>
  <c r="H34" i="20"/>
  <c r="G30" i="38"/>
  <c r="X32" i="20"/>
  <c r="Y32" i="20"/>
  <c r="R22" i="39"/>
  <c r="BD45" i="22"/>
  <c r="BE222" i="22"/>
  <c r="BF217" i="6"/>
  <c r="BE224" i="6"/>
  <c r="BD43" i="6"/>
  <c r="BE23" i="6"/>
  <c r="BF214" i="6"/>
  <c r="BF221" i="6"/>
  <c r="BE37" i="6"/>
  <c r="BD31" i="6"/>
  <c r="BE218" i="6"/>
  <c r="BF223" i="6"/>
  <c r="BE41" i="6"/>
  <c r="BF215" i="6"/>
  <c r="BE25" i="6"/>
  <c r="BE27" i="6"/>
  <c r="BF216" i="6"/>
  <c r="BE33" i="6"/>
  <c r="BF219" i="6"/>
  <c r="BF220" i="6"/>
  <c r="BE35" i="6"/>
  <c r="BC247" i="1"/>
  <c r="BB81" i="1"/>
  <c r="BF43" i="1"/>
  <c r="BG228" i="1"/>
  <c r="BA83" i="1"/>
  <c r="BB248" i="1"/>
  <c r="BD37" i="8"/>
  <c r="BE218" i="8"/>
  <c r="BA39" i="8"/>
  <c r="BB219" i="8"/>
  <c r="BB45" i="11"/>
  <c r="BC222" i="11"/>
  <c r="D41" i="38"/>
  <c r="D107" i="38"/>
  <c r="R43" i="20"/>
  <c r="S43" i="20"/>
  <c r="O33" i="39"/>
  <c r="AA45" i="2"/>
  <c r="E45" i="20"/>
  <c r="BF224" i="22"/>
  <c r="BE49" i="22"/>
  <c r="BE219" i="22"/>
  <c r="BD39" i="22"/>
  <c r="BF217" i="22"/>
  <c r="BE35" i="22"/>
  <c r="BF221" i="7"/>
  <c r="BE43" i="7"/>
  <c r="BF217" i="7"/>
  <c r="BE35" i="7"/>
  <c r="BE218" i="7"/>
  <c r="BD37" i="7"/>
  <c r="BE219" i="7"/>
  <c r="BD39" i="7"/>
  <c r="BE215" i="7"/>
  <c r="BD31" i="7"/>
  <c r="BC220" i="7"/>
  <c r="BB41" i="7"/>
  <c r="BC222" i="6"/>
  <c r="BB39" i="6"/>
  <c r="BC219" i="9"/>
  <c r="BB39" i="9"/>
  <c r="BG223" i="9"/>
  <c r="BF47" i="9"/>
  <c r="BF217" i="9"/>
  <c r="BE35" i="9"/>
  <c r="BB227" i="9"/>
  <c r="BA55" i="9"/>
  <c r="BH221" i="9"/>
  <c r="BG43" i="9"/>
  <c r="BE225" i="9"/>
  <c r="BD51" i="9"/>
  <c r="BF224" i="9"/>
  <c r="BE49" i="9"/>
  <c r="BE45" i="9"/>
  <c r="BF222" i="9"/>
  <c r="BC57" i="9"/>
  <c r="BD228" i="9"/>
  <c r="BE240" i="1"/>
  <c r="BD67" i="1"/>
  <c r="BD245" i="1"/>
  <c r="BC77" i="1"/>
  <c r="BF242" i="1"/>
  <c r="BE71" i="1"/>
  <c r="BF244" i="1"/>
  <c r="BE75" i="1"/>
  <c r="BE237" i="1"/>
  <c r="BD61" i="1"/>
  <c r="BG246" i="1"/>
  <c r="BF79" i="1"/>
  <c r="BD243" i="1"/>
  <c r="BC73" i="1"/>
  <c r="AY57" i="1"/>
  <c r="AZ235" i="1"/>
  <c r="BA221" i="11"/>
  <c r="AZ43" i="11"/>
  <c r="AS36" i="2"/>
  <c r="G36" i="20"/>
  <c r="F32" i="38"/>
  <c r="V34" i="20"/>
  <c r="W34" i="20"/>
  <c r="Q24" i="39"/>
  <c r="G24" i="39"/>
  <c r="BF219" i="11"/>
  <c r="BE39" i="11"/>
  <c r="BE218" i="11"/>
  <c r="BD37" i="11"/>
  <c r="BC215" i="11"/>
  <c r="BC220" i="11"/>
  <c r="BB41" i="11"/>
  <c r="BF225" i="10"/>
  <c r="BE51" i="10"/>
  <c r="BF218" i="10"/>
  <c r="BE37" i="10"/>
  <c r="BG229" i="22"/>
  <c r="BF59" i="22"/>
  <c r="BF218" i="22"/>
  <c r="BF220" i="22"/>
  <c r="BE41" i="22"/>
  <c r="BF227" i="22"/>
  <c r="BE55" i="22"/>
  <c r="BD228" i="8"/>
  <c r="BC57" i="8"/>
  <c r="BF227" i="8"/>
  <c r="BE55" i="8"/>
  <c r="BG220" i="8"/>
  <c r="BF41" i="8"/>
  <c r="BG226" i="8"/>
  <c r="BF53" i="8"/>
  <c r="BG224" i="8"/>
  <c r="BF49" i="8"/>
  <c r="BG216" i="8"/>
  <c r="BF33" i="8"/>
  <c r="BH215" i="8"/>
  <c r="BG31" i="8"/>
  <c r="BG227" i="7"/>
  <c r="BF55" i="7"/>
  <c r="BG226" i="7"/>
  <c r="BF53" i="7"/>
  <c r="BG225" i="7"/>
  <c r="BF51" i="7"/>
  <c r="AZ216" i="7"/>
  <c r="AY33" i="7"/>
  <c r="BD222" i="7"/>
  <c r="BC45" i="7"/>
  <c r="BE223" i="7"/>
  <c r="BD47" i="7"/>
  <c r="BG231" i="6"/>
  <c r="BF57" i="6"/>
  <c r="BG230" i="6"/>
  <c r="BF55" i="6"/>
  <c r="BG229" i="6"/>
  <c r="BF53" i="6"/>
  <c r="BG228" i="6"/>
  <c r="BF51" i="6"/>
  <c r="BG227" i="6"/>
  <c r="BF49" i="6"/>
  <c r="BE225" i="6"/>
  <c r="BD45" i="6"/>
  <c r="BF230" i="9"/>
  <c r="BE61" i="9"/>
  <c r="BG229" i="9"/>
  <c r="BF59" i="9"/>
  <c r="BC216" i="9"/>
  <c r="BB33" i="9"/>
  <c r="BF218" i="9"/>
  <c r="BE37" i="9"/>
  <c r="BF220" i="9"/>
  <c r="BE41" i="9"/>
  <c r="BE241" i="1"/>
  <c r="BD69" i="1"/>
  <c r="BG238" i="1"/>
  <c r="BF63" i="1"/>
  <c r="BG234" i="1"/>
  <c r="BF55" i="1"/>
  <c r="BG230" i="1"/>
  <c r="BF47" i="1"/>
  <c r="BE231" i="1"/>
  <c r="BD49" i="1"/>
  <c r="BE229" i="1"/>
  <c r="BD45" i="1"/>
  <c r="BG226" i="1"/>
  <c r="BF39" i="1"/>
  <c r="BE225" i="1"/>
  <c r="BD37" i="1"/>
  <c r="BE227" i="1"/>
  <c r="BD41" i="1"/>
  <c r="BE49" i="7"/>
  <c r="BF224" i="7"/>
  <c r="BW105" i="2"/>
  <c r="BY105" i="2"/>
  <c r="BZ105" i="2"/>
  <c r="CB105" i="2"/>
  <c r="BX226" i="2"/>
  <c r="V75" i="9"/>
  <c r="W237" i="9"/>
  <c r="J33" i="20"/>
  <c r="BT34" i="2"/>
  <c r="I30" i="38"/>
  <c r="I96" i="38"/>
  <c r="T22" i="39"/>
  <c r="AB32" i="20"/>
  <c r="AC32" i="20"/>
  <c r="I39" i="20"/>
  <c r="BK40" i="2"/>
  <c r="Z38" i="20"/>
  <c r="AA38" i="20"/>
  <c r="S28" i="39"/>
  <c r="H36" i="38"/>
  <c r="H102" i="38"/>
  <c r="CL41" i="2"/>
  <c r="L40" i="20"/>
  <c r="BJ98" i="2"/>
  <c r="CK98" i="2"/>
  <c r="BG103" i="2"/>
  <c r="CF103" i="2"/>
  <c r="BH102" i="2"/>
  <c r="CI102" i="2"/>
  <c r="CH102" i="2"/>
  <c r="CC21" i="2"/>
  <c r="K21" i="20"/>
  <c r="U11" i="39"/>
  <c r="AM95" i="40"/>
  <c r="AN324" i="40"/>
  <c r="AL93" i="40"/>
  <c r="AM323" i="40"/>
  <c r="AG105" i="40"/>
  <c r="AH329" i="40"/>
  <c r="AH97" i="40"/>
  <c r="AI325" i="40"/>
  <c r="AL103" i="40"/>
  <c r="AM328" i="40"/>
  <c r="AL101" i="40"/>
  <c r="AM327" i="40"/>
  <c r="AH107" i="40"/>
  <c r="AI330" i="40"/>
  <c r="AL111" i="40"/>
  <c r="AM332" i="40"/>
  <c r="AL109" i="40"/>
  <c r="AM331" i="40"/>
  <c r="AF99" i="40"/>
  <c r="AG326" i="40"/>
  <c r="AM91" i="40"/>
  <c r="AP308" i="40"/>
  <c r="AO63" i="40"/>
  <c r="AO302" i="40"/>
  <c r="AN51" i="40"/>
  <c r="AP303" i="40"/>
  <c r="AO53" i="40"/>
  <c r="AP304" i="40"/>
  <c r="AO55" i="40"/>
  <c r="AP316" i="40"/>
  <c r="AO79" i="40"/>
  <c r="AP301" i="40"/>
  <c r="AO49" i="40"/>
  <c r="AO297" i="40"/>
  <c r="AN41" i="40"/>
  <c r="AP312" i="40"/>
  <c r="AO71" i="40"/>
  <c r="AP314" i="40"/>
  <c r="AO75" i="40"/>
  <c r="AP298" i="40"/>
  <c r="AO43" i="40"/>
  <c r="AP318" i="40"/>
  <c r="AO83" i="40"/>
  <c r="AP306" i="40"/>
  <c r="AO59" i="40"/>
  <c r="AO321" i="40"/>
  <c r="AN89" i="40"/>
  <c r="AO317" i="40"/>
  <c r="AN81" i="40"/>
  <c r="AO307" i="40"/>
  <c r="AN61" i="40"/>
  <c r="AP305" i="40"/>
  <c r="AO57" i="40"/>
  <c r="AO319" i="40"/>
  <c r="AN85" i="40"/>
  <c r="AP299" i="40"/>
  <c r="AO45" i="40"/>
  <c r="AP300" i="40"/>
  <c r="AO47" i="40"/>
  <c r="AP322" i="40"/>
  <c r="AP320" i="40"/>
  <c r="AO87" i="40"/>
  <c r="AN311" i="40"/>
  <c r="AM69" i="40"/>
  <c r="AN309" i="40"/>
  <c r="AM65" i="40"/>
  <c r="AO310" i="40"/>
  <c r="AN67" i="40"/>
  <c r="AN313" i="40"/>
  <c r="AM73" i="40"/>
  <c r="AO315" i="40"/>
  <c r="AN77" i="40"/>
  <c r="DR145" i="10"/>
  <c r="DR146" i="10"/>
  <c r="BD234" i="10"/>
  <c r="BC69" i="10"/>
  <c r="BD231" i="9"/>
  <c r="BC63" i="9"/>
  <c r="AN71" i="10"/>
  <c r="AO235" i="10"/>
  <c r="AV79" i="7"/>
  <c r="AW239" i="7"/>
  <c r="BB228" i="11"/>
  <c r="BA57" i="11"/>
  <c r="DS144" i="10"/>
  <c r="DT54" i="10"/>
  <c r="BD239" i="8"/>
  <c r="BC79" i="8"/>
  <c r="AU71" i="22"/>
  <c r="AV235" i="22"/>
  <c r="AT232" i="9"/>
  <c r="AS65" i="9"/>
  <c r="AC233" i="9"/>
  <c r="AB67" i="9"/>
  <c r="BC61" i="10"/>
  <c r="BD230" i="10"/>
  <c r="AN237" i="11"/>
  <c r="AM75" i="11"/>
  <c r="BC77" i="22"/>
  <c r="BD238" i="22"/>
  <c r="AR231" i="10"/>
  <c r="AQ63" i="10"/>
  <c r="AC240" i="10"/>
  <c r="AB81" i="10"/>
  <c r="AU63" i="8"/>
  <c r="AV231" i="8"/>
  <c r="AF67" i="22"/>
  <c r="AG233" i="22"/>
  <c r="AX61" i="7"/>
  <c r="AY230" i="7"/>
  <c r="BE226" i="6"/>
  <c r="BD47" i="6"/>
  <c r="DQ147" i="10"/>
  <c r="BE57" i="22"/>
  <c r="BF228" i="22"/>
  <c r="AU63" i="22"/>
  <c r="AV231" i="22"/>
  <c r="BC238" i="11"/>
  <c r="BB77" i="11"/>
  <c r="AZ239" i="11"/>
  <c r="AY79" i="11"/>
  <c r="AX47" i="11"/>
  <c r="AY223" i="11"/>
  <c r="AS73" i="22"/>
  <c r="AT236" i="22"/>
  <c r="AA59" i="10"/>
  <c r="AB229" i="10"/>
  <c r="AT79" i="9"/>
  <c r="AU239" i="9"/>
  <c r="BB77" i="10"/>
  <c r="BC238" i="10"/>
  <c r="BB51" i="11"/>
  <c r="BC225" i="11"/>
  <c r="BE233" i="7"/>
  <c r="BD67" i="7"/>
  <c r="BA229" i="7"/>
  <c r="AZ59" i="7"/>
  <c r="BC71" i="8"/>
  <c r="BD235" i="8"/>
  <c r="AQ229" i="8"/>
  <c r="AP59" i="8"/>
  <c r="BB77" i="7"/>
  <c r="BC238" i="7"/>
  <c r="AT233" i="10"/>
  <c r="AS67" i="10"/>
  <c r="AS79" i="22"/>
  <c r="AT239" i="22"/>
  <c r="AB65" i="10"/>
  <c r="AC232" i="10"/>
  <c r="R55" i="2"/>
  <c r="D55" i="20"/>
  <c r="BE220" i="10"/>
  <c r="BD41" i="10"/>
  <c r="BE217" i="10"/>
  <c r="BD35" i="10"/>
  <c r="BD43" i="10"/>
  <c r="BE221" i="10"/>
  <c r="BE31" i="10"/>
  <c r="BF215" i="10"/>
  <c r="BF226" i="10"/>
  <c r="BE53" i="10"/>
  <c r="BE223" i="10"/>
  <c r="BD47" i="10"/>
  <c r="BE216" i="10"/>
  <c r="BD33" i="10"/>
  <c r="BE219" i="10"/>
  <c r="BD39" i="10"/>
  <c r="BC45" i="10"/>
  <c r="BD222" i="10"/>
  <c r="BE224" i="10"/>
  <c r="BD49" i="10"/>
  <c r="BD53" i="22"/>
  <c r="BE226" i="22"/>
  <c r="BE51" i="22"/>
  <c r="BF225" i="22"/>
  <c r="BC47" i="22"/>
  <c r="BD223" i="22"/>
  <c r="BE221" i="22"/>
  <c r="BD43" i="22"/>
  <c r="BD51" i="8"/>
  <c r="BE225" i="8"/>
  <c r="BE47" i="8"/>
  <c r="BF223" i="8"/>
  <c r="AE75" i="8"/>
  <c r="AF237" i="8"/>
  <c r="BA77" i="9"/>
  <c r="BB238" i="9"/>
  <c r="AC65" i="22"/>
  <c r="AD232" i="22"/>
  <c r="AE75" i="10"/>
  <c r="AF237" i="10"/>
  <c r="AF75" i="7"/>
  <c r="AG237" i="7"/>
  <c r="AC81" i="7"/>
  <c r="AD240" i="7"/>
  <c r="BE104" i="2"/>
  <c r="BF225" i="2"/>
  <c r="BN104" i="2"/>
  <c r="BP104" i="2"/>
  <c r="BQ104" i="2"/>
  <c r="BO225" i="2"/>
  <c r="C104" i="2"/>
  <c r="E104" i="2"/>
  <c r="F104" i="2"/>
  <c r="D225" i="2"/>
  <c r="M225" i="2"/>
  <c r="L104" i="2"/>
  <c r="N104" i="2"/>
  <c r="O104" i="2"/>
  <c r="AH81" i="11"/>
  <c r="AI240" i="11"/>
  <c r="AG71" i="7"/>
  <c r="AH235" i="7"/>
  <c r="AC79" i="10"/>
  <c r="AD239" i="10"/>
  <c r="AH67" i="11"/>
  <c r="AI233" i="11"/>
  <c r="BA73" i="9"/>
  <c r="BB236" i="9"/>
  <c r="AE75" i="22"/>
  <c r="AF237" i="22"/>
  <c r="O65" i="7"/>
  <c r="P232" i="7"/>
  <c r="AJ77" i="8"/>
  <c r="AK238" i="8"/>
  <c r="AB71" i="9"/>
  <c r="AC235" i="9"/>
  <c r="AI69" i="8"/>
  <c r="AJ234" i="8"/>
  <c r="V53" i="11"/>
  <c r="W226" i="11"/>
  <c r="AJ73" i="11"/>
  <c r="AK236" i="11"/>
  <c r="Z49" i="11"/>
  <c r="AA224" i="11"/>
  <c r="AG67" i="8"/>
  <c r="AH233" i="8"/>
  <c r="AH61" i="22"/>
  <c r="AI230" i="22"/>
  <c r="AL61" i="8"/>
  <c r="AM230" i="8"/>
  <c r="AG69" i="22"/>
  <c r="AH234" i="22"/>
  <c r="AV73" i="8"/>
  <c r="AW236" i="8"/>
  <c r="AD104" i="2"/>
  <c r="AF104" i="2"/>
  <c r="AG104" i="2"/>
  <c r="AE225" i="2"/>
  <c r="V225" i="2"/>
  <c r="U104" i="2"/>
  <c r="W104" i="2"/>
  <c r="X104" i="2"/>
  <c r="AM226" i="2"/>
  <c r="U226" i="2"/>
  <c r="AV226" i="2"/>
  <c r="BN226" i="2"/>
  <c r="BE226" i="2"/>
  <c r="L226" i="2"/>
  <c r="AD226" i="2"/>
  <c r="C226" i="2"/>
  <c r="BF216" i="22"/>
  <c r="BE33" i="22"/>
  <c r="AV104" i="2"/>
  <c r="AX104" i="2"/>
  <c r="AY104" i="2"/>
  <c r="AW225" i="2"/>
  <c r="AM104" i="2"/>
  <c r="AO104" i="2"/>
  <c r="AP104" i="2"/>
  <c r="AN225" i="2"/>
  <c r="A227" i="2"/>
  <c r="BW227" i="2"/>
  <c r="A107" i="2"/>
  <c r="U73" i="10"/>
  <c r="V236" i="10"/>
  <c r="AA81" i="9"/>
  <c r="AB240" i="9"/>
  <c r="Y69" i="7"/>
  <c r="Z234" i="7"/>
  <c r="AB57" i="10"/>
  <c r="AC228" i="10"/>
  <c r="AD69" i="9"/>
  <c r="AE234" i="9"/>
  <c r="R31" i="22"/>
  <c r="S215" i="22"/>
  <c r="AE81" i="22"/>
  <c r="AF240" i="22"/>
  <c r="B23" i="38"/>
  <c r="M15" i="39"/>
  <c r="C15" i="39"/>
  <c r="N25" i="20"/>
  <c r="O25" i="20"/>
  <c r="I27" i="2"/>
  <c r="C27" i="20"/>
  <c r="B88" i="38"/>
  <c r="T22" i="38"/>
  <c r="AC55" i="38"/>
  <c r="BD221" i="8"/>
  <c r="BC43" i="8"/>
  <c r="AZ35" i="8"/>
  <c r="BA217" i="8"/>
  <c r="BE222" i="8"/>
  <c r="BD45" i="8"/>
  <c r="BD33" i="11"/>
  <c r="BE216" i="11"/>
  <c r="AT63" i="7"/>
  <c r="AU231" i="7"/>
  <c r="BF226" i="9"/>
  <c r="BE53" i="9"/>
  <c r="BE215" i="9"/>
  <c r="BD31" i="9"/>
  <c r="BC31" i="1"/>
  <c r="BD222" i="1"/>
  <c r="BE35" i="1"/>
  <c r="BF224" i="1"/>
  <c r="BC33" i="1"/>
  <c r="BD223" i="1"/>
  <c r="BD53" i="1"/>
  <c r="BE233" i="1"/>
  <c r="BF236" i="1"/>
  <c r="BE59" i="1"/>
  <c r="BF239" i="1"/>
  <c r="BE65" i="1"/>
  <c r="BE232" i="1"/>
  <c r="BD51" i="1"/>
  <c r="AJ46" i="2"/>
  <c r="F46" i="20"/>
  <c r="T44" i="20"/>
  <c r="U44" i="20"/>
  <c r="E42" i="38"/>
  <c r="P34" i="39"/>
  <c r="F34" i="39"/>
  <c r="X33" i="20"/>
  <c r="Y33" i="20"/>
  <c r="R23" i="39"/>
  <c r="G31" i="38"/>
  <c r="BB35" i="2"/>
  <c r="H35" i="20"/>
  <c r="G96" i="38"/>
  <c r="Y30" i="38"/>
  <c r="AH63" i="38"/>
  <c r="BD222" i="22"/>
  <c r="BC45" i="22"/>
  <c r="BE220" i="6"/>
  <c r="BD35" i="6"/>
  <c r="BE215" i="6"/>
  <c r="BD25" i="6"/>
  <c r="BE223" i="6"/>
  <c r="BD41" i="6"/>
  <c r="BE221" i="6"/>
  <c r="BD37" i="6"/>
  <c r="BD224" i="6"/>
  <c r="BC43" i="6"/>
  <c r="BE217" i="6"/>
  <c r="BE219" i="6"/>
  <c r="BD33" i="6"/>
  <c r="BE216" i="6"/>
  <c r="BD27" i="6"/>
  <c r="BC31" i="6"/>
  <c r="BD218" i="6"/>
  <c r="BE214" i="6"/>
  <c r="BD23" i="6"/>
  <c r="BB247" i="1"/>
  <c r="BA81" i="1"/>
  <c r="AZ83" i="1"/>
  <c r="BA248" i="1"/>
  <c r="BE43" i="1"/>
  <c r="BF228" i="1"/>
  <c r="AZ39" i="8"/>
  <c r="BA219" i="8"/>
  <c r="BD218" i="8"/>
  <c r="BC37" i="8"/>
  <c r="BA45" i="11"/>
  <c r="BB222" i="11"/>
  <c r="O34" i="39"/>
  <c r="E34" i="39"/>
  <c r="R44" i="20"/>
  <c r="S44" i="20"/>
  <c r="D42" i="38"/>
  <c r="AA46" i="2"/>
  <c r="E46" i="20"/>
  <c r="BD219" i="22"/>
  <c r="BC39" i="22"/>
  <c r="BE217" i="22"/>
  <c r="BD35" i="22"/>
  <c r="BE224" i="22"/>
  <c r="BD49" i="22"/>
  <c r="BC39" i="7"/>
  <c r="BD219" i="7"/>
  <c r="BE217" i="7"/>
  <c r="BD35" i="7"/>
  <c r="BB220" i="7"/>
  <c r="BA41" i="7"/>
  <c r="BD215" i="7"/>
  <c r="BC31" i="7"/>
  <c r="BD218" i="7"/>
  <c r="BC37" i="7"/>
  <c r="BE221" i="7"/>
  <c r="BD43" i="7"/>
  <c r="BB222" i="6"/>
  <c r="BA39" i="6"/>
  <c r="BA227" i="9"/>
  <c r="AZ55" i="9"/>
  <c r="BF223" i="9"/>
  <c r="BE47" i="9"/>
  <c r="BG221" i="9"/>
  <c r="BF43" i="9"/>
  <c r="BE217" i="9"/>
  <c r="BD35" i="9"/>
  <c r="BB219" i="9"/>
  <c r="BA39" i="9"/>
  <c r="BD225" i="9"/>
  <c r="BC51" i="9"/>
  <c r="BE222" i="9"/>
  <c r="BD45" i="9"/>
  <c r="BE224" i="9"/>
  <c r="BD49" i="9"/>
  <c r="BB57" i="9"/>
  <c r="BC228" i="9"/>
  <c r="BF246" i="1"/>
  <c r="BE79" i="1"/>
  <c r="BE244" i="1"/>
  <c r="BD75" i="1"/>
  <c r="AX57" i="1"/>
  <c r="AY235" i="1"/>
  <c r="BC243" i="1"/>
  <c r="BB73" i="1"/>
  <c r="BD237" i="1"/>
  <c r="BC61" i="1"/>
  <c r="BE242" i="1"/>
  <c r="BD71" i="1"/>
  <c r="BC245" i="1"/>
  <c r="BB77" i="1"/>
  <c r="BD240" i="1"/>
  <c r="BC67" i="1"/>
  <c r="AZ221" i="11"/>
  <c r="AY43" i="11"/>
  <c r="X32" i="38"/>
  <c r="AG65" i="38"/>
  <c r="F98" i="38"/>
  <c r="AS37" i="2"/>
  <c r="G37" i="20"/>
  <c r="V35" i="20"/>
  <c r="W35" i="20"/>
  <c r="F33" i="38"/>
  <c r="F99" i="38"/>
  <c r="Q25" i="39"/>
  <c r="BB215" i="11"/>
  <c r="BE219" i="11"/>
  <c r="BD39" i="11"/>
  <c r="BB220" i="11"/>
  <c r="BA41" i="11"/>
  <c r="BD218" i="11"/>
  <c r="BC37" i="11"/>
  <c r="BE225" i="10"/>
  <c r="BD51" i="10"/>
  <c r="BE218" i="10"/>
  <c r="BD37" i="10"/>
  <c r="BF229" i="22"/>
  <c r="BE59" i="22"/>
  <c r="BE227" i="22"/>
  <c r="BD55" i="22"/>
  <c r="BE218" i="22"/>
  <c r="BE220" i="22"/>
  <c r="BD41" i="22"/>
  <c r="BC228" i="8"/>
  <c r="BB57" i="8"/>
  <c r="BE227" i="8"/>
  <c r="BD55" i="8"/>
  <c r="BF216" i="8"/>
  <c r="BE33" i="8"/>
  <c r="BF226" i="8"/>
  <c r="BE53" i="8"/>
  <c r="BG215" i="8"/>
  <c r="BF31" i="8"/>
  <c r="BF224" i="8"/>
  <c r="BE49" i="8"/>
  <c r="BF220" i="8"/>
  <c r="BE41" i="8"/>
  <c r="BF227" i="7"/>
  <c r="BE55" i="7"/>
  <c r="BF226" i="7"/>
  <c r="BE53" i="7"/>
  <c r="BF225" i="7"/>
  <c r="BE51" i="7"/>
  <c r="BC222" i="7"/>
  <c r="BB45" i="7"/>
  <c r="AY216" i="7"/>
  <c r="AX33" i="7"/>
  <c r="BD223" i="7"/>
  <c r="BC47" i="7"/>
  <c r="BF231" i="6"/>
  <c r="BE57" i="6"/>
  <c r="BF230" i="6"/>
  <c r="BE55" i="6"/>
  <c r="BF229" i="6"/>
  <c r="BE53" i="6"/>
  <c r="BF228" i="6"/>
  <c r="BE51" i="6"/>
  <c r="BF227" i="6"/>
  <c r="BE49" i="6"/>
  <c r="BD225" i="6"/>
  <c r="BC45" i="6"/>
  <c r="BE230" i="9"/>
  <c r="BD61" i="9"/>
  <c r="BF229" i="9"/>
  <c r="BE59" i="9"/>
  <c r="BB216" i="9"/>
  <c r="BA33" i="9"/>
  <c r="BE220" i="9"/>
  <c r="BD41" i="9"/>
  <c r="BE218" i="9"/>
  <c r="BD37" i="9"/>
  <c r="BD241" i="1"/>
  <c r="BC69" i="1"/>
  <c r="BF238" i="1"/>
  <c r="BE63" i="1"/>
  <c r="BF234" i="1"/>
  <c r="BE55" i="1"/>
  <c r="BD231" i="1"/>
  <c r="BC49" i="1"/>
  <c r="BF230" i="1"/>
  <c r="BE47" i="1"/>
  <c r="BD229" i="1"/>
  <c r="BC45" i="1"/>
  <c r="BD227" i="1"/>
  <c r="BC41" i="1"/>
  <c r="BD225" i="1"/>
  <c r="BC37" i="1"/>
  <c r="BF226" i="1"/>
  <c r="BE39" i="1"/>
  <c r="BD49" i="7"/>
  <c r="BE224" i="7"/>
  <c r="V237" i="9"/>
  <c r="U75" i="9"/>
  <c r="BW106" i="2"/>
  <c r="BY106" i="2"/>
  <c r="BZ106" i="2"/>
  <c r="CB106" i="2"/>
  <c r="BX227" i="2"/>
  <c r="J34" i="20"/>
  <c r="BT35" i="2"/>
  <c r="T23" i="39"/>
  <c r="I31" i="38"/>
  <c r="I97" i="38"/>
  <c r="AB33" i="20"/>
  <c r="AC33" i="20"/>
  <c r="I40" i="20"/>
  <c r="BK41" i="2"/>
  <c r="Z39" i="20"/>
  <c r="AA39" i="20"/>
  <c r="S29" i="39"/>
  <c r="I29" i="39"/>
  <c r="H37" i="38"/>
  <c r="CL42" i="2"/>
  <c r="L41" i="20"/>
  <c r="BJ99" i="2"/>
  <c r="CK99" i="2"/>
  <c r="BG104" i="2"/>
  <c r="CF104" i="2"/>
  <c r="BH103" i="2"/>
  <c r="CI103" i="2"/>
  <c r="CH103" i="2"/>
  <c r="CC22" i="2"/>
  <c r="K22" i="20"/>
  <c r="U12" i="39"/>
  <c r="DR147" i="10"/>
  <c r="AE99" i="40"/>
  <c r="AF326" i="40"/>
  <c r="AK111" i="40"/>
  <c r="AL332" i="40"/>
  <c r="AK101" i="40"/>
  <c r="AL327" i="40"/>
  <c r="AG97" i="40"/>
  <c r="AH325" i="40"/>
  <c r="AK93" i="40"/>
  <c r="AL323" i="40"/>
  <c r="AK109" i="40"/>
  <c r="AL331" i="40"/>
  <c r="AG107" i="40"/>
  <c r="AH330" i="40"/>
  <c r="AK103" i="40"/>
  <c r="AL328" i="40"/>
  <c r="AF105" i="40"/>
  <c r="AG329" i="40"/>
  <c r="AL95" i="40"/>
  <c r="AM324" i="40"/>
  <c r="AL91" i="40"/>
  <c r="AO301" i="40"/>
  <c r="AN49" i="40"/>
  <c r="AN315" i="40"/>
  <c r="AM77" i="40"/>
  <c r="AM311" i="40"/>
  <c r="AL69" i="40"/>
  <c r="AO299" i="40"/>
  <c r="AN45" i="40"/>
  <c r="AN317" i="40"/>
  <c r="AM81" i="40"/>
  <c r="AO298" i="40"/>
  <c r="AN43" i="40"/>
  <c r="AN302" i="40"/>
  <c r="AM51" i="40"/>
  <c r="AM313" i="40"/>
  <c r="AL73" i="40"/>
  <c r="AM309" i="40"/>
  <c r="AL65" i="40"/>
  <c r="AO320" i="40"/>
  <c r="AN87" i="40"/>
  <c r="AO300" i="40"/>
  <c r="AN47" i="40"/>
  <c r="AN319" i="40"/>
  <c r="AM85" i="40"/>
  <c r="AN307" i="40"/>
  <c r="AM61" i="40"/>
  <c r="AN321" i="40"/>
  <c r="AM89" i="40"/>
  <c r="AO318" i="40"/>
  <c r="AN83" i="40"/>
  <c r="AO314" i="40"/>
  <c r="AN75" i="40"/>
  <c r="AN297" i="40"/>
  <c r="AM41" i="40"/>
  <c r="AO316" i="40"/>
  <c r="AN79" i="40"/>
  <c r="AO303" i="40"/>
  <c r="AN53" i="40"/>
  <c r="AO308" i="40"/>
  <c r="AN63" i="40"/>
  <c r="AN310" i="40"/>
  <c r="AM67" i="40"/>
  <c r="AO322" i="40"/>
  <c r="AO305" i="40"/>
  <c r="AN57" i="40"/>
  <c r="AO306" i="40"/>
  <c r="AN59" i="40"/>
  <c r="AO312" i="40"/>
  <c r="AN71" i="40"/>
  <c r="AO304" i="40"/>
  <c r="AN55" i="40"/>
  <c r="AS239" i="22"/>
  <c r="AR79" i="22"/>
  <c r="BA77" i="7"/>
  <c r="BB238" i="7"/>
  <c r="BB71" i="8"/>
  <c r="BC235" i="8"/>
  <c r="BA77" i="10"/>
  <c r="BB238" i="10"/>
  <c r="Z59" i="10"/>
  <c r="AA229" i="10"/>
  <c r="AW47" i="11"/>
  <c r="AX223" i="11"/>
  <c r="BD57" i="22"/>
  <c r="BE228" i="22"/>
  <c r="AP63" i="10"/>
  <c r="AQ231" i="10"/>
  <c r="AL75" i="11"/>
  <c r="AM237" i="11"/>
  <c r="AB233" i="9"/>
  <c r="AA67" i="9"/>
  <c r="DT144" i="10"/>
  <c r="DU54" i="10"/>
  <c r="BB63" i="9"/>
  <c r="BC231" i="9"/>
  <c r="AR67" i="10"/>
  <c r="AS233" i="10"/>
  <c r="AO59" i="8"/>
  <c r="AP229" i="8"/>
  <c r="AY59" i="7"/>
  <c r="AZ229" i="7"/>
  <c r="AY239" i="11"/>
  <c r="AX79" i="11"/>
  <c r="AX230" i="7"/>
  <c r="AW61" i="7"/>
  <c r="AT63" i="8"/>
  <c r="AU231" i="8"/>
  <c r="AT71" i="22"/>
  <c r="AU235" i="22"/>
  <c r="DS146" i="10"/>
  <c r="DS145" i="10"/>
  <c r="AU79" i="7"/>
  <c r="AV239" i="7"/>
  <c r="AA65" i="10"/>
  <c r="AB232" i="10"/>
  <c r="BA51" i="11"/>
  <c r="BB225" i="11"/>
  <c r="AS79" i="9"/>
  <c r="AT239" i="9"/>
  <c r="AR73" i="22"/>
  <c r="AS236" i="22"/>
  <c r="AU231" i="22"/>
  <c r="AT63" i="22"/>
  <c r="BD226" i="6"/>
  <c r="BC47" i="6"/>
  <c r="AB240" i="10"/>
  <c r="AA81" i="10"/>
  <c r="AS232" i="9"/>
  <c r="AR65" i="9"/>
  <c r="BC239" i="8"/>
  <c r="BB79" i="8"/>
  <c r="BA228" i="11"/>
  <c r="AZ57" i="11"/>
  <c r="BC234" i="10"/>
  <c r="BB69" i="10"/>
  <c r="BC67" i="7"/>
  <c r="BD233" i="7"/>
  <c r="BB238" i="11"/>
  <c r="BA77" i="11"/>
  <c r="AE67" i="22"/>
  <c r="AF233" i="22"/>
  <c r="BB77" i="22"/>
  <c r="BC238" i="22"/>
  <c r="BC230" i="10"/>
  <c r="BB61" i="10"/>
  <c r="AM71" i="10"/>
  <c r="AN235" i="10"/>
  <c r="R56" i="2"/>
  <c r="D56" i="20"/>
  <c r="BD224" i="10"/>
  <c r="BC49" i="10"/>
  <c r="BD219" i="10"/>
  <c r="BC39" i="10"/>
  <c r="BD223" i="10"/>
  <c r="BC47" i="10"/>
  <c r="BC35" i="10"/>
  <c r="BD217" i="10"/>
  <c r="BD31" i="10"/>
  <c r="BE215" i="10"/>
  <c r="BD216" i="10"/>
  <c r="BC33" i="10"/>
  <c r="BD53" i="10"/>
  <c r="BE226" i="10"/>
  <c r="BC41" i="10"/>
  <c r="BD220" i="10"/>
  <c r="BB45" i="10"/>
  <c r="BC222" i="10"/>
  <c r="BC43" i="10"/>
  <c r="BD221" i="10"/>
  <c r="BC223" i="22"/>
  <c r="BB47" i="22"/>
  <c r="BD226" i="22"/>
  <c r="BC53" i="22"/>
  <c r="BD221" i="22"/>
  <c r="BC43" i="22"/>
  <c r="BE225" i="22"/>
  <c r="BD51" i="22"/>
  <c r="BD47" i="8"/>
  <c r="BE223" i="8"/>
  <c r="BC51" i="8"/>
  <c r="BD225" i="8"/>
  <c r="AD81" i="22"/>
  <c r="AE240" i="22"/>
  <c r="AC69" i="9"/>
  <c r="AD234" i="9"/>
  <c r="X69" i="7"/>
  <c r="Y234" i="7"/>
  <c r="T73" i="10"/>
  <c r="U236" i="10"/>
  <c r="M226" i="2"/>
  <c r="L105" i="2"/>
  <c r="N105" i="2"/>
  <c r="O105" i="2"/>
  <c r="U105" i="2"/>
  <c r="W105" i="2"/>
  <c r="X105" i="2"/>
  <c r="V226" i="2"/>
  <c r="A228" i="2"/>
  <c r="BW228" i="2"/>
  <c r="A108" i="2"/>
  <c r="BE105" i="2"/>
  <c r="BF226" i="2"/>
  <c r="AM105" i="2"/>
  <c r="AO105" i="2"/>
  <c r="AP105" i="2"/>
  <c r="AN226" i="2"/>
  <c r="AF69" i="22"/>
  <c r="AG234" i="22"/>
  <c r="AG61" i="22"/>
  <c r="AH230" i="22"/>
  <c r="AF67" i="8"/>
  <c r="AG233" i="8"/>
  <c r="AI73" i="11"/>
  <c r="AJ236" i="11"/>
  <c r="AA71" i="9"/>
  <c r="AB235" i="9"/>
  <c r="AI77" i="8"/>
  <c r="AJ238" i="8"/>
  <c r="AD75" i="22"/>
  <c r="AE237" i="22"/>
  <c r="AB79" i="10"/>
  <c r="AC239" i="10"/>
  <c r="AE75" i="7"/>
  <c r="AF237" i="7"/>
  <c r="AZ77" i="9"/>
  <c r="BA238" i="9"/>
  <c r="Q31" i="22"/>
  <c r="R215" i="22"/>
  <c r="AA57" i="10"/>
  <c r="AB228" i="10"/>
  <c r="Z81" i="9"/>
  <c r="AA240" i="9"/>
  <c r="AD227" i="2"/>
  <c r="C227" i="2"/>
  <c r="AM227" i="2"/>
  <c r="AV227" i="2"/>
  <c r="U227" i="2"/>
  <c r="L227" i="2"/>
  <c r="BN227" i="2"/>
  <c r="BE227" i="2"/>
  <c r="C105" i="2"/>
  <c r="E105" i="2"/>
  <c r="F105" i="2"/>
  <c r="D226" i="2"/>
  <c r="BN105" i="2"/>
  <c r="BP105" i="2"/>
  <c r="BQ105" i="2"/>
  <c r="BO226" i="2"/>
  <c r="BE216" i="22"/>
  <c r="BD33" i="22"/>
  <c r="AE226" i="2"/>
  <c r="AD105" i="2"/>
  <c r="AF105" i="2"/>
  <c r="AG105" i="2"/>
  <c r="AV105" i="2"/>
  <c r="AX105" i="2"/>
  <c r="AY105" i="2"/>
  <c r="AW226" i="2"/>
  <c r="AU73" i="8"/>
  <c r="AV236" i="8"/>
  <c r="AK61" i="8"/>
  <c r="AL230" i="8"/>
  <c r="Y49" i="11"/>
  <c r="Z224" i="11"/>
  <c r="U53" i="11"/>
  <c r="V226" i="11"/>
  <c r="AH69" i="8"/>
  <c r="AI234" i="8"/>
  <c r="N65" i="7"/>
  <c r="O232" i="7"/>
  <c r="AZ73" i="9"/>
  <c r="BA236" i="9"/>
  <c r="AG67" i="11"/>
  <c r="AH233" i="11"/>
  <c r="AF71" i="7"/>
  <c r="AG235" i="7"/>
  <c r="AG81" i="11"/>
  <c r="AH240" i="11"/>
  <c r="AB81" i="7"/>
  <c r="AC240" i="7"/>
  <c r="AD75" i="10"/>
  <c r="AE237" i="10"/>
  <c r="AB65" i="22"/>
  <c r="AC232" i="22"/>
  <c r="AD75" i="8"/>
  <c r="AE237" i="8"/>
  <c r="I28" i="2"/>
  <c r="C28" i="20"/>
  <c r="N26" i="20"/>
  <c r="O26" i="20"/>
  <c r="M16" i="39"/>
  <c r="C16" i="39"/>
  <c r="B24" i="38"/>
  <c r="B89" i="38"/>
  <c r="T23" i="38"/>
  <c r="AC56" i="38"/>
  <c r="AZ217" i="8"/>
  <c r="AY35" i="8"/>
  <c r="BD222" i="8"/>
  <c r="BC45" i="8"/>
  <c r="BC221" i="8"/>
  <c r="BB43" i="8"/>
  <c r="AS63" i="7"/>
  <c r="AT231" i="7"/>
  <c r="BC33" i="11"/>
  <c r="BD216" i="11"/>
  <c r="BD215" i="9"/>
  <c r="BC31" i="9"/>
  <c r="BE226" i="9"/>
  <c r="BD53" i="9"/>
  <c r="BC222" i="1"/>
  <c r="BB31" i="1"/>
  <c r="BC53" i="1"/>
  <c r="BD233" i="1"/>
  <c r="BB33" i="1"/>
  <c r="BC223" i="1"/>
  <c r="BD35" i="1"/>
  <c r="BE224" i="1"/>
  <c r="BE239" i="1"/>
  <c r="BD65" i="1"/>
  <c r="BD59" i="1"/>
  <c r="BE236" i="1"/>
  <c r="BD232" i="1"/>
  <c r="BC51" i="1"/>
  <c r="W42" i="38"/>
  <c r="AF75" i="38"/>
  <c r="E108" i="38"/>
  <c r="E109" i="38"/>
  <c r="AJ47" i="2"/>
  <c r="F47" i="20"/>
  <c r="BB36" i="2"/>
  <c r="H36" i="20"/>
  <c r="Y31" i="38"/>
  <c r="AH64" i="38"/>
  <c r="G97" i="38"/>
  <c r="R24" i="39"/>
  <c r="H24" i="39"/>
  <c r="G32" i="38"/>
  <c r="X34" i="20"/>
  <c r="Y34" i="20"/>
  <c r="BB45" i="22"/>
  <c r="BC222" i="22"/>
  <c r="BD214" i="6"/>
  <c r="BC23" i="6"/>
  <c r="BD216" i="6"/>
  <c r="BC27" i="6"/>
  <c r="BD219" i="6"/>
  <c r="BC33" i="6"/>
  <c r="BD217" i="6"/>
  <c r="BC224" i="6"/>
  <c r="BB43" i="6"/>
  <c r="BD221" i="6"/>
  <c r="BC37" i="6"/>
  <c r="BD223" i="6"/>
  <c r="BC41" i="6"/>
  <c r="BD215" i="6"/>
  <c r="BC25" i="6"/>
  <c r="BD220" i="6"/>
  <c r="BC35" i="6"/>
  <c r="BB31" i="6"/>
  <c r="BC218" i="6"/>
  <c r="BA247" i="1"/>
  <c r="AZ81" i="1"/>
  <c r="BE228" i="1"/>
  <c r="BD43" i="1"/>
  <c r="AY83" i="1"/>
  <c r="AZ248" i="1"/>
  <c r="BB37" i="8"/>
  <c r="BC218" i="8"/>
  <c r="AY39" i="8"/>
  <c r="AZ219" i="8"/>
  <c r="AZ45" i="11"/>
  <c r="BA222" i="11"/>
  <c r="V42" i="38"/>
  <c r="AE75" i="38"/>
  <c r="D108" i="38"/>
  <c r="D109" i="38"/>
  <c r="AA47" i="2"/>
  <c r="E47" i="20"/>
  <c r="BC35" i="22"/>
  <c r="BD217" i="22"/>
  <c r="BC49" i="22"/>
  <c r="BD224" i="22"/>
  <c r="BC219" i="22"/>
  <c r="BB39" i="22"/>
  <c r="BC218" i="7"/>
  <c r="BB37" i="7"/>
  <c r="BA220" i="7"/>
  <c r="AZ41" i="7"/>
  <c r="BD217" i="7"/>
  <c r="BC35" i="7"/>
  <c r="BD221" i="7"/>
  <c r="BC43" i="7"/>
  <c r="BC215" i="7"/>
  <c r="BB31" i="7"/>
  <c r="BC219" i="7"/>
  <c r="BB39" i="7"/>
  <c r="BA222" i="6"/>
  <c r="AZ39" i="6"/>
  <c r="BC35" i="9"/>
  <c r="BD217" i="9"/>
  <c r="BE223" i="9"/>
  <c r="BD47" i="9"/>
  <c r="AZ39" i="9"/>
  <c r="BA219" i="9"/>
  <c r="BE43" i="9"/>
  <c r="BF221" i="9"/>
  <c r="AZ227" i="9"/>
  <c r="AY55" i="9"/>
  <c r="BC225" i="9"/>
  <c r="BB51" i="9"/>
  <c r="BD224" i="9"/>
  <c r="BC49" i="9"/>
  <c r="BD222" i="9"/>
  <c r="BC45" i="9"/>
  <c r="BA57" i="9"/>
  <c r="BB228" i="9"/>
  <c r="BB245" i="1"/>
  <c r="BA77" i="1"/>
  <c r="BC237" i="1"/>
  <c r="BB61" i="1"/>
  <c r="BD244" i="1"/>
  <c r="BC75" i="1"/>
  <c r="BC240" i="1"/>
  <c r="BB67" i="1"/>
  <c r="BD242" i="1"/>
  <c r="BC71" i="1"/>
  <c r="BB243" i="1"/>
  <c r="BA73" i="1"/>
  <c r="BE246" i="1"/>
  <c r="BD79" i="1"/>
  <c r="AX235" i="1"/>
  <c r="AW57" i="1"/>
  <c r="AY221" i="11"/>
  <c r="AX43" i="11"/>
  <c r="AS38" i="2"/>
  <c r="G38" i="20"/>
  <c r="Q26" i="39"/>
  <c r="V36" i="20"/>
  <c r="W36" i="20"/>
  <c r="F34" i="38"/>
  <c r="F100" i="38"/>
  <c r="BA220" i="11"/>
  <c r="AZ41" i="11"/>
  <c r="BA215" i="11"/>
  <c r="BC218" i="11"/>
  <c r="BB37" i="11"/>
  <c r="BD219" i="11"/>
  <c r="BC39" i="11"/>
  <c r="BD225" i="10"/>
  <c r="BC51" i="10"/>
  <c r="BD218" i="10"/>
  <c r="BC37" i="10"/>
  <c r="BE229" i="22"/>
  <c r="BD59" i="22"/>
  <c r="BD220" i="22"/>
  <c r="BC41" i="22"/>
  <c r="BD218" i="22"/>
  <c r="BD227" i="22"/>
  <c r="BC55" i="22"/>
  <c r="BB228" i="8"/>
  <c r="BA57" i="8"/>
  <c r="BD227" i="8"/>
  <c r="BC55" i="8"/>
  <c r="BE220" i="8"/>
  <c r="BD41" i="8"/>
  <c r="BE224" i="8"/>
  <c r="BD49" i="8"/>
  <c r="BF215" i="8"/>
  <c r="BE31" i="8"/>
  <c r="BE226" i="8"/>
  <c r="BD53" i="8"/>
  <c r="BE216" i="8"/>
  <c r="BD33" i="8"/>
  <c r="BE227" i="7"/>
  <c r="BD55" i="7"/>
  <c r="BE226" i="7"/>
  <c r="BD53" i="7"/>
  <c r="BE225" i="7"/>
  <c r="BD51" i="7"/>
  <c r="AX216" i="7"/>
  <c r="AW33" i="7"/>
  <c r="BC223" i="7"/>
  <c r="BB47" i="7"/>
  <c r="BB222" i="7"/>
  <c r="BA45" i="7"/>
  <c r="BE231" i="6"/>
  <c r="BD57" i="6"/>
  <c r="BE230" i="6"/>
  <c r="BD55" i="6"/>
  <c r="BE229" i="6"/>
  <c r="BD53" i="6"/>
  <c r="BE228" i="6"/>
  <c r="BD51" i="6"/>
  <c r="BE227" i="6"/>
  <c r="BD49" i="6"/>
  <c r="BC225" i="6"/>
  <c r="BB45" i="6"/>
  <c r="BD230" i="9"/>
  <c r="BC61" i="9"/>
  <c r="BE229" i="9"/>
  <c r="BD59" i="9"/>
  <c r="BD218" i="9"/>
  <c r="BC37" i="9"/>
  <c r="BA216" i="9"/>
  <c r="AZ33" i="9"/>
  <c r="BD220" i="9"/>
  <c r="BC41" i="9"/>
  <c r="BC241" i="1"/>
  <c r="BB69" i="1"/>
  <c r="BE238" i="1"/>
  <c r="BD63" i="1"/>
  <c r="BC231" i="1"/>
  <c r="BB49" i="1"/>
  <c r="BE234" i="1"/>
  <c r="BD55" i="1"/>
  <c r="BE230" i="1"/>
  <c r="BD47" i="1"/>
  <c r="BC229" i="1"/>
  <c r="BB45" i="1"/>
  <c r="BC225" i="1"/>
  <c r="BB37" i="1"/>
  <c r="BE226" i="1"/>
  <c r="BD39" i="1"/>
  <c r="BC227" i="1"/>
  <c r="BB41" i="1"/>
  <c r="BC49" i="7"/>
  <c r="BD224" i="7"/>
  <c r="BX228" i="2"/>
  <c r="BW107" i="2"/>
  <c r="BY107" i="2"/>
  <c r="BZ107" i="2"/>
  <c r="CB107" i="2"/>
  <c r="T75" i="9"/>
  <c r="U237" i="9"/>
  <c r="J35" i="20"/>
  <c r="BT36" i="2"/>
  <c r="T24" i="39"/>
  <c r="J24" i="39"/>
  <c r="AB34" i="20"/>
  <c r="AC34" i="20"/>
  <c r="I32" i="38"/>
  <c r="I41" i="20"/>
  <c r="BK42" i="2"/>
  <c r="Z37" i="38"/>
  <c r="AI70" i="38"/>
  <c r="H103" i="38"/>
  <c r="Z40" i="20"/>
  <c r="AA40" i="20"/>
  <c r="H38" i="38"/>
  <c r="H104" i="38"/>
  <c r="S30" i="39"/>
  <c r="CL43" i="2"/>
  <c r="L42" i="20"/>
  <c r="BJ100" i="2"/>
  <c r="CK100" i="2"/>
  <c r="BG105" i="2"/>
  <c r="CF105" i="2"/>
  <c r="BH104" i="2"/>
  <c r="CI104" i="2"/>
  <c r="CH104" i="2"/>
  <c r="CC23" i="2"/>
  <c r="K23" i="20"/>
  <c r="U13" i="39"/>
  <c r="DS147" i="10"/>
  <c r="AK95" i="40"/>
  <c r="AL324" i="40"/>
  <c r="AJ103" i="40"/>
  <c r="AK328" i="40"/>
  <c r="AJ109" i="40"/>
  <c r="AK331" i="40"/>
  <c r="AF97" i="40"/>
  <c r="AG325" i="40"/>
  <c r="AJ111" i="40"/>
  <c r="AK332" i="40"/>
  <c r="AE105" i="40"/>
  <c r="AF329" i="40"/>
  <c r="AF107" i="40"/>
  <c r="AG330" i="40"/>
  <c r="AJ93" i="40"/>
  <c r="AK323" i="40"/>
  <c r="AJ101" i="40"/>
  <c r="AK327" i="40"/>
  <c r="AD99" i="40"/>
  <c r="AE326" i="40"/>
  <c r="AK91" i="40"/>
  <c r="AN306" i="40"/>
  <c r="AM59" i="40"/>
  <c r="AN308" i="40"/>
  <c r="AM63" i="40"/>
  <c r="AN314" i="40"/>
  <c r="AM75" i="40"/>
  <c r="AM321" i="40"/>
  <c r="AL89" i="40"/>
  <c r="AN320" i="40"/>
  <c r="AM87" i="40"/>
  <c r="AM315" i="40"/>
  <c r="AL77" i="40"/>
  <c r="AN304" i="40"/>
  <c r="AM55" i="40"/>
  <c r="AN322" i="40"/>
  <c r="AN316" i="40"/>
  <c r="AM79" i="40"/>
  <c r="AM319" i="40"/>
  <c r="AL85" i="40"/>
  <c r="AL313" i="40"/>
  <c r="AK73" i="40"/>
  <c r="AN299" i="40"/>
  <c r="AM45" i="40"/>
  <c r="AN312" i="40"/>
  <c r="AM71" i="40"/>
  <c r="AN305" i="40"/>
  <c r="AM57" i="40"/>
  <c r="AM310" i="40"/>
  <c r="AL67" i="40"/>
  <c r="AN303" i="40"/>
  <c r="AM53" i="40"/>
  <c r="AM297" i="40"/>
  <c r="AL41" i="40"/>
  <c r="AN318" i="40"/>
  <c r="AM83" i="40"/>
  <c r="AM307" i="40"/>
  <c r="AL61" i="40"/>
  <c r="AN300" i="40"/>
  <c r="AM47" i="40"/>
  <c r="AL309" i="40"/>
  <c r="AK65" i="40"/>
  <c r="AM302" i="40"/>
  <c r="AL51" i="40"/>
  <c r="AM317" i="40"/>
  <c r="AL81" i="40"/>
  <c r="AL311" i="40"/>
  <c r="AK69" i="40"/>
  <c r="AN301" i="40"/>
  <c r="AM49" i="40"/>
  <c r="AN298" i="40"/>
  <c r="AM43" i="40"/>
  <c r="BA61" i="10"/>
  <c r="BB230" i="10"/>
  <c r="AZ228" i="11"/>
  <c r="AY57" i="11"/>
  <c r="AQ65" i="9"/>
  <c r="AR232" i="9"/>
  <c r="BC226" i="6"/>
  <c r="BB47" i="6"/>
  <c r="AX239" i="11"/>
  <c r="AW79" i="11"/>
  <c r="Z67" i="9"/>
  <c r="AA233" i="9"/>
  <c r="AD67" i="22"/>
  <c r="AE233" i="22"/>
  <c r="BB67" i="7"/>
  <c r="BC233" i="7"/>
  <c r="AQ73" i="22"/>
  <c r="AR236" i="22"/>
  <c r="AZ51" i="11"/>
  <c r="BA225" i="11"/>
  <c r="AS63" i="8"/>
  <c r="AT231" i="8"/>
  <c r="AN59" i="8"/>
  <c r="AO229" i="8"/>
  <c r="BA63" i="9"/>
  <c r="BB231" i="9"/>
  <c r="AP231" i="10"/>
  <c r="AO63" i="10"/>
  <c r="AV47" i="11"/>
  <c r="AW223" i="11"/>
  <c r="AZ77" i="10"/>
  <c r="BA238" i="10"/>
  <c r="AZ77" i="7"/>
  <c r="BA238" i="7"/>
  <c r="BA238" i="11"/>
  <c r="AZ77" i="11"/>
  <c r="BB234" i="10"/>
  <c r="BA69" i="10"/>
  <c r="BA79" i="8"/>
  <c r="BB239" i="8"/>
  <c r="Z81" i="10"/>
  <c r="AA240" i="10"/>
  <c r="AS63" i="22"/>
  <c r="AT231" i="22"/>
  <c r="AV61" i="7"/>
  <c r="AW230" i="7"/>
  <c r="DU144" i="10"/>
  <c r="DV54" i="10"/>
  <c r="AR239" i="22"/>
  <c r="AQ79" i="22"/>
  <c r="AM235" i="10"/>
  <c r="AL71" i="10"/>
  <c r="BA77" i="22"/>
  <c r="BB238" i="22"/>
  <c r="AR79" i="9"/>
  <c r="AS239" i="9"/>
  <c r="Z65" i="10"/>
  <c r="AA232" i="10"/>
  <c r="AT79" i="7"/>
  <c r="AU239" i="7"/>
  <c r="AS71" i="22"/>
  <c r="AT235" i="22"/>
  <c r="AX59" i="7"/>
  <c r="AY229" i="7"/>
  <c r="AQ67" i="10"/>
  <c r="AR233" i="10"/>
  <c r="DT145" i="10"/>
  <c r="DT146" i="10"/>
  <c r="AK75" i="11"/>
  <c r="AL237" i="11"/>
  <c r="BC57" i="22"/>
  <c r="BD228" i="22"/>
  <c r="Y59" i="10"/>
  <c r="Z229" i="10"/>
  <c r="BA71" i="8"/>
  <c r="BB235" i="8"/>
  <c r="R57" i="2"/>
  <c r="D57" i="20"/>
  <c r="BC216" i="10"/>
  <c r="BB33" i="10"/>
  <c r="BB39" i="10"/>
  <c r="BC219" i="10"/>
  <c r="BC221" i="10"/>
  <c r="BB43" i="10"/>
  <c r="BC220" i="10"/>
  <c r="BB41" i="10"/>
  <c r="BC217" i="10"/>
  <c r="BB35" i="10"/>
  <c r="BC223" i="10"/>
  <c r="BB47" i="10"/>
  <c r="BC224" i="10"/>
  <c r="BB49" i="10"/>
  <c r="BB222" i="10"/>
  <c r="BA45" i="10"/>
  <c r="BC53" i="10"/>
  <c r="BD226" i="10"/>
  <c r="BC31" i="10"/>
  <c r="BD215" i="10"/>
  <c r="BC51" i="22"/>
  <c r="BD225" i="22"/>
  <c r="BC226" i="22"/>
  <c r="BB53" i="22"/>
  <c r="BC221" i="22"/>
  <c r="BB43" i="22"/>
  <c r="BB223" i="22"/>
  <c r="BA47" i="22"/>
  <c r="BC225" i="8"/>
  <c r="BB51" i="8"/>
  <c r="BC47" i="8"/>
  <c r="BD223" i="8"/>
  <c r="AC75" i="8"/>
  <c r="AD237" i="8"/>
  <c r="AC75" i="10"/>
  <c r="AD237" i="10"/>
  <c r="AA81" i="7"/>
  <c r="AB240" i="7"/>
  <c r="AE71" i="7"/>
  <c r="AF235" i="7"/>
  <c r="AY73" i="9"/>
  <c r="AZ236" i="9"/>
  <c r="BE106" i="2"/>
  <c r="BF227" i="2"/>
  <c r="AV106" i="2"/>
  <c r="AX106" i="2"/>
  <c r="AY106" i="2"/>
  <c r="AW227" i="2"/>
  <c r="Z71" i="9"/>
  <c r="AA235" i="9"/>
  <c r="AH73" i="11"/>
  <c r="AI236" i="11"/>
  <c r="AF61" i="22"/>
  <c r="AG230" i="22"/>
  <c r="A109" i="2"/>
  <c r="A229" i="2"/>
  <c r="BW229" i="2"/>
  <c r="T53" i="11"/>
  <c r="U226" i="11"/>
  <c r="AT73" i="8"/>
  <c r="AU236" i="8"/>
  <c r="BN106" i="2"/>
  <c r="BP106" i="2"/>
  <c r="BQ106" i="2"/>
  <c r="BO227" i="2"/>
  <c r="AM106" i="2"/>
  <c r="AO106" i="2"/>
  <c r="AP106" i="2"/>
  <c r="AN227" i="2"/>
  <c r="P31" i="22"/>
  <c r="Q215" i="22"/>
  <c r="AM228" i="2"/>
  <c r="BE228" i="2"/>
  <c r="AV228" i="2"/>
  <c r="AD228" i="2"/>
  <c r="U228" i="2"/>
  <c r="L228" i="2"/>
  <c r="C228" i="2"/>
  <c r="BN228" i="2"/>
  <c r="AB69" i="9"/>
  <c r="AC234" i="9"/>
  <c r="AA65" i="22"/>
  <c r="AB232" i="22"/>
  <c r="AF81" i="11"/>
  <c r="AG240" i="11"/>
  <c r="AF67" i="11"/>
  <c r="AG233" i="11"/>
  <c r="M65" i="7"/>
  <c r="N232" i="7"/>
  <c r="BD216" i="22"/>
  <c r="BC33" i="22"/>
  <c r="L106" i="2"/>
  <c r="N106" i="2"/>
  <c r="O106" i="2"/>
  <c r="M227" i="2"/>
  <c r="C106" i="2"/>
  <c r="E106" i="2"/>
  <c r="F106" i="2"/>
  <c r="D227" i="2"/>
  <c r="AA79" i="10"/>
  <c r="AB239" i="10"/>
  <c r="AC75" i="22"/>
  <c r="AD237" i="22"/>
  <c r="AH77" i="8"/>
  <c r="AI238" i="8"/>
  <c r="AE67" i="8"/>
  <c r="AF233" i="8"/>
  <c r="AE69" i="22"/>
  <c r="AF234" i="22"/>
  <c r="AG69" i="8"/>
  <c r="AH234" i="8"/>
  <c r="X49" i="11"/>
  <c r="Y224" i="11"/>
  <c r="AJ61" i="8"/>
  <c r="AK230" i="8"/>
  <c r="U106" i="2"/>
  <c r="W106" i="2"/>
  <c r="X106" i="2"/>
  <c r="V227" i="2"/>
  <c r="AD106" i="2"/>
  <c r="AF106" i="2"/>
  <c r="AG106" i="2"/>
  <c r="AE227" i="2"/>
  <c r="Y81" i="9"/>
  <c r="Z240" i="9"/>
  <c r="Z57" i="10"/>
  <c r="AA228" i="10"/>
  <c r="AY77" i="9"/>
  <c r="AZ238" i="9"/>
  <c r="AD75" i="7"/>
  <c r="AE237" i="7"/>
  <c r="S73" i="10"/>
  <c r="T236" i="10"/>
  <c r="W69" i="7"/>
  <c r="X234" i="7"/>
  <c r="AC81" i="22"/>
  <c r="AD240" i="22"/>
  <c r="N27" i="20"/>
  <c r="O27" i="20"/>
  <c r="B25" i="38"/>
  <c r="M17" i="39"/>
  <c r="T24" i="38"/>
  <c r="AC57" i="38"/>
  <c r="B90" i="38"/>
  <c r="I29" i="2"/>
  <c r="C29" i="20"/>
  <c r="BB221" i="8"/>
  <c r="BA43" i="8"/>
  <c r="BB45" i="8"/>
  <c r="BC222" i="8"/>
  <c r="AX35" i="8"/>
  <c r="AY217" i="8"/>
  <c r="BB33" i="11"/>
  <c r="BC216" i="11"/>
  <c r="AR63" i="7"/>
  <c r="AS231" i="7"/>
  <c r="BD226" i="9"/>
  <c r="BC53" i="9"/>
  <c r="BB31" i="9"/>
  <c r="BC215" i="9"/>
  <c r="BA31" i="1"/>
  <c r="BB222" i="1"/>
  <c r="BC59" i="1"/>
  <c r="BD236" i="1"/>
  <c r="BC35" i="1"/>
  <c r="BD224" i="1"/>
  <c r="BA33" i="1"/>
  <c r="BB223" i="1"/>
  <c r="BB53" i="1"/>
  <c r="BC233" i="1"/>
  <c r="BD239" i="1"/>
  <c r="BC65" i="1"/>
  <c r="BC232" i="1"/>
  <c r="BB51" i="1"/>
  <c r="AJ48" i="2"/>
  <c r="F48" i="20"/>
  <c r="G98" i="38"/>
  <c r="Y32" i="38"/>
  <c r="AH65" i="38"/>
  <c r="BB37" i="2"/>
  <c r="H37" i="20"/>
  <c r="G33" i="38"/>
  <c r="X35" i="20"/>
  <c r="Y35" i="20"/>
  <c r="R25" i="39"/>
  <c r="BA45" i="22"/>
  <c r="BB222" i="22"/>
  <c r="BC220" i="6"/>
  <c r="BB35" i="6"/>
  <c r="BC215" i="6"/>
  <c r="BB25" i="6"/>
  <c r="BC223" i="6"/>
  <c r="BB41" i="6"/>
  <c r="BC221" i="6"/>
  <c r="BB37" i="6"/>
  <c r="BB224" i="6"/>
  <c r="BA43" i="6"/>
  <c r="BC217" i="6"/>
  <c r="BC219" i="6"/>
  <c r="BB33" i="6"/>
  <c r="BC216" i="6"/>
  <c r="BB27" i="6"/>
  <c r="BC214" i="6"/>
  <c r="BB23" i="6"/>
  <c r="BA31" i="6"/>
  <c r="BB218" i="6"/>
  <c r="BC43" i="1"/>
  <c r="BD228" i="1"/>
  <c r="AZ247" i="1"/>
  <c r="AY81" i="1"/>
  <c r="AX83" i="1"/>
  <c r="AY248" i="1"/>
  <c r="AY219" i="8"/>
  <c r="AX39" i="8"/>
  <c r="BA37" i="8"/>
  <c r="BB218" i="8"/>
  <c r="AY45" i="11"/>
  <c r="AZ222" i="11"/>
  <c r="AA48" i="2"/>
  <c r="E48" i="20"/>
  <c r="BB49" i="22"/>
  <c r="BC224" i="22"/>
  <c r="BA39" i="22"/>
  <c r="BB219" i="22"/>
  <c r="BC217" i="22"/>
  <c r="BB35" i="22"/>
  <c r="BC221" i="7"/>
  <c r="BB43" i="7"/>
  <c r="AZ220" i="7"/>
  <c r="AY41" i="7"/>
  <c r="BB219" i="7"/>
  <c r="BA39" i="7"/>
  <c r="BB215" i="7"/>
  <c r="BA31" i="7"/>
  <c r="BC217" i="7"/>
  <c r="BB35" i="7"/>
  <c r="BB218" i="7"/>
  <c r="BA37" i="7"/>
  <c r="AY39" i="6"/>
  <c r="AZ222" i="6"/>
  <c r="BD223" i="9"/>
  <c r="BC47" i="9"/>
  <c r="BE221" i="9"/>
  <c r="BD43" i="9"/>
  <c r="AY227" i="9"/>
  <c r="AX55" i="9"/>
  <c r="AZ219" i="9"/>
  <c r="AY39" i="9"/>
  <c r="BC217" i="9"/>
  <c r="BB35" i="9"/>
  <c r="BB225" i="9"/>
  <c r="BA51" i="9"/>
  <c r="BC222" i="9"/>
  <c r="BB45" i="9"/>
  <c r="BC224" i="9"/>
  <c r="BB49" i="9"/>
  <c r="AZ57" i="9"/>
  <c r="BA228" i="9"/>
  <c r="BC242" i="1"/>
  <c r="BB71" i="1"/>
  <c r="BC244" i="1"/>
  <c r="BB75" i="1"/>
  <c r="BB237" i="1"/>
  <c r="BA61" i="1"/>
  <c r="AV57" i="1"/>
  <c r="AW235" i="1"/>
  <c r="BD246" i="1"/>
  <c r="BC79" i="1"/>
  <c r="BA243" i="1"/>
  <c r="AZ73" i="1"/>
  <c r="BB240" i="1"/>
  <c r="BA67" i="1"/>
  <c r="BA245" i="1"/>
  <c r="AZ77" i="1"/>
  <c r="AX221" i="11"/>
  <c r="AW43" i="11"/>
  <c r="AS39" i="2"/>
  <c r="G39" i="20"/>
  <c r="F35" i="38"/>
  <c r="F101" i="38"/>
  <c r="Q27" i="39"/>
  <c r="V37" i="20"/>
  <c r="W37" i="20"/>
  <c r="BB218" i="11"/>
  <c r="BA37" i="11"/>
  <c r="AZ220" i="11"/>
  <c r="AY41" i="11"/>
  <c r="BC219" i="11"/>
  <c r="BB39" i="11"/>
  <c r="AZ215" i="11"/>
  <c r="BC225" i="10"/>
  <c r="BB51" i="10"/>
  <c r="BC218" i="10"/>
  <c r="BB37" i="10"/>
  <c r="BD229" i="22"/>
  <c r="BC59" i="22"/>
  <c r="BC227" i="22"/>
  <c r="BB55" i="22"/>
  <c r="BC218" i="22"/>
  <c r="BC220" i="22"/>
  <c r="BB41" i="22"/>
  <c r="BA228" i="8"/>
  <c r="AZ57" i="8"/>
  <c r="BC227" i="8"/>
  <c r="BB55" i="8"/>
  <c r="BD226" i="8"/>
  <c r="BC53" i="8"/>
  <c r="BD224" i="8"/>
  <c r="BC49" i="8"/>
  <c r="BD216" i="8"/>
  <c r="BC33" i="8"/>
  <c r="BE215" i="8"/>
  <c r="BD31" i="8"/>
  <c r="BD220" i="8"/>
  <c r="BC41" i="8"/>
  <c r="BD227" i="7"/>
  <c r="BC55" i="7"/>
  <c r="BD226" i="7"/>
  <c r="BC53" i="7"/>
  <c r="BD225" i="7"/>
  <c r="BC51" i="7"/>
  <c r="BA222" i="7"/>
  <c r="AZ45" i="7"/>
  <c r="BB223" i="7"/>
  <c r="BA47" i="7"/>
  <c r="AW216" i="7"/>
  <c r="AV33" i="7"/>
  <c r="BD231" i="6"/>
  <c r="BC57" i="6"/>
  <c r="BD230" i="6"/>
  <c r="BC55" i="6"/>
  <c r="BD229" i="6"/>
  <c r="BC53" i="6"/>
  <c r="BD228" i="6"/>
  <c r="BC51" i="6"/>
  <c r="BD227" i="6"/>
  <c r="BC49" i="6"/>
  <c r="BB225" i="6"/>
  <c r="BA45" i="6"/>
  <c r="BC230" i="9"/>
  <c r="BB61" i="9"/>
  <c r="BD229" i="9"/>
  <c r="BC59" i="9"/>
  <c r="AZ216" i="9"/>
  <c r="AY33" i="9"/>
  <c r="BC218" i="9"/>
  <c r="BB37" i="9"/>
  <c r="BC220" i="9"/>
  <c r="BB41" i="9"/>
  <c r="BB241" i="1"/>
  <c r="BA69" i="1"/>
  <c r="BD238" i="1"/>
  <c r="BC63" i="1"/>
  <c r="BD230" i="1"/>
  <c r="BC47" i="1"/>
  <c r="BB231" i="1"/>
  <c r="BA49" i="1"/>
  <c r="BD234" i="1"/>
  <c r="BC55" i="1"/>
  <c r="BB229" i="1"/>
  <c r="BA45" i="1"/>
  <c r="BD226" i="1"/>
  <c r="BC39" i="1"/>
  <c r="BB227" i="1"/>
  <c r="BA41" i="1"/>
  <c r="BB225" i="1"/>
  <c r="BA37" i="1"/>
  <c r="BB49" i="7"/>
  <c r="BC224" i="7"/>
  <c r="S75" i="9"/>
  <c r="T237" i="9"/>
  <c r="BX229" i="2"/>
  <c r="BW108" i="2"/>
  <c r="BY108" i="2"/>
  <c r="BZ108" i="2"/>
  <c r="CB108" i="2"/>
  <c r="J36" i="20"/>
  <c r="BT37" i="2"/>
  <c r="I98" i="38"/>
  <c r="AA32" i="38"/>
  <c r="AJ65" i="38"/>
  <c r="I33" i="38"/>
  <c r="I99" i="38"/>
  <c r="AB35" i="20"/>
  <c r="AC35" i="20"/>
  <c r="T25" i="39"/>
  <c r="I42" i="20"/>
  <c r="BK43" i="2"/>
  <c r="S31" i="39"/>
  <c r="Z41" i="20"/>
  <c r="AA41" i="20"/>
  <c r="H39" i="38"/>
  <c r="H105" i="38"/>
  <c r="CL44" i="2"/>
  <c r="L43" i="20"/>
  <c r="CC24" i="2"/>
  <c r="K24" i="20"/>
  <c r="U14" i="39"/>
  <c r="BJ101" i="2"/>
  <c r="CK101" i="2"/>
  <c r="BG106" i="2"/>
  <c r="CF106" i="2"/>
  <c r="BH105" i="2"/>
  <c r="CI105" i="2"/>
  <c r="CH105" i="2"/>
  <c r="AC99" i="40"/>
  <c r="AD326" i="40"/>
  <c r="AI93" i="40"/>
  <c r="AJ323" i="40"/>
  <c r="AD105" i="40"/>
  <c r="AE329" i="40"/>
  <c r="AE97" i="40"/>
  <c r="AF325" i="40"/>
  <c r="AI103" i="40"/>
  <c r="AJ328" i="40"/>
  <c r="AI101" i="40"/>
  <c r="AJ327" i="40"/>
  <c r="AE107" i="40"/>
  <c r="AF330" i="40"/>
  <c r="AI111" i="40"/>
  <c r="AJ332" i="40"/>
  <c r="AI109" i="40"/>
  <c r="AJ331" i="40"/>
  <c r="AJ95" i="40"/>
  <c r="AK324" i="40"/>
  <c r="AJ91" i="40"/>
  <c r="AM300" i="40"/>
  <c r="AL47" i="40"/>
  <c r="AL315" i="40"/>
  <c r="AK77" i="40"/>
  <c r="AM298" i="40"/>
  <c r="AL43" i="40"/>
  <c r="AL302" i="40"/>
  <c r="AK51" i="40"/>
  <c r="AM303" i="40"/>
  <c r="AL53" i="40"/>
  <c r="AM299" i="40"/>
  <c r="AL45" i="40"/>
  <c r="AM322" i="40"/>
  <c r="AL321" i="40"/>
  <c r="AK89" i="40"/>
  <c r="AM301" i="40"/>
  <c r="AL49" i="40"/>
  <c r="AL317" i="40"/>
  <c r="AK81" i="40"/>
  <c r="AK309" i="40"/>
  <c r="AJ65" i="40"/>
  <c r="AL307" i="40"/>
  <c r="AK61" i="40"/>
  <c r="AL297" i="40"/>
  <c r="AK41" i="40"/>
  <c r="AL310" i="40"/>
  <c r="AK67" i="40"/>
  <c r="AM312" i="40"/>
  <c r="AL71" i="40"/>
  <c r="AK313" i="40"/>
  <c r="AJ73" i="40"/>
  <c r="AM316" i="40"/>
  <c r="AL79" i="40"/>
  <c r="AM304" i="40"/>
  <c r="AL55" i="40"/>
  <c r="AM320" i="40"/>
  <c r="AL87" i="40"/>
  <c r="AM314" i="40"/>
  <c r="AL75" i="40"/>
  <c r="AM306" i="40"/>
  <c r="AL59" i="40"/>
  <c r="AK311" i="40"/>
  <c r="AJ69" i="40"/>
  <c r="AM318" i="40"/>
  <c r="AL83" i="40"/>
  <c r="AM305" i="40"/>
  <c r="AL57" i="40"/>
  <c r="AL319" i="40"/>
  <c r="AK85" i="40"/>
  <c r="AM308" i="40"/>
  <c r="AL63" i="40"/>
  <c r="AP79" i="22"/>
  <c r="AQ239" i="22"/>
  <c r="BA234" i="10"/>
  <c r="AZ69" i="10"/>
  <c r="BB226" i="6"/>
  <c r="BA47" i="6"/>
  <c r="AY228" i="11"/>
  <c r="AX57" i="11"/>
  <c r="X59" i="10"/>
  <c r="Y229" i="10"/>
  <c r="AJ75" i="11"/>
  <c r="AK237" i="11"/>
  <c r="AP67" i="10"/>
  <c r="AQ233" i="10"/>
  <c r="AS235" i="22"/>
  <c r="AR71" i="22"/>
  <c r="Y65" i="10"/>
  <c r="Z232" i="10"/>
  <c r="AZ77" i="22"/>
  <c r="BA238" i="22"/>
  <c r="AU61" i="7"/>
  <c r="AV230" i="7"/>
  <c r="Y81" i="10"/>
  <c r="Z240" i="10"/>
  <c r="AZ238" i="7"/>
  <c r="AY77" i="7"/>
  <c r="AV223" i="11"/>
  <c r="AU47" i="11"/>
  <c r="AZ63" i="9"/>
  <c r="BA231" i="9"/>
  <c r="AR63" i="8"/>
  <c r="AS231" i="8"/>
  <c r="AY51" i="11"/>
  <c r="AZ225" i="11"/>
  <c r="BB233" i="7"/>
  <c r="BA67" i="7"/>
  <c r="Z233" i="9"/>
  <c r="Y67" i="9"/>
  <c r="DT147" i="10"/>
  <c r="AK71" i="10"/>
  <c r="AL235" i="10"/>
  <c r="DW54" i="10"/>
  <c r="DV144" i="10"/>
  <c r="AZ238" i="11"/>
  <c r="AY77" i="11"/>
  <c r="AN63" i="10"/>
  <c r="AO231" i="10"/>
  <c r="AW239" i="11"/>
  <c r="AV79" i="11"/>
  <c r="AZ71" i="8"/>
  <c r="BA235" i="8"/>
  <c r="BB57" i="22"/>
  <c r="BC228" i="22"/>
  <c r="AW59" i="7"/>
  <c r="AX229" i="7"/>
  <c r="AS79" i="7"/>
  <c r="AT239" i="7"/>
  <c r="AQ79" i="9"/>
  <c r="AR239" i="9"/>
  <c r="DU146" i="10"/>
  <c r="DU145" i="10"/>
  <c r="AS231" i="22"/>
  <c r="AR63" i="22"/>
  <c r="AZ79" i="8"/>
  <c r="BA239" i="8"/>
  <c r="AZ238" i="10"/>
  <c r="AY77" i="10"/>
  <c r="AN229" i="8"/>
  <c r="AM59" i="8"/>
  <c r="AP73" i="22"/>
  <c r="AQ236" i="22"/>
  <c r="AD233" i="22"/>
  <c r="AC67" i="22"/>
  <c r="AQ232" i="9"/>
  <c r="AP65" i="9"/>
  <c r="BA230" i="10"/>
  <c r="AZ61" i="10"/>
  <c r="R58" i="2"/>
  <c r="D58" i="20"/>
  <c r="BA222" i="10"/>
  <c r="AZ45" i="10"/>
  <c r="BB223" i="10"/>
  <c r="BA47" i="10"/>
  <c r="BA41" i="10"/>
  <c r="BB220" i="10"/>
  <c r="BB31" i="10"/>
  <c r="BC215" i="10"/>
  <c r="BB219" i="10"/>
  <c r="BA39" i="10"/>
  <c r="BA49" i="10"/>
  <c r="BB224" i="10"/>
  <c r="BA35" i="10"/>
  <c r="BB217" i="10"/>
  <c r="BB221" i="10"/>
  <c r="BA43" i="10"/>
  <c r="BB216" i="10"/>
  <c r="BA33" i="10"/>
  <c r="BB53" i="10"/>
  <c r="BC226" i="10"/>
  <c r="AZ47" i="22"/>
  <c r="BA223" i="22"/>
  <c r="BA53" i="22"/>
  <c r="BB226" i="22"/>
  <c r="BA43" i="22"/>
  <c r="BB221" i="22"/>
  <c r="BB51" i="22"/>
  <c r="BC225" i="22"/>
  <c r="BB47" i="8"/>
  <c r="BC223" i="8"/>
  <c r="BB225" i="8"/>
  <c r="BA51" i="8"/>
  <c r="AX77" i="9"/>
  <c r="AY238" i="9"/>
  <c r="X81" i="9"/>
  <c r="Y240" i="9"/>
  <c r="W49" i="11"/>
  <c r="X224" i="11"/>
  <c r="BB33" i="22"/>
  <c r="BC216" i="22"/>
  <c r="L107" i="2"/>
  <c r="N107" i="2"/>
  <c r="O107" i="2"/>
  <c r="M228" i="2"/>
  <c r="BE107" i="2"/>
  <c r="BF228" i="2"/>
  <c r="AD229" i="2"/>
  <c r="AM229" i="2"/>
  <c r="AV229" i="2"/>
  <c r="U229" i="2"/>
  <c r="L229" i="2"/>
  <c r="C229" i="2"/>
  <c r="BN229" i="2"/>
  <c r="BE229" i="2"/>
  <c r="AB81" i="22"/>
  <c r="AC240" i="22"/>
  <c r="R73" i="10"/>
  <c r="S236" i="10"/>
  <c r="AD69" i="22"/>
  <c r="AE234" i="22"/>
  <c r="Z79" i="10"/>
  <c r="AA239" i="10"/>
  <c r="L65" i="7"/>
  <c r="M232" i="7"/>
  <c r="AE81" i="11"/>
  <c r="AF240" i="11"/>
  <c r="Z65" i="22"/>
  <c r="AA232" i="22"/>
  <c r="V228" i="2"/>
  <c r="U107" i="2"/>
  <c r="W107" i="2"/>
  <c r="X107" i="2"/>
  <c r="AM107" i="2"/>
  <c r="AO107" i="2"/>
  <c r="AP107" i="2"/>
  <c r="AN228" i="2"/>
  <c r="AS73" i="8"/>
  <c r="AT236" i="8"/>
  <c r="S53" i="11"/>
  <c r="T226" i="11"/>
  <c r="A110" i="2"/>
  <c r="A230" i="2"/>
  <c r="BW230" i="2"/>
  <c r="AG73" i="11"/>
  <c r="AH236" i="11"/>
  <c r="AX73" i="9"/>
  <c r="AY236" i="9"/>
  <c r="Z81" i="7"/>
  <c r="AA240" i="7"/>
  <c r="AB75" i="8"/>
  <c r="AC237" i="8"/>
  <c r="AC75" i="7"/>
  <c r="AD237" i="7"/>
  <c r="Y57" i="10"/>
  <c r="Z228" i="10"/>
  <c r="AI61" i="8"/>
  <c r="AJ230" i="8"/>
  <c r="AF69" i="8"/>
  <c r="AG234" i="8"/>
  <c r="BN107" i="2"/>
  <c r="BP107" i="2"/>
  <c r="BQ107" i="2"/>
  <c r="BO228" i="2"/>
  <c r="AE228" i="2"/>
  <c r="AD107" i="2"/>
  <c r="AF107" i="2"/>
  <c r="AG107" i="2"/>
  <c r="V69" i="7"/>
  <c r="W234" i="7"/>
  <c r="AD67" i="8"/>
  <c r="AE233" i="8"/>
  <c r="AG77" i="8"/>
  <c r="AH238" i="8"/>
  <c r="AB75" i="22"/>
  <c r="AC237" i="22"/>
  <c r="AE67" i="11"/>
  <c r="AF233" i="11"/>
  <c r="AA69" i="9"/>
  <c r="AB234" i="9"/>
  <c r="D228" i="2"/>
  <c r="C107" i="2"/>
  <c r="E107" i="2"/>
  <c r="F107" i="2"/>
  <c r="AV107" i="2"/>
  <c r="AX107" i="2"/>
  <c r="AY107" i="2"/>
  <c r="AW228" i="2"/>
  <c r="O31" i="22"/>
  <c r="P215" i="22"/>
  <c r="AE61" i="22"/>
  <c r="AF230" i="22"/>
  <c r="Y71" i="9"/>
  <c r="Z235" i="9"/>
  <c r="AD71" i="7"/>
  <c r="AE235" i="7"/>
  <c r="AB75" i="10"/>
  <c r="AC237" i="10"/>
  <c r="I30" i="2"/>
  <c r="C30" i="20"/>
  <c r="N28" i="20"/>
  <c r="O28" i="20"/>
  <c r="M18" i="39"/>
  <c r="B26" i="38"/>
  <c r="T25" i="38"/>
  <c r="AC58" i="38"/>
  <c r="B91" i="38"/>
  <c r="AW35" i="8"/>
  <c r="AX217" i="8"/>
  <c r="BA45" i="8"/>
  <c r="BB222" i="8"/>
  <c r="BA221" i="8"/>
  <c r="AZ43" i="8"/>
  <c r="AQ63" i="7"/>
  <c r="AR231" i="7"/>
  <c r="BA33" i="11"/>
  <c r="BB216" i="11"/>
  <c r="BC226" i="9"/>
  <c r="BB53" i="9"/>
  <c r="BB215" i="9"/>
  <c r="BA31" i="9"/>
  <c r="BA222" i="1"/>
  <c r="AZ31" i="1"/>
  <c r="BB233" i="1"/>
  <c r="BA53" i="1"/>
  <c r="AZ33" i="1"/>
  <c r="BA223" i="1"/>
  <c r="BB35" i="1"/>
  <c r="BC224" i="1"/>
  <c r="BB59" i="1"/>
  <c r="BC236" i="1"/>
  <c r="BC239" i="1"/>
  <c r="BB65" i="1"/>
  <c r="BB232" i="1"/>
  <c r="BA51" i="1"/>
  <c r="AJ49" i="2"/>
  <c r="F49" i="20"/>
  <c r="BB38" i="2"/>
  <c r="H38" i="20"/>
  <c r="R26" i="39"/>
  <c r="G34" i="38"/>
  <c r="X36" i="20"/>
  <c r="Y36" i="20"/>
  <c r="G99" i="38"/>
  <c r="Y33" i="38"/>
  <c r="AH66" i="38"/>
  <c r="AZ45" i="22"/>
  <c r="BA222" i="22"/>
  <c r="BB214" i="6"/>
  <c r="BA23" i="6"/>
  <c r="BB216" i="6"/>
  <c r="BA27" i="6"/>
  <c r="BB219" i="6"/>
  <c r="BA33" i="6"/>
  <c r="BB217" i="6"/>
  <c r="BA224" i="6"/>
  <c r="AZ43" i="6"/>
  <c r="BB221" i="6"/>
  <c r="BA37" i="6"/>
  <c r="BA41" i="6"/>
  <c r="BB223" i="6"/>
  <c r="BA25" i="6"/>
  <c r="BB215" i="6"/>
  <c r="BB220" i="6"/>
  <c r="BA35" i="6"/>
  <c r="BA218" i="6"/>
  <c r="AZ31" i="6"/>
  <c r="AY247" i="1"/>
  <c r="AX81" i="1"/>
  <c r="AW83" i="1"/>
  <c r="AX248" i="1"/>
  <c r="BB43" i="1"/>
  <c r="BC228" i="1"/>
  <c r="AZ37" i="8"/>
  <c r="BA218" i="8"/>
  <c r="AX219" i="8"/>
  <c r="AW39" i="8"/>
  <c r="AX45" i="11"/>
  <c r="AY222" i="11"/>
  <c r="AA49" i="2"/>
  <c r="E49" i="20"/>
  <c r="AZ39" i="22"/>
  <c r="BA219" i="22"/>
  <c r="BB217" i="22"/>
  <c r="BA35" i="22"/>
  <c r="BB224" i="22"/>
  <c r="BA49" i="22"/>
  <c r="BB217" i="7"/>
  <c r="BA35" i="7"/>
  <c r="BA219" i="7"/>
  <c r="AZ39" i="7"/>
  <c r="BB221" i="7"/>
  <c r="BA43" i="7"/>
  <c r="AZ37" i="7"/>
  <c r="BA218" i="7"/>
  <c r="BA215" i="7"/>
  <c r="AZ31" i="7"/>
  <c r="AX41" i="7"/>
  <c r="AY220" i="7"/>
  <c r="AY222" i="6"/>
  <c r="AX39" i="6"/>
  <c r="AX39" i="9"/>
  <c r="AY219" i="9"/>
  <c r="BC43" i="9"/>
  <c r="BD221" i="9"/>
  <c r="BB217" i="9"/>
  <c r="BA35" i="9"/>
  <c r="AX227" i="9"/>
  <c r="AW55" i="9"/>
  <c r="BB47" i="9"/>
  <c r="BC223" i="9"/>
  <c r="BA225" i="9"/>
  <c r="AZ51" i="9"/>
  <c r="BB222" i="9"/>
  <c r="BA45" i="9"/>
  <c r="AY57" i="9"/>
  <c r="AZ228" i="9"/>
  <c r="BA49" i="9"/>
  <c r="BB224" i="9"/>
  <c r="AZ245" i="1"/>
  <c r="AY77" i="1"/>
  <c r="BA240" i="1"/>
  <c r="AZ67" i="1"/>
  <c r="BC246" i="1"/>
  <c r="BB79" i="1"/>
  <c r="BA237" i="1"/>
  <c r="AZ61" i="1"/>
  <c r="BB244" i="1"/>
  <c r="BA75" i="1"/>
  <c r="BB242" i="1"/>
  <c r="BA71" i="1"/>
  <c r="AZ243" i="1"/>
  <c r="AY73" i="1"/>
  <c r="AV235" i="1"/>
  <c r="AU57" i="1"/>
  <c r="AW221" i="11"/>
  <c r="AV43" i="11"/>
  <c r="AS40" i="2"/>
  <c r="G40" i="20"/>
  <c r="F36" i="38"/>
  <c r="F102" i="38"/>
  <c r="Q28" i="39"/>
  <c r="V38" i="20"/>
  <c r="W38" i="20"/>
  <c r="BB219" i="11"/>
  <c r="BA39" i="11"/>
  <c r="BA218" i="11"/>
  <c r="AZ37" i="11"/>
  <c r="AY215" i="11"/>
  <c r="AY220" i="11"/>
  <c r="AX41" i="11"/>
  <c r="BB225" i="10"/>
  <c r="BA51" i="10"/>
  <c r="BB218" i="10"/>
  <c r="BA37" i="10"/>
  <c r="BC229" i="22"/>
  <c r="BB59" i="22"/>
  <c r="BB220" i="22"/>
  <c r="BA41" i="22"/>
  <c r="BB218" i="22"/>
  <c r="BB227" i="22"/>
  <c r="BA55" i="22"/>
  <c r="AZ228" i="8"/>
  <c r="AY57" i="8"/>
  <c r="BB227" i="8"/>
  <c r="BA55" i="8"/>
  <c r="BC220" i="8"/>
  <c r="BB41" i="8"/>
  <c r="BC216" i="8"/>
  <c r="BB33" i="8"/>
  <c r="BC226" i="8"/>
  <c r="BB53" i="8"/>
  <c r="BD215" i="8"/>
  <c r="BC31" i="8"/>
  <c r="BC224" i="8"/>
  <c r="BB49" i="8"/>
  <c r="BC227" i="7"/>
  <c r="BB55" i="7"/>
  <c r="BC226" i="7"/>
  <c r="BB53" i="7"/>
  <c r="BC225" i="7"/>
  <c r="BB51" i="7"/>
  <c r="BA223" i="7"/>
  <c r="AZ47" i="7"/>
  <c r="AV216" i="7"/>
  <c r="AU33" i="7"/>
  <c r="AZ222" i="7"/>
  <c r="AY45" i="7"/>
  <c r="BC231" i="6"/>
  <c r="BB57" i="6"/>
  <c r="BC230" i="6"/>
  <c r="BB55" i="6"/>
  <c r="BC229" i="6"/>
  <c r="BB53" i="6"/>
  <c r="BC228" i="6"/>
  <c r="BB51" i="6"/>
  <c r="BC227" i="6"/>
  <c r="BB49" i="6"/>
  <c r="BA225" i="6"/>
  <c r="AZ45" i="6"/>
  <c r="BB230" i="9"/>
  <c r="BA61" i="9"/>
  <c r="BC229" i="9"/>
  <c r="BB59" i="9"/>
  <c r="BB220" i="9"/>
  <c r="BA41" i="9"/>
  <c r="BB218" i="9"/>
  <c r="BA37" i="9"/>
  <c r="AY216" i="9"/>
  <c r="AX33" i="9"/>
  <c r="BA241" i="1"/>
  <c r="AZ69" i="1"/>
  <c r="BC238" i="1"/>
  <c r="BB63" i="1"/>
  <c r="BA231" i="1"/>
  <c r="AZ49" i="1"/>
  <c r="BC234" i="1"/>
  <c r="BB55" i="1"/>
  <c r="BC230" i="1"/>
  <c r="BB47" i="1"/>
  <c r="BA229" i="1"/>
  <c r="AZ45" i="1"/>
  <c r="BC226" i="1"/>
  <c r="BB39" i="1"/>
  <c r="BA225" i="1"/>
  <c r="AZ37" i="1"/>
  <c r="BA227" i="1"/>
  <c r="AZ41" i="1"/>
  <c r="BA49" i="7"/>
  <c r="BB224" i="7"/>
  <c r="BW109" i="2"/>
  <c r="BY109" i="2"/>
  <c r="BZ109" i="2"/>
  <c r="CB109" i="2"/>
  <c r="BX230" i="2"/>
  <c r="R75" i="9"/>
  <c r="S237" i="9"/>
  <c r="J37" i="20"/>
  <c r="BT38" i="2"/>
  <c r="I34" i="38"/>
  <c r="I100" i="38"/>
  <c r="T26" i="39"/>
  <c r="AB36" i="20"/>
  <c r="AC36" i="20"/>
  <c r="I43" i="20"/>
  <c r="BK44" i="2"/>
  <c r="Z42" i="20"/>
  <c r="AA42" i="20"/>
  <c r="H40" i="38"/>
  <c r="H106" i="38"/>
  <c r="S32" i="39"/>
  <c r="CC25" i="2"/>
  <c r="K25" i="20"/>
  <c r="U15" i="39"/>
  <c r="CL45" i="2"/>
  <c r="L44" i="20"/>
  <c r="BJ102" i="2"/>
  <c r="CK102" i="2"/>
  <c r="BG107" i="2"/>
  <c r="CF107" i="2"/>
  <c r="BH106" i="2"/>
  <c r="CI106" i="2"/>
  <c r="CH106" i="2"/>
  <c r="DU147" i="10"/>
  <c r="AI95" i="40"/>
  <c r="AJ324" i="40"/>
  <c r="AH111" i="40"/>
  <c r="AI332" i="40"/>
  <c r="AH101" i="40"/>
  <c r="AI327" i="40"/>
  <c r="AD97" i="40"/>
  <c r="AE325" i="40"/>
  <c r="AH93" i="40"/>
  <c r="AI323" i="40"/>
  <c r="AH109" i="40"/>
  <c r="AI331" i="40"/>
  <c r="AD107" i="40"/>
  <c r="AE330" i="40"/>
  <c r="AH103" i="40"/>
  <c r="AI328" i="40"/>
  <c r="AC105" i="40"/>
  <c r="AD329" i="40"/>
  <c r="AB99" i="40"/>
  <c r="AC326" i="40"/>
  <c r="AI91" i="40"/>
  <c r="AL308" i="40"/>
  <c r="AK63" i="40"/>
  <c r="AL299" i="40"/>
  <c r="AK45" i="40"/>
  <c r="AL305" i="40"/>
  <c r="AK57" i="40"/>
  <c r="AL314" i="40"/>
  <c r="AK75" i="40"/>
  <c r="AJ313" i="40"/>
  <c r="AI73" i="40"/>
  <c r="AK307" i="40"/>
  <c r="AJ61" i="40"/>
  <c r="AK321" i="40"/>
  <c r="AJ89" i="40"/>
  <c r="AK315" i="40"/>
  <c r="AJ77" i="40"/>
  <c r="AK319" i="40"/>
  <c r="AJ85" i="40"/>
  <c r="AL318" i="40"/>
  <c r="AK83" i="40"/>
  <c r="AL306" i="40"/>
  <c r="AK59" i="40"/>
  <c r="AL320" i="40"/>
  <c r="AK87" i="40"/>
  <c r="AL316" i="40"/>
  <c r="AK79" i="40"/>
  <c r="AL312" i="40"/>
  <c r="AK71" i="40"/>
  <c r="AK297" i="40"/>
  <c r="AJ41" i="40"/>
  <c r="AJ309" i="40"/>
  <c r="AI65" i="40"/>
  <c r="AL301" i="40"/>
  <c r="AK49" i="40"/>
  <c r="AL322" i="40"/>
  <c r="AL303" i="40"/>
  <c r="AK53" i="40"/>
  <c r="AL298" i="40"/>
  <c r="AK43" i="40"/>
  <c r="AL300" i="40"/>
  <c r="AK47" i="40"/>
  <c r="AJ311" i="40"/>
  <c r="AI69" i="40"/>
  <c r="AL304" i="40"/>
  <c r="AK55" i="40"/>
  <c r="AK310" i="40"/>
  <c r="AJ67" i="40"/>
  <c r="AK317" i="40"/>
  <c r="AJ81" i="40"/>
  <c r="AK302" i="40"/>
  <c r="AJ51" i="40"/>
  <c r="AO73" i="22"/>
  <c r="AP236" i="22"/>
  <c r="AZ239" i="8"/>
  <c r="AY79" i="8"/>
  <c r="AS239" i="7"/>
  <c r="AR79" i="7"/>
  <c r="BA57" i="22"/>
  <c r="BB228" i="22"/>
  <c r="AK235" i="10"/>
  <c r="AJ71" i="10"/>
  <c r="AZ67" i="7"/>
  <c r="BA233" i="7"/>
  <c r="AU223" i="11"/>
  <c r="AT47" i="11"/>
  <c r="AQ71" i="22"/>
  <c r="AR235" i="22"/>
  <c r="AX228" i="11"/>
  <c r="AW57" i="11"/>
  <c r="AZ234" i="10"/>
  <c r="AY69" i="10"/>
  <c r="AZ230" i="10"/>
  <c r="AY61" i="10"/>
  <c r="AB67" i="22"/>
  <c r="AC233" i="22"/>
  <c r="AX77" i="10"/>
  <c r="AY238" i="10"/>
  <c r="AQ63" i="22"/>
  <c r="AR231" i="22"/>
  <c r="DV146" i="10"/>
  <c r="DV145" i="10"/>
  <c r="AQ63" i="8"/>
  <c r="AR231" i="8"/>
  <c r="Y240" i="10"/>
  <c r="X81" i="10"/>
  <c r="AZ238" i="22"/>
  <c r="AY77" i="22"/>
  <c r="AI75" i="11"/>
  <c r="AJ237" i="11"/>
  <c r="AP79" i="9"/>
  <c r="AQ239" i="9"/>
  <c r="AV59" i="7"/>
  <c r="AW229" i="7"/>
  <c r="AY71" i="8"/>
  <c r="AZ235" i="8"/>
  <c r="AM63" i="10"/>
  <c r="AN231" i="10"/>
  <c r="DX54" i="10"/>
  <c r="DW144" i="10"/>
  <c r="X67" i="9"/>
  <c r="Y233" i="9"/>
  <c r="AX77" i="7"/>
  <c r="AY238" i="7"/>
  <c r="BA226" i="6"/>
  <c r="AZ47" i="6"/>
  <c r="AO65" i="9"/>
  <c r="AP232" i="9"/>
  <c r="AL59" i="8"/>
  <c r="AM229" i="8"/>
  <c r="AV239" i="11"/>
  <c r="AU79" i="11"/>
  <c r="AY238" i="11"/>
  <c r="AX77" i="11"/>
  <c r="AX51" i="11"/>
  <c r="AY225" i="11"/>
  <c r="AY63" i="9"/>
  <c r="AZ231" i="9"/>
  <c r="AT61" i="7"/>
  <c r="AU230" i="7"/>
  <c r="X65" i="10"/>
  <c r="Y232" i="10"/>
  <c r="AO67" i="10"/>
  <c r="AP233" i="10"/>
  <c r="W59" i="10"/>
  <c r="X229" i="10"/>
  <c r="AP239" i="22"/>
  <c r="AO79" i="22"/>
  <c r="R59" i="2"/>
  <c r="D59" i="20"/>
  <c r="BA221" i="10"/>
  <c r="AZ43" i="10"/>
  <c r="BA223" i="10"/>
  <c r="AZ47" i="10"/>
  <c r="BA53" i="10"/>
  <c r="BB226" i="10"/>
  <c r="BA224" i="10"/>
  <c r="AZ49" i="10"/>
  <c r="BA31" i="10"/>
  <c r="BB215" i="10"/>
  <c r="BA216" i="10"/>
  <c r="AZ33" i="10"/>
  <c r="AZ39" i="10"/>
  <c r="BA219" i="10"/>
  <c r="AY45" i="10"/>
  <c r="AZ222" i="10"/>
  <c r="AZ35" i="10"/>
  <c r="BA217" i="10"/>
  <c r="BA220" i="10"/>
  <c r="AZ41" i="10"/>
  <c r="AZ53" i="22"/>
  <c r="BA226" i="22"/>
  <c r="BA51" i="22"/>
  <c r="BB225" i="22"/>
  <c r="AZ43" i="22"/>
  <c r="BA221" i="22"/>
  <c r="AZ223" i="22"/>
  <c r="AY47" i="22"/>
  <c r="BA225" i="8"/>
  <c r="AZ51" i="8"/>
  <c r="BA47" i="8"/>
  <c r="BB223" i="8"/>
  <c r="AC71" i="7"/>
  <c r="AD235" i="7"/>
  <c r="X71" i="9"/>
  <c r="Y235" i="9"/>
  <c r="Z69" i="9"/>
  <c r="AA234" i="9"/>
  <c r="AA75" i="22"/>
  <c r="AB237" i="22"/>
  <c r="AC67" i="8"/>
  <c r="AD233" i="8"/>
  <c r="AE69" i="8"/>
  <c r="AF234" i="8"/>
  <c r="X57" i="10"/>
  <c r="Y228" i="10"/>
  <c r="AB75" i="7"/>
  <c r="AC237" i="7"/>
  <c r="Y81" i="7"/>
  <c r="Z240" i="7"/>
  <c r="AF73" i="11"/>
  <c r="AG236" i="11"/>
  <c r="R53" i="11"/>
  <c r="S226" i="11"/>
  <c r="AD81" i="11"/>
  <c r="AE240" i="11"/>
  <c r="Y79" i="10"/>
  <c r="Z239" i="10"/>
  <c r="Q73" i="10"/>
  <c r="R236" i="10"/>
  <c r="BE108" i="2"/>
  <c r="BF229" i="2"/>
  <c r="U108" i="2"/>
  <c r="W108" i="2"/>
  <c r="X108" i="2"/>
  <c r="V229" i="2"/>
  <c r="AD230" i="2"/>
  <c r="L230" i="2"/>
  <c r="C230" i="2"/>
  <c r="BN230" i="2"/>
  <c r="BE230" i="2"/>
  <c r="AV230" i="2"/>
  <c r="U230" i="2"/>
  <c r="AM230" i="2"/>
  <c r="BN108" i="2"/>
  <c r="BP108" i="2"/>
  <c r="BQ108" i="2"/>
  <c r="BO229" i="2"/>
  <c r="AV108" i="2"/>
  <c r="AX108" i="2"/>
  <c r="AY108" i="2"/>
  <c r="AW229" i="2"/>
  <c r="BB216" i="22"/>
  <c r="BA33" i="22"/>
  <c r="W81" i="9"/>
  <c r="X240" i="9"/>
  <c r="AW77" i="9"/>
  <c r="AX238" i="9"/>
  <c r="AA75" i="10"/>
  <c r="AB237" i="10"/>
  <c r="AD61" i="22"/>
  <c r="AE230" i="22"/>
  <c r="N31" i="22"/>
  <c r="O215" i="22"/>
  <c r="AD67" i="11"/>
  <c r="AE233" i="11"/>
  <c r="AF77" i="8"/>
  <c r="AG238" i="8"/>
  <c r="U69" i="7"/>
  <c r="V234" i="7"/>
  <c r="AH61" i="8"/>
  <c r="AI230" i="8"/>
  <c r="AA75" i="8"/>
  <c r="AB237" i="8"/>
  <c r="AW73" i="9"/>
  <c r="AX236" i="9"/>
  <c r="A231" i="2"/>
  <c r="BW231" i="2"/>
  <c r="A111" i="2"/>
  <c r="AR73" i="8"/>
  <c r="AS236" i="8"/>
  <c r="Y65" i="22"/>
  <c r="Z232" i="22"/>
  <c r="K65" i="7"/>
  <c r="L232" i="7"/>
  <c r="AC69" i="22"/>
  <c r="AD234" i="22"/>
  <c r="AA81" i="22"/>
  <c r="AB240" i="22"/>
  <c r="C108" i="2"/>
  <c r="E108" i="2"/>
  <c r="F108" i="2"/>
  <c r="D229" i="2"/>
  <c r="AM108" i="2"/>
  <c r="AO108" i="2"/>
  <c r="AP108" i="2"/>
  <c r="AN229" i="2"/>
  <c r="M229" i="2"/>
  <c r="L108" i="2"/>
  <c r="N108" i="2"/>
  <c r="O108" i="2"/>
  <c r="AD108" i="2"/>
  <c r="AF108" i="2"/>
  <c r="AG108" i="2"/>
  <c r="AE229" i="2"/>
  <c r="V49" i="11"/>
  <c r="W224" i="11"/>
  <c r="M19" i="39"/>
  <c r="C19" i="39"/>
  <c r="N29" i="20"/>
  <c r="O29" i="20"/>
  <c r="B27" i="38"/>
  <c r="B92" i="38"/>
  <c r="T26" i="38"/>
  <c r="AC59" i="38"/>
  <c r="I31" i="2"/>
  <c r="C31" i="20"/>
  <c r="AZ45" i="8"/>
  <c r="BA222" i="8"/>
  <c r="AV35" i="8"/>
  <c r="AW217" i="8"/>
  <c r="AZ221" i="8"/>
  <c r="AY43" i="8"/>
  <c r="AZ33" i="11"/>
  <c r="BA216" i="11"/>
  <c r="AP63" i="7"/>
  <c r="AQ231" i="7"/>
  <c r="AZ31" i="9"/>
  <c r="BA215" i="9"/>
  <c r="BB226" i="9"/>
  <c r="BA53" i="9"/>
  <c r="AZ222" i="1"/>
  <c r="AY31" i="1"/>
  <c r="BA59" i="1"/>
  <c r="BB236" i="1"/>
  <c r="BB224" i="1"/>
  <c r="BA35" i="1"/>
  <c r="AZ223" i="1"/>
  <c r="AY33" i="1"/>
  <c r="BB239" i="1"/>
  <c r="BA65" i="1"/>
  <c r="AZ53" i="1"/>
  <c r="BA233" i="1"/>
  <c r="BA232" i="1"/>
  <c r="AZ51" i="1"/>
  <c r="AJ50" i="2"/>
  <c r="F50" i="20"/>
  <c r="G100" i="38"/>
  <c r="Y34" i="38"/>
  <c r="AH67" i="38"/>
  <c r="BB39" i="2"/>
  <c r="H39" i="20"/>
  <c r="R27" i="39"/>
  <c r="G35" i="38"/>
  <c r="X37" i="20"/>
  <c r="Y37" i="20"/>
  <c r="AY45" i="22"/>
  <c r="AZ222" i="22"/>
  <c r="AY31" i="6"/>
  <c r="AZ218" i="6"/>
  <c r="AZ35" i="6"/>
  <c r="BA220" i="6"/>
  <c r="AZ37" i="6"/>
  <c r="BA221" i="6"/>
  <c r="AY43" i="6"/>
  <c r="AZ224" i="6"/>
  <c r="BA219" i="6"/>
  <c r="AZ33" i="6"/>
  <c r="BA216" i="6"/>
  <c r="AZ27" i="6"/>
  <c r="AZ23" i="6"/>
  <c r="BA214" i="6"/>
  <c r="AZ25" i="6"/>
  <c r="BA215" i="6"/>
  <c r="BA223" i="6"/>
  <c r="AZ41" i="6"/>
  <c r="BA217" i="6"/>
  <c r="AX247" i="1"/>
  <c r="AW81" i="1"/>
  <c r="BB228" i="1"/>
  <c r="BA43" i="1"/>
  <c r="AV83" i="1"/>
  <c r="AW248" i="1"/>
  <c r="AV39" i="8"/>
  <c r="AW219" i="8"/>
  <c r="AZ218" i="8"/>
  <c r="AY37" i="8"/>
  <c r="AW45" i="11"/>
  <c r="AX222" i="11"/>
  <c r="AA50" i="2"/>
  <c r="E50" i="20"/>
  <c r="BA217" i="22"/>
  <c r="AZ35" i="22"/>
  <c r="BA224" i="22"/>
  <c r="AZ49" i="22"/>
  <c r="AZ219" i="22"/>
  <c r="AY39" i="22"/>
  <c r="AZ219" i="7"/>
  <c r="AY39" i="7"/>
  <c r="AX220" i="7"/>
  <c r="AW41" i="7"/>
  <c r="AZ218" i="7"/>
  <c r="AY37" i="7"/>
  <c r="AZ215" i="7"/>
  <c r="AY31" i="7"/>
  <c r="BA221" i="7"/>
  <c r="AZ43" i="7"/>
  <c r="BA217" i="7"/>
  <c r="AZ35" i="7"/>
  <c r="AW39" i="6"/>
  <c r="AX222" i="6"/>
  <c r="AW227" i="9"/>
  <c r="AV55" i="9"/>
  <c r="BC221" i="9"/>
  <c r="BB43" i="9"/>
  <c r="BA217" i="9"/>
  <c r="AZ35" i="9"/>
  <c r="BA47" i="9"/>
  <c r="BB223" i="9"/>
  <c r="AW39" i="9"/>
  <c r="AX219" i="9"/>
  <c r="AZ225" i="9"/>
  <c r="AY51" i="9"/>
  <c r="BA222" i="9"/>
  <c r="AZ45" i="9"/>
  <c r="BA224" i="9"/>
  <c r="AZ49" i="9"/>
  <c r="AX57" i="9"/>
  <c r="AY228" i="9"/>
  <c r="AT57" i="1"/>
  <c r="AU235" i="1"/>
  <c r="BA244" i="1"/>
  <c r="AZ75" i="1"/>
  <c r="BB246" i="1"/>
  <c r="BA79" i="1"/>
  <c r="AY245" i="1"/>
  <c r="AX77" i="1"/>
  <c r="AY243" i="1"/>
  <c r="AX73" i="1"/>
  <c r="BA242" i="1"/>
  <c r="AZ71" i="1"/>
  <c r="AZ237" i="1"/>
  <c r="AY61" i="1"/>
  <c r="AZ240" i="1"/>
  <c r="AY67" i="1"/>
  <c r="AV221" i="11"/>
  <c r="AU43" i="11"/>
  <c r="AS41" i="2"/>
  <c r="G41" i="20"/>
  <c r="Q29" i="39"/>
  <c r="V39" i="20"/>
  <c r="W39" i="20"/>
  <c r="F37" i="38"/>
  <c r="AX215" i="11"/>
  <c r="BA219" i="11"/>
  <c r="AZ39" i="11"/>
  <c r="AX220" i="11"/>
  <c r="AW41" i="11"/>
  <c r="AZ218" i="11"/>
  <c r="AY37" i="11"/>
  <c r="BA225" i="10"/>
  <c r="AZ51" i="10"/>
  <c r="BA218" i="10"/>
  <c r="AZ37" i="10"/>
  <c r="BB229" i="22"/>
  <c r="BA59" i="22"/>
  <c r="BA227" i="22"/>
  <c r="AZ55" i="22"/>
  <c r="BA218" i="22"/>
  <c r="BA220" i="22"/>
  <c r="AZ41" i="22"/>
  <c r="AY228" i="8"/>
  <c r="AX57" i="8"/>
  <c r="BA227" i="8"/>
  <c r="AZ55" i="8"/>
  <c r="BB224" i="8"/>
  <c r="BA49" i="8"/>
  <c r="BC215" i="8"/>
  <c r="BB31" i="8"/>
  <c r="BB226" i="8"/>
  <c r="BA53" i="8"/>
  <c r="BB216" i="8"/>
  <c r="BA33" i="8"/>
  <c r="BB220" i="8"/>
  <c r="BA41" i="8"/>
  <c r="BB227" i="7"/>
  <c r="BA55" i="7"/>
  <c r="BB226" i="7"/>
  <c r="BA53" i="7"/>
  <c r="BB225" i="7"/>
  <c r="BA51" i="7"/>
  <c r="AY222" i="7"/>
  <c r="AX45" i="7"/>
  <c r="AZ223" i="7"/>
  <c r="AY47" i="7"/>
  <c r="AU216" i="7"/>
  <c r="AT33" i="7"/>
  <c r="BB231" i="6"/>
  <c r="BA57" i="6"/>
  <c r="BB230" i="6"/>
  <c r="BA55" i="6"/>
  <c r="BB229" i="6"/>
  <c r="BA53" i="6"/>
  <c r="BB228" i="6"/>
  <c r="BA51" i="6"/>
  <c r="BB227" i="6"/>
  <c r="BA49" i="6"/>
  <c r="AZ225" i="6"/>
  <c r="AY45" i="6"/>
  <c r="BA230" i="9"/>
  <c r="AZ61" i="9"/>
  <c r="BB229" i="9"/>
  <c r="BA59" i="9"/>
  <c r="AX216" i="9"/>
  <c r="AW33" i="9"/>
  <c r="BA218" i="9"/>
  <c r="AZ37" i="9"/>
  <c r="BA220" i="9"/>
  <c r="AZ41" i="9"/>
  <c r="AZ241" i="1"/>
  <c r="AY69" i="1"/>
  <c r="BB238" i="1"/>
  <c r="BA63" i="1"/>
  <c r="AZ231" i="1"/>
  <c r="AY49" i="1"/>
  <c r="BB230" i="1"/>
  <c r="BA47" i="1"/>
  <c r="BB234" i="1"/>
  <c r="BA55" i="1"/>
  <c r="AZ229" i="1"/>
  <c r="AY45" i="1"/>
  <c r="AZ225" i="1"/>
  <c r="AY37" i="1"/>
  <c r="AZ227" i="1"/>
  <c r="AY41" i="1"/>
  <c r="BB226" i="1"/>
  <c r="BA39" i="1"/>
  <c r="AZ49" i="7"/>
  <c r="BA224" i="7"/>
  <c r="BX231" i="2"/>
  <c r="BW110" i="2"/>
  <c r="BY110" i="2"/>
  <c r="BZ110" i="2"/>
  <c r="CB110" i="2"/>
  <c r="R237" i="9"/>
  <c r="Q75" i="9"/>
  <c r="CC26" i="2"/>
  <c r="K26" i="20"/>
  <c r="U16" i="39"/>
  <c r="J38" i="20"/>
  <c r="BT39" i="2"/>
  <c r="I35" i="38"/>
  <c r="I101" i="38"/>
  <c r="AB37" i="20"/>
  <c r="AC37" i="20"/>
  <c r="T27" i="39"/>
  <c r="I44" i="20"/>
  <c r="BK45" i="2"/>
  <c r="H41" i="38"/>
  <c r="H107" i="38"/>
  <c r="S33" i="39"/>
  <c r="Z43" i="20"/>
  <c r="AA43" i="20"/>
  <c r="CL46" i="2"/>
  <c r="L45" i="20"/>
  <c r="BJ103" i="2"/>
  <c r="CK103" i="2"/>
  <c r="BG108" i="2"/>
  <c r="CF108" i="2"/>
  <c r="BH107" i="2"/>
  <c r="CI107" i="2"/>
  <c r="CH107" i="2"/>
  <c r="DV147" i="10"/>
  <c r="AA99" i="40"/>
  <c r="AB326" i="40"/>
  <c r="AG103" i="40"/>
  <c r="AH328" i="40"/>
  <c r="AG109" i="40"/>
  <c r="AH331" i="40"/>
  <c r="AC97" i="40"/>
  <c r="AD325" i="40"/>
  <c r="AG111" i="40"/>
  <c r="AH332" i="40"/>
  <c r="AB105" i="40"/>
  <c r="AC329" i="40"/>
  <c r="AC107" i="40"/>
  <c r="AD330" i="40"/>
  <c r="AG93" i="40"/>
  <c r="AH323" i="40"/>
  <c r="AG101" i="40"/>
  <c r="AH327" i="40"/>
  <c r="AH95" i="40"/>
  <c r="AI324" i="40"/>
  <c r="AH91" i="40"/>
  <c r="AJ307" i="40"/>
  <c r="AI61" i="40"/>
  <c r="AJ302" i="40"/>
  <c r="AI51" i="40"/>
  <c r="AI311" i="40"/>
  <c r="AH69" i="40"/>
  <c r="AK322" i="40"/>
  <c r="AK312" i="40"/>
  <c r="AJ71" i="40"/>
  <c r="AK318" i="40"/>
  <c r="AJ83" i="40"/>
  <c r="AK299" i="40"/>
  <c r="AJ45" i="40"/>
  <c r="AJ317" i="40"/>
  <c r="AI81" i="40"/>
  <c r="AK304" i="40"/>
  <c r="AJ55" i="40"/>
  <c r="AK300" i="40"/>
  <c r="AJ47" i="40"/>
  <c r="AK303" i="40"/>
  <c r="AJ53" i="40"/>
  <c r="AK301" i="40"/>
  <c r="AJ49" i="40"/>
  <c r="AJ297" i="40"/>
  <c r="AI41" i="40"/>
  <c r="AK316" i="40"/>
  <c r="AJ79" i="40"/>
  <c r="AK306" i="40"/>
  <c r="AJ59" i="40"/>
  <c r="AJ319" i="40"/>
  <c r="AI85" i="40"/>
  <c r="AJ321" i="40"/>
  <c r="AI89" i="40"/>
  <c r="AI313" i="40"/>
  <c r="AH73" i="40"/>
  <c r="AK305" i="40"/>
  <c r="AJ57" i="40"/>
  <c r="AK308" i="40"/>
  <c r="AJ63" i="40"/>
  <c r="AJ310" i="40"/>
  <c r="AI67" i="40"/>
  <c r="AK298" i="40"/>
  <c r="AJ43" i="40"/>
  <c r="AI309" i="40"/>
  <c r="AH65" i="40"/>
  <c r="AK320" i="40"/>
  <c r="AJ87" i="40"/>
  <c r="AJ315" i="40"/>
  <c r="AI77" i="40"/>
  <c r="AK314" i="40"/>
  <c r="AJ75" i="40"/>
  <c r="AX238" i="11"/>
  <c r="AW77" i="11"/>
  <c r="AZ226" i="6"/>
  <c r="AY47" i="6"/>
  <c r="W81" i="10"/>
  <c r="X240" i="10"/>
  <c r="AY234" i="10"/>
  <c r="AX69" i="10"/>
  <c r="AX79" i="8"/>
  <c r="AY239" i="8"/>
  <c r="V59" i="10"/>
  <c r="W229" i="10"/>
  <c r="W65" i="10"/>
  <c r="X232" i="10"/>
  <c r="AX63" i="9"/>
  <c r="AY231" i="9"/>
  <c r="AL229" i="8"/>
  <c r="AK59" i="8"/>
  <c r="W67" i="9"/>
  <c r="X233" i="9"/>
  <c r="AL63" i="10"/>
  <c r="AM231" i="10"/>
  <c r="AU59" i="7"/>
  <c r="AV229" i="7"/>
  <c r="AH75" i="11"/>
  <c r="AI237" i="11"/>
  <c r="AX238" i="10"/>
  <c r="AW77" i="10"/>
  <c r="AB233" i="22"/>
  <c r="AA67" i="22"/>
  <c r="AP71" i="22"/>
  <c r="AQ235" i="22"/>
  <c r="AY67" i="7"/>
  <c r="AZ233" i="7"/>
  <c r="BA228" i="22"/>
  <c r="AZ57" i="22"/>
  <c r="AN79" i="22"/>
  <c r="AO239" i="22"/>
  <c r="AU239" i="11"/>
  <c r="AT79" i="11"/>
  <c r="DW146" i="10"/>
  <c r="DW145" i="10"/>
  <c r="AX77" i="22"/>
  <c r="AY238" i="22"/>
  <c r="AX61" i="10"/>
  <c r="AY230" i="10"/>
  <c r="AW228" i="11"/>
  <c r="AV57" i="11"/>
  <c r="AS47" i="11"/>
  <c r="AT223" i="11"/>
  <c r="AJ235" i="10"/>
  <c r="AI71" i="10"/>
  <c r="AR239" i="7"/>
  <c r="AQ79" i="7"/>
  <c r="AN67" i="10"/>
  <c r="AO233" i="10"/>
  <c r="AT230" i="7"/>
  <c r="AS61" i="7"/>
  <c r="AW51" i="11"/>
  <c r="AX225" i="11"/>
  <c r="AO232" i="9"/>
  <c r="AN65" i="9"/>
  <c r="AX238" i="7"/>
  <c r="AW77" i="7"/>
  <c r="DX144" i="10"/>
  <c r="DY54" i="10"/>
  <c r="AX71" i="8"/>
  <c r="AY235" i="8"/>
  <c r="AO79" i="9"/>
  <c r="AP239" i="9"/>
  <c r="AP63" i="8"/>
  <c r="AQ231" i="8"/>
  <c r="AP63" i="22"/>
  <c r="AQ231" i="22"/>
  <c r="AN73" i="22"/>
  <c r="AO236" i="22"/>
  <c r="R60" i="2"/>
  <c r="D60" i="20"/>
  <c r="AZ220" i="10"/>
  <c r="AY41" i="10"/>
  <c r="AZ216" i="10"/>
  <c r="AY33" i="10"/>
  <c r="AZ224" i="10"/>
  <c r="AY49" i="10"/>
  <c r="AZ223" i="10"/>
  <c r="AY47" i="10"/>
  <c r="AY222" i="10"/>
  <c r="AX45" i="10"/>
  <c r="AY43" i="10"/>
  <c r="AZ221" i="10"/>
  <c r="AZ217" i="10"/>
  <c r="AY35" i="10"/>
  <c r="AZ219" i="10"/>
  <c r="AY39" i="10"/>
  <c r="AZ31" i="10"/>
  <c r="BA215" i="10"/>
  <c r="AZ53" i="10"/>
  <c r="BA226" i="10"/>
  <c r="AY43" i="22"/>
  <c r="AZ221" i="22"/>
  <c r="AY53" i="22"/>
  <c r="AZ226" i="22"/>
  <c r="AX47" i="22"/>
  <c r="AY223" i="22"/>
  <c r="BA225" i="22"/>
  <c r="AZ51" i="22"/>
  <c r="AZ47" i="8"/>
  <c r="BA223" i="8"/>
  <c r="AY51" i="8"/>
  <c r="AZ225" i="8"/>
  <c r="U49" i="11"/>
  <c r="V224" i="11"/>
  <c r="BA216" i="22"/>
  <c r="AZ33" i="22"/>
  <c r="AV109" i="2"/>
  <c r="AX109" i="2"/>
  <c r="AY109" i="2"/>
  <c r="AW230" i="2"/>
  <c r="L109" i="2"/>
  <c r="N109" i="2"/>
  <c r="O109" i="2"/>
  <c r="M230" i="2"/>
  <c r="AB69" i="22"/>
  <c r="AC234" i="22"/>
  <c r="J65" i="7"/>
  <c r="K232" i="7"/>
  <c r="AQ73" i="8"/>
  <c r="AR236" i="8"/>
  <c r="Z75" i="8"/>
  <c r="AA237" i="8"/>
  <c r="AG61" i="8"/>
  <c r="AH230" i="8"/>
  <c r="AE77" i="8"/>
  <c r="AF238" i="8"/>
  <c r="AC67" i="11"/>
  <c r="AD233" i="11"/>
  <c r="AV77" i="9"/>
  <c r="AW238" i="9"/>
  <c r="BE109" i="2"/>
  <c r="BF230" i="2"/>
  <c r="AD109" i="2"/>
  <c r="AF109" i="2"/>
  <c r="AG109" i="2"/>
  <c r="AE230" i="2"/>
  <c r="AC81" i="11"/>
  <c r="AD240" i="11"/>
  <c r="Q53" i="11"/>
  <c r="R226" i="11"/>
  <c r="AA75" i="7"/>
  <c r="AB237" i="7"/>
  <c r="AD69" i="8"/>
  <c r="AE234" i="8"/>
  <c r="AB67" i="8"/>
  <c r="AC233" i="8"/>
  <c r="Y69" i="9"/>
  <c r="Z234" i="9"/>
  <c r="W71" i="9"/>
  <c r="X235" i="9"/>
  <c r="AB71" i="7"/>
  <c r="AC235" i="7"/>
  <c r="A232" i="2"/>
  <c r="BW232" i="2"/>
  <c r="A112" i="2"/>
  <c r="AM109" i="2"/>
  <c r="AO109" i="2"/>
  <c r="AP109" i="2"/>
  <c r="AN230" i="2"/>
  <c r="BN109" i="2"/>
  <c r="BP109" i="2"/>
  <c r="BQ109" i="2"/>
  <c r="BO230" i="2"/>
  <c r="Z81" i="22"/>
  <c r="AA240" i="22"/>
  <c r="X65" i="22"/>
  <c r="Y232" i="22"/>
  <c r="AM231" i="2"/>
  <c r="BN231" i="2"/>
  <c r="BE231" i="2"/>
  <c r="AV231" i="2"/>
  <c r="AD231" i="2"/>
  <c r="U231" i="2"/>
  <c r="L231" i="2"/>
  <c r="C231" i="2"/>
  <c r="AV73" i="9"/>
  <c r="AW236" i="9"/>
  <c r="T69" i="7"/>
  <c r="U234" i="7"/>
  <c r="M31" i="22"/>
  <c r="N215" i="22"/>
  <c r="AC61" i="22"/>
  <c r="AD230" i="22"/>
  <c r="Z75" i="10"/>
  <c r="AA237" i="10"/>
  <c r="V81" i="9"/>
  <c r="W240" i="9"/>
  <c r="V230" i="2"/>
  <c r="U109" i="2"/>
  <c r="W109" i="2"/>
  <c r="X109" i="2"/>
  <c r="C109" i="2"/>
  <c r="E109" i="2"/>
  <c r="F109" i="2"/>
  <c r="D230" i="2"/>
  <c r="P73" i="10"/>
  <c r="Q236" i="10"/>
  <c r="X79" i="10"/>
  <c r="Y239" i="10"/>
  <c r="AE73" i="11"/>
  <c r="AF236" i="11"/>
  <c r="X81" i="7"/>
  <c r="Y240" i="7"/>
  <c r="W57" i="10"/>
  <c r="X228" i="10"/>
  <c r="Z75" i="22"/>
  <c r="AA237" i="22"/>
  <c r="I32" i="2"/>
  <c r="C32" i="20"/>
  <c r="B93" i="38"/>
  <c r="T27" i="38"/>
  <c r="AC60" i="38"/>
  <c r="M20" i="39"/>
  <c r="N30" i="20"/>
  <c r="O30" i="20"/>
  <c r="B28" i="38"/>
  <c r="AU35" i="8"/>
  <c r="AV217" i="8"/>
  <c r="AZ222" i="8"/>
  <c r="AY45" i="8"/>
  <c r="AY221" i="8"/>
  <c r="AX43" i="8"/>
  <c r="AO63" i="7"/>
  <c r="AP231" i="7"/>
  <c r="AY33" i="11"/>
  <c r="AZ216" i="11"/>
  <c r="BA226" i="9"/>
  <c r="AZ53" i="9"/>
  <c r="AY31" i="9"/>
  <c r="AZ215" i="9"/>
  <c r="AX31" i="1"/>
  <c r="AY222" i="1"/>
  <c r="AY53" i="1"/>
  <c r="AZ233" i="1"/>
  <c r="AZ59" i="1"/>
  <c r="BA236" i="1"/>
  <c r="BA239" i="1"/>
  <c r="AZ65" i="1"/>
  <c r="AX33" i="1"/>
  <c r="AY223" i="1"/>
  <c r="BA224" i="1"/>
  <c r="AZ35" i="1"/>
  <c r="AY51" i="1"/>
  <c r="AZ232" i="1"/>
  <c r="AJ51" i="2"/>
  <c r="F51" i="20"/>
  <c r="R28" i="39"/>
  <c r="G36" i="38"/>
  <c r="X38" i="20"/>
  <c r="Y38" i="20"/>
  <c r="BB40" i="2"/>
  <c r="H40" i="20"/>
  <c r="Y35" i="38"/>
  <c r="AH68" i="38"/>
  <c r="G101" i="38"/>
  <c r="AX45" i="22"/>
  <c r="AY222" i="22"/>
  <c r="AZ217" i="6"/>
  <c r="AY41" i="6"/>
  <c r="AZ223" i="6"/>
  <c r="AZ216" i="6"/>
  <c r="AY27" i="6"/>
  <c r="AY33" i="6"/>
  <c r="AZ219" i="6"/>
  <c r="AZ215" i="6"/>
  <c r="AY25" i="6"/>
  <c r="AZ214" i="6"/>
  <c r="AY23" i="6"/>
  <c r="AX43" i="6"/>
  <c r="AY224" i="6"/>
  <c r="AZ221" i="6"/>
  <c r="AY37" i="6"/>
  <c r="AY35" i="6"/>
  <c r="AZ220" i="6"/>
  <c r="AX31" i="6"/>
  <c r="AY218" i="6"/>
  <c r="AZ43" i="1"/>
  <c r="BA228" i="1"/>
  <c r="AW247" i="1"/>
  <c r="AV81" i="1"/>
  <c r="AU83" i="1"/>
  <c r="AV248" i="1"/>
  <c r="AX37" i="8"/>
  <c r="AY218" i="8"/>
  <c r="AV219" i="8"/>
  <c r="AU39" i="8"/>
  <c r="AV45" i="11"/>
  <c r="AW222" i="11"/>
  <c r="AA51" i="2"/>
  <c r="E51" i="20"/>
  <c r="AY49" i="22"/>
  <c r="AZ224" i="22"/>
  <c r="AY219" i="22"/>
  <c r="AX39" i="22"/>
  <c r="AZ217" i="22"/>
  <c r="AY35" i="22"/>
  <c r="AZ217" i="7"/>
  <c r="AY35" i="7"/>
  <c r="AX31" i="7"/>
  <c r="AY215" i="7"/>
  <c r="AW220" i="7"/>
  <c r="AV41" i="7"/>
  <c r="AZ221" i="7"/>
  <c r="AY43" i="7"/>
  <c r="AY218" i="7"/>
  <c r="AX37" i="7"/>
  <c r="AY219" i="7"/>
  <c r="AX39" i="7"/>
  <c r="AW222" i="6"/>
  <c r="AV39" i="6"/>
  <c r="BB221" i="9"/>
  <c r="BA43" i="9"/>
  <c r="BA223" i="9"/>
  <c r="AZ47" i="9"/>
  <c r="AZ217" i="9"/>
  <c r="AY35" i="9"/>
  <c r="AU55" i="9"/>
  <c r="AV227" i="9"/>
  <c r="AV39" i="9"/>
  <c r="AW219" i="9"/>
  <c r="AY225" i="9"/>
  <c r="AX51" i="9"/>
  <c r="AZ222" i="9"/>
  <c r="AY45" i="9"/>
  <c r="AY49" i="9"/>
  <c r="AZ224" i="9"/>
  <c r="AW57" i="9"/>
  <c r="AX228" i="9"/>
  <c r="AY240" i="1"/>
  <c r="AX67" i="1"/>
  <c r="AZ242" i="1"/>
  <c r="AY71" i="1"/>
  <c r="AX245" i="1"/>
  <c r="AW77" i="1"/>
  <c r="AZ244" i="1"/>
  <c r="AY75" i="1"/>
  <c r="AS57" i="1"/>
  <c r="AT235" i="1"/>
  <c r="AX61" i="1"/>
  <c r="AY237" i="1"/>
  <c r="AX243" i="1"/>
  <c r="AW73" i="1"/>
  <c r="BA246" i="1"/>
  <c r="AZ79" i="1"/>
  <c r="AU221" i="11"/>
  <c r="AT43" i="11"/>
  <c r="AS42" i="2"/>
  <c r="G42" i="20"/>
  <c r="X37" i="38"/>
  <c r="AG70" i="38"/>
  <c r="F103" i="38"/>
  <c r="V40" i="20"/>
  <c r="W40" i="20"/>
  <c r="F38" i="38"/>
  <c r="F104" i="38"/>
  <c r="Q30" i="39"/>
  <c r="AW220" i="11"/>
  <c r="AV41" i="11"/>
  <c r="AW215" i="11"/>
  <c r="AY218" i="11"/>
  <c r="AX37" i="11"/>
  <c r="AZ219" i="11"/>
  <c r="AY39" i="11"/>
  <c r="AZ225" i="10"/>
  <c r="AY51" i="10"/>
  <c r="AZ218" i="10"/>
  <c r="AY37" i="10"/>
  <c r="BA229" i="22"/>
  <c r="AZ59" i="22"/>
  <c r="AZ220" i="22"/>
  <c r="AY41" i="22"/>
  <c r="AZ227" i="22"/>
  <c r="AY55" i="22"/>
  <c r="AZ218" i="22"/>
  <c r="AX228" i="8"/>
  <c r="AW57" i="8"/>
  <c r="AZ227" i="8"/>
  <c r="AY55" i="8"/>
  <c r="BA220" i="8"/>
  <c r="AZ41" i="8"/>
  <c r="BA226" i="8"/>
  <c r="AZ53" i="8"/>
  <c r="BA224" i="8"/>
  <c r="AZ49" i="8"/>
  <c r="BA216" i="8"/>
  <c r="AZ33" i="8"/>
  <c r="BB215" i="8"/>
  <c r="BA31" i="8"/>
  <c r="BA227" i="7"/>
  <c r="AZ55" i="7"/>
  <c r="BA226" i="7"/>
  <c r="AZ53" i="7"/>
  <c r="BA225" i="7"/>
  <c r="AZ51" i="7"/>
  <c r="AT216" i="7"/>
  <c r="AS33" i="7"/>
  <c r="AY223" i="7"/>
  <c r="AX47" i="7"/>
  <c r="AX222" i="7"/>
  <c r="AW45" i="7"/>
  <c r="BA231" i="6"/>
  <c r="AZ57" i="6"/>
  <c r="BA230" i="6"/>
  <c r="AZ55" i="6"/>
  <c r="BA229" i="6"/>
  <c r="AZ53" i="6"/>
  <c r="BA228" i="6"/>
  <c r="AZ51" i="6"/>
  <c r="BA227" i="6"/>
  <c r="AZ49" i="6"/>
  <c r="AY225" i="6"/>
  <c r="AX45" i="6"/>
  <c r="AZ230" i="9"/>
  <c r="AY61" i="9"/>
  <c r="BA229" i="9"/>
  <c r="AZ59" i="9"/>
  <c r="AZ218" i="9"/>
  <c r="AY37" i="9"/>
  <c r="AZ220" i="9"/>
  <c r="AY41" i="9"/>
  <c r="AW216" i="9"/>
  <c r="AV33" i="9"/>
  <c r="AY241" i="1"/>
  <c r="AX69" i="1"/>
  <c r="BA238" i="1"/>
  <c r="AZ63" i="1"/>
  <c r="BA234" i="1"/>
  <c r="AZ55" i="1"/>
  <c r="BA230" i="1"/>
  <c r="AZ47" i="1"/>
  <c r="AY231" i="1"/>
  <c r="AX49" i="1"/>
  <c r="AY229" i="1"/>
  <c r="AX45" i="1"/>
  <c r="BA226" i="1"/>
  <c r="AZ39" i="1"/>
  <c r="AY225" i="1"/>
  <c r="AX37" i="1"/>
  <c r="AY227" i="1"/>
  <c r="AX41" i="1"/>
  <c r="AZ224" i="7"/>
  <c r="AY49" i="7"/>
  <c r="Q237" i="9"/>
  <c r="P75" i="9"/>
  <c r="BW111" i="2"/>
  <c r="BY111" i="2"/>
  <c r="BZ111" i="2"/>
  <c r="CB111" i="2"/>
  <c r="BX232" i="2"/>
  <c r="CC27" i="2"/>
  <c r="K27" i="20"/>
  <c r="U17" i="39"/>
  <c r="J39" i="20"/>
  <c r="BT40" i="2"/>
  <c r="AB38" i="20"/>
  <c r="AC38" i="20"/>
  <c r="I36" i="38"/>
  <c r="I102" i="38"/>
  <c r="T28" i="39"/>
  <c r="I45" i="20"/>
  <c r="BK46" i="2"/>
  <c r="S34" i="39"/>
  <c r="I34" i="39"/>
  <c r="Z44" i="20"/>
  <c r="AA44" i="20"/>
  <c r="H42" i="38"/>
  <c r="CL47" i="2"/>
  <c r="L46" i="20"/>
  <c r="BJ104" i="2"/>
  <c r="CK104" i="2"/>
  <c r="BG109" i="2"/>
  <c r="CF109" i="2"/>
  <c r="BH108" i="2"/>
  <c r="CI108" i="2"/>
  <c r="CH108" i="2"/>
  <c r="DW147" i="10"/>
  <c r="AG95" i="40"/>
  <c r="AH324" i="40"/>
  <c r="AF93" i="40"/>
  <c r="AG323" i="40"/>
  <c r="AA105" i="40"/>
  <c r="AB329" i="40"/>
  <c r="AB97" i="40"/>
  <c r="AC325" i="40"/>
  <c r="AF103" i="40"/>
  <c r="AG328" i="40"/>
  <c r="AF101" i="40"/>
  <c r="AG327" i="40"/>
  <c r="AB107" i="40"/>
  <c r="AC330" i="40"/>
  <c r="AF111" i="40"/>
  <c r="AG332" i="40"/>
  <c r="AF109" i="40"/>
  <c r="AG331" i="40"/>
  <c r="Z99" i="40"/>
  <c r="AA326" i="40"/>
  <c r="AG91" i="40"/>
  <c r="AJ300" i="40"/>
  <c r="AI47" i="40"/>
  <c r="AJ314" i="40"/>
  <c r="AI75" i="40"/>
  <c r="AJ298" i="40"/>
  <c r="AI43" i="40"/>
  <c r="AH313" i="40"/>
  <c r="AG73" i="40"/>
  <c r="AJ301" i="40"/>
  <c r="AI49" i="40"/>
  <c r="AJ318" i="40"/>
  <c r="AI83" i="40"/>
  <c r="AI302" i="40"/>
  <c r="AH51" i="40"/>
  <c r="AI315" i="40"/>
  <c r="AH77" i="40"/>
  <c r="AH309" i="40"/>
  <c r="AG65" i="40"/>
  <c r="AI310" i="40"/>
  <c r="AH67" i="40"/>
  <c r="AJ305" i="40"/>
  <c r="AI57" i="40"/>
  <c r="AI321" i="40"/>
  <c r="AH89" i="40"/>
  <c r="AJ306" i="40"/>
  <c r="AI59" i="40"/>
  <c r="AI297" i="40"/>
  <c r="AH41" i="40"/>
  <c r="AJ303" i="40"/>
  <c r="AI53" i="40"/>
  <c r="AJ304" i="40"/>
  <c r="AI55" i="40"/>
  <c r="AJ299" i="40"/>
  <c r="AI45" i="40"/>
  <c r="AJ312" i="40"/>
  <c r="AI71" i="40"/>
  <c r="AH311" i="40"/>
  <c r="AG69" i="40"/>
  <c r="AI307" i="40"/>
  <c r="AH61" i="40"/>
  <c r="AJ320" i="40"/>
  <c r="AI87" i="40"/>
  <c r="AJ308" i="40"/>
  <c r="AI63" i="40"/>
  <c r="AI319" i="40"/>
  <c r="AH85" i="40"/>
  <c r="AJ316" i="40"/>
  <c r="AI79" i="40"/>
  <c r="AI317" i="40"/>
  <c r="AH81" i="40"/>
  <c r="AJ322" i="40"/>
  <c r="U59" i="10"/>
  <c r="V229" i="10"/>
  <c r="AV77" i="7"/>
  <c r="AW238" i="7"/>
  <c r="AH71" i="10"/>
  <c r="AI235" i="10"/>
  <c r="AV228" i="11"/>
  <c r="AU57" i="11"/>
  <c r="AT239" i="11"/>
  <c r="AS79" i="11"/>
  <c r="AY57" i="22"/>
  <c r="AZ228" i="22"/>
  <c r="AV77" i="10"/>
  <c r="AW238" i="10"/>
  <c r="AX234" i="10"/>
  <c r="AW69" i="10"/>
  <c r="AY226" i="6"/>
  <c r="AX47" i="6"/>
  <c r="AO63" i="8"/>
  <c r="AP231" i="8"/>
  <c r="AV51" i="11"/>
  <c r="AW225" i="11"/>
  <c r="AP235" i="22"/>
  <c r="AO71" i="22"/>
  <c r="AT59" i="7"/>
  <c r="AU229" i="7"/>
  <c r="AW63" i="9"/>
  <c r="AX231" i="9"/>
  <c r="DY144" i="10"/>
  <c r="DZ54" i="10"/>
  <c r="AM65" i="9"/>
  <c r="AN232" i="9"/>
  <c r="AR61" i="7"/>
  <c r="AS230" i="7"/>
  <c r="AP79" i="7"/>
  <c r="AQ239" i="7"/>
  <c r="Z67" i="22"/>
  <c r="AA233" i="22"/>
  <c r="AJ59" i="8"/>
  <c r="AK229" i="8"/>
  <c r="AW238" i="11"/>
  <c r="AV77" i="11"/>
  <c r="AW71" i="8"/>
  <c r="AX235" i="8"/>
  <c r="AM67" i="10"/>
  <c r="AN233" i="10"/>
  <c r="AW77" i="22"/>
  <c r="AX238" i="22"/>
  <c r="V67" i="9"/>
  <c r="W233" i="9"/>
  <c r="AM73" i="22"/>
  <c r="AN236" i="22"/>
  <c r="AO63" i="22"/>
  <c r="AP231" i="22"/>
  <c r="AN79" i="9"/>
  <c r="AO239" i="9"/>
  <c r="DX145" i="10"/>
  <c r="DX146" i="10"/>
  <c r="AR47" i="11"/>
  <c r="AS223" i="11"/>
  <c r="AW61" i="10"/>
  <c r="AX230" i="10"/>
  <c r="AM79" i="22"/>
  <c r="AN239" i="22"/>
  <c r="AX67" i="7"/>
  <c r="AY233" i="7"/>
  <c r="AG75" i="11"/>
  <c r="AH237" i="11"/>
  <c r="AL231" i="10"/>
  <c r="AK63" i="10"/>
  <c r="V65" i="10"/>
  <c r="W232" i="10"/>
  <c r="AX239" i="8"/>
  <c r="AW79" i="8"/>
  <c r="V81" i="10"/>
  <c r="W240" i="10"/>
  <c r="R61" i="2"/>
  <c r="D61" i="20"/>
  <c r="AY219" i="10"/>
  <c r="AX39" i="10"/>
  <c r="AY223" i="10"/>
  <c r="AX47" i="10"/>
  <c r="AY216" i="10"/>
  <c r="AX33" i="10"/>
  <c r="AZ226" i="10"/>
  <c r="AY53" i="10"/>
  <c r="AY221" i="10"/>
  <c r="AX43" i="10"/>
  <c r="AX35" i="10"/>
  <c r="AY217" i="10"/>
  <c r="AW45" i="10"/>
  <c r="AX222" i="10"/>
  <c r="AX49" i="10"/>
  <c r="AY224" i="10"/>
  <c r="AX41" i="10"/>
  <c r="AY220" i="10"/>
  <c r="AY31" i="10"/>
  <c r="AZ215" i="10"/>
  <c r="AZ225" i="22"/>
  <c r="AY51" i="22"/>
  <c r="AY226" i="22"/>
  <c r="AX53" i="22"/>
  <c r="AX223" i="22"/>
  <c r="AW47" i="22"/>
  <c r="AY221" i="22"/>
  <c r="AX43" i="22"/>
  <c r="AX51" i="8"/>
  <c r="AY225" i="8"/>
  <c r="AY47" i="8"/>
  <c r="AZ223" i="8"/>
  <c r="Y75" i="22"/>
  <c r="Z237" i="22"/>
  <c r="U110" i="2"/>
  <c r="W110" i="2"/>
  <c r="X110" i="2"/>
  <c r="V231" i="2"/>
  <c r="BN110" i="2"/>
  <c r="BP110" i="2"/>
  <c r="BQ110" i="2"/>
  <c r="BO231" i="2"/>
  <c r="V71" i="9"/>
  <c r="W235" i="9"/>
  <c r="X69" i="9"/>
  <c r="Y234" i="9"/>
  <c r="AA67" i="8"/>
  <c r="AB233" i="8"/>
  <c r="Z75" i="7"/>
  <c r="AA237" i="7"/>
  <c r="P53" i="11"/>
  <c r="Q226" i="11"/>
  <c r="AB81" i="11"/>
  <c r="AC240" i="11"/>
  <c r="AU77" i="9"/>
  <c r="AV238" i="9"/>
  <c r="AB67" i="11"/>
  <c r="AC233" i="11"/>
  <c r="AF61" i="8"/>
  <c r="AG230" i="8"/>
  <c r="AA69" i="22"/>
  <c r="AB234" i="22"/>
  <c r="W81" i="7"/>
  <c r="X240" i="7"/>
  <c r="W79" i="10"/>
  <c r="X239" i="10"/>
  <c r="U81" i="9"/>
  <c r="V240" i="9"/>
  <c r="AB61" i="22"/>
  <c r="AC230" i="22"/>
  <c r="S69" i="7"/>
  <c r="T234" i="7"/>
  <c r="AU73" i="9"/>
  <c r="AV236" i="9"/>
  <c r="AE231" i="2"/>
  <c r="AD110" i="2"/>
  <c r="AF110" i="2"/>
  <c r="AG110" i="2"/>
  <c r="AM110" i="2"/>
  <c r="AO110" i="2"/>
  <c r="AP110" i="2"/>
  <c r="AN231" i="2"/>
  <c r="W65" i="22"/>
  <c r="X232" i="22"/>
  <c r="Y81" i="22"/>
  <c r="Z240" i="22"/>
  <c r="A113" i="2"/>
  <c r="A233" i="2"/>
  <c r="BW233" i="2"/>
  <c r="D231" i="2"/>
  <c r="C110" i="2"/>
  <c r="E110" i="2"/>
  <c r="F110" i="2"/>
  <c r="AV110" i="2"/>
  <c r="AX110" i="2"/>
  <c r="AY110" i="2"/>
  <c r="AW231" i="2"/>
  <c r="AV232" i="2"/>
  <c r="AD232" i="2"/>
  <c r="AM232" i="2"/>
  <c r="C232" i="2"/>
  <c r="BN232" i="2"/>
  <c r="BE232" i="2"/>
  <c r="U232" i="2"/>
  <c r="L232" i="2"/>
  <c r="AA71" i="7"/>
  <c r="AB235" i="7"/>
  <c r="AC69" i="8"/>
  <c r="AD234" i="8"/>
  <c r="AD77" i="8"/>
  <c r="AE238" i="8"/>
  <c r="Y75" i="8"/>
  <c r="Z237" i="8"/>
  <c r="AP73" i="8"/>
  <c r="AQ236" i="8"/>
  <c r="I65" i="7"/>
  <c r="J232" i="7"/>
  <c r="AZ216" i="22"/>
  <c r="AY33" i="22"/>
  <c r="V57" i="10"/>
  <c r="W228" i="10"/>
  <c r="AD73" i="11"/>
  <c r="AE236" i="11"/>
  <c r="O73" i="10"/>
  <c r="P236" i="10"/>
  <c r="Y75" i="10"/>
  <c r="Z237" i="10"/>
  <c r="L31" i="22"/>
  <c r="M215" i="22"/>
  <c r="M231" i="2"/>
  <c r="L110" i="2"/>
  <c r="N110" i="2"/>
  <c r="O110" i="2"/>
  <c r="BE110" i="2"/>
  <c r="BF231" i="2"/>
  <c r="T49" i="11"/>
  <c r="U224" i="11"/>
  <c r="T28" i="38"/>
  <c r="AC61" i="38"/>
  <c r="B94" i="38"/>
  <c r="M21" i="39"/>
  <c r="B29" i="38"/>
  <c r="N31" i="20"/>
  <c r="O31" i="20"/>
  <c r="I33" i="2"/>
  <c r="C33" i="20"/>
  <c r="AU217" i="8"/>
  <c r="AT35" i="8"/>
  <c r="AX221" i="8"/>
  <c r="AW43" i="8"/>
  <c r="AY222" i="8"/>
  <c r="AX45" i="8"/>
  <c r="AX33" i="11"/>
  <c r="AY216" i="11"/>
  <c r="AN63" i="7"/>
  <c r="AO231" i="7"/>
  <c r="AZ226" i="9"/>
  <c r="AY53" i="9"/>
  <c r="AY215" i="9"/>
  <c r="AX31" i="9"/>
  <c r="AW31" i="1"/>
  <c r="AX222" i="1"/>
  <c r="AX223" i="1"/>
  <c r="AW33" i="1"/>
  <c r="AY59" i="1"/>
  <c r="AZ236" i="1"/>
  <c r="AY233" i="1"/>
  <c r="AX53" i="1"/>
  <c r="AY35" i="1"/>
  <c r="AZ224" i="1"/>
  <c r="AZ239" i="1"/>
  <c r="AY65" i="1"/>
  <c r="AX51" i="1"/>
  <c r="AY232" i="1"/>
  <c r="AJ52" i="2"/>
  <c r="F52" i="20"/>
  <c r="BB41" i="2"/>
  <c r="H41" i="20"/>
  <c r="Y36" i="38"/>
  <c r="AH69" i="38"/>
  <c r="G102" i="38"/>
  <c r="X39" i="20"/>
  <c r="Y39" i="20"/>
  <c r="R29" i="39"/>
  <c r="G37" i="38"/>
  <c r="AW45" i="22"/>
  <c r="AX222" i="22"/>
  <c r="AX37" i="6"/>
  <c r="AY221" i="6"/>
  <c r="AX23" i="6"/>
  <c r="AY214" i="6"/>
  <c r="AX25" i="6"/>
  <c r="AY215" i="6"/>
  <c r="AY216" i="6"/>
  <c r="AX27" i="6"/>
  <c r="AX218" i="6"/>
  <c r="AW31" i="6"/>
  <c r="AY220" i="6"/>
  <c r="AX35" i="6"/>
  <c r="AW43" i="6"/>
  <c r="AX224" i="6"/>
  <c r="AX33" i="6"/>
  <c r="AY219" i="6"/>
  <c r="AX41" i="6"/>
  <c r="AY223" i="6"/>
  <c r="AY217" i="6"/>
  <c r="AV247" i="1"/>
  <c r="AU81" i="1"/>
  <c r="AT83" i="1"/>
  <c r="AU248" i="1"/>
  <c r="AZ228" i="1"/>
  <c r="AY43" i="1"/>
  <c r="AU219" i="8"/>
  <c r="AT39" i="8"/>
  <c r="AW37" i="8"/>
  <c r="AX218" i="8"/>
  <c r="AU45" i="11"/>
  <c r="AV222" i="11"/>
  <c r="AA52" i="2"/>
  <c r="E52" i="20"/>
  <c r="AX219" i="22"/>
  <c r="AW39" i="22"/>
  <c r="AY217" i="22"/>
  <c r="AX35" i="22"/>
  <c r="AX49" i="22"/>
  <c r="AY224" i="22"/>
  <c r="AW37" i="7"/>
  <c r="AX218" i="7"/>
  <c r="AX215" i="7"/>
  <c r="AW31" i="7"/>
  <c r="AW39" i="7"/>
  <c r="AX219" i="7"/>
  <c r="AY221" i="7"/>
  <c r="AX43" i="7"/>
  <c r="AV220" i="7"/>
  <c r="AU41" i="7"/>
  <c r="AY217" i="7"/>
  <c r="AX35" i="7"/>
  <c r="AU39" i="6"/>
  <c r="AV222" i="6"/>
  <c r="AZ223" i="9"/>
  <c r="AY47" i="9"/>
  <c r="AT55" i="9"/>
  <c r="AU227" i="9"/>
  <c r="AY217" i="9"/>
  <c r="AX35" i="9"/>
  <c r="BA221" i="9"/>
  <c r="AZ43" i="9"/>
  <c r="AV219" i="9"/>
  <c r="AU39" i="9"/>
  <c r="AW51" i="9"/>
  <c r="AX225" i="9"/>
  <c r="AY224" i="9"/>
  <c r="AX49" i="9"/>
  <c r="AY222" i="9"/>
  <c r="AX45" i="9"/>
  <c r="AV57" i="9"/>
  <c r="AW228" i="9"/>
  <c r="AZ246" i="1"/>
  <c r="AY79" i="1"/>
  <c r="AY244" i="1"/>
  <c r="AX75" i="1"/>
  <c r="AY242" i="1"/>
  <c r="AX71" i="1"/>
  <c r="AW61" i="1"/>
  <c r="AX237" i="1"/>
  <c r="AS235" i="1"/>
  <c r="AR57" i="1"/>
  <c r="AW243" i="1"/>
  <c r="AV73" i="1"/>
  <c r="AW245" i="1"/>
  <c r="AV77" i="1"/>
  <c r="AX240" i="1"/>
  <c r="AW67" i="1"/>
  <c r="AT221" i="11"/>
  <c r="AS43" i="11"/>
  <c r="AS43" i="2"/>
  <c r="G43" i="20"/>
  <c r="Q31" i="39"/>
  <c r="F39" i="38"/>
  <c r="F105" i="38"/>
  <c r="V41" i="20"/>
  <c r="W41" i="20"/>
  <c r="AX218" i="11"/>
  <c r="AW37" i="11"/>
  <c r="AV220" i="11"/>
  <c r="AU41" i="11"/>
  <c r="AY219" i="11"/>
  <c r="AX39" i="11"/>
  <c r="AV215" i="11"/>
  <c r="AY225" i="10"/>
  <c r="AX51" i="10"/>
  <c r="AY218" i="10"/>
  <c r="AX37" i="10"/>
  <c r="AZ229" i="22"/>
  <c r="AY59" i="22"/>
  <c r="AY227" i="22"/>
  <c r="AX55" i="22"/>
  <c r="AY220" i="22"/>
  <c r="AX41" i="22"/>
  <c r="AY218" i="22"/>
  <c r="AW228" i="8"/>
  <c r="AV57" i="8"/>
  <c r="AY227" i="8"/>
  <c r="AX55" i="8"/>
  <c r="AZ216" i="8"/>
  <c r="AY33" i="8"/>
  <c r="AZ226" i="8"/>
  <c r="AY53" i="8"/>
  <c r="BA215" i="8"/>
  <c r="AZ31" i="8"/>
  <c r="AZ224" i="8"/>
  <c r="AY49" i="8"/>
  <c r="AZ220" i="8"/>
  <c r="AY41" i="8"/>
  <c r="AZ227" i="7"/>
  <c r="AY55" i="7"/>
  <c r="AZ226" i="7"/>
  <c r="AY53" i="7"/>
  <c r="AZ225" i="7"/>
  <c r="AY51" i="7"/>
  <c r="AW222" i="7"/>
  <c r="AV45" i="7"/>
  <c r="AS216" i="7"/>
  <c r="AR33" i="7"/>
  <c r="AX223" i="7"/>
  <c r="AW47" i="7"/>
  <c r="AZ231" i="6"/>
  <c r="AY57" i="6"/>
  <c r="AZ230" i="6"/>
  <c r="AY55" i="6"/>
  <c r="AZ229" i="6"/>
  <c r="AY53" i="6"/>
  <c r="AZ228" i="6"/>
  <c r="AY51" i="6"/>
  <c r="AZ227" i="6"/>
  <c r="AY49" i="6"/>
  <c r="AX225" i="6"/>
  <c r="AW45" i="6"/>
  <c r="AY230" i="9"/>
  <c r="AX61" i="9"/>
  <c r="AZ229" i="9"/>
  <c r="AY59" i="9"/>
  <c r="AV216" i="9"/>
  <c r="AU33" i="9"/>
  <c r="AY220" i="9"/>
  <c r="AX41" i="9"/>
  <c r="AY218" i="9"/>
  <c r="AX37" i="9"/>
  <c r="AX241" i="1"/>
  <c r="AW69" i="1"/>
  <c r="AZ238" i="1"/>
  <c r="AY63" i="1"/>
  <c r="AX231" i="1"/>
  <c r="AW49" i="1"/>
  <c r="AZ234" i="1"/>
  <c r="AY55" i="1"/>
  <c r="AZ230" i="1"/>
  <c r="AY47" i="1"/>
  <c r="AX229" i="1"/>
  <c r="AW45" i="1"/>
  <c r="AX227" i="1"/>
  <c r="AW41" i="1"/>
  <c r="AX225" i="1"/>
  <c r="AW37" i="1"/>
  <c r="AZ226" i="1"/>
  <c r="AY39" i="1"/>
  <c r="AX49" i="7"/>
  <c r="AY224" i="7"/>
  <c r="BW112" i="2"/>
  <c r="BY112" i="2"/>
  <c r="BZ112" i="2"/>
  <c r="CB112" i="2"/>
  <c r="BX233" i="2"/>
  <c r="O75" i="9"/>
  <c r="P237" i="9"/>
  <c r="CC28" i="2"/>
  <c r="K28" i="20"/>
  <c r="U18" i="39"/>
  <c r="J40" i="20"/>
  <c r="BT41" i="2"/>
  <c r="T29" i="39"/>
  <c r="I37" i="38"/>
  <c r="I103" i="38"/>
  <c r="AB39" i="20"/>
  <c r="AC39" i="20"/>
  <c r="I46" i="20"/>
  <c r="BK47" i="2"/>
  <c r="H108" i="38"/>
  <c r="H109" i="38"/>
  <c r="Z42" i="38"/>
  <c r="AI75" i="38"/>
  <c r="CL48" i="2"/>
  <c r="L47" i="20"/>
  <c r="BJ105" i="2"/>
  <c r="CK105" i="2"/>
  <c r="BG110" i="2"/>
  <c r="CF110" i="2"/>
  <c r="BH109" i="2"/>
  <c r="CI109" i="2"/>
  <c r="CH109" i="2"/>
  <c r="Y99" i="40"/>
  <c r="Z326" i="40"/>
  <c r="AE111" i="40"/>
  <c r="AF332" i="40"/>
  <c r="AE101" i="40"/>
  <c r="AF327" i="40"/>
  <c r="AA97" i="40"/>
  <c r="AB325" i="40"/>
  <c r="AE93" i="40"/>
  <c r="AF323" i="40"/>
  <c r="AE109" i="40"/>
  <c r="AF331" i="40"/>
  <c r="AA107" i="40"/>
  <c r="AB330" i="40"/>
  <c r="AE103" i="40"/>
  <c r="AF328" i="40"/>
  <c r="Z105" i="40"/>
  <c r="AA329" i="40"/>
  <c r="AF95" i="40"/>
  <c r="AG324" i="40"/>
  <c r="AF91" i="40"/>
  <c r="AI316" i="40"/>
  <c r="AH79" i="40"/>
  <c r="AI318" i="40"/>
  <c r="AH83" i="40"/>
  <c r="AI308" i="40"/>
  <c r="AH63" i="40"/>
  <c r="AI304" i="40"/>
  <c r="AH55" i="40"/>
  <c r="AH321" i="40"/>
  <c r="AG89" i="40"/>
  <c r="AH315" i="40"/>
  <c r="AG77" i="40"/>
  <c r="AI314" i="40"/>
  <c r="AH75" i="40"/>
  <c r="AH317" i="40"/>
  <c r="AG81" i="40"/>
  <c r="AH319" i="40"/>
  <c r="AG85" i="40"/>
  <c r="AI320" i="40"/>
  <c r="AH87" i="40"/>
  <c r="AG311" i="40"/>
  <c r="AF69" i="40"/>
  <c r="AI299" i="40"/>
  <c r="AH45" i="40"/>
  <c r="AI303" i="40"/>
  <c r="AH53" i="40"/>
  <c r="AI306" i="40"/>
  <c r="AH59" i="40"/>
  <c r="AI305" i="40"/>
  <c r="AH57" i="40"/>
  <c r="AG309" i="40"/>
  <c r="AF65" i="40"/>
  <c r="AH302" i="40"/>
  <c r="AG51" i="40"/>
  <c r="AI301" i="40"/>
  <c r="AH49" i="40"/>
  <c r="AI298" i="40"/>
  <c r="AH43" i="40"/>
  <c r="AI300" i="40"/>
  <c r="AH47" i="40"/>
  <c r="AI322" i="40"/>
  <c r="AH307" i="40"/>
  <c r="AG61" i="40"/>
  <c r="AI312" i="40"/>
  <c r="AH71" i="40"/>
  <c r="AH297" i="40"/>
  <c r="AG41" i="40"/>
  <c r="AH310" i="40"/>
  <c r="AG67" i="40"/>
  <c r="AG313" i="40"/>
  <c r="AF73" i="40"/>
  <c r="AV61" i="10"/>
  <c r="AW230" i="10"/>
  <c r="U67" i="9"/>
  <c r="V233" i="9"/>
  <c r="Z233" i="22"/>
  <c r="Y67" i="22"/>
  <c r="AS59" i="7"/>
  <c r="AT229" i="7"/>
  <c r="AV79" i="8"/>
  <c r="AW239" i="8"/>
  <c r="AJ63" i="10"/>
  <c r="AK231" i="10"/>
  <c r="DX147" i="10"/>
  <c r="AV238" i="11"/>
  <c r="AU77" i="11"/>
  <c r="DZ144" i="10"/>
  <c r="EA54" i="10"/>
  <c r="AX226" i="6"/>
  <c r="AW47" i="6"/>
  <c r="AR79" i="11"/>
  <c r="AS239" i="11"/>
  <c r="AW67" i="7"/>
  <c r="AX233" i="7"/>
  <c r="AO231" i="22"/>
  <c r="AN63" i="22"/>
  <c r="DY146" i="10"/>
  <c r="DY145" i="10"/>
  <c r="AU51" i="11"/>
  <c r="AV225" i="11"/>
  <c r="AU77" i="10"/>
  <c r="AV238" i="10"/>
  <c r="U229" i="10"/>
  <c r="T59" i="10"/>
  <c r="AN71" i="22"/>
  <c r="AO235" i="22"/>
  <c r="AW234" i="10"/>
  <c r="AV69" i="10"/>
  <c r="AU228" i="11"/>
  <c r="AT57" i="11"/>
  <c r="AL67" i="10"/>
  <c r="AM233" i="10"/>
  <c r="AR230" i="7"/>
  <c r="AQ61" i="7"/>
  <c r="AG71" i="10"/>
  <c r="AH235" i="10"/>
  <c r="V240" i="10"/>
  <c r="U81" i="10"/>
  <c r="V232" i="10"/>
  <c r="U65" i="10"/>
  <c r="AF75" i="11"/>
  <c r="AG237" i="11"/>
  <c r="AM239" i="22"/>
  <c r="AL79" i="22"/>
  <c r="AQ47" i="11"/>
  <c r="AR223" i="11"/>
  <c r="AM79" i="9"/>
  <c r="AN239" i="9"/>
  <c r="AL73" i="22"/>
  <c r="AM236" i="22"/>
  <c r="AV77" i="22"/>
  <c r="AW238" i="22"/>
  <c r="AV71" i="8"/>
  <c r="AW235" i="8"/>
  <c r="AI59" i="8"/>
  <c r="AJ229" i="8"/>
  <c r="AO79" i="7"/>
  <c r="AP239" i="7"/>
  <c r="AL65" i="9"/>
  <c r="AM232" i="9"/>
  <c r="AV63" i="9"/>
  <c r="AW231" i="9"/>
  <c r="AN63" i="8"/>
  <c r="AO231" i="8"/>
  <c r="AX57" i="22"/>
  <c r="AY228" i="22"/>
  <c r="AU77" i="7"/>
  <c r="AV238" i="7"/>
  <c r="R62" i="2"/>
  <c r="D62" i="20"/>
  <c r="AX53" i="10"/>
  <c r="AY226" i="10"/>
  <c r="AX223" i="10"/>
  <c r="AW47" i="10"/>
  <c r="AX31" i="10"/>
  <c r="AY215" i="10"/>
  <c r="AX224" i="10"/>
  <c r="AW49" i="10"/>
  <c r="AX217" i="10"/>
  <c r="AW35" i="10"/>
  <c r="AX221" i="10"/>
  <c r="AW43" i="10"/>
  <c r="AW33" i="10"/>
  <c r="AX216" i="10"/>
  <c r="AX219" i="10"/>
  <c r="AW39" i="10"/>
  <c r="AX220" i="10"/>
  <c r="AW41" i="10"/>
  <c r="AV45" i="10"/>
  <c r="AW222" i="10"/>
  <c r="AV47" i="22"/>
  <c r="AW223" i="22"/>
  <c r="AW53" i="22"/>
  <c r="AX226" i="22"/>
  <c r="AX221" i="22"/>
  <c r="AW43" i="22"/>
  <c r="AX51" i="22"/>
  <c r="AY225" i="22"/>
  <c r="AX47" i="8"/>
  <c r="AY223" i="8"/>
  <c r="AW51" i="8"/>
  <c r="AX225" i="8"/>
  <c r="BE111" i="2"/>
  <c r="BF232" i="2"/>
  <c r="AD111" i="2"/>
  <c r="AF111" i="2"/>
  <c r="AG111" i="2"/>
  <c r="AE232" i="2"/>
  <c r="U233" i="2"/>
  <c r="AM233" i="2"/>
  <c r="L233" i="2"/>
  <c r="C233" i="2"/>
  <c r="BN233" i="2"/>
  <c r="AD233" i="2"/>
  <c r="BE233" i="2"/>
  <c r="AV233" i="2"/>
  <c r="Z69" i="22"/>
  <c r="AA234" i="22"/>
  <c r="AA67" i="11"/>
  <c r="AB233" i="11"/>
  <c r="AT77" i="9"/>
  <c r="AU238" i="9"/>
  <c r="O53" i="11"/>
  <c r="P226" i="11"/>
  <c r="Z67" i="8"/>
  <c r="AA233" i="8"/>
  <c r="U71" i="9"/>
  <c r="V235" i="9"/>
  <c r="X75" i="10"/>
  <c r="Y237" i="10"/>
  <c r="U57" i="10"/>
  <c r="V228" i="10"/>
  <c r="H65" i="7"/>
  <c r="I232" i="7"/>
  <c r="X75" i="8"/>
  <c r="Y237" i="8"/>
  <c r="Z71" i="7"/>
  <c r="AA235" i="7"/>
  <c r="BN111" i="2"/>
  <c r="BP111" i="2"/>
  <c r="BQ111" i="2"/>
  <c r="BO232" i="2"/>
  <c r="AV111" i="2"/>
  <c r="AX111" i="2"/>
  <c r="AY111" i="2"/>
  <c r="AW232" i="2"/>
  <c r="A234" i="2"/>
  <c r="BW234" i="2"/>
  <c r="A114" i="2"/>
  <c r="A235" i="2"/>
  <c r="BW235" i="2"/>
  <c r="V65" i="22"/>
  <c r="W232" i="22"/>
  <c r="R69" i="7"/>
  <c r="S234" i="7"/>
  <c r="AA61" i="22"/>
  <c r="AB230" i="22"/>
  <c r="V79" i="10"/>
  <c r="W239" i="10"/>
  <c r="V81" i="7"/>
  <c r="W240" i="7"/>
  <c r="AY216" i="22"/>
  <c r="AX33" i="22"/>
  <c r="L111" i="2"/>
  <c r="N111" i="2"/>
  <c r="O111" i="2"/>
  <c r="M232" i="2"/>
  <c r="C111" i="2"/>
  <c r="E111" i="2"/>
  <c r="F111" i="2"/>
  <c r="D232" i="2"/>
  <c r="AE61" i="8"/>
  <c r="AF230" i="8"/>
  <c r="AA81" i="11"/>
  <c r="AB240" i="11"/>
  <c r="Y75" i="7"/>
  <c r="Z237" i="7"/>
  <c r="W69" i="9"/>
  <c r="X234" i="9"/>
  <c r="S49" i="11"/>
  <c r="T224" i="11"/>
  <c r="K31" i="22"/>
  <c r="L215" i="22"/>
  <c r="N73" i="10"/>
  <c r="O236" i="10"/>
  <c r="AC73" i="11"/>
  <c r="AD236" i="11"/>
  <c r="AO73" i="8"/>
  <c r="AP236" i="8"/>
  <c r="AC77" i="8"/>
  <c r="AD238" i="8"/>
  <c r="AB69" i="8"/>
  <c r="AC234" i="8"/>
  <c r="U111" i="2"/>
  <c r="W111" i="2"/>
  <c r="X111" i="2"/>
  <c r="V232" i="2"/>
  <c r="AM111" i="2"/>
  <c r="AO111" i="2"/>
  <c r="AP111" i="2"/>
  <c r="AN232" i="2"/>
  <c r="X81" i="22"/>
  <c r="Y240" i="22"/>
  <c r="AT73" i="9"/>
  <c r="AU236" i="9"/>
  <c r="T81" i="9"/>
  <c r="U240" i="9"/>
  <c r="X75" i="22"/>
  <c r="Y237" i="22"/>
  <c r="B95" i="38"/>
  <c r="T29" i="38"/>
  <c r="AC62" i="38"/>
  <c r="I34" i="2"/>
  <c r="C34" i="20"/>
  <c r="B30" i="38"/>
  <c r="M22" i="39"/>
  <c r="N32" i="20"/>
  <c r="O32" i="20"/>
  <c r="AX222" i="8"/>
  <c r="AW45" i="8"/>
  <c r="AW221" i="8"/>
  <c r="AV43" i="8"/>
  <c r="AT217" i="8"/>
  <c r="AS35" i="8"/>
  <c r="AM63" i="7"/>
  <c r="AN231" i="7"/>
  <c r="AW33" i="11"/>
  <c r="AX216" i="11"/>
  <c r="AW31" i="9"/>
  <c r="AX215" i="9"/>
  <c r="AY226" i="9"/>
  <c r="AX53" i="9"/>
  <c r="AW222" i="1"/>
  <c r="AV31" i="1"/>
  <c r="AX35" i="1"/>
  <c r="AY224" i="1"/>
  <c r="AY236" i="1"/>
  <c r="AX59" i="1"/>
  <c r="AY239" i="1"/>
  <c r="AX65" i="1"/>
  <c r="AW53" i="1"/>
  <c r="AX233" i="1"/>
  <c r="AW223" i="1"/>
  <c r="AV33" i="1"/>
  <c r="AX232" i="1"/>
  <c r="AW51" i="1"/>
  <c r="AJ53" i="2"/>
  <c r="F53" i="20"/>
  <c r="G103" i="38"/>
  <c r="Y37" i="38"/>
  <c r="AH70" i="38"/>
  <c r="BB42" i="2"/>
  <c r="H42" i="20"/>
  <c r="X40" i="20"/>
  <c r="Y40" i="20"/>
  <c r="R30" i="39"/>
  <c r="G38" i="38"/>
  <c r="AV45" i="22"/>
  <c r="AW222" i="22"/>
  <c r="AX220" i="6"/>
  <c r="AW35" i="6"/>
  <c r="AW218" i="6"/>
  <c r="AV31" i="6"/>
  <c r="AW27" i="6"/>
  <c r="AX216" i="6"/>
  <c r="AX217" i="6"/>
  <c r="AW41" i="6"/>
  <c r="AX223" i="6"/>
  <c r="AX219" i="6"/>
  <c r="AW33" i="6"/>
  <c r="AV43" i="6"/>
  <c r="AW224" i="6"/>
  <c r="AX215" i="6"/>
  <c r="AW25" i="6"/>
  <c r="AW23" i="6"/>
  <c r="AX214" i="6"/>
  <c r="AX221" i="6"/>
  <c r="AW37" i="6"/>
  <c r="AY228" i="1"/>
  <c r="AX43" i="1"/>
  <c r="AU247" i="1"/>
  <c r="AT81" i="1"/>
  <c r="AS83" i="1"/>
  <c r="AT248" i="1"/>
  <c r="AV37" i="8"/>
  <c r="AW218" i="8"/>
  <c r="AT219" i="8"/>
  <c r="AS39" i="8"/>
  <c r="AT45" i="11"/>
  <c r="AU222" i="11"/>
  <c r="AA53" i="2"/>
  <c r="E53" i="20"/>
  <c r="AX217" i="22"/>
  <c r="AW35" i="22"/>
  <c r="AV39" i="22"/>
  <c r="AW219" i="22"/>
  <c r="AX224" i="22"/>
  <c r="AW49" i="22"/>
  <c r="AU220" i="7"/>
  <c r="AT41" i="7"/>
  <c r="AV39" i="7"/>
  <c r="AW219" i="7"/>
  <c r="AX217" i="7"/>
  <c r="AW35" i="7"/>
  <c r="AX221" i="7"/>
  <c r="AW43" i="7"/>
  <c r="AW215" i="7"/>
  <c r="AV31" i="7"/>
  <c r="AV37" i="7"/>
  <c r="AW218" i="7"/>
  <c r="AU222" i="6"/>
  <c r="AT39" i="6"/>
  <c r="AZ221" i="9"/>
  <c r="AY43" i="9"/>
  <c r="AS55" i="9"/>
  <c r="AT227" i="9"/>
  <c r="AT39" i="9"/>
  <c r="AU219" i="9"/>
  <c r="AW35" i="9"/>
  <c r="AX217" i="9"/>
  <c r="AY223" i="9"/>
  <c r="AX47" i="9"/>
  <c r="AW225" i="9"/>
  <c r="AV51" i="9"/>
  <c r="AX222" i="9"/>
  <c r="AW45" i="9"/>
  <c r="AX224" i="9"/>
  <c r="AW49" i="9"/>
  <c r="AU57" i="9"/>
  <c r="AV228" i="9"/>
  <c r="AV243" i="1"/>
  <c r="AU73" i="1"/>
  <c r="AX244" i="1"/>
  <c r="AW75" i="1"/>
  <c r="AV61" i="1"/>
  <c r="AW237" i="1"/>
  <c r="AW240" i="1"/>
  <c r="AV67" i="1"/>
  <c r="AV245" i="1"/>
  <c r="AU77" i="1"/>
  <c r="AR235" i="1"/>
  <c r="AQ57" i="1"/>
  <c r="AX242" i="1"/>
  <c r="AW71" i="1"/>
  <c r="AY246" i="1"/>
  <c r="AX79" i="1"/>
  <c r="AS221" i="11"/>
  <c r="AR43" i="11"/>
  <c r="AS44" i="2"/>
  <c r="G44" i="20"/>
  <c r="V42" i="20"/>
  <c r="W42" i="20"/>
  <c r="F40" i="38"/>
  <c r="F106" i="38"/>
  <c r="Q32" i="39"/>
  <c r="AX219" i="11"/>
  <c r="AW39" i="11"/>
  <c r="AW218" i="11"/>
  <c r="AV37" i="11"/>
  <c r="AU215" i="11"/>
  <c r="AU220" i="11"/>
  <c r="AT41" i="11"/>
  <c r="AX225" i="10"/>
  <c r="AW51" i="10"/>
  <c r="AX218" i="10"/>
  <c r="AW37" i="10"/>
  <c r="AY229" i="22"/>
  <c r="AX59" i="22"/>
  <c r="AX218" i="22"/>
  <c r="AX220" i="22"/>
  <c r="AW41" i="22"/>
  <c r="AX227" i="22"/>
  <c r="AW55" i="22"/>
  <c r="AV228" i="8"/>
  <c r="AU57" i="8"/>
  <c r="AX227" i="8"/>
  <c r="AW55" i="8"/>
  <c r="AY220" i="8"/>
  <c r="AX41" i="8"/>
  <c r="AY224" i="8"/>
  <c r="AX49" i="8"/>
  <c r="AZ215" i="8"/>
  <c r="AY31" i="8"/>
  <c r="AY226" i="8"/>
  <c r="AX53" i="8"/>
  <c r="AY216" i="8"/>
  <c r="AX33" i="8"/>
  <c r="AY227" i="7"/>
  <c r="AX55" i="7"/>
  <c r="AY226" i="7"/>
  <c r="AX53" i="7"/>
  <c r="AY225" i="7"/>
  <c r="AX51" i="7"/>
  <c r="AR216" i="7"/>
  <c r="AQ33" i="7"/>
  <c r="AW223" i="7"/>
  <c r="AV47" i="7"/>
  <c r="AV222" i="7"/>
  <c r="AU45" i="7"/>
  <c r="AY231" i="6"/>
  <c r="AX57" i="6"/>
  <c r="AY230" i="6"/>
  <c r="AX55" i="6"/>
  <c r="AY229" i="6"/>
  <c r="AX53" i="6"/>
  <c r="AY228" i="6"/>
  <c r="AX51" i="6"/>
  <c r="AY227" i="6"/>
  <c r="AX49" i="6"/>
  <c r="AW225" i="6"/>
  <c r="AV45" i="6"/>
  <c r="AX230" i="9"/>
  <c r="AW61" i="9"/>
  <c r="AY229" i="9"/>
  <c r="AX59" i="9"/>
  <c r="AX220" i="9"/>
  <c r="AW41" i="9"/>
  <c r="AU216" i="9"/>
  <c r="AT33" i="9"/>
  <c r="AX218" i="9"/>
  <c r="AW37" i="9"/>
  <c r="AW241" i="1"/>
  <c r="AV69" i="1"/>
  <c r="AY238" i="1"/>
  <c r="AX63" i="1"/>
  <c r="AY230" i="1"/>
  <c r="AX47" i="1"/>
  <c r="AY234" i="1"/>
  <c r="AX55" i="1"/>
  <c r="AW231" i="1"/>
  <c r="AV49" i="1"/>
  <c r="AW229" i="1"/>
  <c r="AV45" i="1"/>
  <c r="AW225" i="1"/>
  <c r="AV37" i="1"/>
  <c r="AY226" i="1"/>
  <c r="AX39" i="1"/>
  <c r="AW227" i="1"/>
  <c r="AV41" i="1"/>
  <c r="AW49" i="7"/>
  <c r="AX224" i="7"/>
  <c r="BW113" i="2"/>
  <c r="BY113" i="2"/>
  <c r="BZ113" i="2"/>
  <c r="CB113" i="2"/>
  <c r="BX234" i="2"/>
  <c r="O237" i="9"/>
  <c r="N75" i="9"/>
  <c r="BW114" i="2"/>
  <c r="BY114" i="2"/>
  <c r="BX235" i="2"/>
  <c r="CC29" i="2"/>
  <c r="K29" i="20"/>
  <c r="U19" i="39"/>
  <c r="J41" i="20"/>
  <c r="BT42" i="2"/>
  <c r="I38" i="38"/>
  <c r="I104" i="38"/>
  <c r="AB40" i="20"/>
  <c r="AC40" i="20"/>
  <c r="T30" i="39"/>
  <c r="I47" i="20"/>
  <c r="BK48" i="2"/>
  <c r="CL49" i="2"/>
  <c r="L48" i="20"/>
  <c r="BJ106" i="2"/>
  <c r="CK106" i="2"/>
  <c r="BG111" i="2"/>
  <c r="CF111" i="2"/>
  <c r="BH110" i="2"/>
  <c r="CI110" i="2"/>
  <c r="CH110" i="2"/>
  <c r="AE95" i="40"/>
  <c r="AF324" i="40"/>
  <c r="AD103" i="40"/>
  <c r="AE328" i="40"/>
  <c r="AD109" i="40"/>
  <c r="AE331" i="40"/>
  <c r="Z97" i="40"/>
  <c r="AA325" i="40"/>
  <c r="AD111" i="40"/>
  <c r="AE332" i="40"/>
  <c r="Y105" i="40"/>
  <c r="Z329" i="40"/>
  <c r="Z107" i="40"/>
  <c r="AA330" i="40"/>
  <c r="AD93" i="40"/>
  <c r="AE323" i="40"/>
  <c r="AD101" i="40"/>
  <c r="AE327" i="40"/>
  <c r="X99" i="40"/>
  <c r="Y326" i="40"/>
  <c r="AE91" i="40"/>
  <c r="AG297" i="40"/>
  <c r="AF41" i="40"/>
  <c r="AH301" i="40"/>
  <c r="AG49" i="40"/>
  <c r="AH306" i="40"/>
  <c r="AG59" i="40"/>
  <c r="AH320" i="40"/>
  <c r="AG87" i="40"/>
  <c r="AH304" i="40"/>
  <c r="AG55" i="40"/>
  <c r="AF313" i="40"/>
  <c r="AE73" i="40"/>
  <c r="AH300" i="40"/>
  <c r="AG47" i="40"/>
  <c r="AF309" i="40"/>
  <c r="AE65" i="40"/>
  <c r="AH299" i="40"/>
  <c r="AG45" i="40"/>
  <c r="AG317" i="40"/>
  <c r="AF81" i="40"/>
  <c r="AH318" i="40"/>
  <c r="AG83" i="40"/>
  <c r="AG310" i="40"/>
  <c r="AF67" i="40"/>
  <c r="AH312" i="40"/>
  <c r="AG71" i="40"/>
  <c r="AH322" i="40"/>
  <c r="AH298" i="40"/>
  <c r="AG43" i="40"/>
  <c r="AG302" i="40"/>
  <c r="AF51" i="40"/>
  <c r="AH305" i="40"/>
  <c r="AG57" i="40"/>
  <c r="AH303" i="40"/>
  <c r="AG53" i="40"/>
  <c r="AF311" i="40"/>
  <c r="AE69" i="40"/>
  <c r="AG319" i="40"/>
  <c r="AF85" i="40"/>
  <c r="AH314" i="40"/>
  <c r="AG75" i="40"/>
  <c r="AG321" i="40"/>
  <c r="AF89" i="40"/>
  <c r="AH308" i="40"/>
  <c r="AG63" i="40"/>
  <c r="AH316" i="40"/>
  <c r="AG79" i="40"/>
  <c r="AG307" i="40"/>
  <c r="AF61" i="40"/>
  <c r="AG315" i="40"/>
  <c r="AF77" i="40"/>
  <c r="T81" i="10"/>
  <c r="U240" i="10"/>
  <c r="AI63" i="10"/>
  <c r="AJ231" i="10"/>
  <c r="AT77" i="7"/>
  <c r="AU238" i="7"/>
  <c r="AM63" i="8"/>
  <c r="AN231" i="8"/>
  <c r="AL232" i="9"/>
  <c r="AK65" i="9"/>
  <c r="AI229" i="8"/>
  <c r="AH59" i="8"/>
  <c r="AU77" i="22"/>
  <c r="AV238" i="22"/>
  <c r="AL79" i="9"/>
  <c r="AM239" i="9"/>
  <c r="AF71" i="10"/>
  <c r="AG235" i="10"/>
  <c r="AL233" i="10"/>
  <c r="AK67" i="10"/>
  <c r="AT51" i="11"/>
  <c r="AU225" i="11"/>
  <c r="AR239" i="11"/>
  <c r="AQ79" i="11"/>
  <c r="DZ146" i="10"/>
  <c r="DZ145" i="10"/>
  <c r="AP61" i="7"/>
  <c r="AQ230" i="7"/>
  <c r="T67" i="9"/>
  <c r="U233" i="9"/>
  <c r="AW57" i="22"/>
  <c r="AX228" i="22"/>
  <c r="AV231" i="9"/>
  <c r="AU63" i="9"/>
  <c r="AO239" i="7"/>
  <c r="AN79" i="7"/>
  <c r="AU71" i="8"/>
  <c r="AV235" i="8"/>
  <c r="AK73" i="22"/>
  <c r="AL236" i="22"/>
  <c r="AP47" i="11"/>
  <c r="AQ223" i="11"/>
  <c r="AE75" i="11"/>
  <c r="AF237" i="11"/>
  <c r="AM71" i="22"/>
  <c r="AN235" i="22"/>
  <c r="AT77" i="10"/>
  <c r="AU238" i="10"/>
  <c r="DY147" i="10"/>
  <c r="AV67" i="7"/>
  <c r="AW233" i="7"/>
  <c r="X67" i="22"/>
  <c r="Y233" i="22"/>
  <c r="AT228" i="11"/>
  <c r="AS57" i="11"/>
  <c r="AW226" i="6"/>
  <c r="AV47" i="6"/>
  <c r="AU238" i="11"/>
  <c r="AT77" i="11"/>
  <c r="AR59" i="7"/>
  <c r="AS229" i="7"/>
  <c r="AK79" i="22"/>
  <c r="AL239" i="22"/>
  <c r="T65" i="10"/>
  <c r="U232" i="10"/>
  <c r="AV234" i="10"/>
  <c r="AU69" i="10"/>
  <c r="S59" i="10"/>
  <c r="T229" i="10"/>
  <c r="AM63" i="22"/>
  <c r="AN231" i="22"/>
  <c r="EA144" i="10"/>
  <c r="EB54" i="10"/>
  <c r="AU79" i="8"/>
  <c r="AV239" i="8"/>
  <c r="AV230" i="10"/>
  <c r="AU61" i="10"/>
  <c r="R63" i="2"/>
  <c r="D63" i="20"/>
  <c r="AV39" i="10"/>
  <c r="AW219" i="10"/>
  <c r="AW221" i="10"/>
  <c r="AV43" i="10"/>
  <c r="AW224" i="10"/>
  <c r="AV49" i="10"/>
  <c r="AW223" i="10"/>
  <c r="AV47" i="10"/>
  <c r="AV222" i="10"/>
  <c r="AU45" i="10"/>
  <c r="AW220" i="10"/>
  <c r="AV41" i="10"/>
  <c r="AW217" i="10"/>
  <c r="AV35" i="10"/>
  <c r="AW216" i="10"/>
  <c r="AV33" i="10"/>
  <c r="AW31" i="10"/>
  <c r="AX215" i="10"/>
  <c r="AW53" i="10"/>
  <c r="AX226" i="10"/>
  <c r="AX225" i="22"/>
  <c r="AW51" i="22"/>
  <c r="AW226" i="22"/>
  <c r="AV53" i="22"/>
  <c r="AW221" i="22"/>
  <c r="AV43" i="22"/>
  <c r="AU47" i="22"/>
  <c r="AV223" i="22"/>
  <c r="AW225" i="8"/>
  <c r="AV51" i="8"/>
  <c r="AW47" i="8"/>
  <c r="AX223" i="8"/>
  <c r="Y67" i="8"/>
  <c r="Z233" i="8"/>
  <c r="AS77" i="9"/>
  <c r="AT238" i="9"/>
  <c r="BE112" i="2"/>
  <c r="BF233" i="2"/>
  <c r="L112" i="2"/>
  <c r="N112" i="2"/>
  <c r="O112" i="2"/>
  <c r="M233" i="2"/>
  <c r="W81" i="22"/>
  <c r="X240" i="22"/>
  <c r="AB77" i="8"/>
  <c r="AC238" i="8"/>
  <c r="AB73" i="11"/>
  <c r="AC236" i="11"/>
  <c r="J31" i="22"/>
  <c r="K215" i="22"/>
  <c r="X75" i="7"/>
  <c r="Y237" i="7"/>
  <c r="U81" i="7"/>
  <c r="V240" i="7"/>
  <c r="Z61" i="22"/>
  <c r="AA230" i="22"/>
  <c r="U65" i="22"/>
  <c r="V232" i="22"/>
  <c r="W75" i="8"/>
  <c r="X237" i="8"/>
  <c r="T57" i="10"/>
  <c r="U228" i="10"/>
  <c r="W75" i="10"/>
  <c r="X237" i="10"/>
  <c r="AD112" i="2"/>
  <c r="AF112" i="2"/>
  <c r="AG112" i="2"/>
  <c r="AE233" i="2"/>
  <c r="AM112" i="2"/>
  <c r="AO112" i="2"/>
  <c r="AP112" i="2"/>
  <c r="AN233" i="2"/>
  <c r="AX216" i="22"/>
  <c r="AW33" i="22"/>
  <c r="AD235" i="2"/>
  <c r="AM235" i="2"/>
  <c r="BN235" i="2"/>
  <c r="BE235" i="2"/>
  <c r="L235" i="2"/>
  <c r="AV235" i="2"/>
  <c r="C235" i="2"/>
  <c r="U235" i="2"/>
  <c r="T71" i="9"/>
  <c r="U235" i="9"/>
  <c r="N53" i="11"/>
  <c r="O226" i="11"/>
  <c r="Z67" i="11"/>
  <c r="AA233" i="11"/>
  <c r="Y69" i="22"/>
  <c r="Z234" i="22"/>
  <c r="BN112" i="2"/>
  <c r="BP112" i="2"/>
  <c r="BQ112" i="2"/>
  <c r="BO233" i="2"/>
  <c r="U112" i="2"/>
  <c r="W112" i="2"/>
  <c r="X112" i="2"/>
  <c r="V233" i="2"/>
  <c r="W75" i="22"/>
  <c r="X237" i="22"/>
  <c r="S81" i="9"/>
  <c r="T240" i="9"/>
  <c r="AS73" i="9"/>
  <c r="AT236" i="9"/>
  <c r="AA69" i="8"/>
  <c r="AB234" i="8"/>
  <c r="AN73" i="8"/>
  <c r="AO236" i="8"/>
  <c r="M73" i="10"/>
  <c r="N236" i="10"/>
  <c r="R49" i="11"/>
  <c r="S224" i="11"/>
  <c r="V69" i="9"/>
  <c r="W234" i="9"/>
  <c r="Z81" i="11"/>
  <c r="AA240" i="11"/>
  <c r="AD61" i="8"/>
  <c r="AE230" i="8"/>
  <c r="U79" i="10"/>
  <c r="V239" i="10"/>
  <c r="Q69" i="7"/>
  <c r="R234" i="7"/>
  <c r="AD234" i="2"/>
  <c r="U234" i="2"/>
  <c r="C234" i="2"/>
  <c r="AM234" i="2"/>
  <c r="BN234" i="2"/>
  <c r="L234" i="2"/>
  <c r="AV234" i="2"/>
  <c r="BE234" i="2"/>
  <c r="Y71" i="7"/>
  <c r="Z235" i="7"/>
  <c r="G65" i="7"/>
  <c r="H232" i="7"/>
  <c r="AV112" i="2"/>
  <c r="AX112" i="2"/>
  <c r="AY112" i="2"/>
  <c r="AW233" i="2"/>
  <c r="C112" i="2"/>
  <c r="E112" i="2"/>
  <c r="F112" i="2"/>
  <c r="D233" i="2"/>
  <c r="M23" i="39"/>
  <c r="N33" i="20"/>
  <c r="O33" i="20"/>
  <c r="B31" i="38"/>
  <c r="I35" i="2"/>
  <c r="C35" i="20"/>
  <c r="B96" i="38"/>
  <c r="T30" i="38"/>
  <c r="AC63" i="38"/>
  <c r="AR35" i="8"/>
  <c r="AS217" i="8"/>
  <c r="AV221" i="8"/>
  <c r="AU43" i="8"/>
  <c r="AW222" i="8"/>
  <c r="AV45" i="8"/>
  <c r="AV33" i="11"/>
  <c r="AW216" i="11"/>
  <c r="AL63" i="7"/>
  <c r="AM231" i="7"/>
  <c r="AX226" i="9"/>
  <c r="AW53" i="9"/>
  <c r="AV31" i="9"/>
  <c r="AW215" i="9"/>
  <c r="AV222" i="1"/>
  <c r="AU31" i="1"/>
  <c r="AW233" i="1"/>
  <c r="AV53" i="1"/>
  <c r="AW35" i="1"/>
  <c r="AX224" i="1"/>
  <c r="AU33" i="1"/>
  <c r="AV223" i="1"/>
  <c r="AX239" i="1"/>
  <c r="AW65" i="1"/>
  <c r="AW59" i="1"/>
  <c r="AX236" i="1"/>
  <c r="AV51" i="1"/>
  <c r="AW232" i="1"/>
  <c r="AJ54" i="2"/>
  <c r="F54" i="20"/>
  <c r="BB43" i="2"/>
  <c r="H43" i="20"/>
  <c r="Y38" i="38"/>
  <c r="AH71" i="38"/>
  <c r="G104" i="38"/>
  <c r="G39" i="38"/>
  <c r="X41" i="20"/>
  <c r="Y41" i="20"/>
  <c r="R31" i="39"/>
  <c r="AU45" i="22"/>
  <c r="AV222" i="22"/>
  <c r="AW221" i="6"/>
  <c r="AV37" i="6"/>
  <c r="AW215" i="6"/>
  <c r="AV25" i="6"/>
  <c r="AV33" i="6"/>
  <c r="AW219" i="6"/>
  <c r="AV218" i="6"/>
  <c r="AU31" i="6"/>
  <c r="AW220" i="6"/>
  <c r="AV35" i="6"/>
  <c r="AV23" i="6"/>
  <c r="AW214" i="6"/>
  <c r="AV224" i="6"/>
  <c r="AU43" i="6"/>
  <c r="AW223" i="6"/>
  <c r="AV41" i="6"/>
  <c r="AW217" i="6"/>
  <c r="AV27" i="6"/>
  <c r="AW216" i="6"/>
  <c r="AT247" i="1"/>
  <c r="AS81" i="1"/>
  <c r="AW43" i="1"/>
  <c r="AX228" i="1"/>
  <c r="AR83" i="1"/>
  <c r="AS248" i="1"/>
  <c r="AR39" i="8"/>
  <c r="AS219" i="8"/>
  <c r="AV218" i="8"/>
  <c r="AU37" i="8"/>
  <c r="AS45" i="11"/>
  <c r="AT222" i="11"/>
  <c r="AA54" i="2"/>
  <c r="E54" i="20"/>
  <c r="AV219" i="22"/>
  <c r="AU39" i="22"/>
  <c r="AW224" i="22"/>
  <c r="AV49" i="22"/>
  <c r="AW217" i="22"/>
  <c r="AV35" i="22"/>
  <c r="AV215" i="7"/>
  <c r="AU31" i="7"/>
  <c r="AW217" i="7"/>
  <c r="AV35" i="7"/>
  <c r="AW221" i="7"/>
  <c r="AV43" i="7"/>
  <c r="AS41" i="7"/>
  <c r="AT220" i="7"/>
  <c r="AU37" i="7"/>
  <c r="AV218" i="7"/>
  <c r="AV219" i="7"/>
  <c r="AU39" i="7"/>
  <c r="AT222" i="6"/>
  <c r="AS39" i="6"/>
  <c r="AW217" i="9"/>
  <c r="AV35" i="9"/>
  <c r="AS227" i="9"/>
  <c r="AR55" i="9"/>
  <c r="AW47" i="9"/>
  <c r="AX223" i="9"/>
  <c r="AX43" i="9"/>
  <c r="AY221" i="9"/>
  <c r="AT219" i="9"/>
  <c r="AS39" i="9"/>
  <c r="AV225" i="9"/>
  <c r="AU51" i="9"/>
  <c r="AW224" i="9"/>
  <c r="AV49" i="9"/>
  <c r="AT57" i="9"/>
  <c r="AU228" i="9"/>
  <c r="AW222" i="9"/>
  <c r="AV45" i="9"/>
  <c r="AW242" i="1"/>
  <c r="AV71" i="1"/>
  <c r="AQ235" i="1"/>
  <c r="AP57" i="1"/>
  <c r="AU245" i="1"/>
  <c r="AT77" i="1"/>
  <c r="AW244" i="1"/>
  <c r="AV75" i="1"/>
  <c r="AU61" i="1"/>
  <c r="AV237" i="1"/>
  <c r="AX246" i="1"/>
  <c r="AW79" i="1"/>
  <c r="AV240" i="1"/>
  <c r="AU67" i="1"/>
  <c r="AU243" i="1"/>
  <c r="AT73" i="1"/>
  <c r="AR221" i="11"/>
  <c r="AQ43" i="11"/>
  <c r="AS45" i="2"/>
  <c r="G45" i="20"/>
  <c r="V43" i="20"/>
  <c r="W43" i="20"/>
  <c r="F41" i="38"/>
  <c r="F107" i="38"/>
  <c r="Q33" i="39"/>
  <c r="AT215" i="11"/>
  <c r="AW219" i="11"/>
  <c r="AV39" i="11"/>
  <c r="AT220" i="11"/>
  <c r="AS41" i="11"/>
  <c r="AV218" i="11"/>
  <c r="AU37" i="11"/>
  <c r="AW225" i="10"/>
  <c r="AV51" i="10"/>
  <c r="AW218" i="10"/>
  <c r="AV37" i="10"/>
  <c r="AX229" i="22"/>
  <c r="AW59" i="22"/>
  <c r="AW220" i="22"/>
  <c r="AV41" i="22"/>
  <c r="AW227" i="22"/>
  <c r="AV55" i="22"/>
  <c r="AW218" i="22"/>
  <c r="AU228" i="8"/>
  <c r="AT57" i="8"/>
  <c r="AW227" i="8"/>
  <c r="AV55" i="8"/>
  <c r="AX226" i="8"/>
  <c r="AW53" i="8"/>
  <c r="AX224" i="8"/>
  <c r="AW49" i="8"/>
  <c r="AX216" i="8"/>
  <c r="AW33" i="8"/>
  <c r="AY215" i="8"/>
  <c r="AX31" i="8"/>
  <c r="AX220" i="8"/>
  <c r="AW41" i="8"/>
  <c r="AX227" i="7"/>
  <c r="AW55" i="7"/>
  <c r="AX226" i="7"/>
  <c r="AW53" i="7"/>
  <c r="AX225" i="7"/>
  <c r="AW51" i="7"/>
  <c r="AU222" i="7"/>
  <c r="AT45" i="7"/>
  <c r="AV223" i="7"/>
  <c r="AU47" i="7"/>
  <c r="AQ216" i="7"/>
  <c r="AP33" i="7"/>
  <c r="AX231" i="6"/>
  <c r="AW57" i="6"/>
  <c r="AX230" i="6"/>
  <c r="AW55" i="6"/>
  <c r="AX229" i="6"/>
  <c r="AW53" i="6"/>
  <c r="AX228" i="6"/>
  <c r="AW51" i="6"/>
  <c r="AX227" i="6"/>
  <c r="AW49" i="6"/>
  <c r="AV225" i="6"/>
  <c r="AU45" i="6"/>
  <c r="AW230" i="9"/>
  <c r="AV61" i="9"/>
  <c r="AX229" i="9"/>
  <c r="AW59" i="9"/>
  <c r="AW218" i="9"/>
  <c r="AV37" i="9"/>
  <c r="AT216" i="9"/>
  <c r="AS33" i="9"/>
  <c r="AW220" i="9"/>
  <c r="AV41" i="9"/>
  <c r="AV241" i="1"/>
  <c r="AU69" i="1"/>
  <c r="AX238" i="1"/>
  <c r="AW63" i="1"/>
  <c r="AV231" i="1"/>
  <c r="AU49" i="1"/>
  <c r="AX234" i="1"/>
  <c r="AW55" i="1"/>
  <c r="AX230" i="1"/>
  <c r="AW47" i="1"/>
  <c r="AV229" i="1"/>
  <c r="AU45" i="1"/>
  <c r="AX226" i="1"/>
  <c r="AW39" i="1"/>
  <c r="AV227" i="1"/>
  <c r="AU41" i="1"/>
  <c r="AV225" i="1"/>
  <c r="AU37" i="1"/>
  <c r="AV49" i="7"/>
  <c r="AW224" i="7"/>
  <c r="BZ114" i="2"/>
  <c r="CB114" i="2"/>
  <c r="M75" i="9"/>
  <c r="N237" i="9"/>
  <c r="CC30" i="2"/>
  <c r="K30" i="20"/>
  <c r="U20" i="39"/>
  <c r="J42" i="20"/>
  <c r="BT43" i="2"/>
  <c r="T31" i="39"/>
  <c r="AB41" i="20"/>
  <c r="AC41" i="20"/>
  <c r="I39" i="38"/>
  <c r="I105" i="38"/>
  <c r="I48" i="20"/>
  <c r="BK49" i="2"/>
  <c r="CL50" i="2"/>
  <c r="L49" i="20"/>
  <c r="BJ107" i="2"/>
  <c r="CK107" i="2"/>
  <c r="BG112" i="2"/>
  <c r="CF112" i="2"/>
  <c r="BH111" i="2"/>
  <c r="CI111" i="2"/>
  <c r="CH111" i="2"/>
  <c r="DZ147" i="10"/>
  <c r="W99" i="40"/>
  <c r="X326" i="40"/>
  <c r="AC93" i="40"/>
  <c r="AD323" i="40"/>
  <c r="X105" i="40"/>
  <c r="Y329" i="40"/>
  <c r="Y97" i="40"/>
  <c r="Z325" i="40"/>
  <c r="AC103" i="40"/>
  <c r="AD328" i="40"/>
  <c r="AC101" i="40"/>
  <c r="AD327" i="40"/>
  <c r="Y107" i="40"/>
  <c r="Z330" i="40"/>
  <c r="AC111" i="40"/>
  <c r="AD332" i="40"/>
  <c r="AC109" i="40"/>
  <c r="AD331" i="40"/>
  <c r="AD95" i="40"/>
  <c r="AE324" i="40"/>
  <c r="AD91" i="40"/>
  <c r="AE313" i="40"/>
  <c r="AD73" i="40"/>
  <c r="AF315" i="40"/>
  <c r="AE77" i="40"/>
  <c r="AF321" i="40"/>
  <c r="AE89" i="40"/>
  <c r="AG303" i="40"/>
  <c r="AF53" i="40"/>
  <c r="AG322" i="40"/>
  <c r="AF317" i="40"/>
  <c r="AE81" i="40"/>
  <c r="AG301" i="40"/>
  <c r="AF49" i="40"/>
  <c r="AF307" i="40"/>
  <c r="AE61" i="40"/>
  <c r="AG308" i="40"/>
  <c r="AF63" i="40"/>
  <c r="AG314" i="40"/>
  <c r="AF75" i="40"/>
  <c r="AE311" i="40"/>
  <c r="AD69" i="40"/>
  <c r="AG305" i="40"/>
  <c r="AF57" i="40"/>
  <c r="AG298" i="40"/>
  <c r="AF43" i="40"/>
  <c r="AG312" i="40"/>
  <c r="AF71" i="40"/>
  <c r="AG318" i="40"/>
  <c r="AF83" i="40"/>
  <c r="AG299" i="40"/>
  <c r="AF45" i="40"/>
  <c r="AG300" i="40"/>
  <c r="AF47" i="40"/>
  <c r="AG304" i="40"/>
  <c r="AF55" i="40"/>
  <c r="AG306" i="40"/>
  <c r="AF59" i="40"/>
  <c r="AF297" i="40"/>
  <c r="AE41" i="40"/>
  <c r="AG316" i="40"/>
  <c r="AF79" i="40"/>
  <c r="AF319" i="40"/>
  <c r="AE85" i="40"/>
  <c r="AF302" i="40"/>
  <c r="AE51" i="40"/>
  <c r="AF310" i="40"/>
  <c r="AE67" i="40"/>
  <c r="AE309" i="40"/>
  <c r="AD65" i="40"/>
  <c r="AG320" i="40"/>
  <c r="AF87" i="40"/>
  <c r="EC54" i="10"/>
  <c r="EB144" i="10"/>
  <c r="AL63" i="8"/>
  <c r="AM231" i="8"/>
  <c r="AT79" i="8"/>
  <c r="AU239" i="8"/>
  <c r="AL63" i="22"/>
  <c r="AM231" i="22"/>
  <c r="AJ79" i="22"/>
  <c r="AK239" i="22"/>
  <c r="AV233" i="7"/>
  <c r="AU67" i="7"/>
  <c r="AU231" i="9"/>
  <c r="AT63" i="9"/>
  <c r="AQ239" i="11"/>
  <c r="AP79" i="11"/>
  <c r="AK233" i="10"/>
  <c r="AJ67" i="10"/>
  <c r="AH229" i="8"/>
  <c r="AG59" i="8"/>
  <c r="AL71" i="22"/>
  <c r="AM235" i="22"/>
  <c r="AT71" i="8"/>
  <c r="AU235" i="8"/>
  <c r="AP230" i="7"/>
  <c r="AO61" i="7"/>
  <c r="AK79" i="9"/>
  <c r="AL239" i="9"/>
  <c r="AI231" i="10"/>
  <c r="AH63" i="10"/>
  <c r="EA146" i="10"/>
  <c r="EA145" i="10"/>
  <c r="R59" i="10"/>
  <c r="S229" i="10"/>
  <c r="S65" i="10"/>
  <c r="T232" i="10"/>
  <c r="AQ59" i="7"/>
  <c r="AR229" i="7"/>
  <c r="W67" i="22"/>
  <c r="X233" i="22"/>
  <c r="AM79" i="7"/>
  <c r="AN239" i="7"/>
  <c r="AJ65" i="9"/>
  <c r="AK232" i="9"/>
  <c r="AT61" i="10"/>
  <c r="AU230" i="10"/>
  <c r="AV226" i="6"/>
  <c r="AU47" i="6"/>
  <c r="AO47" i="11"/>
  <c r="AP223" i="11"/>
  <c r="AU234" i="10"/>
  <c r="AT69" i="10"/>
  <c r="AT238" i="11"/>
  <c r="AS77" i="11"/>
  <c r="AS228" i="11"/>
  <c r="AR57" i="11"/>
  <c r="AS77" i="10"/>
  <c r="AT238" i="10"/>
  <c r="AD75" i="11"/>
  <c r="AE237" i="11"/>
  <c r="AK236" i="22"/>
  <c r="AJ73" i="22"/>
  <c r="AW228" i="22"/>
  <c r="AV57" i="22"/>
  <c r="S67" i="9"/>
  <c r="T233" i="9"/>
  <c r="AS51" i="11"/>
  <c r="AT225" i="11"/>
  <c r="AE71" i="10"/>
  <c r="AF235" i="10"/>
  <c r="AU238" i="22"/>
  <c r="AT77" i="22"/>
  <c r="AT238" i="7"/>
  <c r="AS77" i="7"/>
  <c r="S81" i="10"/>
  <c r="T240" i="10"/>
  <c r="R64" i="2"/>
  <c r="D64" i="20"/>
  <c r="AV216" i="10"/>
  <c r="AU33" i="10"/>
  <c r="AU41" i="10"/>
  <c r="AV220" i="10"/>
  <c r="AV223" i="10"/>
  <c r="AU47" i="10"/>
  <c r="AV221" i="10"/>
  <c r="AU43" i="10"/>
  <c r="AV53" i="10"/>
  <c r="AW226" i="10"/>
  <c r="AU35" i="10"/>
  <c r="AV217" i="10"/>
  <c r="AT45" i="10"/>
  <c r="AU222" i="10"/>
  <c r="AU49" i="10"/>
  <c r="AV224" i="10"/>
  <c r="AV31" i="10"/>
  <c r="AW215" i="10"/>
  <c r="AV219" i="10"/>
  <c r="AU39" i="10"/>
  <c r="AV226" i="22"/>
  <c r="AU53" i="22"/>
  <c r="AV221" i="22"/>
  <c r="AU43" i="22"/>
  <c r="AW225" i="22"/>
  <c r="AV51" i="22"/>
  <c r="AU223" i="22"/>
  <c r="AT47" i="22"/>
  <c r="AV47" i="8"/>
  <c r="AW223" i="8"/>
  <c r="AV225" i="8"/>
  <c r="AU51" i="8"/>
  <c r="X71" i="7"/>
  <c r="Y235" i="7"/>
  <c r="BN113" i="2"/>
  <c r="BP113" i="2"/>
  <c r="BQ113" i="2"/>
  <c r="BO234" i="2"/>
  <c r="AD113" i="2"/>
  <c r="AF113" i="2"/>
  <c r="AG113" i="2"/>
  <c r="AE234" i="2"/>
  <c r="T79" i="10"/>
  <c r="U239" i="10"/>
  <c r="U114" i="2"/>
  <c r="W114" i="2"/>
  <c r="V235" i="2"/>
  <c r="BE114" i="2"/>
  <c r="BF235" i="2"/>
  <c r="AW216" i="22"/>
  <c r="AV33" i="22"/>
  <c r="BE113" i="2"/>
  <c r="BF234" i="2"/>
  <c r="AM113" i="2"/>
  <c r="AO113" i="2"/>
  <c r="AP113" i="2"/>
  <c r="AN234" i="2"/>
  <c r="Y81" i="11"/>
  <c r="Z240" i="11"/>
  <c r="Q49" i="11"/>
  <c r="R224" i="11"/>
  <c r="L73" i="10"/>
  <c r="M236" i="10"/>
  <c r="R81" i="9"/>
  <c r="S240" i="9"/>
  <c r="X69" i="22"/>
  <c r="Y234" i="22"/>
  <c r="M53" i="11"/>
  <c r="N226" i="11"/>
  <c r="D235" i="2"/>
  <c r="C114" i="2"/>
  <c r="E114" i="2"/>
  <c r="BN114" i="2"/>
  <c r="BP114" i="2"/>
  <c r="BO235" i="2"/>
  <c r="V75" i="10"/>
  <c r="W237" i="10"/>
  <c r="V75" i="8"/>
  <c r="W237" i="8"/>
  <c r="T65" i="22"/>
  <c r="U232" i="22"/>
  <c r="T81" i="7"/>
  <c r="U240" i="7"/>
  <c r="W75" i="7"/>
  <c r="X237" i="7"/>
  <c r="AA73" i="11"/>
  <c r="AB236" i="11"/>
  <c r="V81" i="22"/>
  <c r="W240" i="22"/>
  <c r="X67" i="8"/>
  <c r="Y233" i="8"/>
  <c r="F65" i="7"/>
  <c r="G232" i="7"/>
  <c r="AV113" i="2"/>
  <c r="AX113" i="2"/>
  <c r="AY113" i="2"/>
  <c r="AW234" i="2"/>
  <c r="C113" i="2"/>
  <c r="E113" i="2"/>
  <c r="F113" i="2"/>
  <c r="D234" i="2"/>
  <c r="P69" i="7"/>
  <c r="Q234" i="7"/>
  <c r="AV114" i="2"/>
  <c r="AX114" i="2"/>
  <c r="AW235" i="2"/>
  <c r="AM114" i="2"/>
  <c r="AO114" i="2"/>
  <c r="AP114" i="2"/>
  <c r="AN235" i="2"/>
  <c r="M234" i="2"/>
  <c r="L113" i="2"/>
  <c r="N113" i="2"/>
  <c r="O113" i="2"/>
  <c r="U113" i="2"/>
  <c r="W113" i="2"/>
  <c r="X113" i="2"/>
  <c r="V234" i="2"/>
  <c r="AC61" i="8"/>
  <c r="AD230" i="8"/>
  <c r="U69" i="9"/>
  <c r="V234" i="9"/>
  <c r="AM73" i="8"/>
  <c r="AN236" i="8"/>
  <c r="Z69" i="8"/>
  <c r="AA234" i="8"/>
  <c r="AR73" i="9"/>
  <c r="AS236" i="9"/>
  <c r="V75" i="22"/>
  <c r="W237" i="22"/>
  <c r="Y67" i="11"/>
  <c r="Z233" i="11"/>
  <c r="S71" i="9"/>
  <c r="T235" i="9"/>
  <c r="L114" i="2"/>
  <c r="N114" i="2"/>
  <c r="M235" i="2"/>
  <c r="AD114" i="2"/>
  <c r="AF114" i="2"/>
  <c r="AE235" i="2"/>
  <c r="S57" i="10"/>
  <c r="T228" i="10"/>
  <c r="Y61" i="22"/>
  <c r="Z230" i="22"/>
  <c r="I31" i="22"/>
  <c r="J215" i="22"/>
  <c r="AA77" i="8"/>
  <c r="AB238" i="8"/>
  <c r="AR77" i="9"/>
  <c r="AS238" i="9"/>
  <c r="T31" i="38"/>
  <c r="AC64" i="38"/>
  <c r="B97" i="38"/>
  <c r="B32" i="38"/>
  <c r="N34" i="20"/>
  <c r="O34" i="20"/>
  <c r="M24" i="39"/>
  <c r="C24" i="39"/>
  <c r="I36" i="2"/>
  <c r="C36" i="20"/>
  <c r="AQ35" i="8"/>
  <c r="AR217" i="8"/>
  <c r="AV222" i="8"/>
  <c r="AU45" i="8"/>
  <c r="AU221" i="8"/>
  <c r="AT43" i="8"/>
  <c r="AK63" i="7"/>
  <c r="AL231" i="7"/>
  <c r="AV216" i="11"/>
  <c r="AU33" i="11"/>
  <c r="AV53" i="9"/>
  <c r="AW226" i="9"/>
  <c r="AU31" i="9"/>
  <c r="AV215" i="9"/>
  <c r="AT31" i="1"/>
  <c r="AU222" i="1"/>
  <c r="AV59" i="1"/>
  <c r="AW236" i="1"/>
  <c r="AT33" i="1"/>
  <c r="AU223" i="1"/>
  <c r="AW224" i="1"/>
  <c r="AV35" i="1"/>
  <c r="AV65" i="1"/>
  <c r="AW239" i="1"/>
  <c r="AV233" i="1"/>
  <c r="AU53" i="1"/>
  <c r="AV232" i="1"/>
  <c r="AU51" i="1"/>
  <c r="AJ55" i="2"/>
  <c r="F55" i="20"/>
  <c r="R32" i="39"/>
  <c r="G40" i="38"/>
  <c r="X42" i="20"/>
  <c r="Y42" i="20"/>
  <c r="G105" i="38"/>
  <c r="Y39" i="38"/>
  <c r="AH72" i="38"/>
  <c r="BB44" i="2"/>
  <c r="H44" i="20"/>
  <c r="AU222" i="22"/>
  <c r="AT45" i="22"/>
  <c r="AV217" i="6"/>
  <c r="AV223" i="6"/>
  <c r="AU41" i="6"/>
  <c r="AU224" i="6"/>
  <c r="AT43" i="6"/>
  <c r="AV220" i="6"/>
  <c r="AU35" i="6"/>
  <c r="AU218" i="6"/>
  <c r="AT31" i="6"/>
  <c r="AV215" i="6"/>
  <c r="AU25" i="6"/>
  <c r="AV221" i="6"/>
  <c r="AU37" i="6"/>
  <c r="AV216" i="6"/>
  <c r="AU27" i="6"/>
  <c r="AV214" i="6"/>
  <c r="AU23" i="6"/>
  <c r="AV219" i="6"/>
  <c r="AU33" i="6"/>
  <c r="AQ83" i="1"/>
  <c r="AR248" i="1"/>
  <c r="AW228" i="1"/>
  <c r="AV43" i="1"/>
  <c r="AS247" i="1"/>
  <c r="AR81" i="1"/>
  <c r="AU218" i="8"/>
  <c r="AT37" i="8"/>
  <c r="AQ39" i="8"/>
  <c r="AR219" i="8"/>
  <c r="AR45" i="11"/>
  <c r="AS222" i="11"/>
  <c r="AA55" i="2"/>
  <c r="E55" i="20"/>
  <c r="AV224" i="22"/>
  <c r="AU49" i="22"/>
  <c r="AU35" i="22"/>
  <c r="AV217" i="22"/>
  <c r="AU219" i="22"/>
  <c r="AT39" i="22"/>
  <c r="AU43" i="7"/>
  <c r="AV221" i="7"/>
  <c r="AV217" i="7"/>
  <c r="AU35" i="7"/>
  <c r="AU218" i="7"/>
  <c r="AT37" i="7"/>
  <c r="AU219" i="7"/>
  <c r="AT39" i="7"/>
  <c r="AT31" i="7"/>
  <c r="AU215" i="7"/>
  <c r="AS220" i="7"/>
  <c r="AR41" i="7"/>
  <c r="AS222" i="6"/>
  <c r="AR39" i="6"/>
  <c r="AR227" i="9"/>
  <c r="AQ55" i="9"/>
  <c r="AX221" i="9"/>
  <c r="AW43" i="9"/>
  <c r="AR39" i="9"/>
  <c r="AS219" i="9"/>
  <c r="AV217" i="9"/>
  <c r="AU35" i="9"/>
  <c r="AV47" i="9"/>
  <c r="AW223" i="9"/>
  <c r="AU225" i="9"/>
  <c r="AT51" i="9"/>
  <c r="AU45" i="9"/>
  <c r="AV222" i="9"/>
  <c r="AS57" i="9"/>
  <c r="AT228" i="9"/>
  <c r="AV224" i="9"/>
  <c r="AU49" i="9"/>
  <c r="AU240" i="1"/>
  <c r="AT67" i="1"/>
  <c r="AT245" i="1"/>
  <c r="AS77" i="1"/>
  <c r="AV242" i="1"/>
  <c r="AU71" i="1"/>
  <c r="AT243" i="1"/>
  <c r="AS73" i="1"/>
  <c r="AW246" i="1"/>
  <c r="AV79" i="1"/>
  <c r="AV244" i="1"/>
  <c r="AU75" i="1"/>
  <c r="AP235" i="1"/>
  <c r="AO57" i="1"/>
  <c r="AT61" i="1"/>
  <c r="AU237" i="1"/>
  <c r="AQ221" i="11"/>
  <c r="AP43" i="11"/>
  <c r="AS46" i="2"/>
  <c r="G46" i="20"/>
  <c r="V44" i="20"/>
  <c r="W44" i="20"/>
  <c r="F42" i="38"/>
  <c r="Q34" i="39"/>
  <c r="G34" i="39"/>
  <c r="AS220" i="11"/>
  <c r="AR41" i="11"/>
  <c r="AS215" i="11"/>
  <c r="AU218" i="11"/>
  <c r="AT37" i="11"/>
  <c r="AV219" i="11"/>
  <c r="AU39" i="11"/>
  <c r="AV225" i="10"/>
  <c r="AU51" i="10"/>
  <c r="AV218" i="10"/>
  <c r="AU37" i="10"/>
  <c r="AW229" i="22"/>
  <c r="AV59" i="22"/>
  <c r="AV227" i="22"/>
  <c r="AU55" i="22"/>
  <c r="AV218" i="22"/>
  <c r="AV220" i="22"/>
  <c r="AU41" i="22"/>
  <c r="AT228" i="8"/>
  <c r="AS57" i="8"/>
  <c r="AV227" i="8"/>
  <c r="AU55" i="8"/>
  <c r="AW220" i="8"/>
  <c r="AV41" i="8"/>
  <c r="AW216" i="8"/>
  <c r="AV33" i="8"/>
  <c r="AW226" i="8"/>
  <c r="AV53" i="8"/>
  <c r="AX215" i="8"/>
  <c r="AW31" i="8"/>
  <c r="AW224" i="8"/>
  <c r="AV49" i="8"/>
  <c r="AW227" i="7"/>
  <c r="AV55" i="7"/>
  <c r="AW226" i="7"/>
  <c r="AV53" i="7"/>
  <c r="AW225" i="7"/>
  <c r="AV51" i="7"/>
  <c r="AU223" i="7"/>
  <c r="AT47" i="7"/>
  <c r="AP216" i="7"/>
  <c r="AO33" i="7"/>
  <c r="AT222" i="7"/>
  <c r="AS45" i="7"/>
  <c r="AW231" i="6"/>
  <c r="AV57" i="6"/>
  <c r="AW230" i="6"/>
  <c r="AV55" i="6"/>
  <c r="AW229" i="6"/>
  <c r="AV53" i="6"/>
  <c r="AW228" i="6"/>
  <c r="AV51" i="6"/>
  <c r="AW227" i="6"/>
  <c r="AV49" i="6"/>
  <c r="AU225" i="6"/>
  <c r="AT45" i="6"/>
  <c r="AV230" i="9"/>
  <c r="AU61" i="9"/>
  <c r="AW229" i="9"/>
  <c r="AV59" i="9"/>
  <c r="AV220" i="9"/>
  <c r="AU41" i="9"/>
  <c r="AS216" i="9"/>
  <c r="AR33" i="9"/>
  <c r="AV218" i="9"/>
  <c r="AU37" i="9"/>
  <c r="AU241" i="1"/>
  <c r="AT69" i="1"/>
  <c r="AW238" i="1"/>
  <c r="AV63" i="1"/>
  <c r="AW230" i="1"/>
  <c r="AV47" i="1"/>
  <c r="AW234" i="1"/>
  <c r="AV55" i="1"/>
  <c r="AU231" i="1"/>
  <c r="AT49" i="1"/>
  <c r="AU229" i="1"/>
  <c r="AT45" i="1"/>
  <c r="AW226" i="1"/>
  <c r="AV39" i="1"/>
  <c r="AU225" i="1"/>
  <c r="AT37" i="1"/>
  <c r="AU227" i="1"/>
  <c r="AT41" i="1"/>
  <c r="AU49" i="7"/>
  <c r="AV224" i="7"/>
  <c r="M237" i="9"/>
  <c r="L75" i="9"/>
  <c r="CC31" i="2"/>
  <c r="K31" i="20"/>
  <c r="U21" i="39"/>
  <c r="J43" i="20"/>
  <c r="BT44" i="2"/>
  <c r="AB42" i="20"/>
  <c r="AC42" i="20"/>
  <c r="T32" i="39"/>
  <c r="I40" i="38"/>
  <c r="I106" i="38"/>
  <c r="I49" i="20"/>
  <c r="BK50" i="2"/>
  <c r="CL51" i="2"/>
  <c r="L50" i="20"/>
  <c r="BJ108" i="2"/>
  <c r="CK108" i="2"/>
  <c r="BG113" i="2"/>
  <c r="CF113" i="2"/>
  <c r="BG114" i="2"/>
  <c r="CH114" i="2"/>
  <c r="CF114" i="2"/>
  <c r="BH112" i="2"/>
  <c r="CI112" i="2"/>
  <c r="CH112" i="2"/>
  <c r="AC95" i="40"/>
  <c r="AD324" i="40"/>
  <c r="AB111" i="40"/>
  <c r="AC332" i="40"/>
  <c r="AB101" i="40"/>
  <c r="AC327" i="40"/>
  <c r="X97" i="40"/>
  <c r="Y325" i="40"/>
  <c r="AB93" i="40"/>
  <c r="AC323" i="40"/>
  <c r="AB109" i="40"/>
  <c r="AC331" i="40"/>
  <c r="X107" i="40"/>
  <c r="Y330" i="40"/>
  <c r="AB103" i="40"/>
  <c r="AC328" i="40"/>
  <c r="W105" i="40"/>
  <c r="X329" i="40"/>
  <c r="V99" i="40"/>
  <c r="W326" i="40"/>
  <c r="AC91" i="40"/>
  <c r="AE310" i="40"/>
  <c r="AD67" i="40"/>
  <c r="AF304" i="40"/>
  <c r="AE55" i="40"/>
  <c r="AF312" i="40"/>
  <c r="AE71" i="40"/>
  <c r="AF314" i="40"/>
  <c r="AE75" i="40"/>
  <c r="AF303" i="40"/>
  <c r="AE53" i="40"/>
  <c r="AF320" i="40"/>
  <c r="AE87" i="40"/>
  <c r="AE319" i="40"/>
  <c r="AD85" i="40"/>
  <c r="AF299" i="40"/>
  <c r="AE45" i="40"/>
  <c r="AF305" i="40"/>
  <c r="AE57" i="40"/>
  <c r="AE307" i="40"/>
  <c r="AD61" i="40"/>
  <c r="AE317" i="40"/>
  <c r="AD81" i="40"/>
  <c r="AD309" i="40"/>
  <c r="AC65" i="40"/>
  <c r="AE302" i="40"/>
  <c r="AD51" i="40"/>
  <c r="AF316" i="40"/>
  <c r="AE79" i="40"/>
  <c r="AF306" i="40"/>
  <c r="AE59" i="40"/>
  <c r="AF300" i="40"/>
  <c r="AE47" i="40"/>
  <c r="AF318" i="40"/>
  <c r="AE83" i="40"/>
  <c r="AF298" i="40"/>
  <c r="AE43" i="40"/>
  <c r="AD311" i="40"/>
  <c r="AC69" i="40"/>
  <c r="AF308" i="40"/>
  <c r="AE63" i="40"/>
  <c r="AF301" i="40"/>
  <c r="AE49" i="40"/>
  <c r="AF322" i="40"/>
  <c r="AE321" i="40"/>
  <c r="AD89" i="40"/>
  <c r="AD313" i="40"/>
  <c r="AC73" i="40"/>
  <c r="AE297" i="40"/>
  <c r="AD41" i="40"/>
  <c r="AE315" i="40"/>
  <c r="AD77" i="40"/>
  <c r="AS238" i="10"/>
  <c r="AR77" i="10"/>
  <c r="AL79" i="7"/>
  <c r="AM239" i="7"/>
  <c r="AK63" i="22"/>
  <c r="AL231" i="22"/>
  <c r="AS238" i="7"/>
  <c r="AR77" i="7"/>
  <c r="AI73" i="22"/>
  <c r="AJ236" i="22"/>
  <c r="AS238" i="11"/>
  <c r="AR77" i="11"/>
  <c r="AH231" i="10"/>
  <c r="AG63" i="10"/>
  <c r="AN61" i="7"/>
  <c r="AO230" i="7"/>
  <c r="AG229" i="8"/>
  <c r="AF59" i="8"/>
  <c r="AO79" i="11"/>
  <c r="AP239" i="11"/>
  <c r="AT67" i="7"/>
  <c r="AU233" i="7"/>
  <c r="R67" i="9"/>
  <c r="S233" i="9"/>
  <c r="AS61" i="10"/>
  <c r="AT230" i="10"/>
  <c r="AQ229" i="7"/>
  <c r="AP59" i="7"/>
  <c r="AS71" i="8"/>
  <c r="AT235" i="8"/>
  <c r="AK63" i="8"/>
  <c r="AL231" i="8"/>
  <c r="AS77" i="22"/>
  <c r="AT238" i="22"/>
  <c r="AU57" i="22"/>
  <c r="AV228" i="22"/>
  <c r="AQ57" i="11"/>
  <c r="AR228" i="11"/>
  <c r="AS69" i="10"/>
  <c r="AT234" i="10"/>
  <c r="AU226" i="6"/>
  <c r="AT47" i="6"/>
  <c r="AJ233" i="10"/>
  <c r="AI67" i="10"/>
  <c r="AS63" i="9"/>
  <c r="AT231" i="9"/>
  <c r="EB146" i="10"/>
  <c r="EB145" i="10"/>
  <c r="AD71" i="10"/>
  <c r="AE235" i="10"/>
  <c r="AN47" i="11"/>
  <c r="AO223" i="11"/>
  <c r="Q59" i="10"/>
  <c r="R229" i="10"/>
  <c r="S240" i="10"/>
  <c r="R81" i="10"/>
  <c r="AR51" i="11"/>
  <c r="AS225" i="11"/>
  <c r="AC75" i="11"/>
  <c r="AD237" i="11"/>
  <c r="AJ232" i="9"/>
  <c r="AI65" i="9"/>
  <c r="W233" i="22"/>
  <c r="V67" i="22"/>
  <c r="R65" i="10"/>
  <c r="S232" i="10"/>
  <c r="EA147" i="10"/>
  <c r="AJ79" i="9"/>
  <c r="AK239" i="9"/>
  <c r="AK71" i="22"/>
  <c r="AL235" i="22"/>
  <c r="AI79" i="22"/>
  <c r="AJ239" i="22"/>
  <c r="AS79" i="8"/>
  <c r="AT239" i="8"/>
  <c r="EC144" i="10"/>
  <c r="ED54" i="10"/>
  <c r="R65" i="2"/>
  <c r="D65" i="20"/>
  <c r="AU219" i="10"/>
  <c r="AT39" i="10"/>
  <c r="AU221" i="10"/>
  <c r="AT43" i="10"/>
  <c r="AU224" i="10"/>
  <c r="AT49" i="10"/>
  <c r="AU217" i="10"/>
  <c r="AT35" i="10"/>
  <c r="AU220" i="10"/>
  <c r="AT41" i="10"/>
  <c r="AU223" i="10"/>
  <c r="AT47" i="10"/>
  <c r="AT33" i="10"/>
  <c r="AU216" i="10"/>
  <c r="AU31" i="10"/>
  <c r="AV215" i="10"/>
  <c r="AT222" i="10"/>
  <c r="AS45" i="10"/>
  <c r="AU53" i="10"/>
  <c r="AV226" i="10"/>
  <c r="AV225" i="22"/>
  <c r="AU51" i="22"/>
  <c r="AU226" i="22"/>
  <c r="AT53" i="22"/>
  <c r="AT223" i="22"/>
  <c r="AS47" i="22"/>
  <c r="AU221" i="22"/>
  <c r="AT43" i="22"/>
  <c r="AU225" i="8"/>
  <c r="AT51" i="8"/>
  <c r="AU47" i="8"/>
  <c r="AV223" i="8"/>
  <c r="BQ114" i="2"/>
  <c r="AY114" i="2"/>
  <c r="AG114" i="2"/>
  <c r="O114" i="2"/>
  <c r="AU33" i="22"/>
  <c r="AV216" i="22"/>
  <c r="AQ77" i="9"/>
  <c r="AR238" i="9"/>
  <c r="H31" i="22"/>
  <c r="I215" i="22"/>
  <c r="X61" i="22"/>
  <c r="Y230" i="22"/>
  <c r="X67" i="11"/>
  <c r="Y233" i="11"/>
  <c r="AQ73" i="9"/>
  <c r="AR236" i="9"/>
  <c r="AL73" i="8"/>
  <c r="AM236" i="8"/>
  <c r="T69" i="9"/>
  <c r="U234" i="9"/>
  <c r="O69" i="7"/>
  <c r="P234" i="7"/>
  <c r="E65" i="7"/>
  <c r="F232" i="7"/>
  <c r="W67" i="8"/>
  <c r="X233" i="8"/>
  <c r="S65" i="22"/>
  <c r="T232" i="22"/>
  <c r="U75" i="8"/>
  <c r="V237" i="8"/>
  <c r="L53" i="11"/>
  <c r="M226" i="11"/>
  <c r="Q81" i="9"/>
  <c r="R240" i="9"/>
  <c r="P49" i="11"/>
  <c r="Q224" i="11"/>
  <c r="X114" i="2"/>
  <c r="W71" i="7"/>
  <c r="X235" i="7"/>
  <c r="F114" i="2"/>
  <c r="Z77" i="8"/>
  <c r="AA238" i="8"/>
  <c r="R57" i="10"/>
  <c r="S228" i="10"/>
  <c r="R71" i="9"/>
  <c r="S235" i="9"/>
  <c r="U75" i="22"/>
  <c r="V237" i="22"/>
  <c r="Y69" i="8"/>
  <c r="Z234" i="8"/>
  <c r="AB61" i="8"/>
  <c r="AC230" i="8"/>
  <c r="U81" i="22"/>
  <c r="V240" i="22"/>
  <c r="Z73" i="11"/>
  <c r="AA236" i="11"/>
  <c r="V75" i="7"/>
  <c r="W237" i="7"/>
  <c r="S81" i="7"/>
  <c r="T240" i="7"/>
  <c r="U75" i="10"/>
  <c r="V237" i="10"/>
  <c r="W69" i="22"/>
  <c r="X234" i="22"/>
  <c r="K73" i="10"/>
  <c r="L236" i="10"/>
  <c r="X81" i="11"/>
  <c r="Y240" i="11"/>
  <c r="S79" i="10"/>
  <c r="T239" i="10"/>
  <c r="M25" i="39"/>
  <c r="B33" i="38"/>
  <c r="B99" i="38"/>
  <c r="N35" i="20"/>
  <c r="O35" i="20"/>
  <c r="T32" i="38"/>
  <c r="AC65" i="38"/>
  <c r="B98" i="38"/>
  <c r="I37" i="2"/>
  <c r="C37" i="20"/>
  <c r="AP35" i="8"/>
  <c r="AQ217" i="8"/>
  <c r="AS43" i="8"/>
  <c r="AT221" i="8"/>
  <c r="AU222" i="8"/>
  <c r="AT45" i="8"/>
  <c r="AT33" i="11"/>
  <c r="AU216" i="11"/>
  <c r="AJ63" i="7"/>
  <c r="AK231" i="7"/>
  <c r="AT31" i="9"/>
  <c r="AU215" i="9"/>
  <c r="AV226" i="9"/>
  <c r="AU53" i="9"/>
  <c r="AT222" i="1"/>
  <c r="AS31" i="1"/>
  <c r="AU65" i="1"/>
  <c r="AV239" i="1"/>
  <c r="AT223" i="1"/>
  <c r="AS33" i="1"/>
  <c r="AU59" i="1"/>
  <c r="AV236" i="1"/>
  <c r="AT53" i="1"/>
  <c r="AU233" i="1"/>
  <c r="AU35" i="1"/>
  <c r="AV224" i="1"/>
  <c r="AT51" i="1"/>
  <c r="AU232" i="1"/>
  <c r="AJ56" i="2"/>
  <c r="F56" i="20"/>
  <c r="BB45" i="2"/>
  <c r="H45" i="20"/>
  <c r="G41" i="38"/>
  <c r="R33" i="39"/>
  <c r="X43" i="20"/>
  <c r="Y43" i="20"/>
  <c r="Y40" i="38"/>
  <c r="AH73" i="38"/>
  <c r="G106" i="38"/>
  <c r="AT222" i="22"/>
  <c r="AS45" i="22"/>
  <c r="AU219" i="6"/>
  <c r="AT33" i="6"/>
  <c r="AU214" i="6"/>
  <c r="AT23" i="6"/>
  <c r="AT27" i="6"/>
  <c r="AU216" i="6"/>
  <c r="AU221" i="6"/>
  <c r="AT37" i="6"/>
  <c r="AU215" i="6"/>
  <c r="AT25" i="6"/>
  <c r="AT218" i="6"/>
  <c r="AS31" i="6"/>
  <c r="AU220" i="6"/>
  <c r="AT35" i="6"/>
  <c r="AT224" i="6"/>
  <c r="AS43" i="6"/>
  <c r="AU223" i="6"/>
  <c r="AT41" i="6"/>
  <c r="AU217" i="6"/>
  <c r="AR247" i="1"/>
  <c r="AQ81" i="1"/>
  <c r="AV228" i="1"/>
  <c r="AU43" i="1"/>
  <c r="AP83" i="1"/>
  <c r="AQ248" i="1"/>
  <c r="AQ219" i="8"/>
  <c r="AP39" i="8"/>
  <c r="AT218" i="8"/>
  <c r="AS37" i="8"/>
  <c r="AQ45" i="11"/>
  <c r="AR222" i="11"/>
  <c r="AA56" i="2"/>
  <c r="E56" i="20"/>
  <c r="AT35" i="22"/>
  <c r="AU217" i="22"/>
  <c r="AT219" i="22"/>
  <c r="AS39" i="22"/>
  <c r="AU224" i="22"/>
  <c r="AT49" i="22"/>
  <c r="AR220" i="7"/>
  <c r="AQ41" i="7"/>
  <c r="AT219" i="7"/>
  <c r="AS39" i="7"/>
  <c r="AU217" i="7"/>
  <c r="AT35" i="7"/>
  <c r="AT218" i="7"/>
  <c r="AS37" i="7"/>
  <c r="AT215" i="7"/>
  <c r="AS31" i="7"/>
  <c r="AU221" i="7"/>
  <c r="AT43" i="7"/>
  <c r="AQ39" i="6"/>
  <c r="AR222" i="6"/>
  <c r="AU217" i="9"/>
  <c r="AT35" i="9"/>
  <c r="AV43" i="9"/>
  <c r="AW221" i="9"/>
  <c r="AP55" i="9"/>
  <c r="AQ227" i="9"/>
  <c r="AU47" i="9"/>
  <c r="AV223" i="9"/>
  <c r="AQ39" i="9"/>
  <c r="AR219" i="9"/>
  <c r="AT225" i="9"/>
  <c r="AS51" i="9"/>
  <c r="AU224" i="9"/>
  <c r="AT49" i="9"/>
  <c r="AR57" i="9"/>
  <c r="AS228" i="9"/>
  <c r="AU222" i="9"/>
  <c r="AT45" i="9"/>
  <c r="AN57" i="1"/>
  <c r="AO235" i="1"/>
  <c r="AV246" i="1"/>
  <c r="AU79" i="1"/>
  <c r="AU242" i="1"/>
  <c r="AT71" i="1"/>
  <c r="AT237" i="1"/>
  <c r="AS61" i="1"/>
  <c r="AU244" i="1"/>
  <c r="AT75" i="1"/>
  <c r="AS243" i="1"/>
  <c r="AR73" i="1"/>
  <c r="AS245" i="1"/>
  <c r="AR77" i="1"/>
  <c r="AT240" i="1"/>
  <c r="AS67" i="1"/>
  <c r="AP221" i="11"/>
  <c r="AO43" i="11"/>
  <c r="F108" i="38"/>
  <c r="F109" i="38"/>
  <c r="X42" i="38"/>
  <c r="AG75" i="38"/>
  <c r="AS47" i="2"/>
  <c r="G47" i="20"/>
  <c r="AT218" i="11"/>
  <c r="AS37" i="11"/>
  <c r="AR220" i="11"/>
  <c r="AQ41" i="11"/>
  <c r="AU219" i="11"/>
  <c r="AT39" i="11"/>
  <c r="AR215" i="11"/>
  <c r="AU225" i="10"/>
  <c r="AT51" i="10"/>
  <c r="AU218" i="10"/>
  <c r="AT37" i="10"/>
  <c r="AV229" i="22"/>
  <c r="AU59" i="22"/>
  <c r="AU220" i="22"/>
  <c r="AT41" i="22"/>
  <c r="AU227" i="22"/>
  <c r="AT55" i="22"/>
  <c r="AU218" i="22"/>
  <c r="AS228" i="8"/>
  <c r="AR57" i="8"/>
  <c r="AU227" i="8"/>
  <c r="AT55" i="8"/>
  <c r="AV224" i="8"/>
  <c r="AU49" i="8"/>
  <c r="AW215" i="8"/>
  <c r="AV31" i="8"/>
  <c r="AV226" i="8"/>
  <c r="AU53" i="8"/>
  <c r="AV216" i="8"/>
  <c r="AU33" i="8"/>
  <c r="AV220" i="8"/>
  <c r="AU41" i="8"/>
  <c r="AV227" i="7"/>
  <c r="AU55" i="7"/>
  <c r="AV226" i="7"/>
  <c r="AU53" i="7"/>
  <c r="AV225" i="7"/>
  <c r="AU51" i="7"/>
  <c r="AS222" i="7"/>
  <c r="AR45" i="7"/>
  <c r="AT223" i="7"/>
  <c r="AS47" i="7"/>
  <c r="AO216" i="7"/>
  <c r="AN33" i="7"/>
  <c r="AV231" i="6"/>
  <c r="AU57" i="6"/>
  <c r="AV230" i="6"/>
  <c r="AU55" i="6"/>
  <c r="AV229" i="6"/>
  <c r="AU53" i="6"/>
  <c r="AV228" i="6"/>
  <c r="AU51" i="6"/>
  <c r="AV227" i="6"/>
  <c r="AU49" i="6"/>
  <c r="AT225" i="6"/>
  <c r="AS45" i="6"/>
  <c r="AU230" i="9"/>
  <c r="AT61" i="9"/>
  <c r="AV229" i="9"/>
  <c r="AU59" i="9"/>
  <c r="AR216" i="9"/>
  <c r="AQ33" i="9"/>
  <c r="AU220" i="9"/>
  <c r="AT41" i="9"/>
  <c r="AU218" i="9"/>
  <c r="AT37" i="9"/>
  <c r="AT241" i="1"/>
  <c r="AS69" i="1"/>
  <c r="AV238" i="1"/>
  <c r="AU63" i="1"/>
  <c r="AV234" i="1"/>
  <c r="AU55" i="1"/>
  <c r="AV230" i="1"/>
  <c r="AU47" i="1"/>
  <c r="AT231" i="1"/>
  <c r="AS49" i="1"/>
  <c r="AT229" i="1"/>
  <c r="AS45" i="1"/>
  <c r="AT227" i="1"/>
  <c r="AS41" i="1"/>
  <c r="AT225" i="1"/>
  <c r="AS37" i="1"/>
  <c r="AV226" i="1"/>
  <c r="AU39" i="1"/>
  <c r="AT49" i="7"/>
  <c r="AU224" i="7"/>
  <c r="K75" i="9"/>
  <c r="L237" i="9"/>
  <c r="CC32" i="2"/>
  <c r="K32" i="20"/>
  <c r="U22" i="39"/>
  <c r="J44" i="20"/>
  <c r="BT45" i="2"/>
  <c r="I41" i="38"/>
  <c r="I107" i="38"/>
  <c r="AB43" i="20"/>
  <c r="AC43" i="20"/>
  <c r="T33" i="39"/>
  <c r="I50" i="20"/>
  <c r="BK51" i="2"/>
  <c r="BH114" i="2"/>
  <c r="CI114" i="2"/>
  <c r="CL52" i="2"/>
  <c r="L51" i="20"/>
  <c r="BJ109" i="2"/>
  <c r="CK109" i="2"/>
  <c r="BH113" i="2"/>
  <c r="CI113" i="2"/>
  <c r="CH113" i="2"/>
  <c r="EB147" i="10"/>
  <c r="U99" i="40"/>
  <c r="V326" i="40"/>
  <c r="AA103" i="40"/>
  <c r="AB328" i="40"/>
  <c r="AA109" i="40"/>
  <c r="AB331" i="40"/>
  <c r="W97" i="40"/>
  <c r="X325" i="40"/>
  <c r="AA111" i="40"/>
  <c r="AB332" i="40"/>
  <c r="V105" i="40"/>
  <c r="W329" i="40"/>
  <c r="W107" i="40"/>
  <c r="X330" i="40"/>
  <c r="AA93" i="40"/>
  <c r="AB323" i="40"/>
  <c r="AA101" i="40"/>
  <c r="AB327" i="40"/>
  <c r="AB95" i="40"/>
  <c r="AC324" i="40"/>
  <c r="AB91" i="40"/>
  <c r="AE322" i="40"/>
  <c r="AE320" i="40"/>
  <c r="AD87" i="40"/>
  <c r="AC313" i="40"/>
  <c r="AB73" i="40"/>
  <c r="AE298" i="40"/>
  <c r="AD43" i="40"/>
  <c r="AE316" i="40"/>
  <c r="AD79" i="40"/>
  <c r="AD307" i="40"/>
  <c r="AC61" i="40"/>
  <c r="AE304" i="40"/>
  <c r="AD55" i="40"/>
  <c r="AD297" i="40"/>
  <c r="AC41" i="40"/>
  <c r="AD321" i="40"/>
  <c r="AC89" i="40"/>
  <c r="AE301" i="40"/>
  <c r="AD49" i="40"/>
  <c r="AC311" i="40"/>
  <c r="AB69" i="40"/>
  <c r="AE318" i="40"/>
  <c r="AD83" i="40"/>
  <c r="AE306" i="40"/>
  <c r="AD59" i="40"/>
  <c r="AD302" i="40"/>
  <c r="AC51" i="40"/>
  <c r="AD317" i="40"/>
  <c r="AC81" i="40"/>
  <c r="AE305" i="40"/>
  <c r="AD57" i="40"/>
  <c r="AD319" i="40"/>
  <c r="AC85" i="40"/>
  <c r="AE303" i="40"/>
  <c r="AD53" i="40"/>
  <c r="AE312" i="40"/>
  <c r="AD71" i="40"/>
  <c r="AD310" i="40"/>
  <c r="AC67" i="40"/>
  <c r="AD315" i="40"/>
  <c r="AC77" i="40"/>
  <c r="AE308" i="40"/>
  <c r="AD63" i="40"/>
  <c r="AE300" i="40"/>
  <c r="AD47" i="40"/>
  <c r="AC309" i="40"/>
  <c r="AB65" i="40"/>
  <c r="AE299" i="40"/>
  <c r="AD45" i="40"/>
  <c r="AE314" i="40"/>
  <c r="AD75" i="40"/>
  <c r="AR79" i="8"/>
  <c r="AS239" i="8"/>
  <c r="AJ71" i="22"/>
  <c r="AK235" i="22"/>
  <c r="AI79" i="9"/>
  <c r="AJ239" i="9"/>
  <c r="V233" i="22"/>
  <c r="U67" i="22"/>
  <c r="Q81" i="10"/>
  <c r="R240" i="10"/>
  <c r="AH67" i="10"/>
  <c r="AI233" i="10"/>
  <c r="AO59" i="7"/>
  <c r="AP229" i="7"/>
  <c r="AQ77" i="11"/>
  <c r="AR238" i="11"/>
  <c r="AR238" i="7"/>
  <c r="AQ77" i="7"/>
  <c r="AC237" i="11"/>
  <c r="AB75" i="11"/>
  <c r="AM47" i="11"/>
  <c r="AN223" i="11"/>
  <c r="AS234" i="10"/>
  <c r="AR69" i="10"/>
  <c r="AJ63" i="8"/>
  <c r="AK231" i="8"/>
  <c r="AK79" i="7"/>
  <c r="AL239" i="7"/>
  <c r="EC146" i="10"/>
  <c r="EC145" i="10"/>
  <c r="AH79" i="22"/>
  <c r="AI239" i="22"/>
  <c r="AH65" i="9"/>
  <c r="AI232" i="9"/>
  <c r="AT226" i="6"/>
  <c r="AS47" i="6"/>
  <c r="AE59" i="8"/>
  <c r="AF229" i="8"/>
  <c r="AF63" i="10"/>
  <c r="AG231" i="10"/>
  <c r="AQ77" i="10"/>
  <c r="AR238" i="10"/>
  <c r="EE54" i="10"/>
  <c r="ED144" i="10"/>
  <c r="AT57" i="22"/>
  <c r="AU228" i="22"/>
  <c r="Q67" i="9"/>
  <c r="R233" i="9"/>
  <c r="AN79" i="11"/>
  <c r="AO239" i="11"/>
  <c r="AN230" i="7"/>
  <c r="AM61" i="7"/>
  <c r="Q65" i="10"/>
  <c r="R232" i="10"/>
  <c r="AQ51" i="11"/>
  <c r="AR225" i="11"/>
  <c r="Q229" i="10"/>
  <c r="P59" i="10"/>
  <c r="AC71" i="10"/>
  <c r="AD235" i="10"/>
  <c r="AR63" i="9"/>
  <c r="AS231" i="9"/>
  <c r="AP57" i="11"/>
  <c r="AQ228" i="11"/>
  <c r="AR77" i="22"/>
  <c r="AS238" i="22"/>
  <c r="AR71" i="8"/>
  <c r="AS235" i="8"/>
  <c r="AR61" i="10"/>
  <c r="AS230" i="10"/>
  <c r="AS67" i="7"/>
  <c r="AT233" i="7"/>
  <c r="AH73" i="22"/>
  <c r="AI236" i="22"/>
  <c r="AJ63" i="22"/>
  <c r="AK231" i="22"/>
  <c r="R66" i="2"/>
  <c r="D66" i="20"/>
  <c r="AS47" i="10"/>
  <c r="AT223" i="10"/>
  <c r="AT217" i="10"/>
  <c r="AS35" i="10"/>
  <c r="AT221" i="10"/>
  <c r="AS43" i="10"/>
  <c r="AT53" i="10"/>
  <c r="AU226" i="10"/>
  <c r="AT31" i="10"/>
  <c r="AU215" i="10"/>
  <c r="AS222" i="10"/>
  <c r="AR45" i="10"/>
  <c r="AT220" i="10"/>
  <c r="AS41" i="10"/>
  <c r="AT224" i="10"/>
  <c r="AS49" i="10"/>
  <c r="AT219" i="10"/>
  <c r="AS39" i="10"/>
  <c r="AT216" i="10"/>
  <c r="AS33" i="10"/>
  <c r="AT221" i="22"/>
  <c r="AS43" i="22"/>
  <c r="AS53" i="22"/>
  <c r="AT226" i="22"/>
  <c r="AR47" i="22"/>
  <c r="AS223" i="22"/>
  <c r="AU225" i="22"/>
  <c r="AT51" i="22"/>
  <c r="AT47" i="8"/>
  <c r="AU223" i="8"/>
  <c r="AT225" i="8"/>
  <c r="AS51" i="8"/>
  <c r="R79" i="10"/>
  <c r="S239" i="10"/>
  <c r="T75" i="22"/>
  <c r="U237" i="22"/>
  <c r="Q57" i="10"/>
  <c r="R228" i="10"/>
  <c r="Y77" i="8"/>
  <c r="Z238" i="8"/>
  <c r="O49" i="11"/>
  <c r="P224" i="11"/>
  <c r="P81" i="9"/>
  <c r="Q240" i="9"/>
  <c r="T75" i="8"/>
  <c r="U237" i="8"/>
  <c r="V67" i="8"/>
  <c r="W233" i="8"/>
  <c r="N69" i="7"/>
  <c r="O234" i="7"/>
  <c r="AK73" i="8"/>
  <c r="AL236" i="8"/>
  <c r="W67" i="11"/>
  <c r="X233" i="11"/>
  <c r="AU216" i="22"/>
  <c r="AT33" i="22"/>
  <c r="J73" i="10"/>
  <c r="K236" i="10"/>
  <c r="V69" i="22"/>
  <c r="W234" i="22"/>
  <c r="U75" i="7"/>
  <c r="V237" i="7"/>
  <c r="T81" i="22"/>
  <c r="U240" i="22"/>
  <c r="V71" i="7"/>
  <c r="W235" i="7"/>
  <c r="AA61" i="8"/>
  <c r="AB230" i="8"/>
  <c r="X69" i="8"/>
  <c r="Y234" i="8"/>
  <c r="Q71" i="9"/>
  <c r="R235" i="9"/>
  <c r="K53" i="11"/>
  <c r="L226" i="11"/>
  <c r="R65" i="22"/>
  <c r="S232" i="22"/>
  <c r="D65" i="7"/>
  <c r="E232" i="7"/>
  <c r="S69" i="9"/>
  <c r="T234" i="9"/>
  <c r="AP73" i="9"/>
  <c r="AQ236" i="9"/>
  <c r="W61" i="22"/>
  <c r="X230" i="22"/>
  <c r="G31" i="22"/>
  <c r="H215" i="22"/>
  <c r="AP77" i="9"/>
  <c r="AQ238" i="9"/>
  <c r="W81" i="11"/>
  <c r="X240" i="11"/>
  <c r="T75" i="10"/>
  <c r="U237" i="10"/>
  <c r="R81" i="7"/>
  <c r="S240" i="7"/>
  <c r="Y73" i="11"/>
  <c r="Z236" i="11"/>
  <c r="I38" i="2"/>
  <c r="C38" i="20"/>
  <c r="N36" i="20"/>
  <c r="O36" i="20"/>
  <c r="M26" i="39"/>
  <c r="B34" i="38"/>
  <c r="B100" i="38"/>
  <c r="AS221" i="8"/>
  <c r="AR43" i="8"/>
  <c r="AP217" i="8"/>
  <c r="AO35" i="8"/>
  <c r="AT222" i="8"/>
  <c r="AS45" i="8"/>
  <c r="AI63" i="7"/>
  <c r="AJ231" i="7"/>
  <c r="AS33" i="11"/>
  <c r="AT216" i="11"/>
  <c r="AU226" i="9"/>
  <c r="AT53" i="9"/>
  <c r="AS31" i="9"/>
  <c r="AT215" i="9"/>
  <c r="AR31" i="1"/>
  <c r="AS222" i="1"/>
  <c r="AT35" i="1"/>
  <c r="AU224" i="1"/>
  <c r="AS53" i="1"/>
  <c r="AT233" i="1"/>
  <c r="AU236" i="1"/>
  <c r="AT59" i="1"/>
  <c r="AU239" i="1"/>
  <c r="AT65" i="1"/>
  <c r="AS223" i="1"/>
  <c r="AR33" i="1"/>
  <c r="AS51" i="1"/>
  <c r="AT232" i="1"/>
  <c r="AJ57" i="2"/>
  <c r="F57" i="20"/>
  <c r="Y41" i="38"/>
  <c r="AH74" i="38"/>
  <c r="G107" i="38"/>
  <c r="BB46" i="2"/>
  <c r="H46" i="20"/>
  <c r="R34" i="39"/>
  <c r="H34" i="39"/>
  <c r="G42" i="38"/>
  <c r="X44" i="20"/>
  <c r="Y44" i="20"/>
  <c r="AS222" i="22"/>
  <c r="AR45" i="22"/>
  <c r="AT217" i="6"/>
  <c r="AT223" i="6"/>
  <c r="AS41" i="6"/>
  <c r="AS224" i="6"/>
  <c r="AR43" i="6"/>
  <c r="AT220" i="6"/>
  <c r="AS35" i="6"/>
  <c r="AS218" i="6"/>
  <c r="AR31" i="6"/>
  <c r="AT215" i="6"/>
  <c r="AS25" i="6"/>
  <c r="AT221" i="6"/>
  <c r="AS37" i="6"/>
  <c r="AT214" i="6"/>
  <c r="AS23" i="6"/>
  <c r="AT219" i="6"/>
  <c r="AS33" i="6"/>
  <c r="AT216" i="6"/>
  <c r="AS27" i="6"/>
  <c r="AT43" i="1"/>
  <c r="AU228" i="1"/>
  <c r="AP81" i="1"/>
  <c r="AQ247" i="1"/>
  <c r="AO83" i="1"/>
  <c r="AP248" i="1"/>
  <c r="AR37" i="8"/>
  <c r="AS218" i="8"/>
  <c r="AP219" i="8"/>
  <c r="AO39" i="8"/>
  <c r="AQ222" i="11"/>
  <c r="AP45" i="11"/>
  <c r="AA57" i="2"/>
  <c r="E57" i="20"/>
  <c r="AS219" i="22"/>
  <c r="AR39" i="22"/>
  <c r="AT224" i="22"/>
  <c r="AS49" i="22"/>
  <c r="AT217" i="22"/>
  <c r="AS35" i="22"/>
  <c r="AS215" i="7"/>
  <c r="AR31" i="7"/>
  <c r="AS219" i="7"/>
  <c r="AR39" i="7"/>
  <c r="AT221" i="7"/>
  <c r="AS43" i="7"/>
  <c r="AS218" i="7"/>
  <c r="AR37" i="7"/>
  <c r="AS35" i="7"/>
  <c r="AT217" i="7"/>
  <c r="AQ220" i="7"/>
  <c r="AP41" i="7"/>
  <c r="AP39" i="6"/>
  <c r="AQ222" i="6"/>
  <c r="AT47" i="9"/>
  <c r="AU223" i="9"/>
  <c r="AU43" i="9"/>
  <c r="AV221" i="9"/>
  <c r="AS35" i="9"/>
  <c r="AT217" i="9"/>
  <c r="AQ219" i="9"/>
  <c r="AP39" i="9"/>
  <c r="AO55" i="9"/>
  <c r="AP227" i="9"/>
  <c r="AR51" i="9"/>
  <c r="AS225" i="9"/>
  <c r="AS45" i="9"/>
  <c r="AT222" i="9"/>
  <c r="AT224" i="9"/>
  <c r="AS49" i="9"/>
  <c r="AQ57" i="9"/>
  <c r="AR228" i="9"/>
  <c r="AT244" i="1"/>
  <c r="AS75" i="1"/>
  <c r="AS237" i="1"/>
  <c r="AR61" i="1"/>
  <c r="AT242" i="1"/>
  <c r="AS71" i="1"/>
  <c r="AU246" i="1"/>
  <c r="AT79" i="1"/>
  <c r="AS240" i="1"/>
  <c r="AR67" i="1"/>
  <c r="AR245" i="1"/>
  <c r="AQ77" i="1"/>
  <c r="AR243" i="1"/>
  <c r="AQ73" i="1"/>
  <c r="AN235" i="1"/>
  <c r="AM57" i="1"/>
  <c r="AO221" i="11"/>
  <c r="AN43" i="11"/>
  <c r="AS48" i="2"/>
  <c r="G48" i="20"/>
  <c r="AT219" i="11"/>
  <c r="AS39" i="11"/>
  <c r="AS218" i="11"/>
  <c r="AR37" i="11"/>
  <c r="AQ215" i="11"/>
  <c r="AQ220" i="11"/>
  <c r="AP41" i="11"/>
  <c r="AT225" i="10"/>
  <c r="AS51" i="10"/>
  <c r="AT218" i="10"/>
  <c r="AS37" i="10"/>
  <c r="AU229" i="22"/>
  <c r="AT59" i="22"/>
  <c r="AT227" i="22"/>
  <c r="AS55" i="22"/>
  <c r="AT220" i="22"/>
  <c r="AS41" i="22"/>
  <c r="AT218" i="22"/>
  <c r="AR228" i="8"/>
  <c r="AQ57" i="8"/>
  <c r="AT227" i="8"/>
  <c r="AS55" i="8"/>
  <c r="AU220" i="8"/>
  <c r="AT41" i="8"/>
  <c r="AU226" i="8"/>
  <c r="AT53" i="8"/>
  <c r="AU224" i="8"/>
  <c r="AT49" i="8"/>
  <c r="AU216" i="8"/>
  <c r="AT33" i="8"/>
  <c r="AV215" i="8"/>
  <c r="AU31" i="8"/>
  <c r="AU227" i="7"/>
  <c r="AT55" i="7"/>
  <c r="AU226" i="7"/>
  <c r="AT53" i="7"/>
  <c r="AU225" i="7"/>
  <c r="AT51" i="7"/>
  <c r="AN216" i="7"/>
  <c r="AM33" i="7"/>
  <c r="AS223" i="7"/>
  <c r="AR47" i="7"/>
  <c r="AR222" i="7"/>
  <c r="AQ45" i="7"/>
  <c r="AU231" i="6"/>
  <c r="AT57" i="6"/>
  <c r="AU230" i="6"/>
  <c r="AT55" i="6"/>
  <c r="AU229" i="6"/>
  <c r="AT53" i="6"/>
  <c r="AU228" i="6"/>
  <c r="AT51" i="6"/>
  <c r="AU227" i="6"/>
  <c r="AT49" i="6"/>
  <c r="AS225" i="6"/>
  <c r="AR45" i="6"/>
  <c r="AT230" i="9"/>
  <c r="AS61" i="9"/>
  <c r="AU229" i="9"/>
  <c r="AT59" i="9"/>
  <c r="AT218" i="9"/>
  <c r="AS37" i="9"/>
  <c r="AT220" i="9"/>
  <c r="AS41" i="9"/>
  <c r="AQ216" i="9"/>
  <c r="AP33" i="9"/>
  <c r="AS241" i="1"/>
  <c r="AR69" i="1"/>
  <c r="AU238" i="1"/>
  <c r="AT63" i="1"/>
  <c r="AU234" i="1"/>
  <c r="AT55" i="1"/>
  <c r="AS231" i="1"/>
  <c r="AR49" i="1"/>
  <c r="AU230" i="1"/>
  <c r="AT47" i="1"/>
  <c r="AS229" i="1"/>
  <c r="AR45" i="1"/>
  <c r="AU226" i="1"/>
  <c r="AT39" i="1"/>
  <c r="AS225" i="1"/>
  <c r="AR37" i="1"/>
  <c r="AS227" i="1"/>
  <c r="AR41" i="1"/>
  <c r="AS49" i="7"/>
  <c r="AT224" i="7"/>
  <c r="J75" i="9"/>
  <c r="K237" i="9"/>
  <c r="CC33" i="2"/>
  <c r="K33" i="20"/>
  <c r="U23" i="39"/>
  <c r="J45" i="20"/>
  <c r="BT46" i="2"/>
  <c r="I42" i="38"/>
  <c r="I108" i="38"/>
  <c r="I109" i="38"/>
  <c r="T34" i="39"/>
  <c r="J34" i="39"/>
  <c r="AB44" i="20"/>
  <c r="AC44" i="20"/>
  <c r="I51" i="20"/>
  <c r="BK52" i="2"/>
  <c r="CL53" i="2"/>
  <c r="L52" i="20"/>
  <c r="BJ110" i="2"/>
  <c r="CK110" i="2"/>
  <c r="EC147" i="10"/>
  <c r="AA95" i="40"/>
  <c r="AB324" i="40"/>
  <c r="Z93" i="40"/>
  <c r="AA323" i="40"/>
  <c r="U105" i="40"/>
  <c r="V329" i="40"/>
  <c r="V97" i="40"/>
  <c r="W325" i="40"/>
  <c r="Z103" i="40"/>
  <c r="AA328" i="40"/>
  <c r="Z101" i="40"/>
  <c r="AA327" i="40"/>
  <c r="V107" i="40"/>
  <c r="W330" i="40"/>
  <c r="Z111" i="40"/>
  <c r="AA332" i="40"/>
  <c r="Z109" i="40"/>
  <c r="AA331" i="40"/>
  <c r="T99" i="40"/>
  <c r="U326" i="40"/>
  <c r="AA91" i="40"/>
  <c r="AC307" i="40"/>
  <c r="AB61" i="40"/>
  <c r="AB309" i="40"/>
  <c r="AA65" i="40"/>
  <c r="AC310" i="40"/>
  <c r="AB67" i="40"/>
  <c r="AD305" i="40"/>
  <c r="AC57" i="40"/>
  <c r="AD318" i="40"/>
  <c r="AC83" i="40"/>
  <c r="AC297" i="40"/>
  <c r="AB41" i="40"/>
  <c r="AD298" i="40"/>
  <c r="AC43" i="40"/>
  <c r="AD299" i="40"/>
  <c r="AC45" i="40"/>
  <c r="AD300" i="40"/>
  <c r="AC47" i="40"/>
  <c r="AC315" i="40"/>
  <c r="AB77" i="40"/>
  <c r="AD312" i="40"/>
  <c r="AC71" i="40"/>
  <c r="AC319" i="40"/>
  <c r="AB85" i="40"/>
  <c r="AC317" i="40"/>
  <c r="AB81" i="40"/>
  <c r="AD306" i="40"/>
  <c r="AC59" i="40"/>
  <c r="AB311" i="40"/>
  <c r="AA69" i="40"/>
  <c r="AC321" i="40"/>
  <c r="AB89" i="40"/>
  <c r="AD304" i="40"/>
  <c r="AC55" i="40"/>
  <c r="AD316" i="40"/>
  <c r="AC79" i="40"/>
  <c r="AB313" i="40"/>
  <c r="AA73" i="40"/>
  <c r="AD322" i="40"/>
  <c r="AD314" i="40"/>
  <c r="AC75" i="40"/>
  <c r="AD308" i="40"/>
  <c r="AC63" i="40"/>
  <c r="AD303" i="40"/>
  <c r="AC53" i="40"/>
  <c r="AC302" i="40"/>
  <c r="AB51" i="40"/>
  <c r="AD301" i="40"/>
  <c r="AC49" i="40"/>
  <c r="AD320" i="40"/>
  <c r="AC87" i="40"/>
  <c r="AQ61" i="10"/>
  <c r="AR230" i="10"/>
  <c r="AS57" i="22"/>
  <c r="AT228" i="22"/>
  <c r="P229" i="10"/>
  <c r="O59" i="10"/>
  <c r="AQ69" i="10"/>
  <c r="AR234" i="10"/>
  <c r="AA75" i="11"/>
  <c r="AB237" i="11"/>
  <c r="T67" i="22"/>
  <c r="U233" i="22"/>
  <c r="AG73" i="22"/>
  <c r="AH236" i="22"/>
  <c r="AQ63" i="9"/>
  <c r="AR231" i="9"/>
  <c r="AN239" i="11"/>
  <c r="AM79" i="11"/>
  <c r="AP77" i="10"/>
  <c r="AQ238" i="10"/>
  <c r="AG65" i="9"/>
  <c r="AH232" i="9"/>
  <c r="AH239" i="22"/>
  <c r="AG79" i="22"/>
  <c r="AJ79" i="7"/>
  <c r="AK239" i="7"/>
  <c r="AP77" i="11"/>
  <c r="AQ238" i="11"/>
  <c r="AI71" i="22"/>
  <c r="AJ235" i="22"/>
  <c r="AL61" i="7"/>
  <c r="AM230" i="7"/>
  <c r="ED146" i="10"/>
  <c r="ED145" i="10"/>
  <c r="AS226" i="6"/>
  <c r="AR47" i="6"/>
  <c r="AP77" i="7"/>
  <c r="AQ238" i="7"/>
  <c r="AQ77" i="22"/>
  <c r="AR238" i="22"/>
  <c r="Q232" i="10"/>
  <c r="P65" i="10"/>
  <c r="AD59" i="8"/>
  <c r="AE229" i="8"/>
  <c r="AH233" i="10"/>
  <c r="AG67" i="10"/>
  <c r="AJ231" i="22"/>
  <c r="AI63" i="22"/>
  <c r="AS233" i="7"/>
  <c r="AR67" i="7"/>
  <c r="AQ71" i="8"/>
  <c r="AR235" i="8"/>
  <c r="AO57" i="11"/>
  <c r="AP228" i="11"/>
  <c r="AB71" i="10"/>
  <c r="AC235" i="10"/>
  <c r="AP51" i="11"/>
  <c r="AQ225" i="11"/>
  <c r="Q233" i="9"/>
  <c r="P67" i="9"/>
  <c r="EF54" i="10"/>
  <c r="EE144" i="10"/>
  <c r="AE63" i="10"/>
  <c r="AF231" i="10"/>
  <c r="AI63" i="8"/>
  <c r="AJ231" i="8"/>
  <c r="AL47" i="11"/>
  <c r="AM223" i="11"/>
  <c r="AN59" i="7"/>
  <c r="AO229" i="7"/>
  <c r="P81" i="10"/>
  <c r="Q240" i="10"/>
  <c r="AH79" i="9"/>
  <c r="AI239" i="9"/>
  <c r="AQ79" i="8"/>
  <c r="AR239" i="8"/>
  <c r="R67" i="2"/>
  <c r="D67" i="20"/>
  <c r="AS216" i="10"/>
  <c r="AR33" i="10"/>
  <c r="AR49" i="10"/>
  <c r="AS224" i="10"/>
  <c r="AQ45" i="10"/>
  <c r="AR222" i="10"/>
  <c r="AR35" i="10"/>
  <c r="AS217" i="10"/>
  <c r="AS53" i="10"/>
  <c r="AT226" i="10"/>
  <c r="AS219" i="10"/>
  <c r="AR39" i="10"/>
  <c r="AR41" i="10"/>
  <c r="AS220" i="10"/>
  <c r="AS221" i="10"/>
  <c r="AR43" i="10"/>
  <c r="AS31" i="10"/>
  <c r="AT215" i="10"/>
  <c r="AS223" i="10"/>
  <c r="AR47" i="10"/>
  <c r="AT225" i="22"/>
  <c r="AS51" i="22"/>
  <c r="AR53" i="22"/>
  <c r="AS226" i="22"/>
  <c r="AR43" i="22"/>
  <c r="AS221" i="22"/>
  <c r="AR223" i="22"/>
  <c r="AQ47" i="22"/>
  <c r="AS225" i="8"/>
  <c r="AR51" i="8"/>
  <c r="AS47" i="8"/>
  <c r="AT223" i="8"/>
  <c r="U71" i="7"/>
  <c r="V235" i="7"/>
  <c r="S81" i="22"/>
  <c r="T240" i="22"/>
  <c r="I73" i="10"/>
  <c r="J236" i="10"/>
  <c r="AJ73" i="8"/>
  <c r="AK236" i="8"/>
  <c r="U67" i="8"/>
  <c r="V233" i="8"/>
  <c r="O81" i="9"/>
  <c r="P240" i="9"/>
  <c r="X73" i="11"/>
  <c r="Y236" i="11"/>
  <c r="S75" i="10"/>
  <c r="T237" i="10"/>
  <c r="V81" i="11"/>
  <c r="W240" i="11"/>
  <c r="AO77" i="9"/>
  <c r="AP238" i="9"/>
  <c r="V61" i="22"/>
  <c r="W230" i="22"/>
  <c r="AO73" i="9"/>
  <c r="AP236" i="9"/>
  <c r="C65" i="7"/>
  <c r="C232" i="7"/>
  <c r="D232" i="7"/>
  <c r="J53" i="11"/>
  <c r="K226" i="11"/>
  <c r="W69" i="8"/>
  <c r="X234" i="8"/>
  <c r="AT216" i="22"/>
  <c r="AS33" i="22"/>
  <c r="X77" i="8"/>
  <c r="Y238" i="8"/>
  <c r="P57" i="10"/>
  <c r="Q228" i="10"/>
  <c r="T75" i="7"/>
  <c r="U237" i="7"/>
  <c r="U69" i="22"/>
  <c r="V234" i="22"/>
  <c r="V67" i="11"/>
  <c r="W233" i="11"/>
  <c r="M69" i="7"/>
  <c r="N234" i="7"/>
  <c r="S75" i="8"/>
  <c r="T237" i="8"/>
  <c r="N49" i="11"/>
  <c r="O224" i="11"/>
  <c r="Q81" i="7"/>
  <c r="R240" i="7"/>
  <c r="F31" i="22"/>
  <c r="G215" i="22"/>
  <c r="R69" i="9"/>
  <c r="S234" i="9"/>
  <c r="Q65" i="22"/>
  <c r="R232" i="22"/>
  <c r="P71" i="9"/>
  <c r="Q235" i="9"/>
  <c r="Z61" i="8"/>
  <c r="AA230" i="8"/>
  <c r="S75" i="22"/>
  <c r="T237" i="22"/>
  <c r="Q79" i="10"/>
  <c r="R239" i="10"/>
  <c r="I39" i="2"/>
  <c r="C39" i="20"/>
  <c r="B35" i="38"/>
  <c r="B101" i="38"/>
  <c r="N37" i="20"/>
  <c r="O37" i="20"/>
  <c r="M27" i="39"/>
  <c r="AR45" i="8"/>
  <c r="AS222" i="8"/>
  <c r="AO217" i="8"/>
  <c r="AN35" i="8"/>
  <c r="AR221" i="8"/>
  <c r="AQ43" i="8"/>
  <c r="AR33" i="11"/>
  <c r="AS216" i="11"/>
  <c r="AH63" i="7"/>
  <c r="AI231" i="7"/>
  <c r="AT226" i="9"/>
  <c r="AS53" i="9"/>
  <c r="AR31" i="9"/>
  <c r="AS215" i="9"/>
  <c r="AQ31" i="1"/>
  <c r="AR222" i="1"/>
  <c r="AR53" i="1"/>
  <c r="AS233" i="1"/>
  <c r="AT224" i="1"/>
  <c r="AS35" i="1"/>
  <c r="AQ33" i="1"/>
  <c r="AR223" i="1"/>
  <c r="AS65" i="1"/>
  <c r="AT239" i="1"/>
  <c r="AT236" i="1"/>
  <c r="AS59" i="1"/>
  <c r="AR51" i="1"/>
  <c r="AS232" i="1"/>
  <c r="AJ58" i="2"/>
  <c r="F58" i="20"/>
  <c r="BB47" i="2"/>
  <c r="H47" i="20"/>
  <c r="Y42" i="38"/>
  <c r="AH75" i="38"/>
  <c r="G108" i="38"/>
  <c r="G109" i="38"/>
  <c r="AR222" i="22"/>
  <c r="AQ45" i="22"/>
  <c r="AS216" i="6"/>
  <c r="AR27" i="6"/>
  <c r="AS219" i="6"/>
  <c r="AR33" i="6"/>
  <c r="AS214" i="6"/>
  <c r="AR23" i="6"/>
  <c r="AR37" i="6"/>
  <c r="AS221" i="6"/>
  <c r="AS215" i="6"/>
  <c r="AR25" i="6"/>
  <c r="AQ31" i="6"/>
  <c r="AR218" i="6"/>
  <c r="AS220" i="6"/>
  <c r="AR35" i="6"/>
  <c r="AR224" i="6"/>
  <c r="AQ43" i="6"/>
  <c r="AR41" i="6"/>
  <c r="AS223" i="6"/>
  <c r="AS217" i="6"/>
  <c r="AN83" i="1"/>
  <c r="AO248" i="1"/>
  <c r="AP247" i="1"/>
  <c r="AO81" i="1"/>
  <c r="AT228" i="1"/>
  <c r="AS43" i="1"/>
  <c r="AO219" i="8"/>
  <c r="AN39" i="8"/>
  <c r="AQ37" i="8"/>
  <c r="AR218" i="8"/>
  <c r="AO45" i="11"/>
  <c r="AP222" i="11"/>
  <c r="AA58" i="2"/>
  <c r="E58" i="20"/>
  <c r="AS224" i="22"/>
  <c r="AR49" i="22"/>
  <c r="AR35" i="22"/>
  <c r="AS217" i="22"/>
  <c r="AR219" i="22"/>
  <c r="AQ39" i="22"/>
  <c r="AS221" i="7"/>
  <c r="AR43" i="7"/>
  <c r="AR219" i="7"/>
  <c r="AQ39" i="7"/>
  <c r="AS217" i="7"/>
  <c r="AR35" i="7"/>
  <c r="AP220" i="7"/>
  <c r="AO41" i="7"/>
  <c r="AQ37" i="7"/>
  <c r="AR218" i="7"/>
  <c r="AQ31" i="7"/>
  <c r="AR215" i="7"/>
  <c r="AP222" i="6"/>
  <c r="AO39" i="6"/>
  <c r="AO39" i="9"/>
  <c r="AP219" i="9"/>
  <c r="AT43" i="9"/>
  <c r="AU221" i="9"/>
  <c r="AO227" i="9"/>
  <c r="AN55" i="9"/>
  <c r="AR35" i="9"/>
  <c r="AS217" i="9"/>
  <c r="AT223" i="9"/>
  <c r="AS47" i="9"/>
  <c r="AR225" i="9"/>
  <c r="AQ51" i="9"/>
  <c r="AS224" i="9"/>
  <c r="AR49" i="9"/>
  <c r="AP57" i="9"/>
  <c r="AQ228" i="9"/>
  <c r="AS222" i="9"/>
  <c r="AR45" i="9"/>
  <c r="AM235" i="1"/>
  <c r="AL57" i="1"/>
  <c r="AQ245" i="1"/>
  <c r="AP77" i="1"/>
  <c r="AT246" i="1"/>
  <c r="AS79" i="1"/>
  <c r="AQ61" i="1"/>
  <c r="AR237" i="1"/>
  <c r="AS244" i="1"/>
  <c r="AR75" i="1"/>
  <c r="AQ243" i="1"/>
  <c r="AP73" i="1"/>
  <c r="AR240" i="1"/>
  <c r="AQ67" i="1"/>
  <c r="AS242" i="1"/>
  <c r="AR71" i="1"/>
  <c r="AN221" i="11"/>
  <c r="AM43" i="11"/>
  <c r="AS49" i="2"/>
  <c r="G49" i="20"/>
  <c r="AP215" i="11"/>
  <c r="AS219" i="11"/>
  <c r="AR39" i="11"/>
  <c r="AP220" i="11"/>
  <c r="AO41" i="11"/>
  <c r="AR218" i="11"/>
  <c r="AQ37" i="11"/>
  <c r="AS225" i="10"/>
  <c r="AR51" i="10"/>
  <c r="AS218" i="10"/>
  <c r="AR37" i="10"/>
  <c r="AT229" i="22"/>
  <c r="AS59" i="22"/>
  <c r="AS218" i="22"/>
  <c r="AS220" i="22"/>
  <c r="AR41" i="22"/>
  <c r="AS227" i="22"/>
  <c r="AR55" i="22"/>
  <c r="AQ228" i="8"/>
  <c r="AP57" i="8"/>
  <c r="AS227" i="8"/>
  <c r="AR55" i="8"/>
  <c r="AT216" i="8"/>
  <c r="AS33" i="8"/>
  <c r="AT226" i="8"/>
  <c r="AS53" i="8"/>
  <c r="AU215" i="8"/>
  <c r="AT31" i="8"/>
  <c r="AT224" i="8"/>
  <c r="AS49" i="8"/>
  <c r="AT220" i="8"/>
  <c r="AS41" i="8"/>
  <c r="AT227" i="7"/>
  <c r="AS55" i="7"/>
  <c r="AT226" i="7"/>
  <c r="AS53" i="7"/>
  <c r="AT225" i="7"/>
  <c r="AS51" i="7"/>
  <c r="AQ222" i="7"/>
  <c r="AP45" i="7"/>
  <c r="AM216" i="7"/>
  <c r="AL33" i="7"/>
  <c r="AR223" i="7"/>
  <c r="AQ47" i="7"/>
  <c r="AT231" i="6"/>
  <c r="AS57" i="6"/>
  <c r="AT230" i="6"/>
  <c r="AS55" i="6"/>
  <c r="AT229" i="6"/>
  <c r="AS53" i="6"/>
  <c r="AT228" i="6"/>
  <c r="AS51" i="6"/>
  <c r="AT227" i="6"/>
  <c r="AS49" i="6"/>
  <c r="AR225" i="6"/>
  <c r="AQ45" i="6"/>
  <c r="AS230" i="9"/>
  <c r="AR61" i="9"/>
  <c r="AT229" i="9"/>
  <c r="AS59" i="9"/>
  <c r="AS220" i="9"/>
  <c r="AR41" i="9"/>
  <c r="AS218" i="9"/>
  <c r="AR37" i="9"/>
  <c r="AP216" i="9"/>
  <c r="AO33" i="9"/>
  <c r="AR241" i="1"/>
  <c r="AQ69" i="1"/>
  <c r="AT238" i="1"/>
  <c r="AS63" i="1"/>
  <c r="AR231" i="1"/>
  <c r="AQ49" i="1"/>
  <c r="AT234" i="1"/>
  <c r="AS55" i="1"/>
  <c r="AT230" i="1"/>
  <c r="AS47" i="1"/>
  <c r="AR229" i="1"/>
  <c r="AQ45" i="1"/>
  <c r="AR225" i="1"/>
  <c r="AQ37" i="1"/>
  <c r="AR227" i="1"/>
  <c r="AQ41" i="1"/>
  <c r="AT226" i="1"/>
  <c r="AS39" i="1"/>
  <c r="AR49" i="7"/>
  <c r="AS224" i="7"/>
  <c r="I75" i="9"/>
  <c r="J237" i="9"/>
  <c r="CC34" i="2"/>
  <c r="K34" i="20"/>
  <c r="U24" i="39"/>
  <c r="J46" i="20"/>
  <c r="BT47" i="2"/>
  <c r="I52" i="20"/>
  <c r="BK53" i="2"/>
  <c r="CL54" i="2"/>
  <c r="L53" i="20"/>
  <c r="BJ111" i="2"/>
  <c r="CK111" i="2"/>
  <c r="ED147" i="10"/>
  <c r="S99" i="40"/>
  <c r="T326" i="40"/>
  <c r="Y111" i="40"/>
  <c r="Z332" i="40"/>
  <c r="Y101" i="40"/>
  <c r="Z327" i="40"/>
  <c r="U97" i="40"/>
  <c r="V325" i="40"/>
  <c r="Y93" i="40"/>
  <c r="Z323" i="40"/>
  <c r="Y109" i="40"/>
  <c r="Z331" i="40"/>
  <c r="U107" i="40"/>
  <c r="V330" i="40"/>
  <c r="Y103" i="40"/>
  <c r="Z328" i="40"/>
  <c r="T105" i="40"/>
  <c r="U329" i="40"/>
  <c r="Z95" i="40"/>
  <c r="AA324" i="40"/>
  <c r="Z91" i="40"/>
  <c r="AB302" i="40"/>
  <c r="AA51" i="40"/>
  <c r="AC322" i="40"/>
  <c r="AC306" i="40"/>
  <c r="AB59" i="40"/>
  <c r="AB315" i="40"/>
  <c r="AA77" i="40"/>
  <c r="AC305" i="40"/>
  <c r="AB57" i="40"/>
  <c r="AC320" i="40"/>
  <c r="AB87" i="40"/>
  <c r="AC308" i="40"/>
  <c r="AB63" i="40"/>
  <c r="AB321" i="40"/>
  <c r="AA89" i="40"/>
  <c r="AB319" i="40"/>
  <c r="AA85" i="40"/>
  <c r="AC299" i="40"/>
  <c r="AB45" i="40"/>
  <c r="AB297" i="40"/>
  <c r="AA41" i="40"/>
  <c r="AC301" i="40"/>
  <c r="AB49" i="40"/>
  <c r="AC303" i="40"/>
  <c r="AB53" i="40"/>
  <c r="AC314" i="40"/>
  <c r="AB75" i="40"/>
  <c r="AA313" i="40"/>
  <c r="Z73" i="40"/>
  <c r="AC304" i="40"/>
  <c r="AB55" i="40"/>
  <c r="AA311" i="40"/>
  <c r="Z69" i="40"/>
  <c r="AB317" i="40"/>
  <c r="AA81" i="40"/>
  <c r="AC312" i="40"/>
  <c r="AB71" i="40"/>
  <c r="AC300" i="40"/>
  <c r="AB47" i="40"/>
  <c r="AC298" i="40"/>
  <c r="AB43" i="40"/>
  <c r="AC318" i="40"/>
  <c r="AB83" i="40"/>
  <c r="AB310" i="40"/>
  <c r="AA67" i="40"/>
  <c r="AB307" i="40"/>
  <c r="AA61" i="40"/>
  <c r="AC316" i="40"/>
  <c r="AB79" i="40"/>
  <c r="AA309" i="40"/>
  <c r="Z65" i="40"/>
  <c r="AM59" i="7"/>
  <c r="AN229" i="7"/>
  <c r="AC59" i="8"/>
  <c r="AD229" i="8"/>
  <c r="AP69" i="10"/>
  <c r="AQ234" i="10"/>
  <c r="O67" i="9"/>
  <c r="P233" i="9"/>
  <c r="AH63" i="22"/>
  <c r="AI231" i="22"/>
  <c r="AR226" i="6"/>
  <c r="AQ47" i="6"/>
  <c r="AG239" i="22"/>
  <c r="AF79" i="22"/>
  <c r="AG79" i="9"/>
  <c r="AH239" i="9"/>
  <c r="AD63" i="10"/>
  <c r="AE231" i="10"/>
  <c r="AQ235" i="8"/>
  <c r="AP71" i="8"/>
  <c r="AP77" i="22"/>
  <c r="AQ238" i="22"/>
  <c r="AO77" i="11"/>
  <c r="AP238" i="11"/>
  <c r="AO77" i="10"/>
  <c r="AP238" i="10"/>
  <c r="AP63" i="9"/>
  <c r="AQ231" i="9"/>
  <c r="AR57" i="22"/>
  <c r="AS228" i="22"/>
  <c r="EE145" i="10"/>
  <c r="EE146" i="10"/>
  <c r="AQ67" i="7"/>
  <c r="AR233" i="7"/>
  <c r="AF67" i="10"/>
  <c r="AG233" i="10"/>
  <c r="O65" i="10"/>
  <c r="P232" i="10"/>
  <c r="AL79" i="11"/>
  <c r="AM239" i="11"/>
  <c r="O229" i="10"/>
  <c r="N59" i="10"/>
  <c r="AH63" i="8"/>
  <c r="AI231" i="8"/>
  <c r="AA71" i="10"/>
  <c r="AB235" i="10"/>
  <c r="AK61" i="7"/>
  <c r="AL230" i="7"/>
  <c r="S67" i="22"/>
  <c r="T233" i="22"/>
  <c r="AP79" i="8"/>
  <c r="AQ239" i="8"/>
  <c r="O81" i="10"/>
  <c r="P240" i="10"/>
  <c r="AL223" i="11"/>
  <c r="AK47" i="11"/>
  <c r="EG54" i="10"/>
  <c r="EF144" i="10"/>
  <c r="AO51" i="11"/>
  <c r="AP225" i="11"/>
  <c r="AN57" i="11"/>
  <c r="AO228" i="11"/>
  <c r="AO77" i="7"/>
  <c r="AP238" i="7"/>
  <c r="AH71" i="22"/>
  <c r="AI235" i="22"/>
  <c r="AI79" i="7"/>
  <c r="AJ239" i="7"/>
  <c r="AG232" i="9"/>
  <c r="AF65" i="9"/>
  <c r="AF73" i="22"/>
  <c r="AG236" i="22"/>
  <c r="Z75" i="11"/>
  <c r="AA237" i="11"/>
  <c r="AP61" i="10"/>
  <c r="AQ230" i="10"/>
  <c r="R68" i="2"/>
  <c r="D68" i="20"/>
  <c r="AR223" i="10"/>
  <c r="AQ47" i="10"/>
  <c r="AR221" i="10"/>
  <c r="AQ43" i="10"/>
  <c r="AR219" i="10"/>
  <c r="AQ39" i="10"/>
  <c r="AR217" i="10"/>
  <c r="AQ35" i="10"/>
  <c r="AQ49" i="10"/>
  <c r="AR224" i="10"/>
  <c r="AR216" i="10"/>
  <c r="AQ33" i="10"/>
  <c r="AR31" i="10"/>
  <c r="AS215" i="10"/>
  <c r="AQ41" i="10"/>
  <c r="AR220" i="10"/>
  <c r="AS226" i="10"/>
  <c r="AR53" i="10"/>
  <c r="AQ222" i="10"/>
  <c r="AP45" i="10"/>
  <c r="AR226" i="22"/>
  <c r="AQ53" i="22"/>
  <c r="AP47" i="22"/>
  <c r="AQ223" i="22"/>
  <c r="AR51" i="22"/>
  <c r="AS225" i="22"/>
  <c r="AQ43" i="22"/>
  <c r="AR221" i="22"/>
  <c r="AR47" i="8"/>
  <c r="AS223" i="8"/>
  <c r="AR225" i="8"/>
  <c r="AQ51" i="8"/>
  <c r="W77" i="8"/>
  <c r="X238" i="8"/>
  <c r="R75" i="22"/>
  <c r="S237" i="22"/>
  <c r="Y61" i="8"/>
  <c r="Z230" i="8"/>
  <c r="P65" i="22"/>
  <c r="Q232" i="22"/>
  <c r="Q69" i="9"/>
  <c r="R234" i="9"/>
  <c r="E31" i="22"/>
  <c r="F215" i="22"/>
  <c r="P81" i="7"/>
  <c r="Q240" i="7"/>
  <c r="R75" i="8"/>
  <c r="S237" i="8"/>
  <c r="L69" i="7"/>
  <c r="M234" i="7"/>
  <c r="S75" i="7"/>
  <c r="T237" i="7"/>
  <c r="AS216" i="22"/>
  <c r="AR33" i="22"/>
  <c r="I53" i="11"/>
  <c r="J226" i="11"/>
  <c r="U61" i="22"/>
  <c r="V230" i="22"/>
  <c r="U81" i="11"/>
  <c r="V240" i="11"/>
  <c r="W73" i="11"/>
  <c r="X236" i="11"/>
  <c r="N81" i="9"/>
  <c r="O240" i="9"/>
  <c r="T67" i="8"/>
  <c r="U233" i="8"/>
  <c r="H73" i="10"/>
  <c r="I236" i="10"/>
  <c r="R81" i="22"/>
  <c r="S240" i="22"/>
  <c r="O57" i="10"/>
  <c r="P228" i="10"/>
  <c r="P79" i="10"/>
  <c r="Q239" i="10"/>
  <c r="O71" i="9"/>
  <c r="P235" i="9"/>
  <c r="M49" i="11"/>
  <c r="N224" i="11"/>
  <c r="U67" i="11"/>
  <c r="V233" i="11"/>
  <c r="T69" i="22"/>
  <c r="U234" i="22"/>
  <c r="V69" i="8"/>
  <c r="W234" i="8"/>
  <c r="AN73" i="9"/>
  <c r="AO236" i="9"/>
  <c r="AN77" i="9"/>
  <c r="AO238" i="9"/>
  <c r="R75" i="10"/>
  <c r="S237" i="10"/>
  <c r="AI73" i="8"/>
  <c r="AJ236" i="8"/>
  <c r="T71" i="7"/>
  <c r="U235" i="7"/>
  <c r="I40" i="2"/>
  <c r="C40" i="20"/>
  <c r="B36" i="38"/>
  <c r="B102" i="38"/>
  <c r="N38" i="20"/>
  <c r="O38" i="20"/>
  <c r="M28" i="39"/>
  <c r="AQ45" i="8"/>
  <c r="AR222" i="8"/>
  <c r="AP43" i="8"/>
  <c r="AQ221" i="8"/>
  <c r="AN217" i="8"/>
  <c r="AM35" i="8"/>
  <c r="AG63" i="7"/>
  <c r="AH231" i="7"/>
  <c r="AQ33" i="11"/>
  <c r="AR216" i="11"/>
  <c r="AS226" i="9"/>
  <c r="AR53" i="9"/>
  <c r="AR215" i="9"/>
  <c r="AQ31" i="9"/>
  <c r="AP31" i="1"/>
  <c r="AQ222" i="1"/>
  <c r="AS239" i="1"/>
  <c r="AR65" i="1"/>
  <c r="AP33" i="1"/>
  <c r="AQ223" i="1"/>
  <c r="AQ53" i="1"/>
  <c r="AR233" i="1"/>
  <c r="AR59" i="1"/>
  <c r="AS236" i="1"/>
  <c r="AR35" i="1"/>
  <c r="AS224" i="1"/>
  <c r="AR232" i="1"/>
  <c r="AQ51" i="1"/>
  <c r="AJ59" i="2"/>
  <c r="F59" i="20"/>
  <c r="BB48" i="2"/>
  <c r="H48" i="20"/>
  <c r="AQ222" i="22"/>
  <c r="AP45" i="22"/>
  <c r="AR217" i="6"/>
  <c r="AP43" i="6"/>
  <c r="AQ224" i="6"/>
  <c r="AQ35" i="6"/>
  <c r="AR220" i="6"/>
  <c r="AQ25" i="6"/>
  <c r="AR215" i="6"/>
  <c r="AQ23" i="6"/>
  <c r="AR214" i="6"/>
  <c r="AR219" i="6"/>
  <c r="AQ33" i="6"/>
  <c r="AR216" i="6"/>
  <c r="AQ27" i="6"/>
  <c r="AQ41" i="6"/>
  <c r="AR223" i="6"/>
  <c r="AP31" i="6"/>
  <c r="AQ218" i="6"/>
  <c r="AQ37" i="6"/>
  <c r="AR221" i="6"/>
  <c r="AS228" i="1"/>
  <c r="AR43" i="1"/>
  <c r="AO247" i="1"/>
  <c r="AN81" i="1"/>
  <c r="AM83" i="1"/>
  <c r="AN248" i="1"/>
  <c r="AP37" i="8"/>
  <c r="AQ218" i="8"/>
  <c r="AN219" i="8"/>
  <c r="AM39" i="8"/>
  <c r="AN45" i="11"/>
  <c r="AO222" i="11"/>
  <c r="AA59" i="2"/>
  <c r="E59" i="20"/>
  <c r="AR217" i="22"/>
  <c r="AQ35" i="22"/>
  <c r="AQ219" i="22"/>
  <c r="AP39" i="22"/>
  <c r="AR224" i="22"/>
  <c r="AQ49" i="22"/>
  <c r="AO220" i="7"/>
  <c r="AN41" i="7"/>
  <c r="AQ219" i="7"/>
  <c r="AP39" i="7"/>
  <c r="AQ215" i="7"/>
  <c r="AP31" i="7"/>
  <c r="AQ35" i="7"/>
  <c r="AR217" i="7"/>
  <c r="AR221" i="7"/>
  <c r="AQ43" i="7"/>
  <c r="AP37" i="7"/>
  <c r="AQ218" i="7"/>
  <c r="AN39" i="6"/>
  <c r="AO222" i="6"/>
  <c r="AR217" i="9"/>
  <c r="AQ35" i="9"/>
  <c r="AT221" i="9"/>
  <c r="AS43" i="9"/>
  <c r="AS223" i="9"/>
  <c r="AR47" i="9"/>
  <c r="AN227" i="9"/>
  <c r="AM55" i="9"/>
  <c r="AO219" i="9"/>
  <c r="AN39" i="9"/>
  <c r="AP51" i="9"/>
  <c r="AQ225" i="9"/>
  <c r="AR222" i="9"/>
  <c r="AQ45" i="9"/>
  <c r="AR224" i="9"/>
  <c r="AQ49" i="9"/>
  <c r="AO57" i="9"/>
  <c r="AP228" i="9"/>
  <c r="AP67" i="1"/>
  <c r="AQ240" i="1"/>
  <c r="AR244" i="1"/>
  <c r="AQ75" i="1"/>
  <c r="AS246" i="1"/>
  <c r="AR79" i="1"/>
  <c r="AR242" i="1"/>
  <c r="AQ71" i="1"/>
  <c r="AP243" i="1"/>
  <c r="AO73" i="1"/>
  <c r="AP245" i="1"/>
  <c r="AO77" i="1"/>
  <c r="AL235" i="1"/>
  <c r="AK57" i="1"/>
  <c r="AP61" i="1"/>
  <c r="AQ237" i="1"/>
  <c r="AM221" i="11"/>
  <c r="AL43" i="11"/>
  <c r="AS50" i="2"/>
  <c r="G50" i="20"/>
  <c r="AO220" i="11"/>
  <c r="AN41" i="11"/>
  <c r="AO215" i="11"/>
  <c r="AQ218" i="11"/>
  <c r="AP37" i="11"/>
  <c r="AR219" i="11"/>
  <c r="AQ39" i="11"/>
  <c r="AR225" i="10"/>
  <c r="AQ51" i="10"/>
  <c r="AR218" i="10"/>
  <c r="AQ37" i="10"/>
  <c r="AS229" i="22"/>
  <c r="AR59" i="22"/>
  <c r="AR220" i="22"/>
  <c r="AQ41" i="22"/>
  <c r="AR227" i="22"/>
  <c r="AQ55" i="22"/>
  <c r="AR218" i="22"/>
  <c r="AP228" i="8"/>
  <c r="AO57" i="8"/>
  <c r="AR227" i="8"/>
  <c r="AQ55" i="8"/>
  <c r="AS220" i="8"/>
  <c r="AR41" i="8"/>
  <c r="AS224" i="8"/>
  <c r="AR49" i="8"/>
  <c r="AT215" i="8"/>
  <c r="AS31" i="8"/>
  <c r="AS226" i="8"/>
  <c r="AR53" i="8"/>
  <c r="AS216" i="8"/>
  <c r="AR33" i="8"/>
  <c r="AS227" i="7"/>
  <c r="AR55" i="7"/>
  <c r="AS226" i="7"/>
  <c r="AR53" i="7"/>
  <c r="AS225" i="7"/>
  <c r="AR51" i="7"/>
  <c r="AL216" i="7"/>
  <c r="AK33" i="7"/>
  <c r="AQ223" i="7"/>
  <c r="AP47" i="7"/>
  <c r="AP222" i="7"/>
  <c r="AO45" i="7"/>
  <c r="AS231" i="6"/>
  <c r="AR57" i="6"/>
  <c r="AS230" i="6"/>
  <c r="AR55" i="6"/>
  <c r="AS229" i="6"/>
  <c r="AR53" i="6"/>
  <c r="AS228" i="6"/>
  <c r="AR51" i="6"/>
  <c r="AS227" i="6"/>
  <c r="AR49" i="6"/>
  <c r="AQ225" i="6"/>
  <c r="AP45" i="6"/>
  <c r="AR230" i="9"/>
  <c r="AQ61" i="9"/>
  <c r="AS229" i="9"/>
  <c r="AR59" i="9"/>
  <c r="AO216" i="9"/>
  <c r="AN33" i="9"/>
  <c r="AR218" i="9"/>
  <c r="AQ37" i="9"/>
  <c r="AR220" i="9"/>
  <c r="AQ41" i="9"/>
  <c r="AQ241" i="1"/>
  <c r="AP69" i="1"/>
  <c r="AS238" i="1"/>
  <c r="AR63" i="1"/>
  <c r="AS230" i="1"/>
  <c r="AR47" i="1"/>
  <c r="AS234" i="1"/>
  <c r="AR55" i="1"/>
  <c r="AQ231" i="1"/>
  <c r="AP49" i="1"/>
  <c r="AQ229" i="1"/>
  <c r="AP45" i="1"/>
  <c r="AQ227" i="1"/>
  <c r="AP41" i="1"/>
  <c r="AS226" i="1"/>
  <c r="AR39" i="1"/>
  <c r="AQ225" i="1"/>
  <c r="AP37" i="1"/>
  <c r="AR224" i="7"/>
  <c r="AQ49" i="7"/>
  <c r="CC35" i="2"/>
  <c r="K35" i="20"/>
  <c r="U25" i="39"/>
  <c r="H75" i="9"/>
  <c r="I237" i="9"/>
  <c r="J47" i="20"/>
  <c r="BT48" i="2"/>
  <c r="I53" i="20"/>
  <c r="BK54" i="2"/>
  <c r="CL55" i="2"/>
  <c r="L54" i="20"/>
  <c r="BJ112" i="2"/>
  <c r="CK112" i="2"/>
  <c r="Y95" i="40"/>
  <c r="Z324" i="40"/>
  <c r="X103" i="40"/>
  <c r="Y328" i="40"/>
  <c r="X109" i="40"/>
  <c r="Y331" i="40"/>
  <c r="T97" i="40"/>
  <c r="U325" i="40"/>
  <c r="X111" i="40"/>
  <c r="Y332" i="40"/>
  <c r="S105" i="40"/>
  <c r="T329" i="40"/>
  <c r="T107" i="40"/>
  <c r="U330" i="40"/>
  <c r="X93" i="40"/>
  <c r="Y323" i="40"/>
  <c r="X101" i="40"/>
  <c r="Y327" i="40"/>
  <c r="R99" i="40"/>
  <c r="S326" i="40"/>
  <c r="Y91" i="40"/>
  <c r="Z309" i="40"/>
  <c r="Y65" i="40"/>
  <c r="AB320" i="40"/>
  <c r="AA87" i="40"/>
  <c r="AB318" i="40"/>
  <c r="AA83" i="40"/>
  <c r="AA317" i="40"/>
  <c r="Z81" i="40"/>
  <c r="AB314" i="40"/>
  <c r="AA75" i="40"/>
  <c r="AB301" i="40"/>
  <c r="AA49" i="40"/>
  <c r="AA321" i="40"/>
  <c r="Z89" i="40"/>
  <c r="AA315" i="40"/>
  <c r="Z77" i="40"/>
  <c r="AB316" i="40"/>
  <c r="AA79" i="40"/>
  <c r="AA310" i="40"/>
  <c r="Z67" i="40"/>
  <c r="AB298" i="40"/>
  <c r="AA43" i="40"/>
  <c r="AB312" i="40"/>
  <c r="AA71" i="40"/>
  <c r="Z311" i="40"/>
  <c r="Y69" i="40"/>
  <c r="Z313" i="40"/>
  <c r="Y73" i="40"/>
  <c r="AB303" i="40"/>
  <c r="AA53" i="40"/>
  <c r="AA297" i="40"/>
  <c r="Z41" i="40"/>
  <c r="AA319" i="40"/>
  <c r="Z85" i="40"/>
  <c r="AB308" i="40"/>
  <c r="AA63" i="40"/>
  <c r="AB305" i="40"/>
  <c r="AA57" i="40"/>
  <c r="AB306" i="40"/>
  <c r="AA59" i="40"/>
  <c r="AA302" i="40"/>
  <c r="Z51" i="40"/>
  <c r="AA307" i="40"/>
  <c r="Z61" i="40"/>
  <c r="AB300" i="40"/>
  <c r="AA47" i="40"/>
  <c r="AB304" i="40"/>
  <c r="AA55" i="40"/>
  <c r="AB299" i="40"/>
  <c r="AA45" i="40"/>
  <c r="AB322" i="40"/>
  <c r="AH235" i="22"/>
  <c r="AG71" i="22"/>
  <c r="EG144" i="10"/>
  <c r="EH54" i="10"/>
  <c r="AG63" i="8"/>
  <c r="AH231" i="8"/>
  <c r="N67" i="9"/>
  <c r="O233" i="9"/>
  <c r="AE65" i="9"/>
  <c r="AF232" i="9"/>
  <c r="EF146" i="10"/>
  <c r="EF145" i="10"/>
  <c r="AJ47" i="11"/>
  <c r="AK223" i="11"/>
  <c r="EE147" i="10"/>
  <c r="AO71" i="8"/>
  <c r="AP235" i="8"/>
  <c r="AQ226" i="6"/>
  <c r="AP47" i="6"/>
  <c r="Y75" i="11"/>
  <c r="Z237" i="11"/>
  <c r="AM57" i="11"/>
  <c r="AN228" i="11"/>
  <c r="AJ61" i="7"/>
  <c r="AK230" i="7"/>
  <c r="AE67" i="10"/>
  <c r="AF233" i="10"/>
  <c r="AO63" i="9"/>
  <c r="AP231" i="9"/>
  <c r="AN77" i="11"/>
  <c r="AO238" i="11"/>
  <c r="AF79" i="9"/>
  <c r="AG239" i="9"/>
  <c r="AB59" i="8"/>
  <c r="AC229" i="8"/>
  <c r="M59" i="10"/>
  <c r="N229" i="10"/>
  <c r="AF239" i="22"/>
  <c r="AE79" i="22"/>
  <c r="AO79" i="8"/>
  <c r="AP239" i="8"/>
  <c r="AK79" i="11"/>
  <c r="AL239" i="11"/>
  <c r="AP230" i="10"/>
  <c r="AO61" i="10"/>
  <c r="AF236" i="22"/>
  <c r="AE73" i="22"/>
  <c r="AI239" i="7"/>
  <c r="AH79" i="7"/>
  <c r="AO238" i="7"/>
  <c r="AN77" i="7"/>
  <c r="AN51" i="11"/>
  <c r="AO225" i="11"/>
  <c r="N81" i="10"/>
  <c r="O240" i="10"/>
  <c r="R67" i="22"/>
  <c r="S233" i="22"/>
  <c r="Z71" i="10"/>
  <c r="AA235" i="10"/>
  <c r="N65" i="10"/>
  <c r="O232" i="10"/>
  <c r="AP67" i="7"/>
  <c r="AQ233" i="7"/>
  <c r="AQ57" i="22"/>
  <c r="AR228" i="22"/>
  <c r="AN77" i="10"/>
  <c r="AO238" i="10"/>
  <c r="AO77" i="22"/>
  <c r="AP238" i="22"/>
  <c r="AC63" i="10"/>
  <c r="AD231" i="10"/>
  <c r="AH231" i="22"/>
  <c r="AG63" i="22"/>
  <c r="AP234" i="10"/>
  <c r="AO69" i="10"/>
  <c r="AL59" i="7"/>
  <c r="AM229" i="7"/>
  <c r="R69" i="2"/>
  <c r="D69" i="20"/>
  <c r="AP222" i="10"/>
  <c r="AO45" i="10"/>
  <c r="AQ216" i="10"/>
  <c r="AP33" i="10"/>
  <c r="AQ217" i="10"/>
  <c r="AP35" i="10"/>
  <c r="AQ221" i="10"/>
  <c r="AP43" i="10"/>
  <c r="AQ220" i="10"/>
  <c r="AP41" i="10"/>
  <c r="AQ53" i="10"/>
  <c r="AR226" i="10"/>
  <c r="AP39" i="10"/>
  <c r="AQ219" i="10"/>
  <c r="AP47" i="10"/>
  <c r="AQ223" i="10"/>
  <c r="AQ31" i="10"/>
  <c r="AR215" i="10"/>
  <c r="AQ224" i="10"/>
  <c r="AP49" i="10"/>
  <c r="AQ226" i="22"/>
  <c r="AP53" i="22"/>
  <c r="AQ51" i="22"/>
  <c r="AR225" i="22"/>
  <c r="AP43" i="22"/>
  <c r="AQ221" i="22"/>
  <c r="AP223" i="22"/>
  <c r="AO47" i="22"/>
  <c r="AQ225" i="8"/>
  <c r="AP51" i="8"/>
  <c r="AR223" i="8"/>
  <c r="AQ47" i="8"/>
  <c r="S71" i="7"/>
  <c r="T235" i="7"/>
  <c r="Q75" i="10"/>
  <c r="R237" i="10"/>
  <c r="AM73" i="9"/>
  <c r="AN236" i="9"/>
  <c r="S69" i="22"/>
  <c r="T234" i="22"/>
  <c r="N57" i="10"/>
  <c r="O228" i="10"/>
  <c r="R75" i="7"/>
  <c r="S237" i="7"/>
  <c r="K69" i="7"/>
  <c r="L234" i="7"/>
  <c r="D31" i="22"/>
  <c r="E215" i="22"/>
  <c r="O65" i="22"/>
  <c r="P232" i="22"/>
  <c r="X61" i="8"/>
  <c r="Y230" i="8"/>
  <c r="V77" i="8"/>
  <c r="W238" i="8"/>
  <c r="G73" i="10"/>
  <c r="H236" i="10"/>
  <c r="S67" i="8"/>
  <c r="T233" i="8"/>
  <c r="V73" i="11"/>
  <c r="W236" i="11"/>
  <c r="T61" i="22"/>
  <c r="U230" i="22"/>
  <c r="AR216" i="22"/>
  <c r="AQ33" i="22"/>
  <c r="AH73" i="8"/>
  <c r="AI236" i="8"/>
  <c r="AM77" i="9"/>
  <c r="AN238" i="9"/>
  <c r="U69" i="8"/>
  <c r="V234" i="8"/>
  <c r="T67" i="11"/>
  <c r="U233" i="11"/>
  <c r="L49" i="11"/>
  <c r="M224" i="11"/>
  <c r="N71" i="9"/>
  <c r="O235" i="9"/>
  <c r="O79" i="10"/>
  <c r="P239" i="10"/>
  <c r="Q75" i="8"/>
  <c r="R237" i="8"/>
  <c r="O81" i="7"/>
  <c r="P240" i="7"/>
  <c r="P69" i="9"/>
  <c r="Q234" i="9"/>
  <c r="Q75" i="22"/>
  <c r="R237" i="22"/>
  <c r="Q81" i="22"/>
  <c r="R240" i="22"/>
  <c r="M81" i="9"/>
  <c r="N240" i="9"/>
  <c r="T81" i="11"/>
  <c r="U240" i="11"/>
  <c r="H53" i="11"/>
  <c r="I226" i="11"/>
  <c r="N39" i="20"/>
  <c r="O39" i="20"/>
  <c r="B37" i="38"/>
  <c r="M29" i="39"/>
  <c r="C29" i="39"/>
  <c r="I41" i="2"/>
  <c r="C41" i="20"/>
  <c r="AO43" i="8"/>
  <c r="AP221" i="8"/>
  <c r="AP45" i="8"/>
  <c r="AQ222" i="8"/>
  <c r="AL35" i="8"/>
  <c r="AM217" i="8"/>
  <c r="AQ216" i="11"/>
  <c r="AP33" i="11"/>
  <c r="AF63" i="7"/>
  <c r="AG231" i="7"/>
  <c r="AQ215" i="9"/>
  <c r="AP31" i="9"/>
  <c r="AR226" i="9"/>
  <c r="AQ53" i="9"/>
  <c r="AP222" i="1"/>
  <c r="AO31" i="1"/>
  <c r="AR224" i="1"/>
  <c r="AQ35" i="1"/>
  <c r="AR236" i="1"/>
  <c r="AQ59" i="1"/>
  <c r="AP53" i="1"/>
  <c r="AQ233" i="1"/>
  <c r="AO33" i="1"/>
  <c r="AP223" i="1"/>
  <c r="AQ65" i="1"/>
  <c r="AR239" i="1"/>
  <c r="AQ232" i="1"/>
  <c r="AP51" i="1"/>
  <c r="AJ60" i="2"/>
  <c r="F60" i="20"/>
  <c r="BB49" i="2"/>
  <c r="H49" i="20"/>
  <c r="AO45" i="22"/>
  <c r="AP222" i="22"/>
  <c r="AQ216" i="6"/>
  <c r="AP27" i="6"/>
  <c r="AP33" i="6"/>
  <c r="AQ219" i="6"/>
  <c r="AQ221" i="6"/>
  <c r="AP37" i="6"/>
  <c r="AO31" i="6"/>
  <c r="AP218" i="6"/>
  <c r="AQ223" i="6"/>
  <c r="AP41" i="6"/>
  <c r="AP23" i="6"/>
  <c r="AQ214" i="6"/>
  <c r="AQ215" i="6"/>
  <c r="AP25" i="6"/>
  <c r="AP35" i="6"/>
  <c r="AQ220" i="6"/>
  <c r="AO43" i="6"/>
  <c r="AP224" i="6"/>
  <c r="AQ217" i="6"/>
  <c r="AM81" i="1"/>
  <c r="AN247" i="1"/>
  <c r="AQ43" i="1"/>
  <c r="AR228" i="1"/>
  <c r="AL83" i="1"/>
  <c r="AM248" i="1"/>
  <c r="AM219" i="8"/>
  <c r="AL39" i="8"/>
  <c r="AO37" i="8"/>
  <c r="AP218" i="8"/>
  <c r="AM45" i="11"/>
  <c r="AN222" i="11"/>
  <c r="AA60" i="2"/>
  <c r="E60" i="20"/>
  <c r="AP219" i="22"/>
  <c r="AO39" i="22"/>
  <c r="AQ224" i="22"/>
  <c r="AP49" i="22"/>
  <c r="AQ217" i="22"/>
  <c r="AP35" i="22"/>
  <c r="AQ221" i="7"/>
  <c r="AP43" i="7"/>
  <c r="AP219" i="7"/>
  <c r="AO39" i="7"/>
  <c r="AP215" i="7"/>
  <c r="AO31" i="7"/>
  <c r="AN220" i="7"/>
  <c r="AM41" i="7"/>
  <c r="AP218" i="7"/>
  <c r="AO37" i="7"/>
  <c r="AP35" i="7"/>
  <c r="AQ217" i="7"/>
  <c r="AM39" i="6"/>
  <c r="AN222" i="6"/>
  <c r="AM227" i="9"/>
  <c r="AL55" i="9"/>
  <c r="AR43" i="9"/>
  <c r="AS221" i="9"/>
  <c r="AM39" i="9"/>
  <c r="AN219" i="9"/>
  <c r="AQ47" i="9"/>
  <c r="AR223" i="9"/>
  <c r="AP35" i="9"/>
  <c r="AQ217" i="9"/>
  <c r="AO51" i="9"/>
  <c r="AP225" i="9"/>
  <c r="AP49" i="9"/>
  <c r="AQ224" i="9"/>
  <c r="AQ222" i="9"/>
  <c r="AP45" i="9"/>
  <c r="AN57" i="9"/>
  <c r="AO228" i="9"/>
  <c r="AN77" i="1"/>
  <c r="AO245" i="1"/>
  <c r="AO243" i="1"/>
  <c r="AN73" i="1"/>
  <c r="AR246" i="1"/>
  <c r="AQ79" i="1"/>
  <c r="AP237" i="1"/>
  <c r="AO61" i="1"/>
  <c r="AP240" i="1"/>
  <c r="AO67" i="1"/>
  <c r="AJ57" i="1"/>
  <c r="AK235" i="1"/>
  <c r="AQ242" i="1"/>
  <c r="AP71" i="1"/>
  <c r="AQ244" i="1"/>
  <c r="AP75" i="1"/>
  <c r="AL221" i="11"/>
  <c r="AK43" i="11"/>
  <c r="AS51" i="2"/>
  <c r="G51" i="20"/>
  <c r="AP218" i="11"/>
  <c r="AO37" i="11"/>
  <c r="AN220" i="11"/>
  <c r="AM41" i="11"/>
  <c r="AQ219" i="11"/>
  <c r="AP39" i="11"/>
  <c r="AN215" i="11"/>
  <c r="AQ225" i="10"/>
  <c r="AP51" i="10"/>
  <c r="AQ218" i="10"/>
  <c r="AP37" i="10"/>
  <c r="AR229" i="22"/>
  <c r="AQ59" i="22"/>
  <c r="AQ227" i="22"/>
  <c r="AP55" i="22"/>
  <c r="AQ218" i="22"/>
  <c r="AQ220" i="22"/>
  <c r="AP41" i="22"/>
  <c r="AO228" i="8"/>
  <c r="AN57" i="8"/>
  <c r="AQ227" i="8"/>
  <c r="AP55" i="8"/>
  <c r="AR226" i="8"/>
  <c r="AQ53" i="8"/>
  <c r="AR224" i="8"/>
  <c r="AQ49" i="8"/>
  <c r="AR216" i="8"/>
  <c r="AQ33" i="8"/>
  <c r="AS215" i="8"/>
  <c r="AR31" i="8"/>
  <c r="AR220" i="8"/>
  <c r="AQ41" i="8"/>
  <c r="AR227" i="7"/>
  <c r="AQ55" i="7"/>
  <c r="AR226" i="7"/>
  <c r="AQ53" i="7"/>
  <c r="AR225" i="7"/>
  <c r="AQ51" i="7"/>
  <c r="AO222" i="7"/>
  <c r="AN45" i="7"/>
  <c r="AP223" i="7"/>
  <c r="AO47" i="7"/>
  <c r="AK216" i="7"/>
  <c r="AJ33" i="7"/>
  <c r="AR231" i="6"/>
  <c r="AQ57" i="6"/>
  <c r="AR230" i="6"/>
  <c r="AQ55" i="6"/>
  <c r="AR229" i="6"/>
  <c r="AQ53" i="6"/>
  <c r="AR228" i="6"/>
  <c r="AQ51" i="6"/>
  <c r="AR227" i="6"/>
  <c r="AQ49" i="6"/>
  <c r="AP225" i="6"/>
  <c r="AO45" i="6"/>
  <c r="AQ230" i="9"/>
  <c r="AP61" i="9"/>
  <c r="AR229" i="9"/>
  <c r="AQ59" i="9"/>
  <c r="AQ220" i="9"/>
  <c r="AP41" i="9"/>
  <c r="AQ218" i="9"/>
  <c r="AP37" i="9"/>
  <c r="AN216" i="9"/>
  <c r="AM33" i="9"/>
  <c r="AP241" i="1"/>
  <c r="AO69" i="1"/>
  <c r="AR238" i="1"/>
  <c r="AQ63" i="1"/>
  <c r="AP231" i="1"/>
  <c r="AO49" i="1"/>
  <c r="AR234" i="1"/>
  <c r="AQ55" i="1"/>
  <c r="AR230" i="1"/>
  <c r="AQ47" i="1"/>
  <c r="AP229" i="1"/>
  <c r="AO45" i="1"/>
  <c r="AR226" i="1"/>
  <c r="AQ39" i="1"/>
  <c r="AP225" i="1"/>
  <c r="AO37" i="1"/>
  <c r="AP227" i="1"/>
  <c r="AO41" i="1"/>
  <c r="AQ224" i="7"/>
  <c r="AP49" i="7"/>
  <c r="CC36" i="2"/>
  <c r="K36" i="20"/>
  <c r="U26" i="39"/>
  <c r="G75" i="9"/>
  <c r="H237" i="9"/>
  <c r="J48" i="20"/>
  <c r="BT49" i="2"/>
  <c r="I54" i="20"/>
  <c r="BK55" i="2"/>
  <c r="CL56" i="2"/>
  <c r="L55" i="20"/>
  <c r="BJ113" i="2"/>
  <c r="CK113" i="2"/>
  <c r="EF147" i="10"/>
  <c r="Q99" i="40"/>
  <c r="R326" i="40"/>
  <c r="W93" i="40"/>
  <c r="X323" i="40"/>
  <c r="R105" i="40"/>
  <c r="S329" i="40"/>
  <c r="S97" i="40"/>
  <c r="T325" i="40"/>
  <c r="W103" i="40"/>
  <c r="X328" i="40"/>
  <c r="W101" i="40"/>
  <c r="X327" i="40"/>
  <c r="S107" i="40"/>
  <c r="T330" i="40"/>
  <c r="W111" i="40"/>
  <c r="X332" i="40"/>
  <c r="W109" i="40"/>
  <c r="X331" i="40"/>
  <c r="X95" i="40"/>
  <c r="Y324" i="40"/>
  <c r="X91" i="40"/>
  <c r="AA301" i="40"/>
  <c r="Z49" i="40"/>
  <c r="AA322" i="40"/>
  <c r="AA306" i="40"/>
  <c r="Z59" i="40"/>
  <c r="Z297" i="40"/>
  <c r="Y41" i="40"/>
  <c r="AA312" i="40"/>
  <c r="Z71" i="40"/>
  <c r="Z315" i="40"/>
  <c r="Y77" i="40"/>
  <c r="Z317" i="40"/>
  <c r="Y81" i="40"/>
  <c r="AA299" i="40"/>
  <c r="Z45" i="40"/>
  <c r="AA300" i="40"/>
  <c r="Z47" i="40"/>
  <c r="Z302" i="40"/>
  <c r="Y51" i="40"/>
  <c r="AA305" i="40"/>
  <c r="Z57" i="40"/>
  <c r="Z319" i="40"/>
  <c r="Y85" i="40"/>
  <c r="AA303" i="40"/>
  <c r="Z53" i="40"/>
  <c r="Y311" i="40"/>
  <c r="X69" i="40"/>
  <c r="AA298" i="40"/>
  <c r="Z43" i="40"/>
  <c r="AA316" i="40"/>
  <c r="Z79" i="40"/>
  <c r="Z321" i="40"/>
  <c r="Y89" i="40"/>
  <c r="AA314" i="40"/>
  <c r="Z75" i="40"/>
  <c r="AA318" i="40"/>
  <c r="Z83" i="40"/>
  <c r="Y309" i="40"/>
  <c r="X65" i="40"/>
  <c r="AA304" i="40"/>
  <c r="Z55" i="40"/>
  <c r="Z307" i="40"/>
  <c r="Y61" i="40"/>
  <c r="AA308" i="40"/>
  <c r="Z63" i="40"/>
  <c r="Y313" i="40"/>
  <c r="X73" i="40"/>
  <c r="Z310" i="40"/>
  <c r="Y67" i="40"/>
  <c r="AA320" i="40"/>
  <c r="Z87" i="40"/>
  <c r="AN238" i="7"/>
  <c r="AM77" i="7"/>
  <c r="N233" i="9"/>
  <c r="M67" i="9"/>
  <c r="AC231" i="10"/>
  <c r="AB63" i="10"/>
  <c r="AM77" i="10"/>
  <c r="AN238" i="10"/>
  <c r="AO67" i="7"/>
  <c r="AP233" i="7"/>
  <c r="Y71" i="10"/>
  <c r="Z235" i="10"/>
  <c r="N240" i="10"/>
  <c r="M81" i="10"/>
  <c r="AM51" i="11"/>
  <c r="AN225" i="11"/>
  <c r="AN79" i="8"/>
  <c r="AO239" i="8"/>
  <c r="L59" i="10"/>
  <c r="M229" i="10"/>
  <c r="AE79" i="9"/>
  <c r="AF239" i="9"/>
  <c r="AN63" i="9"/>
  <c r="AO231" i="9"/>
  <c r="AJ230" i="7"/>
  <c r="AI61" i="7"/>
  <c r="X75" i="11"/>
  <c r="Y237" i="11"/>
  <c r="AN71" i="8"/>
  <c r="AO235" i="8"/>
  <c r="EI54" i="10"/>
  <c r="EH144" i="10"/>
  <c r="AD73" i="22"/>
  <c r="AE236" i="22"/>
  <c r="AD79" i="22"/>
  <c r="AE239" i="22"/>
  <c r="AO47" i="6"/>
  <c r="AP226" i="6"/>
  <c r="EG145" i="10"/>
  <c r="EG146" i="10"/>
  <c r="AK59" i="7"/>
  <c r="AL229" i="7"/>
  <c r="AN77" i="22"/>
  <c r="AO238" i="22"/>
  <c r="AP57" i="22"/>
  <c r="AQ228" i="22"/>
  <c r="N232" i="10"/>
  <c r="M65" i="10"/>
  <c r="R233" i="22"/>
  <c r="Q67" i="22"/>
  <c r="AJ79" i="11"/>
  <c r="AK239" i="11"/>
  <c r="AA59" i="8"/>
  <c r="AB229" i="8"/>
  <c r="AM77" i="11"/>
  <c r="AN238" i="11"/>
  <c r="AD67" i="10"/>
  <c r="AE233" i="10"/>
  <c r="AL57" i="11"/>
  <c r="AM228" i="11"/>
  <c r="AG235" i="22"/>
  <c r="AF71" i="22"/>
  <c r="AG231" i="22"/>
  <c r="AF63" i="22"/>
  <c r="AN69" i="10"/>
  <c r="AO234" i="10"/>
  <c r="AG79" i="7"/>
  <c r="AH239" i="7"/>
  <c r="AN61" i="10"/>
  <c r="AO230" i="10"/>
  <c r="AJ223" i="11"/>
  <c r="AI47" i="11"/>
  <c r="AD65" i="9"/>
  <c r="AE232" i="9"/>
  <c r="AF63" i="8"/>
  <c r="AG231" i="8"/>
  <c r="R70" i="2"/>
  <c r="D70" i="20"/>
  <c r="AP224" i="10"/>
  <c r="AO49" i="10"/>
  <c r="AO43" i="10"/>
  <c r="AP221" i="10"/>
  <c r="AO33" i="10"/>
  <c r="AP216" i="10"/>
  <c r="AP223" i="10"/>
  <c r="AO47" i="10"/>
  <c r="AQ226" i="10"/>
  <c r="AP53" i="10"/>
  <c r="AP220" i="10"/>
  <c r="AO41" i="10"/>
  <c r="AP217" i="10"/>
  <c r="AO35" i="10"/>
  <c r="AN45" i="10"/>
  <c r="AO222" i="10"/>
  <c r="AP31" i="10"/>
  <c r="AQ215" i="10"/>
  <c r="AP219" i="10"/>
  <c r="AO39" i="10"/>
  <c r="AN47" i="22"/>
  <c r="AO223" i="22"/>
  <c r="AQ225" i="22"/>
  <c r="AP51" i="22"/>
  <c r="AO53" i="22"/>
  <c r="AP226" i="22"/>
  <c r="AP221" i="22"/>
  <c r="AO43" i="22"/>
  <c r="AQ223" i="8"/>
  <c r="AP47" i="8"/>
  <c r="AP225" i="8"/>
  <c r="AO51" i="8"/>
  <c r="G53" i="11"/>
  <c r="H226" i="11"/>
  <c r="L81" i="9"/>
  <c r="M240" i="9"/>
  <c r="P81" i="22"/>
  <c r="Q240" i="22"/>
  <c r="P75" i="22"/>
  <c r="Q237" i="22"/>
  <c r="O69" i="9"/>
  <c r="P234" i="9"/>
  <c r="P75" i="8"/>
  <c r="Q237" i="8"/>
  <c r="N79" i="10"/>
  <c r="O239" i="10"/>
  <c r="K49" i="11"/>
  <c r="L224" i="11"/>
  <c r="U73" i="11"/>
  <c r="V236" i="11"/>
  <c r="F73" i="10"/>
  <c r="G236" i="10"/>
  <c r="W61" i="8"/>
  <c r="X230" i="8"/>
  <c r="C31" i="22"/>
  <c r="C215" i="22"/>
  <c r="D215" i="22"/>
  <c r="J69" i="7"/>
  <c r="K234" i="7"/>
  <c r="P75" i="10"/>
  <c r="Q237" i="10"/>
  <c r="S81" i="11"/>
  <c r="T240" i="11"/>
  <c r="AQ216" i="22"/>
  <c r="AP33" i="22"/>
  <c r="N81" i="7"/>
  <c r="O240" i="7"/>
  <c r="M71" i="9"/>
  <c r="N235" i="9"/>
  <c r="S67" i="11"/>
  <c r="T233" i="11"/>
  <c r="T69" i="8"/>
  <c r="U234" i="8"/>
  <c r="AL77" i="9"/>
  <c r="AM238" i="9"/>
  <c r="AG73" i="8"/>
  <c r="AH236" i="8"/>
  <c r="S61" i="22"/>
  <c r="T230" i="22"/>
  <c r="R67" i="8"/>
  <c r="S233" i="8"/>
  <c r="U77" i="8"/>
  <c r="V238" i="8"/>
  <c r="N65" i="22"/>
  <c r="O232" i="22"/>
  <c r="Q75" i="7"/>
  <c r="R237" i="7"/>
  <c r="M57" i="10"/>
  <c r="N228" i="10"/>
  <c r="R69" i="22"/>
  <c r="S234" i="22"/>
  <c r="AL73" i="9"/>
  <c r="AM236" i="9"/>
  <c r="R71" i="7"/>
  <c r="S235" i="7"/>
  <c r="B38" i="38"/>
  <c r="B104" i="38"/>
  <c r="N40" i="20"/>
  <c r="O40" i="20"/>
  <c r="M30" i="39"/>
  <c r="B103" i="38"/>
  <c r="T37" i="38"/>
  <c r="AC70" i="38"/>
  <c r="I42" i="2"/>
  <c r="C42" i="20"/>
  <c r="AL217" i="8"/>
  <c r="AK35" i="8"/>
  <c r="AO45" i="8"/>
  <c r="AP222" i="8"/>
  <c r="AO221" i="8"/>
  <c r="AN43" i="8"/>
  <c r="AP216" i="11"/>
  <c r="AO33" i="11"/>
  <c r="AE63" i="7"/>
  <c r="AF231" i="7"/>
  <c r="AP53" i="9"/>
  <c r="AQ226" i="9"/>
  <c r="AP215" i="9"/>
  <c r="AO31" i="9"/>
  <c r="AO222" i="1"/>
  <c r="AN31" i="1"/>
  <c r="AP65" i="1"/>
  <c r="AQ239" i="1"/>
  <c r="AO223" i="1"/>
  <c r="AN33" i="1"/>
  <c r="AO53" i="1"/>
  <c r="AP233" i="1"/>
  <c r="AP59" i="1"/>
  <c r="AQ236" i="1"/>
  <c r="AP35" i="1"/>
  <c r="AQ224" i="1"/>
  <c r="AP232" i="1"/>
  <c r="AO51" i="1"/>
  <c r="AJ61" i="2"/>
  <c r="F61" i="20"/>
  <c r="BB50" i="2"/>
  <c r="H50" i="20"/>
  <c r="AO222" i="22"/>
  <c r="AN45" i="22"/>
  <c r="AP217" i="6"/>
  <c r="AP215" i="6"/>
  <c r="AO25" i="6"/>
  <c r="AP223" i="6"/>
  <c r="AO41" i="6"/>
  <c r="AP221" i="6"/>
  <c r="AO37" i="6"/>
  <c r="AP216" i="6"/>
  <c r="AO27" i="6"/>
  <c r="AO224" i="6"/>
  <c r="AN43" i="6"/>
  <c r="AP220" i="6"/>
  <c r="AO35" i="6"/>
  <c r="AP214" i="6"/>
  <c r="AO23" i="6"/>
  <c r="AN31" i="6"/>
  <c r="AO218" i="6"/>
  <c r="AO33" i="6"/>
  <c r="AP219" i="6"/>
  <c r="AK83" i="1"/>
  <c r="AL248" i="1"/>
  <c r="AQ228" i="1"/>
  <c r="AP43" i="1"/>
  <c r="AL81" i="1"/>
  <c r="AM247" i="1"/>
  <c r="AN37" i="8"/>
  <c r="AO218" i="8"/>
  <c r="AK39" i="8"/>
  <c r="AL219" i="8"/>
  <c r="AL45" i="11"/>
  <c r="AM222" i="11"/>
  <c r="AA61" i="2"/>
  <c r="E61" i="20"/>
  <c r="AP224" i="22"/>
  <c r="AO49" i="22"/>
  <c r="AP217" i="22"/>
  <c r="AO35" i="22"/>
  <c r="AO219" i="22"/>
  <c r="AN39" i="22"/>
  <c r="AO218" i="7"/>
  <c r="AN37" i="7"/>
  <c r="AO215" i="7"/>
  <c r="AN31" i="7"/>
  <c r="AM220" i="7"/>
  <c r="AL41" i="7"/>
  <c r="AN39" i="7"/>
  <c r="AO219" i="7"/>
  <c r="AP221" i="7"/>
  <c r="AO43" i="7"/>
  <c r="AP217" i="7"/>
  <c r="AO35" i="7"/>
  <c r="AL39" i="6"/>
  <c r="AM222" i="6"/>
  <c r="AP47" i="9"/>
  <c r="AQ223" i="9"/>
  <c r="AR221" i="9"/>
  <c r="AQ43" i="9"/>
  <c r="AK55" i="9"/>
  <c r="AL227" i="9"/>
  <c r="AO35" i="9"/>
  <c r="AP217" i="9"/>
  <c r="AL39" i="9"/>
  <c r="AM219" i="9"/>
  <c r="AO225" i="9"/>
  <c r="AN51" i="9"/>
  <c r="AM57" i="9"/>
  <c r="AN228" i="9"/>
  <c r="AP224" i="9"/>
  <c r="AO49" i="9"/>
  <c r="AP222" i="9"/>
  <c r="AO45" i="9"/>
  <c r="AP244" i="1"/>
  <c r="AO75" i="1"/>
  <c r="AN67" i="1"/>
  <c r="AO240" i="1"/>
  <c r="AN61" i="1"/>
  <c r="AO237" i="1"/>
  <c r="AQ246" i="1"/>
  <c r="AP79" i="1"/>
  <c r="AM77" i="1"/>
  <c r="AN245" i="1"/>
  <c r="AP242" i="1"/>
  <c r="AO71" i="1"/>
  <c r="AN243" i="1"/>
  <c r="AM73" i="1"/>
  <c r="AJ235" i="1"/>
  <c r="AI57" i="1"/>
  <c r="AK221" i="11"/>
  <c r="AJ43" i="11"/>
  <c r="AS52" i="2"/>
  <c r="G52" i="20"/>
  <c r="AP219" i="11"/>
  <c r="AO39" i="11"/>
  <c r="AO218" i="11"/>
  <c r="AN37" i="11"/>
  <c r="AM215" i="11"/>
  <c r="AM220" i="11"/>
  <c r="AL41" i="11"/>
  <c r="AP225" i="10"/>
  <c r="AO51" i="10"/>
  <c r="AP218" i="10"/>
  <c r="AO37" i="10"/>
  <c r="AQ229" i="22"/>
  <c r="AP59" i="22"/>
  <c r="AP220" i="22"/>
  <c r="AO41" i="22"/>
  <c r="AP227" i="22"/>
  <c r="AO55" i="22"/>
  <c r="AP218" i="22"/>
  <c r="AN228" i="8"/>
  <c r="AM57" i="8"/>
  <c r="AP227" i="8"/>
  <c r="AO55" i="8"/>
  <c r="AQ220" i="8"/>
  <c r="AP41" i="8"/>
  <c r="AQ216" i="8"/>
  <c r="AP33" i="8"/>
  <c r="AQ226" i="8"/>
  <c r="AP53" i="8"/>
  <c r="AR215" i="8"/>
  <c r="AQ31" i="8"/>
  <c r="AQ224" i="8"/>
  <c r="AP49" i="8"/>
  <c r="AQ227" i="7"/>
  <c r="AP55" i="7"/>
  <c r="AQ226" i="7"/>
  <c r="AP53" i="7"/>
  <c r="AQ225" i="7"/>
  <c r="AP51" i="7"/>
  <c r="AO223" i="7"/>
  <c r="AN47" i="7"/>
  <c r="AJ216" i="7"/>
  <c r="AI33" i="7"/>
  <c r="AN222" i="7"/>
  <c r="AM45" i="7"/>
  <c r="AQ231" i="6"/>
  <c r="AP57" i="6"/>
  <c r="AQ230" i="6"/>
  <c r="AP55" i="6"/>
  <c r="AQ229" i="6"/>
  <c r="AP53" i="6"/>
  <c r="AQ228" i="6"/>
  <c r="AP51" i="6"/>
  <c r="AQ227" i="6"/>
  <c r="AP49" i="6"/>
  <c r="AO225" i="6"/>
  <c r="AN45" i="6"/>
  <c r="AP230" i="9"/>
  <c r="AO61" i="9"/>
  <c r="AQ229" i="9"/>
  <c r="AP59" i="9"/>
  <c r="AM216" i="9"/>
  <c r="AL33" i="9"/>
  <c r="AP218" i="9"/>
  <c r="AO37" i="9"/>
  <c r="AP220" i="9"/>
  <c r="AO41" i="9"/>
  <c r="AO241" i="1"/>
  <c r="AN69" i="1"/>
  <c r="AQ238" i="1"/>
  <c r="AP63" i="1"/>
  <c r="AQ230" i="1"/>
  <c r="AP47" i="1"/>
  <c r="AQ234" i="1"/>
  <c r="AP55" i="1"/>
  <c r="AO231" i="1"/>
  <c r="AN49" i="1"/>
  <c r="AO229" i="1"/>
  <c r="AN45" i="1"/>
  <c r="AO227" i="1"/>
  <c r="AN41" i="1"/>
  <c r="AO225" i="1"/>
  <c r="AN37" i="1"/>
  <c r="AQ226" i="1"/>
  <c r="AP39" i="1"/>
  <c r="AP224" i="7"/>
  <c r="AO49" i="7"/>
  <c r="CC37" i="2"/>
  <c r="K37" i="20"/>
  <c r="U27" i="39"/>
  <c r="F75" i="9"/>
  <c r="G237" i="9"/>
  <c r="J49" i="20"/>
  <c r="BT50" i="2"/>
  <c r="I55" i="20"/>
  <c r="BK56" i="2"/>
  <c r="CL57" i="2"/>
  <c r="L56" i="20"/>
  <c r="BJ114" i="2"/>
  <c r="CK114" i="2"/>
  <c r="EG147" i="10"/>
  <c r="W95" i="40"/>
  <c r="X324" i="40"/>
  <c r="V111" i="40"/>
  <c r="W332" i="40"/>
  <c r="V101" i="40"/>
  <c r="W327" i="40"/>
  <c r="R97" i="40"/>
  <c r="S325" i="40"/>
  <c r="V93" i="40"/>
  <c r="W323" i="40"/>
  <c r="V109" i="40"/>
  <c r="W331" i="40"/>
  <c r="R107" i="40"/>
  <c r="S330" i="40"/>
  <c r="V103" i="40"/>
  <c r="W328" i="40"/>
  <c r="Q105" i="40"/>
  <c r="R329" i="40"/>
  <c r="P99" i="40"/>
  <c r="Q326" i="40"/>
  <c r="W91" i="40"/>
  <c r="Y307" i="40"/>
  <c r="X61" i="40"/>
  <c r="Z314" i="40"/>
  <c r="Y75" i="40"/>
  <c r="X311" i="40"/>
  <c r="W69" i="40"/>
  <c r="Z299" i="40"/>
  <c r="Y45" i="40"/>
  <c r="Z322" i="40"/>
  <c r="Z320" i="40"/>
  <c r="Y87" i="40"/>
  <c r="X309" i="40"/>
  <c r="W65" i="40"/>
  <c r="Z316" i="40"/>
  <c r="Y79" i="40"/>
  <c r="Y319" i="40"/>
  <c r="X85" i="40"/>
  <c r="Y302" i="40"/>
  <c r="X51" i="40"/>
  <c r="Y297" i="40"/>
  <c r="X41" i="40"/>
  <c r="Y310" i="40"/>
  <c r="X67" i="40"/>
  <c r="Z308" i="40"/>
  <c r="Y63" i="40"/>
  <c r="Z304" i="40"/>
  <c r="Y55" i="40"/>
  <c r="Z318" i="40"/>
  <c r="Y83" i="40"/>
  <c r="Y321" i="40"/>
  <c r="X89" i="40"/>
  <c r="Z298" i="40"/>
  <c r="Y43" i="40"/>
  <c r="Z303" i="40"/>
  <c r="Y53" i="40"/>
  <c r="Z305" i="40"/>
  <c r="Y57" i="40"/>
  <c r="Z300" i="40"/>
  <c r="Y47" i="40"/>
  <c r="Y317" i="40"/>
  <c r="X81" i="40"/>
  <c r="Z312" i="40"/>
  <c r="Y71" i="40"/>
  <c r="Z306" i="40"/>
  <c r="Y59" i="40"/>
  <c r="Z301" i="40"/>
  <c r="Y49" i="40"/>
  <c r="X313" i="40"/>
  <c r="W73" i="40"/>
  <c r="Y315" i="40"/>
  <c r="X77" i="40"/>
  <c r="AD232" i="9"/>
  <c r="AC65" i="9"/>
  <c r="AC67" i="10"/>
  <c r="AD233" i="10"/>
  <c r="AO226" i="6"/>
  <c r="AN47" i="6"/>
  <c r="AM238" i="10"/>
  <c r="AL77" i="10"/>
  <c r="AE71" i="22"/>
  <c r="AF235" i="22"/>
  <c r="P67" i="22"/>
  <c r="Q233" i="22"/>
  <c r="EH146" i="10"/>
  <c r="EH145" i="10"/>
  <c r="L67" i="9"/>
  <c r="M233" i="9"/>
  <c r="AM69" i="10"/>
  <c r="AN234" i="10"/>
  <c r="AO57" i="22"/>
  <c r="AP228" i="22"/>
  <c r="AD236" i="22"/>
  <c r="AC73" i="22"/>
  <c r="EJ54" i="10"/>
  <c r="EI144" i="10"/>
  <c r="W75" i="11"/>
  <c r="X237" i="11"/>
  <c r="AM63" i="9"/>
  <c r="AN231" i="9"/>
  <c r="K59" i="10"/>
  <c r="L229" i="10"/>
  <c r="AL51" i="11"/>
  <c r="AM225" i="11"/>
  <c r="AH47" i="11"/>
  <c r="AI223" i="11"/>
  <c r="AE63" i="22"/>
  <c r="AF231" i="22"/>
  <c r="L65" i="10"/>
  <c r="M232" i="10"/>
  <c r="AI230" i="7"/>
  <c r="AH61" i="7"/>
  <c r="L81" i="10"/>
  <c r="M240" i="10"/>
  <c r="AA63" i="10"/>
  <c r="AB231" i="10"/>
  <c r="AL77" i="7"/>
  <c r="AM238" i="7"/>
  <c r="AM61" i="10"/>
  <c r="AN230" i="10"/>
  <c r="Z59" i="8"/>
  <c r="AA229" i="8"/>
  <c r="AK229" i="7"/>
  <c r="AJ59" i="7"/>
  <c r="X71" i="10"/>
  <c r="Y235" i="10"/>
  <c r="AE63" i="8"/>
  <c r="AF231" i="8"/>
  <c r="AF79" i="7"/>
  <c r="AG239" i="7"/>
  <c r="AL228" i="11"/>
  <c r="AK57" i="11"/>
  <c r="AL77" i="11"/>
  <c r="AM238" i="11"/>
  <c r="AI79" i="11"/>
  <c r="AJ239" i="11"/>
  <c r="AM77" i="22"/>
  <c r="AN238" i="22"/>
  <c r="AD239" i="22"/>
  <c r="AC79" i="22"/>
  <c r="AN235" i="8"/>
  <c r="AM71" i="8"/>
  <c r="AD79" i="9"/>
  <c r="AE239" i="9"/>
  <c r="AN239" i="8"/>
  <c r="AM79" i="8"/>
  <c r="AN67" i="7"/>
  <c r="AO233" i="7"/>
  <c r="R71" i="2"/>
  <c r="D71" i="20"/>
  <c r="AO219" i="10"/>
  <c r="AN39" i="10"/>
  <c r="AO220" i="10"/>
  <c r="AN41" i="10"/>
  <c r="AO223" i="10"/>
  <c r="AN47" i="10"/>
  <c r="AN222" i="10"/>
  <c r="AM45" i="10"/>
  <c r="AO221" i="10"/>
  <c r="AN43" i="10"/>
  <c r="AO217" i="10"/>
  <c r="AN35" i="10"/>
  <c r="AO53" i="10"/>
  <c r="AP226" i="10"/>
  <c r="AO224" i="10"/>
  <c r="AN49" i="10"/>
  <c r="AO31" i="10"/>
  <c r="AP215" i="10"/>
  <c r="AN33" i="10"/>
  <c r="AO216" i="10"/>
  <c r="AP225" i="22"/>
  <c r="AO51" i="22"/>
  <c r="AO221" i="22"/>
  <c r="AN43" i="22"/>
  <c r="AO226" i="22"/>
  <c r="AN53" i="22"/>
  <c r="AN223" i="22"/>
  <c r="AM47" i="22"/>
  <c r="AO225" i="8"/>
  <c r="AN51" i="8"/>
  <c r="AP223" i="8"/>
  <c r="AO47" i="8"/>
  <c r="O81" i="22"/>
  <c r="P240" i="22"/>
  <c r="F53" i="11"/>
  <c r="G226" i="11"/>
  <c r="Q71" i="7"/>
  <c r="R235" i="7"/>
  <c r="AK73" i="9"/>
  <c r="AL236" i="9"/>
  <c r="L57" i="10"/>
  <c r="M228" i="10"/>
  <c r="T77" i="8"/>
  <c r="U238" i="8"/>
  <c r="R61" i="22"/>
  <c r="S230" i="22"/>
  <c r="AK77" i="9"/>
  <c r="AL238" i="9"/>
  <c r="R67" i="11"/>
  <c r="S233" i="11"/>
  <c r="L71" i="9"/>
  <c r="M235" i="9"/>
  <c r="M81" i="7"/>
  <c r="N240" i="7"/>
  <c r="I69" i="7"/>
  <c r="J234" i="7"/>
  <c r="V61" i="8"/>
  <c r="W230" i="8"/>
  <c r="T73" i="11"/>
  <c r="U236" i="11"/>
  <c r="J49" i="11"/>
  <c r="K224" i="11"/>
  <c r="M79" i="10"/>
  <c r="N239" i="10"/>
  <c r="N69" i="9"/>
  <c r="O234" i="9"/>
  <c r="AP216" i="22"/>
  <c r="AO33" i="22"/>
  <c r="K81" i="9"/>
  <c r="L240" i="9"/>
  <c r="Q69" i="22"/>
  <c r="R234" i="22"/>
  <c r="P75" i="7"/>
  <c r="Q237" i="7"/>
  <c r="M65" i="22"/>
  <c r="N232" i="22"/>
  <c r="Q67" i="8"/>
  <c r="R233" i="8"/>
  <c r="AF73" i="8"/>
  <c r="AG236" i="8"/>
  <c r="S69" i="8"/>
  <c r="T234" i="8"/>
  <c r="R81" i="11"/>
  <c r="S240" i="11"/>
  <c r="O75" i="10"/>
  <c r="P237" i="10"/>
  <c r="E73" i="10"/>
  <c r="F236" i="10"/>
  <c r="O75" i="8"/>
  <c r="P237" i="8"/>
  <c r="O75" i="22"/>
  <c r="P237" i="22"/>
  <c r="N41" i="20"/>
  <c r="O41" i="20"/>
  <c r="B39" i="38"/>
  <c r="B105" i="38"/>
  <c r="M31" i="39"/>
  <c r="I43" i="2"/>
  <c r="C43" i="20"/>
  <c r="AN45" i="8"/>
  <c r="AO222" i="8"/>
  <c r="AM43" i="8"/>
  <c r="AN221" i="8"/>
  <c r="AJ35" i="8"/>
  <c r="AK217" i="8"/>
  <c r="AO216" i="11"/>
  <c r="AN33" i="11"/>
  <c r="AD63" i="7"/>
  <c r="AE231" i="7"/>
  <c r="AN31" i="9"/>
  <c r="AO215" i="9"/>
  <c r="AO53" i="9"/>
  <c r="AP226" i="9"/>
  <c r="AN222" i="1"/>
  <c r="AM31" i="1"/>
  <c r="AO35" i="1"/>
  <c r="AP224" i="1"/>
  <c r="AO59" i="1"/>
  <c r="AP236" i="1"/>
  <c r="AO233" i="1"/>
  <c r="AN53" i="1"/>
  <c r="AP239" i="1"/>
  <c r="AO65" i="1"/>
  <c r="AM33" i="1"/>
  <c r="AN223" i="1"/>
  <c r="AO232" i="1"/>
  <c r="AN51" i="1"/>
  <c r="AJ62" i="2"/>
  <c r="F62" i="20"/>
  <c r="BB51" i="2"/>
  <c r="H51" i="20"/>
  <c r="AM45" i="22"/>
  <c r="AN222" i="22"/>
  <c r="AO214" i="6"/>
  <c r="AN23" i="6"/>
  <c r="AO220" i="6"/>
  <c r="AN35" i="6"/>
  <c r="AN224" i="6"/>
  <c r="AM43" i="6"/>
  <c r="AO216" i="6"/>
  <c r="AN27" i="6"/>
  <c r="AO221" i="6"/>
  <c r="AN37" i="6"/>
  <c r="AO223" i="6"/>
  <c r="AN41" i="6"/>
  <c r="AO215" i="6"/>
  <c r="AN25" i="6"/>
  <c r="AO217" i="6"/>
  <c r="AO219" i="6"/>
  <c r="AN33" i="6"/>
  <c r="AN218" i="6"/>
  <c r="AM31" i="6"/>
  <c r="AO43" i="1"/>
  <c r="AP228" i="1"/>
  <c r="AK81" i="1"/>
  <c r="AL247" i="1"/>
  <c r="AK248" i="1"/>
  <c r="AJ83" i="1"/>
  <c r="AJ39" i="8"/>
  <c r="AK219" i="8"/>
  <c r="AM37" i="8"/>
  <c r="AN218" i="8"/>
  <c r="AL222" i="11"/>
  <c r="AK45" i="11"/>
  <c r="AA62" i="2"/>
  <c r="E62" i="20"/>
  <c r="AO217" i="22"/>
  <c r="AN35" i="22"/>
  <c r="AN219" i="22"/>
  <c r="AM39" i="22"/>
  <c r="AN49" i="22"/>
  <c r="AO224" i="22"/>
  <c r="AO221" i="7"/>
  <c r="AN43" i="7"/>
  <c r="AL220" i="7"/>
  <c r="AK41" i="7"/>
  <c r="AN215" i="7"/>
  <c r="AM31" i="7"/>
  <c r="AO217" i="7"/>
  <c r="AN35" i="7"/>
  <c r="AM37" i="7"/>
  <c r="AN218" i="7"/>
  <c r="AN219" i="7"/>
  <c r="AM39" i="7"/>
  <c r="AL222" i="6"/>
  <c r="AK39" i="6"/>
  <c r="AP43" i="9"/>
  <c r="AQ221" i="9"/>
  <c r="AO217" i="9"/>
  <c r="AN35" i="9"/>
  <c r="AK39" i="9"/>
  <c r="AL219" i="9"/>
  <c r="AJ55" i="9"/>
  <c r="AK227" i="9"/>
  <c r="AO47" i="9"/>
  <c r="AP223" i="9"/>
  <c r="AM51" i="9"/>
  <c r="AN225" i="9"/>
  <c r="AO222" i="9"/>
  <c r="AN45" i="9"/>
  <c r="AL57" i="9"/>
  <c r="AM228" i="9"/>
  <c r="AO224" i="9"/>
  <c r="AN49" i="9"/>
  <c r="AH57" i="1"/>
  <c r="AI235" i="1"/>
  <c r="AO242" i="1"/>
  <c r="AN71" i="1"/>
  <c r="AM245" i="1"/>
  <c r="AL77" i="1"/>
  <c r="AN237" i="1"/>
  <c r="AM61" i="1"/>
  <c r="AM243" i="1"/>
  <c r="AL73" i="1"/>
  <c r="AP246" i="1"/>
  <c r="AO79" i="1"/>
  <c r="AO244" i="1"/>
  <c r="AN75" i="1"/>
  <c r="AM67" i="1"/>
  <c r="AN240" i="1"/>
  <c r="AJ221" i="11"/>
  <c r="AI43" i="11"/>
  <c r="AS53" i="2"/>
  <c r="G53" i="20"/>
  <c r="AL215" i="11"/>
  <c r="AO219" i="11"/>
  <c r="AN39" i="11"/>
  <c r="AL220" i="11"/>
  <c r="AK41" i="11"/>
  <c r="AN218" i="11"/>
  <c r="AM37" i="11"/>
  <c r="AO225" i="10"/>
  <c r="AN51" i="10"/>
  <c r="AO218" i="10"/>
  <c r="AN37" i="10"/>
  <c r="AP229" i="22"/>
  <c r="AO59" i="22"/>
  <c r="AO227" i="22"/>
  <c r="AN55" i="22"/>
  <c r="AO220" i="22"/>
  <c r="AN41" i="22"/>
  <c r="AO218" i="22"/>
  <c r="AM228" i="8"/>
  <c r="AL57" i="8"/>
  <c r="AO227" i="8"/>
  <c r="AN55" i="8"/>
  <c r="AP224" i="8"/>
  <c r="AO49" i="8"/>
  <c r="AQ215" i="8"/>
  <c r="AP31" i="8"/>
  <c r="AP226" i="8"/>
  <c r="AO53" i="8"/>
  <c r="AP216" i="8"/>
  <c r="AO33" i="8"/>
  <c r="AP220" i="8"/>
  <c r="AO41" i="8"/>
  <c r="AP227" i="7"/>
  <c r="AO55" i="7"/>
  <c r="AP226" i="7"/>
  <c r="AO53" i="7"/>
  <c r="AP225" i="7"/>
  <c r="AO51" i="7"/>
  <c r="AM222" i="7"/>
  <c r="AL45" i="7"/>
  <c r="AN223" i="7"/>
  <c r="AM47" i="7"/>
  <c r="AI216" i="7"/>
  <c r="AH33" i="7"/>
  <c r="AP231" i="6"/>
  <c r="AO57" i="6"/>
  <c r="AP230" i="6"/>
  <c r="AO55" i="6"/>
  <c r="AP229" i="6"/>
  <c r="AO53" i="6"/>
  <c r="AP228" i="6"/>
  <c r="AO51" i="6"/>
  <c r="AP227" i="6"/>
  <c r="AO49" i="6"/>
  <c r="AN225" i="6"/>
  <c r="AM45" i="6"/>
  <c r="AO230" i="9"/>
  <c r="AN61" i="9"/>
  <c r="AP229" i="9"/>
  <c r="AO59" i="9"/>
  <c r="AO220" i="9"/>
  <c r="AN41" i="9"/>
  <c r="AL216" i="9"/>
  <c r="AK33" i="9"/>
  <c r="AO218" i="9"/>
  <c r="AN37" i="9"/>
  <c r="AN241" i="1"/>
  <c r="AM69" i="1"/>
  <c r="AP238" i="1"/>
  <c r="AO63" i="1"/>
  <c r="AP234" i="1"/>
  <c r="AO55" i="1"/>
  <c r="AP230" i="1"/>
  <c r="AO47" i="1"/>
  <c r="AN231" i="1"/>
  <c r="AM49" i="1"/>
  <c r="AN229" i="1"/>
  <c r="AM45" i="1"/>
  <c r="AN225" i="1"/>
  <c r="AM37" i="1"/>
  <c r="AN227" i="1"/>
  <c r="AM41" i="1"/>
  <c r="AP226" i="1"/>
  <c r="AO39" i="1"/>
  <c r="AO224" i="7"/>
  <c r="AN49" i="7"/>
  <c r="CC38" i="2"/>
  <c r="K38" i="20"/>
  <c r="U28" i="39"/>
  <c r="F237" i="9"/>
  <c r="E75" i="9"/>
  <c r="J50" i="20"/>
  <c r="BT51" i="2"/>
  <c r="I56" i="20"/>
  <c r="BK57" i="2"/>
  <c r="CL58" i="2"/>
  <c r="L57" i="20"/>
  <c r="O99" i="40"/>
  <c r="P326" i="40"/>
  <c r="U103" i="40"/>
  <c r="V328" i="40"/>
  <c r="U109" i="40"/>
  <c r="V331" i="40"/>
  <c r="Q97" i="40"/>
  <c r="R325" i="40"/>
  <c r="U111" i="40"/>
  <c r="V332" i="40"/>
  <c r="P105" i="40"/>
  <c r="Q329" i="40"/>
  <c r="Q107" i="40"/>
  <c r="R330" i="40"/>
  <c r="U93" i="40"/>
  <c r="V323" i="40"/>
  <c r="U101" i="40"/>
  <c r="V327" i="40"/>
  <c r="V95" i="40"/>
  <c r="W324" i="40"/>
  <c r="V91" i="40"/>
  <c r="X315" i="40"/>
  <c r="W77" i="40"/>
  <c r="Y303" i="40"/>
  <c r="X53" i="40"/>
  <c r="Y320" i="40"/>
  <c r="X87" i="40"/>
  <c r="Y312" i="40"/>
  <c r="X71" i="40"/>
  <c r="X321" i="40"/>
  <c r="W89" i="40"/>
  <c r="X310" i="40"/>
  <c r="W67" i="40"/>
  <c r="Y316" i="40"/>
  <c r="X79" i="40"/>
  <c r="Y314" i="40"/>
  <c r="X75" i="40"/>
  <c r="W313" i="40"/>
  <c r="V73" i="40"/>
  <c r="Y306" i="40"/>
  <c r="X59" i="40"/>
  <c r="X317" i="40"/>
  <c r="W81" i="40"/>
  <c r="Y305" i="40"/>
  <c r="X57" i="40"/>
  <c r="Y298" i="40"/>
  <c r="X43" i="40"/>
  <c r="Y318" i="40"/>
  <c r="X83" i="40"/>
  <c r="Y308" i="40"/>
  <c r="X63" i="40"/>
  <c r="X297" i="40"/>
  <c r="W41" i="40"/>
  <c r="X319" i="40"/>
  <c r="W85" i="40"/>
  <c r="W309" i="40"/>
  <c r="V65" i="40"/>
  <c r="Y322" i="40"/>
  <c r="W311" i="40"/>
  <c r="V69" i="40"/>
  <c r="X307" i="40"/>
  <c r="W61" i="40"/>
  <c r="Y301" i="40"/>
  <c r="X49" i="40"/>
  <c r="Y300" i="40"/>
  <c r="X47" i="40"/>
  <c r="Y304" i="40"/>
  <c r="X55" i="40"/>
  <c r="X302" i="40"/>
  <c r="W51" i="40"/>
  <c r="Y299" i="40"/>
  <c r="X45" i="40"/>
  <c r="AI239" i="11"/>
  <c r="AH79" i="11"/>
  <c r="AL61" i="10"/>
  <c r="AM230" i="10"/>
  <c r="O67" i="22"/>
  <c r="P233" i="22"/>
  <c r="AL79" i="8"/>
  <c r="AM239" i="8"/>
  <c r="AL71" i="8"/>
  <c r="AM235" i="8"/>
  <c r="AC239" i="22"/>
  <c r="AB79" i="22"/>
  <c r="AJ57" i="11"/>
  <c r="AK228" i="11"/>
  <c r="AI59" i="7"/>
  <c r="AJ229" i="7"/>
  <c r="AG61" i="7"/>
  <c r="AH230" i="7"/>
  <c r="EI146" i="10"/>
  <c r="EI145" i="10"/>
  <c r="AK77" i="10"/>
  <c r="AL238" i="10"/>
  <c r="AD63" i="8"/>
  <c r="AE231" i="8"/>
  <c r="AA231" i="10"/>
  <c r="Z63" i="10"/>
  <c r="AK51" i="11"/>
  <c r="AL225" i="11"/>
  <c r="EJ144" i="10"/>
  <c r="EK54" i="10"/>
  <c r="AB67" i="10"/>
  <c r="AC233" i="10"/>
  <c r="AB73" i="22"/>
  <c r="AC236" i="22"/>
  <c r="AN226" i="6"/>
  <c r="AM47" i="6"/>
  <c r="AC232" i="9"/>
  <c r="AB65" i="9"/>
  <c r="AD63" i="22"/>
  <c r="AE231" i="22"/>
  <c r="AL63" i="9"/>
  <c r="AM231" i="9"/>
  <c r="AN57" i="22"/>
  <c r="AO228" i="22"/>
  <c r="K67" i="9"/>
  <c r="L233" i="9"/>
  <c r="AM67" i="7"/>
  <c r="AN233" i="7"/>
  <c r="AC79" i="9"/>
  <c r="AD239" i="9"/>
  <c r="AL77" i="22"/>
  <c r="AM238" i="22"/>
  <c r="AK77" i="11"/>
  <c r="AL238" i="11"/>
  <c r="AE79" i="7"/>
  <c r="AF239" i="7"/>
  <c r="X235" i="10"/>
  <c r="W71" i="10"/>
  <c r="Y59" i="8"/>
  <c r="Z229" i="8"/>
  <c r="AK77" i="7"/>
  <c r="AL238" i="7"/>
  <c r="K81" i="10"/>
  <c r="L240" i="10"/>
  <c r="K65" i="10"/>
  <c r="L232" i="10"/>
  <c r="AH223" i="11"/>
  <c r="AG47" i="11"/>
  <c r="J59" i="10"/>
  <c r="K229" i="10"/>
  <c r="V75" i="11"/>
  <c r="W237" i="11"/>
  <c r="AM234" i="10"/>
  <c r="AL69" i="10"/>
  <c r="EH147" i="10"/>
  <c r="AE235" i="22"/>
  <c r="AD71" i="22"/>
  <c r="R72" i="2"/>
  <c r="D72" i="20"/>
  <c r="AN224" i="10"/>
  <c r="AM49" i="10"/>
  <c r="AN217" i="10"/>
  <c r="AM35" i="10"/>
  <c r="AM222" i="10"/>
  <c r="AL45" i="10"/>
  <c r="AN220" i="10"/>
  <c r="AM41" i="10"/>
  <c r="AN216" i="10"/>
  <c r="AM33" i="10"/>
  <c r="AN221" i="10"/>
  <c r="AM43" i="10"/>
  <c r="AN223" i="10"/>
  <c r="AM47" i="10"/>
  <c r="AN219" i="10"/>
  <c r="AM39" i="10"/>
  <c r="AN31" i="10"/>
  <c r="AO215" i="10"/>
  <c r="AO226" i="10"/>
  <c r="AN53" i="10"/>
  <c r="AM53" i="22"/>
  <c r="AN226" i="22"/>
  <c r="AM223" i="22"/>
  <c r="AL47" i="22"/>
  <c r="AM43" i="22"/>
  <c r="AN221" i="22"/>
  <c r="AO225" i="22"/>
  <c r="AN51" i="22"/>
  <c r="AN47" i="8"/>
  <c r="AO223" i="8"/>
  <c r="AM51" i="8"/>
  <c r="AN225" i="8"/>
  <c r="N75" i="8"/>
  <c r="O237" i="8"/>
  <c r="N75" i="10"/>
  <c r="O237" i="10"/>
  <c r="AE73" i="8"/>
  <c r="AF236" i="8"/>
  <c r="L65" i="22"/>
  <c r="M232" i="22"/>
  <c r="L79" i="10"/>
  <c r="M239" i="10"/>
  <c r="S73" i="11"/>
  <c r="T236" i="11"/>
  <c r="H69" i="7"/>
  <c r="I234" i="7"/>
  <c r="K71" i="9"/>
  <c r="L235" i="9"/>
  <c r="AJ77" i="9"/>
  <c r="AK238" i="9"/>
  <c r="S77" i="8"/>
  <c r="T238" i="8"/>
  <c r="K57" i="10"/>
  <c r="L228" i="10"/>
  <c r="AJ73" i="9"/>
  <c r="AK236" i="9"/>
  <c r="E53" i="11"/>
  <c r="F226" i="11"/>
  <c r="J81" i="9"/>
  <c r="K240" i="9"/>
  <c r="N75" i="22"/>
  <c r="O237" i="22"/>
  <c r="D73" i="10"/>
  <c r="E236" i="10"/>
  <c r="Q81" i="11"/>
  <c r="R240" i="11"/>
  <c r="R69" i="8"/>
  <c r="S234" i="8"/>
  <c r="P67" i="8"/>
  <c r="Q233" i="8"/>
  <c r="O75" i="7"/>
  <c r="P237" i="7"/>
  <c r="P69" i="22"/>
  <c r="Q234" i="22"/>
  <c r="M69" i="9"/>
  <c r="N234" i="9"/>
  <c r="I49" i="11"/>
  <c r="J224" i="11"/>
  <c r="U61" i="8"/>
  <c r="V230" i="8"/>
  <c r="L81" i="7"/>
  <c r="M240" i="7"/>
  <c r="Q67" i="11"/>
  <c r="R233" i="11"/>
  <c r="Q61" i="22"/>
  <c r="R230" i="22"/>
  <c r="P71" i="7"/>
  <c r="Q235" i="7"/>
  <c r="N81" i="22"/>
  <c r="O240" i="22"/>
  <c r="AN33" i="22"/>
  <c r="AO216" i="22"/>
  <c r="I44" i="2"/>
  <c r="C44" i="20"/>
  <c r="M32" i="39"/>
  <c r="B40" i="38"/>
  <c r="B106" i="38"/>
  <c r="N42" i="20"/>
  <c r="O42" i="20"/>
  <c r="AJ217" i="8"/>
  <c r="AI35" i="8"/>
  <c r="AL43" i="8"/>
  <c r="AM221" i="8"/>
  <c r="AN222" i="8"/>
  <c r="AM45" i="8"/>
  <c r="AN216" i="11"/>
  <c r="AM33" i="11"/>
  <c r="AC63" i="7"/>
  <c r="AD231" i="7"/>
  <c r="AN53" i="9"/>
  <c r="AO226" i="9"/>
  <c r="AN215" i="9"/>
  <c r="AM31" i="9"/>
  <c r="AL31" i="1"/>
  <c r="AM222" i="1"/>
  <c r="AL33" i="1"/>
  <c r="AM223" i="1"/>
  <c r="AN59" i="1"/>
  <c r="AO236" i="1"/>
  <c r="AN35" i="1"/>
  <c r="AO224" i="1"/>
  <c r="AO239" i="1"/>
  <c r="AN65" i="1"/>
  <c r="AM53" i="1"/>
  <c r="AN233" i="1"/>
  <c r="AM51" i="1"/>
  <c r="AN232" i="1"/>
  <c r="AJ63" i="2"/>
  <c r="F63" i="20"/>
  <c r="BB52" i="2"/>
  <c r="H52" i="20"/>
  <c r="AL45" i="22"/>
  <c r="AM222" i="22"/>
  <c r="AN219" i="6"/>
  <c r="AM33" i="6"/>
  <c r="AN217" i="6"/>
  <c r="AN215" i="6"/>
  <c r="AM25" i="6"/>
  <c r="AN223" i="6"/>
  <c r="AM41" i="6"/>
  <c r="AN221" i="6"/>
  <c r="AM37" i="6"/>
  <c r="AM27" i="6"/>
  <c r="AN216" i="6"/>
  <c r="AM224" i="6"/>
  <c r="AL43" i="6"/>
  <c r="AN220" i="6"/>
  <c r="AM35" i="6"/>
  <c r="AN214" i="6"/>
  <c r="AM23" i="6"/>
  <c r="AM218" i="6"/>
  <c r="AL31" i="6"/>
  <c r="AI83" i="1"/>
  <c r="AJ248" i="1"/>
  <c r="AJ81" i="1"/>
  <c r="AK247" i="1"/>
  <c r="AO228" i="1"/>
  <c r="AN43" i="1"/>
  <c r="AM218" i="8"/>
  <c r="AL37" i="8"/>
  <c r="AI39" i="8"/>
  <c r="AJ219" i="8"/>
  <c r="AK222" i="11"/>
  <c r="AJ45" i="11"/>
  <c r="AA63" i="2"/>
  <c r="E63" i="20"/>
  <c r="AM219" i="22"/>
  <c r="AL39" i="22"/>
  <c r="AN217" i="22"/>
  <c r="AM35" i="22"/>
  <c r="AN224" i="22"/>
  <c r="AM49" i="22"/>
  <c r="AN217" i="7"/>
  <c r="AM35" i="7"/>
  <c r="AK220" i="7"/>
  <c r="AJ41" i="7"/>
  <c r="AM218" i="7"/>
  <c r="AL37" i="7"/>
  <c r="AL39" i="7"/>
  <c r="AM219" i="7"/>
  <c r="AM215" i="7"/>
  <c r="AL31" i="7"/>
  <c r="AN221" i="7"/>
  <c r="AM43" i="7"/>
  <c r="AK222" i="6"/>
  <c r="AJ39" i="6"/>
  <c r="AN217" i="9"/>
  <c r="AM35" i="9"/>
  <c r="AJ227" i="9"/>
  <c r="AI55" i="9"/>
  <c r="AO223" i="9"/>
  <c r="AN47" i="9"/>
  <c r="AK219" i="9"/>
  <c r="AJ39" i="9"/>
  <c r="AP221" i="9"/>
  <c r="AO43" i="9"/>
  <c r="AM225" i="9"/>
  <c r="AL51" i="9"/>
  <c r="AN222" i="9"/>
  <c r="AM45" i="9"/>
  <c r="AN224" i="9"/>
  <c r="AM49" i="9"/>
  <c r="AK57" i="9"/>
  <c r="AL228" i="9"/>
  <c r="AN79" i="1"/>
  <c r="AO246" i="1"/>
  <c r="AL61" i="1"/>
  <c r="AM237" i="1"/>
  <c r="AM240" i="1"/>
  <c r="AL67" i="1"/>
  <c r="AN244" i="1"/>
  <c r="AM75" i="1"/>
  <c r="AK73" i="1"/>
  <c r="AL243" i="1"/>
  <c r="AK77" i="1"/>
  <c r="AL245" i="1"/>
  <c r="AN242" i="1"/>
  <c r="AM71" i="1"/>
  <c r="AG57" i="1"/>
  <c r="AH235" i="1"/>
  <c r="AI221" i="11"/>
  <c r="AH43" i="11"/>
  <c r="AS54" i="2"/>
  <c r="G54" i="20"/>
  <c r="AK220" i="11"/>
  <c r="AJ41" i="11"/>
  <c r="AK215" i="11"/>
  <c r="AM218" i="11"/>
  <c r="AL37" i="11"/>
  <c r="AN219" i="11"/>
  <c r="AM39" i="11"/>
  <c r="AN225" i="10"/>
  <c r="AM51" i="10"/>
  <c r="AN218" i="10"/>
  <c r="AM37" i="10"/>
  <c r="AO229" i="22"/>
  <c r="AN59" i="22"/>
  <c r="AN218" i="22"/>
  <c r="AN220" i="22"/>
  <c r="AM41" i="22"/>
  <c r="AN227" i="22"/>
  <c r="AM55" i="22"/>
  <c r="AL228" i="8"/>
  <c r="AK57" i="8"/>
  <c r="AN227" i="8"/>
  <c r="AM55" i="8"/>
  <c r="AO220" i="8"/>
  <c r="AN41" i="8"/>
  <c r="AO226" i="8"/>
  <c r="AN53" i="8"/>
  <c r="AO224" i="8"/>
  <c r="AN49" i="8"/>
  <c r="AO216" i="8"/>
  <c r="AN33" i="8"/>
  <c r="AP215" i="8"/>
  <c r="AO31" i="8"/>
  <c r="AO227" i="7"/>
  <c r="AN55" i="7"/>
  <c r="AO226" i="7"/>
  <c r="AN53" i="7"/>
  <c r="AO225" i="7"/>
  <c r="AN51" i="7"/>
  <c r="AH216" i="7"/>
  <c r="AG33" i="7"/>
  <c r="AM223" i="7"/>
  <c r="AL47" i="7"/>
  <c r="AL222" i="7"/>
  <c r="AK45" i="7"/>
  <c r="AO231" i="6"/>
  <c r="AN57" i="6"/>
  <c r="AO230" i="6"/>
  <c r="AN55" i="6"/>
  <c r="AO229" i="6"/>
  <c r="AN53" i="6"/>
  <c r="AO228" i="6"/>
  <c r="AN51" i="6"/>
  <c r="AO227" i="6"/>
  <c r="AN49" i="6"/>
  <c r="AM225" i="6"/>
  <c r="AL45" i="6"/>
  <c r="AN230" i="9"/>
  <c r="AM61" i="9"/>
  <c r="AO229" i="9"/>
  <c r="AN59" i="9"/>
  <c r="AN218" i="9"/>
  <c r="AM37" i="9"/>
  <c r="AK216" i="9"/>
  <c r="AJ33" i="9"/>
  <c r="AN220" i="9"/>
  <c r="AM41" i="9"/>
  <c r="AM241" i="1"/>
  <c r="AL69" i="1"/>
  <c r="AO238" i="1"/>
  <c r="AN63" i="1"/>
  <c r="AO234" i="1"/>
  <c r="AN55" i="1"/>
  <c r="AM231" i="1"/>
  <c r="AL49" i="1"/>
  <c r="AO230" i="1"/>
  <c r="AN47" i="1"/>
  <c r="AM229" i="1"/>
  <c r="AL45" i="1"/>
  <c r="AO226" i="1"/>
  <c r="AN39" i="1"/>
  <c r="AM227" i="1"/>
  <c r="AL41" i="1"/>
  <c r="AM225" i="1"/>
  <c r="AL37" i="1"/>
  <c r="AN224" i="7"/>
  <c r="AM49" i="7"/>
  <c r="CC39" i="2"/>
  <c r="CC40" i="2"/>
  <c r="CC41" i="2"/>
  <c r="E237" i="9"/>
  <c r="D75" i="9"/>
  <c r="J51" i="20"/>
  <c r="BT52" i="2"/>
  <c r="I57" i="20"/>
  <c r="BK58" i="2"/>
  <c r="CL59" i="2"/>
  <c r="L58" i="20"/>
  <c r="EI147" i="10"/>
  <c r="U95" i="40"/>
  <c r="V324" i="40"/>
  <c r="T93" i="40"/>
  <c r="U323" i="40"/>
  <c r="O105" i="40"/>
  <c r="P329" i="40"/>
  <c r="P97" i="40"/>
  <c r="Q325" i="40"/>
  <c r="T103" i="40"/>
  <c r="U328" i="40"/>
  <c r="T101" i="40"/>
  <c r="U327" i="40"/>
  <c r="P107" i="40"/>
  <c r="Q330" i="40"/>
  <c r="T111" i="40"/>
  <c r="U332" i="40"/>
  <c r="T109" i="40"/>
  <c r="U331" i="40"/>
  <c r="N99" i="40"/>
  <c r="O326" i="40"/>
  <c r="U91" i="40"/>
  <c r="X301" i="40"/>
  <c r="W49" i="40"/>
  <c r="W310" i="40"/>
  <c r="V67" i="40"/>
  <c r="X299" i="40"/>
  <c r="W45" i="40"/>
  <c r="V311" i="40"/>
  <c r="U69" i="40"/>
  <c r="V309" i="40"/>
  <c r="U65" i="40"/>
  <c r="X318" i="40"/>
  <c r="W83" i="40"/>
  <c r="X314" i="40"/>
  <c r="W75" i="40"/>
  <c r="X303" i="40"/>
  <c r="W53" i="40"/>
  <c r="W302" i="40"/>
  <c r="V51" i="40"/>
  <c r="X300" i="40"/>
  <c r="W47" i="40"/>
  <c r="W307" i="40"/>
  <c r="V61" i="40"/>
  <c r="X322" i="40"/>
  <c r="W319" i="40"/>
  <c r="V85" i="40"/>
  <c r="X308" i="40"/>
  <c r="W63" i="40"/>
  <c r="X298" i="40"/>
  <c r="W43" i="40"/>
  <c r="W317" i="40"/>
  <c r="V81" i="40"/>
  <c r="V313" i="40"/>
  <c r="U73" i="40"/>
  <c r="X316" i="40"/>
  <c r="W79" i="40"/>
  <c r="W321" i="40"/>
  <c r="V89" i="40"/>
  <c r="X320" i="40"/>
  <c r="W87" i="40"/>
  <c r="W315" i="40"/>
  <c r="V77" i="40"/>
  <c r="X304" i="40"/>
  <c r="W55" i="40"/>
  <c r="W297" i="40"/>
  <c r="V41" i="40"/>
  <c r="X305" i="40"/>
  <c r="W57" i="40"/>
  <c r="X306" i="40"/>
  <c r="W59" i="40"/>
  <c r="X312" i="40"/>
  <c r="W71" i="40"/>
  <c r="AJ77" i="7"/>
  <c r="AK238" i="7"/>
  <c r="AL67" i="7"/>
  <c r="AM233" i="7"/>
  <c r="AK79" i="8"/>
  <c r="AL239" i="8"/>
  <c r="AK69" i="10"/>
  <c r="AL234" i="10"/>
  <c r="V71" i="10"/>
  <c r="W235" i="10"/>
  <c r="AM226" i="6"/>
  <c r="AL47" i="6"/>
  <c r="AA79" i="22"/>
  <c r="AB239" i="22"/>
  <c r="AD235" i="22"/>
  <c r="AC71" i="22"/>
  <c r="J65" i="10"/>
  <c r="K232" i="10"/>
  <c r="AC63" i="22"/>
  <c r="AD231" i="22"/>
  <c r="AJ51" i="11"/>
  <c r="AK225" i="11"/>
  <c r="AC63" i="8"/>
  <c r="AD231" i="8"/>
  <c r="AH59" i="7"/>
  <c r="AI229" i="7"/>
  <c r="AL230" i="10"/>
  <c r="AK61" i="10"/>
  <c r="AF47" i="11"/>
  <c r="AG223" i="11"/>
  <c r="AA65" i="9"/>
  <c r="AB232" i="9"/>
  <c r="EL54" i="10"/>
  <c r="EK144" i="10"/>
  <c r="Y63" i="10"/>
  <c r="Z231" i="10"/>
  <c r="AG79" i="11"/>
  <c r="AH239" i="11"/>
  <c r="I59" i="10"/>
  <c r="J229" i="10"/>
  <c r="AJ77" i="11"/>
  <c r="AK238" i="11"/>
  <c r="AN228" i="22"/>
  <c r="AM57" i="22"/>
  <c r="AB233" i="10"/>
  <c r="AA67" i="10"/>
  <c r="U75" i="11"/>
  <c r="V237" i="11"/>
  <c r="K240" i="10"/>
  <c r="J81" i="10"/>
  <c r="X59" i="8"/>
  <c r="Y229" i="8"/>
  <c r="AD79" i="7"/>
  <c r="AE239" i="7"/>
  <c r="AK77" i="22"/>
  <c r="AL238" i="22"/>
  <c r="AC239" i="9"/>
  <c r="AB79" i="9"/>
  <c r="J67" i="9"/>
  <c r="K233" i="9"/>
  <c r="AK63" i="9"/>
  <c r="AL231" i="9"/>
  <c r="AA73" i="22"/>
  <c r="AB236" i="22"/>
  <c r="EJ146" i="10"/>
  <c r="EJ145" i="10"/>
  <c r="AJ77" i="10"/>
  <c r="AK238" i="10"/>
  <c r="AG230" i="7"/>
  <c r="AF61" i="7"/>
  <c r="AI57" i="11"/>
  <c r="AJ228" i="11"/>
  <c r="AK71" i="8"/>
  <c r="AL235" i="8"/>
  <c r="N67" i="22"/>
  <c r="O233" i="22"/>
  <c r="R73" i="2"/>
  <c r="D73" i="20"/>
  <c r="AM53" i="10"/>
  <c r="AN226" i="10"/>
  <c r="AM219" i="10"/>
  <c r="AL39" i="10"/>
  <c r="AM221" i="10"/>
  <c r="AL43" i="10"/>
  <c r="AM220" i="10"/>
  <c r="AL41" i="10"/>
  <c r="AM217" i="10"/>
  <c r="AL35" i="10"/>
  <c r="AM223" i="10"/>
  <c r="AL47" i="10"/>
  <c r="AM216" i="10"/>
  <c r="AL33" i="10"/>
  <c r="AL222" i="10"/>
  <c r="AK45" i="10"/>
  <c r="AM224" i="10"/>
  <c r="AL49" i="10"/>
  <c r="AM31" i="10"/>
  <c r="AN215" i="10"/>
  <c r="AM221" i="22"/>
  <c r="AL43" i="22"/>
  <c r="AN225" i="22"/>
  <c r="AM51" i="22"/>
  <c r="AL223" i="22"/>
  <c r="AK47" i="22"/>
  <c r="AL53" i="22"/>
  <c r="AM226" i="22"/>
  <c r="AM225" i="8"/>
  <c r="AL51" i="8"/>
  <c r="AM47" i="8"/>
  <c r="AN223" i="8"/>
  <c r="O71" i="7"/>
  <c r="P235" i="7"/>
  <c r="P67" i="11"/>
  <c r="Q233" i="11"/>
  <c r="T61" i="8"/>
  <c r="U230" i="8"/>
  <c r="H49" i="11"/>
  <c r="I224" i="11"/>
  <c r="O69" i="22"/>
  <c r="P234" i="22"/>
  <c r="O67" i="8"/>
  <c r="P233" i="8"/>
  <c r="M75" i="22"/>
  <c r="N237" i="22"/>
  <c r="AN216" i="22"/>
  <c r="AM33" i="22"/>
  <c r="AI73" i="9"/>
  <c r="AJ236" i="9"/>
  <c r="R77" i="8"/>
  <c r="S238" i="8"/>
  <c r="J71" i="9"/>
  <c r="K235" i="9"/>
  <c r="R73" i="11"/>
  <c r="S236" i="11"/>
  <c r="K79" i="10"/>
  <c r="L239" i="10"/>
  <c r="AD73" i="8"/>
  <c r="AE236" i="8"/>
  <c r="M81" i="22"/>
  <c r="N240" i="22"/>
  <c r="P61" i="22"/>
  <c r="Q230" i="22"/>
  <c r="K81" i="7"/>
  <c r="L240" i="7"/>
  <c r="L69" i="9"/>
  <c r="M234" i="9"/>
  <c r="N75" i="7"/>
  <c r="O237" i="7"/>
  <c r="Q69" i="8"/>
  <c r="R234" i="8"/>
  <c r="P81" i="11"/>
  <c r="Q240" i="11"/>
  <c r="C73" i="10"/>
  <c r="C236" i="10"/>
  <c r="D236" i="10"/>
  <c r="I81" i="9"/>
  <c r="J240" i="9"/>
  <c r="D53" i="11"/>
  <c r="E226" i="11"/>
  <c r="J57" i="10"/>
  <c r="K228" i="10"/>
  <c r="AI77" i="9"/>
  <c r="AJ238" i="9"/>
  <c r="G69" i="7"/>
  <c r="H234" i="7"/>
  <c r="K65" i="22"/>
  <c r="L232" i="22"/>
  <c r="M75" i="10"/>
  <c r="N237" i="10"/>
  <c r="M75" i="8"/>
  <c r="N237" i="8"/>
  <c r="N43" i="20"/>
  <c r="O43" i="20"/>
  <c r="M33" i="39"/>
  <c r="B41" i="38"/>
  <c r="B107" i="38"/>
  <c r="I45" i="2"/>
  <c r="C45" i="20"/>
  <c r="AL221" i="8"/>
  <c r="AK43" i="8"/>
  <c r="AM222" i="8"/>
  <c r="AL45" i="8"/>
  <c r="AI217" i="8"/>
  <c r="AH35" i="8"/>
  <c r="AM216" i="11"/>
  <c r="AL33" i="11"/>
  <c r="AB63" i="7"/>
  <c r="AC231" i="7"/>
  <c r="AL31" i="9"/>
  <c r="AM215" i="9"/>
  <c r="AN226" i="9"/>
  <c r="AM53" i="9"/>
  <c r="AL222" i="1"/>
  <c r="AK31" i="1"/>
  <c r="AL53" i="1"/>
  <c r="AM233" i="1"/>
  <c r="AM35" i="1"/>
  <c r="AN224" i="1"/>
  <c r="AN236" i="1"/>
  <c r="AM59" i="1"/>
  <c r="AK33" i="1"/>
  <c r="AL223" i="1"/>
  <c r="AM65" i="1"/>
  <c r="AN239" i="1"/>
  <c r="AM232" i="1"/>
  <c r="AL51" i="1"/>
  <c r="AJ64" i="2"/>
  <c r="F64" i="20"/>
  <c r="BB53" i="2"/>
  <c r="H53" i="20"/>
  <c r="AL222" i="22"/>
  <c r="AK45" i="22"/>
  <c r="AL218" i="6"/>
  <c r="AK31" i="6"/>
  <c r="AM214" i="6"/>
  <c r="AL23" i="6"/>
  <c r="AM220" i="6"/>
  <c r="AL35" i="6"/>
  <c r="AL224" i="6"/>
  <c r="AK43" i="6"/>
  <c r="AM221" i="6"/>
  <c r="AL37" i="6"/>
  <c r="AM223" i="6"/>
  <c r="AL41" i="6"/>
  <c r="AM215" i="6"/>
  <c r="AL25" i="6"/>
  <c r="AM217" i="6"/>
  <c r="AM219" i="6"/>
  <c r="AL33" i="6"/>
  <c r="AM216" i="6"/>
  <c r="AL27" i="6"/>
  <c r="AM43" i="1"/>
  <c r="AN228" i="1"/>
  <c r="AI81" i="1"/>
  <c r="AJ247" i="1"/>
  <c r="AH83" i="1"/>
  <c r="AI248" i="1"/>
  <c r="AI219" i="8"/>
  <c r="AH39" i="8"/>
  <c r="AL218" i="8"/>
  <c r="AK37" i="8"/>
  <c r="AI45" i="11"/>
  <c r="AJ222" i="11"/>
  <c r="AA64" i="2"/>
  <c r="E64" i="20"/>
  <c r="AM217" i="22"/>
  <c r="AL35" i="22"/>
  <c r="AM224" i="22"/>
  <c r="AL49" i="22"/>
  <c r="AL219" i="22"/>
  <c r="AK39" i="22"/>
  <c r="AL215" i="7"/>
  <c r="AK31" i="7"/>
  <c r="AJ220" i="7"/>
  <c r="AI41" i="7"/>
  <c r="AK39" i="7"/>
  <c r="AL219" i="7"/>
  <c r="AM221" i="7"/>
  <c r="AL43" i="7"/>
  <c r="AK37" i="7"/>
  <c r="AL218" i="7"/>
  <c r="AM217" i="7"/>
  <c r="AL35" i="7"/>
  <c r="AJ222" i="6"/>
  <c r="AI39" i="6"/>
  <c r="AJ219" i="9"/>
  <c r="AI39" i="9"/>
  <c r="AH55" i="9"/>
  <c r="AI227" i="9"/>
  <c r="AN43" i="9"/>
  <c r="AO221" i="9"/>
  <c r="AM47" i="9"/>
  <c r="AN223" i="9"/>
  <c r="AM217" i="9"/>
  <c r="AL35" i="9"/>
  <c r="AK51" i="9"/>
  <c r="AL225" i="9"/>
  <c r="AM224" i="9"/>
  <c r="AL49" i="9"/>
  <c r="AM222" i="9"/>
  <c r="AL45" i="9"/>
  <c r="AJ57" i="9"/>
  <c r="AK228" i="9"/>
  <c r="AL240" i="1"/>
  <c r="AK67" i="1"/>
  <c r="AF57" i="1"/>
  <c r="AG235" i="1"/>
  <c r="AJ77" i="1"/>
  <c r="AK245" i="1"/>
  <c r="AK61" i="1"/>
  <c r="AL237" i="1"/>
  <c r="AN246" i="1"/>
  <c r="AM79" i="1"/>
  <c r="AM242" i="1"/>
  <c r="AL71" i="1"/>
  <c r="AL75" i="1"/>
  <c r="AM244" i="1"/>
  <c r="AJ73" i="1"/>
  <c r="AK243" i="1"/>
  <c r="AH221" i="11"/>
  <c r="AG43" i="11"/>
  <c r="AS55" i="2"/>
  <c r="G55" i="20"/>
  <c r="AL218" i="11"/>
  <c r="AK37" i="11"/>
  <c r="AJ220" i="11"/>
  <c r="AI41" i="11"/>
  <c r="AM219" i="11"/>
  <c r="AL39" i="11"/>
  <c r="AJ215" i="11"/>
  <c r="AM225" i="10"/>
  <c r="AL51" i="10"/>
  <c r="AM218" i="10"/>
  <c r="AL37" i="10"/>
  <c r="AN229" i="22"/>
  <c r="AM59" i="22"/>
  <c r="AM220" i="22"/>
  <c r="AL41" i="22"/>
  <c r="AM227" i="22"/>
  <c r="AL55" i="22"/>
  <c r="AM218" i="22"/>
  <c r="AK228" i="8"/>
  <c r="AJ57" i="8"/>
  <c r="AM227" i="8"/>
  <c r="AL55" i="8"/>
  <c r="AN216" i="8"/>
  <c r="AM33" i="8"/>
  <c r="AN226" i="8"/>
  <c r="AM53" i="8"/>
  <c r="AO215" i="8"/>
  <c r="AN31" i="8"/>
  <c r="AN224" i="8"/>
  <c r="AM49" i="8"/>
  <c r="AN220" i="8"/>
  <c r="AM41" i="8"/>
  <c r="AN227" i="7"/>
  <c r="AM55" i="7"/>
  <c r="AN226" i="7"/>
  <c r="AM53" i="7"/>
  <c r="AN225" i="7"/>
  <c r="AM51" i="7"/>
  <c r="AK222" i="7"/>
  <c r="AJ45" i="7"/>
  <c r="AG216" i="7"/>
  <c r="AF33" i="7"/>
  <c r="AL223" i="7"/>
  <c r="AK47" i="7"/>
  <c r="AN231" i="6"/>
  <c r="AM57" i="6"/>
  <c r="AN230" i="6"/>
  <c r="AM55" i="6"/>
  <c r="AN229" i="6"/>
  <c r="AM53" i="6"/>
  <c r="AN228" i="6"/>
  <c r="AM51" i="6"/>
  <c r="AN227" i="6"/>
  <c r="AM49" i="6"/>
  <c r="AL225" i="6"/>
  <c r="AK45" i="6"/>
  <c r="AM230" i="9"/>
  <c r="AL61" i="9"/>
  <c r="AN229" i="9"/>
  <c r="AM59" i="9"/>
  <c r="AJ216" i="9"/>
  <c r="AI33" i="9"/>
  <c r="AM218" i="9"/>
  <c r="AL37" i="9"/>
  <c r="AM220" i="9"/>
  <c r="AL41" i="9"/>
  <c r="AL241" i="1"/>
  <c r="AK69" i="1"/>
  <c r="AN238" i="1"/>
  <c r="AM63" i="1"/>
  <c r="AL231" i="1"/>
  <c r="AK49" i="1"/>
  <c r="AN234" i="1"/>
  <c r="AM55" i="1"/>
  <c r="AN230" i="1"/>
  <c r="AM47" i="1"/>
  <c r="AL229" i="1"/>
  <c r="AK45" i="1"/>
  <c r="AN226" i="1"/>
  <c r="AM39" i="1"/>
  <c r="AL225" i="1"/>
  <c r="AK37" i="1"/>
  <c r="AL227" i="1"/>
  <c r="AK41" i="1"/>
  <c r="AM224" i="7"/>
  <c r="AL49" i="7"/>
  <c r="K39" i="20"/>
  <c r="U29" i="39"/>
  <c r="K40" i="20"/>
  <c r="U30" i="39"/>
  <c r="C75" i="9"/>
  <c r="C237" i="9"/>
  <c r="D237" i="9"/>
  <c r="J52" i="20"/>
  <c r="BT53" i="2"/>
  <c r="I58" i="20"/>
  <c r="BK59" i="2"/>
  <c r="CL60" i="2"/>
  <c r="L59" i="20"/>
  <c r="CC42" i="2"/>
  <c r="K41" i="20"/>
  <c r="U31" i="39"/>
  <c r="EJ147" i="10"/>
  <c r="M99" i="40"/>
  <c r="N326" i="40"/>
  <c r="S111" i="40"/>
  <c r="T332" i="40"/>
  <c r="S101" i="40"/>
  <c r="T327" i="40"/>
  <c r="O97" i="40"/>
  <c r="P325" i="40"/>
  <c r="S93" i="40"/>
  <c r="T323" i="40"/>
  <c r="S109" i="40"/>
  <c r="T331" i="40"/>
  <c r="O107" i="40"/>
  <c r="P330" i="40"/>
  <c r="S103" i="40"/>
  <c r="T328" i="40"/>
  <c r="N105" i="40"/>
  <c r="O329" i="40"/>
  <c r="T95" i="40"/>
  <c r="U324" i="40"/>
  <c r="T91" i="40"/>
  <c r="W312" i="40"/>
  <c r="V71" i="40"/>
  <c r="W320" i="40"/>
  <c r="V87" i="40"/>
  <c r="W308" i="40"/>
  <c r="V63" i="40"/>
  <c r="W300" i="40"/>
  <c r="V47" i="40"/>
  <c r="U311" i="40"/>
  <c r="T69" i="40"/>
  <c r="W304" i="40"/>
  <c r="V55" i="40"/>
  <c r="V317" i="40"/>
  <c r="U81" i="40"/>
  <c r="W322" i="40"/>
  <c r="W303" i="40"/>
  <c r="V53" i="40"/>
  <c r="W318" i="40"/>
  <c r="V83" i="40"/>
  <c r="W306" i="40"/>
  <c r="V59" i="40"/>
  <c r="V297" i="40"/>
  <c r="U41" i="40"/>
  <c r="V315" i="40"/>
  <c r="U77" i="40"/>
  <c r="V321" i="40"/>
  <c r="U89" i="40"/>
  <c r="U313" i="40"/>
  <c r="T73" i="40"/>
  <c r="W298" i="40"/>
  <c r="V43" i="40"/>
  <c r="V319" i="40"/>
  <c r="U85" i="40"/>
  <c r="V307" i="40"/>
  <c r="U61" i="40"/>
  <c r="V302" i="40"/>
  <c r="U51" i="40"/>
  <c r="W314" i="40"/>
  <c r="V75" i="40"/>
  <c r="U309" i="40"/>
  <c r="T65" i="40"/>
  <c r="W299" i="40"/>
  <c r="V45" i="40"/>
  <c r="W301" i="40"/>
  <c r="V49" i="40"/>
  <c r="W305" i="40"/>
  <c r="V57" i="40"/>
  <c r="W316" i="40"/>
  <c r="V79" i="40"/>
  <c r="V310" i="40"/>
  <c r="U67" i="40"/>
  <c r="AI77" i="10"/>
  <c r="AJ238" i="10"/>
  <c r="AK238" i="22"/>
  <c r="AJ77" i="22"/>
  <c r="I229" i="10"/>
  <c r="H59" i="10"/>
  <c r="AL57" i="22"/>
  <c r="AM228" i="22"/>
  <c r="AK230" i="10"/>
  <c r="AJ61" i="10"/>
  <c r="AB71" i="22"/>
  <c r="AC235" i="22"/>
  <c r="AL226" i="6"/>
  <c r="AK47" i="6"/>
  <c r="AH57" i="11"/>
  <c r="AI228" i="11"/>
  <c r="I67" i="9"/>
  <c r="J233" i="9"/>
  <c r="T75" i="11"/>
  <c r="U237" i="11"/>
  <c r="Z65" i="9"/>
  <c r="AA232" i="9"/>
  <c r="AB63" i="8"/>
  <c r="AC231" i="8"/>
  <c r="AC231" i="22"/>
  <c r="AB63" i="22"/>
  <c r="AL233" i="7"/>
  <c r="AK67" i="7"/>
  <c r="AF230" i="7"/>
  <c r="AE61" i="7"/>
  <c r="AA79" i="9"/>
  <c r="AB239" i="9"/>
  <c r="J240" i="10"/>
  <c r="I81" i="10"/>
  <c r="Z67" i="10"/>
  <c r="AA233" i="10"/>
  <c r="EK145" i="10"/>
  <c r="EK146" i="10"/>
  <c r="M67" i="22"/>
  <c r="N233" i="22"/>
  <c r="Z73" i="22"/>
  <c r="AA236" i="22"/>
  <c r="W59" i="8"/>
  <c r="X229" i="8"/>
  <c r="X63" i="10"/>
  <c r="Y231" i="10"/>
  <c r="AK234" i="10"/>
  <c r="AJ69" i="10"/>
  <c r="AJ71" i="8"/>
  <c r="AK235" i="8"/>
  <c r="AJ63" i="9"/>
  <c r="AK231" i="9"/>
  <c r="AD239" i="7"/>
  <c r="AC79" i="7"/>
  <c r="AI77" i="11"/>
  <c r="AJ238" i="11"/>
  <c r="AF79" i="11"/>
  <c r="AG239" i="11"/>
  <c r="EL144" i="10"/>
  <c r="EM54" i="10"/>
  <c r="AF223" i="11"/>
  <c r="AE47" i="11"/>
  <c r="AG59" i="7"/>
  <c r="AH229" i="7"/>
  <c r="AI51" i="11"/>
  <c r="AJ225" i="11"/>
  <c r="I65" i="10"/>
  <c r="J232" i="10"/>
  <c r="Z79" i="22"/>
  <c r="AA239" i="22"/>
  <c r="U71" i="10"/>
  <c r="V235" i="10"/>
  <c r="AJ79" i="8"/>
  <c r="AK239" i="8"/>
  <c r="AI77" i="7"/>
  <c r="AJ238" i="7"/>
  <c r="R74" i="2"/>
  <c r="D74" i="20"/>
  <c r="AK47" i="10"/>
  <c r="AL223" i="10"/>
  <c r="AL31" i="10"/>
  <c r="AM215" i="10"/>
  <c r="AL220" i="10"/>
  <c r="AK41" i="10"/>
  <c r="AL224" i="10"/>
  <c r="AK49" i="10"/>
  <c r="AK33" i="10"/>
  <c r="AL216" i="10"/>
  <c r="AL217" i="10"/>
  <c r="AK35" i="10"/>
  <c r="AL221" i="10"/>
  <c r="AK43" i="10"/>
  <c r="AK222" i="10"/>
  <c r="AJ45" i="10"/>
  <c r="AL219" i="10"/>
  <c r="AK39" i="10"/>
  <c r="AL53" i="10"/>
  <c r="AM226" i="10"/>
  <c r="AK223" i="22"/>
  <c r="AJ47" i="22"/>
  <c r="AL221" i="22"/>
  <c r="AK43" i="22"/>
  <c r="AL51" i="22"/>
  <c r="AM225" i="22"/>
  <c r="AK53" i="22"/>
  <c r="AL226" i="22"/>
  <c r="AL47" i="8"/>
  <c r="AM223" i="8"/>
  <c r="AL225" i="8"/>
  <c r="AK51" i="8"/>
  <c r="Q73" i="11"/>
  <c r="R236" i="11"/>
  <c r="I71" i="9"/>
  <c r="J235" i="9"/>
  <c r="AH73" i="9"/>
  <c r="AI236" i="9"/>
  <c r="AM216" i="22"/>
  <c r="AL33" i="22"/>
  <c r="M237" i="8"/>
  <c r="L75" i="8"/>
  <c r="L75" i="10"/>
  <c r="M237" i="10"/>
  <c r="J65" i="22"/>
  <c r="K232" i="22"/>
  <c r="I57" i="10"/>
  <c r="J228" i="10"/>
  <c r="H81" i="9"/>
  <c r="I240" i="9"/>
  <c r="P69" i="8"/>
  <c r="Q234" i="8"/>
  <c r="K69" i="9"/>
  <c r="L234" i="9"/>
  <c r="O61" i="22"/>
  <c r="P230" i="22"/>
  <c r="L81" i="22"/>
  <c r="M240" i="22"/>
  <c r="L75" i="22"/>
  <c r="M237" i="22"/>
  <c r="N67" i="8"/>
  <c r="O233" i="8"/>
  <c r="G49" i="11"/>
  <c r="H224" i="11"/>
  <c r="AC73" i="8"/>
  <c r="AD236" i="8"/>
  <c r="J79" i="10"/>
  <c r="K239" i="10"/>
  <c r="Q77" i="8"/>
  <c r="R238" i="8"/>
  <c r="F69" i="7"/>
  <c r="G234" i="7"/>
  <c r="AH77" i="9"/>
  <c r="AI238" i="9"/>
  <c r="C53" i="11"/>
  <c r="C226" i="11"/>
  <c r="D226" i="11"/>
  <c r="O81" i="11"/>
  <c r="P240" i="11"/>
  <c r="M75" i="7"/>
  <c r="N237" i="7"/>
  <c r="J81" i="7"/>
  <c r="K240" i="7"/>
  <c r="N69" i="22"/>
  <c r="O234" i="22"/>
  <c r="S61" i="8"/>
  <c r="T230" i="8"/>
  <c r="O67" i="11"/>
  <c r="P233" i="11"/>
  <c r="N71" i="7"/>
  <c r="O235" i="7"/>
  <c r="I46" i="2"/>
  <c r="C46" i="20"/>
  <c r="M34" i="39"/>
  <c r="C34" i="39"/>
  <c r="B42" i="38"/>
  <c r="N44" i="20"/>
  <c r="O44" i="20"/>
  <c r="AG35" i="8"/>
  <c r="AH217" i="8"/>
  <c r="AK45" i="8"/>
  <c r="AL222" i="8"/>
  <c r="AJ43" i="8"/>
  <c r="AK221" i="8"/>
  <c r="AL216" i="11"/>
  <c r="AK33" i="11"/>
  <c r="AA63" i="7"/>
  <c r="AB231" i="7"/>
  <c r="AM226" i="9"/>
  <c r="AL53" i="9"/>
  <c r="AL215" i="9"/>
  <c r="AK31" i="9"/>
  <c r="AK222" i="1"/>
  <c r="AJ31" i="1"/>
  <c r="AM239" i="1"/>
  <c r="AL65" i="1"/>
  <c r="AK223" i="1"/>
  <c r="AJ33" i="1"/>
  <c r="AL35" i="1"/>
  <c r="AM224" i="1"/>
  <c r="AK53" i="1"/>
  <c r="AL233" i="1"/>
  <c r="AL59" i="1"/>
  <c r="AM236" i="1"/>
  <c r="AK51" i="1"/>
  <c r="AL232" i="1"/>
  <c r="AJ65" i="2"/>
  <c r="F65" i="20"/>
  <c r="BB54" i="2"/>
  <c r="H54" i="20"/>
  <c r="AK222" i="22"/>
  <c r="AJ45" i="22"/>
  <c r="AL219" i="6"/>
  <c r="AK33" i="6"/>
  <c r="AL217" i="6"/>
  <c r="AL215" i="6"/>
  <c r="AK25" i="6"/>
  <c r="AL223" i="6"/>
  <c r="AK41" i="6"/>
  <c r="AL221" i="6"/>
  <c r="AK37" i="6"/>
  <c r="AK224" i="6"/>
  <c r="AJ43" i="6"/>
  <c r="AL220" i="6"/>
  <c r="AK35" i="6"/>
  <c r="AL214" i="6"/>
  <c r="AK23" i="6"/>
  <c r="AK218" i="6"/>
  <c r="AJ31" i="6"/>
  <c r="AL216" i="6"/>
  <c r="AK27" i="6"/>
  <c r="AH248" i="1"/>
  <c r="AG83" i="1"/>
  <c r="AH81" i="1"/>
  <c r="AI247" i="1"/>
  <c r="AM228" i="1"/>
  <c r="AL43" i="1"/>
  <c r="AJ37" i="8"/>
  <c r="AK218" i="8"/>
  <c r="AG39" i="8"/>
  <c r="AH219" i="8"/>
  <c r="AH45" i="11"/>
  <c r="AI222" i="11"/>
  <c r="AA65" i="2"/>
  <c r="E65" i="20"/>
  <c r="AL224" i="22"/>
  <c r="AK49" i="22"/>
  <c r="AJ39" i="22"/>
  <c r="AK219" i="22"/>
  <c r="AL217" i="22"/>
  <c r="AK35" i="22"/>
  <c r="AL221" i="7"/>
  <c r="AK43" i="7"/>
  <c r="AI220" i="7"/>
  <c r="AH41" i="7"/>
  <c r="AJ37" i="7"/>
  <c r="AK218" i="7"/>
  <c r="AK35" i="7"/>
  <c r="AL217" i="7"/>
  <c r="AK215" i="7"/>
  <c r="AJ31" i="7"/>
  <c r="AK219" i="7"/>
  <c r="AJ39" i="7"/>
  <c r="AI222" i="6"/>
  <c r="AH39" i="6"/>
  <c r="AM223" i="9"/>
  <c r="AL47" i="9"/>
  <c r="AG55" i="9"/>
  <c r="AH227" i="9"/>
  <c r="AL217" i="9"/>
  <c r="AK35" i="9"/>
  <c r="AI219" i="9"/>
  <c r="AH39" i="9"/>
  <c r="AN221" i="9"/>
  <c r="AM43" i="9"/>
  <c r="AK225" i="9"/>
  <c r="AJ51" i="9"/>
  <c r="AL224" i="9"/>
  <c r="AK49" i="9"/>
  <c r="AL222" i="9"/>
  <c r="AK45" i="9"/>
  <c r="AI57" i="9"/>
  <c r="AJ228" i="9"/>
  <c r="AL79" i="1"/>
  <c r="AM246" i="1"/>
  <c r="AK75" i="1"/>
  <c r="AL244" i="1"/>
  <c r="AF235" i="1"/>
  <c r="AE57" i="1"/>
  <c r="AL242" i="1"/>
  <c r="AK71" i="1"/>
  <c r="AK240" i="1"/>
  <c r="AJ67" i="1"/>
  <c r="AI73" i="1"/>
  <c r="AJ243" i="1"/>
  <c r="AK237" i="1"/>
  <c r="AJ61" i="1"/>
  <c r="AJ245" i="1"/>
  <c r="AI77" i="1"/>
  <c r="AG221" i="11"/>
  <c r="AF43" i="11"/>
  <c r="AS56" i="2"/>
  <c r="G56" i="20"/>
  <c r="AL219" i="11"/>
  <c r="AK39" i="11"/>
  <c r="AK218" i="11"/>
  <c r="AJ37" i="11"/>
  <c r="AI215" i="11"/>
  <c r="AI220" i="11"/>
  <c r="AH41" i="11"/>
  <c r="AL225" i="10"/>
  <c r="AK51" i="10"/>
  <c r="AL218" i="10"/>
  <c r="AK37" i="10"/>
  <c r="AM229" i="22"/>
  <c r="AL59" i="22"/>
  <c r="AL227" i="22"/>
  <c r="AK55" i="22"/>
  <c r="AL218" i="22"/>
  <c r="AL220" i="22"/>
  <c r="AK41" i="22"/>
  <c r="AJ228" i="8"/>
  <c r="AI57" i="8"/>
  <c r="AL227" i="8"/>
  <c r="AK55" i="8"/>
  <c r="AM220" i="8"/>
  <c r="AL41" i="8"/>
  <c r="AM224" i="8"/>
  <c r="AL49" i="8"/>
  <c r="AN215" i="8"/>
  <c r="AM31" i="8"/>
  <c r="AM226" i="8"/>
  <c r="AL53" i="8"/>
  <c r="AM216" i="8"/>
  <c r="AL33" i="8"/>
  <c r="AM227" i="7"/>
  <c r="AL55" i="7"/>
  <c r="AM226" i="7"/>
  <c r="AL53" i="7"/>
  <c r="AM225" i="7"/>
  <c r="AL51" i="7"/>
  <c r="AF216" i="7"/>
  <c r="AE33" i="7"/>
  <c r="AK223" i="7"/>
  <c r="AJ47" i="7"/>
  <c r="AJ222" i="7"/>
  <c r="AI45" i="7"/>
  <c r="AM231" i="6"/>
  <c r="AL57" i="6"/>
  <c r="AM230" i="6"/>
  <c r="AL55" i="6"/>
  <c r="AM229" i="6"/>
  <c r="AL53" i="6"/>
  <c r="AM228" i="6"/>
  <c r="AL51" i="6"/>
  <c r="AM227" i="6"/>
  <c r="AL49" i="6"/>
  <c r="AK225" i="6"/>
  <c r="AJ45" i="6"/>
  <c r="AL230" i="9"/>
  <c r="AK61" i="9"/>
  <c r="AM229" i="9"/>
  <c r="AL59" i="9"/>
  <c r="AL218" i="9"/>
  <c r="AK37" i="9"/>
  <c r="AL220" i="9"/>
  <c r="AK41" i="9"/>
  <c r="AI216" i="9"/>
  <c r="AH33" i="9"/>
  <c r="AK241" i="1"/>
  <c r="AJ69" i="1"/>
  <c r="AM238" i="1"/>
  <c r="AL63" i="1"/>
  <c r="AM230" i="1"/>
  <c r="AL47" i="1"/>
  <c r="AM234" i="1"/>
  <c r="AL55" i="1"/>
  <c r="AK231" i="1"/>
  <c r="AJ49" i="1"/>
  <c r="AK229" i="1"/>
  <c r="AJ45" i="1"/>
  <c r="AK225" i="1"/>
  <c r="AJ37" i="1"/>
  <c r="AK227" i="1"/>
  <c r="AJ41" i="1"/>
  <c r="AM226" i="1"/>
  <c r="AL39" i="1"/>
  <c r="AK49" i="7"/>
  <c r="AL224" i="7"/>
  <c r="J53" i="20"/>
  <c r="BT54" i="2"/>
  <c r="I59" i="20"/>
  <c r="BK60" i="2"/>
  <c r="CL61" i="2"/>
  <c r="L60" i="20"/>
  <c r="CC43" i="2"/>
  <c r="K42" i="20"/>
  <c r="U32" i="39"/>
  <c r="S95" i="40"/>
  <c r="T324" i="40"/>
  <c r="R103" i="40"/>
  <c r="S328" i="40"/>
  <c r="R109" i="40"/>
  <c r="S331" i="40"/>
  <c r="N97" i="40"/>
  <c r="O325" i="40"/>
  <c r="R111" i="40"/>
  <c r="S332" i="40"/>
  <c r="M105" i="40"/>
  <c r="N329" i="40"/>
  <c r="N107" i="40"/>
  <c r="O330" i="40"/>
  <c r="R93" i="40"/>
  <c r="S323" i="40"/>
  <c r="R101" i="40"/>
  <c r="S327" i="40"/>
  <c r="L99" i="40"/>
  <c r="M326" i="40"/>
  <c r="S91" i="40"/>
  <c r="U310" i="40"/>
  <c r="T67" i="40"/>
  <c r="V298" i="40"/>
  <c r="U43" i="40"/>
  <c r="V304" i="40"/>
  <c r="U55" i="40"/>
  <c r="V305" i="40"/>
  <c r="U57" i="40"/>
  <c r="U307" i="40"/>
  <c r="T61" i="40"/>
  <c r="U297" i="40"/>
  <c r="T41" i="40"/>
  <c r="V322" i="40"/>
  <c r="V320" i="40"/>
  <c r="U87" i="40"/>
  <c r="V316" i="40"/>
  <c r="U79" i="40"/>
  <c r="V301" i="40"/>
  <c r="U49" i="40"/>
  <c r="T309" i="40"/>
  <c r="S65" i="40"/>
  <c r="U302" i="40"/>
  <c r="T51" i="40"/>
  <c r="U319" i="40"/>
  <c r="T85" i="40"/>
  <c r="T313" i="40"/>
  <c r="S73" i="40"/>
  <c r="U315" i="40"/>
  <c r="T77" i="40"/>
  <c r="V306" i="40"/>
  <c r="U59" i="40"/>
  <c r="V303" i="40"/>
  <c r="U53" i="40"/>
  <c r="U317" i="40"/>
  <c r="T81" i="40"/>
  <c r="T311" i="40"/>
  <c r="S69" i="40"/>
  <c r="V308" i="40"/>
  <c r="U63" i="40"/>
  <c r="V312" i="40"/>
  <c r="U71" i="40"/>
  <c r="V299" i="40"/>
  <c r="U45" i="40"/>
  <c r="V314" i="40"/>
  <c r="U75" i="40"/>
  <c r="U321" i="40"/>
  <c r="T89" i="40"/>
  <c r="V318" i="40"/>
  <c r="U83" i="40"/>
  <c r="V300" i="40"/>
  <c r="U47" i="40"/>
  <c r="AG229" i="7"/>
  <c r="AF59" i="7"/>
  <c r="AI63" i="9"/>
  <c r="AJ231" i="9"/>
  <c r="AK57" i="22"/>
  <c r="AL228" i="22"/>
  <c r="EM144" i="10"/>
  <c r="EN54" i="10"/>
  <c r="AI69" i="10"/>
  <c r="AJ234" i="10"/>
  <c r="AJ67" i="7"/>
  <c r="AK233" i="7"/>
  <c r="AI77" i="22"/>
  <c r="AJ238" i="22"/>
  <c r="AH77" i="7"/>
  <c r="AI238" i="7"/>
  <c r="H65" i="10"/>
  <c r="I232" i="10"/>
  <c r="AH77" i="11"/>
  <c r="AI238" i="11"/>
  <c r="V59" i="8"/>
  <c r="W229" i="8"/>
  <c r="L67" i="22"/>
  <c r="M233" i="22"/>
  <c r="Z233" i="10"/>
  <c r="Y67" i="10"/>
  <c r="Z79" i="9"/>
  <c r="AA239" i="9"/>
  <c r="AA63" i="8"/>
  <c r="AB231" i="8"/>
  <c r="S75" i="11"/>
  <c r="T237" i="11"/>
  <c r="AG57" i="11"/>
  <c r="AH228" i="11"/>
  <c r="AD47" i="11"/>
  <c r="AE223" i="11"/>
  <c r="AC239" i="7"/>
  <c r="AB79" i="7"/>
  <c r="H81" i="10"/>
  <c r="I240" i="10"/>
  <c r="AD61" i="7"/>
  <c r="AE230" i="7"/>
  <c r="AA63" i="22"/>
  <c r="AB231" i="22"/>
  <c r="AK226" i="6"/>
  <c r="AJ47" i="6"/>
  <c r="AI61" i="10"/>
  <c r="AJ230" i="10"/>
  <c r="H229" i="10"/>
  <c r="G59" i="10"/>
  <c r="T71" i="10"/>
  <c r="U235" i="10"/>
  <c r="EL146" i="10"/>
  <c r="EL145" i="10"/>
  <c r="AA71" i="22"/>
  <c r="AB235" i="22"/>
  <c r="AI79" i="8"/>
  <c r="AJ239" i="8"/>
  <c r="Z239" i="22"/>
  <c r="Y79" i="22"/>
  <c r="AH51" i="11"/>
  <c r="AI225" i="11"/>
  <c r="AE79" i="11"/>
  <c r="AF239" i="11"/>
  <c r="AI71" i="8"/>
  <c r="AJ235" i="8"/>
  <c r="X231" i="10"/>
  <c r="W63" i="10"/>
  <c r="Y73" i="22"/>
  <c r="Z236" i="22"/>
  <c r="EK147" i="10"/>
  <c r="Y65" i="9"/>
  <c r="Z232" i="9"/>
  <c r="H67" i="9"/>
  <c r="I233" i="9"/>
  <c r="AI238" i="10"/>
  <c r="AH77" i="10"/>
  <c r="R75" i="2"/>
  <c r="D75" i="20"/>
  <c r="AJ222" i="10"/>
  <c r="AI45" i="10"/>
  <c r="AK53" i="10"/>
  <c r="AL226" i="10"/>
  <c r="AK31" i="10"/>
  <c r="AL215" i="10"/>
  <c r="AK224" i="10"/>
  <c r="AJ49" i="10"/>
  <c r="AJ39" i="10"/>
  <c r="AK219" i="10"/>
  <c r="AJ43" i="10"/>
  <c r="AK221" i="10"/>
  <c r="AJ41" i="10"/>
  <c r="AK220" i="10"/>
  <c r="AK217" i="10"/>
  <c r="AJ35" i="10"/>
  <c r="AJ33" i="10"/>
  <c r="AK216" i="10"/>
  <c r="AJ47" i="10"/>
  <c r="AK223" i="10"/>
  <c r="AJ43" i="22"/>
  <c r="AK221" i="22"/>
  <c r="AJ223" i="22"/>
  <c r="AI47" i="22"/>
  <c r="AJ53" i="22"/>
  <c r="AK226" i="22"/>
  <c r="AK51" i="22"/>
  <c r="AL225" i="22"/>
  <c r="AJ51" i="8"/>
  <c r="AK225" i="8"/>
  <c r="AL223" i="8"/>
  <c r="AK47" i="8"/>
  <c r="M71" i="7"/>
  <c r="N235" i="7"/>
  <c r="R61" i="8"/>
  <c r="S230" i="8"/>
  <c r="P77" i="8"/>
  <c r="Q238" i="8"/>
  <c r="I79" i="10"/>
  <c r="J239" i="10"/>
  <c r="AL216" i="22"/>
  <c r="AK33" i="22"/>
  <c r="I81" i="7"/>
  <c r="J240" i="7"/>
  <c r="L75" i="7"/>
  <c r="M237" i="7"/>
  <c r="AG77" i="9"/>
  <c r="AH238" i="9"/>
  <c r="M67" i="8"/>
  <c r="N233" i="8"/>
  <c r="K75" i="22"/>
  <c r="L237" i="22"/>
  <c r="K81" i="22"/>
  <c r="L240" i="22"/>
  <c r="O69" i="8"/>
  <c r="P234" i="8"/>
  <c r="H57" i="10"/>
  <c r="I228" i="10"/>
  <c r="K75" i="10"/>
  <c r="L237" i="10"/>
  <c r="H71" i="9"/>
  <c r="I235" i="9"/>
  <c r="N67" i="11"/>
  <c r="O233" i="11"/>
  <c r="M69" i="22"/>
  <c r="N234" i="22"/>
  <c r="AB73" i="8"/>
  <c r="AC236" i="8"/>
  <c r="K75" i="8"/>
  <c r="L237" i="8"/>
  <c r="N81" i="11"/>
  <c r="O240" i="11"/>
  <c r="E69" i="7"/>
  <c r="F234" i="7"/>
  <c r="F49" i="11"/>
  <c r="G224" i="11"/>
  <c r="N61" i="22"/>
  <c r="O230" i="22"/>
  <c r="J69" i="9"/>
  <c r="K234" i="9"/>
  <c r="G81" i="9"/>
  <c r="H240" i="9"/>
  <c r="I65" i="22"/>
  <c r="J232" i="22"/>
  <c r="AG73" i="9"/>
  <c r="AH236" i="9"/>
  <c r="P73" i="11"/>
  <c r="Q236" i="11"/>
  <c r="B108" i="38"/>
  <c r="B109" i="38"/>
  <c r="T42" i="38"/>
  <c r="AC75" i="38"/>
  <c r="I47" i="2"/>
  <c r="C47" i="20"/>
  <c r="AJ221" i="8"/>
  <c r="AI43" i="8"/>
  <c r="AJ45" i="8"/>
  <c r="AK222" i="8"/>
  <c r="AF35" i="8"/>
  <c r="AG217" i="8"/>
  <c r="AK216" i="11"/>
  <c r="AJ33" i="11"/>
  <c r="Z63" i="7"/>
  <c r="AA231" i="7"/>
  <c r="AJ31" i="9"/>
  <c r="AK215" i="9"/>
  <c r="AK53" i="9"/>
  <c r="AL226" i="9"/>
  <c r="AJ222" i="1"/>
  <c r="AI31" i="1"/>
  <c r="AK59" i="1"/>
  <c r="AL236" i="1"/>
  <c r="AJ53" i="1"/>
  <c r="AK233" i="1"/>
  <c r="AL224" i="1"/>
  <c r="AK35" i="1"/>
  <c r="AI33" i="1"/>
  <c r="AJ223" i="1"/>
  <c r="AL239" i="1"/>
  <c r="AK65" i="1"/>
  <c r="AJ51" i="1"/>
  <c r="AK232" i="1"/>
  <c r="AJ66" i="2"/>
  <c r="F66" i="20"/>
  <c r="BB55" i="2"/>
  <c r="H55" i="20"/>
  <c r="AJ222" i="22"/>
  <c r="AI45" i="22"/>
  <c r="AI31" i="6"/>
  <c r="AJ218" i="6"/>
  <c r="AK214" i="6"/>
  <c r="AJ23" i="6"/>
  <c r="AK220" i="6"/>
  <c r="AJ35" i="6"/>
  <c r="AJ224" i="6"/>
  <c r="AI43" i="6"/>
  <c r="AK221" i="6"/>
  <c r="AJ37" i="6"/>
  <c r="AK223" i="6"/>
  <c r="AJ41" i="6"/>
  <c r="AK215" i="6"/>
  <c r="AJ25" i="6"/>
  <c r="AK217" i="6"/>
  <c r="AK219" i="6"/>
  <c r="AJ33" i="6"/>
  <c r="AK216" i="6"/>
  <c r="AJ27" i="6"/>
  <c r="AK43" i="1"/>
  <c r="AL228" i="1"/>
  <c r="AF83" i="1"/>
  <c r="AG248" i="1"/>
  <c r="AG81" i="1"/>
  <c r="AH247" i="1"/>
  <c r="AG219" i="8"/>
  <c r="AF39" i="8"/>
  <c r="AI37" i="8"/>
  <c r="AJ218" i="8"/>
  <c r="AH222" i="11"/>
  <c r="AG45" i="11"/>
  <c r="AA66" i="2"/>
  <c r="E66" i="20"/>
  <c r="AJ219" i="22"/>
  <c r="AI39" i="22"/>
  <c r="AK217" i="22"/>
  <c r="AJ35" i="22"/>
  <c r="AK224" i="22"/>
  <c r="AJ49" i="22"/>
  <c r="AJ215" i="7"/>
  <c r="AI31" i="7"/>
  <c r="AH220" i="7"/>
  <c r="AG41" i="7"/>
  <c r="AJ35" i="7"/>
  <c r="AK217" i="7"/>
  <c r="AJ219" i="7"/>
  <c r="AI39" i="7"/>
  <c r="AK221" i="7"/>
  <c r="AJ43" i="7"/>
  <c r="AJ218" i="7"/>
  <c r="AI37" i="7"/>
  <c r="AH222" i="6"/>
  <c r="AG39" i="6"/>
  <c r="AH219" i="9"/>
  <c r="AG39" i="9"/>
  <c r="AF55" i="9"/>
  <c r="AG227" i="9"/>
  <c r="AM221" i="9"/>
  <c r="AL43" i="9"/>
  <c r="AJ35" i="9"/>
  <c r="AK217" i="9"/>
  <c r="AL223" i="9"/>
  <c r="AK47" i="9"/>
  <c r="AJ225" i="9"/>
  <c r="AI51" i="9"/>
  <c r="AK222" i="9"/>
  <c r="AJ45" i="9"/>
  <c r="AJ49" i="9"/>
  <c r="AK224" i="9"/>
  <c r="AH57" i="9"/>
  <c r="AI228" i="9"/>
  <c r="AH77" i="1"/>
  <c r="AI245" i="1"/>
  <c r="AK242" i="1"/>
  <c r="AJ71" i="1"/>
  <c r="AE235" i="1"/>
  <c r="AD57" i="1"/>
  <c r="AI61" i="1"/>
  <c r="AJ237" i="1"/>
  <c r="AI67" i="1"/>
  <c r="AJ240" i="1"/>
  <c r="AI243" i="1"/>
  <c r="AH73" i="1"/>
  <c r="AJ75" i="1"/>
  <c r="AK244" i="1"/>
  <c r="AL246" i="1"/>
  <c r="AK79" i="1"/>
  <c r="AF221" i="11"/>
  <c r="AE43" i="11"/>
  <c r="AS57" i="2"/>
  <c r="G57" i="20"/>
  <c r="AH215" i="11"/>
  <c r="AK219" i="11"/>
  <c r="AJ39" i="11"/>
  <c r="AH220" i="11"/>
  <c r="AG41" i="11"/>
  <c r="AJ218" i="11"/>
  <c r="AI37" i="11"/>
  <c r="AK225" i="10"/>
  <c r="AJ51" i="10"/>
  <c r="AK218" i="10"/>
  <c r="AJ37" i="10"/>
  <c r="AL229" i="22"/>
  <c r="AK59" i="22"/>
  <c r="AK220" i="22"/>
  <c r="AJ41" i="22"/>
  <c r="AK227" i="22"/>
  <c r="AJ55" i="22"/>
  <c r="AK218" i="22"/>
  <c r="AI228" i="8"/>
  <c r="AH57" i="8"/>
  <c r="AK227" i="8"/>
  <c r="AJ55" i="8"/>
  <c r="AL226" i="8"/>
  <c r="AK53" i="8"/>
  <c r="AL224" i="8"/>
  <c r="AK49" i="8"/>
  <c r="AL216" i="8"/>
  <c r="AK33" i="8"/>
  <c r="AM215" i="8"/>
  <c r="AL31" i="8"/>
  <c r="AL220" i="8"/>
  <c r="AK41" i="8"/>
  <c r="AL227" i="7"/>
  <c r="AK55" i="7"/>
  <c r="AL226" i="7"/>
  <c r="AK53" i="7"/>
  <c r="AL225" i="7"/>
  <c r="AK51" i="7"/>
  <c r="AI222" i="7"/>
  <c r="AH45" i="7"/>
  <c r="AJ223" i="7"/>
  <c r="AI47" i="7"/>
  <c r="AE216" i="7"/>
  <c r="AD33" i="7"/>
  <c r="AL231" i="6"/>
  <c r="AK57" i="6"/>
  <c r="AL230" i="6"/>
  <c r="AK55" i="6"/>
  <c r="AL229" i="6"/>
  <c r="AK53" i="6"/>
  <c r="AL228" i="6"/>
  <c r="AK51" i="6"/>
  <c r="AL227" i="6"/>
  <c r="AK49" i="6"/>
  <c r="AJ225" i="6"/>
  <c r="AI45" i="6"/>
  <c r="AK230" i="9"/>
  <c r="AJ61" i="9"/>
  <c r="AL229" i="9"/>
  <c r="AK59" i="9"/>
  <c r="AK220" i="9"/>
  <c r="AJ41" i="9"/>
  <c r="AH216" i="9"/>
  <c r="AG33" i="9"/>
  <c r="AK218" i="9"/>
  <c r="AJ37" i="9"/>
  <c r="AJ241" i="1"/>
  <c r="AI69" i="1"/>
  <c r="AL238" i="1"/>
  <c r="AK63" i="1"/>
  <c r="AJ231" i="1"/>
  <c r="AI49" i="1"/>
  <c r="AL234" i="1"/>
  <c r="AK55" i="1"/>
  <c r="AL230" i="1"/>
  <c r="AK47" i="1"/>
  <c r="AJ229" i="1"/>
  <c r="AI45" i="1"/>
  <c r="AJ227" i="1"/>
  <c r="AI41" i="1"/>
  <c r="AL226" i="1"/>
  <c r="AK39" i="1"/>
  <c r="AJ225" i="1"/>
  <c r="AI37" i="1"/>
  <c r="AJ49" i="7"/>
  <c r="AK224" i="7"/>
  <c r="J54" i="20"/>
  <c r="BT55" i="2"/>
  <c r="I60" i="20"/>
  <c r="BK61" i="2"/>
  <c r="CL62" i="2"/>
  <c r="L61" i="20"/>
  <c r="CC44" i="2"/>
  <c r="K43" i="20"/>
  <c r="U33" i="39"/>
  <c r="EL147" i="10"/>
  <c r="K99" i="40"/>
  <c r="L326" i="40"/>
  <c r="Q93" i="40"/>
  <c r="R323" i="40"/>
  <c r="L105" i="40"/>
  <c r="M329" i="40"/>
  <c r="M97" i="40"/>
  <c r="N325" i="40"/>
  <c r="Q103" i="40"/>
  <c r="R328" i="40"/>
  <c r="Q101" i="40"/>
  <c r="R327" i="40"/>
  <c r="M107" i="40"/>
  <c r="N330" i="40"/>
  <c r="Q111" i="40"/>
  <c r="R332" i="40"/>
  <c r="Q109" i="40"/>
  <c r="R331" i="40"/>
  <c r="R95" i="40"/>
  <c r="S324" i="40"/>
  <c r="R91" i="40"/>
  <c r="T321" i="40"/>
  <c r="S89" i="40"/>
  <c r="T317" i="40"/>
  <c r="S81" i="40"/>
  <c r="S313" i="40"/>
  <c r="R73" i="40"/>
  <c r="U301" i="40"/>
  <c r="T49" i="40"/>
  <c r="U305" i="40"/>
  <c r="T57" i="40"/>
  <c r="U300" i="40"/>
  <c r="T47" i="40"/>
  <c r="U299" i="40"/>
  <c r="T45" i="40"/>
  <c r="U306" i="40"/>
  <c r="T59" i="40"/>
  <c r="T302" i="40"/>
  <c r="S51" i="40"/>
  <c r="U320" i="40"/>
  <c r="T87" i="40"/>
  <c r="T297" i="40"/>
  <c r="S41" i="40"/>
  <c r="U318" i="40"/>
  <c r="T83" i="40"/>
  <c r="U314" i="40"/>
  <c r="T75" i="40"/>
  <c r="U312" i="40"/>
  <c r="T71" i="40"/>
  <c r="S311" i="40"/>
  <c r="R69" i="40"/>
  <c r="U303" i="40"/>
  <c r="T53" i="40"/>
  <c r="T315" i="40"/>
  <c r="S77" i="40"/>
  <c r="T319" i="40"/>
  <c r="S85" i="40"/>
  <c r="S309" i="40"/>
  <c r="R65" i="40"/>
  <c r="U316" i="40"/>
  <c r="T79" i="40"/>
  <c r="U322" i="40"/>
  <c r="T307" i="40"/>
  <c r="S61" i="40"/>
  <c r="U304" i="40"/>
  <c r="T55" i="40"/>
  <c r="T310" i="40"/>
  <c r="S67" i="40"/>
  <c r="U308" i="40"/>
  <c r="T63" i="40"/>
  <c r="U298" i="40"/>
  <c r="T43" i="40"/>
  <c r="AA235" i="22"/>
  <c r="Z71" i="22"/>
  <c r="G81" i="10"/>
  <c r="H240" i="10"/>
  <c r="AI67" i="7"/>
  <c r="AJ233" i="7"/>
  <c r="X65" i="9"/>
  <c r="Y232" i="9"/>
  <c r="V63" i="10"/>
  <c r="W231" i="10"/>
  <c r="Y239" i="22"/>
  <c r="X79" i="22"/>
  <c r="EN144" i="10"/>
  <c r="EO54" i="10"/>
  <c r="AD79" i="11"/>
  <c r="AE239" i="11"/>
  <c r="AH61" i="10"/>
  <c r="AI230" i="10"/>
  <c r="AC47" i="11"/>
  <c r="AD223" i="11"/>
  <c r="Z239" i="9"/>
  <c r="Y79" i="9"/>
  <c r="L233" i="22"/>
  <c r="K67" i="22"/>
  <c r="AG77" i="11"/>
  <c r="AH238" i="11"/>
  <c r="AH238" i="7"/>
  <c r="AG77" i="7"/>
  <c r="AH63" i="9"/>
  <c r="AI231" i="9"/>
  <c r="H233" i="9"/>
  <c r="G67" i="9"/>
  <c r="G229" i="10"/>
  <c r="F59" i="10"/>
  <c r="AI47" i="6"/>
  <c r="AJ226" i="6"/>
  <c r="AA79" i="7"/>
  <c r="AB239" i="7"/>
  <c r="Y233" i="10"/>
  <c r="X67" i="10"/>
  <c r="AE59" i="7"/>
  <c r="AF229" i="7"/>
  <c r="S71" i="10"/>
  <c r="T235" i="10"/>
  <c r="AA231" i="22"/>
  <c r="Z63" i="22"/>
  <c r="R75" i="11"/>
  <c r="S237" i="11"/>
  <c r="EM145" i="10"/>
  <c r="EM146" i="10"/>
  <c r="AG77" i="10"/>
  <c r="AH238" i="10"/>
  <c r="Y236" i="22"/>
  <c r="X73" i="22"/>
  <c r="AH71" i="8"/>
  <c r="AI235" i="8"/>
  <c r="AG51" i="11"/>
  <c r="AH225" i="11"/>
  <c r="AI239" i="8"/>
  <c r="AH79" i="8"/>
  <c r="AC61" i="7"/>
  <c r="AD230" i="7"/>
  <c r="AF57" i="11"/>
  <c r="AG228" i="11"/>
  <c r="Z63" i="8"/>
  <c r="AA231" i="8"/>
  <c r="V229" i="8"/>
  <c r="U59" i="8"/>
  <c r="G65" i="10"/>
  <c r="H232" i="10"/>
  <c r="AH77" i="22"/>
  <c r="AI238" i="22"/>
  <c r="AH69" i="10"/>
  <c r="AI234" i="10"/>
  <c r="AK228" i="22"/>
  <c r="AJ57" i="22"/>
  <c r="R76" i="2"/>
  <c r="D76" i="20"/>
  <c r="AJ223" i="10"/>
  <c r="AI47" i="10"/>
  <c r="AI43" i="10"/>
  <c r="AJ221" i="10"/>
  <c r="AJ53" i="10"/>
  <c r="AK226" i="10"/>
  <c r="AJ217" i="10"/>
  <c r="AI35" i="10"/>
  <c r="AI222" i="10"/>
  <c r="AH45" i="10"/>
  <c r="AJ224" i="10"/>
  <c r="AI49" i="10"/>
  <c r="AI33" i="10"/>
  <c r="AJ216" i="10"/>
  <c r="AJ220" i="10"/>
  <c r="AI41" i="10"/>
  <c r="AI39" i="10"/>
  <c r="AJ219" i="10"/>
  <c r="AJ31" i="10"/>
  <c r="AK215" i="10"/>
  <c r="AI53" i="22"/>
  <c r="AJ226" i="22"/>
  <c r="AI43" i="22"/>
  <c r="AJ221" i="22"/>
  <c r="AI223" i="22"/>
  <c r="AH47" i="22"/>
  <c r="AK225" i="22"/>
  <c r="AJ51" i="22"/>
  <c r="AJ47" i="8"/>
  <c r="AK223" i="8"/>
  <c r="AI51" i="8"/>
  <c r="AJ225" i="8"/>
  <c r="O73" i="11"/>
  <c r="P236" i="11"/>
  <c r="H65" i="22"/>
  <c r="I232" i="22"/>
  <c r="F81" i="9"/>
  <c r="G240" i="9"/>
  <c r="M61" i="22"/>
  <c r="N230" i="22"/>
  <c r="E49" i="11"/>
  <c r="F224" i="11"/>
  <c r="D69" i="7"/>
  <c r="E234" i="7"/>
  <c r="J75" i="8"/>
  <c r="K237" i="8"/>
  <c r="M67" i="11"/>
  <c r="N233" i="11"/>
  <c r="G71" i="9"/>
  <c r="H235" i="9"/>
  <c r="G57" i="10"/>
  <c r="H228" i="10"/>
  <c r="J75" i="22"/>
  <c r="K237" i="22"/>
  <c r="H81" i="7"/>
  <c r="I240" i="7"/>
  <c r="H79" i="10"/>
  <c r="I239" i="10"/>
  <c r="Q61" i="8"/>
  <c r="R230" i="8"/>
  <c r="AF73" i="9"/>
  <c r="AG236" i="9"/>
  <c r="I69" i="9"/>
  <c r="J234" i="9"/>
  <c r="M81" i="11"/>
  <c r="N240" i="11"/>
  <c r="L69" i="22"/>
  <c r="M234" i="22"/>
  <c r="J75" i="10"/>
  <c r="K237" i="10"/>
  <c r="N69" i="8"/>
  <c r="O234" i="8"/>
  <c r="J81" i="22"/>
  <c r="K240" i="22"/>
  <c r="L67" i="8"/>
  <c r="M233" i="8"/>
  <c r="AF77" i="9"/>
  <c r="AG238" i="9"/>
  <c r="K75" i="7"/>
  <c r="L237" i="7"/>
  <c r="O77" i="8"/>
  <c r="P238" i="8"/>
  <c r="AA73" i="8"/>
  <c r="AB236" i="8"/>
  <c r="AK216" i="22"/>
  <c r="AJ33" i="22"/>
  <c r="L71" i="7"/>
  <c r="M235" i="7"/>
  <c r="I48" i="2"/>
  <c r="C48" i="20"/>
  <c r="AF217" i="8"/>
  <c r="AE35" i="8"/>
  <c r="AI45" i="8"/>
  <c r="AJ222" i="8"/>
  <c r="AI221" i="8"/>
  <c r="AH43" i="8"/>
  <c r="AJ216" i="11"/>
  <c r="AI33" i="11"/>
  <c r="Y63" i="7"/>
  <c r="Z231" i="7"/>
  <c r="AJ53" i="9"/>
  <c r="AK226" i="9"/>
  <c r="AJ215" i="9"/>
  <c r="AI31" i="9"/>
  <c r="AI222" i="1"/>
  <c r="AH31" i="1"/>
  <c r="AH33" i="1"/>
  <c r="AI223" i="1"/>
  <c r="AI53" i="1"/>
  <c r="AJ233" i="1"/>
  <c r="AJ59" i="1"/>
  <c r="AK236" i="1"/>
  <c r="AK239" i="1"/>
  <c r="AJ65" i="1"/>
  <c r="AJ35" i="1"/>
  <c r="AK224" i="1"/>
  <c r="AI51" i="1"/>
  <c r="AJ232" i="1"/>
  <c r="AJ67" i="2"/>
  <c r="F67" i="20"/>
  <c r="BB56" i="2"/>
  <c r="H56" i="20"/>
  <c r="AI222" i="22"/>
  <c r="AH45" i="22"/>
  <c r="AJ216" i="6"/>
  <c r="AI27" i="6"/>
  <c r="AJ219" i="6"/>
  <c r="AI33" i="6"/>
  <c r="AJ217" i="6"/>
  <c r="AJ215" i="6"/>
  <c r="AI25" i="6"/>
  <c r="AJ223" i="6"/>
  <c r="AI41" i="6"/>
  <c r="AJ221" i="6"/>
  <c r="AI37" i="6"/>
  <c r="AI224" i="6"/>
  <c r="AH43" i="6"/>
  <c r="AJ220" i="6"/>
  <c r="AI35" i="6"/>
  <c r="AJ214" i="6"/>
  <c r="AI23" i="6"/>
  <c r="AH31" i="6"/>
  <c r="AI218" i="6"/>
  <c r="AF81" i="1"/>
  <c r="AG247" i="1"/>
  <c r="AE83" i="1"/>
  <c r="AF248" i="1"/>
  <c r="AJ43" i="1"/>
  <c r="AK228" i="1"/>
  <c r="AI218" i="8"/>
  <c r="AH37" i="8"/>
  <c r="AE39" i="8"/>
  <c r="AF219" i="8"/>
  <c r="AF45" i="11"/>
  <c r="AG222" i="11"/>
  <c r="AA67" i="2"/>
  <c r="E67" i="20"/>
  <c r="AJ217" i="22"/>
  <c r="AI35" i="22"/>
  <c r="AJ224" i="22"/>
  <c r="AI49" i="22"/>
  <c r="AH39" i="22"/>
  <c r="AI219" i="22"/>
  <c r="AJ221" i="7"/>
  <c r="AI43" i="7"/>
  <c r="AI219" i="7"/>
  <c r="AH39" i="7"/>
  <c r="AG220" i="7"/>
  <c r="AF41" i="7"/>
  <c r="AH37" i="7"/>
  <c r="AI218" i="7"/>
  <c r="AI215" i="7"/>
  <c r="AH31" i="7"/>
  <c r="AJ217" i="7"/>
  <c r="AI35" i="7"/>
  <c r="AF39" i="6"/>
  <c r="AG222" i="6"/>
  <c r="AJ217" i="9"/>
  <c r="AI35" i="9"/>
  <c r="AE55" i="9"/>
  <c r="AF227" i="9"/>
  <c r="AJ47" i="9"/>
  <c r="AK223" i="9"/>
  <c r="AK43" i="9"/>
  <c r="AL221" i="9"/>
  <c r="AG219" i="9"/>
  <c r="AF39" i="9"/>
  <c r="AI225" i="9"/>
  <c r="AH51" i="9"/>
  <c r="AG57" i="9"/>
  <c r="AH228" i="9"/>
  <c r="AI49" i="9"/>
  <c r="AJ224" i="9"/>
  <c r="AJ222" i="9"/>
  <c r="AI45" i="9"/>
  <c r="AK246" i="1"/>
  <c r="AJ79" i="1"/>
  <c r="AJ242" i="1"/>
  <c r="AI71" i="1"/>
  <c r="AJ244" i="1"/>
  <c r="AI75" i="1"/>
  <c r="AH67" i="1"/>
  <c r="AI240" i="1"/>
  <c r="AG73" i="1"/>
  <c r="AH243" i="1"/>
  <c r="AD235" i="1"/>
  <c r="AC57" i="1"/>
  <c r="AI237" i="1"/>
  <c r="AH61" i="1"/>
  <c r="AG77" i="1"/>
  <c r="AH245" i="1"/>
  <c r="AE221" i="11"/>
  <c r="AD43" i="11"/>
  <c r="AS58" i="2"/>
  <c r="G58" i="20"/>
  <c r="AG220" i="11"/>
  <c r="AF41" i="11"/>
  <c r="AG215" i="11"/>
  <c r="AI218" i="11"/>
  <c r="AH37" i="11"/>
  <c r="AJ219" i="11"/>
  <c r="AI39" i="11"/>
  <c r="AJ225" i="10"/>
  <c r="AI51" i="10"/>
  <c r="AJ218" i="10"/>
  <c r="AI37" i="10"/>
  <c r="AK229" i="22"/>
  <c r="AJ59" i="22"/>
  <c r="AJ227" i="22"/>
  <c r="AI55" i="22"/>
  <c r="AJ220" i="22"/>
  <c r="AI41" i="22"/>
  <c r="AJ218" i="22"/>
  <c r="AH228" i="8"/>
  <c r="AG57" i="8"/>
  <c r="AJ227" i="8"/>
  <c r="AI55" i="8"/>
  <c r="AK220" i="8"/>
  <c r="AJ41" i="8"/>
  <c r="AK216" i="8"/>
  <c r="AJ33" i="8"/>
  <c r="AK226" i="8"/>
  <c r="AJ53" i="8"/>
  <c r="AL215" i="8"/>
  <c r="AK31" i="8"/>
  <c r="AK224" i="8"/>
  <c r="AJ49" i="8"/>
  <c r="AK227" i="7"/>
  <c r="AJ55" i="7"/>
  <c r="AK226" i="7"/>
  <c r="AJ53" i="7"/>
  <c r="AK225" i="7"/>
  <c r="AJ51" i="7"/>
  <c r="AI223" i="7"/>
  <c r="AH47" i="7"/>
  <c r="AD216" i="7"/>
  <c r="AC33" i="7"/>
  <c r="AH222" i="7"/>
  <c r="AG45" i="7"/>
  <c r="AK231" i="6"/>
  <c r="AJ57" i="6"/>
  <c r="AK230" i="6"/>
  <c r="AJ55" i="6"/>
  <c r="AK229" i="6"/>
  <c r="AJ53" i="6"/>
  <c r="AK228" i="6"/>
  <c r="AJ51" i="6"/>
  <c r="AK227" i="6"/>
  <c r="AJ49" i="6"/>
  <c r="AI225" i="6"/>
  <c r="AH45" i="6"/>
  <c r="AJ230" i="9"/>
  <c r="AI61" i="9"/>
  <c r="AK229" i="9"/>
  <c r="AJ59" i="9"/>
  <c r="AJ218" i="9"/>
  <c r="AI37" i="9"/>
  <c r="AG216" i="9"/>
  <c r="AF33" i="9"/>
  <c r="AJ220" i="9"/>
  <c r="AI41" i="9"/>
  <c r="AI241" i="1"/>
  <c r="AH69" i="1"/>
  <c r="AK238" i="1"/>
  <c r="AJ63" i="1"/>
  <c r="AK230" i="1"/>
  <c r="AJ47" i="1"/>
  <c r="AK234" i="1"/>
  <c r="AJ55" i="1"/>
  <c r="AI231" i="1"/>
  <c r="AH49" i="1"/>
  <c r="AI229" i="1"/>
  <c r="AH45" i="1"/>
  <c r="AI227" i="1"/>
  <c r="AH41" i="1"/>
  <c r="AK226" i="1"/>
  <c r="AJ39" i="1"/>
  <c r="AI225" i="1"/>
  <c r="AH37" i="1"/>
  <c r="AJ224" i="7"/>
  <c r="AI49" i="7"/>
  <c r="J55" i="20"/>
  <c r="BT56" i="2"/>
  <c r="I61" i="20"/>
  <c r="BK62" i="2"/>
  <c r="CL63" i="2"/>
  <c r="L62" i="20"/>
  <c r="CC45" i="2"/>
  <c r="K44" i="20"/>
  <c r="U34" i="39"/>
  <c r="Q95" i="40"/>
  <c r="R324" i="40"/>
  <c r="P111" i="40"/>
  <c r="Q332" i="40"/>
  <c r="P101" i="40"/>
  <c r="Q327" i="40"/>
  <c r="L97" i="40"/>
  <c r="M325" i="40"/>
  <c r="P93" i="40"/>
  <c r="Q323" i="40"/>
  <c r="P109" i="40"/>
  <c r="Q331" i="40"/>
  <c r="L107" i="40"/>
  <c r="M330" i="40"/>
  <c r="P103" i="40"/>
  <c r="Q328" i="40"/>
  <c r="K105" i="40"/>
  <c r="L329" i="40"/>
  <c r="J99" i="40"/>
  <c r="K326" i="40"/>
  <c r="Q91" i="40"/>
  <c r="T316" i="40"/>
  <c r="S79" i="40"/>
  <c r="T300" i="40"/>
  <c r="S47" i="40"/>
  <c r="S307" i="40"/>
  <c r="R61" i="40"/>
  <c r="T303" i="40"/>
  <c r="S53" i="40"/>
  <c r="T318" i="40"/>
  <c r="S83" i="40"/>
  <c r="T306" i="40"/>
  <c r="S59" i="40"/>
  <c r="T301" i="40"/>
  <c r="S49" i="40"/>
  <c r="T308" i="40"/>
  <c r="S63" i="40"/>
  <c r="T304" i="40"/>
  <c r="S55" i="40"/>
  <c r="T322" i="40"/>
  <c r="R309" i="40"/>
  <c r="Q65" i="40"/>
  <c r="S315" i="40"/>
  <c r="R77" i="40"/>
  <c r="R311" i="40"/>
  <c r="Q69" i="40"/>
  <c r="T314" i="40"/>
  <c r="S75" i="40"/>
  <c r="S297" i="40"/>
  <c r="R41" i="40"/>
  <c r="S302" i="40"/>
  <c r="R51" i="40"/>
  <c r="T299" i="40"/>
  <c r="S45" i="40"/>
  <c r="T305" i="40"/>
  <c r="S57" i="40"/>
  <c r="R313" i="40"/>
  <c r="Q73" i="40"/>
  <c r="S321" i="40"/>
  <c r="R89" i="40"/>
  <c r="T298" i="40"/>
  <c r="S43" i="40"/>
  <c r="S310" i="40"/>
  <c r="R67" i="40"/>
  <c r="S319" i="40"/>
  <c r="R85" i="40"/>
  <c r="T312" i="40"/>
  <c r="S71" i="40"/>
  <c r="T320" i="40"/>
  <c r="S87" i="40"/>
  <c r="S317" i="40"/>
  <c r="R81" i="40"/>
  <c r="AE57" i="11"/>
  <c r="AF228" i="11"/>
  <c r="Q75" i="11"/>
  <c r="R237" i="11"/>
  <c r="AI57" i="22"/>
  <c r="AJ228" i="22"/>
  <c r="T59" i="8"/>
  <c r="U229" i="8"/>
  <c r="AH239" i="8"/>
  <c r="AG79" i="8"/>
  <c r="W67" i="10"/>
  <c r="X233" i="10"/>
  <c r="F67" i="9"/>
  <c r="G233" i="9"/>
  <c r="AG238" i="7"/>
  <c r="AF77" i="7"/>
  <c r="K233" i="22"/>
  <c r="J67" i="22"/>
  <c r="X239" i="22"/>
  <c r="W79" i="22"/>
  <c r="AG71" i="8"/>
  <c r="AH235" i="8"/>
  <c r="R71" i="10"/>
  <c r="S235" i="10"/>
  <c r="AC223" i="11"/>
  <c r="AB47" i="11"/>
  <c r="F81" i="10"/>
  <c r="G240" i="10"/>
  <c r="W73" i="22"/>
  <c r="X236" i="22"/>
  <c r="EM147" i="10"/>
  <c r="Y63" i="22"/>
  <c r="Z231" i="22"/>
  <c r="E59" i="10"/>
  <c r="F229" i="10"/>
  <c r="X79" i="9"/>
  <c r="Y239" i="9"/>
  <c r="EP54" i="10"/>
  <c r="EO144" i="10"/>
  <c r="Y71" i="22"/>
  <c r="Z235" i="22"/>
  <c r="AG77" i="22"/>
  <c r="AH238" i="22"/>
  <c r="AF77" i="10"/>
  <c r="AG238" i="10"/>
  <c r="AI226" i="6"/>
  <c r="AH47" i="6"/>
  <c r="AC79" i="11"/>
  <c r="AD239" i="11"/>
  <c r="W65" i="9"/>
  <c r="X232" i="9"/>
  <c r="AG69" i="10"/>
  <c r="AH234" i="10"/>
  <c r="F65" i="10"/>
  <c r="G232" i="10"/>
  <c r="Y63" i="8"/>
  <c r="Z231" i="8"/>
  <c r="AB61" i="7"/>
  <c r="AC230" i="7"/>
  <c r="AF51" i="11"/>
  <c r="AG225" i="11"/>
  <c r="AE229" i="7"/>
  <c r="AD59" i="7"/>
  <c r="AA239" i="7"/>
  <c r="Z79" i="7"/>
  <c r="AG63" i="9"/>
  <c r="AH231" i="9"/>
  <c r="AG238" i="11"/>
  <c r="AF77" i="11"/>
  <c r="AG61" i="10"/>
  <c r="AH230" i="10"/>
  <c r="EN145" i="10"/>
  <c r="EN146" i="10"/>
  <c r="U63" i="10"/>
  <c r="V231" i="10"/>
  <c r="AH67" i="7"/>
  <c r="AI233" i="7"/>
  <c r="R77" i="2"/>
  <c r="D77" i="20"/>
  <c r="AH41" i="10"/>
  <c r="AI220" i="10"/>
  <c r="AI31" i="10"/>
  <c r="AJ215" i="10"/>
  <c r="AH43" i="10"/>
  <c r="AI221" i="10"/>
  <c r="AI217" i="10"/>
  <c r="AH35" i="10"/>
  <c r="AH222" i="10"/>
  <c r="AG45" i="10"/>
  <c r="AI223" i="10"/>
  <c r="AH47" i="10"/>
  <c r="AI224" i="10"/>
  <c r="AH49" i="10"/>
  <c r="AI219" i="10"/>
  <c r="AH39" i="10"/>
  <c r="AI216" i="10"/>
  <c r="AH33" i="10"/>
  <c r="AJ226" i="10"/>
  <c r="AI53" i="10"/>
  <c r="AI221" i="22"/>
  <c r="AH43" i="22"/>
  <c r="AI51" i="22"/>
  <c r="AJ225" i="22"/>
  <c r="AH223" i="22"/>
  <c r="AG47" i="22"/>
  <c r="AI226" i="22"/>
  <c r="AH53" i="22"/>
  <c r="AH51" i="8"/>
  <c r="AI225" i="8"/>
  <c r="AI47" i="8"/>
  <c r="AJ223" i="8"/>
  <c r="Z73" i="8"/>
  <c r="AA236" i="8"/>
  <c r="AE77" i="9"/>
  <c r="AF238" i="9"/>
  <c r="K67" i="8"/>
  <c r="L233" i="8"/>
  <c r="M69" i="8"/>
  <c r="N234" i="8"/>
  <c r="H69" i="9"/>
  <c r="I234" i="9"/>
  <c r="AE73" i="9"/>
  <c r="AF236" i="9"/>
  <c r="P61" i="8"/>
  <c r="Q230" i="8"/>
  <c r="AI33" i="22"/>
  <c r="AJ216" i="22"/>
  <c r="G81" i="7"/>
  <c r="H240" i="7"/>
  <c r="I75" i="22"/>
  <c r="J237" i="22"/>
  <c r="F57" i="10"/>
  <c r="G228" i="10"/>
  <c r="L67" i="11"/>
  <c r="M233" i="11"/>
  <c r="I75" i="8"/>
  <c r="J237" i="8"/>
  <c r="C69" i="7"/>
  <c r="C234" i="7"/>
  <c r="D234" i="7"/>
  <c r="L61" i="22"/>
  <c r="M230" i="22"/>
  <c r="G65" i="22"/>
  <c r="H232" i="22"/>
  <c r="K71" i="7"/>
  <c r="L235" i="7"/>
  <c r="N77" i="8"/>
  <c r="O238" i="8"/>
  <c r="J75" i="7"/>
  <c r="K237" i="7"/>
  <c r="I81" i="22"/>
  <c r="J240" i="22"/>
  <c r="I75" i="10"/>
  <c r="J237" i="10"/>
  <c r="K69" i="22"/>
  <c r="L234" i="22"/>
  <c r="L81" i="11"/>
  <c r="M240" i="11"/>
  <c r="G79" i="10"/>
  <c r="H239" i="10"/>
  <c r="F71" i="9"/>
  <c r="G235" i="9"/>
  <c r="D49" i="11"/>
  <c r="E224" i="11"/>
  <c r="E81" i="9"/>
  <c r="F240" i="9"/>
  <c r="N73" i="11"/>
  <c r="O236" i="11"/>
  <c r="I49" i="2"/>
  <c r="C49" i="20"/>
  <c r="AH45" i="8"/>
  <c r="AI222" i="8"/>
  <c r="AH221" i="8"/>
  <c r="AG43" i="8"/>
  <c r="AD35" i="8"/>
  <c r="AE217" i="8"/>
  <c r="AI216" i="11"/>
  <c r="AH33" i="11"/>
  <c r="X63" i="7"/>
  <c r="Y231" i="7"/>
  <c r="AI215" i="9"/>
  <c r="AH31" i="9"/>
  <c r="AI53" i="9"/>
  <c r="AJ226" i="9"/>
  <c r="AH222" i="1"/>
  <c r="AG31" i="1"/>
  <c r="AJ224" i="1"/>
  <c r="AI35" i="1"/>
  <c r="AJ236" i="1"/>
  <c r="AI59" i="1"/>
  <c r="AH53" i="1"/>
  <c r="AI233" i="1"/>
  <c r="AH223" i="1"/>
  <c r="AG33" i="1"/>
  <c r="AJ239" i="1"/>
  <c r="AI65" i="1"/>
  <c r="AI232" i="1"/>
  <c r="AH51" i="1"/>
  <c r="AJ68" i="2"/>
  <c r="F68" i="20"/>
  <c r="BB57" i="2"/>
  <c r="H57" i="20"/>
  <c r="AH222" i="22"/>
  <c r="AG45" i="22"/>
  <c r="AI214" i="6"/>
  <c r="AH23" i="6"/>
  <c r="AI220" i="6"/>
  <c r="AH35" i="6"/>
  <c r="AH224" i="6"/>
  <c r="AG43" i="6"/>
  <c r="AI221" i="6"/>
  <c r="AH37" i="6"/>
  <c r="AI223" i="6"/>
  <c r="AH41" i="6"/>
  <c r="AI215" i="6"/>
  <c r="AH25" i="6"/>
  <c r="AI217" i="6"/>
  <c r="AI219" i="6"/>
  <c r="AH33" i="6"/>
  <c r="AI216" i="6"/>
  <c r="AH27" i="6"/>
  <c r="AH218" i="6"/>
  <c r="AG31" i="6"/>
  <c r="AI43" i="1"/>
  <c r="AJ228" i="1"/>
  <c r="AD83" i="1"/>
  <c r="AE248" i="1"/>
  <c r="AF247" i="1"/>
  <c r="AE81" i="1"/>
  <c r="AE219" i="8"/>
  <c r="AD39" i="8"/>
  <c r="AH218" i="8"/>
  <c r="AG37" i="8"/>
  <c r="AE45" i="11"/>
  <c r="AF222" i="11"/>
  <c r="AA68" i="2"/>
  <c r="E68" i="20"/>
  <c r="AI224" i="22"/>
  <c r="AH49" i="22"/>
  <c r="AI217" i="22"/>
  <c r="AH35" i="22"/>
  <c r="AH219" i="22"/>
  <c r="AG39" i="22"/>
  <c r="AH215" i="7"/>
  <c r="AG31" i="7"/>
  <c r="AH219" i="7"/>
  <c r="AG39" i="7"/>
  <c r="AH218" i="7"/>
  <c r="AG37" i="7"/>
  <c r="AH35" i="7"/>
  <c r="AI217" i="7"/>
  <c r="AF220" i="7"/>
  <c r="AE41" i="7"/>
  <c r="AI221" i="7"/>
  <c r="AH43" i="7"/>
  <c r="AE39" i="6"/>
  <c r="AF222" i="6"/>
  <c r="AK221" i="9"/>
  <c r="AJ43" i="9"/>
  <c r="AD55" i="9"/>
  <c r="AE227" i="9"/>
  <c r="AE39" i="9"/>
  <c r="AF219" i="9"/>
  <c r="AI217" i="9"/>
  <c r="AH35" i="9"/>
  <c r="AJ223" i="9"/>
  <c r="AI47" i="9"/>
  <c r="AG51" i="9"/>
  <c r="AH225" i="9"/>
  <c r="AI224" i="9"/>
  <c r="AH49" i="9"/>
  <c r="AI222" i="9"/>
  <c r="AH45" i="9"/>
  <c r="AF57" i="9"/>
  <c r="AG228" i="9"/>
  <c r="AG61" i="1"/>
  <c r="AH237" i="1"/>
  <c r="AC235" i="1"/>
  <c r="AB57" i="1"/>
  <c r="AG245" i="1"/>
  <c r="AF77" i="1"/>
  <c r="AH240" i="1"/>
  <c r="AG67" i="1"/>
  <c r="AH75" i="1"/>
  <c r="AI244" i="1"/>
  <c r="AH71" i="1"/>
  <c r="AI242" i="1"/>
  <c r="AJ246" i="1"/>
  <c r="AI79" i="1"/>
  <c r="AF73" i="1"/>
  <c r="AG243" i="1"/>
  <c r="AD221" i="11"/>
  <c r="AC43" i="11"/>
  <c r="AS59" i="2"/>
  <c r="G59" i="20"/>
  <c r="AH218" i="11"/>
  <c r="AG37" i="11"/>
  <c r="AF220" i="11"/>
  <c r="AE41" i="11"/>
  <c r="AI219" i="11"/>
  <c r="AH39" i="11"/>
  <c r="AF215" i="11"/>
  <c r="AI225" i="10"/>
  <c r="AH51" i="10"/>
  <c r="AI218" i="10"/>
  <c r="AH37" i="10"/>
  <c r="AJ229" i="22"/>
  <c r="AI59" i="22"/>
  <c r="AI218" i="22"/>
  <c r="AI220" i="22"/>
  <c r="AH41" i="22"/>
  <c r="AI227" i="22"/>
  <c r="AH55" i="22"/>
  <c r="AG228" i="8"/>
  <c r="AF57" i="8"/>
  <c r="AI227" i="8"/>
  <c r="AH55" i="8"/>
  <c r="AJ224" i="8"/>
  <c r="AI49" i="8"/>
  <c r="AK215" i="8"/>
  <c r="AJ31" i="8"/>
  <c r="AJ226" i="8"/>
  <c r="AI53" i="8"/>
  <c r="AJ216" i="8"/>
  <c r="AI33" i="8"/>
  <c r="AJ220" i="8"/>
  <c r="AI41" i="8"/>
  <c r="AJ227" i="7"/>
  <c r="AI55" i="7"/>
  <c r="AJ226" i="7"/>
  <c r="AI53" i="7"/>
  <c r="AJ225" i="7"/>
  <c r="AI51" i="7"/>
  <c r="AG222" i="7"/>
  <c r="AF45" i="7"/>
  <c r="AH223" i="7"/>
  <c r="AG47" i="7"/>
  <c r="AC216" i="7"/>
  <c r="AB33" i="7"/>
  <c r="AJ231" i="6"/>
  <c r="AI57" i="6"/>
  <c r="AJ230" i="6"/>
  <c r="AI55" i="6"/>
  <c r="AJ229" i="6"/>
  <c r="AI53" i="6"/>
  <c r="AJ228" i="6"/>
  <c r="AI51" i="6"/>
  <c r="AJ227" i="6"/>
  <c r="AI49" i="6"/>
  <c r="AH225" i="6"/>
  <c r="AG45" i="6"/>
  <c r="AI230" i="9"/>
  <c r="AH61" i="9"/>
  <c r="AJ229" i="9"/>
  <c r="AI59" i="9"/>
  <c r="AI220" i="9"/>
  <c r="AH41" i="9"/>
  <c r="AF216" i="9"/>
  <c r="AE33" i="9"/>
  <c r="AI218" i="9"/>
  <c r="AH37" i="9"/>
  <c r="AH241" i="1"/>
  <c r="AG69" i="1"/>
  <c r="AJ238" i="1"/>
  <c r="AI63" i="1"/>
  <c r="AJ234" i="1"/>
  <c r="AI55" i="1"/>
  <c r="AJ230" i="1"/>
  <c r="AI47" i="1"/>
  <c r="AH231" i="1"/>
  <c r="AG49" i="1"/>
  <c r="AH229" i="1"/>
  <c r="AG45" i="1"/>
  <c r="AJ226" i="1"/>
  <c r="AI39" i="1"/>
  <c r="AH227" i="1"/>
  <c r="AG41" i="1"/>
  <c r="AH225" i="1"/>
  <c r="AG37" i="1"/>
  <c r="AI224" i="7"/>
  <c r="AH49" i="7"/>
  <c r="J56" i="20"/>
  <c r="BT57" i="2"/>
  <c r="I62" i="20"/>
  <c r="BK63" i="2"/>
  <c r="CL64" i="2"/>
  <c r="L63" i="20"/>
  <c r="CC46" i="2"/>
  <c r="K45" i="20"/>
  <c r="I99" i="40"/>
  <c r="J326" i="40"/>
  <c r="O103" i="40"/>
  <c r="P328" i="40"/>
  <c r="O109" i="40"/>
  <c r="P331" i="40"/>
  <c r="K97" i="40"/>
  <c r="L325" i="40"/>
  <c r="O111" i="40"/>
  <c r="P332" i="40"/>
  <c r="J105" i="40"/>
  <c r="K329" i="40"/>
  <c r="K107" i="40"/>
  <c r="L330" i="40"/>
  <c r="O93" i="40"/>
  <c r="P323" i="40"/>
  <c r="O101" i="40"/>
  <c r="P327" i="40"/>
  <c r="P95" i="40"/>
  <c r="Q324" i="40"/>
  <c r="P91" i="40"/>
  <c r="S312" i="40"/>
  <c r="R71" i="40"/>
  <c r="R302" i="40"/>
  <c r="Q51" i="40"/>
  <c r="S306" i="40"/>
  <c r="R59" i="40"/>
  <c r="R310" i="40"/>
  <c r="Q67" i="40"/>
  <c r="S305" i="40"/>
  <c r="R57" i="40"/>
  <c r="R315" i="40"/>
  <c r="Q77" i="40"/>
  <c r="S308" i="40"/>
  <c r="R63" i="40"/>
  <c r="S303" i="40"/>
  <c r="R53" i="40"/>
  <c r="S320" i="40"/>
  <c r="R87" i="40"/>
  <c r="R319" i="40"/>
  <c r="Q85" i="40"/>
  <c r="S298" i="40"/>
  <c r="R43" i="40"/>
  <c r="Q313" i="40"/>
  <c r="P73" i="40"/>
  <c r="S299" i="40"/>
  <c r="R45" i="40"/>
  <c r="R297" i="40"/>
  <c r="Q41" i="40"/>
  <c r="Q311" i="40"/>
  <c r="P69" i="40"/>
  <c r="Q309" i="40"/>
  <c r="P65" i="40"/>
  <c r="S304" i="40"/>
  <c r="R55" i="40"/>
  <c r="S301" i="40"/>
  <c r="R49" i="40"/>
  <c r="S318" i="40"/>
  <c r="R83" i="40"/>
  <c r="R307" i="40"/>
  <c r="Q61" i="40"/>
  <c r="S316" i="40"/>
  <c r="R79" i="40"/>
  <c r="R317" i="40"/>
  <c r="Q81" i="40"/>
  <c r="R321" i="40"/>
  <c r="Q89" i="40"/>
  <c r="S314" i="40"/>
  <c r="R75" i="40"/>
  <c r="S322" i="40"/>
  <c r="S300" i="40"/>
  <c r="R47" i="40"/>
  <c r="AC59" i="7"/>
  <c r="AD229" i="7"/>
  <c r="W233" i="10"/>
  <c r="V67" i="10"/>
  <c r="AH233" i="7"/>
  <c r="AG67" i="7"/>
  <c r="AE51" i="11"/>
  <c r="AF225" i="11"/>
  <c r="X63" i="8"/>
  <c r="Y231" i="8"/>
  <c r="AG234" i="10"/>
  <c r="AF69" i="10"/>
  <c r="AB79" i="11"/>
  <c r="AC239" i="11"/>
  <c r="AE77" i="10"/>
  <c r="AF238" i="10"/>
  <c r="Y235" i="22"/>
  <c r="X71" i="22"/>
  <c r="W79" i="9"/>
  <c r="X239" i="9"/>
  <c r="Y231" i="22"/>
  <c r="X63" i="22"/>
  <c r="V79" i="22"/>
  <c r="W239" i="22"/>
  <c r="AE77" i="7"/>
  <c r="AF238" i="7"/>
  <c r="EO145" i="10"/>
  <c r="EO146" i="10"/>
  <c r="F240" i="10"/>
  <c r="E81" i="10"/>
  <c r="R235" i="10"/>
  <c r="Q71" i="10"/>
  <c r="P75" i="11"/>
  <c r="Q237" i="11"/>
  <c r="T63" i="10"/>
  <c r="U231" i="10"/>
  <c r="AG230" i="10"/>
  <c r="AF61" i="10"/>
  <c r="AF63" i="9"/>
  <c r="AG231" i="9"/>
  <c r="AB230" i="7"/>
  <c r="AA61" i="7"/>
  <c r="E65" i="10"/>
  <c r="F232" i="10"/>
  <c r="V65" i="9"/>
  <c r="W232" i="9"/>
  <c r="AF77" i="22"/>
  <c r="AG238" i="22"/>
  <c r="EP144" i="10"/>
  <c r="EQ54" i="10"/>
  <c r="D59" i="10"/>
  <c r="E229" i="10"/>
  <c r="AA47" i="11"/>
  <c r="AB223" i="11"/>
  <c r="I67" i="22"/>
  <c r="J233" i="22"/>
  <c r="AF79" i="8"/>
  <c r="AG239" i="8"/>
  <c r="AH226" i="6"/>
  <c r="AG47" i="6"/>
  <c r="S59" i="8"/>
  <c r="T229" i="8"/>
  <c r="EN147" i="10"/>
  <c r="AF238" i="11"/>
  <c r="AE77" i="11"/>
  <c r="Z239" i="7"/>
  <c r="Y79" i="7"/>
  <c r="W236" i="22"/>
  <c r="V73" i="22"/>
  <c r="AF71" i="8"/>
  <c r="AG235" i="8"/>
  <c r="E67" i="9"/>
  <c r="F233" i="9"/>
  <c r="AH57" i="22"/>
  <c r="AI228" i="22"/>
  <c r="AD57" i="11"/>
  <c r="AE228" i="11"/>
  <c r="R78" i="2"/>
  <c r="D78" i="20"/>
  <c r="AH53" i="10"/>
  <c r="AI226" i="10"/>
  <c r="AH219" i="10"/>
  <c r="AG39" i="10"/>
  <c r="AH31" i="10"/>
  <c r="AI215" i="10"/>
  <c r="AG35" i="10"/>
  <c r="AH217" i="10"/>
  <c r="AH216" i="10"/>
  <c r="AG33" i="10"/>
  <c r="AG49" i="10"/>
  <c r="AH224" i="10"/>
  <c r="AG222" i="10"/>
  <c r="AF45" i="10"/>
  <c r="AG47" i="10"/>
  <c r="AH223" i="10"/>
  <c r="AG43" i="10"/>
  <c r="AH221" i="10"/>
  <c r="AH220" i="10"/>
  <c r="AG41" i="10"/>
  <c r="AG223" i="22"/>
  <c r="AF47" i="22"/>
  <c r="AH221" i="22"/>
  <c r="AG43" i="22"/>
  <c r="AG53" i="22"/>
  <c r="AH226" i="22"/>
  <c r="AH51" i="22"/>
  <c r="AI225" i="22"/>
  <c r="AI223" i="8"/>
  <c r="AH47" i="8"/>
  <c r="AH225" i="8"/>
  <c r="AG51" i="8"/>
  <c r="J69" i="22"/>
  <c r="K234" i="22"/>
  <c r="H81" i="22"/>
  <c r="I240" i="22"/>
  <c r="I75" i="7"/>
  <c r="J237" i="7"/>
  <c r="J71" i="7"/>
  <c r="K235" i="7"/>
  <c r="K61" i="22"/>
  <c r="L230" i="22"/>
  <c r="H75" i="8"/>
  <c r="I237" i="8"/>
  <c r="E57" i="10"/>
  <c r="F228" i="10"/>
  <c r="M73" i="11"/>
  <c r="N236" i="11"/>
  <c r="C49" i="11"/>
  <c r="C224" i="11"/>
  <c r="D224" i="11"/>
  <c r="AI216" i="22"/>
  <c r="AH33" i="22"/>
  <c r="AD73" i="9"/>
  <c r="AE236" i="9"/>
  <c r="L69" i="8"/>
  <c r="M234" i="8"/>
  <c r="AD77" i="9"/>
  <c r="AE238" i="9"/>
  <c r="Y73" i="8"/>
  <c r="Z236" i="8"/>
  <c r="K81" i="11"/>
  <c r="L240" i="11"/>
  <c r="H75" i="10"/>
  <c r="I237" i="10"/>
  <c r="M77" i="8"/>
  <c r="N238" i="8"/>
  <c r="F65" i="22"/>
  <c r="G232" i="22"/>
  <c r="K67" i="11"/>
  <c r="L233" i="11"/>
  <c r="H75" i="22"/>
  <c r="I237" i="22"/>
  <c r="F81" i="7"/>
  <c r="G240" i="7"/>
  <c r="D81" i="9"/>
  <c r="E240" i="9"/>
  <c r="E71" i="9"/>
  <c r="F235" i="9"/>
  <c r="F79" i="10"/>
  <c r="G239" i="10"/>
  <c r="O61" i="8"/>
  <c r="P230" i="8"/>
  <c r="G69" i="9"/>
  <c r="H234" i="9"/>
  <c r="J67" i="8"/>
  <c r="K233" i="8"/>
  <c r="I50" i="2"/>
  <c r="C50" i="20"/>
  <c r="AC35" i="8"/>
  <c r="AD217" i="8"/>
  <c r="AG45" i="8"/>
  <c r="AH222" i="8"/>
  <c r="AF43" i="8"/>
  <c r="AG221" i="8"/>
  <c r="AH216" i="11"/>
  <c r="AG33" i="11"/>
  <c r="W63" i="7"/>
  <c r="X231" i="7"/>
  <c r="AH215" i="9"/>
  <c r="AG31" i="9"/>
  <c r="AH53" i="9"/>
  <c r="AI226" i="9"/>
  <c r="AF31" i="1"/>
  <c r="AG222" i="1"/>
  <c r="AH233" i="1"/>
  <c r="AG53" i="1"/>
  <c r="AI239" i="1"/>
  <c r="AH65" i="1"/>
  <c r="AG223" i="1"/>
  <c r="AF33" i="1"/>
  <c r="AH59" i="1"/>
  <c r="AI236" i="1"/>
  <c r="AH35" i="1"/>
  <c r="AI224" i="1"/>
  <c r="AH232" i="1"/>
  <c r="AG51" i="1"/>
  <c r="AJ69" i="2"/>
  <c r="F69" i="20"/>
  <c r="BB58" i="2"/>
  <c r="H58" i="20"/>
  <c r="AF45" i="22"/>
  <c r="AG222" i="22"/>
  <c r="AG218" i="6"/>
  <c r="AF31" i="6"/>
  <c r="AH216" i="6"/>
  <c r="AG27" i="6"/>
  <c r="AH219" i="6"/>
  <c r="AG33" i="6"/>
  <c r="AH217" i="6"/>
  <c r="AH215" i="6"/>
  <c r="AG25" i="6"/>
  <c r="AH223" i="6"/>
  <c r="AG41" i="6"/>
  <c r="AH221" i="6"/>
  <c r="AG37" i="6"/>
  <c r="AG224" i="6"/>
  <c r="AF43" i="6"/>
  <c r="AH220" i="6"/>
  <c r="AG35" i="6"/>
  <c r="AH214" i="6"/>
  <c r="AG23" i="6"/>
  <c r="AE247" i="1"/>
  <c r="AD81" i="1"/>
  <c r="AD248" i="1"/>
  <c r="AC83" i="1"/>
  <c r="AI228" i="1"/>
  <c r="AH43" i="1"/>
  <c r="AG218" i="8"/>
  <c r="AF37" i="8"/>
  <c r="AD219" i="8"/>
  <c r="AC39" i="8"/>
  <c r="AE222" i="11"/>
  <c r="AD45" i="11"/>
  <c r="AA69" i="2"/>
  <c r="E69" i="20"/>
  <c r="AG35" i="22"/>
  <c r="AH217" i="22"/>
  <c r="AG219" i="22"/>
  <c r="AF39" i="22"/>
  <c r="AH224" i="22"/>
  <c r="AG49" i="22"/>
  <c r="AE220" i="7"/>
  <c r="AD41" i="7"/>
  <c r="AG219" i="7"/>
  <c r="AF39" i="7"/>
  <c r="AH217" i="7"/>
  <c r="AG35" i="7"/>
  <c r="AH221" i="7"/>
  <c r="AG43" i="7"/>
  <c r="AG218" i="7"/>
  <c r="AF37" i="7"/>
  <c r="AG215" i="7"/>
  <c r="AF31" i="7"/>
  <c r="AE222" i="6"/>
  <c r="AD39" i="6"/>
  <c r="AH217" i="9"/>
  <c r="AG35" i="9"/>
  <c r="AC55" i="9"/>
  <c r="AD227" i="9"/>
  <c r="AH47" i="9"/>
  <c r="AI223" i="9"/>
  <c r="AJ221" i="9"/>
  <c r="AI43" i="9"/>
  <c r="AD39" i="9"/>
  <c r="AE219" i="9"/>
  <c r="AF51" i="9"/>
  <c r="AG225" i="9"/>
  <c r="AH222" i="9"/>
  <c r="AG45" i="9"/>
  <c r="AH224" i="9"/>
  <c r="AG49" i="9"/>
  <c r="AE57" i="9"/>
  <c r="AF228" i="9"/>
  <c r="AG240" i="1"/>
  <c r="AF67" i="1"/>
  <c r="AA57" i="1"/>
  <c r="AB235" i="1"/>
  <c r="AF243" i="1"/>
  <c r="AE73" i="1"/>
  <c r="AG75" i="1"/>
  <c r="AH244" i="1"/>
  <c r="AH79" i="1"/>
  <c r="AI246" i="1"/>
  <c r="AE77" i="1"/>
  <c r="AF245" i="1"/>
  <c r="AG71" i="1"/>
  <c r="AH242" i="1"/>
  <c r="AF61" i="1"/>
  <c r="AG237" i="1"/>
  <c r="AC221" i="11"/>
  <c r="AB43" i="11"/>
  <c r="AS60" i="2"/>
  <c r="G60" i="20"/>
  <c r="AH219" i="11"/>
  <c r="AG39" i="11"/>
  <c r="AG218" i="11"/>
  <c r="AF37" i="11"/>
  <c r="AE215" i="11"/>
  <c r="AE220" i="11"/>
  <c r="AD41" i="11"/>
  <c r="AH225" i="10"/>
  <c r="AG51" i="10"/>
  <c r="AH218" i="10"/>
  <c r="AG37" i="10"/>
  <c r="AI229" i="22"/>
  <c r="AH59" i="22"/>
  <c r="AH220" i="22"/>
  <c r="AG41" i="22"/>
  <c r="AH227" i="22"/>
  <c r="AG55" i="22"/>
  <c r="AH218" i="22"/>
  <c r="AF228" i="8"/>
  <c r="AE57" i="8"/>
  <c r="AH227" i="8"/>
  <c r="AG55" i="8"/>
  <c r="AI220" i="8"/>
  <c r="AH41" i="8"/>
  <c r="AI226" i="8"/>
  <c r="AH53" i="8"/>
  <c r="AI224" i="8"/>
  <c r="AH49" i="8"/>
  <c r="AI216" i="8"/>
  <c r="AH33" i="8"/>
  <c r="AJ215" i="8"/>
  <c r="AI31" i="8"/>
  <c r="AI227" i="7"/>
  <c r="AH55" i="7"/>
  <c r="AI226" i="7"/>
  <c r="AH53" i="7"/>
  <c r="AI225" i="7"/>
  <c r="AH51" i="7"/>
  <c r="AB216" i="7"/>
  <c r="AA33" i="7"/>
  <c r="AG223" i="7"/>
  <c r="AF47" i="7"/>
  <c r="AF222" i="7"/>
  <c r="AE45" i="7"/>
  <c r="AI231" i="6"/>
  <c r="AH57" i="6"/>
  <c r="AI230" i="6"/>
  <c r="AH55" i="6"/>
  <c r="AI229" i="6"/>
  <c r="AH53" i="6"/>
  <c r="AI228" i="6"/>
  <c r="AH51" i="6"/>
  <c r="AI227" i="6"/>
  <c r="AH49" i="6"/>
  <c r="AG225" i="6"/>
  <c r="AF45" i="6"/>
  <c r="AH230" i="9"/>
  <c r="AG61" i="9"/>
  <c r="AI229" i="9"/>
  <c r="AH59" i="9"/>
  <c r="AH218" i="9"/>
  <c r="AG37" i="9"/>
  <c r="AE216" i="9"/>
  <c r="AD33" i="9"/>
  <c r="AH220" i="9"/>
  <c r="AG41" i="9"/>
  <c r="AG241" i="1"/>
  <c r="AF69" i="1"/>
  <c r="AI238" i="1"/>
  <c r="AH63" i="1"/>
  <c r="AI230" i="1"/>
  <c r="AH47" i="1"/>
  <c r="AG231" i="1"/>
  <c r="AF49" i="1"/>
  <c r="AI234" i="1"/>
  <c r="AH55" i="1"/>
  <c r="AG229" i="1"/>
  <c r="AF45" i="1"/>
  <c r="AG227" i="1"/>
  <c r="AF41" i="1"/>
  <c r="AI226" i="1"/>
  <c r="AH39" i="1"/>
  <c r="AG225" i="1"/>
  <c r="AF37" i="1"/>
  <c r="AG49" i="7"/>
  <c r="AH224" i="7"/>
  <c r="J57" i="20"/>
  <c r="BT58" i="2"/>
  <c r="I63" i="20"/>
  <c r="BK64" i="2"/>
  <c r="CL65" i="2"/>
  <c r="L64" i="20"/>
  <c r="CC47" i="2"/>
  <c r="K46" i="20"/>
  <c r="O95" i="40"/>
  <c r="P324" i="40"/>
  <c r="N93" i="40"/>
  <c r="O323" i="40"/>
  <c r="I105" i="40"/>
  <c r="J329" i="40"/>
  <c r="J97" i="40"/>
  <c r="K325" i="40"/>
  <c r="N103" i="40"/>
  <c r="O328" i="40"/>
  <c r="N101" i="40"/>
  <c r="O327" i="40"/>
  <c r="J107" i="40"/>
  <c r="K330" i="40"/>
  <c r="N111" i="40"/>
  <c r="O332" i="40"/>
  <c r="N109" i="40"/>
  <c r="O331" i="40"/>
  <c r="H99" i="40"/>
  <c r="I326" i="40"/>
  <c r="O91" i="40"/>
  <c r="Q319" i="40"/>
  <c r="P85" i="40"/>
  <c r="R300" i="40"/>
  <c r="Q47" i="40"/>
  <c r="Q317" i="40"/>
  <c r="P81" i="40"/>
  <c r="R301" i="40"/>
  <c r="Q49" i="40"/>
  <c r="Q297" i="40"/>
  <c r="P41" i="40"/>
  <c r="R303" i="40"/>
  <c r="Q53" i="40"/>
  <c r="Q302" i="40"/>
  <c r="P51" i="40"/>
  <c r="R322" i="40"/>
  <c r="Q321" i="40"/>
  <c r="P89" i="40"/>
  <c r="R316" i="40"/>
  <c r="Q79" i="40"/>
  <c r="R318" i="40"/>
  <c r="Q83" i="40"/>
  <c r="R304" i="40"/>
  <c r="Q55" i="40"/>
  <c r="P311" i="40"/>
  <c r="O69" i="40"/>
  <c r="R299" i="40"/>
  <c r="Q45" i="40"/>
  <c r="R298" i="40"/>
  <c r="Q43" i="40"/>
  <c r="R320" i="40"/>
  <c r="Q87" i="40"/>
  <c r="R308" i="40"/>
  <c r="Q63" i="40"/>
  <c r="R305" i="40"/>
  <c r="Q57" i="40"/>
  <c r="R306" i="40"/>
  <c r="Q59" i="40"/>
  <c r="R312" i="40"/>
  <c r="Q71" i="40"/>
  <c r="R314" i="40"/>
  <c r="Q75" i="40"/>
  <c r="Q307" i="40"/>
  <c r="P61" i="40"/>
  <c r="P309" i="40"/>
  <c r="O65" i="40"/>
  <c r="P313" i="40"/>
  <c r="O73" i="40"/>
  <c r="Q315" i="40"/>
  <c r="P77" i="40"/>
  <c r="Q310" i="40"/>
  <c r="P67" i="40"/>
  <c r="W239" i="9"/>
  <c r="V79" i="9"/>
  <c r="AC57" i="11"/>
  <c r="AD228" i="11"/>
  <c r="D67" i="9"/>
  <c r="E233" i="9"/>
  <c r="AG226" i="6"/>
  <c r="AF47" i="6"/>
  <c r="Q235" i="10"/>
  <c r="P71" i="10"/>
  <c r="EO147" i="10"/>
  <c r="AE69" i="10"/>
  <c r="AF234" i="10"/>
  <c r="V233" i="10"/>
  <c r="U67" i="10"/>
  <c r="C59" i="10"/>
  <c r="C229" i="10"/>
  <c r="D229" i="10"/>
  <c r="D65" i="10"/>
  <c r="E232" i="10"/>
  <c r="AF231" i="9"/>
  <c r="AE63" i="9"/>
  <c r="S63" i="10"/>
  <c r="T231" i="10"/>
  <c r="V239" i="22"/>
  <c r="U79" i="22"/>
  <c r="AD77" i="10"/>
  <c r="AE238" i="10"/>
  <c r="AG57" i="22"/>
  <c r="AH228" i="22"/>
  <c r="AE71" i="8"/>
  <c r="AF235" i="8"/>
  <c r="ER54" i="10"/>
  <c r="EQ144" i="10"/>
  <c r="Z61" i="7"/>
  <c r="AA230" i="7"/>
  <c r="AF230" i="10"/>
  <c r="AE61" i="10"/>
  <c r="E240" i="10"/>
  <c r="D81" i="10"/>
  <c r="W63" i="22"/>
  <c r="X231" i="22"/>
  <c r="X235" i="22"/>
  <c r="W71" i="22"/>
  <c r="AG233" i="7"/>
  <c r="AF67" i="7"/>
  <c r="X79" i="7"/>
  <c r="Y239" i="7"/>
  <c r="H67" i="22"/>
  <c r="I233" i="22"/>
  <c r="AE77" i="22"/>
  <c r="AF238" i="22"/>
  <c r="AD51" i="11"/>
  <c r="AE225" i="11"/>
  <c r="V236" i="22"/>
  <c r="U73" i="22"/>
  <c r="AE238" i="11"/>
  <c r="AD77" i="11"/>
  <c r="S229" i="8"/>
  <c r="R59" i="8"/>
  <c r="AE79" i="8"/>
  <c r="AF239" i="8"/>
  <c r="Z47" i="11"/>
  <c r="AA223" i="11"/>
  <c r="EP145" i="10"/>
  <c r="EP146" i="10"/>
  <c r="U65" i="9"/>
  <c r="V232" i="9"/>
  <c r="O75" i="11"/>
  <c r="P237" i="11"/>
  <c r="AD77" i="7"/>
  <c r="AE238" i="7"/>
  <c r="AA79" i="11"/>
  <c r="AB239" i="11"/>
  <c r="W63" i="8"/>
  <c r="X231" i="8"/>
  <c r="AB59" i="7"/>
  <c r="AC229" i="7"/>
  <c r="R79" i="2"/>
  <c r="D79" i="20"/>
  <c r="AG223" i="10"/>
  <c r="AF47" i="10"/>
  <c r="AF49" i="10"/>
  <c r="AG224" i="10"/>
  <c r="AF35" i="10"/>
  <c r="AG217" i="10"/>
  <c r="AF41" i="10"/>
  <c r="AG220" i="10"/>
  <c r="AF222" i="10"/>
  <c r="AE45" i="10"/>
  <c r="AG216" i="10"/>
  <c r="AF33" i="10"/>
  <c r="AG219" i="10"/>
  <c r="AF39" i="10"/>
  <c r="AF43" i="10"/>
  <c r="AG221" i="10"/>
  <c r="AG31" i="10"/>
  <c r="AH215" i="10"/>
  <c r="AH226" i="10"/>
  <c r="AG53" i="10"/>
  <c r="AG221" i="22"/>
  <c r="AF43" i="22"/>
  <c r="AF223" i="22"/>
  <c r="AE47" i="22"/>
  <c r="AH225" i="22"/>
  <c r="AG51" i="22"/>
  <c r="AG226" i="22"/>
  <c r="AF53" i="22"/>
  <c r="AG225" i="8"/>
  <c r="AF51" i="8"/>
  <c r="AH223" i="8"/>
  <c r="AG47" i="8"/>
  <c r="I67" i="8"/>
  <c r="J233" i="8"/>
  <c r="F69" i="9"/>
  <c r="G234" i="9"/>
  <c r="E79" i="10"/>
  <c r="F239" i="10"/>
  <c r="D71" i="9"/>
  <c r="E235" i="9"/>
  <c r="C81" i="9"/>
  <c r="C240" i="9"/>
  <c r="D240" i="9"/>
  <c r="G75" i="22"/>
  <c r="H237" i="22"/>
  <c r="E65" i="22"/>
  <c r="F232" i="22"/>
  <c r="J81" i="11"/>
  <c r="K240" i="11"/>
  <c r="AH216" i="22"/>
  <c r="AG33" i="22"/>
  <c r="G75" i="8"/>
  <c r="H237" i="8"/>
  <c r="I71" i="7"/>
  <c r="J235" i="7"/>
  <c r="G81" i="22"/>
  <c r="H240" i="22"/>
  <c r="AC77" i="9"/>
  <c r="AD238" i="9"/>
  <c r="N61" i="8"/>
  <c r="O230" i="8"/>
  <c r="E81" i="7"/>
  <c r="F240" i="7"/>
  <c r="J67" i="11"/>
  <c r="K233" i="11"/>
  <c r="L77" i="8"/>
  <c r="M238" i="8"/>
  <c r="G75" i="10"/>
  <c r="H237" i="10"/>
  <c r="L73" i="11"/>
  <c r="M236" i="11"/>
  <c r="D57" i="10"/>
  <c r="E228" i="10"/>
  <c r="J61" i="22"/>
  <c r="K230" i="22"/>
  <c r="H75" i="7"/>
  <c r="I237" i="7"/>
  <c r="I69" i="22"/>
  <c r="J234" i="22"/>
  <c r="X73" i="8"/>
  <c r="Y236" i="8"/>
  <c r="K69" i="8"/>
  <c r="L234" i="8"/>
  <c r="AC73" i="9"/>
  <c r="AD236" i="9"/>
  <c r="I51" i="2"/>
  <c r="C51" i="20"/>
  <c r="AF221" i="8"/>
  <c r="AE43" i="8"/>
  <c r="AF45" i="8"/>
  <c r="AG222" i="8"/>
  <c r="AB35" i="8"/>
  <c r="AC217" i="8"/>
  <c r="AG216" i="11"/>
  <c r="AF33" i="11"/>
  <c r="V63" i="7"/>
  <c r="W231" i="7"/>
  <c r="AF31" i="9"/>
  <c r="AG215" i="9"/>
  <c r="AG53" i="9"/>
  <c r="AH226" i="9"/>
  <c r="AF222" i="1"/>
  <c r="AE31" i="1"/>
  <c r="AH224" i="1"/>
  <c r="AG35" i="1"/>
  <c r="AH236" i="1"/>
  <c r="AG59" i="1"/>
  <c r="AE33" i="1"/>
  <c r="AF223" i="1"/>
  <c r="AH239" i="1"/>
  <c r="AG65" i="1"/>
  <c r="AG233" i="1"/>
  <c r="AF53" i="1"/>
  <c r="AG232" i="1"/>
  <c r="AF51" i="1"/>
  <c r="AJ70" i="2"/>
  <c r="F70" i="20"/>
  <c r="BB59" i="2"/>
  <c r="H59" i="20"/>
  <c r="AF222" i="22"/>
  <c r="AE45" i="22"/>
  <c r="AG220" i="6"/>
  <c r="AF35" i="6"/>
  <c r="AF224" i="6"/>
  <c r="AE43" i="6"/>
  <c r="AG221" i="6"/>
  <c r="AF37" i="6"/>
  <c r="AG223" i="6"/>
  <c r="AF41" i="6"/>
  <c r="AG215" i="6"/>
  <c r="AF25" i="6"/>
  <c r="AG217" i="6"/>
  <c r="AG219" i="6"/>
  <c r="AF33" i="6"/>
  <c r="AG216" i="6"/>
  <c r="AF27" i="6"/>
  <c r="AE31" i="6"/>
  <c r="AF218" i="6"/>
  <c r="AG214" i="6"/>
  <c r="AF23" i="6"/>
  <c r="AH228" i="1"/>
  <c r="AG43" i="1"/>
  <c r="AC248" i="1"/>
  <c r="AB83" i="1"/>
  <c r="AC81" i="1"/>
  <c r="AD247" i="1"/>
  <c r="AC219" i="8"/>
  <c r="AB39" i="8"/>
  <c r="AE37" i="8"/>
  <c r="AF218" i="8"/>
  <c r="AD222" i="11"/>
  <c r="AC45" i="11"/>
  <c r="AA70" i="2"/>
  <c r="E70" i="20"/>
  <c r="AF219" i="22"/>
  <c r="AE39" i="22"/>
  <c r="AG224" i="22"/>
  <c r="AF49" i="22"/>
  <c r="AG217" i="22"/>
  <c r="AF35" i="22"/>
  <c r="AE37" i="7"/>
  <c r="AF218" i="7"/>
  <c r="AG221" i="7"/>
  <c r="AF43" i="7"/>
  <c r="AF219" i="7"/>
  <c r="AE39" i="7"/>
  <c r="AF215" i="7"/>
  <c r="AE31" i="7"/>
  <c r="AF35" i="7"/>
  <c r="AG217" i="7"/>
  <c r="AD220" i="7"/>
  <c r="AC41" i="7"/>
  <c r="AC39" i="6"/>
  <c r="AD222" i="6"/>
  <c r="AH43" i="9"/>
  <c r="AI221" i="9"/>
  <c r="AB55" i="9"/>
  <c r="AC227" i="9"/>
  <c r="AG217" i="9"/>
  <c r="AF35" i="9"/>
  <c r="AD219" i="9"/>
  <c r="AC39" i="9"/>
  <c r="AG47" i="9"/>
  <c r="AH223" i="9"/>
  <c r="AF225" i="9"/>
  <c r="AE51" i="9"/>
  <c r="AG224" i="9"/>
  <c r="AF49" i="9"/>
  <c r="AD57" i="9"/>
  <c r="AE228" i="9"/>
  <c r="AG222" i="9"/>
  <c r="AF45" i="9"/>
  <c r="AD73" i="1"/>
  <c r="AE243" i="1"/>
  <c r="AE61" i="1"/>
  <c r="AF237" i="1"/>
  <c r="AG242" i="1"/>
  <c r="AF71" i="1"/>
  <c r="AE67" i="1"/>
  <c r="AF240" i="1"/>
  <c r="AD77" i="1"/>
  <c r="AE245" i="1"/>
  <c r="AH246" i="1"/>
  <c r="AG79" i="1"/>
  <c r="AG244" i="1"/>
  <c r="AF75" i="1"/>
  <c r="AA235" i="1"/>
  <c r="Z57" i="1"/>
  <c r="AB221" i="11"/>
  <c r="AA43" i="11"/>
  <c r="AS61" i="2"/>
  <c r="G61" i="20"/>
  <c r="AD215" i="11"/>
  <c r="AG219" i="11"/>
  <c r="AF39" i="11"/>
  <c r="AD220" i="11"/>
  <c r="AC41" i="11"/>
  <c r="AF218" i="11"/>
  <c r="AE37" i="11"/>
  <c r="AG225" i="10"/>
  <c r="AF51" i="10"/>
  <c r="AG218" i="10"/>
  <c r="AF37" i="10"/>
  <c r="AH229" i="22"/>
  <c r="AG59" i="22"/>
  <c r="AG227" i="22"/>
  <c r="AF55" i="22"/>
  <c r="AG218" i="22"/>
  <c r="AG220" i="22"/>
  <c r="AF41" i="22"/>
  <c r="AE228" i="8"/>
  <c r="AD57" i="8"/>
  <c r="AG227" i="8"/>
  <c r="AF55" i="8"/>
  <c r="AH216" i="8"/>
  <c r="AG33" i="8"/>
  <c r="AH226" i="8"/>
  <c r="AG53" i="8"/>
  <c r="AI215" i="8"/>
  <c r="AH31" i="8"/>
  <c r="AH224" i="8"/>
  <c r="AG49" i="8"/>
  <c r="AH220" i="8"/>
  <c r="AG41" i="8"/>
  <c r="AH227" i="7"/>
  <c r="AG55" i="7"/>
  <c r="AH226" i="7"/>
  <c r="AG53" i="7"/>
  <c r="AH225" i="7"/>
  <c r="AG51" i="7"/>
  <c r="AE222" i="7"/>
  <c r="AD45" i="7"/>
  <c r="AA216" i="7"/>
  <c r="Z33" i="7"/>
  <c r="AF223" i="7"/>
  <c r="AE47" i="7"/>
  <c r="AH231" i="6"/>
  <c r="AG57" i="6"/>
  <c r="AH230" i="6"/>
  <c r="AG55" i="6"/>
  <c r="AH229" i="6"/>
  <c r="AG53" i="6"/>
  <c r="AH228" i="6"/>
  <c r="AG51" i="6"/>
  <c r="AH227" i="6"/>
  <c r="AG49" i="6"/>
  <c r="AF225" i="6"/>
  <c r="AE45" i="6"/>
  <c r="AG230" i="9"/>
  <c r="AF61" i="9"/>
  <c r="AH229" i="9"/>
  <c r="AG59" i="9"/>
  <c r="AD216" i="9"/>
  <c r="AC33" i="9"/>
  <c r="AG220" i="9"/>
  <c r="AF41" i="9"/>
  <c r="AG218" i="9"/>
  <c r="AF37" i="9"/>
  <c r="AF241" i="1"/>
  <c r="AE69" i="1"/>
  <c r="AH238" i="1"/>
  <c r="AG63" i="1"/>
  <c r="AF231" i="1"/>
  <c r="AE49" i="1"/>
  <c r="AH230" i="1"/>
  <c r="AG47" i="1"/>
  <c r="AH234" i="1"/>
  <c r="AG55" i="1"/>
  <c r="AF229" i="1"/>
  <c r="AE45" i="1"/>
  <c r="AH226" i="1"/>
  <c r="AG39" i="1"/>
  <c r="AF227" i="1"/>
  <c r="AE41" i="1"/>
  <c r="AF225" i="1"/>
  <c r="AE37" i="1"/>
  <c r="AF49" i="7"/>
  <c r="AG224" i="7"/>
  <c r="J58" i="20"/>
  <c r="BT59" i="2"/>
  <c r="I64" i="20"/>
  <c r="BK65" i="2"/>
  <c r="CL66" i="2"/>
  <c r="L65" i="20"/>
  <c r="CC48" i="2"/>
  <c r="K47" i="20"/>
  <c r="G99" i="40"/>
  <c r="H326" i="40"/>
  <c r="M111" i="40"/>
  <c r="N332" i="40"/>
  <c r="M101" i="40"/>
  <c r="N327" i="40"/>
  <c r="I97" i="40"/>
  <c r="J325" i="40"/>
  <c r="M93" i="40"/>
  <c r="N323" i="40"/>
  <c r="M109" i="40"/>
  <c r="N331" i="40"/>
  <c r="I107" i="40"/>
  <c r="J330" i="40"/>
  <c r="M103" i="40"/>
  <c r="N328" i="40"/>
  <c r="H105" i="40"/>
  <c r="I329" i="40"/>
  <c r="N95" i="40"/>
  <c r="O324" i="40"/>
  <c r="N91" i="40"/>
  <c r="P310" i="40"/>
  <c r="O67" i="40"/>
  <c r="Q303" i="40"/>
  <c r="P53" i="40"/>
  <c r="O313" i="40"/>
  <c r="N73" i="40"/>
  <c r="Q312" i="40"/>
  <c r="P71" i="40"/>
  <c r="Q320" i="40"/>
  <c r="P87" i="40"/>
  <c r="Q304" i="40"/>
  <c r="P55" i="40"/>
  <c r="Q322" i="40"/>
  <c r="Q300" i="40"/>
  <c r="P47" i="40"/>
  <c r="P315" i="40"/>
  <c r="O77" i="40"/>
  <c r="O309" i="40"/>
  <c r="N65" i="40"/>
  <c r="Q314" i="40"/>
  <c r="P75" i="40"/>
  <c r="Q306" i="40"/>
  <c r="P59" i="40"/>
  <c r="Q308" i="40"/>
  <c r="P63" i="40"/>
  <c r="Q298" i="40"/>
  <c r="P43" i="40"/>
  <c r="O311" i="40"/>
  <c r="N69" i="40"/>
  <c r="Q318" i="40"/>
  <c r="P83" i="40"/>
  <c r="P321" i="40"/>
  <c r="O89" i="40"/>
  <c r="P302" i="40"/>
  <c r="O51" i="40"/>
  <c r="P297" i="40"/>
  <c r="O41" i="40"/>
  <c r="P317" i="40"/>
  <c r="O81" i="40"/>
  <c r="P319" i="40"/>
  <c r="O85" i="40"/>
  <c r="P307" i="40"/>
  <c r="O61" i="40"/>
  <c r="Q305" i="40"/>
  <c r="P57" i="40"/>
  <c r="Q299" i="40"/>
  <c r="P45" i="40"/>
  <c r="Q316" i="40"/>
  <c r="P79" i="40"/>
  <c r="Q301" i="40"/>
  <c r="P49" i="40"/>
  <c r="R229" i="8"/>
  <c r="Q59" i="8"/>
  <c r="AB229" i="7"/>
  <c r="AA59" i="7"/>
  <c r="Z79" i="11"/>
  <c r="AA239" i="11"/>
  <c r="N75" i="11"/>
  <c r="O237" i="11"/>
  <c r="AD79" i="8"/>
  <c r="AE239" i="8"/>
  <c r="AC51" i="11"/>
  <c r="AD225" i="11"/>
  <c r="H233" i="22"/>
  <c r="G67" i="22"/>
  <c r="W231" i="22"/>
  <c r="V63" i="22"/>
  <c r="ER144" i="10"/>
  <c r="ES54" i="10"/>
  <c r="AG228" i="22"/>
  <c r="AF57" i="22"/>
  <c r="AD69" i="10"/>
  <c r="AE234" i="10"/>
  <c r="AF226" i="6"/>
  <c r="AE47" i="6"/>
  <c r="T73" i="22"/>
  <c r="U236" i="22"/>
  <c r="V71" i="22"/>
  <c r="W235" i="22"/>
  <c r="D240" i="10"/>
  <c r="C81" i="10"/>
  <c r="C240" i="10"/>
  <c r="AB57" i="11"/>
  <c r="AC228" i="11"/>
  <c r="V63" i="8"/>
  <c r="W231" i="8"/>
  <c r="AD238" i="7"/>
  <c r="AC77" i="7"/>
  <c r="T65" i="9"/>
  <c r="U232" i="9"/>
  <c r="Z223" i="11"/>
  <c r="Y47" i="11"/>
  <c r="AE238" i="22"/>
  <c r="AD77" i="22"/>
  <c r="X239" i="7"/>
  <c r="W79" i="7"/>
  <c r="Y61" i="7"/>
  <c r="Z230" i="7"/>
  <c r="AD71" i="8"/>
  <c r="AE235" i="8"/>
  <c r="AC77" i="10"/>
  <c r="AD238" i="10"/>
  <c r="R63" i="10"/>
  <c r="S231" i="10"/>
  <c r="C65" i="10"/>
  <c r="C232" i="10"/>
  <c r="D232" i="10"/>
  <c r="P235" i="10"/>
  <c r="O71" i="10"/>
  <c r="V239" i="9"/>
  <c r="U79" i="9"/>
  <c r="T67" i="10"/>
  <c r="U233" i="10"/>
  <c r="EP147" i="10"/>
  <c r="AC77" i="11"/>
  <c r="AD238" i="11"/>
  <c r="AF233" i="7"/>
  <c r="AE67" i="7"/>
  <c r="AD61" i="10"/>
  <c r="AE230" i="10"/>
  <c r="EQ145" i="10"/>
  <c r="EQ146" i="10"/>
  <c r="U239" i="22"/>
  <c r="T79" i="22"/>
  <c r="AE231" i="9"/>
  <c r="AD63" i="9"/>
  <c r="C67" i="9"/>
  <c r="C233" i="9"/>
  <c r="D233" i="9"/>
  <c r="R80" i="2"/>
  <c r="D80" i="20"/>
  <c r="AF221" i="10"/>
  <c r="AE43" i="10"/>
  <c r="AF220" i="10"/>
  <c r="AE41" i="10"/>
  <c r="AE49" i="10"/>
  <c r="AF224" i="10"/>
  <c r="AF216" i="10"/>
  <c r="AE33" i="10"/>
  <c r="AE39" i="10"/>
  <c r="AF219" i="10"/>
  <c r="AE222" i="10"/>
  <c r="AD45" i="10"/>
  <c r="AE47" i="10"/>
  <c r="AF223" i="10"/>
  <c r="AG226" i="10"/>
  <c r="AF53" i="10"/>
  <c r="AF31" i="10"/>
  <c r="AG215" i="10"/>
  <c r="AF217" i="10"/>
  <c r="AE35" i="10"/>
  <c r="AG225" i="22"/>
  <c r="AF51" i="22"/>
  <c r="AF221" i="22"/>
  <c r="AE43" i="22"/>
  <c r="AF226" i="22"/>
  <c r="AE53" i="22"/>
  <c r="AE223" i="22"/>
  <c r="AD47" i="22"/>
  <c r="AG223" i="8"/>
  <c r="AF47" i="8"/>
  <c r="AF225" i="8"/>
  <c r="AE51" i="8"/>
  <c r="M61" i="8"/>
  <c r="N230" i="8"/>
  <c r="AB77" i="9"/>
  <c r="AC238" i="9"/>
  <c r="F81" i="22"/>
  <c r="G240" i="22"/>
  <c r="F75" i="8"/>
  <c r="G237" i="8"/>
  <c r="AF33" i="22"/>
  <c r="AG216" i="22"/>
  <c r="AB73" i="9"/>
  <c r="AC236" i="9"/>
  <c r="W73" i="8"/>
  <c r="X236" i="8"/>
  <c r="H69" i="22"/>
  <c r="I234" i="22"/>
  <c r="I61" i="22"/>
  <c r="J230" i="22"/>
  <c r="K73" i="11"/>
  <c r="L236" i="11"/>
  <c r="K77" i="8"/>
  <c r="L238" i="8"/>
  <c r="D81" i="7"/>
  <c r="E240" i="7"/>
  <c r="F75" i="22"/>
  <c r="G237" i="22"/>
  <c r="C71" i="9"/>
  <c r="C235" i="9"/>
  <c r="D235" i="9"/>
  <c r="H67" i="8"/>
  <c r="I233" i="8"/>
  <c r="H71" i="7"/>
  <c r="I235" i="7"/>
  <c r="J69" i="8"/>
  <c r="K234" i="8"/>
  <c r="G75" i="7"/>
  <c r="H237" i="7"/>
  <c r="C57" i="10"/>
  <c r="C228" i="10"/>
  <c r="D228" i="10"/>
  <c r="F75" i="10"/>
  <c r="G237" i="10"/>
  <c r="I67" i="11"/>
  <c r="J233" i="11"/>
  <c r="I81" i="11"/>
  <c r="J240" i="11"/>
  <c r="D65" i="22"/>
  <c r="E232" i="22"/>
  <c r="D79" i="10"/>
  <c r="E239" i="10"/>
  <c r="E69" i="9"/>
  <c r="F234" i="9"/>
  <c r="I52" i="2"/>
  <c r="C52" i="20"/>
  <c r="AA35" i="8"/>
  <c r="AB217" i="8"/>
  <c r="AE45" i="8"/>
  <c r="AF222" i="8"/>
  <c r="AE221" i="8"/>
  <c r="AD43" i="8"/>
  <c r="AF216" i="11"/>
  <c r="AE33" i="11"/>
  <c r="U63" i="7"/>
  <c r="V231" i="7"/>
  <c r="AF53" i="9"/>
  <c r="AG226" i="9"/>
  <c r="AE31" i="9"/>
  <c r="AF215" i="9"/>
  <c r="AD31" i="1"/>
  <c r="AE222" i="1"/>
  <c r="AD33" i="1"/>
  <c r="AE223" i="1"/>
  <c r="AE53" i="1"/>
  <c r="AF233" i="1"/>
  <c r="AF65" i="1"/>
  <c r="AG239" i="1"/>
  <c r="AG236" i="1"/>
  <c r="AF59" i="1"/>
  <c r="AF35" i="1"/>
  <c r="AG224" i="1"/>
  <c r="AF232" i="1"/>
  <c r="AE51" i="1"/>
  <c r="AJ71" i="2"/>
  <c r="F71" i="20"/>
  <c r="BB60" i="2"/>
  <c r="H60" i="20"/>
  <c r="AE222" i="22"/>
  <c r="AD45" i="22"/>
  <c r="AF214" i="6"/>
  <c r="AE23" i="6"/>
  <c r="AF216" i="6"/>
  <c r="AE27" i="6"/>
  <c r="AF219" i="6"/>
  <c r="AE33" i="6"/>
  <c r="AF217" i="6"/>
  <c r="AF215" i="6"/>
  <c r="AE25" i="6"/>
  <c r="AF223" i="6"/>
  <c r="AE41" i="6"/>
  <c r="AF221" i="6"/>
  <c r="AE37" i="6"/>
  <c r="AE224" i="6"/>
  <c r="AD43" i="6"/>
  <c r="AF220" i="6"/>
  <c r="AE35" i="6"/>
  <c r="AE218" i="6"/>
  <c r="AD31" i="6"/>
  <c r="AA83" i="1"/>
  <c r="AB248" i="1"/>
  <c r="AG228" i="1"/>
  <c r="AF43" i="1"/>
  <c r="AC247" i="1"/>
  <c r="AB81" i="1"/>
  <c r="AE218" i="8"/>
  <c r="AD37" i="8"/>
  <c r="AB219" i="8"/>
  <c r="AA39" i="8"/>
  <c r="AB45" i="11"/>
  <c r="AC222" i="11"/>
  <c r="AA71" i="2"/>
  <c r="E71" i="20"/>
  <c r="AF224" i="22"/>
  <c r="AE49" i="22"/>
  <c r="AF217" i="22"/>
  <c r="AE35" i="22"/>
  <c r="AE219" i="22"/>
  <c r="AD39" i="22"/>
  <c r="AE215" i="7"/>
  <c r="AD31" i="7"/>
  <c r="AF221" i="7"/>
  <c r="AE43" i="7"/>
  <c r="AE35" i="7"/>
  <c r="AF217" i="7"/>
  <c r="AC220" i="7"/>
  <c r="AB41" i="7"/>
  <c r="AE219" i="7"/>
  <c r="AD39" i="7"/>
  <c r="AD37" i="7"/>
  <c r="AE218" i="7"/>
  <c r="AC222" i="6"/>
  <c r="AB39" i="6"/>
  <c r="AC219" i="9"/>
  <c r="AB39" i="9"/>
  <c r="AA55" i="9"/>
  <c r="AB227" i="9"/>
  <c r="AF217" i="9"/>
  <c r="AE35" i="9"/>
  <c r="AF47" i="9"/>
  <c r="AG223" i="9"/>
  <c r="AH221" i="9"/>
  <c r="AG43" i="9"/>
  <c r="AE225" i="9"/>
  <c r="AD51" i="9"/>
  <c r="AC57" i="9"/>
  <c r="AD228" i="9"/>
  <c r="AF222" i="9"/>
  <c r="AE45" i="9"/>
  <c r="AF224" i="9"/>
  <c r="AE49" i="9"/>
  <c r="Z235" i="1"/>
  <c r="Y57" i="1"/>
  <c r="AG246" i="1"/>
  <c r="AF79" i="1"/>
  <c r="AD67" i="1"/>
  <c r="AE240" i="1"/>
  <c r="AD61" i="1"/>
  <c r="AE237" i="1"/>
  <c r="AD243" i="1"/>
  <c r="AC73" i="1"/>
  <c r="AE75" i="1"/>
  <c r="AF244" i="1"/>
  <c r="AE71" i="1"/>
  <c r="AF242" i="1"/>
  <c r="AD245" i="1"/>
  <c r="AC77" i="1"/>
  <c r="AA221" i="11"/>
  <c r="Z43" i="11"/>
  <c r="AS62" i="2"/>
  <c r="G62" i="20"/>
  <c r="AC220" i="11"/>
  <c r="AB41" i="11"/>
  <c r="AC215" i="11"/>
  <c r="AE218" i="11"/>
  <c r="AD37" i="11"/>
  <c r="AF219" i="11"/>
  <c r="AE39" i="11"/>
  <c r="AF225" i="10"/>
  <c r="AE51" i="10"/>
  <c r="AF218" i="10"/>
  <c r="AE37" i="10"/>
  <c r="AG229" i="22"/>
  <c r="AF59" i="22"/>
  <c r="AF220" i="22"/>
  <c r="AE41" i="22"/>
  <c r="AF227" i="22"/>
  <c r="AE55" i="22"/>
  <c r="AF218" i="22"/>
  <c r="AD228" i="8"/>
  <c r="AC57" i="8"/>
  <c r="AF227" i="8"/>
  <c r="AE55" i="8"/>
  <c r="AG220" i="8"/>
  <c r="AF41" i="8"/>
  <c r="AG224" i="8"/>
  <c r="AF49" i="8"/>
  <c r="AH215" i="8"/>
  <c r="AG31" i="8"/>
  <c r="AG226" i="8"/>
  <c r="AF53" i="8"/>
  <c r="AG216" i="8"/>
  <c r="AF33" i="8"/>
  <c r="AG227" i="7"/>
  <c r="AF55" i="7"/>
  <c r="AG226" i="7"/>
  <c r="AF53" i="7"/>
  <c r="AG225" i="7"/>
  <c r="AF51" i="7"/>
  <c r="Z216" i="7"/>
  <c r="Y33" i="7"/>
  <c r="AE223" i="7"/>
  <c r="AD47" i="7"/>
  <c r="AD222" i="7"/>
  <c r="AC45" i="7"/>
  <c r="AG231" i="6"/>
  <c r="AF57" i="6"/>
  <c r="AG230" i="6"/>
  <c r="AF55" i="6"/>
  <c r="AG229" i="6"/>
  <c r="AF53" i="6"/>
  <c r="AG228" i="6"/>
  <c r="AF51" i="6"/>
  <c r="AG227" i="6"/>
  <c r="AF49" i="6"/>
  <c r="AE225" i="6"/>
  <c r="AD45" i="6"/>
  <c r="AF230" i="9"/>
  <c r="AE61" i="9"/>
  <c r="AG229" i="9"/>
  <c r="AF59" i="9"/>
  <c r="AF220" i="9"/>
  <c r="AE41" i="9"/>
  <c r="AF218" i="9"/>
  <c r="AE37" i="9"/>
  <c r="AC216" i="9"/>
  <c r="AB33" i="9"/>
  <c r="AE241" i="1"/>
  <c r="AD69" i="1"/>
  <c r="AG238" i="1"/>
  <c r="AF63" i="1"/>
  <c r="AE231" i="1"/>
  <c r="AD49" i="1"/>
  <c r="AG234" i="1"/>
  <c r="AF55" i="1"/>
  <c r="AG230" i="1"/>
  <c r="AF47" i="1"/>
  <c r="AE229" i="1"/>
  <c r="AD45" i="1"/>
  <c r="AE225" i="1"/>
  <c r="AD37" i="1"/>
  <c r="AE227" i="1"/>
  <c r="AD41" i="1"/>
  <c r="AG226" i="1"/>
  <c r="AF39" i="1"/>
  <c r="AF224" i="7"/>
  <c r="AE49" i="7"/>
  <c r="J59" i="20"/>
  <c r="BT60" i="2"/>
  <c r="I65" i="20"/>
  <c r="BK66" i="2"/>
  <c r="CL67" i="2"/>
  <c r="L66" i="20"/>
  <c r="CC49" i="2"/>
  <c r="K48" i="20"/>
  <c r="EQ147" i="10"/>
  <c r="M95" i="40"/>
  <c r="N324" i="40"/>
  <c r="L103" i="40"/>
  <c r="M328" i="40"/>
  <c r="L109" i="40"/>
  <c r="M331" i="40"/>
  <c r="H97" i="40"/>
  <c r="I325" i="40"/>
  <c r="L111" i="40"/>
  <c r="M332" i="40"/>
  <c r="G105" i="40"/>
  <c r="H329" i="40"/>
  <c r="H107" i="40"/>
  <c r="I330" i="40"/>
  <c r="L93" i="40"/>
  <c r="M323" i="40"/>
  <c r="L101" i="40"/>
  <c r="M327" i="40"/>
  <c r="F99" i="40"/>
  <c r="G326" i="40"/>
  <c r="M91" i="40"/>
  <c r="P316" i="40"/>
  <c r="O79" i="40"/>
  <c r="O297" i="40"/>
  <c r="N41" i="40"/>
  <c r="N311" i="40"/>
  <c r="M69" i="40"/>
  <c r="N313" i="40"/>
  <c r="M73" i="40"/>
  <c r="P301" i="40"/>
  <c r="O49" i="40"/>
  <c r="P299" i="40"/>
  <c r="O45" i="40"/>
  <c r="O307" i="40"/>
  <c r="N61" i="40"/>
  <c r="O317" i="40"/>
  <c r="N81" i="40"/>
  <c r="O302" i="40"/>
  <c r="N51" i="40"/>
  <c r="P318" i="40"/>
  <c r="O83" i="40"/>
  <c r="P298" i="40"/>
  <c r="O43" i="40"/>
  <c r="P306" i="40"/>
  <c r="O59" i="40"/>
  <c r="N309" i="40"/>
  <c r="M65" i="40"/>
  <c r="P300" i="40"/>
  <c r="O47" i="40"/>
  <c r="P304" i="40"/>
  <c r="O55" i="40"/>
  <c r="P312" i="40"/>
  <c r="O71" i="40"/>
  <c r="P303" i="40"/>
  <c r="O53" i="40"/>
  <c r="P305" i="40"/>
  <c r="O57" i="40"/>
  <c r="O319" i="40"/>
  <c r="N85" i="40"/>
  <c r="O321" i="40"/>
  <c r="N89" i="40"/>
  <c r="P308" i="40"/>
  <c r="O63" i="40"/>
  <c r="P314" i="40"/>
  <c r="O75" i="40"/>
  <c r="O315" i="40"/>
  <c r="N77" i="40"/>
  <c r="P322" i="40"/>
  <c r="P320" i="40"/>
  <c r="O87" i="40"/>
  <c r="O310" i="40"/>
  <c r="N67" i="40"/>
  <c r="N237" i="11"/>
  <c r="M75" i="11"/>
  <c r="O235" i="10"/>
  <c r="N71" i="10"/>
  <c r="V79" i="7"/>
  <c r="W239" i="7"/>
  <c r="Y223" i="11"/>
  <c r="X47" i="11"/>
  <c r="AB77" i="7"/>
  <c r="AC238" i="7"/>
  <c r="AE226" i="6"/>
  <c r="AD47" i="6"/>
  <c r="AE57" i="22"/>
  <c r="AF228" i="22"/>
  <c r="V231" i="22"/>
  <c r="U63" i="22"/>
  <c r="Z59" i="7"/>
  <c r="AA229" i="7"/>
  <c r="T239" i="22"/>
  <c r="S79" i="22"/>
  <c r="S67" i="10"/>
  <c r="T233" i="10"/>
  <c r="Q63" i="10"/>
  <c r="R231" i="10"/>
  <c r="AB228" i="11"/>
  <c r="AA57" i="11"/>
  <c r="V235" i="22"/>
  <c r="U71" i="22"/>
  <c r="AD230" i="10"/>
  <c r="AC61" i="10"/>
  <c r="AB77" i="11"/>
  <c r="AC238" i="11"/>
  <c r="T79" i="9"/>
  <c r="U239" i="9"/>
  <c r="AC77" i="22"/>
  <c r="AD238" i="22"/>
  <c r="ES144" i="10"/>
  <c r="ET54" i="10"/>
  <c r="F67" i="22"/>
  <c r="G233" i="22"/>
  <c r="P59" i="8"/>
  <c r="Q229" i="8"/>
  <c r="AC71" i="8"/>
  <c r="AD235" i="8"/>
  <c r="AB51" i="11"/>
  <c r="AC225" i="11"/>
  <c r="AC63" i="9"/>
  <c r="AD231" i="9"/>
  <c r="AD67" i="7"/>
  <c r="AE233" i="7"/>
  <c r="AB77" i="10"/>
  <c r="AC238" i="10"/>
  <c r="X61" i="7"/>
  <c r="Y230" i="7"/>
  <c r="S65" i="9"/>
  <c r="T232" i="9"/>
  <c r="U63" i="8"/>
  <c r="V231" i="8"/>
  <c r="S73" i="22"/>
  <c r="T236" i="22"/>
  <c r="AD234" i="10"/>
  <c r="AC69" i="10"/>
  <c r="ER145" i="10"/>
  <c r="ER146" i="10"/>
  <c r="AC79" i="8"/>
  <c r="AD239" i="8"/>
  <c r="Y79" i="11"/>
  <c r="Z239" i="11"/>
  <c r="R81" i="2"/>
  <c r="D81" i="20"/>
  <c r="AE53" i="10"/>
  <c r="AF226" i="10"/>
  <c r="AE220" i="10"/>
  <c r="AD41" i="10"/>
  <c r="AE216" i="10"/>
  <c r="AD33" i="10"/>
  <c r="AE221" i="10"/>
  <c r="AD43" i="10"/>
  <c r="AD35" i="10"/>
  <c r="AE217" i="10"/>
  <c r="AD222" i="10"/>
  <c r="AC45" i="10"/>
  <c r="AE31" i="10"/>
  <c r="AF215" i="10"/>
  <c r="AE223" i="10"/>
  <c r="AD47" i="10"/>
  <c r="AD39" i="10"/>
  <c r="AE219" i="10"/>
  <c r="AD49" i="10"/>
  <c r="AE224" i="10"/>
  <c r="AD223" i="22"/>
  <c r="AC47" i="22"/>
  <c r="AE221" i="22"/>
  <c r="AD43" i="22"/>
  <c r="AD53" i="22"/>
  <c r="AE226" i="22"/>
  <c r="AF225" i="22"/>
  <c r="AE51" i="22"/>
  <c r="AE225" i="8"/>
  <c r="AD51" i="8"/>
  <c r="AF223" i="8"/>
  <c r="AE47" i="8"/>
  <c r="G71" i="7"/>
  <c r="H235" i="7"/>
  <c r="D69" i="9"/>
  <c r="E234" i="9"/>
  <c r="C65" i="22"/>
  <c r="C232" i="22"/>
  <c r="D232" i="22"/>
  <c r="H67" i="11"/>
  <c r="I233" i="11"/>
  <c r="F75" i="7"/>
  <c r="G237" i="7"/>
  <c r="I69" i="8"/>
  <c r="J234" i="8"/>
  <c r="G67" i="8"/>
  <c r="H233" i="8"/>
  <c r="E75" i="22"/>
  <c r="F237" i="22"/>
  <c r="J77" i="8"/>
  <c r="K238" i="8"/>
  <c r="J73" i="11"/>
  <c r="K236" i="11"/>
  <c r="G69" i="22"/>
  <c r="H234" i="22"/>
  <c r="AA73" i="9"/>
  <c r="AB236" i="9"/>
  <c r="E81" i="22"/>
  <c r="F240" i="22"/>
  <c r="C79" i="10"/>
  <c r="C239" i="10"/>
  <c r="D239" i="10"/>
  <c r="H81" i="11"/>
  <c r="I240" i="11"/>
  <c r="E75" i="10"/>
  <c r="F237" i="10"/>
  <c r="C81" i="7"/>
  <c r="C240" i="7"/>
  <c r="D240" i="7"/>
  <c r="H61" i="22"/>
  <c r="I230" i="22"/>
  <c r="V73" i="8"/>
  <c r="W236" i="8"/>
  <c r="AF216" i="22"/>
  <c r="AE33" i="22"/>
  <c r="E75" i="8"/>
  <c r="F237" i="8"/>
  <c r="AA77" i="9"/>
  <c r="AB238" i="9"/>
  <c r="L61" i="8"/>
  <c r="M230" i="8"/>
  <c r="I53" i="2"/>
  <c r="C53" i="20"/>
  <c r="AD45" i="8"/>
  <c r="AE222" i="8"/>
  <c r="AA217" i="8"/>
  <c r="Z35" i="8"/>
  <c r="AC43" i="8"/>
  <c r="AD221" i="8"/>
  <c r="AE216" i="11"/>
  <c r="AD33" i="11"/>
  <c r="T63" i="7"/>
  <c r="U231" i="7"/>
  <c r="AE215" i="9"/>
  <c r="AD31" i="9"/>
  <c r="AE53" i="9"/>
  <c r="AF226" i="9"/>
  <c r="AD222" i="1"/>
  <c r="AC31" i="1"/>
  <c r="AE35" i="1"/>
  <c r="AF224" i="1"/>
  <c r="AE65" i="1"/>
  <c r="AF239" i="1"/>
  <c r="AD53" i="1"/>
  <c r="AE233" i="1"/>
  <c r="AC33" i="1"/>
  <c r="AD223" i="1"/>
  <c r="AE59" i="1"/>
  <c r="AF236" i="1"/>
  <c r="AE232" i="1"/>
  <c r="AD51" i="1"/>
  <c r="AJ72" i="2"/>
  <c r="F72" i="20"/>
  <c r="BB61" i="2"/>
  <c r="H61" i="20"/>
  <c r="AD222" i="22"/>
  <c r="AC45" i="22"/>
  <c r="AE220" i="6"/>
  <c r="AD35" i="6"/>
  <c r="AD224" i="6"/>
  <c r="AC43" i="6"/>
  <c r="AE221" i="6"/>
  <c r="AD37" i="6"/>
  <c r="AE223" i="6"/>
  <c r="AD41" i="6"/>
  <c r="AE215" i="6"/>
  <c r="AD25" i="6"/>
  <c r="AE217" i="6"/>
  <c r="AE219" i="6"/>
  <c r="AD33" i="6"/>
  <c r="AE216" i="6"/>
  <c r="AD27" i="6"/>
  <c r="AE214" i="6"/>
  <c r="AD23" i="6"/>
  <c r="AC31" i="6"/>
  <c r="AD218" i="6"/>
  <c r="AB247" i="1"/>
  <c r="AA81" i="1"/>
  <c r="AF228" i="1"/>
  <c r="AE43" i="1"/>
  <c r="AA248" i="1"/>
  <c r="Z83" i="1"/>
  <c r="AA219" i="8"/>
  <c r="Z39" i="8"/>
  <c r="AD218" i="8"/>
  <c r="AC37" i="8"/>
  <c r="AA45" i="11"/>
  <c r="AB222" i="11"/>
  <c r="AA72" i="2"/>
  <c r="E72" i="20"/>
  <c r="AD35" i="22"/>
  <c r="AE217" i="22"/>
  <c r="AD219" i="22"/>
  <c r="AC39" i="22"/>
  <c r="AE224" i="22"/>
  <c r="AD49" i="22"/>
  <c r="AD219" i="7"/>
  <c r="AC39" i="7"/>
  <c r="AB220" i="7"/>
  <c r="AA41" i="7"/>
  <c r="AE221" i="7"/>
  <c r="AD43" i="7"/>
  <c r="AD215" i="7"/>
  <c r="AC31" i="7"/>
  <c r="AD218" i="7"/>
  <c r="AC37" i="7"/>
  <c r="AE217" i="7"/>
  <c r="AD35" i="7"/>
  <c r="AB222" i="6"/>
  <c r="AA39" i="6"/>
  <c r="AE47" i="9"/>
  <c r="AF223" i="9"/>
  <c r="AA227" i="9"/>
  <c r="Z55" i="9"/>
  <c r="AF43" i="9"/>
  <c r="AG221" i="9"/>
  <c r="AE217" i="9"/>
  <c r="AD35" i="9"/>
  <c r="AB219" i="9"/>
  <c r="AA39" i="9"/>
  <c r="AC51" i="9"/>
  <c r="AD225" i="9"/>
  <c r="AE222" i="9"/>
  <c r="AD45" i="9"/>
  <c r="AB57" i="9"/>
  <c r="AC228" i="9"/>
  <c r="AE224" i="9"/>
  <c r="AD49" i="9"/>
  <c r="AB73" i="1"/>
  <c r="AC243" i="1"/>
  <c r="AF246" i="1"/>
  <c r="AE79" i="1"/>
  <c r="AE242" i="1"/>
  <c r="AD71" i="1"/>
  <c r="AC67" i="1"/>
  <c r="AD240" i="1"/>
  <c r="AC245" i="1"/>
  <c r="AB77" i="1"/>
  <c r="Y235" i="1"/>
  <c r="X57" i="1"/>
  <c r="AD75" i="1"/>
  <c r="AE244" i="1"/>
  <c r="AD237" i="1"/>
  <c r="AC61" i="1"/>
  <c r="Z221" i="11"/>
  <c r="Y43" i="11"/>
  <c r="AS63" i="2"/>
  <c r="G63" i="20"/>
  <c r="AD218" i="11"/>
  <c r="AC37" i="11"/>
  <c r="AB220" i="11"/>
  <c r="AA41" i="11"/>
  <c r="AE219" i="11"/>
  <c r="AD39" i="11"/>
  <c r="AB215" i="11"/>
  <c r="AE225" i="10"/>
  <c r="AD51" i="10"/>
  <c r="AE218" i="10"/>
  <c r="AD37" i="10"/>
  <c r="AF229" i="22"/>
  <c r="AE59" i="22"/>
  <c r="AE227" i="22"/>
  <c r="AD55" i="22"/>
  <c r="AE220" i="22"/>
  <c r="AD41" i="22"/>
  <c r="AE218" i="22"/>
  <c r="AC228" i="8"/>
  <c r="AB57" i="8"/>
  <c r="AE227" i="8"/>
  <c r="AD55" i="8"/>
  <c r="AF226" i="8"/>
  <c r="AE53" i="8"/>
  <c r="AF224" i="8"/>
  <c r="AE49" i="8"/>
  <c r="AF216" i="8"/>
  <c r="AE33" i="8"/>
  <c r="AG215" i="8"/>
  <c r="AF31" i="8"/>
  <c r="AF220" i="8"/>
  <c r="AE41" i="8"/>
  <c r="AF227" i="7"/>
  <c r="AE55" i="7"/>
  <c r="AF226" i="7"/>
  <c r="AE53" i="7"/>
  <c r="AF225" i="7"/>
  <c r="AE51" i="7"/>
  <c r="AC222" i="7"/>
  <c r="AB45" i="7"/>
  <c r="AD223" i="7"/>
  <c r="AC47" i="7"/>
  <c r="Y216" i="7"/>
  <c r="X33" i="7"/>
  <c r="AF231" i="6"/>
  <c r="AE57" i="6"/>
  <c r="AF230" i="6"/>
  <c r="AE55" i="6"/>
  <c r="AF229" i="6"/>
  <c r="AE53" i="6"/>
  <c r="AF228" i="6"/>
  <c r="AE51" i="6"/>
  <c r="AF227" i="6"/>
  <c r="AE49" i="6"/>
  <c r="AD225" i="6"/>
  <c r="AC45" i="6"/>
  <c r="AE230" i="9"/>
  <c r="AD61" i="9"/>
  <c r="AF229" i="9"/>
  <c r="AE59" i="9"/>
  <c r="AB216" i="9"/>
  <c r="AA33" i="9"/>
  <c r="AE218" i="9"/>
  <c r="AD37" i="9"/>
  <c r="AE220" i="9"/>
  <c r="AD41" i="9"/>
  <c r="AD241" i="1"/>
  <c r="AC69" i="1"/>
  <c r="AF238" i="1"/>
  <c r="AE63" i="1"/>
  <c r="AF234" i="1"/>
  <c r="AE55" i="1"/>
  <c r="AF230" i="1"/>
  <c r="AE47" i="1"/>
  <c r="AD231" i="1"/>
  <c r="AC49" i="1"/>
  <c r="AD229" i="1"/>
  <c r="AC45" i="1"/>
  <c r="AD227" i="1"/>
  <c r="AC41" i="1"/>
  <c r="AF226" i="1"/>
  <c r="AE39" i="1"/>
  <c r="AD225" i="1"/>
  <c r="AC37" i="1"/>
  <c r="AD49" i="7"/>
  <c r="AE224" i="7"/>
  <c r="J60" i="20"/>
  <c r="BT61" i="2"/>
  <c r="I66" i="20"/>
  <c r="BK67" i="2"/>
  <c r="CL68" i="2"/>
  <c r="L67" i="20"/>
  <c r="CC50" i="2"/>
  <c r="K49" i="20"/>
  <c r="E99" i="40"/>
  <c r="F326" i="40"/>
  <c r="K93" i="40"/>
  <c r="L323" i="40"/>
  <c r="F105" i="40"/>
  <c r="G329" i="40"/>
  <c r="G97" i="40"/>
  <c r="H325" i="40"/>
  <c r="K103" i="40"/>
  <c r="L328" i="40"/>
  <c r="K101" i="40"/>
  <c r="L327" i="40"/>
  <c r="G107" i="40"/>
  <c r="H330" i="40"/>
  <c r="K111" i="40"/>
  <c r="L332" i="40"/>
  <c r="K109" i="40"/>
  <c r="L331" i="40"/>
  <c r="L95" i="40"/>
  <c r="M324" i="40"/>
  <c r="L91" i="40"/>
  <c r="N310" i="40"/>
  <c r="M67" i="40"/>
  <c r="O322" i="40"/>
  <c r="O314" i="40"/>
  <c r="N75" i="40"/>
  <c r="N321" i="40"/>
  <c r="M89" i="40"/>
  <c r="O305" i="40"/>
  <c r="N57" i="40"/>
  <c r="O312" i="40"/>
  <c r="N71" i="40"/>
  <c r="O300" i="40"/>
  <c r="N47" i="40"/>
  <c r="O306" i="40"/>
  <c r="N59" i="40"/>
  <c r="O318" i="40"/>
  <c r="N83" i="40"/>
  <c r="N317" i="40"/>
  <c r="M81" i="40"/>
  <c r="O299" i="40"/>
  <c r="N45" i="40"/>
  <c r="M313" i="40"/>
  <c r="L73" i="40"/>
  <c r="N297" i="40"/>
  <c r="M41" i="40"/>
  <c r="O320" i="40"/>
  <c r="N87" i="40"/>
  <c r="N315" i="40"/>
  <c r="M77" i="40"/>
  <c r="O308" i="40"/>
  <c r="N63" i="40"/>
  <c r="N319" i="40"/>
  <c r="M85" i="40"/>
  <c r="O303" i="40"/>
  <c r="N53" i="40"/>
  <c r="O304" i="40"/>
  <c r="N55" i="40"/>
  <c r="M309" i="40"/>
  <c r="L65" i="40"/>
  <c r="O298" i="40"/>
  <c r="N43" i="40"/>
  <c r="N302" i="40"/>
  <c r="M51" i="40"/>
  <c r="N307" i="40"/>
  <c r="M61" i="40"/>
  <c r="O301" i="40"/>
  <c r="N49" i="40"/>
  <c r="M311" i="40"/>
  <c r="L69" i="40"/>
  <c r="O316" i="40"/>
  <c r="N79" i="40"/>
  <c r="ER147" i="10"/>
  <c r="U235" i="22"/>
  <c r="T71" i="22"/>
  <c r="R79" i="22"/>
  <c r="S239" i="22"/>
  <c r="T63" i="22"/>
  <c r="U231" i="22"/>
  <c r="AD226" i="6"/>
  <c r="AC47" i="6"/>
  <c r="W47" i="11"/>
  <c r="X223" i="11"/>
  <c r="M71" i="10"/>
  <c r="N235" i="10"/>
  <c r="S236" i="22"/>
  <c r="R73" i="22"/>
  <c r="AB238" i="10"/>
  <c r="AA77" i="10"/>
  <c r="AB71" i="8"/>
  <c r="AC235" i="8"/>
  <c r="AB77" i="22"/>
  <c r="AC238" i="22"/>
  <c r="P63" i="10"/>
  <c r="Q231" i="10"/>
  <c r="AC234" i="10"/>
  <c r="AB69" i="10"/>
  <c r="EU54" i="10"/>
  <c r="ET144" i="10"/>
  <c r="AC230" i="10"/>
  <c r="AB61" i="10"/>
  <c r="Z57" i="11"/>
  <c r="AA228" i="11"/>
  <c r="M237" i="11"/>
  <c r="L75" i="11"/>
  <c r="X79" i="11"/>
  <c r="Y239" i="11"/>
  <c r="R65" i="9"/>
  <c r="S232" i="9"/>
  <c r="AC231" i="9"/>
  <c r="AB63" i="9"/>
  <c r="F233" i="22"/>
  <c r="E67" i="22"/>
  <c r="AA77" i="11"/>
  <c r="AB238" i="11"/>
  <c r="AB79" i="8"/>
  <c r="AC239" i="8"/>
  <c r="T63" i="8"/>
  <c r="U231" i="8"/>
  <c r="X230" i="7"/>
  <c r="W61" i="7"/>
  <c r="AC67" i="7"/>
  <c r="AD233" i="7"/>
  <c r="AA51" i="11"/>
  <c r="AB225" i="11"/>
  <c r="P229" i="8"/>
  <c r="O59" i="8"/>
  <c r="ES146" i="10"/>
  <c r="ES145" i="10"/>
  <c r="S79" i="9"/>
  <c r="T239" i="9"/>
  <c r="S233" i="10"/>
  <c r="R67" i="10"/>
  <c r="Y59" i="7"/>
  <c r="Z229" i="7"/>
  <c r="AE228" i="22"/>
  <c r="AD57" i="22"/>
  <c r="AA77" i="7"/>
  <c r="AB238" i="7"/>
  <c r="U79" i="7"/>
  <c r="V239" i="7"/>
  <c r="R82" i="2"/>
  <c r="D82" i="20"/>
  <c r="AC47" i="10"/>
  <c r="AD223" i="10"/>
  <c r="AB45" i="10"/>
  <c r="AC222" i="10"/>
  <c r="AC43" i="10"/>
  <c r="AD221" i="10"/>
  <c r="AD220" i="10"/>
  <c r="AC41" i="10"/>
  <c r="AD224" i="10"/>
  <c r="AC49" i="10"/>
  <c r="AD216" i="10"/>
  <c r="AC33" i="10"/>
  <c r="AD219" i="10"/>
  <c r="AC39" i="10"/>
  <c r="AD31" i="10"/>
  <c r="AE215" i="10"/>
  <c r="AD217" i="10"/>
  <c r="AC35" i="10"/>
  <c r="AD53" i="10"/>
  <c r="AE226" i="10"/>
  <c r="AD221" i="22"/>
  <c r="AC43" i="22"/>
  <c r="AD226" i="22"/>
  <c r="AC53" i="22"/>
  <c r="AD51" i="22"/>
  <c r="AE225" i="22"/>
  <c r="AC223" i="22"/>
  <c r="AB47" i="22"/>
  <c r="AD47" i="8"/>
  <c r="AE223" i="8"/>
  <c r="AD225" i="8"/>
  <c r="AC51" i="8"/>
  <c r="Z77" i="9"/>
  <c r="AA238" i="9"/>
  <c r="G61" i="22"/>
  <c r="H230" i="22"/>
  <c r="D81" i="22"/>
  <c r="E240" i="22"/>
  <c r="Z73" i="9"/>
  <c r="AA236" i="9"/>
  <c r="I73" i="11"/>
  <c r="J236" i="11"/>
  <c r="F67" i="8"/>
  <c r="G233" i="8"/>
  <c r="E75" i="7"/>
  <c r="F237" i="7"/>
  <c r="G67" i="11"/>
  <c r="H233" i="11"/>
  <c r="C69" i="9"/>
  <c r="C234" i="9"/>
  <c r="D234" i="9"/>
  <c r="F71" i="7"/>
  <c r="G235" i="7"/>
  <c r="K61" i="8"/>
  <c r="L230" i="8"/>
  <c r="D75" i="8"/>
  <c r="E237" i="8"/>
  <c r="U73" i="8"/>
  <c r="V236" i="8"/>
  <c r="D75" i="10"/>
  <c r="E237" i="10"/>
  <c r="G81" i="11"/>
  <c r="H240" i="11"/>
  <c r="F69" i="22"/>
  <c r="G234" i="22"/>
  <c r="I77" i="8"/>
  <c r="J238" i="8"/>
  <c r="D75" i="22"/>
  <c r="E237" i="22"/>
  <c r="H69" i="8"/>
  <c r="I234" i="8"/>
  <c r="AE216" i="22"/>
  <c r="AD33" i="22"/>
  <c r="I54" i="2"/>
  <c r="C54" i="20"/>
  <c r="AB43" i="8"/>
  <c r="AC221" i="8"/>
  <c r="AC45" i="8"/>
  <c r="AD222" i="8"/>
  <c r="Y35" i="8"/>
  <c r="Z217" i="8"/>
  <c r="AD216" i="11"/>
  <c r="AC33" i="11"/>
  <c r="S63" i="7"/>
  <c r="T231" i="7"/>
  <c r="AC31" i="9"/>
  <c r="AD215" i="9"/>
  <c r="AE226" i="9"/>
  <c r="AD53" i="9"/>
  <c r="AC222" i="1"/>
  <c r="AB31" i="1"/>
  <c r="AD59" i="1"/>
  <c r="AE236" i="1"/>
  <c r="AB33" i="1"/>
  <c r="AC223" i="1"/>
  <c r="AC53" i="1"/>
  <c r="AD233" i="1"/>
  <c r="AD65" i="1"/>
  <c r="AE239" i="1"/>
  <c r="AD35" i="1"/>
  <c r="AE224" i="1"/>
  <c r="AD232" i="1"/>
  <c r="AC51" i="1"/>
  <c r="AJ73" i="2"/>
  <c r="F73" i="20"/>
  <c r="BB62" i="2"/>
  <c r="H62" i="20"/>
  <c r="AC222" i="22"/>
  <c r="AB45" i="22"/>
  <c r="AD214" i="6"/>
  <c r="AC23" i="6"/>
  <c r="AD216" i="6"/>
  <c r="AC27" i="6"/>
  <c r="AD219" i="6"/>
  <c r="AC33" i="6"/>
  <c r="AD217" i="6"/>
  <c r="AD215" i="6"/>
  <c r="AC25" i="6"/>
  <c r="AD223" i="6"/>
  <c r="AC41" i="6"/>
  <c r="AD221" i="6"/>
  <c r="AC37" i="6"/>
  <c r="AC224" i="6"/>
  <c r="AB43" i="6"/>
  <c r="AD220" i="6"/>
  <c r="AC35" i="6"/>
  <c r="AB31" i="6"/>
  <c r="AC218" i="6"/>
  <c r="Z248" i="1"/>
  <c r="Y83" i="1"/>
  <c r="AE228" i="1"/>
  <c r="AD43" i="1"/>
  <c r="Z81" i="1"/>
  <c r="AA247" i="1"/>
  <c r="AC218" i="8"/>
  <c r="AB37" i="8"/>
  <c r="Y39" i="8"/>
  <c r="Z219" i="8"/>
  <c r="AA222" i="11"/>
  <c r="Z45" i="11"/>
  <c r="AA73" i="2"/>
  <c r="E73" i="20"/>
  <c r="AC219" i="22"/>
  <c r="AB39" i="22"/>
  <c r="AD224" i="22"/>
  <c r="AC49" i="22"/>
  <c r="AD217" i="22"/>
  <c r="AC35" i="22"/>
  <c r="AC218" i="7"/>
  <c r="AB37" i="7"/>
  <c r="AA220" i="7"/>
  <c r="Z41" i="7"/>
  <c r="AD217" i="7"/>
  <c r="AC35" i="7"/>
  <c r="AC215" i="7"/>
  <c r="AB31" i="7"/>
  <c r="AD221" i="7"/>
  <c r="AC43" i="7"/>
  <c r="AC219" i="7"/>
  <c r="AB39" i="7"/>
  <c r="AA222" i="6"/>
  <c r="Z39" i="6"/>
  <c r="AD217" i="9"/>
  <c r="AC35" i="9"/>
  <c r="Y55" i="9"/>
  <c r="Z227" i="9"/>
  <c r="AA219" i="9"/>
  <c r="Z39" i="9"/>
  <c r="AF221" i="9"/>
  <c r="AE43" i="9"/>
  <c r="AD47" i="9"/>
  <c r="AE223" i="9"/>
  <c r="AC225" i="9"/>
  <c r="AB51" i="9"/>
  <c r="AA57" i="9"/>
  <c r="AB228" i="9"/>
  <c r="AC49" i="9"/>
  <c r="AD224" i="9"/>
  <c r="AD222" i="9"/>
  <c r="AC45" i="9"/>
  <c r="X235" i="1"/>
  <c r="W57" i="1"/>
  <c r="AE246" i="1"/>
  <c r="AD79" i="1"/>
  <c r="AD244" i="1"/>
  <c r="AC75" i="1"/>
  <c r="AB67" i="1"/>
  <c r="AC240" i="1"/>
  <c r="AA73" i="1"/>
  <c r="AB243" i="1"/>
  <c r="AB61" i="1"/>
  <c r="AC237" i="1"/>
  <c r="AB245" i="1"/>
  <c r="AA77" i="1"/>
  <c r="AC71" i="1"/>
  <c r="AD242" i="1"/>
  <c r="Y221" i="11"/>
  <c r="X43" i="11"/>
  <c r="AS64" i="2"/>
  <c r="G64" i="20"/>
  <c r="AD219" i="11"/>
  <c r="AC39" i="11"/>
  <c r="AC218" i="11"/>
  <c r="AB37" i="11"/>
  <c r="AA215" i="11"/>
  <c r="AA220" i="11"/>
  <c r="Z41" i="11"/>
  <c r="AD225" i="10"/>
  <c r="AC51" i="10"/>
  <c r="AD218" i="10"/>
  <c r="AC37" i="10"/>
  <c r="AE229" i="22"/>
  <c r="AD59" i="22"/>
  <c r="AD218" i="22"/>
  <c r="AD220" i="22"/>
  <c r="AC41" i="22"/>
  <c r="AD227" i="22"/>
  <c r="AC55" i="22"/>
  <c r="AB228" i="8"/>
  <c r="AA57" i="8"/>
  <c r="AD227" i="8"/>
  <c r="AC55" i="8"/>
  <c r="AF215" i="8"/>
  <c r="AE31" i="8"/>
  <c r="AE224" i="8"/>
  <c r="AD49" i="8"/>
  <c r="AE220" i="8"/>
  <c r="AD41" i="8"/>
  <c r="AE216" i="8"/>
  <c r="AD33" i="8"/>
  <c r="AE226" i="8"/>
  <c r="AD53" i="8"/>
  <c r="AE227" i="7"/>
  <c r="AD55" i="7"/>
  <c r="AE226" i="7"/>
  <c r="AD53" i="7"/>
  <c r="AE225" i="7"/>
  <c r="AD51" i="7"/>
  <c r="AC223" i="7"/>
  <c r="AB47" i="7"/>
  <c r="X216" i="7"/>
  <c r="W33" i="7"/>
  <c r="AB222" i="7"/>
  <c r="AA45" i="7"/>
  <c r="AE231" i="6"/>
  <c r="AD57" i="6"/>
  <c r="AE230" i="6"/>
  <c r="AD55" i="6"/>
  <c r="AE229" i="6"/>
  <c r="AD53" i="6"/>
  <c r="AE228" i="6"/>
  <c r="AD51" i="6"/>
  <c r="AE227" i="6"/>
  <c r="AD49" i="6"/>
  <c r="AC225" i="6"/>
  <c r="AB45" i="6"/>
  <c r="AD230" i="9"/>
  <c r="AC61" i="9"/>
  <c r="AE229" i="9"/>
  <c r="AD59" i="9"/>
  <c r="AD218" i="9"/>
  <c r="AC37" i="9"/>
  <c r="AD220" i="9"/>
  <c r="AC41" i="9"/>
  <c r="AA216" i="9"/>
  <c r="Z33" i="9"/>
  <c r="AC241" i="1"/>
  <c r="AB69" i="1"/>
  <c r="AE238" i="1"/>
  <c r="AD63" i="1"/>
  <c r="AC231" i="1"/>
  <c r="AB49" i="1"/>
  <c r="AE230" i="1"/>
  <c r="AD47" i="1"/>
  <c r="AE234" i="1"/>
  <c r="AD55" i="1"/>
  <c r="AC229" i="1"/>
  <c r="AB45" i="1"/>
  <c r="AC227" i="1"/>
  <c r="AB41" i="1"/>
  <c r="AE226" i="1"/>
  <c r="AD39" i="1"/>
  <c r="AC225" i="1"/>
  <c r="AB37" i="1"/>
  <c r="AC49" i="7"/>
  <c r="AD224" i="7"/>
  <c r="J61" i="20"/>
  <c r="BT62" i="2"/>
  <c r="I67" i="20"/>
  <c r="BK68" i="2"/>
  <c r="CL69" i="2"/>
  <c r="L68" i="20"/>
  <c r="CC51" i="2"/>
  <c r="K50" i="20"/>
  <c r="ES147" i="10"/>
  <c r="K95" i="40"/>
  <c r="L324" i="40"/>
  <c r="J111" i="40"/>
  <c r="K332" i="40"/>
  <c r="J101" i="40"/>
  <c r="K327" i="40"/>
  <c r="F97" i="40"/>
  <c r="G325" i="40"/>
  <c r="J93" i="40"/>
  <c r="K323" i="40"/>
  <c r="J109" i="40"/>
  <c r="K331" i="40"/>
  <c r="F107" i="40"/>
  <c r="G330" i="40"/>
  <c r="J103" i="40"/>
  <c r="K328" i="40"/>
  <c r="E105" i="40"/>
  <c r="F329" i="40"/>
  <c r="D99" i="40"/>
  <c r="E326" i="40"/>
  <c r="K91" i="40"/>
  <c r="L311" i="40"/>
  <c r="K69" i="40"/>
  <c r="N298" i="40"/>
  <c r="M43" i="40"/>
  <c r="M315" i="40"/>
  <c r="L77" i="40"/>
  <c r="N299" i="40"/>
  <c r="M45" i="40"/>
  <c r="N300" i="40"/>
  <c r="M47" i="40"/>
  <c r="N305" i="40"/>
  <c r="M57" i="40"/>
  <c r="N316" i="40"/>
  <c r="M79" i="40"/>
  <c r="N301" i="40"/>
  <c r="M49" i="40"/>
  <c r="M302" i="40"/>
  <c r="L51" i="40"/>
  <c r="L309" i="40"/>
  <c r="K65" i="40"/>
  <c r="N303" i="40"/>
  <c r="M53" i="40"/>
  <c r="N308" i="40"/>
  <c r="M63" i="40"/>
  <c r="N320" i="40"/>
  <c r="M87" i="40"/>
  <c r="L313" i="40"/>
  <c r="K73" i="40"/>
  <c r="M317" i="40"/>
  <c r="L81" i="40"/>
  <c r="N306" i="40"/>
  <c r="M59" i="40"/>
  <c r="N312" i="40"/>
  <c r="M71" i="40"/>
  <c r="M321" i="40"/>
  <c r="L89" i="40"/>
  <c r="N322" i="40"/>
  <c r="N304" i="40"/>
  <c r="M55" i="40"/>
  <c r="M310" i="40"/>
  <c r="L67" i="40"/>
  <c r="M307" i="40"/>
  <c r="L61" i="40"/>
  <c r="M319" i="40"/>
  <c r="L85" i="40"/>
  <c r="M297" i="40"/>
  <c r="L41" i="40"/>
  <c r="N318" i="40"/>
  <c r="M83" i="40"/>
  <c r="N314" i="40"/>
  <c r="M75" i="40"/>
  <c r="AA63" i="9"/>
  <c r="AB231" i="9"/>
  <c r="U239" i="7"/>
  <c r="T79" i="7"/>
  <c r="Z51" i="11"/>
  <c r="AA225" i="11"/>
  <c r="AB239" i="8"/>
  <c r="AA79" i="8"/>
  <c r="R232" i="9"/>
  <c r="Q65" i="9"/>
  <c r="AA77" i="22"/>
  <c r="AB238" i="22"/>
  <c r="M235" i="10"/>
  <c r="L71" i="10"/>
  <c r="Q79" i="22"/>
  <c r="R239" i="22"/>
  <c r="ET145" i="10"/>
  <c r="ET146" i="10"/>
  <c r="R236" i="22"/>
  <c r="Q73" i="22"/>
  <c r="T235" i="22"/>
  <c r="S71" i="22"/>
  <c r="Z77" i="7"/>
  <c r="AA238" i="7"/>
  <c r="X59" i="7"/>
  <c r="Y229" i="7"/>
  <c r="R79" i="9"/>
  <c r="S239" i="9"/>
  <c r="AB67" i="7"/>
  <c r="AC233" i="7"/>
  <c r="S63" i="8"/>
  <c r="T231" i="8"/>
  <c r="Z77" i="11"/>
  <c r="AA238" i="11"/>
  <c r="X239" i="11"/>
  <c r="W79" i="11"/>
  <c r="Y57" i="11"/>
  <c r="Z228" i="11"/>
  <c r="EV54" i="10"/>
  <c r="EU144" i="10"/>
  <c r="O63" i="10"/>
  <c r="P231" i="10"/>
  <c r="AA71" i="8"/>
  <c r="AB235" i="8"/>
  <c r="V47" i="11"/>
  <c r="W223" i="11"/>
  <c r="T231" i="22"/>
  <c r="S63" i="22"/>
  <c r="N59" i="8"/>
  <c r="O229" i="8"/>
  <c r="AC57" i="22"/>
  <c r="AD228" i="22"/>
  <c r="R233" i="10"/>
  <c r="Q67" i="10"/>
  <c r="W230" i="7"/>
  <c r="V61" i="7"/>
  <c r="E233" i="22"/>
  <c r="D67" i="22"/>
  <c r="L237" i="11"/>
  <c r="K75" i="11"/>
  <c r="AA61" i="10"/>
  <c r="AB230" i="10"/>
  <c r="AA69" i="10"/>
  <c r="AB234" i="10"/>
  <c r="AA238" i="10"/>
  <c r="Z77" i="10"/>
  <c r="AC226" i="6"/>
  <c r="AB47" i="6"/>
  <c r="R83" i="2"/>
  <c r="D83" i="20"/>
  <c r="AB33" i="10"/>
  <c r="AC216" i="10"/>
  <c r="AC220" i="10"/>
  <c r="AB41" i="10"/>
  <c r="AC53" i="10"/>
  <c r="AD226" i="10"/>
  <c r="AC31" i="10"/>
  <c r="AD215" i="10"/>
  <c r="AB222" i="10"/>
  <c r="AA45" i="10"/>
  <c r="AC217" i="10"/>
  <c r="AB35" i="10"/>
  <c r="AC219" i="10"/>
  <c r="AB39" i="10"/>
  <c r="AC224" i="10"/>
  <c r="AB49" i="10"/>
  <c r="AC221" i="10"/>
  <c r="AB43" i="10"/>
  <c r="AC223" i="10"/>
  <c r="AB47" i="10"/>
  <c r="AC226" i="22"/>
  <c r="AB53" i="22"/>
  <c r="AB223" i="22"/>
  <c r="AA47" i="22"/>
  <c r="AC221" i="22"/>
  <c r="AB43" i="22"/>
  <c r="AD225" i="22"/>
  <c r="AC51" i="22"/>
  <c r="AC225" i="8"/>
  <c r="AB51" i="8"/>
  <c r="AC47" i="8"/>
  <c r="AD223" i="8"/>
  <c r="C75" i="22"/>
  <c r="C237" i="22"/>
  <c r="D237" i="22"/>
  <c r="E69" i="22"/>
  <c r="F234" i="22"/>
  <c r="C75" i="10"/>
  <c r="C237" i="10"/>
  <c r="D237" i="10"/>
  <c r="C75" i="8"/>
  <c r="C237" i="8"/>
  <c r="D237" i="8"/>
  <c r="D75" i="7"/>
  <c r="E237" i="7"/>
  <c r="Y73" i="9"/>
  <c r="Z236" i="9"/>
  <c r="F61" i="22"/>
  <c r="G230" i="22"/>
  <c r="AD216" i="22"/>
  <c r="AC33" i="22"/>
  <c r="G69" i="8"/>
  <c r="H234" i="8"/>
  <c r="H77" i="8"/>
  <c r="I238" i="8"/>
  <c r="F81" i="11"/>
  <c r="G240" i="11"/>
  <c r="T73" i="8"/>
  <c r="U236" i="8"/>
  <c r="J61" i="8"/>
  <c r="K230" i="8"/>
  <c r="E71" i="7"/>
  <c r="F235" i="7"/>
  <c r="F67" i="11"/>
  <c r="G233" i="11"/>
  <c r="E67" i="8"/>
  <c r="F233" i="8"/>
  <c r="H73" i="11"/>
  <c r="I236" i="11"/>
  <c r="C81" i="22"/>
  <c r="C240" i="22"/>
  <c r="D240" i="22"/>
  <c r="Y77" i="9"/>
  <c r="Z238" i="9"/>
  <c r="I55" i="2"/>
  <c r="C55" i="20"/>
  <c r="Y217" i="8"/>
  <c r="X35" i="8"/>
  <c r="AB45" i="8"/>
  <c r="AC222" i="8"/>
  <c r="AA43" i="8"/>
  <c r="AB221" i="8"/>
  <c r="AC216" i="11"/>
  <c r="AB33" i="11"/>
  <c r="R63" i="7"/>
  <c r="S231" i="7"/>
  <c r="AD226" i="9"/>
  <c r="AC53" i="9"/>
  <c r="AB31" i="9"/>
  <c r="AC215" i="9"/>
  <c r="AB222" i="1"/>
  <c r="AA31" i="1"/>
  <c r="AC35" i="1"/>
  <c r="AD224" i="1"/>
  <c r="AD239" i="1"/>
  <c r="AC65" i="1"/>
  <c r="AB53" i="1"/>
  <c r="AC233" i="1"/>
  <c r="AB223" i="1"/>
  <c r="AA33" i="1"/>
  <c r="AC59" i="1"/>
  <c r="AD236" i="1"/>
  <c r="AC232" i="1"/>
  <c r="AB51" i="1"/>
  <c r="AJ74" i="2"/>
  <c r="F74" i="20"/>
  <c r="BB63" i="2"/>
  <c r="H63" i="20"/>
  <c r="AB222" i="22"/>
  <c r="AA45" i="22"/>
  <c r="AC220" i="6"/>
  <c r="AB35" i="6"/>
  <c r="AB224" i="6"/>
  <c r="AA43" i="6"/>
  <c r="AC221" i="6"/>
  <c r="AB37" i="6"/>
  <c r="AC223" i="6"/>
  <c r="AB41" i="6"/>
  <c r="AC215" i="6"/>
  <c r="AB25" i="6"/>
  <c r="AC217" i="6"/>
  <c r="AC219" i="6"/>
  <c r="AB33" i="6"/>
  <c r="AC216" i="6"/>
  <c r="AB27" i="6"/>
  <c r="AC214" i="6"/>
  <c r="AB23" i="6"/>
  <c r="AA31" i="6"/>
  <c r="AB218" i="6"/>
  <c r="AC43" i="1"/>
  <c r="AD228" i="1"/>
  <c r="Y248" i="1"/>
  <c r="X83" i="1"/>
  <c r="Z247" i="1"/>
  <c r="Y81" i="1"/>
  <c r="Y219" i="8"/>
  <c r="X39" i="8"/>
  <c r="AB218" i="8"/>
  <c r="AA37" i="8"/>
  <c r="Y45" i="11"/>
  <c r="Z222" i="11"/>
  <c r="AA74" i="2"/>
  <c r="E74" i="20"/>
  <c r="AC224" i="22"/>
  <c r="AB49" i="22"/>
  <c r="AC217" i="22"/>
  <c r="AB35" i="22"/>
  <c r="AB219" i="22"/>
  <c r="AA39" i="22"/>
  <c r="AC221" i="7"/>
  <c r="AB43" i="7"/>
  <c r="AC217" i="7"/>
  <c r="AB35" i="7"/>
  <c r="AB219" i="7"/>
  <c r="AA39" i="7"/>
  <c r="AB215" i="7"/>
  <c r="AA31" i="7"/>
  <c r="Z220" i="7"/>
  <c r="Y41" i="7"/>
  <c r="AA37" i="7"/>
  <c r="AB218" i="7"/>
  <c r="Z222" i="6"/>
  <c r="Y39" i="6"/>
  <c r="AD43" i="9"/>
  <c r="AE221" i="9"/>
  <c r="X55" i="9"/>
  <c r="Y227" i="9"/>
  <c r="Z219" i="9"/>
  <c r="Y39" i="9"/>
  <c r="AC217" i="9"/>
  <c r="AB35" i="9"/>
  <c r="AC47" i="9"/>
  <c r="AD223" i="9"/>
  <c r="AA51" i="9"/>
  <c r="AB225" i="9"/>
  <c r="AC224" i="9"/>
  <c r="AB49" i="9"/>
  <c r="Z57" i="9"/>
  <c r="AA228" i="9"/>
  <c r="AC222" i="9"/>
  <c r="AB45" i="9"/>
  <c r="AA245" i="1"/>
  <c r="Z77" i="1"/>
  <c r="AC244" i="1"/>
  <c r="AB75" i="1"/>
  <c r="AD246" i="1"/>
  <c r="AC79" i="1"/>
  <c r="W235" i="1"/>
  <c r="V57" i="1"/>
  <c r="Z73" i="1"/>
  <c r="AA243" i="1"/>
  <c r="AB71" i="1"/>
  <c r="AC242" i="1"/>
  <c r="AA61" i="1"/>
  <c r="AB237" i="1"/>
  <c r="AA67" i="1"/>
  <c r="AB240" i="1"/>
  <c r="X221" i="11"/>
  <c r="W43" i="11"/>
  <c r="AS65" i="2"/>
  <c r="G65" i="20"/>
  <c r="Z215" i="11"/>
  <c r="AC219" i="11"/>
  <c r="AB39" i="11"/>
  <c r="Z220" i="11"/>
  <c r="Y41" i="11"/>
  <c r="AB218" i="11"/>
  <c r="AA37" i="11"/>
  <c r="AC225" i="10"/>
  <c r="AB51" i="10"/>
  <c r="AC218" i="10"/>
  <c r="AB37" i="10"/>
  <c r="AD229" i="22"/>
  <c r="AC59" i="22"/>
  <c r="AC220" i="22"/>
  <c r="AB41" i="22"/>
  <c r="AC227" i="22"/>
  <c r="AB55" i="22"/>
  <c r="AC218" i="22"/>
  <c r="AA228" i="8"/>
  <c r="Z57" i="8"/>
  <c r="AC227" i="8"/>
  <c r="AB55" i="8"/>
  <c r="AD216" i="8"/>
  <c r="AC33" i="8"/>
  <c r="AD220" i="8"/>
  <c r="AC41" i="8"/>
  <c r="AD224" i="8"/>
  <c r="AC49" i="8"/>
  <c r="AE215" i="8"/>
  <c r="AD31" i="8"/>
  <c r="AD226" i="8"/>
  <c r="AC53" i="8"/>
  <c r="AD227" i="7"/>
  <c r="AC55" i="7"/>
  <c r="AD226" i="7"/>
  <c r="AC53" i="7"/>
  <c r="AD225" i="7"/>
  <c r="AC51" i="7"/>
  <c r="AA222" i="7"/>
  <c r="Z45" i="7"/>
  <c r="AB223" i="7"/>
  <c r="AA47" i="7"/>
  <c r="W216" i="7"/>
  <c r="V33" i="7"/>
  <c r="AD231" i="6"/>
  <c r="AC57" i="6"/>
  <c r="AD230" i="6"/>
  <c r="AC55" i="6"/>
  <c r="AD229" i="6"/>
  <c r="AC53" i="6"/>
  <c r="AD228" i="6"/>
  <c r="AC51" i="6"/>
  <c r="AD227" i="6"/>
  <c r="AC49" i="6"/>
  <c r="AB225" i="6"/>
  <c r="AA45" i="6"/>
  <c r="AC230" i="9"/>
  <c r="AB61" i="9"/>
  <c r="AD229" i="9"/>
  <c r="AC59" i="9"/>
  <c r="Z216" i="9"/>
  <c r="Y33" i="9"/>
  <c r="AC218" i="9"/>
  <c r="AB37" i="9"/>
  <c r="AC220" i="9"/>
  <c r="AB41" i="9"/>
  <c r="AB241" i="1"/>
  <c r="AA69" i="1"/>
  <c r="AD238" i="1"/>
  <c r="AC63" i="1"/>
  <c r="AD234" i="1"/>
  <c r="AC55" i="1"/>
  <c r="AD230" i="1"/>
  <c r="AC47" i="1"/>
  <c r="AB231" i="1"/>
  <c r="AA49" i="1"/>
  <c r="AB229" i="1"/>
  <c r="AA45" i="1"/>
  <c r="AD226" i="1"/>
  <c r="AC39" i="1"/>
  <c r="AB227" i="1"/>
  <c r="AA41" i="1"/>
  <c r="AB225" i="1"/>
  <c r="AA37" i="1"/>
  <c r="AB49" i="7"/>
  <c r="AC224" i="7"/>
  <c r="J62" i="20"/>
  <c r="BT63" i="2"/>
  <c r="I68" i="20"/>
  <c r="BK69" i="2"/>
  <c r="CL70" i="2"/>
  <c r="L69" i="20"/>
  <c r="CC52" i="2"/>
  <c r="K51" i="20"/>
  <c r="ET147" i="10"/>
  <c r="C99" i="40"/>
  <c r="C326" i="40"/>
  <c r="D326" i="40"/>
  <c r="I103" i="40"/>
  <c r="J328" i="40"/>
  <c r="I109" i="40"/>
  <c r="J331" i="40"/>
  <c r="E97" i="40"/>
  <c r="F325" i="40"/>
  <c r="I111" i="40"/>
  <c r="J332" i="40"/>
  <c r="D105" i="40"/>
  <c r="E329" i="40"/>
  <c r="E107" i="40"/>
  <c r="F330" i="40"/>
  <c r="I93" i="40"/>
  <c r="J323" i="40"/>
  <c r="I101" i="40"/>
  <c r="J327" i="40"/>
  <c r="J95" i="40"/>
  <c r="K324" i="40"/>
  <c r="J91" i="40"/>
  <c r="M314" i="40"/>
  <c r="L75" i="40"/>
  <c r="L297" i="40"/>
  <c r="K41" i="40"/>
  <c r="L307" i="40"/>
  <c r="K61" i="40"/>
  <c r="M304" i="40"/>
  <c r="L55" i="40"/>
  <c r="L321" i="40"/>
  <c r="K89" i="40"/>
  <c r="M306" i="40"/>
  <c r="L59" i="40"/>
  <c r="K313" i="40"/>
  <c r="J73" i="40"/>
  <c r="M308" i="40"/>
  <c r="L63" i="40"/>
  <c r="K309" i="40"/>
  <c r="J65" i="40"/>
  <c r="M301" i="40"/>
  <c r="L49" i="40"/>
  <c r="M305" i="40"/>
  <c r="L57" i="40"/>
  <c r="M299" i="40"/>
  <c r="L45" i="40"/>
  <c r="M298" i="40"/>
  <c r="L43" i="40"/>
  <c r="M318" i="40"/>
  <c r="L83" i="40"/>
  <c r="L319" i="40"/>
  <c r="K85" i="40"/>
  <c r="L310" i="40"/>
  <c r="K67" i="40"/>
  <c r="M322" i="40"/>
  <c r="M312" i="40"/>
  <c r="L71" i="40"/>
  <c r="L317" i="40"/>
  <c r="K81" i="40"/>
  <c r="M320" i="40"/>
  <c r="L87" i="40"/>
  <c r="M303" i="40"/>
  <c r="L53" i="40"/>
  <c r="L302" i="40"/>
  <c r="K51" i="40"/>
  <c r="M316" i="40"/>
  <c r="L79" i="40"/>
  <c r="M300" i="40"/>
  <c r="L47" i="40"/>
  <c r="L315" i="40"/>
  <c r="K77" i="40"/>
  <c r="K311" i="40"/>
  <c r="J69" i="40"/>
  <c r="AA238" i="22"/>
  <c r="Z77" i="22"/>
  <c r="AB226" i="6"/>
  <c r="AA47" i="6"/>
  <c r="J75" i="11"/>
  <c r="K237" i="11"/>
  <c r="U61" i="7"/>
  <c r="V230" i="7"/>
  <c r="R63" i="22"/>
  <c r="S231" i="22"/>
  <c r="EU145" i="10"/>
  <c r="EU146" i="10"/>
  <c r="W239" i="11"/>
  <c r="V79" i="11"/>
  <c r="Q236" i="22"/>
  <c r="P73" i="22"/>
  <c r="Z79" i="8"/>
  <c r="AA239" i="8"/>
  <c r="T239" i="7"/>
  <c r="S79" i="7"/>
  <c r="AC228" i="22"/>
  <c r="AB57" i="22"/>
  <c r="EW54" i="10"/>
  <c r="EV144" i="10"/>
  <c r="Q79" i="9"/>
  <c r="R239" i="9"/>
  <c r="Q239" i="22"/>
  <c r="P79" i="22"/>
  <c r="Y77" i="10"/>
  <c r="Z238" i="10"/>
  <c r="C67" i="22"/>
  <c r="C233" i="22"/>
  <c r="D233" i="22"/>
  <c r="Q233" i="10"/>
  <c r="P67" i="10"/>
  <c r="S235" i="22"/>
  <c r="R71" i="22"/>
  <c r="L235" i="10"/>
  <c r="K71" i="10"/>
  <c r="P65" i="9"/>
  <c r="Q232" i="9"/>
  <c r="Z69" i="10"/>
  <c r="AA234" i="10"/>
  <c r="AA235" i="8"/>
  <c r="Z71" i="8"/>
  <c r="R63" i="8"/>
  <c r="S231" i="8"/>
  <c r="Y77" i="7"/>
  <c r="Z238" i="7"/>
  <c r="Z61" i="10"/>
  <c r="AA230" i="10"/>
  <c r="M59" i="8"/>
  <c r="N229" i="8"/>
  <c r="U47" i="11"/>
  <c r="V223" i="11"/>
  <c r="N63" i="10"/>
  <c r="O231" i="10"/>
  <c r="Y228" i="11"/>
  <c r="X57" i="11"/>
  <c r="Z238" i="11"/>
  <c r="Y77" i="11"/>
  <c r="AB233" i="7"/>
  <c r="AA67" i="7"/>
  <c r="W59" i="7"/>
  <c r="X229" i="7"/>
  <c r="Y51" i="11"/>
  <c r="Z225" i="11"/>
  <c r="Z63" i="9"/>
  <c r="AA231" i="9"/>
  <c r="R84" i="2"/>
  <c r="D84" i="20"/>
  <c r="AB223" i="10"/>
  <c r="AA47" i="10"/>
  <c r="AA49" i="10"/>
  <c r="AB224" i="10"/>
  <c r="AA35" i="10"/>
  <c r="AB217" i="10"/>
  <c r="AB220" i="10"/>
  <c r="AA41" i="10"/>
  <c r="AB31" i="10"/>
  <c r="AC215" i="10"/>
  <c r="AB221" i="10"/>
  <c r="AA43" i="10"/>
  <c r="AB219" i="10"/>
  <c r="AA39" i="10"/>
  <c r="AA222" i="10"/>
  <c r="Z45" i="10"/>
  <c r="AC226" i="10"/>
  <c r="AB53" i="10"/>
  <c r="AB216" i="10"/>
  <c r="AA33" i="10"/>
  <c r="AB221" i="22"/>
  <c r="AA43" i="22"/>
  <c r="AB226" i="22"/>
  <c r="AA53" i="22"/>
  <c r="AC225" i="22"/>
  <c r="AB51" i="22"/>
  <c r="AA223" i="22"/>
  <c r="Z47" i="22"/>
  <c r="AB47" i="8"/>
  <c r="AC223" i="8"/>
  <c r="AB225" i="8"/>
  <c r="AA51" i="8"/>
  <c r="X77" i="9"/>
  <c r="Y238" i="9"/>
  <c r="AC216" i="22"/>
  <c r="AB33" i="22"/>
  <c r="D67" i="8"/>
  <c r="E233" i="8"/>
  <c r="D71" i="7"/>
  <c r="E235" i="7"/>
  <c r="T236" i="8"/>
  <c r="S73" i="8"/>
  <c r="E81" i="11"/>
  <c r="F240" i="11"/>
  <c r="F69" i="8"/>
  <c r="G234" i="8"/>
  <c r="D69" i="22"/>
  <c r="E234" i="22"/>
  <c r="G73" i="11"/>
  <c r="H236" i="11"/>
  <c r="E67" i="11"/>
  <c r="F233" i="11"/>
  <c r="I61" i="8"/>
  <c r="J230" i="8"/>
  <c r="G77" i="8"/>
  <c r="H238" i="8"/>
  <c r="E61" i="22"/>
  <c r="F230" i="22"/>
  <c r="X73" i="9"/>
  <c r="Y236" i="9"/>
  <c r="C75" i="7"/>
  <c r="C237" i="7"/>
  <c r="D237" i="7"/>
  <c r="I56" i="2"/>
  <c r="C56" i="20"/>
  <c r="Z43" i="8"/>
  <c r="AA221" i="8"/>
  <c r="AA45" i="8"/>
  <c r="AB222" i="8"/>
  <c r="W35" i="8"/>
  <c r="X217" i="8"/>
  <c r="AB216" i="11"/>
  <c r="AA33" i="11"/>
  <c r="Q63" i="7"/>
  <c r="R231" i="7"/>
  <c r="AB53" i="9"/>
  <c r="AC226" i="9"/>
  <c r="AA31" i="9"/>
  <c r="AB215" i="9"/>
  <c r="AA222" i="1"/>
  <c r="Z31" i="1"/>
  <c r="AB59" i="1"/>
  <c r="AC236" i="1"/>
  <c r="AB233" i="1"/>
  <c r="AA53" i="1"/>
  <c r="AB35" i="1"/>
  <c r="AC224" i="1"/>
  <c r="Z33" i="1"/>
  <c r="AA223" i="1"/>
  <c r="AB65" i="1"/>
  <c r="AC239" i="1"/>
  <c r="AB232" i="1"/>
  <c r="AA51" i="1"/>
  <c r="AJ75" i="2"/>
  <c r="F75" i="20"/>
  <c r="BB64" i="2"/>
  <c r="H64" i="20"/>
  <c r="AA222" i="22"/>
  <c r="Z45" i="22"/>
  <c r="AB214" i="6"/>
  <c r="AA23" i="6"/>
  <c r="AB216" i="6"/>
  <c r="AA27" i="6"/>
  <c r="AB219" i="6"/>
  <c r="AA33" i="6"/>
  <c r="AB217" i="6"/>
  <c r="AB215" i="6"/>
  <c r="AA25" i="6"/>
  <c r="AB223" i="6"/>
  <c r="AA41" i="6"/>
  <c r="AB221" i="6"/>
  <c r="AA37" i="6"/>
  <c r="AA224" i="6"/>
  <c r="Z43" i="6"/>
  <c r="AB220" i="6"/>
  <c r="AA35" i="6"/>
  <c r="Z31" i="6"/>
  <c r="AA218" i="6"/>
  <c r="X81" i="1"/>
  <c r="Y247" i="1"/>
  <c r="X248" i="1"/>
  <c r="W83" i="1"/>
  <c r="AC228" i="1"/>
  <c r="AB43" i="1"/>
  <c r="AA218" i="8"/>
  <c r="Z37" i="8"/>
  <c r="X219" i="8"/>
  <c r="W39" i="8"/>
  <c r="X45" i="11"/>
  <c r="Y222" i="11"/>
  <c r="AA75" i="2"/>
  <c r="E75" i="20"/>
  <c r="AB217" i="22"/>
  <c r="AA35" i="22"/>
  <c r="AA219" i="22"/>
  <c r="Z39" i="22"/>
  <c r="AB224" i="22"/>
  <c r="AA49" i="22"/>
  <c r="Y220" i="7"/>
  <c r="X41" i="7"/>
  <c r="AA219" i="7"/>
  <c r="Z39" i="7"/>
  <c r="AB217" i="7"/>
  <c r="AA35" i="7"/>
  <c r="AA215" i="7"/>
  <c r="Z31" i="7"/>
  <c r="AB221" i="7"/>
  <c r="AA43" i="7"/>
  <c r="Z37" i="7"/>
  <c r="AA218" i="7"/>
  <c r="X39" i="6"/>
  <c r="Y222" i="6"/>
  <c r="AB217" i="9"/>
  <c r="AA35" i="9"/>
  <c r="X227" i="9"/>
  <c r="W55" i="9"/>
  <c r="X39" i="9"/>
  <c r="Y219" i="9"/>
  <c r="AB47" i="9"/>
  <c r="AC223" i="9"/>
  <c r="AC43" i="9"/>
  <c r="AD221" i="9"/>
  <c r="AA225" i="9"/>
  <c r="Z51" i="9"/>
  <c r="Y57" i="9"/>
  <c r="Z228" i="9"/>
  <c r="AB222" i="9"/>
  <c r="AA45" i="9"/>
  <c r="AA49" i="9"/>
  <c r="AB224" i="9"/>
  <c r="AB79" i="1"/>
  <c r="AC246" i="1"/>
  <c r="AA240" i="1"/>
  <c r="Z67" i="1"/>
  <c r="AB242" i="1"/>
  <c r="AA71" i="1"/>
  <c r="Y73" i="1"/>
  <c r="Z243" i="1"/>
  <c r="V235" i="1"/>
  <c r="U57" i="1"/>
  <c r="AA75" i="1"/>
  <c r="AB244" i="1"/>
  <c r="Y77" i="1"/>
  <c r="Z245" i="1"/>
  <c r="Z61" i="1"/>
  <c r="AA237" i="1"/>
  <c r="W221" i="11"/>
  <c r="V43" i="11"/>
  <c r="AS66" i="2"/>
  <c r="G66" i="20"/>
  <c r="Y220" i="11"/>
  <c r="X41" i="11"/>
  <c r="Y215" i="11"/>
  <c r="AA218" i="11"/>
  <c r="Z37" i="11"/>
  <c r="AB219" i="11"/>
  <c r="AA39" i="11"/>
  <c r="AB225" i="10"/>
  <c r="AA51" i="10"/>
  <c r="AB218" i="10"/>
  <c r="AA37" i="10"/>
  <c r="AC229" i="22"/>
  <c r="AB59" i="22"/>
  <c r="AB227" i="22"/>
  <c r="AA55" i="22"/>
  <c r="AB218" i="22"/>
  <c r="AB220" i="22"/>
  <c r="AA41" i="22"/>
  <c r="Z228" i="8"/>
  <c r="Y57" i="8"/>
  <c r="AB227" i="8"/>
  <c r="AA55" i="8"/>
  <c r="AC226" i="8"/>
  <c r="AB53" i="8"/>
  <c r="AC224" i="8"/>
  <c r="AB49" i="8"/>
  <c r="AC216" i="8"/>
  <c r="AB33" i="8"/>
  <c r="AD215" i="8"/>
  <c r="AC31" i="8"/>
  <c r="AC220" i="8"/>
  <c r="AB41" i="8"/>
  <c r="AC227" i="7"/>
  <c r="AB55" i="7"/>
  <c r="AC226" i="7"/>
  <c r="AB53" i="7"/>
  <c r="AC225" i="7"/>
  <c r="AB51" i="7"/>
  <c r="V216" i="7"/>
  <c r="U33" i="7"/>
  <c r="AA223" i="7"/>
  <c r="Z47" i="7"/>
  <c r="Z222" i="7"/>
  <c r="Y45" i="7"/>
  <c r="AC231" i="6"/>
  <c r="AB57" i="6"/>
  <c r="AC230" i="6"/>
  <c r="AB55" i="6"/>
  <c r="AC229" i="6"/>
  <c r="AB53" i="6"/>
  <c r="AC228" i="6"/>
  <c r="AB51" i="6"/>
  <c r="AC227" i="6"/>
  <c r="AB49" i="6"/>
  <c r="AA225" i="6"/>
  <c r="Z45" i="6"/>
  <c r="AB230" i="9"/>
  <c r="AA61" i="9"/>
  <c r="AC229" i="9"/>
  <c r="AB59" i="9"/>
  <c r="AB220" i="9"/>
  <c r="AA41" i="9"/>
  <c r="AB218" i="9"/>
  <c r="AA37" i="9"/>
  <c r="Y216" i="9"/>
  <c r="X33" i="9"/>
  <c r="AA241" i="1"/>
  <c r="Z69" i="1"/>
  <c r="AC238" i="1"/>
  <c r="AB63" i="1"/>
  <c r="AA231" i="1"/>
  <c r="Z49" i="1"/>
  <c r="AC230" i="1"/>
  <c r="AB47" i="1"/>
  <c r="AC234" i="1"/>
  <c r="AB55" i="1"/>
  <c r="AA229" i="1"/>
  <c r="Z45" i="1"/>
  <c r="AA227" i="1"/>
  <c r="Z41" i="1"/>
  <c r="AC226" i="1"/>
  <c r="AB39" i="1"/>
  <c r="AA225" i="1"/>
  <c r="Z37" i="1"/>
  <c r="AB224" i="7"/>
  <c r="AA49" i="7"/>
  <c r="J63" i="20"/>
  <c r="BT64" i="2"/>
  <c r="I69" i="20"/>
  <c r="BK70" i="2"/>
  <c r="CL71" i="2"/>
  <c r="L70" i="20"/>
  <c r="CC53" i="2"/>
  <c r="K52" i="20"/>
  <c r="B365" i="40"/>
  <c r="D365" i="40"/>
  <c r="I95" i="40"/>
  <c r="J324" i="40"/>
  <c r="H93" i="40"/>
  <c r="I323" i="40"/>
  <c r="C105" i="40"/>
  <c r="C329" i="40"/>
  <c r="D329" i="40"/>
  <c r="D97" i="40"/>
  <c r="E325" i="40"/>
  <c r="H103" i="40"/>
  <c r="I328" i="40"/>
  <c r="H101" i="40"/>
  <c r="I327" i="40"/>
  <c r="D107" i="40"/>
  <c r="E330" i="40"/>
  <c r="H111" i="40"/>
  <c r="I332" i="40"/>
  <c r="H109" i="40"/>
  <c r="I331" i="40"/>
  <c r="I91" i="40"/>
  <c r="L316" i="40"/>
  <c r="K79" i="40"/>
  <c r="L322" i="40"/>
  <c r="L305" i="40"/>
  <c r="K57" i="40"/>
  <c r="J313" i="40"/>
  <c r="I73" i="40"/>
  <c r="K307" i="40"/>
  <c r="J61" i="40"/>
  <c r="J311" i="40"/>
  <c r="I69" i="40"/>
  <c r="L300" i="40"/>
  <c r="K47" i="40"/>
  <c r="K302" i="40"/>
  <c r="J51" i="40"/>
  <c r="L320" i="40"/>
  <c r="K87" i="40"/>
  <c r="L312" i="40"/>
  <c r="K71" i="40"/>
  <c r="K310" i="40"/>
  <c r="J67" i="40"/>
  <c r="L318" i="40"/>
  <c r="K83" i="40"/>
  <c r="L299" i="40"/>
  <c r="K45" i="40"/>
  <c r="L301" i="40"/>
  <c r="K49" i="40"/>
  <c r="L308" i="40"/>
  <c r="K63" i="40"/>
  <c r="L306" i="40"/>
  <c r="K59" i="40"/>
  <c r="L304" i="40"/>
  <c r="K55" i="40"/>
  <c r="K297" i="40"/>
  <c r="J41" i="40"/>
  <c r="L303" i="40"/>
  <c r="K53" i="40"/>
  <c r="K319" i="40"/>
  <c r="J85" i="40"/>
  <c r="L314" i="40"/>
  <c r="K75" i="40"/>
  <c r="K315" i="40"/>
  <c r="J77" i="40"/>
  <c r="K317" i="40"/>
  <c r="J81" i="40"/>
  <c r="L298" i="40"/>
  <c r="K43" i="40"/>
  <c r="J309" i="40"/>
  <c r="I65" i="40"/>
  <c r="K321" i="40"/>
  <c r="J89" i="40"/>
  <c r="N231" i="10"/>
  <c r="M63" i="10"/>
  <c r="X77" i="11"/>
  <c r="Y238" i="11"/>
  <c r="Y71" i="8"/>
  <c r="Z235" i="8"/>
  <c r="Q71" i="22"/>
  <c r="R235" i="22"/>
  <c r="O79" i="22"/>
  <c r="P239" i="22"/>
  <c r="EV146" i="10"/>
  <c r="EV145" i="10"/>
  <c r="R79" i="7"/>
  <c r="S239" i="7"/>
  <c r="P236" i="22"/>
  <c r="O73" i="22"/>
  <c r="EU147" i="10"/>
  <c r="AA226" i="6"/>
  <c r="Z47" i="6"/>
  <c r="Y63" i="9"/>
  <c r="Z231" i="9"/>
  <c r="X77" i="7"/>
  <c r="Y238" i="7"/>
  <c r="EW144" i="10"/>
  <c r="EX54" i="10"/>
  <c r="T61" i="7"/>
  <c r="U230" i="7"/>
  <c r="AA233" i="7"/>
  <c r="Z67" i="7"/>
  <c r="W57" i="11"/>
  <c r="X228" i="11"/>
  <c r="J71" i="10"/>
  <c r="K235" i="10"/>
  <c r="O67" i="10"/>
  <c r="P233" i="10"/>
  <c r="AB228" i="22"/>
  <c r="AA57" i="22"/>
  <c r="U79" i="11"/>
  <c r="V239" i="11"/>
  <c r="Y77" i="22"/>
  <c r="Z238" i="22"/>
  <c r="W229" i="7"/>
  <c r="V59" i="7"/>
  <c r="L59" i="8"/>
  <c r="M229" i="8"/>
  <c r="O65" i="9"/>
  <c r="P232" i="9"/>
  <c r="X51" i="11"/>
  <c r="Y225" i="11"/>
  <c r="T47" i="11"/>
  <c r="U223" i="11"/>
  <c r="Y61" i="10"/>
  <c r="Z230" i="10"/>
  <c r="Q63" i="8"/>
  <c r="R231" i="8"/>
  <c r="Z234" i="10"/>
  <c r="Y69" i="10"/>
  <c r="X77" i="10"/>
  <c r="Y238" i="10"/>
  <c r="P79" i="9"/>
  <c r="Q239" i="9"/>
  <c r="Y79" i="8"/>
  <c r="Z239" i="8"/>
  <c r="Q63" i="22"/>
  <c r="R231" i="22"/>
  <c r="I75" i="11"/>
  <c r="J237" i="11"/>
  <c r="R85" i="2"/>
  <c r="D85" i="20"/>
  <c r="AA216" i="10"/>
  <c r="Z33" i="10"/>
  <c r="Z222" i="10"/>
  <c r="Y45" i="10"/>
  <c r="Z43" i="10"/>
  <c r="AA221" i="10"/>
  <c r="AA220" i="10"/>
  <c r="Z41" i="10"/>
  <c r="AA224" i="10"/>
  <c r="Z49" i="10"/>
  <c r="AA53" i="10"/>
  <c r="AB226" i="10"/>
  <c r="AA219" i="10"/>
  <c r="Z39" i="10"/>
  <c r="Z47" i="10"/>
  <c r="AA223" i="10"/>
  <c r="AA31" i="10"/>
  <c r="AB215" i="10"/>
  <c r="AA217" i="10"/>
  <c r="Z35" i="10"/>
  <c r="Z223" i="22"/>
  <c r="Y47" i="22"/>
  <c r="AA226" i="22"/>
  <c r="Z53" i="22"/>
  <c r="AB225" i="22"/>
  <c r="AA51" i="22"/>
  <c r="AA221" i="22"/>
  <c r="Z43" i="22"/>
  <c r="AA225" i="8"/>
  <c r="Z51" i="8"/>
  <c r="AB223" i="8"/>
  <c r="AA47" i="8"/>
  <c r="W73" i="9"/>
  <c r="X236" i="9"/>
  <c r="H61" i="8"/>
  <c r="I230" i="8"/>
  <c r="F73" i="11"/>
  <c r="G236" i="11"/>
  <c r="E69" i="8"/>
  <c r="F234" i="8"/>
  <c r="D81" i="11"/>
  <c r="E240" i="11"/>
  <c r="C71" i="7"/>
  <c r="C235" i="7"/>
  <c r="D235" i="7"/>
  <c r="AB216" i="22"/>
  <c r="AA33" i="22"/>
  <c r="R73" i="8"/>
  <c r="S236" i="8"/>
  <c r="D61" i="22"/>
  <c r="E230" i="22"/>
  <c r="F77" i="8"/>
  <c r="G238" i="8"/>
  <c r="D67" i="11"/>
  <c r="E233" i="11"/>
  <c r="C69" i="22"/>
  <c r="C234" i="22"/>
  <c r="D234" i="22"/>
  <c r="C67" i="8"/>
  <c r="C233" i="8"/>
  <c r="D233" i="8"/>
  <c r="W77" i="9"/>
  <c r="X238" i="9"/>
  <c r="I57" i="2"/>
  <c r="C57" i="20"/>
  <c r="W217" i="8"/>
  <c r="V35" i="8"/>
  <c r="Z45" i="8"/>
  <c r="AA222" i="8"/>
  <c r="Z221" i="8"/>
  <c r="Y43" i="8"/>
  <c r="AA216" i="11"/>
  <c r="Z33" i="11"/>
  <c r="P63" i="7"/>
  <c r="Q231" i="7"/>
  <c r="AA215" i="9"/>
  <c r="Z31" i="9"/>
  <c r="AA53" i="9"/>
  <c r="AB226" i="9"/>
  <c r="Z222" i="1"/>
  <c r="Y31" i="1"/>
  <c r="AB239" i="1"/>
  <c r="AA65" i="1"/>
  <c r="Y33" i="1"/>
  <c r="Z223" i="1"/>
  <c r="AA35" i="1"/>
  <c r="AB224" i="1"/>
  <c r="AA59" i="1"/>
  <c r="AB236" i="1"/>
  <c r="Z53" i="1"/>
  <c r="AA233" i="1"/>
  <c r="AA232" i="1"/>
  <c r="Z51" i="1"/>
  <c r="AJ76" i="2"/>
  <c r="F76" i="20"/>
  <c r="BB65" i="2"/>
  <c r="H65" i="20"/>
  <c r="Z222" i="22"/>
  <c r="Y45" i="22"/>
  <c r="AA220" i="6"/>
  <c r="Z35" i="6"/>
  <c r="Z224" i="6"/>
  <c r="Y43" i="6"/>
  <c r="AA221" i="6"/>
  <c r="Z37" i="6"/>
  <c r="AA223" i="6"/>
  <c r="Z41" i="6"/>
  <c r="AA215" i="6"/>
  <c r="Z25" i="6"/>
  <c r="AA217" i="6"/>
  <c r="AA219" i="6"/>
  <c r="Z33" i="6"/>
  <c r="AA216" i="6"/>
  <c r="Z27" i="6"/>
  <c r="AA214" i="6"/>
  <c r="Z23" i="6"/>
  <c r="Z218" i="6"/>
  <c r="Y31" i="6"/>
  <c r="AB228" i="1"/>
  <c r="AA43" i="1"/>
  <c r="W248" i="1"/>
  <c r="V83" i="1"/>
  <c r="W81" i="1"/>
  <c r="X247" i="1"/>
  <c r="W219" i="8"/>
  <c r="V39" i="8"/>
  <c r="Z218" i="8"/>
  <c r="Y37" i="8"/>
  <c r="W45" i="11"/>
  <c r="X222" i="11"/>
  <c r="AA76" i="2"/>
  <c r="E76" i="20"/>
  <c r="Z219" i="22"/>
  <c r="Y39" i="22"/>
  <c r="AA224" i="22"/>
  <c r="Z49" i="22"/>
  <c r="AA217" i="22"/>
  <c r="Z35" i="22"/>
  <c r="AA221" i="7"/>
  <c r="Z43" i="7"/>
  <c r="Z215" i="7"/>
  <c r="Y31" i="7"/>
  <c r="Z219" i="7"/>
  <c r="Y39" i="7"/>
  <c r="AA217" i="7"/>
  <c r="Z35" i="7"/>
  <c r="X220" i="7"/>
  <c r="W41" i="7"/>
  <c r="Z218" i="7"/>
  <c r="Y37" i="7"/>
  <c r="X222" i="6"/>
  <c r="W39" i="6"/>
  <c r="W227" i="9"/>
  <c r="V55" i="9"/>
  <c r="AB223" i="9"/>
  <c r="AA47" i="9"/>
  <c r="AA217" i="9"/>
  <c r="Z35" i="9"/>
  <c r="AB43" i="9"/>
  <c r="AC221" i="9"/>
  <c r="X219" i="9"/>
  <c r="W39" i="9"/>
  <c r="Z225" i="9"/>
  <c r="Y51" i="9"/>
  <c r="AA224" i="9"/>
  <c r="Z49" i="9"/>
  <c r="X57" i="9"/>
  <c r="Y228" i="9"/>
  <c r="AA222" i="9"/>
  <c r="Z45" i="9"/>
  <c r="Z71" i="1"/>
  <c r="AA242" i="1"/>
  <c r="AA244" i="1"/>
  <c r="Z75" i="1"/>
  <c r="T57" i="1"/>
  <c r="U235" i="1"/>
  <c r="Z240" i="1"/>
  <c r="Y67" i="1"/>
  <c r="Y61" i="1"/>
  <c r="Z237" i="1"/>
  <c r="X77" i="1"/>
  <c r="Y245" i="1"/>
  <c r="Y243" i="1"/>
  <c r="X73" i="1"/>
  <c r="AB246" i="1"/>
  <c r="AA79" i="1"/>
  <c r="V221" i="11"/>
  <c r="U43" i="11"/>
  <c r="AS67" i="2"/>
  <c r="G67" i="20"/>
  <c r="Z218" i="11"/>
  <c r="Y37" i="11"/>
  <c r="X220" i="11"/>
  <c r="W41" i="11"/>
  <c r="AA219" i="11"/>
  <c r="Z39" i="11"/>
  <c r="X215" i="11"/>
  <c r="AA225" i="10"/>
  <c r="Z51" i="10"/>
  <c r="AA218" i="10"/>
  <c r="Z37" i="10"/>
  <c r="AB229" i="22"/>
  <c r="AA59" i="22"/>
  <c r="AA220" i="22"/>
  <c r="Z41" i="22"/>
  <c r="AA227" i="22"/>
  <c r="Z55" i="22"/>
  <c r="AA218" i="22"/>
  <c r="Y228" i="8"/>
  <c r="X57" i="8"/>
  <c r="AA227" i="8"/>
  <c r="Z55" i="8"/>
  <c r="AC215" i="8"/>
  <c r="AB31" i="8"/>
  <c r="AB224" i="8"/>
  <c r="AA49" i="8"/>
  <c r="AB220" i="8"/>
  <c r="AA41" i="8"/>
  <c r="AB216" i="8"/>
  <c r="AA33" i="8"/>
  <c r="AB226" i="8"/>
  <c r="AA53" i="8"/>
  <c r="AB227" i="7"/>
  <c r="AA55" i="7"/>
  <c r="AB226" i="7"/>
  <c r="AA53" i="7"/>
  <c r="AB225" i="7"/>
  <c r="AA51" i="7"/>
  <c r="Y222" i="7"/>
  <c r="X45" i="7"/>
  <c r="U216" i="7"/>
  <c r="T33" i="7"/>
  <c r="Z223" i="7"/>
  <c r="Y47" i="7"/>
  <c r="AB231" i="6"/>
  <c r="AA57" i="6"/>
  <c r="AB230" i="6"/>
  <c r="AA55" i="6"/>
  <c r="AB229" i="6"/>
  <c r="AA53" i="6"/>
  <c r="AB228" i="6"/>
  <c r="AA51" i="6"/>
  <c r="AB227" i="6"/>
  <c r="AA49" i="6"/>
  <c r="Z225" i="6"/>
  <c r="Y45" i="6"/>
  <c r="AA230" i="9"/>
  <c r="Z61" i="9"/>
  <c r="AB229" i="9"/>
  <c r="AA59" i="9"/>
  <c r="X216" i="9"/>
  <c r="W33" i="9"/>
  <c r="AA220" i="9"/>
  <c r="Z41" i="9"/>
  <c r="AA218" i="9"/>
  <c r="Z37" i="9"/>
  <c r="Z241" i="1"/>
  <c r="Y69" i="1"/>
  <c r="AB238" i="1"/>
  <c r="AA63" i="1"/>
  <c r="AB230" i="1"/>
  <c r="AA47" i="1"/>
  <c r="AB234" i="1"/>
  <c r="AA55" i="1"/>
  <c r="Z231" i="1"/>
  <c r="Y49" i="1"/>
  <c r="Z229" i="1"/>
  <c r="Y45" i="1"/>
  <c r="Z227" i="1"/>
  <c r="Y41" i="1"/>
  <c r="Z225" i="1"/>
  <c r="Y37" i="1"/>
  <c r="AB226" i="1"/>
  <c r="AA39" i="1"/>
  <c r="AA224" i="7"/>
  <c r="Z49" i="7"/>
  <c r="J64" i="20"/>
  <c r="BT65" i="2"/>
  <c r="I70" i="20"/>
  <c r="BK71" i="2"/>
  <c r="CL72" i="2"/>
  <c r="L71" i="20"/>
  <c r="CC54" i="2"/>
  <c r="K53" i="20"/>
  <c r="EV147" i="10"/>
  <c r="B368" i="40"/>
  <c r="D368" i="40"/>
  <c r="G111" i="40"/>
  <c r="H332" i="40"/>
  <c r="G101" i="40"/>
  <c r="H327" i="40"/>
  <c r="C97" i="40"/>
  <c r="C325" i="40"/>
  <c r="D325" i="40"/>
  <c r="G93" i="40"/>
  <c r="H323" i="40"/>
  <c r="G109" i="40"/>
  <c r="H331" i="40"/>
  <c r="C107" i="40"/>
  <c r="C330" i="40"/>
  <c r="D330" i="40"/>
  <c r="G103" i="40"/>
  <c r="H328" i="40"/>
  <c r="H95" i="40"/>
  <c r="I324" i="40"/>
  <c r="H91" i="40"/>
  <c r="J321" i="40"/>
  <c r="I89" i="40"/>
  <c r="K298" i="40"/>
  <c r="J43" i="40"/>
  <c r="J315" i="40"/>
  <c r="I77" i="40"/>
  <c r="J319" i="40"/>
  <c r="I85" i="40"/>
  <c r="J297" i="40"/>
  <c r="I41" i="40"/>
  <c r="K306" i="40"/>
  <c r="J59" i="40"/>
  <c r="K301" i="40"/>
  <c r="J49" i="40"/>
  <c r="K318" i="40"/>
  <c r="J83" i="40"/>
  <c r="K312" i="40"/>
  <c r="J71" i="40"/>
  <c r="J302" i="40"/>
  <c r="I51" i="40"/>
  <c r="I311" i="40"/>
  <c r="H69" i="40"/>
  <c r="I313" i="40"/>
  <c r="H73" i="40"/>
  <c r="K322" i="40"/>
  <c r="I309" i="40"/>
  <c r="H65" i="40"/>
  <c r="J317" i="40"/>
  <c r="I81" i="40"/>
  <c r="K314" i="40"/>
  <c r="J75" i="40"/>
  <c r="K303" i="40"/>
  <c r="J53" i="40"/>
  <c r="K304" i="40"/>
  <c r="J55" i="40"/>
  <c r="K308" i="40"/>
  <c r="J63" i="40"/>
  <c r="K299" i="40"/>
  <c r="J45" i="40"/>
  <c r="J310" i="40"/>
  <c r="I67" i="40"/>
  <c r="K320" i="40"/>
  <c r="J87" i="40"/>
  <c r="K300" i="40"/>
  <c r="J47" i="40"/>
  <c r="J307" i="40"/>
  <c r="I61" i="40"/>
  <c r="K305" i="40"/>
  <c r="J57" i="40"/>
  <c r="K316" i="40"/>
  <c r="J79" i="40"/>
  <c r="Q231" i="22"/>
  <c r="P63" i="22"/>
  <c r="O79" i="9"/>
  <c r="P239" i="9"/>
  <c r="Y230" i="10"/>
  <c r="X61" i="10"/>
  <c r="W51" i="11"/>
  <c r="X225" i="11"/>
  <c r="L229" i="8"/>
  <c r="K59" i="8"/>
  <c r="X77" i="22"/>
  <c r="Y238" i="22"/>
  <c r="J235" i="10"/>
  <c r="I71" i="10"/>
  <c r="EW145" i="10"/>
  <c r="EW146" i="10"/>
  <c r="X63" i="9"/>
  <c r="Y231" i="9"/>
  <c r="N73" i="22"/>
  <c r="O236" i="22"/>
  <c r="V229" i="7"/>
  <c r="U59" i="7"/>
  <c r="Z226" i="6"/>
  <c r="Y47" i="6"/>
  <c r="X238" i="11"/>
  <c r="W77" i="11"/>
  <c r="H75" i="11"/>
  <c r="I237" i="11"/>
  <c r="Y239" i="8"/>
  <c r="X79" i="8"/>
  <c r="W77" i="10"/>
  <c r="X238" i="10"/>
  <c r="P63" i="8"/>
  <c r="Q231" i="8"/>
  <c r="S47" i="11"/>
  <c r="T223" i="11"/>
  <c r="N65" i="9"/>
  <c r="O232" i="9"/>
  <c r="T79" i="11"/>
  <c r="U239" i="11"/>
  <c r="N67" i="10"/>
  <c r="O233" i="10"/>
  <c r="W228" i="11"/>
  <c r="V57" i="11"/>
  <c r="T230" i="7"/>
  <c r="S61" i="7"/>
  <c r="W77" i="7"/>
  <c r="X238" i="7"/>
  <c r="M231" i="10"/>
  <c r="L63" i="10"/>
  <c r="P71" i="22"/>
  <c r="Q235" i="22"/>
  <c r="X69" i="10"/>
  <c r="Y234" i="10"/>
  <c r="Z57" i="22"/>
  <c r="AA228" i="22"/>
  <c r="Y67" i="7"/>
  <c r="Z233" i="7"/>
  <c r="EX144" i="10"/>
  <c r="EY54" i="10"/>
  <c r="R239" i="7"/>
  <c r="Q79" i="7"/>
  <c r="O239" i="22"/>
  <c r="N79" i="22"/>
  <c r="X71" i="8"/>
  <c r="Y235" i="8"/>
  <c r="R86" i="2"/>
  <c r="D86" i="20"/>
  <c r="Z217" i="10"/>
  <c r="Y35" i="10"/>
  <c r="Z220" i="10"/>
  <c r="Y41" i="10"/>
  <c r="Y222" i="10"/>
  <c r="X45" i="10"/>
  <c r="Y47" i="10"/>
  <c r="Z223" i="10"/>
  <c r="Z53" i="10"/>
  <c r="AA226" i="10"/>
  <c r="Z219" i="10"/>
  <c r="Y39" i="10"/>
  <c r="Z224" i="10"/>
  <c r="Y49" i="10"/>
  <c r="Y33" i="10"/>
  <c r="Z216" i="10"/>
  <c r="Z31" i="10"/>
  <c r="AA215" i="10"/>
  <c r="Z221" i="10"/>
  <c r="Y43" i="10"/>
  <c r="Z51" i="22"/>
  <c r="AA225" i="22"/>
  <c r="Z226" i="22"/>
  <c r="Y53" i="22"/>
  <c r="Z221" i="22"/>
  <c r="Y43" i="22"/>
  <c r="Y223" i="22"/>
  <c r="X47" i="22"/>
  <c r="Z47" i="8"/>
  <c r="AA223" i="8"/>
  <c r="Y51" i="8"/>
  <c r="Z225" i="8"/>
  <c r="C67" i="11"/>
  <c r="C233" i="11"/>
  <c r="D233" i="11"/>
  <c r="E77" i="8"/>
  <c r="F238" i="8"/>
  <c r="Q73" i="8"/>
  <c r="R236" i="8"/>
  <c r="AA216" i="22"/>
  <c r="Z33" i="22"/>
  <c r="D69" i="8"/>
  <c r="E234" i="8"/>
  <c r="E73" i="11"/>
  <c r="F236" i="11"/>
  <c r="V73" i="9"/>
  <c r="W236" i="9"/>
  <c r="V77" i="9"/>
  <c r="W238" i="9"/>
  <c r="C61" i="22"/>
  <c r="C230" i="22"/>
  <c r="D230" i="22"/>
  <c r="C81" i="11"/>
  <c r="C240" i="11"/>
  <c r="D240" i="11"/>
  <c r="G61" i="8"/>
  <c r="H230" i="8"/>
  <c r="I58" i="2"/>
  <c r="C58" i="20"/>
  <c r="Y45" i="8"/>
  <c r="Z222" i="8"/>
  <c r="Y221" i="8"/>
  <c r="X43" i="8"/>
  <c r="V217" i="8"/>
  <c r="U35" i="8"/>
  <c r="Z216" i="11"/>
  <c r="Y33" i="11"/>
  <c r="O63" i="7"/>
  <c r="P231" i="7"/>
  <c r="Y31" i="9"/>
  <c r="Z215" i="9"/>
  <c r="Z53" i="9"/>
  <c r="AA226" i="9"/>
  <c r="Y222" i="1"/>
  <c r="X31" i="1"/>
  <c r="Y53" i="1"/>
  <c r="Z233" i="1"/>
  <c r="AA236" i="1"/>
  <c r="Z59" i="1"/>
  <c r="Z35" i="1"/>
  <c r="AA224" i="1"/>
  <c r="X33" i="1"/>
  <c r="Y223" i="1"/>
  <c r="AA239" i="1"/>
  <c r="Z65" i="1"/>
  <c r="Z232" i="1"/>
  <c r="Y51" i="1"/>
  <c r="AJ77" i="2"/>
  <c r="F77" i="20"/>
  <c r="BB66" i="2"/>
  <c r="H66" i="20"/>
  <c r="Y222" i="22"/>
  <c r="X45" i="22"/>
  <c r="X31" i="6"/>
  <c r="Y218" i="6"/>
  <c r="Z214" i="6"/>
  <c r="Y23" i="6"/>
  <c r="Z216" i="6"/>
  <c r="Y27" i="6"/>
  <c r="Z219" i="6"/>
  <c r="Y33" i="6"/>
  <c r="Z217" i="6"/>
  <c r="Z215" i="6"/>
  <c r="Y25" i="6"/>
  <c r="Z223" i="6"/>
  <c r="Y41" i="6"/>
  <c r="Z221" i="6"/>
  <c r="Y37" i="6"/>
  <c r="Y224" i="6"/>
  <c r="X43" i="6"/>
  <c r="Z220" i="6"/>
  <c r="Y35" i="6"/>
  <c r="V248" i="1"/>
  <c r="U83" i="1"/>
  <c r="AA228" i="1"/>
  <c r="Z43" i="1"/>
  <c r="W247" i="1"/>
  <c r="V81" i="1"/>
  <c r="Y218" i="8"/>
  <c r="X37" i="8"/>
  <c r="V219" i="8"/>
  <c r="U39" i="8"/>
  <c r="W222" i="11"/>
  <c r="V45" i="11"/>
  <c r="AA77" i="2"/>
  <c r="E77" i="20"/>
  <c r="Z224" i="22"/>
  <c r="Y49" i="22"/>
  <c r="Z217" i="22"/>
  <c r="Y35" i="22"/>
  <c r="Y219" i="22"/>
  <c r="X39" i="22"/>
  <c r="W220" i="7"/>
  <c r="V41" i="7"/>
  <c r="Y215" i="7"/>
  <c r="X31" i="7"/>
  <c r="Y218" i="7"/>
  <c r="X37" i="7"/>
  <c r="Y35" i="7"/>
  <c r="Z217" i="7"/>
  <c r="Y219" i="7"/>
  <c r="X39" i="7"/>
  <c r="Z221" i="7"/>
  <c r="Y43" i="7"/>
  <c r="V39" i="6"/>
  <c r="W222" i="6"/>
  <c r="Z47" i="9"/>
  <c r="AA223" i="9"/>
  <c r="AB221" i="9"/>
  <c r="AA43" i="9"/>
  <c r="W219" i="9"/>
  <c r="V39" i="9"/>
  <c r="Z217" i="9"/>
  <c r="Y35" i="9"/>
  <c r="V227" i="9"/>
  <c r="U55" i="9"/>
  <c r="Y225" i="9"/>
  <c r="X51" i="9"/>
  <c r="Z222" i="9"/>
  <c r="Y45" i="9"/>
  <c r="W57" i="9"/>
  <c r="X228" i="9"/>
  <c r="Z224" i="9"/>
  <c r="Y49" i="9"/>
  <c r="X243" i="1"/>
  <c r="W73" i="1"/>
  <c r="Y237" i="1"/>
  <c r="X61" i="1"/>
  <c r="Z79" i="1"/>
  <c r="AA246" i="1"/>
  <c r="Y240" i="1"/>
  <c r="X67" i="1"/>
  <c r="Y75" i="1"/>
  <c r="Z244" i="1"/>
  <c r="X245" i="1"/>
  <c r="W77" i="1"/>
  <c r="T235" i="1"/>
  <c r="S57" i="1"/>
  <c r="Z242" i="1"/>
  <c r="Y71" i="1"/>
  <c r="U221" i="11"/>
  <c r="T43" i="11"/>
  <c r="AS68" i="2"/>
  <c r="G68" i="20"/>
  <c r="Z219" i="11"/>
  <c r="Y39" i="11"/>
  <c r="Y218" i="11"/>
  <c r="X37" i="11"/>
  <c r="W215" i="11"/>
  <c r="W220" i="11"/>
  <c r="V41" i="11"/>
  <c r="Z225" i="10"/>
  <c r="Y51" i="10"/>
  <c r="Z218" i="10"/>
  <c r="Y37" i="10"/>
  <c r="AA229" i="22"/>
  <c r="Z59" i="22"/>
  <c r="Z227" i="22"/>
  <c r="Y55" i="22"/>
  <c r="Z220" i="22"/>
  <c r="Y41" i="22"/>
  <c r="Z218" i="22"/>
  <c r="X228" i="8"/>
  <c r="W57" i="8"/>
  <c r="Z227" i="8"/>
  <c r="Y55" i="8"/>
  <c r="AA216" i="8"/>
  <c r="Z33" i="8"/>
  <c r="AA220" i="8"/>
  <c r="Z41" i="8"/>
  <c r="AA224" i="8"/>
  <c r="Z49" i="8"/>
  <c r="AB215" i="8"/>
  <c r="AA31" i="8"/>
  <c r="AA226" i="8"/>
  <c r="Z53" i="8"/>
  <c r="AA227" i="7"/>
  <c r="Z55" i="7"/>
  <c r="AA226" i="7"/>
  <c r="Z53" i="7"/>
  <c r="AA225" i="7"/>
  <c r="Z51" i="7"/>
  <c r="T216" i="7"/>
  <c r="S33" i="7"/>
  <c r="Y223" i="7"/>
  <c r="X47" i="7"/>
  <c r="X222" i="7"/>
  <c r="W45" i="7"/>
  <c r="AA231" i="6"/>
  <c r="Z57" i="6"/>
  <c r="AA230" i="6"/>
  <c r="Z55" i="6"/>
  <c r="AA229" i="6"/>
  <c r="Z53" i="6"/>
  <c r="AA228" i="6"/>
  <c r="Z51" i="6"/>
  <c r="AA227" i="6"/>
  <c r="Z49" i="6"/>
  <c r="Y225" i="6"/>
  <c r="X45" i="6"/>
  <c r="Z230" i="9"/>
  <c r="Y61" i="9"/>
  <c r="AA229" i="9"/>
  <c r="Z59" i="9"/>
  <c r="Z218" i="9"/>
  <c r="Y37" i="9"/>
  <c r="Z220" i="9"/>
  <c r="Y41" i="9"/>
  <c r="W216" i="9"/>
  <c r="V33" i="9"/>
  <c r="Y241" i="1"/>
  <c r="X69" i="1"/>
  <c r="AA238" i="1"/>
  <c r="Z63" i="1"/>
  <c r="Y231" i="1"/>
  <c r="X49" i="1"/>
  <c r="AA234" i="1"/>
  <c r="Z55" i="1"/>
  <c r="AA230" i="1"/>
  <c r="Z47" i="1"/>
  <c r="Y229" i="1"/>
  <c r="X45" i="1"/>
  <c r="Y225" i="1"/>
  <c r="X37" i="1"/>
  <c r="Y227" i="1"/>
  <c r="X41" i="1"/>
  <c r="AA226" i="1"/>
  <c r="Z39" i="1"/>
  <c r="Z224" i="7"/>
  <c r="Y49" i="7"/>
  <c r="J65" i="20"/>
  <c r="BT66" i="2"/>
  <c r="I71" i="20"/>
  <c r="BK72" i="2"/>
  <c r="CL73" i="2"/>
  <c r="L72" i="20"/>
  <c r="CC55" i="2"/>
  <c r="K54" i="20"/>
  <c r="B364" i="40"/>
  <c r="D364" i="40"/>
  <c r="B369" i="40"/>
  <c r="D369" i="40"/>
  <c r="G95" i="40"/>
  <c r="H324" i="40"/>
  <c r="F93" i="40"/>
  <c r="G323" i="40"/>
  <c r="F101" i="40"/>
  <c r="G327" i="40"/>
  <c r="F103" i="40"/>
  <c r="G328" i="40"/>
  <c r="F109" i="40"/>
  <c r="G331" i="40"/>
  <c r="F111" i="40"/>
  <c r="G332" i="40"/>
  <c r="G91" i="40"/>
  <c r="J300" i="40"/>
  <c r="I47" i="40"/>
  <c r="J303" i="40"/>
  <c r="I53" i="40"/>
  <c r="H311" i="40"/>
  <c r="G69" i="40"/>
  <c r="J312" i="40"/>
  <c r="I71" i="40"/>
  <c r="I297" i="40"/>
  <c r="H41" i="40"/>
  <c r="I315" i="40"/>
  <c r="H77" i="40"/>
  <c r="J316" i="40"/>
  <c r="I79" i="40"/>
  <c r="I307" i="40"/>
  <c r="H61" i="40"/>
  <c r="J320" i="40"/>
  <c r="I87" i="40"/>
  <c r="J299" i="40"/>
  <c r="I45" i="40"/>
  <c r="J304" i="40"/>
  <c r="I55" i="40"/>
  <c r="J314" i="40"/>
  <c r="I75" i="40"/>
  <c r="H309" i="40"/>
  <c r="G65" i="40"/>
  <c r="H313" i="40"/>
  <c r="G73" i="40"/>
  <c r="I302" i="40"/>
  <c r="H51" i="40"/>
  <c r="J318" i="40"/>
  <c r="I83" i="40"/>
  <c r="J306" i="40"/>
  <c r="I59" i="40"/>
  <c r="I319" i="40"/>
  <c r="H85" i="40"/>
  <c r="J298" i="40"/>
  <c r="I43" i="40"/>
  <c r="I317" i="40"/>
  <c r="H81" i="40"/>
  <c r="J305" i="40"/>
  <c r="I57" i="40"/>
  <c r="I310" i="40"/>
  <c r="H67" i="40"/>
  <c r="J308" i="40"/>
  <c r="I63" i="40"/>
  <c r="J322" i="40"/>
  <c r="J301" i="40"/>
  <c r="I49" i="40"/>
  <c r="I321" i="40"/>
  <c r="H89" i="40"/>
  <c r="S79" i="11"/>
  <c r="T239" i="11"/>
  <c r="M79" i="22"/>
  <c r="N239" i="22"/>
  <c r="EY144" i="10"/>
  <c r="EZ54" i="10"/>
  <c r="U57" i="11"/>
  <c r="V228" i="11"/>
  <c r="X47" i="6"/>
  <c r="Y226" i="6"/>
  <c r="EW147" i="10"/>
  <c r="Z228" i="22"/>
  <c r="Y57" i="22"/>
  <c r="V77" i="7"/>
  <c r="W238" i="7"/>
  <c r="R47" i="11"/>
  <c r="S223" i="11"/>
  <c r="W238" i="10"/>
  <c r="V77" i="10"/>
  <c r="M73" i="22"/>
  <c r="N236" i="22"/>
  <c r="X238" i="22"/>
  <c r="W77" i="22"/>
  <c r="V51" i="11"/>
  <c r="W225" i="11"/>
  <c r="P79" i="7"/>
  <c r="Q239" i="7"/>
  <c r="L231" i="10"/>
  <c r="K63" i="10"/>
  <c r="R61" i="7"/>
  <c r="S230" i="7"/>
  <c r="W79" i="8"/>
  <c r="X239" i="8"/>
  <c r="V77" i="11"/>
  <c r="W238" i="11"/>
  <c r="T59" i="7"/>
  <c r="U229" i="7"/>
  <c r="I235" i="10"/>
  <c r="H71" i="10"/>
  <c r="J59" i="8"/>
  <c r="K229" i="8"/>
  <c r="W61" i="10"/>
  <c r="X230" i="10"/>
  <c r="O63" i="22"/>
  <c r="P231" i="22"/>
  <c r="EX146" i="10"/>
  <c r="EX145" i="10"/>
  <c r="O71" i="22"/>
  <c r="P235" i="22"/>
  <c r="G75" i="11"/>
  <c r="H237" i="11"/>
  <c r="N79" i="9"/>
  <c r="O239" i="9"/>
  <c r="W71" i="8"/>
  <c r="X235" i="8"/>
  <c r="Y233" i="7"/>
  <c r="X67" i="7"/>
  <c r="W69" i="10"/>
  <c r="X234" i="10"/>
  <c r="N233" i="10"/>
  <c r="M67" i="10"/>
  <c r="M65" i="9"/>
  <c r="N232" i="9"/>
  <c r="O63" i="8"/>
  <c r="P231" i="8"/>
  <c r="X231" i="9"/>
  <c r="W63" i="9"/>
  <c r="R87" i="2"/>
  <c r="D87" i="20"/>
  <c r="Y221" i="10"/>
  <c r="X43" i="10"/>
  <c r="Y219" i="10"/>
  <c r="X39" i="10"/>
  <c r="Y220" i="10"/>
  <c r="X41" i="10"/>
  <c r="Y216" i="10"/>
  <c r="X33" i="10"/>
  <c r="X47" i="10"/>
  <c r="Y223" i="10"/>
  <c r="X49" i="10"/>
  <c r="Y224" i="10"/>
  <c r="X222" i="10"/>
  <c r="W45" i="10"/>
  <c r="X35" i="10"/>
  <c r="Y217" i="10"/>
  <c r="Y31" i="10"/>
  <c r="Z215" i="10"/>
  <c r="Z226" i="10"/>
  <c r="Y53" i="10"/>
  <c r="X53" i="22"/>
  <c r="Y226" i="22"/>
  <c r="X223" i="22"/>
  <c r="W47" i="22"/>
  <c r="Y221" i="22"/>
  <c r="X43" i="22"/>
  <c r="Y51" i="22"/>
  <c r="Z225" i="22"/>
  <c r="Y225" i="8"/>
  <c r="X51" i="8"/>
  <c r="Z223" i="8"/>
  <c r="Y47" i="8"/>
  <c r="F61" i="8"/>
  <c r="G230" i="8"/>
  <c r="C69" i="8"/>
  <c r="C234" i="8"/>
  <c r="D234" i="8"/>
  <c r="P73" i="8"/>
  <c r="Q236" i="8"/>
  <c r="Z216" i="22"/>
  <c r="Y33" i="22"/>
  <c r="U77" i="9"/>
  <c r="V238" i="9"/>
  <c r="U73" i="9"/>
  <c r="V236" i="9"/>
  <c r="D73" i="11"/>
  <c r="E236" i="11"/>
  <c r="D77" i="8"/>
  <c r="E238" i="8"/>
  <c r="I59" i="2"/>
  <c r="C59" i="20"/>
  <c r="X45" i="8"/>
  <c r="Y222" i="8"/>
  <c r="T35" i="8"/>
  <c r="U217" i="8"/>
  <c r="W43" i="8"/>
  <c r="X221" i="8"/>
  <c r="Y216" i="11"/>
  <c r="X33" i="11"/>
  <c r="N63" i="7"/>
  <c r="O231" i="7"/>
  <c r="Y53" i="9"/>
  <c r="Z226" i="9"/>
  <c r="Y215" i="9"/>
  <c r="X31" i="9"/>
  <c r="X222" i="1"/>
  <c r="W31" i="1"/>
  <c r="W33" i="1"/>
  <c r="X223" i="1"/>
  <c r="Y35" i="1"/>
  <c r="Z224" i="1"/>
  <c r="X53" i="1"/>
  <c r="Y233" i="1"/>
  <c r="Y65" i="1"/>
  <c r="Z239" i="1"/>
  <c r="Y59" i="1"/>
  <c r="Z236" i="1"/>
  <c r="Y232" i="1"/>
  <c r="X51" i="1"/>
  <c r="AJ78" i="2"/>
  <c r="F78" i="20"/>
  <c r="BB67" i="2"/>
  <c r="H67" i="20"/>
  <c r="X222" i="22"/>
  <c r="W45" i="22"/>
  <c r="Y220" i="6"/>
  <c r="X35" i="6"/>
  <c r="X224" i="6"/>
  <c r="W43" i="6"/>
  <c r="Y221" i="6"/>
  <c r="X37" i="6"/>
  <c r="Y223" i="6"/>
  <c r="X41" i="6"/>
  <c r="Y215" i="6"/>
  <c r="X25" i="6"/>
  <c r="Y217" i="6"/>
  <c r="Y219" i="6"/>
  <c r="X33" i="6"/>
  <c r="Y216" i="6"/>
  <c r="X27" i="6"/>
  <c r="Y214" i="6"/>
  <c r="X23" i="6"/>
  <c r="X218" i="6"/>
  <c r="W31" i="6"/>
  <c r="U81" i="1"/>
  <c r="V247" i="1"/>
  <c r="Z228" i="1"/>
  <c r="Y43" i="1"/>
  <c r="T83" i="1"/>
  <c r="U248" i="1"/>
  <c r="U219" i="8"/>
  <c r="T39" i="8"/>
  <c r="W37" i="8"/>
  <c r="X218" i="8"/>
  <c r="V222" i="11"/>
  <c r="U45" i="11"/>
  <c r="AA78" i="2"/>
  <c r="E78" i="20"/>
  <c r="Y217" i="22"/>
  <c r="X35" i="22"/>
  <c r="X219" i="22"/>
  <c r="W39" i="22"/>
  <c r="Y224" i="22"/>
  <c r="X49" i="22"/>
  <c r="X219" i="7"/>
  <c r="W39" i="7"/>
  <c r="X218" i="7"/>
  <c r="W37" i="7"/>
  <c r="Y221" i="7"/>
  <c r="X43" i="7"/>
  <c r="X215" i="7"/>
  <c r="W31" i="7"/>
  <c r="V220" i="7"/>
  <c r="U41" i="7"/>
  <c r="Y217" i="7"/>
  <c r="X35" i="7"/>
  <c r="U39" i="6"/>
  <c r="V222" i="6"/>
  <c r="Y217" i="9"/>
  <c r="X35" i="9"/>
  <c r="AA221" i="9"/>
  <c r="Z43" i="9"/>
  <c r="U227" i="9"/>
  <c r="T55" i="9"/>
  <c r="U39" i="9"/>
  <c r="V219" i="9"/>
  <c r="Z223" i="9"/>
  <c r="Y47" i="9"/>
  <c r="W51" i="9"/>
  <c r="X225" i="9"/>
  <c r="Y224" i="9"/>
  <c r="X49" i="9"/>
  <c r="V57" i="9"/>
  <c r="W228" i="9"/>
  <c r="Y222" i="9"/>
  <c r="X45" i="9"/>
  <c r="Y242" i="1"/>
  <c r="X71" i="1"/>
  <c r="V77" i="1"/>
  <c r="W245" i="1"/>
  <c r="X240" i="1"/>
  <c r="W67" i="1"/>
  <c r="V73" i="1"/>
  <c r="W243" i="1"/>
  <c r="R57" i="1"/>
  <c r="S235" i="1"/>
  <c r="W61" i="1"/>
  <c r="X237" i="1"/>
  <c r="X75" i="1"/>
  <c r="Y244" i="1"/>
  <c r="Z246" i="1"/>
  <c r="Y79" i="1"/>
  <c r="T221" i="11"/>
  <c r="S43" i="11"/>
  <c r="AS69" i="2"/>
  <c r="G69" i="20"/>
  <c r="V215" i="11"/>
  <c r="Y219" i="11"/>
  <c r="X39" i="11"/>
  <c r="V220" i="11"/>
  <c r="U41" i="11"/>
  <c r="X218" i="11"/>
  <c r="W37" i="11"/>
  <c r="Y225" i="10"/>
  <c r="X51" i="10"/>
  <c r="Y218" i="10"/>
  <c r="X37" i="10"/>
  <c r="Z229" i="22"/>
  <c r="Y59" i="22"/>
  <c r="Y218" i="22"/>
  <c r="Y220" i="22"/>
  <c r="X41" i="22"/>
  <c r="Y227" i="22"/>
  <c r="X55" i="22"/>
  <c r="W228" i="8"/>
  <c r="V57" i="8"/>
  <c r="Y227" i="8"/>
  <c r="X55" i="8"/>
  <c r="AA215" i="8"/>
  <c r="Z31" i="8"/>
  <c r="Z220" i="8"/>
  <c r="Y41" i="8"/>
  <c r="Z226" i="8"/>
  <c r="Y53" i="8"/>
  <c r="Z224" i="8"/>
  <c r="Y49" i="8"/>
  <c r="Z216" i="8"/>
  <c r="Y33" i="8"/>
  <c r="Z227" i="7"/>
  <c r="Y55" i="7"/>
  <c r="Z226" i="7"/>
  <c r="Y53" i="7"/>
  <c r="Z225" i="7"/>
  <c r="Y51" i="7"/>
  <c r="W222" i="7"/>
  <c r="V45" i="7"/>
  <c r="X223" i="7"/>
  <c r="W47" i="7"/>
  <c r="S216" i="7"/>
  <c r="R33" i="7"/>
  <c r="Z231" i="6"/>
  <c r="Y57" i="6"/>
  <c r="Z230" i="6"/>
  <c r="Y55" i="6"/>
  <c r="Z229" i="6"/>
  <c r="Y53" i="6"/>
  <c r="Z228" i="6"/>
  <c r="Y51" i="6"/>
  <c r="Z227" i="6"/>
  <c r="Y49" i="6"/>
  <c r="X225" i="6"/>
  <c r="W45" i="6"/>
  <c r="Y230" i="9"/>
  <c r="X61" i="9"/>
  <c r="Z229" i="9"/>
  <c r="Y59" i="9"/>
  <c r="V216" i="9"/>
  <c r="U33" i="9"/>
  <c r="Y218" i="9"/>
  <c r="X37" i="9"/>
  <c r="Y220" i="9"/>
  <c r="X41" i="9"/>
  <c r="X241" i="1"/>
  <c r="W69" i="1"/>
  <c r="Z238" i="1"/>
  <c r="Y63" i="1"/>
  <c r="X231" i="1"/>
  <c r="W49" i="1"/>
  <c r="Z230" i="1"/>
  <c r="Y47" i="1"/>
  <c r="Z234" i="1"/>
  <c r="Y55" i="1"/>
  <c r="X229" i="1"/>
  <c r="W45" i="1"/>
  <c r="X227" i="1"/>
  <c r="W41" i="1"/>
  <c r="X225" i="1"/>
  <c r="W37" i="1"/>
  <c r="Z226" i="1"/>
  <c r="Y39" i="1"/>
  <c r="Y224" i="7"/>
  <c r="X49" i="7"/>
  <c r="J66" i="20"/>
  <c r="BT67" i="2"/>
  <c r="I72" i="20"/>
  <c r="BK73" i="2"/>
  <c r="CL74" i="2"/>
  <c r="L73" i="20"/>
  <c r="CC56" i="2"/>
  <c r="K55" i="20"/>
  <c r="E111" i="40"/>
  <c r="F332" i="40"/>
  <c r="E103" i="40"/>
  <c r="F328" i="40"/>
  <c r="E93" i="40"/>
  <c r="F323" i="40"/>
  <c r="E109" i="40"/>
  <c r="F331" i="40"/>
  <c r="E101" i="40"/>
  <c r="F327" i="40"/>
  <c r="F95" i="40"/>
  <c r="G324" i="40"/>
  <c r="F91" i="40"/>
  <c r="H321" i="40"/>
  <c r="G89" i="40"/>
  <c r="I322" i="40"/>
  <c r="H310" i="40"/>
  <c r="G67" i="40"/>
  <c r="H317" i="40"/>
  <c r="G81" i="40"/>
  <c r="H319" i="40"/>
  <c r="G85" i="40"/>
  <c r="I318" i="40"/>
  <c r="H83" i="40"/>
  <c r="G313" i="40"/>
  <c r="F73" i="40"/>
  <c r="I314" i="40"/>
  <c r="H75" i="40"/>
  <c r="I299" i="40"/>
  <c r="H45" i="40"/>
  <c r="H307" i="40"/>
  <c r="G61" i="40"/>
  <c r="H315" i="40"/>
  <c r="G77" i="40"/>
  <c r="I312" i="40"/>
  <c r="H71" i="40"/>
  <c r="I303" i="40"/>
  <c r="H53" i="40"/>
  <c r="I301" i="40"/>
  <c r="H49" i="40"/>
  <c r="I308" i="40"/>
  <c r="H63" i="40"/>
  <c r="I305" i="40"/>
  <c r="H57" i="40"/>
  <c r="I298" i="40"/>
  <c r="H43" i="40"/>
  <c r="I306" i="40"/>
  <c r="H59" i="40"/>
  <c r="H302" i="40"/>
  <c r="G51" i="40"/>
  <c r="G309" i="40"/>
  <c r="F65" i="40"/>
  <c r="I304" i="40"/>
  <c r="H55" i="40"/>
  <c r="I320" i="40"/>
  <c r="H87" i="40"/>
  <c r="I316" i="40"/>
  <c r="H79" i="40"/>
  <c r="H297" i="40"/>
  <c r="G41" i="40"/>
  <c r="G311" i="40"/>
  <c r="F69" i="40"/>
  <c r="I300" i="40"/>
  <c r="H47" i="40"/>
  <c r="V63" i="9"/>
  <c r="W231" i="9"/>
  <c r="N63" i="8"/>
  <c r="O231" i="8"/>
  <c r="N239" i="9"/>
  <c r="M79" i="9"/>
  <c r="N71" i="22"/>
  <c r="O235" i="22"/>
  <c r="N63" i="22"/>
  <c r="O231" i="22"/>
  <c r="I59" i="8"/>
  <c r="J229" i="8"/>
  <c r="T229" i="7"/>
  <c r="S59" i="7"/>
  <c r="V79" i="8"/>
  <c r="W239" i="8"/>
  <c r="U51" i="11"/>
  <c r="V225" i="11"/>
  <c r="L73" i="22"/>
  <c r="M236" i="22"/>
  <c r="Q47" i="11"/>
  <c r="R223" i="11"/>
  <c r="H235" i="10"/>
  <c r="G71" i="10"/>
  <c r="W238" i="22"/>
  <c r="V77" i="22"/>
  <c r="V238" i="10"/>
  <c r="U77" i="10"/>
  <c r="M239" i="22"/>
  <c r="L79" i="22"/>
  <c r="M232" i="9"/>
  <c r="L65" i="9"/>
  <c r="W234" i="10"/>
  <c r="V69" i="10"/>
  <c r="V71" i="8"/>
  <c r="W235" i="8"/>
  <c r="G237" i="11"/>
  <c r="F75" i="11"/>
  <c r="EX147" i="10"/>
  <c r="V61" i="10"/>
  <c r="W230" i="10"/>
  <c r="U77" i="11"/>
  <c r="V238" i="11"/>
  <c r="Q61" i="7"/>
  <c r="R230" i="7"/>
  <c r="P239" i="7"/>
  <c r="O79" i="7"/>
  <c r="U77" i="7"/>
  <c r="V238" i="7"/>
  <c r="EZ144" i="10"/>
  <c r="FA54" i="10"/>
  <c r="U228" i="11"/>
  <c r="T57" i="11"/>
  <c r="L67" i="10"/>
  <c r="M233" i="10"/>
  <c r="X233" i="7"/>
  <c r="W67" i="7"/>
  <c r="J63" i="10"/>
  <c r="K231" i="10"/>
  <c r="X57" i="22"/>
  <c r="Y228" i="22"/>
  <c r="W47" i="6"/>
  <c r="X226" i="6"/>
  <c r="EY146" i="10"/>
  <c r="EY145" i="10"/>
  <c r="S239" i="11"/>
  <c r="R79" i="11"/>
  <c r="R88" i="2"/>
  <c r="D88" i="20"/>
  <c r="Y226" i="10"/>
  <c r="X53" i="10"/>
  <c r="X216" i="10"/>
  <c r="W33" i="10"/>
  <c r="W39" i="10"/>
  <c r="X219" i="10"/>
  <c r="X217" i="10"/>
  <c r="W35" i="10"/>
  <c r="X224" i="10"/>
  <c r="W49" i="10"/>
  <c r="W222" i="10"/>
  <c r="V45" i="10"/>
  <c r="X220" i="10"/>
  <c r="W41" i="10"/>
  <c r="X221" i="10"/>
  <c r="W43" i="10"/>
  <c r="X31" i="10"/>
  <c r="Y215" i="10"/>
  <c r="W47" i="10"/>
  <c r="X223" i="10"/>
  <c r="X221" i="22"/>
  <c r="W43" i="22"/>
  <c r="X226" i="22"/>
  <c r="W53" i="22"/>
  <c r="W223" i="22"/>
  <c r="V47" i="22"/>
  <c r="X51" i="22"/>
  <c r="Y225" i="22"/>
  <c r="W51" i="8"/>
  <c r="X225" i="8"/>
  <c r="Y223" i="8"/>
  <c r="X47" i="8"/>
  <c r="X33" i="22"/>
  <c r="Y216" i="22"/>
  <c r="O73" i="8"/>
  <c r="P236" i="8"/>
  <c r="C77" i="8"/>
  <c r="C238" i="8"/>
  <c r="D238" i="8"/>
  <c r="T73" i="9"/>
  <c r="U236" i="9"/>
  <c r="E61" i="8"/>
  <c r="F230" i="8"/>
  <c r="C73" i="11"/>
  <c r="C236" i="11"/>
  <c r="D236" i="11"/>
  <c r="T77" i="9"/>
  <c r="U238" i="9"/>
  <c r="I60" i="2"/>
  <c r="C60" i="20"/>
  <c r="W221" i="8"/>
  <c r="V43" i="8"/>
  <c r="T217" i="8"/>
  <c r="S35" i="8"/>
  <c r="W45" i="8"/>
  <c r="X222" i="8"/>
  <c r="X216" i="11"/>
  <c r="W33" i="11"/>
  <c r="M63" i="7"/>
  <c r="N231" i="7"/>
  <c r="X215" i="9"/>
  <c r="W31" i="9"/>
  <c r="X53" i="9"/>
  <c r="Y226" i="9"/>
  <c r="W222" i="1"/>
  <c r="V31" i="1"/>
  <c r="X59" i="1"/>
  <c r="Y236" i="1"/>
  <c r="Y239" i="1"/>
  <c r="X65" i="1"/>
  <c r="W53" i="1"/>
  <c r="X233" i="1"/>
  <c r="Y224" i="1"/>
  <c r="X35" i="1"/>
  <c r="V33" i="1"/>
  <c r="W223" i="1"/>
  <c r="X232" i="1"/>
  <c r="W51" i="1"/>
  <c r="AJ79" i="2"/>
  <c r="F79" i="20"/>
  <c r="BB68" i="2"/>
  <c r="H68" i="20"/>
  <c r="W222" i="22"/>
  <c r="V45" i="22"/>
  <c r="V31" i="6"/>
  <c r="W218" i="6"/>
  <c r="X214" i="6"/>
  <c r="W23" i="6"/>
  <c r="X216" i="6"/>
  <c r="W27" i="6"/>
  <c r="X219" i="6"/>
  <c r="W33" i="6"/>
  <c r="X217" i="6"/>
  <c r="X215" i="6"/>
  <c r="W25" i="6"/>
  <c r="X223" i="6"/>
  <c r="W41" i="6"/>
  <c r="X221" i="6"/>
  <c r="W37" i="6"/>
  <c r="W224" i="6"/>
  <c r="V43" i="6"/>
  <c r="X220" i="6"/>
  <c r="W35" i="6"/>
  <c r="Y228" i="1"/>
  <c r="X43" i="1"/>
  <c r="S83" i="1"/>
  <c r="T248" i="1"/>
  <c r="T81" i="1"/>
  <c r="U247" i="1"/>
  <c r="W218" i="8"/>
  <c r="V37" i="8"/>
  <c r="S39" i="8"/>
  <c r="T219" i="8"/>
  <c r="U222" i="11"/>
  <c r="T45" i="11"/>
  <c r="AA79" i="2"/>
  <c r="E79" i="20"/>
  <c r="W219" i="22"/>
  <c r="V39" i="22"/>
  <c r="X224" i="22"/>
  <c r="W49" i="22"/>
  <c r="X217" i="22"/>
  <c r="W35" i="22"/>
  <c r="U220" i="7"/>
  <c r="T41" i="7"/>
  <c r="X221" i="7"/>
  <c r="W43" i="7"/>
  <c r="W218" i="7"/>
  <c r="V37" i="7"/>
  <c r="X217" i="7"/>
  <c r="W35" i="7"/>
  <c r="W215" i="7"/>
  <c r="V31" i="7"/>
  <c r="W219" i="7"/>
  <c r="V39" i="7"/>
  <c r="U222" i="6"/>
  <c r="T39" i="6"/>
  <c r="Z221" i="9"/>
  <c r="Y43" i="9"/>
  <c r="U219" i="9"/>
  <c r="T39" i="9"/>
  <c r="Y223" i="9"/>
  <c r="X47" i="9"/>
  <c r="T227" i="9"/>
  <c r="S55" i="9"/>
  <c r="X217" i="9"/>
  <c r="W35" i="9"/>
  <c r="V51" i="9"/>
  <c r="W225" i="9"/>
  <c r="U57" i="9"/>
  <c r="V228" i="9"/>
  <c r="W45" i="9"/>
  <c r="X222" i="9"/>
  <c r="W49" i="9"/>
  <c r="X224" i="9"/>
  <c r="Y246" i="1"/>
  <c r="X79" i="1"/>
  <c r="V67" i="1"/>
  <c r="W240" i="1"/>
  <c r="V245" i="1"/>
  <c r="U77" i="1"/>
  <c r="W71" i="1"/>
  <c r="X242" i="1"/>
  <c r="X244" i="1"/>
  <c r="W75" i="1"/>
  <c r="V61" i="1"/>
  <c r="W237" i="1"/>
  <c r="R235" i="1"/>
  <c r="Q57" i="1"/>
  <c r="U73" i="1"/>
  <c r="V243" i="1"/>
  <c r="S221" i="11"/>
  <c r="R43" i="11"/>
  <c r="AS70" i="2"/>
  <c r="G70" i="20"/>
  <c r="U220" i="11"/>
  <c r="T41" i="11"/>
  <c r="U215" i="11"/>
  <c r="W218" i="11"/>
  <c r="V37" i="11"/>
  <c r="X219" i="11"/>
  <c r="W39" i="11"/>
  <c r="X225" i="10"/>
  <c r="W51" i="10"/>
  <c r="X218" i="10"/>
  <c r="W37" i="10"/>
  <c r="Y229" i="22"/>
  <c r="X59" i="22"/>
  <c r="X220" i="22"/>
  <c r="W41" i="22"/>
  <c r="X227" i="22"/>
  <c r="W55" i="22"/>
  <c r="X218" i="22"/>
  <c r="V228" i="8"/>
  <c r="U57" i="8"/>
  <c r="X227" i="8"/>
  <c r="W55" i="8"/>
  <c r="Y216" i="8"/>
  <c r="X33" i="8"/>
  <c r="Y226" i="8"/>
  <c r="X53" i="8"/>
  <c r="Z215" i="8"/>
  <c r="Y31" i="8"/>
  <c r="Y224" i="8"/>
  <c r="X49" i="8"/>
  <c r="Y220" i="8"/>
  <c r="X41" i="8"/>
  <c r="Y227" i="7"/>
  <c r="X55" i="7"/>
  <c r="Y226" i="7"/>
  <c r="X53" i="7"/>
  <c r="Y225" i="7"/>
  <c r="X51" i="7"/>
  <c r="W223" i="7"/>
  <c r="V47" i="7"/>
  <c r="R216" i="7"/>
  <c r="Q33" i="7"/>
  <c r="V222" i="7"/>
  <c r="U45" i="7"/>
  <c r="Y231" i="6"/>
  <c r="X57" i="6"/>
  <c r="Y230" i="6"/>
  <c r="X55" i="6"/>
  <c r="Y229" i="6"/>
  <c r="X53" i="6"/>
  <c r="Y228" i="6"/>
  <c r="X51" i="6"/>
  <c r="Y227" i="6"/>
  <c r="X49" i="6"/>
  <c r="W225" i="6"/>
  <c r="V45" i="6"/>
  <c r="X230" i="9"/>
  <c r="W61" i="9"/>
  <c r="Y229" i="9"/>
  <c r="X59" i="9"/>
  <c r="X220" i="9"/>
  <c r="W41" i="9"/>
  <c r="X218" i="9"/>
  <c r="W37" i="9"/>
  <c r="U216" i="9"/>
  <c r="T33" i="9"/>
  <c r="W241" i="1"/>
  <c r="V69" i="1"/>
  <c r="Y238" i="1"/>
  <c r="X63" i="1"/>
  <c r="Y234" i="1"/>
  <c r="X55" i="1"/>
  <c r="W231" i="1"/>
  <c r="V49" i="1"/>
  <c r="Y230" i="1"/>
  <c r="X47" i="1"/>
  <c r="W229" i="1"/>
  <c r="V45" i="1"/>
  <c r="W225" i="1"/>
  <c r="V37" i="1"/>
  <c r="W227" i="1"/>
  <c r="V41" i="1"/>
  <c r="Y226" i="1"/>
  <c r="X39" i="1"/>
  <c r="X224" i="7"/>
  <c r="W49" i="7"/>
  <c r="J67" i="20"/>
  <c r="BT68" i="2"/>
  <c r="I73" i="20"/>
  <c r="BK74" i="2"/>
  <c r="CL75" i="2"/>
  <c r="L74" i="20"/>
  <c r="CC57" i="2"/>
  <c r="K56" i="20"/>
  <c r="EY147" i="10"/>
  <c r="E95" i="40"/>
  <c r="F324" i="40"/>
  <c r="D109" i="40"/>
  <c r="E331" i="40"/>
  <c r="D103" i="40"/>
  <c r="E328" i="40"/>
  <c r="D101" i="40"/>
  <c r="E327" i="40"/>
  <c r="D93" i="40"/>
  <c r="E323" i="40"/>
  <c r="D111" i="40"/>
  <c r="E332" i="40"/>
  <c r="E91" i="40"/>
  <c r="F311" i="40"/>
  <c r="E69" i="40"/>
  <c r="G302" i="40"/>
  <c r="F51" i="40"/>
  <c r="H308" i="40"/>
  <c r="G63" i="40"/>
  <c r="G315" i="40"/>
  <c r="F77" i="40"/>
  <c r="F313" i="40"/>
  <c r="E73" i="40"/>
  <c r="G310" i="40"/>
  <c r="F67" i="40"/>
  <c r="H300" i="40"/>
  <c r="G47" i="40"/>
  <c r="G297" i="40"/>
  <c r="F41" i="40"/>
  <c r="H320" i="40"/>
  <c r="G87" i="40"/>
  <c r="F309" i="40"/>
  <c r="E65" i="40"/>
  <c r="H306" i="40"/>
  <c r="G59" i="40"/>
  <c r="H305" i="40"/>
  <c r="G57" i="40"/>
  <c r="H301" i="40"/>
  <c r="G49" i="40"/>
  <c r="H312" i="40"/>
  <c r="G71" i="40"/>
  <c r="G307" i="40"/>
  <c r="F61" i="40"/>
  <c r="H314" i="40"/>
  <c r="G75" i="40"/>
  <c r="H318" i="40"/>
  <c r="G83" i="40"/>
  <c r="G317" i="40"/>
  <c r="F81" i="40"/>
  <c r="H322" i="40"/>
  <c r="H316" i="40"/>
  <c r="G79" i="40"/>
  <c r="G319" i="40"/>
  <c r="F85" i="40"/>
  <c r="H304" i="40"/>
  <c r="G55" i="40"/>
  <c r="H298" i="40"/>
  <c r="G43" i="40"/>
  <c r="H303" i="40"/>
  <c r="G53" i="40"/>
  <c r="H299" i="40"/>
  <c r="G45" i="40"/>
  <c r="G321" i="40"/>
  <c r="F89" i="40"/>
  <c r="E89" i="40"/>
  <c r="D89" i="40"/>
  <c r="C89" i="40"/>
  <c r="Q79" i="11"/>
  <c r="R239" i="11"/>
  <c r="FB54" i="10"/>
  <c r="FA144" i="10"/>
  <c r="V235" i="8"/>
  <c r="U71" i="8"/>
  <c r="H59" i="8"/>
  <c r="I229" i="8"/>
  <c r="W57" i="22"/>
  <c r="X228" i="22"/>
  <c r="T77" i="7"/>
  <c r="U238" i="7"/>
  <c r="P61" i="7"/>
  <c r="Q230" i="7"/>
  <c r="V230" i="10"/>
  <c r="U61" i="10"/>
  <c r="L232" i="9"/>
  <c r="K65" i="9"/>
  <c r="T77" i="10"/>
  <c r="U238" i="10"/>
  <c r="F71" i="10"/>
  <c r="G235" i="10"/>
  <c r="O239" i="7"/>
  <c r="N79" i="7"/>
  <c r="K73" i="22"/>
  <c r="L236" i="22"/>
  <c r="U79" i="8"/>
  <c r="V239" i="8"/>
  <c r="M63" i="8"/>
  <c r="N231" i="8"/>
  <c r="V47" i="6"/>
  <c r="W226" i="6"/>
  <c r="I63" i="10"/>
  <c r="J231" i="10"/>
  <c r="K67" i="10"/>
  <c r="L233" i="10"/>
  <c r="EZ145" i="10"/>
  <c r="EZ146" i="10"/>
  <c r="T77" i="11"/>
  <c r="U238" i="11"/>
  <c r="E75" i="11"/>
  <c r="F237" i="11"/>
  <c r="U69" i="10"/>
  <c r="V234" i="10"/>
  <c r="K79" i="22"/>
  <c r="L239" i="22"/>
  <c r="U77" i="22"/>
  <c r="V238" i="22"/>
  <c r="R59" i="7"/>
  <c r="S229" i="7"/>
  <c r="L79" i="9"/>
  <c r="M239" i="9"/>
  <c r="M71" i="22"/>
  <c r="N235" i="22"/>
  <c r="V67" i="7"/>
  <c r="W233" i="7"/>
  <c r="T228" i="11"/>
  <c r="S57" i="11"/>
  <c r="P47" i="11"/>
  <c r="Q223" i="11"/>
  <c r="T51" i="11"/>
  <c r="U225" i="11"/>
  <c r="N231" i="22"/>
  <c r="M63" i="22"/>
  <c r="U63" i="9"/>
  <c r="V231" i="9"/>
  <c r="R89" i="2"/>
  <c r="D89" i="20"/>
  <c r="W221" i="10"/>
  <c r="V43" i="10"/>
  <c r="V222" i="10"/>
  <c r="U45" i="10"/>
  <c r="W217" i="10"/>
  <c r="V35" i="10"/>
  <c r="V33" i="10"/>
  <c r="W216" i="10"/>
  <c r="W223" i="10"/>
  <c r="V47" i="10"/>
  <c r="W220" i="10"/>
  <c r="V41" i="10"/>
  <c r="W224" i="10"/>
  <c r="V49" i="10"/>
  <c r="X226" i="10"/>
  <c r="W53" i="10"/>
  <c r="W31" i="10"/>
  <c r="X215" i="10"/>
  <c r="W219" i="10"/>
  <c r="V39" i="10"/>
  <c r="V53" i="22"/>
  <c r="W226" i="22"/>
  <c r="V223" i="22"/>
  <c r="U47" i="22"/>
  <c r="W221" i="22"/>
  <c r="V43" i="22"/>
  <c r="W51" i="22"/>
  <c r="X225" i="22"/>
  <c r="X223" i="8"/>
  <c r="W47" i="8"/>
  <c r="V51" i="8"/>
  <c r="W225" i="8"/>
  <c r="D61" i="8"/>
  <c r="E230" i="8"/>
  <c r="S73" i="9"/>
  <c r="T236" i="9"/>
  <c r="S77" i="9"/>
  <c r="T238" i="9"/>
  <c r="N73" i="8"/>
  <c r="O236" i="8"/>
  <c r="X216" i="22"/>
  <c r="W33" i="22"/>
  <c r="I61" i="2"/>
  <c r="C61" i="20"/>
  <c r="V45" i="8"/>
  <c r="W222" i="8"/>
  <c r="R35" i="8"/>
  <c r="S217" i="8"/>
  <c r="V221" i="8"/>
  <c r="U43" i="8"/>
  <c r="W216" i="11"/>
  <c r="V33" i="11"/>
  <c r="L63" i="7"/>
  <c r="M231" i="7"/>
  <c r="W215" i="9"/>
  <c r="V31" i="9"/>
  <c r="W53" i="9"/>
  <c r="X226" i="9"/>
  <c r="V222" i="1"/>
  <c r="U31" i="1"/>
  <c r="U33" i="1"/>
  <c r="V223" i="1"/>
  <c r="V53" i="1"/>
  <c r="W233" i="1"/>
  <c r="W59" i="1"/>
  <c r="X236" i="1"/>
  <c r="W35" i="1"/>
  <c r="X224" i="1"/>
  <c r="W65" i="1"/>
  <c r="X239" i="1"/>
  <c r="W232" i="1"/>
  <c r="V51" i="1"/>
  <c r="AJ80" i="2"/>
  <c r="F80" i="20"/>
  <c r="BB69" i="2"/>
  <c r="H69" i="20"/>
  <c r="V222" i="22"/>
  <c r="U45" i="22"/>
  <c r="W220" i="6"/>
  <c r="V35" i="6"/>
  <c r="V224" i="6"/>
  <c r="U43" i="6"/>
  <c r="W221" i="6"/>
  <c r="V37" i="6"/>
  <c r="W223" i="6"/>
  <c r="V41" i="6"/>
  <c r="W215" i="6"/>
  <c r="V25" i="6"/>
  <c r="W217" i="6"/>
  <c r="W219" i="6"/>
  <c r="V33" i="6"/>
  <c r="W216" i="6"/>
  <c r="V27" i="6"/>
  <c r="W214" i="6"/>
  <c r="V23" i="6"/>
  <c r="U31" i="6"/>
  <c r="V218" i="6"/>
  <c r="X228" i="1"/>
  <c r="W43" i="1"/>
  <c r="S81" i="1"/>
  <c r="T247" i="1"/>
  <c r="R83" i="1"/>
  <c r="S248" i="1"/>
  <c r="R39" i="8"/>
  <c r="S219" i="8"/>
  <c r="V218" i="8"/>
  <c r="U37" i="8"/>
  <c r="S45" i="11"/>
  <c r="T222" i="11"/>
  <c r="AA80" i="2"/>
  <c r="E80" i="20"/>
  <c r="W224" i="22"/>
  <c r="V49" i="22"/>
  <c r="W217" i="22"/>
  <c r="V35" i="22"/>
  <c r="V219" i="22"/>
  <c r="U39" i="22"/>
  <c r="V35" i="7"/>
  <c r="W217" i="7"/>
  <c r="W221" i="7"/>
  <c r="V43" i="7"/>
  <c r="V219" i="7"/>
  <c r="U39" i="7"/>
  <c r="V215" i="7"/>
  <c r="U31" i="7"/>
  <c r="V218" i="7"/>
  <c r="U37" i="7"/>
  <c r="T220" i="7"/>
  <c r="S41" i="7"/>
  <c r="T222" i="6"/>
  <c r="S39" i="6"/>
  <c r="S227" i="9"/>
  <c r="R55" i="9"/>
  <c r="S39" i="9"/>
  <c r="T219" i="9"/>
  <c r="W217" i="9"/>
  <c r="V35" i="9"/>
  <c r="W47" i="9"/>
  <c r="X223" i="9"/>
  <c r="X43" i="9"/>
  <c r="Y221" i="9"/>
  <c r="U51" i="9"/>
  <c r="V225" i="9"/>
  <c r="T57" i="9"/>
  <c r="U228" i="9"/>
  <c r="V49" i="9"/>
  <c r="W224" i="9"/>
  <c r="W222" i="9"/>
  <c r="V45" i="9"/>
  <c r="W244" i="1"/>
  <c r="V75" i="1"/>
  <c r="T77" i="1"/>
  <c r="U245" i="1"/>
  <c r="T73" i="1"/>
  <c r="U243" i="1"/>
  <c r="U61" i="1"/>
  <c r="V237" i="1"/>
  <c r="Q235" i="1"/>
  <c r="P57" i="1"/>
  <c r="X246" i="1"/>
  <c r="W79" i="1"/>
  <c r="W242" i="1"/>
  <c r="V71" i="1"/>
  <c r="V240" i="1"/>
  <c r="U67" i="1"/>
  <c r="R221" i="11"/>
  <c r="Q43" i="11"/>
  <c r="AS71" i="2"/>
  <c r="G71" i="20"/>
  <c r="V218" i="11"/>
  <c r="U37" i="11"/>
  <c r="T220" i="11"/>
  <c r="S41" i="11"/>
  <c r="W219" i="11"/>
  <c r="V39" i="11"/>
  <c r="T215" i="11"/>
  <c r="W225" i="10"/>
  <c r="V51" i="10"/>
  <c r="W218" i="10"/>
  <c r="V37" i="10"/>
  <c r="X229" i="22"/>
  <c r="W59" i="22"/>
  <c r="W218" i="22"/>
  <c r="W227" i="22"/>
  <c r="V55" i="22"/>
  <c r="W220" i="22"/>
  <c r="V41" i="22"/>
  <c r="U228" i="8"/>
  <c r="T57" i="8"/>
  <c r="W227" i="8"/>
  <c r="V55" i="8"/>
  <c r="X220" i="8"/>
  <c r="W41" i="8"/>
  <c r="X224" i="8"/>
  <c r="W49" i="8"/>
  <c r="Y215" i="8"/>
  <c r="X31" i="8"/>
  <c r="X226" i="8"/>
  <c r="W53" i="8"/>
  <c r="X216" i="8"/>
  <c r="W33" i="8"/>
  <c r="X227" i="7"/>
  <c r="W55" i="7"/>
  <c r="X226" i="7"/>
  <c r="W53" i="7"/>
  <c r="X225" i="7"/>
  <c r="W51" i="7"/>
  <c r="U222" i="7"/>
  <c r="T45" i="7"/>
  <c r="V223" i="7"/>
  <c r="U47" i="7"/>
  <c r="Q216" i="7"/>
  <c r="P33" i="7"/>
  <c r="X231" i="6"/>
  <c r="W57" i="6"/>
  <c r="X230" i="6"/>
  <c r="W55" i="6"/>
  <c r="X229" i="6"/>
  <c r="W53" i="6"/>
  <c r="X228" i="6"/>
  <c r="W51" i="6"/>
  <c r="X227" i="6"/>
  <c r="W49" i="6"/>
  <c r="V225" i="6"/>
  <c r="U45" i="6"/>
  <c r="W230" i="9"/>
  <c r="V61" i="9"/>
  <c r="X229" i="9"/>
  <c r="W59" i="9"/>
  <c r="T216" i="9"/>
  <c r="S33" i="9"/>
  <c r="W220" i="9"/>
  <c r="V41" i="9"/>
  <c r="W218" i="9"/>
  <c r="V37" i="9"/>
  <c r="V241" i="1"/>
  <c r="U69" i="1"/>
  <c r="X238" i="1"/>
  <c r="W63" i="1"/>
  <c r="X230" i="1"/>
  <c r="W47" i="1"/>
  <c r="V231" i="1"/>
  <c r="U49" i="1"/>
  <c r="X234" i="1"/>
  <c r="W55" i="1"/>
  <c r="V229" i="1"/>
  <c r="U45" i="1"/>
  <c r="X226" i="1"/>
  <c r="W39" i="1"/>
  <c r="V225" i="1"/>
  <c r="U37" i="1"/>
  <c r="V227" i="1"/>
  <c r="U41" i="1"/>
  <c r="V49" i="7"/>
  <c r="W224" i="7"/>
  <c r="J68" i="20"/>
  <c r="BT69" i="2"/>
  <c r="I74" i="20"/>
  <c r="BK75" i="2"/>
  <c r="CL76" i="2"/>
  <c r="L75" i="20"/>
  <c r="CC58" i="2"/>
  <c r="K57" i="20"/>
  <c r="C111" i="40"/>
  <c r="C332" i="40"/>
  <c r="D332" i="40"/>
  <c r="C101" i="40"/>
  <c r="C327" i="40"/>
  <c r="D327" i="40"/>
  <c r="C109" i="40"/>
  <c r="C331" i="40"/>
  <c r="D331" i="40"/>
  <c r="C93" i="40"/>
  <c r="C323" i="40"/>
  <c r="D323" i="40"/>
  <c r="C103" i="40"/>
  <c r="C328" i="40"/>
  <c r="D328" i="40"/>
  <c r="D95" i="40"/>
  <c r="E324" i="40"/>
  <c r="D91" i="40"/>
  <c r="C91" i="40"/>
  <c r="F321" i="40"/>
  <c r="G303" i="40"/>
  <c r="F53" i="40"/>
  <c r="G304" i="40"/>
  <c r="F55" i="40"/>
  <c r="G316" i="40"/>
  <c r="F79" i="40"/>
  <c r="F317" i="40"/>
  <c r="E81" i="40"/>
  <c r="G314" i="40"/>
  <c r="F75" i="40"/>
  <c r="G312" i="40"/>
  <c r="F71" i="40"/>
  <c r="G305" i="40"/>
  <c r="F57" i="40"/>
  <c r="E309" i="40"/>
  <c r="D65" i="40"/>
  <c r="F297" i="40"/>
  <c r="E41" i="40"/>
  <c r="F310" i="40"/>
  <c r="E67" i="40"/>
  <c r="F315" i="40"/>
  <c r="E77" i="40"/>
  <c r="F302" i="40"/>
  <c r="E51" i="40"/>
  <c r="G299" i="40"/>
  <c r="F45" i="40"/>
  <c r="G298" i="40"/>
  <c r="F43" i="40"/>
  <c r="F319" i="40"/>
  <c r="E85" i="40"/>
  <c r="G322" i="40"/>
  <c r="G318" i="40"/>
  <c r="F83" i="40"/>
  <c r="F307" i="40"/>
  <c r="E61" i="40"/>
  <c r="G301" i="40"/>
  <c r="F49" i="40"/>
  <c r="G306" i="40"/>
  <c r="F59" i="40"/>
  <c r="G320" i="40"/>
  <c r="F87" i="40"/>
  <c r="G300" i="40"/>
  <c r="F47" i="40"/>
  <c r="E313" i="40"/>
  <c r="D73" i="40"/>
  <c r="G308" i="40"/>
  <c r="F63" i="40"/>
  <c r="E311" i="40"/>
  <c r="D69" i="40"/>
  <c r="O47" i="11"/>
  <c r="P223" i="11"/>
  <c r="T69" i="10"/>
  <c r="U234" i="10"/>
  <c r="S77" i="7"/>
  <c r="T238" i="7"/>
  <c r="M231" i="22"/>
  <c r="L63" i="22"/>
  <c r="N239" i="7"/>
  <c r="M79" i="7"/>
  <c r="U230" i="10"/>
  <c r="T61" i="10"/>
  <c r="FA146" i="10"/>
  <c r="FA145" i="10"/>
  <c r="U67" i="7"/>
  <c r="V233" i="7"/>
  <c r="U238" i="22"/>
  <c r="T77" i="22"/>
  <c r="J67" i="10"/>
  <c r="K233" i="10"/>
  <c r="T79" i="8"/>
  <c r="U239" i="8"/>
  <c r="H229" i="8"/>
  <c r="G59" i="8"/>
  <c r="R57" i="11"/>
  <c r="S228" i="11"/>
  <c r="EZ147" i="10"/>
  <c r="J65" i="9"/>
  <c r="K232" i="9"/>
  <c r="T71" i="8"/>
  <c r="U235" i="8"/>
  <c r="K79" i="9"/>
  <c r="L239" i="9"/>
  <c r="S77" i="11"/>
  <c r="T238" i="11"/>
  <c r="V226" i="6"/>
  <c r="U47" i="6"/>
  <c r="T238" i="10"/>
  <c r="S77" i="10"/>
  <c r="FC54" i="10"/>
  <c r="FB144" i="10"/>
  <c r="T63" i="9"/>
  <c r="U231" i="9"/>
  <c r="S51" i="11"/>
  <c r="T225" i="11"/>
  <c r="M235" i="22"/>
  <c r="L71" i="22"/>
  <c r="Q59" i="7"/>
  <c r="R229" i="7"/>
  <c r="K239" i="22"/>
  <c r="J79" i="22"/>
  <c r="D75" i="11"/>
  <c r="E237" i="11"/>
  <c r="I231" i="10"/>
  <c r="H63" i="10"/>
  <c r="L63" i="8"/>
  <c r="M231" i="8"/>
  <c r="J73" i="22"/>
  <c r="K236" i="22"/>
  <c r="E71" i="10"/>
  <c r="F235" i="10"/>
  <c r="P230" i="7"/>
  <c r="O61" i="7"/>
  <c r="V57" i="22"/>
  <c r="W228" i="22"/>
  <c r="P79" i="11"/>
  <c r="Q239" i="11"/>
  <c r="R90" i="2"/>
  <c r="D90" i="20"/>
  <c r="U33" i="10"/>
  <c r="V216" i="10"/>
  <c r="W226" i="10"/>
  <c r="V53" i="10"/>
  <c r="U222" i="10"/>
  <c r="T45" i="10"/>
  <c r="V224" i="10"/>
  <c r="U49" i="10"/>
  <c r="U47" i="10"/>
  <c r="V223" i="10"/>
  <c r="V217" i="10"/>
  <c r="U35" i="10"/>
  <c r="U43" i="10"/>
  <c r="V221" i="10"/>
  <c r="V219" i="10"/>
  <c r="U39" i="10"/>
  <c r="U41" i="10"/>
  <c r="V220" i="10"/>
  <c r="V31" i="10"/>
  <c r="W215" i="10"/>
  <c r="U43" i="22"/>
  <c r="V221" i="22"/>
  <c r="V226" i="22"/>
  <c r="U53" i="22"/>
  <c r="U223" i="22"/>
  <c r="T47" i="22"/>
  <c r="V51" i="22"/>
  <c r="W225" i="22"/>
  <c r="V225" i="8"/>
  <c r="U51" i="8"/>
  <c r="V47" i="8"/>
  <c r="W223" i="8"/>
  <c r="W216" i="22"/>
  <c r="V33" i="22"/>
  <c r="R77" i="9"/>
  <c r="S238" i="9"/>
  <c r="R73" i="9"/>
  <c r="S236" i="9"/>
  <c r="C61" i="8"/>
  <c r="C230" i="8"/>
  <c r="D230" i="8"/>
  <c r="M73" i="8"/>
  <c r="N236" i="8"/>
  <c r="I62" i="2"/>
  <c r="C62" i="20"/>
  <c r="R217" i="8"/>
  <c r="Q35" i="8"/>
  <c r="U45" i="8"/>
  <c r="V222" i="8"/>
  <c r="U221" i="8"/>
  <c r="T43" i="8"/>
  <c r="V216" i="11"/>
  <c r="U33" i="11"/>
  <c r="K63" i="7"/>
  <c r="L231" i="7"/>
  <c r="V215" i="9"/>
  <c r="U31" i="9"/>
  <c r="W226" i="9"/>
  <c r="V53" i="9"/>
  <c r="U222" i="1"/>
  <c r="T31" i="1"/>
  <c r="W239" i="1"/>
  <c r="V65" i="1"/>
  <c r="V35" i="1"/>
  <c r="W224" i="1"/>
  <c r="V59" i="1"/>
  <c r="W236" i="1"/>
  <c r="U53" i="1"/>
  <c r="V233" i="1"/>
  <c r="T33" i="1"/>
  <c r="U223" i="1"/>
  <c r="U51" i="1"/>
  <c r="V232" i="1"/>
  <c r="AJ81" i="2"/>
  <c r="F81" i="20"/>
  <c r="BB70" i="2"/>
  <c r="H70" i="20"/>
  <c r="U222" i="22"/>
  <c r="T45" i="22"/>
  <c r="V214" i="6"/>
  <c r="U23" i="6"/>
  <c r="V216" i="6"/>
  <c r="U27" i="6"/>
  <c r="V219" i="6"/>
  <c r="U33" i="6"/>
  <c r="V217" i="6"/>
  <c r="U25" i="6"/>
  <c r="V215" i="6"/>
  <c r="U41" i="6"/>
  <c r="V223" i="6"/>
  <c r="U37" i="6"/>
  <c r="V221" i="6"/>
  <c r="U224" i="6"/>
  <c r="T43" i="6"/>
  <c r="V220" i="6"/>
  <c r="U35" i="6"/>
  <c r="U218" i="6"/>
  <c r="T31" i="6"/>
  <c r="W228" i="1"/>
  <c r="V43" i="1"/>
  <c r="Q83" i="1"/>
  <c r="R248" i="1"/>
  <c r="S247" i="1"/>
  <c r="R81" i="1"/>
  <c r="U218" i="8"/>
  <c r="T37" i="8"/>
  <c r="R219" i="8"/>
  <c r="Q39" i="8"/>
  <c r="R45" i="11"/>
  <c r="S222" i="11"/>
  <c r="AA81" i="2"/>
  <c r="E81" i="20"/>
  <c r="V217" i="22"/>
  <c r="U35" i="22"/>
  <c r="U219" i="22"/>
  <c r="T39" i="22"/>
  <c r="V224" i="22"/>
  <c r="U49" i="22"/>
  <c r="T37" i="7"/>
  <c r="U218" i="7"/>
  <c r="U219" i="7"/>
  <c r="T39" i="7"/>
  <c r="V217" i="7"/>
  <c r="U35" i="7"/>
  <c r="S220" i="7"/>
  <c r="R41" i="7"/>
  <c r="U215" i="7"/>
  <c r="T31" i="7"/>
  <c r="U43" i="7"/>
  <c r="V221" i="7"/>
  <c r="R39" i="6"/>
  <c r="S222" i="6"/>
  <c r="W223" i="9"/>
  <c r="V47" i="9"/>
  <c r="S219" i="9"/>
  <c r="R39" i="9"/>
  <c r="V217" i="9"/>
  <c r="U35" i="9"/>
  <c r="R227" i="9"/>
  <c r="Q55" i="9"/>
  <c r="X221" i="9"/>
  <c r="W43" i="9"/>
  <c r="T51" i="9"/>
  <c r="U225" i="9"/>
  <c r="V224" i="9"/>
  <c r="U49" i="9"/>
  <c r="S57" i="9"/>
  <c r="T228" i="9"/>
  <c r="V222" i="9"/>
  <c r="U45" i="9"/>
  <c r="T67" i="1"/>
  <c r="U240" i="1"/>
  <c r="V242" i="1"/>
  <c r="U71" i="1"/>
  <c r="V79" i="1"/>
  <c r="W246" i="1"/>
  <c r="U237" i="1"/>
  <c r="T61" i="1"/>
  <c r="S77" i="1"/>
  <c r="T245" i="1"/>
  <c r="O57" i="1"/>
  <c r="P235" i="1"/>
  <c r="V244" i="1"/>
  <c r="U75" i="1"/>
  <c r="T243" i="1"/>
  <c r="S73" i="1"/>
  <c r="Q221" i="11"/>
  <c r="P43" i="11"/>
  <c r="AS72" i="2"/>
  <c r="G72" i="20"/>
  <c r="V219" i="11"/>
  <c r="U39" i="11"/>
  <c r="U218" i="11"/>
  <c r="T37" i="11"/>
  <c r="S215" i="11"/>
  <c r="S220" i="11"/>
  <c r="R41" i="11"/>
  <c r="V225" i="10"/>
  <c r="U51" i="10"/>
  <c r="V218" i="10"/>
  <c r="U37" i="10"/>
  <c r="W229" i="22"/>
  <c r="V59" i="22"/>
  <c r="V220" i="22"/>
  <c r="U41" i="22"/>
  <c r="V227" i="22"/>
  <c r="U55" i="22"/>
  <c r="V218" i="22"/>
  <c r="T228" i="8"/>
  <c r="S57" i="8"/>
  <c r="V227" i="8"/>
  <c r="U55" i="8"/>
  <c r="W216" i="8"/>
  <c r="V33" i="8"/>
  <c r="X215" i="8"/>
  <c r="W31" i="8"/>
  <c r="W220" i="8"/>
  <c r="V41" i="8"/>
  <c r="W226" i="8"/>
  <c r="V53" i="8"/>
  <c r="W224" i="8"/>
  <c r="V49" i="8"/>
  <c r="W227" i="7"/>
  <c r="V55" i="7"/>
  <c r="W226" i="7"/>
  <c r="V53" i="7"/>
  <c r="W225" i="7"/>
  <c r="V51" i="7"/>
  <c r="P216" i="7"/>
  <c r="O33" i="7"/>
  <c r="U223" i="7"/>
  <c r="T47" i="7"/>
  <c r="T222" i="7"/>
  <c r="S45" i="7"/>
  <c r="W231" i="6"/>
  <c r="V57" i="6"/>
  <c r="W230" i="6"/>
  <c r="V55" i="6"/>
  <c r="W229" i="6"/>
  <c r="V53" i="6"/>
  <c r="W228" i="6"/>
  <c r="V51" i="6"/>
  <c r="W227" i="6"/>
  <c r="V49" i="6"/>
  <c r="U225" i="6"/>
  <c r="T45" i="6"/>
  <c r="V230" i="9"/>
  <c r="U61" i="9"/>
  <c r="W229" i="9"/>
  <c r="V59" i="9"/>
  <c r="V218" i="9"/>
  <c r="U37" i="9"/>
  <c r="V220" i="9"/>
  <c r="U41" i="9"/>
  <c r="S216" i="9"/>
  <c r="R33" i="9"/>
  <c r="U241" i="1"/>
  <c r="T69" i="1"/>
  <c r="W238" i="1"/>
  <c r="V63" i="1"/>
  <c r="U231" i="1"/>
  <c r="T49" i="1"/>
  <c r="W234" i="1"/>
  <c r="V55" i="1"/>
  <c r="W230" i="1"/>
  <c r="V47" i="1"/>
  <c r="U229" i="1"/>
  <c r="T45" i="1"/>
  <c r="U225" i="1"/>
  <c r="T37" i="1"/>
  <c r="W226" i="1"/>
  <c r="V39" i="1"/>
  <c r="U227" i="1"/>
  <c r="T41" i="1"/>
  <c r="V224" i="7"/>
  <c r="U49" i="7"/>
  <c r="J69" i="20"/>
  <c r="BT70" i="2"/>
  <c r="I75" i="20"/>
  <c r="BK76" i="2"/>
  <c r="CL77" i="2"/>
  <c r="L76" i="20"/>
  <c r="CC59" i="2"/>
  <c r="K58" i="20"/>
  <c r="B367" i="40"/>
  <c r="D367" i="40"/>
  <c r="B362" i="40"/>
  <c r="D362" i="40"/>
  <c r="B366" i="40"/>
  <c r="D366" i="40"/>
  <c r="B370" i="40"/>
  <c r="D370" i="40"/>
  <c r="B371" i="40"/>
  <c r="D371" i="40"/>
  <c r="C95" i="40"/>
  <c r="C324" i="40"/>
  <c r="D324" i="40"/>
  <c r="F300" i="40"/>
  <c r="E47" i="40"/>
  <c r="E307" i="40"/>
  <c r="D61" i="40"/>
  <c r="E302" i="40"/>
  <c r="D51" i="40"/>
  <c r="E310" i="40"/>
  <c r="D67" i="40"/>
  <c r="F312" i="40"/>
  <c r="E71" i="40"/>
  <c r="E317" i="40"/>
  <c r="D81" i="40"/>
  <c r="D311" i="40"/>
  <c r="C69" i="40"/>
  <c r="C311" i="40"/>
  <c r="D313" i="40"/>
  <c r="C73" i="40"/>
  <c r="C313" i="40"/>
  <c r="F320" i="40"/>
  <c r="E87" i="40"/>
  <c r="F301" i="40"/>
  <c r="E49" i="40"/>
  <c r="F318" i="40"/>
  <c r="E83" i="40"/>
  <c r="E319" i="40"/>
  <c r="D85" i="40"/>
  <c r="F299" i="40"/>
  <c r="E45" i="40"/>
  <c r="E315" i="40"/>
  <c r="D77" i="40"/>
  <c r="E297" i="40"/>
  <c r="D41" i="40"/>
  <c r="F305" i="40"/>
  <c r="E57" i="40"/>
  <c r="F314" i="40"/>
  <c r="E75" i="40"/>
  <c r="F316" i="40"/>
  <c r="E79" i="40"/>
  <c r="F303" i="40"/>
  <c r="E53" i="40"/>
  <c r="F308" i="40"/>
  <c r="E63" i="40"/>
  <c r="F322" i="40"/>
  <c r="E321" i="40"/>
  <c r="F306" i="40"/>
  <c r="E59" i="40"/>
  <c r="F298" i="40"/>
  <c r="E43" i="40"/>
  <c r="D309" i="40"/>
  <c r="C65" i="40"/>
  <c r="C309" i="40"/>
  <c r="F304" i="40"/>
  <c r="E55" i="40"/>
  <c r="O79" i="11"/>
  <c r="P239" i="11"/>
  <c r="S71" i="8"/>
  <c r="T235" i="8"/>
  <c r="V228" i="22"/>
  <c r="U57" i="22"/>
  <c r="D71" i="10"/>
  <c r="E235" i="10"/>
  <c r="K63" i="8"/>
  <c r="L231" i="8"/>
  <c r="C75" i="11"/>
  <c r="C237" i="11"/>
  <c r="D237" i="11"/>
  <c r="Q229" i="7"/>
  <c r="P59" i="7"/>
  <c r="R51" i="11"/>
  <c r="S225" i="11"/>
  <c r="FD54" i="10"/>
  <c r="FC144" i="10"/>
  <c r="J79" i="9"/>
  <c r="K239" i="9"/>
  <c r="I65" i="9"/>
  <c r="J232" i="9"/>
  <c r="G229" i="8"/>
  <c r="F59" i="8"/>
  <c r="S61" i="10"/>
  <c r="T230" i="10"/>
  <c r="K63" i="22"/>
  <c r="L231" i="22"/>
  <c r="L79" i="7"/>
  <c r="M239" i="7"/>
  <c r="O230" i="7"/>
  <c r="N61" i="7"/>
  <c r="H231" i="10"/>
  <c r="G63" i="10"/>
  <c r="I79" i="22"/>
  <c r="J239" i="22"/>
  <c r="K71" i="22"/>
  <c r="L235" i="22"/>
  <c r="R77" i="10"/>
  <c r="S238" i="10"/>
  <c r="J233" i="10"/>
  <c r="I67" i="10"/>
  <c r="T67" i="7"/>
  <c r="U233" i="7"/>
  <c r="S69" i="10"/>
  <c r="T234" i="10"/>
  <c r="I73" i="22"/>
  <c r="J236" i="22"/>
  <c r="S63" i="9"/>
  <c r="T231" i="9"/>
  <c r="S238" i="11"/>
  <c r="R77" i="11"/>
  <c r="S77" i="22"/>
  <c r="T238" i="22"/>
  <c r="FB145" i="10"/>
  <c r="FB146" i="10"/>
  <c r="U226" i="6"/>
  <c r="T47" i="6"/>
  <c r="Q57" i="11"/>
  <c r="R228" i="11"/>
  <c r="S79" i="8"/>
  <c r="T239" i="8"/>
  <c r="FA147" i="10"/>
  <c r="S238" i="7"/>
  <c r="R77" i="7"/>
  <c r="O223" i="11"/>
  <c r="N47" i="11"/>
  <c r="R91" i="2"/>
  <c r="D91" i="20"/>
  <c r="U217" i="10"/>
  <c r="T35" i="10"/>
  <c r="U31" i="10"/>
  <c r="V215" i="10"/>
  <c r="U219" i="10"/>
  <c r="T39" i="10"/>
  <c r="U53" i="10"/>
  <c r="V226" i="10"/>
  <c r="T222" i="10"/>
  <c r="S45" i="10"/>
  <c r="T49" i="10"/>
  <c r="U224" i="10"/>
  <c r="T41" i="10"/>
  <c r="U220" i="10"/>
  <c r="T43" i="10"/>
  <c r="U221" i="10"/>
  <c r="T47" i="10"/>
  <c r="U223" i="10"/>
  <c r="U216" i="10"/>
  <c r="T33" i="10"/>
  <c r="U226" i="22"/>
  <c r="T53" i="22"/>
  <c r="T223" i="22"/>
  <c r="S47" i="22"/>
  <c r="V225" i="22"/>
  <c r="U51" i="22"/>
  <c r="U221" i="22"/>
  <c r="T43" i="22"/>
  <c r="V223" i="8"/>
  <c r="U47" i="8"/>
  <c r="U225" i="8"/>
  <c r="T51" i="8"/>
  <c r="Q73" i="9"/>
  <c r="R236" i="9"/>
  <c r="V216" i="22"/>
  <c r="U33" i="22"/>
  <c r="L73" i="8"/>
  <c r="M236" i="8"/>
  <c r="Q77" i="9"/>
  <c r="R238" i="9"/>
  <c r="I63" i="2"/>
  <c r="C63" i="20"/>
  <c r="T45" i="8"/>
  <c r="U222" i="8"/>
  <c r="S43" i="8"/>
  <c r="T221" i="8"/>
  <c r="P35" i="8"/>
  <c r="Q217" i="8"/>
  <c r="U216" i="11"/>
  <c r="T33" i="11"/>
  <c r="J63" i="7"/>
  <c r="K231" i="7"/>
  <c r="V226" i="9"/>
  <c r="U53" i="9"/>
  <c r="T31" i="9"/>
  <c r="U215" i="9"/>
  <c r="S31" i="1"/>
  <c r="T222" i="1"/>
  <c r="S33" i="1"/>
  <c r="T223" i="1"/>
  <c r="T53" i="1"/>
  <c r="U233" i="1"/>
  <c r="U59" i="1"/>
  <c r="V236" i="1"/>
  <c r="V224" i="1"/>
  <c r="U35" i="1"/>
  <c r="V239" i="1"/>
  <c r="U65" i="1"/>
  <c r="T51" i="1"/>
  <c r="U232" i="1"/>
  <c r="AJ82" i="2"/>
  <c r="F82" i="20"/>
  <c r="BB71" i="2"/>
  <c r="H71" i="20"/>
  <c r="T222" i="22"/>
  <c r="S45" i="22"/>
  <c r="S31" i="6"/>
  <c r="T218" i="6"/>
  <c r="T35" i="6"/>
  <c r="U220" i="6"/>
  <c r="S43" i="6"/>
  <c r="T224" i="6"/>
  <c r="U219" i="6"/>
  <c r="T33" i="6"/>
  <c r="U216" i="6"/>
  <c r="T27" i="6"/>
  <c r="T23" i="6"/>
  <c r="U214" i="6"/>
  <c r="U221" i="6"/>
  <c r="T37" i="6"/>
  <c r="U223" i="6"/>
  <c r="T41" i="6"/>
  <c r="U215" i="6"/>
  <c r="T25" i="6"/>
  <c r="U217" i="6"/>
  <c r="R247" i="1"/>
  <c r="Q81" i="1"/>
  <c r="V228" i="1"/>
  <c r="U43" i="1"/>
  <c r="P83" i="1"/>
  <c r="Q248" i="1"/>
  <c r="P39" i="8"/>
  <c r="Q219" i="8"/>
  <c r="T218" i="8"/>
  <c r="S37" i="8"/>
  <c r="Q45" i="11"/>
  <c r="R222" i="11"/>
  <c r="AA82" i="2"/>
  <c r="E82" i="20"/>
  <c r="T219" i="22"/>
  <c r="S39" i="22"/>
  <c r="U224" i="22"/>
  <c r="T49" i="22"/>
  <c r="U217" i="22"/>
  <c r="T35" i="22"/>
  <c r="R220" i="7"/>
  <c r="Q41" i="7"/>
  <c r="T219" i="7"/>
  <c r="S39" i="7"/>
  <c r="U221" i="7"/>
  <c r="T43" i="7"/>
  <c r="T215" i="7"/>
  <c r="S31" i="7"/>
  <c r="T35" i="7"/>
  <c r="U217" i="7"/>
  <c r="T218" i="7"/>
  <c r="S37" i="7"/>
  <c r="R222" i="6"/>
  <c r="Q39" i="6"/>
  <c r="Q227" i="9"/>
  <c r="P55" i="9"/>
  <c r="R219" i="9"/>
  <c r="Q39" i="9"/>
  <c r="W221" i="9"/>
  <c r="V43" i="9"/>
  <c r="U217" i="9"/>
  <c r="T35" i="9"/>
  <c r="V223" i="9"/>
  <c r="U47" i="9"/>
  <c r="T225" i="9"/>
  <c r="S51" i="9"/>
  <c r="R57" i="9"/>
  <c r="S228" i="9"/>
  <c r="T45" i="9"/>
  <c r="U222" i="9"/>
  <c r="T49" i="9"/>
  <c r="U224" i="9"/>
  <c r="S243" i="1"/>
  <c r="R73" i="1"/>
  <c r="T75" i="1"/>
  <c r="U244" i="1"/>
  <c r="U242" i="1"/>
  <c r="T71" i="1"/>
  <c r="S245" i="1"/>
  <c r="R77" i="1"/>
  <c r="S61" i="1"/>
  <c r="T237" i="1"/>
  <c r="N57" i="1"/>
  <c r="O235" i="1"/>
  <c r="U79" i="1"/>
  <c r="V246" i="1"/>
  <c r="T240" i="1"/>
  <c r="S67" i="1"/>
  <c r="P221" i="11"/>
  <c r="O43" i="11"/>
  <c r="AS73" i="2"/>
  <c r="G73" i="20"/>
  <c r="R215" i="11"/>
  <c r="U219" i="11"/>
  <c r="T39" i="11"/>
  <c r="R220" i="11"/>
  <c r="Q41" i="11"/>
  <c r="T218" i="11"/>
  <c r="S37" i="11"/>
  <c r="U225" i="10"/>
  <c r="T51" i="10"/>
  <c r="U218" i="10"/>
  <c r="T37" i="10"/>
  <c r="V229" i="22"/>
  <c r="U59" i="22"/>
  <c r="U227" i="22"/>
  <c r="T55" i="22"/>
  <c r="U218" i="22"/>
  <c r="U220" i="22"/>
  <c r="T41" i="22"/>
  <c r="S228" i="8"/>
  <c r="R57" i="8"/>
  <c r="U227" i="8"/>
  <c r="T55" i="8"/>
  <c r="V226" i="8"/>
  <c r="U53" i="8"/>
  <c r="W215" i="8"/>
  <c r="V31" i="8"/>
  <c r="V224" i="8"/>
  <c r="U49" i="8"/>
  <c r="V220" i="8"/>
  <c r="U41" i="8"/>
  <c r="V216" i="8"/>
  <c r="U33" i="8"/>
  <c r="V227" i="7"/>
  <c r="U55" i="7"/>
  <c r="V226" i="7"/>
  <c r="U53" i="7"/>
  <c r="V225" i="7"/>
  <c r="U51" i="7"/>
  <c r="S222" i="7"/>
  <c r="R45" i="7"/>
  <c r="O216" i="7"/>
  <c r="N33" i="7"/>
  <c r="T223" i="7"/>
  <c r="S47" i="7"/>
  <c r="V231" i="6"/>
  <c r="U57" i="6"/>
  <c r="V230" i="6"/>
  <c r="U55" i="6"/>
  <c r="V229" i="6"/>
  <c r="U53" i="6"/>
  <c r="V228" i="6"/>
  <c r="U51" i="6"/>
  <c r="V227" i="6"/>
  <c r="U49" i="6"/>
  <c r="T225" i="6"/>
  <c r="S45" i="6"/>
  <c r="U230" i="9"/>
  <c r="T61" i="9"/>
  <c r="V229" i="9"/>
  <c r="U59" i="9"/>
  <c r="R216" i="9"/>
  <c r="Q33" i="9"/>
  <c r="U218" i="9"/>
  <c r="T37" i="9"/>
  <c r="U220" i="9"/>
  <c r="T41" i="9"/>
  <c r="T241" i="1"/>
  <c r="S69" i="1"/>
  <c r="V238" i="1"/>
  <c r="U63" i="1"/>
  <c r="V230" i="1"/>
  <c r="U47" i="1"/>
  <c r="T231" i="1"/>
  <c r="S49" i="1"/>
  <c r="V234" i="1"/>
  <c r="U55" i="1"/>
  <c r="T229" i="1"/>
  <c r="S45" i="1"/>
  <c r="T227" i="1"/>
  <c r="S41" i="1"/>
  <c r="V226" i="1"/>
  <c r="U39" i="1"/>
  <c r="T225" i="1"/>
  <c r="S37" i="1"/>
  <c r="T49" i="7"/>
  <c r="U224" i="7"/>
  <c r="J70" i="20"/>
  <c r="BT71" i="2"/>
  <c r="I76" i="20"/>
  <c r="BK77" i="2"/>
  <c r="CL78" i="2"/>
  <c r="L77" i="20"/>
  <c r="CC60" i="2"/>
  <c r="K59" i="20"/>
  <c r="FB147" i="10"/>
  <c r="B363" i="40"/>
  <c r="D363" i="40"/>
  <c r="B352" i="40"/>
  <c r="D352" i="40"/>
  <c r="B348" i="40"/>
  <c r="D348" i="40"/>
  <c r="B350" i="40"/>
  <c r="D350" i="40"/>
  <c r="E304" i="40"/>
  <c r="D55" i="40"/>
  <c r="E298" i="40"/>
  <c r="D43" i="40"/>
  <c r="D321" i="40"/>
  <c r="C321" i="40"/>
  <c r="E308" i="40"/>
  <c r="D63" i="40"/>
  <c r="E316" i="40"/>
  <c r="D79" i="40"/>
  <c r="E305" i="40"/>
  <c r="D57" i="40"/>
  <c r="D315" i="40"/>
  <c r="C77" i="40"/>
  <c r="C315" i="40"/>
  <c r="D319" i="40"/>
  <c r="C85" i="40"/>
  <c r="C319" i="40"/>
  <c r="E301" i="40"/>
  <c r="D49" i="40"/>
  <c r="D317" i="40"/>
  <c r="C81" i="40"/>
  <c r="C317" i="40"/>
  <c r="D310" i="40"/>
  <c r="C67" i="40"/>
  <c r="C310" i="40"/>
  <c r="D307" i="40"/>
  <c r="C61" i="40"/>
  <c r="C307" i="40"/>
  <c r="E306" i="40"/>
  <c r="D59" i="40"/>
  <c r="E322" i="40"/>
  <c r="E303" i="40"/>
  <c r="D53" i="40"/>
  <c r="E314" i="40"/>
  <c r="D75" i="40"/>
  <c r="D297" i="40"/>
  <c r="C41" i="40"/>
  <c r="C297" i="40"/>
  <c r="E299" i="40"/>
  <c r="D45" i="40"/>
  <c r="E318" i="40"/>
  <c r="D83" i="40"/>
  <c r="E320" i="40"/>
  <c r="D87" i="40"/>
  <c r="E312" i="40"/>
  <c r="D71" i="40"/>
  <c r="D302" i="40"/>
  <c r="C51" i="40"/>
  <c r="C302" i="40"/>
  <c r="E300" i="40"/>
  <c r="D47" i="40"/>
  <c r="R238" i="11"/>
  <c r="Q77" i="11"/>
  <c r="N230" i="7"/>
  <c r="M61" i="7"/>
  <c r="F229" i="8"/>
  <c r="E59" i="8"/>
  <c r="M47" i="11"/>
  <c r="N223" i="11"/>
  <c r="P57" i="11"/>
  <c r="Q228" i="11"/>
  <c r="H73" i="22"/>
  <c r="I236" i="22"/>
  <c r="T233" i="7"/>
  <c r="S67" i="7"/>
  <c r="Q77" i="10"/>
  <c r="R238" i="10"/>
  <c r="I239" i="22"/>
  <c r="H79" i="22"/>
  <c r="K231" i="22"/>
  <c r="J63" i="22"/>
  <c r="I79" i="9"/>
  <c r="J239" i="9"/>
  <c r="Q51" i="11"/>
  <c r="R225" i="11"/>
  <c r="D235" i="10"/>
  <c r="C71" i="10"/>
  <c r="C235" i="10"/>
  <c r="S235" i="8"/>
  <c r="R71" i="8"/>
  <c r="T226" i="6"/>
  <c r="S47" i="6"/>
  <c r="H67" i="10"/>
  <c r="I233" i="10"/>
  <c r="G231" i="10"/>
  <c r="F63" i="10"/>
  <c r="FC146" i="10"/>
  <c r="FC145" i="10"/>
  <c r="O59" i="7"/>
  <c r="P229" i="7"/>
  <c r="T57" i="22"/>
  <c r="U228" i="22"/>
  <c r="Q77" i="7"/>
  <c r="R238" i="7"/>
  <c r="S239" i="8"/>
  <c r="R79" i="8"/>
  <c r="S238" i="22"/>
  <c r="R77" i="22"/>
  <c r="S231" i="9"/>
  <c r="R63" i="9"/>
  <c r="R69" i="10"/>
  <c r="S234" i="10"/>
  <c r="K235" i="22"/>
  <c r="J71" i="22"/>
  <c r="K79" i="7"/>
  <c r="L239" i="7"/>
  <c r="S230" i="10"/>
  <c r="R61" i="10"/>
  <c r="I232" i="9"/>
  <c r="H65" i="9"/>
  <c r="FE54" i="10"/>
  <c r="FD144" i="10"/>
  <c r="J63" i="8"/>
  <c r="K231" i="8"/>
  <c r="O239" i="11"/>
  <c r="N79" i="11"/>
  <c r="R92" i="2"/>
  <c r="D92" i="20"/>
  <c r="T216" i="10"/>
  <c r="S33" i="10"/>
  <c r="T221" i="10"/>
  <c r="S43" i="10"/>
  <c r="T224" i="10"/>
  <c r="S49" i="10"/>
  <c r="U226" i="10"/>
  <c r="T53" i="10"/>
  <c r="T31" i="10"/>
  <c r="U215" i="10"/>
  <c r="S222" i="10"/>
  <c r="R45" i="10"/>
  <c r="S39" i="10"/>
  <c r="T219" i="10"/>
  <c r="T217" i="10"/>
  <c r="S35" i="10"/>
  <c r="T223" i="10"/>
  <c r="S47" i="10"/>
  <c r="S41" i="10"/>
  <c r="T220" i="10"/>
  <c r="T51" i="22"/>
  <c r="U225" i="22"/>
  <c r="S53" i="22"/>
  <c r="T226" i="22"/>
  <c r="T221" i="22"/>
  <c r="S43" i="22"/>
  <c r="S223" i="22"/>
  <c r="R47" i="22"/>
  <c r="T225" i="8"/>
  <c r="S51" i="8"/>
  <c r="T47" i="8"/>
  <c r="U223" i="8"/>
  <c r="U216" i="22"/>
  <c r="T33" i="22"/>
  <c r="P77" i="9"/>
  <c r="Q238" i="9"/>
  <c r="K73" i="8"/>
  <c r="L236" i="8"/>
  <c r="P73" i="9"/>
  <c r="Q236" i="9"/>
  <c r="I64" i="2"/>
  <c r="C64" i="20"/>
  <c r="O35" i="8"/>
  <c r="P217" i="8"/>
  <c r="R43" i="8"/>
  <c r="S221" i="8"/>
  <c r="S45" i="8"/>
  <c r="T222" i="8"/>
  <c r="T216" i="11"/>
  <c r="S33" i="11"/>
  <c r="I63" i="7"/>
  <c r="J231" i="7"/>
  <c r="T53" i="9"/>
  <c r="U226" i="9"/>
  <c r="T215" i="9"/>
  <c r="S31" i="9"/>
  <c r="S222" i="1"/>
  <c r="R31" i="1"/>
  <c r="T59" i="1"/>
  <c r="U236" i="1"/>
  <c r="S53" i="1"/>
  <c r="T233" i="1"/>
  <c r="R33" i="1"/>
  <c r="S223" i="1"/>
  <c r="T65" i="1"/>
  <c r="U239" i="1"/>
  <c r="T35" i="1"/>
  <c r="U224" i="1"/>
  <c r="S51" i="1"/>
  <c r="T232" i="1"/>
  <c r="AJ83" i="2"/>
  <c r="F83" i="20"/>
  <c r="BB72" i="2"/>
  <c r="H72" i="20"/>
  <c r="S222" i="22"/>
  <c r="R45" i="22"/>
  <c r="T217" i="6"/>
  <c r="T215" i="6"/>
  <c r="S25" i="6"/>
  <c r="T223" i="6"/>
  <c r="S41" i="6"/>
  <c r="T221" i="6"/>
  <c r="S37" i="6"/>
  <c r="T216" i="6"/>
  <c r="S27" i="6"/>
  <c r="S33" i="6"/>
  <c r="T219" i="6"/>
  <c r="T214" i="6"/>
  <c r="S23" i="6"/>
  <c r="S224" i="6"/>
  <c r="R43" i="6"/>
  <c r="T220" i="6"/>
  <c r="S35" i="6"/>
  <c r="S218" i="6"/>
  <c r="R31" i="6"/>
  <c r="T43" i="1"/>
  <c r="U228" i="1"/>
  <c r="P81" i="1"/>
  <c r="Q247" i="1"/>
  <c r="O83" i="1"/>
  <c r="P248" i="1"/>
  <c r="S218" i="8"/>
  <c r="R37" i="8"/>
  <c r="P219" i="8"/>
  <c r="O39" i="8"/>
  <c r="P45" i="11"/>
  <c r="Q222" i="11"/>
  <c r="AA83" i="2"/>
  <c r="E83" i="20"/>
  <c r="T224" i="22"/>
  <c r="S49" i="22"/>
  <c r="T217" i="22"/>
  <c r="S35" i="22"/>
  <c r="S219" i="22"/>
  <c r="R39" i="22"/>
  <c r="S219" i="7"/>
  <c r="R39" i="7"/>
  <c r="T217" i="7"/>
  <c r="S35" i="7"/>
  <c r="R37" i="7"/>
  <c r="S218" i="7"/>
  <c r="R31" i="7"/>
  <c r="S215" i="7"/>
  <c r="T221" i="7"/>
  <c r="S43" i="7"/>
  <c r="Q220" i="7"/>
  <c r="P41" i="7"/>
  <c r="Q222" i="6"/>
  <c r="P39" i="6"/>
  <c r="T217" i="9"/>
  <c r="S35" i="9"/>
  <c r="P39" i="9"/>
  <c r="Q219" i="9"/>
  <c r="U223" i="9"/>
  <c r="T47" i="9"/>
  <c r="V221" i="9"/>
  <c r="U43" i="9"/>
  <c r="P227" i="9"/>
  <c r="O55" i="9"/>
  <c r="R51" i="9"/>
  <c r="S225" i="9"/>
  <c r="T224" i="9"/>
  <c r="S49" i="9"/>
  <c r="Q57" i="9"/>
  <c r="R228" i="9"/>
  <c r="T222" i="9"/>
  <c r="S45" i="9"/>
  <c r="R67" i="1"/>
  <c r="S240" i="1"/>
  <c r="S71" i="1"/>
  <c r="T242" i="1"/>
  <c r="T244" i="1"/>
  <c r="S75" i="1"/>
  <c r="Q77" i="1"/>
  <c r="R245" i="1"/>
  <c r="R243" i="1"/>
  <c r="Q73" i="1"/>
  <c r="U246" i="1"/>
  <c r="T79" i="1"/>
  <c r="M57" i="1"/>
  <c r="N235" i="1"/>
  <c r="R61" i="1"/>
  <c r="S237" i="1"/>
  <c r="O221" i="11"/>
  <c r="N43" i="11"/>
  <c r="AS74" i="2"/>
  <c r="G74" i="20"/>
  <c r="Q220" i="11"/>
  <c r="P41" i="11"/>
  <c r="Q215" i="11"/>
  <c r="S218" i="11"/>
  <c r="R37" i="11"/>
  <c r="T219" i="11"/>
  <c r="S39" i="11"/>
  <c r="T225" i="10"/>
  <c r="S51" i="10"/>
  <c r="T218" i="10"/>
  <c r="S37" i="10"/>
  <c r="U229" i="22"/>
  <c r="T59" i="22"/>
  <c r="T220" i="22"/>
  <c r="S41" i="22"/>
  <c r="T218" i="22"/>
  <c r="T227" i="22"/>
  <c r="S55" i="22"/>
  <c r="R228" i="8"/>
  <c r="Q57" i="8"/>
  <c r="T227" i="8"/>
  <c r="S55" i="8"/>
  <c r="V215" i="8"/>
  <c r="U31" i="8"/>
  <c r="U226" i="8"/>
  <c r="T53" i="8"/>
  <c r="U216" i="8"/>
  <c r="T33" i="8"/>
  <c r="U220" i="8"/>
  <c r="T41" i="8"/>
  <c r="U224" i="8"/>
  <c r="T49" i="8"/>
  <c r="U227" i="7"/>
  <c r="T55" i="7"/>
  <c r="U226" i="7"/>
  <c r="T53" i="7"/>
  <c r="U225" i="7"/>
  <c r="T51" i="7"/>
  <c r="N216" i="7"/>
  <c r="M33" i="7"/>
  <c r="S223" i="7"/>
  <c r="R47" i="7"/>
  <c r="R222" i="7"/>
  <c r="Q45" i="7"/>
  <c r="U231" i="6"/>
  <c r="T57" i="6"/>
  <c r="U230" i="6"/>
  <c r="T55" i="6"/>
  <c r="U229" i="6"/>
  <c r="T53" i="6"/>
  <c r="U228" i="6"/>
  <c r="T51" i="6"/>
  <c r="U227" i="6"/>
  <c r="T49" i="6"/>
  <c r="S225" i="6"/>
  <c r="R45" i="6"/>
  <c r="T230" i="9"/>
  <c r="S61" i="9"/>
  <c r="U229" i="9"/>
  <c r="T59" i="9"/>
  <c r="T220" i="9"/>
  <c r="S41" i="9"/>
  <c r="T218" i="9"/>
  <c r="S37" i="9"/>
  <c r="Q216" i="9"/>
  <c r="P33" i="9"/>
  <c r="S241" i="1"/>
  <c r="R69" i="1"/>
  <c r="U238" i="1"/>
  <c r="T63" i="1"/>
  <c r="S231" i="1"/>
  <c r="R49" i="1"/>
  <c r="U234" i="1"/>
  <c r="T55" i="1"/>
  <c r="U230" i="1"/>
  <c r="T47" i="1"/>
  <c r="S229" i="1"/>
  <c r="R45" i="1"/>
  <c r="U226" i="1"/>
  <c r="T39" i="1"/>
  <c r="S225" i="1"/>
  <c r="R37" i="1"/>
  <c r="S227" i="1"/>
  <c r="R41" i="1"/>
  <c r="T224" i="7"/>
  <c r="S49" i="7"/>
  <c r="J71" i="20"/>
  <c r="BT72" i="2"/>
  <c r="I77" i="20"/>
  <c r="BK78" i="2"/>
  <c r="CL79" i="2"/>
  <c r="L78" i="20"/>
  <c r="CC61" i="2"/>
  <c r="K60" i="20"/>
  <c r="FC147" i="10"/>
  <c r="B336" i="40"/>
  <c r="D336" i="40"/>
  <c r="B341" i="40"/>
  <c r="D341" i="40"/>
  <c r="B346" i="40"/>
  <c r="D346" i="40"/>
  <c r="B356" i="40"/>
  <c r="D356" i="40"/>
  <c r="B358" i="40"/>
  <c r="D358" i="40"/>
  <c r="B349" i="40"/>
  <c r="D349" i="40"/>
  <c r="B354" i="40"/>
  <c r="D354" i="40"/>
  <c r="B360" i="40"/>
  <c r="D360" i="40"/>
  <c r="D312" i="40"/>
  <c r="C71" i="40"/>
  <c r="C312" i="40"/>
  <c r="D303" i="40"/>
  <c r="C53" i="40"/>
  <c r="C303" i="40"/>
  <c r="D301" i="40"/>
  <c r="C49" i="40"/>
  <c r="C301" i="40"/>
  <c r="D316" i="40"/>
  <c r="C79" i="40"/>
  <c r="C316" i="40"/>
  <c r="D320" i="40"/>
  <c r="C87" i="40"/>
  <c r="C320" i="40"/>
  <c r="D299" i="40"/>
  <c r="C45" i="40"/>
  <c r="C299" i="40"/>
  <c r="D314" i="40"/>
  <c r="C75" i="40"/>
  <c r="C314" i="40"/>
  <c r="D322" i="40"/>
  <c r="C322" i="40"/>
  <c r="D305" i="40"/>
  <c r="C57" i="40"/>
  <c r="C305" i="40"/>
  <c r="D308" i="40"/>
  <c r="C63" i="40"/>
  <c r="C308" i="40"/>
  <c r="D298" i="40"/>
  <c r="C43" i="40"/>
  <c r="C298" i="40"/>
  <c r="D306" i="40"/>
  <c r="C59" i="40"/>
  <c r="C306" i="40"/>
  <c r="D304" i="40"/>
  <c r="C55" i="40"/>
  <c r="C304" i="40"/>
  <c r="D300" i="40"/>
  <c r="C47" i="40"/>
  <c r="C300" i="40"/>
  <c r="D318" i="40"/>
  <c r="C83" i="40"/>
  <c r="C318" i="40"/>
  <c r="G67" i="10"/>
  <c r="H233" i="10"/>
  <c r="N239" i="11"/>
  <c r="M79" i="11"/>
  <c r="FD146" i="10"/>
  <c r="FD145" i="10"/>
  <c r="Q61" i="10"/>
  <c r="R230" i="10"/>
  <c r="J235" i="22"/>
  <c r="I71" i="22"/>
  <c r="R231" i="9"/>
  <c r="Q63" i="9"/>
  <c r="R239" i="8"/>
  <c r="Q79" i="8"/>
  <c r="Q71" i="8"/>
  <c r="R235" i="8"/>
  <c r="I63" i="22"/>
  <c r="J231" i="22"/>
  <c r="M230" i="7"/>
  <c r="L61" i="7"/>
  <c r="FE144" i="10"/>
  <c r="FF54" i="10"/>
  <c r="S57" i="22"/>
  <c r="T228" i="22"/>
  <c r="P51" i="11"/>
  <c r="Q225" i="11"/>
  <c r="G73" i="22"/>
  <c r="H236" i="22"/>
  <c r="G65" i="9"/>
  <c r="H232" i="9"/>
  <c r="Q77" i="22"/>
  <c r="R238" i="22"/>
  <c r="F231" i="10"/>
  <c r="E63" i="10"/>
  <c r="S226" i="6"/>
  <c r="R47" i="6"/>
  <c r="G79" i="22"/>
  <c r="H239" i="22"/>
  <c r="S233" i="7"/>
  <c r="R67" i="7"/>
  <c r="E229" i="8"/>
  <c r="D59" i="8"/>
  <c r="P77" i="11"/>
  <c r="Q238" i="11"/>
  <c r="P77" i="10"/>
  <c r="Q238" i="10"/>
  <c r="M223" i="11"/>
  <c r="L47" i="11"/>
  <c r="I63" i="8"/>
  <c r="J231" i="8"/>
  <c r="J79" i="7"/>
  <c r="K239" i="7"/>
  <c r="Q69" i="10"/>
  <c r="R234" i="10"/>
  <c r="Q238" i="7"/>
  <c r="P77" i="7"/>
  <c r="O229" i="7"/>
  <c r="N59" i="7"/>
  <c r="I239" i="9"/>
  <c r="H79" i="9"/>
  <c r="O57" i="11"/>
  <c r="P228" i="11"/>
  <c r="R93" i="2"/>
  <c r="D93" i="20"/>
  <c r="S219" i="10"/>
  <c r="R39" i="10"/>
  <c r="S31" i="10"/>
  <c r="T215" i="10"/>
  <c r="S217" i="10"/>
  <c r="R35" i="10"/>
  <c r="R222" i="10"/>
  <c r="Q45" i="10"/>
  <c r="T226" i="10"/>
  <c r="S53" i="10"/>
  <c r="S221" i="10"/>
  <c r="R43" i="10"/>
  <c r="S220" i="10"/>
  <c r="R41" i="10"/>
  <c r="R47" i="10"/>
  <c r="S223" i="10"/>
  <c r="S224" i="10"/>
  <c r="R49" i="10"/>
  <c r="S216" i="10"/>
  <c r="R33" i="10"/>
  <c r="R223" i="22"/>
  <c r="Q47" i="22"/>
  <c r="R53" i="22"/>
  <c r="S226" i="22"/>
  <c r="S221" i="22"/>
  <c r="R43" i="22"/>
  <c r="T225" i="22"/>
  <c r="S51" i="22"/>
  <c r="T223" i="8"/>
  <c r="S47" i="8"/>
  <c r="S225" i="8"/>
  <c r="R51" i="8"/>
  <c r="J73" i="8"/>
  <c r="K236" i="8"/>
  <c r="T216" i="22"/>
  <c r="S33" i="22"/>
  <c r="O77" i="9"/>
  <c r="P238" i="9"/>
  <c r="O73" i="9"/>
  <c r="P236" i="9"/>
  <c r="I65" i="2"/>
  <c r="C65" i="20"/>
  <c r="R45" i="8"/>
  <c r="S222" i="8"/>
  <c r="Q43" i="8"/>
  <c r="R221" i="8"/>
  <c r="O217" i="8"/>
  <c r="N35" i="8"/>
  <c r="S216" i="11"/>
  <c r="R33" i="11"/>
  <c r="H63" i="7"/>
  <c r="I231" i="7"/>
  <c r="R31" i="9"/>
  <c r="S215" i="9"/>
  <c r="T226" i="9"/>
  <c r="S53" i="9"/>
  <c r="Q31" i="1"/>
  <c r="R222" i="1"/>
  <c r="S35" i="1"/>
  <c r="T224" i="1"/>
  <c r="T239" i="1"/>
  <c r="S65" i="1"/>
  <c r="Q33" i="1"/>
  <c r="R223" i="1"/>
  <c r="R53" i="1"/>
  <c r="S233" i="1"/>
  <c r="T236" i="1"/>
  <c r="S59" i="1"/>
  <c r="R51" i="1"/>
  <c r="S232" i="1"/>
  <c r="AJ84" i="2"/>
  <c r="F84" i="20"/>
  <c r="BB73" i="2"/>
  <c r="H73" i="20"/>
  <c r="R222" i="22"/>
  <c r="Q45" i="22"/>
  <c r="R218" i="6"/>
  <c r="Q31" i="6"/>
  <c r="S220" i="6"/>
  <c r="R35" i="6"/>
  <c r="R224" i="6"/>
  <c r="Q43" i="6"/>
  <c r="S214" i="6"/>
  <c r="R23" i="6"/>
  <c r="S216" i="6"/>
  <c r="R27" i="6"/>
  <c r="S221" i="6"/>
  <c r="R37" i="6"/>
  <c r="S223" i="6"/>
  <c r="R41" i="6"/>
  <c r="S215" i="6"/>
  <c r="R25" i="6"/>
  <c r="S217" i="6"/>
  <c r="S219" i="6"/>
  <c r="R33" i="6"/>
  <c r="O248" i="1"/>
  <c r="N83" i="1"/>
  <c r="P247" i="1"/>
  <c r="O81" i="1"/>
  <c r="T228" i="1"/>
  <c r="S43" i="1"/>
  <c r="N39" i="8"/>
  <c r="O219" i="8"/>
  <c r="Q37" i="8"/>
  <c r="R218" i="8"/>
  <c r="P222" i="11"/>
  <c r="O45" i="11"/>
  <c r="AA84" i="2"/>
  <c r="E84" i="20"/>
  <c r="S217" i="22"/>
  <c r="R35" i="22"/>
  <c r="R219" i="22"/>
  <c r="Q39" i="22"/>
  <c r="S224" i="22"/>
  <c r="R49" i="22"/>
  <c r="S221" i="7"/>
  <c r="R43" i="7"/>
  <c r="R219" i="7"/>
  <c r="Q39" i="7"/>
  <c r="R218" i="7"/>
  <c r="Q37" i="7"/>
  <c r="O41" i="7"/>
  <c r="P220" i="7"/>
  <c r="S217" i="7"/>
  <c r="R35" i="7"/>
  <c r="R215" i="7"/>
  <c r="Q31" i="7"/>
  <c r="O39" i="6"/>
  <c r="P222" i="6"/>
  <c r="U221" i="9"/>
  <c r="T43" i="9"/>
  <c r="P219" i="9"/>
  <c r="O39" i="9"/>
  <c r="N55" i="9"/>
  <c r="O227" i="9"/>
  <c r="S47" i="9"/>
  <c r="T223" i="9"/>
  <c r="S217" i="9"/>
  <c r="R35" i="9"/>
  <c r="Q51" i="9"/>
  <c r="R225" i="9"/>
  <c r="P57" i="9"/>
  <c r="Q228" i="9"/>
  <c r="S222" i="9"/>
  <c r="R45" i="9"/>
  <c r="R49" i="9"/>
  <c r="S224" i="9"/>
  <c r="T246" i="1"/>
  <c r="S79" i="1"/>
  <c r="S244" i="1"/>
  <c r="R75" i="1"/>
  <c r="R237" i="1"/>
  <c r="Q61" i="1"/>
  <c r="P77" i="1"/>
  <c r="Q245" i="1"/>
  <c r="P73" i="1"/>
  <c r="Q243" i="1"/>
  <c r="M235" i="1"/>
  <c r="L57" i="1"/>
  <c r="S242" i="1"/>
  <c r="R71" i="1"/>
  <c r="R240" i="1"/>
  <c r="Q67" i="1"/>
  <c r="N221" i="11"/>
  <c r="M43" i="11"/>
  <c r="AS75" i="2"/>
  <c r="G75" i="20"/>
  <c r="R218" i="11"/>
  <c r="Q37" i="11"/>
  <c r="P220" i="11"/>
  <c r="O41" i="11"/>
  <c r="S219" i="11"/>
  <c r="R39" i="11"/>
  <c r="P215" i="11"/>
  <c r="S225" i="10"/>
  <c r="R51" i="10"/>
  <c r="S218" i="10"/>
  <c r="R37" i="10"/>
  <c r="T229" i="22"/>
  <c r="S59" i="22"/>
  <c r="S220" i="22"/>
  <c r="R41" i="22"/>
  <c r="S227" i="22"/>
  <c r="R55" i="22"/>
  <c r="S218" i="22"/>
  <c r="Q228" i="8"/>
  <c r="P57" i="8"/>
  <c r="S227" i="8"/>
  <c r="R55" i="8"/>
  <c r="T224" i="8"/>
  <c r="S49" i="8"/>
  <c r="T216" i="8"/>
  <c r="S33" i="8"/>
  <c r="T226" i="8"/>
  <c r="S53" i="8"/>
  <c r="T220" i="8"/>
  <c r="S41" i="8"/>
  <c r="U215" i="8"/>
  <c r="T31" i="8"/>
  <c r="T227" i="7"/>
  <c r="S55" i="7"/>
  <c r="T226" i="7"/>
  <c r="S53" i="7"/>
  <c r="T225" i="7"/>
  <c r="S51" i="7"/>
  <c r="Q222" i="7"/>
  <c r="P45" i="7"/>
  <c r="R223" i="7"/>
  <c r="Q47" i="7"/>
  <c r="M216" i="7"/>
  <c r="L33" i="7"/>
  <c r="T231" i="6"/>
  <c r="S57" i="6"/>
  <c r="T230" i="6"/>
  <c r="S55" i="6"/>
  <c r="T229" i="6"/>
  <c r="S53" i="6"/>
  <c r="T228" i="6"/>
  <c r="S51" i="6"/>
  <c r="T227" i="6"/>
  <c r="S49" i="6"/>
  <c r="R225" i="6"/>
  <c r="Q45" i="6"/>
  <c r="S230" i="9"/>
  <c r="R61" i="9"/>
  <c r="T229" i="9"/>
  <c r="S59" i="9"/>
  <c r="P216" i="9"/>
  <c r="O33" i="9"/>
  <c r="S220" i="9"/>
  <c r="R41" i="9"/>
  <c r="S218" i="9"/>
  <c r="R37" i="9"/>
  <c r="R241" i="1"/>
  <c r="Q69" i="1"/>
  <c r="T238" i="1"/>
  <c r="S63" i="1"/>
  <c r="T230" i="1"/>
  <c r="S47" i="1"/>
  <c r="T234" i="1"/>
  <c r="S55" i="1"/>
  <c r="R231" i="1"/>
  <c r="Q49" i="1"/>
  <c r="R229" i="1"/>
  <c r="Q45" i="1"/>
  <c r="T226" i="1"/>
  <c r="S39" i="1"/>
  <c r="R225" i="1"/>
  <c r="Q37" i="1"/>
  <c r="R227" i="1"/>
  <c r="Q41" i="1"/>
  <c r="S224" i="7"/>
  <c r="R49" i="7"/>
  <c r="J72" i="20"/>
  <c r="BT73" i="2"/>
  <c r="I78" i="20"/>
  <c r="BK79" i="2"/>
  <c r="CL80" i="2"/>
  <c r="L79" i="20"/>
  <c r="CC62" i="2"/>
  <c r="K61" i="20"/>
  <c r="B339" i="40"/>
  <c r="D339" i="40"/>
  <c r="B345" i="40"/>
  <c r="D345" i="40"/>
  <c r="B347" i="40"/>
  <c r="D347" i="40"/>
  <c r="B361" i="40"/>
  <c r="B338" i="40"/>
  <c r="D338" i="40"/>
  <c r="B355" i="40"/>
  <c r="D355" i="40"/>
  <c r="B357" i="40"/>
  <c r="D357" i="40"/>
  <c r="B343" i="40"/>
  <c r="D343" i="40"/>
  <c r="B337" i="40"/>
  <c r="D337" i="40"/>
  <c r="B344" i="40"/>
  <c r="D344" i="40"/>
  <c r="B353" i="40"/>
  <c r="D353" i="40"/>
  <c r="B359" i="40"/>
  <c r="D359" i="40"/>
  <c r="B342" i="40"/>
  <c r="D342" i="40"/>
  <c r="B340" i="40"/>
  <c r="D340" i="40"/>
  <c r="B351" i="40"/>
  <c r="D351" i="40"/>
  <c r="G79" i="9"/>
  <c r="H239" i="9"/>
  <c r="P238" i="7"/>
  <c r="O77" i="7"/>
  <c r="K47" i="11"/>
  <c r="L223" i="11"/>
  <c r="R233" i="7"/>
  <c r="Q67" i="7"/>
  <c r="R226" i="6"/>
  <c r="Q47" i="6"/>
  <c r="L230" i="7"/>
  <c r="K61" i="7"/>
  <c r="Q231" i="9"/>
  <c r="P63" i="9"/>
  <c r="M239" i="11"/>
  <c r="L79" i="11"/>
  <c r="O77" i="11"/>
  <c r="P238" i="11"/>
  <c r="P77" i="22"/>
  <c r="Q238" i="22"/>
  <c r="R57" i="22"/>
  <c r="S228" i="22"/>
  <c r="Q235" i="8"/>
  <c r="P71" i="8"/>
  <c r="Q230" i="10"/>
  <c r="P61" i="10"/>
  <c r="N229" i="7"/>
  <c r="M59" i="7"/>
  <c r="D229" i="8"/>
  <c r="C59" i="8"/>
  <c r="C229" i="8"/>
  <c r="E231" i="10"/>
  <c r="D63" i="10"/>
  <c r="FF144" i="10"/>
  <c r="FG54" i="10"/>
  <c r="Q239" i="8"/>
  <c r="P79" i="8"/>
  <c r="H71" i="22"/>
  <c r="I235" i="22"/>
  <c r="I79" i="7"/>
  <c r="J239" i="7"/>
  <c r="F73" i="22"/>
  <c r="G236" i="22"/>
  <c r="O228" i="11"/>
  <c r="N57" i="11"/>
  <c r="P69" i="10"/>
  <c r="Q234" i="10"/>
  <c r="H63" i="8"/>
  <c r="I231" i="8"/>
  <c r="O77" i="10"/>
  <c r="P238" i="10"/>
  <c r="F79" i="22"/>
  <c r="G239" i="22"/>
  <c r="F65" i="9"/>
  <c r="G232" i="9"/>
  <c r="O51" i="11"/>
  <c r="P225" i="11"/>
  <c r="FE146" i="10"/>
  <c r="FE145" i="10"/>
  <c r="I231" i="22"/>
  <c r="H63" i="22"/>
  <c r="FD147" i="10"/>
  <c r="G233" i="10"/>
  <c r="F67" i="10"/>
  <c r="R94" i="2"/>
  <c r="D94" i="20"/>
  <c r="Q33" i="10"/>
  <c r="R216" i="10"/>
  <c r="Q43" i="10"/>
  <c r="R221" i="10"/>
  <c r="Q222" i="10"/>
  <c r="P45" i="10"/>
  <c r="R223" i="10"/>
  <c r="Q47" i="10"/>
  <c r="R31" i="10"/>
  <c r="S215" i="10"/>
  <c r="R224" i="10"/>
  <c r="Q49" i="10"/>
  <c r="R220" i="10"/>
  <c r="Q41" i="10"/>
  <c r="R53" i="10"/>
  <c r="S226" i="10"/>
  <c r="R217" i="10"/>
  <c r="Q35" i="10"/>
  <c r="R219" i="10"/>
  <c r="Q39" i="10"/>
  <c r="R226" i="22"/>
  <c r="Q53" i="22"/>
  <c r="S225" i="22"/>
  <c r="R51" i="22"/>
  <c r="R221" i="22"/>
  <c r="Q43" i="22"/>
  <c r="Q223" i="22"/>
  <c r="P47" i="22"/>
  <c r="R225" i="8"/>
  <c r="Q51" i="8"/>
  <c r="S223" i="8"/>
  <c r="R47" i="8"/>
  <c r="N73" i="9"/>
  <c r="O236" i="9"/>
  <c r="N77" i="9"/>
  <c r="O238" i="9"/>
  <c r="S216" i="22"/>
  <c r="R33" i="22"/>
  <c r="I73" i="8"/>
  <c r="J236" i="8"/>
  <c r="I66" i="2"/>
  <c r="C66" i="20"/>
  <c r="Q221" i="8"/>
  <c r="P43" i="8"/>
  <c r="Q45" i="8"/>
  <c r="R222" i="8"/>
  <c r="M35" i="8"/>
  <c r="N217" i="8"/>
  <c r="R216" i="11"/>
  <c r="Q33" i="11"/>
  <c r="G63" i="7"/>
  <c r="H231" i="7"/>
  <c r="R53" i="9"/>
  <c r="S226" i="9"/>
  <c r="R215" i="9"/>
  <c r="Q31" i="9"/>
  <c r="Q222" i="1"/>
  <c r="P31" i="1"/>
  <c r="R233" i="1"/>
  <c r="Q53" i="1"/>
  <c r="P33" i="1"/>
  <c r="Q223" i="1"/>
  <c r="R35" i="1"/>
  <c r="S224" i="1"/>
  <c r="S236" i="1"/>
  <c r="R59" i="1"/>
  <c r="S239" i="1"/>
  <c r="R65" i="1"/>
  <c r="Q51" i="1"/>
  <c r="R232" i="1"/>
  <c r="AJ85" i="2"/>
  <c r="F85" i="20"/>
  <c r="BB74" i="2"/>
  <c r="H74" i="20"/>
  <c r="Q222" i="22"/>
  <c r="P45" i="22"/>
  <c r="R219" i="6"/>
  <c r="Q33" i="6"/>
  <c r="R217" i="6"/>
  <c r="R215" i="6"/>
  <c r="Q25" i="6"/>
  <c r="R223" i="6"/>
  <c r="Q41" i="6"/>
  <c r="R221" i="6"/>
  <c r="Q37" i="6"/>
  <c r="Q27" i="6"/>
  <c r="R216" i="6"/>
  <c r="R214" i="6"/>
  <c r="Q23" i="6"/>
  <c r="Q224" i="6"/>
  <c r="P43" i="6"/>
  <c r="R220" i="6"/>
  <c r="Q35" i="6"/>
  <c r="Q218" i="6"/>
  <c r="P31" i="6"/>
  <c r="S228" i="1"/>
  <c r="R43" i="1"/>
  <c r="N81" i="1"/>
  <c r="O247" i="1"/>
  <c r="M83" i="1"/>
  <c r="N248" i="1"/>
  <c r="Q218" i="8"/>
  <c r="P37" i="8"/>
  <c r="M39" i="8"/>
  <c r="N219" i="8"/>
  <c r="N45" i="11"/>
  <c r="O222" i="11"/>
  <c r="AA85" i="2"/>
  <c r="E85" i="20"/>
  <c r="Q219" i="22"/>
  <c r="P39" i="22"/>
  <c r="R224" i="22"/>
  <c r="Q49" i="22"/>
  <c r="R217" i="22"/>
  <c r="Q35" i="22"/>
  <c r="Q219" i="7"/>
  <c r="P39" i="7"/>
  <c r="O220" i="7"/>
  <c r="N41" i="7"/>
  <c r="Q215" i="7"/>
  <c r="P31" i="7"/>
  <c r="R217" i="7"/>
  <c r="Q35" i="7"/>
  <c r="Q218" i="7"/>
  <c r="P37" i="7"/>
  <c r="R221" i="7"/>
  <c r="Q43" i="7"/>
  <c r="N39" i="6"/>
  <c r="O222" i="6"/>
  <c r="N39" i="9"/>
  <c r="O219" i="9"/>
  <c r="R47" i="9"/>
  <c r="S223" i="9"/>
  <c r="Q35" i="9"/>
  <c r="R217" i="9"/>
  <c r="T221" i="9"/>
  <c r="S43" i="9"/>
  <c r="N227" i="9"/>
  <c r="M55" i="9"/>
  <c r="P51" i="9"/>
  <c r="Q225" i="9"/>
  <c r="O57" i="9"/>
  <c r="P228" i="9"/>
  <c r="R222" i="9"/>
  <c r="Q45" i="9"/>
  <c r="R224" i="9"/>
  <c r="Q49" i="9"/>
  <c r="Q240" i="1"/>
  <c r="P67" i="1"/>
  <c r="R242" i="1"/>
  <c r="Q71" i="1"/>
  <c r="Q75" i="1"/>
  <c r="R244" i="1"/>
  <c r="L235" i="1"/>
  <c r="K57" i="1"/>
  <c r="Q237" i="1"/>
  <c r="P61" i="1"/>
  <c r="S246" i="1"/>
  <c r="R79" i="1"/>
  <c r="P243" i="1"/>
  <c r="O73" i="1"/>
  <c r="P245" i="1"/>
  <c r="O77" i="1"/>
  <c r="M221" i="11"/>
  <c r="L43" i="11"/>
  <c r="AS76" i="2"/>
  <c r="G76" i="20"/>
  <c r="R219" i="11"/>
  <c r="Q39" i="11"/>
  <c r="Q218" i="11"/>
  <c r="P37" i="11"/>
  <c r="O215" i="11"/>
  <c r="O220" i="11"/>
  <c r="N41" i="11"/>
  <c r="R225" i="10"/>
  <c r="Q51" i="10"/>
  <c r="R218" i="10"/>
  <c r="Q37" i="10"/>
  <c r="S229" i="22"/>
  <c r="R59" i="22"/>
  <c r="R227" i="22"/>
  <c r="Q55" i="22"/>
  <c r="R218" i="22"/>
  <c r="R220" i="22"/>
  <c r="Q41" i="22"/>
  <c r="P228" i="8"/>
  <c r="O57" i="8"/>
  <c r="R227" i="8"/>
  <c r="Q55" i="8"/>
  <c r="T215" i="8"/>
  <c r="S31" i="8"/>
  <c r="S220" i="8"/>
  <c r="R41" i="8"/>
  <c r="S226" i="8"/>
  <c r="R53" i="8"/>
  <c r="S224" i="8"/>
  <c r="R49" i="8"/>
  <c r="S216" i="8"/>
  <c r="R33" i="8"/>
  <c r="S227" i="7"/>
  <c r="R55" i="7"/>
  <c r="S226" i="7"/>
  <c r="R53" i="7"/>
  <c r="S225" i="7"/>
  <c r="R51" i="7"/>
  <c r="Q223" i="7"/>
  <c r="P47" i="7"/>
  <c r="L216" i="7"/>
  <c r="K33" i="7"/>
  <c r="P222" i="7"/>
  <c r="O45" i="7"/>
  <c r="S231" i="6"/>
  <c r="R57" i="6"/>
  <c r="S230" i="6"/>
  <c r="R55" i="6"/>
  <c r="S229" i="6"/>
  <c r="R53" i="6"/>
  <c r="S228" i="6"/>
  <c r="R51" i="6"/>
  <c r="S227" i="6"/>
  <c r="R49" i="6"/>
  <c r="Q225" i="6"/>
  <c r="P45" i="6"/>
  <c r="R230" i="9"/>
  <c r="Q61" i="9"/>
  <c r="S229" i="9"/>
  <c r="R59" i="9"/>
  <c r="R218" i="9"/>
  <c r="Q37" i="9"/>
  <c r="R220" i="9"/>
  <c r="Q41" i="9"/>
  <c r="O216" i="9"/>
  <c r="N33" i="9"/>
  <c r="Q241" i="1"/>
  <c r="P69" i="1"/>
  <c r="S238" i="1"/>
  <c r="R63" i="1"/>
  <c r="S230" i="1"/>
  <c r="R47" i="1"/>
  <c r="Q231" i="1"/>
  <c r="P49" i="1"/>
  <c r="S234" i="1"/>
  <c r="R55" i="1"/>
  <c r="Q229" i="1"/>
  <c r="P45" i="1"/>
  <c r="Q225" i="1"/>
  <c r="P37" i="1"/>
  <c r="Q227" i="1"/>
  <c r="P41" i="1"/>
  <c r="S226" i="1"/>
  <c r="R39" i="1"/>
  <c r="R224" i="7"/>
  <c r="Q49" i="7"/>
  <c r="J73" i="20"/>
  <c r="BT74" i="2"/>
  <c r="I79" i="20"/>
  <c r="BK80" i="2"/>
  <c r="CL81" i="2"/>
  <c r="L80" i="20"/>
  <c r="CC63" i="2"/>
  <c r="K62" i="20"/>
  <c r="D372" i="40"/>
  <c r="FE147" i="10"/>
  <c r="E67" i="10"/>
  <c r="F233" i="10"/>
  <c r="H231" i="22"/>
  <c r="G63" i="22"/>
  <c r="M57" i="11"/>
  <c r="N228" i="11"/>
  <c r="O79" i="8"/>
  <c r="P239" i="8"/>
  <c r="D231" i="10"/>
  <c r="C63" i="10"/>
  <c r="C231" i="10"/>
  <c r="M229" i="7"/>
  <c r="L59" i="7"/>
  <c r="O71" i="8"/>
  <c r="P235" i="8"/>
  <c r="K79" i="11"/>
  <c r="L239" i="11"/>
  <c r="K230" i="7"/>
  <c r="J61" i="7"/>
  <c r="Q233" i="7"/>
  <c r="P67" i="7"/>
  <c r="N77" i="7"/>
  <c r="O238" i="7"/>
  <c r="N51" i="11"/>
  <c r="O225" i="11"/>
  <c r="E79" i="22"/>
  <c r="F239" i="22"/>
  <c r="G63" i="8"/>
  <c r="H231" i="8"/>
  <c r="H79" i="7"/>
  <c r="I239" i="7"/>
  <c r="O77" i="22"/>
  <c r="P238" i="22"/>
  <c r="FG144" i="10"/>
  <c r="FH54" i="10"/>
  <c r="P230" i="10"/>
  <c r="O61" i="10"/>
  <c r="P231" i="9"/>
  <c r="O63" i="9"/>
  <c r="P47" i="6"/>
  <c r="Q226" i="6"/>
  <c r="E65" i="9"/>
  <c r="F232" i="9"/>
  <c r="O238" i="10"/>
  <c r="N77" i="10"/>
  <c r="O69" i="10"/>
  <c r="P234" i="10"/>
  <c r="F236" i="22"/>
  <c r="E73" i="22"/>
  <c r="G71" i="22"/>
  <c r="H235" i="22"/>
  <c r="FF145" i="10"/>
  <c r="FF146" i="10"/>
  <c r="R228" i="22"/>
  <c r="Q57" i="22"/>
  <c r="N77" i="11"/>
  <c r="O238" i="11"/>
  <c r="J47" i="11"/>
  <c r="K223" i="11"/>
  <c r="F79" i="9"/>
  <c r="G239" i="9"/>
  <c r="R95" i="2"/>
  <c r="D95" i="20"/>
  <c r="Q219" i="10"/>
  <c r="P39" i="10"/>
  <c r="Q224" i="10"/>
  <c r="P49" i="10"/>
  <c r="Q223" i="10"/>
  <c r="P47" i="10"/>
  <c r="R226" i="10"/>
  <c r="Q53" i="10"/>
  <c r="Q221" i="10"/>
  <c r="P43" i="10"/>
  <c r="Q217" i="10"/>
  <c r="P35" i="10"/>
  <c r="Q220" i="10"/>
  <c r="P41" i="10"/>
  <c r="P222" i="10"/>
  <c r="O45" i="10"/>
  <c r="Q31" i="10"/>
  <c r="R215" i="10"/>
  <c r="P33" i="10"/>
  <c r="Q216" i="10"/>
  <c r="Q221" i="22"/>
  <c r="P43" i="22"/>
  <c r="P53" i="22"/>
  <c r="Q226" i="22"/>
  <c r="P223" i="22"/>
  <c r="O47" i="22"/>
  <c r="Q51" i="22"/>
  <c r="R225" i="22"/>
  <c r="R223" i="8"/>
  <c r="Q47" i="8"/>
  <c r="Q225" i="8"/>
  <c r="P51" i="8"/>
  <c r="H73" i="8"/>
  <c r="I236" i="8"/>
  <c r="M77" i="9"/>
  <c r="N238" i="9"/>
  <c r="R216" i="22"/>
  <c r="Q33" i="22"/>
  <c r="M73" i="9"/>
  <c r="N236" i="9"/>
  <c r="I67" i="2"/>
  <c r="C67" i="20"/>
  <c r="M217" i="8"/>
  <c r="L35" i="8"/>
  <c r="P45" i="8"/>
  <c r="Q222" i="8"/>
  <c r="O43" i="8"/>
  <c r="P221" i="8"/>
  <c r="Q216" i="11"/>
  <c r="P33" i="11"/>
  <c r="F63" i="7"/>
  <c r="G231" i="7"/>
  <c r="Q215" i="9"/>
  <c r="P31" i="9"/>
  <c r="R226" i="9"/>
  <c r="Q53" i="9"/>
  <c r="O31" i="1"/>
  <c r="P222" i="1"/>
  <c r="R224" i="1"/>
  <c r="Q35" i="1"/>
  <c r="P223" i="1"/>
  <c r="O33" i="1"/>
  <c r="R239" i="1"/>
  <c r="Q65" i="1"/>
  <c r="R236" i="1"/>
  <c r="Q59" i="1"/>
  <c r="Q233" i="1"/>
  <c r="P53" i="1"/>
  <c r="Q232" i="1"/>
  <c r="P51" i="1"/>
  <c r="AJ86" i="2"/>
  <c r="F86" i="20"/>
  <c r="BB75" i="2"/>
  <c r="H75" i="20"/>
  <c r="P222" i="22"/>
  <c r="O45" i="22"/>
  <c r="P218" i="6"/>
  <c r="O31" i="6"/>
  <c r="Q220" i="6"/>
  <c r="P35" i="6"/>
  <c r="P224" i="6"/>
  <c r="O43" i="6"/>
  <c r="Q214" i="6"/>
  <c r="P23" i="6"/>
  <c r="Q221" i="6"/>
  <c r="P37" i="6"/>
  <c r="Q223" i="6"/>
  <c r="P41" i="6"/>
  <c r="Q215" i="6"/>
  <c r="P25" i="6"/>
  <c r="Q217" i="6"/>
  <c r="Q219" i="6"/>
  <c r="P33" i="6"/>
  <c r="Q216" i="6"/>
  <c r="P27" i="6"/>
  <c r="R228" i="1"/>
  <c r="Q43" i="1"/>
  <c r="L83" i="1"/>
  <c r="M248" i="1"/>
  <c r="M81" i="1"/>
  <c r="N247" i="1"/>
  <c r="L39" i="8"/>
  <c r="M219" i="8"/>
  <c r="P218" i="8"/>
  <c r="O37" i="8"/>
  <c r="M45" i="11"/>
  <c r="N222" i="11"/>
  <c r="AA86" i="2"/>
  <c r="E86" i="20"/>
  <c r="Q224" i="22"/>
  <c r="P49" i="22"/>
  <c r="Q217" i="22"/>
  <c r="P35" i="22"/>
  <c r="P219" i="22"/>
  <c r="O39" i="22"/>
  <c r="O37" i="7"/>
  <c r="P218" i="7"/>
  <c r="P215" i="7"/>
  <c r="O31" i="7"/>
  <c r="Q221" i="7"/>
  <c r="P43" i="7"/>
  <c r="Q217" i="7"/>
  <c r="P35" i="7"/>
  <c r="N220" i="7"/>
  <c r="M41" i="7"/>
  <c r="P219" i="7"/>
  <c r="O39" i="7"/>
  <c r="M39" i="6"/>
  <c r="N222" i="6"/>
  <c r="R43" i="9"/>
  <c r="S221" i="9"/>
  <c r="Q47" i="9"/>
  <c r="R223" i="9"/>
  <c r="M227" i="9"/>
  <c r="L55" i="9"/>
  <c r="Q217" i="9"/>
  <c r="P35" i="9"/>
  <c r="M39" i="9"/>
  <c r="N219" i="9"/>
  <c r="O51" i="9"/>
  <c r="P225" i="9"/>
  <c r="N57" i="9"/>
  <c r="O228" i="9"/>
  <c r="P49" i="9"/>
  <c r="Q224" i="9"/>
  <c r="Q222" i="9"/>
  <c r="P45" i="9"/>
  <c r="N73" i="1"/>
  <c r="O243" i="1"/>
  <c r="R246" i="1"/>
  <c r="Q79" i="1"/>
  <c r="K235" i="1"/>
  <c r="J57" i="1"/>
  <c r="Q242" i="1"/>
  <c r="P71" i="1"/>
  <c r="Q244" i="1"/>
  <c r="P75" i="1"/>
  <c r="N77" i="1"/>
  <c r="O245" i="1"/>
  <c r="O61" i="1"/>
  <c r="P237" i="1"/>
  <c r="O67" i="1"/>
  <c r="P240" i="1"/>
  <c r="L221" i="11"/>
  <c r="K43" i="11"/>
  <c r="AS77" i="2"/>
  <c r="G77" i="20"/>
  <c r="N215" i="11"/>
  <c r="Q219" i="11"/>
  <c r="P39" i="11"/>
  <c r="N220" i="11"/>
  <c r="M41" i="11"/>
  <c r="P218" i="11"/>
  <c r="O37" i="11"/>
  <c r="Q225" i="10"/>
  <c r="P51" i="10"/>
  <c r="Q218" i="10"/>
  <c r="P37" i="10"/>
  <c r="R229" i="22"/>
  <c r="Q59" i="22"/>
  <c r="Q220" i="22"/>
  <c r="P41" i="22"/>
  <c r="Q218" i="22"/>
  <c r="Q227" i="22"/>
  <c r="P55" i="22"/>
  <c r="O228" i="8"/>
  <c r="N57" i="8"/>
  <c r="Q227" i="8"/>
  <c r="P55" i="8"/>
  <c r="R226" i="8"/>
  <c r="Q53" i="8"/>
  <c r="S215" i="8"/>
  <c r="R31" i="8"/>
  <c r="R216" i="8"/>
  <c r="Q33" i="8"/>
  <c r="R224" i="8"/>
  <c r="Q49" i="8"/>
  <c r="R220" i="8"/>
  <c r="Q41" i="8"/>
  <c r="R227" i="7"/>
  <c r="Q55" i="7"/>
  <c r="R226" i="7"/>
  <c r="Q53" i="7"/>
  <c r="R225" i="7"/>
  <c r="Q51" i="7"/>
  <c r="O222" i="7"/>
  <c r="N45" i="7"/>
  <c r="P223" i="7"/>
  <c r="O47" i="7"/>
  <c r="K216" i="7"/>
  <c r="J33" i="7"/>
  <c r="R231" i="6"/>
  <c r="Q57" i="6"/>
  <c r="R230" i="6"/>
  <c r="Q55" i="6"/>
  <c r="R229" i="6"/>
  <c r="Q53" i="6"/>
  <c r="R228" i="6"/>
  <c r="Q51" i="6"/>
  <c r="R227" i="6"/>
  <c r="Q49" i="6"/>
  <c r="P225" i="6"/>
  <c r="O45" i="6"/>
  <c r="Q230" i="9"/>
  <c r="P61" i="9"/>
  <c r="R229" i="9"/>
  <c r="Q59" i="9"/>
  <c r="N216" i="9"/>
  <c r="M33" i="9"/>
  <c r="Q218" i="9"/>
  <c r="P37" i="9"/>
  <c r="Q220" i="9"/>
  <c r="P41" i="9"/>
  <c r="P241" i="1"/>
  <c r="O69" i="1"/>
  <c r="R238" i="1"/>
  <c r="Q63" i="1"/>
  <c r="R234" i="1"/>
  <c r="Q55" i="1"/>
  <c r="R230" i="1"/>
  <c r="Q47" i="1"/>
  <c r="P231" i="1"/>
  <c r="O49" i="1"/>
  <c r="P229" i="1"/>
  <c r="O45" i="1"/>
  <c r="P227" i="1"/>
  <c r="O41" i="1"/>
  <c r="P225" i="1"/>
  <c r="O37" i="1"/>
  <c r="R226" i="1"/>
  <c r="Q39" i="1"/>
  <c r="P49" i="7"/>
  <c r="Q224" i="7"/>
  <c r="J74" i="20"/>
  <c r="BT75" i="2"/>
  <c r="I80" i="20"/>
  <c r="BK81" i="2"/>
  <c r="CL82" i="2"/>
  <c r="L81" i="20"/>
  <c r="CC64" i="2"/>
  <c r="K63" i="20"/>
  <c r="FF147" i="10"/>
  <c r="D73" i="22"/>
  <c r="E236" i="22"/>
  <c r="N238" i="10"/>
  <c r="M77" i="10"/>
  <c r="O230" i="10"/>
  <c r="N61" i="10"/>
  <c r="O67" i="7"/>
  <c r="P233" i="7"/>
  <c r="K59" i="7"/>
  <c r="L229" i="7"/>
  <c r="F63" i="22"/>
  <c r="G231" i="22"/>
  <c r="M77" i="11"/>
  <c r="N238" i="11"/>
  <c r="F63" i="8"/>
  <c r="G231" i="8"/>
  <c r="J79" i="11"/>
  <c r="K239" i="11"/>
  <c r="O239" i="8"/>
  <c r="N79" i="8"/>
  <c r="P57" i="22"/>
  <c r="Q228" i="22"/>
  <c r="N63" i="9"/>
  <c r="O231" i="9"/>
  <c r="FH144" i="10"/>
  <c r="FI54" i="10"/>
  <c r="J230" i="7"/>
  <c r="I61" i="7"/>
  <c r="F239" i="9"/>
  <c r="E79" i="9"/>
  <c r="O47" i="6"/>
  <c r="P226" i="6"/>
  <c r="N77" i="22"/>
  <c r="O238" i="22"/>
  <c r="M51" i="11"/>
  <c r="N225" i="11"/>
  <c r="J223" i="11"/>
  <c r="I47" i="11"/>
  <c r="F71" i="22"/>
  <c r="G235" i="22"/>
  <c r="N69" i="10"/>
  <c r="O234" i="10"/>
  <c r="D65" i="9"/>
  <c r="E232" i="9"/>
  <c r="FG145" i="10"/>
  <c r="FG146" i="10"/>
  <c r="H239" i="7"/>
  <c r="G79" i="7"/>
  <c r="E239" i="22"/>
  <c r="D79" i="22"/>
  <c r="M77" i="7"/>
  <c r="N238" i="7"/>
  <c r="O235" i="8"/>
  <c r="N71" i="8"/>
  <c r="L57" i="11"/>
  <c r="M228" i="11"/>
  <c r="E233" i="10"/>
  <c r="D67" i="10"/>
  <c r="R96" i="2"/>
  <c r="D96" i="20"/>
  <c r="O222" i="10"/>
  <c r="N45" i="10"/>
  <c r="P217" i="10"/>
  <c r="O35" i="10"/>
  <c r="P53" i="10"/>
  <c r="Q226" i="10"/>
  <c r="P224" i="10"/>
  <c r="O49" i="10"/>
  <c r="O33" i="10"/>
  <c r="P216" i="10"/>
  <c r="O41" i="10"/>
  <c r="P220" i="10"/>
  <c r="P221" i="10"/>
  <c r="O43" i="10"/>
  <c r="P223" i="10"/>
  <c r="O47" i="10"/>
  <c r="O39" i="10"/>
  <c r="P219" i="10"/>
  <c r="P31" i="10"/>
  <c r="Q215" i="10"/>
  <c r="Q225" i="22"/>
  <c r="P51" i="22"/>
  <c r="P226" i="22"/>
  <c r="O53" i="22"/>
  <c r="O223" i="22"/>
  <c r="N47" i="22"/>
  <c r="O43" i="22"/>
  <c r="P221" i="22"/>
  <c r="Q223" i="8"/>
  <c r="P47" i="8"/>
  <c r="P225" i="8"/>
  <c r="O51" i="8"/>
  <c r="L77" i="9"/>
  <c r="M238" i="9"/>
  <c r="L73" i="9"/>
  <c r="M236" i="9"/>
  <c r="Q216" i="22"/>
  <c r="P33" i="22"/>
  <c r="G73" i="8"/>
  <c r="H236" i="8"/>
  <c r="I68" i="2"/>
  <c r="C68" i="20"/>
  <c r="O221" i="8"/>
  <c r="N43" i="8"/>
  <c r="O45" i="8"/>
  <c r="P222" i="8"/>
  <c r="K35" i="8"/>
  <c r="L217" i="8"/>
  <c r="P216" i="11"/>
  <c r="O33" i="11"/>
  <c r="E63" i="7"/>
  <c r="F231" i="7"/>
  <c r="P53" i="9"/>
  <c r="Q226" i="9"/>
  <c r="O31" i="9"/>
  <c r="P215" i="9"/>
  <c r="O222" i="1"/>
  <c r="N31" i="1"/>
  <c r="O53" i="1"/>
  <c r="P233" i="1"/>
  <c r="Q236" i="1"/>
  <c r="P59" i="1"/>
  <c r="Q239" i="1"/>
  <c r="P65" i="1"/>
  <c r="O223" i="1"/>
  <c r="N33" i="1"/>
  <c r="P35" i="1"/>
  <c r="Q224" i="1"/>
  <c r="O51" i="1"/>
  <c r="P232" i="1"/>
  <c r="AJ87" i="2"/>
  <c r="F87" i="20"/>
  <c r="BB76" i="2"/>
  <c r="H76" i="20"/>
  <c r="O222" i="22"/>
  <c r="N45" i="22"/>
  <c r="P216" i="6"/>
  <c r="O27" i="6"/>
  <c r="P219" i="6"/>
  <c r="O33" i="6"/>
  <c r="P217" i="6"/>
  <c r="P215" i="6"/>
  <c r="O25" i="6"/>
  <c r="P223" i="6"/>
  <c r="O41" i="6"/>
  <c r="P221" i="6"/>
  <c r="O37" i="6"/>
  <c r="P214" i="6"/>
  <c r="O23" i="6"/>
  <c r="O224" i="6"/>
  <c r="N43" i="6"/>
  <c r="P220" i="6"/>
  <c r="O35" i="6"/>
  <c r="O218" i="6"/>
  <c r="N31" i="6"/>
  <c r="P43" i="1"/>
  <c r="Q228" i="1"/>
  <c r="L81" i="1"/>
  <c r="M247" i="1"/>
  <c r="L248" i="1"/>
  <c r="K83" i="1"/>
  <c r="N37" i="8"/>
  <c r="O218" i="8"/>
  <c r="K39" i="8"/>
  <c r="L219" i="8"/>
  <c r="L45" i="11"/>
  <c r="M222" i="11"/>
  <c r="AA87" i="2"/>
  <c r="E87" i="20"/>
  <c r="P217" i="22"/>
  <c r="O35" i="22"/>
  <c r="O219" i="22"/>
  <c r="N39" i="22"/>
  <c r="P224" i="22"/>
  <c r="O49" i="22"/>
  <c r="M220" i="7"/>
  <c r="L41" i="7"/>
  <c r="P221" i="7"/>
  <c r="O43" i="7"/>
  <c r="O215" i="7"/>
  <c r="N31" i="7"/>
  <c r="O219" i="7"/>
  <c r="N39" i="7"/>
  <c r="O35" i="7"/>
  <c r="P217" i="7"/>
  <c r="N37" i="7"/>
  <c r="O218" i="7"/>
  <c r="L39" i="6"/>
  <c r="M222" i="6"/>
  <c r="P217" i="9"/>
  <c r="O35" i="9"/>
  <c r="P47" i="9"/>
  <c r="Q223" i="9"/>
  <c r="K55" i="9"/>
  <c r="L227" i="9"/>
  <c r="M219" i="9"/>
  <c r="L39" i="9"/>
  <c r="Q43" i="9"/>
  <c r="R221" i="9"/>
  <c r="N51" i="9"/>
  <c r="O225" i="9"/>
  <c r="P222" i="9"/>
  <c r="O45" i="9"/>
  <c r="M57" i="9"/>
  <c r="N228" i="9"/>
  <c r="P224" i="9"/>
  <c r="O49" i="9"/>
  <c r="P244" i="1"/>
  <c r="O75" i="1"/>
  <c r="P242" i="1"/>
  <c r="O71" i="1"/>
  <c r="P79" i="1"/>
  <c r="Q246" i="1"/>
  <c r="I57" i="1"/>
  <c r="J235" i="1"/>
  <c r="O240" i="1"/>
  <c r="N67" i="1"/>
  <c r="O237" i="1"/>
  <c r="N61" i="1"/>
  <c r="M77" i="1"/>
  <c r="N245" i="1"/>
  <c r="N243" i="1"/>
  <c r="M73" i="1"/>
  <c r="K221" i="11"/>
  <c r="J43" i="11"/>
  <c r="AS78" i="2"/>
  <c r="G78" i="20"/>
  <c r="M220" i="11"/>
  <c r="L41" i="11"/>
  <c r="M215" i="11"/>
  <c r="O218" i="11"/>
  <c r="N37" i="11"/>
  <c r="P219" i="11"/>
  <c r="O39" i="11"/>
  <c r="P225" i="10"/>
  <c r="O51" i="10"/>
  <c r="P218" i="10"/>
  <c r="O37" i="10"/>
  <c r="Q229" i="22"/>
  <c r="P59" i="22"/>
  <c r="P220" i="22"/>
  <c r="O41" i="22"/>
  <c r="P227" i="22"/>
  <c r="O55" i="22"/>
  <c r="P218" i="22"/>
  <c r="N228" i="8"/>
  <c r="M57" i="8"/>
  <c r="P227" i="8"/>
  <c r="O55" i="8"/>
  <c r="Q224" i="8"/>
  <c r="P49" i="8"/>
  <c r="Q216" i="8"/>
  <c r="P33" i="8"/>
  <c r="Q226" i="8"/>
  <c r="P53" i="8"/>
  <c r="Q220" i="8"/>
  <c r="P41" i="8"/>
  <c r="R215" i="8"/>
  <c r="Q31" i="8"/>
  <c r="Q227" i="7"/>
  <c r="P55" i="7"/>
  <c r="Q226" i="7"/>
  <c r="P53" i="7"/>
  <c r="Q225" i="7"/>
  <c r="P51" i="7"/>
  <c r="J216" i="7"/>
  <c r="I33" i="7"/>
  <c r="O223" i="7"/>
  <c r="N47" i="7"/>
  <c r="N222" i="7"/>
  <c r="M45" i="7"/>
  <c r="Q231" i="6"/>
  <c r="P57" i="6"/>
  <c r="Q230" i="6"/>
  <c r="P55" i="6"/>
  <c r="Q229" i="6"/>
  <c r="P53" i="6"/>
  <c r="Q228" i="6"/>
  <c r="P51" i="6"/>
  <c r="Q227" i="6"/>
  <c r="P49" i="6"/>
  <c r="O225" i="6"/>
  <c r="N45" i="6"/>
  <c r="P230" i="9"/>
  <c r="O61" i="9"/>
  <c r="Q229" i="9"/>
  <c r="P59" i="9"/>
  <c r="P220" i="9"/>
  <c r="O41" i="9"/>
  <c r="P218" i="9"/>
  <c r="O37" i="9"/>
  <c r="M216" i="9"/>
  <c r="L33" i="9"/>
  <c r="O241" i="1"/>
  <c r="N69" i="1"/>
  <c r="Q238" i="1"/>
  <c r="P63" i="1"/>
  <c r="O231" i="1"/>
  <c r="N49" i="1"/>
  <c r="Q234" i="1"/>
  <c r="P55" i="1"/>
  <c r="Q230" i="1"/>
  <c r="P47" i="1"/>
  <c r="O229" i="1"/>
  <c r="N45" i="1"/>
  <c r="Q226" i="1"/>
  <c r="P39" i="1"/>
  <c r="O225" i="1"/>
  <c r="N37" i="1"/>
  <c r="O227" i="1"/>
  <c r="N41" i="1"/>
  <c r="P224" i="7"/>
  <c r="O49" i="7"/>
  <c r="J75" i="20"/>
  <c r="BT76" i="2"/>
  <c r="I81" i="20"/>
  <c r="BK82" i="2"/>
  <c r="CL83" i="2"/>
  <c r="L82" i="20"/>
  <c r="CC65" i="2"/>
  <c r="K64" i="20"/>
  <c r="FG147" i="10"/>
  <c r="D233" i="10"/>
  <c r="C67" i="10"/>
  <c r="C233" i="10"/>
  <c r="N230" i="10"/>
  <c r="M61" i="10"/>
  <c r="K57" i="11"/>
  <c r="L228" i="11"/>
  <c r="M238" i="7"/>
  <c r="L77" i="7"/>
  <c r="C65" i="9"/>
  <c r="C232" i="9"/>
  <c r="D232" i="9"/>
  <c r="F235" i="22"/>
  <c r="E71" i="22"/>
  <c r="L51" i="11"/>
  <c r="M225" i="11"/>
  <c r="O226" i="6"/>
  <c r="N47" i="6"/>
  <c r="M63" i="9"/>
  <c r="N231" i="9"/>
  <c r="E63" i="8"/>
  <c r="F231" i="8"/>
  <c r="F231" i="22"/>
  <c r="E63" i="22"/>
  <c r="N67" i="7"/>
  <c r="O233" i="7"/>
  <c r="M71" i="8"/>
  <c r="N235" i="8"/>
  <c r="I223" i="11"/>
  <c r="H47" i="11"/>
  <c r="E239" i="9"/>
  <c r="D79" i="9"/>
  <c r="FI144" i="10"/>
  <c r="FJ54" i="10"/>
  <c r="N234" i="10"/>
  <c r="M69" i="10"/>
  <c r="M77" i="22"/>
  <c r="N238" i="22"/>
  <c r="FH145" i="10"/>
  <c r="FH146" i="10"/>
  <c r="P228" i="22"/>
  <c r="O57" i="22"/>
  <c r="I79" i="11"/>
  <c r="J239" i="11"/>
  <c r="L77" i="11"/>
  <c r="M238" i="11"/>
  <c r="J59" i="7"/>
  <c r="K229" i="7"/>
  <c r="D236" i="22"/>
  <c r="C73" i="22"/>
  <c r="C236" i="22"/>
  <c r="D239" i="22"/>
  <c r="C79" i="22"/>
  <c r="C239" i="22"/>
  <c r="F79" i="7"/>
  <c r="G239" i="7"/>
  <c r="H61" i="7"/>
  <c r="I230" i="7"/>
  <c r="M79" i="8"/>
  <c r="N239" i="8"/>
  <c r="M238" i="10"/>
  <c r="L77" i="10"/>
  <c r="R97" i="2"/>
  <c r="D97" i="20"/>
  <c r="O223" i="10"/>
  <c r="N47" i="10"/>
  <c r="O224" i="10"/>
  <c r="N49" i="10"/>
  <c r="O217" i="10"/>
  <c r="N35" i="10"/>
  <c r="O31" i="10"/>
  <c r="P215" i="10"/>
  <c r="O220" i="10"/>
  <c r="N41" i="10"/>
  <c r="O221" i="10"/>
  <c r="N43" i="10"/>
  <c r="N222" i="10"/>
  <c r="M45" i="10"/>
  <c r="O219" i="10"/>
  <c r="N39" i="10"/>
  <c r="O216" i="10"/>
  <c r="N33" i="10"/>
  <c r="P226" i="10"/>
  <c r="O53" i="10"/>
  <c r="N223" i="22"/>
  <c r="M47" i="22"/>
  <c r="N53" i="22"/>
  <c r="O226" i="22"/>
  <c r="O51" i="22"/>
  <c r="P225" i="22"/>
  <c r="O221" i="22"/>
  <c r="N43" i="22"/>
  <c r="O225" i="8"/>
  <c r="N51" i="8"/>
  <c r="P223" i="8"/>
  <c r="O47" i="8"/>
  <c r="K77" i="9"/>
  <c r="L238" i="9"/>
  <c r="F73" i="8"/>
  <c r="G236" i="8"/>
  <c r="K73" i="9"/>
  <c r="L236" i="9"/>
  <c r="P216" i="22"/>
  <c r="O33" i="22"/>
  <c r="I69" i="2"/>
  <c r="C69" i="20"/>
  <c r="K217" i="8"/>
  <c r="J35" i="8"/>
  <c r="O222" i="8"/>
  <c r="N45" i="8"/>
  <c r="M43" i="8"/>
  <c r="N221" i="8"/>
  <c r="O216" i="11"/>
  <c r="N33" i="11"/>
  <c r="D63" i="7"/>
  <c r="E231" i="7"/>
  <c r="O215" i="9"/>
  <c r="N31" i="9"/>
  <c r="O53" i="9"/>
  <c r="P226" i="9"/>
  <c r="M31" i="1"/>
  <c r="N222" i="1"/>
  <c r="O35" i="1"/>
  <c r="P224" i="1"/>
  <c r="N53" i="1"/>
  <c r="O233" i="1"/>
  <c r="M33" i="1"/>
  <c r="N223" i="1"/>
  <c r="O65" i="1"/>
  <c r="P239" i="1"/>
  <c r="P236" i="1"/>
  <c r="O59" i="1"/>
  <c r="N51" i="1"/>
  <c r="O232" i="1"/>
  <c r="AJ88" i="2"/>
  <c r="F88" i="20"/>
  <c r="BB77" i="2"/>
  <c r="H77" i="20"/>
  <c r="N222" i="22"/>
  <c r="M45" i="22"/>
  <c r="N218" i="6"/>
  <c r="M31" i="6"/>
  <c r="O220" i="6"/>
  <c r="N35" i="6"/>
  <c r="N224" i="6"/>
  <c r="M43" i="6"/>
  <c r="O214" i="6"/>
  <c r="N23" i="6"/>
  <c r="N37" i="6"/>
  <c r="O221" i="6"/>
  <c r="N41" i="6"/>
  <c r="O223" i="6"/>
  <c r="N25" i="6"/>
  <c r="O215" i="6"/>
  <c r="O217" i="6"/>
  <c r="O219" i="6"/>
  <c r="N33" i="6"/>
  <c r="O216" i="6"/>
  <c r="N27" i="6"/>
  <c r="J83" i="1"/>
  <c r="K248" i="1"/>
  <c r="L247" i="1"/>
  <c r="K81" i="1"/>
  <c r="O43" i="1"/>
  <c r="P228" i="1"/>
  <c r="J39" i="8"/>
  <c r="K219" i="8"/>
  <c r="N218" i="8"/>
  <c r="M37" i="8"/>
  <c r="K45" i="11"/>
  <c r="L222" i="11"/>
  <c r="AA88" i="2"/>
  <c r="E88" i="20"/>
  <c r="N219" i="22"/>
  <c r="M39" i="22"/>
  <c r="O224" i="22"/>
  <c r="N49" i="22"/>
  <c r="O217" i="22"/>
  <c r="N35" i="22"/>
  <c r="N219" i="7"/>
  <c r="M39" i="7"/>
  <c r="O221" i="7"/>
  <c r="N43" i="7"/>
  <c r="N215" i="7"/>
  <c r="M31" i="7"/>
  <c r="L220" i="7"/>
  <c r="K41" i="7"/>
  <c r="M37" i="7"/>
  <c r="N218" i="7"/>
  <c r="N35" i="7"/>
  <c r="O217" i="7"/>
  <c r="K39" i="6"/>
  <c r="L222" i="6"/>
  <c r="L219" i="9"/>
  <c r="K39" i="9"/>
  <c r="P223" i="9"/>
  <c r="O47" i="9"/>
  <c r="N35" i="9"/>
  <c r="O217" i="9"/>
  <c r="Q221" i="9"/>
  <c r="P43" i="9"/>
  <c r="K227" i="9"/>
  <c r="J55" i="9"/>
  <c r="N225" i="9"/>
  <c r="M51" i="9"/>
  <c r="O224" i="9"/>
  <c r="N49" i="9"/>
  <c r="L57" i="9"/>
  <c r="M228" i="9"/>
  <c r="O222" i="9"/>
  <c r="N45" i="9"/>
  <c r="L73" i="1"/>
  <c r="M243" i="1"/>
  <c r="M67" i="1"/>
  <c r="N240" i="1"/>
  <c r="N71" i="1"/>
  <c r="O242" i="1"/>
  <c r="L77" i="1"/>
  <c r="M245" i="1"/>
  <c r="N237" i="1"/>
  <c r="M61" i="1"/>
  <c r="N75" i="1"/>
  <c r="O244" i="1"/>
  <c r="I235" i="1"/>
  <c r="H57" i="1"/>
  <c r="P246" i="1"/>
  <c r="O79" i="1"/>
  <c r="J221" i="11"/>
  <c r="I43" i="11"/>
  <c r="AS79" i="2"/>
  <c r="G79" i="20"/>
  <c r="N218" i="11"/>
  <c r="M37" i="11"/>
  <c r="L220" i="11"/>
  <c r="K41" i="11"/>
  <c r="O219" i="11"/>
  <c r="N39" i="11"/>
  <c r="L215" i="11"/>
  <c r="O225" i="10"/>
  <c r="N51" i="10"/>
  <c r="O218" i="10"/>
  <c r="N37" i="10"/>
  <c r="P229" i="22"/>
  <c r="O59" i="22"/>
  <c r="O227" i="22"/>
  <c r="N55" i="22"/>
  <c r="O218" i="22"/>
  <c r="O220" i="22"/>
  <c r="N41" i="22"/>
  <c r="M228" i="8"/>
  <c r="L57" i="8"/>
  <c r="O227" i="8"/>
  <c r="N55" i="8"/>
  <c r="P226" i="8"/>
  <c r="O53" i="8"/>
  <c r="P224" i="8"/>
  <c r="O49" i="8"/>
  <c r="Q215" i="8"/>
  <c r="P31" i="8"/>
  <c r="P220" i="8"/>
  <c r="O41" i="8"/>
  <c r="P216" i="8"/>
  <c r="O33" i="8"/>
  <c r="P227" i="7"/>
  <c r="O55" i="7"/>
  <c r="P226" i="7"/>
  <c r="O53" i="7"/>
  <c r="P225" i="7"/>
  <c r="O51" i="7"/>
  <c r="M222" i="7"/>
  <c r="L45" i="7"/>
  <c r="I216" i="7"/>
  <c r="H33" i="7"/>
  <c r="N223" i="7"/>
  <c r="M47" i="7"/>
  <c r="P231" i="6"/>
  <c r="O57" i="6"/>
  <c r="P230" i="6"/>
  <c r="O55" i="6"/>
  <c r="P229" i="6"/>
  <c r="O53" i="6"/>
  <c r="P228" i="6"/>
  <c r="O51" i="6"/>
  <c r="P227" i="6"/>
  <c r="O49" i="6"/>
  <c r="N225" i="6"/>
  <c r="M45" i="6"/>
  <c r="O230" i="9"/>
  <c r="N61" i="9"/>
  <c r="P229" i="9"/>
  <c r="O59" i="9"/>
  <c r="L216" i="9"/>
  <c r="K33" i="9"/>
  <c r="O220" i="9"/>
  <c r="N41" i="9"/>
  <c r="O218" i="9"/>
  <c r="N37" i="9"/>
  <c r="N241" i="1"/>
  <c r="M69" i="1"/>
  <c r="P238" i="1"/>
  <c r="O63" i="1"/>
  <c r="N231" i="1"/>
  <c r="M49" i="1"/>
  <c r="P230" i="1"/>
  <c r="O47" i="1"/>
  <c r="P234" i="1"/>
  <c r="O55" i="1"/>
  <c r="N229" i="1"/>
  <c r="M45" i="1"/>
  <c r="N227" i="1"/>
  <c r="M41" i="1"/>
  <c r="P226" i="1"/>
  <c r="O39" i="1"/>
  <c r="N225" i="1"/>
  <c r="M37" i="1"/>
  <c r="O224" i="7"/>
  <c r="N49" i="7"/>
  <c r="J76" i="20"/>
  <c r="BT77" i="2"/>
  <c r="I82" i="20"/>
  <c r="BK83" i="2"/>
  <c r="CL84" i="2"/>
  <c r="L83" i="20"/>
  <c r="CC66" i="2"/>
  <c r="K65" i="20"/>
  <c r="FH147" i="10"/>
  <c r="K77" i="11"/>
  <c r="L238" i="11"/>
  <c r="N57" i="22"/>
  <c r="O228" i="22"/>
  <c r="FJ144" i="10"/>
  <c r="FK54" i="10"/>
  <c r="H223" i="11"/>
  <c r="G47" i="11"/>
  <c r="N226" i="6"/>
  <c r="M47" i="6"/>
  <c r="E235" i="22"/>
  <c r="D71" i="22"/>
  <c r="K77" i="7"/>
  <c r="L238" i="7"/>
  <c r="M230" i="10"/>
  <c r="L61" i="10"/>
  <c r="F239" i="7"/>
  <c r="E79" i="7"/>
  <c r="M238" i="22"/>
  <c r="L77" i="22"/>
  <c r="D63" i="8"/>
  <c r="E231" i="8"/>
  <c r="L238" i="10"/>
  <c r="K77" i="10"/>
  <c r="L69" i="10"/>
  <c r="M234" i="10"/>
  <c r="D239" i="9"/>
  <c r="C79" i="9"/>
  <c r="C239" i="9"/>
  <c r="E231" i="22"/>
  <c r="D63" i="22"/>
  <c r="M239" i="8"/>
  <c r="L79" i="8"/>
  <c r="FI146" i="10"/>
  <c r="FI145" i="10"/>
  <c r="M67" i="7"/>
  <c r="N233" i="7"/>
  <c r="G61" i="7"/>
  <c r="H230" i="7"/>
  <c r="I59" i="7"/>
  <c r="J229" i="7"/>
  <c r="H79" i="11"/>
  <c r="I239" i="11"/>
  <c r="L71" i="8"/>
  <c r="M235" i="8"/>
  <c r="M231" i="9"/>
  <c r="L63" i="9"/>
  <c r="K51" i="11"/>
  <c r="L225" i="11"/>
  <c r="J57" i="11"/>
  <c r="K228" i="11"/>
  <c r="R98" i="2"/>
  <c r="D98" i="20"/>
  <c r="N53" i="10"/>
  <c r="O226" i="10"/>
  <c r="N219" i="10"/>
  <c r="M39" i="10"/>
  <c r="N221" i="10"/>
  <c r="M43" i="10"/>
  <c r="N224" i="10"/>
  <c r="M49" i="10"/>
  <c r="N31" i="10"/>
  <c r="O215" i="10"/>
  <c r="M33" i="10"/>
  <c r="N216" i="10"/>
  <c r="M222" i="10"/>
  <c r="L45" i="10"/>
  <c r="N220" i="10"/>
  <c r="M41" i="10"/>
  <c r="N217" i="10"/>
  <c r="M35" i="10"/>
  <c r="M47" i="10"/>
  <c r="N223" i="10"/>
  <c r="N221" i="22"/>
  <c r="M43" i="22"/>
  <c r="N226" i="22"/>
  <c r="M53" i="22"/>
  <c r="L47" i="22"/>
  <c r="M223" i="22"/>
  <c r="N51" i="22"/>
  <c r="O225" i="22"/>
  <c r="N47" i="8"/>
  <c r="O223" i="8"/>
  <c r="N225" i="8"/>
  <c r="M51" i="8"/>
  <c r="N33" i="22"/>
  <c r="O216" i="22"/>
  <c r="J73" i="9"/>
  <c r="K236" i="9"/>
  <c r="E73" i="8"/>
  <c r="F236" i="8"/>
  <c r="J77" i="9"/>
  <c r="K238" i="9"/>
  <c r="I70" i="2"/>
  <c r="C70" i="20"/>
  <c r="M221" i="8"/>
  <c r="L43" i="8"/>
  <c r="M45" i="8"/>
  <c r="N222" i="8"/>
  <c r="J217" i="8"/>
  <c r="I35" i="8"/>
  <c r="M33" i="11"/>
  <c r="N216" i="11"/>
  <c r="D231" i="7"/>
  <c r="C63" i="7"/>
  <c r="C231" i="7"/>
  <c r="N215" i="9"/>
  <c r="M31" i="9"/>
  <c r="O226" i="9"/>
  <c r="N53" i="9"/>
  <c r="L31" i="1"/>
  <c r="M222" i="1"/>
  <c r="O239" i="1"/>
  <c r="N65" i="1"/>
  <c r="M223" i="1"/>
  <c r="L33" i="1"/>
  <c r="M53" i="1"/>
  <c r="N233" i="1"/>
  <c r="O224" i="1"/>
  <c r="N35" i="1"/>
  <c r="N59" i="1"/>
  <c r="O236" i="1"/>
  <c r="M51" i="1"/>
  <c r="N232" i="1"/>
  <c r="AJ89" i="2"/>
  <c r="F89" i="20"/>
  <c r="BB78" i="2"/>
  <c r="H78" i="20"/>
  <c r="M222" i="22"/>
  <c r="L45" i="22"/>
  <c r="N216" i="6"/>
  <c r="M27" i="6"/>
  <c r="N219" i="6"/>
  <c r="M33" i="6"/>
  <c r="M23" i="6"/>
  <c r="N214" i="6"/>
  <c r="M224" i="6"/>
  <c r="L43" i="6"/>
  <c r="M35" i="6"/>
  <c r="N220" i="6"/>
  <c r="M218" i="6"/>
  <c r="L31" i="6"/>
  <c r="N217" i="6"/>
  <c r="N215" i="6"/>
  <c r="M25" i="6"/>
  <c r="N223" i="6"/>
  <c r="M41" i="6"/>
  <c r="N221" i="6"/>
  <c r="M37" i="6"/>
  <c r="J81" i="1"/>
  <c r="K247" i="1"/>
  <c r="O228" i="1"/>
  <c r="N43" i="1"/>
  <c r="J248" i="1"/>
  <c r="I83" i="1"/>
  <c r="L37" i="8"/>
  <c r="M218" i="8"/>
  <c r="J219" i="8"/>
  <c r="I39" i="8"/>
  <c r="K222" i="11"/>
  <c r="J45" i="11"/>
  <c r="AA89" i="2"/>
  <c r="E89" i="20"/>
  <c r="N224" i="22"/>
  <c r="M49" i="22"/>
  <c r="N217" i="22"/>
  <c r="M35" i="22"/>
  <c r="M219" i="22"/>
  <c r="L39" i="22"/>
  <c r="M215" i="7"/>
  <c r="L31" i="7"/>
  <c r="M219" i="7"/>
  <c r="L39" i="7"/>
  <c r="M218" i="7"/>
  <c r="L37" i="7"/>
  <c r="J41" i="7"/>
  <c r="K220" i="7"/>
  <c r="M43" i="7"/>
  <c r="N221" i="7"/>
  <c r="M35" i="7"/>
  <c r="N217" i="7"/>
  <c r="J39" i="6"/>
  <c r="K222" i="6"/>
  <c r="P221" i="9"/>
  <c r="O43" i="9"/>
  <c r="O223" i="9"/>
  <c r="N47" i="9"/>
  <c r="J227" i="9"/>
  <c r="I55" i="9"/>
  <c r="K219" i="9"/>
  <c r="J39" i="9"/>
  <c r="N217" i="9"/>
  <c r="M35" i="9"/>
  <c r="M225" i="9"/>
  <c r="L51" i="9"/>
  <c r="N222" i="9"/>
  <c r="M45" i="9"/>
  <c r="K57" i="9"/>
  <c r="L228" i="9"/>
  <c r="N224" i="9"/>
  <c r="M49" i="9"/>
  <c r="O246" i="1"/>
  <c r="N79" i="1"/>
  <c r="M75" i="1"/>
  <c r="N244" i="1"/>
  <c r="M240" i="1"/>
  <c r="L67" i="1"/>
  <c r="G57" i="1"/>
  <c r="H235" i="1"/>
  <c r="M237" i="1"/>
  <c r="L61" i="1"/>
  <c r="K77" i="1"/>
  <c r="L245" i="1"/>
  <c r="M71" i="1"/>
  <c r="N242" i="1"/>
  <c r="L243" i="1"/>
  <c r="K73" i="1"/>
  <c r="H43" i="11"/>
  <c r="I221" i="11"/>
  <c r="AS80" i="2"/>
  <c r="G80" i="20"/>
  <c r="N219" i="11"/>
  <c r="M39" i="11"/>
  <c r="M218" i="11"/>
  <c r="L37" i="11"/>
  <c r="K215" i="11"/>
  <c r="K220" i="11"/>
  <c r="J41" i="11"/>
  <c r="N225" i="10"/>
  <c r="M51" i="10"/>
  <c r="N218" i="10"/>
  <c r="M37" i="10"/>
  <c r="O229" i="22"/>
  <c r="N59" i="22"/>
  <c r="N227" i="22"/>
  <c r="M55" i="22"/>
  <c r="N220" i="22"/>
  <c r="M41" i="22"/>
  <c r="N218" i="22"/>
  <c r="L228" i="8"/>
  <c r="K57" i="8"/>
  <c r="N227" i="8"/>
  <c r="M55" i="8"/>
  <c r="O220" i="8"/>
  <c r="N41" i="8"/>
  <c r="O224" i="8"/>
  <c r="N49" i="8"/>
  <c r="O216" i="8"/>
  <c r="N33" i="8"/>
  <c r="P215" i="8"/>
  <c r="O31" i="8"/>
  <c r="O226" i="8"/>
  <c r="N53" i="8"/>
  <c r="O227" i="7"/>
  <c r="N55" i="7"/>
  <c r="O226" i="7"/>
  <c r="N53" i="7"/>
  <c r="O225" i="7"/>
  <c r="N51" i="7"/>
  <c r="G33" i="7"/>
  <c r="H216" i="7"/>
  <c r="M223" i="7"/>
  <c r="L47" i="7"/>
  <c r="L222" i="7"/>
  <c r="K45" i="7"/>
  <c r="O231" i="6"/>
  <c r="N57" i="6"/>
  <c r="O230" i="6"/>
  <c r="N55" i="6"/>
  <c r="O229" i="6"/>
  <c r="N53" i="6"/>
  <c r="O228" i="6"/>
  <c r="N51" i="6"/>
  <c r="O227" i="6"/>
  <c r="N49" i="6"/>
  <c r="M225" i="6"/>
  <c r="L45" i="6"/>
  <c r="N230" i="9"/>
  <c r="M61" i="9"/>
  <c r="O229" i="9"/>
  <c r="N59" i="9"/>
  <c r="N218" i="9"/>
  <c r="M37" i="9"/>
  <c r="N220" i="9"/>
  <c r="M41" i="9"/>
  <c r="K216" i="9"/>
  <c r="J33" i="9"/>
  <c r="M241" i="1"/>
  <c r="L69" i="1"/>
  <c r="O238" i="1"/>
  <c r="N63" i="1"/>
  <c r="O234" i="1"/>
  <c r="N55" i="1"/>
  <c r="M231" i="1"/>
  <c r="L49" i="1"/>
  <c r="O230" i="1"/>
  <c r="N47" i="1"/>
  <c r="M229" i="1"/>
  <c r="L45" i="1"/>
  <c r="O226" i="1"/>
  <c r="N39" i="1"/>
  <c r="M227" i="1"/>
  <c r="L41" i="1"/>
  <c r="M225" i="1"/>
  <c r="L37" i="1"/>
  <c r="M49" i="7"/>
  <c r="N224" i="7"/>
  <c r="J77" i="20"/>
  <c r="BT78" i="2"/>
  <c r="I83" i="20"/>
  <c r="BK84" i="2"/>
  <c r="CL85" i="2"/>
  <c r="L84" i="20"/>
  <c r="CC67" i="2"/>
  <c r="K66" i="20"/>
  <c r="FI147" i="10"/>
  <c r="K79" i="8"/>
  <c r="L239" i="8"/>
  <c r="K238" i="10"/>
  <c r="J77" i="10"/>
  <c r="K77" i="22"/>
  <c r="L238" i="22"/>
  <c r="L230" i="10"/>
  <c r="K61" i="10"/>
  <c r="D235" i="22"/>
  <c r="C71" i="22"/>
  <c r="C235" i="22"/>
  <c r="F47" i="11"/>
  <c r="G223" i="11"/>
  <c r="J51" i="11"/>
  <c r="K225" i="11"/>
  <c r="H59" i="7"/>
  <c r="I229" i="7"/>
  <c r="L231" i="9"/>
  <c r="K63" i="9"/>
  <c r="C63" i="22"/>
  <c r="C231" i="22"/>
  <c r="D231" i="22"/>
  <c r="E239" i="7"/>
  <c r="D79" i="7"/>
  <c r="L47" i="6"/>
  <c r="M226" i="6"/>
  <c r="FK144" i="10"/>
  <c r="FL54" i="10"/>
  <c r="K71" i="8"/>
  <c r="L235" i="8"/>
  <c r="M233" i="7"/>
  <c r="L67" i="7"/>
  <c r="N228" i="22"/>
  <c r="M57" i="22"/>
  <c r="I57" i="11"/>
  <c r="J228" i="11"/>
  <c r="G79" i="11"/>
  <c r="H239" i="11"/>
  <c r="F61" i="7"/>
  <c r="G230" i="7"/>
  <c r="L234" i="10"/>
  <c r="K69" i="10"/>
  <c r="C63" i="8"/>
  <c r="C231" i="8"/>
  <c r="D231" i="8"/>
  <c r="J77" i="7"/>
  <c r="K238" i="7"/>
  <c r="FJ145" i="10"/>
  <c r="FJ146" i="10"/>
  <c r="J77" i="11"/>
  <c r="K238" i="11"/>
  <c r="R99" i="2"/>
  <c r="D99" i="20"/>
  <c r="M220" i="10"/>
  <c r="L41" i="10"/>
  <c r="L49" i="10"/>
  <c r="M224" i="10"/>
  <c r="M219" i="10"/>
  <c r="L39" i="10"/>
  <c r="L47" i="10"/>
  <c r="M223" i="10"/>
  <c r="M216" i="10"/>
  <c r="L33" i="10"/>
  <c r="L35" i="10"/>
  <c r="M217" i="10"/>
  <c r="K45" i="10"/>
  <c r="L222" i="10"/>
  <c r="M221" i="10"/>
  <c r="L43" i="10"/>
  <c r="M31" i="10"/>
  <c r="N215" i="10"/>
  <c r="M53" i="10"/>
  <c r="N226" i="10"/>
  <c r="M226" i="22"/>
  <c r="L53" i="22"/>
  <c r="L223" i="22"/>
  <c r="K47" i="22"/>
  <c r="M221" i="22"/>
  <c r="L43" i="22"/>
  <c r="N225" i="22"/>
  <c r="M51" i="22"/>
  <c r="L51" i="8"/>
  <c r="M225" i="8"/>
  <c r="M47" i="8"/>
  <c r="N223" i="8"/>
  <c r="I73" i="9"/>
  <c r="J236" i="9"/>
  <c r="I77" i="9"/>
  <c r="J238" i="9"/>
  <c r="D73" i="8"/>
  <c r="E236" i="8"/>
  <c r="M33" i="22"/>
  <c r="N216" i="22"/>
  <c r="I71" i="2"/>
  <c r="C71" i="20"/>
  <c r="L45" i="8"/>
  <c r="M222" i="8"/>
  <c r="I217" i="8"/>
  <c r="H35" i="8"/>
  <c r="L221" i="8"/>
  <c r="K43" i="8"/>
  <c r="L33" i="11"/>
  <c r="M216" i="11"/>
  <c r="N226" i="9"/>
  <c r="M53" i="9"/>
  <c r="M215" i="9"/>
  <c r="L31" i="9"/>
  <c r="L222" i="1"/>
  <c r="K31" i="1"/>
  <c r="N236" i="1"/>
  <c r="M59" i="1"/>
  <c r="M233" i="1"/>
  <c r="L53" i="1"/>
  <c r="M35" i="1"/>
  <c r="N224" i="1"/>
  <c r="L223" i="1"/>
  <c r="K33" i="1"/>
  <c r="M65" i="1"/>
  <c r="N239" i="1"/>
  <c r="M232" i="1"/>
  <c r="L51" i="1"/>
  <c r="AJ90" i="2"/>
  <c r="F90" i="20"/>
  <c r="BB79" i="2"/>
  <c r="H79" i="20"/>
  <c r="L222" i="22"/>
  <c r="K45" i="22"/>
  <c r="M221" i="6"/>
  <c r="L37" i="6"/>
  <c r="M223" i="6"/>
  <c r="L41" i="6"/>
  <c r="M215" i="6"/>
  <c r="L25" i="6"/>
  <c r="M217" i="6"/>
  <c r="L218" i="6"/>
  <c r="K31" i="6"/>
  <c r="L224" i="6"/>
  <c r="K43" i="6"/>
  <c r="L33" i="6"/>
  <c r="M219" i="6"/>
  <c r="M216" i="6"/>
  <c r="L27" i="6"/>
  <c r="M220" i="6"/>
  <c r="L35" i="6"/>
  <c r="M214" i="6"/>
  <c r="L23" i="6"/>
  <c r="I248" i="1"/>
  <c r="H83" i="1"/>
  <c r="N228" i="1"/>
  <c r="M43" i="1"/>
  <c r="I81" i="1"/>
  <c r="J247" i="1"/>
  <c r="I219" i="8"/>
  <c r="H39" i="8"/>
  <c r="L218" i="8"/>
  <c r="K37" i="8"/>
  <c r="I45" i="11"/>
  <c r="J222" i="11"/>
  <c r="AA90" i="2"/>
  <c r="E90" i="20"/>
  <c r="M217" i="22"/>
  <c r="L35" i="22"/>
  <c r="L219" i="22"/>
  <c r="K39" i="22"/>
  <c r="M224" i="22"/>
  <c r="L49" i="22"/>
  <c r="L219" i="7"/>
  <c r="K39" i="7"/>
  <c r="J220" i="7"/>
  <c r="I41" i="7"/>
  <c r="L218" i="7"/>
  <c r="K37" i="7"/>
  <c r="L215" i="7"/>
  <c r="K31" i="7"/>
  <c r="L35" i="7"/>
  <c r="M217" i="7"/>
  <c r="M221" i="7"/>
  <c r="L43" i="7"/>
  <c r="J222" i="6"/>
  <c r="I39" i="6"/>
  <c r="I39" i="9"/>
  <c r="J219" i="9"/>
  <c r="N223" i="9"/>
  <c r="M47" i="9"/>
  <c r="M217" i="9"/>
  <c r="L35" i="9"/>
  <c r="I227" i="9"/>
  <c r="H55" i="9"/>
  <c r="O221" i="9"/>
  <c r="N43" i="9"/>
  <c r="L225" i="9"/>
  <c r="K51" i="9"/>
  <c r="L49" i="9"/>
  <c r="M224" i="9"/>
  <c r="J57" i="9"/>
  <c r="K228" i="9"/>
  <c r="L45" i="9"/>
  <c r="M222" i="9"/>
  <c r="J73" i="1"/>
  <c r="K243" i="1"/>
  <c r="L237" i="1"/>
  <c r="K61" i="1"/>
  <c r="K67" i="1"/>
  <c r="L240" i="1"/>
  <c r="K245" i="1"/>
  <c r="J77" i="1"/>
  <c r="M244" i="1"/>
  <c r="L75" i="1"/>
  <c r="N246" i="1"/>
  <c r="M79" i="1"/>
  <c r="L71" i="1"/>
  <c r="M242" i="1"/>
  <c r="G235" i="1"/>
  <c r="F57" i="1"/>
  <c r="G43" i="11"/>
  <c r="H221" i="11"/>
  <c r="AS81" i="2"/>
  <c r="G81" i="20"/>
  <c r="J215" i="11"/>
  <c r="M219" i="11"/>
  <c r="L39" i="11"/>
  <c r="J220" i="11"/>
  <c r="I41" i="11"/>
  <c r="L218" i="11"/>
  <c r="K37" i="11"/>
  <c r="M225" i="10"/>
  <c r="L51" i="10"/>
  <c r="M218" i="10"/>
  <c r="L37" i="10"/>
  <c r="N229" i="22"/>
  <c r="M59" i="22"/>
  <c r="M218" i="22"/>
  <c r="M227" i="22"/>
  <c r="L55" i="22"/>
  <c r="M220" i="22"/>
  <c r="L41" i="22"/>
  <c r="K228" i="8"/>
  <c r="J57" i="8"/>
  <c r="M227" i="8"/>
  <c r="L55" i="8"/>
  <c r="O215" i="8"/>
  <c r="N31" i="8"/>
  <c r="N224" i="8"/>
  <c r="M49" i="8"/>
  <c r="N226" i="8"/>
  <c r="M53" i="8"/>
  <c r="N216" i="8"/>
  <c r="M33" i="8"/>
  <c r="N220" i="8"/>
  <c r="M41" i="8"/>
  <c r="N227" i="7"/>
  <c r="M55" i="7"/>
  <c r="N226" i="7"/>
  <c r="M53" i="7"/>
  <c r="N225" i="7"/>
  <c r="M51" i="7"/>
  <c r="L223" i="7"/>
  <c r="K47" i="7"/>
  <c r="K222" i="7"/>
  <c r="J45" i="7"/>
  <c r="G216" i="7"/>
  <c r="F33" i="7"/>
  <c r="N231" i="6"/>
  <c r="M57" i="6"/>
  <c r="N230" i="6"/>
  <c r="M55" i="6"/>
  <c r="N229" i="6"/>
  <c r="M53" i="6"/>
  <c r="N228" i="6"/>
  <c r="M51" i="6"/>
  <c r="N227" i="6"/>
  <c r="M49" i="6"/>
  <c r="L225" i="6"/>
  <c r="K45" i="6"/>
  <c r="M230" i="9"/>
  <c r="L61" i="9"/>
  <c r="N229" i="9"/>
  <c r="M59" i="9"/>
  <c r="M220" i="9"/>
  <c r="L41" i="9"/>
  <c r="J216" i="9"/>
  <c r="I33" i="9"/>
  <c r="M218" i="9"/>
  <c r="L37" i="9"/>
  <c r="L241" i="1"/>
  <c r="K69" i="1"/>
  <c r="N238" i="1"/>
  <c r="M63" i="1"/>
  <c r="N230" i="1"/>
  <c r="M47" i="1"/>
  <c r="N234" i="1"/>
  <c r="M55" i="1"/>
  <c r="L231" i="1"/>
  <c r="K49" i="1"/>
  <c r="L229" i="1"/>
  <c r="K45" i="1"/>
  <c r="L227" i="1"/>
  <c r="K41" i="1"/>
  <c r="N226" i="1"/>
  <c r="M39" i="1"/>
  <c r="L225" i="1"/>
  <c r="K37" i="1"/>
  <c r="M224" i="7"/>
  <c r="L49" i="7"/>
  <c r="J78" i="20"/>
  <c r="BT79" i="2"/>
  <c r="I84" i="20"/>
  <c r="BK85" i="2"/>
  <c r="CL86" i="2"/>
  <c r="L85" i="20"/>
  <c r="CC68" i="2"/>
  <c r="K67" i="20"/>
  <c r="F79" i="11"/>
  <c r="G239" i="11"/>
  <c r="J69" i="10"/>
  <c r="K234" i="10"/>
  <c r="L57" i="22"/>
  <c r="M228" i="22"/>
  <c r="J61" i="10"/>
  <c r="K230" i="10"/>
  <c r="J238" i="10"/>
  <c r="I77" i="10"/>
  <c r="I77" i="11"/>
  <c r="J238" i="11"/>
  <c r="J238" i="7"/>
  <c r="I77" i="7"/>
  <c r="L226" i="6"/>
  <c r="K47" i="6"/>
  <c r="G59" i="7"/>
  <c r="H229" i="7"/>
  <c r="E47" i="11"/>
  <c r="F223" i="11"/>
  <c r="FJ147" i="10"/>
  <c r="L233" i="7"/>
  <c r="K67" i="7"/>
  <c r="FL144" i="10"/>
  <c r="FM54" i="10"/>
  <c r="C79" i="7"/>
  <c r="C239" i="7"/>
  <c r="D239" i="7"/>
  <c r="K231" i="9"/>
  <c r="J63" i="9"/>
  <c r="K235" i="8"/>
  <c r="J71" i="8"/>
  <c r="F230" i="7"/>
  <c r="E61" i="7"/>
  <c r="H57" i="11"/>
  <c r="I228" i="11"/>
  <c r="FK146" i="10"/>
  <c r="FK145" i="10"/>
  <c r="I51" i="11"/>
  <c r="J225" i="11"/>
  <c r="J77" i="22"/>
  <c r="K238" i="22"/>
  <c r="K239" i="8"/>
  <c r="J79" i="8"/>
  <c r="R100" i="2"/>
  <c r="D100" i="20"/>
  <c r="L221" i="10"/>
  <c r="K43" i="10"/>
  <c r="L53" i="10"/>
  <c r="M226" i="10"/>
  <c r="L217" i="10"/>
  <c r="K35" i="10"/>
  <c r="L223" i="10"/>
  <c r="K47" i="10"/>
  <c r="L224" i="10"/>
  <c r="K49" i="10"/>
  <c r="L216" i="10"/>
  <c r="K33" i="10"/>
  <c r="L219" i="10"/>
  <c r="K39" i="10"/>
  <c r="L220" i="10"/>
  <c r="K41" i="10"/>
  <c r="L31" i="10"/>
  <c r="M215" i="10"/>
  <c r="K222" i="10"/>
  <c r="J45" i="10"/>
  <c r="L221" i="22"/>
  <c r="K43" i="22"/>
  <c r="K223" i="22"/>
  <c r="J47" i="22"/>
  <c r="M225" i="22"/>
  <c r="L51" i="22"/>
  <c r="L226" i="22"/>
  <c r="K53" i="22"/>
  <c r="M223" i="8"/>
  <c r="L47" i="8"/>
  <c r="L225" i="8"/>
  <c r="K51" i="8"/>
  <c r="H77" i="9"/>
  <c r="I238" i="9"/>
  <c r="C73" i="8"/>
  <c r="C236" i="8"/>
  <c r="D236" i="8"/>
  <c r="H73" i="9"/>
  <c r="I236" i="9"/>
  <c r="M216" i="22"/>
  <c r="L33" i="22"/>
  <c r="I72" i="2"/>
  <c r="C72" i="20"/>
  <c r="L222" i="8"/>
  <c r="K45" i="8"/>
  <c r="K221" i="8"/>
  <c r="J43" i="8"/>
  <c r="G35" i="8"/>
  <c r="H217" i="8"/>
  <c r="L216" i="11"/>
  <c r="K33" i="11"/>
  <c r="K31" i="9"/>
  <c r="L215" i="9"/>
  <c r="L53" i="9"/>
  <c r="M226" i="9"/>
  <c r="J31" i="1"/>
  <c r="K222" i="1"/>
  <c r="L65" i="1"/>
  <c r="M239" i="1"/>
  <c r="M224" i="1"/>
  <c r="L35" i="1"/>
  <c r="J33" i="1"/>
  <c r="K223" i="1"/>
  <c r="K53" i="1"/>
  <c r="L233" i="1"/>
  <c r="M236" i="1"/>
  <c r="L59" i="1"/>
  <c r="L232" i="1"/>
  <c r="K51" i="1"/>
  <c r="AJ91" i="2"/>
  <c r="F91" i="20"/>
  <c r="BB80" i="2"/>
  <c r="H80" i="20"/>
  <c r="K222" i="22"/>
  <c r="J45" i="22"/>
  <c r="L214" i="6"/>
  <c r="K23" i="6"/>
  <c r="L220" i="6"/>
  <c r="K35" i="6"/>
  <c r="L216" i="6"/>
  <c r="K27" i="6"/>
  <c r="K224" i="6"/>
  <c r="J43" i="6"/>
  <c r="K218" i="6"/>
  <c r="J31" i="6"/>
  <c r="L217" i="6"/>
  <c r="L215" i="6"/>
  <c r="K25" i="6"/>
  <c r="L223" i="6"/>
  <c r="K41" i="6"/>
  <c r="L221" i="6"/>
  <c r="K37" i="6"/>
  <c r="L219" i="6"/>
  <c r="K33" i="6"/>
  <c r="M228" i="1"/>
  <c r="L43" i="1"/>
  <c r="G83" i="1"/>
  <c r="H248" i="1"/>
  <c r="H81" i="1"/>
  <c r="I247" i="1"/>
  <c r="K218" i="8"/>
  <c r="J37" i="8"/>
  <c r="H219" i="8"/>
  <c r="G39" i="8"/>
  <c r="H45" i="11"/>
  <c r="I222" i="11"/>
  <c r="AA91" i="2"/>
  <c r="E91" i="20"/>
  <c r="J39" i="22"/>
  <c r="K219" i="22"/>
  <c r="L224" i="22"/>
  <c r="K49" i="22"/>
  <c r="L217" i="22"/>
  <c r="K35" i="22"/>
  <c r="K218" i="7"/>
  <c r="J37" i="7"/>
  <c r="J39" i="7"/>
  <c r="K219" i="7"/>
  <c r="K35" i="7"/>
  <c r="L217" i="7"/>
  <c r="L221" i="7"/>
  <c r="K43" i="7"/>
  <c r="K215" i="7"/>
  <c r="J31" i="7"/>
  <c r="H41" i="7"/>
  <c r="I220" i="7"/>
  <c r="H39" i="6"/>
  <c r="I222" i="6"/>
  <c r="H227" i="9"/>
  <c r="G55" i="9"/>
  <c r="F55" i="9"/>
  <c r="E55" i="9"/>
  <c r="D55" i="9"/>
  <c r="C55" i="9"/>
  <c r="M223" i="9"/>
  <c r="L47" i="9"/>
  <c r="N221" i="9"/>
  <c r="M43" i="9"/>
  <c r="L217" i="9"/>
  <c r="K35" i="9"/>
  <c r="H39" i="9"/>
  <c r="I219" i="9"/>
  <c r="K225" i="9"/>
  <c r="J51" i="9"/>
  <c r="L222" i="9"/>
  <c r="K45" i="9"/>
  <c r="I57" i="9"/>
  <c r="J228" i="9"/>
  <c r="K49" i="9"/>
  <c r="L224" i="9"/>
  <c r="F235" i="1"/>
  <c r="E57" i="1"/>
  <c r="L79" i="1"/>
  <c r="M246" i="1"/>
  <c r="I77" i="1"/>
  <c r="J245" i="1"/>
  <c r="J61" i="1"/>
  <c r="K237" i="1"/>
  <c r="K75" i="1"/>
  <c r="L244" i="1"/>
  <c r="L242" i="1"/>
  <c r="K71" i="1"/>
  <c r="K240" i="1"/>
  <c r="J67" i="1"/>
  <c r="I73" i="1"/>
  <c r="J243" i="1"/>
  <c r="F43" i="11"/>
  <c r="G221" i="11"/>
  <c r="AS82" i="2"/>
  <c r="G82" i="20"/>
  <c r="I220" i="11"/>
  <c r="H41" i="11"/>
  <c r="I215" i="11"/>
  <c r="K218" i="11"/>
  <c r="J37" i="11"/>
  <c r="L219" i="11"/>
  <c r="K39" i="11"/>
  <c r="L225" i="10"/>
  <c r="K51" i="10"/>
  <c r="L218" i="10"/>
  <c r="K37" i="10"/>
  <c r="M229" i="22"/>
  <c r="L59" i="22"/>
  <c r="L227" i="22"/>
  <c r="K55" i="22"/>
  <c r="L220" i="22"/>
  <c r="K41" i="22"/>
  <c r="L218" i="22"/>
  <c r="J228" i="8"/>
  <c r="I57" i="8"/>
  <c r="L227" i="8"/>
  <c r="K55" i="8"/>
  <c r="M216" i="8"/>
  <c r="L33" i="8"/>
  <c r="N215" i="8"/>
  <c r="M31" i="8"/>
  <c r="M220" i="8"/>
  <c r="L41" i="8"/>
  <c r="M226" i="8"/>
  <c r="L53" i="8"/>
  <c r="M224" i="8"/>
  <c r="L49" i="8"/>
  <c r="M227" i="7"/>
  <c r="L55" i="7"/>
  <c r="M226" i="7"/>
  <c r="L53" i="7"/>
  <c r="M225" i="7"/>
  <c r="L51" i="7"/>
  <c r="F216" i="7"/>
  <c r="E33" i="7"/>
  <c r="J222" i="7"/>
  <c r="I45" i="7"/>
  <c r="K223" i="7"/>
  <c r="J47" i="7"/>
  <c r="M231" i="6"/>
  <c r="L57" i="6"/>
  <c r="M230" i="6"/>
  <c r="L55" i="6"/>
  <c r="M229" i="6"/>
  <c r="L53" i="6"/>
  <c r="M228" i="6"/>
  <c r="L51" i="6"/>
  <c r="M227" i="6"/>
  <c r="L49" i="6"/>
  <c r="K225" i="6"/>
  <c r="J45" i="6"/>
  <c r="L230" i="9"/>
  <c r="K61" i="9"/>
  <c r="M229" i="9"/>
  <c r="L59" i="9"/>
  <c r="L218" i="9"/>
  <c r="K37" i="9"/>
  <c r="I216" i="9"/>
  <c r="H33" i="9"/>
  <c r="L220" i="9"/>
  <c r="K41" i="9"/>
  <c r="K241" i="1"/>
  <c r="J69" i="1"/>
  <c r="M238" i="1"/>
  <c r="L63" i="1"/>
  <c r="K231" i="1"/>
  <c r="J49" i="1"/>
  <c r="M230" i="1"/>
  <c r="L47" i="1"/>
  <c r="M234" i="1"/>
  <c r="L55" i="1"/>
  <c r="K229" i="1"/>
  <c r="J45" i="1"/>
  <c r="M226" i="1"/>
  <c r="L39" i="1"/>
  <c r="K225" i="1"/>
  <c r="J37" i="1"/>
  <c r="K227" i="1"/>
  <c r="J41" i="1"/>
  <c r="K49" i="7"/>
  <c r="L224" i="7"/>
  <c r="J79" i="20"/>
  <c r="BT80" i="2"/>
  <c r="I85" i="20"/>
  <c r="BK86" i="2"/>
  <c r="CL87" i="2"/>
  <c r="L86" i="20"/>
  <c r="CC69" i="2"/>
  <c r="K68" i="20"/>
  <c r="FK147" i="10"/>
  <c r="D47" i="11"/>
  <c r="E223" i="11"/>
  <c r="I77" i="22"/>
  <c r="J238" i="22"/>
  <c r="FL146" i="10"/>
  <c r="FL145" i="10"/>
  <c r="K226" i="6"/>
  <c r="J47" i="6"/>
  <c r="J239" i="8"/>
  <c r="I79" i="8"/>
  <c r="I71" i="8"/>
  <c r="J235" i="8"/>
  <c r="H77" i="11"/>
  <c r="I238" i="11"/>
  <c r="J230" i="10"/>
  <c r="I61" i="10"/>
  <c r="H51" i="11"/>
  <c r="I225" i="11"/>
  <c r="H228" i="11"/>
  <c r="G57" i="11"/>
  <c r="H77" i="7"/>
  <c r="I238" i="7"/>
  <c r="I238" i="10"/>
  <c r="H77" i="10"/>
  <c r="J67" i="7"/>
  <c r="K233" i="7"/>
  <c r="I69" i="10"/>
  <c r="J234" i="10"/>
  <c r="E230" i="7"/>
  <c r="D61" i="7"/>
  <c r="I63" i="9"/>
  <c r="J231" i="9"/>
  <c r="FN54" i="10"/>
  <c r="FM144" i="10"/>
  <c r="F59" i="7"/>
  <c r="G229" i="7"/>
  <c r="L228" i="22"/>
  <c r="K57" i="22"/>
  <c r="E79" i="11"/>
  <c r="F239" i="11"/>
  <c r="R101" i="2"/>
  <c r="D101" i="20"/>
  <c r="J222" i="10"/>
  <c r="I45" i="10"/>
  <c r="J41" i="10"/>
  <c r="K220" i="10"/>
  <c r="K216" i="10"/>
  <c r="J33" i="10"/>
  <c r="K223" i="10"/>
  <c r="J47" i="10"/>
  <c r="L226" i="10"/>
  <c r="K53" i="10"/>
  <c r="K219" i="10"/>
  <c r="J39" i="10"/>
  <c r="J49" i="10"/>
  <c r="K224" i="10"/>
  <c r="K217" i="10"/>
  <c r="J35" i="10"/>
  <c r="K221" i="10"/>
  <c r="J43" i="10"/>
  <c r="K31" i="10"/>
  <c r="L215" i="10"/>
  <c r="J223" i="22"/>
  <c r="I47" i="22"/>
  <c r="K226" i="22"/>
  <c r="J53" i="22"/>
  <c r="L225" i="22"/>
  <c r="K51" i="22"/>
  <c r="J43" i="22"/>
  <c r="K221" i="22"/>
  <c r="K225" i="8"/>
  <c r="J51" i="8"/>
  <c r="L223" i="8"/>
  <c r="K47" i="8"/>
  <c r="L216" i="22"/>
  <c r="K33" i="22"/>
  <c r="G73" i="9"/>
  <c r="H236" i="9"/>
  <c r="G77" i="9"/>
  <c r="H238" i="9"/>
  <c r="I73" i="2"/>
  <c r="C73" i="20"/>
  <c r="G217" i="8"/>
  <c r="F35" i="8"/>
  <c r="J221" i="8"/>
  <c r="I43" i="8"/>
  <c r="K222" i="8"/>
  <c r="J45" i="8"/>
  <c r="K216" i="11"/>
  <c r="J33" i="11"/>
  <c r="K53" i="9"/>
  <c r="L226" i="9"/>
  <c r="J31" i="9"/>
  <c r="K215" i="9"/>
  <c r="J222" i="1"/>
  <c r="I31" i="1"/>
  <c r="J53" i="1"/>
  <c r="K233" i="1"/>
  <c r="J223" i="1"/>
  <c r="I33" i="1"/>
  <c r="L239" i="1"/>
  <c r="K65" i="1"/>
  <c r="L236" i="1"/>
  <c r="K59" i="1"/>
  <c r="L224" i="1"/>
  <c r="K35" i="1"/>
  <c r="J51" i="1"/>
  <c r="K232" i="1"/>
  <c r="AJ92" i="2"/>
  <c r="F92" i="20"/>
  <c r="BB81" i="2"/>
  <c r="H81" i="20"/>
  <c r="I45" i="22"/>
  <c r="J222" i="22"/>
  <c r="K219" i="6"/>
  <c r="J33" i="6"/>
  <c r="J37" i="6"/>
  <c r="K221" i="6"/>
  <c r="K223" i="6"/>
  <c r="J41" i="6"/>
  <c r="J25" i="6"/>
  <c r="K215" i="6"/>
  <c r="K217" i="6"/>
  <c r="I31" i="6"/>
  <c r="J218" i="6"/>
  <c r="J224" i="6"/>
  <c r="I43" i="6"/>
  <c r="J27" i="6"/>
  <c r="K216" i="6"/>
  <c r="K220" i="6"/>
  <c r="J35" i="6"/>
  <c r="K214" i="6"/>
  <c r="J23" i="6"/>
  <c r="K43" i="1"/>
  <c r="L228" i="1"/>
  <c r="H247" i="1"/>
  <c r="G81" i="1"/>
  <c r="G248" i="1"/>
  <c r="F83" i="1"/>
  <c r="F39" i="8"/>
  <c r="G219" i="8"/>
  <c r="I37" i="8"/>
  <c r="J218" i="8"/>
  <c r="G45" i="11"/>
  <c r="H222" i="11"/>
  <c r="AA92" i="2"/>
  <c r="E92" i="20"/>
  <c r="K224" i="22"/>
  <c r="J49" i="22"/>
  <c r="K217" i="22"/>
  <c r="J35" i="22"/>
  <c r="J219" i="22"/>
  <c r="I39" i="22"/>
  <c r="J43" i="7"/>
  <c r="K221" i="7"/>
  <c r="G41" i="7"/>
  <c r="H220" i="7"/>
  <c r="I39" i="7"/>
  <c r="J219" i="7"/>
  <c r="J215" i="7"/>
  <c r="I31" i="7"/>
  <c r="I37" i="7"/>
  <c r="J218" i="7"/>
  <c r="J35" i="7"/>
  <c r="K217" i="7"/>
  <c r="H222" i="6"/>
  <c r="G39" i="6"/>
  <c r="K217" i="9"/>
  <c r="J35" i="9"/>
  <c r="K47" i="9"/>
  <c r="L223" i="9"/>
  <c r="M221" i="9"/>
  <c r="L43" i="9"/>
  <c r="G227" i="9"/>
  <c r="H219" i="9"/>
  <c r="G39" i="9"/>
  <c r="I51" i="9"/>
  <c r="J225" i="9"/>
  <c r="H57" i="9"/>
  <c r="I228" i="9"/>
  <c r="K222" i="9"/>
  <c r="J45" i="9"/>
  <c r="K224" i="9"/>
  <c r="J49" i="9"/>
  <c r="I243" i="1"/>
  <c r="H73" i="1"/>
  <c r="J75" i="1"/>
  <c r="K244" i="1"/>
  <c r="I245" i="1"/>
  <c r="H77" i="1"/>
  <c r="L246" i="1"/>
  <c r="K79" i="1"/>
  <c r="I67" i="1"/>
  <c r="J240" i="1"/>
  <c r="K242" i="1"/>
  <c r="J71" i="1"/>
  <c r="D57" i="1"/>
  <c r="E235" i="1"/>
  <c r="I61" i="1"/>
  <c r="J237" i="1"/>
  <c r="E43" i="11"/>
  <c r="F221" i="11"/>
  <c r="AS83" i="2"/>
  <c r="G83" i="20"/>
  <c r="J218" i="11"/>
  <c r="I37" i="11"/>
  <c r="H220" i="11"/>
  <c r="G41" i="11"/>
  <c r="K219" i="11"/>
  <c r="J39" i="11"/>
  <c r="H215" i="11"/>
  <c r="K225" i="10"/>
  <c r="J51" i="10"/>
  <c r="K218" i="10"/>
  <c r="J37" i="10"/>
  <c r="L229" i="22"/>
  <c r="K59" i="22"/>
  <c r="K218" i="22"/>
  <c r="K220" i="22"/>
  <c r="J41" i="22"/>
  <c r="K227" i="22"/>
  <c r="J55" i="22"/>
  <c r="I228" i="8"/>
  <c r="H57" i="8"/>
  <c r="K227" i="8"/>
  <c r="J55" i="8"/>
  <c r="L224" i="8"/>
  <c r="K49" i="8"/>
  <c r="L216" i="8"/>
  <c r="K33" i="8"/>
  <c r="L220" i="8"/>
  <c r="K41" i="8"/>
  <c r="L226" i="8"/>
  <c r="K53" i="8"/>
  <c r="M215" i="8"/>
  <c r="L31" i="8"/>
  <c r="L227" i="7"/>
  <c r="K55" i="7"/>
  <c r="L226" i="7"/>
  <c r="K53" i="7"/>
  <c r="L225" i="7"/>
  <c r="K51" i="7"/>
  <c r="I222" i="7"/>
  <c r="H45" i="7"/>
  <c r="E216" i="7"/>
  <c r="D33" i="7"/>
  <c r="J223" i="7"/>
  <c r="I47" i="7"/>
  <c r="L231" i="6"/>
  <c r="K57" i="6"/>
  <c r="L230" i="6"/>
  <c r="K55" i="6"/>
  <c r="L229" i="6"/>
  <c r="K53" i="6"/>
  <c r="L228" i="6"/>
  <c r="K51" i="6"/>
  <c r="L227" i="6"/>
  <c r="K49" i="6"/>
  <c r="J225" i="6"/>
  <c r="I45" i="6"/>
  <c r="K230" i="9"/>
  <c r="J61" i="9"/>
  <c r="L229" i="9"/>
  <c r="K59" i="9"/>
  <c r="H216" i="9"/>
  <c r="G33" i="9"/>
  <c r="K220" i="9"/>
  <c r="J41" i="9"/>
  <c r="K218" i="9"/>
  <c r="J37" i="9"/>
  <c r="J241" i="1"/>
  <c r="I69" i="1"/>
  <c r="L238" i="1"/>
  <c r="K63" i="1"/>
  <c r="L234" i="1"/>
  <c r="K55" i="1"/>
  <c r="J231" i="1"/>
  <c r="I49" i="1"/>
  <c r="L230" i="1"/>
  <c r="K47" i="1"/>
  <c r="J229" i="1"/>
  <c r="I45" i="1"/>
  <c r="J225" i="1"/>
  <c r="I37" i="1"/>
  <c r="L226" i="1"/>
  <c r="K39" i="1"/>
  <c r="J227" i="1"/>
  <c r="I41" i="1"/>
  <c r="K224" i="7"/>
  <c r="J49" i="7"/>
  <c r="J80" i="20"/>
  <c r="BT81" i="2"/>
  <c r="I86" i="20"/>
  <c r="BK87" i="2"/>
  <c r="CL88" i="2"/>
  <c r="L87" i="20"/>
  <c r="CC70" i="2"/>
  <c r="K69" i="20"/>
  <c r="E239" i="11"/>
  <c r="D79" i="11"/>
  <c r="H238" i="10"/>
  <c r="G77" i="10"/>
  <c r="G228" i="11"/>
  <c r="F57" i="11"/>
  <c r="I230" i="10"/>
  <c r="H61" i="10"/>
  <c r="I47" i="6"/>
  <c r="J226" i="6"/>
  <c r="E59" i="7"/>
  <c r="F229" i="7"/>
  <c r="I231" i="9"/>
  <c r="H63" i="9"/>
  <c r="H69" i="10"/>
  <c r="I234" i="10"/>
  <c r="H77" i="22"/>
  <c r="I238" i="22"/>
  <c r="J57" i="22"/>
  <c r="K228" i="22"/>
  <c r="FM146" i="10"/>
  <c r="FM145" i="10"/>
  <c r="C61" i="7"/>
  <c r="C230" i="7"/>
  <c r="D230" i="7"/>
  <c r="H79" i="8"/>
  <c r="I239" i="8"/>
  <c r="H71" i="8"/>
  <c r="I235" i="8"/>
  <c r="FO54" i="10"/>
  <c r="FN144" i="10"/>
  <c r="I67" i="7"/>
  <c r="J233" i="7"/>
  <c r="G77" i="7"/>
  <c r="H238" i="7"/>
  <c r="G51" i="11"/>
  <c r="H225" i="11"/>
  <c r="G77" i="11"/>
  <c r="H238" i="11"/>
  <c r="FL147" i="10"/>
  <c r="C47" i="11"/>
  <c r="C223" i="11"/>
  <c r="D223" i="11"/>
  <c r="R102" i="2"/>
  <c r="D102" i="20"/>
  <c r="J217" i="10"/>
  <c r="I35" i="10"/>
  <c r="J219" i="10"/>
  <c r="I39" i="10"/>
  <c r="I47" i="10"/>
  <c r="J223" i="10"/>
  <c r="J31" i="10"/>
  <c r="K215" i="10"/>
  <c r="J220" i="10"/>
  <c r="I41" i="10"/>
  <c r="J221" i="10"/>
  <c r="I43" i="10"/>
  <c r="J53" i="10"/>
  <c r="K226" i="10"/>
  <c r="J216" i="10"/>
  <c r="I33" i="10"/>
  <c r="I222" i="10"/>
  <c r="H45" i="10"/>
  <c r="J224" i="10"/>
  <c r="I49" i="10"/>
  <c r="J51" i="22"/>
  <c r="K225" i="22"/>
  <c r="I223" i="22"/>
  <c r="H47" i="22"/>
  <c r="J226" i="22"/>
  <c r="I53" i="22"/>
  <c r="I43" i="22"/>
  <c r="J221" i="22"/>
  <c r="K223" i="8"/>
  <c r="J47" i="8"/>
  <c r="J225" i="8"/>
  <c r="I51" i="8"/>
  <c r="F77" i="9"/>
  <c r="G238" i="9"/>
  <c r="F73" i="9"/>
  <c r="G236" i="9"/>
  <c r="J33" i="22"/>
  <c r="K216" i="22"/>
  <c r="I74" i="2"/>
  <c r="C74" i="20"/>
  <c r="J222" i="8"/>
  <c r="I45" i="8"/>
  <c r="I221" i="8"/>
  <c r="H43" i="8"/>
  <c r="F217" i="8"/>
  <c r="E35" i="8"/>
  <c r="J216" i="11"/>
  <c r="I33" i="11"/>
  <c r="J215" i="9"/>
  <c r="I31" i="9"/>
  <c r="J53" i="9"/>
  <c r="K226" i="9"/>
  <c r="H31" i="1"/>
  <c r="I222" i="1"/>
  <c r="I53" i="1"/>
  <c r="J233" i="1"/>
  <c r="J35" i="1"/>
  <c r="K224" i="1"/>
  <c r="J59" i="1"/>
  <c r="K236" i="1"/>
  <c r="J65" i="1"/>
  <c r="K239" i="1"/>
  <c r="I223" i="1"/>
  <c r="H33" i="1"/>
  <c r="J232" i="1"/>
  <c r="I51" i="1"/>
  <c r="AJ93" i="2"/>
  <c r="F93" i="20"/>
  <c r="BB82" i="2"/>
  <c r="H82" i="20"/>
  <c r="I222" i="22"/>
  <c r="H45" i="22"/>
  <c r="I23" i="6"/>
  <c r="J214" i="6"/>
  <c r="I35" i="6"/>
  <c r="J220" i="6"/>
  <c r="H43" i="6"/>
  <c r="I224" i="6"/>
  <c r="J223" i="6"/>
  <c r="I41" i="6"/>
  <c r="J219" i="6"/>
  <c r="I33" i="6"/>
  <c r="J216" i="6"/>
  <c r="I27" i="6"/>
  <c r="I218" i="6"/>
  <c r="H31" i="6"/>
  <c r="J217" i="6"/>
  <c r="J215" i="6"/>
  <c r="I25" i="6"/>
  <c r="J221" i="6"/>
  <c r="I37" i="6"/>
  <c r="E83" i="1"/>
  <c r="F248" i="1"/>
  <c r="F81" i="1"/>
  <c r="G247" i="1"/>
  <c r="K228" i="1"/>
  <c r="J43" i="1"/>
  <c r="H37" i="8"/>
  <c r="I218" i="8"/>
  <c r="E39" i="8"/>
  <c r="F219" i="8"/>
  <c r="G222" i="11"/>
  <c r="F45" i="11"/>
  <c r="AA93" i="2"/>
  <c r="E93" i="20"/>
  <c r="J217" i="22"/>
  <c r="I35" i="22"/>
  <c r="I219" i="22"/>
  <c r="H39" i="22"/>
  <c r="J224" i="22"/>
  <c r="I49" i="22"/>
  <c r="H37" i="7"/>
  <c r="I218" i="7"/>
  <c r="F41" i="7"/>
  <c r="G220" i="7"/>
  <c r="H31" i="7"/>
  <c r="I215" i="7"/>
  <c r="J217" i="7"/>
  <c r="I35" i="7"/>
  <c r="H39" i="7"/>
  <c r="I219" i="7"/>
  <c r="J221" i="7"/>
  <c r="I43" i="7"/>
  <c r="F39" i="6"/>
  <c r="G222" i="6"/>
  <c r="F227" i="9"/>
  <c r="K223" i="9"/>
  <c r="J47" i="9"/>
  <c r="G219" i="9"/>
  <c r="F39" i="9"/>
  <c r="K43" i="9"/>
  <c r="L221" i="9"/>
  <c r="J217" i="9"/>
  <c r="I35" i="9"/>
  <c r="H51" i="9"/>
  <c r="I225" i="9"/>
  <c r="J224" i="9"/>
  <c r="I49" i="9"/>
  <c r="G57" i="9"/>
  <c r="H228" i="9"/>
  <c r="J222" i="9"/>
  <c r="I45" i="9"/>
  <c r="I75" i="1"/>
  <c r="J244" i="1"/>
  <c r="H245" i="1"/>
  <c r="G77" i="1"/>
  <c r="G73" i="1"/>
  <c r="H243" i="1"/>
  <c r="H61" i="1"/>
  <c r="I237" i="1"/>
  <c r="D235" i="1"/>
  <c r="C57" i="1"/>
  <c r="C235" i="1"/>
  <c r="I240" i="1"/>
  <c r="H67" i="1"/>
  <c r="I71" i="1"/>
  <c r="J242" i="1"/>
  <c r="K246" i="1"/>
  <c r="J79" i="1"/>
  <c r="D43" i="11"/>
  <c r="E221" i="11"/>
  <c r="AS84" i="2"/>
  <c r="G84" i="20"/>
  <c r="J219" i="11"/>
  <c r="I39" i="11"/>
  <c r="I218" i="11"/>
  <c r="H37" i="11"/>
  <c r="G215" i="11"/>
  <c r="G220" i="11"/>
  <c r="F41" i="11"/>
  <c r="J225" i="10"/>
  <c r="I51" i="10"/>
  <c r="J218" i="10"/>
  <c r="I37" i="10"/>
  <c r="K229" i="22"/>
  <c r="J59" i="22"/>
  <c r="J220" i="22"/>
  <c r="I41" i="22"/>
  <c r="J227" i="22"/>
  <c r="I55" i="22"/>
  <c r="J218" i="22"/>
  <c r="H228" i="8"/>
  <c r="G57" i="8"/>
  <c r="J227" i="8"/>
  <c r="I55" i="8"/>
  <c r="K226" i="8"/>
  <c r="J53" i="8"/>
  <c r="K216" i="8"/>
  <c r="J33" i="8"/>
  <c r="L215" i="8"/>
  <c r="K31" i="8"/>
  <c r="K220" i="8"/>
  <c r="J41" i="8"/>
  <c r="K224" i="8"/>
  <c r="J49" i="8"/>
  <c r="K227" i="7"/>
  <c r="J55" i="7"/>
  <c r="K226" i="7"/>
  <c r="J53" i="7"/>
  <c r="K225" i="7"/>
  <c r="J51" i="7"/>
  <c r="I223" i="7"/>
  <c r="H47" i="7"/>
  <c r="D216" i="7"/>
  <c r="C33" i="7"/>
  <c r="C216" i="7"/>
  <c r="H222" i="7"/>
  <c r="G45" i="7"/>
  <c r="K231" i="6"/>
  <c r="J57" i="6"/>
  <c r="K230" i="6"/>
  <c r="J55" i="6"/>
  <c r="K229" i="6"/>
  <c r="J53" i="6"/>
  <c r="K228" i="6"/>
  <c r="J51" i="6"/>
  <c r="K227" i="6"/>
  <c r="J49" i="6"/>
  <c r="I225" i="6"/>
  <c r="H45" i="6"/>
  <c r="J230" i="9"/>
  <c r="I61" i="9"/>
  <c r="K229" i="9"/>
  <c r="J59" i="9"/>
  <c r="J220" i="9"/>
  <c r="I41" i="9"/>
  <c r="G216" i="9"/>
  <c r="F33" i="9"/>
  <c r="J218" i="9"/>
  <c r="I37" i="9"/>
  <c r="I241" i="1"/>
  <c r="H69" i="1"/>
  <c r="K238" i="1"/>
  <c r="J63" i="1"/>
  <c r="K230" i="1"/>
  <c r="J47" i="1"/>
  <c r="K234" i="1"/>
  <c r="J55" i="1"/>
  <c r="I231" i="1"/>
  <c r="H49" i="1"/>
  <c r="I229" i="1"/>
  <c r="H45" i="1"/>
  <c r="K226" i="1"/>
  <c r="J39" i="1"/>
  <c r="I225" i="1"/>
  <c r="H37" i="1"/>
  <c r="I227" i="1"/>
  <c r="H41" i="1"/>
  <c r="I49" i="7"/>
  <c r="J224" i="7"/>
  <c r="J81" i="20"/>
  <c r="BT82" i="2"/>
  <c r="I87" i="20"/>
  <c r="BK88" i="2"/>
  <c r="CL89" i="2"/>
  <c r="L88" i="20"/>
  <c r="CC71" i="2"/>
  <c r="K70" i="20"/>
  <c r="E229" i="7"/>
  <c r="D59" i="7"/>
  <c r="G61" i="10"/>
  <c r="H230" i="10"/>
  <c r="G238" i="10"/>
  <c r="F77" i="10"/>
  <c r="F51" i="11"/>
  <c r="G225" i="11"/>
  <c r="H234" i="10"/>
  <c r="G69" i="10"/>
  <c r="FN146" i="10"/>
  <c r="FN145" i="10"/>
  <c r="H231" i="9"/>
  <c r="G63" i="9"/>
  <c r="E57" i="11"/>
  <c r="F228" i="11"/>
  <c r="C79" i="11"/>
  <c r="C239" i="11"/>
  <c r="D239" i="11"/>
  <c r="H67" i="7"/>
  <c r="I233" i="7"/>
  <c r="G71" i="8"/>
  <c r="H235" i="8"/>
  <c r="J228" i="22"/>
  <c r="I57" i="22"/>
  <c r="F77" i="11"/>
  <c r="G238" i="11"/>
  <c r="F77" i="7"/>
  <c r="G238" i="7"/>
  <c r="FO144" i="10"/>
  <c r="FP54" i="10"/>
  <c r="G79" i="8"/>
  <c r="H239" i="8"/>
  <c r="FM147" i="10"/>
  <c r="G77" i="22"/>
  <c r="H238" i="22"/>
  <c r="I226" i="6"/>
  <c r="H47" i="6"/>
  <c r="R103" i="2"/>
  <c r="D103" i="20"/>
  <c r="I224" i="10"/>
  <c r="H49" i="10"/>
  <c r="I216" i="10"/>
  <c r="H33" i="10"/>
  <c r="I221" i="10"/>
  <c r="H43" i="10"/>
  <c r="H39" i="10"/>
  <c r="I219" i="10"/>
  <c r="I31" i="10"/>
  <c r="J215" i="10"/>
  <c r="G45" i="10"/>
  <c r="H222" i="10"/>
  <c r="H41" i="10"/>
  <c r="I220" i="10"/>
  <c r="H35" i="10"/>
  <c r="I217" i="10"/>
  <c r="J226" i="10"/>
  <c r="I53" i="10"/>
  <c r="H47" i="10"/>
  <c r="I223" i="10"/>
  <c r="G47" i="22"/>
  <c r="H223" i="22"/>
  <c r="I221" i="22"/>
  <c r="H43" i="22"/>
  <c r="I226" i="22"/>
  <c r="H53" i="22"/>
  <c r="J225" i="22"/>
  <c r="I51" i="22"/>
  <c r="H51" i="8"/>
  <c r="I225" i="8"/>
  <c r="J223" i="8"/>
  <c r="I47" i="8"/>
  <c r="E73" i="9"/>
  <c r="F236" i="9"/>
  <c r="I33" i="22"/>
  <c r="J216" i="22"/>
  <c r="E77" i="9"/>
  <c r="F238" i="9"/>
  <c r="I75" i="2"/>
  <c r="C75" i="20"/>
  <c r="E217" i="8"/>
  <c r="D35" i="8"/>
  <c r="G43" i="8"/>
  <c r="H221" i="8"/>
  <c r="I222" i="8"/>
  <c r="H45" i="8"/>
  <c r="H33" i="11"/>
  <c r="I216" i="11"/>
  <c r="H31" i="9"/>
  <c r="I215" i="9"/>
  <c r="J226" i="9"/>
  <c r="I53" i="9"/>
  <c r="H222" i="1"/>
  <c r="G31" i="1"/>
  <c r="I65" i="1"/>
  <c r="J239" i="1"/>
  <c r="J236" i="1"/>
  <c r="I59" i="1"/>
  <c r="I35" i="1"/>
  <c r="J224" i="1"/>
  <c r="H53" i="1"/>
  <c r="I233" i="1"/>
  <c r="G33" i="1"/>
  <c r="H223" i="1"/>
  <c r="I232" i="1"/>
  <c r="H51" i="1"/>
  <c r="AJ94" i="2"/>
  <c r="F94" i="20"/>
  <c r="BB83" i="2"/>
  <c r="H83" i="20"/>
  <c r="H222" i="22"/>
  <c r="G45" i="22"/>
  <c r="I221" i="6"/>
  <c r="H37" i="6"/>
  <c r="I215" i="6"/>
  <c r="H25" i="6"/>
  <c r="I217" i="6"/>
  <c r="H218" i="6"/>
  <c r="G31" i="6"/>
  <c r="I216" i="6"/>
  <c r="H27" i="6"/>
  <c r="H33" i="6"/>
  <c r="I219" i="6"/>
  <c r="I223" i="6"/>
  <c r="H41" i="6"/>
  <c r="H224" i="6"/>
  <c r="G43" i="6"/>
  <c r="I220" i="6"/>
  <c r="H35" i="6"/>
  <c r="I214" i="6"/>
  <c r="H23" i="6"/>
  <c r="I43" i="1"/>
  <c r="J228" i="1"/>
  <c r="E81" i="1"/>
  <c r="F247" i="1"/>
  <c r="D83" i="1"/>
  <c r="E248" i="1"/>
  <c r="D39" i="8"/>
  <c r="E219" i="8"/>
  <c r="G37" i="8"/>
  <c r="H218" i="8"/>
  <c r="E45" i="11"/>
  <c r="F222" i="11"/>
  <c r="B264" i="1"/>
  <c r="D264" i="1"/>
  <c r="AA94" i="2"/>
  <c r="E94" i="20"/>
  <c r="H219" i="22"/>
  <c r="G39" i="22"/>
  <c r="I224" i="22"/>
  <c r="H49" i="22"/>
  <c r="I217" i="22"/>
  <c r="H35" i="22"/>
  <c r="H219" i="7"/>
  <c r="G39" i="7"/>
  <c r="H215" i="7"/>
  <c r="G31" i="7"/>
  <c r="G37" i="7"/>
  <c r="H218" i="7"/>
  <c r="I221" i="7"/>
  <c r="H43" i="7"/>
  <c r="I217" i="7"/>
  <c r="H35" i="7"/>
  <c r="F220" i="7"/>
  <c r="E41" i="7"/>
  <c r="F222" i="6"/>
  <c r="E39" i="6"/>
  <c r="J223" i="9"/>
  <c r="I47" i="9"/>
  <c r="K221" i="9"/>
  <c r="J43" i="9"/>
  <c r="I217" i="9"/>
  <c r="H35" i="9"/>
  <c r="F219" i="9"/>
  <c r="E39" i="9"/>
  <c r="E227" i="9"/>
  <c r="H225" i="9"/>
  <c r="G51" i="9"/>
  <c r="F57" i="9"/>
  <c r="G228" i="9"/>
  <c r="I222" i="9"/>
  <c r="H45" i="9"/>
  <c r="I224" i="9"/>
  <c r="H49" i="9"/>
  <c r="I242" i="1"/>
  <c r="H71" i="1"/>
  <c r="H237" i="1"/>
  <c r="G61" i="1"/>
  <c r="J246" i="1"/>
  <c r="I79" i="1"/>
  <c r="G243" i="1"/>
  <c r="F73" i="1"/>
  <c r="G67" i="1"/>
  <c r="H240" i="1"/>
  <c r="F77" i="1"/>
  <c r="G245" i="1"/>
  <c r="H75" i="1"/>
  <c r="I244" i="1"/>
  <c r="D221" i="11"/>
  <c r="C43" i="11"/>
  <c r="C221" i="11"/>
  <c r="B244" i="7"/>
  <c r="D244" i="7"/>
  <c r="AS85" i="2"/>
  <c r="G85" i="20"/>
  <c r="F215" i="11"/>
  <c r="I219" i="11"/>
  <c r="H39" i="11"/>
  <c r="E41" i="11"/>
  <c r="F220" i="11"/>
  <c r="H218" i="11"/>
  <c r="G37" i="11"/>
  <c r="I225" i="10"/>
  <c r="H51" i="10"/>
  <c r="I218" i="10"/>
  <c r="H37" i="10"/>
  <c r="J229" i="22"/>
  <c r="I59" i="22"/>
  <c r="I227" i="22"/>
  <c r="H55" i="22"/>
  <c r="I220" i="22"/>
  <c r="H41" i="22"/>
  <c r="I218" i="22"/>
  <c r="G228" i="8"/>
  <c r="F57" i="8"/>
  <c r="I227" i="8"/>
  <c r="H55" i="8"/>
  <c r="J220" i="8"/>
  <c r="I41" i="8"/>
  <c r="J216" i="8"/>
  <c r="I33" i="8"/>
  <c r="J224" i="8"/>
  <c r="I49" i="8"/>
  <c r="K215" i="8"/>
  <c r="J31" i="8"/>
  <c r="J226" i="8"/>
  <c r="I53" i="8"/>
  <c r="J227" i="7"/>
  <c r="I55" i="7"/>
  <c r="J226" i="7"/>
  <c r="I53" i="7"/>
  <c r="J225" i="7"/>
  <c r="I51" i="7"/>
  <c r="G222" i="7"/>
  <c r="F45" i="7"/>
  <c r="H223" i="7"/>
  <c r="G47" i="7"/>
  <c r="J231" i="6"/>
  <c r="I57" i="6"/>
  <c r="J230" i="6"/>
  <c r="I55" i="6"/>
  <c r="J229" i="6"/>
  <c r="I53" i="6"/>
  <c r="J228" i="6"/>
  <c r="I51" i="6"/>
  <c r="J227" i="6"/>
  <c r="I49" i="6"/>
  <c r="H225" i="6"/>
  <c r="G45" i="6"/>
  <c r="I230" i="9"/>
  <c r="H61" i="9"/>
  <c r="J229" i="9"/>
  <c r="I59" i="9"/>
  <c r="I218" i="9"/>
  <c r="H37" i="9"/>
  <c r="E33" i="9"/>
  <c r="F216" i="9"/>
  <c r="I220" i="9"/>
  <c r="H41" i="9"/>
  <c r="H241" i="1"/>
  <c r="G69" i="1"/>
  <c r="J238" i="1"/>
  <c r="I63" i="1"/>
  <c r="H231" i="1"/>
  <c r="G49" i="1"/>
  <c r="J230" i="1"/>
  <c r="I47" i="1"/>
  <c r="J234" i="1"/>
  <c r="I55" i="1"/>
  <c r="H229" i="1"/>
  <c r="G45" i="1"/>
  <c r="H225" i="1"/>
  <c r="G37" i="1"/>
  <c r="J226" i="1"/>
  <c r="I39" i="1"/>
  <c r="H227" i="1"/>
  <c r="G41" i="1"/>
  <c r="I224" i="7"/>
  <c r="H49" i="7"/>
  <c r="J82" i="20"/>
  <c r="BT83" i="2"/>
  <c r="I88" i="20"/>
  <c r="BK89" i="2"/>
  <c r="CL90" i="2"/>
  <c r="L89" i="20"/>
  <c r="CC72" i="2"/>
  <c r="K71" i="20"/>
  <c r="FN147" i="10"/>
  <c r="I228" i="22"/>
  <c r="H57" i="22"/>
  <c r="F79" i="8"/>
  <c r="G239" i="8"/>
  <c r="G67" i="7"/>
  <c r="H233" i="7"/>
  <c r="E51" i="11"/>
  <c r="F225" i="11"/>
  <c r="F77" i="22"/>
  <c r="G238" i="22"/>
  <c r="FP144" i="10"/>
  <c r="FQ54" i="10"/>
  <c r="F63" i="9"/>
  <c r="G231" i="9"/>
  <c r="F69" i="10"/>
  <c r="G234" i="10"/>
  <c r="F238" i="10"/>
  <c r="E77" i="10"/>
  <c r="C59" i="7"/>
  <c r="C229" i="7"/>
  <c r="D229" i="7"/>
  <c r="E77" i="7"/>
  <c r="F238" i="7"/>
  <c r="D57" i="11"/>
  <c r="E228" i="11"/>
  <c r="G230" i="10"/>
  <c r="F61" i="10"/>
  <c r="H226" i="6"/>
  <c r="G47" i="6"/>
  <c r="FO145" i="10"/>
  <c r="FO146" i="10"/>
  <c r="E77" i="11"/>
  <c r="F238" i="11"/>
  <c r="G235" i="8"/>
  <c r="F71" i="8"/>
  <c r="R104" i="2"/>
  <c r="D104" i="20"/>
  <c r="H216" i="10"/>
  <c r="G33" i="10"/>
  <c r="H223" i="10"/>
  <c r="G47" i="10"/>
  <c r="G35" i="10"/>
  <c r="H217" i="10"/>
  <c r="F45" i="10"/>
  <c r="G222" i="10"/>
  <c r="H219" i="10"/>
  <c r="G39" i="10"/>
  <c r="I226" i="10"/>
  <c r="H53" i="10"/>
  <c r="G43" i="10"/>
  <c r="H221" i="10"/>
  <c r="H224" i="10"/>
  <c r="G49" i="10"/>
  <c r="H220" i="10"/>
  <c r="G41" i="10"/>
  <c r="H31" i="10"/>
  <c r="I215" i="10"/>
  <c r="G53" i="22"/>
  <c r="H226" i="22"/>
  <c r="H221" i="22"/>
  <c r="G43" i="22"/>
  <c r="H51" i="22"/>
  <c r="I225" i="22"/>
  <c r="G223" i="22"/>
  <c r="F47" i="22"/>
  <c r="H47" i="8"/>
  <c r="I223" i="8"/>
  <c r="H225" i="8"/>
  <c r="G51" i="8"/>
  <c r="D77" i="9"/>
  <c r="E238" i="9"/>
  <c r="I216" i="22"/>
  <c r="H33" i="22"/>
  <c r="D73" i="9"/>
  <c r="E236" i="9"/>
  <c r="I76" i="2"/>
  <c r="C76" i="20"/>
  <c r="G221" i="8"/>
  <c r="F43" i="8"/>
  <c r="G45" i="8"/>
  <c r="H222" i="8"/>
  <c r="D217" i="8"/>
  <c r="C35" i="8"/>
  <c r="C217" i="8"/>
  <c r="G33" i="11"/>
  <c r="H216" i="11"/>
  <c r="I226" i="9"/>
  <c r="H53" i="9"/>
  <c r="H215" i="9"/>
  <c r="G31" i="9"/>
  <c r="G222" i="1"/>
  <c r="F31" i="1"/>
  <c r="F33" i="1"/>
  <c r="G223" i="1"/>
  <c r="H233" i="1"/>
  <c r="G53" i="1"/>
  <c r="I224" i="1"/>
  <c r="H35" i="1"/>
  <c r="I239" i="1"/>
  <c r="H65" i="1"/>
  <c r="I236" i="1"/>
  <c r="H59" i="1"/>
  <c r="G51" i="1"/>
  <c r="H232" i="1"/>
  <c r="AJ95" i="2"/>
  <c r="F95" i="20"/>
  <c r="BB84" i="2"/>
  <c r="H84" i="20"/>
  <c r="G222" i="22"/>
  <c r="F45" i="22"/>
  <c r="H214" i="6"/>
  <c r="G23" i="6"/>
  <c r="H220" i="6"/>
  <c r="G35" i="6"/>
  <c r="G224" i="6"/>
  <c r="F43" i="6"/>
  <c r="H223" i="6"/>
  <c r="G41" i="6"/>
  <c r="G27" i="6"/>
  <c r="H216" i="6"/>
  <c r="G218" i="6"/>
  <c r="F31" i="6"/>
  <c r="H217" i="6"/>
  <c r="H215" i="6"/>
  <c r="G25" i="6"/>
  <c r="G37" i="6"/>
  <c r="H221" i="6"/>
  <c r="H219" i="6"/>
  <c r="G33" i="6"/>
  <c r="D248" i="1"/>
  <c r="C83" i="1"/>
  <c r="C248" i="1"/>
  <c r="D81" i="1"/>
  <c r="E247" i="1"/>
  <c r="I228" i="1"/>
  <c r="H43" i="1"/>
  <c r="F37" i="8"/>
  <c r="G218" i="8"/>
  <c r="D219" i="8"/>
  <c r="C39" i="8"/>
  <c r="C219" i="8"/>
  <c r="E222" i="11"/>
  <c r="D45" i="11"/>
  <c r="AA95" i="2"/>
  <c r="E95" i="20"/>
  <c r="H224" i="22"/>
  <c r="G49" i="22"/>
  <c r="H217" i="22"/>
  <c r="G35" i="22"/>
  <c r="G219" i="22"/>
  <c r="F39" i="22"/>
  <c r="D41" i="7"/>
  <c r="E220" i="7"/>
  <c r="H221" i="7"/>
  <c r="G43" i="7"/>
  <c r="F31" i="7"/>
  <c r="G215" i="7"/>
  <c r="H217" i="7"/>
  <c r="G35" i="7"/>
  <c r="F39" i="7"/>
  <c r="G219" i="7"/>
  <c r="F37" i="7"/>
  <c r="G218" i="7"/>
  <c r="E222" i="6"/>
  <c r="D39" i="6"/>
  <c r="E219" i="9"/>
  <c r="D39" i="9"/>
  <c r="J221" i="9"/>
  <c r="I43" i="9"/>
  <c r="D227" i="9"/>
  <c r="C227" i="9"/>
  <c r="H217" i="9"/>
  <c r="G35" i="9"/>
  <c r="H47" i="9"/>
  <c r="I223" i="9"/>
  <c r="F51" i="9"/>
  <c r="G225" i="9"/>
  <c r="H224" i="9"/>
  <c r="G49" i="9"/>
  <c r="E57" i="9"/>
  <c r="F228" i="9"/>
  <c r="H222" i="9"/>
  <c r="G45" i="9"/>
  <c r="F61" i="1"/>
  <c r="G237" i="1"/>
  <c r="G75" i="1"/>
  <c r="H244" i="1"/>
  <c r="G240" i="1"/>
  <c r="F67" i="1"/>
  <c r="E73" i="1"/>
  <c r="F243" i="1"/>
  <c r="H79" i="1"/>
  <c r="I246" i="1"/>
  <c r="G71" i="1"/>
  <c r="H242" i="1"/>
  <c r="F245" i="1"/>
  <c r="E77" i="1"/>
  <c r="B249" i="11"/>
  <c r="AS86" i="2"/>
  <c r="G86" i="20"/>
  <c r="E215" i="11"/>
  <c r="D41" i="11"/>
  <c r="E220" i="11"/>
  <c r="G218" i="11"/>
  <c r="F37" i="11"/>
  <c r="H219" i="11"/>
  <c r="G39" i="11"/>
  <c r="H225" i="10"/>
  <c r="G51" i="10"/>
  <c r="H218" i="10"/>
  <c r="G37" i="10"/>
  <c r="I229" i="22"/>
  <c r="H59" i="22"/>
  <c r="H220" i="22"/>
  <c r="G41" i="22"/>
  <c r="H218" i="22"/>
  <c r="H227" i="22"/>
  <c r="G55" i="22"/>
  <c r="E57" i="8"/>
  <c r="F228" i="8"/>
  <c r="H227" i="8"/>
  <c r="G55" i="8"/>
  <c r="J215" i="8"/>
  <c r="I31" i="8"/>
  <c r="I216" i="8"/>
  <c r="H33" i="8"/>
  <c r="I226" i="8"/>
  <c r="H53" i="8"/>
  <c r="I224" i="8"/>
  <c r="H49" i="8"/>
  <c r="I220" i="8"/>
  <c r="H41" i="8"/>
  <c r="I227" i="7"/>
  <c r="H55" i="7"/>
  <c r="I226" i="7"/>
  <c r="H53" i="7"/>
  <c r="I225" i="7"/>
  <c r="H51" i="7"/>
  <c r="G223" i="7"/>
  <c r="F47" i="7"/>
  <c r="F222" i="7"/>
  <c r="E45" i="7"/>
  <c r="I231" i="6"/>
  <c r="H57" i="6"/>
  <c r="I230" i="6"/>
  <c r="H55" i="6"/>
  <c r="I229" i="6"/>
  <c r="H53" i="6"/>
  <c r="I228" i="6"/>
  <c r="H51" i="6"/>
  <c r="I227" i="6"/>
  <c r="H49" i="6"/>
  <c r="G225" i="6"/>
  <c r="F45" i="6"/>
  <c r="H230" i="9"/>
  <c r="G61" i="9"/>
  <c r="I229" i="9"/>
  <c r="H59" i="9"/>
  <c r="H220" i="9"/>
  <c r="G41" i="9"/>
  <c r="F41" i="9"/>
  <c r="E41" i="9"/>
  <c r="D41" i="9"/>
  <c r="C41" i="9"/>
  <c r="H218" i="9"/>
  <c r="G37" i="9"/>
  <c r="D33" i="9"/>
  <c r="E216" i="9"/>
  <c r="G241" i="1"/>
  <c r="F69" i="1"/>
  <c r="I238" i="1"/>
  <c r="H63" i="1"/>
  <c r="I234" i="1"/>
  <c r="H55" i="1"/>
  <c r="I230" i="1"/>
  <c r="H47" i="1"/>
  <c r="G231" i="1"/>
  <c r="F49" i="1"/>
  <c r="G229" i="1"/>
  <c r="F45" i="1"/>
  <c r="I226" i="1"/>
  <c r="H39" i="1"/>
  <c r="G225" i="1"/>
  <c r="F37" i="1"/>
  <c r="G227" i="1"/>
  <c r="F41" i="1"/>
  <c r="H224" i="7"/>
  <c r="G49" i="7"/>
  <c r="J83" i="20"/>
  <c r="BT84" i="2"/>
  <c r="I89" i="20"/>
  <c r="BK90" i="2"/>
  <c r="CL91" i="2"/>
  <c r="L90" i="20"/>
  <c r="CC73" i="2"/>
  <c r="K72" i="20"/>
  <c r="FO147" i="10"/>
  <c r="C57" i="11"/>
  <c r="C228" i="11"/>
  <c r="D228" i="11"/>
  <c r="FP145" i="10"/>
  <c r="FP146" i="10"/>
  <c r="F47" i="6"/>
  <c r="G226" i="6"/>
  <c r="FQ144" i="10"/>
  <c r="FR54" i="10"/>
  <c r="E79" i="8"/>
  <c r="F239" i="8"/>
  <c r="F235" i="8"/>
  <c r="E71" i="8"/>
  <c r="E61" i="10"/>
  <c r="F230" i="10"/>
  <c r="D77" i="10"/>
  <c r="E238" i="10"/>
  <c r="G57" i="22"/>
  <c r="H228" i="22"/>
  <c r="D77" i="11"/>
  <c r="E238" i="11"/>
  <c r="E69" i="10"/>
  <c r="F234" i="10"/>
  <c r="D51" i="11"/>
  <c r="E225" i="11"/>
  <c r="D77" i="7"/>
  <c r="E238" i="7"/>
  <c r="E63" i="9"/>
  <c r="F231" i="9"/>
  <c r="E77" i="22"/>
  <c r="F238" i="22"/>
  <c r="G233" i="7"/>
  <c r="F67" i="7"/>
  <c r="R105" i="2"/>
  <c r="D105" i="20"/>
  <c r="G224" i="10"/>
  <c r="F49" i="10"/>
  <c r="H226" i="10"/>
  <c r="G53" i="10"/>
  <c r="G223" i="10"/>
  <c r="F47" i="10"/>
  <c r="G31" i="10"/>
  <c r="H215" i="10"/>
  <c r="F222" i="10"/>
  <c r="E45" i="10"/>
  <c r="G220" i="10"/>
  <c r="F41" i="10"/>
  <c r="G219" i="10"/>
  <c r="F39" i="10"/>
  <c r="G216" i="10"/>
  <c r="F33" i="10"/>
  <c r="G221" i="10"/>
  <c r="F43" i="10"/>
  <c r="G217" i="10"/>
  <c r="F35" i="10"/>
  <c r="G221" i="22"/>
  <c r="F43" i="22"/>
  <c r="F223" i="22"/>
  <c r="E47" i="22"/>
  <c r="H225" i="22"/>
  <c r="G51" i="22"/>
  <c r="F53" i="22"/>
  <c r="G226" i="22"/>
  <c r="G225" i="8"/>
  <c r="F51" i="8"/>
  <c r="H223" i="8"/>
  <c r="G47" i="8"/>
  <c r="C73" i="9"/>
  <c r="C236" i="9"/>
  <c r="D236" i="9"/>
  <c r="C77" i="9"/>
  <c r="C238" i="9"/>
  <c r="D238" i="9"/>
  <c r="H216" i="22"/>
  <c r="G33" i="22"/>
  <c r="I77" i="2"/>
  <c r="C77" i="20"/>
  <c r="G222" i="8"/>
  <c r="F45" i="8"/>
  <c r="B245" i="8"/>
  <c r="D245" i="8"/>
  <c r="F221" i="8"/>
  <c r="E43" i="8"/>
  <c r="F33" i="11"/>
  <c r="G216" i="11"/>
  <c r="G215" i="9"/>
  <c r="F31" i="9"/>
  <c r="H226" i="9"/>
  <c r="G53" i="9"/>
  <c r="E31" i="1"/>
  <c r="F222" i="1"/>
  <c r="F223" i="1"/>
  <c r="E33" i="1"/>
  <c r="H236" i="1"/>
  <c r="G59" i="1"/>
  <c r="H239" i="1"/>
  <c r="G65" i="1"/>
  <c r="G35" i="1"/>
  <c r="H224" i="1"/>
  <c r="G233" i="1"/>
  <c r="F53" i="1"/>
  <c r="F51" i="1"/>
  <c r="G232" i="1"/>
  <c r="AJ96" i="2"/>
  <c r="F96" i="20"/>
  <c r="BB85" i="2"/>
  <c r="H85" i="20"/>
  <c r="B247" i="8"/>
  <c r="D247" i="8"/>
  <c r="F222" i="22"/>
  <c r="E45" i="22"/>
  <c r="G219" i="6"/>
  <c r="F33" i="6"/>
  <c r="F25" i="6"/>
  <c r="G215" i="6"/>
  <c r="E31" i="6"/>
  <c r="F218" i="6"/>
  <c r="F41" i="6"/>
  <c r="G223" i="6"/>
  <c r="E43" i="6"/>
  <c r="F224" i="6"/>
  <c r="F35" i="6"/>
  <c r="G220" i="6"/>
  <c r="G214" i="6"/>
  <c r="F23" i="6"/>
  <c r="F37" i="6"/>
  <c r="G221" i="6"/>
  <c r="G217" i="6"/>
  <c r="F27" i="6"/>
  <c r="G216" i="6"/>
  <c r="H228" i="1"/>
  <c r="G43" i="1"/>
  <c r="C81" i="1"/>
  <c r="C247" i="1"/>
  <c r="D247" i="1"/>
  <c r="F218" i="8"/>
  <c r="E37" i="8"/>
  <c r="C45" i="11"/>
  <c r="C222" i="11"/>
  <c r="D222" i="11"/>
  <c r="B255" i="9"/>
  <c r="D255" i="9"/>
  <c r="AA96" i="2"/>
  <c r="E96" i="20"/>
  <c r="G217" i="22"/>
  <c r="F35" i="22"/>
  <c r="F219" i="22"/>
  <c r="E39" i="22"/>
  <c r="F49" i="22"/>
  <c r="G224" i="22"/>
  <c r="F35" i="7"/>
  <c r="G217" i="7"/>
  <c r="G221" i="7"/>
  <c r="F43" i="7"/>
  <c r="F218" i="7"/>
  <c r="E37" i="7"/>
  <c r="F219" i="7"/>
  <c r="E39" i="7"/>
  <c r="F215" i="7"/>
  <c r="E31" i="7"/>
  <c r="C41" i="7"/>
  <c r="C220" i="7"/>
  <c r="D220" i="7"/>
  <c r="D222" i="6"/>
  <c r="C39" i="6"/>
  <c r="C222" i="6"/>
  <c r="F35" i="9"/>
  <c r="G217" i="9"/>
  <c r="I221" i="9"/>
  <c r="H43" i="9"/>
  <c r="D219" i="9"/>
  <c r="C39" i="9"/>
  <c r="C219" i="9"/>
  <c r="H223" i="9"/>
  <c r="G47" i="9"/>
  <c r="F225" i="9"/>
  <c r="E51" i="9"/>
  <c r="D57" i="9"/>
  <c r="E228" i="9"/>
  <c r="F45" i="9"/>
  <c r="G222" i="9"/>
  <c r="G224" i="9"/>
  <c r="F49" i="9"/>
  <c r="D77" i="1"/>
  <c r="E245" i="1"/>
  <c r="F240" i="1"/>
  <c r="E67" i="1"/>
  <c r="G79" i="1"/>
  <c r="H246" i="1"/>
  <c r="F237" i="1"/>
  <c r="E61" i="1"/>
  <c r="G242" i="1"/>
  <c r="F71" i="1"/>
  <c r="D73" i="1"/>
  <c r="E243" i="1"/>
  <c r="G244" i="1"/>
  <c r="F75" i="1"/>
  <c r="AS87" i="2"/>
  <c r="G87" i="20"/>
  <c r="F218" i="11"/>
  <c r="E37" i="11"/>
  <c r="D215" i="11"/>
  <c r="C215" i="11"/>
  <c r="G219" i="11"/>
  <c r="F39" i="11"/>
  <c r="D220" i="11"/>
  <c r="C41" i="11"/>
  <c r="C220" i="11"/>
  <c r="G225" i="10"/>
  <c r="F51" i="10"/>
  <c r="G218" i="10"/>
  <c r="F37" i="10"/>
  <c r="H229" i="22"/>
  <c r="G59" i="22"/>
  <c r="G227" i="22"/>
  <c r="F55" i="22"/>
  <c r="G218" i="22"/>
  <c r="G220" i="22"/>
  <c r="F41" i="22"/>
  <c r="E228" i="8"/>
  <c r="D57" i="8"/>
  <c r="G227" i="8"/>
  <c r="F55" i="8"/>
  <c r="H224" i="8"/>
  <c r="G49" i="8"/>
  <c r="H216" i="8"/>
  <c r="G33" i="8"/>
  <c r="H220" i="8"/>
  <c r="G41" i="8"/>
  <c r="H226" i="8"/>
  <c r="G53" i="8"/>
  <c r="I215" i="8"/>
  <c r="H31" i="8"/>
  <c r="H227" i="7"/>
  <c r="G55" i="7"/>
  <c r="H226" i="7"/>
  <c r="G53" i="7"/>
  <c r="H225" i="7"/>
  <c r="G51" i="7"/>
  <c r="E222" i="7"/>
  <c r="D45" i="7"/>
  <c r="F223" i="7"/>
  <c r="E47" i="7"/>
  <c r="H231" i="6"/>
  <c r="G57" i="6"/>
  <c r="H230" i="6"/>
  <c r="G55" i="6"/>
  <c r="H229" i="6"/>
  <c r="G53" i="6"/>
  <c r="H228" i="6"/>
  <c r="G51" i="6"/>
  <c r="H227" i="6"/>
  <c r="G49" i="6"/>
  <c r="F225" i="6"/>
  <c r="E45" i="6"/>
  <c r="G230" i="9"/>
  <c r="F61" i="9"/>
  <c r="H229" i="9"/>
  <c r="G59" i="9"/>
  <c r="C33" i="9"/>
  <c r="C216" i="9"/>
  <c r="D216" i="9"/>
  <c r="G220" i="9"/>
  <c r="G218" i="9"/>
  <c r="F37" i="9"/>
  <c r="F241" i="1"/>
  <c r="E69" i="1"/>
  <c r="H238" i="1"/>
  <c r="G63" i="1"/>
  <c r="H234" i="1"/>
  <c r="G55" i="1"/>
  <c r="H230" i="1"/>
  <c r="G47" i="1"/>
  <c r="F231" i="1"/>
  <c r="E49" i="1"/>
  <c r="F229" i="1"/>
  <c r="E45" i="1"/>
  <c r="F225" i="1"/>
  <c r="E37" i="1"/>
  <c r="H226" i="1"/>
  <c r="G39" i="1"/>
  <c r="F227" i="1"/>
  <c r="E41" i="1"/>
  <c r="G224" i="7"/>
  <c r="F49" i="7"/>
  <c r="J84" i="20"/>
  <c r="BT85" i="2"/>
  <c r="I90" i="20"/>
  <c r="BK91" i="2"/>
  <c r="CL92" i="2"/>
  <c r="L91" i="20"/>
  <c r="CC74" i="2"/>
  <c r="K73" i="20"/>
  <c r="F233" i="7"/>
  <c r="E67" i="7"/>
  <c r="D71" i="8"/>
  <c r="E235" i="8"/>
  <c r="FS54" i="10"/>
  <c r="FR144" i="10"/>
  <c r="FP147" i="10"/>
  <c r="E231" i="9"/>
  <c r="D63" i="9"/>
  <c r="C51" i="11"/>
  <c r="C225" i="11"/>
  <c r="D225" i="11"/>
  <c r="C77" i="11"/>
  <c r="C238" i="11"/>
  <c r="D238" i="11"/>
  <c r="FQ145" i="10"/>
  <c r="FQ146" i="10"/>
  <c r="C77" i="10"/>
  <c r="C238" i="10"/>
  <c r="D238" i="10"/>
  <c r="E238" i="22"/>
  <c r="D77" i="22"/>
  <c r="C77" i="7"/>
  <c r="C238" i="7"/>
  <c r="D238" i="7"/>
  <c r="D69" i="10"/>
  <c r="E234" i="10"/>
  <c r="F57" i="22"/>
  <c r="G228" i="22"/>
  <c r="E230" i="10"/>
  <c r="D61" i="10"/>
  <c r="D79" i="8"/>
  <c r="E239" i="8"/>
  <c r="E47" i="6"/>
  <c r="F226" i="6"/>
  <c r="R106" i="2"/>
  <c r="D106" i="20"/>
  <c r="E35" i="10"/>
  <c r="F217" i="10"/>
  <c r="E33" i="10"/>
  <c r="F216" i="10"/>
  <c r="F220" i="10"/>
  <c r="E41" i="10"/>
  <c r="G226" i="10"/>
  <c r="F53" i="10"/>
  <c r="F31" i="10"/>
  <c r="G215" i="10"/>
  <c r="E43" i="10"/>
  <c r="F221" i="10"/>
  <c r="E39" i="10"/>
  <c r="F219" i="10"/>
  <c r="E222" i="10"/>
  <c r="D45" i="10"/>
  <c r="E47" i="10"/>
  <c r="F223" i="10"/>
  <c r="F224" i="10"/>
  <c r="E49" i="10"/>
  <c r="E223" i="22"/>
  <c r="D47" i="22"/>
  <c r="E53" i="22"/>
  <c r="F226" i="22"/>
  <c r="G225" i="22"/>
  <c r="F51" i="22"/>
  <c r="F221" i="22"/>
  <c r="E43" i="22"/>
  <c r="F47" i="8"/>
  <c r="G223" i="8"/>
  <c r="F225" i="8"/>
  <c r="E51" i="8"/>
  <c r="G216" i="22"/>
  <c r="F33" i="22"/>
  <c r="I78" i="2"/>
  <c r="C78" i="20"/>
  <c r="D43" i="8"/>
  <c r="E221" i="8"/>
  <c r="F222" i="8"/>
  <c r="E45" i="8"/>
  <c r="F216" i="11"/>
  <c r="E33" i="11"/>
  <c r="F53" i="9"/>
  <c r="G226" i="9"/>
  <c r="E31" i="9"/>
  <c r="F215" i="9"/>
  <c r="E222" i="1"/>
  <c r="D31" i="1"/>
  <c r="F35" i="1"/>
  <c r="G224" i="1"/>
  <c r="F233" i="1"/>
  <c r="E53" i="1"/>
  <c r="G239" i="1"/>
  <c r="F65" i="1"/>
  <c r="G236" i="1"/>
  <c r="F59" i="1"/>
  <c r="D33" i="1"/>
  <c r="E223" i="1"/>
  <c r="F232" i="1"/>
  <c r="E51" i="1"/>
  <c r="AJ97" i="2"/>
  <c r="F97" i="20"/>
  <c r="BB86" i="2"/>
  <c r="H86" i="20"/>
  <c r="B276" i="1"/>
  <c r="D276" i="1"/>
  <c r="E222" i="22"/>
  <c r="D45" i="22"/>
  <c r="F217" i="6"/>
  <c r="F214" i="6"/>
  <c r="E23" i="6"/>
  <c r="F219" i="6"/>
  <c r="E33" i="6"/>
  <c r="F216" i="6"/>
  <c r="E27" i="6"/>
  <c r="E37" i="6"/>
  <c r="F221" i="6"/>
  <c r="E35" i="6"/>
  <c r="F220" i="6"/>
  <c r="D43" i="6"/>
  <c r="E224" i="6"/>
  <c r="F223" i="6"/>
  <c r="E41" i="6"/>
  <c r="E218" i="6"/>
  <c r="D31" i="6"/>
  <c r="E25" i="6"/>
  <c r="F215" i="6"/>
  <c r="F43" i="1"/>
  <c r="G228" i="1"/>
  <c r="D37" i="8"/>
  <c r="E218" i="8"/>
  <c r="B250" i="11"/>
  <c r="B248" i="7"/>
  <c r="D248" i="7"/>
  <c r="B251" i="6"/>
  <c r="D251" i="6"/>
  <c r="B247" i="9"/>
  <c r="D247" i="9"/>
  <c r="AA97" i="2"/>
  <c r="E97" i="20"/>
  <c r="E219" i="22"/>
  <c r="D39" i="22"/>
  <c r="E35" i="22"/>
  <c r="F217" i="22"/>
  <c r="E49" i="22"/>
  <c r="F224" i="22"/>
  <c r="D31" i="7"/>
  <c r="E215" i="7"/>
  <c r="D37" i="7"/>
  <c r="E218" i="7"/>
  <c r="E35" i="7"/>
  <c r="F217" i="7"/>
  <c r="E219" i="7"/>
  <c r="D39" i="7"/>
  <c r="F221" i="7"/>
  <c r="E43" i="7"/>
  <c r="G223" i="9"/>
  <c r="F47" i="9"/>
  <c r="H221" i="9"/>
  <c r="G43" i="9"/>
  <c r="F217" i="9"/>
  <c r="E35" i="9"/>
  <c r="D51" i="9"/>
  <c r="E225" i="9"/>
  <c r="F222" i="9"/>
  <c r="E45" i="9"/>
  <c r="F224" i="9"/>
  <c r="E49" i="9"/>
  <c r="C57" i="9"/>
  <c r="C228" i="9"/>
  <c r="D228" i="9"/>
  <c r="D243" i="1"/>
  <c r="C73" i="1"/>
  <c r="C243" i="1"/>
  <c r="D61" i="1"/>
  <c r="E237" i="1"/>
  <c r="E240" i="1"/>
  <c r="D67" i="1"/>
  <c r="E75" i="1"/>
  <c r="F244" i="1"/>
  <c r="F242" i="1"/>
  <c r="E71" i="1"/>
  <c r="G246" i="1"/>
  <c r="F79" i="1"/>
  <c r="C77" i="1"/>
  <c r="C245" i="1"/>
  <c r="D245" i="1"/>
  <c r="B248" i="11"/>
  <c r="B244" i="9"/>
  <c r="D244" i="9"/>
  <c r="AS88" i="2"/>
  <c r="G88" i="20"/>
  <c r="F219" i="11"/>
  <c r="E39" i="11"/>
  <c r="B243" i="11"/>
  <c r="D37" i="11"/>
  <c r="E218" i="11"/>
  <c r="F225" i="10"/>
  <c r="E51" i="10"/>
  <c r="F218" i="10"/>
  <c r="E37" i="10"/>
  <c r="G229" i="22"/>
  <c r="F59" i="22"/>
  <c r="F220" i="22"/>
  <c r="E41" i="22"/>
  <c r="F218" i="22"/>
  <c r="F227" i="22"/>
  <c r="E55" i="22"/>
  <c r="C57" i="8"/>
  <c r="C228" i="8"/>
  <c r="D228" i="8"/>
  <c r="F227" i="8"/>
  <c r="E55" i="8"/>
  <c r="G226" i="8"/>
  <c r="F53" i="8"/>
  <c r="G216" i="8"/>
  <c r="F33" i="8"/>
  <c r="H215" i="8"/>
  <c r="G31" i="8"/>
  <c r="G220" i="8"/>
  <c r="F41" i="8"/>
  <c r="G224" i="8"/>
  <c r="F49" i="8"/>
  <c r="G227" i="7"/>
  <c r="F55" i="7"/>
  <c r="G226" i="7"/>
  <c r="F53" i="7"/>
  <c r="G225" i="7"/>
  <c r="F51" i="7"/>
  <c r="D47" i="7"/>
  <c r="E223" i="7"/>
  <c r="D222" i="7"/>
  <c r="C45" i="7"/>
  <c r="C222" i="7"/>
  <c r="G231" i="6"/>
  <c r="F57" i="6"/>
  <c r="G230" i="6"/>
  <c r="F55" i="6"/>
  <c r="G229" i="6"/>
  <c r="F53" i="6"/>
  <c r="G228" i="6"/>
  <c r="F51" i="6"/>
  <c r="G227" i="6"/>
  <c r="F49" i="6"/>
  <c r="D45" i="6"/>
  <c r="E225" i="6"/>
  <c r="F230" i="9"/>
  <c r="E61" i="9"/>
  <c r="G229" i="9"/>
  <c r="F59" i="9"/>
  <c r="F220" i="9"/>
  <c r="F218" i="9"/>
  <c r="E37" i="9"/>
  <c r="D69" i="1"/>
  <c r="E241" i="1"/>
  <c r="G238" i="1"/>
  <c r="F63" i="1"/>
  <c r="D49" i="1"/>
  <c r="E231" i="1"/>
  <c r="G234" i="1"/>
  <c r="F55" i="1"/>
  <c r="G230" i="1"/>
  <c r="F47" i="1"/>
  <c r="D45" i="1"/>
  <c r="E229" i="1"/>
  <c r="G226" i="1"/>
  <c r="F39" i="1"/>
  <c r="D41" i="1"/>
  <c r="E227" i="1"/>
  <c r="E225" i="1"/>
  <c r="D37" i="1"/>
  <c r="E49" i="7"/>
  <c r="F224" i="7"/>
  <c r="J85" i="20"/>
  <c r="BT86" i="2"/>
  <c r="I91" i="20"/>
  <c r="BK92" i="2"/>
  <c r="CL93" i="2"/>
  <c r="L92" i="20"/>
  <c r="CC75" i="2"/>
  <c r="K74" i="20"/>
  <c r="FQ147" i="10"/>
  <c r="C79" i="8"/>
  <c r="C239" i="8"/>
  <c r="D239" i="8"/>
  <c r="E57" i="22"/>
  <c r="F228" i="22"/>
  <c r="D238" i="22"/>
  <c r="C77" i="22"/>
  <c r="C238" i="22"/>
  <c r="E226" i="6"/>
  <c r="D47" i="6"/>
  <c r="C69" i="10"/>
  <c r="C234" i="10"/>
  <c r="D234" i="10"/>
  <c r="FR146" i="10"/>
  <c r="FR145" i="10"/>
  <c r="D67" i="7"/>
  <c r="E233" i="7"/>
  <c r="C61" i="10"/>
  <c r="C230" i="10"/>
  <c r="D230" i="10"/>
  <c r="D235" i="8"/>
  <c r="C71" i="8"/>
  <c r="C235" i="8"/>
  <c r="D231" i="9"/>
  <c r="C63" i="9"/>
  <c r="C231" i="9"/>
  <c r="FS144" i="10"/>
  <c r="FT54" i="10"/>
  <c r="R107" i="2"/>
  <c r="D107" i="20"/>
  <c r="E224" i="10"/>
  <c r="D49" i="10"/>
  <c r="D222" i="10"/>
  <c r="C45" i="10"/>
  <c r="C222" i="10"/>
  <c r="E53" i="10"/>
  <c r="F226" i="10"/>
  <c r="D43" i="10"/>
  <c r="E221" i="10"/>
  <c r="E216" i="10"/>
  <c r="D33" i="10"/>
  <c r="E220" i="10"/>
  <c r="D41" i="10"/>
  <c r="E223" i="10"/>
  <c r="D47" i="10"/>
  <c r="D39" i="10"/>
  <c r="E219" i="10"/>
  <c r="E31" i="10"/>
  <c r="F215" i="10"/>
  <c r="D35" i="10"/>
  <c r="E217" i="10"/>
  <c r="D43" i="22"/>
  <c r="E221" i="22"/>
  <c r="E226" i="22"/>
  <c r="D53" i="22"/>
  <c r="F225" i="22"/>
  <c r="E51" i="22"/>
  <c r="D223" i="22"/>
  <c r="C47" i="22"/>
  <c r="C223" i="22"/>
  <c r="D51" i="8"/>
  <c r="E225" i="8"/>
  <c r="F223" i="8"/>
  <c r="E47" i="8"/>
  <c r="F216" i="22"/>
  <c r="E33" i="22"/>
  <c r="I79" i="2"/>
  <c r="C79" i="20"/>
  <c r="C43" i="8"/>
  <c r="C221" i="8"/>
  <c r="D221" i="8"/>
  <c r="D45" i="8"/>
  <c r="E222" i="8"/>
  <c r="E216" i="11"/>
  <c r="D33" i="11"/>
  <c r="D31" i="9"/>
  <c r="E215" i="9"/>
  <c r="E53" i="9"/>
  <c r="F226" i="9"/>
  <c r="C31" i="1"/>
  <c r="C222" i="1"/>
  <c r="D222" i="1"/>
  <c r="D223" i="1"/>
  <c r="C33" i="1"/>
  <c r="C223" i="1"/>
  <c r="E35" i="1"/>
  <c r="F224" i="1"/>
  <c r="F236" i="1"/>
  <c r="E59" i="1"/>
  <c r="E65" i="1"/>
  <c r="F239" i="1"/>
  <c r="D53" i="1"/>
  <c r="E233" i="1"/>
  <c r="E232" i="1"/>
  <c r="D51" i="1"/>
  <c r="AJ98" i="2"/>
  <c r="F98" i="20"/>
  <c r="BB87" i="2"/>
  <c r="H87" i="20"/>
  <c r="D222" i="22"/>
  <c r="C45" i="22"/>
  <c r="C222" i="22"/>
  <c r="D218" i="6"/>
  <c r="C31" i="6"/>
  <c r="C218" i="6"/>
  <c r="D41" i="6"/>
  <c r="E223" i="6"/>
  <c r="E216" i="6"/>
  <c r="D27" i="6"/>
  <c r="D33" i="6"/>
  <c r="E219" i="6"/>
  <c r="D23" i="6"/>
  <c r="E214" i="6"/>
  <c r="D25" i="6"/>
  <c r="E215" i="6"/>
  <c r="C43" i="6"/>
  <c r="C224" i="6"/>
  <c r="D224" i="6"/>
  <c r="E220" i="6"/>
  <c r="D35" i="6"/>
  <c r="E221" i="6"/>
  <c r="D37" i="6"/>
  <c r="E217" i="6"/>
  <c r="E43" i="1"/>
  <c r="F228" i="1"/>
  <c r="C37" i="8"/>
  <c r="C218" i="8"/>
  <c r="D218" i="8"/>
  <c r="B274" i="1"/>
  <c r="D274" i="1"/>
  <c r="AA98" i="2"/>
  <c r="E98" i="20"/>
  <c r="E217" i="22"/>
  <c r="D35" i="22"/>
  <c r="C39" i="22"/>
  <c r="C219" i="22"/>
  <c r="D219" i="22"/>
  <c r="E224" i="22"/>
  <c r="D49" i="22"/>
  <c r="D219" i="7"/>
  <c r="C39" i="7"/>
  <c r="C219" i="7"/>
  <c r="D218" i="7"/>
  <c r="C37" i="7"/>
  <c r="C218" i="7"/>
  <c r="D43" i="7"/>
  <c r="E221" i="7"/>
  <c r="E217" i="7"/>
  <c r="D35" i="7"/>
  <c r="C31" i="7"/>
  <c r="C215" i="7"/>
  <c r="D215" i="7"/>
  <c r="G221" i="9"/>
  <c r="F43" i="9"/>
  <c r="F223" i="9"/>
  <c r="E47" i="9"/>
  <c r="E217" i="9"/>
  <c r="D35" i="9"/>
  <c r="B256" i="9"/>
  <c r="D256" i="9"/>
  <c r="D225" i="9"/>
  <c r="C51" i="9"/>
  <c r="C225" i="9"/>
  <c r="D49" i="9"/>
  <c r="E224" i="9"/>
  <c r="D45" i="9"/>
  <c r="E222" i="9"/>
  <c r="F246" i="1"/>
  <c r="E79" i="1"/>
  <c r="E244" i="1"/>
  <c r="D75" i="1"/>
  <c r="D237" i="1"/>
  <c r="C61" i="1"/>
  <c r="C237" i="1"/>
  <c r="E242" i="1"/>
  <c r="D71" i="1"/>
  <c r="C67" i="1"/>
  <c r="C240" i="1"/>
  <c r="D240" i="1"/>
  <c r="B272" i="1"/>
  <c r="D272" i="1"/>
  <c r="B250" i="7"/>
  <c r="D250" i="7"/>
  <c r="AS89" i="2"/>
  <c r="G89" i="20"/>
  <c r="D218" i="11"/>
  <c r="C37" i="11"/>
  <c r="C218" i="11"/>
  <c r="E219" i="11"/>
  <c r="D39" i="11"/>
  <c r="E225" i="10"/>
  <c r="D51" i="10"/>
  <c r="E218" i="10"/>
  <c r="D37" i="10"/>
  <c r="F229" i="22"/>
  <c r="E59" i="22"/>
  <c r="E227" i="22"/>
  <c r="D55" i="22"/>
  <c r="E218" i="22"/>
  <c r="E220" i="22"/>
  <c r="D41" i="22"/>
  <c r="B256" i="8"/>
  <c r="D256" i="8"/>
  <c r="E227" i="8"/>
  <c r="D55" i="8"/>
  <c r="F220" i="8"/>
  <c r="E41" i="8"/>
  <c r="F216" i="8"/>
  <c r="E33" i="8"/>
  <c r="F224" i="8"/>
  <c r="E49" i="8"/>
  <c r="G215" i="8"/>
  <c r="F31" i="8"/>
  <c r="F226" i="8"/>
  <c r="E53" i="8"/>
  <c r="F227" i="7"/>
  <c r="E55" i="7"/>
  <c r="F226" i="7"/>
  <c r="E53" i="7"/>
  <c r="F225" i="7"/>
  <c r="E51" i="7"/>
  <c r="D223" i="7"/>
  <c r="C47" i="7"/>
  <c r="C223" i="7"/>
  <c r="F231" i="6"/>
  <c r="E57" i="6"/>
  <c r="F230" i="6"/>
  <c r="E55" i="6"/>
  <c r="F229" i="6"/>
  <c r="E53" i="6"/>
  <c r="F228" i="6"/>
  <c r="E51" i="6"/>
  <c r="F227" i="6"/>
  <c r="E49" i="6"/>
  <c r="C45" i="6"/>
  <c r="C225" i="6"/>
  <c r="D225" i="6"/>
  <c r="E230" i="9"/>
  <c r="D61" i="9"/>
  <c r="F229" i="9"/>
  <c r="E59" i="9"/>
  <c r="E220" i="9"/>
  <c r="E218" i="9"/>
  <c r="D37" i="9"/>
  <c r="D241" i="1"/>
  <c r="C69" i="1"/>
  <c r="C241" i="1"/>
  <c r="F238" i="1"/>
  <c r="E63" i="1"/>
  <c r="F230" i="1"/>
  <c r="E47" i="1"/>
  <c r="F234" i="1"/>
  <c r="E55" i="1"/>
  <c r="D231" i="1"/>
  <c r="C49" i="1"/>
  <c r="C231" i="1"/>
  <c r="D229" i="1"/>
  <c r="C45" i="1"/>
  <c r="C229" i="1"/>
  <c r="D227" i="1"/>
  <c r="C41" i="1"/>
  <c r="C227" i="1"/>
  <c r="F226" i="1"/>
  <c r="E39" i="1"/>
  <c r="C37" i="1"/>
  <c r="C225" i="1"/>
  <c r="D225" i="1"/>
  <c r="E224" i="7"/>
  <c r="D49" i="7"/>
  <c r="B246" i="11"/>
  <c r="J86" i="20"/>
  <c r="BT87" i="2"/>
  <c r="I92" i="20"/>
  <c r="BK93" i="2"/>
  <c r="CL94" i="2"/>
  <c r="L93" i="20"/>
  <c r="CC76" i="2"/>
  <c r="K75" i="20"/>
  <c r="FR147" i="10"/>
  <c r="B251" i="22"/>
  <c r="D251" i="22"/>
  <c r="B250" i="10"/>
  <c r="D250" i="10"/>
  <c r="D226" i="6"/>
  <c r="C47" i="6"/>
  <c r="C226" i="6"/>
  <c r="FU54" i="10"/>
  <c r="FT144" i="10"/>
  <c r="D57" i="22"/>
  <c r="E228" i="22"/>
  <c r="FS146" i="10"/>
  <c r="FS145" i="10"/>
  <c r="D233" i="7"/>
  <c r="C67" i="7"/>
  <c r="C233" i="7"/>
  <c r="R108" i="2"/>
  <c r="D108" i="20"/>
  <c r="C41" i="10"/>
  <c r="C220" i="10"/>
  <c r="D220" i="10"/>
  <c r="D217" i="10"/>
  <c r="C35" i="10"/>
  <c r="C217" i="10"/>
  <c r="C39" i="10"/>
  <c r="C219" i="10"/>
  <c r="D219" i="10"/>
  <c r="C43" i="10"/>
  <c r="C221" i="10"/>
  <c r="D221" i="10"/>
  <c r="D223" i="10"/>
  <c r="C47" i="10"/>
  <c r="C223" i="10"/>
  <c r="C33" i="10"/>
  <c r="C216" i="10"/>
  <c r="D216" i="10"/>
  <c r="C49" i="10"/>
  <c r="C224" i="10"/>
  <c r="D224" i="10"/>
  <c r="D31" i="10"/>
  <c r="E215" i="10"/>
  <c r="E226" i="10"/>
  <c r="D53" i="10"/>
  <c r="C53" i="22"/>
  <c r="C226" i="22"/>
  <c r="D226" i="22"/>
  <c r="D51" i="22"/>
  <c r="E225" i="22"/>
  <c r="D221" i="22"/>
  <c r="C43" i="22"/>
  <c r="C221" i="22"/>
  <c r="D47" i="8"/>
  <c r="E223" i="8"/>
  <c r="C51" i="8"/>
  <c r="C225" i="8"/>
  <c r="D225" i="8"/>
  <c r="D33" i="22"/>
  <c r="E216" i="22"/>
  <c r="I80" i="2"/>
  <c r="C80" i="20"/>
  <c r="B249" i="8"/>
  <c r="D249" i="8"/>
  <c r="B251" i="1"/>
  <c r="D251" i="1"/>
  <c r="D222" i="8"/>
  <c r="C45" i="8"/>
  <c r="C222" i="8"/>
  <c r="C33" i="11"/>
  <c r="C216" i="11"/>
  <c r="D216" i="11"/>
  <c r="E226" i="9"/>
  <c r="D53" i="9"/>
  <c r="C31" i="9"/>
  <c r="C215" i="9"/>
  <c r="D215" i="9"/>
  <c r="C53" i="1"/>
  <c r="C233" i="1"/>
  <c r="D233" i="1"/>
  <c r="D65" i="1"/>
  <c r="E239" i="1"/>
  <c r="E224" i="1"/>
  <c r="D35" i="1"/>
  <c r="D59" i="1"/>
  <c r="E236" i="1"/>
  <c r="B252" i="1"/>
  <c r="D252" i="1"/>
  <c r="D232" i="1"/>
  <c r="C51" i="1"/>
  <c r="C232" i="1"/>
  <c r="AJ99" i="2"/>
  <c r="F99" i="20"/>
  <c r="B250" i="22"/>
  <c r="D250" i="22"/>
  <c r="BB88" i="2"/>
  <c r="H88" i="20"/>
  <c r="B247" i="6"/>
  <c r="D247" i="6"/>
  <c r="B253" i="6"/>
  <c r="D253" i="6"/>
  <c r="C217" i="6"/>
  <c r="D217" i="6"/>
  <c r="D221" i="6"/>
  <c r="C37" i="6"/>
  <c r="C221" i="6"/>
  <c r="C35" i="6"/>
  <c r="C220" i="6"/>
  <c r="D220" i="6"/>
  <c r="C27" i="6"/>
  <c r="C216" i="6"/>
  <c r="D216" i="6"/>
  <c r="C25" i="6"/>
  <c r="C215" i="6"/>
  <c r="D215" i="6"/>
  <c r="D214" i="6"/>
  <c r="C23" i="6"/>
  <c r="C214" i="6"/>
  <c r="D219" i="6"/>
  <c r="C33" i="6"/>
  <c r="C219" i="6"/>
  <c r="D223" i="6"/>
  <c r="C41" i="6"/>
  <c r="C223" i="6"/>
  <c r="E228" i="1"/>
  <c r="D43" i="1"/>
  <c r="B246" i="8"/>
  <c r="D246" i="8"/>
  <c r="B247" i="22"/>
  <c r="D247" i="22"/>
  <c r="B246" i="7"/>
  <c r="D246" i="7"/>
  <c r="B247" i="7"/>
  <c r="D247" i="7"/>
  <c r="B253" i="9"/>
  <c r="D253" i="9"/>
  <c r="B269" i="1"/>
  <c r="D269" i="1"/>
  <c r="AA99" i="2"/>
  <c r="E99" i="20"/>
  <c r="D224" i="22"/>
  <c r="C49" i="22"/>
  <c r="C224" i="22"/>
  <c r="D217" i="22"/>
  <c r="C35" i="22"/>
  <c r="C217" i="22"/>
  <c r="C35" i="7"/>
  <c r="C217" i="7"/>
  <c r="D217" i="7"/>
  <c r="B243" i="7"/>
  <c r="D243" i="7"/>
  <c r="D221" i="7"/>
  <c r="C43" i="7"/>
  <c r="C221" i="7"/>
  <c r="D47" i="9"/>
  <c r="E223" i="9"/>
  <c r="C35" i="9"/>
  <c r="C217" i="9"/>
  <c r="D217" i="9"/>
  <c r="F221" i="9"/>
  <c r="E43" i="9"/>
  <c r="D222" i="9"/>
  <c r="C45" i="9"/>
  <c r="C222" i="9"/>
  <c r="D224" i="9"/>
  <c r="C49" i="9"/>
  <c r="C224" i="9"/>
  <c r="D242" i="1"/>
  <c r="C71" i="1"/>
  <c r="C242" i="1"/>
  <c r="C75" i="1"/>
  <c r="C244" i="1"/>
  <c r="D244" i="1"/>
  <c r="B266" i="1"/>
  <c r="D266" i="1"/>
  <c r="D79" i="1"/>
  <c r="E246" i="1"/>
  <c r="B251" i="7"/>
  <c r="D251" i="7"/>
  <c r="B258" i="1"/>
  <c r="D258" i="1"/>
  <c r="B256" i="1"/>
  <c r="D256" i="1"/>
  <c r="B260" i="1"/>
  <c r="D260" i="1"/>
  <c r="B270" i="1"/>
  <c r="D270" i="1"/>
  <c r="B254" i="6"/>
  <c r="D254" i="6"/>
  <c r="AS90" i="2"/>
  <c r="G90" i="20"/>
  <c r="D219" i="11"/>
  <c r="C39" i="11"/>
  <c r="C219" i="11"/>
  <c r="D225" i="10"/>
  <c r="C51" i="10"/>
  <c r="C225" i="10"/>
  <c r="C37" i="10"/>
  <c r="C218" i="10"/>
  <c r="D218" i="10"/>
  <c r="E229" i="22"/>
  <c r="D59" i="22"/>
  <c r="D218" i="22"/>
  <c r="C218" i="22"/>
  <c r="D220" i="22"/>
  <c r="C41" i="22"/>
  <c r="C220" i="22"/>
  <c r="D227" i="22"/>
  <c r="C55" i="22"/>
  <c r="C227" i="22"/>
  <c r="D227" i="8"/>
  <c r="C55" i="8"/>
  <c r="C227" i="8"/>
  <c r="F215" i="8"/>
  <c r="E31" i="8"/>
  <c r="E216" i="8"/>
  <c r="D33" i="8"/>
  <c r="E226" i="8"/>
  <c r="D53" i="8"/>
  <c r="E224" i="8"/>
  <c r="D49" i="8"/>
  <c r="E220" i="8"/>
  <c r="D41" i="8"/>
  <c r="E227" i="7"/>
  <c r="D55" i="7"/>
  <c r="E226" i="7"/>
  <c r="D53" i="7"/>
  <c r="E225" i="7"/>
  <c r="D51" i="7"/>
  <c r="E231" i="6"/>
  <c r="D57" i="6"/>
  <c r="E230" i="6"/>
  <c r="D55" i="6"/>
  <c r="E229" i="6"/>
  <c r="D53" i="6"/>
  <c r="E228" i="6"/>
  <c r="D51" i="6"/>
  <c r="E227" i="6"/>
  <c r="D49" i="6"/>
  <c r="C61" i="9"/>
  <c r="C230" i="9"/>
  <c r="D230" i="9"/>
  <c r="E229" i="9"/>
  <c r="D59" i="9"/>
  <c r="D218" i="9"/>
  <c r="C37" i="9"/>
  <c r="C218" i="9"/>
  <c r="D220" i="9"/>
  <c r="C220" i="9"/>
  <c r="E238" i="1"/>
  <c r="D63" i="1"/>
  <c r="E230" i="1"/>
  <c r="D47" i="1"/>
  <c r="E234" i="1"/>
  <c r="D55" i="1"/>
  <c r="E226" i="1"/>
  <c r="D39" i="1"/>
  <c r="B254" i="1"/>
  <c r="D254" i="1"/>
  <c r="C49" i="7"/>
  <c r="C224" i="7"/>
  <c r="D224" i="7"/>
  <c r="J87" i="20"/>
  <c r="BT88" i="2"/>
  <c r="I93" i="20"/>
  <c r="BK94" i="2"/>
  <c r="CL95" i="2"/>
  <c r="L94" i="20"/>
  <c r="CC77" i="2"/>
  <c r="K76" i="20"/>
  <c r="B245" i="10"/>
  <c r="D245" i="10"/>
  <c r="B252" i="10"/>
  <c r="D252" i="10"/>
  <c r="B247" i="10"/>
  <c r="D247" i="10"/>
  <c r="B248" i="10"/>
  <c r="D248" i="10"/>
  <c r="B255" i="6"/>
  <c r="D255" i="6"/>
  <c r="D228" i="22"/>
  <c r="C57" i="22"/>
  <c r="C228" i="22"/>
  <c r="FT146" i="10"/>
  <c r="FT145" i="10"/>
  <c r="B254" i="22"/>
  <c r="D254" i="22"/>
  <c r="FS147" i="10"/>
  <c r="FV54" i="10"/>
  <c r="FU144" i="10"/>
  <c r="R109" i="2"/>
  <c r="D109" i="20"/>
  <c r="C31" i="10"/>
  <c r="C215" i="10"/>
  <c r="D215" i="10"/>
  <c r="B244" i="10"/>
  <c r="D244" i="10"/>
  <c r="B249" i="10"/>
  <c r="D249" i="10"/>
  <c r="D226" i="10"/>
  <c r="C53" i="10"/>
  <c r="C226" i="10"/>
  <c r="B251" i="10"/>
  <c r="D251" i="10"/>
  <c r="C51" i="22"/>
  <c r="C225" i="22"/>
  <c r="D225" i="22"/>
  <c r="B249" i="22"/>
  <c r="D249" i="22"/>
  <c r="B253" i="8"/>
  <c r="D253" i="8"/>
  <c r="C47" i="8"/>
  <c r="C223" i="8"/>
  <c r="D223" i="8"/>
  <c r="D216" i="22"/>
  <c r="C33" i="22"/>
  <c r="C216" i="22"/>
  <c r="I81" i="2"/>
  <c r="C81" i="20"/>
  <c r="B244" i="11"/>
  <c r="B243" i="9"/>
  <c r="D243" i="9"/>
  <c r="B250" i="8"/>
  <c r="D250" i="8"/>
  <c r="C53" i="9"/>
  <c r="C226" i="9"/>
  <c r="D226" i="9"/>
  <c r="C35" i="1"/>
  <c r="C224" i="1"/>
  <c r="D224" i="1"/>
  <c r="B261" i="1"/>
  <c r="D261" i="1"/>
  <c r="D236" i="1"/>
  <c r="C59" i="1"/>
  <c r="C236" i="1"/>
  <c r="C65" i="1"/>
  <c r="C239" i="1"/>
  <c r="D239" i="1"/>
  <c r="B262" i="1"/>
  <c r="D262" i="1"/>
  <c r="AJ100" i="2"/>
  <c r="F100" i="20"/>
  <c r="BB89" i="2"/>
  <c r="H89" i="20"/>
  <c r="B252" i="6"/>
  <c r="D252" i="6"/>
  <c r="B243" i="6"/>
  <c r="D243" i="6"/>
  <c r="B250" i="6"/>
  <c r="D250" i="6"/>
  <c r="B248" i="6"/>
  <c r="D248" i="6"/>
  <c r="B244" i="6"/>
  <c r="D244" i="6"/>
  <c r="B245" i="6"/>
  <c r="D245" i="6"/>
  <c r="B249" i="6"/>
  <c r="D249" i="6"/>
  <c r="B246" i="6"/>
  <c r="D246" i="6"/>
  <c r="C43" i="1"/>
  <c r="C228" i="1"/>
  <c r="D228" i="1"/>
  <c r="B245" i="22"/>
  <c r="D245" i="22"/>
  <c r="B252" i="22"/>
  <c r="D252" i="22"/>
  <c r="B249" i="7"/>
  <c r="D249" i="7"/>
  <c r="B245" i="7"/>
  <c r="D245" i="7"/>
  <c r="B252" i="9"/>
  <c r="D252" i="9"/>
  <c r="B245" i="9"/>
  <c r="D245" i="9"/>
  <c r="B273" i="1"/>
  <c r="D273" i="1"/>
  <c r="AA100" i="2"/>
  <c r="E100" i="20"/>
  <c r="D43" i="9"/>
  <c r="C43" i="9"/>
  <c r="E221" i="9"/>
  <c r="C47" i="9"/>
  <c r="C223" i="9"/>
  <c r="D223" i="9"/>
  <c r="B250" i="9"/>
  <c r="D246" i="1"/>
  <c r="C79" i="1"/>
  <c r="C246" i="1"/>
  <c r="B271" i="1"/>
  <c r="D271" i="1"/>
  <c r="B255" i="22"/>
  <c r="D255" i="22"/>
  <c r="B246" i="22"/>
  <c r="D246" i="22"/>
  <c r="B248" i="22"/>
  <c r="D248" i="22"/>
  <c r="B255" i="8"/>
  <c r="D255" i="8"/>
  <c r="B248" i="9"/>
  <c r="D248" i="9"/>
  <c r="B246" i="9"/>
  <c r="D246" i="9"/>
  <c r="B258" i="9"/>
  <c r="D258" i="9"/>
  <c r="B246" i="10"/>
  <c r="D246" i="10"/>
  <c r="AS91" i="2"/>
  <c r="G91" i="20"/>
  <c r="B247" i="11"/>
  <c r="B253" i="10"/>
  <c r="D253" i="10"/>
  <c r="D229" i="22"/>
  <c r="C59" i="22"/>
  <c r="C229" i="22"/>
  <c r="D216" i="8"/>
  <c r="C33" i="8"/>
  <c r="C216" i="8"/>
  <c r="D224" i="8"/>
  <c r="C49" i="8"/>
  <c r="C224" i="8"/>
  <c r="D220" i="8"/>
  <c r="C41" i="8"/>
  <c r="C220" i="8"/>
  <c r="D226" i="8"/>
  <c r="C53" i="8"/>
  <c r="C226" i="8"/>
  <c r="E215" i="8"/>
  <c r="D31" i="8"/>
  <c r="D227" i="7"/>
  <c r="C55" i="7"/>
  <c r="C227" i="7"/>
  <c r="D226" i="7"/>
  <c r="C53" i="7"/>
  <c r="C226" i="7"/>
  <c r="D225" i="7"/>
  <c r="C51" i="7"/>
  <c r="C225" i="7"/>
  <c r="D231" i="6"/>
  <c r="C57" i="6"/>
  <c r="C231" i="6"/>
  <c r="D230" i="6"/>
  <c r="C55" i="6"/>
  <c r="C230" i="6"/>
  <c r="D229" i="6"/>
  <c r="C53" i="6"/>
  <c r="C229" i="6"/>
  <c r="D228" i="6"/>
  <c r="C51" i="6"/>
  <c r="C228" i="6"/>
  <c r="D227" i="6"/>
  <c r="C49" i="6"/>
  <c r="C227" i="6"/>
  <c r="D229" i="9"/>
  <c r="C59" i="9"/>
  <c r="C229" i="9"/>
  <c r="D238" i="1"/>
  <c r="C63" i="1"/>
  <c r="C238" i="1"/>
  <c r="D230" i="1"/>
  <c r="C47" i="1"/>
  <c r="C230" i="1"/>
  <c r="D234" i="1"/>
  <c r="C55" i="1"/>
  <c r="C234" i="1"/>
  <c r="D226" i="1"/>
  <c r="C39" i="1"/>
  <c r="C226" i="1"/>
  <c r="B252" i="7"/>
  <c r="J88" i="20"/>
  <c r="BT89" i="2"/>
  <c r="I94" i="20"/>
  <c r="BK95" i="2"/>
  <c r="CL96" i="2"/>
  <c r="L95" i="20"/>
  <c r="CC78" i="2"/>
  <c r="K77" i="20"/>
  <c r="B243" i="10"/>
  <c r="D243" i="10"/>
  <c r="B256" i="22"/>
  <c r="D256" i="22"/>
  <c r="B253" i="22"/>
  <c r="D253" i="22"/>
  <c r="FW54" i="10"/>
  <c r="FV144" i="10"/>
  <c r="FU146" i="10"/>
  <c r="FU145" i="10"/>
  <c r="FT147" i="10"/>
  <c r="R110" i="2"/>
  <c r="D110" i="20"/>
  <c r="B254" i="10"/>
  <c r="D254" i="10"/>
  <c r="B251" i="8"/>
  <c r="D251" i="8"/>
  <c r="B244" i="22"/>
  <c r="D244" i="22"/>
  <c r="I82" i="2"/>
  <c r="C82" i="20"/>
  <c r="B265" i="1"/>
  <c r="D265" i="1"/>
  <c r="B253" i="1"/>
  <c r="D253" i="1"/>
  <c r="B254" i="9"/>
  <c r="D254" i="9"/>
  <c r="B268" i="1"/>
  <c r="D268" i="1"/>
  <c r="AJ101" i="2"/>
  <c r="F101" i="20"/>
  <c r="BB90" i="2"/>
  <c r="H90" i="20"/>
  <c r="B257" i="1"/>
  <c r="D257" i="1"/>
  <c r="B251" i="9"/>
  <c r="D251" i="9"/>
  <c r="AA101" i="2"/>
  <c r="E101" i="20"/>
  <c r="D221" i="9"/>
  <c r="C221" i="9"/>
  <c r="B275" i="1"/>
  <c r="D275" i="1"/>
  <c r="B257" i="22"/>
  <c r="D257" i="22"/>
  <c r="B254" i="8"/>
  <c r="D254" i="8"/>
  <c r="B252" i="8"/>
  <c r="D252" i="8"/>
  <c r="B253" i="7"/>
  <c r="D253" i="7"/>
  <c r="B254" i="7"/>
  <c r="D254" i="7"/>
  <c r="B257" i="6"/>
  <c r="D257" i="6"/>
  <c r="B259" i="6"/>
  <c r="D259" i="6"/>
  <c r="B256" i="6"/>
  <c r="D256" i="6"/>
  <c r="B258" i="6"/>
  <c r="D258" i="6"/>
  <c r="B260" i="6"/>
  <c r="D260" i="6"/>
  <c r="B257" i="9"/>
  <c r="D257" i="9"/>
  <c r="B267" i="1"/>
  <c r="D267" i="1"/>
  <c r="B255" i="1"/>
  <c r="D255" i="1"/>
  <c r="B259" i="1"/>
  <c r="D259" i="1"/>
  <c r="AS92" i="2"/>
  <c r="G92" i="20"/>
  <c r="D215" i="8"/>
  <c r="C31" i="8"/>
  <c r="C215" i="8"/>
  <c r="B248" i="8"/>
  <c r="D248" i="8"/>
  <c r="B244" i="8"/>
  <c r="D244" i="8"/>
  <c r="B255" i="7"/>
  <c r="D255" i="7"/>
  <c r="B263" i="1"/>
  <c r="D263" i="1"/>
  <c r="J89" i="20"/>
  <c r="BT90" i="2"/>
  <c r="I95" i="20"/>
  <c r="BK96" i="2"/>
  <c r="CL97" i="2"/>
  <c r="L96" i="20"/>
  <c r="CC79" i="2"/>
  <c r="K78" i="20"/>
  <c r="FU147" i="10"/>
  <c r="D269" i="10"/>
  <c r="D269" i="22"/>
  <c r="FV145" i="10"/>
  <c r="FV146" i="10"/>
  <c r="FX54" i="10"/>
  <c r="FW144" i="10"/>
  <c r="R111" i="2"/>
  <c r="D111" i="20"/>
  <c r="I83" i="2"/>
  <c r="C83" i="20"/>
  <c r="AJ102" i="2"/>
  <c r="F102" i="20"/>
  <c r="BB91" i="2"/>
  <c r="H91" i="20"/>
  <c r="B249" i="9"/>
  <c r="D269" i="9"/>
  <c r="AA102" i="2"/>
  <c r="E102" i="20"/>
  <c r="D269" i="7"/>
  <c r="D270" i="6"/>
  <c r="D278" i="1"/>
  <c r="AS93" i="2"/>
  <c r="G93" i="20"/>
  <c r="B243" i="8"/>
  <c r="D243" i="8"/>
  <c r="D269" i="8"/>
  <c r="J90" i="20"/>
  <c r="BT91" i="2"/>
  <c r="I96" i="20"/>
  <c r="BK97" i="2"/>
  <c r="CL98" i="2"/>
  <c r="L97" i="20"/>
  <c r="CC80" i="2"/>
  <c r="K79" i="20"/>
  <c r="FV147" i="10"/>
  <c r="FW145" i="10"/>
  <c r="FW146" i="10"/>
  <c r="FY54" i="10"/>
  <c r="FX144" i="10"/>
  <c r="R112" i="2"/>
  <c r="D112" i="20"/>
  <c r="I84" i="2"/>
  <c r="C84" i="20"/>
  <c r="AJ103" i="2"/>
  <c r="F103" i="20"/>
  <c r="BB92" i="2"/>
  <c r="H92" i="20"/>
  <c r="AA103" i="2"/>
  <c r="E103" i="20"/>
  <c r="AS94" i="2"/>
  <c r="G94" i="20"/>
  <c r="J91" i="20"/>
  <c r="BT92" i="2"/>
  <c r="I97" i="20"/>
  <c r="BK98" i="2"/>
  <c r="CL99" i="2"/>
  <c r="L98" i="20"/>
  <c r="CC81" i="2"/>
  <c r="K80" i="20"/>
  <c r="FW147" i="10"/>
  <c r="FX145" i="10"/>
  <c r="FX146" i="10"/>
  <c r="FZ54" i="10"/>
  <c r="FY144" i="10"/>
  <c r="R113" i="2"/>
  <c r="D113" i="20"/>
  <c r="I85" i="2"/>
  <c r="C85" i="20"/>
  <c r="AJ104" i="2"/>
  <c r="F104" i="20"/>
  <c r="BB93" i="2"/>
  <c r="H93" i="20"/>
  <c r="AA104" i="2"/>
  <c r="E104" i="20"/>
  <c r="AS95" i="2"/>
  <c r="G95" i="20"/>
  <c r="J92" i="20"/>
  <c r="BT93" i="2"/>
  <c r="I98" i="20"/>
  <c r="BK99" i="2"/>
  <c r="CL100" i="2"/>
  <c r="L99" i="20"/>
  <c r="CC82" i="2"/>
  <c r="K81" i="20"/>
  <c r="FX147" i="10"/>
  <c r="FY146" i="10"/>
  <c r="FY145" i="10"/>
  <c r="FZ144" i="10"/>
  <c r="GA54" i="10"/>
  <c r="R114" i="2"/>
  <c r="D114" i="20"/>
  <c r="I86" i="2"/>
  <c r="C86" i="20"/>
  <c r="AJ105" i="2"/>
  <c r="F105" i="20"/>
  <c r="BB94" i="2"/>
  <c r="H94" i="20"/>
  <c r="AA105" i="2"/>
  <c r="E105" i="20"/>
  <c r="AS96" i="2"/>
  <c r="G96" i="20"/>
  <c r="J93" i="20"/>
  <c r="BT94" i="2"/>
  <c r="I99" i="20"/>
  <c r="BK100" i="2"/>
  <c r="CL101" i="2"/>
  <c r="L100" i="20"/>
  <c r="CC83" i="2"/>
  <c r="K82" i="20"/>
  <c r="GB54" i="10"/>
  <c r="GA144" i="10"/>
  <c r="FZ145" i="10"/>
  <c r="FZ146" i="10"/>
  <c r="FY147" i="10"/>
  <c r="I87" i="2"/>
  <c r="C87" i="20"/>
  <c r="AJ106" i="2"/>
  <c r="F106" i="20"/>
  <c r="BB95" i="2"/>
  <c r="H95" i="20"/>
  <c r="AA106" i="2"/>
  <c r="E106" i="20"/>
  <c r="AS97" i="2"/>
  <c r="G97" i="20"/>
  <c r="J94" i="20"/>
  <c r="BT95" i="2"/>
  <c r="I100" i="20"/>
  <c r="BK101" i="2"/>
  <c r="CL102" i="2"/>
  <c r="L101" i="20"/>
  <c r="CC84" i="2"/>
  <c r="K83" i="20"/>
  <c r="FZ147" i="10"/>
  <c r="GA146" i="10"/>
  <c r="GA145" i="10"/>
  <c r="GC54" i="10"/>
  <c r="GB144" i="10"/>
  <c r="I88" i="2"/>
  <c r="C88" i="20"/>
  <c r="AJ107" i="2"/>
  <c r="F107" i="20"/>
  <c r="BB96" i="2"/>
  <c r="H96" i="20"/>
  <c r="AA107" i="2"/>
  <c r="E107" i="20"/>
  <c r="AS98" i="2"/>
  <c r="G98" i="20"/>
  <c r="J95" i="20"/>
  <c r="BT96" i="2"/>
  <c r="I101" i="20"/>
  <c r="BK102" i="2"/>
  <c r="CL103" i="2"/>
  <c r="L102" i="20"/>
  <c r="CC85" i="2"/>
  <c r="K84" i="20"/>
  <c r="GB146" i="10"/>
  <c r="GB145" i="10"/>
  <c r="GD54" i="10"/>
  <c r="GC144" i="10"/>
  <c r="GA147" i="10"/>
  <c r="I89" i="2"/>
  <c r="C89" i="20"/>
  <c r="AJ108" i="2"/>
  <c r="F108" i="20"/>
  <c r="BB97" i="2"/>
  <c r="H97" i="20"/>
  <c r="AA108" i="2"/>
  <c r="E108" i="20"/>
  <c r="AS99" i="2"/>
  <c r="G99" i="20"/>
  <c r="J96" i="20"/>
  <c r="BT97" i="2"/>
  <c r="I102" i="20"/>
  <c r="BK103" i="2"/>
  <c r="CL104" i="2"/>
  <c r="L103" i="20"/>
  <c r="CC86" i="2"/>
  <c r="K85" i="20"/>
  <c r="GC145" i="10"/>
  <c r="GC146" i="10"/>
  <c r="GE54" i="10"/>
  <c r="GD144" i="10"/>
  <c r="GB147" i="10"/>
  <c r="I90" i="2"/>
  <c r="C90" i="20"/>
  <c r="AJ109" i="2"/>
  <c r="F109" i="20"/>
  <c r="BB98" i="2"/>
  <c r="H98" i="20"/>
  <c r="AA109" i="2"/>
  <c r="E109" i="20"/>
  <c r="AS100" i="2"/>
  <c r="G100" i="20"/>
  <c r="J97" i="20"/>
  <c r="BT98" i="2"/>
  <c r="I103" i="20"/>
  <c r="BK104" i="2"/>
  <c r="CL105" i="2"/>
  <c r="L104" i="20"/>
  <c r="CC87" i="2"/>
  <c r="K86" i="20"/>
  <c r="GC147" i="10"/>
  <c r="GD145" i="10"/>
  <c r="GD146" i="10"/>
  <c r="GF54" i="10"/>
  <c r="GE144" i="10"/>
  <c r="I91" i="2"/>
  <c r="C91" i="20"/>
  <c r="AJ110" i="2"/>
  <c r="F110" i="20"/>
  <c r="BB99" i="2"/>
  <c r="H99" i="20"/>
  <c r="AA110" i="2"/>
  <c r="E110" i="20"/>
  <c r="AS101" i="2"/>
  <c r="G101" i="20"/>
  <c r="J98" i="20"/>
  <c r="BT99" i="2"/>
  <c r="I104" i="20"/>
  <c r="BK105" i="2"/>
  <c r="CL106" i="2"/>
  <c r="L105" i="20"/>
  <c r="CC88" i="2"/>
  <c r="K87" i="20"/>
  <c r="GD147" i="10"/>
  <c r="GE146" i="10"/>
  <c r="GE145" i="10"/>
  <c r="GF144" i="10"/>
  <c r="GG54" i="10"/>
  <c r="I92" i="2"/>
  <c r="C92" i="20"/>
  <c r="AJ111" i="2"/>
  <c r="F111" i="20"/>
  <c r="BB100" i="2"/>
  <c r="H100" i="20"/>
  <c r="AA111" i="2"/>
  <c r="E111" i="20"/>
  <c r="AS102" i="2"/>
  <c r="G102" i="20"/>
  <c r="J99" i="20"/>
  <c r="BT100" i="2"/>
  <c r="I105" i="20"/>
  <c r="BK106" i="2"/>
  <c r="CL107" i="2"/>
  <c r="L106" i="20"/>
  <c r="CC89" i="2"/>
  <c r="K88" i="20"/>
  <c r="GG144" i="10"/>
  <c r="GH54" i="10"/>
  <c r="GF146" i="10"/>
  <c r="GF145" i="10"/>
  <c r="GE147" i="10"/>
  <c r="I93" i="2"/>
  <c r="C93" i="20"/>
  <c r="AJ112" i="2"/>
  <c r="F112" i="20"/>
  <c r="BB101" i="2"/>
  <c r="H101" i="20"/>
  <c r="AA112" i="2"/>
  <c r="E112" i="20"/>
  <c r="AS103" i="2"/>
  <c r="G103" i="20"/>
  <c r="J100" i="20"/>
  <c r="BT101" i="2"/>
  <c r="I106" i="20"/>
  <c r="BK107" i="2"/>
  <c r="CL108" i="2"/>
  <c r="L107" i="20"/>
  <c r="CC90" i="2"/>
  <c r="K89" i="20"/>
  <c r="GF147" i="10"/>
  <c r="GH144" i="10"/>
  <c r="GI54" i="10"/>
  <c r="GG145" i="10"/>
  <c r="GG146" i="10"/>
  <c r="I94" i="2"/>
  <c r="C94" i="20"/>
  <c r="AJ113" i="2"/>
  <c r="F113" i="20"/>
  <c r="BB102" i="2"/>
  <c r="H102" i="20"/>
  <c r="AA113" i="2"/>
  <c r="E113" i="20"/>
  <c r="AS104" i="2"/>
  <c r="G104" i="20"/>
  <c r="J101" i="20"/>
  <c r="BT102" i="2"/>
  <c r="I107" i="20"/>
  <c r="BK108" i="2"/>
  <c r="CL109" i="2"/>
  <c r="L108" i="20"/>
  <c r="CC91" i="2"/>
  <c r="K90" i="20"/>
  <c r="GI144" i="10"/>
  <c r="GJ54" i="10"/>
  <c r="GH146" i="10"/>
  <c r="GH145" i="10"/>
  <c r="GG147" i="10"/>
  <c r="I95" i="2"/>
  <c r="C95" i="20"/>
  <c r="AJ114" i="2"/>
  <c r="F114" i="20"/>
  <c r="BB103" i="2"/>
  <c r="H103" i="20"/>
  <c r="AA114" i="2"/>
  <c r="E114" i="20"/>
  <c r="AS105" i="2"/>
  <c r="G105" i="20"/>
  <c r="J102" i="20"/>
  <c r="BT103" i="2"/>
  <c r="I108" i="20"/>
  <c r="BK109" i="2"/>
  <c r="CL110" i="2"/>
  <c r="L109" i="20"/>
  <c r="CC92" i="2"/>
  <c r="K91" i="20"/>
  <c r="GH147" i="10"/>
  <c r="GJ144" i="10"/>
  <c r="GK54" i="10"/>
  <c r="GI146" i="10"/>
  <c r="GI145" i="10"/>
  <c r="I96" i="2"/>
  <c r="C96" i="20"/>
  <c r="BB104" i="2"/>
  <c r="H104" i="20"/>
  <c r="AS106" i="2"/>
  <c r="G106" i="20"/>
  <c r="J103" i="20"/>
  <c r="BT104" i="2"/>
  <c r="I109" i="20"/>
  <c r="BK110" i="2"/>
  <c r="CL111" i="2"/>
  <c r="L110" i="20"/>
  <c r="CC93" i="2"/>
  <c r="K92" i="20"/>
  <c r="GI147" i="10"/>
  <c r="GL54" i="10"/>
  <c r="GK144" i="10"/>
  <c r="GJ145" i="10"/>
  <c r="GJ146" i="10"/>
  <c r="I97" i="2"/>
  <c r="C97" i="20"/>
  <c r="BB105" i="2"/>
  <c r="H105" i="20"/>
  <c r="AS107" i="2"/>
  <c r="G107" i="20"/>
  <c r="J104" i="20"/>
  <c r="BT105" i="2"/>
  <c r="I110" i="20"/>
  <c r="BK111" i="2"/>
  <c r="CL112" i="2"/>
  <c r="L111" i="20"/>
  <c r="CC94" i="2"/>
  <c r="K93" i="20"/>
  <c r="GJ147" i="10"/>
  <c r="GK145" i="10"/>
  <c r="GK146" i="10"/>
  <c r="GL144" i="10"/>
  <c r="GM54" i="10"/>
  <c r="I98" i="2"/>
  <c r="C98" i="20"/>
  <c r="BB106" i="2"/>
  <c r="H106" i="20"/>
  <c r="AS108" i="2"/>
  <c r="G108" i="20"/>
  <c r="J105" i="20"/>
  <c r="BT106" i="2"/>
  <c r="I111" i="20"/>
  <c r="BK112" i="2"/>
  <c r="CL113" i="2"/>
  <c r="L112" i="20"/>
  <c r="CC95" i="2"/>
  <c r="K94" i="20"/>
  <c r="GK147" i="10"/>
  <c r="GM144" i="10"/>
  <c r="GN54" i="10"/>
  <c r="GL145" i="10"/>
  <c r="GL146" i="10"/>
  <c r="I99" i="2"/>
  <c r="C99" i="20"/>
  <c r="BB107" i="2"/>
  <c r="H107" i="20"/>
  <c r="AS109" i="2"/>
  <c r="G109" i="20"/>
  <c r="J106" i="20"/>
  <c r="BT107" i="2"/>
  <c r="I112" i="20"/>
  <c r="BK113" i="2"/>
  <c r="CL114" i="2"/>
  <c r="L113" i="20"/>
  <c r="CC96" i="2"/>
  <c r="K95" i="20"/>
  <c r="GL147" i="10"/>
  <c r="GN144" i="10"/>
  <c r="GO54" i="10"/>
  <c r="GM146" i="10"/>
  <c r="GM145" i="10"/>
  <c r="I100" i="2"/>
  <c r="C100" i="20"/>
  <c r="BB108" i="2"/>
  <c r="H108" i="20"/>
  <c r="AS110" i="2"/>
  <c r="G110" i="20"/>
  <c r="J107" i="20"/>
  <c r="BT108" i="2"/>
  <c r="I113" i="20"/>
  <c r="BK114" i="2"/>
  <c r="I114" i="20"/>
  <c r="L114" i="20"/>
  <c r="CC97" i="2"/>
  <c r="K96" i="20"/>
  <c r="GM147" i="10"/>
  <c r="GO144" i="10"/>
  <c r="GP54" i="10"/>
  <c r="GN146" i="10"/>
  <c r="GN145" i="10"/>
  <c r="I101" i="2"/>
  <c r="C101" i="20"/>
  <c r="BB109" i="2"/>
  <c r="H109" i="20"/>
  <c r="AS111" i="2"/>
  <c r="G111" i="20"/>
  <c r="J108" i="20"/>
  <c r="BT109" i="2"/>
  <c r="CC98" i="2"/>
  <c r="K97" i="20"/>
  <c r="GP144" i="10"/>
  <c r="GQ54" i="10"/>
  <c r="GO146" i="10"/>
  <c r="GO145" i="10"/>
  <c r="GN147" i="10"/>
  <c r="I102" i="2"/>
  <c r="C102" i="20"/>
  <c r="BB110" i="2"/>
  <c r="H110" i="20"/>
  <c r="AS112" i="2"/>
  <c r="G112" i="20"/>
  <c r="J109" i="20"/>
  <c r="BT110" i="2"/>
  <c r="CC99" i="2"/>
  <c r="K98" i="20"/>
  <c r="GO147" i="10"/>
  <c r="GQ144" i="10"/>
  <c r="GR54" i="10"/>
  <c r="GP146" i="10"/>
  <c r="GP145" i="10"/>
  <c r="I103" i="2"/>
  <c r="C103" i="20"/>
  <c r="BB111" i="2"/>
  <c r="H111" i="20"/>
  <c r="AS113" i="2"/>
  <c r="G113" i="20"/>
  <c r="J110" i="20"/>
  <c r="BT111" i="2"/>
  <c r="CC100" i="2"/>
  <c r="K99" i="20"/>
  <c r="GP147" i="10"/>
  <c r="GR144" i="10"/>
  <c r="GS54" i="10"/>
  <c r="GQ145" i="10"/>
  <c r="GQ146" i="10"/>
  <c r="I104" i="2"/>
  <c r="C104" i="20"/>
  <c r="BB112" i="2"/>
  <c r="H112" i="20"/>
  <c r="AS114" i="2"/>
  <c r="G114" i="20"/>
  <c r="J111" i="20"/>
  <c r="BT112" i="2"/>
  <c r="CC101" i="2"/>
  <c r="K100" i="20"/>
  <c r="GQ147" i="10"/>
  <c r="GS55" i="10"/>
  <c r="GR55" i="10"/>
  <c r="GS144" i="10"/>
  <c r="GR145" i="10"/>
  <c r="GR146" i="10"/>
  <c r="I105" i="2"/>
  <c r="C105" i="20"/>
  <c r="BB113" i="2"/>
  <c r="H113" i="20"/>
  <c r="J112" i="20"/>
  <c r="BT113" i="2"/>
  <c r="CC102" i="2"/>
  <c r="K101" i="20"/>
  <c r="GR147" i="10"/>
  <c r="GR227" i="10"/>
  <c r="GS145" i="10"/>
  <c r="GS146" i="10"/>
  <c r="GQ55" i="10"/>
  <c r="I106" i="2"/>
  <c r="C106" i="20"/>
  <c r="BB114" i="2"/>
  <c r="H114" i="20"/>
  <c r="J113" i="20"/>
  <c r="BT114" i="2"/>
  <c r="J114" i="20"/>
  <c r="CC103" i="2"/>
  <c r="K102" i="20"/>
  <c r="GS147" i="10"/>
  <c r="GS227" i="10"/>
  <c r="GP55" i="10"/>
  <c r="GQ227" i="10"/>
  <c r="I107" i="2"/>
  <c r="C107" i="20"/>
  <c r="CC104" i="2"/>
  <c r="K103" i="20"/>
  <c r="GO55" i="10"/>
  <c r="GP227" i="10"/>
  <c r="I108" i="2"/>
  <c r="C108" i="20"/>
  <c r="CC105" i="2"/>
  <c r="K104" i="20"/>
  <c r="GO227" i="10"/>
  <c r="GN55" i="10"/>
  <c r="I109" i="2"/>
  <c r="C109" i="20"/>
  <c r="CC106" i="2"/>
  <c r="K105" i="20"/>
  <c r="GM55" i="10"/>
  <c r="GN227" i="10"/>
  <c r="I110" i="2"/>
  <c r="C110" i="20"/>
  <c r="CC107" i="2"/>
  <c r="K106" i="20"/>
  <c r="GL55" i="10"/>
  <c r="GM227" i="10"/>
  <c r="I111" i="2"/>
  <c r="C111" i="20"/>
  <c r="CC108" i="2"/>
  <c r="K107" i="20"/>
  <c r="GK55" i="10"/>
  <c r="GL227" i="10"/>
  <c r="I112" i="2"/>
  <c r="C112" i="20"/>
  <c r="CC109" i="2"/>
  <c r="K108" i="20"/>
  <c r="GJ55" i="10"/>
  <c r="GK227" i="10"/>
  <c r="I113" i="2"/>
  <c r="C113" i="20"/>
  <c r="CC110" i="2"/>
  <c r="K109" i="20"/>
  <c r="GI55" i="10"/>
  <c r="GJ227" i="10"/>
  <c r="I114" i="2"/>
  <c r="C114" i="20"/>
  <c r="CC111" i="2"/>
  <c r="K110" i="20"/>
  <c r="GH55" i="10"/>
  <c r="GI227" i="10"/>
  <c r="CC112" i="2"/>
  <c r="K111" i="20"/>
  <c r="GH227" i="10"/>
  <c r="GG55" i="10"/>
  <c r="CC113" i="2"/>
  <c r="K112" i="20"/>
  <c r="GF55" i="10"/>
  <c r="GG227" i="10"/>
  <c r="CC114" i="2"/>
  <c r="K114" i="20"/>
  <c r="K113" i="20"/>
  <c r="GE55" i="10"/>
  <c r="GF227" i="10"/>
  <c r="GD55" i="10"/>
  <c r="GE227" i="10"/>
  <c r="GC55" i="10"/>
  <c r="GD227" i="10"/>
  <c r="GB55" i="10"/>
  <c r="GC227" i="10"/>
  <c r="GA55" i="10"/>
  <c r="GB227" i="10"/>
  <c r="FZ55" i="10"/>
  <c r="GA227" i="10"/>
  <c r="FY55" i="10"/>
  <c r="FZ227" i="10"/>
  <c r="FX55" i="10"/>
  <c r="FY227" i="10"/>
  <c r="FX227" i="10"/>
  <c r="FW55" i="10"/>
  <c r="FV55" i="10"/>
  <c r="FW227" i="10"/>
  <c r="FU55" i="10"/>
  <c r="FV227" i="10"/>
  <c r="FU227" i="10"/>
  <c r="FT55" i="10"/>
  <c r="FS55" i="10"/>
  <c r="FT227" i="10"/>
  <c r="FR55" i="10"/>
  <c r="FS227" i="10"/>
  <c r="FR227" i="10"/>
  <c r="FQ55" i="10"/>
  <c r="FQ227" i="10"/>
  <c r="FP55" i="10"/>
  <c r="FO55" i="10"/>
  <c r="FP227" i="10"/>
  <c r="FN55" i="10"/>
  <c r="FO227" i="10"/>
  <c r="FN227" i="10"/>
  <c r="FM55" i="10"/>
  <c r="FL55" i="10"/>
  <c r="FM227" i="10"/>
  <c r="FK55" i="10"/>
  <c r="FL227" i="10"/>
  <c r="FK227" i="10"/>
  <c r="FJ55" i="10"/>
  <c r="FI55" i="10"/>
  <c r="FJ227" i="10"/>
  <c r="FH55" i="10"/>
  <c r="FI227" i="10"/>
  <c r="FG55" i="10"/>
  <c r="FH227" i="10"/>
  <c r="FG227" i="10"/>
  <c r="FF55" i="10"/>
  <c r="FE55" i="10"/>
  <c r="FF227" i="10"/>
  <c r="FD55" i="10"/>
  <c r="FE227" i="10"/>
  <c r="FD227" i="10"/>
  <c r="FC55" i="10"/>
  <c r="FB55" i="10"/>
  <c r="FC227" i="10"/>
  <c r="FA55" i="10"/>
  <c r="FB227" i="10"/>
  <c r="EZ55" i="10"/>
  <c r="FA227" i="10"/>
  <c r="EZ227" i="10"/>
  <c r="EY55" i="10"/>
  <c r="EX55" i="10"/>
  <c r="EY227" i="10"/>
  <c r="EW55" i="10"/>
  <c r="EX227" i="10"/>
  <c r="EW227" i="10"/>
  <c r="EV55" i="10"/>
  <c r="EU55" i="10"/>
  <c r="EV227" i="10"/>
  <c r="ET55" i="10"/>
  <c r="EU227" i="10"/>
  <c r="ES55" i="10"/>
  <c r="ET227" i="10"/>
  <c r="ES227" i="10"/>
  <c r="ER55" i="10"/>
  <c r="EQ55" i="10"/>
  <c r="ER227" i="10"/>
  <c r="EP55" i="10"/>
  <c r="EQ227" i="10"/>
  <c r="EP227" i="10"/>
  <c r="EO55" i="10"/>
  <c r="EN55" i="10"/>
  <c r="EO227" i="10"/>
  <c r="EM55" i="10"/>
  <c r="EN227" i="10"/>
  <c r="EL55" i="10"/>
  <c r="EM227" i="10"/>
  <c r="EL227" i="10"/>
  <c r="EK55" i="10"/>
  <c r="EJ55" i="10"/>
  <c r="EK227" i="10"/>
  <c r="EI55" i="10"/>
  <c r="EJ227" i="10"/>
  <c r="EI227" i="10"/>
  <c r="EH55" i="10"/>
  <c r="EG55" i="10"/>
  <c r="EH227" i="10"/>
  <c r="EF55" i="10"/>
  <c r="EG227" i="10"/>
  <c r="EE55" i="10"/>
  <c r="EF227" i="10"/>
  <c r="EE227" i="10"/>
  <c r="ED55" i="10"/>
  <c r="EC55" i="10"/>
  <c r="ED227" i="10"/>
  <c r="EB55" i="10"/>
  <c r="EC227" i="10"/>
  <c r="EA55" i="10"/>
  <c r="EB227" i="10"/>
  <c r="DZ55" i="10"/>
  <c r="EA227" i="10"/>
  <c r="DY55" i="10"/>
  <c r="DZ227" i="10"/>
  <c r="DX55" i="10"/>
  <c r="DY227" i="10"/>
  <c r="DX227" i="10"/>
  <c r="DW55" i="10"/>
  <c r="DV55" i="10"/>
  <c r="DW227" i="10"/>
  <c r="DU55" i="10"/>
  <c r="DV227" i="10"/>
  <c r="DT55" i="10"/>
  <c r="DU227" i="10"/>
  <c r="DS55" i="10"/>
  <c r="DT227" i="10"/>
  <c r="DR55" i="10"/>
  <c r="DS227" i="10"/>
  <c r="DQ55" i="10"/>
  <c r="DR227" i="10"/>
  <c r="DP55" i="10"/>
  <c r="DQ227" i="10"/>
  <c r="DO55" i="10"/>
  <c r="DP227" i="10"/>
  <c r="DN55" i="10"/>
  <c r="DO227" i="10"/>
  <c r="DM55" i="10"/>
  <c r="DN227" i="10"/>
  <c r="DL55" i="10"/>
  <c r="DM227" i="10"/>
  <c r="DK55" i="10"/>
  <c r="DL227" i="10"/>
  <c r="DJ55" i="10"/>
  <c r="DK227" i="10"/>
  <c r="DI55" i="10"/>
  <c r="DJ227" i="10"/>
  <c r="DH55" i="10"/>
  <c r="DI227" i="10"/>
  <c r="DG55" i="10"/>
  <c r="DH227" i="10"/>
  <c r="DF55" i="10"/>
  <c r="DG227" i="10"/>
  <c r="DE55" i="10"/>
  <c r="DF227" i="10"/>
  <c r="DD55" i="10"/>
  <c r="DE227" i="10"/>
  <c r="DD227" i="10"/>
  <c r="DC55" i="10"/>
  <c r="DB55" i="10"/>
  <c r="DC227" i="10"/>
  <c r="DA55" i="10"/>
  <c r="DB227" i="10"/>
  <c r="CZ55" i="10"/>
  <c r="DA227" i="10"/>
  <c r="CY55" i="10"/>
  <c r="CZ227" i="10"/>
  <c r="CX55" i="10"/>
  <c r="CY227" i="10"/>
  <c r="CW55" i="10"/>
  <c r="CX227" i="10"/>
  <c r="CW227" i="10"/>
  <c r="CV55" i="10"/>
  <c r="CU55" i="10"/>
  <c r="CV227" i="10"/>
  <c r="CT55" i="10"/>
  <c r="CU227" i="10"/>
  <c r="CS55" i="10"/>
  <c r="CT227" i="10"/>
  <c r="CR55" i="10"/>
  <c r="CS227" i="10"/>
  <c r="CQ55" i="10"/>
  <c r="CR227" i="10"/>
  <c r="CQ227" i="10"/>
  <c r="CP55" i="10"/>
  <c r="CP227" i="10"/>
  <c r="CO55" i="10"/>
  <c r="CN55" i="10"/>
  <c r="CO227" i="10"/>
  <c r="CM55" i="10"/>
  <c r="CN227" i="10"/>
  <c r="CL55" i="10"/>
  <c r="CM227" i="10"/>
  <c r="CK55" i="10"/>
  <c r="CL227" i="10"/>
  <c r="CJ55" i="10"/>
  <c r="CK227" i="10"/>
  <c r="CJ227" i="10"/>
  <c r="CI55" i="10"/>
  <c r="CH55" i="10"/>
  <c r="CI227" i="10"/>
  <c r="CG55" i="10"/>
  <c r="CH227" i="10"/>
  <c r="CF55" i="10"/>
  <c r="CG227" i="10"/>
  <c r="CE55" i="10"/>
  <c r="CF227" i="10"/>
  <c r="CD55" i="10"/>
  <c r="CE227" i="10"/>
  <c r="CC55" i="10"/>
  <c r="CD227" i="10"/>
  <c r="CC227" i="10"/>
  <c r="CB55" i="10"/>
  <c r="CA55" i="10"/>
  <c r="CB227" i="10"/>
  <c r="BZ55" i="10"/>
  <c r="CA227" i="10"/>
  <c r="BY55" i="10"/>
  <c r="BZ227" i="10"/>
  <c r="BX55" i="10"/>
  <c r="BY227" i="10"/>
  <c r="BW55" i="10"/>
  <c r="BX227" i="10"/>
  <c r="BV55" i="10"/>
  <c r="BW227" i="10"/>
  <c r="BV227" i="10"/>
  <c r="BU55" i="10"/>
  <c r="BT55" i="10"/>
  <c r="BU227" i="10"/>
  <c r="BS55" i="10"/>
  <c r="BT227" i="10"/>
  <c r="BR55" i="10"/>
  <c r="BS227" i="10"/>
  <c r="BQ55" i="10"/>
  <c r="BR227" i="10"/>
  <c r="BP55" i="10"/>
  <c r="BQ227" i="10"/>
  <c r="BO55" i="10"/>
  <c r="BP227" i="10"/>
  <c r="BN55" i="10"/>
  <c r="BO227" i="10"/>
  <c r="BM55" i="10"/>
  <c r="BN227" i="10"/>
  <c r="BL55" i="10"/>
  <c r="BM227" i="10"/>
  <c r="BK55" i="10"/>
  <c r="BL227" i="10"/>
  <c r="BJ55" i="10"/>
  <c r="BK227" i="10"/>
  <c r="BI55" i="10"/>
  <c r="BJ227" i="10"/>
  <c r="BH55" i="10"/>
  <c r="BI227" i="10"/>
  <c r="BG55" i="10"/>
  <c r="BH227" i="10"/>
  <c r="BF55" i="10"/>
  <c r="BG227" i="10"/>
  <c r="BE55" i="10"/>
  <c r="BF227" i="10"/>
  <c r="BD55" i="10"/>
  <c r="BE227" i="10"/>
  <c r="BC55" i="10"/>
  <c r="BD227" i="10"/>
  <c r="BB55" i="10"/>
  <c r="BC227" i="10"/>
  <c r="BA55" i="10"/>
  <c r="BB227" i="10"/>
  <c r="AZ55" i="10"/>
  <c r="BA227" i="10"/>
  <c r="AY55" i="10"/>
  <c r="AZ227" i="10"/>
  <c r="AX55" i="10"/>
  <c r="AY227" i="10"/>
  <c r="AW55" i="10"/>
  <c r="AX227" i="10"/>
  <c r="AV55" i="10"/>
  <c r="AW227" i="10"/>
  <c r="AU55" i="10"/>
  <c r="AV227" i="10"/>
  <c r="AT55" i="10"/>
  <c r="AU227" i="10"/>
  <c r="AS55" i="10"/>
  <c r="AT227" i="10"/>
  <c r="AR55" i="10"/>
  <c r="AS227" i="10"/>
  <c r="AR227" i="10"/>
  <c r="AQ55" i="10"/>
  <c r="AP55" i="10"/>
  <c r="AQ227" i="10"/>
  <c r="AO55" i="10"/>
  <c r="AP227" i="10"/>
  <c r="AN55" i="10"/>
  <c r="AO227" i="10"/>
  <c r="AM55" i="10"/>
  <c r="AN227" i="10"/>
  <c r="AL55" i="10"/>
  <c r="AM227" i="10"/>
  <c r="AK55" i="10"/>
  <c r="AL227" i="10"/>
  <c r="AK227" i="10"/>
  <c r="AJ55" i="10"/>
  <c r="AI55" i="10"/>
  <c r="AJ227" i="10"/>
  <c r="AH55" i="10"/>
  <c r="AI227" i="10"/>
  <c r="AG55" i="10"/>
  <c r="AH227" i="10"/>
  <c r="AF55" i="10"/>
  <c r="AG227" i="10"/>
  <c r="AE55" i="10"/>
  <c r="AF227" i="10"/>
  <c r="AD55" i="10"/>
  <c r="AE227" i="10"/>
  <c r="AD227" i="10"/>
  <c r="AC55" i="10"/>
  <c r="AB55" i="10"/>
  <c r="AC227" i="10"/>
  <c r="AA55" i="10"/>
  <c r="AB227" i="10"/>
  <c r="Z55" i="10"/>
  <c r="AA227" i="10"/>
  <c r="Y55" i="10"/>
  <c r="Z227" i="10"/>
  <c r="X55" i="10"/>
  <c r="Y227" i="10"/>
  <c r="W55" i="10"/>
  <c r="X227" i="10"/>
  <c r="W227" i="10"/>
  <c r="V55" i="10"/>
  <c r="U55" i="10"/>
  <c r="V227" i="10"/>
  <c r="T55" i="10"/>
  <c r="U227" i="10"/>
  <c r="S55" i="10"/>
  <c r="T227" i="10"/>
  <c r="R55" i="10"/>
  <c r="S227" i="10"/>
  <c r="Q55" i="10"/>
  <c r="R227" i="10"/>
  <c r="P55" i="10"/>
  <c r="Q227" i="10"/>
  <c r="P227" i="10"/>
  <c r="O55" i="10"/>
  <c r="N55" i="10"/>
  <c r="O227" i="10"/>
  <c r="M55" i="10"/>
  <c r="N227" i="10"/>
  <c r="L55" i="10"/>
  <c r="M227" i="10"/>
  <c r="K55" i="10"/>
  <c r="L227" i="10"/>
  <c r="J55" i="10"/>
  <c r="K227" i="10"/>
  <c r="I55" i="10"/>
  <c r="J227" i="10"/>
  <c r="I227" i="10"/>
  <c r="H55" i="10"/>
  <c r="G55" i="10"/>
  <c r="H227" i="10"/>
  <c r="F55" i="10"/>
  <c r="G227" i="10"/>
  <c r="E55" i="10"/>
  <c r="F227" i="10"/>
  <c r="D55" i="10"/>
  <c r="E227" i="10"/>
  <c r="C55" i="10"/>
  <c r="C227" i="10"/>
  <c r="D227" i="10"/>
  <c r="J140" i="5"/>
  <c r="C245" i="11"/>
  <c r="B34" i="11"/>
  <c r="B94" i="11"/>
  <c r="O28" i="11"/>
  <c r="P5" i="11"/>
  <c r="D246" i="11"/>
  <c r="P4" i="11"/>
  <c r="P8" i="11"/>
  <c r="D249" i="11"/>
  <c r="P9" i="11"/>
  <c r="D250" i="11"/>
  <c r="P2" i="11"/>
  <c r="D243" i="11"/>
  <c r="P3" i="11"/>
  <c r="D244" i="11"/>
  <c r="P6" i="11"/>
  <c r="D247" i="11"/>
  <c r="P7" i="11"/>
  <c r="D248" i="11"/>
  <c r="B35" i="11"/>
  <c r="B95" i="11"/>
  <c r="B96" i="11"/>
  <c r="C34" i="11"/>
  <c r="B97" i="11"/>
  <c r="B217" i="11"/>
  <c r="C94" i="11"/>
  <c r="D34" i="11"/>
  <c r="D94" i="11"/>
  <c r="E34" i="11"/>
  <c r="C95" i="11"/>
  <c r="C96" i="11"/>
  <c r="D95" i="11"/>
  <c r="D96" i="11"/>
  <c r="C97" i="11"/>
  <c r="E94" i="11"/>
  <c r="F34" i="11"/>
  <c r="E95" i="11"/>
  <c r="E96" i="11"/>
  <c r="F94" i="11"/>
  <c r="G34" i="11"/>
  <c r="D97" i="11"/>
  <c r="G94" i="11"/>
  <c r="H34" i="11"/>
  <c r="F95" i="11"/>
  <c r="F96" i="11"/>
  <c r="E97" i="11"/>
  <c r="G95" i="11"/>
  <c r="G96" i="11"/>
  <c r="F97" i="11"/>
  <c r="H94" i="11"/>
  <c r="I34" i="11"/>
  <c r="H95" i="11"/>
  <c r="H96" i="11"/>
  <c r="I94" i="11"/>
  <c r="J34" i="11"/>
  <c r="G97" i="11"/>
  <c r="I95" i="11"/>
  <c r="I96" i="11"/>
  <c r="I97" i="11"/>
  <c r="H97" i="11"/>
  <c r="J94" i="11"/>
  <c r="K34" i="11"/>
  <c r="J95" i="11"/>
  <c r="J96" i="11"/>
  <c r="K94" i="11"/>
  <c r="L34" i="11"/>
  <c r="L94" i="11"/>
  <c r="M34" i="11"/>
  <c r="K95" i="11"/>
  <c r="K96" i="11"/>
  <c r="J97" i="11"/>
  <c r="M94" i="11"/>
  <c r="N34" i="11"/>
  <c r="L95" i="11"/>
  <c r="L96" i="11"/>
  <c r="K97" i="11"/>
  <c r="N94" i="11"/>
  <c r="O34" i="11"/>
  <c r="L97" i="11"/>
  <c r="M95" i="11"/>
  <c r="M96" i="11"/>
  <c r="O94" i="11"/>
  <c r="P34" i="11"/>
  <c r="M97" i="11"/>
  <c r="N96" i="11"/>
  <c r="N95" i="11"/>
  <c r="P94" i="11"/>
  <c r="Q34" i="11"/>
  <c r="N97" i="11"/>
  <c r="O95" i="11"/>
  <c r="O96" i="11"/>
  <c r="O97" i="11"/>
  <c r="Q94" i="11"/>
  <c r="R34" i="11"/>
  <c r="P95" i="11"/>
  <c r="P96" i="11"/>
  <c r="P97" i="11"/>
  <c r="Q95" i="11"/>
  <c r="Q96" i="11"/>
  <c r="Q97" i="11"/>
  <c r="R94" i="11"/>
  <c r="S34" i="11"/>
  <c r="S94" i="11"/>
  <c r="T34" i="11"/>
  <c r="R95" i="11"/>
  <c r="R96" i="11"/>
  <c r="R97" i="11"/>
  <c r="T94" i="11"/>
  <c r="U34" i="11"/>
  <c r="S95" i="11"/>
  <c r="S96" i="11"/>
  <c r="U94" i="11"/>
  <c r="V34" i="11"/>
  <c r="T95" i="11"/>
  <c r="T96" i="11"/>
  <c r="S97" i="11"/>
  <c r="V94" i="11"/>
  <c r="W34" i="11"/>
  <c r="T97" i="11"/>
  <c r="U96" i="11"/>
  <c r="U95" i="11"/>
  <c r="W94" i="11"/>
  <c r="X34" i="11"/>
  <c r="U97" i="11"/>
  <c r="V95" i="11"/>
  <c r="V96" i="11"/>
  <c r="X94" i="11"/>
  <c r="Y34" i="11"/>
  <c r="V97" i="11"/>
  <c r="W95" i="11"/>
  <c r="W96" i="11"/>
  <c r="W97" i="11"/>
  <c r="Y94" i="11"/>
  <c r="Z34" i="11"/>
  <c r="X95" i="11"/>
  <c r="X96" i="11"/>
  <c r="Z94" i="11"/>
  <c r="AA34" i="11"/>
  <c r="X97" i="11"/>
  <c r="Y95" i="11"/>
  <c r="Y96" i="11"/>
  <c r="Y97" i="11"/>
  <c r="AA94" i="11"/>
  <c r="AB34" i="11"/>
  <c r="Z95" i="11"/>
  <c r="Z96" i="11"/>
  <c r="AB94" i="11"/>
  <c r="AC34" i="11"/>
  <c r="Z97" i="11"/>
  <c r="AA96" i="11"/>
  <c r="AA95" i="11"/>
  <c r="AC94" i="11"/>
  <c r="AD34" i="11"/>
  <c r="AA97" i="11"/>
  <c r="AB95" i="11"/>
  <c r="AB96" i="11"/>
  <c r="AB97" i="11"/>
  <c r="AD94" i="11"/>
  <c r="AE34" i="11"/>
  <c r="AC95" i="11"/>
  <c r="AC96" i="11"/>
  <c r="AE94" i="11"/>
  <c r="AF34" i="11"/>
  <c r="AC97" i="11"/>
  <c r="AD95" i="11"/>
  <c r="AD96" i="11"/>
  <c r="AF94" i="11"/>
  <c r="AG34" i="11"/>
  <c r="AD97" i="11"/>
  <c r="AE95" i="11"/>
  <c r="AE96" i="11"/>
  <c r="AG94" i="11"/>
  <c r="AH34" i="11"/>
  <c r="AE97" i="11"/>
  <c r="AF95" i="11"/>
  <c r="AF96" i="11"/>
  <c r="AF97" i="11"/>
  <c r="AH94" i="11"/>
  <c r="AI34" i="11"/>
  <c r="AG95" i="11"/>
  <c r="AG96" i="11"/>
  <c r="AI94" i="11"/>
  <c r="AJ34" i="11"/>
  <c r="AG97" i="11"/>
  <c r="AH95" i="11"/>
  <c r="AH96" i="11"/>
  <c r="AJ94" i="11"/>
  <c r="AK34" i="11"/>
  <c r="AH97" i="11"/>
  <c r="AI96" i="11"/>
  <c r="AI95" i="11"/>
  <c r="AK94" i="11"/>
  <c r="AL34" i="11"/>
  <c r="AI97" i="11"/>
  <c r="AJ95" i="11"/>
  <c r="AJ96" i="11"/>
  <c r="AJ97" i="11"/>
  <c r="AL94" i="11"/>
  <c r="AM34" i="11"/>
  <c r="AK95" i="11"/>
  <c r="AK96" i="11"/>
  <c r="AM94" i="11"/>
  <c r="AN34" i="11"/>
  <c r="AK97" i="11"/>
  <c r="AL96" i="11"/>
  <c r="AL95" i="11"/>
  <c r="AN94" i="11"/>
  <c r="AO34" i="11"/>
  <c r="AL97" i="11"/>
  <c r="AM95" i="11"/>
  <c r="AM96" i="11"/>
  <c r="AO94" i="11"/>
  <c r="AP34" i="11"/>
  <c r="AM97" i="11"/>
  <c r="AN95" i="11"/>
  <c r="AN96" i="11"/>
  <c r="AN97" i="11"/>
  <c r="AP94" i="11"/>
  <c r="AQ34" i="11"/>
  <c r="AO95" i="11"/>
  <c r="AO96" i="11"/>
  <c r="AQ94" i="11"/>
  <c r="AR34" i="11"/>
  <c r="AO97" i="11"/>
  <c r="AP96" i="11"/>
  <c r="AP95" i="11"/>
  <c r="AR94" i="11"/>
  <c r="AS34" i="11"/>
  <c r="AP97" i="11"/>
  <c r="AQ96" i="11"/>
  <c r="AQ95" i="11"/>
  <c r="AS94" i="11"/>
  <c r="AT34" i="11"/>
  <c r="AQ97" i="11"/>
  <c r="AR95" i="11"/>
  <c r="AR96" i="11"/>
  <c r="AR97" i="11"/>
  <c r="AT94" i="11"/>
  <c r="AU34" i="11"/>
  <c r="AS95" i="11"/>
  <c r="AS96" i="11"/>
  <c r="AU94" i="11"/>
  <c r="AV34" i="11"/>
  <c r="AS97" i="11"/>
  <c r="AT96" i="11"/>
  <c r="AT95" i="11"/>
  <c r="AV94" i="11"/>
  <c r="AW34" i="11"/>
  <c r="AT97" i="11"/>
  <c r="AU96" i="11"/>
  <c r="AU95" i="11"/>
  <c r="AW94" i="11"/>
  <c r="AX34" i="11"/>
  <c r="AU97" i="11"/>
  <c r="AV95" i="11"/>
  <c r="AV96" i="11"/>
  <c r="AV97" i="11"/>
  <c r="AY34" i="11"/>
  <c r="AX94" i="11"/>
  <c r="AW95" i="11"/>
  <c r="AW96" i="11"/>
  <c r="AX95" i="11"/>
  <c r="AX96" i="11"/>
  <c r="AX97" i="11"/>
  <c r="AW97" i="11"/>
  <c r="AY94" i="11"/>
  <c r="AZ34" i="11"/>
  <c r="AY95" i="11"/>
  <c r="AY96" i="11"/>
  <c r="AY97" i="11"/>
  <c r="AZ94" i="11"/>
  <c r="BA34" i="11"/>
  <c r="AZ95" i="11"/>
  <c r="AZ96" i="11"/>
  <c r="AZ97" i="11"/>
  <c r="BA94" i="11"/>
  <c r="BB34" i="11"/>
  <c r="BB94" i="11"/>
  <c r="BC34" i="11"/>
  <c r="BA95" i="11"/>
  <c r="BA96" i="11"/>
  <c r="BD34" i="11"/>
  <c r="BC94" i="11"/>
  <c r="BA97" i="11"/>
  <c r="BB95" i="11"/>
  <c r="BB96" i="11"/>
  <c r="BB97" i="11"/>
  <c r="BC95" i="11"/>
  <c r="BC96" i="11"/>
  <c r="BC97" i="11"/>
  <c r="BD94" i="11"/>
  <c r="BE34" i="11"/>
  <c r="BD95" i="11"/>
  <c r="BD96" i="11"/>
  <c r="BE94" i="11"/>
  <c r="BF34" i="11"/>
  <c r="BE95" i="11"/>
  <c r="BE96" i="11"/>
  <c r="BF94" i="11"/>
  <c r="BG34" i="11"/>
  <c r="BD97" i="11"/>
  <c r="BF95" i="11"/>
  <c r="BF96" i="11"/>
  <c r="BF97" i="11"/>
  <c r="BH34" i="11"/>
  <c r="BG94" i="11"/>
  <c r="BE97" i="11"/>
  <c r="BI34" i="11"/>
  <c r="BH94" i="11"/>
  <c r="BG95" i="11"/>
  <c r="BG96" i="11"/>
  <c r="BH95" i="11"/>
  <c r="BH96" i="11"/>
  <c r="BH97" i="11"/>
  <c r="BI94" i="11"/>
  <c r="BJ34" i="11"/>
  <c r="BG97" i="11"/>
  <c r="BI95" i="11"/>
  <c r="BI96" i="11"/>
  <c r="BJ94" i="11"/>
  <c r="BK34" i="11"/>
  <c r="BK94" i="11"/>
  <c r="BL34" i="11"/>
  <c r="BJ95" i="11"/>
  <c r="BJ96" i="11"/>
  <c r="BI97" i="11"/>
  <c r="BL94" i="11"/>
  <c r="BM34" i="11"/>
  <c r="BJ97" i="11"/>
  <c r="BK95" i="11"/>
  <c r="BK96" i="11"/>
  <c r="BK97" i="11"/>
  <c r="BM94" i="11"/>
  <c r="BN34" i="11"/>
  <c r="BL95" i="11"/>
  <c r="BL96" i="11"/>
  <c r="BN94" i="11"/>
  <c r="BO34" i="11"/>
  <c r="BL97" i="11"/>
  <c r="BM95" i="11"/>
  <c r="BM96" i="11"/>
  <c r="BO94" i="11"/>
  <c r="BP34" i="11"/>
  <c r="BM97" i="11"/>
  <c r="BN95" i="11"/>
  <c r="BN96" i="11"/>
  <c r="BN97" i="11"/>
  <c r="BQ34" i="11"/>
  <c r="BP94" i="11"/>
  <c r="BO95" i="11"/>
  <c r="BO96" i="11"/>
  <c r="BO97" i="11"/>
  <c r="BP95" i="11"/>
  <c r="BP96" i="11"/>
  <c r="BQ94" i="11"/>
  <c r="BR34" i="11"/>
  <c r="BP97" i="11"/>
  <c r="BQ95" i="11"/>
  <c r="BQ96" i="11"/>
  <c r="BS34" i="11"/>
  <c r="BR94" i="11"/>
  <c r="BS94" i="11"/>
  <c r="BT34" i="11"/>
  <c r="BR95" i="11"/>
  <c r="BR96" i="11"/>
  <c r="BQ97" i="11"/>
  <c r="BT94" i="11"/>
  <c r="BU34" i="11"/>
  <c r="BR97" i="11"/>
  <c r="BS95" i="11"/>
  <c r="BS96" i="11"/>
  <c r="BS97" i="11"/>
  <c r="BV34" i="11"/>
  <c r="BU94" i="11"/>
  <c r="BT95" i="11"/>
  <c r="BT96" i="11"/>
  <c r="BU95" i="11"/>
  <c r="BU96" i="11"/>
  <c r="BW34" i="11"/>
  <c r="BV94" i="11"/>
  <c r="BT97" i="11"/>
  <c r="BV95" i="11"/>
  <c r="BV96" i="11"/>
  <c r="BV97" i="11"/>
  <c r="BW94" i="11"/>
  <c r="BX34" i="11"/>
  <c r="BU97" i="11"/>
  <c r="BW95" i="11"/>
  <c r="BW96" i="11"/>
  <c r="BW97" i="11"/>
  <c r="BY34" i="11"/>
  <c r="BX94" i="11"/>
  <c r="BX95" i="11"/>
  <c r="BX96" i="11"/>
  <c r="BX97" i="11"/>
  <c r="BY94" i="11"/>
  <c r="BZ34" i="11"/>
  <c r="BY95" i="11"/>
  <c r="BY96" i="11"/>
  <c r="BY97" i="11"/>
  <c r="BZ94" i="11"/>
  <c r="CA34" i="11"/>
  <c r="BZ95" i="11"/>
  <c r="BZ96" i="11"/>
  <c r="BZ97" i="11"/>
  <c r="CA94" i="11"/>
  <c r="CB34" i="11"/>
  <c r="CA95" i="11"/>
  <c r="CA96" i="11"/>
  <c r="CA97" i="11"/>
  <c r="CB35" i="11"/>
  <c r="CB94" i="11"/>
  <c r="CB95" i="11"/>
  <c r="CB96" i="11"/>
  <c r="CB97" i="11"/>
  <c r="CB217" i="11"/>
  <c r="CA35" i="11"/>
  <c r="CA217" i="11"/>
  <c r="BZ35" i="11"/>
  <c r="BZ217" i="11"/>
  <c r="BY35" i="11"/>
  <c r="BY217" i="11"/>
  <c r="BX35" i="11"/>
  <c r="BX217" i="11"/>
  <c r="BW35" i="11"/>
  <c r="BW217" i="11"/>
  <c r="BV35" i="11"/>
  <c r="BV217" i="11"/>
  <c r="BU35" i="11"/>
  <c r="BU217" i="11"/>
  <c r="BT35" i="11"/>
  <c r="BT217" i="11"/>
  <c r="BS35" i="11"/>
  <c r="BS217" i="11"/>
  <c r="BR35" i="11"/>
  <c r="BR217" i="11"/>
  <c r="BQ35" i="11"/>
  <c r="BQ217" i="11"/>
  <c r="BP35" i="11"/>
  <c r="BP217" i="11"/>
  <c r="BO35" i="11"/>
  <c r="BO217" i="11"/>
  <c r="BN35" i="11"/>
  <c r="BN217" i="11"/>
  <c r="BM35" i="11"/>
  <c r="BM217" i="11"/>
  <c r="BL35" i="11"/>
  <c r="BL217" i="11"/>
  <c r="BK35" i="11"/>
  <c r="BK217" i="11"/>
  <c r="BJ35" i="11"/>
  <c r="BJ217" i="11"/>
  <c r="BI35" i="11"/>
  <c r="BI217" i="11"/>
  <c r="BH35" i="11"/>
  <c r="BH217" i="11"/>
  <c r="BG35" i="11"/>
  <c r="BG217" i="11"/>
  <c r="BF35" i="11"/>
  <c r="BF217" i="11"/>
  <c r="BE35" i="11"/>
  <c r="BE217" i="11"/>
  <c r="BD35" i="11"/>
  <c r="BD217" i="11"/>
  <c r="BC35" i="11"/>
  <c r="BC217" i="11"/>
  <c r="BB35" i="11"/>
  <c r="BB217" i="11"/>
  <c r="BA35" i="11"/>
  <c r="BA217" i="11"/>
  <c r="AZ35" i="11"/>
  <c r="AZ217" i="11"/>
  <c r="AY35" i="11"/>
  <c r="AY217" i="11"/>
  <c r="AX35" i="11"/>
  <c r="AX217" i="11"/>
  <c r="AW35" i="11"/>
  <c r="AW217" i="11"/>
  <c r="AV35" i="11"/>
  <c r="AV217" i="11"/>
  <c r="AU35" i="11"/>
  <c r="AU217" i="11"/>
  <c r="AT35" i="11"/>
  <c r="AT217" i="11"/>
  <c r="AS35" i="11"/>
  <c r="AS217" i="11"/>
  <c r="AR35" i="11"/>
  <c r="AR217" i="11"/>
  <c r="AQ35" i="11"/>
  <c r="AQ217" i="11"/>
  <c r="AP35" i="11"/>
  <c r="AP217" i="11"/>
  <c r="AO35" i="11"/>
  <c r="AO217" i="11"/>
  <c r="AN35" i="11"/>
  <c r="AN217" i="11"/>
  <c r="AM35" i="11"/>
  <c r="AM217" i="11"/>
  <c r="AL35" i="11"/>
  <c r="AL217" i="11"/>
  <c r="AK35" i="11"/>
  <c r="AK217" i="11"/>
  <c r="AJ35" i="11"/>
  <c r="AJ217" i="11"/>
  <c r="AI35" i="11"/>
  <c r="AI217" i="11"/>
  <c r="AH35" i="11"/>
  <c r="AH217" i="11"/>
  <c r="AG35" i="11"/>
  <c r="AG217" i="11"/>
  <c r="AF35" i="11"/>
  <c r="AF217" i="11"/>
  <c r="AE35" i="11"/>
  <c r="AE217" i="11"/>
  <c r="AD35" i="11"/>
  <c r="AD217" i="11"/>
  <c r="AC35" i="11"/>
  <c r="AC217" i="11"/>
  <c r="AB35" i="11"/>
  <c r="AB217" i="11"/>
  <c r="AA35" i="11"/>
  <c r="AA217" i="11"/>
  <c r="Z35" i="11"/>
  <c r="Z217" i="11"/>
  <c r="Y35" i="11"/>
  <c r="Y217" i="11"/>
  <c r="X35" i="11"/>
  <c r="X217" i="11"/>
  <c r="W35" i="11"/>
  <c r="W217" i="11"/>
  <c r="V35" i="11"/>
  <c r="V217" i="11"/>
  <c r="U35" i="11"/>
  <c r="U217" i="11"/>
  <c r="T35" i="11"/>
  <c r="T217" i="11"/>
  <c r="S35" i="11"/>
  <c r="S217" i="11"/>
  <c r="R35" i="11"/>
  <c r="R217" i="11"/>
  <c r="Q35" i="11"/>
  <c r="Q217" i="11"/>
  <c r="P35" i="11"/>
  <c r="P217" i="11"/>
  <c r="O35" i="11"/>
  <c r="O217" i="11"/>
  <c r="N35" i="11"/>
  <c r="N217" i="11"/>
  <c r="M35" i="11"/>
  <c r="M217" i="11"/>
  <c r="L35" i="11"/>
  <c r="L217" i="11"/>
  <c r="K35" i="11"/>
  <c r="K217" i="11"/>
  <c r="J35" i="11"/>
  <c r="J217" i="11"/>
  <c r="I35" i="11"/>
  <c r="I217" i="11"/>
  <c r="H35" i="11"/>
  <c r="H217" i="11"/>
  <c r="G35" i="11"/>
  <c r="G217" i="11"/>
  <c r="F35" i="11"/>
  <c r="F217" i="11"/>
  <c r="E35" i="11"/>
  <c r="E217" i="11"/>
  <c r="D35" i="11"/>
  <c r="D217" i="11"/>
  <c r="C35" i="11"/>
  <c r="C217" i="11"/>
  <c r="B245" i="11"/>
  <c r="D245" i="11"/>
  <c r="D269" i="11"/>
</calcChain>
</file>

<file path=xl/comments1.xml><?xml version="1.0" encoding="utf-8"?>
<comments xmlns="http://schemas.openxmlformats.org/spreadsheetml/2006/main">
  <authors>
    <author>Nikolaos Georgiopoulos</author>
  </authors>
  <commentList>
    <comment ref="G5" authorId="0" shapeId="0">
      <text>
        <r>
          <rPr>
            <b/>
            <sz val="8"/>
            <color indexed="81"/>
            <rFont val="Tahoma"/>
            <family val="2"/>
          </rPr>
          <t>Nikolaos Georgiopoulos:</t>
        </r>
        <r>
          <rPr>
            <sz val="8"/>
            <color indexed="81"/>
            <rFont val="Tahoma"/>
            <family val="2"/>
          </rPr>
          <t xml:space="preserve">
Matching the UFR, adjustment for the forward rate</t>
        </r>
      </text>
    </comment>
  </commentList>
</comments>
</file>

<file path=xl/comments2.xml><?xml version="1.0" encoding="utf-8"?>
<comments xmlns="http://schemas.openxmlformats.org/spreadsheetml/2006/main">
  <authors>
    <author>Nikolaos Georgiopoulos</author>
  </authors>
  <commentList>
    <comment ref="J2" authorId="0" shapeId="0">
      <text>
        <r>
          <rPr>
            <b/>
            <sz val="8"/>
            <color indexed="81"/>
            <rFont val="Tahoma"/>
            <family val="2"/>
          </rPr>
          <t>Nikolaos Georgiopoulos:</t>
        </r>
        <r>
          <rPr>
            <sz val="8"/>
            <color indexed="81"/>
            <rFont val="Tahoma"/>
            <family val="2"/>
          </rPr>
          <t xml:space="preserve">
If the field is not green for all bonds, then there is a quotation error by bloomberg. Revert to the appropriate tab and replace at the dirty price collumn, the sum of clean price plus accrued interest. </t>
        </r>
      </text>
    </comment>
  </commentList>
</comments>
</file>

<file path=xl/comments3.xml><?xml version="1.0" encoding="utf-8"?>
<comments xmlns="http://schemas.openxmlformats.org/spreadsheetml/2006/main">
  <authors>
    <author>Nikolaos Georgiopoulos</author>
  </authors>
  <commentList>
    <comment ref="D51" authorId="0" shapeId="0">
      <text>
        <r>
          <rPr>
            <b/>
            <sz val="8"/>
            <color indexed="81"/>
            <rFont val="Tahoma"/>
            <family val="2"/>
          </rPr>
          <t>Nikolaos Georgiopoulos:</t>
        </r>
        <r>
          <rPr>
            <sz val="8"/>
            <color indexed="81"/>
            <rFont val="Tahoma"/>
            <family val="2"/>
          </rPr>
          <t xml:space="preserve">
"artificial rate" to smooth the curve since there are no long term bonds.</t>
        </r>
      </text>
    </comment>
  </commentList>
</comments>
</file>

<file path=xl/comments4.xml><?xml version="1.0" encoding="utf-8"?>
<comments xmlns="http://schemas.openxmlformats.org/spreadsheetml/2006/main">
  <authors>
    <author>Nikolaos Georgiopoulos</author>
  </authors>
  <commentList>
    <comment ref="D51" authorId="0" shapeId="0">
      <text>
        <r>
          <rPr>
            <b/>
            <sz val="8"/>
            <color indexed="81"/>
            <rFont val="Tahoma"/>
            <family val="2"/>
          </rPr>
          <t>Nikolaos Georgiopoulos:</t>
        </r>
        <r>
          <rPr>
            <sz val="8"/>
            <color indexed="81"/>
            <rFont val="Tahoma"/>
            <family val="2"/>
          </rPr>
          <t xml:space="preserve">
"artificial rate" to smooth the curve since there are no long term bonds.</t>
        </r>
      </text>
    </comment>
  </commentList>
</comments>
</file>

<file path=xl/comments5.xml><?xml version="1.0" encoding="utf-8"?>
<comments xmlns="http://schemas.openxmlformats.org/spreadsheetml/2006/main">
  <authors>
    <author>Nikolaos Georgiopoulos</author>
  </authors>
  <commentList>
    <comment ref="H2" authorId="0" shapeId="0">
      <text>
        <r>
          <rPr>
            <b/>
            <sz val="8"/>
            <color indexed="81"/>
            <rFont val="Tahoma"/>
            <family val="2"/>
          </rPr>
          <t>Nikolaos Georgiopoulos:</t>
        </r>
        <r>
          <rPr>
            <sz val="8"/>
            <color indexed="81"/>
            <rFont val="Tahoma"/>
            <family val="2"/>
          </rPr>
          <t xml:space="preserve">
Stupid US quotation of t-bills  based on yield and not price. We convert yield to price.</t>
        </r>
      </text>
    </comment>
  </commentList>
</comments>
</file>

<file path=xl/sharedStrings.xml><?xml version="1.0" encoding="utf-8"?>
<sst xmlns="http://schemas.openxmlformats.org/spreadsheetml/2006/main" count="5769" uniqueCount="1046">
  <si>
    <t>Clean Price</t>
  </si>
  <si>
    <t>AI</t>
  </si>
  <si>
    <t>Coupon Rate</t>
  </si>
  <si>
    <t>Maturity</t>
  </si>
  <si>
    <t>Cash Price</t>
  </si>
  <si>
    <t>Duration</t>
  </si>
  <si>
    <t>Yield to Maturity</t>
  </si>
  <si>
    <t>Macauley Duration</t>
  </si>
  <si>
    <t>Maturity in Years</t>
  </si>
  <si>
    <t>Inverse of Macauley Duration</t>
  </si>
  <si>
    <t>Weights for Optimization</t>
  </si>
  <si>
    <t>b1</t>
  </si>
  <si>
    <t>b2</t>
  </si>
  <si>
    <t>Theoretical Prices</t>
  </si>
  <si>
    <t>Squared Differences</t>
  </si>
  <si>
    <t>Sum of Squares</t>
  </si>
  <si>
    <t>Bond 6</t>
  </si>
  <si>
    <t>Bond 9</t>
  </si>
  <si>
    <t>Bond 15</t>
  </si>
  <si>
    <t>Bond 3</t>
  </si>
  <si>
    <t>Parameters</t>
  </si>
  <si>
    <t>Current Day t=0</t>
  </si>
  <si>
    <t>Bond 1</t>
  </si>
  <si>
    <t>Bond 2</t>
  </si>
  <si>
    <t>Bond 4</t>
  </si>
  <si>
    <t>Bond 5</t>
  </si>
  <si>
    <t>Bond 7</t>
  </si>
  <si>
    <t>Bond 8</t>
  </si>
  <si>
    <t>Bond 10</t>
  </si>
  <si>
    <t>Bond 11</t>
  </si>
  <si>
    <t>Bond 12</t>
  </si>
  <si>
    <t>Bond 13</t>
  </si>
  <si>
    <t>Bond 14</t>
  </si>
  <si>
    <t>Bond 16</t>
  </si>
  <si>
    <t>Bond 17</t>
  </si>
  <si>
    <t>Bond 18</t>
  </si>
  <si>
    <t>Bond 19</t>
  </si>
  <si>
    <t>Bond 20</t>
  </si>
  <si>
    <t>Bond 21</t>
  </si>
  <si>
    <t>Bond 22</t>
  </si>
  <si>
    <t>Days to Payment</t>
  </si>
  <si>
    <t>Conversion in Years</t>
  </si>
  <si>
    <t>Nelson Siegel Fitting</t>
  </si>
  <si>
    <t>Nelson Siegel Interest Rate</t>
  </si>
  <si>
    <t>Theoretical Discount Factor</t>
  </si>
  <si>
    <t>Discounted Cash Flows of Bonds</t>
  </si>
  <si>
    <t>Nelson Siegel Parameters</t>
  </si>
  <si>
    <t>Actual Price</t>
  </si>
  <si>
    <t>Sum</t>
  </si>
  <si>
    <t>Payment Dates</t>
  </si>
  <si>
    <t>b0</t>
  </si>
  <si>
    <t>b3</t>
  </si>
  <si>
    <t>rho</t>
  </si>
  <si>
    <t>tau</t>
  </si>
  <si>
    <t>US Spot Rates</t>
  </si>
  <si>
    <t>Spot Rate</t>
  </si>
  <si>
    <t>1 Month</t>
  </si>
  <si>
    <t>2 Month</t>
  </si>
  <si>
    <t>3 Month</t>
  </si>
  <si>
    <t>4 Month</t>
  </si>
  <si>
    <t>5 Month</t>
  </si>
  <si>
    <t>6 Month</t>
  </si>
  <si>
    <t>7 Month</t>
  </si>
  <si>
    <t>8 Month</t>
  </si>
  <si>
    <t>9 Month</t>
  </si>
  <si>
    <t>10 Month</t>
  </si>
  <si>
    <t>11 Month</t>
  </si>
  <si>
    <t>1 Year</t>
  </si>
  <si>
    <t>2 Year</t>
  </si>
  <si>
    <t>3 Year</t>
  </si>
  <si>
    <t>4 Year</t>
  </si>
  <si>
    <t>5 Year</t>
  </si>
  <si>
    <t>6 Year</t>
  </si>
  <si>
    <t>7 Year</t>
  </si>
  <si>
    <t>8 Year</t>
  </si>
  <si>
    <t>9 Year</t>
  </si>
  <si>
    <t>10 Year</t>
  </si>
  <si>
    <t>11 Year</t>
  </si>
  <si>
    <t>12 Year</t>
  </si>
  <si>
    <t>13 Year</t>
  </si>
  <si>
    <t>14 Year</t>
  </si>
  <si>
    <t>15 Year</t>
  </si>
  <si>
    <t>16 Year</t>
  </si>
  <si>
    <t>17 Year</t>
  </si>
  <si>
    <t>18 Year</t>
  </si>
  <si>
    <t>19 Year</t>
  </si>
  <si>
    <t>20 Year</t>
  </si>
  <si>
    <t>21 Year</t>
  </si>
  <si>
    <t>22 Year</t>
  </si>
  <si>
    <t>23 Year</t>
  </si>
  <si>
    <t>24 Year</t>
  </si>
  <si>
    <t>25 Year</t>
  </si>
  <si>
    <t>26 Year</t>
  </si>
  <si>
    <t>27 Year</t>
  </si>
  <si>
    <t>28 Year</t>
  </si>
  <si>
    <t>29 Year</t>
  </si>
  <si>
    <t>30 Year</t>
  </si>
  <si>
    <t>MATURITY</t>
  </si>
  <si>
    <t>NXT_CPN_DT</t>
  </si>
  <si>
    <t>CPN_FREQ</t>
  </si>
  <si>
    <t>CPN</t>
  </si>
  <si>
    <t>INT_ACC</t>
  </si>
  <si>
    <t>PX_CLEAN_MID</t>
  </si>
  <si>
    <t>PX_DIRTY_MID</t>
  </si>
  <si>
    <t>CT7 Govt</t>
  </si>
  <si>
    <t>CT10 Govt</t>
  </si>
  <si>
    <t>CT30 Govt</t>
  </si>
  <si>
    <t>Cpn Payment Freq</t>
  </si>
  <si>
    <t>Cpn Pay Date</t>
  </si>
  <si>
    <t>Bond Name</t>
  </si>
  <si>
    <t>912810EV Govt</t>
  </si>
  <si>
    <t>912810EY Govt</t>
  </si>
  <si>
    <t>912810FA Govt</t>
  </si>
  <si>
    <t>912810FF Govt</t>
  </si>
  <si>
    <t>912810FG Govt</t>
  </si>
  <si>
    <t>912810FM Govt</t>
  </si>
  <si>
    <t>912810FP Govt</t>
  </si>
  <si>
    <t>CT20 Govt</t>
  </si>
  <si>
    <t>912810FT Govt</t>
  </si>
  <si>
    <t>912810PT Govt</t>
  </si>
  <si>
    <t>912810PW Govt</t>
  </si>
  <si>
    <t>912810QA Govt</t>
  </si>
  <si>
    <t>912810QK Govt</t>
  </si>
  <si>
    <t>912810QQ Govt</t>
  </si>
  <si>
    <t>912810QX Govt</t>
  </si>
  <si>
    <t>912810RB Govt</t>
  </si>
  <si>
    <t>US</t>
  </si>
  <si>
    <t>Bond 23</t>
  </si>
  <si>
    <t>Bond 24</t>
  </si>
  <si>
    <t>Bond 25</t>
  </si>
  <si>
    <t>Bond 26</t>
  </si>
  <si>
    <t>Euro</t>
  </si>
  <si>
    <t>UK</t>
  </si>
  <si>
    <t>Switzerland</t>
  </si>
  <si>
    <t>Canada</t>
  </si>
  <si>
    <t>Australia</t>
  </si>
  <si>
    <t>New Zealand</t>
  </si>
  <si>
    <t>Euro Spot Rates</t>
  </si>
  <si>
    <t>UK Spot Rates</t>
  </si>
  <si>
    <t>Canada Spot Rates</t>
  </si>
  <si>
    <t>Switzerland Spot Rates</t>
  </si>
  <si>
    <t>Australia Spot Rates</t>
  </si>
  <si>
    <t>New Zealand Spot Rates</t>
  </si>
  <si>
    <t>Japan</t>
  </si>
  <si>
    <t>Japan Spot Rates</t>
  </si>
  <si>
    <t>CTEUR1M GOVT</t>
  </si>
  <si>
    <t>CTEUR3M GOVT</t>
  </si>
  <si>
    <t>CTEUR6M GOVT</t>
  </si>
  <si>
    <t>CTEUR12M GOVT</t>
  </si>
  <si>
    <t>CTEUR2Y GOVT</t>
  </si>
  <si>
    <t>CTEUR3Y GOVT</t>
  </si>
  <si>
    <t>CTEUR4Y GOVT</t>
  </si>
  <si>
    <t>CTEUR5Y GOVT</t>
  </si>
  <si>
    <t>CTEUR6Y GOVT</t>
  </si>
  <si>
    <t>CTEUR7Y GOVT</t>
  </si>
  <si>
    <t>CTEUR8Y GOVT</t>
  </si>
  <si>
    <t>CTEUR9Y GOVT</t>
  </si>
  <si>
    <t>CTEUR10Y GOVT</t>
  </si>
  <si>
    <t>CTEUR15Y GOVT</t>
  </si>
  <si>
    <t>CTEUR20Y GOVT</t>
  </si>
  <si>
    <t>CTEUR30Y GOVT</t>
  </si>
  <si>
    <t>CTGBP1M GOVT</t>
  </si>
  <si>
    <t>CTGBP3M GOVT</t>
  </si>
  <si>
    <t>CTGBP6M GOVT</t>
  </si>
  <si>
    <t>CTGBP12M GOVT</t>
  </si>
  <si>
    <t>CTGBP2Y GOVT</t>
  </si>
  <si>
    <t>CTGBP3Y GOVT</t>
  </si>
  <si>
    <t>CTGBP4Y GOVT</t>
  </si>
  <si>
    <t>CTGBP5Y GOVT</t>
  </si>
  <si>
    <t>CTGBP6Y GOVT</t>
  </si>
  <si>
    <t>CTGBP7Y GOVT</t>
  </si>
  <si>
    <t>CTGBP8Y GOVT</t>
  </si>
  <si>
    <t>CTGBP9Y GOVT</t>
  </si>
  <si>
    <t>CTGBP10Y GOVT</t>
  </si>
  <si>
    <t>CTGBP12Y GOVT</t>
  </si>
  <si>
    <t>CTGBP15Y GOVT</t>
  </si>
  <si>
    <t>CTGBP20Y GOVT</t>
  </si>
  <si>
    <t>CTGBP25Y GOVT</t>
  </si>
  <si>
    <t>CTGBP30Y GOVT</t>
  </si>
  <si>
    <t>CTAUD12M GOVT</t>
  </si>
  <si>
    <t>CTAUD2Y GOVT</t>
  </si>
  <si>
    <t>CTAUD3Y GOVT</t>
  </si>
  <si>
    <t>CTAUD4Y GOVT</t>
  </si>
  <si>
    <t>CTAUD5Y GOVT</t>
  </si>
  <si>
    <t>CTAUD6Y GOVT</t>
  </si>
  <si>
    <t>CTAUD7Y GOVT</t>
  </si>
  <si>
    <t>CTAUD8Y GOVT</t>
  </si>
  <si>
    <t>CTAUD9Y GOVT</t>
  </si>
  <si>
    <t>CTAUD10Y GOVT</t>
  </si>
  <si>
    <t>CTAUD15Y GOVT</t>
  </si>
  <si>
    <t>CTAUD20Y GOVT</t>
  </si>
  <si>
    <t>CTCAD3M GOVT</t>
  </si>
  <si>
    <t>CTCAD6M GOVT</t>
  </si>
  <si>
    <t>CTCAD12M GOVT</t>
  </si>
  <si>
    <t>CTCAD2Y GOVT</t>
  </si>
  <si>
    <t>CTCAD3Y GOVT</t>
  </si>
  <si>
    <t>CTCAD4Y GOVT</t>
  </si>
  <si>
    <t>CTCAD5Y GOVT</t>
  </si>
  <si>
    <t>CTCAD6Y GOVT</t>
  </si>
  <si>
    <t>CTCAD7Y GOVT</t>
  </si>
  <si>
    <t>CTCAD8Y GOVT</t>
  </si>
  <si>
    <t>CTCAD9Y GOVT</t>
  </si>
  <si>
    <t>CTCAD10Y GOVT</t>
  </si>
  <si>
    <t>CTCAD20Y GOVT</t>
  </si>
  <si>
    <t>CTCAD30Y GOVT</t>
  </si>
  <si>
    <t>CTCHF12M GOVT</t>
  </si>
  <si>
    <t>CTCHF15Y GOVT</t>
  </si>
  <si>
    <t>CTCHF20Y GOVT</t>
  </si>
  <si>
    <t>CTCHF30Y GOVT</t>
  </si>
  <si>
    <t>CTNZD5Y GOVT</t>
  </si>
  <si>
    <t>CTJPY3M GOVT</t>
  </si>
  <si>
    <t>CTJPY6M GOVT</t>
  </si>
  <si>
    <t>CTJPY12M GOVT</t>
  </si>
  <si>
    <t>CTJPY2Y GOVT</t>
  </si>
  <si>
    <t>CTJPY3Y GOVT</t>
  </si>
  <si>
    <t>CTJPY4Y GOVT</t>
  </si>
  <si>
    <t>CTJPY5Y GOVT</t>
  </si>
  <si>
    <t>CTJPY6Y GOVT</t>
  </si>
  <si>
    <t>CTJPY7Y GOVT</t>
  </si>
  <si>
    <t>CTJPY8Y GOVT</t>
  </si>
  <si>
    <t>CTJPY9Y GOVT</t>
  </si>
  <si>
    <t>CTJPY10Y GOVT</t>
  </si>
  <si>
    <t>CTJPY15Y GOVT</t>
  </si>
  <si>
    <t>CTJPY20Y GOVT</t>
  </si>
  <si>
    <t>CTJPY30Y GOVT</t>
  </si>
  <si>
    <t>Bond 27</t>
  </si>
  <si>
    <t>United States</t>
  </si>
  <si>
    <t>YCSW0023 Index</t>
  </si>
  <si>
    <t>CURVE_TENOR_RATES</t>
  </si>
  <si>
    <t>CURVE_DATE=20131231</t>
  </si>
  <si>
    <t>HEADERS=Y</t>
  </si>
  <si>
    <t>Tenor</t>
  </si>
  <si>
    <t>Tenor Ticker</t>
  </si>
  <si>
    <t>Mid Yield</t>
  </si>
  <si>
    <t>1Y</t>
  </si>
  <si>
    <t>2Y</t>
  </si>
  <si>
    <t>3Y</t>
  </si>
  <si>
    <t>5Y</t>
  </si>
  <si>
    <t>7Y</t>
  </si>
  <si>
    <t>10Y</t>
  </si>
  <si>
    <t>30Y</t>
  </si>
  <si>
    <t>YCSW0045 Index</t>
  </si>
  <si>
    <t>4Y</t>
  </si>
  <si>
    <t>6Y</t>
  </si>
  <si>
    <t>8Y</t>
  </si>
  <si>
    <t>9Y</t>
  </si>
  <si>
    <t>15Y</t>
  </si>
  <si>
    <t>20Y</t>
  </si>
  <si>
    <t>YCSW0022 Index</t>
  </si>
  <si>
    <t>12Y</t>
  </si>
  <si>
    <t>25Y</t>
  </si>
  <si>
    <t>YCSW0001 Index</t>
  </si>
  <si>
    <t>YCSW0004 Index</t>
  </si>
  <si>
    <t>YCSW0021 Index</t>
  </si>
  <si>
    <t>YCSW0015 Index</t>
  </si>
  <si>
    <t>YCSW0013 Index</t>
  </si>
  <si>
    <t>Swizterland</t>
  </si>
  <si>
    <t>2 Years</t>
  </si>
  <si>
    <t>3 Years</t>
  </si>
  <si>
    <t>4 Years</t>
  </si>
  <si>
    <t>5 Years</t>
  </si>
  <si>
    <t>6 Years</t>
  </si>
  <si>
    <t>7 Years</t>
  </si>
  <si>
    <t>8 Years</t>
  </si>
  <si>
    <t>9 Years</t>
  </si>
  <si>
    <t>10 Years</t>
  </si>
  <si>
    <t>11 Years</t>
  </si>
  <si>
    <t>12 Years</t>
  </si>
  <si>
    <t>13 Years</t>
  </si>
  <si>
    <t>14 Years</t>
  </si>
  <si>
    <t>15 Years</t>
  </si>
  <si>
    <t>16 Years</t>
  </si>
  <si>
    <t>17 Years</t>
  </si>
  <si>
    <t>18 Years</t>
  </si>
  <si>
    <t>19 Years</t>
  </si>
  <si>
    <t>20 Years</t>
  </si>
  <si>
    <t>21 Years</t>
  </si>
  <si>
    <t>22 Years</t>
  </si>
  <si>
    <t>23 Years</t>
  </si>
  <si>
    <t>24 Years</t>
  </si>
  <si>
    <t>25 Years</t>
  </si>
  <si>
    <t>26 Years</t>
  </si>
  <si>
    <t>27 Years</t>
  </si>
  <si>
    <t>28 Years</t>
  </si>
  <si>
    <t>29 Years</t>
  </si>
  <si>
    <t>30 Years</t>
  </si>
  <si>
    <t>31 Years</t>
  </si>
  <si>
    <t>32 Years</t>
  </si>
  <si>
    <t>33 Years</t>
  </si>
  <si>
    <t>34 Years</t>
  </si>
  <si>
    <t>35 Years</t>
  </si>
  <si>
    <t>36 Years</t>
  </si>
  <si>
    <t>37 Years</t>
  </si>
  <si>
    <t>38 Years</t>
  </si>
  <si>
    <t>39 Years</t>
  </si>
  <si>
    <t>40 Years</t>
  </si>
  <si>
    <t>41 Years</t>
  </si>
  <si>
    <t>42 Years</t>
  </si>
  <si>
    <t>43 Years</t>
  </si>
  <si>
    <t>44 Years</t>
  </si>
  <si>
    <t>45 Years</t>
  </si>
  <si>
    <t>46 Years</t>
  </si>
  <si>
    <t>47 Years</t>
  </si>
  <si>
    <t>48 Years</t>
  </si>
  <si>
    <t>49 Years</t>
  </si>
  <si>
    <t>50 Years</t>
  </si>
  <si>
    <t>51 Years</t>
  </si>
  <si>
    <t>52 Years</t>
  </si>
  <si>
    <t>53 Years</t>
  </si>
  <si>
    <t>54 Years</t>
  </si>
  <si>
    <t>55 Years</t>
  </si>
  <si>
    <t>56 Years</t>
  </si>
  <si>
    <t>57 Years</t>
  </si>
  <si>
    <t>58 Years</t>
  </si>
  <si>
    <t>59 Years</t>
  </si>
  <si>
    <t>60 Years</t>
  </si>
  <si>
    <t>61 Years</t>
  </si>
  <si>
    <t>62 Years</t>
  </si>
  <si>
    <t>63 Years</t>
  </si>
  <si>
    <t>64 Years</t>
  </si>
  <si>
    <t>65 Years</t>
  </si>
  <si>
    <t>66 Years</t>
  </si>
  <si>
    <t>67 Years</t>
  </si>
  <si>
    <t>68 Years</t>
  </si>
  <si>
    <t>69 Years</t>
  </si>
  <si>
    <t>70 Years</t>
  </si>
  <si>
    <t>71 Years</t>
  </si>
  <si>
    <t>72 Years</t>
  </si>
  <si>
    <t>73 Years</t>
  </si>
  <si>
    <t>74 Years</t>
  </si>
  <si>
    <t>75 Years</t>
  </si>
  <si>
    <t>76 Years</t>
  </si>
  <si>
    <t>77 Years</t>
  </si>
  <si>
    <t>78 Years</t>
  </si>
  <si>
    <t>79 Years</t>
  </si>
  <si>
    <t>80 Years</t>
  </si>
  <si>
    <t>81 Years</t>
  </si>
  <si>
    <t>82 Years</t>
  </si>
  <si>
    <t>83 Years</t>
  </si>
  <si>
    <t>84 Years</t>
  </si>
  <si>
    <t>85 Years</t>
  </si>
  <si>
    <t>86 Years</t>
  </si>
  <si>
    <t>87 Years</t>
  </si>
  <si>
    <t>88 Years</t>
  </si>
  <si>
    <t>89 Years</t>
  </si>
  <si>
    <t>90 Years</t>
  </si>
  <si>
    <t>91 Years</t>
  </si>
  <si>
    <t>92 Years</t>
  </si>
  <si>
    <t>93 Years</t>
  </si>
  <si>
    <t>94 Years</t>
  </si>
  <si>
    <t>95 Years</t>
  </si>
  <si>
    <t>96 Years</t>
  </si>
  <si>
    <t>97 Years</t>
  </si>
  <si>
    <t>98 Years</t>
  </si>
  <si>
    <t>99 Years</t>
  </si>
  <si>
    <t>100 Years</t>
  </si>
  <si>
    <t>Spline</t>
  </si>
  <si>
    <t>In</t>
  </si>
  <si>
    <t>TrueData</t>
  </si>
  <si>
    <t xml:space="preserve">In </t>
  </si>
  <si>
    <t>31 Year</t>
  </si>
  <si>
    <t>32 Year</t>
  </si>
  <si>
    <t>33 Year</t>
  </si>
  <si>
    <t>34 Year</t>
  </si>
  <si>
    <t>35 Year</t>
  </si>
  <si>
    <t>36 Year</t>
  </si>
  <si>
    <t>37 Year</t>
  </si>
  <si>
    <t>38 Year</t>
  </si>
  <si>
    <t>39 Year</t>
  </si>
  <si>
    <t>40 Year</t>
  </si>
  <si>
    <t>41 Year</t>
  </si>
  <si>
    <t>42 Year</t>
  </si>
  <si>
    <t>43 Year</t>
  </si>
  <si>
    <t>44 Year</t>
  </si>
  <si>
    <t>45 Year</t>
  </si>
  <si>
    <t>46 Year</t>
  </si>
  <si>
    <t>47 Year</t>
  </si>
  <si>
    <t>48 Year</t>
  </si>
  <si>
    <t>49 Year</t>
  </si>
  <si>
    <t>50 Year</t>
  </si>
  <si>
    <t>51 Year</t>
  </si>
  <si>
    <t>52 Year</t>
  </si>
  <si>
    <t>53 Year</t>
  </si>
  <si>
    <t>54 Year</t>
  </si>
  <si>
    <t>55 Year</t>
  </si>
  <si>
    <t>56 Year</t>
  </si>
  <si>
    <t>57 Year</t>
  </si>
  <si>
    <t>58 Year</t>
  </si>
  <si>
    <t>59 Year</t>
  </si>
  <si>
    <t>60 Year</t>
  </si>
  <si>
    <t>61 Year</t>
  </si>
  <si>
    <t>62 Year</t>
  </si>
  <si>
    <t>63 Year</t>
  </si>
  <si>
    <t>64 Year</t>
  </si>
  <si>
    <t>65 Year</t>
  </si>
  <si>
    <t>66 Year</t>
  </si>
  <si>
    <t>67 Year</t>
  </si>
  <si>
    <t>68 Year</t>
  </si>
  <si>
    <t>69 Year</t>
  </si>
  <si>
    <t>70 Year</t>
  </si>
  <si>
    <t>71 Year</t>
  </si>
  <si>
    <t>72 Year</t>
  </si>
  <si>
    <t>73 Year</t>
  </si>
  <si>
    <t>74 Year</t>
  </si>
  <si>
    <t>75 Year</t>
  </si>
  <si>
    <t>76 Year</t>
  </si>
  <si>
    <t>77 Year</t>
  </si>
  <si>
    <t>78 Year</t>
  </si>
  <si>
    <t>79 Year</t>
  </si>
  <si>
    <t>80 Year</t>
  </si>
  <si>
    <t>81 Year</t>
  </si>
  <si>
    <t>82 Year</t>
  </si>
  <si>
    <t>83 Year</t>
  </si>
  <si>
    <t>84 Year</t>
  </si>
  <si>
    <t>85 Year</t>
  </si>
  <si>
    <t>86 Year</t>
  </si>
  <si>
    <t>87 Year</t>
  </si>
  <si>
    <t>88 Year</t>
  </si>
  <si>
    <t>89 Year</t>
  </si>
  <si>
    <t>90 Year</t>
  </si>
  <si>
    <t>91 Year</t>
  </si>
  <si>
    <t>92 Year</t>
  </si>
  <si>
    <t>93 Year</t>
  </si>
  <si>
    <t>94 Year</t>
  </si>
  <si>
    <t>95 Year</t>
  </si>
  <si>
    <t>96 Year</t>
  </si>
  <si>
    <t>97 Year</t>
  </si>
  <si>
    <t>98 Year</t>
  </si>
  <si>
    <t>99 Year</t>
  </si>
  <si>
    <t>100 Year</t>
  </si>
  <si>
    <t>Swap Adjustment</t>
  </si>
  <si>
    <t>Forward Rate</t>
  </si>
  <si>
    <t>US Spot Rates Today</t>
  </si>
  <si>
    <t>Euro Spot Rates Today</t>
  </si>
  <si>
    <t>UK Spot Rates Today</t>
  </si>
  <si>
    <t>Switzerland Spot Rates Today</t>
  </si>
  <si>
    <t>Japan Spot Rates Today</t>
  </si>
  <si>
    <t>Canada Spot Rates Today</t>
  </si>
  <si>
    <t>New Zealand Spot Rates Today</t>
  </si>
  <si>
    <t>Australia Spot Rates Today</t>
  </si>
  <si>
    <t>Forward Rate after Swap Adjustment</t>
  </si>
  <si>
    <t>Years</t>
  </si>
  <si>
    <t>Spot Rate After Swap Adjustment</t>
  </si>
  <si>
    <t>Smoothing Adjustment</t>
  </si>
  <si>
    <t>Final Forward Rate</t>
  </si>
  <si>
    <t>Final Spot</t>
  </si>
  <si>
    <t>CTJPY1M GOVT</t>
  </si>
  <si>
    <t>GBP</t>
  </si>
  <si>
    <t>CHF</t>
  </si>
  <si>
    <t>CAD</t>
  </si>
  <si>
    <t>USD</t>
  </si>
  <si>
    <t>JPY</t>
  </si>
  <si>
    <t>AUD</t>
  </si>
  <si>
    <t>NZD</t>
  </si>
  <si>
    <t>Credit Adjustment</t>
  </si>
  <si>
    <t>Credit Adjustment (In basis points)</t>
  </si>
  <si>
    <t>Ultimate Forward Rate (In percent)</t>
  </si>
  <si>
    <t>Date of Optimization</t>
  </si>
  <si>
    <t>Risk-Free Spot Yield Curves</t>
  </si>
  <si>
    <t>Mid-Market Swap Rates from FT.com</t>
  </si>
  <si>
    <t>Solve for forward rate here iteratively in column L</t>
  </si>
  <si>
    <t>Looking at cell L13, the F13*(1_n12+….) represents prior fixed coupons to BOY</t>
  </si>
  <si>
    <t>Currency</t>
  </si>
  <si>
    <t>The M12 represents $1 brought forward at cumulative prior forward rates</t>
  </si>
  <si>
    <t>Curve Date</t>
  </si>
  <si>
    <t>If add the 1 to LHS and bring the denominator across, you have the original $1 plus all prior net cashflow at EOY at current unknwn forward rate.</t>
  </si>
  <si>
    <t>Swap Rates</t>
  </si>
  <si>
    <t>This will need to equal the fixed coupon plus $1 on RHS</t>
  </si>
  <si>
    <t>With</t>
  </si>
  <si>
    <t>Annualized</t>
  </si>
  <si>
    <t>Spot Rates</t>
  </si>
  <si>
    <t>Term</t>
  </si>
  <si>
    <t>Mid Market (semi)</t>
  </si>
  <si>
    <t>Interpolated</t>
  </si>
  <si>
    <t>Market Swaps</t>
  </si>
  <si>
    <t>Corresponding</t>
  </si>
  <si>
    <t>3M LIBOR</t>
  </si>
  <si>
    <t>Values</t>
  </si>
  <si>
    <t>Time</t>
  </si>
  <si>
    <t>Linear Interpolation</t>
  </si>
  <si>
    <t>to Swap curve</t>
  </si>
  <si>
    <t>Forwards</t>
  </si>
  <si>
    <t>All</t>
  </si>
  <si>
    <t>Last 1</t>
  </si>
  <si>
    <t>Last 2</t>
  </si>
  <si>
    <t>Last 3</t>
  </si>
  <si>
    <t>Last 4</t>
  </si>
  <si>
    <t>Last 5</t>
  </si>
  <si>
    <t>Last 6</t>
  </si>
  <si>
    <t>Last 7</t>
  </si>
  <si>
    <t>Last 8</t>
  </si>
  <si>
    <t>Last 9</t>
  </si>
  <si>
    <t>Last 10</t>
  </si>
  <si>
    <t>Last 11</t>
  </si>
  <si>
    <t>Last 12</t>
  </si>
  <si>
    <t>Last 13</t>
  </si>
  <si>
    <t>Last 14</t>
  </si>
  <si>
    <t>Last 15</t>
  </si>
  <si>
    <t>Last 16</t>
  </si>
  <si>
    <t>Last 17</t>
  </si>
  <si>
    <t>Last 18</t>
  </si>
  <si>
    <t>Last 19</t>
  </si>
  <si>
    <t>Last 20</t>
  </si>
  <si>
    <t>Last 21</t>
  </si>
  <si>
    <t>Last 22</t>
  </si>
  <si>
    <t>Last 23</t>
  </si>
  <si>
    <t>Last 24</t>
  </si>
  <si>
    <t>Last 25</t>
  </si>
  <si>
    <t>Last 26</t>
  </si>
  <si>
    <t>Last 27</t>
  </si>
  <si>
    <t>Last 28</t>
  </si>
  <si>
    <t>Last 29</t>
  </si>
  <si>
    <t>Diffs</t>
  </si>
  <si>
    <t xml:space="preserve"> Adjustment</t>
  </si>
  <si>
    <t>to NSS curve</t>
  </si>
  <si>
    <t>Spreads NSS-Swap Spots</t>
  </si>
  <si>
    <t>Swap spreads</t>
  </si>
  <si>
    <t>11Y</t>
  </si>
  <si>
    <t>USSWAP20 Curncy</t>
  </si>
  <si>
    <t>Quick check</t>
  </si>
  <si>
    <t xml:space="preserve">Check </t>
  </si>
  <si>
    <t>CB3 Govt</t>
  </si>
  <si>
    <t>CB6 Govt</t>
  </si>
  <si>
    <t>CB12 Govt</t>
  </si>
  <si>
    <t>CT2 Govt</t>
  </si>
  <si>
    <t>CT3 Govt</t>
  </si>
  <si>
    <t>CT5 Govt</t>
  </si>
  <si>
    <t>BP0012M INDEX</t>
  </si>
  <si>
    <t>BPSW2 CURNCY</t>
  </si>
  <si>
    <t>BPSW3 CURNCY</t>
  </si>
  <si>
    <t>BPSW4 CURNCY</t>
  </si>
  <si>
    <t>BPSW5 CURNCY</t>
  </si>
  <si>
    <t>BPSW6 CURNCY</t>
  </si>
  <si>
    <t>BPSW7 CURNCY</t>
  </si>
  <si>
    <t>BPSW8 CURNCY</t>
  </si>
  <si>
    <t>BPSW9 CURNCY</t>
  </si>
  <si>
    <t>BPSW10 CURNCY</t>
  </si>
  <si>
    <t>BPSW12 CURNCY</t>
  </si>
  <si>
    <t>BPSW15 CURNCY</t>
  </si>
  <si>
    <t>BPSW20 CURNCY</t>
  </si>
  <si>
    <t>BPSW25 CURNCY</t>
  </si>
  <si>
    <t>GTNZD10Y GOVT</t>
  </si>
  <si>
    <t>GTNZD7Y GOVT</t>
  </si>
  <si>
    <t>BPSW30 CURNCY</t>
  </si>
  <si>
    <t>#N/A Field Not Applicable</t>
  </si>
  <si>
    <t>NZGOVDT433C9 govt</t>
  </si>
  <si>
    <t>13y</t>
  </si>
  <si>
    <t>14Y</t>
  </si>
  <si>
    <t>USSW1 CURNCY</t>
  </si>
  <si>
    <t>USSW2 CURNCY</t>
  </si>
  <si>
    <t>USSW3 CURNCY</t>
  </si>
  <si>
    <t>USSW4 CURNCY</t>
  </si>
  <si>
    <t>USSW5 CURNCY</t>
  </si>
  <si>
    <t>USSW6 CURNCY</t>
  </si>
  <si>
    <t>USSW7 CURNCY</t>
  </si>
  <si>
    <t>USSW8 CURNCY</t>
  </si>
  <si>
    <t>USSW9 CURNCY</t>
  </si>
  <si>
    <t>USSW10 CURNCY</t>
  </si>
  <si>
    <t>USSW11 CURNCY</t>
  </si>
  <si>
    <t>USSW12 CURNCY</t>
  </si>
  <si>
    <t>USSW13 CURNCY</t>
  </si>
  <si>
    <t>USSW14 CURNCY</t>
  </si>
  <si>
    <t>USSW15 CURNCY</t>
  </si>
  <si>
    <t>USSW16 CURNCY</t>
  </si>
  <si>
    <t>USSW17 CURNCY</t>
  </si>
  <si>
    <t>USSW18 CURNCY</t>
  </si>
  <si>
    <t>USSW19 CURNCY</t>
  </si>
  <si>
    <t>USSW25 CURNCY</t>
  </si>
  <si>
    <t>USSW30 CURNCY</t>
  </si>
  <si>
    <t>16Y</t>
  </si>
  <si>
    <t>17Y</t>
  </si>
  <si>
    <t>18Y</t>
  </si>
  <si>
    <t>19Y</t>
  </si>
  <si>
    <t>21Y</t>
  </si>
  <si>
    <t>22Y</t>
  </si>
  <si>
    <t>23Y</t>
  </si>
  <si>
    <t>24Y</t>
  </si>
  <si>
    <t>26Y</t>
  </si>
  <si>
    <t>27Y</t>
  </si>
  <si>
    <t>28Y</t>
  </si>
  <si>
    <t>29Y</t>
  </si>
  <si>
    <t>ADSW1 CURNCY</t>
  </si>
  <si>
    <t>ADSW2 CURNCY</t>
  </si>
  <si>
    <t>ADSW3 CURNCY</t>
  </si>
  <si>
    <t>ADSW4 CURNCY</t>
  </si>
  <si>
    <t>ADSW5 CURNCY</t>
  </si>
  <si>
    <t>ADSW6 CURNCY</t>
  </si>
  <si>
    <t>ADSW7 CURNCY</t>
  </si>
  <si>
    <t>ADSW8 CURNCY</t>
  </si>
  <si>
    <t>ADSW9 CURNCY</t>
  </si>
  <si>
    <t>ADSW10 CURNCY</t>
  </si>
  <si>
    <t>ADSW12 CURNCY</t>
  </si>
  <si>
    <t>ADSW15 CURNCY</t>
  </si>
  <si>
    <t>ADSW20 CURNCY</t>
  </si>
  <si>
    <t>ADSW25 CURNCY</t>
  </si>
  <si>
    <t>ADSW30 CURNCY</t>
  </si>
  <si>
    <t>CDSW1 CURNCY</t>
  </si>
  <si>
    <t>CDSW2 CURNCY</t>
  </si>
  <si>
    <t>CDSW3 CURNCY</t>
  </si>
  <si>
    <t>CDSW4 CURNCY</t>
  </si>
  <si>
    <t>CDSW5 CURNCY</t>
  </si>
  <si>
    <t>CDSW6 CURNCY</t>
  </si>
  <si>
    <t>CDSW7 CURNCY</t>
  </si>
  <si>
    <t>CDSW8 CURNCY</t>
  </si>
  <si>
    <t>CDSW9 CURNCY</t>
  </si>
  <si>
    <t>CDSW10 CURNCY</t>
  </si>
  <si>
    <t>CDSW12 CURNCY</t>
  </si>
  <si>
    <t>CDSW15 CURNCY</t>
  </si>
  <si>
    <t>CDSW20 CURNCY</t>
  </si>
  <si>
    <t>CDSW25 CURNCY</t>
  </si>
  <si>
    <t>CDSW30 CURNCY</t>
  </si>
  <si>
    <t>SFSW1 CURNCY</t>
  </si>
  <si>
    <t>SFSW2 CURNCY</t>
  </si>
  <si>
    <t>SFSW3 CURNCY</t>
  </si>
  <si>
    <t>SFSW4 CURNCY</t>
  </si>
  <si>
    <t>SFSW5 CURNCY</t>
  </si>
  <si>
    <t>SFSW6 CURNCY</t>
  </si>
  <si>
    <t>SFSW7 CURNCY</t>
  </si>
  <si>
    <t>SFSW8 CURNCY</t>
  </si>
  <si>
    <t>SFSW9 CURNCY</t>
  </si>
  <si>
    <t>SFSW10 CURNCY</t>
  </si>
  <si>
    <t>SFSW11 CURNCY</t>
  </si>
  <si>
    <t>SFSW12 CURNCY</t>
  </si>
  <si>
    <t>SFSW13 CURNCY</t>
  </si>
  <si>
    <t>SFSW14 CURNCY</t>
  </si>
  <si>
    <t>SFSW15 CURNCY</t>
  </si>
  <si>
    <t>13Y</t>
  </si>
  <si>
    <t>SFSW20 CURNCY</t>
  </si>
  <si>
    <t>SFSW25 CURNCY</t>
  </si>
  <si>
    <t>SFSW30 CURNCY</t>
  </si>
  <si>
    <t>JYSW1 CURNCY</t>
  </si>
  <si>
    <t>JYSW2 CURNCY</t>
  </si>
  <si>
    <t>JYSW3 CURNCY</t>
  </si>
  <si>
    <t>JYSW4 CURNCY</t>
  </si>
  <si>
    <t>JYSW5 CURNCY</t>
  </si>
  <si>
    <t>JYSW6 CURNCY</t>
  </si>
  <si>
    <t>JYSW7 CURNCY</t>
  </si>
  <si>
    <t>JYSW8 CURNCY</t>
  </si>
  <si>
    <t>JYSW9 CURNCY</t>
  </si>
  <si>
    <t>JYSW10 CURNCY</t>
  </si>
  <si>
    <t>JYSW11 CURNCY</t>
  </si>
  <si>
    <t>JYSW12 CURNCY</t>
  </si>
  <si>
    <t>JYSW13 CURNCY</t>
  </si>
  <si>
    <t>JYSW14 CURNCY</t>
  </si>
  <si>
    <t>JYSW15 CURNCY</t>
  </si>
  <si>
    <t>JYSW16 CURNCY</t>
  </si>
  <si>
    <t>JYSW17 CURNCY</t>
  </si>
  <si>
    <t>JYSW18 CURNCY</t>
  </si>
  <si>
    <t>JYSW19 CURNCY</t>
  </si>
  <si>
    <t>JYSW20 CURNCY</t>
  </si>
  <si>
    <t>JYSW21 CURNCY</t>
  </si>
  <si>
    <t>JYSW22 CURNCY</t>
  </si>
  <si>
    <t>JYSW23 CURNCY</t>
  </si>
  <si>
    <t>JYSW24 CURNCY</t>
  </si>
  <si>
    <t>JYSW25 CURNCY</t>
  </si>
  <si>
    <t>JYSW26 CURNCY</t>
  </si>
  <si>
    <t>JYSW27 CURNCY</t>
  </si>
  <si>
    <t>JYSW28 CURNCY</t>
  </si>
  <si>
    <t>JYSW29 CURNCY</t>
  </si>
  <si>
    <t>JYSW30 CURNCY</t>
  </si>
  <si>
    <t>NDSWAP1 CURNCy</t>
  </si>
  <si>
    <t>NDSWAP2 CURNCy</t>
  </si>
  <si>
    <t>NDSWAP3 CURNCy</t>
  </si>
  <si>
    <t>NDSWAP4 CURNCy</t>
  </si>
  <si>
    <t>NDSWAP5 CURNCy</t>
  </si>
  <si>
    <t>NDSWAP6 CURNCy</t>
  </si>
  <si>
    <t>NDSWAP7 CURNCy</t>
  </si>
  <si>
    <t>NDSWAP8 CURNCy</t>
  </si>
  <si>
    <t>NDSWAP9 CURNCy</t>
  </si>
  <si>
    <t>NDSWAP10 CURNCy</t>
  </si>
  <si>
    <t>NDSWAP12 CURNCy</t>
  </si>
  <si>
    <t>NDSWAP15 CURNCy</t>
  </si>
  <si>
    <t>NDSWAP20 CURNCy</t>
  </si>
  <si>
    <t>NDSWAP25 CURNCy</t>
  </si>
  <si>
    <t>BPSW11 CURNCY</t>
  </si>
  <si>
    <t>BPSW13 CURNCY</t>
  </si>
  <si>
    <t>BPSW14 CURNCY</t>
  </si>
  <si>
    <t>BPSW16 CURNCY</t>
  </si>
  <si>
    <t>BPSW17 CURNCY</t>
  </si>
  <si>
    <t>BPSW18 CURNCY</t>
  </si>
  <si>
    <t>BPSW19 CURNCY</t>
  </si>
  <si>
    <t>eur012m index</t>
  </si>
  <si>
    <t>eusw2v3 curncy</t>
  </si>
  <si>
    <t>eusw3v3 curncy</t>
  </si>
  <si>
    <t>eusw4v3 curncy</t>
  </si>
  <si>
    <t>eusw5v3 curncy</t>
  </si>
  <si>
    <t>eusw6v3 curncy</t>
  </si>
  <si>
    <t>eusw7v3 curncy</t>
  </si>
  <si>
    <t>eusw8v3 curncy</t>
  </si>
  <si>
    <t>eusw9v3 curncy</t>
  </si>
  <si>
    <t>eusw10v3 curncy</t>
  </si>
  <si>
    <t>eusw11v3 curncy</t>
  </si>
  <si>
    <t>eusw12v3 curncy</t>
  </si>
  <si>
    <t>eusw13v3 curncy</t>
  </si>
  <si>
    <t>eusw14v3 curncy</t>
  </si>
  <si>
    <t>eusw15v3 curncy</t>
  </si>
  <si>
    <t>eusw16v3 curncy</t>
  </si>
  <si>
    <t>eusw17v3 curncy</t>
  </si>
  <si>
    <t>eusw18v3 curncy</t>
  </si>
  <si>
    <t>eusw19v3 curncy</t>
  </si>
  <si>
    <t>eusw20v3 curncy</t>
  </si>
  <si>
    <t>eusw21v3 curncy</t>
  </si>
  <si>
    <t>eusw22v3 curncy</t>
  </si>
  <si>
    <t>eusw23v3 curncy</t>
  </si>
  <si>
    <t>eusw24v3 curncy</t>
  </si>
  <si>
    <t>eusw25v3 curncy</t>
  </si>
  <si>
    <t>eusw26v3 curncy</t>
  </si>
  <si>
    <t>eusw27v3 curncy</t>
  </si>
  <si>
    <t>eusw28v3 curncy</t>
  </si>
  <si>
    <t>eusw29v3 curncy</t>
  </si>
  <si>
    <t>eusw30v3 curncy</t>
  </si>
  <si>
    <t>SFSW16 CURNCY</t>
  </si>
  <si>
    <t>SFSW17 CURNCY</t>
  </si>
  <si>
    <t>SFSW18 CURNCY</t>
  </si>
  <si>
    <t>SFSW19 CURNCY</t>
  </si>
  <si>
    <t>Swap Rates 2014 Observed</t>
  </si>
  <si>
    <t>Diffs of Differences</t>
  </si>
  <si>
    <t>This tab compares output spot rates against the input swap rates</t>
  </si>
  <si>
    <t>This is because of the 10bp credit adjustment and the offsetting adjustment at longer durations that is caused from converting swap rates to spot rates.</t>
  </si>
  <si>
    <t>An additional check to make sure that the inputs were entered correctly ensures that the output is as expected.</t>
  </si>
  <si>
    <t>It is based on 12.31.2014 data since this was thoroughly checked against EIOPA rates and we differed by no more than a basis point for USD</t>
  </si>
  <si>
    <t>Swap Rates BMA Fitted</t>
  </si>
  <si>
    <t>Swap Rates Observed</t>
  </si>
  <si>
    <t xml:space="preserve">Purple columns should </t>
  </si>
  <si>
    <t>look something like this:</t>
  </si>
  <si>
    <t>Green columns (T through AA) show that we expect the difference to reduce from around 10bp in year 1 to 2-3bp around year 30)</t>
  </si>
  <si>
    <t>The relationship is not cast in stone (it depends on the slope), but gives a simple benchmark for ensuring that no significant errors have crept in to the calculations.</t>
  </si>
  <si>
    <t>Differences (In %)</t>
  </si>
  <si>
    <t>US BMA Swap</t>
  </si>
  <si>
    <t>Euro BMA Swap</t>
  </si>
  <si>
    <t>UK BMA Swap</t>
  </si>
  <si>
    <t>Switzerland BMA Swap</t>
  </si>
  <si>
    <t>Canada BMA Swap</t>
  </si>
  <si>
    <t>Japan BMA Swap</t>
  </si>
  <si>
    <t>Australia BMA Swap</t>
  </si>
  <si>
    <t>New Zealand BMA Swap</t>
  </si>
  <si>
    <t>US Observed Swap</t>
  </si>
  <si>
    <t>Euro Observed Swap</t>
  </si>
  <si>
    <t>New Zealand Observed Swap</t>
  </si>
  <si>
    <t>Australia Observed Swap</t>
  </si>
  <si>
    <t>Japan Observed Swap</t>
  </si>
  <si>
    <t>Canada Observed Swap</t>
  </si>
  <si>
    <t>Switzerland Observed Swap</t>
  </si>
  <si>
    <t>UK Observed Swap</t>
  </si>
  <si>
    <t>Swap Rates 2015 EIOPA Fitted</t>
  </si>
  <si>
    <t>Swap Rates 2015 BMA Fitted</t>
  </si>
  <si>
    <t>Swap Rates 2015 Observed</t>
  </si>
  <si>
    <t>Diffs BMA-EIOPA</t>
  </si>
  <si>
    <t>Average</t>
  </si>
  <si>
    <t>a</t>
  </si>
  <si>
    <t>b</t>
  </si>
  <si>
    <t>c</t>
  </si>
  <si>
    <t>CTNZD12M GOVT</t>
  </si>
  <si>
    <t>NDSWAP30 CURNCy</t>
  </si>
  <si>
    <t>CTCHF2Y GOVT</t>
  </si>
  <si>
    <t>CTCHF3Y GOVT</t>
  </si>
  <si>
    <t>CTCHF4Y GOVT</t>
  </si>
  <si>
    <t>CTCHF5Y GOVT</t>
  </si>
  <si>
    <t>CTCHF6Y GOVT</t>
  </si>
  <si>
    <t>CTCHF7Y GOVT</t>
  </si>
  <si>
    <t>CTCHF8Y GOVT</t>
  </si>
  <si>
    <t>CTCHF9Y GOVT</t>
  </si>
  <si>
    <t>CTCHF10Y GOVT</t>
  </si>
  <si>
    <t>Hong Kong</t>
  </si>
  <si>
    <t>EG750226 Corp</t>
  </si>
  <si>
    <t>EH201225 Corp</t>
  </si>
  <si>
    <t>EH418686 Corp</t>
  </si>
  <si>
    <t>EH518212 Corp</t>
  </si>
  <si>
    <t>EH641892 Corp</t>
  </si>
  <si>
    <t>EH719682 Corp</t>
  </si>
  <si>
    <t>EH845625 Corp</t>
  </si>
  <si>
    <t>EH937830 Corp</t>
  </si>
  <si>
    <t>EI064399 Corp</t>
  </si>
  <si>
    <t>EI147583 Corp</t>
  </si>
  <si>
    <t>EI276870 Corp</t>
  </si>
  <si>
    <t>EI351037 Corp</t>
  </si>
  <si>
    <t>EI480933 Corp</t>
  </si>
  <si>
    <t>EI576731 Corp</t>
  </si>
  <si>
    <t>EI706222 Corp</t>
  </si>
  <si>
    <t>EI785192 Corp</t>
  </si>
  <si>
    <t>EI889260 Corp</t>
  </si>
  <si>
    <t>EJ028272 Corp</t>
  </si>
  <si>
    <t>EJ233144 Corp</t>
  </si>
  <si>
    <t>EJ326015 Corp</t>
  </si>
  <si>
    <t>EJ456441 Corp</t>
  </si>
  <si>
    <t>EJ549565 Corp</t>
  </si>
  <si>
    <t>EJ582764 Corp</t>
  </si>
  <si>
    <t>EJ695516 Corp</t>
  </si>
  <si>
    <t>EJ790610 Corp</t>
  </si>
  <si>
    <t>EJ832434 Corp</t>
  </si>
  <si>
    <t>EJ950029 Corp</t>
  </si>
  <si>
    <t>EJ981446 Corp</t>
  </si>
  <si>
    <t>EK080842 Corp</t>
  </si>
  <si>
    <t>EK126316 Corp</t>
  </si>
  <si>
    <t>EK290378 Corp</t>
  </si>
  <si>
    <t>EK328628 Corp</t>
  </si>
  <si>
    <t>EK441833 Corp</t>
  </si>
  <si>
    <t>EK500473 Corp</t>
  </si>
  <si>
    <t>EK628255 Corp</t>
  </si>
  <si>
    <t>EK652741 Corp</t>
  </si>
  <si>
    <t>LW063192 Corp</t>
  </si>
  <si>
    <t>QZ172684 Corp</t>
  </si>
  <si>
    <t>AL210536 Corp</t>
  </si>
  <si>
    <t>AM440647 Corp</t>
  </si>
  <si>
    <t>AN574159 Corp</t>
  </si>
  <si>
    <t>AO704355 Corp</t>
  </si>
  <si>
    <t>AP953335 Corp</t>
  </si>
  <si>
    <t>AR197762 Corp</t>
  </si>
  <si>
    <t>Bond 28</t>
  </si>
  <si>
    <t>Bond 29</t>
  </si>
  <si>
    <t>Bond 30</t>
  </si>
  <si>
    <t>Bond 31</t>
  </si>
  <si>
    <t>Bond 32</t>
  </si>
  <si>
    <t>Bond 33</t>
  </si>
  <si>
    <t>Bond 34</t>
  </si>
  <si>
    <t>Bond 35</t>
  </si>
  <si>
    <t>Bond 36</t>
  </si>
  <si>
    <t>PX_LAST</t>
  </si>
  <si>
    <t>hdsw1 CURNCY</t>
  </si>
  <si>
    <t>hdsw2 CURNCY</t>
  </si>
  <si>
    <t>hdsw3 CURNCY</t>
  </si>
  <si>
    <t>hdsw4 CURNCY</t>
  </si>
  <si>
    <t>hdsw5 CURNCY</t>
  </si>
  <si>
    <t>hdsw7 CURNCY</t>
  </si>
  <si>
    <t>hdsw10 CURNCY</t>
  </si>
  <si>
    <t>hdsw12 CURNCY</t>
  </si>
  <si>
    <t>hdsw15 CURNCY</t>
  </si>
  <si>
    <t>HKD</t>
  </si>
  <si>
    <t>Hong Kong Spot Rates Today</t>
  </si>
  <si>
    <t>Hong Kong Spot Rates</t>
  </si>
  <si>
    <t>#N/A N/A</t>
  </si>
  <si>
    <t>HK Observed Swap</t>
  </si>
  <si>
    <t>HK BMA Swap</t>
  </si>
  <si>
    <t>AUD Rates with Spread</t>
  </si>
  <si>
    <t>Gross Special Australian Spread First 10 Years (In basis points)</t>
  </si>
  <si>
    <t>Net Special Australian Spread After 10 Years (In basis points)</t>
  </si>
  <si>
    <t>Maximum Special Australian Spread (In basis points)</t>
  </si>
  <si>
    <t>Australia with Spread</t>
  </si>
  <si>
    <t>11/15/2028</t>
  </si>
  <si>
    <t>8/15/2025</t>
  </si>
  <si>
    <t>11/15/2026</t>
  </si>
  <si>
    <t>8/15/2027</t>
  </si>
  <si>
    <t>2/15/2029</t>
  </si>
  <si>
    <t>5/15/2030</t>
  </si>
  <si>
    <t>2/15/2031</t>
  </si>
  <si>
    <t>2/15/2036</t>
  </si>
  <si>
    <t>2/15/2037</t>
  </si>
  <si>
    <t>2/15/2038</t>
  </si>
  <si>
    <t>2/15/2039</t>
  </si>
  <si>
    <t>8/15/2040</t>
  </si>
  <si>
    <t>5/15/2041</t>
  </si>
  <si>
    <t>8/15/2042</t>
  </si>
  <si>
    <t>5/15/2043</t>
  </si>
  <si>
    <t>CT4 Govt</t>
  </si>
  <si>
    <t>8/15/2019</t>
  </si>
  <si>
    <t>7/4/2034</t>
  </si>
  <si>
    <t>7/4/2039</t>
  </si>
  <si>
    <t>8/15/2048</t>
  </si>
  <si>
    <t>3/25/2019</t>
  </si>
  <si>
    <t>6/24/2019</t>
  </si>
  <si>
    <t>7/22/2019</t>
  </si>
  <si>
    <t>7/22/2020</t>
  </si>
  <si>
    <t>1/22/2021</t>
  </si>
  <si>
    <t>7/22/2022</t>
  </si>
  <si>
    <t>7/22/2023</t>
  </si>
  <si>
    <t>9/7/2025</t>
  </si>
  <si>
    <t>7/22/2026</t>
  </si>
  <si>
    <t>7/22/2027</t>
  </si>
  <si>
    <t>10/22/2028</t>
  </si>
  <si>
    <t>12/7/2030</t>
  </si>
  <si>
    <t>9/7/2037</t>
  </si>
  <si>
    <t>7/22/2047</t>
  </si>
  <si>
    <t>7/6/2019</t>
  </si>
  <si>
    <t>7/6/2020</t>
  </si>
  <si>
    <t>4/28/2021</t>
  </si>
  <si>
    <t>5/25/2022</t>
  </si>
  <si>
    <t>2/11/2023</t>
  </si>
  <si>
    <t>6/11/2024</t>
  </si>
  <si>
    <t>7/24/2019</t>
  </si>
  <si>
    <t>7/24/2025</t>
  </si>
  <si>
    <t>5/28/2026</t>
  </si>
  <si>
    <t>6/27/2027</t>
  </si>
  <si>
    <t>4/8/2028</t>
  </si>
  <si>
    <t>4/8/2033</t>
  </si>
  <si>
    <t>6/27/2037</t>
  </si>
  <si>
    <t>1/6/2049</t>
  </si>
  <si>
    <t>6/1/2025</t>
  </si>
  <si>
    <t>6/1/2026</t>
  </si>
  <si>
    <t>6/1/2027</t>
  </si>
  <si>
    <t>6/1/2028</t>
  </si>
  <si>
    <t>6/1/2037</t>
  </si>
  <si>
    <t>12/1/2048</t>
  </si>
  <si>
    <t>6/10/2019</t>
  </si>
  <si>
    <t>5/15/2021</t>
  </si>
  <si>
    <t>4/21/2023</t>
  </si>
  <si>
    <t>4/21/2024</t>
  </si>
  <si>
    <t>4/21/2025</t>
  </si>
  <si>
    <t>4/21/2026</t>
  </si>
  <si>
    <t>4/21/2027</t>
  </si>
  <si>
    <t>6/21/2039</t>
  </si>
  <si>
    <t>NZGOVDT420C6 corp</t>
  </si>
  <si>
    <t>4/15/2020</t>
  </si>
  <si>
    <t>CTNZD2Y GOVT</t>
  </si>
  <si>
    <t>4/15/2025</t>
  </si>
  <si>
    <t>4/20/2029</t>
  </si>
  <si>
    <t>4/14/2033</t>
  </si>
  <si>
    <t>8/29/2022</t>
  </si>
  <si>
    <t>2/20/2019</t>
  </si>
  <si>
    <t>2/20/2023</t>
  </si>
  <si>
    <t>6/25/2018</t>
  </si>
  <si>
    <t>8/28/2023</t>
  </si>
  <si>
    <t>12/10/2018</t>
  </si>
  <si>
    <t>2/20/2024</t>
  </si>
  <si>
    <t>8/20/2024</t>
  </si>
  <si>
    <t>12/9/2019</t>
  </si>
  <si>
    <t>2/24/2025</t>
  </si>
  <si>
    <t>6/22/2020</t>
  </si>
  <si>
    <t>8/20/2025</t>
  </si>
  <si>
    <t>12/7/2020</t>
  </si>
  <si>
    <t>2/25/2026</t>
  </si>
  <si>
    <t>6/21/2021</t>
  </si>
  <si>
    <t>8/26/2026</t>
  </si>
  <si>
    <t>12/6/2021</t>
  </si>
  <si>
    <t>2/24/2027</t>
  </si>
  <si>
    <t>6/20/2022</t>
  </si>
  <si>
    <t>8/27/2027</t>
  </si>
  <si>
    <t>12/5/2022</t>
  </si>
  <si>
    <t>2/22/2028</t>
  </si>
  <si>
    <t>6/5/2023</t>
  </si>
  <si>
    <t>2/20/2020</t>
  </si>
  <si>
    <t>8/22/2028</t>
  </si>
  <si>
    <t>9/25/2018</t>
  </si>
  <si>
    <t>12/4/2023</t>
  </si>
  <si>
    <t>12/19/2018</t>
  </si>
  <si>
    <t>2/28/2029</t>
  </si>
  <si>
    <t>6/3/2024</t>
  </si>
  <si>
    <t>8/27/2029</t>
  </si>
  <si>
    <t>9/30/2019</t>
  </si>
  <si>
    <t>12/9/2024</t>
  </si>
  <si>
    <t>12/23/2019</t>
  </si>
  <si>
    <t>5/21/2018</t>
  </si>
  <si>
    <t>8/20/2018</t>
  </si>
  <si>
    <t>11/21/2018</t>
  </si>
  <si>
    <t>5/22/2019</t>
  </si>
  <si>
    <t>8/21/2019</t>
  </si>
  <si>
    <t>11/20/2019</t>
  </si>
  <si>
    <t>10/3/2019</t>
  </si>
  <si>
    <t>8/28/2019</t>
  </si>
  <si>
    <t>4/8/2022</t>
  </si>
  <si>
    <t>4/14/2023</t>
  </si>
  <si>
    <t>4/5/2020</t>
  </si>
  <si>
    <t>4/5/2024</t>
  </si>
  <si>
    <t>2/15/2020</t>
  </si>
  <si>
    <t>2/15/2025</t>
  </si>
  <si>
    <t>2/15/2026</t>
  </si>
  <si>
    <t>2/15/2027</t>
  </si>
  <si>
    <t>2/15/2028</t>
  </si>
  <si>
    <t>4/22/2024</t>
  </si>
  <si>
    <t>9/7/2019</t>
  </si>
  <si>
    <t>12/7/2027</t>
  </si>
  <si>
    <t>9/7/2034</t>
  </si>
  <si>
    <t>1/22/2044</t>
  </si>
  <si>
    <t>2/11/2020</t>
  </si>
  <si>
    <t>6/22/2029</t>
  </si>
  <si>
    <t>1/6/2020</t>
  </si>
  <si>
    <t>9/1/2019</t>
  </si>
  <si>
    <t>3/1/2023</t>
  </si>
  <si>
    <t>3/1/2024</t>
  </si>
  <si>
    <t>9/20/2019</t>
  </si>
  <si>
    <t>3/20/2022</t>
  </si>
  <si>
    <t>3/20/2023</t>
  </si>
  <si>
    <t>3/20/2025</t>
  </si>
  <si>
    <t>6/20/2026</t>
  </si>
  <si>
    <t>3/20/2027</t>
  </si>
  <si>
    <t>3/20/2028</t>
  </si>
  <si>
    <t>3/20/2029</t>
  </si>
  <si>
    <t>3/20/2034</t>
  </si>
  <si>
    <t>7/15/2019</t>
  </si>
  <si>
    <t>7/15/2022</t>
  </si>
  <si>
    <t>5/21/2028</t>
  </si>
  <si>
    <t>4/21/2029</t>
  </si>
  <si>
    <t>6/21/2035</t>
  </si>
  <si>
    <t>4/15/2027</t>
  </si>
  <si>
    <t>8/29/2019</t>
  </si>
  <si>
    <t>8/20/2019</t>
  </si>
  <si>
    <t>8/27/2019</t>
  </si>
  <si>
    <t>8/26/2019</t>
  </si>
  <si>
    <t>8/22/2019</t>
  </si>
  <si>
    <t>NZRTBDTJIOC6 Govt</t>
  </si>
  <si>
    <t>9/25/2019</t>
  </si>
  <si>
    <t>1/2/2020</t>
  </si>
  <si>
    <t>6/18/2020</t>
  </si>
  <si>
    <t>12/31/2019</t>
  </si>
  <si>
    <t>6/30/2021</t>
  </si>
  <si>
    <t>12/15/2019</t>
  </si>
  <si>
    <t>6/15/2022</t>
  </si>
  <si>
    <t>6/30/2023</t>
  </si>
  <si>
    <t>6/30/2024</t>
  </si>
  <si>
    <t>6/30/2026</t>
  </si>
  <si>
    <t>11/15/2019</t>
  </si>
  <si>
    <t>5/15/2029</t>
  </si>
  <si>
    <t>5/15/2039</t>
  </si>
  <si>
    <t>5/15/2049</t>
  </si>
  <si>
    <t>8/7/2019</t>
  </si>
  <si>
    <t>10/2/2019</t>
  </si>
  <si>
    <t>6/17/2020</t>
  </si>
  <si>
    <t>6/11/2020</t>
  </si>
  <si>
    <t>6/11/2021</t>
  </si>
  <si>
    <t>4/8/2020</t>
  </si>
  <si>
    <t>4/14/2020</t>
  </si>
  <si>
    <t>7/4/2020</t>
  </si>
  <si>
    <t>7/29/2019</t>
  </si>
  <si>
    <t>12/30/2019</t>
  </si>
  <si>
    <t>10/22/2019</t>
  </si>
  <si>
    <t>12/7/2019</t>
  </si>
  <si>
    <t>4/28/2020</t>
  </si>
  <si>
    <t>5/25/2020</t>
  </si>
  <si>
    <t>5/28/2020</t>
  </si>
  <si>
    <t>6/27/2020</t>
  </si>
  <si>
    <t>12/27/2019</t>
  </si>
  <si>
    <t>6/25/2020</t>
  </si>
  <si>
    <t>11/1/2019</t>
  </si>
  <si>
    <t>5/1/2021</t>
  </si>
  <si>
    <t>9/1/2022</t>
  </si>
  <si>
    <t>12/1/2019</t>
  </si>
  <si>
    <t>6/1/2029</t>
  </si>
  <si>
    <t>12/10/2019</t>
  </si>
  <si>
    <t>1/1/2020</t>
  </si>
  <si>
    <t>7/1/2020</t>
  </si>
  <si>
    <t>7/1/2021</t>
  </si>
  <si>
    <t>3/20/2024</t>
  </si>
  <si>
    <t>12/20/2019</t>
  </si>
  <si>
    <t>3/20/2039</t>
  </si>
  <si>
    <t>3/20/2049</t>
  </si>
  <si>
    <t>10/15/2019</t>
  </si>
  <si>
    <t>10/21/2019</t>
  </si>
  <si>
    <t>11/21/2019</t>
  </si>
  <si>
    <t>12/21/2019</t>
  </si>
  <si>
    <t>10/20/2019</t>
  </si>
  <si>
    <t>10/14/2019</t>
  </si>
  <si>
    <t>12/6/2019</t>
  </si>
  <si>
    <t>12/5/2019</t>
  </si>
  <si>
    <t>12/19/2019</t>
  </si>
  <si>
    <t>12/4/2019</t>
  </si>
  <si>
    <t>12/2/2019</t>
  </si>
  <si>
    <t>12/3/2019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</si>
</sst>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3" formatCode="_(* #,##0.00_);_(* \(#,##0.00\);_(* &quot;-&quot;??_);_(@_)"/>
    <numFmt numFmtId="164" formatCode="0.0000"/>
    <numFmt numFmtId="165" formatCode="0.0000000000000"/>
    <numFmt numFmtId="166" formatCode="0.00000000"/>
    <numFmt numFmtId="167" formatCode="0.0"/>
    <numFmt numFmtId="168" formatCode="0.00000"/>
    <numFmt numFmtId="169" formatCode="0.0000000"/>
    <numFmt numFmtId="170" formatCode="0.000"/>
    <numFmt numFmtId="171" formatCode="0.000000"/>
    <numFmt numFmtId="172" formatCode="_-* #,##0.00_-;\-* #,##0.00_-;_-* &quot;-&quot;??_-;_-@_-"/>
    <numFmt numFmtId="173" formatCode="0.00000%"/>
    <numFmt numFmtId="174" formatCode="_-* #,##0.0000_-;\-* #,##0.0000_-;_-* &quot;-&quot;??_-;_-@_-"/>
  </numFmts>
  <fonts count="33">
    <font>
      <sz val="10"/>
      <name val="Arial Greek"/>
      <charset val="16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Greek"/>
      <family val="2"/>
      <charset val="161"/>
    </font>
    <font>
      <sz val="8"/>
      <name val="Tahoma"/>
      <family val="2"/>
    </font>
    <font>
      <sz val="10"/>
      <name val="Arial"/>
      <family val="2"/>
    </font>
    <font>
      <sz val="10"/>
      <name val="Times New Roman"/>
      <family val="1"/>
    </font>
    <font>
      <sz val="11"/>
      <color indexed="8"/>
      <name val="Calibri"/>
      <family val="2"/>
    </font>
    <font>
      <sz val="10"/>
      <color theme="1"/>
      <name val="Calibri"/>
      <family val="2"/>
      <scheme val="minor"/>
    </font>
    <font>
      <sz val="8"/>
      <color indexed="81"/>
      <name val="Tahoma"/>
      <family val="2"/>
    </font>
    <font>
      <b/>
      <sz val="8"/>
      <color indexed="81"/>
      <name val="Tahoma"/>
      <family val="2"/>
    </font>
    <font>
      <u/>
      <sz val="10"/>
      <color indexed="12"/>
      <name val="Arial"/>
      <family val="2"/>
    </font>
    <font>
      <sz val="10"/>
      <color rgb="FFFF0000"/>
      <name val="Arial Greek"/>
      <charset val="161"/>
    </font>
    <font>
      <sz val="10"/>
      <color rgb="FFFFFF00"/>
      <name val="Arial Greek"/>
      <charset val="161"/>
    </font>
    <font>
      <sz val="10"/>
      <color rgb="FFFFFF00"/>
      <name val="Arial"/>
      <family val="2"/>
    </font>
    <font>
      <b/>
      <sz val="10"/>
      <color theme="0"/>
      <name val="Arial Greek"/>
    </font>
    <font>
      <b/>
      <u/>
      <sz val="10"/>
      <name val="Arial"/>
      <family val="2"/>
    </font>
    <font>
      <b/>
      <sz val="10"/>
      <name val="Arial"/>
      <family val="2"/>
    </font>
    <font>
      <sz val="11"/>
      <color theme="1"/>
      <name val="Calibri"/>
      <family val="2"/>
    </font>
    <font>
      <sz val="10"/>
      <name val="Arial Greek"/>
      <charset val="161"/>
    </font>
    <font>
      <b/>
      <sz val="10"/>
      <name val="Arial Greek"/>
    </font>
    <font>
      <b/>
      <sz val="10"/>
      <color rgb="FFFF0000"/>
      <name val="Arial Greek"/>
    </font>
    <font>
      <sz val="10"/>
      <name val="Arial Unicode MS"/>
      <family val="2"/>
    </font>
  </fonts>
  <fills count="38">
    <fill>
      <patternFill patternType="none"/>
    </fill>
    <fill>
      <patternFill patternType="gray125"/>
    </fill>
    <fill>
      <patternFill patternType="solid">
        <fgColor indexed="44"/>
        <bgColor indexed="64"/>
      </patternFill>
    </fill>
    <fill>
      <patternFill patternType="solid">
        <fgColor theme="9" tint="0.59996337778862885"/>
        <bgColor indexed="64"/>
      </patternFill>
    </fill>
    <fill>
      <patternFill patternType="solid">
        <fgColor theme="3" tint="0.59996337778862885"/>
        <bgColor indexed="64"/>
      </patternFill>
    </fill>
    <fill>
      <patternFill patternType="solid">
        <fgColor theme="8"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9" tint="0.79998168889431442"/>
        <bgColor indexed="64"/>
      </patternFill>
    </fill>
    <fill>
      <patternFill patternType="solid">
        <fgColor theme="9" tint="0.3999450666829432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7" tint="0.59996337778862885"/>
        <bgColor indexed="64"/>
      </patternFill>
    </fill>
    <fill>
      <patternFill patternType="solid">
        <fgColor theme="5" tint="0.79998168889431442"/>
        <bgColor indexed="64"/>
      </patternFill>
    </fill>
    <fill>
      <patternFill patternType="solid">
        <fgColor theme="5" tint="0.39994506668294322"/>
        <bgColor indexed="64"/>
      </patternFill>
    </fill>
    <fill>
      <patternFill patternType="solid">
        <fgColor theme="2" tint="-9.9948118533890809E-2"/>
        <bgColor indexed="64"/>
      </patternFill>
    </fill>
    <fill>
      <patternFill patternType="solid">
        <fgColor theme="2" tint="-0.24994659260841701"/>
        <bgColor indexed="64"/>
      </patternFill>
    </fill>
    <fill>
      <patternFill patternType="solid">
        <fgColor rgb="FF92D050"/>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rgb="FFFFFF66"/>
        <bgColor indexed="64"/>
      </patternFill>
    </fill>
    <fill>
      <patternFill patternType="solid">
        <fgColor rgb="FF00FFFF"/>
        <bgColor indexed="64"/>
      </patternFill>
    </fill>
    <fill>
      <patternFill patternType="solid">
        <fgColor rgb="FFCCFFFF"/>
        <bgColor indexed="64"/>
      </patternFill>
    </fill>
    <fill>
      <patternFill patternType="solid">
        <fgColor theme="0" tint="-0.14996795556505021"/>
        <bgColor indexed="64"/>
      </patternFill>
    </fill>
    <fill>
      <patternFill patternType="solid">
        <fgColor theme="4" tint="0.59996337778862885"/>
        <bgColor indexed="64"/>
      </patternFill>
    </fill>
    <fill>
      <patternFill patternType="solid">
        <fgColor theme="0"/>
        <bgColor indexed="64"/>
      </patternFill>
    </fill>
    <fill>
      <patternFill patternType="solid">
        <fgColor theme="3"/>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indexed="41"/>
        <bgColor indexed="64"/>
      </patternFill>
    </fill>
    <fill>
      <patternFill patternType="solid">
        <fgColor theme="5" tint="0.39997558519241921"/>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theme="0" tint="-4.9989318521683403E-2"/>
        <bgColor indexed="64"/>
      </patternFill>
    </fill>
  </fills>
  <borders count="38">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double">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double">
        <color auto="1"/>
      </top>
      <bottom style="thin">
        <color auto="1"/>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auto="1"/>
      </right>
      <top/>
      <bottom/>
      <diagonal/>
    </border>
    <border>
      <left style="medium">
        <color indexed="64"/>
      </left>
      <right/>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auto="1"/>
      </top>
      <bottom style="double">
        <color auto="1"/>
      </bottom>
      <diagonal/>
    </border>
    <border>
      <left/>
      <right/>
      <top style="double">
        <color auto="1"/>
      </top>
      <bottom/>
      <diagonal/>
    </border>
  </borders>
  <cellStyleXfs count="34">
    <xf numFmtId="0" fontId="0" fillId="0" borderId="0"/>
    <xf numFmtId="0" fontId="12" fillId="0" borderId="0"/>
    <xf numFmtId="43" fontId="17" fillId="0" borderId="0" applyFont="0" applyFill="0" applyBorder="0" applyAlignment="0" applyProtection="0"/>
    <xf numFmtId="0" fontId="14" fillId="0" borderId="0"/>
    <xf numFmtId="0" fontId="15" fillId="0" borderId="0"/>
    <xf numFmtId="0" fontId="16" fillId="0" borderId="0"/>
    <xf numFmtId="0" fontId="16" fillId="0" borderId="0"/>
    <xf numFmtId="9" fontId="17" fillId="0" borderId="0" applyFont="0" applyFill="0" applyBorder="0" applyAlignment="0" applyProtection="0"/>
    <xf numFmtId="0" fontId="11" fillId="0" borderId="0"/>
    <xf numFmtId="0" fontId="10" fillId="0" borderId="0"/>
    <xf numFmtId="0" fontId="9" fillId="0" borderId="0"/>
    <xf numFmtId="0" fontId="8" fillId="0" borderId="0"/>
    <xf numFmtId="0" fontId="8" fillId="0" borderId="0"/>
    <xf numFmtId="0" fontId="14" fillId="0" borderId="0"/>
    <xf numFmtId="0" fontId="14" fillId="0" borderId="0"/>
    <xf numFmtId="0" fontId="7" fillId="0" borderId="0"/>
    <xf numFmtId="0" fontId="8" fillId="0" borderId="0"/>
    <xf numFmtId="0" fontId="8" fillId="0" borderId="0"/>
    <xf numFmtId="0" fontId="8" fillId="0" borderId="0"/>
    <xf numFmtId="0" fontId="21" fillId="0" borderId="0" applyNumberFormat="0" applyFill="0" applyBorder="0" applyAlignment="0" applyProtection="0">
      <alignment vertical="top"/>
      <protection locked="0"/>
    </xf>
    <xf numFmtId="0" fontId="8" fillId="0" borderId="0"/>
    <xf numFmtId="0" fontId="8" fillId="0" borderId="0"/>
    <xf numFmtId="0" fontId="6" fillId="0" borderId="0"/>
    <xf numFmtId="9" fontId="15" fillId="0" borderId="0" applyFont="0" applyFill="0" applyBorder="0" applyAlignment="0" applyProtection="0"/>
    <xf numFmtId="172" fontId="15" fillId="0" borderId="0" applyFont="0" applyFill="0" applyBorder="0" applyAlignment="0" applyProtection="0"/>
    <xf numFmtId="172" fontId="8" fillId="0" borderId="0" applyFont="0" applyFill="0" applyBorder="0" applyAlignment="0" applyProtection="0"/>
    <xf numFmtId="172" fontId="28" fillId="0" borderId="0" applyFont="0" applyFill="0" applyBorder="0" applyAlignment="0" applyProtection="0"/>
    <xf numFmtId="9" fontId="28" fillId="0" borderId="0" applyFont="0" applyFill="0" applyBorder="0" applyAlignment="0" applyProtection="0"/>
    <xf numFmtId="9" fontId="29" fillId="0" borderId="0" applyFont="0" applyFill="0" applyBorder="0" applyAlignment="0" applyProtection="0"/>
    <xf numFmtId="0" fontId="5" fillId="0" borderId="0"/>
    <xf numFmtId="0" fontId="5" fillId="0" borderId="0"/>
    <xf numFmtId="43" fontId="29" fillId="0" borderId="0" applyFont="0" applyFill="0" applyBorder="0" applyAlignment="0" applyProtection="0"/>
    <xf numFmtId="0" fontId="3" fillId="0" borderId="0"/>
    <xf numFmtId="0" fontId="2" fillId="0" borderId="0"/>
  </cellStyleXfs>
  <cellXfs count="709">
    <xf numFmtId="0" fontId="0" fillId="0" borderId="0" xfId="0"/>
    <xf numFmtId="0" fontId="13" fillId="0" borderId="0" xfId="0" applyFont="1" applyBorder="1" applyAlignment="1">
      <alignment horizontal="center"/>
    </xf>
    <xf numFmtId="0" fontId="13" fillId="0" borderId="0" xfId="0" applyFont="1" applyFill="1" applyBorder="1" applyAlignment="1">
      <alignment horizontal="center"/>
    </xf>
    <xf numFmtId="2" fontId="13" fillId="0" borderId="0" xfId="0" applyNumberFormat="1" applyFont="1" applyFill="1" applyBorder="1"/>
    <xf numFmtId="0" fontId="0" fillId="0" borderId="0" xfId="0" applyBorder="1"/>
    <xf numFmtId="2" fontId="0" fillId="0" borderId="0" xfId="0" applyNumberFormat="1" applyBorder="1"/>
    <xf numFmtId="0" fontId="0" fillId="0" borderId="0" xfId="0" applyFill="1" applyBorder="1"/>
    <xf numFmtId="2" fontId="0" fillId="0" borderId="0" xfId="0" applyNumberFormat="1" applyFill="1" applyBorder="1"/>
    <xf numFmtId="2" fontId="13" fillId="0" borderId="0" xfId="0" applyNumberFormat="1" applyFont="1" applyBorder="1"/>
    <xf numFmtId="0" fontId="13" fillId="0" borderId="0" xfId="0" applyFont="1" applyBorder="1"/>
    <xf numFmtId="0" fontId="13" fillId="0" borderId="0" xfId="0" applyFont="1" applyFill="1" applyBorder="1"/>
    <xf numFmtId="165" fontId="0" fillId="0" borderId="0" xfId="0" applyNumberFormat="1" applyBorder="1"/>
    <xf numFmtId="166" fontId="0" fillId="0" borderId="0" xfId="0" applyNumberFormat="1" applyFill="1" applyBorder="1"/>
    <xf numFmtId="0" fontId="0" fillId="6" borderId="0" xfId="0" applyFill="1" applyBorder="1"/>
    <xf numFmtId="0" fontId="0" fillId="7" borderId="0" xfId="0" applyFill="1" applyBorder="1"/>
    <xf numFmtId="14" fontId="0" fillId="7" borderId="0" xfId="0" applyNumberFormat="1" applyFill="1" applyBorder="1"/>
    <xf numFmtId="164" fontId="13" fillId="3" borderId="0" xfId="0" applyNumberFormat="1" applyFont="1" applyFill="1" applyBorder="1"/>
    <xf numFmtId="164" fontId="0" fillId="0" borderId="0" xfId="0" applyNumberFormat="1" applyBorder="1"/>
    <xf numFmtId="164" fontId="0" fillId="3" borderId="0" xfId="0" applyNumberFormat="1" applyFill="1" applyBorder="1"/>
    <xf numFmtId="164" fontId="0" fillId="0" borderId="0" xfId="0" applyNumberFormat="1" applyFill="1" applyBorder="1"/>
    <xf numFmtId="164" fontId="13" fillId="0" borderId="0" xfId="0" applyNumberFormat="1" applyFont="1" applyFill="1" applyBorder="1" applyAlignment="1">
      <alignment horizontal="center"/>
    </xf>
    <xf numFmtId="164" fontId="0" fillId="2" borderId="0" xfId="0" applyNumberFormat="1" applyFill="1" applyBorder="1"/>
    <xf numFmtId="14" fontId="0" fillId="0" borderId="0" xfId="0" applyNumberFormat="1" applyFill="1" applyBorder="1"/>
    <xf numFmtId="2" fontId="13" fillId="10" borderId="0" xfId="0" applyNumberFormat="1" applyFont="1" applyFill="1" applyBorder="1"/>
    <xf numFmtId="14" fontId="13" fillId="8" borderId="4" xfId="0" applyNumberFormat="1" applyFont="1" applyFill="1" applyBorder="1" applyAlignment="1">
      <alignment horizontal="right"/>
    </xf>
    <xf numFmtId="14" fontId="13" fillId="8" borderId="5" xfId="0" applyNumberFormat="1" applyFont="1" applyFill="1" applyBorder="1" applyAlignment="1">
      <alignment horizontal="right"/>
    </xf>
    <xf numFmtId="2" fontId="13" fillId="8" borderId="6" xfId="0" applyNumberFormat="1" applyFont="1" applyFill="1" applyBorder="1" applyAlignment="1">
      <alignment horizontal="right"/>
    </xf>
    <xf numFmtId="2" fontId="13" fillId="8" borderId="7" xfId="0" applyNumberFormat="1" applyFont="1" applyFill="1" applyBorder="1" applyAlignment="1">
      <alignment horizontal="right"/>
    </xf>
    <xf numFmtId="14" fontId="13" fillId="3" borderId="4" xfId="0" applyNumberFormat="1" applyFont="1" applyFill="1" applyBorder="1" applyAlignment="1">
      <alignment horizontal="right"/>
    </xf>
    <xf numFmtId="14" fontId="13" fillId="3" borderId="5" xfId="0" applyNumberFormat="1" applyFont="1" applyFill="1" applyBorder="1" applyAlignment="1">
      <alignment horizontal="right"/>
    </xf>
    <xf numFmtId="2" fontId="13" fillId="3" borderId="3" xfId="0" applyNumberFormat="1" applyFont="1" applyFill="1" applyBorder="1" applyAlignment="1">
      <alignment horizontal="right"/>
    </xf>
    <xf numFmtId="2" fontId="13" fillId="3" borderId="6" xfId="0" applyNumberFormat="1" applyFont="1" applyFill="1" applyBorder="1" applyAlignment="1">
      <alignment horizontal="right"/>
    </xf>
    <xf numFmtId="2" fontId="13" fillId="3" borderId="7" xfId="0" applyNumberFormat="1" applyFont="1" applyFill="1" applyBorder="1" applyAlignment="1">
      <alignment horizontal="right"/>
    </xf>
    <xf numFmtId="14" fontId="13" fillId="9" borderId="4" xfId="0" applyNumberFormat="1" applyFont="1" applyFill="1" applyBorder="1" applyAlignment="1">
      <alignment horizontal="right"/>
    </xf>
    <xf numFmtId="14" fontId="13" fillId="9" borderId="5" xfId="0" applyNumberFormat="1" applyFont="1" applyFill="1" applyBorder="1" applyAlignment="1">
      <alignment horizontal="right"/>
    </xf>
    <xf numFmtId="2" fontId="13" fillId="9" borderId="6" xfId="0" applyNumberFormat="1" applyFont="1" applyFill="1" applyBorder="1" applyAlignment="1">
      <alignment horizontal="right"/>
    </xf>
    <xf numFmtId="2" fontId="13" fillId="9" borderId="7" xfId="0" applyNumberFormat="1" applyFont="1" applyFill="1" applyBorder="1" applyAlignment="1">
      <alignment horizontal="right"/>
    </xf>
    <xf numFmtId="14" fontId="13" fillId="10" borderId="1" xfId="0" applyNumberFormat="1" applyFont="1" applyFill="1" applyBorder="1" applyAlignment="1">
      <alignment horizontal="right"/>
    </xf>
    <xf numFmtId="14" fontId="13" fillId="10" borderId="4" xfId="0" applyNumberFormat="1" applyFont="1" applyFill="1" applyBorder="1" applyAlignment="1">
      <alignment horizontal="right"/>
    </xf>
    <xf numFmtId="14" fontId="13" fillId="10" borderId="5" xfId="0" applyNumberFormat="1" applyFont="1" applyFill="1" applyBorder="1" applyAlignment="1">
      <alignment horizontal="right"/>
    </xf>
    <xf numFmtId="2" fontId="13" fillId="10" borderId="6" xfId="0" applyNumberFormat="1" applyFont="1" applyFill="1" applyBorder="1" applyAlignment="1">
      <alignment horizontal="right"/>
    </xf>
    <xf numFmtId="2" fontId="13" fillId="10" borderId="7" xfId="0" applyNumberFormat="1" applyFont="1" applyFill="1" applyBorder="1" applyAlignment="1">
      <alignment horizontal="right"/>
    </xf>
    <xf numFmtId="14" fontId="13" fillId="5" borderId="2" xfId="0" applyNumberFormat="1" applyFont="1" applyFill="1" applyBorder="1" applyAlignment="1">
      <alignment horizontal="right"/>
    </xf>
    <xf numFmtId="14" fontId="13" fillId="5" borderId="0" xfId="0" applyNumberFormat="1" applyFont="1" applyFill="1" applyBorder="1" applyAlignment="1">
      <alignment horizontal="right"/>
    </xf>
    <xf numFmtId="14" fontId="13" fillId="5" borderId="8" xfId="0" applyNumberFormat="1" applyFont="1" applyFill="1" applyBorder="1" applyAlignment="1">
      <alignment horizontal="right"/>
    </xf>
    <xf numFmtId="2" fontId="13" fillId="5" borderId="6" xfId="0" applyNumberFormat="1" applyFont="1" applyFill="1" applyBorder="1" applyAlignment="1">
      <alignment horizontal="right"/>
    </xf>
    <xf numFmtId="2" fontId="13" fillId="5" borderId="7" xfId="0" applyNumberFormat="1" applyFont="1" applyFill="1" applyBorder="1" applyAlignment="1">
      <alignment horizontal="right"/>
    </xf>
    <xf numFmtId="14" fontId="13" fillId="11" borderId="1" xfId="0" applyNumberFormat="1" applyFont="1" applyFill="1" applyBorder="1" applyAlignment="1">
      <alignment horizontal="right"/>
    </xf>
    <xf numFmtId="14" fontId="13" fillId="11" borderId="4" xfId="0" applyNumberFormat="1" applyFont="1" applyFill="1" applyBorder="1" applyAlignment="1">
      <alignment horizontal="right"/>
    </xf>
    <xf numFmtId="14" fontId="13" fillId="11" borderId="5" xfId="0" applyNumberFormat="1" applyFont="1" applyFill="1" applyBorder="1" applyAlignment="1">
      <alignment horizontal="right"/>
    </xf>
    <xf numFmtId="2" fontId="13" fillId="11" borderId="6" xfId="0" applyNumberFormat="1" applyFont="1" applyFill="1" applyBorder="1" applyAlignment="1">
      <alignment horizontal="right"/>
    </xf>
    <xf numFmtId="2" fontId="13" fillId="11" borderId="7" xfId="0" applyNumberFormat="1" applyFont="1" applyFill="1" applyBorder="1" applyAlignment="1">
      <alignment horizontal="right"/>
    </xf>
    <xf numFmtId="14" fontId="13" fillId="12" borderId="2" xfId="0" applyNumberFormat="1" applyFont="1" applyFill="1" applyBorder="1" applyAlignment="1">
      <alignment horizontal="right"/>
    </xf>
    <xf numFmtId="14" fontId="13" fillId="12" borderId="0" xfId="0" applyNumberFormat="1" applyFont="1" applyFill="1" applyBorder="1" applyAlignment="1">
      <alignment horizontal="right"/>
    </xf>
    <xf numFmtId="14" fontId="13" fillId="12" borderId="8" xfId="0" applyNumberFormat="1" applyFont="1" applyFill="1" applyBorder="1" applyAlignment="1">
      <alignment horizontal="right"/>
    </xf>
    <xf numFmtId="2" fontId="13" fillId="12" borderId="6" xfId="0" applyNumberFormat="1" applyFont="1" applyFill="1" applyBorder="1" applyAlignment="1">
      <alignment horizontal="right"/>
    </xf>
    <xf numFmtId="2" fontId="13" fillId="12" borderId="7" xfId="0" applyNumberFormat="1" applyFont="1" applyFill="1" applyBorder="1" applyAlignment="1">
      <alignment horizontal="right"/>
    </xf>
    <xf numFmtId="14" fontId="13" fillId="13" borderId="1" xfId="0" applyNumberFormat="1" applyFont="1" applyFill="1" applyBorder="1" applyAlignment="1">
      <alignment horizontal="right"/>
    </xf>
    <xf numFmtId="14" fontId="13" fillId="13" borderId="4" xfId="0" applyNumberFormat="1" applyFont="1" applyFill="1" applyBorder="1" applyAlignment="1">
      <alignment horizontal="right"/>
    </xf>
    <xf numFmtId="14" fontId="13" fillId="13" borderId="5" xfId="0" applyNumberFormat="1" applyFont="1" applyFill="1" applyBorder="1" applyAlignment="1">
      <alignment horizontal="right"/>
    </xf>
    <xf numFmtId="2" fontId="13" fillId="13" borderId="6" xfId="0" applyNumberFormat="1" applyFont="1" applyFill="1" applyBorder="1" applyAlignment="1">
      <alignment horizontal="right"/>
    </xf>
    <xf numFmtId="2" fontId="13" fillId="13" borderId="7" xfId="0" applyNumberFormat="1" applyFont="1" applyFill="1" applyBorder="1" applyAlignment="1">
      <alignment horizontal="right"/>
    </xf>
    <xf numFmtId="14" fontId="13" fillId="6" borderId="1" xfId="0" applyNumberFormat="1" applyFont="1" applyFill="1" applyBorder="1" applyAlignment="1">
      <alignment horizontal="right"/>
    </xf>
    <xf numFmtId="14" fontId="13" fillId="6" borderId="4" xfId="0" applyNumberFormat="1" applyFont="1" applyFill="1" applyBorder="1" applyAlignment="1">
      <alignment horizontal="right"/>
    </xf>
    <xf numFmtId="14" fontId="13" fillId="6" borderId="5" xfId="0" applyNumberFormat="1" applyFont="1" applyFill="1" applyBorder="1" applyAlignment="1">
      <alignment horizontal="right"/>
    </xf>
    <xf numFmtId="14" fontId="13" fillId="14" borderId="2" xfId="0" applyNumberFormat="1" applyFont="1" applyFill="1" applyBorder="1" applyAlignment="1">
      <alignment horizontal="right"/>
    </xf>
    <xf numFmtId="14" fontId="13" fillId="14" borderId="0" xfId="0" applyNumberFormat="1" applyFont="1" applyFill="1" applyBorder="1" applyAlignment="1">
      <alignment horizontal="right"/>
    </xf>
    <xf numFmtId="14" fontId="13" fillId="14" borderId="8" xfId="0" applyNumberFormat="1" applyFont="1" applyFill="1" applyBorder="1" applyAlignment="1">
      <alignment horizontal="right"/>
    </xf>
    <xf numFmtId="2" fontId="13" fillId="14" borderId="6" xfId="0" applyNumberFormat="1" applyFont="1" applyFill="1" applyBorder="1" applyAlignment="1">
      <alignment horizontal="right"/>
    </xf>
    <xf numFmtId="2" fontId="13" fillId="14" borderId="7" xfId="0" applyNumberFormat="1" applyFont="1" applyFill="1" applyBorder="1" applyAlignment="1">
      <alignment horizontal="right"/>
    </xf>
    <xf numFmtId="14" fontId="13" fillId="20" borderId="4" xfId="0" applyNumberFormat="1" applyFont="1" applyFill="1" applyBorder="1" applyAlignment="1">
      <alignment horizontal="right"/>
    </xf>
    <xf numFmtId="14" fontId="13" fillId="20" borderId="5" xfId="0" applyNumberFormat="1" applyFont="1" applyFill="1" applyBorder="1" applyAlignment="1">
      <alignment horizontal="right"/>
    </xf>
    <xf numFmtId="2" fontId="13" fillId="20" borderId="6" xfId="0" applyNumberFormat="1" applyFont="1" applyFill="1" applyBorder="1" applyAlignment="1">
      <alignment horizontal="right"/>
    </xf>
    <xf numFmtId="2" fontId="13" fillId="20" borderId="7" xfId="0" applyNumberFormat="1" applyFont="1" applyFill="1" applyBorder="1" applyAlignment="1">
      <alignment horizontal="right"/>
    </xf>
    <xf numFmtId="14" fontId="13" fillId="4" borderId="1" xfId="0" applyNumberFormat="1" applyFont="1" applyFill="1" applyBorder="1" applyAlignment="1">
      <alignment horizontal="right"/>
    </xf>
    <xf numFmtId="14" fontId="13" fillId="4" borderId="4" xfId="0" applyNumberFormat="1" applyFont="1" applyFill="1" applyBorder="1" applyAlignment="1">
      <alignment horizontal="right"/>
    </xf>
    <xf numFmtId="14" fontId="13" fillId="4" borderId="5" xfId="0" applyNumberFormat="1" applyFont="1" applyFill="1" applyBorder="1" applyAlignment="1">
      <alignment horizontal="right"/>
    </xf>
    <xf numFmtId="2" fontId="13" fillId="4" borderId="6" xfId="0" applyNumberFormat="1" applyFont="1" applyFill="1" applyBorder="1" applyAlignment="1">
      <alignment horizontal="right"/>
    </xf>
    <xf numFmtId="2" fontId="13" fillId="4" borderId="7" xfId="0" applyNumberFormat="1" applyFont="1" applyFill="1" applyBorder="1" applyAlignment="1">
      <alignment horizontal="right"/>
    </xf>
    <xf numFmtId="14" fontId="13" fillId="15" borderId="1" xfId="0" applyNumberFormat="1" applyFont="1" applyFill="1" applyBorder="1" applyAlignment="1">
      <alignment horizontal="right"/>
    </xf>
    <xf numFmtId="14" fontId="13" fillId="15" borderId="4" xfId="0" applyNumberFormat="1" applyFont="1" applyFill="1" applyBorder="1" applyAlignment="1">
      <alignment horizontal="right"/>
    </xf>
    <xf numFmtId="14" fontId="13" fillId="15" borderId="5" xfId="0" applyNumberFormat="1" applyFont="1" applyFill="1" applyBorder="1" applyAlignment="1">
      <alignment horizontal="right"/>
    </xf>
    <xf numFmtId="2" fontId="13" fillId="15" borderId="6" xfId="0" applyNumberFormat="1" applyFont="1" applyFill="1" applyBorder="1" applyAlignment="1">
      <alignment horizontal="right"/>
    </xf>
    <xf numFmtId="2" fontId="13" fillId="15" borderId="7" xfId="0" applyNumberFormat="1" applyFont="1" applyFill="1" applyBorder="1" applyAlignment="1">
      <alignment horizontal="right"/>
    </xf>
    <xf numFmtId="14" fontId="13" fillId="16" borderId="1" xfId="0" applyNumberFormat="1" applyFont="1" applyFill="1" applyBorder="1" applyAlignment="1">
      <alignment horizontal="right"/>
    </xf>
    <xf numFmtId="14" fontId="13" fillId="16" borderId="4" xfId="0" applyNumberFormat="1" applyFont="1" applyFill="1" applyBorder="1" applyAlignment="1">
      <alignment horizontal="right"/>
    </xf>
    <xf numFmtId="14" fontId="13" fillId="16" borderId="5" xfId="0" applyNumberFormat="1" applyFont="1" applyFill="1" applyBorder="1" applyAlignment="1">
      <alignment horizontal="right"/>
    </xf>
    <xf numFmtId="2" fontId="13" fillId="16" borderId="6" xfId="0" applyNumberFormat="1" applyFont="1" applyFill="1" applyBorder="1" applyAlignment="1">
      <alignment horizontal="right"/>
    </xf>
    <xf numFmtId="2" fontId="13" fillId="16" borderId="7" xfId="0" applyNumberFormat="1" applyFont="1" applyFill="1" applyBorder="1" applyAlignment="1">
      <alignment horizontal="right"/>
    </xf>
    <xf numFmtId="14" fontId="13" fillId="17" borderId="1" xfId="0" applyNumberFormat="1" applyFont="1" applyFill="1" applyBorder="1" applyAlignment="1">
      <alignment horizontal="right"/>
    </xf>
    <xf numFmtId="14" fontId="13" fillId="17" borderId="4" xfId="0" applyNumberFormat="1" applyFont="1" applyFill="1" applyBorder="1" applyAlignment="1">
      <alignment horizontal="right"/>
    </xf>
    <xf numFmtId="14" fontId="13" fillId="17" borderId="5" xfId="0" applyNumberFormat="1" applyFont="1" applyFill="1" applyBorder="1" applyAlignment="1">
      <alignment horizontal="right"/>
    </xf>
    <xf numFmtId="2" fontId="13" fillId="17" borderId="6" xfId="0" applyNumberFormat="1" applyFont="1" applyFill="1" applyBorder="1" applyAlignment="1">
      <alignment horizontal="right"/>
    </xf>
    <xf numFmtId="2" fontId="13" fillId="17" borderId="7" xfId="0" applyNumberFormat="1" applyFont="1" applyFill="1" applyBorder="1" applyAlignment="1">
      <alignment horizontal="right"/>
    </xf>
    <xf numFmtId="14" fontId="13" fillId="18" borderId="1" xfId="0" applyNumberFormat="1" applyFont="1" applyFill="1" applyBorder="1" applyAlignment="1">
      <alignment horizontal="right"/>
    </xf>
    <xf numFmtId="14" fontId="13" fillId="18" borderId="4" xfId="0" applyNumberFormat="1" applyFont="1" applyFill="1" applyBorder="1" applyAlignment="1">
      <alignment horizontal="right"/>
    </xf>
    <xf numFmtId="14" fontId="13" fillId="18" borderId="5" xfId="0" applyNumberFormat="1" applyFont="1" applyFill="1" applyBorder="1" applyAlignment="1">
      <alignment horizontal="right"/>
    </xf>
    <xf numFmtId="2" fontId="13" fillId="18" borderId="6" xfId="0" applyNumberFormat="1" applyFont="1" applyFill="1" applyBorder="1" applyAlignment="1">
      <alignment horizontal="right"/>
    </xf>
    <xf numFmtId="2" fontId="13" fillId="18" borderId="7" xfId="0" applyNumberFormat="1" applyFont="1" applyFill="1" applyBorder="1" applyAlignment="1">
      <alignment horizontal="right"/>
    </xf>
    <xf numFmtId="14" fontId="13" fillId="19" borderId="2" xfId="0" applyNumberFormat="1" applyFont="1" applyFill="1" applyBorder="1" applyAlignment="1">
      <alignment horizontal="right"/>
    </xf>
    <xf numFmtId="14" fontId="13" fillId="19" borderId="0" xfId="0" applyNumberFormat="1" applyFont="1" applyFill="1" applyBorder="1" applyAlignment="1">
      <alignment horizontal="right"/>
    </xf>
    <xf numFmtId="14" fontId="13" fillId="19" borderId="8" xfId="0" applyNumberFormat="1" applyFont="1" applyFill="1" applyBorder="1" applyAlignment="1">
      <alignment horizontal="right"/>
    </xf>
    <xf numFmtId="2" fontId="13" fillId="19" borderId="6" xfId="0" applyNumberFormat="1" applyFont="1" applyFill="1" applyBorder="1" applyAlignment="1">
      <alignment horizontal="right"/>
    </xf>
    <xf numFmtId="2" fontId="13" fillId="19" borderId="7" xfId="0" applyNumberFormat="1" applyFont="1" applyFill="1" applyBorder="1" applyAlignment="1">
      <alignment horizontal="right"/>
    </xf>
    <xf numFmtId="2" fontId="13" fillId="8" borderId="3" xfId="0" applyNumberFormat="1" applyFont="1" applyFill="1" applyBorder="1" applyAlignment="1">
      <alignment horizontal="right"/>
    </xf>
    <xf numFmtId="2" fontId="13" fillId="9" borderId="3" xfId="0" applyNumberFormat="1" applyFont="1" applyFill="1" applyBorder="1" applyAlignment="1">
      <alignment horizontal="right"/>
    </xf>
    <xf numFmtId="2" fontId="13" fillId="10" borderId="3" xfId="0" applyNumberFormat="1" applyFont="1" applyFill="1" applyBorder="1" applyAlignment="1">
      <alignment horizontal="right"/>
    </xf>
    <xf numFmtId="2" fontId="13" fillId="5" borderId="3" xfId="0" applyNumberFormat="1" applyFont="1" applyFill="1" applyBorder="1" applyAlignment="1">
      <alignment horizontal="right"/>
    </xf>
    <xf numFmtId="2" fontId="13" fillId="11" borderId="3" xfId="0" applyNumberFormat="1" applyFont="1" applyFill="1" applyBorder="1" applyAlignment="1">
      <alignment horizontal="right"/>
    </xf>
    <xf numFmtId="2" fontId="13" fillId="12" borderId="3" xfId="0" applyNumberFormat="1" applyFont="1" applyFill="1" applyBorder="1" applyAlignment="1">
      <alignment horizontal="right"/>
    </xf>
    <xf numFmtId="2" fontId="13" fillId="4" borderId="3" xfId="0" applyNumberFormat="1" applyFont="1" applyFill="1" applyBorder="1" applyAlignment="1">
      <alignment horizontal="right"/>
    </xf>
    <xf numFmtId="2" fontId="13" fillId="14" borderId="3" xfId="0" applyNumberFormat="1" applyFont="1" applyFill="1" applyBorder="1" applyAlignment="1">
      <alignment horizontal="right"/>
    </xf>
    <xf numFmtId="2" fontId="13" fillId="13" borderId="3" xfId="0" applyNumberFormat="1" applyFont="1" applyFill="1" applyBorder="1" applyAlignment="1">
      <alignment horizontal="right"/>
    </xf>
    <xf numFmtId="2" fontId="13" fillId="17" borderId="3" xfId="0" applyNumberFormat="1" applyFont="1" applyFill="1" applyBorder="1" applyAlignment="1">
      <alignment horizontal="right"/>
    </xf>
    <xf numFmtId="2" fontId="13" fillId="15" borderId="3" xfId="0" applyNumberFormat="1" applyFont="1" applyFill="1" applyBorder="1" applyAlignment="1">
      <alignment horizontal="right"/>
    </xf>
    <xf numFmtId="2" fontId="13" fillId="16" borderId="3" xfId="0" applyNumberFormat="1" applyFont="1" applyFill="1" applyBorder="1" applyAlignment="1">
      <alignment horizontal="right"/>
    </xf>
    <xf numFmtId="2" fontId="13" fillId="18" borderId="3" xfId="0" applyNumberFormat="1" applyFont="1" applyFill="1" applyBorder="1" applyAlignment="1">
      <alignment horizontal="right"/>
    </xf>
    <xf numFmtId="2" fontId="13" fillId="19" borderId="3" xfId="0" applyNumberFormat="1" applyFont="1" applyFill="1" applyBorder="1" applyAlignment="1">
      <alignment horizontal="right"/>
    </xf>
    <xf numFmtId="14" fontId="13" fillId="21" borderId="1" xfId="0" applyNumberFormat="1" applyFont="1" applyFill="1" applyBorder="1" applyAlignment="1">
      <alignment horizontal="right"/>
    </xf>
    <xf numFmtId="14" fontId="13" fillId="21" borderId="4" xfId="0" applyNumberFormat="1" applyFont="1" applyFill="1" applyBorder="1" applyAlignment="1">
      <alignment horizontal="right"/>
    </xf>
    <xf numFmtId="14" fontId="13" fillId="21" borderId="5" xfId="0" applyNumberFormat="1" applyFont="1" applyFill="1" applyBorder="1" applyAlignment="1">
      <alignment horizontal="right"/>
    </xf>
    <xf numFmtId="2" fontId="13" fillId="21" borderId="3" xfId="0" applyNumberFormat="1" applyFont="1" applyFill="1" applyBorder="1" applyAlignment="1">
      <alignment horizontal="right"/>
    </xf>
    <xf numFmtId="2" fontId="13" fillId="21" borderId="6" xfId="0" applyNumberFormat="1" applyFont="1" applyFill="1" applyBorder="1" applyAlignment="1">
      <alignment horizontal="right"/>
    </xf>
    <xf numFmtId="2" fontId="13" fillId="21" borderId="7" xfId="0" applyNumberFormat="1" applyFont="1" applyFill="1" applyBorder="1" applyAlignment="1">
      <alignment horizontal="right"/>
    </xf>
    <xf numFmtId="14" fontId="13" fillId="22" borderId="2" xfId="0" applyNumberFormat="1" applyFont="1" applyFill="1" applyBorder="1" applyAlignment="1">
      <alignment horizontal="right"/>
    </xf>
    <xf numFmtId="14" fontId="13" fillId="22" borderId="0" xfId="0" applyNumberFormat="1" applyFont="1" applyFill="1" applyBorder="1" applyAlignment="1">
      <alignment horizontal="right"/>
    </xf>
    <xf numFmtId="14" fontId="13" fillId="22" borderId="8" xfId="0" applyNumberFormat="1" applyFont="1" applyFill="1" applyBorder="1" applyAlignment="1">
      <alignment horizontal="right"/>
    </xf>
    <xf numFmtId="2" fontId="13" fillId="22" borderId="2" xfId="0" applyNumberFormat="1" applyFont="1" applyFill="1" applyBorder="1" applyAlignment="1">
      <alignment horizontal="right"/>
    </xf>
    <xf numFmtId="2" fontId="13" fillId="22" borderId="0" xfId="0" applyNumberFormat="1" applyFont="1" applyFill="1" applyBorder="1" applyAlignment="1">
      <alignment horizontal="right"/>
    </xf>
    <xf numFmtId="2" fontId="13" fillId="22" borderId="8" xfId="0" applyNumberFormat="1" applyFont="1" applyFill="1" applyBorder="1" applyAlignment="1">
      <alignment horizontal="right"/>
    </xf>
    <xf numFmtId="164" fontId="13" fillId="0" borderId="0" xfId="0" applyNumberFormat="1" applyFont="1" applyFill="1" applyBorder="1"/>
    <xf numFmtId="10" fontId="0" fillId="0" borderId="0" xfId="0" applyNumberFormat="1" applyFill="1" applyBorder="1"/>
    <xf numFmtId="15" fontId="0" fillId="0" borderId="0" xfId="0" applyNumberFormat="1" applyFill="1" applyBorder="1"/>
    <xf numFmtId="0" fontId="13" fillId="0" borderId="9" xfId="0" applyFont="1" applyFill="1" applyBorder="1" applyAlignment="1">
      <alignment horizontal="center"/>
    </xf>
    <xf numFmtId="167" fontId="13" fillId="0" borderId="0" xfId="0" applyNumberFormat="1" applyFont="1" applyFill="1" applyBorder="1" applyAlignment="1">
      <alignment horizontal="center"/>
    </xf>
    <xf numFmtId="2" fontId="13" fillId="6" borderId="3" xfId="0" applyNumberFormat="1" applyFont="1" applyFill="1" applyBorder="1" applyAlignment="1">
      <alignment horizontal="right"/>
    </xf>
    <xf numFmtId="2" fontId="13" fillId="6" borderId="6" xfId="0" applyNumberFormat="1" applyFont="1" applyFill="1" applyBorder="1" applyAlignment="1">
      <alignment horizontal="right"/>
    </xf>
    <xf numFmtId="2" fontId="13" fillId="6" borderId="7" xfId="0" applyNumberFormat="1" applyFont="1" applyFill="1" applyBorder="1" applyAlignment="1">
      <alignment horizontal="right"/>
    </xf>
    <xf numFmtId="14" fontId="13" fillId="20" borderId="1" xfId="0" applyNumberFormat="1" applyFont="1" applyFill="1" applyBorder="1" applyAlignment="1">
      <alignment horizontal="right"/>
    </xf>
    <xf numFmtId="2" fontId="13" fillId="20" borderId="3" xfId="0" applyNumberFormat="1" applyFont="1" applyFill="1" applyBorder="1" applyAlignment="1">
      <alignment horizontal="right"/>
    </xf>
    <xf numFmtId="2" fontId="0" fillId="3" borderId="0" xfId="0" applyNumberFormat="1" applyFill="1" applyBorder="1"/>
    <xf numFmtId="14" fontId="13" fillId="19" borderId="4" xfId="0" applyNumberFormat="1" applyFont="1" applyFill="1" applyBorder="1" applyAlignment="1">
      <alignment horizontal="right"/>
    </xf>
    <xf numFmtId="14" fontId="13" fillId="19" borderId="1" xfId="0" applyNumberFormat="1" applyFont="1" applyFill="1" applyBorder="1" applyAlignment="1">
      <alignment horizontal="right"/>
    </xf>
    <xf numFmtId="2" fontId="13" fillId="7" borderId="0" xfId="0" applyNumberFormat="1" applyFont="1" applyFill="1" applyBorder="1"/>
    <xf numFmtId="14" fontId="13" fillId="7" borderId="1" xfId="0" applyNumberFormat="1" applyFont="1" applyFill="1" applyBorder="1" applyAlignment="1">
      <alignment horizontal="right"/>
    </xf>
    <xf numFmtId="14" fontId="13" fillId="7" borderId="4" xfId="0" applyNumberFormat="1" applyFont="1" applyFill="1" applyBorder="1" applyAlignment="1">
      <alignment horizontal="right"/>
    </xf>
    <xf numFmtId="14" fontId="13" fillId="7" borderId="5" xfId="0" applyNumberFormat="1" applyFont="1" applyFill="1" applyBorder="1" applyAlignment="1">
      <alignment horizontal="right"/>
    </xf>
    <xf numFmtId="2" fontId="13" fillId="7" borderId="3" xfId="0" applyNumberFormat="1" applyFont="1" applyFill="1" applyBorder="1" applyAlignment="1">
      <alignment horizontal="right"/>
    </xf>
    <xf numFmtId="2" fontId="13" fillId="7" borderId="6" xfId="0" applyNumberFormat="1" applyFont="1" applyFill="1" applyBorder="1" applyAlignment="1">
      <alignment horizontal="right"/>
    </xf>
    <xf numFmtId="14" fontId="13" fillId="23" borderId="1" xfId="0" applyNumberFormat="1" applyFont="1" applyFill="1" applyBorder="1" applyAlignment="1">
      <alignment horizontal="right"/>
    </xf>
    <xf numFmtId="14" fontId="13" fillId="23" borderId="4" xfId="0" applyNumberFormat="1" applyFont="1" applyFill="1" applyBorder="1" applyAlignment="1">
      <alignment horizontal="right"/>
    </xf>
    <xf numFmtId="14" fontId="13" fillId="23" borderId="5" xfId="0" applyNumberFormat="1" applyFont="1" applyFill="1" applyBorder="1" applyAlignment="1">
      <alignment horizontal="right"/>
    </xf>
    <xf numFmtId="2" fontId="13" fillId="23" borderId="3" xfId="0" applyNumberFormat="1" applyFont="1" applyFill="1" applyBorder="1" applyAlignment="1">
      <alignment horizontal="right"/>
    </xf>
    <xf numFmtId="2" fontId="13" fillId="23" borderId="6" xfId="0" applyNumberFormat="1" applyFont="1" applyFill="1" applyBorder="1" applyAlignment="1">
      <alignment horizontal="right"/>
    </xf>
    <xf numFmtId="2" fontId="13" fillId="7" borderId="7" xfId="0" applyNumberFormat="1" applyFont="1" applyFill="1" applyBorder="1" applyAlignment="1">
      <alignment horizontal="right"/>
    </xf>
    <xf numFmtId="2" fontId="13" fillId="23" borderId="7" xfId="0" applyNumberFormat="1" applyFont="1" applyFill="1" applyBorder="1" applyAlignment="1">
      <alignment horizontal="right"/>
    </xf>
    <xf numFmtId="15" fontId="13" fillId="0" borderId="0" xfId="0" applyNumberFormat="1" applyFont="1" applyBorder="1" applyAlignment="1">
      <alignment horizontal="right"/>
    </xf>
    <xf numFmtId="2" fontId="13" fillId="24" borderId="1" xfId="0" applyNumberFormat="1" applyFont="1" applyFill="1" applyBorder="1" applyAlignment="1">
      <alignment horizontal="right"/>
    </xf>
    <xf numFmtId="2" fontId="13" fillId="24" borderId="3" xfId="0" applyNumberFormat="1" applyFont="1" applyFill="1" applyBorder="1" applyAlignment="1">
      <alignment horizontal="right"/>
    </xf>
    <xf numFmtId="2" fontId="13" fillId="24" borderId="0" xfId="0" applyNumberFormat="1" applyFont="1" applyFill="1" applyBorder="1" applyAlignment="1">
      <alignment horizontal="right"/>
    </xf>
    <xf numFmtId="2" fontId="13" fillId="19" borderId="0" xfId="0" applyNumberFormat="1" applyFont="1" applyFill="1" applyBorder="1" applyAlignment="1">
      <alignment horizontal="right"/>
    </xf>
    <xf numFmtId="2" fontId="13" fillId="8" borderId="10" xfId="0" applyNumberFormat="1" applyFont="1" applyFill="1" applyBorder="1"/>
    <xf numFmtId="2" fontId="13" fillId="8" borderId="11" xfId="0" applyNumberFormat="1" applyFont="1" applyFill="1" applyBorder="1"/>
    <xf numFmtId="2" fontId="13" fillId="3" borderId="11" xfId="0" applyNumberFormat="1" applyFont="1" applyFill="1" applyBorder="1"/>
    <xf numFmtId="2" fontId="13" fillId="9" borderId="11" xfId="0" applyNumberFormat="1" applyFont="1" applyFill="1" applyBorder="1"/>
    <xf numFmtId="2" fontId="13" fillId="7" borderId="11" xfId="0" applyNumberFormat="1" applyFont="1" applyFill="1" applyBorder="1"/>
    <xf numFmtId="2" fontId="13" fillId="10" borderId="11" xfId="0" applyNumberFormat="1" applyFont="1" applyFill="1" applyBorder="1"/>
    <xf numFmtId="2" fontId="13" fillId="5" borderId="11" xfId="0" applyNumberFormat="1" applyFont="1" applyFill="1" applyBorder="1"/>
    <xf numFmtId="2" fontId="13" fillId="11" borderId="11" xfId="0" applyNumberFormat="1" applyFont="1" applyFill="1" applyBorder="1"/>
    <xf numFmtId="2" fontId="13" fillId="12" borderId="11" xfId="0" applyNumberFormat="1" applyFont="1" applyFill="1" applyBorder="1"/>
    <xf numFmtId="2" fontId="13" fillId="23" borderId="11" xfId="0" applyNumberFormat="1" applyFont="1" applyFill="1" applyBorder="1"/>
    <xf numFmtId="2" fontId="13" fillId="13" borderId="11" xfId="0" applyNumberFormat="1" applyFont="1" applyFill="1" applyBorder="1"/>
    <xf numFmtId="2" fontId="13" fillId="6" borderId="11" xfId="0" applyNumberFormat="1" applyFont="1" applyFill="1" applyBorder="1"/>
    <xf numFmtId="2" fontId="13" fillId="14" borderId="11" xfId="0" applyNumberFormat="1" applyFont="1" applyFill="1" applyBorder="1"/>
    <xf numFmtId="2" fontId="13" fillId="20" borderId="11" xfId="0" applyNumberFormat="1" applyFont="1" applyFill="1" applyBorder="1"/>
    <xf numFmtId="2" fontId="13" fillId="4" borderId="11" xfId="0" applyNumberFormat="1" applyFont="1" applyFill="1" applyBorder="1"/>
    <xf numFmtId="2" fontId="13" fillId="15" borderId="11" xfId="0" applyNumberFormat="1" applyFont="1" applyFill="1" applyBorder="1"/>
    <xf numFmtId="2" fontId="13" fillId="16" borderId="11" xfId="0" applyNumberFormat="1" applyFont="1" applyFill="1" applyBorder="1"/>
    <xf numFmtId="2" fontId="13" fillId="21" borderId="11" xfId="0" applyNumberFormat="1" applyFont="1" applyFill="1" applyBorder="1"/>
    <xf numFmtId="2" fontId="13" fillId="17" borderId="11" xfId="0" applyNumberFormat="1" applyFont="1" applyFill="1" applyBorder="1"/>
    <xf numFmtId="2" fontId="13" fillId="22" borderId="11" xfId="0" applyNumberFormat="1" applyFont="1" applyFill="1" applyBorder="1"/>
    <xf numFmtId="2" fontId="13" fillId="18" borderId="11" xfId="0" applyNumberFormat="1" applyFont="1" applyFill="1" applyBorder="1"/>
    <xf numFmtId="2" fontId="13" fillId="19" borderId="11" xfId="0" applyNumberFormat="1" applyFont="1" applyFill="1" applyBorder="1"/>
    <xf numFmtId="2" fontId="13" fillId="24" borderId="11" xfId="0" applyNumberFormat="1" applyFont="1" applyFill="1" applyBorder="1"/>
    <xf numFmtId="2" fontId="13" fillId="7" borderId="1" xfId="0" applyNumberFormat="1" applyFont="1" applyFill="1" applyBorder="1" applyAlignment="1">
      <alignment horizontal="right"/>
    </xf>
    <xf numFmtId="2" fontId="13" fillId="10" borderId="1" xfId="0" applyNumberFormat="1" applyFont="1" applyFill="1" applyBorder="1" applyAlignment="1">
      <alignment horizontal="right"/>
    </xf>
    <xf numFmtId="2" fontId="13" fillId="15" borderId="1" xfId="0" applyNumberFormat="1" applyFont="1" applyFill="1" applyBorder="1" applyAlignment="1">
      <alignment horizontal="right"/>
    </xf>
    <xf numFmtId="2" fontId="13" fillId="24" borderId="8" xfId="0" applyNumberFormat="1" applyFont="1" applyFill="1" applyBorder="1" applyAlignment="1">
      <alignment horizontal="right"/>
    </xf>
    <xf numFmtId="14" fontId="13" fillId="24" borderId="0" xfId="0" applyNumberFormat="1" applyFont="1" applyFill="1" applyBorder="1" applyAlignment="1">
      <alignment horizontal="right"/>
    </xf>
    <xf numFmtId="14" fontId="13" fillId="24" borderId="8" xfId="0" applyNumberFormat="1" applyFont="1" applyFill="1" applyBorder="1" applyAlignment="1">
      <alignment horizontal="right"/>
    </xf>
    <xf numFmtId="0" fontId="0" fillId="3" borderId="0" xfId="0" applyFill="1" applyBorder="1"/>
    <xf numFmtId="2" fontId="13" fillId="12" borderId="0" xfId="0" applyNumberFormat="1" applyFont="1" applyFill="1" applyBorder="1" applyAlignment="1">
      <alignment horizontal="right"/>
    </xf>
    <xf numFmtId="14" fontId="0" fillId="0" borderId="0" xfId="0" applyNumberFormat="1"/>
    <xf numFmtId="10" fontId="13" fillId="0" borderId="0" xfId="0" applyNumberFormat="1" applyFont="1" applyFill="1" applyBorder="1" applyAlignment="1">
      <alignment horizontal="center"/>
    </xf>
    <xf numFmtId="0" fontId="10" fillId="0" borderId="0" xfId="9"/>
    <xf numFmtId="0" fontId="10" fillId="0" borderId="0" xfId="9"/>
    <xf numFmtId="0" fontId="10" fillId="0" borderId="0" xfId="9"/>
    <xf numFmtId="0" fontId="10" fillId="0" borderId="0" xfId="9"/>
    <xf numFmtId="0" fontId="10" fillId="0" borderId="0" xfId="9"/>
    <xf numFmtId="0" fontId="10" fillId="0" borderId="0" xfId="9"/>
    <xf numFmtId="0" fontId="10" fillId="0" borderId="0" xfId="9"/>
    <xf numFmtId="0" fontId="10" fillId="0" borderId="0" xfId="9"/>
    <xf numFmtId="0" fontId="10" fillId="0" borderId="0" xfId="9"/>
    <xf numFmtId="0" fontId="10" fillId="0" borderId="0" xfId="9"/>
    <xf numFmtId="0" fontId="10" fillId="0" borderId="0" xfId="9"/>
    <xf numFmtId="0" fontId="10" fillId="0" borderId="0" xfId="9"/>
    <xf numFmtId="0" fontId="18" fillId="0" borderId="0" xfId="9" applyFont="1"/>
    <xf numFmtId="0" fontId="10" fillId="0" borderId="0" xfId="9" applyFill="1"/>
    <xf numFmtId="0" fontId="10" fillId="0" borderId="0" xfId="9" applyFill="1"/>
    <xf numFmtId="0" fontId="10" fillId="0" borderId="0" xfId="9"/>
    <xf numFmtId="0" fontId="10" fillId="0" borderId="0" xfId="9"/>
    <xf numFmtId="0" fontId="10" fillId="0" borderId="0" xfId="9"/>
    <xf numFmtId="0" fontId="10" fillId="0" borderId="0" xfId="9"/>
    <xf numFmtId="2" fontId="13" fillId="12" borderId="7" xfId="0" applyNumberFormat="1" applyFont="1" applyFill="1" applyBorder="1"/>
    <xf numFmtId="14" fontId="13" fillId="12" borderId="4" xfId="0" applyNumberFormat="1" applyFont="1" applyFill="1" applyBorder="1" applyAlignment="1">
      <alignment horizontal="right"/>
    </xf>
    <xf numFmtId="14" fontId="13" fillId="12" borderId="5" xfId="0" applyNumberFormat="1" applyFont="1" applyFill="1" applyBorder="1" applyAlignment="1">
      <alignment horizontal="right"/>
    </xf>
    <xf numFmtId="14" fontId="13" fillId="24" borderId="1" xfId="0" applyNumberFormat="1" applyFont="1" applyFill="1" applyBorder="1" applyAlignment="1">
      <alignment horizontal="right"/>
    </xf>
    <xf numFmtId="0" fontId="13" fillId="25" borderId="0" xfId="0" applyFont="1" applyFill="1" applyBorder="1" applyAlignment="1">
      <alignment horizontal="center"/>
    </xf>
    <xf numFmtId="10" fontId="13" fillId="25" borderId="0" xfId="0" applyNumberFormat="1" applyFont="1" applyFill="1" applyBorder="1" applyAlignment="1">
      <alignment horizontal="center"/>
    </xf>
    <xf numFmtId="0" fontId="8" fillId="0" borderId="0" xfId="11" applyFill="1"/>
    <xf numFmtId="14" fontId="0" fillId="0" borderId="0" xfId="0" applyNumberFormat="1" applyBorder="1" applyAlignment="1">
      <alignment horizontal="left"/>
    </xf>
    <xf numFmtId="2" fontId="13" fillId="7" borderId="5" xfId="0" applyNumberFormat="1" applyFont="1" applyFill="1" applyBorder="1"/>
    <xf numFmtId="2" fontId="13" fillId="15" borderId="7" xfId="0" applyNumberFormat="1" applyFont="1" applyFill="1" applyBorder="1"/>
    <xf numFmtId="0" fontId="7" fillId="0" borderId="0" xfId="15"/>
    <xf numFmtId="0" fontId="7" fillId="0" borderId="0" xfId="15"/>
    <xf numFmtId="0" fontId="0" fillId="0" borderId="0" xfId="0"/>
    <xf numFmtId="0" fontId="0" fillId="0" borderId="0" xfId="0" applyBorder="1"/>
    <xf numFmtId="0" fontId="0" fillId="0" borderId="0" xfId="0" applyFill="1" applyBorder="1"/>
    <xf numFmtId="0" fontId="0" fillId="7" borderId="0" xfId="0" applyFill="1" applyBorder="1"/>
    <xf numFmtId="14" fontId="0" fillId="7" borderId="0" xfId="0" applyNumberFormat="1" applyFill="1" applyBorder="1"/>
    <xf numFmtId="164" fontId="0" fillId="3" borderId="0" xfId="0" applyNumberFormat="1" applyFill="1" applyBorder="1"/>
    <xf numFmtId="14" fontId="13" fillId="20" borderId="5" xfId="0" applyNumberFormat="1" applyFont="1" applyFill="1" applyBorder="1" applyAlignment="1">
      <alignment horizontal="right"/>
    </xf>
    <xf numFmtId="2" fontId="13" fillId="20" borderId="7" xfId="0" applyNumberFormat="1" applyFont="1" applyFill="1" applyBorder="1" applyAlignment="1">
      <alignment horizontal="right"/>
    </xf>
    <xf numFmtId="2" fontId="0" fillId="3" borderId="0" xfId="0" applyNumberFormat="1" applyFill="1" applyBorder="1"/>
    <xf numFmtId="0" fontId="15" fillId="0" borderId="0" xfId="4" applyFill="1" applyBorder="1"/>
    <xf numFmtId="0" fontId="15" fillId="0" borderId="0" xfId="4" applyFont="1" applyFill="1" applyBorder="1"/>
    <xf numFmtId="0" fontId="15" fillId="0" borderId="0" xfId="4" applyFill="1" applyBorder="1" applyAlignment="1">
      <alignment horizontal="center"/>
    </xf>
    <xf numFmtId="169" fontId="15" fillId="0" borderId="0" xfId="4" applyNumberFormat="1" applyFill="1" applyBorder="1" applyAlignment="1">
      <alignment horizontal="center"/>
    </xf>
    <xf numFmtId="0" fontId="22" fillId="19" borderId="0" xfId="0" applyFont="1" applyFill="1" applyBorder="1"/>
    <xf numFmtId="170" fontId="15" fillId="0" borderId="0" xfId="4" applyNumberFormat="1" applyFont="1" applyFill="1" applyBorder="1"/>
    <xf numFmtId="0" fontId="15" fillId="0" borderId="0" xfId="0" applyFont="1" applyAlignment="1">
      <alignment vertical="center" wrapText="1"/>
    </xf>
    <xf numFmtId="0" fontId="15" fillId="0" borderId="0" xfId="0" applyFont="1" applyAlignment="1">
      <alignment horizontal="right" vertical="center" wrapText="1"/>
    </xf>
    <xf numFmtId="0" fontId="0" fillId="26" borderId="0" xfId="0" applyFill="1"/>
    <xf numFmtId="2" fontId="13" fillId="10" borderId="5" xfId="0" applyNumberFormat="1" applyFont="1" applyFill="1" applyBorder="1"/>
    <xf numFmtId="2" fontId="13" fillId="24" borderId="10" xfId="0" applyNumberFormat="1" applyFont="1" applyFill="1" applyBorder="1"/>
    <xf numFmtId="2" fontId="13" fillId="19" borderId="10" xfId="0" applyNumberFormat="1" applyFont="1" applyFill="1" applyBorder="1"/>
    <xf numFmtId="2" fontId="13" fillId="18" borderId="10" xfId="0" applyNumberFormat="1" applyFont="1" applyFill="1" applyBorder="1"/>
    <xf numFmtId="2" fontId="13" fillId="22" borderId="10" xfId="0" applyNumberFormat="1" applyFont="1" applyFill="1" applyBorder="1"/>
    <xf numFmtId="2" fontId="13" fillId="17" borderId="10" xfId="0" applyNumberFormat="1" applyFont="1" applyFill="1" applyBorder="1"/>
    <xf numFmtId="2" fontId="13" fillId="21" borderId="10" xfId="0" applyNumberFormat="1" applyFont="1" applyFill="1" applyBorder="1"/>
    <xf numFmtId="2" fontId="13" fillId="16" borderId="10" xfId="0" applyNumberFormat="1" applyFont="1" applyFill="1" applyBorder="1"/>
    <xf numFmtId="2" fontId="13" fillId="15" borderId="10" xfId="0" applyNumberFormat="1" applyFont="1" applyFill="1" applyBorder="1"/>
    <xf numFmtId="2" fontId="13" fillId="11" borderId="10" xfId="0" applyNumberFormat="1" applyFont="1" applyFill="1" applyBorder="1"/>
    <xf numFmtId="2" fontId="13" fillId="4" borderId="10" xfId="0" applyNumberFormat="1" applyFont="1" applyFill="1" applyBorder="1"/>
    <xf numFmtId="2" fontId="13" fillId="20" borderId="10" xfId="0" applyNumberFormat="1" applyFont="1" applyFill="1" applyBorder="1"/>
    <xf numFmtId="2" fontId="13" fillId="14" borderId="10" xfId="0" applyNumberFormat="1" applyFont="1" applyFill="1" applyBorder="1"/>
    <xf numFmtId="2" fontId="13" fillId="6" borderId="10" xfId="0" applyNumberFormat="1" applyFont="1" applyFill="1" applyBorder="1"/>
    <xf numFmtId="2" fontId="13" fillId="13" borderId="10" xfId="0" applyNumberFormat="1" applyFont="1" applyFill="1" applyBorder="1"/>
    <xf numFmtId="2" fontId="13" fillId="23" borderId="10" xfId="0" applyNumberFormat="1" applyFont="1" applyFill="1" applyBorder="1"/>
    <xf numFmtId="2" fontId="13" fillId="12" borderId="10" xfId="0" applyNumberFormat="1" applyFont="1" applyFill="1" applyBorder="1"/>
    <xf numFmtId="2" fontId="13" fillId="5" borderId="10" xfId="0" applyNumberFormat="1" applyFont="1" applyFill="1" applyBorder="1"/>
    <xf numFmtId="2" fontId="13" fillId="10" borderId="10" xfId="0" applyNumberFormat="1" applyFont="1" applyFill="1" applyBorder="1"/>
    <xf numFmtId="2" fontId="13" fillId="7" borderId="10" xfId="0" applyNumberFormat="1" applyFont="1" applyFill="1" applyBorder="1"/>
    <xf numFmtId="2" fontId="13" fillId="9" borderId="10" xfId="0" applyNumberFormat="1" applyFont="1" applyFill="1" applyBorder="1"/>
    <xf numFmtId="2" fontId="13" fillId="3" borderId="10" xfId="0" applyNumberFormat="1" applyFont="1" applyFill="1" applyBorder="1"/>
    <xf numFmtId="2" fontId="13" fillId="10" borderId="4" xfId="0" applyNumberFormat="1" applyFont="1" applyFill="1" applyBorder="1"/>
    <xf numFmtId="2" fontId="13" fillId="7" borderId="4" xfId="0" applyNumberFormat="1" applyFont="1" applyFill="1" applyBorder="1"/>
    <xf numFmtId="2" fontId="13" fillId="6" borderId="13" xfId="0" applyNumberFormat="1" applyFont="1" applyFill="1" applyBorder="1"/>
    <xf numFmtId="2" fontId="13" fillId="14" borderId="0" xfId="0" applyNumberFormat="1" applyFont="1" applyFill="1" applyBorder="1" applyAlignment="1">
      <alignment horizontal="right"/>
    </xf>
    <xf numFmtId="2" fontId="13" fillId="15" borderId="4" xfId="0" applyNumberFormat="1" applyFont="1" applyFill="1" applyBorder="1"/>
    <xf numFmtId="2" fontId="13" fillId="12" borderId="5" xfId="0" applyNumberFormat="1" applyFont="1" applyFill="1" applyBorder="1"/>
    <xf numFmtId="0" fontId="8" fillId="0" borderId="0" xfId="21" applyFill="1"/>
    <xf numFmtId="0" fontId="8" fillId="0" borderId="0" xfId="21" applyFill="1" applyAlignment="1">
      <alignment horizontal="right"/>
    </xf>
    <xf numFmtId="0" fontId="8" fillId="0" borderId="0" xfId="11" applyAlignment="1">
      <alignment horizontal="right"/>
    </xf>
    <xf numFmtId="0" fontId="0" fillId="0" borderId="0" xfId="0" applyAlignment="1">
      <alignment horizontal="right"/>
    </xf>
    <xf numFmtId="0" fontId="15" fillId="0" borderId="0" xfId="0" applyFont="1" applyAlignment="1">
      <alignment vertical="center"/>
    </xf>
    <xf numFmtId="0" fontId="8" fillId="0" borderId="0" xfId="11" applyFill="1" applyAlignment="1">
      <alignment horizontal="right"/>
    </xf>
    <xf numFmtId="0" fontId="0" fillId="0" borderId="0" xfId="0" applyFill="1"/>
    <xf numFmtId="0" fontId="15" fillId="0" borderId="0" xfId="4" applyFont="1" applyFill="1" applyBorder="1" applyAlignment="1">
      <alignment horizontal="center"/>
    </xf>
    <xf numFmtId="0" fontId="15" fillId="19" borderId="0" xfId="4" applyFill="1" applyBorder="1"/>
    <xf numFmtId="0" fontId="15" fillId="19" borderId="0" xfId="4" applyFont="1" applyFill="1" applyBorder="1" applyAlignment="1">
      <alignment horizontal="center"/>
    </xf>
    <xf numFmtId="169" fontId="15" fillId="19" borderId="0" xfId="4" applyNumberFormat="1" applyFill="1" applyBorder="1" applyAlignment="1">
      <alignment horizontal="center"/>
    </xf>
    <xf numFmtId="0" fontId="15" fillId="19" borderId="0" xfId="4" applyFont="1" applyFill="1" applyBorder="1"/>
    <xf numFmtId="171" fontId="13" fillId="0" borderId="0" xfId="0" applyNumberFormat="1" applyFont="1" applyFill="1" applyBorder="1" applyAlignment="1"/>
    <xf numFmtId="171" fontId="0" fillId="0" borderId="0" xfId="0" applyNumberFormat="1" applyFill="1" applyBorder="1" applyAlignment="1"/>
    <xf numFmtId="171" fontId="23" fillId="19" borderId="0" xfId="0" applyNumberFormat="1" applyFont="1" applyFill="1" applyBorder="1" applyAlignment="1"/>
    <xf numFmtId="171" fontId="13" fillId="0" borderId="0" xfId="0" applyNumberFormat="1" applyFont="1" applyFill="1" applyBorder="1" applyAlignment="1"/>
    <xf numFmtId="171" fontId="0" fillId="19" borderId="0" xfId="0" applyNumberFormat="1" applyFont="1" applyFill="1" applyBorder="1" applyAlignment="1"/>
    <xf numFmtId="171" fontId="0" fillId="19" borderId="0" xfId="0" applyNumberFormat="1" applyFill="1" applyBorder="1" applyAlignment="1"/>
    <xf numFmtId="171" fontId="13" fillId="19" borderId="0" xfId="0" applyNumberFormat="1" applyFont="1" applyFill="1" applyBorder="1" applyAlignment="1"/>
    <xf numFmtId="171" fontId="24" fillId="19" borderId="0" xfId="1" applyNumberFormat="1" applyFont="1" applyFill="1" applyBorder="1" applyAlignment="1"/>
    <xf numFmtId="171" fontId="15" fillId="0" borderId="0" xfId="1" applyNumberFormat="1" applyFont="1" applyFill="1" applyBorder="1" applyAlignment="1"/>
    <xf numFmtId="171" fontId="15" fillId="19" borderId="0" xfId="1" applyNumberFormat="1" applyFont="1" applyFill="1" applyBorder="1" applyAlignment="1"/>
    <xf numFmtId="171" fontId="15" fillId="0" borderId="0" xfId="0" applyNumberFormat="1" applyFont="1" applyFill="1" applyBorder="1" applyAlignment="1">
      <alignment vertical="top" wrapText="1"/>
    </xf>
    <xf numFmtId="171" fontId="24" fillId="19" borderId="0" xfId="0" applyNumberFormat="1" applyFont="1" applyFill="1" applyBorder="1" applyAlignment="1">
      <alignment vertical="top" wrapText="1"/>
    </xf>
    <xf numFmtId="171" fontId="15" fillId="19" borderId="0" xfId="0" applyNumberFormat="1" applyFont="1" applyFill="1" applyBorder="1" applyAlignment="1">
      <alignment vertical="top" wrapText="1"/>
    </xf>
    <xf numFmtId="171" fontId="10" fillId="0" borderId="0" xfId="9" applyNumberFormat="1" applyFill="1" applyBorder="1" applyAlignment="1"/>
    <xf numFmtId="171" fontId="15" fillId="0" borderId="0" xfId="0" applyNumberFormat="1" applyFont="1" applyFill="1" applyAlignment="1">
      <alignment vertical="top" wrapText="1"/>
    </xf>
    <xf numFmtId="171" fontId="24" fillId="19" borderId="0" xfId="0" applyNumberFormat="1" applyFont="1" applyFill="1" applyAlignment="1">
      <alignment vertical="top" wrapText="1"/>
    </xf>
    <xf numFmtId="171" fontId="15" fillId="19" borderId="0" xfId="0" applyNumberFormat="1" applyFont="1" applyFill="1" applyAlignment="1">
      <alignment vertical="top" wrapText="1"/>
    </xf>
    <xf numFmtId="168" fontId="0" fillId="0" borderId="0" xfId="0" applyNumberFormat="1" applyBorder="1"/>
    <xf numFmtId="168" fontId="13" fillId="0" borderId="0" xfId="0" applyNumberFormat="1" applyFont="1" applyBorder="1" applyAlignment="1">
      <alignment horizontal="right"/>
    </xf>
    <xf numFmtId="168" fontId="13" fillId="0" borderId="0" xfId="0" applyNumberFormat="1" applyFont="1" applyBorder="1" applyAlignment="1">
      <alignment horizontal="center"/>
    </xf>
    <xf numFmtId="168" fontId="13" fillId="0" borderId="0" xfId="0" applyNumberFormat="1" applyFont="1" applyFill="1" applyBorder="1" applyAlignment="1">
      <alignment horizontal="center"/>
    </xf>
    <xf numFmtId="168" fontId="13" fillId="0" borderId="0" xfId="0" applyNumberFormat="1" applyFont="1" applyFill="1" applyBorder="1"/>
    <xf numFmtId="168" fontId="0" fillId="7" borderId="0" xfId="0" applyNumberFormat="1" applyFill="1" applyBorder="1"/>
    <xf numFmtId="168" fontId="0" fillId="0" borderId="0" xfId="0" applyNumberFormat="1"/>
    <xf numFmtId="168" fontId="0" fillId="0" borderId="0" xfId="0" applyNumberFormat="1" applyFill="1" applyBorder="1"/>
    <xf numFmtId="168" fontId="0" fillId="0" borderId="0" xfId="0" applyNumberFormat="1" applyBorder="1" applyAlignment="1">
      <alignment horizontal="center"/>
    </xf>
    <xf numFmtId="168" fontId="0" fillId="0" borderId="0" xfId="0" applyNumberFormat="1" applyBorder="1" applyAlignment="1">
      <alignment horizontal="left"/>
    </xf>
    <xf numFmtId="168" fontId="13" fillId="0" borderId="0" xfId="0" applyNumberFormat="1" applyFont="1" applyBorder="1"/>
    <xf numFmtId="168" fontId="13" fillId="3" borderId="0" xfId="0" applyNumberFormat="1" applyFont="1" applyFill="1" applyBorder="1"/>
    <xf numFmtId="168" fontId="0" fillId="3" borderId="0" xfId="0" applyNumberFormat="1" applyFill="1" applyBorder="1"/>
    <xf numFmtId="168" fontId="0" fillId="2" borderId="0" xfId="0" applyNumberFormat="1" applyFill="1" applyBorder="1"/>
    <xf numFmtId="0" fontId="0" fillId="28" borderId="14" xfId="0" applyFill="1" applyBorder="1"/>
    <xf numFmtId="0" fontId="0" fillId="28" borderId="15" xfId="0" applyFill="1" applyBorder="1"/>
    <xf numFmtId="14" fontId="0" fillId="28" borderId="16" xfId="0" applyNumberFormat="1" applyFill="1" applyBorder="1"/>
    <xf numFmtId="0" fontId="25" fillId="27" borderId="17" xfId="0" applyFont="1" applyFill="1" applyBorder="1"/>
    <xf numFmtId="0" fontId="25" fillId="27" borderId="18" xfId="0" applyFont="1" applyFill="1" applyBorder="1"/>
    <xf numFmtId="0" fontId="25" fillId="27" borderId="19" xfId="0" applyFont="1" applyFill="1" applyBorder="1"/>
    <xf numFmtId="0" fontId="0" fillId="0" borderId="0" xfId="0" applyNumberFormat="1" applyFill="1" applyBorder="1"/>
    <xf numFmtId="0" fontId="0" fillId="0" borderId="0" xfId="0" applyNumberFormat="1" applyBorder="1"/>
    <xf numFmtId="0" fontId="13" fillId="0" borderId="0" xfId="0" applyNumberFormat="1" applyFont="1" applyBorder="1"/>
    <xf numFmtId="0" fontId="0" fillId="6" borderId="0" xfId="0" applyNumberFormat="1" applyFill="1" applyBorder="1"/>
    <xf numFmtId="0" fontId="13" fillId="8" borderId="13" xfId="0" applyNumberFormat="1" applyFont="1" applyFill="1" applyBorder="1"/>
    <xf numFmtId="0" fontId="13" fillId="8" borderId="3" xfId="0" applyNumberFormat="1" applyFont="1" applyFill="1" applyBorder="1" applyAlignment="1">
      <alignment horizontal="right"/>
    </xf>
    <xf numFmtId="0" fontId="13" fillId="8" borderId="6" xfId="0" applyNumberFormat="1" applyFont="1" applyFill="1" applyBorder="1" applyAlignment="1">
      <alignment horizontal="right"/>
    </xf>
    <xf numFmtId="0" fontId="13" fillId="8" borderId="7" xfId="0" applyNumberFormat="1" applyFont="1" applyFill="1" applyBorder="1" applyAlignment="1">
      <alignment horizontal="right"/>
    </xf>
    <xf numFmtId="0" fontId="13" fillId="3" borderId="11" xfId="0" applyNumberFormat="1" applyFont="1" applyFill="1" applyBorder="1"/>
    <xf numFmtId="0" fontId="13" fillId="3" borderId="3" xfId="0" applyNumberFormat="1" applyFont="1" applyFill="1" applyBorder="1" applyAlignment="1">
      <alignment horizontal="right"/>
    </xf>
    <xf numFmtId="0" fontId="13" fillId="3" borderId="6" xfId="0" applyNumberFormat="1" applyFont="1" applyFill="1" applyBorder="1" applyAlignment="1">
      <alignment horizontal="right"/>
    </xf>
    <xf numFmtId="0" fontId="13" fillId="3" borderId="7" xfId="0" applyNumberFormat="1" applyFont="1" applyFill="1" applyBorder="1" applyAlignment="1">
      <alignment horizontal="right"/>
    </xf>
    <xf numFmtId="0" fontId="13" fillId="9" borderId="11" xfId="0" applyNumberFormat="1" applyFont="1" applyFill="1" applyBorder="1"/>
    <xf numFmtId="0" fontId="13" fillId="9" borderId="3" xfId="0" applyNumberFormat="1" applyFont="1" applyFill="1" applyBorder="1" applyAlignment="1">
      <alignment horizontal="right"/>
    </xf>
    <xf numFmtId="0" fontId="13" fillId="9" borderId="6" xfId="0" applyNumberFormat="1" applyFont="1" applyFill="1" applyBorder="1" applyAlignment="1">
      <alignment horizontal="right"/>
    </xf>
    <xf numFmtId="0" fontId="13" fillId="9" borderId="7" xfId="0" applyNumberFormat="1" applyFont="1" applyFill="1" applyBorder="1" applyAlignment="1">
      <alignment horizontal="right"/>
    </xf>
    <xf numFmtId="0" fontId="13" fillId="7" borderId="1" xfId="0" applyNumberFormat="1" applyFont="1" applyFill="1" applyBorder="1" applyAlignment="1">
      <alignment horizontal="right"/>
    </xf>
    <xf numFmtId="0" fontId="13" fillId="7" borderId="11" xfId="0" applyNumberFormat="1" applyFont="1" applyFill="1" applyBorder="1"/>
    <xf numFmtId="0" fontId="13" fillId="7" borderId="3" xfId="0" applyNumberFormat="1" applyFont="1" applyFill="1" applyBorder="1" applyAlignment="1">
      <alignment horizontal="right"/>
    </xf>
    <xf numFmtId="0" fontId="13" fillId="7" borderId="6" xfId="0" applyNumberFormat="1" applyFont="1" applyFill="1" applyBorder="1" applyAlignment="1">
      <alignment horizontal="right"/>
    </xf>
    <xf numFmtId="0" fontId="13" fillId="7" borderId="7" xfId="0" applyNumberFormat="1" applyFont="1" applyFill="1" applyBorder="1" applyAlignment="1">
      <alignment horizontal="right"/>
    </xf>
    <xf numFmtId="0" fontId="13" fillId="10" borderId="1" xfId="0" applyNumberFormat="1" applyFont="1" applyFill="1" applyBorder="1" applyAlignment="1">
      <alignment horizontal="right"/>
    </xf>
    <xf numFmtId="0" fontId="13" fillId="10" borderId="11" xfId="0" applyNumberFormat="1" applyFont="1" applyFill="1" applyBorder="1"/>
    <xf numFmtId="0" fontId="13" fillId="10" borderId="3" xfId="0" applyNumberFormat="1" applyFont="1" applyFill="1" applyBorder="1" applyAlignment="1">
      <alignment horizontal="right"/>
    </xf>
    <xf numFmtId="0" fontId="13" fillId="10" borderId="6" xfId="0" applyNumberFormat="1" applyFont="1" applyFill="1" applyBorder="1" applyAlignment="1">
      <alignment horizontal="right"/>
    </xf>
    <xf numFmtId="0" fontId="13" fillId="10" borderId="7" xfId="0" applyNumberFormat="1" applyFont="1" applyFill="1" applyBorder="1" applyAlignment="1">
      <alignment horizontal="right"/>
    </xf>
    <xf numFmtId="0" fontId="13" fillId="19" borderId="0" xfId="0" applyNumberFormat="1" applyFont="1" applyFill="1" applyBorder="1" applyAlignment="1">
      <alignment horizontal="right"/>
    </xf>
    <xf numFmtId="0" fontId="13" fillId="5" borderId="11" xfId="0" applyNumberFormat="1" applyFont="1" applyFill="1" applyBorder="1"/>
    <xf numFmtId="0" fontId="13" fillId="5" borderId="3" xfId="0" applyNumberFormat="1" applyFont="1" applyFill="1" applyBorder="1" applyAlignment="1">
      <alignment horizontal="right"/>
    </xf>
    <xf numFmtId="0" fontId="13" fillId="5" borderId="6" xfId="0" applyNumberFormat="1" applyFont="1" applyFill="1" applyBorder="1" applyAlignment="1">
      <alignment horizontal="right"/>
    </xf>
    <xf numFmtId="0" fontId="13" fillId="5" borderId="7" xfId="0" applyNumberFormat="1" applyFont="1" applyFill="1" applyBorder="1" applyAlignment="1">
      <alignment horizontal="right"/>
    </xf>
    <xf numFmtId="0" fontId="13" fillId="11" borderId="11" xfId="0" applyNumberFormat="1" applyFont="1" applyFill="1" applyBorder="1"/>
    <xf numFmtId="0" fontId="13" fillId="11" borderId="3" xfId="0" applyNumberFormat="1" applyFont="1" applyFill="1" applyBorder="1" applyAlignment="1">
      <alignment horizontal="right"/>
    </xf>
    <xf numFmtId="0" fontId="13" fillId="11" borderId="6" xfId="0" applyNumberFormat="1" applyFont="1" applyFill="1" applyBorder="1" applyAlignment="1">
      <alignment horizontal="right"/>
    </xf>
    <xf numFmtId="0" fontId="13" fillId="11" borderId="7" xfId="0" applyNumberFormat="1" applyFont="1" applyFill="1" applyBorder="1" applyAlignment="1">
      <alignment horizontal="right"/>
    </xf>
    <xf numFmtId="0" fontId="13" fillId="12" borderId="11" xfId="0" applyNumberFormat="1" applyFont="1" applyFill="1" applyBorder="1"/>
    <xf numFmtId="0" fontId="13" fillId="12" borderId="3" xfId="0" applyNumberFormat="1" applyFont="1" applyFill="1" applyBorder="1" applyAlignment="1">
      <alignment horizontal="right"/>
    </xf>
    <xf numFmtId="0" fontId="13" fillId="12" borderId="6" xfId="0" applyNumberFormat="1" applyFont="1" applyFill="1" applyBorder="1" applyAlignment="1">
      <alignment horizontal="right"/>
    </xf>
    <xf numFmtId="0" fontId="13" fillId="12" borderId="7" xfId="0" applyNumberFormat="1" applyFont="1" applyFill="1" applyBorder="1" applyAlignment="1">
      <alignment horizontal="right"/>
    </xf>
    <xf numFmtId="0" fontId="13" fillId="23" borderId="11" xfId="0" applyNumberFormat="1" applyFont="1" applyFill="1" applyBorder="1"/>
    <xf numFmtId="0" fontId="13" fillId="23" borderId="3" xfId="0" applyNumberFormat="1" applyFont="1" applyFill="1" applyBorder="1" applyAlignment="1">
      <alignment horizontal="right"/>
    </xf>
    <xf numFmtId="0" fontId="13" fillId="23" borderId="6" xfId="0" applyNumberFormat="1" applyFont="1" applyFill="1" applyBorder="1" applyAlignment="1">
      <alignment horizontal="right"/>
    </xf>
    <xf numFmtId="0" fontId="13" fillId="23" borderId="7" xfId="0" applyNumberFormat="1" applyFont="1" applyFill="1" applyBorder="1" applyAlignment="1">
      <alignment horizontal="right"/>
    </xf>
    <xf numFmtId="0" fontId="13" fillId="13" borderId="11" xfId="0" applyNumberFormat="1" applyFont="1" applyFill="1" applyBorder="1"/>
    <xf numFmtId="0" fontId="13" fillId="13" borderId="3" xfId="0" applyNumberFormat="1" applyFont="1" applyFill="1" applyBorder="1" applyAlignment="1">
      <alignment horizontal="right"/>
    </xf>
    <xf numFmtId="0" fontId="13" fillId="13" borderId="6" xfId="0" applyNumberFormat="1" applyFont="1" applyFill="1" applyBorder="1" applyAlignment="1">
      <alignment horizontal="right"/>
    </xf>
    <xf numFmtId="0" fontId="13" fillId="13" borderId="7" xfId="0" applyNumberFormat="1" applyFont="1" applyFill="1" applyBorder="1" applyAlignment="1">
      <alignment horizontal="right"/>
    </xf>
    <xf numFmtId="0" fontId="13" fillId="6" borderId="11" xfId="0" applyNumberFormat="1" applyFont="1" applyFill="1" applyBorder="1"/>
    <xf numFmtId="0" fontId="13" fillId="6" borderId="3" xfId="0" applyNumberFormat="1" applyFont="1" applyFill="1" applyBorder="1" applyAlignment="1">
      <alignment horizontal="right"/>
    </xf>
    <xf numFmtId="0" fontId="13" fillId="6" borderId="6" xfId="0" applyNumberFormat="1" applyFont="1" applyFill="1" applyBorder="1" applyAlignment="1">
      <alignment horizontal="right"/>
    </xf>
    <xf numFmtId="0" fontId="13" fillId="6" borderId="7" xfId="0" applyNumberFormat="1" applyFont="1" applyFill="1" applyBorder="1" applyAlignment="1">
      <alignment horizontal="right"/>
    </xf>
    <xf numFmtId="0" fontId="13" fillId="14" borderId="11" xfId="0" applyNumberFormat="1" applyFont="1" applyFill="1" applyBorder="1"/>
    <xf numFmtId="0" fontId="13" fillId="14" borderId="3" xfId="0" applyNumberFormat="1" applyFont="1" applyFill="1" applyBorder="1" applyAlignment="1">
      <alignment horizontal="right"/>
    </xf>
    <xf numFmtId="0" fontId="13" fillId="14" borderId="6" xfId="0" applyNumberFormat="1" applyFont="1" applyFill="1" applyBorder="1" applyAlignment="1">
      <alignment horizontal="right"/>
    </xf>
    <xf numFmtId="0" fontId="13" fillId="14" borderId="7" xfId="0" applyNumberFormat="1" applyFont="1" applyFill="1" applyBorder="1" applyAlignment="1">
      <alignment horizontal="right"/>
    </xf>
    <xf numFmtId="0" fontId="13" fillId="20" borderId="11" xfId="0" applyNumberFormat="1" applyFont="1" applyFill="1" applyBorder="1"/>
    <xf numFmtId="0" fontId="13" fillId="20" borderId="3" xfId="0" applyNumberFormat="1" applyFont="1" applyFill="1" applyBorder="1" applyAlignment="1">
      <alignment horizontal="right"/>
    </xf>
    <xf numFmtId="0" fontId="13" fillId="20" borderId="6" xfId="0" applyNumberFormat="1" applyFont="1" applyFill="1" applyBorder="1" applyAlignment="1">
      <alignment horizontal="right"/>
    </xf>
    <xf numFmtId="0" fontId="13" fillId="20" borderId="7" xfId="0" applyNumberFormat="1" applyFont="1" applyFill="1" applyBorder="1" applyAlignment="1">
      <alignment horizontal="right"/>
    </xf>
    <xf numFmtId="0" fontId="13" fillId="4" borderId="11" xfId="0" applyNumberFormat="1" applyFont="1" applyFill="1" applyBorder="1"/>
    <xf numFmtId="0" fontId="13" fillId="4" borderId="3" xfId="0" applyNumberFormat="1" applyFont="1" applyFill="1" applyBorder="1" applyAlignment="1">
      <alignment horizontal="right"/>
    </xf>
    <xf numFmtId="0" fontId="13" fillId="4" borderId="6" xfId="0" applyNumberFormat="1" applyFont="1" applyFill="1" applyBorder="1" applyAlignment="1">
      <alignment horizontal="right"/>
    </xf>
    <xf numFmtId="0" fontId="13" fillId="4" borderId="7" xfId="0" applyNumberFormat="1" applyFont="1" applyFill="1" applyBorder="1" applyAlignment="1">
      <alignment horizontal="right"/>
    </xf>
    <xf numFmtId="0" fontId="13" fillId="15" borderId="1" xfId="0" applyNumberFormat="1" applyFont="1" applyFill="1" applyBorder="1" applyAlignment="1">
      <alignment horizontal="right"/>
    </xf>
    <xf numFmtId="0" fontId="13" fillId="15" borderId="11" xfId="0" applyNumberFormat="1" applyFont="1" applyFill="1" applyBorder="1"/>
    <xf numFmtId="0" fontId="13" fillId="15" borderId="3" xfId="0" applyNumberFormat="1" applyFont="1" applyFill="1" applyBorder="1" applyAlignment="1">
      <alignment horizontal="right"/>
    </xf>
    <xf numFmtId="0" fontId="13" fillId="15" borderId="6" xfId="0" applyNumberFormat="1" applyFont="1" applyFill="1" applyBorder="1" applyAlignment="1">
      <alignment horizontal="right"/>
    </xf>
    <xf numFmtId="0" fontId="13" fillId="15" borderId="7" xfId="0" applyNumberFormat="1" applyFont="1" applyFill="1" applyBorder="1" applyAlignment="1">
      <alignment horizontal="right"/>
    </xf>
    <xf numFmtId="0" fontId="13" fillId="16" borderId="11" xfId="0" applyNumberFormat="1" applyFont="1" applyFill="1" applyBorder="1"/>
    <xf numFmtId="0" fontId="13" fillId="16" borderId="3" xfId="0" applyNumberFormat="1" applyFont="1" applyFill="1" applyBorder="1" applyAlignment="1">
      <alignment horizontal="right"/>
    </xf>
    <xf numFmtId="0" fontId="13" fillId="16" borderId="6" xfId="0" applyNumberFormat="1" applyFont="1" applyFill="1" applyBorder="1" applyAlignment="1">
      <alignment horizontal="right"/>
    </xf>
    <xf numFmtId="0" fontId="13" fillId="16" borderId="7" xfId="0" applyNumberFormat="1" applyFont="1" applyFill="1" applyBorder="1" applyAlignment="1">
      <alignment horizontal="right"/>
    </xf>
    <xf numFmtId="0" fontId="13" fillId="21" borderId="11" xfId="0" applyNumberFormat="1" applyFont="1" applyFill="1" applyBorder="1"/>
    <xf numFmtId="0" fontId="13" fillId="21" borderId="3" xfId="0" applyNumberFormat="1" applyFont="1" applyFill="1" applyBorder="1" applyAlignment="1">
      <alignment horizontal="right"/>
    </xf>
    <xf numFmtId="0" fontId="13" fillId="21" borderId="6" xfId="0" applyNumberFormat="1" applyFont="1" applyFill="1" applyBorder="1" applyAlignment="1">
      <alignment horizontal="right"/>
    </xf>
    <xf numFmtId="0" fontId="13" fillId="21" borderId="7" xfId="0" applyNumberFormat="1" applyFont="1" applyFill="1" applyBorder="1" applyAlignment="1">
      <alignment horizontal="right"/>
    </xf>
    <xf numFmtId="0" fontId="13" fillId="17" borderId="10" xfId="0" applyNumberFormat="1" applyFont="1" applyFill="1" applyBorder="1"/>
    <xf numFmtId="0" fontId="13" fillId="17" borderId="1" xfId="0" applyNumberFormat="1" applyFont="1" applyFill="1" applyBorder="1" applyAlignment="1">
      <alignment horizontal="right"/>
    </xf>
    <xf numFmtId="0" fontId="13" fillId="17" borderId="11" xfId="0" applyNumberFormat="1" applyFont="1" applyFill="1" applyBorder="1"/>
    <xf numFmtId="0" fontId="13" fillId="17" borderId="3" xfId="0" applyNumberFormat="1" applyFont="1" applyFill="1" applyBorder="1" applyAlignment="1">
      <alignment horizontal="right"/>
    </xf>
    <xf numFmtId="0" fontId="13" fillId="17" borderId="6" xfId="0" applyNumberFormat="1" applyFont="1" applyFill="1" applyBorder="1" applyAlignment="1">
      <alignment horizontal="right"/>
    </xf>
    <xf numFmtId="0" fontId="13" fillId="17" borderId="7" xfId="0" applyNumberFormat="1" applyFont="1" applyFill="1" applyBorder="1" applyAlignment="1">
      <alignment horizontal="right"/>
    </xf>
    <xf numFmtId="0" fontId="13" fillId="22" borderId="10" xfId="0" applyNumberFormat="1" applyFont="1" applyFill="1" applyBorder="1"/>
    <xf numFmtId="0" fontId="13" fillId="22" borderId="2" xfId="0" applyNumberFormat="1" applyFont="1" applyFill="1" applyBorder="1" applyAlignment="1">
      <alignment horizontal="right"/>
    </xf>
    <xf numFmtId="0" fontId="13" fillId="22" borderId="0" xfId="0" applyNumberFormat="1" applyFont="1" applyFill="1" applyBorder="1" applyAlignment="1">
      <alignment horizontal="right"/>
    </xf>
    <xf numFmtId="0" fontId="13" fillId="22" borderId="8" xfId="0" applyNumberFormat="1" applyFont="1" applyFill="1" applyBorder="1" applyAlignment="1">
      <alignment horizontal="right"/>
    </xf>
    <xf numFmtId="0" fontId="13" fillId="22" borderId="11" xfId="0" applyNumberFormat="1" applyFont="1" applyFill="1" applyBorder="1"/>
    <xf numFmtId="0" fontId="13" fillId="18" borderId="10" xfId="0" applyNumberFormat="1" applyFont="1" applyFill="1" applyBorder="1"/>
    <xf numFmtId="0" fontId="13" fillId="18" borderId="1" xfId="0" applyNumberFormat="1" applyFont="1" applyFill="1" applyBorder="1" applyAlignment="1">
      <alignment horizontal="right"/>
    </xf>
    <xf numFmtId="0" fontId="13" fillId="18" borderId="11" xfId="0" applyNumberFormat="1" applyFont="1" applyFill="1" applyBorder="1"/>
    <xf numFmtId="0" fontId="13" fillId="18" borderId="3" xfId="0" applyNumberFormat="1" applyFont="1" applyFill="1" applyBorder="1" applyAlignment="1">
      <alignment horizontal="right"/>
    </xf>
    <xf numFmtId="0" fontId="13" fillId="18" borderId="6" xfId="0" applyNumberFormat="1" applyFont="1" applyFill="1" applyBorder="1" applyAlignment="1">
      <alignment horizontal="right"/>
    </xf>
    <xf numFmtId="0" fontId="13" fillId="18" borderId="7" xfId="0" applyNumberFormat="1" applyFont="1" applyFill="1" applyBorder="1" applyAlignment="1">
      <alignment horizontal="right"/>
    </xf>
    <xf numFmtId="0" fontId="13" fillId="19" borderId="10" xfId="0" applyNumberFormat="1" applyFont="1" applyFill="1" applyBorder="1"/>
    <xf numFmtId="0" fontId="13" fillId="19" borderId="2" xfId="0" applyNumberFormat="1" applyFont="1" applyFill="1" applyBorder="1" applyAlignment="1">
      <alignment horizontal="right"/>
    </xf>
    <xf numFmtId="0" fontId="13" fillId="19" borderId="11" xfId="0" applyNumberFormat="1" applyFont="1" applyFill="1" applyBorder="1"/>
    <xf numFmtId="0" fontId="13" fillId="19" borderId="3" xfId="0" applyNumberFormat="1" applyFont="1" applyFill="1" applyBorder="1" applyAlignment="1">
      <alignment horizontal="right"/>
    </xf>
    <xf numFmtId="0" fontId="13" fillId="19" borderId="6" xfId="0" applyNumberFormat="1" applyFont="1" applyFill="1" applyBorder="1" applyAlignment="1">
      <alignment horizontal="right"/>
    </xf>
    <xf numFmtId="0" fontId="13" fillId="19" borderId="7" xfId="0" applyNumberFormat="1" applyFont="1" applyFill="1" applyBorder="1" applyAlignment="1">
      <alignment horizontal="right"/>
    </xf>
    <xf numFmtId="0" fontId="13" fillId="24" borderId="10" xfId="0" applyNumberFormat="1" applyFont="1" applyFill="1" applyBorder="1"/>
    <xf numFmtId="0" fontId="13" fillId="24" borderId="1" xfId="0" applyNumberFormat="1" applyFont="1" applyFill="1" applyBorder="1" applyAlignment="1">
      <alignment horizontal="right"/>
    </xf>
    <xf numFmtId="0" fontId="13" fillId="24" borderId="0" xfId="0" applyNumberFormat="1" applyFont="1" applyFill="1" applyBorder="1" applyAlignment="1">
      <alignment horizontal="right"/>
    </xf>
    <xf numFmtId="0" fontId="13" fillId="24" borderId="8" xfId="0" applyNumberFormat="1" applyFont="1" applyFill="1" applyBorder="1" applyAlignment="1">
      <alignment horizontal="right"/>
    </xf>
    <xf numFmtId="0" fontId="13" fillId="24" borderId="11" xfId="0" applyNumberFormat="1" applyFont="1" applyFill="1" applyBorder="1"/>
    <xf numFmtId="0" fontId="13" fillId="24" borderId="3" xfId="0" applyNumberFormat="1" applyFont="1" applyFill="1" applyBorder="1" applyAlignment="1">
      <alignment horizontal="right"/>
    </xf>
    <xf numFmtId="0" fontId="13" fillId="7" borderId="5" xfId="0" applyNumberFormat="1" applyFont="1" applyFill="1" applyBorder="1"/>
    <xf numFmtId="0" fontId="13" fillId="7" borderId="0" xfId="0" applyNumberFormat="1" applyFont="1" applyFill="1" applyBorder="1"/>
    <xf numFmtId="0" fontId="13" fillId="10" borderId="5" xfId="0" applyNumberFormat="1" applyFont="1" applyFill="1" applyBorder="1"/>
    <xf numFmtId="0" fontId="13" fillId="10" borderId="0" xfId="0" applyNumberFormat="1" applyFont="1" applyFill="1" applyBorder="1"/>
    <xf numFmtId="0" fontId="13" fillId="15" borderId="5" xfId="0" applyNumberFormat="1" applyFont="1" applyFill="1" applyBorder="1"/>
    <xf numFmtId="0" fontId="13" fillId="15" borderId="7" xfId="0" applyNumberFormat="1" applyFont="1" applyFill="1" applyBorder="1"/>
    <xf numFmtId="0" fontId="13" fillId="15" borderId="0" xfId="0" applyNumberFormat="1" applyFont="1" applyFill="1" applyBorder="1" applyAlignment="1">
      <alignment horizontal="right"/>
    </xf>
    <xf numFmtId="0" fontId="13" fillId="7" borderId="7" xfId="0" applyNumberFormat="1" applyFont="1" applyFill="1" applyBorder="1"/>
    <xf numFmtId="14" fontId="13" fillId="8" borderId="10" xfId="0" applyNumberFormat="1" applyFont="1" applyFill="1" applyBorder="1"/>
    <xf numFmtId="14" fontId="13" fillId="3" borderId="10" xfId="0" applyNumberFormat="1" applyFont="1" applyFill="1" applyBorder="1"/>
    <xf numFmtId="14" fontId="13" fillId="9" borderId="10" xfId="0" applyNumberFormat="1" applyFont="1" applyFill="1" applyBorder="1"/>
    <xf numFmtId="14" fontId="13" fillId="7" borderId="10" xfId="0" applyNumberFormat="1" applyFont="1" applyFill="1" applyBorder="1"/>
    <xf numFmtId="14" fontId="0" fillId="0" borderId="0" xfId="0" applyNumberFormat="1" applyBorder="1"/>
    <xf numFmtId="14" fontId="13" fillId="10" borderId="10" xfId="0" applyNumberFormat="1" applyFont="1" applyFill="1" applyBorder="1"/>
    <xf numFmtId="14" fontId="13" fillId="5" borderId="10" xfId="0" applyNumberFormat="1" applyFont="1" applyFill="1" applyBorder="1"/>
    <xf numFmtId="14" fontId="13" fillId="11" borderId="10" xfId="0" applyNumberFormat="1" applyFont="1" applyFill="1" applyBorder="1"/>
    <xf numFmtId="14" fontId="13" fillId="12" borderId="10" xfId="0" applyNumberFormat="1" applyFont="1" applyFill="1" applyBorder="1"/>
    <xf numFmtId="14" fontId="13" fillId="23" borderId="10" xfId="0" applyNumberFormat="1" applyFont="1" applyFill="1" applyBorder="1"/>
    <xf numFmtId="14" fontId="13" fillId="13" borderId="10" xfId="0" applyNumberFormat="1" applyFont="1" applyFill="1" applyBorder="1"/>
    <xf numFmtId="14" fontId="13" fillId="6" borderId="10" xfId="0" applyNumberFormat="1" applyFont="1" applyFill="1" applyBorder="1"/>
    <xf numFmtId="14" fontId="13" fillId="14" borderId="10" xfId="0" applyNumberFormat="1" applyFont="1" applyFill="1" applyBorder="1"/>
    <xf numFmtId="14" fontId="13" fillId="20" borderId="10" xfId="0" applyNumberFormat="1" applyFont="1" applyFill="1" applyBorder="1"/>
    <xf numFmtId="14" fontId="13" fillId="4" borderId="10" xfId="0" applyNumberFormat="1" applyFont="1" applyFill="1" applyBorder="1"/>
    <xf numFmtId="14" fontId="13" fillId="15" borderId="10" xfId="0" applyNumberFormat="1" applyFont="1" applyFill="1" applyBorder="1"/>
    <xf numFmtId="14" fontId="13" fillId="16" borderId="10" xfId="0" applyNumberFormat="1" applyFont="1" applyFill="1" applyBorder="1"/>
    <xf numFmtId="14" fontId="13" fillId="21" borderId="10" xfId="0" applyNumberFormat="1" applyFont="1" applyFill="1" applyBorder="1"/>
    <xf numFmtId="168" fontId="22" fillId="19" borderId="0" xfId="0" applyNumberFormat="1" applyFont="1" applyFill="1" applyBorder="1"/>
    <xf numFmtId="0" fontId="0" fillId="0" borderId="0" xfId="0" applyAlignment="1">
      <alignment horizontal="center" wrapText="1"/>
    </xf>
    <xf numFmtId="0" fontId="0" fillId="0" borderId="0" xfId="0" applyAlignment="1">
      <alignment wrapText="1"/>
    </xf>
    <xf numFmtId="0" fontId="8" fillId="0" borderId="0" xfId="11" applyAlignment="1">
      <alignment horizontal="right" wrapText="1"/>
    </xf>
    <xf numFmtId="2" fontId="0" fillId="0" borderId="0" xfId="0" applyNumberFormat="1" applyFill="1"/>
    <xf numFmtId="2" fontId="15" fillId="0" borderId="0" xfId="0" applyNumberFormat="1" applyFont="1" applyFill="1" applyAlignment="1">
      <alignment vertical="center" wrapText="1"/>
    </xf>
    <xf numFmtId="2" fontId="15" fillId="0" borderId="0" xfId="0" applyNumberFormat="1" applyFont="1" applyFill="1" applyAlignment="1">
      <alignment horizontal="right" vertical="center" wrapText="1"/>
    </xf>
    <xf numFmtId="2" fontId="15" fillId="0" borderId="0" xfId="0" applyNumberFormat="1" applyFont="1" applyFill="1" applyAlignment="1">
      <alignment horizontal="right" vertical="center"/>
    </xf>
    <xf numFmtId="0" fontId="15" fillId="0" borderId="0" xfId="4" applyBorder="1"/>
    <xf numFmtId="0" fontId="15" fillId="0" borderId="0" xfId="4"/>
    <xf numFmtId="0" fontId="26" fillId="0" borderId="0" xfId="4" quotePrefix="1" applyFont="1" applyBorder="1" applyAlignment="1">
      <alignment horizontal="left"/>
    </xf>
    <xf numFmtId="0" fontId="15" fillId="29" borderId="0" xfId="4" applyFill="1"/>
    <xf numFmtId="0" fontId="15" fillId="0" borderId="0" xfId="4" applyBorder="1" applyAlignment="1">
      <alignment horizontal="right"/>
    </xf>
    <xf numFmtId="15" fontId="15" fillId="0" borderId="0" xfId="4" applyNumberFormat="1" applyFill="1" applyBorder="1"/>
    <xf numFmtId="0" fontId="27" fillId="17" borderId="20" xfId="4" applyFont="1" applyFill="1" applyBorder="1"/>
    <xf numFmtId="0" fontId="27" fillId="17" borderId="21" xfId="4" applyFont="1" applyFill="1" applyBorder="1"/>
    <xf numFmtId="0" fontId="15" fillId="0" borderId="20" xfId="4" applyBorder="1"/>
    <xf numFmtId="0" fontId="15" fillId="0" borderId="20" xfId="4" quotePrefix="1" applyBorder="1" applyAlignment="1">
      <alignment horizontal="right"/>
    </xf>
    <xf numFmtId="0" fontId="15" fillId="0" borderId="0" xfId="4" quotePrefix="1" applyBorder="1" applyAlignment="1">
      <alignment horizontal="right"/>
    </xf>
    <xf numFmtId="0" fontId="15" fillId="0" borderId="21" xfId="4" applyBorder="1" applyAlignment="1">
      <alignment horizontal="right"/>
    </xf>
    <xf numFmtId="0" fontId="15" fillId="0" borderId="22" xfId="4" quotePrefix="1" applyFont="1" applyBorder="1" applyAlignment="1">
      <alignment horizontal="right"/>
    </xf>
    <xf numFmtId="0" fontId="15" fillId="0" borderId="0" xfId="4" quotePrefix="1" applyFont="1" applyBorder="1" applyAlignment="1">
      <alignment horizontal="right"/>
    </xf>
    <xf numFmtId="15" fontId="15" fillId="0" borderId="0" xfId="4" applyNumberFormat="1" applyFill="1" applyBorder="1" applyAlignment="1">
      <alignment horizontal="right"/>
    </xf>
    <xf numFmtId="0" fontId="15" fillId="0" borderId="23" xfId="4" applyFont="1" applyBorder="1" applyAlignment="1">
      <alignment horizontal="right"/>
    </xf>
    <xf numFmtId="0" fontId="15" fillId="0" borderId="6" xfId="4" applyBorder="1"/>
    <xf numFmtId="0" fontId="15" fillId="0" borderId="6" xfId="4" quotePrefix="1" applyFont="1" applyBorder="1" applyAlignment="1">
      <alignment horizontal="right"/>
    </xf>
    <xf numFmtId="0" fontId="15" fillId="0" borderId="6" xfId="4" applyBorder="1" applyAlignment="1">
      <alignment horizontal="right"/>
    </xf>
    <xf numFmtId="0" fontId="27" fillId="17" borderId="22" xfId="4" applyFont="1" applyFill="1" applyBorder="1"/>
    <xf numFmtId="0" fontId="15" fillId="0" borderId="0" xfId="4" applyAlignment="1">
      <alignment horizontal="right"/>
    </xf>
    <xf numFmtId="0" fontId="15" fillId="0" borderId="0" xfId="4" quotePrefix="1" applyAlignment="1">
      <alignment horizontal="right"/>
    </xf>
    <xf numFmtId="0" fontId="15" fillId="0" borderId="21" xfId="4" applyBorder="1"/>
    <xf numFmtId="10" fontId="15" fillId="30" borderId="0" xfId="4" applyNumberFormat="1" applyFill="1" applyBorder="1"/>
    <xf numFmtId="10" fontId="15" fillId="0" borderId="0" xfId="4" applyNumberFormat="1" applyBorder="1"/>
    <xf numFmtId="0" fontId="15" fillId="19" borderId="21" xfId="4" applyFill="1" applyBorder="1"/>
    <xf numFmtId="0" fontId="15" fillId="0" borderId="22" xfId="4" applyBorder="1"/>
    <xf numFmtId="0" fontId="15" fillId="0" borderId="24" xfId="4" applyBorder="1"/>
    <xf numFmtId="10" fontId="15" fillId="0" borderId="0" xfId="4" applyNumberFormat="1" applyFill="1" applyBorder="1"/>
    <xf numFmtId="10" fontId="0" fillId="0" borderId="0" xfId="23" applyNumberFormat="1" applyFont="1"/>
    <xf numFmtId="10" fontId="0" fillId="29" borderId="0" xfId="23" applyNumberFormat="1" applyFont="1" applyFill="1"/>
    <xf numFmtId="10" fontId="15" fillId="17" borderId="22" xfId="23" applyNumberFormat="1" applyFill="1" applyBorder="1"/>
    <xf numFmtId="10" fontId="0" fillId="0" borderId="0" xfId="23" applyNumberFormat="1" applyFont="1" applyBorder="1"/>
    <xf numFmtId="172" fontId="15" fillId="0" borderId="0" xfId="24" applyNumberFormat="1" applyFill="1" applyBorder="1"/>
    <xf numFmtId="172" fontId="15" fillId="19" borderId="22" xfId="24" applyNumberFormat="1" applyFill="1" applyBorder="1"/>
    <xf numFmtId="10" fontId="15" fillId="17" borderId="21" xfId="23" applyNumberFormat="1" applyFill="1" applyBorder="1"/>
    <xf numFmtId="172" fontId="15" fillId="19" borderId="21" xfId="24" applyNumberFormat="1" applyFill="1" applyBorder="1"/>
    <xf numFmtId="10" fontId="0" fillId="0" borderId="0" xfId="23" applyNumberFormat="1" applyFont="1" applyFill="1"/>
    <xf numFmtId="10" fontId="15" fillId="17" borderId="20" xfId="23" applyNumberFormat="1" applyFill="1" applyBorder="1"/>
    <xf numFmtId="172" fontId="15" fillId="0" borderId="0" xfId="24" applyNumberFormat="1" applyBorder="1"/>
    <xf numFmtId="172" fontId="15" fillId="0" borderId="20" xfId="24" applyNumberFormat="1" applyBorder="1"/>
    <xf numFmtId="172" fontId="15" fillId="19" borderId="0" xfId="24" applyNumberFormat="1" applyFill="1" applyBorder="1"/>
    <xf numFmtId="0" fontId="27" fillId="17" borderId="22" xfId="4" applyFont="1" applyFill="1" applyBorder="1" applyAlignment="1">
      <alignment wrapText="1"/>
    </xf>
    <xf numFmtId="0" fontId="27" fillId="17" borderId="0" xfId="4" applyFont="1" applyFill="1" applyBorder="1"/>
    <xf numFmtId="0" fontId="27" fillId="31" borderId="0" xfId="4" applyFont="1" applyFill="1" applyBorder="1" applyAlignment="1">
      <alignment horizontal="right"/>
    </xf>
    <xf numFmtId="15" fontId="27" fillId="31" borderId="0" xfId="4" applyNumberFormat="1" applyFont="1" applyFill="1" applyBorder="1" applyAlignment="1">
      <alignment horizontal="right"/>
    </xf>
    <xf numFmtId="10" fontId="27" fillId="31" borderId="0" xfId="28" applyNumberFormat="1" applyFont="1" applyFill="1" applyBorder="1"/>
    <xf numFmtId="10" fontId="13" fillId="0" borderId="0" xfId="28" applyNumberFormat="1" applyFont="1" applyFill="1" applyBorder="1" applyAlignment="1"/>
    <xf numFmtId="10" fontId="0" fillId="0" borderId="0" xfId="28" applyNumberFormat="1" applyFont="1" applyFill="1" applyBorder="1" applyAlignment="1"/>
    <xf numFmtId="0" fontId="8" fillId="0" borderId="0" xfId="11" applyFill="1" applyAlignment="1"/>
    <xf numFmtId="4" fontId="15" fillId="19" borderId="0" xfId="24" applyNumberFormat="1" applyFill="1" applyBorder="1"/>
    <xf numFmtId="0" fontId="0" fillId="29" borderId="0" xfId="0" applyFill="1" applyBorder="1"/>
    <xf numFmtId="10" fontId="0" fillId="29" borderId="0" xfId="28" applyNumberFormat="1" applyFont="1" applyFill="1" applyBorder="1"/>
    <xf numFmtId="0" fontId="15" fillId="17" borderId="0" xfId="4" applyFill="1" applyBorder="1"/>
    <xf numFmtId="0" fontId="15" fillId="17" borderId="0" xfId="4" quotePrefix="1" applyFill="1" applyBorder="1" applyAlignment="1">
      <alignment horizontal="right"/>
    </xf>
    <xf numFmtId="0" fontId="15" fillId="17" borderId="0" xfId="4" applyFill="1" applyBorder="1" applyAlignment="1">
      <alignment horizontal="right"/>
    </xf>
    <xf numFmtId="0" fontId="27" fillId="17" borderId="0" xfId="4" applyFont="1" applyFill="1" applyBorder="1" applyAlignment="1">
      <alignment wrapText="1"/>
    </xf>
    <xf numFmtId="10" fontId="0" fillId="19" borderId="0" xfId="28" applyNumberFormat="1" applyFont="1" applyFill="1" applyBorder="1"/>
    <xf numFmtId="173" fontId="15" fillId="0" borderId="0" xfId="4" applyNumberFormat="1" applyBorder="1"/>
    <xf numFmtId="2" fontId="13" fillId="15" borderId="1" xfId="0" applyNumberFormat="1" applyFont="1" applyFill="1" applyBorder="1" applyAlignment="1">
      <alignment horizontal="left"/>
    </xf>
    <xf numFmtId="2" fontId="13" fillId="15" borderId="3" xfId="0" applyNumberFormat="1" applyFont="1" applyFill="1" applyBorder="1" applyAlignment="1">
      <alignment horizontal="left"/>
    </xf>
    <xf numFmtId="2" fontId="13" fillId="15" borderId="5" xfId="0" applyNumberFormat="1" applyFont="1" applyFill="1" applyBorder="1"/>
    <xf numFmtId="2" fontId="13" fillId="24" borderId="4" xfId="0" applyNumberFormat="1" applyFont="1" applyFill="1" applyBorder="1" applyAlignment="1">
      <alignment horizontal="right"/>
    </xf>
    <xf numFmtId="2" fontId="13" fillId="24" borderId="2" xfId="0" applyNumberFormat="1" applyFont="1" applyFill="1" applyBorder="1" applyAlignment="1">
      <alignment horizontal="right"/>
    </xf>
    <xf numFmtId="2" fontId="13" fillId="16" borderId="0" xfId="0" applyNumberFormat="1" applyFont="1" applyFill="1" applyBorder="1" applyAlignment="1">
      <alignment horizontal="right"/>
    </xf>
    <xf numFmtId="0" fontId="13" fillId="0" borderId="0" xfId="0" applyNumberFormat="1" applyFont="1" applyFill="1" applyBorder="1" applyAlignment="1">
      <alignment horizontal="right"/>
    </xf>
    <xf numFmtId="168" fontId="13" fillId="0" borderId="0" xfId="0" applyNumberFormat="1" applyFont="1" applyFill="1" applyBorder="1" applyAlignment="1">
      <alignment horizontal="right"/>
    </xf>
    <xf numFmtId="168" fontId="0" fillId="19" borderId="0" xfId="0" applyNumberFormat="1" applyFont="1" applyFill="1"/>
    <xf numFmtId="168" fontId="0" fillId="6" borderId="0" xfId="0" applyNumberFormat="1" applyFill="1" applyBorder="1"/>
    <xf numFmtId="172" fontId="15" fillId="19" borderId="25" xfId="24" applyNumberFormat="1" applyFill="1" applyBorder="1"/>
    <xf numFmtId="172" fontId="15" fillId="0" borderId="26" xfId="24" applyNumberFormat="1" applyBorder="1"/>
    <xf numFmtId="172" fontId="15" fillId="0" borderId="6" xfId="24" applyNumberFormat="1" applyBorder="1"/>
    <xf numFmtId="0" fontId="27" fillId="31" borderId="6" xfId="4" applyFont="1" applyFill="1" applyBorder="1" applyAlignment="1">
      <alignment horizontal="right"/>
    </xf>
    <xf numFmtId="0" fontId="15" fillId="29" borderId="6" xfId="4" applyFill="1" applyBorder="1"/>
    <xf numFmtId="0" fontId="15" fillId="0" borderId="6" xfId="4" quotePrefix="1" applyBorder="1" applyAlignment="1">
      <alignment horizontal="right"/>
    </xf>
    <xf numFmtId="0" fontId="27" fillId="26" borderId="26" xfId="4" applyFont="1" applyFill="1" applyBorder="1"/>
    <xf numFmtId="0" fontId="27" fillId="26" borderId="6" xfId="4" applyFont="1" applyFill="1" applyBorder="1"/>
    <xf numFmtId="0" fontId="27" fillId="17" borderId="27" xfId="4" applyFont="1" applyFill="1" applyBorder="1"/>
    <xf numFmtId="0" fontId="27" fillId="17" borderId="29" xfId="4" applyFont="1" applyFill="1" applyBorder="1"/>
    <xf numFmtId="0" fontId="27" fillId="17" borderId="28" xfId="4" applyFont="1" applyFill="1" applyBorder="1"/>
    <xf numFmtId="0" fontId="27" fillId="17" borderId="30" xfId="4" applyFont="1" applyFill="1" applyBorder="1"/>
    <xf numFmtId="172" fontId="15" fillId="0" borderId="31" xfId="24" applyNumberFormat="1" applyBorder="1"/>
    <xf numFmtId="0" fontId="8" fillId="0" borderId="0" xfId="21"/>
    <xf numFmtId="14" fontId="0" fillId="0" borderId="0" xfId="0" applyNumberFormat="1" applyAlignment="1">
      <alignment horizontal="right"/>
    </xf>
    <xf numFmtId="14" fontId="10" fillId="0" borderId="0" xfId="9" applyNumberFormat="1" applyAlignment="1">
      <alignment horizontal="right"/>
    </xf>
    <xf numFmtId="14" fontId="18" fillId="0" borderId="0" xfId="9" applyNumberFormat="1" applyFont="1" applyAlignment="1">
      <alignment horizontal="right"/>
    </xf>
    <xf numFmtId="0" fontId="10" fillId="0" borderId="0" xfId="9" applyAlignment="1">
      <alignment horizontal="right"/>
    </xf>
    <xf numFmtId="0" fontId="18" fillId="0" borderId="0" xfId="9" applyFont="1" applyAlignment="1">
      <alignment horizontal="right"/>
    </xf>
    <xf numFmtId="168" fontId="0" fillId="0" borderId="0" xfId="0" applyNumberFormat="1" applyAlignment="1">
      <alignment horizontal="right"/>
    </xf>
    <xf numFmtId="0" fontId="0" fillId="0" borderId="0" xfId="0"/>
    <xf numFmtId="0" fontId="0" fillId="0" borderId="0" xfId="0" applyBorder="1"/>
    <xf numFmtId="0" fontId="0" fillId="0" borderId="0" xfId="0" applyFill="1" applyBorder="1"/>
    <xf numFmtId="0" fontId="0" fillId="7" borderId="0" xfId="0" applyFill="1" applyBorder="1"/>
    <xf numFmtId="171" fontId="13" fillId="0" borderId="0" xfId="0" applyNumberFormat="1" applyFont="1" applyFill="1" applyBorder="1" applyAlignment="1"/>
    <xf numFmtId="0" fontId="8" fillId="0" borderId="0" xfId="21" applyFill="1"/>
    <xf numFmtId="0" fontId="8" fillId="0" borderId="0" xfId="21"/>
    <xf numFmtId="0" fontId="8" fillId="0" borderId="0" xfId="21"/>
    <xf numFmtId="0" fontId="8" fillId="0" borderId="0" xfId="21"/>
    <xf numFmtId="0" fontId="8" fillId="0" borderId="0" xfId="21" applyFill="1"/>
    <xf numFmtId="0" fontId="8" fillId="0" borderId="0" xfId="21"/>
    <xf numFmtId="0" fontId="8" fillId="0" borderId="0" xfId="21" applyFill="1"/>
    <xf numFmtId="0" fontId="8" fillId="0" borderId="0" xfId="21" applyFill="1"/>
    <xf numFmtId="0" fontId="8" fillId="0" borderId="0" xfId="21" applyFill="1"/>
    <xf numFmtId="0" fontId="8" fillId="0" borderId="0" xfId="21"/>
    <xf numFmtId="0" fontId="8" fillId="0" borderId="0" xfId="21"/>
    <xf numFmtId="0" fontId="8" fillId="0" borderId="0" xfId="21"/>
    <xf numFmtId="0" fontId="8" fillId="0" borderId="0" xfId="21"/>
    <xf numFmtId="0" fontId="8" fillId="0" borderId="0" xfId="21"/>
    <xf numFmtId="0" fontId="8" fillId="0" borderId="0" xfId="21"/>
    <xf numFmtId="0" fontId="8" fillId="0" borderId="0" xfId="21" applyFill="1"/>
    <xf numFmtId="0" fontId="8" fillId="0" borderId="0" xfId="21"/>
    <xf numFmtId="0" fontId="8" fillId="0" borderId="0" xfId="21"/>
    <xf numFmtId="0" fontId="8" fillId="0" borderId="0" xfId="21"/>
    <xf numFmtId="0" fontId="8" fillId="0" borderId="0" xfId="21"/>
    <xf numFmtId="0" fontId="8" fillId="0" borderId="0" xfId="21" applyFill="1"/>
    <xf numFmtId="0" fontId="8" fillId="0" borderId="0" xfId="21"/>
    <xf numFmtId="0" fontId="8" fillId="0" borderId="0" xfId="21"/>
    <xf numFmtId="0" fontId="8" fillId="0" borderId="0" xfId="21" applyFill="1"/>
    <xf numFmtId="0" fontId="8" fillId="0" borderId="0" xfId="21"/>
    <xf numFmtId="0" fontId="8" fillId="0" borderId="0" xfId="21"/>
    <xf numFmtId="0" fontId="8" fillId="0" borderId="0" xfId="21"/>
    <xf numFmtId="0" fontId="8" fillId="0" borderId="0" xfId="21"/>
    <xf numFmtId="0" fontId="8" fillId="0" borderId="0" xfId="21"/>
    <xf numFmtId="0" fontId="8" fillId="0" borderId="0" xfId="21"/>
    <xf numFmtId="0" fontId="8" fillId="0" borderId="0" xfId="21"/>
    <xf numFmtId="0" fontId="8" fillId="0" borderId="0" xfId="21" applyFill="1"/>
    <xf numFmtId="0" fontId="8" fillId="0" borderId="0" xfId="21"/>
    <xf numFmtId="0" fontId="8" fillId="0" borderId="0" xfId="21"/>
    <xf numFmtId="0" fontId="8" fillId="0" borderId="0" xfId="21"/>
    <xf numFmtId="0" fontId="8" fillId="0" borderId="0" xfId="21" applyFill="1"/>
    <xf numFmtId="0" fontId="8" fillId="0" borderId="0" xfId="21"/>
    <xf numFmtId="0" fontId="8" fillId="0" borderId="0" xfId="21"/>
    <xf numFmtId="0" fontId="8" fillId="0" borderId="0" xfId="21"/>
    <xf numFmtId="0" fontId="8" fillId="0" borderId="0" xfId="21"/>
    <xf numFmtId="0" fontId="8" fillId="0" borderId="0" xfId="21"/>
    <xf numFmtId="0" fontId="18" fillId="0" borderId="0" xfId="21" applyFont="1"/>
    <xf numFmtId="0" fontId="8" fillId="0" borderId="0" xfId="21" applyFill="1"/>
    <xf numFmtId="0" fontId="8" fillId="0" borderId="0" xfId="21"/>
    <xf numFmtId="0" fontId="8" fillId="0" borderId="0" xfId="21"/>
    <xf numFmtId="0" fontId="8" fillId="0" borderId="0" xfId="21"/>
    <xf numFmtId="0" fontId="8" fillId="0" borderId="0" xfId="21"/>
    <xf numFmtId="0" fontId="8" fillId="0" borderId="0" xfId="21"/>
    <xf numFmtId="0" fontId="8" fillId="0" borderId="0" xfId="21"/>
    <xf numFmtId="0" fontId="8" fillId="0" borderId="0" xfId="21" applyFill="1"/>
    <xf numFmtId="0" fontId="8" fillId="0" borderId="0" xfId="21"/>
    <xf numFmtId="0" fontId="8" fillId="0" borderId="0" xfId="21" applyFill="1"/>
    <xf numFmtId="0" fontId="8" fillId="0" borderId="0" xfId="21"/>
    <xf numFmtId="14" fontId="0" fillId="26" borderId="0" xfId="0" applyNumberFormat="1" applyFill="1"/>
    <xf numFmtId="2" fontId="0" fillId="0" borderId="0" xfId="0" applyNumberFormat="1"/>
    <xf numFmtId="171" fontId="0" fillId="0" borderId="0" xfId="0" applyNumberFormat="1"/>
    <xf numFmtId="2" fontId="0" fillId="17" borderId="0" xfId="0" applyNumberFormat="1" applyFill="1"/>
    <xf numFmtId="0" fontId="0" fillId="17" borderId="28" xfId="0" applyFill="1" applyBorder="1"/>
    <xf numFmtId="0" fontId="0" fillId="17" borderId="32" xfId="0" applyFill="1" applyBorder="1"/>
    <xf numFmtId="0" fontId="0" fillId="17" borderId="27" xfId="0" applyFill="1" applyBorder="1"/>
    <xf numFmtId="0" fontId="0" fillId="17" borderId="24" xfId="0" applyFill="1" applyBorder="1"/>
    <xf numFmtId="0" fontId="0" fillId="17" borderId="0" xfId="0" applyFill="1" applyBorder="1"/>
    <xf numFmtId="0" fontId="0" fillId="17" borderId="25" xfId="0" applyFill="1" applyBorder="1"/>
    <xf numFmtId="0" fontId="0" fillId="17" borderId="33" xfId="0" applyFill="1" applyBorder="1"/>
    <xf numFmtId="0" fontId="0" fillId="17" borderId="34" xfId="0" applyFill="1" applyBorder="1"/>
    <xf numFmtId="0" fontId="0" fillId="17" borderId="35" xfId="0" applyFill="1" applyBorder="1"/>
    <xf numFmtId="0" fontId="30" fillId="0" borderId="0" xfId="0" applyFont="1"/>
    <xf numFmtId="2" fontId="0" fillId="33" borderId="0" xfId="0" applyNumberFormat="1" applyFill="1"/>
    <xf numFmtId="2" fontId="0" fillId="28" borderId="0" xfId="0" applyNumberFormat="1" applyFill="1"/>
    <xf numFmtId="2" fontId="0" fillId="32" borderId="0" xfId="0" applyNumberFormat="1" applyFill="1"/>
    <xf numFmtId="0" fontId="31" fillId="0" borderId="0" xfId="0" applyFont="1"/>
    <xf numFmtId="174" fontId="15" fillId="0" borderId="0" xfId="24" applyNumberFormat="1" applyFill="1" applyBorder="1"/>
    <xf numFmtId="174" fontId="15" fillId="19" borderId="0" xfId="24" applyNumberFormat="1" applyFill="1" applyBorder="1"/>
    <xf numFmtId="174" fontId="15" fillId="19" borderId="21" xfId="24" applyNumberFormat="1" applyFill="1" applyBorder="1"/>
    <xf numFmtId="174" fontId="15" fillId="19" borderId="22" xfId="24" applyNumberFormat="1" applyFill="1" applyBorder="1"/>
    <xf numFmtId="0" fontId="32" fillId="0" borderId="0" xfId="0" applyFont="1" applyAlignment="1">
      <alignment vertical="center"/>
    </xf>
    <xf numFmtId="4" fontId="0" fillId="28" borderId="0" xfId="31" applyNumberFormat="1" applyFont="1" applyFill="1"/>
    <xf numFmtId="170" fontId="0" fillId="0" borderId="0" xfId="0" applyNumberFormat="1"/>
    <xf numFmtId="170" fontId="15" fillId="0" borderId="0" xfId="4" applyNumberFormat="1" applyBorder="1"/>
    <xf numFmtId="170" fontId="15" fillId="0" borderId="0" xfId="4" applyNumberFormat="1" applyBorder="1" applyAlignment="1">
      <alignment horizontal="center"/>
    </xf>
    <xf numFmtId="172" fontId="15" fillId="0" borderId="0" xfId="4" applyNumberFormat="1" applyBorder="1"/>
    <xf numFmtId="0" fontId="4" fillId="0" borderId="0" xfId="21" applyFont="1"/>
    <xf numFmtId="0" fontId="3" fillId="0" borderId="0" xfId="32"/>
    <xf numFmtId="0" fontId="3" fillId="0" borderId="0" xfId="32" applyFill="1"/>
    <xf numFmtId="0" fontId="3" fillId="0" borderId="0" xfId="32"/>
    <xf numFmtId="0" fontId="3" fillId="0" borderId="0" xfId="32"/>
    <xf numFmtId="0" fontId="3" fillId="0" borderId="0" xfId="32"/>
    <xf numFmtId="0" fontId="3" fillId="0" borderId="0" xfId="32"/>
    <xf numFmtId="0" fontId="18" fillId="0" borderId="0" xfId="32" applyFont="1"/>
    <xf numFmtId="0" fontId="3" fillId="0" borderId="0" xfId="32"/>
    <xf numFmtId="0" fontId="3" fillId="0" borderId="0" xfId="32"/>
    <xf numFmtId="0" fontId="3" fillId="0" borderId="0" xfId="32"/>
    <xf numFmtId="0" fontId="3" fillId="0" borderId="0" xfId="32"/>
    <xf numFmtId="0" fontId="3" fillId="0" borderId="0" xfId="32"/>
    <xf numFmtId="0" fontId="18" fillId="0" borderId="0" xfId="32" applyFont="1"/>
    <xf numFmtId="0" fontId="3" fillId="0" borderId="0" xfId="32"/>
    <xf numFmtId="0" fontId="3" fillId="0" borderId="0" xfId="32"/>
    <xf numFmtId="0" fontId="3" fillId="0" borderId="0" xfId="32"/>
    <xf numFmtId="0" fontId="3" fillId="0" borderId="0" xfId="32"/>
    <xf numFmtId="0" fontId="3" fillId="0" borderId="0" xfId="32"/>
    <xf numFmtId="14" fontId="3" fillId="0" borderId="0" xfId="32" applyNumberFormat="1"/>
    <xf numFmtId="0" fontId="18" fillId="0" borderId="0" xfId="33" applyFont="1"/>
    <xf numFmtId="0" fontId="18" fillId="0" borderId="0" xfId="33" applyFont="1"/>
    <xf numFmtId="14" fontId="18" fillId="0" borderId="0" xfId="32" applyNumberFormat="1" applyFont="1"/>
    <xf numFmtId="0" fontId="18" fillId="0" borderId="0" xfId="33" applyFont="1"/>
    <xf numFmtId="14" fontId="18" fillId="0" borderId="0" xfId="33" applyNumberFormat="1" applyFont="1"/>
    <xf numFmtId="171" fontId="13" fillId="0" borderId="0" xfId="0" applyNumberFormat="1" applyFont="1" applyFill="1" applyBorder="1" applyAlignment="1"/>
    <xf numFmtId="2" fontId="13" fillId="31" borderId="5" xfId="0" applyNumberFormat="1" applyFont="1" applyFill="1" applyBorder="1"/>
    <xf numFmtId="14" fontId="13" fillId="31" borderId="1" xfId="0" applyNumberFormat="1" applyFont="1" applyFill="1" applyBorder="1" applyAlignment="1">
      <alignment horizontal="right"/>
    </xf>
    <xf numFmtId="14" fontId="13" fillId="31" borderId="4" xfId="0" applyNumberFormat="1" applyFont="1" applyFill="1" applyBorder="1" applyAlignment="1">
      <alignment horizontal="right"/>
    </xf>
    <xf numFmtId="2" fontId="13" fillId="31" borderId="7" xfId="0" applyNumberFormat="1" applyFont="1" applyFill="1" applyBorder="1"/>
    <xf numFmtId="2" fontId="13" fillId="31" borderId="3" xfId="0" applyNumberFormat="1" applyFont="1" applyFill="1" applyBorder="1" applyAlignment="1">
      <alignment horizontal="right"/>
    </xf>
    <xf numFmtId="2" fontId="13" fillId="31" borderId="6" xfId="0" applyNumberFormat="1" applyFont="1" applyFill="1" applyBorder="1" applyAlignment="1">
      <alignment horizontal="right"/>
    </xf>
    <xf numFmtId="2" fontId="13" fillId="34" borderId="5" xfId="0" applyNumberFormat="1" applyFont="1" applyFill="1" applyBorder="1"/>
    <xf numFmtId="14" fontId="13" fillId="34" borderId="1" xfId="0" applyNumberFormat="1" applyFont="1" applyFill="1" applyBorder="1" applyAlignment="1">
      <alignment horizontal="right"/>
    </xf>
    <xf numFmtId="14" fontId="13" fillId="34" borderId="4" xfId="0" applyNumberFormat="1" applyFont="1" applyFill="1" applyBorder="1" applyAlignment="1">
      <alignment horizontal="right"/>
    </xf>
    <xf numFmtId="2" fontId="13" fillId="34" borderId="7" xfId="0" applyNumberFormat="1" applyFont="1" applyFill="1" applyBorder="1"/>
    <xf numFmtId="2" fontId="13" fillId="34" borderId="3" xfId="0" applyNumberFormat="1" applyFont="1" applyFill="1" applyBorder="1" applyAlignment="1">
      <alignment horizontal="right"/>
    </xf>
    <xf numFmtId="2" fontId="13" fillId="34" borderId="6" xfId="0" applyNumberFormat="1" applyFont="1" applyFill="1" applyBorder="1" applyAlignment="1">
      <alignment horizontal="right"/>
    </xf>
    <xf numFmtId="2" fontId="13" fillId="10" borderId="7" xfId="0" applyNumberFormat="1" applyFont="1" applyFill="1" applyBorder="1"/>
    <xf numFmtId="2" fontId="13" fillId="35" borderId="5" xfId="0" applyNumberFormat="1" applyFont="1" applyFill="1" applyBorder="1"/>
    <xf numFmtId="14" fontId="13" fillId="35" borderId="1" xfId="0" applyNumberFormat="1" applyFont="1" applyFill="1" applyBorder="1" applyAlignment="1">
      <alignment horizontal="right"/>
    </xf>
    <xf numFmtId="14" fontId="13" fillId="35" borderId="4" xfId="0" applyNumberFormat="1" applyFont="1" applyFill="1" applyBorder="1" applyAlignment="1">
      <alignment horizontal="right"/>
    </xf>
    <xf numFmtId="2" fontId="13" fillId="35" borderId="7" xfId="0" applyNumberFormat="1" applyFont="1" applyFill="1" applyBorder="1"/>
    <xf numFmtId="2" fontId="13" fillId="35" borderId="3" xfId="0" applyNumberFormat="1" applyFont="1" applyFill="1" applyBorder="1" applyAlignment="1">
      <alignment horizontal="right"/>
    </xf>
    <xf numFmtId="2" fontId="13" fillId="35" borderId="6" xfId="0" applyNumberFormat="1" applyFont="1" applyFill="1" applyBorder="1" applyAlignment="1">
      <alignment horizontal="right"/>
    </xf>
    <xf numFmtId="2" fontId="13" fillId="20" borderId="5" xfId="0" applyNumberFormat="1" applyFont="1" applyFill="1" applyBorder="1"/>
    <xf numFmtId="2" fontId="13" fillId="20" borderId="7" xfId="0" applyNumberFormat="1" applyFont="1" applyFill="1" applyBorder="1"/>
    <xf numFmtId="2" fontId="13" fillId="29" borderId="5" xfId="0" applyNumberFormat="1" applyFont="1" applyFill="1" applyBorder="1"/>
    <xf numFmtId="14" fontId="13" fillId="29" borderId="1" xfId="0" applyNumberFormat="1" applyFont="1" applyFill="1" applyBorder="1" applyAlignment="1">
      <alignment horizontal="right"/>
    </xf>
    <xf numFmtId="14" fontId="13" fillId="29" borderId="4" xfId="0" applyNumberFormat="1" applyFont="1" applyFill="1" applyBorder="1" applyAlignment="1">
      <alignment horizontal="right"/>
    </xf>
    <xf numFmtId="2" fontId="13" fillId="29" borderId="7" xfId="0" applyNumberFormat="1" applyFont="1" applyFill="1" applyBorder="1"/>
    <xf numFmtId="2" fontId="13" fillId="29" borderId="3" xfId="0" applyNumberFormat="1" applyFont="1" applyFill="1" applyBorder="1" applyAlignment="1">
      <alignment horizontal="right"/>
    </xf>
    <xf numFmtId="2" fontId="13" fillId="29" borderId="6" xfId="0" applyNumberFormat="1" applyFont="1" applyFill="1" applyBorder="1" applyAlignment="1">
      <alignment horizontal="right"/>
    </xf>
    <xf numFmtId="2" fontId="13" fillId="37" borderId="5" xfId="0" applyNumberFormat="1" applyFont="1" applyFill="1" applyBorder="1"/>
    <xf numFmtId="14" fontId="13" fillId="37" borderId="1" xfId="0" applyNumberFormat="1" applyFont="1" applyFill="1" applyBorder="1" applyAlignment="1">
      <alignment horizontal="right"/>
    </xf>
    <xf numFmtId="14" fontId="13" fillId="37" borderId="4" xfId="0" applyNumberFormat="1" applyFont="1" applyFill="1" applyBorder="1" applyAlignment="1">
      <alignment horizontal="right"/>
    </xf>
    <xf numFmtId="2" fontId="13" fillId="37" borderId="7" xfId="0" applyNumberFormat="1" applyFont="1" applyFill="1" applyBorder="1"/>
    <xf numFmtId="2" fontId="13" fillId="37" borderId="3" xfId="0" applyNumberFormat="1" applyFont="1" applyFill="1" applyBorder="1" applyAlignment="1">
      <alignment horizontal="right"/>
    </xf>
    <xf numFmtId="2" fontId="13" fillId="37" borderId="6" xfId="0" applyNumberFormat="1" applyFont="1" applyFill="1" applyBorder="1" applyAlignment="1">
      <alignment horizontal="right"/>
    </xf>
    <xf numFmtId="165" fontId="0" fillId="0" borderId="0" xfId="0" applyNumberFormat="1" applyFill="1" applyBorder="1"/>
    <xf numFmtId="164" fontId="0" fillId="36" borderId="0" xfId="0" applyNumberFormat="1" applyFill="1" applyBorder="1"/>
    <xf numFmtId="2" fontId="0" fillId="36" borderId="0" xfId="0" applyNumberFormat="1" applyFill="1" applyBorder="1"/>
    <xf numFmtId="0" fontId="13" fillId="0" borderId="36" xfId="0" applyFont="1" applyFill="1" applyBorder="1" applyAlignment="1">
      <alignment horizontal="center"/>
    </xf>
    <xf numFmtId="10" fontId="0" fillId="0" borderId="0" xfId="0" applyNumberFormat="1" applyFill="1" applyBorder="1" applyAlignment="1">
      <alignment horizontal="center"/>
    </xf>
    <xf numFmtId="0" fontId="0" fillId="0" borderId="12" xfId="0" applyFill="1" applyBorder="1"/>
    <xf numFmtId="0" fontId="25" fillId="27" borderId="18" xfId="0" applyFont="1" applyFill="1" applyBorder="1" applyAlignment="1">
      <alignment horizontal="left"/>
    </xf>
    <xf numFmtId="10" fontId="13" fillId="0" borderId="9" xfId="0" applyNumberFormat="1" applyFont="1" applyFill="1" applyBorder="1" applyAlignment="1">
      <alignment horizontal="center"/>
    </xf>
    <xf numFmtId="10" fontId="0" fillId="0" borderId="9" xfId="0" applyNumberFormat="1" applyFill="1" applyBorder="1" applyAlignment="1">
      <alignment horizontal="center"/>
    </xf>
    <xf numFmtId="171" fontId="23" fillId="0" borderId="0" xfId="0" applyNumberFormat="1" applyFont="1" applyFill="1" applyBorder="1" applyAlignment="1"/>
    <xf numFmtId="171" fontId="0" fillId="0" borderId="0" xfId="0" applyNumberFormat="1" applyFont="1" applyFill="1" applyBorder="1" applyAlignment="1"/>
    <xf numFmtId="0" fontId="1" fillId="0" borderId="0" xfId="32" applyFont="1"/>
    <xf numFmtId="0" fontId="18" fillId="0" borderId="0" xfId="0" applyFont="1"/>
    <xf numFmtId="15" fontId="13" fillId="0" borderId="12" xfId="0" applyNumberFormat="1" applyFont="1" applyFill="1" applyBorder="1" applyAlignment="1">
      <alignment horizontal="center"/>
    </xf>
    <xf numFmtId="15" fontId="13" fillId="0" borderId="37" xfId="0" applyNumberFormat="1" applyFont="1" applyFill="1" applyBorder="1" applyAlignment="1">
      <alignment horizontal="center"/>
    </xf>
    <xf numFmtId="171" fontId="13" fillId="0" borderId="0" xfId="0" applyNumberFormat="1" applyFont="1" applyFill="1" applyBorder="1" applyAlignment="1"/>
  </cellXfs>
  <cellStyles count="34">
    <cellStyle name="Comma" xfId="31" builtinId="3"/>
    <cellStyle name="Comma 2" xfId="2"/>
    <cellStyle name="Comma 3" xfId="24"/>
    <cellStyle name="Comma 4" xfId="25"/>
    <cellStyle name="Comma 5" xfId="26"/>
    <cellStyle name="Hyperlink 2" xfId="19"/>
    <cellStyle name="Normal" xfId="0" builtinId="0"/>
    <cellStyle name="Normal 10" xfId="15"/>
    <cellStyle name="Normal 10 2" xfId="22"/>
    <cellStyle name="Normal 10 2 2" xfId="30"/>
    <cellStyle name="Normal 10 3" xfId="29"/>
    <cellStyle name="Normal 11" xfId="21"/>
    <cellStyle name="Normal 12" xfId="32"/>
    <cellStyle name="Normal 13" xfId="33"/>
    <cellStyle name="Normal 2" xfId="3"/>
    <cellStyle name="Normal 2 2" xfId="4"/>
    <cellStyle name="Normal 2 3" xfId="14"/>
    <cellStyle name="Normal 2_BBG - Fixed Income Monitor - converted v2" xfId="13"/>
    <cellStyle name="Normal 3" xfId="5"/>
    <cellStyle name="Normal 4" xfId="6"/>
    <cellStyle name="Normal 5" xfId="1"/>
    <cellStyle name="Normal 5 2" xfId="12"/>
    <cellStyle name="Normal 6" xfId="8"/>
    <cellStyle name="Normal 6 2" xfId="16"/>
    <cellStyle name="Normal 68" xfId="20"/>
    <cellStyle name="Normal 7" xfId="9"/>
    <cellStyle name="Normal 7 2" xfId="17"/>
    <cellStyle name="Normal 8" xfId="10"/>
    <cellStyle name="Normal 8 2" xfId="18"/>
    <cellStyle name="Normal 9" xfId="11"/>
    <cellStyle name="Percent" xfId="28" builtinId="5"/>
    <cellStyle name="Percent 2" xfId="7"/>
    <cellStyle name="Percent 3" xfId="23"/>
    <cellStyle name="Percent 4" xfId="27"/>
  </cellStyles>
  <dxfs count="0"/>
  <tableStyles count="0" defaultTableStyle="TableStyleMedium2" defaultPivotStyle="PivotStyleLight16"/>
  <colors>
    <mruColors>
      <color rgb="FFFF9900"/>
      <color rgb="FF00FFFF"/>
      <color rgb="FFCCFFFF"/>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
<Relationships xmlns="http://schemas.openxmlformats.org/package/2006/relationships">
<Relationship Id="rId1" Target="worksheets/sheet1.xml" Type="http://schemas.openxmlformats.org/officeDocument/2006/relationships/worksheet"/>
<Relationship Id="rId10" Target="worksheets/sheet10.xml" Type="http://schemas.openxmlformats.org/officeDocument/2006/relationships/worksheet"/>
<Relationship Id="rId11" Target="worksheets/sheet11.xml" Type="http://schemas.openxmlformats.org/officeDocument/2006/relationships/worksheet"/>
<Relationship Id="rId12" Target="worksheets/sheet12.xml" Type="http://schemas.openxmlformats.org/officeDocument/2006/relationships/worksheet"/>
<Relationship Id="rId13" Target="worksheets/sheet13.xml" Type="http://schemas.openxmlformats.org/officeDocument/2006/relationships/worksheet"/>
<Relationship Id="rId14" Target="worksheets/sheet14.xml" Type="http://schemas.openxmlformats.org/officeDocument/2006/relationships/worksheet"/>
<Relationship Id="rId15" Target="worksheets/sheet15.xml" Type="http://schemas.openxmlformats.org/officeDocument/2006/relationships/worksheet"/>
<Relationship Id="rId16" Target="worksheets/sheet16.xml" Type="http://schemas.openxmlformats.org/officeDocument/2006/relationships/worksheet"/>
<Relationship Id="rId17" Target="worksheets/sheet17.xml" Type="http://schemas.openxmlformats.org/officeDocument/2006/relationships/worksheet"/>
<Relationship Id="rId18" Target="worksheets/sheet18.xml" Type="http://schemas.openxmlformats.org/officeDocument/2006/relationships/worksheet"/>
<Relationship Id="rId19" Target="worksheets/sheet19.xml" Type="http://schemas.openxmlformats.org/officeDocument/2006/relationships/worksheet"/>
<Relationship Id="rId2" Target="worksheets/sheet2.xml" Type="http://schemas.openxmlformats.org/officeDocument/2006/relationships/worksheet"/>
<Relationship Id="rId20" Target="worksheets/sheet20.xml" Type="http://schemas.openxmlformats.org/officeDocument/2006/relationships/worksheet"/>
<Relationship Id="rId21" Target="worksheets/sheet21.xml" Type="http://schemas.openxmlformats.org/officeDocument/2006/relationships/worksheet"/>
<Relationship Id="rId22" Target="worksheets/sheet22.xml" Type="http://schemas.openxmlformats.org/officeDocument/2006/relationships/worksheet"/>
<Relationship Id="rId23" Target="worksheets/sheet23.xml" Type="http://schemas.openxmlformats.org/officeDocument/2006/relationships/worksheet"/>
<Relationship Id="rId24" Target="worksheets/sheet24.xml" Type="http://schemas.openxmlformats.org/officeDocument/2006/relationships/worksheet"/>
<Relationship Id="rId25" Target="worksheets/sheet25.xml" Type="http://schemas.openxmlformats.org/officeDocument/2006/relationships/worksheet"/>
<Relationship Id="rId26" Target="worksheets/sheet26.xml" Type="http://schemas.openxmlformats.org/officeDocument/2006/relationships/worksheet"/>
<Relationship Id="rId27" Target="worksheets/sheet27.xml" Type="http://schemas.openxmlformats.org/officeDocument/2006/relationships/worksheet"/>
<Relationship Id="rId28" Target="externalLinks/externalLink1.xml" Type="http://schemas.openxmlformats.org/officeDocument/2006/relationships/externalLink"/>
<Relationship Id="rId29" Target="theme/theme1.xml" Type="http://schemas.openxmlformats.org/officeDocument/2006/relationships/theme"/>
<Relationship Id="rId3" Target="worksheets/sheet3.xml" Type="http://schemas.openxmlformats.org/officeDocument/2006/relationships/worksheet"/>
<Relationship Id="rId30" Target="styles.xml" Type="http://schemas.openxmlformats.org/officeDocument/2006/relationships/styles"/>
<Relationship Id="rId31" Target="sharedStrings.xml" Type="http://schemas.openxmlformats.org/officeDocument/2006/relationships/sharedStrings"/>
<Relationship Id="rId32" Target="calcChain.xml" Type="http://schemas.openxmlformats.org/officeDocument/2006/relationships/calcChain"/>
<Relationship Id="rId33" Target="vbaProject.bin" Type="http://schemas.microsoft.com/office/2006/relationships/vbaProject"/>
<Relationship Id="rId4" Target="worksheets/sheet4.xml" Type="http://schemas.openxmlformats.org/officeDocument/2006/relationships/worksheet"/>
<Relationship Id="rId5" Target="worksheets/sheet5.xml" Type="http://schemas.openxmlformats.org/officeDocument/2006/relationships/worksheet"/>
<Relationship Id="rId6" Target="worksheets/sheet6.xml" Type="http://schemas.openxmlformats.org/officeDocument/2006/relationships/worksheet"/>
<Relationship Id="rId7" Target="worksheets/sheet7.xml" Type="http://schemas.openxmlformats.org/officeDocument/2006/relationships/worksheet"/>
<Relationship Id="rId8" Target="worksheets/sheet8.xml" Type="http://schemas.openxmlformats.org/officeDocument/2006/relationships/worksheet"/>
<Relationship Id="rId9" Target="worksheets/sheet9.xml" Type="http://schemas.openxmlformats.org/officeDocument/2006/relationships/worksheet"/>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a:solidFill>
                  <a:schemeClr val="accent1"/>
                </a:solidFill>
                <a:latin typeface="Segoe UI" pitchFamily="34" charset="0"/>
                <a:ea typeface="Segoe UI" pitchFamily="34" charset="0"/>
                <a:cs typeface="Segoe UI" pitchFamily="34" charset="0"/>
              </a:defRPr>
            </a:pPr>
            <a:r>
              <a:rPr lang="en-US" sz="800">
                <a:solidFill>
                  <a:schemeClr val="accent1"/>
                </a:solidFill>
                <a:latin typeface="Segoe UI" pitchFamily="34" charset="0"/>
                <a:ea typeface="Segoe UI" pitchFamily="34" charset="0"/>
                <a:cs typeface="Segoe UI" pitchFamily="34" charset="0"/>
              </a:rPr>
              <a:t>Yield Curve Japan</a:t>
            </a:r>
          </a:p>
        </c:rich>
      </c:tx>
      <c:layout>
        <c:manualLayout>
          <c:xMode val="edge"/>
          <c:yMode val="edge"/>
          <c:x val="0.11284033245844272"/>
          <c:y val="2.3148148148148147E-2"/>
        </c:manualLayout>
      </c:layout>
      <c:overlay val="0"/>
    </c:title>
    <c:autoTitleDeleted val="0"/>
    <c:plotArea>
      <c:layout/>
      <c:lineChart>
        <c:grouping val="standard"/>
        <c:varyColors val="0"/>
        <c:ser>
          <c:idx val="0"/>
          <c:order val="0"/>
          <c:tx>
            <c:strRef>
              <c:f>Results!$H$3</c:f>
              <c:strCache>
                <c:ptCount val="1"/>
                <c:pt idx="0">
                  <c:v>Japan</c:v>
                </c:pt>
              </c:strCache>
            </c:strRef>
          </c:tx>
          <c:spPr>
            <a:ln w="19050"/>
          </c:spPr>
          <c:marker>
            <c:symbol val="none"/>
          </c:marker>
          <c:cat>
            <c:strRef>
              <c:f>Results!$B$15:$B$114</c:f>
              <c:strCache>
                <c:ptCount val="100"/>
                <c:pt idx="0">
                  <c:v>1 Year</c:v>
                </c:pt>
                <c:pt idx="1">
                  <c:v>2 Years</c:v>
                </c:pt>
                <c:pt idx="2">
                  <c:v>3 Years</c:v>
                </c:pt>
                <c:pt idx="3">
                  <c:v>4 Years</c:v>
                </c:pt>
                <c:pt idx="4">
                  <c:v>5 Years</c:v>
                </c:pt>
                <c:pt idx="5">
                  <c:v>6 Years</c:v>
                </c:pt>
                <c:pt idx="6">
                  <c:v>7 Years</c:v>
                </c:pt>
                <c:pt idx="7">
                  <c:v>8 Years</c:v>
                </c:pt>
                <c:pt idx="8">
                  <c:v>9 Years</c:v>
                </c:pt>
                <c:pt idx="9">
                  <c:v>10 Years</c:v>
                </c:pt>
                <c:pt idx="10">
                  <c:v>11 Years</c:v>
                </c:pt>
                <c:pt idx="11">
                  <c:v>12 Years</c:v>
                </c:pt>
                <c:pt idx="12">
                  <c:v>13 Years</c:v>
                </c:pt>
                <c:pt idx="13">
                  <c:v>14 Years</c:v>
                </c:pt>
                <c:pt idx="14">
                  <c:v>15 Years</c:v>
                </c:pt>
                <c:pt idx="15">
                  <c:v>16 Years</c:v>
                </c:pt>
                <c:pt idx="16">
                  <c:v>17 Years</c:v>
                </c:pt>
                <c:pt idx="17">
                  <c:v>18 Years</c:v>
                </c:pt>
                <c:pt idx="18">
                  <c:v>19 Years</c:v>
                </c:pt>
                <c:pt idx="19">
                  <c:v>20 Years</c:v>
                </c:pt>
                <c:pt idx="20">
                  <c:v>21 Years</c:v>
                </c:pt>
                <c:pt idx="21">
                  <c:v>22 Years</c:v>
                </c:pt>
                <c:pt idx="22">
                  <c:v>23 Years</c:v>
                </c:pt>
                <c:pt idx="23">
                  <c:v>24 Years</c:v>
                </c:pt>
                <c:pt idx="24">
                  <c:v>25 Years</c:v>
                </c:pt>
                <c:pt idx="25">
                  <c:v>26 Years</c:v>
                </c:pt>
                <c:pt idx="26">
                  <c:v>27 Years</c:v>
                </c:pt>
                <c:pt idx="27">
                  <c:v>28 Years</c:v>
                </c:pt>
                <c:pt idx="28">
                  <c:v>29 Years</c:v>
                </c:pt>
                <c:pt idx="29">
                  <c:v>30 Years</c:v>
                </c:pt>
                <c:pt idx="30">
                  <c:v>31 Years</c:v>
                </c:pt>
                <c:pt idx="31">
                  <c:v>32 Years</c:v>
                </c:pt>
                <c:pt idx="32">
                  <c:v>33 Years</c:v>
                </c:pt>
                <c:pt idx="33">
                  <c:v>34 Years</c:v>
                </c:pt>
                <c:pt idx="34">
                  <c:v>35 Years</c:v>
                </c:pt>
                <c:pt idx="35">
                  <c:v>36 Years</c:v>
                </c:pt>
                <c:pt idx="36">
                  <c:v>37 Years</c:v>
                </c:pt>
                <c:pt idx="37">
                  <c:v>38 Years</c:v>
                </c:pt>
                <c:pt idx="38">
                  <c:v>39 Years</c:v>
                </c:pt>
                <c:pt idx="39">
                  <c:v>40 Years</c:v>
                </c:pt>
                <c:pt idx="40">
                  <c:v>41 Years</c:v>
                </c:pt>
                <c:pt idx="41">
                  <c:v>42 Years</c:v>
                </c:pt>
                <c:pt idx="42">
                  <c:v>43 Years</c:v>
                </c:pt>
                <c:pt idx="43">
                  <c:v>44 Years</c:v>
                </c:pt>
                <c:pt idx="44">
                  <c:v>45 Years</c:v>
                </c:pt>
                <c:pt idx="45">
                  <c:v>46 Years</c:v>
                </c:pt>
                <c:pt idx="46">
                  <c:v>47 Years</c:v>
                </c:pt>
                <c:pt idx="47">
                  <c:v>48 Years</c:v>
                </c:pt>
                <c:pt idx="48">
                  <c:v>49 Years</c:v>
                </c:pt>
                <c:pt idx="49">
                  <c:v>50 Years</c:v>
                </c:pt>
                <c:pt idx="50">
                  <c:v>51 Years</c:v>
                </c:pt>
                <c:pt idx="51">
                  <c:v>52 Years</c:v>
                </c:pt>
                <c:pt idx="52">
                  <c:v>53 Years</c:v>
                </c:pt>
                <c:pt idx="53">
                  <c:v>54 Years</c:v>
                </c:pt>
                <c:pt idx="54">
                  <c:v>55 Years</c:v>
                </c:pt>
                <c:pt idx="55">
                  <c:v>56 Years</c:v>
                </c:pt>
                <c:pt idx="56">
                  <c:v>57 Years</c:v>
                </c:pt>
                <c:pt idx="57">
                  <c:v>58 Years</c:v>
                </c:pt>
                <c:pt idx="58">
                  <c:v>59 Years</c:v>
                </c:pt>
                <c:pt idx="59">
                  <c:v>60 Years</c:v>
                </c:pt>
                <c:pt idx="60">
                  <c:v>61 Years</c:v>
                </c:pt>
                <c:pt idx="61">
                  <c:v>62 Years</c:v>
                </c:pt>
                <c:pt idx="62">
                  <c:v>63 Years</c:v>
                </c:pt>
                <c:pt idx="63">
                  <c:v>64 Years</c:v>
                </c:pt>
                <c:pt idx="64">
                  <c:v>65 Years</c:v>
                </c:pt>
                <c:pt idx="65">
                  <c:v>66 Years</c:v>
                </c:pt>
                <c:pt idx="66">
                  <c:v>67 Years</c:v>
                </c:pt>
                <c:pt idx="67">
                  <c:v>68 Years</c:v>
                </c:pt>
                <c:pt idx="68">
                  <c:v>69 Years</c:v>
                </c:pt>
                <c:pt idx="69">
                  <c:v>70 Years</c:v>
                </c:pt>
                <c:pt idx="70">
                  <c:v>71 Years</c:v>
                </c:pt>
                <c:pt idx="71">
                  <c:v>72 Years</c:v>
                </c:pt>
                <c:pt idx="72">
                  <c:v>73 Years</c:v>
                </c:pt>
                <c:pt idx="73">
                  <c:v>74 Years</c:v>
                </c:pt>
                <c:pt idx="74">
                  <c:v>75 Years</c:v>
                </c:pt>
                <c:pt idx="75">
                  <c:v>76 Years</c:v>
                </c:pt>
                <c:pt idx="76">
                  <c:v>77 Years</c:v>
                </c:pt>
                <c:pt idx="77">
                  <c:v>78 Years</c:v>
                </c:pt>
                <c:pt idx="78">
                  <c:v>79 Years</c:v>
                </c:pt>
                <c:pt idx="79">
                  <c:v>80 Years</c:v>
                </c:pt>
                <c:pt idx="80">
                  <c:v>81 Years</c:v>
                </c:pt>
                <c:pt idx="81">
                  <c:v>82 Years</c:v>
                </c:pt>
                <c:pt idx="82">
                  <c:v>83 Years</c:v>
                </c:pt>
                <c:pt idx="83">
                  <c:v>84 Years</c:v>
                </c:pt>
                <c:pt idx="84">
                  <c:v>85 Years</c:v>
                </c:pt>
                <c:pt idx="85">
                  <c:v>86 Years</c:v>
                </c:pt>
                <c:pt idx="86">
                  <c:v>87 Years</c:v>
                </c:pt>
                <c:pt idx="87">
                  <c:v>88 Years</c:v>
                </c:pt>
                <c:pt idx="88">
                  <c:v>89 Years</c:v>
                </c:pt>
                <c:pt idx="89">
                  <c:v>90 Years</c:v>
                </c:pt>
                <c:pt idx="90">
                  <c:v>91 Years</c:v>
                </c:pt>
                <c:pt idx="91">
                  <c:v>92 Years</c:v>
                </c:pt>
                <c:pt idx="92">
                  <c:v>93 Years</c:v>
                </c:pt>
                <c:pt idx="93">
                  <c:v>94 Years</c:v>
                </c:pt>
                <c:pt idx="94">
                  <c:v>95 Years</c:v>
                </c:pt>
                <c:pt idx="95">
                  <c:v>96 Years</c:v>
                </c:pt>
                <c:pt idx="96">
                  <c:v>97 Years</c:v>
                </c:pt>
                <c:pt idx="97">
                  <c:v>98 Years</c:v>
                </c:pt>
                <c:pt idx="98">
                  <c:v>99 Years</c:v>
                </c:pt>
                <c:pt idx="99">
                  <c:v>100 Years</c:v>
                </c:pt>
              </c:strCache>
            </c:strRef>
          </c:cat>
          <c:val>
            <c:numRef>
              <c:f>Results!$H$15:$H$114</c:f>
              <c:numCache>
                <c:formatCode>0.00%</c:formatCode>
                <c:ptCount val="100"/>
                <c:pt idx="0">
                  <c:v>-1.6373983914076177E-3</c:v>
                </c:pt>
                <c:pt idx="1">
                  <c:v>-1.9870835674379306E-3</c:v>
                </c:pt>
                <c:pt idx="2">
                  <c:v>-2.1493487963420987E-3</c:v>
                </c:pt>
                <c:pt idx="3">
                  <c:v>-2.149428957855859E-3</c:v>
                </c:pt>
                <c:pt idx="4">
                  <c:v>-2.0311059656547004E-3</c:v>
                </c:pt>
                <c:pt idx="5">
                  <c:v>-1.8502535120539232E-3</c:v>
                </c:pt>
                <c:pt idx="6">
                  <c:v>-1.6009224738916528E-3</c:v>
                </c:pt>
                <c:pt idx="7">
                  <c:v>-1.3131157047810982E-3</c:v>
                </c:pt>
                <c:pt idx="8">
                  <c:v>-9.8746087938861304E-4</c:v>
                </c:pt>
                <c:pt idx="9">
                  <c:v>-6.4844792598328649E-4</c:v>
                </c:pt>
                <c:pt idx="10">
                  <c:v>-3.0848994180032729E-4</c:v>
                </c:pt>
                <c:pt idx="11">
                  <c:v>1.9851242194279806E-5</c:v>
                </c:pt>
                <c:pt idx="12">
                  <c:v>3.3654782059699961E-4</c:v>
                </c:pt>
                <c:pt idx="13">
                  <c:v>6.6710538810554887E-4</c:v>
                </c:pt>
                <c:pt idx="14">
                  <c:v>9.8612781060802845E-4</c:v>
                </c:pt>
                <c:pt idx="15">
                  <c:v>1.12865698148501E-3</c:v>
                </c:pt>
                <c:pt idx="16">
                  <c:v>1.4267485859058571E-3</c:v>
                </c:pt>
                <c:pt idx="17">
                  <c:v>1.7309455950169639E-3</c:v>
                </c:pt>
                <c:pt idx="18">
                  <c:v>1.8434312847144252E-3</c:v>
                </c:pt>
                <c:pt idx="19">
                  <c:v>2.2369764308116658E-3</c:v>
                </c:pt>
                <c:pt idx="20">
                  <c:v>2.3870536180243818E-3</c:v>
                </c:pt>
                <c:pt idx="21">
                  <c:v>2.5372579519034044E-3</c:v>
                </c:pt>
                <c:pt idx="22">
                  <c:v>2.6866277777766179E-3</c:v>
                </c:pt>
                <c:pt idx="23">
                  <c:v>2.8343476472256768E-3</c:v>
                </c:pt>
                <c:pt idx="24">
                  <c:v>2.9797257627623974E-3</c:v>
                </c:pt>
                <c:pt idx="25">
                  <c:v>3.0817100289419752E-3</c:v>
                </c:pt>
                <c:pt idx="26">
                  <c:v>3.1802637302249526E-3</c:v>
                </c:pt>
                <c:pt idx="27">
                  <c:v>3.2749608425728383E-3</c:v>
                </c:pt>
                <c:pt idx="28">
                  <c:v>3.3654387314256962E-3</c:v>
                </c:pt>
                <c:pt idx="29">
                  <c:v>3.4513887177771707E-3</c:v>
                </c:pt>
                <c:pt idx="30">
                  <c:v>3.5854475956933474E-3</c:v>
                </c:pt>
                <c:pt idx="31">
                  <c:v>3.777834108118272E-3</c:v>
                </c:pt>
                <c:pt idx="32">
                  <c:v>4.0247311501651062E-3</c:v>
                </c:pt>
                <c:pt idx="33">
                  <c:v>4.3223871552950932E-3</c:v>
                </c:pt>
                <c:pt idx="34">
                  <c:v>4.6671023647100185E-3</c:v>
                </c:pt>
                <c:pt idx="35">
                  <c:v>5.0552258181890686E-3</c:v>
                </c:pt>
                <c:pt idx="36">
                  <c:v>5.4831468460763144E-3</c:v>
                </c:pt>
                <c:pt idx="37">
                  <c:v>5.9472913481302125E-3</c:v>
                </c:pt>
                <c:pt idx="38">
                  <c:v>6.4441164256237027E-3</c:v>
                </c:pt>
                <c:pt idx="39">
                  <c:v>6.970107523498692E-3</c:v>
                </c:pt>
                <c:pt idx="40">
                  <c:v>7.521775561736721E-3</c:v>
                </c:pt>
                <c:pt idx="41">
                  <c:v>8.0956527809381562E-3</c:v>
                </c:pt>
                <c:pt idx="42">
                  <c:v>8.6882919087174493E-3</c:v>
                </c:pt>
                <c:pt idx="43">
                  <c:v>9.2962624120642712E-3</c:v>
                </c:pt>
                <c:pt idx="44">
                  <c:v>9.916151347296287E-3</c:v>
                </c:pt>
                <c:pt idx="45">
                  <c:v>1.0544558190680675E-2</c:v>
                </c:pt>
                <c:pt idx="46">
                  <c:v>1.1178096484584454E-2</c:v>
                </c:pt>
                <c:pt idx="47">
                  <c:v>1.1813390736431506E-2</c:v>
                </c:pt>
                <c:pt idx="48">
                  <c:v>1.244707638008502E-2</c:v>
                </c:pt>
                <c:pt idx="49">
                  <c:v>1.3075797838020708E-2</c:v>
                </c:pt>
                <c:pt idx="50">
                  <c:v>1.3696208547139266E-2</c:v>
                </c:pt>
                <c:pt idx="51">
                  <c:v>1.4304969215339192E-2</c:v>
                </c:pt>
                <c:pt idx="52">
                  <c:v>1.4898748136799922E-2</c:v>
                </c:pt>
                <c:pt idx="53">
                  <c:v>1.547421918645786E-2</c:v>
                </c:pt>
                <c:pt idx="54">
                  <c:v>1.6028062554165556E-2</c:v>
                </c:pt>
                <c:pt idx="55">
                  <c:v>1.6556963453084883E-2</c:v>
                </c:pt>
                <c:pt idx="56">
                  <c:v>1.705761189334698E-2</c:v>
                </c:pt>
                <c:pt idx="57">
                  <c:v>1.7526701841353409E-2</c:v>
                </c:pt>
                <c:pt idx="58">
                  <c:v>1.7960931445947237E-2</c:v>
                </c:pt>
                <c:pt idx="59">
                  <c:v>1.8357002129440136E-2</c:v>
                </c:pt>
                <c:pt idx="60">
                  <c:v>1.8740233496330916E-2</c:v>
                </c:pt>
                <c:pt idx="61">
                  <c:v>1.911123987606711E-2</c:v>
                </c:pt>
                <c:pt idx="62">
                  <c:v>1.9470597022770209E-2</c:v>
                </c:pt>
                <c:pt idx="63">
                  <c:v>1.9818845096123638E-2</c:v>
                </c:pt>
                <c:pt idx="64">
                  <c:v>2.0156491370062923E-2</c:v>
                </c:pt>
                <c:pt idx="65">
                  <c:v>2.0484012697829623E-2</c:v>
                </c:pt>
                <c:pt idx="66">
                  <c:v>2.0801857758578235E-2</c:v>
                </c:pt>
                <c:pt idx="67">
                  <c:v>2.1110449107789586E-2</c:v>
                </c:pt>
                <c:pt idx="68">
                  <c:v>2.1410185051193409E-2</c:v>
                </c:pt>
                <c:pt idx="69">
                  <c:v>2.1701441359671669E-2</c:v>
                </c:pt>
                <c:pt idx="70">
                  <c:v>2.1984572840666017E-2</c:v>
                </c:pt>
                <c:pt idx="71">
                  <c:v>2.2259914779904522E-2</c:v>
                </c:pt>
                <c:pt idx="72">
                  <c:v>2.2527784265763851E-2</c:v>
                </c:pt>
                <c:pt idx="73">
                  <c:v>2.2788481407263195E-2</c:v>
                </c:pt>
                <c:pt idx="74">
                  <c:v>2.3042290455524972E-2</c:v>
                </c:pt>
                <c:pt idx="75">
                  <c:v>2.328948083751281E-2</c:v>
                </c:pt>
                <c:pt idx="76">
                  <c:v>2.3530308109947384E-2</c:v>
                </c:pt>
                <c:pt idx="77">
                  <c:v>2.3765014840501086E-2</c:v>
                </c:pt>
                <c:pt idx="78">
                  <c:v>2.3993831422656209E-2</c:v>
                </c:pt>
                <c:pt idx="79">
                  <c:v>2.4216976829982029E-2</c:v>
                </c:pt>
                <c:pt idx="80">
                  <c:v>2.4434659315020424E-2</c:v>
                </c:pt>
                <c:pt idx="81">
                  <c:v>2.4647077057467826E-2</c:v>
                </c:pt>
                <c:pt idx="82">
                  <c:v>2.4854418765894115E-2</c:v>
                </c:pt>
                <c:pt idx="83">
                  <c:v>2.5056864236838061E-2</c:v>
                </c:pt>
                <c:pt idx="84">
                  <c:v>2.5254584874760955E-2</c:v>
                </c:pt>
                <c:pt idx="85">
                  <c:v>2.5447744176018139E-2</c:v>
                </c:pt>
                <c:pt idx="86">
                  <c:v>2.5636498179719691E-2</c:v>
                </c:pt>
                <c:pt idx="87">
                  <c:v>2.5820995888094833E-2</c:v>
                </c:pt>
                <c:pt idx="88">
                  <c:v>2.6001379658738166E-2</c:v>
                </c:pt>
                <c:pt idx="89">
                  <c:v>2.6177785570908885E-2</c:v>
                </c:pt>
                <c:pt idx="90">
                  <c:v>2.6350343767862716E-2</c:v>
                </c:pt>
                <c:pt idx="91">
                  <c:v>2.6519178777027141E-2</c:v>
                </c:pt>
                <c:pt idx="92">
                  <c:v>2.6684409809674348E-2</c:v>
                </c:pt>
                <c:pt idx="93">
                  <c:v>2.6846151041608035E-2</c:v>
                </c:pt>
                <c:pt idx="94">
                  <c:v>2.7004511876252302E-2</c:v>
                </c:pt>
                <c:pt idx="95">
                  <c:v>2.7159597191416696E-2</c:v>
                </c:pt>
                <c:pt idx="96">
                  <c:v>2.7311507570906723E-2</c:v>
                </c:pt>
                <c:pt idx="97">
                  <c:v>2.7460339522054733E-2</c:v>
                </c:pt>
                <c:pt idx="98">
                  <c:v>2.7606185680160156E-2</c:v>
                </c:pt>
                <c:pt idx="99">
                  <c:v>2.7749135000748382E-2</c:v>
                </c:pt>
              </c:numCache>
            </c:numRef>
          </c:val>
          <c:smooth val="0"/>
          <c:extLst>
            <c:ext xmlns:c16="http://schemas.microsoft.com/office/drawing/2014/chart" uri="{C3380CC4-5D6E-409C-BE32-E72D297353CC}">
              <c16:uniqueId val="{00000000-238F-4BAC-BA4D-51504AB402DF}"/>
            </c:ext>
          </c:extLst>
        </c:ser>
        <c:dLbls>
          <c:showLegendKey val="0"/>
          <c:showVal val="0"/>
          <c:showCatName val="0"/>
          <c:showSerName val="0"/>
          <c:showPercent val="0"/>
          <c:showBubbleSize val="0"/>
        </c:dLbls>
        <c:smooth val="0"/>
        <c:axId val="68368256"/>
        <c:axId val="68369792"/>
      </c:lineChart>
      <c:catAx>
        <c:axId val="68368256"/>
        <c:scaling>
          <c:orientation val="minMax"/>
        </c:scaling>
        <c:delete val="0"/>
        <c:axPos val="b"/>
        <c:numFmt formatCode="General" sourceLinked="0"/>
        <c:majorTickMark val="out"/>
        <c:minorTickMark val="none"/>
        <c:tickLblPos val="nextTo"/>
        <c:txPr>
          <a:bodyPr/>
          <a:lstStyle/>
          <a:p>
            <a:pPr>
              <a:defRPr sz="800">
                <a:latin typeface="Segoe UI" pitchFamily="34" charset="0"/>
                <a:ea typeface="Segoe UI" pitchFamily="34" charset="0"/>
                <a:cs typeface="Segoe UI" pitchFamily="34" charset="0"/>
              </a:defRPr>
            </a:pPr>
            <a:endParaRPr lang="en-US"/>
          </a:p>
        </c:txPr>
        <c:crossAx val="68369792"/>
        <c:crosses val="autoZero"/>
        <c:auto val="1"/>
        <c:lblAlgn val="ctr"/>
        <c:lblOffset val="100"/>
        <c:noMultiLvlLbl val="0"/>
      </c:catAx>
      <c:valAx>
        <c:axId val="68369792"/>
        <c:scaling>
          <c:orientation val="minMax"/>
        </c:scaling>
        <c:delete val="0"/>
        <c:axPos val="l"/>
        <c:majorGridlines>
          <c:spPr>
            <a:ln>
              <a:noFill/>
            </a:ln>
          </c:spPr>
        </c:majorGridlines>
        <c:numFmt formatCode="0.0%" sourceLinked="0"/>
        <c:majorTickMark val="out"/>
        <c:minorTickMark val="none"/>
        <c:tickLblPos val="nextTo"/>
        <c:txPr>
          <a:bodyPr/>
          <a:lstStyle/>
          <a:p>
            <a:pPr>
              <a:defRPr sz="800">
                <a:latin typeface="Segoe UI" pitchFamily="34" charset="0"/>
                <a:ea typeface="Segoe UI" pitchFamily="34" charset="0"/>
                <a:cs typeface="Segoe UI" pitchFamily="34" charset="0"/>
              </a:defRPr>
            </a:pPr>
            <a:endParaRPr lang="en-US"/>
          </a:p>
        </c:txPr>
        <c:crossAx val="68368256"/>
        <c:crosses val="autoZero"/>
        <c:crossBetween val="between"/>
      </c:valAx>
      <c:spPr>
        <a:ln>
          <a:solidFill>
            <a:schemeClr val="tx1"/>
          </a:solidFill>
        </a:ln>
      </c:spPr>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a:solidFill>
                  <a:schemeClr val="accent1"/>
                </a:solidFill>
                <a:latin typeface="Segoe UI" pitchFamily="34" charset="0"/>
                <a:ea typeface="Segoe UI" pitchFamily="34" charset="0"/>
                <a:cs typeface="Segoe UI" pitchFamily="34" charset="0"/>
              </a:defRPr>
            </a:pPr>
            <a:r>
              <a:rPr lang="en-US" sz="800">
                <a:solidFill>
                  <a:schemeClr val="accent1"/>
                </a:solidFill>
                <a:latin typeface="Segoe UI" pitchFamily="34" charset="0"/>
                <a:ea typeface="Segoe UI" pitchFamily="34" charset="0"/>
                <a:cs typeface="Segoe UI" pitchFamily="34" charset="0"/>
              </a:rPr>
              <a:t>Yield Curve United States</a:t>
            </a:r>
          </a:p>
        </c:rich>
      </c:tx>
      <c:layout>
        <c:manualLayout>
          <c:xMode val="edge"/>
          <c:yMode val="edge"/>
          <c:x val="0.11284033245844272"/>
          <c:y val="2.3148148148148147E-2"/>
        </c:manualLayout>
      </c:layout>
      <c:overlay val="0"/>
    </c:title>
    <c:autoTitleDeleted val="0"/>
    <c:plotArea>
      <c:layout/>
      <c:lineChart>
        <c:grouping val="standard"/>
        <c:varyColors val="0"/>
        <c:ser>
          <c:idx val="0"/>
          <c:order val="0"/>
          <c:tx>
            <c:strRef>
              <c:f>Results!$C$3</c:f>
              <c:strCache>
                <c:ptCount val="1"/>
                <c:pt idx="0">
                  <c:v>US</c:v>
                </c:pt>
              </c:strCache>
            </c:strRef>
          </c:tx>
          <c:spPr>
            <a:ln w="19050"/>
          </c:spPr>
          <c:marker>
            <c:symbol val="none"/>
          </c:marker>
          <c:cat>
            <c:strRef>
              <c:f>Results!$B$15:$B$114</c:f>
              <c:strCache>
                <c:ptCount val="100"/>
                <c:pt idx="0">
                  <c:v>1 Year</c:v>
                </c:pt>
                <c:pt idx="1">
                  <c:v>2 Years</c:v>
                </c:pt>
                <c:pt idx="2">
                  <c:v>3 Years</c:v>
                </c:pt>
                <c:pt idx="3">
                  <c:v>4 Years</c:v>
                </c:pt>
                <c:pt idx="4">
                  <c:v>5 Years</c:v>
                </c:pt>
                <c:pt idx="5">
                  <c:v>6 Years</c:v>
                </c:pt>
                <c:pt idx="6">
                  <c:v>7 Years</c:v>
                </c:pt>
                <c:pt idx="7">
                  <c:v>8 Years</c:v>
                </c:pt>
                <c:pt idx="8">
                  <c:v>9 Years</c:v>
                </c:pt>
                <c:pt idx="9">
                  <c:v>10 Years</c:v>
                </c:pt>
                <c:pt idx="10">
                  <c:v>11 Years</c:v>
                </c:pt>
                <c:pt idx="11">
                  <c:v>12 Years</c:v>
                </c:pt>
                <c:pt idx="12">
                  <c:v>13 Years</c:v>
                </c:pt>
                <c:pt idx="13">
                  <c:v>14 Years</c:v>
                </c:pt>
                <c:pt idx="14">
                  <c:v>15 Years</c:v>
                </c:pt>
                <c:pt idx="15">
                  <c:v>16 Years</c:v>
                </c:pt>
                <c:pt idx="16">
                  <c:v>17 Years</c:v>
                </c:pt>
                <c:pt idx="17">
                  <c:v>18 Years</c:v>
                </c:pt>
                <c:pt idx="18">
                  <c:v>19 Years</c:v>
                </c:pt>
                <c:pt idx="19">
                  <c:v>20 Years</c:v>
                </c:pt>
                <c:pt idx="20">
                  <c:v>21 Years</c:v>
                </c:pt>
                <c:pt idx="21">
                  <c:v>22 Years</c:v>
                </c:pt>
                <c:pt idx="22">
                  <c:v>23 Years</c:v>
                </c:pt>
                <c:pt idx="23">
                  <c:v>24 Years</c:v>
                </c:pt>
                <c:pt idx="24">
                  <c:v>25 Years</c:v>
                </c:pt>
                <c:pt idx="25">
                  <c:v>26 Years</c:v>
                </c:pt>
                <c:pt idx="26">
                  <c:v>27 Years</c:v>
                </c:pt>
                <c:pt idx="27">
                  <c:v>28 Years</c:v>
                </c:pt>
                <c:pt idx="28">
                  <c:v>29 Years</c:v>
                </c:pt>
                <c:pt idx="29">
                  <c:v>30 Years</c:v>
                </c:pt>
                <c:pt idx="30">
                  <c:v>31 Years</c:v>
                </c:pt>
                <c:pt idx="31">
                  <c:v>32 Years</c:v>
                </c:pt>
                <c:pt idx="32">
                  <c:v>33 Years</c:v>
                </c:pt>
                <c:pt idx="33">
                  <c:v>34 Years</c:v>
                </c:pt>
                <c:pt idx="34">
                  <c:v>35 Years</c:v>
                </c:pt>
                <c:pt idx="35">
                  <c:v>36 Years</c:v>
                </c:pt>
                <c:pt idx="36">
                  <c:v>37 Years</c:v>
                </c:pt>
                <c:pt idx="37">
                  <c:v>38 Years</c:v>
                </c:pt>
                <c:pt idx="38">
                  <c:v>39 Years</c:v>
                </c:pt>
                <c:pt idx="39">
                  <c:v>40 Years</c:v>
                </c:pt>
                <c:pt idx="40">
                  <c:v>41 Years</c:v>
                </c:pt>
                <c:pt idx="41">
                  <c:v>42 Years</c:v>
                </c:pt>
                <c:pt idx="42">
                  <c:v>43 Years</c:v>
                </c:pt>
                <c:pt idx="43">
                  <c:v>44 Years</c:v>
                </c:pt>
                <c:pt idx="44">
                  <c:v>45 Years</c:v>
                </c:pt>
                <c:pt idx="45">
                  <c:v>46 Years</c:v>
                </c:pt>
                <c:pt idx="46">
                  <c:v>47 Years</c:v>
                </c:pt>
                <c:pt idx="47">
                  <c:v>48 Years</c:v>
                </c:pt>
                <c:pt idx="48">
                  <c:v>49 Years</c:v>
                </c:pt>
                <c:pt idx="49">
                  <c:v>50 Years</c:v>
                </c:pt>
                <c:pt idx="50">
                  <c:v>51 Years</c:v>
                </c:pt>
                <c:pt idx="51">
                  <c:v>52 Years</c:v>
                </c:pt>
                <c:pt idx="52">
                  <c:v>53 Years</c:v>
                </c:pt>
                <c:pt idx="53">
                  <c:v>54 Years</c:v>
                </c:pt>
                <c:pt idx="54">
                  <c:v>55 Years</c:v>
                </c:pt>
                <c:pt idx="55">
                  <c:v>56 Years</c:v>
                </c:pt>
                <c:pt idx="56">
                  <c:v>57 Years</c:v>
                </c:pt>
                <c:pt idx="57">
                  <c:v>58 Years</c:v>
                </c:pt>
                <c:pt idx="58">
                  <c:v>59 Years</c:v>
                </c:pt>
                <c:pt idx="59">
                  <c:v>60 Years</c:v>
                </c:pt>
                <c:pt idx="60">
                  <c:v>61 Years</c:v>
                </c:pt>
                <c:pt idx="61">
                  <c:v>62 Years</c:v>
                </c:pt>
                <c:pt idx="62">
                  <c:v>63 Years</c:v>
                </c:pt>
                <c:pt idx="63">
                  <c:v>64 Years</c:v>
                </c:pt>
                <c:pt idx="64">
                  <c:v>65 Years</c:v>
                </c:pt>
                <c:pt idx="65">
                  <c:v>66 Years</c:v>
                </c:pt>
                <c:pt idx="66">
                  <c:v>67 Years</c:v>
                </c:pt>
                <c:pt idx="67">
                  <c:v>68 Years</c:v>
                </c:pt>
                <c:pt idx="68">
                  <c:v>69 Years</c:v>
                </c:pt>
                <c:pt idx="69">
                  <c:v>70 Years</c:v>
                </c:pt>
                <c:pt idx="70">
                  <c:v>71 Years</c:v>
                </c:pt>
                <c:pt idx="71">
                  <c:v>72 Years</c:v>
                </c:pt>
                <c:pt idx="72">
                  <c:v>73 Years</c:v>
                </c:pt>
                <c:pt idx="73">
                  <c:v>74 Years</c:v>
                </c:pt>
                <c:pt idx="74">
                  <c:v>75 Years</c:v>
                </c:pt>
                <c:pt idx="75">
                  <c:v>76 Years</c:v>
                </c:pt>
                <c:pt idx="76">
                  <c:v>77 Years</c:v>
                </c:pt>
                <c:pt idx="77">
                  <c:v>78 Years</c:v>
                </c:pt>
                <c:pt idx="78">
                  <c:v>79 Years</c:v>
                </c:pt>
                <c:pt idx="79">
                  <c:v>80 Years</c:v>
                </c:pt>
                <c:pt idx="80">
                  <c:v>81 Years</c:v>
                </c:pt>
                <c:pt idx="81">
                  <c:v>82 Years</c:v>
                </c:pt>
                <c:pt idx="82">
                  <c:v>83 Years</c:v>
                </c:pt>
                <c:pt idx="83">
                  <c:v>84 Years</c:v>
                </c:pt>
                <c:pt idx="84">
                  <c:v>85 Years</c:v>
                </c:pt>
                <c:pt idx="85">
                  <c:v>86 Years</c:v>
                </c:pt>
                <c:pt idx="86">
                  <c:v>87 Years</c:v>
                </c:pt>
                <c:pt idx="87">
                  <c:v>88 Years</c:v>
                </c:pt>
                <c:pt idx="88">
                  <c:v>89 Years</c:v>
                </c:pt>
                <c:pt idx="89">
                  <c:v>90 Years</c:v>
                </c:pt>
                <c:pt idx="90">
                  <c:v>91 Years</c:v>
                </c:pt>
                <c:pt idx="91">
                  <c:v>92 Years</c:v>
                </c:pt>
                <c:pt idx="92">
                  <c:v>93 Years</c:v>
                </c:pt>
                <c:pt idx="93">
                  <c:v>94 Years</c:v>
                </c:pt>
                <c:pt idx="94">
                  <c:v>95 Years</c:v>
                </c:pt>
                <c:pt idx="95">
                  <c:v>96 Years</c:v>
                </c:pt>
                <c:pt idx="96">
                  <c:v>97 Years</c:v>
                </c:pt>
                <c:pt idx="97">
                  <c:v>98 Years</c:v>
                </c:pt>
                <c:pt idx="98">
                  <c:v>99 Years</c:v>
                </c:pt>
                <c:pt idx="99">
                  <c:v>100 Years</c:v>
                </c:pt>
              </c:strCache>
            </c:strRef>
          </c:cat>
          <c:val>
            <c:numRef>
              <c:f>Results!$C$15:$C$114</c:f>
              <c:numCache>
                <c:formatCode>0.00%</c:formatCode>
                <c:ptCount val="100"/>
                <c:pt idx="0">
                  <c:v>1.952929505371246E-2</c:v>
                </c:pt>
                <c:pt idx="1">
                  <c:v>1.7406770945633809E-2</c:v>
                </c:pt>
                <c:pt idx="2">
                  <c:v>1.6757410720336541E-2</c:v>
                </c:pt>
                <c:pt idx="3">
                  <c:v>1.6679573407552439E-2</c:v>
                </c:pt>
                <c:pt idx="4">
                  <c:v>1.6905057495559594E-2</c:v>
                </c:pt>
                <c:pt idx="5">
                  <c:v>1.7299256329449619E-2</c:v>
                </c:pt>
                <c:pt idx="6">
                  <c:v>1.771971083731505E-2</c:v>
                </c:pt>
                <c:pt idx="7">
                  <c:v>1.8176386163717861E-2</c:v>
                </c:pt>
                <c:pt idx="8">
                  <c:v>1.861904203992748E-2</c:v>
                </c:pt>
                <c:pt idx="9">
                  <c:v>1.905003642683667E-2</c:v>
                </c:pt>
                <c:pt idx="10">
                  <c:v>1.9478458271875443E-2</c:v>
                </c:pt>
                <c:pt idx="11">
                  <c:v>1.983923839707602E-2</c:v>
                </c:pt>
                <c:pt idx="12">
                  <c:v>2.0149519056825937E-2</c:v>
                </c:pt>
                <c:pt idx="13">
                  <c:v>2.0428212208356555E-2</c:v>
                </c:pt>
                <c:pt idx="14">
                  <c:v>2.0656691352857859E-2</c:v>
                </c:pt>
                <c:pt idx="15">
                  <c:v>2.0870131741579812E-2</c:v>
                </c:pt>
                <c:pt idx="16">
                  <c:v>2.1053405114989987E-2</c:v>
                </c:pt>
                <c:pt idx="17">
                  <c:v>2.1194596319977776E-2</c:v>
                </c:pt>
                <c:pt idx="18">
                  <c:v>2.1316717445716726E-2</c:v>
                </c:pt>
                <c:pt idx="19">
                  <c:v>2.1425668316977564E-2</c:v>
                </c:pt>
                <c:pt idx="20">
                  <c:v>2.149451104200284E-2</c:v>
                </c:pt>
                <c:pt idx="21">
                  <c:v>2.1556897790143026E-2</c:v>
                </c:pt>
                <c:pt idx="22">
                  <c:v>2.1612297827703131E-2</c:v>
                </c:pt>
                <c:pt idx="23">
                  <c:v>2.1660282562339095E-2</c:v>
                </c:pt>
                <c:pt idx="24">
                  <c:v>2.170051217063973E-2</c:v>
                </c:pt>
                <c:pt idx="25">
                  <c:v>2.1732933159478218E-2</c:v>
                </c:pt>
                <c:pt idx="26">
                  <c:v>2.1757147404315669E-2</c:v>
                </c:pt>
                <c:pt idx="27">
                  <c:v>2.1773023832715843E-2</c:v>
                </c:pt>
                <c:pt idx="28">
                  <c:v>2.1780484432521341E-2</c:v>
                </c:pt>
                <c:pt idx="29">
                  <c:v>2.1779498739273428E-2</c:v>
                </c:pt>
                <c:pt idx="30">
                  <c:v>2.181913447865913E-2</c:v>
                </c:pt>
                <c:pt idx="31">
                  <c:v>2.1911074909828354E-2</c:v>
                </c:pt>
                <c:pt idx="32">
                  <c:v>2.2051998782845139E-2</c:v>
                </c:pt>
                <c:pt idx="33">
                  <c:v>2.2238573951176788E-2</c:v>
                </c:pt>
                <c:pt idx="34">
                  <c:v>2.2467451672733674E-2</c:v>
                </c:pt>
                <c:pt idx="35">
                  <c:v>2.2735273903067288E-2</c:v>
                </c:pt>
                <c:pt idx="36">
                  <c:v>2.3038670779123471E-2</c:v>
                </c:pt>
                <c:pt idx="37">
                  <c:v>2.3374260971228855E-2</c:v>
                </c:pt>
                <c:pt idx="38">
                  <c:v>2.3738654963271655E-2</c:v>
                </c:pt>
                <c:pt idx="39">
                  <c:v>2.4128451230467585E-2</c:v>
                </c:pt>
                <c:pt idx="40">
                  <c:v>2.4540240991951956E-2</c:v>
                </c:pt>
                <c:pt idx="41">
                  <c:v>2.4970604010869035E-2</c:v>
                </c:pt>
                <c:pt idx="42">
                  <c:v>2.5416112020753445E-2</c:v>
                </c:pt>
                <c:pt idx="43">
                  <c:v>2.5873326469250557E-2</c:v>
                </c:pt>
                <c:pt idx="44">
                  <c:v>2.6338800789353689E-2</c:v>
                </c:pt>
                <c:pt idx="45">
                  <c:v>2.6809077573221485E-2</c:v>
                </c:pt>
                <c:pt idx="46">
                  <c:v>2.7280691395632939E-2</c:v>
                </c:pt>
                <c:pt idx="47">
                  <c:v>2.7750167271984427E-2</c:v>
                </c:pt>
                <c:pt idx="48">
                  <c:v>2.8214021961272318E-2</c:v>
                </c:pt>
                <c:pt idx="49">
                  <c:v>2.8668762671885784E-2</c:v>
                </c:pt>
                <c:pt idx="50">
                  <c:v>2.9110888112405586E-2</c:v>
                </c:pt>
                <c:pt idx="51">
                  <c:v>2.9536888271721518E-2</c:v>
                </c:pt>
                <c:pt idx="52">
                  <c:v>2.9943245270675822E-2</c:v>
                </c:pt>
                <c:pt idx="53">
                  <c:v>3.0326431726772407E-2</c:v>
                </c:pt>
                <c:pt idx="54">
                  <c:v>3.0682913289803659E-2</c:v>
                </c:pt>
                <c:pt idx="55">
                  <c:v>3.100914697829027E-2</c:v>
                </c:pt>
                <c:pt idx="56">
                  <c:v>3.1301582360641067E-2</c:v>
                </c:pt>
                <c:pt idx="57">
                  <c:v>3.1556660939524139E-2</c:v>
                </c:pt>
                <c:pt idx="58">
                  <c:v>3.1770817140597041E-2</c:v>
                </c:pt>
                <c:pt idx="59">
                  <c:v>3.1940477895748387E-2</c:v>
                </c:pt>
                <c:pt idx="60">
                  <c:v>3.2104602544500649E-2</c:v>
                </c:pt>
                <c:pt idx="61">
                  <c:v>3.2263457703380682E-2</c:v>
                </c:pt>
                <c:pt idx="62">
                  <c:v>3.2417293139344272E-2</c:v>
                </c:pt>
                <c:pt idx="63">
                  <c:v>3.2566343080132842E-2</c:v>
                </c:pt>
                <c:pt idx="64">
                  <c:v>3.2710827404218934E-2</c:v>
                </c:pt>
                <c:pt idx="65">
                  <c:v>3.2850952723056048E-2</c:v>
                </c:pt>
                <c:pt idx="66">
                  <c:v>3.2986913366833903E-2</c:v>
                </c:pt>
                <c:pt idx="67">
                  <c:v>3.3118892283629187E-2</c:v>
                </c:pt>
                <c:pt idx="68">
                  <c:v>3.3247061860702143E-2</c:v>
                </c:pt>
                <c:pt idx="69">
                  <c:v>3.3371584675689903E-2</c:v>
                </c:pt>
                <c:pt idx="70">
                  <c:v>3.3492614184580827E-2</c:v>
                </c:pt>
                <c:pt idx="71">
                  <c:v>3.3610295352590747E-2</c:v>
                </c:pt>
                <c:pt idx="72">
                  <c:v>3.3724765233394516E-2</c:v>
                </c:pt>
                <c:pt idx="73">
                  <c:v>3.3836153501577648E-2</c:v>
                </c:pt>
                <c:pt idx="74">
                  <c:v>3.3944582942659229E-2</c:v>
                </c:pt>
                <c:pt idx="75">
                  <c:v>3.405016990457721E-2</c:v>
                </c:pt>
                <c:pt idx="76">
                  <c:v>3.4153024714126623E-2</c:v>
                </c:pt>
                <c:pt idx="77">
                  <c:v>3.4253252061484218E-2</c:v>
                </c:pt>
                <c:pt idx="78">
                  <c:v>3.4350951355637704E-2</c:v>
                </c:pt>
                <c:pt idx="79">
                  <c:v>3.4446217053253569E-2</c:v>
                </c:pt>
                <c:pt idx="80">
                  <c:v>3.453913896327454E-2</c:v>
                </c:pt>
                <c:pt idx="81">
                  <c:v>3.4629802529306586E-2</c:v>
                </c:pt>
                <c:pt idx="82">
                  <c:v>3.4718289091666188E-2</c:v>
                </c:pt>
                <c:pt idx="83">
                  <c:v>3.4804676130774315E-2</c:v>
                </c:pt>
                <c:pt idx="84">
                  <c:v>3.4889037493428754E-2</c:v>
                </c:pt>
                <c:pt idx="85">
                  <c:v>3.4971443603343477E-2</c:v>
                </c:pt>
                <c:pt idx="86">
                  <c:v>3.5051961657217801E-2</c:v>
                </c:pt>
                <c:pt idx="87">
                  <c:v>3.5130655807480426E-2</c:v>
                </c:pt>
                <c:pt idx="88">
                  <c:v>3.5207587332755086E-2</c:v>
                </c:pt>
                <c:pt idx="89">
                  <c:v>3.528281479699813E-2</c:v>
                </c:pt>
                <c:pt idx="90">
                  <c:v>3.5356394198177155E-2</c:v>
                </c:pt>
                <c:pt idx="91">
                  <c:v>3.5428379107284913E-2</c:v>
                </c:pt>
                <c:pt idx="92">
                  <c:v>3.549882079841149E-2</c:v>
                </c:pt>
                <c:pt idx="93">
                  <c:v>3.5567768370540875E-2</c:v>
                </c:pt>
                <c:pt idx="94">
                  <c:v>3.5635268861678338E-2</c:v>
                </c:pt>
                <c:pt idx="95">
                  <c:v>3.5701367355866376E-2</c:v>
                </c:pt>
                <c:pt idx="96">
                  <c:v>3.5766107083601728E-2</c:v>
                </c:pt>
                <c:pt idx="97">
                  <c:v>3.5829529516122172E-2</c:v>
                </c:pt>
                <c:pt idx="98">
                  <c:v>3.5891674453995437E-2</c:v>
                </c:pt>
                <c:pt idx="99">
                  <c:v>3.5952580110409471E-2</c:v>
                </c:pt>
              </c:numCache>
            </c:numRef>
          </c:val>
          <c:smooth val="0"/>
          <c:extLst>
            <c:ext xmlns:c16="http://schemas.microsoft.com/office/drawing/2014/chart" uri="{C3380CC4-5D6E-409C-BE32-E72D297353CC}">
              <c16:uniqueId val="{00000000-5A09-4EF0-A489-C232F4388AA2}"/>
            </c:ext>
          </c:extLst>
        </c:ser>
        <c:dLbls>
          <c:showLegendKey val="0"/>
          <c:showVal val="0"/>
          <c:showCatName val="0"/>
          <c:showSerName val="0"/>
          <c:showPercent val="0"/>
          <c:showBubbleSize val="0"/>
        </c:dLbls>
        <c:smooth val="0"/>
        <c:axId val="68885504"/>
        <c:axId val="68899584"/>
      </c:lineChart>
      <c:catAx>
        <c:axId val="68885504"/>
        <c:scaling>
          <c:orientation val="minMax"/>
        </c:scaling>
        <c:delete val="0"/>
        <c:axPos val="b"/>
        <c:numFmt formatCode="General" sourceLinked="0"/>
        <c:majorTickMark val="out"/>
        <c:minorTickMark val="none"/>
        <c:tickLblPos val="nextTo"/>
        <c:txPr>
          <a:bodyPr/>
          <a:lstStyle/>
          <a:p>
            <a:pPr>
              <a:defRPr sz="800">
                <a:latin typeface="Segoe UI" pitchFamily="34" charset="0"/>
                <a:ea typeface="Segoe UI" pitchFamily="34" charset="0"/>
                <a:cs typeface="Segoe UI" pitchFamily="34" charset="0"/>
              </a:defRPr>
            </a:pPr>
            <a:endParaRPr lang="en-US"/>
          </a:p>
        </c:txPr>
        <c:crossAx val="68899584"/>
        <c:crosses val="autoZero"/>
        <c:auto val="1"/>
        <c:lblAlgn val="ctr"/>
        <c:lblOffset val="100"/>
        <c:noMultiLvlLbl val="0"/>
      </c:catAx>
      <c:valAx>
        <c:axId val="68899584"/>
        <c:scaling>
          <c:orientation val="minMax"/>
        </c:scaling>
        <c:delete val="0"/>
        <c:axPos val="l"/>
        <c:majorGridlines>
          <c:spPr>
            <a:ln>
              <a:noFill/>
            </a:ln>
          </c:spPr>
        </c:majorGridlines>
        <c:numFmt formatCode="0.0%" sourceLinked="0"/>
        <c:majorTickMark val="out"/>
        <c:minorTickMark val="none"/>
        <c:tickLblPos val="nextTo"/>
        <c:txPr>
          <a:bodyPr/>
          <a:lstStyle/>
          <a:p>
            <a:pPr>
              <a:defRPr sz="800">
                <a:latin typeface="Segoe UI" pitchFamily="34" charset="0"/>
                <a:ea typeface="Segoe UI" pitchFamily="34" charset="0"/>
                <a:cs typeface="Segoe UI" pitchFamily="34" charset="0"/>
              </a:defRPr>
            </a:pPr>
            <a:endParaRPr lang="en-US"/>
          </a:p>
        </c:txPr>
        <c:crossAx val="68885504"/>
        <c:crosses val="autoZero"/>
        <c:crossBetween val="between"/>
      </c:valAx>
      <c:spPr>
        <a:ln>
          <a:solidFill>
            <a:schemeClr val="tx1"/>
          </a:solidFill>
        </a:ln>
      </c:spPr>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a:solidFill>
                  <a:schemeClr val="accent1"/>
                </a:solidFill>
                <a:latin typeface="Segoe UI" pitchFamily="34" charset="0"/>
                <a:ea typeface="Segoe UI" pitchFamily="34" charset="0"/>
                <a:cs typeface="Segoe UI" pitchFamily="34" charset="0"/>
              </a:defRPr>
            </a:pPr>
            <a:r>
              <a:rPr lang="en-US" sz="800">
                <a:solidFill>
                  <a:schemeClr val="accent1"/>
                </a:solidFill>
                <a:latin typeface="Segoe UI" pitchFamily="34" charset="0"/>
                <a:ea typeface="Segoe UI" pitchFamily="34" charset="0"/>
                <a:cs typeface="Segoe UI" pitchFamily="34" charset="0"/>
              </a:rPr>
              <a:t>Yield Curve Euro</a:t>
            </a:r>
          </a:p>
        </c:rich>
      </c:tx>
      <c:layout>
        <c:manualLayout>
          <c:xMode val="edge"/>
          <c:yMode val="edge"/>
          <c:x val="0.11284033245844272"/>
          <c:y val="2.3148148148148147E-2"/>
        </c:manualLayout>
      </c:layout>
      <c:overlay val="0"/>
    </c:title>
    <c:autoTitleDeleted val="0"/>
    <c:plotArea>
      <c:layout/>
      <c:lineChart>
        <c:grouping val="standard"/>
        <c:varyColors val="0"/>
        <c:ser>
          <c:idx val="0"/>
          <c:order val="0"/>
          <c:tx>
            <c:strRef>
              <c:f>Results!$D$3</c:f>
              <c:strCache>
                <c:ptCount val="1"/>
                <c:pt idx="0">
                  <c:v>Euro</c:v>
                </c:pt>
              </c:strCache>
            </c:strRef>
          </c:tx>
          <c:spPr>
            <a:ln w="19050"/>
          </c:spPr>
          <c:marker>
            <c:symbol val="none"/>
          </c:marker>
          <c:cat>
            <c:strRef>
              <c:f>Results!$B$15:$B$114</c:f>
              <c:strCache>
                <c:ptCount val="100"/>
                <c:pt idx="0">
                  <c:v>1 Year</c:v>
                </c:pt>
                <c:pt idx="1">
                  <c:v>2 Years</c:v>
                </c:pt>
                <c:pt idx="2">
                  <c:v>3 Years</c:v>
                </c:pt>
                <c:pt idx="3">
                  <c:v>4 Years</c:v>
                </c:pt>
                <c:pt idx="4">
                  <c:v>5 Years</c:v>
                </c:pt>
                <c:pt idx="5">
                  <c:v>6 Years</c:v>
                </c:pt>
                <c:pt idx="6">
                  <c:v>7 Years</c:v>
                </c:pt>
                <c:pt idx="7">
                  <c:v>8 Years</c:v>
                </c:pt>
                <c:pt idx="8">
                  <c:v>9 Years</c:v>
                </c:pt>
                <c:pt idx="9">
                  <c:v>10 Years</c:v>
                </c:pt>
                <c:pt idx="10">
                  <c:v>11 Years</c:v>
                </c:pt>
                <c:pt idx="11">
                  <c:v>12 Years</c:v>
                </c:pt>
                <c:pt idx="12">
                  <c:v>13 Years</c:v>
                </c:pt>
                <c:pt idx="13">
                  <c:v>14 Years</c:v>
                </c:pt>
                <c:pt idx="14">
                  <c:v>15 Years</c:v>
                </c:pt>
                <c:pt idx="15">
                  <c:v>16 Years</c:v>
                </c:pt>
                <c:pt idx="16">
                  <c:v>17 Years</c:v>
                </c:pt>
                <c:pt idx="17">
                  <c:v>18 Years</c:v>
                </c:pt>
                <c:pt idx="18">
                  <c:v>19 Years</c:v>
                </c:pt>
                <c:pt idx="19">
                  <c:v>20 Years</c:v>
                </c:pt>
                <c:pt idx="20">
                  <c:v>21 Years</c:v>
                </c:pt>
                <c:pt idx="21">
                  <c:v>22 Years</c:v>
                </c:pt>
                <c:pt idx="22">
                  <c:v>23 Years</c:v>
                </c:pt>
                <c:pt idx="23">
                  <c:v>24 Years</c:v>
                </c:pt>
                <c:pt idx="24">
                  <c:v>25 Years</c:v>
                </c:pt>
                <c:pt idx="25">
                  <c:v>26 Years</c:v>
                </c:pt>
                <c:pt idx="26">
                  <c:v>27 Years</c:v>
                </c:pt>
                <c:pt idx="27">
                  <c:v>28 Years</c:v>
                </c:pt>
                <c:pt idx="28">
                  <c:v>29 Years</c:v>
                </c:pt>
                <c:pt idx="29">
                  <c:v>30 Years</c:v>
                </c:pt>
                <c:pt idx="30">
                  <c:v>31 Years</c:v>
                </c:pt>
                <c:pt idx="31">
                  <c:v>32 Years</c:v>
                </c:pt>
                <c:pt idx="32">
                  <c:v>33 Years</c:v>
                </c:pt>
                <c:pt idx="33">
                  <c:v>34 Years</c:v>
                </c:pt>
                <c:pt idx="34">
                  <c:v>35 Years</c:v>
                </c:pt>
                <c:pt idx="35">
                  <c:v>36 Years</c:v>
                </c:pt>
                <c:pt idx="36">
                  <c:v>37 Years</c:v>
                </c:pt>
                <c:pt idx="37">
                  <c:v>38 Years</c:v>
                </c:pt>
                <c:pt idx="38">
                  <c:v>39 Years</c:v>
                </c:pt>
                <c:pt idx="39">
                  <c:v>40 Years</c:v>
                </c:pt>
                <c:pt idx="40">
                  <c:v>41 Years</c:v>
                </c:pt>
                <c:pt idx="41">
                  <c:v>42 Years</c:v>
                </c:pt>
                <c:pt idx="42">
                  <c:v>43 Years</c:v>
                </c:pt>
                <c:pt idx="43">
                  <c:v>44 Years</c:v>
                </c:pt>
                <c:pt idx="44">
                  <c:v>45 Years</c:v>
                </c:pt>
                <c:pt idx="45">
                  <c:v>46 Years</c:v>
                </c:pt>
                <c:pt idx="46">
                  <c:v>47 Years</c:v>
                </c:pt>
                <c:pt idx="47">
                  <c:v>48 Years</c:v>
                </c:pt>
                <c:pt idx="48">
                  <c:v>49 Years</c:v>
                </c:pt>
                <c:pt idx="49">
                  <c:v>50 Years</c:v>
                </c:pt>
                <c:pt idx="50">
                  <c:v>51 Years</c:v>
                </c:pt>
                <c:pt idx="51">
                  <c:v>52 Years</c:v>
                </c:pt>
                <c:pt idx="52">
                  <c:v>53 Years</c:v>
                </c:pt>
                <c:pt idx="53">
                  <c:v>54 Years</c:v>
                </c:pt>
                <c:pt idx="54">
                  <c:v>55 Years</c:v>
                </c:pt>
                <c:pt idx="55">
                  <c:v>56 Years</c:v>
                </c:pt>
                <c:pt idx="56">
                  <c:v>57 Years</c:v>
                </c:pt>
                <c:pt idx="57">
                  <c:v>58 Years</c:v>
                </c:pt>
                <c:pt idx="58">
                  <c:v>59 Years</c:v>
                </c:pt>
                <c:pt idx="59">
                  <c:v>60 Years</c:v>
                </c:pt>
                <c:pt idx="60">
                  <c:v>61 Years</c:v>
                </c:pt>
                <c:pt idx="61">
                  <c:v>62 Years</c:v>
                </c:pt>
                <c:pt idx="62">
                  <c:v>63 Years</c:v>
                </c:pt>
                <c:pt idx="63">
                  <c:v>64 Years</c:v>
                </c:pt>
                <c:pt idx="64">
                  <c:v>65 Years</c:v>
                </c:pt>
                <c:pt idx="65">
                  <c:v>66 Years</c:v>
                </c:pt>
                <c:pt idx="66">
                  <c:v>67 Years</c:v>
                </c:pt>
                <c:pt idx="67">
                  <c:v>68 Years</c:v>
                </c:pt>
                <c:pt idx="68">
                  <c:v>69 Years</c:v>
                </c:pt>
                <c:pt idx="69">
                  <c:v>70 Years</c:v>
                </c:pt>
                <c:pt idx="70">
                  <c:v>71 Years</c:v>
                </c:pt>
                <c:pt idx="71">
                  <c:v>72 Years</c:v>
                </c:pt>
                <c:pt idx="72">
                  <c:v>73 Years</c:v>
                </c:pt>
                <c:pt idx="73">
                  <c:v>74 Years</c:v>
                </c:pt>
                <c:pt idx="74">
                  <c:v>75 Years</c:v>
                </c:pt>
                <c:pt idx="75">
                  <c:v>76 Years</c:v>
                </c:pt>
                <c:pt idx="76">
                  <c:v>77 Years</c:v>
                </c:pt>
                <c:pt idx="77">
                  <c:v>78 Years</c:v>
                </c:pt>
                <c:pt idx="78">
                  <c:v>79 Years</c:v>
                </c:pt>
                <c:pt idx="79">
                  <c:v>80 Years</c:v>
                </c:pt>
                <c:pt idx="80">
                  <c:v>81 Years</c:v>
                </c:pt>
                <c:pt idx="81">
                  <c:v>82 Years</c:v>
                </c:pt>
                <c:pt idx="82">
                  <c:v>83 Years</c:v>
                </c:pt>
                <c:pt idx="83">
                  <c:v>84 Years</c:v>
                </c:pt>
                <c:pt idx="84">
                  <c:v>85 Years</c:v>
                </c:pt>
                <c:pt idx="85">
                  <c:v>86 Years</c:v>
                </c:pt>
                <c:pt idx="86">
                  <c:v>87 Years</c:v>
                </c:pt>
                <c:pt idx="87">
                  <c:v>88 Years</c:v>
                </c:pt>
                <c:pt idx="88">
                  <c:v>89 Years</c:v>
                </c:pt>
                <c:pt idx="89">
                  <c:v>90 Years</c:v>
                </c:pt>
                <c:pt idx="90">
                  <c:v>91 Years</c:v>
                </c:pt>
                <c:pt idx="91">
                  <c:v>92 Years</c:v>
                </c:pt>
                <c:pt idx="92">
                  <c:v>93 Years</c:v>
                </c:pt>
                <c:pt idx="93">
                  <c:v>94 Years</c:v>
                </c:pt>
                <c:pt idx="94">
                  <c:v>95 Years</c:v>
                </c:pt>
                <c:pt idx="95">
                  <c:v>96 Years</c:v>
                </c:pt>
                <c:pt idx="96">
                  <c:v>97 Years</c:v>
                </c:pt>
                <c:pt idx="97">
                  <c:v>98 Years</c:v>
                </c:pt>
                <c:pt idx="98">
                  <c:v>99 Years</c:v>
                </c:pt>
                <c:pt idx="99">
                  <c:v>100 Years</c:v>
                </c:pt>
              </c:strCache>
            </c:strRef>
          </c:cat>
          <c:val>
            <c:numRef>
              <c:f>Results!$D$15:$D$114</c:f>
              <c:numCache>
                <c:formatCode>0.00%</c:formatCode>
                <c:ptCount val="100"/>
                <c:pt idx="0">
                  <c:v>-5.6156615483697898E-3</c:v>
                </c:pt>
                <c:pt idx="1">
                  <c:v>-5.826650116399601E-3</c:v>
                </c:pt>
                <c:pt idx="2">
                  <c:v>-5.5696263948672442E-3</c:v>
                </c:pt>
                <c:pt idx="3">
                  <c:v>-5.0585726148822951E-3</c:v>
                </c:pt>
                <c:pt idx="4">
                  <c:v>-4.3633127396568439E-3</c:v>
                </c:pt>
                <c:pt idx="5">
                  <c:v>-3.5610368822719396E-3</c:v>
                </c:pt>
                <c:pt idx="6">
                  <c:v>-2.7201678563585352E-3</c:v>
                </c:pt>
                <c:pt idx="7">
                  <c:v>-1.835615217559039E-3</c:v>
                </c:pt>
                <c:pt idx="8">
                  <c:v>-9.5451152369185888E-4</c:v>
                </c:pt>
                <c:pt idx="9">
                  <c:v>-1.0883648552839631E-4</c:v>
                </c:pt>
                <c:pt idx="10">
                  <c:v>6.9822589334456175E-4</c:v>
                </c:pt>
                <c:pt idx="11">
                  <c:v>1.4591780977066815E-3</c:v>
                </c:pt>
                <c:pt idx="12">
                  <c:v>2.2079495247453451E-3</c:v>
                </c:pt>
                <c:pt idx="13">
                  <c:v>2.8046646621078253E-3</c:v>
                </c:pt>
                <c:pt idx="14">
                  <c:v>3.3811121247708797E-3</c:v>
                </c:pt>
                <c:pt idx="15">
                  <c:v>3.8857781328260899E-3</c:v>
                </c:pt>
                <c:pt idx="16">
                  <c:v>4.3292739493949739E-3</c:v>
                </c:pt>
                <c:pt idx="17">
                  <c:v>4.7051414337688779E-3</c:v>
                </c:pt>
                <c:pt idx="18">
                  <c:v>5.0232568603902905E-3</c:v>
                </c:pt>
                <c:pt idx="19">
                  <c:v>5.2706448661847816E-3</c:v>
                </c:pt>
                <c:pt idx="20">
                  <c:v>5.5062962947671767E-3</c:v>
                </c:pt>
                <c:pt idx="21">
                  <c:v>5.7177981375742259E-3</c:v>
                </c:pt>
                <c:pt idx="22">
                  <c:v>5.8531823289627027E-3</c:v>
                </c:pt>
                <c:pt idx="23">
                  <c:v>5.955712556245274E-3</c:v>
                </c:pt>
                <c:pt idx="24">
                  <c:v>6.0013417476174613E-3</c:v>
                </c:pt>
                <c:pt idx="25">
                  <c:v>6.1067755743653418E-3</c:v>
                </c:pt>
                <c:pt idx="26">
                  <c:v>6.1547358806250951E-3</c:v>
                </c:pt>
                <c:pt idx="27">
                  <c:v>6.1918622781582666E-3</c:v>
                </c:pt>
                <c:pt idx="28">
                  <c:v>6.2180637798847638E-3</c:v>
                </c:pt>
                <c:pt idx="29">
                  <c:v>6.1767922837796529E-3</c:v>
                </c:pt>
                <c:pt idx="30">
                  <c:v>6.1442207741664312E-3</c:v>
                </c:pt>
                <c:pt idx="31">
                  <c:v>6.1329097895632678E-3</c:v>
                </c:pt>
                <c:pt idx="32">
                  <c:v>6.1417636849310231E-3</c:v>
                </c:pt>
                <c:pt idx="33">
                  <c:v>6.1699045695142729E-3</c:v>
                </c:pt>
                <c:pt idx="34">
                  <c:v>6.2166312807221402E-3</c:v>
                </c:pt>
                <c:pt idx="35">
                  <c:v>6.281389473467236E-3</c:v>
                </c:pt>
                <c:pt idx="36">
                  <c:v>6.3637428922287409E-3</c:v>
                </c:pt>
                <c:pt idx="37">
                  <c:v>6.4633562938665179E-3</c:v>
                </c:pt>
                <c:pt idx="38">
                  <c:v>6.5799757711810791E-3</c:v>
                </c:pt>
                <c:pt idx="39">
                  <c:v>6.7134178421170976E-3</c:v>
                </c:pt>
                <c:pt idx="40">
                  <c:v>6.8635577424285277E-3</c:v>
                </c:pt>
                <c:pt idx="41">
                  <c:v>7.0303209711573E-3</c:v>
                </c:pt>
                <c:pt idx="42">
                  <c:v>7.2136757278147279E-3</c:v>
                </c:pt>
                <c:pt idx="43">
                  <c:v>7.4136284801540331E-3</c:v>
                </c:pt>
                <c:pt idx="44">
                  <c:v>7.6302170543109948E-3</c:v>
                </c:pt>
                <c:pt idx="45">
                  <c:v>7.863509169692362E-3</c:v>
                </c:pt>
                <c:pt idx="46">
                  <c:v>8.1135975803152682E-3</c:v>
                </c:pt>
                <c:pt idx="47">
                  <c:v>8.3805976361488455E-3</c:v>
                </c:pt>
                <c:pt idx="48">
                  <c:v>8.6646456106831415E-3</c:v>
                </c:pt>
                <c:pt idx="49">
                  <c:v>8.9658963559950955E-3</c:v>
                </c:pt>
                <c:pt idx="50">
                  <c:v>9.2845218781283378E-3</c:v>
                </c:pt>
                <c:pt idx="51">
                  <c:v>9.6207098057019547E-3</c:v>
                </c:pt>
                <c:pt idx="52">
                  <c:v>9.9746622734648849E-3</c:v>
                </c:pt>
                <c:pt idx="53">
                  <c:v>1.0346595343796228E-2</c:v>
                </c:pt>
                <c:pt idx="54">
                  <c:v>1.0736737344627212E-2</c:v>
                </c:pt>
                <c:pt idx="55">
                  <c:v>1.1145328814322619E-2</c:v>
                </c:pt>
                <c:pt idx="56">
                  <c:v>1.157262129895642E-2</c:v>
                </c:pt>
                <c:pt idx="57">
                  <c:v>1.2018877193467281E-2</c:v>
                </c:pt>
                <c:pt idx="58">
                  <c:v>1.2484368846100491E-2</c:v>
                </c:pt>
                <c:pt idx="59">
                  <c:v>1.2969378279818367E-2</c:v>
                </c:pt>
                <c:pt idx="60">
                  <c:v>1.3438706795978694E-2</c:v>
                </c:pt>
                <c:pt idx="61">
                  <c:v>1.3893102722038142E-2</c:v>
                </c:pt>
                <c:pt idx="62">
                  <c:v>1.4333267518239046E-2</c:v>
                </c:pt>
                <c:pt idx="63">
                  <c:v>1.4759859389898766E-2</c:v>
                </c:pt>
                <c:pt idx="64">
                  <c:v>1.5173496570690004E-2</c:v>
                </c:pt>
                <c:pt idx="65">
                  <c:v>1.5574760311349189E-2</c:v>
                </c:pt>
                <c:pt idx="66">
                  <c:v>1.5964197604189323E-2</c:v>
                </c:pt>
                <c:pt idx="67">
                  <c:v>1.6342323670266445E-2</c:v>
                </c:pt>
                <c:pt idx="68">
                  <c:v>1.6709624232977838E-2</c:v>
                </c:pt>
                <c:pt idx="69">
                  <c:v>1.7066557599181298E-2</c:v>
                </c:pt>
                <c:pt idx="70">
                  <c:v>1.7413556566583166E-2</c:v>
                </c:pt>
                <c:pt idx="71">
                  <c:v>1.775103017408064E-2</c:v>
                </c:pt>
                <c:pt idx="72">
                  <c:v>1.8079365309940476E-2</c:v>
                </c:pt>
                <c:pt idx="73">
                  <c:v>1.8398928191102781E-2</c:v>
                </c:pt>
                <c:pt idx="74">
                  <c:v>1.8710065725501046E-2</c:v>
                </c:pt>
                <c:pt idx="75">
                  <c:v>1.9013106768049903E-2</c:v>
                </c:pt>
                <c:pt idx="76">
                  <c:v>1.9308363279858298E-2</c:v>
                </c:pt>
                <c:pt idx="77">
                  <c:v>1.9596131399256977E-2</c:v>
                </c:pt>
                <c:pt idx="78">
                  <c:v>1.9876692432369003E-2</c:v>
                </c:pt>
                <c:pt idx="79">
                  <c:v>2.0150313770186612E-2</c:v>
                </c:pt>
                <c:pt idx="80">
                  <c:v>2.0417249738438503E-2</c:v>
                </c:pt>
                <c:pt idx="81">
                  <c:v>2.0677742385924125E-2</c:v>
                </c:pt>
                <c:pt idx="82">
                  <c:v>2.0932022216450852E-2</c:v>
                </c:pt>
                <c:pt idx="83">
                  <c:v>2.1180308869024778E-2</c:v>
                </c:pt>
                <c:pt idx="84">
                  <c:v>2.1422811750514414E-2</c:v>
                </c:pt>
                <c:pt idx="85">
                  <c:v>2.1659730624616014E-2</c:v>
                </c:pt>
                <c:pt idx="86">
                  <c:v>2.1891256160602612E-2</c:v>
                </c:pt>
                <c:pt idx="87">
                  <c:v>2.2117570445022272E-2</c:v>
                </c:pt>
                <c:pt idx="88">
                  <c:v>2.2338847459234978E-2</c:v>
                </c:pt>
                <c:pt idx="89">
                  <c:v>2.2555253525416097E-2</c:v>
                </c:pt>
                <c:pt idx="90">
                  <c:v>2.2766947723431352E-2</c:v>
                </c:pt>
                <c:pt idx="91">
                  <c:v>2.2974082280778241E-2</c:v>
                </c:pt>
                <c:pt idx="92">
                  <c:v>2.3176802937601382E-2</c:v>
                </c:pt>
                <c:pt idx="93">
                  <c:v>2.3375249288623001E-2</c:v>
                </c:pt>
                <c:pt idx="94">
                  <c:v>2.3569555103672535E-2</c:v>
                </c:pt>
                <c:pt idx="95">
                  <c:v>2.3759848628361668E-2</c:v>
                </c:pt>
                <c:pt idx="96">
                  <c:v>2.3946252866326789E-2</c:v>
                </c:pt>
                <c:pt idx="97">
                  <c:v>2.4128885844341585E-2</c:v>
                </c:pt>
                <c:pt idx="98">
                  <c:v>2.4307860861501274E-2</c:v>
                </c:pt>
                <c:pt idx="99">
                  <c:v>2.4483286723585573E-2</c:v>
                </c:pt>
              </c:numCache>
            </c:numRef>
          </c:val>
          <c:smooth val="0"/>
          <c:extLst>
            <c:ext xmlns:c16="http://schemas.microsoft.com/office/drawing/2014/chart" uri="{C3380CC4-5D6E-409C-BE32-E72D297353CC}">
              <c16:uniqueId val="{00000000-4181-4C4A-AE6B-292E7C5CE845}"/>
            </c:ext>
          </c:extLst>
        </c:ser>
        <c:dLbls>
          <c:showLegendKey val="0"/>
          <c:showVal val="0"/>
          <c:showCatName val="0"/>
          <c:showSerName val="0"/>
          <c:showPercent val="0"/>
          <c:showBubbleSize val="0"/>
        </c:dLbls>
        <c:smooth val="0"/>
        <c:axId val="70398336"/>
        <c:axId val="70399872"/>
      </c:lineChart>
      <c:catAx>
        <c:axId val="70398336"/>
        <c:scaling>
          <c:orientation val="minMax"/>
        </c:scaling>
        <c:delete val="0"/>
        <c:axPos val="b"/>
        <c:numFmt formatCode="General" sourceLinked="0"/>
        <c:majorTickMark val="out"/>
        <c:minorTickMark val="none"/>
        <c:tickLblPos val="nextTo"/>
        <c:txPr>
          <a:bodyPr/>
          <a:lstStyle/>
          <a:p>
            <a:pPr>
              <a:defRPr sz="800">
                <a:latin typeface="Segoe UI" pitchFamily="34" charset="0"/>
                <a:ea typeface="Segoe UI" pitchFamily="34" charset="0"/>
                <a:cs typeface="Segoe UI" pitchFamily="34" charset="0"/>
              </a:defRPr>
            </a:pPr>
            <a:endParaRPr lang="en-US"/>
          </a:p>
        </c:txPr>
        <c:crossAx val="70399872"/>
        <c:crosses val="autoZero"/>
        <c:auto val="1"/>
        <c:lblAlgn val="ctr"/>
        <c:lblOffset val="100"/>
        <c:noMultiLvlLbl val="0"/>
      </c:catAx>
      <c:valAx>
        <c:axId val="70399872"/>
        <c:scaling>
          <c:orientation val="minMax"/>
        </c:scaling>
        <c:delete val="0"/>
        <c:axPos val="l"/>
        <c:majorGridlines>
          <c:spPr>
            <a:ln>
              <a:noFill/>
            </a:ln>
          </c:spPr>
        </c:majorGridlines>
        <c:numFmt formatCode="0.0%" sourceLinked="0"/>
        <c:majorTickMark val="out"/>
        <c:minorTickMark val="none"/>
        <c:tickLblPos val="nextTo"/>
        <c:txPr>
          <a:bodyPr/>
          <a:lstStyle/>
          <a:p>
            <a:pPr>
              <a:defRPr sz="800">
                <a:latin typeface="Segoe UI" pitchFamily="34" charset="0"/>
                <a:ea typeface="Segoe UI" pitchFamily="34" charset="0"/>
                <a:cs typeface="Segoe UI" pitchFamily="34" charset="0"/>
              </a:defRPr>
            </a:pPr>
            <a:endParaRPr lang="en-US"/>
          </a:p>
        </c:txPr>
        <c:crossAx val="70398336"/>
        <c:crosses val="autoZero"/>
        <c:crossBetween val="between"/>
      </c:valAx>
      <c:spPr>
        <a:ln>
          <a:solidFill>
            <a:schemeClr val="tx1"/>
          </a:solidFill>
        </a:ln>
      </c:spPr>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a:solidFill>
                  <a:schemeClr val="accent1"/>
                </a:solidFill>
                <a:latin typeface="Segoe UI" pitchFamily="34" charset="0"/>
                <a:ea typeface="Segoe UI" pitchFamily="34" charset="0"/>
                <a:cs typeface="Segoe UI" pitchFamily="34" charset="0"/>
              </a:defRPr>
            </a:pPr>
            <a:r>
              <a:rPr lang="en-US" sz="800">
                <a:solidFill>
                  <a:schemeClr val="accent1"/>
                </a:solidFill>
                <a:latin typeface="Segoe UI" pitchFamily="34" charset="0"/>
                <a:ea typeface="Segoe UI" pitchFamily="34" charset="0"/>
                <a:cs typeface="Segoe UI" pitchFamily="34" charset="0"/>
              </a:rPr>
              <a:t>Yield Curve Switzerland</a:t>
            </a:r>
          </a:p>
        </c:rich>
      </c:tx>
      <c:layout>
        <c:manualLayout>
          <c:xMode val="edge"/>
          <c:yMode val="edge"/>
          <c:x val="0.11284033245844272"/>
          <c:y val="2.3148148148148147E-2"/>
        </c:manualLayout>
      </c:layout>
      <c:overlay val="0"/>
    </c:title>
    <c:autoTitleDeleted val="0"/>
    <c:plotArea>
      <c:layout/>
      <c:lineChart>
        <c:grouping val="standard"/>
        <c:varyColors val="0"/>
        <c:ser>
          <c:idx val="0"/>
          <c:order val="0"/>
          <c:tx>
            <c:strRef>
              <c:f>Results!$F$3</c:f>
              <c:strCache>
                <c:ptCount val="1"/>
                <c:pt idx="0">
                  <c:v>Switzerland</c:v>
                </c:pt>
              </c:strCache>
            </c:strRef>
          </c:tx>
          <c:spPr>
            <a:ln w="19050"/>
          </c:spPr>
          <c:marker>
            <c:symbol val="none"/>
          </c:marker>
          <c:cat>
            <c:strRef>
              <c:f>Results!$B$15:$B$114</c:f>
              <c:strCache>
                <c:ptCount val="100"/>
                <c:pt idx="0">
                  <c:v>1 Year</c:v>
                </c:pt>
                <c:pt idx="1">
                  <c:v>2 Years</c:v>
                </c:pt>
                <c:pt idx="2">
                  <c:v>3 Years</c:v>
                </c:pt>
                <c:pt idx="3">
                  <c:v>4 Years</c:v>
                </c:pt>
                <c:pt idx="4">
                  <c:v>5 Years</c:v>
                </c:pt>
                <c:pt idx="5">
                  <c:v>6 Years</c:v>
                </c:pt>
                <c:pt idx="6">
                  <c:v>7 Years</c:v>
                </c:pt>
                <c:pt idx="7">
                  <c:v>8 Years</c:v>
                </c:pt>
                <c:pt idx="8">
                  <c:v>9 Years</c:v>
                </c:pt>
                <c:pt idx="9">
                  <c:v>10 Years</c:v>
                </c:pt>
                <c:pt idx="10">
                  <c:v>11 Years</c:v>
                </c:pt>
                <c:pt idx="11">
                  <c:v>12 Years</c:v>
                </c:pt>
                <c:pt idx="12">
                  <c:v>13 Years</c:v>
                </c:pt>
                <c:pt idx="13">
                  <c:v>14 Years</c:v>
                </c:pt>
                <c:pt idx="14">
                  <c:v>15 Years</c:v>
                </c:pt>
                <c:pt idx="15">
                  <c:v>16 Years</c:v>
                </c:pt>
                <c:pt idx="16">
                  <c:v>17 Years</c:v>
                </c:pt>
                <c:pt idx="17">
                  <c:v>18 Years</c:v>
                </c:pt>
                <c:pt idx="18">
                  <c:v>19 Years</c:v>
                </c:pt>
                <c:pt idx="19">
                  <c:v>20 Years</c:v>
                </c:pt>
                <c:pt idx="20">
                  <c:v>21 Years</c:v>
                </c:pt>
                <c:pt idx="21">
                  <c:v>22 Years</c:v>
                </c:pt>
                <c:pt idx="22">
                  <c:v>23 Years</c:v>
                </c:pt>
                <c:pt idx="23">
                  <c:v>24 Years</c:v>
                </c:pt>
                <c:pt idx="24">
                  <c:v>25 Years</c:v>
                </c:pt>
                <c:pt idx="25">
                  <c:v>26 Years</c:v>
                </c:pt>
                <c:pt idx="26">
                  <c:v>27 Years</c:v>
                </c:pt>
                <c:pt idx="27">
                  <c:v>28 Years</c:v>
                </c:pt>
                <c:pt idx="28">
                  <c:v>29 Years</c:v>
                </c:pt>
                <c:pt idx="29">
                  <c:v>30 Years</c:v>
                </c:pt>
                <c:pt idx="30">
                  <c:v>31 Years</c:v>
                </c:pt>
                <c:pt idx="31">
                  <c:v>32 Years</c:v>
                </c:pt>
                <c:pt idx="32">
                  <c:v>33 Years</c:v>
                </c:pt>
                <c:pt idx="33">
                  <c:v>34 Years</c:v>
                </c:pt>
                <c:pt idx="34">
                  <c:v>35 Years</c:v>
                </c:pt>
                <c:pt idx="35">
                  <c:v>36 Years</c:v>
                </c:pt>
                <c:pt idx="36">
                  <c:v>37 Years</c:v>
                </c:pt>
                <c:pt idx="37">
                  <c:v>38 Years</c:v>
                </c:pt>
                <c:pt idx="38">
                  <c:v>39 Years</c:v>
                </c:pt>
                <c:pt idx="39">
                  <c:v>40 Years</c:v>
                </c:pt>
                <c:pt idx="40">
                  <c:v>41 Years</c:v>
                </c:pt>
                <c:pt idx="41">
                  <c:v>42 Years</c:v>
                </c:pt>
                <c:pt idx="42">
                  <c:v>43 Years</c:v>
                </c:pt>
                <c:pt idx="43">
                  <c:v>44 Years</c:v>
                </c:pt>
                <c:pt idx="44">
                  <c:v>45 Years</c:v>
                </c:pt>
                <c:pt idx="45">
                  <c:v>46 Years</c:v>
                </c:pt>
                <c:pt idx="46">
                  <c:v>47 Years</c:v>
                </c:pt>
                <c:pt idx="47">
                  <c:v>48 Years</c:v>
                </c:pt>
                <c:pt idx="48">
                  <c:v>49 Years</c:v>
                </c:pt>
                <c:pt idx="49">
                  <c:v>50 Years</c:v>
                </c:pt>
                <c:pt idx="50">
                  <c:v>51 Years</c:v>
                </c:pt>
                <c:pt idx="51">
                  <c:v>52 Years</c:v>
                </c:pt>
                <c:pt idx="52">
                  <c:v>53 Years</c:v>
                </c:pt>
                <c:pt idx="53">
                  <c:v>54 Years</c:v>
                </c:pt>
                <c:pt idx="54">
                  <c:v>55 Years</c:v>
                </c:pt>
                <c:pt idx="55">
                  <c:v>56 Years</c:v>
                </c:pt>
                <c:pt idx="56">
                  <c:v>57 Years</c:v>
                </c:pt>
                <c:pt idx="57">
                  <c:v>58 Years</c:v>
                </c:pt>
                <c:pt idx="58">
                  <c:v>59 Years</c:v>
                </c:pt>
                <c:pt idx="59">
                  <c:v>60 Years</c:v>
                </c:pt>
                <c:pt idx="60">
                  <c:v>61 Years</c:v>
                </c:pt>
                <c:pt idx="61">
                  <c:v>62 Years</c:v>
                </c:pt>
                <c:pt idx="62">
                  <c:v>63 Years</c:v>
                </c:pt>
                <c:pt idx="63">
                  <c:v>64 Years</c:v>
                </c:pt>
                <c:pt idx="64">
                  <c:v>65 Years</c:v>
                </c:pt>
                <c:pt idx="65">
                  <c:v>66 Years</c:v>
                </c:pt>
                <c:pt idx="66">
                  <c:v>67 Years</c:v>
                </c:pt>
                <c:pt idx="67">
                  <c:v>68 Years</c:v>
                </c:pt>
                <c:pt idx="68">
                  <c:v>69 Years</c:v>
                </c:pt>
                <c:pt idx="69">
                  <c:v>70 Years</c:v>
                </c:pt>
                <c:pt idx="70">
                  <c:v>71 Years</c:v>
                </c:pt>
                <c:pt idx="71">
                  <c:v>72 Years</c:v>
                </c:pt>
                <c:pt idx="72">
                  <c:v>73 Years</c:v>
                </c:pt>
                <c:pt idx="73">
                  <c:v>74 Years</c:v>
                </c:pt>
                <c:pt idx="74">
                  <c:v>75 Years</c:v>
                </c:pt>
                <c:pt idx="75">
                  <c:v>76 Years</c:v>
                </c:pt>
                <c:pt idx="76">
                  <c:v>77 Years</c:v>
                </c:pt>
                <c:pt idx="77">
                  <c:v>78 Years</c:v>
                </c:pt>
                <c:pt idx="78">
                  <c:v>79 Years</c:v>
                </c:pt>
                <c:pt idx="79">
                  <c:v>80 Years</c:v>
                </c:pt>
                <c:pt idx="80">
                  <c:v>81 Years</c:v>
                </c:pt>
                <c:pt idx="81">
                  <c:v>82 Years</c:v>
                </c:pt>
                <c:pt idx="82">
                  <c:v>83 Years</c:v>
                </c:pt>
                <c:pt idx="83">
                  <c:v>84 Years</c:v>
                </c:pt>
                <c:pt idx="84">
                  <c:v>85 Years</c:v>
                </c:pt>
                <c:pt idx="85">
                  <c:v>86 Years</c:v>
                </c:pt>
                <c:pt idx="86">
                  <c:v>87 Years</c:v>
                </c:pt>
                <c:pt idx="87">
                  <c:v>88 Years</c:v>
                </c:pt>
                <c:pt idx="88">
                  <c:v>89 Years</c:v>
                </c:pt>
                <c:pt idx="89">
                  <c:v>90 Years</c:v>
                </c:pt>
                <c:pt idx="90">
                  <c:v>91 Years</c:v>
                </c:pt>
                <c:pt idx="91">
                  <c:v>92 Years</c:v>
                </c:pt>
                <c:pt idx="92">
                  <c:v>93 Years</c:v>
                </c:pt>
                <c:pt idx="93">
                  <c:v>94 Years</c:v>
                </c:pt>
                <c:pt idx="94">
                  <c:v>95 Years</c:v>
                </c:pt>
                <c:pt idx="95">
                  <c:v>96 Years</c:v>
                </c:pt>
                <c:pt idx="96">
                  <c:v>97 Years</c:v>
                </c:pt>
                <c:pt idx="97">
                  <c:v>98 Years</c:v>
                </c:pt>
                <c:pt idx="98">
                  <c:v>99 Years</c:v>
                </c:pt>
                <c:pt idx="99">
                  <c:v>100 Years</c:v>
                </c:pt>
              </c:strCache>
            </c:strRef>
          </c:cat>
          <c:val>
            <c:numRef>
              <c:f>Results!$F$15:$F$114</c:f>
              <c:numCache>
                <c:formatCode>0.00%</c:formatCode>
                <c:ptCount val="100"/>
                <c:pt idx="0">
                  <c:v>-9.5307287288356919E-3</c:v>
                </c:pt>
                <c:pt idx="1">
                  <c:v>-9.8786462823609034E-3</c:v>
                </c:pt>
                <c:pt idx="2">
                  <c:v>-9.5336958243186221E-3</c:v>
                </c:pt>
                <c:pt idx="3">
                  <c:v>-8.9919172992566354E-3</c:v>
                </c:pt>
                <c:pt idx="4">
                  <c:v>-8.2878196105352631E-3</c:v>
                </c:pt>
                <c:pt idx="5">
                  <c:v>-7.5140621577792777E-3</c:v>
                </c:pt>
                <c:pt idx="6">
                  <c:v>-6.6254105886845993E-3</c:v>
                </c:pt>
                <c:pt idx="7">
                  <c:v>-5.7831890770936312E-3</c:v>
                </c:pt>
                <c:pt idx="8">
                  <c:v>-4.9378931330635867E-3</c:v>
                </c:pt>
                <c:pt idx="9">
                  <c:v>-4.1387418588588742E-3</c:v>
                </c:pt>
                <c:pt idx="10">
                  <c:v>-3.3358266656327018E-3</c:v>
                </c:pt>
                <c:pt idx="11">
                  <c:v>-2.5536931185422551E-3</c:v>
                </c:pt>
                <c:pt idx="12">
                  <c:v>-1.9342880003849761E-3</c:v>
                </c:pt>
                <c:pt idx="13">
                  <c:v>-1.3570222780239227E-3</c:v>
                </c:pt>
                <c:pt idx="14">
                  <c:v>-8.2041061964066575E-4</c:v>
                </c:pt>
                <c:pt idx="15">
                  <c:v>-4.1134453014290973E-4</c:v>
                </c:pt>
                <c:pt idx="16">
                  <c:v>-4.0087596252180724E-5</c:v>
                </c:pt>
                <c:pt idx="17">
                  <c:v>2.9472182877610109E-4</c:v>
                </c:pt>
                <c:pt idx="18">
                  <c:v>5.9440669216437314E-4</c:v>
                </c:pt>
                <c:pt idx="19">
                  <c:v>8.6025156871349928E-4</c:v>
                </c:pt>
                <c:pt idx="20">
                  <c:v>1.044794209283495E-3</c:v>
                </c:pt>
                <c:pt idx="21">
                  <c:v>1.1979560330683814E-3</c:v>
                </c:pt>
                <c:pt idx="22">
                  <c:v>1.3209136760312656E-3</c:v>
                </c:pt>
                <c:pt idx="23">
                  <c:v>1.4148094843637882E-3</c:v>
                </c:pt>
                <c:pt idx="24">
                  <c:v>1.4807526497278012E-3</c:v>
                </c:pt>
                <c:pt idx="25">
                  <c:v>1.5596890769200566E-3</c:v>
                </c:pt>
                <c:pt idx="26">
                  <c:v>1.6127946366004675E-3</c:v>
                </c:pt>
                <c:pt idx="27">
                  <c:v>1.6410836636546744E-3</c:v>
                </c:pt>
                <c:pt idx="28">
                  <c:v>1.6455408417077599E-3</c:v>
                </c:pt>
                <c:pt idx="29">
                  <c:v>1.6271215894156921E-3</c:v>
                </c:pt>
                <c:pt idx="30">
                  <c:v>1.6564173586066655E-3</c:v>
                </c:pt>
                <c:pt idx="31">
                  <c:v>1.726001269560351E-3</c:v>
                </c:pt>
                <c:pt idx="32">
                  <c:v>1.8310567144093071E-3</c:v>
                </c:pt>
                <c:pt idx="33">
                  <c:v>1.9674817513468668E-3</c:v>
                </c:pt>
                <c:pt idx="34">
                  <c:v>2.1317828770253122E-3</c:v>
                </c:pt>
                <c:pt idx="35">
                  <c:v>2.320985442852086E-3</c:v>
                </c:pt>
                <c:pt idx="36">
                  <c:v>2.5325601465688852E-3</c:v>
                </c:pt>
                <c:pt idx="37">
                  <c:v>2.7643603628644264E-3</c:v>
                </c:pt>
                <c:pt idx="38">
                  <c:v>3.0145699133095061E-3</c:v>
                </c:pt>
                <c:pt idx="39">
                  <c:v>3.2816589687929554E-3</c:v>
                </c:pt>
                <c:pt idx="40">
                  <c:v>3.5643457848035798E-3</c:v>
                </c:pt>
                <c:pt idx="41">
                  <c:v>3.8615652236273501E-3</c:v>
                </c:pt>
                <c:pt idx="42">
                  <c:v>4.1724404316054731E-3</c:v>
                </c:pt>
                <c:pt idx="43">
                  <c:v>4.4962599836853023E-3</c:v>
                </c:pt>
                <c:pt idx="44">
                  <c:v>4.8324565899713345E-3</c:v>
                </c:pt>
                <c:pt idx="45">
                  <c:v>5.1805901964911971E-3</c:v>
                </c:pt>
                <c:pt idx="46">
                  <c:v>5.5403321544829076E-3</c:v>
                </c:pt>
                <c:pt idx="47">
                  <c:v>5.9114520757661548E-3</c:v>
                </c:pt>
                <c:pt idx="48">
                  <c:v>6.2938061928776712E-3</c:v>
                </c:pt>
                <c:pt idx="49">
                  <c:v>6.6873270733498469E-3</c:v>
                </c:pt>
                <c:pt idx="50">
                  <c:v>7.0920148723572218E-3</c:v>
                </c:pt>
                <c:pt idx="51">
                  <c:v>7.5079293898538957E-3</c:v>
                </c:pt>
                <c:pt idx="52">
                  <c:v>7.9351831797906947E-3</c:v>
                </c:pt>
                <c:pt idx="53">
                  <c:v>8.3739355843828189E-3</c:v>
                </c:pt>
                <c:pt idx="54">
                  <c:v>8.8243872179032401E-3</c:v>
                </c:pt>
                <c:pt idx="55">
                  <c:v>9.2867752722440855E-3</c:v>
                </c:pt>
                <c:pt idx="56">
                  <c:v>9.7613693529572387E-3</c:v>
                </c:pt>
                <c:pt idx="57">
                  <c:v>1.024846775873578E-2</c:v>
                </c:pt>
                <c:pt idx="58">
                  <c:v>1.0748394060841049E-2</c:v>
                </c:pt>
                <c:pt idx="59">
                  <c:v>1.1261494268762329E-2</c:v>
                </c:pt>
                <c:pt idx="60">
                  <c:v>1.175801931973286E-2</c:v>
                </c:pt>
                <c:pt idx="61">
                  <c:v>1.2238759554489276E-2</c:v>
                </c:pt>
                <c:pt idx="62">
                  <c:v>1.2704455856448416E-2</c:v>
                </c:pt>
                <c:pt idx="63">
                  <c:v>1.3155803460477511E-2</c:v>
                </c:pt>
                <c:pt idx="64">
                  <c:v>1.3593455415046973E-2</c:v>
                </c:pt>
                <c:pt idx="65">
                  <c:v>1.4018025734011674E-2</c:v>
                </c:pt>
                <c:pt idx="66">
                  <c:v>1.4430092270005135E-2</c:v>
                </c:pt>
                <c:pt idx="67">
                  <c:v>1.4830199337712902E-2</c:v>
                </c:pt>
                <c:pt idx="68">
                  <c:v>1.521886011206397E-2</c:v>
                </c:pt>
                <c:pt idx="69">
                  <c:v>1.55965588235496E-2</c:v>
                </c:pt>
                <c:pt idx="70">
                  <c:v>1.5963752770415729E-2</c:v>
                </c:pt>
                <c:pt idx="71">
                  <c:v>1.6320874165301813E-2</c:v>
                </c:pt>
                <c:pt idx="72">
                  <c:v>1.666833183200378E-2</c:v>
                </c:pt>
                <c:pt idx="73">
                  <c:v>1.7006512766361226E-2</c:v>
                </c:pt>
                <c:pt idx="74">
                  <c:v>1.7335783573796615E-2</c:v>
                </c:pt>
                <c:pt idx="75">
                  <c:v>1.7656491794728169E-2</c:v>
                </c:pt>
                <c:pt idx="76">
                  <c:v>1.7968967127930391E-2</c:v>
                </c:pt>
                <c:pt idx="77">
                  <c:v>1.8273522560891431E-2</c:v>
                </c:pt>
                <c:pt idx="78">
                  <c:v>1.857045541531388E-2</c:v>
                </c:pt>
                <c:pt idx="79">
                  <c:v>1.8860048315096689E-2</c:v>
                </c:pt>
                <c:pt idx="80">
                  <c:v>1.9142570083424237E-2</c:v>
                </c:pt>
                <c:pt idx="81">
                  <c:v>1.941827657494466E-2</c:v>
                </c:pt>
                <c:pt idx="82">
                  <c:v>1.968741144845243E-2</c:v>
                </c:pt>
                <c:pt idx="83">
                  <c:v>1.9950206884977728E-2</c:v>
                </c:pt>
                <c:pt idx="84">
                  <c:v>2.0206884255733026E-2</c:v>
                </c:pt>
                <c:pt idx="85">
                  <c:v>2.0457654743950782E-2</c:v>
                </c:pt>
                <c:pt idx="86">
                  <c:v>2.0702719924287294E-2</c:v>
                </c:pt>
                <c:pt idx="87">
                  <c:v>2.0942272303129394E-2</c:v>
                </c:pt>
                <c:pt idx="88">
                  <c:v>2.1176495822849528E-2</c:v>
                </c:pt>
                <c:pt idx="89">
                  <c:v>2.1405566332784787E-2</c:v>
                </c:pt>
                <c:pt idx="90">
                  <c:v>2.1629652029472535E-2</c:v>
                </c:pt>
                <c:pt idx="91">
                  <c:v>2.1848913868459663E-2</c:v>
                </c:pt>
                <c:pt idx="92">
                  <c:v>2.2063505949803996E-2</c:v>
                </c:pt>
                <c:pt idx="93">
                  <c:v>2.2273575879206975E-2</c:v>
                </c:pt>
                <c:pt idx="94">
                  <c:v>2.2479265106556845E-2</c:v>
                </c:pt>
                <c:pt idx="95">
                  <c:v>2.2680709243514618E-2</c:v>
                </c:pt>
                <c:pt idx="96">
                  <c:v>2.2878038361637376E-2</c:v>
                </c:pt>
                <c:pt idx="97">
                  <c:v>2.3071377272421589E-2</c:v>
                </c:pt>
                <c:pt idx="98">
                  <c:v>2.3260845790528117E-2</c:v>
                </c:pt>
                <c:pt idx="99">
                  <c:v>2.3446558981358168E-2</c:v>
                </c:pt>
              </c:numCache>
            </c:numRef>
          </c:val>
          <c:smooth val="0"/>
          <c:extLst>
            <c:ext xmlns:c16="http://schemas.microsoft.com/office/drawing/2014/chart" uri="{C3380CC4-5D6E-409C-BE32-E72D297353CC}">
              <c16:uniqueId val="{00000000-FF40-4D50-96C3-52093BF6BBB2}"/>
            </c:ext>
          </c:extLst>
        </c:ser>
        <c:dLbls>
          <c:showLegendKey val="0"/>
          <c:showVal val="0"/>
          <c:showCatName val="0"/>
          <c:showSerName val="0"/>
          <c:showPercent val="0"/>
          <c:showBubbleSize val="0"/>
        </c:dLbls>
        <c:smooth val="0"/>
        <c:axId val="70428160"/>
        <c:axId val="70429696"/>
      </c:lineChart>
      <c:catAx>
        <c:axId val="70428160"/>
        <c:scaling>
          <c:orientation val="minMax"/>
        </c:scaling>
        <c:delete val="0"/>
        <c:axPos val="b"/>
        <c:numFmt formatCode="General" sourceLinked="0"/>
        <c:majorTickMark val="out"/>
        <c:minorTickMark val="none"/>
        <c:tickLblPos val="nextTo"/>
        <c:txPr>
          <a:bodyPr/>
          <a:lstStyle/>
          <a:p>
            <a:pPr>
              <a:defRPr sz="800">
                <a:latin typeface="Segoe UI" pitchFamily="34" charset="0"/>
                <a:ea typeface="Segoe UI" pitchFamily="34" charset="0"/>
                <a:cs typeface="Segoe UI" pitchFamily="34" charset="0"/>
              </a:defRPr>
            </a:pPr>
            <a:endParaRPr lang="en-US"/>
          </a:p>
        </c:txPr>
        <c:crossAx val="70429696"/>
        <c:crosses val="autoZero"/>
        <c:auto val="1"/>
        <c:lblAlgn val="ctr"/>
        <c:lblOffset val="100"/>
        <c:noMultiLvlLbl val="0"/>
      </c:catAx>
      <c:valAx>
        <c:axId val="70429696"/>
        <c:scaling>
          <c:orientation val="minMax"/>
        </c:scaling>
        <c:delete val="0"/>
        <c:axPos val="l"/>
        <c:majorGridlines>
          <c:spPr>
            <a:ln>
              <a:noFill/>
            </a:ln>
          </c:spPr>
        </c:majorGridlines>
        <c:numFmt formatCode="0.0%" sourceLinked="0"/>
        <c:majorTickMark val="out"/>
        <c:minorTickMark val="none"/>
        <c:tickLblPos val="nextTo"/>
        <c:txPr>
          <a:bodyPr/>
          <a:lstStyle/>
          <a:p>
            <a:pPr>
              <a:defRPr sz="800">
                <a:latin typeface="Segoe UI" pitchFamily="34" charset="0"/>
                <a:ea typeface="Segoe UI" pitchFamily="34" charset="0"/>
                <a:cs typeface="Segoe UI" pitchFamily="34" charset="0"/>
              </a:defRPr>
            </a:pPr>
            <a:endParaRPr lang="en-US"/>
          </a:p>
        </c:txPr>
        <c:crossAx val="70428160"/>
        <c:crosses val="autoZero"/>
        <c:crossBetween val="between"/>
      </c:valAx>
      <c:spPr>
        <a:ln>
          <a:solidFill>
            <a:schemeClr val="tx1"/>
          </a:solidFill>
        </a:ln>
      </c:spPr>
    </c:plotArea>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a:solidFill>
                  <a:schemeClr val="accent1"/>
                </a:solidFill>
                <a:latin typeface="Segoe UI" pitchFamily="34" charset="0"/>
                <a:ea typeface="Segoe UI" pitchFamily="34" charset="0"/>
                <a:cs typeface="Segoe UI" pitchFamily="34" charset="0"/>
              </a:defRPr>
            </a:pPr>
            <a:r>
              <a:rPr lang="en-US" sz="800">
                <a:solidFill>
                  <a:schemeClr val="accent1"/>
                </a:solidFill>
                <a:latin typeface="Segoe UI" pitchFamily="34" charset="0"/>
                <a:ea typeface="Segoe UI" pitchFamily="34" charset="0"/>
                <a:cs typeface="Segoe UI" pitchFamily="34" charset="0"/>
              </a:rPr>
              <a:t>Yield Curve United</a:t>
            </a:r>
            <a:r>
              <a:rPr lang="en-US" sz="800" baseline="0">
                <a:solidFill>
                  <a:schemeClr val="accent1"/>
                </a:solidFill>
                <a:latin typeface="Segoe UI" pitchFamily="34" charset="0"/>
                <a:ea typeface="Segoe UI" pitchFamily="34" charset="0"/>
                <a:cs typeface="Segoe UI" pitchFamily="34" charset="0"/>
              </a:rPr>
              <a:t> Kingdom</a:t>
            </a:r>
            <a:endParaRPr lang="en-US" sz="800">
              <a:solidFill>
                <a:schemeClr val="accent1"/>
              </a:solidFill>
              <a:latin typeface="Segoe UI" pitchFamily="34" charset="0"/>
              <a:ea typeface="Segoe UI" pitchFamily="34" charset="0"/>
              <a:cs typeface="Segoe UI" pitchFamily="34" charset="0"/>
            </a:endParaRPr>
          </a:p>
        </c:rich>
      </c:tx>
      <c:layout>
        <c:manualLayout>
          <c:xMode val="edge"/>
          <c:yMode val="edge"/>
          <c:x val="0.11284033245844272"/>
          <c:y val="2.3148148148148147E-2"/>
        </c:manualLayout>
      </c:layout>
      <c:overlay val="0"/>
    </c:title>
    <c:autoTitleDeleted val="0"/>
    <c:plotArea>
      <c:layout/>
      <c:lineChart>
        <c:grouping val="standard"/>
        <c:varyColors val="0"/>
        <c:ser>
          <c:idx val="0"/>
          <c:order val="0"/>
          <c:tx>
            <c:strRef>
              <c:f>Results!$E$3</c:f>
              <c:strCache>
                <c:ptCount val="1"/>
                <c:pt idx="0">
                  <c:v>UK</c:v>
                </c:pt>
              </c:strCache>
            </c:strRef>
          </c:tx>
          <c:spPr>
            <a:ln w="19050"/>
          </c:spPr>
          <c:marker>
            <c:symbol val="none"/>
          </c:marker>
          <c:cat>
            <c:strRef>
              <c:f>Results!$B$15:$B$114</c:f>
              <c:strCache>
                <c:ptCount val="100"/>
                <c:pt idx="0">
                  <c:v>1 Year</c:v>
                </c:pt>
                <c:pt idx="1">
                  <c:v>2 Years</c:v>
                </c:pt>
                <c:pt idx="2">
                  <c:v>3 Years</c:v>
                </c:pt>
                <c:pt idx="3">
                  <c:v>4 Years</c:v>
                </c:pt>
                <c:pt idx="4">
                  <c:v>5 Years</c:v>
                </c:pt>
                <c:pt idx="5">
                  <c:v>6 Years</c:v>
                </c:pt>
                <c:pt idx="6">
                  <c:v>7 Years</c:v>
                </c:pt>
                <c:pt idx="7">
                  <c:v>8 Years</c:v>
                </c:pt>
                <c:pt idx="8">
                  <c:v>9 Years</c:v>
                </c:pt>
                <c:pt idx="9">
                  <c:v>10 Years</c:v>
                </c:pt>
                <c:pt idx="10">
                  <c:v>11 Years</c:v>
                </c:pt>
                <c:pt idx="11">
                  <c:v>12 Years</c:v>
                </c:pt>
                <c:pt idx="12">
                  <c:v>13 Years</c:v>
                </c:pt>
                <c:pt idx="13">
                  <c:v>14 Years</c:v>
                </c:pt>
                <c:pt idx="14">
                  <c:v>15 Years</c:v>
                </c:pt>
                <c:pt idx="15">
                  <c:v>16 Years</c:v>
                </c:pt>
                <c:pt idx="16">
                  <c:v>17 Years</c:v>
                </c:pt>
                <c:pt idx="17">
                  <c:v>18 Years</c:v>
                </c:pt>
                <c:pt idx="18">
                  <c:v>19 Years</c:v>
                </c:pt>
                <c:pt idx="19">
                  <c:v>20 Years</c:v>
                </c:pt>
                <c:pt idx="20">
                  <c:v>21 Years</c:v>
                </c:pt>
                <c:pt idx="21">
                  <c:v>22 Years</c:v>
                </c:pt>
                <c:pt idx="22">
                  <c:v>23 Years</c:v>
                </c:pt>
                <c:pt idx="23">
                  <c:v>24 Years</c:v>
                </c:pt>
                <c:pt idx="24">
                  <c:v>25 Years</c:v>
                </c:pt>
                <c:pt idx="25">
                  <c:v>26 Years</c:v>
                </c:pt>
                <c:pt idx="26">
                  <c:v>27 Years</c:v>
                </c:pt>
                <c:pt idx="27">
                  <c:v>28 Years</c:v>
                </c:pt>
                <c:pt idx="28">
                  <c:v>29 Years</c:v>
                </c:pt>
                <c:pt idx="29">
                  <c:v>30 Years</c:v>
                </c:pt>
                <c:pt idx="30">
                  <c:v>31 Years</c:v>
                </c:pt>
                <c:pt idx="31">
                  <c:v>32 Years</c:v>
                </c:pt>
                <c:pt idx="32">
                  <c:v>33 Years</c:v>
                </c:pt>
                <c:pt idx="33">
                  <c:v>34 Years</c:v>
                </c:pt>
                <c:pt idx="34">
                  <c:v>35 Years</c:v>
                </c:pt>
                <c:pt idx="35">
                  <c:v>36 Years</c:v>
                </c:pt>
                <c:pt idx="36">
                  <c:v>37 Years</c:v>
                </c:pt>
                <c:pt idx="37">
                  <c:v>38 Years</c:v>
                </c:pt>
                <c:pt idx="38">
                  <c:v>39 Years</c:v>
                </c:pt>
                <c:pt idx="39">
                  <c:v>40 Years</c:v>
                </c:pt>
                <c:pt idx="40">
                  <c:v>41 Years</c:v>
                </c:pt>
                <c:pt idx="41">
                  <c:v>42 Years</c:v>
                </c:pt>
                <c:pt idx="42">
                  <c:v>43 Years</c:v>
                </c:pt>
                <c:pt idx="43">
                  <c:v>44 Years</c:v>
                </c:pt>
                <c:pt idx="44">
                  <c:v>45 Years</c:v>
                </c:pt>
                <c:pt idx="45">
                  <c:v>46 Years</c:v>
                </c:pt>
                <c:pt idx="46">
                  <c:v>47 Years</c:v>
                </c:pt>
                <c:pt idx="47">
                  <c:v>48 Years</c:v>
                </c:pt>
                <c:pt idx="48">
                  <c:v>49 Years</c:v>
                </c:pt>
                <c:pt idx="49">
                  <c:v>50 Years</c:v>
                </c:pt>
                <c:pt idx="50">
                  <c:v>51 Years</c:v>
                </c:pt>
                <c:pt idx="51">
                  <c:v>52 Years</c:v>
                </c:pt>
                <c:pt idx="52">
                  <c:v>53 Years</c:v>
                </c:pt>
                <c:pt idx="53">
                  <c:v>54 Years</c:v>
                </c:pt>
                <c:pt idx="54">
                  <c:v>55 Years</c:v>
                </c:pt>
                <c:pt idx="55">
                  <c:v>56 Years</c:v>
                </c:pt>
                <c:pt idx="56">
                  <c:v>57 Years</c:v>
                </c:pt>
                <c:pt idx="57">
                  <c:v>58 Years</c:v>
                </c:pt>
                <c:pt idx="58">
                  <c:v>59 Years</c:v>
                </c:pt>
                <c:pt idx="59">
                  <c:v>60 Years</c:v>
                </c:pt>
                <c:pt idx="60">
                  <c:v>61 Years</c:v>
                </c:pt>
                <c:pt idx="61">
                  <c:v>62 Years</c:v>
                </c:pt>
                <c:pt idx="62">
                  <c:v>63 Years</c:v>
                </c:pt>
                <c:pt idx="63">
                  <c:v>64 Years</c:v>
                </c:pt>
                <c:pt idx="64">
                  <c:v>65 Years</c:v>
                </c:pt>
                <c:pt idx="65">
                  <c:v>66 Years</c:v>
                </c:pt>
                <c:pt idx="66">
                  <c:v>67 Years</c:v>
                </c:pt>
                <c:pt idx="67">
                  <c:v>68 Years</c:v>
                </c:pt>
                <c:pt idx="68">
                  <c:v>69 Years</c:v>
                </c:pt>
                <c:pt idx="69">
                  <c:v>70 Years</c:v>
                </c:pt>
                <c:pt idx="70">
                  <c:v>71 Years</c:v>
                </c:pt>
                <c:pt idx="71">
                  <c:v>72 Years</c:v>
                </c:pt>
                <c:pt idx="72">
                  <c:v>73 Years</c:v>
                </c:pt>
                <c:pt idx="73">
                  <c:v>74 Years</c:v>
                </c:pt>
                <c:pt idx="74">
                  <c:v>75 Years</c:v>
                </c:pt>
                <c:pt idx="75">
                  <c:v>76 Years</c:v>
                </c:pt>
                <c:pt idx="76">
                  <c:v>77 Years</c:v>
                </c:pt>
                <c:pt idx="77">
                  <c:v>78 Years</c:v>
                </c:pt>
                <c:pt idx="78">
                  <c:v>79 Years</c:v>
                </c:pt>
                <c:pt idx="79">
                  <c:v>80 Years</c:v>
                </c:pt>
                <c:pt idx="80">
                  <c:v>81 Years</c:v>
                </c:pt>
                <c:pt idx="81">
                  <c:v>82 Years</c:v>
                </c:pt>
                <c:pt idx="82">
                  <c:v>83 Years</c:v>
                </c:pt>
                <c:pt idx="83">
                  <c:v>84 Years</c:v>
                </c:pt>
                <c:pt idx="84">
                  <c:v>85 Years</c:v>
                </c:pt>
                <c:pt idx="85">
                  <c:v>86 Years</c:v>
                </c:pt>
                <c:pt idx="86">
                  <c:v>87 Years</c:v>
                </c:pt>
                <c:pt idx="87">
                  <c:v>88 Years</c:v>
                </c:pt>
                <c:pt idx="88">
                  <c:v>89 Years</c:v>
                </c:pt>
                <c:pt idx="89">
                  <c:v>90 Years</c:v>
                </c:pt>
                <c:pt idx="90">
                  <c:v>91 Years</c:v>
                </c:pt>
                <c:pt idx="91">
                  <c:v>92 Years</c:v>
                </c:pt>
                <c:pt idx="92">
                  <c:v>93 Years</c:v>
                </c:pt>
                <c:pt idx="93">
                  <c:v>94 Years</c:v>
                </c:pt>
                <c:pt idx="94">
                  <c:v>95 Years</c:v>
                </c:pt>
                <c:pt idx="95">
                  <c:v>96 Years</c:v>
                </c:pt>
                <c:pt idx="96">
                  <c:v>97 Years</c:v>
                </c:pt>
                <c:pt idx="97">
                  <c:v>98 Years</c:v>
                </c:pt>
                <c:pt idx="98">
                  <c:v>99 Years</c:v>
                </c:pt>
                <c:pt idx="99">
                  <c:v>100 Years</c:v>
                </c:pt>
              </c:strCache>
            </c:strRef>
          </c:cat>
          <c:val>
            <c:numRef>
              <c:f>Results!$E$15:$E$114</c:f>
              <c:numCache>
                <c:formatCode>0.00%</c:formatCode>
                <c:ptCount val="100"/>
                <c:pt idx="0">
                  <c:v>7.1917076632440572E-3</c:v>
                </c:pt>
                <c:pt idx="1">
                  <c:v>6.7577173961772541E-3</c:v>
                </c:pt>
                <c:pt idx="2">
                  <c:v>6.771021771531105E-3</c:v>
                </c:pt>
                <c:pt idx="3">
                  <c:v>6.9642946586363497E-3</c:v>
                </c:pt>
                <c:pt idx="4">
                  <c:v>7.2508677773559516E-3</c:v>
                </c:pt>
                <c:pt idx="5">
                  <c:v>7.5634903247467911E-3</c:v>
                </c:pt>
                <c:pt idx="6">
                  <c:v>7.8923953407101788E-3</c:v>
                </c:pt>
                <c:pt idx="7">
                  <c:v>8.223055948443081E-3</c:v>
                </c:pt>
                <c:pt idx="8">
                  <c:v>8.552710926212459E-3</c:v>
                </c:pt>
                <c:pt idx="9">
                  <c:v>8.8695476633717796E-3</c:v>
                </c:pt>
                <c:pt idx="10">
                  <c:v>9.1716965488757296E-3</c:v>
                </c:pt>
                <c:pt idx="11">
                  <c:v>9.4470297869213571E-3</c:v>
                </c:pt>
                <c:pt idx="12">
                  <c:v>9.6771836840940928E-3</c:v>
                </c:pt>
                <c:pt idx="13">
                  <c:v>9.9006904827734221E-3</c:v>
                </c:pt>
                <c:pt idx="14">
                  <c:v>1.0086290649003349E-2</c:v>
                </c:pt>
                <c:pt idx="15">
                  <c:v>1.0243119547494572E-2</c:v>
                </c:pt>
                <c:pt idx="16">
                  <c:v>1.0376713441830887E-2</c:v>
                </c:pt>
                <c:pt idx="17">
                  <c:v>1.0493396404615662E-2</c:v>
                </c:pt>
                <c:pt idx="18">
                  <c:v>1.059746658271421E-2</c:v>
                </c:pt>
                <c:pt idx="19">
                  <c:v>1.0674170808637751E-2</c:v>
                </c:pt>
                <c:pt idx="20">
                  <c:v>1.0858187608228542E-2</c:v>
                </c:pt>
                <c:pt idx="21">
                  <c:v>1.0902163153443611E-2</c:v>
                </c:pt>
                <c:pt idx="22">
                  <c:v>1.091307597176594E-2</c:v>
                </c:pt>
                <c:pt idx="23">
                  <c:v>1.0889167507163622E-2</c:v>
                </c:pt>
                <c:pt idx="24">
                  <c:v>1.0832794192860096E-2</c:v>
                </c:pt>
                <c:pt idx="25">
                  <c:v>1.087996629347221E-2</c:v>
                </c:pt>
                <c:pt idx="26">
                  <c:v>1.0912410777917714E-2</c:v>
                </c:pt>
                <c:pt idx="27">
                  <c:v>1.0919031673084278E-2</c:v>
                </c:pt>
                <c:pt idx="28">
                  <c:v>1.0901833889614965E-2</c:v>
                </c:pt>
                <c:pt idx="29">
                  <c:v>1.0862705538381201E-2</c:v>
                </c:pt>
                <c:pt idx="30">
                  <c:v>1.0868926806394619E-2</c:v>
                </c:pt>
                <c:pt idx="31">
                  <c:v>1.0922893558142688E-2</c:v>
                </c:pt>
                <c:pt idx="32">
                  <c:v>1.1020838889731266E-2</c:v>
                </c:pt>
                <c:pt idx="33">
                  <c:v>1.1159302863393394E-2</c:v>
                </c:pt>
                <c:pt idx="34">
                  <c:v>1.1335076082098938E-2</c:v>
                </c:pt>
                <c:pt idx="35">
                  <c:v>1.1545157175860243E-2</c:v>
                </c:pt>
                <c:pt idx="36">
                  <c:v>1.1786718116292949E-2</c:v>
                </c:pt>
                <c:pt idx="37">
                  <c:v>1.2057075273503859E-2</c:v>
                </c:pt>
                <c:pt idx="38">
                  <c:v>1.235366552737216E-2</c:v>
                </c:pt>
                <c:pt idx="39">
                  <c:v>1.2674028287281924E-2</c:v>
                </c:pt>
                <c:pt idx="40">
                  <c:v>1.3015789674829081E-2</c:v>
                </c:pt>
                <c:pt idx="41">
                  <c:v>1.3376648951053616E-2</c:v>
                </c:pt>
                <c:pt idx="42">
                  <c:v>1.3754369414742396E-2</c:v>
                </c:pt>
                <c:pt idx="43">
                  <c:v>1.4146767168927044E-2</c:v>
                </c:pt>
                <c:pt idx="44">
                  <c:v>1.4551706970891143E-2</c:v>
                </c:pt>
                <c:pt idx="45">
                  <c:v>1.4967093459568259E-2</c:v>
                </c:pt>
                <c:pt idx="46">
                  <c:v>1.5390867136898301E-2</c:v>
                </c:pt>
                <c:pt idx="47">
                  <c:v>1.5821000647804562E-2</c:v>
                </c:pt>
                <c:pt idx="48">
                  <c:v>1.6255493787916242E-2</c:v>
                </c:pt>
                <c:pt idx="49">
                  <c:v>1.6692371219878765E-2</c:v>
                </c:pt>
                <c:pt idx="50">
                  <c:v>1.7129679963365785E-2</c:v>
                </c:pt>
                <c:pt idx="51">
                  <c:v>1.7565486927431539E-2</c:v>
                </c:pt>
                <c:pt idx="52">
                  <c:v>1.7997876820748493E-2</c:v>
                </c:pt>
                <c:pt idx="53">
                  <c:v>1.8424950516397365E-2</c:v>
                </c:pt>
                <c:pt idx="54">
                  <c:v>1.8844824239230507E-2</c:v>
                </c:pt>
                <c:pt idx="55">
                  <c:v>1.9255627620236249E-2</c:v>
                </c:pt>
                <c:pt idx="56">
                  <c:v>1.9655503006214214E-2</c:v>
                </c:pt>
                <c:pt idx="57">
                  <c:v>2.0042604360161143E-2</c:v>
                </c:pt>
                <c:pt idx="58">
                  <c:v>2.0415096672063315E-2</c:v>
                </c:pt>
                <c:pt idx="59">
                  <c:v>2.0771155096732441E-2</c:v>
                </c:pt>
                <c:pt idx="60">
                  <c:v>2.1115657672001076E-2</c:v>
                </c:pt>
                <c:pt idx="61">
                  <c:v>2.1449157962262211E-2</c:v>
                </c:pt>
                <c:pt idx="62">
                  <c:v>2.1772174731938598E-2</c:v>
                </c:pt>
                <c:pt idx="63">
                  <c:v>2.2085194637720074E-2</c:v>
                </c:pt>
                <c:pt idx="64">
                  <c:v>2.2388674674678644E-2</c:v>
                </c:pt>
                <c:pt idx="65">
                  <c:v>2.268304440211999E-2</c:v>
                </c:pt>
                <c:pt idx="66">
                  <c:v>2.2968707971967595E-2</c:v>
                </c:pt>
                <c:pt idx="67">
                  <c:v>2.3246045979817831E-2</c:v>
                </c:pt>
                <c:pt idx="68">
                  <c:v>2.3515417156493967E-2</c:v>
                </c:pt>
                <c:pt idx="69">
                  <c:v>2.3777159915905344E-2</c:v>
                </c:pt>
                <c:pt idx="70">
                  <c:v>2.403159377325359E-2</c:v>
                </c:pt>
                <c:pt idx="71">
                  <c:v>2.4279020646081895E-2</c:v>
                </c:pt>
                <c:pt idx="72">
                  <c:v>2.4519726049304191E-2</c:v>
                </c:pt>
                <c:pt idx="73">
                  <c:v>2.4753980194157865E-2</c:v>
                </c:pt>
                <c:pt idx="74">
                  <c:v>2.4982038999974199E-2</c:v>
                </c:pt>
                <c:pt idx="75">
                  <c:v>2.520414502672752E-2</c:v>
                </c:pt>
                <c:pt idx="76">
                  <c:v>2.5420528335508896E-2</c:v>
                </c:pt>
                <c:pt idx="77">
                  <c:v>2.5631407283339236E-2</c:v>
                </c:pt>
                <c:pt idx="78">
                  <c:v>2.5836989258092968E-2</c:v>
                </c:pt>
                <c:pt idx="79">
                  <c:v>2.603747135873502E-2</c:v>
                </c:pt>
                <c:pt idx="80">
                  <c:v>2.6233041025556014E-2</c:v>
                </c:pt>
                <c:pt idx="81">
                  <c:v>2.6423876624644738E-2</c:v>
                </c:pt>
                <c:pt idx="82">
                  <c:v>2.6610147990427491E-2</c:v>
                </c:pt>
                <c:pt idx="83">
                  <c:v>2.6792016929742424E-2</c:v>
                </c:pt>
                <c:pt idx="84">
                  <c:v>2.6969637690592574E-2</c:v>
                </c:pt>
                <c:pt idx="85">
                  <c:v>2.7143157398433759E-2</c:v>
                </c:pt>
                <c:pt idx="86">
                  <c:v>2.7312716462588371E-2</c:v>
                </c:pt>
                <c:pt idx="87">
                  <c:v>2.7478448955146284E-2</c:v>
                </c:pt>
                <c:pt idx="88">
                  <c:v>2.7640482964500279E-2</c:v>
                </c:pt>
                <c:pt idx="89">
                  <c:v>2.779894092547619E-2</c:v>
                </c:pt>
                <c:pt idx="90">
                  <c:v>2.7953939927845006E-2</c:v>
                </c:pt>
                <c:pt idx="91">
                  <c:v>2.810559200485141E-2</c:v>
                </c:pt>
                <c:pt idx="92">
                  <c:v>2.8254004403251765E-2</c:v>
                </c:pt>
                <c:pt idx="93">
                  <c:v>2.8399279836230917E-2</c:v>
                </c:pt>
                <c:pt idx="94">
                  <c:v>2.8541516720448801E-2</c:v>
                </c:pt>
                <c:pt idx="95">
                  <c:v>2.8680809398368812E-2</c:v>
                </c:pt>
                <c:pt idx="96">
                  <c:v>2.8817248346921565E-2</c:v>
                </c:pt>
                <c:pt idx="97">
                  <c:v>2.8950920373475464E-2</c:v>
                </c:pt>
                <c:pt idx="98">
                  <c:v>2.9081908800003831E-2</c:v>
                </c:pt>
                <c:pt idx="99">
                  <c:v>2.9210293636272144E-2</c:v>
                </c:pt>
              </c:numCache>
            </c:numRef>
          </c:val>
          <c:smooth val="0"/>
          <c:extLst>
            <c:ext xmlns:c16="http://schemas.microsoft.com/office/drawing/2014/chart" uri="{C3380CC4-5D6E-409C-BE32-E72D297353CC}">
              <c16:uniqueId val="{00000000-8CCB-4156-9FE8-26AC23B985BF}"/>
            </c:ext>
          </c:extLst>
        </c:ser>
        <c:dLbls>
          <c:showLegendKey val="0"/>
          <c:showVal val="0"/>
          <c:showCatName val="0"/>
          <c:showSerName val="0"/>
          <c:showPercent val="0"/>
          <c:showBubbleSize val="0"/>
        </c:dLbls>
        <c:smooth val="0"/>
        <c:axId val="70519424"/>
        <c:axId val="70521216"/>
      </c:lineChart>
      <c:catAx>
        <c:axId val="70519424"/>
        <c:scaling>
          <c:orientation val="minMax"/>
        </c:scaling>
        <c:delete val="0"/>
        <c:axPos val="b"/>
        <c:numFmt formatCode="General" sourceLinked="0"/>
        <c:majorTickMark val="out"/>
        <c:minorTickMark val="none"/>
        <c:tickLblPos val="nextTo"/>
        <c:txPr>
          <a:bodyPr/>
          <a:lstStyle/>
          <a:p>
            <a:pPr>
              <a:defRPr sz="800">
                <a:latin typeface="Segoe UI" pitchFamily="34" charset="0"/>
                <a:ea typeface="Segoe UI" pitchFamily="34" charset="0"/>
                <a:cs typeface="Segoe UI" pitchFamily="34" charset="0"/>
              </a:defRPr>
            </a:pPr>
            <a:endParaRPr lang="en-US"/>
          </a:p>
        </c:txPr>
        <c:crossAx val="70521216"/>
        <c:crosses val="autoZero"/>
        <c:auto val="1"/>
        <c:lblAlgn val="ctr"/>
        <c:lblOffset val="100"/>
        <c:noMultiLvlLbl val="0"/>
      </c:catAx>
      <c:valAx>
        <c:axId val="70521216"/>
        <c:scaling>
          <c:orientation val="minMax"/>
        </c:scaling>
        <c:delete val="0"/>
        <c:axPos val="l"/>
        <c:majorGridlines>
          <c:spPr>
            <a:ln>
              <a:noFill/>
            </a:ln>
          </c:spPr>
        </c:majorGridlines>
        <c:numFmt formatCode="0.0%" sourceLinked="0"/>
        <c:majorTickMark val="out"/>
        <c:minorTickMark val="none"/>
        <c:tickLblPos val="nextTo"/>
        <c:txPr>
          <a:bodyPr/>
          <a:lstStyle/>
          <a:p>
            <a:pPr>
              <a:defRPr sz="800">
                <a:latin typeface="Segoe UI" pitchFamily="34" charset="0"/>
                <a:ea typeface="Segoe UI" pitchFamily="34" charset="0"/>
                <a:cs typeface="Segoe UI" pitchFamily="34" charset="0"/>
              </a:defRPr>
            </a:pPr>
            <a:endParaRPr lang="en-US"/>
          </a:p>
        </c:txPr>
        <c:crossAx val="70519424"/>
        <c:crosses val="autoZero"/>
        <c:crossBetween val="between"/>
      </c:valAx>
      <c:spPr>
        <a:ln>
          <a:solidFill>
            <a:schemeClr val="tx1"/>
          </a:solidFill>
        </a:ln>
      </c:spPr>
    </c:plotArea>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a:solidFill>
                  <a:schemeClr val="accent1"/>
                </a:solidFill>
                <a:latin typeface="Segoe UI" pitchFamily="34" charset="0"/>
                <a:ea typeface="Segoe UI" pitchFamily="34" charset="0"/>
                <a:cs typeface="Segoe UI" pitchFamily="34" charset="0"/>
              </a:defRPr>
            </a:pPr>
            <a:r>
              <a:rPr lang="en-US" sz="800">
                <a:solidFill>
                  <a:schemeClr val="accent1"/>
                </a:solidFill>
                <a:latin typeface="Segoe UI" pitchFamily="34" charset="0"/>
                <a:ea typeface="Segoe UI" pitchFamily="34" charset="0"/>
                <a:cs typeface="Segoe UI" pitchFamily="34" charset="0"/>
              </a:rPr>
              <a:t>Yield Curve Canada</a:t>
            </a:r>
          </a:p>
        </c:rich>
      </c:tx>
      <c:layout>
        <c:manualLayout>
          <c:xMode val="edge"/>
          <c:yMode val="edge"/>
          <c:x val="0.11284033245844272"/>
          <c:y val="2.3148148148148147E-2"/>
        </c:manualLayout>
      </c:layout>
      <c:overlay val="0"/>
    </c:title>
    <c:autoTitleDeleted val="0"/>
    <c:plotArea>
      <c:layout/>
      <c:lineChart>
        <c:grouping val="standard"/>
        <c:varyColors val="0"/>
        <c:ser>
          <c:idx val="0"/>
          <c:order val="0"/>
          <c:tx>
            <c:strRef>
              <c:f>Results!$G$3</c:f>
              <c:strCache>
                <c:ptCount val="1"/>
                <c:pt idx="0">
                  <c:v>Canada</c:v>
                </c:pt>
              </c:strCache>
            </c:strRef>
          </c:tx>
          <c:spPr>
            <a:ln w="19050"/>
          </c:spPr>
          <c:marker>
            <c:symbol val="none"/>
          </c:marker>
          <c:cat>
            <c:strRef>
              <c:f>Results!$B$15:$B$114</c:f>
              <c:strCache>
                <c:ptCount val="100"/>
                <c:pt idx="0">
                  <c:v>1 Year</c:v>
                </c:pt>
                <c:pt idx="1">
                  <c:v>2 Years</c:v>
                </c:pt>
                <c:pt idx="2">
                  <c:v>3 Years</c:v>
                </c:pt>
                <c:pt idx="3">
                  <c:v>4 Years</c:v>
                </c:pt>
                <c:pt idx="4">
                  <c:v>5 Years</c:v>
                </c:pt>
                <c:pt idx="5">
                  <c:v>6 Years</c:v>
                </c:pt>
                <c:pt idx="6">
                  <c:v>7 Years</c:v>
                </c:pt>
                <c:pt idx="7">
                  <c:v>8 Years</c:v>
                </c:pt>
                <c:pt idx="8">
                  <c:v>9 Years</c:v>
                </c:pt>
                <c:pt idx="9">
                  <c:v>10 Years</c:v>
                </c:pt>
                <c:pt idx="10">
                  <c:v>11 Years</c:v>
                </c:pt>
                <c:pt idx="11">
                  <c:v>12 Years</c:v>
                </c:pt>
                <c:pt idx="12">
                  <c:v>13 Years</c:v>
                </c:pt>
                <c:pt idx="13">
                  <c:v>14 Years</c:v>
                </c:pt>
                <c:pt idx="14">
                  <c:v>15 Years</c:v>
                </c:pt>
                <c:pt idx="15">
                  <c:v>16 Years</c:v>
                </c:pt>
                <c:pt idx="16">
                  <c:v>17 Years</c:v>
                </c:pt>
                <c:pt idx="17">
                  <c:v>18 Years</c:v>
                </c:pt>
                <c:pt idx="18">
                  <c:v>19 Years</c:v>
                </c:pt>
                <c:pt idx="19">
                  <c:v>20 Years</c:v>
                </c:pt>
                <c:pt idx="20">
                  <c:v>21 Years</c:v>
                </c:pt>
                <c:pt idx="21">
                  <c:v>22 Years</c:v>
                </c:pt>
                <c:pt idx="22">
                  <c:v>23 Years</c:v>
                </c:pt>
                <c:pt idx="23">
                  <c:v>24 Years</c:v>
                </c:pt>
                <c:pt idx="24">
                  <c:v>25 Years</c:v>
                </c:pt>
                <c:pt idx="25">
                  <c:v>26 Years</c:v>
                </c:pt>
                <c:pt idx="26">
                  <c:v>27 Years</c:v>
                </c:pt>
                <c:pt idx="27">
                  <c:v>28 Years</c:v>
                </c:pt>
                <c:pt idx="28">
                  <c:v>29 Years</c:v>
                </c:pt>
                <c:pt idx="29">
                  <c:v>30 Years</c:v>
                </c:pt>
                <c:pt idx="30">
                  <c:v>31 Years</c:v>
                </c:pt>
                <c:pt idx="31">
                  <c:v>32 Years</c:v>
                </c:pt>
                <c:pt idx="32">
                  <c:v>33 Years</c:v>
                </c:pt>
                <c:pt idx="33">
                  <c:v>34 Years</c:v>
                </c:pt>
                <c:pt idx="34">
                  <c:v>35 Years</c:v>
                </c:pt>
                <c:pt idx="35">
                  <c:v>36 Years</c:v>
                </c:pt>
                <c:pt idx="36">
                  <c:v>37 Years</c:v>
                </c:pt>
                <c:pt idx="37">
                  <c:v>38 Years</c:v>
                </c:pt>
                <c:pt idx="38">
                  <c:v>39 Years</c:v>
                </c:pt>
                <c:pt idx="39">
                  <c:v>40 Years</c:v>
                </c:pt>
                <c:pt idx="40">
                  <c:v>41 Years</c:v>
                </c:pt>
                <c:pt idx="41">
                  <c:v>42 Years</c:v>
                </c:pt>
                <c:pt idx="42">
                  <c:v>43 Years</c:v>
                </c:pt>
                <c:pt idx="43">
                  <c:v>44 Years</c:v>
                </c:pt>
                <c:pt idx="44">
                  <c:v>45 Years</c:v>
                </c:pt>
                <c:pt idx="45">
                  <c:v>46 Years</c:v>
                </c:pt>
                <c:pt idx="46">
                  <c:v>47 Years</c:v>
                </c:pt>
                <c:pt idx="47">
                  <c:v>48 Years</c:v>
                </c:pt>
                <c:pt idx="48">
                  <c:v>49 Years</c:v>
                </c:pt>
                <c:pt idx="49">
                  <c:v>50 Years</c:v>
                </c:pt>
                <c:pt idx="50">
                  <c:v>51 Years</c:v>
                </c:pt>
                <c:pt idx="51">
                  <c:v>52 Years</c:v>
                </c:pt>
                <c:pt idx="52">
                  <c:v>53 Years</c:v>
                </c:pt>
                <c:pt idx="53">
                  <c:v>54 Years</c:v>
                </c:pt>
                <c:pt idx="54">
                  <c:v>55 Years</c:v>
                </c:pt>
                <c:pt idx="55">
                  <c:v>56 Years</c:v>
                </c:pt>
                <c:pt idx="56">
                  <c:v>57 Years</c:v>
                </c:pt>
                <c:pt idx="57">
                  <c:v>58 Years</c:v>
                </c:pt>
                <c:pt idx="58">
                  <c:v>59 Years</c:v>
                </c:pt>
                <c:pt idx="59">
                  <c:v>60 Years</c:v>
                </c:pt>
                <c:pt idx="60">
                  <c:v>61 Years</c:v>
                </c:pt>
                <c:pt idx="61">
                  <c:v>62 Years</c:v>
                </c:pt>
                <c:pt idx="62">
                  <c:v>63 Years</c:v>
                </c:pt>
                <c:pt idx="63">
                  <c:v>64 Years</c:v>
                </c:pt>
                <c:pt idx="64">
                  <c:v>65 Years</c:v>
                </c:pt>
                <c:pt idx="65">
                  <c:v>66 Years</c:v>
                </c:pt>
                <c:pt idx="66">
                  <c:v>67 Years</c:v>
                </c:pt>
                <c:pt idx="67">
                  <c:v>68 Years</c:v>
                </c:pt>
                <c:pt idx="68">
                  <c:v>69 Years</c:v>
                </c:pt>
                <c:pt idx="69">
                  <c:v>70 Years</c:v>
                </c:pt>
                <c:pt idx="70">
                  <c:v>71 Years</c:v>
                </c:pt>
                <c:pt idx="71">
                  <c:v>72 Years</c:v>
                </c:pt>
                <c:pt idx="72">
                  <c:v>73 Years</c:v>
                </c:pt>
                <c:pt idx="73">
                  <c:v>74 Years</c:v>
                </c:pt>
                <c:pt idx="74">
                  <c:v>75 Years</c:v>
                </c:pt>
                <c:pt idx="75">
                  <c:v>76 Years</c:v>
                </c:pt>
                <c:pt idx="76">
                  <c:v>77 Years</c:v>
                </c:pt>
                <c:pt idx="77">
                  <c:v>78 Years</c:v>
                </c:pt>
                <c:pt idx="78">
                  <c:v>79 Years</c:v>
                </c:pt>
                <c:pt idx="79">
                  <c:v>80 Years</c:v>
                </c:pt>
                <c:pt idx="80">
                  <c:v>81 Years</c:v>
                </c:pt>
                <c:pt idx="81">
                  <c:v>82 Years</c:v>
                </c:pt>
                <c:pt idx="82">
                  <c:v>83 Years</c:v>
                </c:pt>
                <c:pt idx="83">
                  <c:v>84 Years</c:v>
                </c:pt>
                <c:pt idx="84">
                  <c:v>85 Years</c:v>
                </c:pt>
                <c:pt idx="85">
                  <c:v>86 Years</c:v>
                </c:pt>
                <c:pt idx="86">
                  <c:v>87 Years</c:v>
                </c:pt>
                <c:pt idx="87">
                  <c:v>88 Years</c:v>
                </c:pt>
                <c:pt idx="88">
                  <c:v>89 Years</c:v>
                </c:pt>
                <c:pt idx="89">
                  <c:v>90 Years</c:v>
                </c:pt>
                <c:pt idx="90">
                  <c:v>91 Years</c:v>
                </c:pt>
                <c:pt idx="91">
                  <c:v>92 Years</c:v>
                </c:pt>
                <c:pt idx="92">
                  <c:v>93 Years</c:v>
                </c:pt>
                <c:pt idx="93">
                  <c:v>94 Years</c:v>
                </c:pt>
                <c:pt idx="94">
                  <c:v>95 Years</c:v>
                </c:pt>
                <c:pt idx="95">
                  <c:v>96 Years</c:v>
                </c:pt>
                <c:pt idx="96">
                  <c:v>97 Years</c:v>
                </c:pt>
                <c:pt idx="97">
                  <c:v>98 Years</c:v>
                </c:pt>
                <c:pt idx="98">
                  <c:v>99 Years</c:v>
                </c:pt>
                <c:pt idx="99">
                  <c:v>100 Years</c:v>
                </c:pt>
              </c:strCache>
            </c:strRef>
          </c:cat>
          <c:val>
            <c:numRef>
              <c:f>Results!$G$15:$G$114</c:f>
              <c:numCache>
                <c:formatCode>0.00%</c:formatCode>
                <c:ptCount val="100"/>
                <c:pt idx="0">
                  <c:v>1.8322448071752238E-2</c:v>
                </c:pt>
                <c:pt idx="1">
                  <c:v>1.6976189489419591E-2</c:v>
                </c:pt>
                <c:pt idx="2">
                  <c:v>1.6527646349979719E-2</c:v>
                </c:pt>
                <c:pt idx="3">
                  <c:v>1.6330858961021377E-2</c:v>
                </c:pt>
                <c:pt idx="4">
                  <c:v>1.6341508845795438E-2</c:v>
                </c:pt>
                <c:pt idx="5">
                  <c:v>1.6526964466219152E-2</c:v>
                </c:pt>
                <c:pt idx="6">
                  <c:v>1.6793443571916145E-2</c:v>
                </c:pt>
                <c:pt idx="7">
                  <c:v>1.7113736214264819E-2</c:v>
                </c:pt>
                <c:pt idx="8">
                  <c:v>1.7463110234003709E-2</c:v>
                </c:pt>
                <c:pt idx="9">
                  <c:v>1.7819343778962882E-2</c:v>
                </c:pt>
                <c:pt idx="10">
                  <c:v>1.8242698360001253E-2</c:v>
                </c:pt>
                <c:pt idx="11">
                  <c:v>1.8662118889414048E-2</c:v>
                </c:pt>
                <c:pt idx="12">
                  <c:v>1.9022307246541414E-2</c:v>
                </c:pt>
                <c:pt idx="13">
                  <c:v>1.9378748880678698E-2</c:v>
                </c:pt>
                <c:pt idx="14">
                  <c:v>1.9731534863338007E-2</c:v>
                </c:pt>
                <c:pt idx="15">
                  <c:v>1.9942312163111264E-2</c:v>
                </c:pt>
                <c:pt idx="16">
                  <c:v>2.014961000816351E-2</c:v>
                </c:pt>
                <c:pt idx="17">
                  <c:v>2.0353513590254613E-2</c:v>
                </c:pt>
                <c:pt idx="18">
                  <c:v>2.0554106594844246E-2</c:v>
                </c:pt>
                <c:pt idx="19">
                  <c:v>2.0751470534446703E-2</c:v>
                </c:pt>
                <c:pt idx="20">
                  <c:v>2.0734224729733075E-2</c:v>
                </c:pt>
                <c:pt idx="21">
                  <c:v>2.0713908819186111E-2</c:v>
                </c:pt>
                <c:pt idx="22">
                  <c:v>2.0690600310437013E-2</c:v>
                </c:pt>
                <c:pt idx="23">
                  <c:v>2.0664374660170903E-2</c:v>
                </c:pt>
                <c:pt idx="24">
                  <c:v>2.0635306001816067E-2</c:v>
                </c:pt>
                <c:pt idx="25">
                  <c:v>2.0578756392364062E-2</c:v>
                </c:pt>
                <c:pt idx="26">
                  <c:v>2.0519506789202113E-2</c:v>
                </c:pt>
                <c:pt idx="27">
                  <c:v>2.045762636201931E-2</c:v>
                </c:pt>
                <c:pt idx="28">
                  <c:v>2.0393183534742398E-2</c:v>
                </c:pt>
                <c:pt idx="29">
                  <c:v>2.032624461531074E-2</c:v>
                </c:pt>
                <c:pt idx="30">
                  <c:v>2.0278854926367051E-2</c:v>
                </c:pt>
                <c:pt idx="31">
                  <c:v>2.0248320225855654E-2</c:v>
                </c:pt>
                <c:pt idx="32">
                  <c:v>2.0233193557692486E-2</c:v>
                </c:pt>
                <c:pt idx="33">
                  <c:v>2.0232272108664517E-2</c:v>
                </c:pt>
                <c:pt idx="34">
                  <c:v>2.0244562348088468E-2</c:v>
                </c:pt>
                <c:pt idx="35">
                  <c:v>2.0269250216072399E-2</c:v>
                </c:pt>
                <c:pt idx="36">
                  <c:v>2.0305676867473199E-2</c:v>
                </c:pt>
                <c:pt idx="37">
                  <c:v>2.0353317663741599E-2</c:v>
                </c:pt>
                <c:pt idx="38">
                  <c:v>2.0411764926694165E-2</c:v>
                </c:pt>
                <c:pt idx="39">
                  <c:v>2.0480712867443795E-2</c:v>
                </c:pt>
                <c:pt idx="40">
                  <c:v>2.0559945076004338E-2</c:v>
                </c:pt>
                <c:pt idx="41">
                  <c:v>2.0649323660727914E-2</c:v>
                </c:pt>
                <c:pt idx="42">
                  <c:v>2.074877942243547E-2</c:v>
                </c:pt>
                <c:pt idx="43">
                  <c:v>2.0858305030738711E-2</c:v>
                </c:pt>
                <c:pt idx="44">
                  <c:v>2.097794633035166E-2</c:v>
                </c:pt>
                <c:pt idx="45">
                  <c:v>2.1107798037406811E-2</c:v>
                </c:pt>
                <c:pt idx="46">
                  <c:v>2.1247997168725163E-2</c:v>
                </c:pt>
                <c:pt idx="47">
                  <c:v>2.1398719020896628E-2</c:v>
                </c:pt>
                <c:pt idx="48">
                  <c:v>2.1560173010321648E-2</c:v>
                </c:pt>
                <c:pt idx="49">
                  <c:v>2.1732599120727558E-2</c:v>
                </c:pt>
                <c:pt idx="50">
                  <c:v>2.1916264830216248E-2</c:v>
                </c:pt>
                <c:pt idx="51">
                  <c:v>2.2111462116009006E-2</c:v>
                </c:pt>
                <c:pt idx="52">
                  <c:v>2.2318505285422674E-2</c:v>
                </c:pt>
                <c:pt idx="53">
                  <c:v>2.2537728833591952E-2</c:v>
                </c:pt>
                <c:pt idx="54">
                  <c:v>2.2769485178152582E-2</c:v>
                </c:pt>
                <c:pt idx="55">
                  <c:v>2.3014143225329686E-2</c:v>
                </c:pt>
                <c:pt idx="56">
                  <c:v>2.3272086619551935E-2</c:v>
                </c:pt>
                <c:pt idx="57">
                  <c:v>2.3543712686888263E-2</c:v>
                </c:pt>
                <c:pt idx="58">
                  <c:v>2.382943082214517E-2</c:v>
                </c:pt>
                <c:pt idx="59">
                  <c:v>2.4129661657958046E-2</c:v>
                </c:pt>
                <c:pt idx="60">
                  <c:v>2.4420132617594348E-2</c:v>
                </c:pt>
                <c:pt idx="61">
                  <c:v>2.4701311987952668E-2</c:v>
                </c:pt>
                <c:pt idx="62">
                  <c:v>2.4973638569828482E-2</c:v>
                </c:pt>
                <c:pt idx="63">
                  <c:v>2.5237523962669428E-2</c:v>
                </c:pt>
                <c:pt idx="64">
                  <c:v>2.5493354640133692E-2</c:v>
                </c:pt>
                <c:pt idx="65">
                  <c:v>2.5741493838463025E-2</c:v>
                </c:pt>
                <c:pt idx="66">
                  <c:v>2.5982283277071749E-2</c:v>
                </c:pt>
                <c:pt idx="67">
                  <c:v>2.621604472849115E-2</c:v>
                </c:pt>
                <c:pt idx="68">
                  <c:v>2.6443081452834916E-2</c:v>
                </c:pt>
                <c:pt idx="69">
                  <c:v>2.6663679510232186E-2</c:v>
                </c:pt>
                <c:pt idx="70">
                  <c:v>2.6878108963169556E-2</c:v>
                </c:pt>
                <c:pt idx="71">
                  <c:v>2.7086624979368423E-2</c:v>
                </c:pt>
                <c:pt idx="72">
                  <c:v>2.728946884466521E-2</c:v>
                </c:pt>
                <c:pt idx="73">
                  <c:v>2.7486868894348815E-2</c:v>
                </c:pt>
                <c:pt idx="74">
                  <c:v>2.7679041370511692E-2</c:v>
                </c:pt>
                <c:pt idx="75">
                  <c:v>2.7866191212180924E-2</c:v>
                </c:pt>
                <c:pt idx="76">
                  <c:v>2.804851278430176E-2</c:v>
                </c:pt>
                <c:pt idx="77">
                  <c:v>2.8226190551020158E-2</c:v>
                </c:pt>
                <c:pt idx="78">
                  <c:v>2.8399399698170624E-2</c:v>
                </c:pt>
                <c:pt idx="79">
                  <c:v>2.8568306709381819E-2</c:v>
                </c:pt>
                <c:pt idx="80">
                  <c:v>2.8733069899785413E-2</c:v>
                </c:pt>
                <c:pt idx="81">
                  <c:v>2.8893839910919983E-2</c:v>
                </c:pt>
                <c:pt idx="82">
                  <c:v>2.905076017008712E-2</c:v>
                </c:pt>
                <c:pt idx="83">
                  <c:v>2.9203967317098956E-2</c:v>
                </c:pt>
                <c:pt idx="84">
                  <c:v>2.9353591601088747E-2</c:v>
                </c:pt>
                <c:pt idx="85">
                  <c:v>2.9499757249805247E-2</c:v>
                </c:pt>
                <c:pt idx="86">
                  <c:v>2.9642582813592E-2</c:v>
                </c:pt>
                <c:pt idx="87">
                  <c:v>2.9782181486052606E-2</c:v>
                </c:pt>
                <c:pt idx="88">
                  <c:v>2.9918661403225189E-2</c:v>
                </c:pt>
                <c:pt idx="89">
                  <c:v>3.0052125922928941E-2</c:v>
                </c:pt>
                <c:pt idx="90">
                  <c:v>3.0182673885795985E-2</c:v>
                </c:pt>
                <c:pt idx="91">
                  <c:v>3.0310399859378556E-2</c:v>
                </c:pt>
                <c:pt idx="92">
                  <c:v>3.0435394366594259E-2</c:v>
                </c:pt>
                <c:pt idx="93">
                  <c:v>3.0557744099671824E-2</c:v>
                </c:pt>
                <c:pt idx="94">
                  <c:v>3.0677532120658269E-2</c:v>
                </c:pt>
                <c:pt idx="95">
                  <c:v>3.0794838049462925E-2</c:v>
                </c:pt>
                <c:pt idx="96">
                  <c:v>3.0909738240332274E-2</c:v>
                </c:pt>
                <c:pt idx="97">
                  <c:v>3.102230594757871E-2</c:v>
                </c:pt>
                <c:pt idx="98">
                  <c:v>3.1132611481317074E-2</c:v>
                </c:pt>
                <c:pt idx="99">
                  <c:v>3.1240722353906403E-2</c:v>
                </c:pt>
              </c:numCache>
            </c:numRef>
          </c:val>
          <c:smooth val="0"/>
          <c:extLst>
            <c:ext xmlns:c16="http://schemas.microsoft.com/office/drawing/2014/chart" uri="{C3380CC4-5D6E-409C-BE32-E72D297353CC}">
              <c16:uniqueId val="{00000000-8AB1-418D-A5CA-85D34F090B30}"/>
            </c:ext>
          </c:extLst>
        </c:ser>
        <c:dLbls>
          <c:showLegendKey val="0"/>
          <c:showVal val="0"/>
          <c:showCatName val="0"/>
          <c:showSerName val="0"/>
          <c:showPercent val="0"/>
          <c:showBubbleSize val="0"/>
        </c:dLbls>
        <c:smooth val="0"/>
        <c:axId val="70549504"/>
        <c:axId val="70551040"/>
      </c:lineChart>
      <c:catAx>
        <c:axId val="70549504"/>
        <c:scaling>
          <c:orientation val="minMax"/>
        </c:scaling>
        <c:delete val="0"/>
        <c:axPos val="b"/>
        <c:numFmt formatCode="General" sourceLinked="0"/>
        <c:majorTickMark val="out"/>
        <c:minorTickMark val="none"/>
        <c:tickLblPos val="nextTo"/>
        <c:txPr>
          <a:bodyPr/>
          <a:lstStyle/>
          <a:p>
            <a:pPr>
              <a:defRPr sz="800">
                <a:latin typeface="Segoe UI" pitchFamily="34" charset="0"/>
                <a:ea typeface="Segoe UI" pitchFamily="34" charset="0"/>
                <a:cs typeface="Segoe UI" pitchFamily="34" charset="0"/>
              </a:defRPr>
            </a:pPr>
            <a:endParaRPr lang="en-US"/>
          </a:p>
        </c:txPr>
        <c:crossAx val="70551040"/>
        <c:crosses val="autoZero"/>
        <c:auto val="1"/>
        <c:lblAlgn val="ctr"/>
        <c:lblOffset val="100"/>
        <c:noMultiLvlLbl val="0"/>
      </c:catAx>
      <c:valAx>
        <c:axId val="70551040"/>
        <c:scaling>
          <c:orientation val="minMax"/>
        </c:scaling>
        <c:delete val="0"/>
        <c:axPos val="l"/>
        <c:majorGridlines>
          <c:spPr>
            <a:ln>
              <a:noFill/>
            </a:ln>
          </c:spPr>
        </c:majorGridlines>
        <c:numFmt formatCode="0.0%" sourceLinked="0"/>
        <c:majorTickMark val="out"/>
        <c:minorTickMark val="none"/>
        <c:tickLblPos val="nextTo"/>
        <c:txPr>
          <a:bodyPr/>
          <a:lstStyle/>
          <a:p>
            <a:pPr>
              <a:defRPr sz="800">
                <a:latin typeface="Segoe UI" pitchFamily="34" charset="0"/>
                <a:ea typeface="Segoe UI" pitchFamily="34" charset="0"/>
                <a:cs typeface="Segoe UI" pitchFamily="34" charset="0"/>
              </a:defRPr>
            </a:pPr>
            <a:endParaRPr lang="en-US"/>
          </a:p>
        </c:txPr>
        <c:crossAx val="70549504"/>
        <c:crosses val="autoZero"/>
        <c:crossBetween val="between"/>
      </c:valAx>
      <c:spPr>
        <a:ln>
          <a:solidFill>
            <a:schemeClr val="tx1"/>
          </a:solidFill>
        </a:ln>
      </c:spPr>
    </c:plotArea>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a:solidFill>
                  <a:schemeClr val="accent1"/>
                </a:solidFill>
                <a:latin typeface="Segoe UI" pitchFamily="34" charset="0"/>
                <a:ea typeface="Segoe UI" pitchFamily="34" charset="0"/>
                <a:cs typeface="Segoe UI" pitchFamily="34" charset="0"/>
              </a:defRPr>
            </a:pPr>
            <a:r>
              <a:rPr lang="en-US" sz="800">
                <a:solidFill>
                  <a:schemeClr val="accent1"/>
                </a:solidFill>
                <a:latin typeface="Segoe UI" pitchFamily="34" charset="0"/>
                <a:ea typeface="Segoe UI" pitchFamily="34" charset="0"/>
                <a:cs typeface="Segoe UI" pitchFamily="34" charset="0"/>
              </a:rPr>
              <a:t>Yield Curve  Australia</a:t>
            </a:r>
          </a:p>
        </c:rich>
      </c:tx>
      <c:layout>
        <c:manualLayout>
          <c:xMode val="edge"/>
          <c:yMode val="edge"/>
          <c:x val="0.11284033245844272"/>
          <c:y val="2.3148148148148147E-2"/>
        </c:manualLayout>
      </c:layout>
      <c:overlay val="0"/>
    </c:title>
    <c:autoTitleDeleted val="0"/>
    <c:plotArea>
      <c:layout/>
      <c:lineChart>
        <c:grouping val="standard"/>
        <c:varyColors val="0"/>
        <c:ser>
          <c:idx val="0"/>
          <c:order val="0"/>
          <c:tx>
            <c:strRef>
              <c:f>Results!$I$3</c:f>
              <c:strCache>
                <c:ptCount val="1"/>
                <c:pt idx="0">
                  <c:v>Australia</c:v>
                </c:pt>
              </c:strCache>
            </c:strRef>
          </c:tx>
          <c:spPr>
            <a:ln w="19050"/>
          </c:spPr>
          <c:marker>
            <c:symbol val="none"/>
          </c:marker>
          <c:cat>
            <c:strRef>
              <c:f>Results!$B$15:$B$114</c:f>
              <c:strCache>
                <c:ptCount val="100"/>
                <c:pt idx="0">
                  <c:v>1 Year</c:v>
                </c:pt>
                <c:pt idx="1">
                  <c:v>2 Years</c:v>
                </c:pt>
                <c:pt idx="2">
                  <c:v>3 Years</c:v>
                </c:pt>
                <c:pt idx="3">
                  <c:v>4 Years</c:v>
                </c:pt>
                <c:pt idx="4">
                  <c:v>5 Years</c:v>
                </c:pt>
                <c:pt idx="5">
                  <c:v>6 Years</c:v>
                </c:pt>
                <c:pt idx="6">
                  <c:v>7 Years</c:v>
                </c:pt>
                <c:pt idx="7">
                  <c:v>8 Years</c:v>
                </c:pt>
                <c:pt idx="8">
                  <c:v>9 Years</c:v>
                </c:pt>
                <c:pt idx="9">
                  <c:v>10 Years</c:v>
                </c:pt>
                <c:pt idx="10">
                  <c:v>11 Years</c:v>
                </c:pt>
                <c:pt idx="11">
                  <c:v>12 Years</c:v>
                </c:pt>
                <c:pt idx="12">
                  <c:v>13 Years</c:v>
                </c:pt>
                <c:pt idx="13">
                  <c:v>14 Years</c:v>
                </c:pt>
                <c:pt idx="14">
                  <c:v>15 Years</c:v>
                </c:pt>
                <c:pt idx="15">
                  <c:v>16 Years</c:v>
                </c:pt>
                <c:pt idx="16">
                  <c:v>17 Years</c:v>
                </c:pt>
                <c:pt idx="17">
                  <c:v>18 Years</c:v>
                </c:pt>
                <c:pt idx="18">
                  <c:v>19 Years</c:v>
                </c:pt>
                <c:pt idx="19">
                  <c:v>20 Years</c:v>
                </c:pt>
                <c:pt idx="20">
                  <c:v>21 Years</c:v>
                </c:pt>
                <c:pt idx="21">
                  <c:v>22 Years</c:v>
                </c:pt>
                <c:pt idx="22">
                  <c:v>23 Years</c:v>
                </c:pt>
                <c:pt idx="23">
                  <c:v>24 Years</c:v>
                </c:pt>
                <c:pt idx="24">
                  <c:v>25 Years</c:v>
                </c:pt>
                <c:pt idx="25">
                  <c:v>26 Years</c:v>
                </c:pt>
                <c:pt idx="26">
                  <c:v>27 Years</c:v>
                </c:pt>
                <c:pt idx="27">
                  <c:v>28 Years</c:v>
                </c:pt>
                <c:pt idx="28">
                  <c:v>29 Years</c:v>
                </c:pt>
                <c:pt idx="29">
                  <c:v>30 Years</c:v>
                </c:pt>
                <c:pt idx="30">
                  <c:v>31 Years</c:v>
                </c:pt>
                <c:pt idx="31">
                  <c:v>32 Years</c:v>
                </c:pt>
                <c:pt idx="32">
                  <c:v>33 Years</c:v>
                </c:pt>
                <c:pt idx="33">
                  <c:v>34 Years</c:v>
                </c:pt>
                <c:pt idx="34">
                  <c:v>35 Years</c:v>
                </c:pt>
                <c:pt idx="35">
                  <c:v>36 Years</c:v>
                </c:pt>
                <c:pt idx="36">
                  <c:v>37 Years</c:v>
                </c:pt>
                <c:pt idx="37">
                  <c:v>38 Years</c:v>
                </c:pt>
                <c:pt idx="38">
                  <c:v>39 Years</c:v>
                </c:pt>
                <c:pt idx="39">
                  <c:v>40 Years</c:v>
                </c:pt>
                <c:pt idx="40">
                  <c:v>41 Years</c:v>
                </c:pt>
                <c:pt idx="41">
                  <c:v>42 Years</c:v>
                </c:pt>
                <c:pt idx="42">
                  <c:v>43 Years</c:v>
                </c:pt>
                <c:pt idx="43">
                  <c:v>44 Years</c:v>
                </c:pt>
                <c:pt idx="44">
                  <c:v>45 Years</c:v>
                </c:pt>
                <c:pt idx="45">
                  <c:v>46 Years</c:v>
                </c:pt>
                <c:pt idx="46">
                  <c:v>47 Years</c:v>
                </c:pt>
                <c:pt idx="47">
                  <c:v>48 Years</c:v>
                </c:pt>
                <c:pt idx="48">
                  <c:v>49 Years</c:v>
                </c:pt>
                <c:pt idx="49">
                  <c:v>50 Years</c:v>
                </c:pt>
                <c:pt idx="50">
                  <c:v>51 Years</c:v>
                </c:pt>
                <c:pt idx="51">
                  <c:v>52 Years</c:v>
                </c:pt>
                <c:pt idx="52">
                  <c:v>53 Years</c:v>
                </c:pt>
                <c:pt idx="53">
                  <c:v>54 Years</c:v>
                </c:pt>
                <c:pt idx="54">
                  <c:v>55 Years</c:v>
                </c:pt>
                <c:pt idx="55">
                  <c:v>56 Years</c:v>
                </c:pt>
                <c:pt idx="56">
                  <c:v>57 Years</c:v>
                </c:pt>
                <c:pt idx="57">
                  <c:v>58 Years</c:v>
                </c:pt>
                <c:pt idx="58">
                  <c:v>59 Years</c:v>
                </c:pt>
                <c:pt idx="59">
                  <c:v>60 Years</c:v>
                </c:pt>
                <c:pt idx="60">
                  <c:v>61 Years</c:v>
                </c:pt>
                <c:pt idx="61">
                  <c:v>62 Years</c:v>
                </c:pt>
                <c:pt idx="62">
                  <c:v>63 Years</c:v>
                </c:pt>
                <c:pt idx="63">
                  <c:v>64 Years</c:v>
                </c:pt>
                <c:pt idx="64">
                  <c:v>65 Years</c:v>
                </c:pt>
                <c:pt idx="65">
                  <c:v>66 Years</c:v>
                </c:pt>
                <c:pt idx="66">
                  <c:v>67 Years</c:v>
                </c:pt>
                <c:pt idx="67">
                  <c:v>68 Years</c:v>
                </c:pt>
                <c:pt idx="68">
                  <c:v>69 Years</c:v>
                </c:pt>
                <c:pt idx="69">
                  <c:v>70 Years</c:v>
                </c:pt>
                <c:pt idx="70">
                  <c:v>71 Years</c:v>
                </c:pt>
                <c:pt idx="71">
                  <c:v>72 Years</c:v>
                </c:pt>
                <c:pt idx="72">
                  <c:v>73 Years</c:v>
                </c:pt>
                <c:pt idx="73">
                  <c:v>74 Years</c:v>
                </c:pt>
                <c:pt idx="74">
                  <c:v>75 Years</c:v>
                </c:pt>
                <c:pt idx="75">
                  <c:v>76 Years</c:v>
                </c:pt>
                <c:pt idx="76">
                  <c:v>77 Years</c:v>
                </c:pt>
                <c:pt idx="77">
                  <c:v>78 Years</c:v>
                </c:pt>
                <c:pt idx="78">
                  <c:v>79 Years</c:v>
                </c:pt>
                <c:pt idx="79">
                  <c:v>80 Years</c:v>
                </c:pt>
                <c:pt idx="80">
                  <c:v>81 Years</c:v>
                </c:pt>
                <c:pt idx="81">
                  <c:v>82 Years</c:v>
                </c:pt>
                <c:pt idx="82">
                  <c:v>83 Years</c:v>
                </c:pt>
                <c:pt idx="83">
                  <c:v>84 Years</c:v>
                </c:pt>
                <c:pt idx="84">
                  <c:v>85 Years</c:v>
                </c:pt>
                <c:pt idx="85">
                  <c:v>86 Years</c:v>
                </c:pt>
                <c:pt idx="86">
                  <c:v>87 Years</c:v>
                </c:pt>
                <c:pt idx="87">
                  <c:v>88 Years</c:v>
                </c:pt>
                <c:pt idx="88">
                  <c:v>89 Years</c:v>
                </c:pt>
                <c:pt idx="89">
                  <c:v>90 Years</c:v>
                </c:pt>
                <c:pt idx="90">
                  <c:v>91 Years</c:v>
                </c:pt>
                <c:pt idx="91">
                  <c:v>92 Years</c:v>
                </c:pt>
                <c:pt idx="92">
                  <c:v>93 Years</c:v>
                </c:pt>
                <c:pt idx="93">
                  <c:v>94 Years</c:v>
                </c:pt>
                <c:pt idx="94">
                  <c:v>95 Years</c:v>
                </c:pt>
                <c:pt idx="95">
                  <c:v>96 Years</c:v>
                </c:pt>
                <c:pt idx="96">
                  <c:v>97 Years</c:v>
                </c:pt>
                <c:pt idx="97">
                  <c:v>98 Years</c:v>
                </c:pt>
                <c:pt idx="98">
                  <c:v>99 Years</c:v>
                </c:pt>
                <c:pt idx="99">
                  <c:v>100 Years</c:v>
                </c:pt>
              </c:strCache>
            </c:strRef>
          </c:cat>
          <c:val>
            <c:numRef>
              <c:f>Results!$I$15:$I$114</c:f>
              <c:numCache>
                <c:formatCode>0.00%</c:formatCode>
                <c:ptCount val="100"/>
                <c:pt idx="0">
                  <c:v>1.0122456452067696E-2</c:v>
                </c:pt>
                <c:pt idx="1">
                  <c:v>9.7068054377302815E-3</c:v>
                </c:pt>
                <c:pt idx="2">
                  <c:v>9.9210617712339744E-3</c:v>
                </c:pt>
                <c:pt idx="3">
                  <c:v>1.0452226440613721E-2</c:v>
                </c:pt>
                <c:pt idx="4">
                  <c:v>1.112060561500483E-2</c:v>
                </c:pt>
                <c:pt idx="5">
                  <c:v>1.1897298165094883E-2</c:v>
                </c:pt>
                <c:pt idx="6">
                  <c:v>1.272198096928534E-2</c:v>
                </c:pt>
                <c:pt idx="7">
                  <c:v>1.3521824307894059E-2</c:v>
                </c:pt>
                <c:pt idx="8">
                  <c:v>1.4253677861643776E-2</c:v>
                </c:pt>
                <c:pt idx="9">
                  <c:v>1.4921862020841559E-2</c:v>
                </c:pt>
                <c:pt idx="10">
                  <c:v>1.5571811705320071E-2</c:v>
                </c:pt>
                <c:pt idx="11">
                  <c:v>1.6196909446421603E-2</c:v>
                </c:pt>
                <c:pt idx="12">
                  <c:v>1.6719484524372108E-2</c:v>
                </c:pt>
                <c:pt idx="13">
                  <c:v>1.7222606863580348E-2</c:v>
                </c:pt>
                <c:pt idx="14">
                  <c:v>1.7708540098740677E-2</c:v>
                </c:pt>
                <c:pt idx="15">
                  <c:v>1.7998169711596956E-2</c:v>
                </c:pt>
                <c:pt idx="16">
                  <c:v>1.8274144557645089E-2</c:v>
                </c:pt>
                <c:pt idx="17">
                  <c:v>1.8537807224175307E-2</c:v>
                </c:pt>
                <c:pt idx="18">
                  <c:v>1.8790276079362345E-2</c:v>
                </c:pt>
                <c:pt idx="19">
                  <c:v>1.9032485540251276E-2</c:v>
                </c:pt>
                <c:pt idx="20">
                  <c:v>1.9172061539772134E-2</c:v>
                </c:pt>
                <c:pt idx="21">
                  <c:v>1.9302826981267174E-2</c:v>
                </c:pt>
                <c:pt idx="22">
                  <c:v>1.9425347462203479E-2</c:v>
                </c:pt>
                <c:pt idx="23">
                  <c:v>1.9540108803890233E-2</c:v>
                </c:pt>
                <c:pt idx="24">
                  <c:v>1.9647531680393016E-2</c:v>
                </c:pt>
                <c:pt idx="25">
                  <c:v>1.9637366946071877E-2</c:v>
                </c:pt>
                <c:pt idx="26">
                  <c:v>1.9620554188799044E-2</c:v>
                </c:pt>
                <c:pt idx="27">
                  <c:v>1.9597379977484231E-2</c:v>
                </c:pt>
                <c:pt idx="28">
                  <c:v>1.9568100292426172E-2</c:v>
                </c:pt>
                <c:pt idx="29">
                  <c:v>1.9532945503835997E-2</c:v>
                </c:pt>
                <c:pt idx="30">
                  <c:v>1.9529969181081297E-2</c:v>
                </c:pt>
                <c:pt idx="31">
                  <c:v>1.9567602502232218E-2</c:v>
                </c:pt>
                <c:pt idx="32">
                  <c:v>1.9643579938184885E-2</c:v>
                </c:pt>
                <c:pt idx="33">
                  <c:v>1.9755630318036177E-2</c:v>
                </c:pt>
                <c:pt idx="34">
                  <c:v>1.990147353734617E-2</c:v>
                </c:pt>
                <c:pt idx="35">
                  <c:v>2.0078825083805096E-2</c:v>
                </c:pt>
                <c:pt idx="36">
                  <c:v>2.028539365985238E-2</c:v>
                </c:pt>
                <c:pt idx="37">
                  <c:v>2.0518884182566088E-2</c:v>
                </c:pt>
                <c:pt idx="38">
                  <c:v>2.0776996792834179E-2</c:v>
                </c:pt>
                <c:pt idx="39">
                  <c:v>2.1057428033998571E-2</c:v>
                </c:pt>
                <c:pt idx="40">
                  <c:v>2.135787075367479E-2</c:v>
                </c:pt>
                <c:pt idx="41">
                  <c:v>2.1676014767757268E-2</c:v>
                </c:pt>
                <c:pt idx="42">
                  <c:v>2.2009547139225205E-2</c:v>
                </c:pt>
                <c:pt idx="43">
                  <c:v>2.2356151987212192E-2</c:v>
                </c:pt>
                <c:pt idx="44">
                  <c:v>2.2713511544589338E-2</c:v>
                </c:pt>
                <c:pt idx="45">
                  <c:v>2.3079305242476478E-2</c:v>
                </c:pt>
                <c:pt idx="46">
                  <c:v>2.3451210811457956E-2</c:v>
                </c:pt>
                <c:pt idx="47">
                  <c:v>2.382690397827214E-2</c:v>
                </c:pt>
                <c:pt idx="48">
                  <c:v>2.4204058625802549E-2</c:v>
                </c:pt>
                <c:pt idx="49">
                  <c:v>2.4580347140377601E-2</c:v>
                </c:pt>
                <c:pt idx="50">
                  <c:v>2.4953440165038199E-2</c:v>
                </c:pt>
                <c:pt idx="51">
                  <c:v>2.5321006924253542E-2</c:v>
                </c:pt>
                <c:pt idx="52">
                  <c:v>2.5680715367326856E-2</c:v>
                </c:pt>
                <c:pt idx="53">
                  <c:v>2.6030231772958823E-2</c:v>
                </c:pt>
                <c:pt idx="54">
                  <c:v>2.6367221486032433E-2</c:v>
                </c:pt>
                <c:pt idx="55">
                  <c:v>2.6689348636315557E-2</c:v>
                </c:pt>
                <c:pt idx="56">
                  <c:v>2.6994276200477341E-2</c:v>
                </c:pt>
                <c:pt idx="57">
                  <c:v>2.7279665890763471E-2</c:v>
                </c:pt>
                <c:pt idx="58">
                  <c:v>2.7543178654776845E-2</c:v>
                </c:pt>
                <c:pt idx="59">
                  <c:v>2.7782474289925085E-2</c:v>
                </c:pt>
                <c:pt idx="60">
                  <c:v>2.8013977183154459E-2</c:v>
                </c:pt>
                <c:pt idx="61">
                  <c:v>2.8238061889865662E-2</c:v>
                </c:pt>
                <c:pt idx="62">
                  <c:v>2.8455079340485412E-2</c:v>
                </c:pt>
                <c:pt idx="63">
                  <c:v>2.8665358674198949E-2</c:v>
                </c:pt>
                <c:pt idx="64">
                  <c:v>2.8869208904495514E-2</c:v>
                </c:pt>
                <c:pt idx="65">
                  <c:v>2.9066920434256849E-2</c:v>
                </c:pt>
                <c:pt idx="66">
                  <c:v>2.9258766436007333E-2</c:v>
                </c:pt>
                <c:pt idx="67">
                  <c:v>2.9445004111121609E-2</c:v>
                </c:pt>
                <c:pt idx="68">
                  <c:v>2.9625875840197269E-2</c:v>
                </c:pt>
                <c:pt idx="69">
                  <c:v>2.9801610235408171E-2</c:v>
                </c:pt>
                <c:pt idx="70">
                  <c:v>2.9972423104447588E-2</c:v>
                </c:pt>
                <c:pt idx="71">
                  <c:v>3.0138518334607012E-2</c:v>
                </c:pt>
                <c:pt idx="72">
                  <c:v>3.0300088704603656E-2</c:v>
                </c:pt>
                <c:pt idx="73">
                  <c:v>3.0457316630954301E-2</c:v>
                </c:pt>
                <c:pt idx="74">
                  <c:v>3.0610374854969979E-2</c:v>
                </c:pt>
                <c:pt idx="75">
                  <c:v>3.0759427075810031E-2</c:v>
                </c:pt>
                <c:pt idx="76">
                  <c:v>3.0904628534474066E-2</c:v>
                </c:pt>
                <c:pt idx="77">
                  <c:v>3.1046126553110787E-2</c:v>
                </c:pt>
                <c:pt idx="78">
                  <c:v>3.1184061033581179E-2</c:v>
                </c:pt>
                <c:pt idx="79">
                  <c:v>3.1318564918824121E-2</c:v>
                </c:pt>
                <c:pt idx="80">
                  <c:v>3.1449764620221421E-2</c:v>
                </c:pt>
                <c:pt idx="81">
                  <c:v>3.1577780413851508E-2</c:v>
                </c:pt>
                <c:pt idx="82">
                  <c:v>3.17027268082406E-2</c:v>
                </c:pt>
                <c:pt idx="83">
                  <c:v>3.1824712885975659E-2</c:v>
                </c:pt>
                <c:pt idx="84">
                  <c:v>3.1943842621322549E-2</c:v>
                </c:pt>
                <c:pt idx="85">
                  <c:v>3.2060215175790052E-2</c:v>
                </c:pt>
                <c:pt idx="86">
                  <c:v>3.2173925173408113E-2</c:v>
                </c:pt>
                <c:pt idx="87">
                  <c:v>3.2285062957326138E-2</c:v>
                </c:pt>
                <c:pt idx="88">
                  <c:v>3.2393714829192621E-2</c:v>
                </c:pt>
                <c:pt idx="89">
                  <c:v>3.2499963272648813E-2</c:v>
                </c:pt>
                <c:pt idx="90">
                  <c:v>3.2603887162155676E-2</c:v>
                </c:pt>
                <c:pt idx="91">
                  <c:v>3.2705561958261686E-2</c:v>
                </c:pt>
                <c:pt idx="92">
                  <c:v>3.2805059890328891E-2</c:v>
                </c:pt>
                <c:pt idx="93">
                  <c:v>3.2902450127648253E-2</c:v>
                </c:pt>
                <c:pt idx="94">
                  <c:v>3.2997798939793155E-2</c:v>
                </c:pt>
                <c:pt idx="95">
                  <c:v>3.3091169846995561E-2</c:v>
                </c:pt>
                <c:pt idx="96">
                  <c:v>3.3182623761259578E-2</c:v>
                </c:pt>
                <c:pt idx="97">
                  <c:v>3.3272219118872348E-2</c:v>
                </c:pt>
                <c:pt idx="98">
                  <c:v>3.3360012004917117E-2</c:v>
                </c:pt>
                <c:pt idx="99">
                  <c:v>3.3446056270346691E-2</c:v>
                </c:pt>
              </c:numCache>
            </c:numRef>
          </c:val>
          <c:smooth val="0"/>
          <c:extLst>
            <c:ext xmlns:c16="http://schemas.microsoft.com/office/drawing/2014/chart" uri="{C3380CC4-5D6E-409C-BE32-E72D297353CC}">
              <c16:uniqueId val="{00000000-3AB1-4A53-8B6C-A4933C3822D8}"/>
            </c:ext>
          </c:extLst>
        </c:ser>
        <c:dLbls>
          <c:showLegendKey val="0"/>
          <c:showVal val="0"/>
          <c:showCatName val="0"/>
          <c:showSerName val="0"/>
          <c:showPercent val="0"/>
          <c:showBubbleSize val="0"/>
        </c:dLbls>
        <c:smooth val="0"/>
        <c:axId val="70579328"/>
        <c:axId val="70580864"/>
      </c:lineChart>
      <c:catAx>
        <c:axId val="70579328"/>
        <c:scaling>
          <c:orientation val="minMax"/>
        </c:scaling>
        <c:delete val="0"/>
        <c:axPos val="b"/>
        <c:numFmt formatCode="General" sourceLinked="0"/>
        <c:majorTickMark val="out"/>
        <c:minorTickMark val="none"/>
        <c:tickLblPos val="nextTo"/>
        <c:txPr>
          <a:bodyPr/>
          <a:lstStyle/>
          <a:p>
            <a:pPr>
              <a:defRPr sz="800">
                <a:latin typeface="Segoe UI" pitchFamily="34" charset="0"/>
                <a:ea typeface="Segoe UI" pitchFamily="34" charset="0"/>
                <a:cs typeface="Segoe UI" pitchFamily="34" charset="0"/>
              </a:defRPr>
            </a:pPr>
            <a:endParaRPr lang="en-US"/>
          </a:p>
        </c:txPr>
        <c:crossAx val="70580864"/>
        <c:crosses val="autoZero"/>
        <c:auto val="1"/>
        <c:lblAlgn val="ctr"/>
        <c:lblOffset val="100"/>
        <c:noMultiLvlLbl val="0"/>
      </c:catAx>
      <c:valAx>
        <c:axId val="70580864"/>
        <c:scaling>
          <c:orientation val="minMax"/>
        </c:scaling>
        <c:delete val="0"/>
        <c:axPos val="l"/>
        <c:majorGridlines>
          <c:spPr>
            <a:ln>
              <a:noFill/>
            </a:ln>
          </c:spPr>
        </c:majorGridlines>
        <c:numFmt formatCode="0.0%" sourceLinked="0"/>
        <c:majorTickMark val="out"/>
        <c:minorTickMark val="none"/>
        <c:tickLblPos val="nextTo"/>
        <c:txPr>
          <a:bodyPr/>
          <a:lstStyle/>
          <a:p>
            <a:pPr>
              <a:defRPr sz="800">
                <a:latin typeface="Segoe UI" pitchFamily="34" charset="0"/>
                <a:ea typeface="Segoe UI" pitchFamily="34" charset="0"/>
                <a:cs typeface="Segoe UI" pitchFamily="34" charset="0"/>
              </a:defRPr>
            </a:pPr>
            <a:endParaRPr lang="en-US"/>
          </a:p>
        </c:txPr>
        <c:crossAx val="70579328"/>
        <c:crosses val="autoZero"/>
        <c:crossBetween val="between"/>
      </c:valAx>
      <c:spPr>
        <a:ln>
          <a:solidFill>
            <a:schemeClr val="tx1"/>
          </a:solidFill>
        </a:ln>
      </c:spPr>
    </c:plotArea>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a:solidFill>
                  <a:schemeClr val="accent1"/>
                </a:solidFill>
                <a:latin typeface="Segoe UI" pitchFamily="34" charset="0"/>
                <a:ea typeface="Segoe UI" pitchFamily="34" charset="0"/>
                <a:cs typeface="Segoe UI" pitchFamily="34" charset="0"/>
              </a:defRPr>
            </a:pPr>
            <a:r>
              <a:rPr lang="en-US" sz="800">
                <a:solidFill>
                  <a:schemeClr val="accent1"/>
                </a:solidFill>
                <a:latin typeface="Segoe UI" pitchFamily="34" charset="0"/>
                <a:ea typeface="Segoe UI" pitchFamily="34" charset="0"/>
                <a:cs typeface="Segoe UI" pitchFamily="34" charset="0"/>
              </a:rPr>
              <a:t>Yield Curve  New Zealand</a:t>
            </a:r>
          </a:p>
        </c:rich>
      </c:tx>
      <c:layout>
        <c:manualLayout>
          <c:xMode val="edge"/>
          <c:yMode val="edge"/>
          <c:x val="0.11284033245844272"/>
          <c:y val="2.3148148148148147E-2"/>
        </c:manualLayout>
      </c:layout>
      <c:overlay val="0"/>
    </c:title>
    <c:autoTitleDeleted val="0"/>
    <c:plotArea>
      <c:layout/>
      <c:lineChart>
        <c:grouping val="standard"/>
        <c:varyColors val="0"/>
        <c:ser>
          <c:idx val="0"/>
          <c:order val="0"/>
          <c:tx>
            <c:strRef>
              <c:f>Results!$J$3</c:f>
              <c:strCache>
                <c:ptCount val="1"/>
                <c:pt idx="0">
                  <c:v>New Zealand</c:v>
                </c:pt>
              </c:strCache>
            </c:strRef>
          </c:tx>
          <c:spPr>
            <a:ln w="19050"/>
          </c:spPr>
          <c:marker>
            <c:symbol val="none"/>
          </c:marker>
          <c:cat>
            <c:strRef>
              <c:f>Results!$B$15:$B$114</c:f>
              <c:strCache>
                <c:ptCount val="100"/>
                <c:pt idx="0">
                  <c:v>1 Year</c:v>
                </c:pt>
                <c:pt idx="1">
                  <c:v>2 Years</c:v>
                </c:pt>
                <c:pt idx="2">
                  <c:v>3 Years</c:v>
                </c:pt>
                <c:pt idx="3">
                  <c:v>4 Years</c:v>
                </c:pt>
                <c:pt idx="4">
                  <c:v>5 Years</c:v>
                </c:pt>
                <c:pt idx="5">
                  <c:v>6 Years</c:v>
                </c:pt>
                <c:pt idx="6">
                  <c:v>7 Years</c:v>
                </c:pt>
                <c:pt idx="7">
                  <c:v>8 Years</c:v>
                </c:pt>
                <c:pt idx="8">
                  <c:v>9 Years</c:v>
                </c:pt>
                <c:pt idx="9">
                  <c:v>10 Years</c:v>
                </c:pt>
                <c:pt idx="10">
                  <c:v>11 Years</c:v>
                </c:pt>
                <c:pt idx="11">
                  <c:v>12 Years</c:v>
                </c:pt>
                <c:pt idx="12">
                  <c:v>13 Years</c:v>
                </c:pt>
                <c:pt idx="13">
                  <c:v>14 Years</c:v>
                </c:pt>
                <c:pt idx="14">
                  <c:v>15 Years</c:v>
                </c:pt>
                <c:pt idx="15">
                  <c:v>16 Years</c:v>
                </c:pt>
                <c:pt idx="16">
                  <c:v>17 Years</c:v>
                </c:pt>
                <c:pt idx="17">
                  <c:v>18 Years</c:v>
                </c:pt>
                <c:pt idx="18">
                  <c:v>19 Years</c:v>
                </c:pt>
                <c:pt idx="19">
                  <c:v>20 Years</c:v>
                </c:pt>
                <c:pt idx="20">
                  <c:v>21 Years</c:v>
                </c:pt>
                <c:pt idx="21">
                  <c:v>22 Years</c:v>
                </c:pt>
                <c:pt idx="22">
                  <c:v>23 Years</c:v>
                </c:pt>
                <c:pt idx="23">
                  <c:v>24 Years</c:v>
                </c:pt>
                <c:pt idx="24">
                  <c:v>25 Years</c:v>
                </c:pt>
                <c:pt idx="25">
                  <c:v>26 Years</c:v>
                </c:pt>
                <c:pt idx="26">
                  <c:v>27 Years</c:v>
                </c:pt>
                <c:pt idx="27">
                  <c:v>28 Years</c:v>
                </c:pt>
                <c:pt idx="28">
                  <c:v>29 Years</c:v>
                </c:pt>
                <c:pt idx="29">
                  <c:v>30 Years</c:v>
                </c:pt>
                <c:pt idx="30">
                  <c:v>31 Years</c:v>
                </c:pt>
                <c:pt idx="31">
                  <c:v>32 Years</c:v>
                </c:pt>
                <c:pt idx="32">
                  <c:v>33 Years</c:v>
                </c:pt>
                <c:pt idx="33">
                  <c:v>34 Years</c:v>
                </c:pt>
                <c:pt idx="34">
                  <c:v>35 Years</c:v>
                </c:pt>
                <c:pt idx="35">
                  <c:v>36 Years</c:v>
                </c:pt>
                <c:pt idx="36">
                  <c:v>37 Years</c:v>
                </c:pt>
                <c:pt idx="37">
                  <c:v>38 Years</c:v>
                </c:pt>
                <c:pt idx="38">
                  <c:v>39 Years</c:v>
                </c:pt>
                <c:pt idx="39">
                  <c:v>40 Years</c:v>
                </c:pt>
                <c:pt idx="40">
                  <c:v>41 Years</c:v>
                </c:pt>
                <c:pt idx="41">
                  <c:v>42 Years</c:v>
                </c:pt>
                <c:pt idx="42">
                  <c:v>43 Years</c:v>
                </c:pt>
                <c:pt idx="43">
                  <c:v>44 Years</c:v>
                </c:pt>
                <c:pt idx="44">
                  <c:v>45 Years</c:v>
                </c:pt>
                <c:pt idx="45">
                  <c:v>46 Years</c:v>
                </c:pt>
                <c:pt idx="46">
                  <c:v>47 Years</c:v>
                </c:pt>
                <c:pt idx="47">
                  <c:v>48 Years</c:v>
                </c:pt>
                <c:pt idx="48">
                  <c:v>49 Years</c:v>
                </c:pt>
                <c:pt idx="49">
                  <c:v>50 Years</c:v>
                </c:pt>
                <c:pt idx="50">
                  <c:v>51 Years</c:v>
                </c:pt>
                <c:pt idx="51">
                  <c:v>52 Years</c:v>
                </c:pt>
                <c:pt idx="52">
                  <c:v>53 Years</c:v>
                </c:pt>
                <c:pt idx="53">
                  <c:v>54 Years</c:v>
                </c:pt>
                <c:pt idx="54">
                  <c:v>55 Years</c:v>
                </c:pt>
                <c:pt idx="55">
                  <c:v>56 Years</c:v>
                </c:pt>
                <c:pt idx="56">
                  <c:v>57 Years</c:v>
                </c:pt>
                <c:pt idx="57">
                  <c:v>58 Years</c:v>
                </c:pt>
                <c:pt idx="58">
                  <c:v>59 Years</c:v>
                </c:pt>
                <c:pt idx="59">
                  <c:v>60 Years</c:v>
                </c:pt>
                <c:pt idx="60">
                  <c:v>61 Years</c:v>
                </c:pt>
                <c:pt idx="61">
                  <c:v>62 Years</c:v>
                </c:pt>
                <c:pt idx="62">
                  <c:v>63 Years</c:v>
                </c:pt>
                <c:pt idx="63">
                  <c:v>64 Years</c:v>
                </c:pt>
                <c:pt idx="64">
                  <c:v>65 Years</c:v>
                </c:pt>
                <c:pt idx="65">
                  <c:v>66 Years</c:v>
                </c:pt>
                <c:pt idx="66">
                  <c:v>67 Years</c:v>
                </c:pt>
                <c:pt idx="67">
                  <c:v>68 Years</c:v>
                </c:pt>
                <c:pt idx="68">
                  <c:v>69 Years</c:v>
                </c:pt>
                <c:pt idx="69">
                  <c:v>70 Years</c:v>
                </c:pt>
                <c:pt idx="70">
                  <c:v>71 Years</c:v>
                </c:pt>
                <c:pt idx="71">
                  <c:v>72 Years</c:v>
                </c:pt>
                <c:pt idx="72">
                  <c:v>73 Years</c:v>
                </c:pt>
                <c:pt idx="73">
                  <c:v>74 Years</c:v>
                </c:pt>
                <c:pt idx="74">
                  <c:v>75 Years</c:v>
                </c:pt>
                <c:pt idx="75">
                  <c:v>76 Years</c:v>
                </c:pt>
                <c:pt idx="76">
                  <c:v>77 Years</c:v>
                </c:pt>
                <c:pt idx="77">
                  <c:v>78 Years</c:v>
                </c:pt>
                <c:pt idx="78">
                  <c:v>79 Years</c:v>
                </c:pt>
                <c:pt idx="79">
                  <c:v>80 Years</c:v>
                </c:pt>
                <c:pt idx="80">
                  <c:v>81 Years</c:v>
                </c:pt>
                <c:pt idx="81">
                  <c:v>82 Years</c:v>
                </c:pt>
                <c:pt idx="82">
                  <c:v>83 Years</c:v>
                </c:pt>
                <c:pt idx="83">
                  <c:v>84 Years</c:v>
                </c:pt>
                <c:pt idx="84">
                  <c:v>85 Years</c:v>
                </c:pt>
                <c:pt idx="85">
                  <c:v>86 Years</c:v>
                </c:pt>
                <c:pt idx="86">
                  <c:v>87 Years</c:v>
                </c:pt>
                <c:pt idx="87">
                  <c:v>88 Years</c:v>
                </c:pt>
                <c:pt idx="88">
                  <c:v>89 Years</c:v>
                </c:pt>
                <c:pt idx="89">
                  <c:v>90 Years</c:v>
                </c:pt>
                <c:pt idx="90">
                  <c:v>91 Years</c:v>
                </c:pt>
                <c:pt idx="91">
                  <c:v>92 Years</c:v>
                </c:pt>
                <c:pt idx="92">
                  <c:v>93 Years</c:v>
                </c:pt>
                <c:pt idx="93">
                  <c:v>94 Years</c:v>
                </c:pt>
                <c:pt idx="94">
                  <c:v>95 Years</c:v>
                </c:pt>
                <c:pt idx="95">
                  <c:v>96 Years</c:v>
                </c:pt>
                <c:pt idx="96">
                  <c:v>97 Years</c:v>
                </c:pt>
                <c:pt idx="97">
                  <c:v>98 Years</c:v>
                </c:pt>
                <c:pt idx="98">
                  <c:v>99 Years</c:v>
                </c:pt>
                <c:pt idx="99">
                  <c:v>100 Years</c:v>
                </c:pt>
              </c:strCache>
            </c:strRef>
          </c:cat>
          <c:val>
            <c:numRef>
              <c:f>Results!$J$15:$J$114</c:f>
              <c:numCache>
                <c:formatCode>0.00%</c:formatCode>
                <c:ptCount val="100"/>
                <c:pt idx="0">
                  <c:v>1.3062090287444511E-2</c:v>
                </c:pt>
                <c:pt idx="1">
                  <c:v>1.2364763163224435E-2</c:v>
                </c:pt>
                <c:pt idx="2">
                  <c:v>1.244688647008152E-2</c:v>
                </c:pt>
                <c:pt idx="3">
                  <c:v>1.2785500245483972E-2</c:v>
                </c:pt>
                <c:pt idx="4">
                  <c:v>1.3346288613669266E-2</c:v>
                </c:pt>
                <c:pt idx="5">
                  <c:v>1.4072860639890106E-2</c:v>
                </c:pt>
                <c:pt idx="6">
                  <c:v>1.4864375175875688E-2</c:v>
                </c:pt>
                <c:pt idx="7">
                  <c:v>1.564901819793918E-2</c:v>
                </c:pt>
                <c:pt idx="8">
                  <c:v>1.6396851061630802E-2</c:v>
                </c:pt>
                <c:pt idx="9">
                  <c:v>1.711085028051551E-2</c:v>
                </c:pt>
                <c:pt idx="10">
                  <c:v>1.7914323061553938E-2</c:v>
                </c:pt>
                <c:pt idx="11">
                  <c:v>1.8455131879119291E-2</c:v>
                </c:pt>
                <c:pt idx="12">
                  <c:v>1.9020856817390852E-2</c:v>
                </c:pt>
                <c:pt idx="13">
                  <c:v>1.9517586482938887E-2</c:v>
                </c:pt>
                <c:pt idx="14">
                  <c:v>1.9995463130677793E-2</c:v>
                </c:pt>
                <c:pt idx="15">
                  <c:v>2.027949028552678E-2</c:v>
                </c:pt>
                <c:pt idx="16">
                  <c:v>2.0597516180480557E-2</c:v>
                </c:pt>
                <c:pt idx="17">
                  <c:v>2.0961861242802415E-2</c:v>
                </c:pt>
                <c:pt idx="18">
                  <c:v>2.1379298422639081E-2</c:v>
                </c:pt>
                <c:pt idx="19">
                  <c:v>2.1852814147029331E-2</c:v>
                </c:pt>
                <c:pt idx="20">
                  <c:v>2.1974152674184566E-2</c:v>
                </c:pt>
                <c:pt idx="21">
                  <c:v>2.2150681369530911E-2</c:v>
                </c:pt>
                <c:pt idx="22">
                  <c:v>2.2379972020289296E-2</c:v>
                </c:pt>
                <c:pt idx="23">
                  <c:v>2.2658892962736488E-2</c:v>
                </c:pt>
                <c:pt idx="24">
                  <c:v>2.298390780922932E-2</c:v>
                </c:pt>
                <c:pt idx="25">
                  <c:v>2.3059263706408872E-2</c:v>
                </c:pt>
                <c:pt idx="26">
                  <c:v>2.3173201045161518E-2</c:v>
                </c:pt>
                <c:pt idx="27">
                  <c:v>2.3321994600703277E-2</c:v>
                </c:pt>
                <c:pt idx="28">
                  <c:v>2.3502039196137359E-2</c:v>
                </c:pt>
                <c:pt idx="29">
                  <c:v>2.3709900478216861E-2</c:v>
                </c:pt>
                <c:pt idx="30">
                  <c:v>2.390686486904503E-2</c:v>
                </c:pt>
                <c:pt idx="31">
                  <c:v>2.4080061204915904E-2</c:v>
                </c:pt>
                <c:pt idx="32">
                  <c:v>2.422952041300741E-2</c:v>
                </c:pt>
                <c:pt idx="33">
                  <c:v>2.4355590518936765E-2</c:v>
                </c:pt>
                <c:pt idx="34">
                  <c:v>2.4458918390567241E-2</c:v>
                </c:pt>
                <c:pt idx="35">
                  <c:v>2.4540429072104297E-2</c:v>
                </c:pt>
                <c:pt idx="36">
                  <c:v>2.4601305340062662E-2</c:v>
                </c:pt>
                <c:pt idx="37">
                  <c:v>2.4642970615982085E-2</c:v>
                </c:pt>
                <c:pt idx="38">
                  <c:v>2.4667068158661598E-2</c:v>
                </c:pt>
                <c:pt idx="39">
                  <c:v>2.4675444896560039E-2</c:v>
                </c:pt>
                <c:pt idx="40">
                  <c:v>2.4670131145772878E-2</c:v>
                </c:pt>
                <c:pt idx="41">
                  <c:v>2.4653329449389583E-2</c:v>
                </c:pt>
                <c:pt idx="42">
                  <c:v>2.4627395201141988E-2</c:v>
                </c:pt>
                <c:pt idx="43">
                  <c:v>2.4594826778549184E-2</c:v>
                </c:pt>
                <c:pt idx="44">
                  <c:v>2.4558247188567028E-2</c:v>
                </c:pt>
                <c:pt idx="45">
                  <c:v>2.4520398928826737E-2</c:v>
                </c:pt>
                <c:pt idx="46">
                  <c:v>2.4484127317432547E-2</c:v>
                </c:pt>
                <c:pt idx="47">
                  <c:v>2.4452373843723452E-2</c:v>
                </c:pt>
                <c:pt idx="48">
                  <c:v>2.4428164794368934E-2</c:v>
                </c:pt>
                <c:pt idx="49">
                  <c:v>2.4414604642572835E-2</c:v>
                </c:pt>
                <c:pt idx="50">
                  <c:v>2.4414866461883955E-2</c:v>
                </c:pt>
                <c:pt idx="51">
                  <c:v>2.4432186727665339E-2</c:v>
                </c:pt>
                <c:pt idx="52">
                  <c:v>2.4469856934983714E-2</c:v>
                </c:pt>
                <c:pt idx="53">
                  <c:v>2.4531219927565351E-2</c:v>
                </c:pt>
                <c:pt idx="54">
                  <c:v>2.461966269128979E-2</c:v>
                </c:pt>
                <c:pt idx="55">
                  <c:v>2.4738612546423733E-2</c:v>
                </c:pt>
                <c:pt idx="56">
                  <c:v>2.4891532461889465E-2</c:v>
                </c:pt>
                <c:pt idx="57">
                  <c:v>2.508191760887013E-2</c:v>
                </c:pt>
                <c:pt idx="58">
                  <c:v>2.5313291033488561E-2</c:v>
                </c:pt>
                <c:pt idx="59">
                  <c:v>2.5589201125800098E-2</c:v>
                </c:pt>
                <c:pt idx="60">
                  <c:v>2.5856135620731635E-2</c:v>
                </c:pt>
                <c:pt idx="61">
                  <c:v>2.6114525475900319E-2</c:v>
                </c:pt>
                <c:pt idx="62">
                  <c:v>2.6364774494520349E-2</c:v>
                </c:pt>
                <c:pt idx="63">
                  <c:v>2.6607261430924289E-2</c:v>
                </c:pt>
                <c:pt idx="64">
                  <c:v>2.6842341903169809E-2</c:v>
                </c:pt>
                <c:pt idx="65">
                  <c:v>2.7070350133040044E-2</c:v>
                </c:pt>
                <c:pt idx="66">
                  <c:v>2.7291600531342386E-2</c:v>
                </c:pt>
                <c:pt idx="67">
                  <c:v>2.7506389144317689E-2</c:v>
                </c:pt>
                <c:pt idx="68">
                  <c:v>2.7714994975151619E-2</c:v>
                </c:pt>
                <c:pt idx="69">
                  <c:v>2.7917681192992871E-2</c:v>
                </c:pt>
                <c:pt idx="70">
                  <c:v>2.8114696240491011E-2</c:v>
                </c:pt>
                <c:pt idx="71">
                  <c:v>2.8306274849657642E-2</c:v>
                </c:pt>
                <c:pt idx="72">
                  <c:v>2.8492638974780604E-2</c:v>
                </c:pt>
                <c:pt idx="73">
                  <c:v>2.8673998650189603E-2</c:v>
                </c:pt>
                <c:pt idx="74">
                  <c:v>2.885055277983839E-2</c:v>
                </c:pt>
                <c:pt idx="75">
                  <c:v>2.9022489864947154E-2</c:v>
                </c:pt>
                <c:pt idx="76">
                  <c:v>2.9189988675298428E-2</c:v>
                </c:pt>
                <c:pt idx="77">
                  <c:v>2.9353218869213604E-2</c:v>
                </c:pt>
                <c:pt idx="78">
                  <c:v>2.9512341566728439E-2</c:v>
                </c:pt>
                <c:pt idx="79">
                  <c:v>2.9667509880039189E-2</c:v>
                </c:pt>
                <c:pt idx="80">
                  <c:v>2.9818869404887982E-2</c:v>
                </c:pt>
                <c:pt idx="81">
                  <c:v>2.9966558676205901E-2</c:v>
                </c:pt>
                <c:pt idx="82">
                  <c:v>3.0110709591006701E-2</c:v>
                </c:pt>
                <c:pt idx="83">
                  <c:v>3.0251447801247222E-2</c:v>
                </c:pt>
                <c:pt idx="84">
                  <c:v>3.0388893079112966E-2</c:v>
                </c:pt>
                <c:pt idx="85">
                  <c:v>3.0523159656961507E-2</c:v>
                </c:pt>
                <c:pt idx="86">
                  <c:v>3.0654356543949879E-2</c:v>
                </c:pt>
                <c:pt idx="87">
                  <c:v>3.0782587821192253E-2</c:v>
                </c:pt>
                <c:pt idx="88">
                  <c:v>3.090795291712567E-2</c:v>
                </c:pt>
                <c:pt idx="89">
                  <c:v>3.1030546864617703E-2</c:v>
                </c:pt>
                <c:pt idx="90">
                  <c:v>3.115046054120918E-2</c:v>
                </c:pt>
                <c:pt idx="91">
                  <c:v>3.1267780893772024E-2</c:v>
                </c:pt>
                <c:pt idx="92">
                  <c:v>3.1382591148747974E-2</c:v>
                </c:pt>
                <c:pt idx="93">
                  <c:v>3.1494971009035089E-2</c:v>
                </c:pt>
                <c:pt idx="94">
                  <c:v>3.1604996838503041E-2</c:v>
                </c:pt>
                <c:pt idx="95">
                  <c:v>3.1712741835033365E-2</c:v>
                </c:pt>
                <c:pt idx="96">
                  <c:v>3.1818276192909778E-2</c:v>
                </c:pt>
                <c:pt idx="97">
                  <c:v>3.1921667255314201E-2</c:v>
                </c:pt>
                <c:pt idx="98">
                  <c:v>3.2022979657625017E-2</c:v>
                </c:pt>
                <c:pt idx="99">
                  <c:v>3.2122275462159955E-2</c:v>
                </c:pt>
              </c:numCache>
            </c:numRef>
          </c:val>
          <c:smooth val="0"/>
          <c:extLst>
            <c:ext xmlns:c16="http://schemas.microsoft.com/office/drawing/2014/chart" uri="{C3380CC4-5D6E-409C-BE32-E72D297353CC}">
              <c16:uniqueId val="{00000000-ED99-4F4D-BB38-947E24E5A722}"/>
            </c:ext>
          </c:extLst>
        </c:ser>
        <c:dLbls>
          <c:showLegendKey val="0"/>
          <c:showVal val="0"/>
          <c:showCatName val="0"/>
          <c:showSerName val="0"/>
          <c:showPercent val="0"/>
          <c:showBubbleSize val="0"/>
        </c:dLbls>
        <c:smooth val="0"/>
        <c:axId val="70666496"/>
        <c:axId val="70688768"/>
      </c:lineChart>
      <c:catAx>
        <c:axId val="70666496"/>
        <c:scaling>
          <c:orientation val="minMax"/>
        </c:scaling>
        <c:delete val="0"/>
        <c:axPos val="b"/>
        <c:numFmt formatCode="General" sourceLinked="0"/>
        <c:majorTickMark val="out"/>
        <c:minorTickMark val="none"/>
        <c:tickLblPos val="nextTo"/>
        <c:txPr>
          <a:bodyPr/>
          <a:lstStyle/>
          <a:p>
            <a:pPr>
              <a:defRPr sz="800">
                <a:latin typeface="Segoe UI" pitchFamily="34" charset="0"/>
                <a:ea typeface="Segoe UI" pitchFamily="34" charset="0"/>
                <a:cs typeface="Segoe UI" pitchFamily="34" charset="0"/>
              </a:defRPr>
            </a:pPr>
            <a:endParaRPr lang="en-US"/>
          </a:p>
        </c:txPr>
        <c:crossAx val="70688768"/>
        <c:crosses val="autoZero"/>
        <c:auto val="1"/>
        <c:lblAlgn val="ctr"/>
        <c:lblOffset val="100"/>
        <c:noMultiLvlLbl val="0"/>
      </c:catAx>
      <c:valAx>
        <c:axId val="70688768"/>
        <c:scaling>
          <c:orientation val="minMax"/>
        </c:scaling>
        <c:delete val="0"/>
        <c:axPos val="l"/>
        <c:majorGridlines>
          <c:spPr>
            <a:ln>
              <a:noFill/>
            </a:ln>
          </c:spPr>
        </c:majorGridlines>
        <c:numFmt formatCode="0.0%" sourceLinked="0"/>
        <c:majorTickMark val="out"/>
        <c:minorTickMark val="none"/>
        <c:tickLblPos val="nextTo"/>
        <c:txPr>
          <a:bodyPr/>
          <a:lstStyle/>
          <a:p>
            <a:pPr>
              <a:defRPr sz="800">
                <a:latin typeface="Segoe UI" pitchFamily="34" charset="0"/>
                <a:ea typeface="Segoe UI" pitchFamily="34" charset="0"/>
                <a:cs typeface="Segoe UI" pitchFamily="34" charset="0"/>
              </a:defRPr>
            </a:pPr>
            <a:endParaRPr lang="en-US"/>
          </a:p>
        </c:txPr>
        <c:crossAx val="70666496"/>
        <c:crosses val="autoZero"/>
        <c:crossBetween val="between"/>
      </c:valAx>
      <c:spPr>
        <a:ln>
          <a:solidFill>
            <a:schemeClr val="tx1"/>
          </a:solidFill>
        </a:ln>
      </c:spPr>
    </c:plotArea>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a:solidFill>
                  <a:schemeClr val="accent1"/>
                </a:solidFill>
                <a:latin typeface="Segoe UI" pitchFamily="34" charset="0"/>
                <a:ea typeface="Segoe UI" pitchFamily="34" charset="0"/>
                <a:cs typeface="Segoe UI" pitchFamily="34" charset="0"/>
              </a:defRPr>
            </a:pPr>
            <a:r>
              <a:rPr lang="en-US" sz="800">
                <a:solidFill>
                  <a:schemeClr val="accent1"/>
                </a:solidFill>
                <a:latin typeface="Segoe UI" pitchFamily="34" charset="0"/>
                <a:ea typeface="Segoe UI" pitchFamily="34" charset="0"/>
                <a:cs typeface="Segoe UI" pitchFamily="34" charset="0"/>
              </a:rPr>
              <a:t>Yield Curve Australia with Spread</a:t>
            </a:r>
          </a:p>
        </c:rich>
      </c:tx>
      <c:layout>
        <c:manualLayout>
          <c:xMode val="edge"/>
          <c:yMode val="edge"/>
          <c:x val="0.11284033245844272"/>
          <c:y val="2.3148148148148147E-2"/>
        </c:manualLayout>
      </c:layout>
      <c:overlay val="0"/>
    </c:title>
    <c:autoTitleDeleted val="0"/>
    <c:plotArea>
      <c:layout/>
      <c:lineChart>
        <c:grouping val="standard"/>
        <c:varyColors val="0"/>
        <c:ser>
          <c:idx val="0"/>
          <c:order val="0"/>
          <c:tx>
            <c:strRef>
              <c:f>Results!$H$3</c:f>
              <c:strCache>
                <c:ptCount val="1"/>
                <c:pt idx="0">
                  <c:v>Japan</c:v>
                </c:pt>
              </c:strCache>
            </c:strRef>
          </c:tx>
          <c:spPr>
            <a:ln w="19050"/>
          </c:spPr>
          <c:marker>
            <c:symbol val="none"/>
          </c:marker>
          <c:cat>
            <c:strRef>
              <c:f>Results!$B$15:$B$114</c:f>
              <c:strCache>
                <c:ptCount val="100"/>
                <c:pt idx="0">
                  <c:v>1 Year</c:v>
                </c:pt>
                <c:pt idx="1">
                  <c:v>2 Years</c:v>
                </c:pt>
                <c:pt idx="2">
                  <c:v>3 Years</c:v>
                </c:pt>
                <c:pt idx="3">
                  <c:v>4 Years</c:v>
                </c:pt>
                <c:pt idx="4">
                  <c:v>5 Years</c:v>
                </c:pt>
                <c:pt idx="5">
                  <c:v>6 Years</c:v>
                </c:pt>
                <c:pt idx="6">
                  <c:v>7 Years</c:v>
                </c:pt>
                <c:pt idx="7">
                  <c:v>8 Years</c:v>
                </c:pt>
                <c:pt idx="8">
                  <c:v>9 Years</c:v>
                </c:pt>
                <c:pt idx="9">
                  <c:v>10 Years</c:v>
                </c:pt>
                <c:pt idx="10">
                  <c:v>11 Years</c:v>
                </c:pt>
                <c:pt idx="11">
                  <c:v>12 Years</c:v>
                </c:pt>
                <c:pt idx="12">
                  <c:v>13 Years</c:v>
                </c:pt>
                <c:pt idx="13">
                  <c:v>14 Years</c:v>
                </c:pt>
                <c:pt idx="14">
                  <c:v>15 Years</c:v>
                </c:pt>
                <c:pt idx="15">
                  <c:v>16 Years</c:v>
                </c:pt>
                <c:pt idx="16">
                  <c:v>17 Years</c:v>
                </c:pt>
                <c:pt idx="17">
                  <c:v>18 Years</c:v>
                </c:pt>
                <c:pt idx="18">
                  <c:v>19 Years</c:v>
                </c:pt>
                <c:pt idx="19">
                  <c:v>20 Years</c:v>
                </c:pt>
                <c:pt idx="20">
                  <c:v>21 Years</c:v>
                </c:pt>
                <c:pt idx="21">
                  <c:v>22 Years</c:v>
                </c:pt>
                <c:pt idx="22">
                  <c:v>23 Years</c:v>
                </c:pt>
                <c:pt idx="23">
                  <c:v>24 Years</c:v>
                </c:pt>
                <c:pt idx="24">
                  <c:v>25 Years</c:v>
                </c:pt>
                <c:pt idx="25">
                  <c:v>26 Years</c:v>
                </c:pt>
                <c:pt idx="26">
                  <c:v>27 Years</c:v>
                </c:pt>
                <c:pt idx="27">
                  <c:v>28 Years</c:v>
                </c:pt>
                <c:pt idx="28">
                  <c:v>29 Years</c:v>
                </c:pt>
                <c:pt idx="29">
                  <c:v>30 Years</c:v>
                </c:pt>
                <c:pt idx="30">
                  <c:v>31 Years</c:v>
                </c:pt>
                <c:pt idx="31">
                  <c:v>32 Years</c:v>
                </c:pt>
                <c:pt idx="32">
                  <c:v>33 Years</c:v>
                </c:pt>
                <c:pt idx="33">
                  <c:v>34 Years</c:v>
                </c:pt>
                <c:pt idx="34">
                  <c:v>35 Years</c:v>
                </c:pt>
                <c:pt idx="35">
                  <c:v>36 Years</c:v>
                </c:pt>
                <c:pt idx="36">
                  <c:v>37 Years</c:v>
                </c:pt>
                <c:pt idx="37">
                  <c:v>38 Years</c:v>
                </c:pt>
                <c:pt idx="38">
                  <c:v>39 Years</c:v>
                </c:pt>
                <c:pt idx="39">
                  <c:v>40 Years</c:v>
                </c:pt>
                <c:pt idx="40">
                  <c:v>41 Years</c:v>
                </c:pt>
                <c:pt idx="41">
                  <c:v>42 Years</c:v>
                </c:pt>
                <c:pt idx="42">
                  <c:v>43 Years</c:v>
                </c:pt>
                <c:pt idx="43">
                  <c:v>44 Years</c:v>
                </c:pt>
                <c:pt idx="44">
                  <c:v>45 Years</c:v>
                </c:pt>
                <c:pt idx="45">
                  <c:v>46 Years</c:v>
                </c:pt>
                <c:pt idx="46">
                  <c:v>47 Years</c:v>
                </c:pt>
                <c:pt idx="47">
                  <c:v>48 Years</c:v>
                </c:pt>
                <c:pt idx="48">
                  <c:v>49 Years</c:v>
                </c:pt>
                <c:pt idx="49">
                  <c:v>50 Years</c:v>
                </c:pt>
                <c:pt idx="50">
                  <c:v>51 Years</c:v>
                </c:pt>
                <c:pt idx="51">
                  <c:v>52 Years</c:v>
                </c:pt>
                <c:pt idx="52">
                  <c:v>53 Years</c:v>
                </c:pt>
                <c:pt idx="53">
                  <c:v>54 Years</c:v>
                </c:pt>
                <c:pt idx="54">
                  <c:v>55 Years</c:v>
                </c:pt>
                <c:pt idx="55">
                  <c:v>56 Years</c:v>
                </c:pt>
                <c:pt idx="56">
                  <c:v>57 Years</c:v>
                </c:pt>
                <c:pt idx="57">
                  <c:v>58 Years</c:v>
                </c:pt>
                <c:pt idx="58">
                  <c:v>59 Years</c:v>
                </c:pt>
                <c:pt idx="59">
                  <c:v>60 Years</c:v>
                </c:pt>
                <c:pt idx="60">
                  <c:v>61 Years</c:v>
                </c:pt>
                <c:pt idx="61">
                  <c:v>62 Years</c:v>
                </c:pt>
                <c:pt idx="62">
                  <c:v>63 Years</c:v>
                </c:pt>
                <c:pt idx="63">
                  <c:v>64 Years</c:v>
                </c:pt>
                <c:pt idx="64">
                  <c:v>65 Years</c:v>
                </c:pt>
                <c:pt idx="65">
                  <c:v>66 Years</c:v>
                </c:pt>
                <c:pt idx="66">
                  <c:v>67 Years</c:v>
                </c:pt>
                <c:pt idx="67">
                  <c:v>68 Years</c:v>
                </c:pt>
                <c:pt idx="68">
                  <c:v>69 Years</c:v>
                </c:pt>
                <c:pt idx="69">
                  <c:v>70 Years</c:v>
                </c:pt>
                <c:pt idx="70">
                  <c:v>71 Years</c:v>
                </c:pt>
                <c:pt idx="71">
                  <c:v>72 Years</c:v>
                </c:pt>
                <c:pt idx="72">
                  <c:v>73 Years</c:v>
                </c:pt>
                <c:pt idx="73">
                  <c:v>74 Years</c:v>
                </c:pt>
                <c:pt idx="74">
                  <c:v>75 Years</c:v>
                </c:pt>
                <c:pt idx="75">
                  <c:v>76 Years</c:v>
                </c:pt>
                <c:pt idx="76">
                  <c:v>77 Years</c:v>
                </c:pt>
                <c:pt idx="77">
                  <c:v>78 Years</c:v>
                </c:pt>
                <c:pt idx="78">
                  <c:v>79 Years</c:v>
                </c:pt>
                <c:pt idx="79">
                  <c:v>80 Years</c:v>
                </c:pt>
                <c:pt idx="80">
                  <c:v>81 Years</c:v>
                </c:pt>
                <c:pt idx="81">
                  <c:v>82 Years</c:v>
                </c:pt>
                <c:pt idx="82">
                  <c:v>83 Years</c:v>
                </c:pt>
                <c:pt idx="83">
                  <c:v>84 Years</c:v>
                </c:pt>
                <c:pt idx="84">
                  <c:v>85 Years</c:v>
                </c:pt>
                <c:pt idx="85">
                  <c:v>86 Years</c:v>
                </c:pt>
                <c:pt idx="86">
                  <c:v>87 Years</c:v>
                </c:pt>
                <c:pt idx="87">
                  <c:v>88 Years</c:v>
                </c:pt>
                <c:pt idx="88">
                  <c:v>89 Years</c:v>
                </c:pt>
                <c:pt idx="89">
                  <c:v>90 Years</c:v>
                </c:pt>
                <c:pt idx="90">
                  <c:v>91 Years</c:v>
                </c:pt>
                <c:pt idx="91">
                  <c:v>92 Years</c:v>
                </c:pt>
                <c:pt idx="92">
                  <c:v>93 Years</c:v>
                </c:pt>
                <c:pt idx="93">
                  <c:v>94 Years</c:v>
                </c:pt>
                <c:pt idx="94">
                  <c:v>95 Years</c:v>
                </c:pt>
                <c:pt idx="95">
                  <c:v>96 Years</c:v>
                </c:pt>
                <c:pt idx="96">
                  <c:v>97 Years</c:v>
                </c:pt>
                <c:pt idx="97">
                  <c:v>98 Years</c:v>
                </c:pt>
                <c:pt idx="98">
                  <c:v>99 Years</c:v>
                </c:pt>
                <c:pt idx="99">
                  <c:v>100 Years</c:v>
                </c:pt>
              </c:strCache>
            </c:strRef>
          </c:cat>
          <c:val>
            <c:numRef>
              <c:f>Results!$L$15:$L$114</c:f>
              <c:numCache>
                <c:formatCode>0.00%</c:formatCode>
                <c:ptCount val="100"/>
                <c:pt idx="0">
                  <c:v>1.3104006452067695E-2</c:v>
                </c:pt>
                <c:pt idx="1">
                  <c:v>1.2688355689509656E-2</c:v>
                </c:pt>
                <c:pt idx="2">
                  <c:v>1.2902612072940745E-2</c:v>
                </c:pt>
                <c:pt idx="3">
                  <c:v>1.3433777899429122E-2</c:v>
                </c:pt>
                <c:pt idx="4">
                  <c:v>1.4102159380802171E-2</c:v>
                </c:pt>
                <c:pt idx="5">
                  <c:v>1.4878855683114978E-2</c:v>
                </c:pt>
                <c:pt idx="6">
                  <c:v>1.5703543329361747E-2</c:v>
                </c:pt>
                <c:pt idx="7">
                  <c:v>1.6503391606475404E-2</c:v>
                </c:pt>
                <c:pt idx="8">
                  <c:v>1.723524943465149E-2</c:v>
                </c:pt>
                <c:pt idx="9">
                  <c:v>1.7903437241401532E-2</c:v>
                </c:pt>
                <c:pt idx="10">
                  <c:v>1.8464688064497636E-2</c:v>
                </c:pt>
                <c:pt idx="11">
                  <c:v>1.9015856449932977E-2</c:v>
                </c:pt>
                <c:pt idx="12">
                  <c:v>1.9475803356986177E-2</c:v>
                </c:pt>
                <c:pt idx="13">
                  <c:v>1.9925234316285678E-2</c:v>
                </c:pt>
                <c:pt idx="14">
                  <c:v>2.0364626488817539E-2</c:v>
                </c:pt>
                <c:pt idx="15">
                  <c:v>2.0613414248326078E-2</c:v>
                </c:pt>
                <c:pt idx="16">
                  <c:v>2.0853345809353163E-2</c:v>
                </c:pt>
                <c:pt idx="17">
                  <c:v>2.1084964501839609E-2</c:v>
                </c:pt>
                <c:pt idx="18">
                  <c:v>2.1308757630021713E-2</c:v>
                </c:pt>
                <c:pt idx="19">
                  <c:v>2.1525154701306004E-2</c:v>
                </c:pt>
                <c:pt idx="20">
                  <c:v>2.164132938971397E-2</c:v>
                </c:pt>
                <c:pt idx="21">
                  <c:v>2.1750817501412056E-2</c:v>
                </c:pt>
                <c:pt idx="22">
                  <c:v>2.1853907771115288E-2</c:v>
                </c:pt>
                <c:pt idx="23">
                  <c:v>2.195085527839602E-2</c:v>
                </c:pt>
                <c:pt idx="24">
                  <c:v>2.2041886856279058E-2</c:v>
                </c:pt>
                <c:pt idx="25">
                  <c:v>2.2016548030671101E-2</c:v>
                </c:pt>
                <c:pt idx="26">
                  <c:v>2.198568301835313E-2</c:v>
                </c:pt>
                <c:pt idx="27">
                  <c:v>2.1949458272167321E-2</c:v>
                </c:pt>
                <c:pt idx="28">
                  <c:v>2.1908026216863608E-2</c:v>
                </c:pt>
                <c:pt idx="29">
                  <c:v>2.1861527468699293E-2</c:v>
                </c:pt>
                <c:pt idx="30">
                  <c:v>2.1847949152004276E-2</c:v>
                </c:pt>
                <c:pt idx="31">
                  <c:v>2.1875655491439661E-2</c:v>
                </c:pt>
                <c:pt idx="32">
                  <c:v>2.194231901746968E-2</c:v>
                </c:pt>
                <c:pt idx="33">
                  <c:v>2.204561390531512E-2</c:v>
                </c:pt>
                <c:pt idx="34">
                  <c:v>2.2183211639204448E-2</c:v>
                </c:pt>
                <c:pt idx="35">
                  <c:v>2.2352784670211845E-2</c:v>
                </c:pt>
                <c:pt idx="36">
                  <c:v>2.2552003309995516E-2</c:v>
                </c:pt>
                <c:pt idx="37">
                  <c:v>2.277853811839492E-2</c:v>
                </c:pt>
                <c:pt idx="38">
                  <c:v>2.3030058393586739E-2</c:v>
                </c:pt>
                <c:pt idx="39">
                  <c:v>2.3304232910241307E-2</c:v>
                </c:pt>
                <c:pt idx="40">
                  <c:v>2.3598729445140076E-2</c:v>
                </c:pt>
                <c:pt idx="41">
                  <c:v>2.3911215119071239E-2</c:v>
                </c:pt>
                <c:pt idx="42">
                  <c:v>2.4239356398555012E-2</c:v>
                </c:pt>
                <c:pt idx="43">
                  <c:v>2.4580818665691062E-2</c:v>
                </c:pt>
                <c:pt idx="44">
                  <c:v>2.4933267068920628E-2</c:v>
                </c:pt>
                <c:pt idx="45">
                  <c:v>2.5294365427444898E-2</c:v>
                </c:pt>
                <c:pt idx="46">
                  <c:v>2.5661777176037681E-2</c:v>
                </c:pt>
                <c:pt idx="47">
                  <c:v>2.6033164924804897E-2</c:v>
                </c:pt>
                <c:pt idx="48">
                  <c:v>2.6406190499369764E-2</c:v>
                </c:pt>
                <c:pt idx="49">
                  <c:v>2.6778515183052187E-2</c:v>
                </c:pt>
                <c:pt idx="50">
                  <c:v>2.7147799377528203E-2</c:v>
                </c:pt>
                <c:pt idx="51">
                  <c:v>2.7511702846035435E-2</c:v>
                </c:pt>
                <c:pt idx="52">
                  <c:v>2.7867884784756214E-2</c:v>
                </c:pt>
                <c:pt idx="53">
                  <c:v>2.8214003363556062E-2</c:v>
                </c:pt>
                <c:pt idx="54">
                  <c:v>2.854771640646403E-2</c:v>
                </c:pt>
                <c:pt idx="55">
                  <c:v>2.8866681060226718E-2</c:v>
                </c:pt>
                <c:pt idx="56">
                  <c:v>2.9168553811869558E-2</c:v>
                </c:pt>
                <c:pt idx="57">
                  <c:v>2.9450990337836602E-2</c:v>
                </c:pt>
                <c:pt idx="58">
                  <c:v>2.9711645968747646E-2</c:v>
                </c:pt>
                <c:pt idx="59">
                  <c:v>2.9948175272537458E-2</c:v>
                </c:pt>
                <c:pt idx="60">
                  <c:v>3.017700120602651E-2</c:v>
                </c:pt>
                <c:pt idx="61">
                  <c:v>3.0398494062963577E-2</c:v>
                </c:pt>
                <c:pt idx="62">
                  <c:v>3.0613000778809019E-2</c:v>
                </c:pt>
                <c:pt idx="63">
                  <c:v>3.0820846743928154E-2</c:v>
                </c:pt>
                <c:pt idx="64">
                  <c:v>3.1022337450470339E-2</c:v>
                </c:pt>
                <c:pt idx="65">
                  <c:v>3.121775999046128E-2</c:v>
                </c:pt>
                <c:pt idx="66">
                  <c:v>3.1407384420560014E-2</c:v>
                </c:pt>
                <c:pt idx="67">
                  <c:v>3.1591465007121844E-2</c:v>
                </c:pt>
                <c:pt idx="68">
                  <c:v>3.1770241363638485E-2</c:v>
                </c:pt>
                <c:pt idx="69">
                  <c:v>3.1943939491254625E-2</c:v>
                </c:pt>
                <c:pt idx="70">
                  <c:v>3.2112772731860417E-2</c:v>
                </c:pt>
                <c:pt idx="71">
                  <c:v>3.2276942642212925E-2</c:v>
                </c:pt>
                <c:pt idx="72">
                  <c:v>3.243663979661382E-2</c:v>
                </c:pt>
                <c:pt idx="73">
                  <c:v>3.2592044524867303E-2</c:v>
                </c:pt>
                <c:pt idx="74">
                  <c:v>3.2743327591521654E-2</c:v>
                </c:pt>
                <c:pt idx="75">
                  <c:v>3.2890650821777889E-2</c:v>
                </c:pt>
                <c:pt idx="76">
                  <c:v>3.3034167678884341E-2</c:v>
                </c:pt>
                <c:pt idx="77">
                  <c:v>3.3174023797349683E-2</c:v>
                </c:pt>
                <c:pt idx="78">
                  <c:v>3.3310357475869079E-2</c:v>
                </c:pt>
                <c:pt idx="79">
                  <c:v>3.3443300133469744E-2</c:v>
                </c:pt>
                <c:pt idx="80">
                  <c:v>3.3572976732038962E-2</c:v>
                </c:pt>
                <c:pt idx="81">
                  <c:v>3.369950616808981E-2</c:v>
                </c:pt>
                <c:pt idx="82">
                  <c:v>3.3823001636345884E-2</c:v>
                </c:pt>
                <c:pt idx="83">
                  <c:v>3.3943570967483128E-2</c:v>
                </c:pt>
                <c:pt idx="84">
                  <c:v>3.4061316942144426E-2</c:v>
                </c:pt>
                <c:pt idx="85">
                  <c:v>3.4176337583151417E-2</c:v>
                </c:pt>
                <c:pt idx="86">
                  <c:v>3.4288726427658789E-2</c:v>
                </c:pt>
                <c:pt idx="87">
                  <c:v>3.4398572780838022E-2</c:v>
                </c:pt>
                <c:pt idx="88">
                  <c:v>3.4505961952538522E-2</c:v>
                </c:pt>
                <c:pt idx="89">
                  <c:v>3.461097547824199E-2</c:v>
                </c:pt>
                <c:pt idx="90">
                  <c:v>3.4713691325514384E-2</c:v>
                </c:pt>
                <c:pt idx="91">
                  <c:v>3.4814184087053945E-2</c:v>
                </c:pt>
                <c:pt idx="92">
                  <c:v>3.491252516133847E-2</c:v>
                </c:pt>
                <c:pt idx="93">
                  <c:v>3.500878292179288E-2</c:v>
                </c:pt>
                <c:pt idx="94">
                  <c:v>3.5103022875317302E-2</c:v>
                </c:pt>
                <c:pt idx="95">
                  <c:v>3.519530781095126E-2</c:v>
                </c:pt>
                <c:pt idx="96">
                  <c:v>3.5285697939378968E-2</c:v>
                </c:pt>
                <c:pt idx="97">
                  <c:v>3.5374251023930325E-2</c:v>
                </c:pt>
                <c:pt idx="98">
                  <c:v>3.5461022503674888E-2</c:v>
                </c:pt>
                <c:pt idx="99">
                  <c:v>3.554606560915996E-2</c:v>
                </c:pt>
              </c:numCache>
            </c:numRef>
          </c:val>
          <c:smooth val="0"/>
          <c:extLst>
            <c:ext xmlns:c16="http://schemas.microsoft.com/office/drawing/2014/chart" uri="{C3380CC4-5D6E-409C-BE32-E72D297353CC}">
              <c16:uniqueId val="{00000000-D4F9-41BD-AB4F-2AE0322CE405}"/>
            </c:ext>
          </c:extLst>
        </c:ser>
        <c:dLbls>
          <c:showLegendKey val="0"/>
          <c:showVal val="0"/>
          <c:showCatName val="0"/>
          <c:showSerName val="0"/>
          <c:showPercent val="0"/>
          <c:showBubbleSize val="0"/>
        </c:dLbls>
        <c:smooth val="0"/>
        <c:axId val="70704512"/>
        <c:axId val="70722688"/>
      </c:lineChart>
      <c:catAx>
        <c:axId val="70704512"/>
        <c:scaling>
          <c:orientation val="minMax"/>
        </c:scaling>
        <c:delete val="0"/>
        <c:axPos val="b"/>
        <c:numFmt formatCode="General" sourceLinked="0"/>
        <c:majorTickMark val="out"/>
        <c:minorTickMark val="none"/>
        <c:tickLblPos val="nextTo"/>
        <c:txPr>
          <a:bodyPr/>
          <a:lstStyle/>
          <a:p>
            <a:pPr>
              <a:defRPr sz="800">
                <a:latin typeface="Segoe UI" pitchFamily="34" charset="0"/>
                <a:ea typeface="Segoe UI" pitchFamily="34" charset="0"/>
                <a:cs typeface="Segoe UI" pitchFamily="34" charset="0"/>
              </a:defRPr>
            </a:pPr>
            <a:endParaRPr lang="en-US"/>
          </a:p>
        </c:txPr>
        <c:crossAx val="70722688"/>
        <c:crosses val="autoZero"/>
        <c:auto val="1"/>
        <c:lblAlgn val="ctr"/>
        <c:lblOffset val="100"/>
        <c:noMultiLvlLbl val="0"/>
      </c:catAx>
      <c:valAx>
        <c:axId val="70722688"/>
        <c:scaling>
          <c:orientation val="minMax"/>
        </c:scaling>
        <c:delete val="0"/>
        <c:axPos val="l"/>
        <c:majorGridlines>
          <c:spPr>
            <a:ln>
              <a:noFill/>
            </a:ln>
          </c:spPr>
        </c:majorGridlines>
        <c:numFmt formatCode="0.0%" sourceLinked="0"/>
        <c:majorTickMark val="out"/>
        <c:minorTickMark val="none"/>
        <c:tickLblPos val="nextTo"/>
        <c:txPr>
          <a:bodyPr/>
          <a:lstStyle/>
          <a:p>
            <a:pPr>
              <a:defRPr sz="800">
                <a:latin typeface="Segoe UI" pitchFamily="34" charset="0"/>
                <a:ea typeface="Segoe UI" pitchFamily="34" charset="0"/>
                <a:cs typeface="Segoe UI" pitchFamily="34" charset="0"/>
              </a:defRPr>
            </a:pPr>
            <a:endParaRPr lang="en-US"/>
          </a:p>
        </c:txPr>
        <c:crossAx val="70704512"/>
        <c:crosses val="autoZero"/>
        <c:crossBetween val="between"/>
      </c:valAx>
      <c:spPr>
        <a:ln>
          <a:solidFill>
            <a:schemeClr val="tx1"/>
          </a:solidFill>
        </a:ln>
      </c:spPr>
    </c:plotArea>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marker>
            <c:symbol val="none"/>
          </c:marker>
          <c:val>
            <c:numRef>
              <c:f>'Quick Check Base Case'!$B$79:$B$109</c:f>
              <c:numCache>
                <c:formatCode>0.00000</c:formatCode>
                <c:ptCount val="31"/>
                <c:pt idx="0">
                  <c:v>1.1829295053712461</c:v>
                </c:pt>
                <c:pt idx="1">
                  <c:v>0.65667709456338086</c:v>
                </c:pt>
                <c:pt idx="2">
                  <c:v>0.35074107203365412</c:v>
                </c:pt>
                <c:pt idx="3">
                  <c:v>0.16495734075524404</c:v>
                </c:pt>
                <c:pt idx="4">
                  <c:v>3.4505749555959531E-2</c:v>
                </c:pt>
                <c:pt idx="5">
                  <c:v>-4.0074367055038085E-2</c:v>
                </c:pt>
                <c:pt idx="6">
                  <c:v>-0.10802891626849509</c:v>
                </c:pt>
                <c:pt idx="7">
                  <c:v>-0.15836138362821384</c:v>
                </c:pt>
                <c:pt idx="8">
                  <c:v>-0.19609579600725224</c:v>
                </c:pt>
                <c:pt idx="9">
                  <c:v>-0.24599635731633329</c:v>
                </c:pt>
                <c:pt idx="10">
                  <c:v>-0.24315417281245555</c:v>
                </c:pt>
                <c:pt idx="11">
                  <c:v>-0.27307616029239812</c:v>
                </c:pt>
                <c:pt idx="12">
                  <c:v>-0.29704809431740653</c:v>
                </c:pt>
                <c:pt idx="13">
                  <c:v>-0.31317877916434478</c:v>
                </c:pt>
                <c:pt idx="14">
                  <c:v>-0.32233086471421402</c:v>
                </c:pt>
                <c:pt idx="15">
                  <c:v>-0.33098682584201899</c:v>
                </c:pt>
                <c:pt idx="16">
                  <c:v>-0.34065948850100103</c:v>
                </c:pt>
                <c:pt idx="17">
                  <c:v>-0.35254036800222233</c:v>
                </c:pt>
                <c:pt idx="18">
                  <c:v>-0.36432825542832736</c:v>
                </c:pt>
                <c:pt idx="19">
                  <c:v>-0.37443316830224393</c:v>
                </c:pt>
                <c:pt idx="20">
                  <c:v>-0.38554889579971618</c:v>
                </c:pt>
                <c:pt idx="21">
                  <c:v>-0.39431022098569724</c:v>
                </c:pt>
                <c:pt idx="22">
                  <c:v>-0.40177021722968709</c:v>
                </c:pt>
                <c:pt idx="23">
                  <c:v>-0.40697174376609047</c:v>
                </c:pt>
                <c:pt idx="24">
                  <c:v>-0.4099487829360271</c:v>
                </c:pt>
                <c:pt idx="25">
                  <c:v>-0.41170668405217814</c:v>
                </c:pt>
                <c:pt idx="26">
                  <c:v>-0.41328525956843309</c:v>
                </c:pt>
                <c:pt idx="27">
                  <c:v>-0.41669761672841599</c:v>
                </c:pt>
                <c:pt idx="28">
                  <c:v>-0.42395155674786622</c:v>
                </c:pt>
                <c:pt idx="29">
                  <c:v>-0.43505012607265714</c:v>
                </c:pt>
                <c:pt idx="30">
                  <c:v>-0.18899077797530831</c:v>
                </c:pt>
              </c:numCache>
            </c:numRef>
          </c:val>
          <c:smooth val="0"/>
          <c:extLst>
            <c:ext xmlns:c16="http://schemas.microsoft.com/office/drawing/2014/chart" uri="{C3380CC4-5D6E-409C-BE32-E72D297353CC}">
              <c16:uniqueId val="{00000000-FBF2-4D80-B1D5-4326960B11A1}"/>
            </c:ext>
          </c:extLst>
        </c:ser>
        <c:ser>
          <c:idx val="1"/>
          <c:order val="1"/>
          <c:marker>
            <c:symbol val="none"/>
          </c:marker>
          <c:val>
            <c:numRef>
              <c:f>'Quick Check Base Case'!$C$79:$C$109</c:f>
              <c:numCache>
                <c:formatCode>0.00000</c:formatCode>
                <c:ptCount val="31"/>
                <c:pt idx="0">
                  <c:v>-0.404566154836979</c:v>
                </c:pt>
                <c:pt idx="1">
                  <c:v>-0.45366501163996009</c:v>
                </c:pt>
                <c:pt idx="2">
                  <c:v>-0.51896263948672439</c:v>
                </c:pt>
                <c:pt idx="3">
                  <c:v>-0.60185726148822949</c:v>
                </c:pt>
                <c:pt idx="4">
                  <c:v>-0.66833127396568437</c:v>
                </c:pt>
                <c:pt idx="5">
                  <c:v>-0.73710368822719396</c:v>
                </c:pt>
                <c:pt idx="6">
                  <c:v>-0.79801678563585354</c:v>
                </c:pt>
                <c:pt idx="7">
                  <c:v>-0.85056152175590383</c:v>
                </c:pt>
                <c:pt idx="8">
                  <c:v>-0.89645115236918582</c:v>
                </c:pt>
                <c:pt idx="9">
                  <c:v>-0.93188364855283956</c:v>
                </c:pt>
                <c:pt idx="10">
                  <c:v>-0.95617741066554385</c:v>
                </c:pt>
                <c:pt idx="11">
                  <c:v>-0.97408219022933173</c:v>
                </c:pt>
                <c:pt idx="12">
                  <c:v>-0.98720504752546545</c:v>
                </c:pt>
                <c:pt idx="13">
                  <c:v>-1.0035335337892175</c:v>
                </c:pt>
                <c:pt idx="14">
                  <c:v>-1.0058887875229121</c:v>
                </c:pt>
                <c:pt idx="15">
                  <c:v>-0.99942218671739091</c:v>
                </c:pt>
                <c:pt idx="16">
                  <c:v>-0.98907260506050254</c:v>
                </c:pt>
                <c:pt idx="17">
                  <c:v>-0.98348585662311239</c:v>
                </c:pt>
                <c:pt idx="18">
                  <c:v>-0.98567431396097094</c:v>
                </c:pt>
                <c:pt idx="19">
                  <c:v>-0.99993551338152198</c:v>
                </c:pt>
                <c:pt idx="20">
                  <c:v>-1.0233703705232824</c:v>
                </c:pt>
                <c:pt idx="21">
                  <c:v>-1.0552201862425774</c:v>
                </c:pt>
                <c:pt idx="22">
                  <c:v>-1.0976817671037298</c:v>
                </c:pt>
                <c:pt idx="23">
                  <c:v>-1.1454287443754725</c:v>
                </c:pt>
                <c:pt idx="24">
                  <c:v>-1.1998658252382537</c:v>
                </c:pt>
                <c:pt idx="25">
                  <c:v>-1.2483224425634658</c:v>
                </c:pt>
                <c:pt idx="26">
                  <c:v>-1.3025264119374904</c:v>
                </c:pt>
                <c:pt idx="27">
                  <c:v>-1.3568137721841733</c:v>
                </c:pt>
                <c:pt idx="28">
                  <c:v>-1.4111936220115235</c:v>
                </c:pt>
                <c:pt idx="29">
                  <c:v>-1.4703207716220348</c:v>
                </c:pt>
                <c:pt idx="30">
                  <c:v>-0.96855401657455098</c:v>
                </c:pt>
              </c:numCache>
            </c:numRef>
          </c:val>
          <c:smooth val="0"/>
          <c:extLst>
            <c:ext xmlns:c16="http://schemas.microsoft.com/office/drawing/2014/chart" uri="{C3380CC4-5D6E-409C-BE32-E72D297353CC}">
              <c16:uniqueId val="{00000001-FBF2-4D80-B1D5-4326960B11A1}"/>
            </c:ext>
          </c:extLst>
        </c:ser>
        <c:ser>
          <c:idx val="2"/>
          <c:order val="2"/>
          <c:marker>
            <c:symbol val="none"/>
          </c:marker>
          <c:val>
            <c:numRef>
              <c:f>'Quick Check Base Case'!$D$79:$D$109</c:f>
              <c:numCache>
                <c:formatCode>0.00000</c:formatCode>
                <c:ptCount val="31"/>
                <c:pt idx="0">
                  <c:v>-5.829233675594403E-3</c:v>
                </c:pt>
                <c:pt idx="1">
                  <c:v>-0.30222826038227468</c:v>
                </c:pt>
                <c:pt idx="2">
                  <c:v>-0.51389782284688956</c:v>
                </c:pt>
                <c:pt idx="3">
                  <c:v>-0.65257053413636501</c:v>
                </c:pt>
                <c:pt idx="4">
                  <c:v>-0.75691322226440483</c:v>
                </c:pt>
                <c:pt idx="5">
                  <c:v>-0.84065096752532109</c:v>
                </c:pt>
                <c:pt idx="6">
                  <c:v>-0.9107604659289823</c:v>
                </c:pt>
                <c:pt idx="7">
                  <c:v>-0.96069440515569182</c:v>
                </c:pt>
                <c:pt idx="8">
                  <c:v>-1.002728907378754</c:v>
                </c:pt>
                <c:pt idx="9">
                  <c:v>-1.0300452336628221</c:v>
                </c:pt>
                <c:pt idx="10">
                  <c:v>-1.050830345112427</c:v>
                </c:pt>
                <c:pt idx="11">
                  <c:v>-1.0682970213078642</c:v>
                </c:pt>
                <c:pt idx="12">
                  <c:v>-1.0812816315905907</c:v>
                </c:pt>
                <c:pt idx="13">
                  <c:v>-1.0879309517226576</c:v>
                </c:pt>
                <c:pt idx="14">
                  <c:v>-1.0903709350996653</c:v>
                </c:pt>
                <c:pt idx="15">
                  <c:v>-1.0906880452505425</c:v>
                </c:pt>
                <c:pt idx="16">
                  <c:v>-1.0873286558169113</c:v>
                </c:pt>
                <c:pt idx="17">
                  <c:v>-1.0806603595384336</c:v>
                </c:pt>
                <c:pt idx="18">
                  <c:v>-1.073253341728579</c:v>
                </c:pt>
                <c:pt idx="19">
                  <c:v>-1.0585829191362253</c:v>
                </c:pt>
                <c:pt idx="20">
                  <c:v>-1.0311812391771458</c:v>
                </c:pt>
                <c:pt idx="21">
                  <c:v>-1.017783684655639</c:v>
                </c:pt>
                <c:pt idx="22">
                  <c:v>-1.0086924028234061</c:v>
                </c:pt>
                <c:pt idx="23">
                  <c:v>-1.0040832492836378</c:v>
                </c:pt>
                <c:pt idx="24">
                  <c:v>-1.0027205807139903</c:v>
                </c:pt>
                <c:pt idx="25">
                  <c:v>-0.99100337065277877</c:v>
                </c:pt>
                <c:pt idx="26">
                  <c:v>-0.98075892220822869</c:v>
                </c:pt>
                <c:pt idx="27">
                  <c:v>-0.97309683269157254</c:v>
                </c:pt>
                <c:pt idx="28">
                  <c:v>-0.96681661103850347</c:v>
                </c:pt>
                <c:pt idx="29">
                  <c:v>-0.96272944616187983</c:v>
                </c:pt>
                <c:pt idx="30">
                  <c:v>-0.92281365328892595</c:v>
                </c:pt>
              </c:numCache>
            </c:numRef>
          </c:val>
          <c:smooth val="0"/>
          <c:extLst>
            <c:ext xmlns:c16="http://schemas.microsoft.com/office/drawing/2014/chart" uri="{C3380CC4-5D6E-409C-BE32-E72D297353CC}">
              <c16:uniqueId val="{00000002-FBF2-4D80-B1D5-4326960B11A1}"/>
            </c:ext>
          </c:extLst>
        </c:ser>
        <c:ser>
          <c:idx val="3"/>
          <c:order val="3"/>
          <c:marker>
            <c:symbol val="none"/>
          </c:marker>
          <c:val>
            <c:numRef>
              <c:f>'Quick Check Base Case'!$E$79:$E$109</c:f>
              <c:numCache>
                <c:formatCode>0.00000</c:formatCode>
                <c:ptCount val="31"/>
                <c:pt idx="0">
                  <c:v>-0.15807287288356919</c:v>
                </c:pt>
                <c:pt idx="1">
                  <c:v>-0.24186462823609034</c:v>
                </c:pt>
                <c:pt idx="2">
                  <c:v>-0.28736958243186217</c:v>
                </c:pt>
                <c:pt idx="3">
                  <c:v>-0.3561917299256635</c:v>
                </c:pt>
                <c:pt idx="4">
                  <c:v>-0.42178196105352633</c:v>
                </c:pt>
                <c:pt idx="5">
                  <c:v>-0.48140621577792775</c:v>
                </c:pt>
                <c:pt idx="6">
                  <c:v>-0.51954105886845992</c:v>
                </c:pt>
                <c:pt idx="7">
                  <c:v>-0.54831890770936309</c:v>
                </c:pt>
                <c:pt idx="8">
                  <c:v>-0.56478931330635862</c:v>
                </c:pt>
                <c:pt idx="9">
                  <c:v>-0.57287418588588745</c:v>
                </c:pt>
                <c:pt idx="10">
                  <c:v>-0.56058266656327016</c:v>
                </c:pt>
                <c:pt idx="11">
                  <c:v>-0.57236931185422546</c:v>
                </c:pt>
                <c:pt idx="12">
                  <c:v>-0.5654288000384976</c:v>
                </c:pt>
                <c:pt idx="13">
                  <c:v>-0.5437022278023923</c:v>
                </c:pt>
                <c:pt idx="14">
                  <c:v>-0.56304106196406656</c:v>
                </c:pt>
                <c:pt idx="15">
                  <c:v>-0.58613445301429101</c:v>
                </c:pt>
                <c:pt idx="16">
                  <c:v>-0.59500875962521815</c:v>
                </c:pt>
                <c:pt idx="17">
                  <c:v>-0.59452781712238989</c:v>
                </c:pt>
                <c:pt idx="18">
                  <c:v>-0.58955933078356271</c:v>
                </c:pt>
                <c:pt idx="19">
                  <c:v>-0.58197484312865011</c:v>
                </c:pt>
                <c:pt idx="20">
                  <c:v>-0.57952057907165044</c:v>
                </c:pt>
                <c:pt idx="21">
                  <c:v>-0.58020439669316193</c:v>
                </c:pt>
                <c:pt idx="22">
                  <c:v>-0.58490863239687341</c:v>
                </c:pt>
                <c:pt idx="23">
                  <c:v>-0.59751905156362117</c:v>
                </c:pt>
                <c:pt idx="24">
                  <c:v>-0.6189247350272199</c:v>
                </c:pt>
                <c:pt idx="25">
                  <c:v>-0.64403109230799438</c:v>
                </c:pt>
                <c:pt idx="26">
                  <c:v>-0.67772053633995322</c:v>
                </c:pt>
                <c:pt idx="27">
                  <c:v>-0.71689163363453257</c:v>
                </c:pt>
                <c:pt idx="28">
                  <c:v>-0.76044591582922394</c:v>
                </c:pt>
                <c:pt idx="29">
                  <c:v>-0.80728784105843077</c:v>
                </c:pt>
                <c:pt idx="30">
                  <c:v>-0.54906647139659781</c:v>
                </c:pt>
              </c:numCache>
            </c:numRef>
          </c:val>
          <c:smooth val="0"/>
          <c:extLst>
            <c:ext xmlns:c16="http://schemas.microsoft.com/office/drawing/2014/chart" uri="{C3380CC4-5D6E-409C-BE32-E72D297353CC}">
              <c16:uniqueId val="{00000003-FBF2-4D80-B1D5-4326960B11A1}"/>
            </c:ext>
          </c:extLst>
        </c:ser>
        <c:ser>
          <c:idx val="4"/>
          <c:order val="4"/>
          <c:marker>
            <c:symbol val="none"/>
          </c:marker>
          <c:val>
            <c:numRef>
              <c:f>'Quick Check Base Case'!$F$79:$F$109</c:f>
              <c:numCache>
                <c:formatCode>0.00000</c:formatCode>
                <c:ptCount val="31"/>
                <c:pt idx="0">
                  <c:v>1.1872448071752237</c:v>
                </c:pt>
                <c:pt idx="1">
                  <c:v>1.016618948941959</c:v>
                </c:pt>
                <c:pt idx="2">
                  <c:v>0.86376463499797196</c:v>
                </c:pt>
                <c:pt idx="3">
                  <c:v>0.72408589610213769</c:v>
                </c:pt>
                <c:pt idx="4">
                  <c:v>0.5951508845795439</c:v>
                </c:pt>
                <c:pt idx="5">
                  <c:v>0.46769644662191512</c:v>
                </c:pt>
                <c:pt idx="6">
                  <c:v>0.34334435719161438</c:v>
                </c:pt>
                <c:pt idx="7">
                  <c:v>0.22037362142648198</c:v>
                </c:pt>
                <c:pt idx="8">
                  <c:v>0.10231102340037102</c:v>
                </c:pt>
                <c:pt idx="9">
                  <c:v>3.9343778962881437E-3</c:v>
                </c:pt>
                <c:pt idx="10">
                  <c:v>-7.973016399987487E-2</c:v>
                </c:pt>
                <c:pt idx="11">
                  <c:v>-0.15278811105859536</c:v>
                </c:pt>
                <c:pt idx="12">
                  <c:v>-0.21376927534585866</c:v>
                </c:pt>
                <c:pt idx="13">
                  <c:v>-0.26112511193213006</c:v>
                </c:pt>
                <c:pt idx="14">
                  <c:v>-0.29584651366619896</c:v>
                </c:pt>
                <c:pt idx="15">
                  <c:v>-0.33376878368887342</c:v>
                </c:pt>
                <c:pt idx="16">
                  <c:v>-0.36003899918364901</c:v>
                </c:pt>
                <c:pt idx="17">
                  <c:v>-0.37664864097453865</c:v>
                </c:pt>
                <c:pt idx="18">
                  <c:v>-0.38158934051557525</c:v>
                </c:pt>
                <c:pt idx="19">
                  <c:v>-0.37585294655532975</c:v>
                </c:pt>
                <c:pt idx="20">
                  <c:v>-0.38057752702669223</c:v>
                </c:pt>
                <c:pt idx="21">
                  <c:v>-0.38060911808138886</c:v>
                </c:pt>
                <c:pt idx="22">
                  <c:v>-0.379939968956299</c:v>
                </c:pt>
                <c:pt idx="23">
                  <c:v>-0.38256253398290996</c:v>
                </c:pt>
                <c:pt idx="24">
                  <c:v>-0.39046939981839301</c:v>
                </c:pt>
                <c:pt idx="25">
                  <c:v>-0.40812436076359404</c:v>
                </c:pt>
                <c:pt idx="26">
                  <c:v>-0.43204932107978866</c:v>
                </c:pt>
                <c:pt idx="27">
                  <c:v>-0.46023736379806879</c:v>
                </c:pt>
                <c:pt idx="28">
                  <c:v>-0.49268164652576019</c:v>
                </c:pt>
                <c:pt idx="29">
                  <c:v>-0.52637553846892615</c:v>
                </c:pt>
                <c:pt idx="30">
                  <c:v>-5.1341988902964604E-2</c:v>
                </c:pt>
              </c:numCache>
            </c:numRef>
          </c:val>
          <c:smooth val="0"/>
          <c:extLst>
            <c:ext xmlns:c16="http://schemas.microsoft.com/office/drawing/2014/chart" uri="{C3380CC4-5D6E-409C-BE32-E72D297353CC}">
              <c16:uniqueId val="{00000004-FBF2-4D80-B1D5-4326960B11A1}"/>
            </c:ext>
          </c:extLst>
        </c:ser>
        <c:ser>
          <c:idx val="5"/>
          <c:order val="5"/>
          <c:marker>
            <c:symbol val="none"/>
          </c:marker>
          <c:val>
            <c:numRef>
              <c:f>'Quick Check Base Case'!$G$79:$G$109</c:f>
              <c:numCache>
                <c:formatCode>0.00000</c:formatCode>
                <c:ptCount val="31"/>
                <c:pt idx="0">
                  <c:v>-0.17873983914076175</c:v>
                </c:pt>
                <c:pt idx="1">
                  <c:v>-0.20770835674379307</c:v>
                </c:pt>
                <c:pt idx="2">
                  <c:v>-0.22593487963420988</c:v>
                </c:pt>
                <c:pt idx="3">
                  <c:v>-0.2479428957855859</c:v>
                </c:pt>
                <c:pt idx="4">
                  <c:v>-0.27211059656547004</c:v>
                </c:pt>
                <c:pt idx="5">
                  <c:v>-0.29502535120539231</c:v>
                </c:pt>
                <c:pt idx="6">
                  <c:v>-0.31809224738916531</c:v>
                </c:pt>
                <c:pt idx="7">
                  <c:v>-0.34231157047810978</c:v>
                </c:pt>
                <c:pt idx="8">
                  <c:v>-0.36574608793886132</c:v>
                </c:pt>
                <c:pt idx="9">
                  <c:v>-0.38984479259832866</c:v>
                </c:pt>
                <c:pt idx="10">
                  <c:v>-0.41884899418003274</c:v>
                </c:pt>
                <c:pt idx="11">
                  <c:v>-0.45101487578057203</c:v>
                </c:pt>
                <c:pt idx="12">
                  <c:v>-0.48934521794030006</c:v>
                </c:pt>
                <c:pt idx="13">
                  <c:v>-0.5262894611894452</c:v>
                </c:pt>
                <c:pt idx="14">
                  <c:v>-0.56038721893919718</c:v>
                </c:pt>
                <c:pt idx="15">
                  <c:v>-0.61213430185149909</c:v>
                </c:pt>
                <c:pt idx="16">
                  <c:v>-0.64332514140941433</c:v>
                </c:pt>
                <c:pt idx="17">
                  <c:v>-0.66990544049830358</c:v>
                </c:pt>
                <c:pt idx="18">
                  <c:v>-0.7106568715285575</c:v>
                </c:pt>
                <c:pt idx="19">
                  <c:v>-0.71630235691883348</c:v>
                </c:pt>
                <c:pt idx="20">
                  <c:v>-0.74129463819756181</c:v>
                </c:pt>
                <c:pt idx="21">
                  <c:v>-0.76127420480965946</c:v>
                </c:pt>
                <c:pt idx="22">
                  <c:v>-0.77733722222233825</c:v>
                </c:pt>
                <c:pt idx="23">
                  <c:v>-0.7875652352774325</c:v>
                </c:pt>
                <c:pt idx="24">
                  <c:v>-0.79402742372376012</c:v>
                </c:pt>
                <c:pt idx="25">
                  <c:v>-0.80082899710580246</c:v>
                </c:pt>
                <c:pt idx="26">
                  <c:v>-0.80597362697750485</c:v>
                </c:pt>
                <c:pt idx="27">
                  <c:v>-0.81150391574271619</c:v>
                </c:pt>
                <c:pt idx="28">
                  <c:v>-0.81845612685743041</c:v>
                </c:pt>
                <c:pt idx="29">
                  <c:v>-0.83086112822228286</c:v>
                </c:pt>
                <c:pt idx="30">
                  <c:v>-0.55235963389507725</c:v>
                </c:pt>
              </c:numCache>
            </c:numRef>
          </c:val>
          <c:smooth val="0"/>
          <c:extLst>
            <c:ext xmlns:c16="http://schemas.microsoft.com/office/drawing/2014/chart" uri="{C3380CC4-5D6E-409C-BE32-E72D297353CC}">
              <c16:uniqueId val="{00000005-FBF2-4D80-B1D5-4326960B11A1}"/>
            </c:ext>
          </c:extLst>
        </c:ser>
        <c:ser>
          <c:idx val="6"/>
          <c:order val="6"/>
          <c:marker>
            <c:symbol val="none"/>
          </c:marker>
          <c:val>
            <c:numRef>
              <c:f>'Quick Check Base Case'!$H$79:$H$109</c:f>
              <c:numCache>
                <c:formatCode>0.00000</c:formatCode>
                <c:ptCount val="31"/>
                <c:pt idx="0">
                  <c:v>-1.0307543547932305</c:v>
                </c:pt>
                <c:pt idx="1">
                  <c:v>-1.0373194562269719</c:v>
                </c:pt>
                <c:pt idx="2">
                  <c:v>-1.0668938228766027</c:v>
                </c:pt>
                <c:pt idx="3">
                  <c:v>-1.1077773559386279</c:v>
                </c:pt>
                <c:pt idx="4">
                  <c:v>-1.1919394384995172</c:v>
                </c:pt>
                <c:pt idx="5">
                  <c:v>-1.2172701834905117</c:v>
                </c:pt>
                <c:pt idx="6">
                  <c:v>-1.2618019030714662</c:v>
                </c:pt>
                <c:pt idx="7">
                  <c:v>-1.2808175692105941</c:v>
                </c:pt>
                <c:pt idx="8">
                  <c:v>-1.3156322138356225</c:v>
                </c:pt>
                <c:pt idx="9">
                  <c:v>-1.3388137979158441</c:v>
                </c:pt>
                <c:pt idx="10">
                  <c:v>-1.3428188294679932</c:v>
                </c:pt>
                <c:pt idx="11">
                  <c:v>-1.3403090553578396</c:v>
                </c:pt>
                <c:pt idx="12">
                  <c:v>-1.3470515475627893</c:v>
                </c:pt>
                <c:pt idx="13">
                  <c:v>-1.3527393136419654</c:v>
                </c:pt>
                <c:pt idx="14">
                  <c:v>-1.3531459901259324</c:v>
                </c:pt>
                <c:pt idx="15">
                  <c:v>-1.365183028840304</c:v>
                </c:pt>
                <c:pt idx="16">
                  <c:v>-1.3715855442354909</c:v>
                </c:pt>
                <c:pt idx="17">
                  <c:v>-1.3752192775824694</c:v>
                </c:pt>
                <c:pt idx="18">
                  <c:v>-1.3759723920637659</c:v>
                </c:pt>
                <c:pt idx="19">
                  <c:v>-1.3757514459748723</c:v>
                </c:pt>
                <c:pt idx="20">
                  <c:v>-1.3837938460227863</c:v>
                </c:pt>
                <c:pt idx="21">
                  <c:v>-1.3887173018732826</c:v>
                </c:pt>
                <c:pt idx="22">
                  <c:v>-1.3894652537796524</c:v>
                </c:pt>
                <c:pt idx="23">
                  <c:v>-1.3849891196109771</c:v>
                </c:pt>
                <c:pt idx="24">
                  <c:v>-1.3742468319606989</c:v>
                </c:pt>
                <c:pt idx="25">
                  <c:v>-1.3682633053928126</c:v>
                </c:pt>
                <c:pt idx="26">
                  <c:v>-1.3589445811200958</c:v>
                </c:pt>
                <c:pt idx="27">
                  <c:v>-1.3502620022515766</c:v>
                </c:pt>
                <c:pt idx="28">
                  <c:v>-1.3421899707573828</c:v>
                </c:pt>
                <c:pt idx="29">
                  <c:v>-1.3387054496164001</c:v>
                </c:pt>
                <c:pt idx="30">
                  <c:v>-1.3042791394366025</c:v>
                </c:pt>
              </c:numCache>
            </c:numRef>
          </c:val>
          <c:smooth val="0"/>
          <c:extLst>
            <c:ext xmlns:c16="http://schemas.microsoft.com/office/drawing/2014/chart" uri="{C3380CC4-5D6E-409C-BE32-E72D297353CC}">
              <c16:uniqueId val="{00000006-FBF2-4D80-B1D5-4326960B11A1}"/>
            </c:ext>
          </c:extLst>
        </c:ser>
        <c:ser>
          <c:idx val="7"/>
          <c:order val="7"/>
          <c:marker>
            <c:symbol val="none"/>
          </c:marker>
          <c:val>
            <c:numRef>
              <c:f>'Quick Check Base Case'!$I$79:$I$109</c:f>
              <c:numCache>
                <c:formatCode>0.00000</c:formatCode>
                <c:ptCount val="31"/>
                <c:pt idx="0">
                  <c:v>-1.1237909712555485</c:v>
                </c:pt>
                <c:pt idx="1">
                  <c:v>-1.2755236836775565</c:v>
                </c:pt>
                <c:pt idx="2">
                  <c:v>-1.4103113529918483</c:v>
                </c:pt>
                <c:pt idx="3">
                  <c:v>-1.5334499754516027</c:v>
                </c:pt>
                <c:pt idx="4">
                  <c:v>-1.6293711386330734</c:v>
                </c:pt>
                <c:pt idx="5">
                  <c:v>-1.6947139360109893</c:v>
                </c:pt>
                <c:pt idx="6">
                  <c:v>-1.7355624824124312</c:v>
                </c:pt>
                <c:pt idx="7">
                  <c:v>-1.7600981802060822</c:v>
                </c:pt>
                <c:pt idx="8">
                  <c:v>-1.7713148938369199</c:v>
                </c:pt>
                <c:pt idx="9">
                  <c:v>-1.7739149719484488</c:v>
                </c:pt>
                <c:pt idx="10">
                  <c:v>-1.7655676938446061</c:v>
                </c:pt>
                <c:pt idx="11">
                  <c:v>-1.7804868120880708</c:v>
                </c:pt>
                <c:pt idx="12">
                  <c:v>-1.7869143182609148</c:v>
                </c:pt>
                <c:pt idx="13">
                  <c:v>-1.793241351706111</c:v>
                </c:pt>
                <c:pt idx="14">
                  <c:v>-1.7934536869322204</c:v>
                </c:pt>
                <c:pt idx="15">
                  <c:v>-1.8050509714473222</c:v>
                </c:pt>
                <c:pt idx="16">
                  <c:v>-1.8082483819519442</c:v>
                </c:pt>
                <c:pt idx="17">
                  <c:v>-1.8008138757197583</c:v>
                </c:pt>
                <c:pt idx="18">
                  <c:v>-1.7850701577360919</c:v>
                </c:pt>
                <c:pt idx="19">
                  <c:v>-1.7597185852970667</c:v>
                </c:pt>
                <c:pt idx="20">
                  <c:v>-1.7665847325815434</c:v>
                </c:pt>
                <c:pt idx="21">
                  <c:v>-1.7669318630469091</c:v>
                </c:pt>
                <c:pt idx="22">
                  <c:v>-1.7590027979710703</c:v>
                </c:pt>
                <c:pt idx="23">
                  <c:v>-1.7451107037263514</c:v>
                </c:pt>
                <c:pt idx="24">
                  <c:v>-1.7246092190770685</c:v>
                </c:pt>
                <c:pt idx="25">
                  <c:v>-1.7280736293591126</c:v>
                </c:pt>
                <c:pt idx="26">
                  <c:v>-1.7266798954838478</c:v>
                </c:pt>
                <c:pt idx="27">
                  <c:v>-1.7208005399296722</c:v>
                </c:pt>
                <c:pt idx="28">
                  <c:v>-1.7107960803862641</c:v>
                </c:pt>
                <c:pt idx="29">
                  <c:v>-1.6980099521783139</c:v>
                </c:pt>
                <c:pt idx="30">
                  <c:v>-1.6977738945049585</c:v>
                </c:pt>
              </c:numCache>
            </c:numRef>
          </c:val>
          <c:smooth val="0"/>
          <c:extLst>
            <c:ext xmlns:c16="http://schemas.microsoft.com/office/drawing/2014/chart" uri="{C3380CC4-5D6E-409C-BE32-E72D297353CC}">
              <c16:uniqueId val="{00000007-FBF2-4D80-B1D5-4326960B11A1}"/>
            </c:ext>
          </c:extLst>
        </c:ser>
        <c:dLbls>
          <c:showLegendKey val="0"/>
          <c:showVal val="0"/>
          <c:showCatName val="0"/>
          <c:showSerName val="0"/>
          <c:showPercent val="0"/>
          <c:showBubbleSize val="0"/>
        </c:dLbls>
        <c:smooth val="0"/>
        <c:axId val="70274432"/>
        <c:axId val="70288512"/>
      </c:lineChart>
      <c:catAx>
        <c:axId val="70274432"/>
        <c:scaling>
          <c:orientation val="minMax"/>
        </c:scaling>
        <c:delete val="0"/>
        <c:axPos val="b"/>
        <c:majorTickMark val="out"/>
        <c:minorTickMark val="none"/>
        <c:tickLblPos val="nextTo"/>
        <c:crossAx val="70288512"/>
        <c:crosses val="autoZero"/>
        <c:auto val="1"/>
        <c:lblAlgn val="ctr"/>
        <c:lblOffset val="100"/>
        <c:noMultiLvlLbl val="0"/>
      </c:catAx>
      <c:valAx>
        <c:axId val="70288512"/>
        <c:scaling>
          <c:orientation val="minMax"/>
        </c:scaling>
        <c:delete val="0"/>
        <c:axPos val="l"/>
        <c:majorGridlines/>
        <c:numFmt formatCode="0.00000" sourceLinked="1"/>
        <c:majorTickMark val="out"/>
        <c:minorTickMark val="none"/>
        <c:tickLblPos val="nextTo"/>
        <c:crossAx val="7027443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'Quick Check'!$M$4</c:f>
              <c:strCache>
                <c:ptCount val="1"/>
                <c:pt idx="0">
                  <c:v>US BMA Swap</c:v>
                </c:pt>
              </c:strCache>
            </c:strRef>
          </c:tx>
          <c:marker>
            <c:symbol val="none"/>
          </c:marker>
          <c:val>
            <c:numRef>
              <c:f>'Quick Check'!$M$5:$M$34</c:f>
              <c:numCache>
                <c:formatCode>0.00</c:formatCode>
                <c:ptCount val="30"/>
                <c:pt idx="0">
                  <c:v>1.9529295053712461</c:v>
                </c:pt>
                <c:pt idx="1">
                  <c:v>1.7406770945633809</c:v>
                </c:pt>
                <c:pt idx="2">
                  <c:v>1.6757410720336541</c:v>
                </c:pt>
                <c:pt idx="3">
                  <c:v>1.6679573407552439</c:v>
                </c:pt>
                <c:pt idx="4">
                  <c:v>1.6905057495559594</c:v>
                </c:pt>
                <c:pt idx="5">
                  <c:v>1.7299256329449619</c:v>
                </c:pt>
                <c:pt idx="6">
                  <c:v>1.771971083731505</c:v>
                </c:pt>
                <c:pt idx="7">
                  <c:v>1.8176386163717861</c:v>
                </c:pt>
                <c:pt idx="8">
                  <c:v>1.861904203992748</c:v>
                </c:pt>
                <c:pt idx="9">
                  <c:v>1.905003642683667</c:v>
                </c:pt>
                <c:pt idx="10">
                  <c:v>1.9478458271875443</c:v>
                </c:pt>
                <c:pt idx="11">
                  <c:v>1.983923839707602</c:v>
                </c:pt>
                <c:pt idx="12">
                  <c:v>2.0149519056825937</c:v>
                </c:pt>
                <c:pt idx="13">
                  <c:v>2.0428212208356555</c:v>
                </c:pt>
                <c:pt idx="14">
                  <c:v>2.0656691352857859</c:v>
                </c:pt>
                <c:pt idx="15">
                  <c:v>2.0870131741579812</c:v>
                </c:pt>
                <c:pt idx="16">
                  <c:v>2.1053405114989987</c:v>
                </c:pt>
                <c:pt idx="17">
                  <c:v>2.1194596319977776</c:v>
                </c:pt>
                <c:pt idx="18">
                  <c:v>2.1316717445716726</c:v>
                </c:pt>
                <c:pt idx="19">
                  <c:v>2.1425668316977564</c:v>
                </c:pt>
                <c:pt idx="20">
                  <c:v>2.149451104200284</c:v>
                </c:pt>
                <c:pt idx="21">
                  <c:v>2.1556897790143026</c:v>
                </c:pt>
                <c:pt idx="22">
                  <c:v>2.1612297827703131</c:v>
                </c:pt>
                <c:pt idx="23">
                  <c:v>2.1660282562339095</c:v>
                </c:pt>
                <c:pt idx="24">
                  <c:v>2.170051217063973</c:v>
                </c:pt>
                <c:pt idx="25">
                  <c:v>2.1732933159478218</c:v>
                </c:pt>
                <c:pt idx="26">
                  <c:v>2.1757147404315669</c:v>
                </c:pt>
                <c:pt idx="27">
                  <c:v>2.1773023832715843</c:v>
                </c:pt>
                <c:pt idx="28">
                  <c:v>2.1780484432521341</c:v>
                </c:pt>
                <c:pt idx="29">
                  <c:v>2.1779498739273428</c:v>
                </c:pt>
              </c:numCache>
            </c:numRef>
          </c:val>
          <c:smooth val="0"/>
          <c:extLst>
            <c:ext xmlns:c16="http://schemas.microsoft.com/office/drawing/2014/chart" uri="{C3380CC4-5D6E-409C-BE32-E72D297353CC}">
              <c16:uniqueId val="{00000000-8563-49B7-880E-FA33BA6AA188}"/>
            </c:ext>
          </c:extLst>
        </c:ser>
        <c:ser>
          <c:idx val="1"/>
          <c:order val="1"/>
          <c:tx>
            <c:strRef>
              <c:f>'Quick Check'!$W$4</c:f>
              <c:strCache>
                <c:ptCount val="1"/>
                <c:pt idx="0">
                  <c:v>US Observed Swap</c:v>
                </c:pt>
              </c:strCache>
            </c:strRef>
          </c:tx>
          <c:marker>
            <c:symbol val="none"/>
          </c:marker>
          <c:val>
            <c:numRef>
              <c:f>'Quick Check'!$W$5:$W$34</c:f>
              <c:numCache>
                <c:formatCode>#,##0.00</c:formatCode>
                <c:ptCount val="30"/>
                <c:pt idx="0">
                  <c:v>2.0529295156249905</c:v>
                </c:pt>
                <c:pt idx="1">
                  <c:v>1.8426107241000134</c:v>
                </c:pt>
                <c:pt idx="2">
                  <c:v>1.7781349052250039</c:v>
                </c:pt>
                <c:pt idx="3">
                  <c:v>1.7699633720999808</c:v>
                </c:pt>
                <c:pt idx="4">
                  <c:v>1.7913512889000227</c:v>
                </c:pt>
                <c:pt idx="5">
                  <c:v>1.8288864609000255</c:v>
                </c:pt>
                <c:pt idx="6">
                  <c:v>1.8687499300249932</c:v>
                </c:pt>
                <c:pt idx="7">
                  <c:v>1.9117506682249985</c:v>
                </c:pt>
                <c:pt idx="8">
                  <c:v>1.9531449242250032</c:v>
                </c:pt>
                <c:pt idx="9">
                  <c:v>1.9931336972250246</c:v>
                </c:pt>
                <c:pt idx="10">
                  <c:v>2.0325242432250201</c:v>
                </c:pt>
                <c:pt idx="11">
                  <c:v>2.0655575624999978</c:v>
                </c:pt>
                <c:pt idx="12">
                  <c:v>2.0938472225000115</c:v>
                </c:pt>
                <c:pt idx="13">
                  <c:v>2.1191091599999989</c:v>
                </c:pt>
                <c:pt idx="14">
                  <c:v>2.1398262806249679</c:v>
                </c:pt>
                <c:pt idx="15">
                  <c:v>2.1590293906250224</c:v>
                </c:pt>
                <c:pt idx="16">
                  <c:v>2.1755050760999817</c:v>
                </c:pt>
                <c:pt idx="17">
                  <c:v>2.1883428806249716</c:v>
                </c:pt>
                <c:pt idx="18">
                  <c:v>2.1994628906250036</c:v>
                </c:pt>
                <c:pt idx="19">
                  <c:v>2.2093703182250124</c:v>
                </c:pt>
                <c:pt idx="20">
                  <c:v>2.2146679561289906</c:v>
                </c:pt>
                <c:pt idx="21">
                  <c:v>2.2199657313209942</c:v>
                </c:pt>
                <c:pt idx="22">
                  <c:v>2.2252636438009787</c:v>
                </c:pt>
                <c:pt idx="23">
                  <c:v>2.2305616935689887</c:v>
                </c:pt>
                <c:pt idx="24">
                  <c:v>2.2358598806249796</c:v>
                </c:pt>
                <c:pt idx="25">
                  <c:v>2.2378416805290069</c:v>
                </c:pt>
                <c:pt idx="26">
                  <c:v>2.2398234996410027</c:v>
                </c:pt>
                <c:pt idx="27">
                  <c:v>2.2418053379609892</c:v>
                </c:pt>
                <c:pt idx="28">
                  <c:v>2.2437871954889888</c:v>
                </c:pt>
                <c:pt idx="29">
                  <c:v>2.2457690722250234</c:v>
                </c:pt>
              </c:numCache>
            </c:numRef>
          </c:val>
          <c:smooth val="0"/>
          <c:extLst>
            <c:ext xmlns:c16="http://schemas.microsoft.com/office/drawing/2014/chart" uri="{C3380CC4-5D6E-409C-BE32-E72D297353CC}">
              <c16:uniqueId val="{00000001-8563-49B7-880E-FA33BA6AA188}"/>
            </c:ext>
          </c:extLst>
        </c:ser>
        <c:dLbls>
          <c:showLegendKey val="0"/>
          <c:showVal val="0"/>
          <c:showCatName val="0"/>
          <c:showSerName val="0"/>
          <c:showPercent val="0"/>
          <c:showBubbleSize val="0"/>
        </c:dLbls>
        <c:smooth val="0"/>
        <c:axId val="71612672"/>
        <c:axId val="71614464"/>
      </c:lineChart>
      <c:catAx>
        <c:axId val="71612672"/>
        <c:scaling>
          <c:orientation val="minMax"/>
        </c:scaling>
        <c:delete val="0"/>
        <c:axPos val="b"/>
        <c:majorTickMark val="out"/>
        <c:minorTickMark val="none"/>
        <c:tickLblPos val="nextTo"/>
        <c:crossAx val="71614464"/>
        <c:crosses val="autoZero"/>
        <c:auto val="1"/>
        <c:lblAlgn val="ctr"/>
        <c:lblOffset val="100"/>
        <c:noMultiLvlLbl val="0"/>
      </c:catAx>
      <c:valAx>
        <c:axId val="71614464"/>
        <c:scaling>
          <c:orientation val="minMax"/>
        </c:scaling>
        <c:delete val="0"/>
        <c:axPos val="l"/>
        <c:majorGridlines/>
        <c:numFmt formatCode="0.00" sourceLinked="1"/>
        <c:majorTickMark val="out"/>
        <c:minorTickMark val="none"/>
        <c:tickLblPos val="nextTo"/>
        <c:crossAx val="71612672"/>
        <c:crosses val="autoZero"/>
        <c:crossBetween val="between"/>
      </c:valAx>
    </c:plotArea>
    <c:legend>
      <c:legendPos val="b"/>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'Quick Check'!$N$4</c:f>
              <c:strCache>
                <c:ptCount val="1"/>
                <c:pt idx="0">
                  <c:v>Euro BMA Swap</c:v>
                </c:pt>
              </c:strCache>
            </c:strRef>
          </c:tx>
          <c:marker>
            <c:symbol val="none"/>
          </c:marker>
          <c:val>
            <c:numRef>
              <c:f>'Quick Check'!$N$5:$N$34</c:f>
              <c:numCache>
                <c:formatCode>0.00</c:formatCode>
                <c:ptCount val="30"/>
                <c:pt idx="0">
                  <c:v>-0.56156615483697903</c:v>
                </c:pt>
                <c:pt idx="1">
                  <c:v>-0.5826650116399601</c:v>
                </c:pt>
                <c:pt idx="2">
                  <c:v>-0.55696263948672442</c:v>
                </c:pt>
                <c:pt idx="3">
                  <c:v>-0.50585726148822951</c:v>
                </c:pt>
                <c:pt idx="4">
                  <c:v>-0.43633127396568439</c:v>
                </c:pt>
                <c:pt idx="5">
                  <c:v>-0.35610368822719396</c:v>
                </c:pt>
                <c:pt idx="6">
                  <c:v>-0.27201678563585352</c:v>
                </c:pt>
                <c:pt idx="7">
                  <c:v>-0.1835615217559039</c:v>
                </c:pt>
                <c:pt idx="8">
                  <c:v>-9.5451152369185888E-2</c:v>
                </c:pt>
                <c:pt idx="9">
                  <c:v>-1.0883648552839631E-2</c:v>
                </c:pt>
                <c:pt idx="10">
                  <c:v>6.9822589334456175E-2</c:v>
                </c:pt>
                <c:pt idx="11">
                  <c:v>0.14591780977066815</c:v>
                </c:pt>
                <c:pt idx="12">
                  <c:v>0.22079495247453451</c:v>
                </c:pt>
                <c:pt idx="13">
                  <c:v>0.28046646621078253</c:v>
                </c:pt>
                <c:pt idx="14">
                  <c:v>0.33811121247708797</c:v>
                </c:pt>
                <c:pt idx="15">
                  <c:v>0.38857781328260899</c:v>
                </c:pt>
                <c:pt idx="16">
                  <c:v>0.43292739493949739</c:v>
                </c:pt>
                <c:pt idx="17">
                  <c:v>0.47051414337688779</c:v>
                </c:pt>
                <c:pt idx="18">
                  <c:v>0.50232568603902905</c:v>
                </c:pt>
                <c:pt idx="19">
                  <c:v>0.52706448661847816</c:v>
                </c:pt>
                <c:pt idx="20">
                  <c:v>0.55062962947671767</c:v>
                </c:pt>
                <c:pt idx="21">
                  <c:v>0.57177981375742259</c:v>
                </c:pt>
                <c:pt idx="22">
                  <c:v>0.58531823289627027</c:v>
                </c:pt>
                <c:pt idx="23">
                  <c:v>0.5955712556245274</c:v>
                </c:pt>
                <c:pt idx="24">
                  <c:v>0.60013417476174613</c:v>
                </c:pt>
                <c:pt idx="25">
                  <c:v>0.61067755743653418</c:v>
                </c:pt>
                <c:pt idx="26">
                  <c:v>0.61547358806250951</c:v>
                </c:pt>
                <c:pt idx="27">
                  <c:v>0.61918622781582666</c:v>
                </c:pt>
                <c:pt idx="28">
                  <c:v>0.62180637798847638</c:v>
                </c:pt>
                <c:pt idx="29">
                  <c:v>0.61767922837796529</c:v>
                </c:pt>
              </c:numCache>
            </c:numRef>
          </c:val>
          <c:smooth val="0"/>
          <c:extLst>
            <c:ext xmlns:c16="http://schemas.microsoft.com/office/drawing/2014/chart" uri="{C3380CC4-5D6E-409C-BE32-E72D297353CC}">
              <c16:uniqueId val="{00000000-E119-4861-B892-C045F4006790}"/>
            </c:ext>
          </c:extLst>
        </c:ser>
        <c:ser>
          <c:idx val="1"/>
          <c:order val="1"/>
          <c:tx>
            <c:strRef>
              <c:f>'Quick Check'!$X$4</c:f>
              <c:strCache>
                <c:ptCount val="1"/>
                <c:pt idx="0">
                  <c:v>Euro Observed Swap</c:v>
                </c:pt>
              </c:strCache>
            </c:strRef>
          </c:tx>
          <c:marker>
            <c:symbol val="none"/>
          </c:marker>
          <c:val>
            <c:numRef>
              <c:f>'Quick Check'!$X$5:$X$34</c:f>
              <c:numCache>
                <c:formatCode>#,##0.00</c:formatCode>
                <c:ptCount val="30"/>
                <c:pt idx="0">
                  <c:v>-0.46156615897500197</c:v>
                </c:pt>
                <c:pt idx="1">
                  <c:v>-0.48271605277501184</c:v>
                </c:pt>
                <c:pt idx="2">
                  <c:v>-0.45687696310000581</c:v>
                </c:pt>
                <c:pt idx="3">
                  <c:v>-0.40548811297500542</c:v>
                </c:pt>
                <c:pt idx="4">
                  <c:v>-0.33561792797498491</c:v>
                </c:pt>
                <c:pt idx="5">
                  <c:v>-0.25513705477500093</c:v>
                </c:pt>
                <c:pt idx="6">
                  <c:v>-0.1710268119750058</c:v>
                </c:pt>
                <c:pt idx="7">
                  <c:v>-8.2882818974994166E-2</c:v>
                </c:pt>
                <c:pt idx="8">
                  <c:v>4.5000506250003625E-3</c:v>
                </c:pt>
                <c:pt idx="9">
                  <c:v>8.7919316024986927E-2</c:v>
                </c:pt>
                <c:pt idx="10">
                  <c:v>0.16706972249997953</c:v>
                </c:pt>
                <c:pt idx="11">
                  <c:v>0.24124532302498558</c:v>
                </c:pt>
                <c:pt idx="12">
                  <c:v>0.31374570562499038</c:v>
                </c:pt>
                <c:pt idx="13">
                  <c:v>0.37124391702501036</c:v>
                </c:pt>
                <c:pt idx="14">
                  <c:v>0.42645368999998379</c:v>
                </c:pt>
                <c:pt idx="15">
                  <c:v>0.47456168999999715</c:v>
                </c:pt>
                <c:pt idx="16">
                  <c:v>0.51666564000001358</c:v>
                </c:pt>
                <c:pt idx="17">
                  <c:v>0.5522603806249915</c:v>
                </c:pt>
                <c:pt idx="18">
                  <c:v>0.58234535562500245</c:v>
                </c:pt>
                <c:pt idx="19">
                  <c:v>0.60581476002499191</c:v>
                </c:pt>
                <c:pt idx="20">
                  <c:v>0.62808313602498167</c:v>
                </c:pt>
                <c:pt idx="21">
                  <c:v>0.64804652250001205</c:v>
                </c:pt>
                <c:pt idx="22">
                  <c:v>0.66108900000001469</c:v>
                </c:pt>
                <c:pt idx="23">
                  <c:v>0.67112224999998915</c:v>
                </c:pt>
                <c:pt idx="24">
                  <c:v>0.67603872502501883</c:v>
                </c:pt>
                <c:pt idx="25">
                  <c:v>0.6861730625000062</c:v>
                </c:pt>
                <c:pt idx="26">
                  <c:v>0.69119024999999557</c:v>
                </c:pt>
                <c:pt idx="27">
                  <c:v>0.69520409000001226</c:v>
                </c:pt>
                <c:pt idx="28">
                  <c:v>0.69821452249998472</c:v>
                </c:pt>
                <c:pt idx="29">
                  <c:v>0.69530443702499056</c:v>
                </c:pt>
              </c:numCache>
            </c:numRef>
          </c:val>
          <c:smooth val="0"/>
          <c:extLst>
            <c:ext xmlns:c16="http://schemas.microsoft.com/office/drawing/2014/chart" uri="{C3380CC4-5D6E-409C-BE32-E72D297353CC}">
              <c16:uniqueId val="{00000001-E119-4861-B892-C045F4006790}"/>
            </c:ext>
          </c:extLst>
        </c:ser>
        <c:dLbls>
          <c:showLegendKey val="0"/>
          <c:showVal val="0"/>
          <c:showCatName val="0"/>
          <c:showSerName val="0"/>
          <c:showPercent val="0"/>
          <c:showBubbleSize val="0"/>
        </c:dLbls>
        <c:smooth val="0"/>
        <c:axId val="71963008"/>
        <c:axId val="71964544"/>
      </c:lineChart>
      <c:catAx>
        <c:axId val="71963008"/>
        <c:scaling>
          <c:orientation val="minMax"/>
        </c:scaling>
        <c:delete val="0"/>
        <c:axPos val="b"/>
        <c:majorTickMark val="out"/>
        <c:minorTickMark val="none"/>
        <c:tickLblPos val="nextTo"/>
        <c:crossAx val="71964544"/>
        <c:crosses val="autoZero"/>
        <c:auto val="1"/>
        <c:lblAlgn val="ctr"/>
        <c:lblOffset val="100"/>
        <c:noMultiLvlLbl val="0"/>
      </c:catAx>
      <c:valAx>
        <c:axId val="71964544"/>
        <c:scaling>
          <c:orientation val="minMax"/>
        </c:scaling>
        <c:delete val="0"/>
        <c:axPos val="l"/>
        <c:majorGridlines/>
        <c:numFmt formatCode="0.00" sourceLinked="1"/>
        <c:majorTickMark val="out"/>
        <c:minorTickMark val="none"/>
        <c:tickLblPos val="nextTo"/>
        <c:crossAx val="71963008"/>
        <c:crosses val="autoZero"/>
        <c:crossBetween val="between"/>
      </c:valAx>
    </c:plotArea>
    <c:legend>
      <c:legendPos val="b"/>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'Quick Check'!$O$4</c:f>
              <c:strCache>
                <c:ptCount val="1"/>
                <c:pt idx="0">
                  <c:v>UK BMA Swap</c:v>
                </c:pt>
              </c:strCache>
            </c:strRef>
          </c:tx>
          <c:marker>
            <c:symbol val="none"/>
          </c:marker>
          <c:val>
            <c:numRef>
              <c:f>'Quick Check'!$O$5:$O$34</c:f>
              <c:numCache>
                <c:formatCode>0.00</c:formatCode>
                <c:ptCount val="30"/>
                <c:pt idx="0">
                  <c:v>0.71917076632440569</c:v>
                </c:pt>
                <c:pt idx="1">
                  <c:v>0.67577173961772541</c:v>
                </c:pt>
                <c:pt idx="2">
                  <c:v>0.6771021771531105</c:v>
                </c:pt>
                <c:pt idx="3">
                  <c:v>0.69642946586363497</c:v>
                </c:pt>
                <c:pt idx="4">
                  <c:v>0.72508677773559516</c:v>
                </c:pt>
                <c:pt idx="5">
                  <c:v>0.75634903247467911</c:v>
                </c:pt>
                <c:pt idx="6">
                  <c:v>0.78923953407101788</c:v>
                </c:pt>
                <c:pt idx="7">
                  <c:v>0.8223055948443081</c:v>
                </c:pt>
                <c:pt idx="8">
                  <c:v>0.8552710926212459</c:v>
                </c:pt>
                <c:pt idx="9">
                  <c:v>0.88695476633717796</c:v>
                </c:pt>
                <c:pt idx="10">
                  <c:v>0.91716965488757296</c:v>
                </c:pt>
                <c:pt idx="11">
                  <c:v>0.94470297869213571</c:v>
                </c:pt>
                <c:pt idx="12">
                  <c:v>0.96771836840940928</c:v>
                </c:pt>
                <c:pt idx="13">
                  <c:v>0.99006904827734221</c:v>
                </c:pt>
                <c:pt idx="14">
                  <c:v>1.0086290649003349</c:v>
                </c:pt>
                <c:pt idx="15">
                  <c:v>1.0243119547494572</c:v>
                </c:pt>
                <c:pt idx="16">
                  <c:v>1.0376713441830887</c:v>
                </c:pt>
                <c:pt idx="17">
                  <c:v>1.0493396404615662</c:v>
                </c:pt>
                <c:pt idx="18">
                  <c:v>1.059746658271421</c:v>
                </c:pt>
                <c:pt idx="19">
                  <c:v>1.0674170808637751</c:v>
                </c:pt>
                <c:pt idx="20">
                  <c:v>1.0858187608228542</c:v>
                </c:pt>
                <c:pt idx="21">
                  <c:v>1.0902163153443611</c:v>
                </c:pt>
                <c:pt idx="22">
                  <c:v>1.091307597176594</c:v>
                </c:pt>
                <c:pt idx="23">
                  <c:v>1.0889167507163622</c:v>
                </c:pt>
                <c:pt idx="24">
                  <c:v>1.0832794192860096</c:v>
                </c:pt>
                <c:pt idx="25">
                  <c:v>1.087996629347221</c:v>
                </c:pt>
                <c:pt idx="26">
                  <c:v>1.0912410777917714</c:v>
                </c:pt>
                <c:pt idx="27">
                  <c:v>1.0919031673084278</c:v>
                </c:pt>
                <c:pt idx="28">
                  <c:v>1.0901833889614965</c:v>
                </c:pt>
                <c:pt idx="29">
                  <c:v>1.0862705538381201</c:v>
                </c:pt>
              </c:numCache>
            </c:numRef>
          </c:val>
          <c:smooth val="0"/>
          <c:extLst>
            <c:ext xmlns:c16="http://schemas.microsoft.com/office/drawing/2014/chart" uri="{C3380CC4-5D6E-409C-BE32-E72D297353CC}">
              <c16:uniqueId val="{00000000-7C5A-460D-8EE1-EF0F1D5642D7}"/>
            </c:ext>
          </c:extLst>
        </c:ser>
        <c:ser>
          <c:idx val="1"/>
          <c:order val="1"/>
          <c:tx>
            <c:strRef>
              <c:f>'Quick Check'!$Y$4</c:f>
              <c:strCache>
                <c:ptCount val="1"/>
                <c:pt idx="0">
                  <c:v>UK Observed Swap</c:v>
                </c:pt>
              </c:strCache>
            </c:strRef>
          </c:tx>
          <c:marker>
            <c:symbol val="none"/>
          </c:marker>
          <c:val>
            <c:numRef>
              <c:f>'Quick Check'!$Y$5:$Y$34</c:f>
              <c:numCache>
                <c:formatCode>#,##0.00</c:formatCode>
                <c:ptCount val="30"/>
                <c:pt idx="0">
                  <c:v>0.81917076562501023</c:v>
                </c:pt>
                <c:pt idx="1">
                  <c:v>0.77593939328399752</c:v>
                </c:pt>
                <c:pt idx="2">
                  <c:v>0.77720427622498534</c:v>
                </c:pt>
                <c:pt idx="3">
                  <c:v>0.79627887022502009</c:v>
                </c:pt>
                <c:pt idx="4">
                  <c:v>0.8244924995999936</c:v>
                </c:pt>
                <c:pt idx="5">
                  <c:v>0.85517051555623613</c:v>
                </c:pt>
                <c:pt idx="6">
                  <c:v>0.88731965582400374</c:v>
                </c:pt>
                <c:pt idx="7">
                  <c:v>0.91950405689997794</c:v>
                </c:pt>
                <c:pt idx="8">
                  <c:v>0.95144240414024583</c:v>
                </c:pt>
                <c:pt idx="9">
                  <c:v>0.98199904040001673</c:v>
                </c:pt>
                <c:pt idx="10">
                  <c:v>1.0110024789289795</c:v>
                </c:pt>
                <c:pt idx="11">
                  <c:v>1.0373262515562365</c:v>
                </c:pt>
                <c:pt idx="12">
                  <c:v>1.0592904806250081</c:v>
                </c:pt>
                <c:pt idx="13">
                  <c:v>1.0805030543999949</c:v>
                </c:pt>
                <c:pt idx="14">
                  <c:v>1.0981081647802649</c:v>
                </c:pt>
                <c:pt idx="15">
                  <c:v>1.1129796950250181</c:v>
                </c:pt>
                <c:pt idx="16">
                  <c:v>1.1256500156250127</c:v>
                </c:pt>
                <c:pt idx="17">
                  <c:v>1.1367120556249777</c:v>
                </c:pt>
                <c:pt idx="18">
                  <c:v>1.1465678372249766</c:v>
                </c:pt>
                <c:pt idx="19">
                  <c:v>1.1539298159609856</c:v>
                </c:pt>
                <c:pt idx="20">
                  <c:v>1.1706260063210072</c:v>
                </c:pt>
                <c:pt idx="21">
                  <c:v>1.1750517335610056</c:v>
                </c:pt>
                <c:pt idx="22">
                  <c:v>1.1735764803921134</c:v>
                </c:pt>
                <c:pt idx="23">
                  <c:v>1.1721012379787732</c:v>
                </c:pt>
                <c:pt idx="24">
                  <c:v>1.1706260063210072</c:v>
                </c:pt>
                <c:pt idx="25">
                  <c:v>1.1750517335610056</c:v>
                </c:pt>
                <c:pt idx="26">
                  <c:v>1.1750517335610056</c:v>
                </c:pt>
                <c:pt idx="27">
                  <c:v>1.1750517335610056</c:v>
                </c:pt>
                <c:pt idx="28">
                  <c:v>1.1750517335610056</c:v>
                </c:pt>
                <c:pt idx="29">
                  <c:v>1.1750517335610056</c:v>
                </c:pt>
              </c:numCache>
            </c:numRef>
          </c:val>
          <c:smooth val="0"/>
          <c:extLst>
            <c:ext xmlns:c16="http://schemas.microsoft.com/office/drawing/2014/chart" uri="{C3380CC4-5D6E-409C-BE32-E72D297353CC}">
              <c16:uniqueId val="{00000001-7C5A-460D-8EE1-EF0F1D5642D7}"/>
            </c:ext>
          </c:extLst>
        </c:ser>
        <c:dLbls>
          <c:showLegendKey val="0"/>
          <c:showVal val="0"/>
          <c:showCatName val="0"/>
          <c:showSerName val="0"/>
          <c:showPercent val="0"/>
          <c:showBubbleSize val="0"/>
        </c:dLbls>
        <c:smooth val="0"/>
        <c:axId val="71989504"/>
        <c:axId val="71991296"/>
      </c:lineChart>
      <c:catAx>
        <c:axId val="71989504"/>
        <c:scaling>
          <c:orientation val="minMax"/>
        </c:scaling>
        <c:delete val="0"/>
        <c:axPos val="b"/>
        <c:majorTickMark val="out"/>
        <c:minorTickMark val="none"/>
        <c:tickLblPos val="nextTo"/>
        <c:crossAx val="71991296"/>
        <c:crosses val="autoZero"/>
        <c:auto val="1"/>
        <c:lblAlgn val="ctr"/>
        <c:lblOffset val="100"/>
        <c:noMultiLvlLbl val="0"/>
      </c:catAx>
      <c:valAx>
        <c:axId val="71991296"/>
        <c:scaling>
          <c:orientation val="minMax"/>
        </c:scaling>
        <c:delete val="0"/>
        <c:axPos val="l"/>
        <c:majorGridlines/>
        <c:numFmt formatCode="0.00" sourceLinked="1"/>
        <c:majorTickMark val="out"/>
        <c:minorTickMark val="none"/>
        <c:tickLblPos val="nextTo"/>
        <c:crossAx val="71989504"/>
        <c:crosses val="autoZero"/>
        <c:crossBetween val="between"/>
      </c:valAx>
    </c:plotArea>
    <c:legend>
      <c:legendPos val="b"/>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'Quick Check'!$P$4</c:f>
              <c:strCache>
                <c:ptCount val="1"/>
                <c:pt idx="0">
                  <c:v>Switzerland BMA Swap</c:v>
                </c:pt>
              </c:strCache>
            </c:strRef>
          </c:tx>
          <c:marker>
            <c:symbol val="none"/>
          </c:marker>
          <c:val>
            <c:numRef>
              <c:f>'Quick Check'!$P$5:$P$34</c:f>
              <c:numCache>
                <c:formatCode>0.00</c:formatCode>
                <c:ptCount val="30"/>
                <c:pt idx="0">
                  <c:v>-0.95307287288356923</c:v>
                </c:pt>
                <c:pt idx="1">
                  <c:v>-0.98786462823609034</c:v>
                </c:pt>
                <c:pt idx="2">
                  <c:v>-0.95336958243186221</c:v>
                </c:pt>
                <c:pt idx="3">
                  <c:v>-0.89919172992566354</c:v>
                </c:pt>
                <c:pt idx="4">
                  <c:v>-0.82878196105352631</c:v>
                </c:pt>
                <c:pt idx="5">
                  <c:v>-0.75140621577792777</c:v>
                </c:pt>
                <c:pt idx="6">
                  <c:v>-0.66254105886845993</c:v>
                </c:pt>
                <c:pt idx="7">
                  <c:v>-0.57831890770936312</c:v>
                </c:pt>
                <c:pt idx="8">
                  <c:v>-0.49378931330635867</c:v>
                </c:pt>
                <c:pt idx="9">
                  <c:v>-0.41387418588588742</c:v>
                </c:pt>
                <c:pt idx="10">
                  <c:v>-0.33358266656327018</c:v>
                </c:pt>
                <c:pt idx="11">
                  <c:v>-0.25536931185422551</c:v>
                </c:pt>
                <c:pt idx="12">
                  <c:v>-0.19342880003849761</c:v>
                </c:pt>
                <c:pt idx="13">
                  <c:v>-0.13570222780239227</c:v>
                </c:pt>
                <c:pt idx="14">
                  <c:v>-8.2041061964066575E-2</c:v>
                </c:pt>
                <c:pt idx="15">
                  <c:v>-4.1134453014290973E-2</c:v>
                </c:pt>
                <c:pt idx="16">
                  <c:v>-4.0087596252180724E-3</c:v>
                </c:pt>
                <c:pt idx="17">
                  <c:v>2.9472182877610109E-2</c:v>
                </c:pt>
                <c:pt idx="18">
                  <c:v>5.9440669216437314E-2</c:v>
                </c:pt>
                <c:pt idx="19">
                  <c:v>8.6025156871349928E-2</c:v>
                </c:pt>
                <c:pt idx="20">
                  <c:v>0.1044794209283495</c:v>
                </c:pt>
                <c:pt idx="21">
                  <c:v>0.11979560330683814</c:v>
                </c:pt>
                <c:pt idx="22">
                  <c:v>0.13209136760312656</c:v>
                </c:pt>
                <c:pt idx="23">
                  <c:v>0.14148094843637882</c:v>
                </c:pt>
                <c:pt idx="24">
                  <c:v>0.14807526497278012</c:v>
                </c:pt>
                <c:pt idx="25">
                  <c:v>0.15596890769200566</c:v>
                </c:pt>
                <c:pt idx="26">
                  <c:v>0.16127946366004675</c:v>
                </c:pt>
                <c:pt idx="27">
                  <c:v>0.16410836636546744</c:v>
                </c:pt>
                <c:pt idx="28">
                  <c:v>0.16455408417077599</c:v>
                </c:pt>
                <c:pt idx="29">
                  <c:v>0.16271215894156921</c:v>
                </c:pt>
              </c:numCache>
            </c:numRef>
          </c:val>
          <c:smooth val="0"/>
          <c:extLst>
            <c:ext xmlns:c16="http://schemas.microsoft.com/office/drawing/2014/chart" uri="{C3380CC4-5D6E-409C-BE32-E72D297353CC}">
              <c16:uniqueId val="{00000000-6668-436A-ACC1-8EC2867C67DD}"/>
            </c:ext>
          </c:extLst>
        </c:ser>
        <c:ser>
          <c:idx val="1"/>
          <c:order val="1"/>
          <c:tx>
            <c:strRef>
              <c:f>'Quick Check'!$Z$4</c:f>
              <c:strCache>
                <c:ptCount val="1"/>
                <c:pt idx="0">
                  <c:v>Switzerland Observed Swap</c:v>
                </c:pt>
              </c:strCache>
            </c:strRef>
          </c:tx>
          <c:marker>
            <c:symbol val="none"/>
          </c:marker>
          <c:val>
            <c:numRef>
              <c:f>'Quick Check'!$Z$5:$Z$34</c:f>
              <c:numCache>
                <c:formatCode>#,##0.00</c:formatCode>
                <c:ptCount val="30"/>
                <c:pt idx="0">
                  <c:v>-0.8530728649749908</c:v>
                </c:pt>
                <c:pt idx="1">
                  <c:v>-0.88801974999999089</c:v>
                </c:pt>
                <c:pt idx="2">
                  <c:v>-0.85317243750000493</c:v>
                </c:pt>
                <c:pt idx="3">
                  <c:v>-0.79839999999999911</c:v>
                </c:pt>
                <c:pt idx="4">
                  <c:v>-0.72717321937499912</c:v>
                </c:pt>
                <c:pt idx="5">
                  <c:v>-0.64894374999999727</c:v>
                </c:pt>
                <c:pt idx="6">
                  <c:v>-0.55921600000000682</c:v>
                </c:pt>
                <c:pt idx="7">
                  <c:v>-0.47443593750000623</c:v>
                </c:pt>
                <c:pt idx="8">
                  <c:v>-0.38961975000000315</c:v>
                </c:pt>
                <c:pt idx="9">
                  <c:v>-0.30975975000000489</c:v>
                </c:pt>
                <c:pt idx="10">
                  <c:v>-0.22986775000000126</c:v>
                </c:pt>
                <c:pt idx="11">
                  <c:v>-0.15244185937499655</c:v>
                </c:pt>
                <c:pt idx="12">
                  <c:v>-9.5810373263893744E-2</c:v>
                </c:pt>
                <c:pt idx="13">
                  <c:v>-3.9162831597217007E-2</c:v>
                </c:pt>
                <c:pt idx="14">
                  <c:v>1.7500765625011461E-2</c:v>
                </c:pt>
                <c:pt idx="15">
                  <c:v>5.0006250000023122E-2</c:v>
                </c:pt>
                <c:pt idx="16">
                  <c:v>8.2517015624983259E-2</c:v>
                </c:pt>
                <c:pt idx="17">
                  <c:v>0.11503306250000289</c:v>
                </c:pt>
                <c:pt idx="18">
                  <c:v>0.14755439062501541</c:v>
                </c:pt>
                <c:pt idx="19">
                  <c:v>0.1800809999999764</c:v>
                </c:pt>
                <c:pt idx="20">
                  <c:v>0.1920921600000236</c:v>
                </c:pt>
                <c:pt idx="21">
                  <c:v>0.20410403999999716</c:v>
                </c:pt>
                <c:pt idx="22">
                  <c:v>0.21611663999998587</c:v>
                </c:pt>
                <c:pt idx="23">
                  <c:v>0.22812995999998975</c:v>
                </c:pt>
                <c:pt idx="24">
                  <c:v>0.24014400000000879</c:v>
                </c:pt>
                <c:pt idx="25">
                  <c:v>0.24314762249999511</c:v>
                </c:pt>
                <c:pt idx="26">
                  <c:v>0.24615129000000735</c:v>
                </c:pt>
                <c:pt idx="27">
                  <c:v>0.24915500249997891</c:v>
                </c:pt>
                <c:pt idx="28">
                  <c:v>0.25215875999999859</c:v>
                </c:pt>
                <c:pt idx="29">
                  <c:v>0.2551625624999776</c:v>
                </c:pt>
              </c:numCache>
            </c:numRef>
          </c:val>
          <c:smooth val="0"/>
          <c:extLst>
            <c:ext xmlns:c16="http://schemas.microsoft.com/office/drawing/2014/chart" uri="{C3380CC4-5D6E-409C-BE32-E72D297353CC}">
              <c16:uniqueId val="{00000001-6668-436A-ACC1-8EC2867C67DD}"/>
            </c:ext>
          </c:extLst>
        </c:ser>
        <c:dLbls>
          <c:showLegendKey val="0"/>
          <c:showVal val="0"/>
          <c:showCatName val="0"/>
          <c:showSerName val="0"/>
          <c:showPercent val="0"/>
          <c:showBubbleSize val="0"/>
        </c:dLbls>
        <c:smooth val="0"/>
        <c:axId val="72016256"/>
        <c:axId val="72017792"/>
      </c:lineChart>
      <c:catAx>
        <c:axId val="72016256"/>
        <c:scaling>
          <c:orientation val="minMax"/>
        </c:scaling>
        <c:delete val="0"/>
        <c:axPos val="b"/>
        <c:majorTickMark val="out"/>
        <c:minorTickMark val="none"/>
        <c:tickLblPos val="nextTo"/>
        <c:crossAx val="72017792"/>
        <c:crosses val="autoZero"/>
        <c:auto val="1"/>
        <c:lblAlgn val="ctr"/>
        <c:lblOffset val="100"/>
        <c:noMultiLvlLbl val="0"/>
      </c:catAx>
      <c:valAx>
        <c:axId val="72017792"/>
        <c:scaling>
          <c:orientation val="minMax"/>
        </c:scaling>
        <c:delete val="0"/>
        <c:axPos val="l"/>
        <c:majorGridlines/>
        <c:numFmt formatCode="0.00" sourceLinked="1"/>
        <c:majorTickMark val="out"/>
        <c:minorTickMark val="none"/>
        <c:tickLblPos val="nextTo"/>
        <c:crossAx val="72016256"/>
        <c:crosses val="autoZero"/>
        <c:crossBetween val="between"/>
      </c:valAx>
    </c:plotArea>
    <c:legend>
      <c:legendPos val="b"/>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'Quick Check'!$Q$4</c:f>
              <c:strCache>
                <c:ptCount val="1"/>
                <c:pt idx="0">
                  <c:v>Canada BMA Swap</c:v>
                </c:pt>
              </c:strCache>
            </c:strRef>
          </c:tx>
          <c:marker>
            <c:symbol val="none"/>
          </c:marker>
          <c:val>
            <c:numRef>
              <c:f>'Quick Check'!$Q$5:$Q$34</c:f>
              <c:numCache>
                <c:formatCode>0.00</c:formatCode>
                <c:ptCount val="30"/>
                <c:pt idx="0">
                  <c:v>1.8322448071752238</c:v>
                </c:pt>
                <c:pt idx="1">
                  <c:v>1.6976189489419591</c:v>
                </c:pt>
                <c:pt idx="2">
                  <c:v>1.6527646349979719</c:v>
                </c:pt>
                <c:pt idx="3">
                  <c:v>1.6330858961021377</c:v>
                </c:pt>
                <c:pt idx="4">
                  <c:v>1.6341508845795438</c:v>
                </c:pt>
                <c:pt idx="5">
                  <c:v>1.6526964466219152</c:v>
                </c:pt>
                <c:pt idx="6">
                  <c:v>1.6793443571916145</c:v>
                </c:pt>
                <c:pt idx="7">
                  <c:v>1.7113736214264819</c:v>
                </c:pt>
                <c:pt idx="8">
                  <c:v>1.7463110234003709</c:v>
                </c:pt>
                <c:pt idx="9">
                  <c:v>1.7819343778962882</c:v>
                </c:pt>
                <c:pt idx="10">
                  <c:v>1.8242698360001253</c:v>
                </c:pt>
                <c:pt idx="11">
                  <c:v>1.8662118889414048</c:v>
                </c:pt>
                <c:pt idx="12">
                  <c:v>1.9022307246541414</c:v>
                </c:pt>
                <c:pt idx="13">
                  <c:v>1.9378748880678698</c:v>
                </c:pt>
                <c:pt idx="14">
                  <c:v>1.9731534863338007</c:v>
                </c:pt>
                <c:pt idx="15">
                  <c:v>1.9942312163111264</c:v>
                </c:pt>
                <c:pt idx="16">
                  <c:v>2.014961000816351</c:v>
                </c:pt>
                <c:pt idx="17">
                  <c:v>2.0353513590254613</c:v>
                </c:pt>
                <c:pt idx="18">
                  <c:v>2.0554106594844246</c:v>
                </c:pt>
                <c:pt idx="19">
                  <c:v>2.0751470534446703</c:v>
                </c:pt>
                <c:pt idx="20">
                  <c:v>2.0734224729733075</c:v>
                </c:pt>
                <c:pt idx="21">
                  <c:v>2.0713908819186111</c:v>
                </c:pt>
                <c:pt idx="22">
                  <c:v>2.0690600310437013</c:v>
                </c:pt>
                <c:pt idx="23">
                  <c:v>2.0664374660170903</c:v>
                </c:pt>
                <c:pt idx="24">
                  <c:v>2.0635306001816067</c:v>
                </c:pt>
                <c:pt idx="25">
                  <c:v>2.0578756392364062</c:v>
                </c:pt>
                <c:pt idx="26">
                  <c:v>2.0519506789202113</c:v>
                </c:pt>
                <c:pt idx="27">
                  <c:v>2.045762636201931</c:v>
                </c:pt>
                <c:pt idx="28">
                  <c:v>2.0393183534742398</c:v>
                </c:pt>
                <c:pt idx="29">
                  <c:v>2.032624461531074</c:v>
                </c:pt>
              </c:numCache>
            </c:numRef>
          </c:val>
          <c:smooth val="0"/>
          <c:extLst>
            <c:ext xmlns:c16="http://schemas.microsoft.com/office/drawing/2014/chart" uri="{C3380CC4-5D6E-409C-BE32-E72D297353CC}">
              <c16:uniqueId val="{00000000-44CA-4A6F-9706-D46863073F7F}"/>
            </c:ext>
          </c:extLst>
        </c:ser>
        <c:ser>
          <c:idx val="1"/>
          <c:order val="1"/>
          <c:tx>
            <c:strRef>
              <c:f>'Quick Check'!$AA$4</c:f>
              <c:strCache>
                <c:ptCount val="1"/>
                <c:pt idx="0">
                  <c:v>Canada Observed Swap</c:v>
                </c:pt>
              </c:strCache>
            </c:strRef>
          </c:tx>
          <c:marker>
            <c:symbol val="none"/>
          </c:marker>
          <c:val>
            <c:numRef>
              <c:f>'Quick Check'!$AA$5:$AA$34</c:f>
              <c:numCache>
                <c:formatCode>#,##0.00</c:formatCode>
                <c:ptCount val="30"/>
                <c:pt idx="0">
                  <c:v>1.9322448224999844</c:v>
                </c:pt>
                <c:pt idx="1">
                  <c:v>1.7988174115999733</c:v>
                </c:pt>
                <c:pt idx="2">
                  <c:v>1.7543274022249866</c:v>
                </c:pt>
                <c:pt idx="3">
                  <c:v>1.7347589132249874</c:v>
                </c:pt>
                <c:pt idx="4">
                  <c:v>1.7354649599999883</c:v>
                </c:pt>
                <c:pt idx="5">
                  <c:v>1.7530160528999916</c:v>
                </c:pt>
                <c:pt idx="6">
                  <c:v>1.7782357904000179</c:v>
                </c:pt>
                <c:pt idx="7">
                  <c:v>1.8084027002250203</c:v>
                </c:pt>
                <c:pt idx="8">
                  <c:v>1.8410969732250315</c:v>
                </c:pt>
                <c:pt idx="9">
                  <c:v>1.874200225624989</c:v>
                </c:pt>
                <c:pt idx="10">
                  <c:v>1.9127601842249931</c:v>
                </c:pt>
                <c:pt idx="11">
                  <c:v>1.9513274390249968</c:v>
                </c:pt>
                <c:pt idx="12">
                  <c:v>1.9833377424000043</c:v>
                </c:pt>
                <c:pt idx="13">
                  <c:v>2.0153530702249789</c:v>
                </c:pt>
                <c:pt idx="14">
                  <c:v>2.0473734224999873</c:v>
                </c:pt>
                <c:pt idx="15">
                  <c:v>2.0654363295359746</c:v>
                </c:pt>
                <c:pt idx="16">
                  <c:v>2.0835008350439832</c:v>
                </c:pt>
                <c:pt idx="17">
                  <c:v>2.1015669390239911</c:v>
                </c:pt>
                <c:pt idx="18">
                  <c:v>2.1196346414759981</c:v>
                </c:pt>
                <c:pt idx="19">
                  <c:v>2.1377039424000044</c:v>
                </c:pt>
                <c:pt idx="20">
                  <c:v>2.1370571389440318</c:v>
                </c:pt>
                <c:pt idx="21">
                  <c:v>2.1364103375359988</c:v>
                </c:pt>
                <c:pt idx="22">
                  <c:v>2.1357635381759943</c:v>
                </c:pt>
                <c:pt idx="23">
                  <c:v>2.1351167408640181</c:v>
                </c:pt>
                <c:pt idx="24">
                  <c:v>2.1344699455999816</c:v>
                </c:pt>
                <c:pt idx="25">
                  <c:v>2.1305892170240037</c:v>
                </c:pt>
                <c:pt idx="26">
                  <c:v>2.1267085621759829</c:v>
                </c:pt>
                <c:pt idx="27">
                  <c:v>2.122827981056008</c:v>
                </c:pt>
                <c:pt idx="28">
                  <c:v>2.1189474736639902</c:v>
                </c:pt>
                <c:pt idx="29">
                  <c:v>2.1150670400000182</c:v>
                </c:pt>
              </c:numCache>
            </c:numRef>
          </c:val>
          <c:smooth val="0"/>
          <c:extLst>
            <c:ext xmlns:c16="http://schemas.microsoft.com/office/drawing/2014/chart" uri="{C3380CC4-5D6E-409C-BE32-E72D297353CC}">
              <c16:uniqueId val="{00000001-44CA-4A6F-9706-D46863073F7F}"/>
            </c:ext>
          </c:extLst>
        </c:ser>
        <c:dLbls>
          <c:showLegendKey val="0"/>
          <c:showVal val="0"/>
          <c:showCatName val="0"/>
          <c:showSerName val="0"/>
          <c:showPercent val="0"/>
          <c:showBubbleSize val="0"/>
        </c:dLbls>
        <c:smooth val="0"/>
        <c:axId val="72043136"/>
        <c:axId val="72044928"/>
      </c:lineChart>
      <c:catAx>
        <c:axId val="72043136"/>
        <c:scaling>
          <c:orientation val="minMax"/>
        </c:scaling>
        <c:delete val="0"/>
        <c:axPos val="b"/>
        <c:majorTickMark val="out"/>
        <c:minorTickMark val="none"/>
        <c:tickLblPos val="nextTo"/>
        <c:crossAx val="72044928"/>
        <c:crosses val="autoZero"/>
        <c:auto val="1"/>
        <c:lblAlgn val="ctr"/>
        <c:lblOffset val="100"/>
        <c:noMultiLvlLbl val="0"/>
      </c:catAx>
      <c:valAx>
        <c:axId val="72044928"/>
        <c:scaling>
          <c:orientation val="minMax"/>
        </c:scaling>
        <c:delete val="0"/>
        <c:axPos val="l"/>
        <c:majorGridlines/>
        <c:numFmt formatCode="0.00" sourceLinked="1"/>
        <c:majorTickMark val="out"/>
        <c:minorTickMark val="none"/>
        <c:tickLblPos val="nextTo"/>
        <c:crossAx val="72043136"/>
        <c:crosses val="autoZero"/>
        <c:crossBetween val="between"/>
      </c:valAx>
    </c:plotArea>
    <c:legend>
      <c:legendPos val="b"/>
      <c:overlay val="0"/>
    </c:legend>
    <c:plotVisOnly val="1"/>
    <c:dispBlanksAs val="gap"/>
    <c:showDLblsOverMax val="0"/>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'Quick Check'!$R$4</c:f>
              <c:strCache>
                <c:ptCount val="1"/>
                <c:pt idx="0">
                  <c:v>Japan BMA Swap</c:v>
                </c:pt>
              </c:strCache>
            </c:strRef>
          </c:tx>
          <c:marker>
            <c:symbol val="none"/>
          </c:marker>
          <c:val>
            <c:numRef>
              <c:f>'Quick Check'!$R$5:$R$34</c:f>
              <c:numCache>
                <c:formatCode>0.00</c:formatCode>
                <c:ptCount val="30"/>
                <c:pt idx="0">
                  <c:v>-0.16373983914076176</c:v>
                </c:pt>
                <c:pt idx="1">
                  <c:v>-0.19870835674379306</c:v>
                </c:pt>
                <c:pt idx="2">
                  <c:v>-0.21493487963420987</c:v>
                </c:pt>
                <c:pt idx="3">
                  <c:v>-0.2149428957855859</c:v>
                </c:pt>
                <c:pt idx="4">
                  <c:v>-0.20311059656547004</c:v>
                </c:pt>
                <c:pt idx="5">
                  <c:v>-0.18502535120539232</c:v>
                </c:pt>
                <c:pt idx="6">
                  <c:v>-0.16009224738916528</c:v>
                </c:pt>
                <c:pt idx="7">
                  <c:v>-0.13131157047810982</c:v>
                </c:pt>
                <c:pt idx="8">
                  <c:v>-9.8746087938861304E-2</c:v>
                </c:pt>
                <c:pt idx="9">
                  <c:v>-6.4844792598328649E-2</c:v>
                </c:pt>
                <c:pt idx="10">
                  <c:v>-3.0848994180032729E-2</c:v>
                </c:pt>
                <c:pt idx="11">
                  <c:v>1.9851242194279806E-3</c:v>
                </c:pt>
                <c:pt idx="12">
                  <c:v>3.3654782059699961E-2</c:v>
                </c:pt>
                <c:pt idx="13">
                  <c:v>6.6710538810554887E-2</c:v>
                </c:pt>
                <c:pt idx="14">
                  <c:v>9.8612781060802845E-2</c:v>
                </c:pt>
                <c:pt idx="15">
                  <c:v>0.112865698148501</c:v>
                </c:pt>
                <c:pt idx="16">
                  <c:v>0.14267485859058571</c:v>
                </c:pt>
                <c:pt idx="17">
                  <c:v>0.17309455950169639</c:v>
                </c:pt>
                <c:pt idx="18">
                  <c:v>0.18434312847144252</c:v>
                </c:pt>
                <c:pt idx="19">
                  <c:v>0.22369764308116658</c:v>
                </c:pt>
                <c:pt idx="20">
                  <c:v>0.23870536180243818</c:v>
                </c:pt>
                <c:pt idx="21">
                  <c:v>0.25372579519034044</c:v>
                </c:pt>
                <c:pt idx="22">
                  <c:v>0.26866277777766179</c:v>
                </c:pt>
                <c:pt idx="23">
                  <c:v>0.28343476472256768</c:v>
                </c:pt>
                <c:pt idx="24">
                  <c:v>0.29797257627623974</c:v>
                </c:pt>
                <c:pt idx="25">
                  <c:v>0.30817100289419752</c:v>
                </c:pt>
                <c:pt idx="26">
                  <c:v>0.31802637302249526</c:v>
                </c:pt>
                <c:pt idx="27">
                  <c:v>0.32749608425728383</c:v>
                </c:pt>
                <c:pt idx="28">
                  <c:v>0.33654387314256962</c:v>
                </c:pt>
                <c:pt idx="29">
                  <c:v>0.34513887177771707</c:v>
                </c:pt>
              </c:numCache>
            </c:numRef>
          </c:val>
          <c:smooth val="0"/>
          <c:extLst>
            <c:ext xmlns:c16="http://schemas.microsoft.com/office/drawing/2014/chart" uri="{C3380CC4-5D6E-409C-BE32-E72D297353CC}">
              <c16:uniqueId val="{00000000-D6C9-43E5-93B9-1D607CA2F0B8}"/>
            </c:ext>
          </c:extLst>
        </c:ser>
        <c:ser>
          <c:idx val="1"/>
          <c:order val="1"/>
          <c:tx>
            <c:strRef>
              <c:f>'Quick Check'!$AB$4</c:f>
              <c:strCache>
                <c:ptCount val="1"/>
                <c:pt idx="0">
                  <c:v>Japan Observed Swap</c:v>
                </c:pt>
              </c:strCache>
            </c:strRef>
          </c:tx>
          <c:marker>
            <c:symbol val="none"/>
          </c:marker>
          <c:val>
            <c:numRef>
              <c:f>'Quick Check'!$AB$5:$AB$34</c:f>
              <c:numCache>
                <c:formatCode>#,##0.00</c:formatCode>
                <c:ptCount val="30"/>
                <c:pt idx="0">
                  <c:v>-6.3739839843757196E-2</c:v>
                </c:pt>
                <c:pt idx="1">
                  <c:v>-9.872562109374261E-2</c:v>
                </c:pt>
                <c:pt idx="2">
                  <c:v>-0.11496693749999398</c:v>
                </c:pt>
                <c:pt idx="3">
                  <c:v>-0.11496693749999398</c:v>
                </c:pt>
                <c:pt idx="4">
                  <c:v>-0.1031034105077433</c:v>
                </c:pt>
                <c:pt idx="5">
                  <c:v>-8.4981937500006044E-2</c:v>
                </c:pt>
                <c:pt idx="6">
                  <c:v>-6.0020990997755597E-2</c:v>
                </c:pt>
                <c:pt idx="7">
                  <c:v>-3.1247558593738844E-2</c:v>
                </c:pt>
                <c:pt idx="8">
                  <c:v>1.2500039062501855E-3</c:v>
                </c:pt>
                <c:pt idx="9">
                  <c:v>3.5003062500016391E-2</c:v>
                </c:pt>
                <c:pt idx="10">
                  <c:v>6.8761816406270881E-2</c:v>
                </c:pt>
                <c:pt idx="11">
                  <c:v>0.10127562890622777</c:v>
                </c:pt>
                <c:pt idx="12">
                  <c:v>0.13254389062500316</c:v>
                </c:pt>
                <c:pt idx="13">
                  <c:v>0.16506806250000672</c:v>
                </c:pt>
                <c:pt idx="14">
                  <c:v>0.19634628515623476</c:v>
                </c:pt>
                <c:pt idx="15">
                  <c:v>0.21036051265623801</c:v>
                </c:pt>
                <c:pt idx="16">
                  <c:v>0.23964340062498923</c:v>
                </c:pt>
                <c:pt idx="17">
                  <c:v>0.26893056640624469</c:v>
                </c:pt>
                <c:pt idx="18">
                  <c:v>0.27994565015623252</c:v>
                </c:pt>
                <c:pt idx="19">
                  <c:v>0.31775201562500577</c:v>
                </c:pt>
                <c:pt idx="20">
                  <c:v>0.33202514515626724</c:v>
                </c:pt>
                <c:pt idx="21">
                  <c:v>0.34629929000000725</c:v>
                </c:pt>
                <c:pt idx="22">
                  <c:v>0.36057445015624801</c:v>
                </c:pt>
                <c:pt idx="23">
                  <c:v>0.3748506256249895</c:v>
                </c:pt>
                <c:pt idx="24">
                  <c:v>0.38912781640623173</c:v>
                </c:pt>
                <c:pt idx="25">
                  <c:v>0.39814551265624498</c:v>
                </c:pt>
                <c:pt idx="26">
                  <c:v>0.40716361390626954</c:v>
                </c:pt>
                <c:pt idx="27">
                  <c:v>0.41618212015623879</c:v>
                </c:pt>
                <c:pt idx="28">
                  <c:v>0.42520103140624155</c:v>
                </c:pt>
                <c:pt idx="29">
                  <c:v>0.43422034765625561</c:v>
                </c:pt>
              </c:numCache>
            </c:numRef>
          </c:val>
          <c:smooth val="0"/>
          <c:extLst>
            <c:ext xmlns:c16="http://schemas.microsoft.com/office/drawing/2014/chart" uri="{C3380CC4-5D6E-409C-BE32-E72D297353CC}">
              <c16:uniqueId val="{00000001-D6C9-43E5-93B9-1D607CA2F0B8}"/>
            </c:ext>
          </c:extLst>
        </c:ser>
        <c:dLbls>
          <c:showLegendKey val="0"/>
          <c:showVal val="0"/>
          <c:showCatName val="0"/>
          <c:showSerName val="0"/>
          <c:showPercent val="0"/>
          <c:showBubbleSize val="0"/>
        </c:dLbls>
        <c:smooth val="0"/>
        <c:axId val="72082560"/>
        <c:axId val="72084096"/>
      </c:lineChart>
      <c:catAx>
        <c:axId val="72082560"/>
        <c:scaling>
          <c:orientation val="minMax"/>
        </c:scaling>
        <c:delete val="0"/>
        <c:axPos val="b"/>
        <c:majorTickMark val="out"/>
        <c:minorTickMark val="none"/>
        <c:tickLblPos val="nextTo"/>
        <c:crossAx val="72084096"/>
        <c:crosses val="autoZero"/>
        <c:auto val="1"/>
        <c:lblAlgn val="ctr"/>
        <c:lblOffset val="100"/>
        <c:noMultiLvlLbl val="0"/>
      </c:catAx>
      <c:valAx>
        <c:axId val="72084096"/>
        <c:scaling>
          <c:orientation val="minMax"/>
        </c:scaling>
        <c:delete val="0"/>
        <c:axPos val="l"/>
        <c:majorGridlines/>
        <c:numFmt formatCode="0.00" sourceLinked="1"/>
        <c:majorTickMark val="out"/>
        <c:minorTickMark val="none"/>
        <c:tickLblPos val="nextTo"/>
        <c:crossAx val="72082560"/>
        <c:crosses val="autoZero"/>
        <c:crossBetween val="between"/>
      </c:valAx>
    </c:plotArea>
    <c:legend>
      <c:legendPos val="b"/>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'Quick Check'!$S$4</c:f>
              <c:strCache>
                <c:ptCount val="1"/>
                <c:pt idx="0">
                  <c:v>Australia BMA Swap</c:v>
                </c:pt>
              </c:strCache>
            </c:strRef>
          </c:tx>
          <c:marker>
            <c:symbol val="none"/>
          </c:marker>
          <c:val>
            <c:numRef>
              <c:f>'Quick Check'!$S$5:$S$34</c:f>
              <c:numCache>
                <c:formatCode>0.00</c:formatCode>
                <c:ptCount val="30"/>
                <c:pt idx="0">
                  <c:v>1.0122456452067696</c:v>
                </c:pt>
                <c:pt idx="1">
                  <c:v>0.97068054377302815</c:v>
                </c:pt>
                <c:pt idx="2">
                  <c:v>0.99210617712339744</c:v>
                </c:pt>
                <c:pt idx="3">
                  <c:v>1.0452226440613721</c:v>
                </c:pt>
                <c:pt idx="4">
                  <c:v>1.112060561500483</c:v>
                </c:pt>
                <c:pt idx="5">
                  <c:v>1.1897298165094883</c:v>
                </c:pt>
                <c:pt idx="6">
                  <c:v>1.272198096928534</c:v>
                </c:pt>
                <c:pt idx="7">
                  <c:v>1.3521824307894059</c:v>
                </c:pt>
                <c:pt idx="8">
                  <c:v>1.4253677861643776</c:v>
                </c:pt>
                <c:pt idx="9">
                  <c:v>1.4921862020841559</c:v>
                </c:pt>
                <c:pt idx="10">
                  <c:v>1.5571811705320071</c:v>
                </c:pt>
                <c:pt idx="11">
                  <c:v>1.6196909446421603</c:v>
                </c:pt>
                <c:pt idx="12">
                  <c:v>1.6719484524372108</c:v>
                </c:pt>
                <c:pt idx="13">
                  <c:v>1.7222606863580348</c:v>
                </c:pt>
                <c:pt idx="14">
                  <c:v>1.7708540098740677</c:v>
                </c:pt>
                <c:pt idx="15">
                  <c:v>1.7998169711596956</c:v>
                </c:pt>
                <c:pt idx="16">
                  <c:v>1.8274144557645089</c:v>
                </c:pt>
                <c:pt idx="17">
                  <c:v>1.8537807224175307</c:v>
                </c:pt>
                <c:pt idx="18">
                  <c:v>1.8790276079362345</c:v>
                </c:pt>
                <c:pt idx="19">
                  <c:v>1.9032485540251276</c:v>
                </c:pt>
                <c:pt idx="20">
                  <c:v>1.9172061539772134</c:v>
                </c:pt>
                <c:pt idx="21">
                  <c:v>1.9302826981267174</c:v>
                </c:pt>
                <c:pt idx="22">
                  <c:v>1.9425347462203479</c:v>
                </c:pt>
                <c:pt idx="23">
                  <c:v>1.9540108803890233</c:v>
                </c:pt>
                <c:pt idx="24">
                  <c:v>1.9647531680393016</c:v>
                </c:pt>
                <c:pt idx="25">
                  <c:v>1.9637366946071877</c:v>
                </c:pt>
                <c:pt idx="26">
                  <c:v>1.9620554188799044</c:v>
                </c:pt>
                <c:pt idx="27">
                  <c:v>1.9597379977484231</c:v>
                </c:pt>
                <c:pt idx="28">
                  <c:v>1.9568100292426172</c:v>
                </c:pt>
                <c:pt idx="29">
                  <c:v>1.9532945503835997</c:v>
                </c:pt>
              </c:numCache>
            </c:numRef>
          </c:val>
          <c:smooth val="0"/>
          <c:extLst>
            <c:ext xmlns:c16="http://schemas.microsoft.com/office/drawing/2014/chart" uri="{C3380CC4-5D6E-409C-BE32-E72D297353CC}">
              <c16:uniqueId val="{00000000-51C0-4030-BDE8-D5B1DEFC6297}"/>
            </c:ext>
          </c:extLst>
        </c:ser>
        <c:ser>
          <c:idx val="1"/>
          <c:order val="1"/>
          <c:tx>
            <c:strRef>
              <c:f>'Quick Check'!$AC$4</c:f>
              <c:strCache>
                <c:ptCount val="1"/>
                <c:pt idx="0">
                  <c:v>Australia Observed Swap</c:v>
                </c:pt>
              </c:strCache>
            </c:strRef>
          </c:tx>
          <c:marker>
            <c:symbol val="none"/>
          </c:marker>
          <c:val>
            <c:numRef>
              <c:f>'Quick Check'!$AC$5:$AC$34</c:f>
              <c:numCache>
                <c:formatCode>#,##0.00</c:formatCode>
                <c:ptCount val="30"/>
                <c:pt idx="0">
                  <c:v>1.112245645222254</c:v>
                </c:pt>
                <c:pt idx="1">
                  <c:v>1.0709018270062431</c:v>
                </c:pt>
                <c:pt idx="2">
                  <c:v>1.0920251292090288</c:v>
                </c:pt>
                <c:pt idx="3">
                  <c:v>1.1442547025000138</c:v>
                </c:pt>
                <c:pt idx="4">
                  <c:v>1.2096360899999992</c:v>
                </c:pt>
                <c:pt idx="5">
                  <c:v>1.2851024024999935</c:v>
                </c:pt>
                <c:pt idx="6">
                  <c:v>1.3646239999999921</c:v>
                </c:pt>
                <c:pt idx="7">
                  <c:v>1.4411552399999916</c:v>
                </c:pt>
                <c:pt idx="8">
                  <c:v>1.5106625625000092</c:v>
                </c:pt>
                <c:pt idx="9">
                  <c:v>1.5736426406249837</c:v>
                </c:pt>
                <c:pt idx="10">
                  <c:v>1.6328617226562425</c:v>
                </c:pt>
                <c:pt idx="11">
                  <c:v>1.6920980624999915</c:v>
                </c:pt>
                <c:pt idx="12">
                  <c:v>1.7379865756249835</c:v>
                </c:pt>
                <c:pt idx="13">
                  <c:v>1.7838854400000104</c:v>
                </c:pt>
                <c:pt idx="14">
                  <c:v>1.8297946556250055</c:v>
                </c:pt>
                <c:pt idx="15">
                  <c:v>1.8537119075999975</c:v>
                </c:pt>
                <c:pt idx="16">
                  <c:v>1.8776319680250175</c:v>
                </c:pt>
                <c:pt idx="17">
                  <c:v>1.901554836899999</c:v>
                </c:pt>
                <c:pt idx="18">
                  <c:v>1.9254805142249865</c:v>
                </c:pt>
                <c:pt idx="19">
                  <c:v>1.9494090000000019</c:v>
                </c:pt>
                <c:pt idx="20">
                  <c:v>1.9607684414062243</c:v>
                </c:pt>
                <c:pt idx="21">
                  <c:v>1.9721285156250046</c:v>
                </c:pt>
                <c:pt idx="22">
                  <c:v>1.9834892226562761</c:v>
                </c:pt>
                <c:pt idx="23">
                  <c:v>1.9948505624999946</c:v>
                </c:pt>
                <c:pt idx="24">
                  <c:v>2.006212535156271</c:v>
                </c:pt>
                <c:pt idx="25">
                  <c:v>2.005960040000021</c:v>
                </c:pt>
                <c:pt idx="26">
                  <c:v>2.0057075451562323</c:v>
                </c:pt>
                <c:pt idx="27">
                  <c:v>2.0054550506249935</c:v>
                </c:pt>
                <c:pt idx="28">
                  <c:v>2.0052025564062603</c:v>
                </c:pt>
                <c:pt idx="29">
                  <c:v>2.0049500625000105</c:v>
                </c:pt>
              </c:numCache>
            </c:numRef>
          </c:val>
          <c:smooth val="0"/>
          <c:extLst>
            <c:ext xmlns:c16="http://schemas.microsoft.com/office/drawing/2014/chart" uri="{C3380CC4-5D6E-409C-BE32-E72D297353CC}">
              <c16:uniqueId val="{00000001-51C0-4030-BDE8-D5B1DEFC6297}"/>
            </c:ext>
          </c:extLst>
        </c:ser>
        <c:dLbls>
          <c:showLegendKey val="0"/>
          <c:showVal val="0"/>
          <c:showCatName val="0"/>
          <c:showSerName val="0"/>
          <c:showPercent val="0"/>
          <c:showBubbleSize val="0"/>
        </c:dLbls>
        <c:smooth val="0"/>
        <c:axId val="71773184"/>
        <c:axId val="71787264"/>
      </c:lineChart>
      <c:catAx>
        <c:axId val="71773184"/>
        <c:scaling>
          <c:orientation val="minMax"/>
        </c:scaling>
        <c:delete val="0"/>
        <c:axPos val="b"/>
        <c:majorTickMark val="out"/>
        <c:minorTickMark val="none"/>
        <c:tickLblPos val="nextTo"/>
        <c:crossAx val="71787264"/>
        <c:crosses val="autoZero"/>
        <c:auto val="1"/>
        <c:lblAlgn val="ctr"/>
        <c:lblOffset val="100"/>
        <c:noMultiLvlLbl val="0"/>
      </c:catAx>
      <c:valAx>
        <c:axId val="71787264"/>
        <c:scaling>
          <c:orientation val="minMax"/>
        </c:scaling>
        <c:delete val="0"/>
        <c:axPos val="l"/>
        <c:majorGridlines/>
        <c:numFmt formatCode="0.00" sourceLinked="1"/>
        <c:majorTickMark val="out"/>
        <c:minorTickMark val="none"/>
        <c:tickLblPos val="nextTo"/>
        <c:crossAx val="71773184"/>
        <c:crosses val="autoZero"/>
        <c:crossBetween val="between"/>
      </c:valAx>
    </c:plotArea>
    <c:legend>
      <c:legendPos val="b"/>
      <c:overlay val="0"/>
    </c:legend>
    <c:plotVisOnly val="1"/>
    <c:dispBlanksAs val="gap"/>
    <c:showDLblsOverMax val="0"/>
  </c:chart>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'Quick Check'!$T$4</c:f>
              <c:strCache>
                <c:ptCount val="1"/>
                <c:pt idx="0">
                  <c:v>New Zealand BMA Swap</c:v>
                </c:pt>
              </c:strCache>
            </c:strRef>
          </c:tx>
          <c:marker>
            <c:symbol val="none"/>
          </c:marker>
          <c:val>
            <c:numRef>
              <c:f>'Quick Check'!$T$5:$T$34</c:f>
              <c:numCache>
                <c:formatCode>0.00</c:formatCode>
                <c:ptCount val="30"/>
                <c:pt idx="0">
                  <c:v>1.3062090287444512</c:v>
                </c:pt>
                <c:pt idx="1">
                  <c:v>1.2364763163224435</c:v>
                </c:pt>
                <c:pt idx="2">
                  <c:v>1.244688647008152</c:v>
                </c:pt>
                <c:pt idx="3">
                  <c:v>1.2785500245483972</c:v>
                </c:pt>
                <c:pt idx="4">
                  <c:v>1.3346288613669266</c:v>
                </c:pt>
                <c:pt idx="5">
                  <c:v>1.4072860639890106</c:v>
                </c:pt>
                <c:pt idx="6">
                  <c:v>1.4864375175875688</c:v>
                </c:pt>
                <c:pt idx="7">
                  <c:v>1.564901819793918</c:v>
                </c:pt>
                <c:pt idx="8">
                  <c:v>1.6396851061630802</c:v>
                </c:pt>
                <c:pt idx="9">
                  <c:v>1.711085028051551</c:v>
                </c:pt>
                <c:pt idx="10">
                  <c:v>1.7914323061553938</c:v>
                </c:pt>
                <c:pt idx="11">
                  <c:v>1.8455131879119291</c:v>
                </c:pt>
                <c:pt idx="12">
                  <c:v>1.9020856817390852</c:v>
                </c:pt>
                <c:pt idx="13">
                  <c:v>1.9517586482938887</c:v>
                </c:pt>
                <c:pt idx="14">
                  <c:v>1.9995463130677793</c:v>
                </c:pt>
                <c:pt idx="15">
                  <c:v>2.027949028552678</c:v>
                </c:pt>
                <c:pt idx="16">
                  <c:v>2.0597516180480557</c:v>
                </c:pt>
                <c:pt idx="17">
                  <c:v>2.0961861242802415</c:v>
                </c:pt>
                <c:pt idx="18">
                  <c:v>2.1379298422639081</c:v>
                </c:pt>
                <c:pt idx="19">
                  <c:v>2.1852814147029331</c:v>
                </c:pt>
                <c:pt idx="20">
                  <c:v>2.1974152674184566</c:v>
                </c:pt>
                <c:pt idx="21">
                  <c:v>2.2150681369530911</c:v>
                </c:pt>
                <c:pt idx="22">
                  <c:v>2.2379972020289296</c:v>
                </c:pt>
                <c:pt idx="23">
                  <c:v>2.2658892962736488</c:v>
                </c:pt>
                <c:pt idx="24">
                  <c:v>2.298390780922932</c:v>
                </c:pt>
                <c:pt idx="25">
                  <c:v>2.3059263706408872</c:v>
                </c:pt>
                <c:pt idx="26">
                  <c:v>2.3173201045161518</c:v>
                </c:pt>
                <c:pt idx="27">
                  <c:v>2.3321994600703277</c:v>
                </c:pt>
                <c:pt idx="28">
                  <c:v>2.3502039196137359</c:v>
                </c:pt>
                <c:pt idx="29">
                  <c:v>2.3709900478216861</c:v>
                </c:pt>
              </c:numCache>
            </c:numRef>
          </c:val>
          <c:smooth val="0"/>
          <c:extLst>
            <c:ext xmlns:c16="http://schemas.microsoft.com/office/drawing/2014/chart" uri="{C3380CC4-5D6E-409C-BE32-E72D297353CC}">
              <c16:uniqueId val="{00000000-9856-4E58-9E96-9DCF0B4DE729}"/>
            </c:ext>
          </c:extLst>
        </c:ser>
        <c:ser>
          <c:idx val="1"/>
          <c:order val="1"/>
          <c:tx>
            <c:strRef>
              <c:f>'Quick Check'!$AD$4</c:f>
              <c:strCache>
                <c:ptCount val="1"/>
                <c:pt idx="0">
                  <c:v>New Zealand Observed Swap</c:v>
                </c:pt>
              </c:strCache>
            </c:strRef>
          </c:tx>
          <c:marker>
            <c:symbol val="none"/>
          </c:marker>
          <c:val>
            <c:numRef>
              <c:f>'Quick Check'!$AD$5:$AD$34</c:f>
              <c:numCache>
                <c:formatCode>#,##0.00</c:formatCode>
                <c:ptCount val="30"/>
                <c:pt idx="0">
                  <c:v>1.4062091042249758</c:v>
                </c:pt>
                <c:pt idx="1">
                  <c:v>1.3369388906250057</c:v>
                </c:pt>
                <c:pt idx="2">
                  <c:v>1.3448916803999955</c:v>
                </c:pt>
                <c:pt idx="3">
                  <c:v>1.3780148822250204</c:v>
                </c:pt>
                <c:pt idx="4">
                  <c:v>1.4325943906249972</c:v>
                </c:pt>
                <c:pt idx="5">
                  <c:v>1.5028040196000125</c:v>
                </c:pt>
                <c:pt idx="6">
                  <c:v>1.5786818906250222</c:v>
                </c:pt>
                <c:pt idx="7">
                  <c:v>1.6532774056250199</c:v>
                </c:pt>
                <c:pt idx="8">
                  <c:v>1.7237650724000186</c:v>
                </c:pt>
                <c:pt idx="9">
                  <c:v>1.7904432656250302</c:v>
                </c:pt>
                <c:pt idx="10">
                  <c:v>1.8522485351562645</c:v>
                </c:pt>
                <c:pt idx="11">
                  <c:v>1.9140725625000021</c:v>
                </c:pt>
                <c:pt idx="12">
                  <c:v>1.9603477100694544</c:v>
                </c:pt>
                <c:pt idx="13">
                  <c:v>2.0066333611110876</c:v>
                </c:pt>
                <c:pt idx="14">
                  <c:v>2.0529295156249905</c:v>
                </c:pt>
                <c:pt idx="15">
                  <c:v>2.0852588756249846</c:v>
                </c:pt>
                <c:pt idx="16">
                  <c:v>2.1175933556250026</c:v>
                </c:pt>
                <c:pt idx="17">
                  <c:v>2.1499329556250002</c:v>
                </c:pt>
                <c:pt idx="18">
                  <c:v>2.1822776756249773</c:v>
                </c:pt>
                <c:pt idx="19">
                  <c:v>2.2146275156250228</c:v>
                </c:pt>
                <c:pt idx="20">
                  <c:v>2.233837655625015</c:v>
                </c:pt>
                <c:pt idx="21">
                  <c:v>2.2530496006250011</c:v>
                </c:pt>
                <c:pt idx="22">
                  <c:v>2.2722633506249812</c:v>
                </c:pt>
                <c:pt idx="23">
                  <c:v>2.2914789056249774</c:v>
                </c:pt>
                <c:pt idx="24">
                  <c:v>2.3106962656250118</c:v>
                </c:pt>
                <c:pt idx="25">
                  <c:v>2.3228344756250019</c:v>
                </c:pt>
                <c:pt idx="26">
                  <c:v>2.3349734056250071</c:v>
                </c:pt>
                <c:pt idx="27">
                  <c:v>2.3471130556249831</c:v>
                </c:pt>
                <c:pt idx="28">
                  <c:v>2.3592534256249742</c:v>
                </c:pt>
                <c:pt idx="29">
                  <c:v>2.3713945156250027</c:v>
                </c:pt>
              </c:numCache>
            </c:numRef>
          </c:val>
          <c:smooth val="0"/>
          <c:extLst>
            <c:ext xmlns:c16="http://schemas.microsoft.com/office/drawing/2014/chart" uri="{C3380CC4-5D6E-409C-BE32-E72D297353CC}">
              <c16:uniqueId val="{00000001-9856-4E58-9E96-9DCF0B4DE729}"/>
            </c:ext>
          </c:extLst>
        </c:ser>
        <c:dLbls>
          <c:showLegendKey val="0"/>
          <c:showVal val="0"/>
          <c:showCatName val="0"/>
          <c:showSerName val="0"/>
          <c:showPercent val="0"/>
          <c:showBubbleSize val="0"/>
        </c:dLbls>
        <c:smooth val="0"/>
        <c:axId val="71828608"/>
        <c:axId val="71830144"/>
      </c:lineChart>
      <c:catAx>
        <c:axId val="71828608"/>
        <c:scaling>
          <c:orientation val="minMax"/>
        </c:scaling>
        <c:delete val="0"/>
        <c:axPos val="b"/>
        <c:majorTickMark val="out"/>
        <c:minorTickMark val="none"/>
        <c:tickLblPos val="nextTo"/>
        <c:crossAx val="71830144"/>
        <c:crosses val="autoZero"/>
        <c:auto val="1"/>
        <c:lblAlgn val="ctr"/>
        <c:lblOffset val="100"/>
        <c:noMultiLvlLbl val="0"/>
      </c:catAx>
      <c:valAx>
        <c:axId val="71830144"/>
        <c:scaling>
          <c:orientation val="minMax"/>
        </c:scaling>
        <c:delete val="0"/>
        <c:axPos val="l"/>
        <c:majorGridlines/>
        <c:numFmt formatCode="0.00" sourceLinked="1"/>
        <c:majorTickMark val="out"/>
        <c:minorTickMark val="none"/>
        <c:tickLblPos val="nextTo"/>
        <c:crossAx val="71828608"/>
        <c:crosses val="autoZero"/>
        <c:crossBetween val="between"/>
      </c:valAx>
    </c:plotArea>
    <c:legend>
      <c:legendPos val="b"/>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'Quick Check'!$U$4</c:f>
              <c:strCache>
                <c:ptCount val="1"/>
                <c:pt idx="0">
                  <c:v>HK BMA Swap</c:v>
                </c:pt>
              </c:strCache>
            </c:strRef>
          </c:tx>
          <c:marker>
            <c:symbol val="none"/>
          </c:marker>
          <c:val>
            <c:numRef>
              <c:f>'Quick Check'!$U$5:$U$19</c:f>
              <c:numCache>
                <c:formatCode>0.00</c:formatCode>
                <c:ptCount val="15"/>
                <c:pt idx="0">
                  <c:v>1.9655575643202603</c:v>
                </c:pt>
                <c:pt idx="1">
                  <c:v>1.7235744008102349</c:v>
                </c:pt>
                <c:pt idx="2">
                  <c:v>1.6448057860648513</c:v>
                </c:pt>
                <c:pt idx="3">
                  <c:v>1.6299882122731812</c:v>
                </c:pt>
                <c:pt idx="4">
                  <c:v>1.6356936820631329</c:v>
                </c:pt>
                <c:pt idx="5">
                  <c:v>1.6483089686629926</c:v>
                </c:pt>
                <c:pt idx="6">
                  <c:v>1.6810607285236756</c:v>
                </c:pt>
                <c:pt idx="7">
                  <c:v>1.7047112412306387</c:v>
                </c:pt>
                <c:pt idx="8">
                  <c:v>1.7424327817851637</c:v>
                </c:pt>
                <c:pt idx="9">
                  <c:v>1.7917520689462174</c:v>
                </c:pt>
                <c:pt idx="10">
                  <c:v>1.8180845747290064</c:v>
                </c:pt>
                <c:pt idx="11">
                  <c:v>1.8519847860612559</c:v>
                </c:pt>
                <c:pt idx="12">
                  <c:v>1.8767703860592233</c:v>
                </c:pt>
                <c:pt idx="13">
                  <c:v>1.906093654754315</c:v>
                </c:pt>
                <c:pt idx="14">
                  <c:v>1.9387443959336004</c:v>
                </c:pt>
              </c:numCache>
            </c:numRef>
          </c:val>
          <c:smooth val="0"/>
          <c:extLst>
            <c:ext xmlns:c16="http://schemas.microsoft.com/office/drawing/2014/chart" uri="{C3380CC4-5D6E-409C-BE32-E72D297353CC}">
              <c16:uniqueId val="{00000000-E4BF-4C39-A059-8B7B961F6DDB}"/>
            </c:ext>
          </c:extLst>
        </c:ser>
        <c:ser>
          <c:idx val="1"/>
          <c:order val="1"/>
          <c:tx>
            <c:strRef>
              <c:f>'Quick Check'!$AE$4</c:f>
              <c:strCache>
                <c:ptCount val="1"/>
                <c:pt idx="0">
                  <c:v>HK Observed Swap</c:v>
                </c:pt>
              </c:strCache>
            </c:strRef>
          </c:tx>
          <c:marker>
            <c:symbol val="none"/>
          </c:marker>
          <c:val>
            <c:numRef>
              <c:f>'Quick Check'!$AE$5:$AE$19</c:f>
              <c:numCache>
                <c:formatCode>General</c:formatCode>
                <c:ptCount val="15"/>
                <c:pt idx="0">
                  <c:v>2.0655575624999978</c:v>
                </c:pt>
                <c:pt idx="1">
                  <c:v>1.8257582656249882</c:v>
                </c:pt>
                <c:pt idx="2">
                  <c:v>1.7475689999999933</c:v>
                </c:pt>
                <c:pt idx="3">
                  <c:v>1.7324390625000241</c:v>
                </c:pt>
                <c:pt idx="4">
                  <c:v>1.7374822500000109</c:v>
                </c:pt>
                <c:pt idx="5">
                  <c:v>1.7589171914062618</c:v>
                </c:pt>
                <c:pt idx="6">
                  <c:v>1.7803543906250052</c:v>
                </c:pt>
                <c:pt idx="7">
                  <c:v>1.814826777777756</c:v>
                </c:pt>
                <c:pt idx="8">
                  <c:v>1.8493050017361234</c:v>
                </c:pt>
                <c:pt idx="9">
                  <c:v>1.8837890624999742</c:v>
                </c:pt>
                <c:pt idx="10">
                  <c:v>1.9115487656250041</c:v>
                </c:pt>
                <c:pt idx="11">
                  <c:v>1.9393122499999915</c:v>
                </c:pt>
                <c:pt idx="12">
                  <c:v>1.9653965434027754</c:v>
                </c:pt>
                <c:pt idx="13">
                  <c:v>1.9914841736111244</c:v>
                </c:pt>
                <c:pt idx="14">
                  <c:v>2.0175751406249942</c:v>
                </c:pt>
              </c:numCache>
            </c:numRef>
          </c:val>
          <c:smooth val="0"/>
          <c:extLst>
            <c:ext xmlns:c16="http://schemas.microsoft.com/office/drawing/2014/chart" uri="{C3380CC4-5D6E-409C-BE32-E72D297353CC}">
              <c16:uniqueId val="{00000001-E4BF-4C39-A059-8B7B961F6DDB}"/>
            </c:ext>
          </c:extLst>
        </c:ser>
        <c:dLbls>
          <c:showLegendKey val="0"/>
          <c:showVal val="0"/>
          <c:showCatName val="0"/>
          <c:showSerName val="0"/>
          <c:showPercent val="0"/>
          <c:showBubbleSize val="0"/>
        </c:dLbls>
        <c:smooth val="0"/>
        <c:axId val="71851008"/>
        <c:axId val="71852800"/>
      </c:lineChart>
      <c:catAx>
        <c:axId val="71851008"/>
        <c:scaling>
          <c:orientation val="minMax"/>
        </c:scaling>
        <c:delete val="0"/>
        <c:axPos val="b"/>
        <c:majorTickMark val="out"/>
        <c:minorTickMark val="none"/>
        <c:tickLblPos val="nextTo"/>
        <c:crossAx val="71852800"/>
        <c:crosses val="autoZero"/>
        <c:auto val="1"/>
        <c:lblAlgn val="ctr"/>
        <c:lblOffset val="100"/>
        <c:noMultiLvlLbl val="0"/>
      </c:catAx>
      <c:valAx>
        <c:axId val="71852800"/>
        <c:scaling>
          <c:orientation val="minMax"/>
        </c:scaling>
        <c:delete val="0"/>
        <c:axPos val="l"/>
        <c:majorGridlines/>
        <c:numFmt formatCode="0.00" sourceLinked="1"/>
        <c:majorTickMark val="out"/>
        <c:minorTickMark val="none"/>
        <c:tickLblPos val="nextTo"/>
        <c:crossAx val="71851008"/>
        <c:crosses val="autoZero"/>
        <c:crossBetween val="between"/>
      </c:valAx>
    </c:plotArea>
    <c:legend>
      <c:legendPos val="b"/>
      <c:overlay val="0"/>
    </c:legend>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marker>
            <c:symbol val="none"/>
          </c:marker>
          <c:val>
            <c:numRef>
              <c:f>'Interpolations JPY'!$J$22:$J$51</c:f>
              <c:numCache>
                <c:formatCode>0.00%</c:formatCode>
                <c:ptCount val="30"/>
                <c:pt idx="0">
                  <c:v>-6.3739839843757196E-4</c:v>
                </c:pt>
                <c:pt idx="1">
                  <c:v>-9.872562109374261E-4</c:v>
                </c:pt>
                <c:pt idx="2">
                  <c:v>-1.1496693749999398E-3</c:v>
                </c:pt>
                <c:pt idx="3">
                  <c:v>-1.1496693749999398E-3</c:v>
                </c:pt>
                <c:pt idx="4">
                  <c:v>-1.031034105077433E-3</c:v>
                </c:pt>
                <c:pt idx="5">
                  <c:v>-8.4981937500006044E-4</c:v>
                </c:pt>
                <c:pt idx="6">
                  <c:v>-6.0020990997755597E-4</c:v>
                </c:pt>
                <c:pt idx="7">
                  <c:v>-3.1247558593738844E-4</c:v>
                </c:pt>
                <c:pt idx="8">
                  <c:v>1.2500039062501855E-5</c:v>
                </c:pt>
                <c:pt idx="9">
                  <c:v>3.5003062500016391E-4</c:v>
                </c:pt>
                <c:pt idx="10">
                  <c:v>6.8761816406270881E-4</c:v>
                </c:pt>
                <c:pt idx="11">
                  <c:v>1.0127562890622777E-3</c:v>
                </c:pt>
                <c:pt idx="12">
                  <c:v>1.3254389062500316E-3</c:v>
                </c:pt>
                <c:pt idx="13">
                  <c:v>1.6506806250000672E-3</c:v>
                </c:pt>
                <c:pt idx="14">
                  <c:v>1.9634628515623476E-3</c:v>
                </c:pt>
                <c:pt idx="15">
                  <c:v>2.1036051265623801E-3</c:v>
                </c:pt>
                <c:pt idx="16">
                  <c:v>2.3964340062498923E-3</c:v>
                </c:pt>
                <c:pt idx="17">
                  <c:v>2.6893056640624469E-3</c:v>
                </c:pt>
                <c:pt idx="18">
                  <c:v>2.7994565015623252E-3</c:v>
                </c:pt>
                <c:pt idx="19">
                  <c:v>3.1775201562500577E-3</c:v>
                </c:pt>
                <c:pt idx="20">
                  <c:v>3.3202514515626724E-3</c:v>
                </c:pt>
                <c:pt idx="21">
                  <c:v>3.4629929000000725E-3</c:v>
                </c:pt>
                <c:pt idx="22">
                  <c:v>3.6057445015624801E-3</c:v>
                </c:pt>
                <c:pt idx="23">
                  <c:v>3.748506256249895E-3</c:v>
                </c:pt>
                <c:pt idx="24">
                  <c:v>3.8912781640623173E-3</c:v>
                </c:pt>
                <c:pt idx="25">
                  <c:v>3.9814551265624498E-3</c:v>
                </c:pt>
                <c:pt idx="26">
                  <c:v>4.0716361390626954E-3</c:v>
                </c:pt>
                <c:pt idx="27">
                  <c:v>4.1618212015623879E-3</c:v>
                </c:pt>
                <c:pt idx="28">
                  <c:v>4.2520103140624155E-3</c:v>
                </c:pt>
                <c:pt idx="29">
                  <c:v>4.3422034765625561E-3</c:v>
                </c:pt>
              </c:numCache>
            </c:numRef>
          </c:val>
          <c:smooth val="0"/>
          <c:extLst>
            <c:ext xmlns:c16="http://schemas.microsoft.com/office/drawing/2014/chart" uri="{C3380CC4-5D6E-409C-BE32-E72D297353CC}">
              <c16:uniqueId val="{00000000-D906-4C85-BD2B-2404440F76F5}"/>
            </c:ext>
          </c:extLst>
        </c:ser>
        <c:dLbls>
          <c:showLegendKey val="0"/>
          <c:showVal val="0"/>
          <c:showCatName val="0"/>
          <c:showSerName val="0"/>
          <c:showPercent val="0"/>
          <c:showBubbleSize val="0"/>
        </c:dLbls>
        <c:smooth val="0"/>
        <c:axId val="72905856"/>
        <c:axId val="72907392"/>
      </c:lineChart>
      <c:catAx>
        <c:axId val="72905856"/>
        <c:scaling>
          <c:orientation val="minMax"/>
        </c:scaling>
        <c:delete val="0"/>
        <c:axPos val="b"/>
        <c:majorTickMark val="out"/>
        <c:minorTickMark val="none"/>
        <c:tickLblPos val="nextTo"/>
        <c:crossAx val="72907392"/>
        <c:crosses val="autoZero"/>
        <c:auto val="1"/>
        <c:lblAlgn val="ctr"/>
        <c:lblOffset val="100"/>
        <c:noMultiLvlLbl val="0"/>
      </c:catAx>
      <c:valAx>
        <c:axId val="72907392"/>
        <c:scaling>
          <c:orientation val="minMax"/>
        </c:scaling>
        <c:delete val="0"/>
        <c:axPos val="l"/>
        <c:majorGridlines/>
        <c:numFmt formatCode="0.00%" sourceLinked="1"/>
        <c:majorTickMark val="out"/>
        <c:minorTickMark val="none"/>
        <c:tickLblPos val="nextTo"/>
        <c:crossAx val="7290585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marker>
            <c:symbol val="none"/>
          </c:marker>
          <c:val>
            <c:numRef>
              <c:f>'Interpolations NZD'!$I$57:$I$71</c:f>
              <c:numCache>
                <c:formatCode>General</c:formatCode>
                <c:ptCount val="15"/>
                <c:pt idx="0">
                  <c:v>2.1869999999999998</c:v>
                </c:pt>
                <c:pt idx="1">
                  <c:v>2.177</c:v>
                </c:pt>
                <c:pt idx="2">
                  <c:v>2.2450000000000001</c:v>
                </c:pt>
                <c:pt idx="3">
                  <c:v>2.3450000000000002</c:v>
                </c:pt>
                <c:pt idx="4">
                  <c:v>2.4649999999999999</c:v>
                </c:pt>
                <c:pt idx="5">
                  <c:v>2.5825</c:v>
                </c:pt>
                <c:pt idx="6">
                  <c:v>2.7130000000000001</c:v>
                </c:pt>
                <c:pt idx="7">
                  <c:v>2.7825000000000002</c:v>
                </c:pt>
                <c:pt idx="8">
                  <c:v>2.87</c:v>
                </c:pt>
                <c:pt idx="9">
                  <c:v>2.9449999999999998</c:v>
                </c:pt>
                <c:pt idx="10">
                  <c:v>3.09</c:v>
                </c:pt>
                <c:pt idx="11">
                  <c:v>3.2725</c:v>
                </c:pt>
                <c:pt idx="12">
                  <c:v>3.456</c:v>
                </c:pt>
                <c:pt idx="13" formatCode="_-* #,##0.00_-;\-* #,##0.00_-;_-* &quot;-&quot;??_-;_-@_-">
                  <c:v>2.2974999999999999</c:v>
                </c:pt>
                <c:pt idx="14">
                  <c:v>0</c:v>
                </c:pt>
              </c:numCache>
            </c:numRef>
          </c:val>
          <c:smooth val="0"/>
          <c:extLst>
            <c:ext xmlns:c16="http://schemas.microsoft.com/office/drawing/2014/chart" uri="{C3380CC4-5D6E-409C-BE32-E72D297353CC}">
              <c16:uniqueId val="{00000000-64F9-47A7-AEA1-EBF213DB18D0}"/>
            </c:ext>
          </c:extLst>
        </c:ser>
        <c:ser>
          <c:idx val="1"/>
          <c:order val="1"/>
          <c:marker>
            <c:symbol val="none"/>
          </c:marker>
          <c:val>
            <c:numRef>
              <c:f>'Interpolations NZD'!$J$57:$J$71</c:f>
              <c:numCache>
                <c:formatCode>0.000</c:formatCode>
                <c:ptCount val="15"/>
                <c:pt idx="0">
                  <c:v>2.0986546693437509</c:v>
                </c:pt>
                <c:pt idx="1">
                  <c:v>2.2016719913185669</c:v>
                </c:pt>
                <c:pt idx="2">
                  <c:v>2.3022672486271434</c:v>
                </c:pt>
                <c:pt idx="3">
                  <c:v>2.4002981565014379</c:v>
                </c:pt>
                <c:pt idx="4">
                  <c:v>2.4956224301734076</c:v>
                </c:pt>
                <c:pt idx="5">
                  <c:v>2.5880977848750097</c:v>
                </c:pt>
                <c:pt idx="6">
                  <c:v>2.677581935838202</c:v>
                </c:pt>
                <c:pt idx="7">
                  <c:v>2.7639325982949416</c:v>
                </c:pt>
                <c:pt idx="8">
                  <c:v>2.8470074874771854</c:v>
                </c:pt>
                <c:pt idx="9">
                  <c:v>2.9266643186168921</c:v>
                </c:pt>
                <c:pt idx="10">
                  <c:v>3.0751546676965216</c:v>
                </c:pt>
                <c:pt idx="11">
                  <c:v>3.2686976367958676</c:v>
                </c:pt>
                <c:pt idx="12">
                  <c:v>3.5039367887050097</c:v>
                </c:pt>
                <c:pt idx="13">
                  <c:v>3.6145961783389957</c:v>
                </c:pt>
                <c:pt idx="14">
                  <c:v>3.5828902096924997</c:v>
                </c:pt>
              </c:numCache>
            </c:numRef>
          </c:val>
          <c:smooth val="0"/>
          <c:extLst>
            <c:ext xmlns:c16="http://schemas.microsoft.com/office/drawing/2014/chart" uri="{C3380CC4-5D6E-409C-BE32-E72D297353CC}">
              <c16:uniqueId val="{00000001-64F9-47A7-AEA1-EBF213DB18D0}"/>
            </c:ext>
          </c:extLst>
        </c:ser>
        <c:dLbls>
          <c:showLegendKey val="0"/>
          <c:showVal val="0"/>
          <c:showCatName val="0"/>
          <c:showSerName val="0"/>
          <c:showPercent val="0"/>
          <c:showBubbleSize val="0"/>
        </c:dLbls>
        <c:smooth val="0"/>
        <c:axId val="73175040"/>
        <c:axId val="73176576"/>
      </c:lineChart>
      <c:catAx>
        <c:axId val="73175040"/>
        <c:scaling>
          <c:orientation val="minMax"/>
        </c:scaling>
        <c:delete val="0"/>
        <c:axPos val="b"/>
        <c:majorTickMark val="out"/>
        <c:minorTickMark val="none"/>
        <c:tickLblPos val="nextTo"/>
        <c:crossAx val="73176576"/>
        <c:crosses val="autoZero"/>
        <c:auto val="1"/>
        <c:lblAlgn val="ctr"/>
        <c:lblOffset val="100"/>
        <c:noMultiLvlLbl val="0"/>
      </c:catAx>
      <c:valAx>
        <c:axId val="73176576"/>
        <c:scaling>
          <c:orientation val="minMax"/>
        </c:scaling>
        <c:delete val="0"/>
        <c:axPos val="l"/>
        <c:majorGridlines/>
        <c:numFmt formatCode="General" sourceLinked="1"/>
        <c:majorTickMark val="out"/>
        <c:minorTickMark val="none"/>
        <c:tickLblPos val="nextTo"/>
        <c:crossAx val="731750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marker>
            <c:symbol val="none"/>
          </c:marker>
          <c:val>
            <c:numRef>
              <c:f>'Interpolations NZD'!$M$57:$M$87</c:f>
              <c:numCache>
                <c:formatCode>0.000</c:formatCode>
                <c:ptCount val="31"/>
                <c:pt idx="0">
                  <c:v>2.0986546693437509</c:v>
                </c:pt>
                <c:pt idx="1">
                  <c:v>2.2016719913185669</c:v>
                </c:pt>
                <c:pt idx="2">
                  <c:v>2.3022672486271434</c:v>
                </c:pt>
                <c:pt idx="3">
                  <c:v>2.4002981565014379</c:v>
                </c:pt>
                <c:pt idx="4">
                  <c:v>2.4956224301734076</c:v>
                </c:pt>
                <c:pt idx="5">
                  <c:v>2.5880977848750097</c:v>
                </c:pt>
                <c:pt idx="6">
                  <c:v>2.677581935838202</c:v>
                </c:pt>
                <c:pt idx="7">
                  <c:v>2.7639325982949416</c:v>
                </c:pt>
                <c:pt idx="8">
                  <c:v>2.8470074874771854</c:v>
                </c:pt>
                <c:pt idx="9">
                  <c:v>2.9266643186168921</c:v>
                </c:pt>
                <c:pt idx="10">
                  <c:v>3.0027608069460188</c:v>
                </c:pt>
                <c:pt idx="11">
                  <c:v>3.0751546676965216</c:v>
                </c:pt>
                <c:pt idx="12">
                  <c:v>3.1437036161003595</c:v>
                </c:pt>
                <c:pt idx="13">
                  <c:v>3.2082653673894885</c:v>
                </c:pt>
                <c:pt idx="14">
                  <c:v>3.2686976367958676</c:v>
                </c:pt>
                <c:pt idx="15">
                  <c:v>3.3248581395514534</c:v>
                </c:pt>
                <c:pt idx="16">
                  <c:v>3.3766045908882028</c:v>
                </c:pt>
                <c:pt idx="17">
                  <c:v>3.4237947060380738</c:v>
                </c:pt>
                <c:pt idx="18">
                  <c:v>3.4662862002330241</c:v>
                </c:pt>
                <c:pt idx="19">
                  <c:v>3.5039367887050097</c:v>
                </c:pt>
                <c:pt idx="20">
                  <c:v>3.5366041866859899</c:v>
                </c:pt>
                <c:pt idx="21">
                  <c:v>3.564146109407921</c:v>
                </c:pt>
                <c:pt idx="22">
                  <c:v>3.5864202721027603</c:v>
                </c:pt>
                <c:pt idx="23">
                  <c:v>3.6032843900024663</c:v>
                </c:pt>
                <c:pt idx="24">
                  <c:v>3.6145961783389957</c:v>
                </c:pt>
                <c:pt idx="25">
                  <c:v>3.6202133523443045</c:v>
                </c:pt>
                <c:pt idx="26">
                  <c:v>3.619993627250353</c:v>
                </c:pt>
                <c:pt idx="27">
                  <c:v>3.6137947182890962</c:v>
                </c:pt>
                <c:pt idx="28">
                  <c:v>3.6014743406924925</c:v>
                </c:pt>
                <c:pt idx="29">
                  <c:v>3.5828902096924997</c:v>
                </c:pt>
                <c:pt idx="30">
                  <c:v>3.557900040521075</c:v>
                </c:pt>
              </c:numCache>
            </c:numRef>
          </c:val>
          <c:smooth val="0"/>
          <c:extLst>
            <c:ext xmlns:c16="http://schemas.microsoft.com/office/drawing/2014/chart" uri="{C3380CC4-5D6E-409C-BE32-E72D297353CC}">
              <c16:uniqueId val="{00000000-CF27-4108-900A-784DCFDE30DF}"/>
            </c:ext>
          </c:extLst>
        </c:ser>
        <c:dLbls>
          <c:showLegendKey val="0"/>
          <c:showVal val="0"/>
          <c:showCatName val="0"/>
          <c:showSerName val="0"/>
          <c:showPercent val="0"/>
          <c:showBubbleSize val="0"/>
        </c:dLbls>
        <c:smooth val="0"/>
        <c:axId val="73282304"/>
        <c:axId val="73283840"/>
      </c:lineChart>
      <c:catAx>
        <c:axId val="73282304"/>
        <c:scaling>
          <c:orientation val="minMax"/>
        </c:scaling>
        <c:delete val="0"/>
        <c:axPos val="b"/>
        <c:majorTickMark val="out"/>
        <c:minorTickMark val="none"/>
        <c:tickLblPos val="nextTo"/>
        <c:crossAx val="73283840"/>
        <c:crosses val="autoZero"/>
        <c:auto val="1"/>
        <c:lblAlgn val="ctr"/>
        <c:lblOffset val="100"/>
        <c:noMultiLvlLbl val="0"/>
      </c:catAx>
      <c:valAx>
        <c:axId val="73283840"/>
        <c:scaling>
          <c:orientation val="minMax"/>
        </c:scaling>
        <c:delete val="0"/>
        <c:axPos val="l"/>
        <c:majorGridlines/>
        <c:numFmt formatCode="0.000" sourceLinked="1"/>
        <c:majorTickMark val="out"/>
        <c:minorTickMark val="none"/>
        <c:tickLblPos val="nextTo"/>
        <c:crossAx val="7328230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marker>
            <c:symbol val="none"/>
          </c:marker>
          <c:val>
            <c:numRef>
              <c:f>'Interpolations HKD'!$I$57:$I$71</c:f>
              <c:numCache>
                <c:formatCode>General</c:formatCode>
                <c:ptCount val="15"/>
                <c:pt idx="0">
                  <c:v>2.1869999999999998</c:v>
                </c:pt>
                <c:pt idx="1">
                  <c:v>2.177</c:v>
                </c:pt>
                <c:pt idx="2">
                  <c:v>2.2450000000000001</c:v>
                </c:pt>
                <c:pt idx="3">
                  <c:v>2.3450000000000002</c:v>
                </c:pt>
                <c:pt idx="4">
                  <c:v>2.4649999999999999</c:v>
                </c:pt>
                <c:pt idx="5">
                  <c:v>2.5825</c:v>
                </c:pt>
                <c:pt idx="6">
                  <c:v>2.7130000000000001</c:v>
                </c:pt>
                <c:pt idx="7">
                  <c:v>2.7825000000000002</c:v>
                </c:pt>
                <c:pt idx="8">
                  <c:v>2.87</c:v>
                </c:pt>
                <c:pt idx="9">
                  <c:v>2.9449999999999998</c:v>
                </c:pt>
                <c:pt idx="10">
                  <c:v>3.09</c:v>
                </c:pt>
                <c:pt idx="11">
                  <c:v>3.2725</c:v>
                </c:pt>
                <c:pt idx="12">
                  <c:v>3.456</c:v>
                </c:pt>
                <c:pt idx="13" formatCode="_-* #,##0.00_-;\-* #,##0.00_-;_-* &quot;-&quot;??_-;_-@_-">
                  <c:v>0</c:v>
                </c:pt>
                <c:pt idx="14">
                  <c:v>0</c:v>
                </c:pt>
              </c:numCache>
            </c:numRef>
          </c:val>
          <c:smooth val="0"/>
          <c:extLst>
            <c:ext xmlns:c16="http://schemas.microsoft.com/office/drawing/2014/chart" uri="{C3380CC4-5D6E-409C-BE32-E72D297353CC}">
              <c16:uniqueId val="{00000000-5421-4840-A513-3D00043814D8}"/>
            </c:ext>
          </c:extLst>
        </c:ser>
        <c:ser>
          <c:idx val="1"/>
          <c:order val="1"/>
          <c:marker>
            <c:symbol val="none"/>
          </c:marker>
          <c:val>
            <c:numRef>
              <c:f>'Interpolations HKD'!$J$57:$J$71</c:f>
              <c:numCache>
                <c:formatCode>0.000</c:formatCode>
                <c:ptCount val="15"/>
                <c:pt idx="0">
                  <c:v>2.0986546693437509</c:v>
                </c:pt>
                <c:pt idx="1">
                  <c:v>2.2016719913185669</c:v>
                </c:pt>
                <c:pt idx="2">
                  <c:v>2.3022672486271434</c:v>
                </c:pt>
                <c:pt idx="3">
                  <c:v>2.4002981565014379</c:v>
                </c:pt>
                <c:pt idx="4">
                  <c:v>2.4956224301734076</c:v>
                </c:pt>
                <c:pt idx="5">
                  <c:v>2.5880977848750097</c:v>
                </c:pt>
                <c:pt idx="6">
                  <c:v>2.677581935838202</c:v>
                </c:pt>
                <c:pt idx="7">
                  <c:v>2.7639325982949416</c:v>
                </c:pt>
                <c:pt idx="8">
                  <c:v>2.8470074874771854</c:v>
                </c:pt>
                <c:pt idx="9">
                  <c:v>2.9266643186168921</c:v>
                </c:pt>
                <c:pt idx="10">
                  <c:v>3.0751546676965216</c:v>
                </c:pt>
                <c:pt idx="11">
                  <c:v>3.2686976367958676</c:v>
                </c:pt>
                <c:pt idx="12">
                  <c:v>3.5039367887050097</c:v>
                </c:pt>
                <c:pt idx="13">
                  <c:v>3.6145961783389957</c:v>
                </c:pt>
                <c:pt idx="14">
                  <c:v>3.5828902096924997</c:v>
                </c:pt>
              </c:numCache>
            </c:numRef>
          </c:val>
          <c:smooth val="0"/>
          <c:extLst>
            <c:ext xmlns:c16="http://schemas.microsoft.com/office/drawing/2014/chart" uri="{C3380CC4-5D6E-409C-BE32-E72D297353CC}">
              <c16:uniqueId val="{00000001-5421-4840-A513-3D00043814D8}"/>
            </c:ext>
          </c:extLst>
        </c:ser>
        <c:dLbls>
          <c:showLegendKey val="0"/>
          <c:showVal val="0"/>
          <c:showCatName val="0"/>
          <c:showSerName val="0"/>
          <c:showPercent val="0"/>
          <c:showBubbleSize val="0"/>
        </c:dLbls>
        <c:smooth val="0"/>
        <c:axId val="73362816"/>
        <c:axId val="73376896"/>
      </c:lineChart>
      <c:catAx>
        <c:axId val="73362816"/>
        <c:scaling>
          <c:orientation val="minMax"/>
        </c:scaling>
        <c:delete val="0"/>
        <c:axPos val="b"/>
        <c:majorTickMark val="out"/>
        <c:minorTickMark val="none"/>
        <c:tickLblPos val="nextTo"/>
        <c:crossAx val="73376896"/>
        <c:crosses val="autoZero"/>
        <c:auto val="1"/>
        <c:lblAlgn val="ctr"/>
        <c:lblOffset val="100"/>
        <c:noMultiLvlLbl val="0"/>
      </c:catAx>
      <c:valAx>
        <c:axId val="73376896"/>
        <c:scaling>
          <c:orientation val="minMax"/>
        </c:scaling>
        <c:delete val="0"/>
        <c:axPos val="l"/>
        <c:majorGridlines/>
        <c:numFmt formatCode="General" sourceLinked="1"/>
        <c:majorTickMark val="out"/>
        <c:minorTickMark val="none"/>
        <c:tickLblPos val="nextTo"/>
        <c:crossAx val="7336281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marker>
            <c:symbol val="none"/>
          </c:marker>
          <c:val>
            <c:numRef>
              <c:f>'Interpolations HKD'!$M$57:$M$87</c:f>
              <c:numCache>
                <c:formatCode>0.000</c:formatCode>
                <c:ptCount val="31"/>
                <c:pt idx="0">
                  <c:v>2.0986546693437509</c:v>
                </c:pt>
                <c:pt idx="1">
                  <c:v>2.2016719913185669</c:v>
                </c:pt>
                <c:pt idx="2">
                  <c:v>2.3022672486271434</c:v>
                </c:pt>
                <c:pt idx="3">
                  <c:v>2.4002981565014379</c:v>
                </c:pt>
                <c:pt idx="4">
                  <c:v>2.4956224301734076</c:v>
                </c:pt>
                <c:pt idx="5">
                  <c:v>2.5880977848750097</c:v>
                </c:pt>
                <c:pt idx="6">
                  <c:v>2.677581935838202</c:v>
                </c:pt>
                <c:pt idx="7">
                  <c:v>2.7639325982949416</c:v>
                </c:pt>
                <c:pt idx="8">
                  <c:v>2.8470074874771854</c:v>
                </c:pt>
                <c:pt idx="9">
                  <c:v>2.9266643186168921</c:v>
                </c:pt>
                <c:pt idx="10">
                  <c:v>3.0027608069460188</c:v>
                </c:pt>
                <c:pt idx="11">
                  <c:v>3.0751546676965216</c:v>
                </c:pt>
                <c:pt idx="12">
                  <c:v>3.1437036161003595</c:v>
                </c:pt>
                <c:pt idx="13">
                  <c:v>3.2082653673894885</c:v>
                </c:pt>
                <c:pt idx="14">
                  <c:v>3.2686976367958676</c:v>
                </c:pt>
                <c:pt idx="15">
                  <c:v>3.3248581395514534</c:v>
                </c:pt>
                <c:pt idx="16">
                  <c:v>3.3766045908882028</c:v>
                </c:pt>
                <c:pt idx="17">
                  <c:v>3.4237947060380738</c:v>
                </c:pt>
                <c:pt idx="18">
                  <c:v>3.4662862002330241</c:v>
                </c:pt>
                <c:pt idx="19">
                  <c:v>3.5039367887050097</c:v>
                </c:pt>
                <c:pt idx="20">
                  <c:v>3.5366041866859899</c:v>
                </c:pt>
                <c:pt idx="21">
                  <c:v>3.564146109407921</c:v>
                </c:pt>
                <c:pt idx="22">
                  <c:v>3.5864202721027603</c:v>
                </c:pt>
                <c:pt idx="23">
                  <c:v>3.6032843900024663</c:v>
                </c:pt>
                <c:pt idx="24">
                  <c:v>3.6145961783389957</c:v>
                </c:pt>
                <c:pt idx="25">
                  <c:v>3.6202133523443045</c:v>
                </c:pt>
                <c:pt idx="26">
                  <c:v>3.619993627250353</c:v>
                </c:pt>
                <c:pt idx="27">
                  <c:v>3.6137947182890962</c:v>
                </c:pt>
                <c:pt idx="28">
                  <c:v>3.6014743406924925</c:v>
                </c:pt>
                <c:pt idx="29">
                  <c:v>3.5828902096924997</c:v>
                </c:pt>
                <c:pt idx="30">
                  <c:v>3.557900040521075</c:v>
                </c:pt>
              </c:numCache>
            </c:numRef>
          </c:val>
          <c:smooth val="0"/>
          <c:extLst>
            <c:ext xmlns:c16="http://schemas.microsoft.com/office/drawing/2014/chart" uri="{C3380CC4-5D6E-409C-BE32-E72D297353CC}">
              <c16:uniqueId val="{00000000-9FED-48E2-8AC4-F1CBF56E5BB4}"/>
            </c:ext>
          </c:extLst>
        </c:ser>
        <c:dLbls>
          <c:showLegendKey val="0"/>
          <c:showVal val="0"/>
          <c:showCatName val="0"/>
          <c:showSerName val="0"/>
          <c:showPercent val="0"/>
          <c:showBubbleSize val="0"/>
        </c:dLbls>
        <c:smooth val="0"/>
        <c:axId val="73396992"/>
        <c:axId val="73398528"/>
      </c:lineChart>
      <c:catAx>
        <c:axId val="73396992"/>
        <c:scaling>
          <c:orientation val="minMax"/>
        </c:scaling>
        <c:delete val="0"/>
        <c:axPos val="b"/>
        <c:majorTickMark val="out"/>
        <c:minorTickMark val="none"/>
        <c:tickLblPos val="nextTo"/>
        <c:crossAx val="73398528"/>
        <c:crosses val="autoZero"/>
        <c:auto val="1"/>
        <c:lblAlgn val="ctr"/>
        <c:lblOffset val="100"/>
        <c:noMultiLvlLbl val="0"/>
      </c:catAx>
      <c:valAx>
        <c:axId val="73398528"/>
        <c:scaling>
          <c:orientation val="minMax"/>
        </c:scaling>
        <c:delete val="0"/>
        <c:axPos val="l"/>
        <c:majorGridlines/>
        <c:numFmt formatCode="0.000" sourceLinked="1"/>
        <c:majorTickMark val="out"/>
        <c:minorTickMark val="none"/>
        <c:tickLblPos val="nextTo"/>
        <c:crossAx val="7339699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no"?>
<Relationships xmlns="http://schemas.openxmlformats.org/package/2006/relationships">
<Relationship Id="rId1" Target="../media/image1.png" Type="http://schemas.openxmlformats.org/officeDocument/2006/relationships/image"/>
</Relationships>

</file>

<file path=xl/drawings/_rels/drawing2.xml.rels><?xml version="1.0" encoding="UTF-8" standalone="no"?>
<Relationships xmlns="http://schemas.openxmlformats.org/package/2006/relationships">
<Relationship Id="rId1" Target="../charts/chart1.xml" Type="http://schemas.openxmlformats.org/officeDocument/2006/relationships/chart"/>
<Relationship Id="rId2" Target="../charts/chart2.xml" Type="http://schemas.openxmlformats.org/officeDocument/2006/relationships/chart"/>
<Relationship Id="rId3" Target="../charts/chart3.xml" Type="http://schemas.openxmlformats.org/officeDocument/2006/relationships/chart"/>
<Relationship Id="rId4" Target="../charts/chart4.xml" Type="http://schemas.openxmlformats.org/officeDocument/2006/relationships/chart"/>
<Relationship Id="rId5" Target="../charts/chart5.xml" Type="http://schemas.openxmlformats.org/officeDocument/2006/relationships/chart"/>
<Relationship Id="rId6" Target="../charts/chart6.xml" Type="http://schemas.openxmlformats.org/officeDocument/2006/relationships/chart"/>
<Relationship Id="rId7" Target="../charts/chart7.xml" Type="http://schemas.openxmlformats.org/officeDocument/2006/relationships/chart"/>
<Relationship Id="rId8" Target="../charts/chart8.xml" Type="http://schemas.openxmlformats.org/officeDocument/2006/relationships/chart"/>
<Relationship Id="rId9" Target="../charts/chart9.xml" Type="http://schemas.openxmlformats.org/officeDocument/2006/relationships/chart"/>
</Relationships>

</file>

<file path=xl/drawings/_rels/drawing3.xml.rels><?xml version="1.0" encoding="UTF-8" standalone="no"?>
<Relationships xmlns="http://schemas.openxmlformats.org/package/2006/relationships">
<Relationship Id="rId1" Target="../charts/chart10.xml" Type="http://schemas.openxmlformats.org/officeDocument/2006/relationships/chart"/>
</Relationships>

</file>

<file path=xl/drawings/_rels/drawing4.xml.rels><?xml version="1.0" encoding="UTF-8" standalone="no"?>
<Relationships xmlns="http://schemas.openxmlformats.org/package/2006/relationships">
<Relationship Id="rId1" Target="../charts/chart11.xml" Type="http://schemas.openxmlformats.org/officeDocument/2006/relationships/chart"/>
<Relationship Id="rId2" Target="../charts/chart12.xml" Type="http://schemas.openxmlformats.org/officeDocument/2006/relationships/chart"/>
<Relationship Id="rId3" Target="../charts/chart13.xml" Type="http://schemas.openxmlformats.org/officeDocument/2006/relationships/chart"/>
<Relationship Id="rId4" Target="../charts/chart14.xml" Type="http://schemas.openxmlformats.org/officeDocument/2006/relationships/chart"/>
<Relationship Id="rId5" Target="../charts/chart15.xml" Type="http://schemas.openxmlformats.org/officeDocument/2006/relationships/chart"/>
<Relationship Id="rId6" Target="../charts/chart16.xml" Type="http://schemas.openxmlformats.org/officeDocument/2006/relationships/chart"/>
<Relationship Id="rId7" Target="../charts/chart17.xml" Type="http://schemas.openxmlformats.org/officeDocument/2006/relationships/chart"/>
<Relationship Id="rId8" Target="../charts/chart18.xml" Type="http://schemas.openxmlformats.org/officeDocument/2006/relationships/chart"/>
<Relationship Id="rId9" Target="../charts/chart19.xml" Type="http://schemas.openxmlformats.org/officeDocument/2006/relationships/chart"/>
</Relationships>

</file>

<file path=xl/drawings/_rels/drawing5.xml.rels><?xml version="1.0" encoding="UTF-8" standalone="no"?>
<Relationships xmlns="http://schemas.openxmlformats.org/package/2006/relationships">
<Relationship Id="rId1" Target="../charts/chart20.xml" Type="http://schemas.openxmlformats.org/officeDocument/2006/relationships/chart"/>
</Relationships>

</file>

<file path=xl/drawings/_rels/drawing6.xml.rels><?xml version="1.0" encoding="UTF-8" standalone="no"?>
<Relationships xmlns="http://schemas.openxmlformats.org/package/2006/relationships">
<Relationship Id="rId1" Target="../charts/chart21.xml" Type="http://schemas.openxmlformats.org/officeDocument/2006/relationships/chart"/>
<Relationship Id="rId2" Target="../charts/chart22.xml" Type="http://schemas.openxmlformats.org/officeDocument/2006/relationships/chart"/>
</Relationships>

</file>

<file path=xl/drawings/_rels/drawing7.xml.rels><?xml version="1.0" encoding="UTF-8" standalone="no"?>
<Relationships xmlns="http://schemas.openxmlformats.org/package/2006/relationships">
<Relationship Id="rId1" Target="../charts/chart23.xml" Type="http://schemas.openxmlformats.org/officeDocument/2006/relationships/chart"/>
<Relationship Id="rId2" Target="../charts/chart24.xml" Type="http://schemas.openxmlformats.org/officeDocument/2006/relationships/chart"/>
</Relationships>

</file>

<file path=xl/drawings/drawing1.xml><?xml version="1.0" encoding="utf-8"?>
<xdr:wsDr xmlns:xdr="http://schemas.openxmlformats.org/drawingml/2006/spreadsheetDrawing" xmlns:a="http://schemas.openxmlformats.org/drawingml/2006/main">
  <xdr:twoCellAnchor>
    <xdr:from>
      <xdr:col>0</xdr:col>
      <xdr:colOff>381000</xdr:colOff>
      <xdr:row>7</xdr:row>
      <xdr:rowOff>76200</xdr:rowOff>
    </xdr:from>
    <xdr:to>
      <xdr:col>15</xdr:col>
      <xdr:colOff>542925</xdr:colOff>
      <xdr:row>37</xdr:row>
      <xdr:rowOff>57150</xdr:rowOff>
    </xdr:to>
    <xdr:sp macro="" textlink="">
      <xdr:nvSpPr>
        <xdr:cNvPr id="2" name="TextBox 1"/>
        <xdr:cNvSpPr txBox="1"/>
      </xdr:nvSpPr>
      <xdr:spPr>
        <a:xfrm>
          <a:off x="381000" y="1209675"/>
          <a:ext cx="11049000" cy="4838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b="1"/>
            <a:t>Instructions for the Spreadsheet </a:t>
          </a:r>
          <a:endParaRPr lang="en-GB" sz="1100" b="1" baseline="0"/>
        </a:p>
        <a:p>
          <a:pPr marL="0" marR="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GB" sz="1100" baseline="0">
              <a:solidFill>
                <a:schemeClr val="dk1"/>
              </a:solidFill>
              <a:effectLst/>
              <a:latin typeface="+mn-lt"/>
              <a:ea typeface="+mn-ea"/>
              <a:cs typeface="+mn-cs"/>
            </a:rPr>
            <a:t>1) First, in the current tab one should input the UFR, the date when all the input data are refered and the credit adjustment (cells D40-D42).  Next, observable sovereign bond data is collectd and summarized in the tab "Bond Data".</a:t>
          </a:r>
          <a:endParaRPr lang="en-GB">
            <a:effectLst/>
          </a:endParaRPr>
        </a:p>
        <a:p>
          <a:endParaRPr lang="en-GB" sz="1100" baseline="0"/>
        </a:p>
        <a:p>
          <a:r>
            <a:rPr lang="en-GB" sz="1100" baseline="0"/>
            <a:t>2) Next, the Nelson Siegel Svenson technique is first applied to  the sovereign bonds to develop a smoothed spot rate yield curve.  This is done for each currency in the appropriate </a:t>
          </a:r>
          <a:r>
            <a:rPr lang="en-GB" sz="1100" baseline="0">
              <a:solidFill>
                <a:schemeClr val="dk1"/>
              </a:solidFill>
              <a:effectLst/>
              <a:latin typeface="+mn-lt"/>
              <a:ea typeface="+mn-ea"/>
              <a:cs typeface="+mn-cs"/>
            </a:rPr>
            <a:t> green  "Yield Curve" tab.</a:t>
          </a:r>
          <a:r>
            <a:rPr lang="en-GB" sz="1100" baseline="0"/>
            <a:t> The yellow cell with the  red font is the UFR.  Keeping this parameter constant, SOLVER is used to solve for the remaining NSS parameters for that currency.  The resulting NSS parameters are collected in rows  116-121 of the "All Curves" tab  and the corresponding spot rate curve is shown under "Spot Rate" (columns C, L, U, etc.).</a:t>
          </a:r>
        </a:p>
        <a:p>
          <a:endParaRPr lang="en-GB" sz="1100" baseline="0"/>
        </a:p>
        <a:p>
          <a:r>
            <a:rPr lang="en-GB" sz="1100" baseline="0"/>
            <a:t>3) Next, the rates are calibrated to reflect Swap rates on the Swap  Adjustment tab.  First, all rates are converted to annual rates, then a linear regression is performed against the difference between the bond rates and the corresponding swap rates.  We make the swap adjustment because swap curves cannot be interpolated with good fitting properties using the Nelson Siegel Svenson technique.</a:t>
          </a:r>
        </a:p>
        <a:p>
          <a:endParaRPr lang="en-GB" sz="1100" baseline="0"/>
        </a:p>
        <a:p>
          <a:r>
            <a:rPr lang="en-GB" sz="1100" baseline="0"/>
            <a:t>4) Next, we spline the regression result for year 1, 30 and 60 (last liquid point) by forcing the 60 year difference to be zero (see "Spline" tab), and then apply a 10 bp credit adjustment. The credit adjustment is used to capture some credit risk in the overall economy.</a:t>
          </a:r>
        </a:p>
        <a:p>
          <a:endParaRPr lang="en-GB" sz="1100" baseline="0"/>
        </a:p>
        <a:p>
          <a:r>
            <a:rPr lang="en-GB" sz="1100" baseline="0"/>
            <a:t>5) The splined results  are used  to apply the swap rate adjustment to the spot rates from Step 1 on the tab All Curves.  Using USD as an example, the adjustment steps are as follows:</a:t>
          </a:r>
        </a:p>
        <a:p>
          <a:r>
            <a:rPr lang="en-GB" sz="1100" baseline="0"/>
            <a:t> </a:t>
          </a:r>
        </a:p>
        <a:p>
          <a:r>
            <a:rPr lang="en-GB" sz="1100" baseline="0"/>
            <a:t>a) The swap rate adjustment (column D) is added to the spot rate (column C) to produce the adjusted  spot rate  (column E). </a:t>
          </a:r>
        </a:p>
        <a:p>
          <a:r>
            <a:rPr lang="en-GB" sz="1100" baseline="0"/>
            <a:t>b) Next , we  back out the implied forward rate (column F) from this spot curve.  As a result of the adjustments, the resulting long term forward rates have changed and are no longer fixed.  </a:t>
          </a:r>
        </a:p>
        <a:p>
          <a:r>
            <a:rPr lang="en-GB" sz="1100" baseline="0"/>
            <a:t>c) To fix the  forward rates to be consistent with desired UFR, we keep the forward rates after the swap adjustment as they are up to year 30. We call year 30 as the Last Liquid Point (LLP). Then we calculate the difference between the UFR and the 60 year implied forward rate after the swap adjustment (shown in cell G5). We subtract linearly a (x-30)/30*$G$5 where x=1,...,30 of the difference between the UFR and the 60 year implied </a:t>
          </a:r>
          <a:r>
            <a:rPr lang="en-GB" sz="1100" baseline="0">
              <a:solidFill>
                <a:schemeClr val="dk1"/>
              </a:solidFill>
              <a:effectLst/>
              <a:latin typeface="+mn-lt"/>
              <a:ea typeface="+mn-ea"/>
              <a:cs typeface="+mn-cs"/>
            </a:rPr>
            <a:t>forward rate after the swap adjustment. In this way we keep the forward rate after the swap adjustment at the UFR.  This is column H.</a:t>
          </a:r>
        </a:p>
        <a:p>
          <a:r>
            <a:rPr lang="en-GB" sz="1100" baseline="0">
              <a:solidFill>
                <a:schemeClr val="dk1"/>
              </a:solidFill>
              <a:effectLst/>
              <a:latin typeface="+mn-lt"/>
              <a:ea typeface="+mn-ea"/>
              <a:cs typeface="+mn-cs"/>
            </a:rPr>
            <a:t>d)From column H we back out the implied spot curve which is column I.</a:t>
          </a:r>
        </a:p>
        <a:p>
          <a:endParaRPr lang="en-GB" sz="1100" baseline="0">
            <a:solidFill>
              <a:schemeClr val="dk1"/>
            </a:solidFill>
            <a:effectLst/>
            <a:latin typeface="+mn-lt"/>
            <a:ea typeface="+mn-ea"/>
            <a:cs typeface="+mn-cs"/>
          </a:endParaRPr>
        </a:p>
        <a:p>
          <a:r>
            <a:rPr lang="en-GB" sz="1100" baseline="0">
              <a:solidFill>
                <a:schemeClr val="dk1"/>
              </a:solidFill>
              <a:effectLst/>
              <a:latin typeface="+mn-lt"/>
              <a:ea typeface="+mn-ea"/>
              <a:cs typeface="+mn-cs"/>
            </a:rPr>
            <a:t>6) All spot curves are collected in the Results tab and charts of the resulting charts are found in the charts tab.</a:t>
          </a:r>
        </a:p>
      </xdr:txBody>
    </xdr:sp>
    <xdr:clientData/>
  </xdr:twoCellAnchor>
  <xdr:twoCellAnchor>
    <xdr:from>
      <xdr:col>2</xdr:col>
      <xdr:colOff>371475</xdr:colOff>
      <xdr:row>37</xdr:row>
      <xdr:rowOff>57150</xdr:rowOff>
    </xdr:from>
    <xdr:to>
      <xdr:col>3</xdr:col>
      <xdr:colOff>542925</xdr:colOff>
      <xdr:row>38</xdr:row>
      <xdr:rowOff>142875</xdr:rowOff>
    </xdr:to>
    <xdr:sp macro="" textlink="">
      <xdr:nvSpPr>
        <xdr:cNvPr id="3" name="TextBox 2"/>
        <xdr:cNvSpPr txBox="1"/>
      </xdr:nvSpPr>
      <xdr:spPr>
        <a:xfrm>
          <a:off x="1666875" y="6048375"/>
          <a:ext cx="2381250"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b="1"/>
            <a:t>Optimization</a:t>
          </a:r>
          <a:r>
            <a:rPr lang="en-GB" sz="1100" b="1" baseline="0"/>
            <a:t> Parameters</a:t>
          </a:r>
          <a:endParaRPr lang="en-GB" sz="1100" b="1"/>
        </a:p>
      </xdr:txBody>
    </xdr:sp>
    <xdr:clientData/>
  </xdr:twoCellAnchor>
  <xdr:twoCellAnchor editAs="oneCell">
    <xdr:from>
      <xdr:col>0</xdr:col>
      <xdr:colOff>457200</xdr:colOff>
      <xdr:row>1</xdr:row>
      <xdr:rowOff>85725</xdr:rowOff>
    </xdr:from>
    <xdr:to>
      <xdr:col>2</xdr:col>
      <xdr:colOff>1085850</xdr:colOff>
      <xdr:row>8</xdr:row>
      <xdr:rowOff>101447</xdr:rowOff>
    </xdr:to>
    <xdr:pic>
      <xdr:nvPicPr>
        <xdr:cNvPr id="4" name="Picture 3" descr="http://upload.wikimedia.org/wikipedia/en/f/fb/BMA-bm-logo.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7200" y="247650"/>
          <a:ext cx="1924050" cy="11491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247650</xdr:colOff>
      <xdr:row>37</xdr:row>
      <xdr:rowOff>19050</xdr:rowOff>
    </xdr:from>
    <xdr:to>
      <xdr:col>14</xdr:col>
      <xdr:colOff>176213</xdr:colOff>
      <xdr:row>54</xdr:row>
      <xdr:rowOff>9525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152400</xdr:colOff>
      <xdr:row>0</xdr:row>
      <xdr:rowOff>66675</xdr:rowOff>
    </xdr:from>
    <xdr:to>
      <xdr:col>7</xdr:col>
      <xdr:colOff>80963</xdr:colOff>
      <xdr:row>17</xdr:row>
      <xdr:rowOff>57150</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228600</xdr:colOff>
      <xdr:row>0</xdr:row>
      <xdr:rowOff>76200</xdr:rowOff>
    </xdr:from>
    <xdr:to>
      <xdr:col>14</xdr:col>
      <xdr:colOff>157163</xdr:colOff>
      <xdr:row>17</xdr:row>
      <xdr:rowOff>66675</xdr:rowOff>
    </xdr:to>
    <xdr:graphicFrame macro="">
      <xdr:nvGraphicFramePr>
        <xdr:cNvPr id="4"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247650</xdr:colOff>
      <xdr:row>19</xdr:row>
      <xdr:rowOff>0</xdr:rowOff>
    </xdr:from>
    <xdr:to>
      <xdr:col>14</xdr:col>
      <xdr:colOff>176213</xdr:colOff>
      <xdr:row>35</xdr:row>
      <xdr:rowOff>152400</xdr:rowOff>
    </xdr:to>
    <xdr:graphicFrame macro="">
      <xdr:nvGraphicFramePr>
        <xdr:cNvPr id="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133350</xdr:colOff>
      <xdr:row>19</xdr:row>
      <xdr:rowOff>0</xdr:rowOff>
    </xdr:from>
    <xdr:to>
      <xdr:col>7</xdr:col>
      <xdr:colOff>61913</xdr:colOff>
      <xdr:row>35</xdr:row>
      <xdr:rowOff>152400</xdr:rowOff>
    </xdr:to>
    <xdr:graphicFrame macro="">
      <xdr:nvGraphicFramePr>
        <xdr:cNvPr id="6"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171450</xdr:colOff>
      <xdr:row>37</xdr:row>
      <xdr:rowOff>28575</xdr:rowOff>
    </xdr:from>
    <xdr:to>
      <xdr:col>7</xdr:col>
      <xdr:colOff>100013</xdr:colOff>
      <xdr:row>54</xdr:row>
      <xdr:rowOff>19050</xdr:rowOff>
    </xdr:to>
    <xdr:graphicFrame macro="">
      <xdr:nvGraphicFramePr>
        <xdr:cNvPr id="7"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14</xdr:col>
      <xdr:colOff>342900</xdr:colOff>
      <xdr:row>0</xdr:row>
      <xdr:rowOff>85725</xdr:rowOff>
    </xdr:from>
    <xdr:to>
      <xdr:col>21</xdr:col>
      <xdr:colOff>271463</xdr:colOff>
      <xdr:row>17</xdr:row>
      <xdr:rowOff>76200</xdr:rowOff>
    </xdr:to>
    <xdr:graphicFrame macro="">
      <xdr:nvGraphicFramePr>
        <xdr:cNvPr id="8"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14</xdr:col>
      <xdr:colOff>342900</xdr:colOff>
      <xdr:row>19</xdr:row>
      <xdr:rowOff>0</xdr:rowOff>
    </xdr:from>
    <xdr:to>
      <xdr:col>21</xdr:col>
      <xdr:colOff>271463</xdr:colOff>
      <xdr:row>35</xdr:row>
      <xdr:rowOff>152400</xdr:rowOff>
    </xdr:to>
    <xdr:graphicFrame macro="">
      <xdr:nvGraphicFramePr>
        <xdr:cNvPr id="9" name="Chart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14</xdr:col>
      <xdr:colOff>400050</xdr:colOff>
      <xdr:row>37</xdr:row>
      <xdr:rowOff>0</xdr:rowOff>
    </xdr:from>
    <xdr:to>
      <xdr:col>21</xdr:col>
      <xdr:colOff>328613</xdr:colOff>
      <xdr:row>53</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9</xdr:col>
      <xdr:colOff>166687</xdr:colOff>
      <xdr:row>77</xdr:row>
      <xdr:rowOff>85725</xdr:rowOff>
    </xdr:from>
    <xdr:to>
      <xdr:col>16</xdr:col>
      <xdr:colOff>471487</xdr:colOff>
      <xdr:row>94</xdr:row>
      <xdr:rowOff>76200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12</xdr:col>
      <xdr:colOff>23812</xdr:colOff>
      <xdr:row>36</xdr:row>
      <xdr:rowOff>9525</xdr:rowOff>
    </xdr:from>
    <xdr:to>
      <xdr:col>19</xdr:col>
      <xdr:colOff>223837</xdr:colOff>
      <xdr:row>52</xdr:row>
      <xdr:rowOff>133350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36</xdr:row>
      <xdr:rowOff>0</xdr:rowOff>
    </xdr:from>
    <xdr:to>
      <xdr:col>27</xdr:col>
      <xdr:colOff>304800</xdr:colOff>
      <xdr:row>52</xdr:row>
      <xdr:rowOff>123825</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12</xdr:col>
      <xdr:colOff>0</xdr:colOff>
      <xdr:row>54</xdr:row>
      <xdr:rowOff>0</xdr:rowOff>
    </xdr:from>
    <xdr:to>
      <xdr:col>19</xdr:col>
      <xdr:colOff>200025</xdr:colOff>
      <xdr:row>70</xdr:row>
      <xdr:rowOff>152400</xdr:rowOff>
    </xdr:to>
    <xdr:graphicFrame macro="">
      <xdr:nvGraphicFramePr>
        <xdr:cNvPr id="4"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20</xdr:col>
      <xdr:colOff>0</xdr:colOff>
      <xdr:row>54</xdr:row>
      <xdr:rowOff>0</xdr:rowOff>
    </xdr:from>
    <xdr:to>
      <xdr:col>27</xdr:col>
      <xdr:colOff>304800</xdr:colOff>
      <xdr:row>70</xdr:row>
      <xdr:rowOff>152400</xdr:rowOff>
    </xdr:to>
    <xdr:graphicFrame macro="">
      <xdr:nvGraphicFramePr>
        <xdr:cNvPr id="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0</xdr:colOff>
      <xdr:row>72</xdr:row>
      <xdr:rowOff>0</xdr:rowOff>
    </xdr:from>
    <xdr:to>
      <xdr:col>19</xdr:col>
      <xdr:colOff>200025</xdr:colOff>
      <xdr:row>88</xdr:row>
      <xdr:rowOff>152400</xdr:rowOff>
    </xdr:to>
    <xdr:graphicFrame macro="">
      <xdr:nvGraphicFramePr>
        <xdr:cNvPr id="6"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20</xdr:col>
      <xdr:colOff>0</xdr:colOff>
      <xdr:row>72</xdr:row>
      <xdr:rowOff>0</xdr:rowOff>
    </xdr:from>
    <xdr:to>
      <xdr:col>27</xdr:col>
      <xdr:colOff>304800</xdr:colOff>
      <xdr:row>88</xdr:row>
      <xdr:rowOff>152400</xdr:rowOff>
    </xdr:to>
    <xdr:graphicFrame macro="">
      <xdr:nvGraphicFramePr>
        <xdr:cNvPr id="7"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28</xdr:col>
      <xdr:colOff>0</xdr:colOff>
      <xdr:row>36</xdr:row>
      <xdr:rowOff>0</xdr:rowOff>
    </xdr:from>
    <xdr:to>
      <xdr:col>35</xdr:col>
      <xdr:colOff>304800</xdr:colOff>
      <xdr:row>52</xdr:row>
      <xdr:rowOff>123825</xdr:rowOff>
    </xdr:to>
    <xdr:graphicFrame macro="">
      <xdr:nvGraphicFramePr>
        <xdr:cNvPr id="8"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28</xdr:col>
      <xdr:colOff>0</xdr:colOff>
      <xdr:row>54</xdr:row>
      <xdr:rowOff>0</xdr:rowOff>
    </xdr:from>
    <xdr:to>
      <xdr:col>35</xdr:col>
      <xdr:colOff>304800</xdr:colOff>
      <xdr:row>70</xdr:row>
      <xdr:rowOff>152400</xdr:rowOff>
    </xdr:to>
    <xdr:graphicFrame macro="">
      <xdr:nvGraphicFramePr>
        <xdr:cNvPr id="9" name="Chart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28</xdr:col>
      <xdr:colOff>0</xdr:colOff>
      <xdr:row>72</xdr:row>
      <xdr:rowOff>0</xdr:rowOff>
    </xdr:from>
    <xdr:to>
      <xdr:col>35</xdr:col>
      <xdr:colOff>304800</xdr:colOff>
      <xdr:row>88</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20</xdr:col>
      <xdr:colOff>528637</xdr:colOff>
      <xdr:row>32</xdr:row>
      <xdr:rowOff>104775</xdr:rowOff>
    </xdr:from>
    <xdr:to>
      <xdr:col>28</xdr:col>
      <xdr:colOff>376237</xdr:colOff>
      <xdr:row>49</xdr:row>
      <xdr:rowOff>95250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16</xdr:col>
      <xdr:colOff>319087</xdr:colOff>
      <xdr:row>55</xdr:row>
      <xdr:rowOff>76200</xdr:rowOff>
    </xdr:from>
    <xdr:to>
      <xdr:col>24</xdr:col>
      <xdr:colOff>195262</xdr:colOff>
      <xdr:row>72</xdr:row>
      <xdr:rowOff>66675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319087</xdr:colOff>
      <xdr:row>73</xdr:row>
      <xdr:rowOff>19050</xdr:rowOff>
    </xdr:from>
    <xdr:to>
      <xdr:col>24</xdr:col>
      <xdr:colOff>195262</xdr:colOff>
      <xdr:row>90</xdr:row>
      <xdr:rowOff>9525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16</xdr:col>
      <xdr:colOff>319087</xdr:colOff>
      <xdr:row>55</xdr:row>
      <xdr:rowOff>76200</xdr:rowOff>
    </xdr:from>
    <xdr:to>
      <xdr:col>24</xdr:col>
      <xdr:colOff>195262</xdr:colOff>
      <xdr:row>72</xdr:row>
      <xdr:rowOff>66675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319087</xdr:colOff>
      <xdr:row>73</xdr:row>
      <xdr:rowOff>19050</xdr:rowOff>
    </xdr:from>
    <xdr:to>
      <xdr:col>24</xdr:col>
      <xdr:colOff>195262</xdr:colOff>
      <xdr:row>90</xdr:row>
      <xdr:rowOff>9525</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no"?>
<Relationships xmlns="http://schemas.openxmlformats.org/package/2006/relationships">
<Relationship Id="rId1" Target="/Policy/Policy_processes/Back_office/RFR/00_Documentation/Prince2/STKH/20141102%20Public%20consultation/Consultation_RFR_Examples_CRA_PD_CoD_VA.xlsm" TargetMode="External" Type="http://schemas.openxmlformats.org/officeDocument/2006/relationships/externalLinkPath"/>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CRA"/>
      <sheetName val="PD"/>
      <sheetName val="CoD"/>
      <sheetName val="Overall VA"/>
      <sheetName val="Port_Govts"/>
      <sheetName val="Port_Corps(1)"/>
      <sheetName val="Port_Corps (2)"/>
      <sheetName val="ECB_reconst"/>
    </sheetNames>
    <sheetDataSet>
      <sheetData sheetId="0" refreshError="1"/>
      <sheetData sheetId="1" refreshError="1"/>
      <sheetData sheetId="2" refreshError="1"/>
      <sheetData sheetId="3">
        <row r="1">
          <cell r="S1">
            <v>5</v>
          </cell>
        </row>
      </sheetData>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printerSettings/printerSettings1.bin" Type="http://schemas.openxmlformats.org/officeDocument/2006/relationships/printerSettings"/>
</Relationships>

</file>

<file path=xl/worksheets/_rels/sheet3.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4.xml.rels><?xml version="1.0" encoding="UTF-8" standalone="no"?>
<Relationships xmlns="http://schemas.openxmlformats.org/package/2006/relationships">
<Relationship Id="rId1" Target="../printerSettings/printerSettings2.bin" Type="http://schemas.openxmlformats.org/officeDocument/2006/relationships/printerSettings"/>
<Relationship Id="rId2" Target="../drawings/vmlDrawing1.vml" Type="http://schemas.openxmlformats.org/officeDocument/2006/relationships/vmlDrawing"/>
<Relationship Id="rId3" Target="../comments1.xml" Type="http://schemas.openxmlformats.org/officeDocument/2006/relationships/comments"/>
</Relationships>

</file>

<file path=xl/worksheets/_rels/sheet5.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7.xml.rels><?xml version="1.0" encoding="UTF-8" standalone="no"?>
<Relationships xmlns="http://schemas.openxmlformats.org/package/2006/relationships">
<Relationship Id="rId1" Target="../drawings/vmlDrawing2.vml" Type="http://schemas.openxmlformats.org/officeDocument/2006/relationships/vmlDrawing"/>
<Relationship Id="rId2" Target="../comments2.xml" Type="http://schemas.openxmlformats.org/officeDocument/2006/relationships/comments"/>
</Relationships>

</file>

<file path=xl/worksheets/_rels/sheet9.xml.rels><?xml version="1.0" encoding="UTF-8" standalone="no"?>
<Relationships xmlns="http://schemas.openxmlformats.org/package/2006/relationships">
<Relationship Id="rId1" Target="../printerSettings/printerSettings3.bin" Type="http://schemas.openxmlformats.org/officeDocument/2006/relationships/printerSettings"/>
</Relationships>

</file>

<file path=xl/worksheets/_rels/sheet10.xml.rels><?xml version="1.0" encoding="UTF-8" standalone="no"?>
<Relationships xmlns="http://schemas.openxmlformats.org/package/2006/relationships">
<Relationship Id="rId1" Target="../printerSettings/printerSettings4.bin" Type="http://schemas.openxmlformats.org/officeDocument/2006/relationships/printerSettings"/>
</Relationships>

</file>

<file path=xl/worksheets/_rels/sheet11.xml.rels><?xml version="1.0" encoding="UTF-8" standalone="no"?>
<Relationships xmlns="http://schemas.openxmlformats.org/package/2006/relationships">
<Relationship Id="rId1" Target="../printerSettings/printerSettings5.bin" Type="http://schemas.openxmlformats.org/officeDocument/2006/relationships/printerSettings"/>
</Relationships>

</file>

<file path=xl/worksheets/_rels/sheet12.xml.rels><?xml version="1.0" encoding="UTF-8" standalone="no"?>
<Relationships xmlns="http://schemas.openxmlformats.org/package/2006/relationships">
<Relationship Id="rId1" Target="../printerSettings/printerSettings6.bin" Type="http://schemas.openxmlformats.org/officeDocument/2006/relationships/printerSettings"/>
</Relationships>

</file>

<file path=xl/worksheets/_rels/sheet13.xml.rels><?xml version="1.0" encoding="UTF-8" standalone="no"?>
<Relationships xmlns="http://schemas.openxmlformats.org/package/2006/relationships">
<Relationship Id="rId1" Target="../printerSettings/printerSettings7.bin" Type="http://schemas.openxmlformats.org/officeDocument/2006/relationships/printerSettings"/>
</Relationships>

</file>

<file path=xl/worksheets/_rels/sheet14.xml.rels><?xml version="1.0" encoding="UTF-8" standalone="no"?>
<Relationships xmlns="http://schemas.openxmlformats.org/package/2006/relationships">
<Relationship Id="rId1" Target="../printerSettings/printerSettings8.bin" Type="http://schemas.openxmlformats.org/officeDocument/2006/relationships/printerSettings"/>
</Relationships>

</file>

<file path=xl/worksheets/_rels/sheet15.xml.rels><?xml version="1.0" encoding="UTF-8" standalone="no"?>
<Relationships xmlns="http://schemas.openxmlformats.org/package/2006/relationships">
<Relationship Id="rId1" Target="../printerSettings/printerSettings9.bin" Type="http://schemas.openxmlformats.org/officeDocument/2006/relationships/printerSettings"/>
<Relationship Id="rId2" Target="../drawings/drawing5.xml" Type="http://schemas.openxmlformats.org/officeDocument/2006/relationships/drawing"/>
</Relationships>

</file>

<file path=xl/worksheets/_rels/sheet16.xml.rels><?xml version="1.0" encoding="UTF-8" standalone="no"?>
<Relationships xmlns="http://schemas.openxmlformats.org/package/2006/relationships">
<Relationship Id="rId1" Target="../printerSettings/printerSettings10.bin" Type="http://schemas.openxmlformats.org/officeDocument/2006/relationships/printerSettings"/>
</Relationships>

</file>

<file path=xl/worksheets/_rels/sheet17.xml.rels><?xml version="1.0" encoding="UTF-8" standalone="no"?>
<Relationships xmlns="http://schemas.openxmlformats.org/package/2006/relationships">
<Relationship Id="rId1" Target="../printerSettings/printerSettings11.bin" Type="http://schemas.openxmlformats.org/officeDocument/2006/relationships/printerSettings"/>
<Relationship Id="rId2" Target="../drawings/drawing6.xml" Type="http://schemas.openxmlformats.org/officeDocument/2006/relationships/drawing"/>
<Relationship Id="rId3" Target="../drawings/vmlDrawing3.vml" Type="http://schemas.openxmlformats.org/officeDocument/2006/relationships/vmlDrawing"/>
<Relationship Id="rId4" Target="../comments3.xml" Type="http://schemas.openxmlformats.org/officeDocument/2006/relationships/comments"/>
</Relationships>

</file>

<file path=xl/worksheets/_rels/sheet18.xml.rels><?xml version="1.0" encoding="UTF-8" standalone="no"?>
<Relationships xmlns="http://schemas.openxmlformats.org/package/2006/relationships">
<Relationship Id="rId1" Target="../printerSettings/printerSettings12.bin" Type="http://schemas.openxmlformats.org/officeDocument/2006/relationships/printerSettings"/>
<Relationship Id="rId2" Target="../drawings/drawing7.xml" Type="http://schemas.openxmlformats.org/officeDocument/2006/relationships/drawing"/>
<Relationship Id="rId3" Target="../drawings/vmlDrawing4.vml" Type="http://schemas.openxmlformats.org/officeDocument/2006/relationships/vmlDrawing"/>
<Relationship Id="rId4" Target="../comments4.xml" Type="http://schemas.openxmlformats.org/officeDocument/2006/relationships/comments"/>
</Relationships>

</file>

<file path=xl/worksheets/_rels/sheet19.xml.rels><?xml version="1.0" encoding="UTF-8" standalone="no"?>
<Relationships xmlns="http://schemas.openxmlformats.org/package/2006/relationships">
<Relationship Id="rId1" Target="../printerSettings/printerSettings13.bin" Type="http://schemas.openxmlformats.org/officeDocument/2006/relationships/printerSettings"/>
<Relationship Id="rId2" Target="../drawings/vmlDrawing5.vml" Type="http://schemas.openxmlformats.org/officeDocument/2006/relationships/vmlDrawing"/>
<Relationship Id="rId3" Target="../comments5.xml" Type="http://schemas.openxmlformats.org/officeDocument/2006/relationships/comments"/>
</Relationships>

</file>

<file path=xl/worksheets/_rels/sheet20.xml.rels><?xml version="1.0" encoding="UTF-8" standalone="no"?>
<Relationships xmlns="http://schemas.openxmlformats.org/package/2006/relationships">
<Relationship Id="rId1" Target="../printerSettings/printerSettings14.bin" Type="http://schemas.openxmlformats.org/officeDocument/2006/relationships/printerSettings"/>
</Relationships>

</file>

<file path=xl/worksheets/_rels/sheet21.xml.rels><?xml version="1.0" encoding="UTF-8" standalone="no"?>
<Relationships xmlns="http://schemas.openxmlformats.org/package/2006/relationships">
<Relationship Id="rId1" Target="../printerSettings/printerSettings15.bin" Type="http://schemas.openxmlformats.org/officeDocument/2006/relationships/printerSettings"/>
</Relationships>

</file>

<file path=xl/worksheets/_rels/sheet22.xml.rels><?xml version="1.0" encoding="UTF-8" standalone="no"?>
<Relationships xmlns="http://schemas.openxmlformats.org/package/2006/relationships">
<Relationship Id="rId1" Target="../printerSettings/printerSettings16.bin" Type="http://schemas.openxmlformats.org/officeDocument/2006/relationships/printerSettings"/>
</Relationships>

</file>

<file path=xl/worksheets/_rels/sheet23.xml.rels><?xml version="1.0" encoding="UTF-8" standalone="no"?>
<Relationships xmlns="http://schemas.openxmlformats.org/package/2006/relationships">
<Relationship Id="rId1" Target="../printerSettings/printerSettings17.bin" Type="http://schemas.openxmlformats.org/officeDocument/2006/relationships/printerSettings"/>
</Relationships>

</file>

<file path=xl/worksheets/_rels/sheet24.xml.rels><?xml version="1.0" encoding="UTF-8" standalone="no"?>
<Relationships xmlns="http://schemas.openxmlformats.org/package/2006/relationships">
<Relationship Id="rId1" Target="../printerSettings/printerSettings18.bin" Type="http://schemas.openxmlformats.org/officeDocument/2006/relationships/printerSettings"/>
</Relationships>

</file>

<file path=xl/worksheets/_rels/sheet25.xml.rels><?xml version="1.0" encoding="UTF-8" standalone="no"?>
<Relationships xmlns="http://schemas.openxmlformats.org/package/2006/relationships">
<Relationship Id="rId1" Target="../printerSettings/printerSettings19.bin" Type="http://schemas.openxmlformats.org/officeDocument/2006/relationships/printerSettings"/>
</Relationships>

</file>

<file path=xl/worksheets/_rels/sheet26.xml.rels><?xml version="1.0" encoding="UTF-8" standalone="no"?>
<Relationships xmlns="http://schemas.openxmlformats.org/package/2006/relationships">
<Relationship Id="rId1" Target="../printerSettings/printerSettings20.bin" Type="http://schemas.openxmlformats.org/officeDocument/2006/relationships/printerSettings"/>
</Relationships>

</file>

<file path=xl/worksheets/_rels/sheet27.xml.rels><?xml version="1.0" encoding="UTF-8" standalone="no"?>
<Relationships xmlns="http://schemas.openxmlformats.org/package/2006/relationships">
<Relationship Id="rId1" Target="../printerSettings/printerSettings21.bin" Type="http://schemas.openxmlformats.org/officeDocument/2006/relationships/printerSettings"/>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9" tint="-0.249977111117893"/>
  </sheetPr>
  <dimension ref="C39:M45"/>
  <sheetViews>
    <sheetView tabSelected="1" topLeftCell="A19" workbookViewId="0">
      <selection activeCell="D43" sqref="D43"/>
    </sheetView>
  </sheetViews>
  <sheetFormatPr defaultRowHeight="12.75"/>
  <cols>
    <col min="1" max="1" width="9.140625" style="242"/>
    <col min="2" max="2" width="10.28515625" style="242" customWidth="1"/>
    <col min="3" max="3" width="59.140625" style="242" bestFit="1" customWidth="1"/>
    <col min="4" max="4" width="10.140625" style="242" bestFit="1" customWidth="1"/>
    <col min="5" max="12" width="9.140625" style="242"/>
    <col min="13" max="13" width="10.140625" style="242" bestFit="1" customWidth="1"/>
    <col min="14" max="16384" width="9.140625" style="242"/>
  </cols>
  <sheetData>
    <row r="39" spans="3:13" ht="13.5" thickBot="1">
      <c r="G39"/>
      <c r="M39" s="606"/>
    </row>
    <row r="40" spans="3:13">
      <c r="C40" s="317" t="s">
        <v>456</v>
      </c>
      <c r="D40" s="314">
        <v>4.2</v>
      </c>
    </row>
    <row r="41" spans="3:13">
      <c r="C41" s="318" t="s">
        <v>455</v>
      </c>
      <c r="D41" s="315">
        <v>10</v>
      </c>
    </row>
    <row r="42" spans="3:13">
      <c r="C42" s="699" t="s">
        <v>834</v>
      </c>
      <c r="D42" s="315">
        <v>90.35</v>
      </c>
      <c r="F42" s="606"/>
      <c r="G42" s="606"/>
      <c r="H42" s="606"/>
    </row>
    <row r="43" spans="3:13">
      <c r="C43" s="699" t="s">
        <v>835</v>
      </c>
      <c r="D43" s="315">
        <v>20</v>
      </c>
    </row>
    <row r="44" spans="3:13">
      <c r="C44" s="699" t="s">
        <v>836</v>
      </c>
      <c r="D44" s="315">
        <v>150</v>
      </c>
    </row>
    <row r="45" spans="3:13" ht="13.5" thickBot="1">
      <c r="C45" s="319" t="s">
        <v>457</v>
      </c>
      <c r="D45" s="316">
        <v>43648</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F0"/>
  </sheetPr>
  <dimension ref="A1:AC115"/>
  <sheetViews>
    <sheetView zoomScaleNormal="100" workbookViewId="0">
      <pane ySplit="14" topLeftCell="A15" activePane="bottomLeft" state="frozen"/>
      <selection pane="bottomLeft" activeCell="K24" sqref="K24"/>
    </sheetView>
  </sheetViews>
  <sheetFormatPr defaultRowHeight="12.75"/>
  <cols>
    <col min="1" max="1" width="11.85546875" style="131" customWidth="1"/>
    <col min="2" max="2" width="8.7109375" style="6" bestFit="1" customWidth="1"/>
    <col min="3" max="3" width="6.85546875" style="132" bestFit="1" customWidth="1"/>
    <col min="4" max="5" width="6.85546875" style="6" bestFit="1" customWidth="1"/>
    <col min="6" max="6" width="10.5703125" style="6" bestFit="1" customWidth="1"/>
    <col min="7" max="7" width="7.28515625" style="6" bestFit="1" customWidth="1"/>
    <col min="8" max="8" width="6.85546875" style="6" bestFit="1" customWidth="1"/>
    <col min="9" max="9" width="8.28515625" style="6" bestFit="1" customWidth="1"/>
    <col min="10" max="10" width="11.5703125" style="6" bestFit="1" customWidth="1"/>
    <col min="11" max="11" width="9.140625" style="6"/>
    <col min="12" max="12" width="18.85546875" style="550" bestFit="1" customWidth="1"/>
    <col min="13" max="13" width="9.140625" style="550"/>
    <col min="14" max="16384" width="9.140625" style="6"/>
  </cols>
  <sheetData>
    <row r="1" spans="1:29" ht="13.5" thickBot="1"/>
    <row r="2" spans="1:29" ht="13.5" thickTop="1">
      <c r="A2" s="2"/>
      <c r="B2" s="706" t="s">
        <v>458</v>
      </c>
      <c r="C2" s="706"/>
      <c r="D2" s="706"/>
      <c r="E2" s="706"/>
      <c r="F2" s="706"/>
      <c r="G2" s="706"/>
      <c r="H2" s="706"/>
      <c r="I2" s="706"/>
      <c r="J2" s="707"/>
      <c r="K2" s="698"/>
      <c r="L2" s="698"/>
      <c r="N2" s="510" t="s">
        <v>519</v>
      </c>
      <c r="O2" s="510"/>
      <c r="P2" s="510"/>
      <c r="Q2" s="510"/>
      <c r="R2" s="510"/>
      <c r="S2" s="510"/>
      <c r="T2" s="510"/>
      <c r="U2" s="510"/>
      <c r="V2" s="510"/>
      <c r="W2" s="510"/>
      <c r="X2" s="510"/>
      <c r="Y2" s="510"/>
      <c r="Z2" s="510"/>
      <c r="AA2" s="510"/>
      <c r="AB2" s="510"/>
      <c r="AC2" s="510"/>
    </row>
    <row r="3" spans="1:29" ht="13.5" thickBot="1">
      <c r="A3" s="2"/>
      <c r="B3" s="133" t="s">
        <v>3</v>
      </c>
      <c r="C3" s="133" t="s">
        <v>126</v>
      </c>
      <c r="D3" s="133" t="s">
        <v>131</v>
      </c>
      <c r="E3" s="133" t="s">
        <v>132</v>
      </c>
      <c r="F3" s="133" t="s">
        <v>133</v>
      </c>
      <c r="G3" s="133" t="s">
        <v>134</v>
      </c>
      <c r="H3" s="133" t="s">
        <v>143</v>
      </c>
      <c r="I3" s="133" t="s">
        <v>135</v>
      </c>
      <c r="J3" s="696" t="s">
        <v>136</v>
      </c>
      <c r="K3" s="133" t="s">
        <v>763</v>
      </c>
      <c r="L3" s="133" t="s">
        <v>837</v>
      </c>
      <c r="M3" s="2"/>
      <c r="N3" s="510"/>
      <c r="O3" s="510"/>
      <c r="P3" s="510"/>
      <c r="Q3" s="510"/>
      <c r="R3" s="510"/>
      <c r="S3" s="510"/>
      <c r="T3" s="510"/>
      <c r="U3" s="510"/>
      <c r="V3" s="510"/>
      <c r="W3" s="510"/>
      <c r="X3" s="510"/>
      <c r="Y3" s="510"/>
      <c r="Z3" s="510"/>
      <c r="AA3" s="510"/>
      <c r="AB3" s="510"/>
      <c r="AC3" s="510"/>
    </row>
    <row r="4" spans="1:29" ht="13.5" hidden="1" thickTop="1">
      <c r="A4" s="134"/>
      <c r="B4" s="217" t="s">
        <v>56</v>
      </c>
      <c r="C4" s="218">
        <f>'All Curves'!E5</f>
        <v>1.7482216285359675E-2</v>
      </c>
      <c r="D4" s="218">
        <f>'All Curves'!L4</f>
        <v>-6.5360704828297299E-3</v>
      </c>
      <c r="E4" s="218">
        <f>'All Curves'!U4</f>
        <v>8.2157510857598665E-3</v>
      </c>
      <c r="F4" s="218">
        <f>'All Curves'!AD4</f>
        <v>-1.4182393350927769E-2</v>
      </c>
      <c r="G4" s="218">
        <f>'All Curves'!AM4</f>
        <v>1.3594516313070695E-2</v>
      </c>
      <c r="H4" s="218">
        <f>'All Curves'!AV4</f>
        <v>-1.1984815183289823E-3</v>
      </c>
      <c r="I4" s="218">
        <f>'All Curves'!BE4</f>
        <v>1.1037654420190224E-2</v>
      </c>
      <c r="J4" s="218">
        <f>'All Curves'!BN4</f>
        <v>0.12126400919422969</v>
      </c>
      <c r="N4" s="510"/>
      <c r="O4" s="510"/>
      <c r="P4" s="510"/>
      <c r="Q4" s="510"/>
      <c r="R4" s="510"/>
      <c r="S4" s="510"/>
      <c r="T4" s="510"/>
      <c r="U4" s="510"/>
      <c r="V4" s="510"/>
      <c r="W4" s="510"/>
      <c r="X4" s="510"/>
      <c r="Y4" s="510"/>
      <c r="Z4" s="510"/>
      <c r="AA4" s="510"/>
      <c r="AB4" s="510"/>
      <c r="AC4" s="510"/>
    </row>
    <row r="5" spans="1:29" hidden="1">
      <c r="A5" s="134"/>
      <c r="B5" s="217" t="s">
        <v>57</v>
      </c>
      <c r="C5" s="218">
        <f>'All Curves'!E6</f>
        <v>1.7486745046701349E-2</v>
      </c>
      <c r="D5" s="218">
        <f>'All Curves'!L5</f>
        <v>-6.6301980507635968E-3</v>
      </c>
      <c r="E5" s="218">
        <f>'All Curves'!U5</f>
        <v>8.0379828102572024E-3</v>
      </c>
      <c r="F5" s="218">
        <f>'All Curves'!AD5</f>
        <v>-1.4081314972886921E-2</v>
      </c>
      <c r="G5" s="218">
        <f>'All Curves'!AM5</f>
        <v>1.3610377574391286E-2</v>
      </c>
      <c r="H5" s="218">
        <f>'All Curves'!AV5</f>
        <v>-1.2595069517581377E-3</v>
      </c>
      <c r="I5" s="218">
        <f>'All Curves'!BE5</f>
        <v>1.0857861352966108E-2</v>
      </c>
      <c r="J5" s="218">
        <f>'All Curves'!BN5</f>
        <v>0.10134194279224328</v>
      </c>
      <c r="N5" s="510"/>
      <c r="O5" s="510"/>
      <c r="P5" s="510"/>
      <c r="Q5" s="510"/>
      <c r="R5" s="510"/>
      <c r="S5" s="510"/>
      <c r="T5" s="510"/>
      <c r="U5" s="510"/>
      <c r="V5" s="510"/>
      <c r="W5" s="510"/>
      <c r="X5" s="510"/>
      <c r="Y5" s="510"/>
      <c r="Z5" s="510"/>
      <c r="AA5" s="510"/>
      <c r="AB5" s="510"/>
      <c r="AC5" s="510"/>
    </row>
    <row r="6" spans="1:29" hidden="1">
      <c r="A6" s="134"/>
      <c r="B6" s="217" t="s">
        <v>58</v>
      </c>
      <c r="C6" s="218">
        <f>'All Curves'!E7</f>
        <v>1.7491733082632816E-2</v>
      </c>
      <c r="D6" s="218">
        <f>'All Curves'!L6</f>
        <v>-6.7195830612545816E-3</v>
      </c>
      <c r="E6" s="218">
        <f>'All Curves'!U6</f>
        <v>7.8668075596180047E-3</v>
      </c>
      <c r="F6" s="218">
        <f>'All Curves'!AD6</f>
        <v>-1.3980691376164934E-2</v>
      </c>
      <c r="G6" s="218">
        <f>'All Curves'!AM6</f>
        <v>1.3626203479977556E-2</v>
      </c>
      <c r="H6" s="218">
        <f>'All Curves'!AV6</f>
        <v>-1.3188413096856528E-3</v>
      </c>
      <c r="I6" s="218">
        <f>'All Curves'!BE6</f>
        <v>1.0691635655968954E-2</v>
      </c>
      <c r="J6" s="218">
        <f>'All Curves'!BN6</f>
        <v>8.3656688206652396E-2</v>
      </c>
      <c r="N6" s="510"/>
      <c r="O6" s="510"/>
      <c r="P6" s="510"/>
      <c r="Q6" s="510"/>
      <c r="R6" s="510"/>
      <c r="S6" s="510"/>
      <c r="T6" s="510"/>
      <c r="U6" s="510"/>
      <c r="V6" s="510"/>
      <c r="W6" s="510"/>
      <c r="X6" s="510"/>
      <c r="Y6" s="510"/>
      <c r="Z6" s="510"/>
      <c r="AA6" s="510"/>
      <c r="AB6" s="510"/>
      <c r="AC6" s="510"/>
    </row>
    <row r="7" spans="1:29" hidden="1">
      <c r="A7" s="134"/>
      <c r="B7" s="217" t="s">
        <v>59</v>
      </c>
      <c r="C7" s="218">
        <f>'All Curves'!E8</f>
        <v>1.7497175098849769E-2</v>
      </c>
      <c r="D7" s="218">
        <f>'All Curves'!L7</f>
        <v>-6.804342876125042E-3</v>
      </c>
      <c r="E7" s="218">
        <f>'All Curves'!U7</f>
        <v>7.7020740826456244E-3</v>
      </c>
      <c r="F7" s="218">
        <f>'All Curves'!AD7</f>
        <v>-1.3880521306530747E-2</v>
      </c>
      <c r="G7" s="218">
        <f>'All Curves'!AM7</f>
        <v>1.3641994098561219E-2</v>
      </c>
      <c r="H7" s="218">
        <f>'All Curves'!AV7</f>
        <v>-1.3765115520630372E-3</v>
      </c>
      <c r="I7" s="218">
        <f>'All Curves'!BE7</f>
        <v>1.0538263623032187E-2</v>
      </c>
      <c r="J7" s="218">
        <f>'All Curves'!BN7</f>
        <v>6.798993340722792E-2</v>
      </c>
      <c r="N7" s="510"/>
      <c r="O7" s="510"/>
      <c r="P7" s="510"/>
      <c r="Q7" s="510"/>
      <c r="R7" s="510"/>
      <c r="S7" s="510"/>
      <c r="T7" s="510"/>
      <c r="U7" s="510"/>
      <c r="V7" s="510"/>
      <c r="W7" s="510"/>
      <c r="X7" s="510"/>
      <c r="Y7" s="510"/>
      <c r="Z7" s="510"/>
      <c r="AA7" s="510"/>
      <c r="AB7" s="510"/>
      <c r="AC7" s="510"/>
    </row>
    <row r="8" spans="1:29" hidden="1">
      <c r="A8" s="134"/>
      <c r="B8" s="217" t="s">
        <v>60</v>
      </c>
      <c r="C8" s="218">
        <f>'All Curves'!E9</f>
        <v>1.7503065846450564E-2</v>
      </c>
      <c r="D8" s="218">
        <f>'All Curves'!L8</f>
        <v>-6.8845924254675745E-3</v>
      </c>
      <c r="E8" s="218">
        <f>'All Curves'!U8</f>
        <v>7.5436341524300864E-3</v>
      </c>
      <c r="F8" s="218">
        <f>'All Curves'!AD8</f>
        <v>-1.3780803512642615E-2</v>
      </c>
      <c r="G8" s="218">
        <f>'All Curves'!AM8</f>
        <v>1.3657749498746001E-2</v>
      </c>
      <c r="H8" s="218">
        <f>'All Curves'!AV8</f>
        <v>-1.4325442118953186E-3</v>
      </c>
      <c r="I8" s="218">
        <f>'All Curves'!BE8</f>
        <v>1.0397066953435421E-2</v>
      </c>
      <c r="J8" s="218">
        <f>'All Curves'!BN8</f>
        <v>5.4143555779518474E-2</v>
      </c>
      <c r="N8" s="510"/>
      <c r="O8" s="510"/>
      <c r="P8" s="510"/>
      <c r="Q8" s="510"/>
      <c r="R8" s="510"/>
      <c r="S8" s="510"/>
      <c r="T8" s="510"/>
      <c r="U8" s="510"/>
      <c r="V8" s="510"/>
      <c r="W8" s="510"/>
      <c r="X8" s="510"/>
      <c r="Y8" s="510"/>
      <c r="Z8" s="510"/>
      <c r="AA8" s="510"/>
      <c r="AB8" s="510"/>
      <c r="AC8" s="510"/>
    </row>
    <row r="9" spans="1:29" hidden="1">
      <c r="A9" s="134"/>
      <c r="B9" s="217" t="s">
        <v>61</v>
      </c>
      <c r="C9" s="218">
        <f>'All Curves'!E10</f>
        <v>1.75094001215827E-2</v>
      </c>
      <c r="D9" s="218">
        <f>'All Curves'!L9</f>
        <v>-6.9604442543952545E-3</v>
      </c>
      <c r="E9" s="218">
        <f>'All Curves'!U9</f>
        <v>7.3913425091140161E-3</v>
      </c>
      <c r="F9" s="218">
        <f>'All Curves'!AD9</f>
        <v>-1.3681536746086576E-2</v>
      </c>
      <c r="G9" s="218">
        <f>'All Curves'!AM9</f>
        <v>1.3673469749026508E-2</v>
      </c>
      <c r="H9" s="218">
        <f>'All Curves'!AV9</f>
        <v>-1.4869654020468312E-3</v>
      </c>
      <c r="I9" s="218">
        <f>'All Curves'!BE9</f>
        <v>1.0267401038216344E-2</v>
      </c>
      <c r="J9" s="218">
        <f>'All Curves'!BN9</f>
        <v>4.1937801149521434E-2</v>
      </c>
      <c r="N9" s="510"/>
      <c r="O9" s="510"/>
      <c r="P9" s="510"/>
      <c r="Q9" s="510"/>
      <c r="R9" s="510"/>
      <c r="S9" s="510"/>
      <c r="T9" s="510"/>
      <c r="U9" s="510"/>
      <c r="V9" s="510"/>
      <c r="W9" s="510"/>
      <c r="X9" s="510"/>
      <c r="Y9" s="510"/>
      <c r="Z9" s="510"/>
      <c r="AA9" s="510"/>
      <c r="AB9" s="510"/>
      <c r="AC9" s="510"/>
    </row>
    <row r="10" spans="1:29" hidden="1">
      <c r="A10" s="134"/>
      <c r="B10" s="217" t="s">
        <v>62</v>
      </c>
      <c r="C10" s="218">
        <f>'All Curves'!E11</f>
        <v>1.7516172765123249E-2</v>
      </c>
      <c r="D10" s="218">
        <f>'All Curves'!L10</f>
        <v>-7.0320085689297134E-3</v>
      </c>
      <c r="E10" s="218">
        <f>'All Curves'!U10</f>
        <v>7.2450568036727617E-3</v>
      </c>
      <c r="F10" s="218">
        <f>'All Curves'!AD10</f>
        <v>-1.3582719761355843E-2</v>
      </c>
      <c r="G10" s="218">
        <f>'All Curves'!AM10</f>
        <v>1.3689154917783757E-2</v>
      </c>
      <c r="H10" s="218">
        <f>'All Curves'!AV10</f>
        <v>-1.5398008219355604E-3</v>
      </c>
      <c r="I10" s="218">
        <f>'All Curves'!BE10</f>
        <v>1.0148653328352152E-2</v>
      </c>
      <c r="J10" s="218">
        <f>'All Curves'!BN10</f>
        <v>3.1209624861933724E-2</v>
      </c>
      <c r="N10" s="510"/>
      <c r="O10" s="510"/>
      <c r="P10" s="510"/>
      <c r="Q10" s="510"/>
      <c r="R10" s="510"/>
      <c r="S10" s="510"/>
      <c r="T10" s="510"/>
      <c r="U10" s="510"/>
      <c r="V10" s="510"/>
      <c r="W10" s="510"/>
      <c r="X10" s="510"/>
      <c r="Y10" s="510"/>
      <c r="Z10" s="510"/>
      <c r="AA10" s="510"/>
      <c r="AB10" s="510"/>
      <c r="AC10" s="510"/>
    </row>
    <row r="11" spans="1:29" hidden="1">
      <c r="A11" s="134"/>
      <c r="B11" s="217" t="s">
        <v>63</v>
      </c>
      <c r="C11" s="218">
        <f>'All Curves'!E12</f>
        <v>1.7523378662369745E-2</v>
      </c>
      <c r="D11" s="218">
        <f>'All Curves'!L11</f>
        <v>-7.0993932810409542E-3</v>
      </c>
      <c r="E11" s="218">
        <f>'All Curves'!U11</f>
        <v>7.1046375427399897E-3</v>
      </c>
      <c r="F11" s="218">
        <f>'All Curves'!AD11</f>
        <v>-1.3484351315889917E-2</v>
      </c>
      <c r="G11" s="218">
        <f>'All Curves'!AM11</f>
        <v>1.3704805073280762E-2</v>
      </c>
      <c r="H11" s="218">
        <f>'All Curves'!AV11</f>
        <v>-1.5910757641251908E-3</v>
      </c>
      <c r="I11" s="218">
        <f>'All Curves'!BE11</f>
        <v>1.0040241780929214E-2</v>
      </c>
      <c r="J11" s="218">
        <f>'All Curves'!BN11</f>
        <v>2.1811180605281436E-2</v>
      </c>
      <c r="N11" s="510"/>
      <c r="O11" s="510"/>
      <c r="P11" s="510"/>
      <c r="Q11" s="510"/>
      <c r="R11" s="510"/>
      <c r="S11" s="510"/>
      <c r="T11" s="510"/>
      <c r="U11" s="510"/>
      <c r="V11" s="510"/>
      <c r="W11" s="510"/>
      <c r="X11" s="510"/>
      <c r="Y11" s="510"/>
      <c r="Z11" s="510"/>
      <c r="AA11" s="510"/>
      <c r="AB11" s="510"/>
      <c r="AC11" s="510"/>
    </row>
    <row r="12" spans="1:29" hidden="1">
      <c r="A12" s="134"/>
      <c r="B12" s="217" t="s">
        <v>64</v>
      </c>
      <c r="C12" s="218">
        <f>'All Curves'!E13</f>
        <v>1.7531012742701472E-2</v>
      </c>
      <c r="D12" s="218">
        <f>'All Curves'!L12</f>
        <v>-7.1627040528487139E-3</v>
      </c>
      <c r="E12" s="218">
        <f>'All Curves'!U12</f>
        <v>6.9699480344712654E-3</v>
      </c>
      <c r="F12" s="218">
        <f>'All Curves'!AD12</f>
        <v>-1.3386430169986294E-2</v>
      </c>
      <c r="G12" s="218">
        <f>'All Curves'!AM12</f>
        <v>1.3720420283670176E-2</v>
      </c>
      <c r="H12" s="218">
        <f>'All Curves'!AV12</f>
        <v>-1.6408151208080588E-3</v>
      </c>
      <c r="I12" s="218">
        <f>'All Curves'!BE12</f>
        <v>9.9416133796039752E-3</v>
      </c>
      <c r="J12" s="218">
        <f>'All Curves'!BN12</f>
        <v>1.360844393377808E-2</v>
      </c>
      <c r="N12" s="510"/>
      <c r="O12" s="510"/>
      <c r="P12" s="510"/>
      <c r="Q12" s="510"/>
      <c r="R12" s="510"/>
      <c r="S12" s="510"/>
      <c r="T12" s="510"/>
      <c r="U12" s="510"/>
      <c r="V12" s="510"/>
      <c r="W12" s="510"/>
      <c r="X12" s="510"/>
      <c r="Y12" s="510"/>
      <c r="Z12" s="510"/>
      <c r="AA12" s="510"/>
      <c r="AB12" s="510"/>
      <c r="AC12" s="510"/>
    </row>
    <row r="13" spans="1:29" hidden="1">
      <c r="A13" s="134"/>
      <c r="B13" s="217" t="s">
        <v>65</v>
      </c>
      <c r="C13" s="218">
        <f>'All Curves'!E14</f>
        <v>1.7539069979280925E-2</v>
      </c>
      <c r="D13" s="218">
        <f>'All Curves'!L13</f>
        <v>-7.2220443400056612E-3</v>
      </c>
      <c r="E13" s="218">
        <f>'All Curves'!U13</f>
        <v>6.8408543353680046E-3</v>
      </c>
      <c r="F13" s="218">
        <f>'All Curves'!AD13</f>
        <v>-1.3288955086876837E-2</v>
      </c>
      <c r="G13" s="218">
        <f>'All Curves'!AM13</f>
        <v>1.3736000616989298E-2</v>
      </c>
      <c r="H13" s="218">
        <f>'All Curves'!AV13</f>
        <v>-1.6890433901864364E-3</v>
      </c>
      <c r="I13" s="218">
        <f>'All Curves'!BE13</f>
        <v>9.8522427258306445E-3</v>
      </c>
      <c r="J13" s="218">
        <f>'All Curves'!BN13</f>
        <v>6.4799585823584471E-3</v>
      </c>
      <c r="N13" s="510"/>
      <c r="O13" s="510"/>
      <c r="P13" s="510"/>
      <c r="Q13" s="510"/>
      <c r="R13" s="510"/>
      <c r="S13" s="510"/>
      <c r="T13" s="510"/>
      <c r="U13" s="510"/>
      <c r="V13" s="510"/>
      <c r="W13" s="510"/>
      <c r="X13" s="510"/>
      <c r="Y13" s="510"/>
      <c r="Z13" s="510"/>
      <c r="AA13" s="510"/>
      <c r="AB13" s="510"/>
      <c r="AC13" s="510"/>
    </row>
    <row r="14" spans="1:29" hidden="1">
      <c r="A14" s="134"/>
      <c r="B14" s="217" t="s">
        <v>66</v>
      </c>
      <c r="C14" s="218">
        <f>'All Curves'!E15</f>
        <v>1.952929505371246E-2</v>
      </c>
      <c r="D14" s="218">
        <f>'All Curves'!L14</f>
        <v>-7.2775154342750725E-3</v>
      </c>
      <c r="E14" s="218">
        <f>'All Curves'!U14</f>
        <v>6.7172251981187595E-3</v>
      </c>
      <c r="F14" s="218">
        <f>'All Curves'!AD14</f>
        <v>-1.3191924832658191E-2</v>
      </c>
      <c r="G14" s="218">
        <f>'All Curves'!AM14</f>
        <v>1.37515461411685E-2</v>
      </c>
      <c r="H14" s="218">
        <f>'All Curves'!AV14</f>
        <v>-1.7357846827536904E-3</v>
      </c>
      <c r="I14" s="218">
        <f>'All Curves'!BE14</f>
        <v>9.7716306974996395E-3</v>
      </c>
      <c r="J14" s="218">
        <f>'All Curves'!BN14</f>
        <v>3.1569471753328804E-4</v>
      </c>
      <c r="N14" s="510"/>
      <c r="O14" s="510"/>
      <c r="P14" s="510"/>
      <c r="Q14" s="510"/>
      <c r="R14" s="510"/>
      <c r="S14" s="510"/>
      <c r="T14" s="510"/>
      <c r="U14" s="510"/>
      <c r="V14" s="510"/>
      <c r="W14" s="510"/>
      <c r="X14" s="510"/>
      <c r="Y14" s="510"/>
      <c r="Z14" s="510"/>
      <c r="AA14" s="510"/>
      <c r="AB14" s="510"/>
      <c r="AC14" s="510"/>
    </row>
    <row r="15" spans="1:29" ht="13.5" thickTop="1">
      <c r="A15" s="134"/>
      <c r="B15" s="2" t="s">
        <v>67</v>
      </c>
      <c r="C15" s="193">
        <f>'All Curves'!I15</f>
        <v>1.952929505371246E-2</v>
      </c>
      <c r="D15" s="193">
        <f>'All Curves'!R15</f>
        <v>-5.6156615483697898E-3</v>
      </c>
      <c r="E15" s="193">
        <f>'All Curves'!AA15</f>
        <v>7.1917076632440572E-3</v>
      </c>
      <c r="F15" s="193">
        <f>'All Curves'!AJ15</f>
        <v>-9.5307287288356919E-3</v>
      </c>
      <c r="G15" s="193">
        <f>'All Curves'!AS15</f>
        <v>1.8322448071752238E-2</v>
      </c>
      <c r="H15" s="193">
        <f>'All Curves'!BB15</f>
        <v>-1.6373983914076177E-3</v>
      </c>
      <c r="I15" s="193">
        <f>'All Curves'!BK15</f>
        <v>1.0122456452067696E-2</v>
      </c>
      <c r="J15" s="193">
        <f>'All Curves'!BT15</f>
        <v>1.3062090287444511E-2</v>
      </c>
      <c r="K15" s="697">
        <f>'All Curves'!CC15</f>
        <v>1.9655575643202604E-2</v>
      </c>
      <c r="L15" s="697">
        <f>'All Curves'!CL15</f>
        <v>1.3104006452067695E-2</v>
      </c>
      <c r="N15" s="511">
        <f>C15</f>
        <v>1.952929505371246E-2</v>
      </c>
      <c r="O15" s="511">
        <f>'Interpolations USD'!S23-0.001-N15</f>
        <v>1.0253744381349961E-10</v>
      </c>
      <c r="P15" s="511">
        <f>D15</f>
        <v>-5.6156615483697898E-3</v>
      </c>
      <c r="Q15" s="516">
        <f>'Interpolations Euro'!S22-0.001-P15</f>
        <v>-4.1380229971743621E-11</v>
      </c>
      <c r="R15" s="511">
        <f>E15</f>
        <v>7.1917076632440572E-3</v>
      </c>
      <c r="S15" s="511">
        <f>'Interpolations GBP'!S22-0.001-R15</f>
        <v>-6.9939548943964702E-12</v>
      </c>
      <c r="T15" s="511">
        <f>F15</f>
        <v>-9.5307287288356919E-3</v>
      </c>
      <c r="U15" s="511">
        <f>'Interpolations CHF'!S22-0.001-T15</f>
        <v>7.9085783061261239E-11</v>
      </c>
      <c r="V15" s="511">
        <f>G15</f>
        <v>1.8322448071752238E-2</v>
      </c>
      <c r="W15" s="511">
        <f>'Interpolations CAD'!S22-0.001-V15</f>
        <v>1.5324760557766659E-10</v>
      </c>
      <c r="X15" s="511">
        <f>H15</f>
        <v>-1.6373983914076177E-3</v>
      </c>
      <c r="Y15" s="511">
        <f>'Interpolations JPY'!S22-0.001-X15</f>
        <v>-7.0299543096508099E-12</v>
      </c>
      <c r="Z15" s="511">
        <f>I15</f>
        <v>1.0122456452067696E-2</v>
      </c>
      <c r="AA15" s="511">
        <f>'Interpolations AUD'!S22-0.001-Z15</f>
        <v>1.5484315218916578E-13</v>
      </c>
      <c r="AB15" s="511">
        <f>J15</f>
        <v>1.3062090287444511E-2</v>
      </c>
      <c r="AC15" s="511">
        <f>'Interpolations NZD'!S22-0.001-AB15</f>
        <v>7.54805246083734E-10</v>
      </c>
    </row>
    <row r="16" spans="1:29">
      <c r="A16" s="134"/>
      <c r="B16" s="2" t="s">
        <v>257</v>
      </c>
      <c r="C16" s="193">
        <f>'All Curves'!I16</f>
        <v>1.7406770945633809E-2</v>
      </c>
      <c r="D16" s="193">
        <f>'All Curves'!R16</f>
        <v>-5.826650116399601E-3</v>
      </c>
      <c r="E16" s="193">
        <f>'All Curves'!AA16</f>
        <v>6.7577173961772541E-3</v>
      </c>
      <c r="F16" s="193">
        <f>'All Curves'!AJ16</f>
        <v>-9.8786462823609034E-3</v>
      </c>
      <c r="G16" s="193">
        <f>'All Curves'!AS16</f>
        <v>1.6976189489419591E-2</v>
      </c>
      <c r="H16" s="193">
        <f>'All Curves'!BB16</f>
        <v>-1.9870835674379306E-3</v>
      </c>
      <c r="I16" s="193">
        <f>'All Curves'!BK16</f>
        <v>9.7068054377302815E-3</v>
      </c>
      <c r="J16" s="193">
        <f>'All Curves'!BT16</f>
        <v>1.2364763163224435E-2</v>
      </c>
      <c r="K16" s="697">
        <f>'All Curves'!CC16</f>
        <v>1.7235744008102349E-2</v>
      </c>
      <c r="L16" s="697">
        <f>'All Curves'!CL16</f>
        <v>1.2688355689509656E-2</v>
      </c>
      <c r="N16" s="511">
        <f t="shared" ref="N16:N44" si="0">C16</f>
        <v>1.7406770945633809E-2</v>
      </c>
      <c r="O16" s="511">
        <f>'Interpolations USD'!S24-0.001-N16</f>
        <v>-3.7502223548813163E-12</v>
      </c>
      <c r="P16" s="511">
        <f t="shared" ref="P16:P44" si="1">D16</f>
        <v>-5.826650116399601E-3</v>
      </c>
      <c r="Q16" s="511">
        <f>'Interpolations Euro'!S23-0.001-P16</f>
        <v>-4.9759751007127928E-11</v>
      </c>
      <c r="R16" s="511">
        <f t="shared" ref="R16:R44" si="2">E16</f>
        <v>6.7577173961772541E-3</v>
      </c>
      <c r="S16" s="511">
        <f>'Interpolations GBP'!S23-0.001-R16</f>
        <v>1.3810176092976523E-11</v>
      </c>
      <c r="T16" s="511">
        <f t="shared" ref="T16:T44" si="3">F16</f>
        <v>-9.8786462823609034E-3</v>
      </c>
      <c r="U16" s="511">
        <f>'Interpolations CHF'!S23-0.001-T16</f>
        <v>-8.4720785942238308E-11</v>
      </c>
      <c r="V16" s="511">
        <f t="shared" ref="V16:V44" si="4">G16</f>
        <v>1.6976189489419591E-2</v>
      </c>
      <c r="W16" s="511">
        <f>'Interpolations CAD'!S23-0.001-V16</f>
        <v>-3.0738633860494247E-11</v>
      </c>
      <c r="X16" s="511">
        <f t="shared" ref="X16:X44" si="5">H16</f>
        <v>-1.9870835674379306E-3</v>
      </c>
      <c r="Y16" s="511">
        <f>'Interpolations JPY'!S23-0.001-X16</f>
        <v>-4.2644767925259508E-12</v>
      </c>
      <c r="Z16" s="511">
        <f t="shared" ref="Z16:Z44" si="6">I16</f>
        <v>9.7068054377302815E-3</v>
      </c>
      <c r="AA16" s="511">
        <f>'Interpolations AUD'!S23-0.001-Z16</f>
        <v>-1.37393429966437E-11</v>
      </c>
      <c r="AB16" s="511">
        <f t="shared" ref="AB16:AB44" si="7">J16</f>
        <v>1.2364763163224435E-2</v>
      </c>
      <c r="AC16" s="511">
        <f>'Interpolations NZD'!S23-0.001-AB16</f>
        <v>-1.5643270012688504E-9</v>
      </c>
    </row>
    <row r="17" spans="1:29">
      <c r="A17" s="134"/>
      <c r="B17" s="2" t="s">
        <v>258</v>
      </c>
      <c r="C17" s="193">
        <f>'All Curves'!I17</f>
        <v>1.6757410720336541E-2</v>
      </c>
      <c r="D17" s="193">
        <f>'All Curves'!R17</f>
        <v>-5.5696263948672442E-3</v>
      </c>
      <c r="E17" s="193">
        <f>'All Curves'!AA17</f>
        <v>6.771021771531105E-3</v>
      </c>
      <c r="F17" s="193">
        <f>'All Curves'!AJ17</f>
        <v>-9.5336958243186221E-3</v>
      </c>
      <c r="G17" s="193">
        <f>'All Curves'!AS17</f>
        <v>1.6527646349979719E-2</v>
      </c>
      <c r="H17" s="193">
        <f>'All Curves'!BB17</f>
        <v>-2.1493487963420987E-3</v>
      </c>
      <c r="I17" s="193">
        <f>'All Curves'!BK17</f>
        <v>9.9210617712339744E-3</v>
      </c>
      <c r="J17" s="193">
        <f>'All Curves'!BT17</f>
        <v>1.244688647008152E-2</v>
      </c>
      <c r="K17" s="697">
        <f>'All Curves'!CC17</f>
        <v>1.6448057860648513E-2</v>
      </c>
      <c r="L17" s="697">
        <f>'All Curves'!CL17</f>
        <v>1.2902612072940745E-2</v>
      </c>
      <c r="N17" s="511">
        <f t="shared" si="0"/>
        <v>1.6757410720336541E-2</v>
      </c>
      <c r="O17" s="511">
        <f>'Interpolations USD'!S25-0.001-N17</f>
        <v>1.7725931833467712E-11</v>
      </c>
      <c r="P17" s="511">
        <f t="shared" si="1"/>
        <v>-5.5696263948672442E-3</v>
      </c>
      <c r="Q17" s="511">
        <f>'Interpolations Euro'!S24-0.001-P17</f>
        <v>-9.4428908269106326E-11</v>
      </c>
      <c r="R17" s="511">
        <f t="shared" si="2"/>
        <v>6.771021771531105E-3</v>
      </c>
      <c r="S17" s="511">
        <f>'Interpolations GBP'!S24-0.001-R17</f>
        <v>7.5434112081773641E-12</v>
      </c>
      <c r="T17" s="511">
        <f t="shared" si="3"/>
        <v>-9.5336958243186221E-3</v>
      </c>
      <c r="U17" s="511">
        <f>'Interpolations CHF'!S24-0.001-T17</f>
        <v>4.9182879990894435E-14</v>
      </c>
      <c r="V17" s="511">
        <f t="shared" si="4"/>
        <v>1.6527646349979719E-2</v>
      </c>
      <c r="W17" s="511">
        <f>'Interpolations CAD'!S24-0.001-V17</f>
        <v>-1.2776557589688764E-11</v>
      </c>
      <c r="X17" s="511">
        <f t="shared" si="5"/>
        <v>-2.1493487963420987E-3</v>
      </c>
      <c r="Y17" s="511">
        <f>'Interpolations JPY'!S24-0.001-X17</f>
        <v>-7.7180475552274252E-12</v>
      </c>
      <c r="Z17" s="511">
        <f t="shared" si="6"/>
        <v>9.9210617712339744E-3</v>
      </c>
      <c r="AA17" s="511">
        <f>'Interpolations AUD'!S24-0.001-Z17</f>
        <v>3.4144909122346689E-12</v>
      </c>
      <c r="AB17" s="511">
        <f t="shared" si="7"/>
        <v>1.244688647008152E-2</v>
      </c>
      <c r="AC17" s="511">
        <f>'Interpolations NZD'!S24-0.001-AB17</f>
        <v>8.3937401473832551E-10</v>
      </c>
    </row>
    <row r="18" spans="1:29">
      <c r="A18" s="134"/>
      <c r="B18" s="2" t="s">
        <v>259</v>
      </c>
      <c r="C18" s="193">
        <f>'All Curves'!I18</f>
        <v>1.6679573407552439E-2</v>
      </c>
      <c r="D18" s="193">
        <f>'All Curves'!R18</f>
        <v>-5.0585726148822951E-3</v>
      </c>
      <c r="E18" s="193">
        <f>'All Curves'!AA18</f>
        <v>6.9642946586363497E-3</v>
      </c>
      <c r="F18" s="193">
        <f>'All Curves'!AJ18</f>
        <v>-8.9919172992566354E-3</v>
      </c>
      <c r="G18" s="193">
        <f>'All Curves'!AS18</f>
        <v>1.6330858961021377E-2</v>
      </c>
      <c r="H18" s="193">
        <f>'All Curves'!BB18</f>
        <v>-2.149428957855859E-3</v>
      </c>
      <c r="I18" s="193">
        <f>'All Curves'!BK18</f>
        <v>1.0452226440613721E-2</v>
      </c>
      <c r="J18" s="193">
        <f>'All Curves'!BT18</f>
        <v>1.2785500245483972E-2</v>
      </c>
      <c r="K18" s="697">
        <f>'All Curves'!CC18</f>
        <v>1.6299882122731812E-2</v>
      </c>
      <c r="L18" s="697">
        <f>'All Curves'!CL18</f>
        <v>1.3433777899429122E-2</v>
      </c>
      <c r="N18" s="511">
        <f t="shared" si="0"/>
        <v>1.6679573407552439E-2</v>
      </c>
      <c r="O18" s="511">
        <f>'Interpolations USD'!S26-0.001-N18</f>
        <v>5.5080495720005729E-11</v>
      </c>
      <c r="P18" s="511">
        <f t="shared" si="1"/>
        <v>-5.0585726148822951E-3</v>
      </c>
      <c r="Q18" s="511">
        <f>'Interpolations Euro'!S25-0.001-P18</f>
        <v>1.0061584985315841E-10</v>
      </c>
      <c r="R18" s="511">
        <f t="shared" si="2"/>
        <v>6.9642946586363497E-3</v>
      </c>
      <c r="S18" s="511">
        <f>'Interpolations GBP'!S25-0.001-R18</f>
        <v>6.7545858663253799E-11</v>
      </c>
      <c r="T18" s="511">
        <f t="shared" si="3"/>
        <v>-8.9919172992566354E-3</v>
      </c>
      <c r="U18" s="511">
        <f>'Interpolations CHF'!S25-0.001-T18</f>
        <v>8.1383788597122475E-12</v>
      </c>
      <c r="V18" s="511">
        <f t="shared" si="4"/>
        <v>1.6330858961021377E-2</v>
      </c>
      <c r="W18" s="511">
        <f>'Interpolations CAD'!S25-0.001-V18</f>
        <v>-9.9305119682924214E-11</v>
      </c>
      <c r="X18" s="511">
        <f t="shared" si="5"/>
        <v>-2.149428957855859E-3</v>
      </c>
      <c r="Y18" s="511">
        <f>'Interpolations JPY'!S25-0.001-X18</f>
        <v>1.1051049832178084E-11</v>
      </c>
      <c r="Z18" s="511">
        <f t="shared" si="6"/>
        <v>1.0452226440613721E-2</v>
      </c>
      <c r="AA18" s="511">
        <f>'Interpolations AUD'!S25-0.001-Z18</f>
        <v>3.698708006538709E-12</v>
      </c>
      <c r="AB18" s="511">
        <f t="shared" si="7"/>
        <v>1.2785500245483972E-2</v>
      </c>
      <c r="AC18" s="511">
        <f>'Interpolations NZD'!S25-0.001-AB18</f>
        <v>5.0298065712439666E-10</v>
      </c>
    </row>
    <row r="19" spans="1:29">
      <c r="A19" s="134"/>
      <c r="B19" s="2" t="s">
        <v>260</v>
      </c>
      <c r="C19" s="193">
        <f>'All Curves'!I19</f>
        <v>1.6905057495559594E-2</v>
      </c>
      <c r="D19" s="193">
        <f>'All Curves'!R19</f>
        <v>-4.3633127396568439E-3</v>
      </c>
      <c r="E19" s="193">
        <f>'All Curves'!AA19</f>
        <v>7.2508677773559516E-3</v>
      </c>
      <c r="F19" s="193">
        <f>'All Curves'!AJ19</f>
        <v>-8.2878196105352631E-3</v>
      </c>
      <c r="G19" s="193">
        <f>'All Curves'!AS19</f>
        <v>1.6341508845795438E-2</v>
      </c>
      <c r="H19" s="193">
        <f>'All Curves'!BB19</f>
        <v>-2.0311059656547004E-3</v>
      </c>
      <c r="I19" s="193">
        <f>'All Curves'!BK19</f>
        <v>1.112060561500483E-2</v>
      </c>
      <c r="J19" s="193">
        <f>'All Curves'!BT19</f>
        <v>1.3346288613669266E-2</v>
      </c>
      <c r="K19" s="697">
        <f>'All Curves'!CC19</f>
        <v>1.6356936820631329E-2</v>
      </c>
      <c r="L19" s="697">
        <f>'All Curves'!CL19</f>
        <v>1.4102159380802171E-2</v>
      </c>
      <c r="N19" s="511">
        <f t="shared" si="0"/>
        <v>1.6905057495559594E-2</v>
      </c>
      <c r="O19" s="511">
        <f>'Interpolations USD'!S27-0.001-N19</f>
        <v>1.6446510819889681E-11</v>
      </c>
      <c r="P19" s="511">
        <f t="shared" si="1"/>
        <v>-4.3633127396568439E-3</v>
      </c>
      <c r="Q19" s="511">
        <f>'Interpolations Euro'!S26-0.001-P19</f>
        <v>-4.0068836269779862E-11</v>
      </c>
      <c r="R19" s="511">
        <f t="shared" si="2"/>
        <v>7.2508677773559516E-3</v>
      </c>
      <c r="S19" s="511">
        <f>'Interpolations GBP'!S26-0.001-R19</f>
        <v>9.7387543342153382E-11</v>
      </c>
      <c r="T19" s="511">
        <f t="shared" si="3"/>
        <v>-8.2878196105352631E-3</v>
      </c>
      <c r="U19" s="511">
        <f>'Interpolations CHF'!S26-0.001-T19</f>
        <v>-2.6551427723120469E-11</v>
      </c>
      <c r="V19" s="511">
        <f t="shared" si="4"/>
        <v>1.6341508845795438E-2</v>
      </c>
      <c r="W19" s="511">
        <f>'Interpolations CAD'!S26-0.001-V19</f>
        <v>-5.8164473237809489E-11</v>
      </c>
      <c r="X19" s="511">
        <f t="shared" si="5"/>
        <v>-2.0311059656547004E-3</v>
      </c>
      <c r="Y19" s="511">
        <f>'Interpolations JPY'!S26-0.001-X19</f>
        <v>1.7535862519013623E-11</v>
      </c>
      <c r="Z19" s="511">
        <f t="shared" si="6"/>
        <v>1.112060561500483E-2</v>
      </c>
      <c r="AA19" s="511">
        <f>'Interpolations AUD'!S26-0.001-Z19</f>
        <v>-7.3941963663060051E-12</v>
      </c>
      <c r="AB19" s="511">
        <f t="shared" si="7"/>
        <v>1.3346288613669266E-2</v>
      </c>
      <c r="AC19" s="511">
        <f>'Interpolations NZD'!S26-0.001-AB19</f>
        <v>2.9998326045443946E-10</v>
      </c>
    </row>
    <row r="20" spans="1:29">
      <c r="A20" s="134"/>
      <c r="B20" s="2" t="s">
        <v>261</v>
      </c>
      <c r="C20" s="193">
        <f>'All Curves'!I20</f>
        <v>1.7299256329449619E-2</v>
      </c>
      <c r="D20" s="193">
        <f>'All Curves'!R20</f>
        <v>-3.5610368822719396E-3</v>
      </c>
      <c r="E20" s="193">
        <f>'All Curves'!AA20</f>
        <v>7.5634903247467911E-3</v>
      </c>
      <c r="F20" s="193">
        <f>'All Curves'!AJ20</f>
        <v>-7.5140621577792777E-3</v>
      </c>
      <c r="G20" s="193">
        <f>'All Curves'!AS20</f>
        <v>1.6526964466219152E-2</v>
      </c>
      <c r="H20" s="193">
        <f>'All Curves'!BB20</f>
        <v>-1.8502535120539232E-3</v>
      </c>
      <c r="I20" s="193">
        <f>'All Curves'!BK20</f>
        <v>1.1897298165094883E-2</v>
      </c>
      <c r="J20" s="193">
        <f>'All Curves'!BT20</f>
        <v>1.4072860639890106E-2</v>
      </c>
      <c r="K20" s="697">
        <f>'All Curves'!CC20</f>
        <v>1.6483089686629926E-2</v>
      </c>
      <c r="L20" s="697">
        <f>'All Curves'!CL20</f>
        <v>1.4878855683114978E-2</v>
      </c>
      <c r="N20" s="511">
        <f t="shared" si="0"/>
        <v>1.7299256329449619E-2</v>
      </c>
      <c r="O20" s="511">
        <f>'Interpolations USD'!S28-0.001-N20</f>
        <v>-3.4472091847703723E-11</v>
      </c>
      <c r="P20" s="511">
        <f t="shared" si="1"/>
        <v>-3.5610368822719396E-3</v>
      </c>
      <c r="Q20" s="511">
        <f>'Interpolations Euro'!S27-0.001-P20</f>
        <v>-9.1679551970924589E-11</v>
      </c>
      <c r="R20" s="511">
        <f t="shared" si="2"/>
        <v>7.5634903247467911E-3</v>
      </c>
      <c r="S20" s="511">
        <f>'Interpolations GBP'!S27-0.001-R20</f>
        <v>-2.6422752007204675E-11</v>
      </c>
      <c r="T20" s="511">
        <f t="shared" si="3"/>
        <v>-7.5140621577792777E-3</v>
      </c>
      <c r="U20" s="511">
        <f>'Interpolations CHF'!S27-0.001-T20</f>
        <v>1.75498513291239E-11</v>
      </c>
      <c r="V20" s="511">
        <f t="shared" si="4"/>
        <v>1.6526964466219152E-2</v>
      </c>
      <c r="W20" s="511">
        <f>'Interpolations CAD'!S27-0.001-V20</f>
        <v>-5.4645066249747742E-11</v>
      </c>
      <c r="X20" s="511">
        <f t="shared" si="5"/>
        <v>-1.8502535120539232E-3</v>
      </c>
      <c r="Y20" s="511">
        <f>'Interpolations JPY'!S27-0.001-X20</f>
        <v>1.1029733550105281E-11</v>
      </c>
      <c r="Z20" s="511">
        <f t="shared" si="6"/>
        <v>1.1897298165094883E-2</v>
      </c>
      <c r="AA20" s="511">
        <f>'Interpolations AUD'!S27-0.001-Z20</f>
        <v>2.4469648529645838E-11</v>
      </c>
      <c r="AB20" s="511">
        <f t="shared" si="7"/>
        <v>1.4072860639890106E-2</v>
      </c>
      <c r="AC20" s="511">
        <f>'Interpolations NZD'!S27-0.001-AB20</f>
        <v>1.1609457839512061E-10</v>
      </c>
    </row>
    <row r="21" spans="1:29">
      <c r="A21" s="134"/>
      <c r="B21" s="2" t="s">
        <v>262</v>
      </c>
      <c r="C21" s="193">
        <f>'All Curves'!I21</f>
        <v>1.771971083731505E-2</v>
      </c>
      <c r="D21" s="193">
        <f>'All Curves'!R21</f>
        <v>-2.7201678563585352E-3</v>
      </c>
      <c r="E21" s="193">
        <f>'All Curves'!AA21</f>
        <v>7.8923953407101788E-3</v>
      </c>
      <c r="F21" s="193">
        <f>'All Curves'!AJ21</f>
        <v>-6.6254105886845993E-3</v>
      </c>
      <c r="G21" s="193">
        <f>'All Curves'!AS21</f>
        <v>1.6793443571916145E-2</v>
      </c>
      <c r="H21" s="193">
        <f>'All Curves'!BB21</f>
        <v>-1.6009224738916528E-3</v>
      </c>
      <c r="I21" s="193">
        <f>'All Curves'!BK21</f>
        <v>1.272198096928534E-2</v>
      </c>
      <c r="J21" s="193">
        <f>'All Curves'!BT21</f>
        <v>1.4864375175875688E-2</v>
      </c>
      <c r="K21" s="697">
        <f>'All Curves'!CC21</f>
        <v>1.6810607285236756E-2</v>
      </c>
      <c r="L21" s="697">
        <f>'All Curves'!CL21</f>
        <v>1.5703543329361747E-2</v>
      </c>
      <c r="N21" s="511">
        <f t="shared" si="0"/>
        <v>1.771971083731505E-2</v>
      </c>
      <c r="O21" s="511">
        <f>'Interpolations USD'!S29-0.001-N21</f>
        <v>5.2983284426488808E-11</v>
      </c>
      <c r="P21" s="511">
        <f t="shared" si="1"/>
        <v>-2.7201678563585352E-3</v>
      </c>
      <c r="Q21" s="511">
        <f>'Interpolations Euro'!S28-0.001-P21</f>
        <v>7.650435927125665E-11</v>
      </c>
      <c r="R21" s="511">
        <f t="shared" si="2"/>
        <v>7.8923953407101788E-3</v>
      </c>
      <c r="S21" s="511">
        <f>'Interpolations GBP'!S28-0.001-R21</f>
        <v>-1.5915380124909007E-11</v>
      </c>
      <c r="T21" s="511">
        <f t="shared" si="3"/>
        <v>-6.6254105886845993E-3</v>
      </c>
      <c r="U21" s="511">
        <f>'Interpolations CHF'!S28-0.001-T21</f>
        <v>1.9225288895585724E-11</v>
      </c>
      <c r="V21" s="511">
        <f t="shared" si="4"/>
        <v>1.6793443571916145E-2</v>
      </c>
      <c r="W21" s="511">
        <f>'Interpolations CAD'!S28-0.001-V21</f>
        <v>1.1724288206949041E-11</v>
      </c>
      <c r="X21" s="511">
        <f t="shared" si="5"/>
        <v>-1.6009224738916528E-3</v>
      </c>
      <c r="Y21" s="511">
        <f>'Interpolations JPY'!S28-0.001-X21</f>
        <v>-1.0791366931994784E-11</v>
      </c>
      <c r="Z21" s="511">
        <f t="shared" si="6"/>
        <v>1.272198096928534E-2</v>
      </c>
      <c r="AA21" s="511">
        <f>'Interpolations AUD'!S28-0.001-Z21</f>
        <v>-1.2631118373462868E-11</v>
      </c>
      <c r="AB21" s="511">
        <f t="shared" si="7"/>
        <v>1.4864375175875688E-2</v>
      </c>
      <c r="AC21" s="511">
        <f>'Interpolations NZD'!S28-0.001-AB21</f>
        <v>-1.4643841694805815E-13</v>
      </c>
    </row>
    <row r="22" spans="1:29">
      <c r="A22" s="134"/>
      <c r="B22" s="2" t="s">
        <v>263</v>
      </c>
      <c r="C22" s="193">
        <f>'All Curves'!I22</f>
        <v>1.8176386163717861E-2</v>
      </c>
      <c r="D22" s="193">
        <f>'All Curves'!R22</f>
        <v>-1.835615217559039E-3</v>
      </c>
      <c r="E22" s="193">
        <f>'All Curves'!AA22</f>
        <v>8.223055948443081E-3</v>
      </c>
      <c r="F22" s="193">
        <f>'All Curves'!AJ22</f>
        <v>-5.7831890770936312E-3</v>
      </c>
      <c r="G22" s="193">
        <f>'All Curves'!AS22</f>
        <v>1.7113736214264819E-2</v>
      </c>
      <c r="H22" s="193">
        <f>'All Curves'!BB22</f>
        <v>-1.3131157047810982E-3</v>
      </c>
      <c r="I22" s="193">
        <f>'All Curves'!BK22</f>
        <v>1.3521824307894059E-2</v>
      </c>
      <c r="J22" s="193">
        <f>'All Curves'!BT22</f>
        <v>1.564901819793918E-2</v>
      </c>
      <c r="K22" s="697">
        <f>'All Curves'!CC22</f>
        <v>1.7047112412306387E-2</v>
      </c>
      <c r="L22" s="697">
        <f>'All Curves'!CL22</f>
        <v>1.6503391606475404E-2</v>
      </c>
      <c r="N22" s="511">
        <f t="shared" si="0"/>
        <v>1.8176386163717861E-2</v>
      </c>
      <c r="O22" s="511">
        <f>'Interpolations USD'!S30-0.001-N22</f>
        <v>4.4233838814022874E-11</v>
      </c>
      <c r="P22" s="511">
        <f t="shared" si="1"/>
        <v>-1.835615217559039E-3</v>
      </c>
      <c r="Q22" s="511">
        <f>'Interpolations Euro'!S29-0.001-P22</f>
        <v>-5.0345060585710311E-11</v>
      </c>
      <c r="R22" s="511">
        <f t="shared" si="2"/>
        <v>8.223055948443081E-3</v>
      </c>
      <c r="S22" s="511">
        <f>'Interpolations GBP'!S29-0.001-R22</f>
        <v>4.3686276818277747E-11</v>
      </c>
      <c r="T22" s="511">
        <f t="shared" si="3"/>
        <v>-5.7831890770936312E-3</v>
      </c>
      <c r="U22" s="511">
        <f>'Interpolations CHF'!S29-0.001-T22</f>
        <v>-2.3720136098359657E-11</v>
      </c>
      <c r="V22" s="511">
        <f t="shared" si="4"/>
        <v>1.7113736214264819E-2</v>
      </c>
      <c r="W22" s="511">
        <f>'Interpolations CAD'!S29-0.001-V22</f>
        <v>-4.7836734573536432E-11</v>
      </c>
      <c r="X22" s="511">
        <f t="shared" si="5"/>
        <v>-1.3131157047810982E-3</v>
      </c>
      <c r="Y22" s="511">
        <f>'Interpolations JPY'!S29-0.001-X22</f>
        <v>9.1855420839004331E-12</v>
      </c>
      <c r="Z22" s="511">
        <f t="shared" si="6"/>
        <v>1.3521824307894059E-2</v>
      </c>
      <c r="AA22" s="511">
        <f>'Interpolations AUD'!S29-0.001-Z22</f>
        <v>4.9708015481542134E-12</v>
      </c>
      <c r="AB22" s="511">
        <f t="shared" si="7"/>
        <v>1.564901819793918E-2</v>
      </c>
      <c r="AC22" s="511">
        <f>'Interpolations NZD'!S29-0.001-AB22</f>
        <v>-3.3765545914832273E-11</v>
      </c>
    </row>
    <row r="23" spans="1:29">
      <c r="A23" s="134"/>
      <c r="B23" s="2" t="s">
        <v>264</v>
      </c>
      <c r="C23" s="193">
        <f>'All Curves'!I23</f>
        <v>1.861904203992748E-2</v>
      </c>
      <c r="D23" s="193">
        <f>'All Curves'!R23</f>
        <v>-9.5451152369185888E-4</v>
      </c>
      <c r="E23" s="193">
        <f>'All Curves'!AA23</f>
        <v>8.552710926212459E-3</v>
      </c>
      <c r="F23" s="193">
        <f>'All Curves'!AJ23</f>
        <v>-4.9378931330635867E-3</v>
      </c>
      <c r="G23" s="193">
        <f>'All Curves'!AS23</f>
        <v>1.7463110234003709E-2</v>
      </c>
      <c r="H23" s="193">
        <f>'All Curves'!BB23</f>
        <v>-9.8746087938861304E-4</v>
      </c>
      <c r="I23" s="193">
        <f>'All Curves'!BK23</f>
        <v>1.4253677861643776E-2</v>
      </c>
      <c r="J23" s="193">
        <f>'All Curves'!BT23</f>
        <v>1.6396851061630802E-2</v>
      </c>
      <c r="K23" s="697">
        <f>'All Curves'!CC23</f>
        <v>1.7424327817851637E-2</v>
      </c>
      <c r="L23" s="697">
        <f>'All Curves'!CL23</f>
        <v>1.723524943465149E-2</v>
      </c>
      <c r="N23" s="511">
        <f t="shared" si="0"/>
        <v>1.861904203992748E-2</v>
      </c>
      <c r="O23" s="511">
        <f>'Interpolations USD'!S31-0.001-N23</f>
        <v>4.5626502576112671E-11</v>
      </c>
      <c r="P23" s="511">
        <f t="shared" si="1"/>
        <v>-9.5451152369185888E-4</v>
      </c>
      <c r="Q23" s="511">
        <f>'Interpolations Euro'!S30-0.001-P23</f>
        <v>-5.0612624334644973E-11</v>
      </c>
      <c r="R23" s="511">
        <f t="shared" si="2"/>
        <v>8.552710926212459E-3</v>
      </c>
      <c r="S23" s="511">
        <f>'Interpolations GBP'!S30-0.001-R23</f>
        <v>-1.672051386236717E-11</v>
      </c>
      <c r="T23" s="511">
        <f t="shared" si="3"/>
        <v>-4.9378931330635867E-3</v>
      </c>
      <c r="U23" s="511">
        <f>'Interpolations CHF'!S30-0.001-T23</f>
        <v>-1.9035216979046421E-11</v>
      </c>
      <c r="V23" s="511">
        <f t="shared" si="4"/>
        <v>1.7463110234003709E-2</v>
      </c>
      <c r="W23" s="511">
        <f>'Interpolations CAD'!S30-0.001-V23</f>
        <v>9.0788376816419714E-11</v>
      </c>
      <c r="X23" s="511">
        <f t="shared" si="5"/>
        <v>-9.8746087938861304E-4</v>
      </c>
      <c r="Y23" s="511">
        <f>'Interpolations JPY'!S30-0.001-X23</f>
        <v>1.3431034930067032E-11</v>
      </c>
      <c r="Z23" s="511">
        <f t="shared" si="6"/>
        <v>1.4253677861643776E-2</v>
      </c>
      <c r="AA23" s="511">
        <f>'Interpolations AUD'!S30-0.001-Z23</f>
        <v>2.1217583245913829E-11</v>
      </c>
      <c r="AB23" s="511">
        <f t="shared" si="7"/>
        <v>1.6396851061630802E-2</v>
      </c>
      <c r="AC23" s="511">
        <f>'Interpolations NZD'!S30-0.001-AB23</f>
        <v>-4.4659720366269084E-11</v>
      </c>
    </row>
    <row r="24" spans="1:29">
      <c r="A24" s="134"/>
      <c r="B24" s="2" t="s">
        <v>265</v>
      </c>
      <c r="C24" s="193">
        <f>'All Curves'!I24</f>
        <v>1.905003642683667E-2</v>
      </c>
      <c r="D24" s="193">
        <f>'All Curves'!R24</f>
        <v>-1.0883648552839631E-4</v>
      </c>
      <c r="E24" s="193">
        <f>'All Curves'!AA24</f>
        <v>8.8695476633717796E-3</v>
      </c>
      <c r="F24" s="193">
        <f>'All Curves'!AJ24</f>
        <v>-4.1387418588588742E-3</v>
      </c>
      <c r="G24" s="193">
        <f>'All Curves'!AS24</f>
        <v>1.7819343778962882E-2</v>
      </c>
      <c r="H24" s="193">
        <f>'All Curves'!BB24</f>
        <v>-6.4844792598328649E-4</v>
      </c>
      <c r="I24" s="193">
        <f>'All Curves'!BK24</f>
        <v>1.4921862020841559E-2</v>
      </c>
      <c r="J24" s="193">
        <f>'All Curves'!BT24</f>
        <v>1.711085028051551E-2</v>
      </c>
      <c r="K24" s="697">
        <f>'All Curves'!CC24</f>
        <v>1.7917520689462174E-2</v>
      </c>
      <c r="L24" s="697">
        <f>'All Curves'!CL24</f>
        <v>1.7903437241401532E-2</v>
      </c>
      <c r="N24" s="511">
        <f t="shared" si="0"/>
        <v>1.905003642683667E-2</v>
      </c>
      <c r="O24" s="511">
        <f>'Interpolations USD'!S32-0.001-N24</f>
        <v>-1.1663892074409432E-11</v>
      </c>
      <c r="P24" s="511">
        <f t="shared" si="1"/>
        <v>-1.0883648552839631E-4</v>
      </c>
      <c r="Q24" s="511">
        <f>'Interpolations Euro'!S31-0.001-P24</f>
        <v>-8.7962414262177102E-11</v>
      </c>
      <c r="R24" s="511">
        <f t="shared" si="2"/>
        <v>8.8695476633717796E-3</v>
      </c>
      <c r="S24" s="511">
        <f>'Interpolations GBP'!S31-0.001-R24</f>
        <v>-4.1439074394133968E-12</v>
      </c>
      <c r="T24" s="511">
        <f t="shared" si="3"/>
        <v>-4.1387418588588742E-3</v>
      </c>
      <c r="U24" s="511">
        <f>'Interpolations CHF'!S31-0.001-T24</f>
        <v>-4.1522332447363475E-12</v>
      </c>
      <c r="V24" s="511">
        <f t="shared" si="4"/>
        <v>1.7819343778962882E-2</v>
      </c>
      <c r="W24" s="511">
        <f>'Interpolations CAD'!S31-0.001-V24</f>
        <v>-2.356415063076156E-11</v>
      </c>
      <c r="X24" s="511">
        <f t="shared" si="5"/>
        <v>-6.4844792598328649E-4</v>
      </c>
      <c r="Y24" s="511">
        <f>'Interpolations JPY'!S31-0.001-X24</f>
        <v>-1.6605160822746878E-11</v>
      </c>
      <c r="Z24" s="511">
        <f t="shared" si="6"/>
        <v>1.4921862020841559E-2</v>
      </c>
      <c r="AA24" s="511">
        <f>'Interpolations AUD'!S31-0.001-Z24</f>
        <v>-4.2223446961031641E-11</v>
      </c>
      <c r="AB24" s="511">
        <f t="shared" si="7"/>
        <v>1.711085028051551E-2</v>
      </c>
      <c r="AC24" s="511">
        <f>'Interpolations NZD'!S31-0.001-AB24</f>
        <v>-2.8849700406397005E-11</v>
      </c>
    </row>
    <row r="25" spans="1:29">
      <c r="A25" s="134"/>
      <c r="B25" s="2" t="s">
        <v>266</v>
      </c>
      <c r="C25" s="193">
        <f>'All Curves'!I25</f>
        <v>1.9478458271875443E-2</v>
      </c>
      <c r="D25" s="193">
        <f>'All Curves'!R25</f>
        <v>6.9822589334456175E-4</v>
      </c>
      <c r="E25" s="193">
        <f>'All Curves'!AA25</f>
        <v>9.1716965488757296E-3</v>
      </c>
      <c r="F25" s="193">
        <f>'All Curves'!AJ25</f>
        <v>-3.3358266656327018E-3</v>
      </c>
      <c r="G25" s="193">
        <f>'All Curves'!AS25</f>
        <v>1.8242698360001253E-2</v>
      </c>
      <c r="H25" s="193">
        <f>'All Curves'!BB25</f>
        <v>-3.0848994180032729E-4</v>
      </c>
      <c r="I25" s="193">
        <f>'All Curves'!BK25</f>
        <v>1.5571811705320071E-2</v>
      </c>
      <c r="J25" s="193">
        <f>'All Curves'!BT25</f>
        <v>1.7914323061553938E-2</v>
      </c>
      <c r="K25" s="697">
        <f>'All Curves'!CC25</f>
        <v>1.8180845747290064E-2</v>
      </c>
      <c r="L25" s="697">
        <f>'All Curves'!CL25</f>
        <v>1.8464688064497636E-2</v>
      </c>
      <c r="N25" s="511">
        <f t="shared" si="0"/>
        <v>1.9478458271875443E-2</v>
      </c>
      <c r="O25" s="511">
        <f>'Interpolations USD'!S33-0.001-N25</f>
        <v>-3.0173308296355117E-11</v>
      </c>
      <c r="P25" s="511">
        <f t="shared" si="1"/>
        <v>6.9822589334456175E-4</v>
      </c>
      <c r="Q25" s="511">
        <f>'Interpolations Euro'!S32-0.001-P25</f>
        <v>-4.3026137340473891E-11</v>
      </c>
      <c r="R25" s="511">
        <f t="shared" si="2"/>
        <v>9.1716965488757296E-3</v>
      </c>
      <c r="S25" s="511">
        <f>'Interpolations GBP'!S32-0.001-R25</f>
        <v>2.5951463200613034E-12</v>
      </c>
      <c r="T25" s="511">
        <f t="shared" si="3"/>
        <v>-3.3358266656327018E-3</v>
      </c>
      <c r="U25" s="511">
        <f>'Interpolations CHF'!S32-0.001-T25</f>
        <v>-4.9215186613549289E-11</v>
      </c>
      <c r="V25" s="511">
        <f t="shared" si="4"/>
        <v>1.8242698360001253E-2</v>
      </c>
      <c r="W25" s="511">
        <f>'Interpolations CAD'!S32-0.001-V25</f>
        <v>-4.8900640481353008E-11</v>
      </c>
      <c r="X25" s="511">
        <f t="shared" si="5"/>
        <v>-3.0848994180032729E-4</v>
      </c>
      <c r="Y25" s="511">
        <f>'Interpolations JPY'!S32-0.001-X25</f>
        <v>-2.5529799628498662E-11</v>
      </c>
      <c r="Z25" s="511">
        <f t="shared" si="6"/>
        <v>1.5571811705320071E-2</v>
      </c>
      <c r="AA25" s="511">
        <f>'Interpolations AUD'!S32-0.001-Z25</f>
        <v>-3.505661039238106E-11</v>
      </c>
      <c r="AB25" s="511">
        <f t="shared" si="7"/>
        <v>1.7914323061553938E-2</v>
      </c>
      <c r="AC25" s="511">
        <f>'Interpolations NZD'!S32-0.001-AB25</f>
        <v>-5.238446829092247E-11</v>
      </c>
    </row>
    <row r="26" spans="1:29">
      <c r="A26" s="134"/>
      <c r="B26" s="2" t="s">
        <v>267</v>
      </c>
      <c r="C26" s="193">
        <f>'All Curves'!I26</f>
        <v>1.983923839707602E-2</v>
      </c>
      <c r="D26" s="193">
        <f>'All Curves'!R26</f>
        <v>1.4591780977066815E-3</v>
      </c>
      <c r="E26" s="193">
        <f>'All Curves'!AA26</f>
        <v>9.4470297869213571E-3</v>
      </c>
      <c r="F26" s="193">
        <f>'All Curves'!AJ26</f>
        <v>-2.5536931185422551E-3</v>
      </c>
      <c r="G26" s="193">
        <f>'All Curves'!AS26</f>
        <v>1.8662118889414048E-2</v>
      </c>
      <c r="H26" s="193">
        <f>'All Curves'!BB26</f>
        <v>1.9851242194279806E-5</v>
      </c>
      <c r="I26" s="193">
        <f>'All Curves'!BK26</f>
        <v>1.6196909446421603E-2</v>
      </c>
      <c r="J26" s="193">
        <f>'All Curves'!BT26</f>
        <v>1.8455131879119291E-2</v>
      </c>
      <c r="K26" s="697">
        <f>'All Curves'!CC26</f>
        <v>1.8519847860612559E-2</v>
      </c>
      <c r="L26" s="697">
        <f>'All Curves'!CL26</f>
        <v>1.9015856449932977E-2</v>
      </c>
      <c r="N26" s="511">
        <f t="shared" si="0"/>
        <v>1.983923839707602E-2</v>
      </c>
      <c r="O26" s="511">
        <f>'Interpolations USD'!S34-0.001-N26</f>
        <v>3.4221625533348288E-11</v>
      </c>
      <c r="P26" s="511">
        <f t="shared" si="1"/>
        <v>1.4591780977066815E-3</v>
      </c>
      <c r="Q26" s="511">
        <f>'Interpolations Euro'!S33-0.001-P26</f>
        <v>-4.6132763407980004E-11</v>
      </c>
      <c r="R26" s="511">
        <f t="shared" si="2"/>
        <v>9.4470297869213571E-3</v>
      </c>
      <c r="S26" s="511">
        <f>'Interpolations GBP'!S33-0.001-R26</f>
        <v>2.2460922011191542E-12</v>
      </c>
      <c r="T26" s="511">
        <f t="shared" si="3"/>
        <v>-2.5536931185422551E-3</v>
      </c>
      <c r="U26" s="511">
        <f>'Interpolations CHF'!S33-0.001-T26</f>
        <v>-2.579847360045795E-11</v>
      </c>
      <c r="V26" s="511">
        <f t="shared" si="4"/>
        <v>1.8662118889414048E-2</v>
      </c>
      <c r="W26" s="511">
        <f>'Interpolations CAD'!S33-0.001-V26</f>
        <v>-7.423717196530788E-11</v>
      </c>
      <c r="X26" s="511">
        <f t="shared" si="5"/>
        <v>1.9851242194279806E-5</v>
      </c>
      <c r="Y26" s="511">
        <f>'Interpolations JPY'!S33-0.001-X26</f>
        <v>-1.872668600050309E-11</v>
      </c>
      <c r="Z26" s="511">
        <f t="shared" si="6"/>
        <v>1.6196909446421603E-2</v>
      </c>
      <c r="AA26" s="511">
        <f>'Interpolations AUD'!S33-0.001-Z26</f>
        <v>-2.7889801579306095E-11</v>
      </c>
      <c r="AB26" s="511">
        <f t="shared" si="7"/>
        <v>1.8455131879119291E-2</v>
      </c>
      <c r="AC26" s="511">
        <f>'Interpolations NZD'!S33-0.001-AB26</f>
        <v>-3.159805750385658E-12</v>
      </c>
    </row>
    <row r="27" spans="1:29">
      <c r="A27" s="134"/>
      <c r="B27" s="2" t="s">
        <v>268</v>
      </c>
      <c r="C27" s="193">
        <f>'All Curves'!I27</f>
        <v>2.0149519056825937E-2</v>
      </c>
      <c r="D27" s="193">
        <f>'All Curves'!R27</f>
        <v>2.2079495247453451E-3</v>
      </c>
      <c r="E27" s="193">
        <f>'All Curves'!AA27</f>
        <v>9.6771836840940928E-3</v>
      </c>
      <c r="F27" s="193">
        <f>'All Curves'!AJ27</f>
        <v>-1.9342880003849761E-3</v>
      </c>
      <c r="G27" s="193">
        <f>'All Curves'!AS27</f>
        <v>1.9022307246541414E-2</v>
      </c>
      <c r="H27" s="193">
        <f>'All Curves'!BB27</f>
        <v>3.3654782059699961E-4</v>
      </c>
      <c r="I27" s="193">
        <f>'All Curves'!BK27</f>
        <v>1.6719484524372108E-2</v>
      </c>
      <c r="J27" s="193">
        <f>'All Curves'!BT27</f>
        <v>1.9020856817390852E-2</v>
      </c>
      <c r="K27" s="697">
        <f>'All Curves'!CC27</f>
        <v>1.8767703860592233E-2</v>
      </c>
      <c r="L27" s="697">
        <f>'All Curves'!CL27</f>
        <v>1.9475803356986177E-2</v>
      </c>
      <c r="N27" s="511">
        <f t="shared" si="0"/>
        <v>2.0149519056825937E-2</v>
      </c>
      <c r="O27" s="511">
        <f>'Interpolations USD'!S35-0.001-N27</f>
        <v>5.2322035593022065E-11</v>
      </c>
      <c r="P27" s="511">
        <f t="shared" si="1"/>
        <v>2.2079495247453451E-3</v>
      </c>
      <c r="Q27" s="511">
        <f>'Interpolations Euro'!S34-0.001-P27</f>
        <v>5.2245993989452622E-12</v>
      </c>
      <c r="R27" s="511">
        <f t="shared" si="2"/>
        <v>9.6771836840940928E-3</v>
      </c>
      <c r="S27" s="511">
        <f>'Interpolations GBP'!S34-0.001-R27</f>
        <v>-1.7754575587503041E-11</v>
      </c>
      <c r="T27" s="511">
        <f t="shared" si="3"/>
        <v>-1.9342880003849761E-3</v>
      </c>
      <c r="U27" s="511">
        <f>'Interpolations CHF'!S34-0.001-T27</f>
        <v>-2.4426137328059649E-11</v>
      </c>
      <c r="V27" s="511">
        <f t="shared" si="4"/>
        <v>1.9022307246541414E-2</v>
      </c>
      <c r="W27" s="511">
        <f>'Interpolations CAD'!S34-0.001-V27</f>
        <v>-9.7108224239583762E-12</v>
      </c>
      <c r="X27" s="511">
        <f t="shared" si="5"/>
        <v>3.3654782059699961E-4</v>
      </c>
      <c r="Y27" s="511">
        <f>'Interpolations JPY'!S34-0.001-X27</f>
        <v>2.7704617246160357E-11</v>
      </c>
      <c r="Z27" s="511">
        <f t="shared" si="6"/>
        <v>1.6719484524372108E-2</v>
      </c>
      <c r="AA27" s="511">
        <f>'Interpolations AUD'!S34-0.001-Z27</f>
        <v>-2.8488704451046232E-12</v>
      </c>
      <c r="AB27" s="511">
        <f t="shared" si="7"/>
        <v>1.9020856817390852E-2</v>
      </c>
      <c r="AC27" s="511">
        <f>'Interpolations NZD'!S34-0.001-AB27</f>
        <v>-2.8979117716598779E-11</v>
      </c>
    </row>
    <row r="28" spans="1:29">
      <c r="A28" s="134"/>
      <c r="B28" s="2" t="s">
        <v>269</v>
      </c>
      <c r="C28" s="193">
        <f>'All Curves'!I28</f>
        <v>2.0428212208356555E-2</v>
      </c>
      <c r="D28" s="193">
        <f>'All Curves'!R28</f>
        <v>2.8046646621078253E-3</v>
      </c>
      <c r="E28" s="193">
        <f>'All Curves'!AA28</f>
        <v>9.9006904827734221E-3</v>
      </c>
      <c r="F28" s="193">
        <f>'All Curves'!AJ28</f>
        <v>-1.3570222780239227E-3</v>
      </c>
      <c r="G28" s="193">
        <f>'All Curves'!AS28</f>
        <v>1.9378748880678698E-2</v>
      </c>
      <c r="H28" s="193">
        <f>'All Curves'!BB28</f>
        <v>6.6710538810554887E-4</v>
      </c>
      <c r="I28" s="193">
        <f>'All Curves'!BK28</f>
        <v>1.7222606863580348E-2</v>
      </c>
      <c r="J28" s="193">
        <f>'All Curves'!BT28</f>
        <v>1.9517586482938887E-2</v>
      </c>
      <c r="K28" s="697">
        <f>'All Curves'!CC28</f>
        <v>1.906093654754315E-2</v>
      </c>
      <c r="L28" s="697">
        <f>'All Curves'!CL28</f>
        <v>1.9925234316285678E-2</v>
      </c>
      <c r="N28" s="511">
        <f t="shared" si="0"/>
        <v>2.0428212208356555E-2</v>
      </c>
      <c r="O28" s="511">
        <f>'Interpolations USD'!S36-0.001-N28</f>
        <v>-5.3153814683071232E-11</v>
      </c>
      <c r="P28" s="511">
        <f t="shared" si="1"/>
        <v>2.8046646621078253E-3</v>
      </c>
      <c r="Q28" s="511">
        <f>'Interpolations Euro'!S35-0.001-P28</f>
        <v>-1.7962852559560982E-11</v>
      </c>
      <c r="R28" s="511">
        <f t="shared" si="2"/>
        <v>9.9006904827734221E-3</v>
      </c>
      <c r="S28" s="511">
        <f>'Interpolations GBP'!S35-0.001-R28</f>
        <v>-1.4233836331811744E-11</v>
      </c>
      <c r="T28" s="511">
        <f t="shared" si="3"/>
        <v>-1.3570222780239227E-3</v>
      </c>
      <c r="U28" s="511">
        <f>'Interpolations CHF'!S35-0.001-T28</f>
        <v>-2.3053759422297926E-11</v>
      </c>
      <c r="V28" s="511">
        <f t="shared" si="4"/>
        <v>1.9378748880678698E-2</v>
      </c>
      <c r="W28" s="511">
        <f>'Interpolations CAD'!S35-0.001-V28</f>
        <v>5.4815534056285031E-11</v>
      </c>
      <c r="X28" s="511">
        <f t="shared" si="5"/>
        <v>6.6710538810554887E-4</v>
      </c>
      <c r="Y28" s="511">
        <f>'Interpolations JPY'!S35-0.001-X28</f>
        <v>-6.5435426174764721E-12</v>
      </c>
      <c r="Z28" s="511">
        <f t="shared" si="6"/>
        <v>1.7222606863580348E-2</v>
      </c>
      <c r="AA28" s="511">
        <f>'Interpolations AUD'!S35-0.001-Z28</f>
        <v>2.2191887216749251E-11</v>
      </c>
      <c r="AB28" s="511">
        <f t="shared" si="7"/>
        <v>1.9517586482938887E-2</v>
      </c>
      <c r="AC28" s="511">
        <f>'Interpolations NZD'!S35-0.001-AB28</f>
        <v>1.7961326870263861E-11</v>
      </c>
    </row>
    <row r="29" spans="1:29">
      <c r="A29" s="134"/>
      <c r="B29" s="2" t="s">
        <v>270</v>
      </c>
      <c r="C29" s="193">
        <f>'All Curves'!I29</f>
        <v>2.0656691352857859E-2</v>
      </c>
      <c r="D29" s="193">
        <f>'All Curves'!R29</f>
        <v>3.3811121247708797E-3</v>
      </c>
      <c r="E29" s="193">
        <f>'All Curves'!AA29</f>
        <v>1.0086290649003349E-2</v>
      </c>
      <c r="F29" s="193">
        <f>'All Curves'!AJ29</f>
        <v>-8.2041061964066575E-4</v>
      </c>
      <c r="G29" s="193">
        <f>'All Curves'!AS29</f>
        <v>1.9731534863338007E-2</v>
      </c>
      <c r="H29" s="193">
        <f>'All Curves'!BB29</f>
        <v>9.8612781060802845E-4</v>
      </c>
      <c r="I29" s="193">
        <f>'All Curves'!BK29</f>
        <v>1.7708540098740677E-2</v>
      </c>
      <c r="J29" s="193">
        <f>'All Curves'!BT29</f>
        <v>1.9995463130677793E-2</v>
      </c>
      <c r="K29" s="697">
        <f>'All Curves'!CC29</f>
        <v>1.9387443959336004E-2</v>
      </c>
      <c r="L29" s="697">
        <f>'All Curves'!CL29</f>
        <v>2.0364626488817539E-2</v>
      </c>
      <c r="N29" s="511">
        <f t="shared" si="0"/>
        <v>2.0656691352857859E-2</v>
      </c>
      <c r="O29" s="511">
        <f>'Interpolations USD'!S37-0.001-N29</f>
        <v>3.2930214111104306E-11</v>
      </c>
      <c r="P29" s="511">
        <f t="shared" si="1"/>
        <v>3.3811121247708797E-3</v>
      </c>
      <c r="Q29" s="511">
        <f>'Interpolations Euro'!S36-0.001-P29</f>
        <v>8.6297525549172693E-11</v>
      </c>
      <c r="R29" s="511">
        <f t="shared" si="2"/>
        <v>1.0086290649003349E-2</v>
      </c>
      <c r="S29" s="511">
        <f>'Interpolations GBP'!S36-0.001-R29</f>
        <v>-1.4727108421652702E-12</v>
      </c>
      <c r="T29" s="511">
        <f t="shared" si="3"/>
        <v>-8.2041061964066575E-4</v>
      </c>
      <c r="U29" s="511">
        <f>'Interpolations CHF'!S36-0.001-T29</f>
        <v>-2.1681322535938019E-11</v>
      </c>
      <c r="V29" s="511">
        <f t="shared" si="4"/>
        <v>1.9731534863338007E-2</v>
      </c>
      <c r="W29" s="511">
        <f>'Interpolations CAD'!S36-0.001-V29</f>
        <v>-1.1348866291172044E-10</v>
      </c>
      <c r="X29" s="511">
        <f t="shared" si="5"/>
        <v>9.8612781060802845E-4</v>
      </c>
      <c r="Y29" s="511">
        <f>'Interpolations JPY'!S36-0.001-X29</f>
        <v>9.6201943980411819E-12</v>
      </c>
      <c r="Z29" s="511">
        <f t="shared" si="6"/>
        <v>1.7708540098740677E-2</v>
      </c>
      <c r="AA29" s="511">
        <f>'Interpolations AUD'!S36-0.001-Z29</f>
        <v>4.7232773248140347E-11</v>
      </c>
      <c r="AB29" s="511">
        <f t="shared" si="7"/>
        <v>1.9995463130677793E-2</v>
      </c>
      <c r="AC29" s="511">
        <f>'Interpolations NZD'!S36-0.001-AB29</f>
        <v>6.4901528595839864E-11</v>
      </c>
    </row>
    <row r="30" spans="1:29">
      <c r="A30" s="134"/>
      <c r="B30" s="2" t="s">
        <v>271</v>
      </c>
      <c r="C30" s="193">
        <f>'All Curves'!I30</f>
        <v>2.0870131741579812E-2</v>
      </c>
      <c r="D30" s="193">
        <f>'All Curves'!R30</f>
        <v>3.8857781328260899E-3</v>
      </c>
      <c r="E30" s="193">
        <f>'All Curves'!AA30</f>
        <v>1.0243119547494572E-2</v>
      </c>
      <c r="F30" s="193">
        <f>'All Curves'!AJ30</f>
        <v>-4.1134453014290973E-4</v>
      </c>
      <c r="G30" s="193">
        <f>'All Curves'!AS30</f>
        <v>1.9942312163111264E-2</v>
      </c>
      <c r="H30" s="193">
        <f>'All Curves'!BB30</f>
        <v>1.12865698148501E-3</v>
      </c>
      <c r="I30" s="193">
        <f>'All Curves'!BK30</f>
        <v>1.7998169711596956E-2</v>
      </c>
      <c r="J30" s="193">
        <f>'All Curves'!BT30</f>
        <v>2.027949028552678E-2</v>
      </c>
      <c r="K30" s="697">
        <f>'All Curves'!CC30</f>
        <v>2.0036264193688202E-2</v>
      </c>
      <c r="L30" s="697">
        <f>'All Curves'!CL30</f>
        <v>2.0613414248326078E-2</v>
      </c>
      <c r="N30" s="511">
        <f t="shared" si="0"/>
        <v>2.0870131741579812E-2</v>
      </c>
      <c r="O30" s="511">
        <f>'Interpolations USD'!S38-0.001-N30</f>
        <v>3.4870994980451542E-12</v>
      </c>
      <c r="P30" s="511">
        <f t="shared" si="1"/>
        <v>3.8857781328260899E-3</v>
      </c>
      <c r="Q30" s="511">
        <f>'Interpolations Euro'!S37-0.001-P30</f>
        <v>-5.6186943118985422E-11</v>
      </c>
      <c r="R30" s="511">
        <f t="shared" si="2"/>
        <v>1.0243119547494572E-2</v>
      </c>
      <c r="S30" s="511">
        <f>'Interpolations GBP'!S37-0.001-R30</f>
        <v>-5.4996784903948992E-11</v>
      </c>
      <c r="T30" s="511">
        <f t="shared" si="3"/>
        <v>-4.1134453014290973E-4</v>
      </c>
      <c r="U30" s="511">
        <f>'Interpolations CHF'!S37-0.001-T30</f>
        <v>-3.5971922489330677E-11</v>
      </c>
      <c r="V30" s="511">
        <f t="shared" si="4"/>
        <v>1.9942312163111264E-2</v>
      </c>
      <c r="W30" s="511">
        <f>'Interpolations CAD'!S37-0.001-V30</f>
        <v>4.1004487999485306E-11</v>
      </c>
      <c r="X30" s="511">
        <f t="shared" si="5"/>
        <v>1.12865698148501E-3</v>
      </c>
      <c r="Y30" s="511">
        <f>'Interpolations JPY'!S37-0.001-X30</f>
        <v>3.43625215087906E-12</v>
      </c>
      <c r="Z30" s="511">
        <f t="shared" si="6"/>
        <v>1.7998169711596956E-2</v>
      </c>
      <c r="AA30" s="511">
        <f>'Interpolations AUD'!S37-0.001-Z30</f>
        <v>3.0910912718340455E-11</v>
      </c>
      <c r="AB30" s="511">
        <f t="shared" si="7"/>
        <v>2.027949028552678E-2</v>
      </c>
      <c r="AC30" s="511">
        <f>'Interpolations NZD'!S37-0.001-AB30</f>
        <v>-9.8107039853134737E-11</v>
      </c>
    </row>
    <row r="31" spans="1:29">
      <c r="A31" s="134"/>
      <c r="B31" s="2" t="s">
        <v>272</v>
      </c>
      <c r="C31" s="193">
        <f>'All Curves'!I31</f>
        <v>2.1053405114989987E-2</v>
      </c>
      <c r="D31" s="193">
        <f>'All Curves'!R31</f>
        <v>4.3292739493949739E-3</v>
      </c>
      <c r="E31" s="193">
        <f>'All Curves'!AA31</f>
        <v>1.0376713441830887E-2</v>
      </c>
      <c r="F31" s="193">
        <f>'All Curves'!AJ31</f>
        <v>-4.0087596252180724E-5</v>
      </c>
      <c r="G31" s="193">
        <f>'All Curves'!AS31</f>
        <v>2.014961000816351E-2</v>
      </c>
      <c r="H31" s="193">
        <f>'All Curves'!BB31</f>
        <v>1.4267485859058571E-3</v>
      </c>
      <c r="I31" s="193">
        <f>'All Curves'!BK31</f>
        <v>1.8274144557645089E-2</v>
      </c>
      <c r="J31" s="193">
        <f>'All Curves'!BT31</f>
        <v>2.0597516180480557E-2</v>
      </c>
      <c r="K31" s="697">
        <f>'All Curves'!CC31</f>
        <v>2.0699102049606566E-2</v>
      </c>
      <c r="L31" s="697">
        <f>'All Curves'!CL31</f>
        <v>2.0853345809353163E-2</v>
      </c>
      <c r="N31" s="511">
        <f t="shared" si="0"/>
        <v>2.1053405114989987E-2</v>
      </c>
      <c r="O31" s="511">
        <f>'Interpolations USD'!S39-0.001-N31</f>
        <v>-2.3434476581485342E-11</v>
      </c>
      <c r="P31" s="511">
        <f t="shared" si="1"/>
        <v>4.3292739493949739E-3</v>
      </c>
      <c r="Q31" s="511">
        <f>'Interpolations Euro'!S38-0.001-P31</f>
        <v>-1.2740086676593654E-10</v>
      </c>
      <c r="R31" s="511">
        <f t="shared" si="2"/>
        <v>1.0376713441830887E-2</v>
      </c>
      <c r="S31" s="511">
        <f>'Interpolations GBP'!S38-0.001-R31</f>
        <v>1.1238110442235438E-10</v>
      </c>
      <c r="T31" s="511">
        <f t="shared" si="3"/>
        <v>-4.0087596252180724E-5</v>
      </c>
      <c r="U31" s="511">
        <f>'Interpolations CHF'!S38-0.001-T31</f>
        <v>-5.026237759331309E-11</v>
      </c>
      <c r="V31" s="511">
        <f t="shared" si="4"/>
        <v>2.014961000816351E-2</v>
      </c>
      <c r="W31" s="511">
        <f>'Interpolations CAD'!S38-0.001-V31</f>
        <v>-3.7333025559860289E-11</v>
      </c>
      <c r="X31" s="511">
        <f t="shared" si="5"/>
        <v>1.4267485859058571E-3</v>
      </c>
      <c r="Y31" s="511">
        <f>'Interpolations JPY'!S38-0.001-X31</f>
        <v>1.949464895067976E-13</v>
      </c>
      <c r="Z31" s="511">
        <f t="shared" si="6"/>
        <v>1.8274144557645089E-2</v>
      </c>
      <c r="AA31" s="511">
        <f>'Interpolations AUD'!S38-0.001-Z31</f>
        <v>1.458888565508687E-11</v>
      </c>
      <c r="AB31" s="511">
        <f t="shared" si="7"/>
        <v>2.0597516180480557E-2</v>
      </c>
      <c r="AC31" s="511">
        <f>'Interpolations NZD'!S38-0.001-AB31</f>
        <v>-2.8285117303905594E-11</v>
      </c>
    </row>
    <row r="32" spans="1:29">
      <c r="A32" s="134"/>
      <c r="B32" s="2" t="s">
        <v>273</v>
      </c>
      <c r="C32" s="193">
        <f>'All Curves'!I32</f>
        <v>2.1194596319977776E-2</v>
      </c>
      <c r="D32" s="193">
        <f>'All Curves'!R32</f>
        <v>4.7051414337688779E-3</v>
      </c>
      <c r="E32" s="193">
        <f>'All Curves'!AA32</f>
        <v>1.0493396404615662E-2</v>
      </c>
      <c r="F32" s="193">
        <f>'All Curves'!AJ32</f>
        <v>2.9472182877610109E-4</v>
      </c>
      <c r="G32" s="193">
        <f>'All Curves'!AS32</f>
        <v>2.0353513590254613E-2</v>
      </c>
      <c r="H32" s="193">
        <f>'All Curves'!BB32</f>
        <v>1.7309455950169639E-3</v>
      </c>
      <c r="I32" s="193">
        <f>'All Curves'!BK32</f>
        <v>1.8537807224175307E-2</v>
      </c>
      <c r="J32" s="193">
        <f>'All Curves'!BT32</f>
        <v>2.0961861242802415E-2</v>
      </c>
      <c r="K32" s="697">
        <f>'All Curves'!CC32</f>
        <v>2.1368416202907747E-2</v>
      </c>
      <c r="L32" s="697">
        <f>'All Curves'!CL32</f>
        <v>2.1084964501839609E-2</v>
      </c>
      <c r="N32" s="511">
        <f t="shared" si="0"/>
        <v>2.1194596319977776E-2</v>
      </c>
      <c r="O32" s="511">
        <f>'Interpolations USD'!S40-0.001-N32</f>
        <v>-7.9463657876033267E-11</v>
      </c>
      <c r="P32" s="511">
        <f t="shared" si="1"/>
        <v>4.7051414337688779E-3</v>
      </c>
      <c r="Q32" s="511">
        <f>'Interpolations Euro'!S39-0.001-P32</f>
        <v>-2.1597556989355615E-10</v>
      </c>
      <c r="R32" s="511">
        <f t="shared" si="2"/>
        <v>1.0493396404615662E-2</v>
      </c>
      <c r="S32" s="511">
        <f>'Interpolations GBP'!S39-0.001-R32</f>
        <v>1.2706835583742304E-11</v>
      </c>
      <c r="T32" s="511">
        <f t="shared" si="3"/>
        <v>2.9472182877610109E-4</v>
      </c>
      <c r="U32" s="511">
        <f>'Interpolations CHF'!S39-0.001-T32</f>
        <v>5.1862301779503905E-11</v>
      </c>
      <c r="V32" s="511">
        <f t="shared" si="4"/>
        <v>2.0353513590254613E-2</v>
      </c>
      <c r="W32" s="511">
        <f>'Interpolations CAD'!S39-0.001-V32</f>
        <v>-1.1567053564975893E-10</v>
      </c>
      <c r="X32" s="511">
        <f t="shared" si="5"/>
        <v>1.7309455950169639E-3</v>
      </c>
      <c r="Y32" s="511">
        <f>'Interpolations JPY'!S39-0.001-X32</f>
        <v>-3.9556127470752322E-12</v>
      </c>
      <c r="Z32" s="511">
        <f t="shared" si="6"/>
        <v>1.8537807224175307E-2</v>
      </c>
      <c r="AA32" s="511">
        <f>'Interpolations AUD'!S39-0.001-Z32</f>
        <v>-1.7329748747130225E-12</v>
      </c>
      <c r="AB32" s="511">
        <f t="shared" si="7"/>
        <v>2.0961861242802415E-2</v>
      </c>
      <c r="AC32" s="511">
        <f>'Interpolations NZD'!S39-0.001-AB32</f>
        <v>4.1536891981497348E-11</v>
      </c>
    </row>
    <row r="33" spans="1:29">
      <c r="A33" s="134"/>
      <c r="B33" s="2" t="s">
        <v>274</v>
      </c>
      <c r="C33" s="193">
        <f>'All Curves'!I33</f>
        <v>2.1316717445716726E-2</v>
      </c>
      <c r="D33" s="193">
        <f>'All Curves'!R33</f>
        <v>5.0232568603902905E-3</v>
      </c>
      <c r="E33" s="193">
        <f>'All Curves'!AA33</f>
        <v>1.059746658271421E-2</v>
      </c>
      <c r="F33" s="193">
        <f>'All Curves'!AJ33</f>
        <v>5.9440669216437314E-4</v>
      </c>
      <c r="G33" s="193">
        <f>'All Curves'!AS33</f>
        <v>2.0554106594844246E-2</v>
      </c>
      <c r="H33" s="193">
        <f>'All Curves'!BB33</f>
        <v>1.8434312847144252E-3</v>
      </c>
      <c r="I33" s="193">
        <f>'All Curves'!BK33</f>
        <v>1.8790276079362345E-2</v>
      </c>
      <c r="J33" s="193">
        <f>'All Curves'!BT33</f>
        <v>2.1379298422639081E-2</v>
      </c>
      <c r="K33" s="697">
        <f>'All Curves'!CC33</f>
        <v>2.2037834454448957E-2</v>
      </c>
      <c r="L33" s="697">
        <f>'All Curves'!CL33</f>
        <v>2.1308757630021713E-2</v>
      </c>
      <c r="N33" s="511">
        <f t="shared" si="0"/>
        <v>2.1316717445716726E-2</v>
      </c>
      <c r="O33" s="511">
        <f>'Interpolations USD'!S41-0.001-N33</f>
        <v>3.8412495406703329E-11</v>
      </c>
      <c r="P33" s="511">
        <f t="shared" si="1"/>
        <v>5.0232568603902905E-3</v>
      </c>
      <c r="Q33" s="511">
        <f>'Interpolations Euro'!S40-0.001-P33</f>
        <v>1.2295242688559194E-10</v>
      </c>
      <c r="R33" s="511">
        <f t="shared" si="2"/>
        <v>1.059746658271421E-2</v>
      </c>
      <c r="S33" s="511">
        <f>'Interpolations GBP'!S40-0.001-R33</f>
        <v>9.0413343478701336E-11</v>
      </c>
      <c r="T33" s="511">
        <f t="shared" si="3"/>
        <v>5.9440669216437314E-4</v>
      </c>
      <c r="U33" s="511">
        <f>'Interpolations CHF'!S40-0.001-T33</f>
        <v>3.7571867492203204E-11</v>
      </c>
      <c r="V33" s="511">
        <f t="shared" si="4"/>
        <v>2.0554106594844246E-2</v>
      </c>
      <c r="W33" s="511">
        <f>'Interpolations CAD'!S40-0.001-V33</f>
        <v>-1.9400781328671179E-10</v>
      </c>
      <c r="X33" s="511">
        <f t="shared" si="5"/>
        <v>1.8434312847144252E-3</v>
      </c>
      <c r="Y33" s="511">
        <f>'Interpolations JPY'!S40-0.001-X33</f>
        <v>1.4381052772238778E-11</v>
      </c>
      <c r="Z33" s="511">
        <f t="shared" si="6"/>
        <v>1.8790276079362345E-2</v>
      </c>
      <c r="AA33" s="511">
        <f>'Interpolations AUD'!S40-0.001-Z33</f>
        <v>-1.8054911732345857E-11</v>
      </c>
      <c r="AB33" s="511">
        <f t="shared" si="7"/>
        <v>2.1379298422639081E-2</v>
      </c>
      <c r="AC33" s="511">
        <f>'Interpolations NZD'!S40-0.001-AB33</f>
        <v>1.1135903657533142E-10</v>
      </c>
    </row>
    <row r="34" spans="1:29">
      <c r="A34" s="134"/>
      <c r="B34" s="2" t="s">
        <v>275</v>
      </c>
      <c r="C34" s="193">
        <f>'All Curves'!I34</f>
        <v>2.1425668316977564E-2</v>
      </c>
      <c r="D34" s="193">
        <f>'All Curves'!R34</f>
        <v>5.2706448661847816E-3</v>
      </c>
      <c r="E34" s="193">
        <f>'All Curves'!AA34</f>
        <v>1.0674170808637751E-2</v>
      </c>
      <c r="F34" s="193">
        <f>'All Curves'!AJ34</f>
        <v>8.6025156871349928E-4</v>
      </c>
      <c r="G34" s="193">
        <f>'All Curves'!AS34</f>
        <v>2.0751470534446703E-2</v>
      </c>
      <c r="H34" s="193">
        <f>'All Curves'!BB34</f>
        <v>2.2369764308116658E-3</v>
      </c>
      <c r="I34" s="193">
        <f>'All Curves'!BK34</f>
        <v>1.9032485540251276E-2</v>
      </c>
      <c r="J34" s="193">
        <f>'All Curves'!BT34</f>
        <v>2.1852814147029331E-2</v>
      </c>
      <c r="K34" s="697">
        <f>'All Curves'!CC34</f>
        <v>2.2702009355366481E-2</v>
      </c>
      <c r="L34" s="697">
        <f>'All Curves'!CL34</f>
        <v>2.1525154701306004E-2</v>
      </c>
      <c r="N34" s="511">
        <f t="shared" si="0"/>
        <v>2.1425668316977564E-2</v>
      </c>
      <c r="O34" s="511">
        <f>'Interpolations USD'!S42-0.001-N34</f>
        <v>-8.211265001278889E-11</v>
      </c>
      <c r="P34" s="511">
        <f t="shared" si="1"/>
        <v>5.2706448661847816E-3</v>
      </c>
      <c r="Q34" s="511">
        <f>'Interpolations Euro'!S41-0.001-P34</f>
        <v>7.138234534714849E-11</v>
      </c>
      <c r="R34" s="511">
        <f t="shared" si="2"/>
        <v>1.0674170808637751E-2</v>
      </c>
      <c r="S34" s="511">
        <f>'Interpolations GBP'!S41-0.001-R34</f>
        <v>3.8809067071099435E-11</v>
      </c>
      <c r="T34" s="511">
        <f t="shared" si="3"/>
        <v>8.6025156871349928E-4</v>
      </c>
      <c r="U34" s="511">
        <f>'Interpolations CHF'!S41-0.001-T34</f>
        <v>2.3281266671448808E-11</v>
      </c>
      <c r="V34" s="511">
        <f t="shared" si="4"/>
        <v>2.0751470534446703E-2</v>
      </c>
      <c r="W34" s="511">
        <f>'Interpolations CAD'!S41-0.001-V34</f>
        <v>1.9331591882831844E-10</v>
      </c>
      <c r="X34" s="511">
        <f t="shared" si="5"/>
        <v>2.2369764308116658E-3</v>
      </c>
      <c r="Y34" s="511">
        <f>'Interpolations JPY'!S41-0.001-X34</f>
        <v>6.018186816947324E-12</v>
      </c>
      <c r="Z34" s="511">
        <f t="shared" si="6"/>
        <v>1.9032485540251276E-2</v>
      </c>
      <c r="AA34" s="511">
        <f>'Interpolations AUD'!S41-0.001-Z34</f>
        <v>2.3830826201276523E-11</v>
      </c>
      <c r="AB34" s="511">
        <f t="shared" si="7"/>
        <v>2.1852814147029331E-2</v>
      </c>
      <c r="AC34" s="511">
        <f>'Interpolations NZD'!S41-0.001-AB34</f>
        <v>1.8118095912456056E-10</v>
      </c>
    </row>
    <row r="35" spans="1:29">
      <c r="A35" s="134"/>
      <c r="B35" s="2" t="s">
        <v>276</v>
      </c>
      <c r="C35" s="193">
        <f>'All Curves'!I35</f>
        <v>2.149451104200284E-2</v>
      </c>
      <c r="D35" s="193">
        <f>'All Curves'!R35</f>
        <v>5.5062962947671767E-3</v>
      </c>
      <c r="E35" s="193">
        <f>'All Curves'!AA35</f>
        <v>1.0858187608228542E-2</v>
      </c>
      <c r="F35" s="193">
        <f>'All Curves'!AJ35</f>
        <v>1.044794209283495E-3</v>
      </c>
      <c r="G35" s="193">
        <f>'All Curves'!AS35</f>
        <v>2.0734224729733075E-2</v>
      </c>
      <c r="H35" s="193">
        <f>'All Curves'!BB35</f>
        <v>2.3870536180243818E-3</v>
      </c>
      <c r="I35" s="193">
        <f>'All Curves'!BK35</f>
        <v>1.9172061539772134E-2</v>
      </c>
      <c r="J35" s="193">
        <f>'All Curves'!BT35</f>
        <v>2.1974152674184566E-2</v>
      </c>
      <c r="K35" s="697">
        <f>'All Curves'!CC35</f>
        <v>2.3356490606780467E-2</v>
      </c>
      <c r="L35" s="697">
        <f>'All Curves'!CL35</f>
        <v>2.164132938971397E-2</v>
      </c>
      <c r="N35" s="511">
        <f t="shared" si="0"/>
        <v>2.149451104200284E-2</v>
      </c>
      <c r="O35" s="511">
        <f>'Interpolations USD'!S43-0.001-N35</f>
        <v>4.5841396650869726E-11</v>
      </c>
      <c r="P35" s="511">
        <f t="shared" si="1"/>
        <v>5.5062962947671767E-3</v>
      </c>
      <c r="Q35" s="511">
        <f>'Interpolations Euro'!S42-0.001-P35</f>
        <v>8.5852104071693081E-11</v>
      </c>
      <c r="R35" s="511">
        <f t="shared" si="2"/>
        <v>1.0858187608228542E-2</v>
      </c>
      <c r="S35" s="511">
        <f>'Interpolations GBP'!S42-0.001-R35</f>
        <v>-4.0005221357830578E-11</v>
      </c>
      <c r="T35" s="511">
        <f t="shared" si="3"/>
        <v>1.044794209283495E-3</v>
      </c>
      <c r="U35" s="511">
        <f>'Interpolations CHF'!S42-0.001-T35</f>
        <v>-5.7209834959659478E-11</v>
      </c>
      <c r="V35" s="511">
        <f t="shared" si="4"/>
        <v>2.0734224729733075E-2</v>
      </c>
      <c r="W35" s="511">
        <f>'Interpolations CAD'!S42-0.001-V35</f>
        <v>-1.7731128024167653E-10</v>
      </c>
      <c r="X35" s="511">
        <f t="shared" si="5"/>
        <v>2.3870536180243818E-3</v>
      </c>
      <c r="Y35" s="511">
        <f>'Interpolations JPY'!S42-0.001-X35</f>
        <v>-1.3878922750648615E-11</v>
      </c>
      <c r="Z35" s="511">
        <f t="shared" si="6"/>
        <v>1.9172061539772134E-2</v>
      </c>
      <c r="AA35" s="511">
        <f>'Interpolations AUD'!S42-0.001-Z35</f>
        <v>1.0290969465476252E-11</v>
      </c>
      <c r="AB35" s="511">
        <f t="shared" si="7"/>
        <v>2.1974152674184566E-2</v>
      </c>
      <c r="AC35" s="511">
        <f>'Interpolations NZD'!S42-0.001-AB35</f>
        <v>-1.9519478047791416E-10</v>
      </c>
    </row>
    <row r="36" spans="1:29">
      <c r="A36" s="134"/>
      <c r="B36" s="2" t="s">
        <v>277</v>
      </c>
      <c r="C36" s="193">
        <f>'All Curves'!I36</f>
        <v>2.1556897790143026E-2</v>
      </c>
      <c r="D36" s="193">
        <f>'All Curves'!R36</f>
        <v>5.7177981375742259E-3</v>
      </c>
      <c r="E36" s="193">
        <f>'All Curves'!AA36</f>
        <v>1.0902163153443611E-2</v>
      </c>
      <c r="F36" s="193">
        <f>'All Curves'!AJ36</f>
        <v>1.1979560330683814E-3</v>
      </c>
      <c r="G36" s="193">
        <f>'All Curves'!AS36</f>
        <v>2.0713908819186111E-2</v>
      </c>
      <c r="H36" s="193">
        <f>'All Curves'!BB36</f>
        <v>2.5372579519034044E-3</v>
      </c>
      <c r="I36" s="193">
        <f>'All Curves'!BK36</f>
        <v>1.9302826981267174E-2</v>
      </c>
      <c r="J36" s="193">
        <f>'All Curves'!BT36</f>
        <v>2.2150681369530911E-2</v>
      </c>
      <c r="K36" s="697">
        <f>'All Curves'!CC36</f>
        <v>2.3997611204545244E-2</v>
      </c>
      <c r="L36" s="697">
        <f>'All Curves'!CL36</f>
        <v>2.1750817501412056E-2</v>
      </c>
      <c r="N36" s="511">
        <f t="shared" si="0"/>
        <v>2.1556897790143026E-2</v>
      </c>
      <c r="O36" s="511">
        <f>'Interpolations USD'!S44-0.001-N36</f>
        <v>-5.9035255850492518E-11</v>
      </c>
      <c r="P36" s="511">
        <f t="shared" si="1"/>
        <v>5.7177981375742259E-3</v>
      </c>
      <c r="Q36" s="511">
        <f>'Interpolations Euro'!S43-0.001-P36</f>
        <v>-9.0696227438014088E-11</v>
      </c>
      <c r="R36" s="511">
        <f t="shared" si="2"/>
        <v>1.0902163153443611E-2</v>
      </c>
      <c r="S36" s="511">
        <f>'Interpolations GBP'!S43-0.001-R36</f>
        <v>8.8122287245084863E-11</v>
      </c>
      <c r="T36" s="511">
        <f t="shared" si="3"/>
        <v>1.1979560330683814E-3</v>
      </c>
      <c r="U36" s="511">
        <f>'Interpolations CHF'!S43-0.001-T36</f>
        <v>-2.1285718413560639E-11</v>
      </c>
      <c r="V36" s="511">
        <f t="shared" si="4"/>
        <v>2.0713908819186111E-2</v>
      </c>
      <c r="W36" s="511">
        <f>'Interpolations CAD'!S43-0.001-V36</f>
        <v>-8.2277060164948068E-11</v>
      </c>
      <c r="X36" s="511">
        <f t="shared" si="5"/>
        <v>2.5372579519034044E-3</v>
      </c>
      <c r="Y36" s="511">
        <f>'Interpolations JPY'!S43-0.001-X36</f>
        <v>2.44314880826213E-11</v>
      </c>
      <c r="Z36" s="511">
        <f t="shared" si="6"/>
        <v>1.9302826981267174E-2</v>
      </c>
      <c r="AA36" s="511">
        <f>'Interpolations AUD'!S43-0.001-Z36</f>
        <v>-3.2485195089471119E-12</v>
      </c>
      <c r="AB36" s="511">
        <f t="shared" si="7"/>
        <v>2.2150681369530911E-2</v>
      </c>
      <c r="AC36" s="511">
        <f>'Interpolations NZD'!S43-0.001-AB36</f>
        <v>-1.0590905930030203E-10</v>
      </c>
    </row>
    <row r="37" spans="1:29">
      <c r="A37" s="134"/>
      <c r="B37" s="2" t="s">
        <v>278</v>
      </c>
      <c r="C37" s="193">
        <f>'All Curves'!I37</f>
        <v>2.1612297827703131E-2</v>
      </c>
      <c r="D37" s="193">
        <f>'All Curves'!R37</f>
        <v>5.8531823289627027E-3</v>
      </c>
      <c r="E37" s="193">
        <f>'All Curves'!AA37</f>
        <v>1.091307597176594E-2</v>
      </c>
      <c r="F37" s="193">
        <f>'All Curves'!AJ37</f>
        <v>1.3209136760312656E-3</v>
      </c>
      <c r="G37" s="193">
        <f>'All Curves'!AS37</f>
        <v>2.0690600310437013E-2</v>
      </c>
      <c r="H37" s="193">
        <f>'All Curves'!BB37</f>
        <v>2.6866277777766179E-3</v>
      </c>
      <c r="I37" s="193">
        <f>'All Curves'!BK37</f>
        <v>1.9425347462203479E-2</v>
      </c>
      <c r="J37" s="193">
        <f>'All Curves'!BT37</f>
        <v>2.2379972020289296E-2</v>
      </c>
      <c r="K37" s="697">
        <f>'All Curves'!CC37</f>
        <v>2.4622386893460968E-2</v>
      </c>
      <c r="L37" s="697">
        <f>'All Curves'!CL37</f>
        <v>2.1853907771115288E-2</v>
      </c>
      <c r="N37" s="511">
        <f t="shared" si="0"/>
        <v>2.1612297827703131E-2</v>
      </c>
      <c r="O37" s="511">
        <f>'Interpolations USD'!S45-0.001-N37</f>
        <v>6.8918516726856893E-11</v>
      </c>
      <c r="P37" s="511">
        <f t="shared" si="1"/>
        <v>5.8531823289627027E-3</v>
      </c>
      <c r="Q37" s="511">
        <f>'Interpolations Euro'!S44-0.001-P37</f>
        <v>-8.06777969084016E-11</v>
      </c>
      <c r="R37" s="511">
        <f t="shared" si="2"/>
        <v>1.091307597176594E-2</v>
      </c>
      <c r="S37" s="511">
        <f>'Interpolations GBP'!S44-0.001-R37</f>
        <v>1.3352360883622794E-11</v>
      </c>
      <c r="T37" s="511">
        <f t="shared" si="3"/>
        <v>1.3209136760312656E-3</v>
      </c>
      <c r="U37" s="511">
        <f>'Interpolations CHF'!S44-0.001-T37</f>
        <v>1.4638259354660121E-11</v>
      </c>
      <c r="V37" s="511">
        <f t="shared" si="4"/>
        <v>2.0690600310437013E-2</v>
      </c>
      <c r="W37" s="511">
        <f>'Interpolations CAD'!S44-0.001-V37</f>
        <v>1.2757146033992584E-11</v>
      </c>
      <c r="X37" s="511">
        <f t="shared" si="5"/>
        <v>2.6866277777766179E-3</v>
      </c>
      <c r="Y37" s="511">
        <f>'Interpolations JPY'!S44-0.001-X37</f>
        <v>-5.3673112829222269E-11</v>
      </c>
      <c r="Z37" s="511">
        <f t="shared" si="6"/>
        <v>1.9425347462203479E-2</v>
      </c>
      <c r="AA37" s="511">
        <f>'Interpolations AUD'!S44-0.001-Z37</f>
        <v>-2.2363777496536841E-12</v>
      </c>
      <c r="AB37" s="511">
        <f t="shared" si="7"/>
        <v>2.2379972020289296E-2</v>
      </c>
      <c r="AC37" s="511">
        <f>'Interpolations NZD'!S44-0.001-AB37</f>
        <v>-1.6623577514529586E-11</v>
      </c>
    </row>
    <row r="38" spans="1:29">
      <c r="A38" s="134"/>
      <c r="B38" s="2" t="s">
        <v>279</v>
      </c>
      <c r="C38" s="193">
        <f>'All Curves'!I38</f>
        <v>2.1660282562339095E-2</v>
      </c>
      <c r="D38" s="193">
        <f>'All Curves'!R38</f>
        <v>5.955712556245274E-3</v>
      </c>
      <c r="E38" s="193">
        <f>'All Curves'!AA38</f>
        <v>1.0889167507163622E-2</v>
      </c>
      <c r="F38" s="193">
        <f>'All Curves'!AJ38</f>
        <v>1.4148094843637882E-3</v>
      </c>
      <c r="G38" s="193">
        <f>'All Curves'!AS38</f>
        <v>2.0664374660170903E-2</v>
      </c>
      <c r="H38" s="193">
        <f>'All Curves'!BB38</f>
        <v>2.8343476472256768E-3</v>
      </c>
      <c r="I38" s="193">
        <f>'All Curves'!BK38</f>
        <v>1.9540108803890233E-2</v>
      </c>
      <c r="J38" s="193">
        <f>'All Curves'!BT38</f>
        <v>2.2658892962736488E-2</v>
      </c>
      <c r="K38" s="697">
        <f>'All Curves'!CC38</f>
        <v>2.5228426751170208E-2</v>
      </c>
      <c r="L38" s="697">
        <f>'All Curves'!CL38</f>
        <v>2.195085527839602E-2</v>
      </c>
      <c r="N38" s="511">
        <f t="shared" si="0"/>
        <v>2.1660282562339095E-2</v>
      </c>
      <c r="O38" s="511">
        <f>'Interpolations USD'!S46-0.001-N38</f>
        <v>-3.5958135774505351E-11</v>
      </c>
      <c r="P38" s="511">
        <f t="shared" si="1"/>
        <v>5.955712556245274E-3</v>
      </c>
      <c r="Q38" s="511">
        <f>'Interpolations Euro'!S45-0.001-P38</f>
        <v>-9.5914719742962173E-11</v>
      </c>
      <c r="R38" s="511">
        <f t="shared" si="2"/>
        <v>1.0889167507163622E-2</v>
      </c>
      <c r="S38" s="511">
        <f>'Interpolations GBP'!S45-0.001-R38</f>
        <v>-6.1417385066597774E-11</v>
      </c>
      <c r="T38" s="511">
        <f t="shared" si="3"/>
        <v>1.4148094843637882E-3</v>
      </c>
      <c r="U38" s="511">
        <f>'Interpolations CHF'!S45-0.001-T38</f>
        <v>5.0562403656334576E-11</v>
      </c>
      <c r="V38" s="511">
        <f t="shared" si="4"/>
        <v>2.0664374660170903E-2</v>
      </c>
      <c r="W38" s="511">
        <f>'Interpolations CAD'!S45-0.001-V38</f>
        <v>1.0779134529403933E-10</v>
      </c>
      <c r="X38" s="511">
        <f t="shared" si="5"/>
        <v>2.8343476472256768E-3</v>
      </c>
      <c r="Y38" s="511">
        <f>'Interpolations JPY'!S45-0.001-X38</f>
        <v>-1.5362772685934001E-11</v>
      </c>
      <c r="Z38" s="511">
        <f t="shared" si="6"/>
        <v>1.9540108803890233E-2</v>
      </c>
      <c r="AA38" s="511">
        <f>'Interpolations AUD'!S45-0.001-Z38</f>
        <v>5.9489912995758232E-13</v>
      </c>
      <c r="AB38" s="511">
        <f t="shared" si="7"/>
        <v>2.2658892962736488E-2</v>
      </c>
      <c r="AC38" s="511">
        <f>'Interpolations NZD'!S45-0.001-AB38</f>
        <v>7.2662053457461795E-11</v>
      </c>
    </row>
    <row r="39" spans="1:29">
      <c r="A39" s="134"/>
      <c r="B39" s="2" t="s">
        <v>280</v>
      </c>
      <c r="C39" s="193">
        <f>'All Curves'!I39</f>
        <v>2.170051217063973E-2</v>
      </c>
      <c r="D39" s="193">
        <f>'All Curves'!R39</f>
        <v>6.0013417476174613E-3</v>
      </c>
      <c r="E39" s="193">
        <f>'All Curves'!AA39</f>
        <v>1.0832794192860096E-2</v>
      </c>
      <c r="F39" s="193">
        <f>'All Curves'!AJ39</f>
        <v>1.4807526497278012E-3</v>
      </c>
      <c r="G39" s="193">
        <f>'All Curves'!AS39</f>
        <v>2.0635306001816067E-2</v>
      </c>
      <c r="H39" s="193">
        <f>'All Curves'!BB39</f>
        <v>2.9797257627623974E-3</v>
      </c>
      <c r="I39" s="193">
        <f>'All Curves'!BK39</f>
        <v>1.9647531680393016E-2</v>
      </c>
      <c r="J39" s="193">
        <f>'All Curves'!BT39</f>
        <v>2.298390780922932E-2</v>
      </c>
      <c r="K39" s="697">
        <f>'All Curves'!CC39</f>
        <v>2.5813854203802222E-2</v>
      </c>
      <c r="L39" s="697">
        <f>'All Curves'!CL39</f>
        <v>2.2041886856279058E-2</v>
      </c>
      <c r="N39" s="511">
        <f t="shared" si="0"/>
        <v>2.170051217063973E-2</v>
      </c>
      <c r="O39" s="511">
        <f>'Interpolations USD'!S47-0.001-N39</f>
        <v>-1.408347882758676E-10</v>
      </c>
      <c r="P39" s="511">
        <f t="shared" si="1"/>
        <v>6.0013417476174613E-3</v>
      </c>
      <c r="Q39" s="511">
        <f>'Interpolations Euro'!S46-0.001-P39</f>
        <v>-3.4866664243293766E-11</v>
      </c>
      <c r="R39" s="511">
        <f t="shared" si="2"/>
        <v>1.0832794192860096E-2</v>
      </c>
      <c r="S39" s="511">
        <f>'Interpolations GBP'!S46-0.001-R39</f>
        <v>-1.3618717265018176E-10</v>
      </c>
      <c r="T39" s="511">
        <f t="shared" si="3"/>
        <v>1.4807526497278012E-3</v>
      </c>
      <c r="U39" s="511">
        <f>'Interpolations CHF'!S46-0.001-T39</f>
        <v>-2.9928836318970919E-11</v>
      </c>
      <c r="V39" s="511">
        <f t="shared" si="4"/>
        <v>2.0635306001816067E-2</v>
      </c>
      <c r="W39" s="511">
        <f>'Interpolations CAD'!S46-0.001-V39</f>
        <v>-3.0005220530426868E-11</v>
      </c>
      <c r="X39" s="511">
        <f t="shared" si="5"/>
        <v>2.9797257627623974E-3</v>
      </c>
      <c r="Y39" s="511">
        <f>'Interpolations JPY'!S46-0.001-X39</f>
        <v>-9.3467566152083403E-11</v>
      </c>
      <c r="Z39" s="511">
        <f t="shared" si="6"/>
        <v>1.9647531680393016E-2</v>
      </c>
      <c r="AA39" s="511">
        <f>'Interpolations AUD'!S46-0.001-Z39</f>
        <v>1.4339973652965909E-11</v>
      </c>
      <c r="AB39" s="511">
        <f t="shared" si="7"/>
        <v>2.298390780922932E-2</v>
      </c>
      <c r="AC39" s="511">
        <f>'Interpolations NZD'!S46-0.001-AB39</f>
        <v>-3.0371360981717999E-10</v>
      </c>
    </row>
    <row r="40" spans="1:29">
      <c r="A40" s="134"/>
      <c r="B40" s="2" t="s">
        <v>281</v>
      </c>
      <c r="C40" s="193">
        <f>'All Curves'!I40</f>
        <v>2.1732933159478218E-2</v>
      </c>
      <c r="D40" s="193">
        <f>'All Curves'!R40</f>
        <v>6.1067755743653418E-3</v>
      </c>
      <c r="E40" s="193">
        <f>'All Curves'!AA40</f>
        <v>1.087996629347221E-2</v>
      </c>
      <c r="F40" s="193">
        <f>'All Curves'!AJ40</f>
        <v>1.5596890769200566E-3</v>
      </c>
      <c r="G40" s="193">
        <f>'All Curves'!AS40</f>
        <v>2.0578756392364062E-2</v>
      </c>
      <c r="H40" s="193">
        <f>'All Curves'!BB40</f>
        <v>3.0817100289419752E-3</v>
      </c>
      <c r="I40" s="193">
        <f>'All Curves'!BK40</f>
        <v>1.9637366946071877E-2</v>
      </c>
      <c r="J40" s="193">
        <f>'All Curves'!BT40</f>
        <v>2.3059263706408872E-2</v>
      </c>
      <c r="K40" s="697">
        <f>'All Curves'!CC40</f>
        <v>2.6377237107900742E-2</v>
      </c>
      <c r="L40" s="697">
        <f>'All Curves'!CL40</f>
        <v>2.2016548030671101E-2</v>
      </c>
      <c r="N40" s="511">
        <f t="shared" si="0"/>
        <v>2.1732933159478218E-2</v>
      </c>
      <c r="O40" s="511">
        <f>'Interpolations USD'!S48-0.001-N40</f>
        <v>1.7638777591311161E-10</v>
      </c>
      <c r="P40" s="511">
        <f t="shared" si="1"/>
        <v>6.1067755743653418E-3</v>
      </c>
      <c r="Q40" s="511">
        <f>'Interpolations Euro'!S47-0.001-P40</f>
        <v>-1.1533252044365616E-10</v>
      </c>
      <c r="R40" s="511">
        <f t="shared" si="2"/>
        <v>1.087996629347221E-2</v>
      </c>
      <c r="S40" s="511">
        <f>'Interpolations GBP'!S47-0.001-R40</f>
        <v>-2.0942469980411715E-11</v>
      </c>
      <c r="T40" s="511">
        <f t="shared" si="3"/>
        <v>1.5596890769200566E-3</v>
      </c>
      <c r="U40" s="511">
        <f>'Interpolations CHF'!S47-0.001-T40</f>
        <v>8.6727669316999378E-12</v>
      </c>
      <c r="V40" s="511">
        <f t="shared" si="4"/>
        <v>2.0578756392364062E-2</v>
      </c>
      <c r="W40" s="511">
        <f>'Interpolations CAD'!S47-0.001-V40</f>
        <v>-6.1999905209830786E-11</v>
      </c>
      <c r="X40" s="511">
        <f t="shared" si="5"/>
        <v>3.0817100289419752E-3</v>
      </c>
      <c r="Y40" s="511">
        <f>'Interpolations JPY'!S47-0.001-X40</f>
        <v>-8.6883408453863886E-11</v>
      </c>
      <c r="Z40" s="511">
        <f t="shared" si="6"/>
        <v>1.9637366946071877E-2</v>
      </c>
      <c r="AA40" s="511">
        <f>'Interpolations AUD'!S47-0.001-Z40</f>
        <v>1.9202472945067939E-11</v>
      </c>
      <c r="AB40" s="511">
        <f t="shared" si="7"/>
        <v>2.3059263706408872E-2</v>
      </c>
      <c r="AC40" s="511">
        <f>'Interpolations NZD'!S47-0.001-AB40</f>
        <v>1.1973096125661442E-11</v>
      </c>
    </row>
    <row r="41" spans="1:29">
      <c r="A41" s="134"/>
      <c r="B41" s="2" t="s">
        <v>282</v>
      </c>
      <c r="C41" s="193">
        <f>'All Curves'!I41</f>
        <v>2.1757147404315669E-2</v>
      </c>
      <c r="D41" s="193">
        <f>'All Curves'!R41</f>
        <v>6.1547358806250951E-3</v>
      </c>
      <c r="E41" s="193">
        <f>'All Curves'!AA41</f>
        <v>1.0912410777917714E-2</v>
      </c>
      <c r="F41" s="193">
        <f>'All Curves'!AJ41</f>
        <v>1.6127946366004675E-3</v>
      </c>
      <c r="G41" s="193">
        <f>'All Curves'!AS41</f>
        <v>2.0519506789202113E-2</v>
      </c>
      <c r="H41" s="193">
        <f>'All Curves'!BB41</f>
        <v>3.1802637302249526E-3</v>
      </c>
      <c r="I41" s="193">
        <f>'All Curves'!BK41</f>
        <v>1.9620554188799044E-2</v>
      </c>
      <c r="J41" s="193">
        <f>'All Curves'!BT41</f>
        <v>2.3173201045161518E-2</v>
      </c>
      <c r="K41" s="697">
        <f>'All Curves'!CC41</f>
        <v>2.6917526091848831E-2</v>
      </c>
      <c r="L41" s="697">
        <f>'All Curves'!CL41</f>
        <v>2.198568301835313E-2</v>
      </c>
      <c r="N41" s="511">
        <f t="shared" si="0"/>
        <v>2.1757147404315669E-2</v>
      </c>
      <c r="O41" s="511">
        <f>'Interpolations USD'!S49-0.001-N41</f>
        <v>2.7949274838956484E-11</v>
      </c>
      <c r="P41" s="511">
        <f t="shared" si="1"/>
        <v>6.1547358806250951E-3</v>
      </c>
      <c r="Q41" s="511">
        <f>'Interpolations Euro'!S48-0.001-P41</f>
        <v>-1.0523470116152733E-11</v>
      </c>
      <c r="R41" s="511">
        <f t="shared" si="2"/>
        <v>1.0912410777917714E-2</v>
      </c>
      <c r="S41" s="511">
        <f>'Interpolations GBP'!S48-0.001-R41</f>
        <v>1.9687380892197126E-10</v>
      </c>
      <c r="T41" s="511">
        <f t="shared" si="3"/>
        <v>1.6127946366004675E-3</v>
      </c>
      <c r="U41" s="511">
        <f>'Interpolations CHF'!S48-0.001-T41</f>
        <v>-1.0933185780326315E-11</v>
      </c>
      <c r="V41" s="511">
        <f t="shared" si="4"/>
        <v>2.0519506789202113E-2</v>
      </c>
      <c r="W41" s="511">
        <f>'Interpolations CAD'!S48-0.001-V41</f>
        <v>-9.3994860506096956E-11</v>
      </c>
      <c r="X41" s="511">
        <f t="shared" si="5"/>
        <v>3.1802637302249526E-3</v>
      </c>
      <c r="Y41" s="511">
        <f>'Interpolations JPY'!S48-0.001-X41</f>
        <v>-8.0299243816750465E-11</v>
      </c>
      <c r="Z41" s="511">
        <f t="shared" si="6"/>
        <v>1.9620554188799044E-2</v>
      </c>
      <c r="AA41" s="511">
        <f>'Interpolations AUD'!S48-0.001-Z41</f>
        <v>2.4065003462192536E-11</v>
      </c>
      <c r="AB41" s="511">
        <f t="shared" si="7"/>
        <v>2.3173201045161518E-2</v>
      </c>
      <c r="AC41" s="511">
        <f>'Interpolations NZD'!S48-0.001-AB41</f>
        <v>3.2765981941573763E-10</v>
      </c>
    </row>
    <row r="42" spans="1:29">
      <c r="A42" s="134"/>
      <c r="B42" s="2" t="s">
        <v>283</v>
      </c>
      <c r="C42" s="193">
        <f>'All Curves'!I42</f>
        <v>2.1773023832715843E-2</v>
      </c>
      <c r="D42" s="193">
        <f>'All Curves'!R42</f>
        <v>6.1918622781582666E-3</v>
      </c>
      <c r="E42" s="193">
        <f>'All Curves'!AA42</f>
        <v>1.0919031673084278E-2</v>
      </c>
      <c r="F42" s="193">
        <f>'All Curves'!AJ42</f>
        <v>1.6410836636546744E-3</v>
      </c>
      <c r="G42" s="193">
        <f>'All Curves'!AS42</f>
        <v>2.045762636201931E-2</v>
      </c>
      <c r="H42" s="193">
        <f>'All Curves'!BB42</f>
        <v>3.2749608425728383E-3</v>
      </c>
      <c r="I42" s="193">
        <f>'All Curves'!BK42</f>
        <v>1.9597379977484231E-2</v>
      </c>
      <c r="J42" s="193">
        <f>'All Curves'!BT42</f>
        <v>2.3321994600703277E-2</v>
      </c>
      <c r="K42" s="697">
        <f>'All Curves'!CC42</f>
        <v>2.7434000095197364E-2</v>
      </c>
      <c r="L42" s="697">
        <f>'All Curves'!CL42</f>
        <v>2.1949458272167321E-2</v>
      </c>
      <c r="N42" s="511">
        <f t="shared" si="0"/>
        <v>2.1773023832715843E-2</v>
      </c>
      <c r="O42" s="511">
        <f>'Interpolations USD'!S50-0.001-N42</f>
        <v>-1.2048930603247854E-10</v>
      </c>
      <c r="P42" s="511">
        <f t="shared" si="1"/>
        <v>6.1918622781582666E-3</v>
      </c>
      <c r="Q42" s="511">
        <f>'Interpolations Euro'!S49-0.001-P42</f>
        <v>-2.1218248512366866E-11</v>
      </c>
      <c r="R42" s="511">
        <f t="shared" si="2"/>
        <v>1.0919031673084278E-2</v>
      </c>
      <c r="S42" s="511">
        <f>'Interpolations GBP'!S49-0.001-R42</f>
        <v>-5.0971452753012514E-11</v>
      </c>
      <c r="T42" s="511">
        <f t="shared" si="3"/>
        <v>1.6410836636546744E-3</v>
      </c>
      <c r="U42" s="511">
        <f>'Interpolations CHF'!S49-0.001-T42</f>
        <v>2.7668453032175799E-11</v>
      </c>
      <c r="V42" s="511">
        <f t="shared" si="4"/>
        <v>2.045762636201931E-2</v>
      </c>
      <c r="W42" s="511">
        <f>'Interpolations CAD'!S49-0.001-V42</f>
        <v>1.06841081121134E-10</v>
      </c>
      <c r="X42" s="511">
        <f t="shared" si="5"/>
        <v>3.2749608425728383E-3</v>
      </c>
      <c r="Y42" s="511">
        <f>'Interpolations JPY'!S49-0.001-X42</f>
        <v>-7.3715139027596965E-11</v>
      </c>
      <c r="Z42" s="511">
        <f t="shared" si="6"/>
        <v>1.9597379977484231E-2</v>
      </c>
      <c r="AA42" s="511">
        <f>'Interpolations AUD'!S49-0.001-Z42</f>
        <v>2.8927308465265256E-11</v>
      </c>
      <c r="AB42" s="511">
        <f t="shared" si="7"/>
        <v>2.3321994600703277E-2</v>
      </c>
      <c r="AC42" s="511">
        <f>'Interpolations NZD'!S49-0.001-AB42</f>
        <v>-2.8797575435390854E-10</v>
      </c>
    </row>
    <row r="43" spans="1:29">
      <c r="A43" s="134"/>
      <c r="B43" s="2" t="s">
        <v>284</v>
      </c>
      <c r="C43" s="193">
        <f>'All Curves'!I43</f>
        <v>2.1780484432521341E-2</v>
      </c>
      <c r="D43" s="193">
        <f>'All Curves'!R43</f>
        <v>6.2180637798847638E-3</v>
      </c>
      <c r="E43" s="193">
        <f>'All Curves'!AA43</f>
        <v>1.0901833889614965E-2</v>
      </c>
      <c r="F43" s="193">
        <f>'All Curves'!AJ43</f>
        <v>1.6455408417077599E-3</v>
      </c>
      <c r="G43" s="193">
        <f>'All Curves'!AS43</f>
        <v>2.0393183534742398E-2</v>
      </c>
      <c r="H43" s="193">
        <f>'All Curves'!BB43</f>
        <v>3.3654387314256962E-3</v>
      </c>
      <c r="I43" s="193">
        <f>'All Curves'!BK43</f>
        <v>1.9568100292426172E-2</v>
      </c>
      <c r="J43" s="193">
        <f>'All Curves'!BT43</f>
        <v>2.3502039196137359E-2</v>
      </c>
      <c r="K43" s="697">
        <f>'All Curves'!CC43</f>
        <v>2.7926218343205411E-2</v>
      </c>
      <c r="L43" s="697">
        <f>'All Curves'!CL43</f>
        <v>2.1908026216863608E-2</v>
      </c>
      <c r="N43" s="511">
        <f t="shared" si="0"/>
        <v>2.1780484432521341E-2</v>
      </c>
      <c r="O43" s="511">
        <f>'Interpolations USD'!S51-0.001-N43</f>
        <v>1.9673317488977382E-10</v>
      </c>
      <c r="P43" s="511">
        <f t="shared" si="1"/>
        <v>6.2180637798847638E-3</v>
      </c>
      <c r="Q43" s="511">
        <f>'Interpolations Euro'!S50-0.001-P43</f>
        <v>-9.2469475652945388E-11</v>
      </c>
      <c r="R43" s="511">
        <f t="shared" si="2"/>
        <v>1.0901833889614965E-2</v>
      </c>
      <c r="S43" s="511">
        <f>'Interpolations GBP'!S50-0.001-R43</f>
        <v>1.6684464226868201E-10</v>
      </c>
      <c r="T43" s="511">
        <f t="shared" si="3"/>
        <v>1.6455408417077599E-3</v>
      </c>
      <c r="U43" s="511">
        <f>'Interpolations CHF'!S50-0.001-T43</f>
        <v>8.062500320149546E-12</v>
      </c>
      <c r="V43" s="511">
        <f t="shared" si="4"/>
        <v>2.0393183534742398E-2</v>
      </c>
      <c r="W43" s="511">
        <f>'Interpolations CAD'!S50-0.001-V43</f>
        <v>7.4846302766662376E-11</v>
      </c>
      <c r="X43" s="511">
        <f t="shared" si="5"/>
        <v>3.3654387314256962E-3</v>
      </c>
      <c r="Y43" s="511">
        <f>'Interpolations JPY'!S50-0.001-X43</f>
        <v>-6.7131204241344111E-11</v>
      </c>
      <c r="Z43" s="511">
        <f t="shared" si="6"/>
        <v>1.9568100292426172E-2</v>
      </c>
      <c r="AA43" s="511">
        <f>'Interpolations AUD'!S50-0.001-Z43</f>
        <v>3.3789950004692315E-11</v>
      </c>
      <c r="AB43" s="511">
        <f t="shared" si="7"/>
        <v>2.3502039196137359E-2</v>
      </c>
      <c r="AC43" s="511">
        <f>'Interpolations NZD'!S50-0.001-AB43</f>
        <v>2.7711000161190213E-11</v>
      </c>
    </row>
    <row r="44" spans="1:29">
      <c r="A44" s="134"/>
      <c r="B44" s="2" t="s">
        <v>285</v>
      </c>
      <c r="C44" s="193">
        <f>'All Curves'!I44</f>
        <v>2.1779498739273428E-2</v>
      </c>
      <c r="D44" s="193">
        <f>'All Curves'!R44</f>
        <v>6.1767922837796529E-3</v>
      </c>
      <c r="E44" s="193">
        <f>'All Curves'!AA44</f>
        <v>1.0862705538381201E-2</v>
      </c>
      <c r="F44" s="193">
        <f>'All Curves'!AJ44</f>
        <v>1.6271215894156921E-3</v>
      </c>
      <c r="G44" s="193">
        <f>'All Curves'!AS44</f>
        <v>2.032624461531074E-2</v>
      </c>
      <c r="H44" s="193">
        <f>'All Curves'!BB44</f>
        <v>3.4513887177771707E-3</v>
      </c>
      <c r="I44" s="193">
        <f>'All Curves'!BK44</f>
        <v>1.9532945503835997E-2</v>
      </c>
      <c r="J44" s="193">
        <f>'All Curves'!BT44</f>
        <v>2.3709900478216861E-2</v>
      </c>
      <c r="K44" s="697">
        <f>'All Curves'!CC44</f>
        <v>2.8393978199910075E-2</v>
      </c>
      <c r="L44" s="697">
        <f>'All Curves'!CL44</f>
        <v>2.1861527468699293E-2</v>
      </c>
      <c r="N44" s="511">
        <f t="shared" si="0"/>
        <v>2.1779498739273428E-2</v>
      </c>
      <c r="O44" s="511">
        <f>'Interpolations USD'!S52-0.001-N44</f>
        <v>4.8294590548891847E-11</v>
      </c>
      <c r="P44" s="511">
        <f t="shared" si="1"/>
        <v>6.1767922837796529E-3</v>
      </c>
      <c r="Q44" s="511">
        <f>'Interpolations Euro'!S51-0.001-P44</f>
        <v>-6.9314886295968048E-11</v>
      </c>
      <c r="R44" s="511">
        <f t="shared" si="2"/>
        <v>1.0862705538381201E-2</v>
      </c>
      <c r="S44" s="511">
        <f>'Interpolations GBP'!S51-0.001-R44</f>
        <v>-8.1000428586719408E-11</v>
      </c>
      <c r="T44" s="511">
        <f t="shared" si="3"/>
        <v>1.6271215894156921E-3</v>
      </c>
      <c r="U44" s="511">
        <f>'Interpolations CHF'!S51-0.001-T44</f>
        <v>-1.1543543031178327E-11</v>
      </c>
      <c r="V44" s="511">
        <f t="shared" si="4"/>
        <v>2.032624461531074E-2</v>
      </c>
      <c r="W44" s="511">
        <f>'Interpolations CAD'!S51-0.001-V44</f>
        <v>4.285138910375963E-11</v>
      </c>
      <c r="X44" s="511">
        <f t="shared" si="5"/>
        <v>3.4513887177771707E-3</v>
      </c>
      <c r="Y44" s="511">
        <f>'Interpolations JPY'!S51-0.001-X44</f>
        <v>1.7228363267257629E-10</v>
      </c>
      <c r="Z44" s="511">
        <f t="shared" si="6"/>
        <v>1.9532945503835997E-2</v>
      </c>
      <c r="AA44" s="511">
        <f>'Interpolations AUD'!S51-0.001-Z44</f>
        <v>-7.7763018246912452E-11</v>
      </c>
      <c r="AB44" s="511">
        <f t="shared" si="7"/>
        <v>2.3709900478216861E-2</v>
      </c>
      <c r="AC44" s="511">
        <f>'Interpolations NZD'!S51-0.001-AB44</f>
        <v>3.4339786569859143E-10</v>
      </c>
    </row>
    <row r="45" spans="1:29">
      <c r="B45" s="2" t="s">
        <v>286</v>
      </c>
      <c r="C45" s="193">
        <f>'All Curves'!I45</f>
        <v>2.181913447865913E-2</v>
      </c>
      <c r="D45" s="193">
        <f>'All Curves'!R45</f>
        <v>6.1442207741664312E-3</v>
      </c>
      <c r="E45" s="193">
        <f>'All Curves'!AA45</f>
        <v>1.0868926806394619E-2</v>
      </c>
      <c r="F45" s="193">
        <f>'All Curves'!AJ45</f>
        <v>1.6564173586066655E-3</v>
      </c>
      <c r="G45" s="193">
        <f>'All Curves'!AS45</f>
        <v>2.0278854926367051E-2</v>
      </c>
      <c r="H45" s="193">
        <f>'All Curves'!BB45</f>
        <v>3.5854475956933474E-3</v>
      </c>
      <c r="I45" s="193">
        <f>'All Curves'!BK45</f>
        <v>1.9529969181081297E-2</v>
      </c>
      <c r="J45" s="193">
        <f>'All Curves'!BT45</f>
        <v>2.390686486904503E-2</v>
      </c>
      <c r="K45" s="697">
        <f>'All Curves'!CC45</f>
        <v>2.8848878019888113E-2</v>
      </c>
      <c r="L45" s="697">
        <f>'All Curves'!CL45</f>
        <v>2.1847949152004276E-2</v>
      </c>
      <c r="N45" s="227"/>
      <c r="O45" s="227"/>
      <c r="P45" s="227"/>
      <c r="Q45" s="227"/>
      <c r="R45" s="227"/>
      <c r="S45" s="227"/>
      <c r="T45" s="227"/>
      <c r="U45" s="227"/>
      <c r="V45" s="227"/>
      <c r="W45" s="227"/>
      <c r="X45" s="227"/>
      <c r="Y45" s="227"/>
      <c r="Z45" s="227"/>
      <c r="AA45" s="227"/>
      <c r="AB45" s="227"/>
      <c r="AC45" s="227"/>
    </row>
    <row r="46" spans="1:29">
      <c r="B46" s="2" t="s">
        <v>287</v>
      </c>
      <c r="C46" s="193">
        <f>'All Curves'!I46</f>
        <v>2.1911074909828354E-2</v>
      </c>
      <c r="D46" s="193">
        <f>'All Curves'!R46</f>
        <v>6.1329097895632678E-3</v>
      </c>
      <c r="E46" s="193">
        <f>'All Curves'!AA46</f>
        <v>1.0922893558142688E-2</v>
      </c>
      <c r="F46" s="193">
        <f>'All Curves'!AJ46</f>
        <v>1.726001269560351E-3</v>
      </c>
      <c r="G46" s="193">
        <f>'All Curves'!AS46</f>
        <v>2.0248320225855654E-2</v>
      </c>
      <c r="H46" s="193">
        <f>'All Curves'!BB46</f>
        <v>3.777834108118272E-3</v>
      </c>
      <c r="I46" s="193">
        <f>'All Curves'!BK46</f>
        <v>1.9567602502232218E-2</v>
      </c>
      <c r="J46" s="193">
        <f>'All Curves'!BT46</f>
        <v>2.4080061204915904E-2</v>
      </c>
      <c r="K46" s="697">
        <f>'All Curves'!CC46</f>
        <v>2.9293642081350768E-2</v>
      </c>
      <c r="L46" s="697">
        <f>'All Curves'!CL46</f>
        <v>2.1875655491439661E-2</v>
      </c>
    </row>
    <row r="47" spans="1:29">
      <c r="B47" s="2" t="s">
        <v>288</v>
      </c>
      <c r="C47" s="193">
        <f>'All Curves'!I47</f>
        <v>2.2051998782845139E-2</v>
      </c>
      <c r="D47" s="193">
        <f>'All Curves'!R47</f>
        <v>6.1417636849310231E-3</v>
      </c>
      <c r="E47" s="193">
        <f>'All Curves'!AA47</f>
        <v>1.1020838889731266E-2</v>
      </c>
      <c r="F47" s="193">
        <f>'All Curves'!AJ47</f>
        <v>1.8310567144093071E-3</v>
      </c>
      <c r="G47" s="193">
        <f>'All Curves'!AS47</f>
        <v>2.0233193557692486E-2</v>
      </c>
      <c r="H47" s="193">
        <f>'All Curves'!BB47</f>
        <v>4.0247311501651062E-3</v>
      </c>
      <c r="I47" s="193">
        <f>'All Curves'!BK47</f>
        <v>1.9643579938184885E-2</v>
      </c>
      <c r="J47" s="193">
        <f>'All Curves'!BT47</f>
        <v>2.422952041300741E-2</v>
      </c>
      <c r="K47" s="697">
        <f>'All Curves'!CC47</f>
        <v>2.9727878385899853E-2</v>
      </c>
      <c r="L47" s="697">
        <f>'All Curves'!CL47</f>
        <v>2.194231901746968E-2</v>
      </c>
    </row>
    <row r="48" spans="1:29">
      <c r="B48" s="2" t="s">
        <v>289</v>
      </c>
      <c r="C48" s="193">
        <f>'All Curves'!I48</f>
        <v>2.2238573951176788E-2</v>
      </c>
      <c r="D48" s="193">
        <f>'All Curves'!R48</f>
        <v>6.1699045695142729E-3</v>
      </c>
      <c r="E48" s="193">
        <f>'All Curves'!AA48</f>
        <v>1.1159302863393394E-2</v>
      </c>
      <c r="F48" s="193">
        <f>'All Curves'!AJ48</f>
        <v>1.9674817513468668E-3</v>
      </c>
      <c r="G48" s="193">
        <f>'All Curves'!AS48</f>
        <v>2.0232272108664517E-2</v>
      </c>
      <c r="H48" s="193">
        <f>'All Curves'!BB48</f>
        <v>4.3223871552950932E-3</v>
      </c>
      <c r="I48" s="193">
        <f>'All Curves'!BK48</f>
        <v>1.9755630318036177E-2</v>
      </c>
      <c r="J48" s="193">
        <f>'All Curves'!BT48</f>
        <v>2.4355590518936765E-2</v>
      </c>
      <c r="K48" s="697">
        <f>'All Curves'!CC48</f>
        <v>3.0151310965613076E-2</v>
      </c>
      <c r="L48" s="697">
        <f>'All Curves'!CL48</f>
        <v>2.204561390531512E-2</v>
      </c>
    </row>
    <row r="49" spans="2:12">
      <c r="B49" s="2" t="s">
        <v>290</v>
      </c>
      <c r="C49" s="193">
        <f>'All Curves'!I49</f>
        <v>2.2467451672733674E-2</v>
      </c>
      <c r="D49" s="193">
        <f>'All Curves'!R49</f>
        <v>6.2166312807221402E-3</v>
      </c>
      <c r="E49" s="193">
        <f>'All Curves'!AA49</f>
        <v>1.1335076082098938E-2</v>
      </c>
      <c r="F49" s="193">
        <f>'All Curves'!AJ49</f>
        <v>2.1317828770253122E-3</v>
      </c>
      <c r="G49" s="193">
        <f>'All Curves'!AS49</f>
        <v>2.0244562348088468E-2</v>
      </c>
      <c r="H49" s="193">
        <f>'All Curves'!BB49</f>
        <v>4.6671023647100185E-3</v>
      </c>
      <c r="I49" s="193">
        <f>'All Curves'!BK49</f>
        <v>1.990147353734617E-2</v>
      </c>
      <c r="J49" s="193">
        <f>'All Curves'!BT49</f>
        <v>2.4458918390567241E-2</v>
      </c>
      <c r="K49" s="697">
        <f>'All Curves'!CC49</f>
        <v>3.0563757357757071E-2</v>
      </c>
      <c r="L49" s="697">
        <f>'All Curves'!CL49</f>
        <v>2.2183211639204448E-2</v>
      </c>
    </row>
    <row r="50" spans="2:12">
      <c r="B50" s="2" t="s">
        <v>291</v>
      </c>
      <c r="C50" s="193">
        <f>'All Curves'!I50</f>
        <v>2.2735273903067288E-2</v>
      </c>
      <c r="D50" s="193">
        <f>'All Curves'!R50</f>
        <v>6.281389473467236E-3</v>
      </c>
      <c r="E50" s="193">
        <f>'All Curves'!AA50</f>
        <v>1.1545157175860243E-2</v>
      </c>
      <c r="F50" s="193">
        <f>'All Curves'!AJ50</f>
        <v>2.320985442852086E-3</v>
      </c>
      <c r="G50" s="193">
        <f>'All Curves'!AS50</f>
        <v>2.0269250216072399E-2</v>
      </c>
      <c r="H50" s="193">
        <f>'All Curves'!BB50</f>
        <v>5.0552258181890686E-3</v>
      </c>
      <c r="I50" s="193">
        <f>'All Curves'!BK50</f>
        <v>2.0078825083805096E-2</v>
      </c>
      <c r="J50" s="193">
        <f>'All Curves'!BT50</f>
        <v>2.4540429072104297E-2</v>
      </c>
      <c r="K50" s="697">
        <f>'All Curves'!CC50</f>
        <v>3.0965110447794819E-2</v>
      </c>
      <c r="L50" s="697">
        <f>'All Curves'!CL50</f>
        <v>2.2352784670211845E-2</v>
      </c>
    </row>
    <row r="51" spans="2:12">
      <c r="B51" s="2" t="s">
        <v>292</v>
      </c>
      <c r="C51" s="193">
        <f>'All Curves'!I51</f>
        <v>2.3038670779123471E-2</v>
      </c>
      <c r="D51" s="193">
        <f>'All Curves'!R51</f>
        <v>6.3637428922287409E-3</v>
      </c>
      <c r="E51" s="193">
        <f>'All Curves'!AA51</f>
        <v>1.1786718116292949E-2</v>
      </c>
      <c r="F51" s="193">
        <f>'All Curves'!AJ51</f>
        <v>2.5325601465688852E-3</v>
      </c>
      <c r="G51" s="193">
        <f>'All Curves'!AS51</f>
        <v>2.0305676867473199E-2</v>
      </c>
      <c r="H51" s="193">
        <f>'All Curves'!BB51</f>
        <v>5.4831468460763144E-3</v>
      </c>
      <c r="I51" s="193">
        <f>'All Curves'!BK51</f>
        <v>2.028539365985238E-2</v>
      </c>
      <c r="J51" s="193">
        <f>'All Curves'!BT51</f>
        <v>2.4601305340062662E-2</v>
      </c>
      <c r="K51" s="697">
        <f>'All Curves'!CC51</f>
        <v>3.1355321658238955E-2</v>
      </c>
      <c r="L51" s="697">
        <f>'All Curves'!CL51</f>
        <v>2.2552003309995516E-2</v>
      </c>
    </row>
    <row r="52" spans="2:12">
      <c r="B52" s="2" t="s">
        <v>293</v>
      </c>
      <c r="C52" s="193">
        <f>'All Curves'!I52</f>
        <v>2.3374260971228855E-2</v>
      </c>
      <c r="D52" s="193">
        <f>'All Curves'!R52</f>
        <v>6.4633562938665179E-3</v>
      </c>
      <c r="E52" s="193">
        <f>'All Curves'!AA52</f>
        <v>1.2057075273503859E-2</v>
      </c>
      <c r="F52" s="193">
        <f>'All Curves'!AJ52</f>
        <v>2.7643603628644264E-3</v>
      </c>
      <c r="G52" s="193">
        <f>'All Curves'!AS52</f>
        <v>2.0353317663741599E-2</v>
      </c>
      <c r="H52" s="193">
        <f>'All Curves'!BB52</f>
        <v>5.9472913481302125E-3</v>
      </c>
      <c r="I52" s="193">
        <f>'All Curves'!BK52</f>
        <v>2.0518884182566088E-2</v>
      </c>
      <c r="J52" s="193">
        <f>'All Curves'!BT52</f>
        <v>2.4642970615982085E-2</v>
      </c>
      <c r="K52" s="697">
        <f>'All Curves'!CC52</f>
        <v>3.1734387443951295E-2</v>
      </c>
      <c r="L52" s="697">
        <f>'All Curves'!CL52</f>
        <v>2.277853811839492E-2</v>
      </c>
    </row>
    <row r="53" spans="2:12">
      <c r="B53" s="2" t="s">
        <v>294</v>
      </c>
      <c r="C53" s="193">
        <f>'All Curves'!I53</f>
        <v>2.3738654963271655E-2</v>
      </c>
      <c r="D53" s="193">
        <f>'All Curves'!R53</f>
        <v>6.5799757711810791E-3</v>
      </c>
      <c r="E53" s="193">
        <f>'All Curves'!AA53</f>
        <v>1.235366552737216E-2</v>
      </c>
      <c r="F53" s="193">
        <f>'All Curves'!AJ53</f>
        <v>3.0145699133095061E-3</v>
      </c>
      <c r="G53" s="193">
        <f>'All Curves'!AS53</f>
        <v>2.0411764926694165E-2</v>
      </c>
      <c r="H53" s="193">
        <f>'All Curves'!BB53</f>
        <v>6.4441164256237027E-3</v>
      </c>
      <c r="I53" s="193">
        <f>'All Curves'!BK53</f>
        <v>2.0776996792834179E-2</v>
      </c>
      <c r="J53" s="193">
        <f>'All Curves'!BT53</f>
        <v>2.4667068158661598E-2</v>
      </c>
      <c r="K53" s="697">
        <f>'All Curves'!CC53</f>
        <v>3.2102336767907191E-2</v>
      </c>
      <c r="L53" s="697">
        <f>'All Curves'!CL53</f>
        <v>2.3030058393586739E-2</v>
      </c>
    </row>
    <row r="54" spans="2:12">
      <c r="B54" s="2" t="s">
        <v>295</v>
      </c>
      <c r="C54" s="193">
        <f>'All Curves'!I54</f>
        <v>2.4128451230467585E-2</v>
      </c>
      <c r="D54" s="193">
        <f>'All Curves'!R54</f>
        <v>6.7134178421170976E-3</v>
      </c>
      <c r="E54" s="193">
        <f>'All Curves'!AA54</f>
        <v>1.2674028287281924E-2</v>
      </c>
      <c r="F54" s="193">
        <f>'All Curves'!AJ54</f>
        <v>3.2816589687929554E-3</v>
      </c>
      <c r="G54" s="193">
        <f>'All Curves'!AS54</f>
        <v>2.0480712867443795E-2</v>
      </c>
      <c r="H54" s="193">
        <f>'All Curves'!BB54</f>
        <v>6.970107523498692E-3</v>
      </c>
      <c r="I54" s="193">
        <f>'All Curves'!BK54</f>
        <v>2.1057428033998571E-2</v>
      </c>
      <c r="J54" s="193">
        <f>'All Curves'!BT54</f>
        <v>2.4675444896560039E-2</v>
      </c>
      <c r="K54" s="697">
        <f>'All Curves'!CC54</f>
        <v>3.2459221003967142E-2</v>
      </c>
      <c r="L54" s="697">
        <f>'All Curves'!CL54</f>
        <v>2.3304232910241307E-2</v>
      </c>
    </row>
    <row r="55" spans="2:12">
      <c r="B55" s="2" t="s">
        <v>296</v>
      </c>
      <c r="C55" s="193">
        <f>'All Curves'!I55</f>
        <v>2.4540240991951956E-2</v>
      </c>
      <c r="D55" s="193">
        <f>'All Curves'!R55</f>
        <v>6.8635577424285277E-3</v>
      </c>
      <c r="E55" s="193">
        <f>'All Curves'!AA55</f>
        <v>1.3015789674829081E-2</v>
      </c>
      <c r="F55" s="193">
        <f>'All Curves'!AJ55</f>
        <v>3.5643457848035798E-3</v>
      </c>
      <c r="G55" s="193">
        <f>'All Curves'!AS55</f>
        <v>2.0559945076004338E-2</v>
      </c>
      <c r="H55" s="193">
        <f>'All Curves'!BB55</f>
        <v>7.521775561736721E-3</v>
      </c>
      <c r="I55" s="193">
        <f>'All Curves'!BK55</f>
        <v>2.135787075367479E-2</v>
      </c>
      <c r="J55" s="193">
        <f>'All Curves'!BT55</f>
        <v>2.4670131145772878E-2</v>
      </c>
      <c r="K55" s="697">
        <f>'All Curves'!CC55</f>
        <v>3.2805104976482591E-2</v>
      </c>
      <c r="L55" s="697">
        <f>'All Curves'!CL55</f>
        <v>2.3598729445140076E-2</v>
      </c>
    </row>
    <row r="56" spans="2:12">
      <c r="B56" s="2" t="s">
        <v>297</v>
      </c>
      <c r="C56" s="193">
        <f>'All Curves'!I56</f>
        <v>2.4970604010869035E-2</v>
      </c>
      <c r="D56" s="193">
        <f>'All Curves'!R56</f>
        <v>7.0303209711573E-3</v>
      </c>
      <c r="E56" s="193">
        <f>'All Curves'!AA56</f>
        <v>1.3376648951053616E-2</v>
      </c>
      <c r="F56" s="193">
        <f>'All Curves'!AJ56</f>
        <v>3.8615652236273501E-3</v>
      </c>
      <c r="G56" s="193">
        <f>'All Curves'!AS56</f>
        <v>2.0649323660727914E-2</v>
      </c>
      <c r="H56" s="193">
        <f>'All Curves'!BB56</f>
        <v>8.0956527809381562E-3</v>
      </c>
      <c r="I56" s="193">
        <f>'All Curves'!BK56</f>
        <v>2.1676014767757268E-2</v>
      </c>
      <c r="J56" s="193">
        <f>'All Curves'!BT56</f>
        <v>2.4653329449389583E-2</v>
      </c>
      <c r="K56" s="697">
        <f>'All Curves'!CC56</f>
        <v>3.3140059355978302E-2</v>
      </c>
      <c r="L56" s="697">
        <f>'All Curves'!CL56</f>
        <v>2.3911215119071239E-2</v>
      </c>
    </row>
    <row r="57" spans="2:12">
      <c r="B57" s="2" t="s">
        <v>298</v>
      </c>
      <c r="C57" s="193">
        <f>'All Curves'!I57</f>
        <v>2.5416112020753445E-2</v>
      </c>
      <c r="D57" s="193">
        <f>'All Curves'!R57</f>
        <v>7.2136757278147279E-3</v>
      </c>
      <c r="E57" s="193">
        <f>'All Curves'!AA57</f>
        <v>1.3754369414742396E-2</v>
      </c>
      <c r="F57" s="193">
        <f>'All Curves'!AJ57</f>
        <v>4.1724404316054731E-3</v>
      </c>
      <c r="G57" s="193">
        <f>'All Curves'!AS57</f>
        <v>2.074877942243547E-2</v>
      </c>
      <c r="H57" s="193">
        <f>'All Curves'!BB57</f>
        <v>8.6882919087174493E-3</v>
      </c>
      <c r="I57" s="193">
        <f>'All Curves'!BK57</f>
        <v>2.2009547139225205E-2</v>
      </c>
      <c r="J57" s="193">
        <f>'All Curves'!BT57</f>
        <v>2.4627395201141988E-2</v>
      </c>
      <c r="K57" s="697">
        <f>'All Curves'!CC57</f>
        <v>3.346415473119313E-2</v>
      </c>
      <c r="L57" s="697">
        <f>'All Curves'!CL57</f>
        <v>2.4239356398555012E-2</v>
      </c>
    </row>
    <row r="58" spans="2:12">
      <c r="B58" s="2" t="s">
        <v>299</v>
      </c>
      <c r="C58" s="193">
        <f>'All Curves'!I58</f>
        <v>2.5873326469250557E-2</v>
      </c>
      <c r="D58" s="193">
        <f>'All Curves'!R58</f>
        <v>7.4136284801540331E-3</v>
      </c>
      <c r="E58" s="193">
        <f>'All Curves'!AA58</f>
        <v>1.4146767168927044E-2</v>
      </c>
      <c r="F58" s="193">
        <f>'All Curves'!AJ58</f>
        <v>4.4962599836853023E-3</v>
      </c>
      <c r="G58" s="193">
        <f>'All Curves'!AS58</f>
        <v>2.0858305030738711E-2</v>
      </c>
      <c r="H58" s="193">
        <f>'All Curves'!BB58</f>
        <v>9.2962624120642712E-3</v>
      </c>
      <c r="I58" s="193">
        <f>'All Curves'!BK58</f>
        <v>2.2356151987212192E-2</v>
      </c>
      <c r="J58" s="193">
        <f>'All Curves'!BT58</f>
        <v>2.4594826778549184E-2</v>
      </c>
      <c r="K58" s="697">
        <f>'All Curves'!CC58</f>
        <v>3.3777455638405396E-2</v>
      </c>
      <c r="L58" s="697">
        <f>'All Curves'!CL58</f>
        <v>2.4580818665691062E-2</v>
      </c>
    </row>
    <row r="59" spans="2:12">
      <c r="B59" s="2" t="s">
        <v>300</v>
      </c>
      <c r="C59" s="193">
        <f>'All Curves'!I59</f>
        <v>2.6338800789353689E-2</v>
      </c>
      <c r="D59" s="193">
        <f>'All Curves'!R59</f>
        <v>7.6302170543109948E-3</v>
      </c>
      <c r="E59" s="193">
        <f>'All Curves'!AA59</f>
        <v>1.4551706970891143E-2</v>
      </c>
      <c r="F59" s="193">
        <f>'All Curves'!AJ59</f>
        <v>4.8324565899713345E-3</v>
      </c>
      <c r="G59" s="193">
        <f>'All Curves'!AS59</f>
        <v>2.097794633035166E-2</v>
      </c>
      <c r="H59" s="193">
        <f>'All Curves'!BB59</f>
        <v>9.916151347296287E-3</v>
      </c>
      <c r="I59" s="193">
        <f>'All Curves'!BK59</f>
        <v>2.2713511544589338E-2</v>
      </c>
      <c r="J59" s="193">
        <f>'All Curves'!BT59</f>
        <v>2.4558247188567028E-2</v>
      </c>
      <c r="K59" s="697">
        <f>'All Curves'!CC59</f>
        <v>3.4080016822611858E-2</v>
      </c>
      <c r="L59" s="697">
        <f>'All Curves'!CL59</f>
        <v>2.4933267068920628E-2</v>
      </c>
    </row>
    <row r="60" spans="2:12">
      <c r="B60" s="2" t="s">
        <v>301</v>
      </c>
      <c r="C60" s="193">
        <f>'All Curves'!I60</f>
        <v>2.6809077573221485E-2</v>
      </c>
      <c r="D60" s="193">
        <f>'All Curves'!R60</f>
        <v>7.863509169692362E-3</v>
      </c>
      <c r="E60" s="193">
        <f>'All Curves'!AA60</f>
        <v>1.4967093459568259E-2</v>
      </c>
      <c r="F60" s="193">
        <f>'All Curves'!AJ60</f>
        <v>5.1805901964911971E-3</v>
      </c>
      <c r="G60" s="193">
        <f>'All Curves'!AS60</f>
        <v>2.1107798037406811E-2</v>
      </c>
      <c r="H60" s="193">
        <f>'All Curves'!BB60</f>
        <v>1.0544558190680675E-2</v>
      </c>
      <c r="I60" s="193">
        <f>'All Curves'!BK60</f>
        <v>2.3079305242476478E-2</v>
      </c>
      <c r="J60" s="193">
        <f>'All Curves'!BT60</f>
        <v>2.4520398928826737E-2</v>
      </c>
      <c r="K60" s="697">
        <f>'All Curves'!CC60</f>
        <v>3.4371879045907994E-2</v>
      </c>
      <c r="L60" s="697">
        <f>'All Curves'!CL60</f>
        <v>2.5294365427444898E-2</v>
      </c>
    </row>
    <row r="61" spans="2:12">
      <c r="B61" s="2" t="s">
        <v>302</v>
      </c>
      <c r="C61" s="193">
        <f>'All Curves'!I61</f>
        <v>2.7280691395632939E-2</v>
      </c>
      <c r="D61" s="193">
        <f>'All Curves'!R61</f>
        <v>8.1135975803152682E-3</v>
      </c>
      <c r="E61" s="193">
        <f>'All Curves'!AA61</f>
        <v>1.5390867136898301E-2</v>
      </c>
      <c r="F61" s="193">
        <f>'All Curves'!AJ61</f>
        <v>5.5403321544829076E-3</v>
      </c>
      <c r="G61" s="193">
        <f>'All Curves'!AS61</f>
        <v>2.1247997168725163E-2</v>
      </c>
      <c r="H61" s="193">
        <f>'All Curves'!BB61</f>
        <v>1.1178096484584454E-2</v>
      </c>
      <c r="I61" s="193">
        <f>'All Curves'!BK61</f>
        <v>2.3451210811457956E-2</v>
      </c>
      <c r="J61" s="193">
        <f>'All Curves'!BT61</f>
        <v>2.4484127317432547E-2</v>
      </c>
      <c r="K61" s="697">
        <f>'All Curves'!CC61</f>
        <v>3.4653066527927656E-2</v>
      </c>
      <c r="L61" s="697">
        <f>'All Curves'!CL61</f>
        <v>2.5661777176037681E-2</v>
      </c>
    </row>
    <row r="62" spans="2:12">
      <c r="B62" s="2" t="s">
        <v>303</v>
      </c>
      <c r="C62" s="193">
        <f>'All Curves'!I62</f>
        <v>2.7750167271984427E-2</v>
      </c>
      <c r="D62" s="193">
        <f>'All Curves'!R62</f>
        <v>8.3805976361488455E-3</v>
      </c>
      <c r="E62" s="193">
        <f>'All Curves'!AA62</f>
        <v>1.5821000647804562E-2</v>
      </c>
      <c r="F62" s="193">
        <f>'All Curves'!AJ62</f>
        <v>5.9114520757661548E-3</v>
      </c>
      <c r="G62" s="193">
        <f>'All Curves'!AS62</f>
        <v>2.1398719020896628E-2</v>
      </c>
      <c r="H62" s="193">
        <f>'All Curves'!BB62</f>
        <v>1.1813390736431506E-2</v>
      </c>
      <c r="I62" s="193">
        <f>'All Curves'!BK62</f>
        <v>2.382690397827214E-2</v>
      </c>
      <c r="J62" s="193">
        <f>'All Curves'!BT62</f>
        <v>2.4452373843723452E-2</v>
      </c>
      <c r="K62" s="697">
        <f>'All Curves'!CC62</f>
        <v>3.4923584518854911E-2</v>
      </c>
      <c r="L62" s="697">
        <f>'All Curves'!CL62</f>
        <v>2.6033164924804897E-2</v>
      </c>
    </row>
    <row r="63" spans="2:12">
      <c r="B63" s="2" t="s">
        <v>304</v>
      </c>
      <c r="C63" s="193">
        <f>'All Curves'!I63</f>
        <v>2.8214021961272318E-2</v>
      </c>
      <c r="D63" s="193">
        <f>'All Curves'!R63</f>
        <v>8.6646456106831415E-3</v>
      </c>
      <c r="E63" s="193">
        <f>'All Curves'!AA63</f>
        <v>1.6255493787916242E-2</v>
      </c>
      <c r="F63" s="193">
        <f>'All Curves'!AJ63</f>
        <v>6.2938061928776712E-3</v>
      </c>
      <c r="G63" s="193">
        <f>'All Curves'!AS63</f>
        <v>2.1560173010321648E-2</v>
      </c>
      <c r="H63" s="193">
        <f>'All Curves'!BB63</f>
        <v>1.244707638008502E-2</v>
      </c>
      <c r="I63" s="193">
        <f>'All Curves'!BK63</f>
        <v>2.4204058625802549E-2</v>
      </c>
      <c r="J63" s="193">
        <f>'All Curves'!BT63</f>
        <v>2.4428164794368934E-2</v>
      </c>
      <c r="K63" s="697">
        <f>'All Curves'!CC63</f>
        <v>3.5183417328483291E-2</v>
      </c>
      <c r="L63" s="697">
        <f>'All Curves'!CL63</f>
        <v>2.6406190499369764E-2</v>
      </c>
    </row>
    <row r="64" spans="2:12">
      <c r="B64" s="2" t="s">
        <v>305</v>
      </c>
      <c r="C64" s="193">
        <f>'All Curves'!I64</f>
        <v>2.8668762671885784E-2</v>
      </c>
      <c r="D64" s="193">
        <f>'All Curves'!R64</f>
        <v>8.9658963559950955E-3</v>
      </c>
      <c r="E64" s="193">
        <f>'All Curves'!AA64</f>
        <v>1.6692371219878765E-2</v>
      </c>
      <c r="F64" s="193">
        <f>'All Curves'!AJ64</f>
        <v>6.6873270733498469E-3</v>
      </c>
      <c r="G64" s="193">
        <f>'All Curves'!AS64</f>
        <v>2.1732599120727558E-2</v>
      </c>
      <c r="H64" s="193">
        <f>'All Curves'!BB64</f>
        <v>1.3075797838020708E-2</v>
      </c>
      <c r="I64" s="193">
        <f>'All Curves'!BK64</f>
        <v>2.4580347140377601E-2</v>
      </c>
      <c r="J64" s="193">
        <f>'All Curves'!BT64</f>
        <v>2.4414604642572835E-2</v>
      </c>
      <c r="K64" s="697">
        <f>'All Curves'!CC64</f>
        <v>3.5432527051235674E-2</v>
      </c>
      <c r="L64" s="697">
        <f>'All Curves'!CL64</f>
        <v>2.6778515183052187E-2</v>
      </c>
    </row>
    <row r="65" spans="2:12">
      <c r="B65" s="2" t="s">
        <v>306</v>
      </c>
      <c r="C65" s="193">
        <f>'All Curves'!I65</f>
        <v>2.9110888112405586E-2</v>
      </c>
      <c r="D65" s="193">
        <f>'All Curves'!R65</f>
        <v>9.2845218781283378E-3</v>
      </c>
      <c r="E65" s="193">
        <f>'All Curves'!AA65</f>
        <v>1.7129679963365785E-2</v>
      </c>
      <c r="F65" s="193">
        <f>'All Curves'!AJ65</f>
        <v>7.0920148723572218E-3</v>
      </c>
      <c r="G65" s="193">
        <f>'All Curves'!AS65</f>
        <v>2.1916264830216248E-2</v>
      </c>
      <c r="H65" s="193">
        <f>'All Curves'!BB65</f>
        <v>1.3696208547139266E-2</v>
      </c>
      <c r="I65" s="193">
        <f>'All Curves'!BK65</f>
        <v>2.4953440165038199E-2</v>
      </c>
      <c r="J65" s="193">
        <f>'All Curves'!BT65</f>
        <v>2.4414866461883955E-2</v>
      </c>
      <c r="K65" s="697">
        <f>'All Curves'!CC65</f>
        <v>3.5670852498310257E-2</v>
      </c>
      <c r="L65" s="697">
        <f>'All Curves'!CL65</f>
        <v>2.7147799377528203E-2</v>
      </c>
    </row>
    <row r="66" spans="2:12">
      <c r="B66" s="2" t="s">
        <v>307</v>
      </c>
      <c r="C66" s="193">
        <f>'All Curves'!I66</f>
        <v>2.9536888271721518E-2</v>
      </c>
      <c r="D66" s="193">
        <f>'All Curves'!R66</f>
        <v>9.6207098057019547E-3</v>
      </c>
      <c r="E66" s="193">
        <f>'All Curves'!AA66</f>
        <v>1.7565486927431539E-2</v>
      </c>
      <c r="F66" s="193">
        <f>'All Curves'!AJ66</f>
        <v>7.5079293898538957E-3</v>
      </c>
      <c r="G66" s="193">
        <f>'All Curves'!AS66</f>
        <v>2.2111462116009006E-2</v>
      </c>
      <c r="H66" s="193">
        <f>'All Curves'!BB66</f>
        <v>1.4304969215339192E-2</v>
      </c>
      <c r="I66" s="193">
        <f>'All Curves'!BK66</f>
        <v>2.5321006924253542E-2</v>
      </c>
      <c r="J66" s="193">
        <f>'All Curves'!BT66</f>
        <v>2.4432186727665339E-2</v>
      </c>
      <c r="K66" s="697">
        <f>'All Curves'!CC66</f>
        <v>3.5898308631514331E-2</v>
      </c>
      <c r="L66" s="697">
        <f>'All Curves'!CL66</f>
        <v>2.7511702846035435E-2</v>
      </c>
    </row>
    <row r="67" spans="2:12">
      <c r="B67" s="2" t="s">
        <v>308</v>
      </c>
      <c r="C67" s="193">
        <f>'All Curves'!I67</f>
        <v>2.9943245270675822E-2</v>
      </c>
      <c r="D67" s="193">
        <f>'All Curves'!R67</f>
        <v>9.9746622734648849E-3</v>
      </c>
      <c r="E67" s="193">
        <f>'All Curves'!AA67</f>
        <v>1.7997876820748493E-2</v>
      </c>
      <c r="F67" s="193">
        <f>'All Curves'!AJ67</f>
        <v>7.9351831797906947E-3</v>
      </c>
      <c r="G67" s="193">
        <f>'All Curves'!AS67</f>
        <v>2.2318505285422674E-2</v>
      </c>
      <c r="H67" s="193">
        <f>'All Curves'!BB67</f>
        <v>1.4898748136799922E-2</v>
      </c>
      <c r="I67" s="193">
        <f>'All Curves'!BK67</f>
        <v>2.5680715367326856E-2</v>
      </c>
      <c r="J67" s="193">
        <f>'All Curves'!BT67</f>
        <v>2.4469856934983714E-2</v>
      </c>
      <c r="K67" s="697">
        <f>'All Curves'!CC67</f>
        <v>3.6114786027320989E-2</v>
      </c>
      <c r="L67" s="697">
        <f>'All Curves'!CL67</f>
        <v>2.7867884784756214E-2</v>
      </c>
    </row>
    <row r="68" spans="2:12">
      <c r="B68" s="2" t="s">
        <v>309</v>
      </c>
      <c r="C68" s="193">
        <f>'All Curves'!I68</f>
        <v>3.0326431726772407E-2</v>
      </c>
      <c r="D68" s="193">
        <f>'All Curves'!R68</f>
        <v>1.0346595343796228E-2</v>
      </c>
      <c r="E68" s="193">
        <f>'All Curves'!AA68</f>
        <v>1.8424950516397365E-2</v>
      </c>
      <c r="F68" s="193">
        <f>'All Curves'!AJ68</f>
        <v>8.3739355843828189E-3</v>
      </c>
      <c r="G68" s="193">
        <f>'All Curves'!AS68</f>
        <v>2.2537728833591952E-2</v>
      </c>
      <c r="H68" s="193">
        <f>'All Curves'!BB68</f>
        <v>1.547421918645786E-2</v>
      </c>
      <c r="I68" s="193">
        <f>'All Curves'!BK68</f>
        <v>2.6030231772958823E-2</v>
      </c>
      <c r="J68" s="193">
        <f>'All Curves'!BT68</f>
        <v>2.4531219927565351E-2</v>
      </c>
      <c r="K68" s="697">
        <f>'All Curves'!CC68</f>
        <v>3.6320150643785354E-2</v>
      </c>
      <c r="L68" s="697">
        <f>'All Curves'!CL68</f>
        <v>2.8214003363556062E-2</v>
      </c>
    </row>
    <row r="69" spans="2:12">
      <c r="B69" s="2" t="s">
        <v>310</v>
      </c>
      <c r="C69" s="193">
        <f>'All Curves'!I69</f>
        <v>3.0682913289803659E-2</v>
      </c>
      <c r="D69" s="193">
        <f>'All Curves'!R69</f>
        <v>1.0736737344627212E-2</v>
      </c>
      <c r="E69" s="193">
        <f>'All Curves'!AA69</f>
        <v>1.8844824239230507E-2</v>
      </c>
      <c r="F69" s="193">
        <f>'All Curves'!AJ69</f>
        <v>8.8243872179032401E-3</v>
      </c>
      <c r="G69" s="193">
        <f>'All Curves'!AS69</f>
        <v>2.2769485178152582E-2</v>
      </c>
      <c r="H69" s="193">
        <f>'All Curves'!BB69</f>
        <v>1.6028062554165556E-2</v>
      </c>
      <c r="I69" s="193">
        <f>'All Curves'!BK69</f>
        <v>2.6367221486032433E-2</v>
      </c>
      <c r="J69" s="193">
        <f>'All Curves'!BT69</f>
        <v>2.461966269128979E-2</v>
      </c>
      <c r="K69" s="697">
        <f>'All Curves'!CC69</f>
        <v>3.6514244131525819E-2</v>
      </c>
      <c r="L69" s="697">
        <f>'All Curves'!CL69</f>
        <v>2.854771640646403E-2</v>
      </c>
    </row>
    <row r="70" spans="2:12">
      <c r="B70" s="2" t="s">
        <v>311</v>
      </c>
      <c r="C70" s="193">
        <f>'All Curves'!I70</f>
        <v>3.100914697829027E-2</v>
      </c>
      <c r="D70" s="193">
        <f>'All Curves'!R70</f>
        <v>1.1145328814322619E-2</v>
      </c>
      <c r="E70" s="193">
        <f>'All Curves'!AA70</f>
        <v>1.9255627620236249E-2</v>
      </c>
      <c r="F70" s="193">
        <f>'All Curves'!AJ70</f>
        <v>9.2867752722440855E-3</v>
      </c>
      <c r="G70" s="193">
        <f>'All Curves'!AS70</f>
        <v>2.3014143225329686E-2</v>
      </c>
      <c r="H70" s="193">
        <f>'All Curves'!BB70</f>
        <v>1.6556963453084883E-2</v>
      </c>
      <c r="I70" s="193">
        <f>'All Curves'!BK70</f>
        <v>2.6689348636315557E-2</v>
      </c>
      <c r="J70" s="193">
        <f>'All Curves'!BT70</f>
        <v>2.4738612546423733E-2</v>
      </c>
      <c r="K70" s="697">
        <f>'All Curves'!CC70</f>
        <v>3.6696883766623944E-2</v>
      </c>
      <c r="L70" s="697">
        <f>'All Curves'!CL70</f>
        <v>2.8866681060226718E-2</v>
      </c>
    </row>
    <row r="71" spans="2:12">
      <c r="B71" s="2" t="s">
        <v>312</v>
      </c>
      <c r="C71" s="193">
        <f>'All Curves'!I71</f>
        <v>3.1301582360641067E-2</v>
      </c>
      <c r="D71" s="193">
        <f>'All Curves'!R71</f>
        <v>1.157262129895642E-2</v>
      </c>
      <c r="E71" s="193">
        <f>'All Curves'!AA71</f>
        <v>1.9655503006214214E-2</v>
      </c>
      <c r="F71" s="193">
        <f>'All Curves'!AJ71</f>
        <v>9.7613693529572387E-3</v>
      </c>
      <c r="G71" s="193">
        <f>'All Curves'!AS71</f>
        <v>2.3272086619551935E-2</v>
      </c>
      <c r="H71" s="193">
        <f>'All Curves'!BB71</f>
        <v>1.705761189334698E-2</v>
      </c>
      <c r="I71" s="193">
        <f>'All Curves'!BK71</f>
        <v>2.6994276200477341E-2</v>
      </c>
      <c r="J71" s="193">
        <f>'All Curves'!BT71</f>
        <v>2.4891532461889465E-2</v>
      </c>
      <c r="K71" s="697">
        <f>'All Curves'!CC71</f>
        <v>3.686786296163036E-2</v>
      </c>
      <c r="L71" s="697">
        <f>'All Curves'!CL71</f>
        <v>2.9168553811869558E-2</v>
      </c>
    </row>
    <row r="72" spans="2:12">
      <c r="B72" s="2" t="s">
        <v>313</v>
      </c>
      <c r="C72" s="193">
        <f>'All Curves'!I72</f>
        <v>3.1556660939524139E-2</v>
      </c>
      <c r="D72" s="193">
        <f>'All Curves'!R72</f>
        <v>1.2018877193467281E-2</v>
      </c>
      <c r="E72" s="193">
        <f>'All Curves'!AA72</f>
        <v>2.0042604360161143E-2</v>
      </c>
      <c r="F72" s="193">
        <f>'All Curves'!AJ72</f>
        <v>1.024846775873578E-2</v>
      </c>
      <c r="G72" s="193">
        <f>'All Curves'!AS72</f>
        <v>2.3543712686888263E-2</v>
      </c>
      <c r="H72" s="193">
        <f>'All Curves'!BB72</f>
        <v>1.7526701841353409E-2</v>
      </c>
      <c r="I72" s="193">
        <f>'All Curves'!BK72</f>
        <v>2.7279665890763471E-2</v>
      </c>
      <c r="J72" s="193">
        <f>'All Curves'!BT72</f>
        <v>2.508191760887013E-2</v>
      </c>
      <c r="K72" s="697">
        <f>'All Curves'!CC72</f>
        <v>3.7026951543751574E-2</v>
      </c>
      <c r="L72" s="697">
        <f>'All Curves'!CL72</f>
        <v>2.9450990337836602E-2</v>
      </c>
    </row>
    <row r="73" spans="2:12">
      <c r="B73" s="2" t="s">
        <v>314</v>
      </c>
      <c r="C73" s="193">
        <f>'All Curves'!I73</f>
        <v>3.1770817140597041E-2</v>
      </c>
      <c r="D73" s="193">
        <f>'All Curves'!R73</f>
        <v>1.2484368846100491E-2</v>
      </c>
      <c r="E73" s="193">
        <f>'All Curves'!AA73</f>
        <v>2.0415096672063315E-2</v>
      </c>
      <c r="F73" s="193">
        <f>'All Curves'!AJ73</f>
        <v>1.0748394060841049E-2</v>
      </c>
      <c r="G73" s="193">
        <f>'All Curves'!AS73</f>
        <v>2.382943082214517E-2</v>
      </c>
      <c r="H73" s="193">
        <f>'All Curves'!BB73</f>
        <v>1.7960931445947237E-2</v>
      </c>
      <c r="I73" s="193">
        <f>'All Curves'!BK73</f>
        <v>2.7543178654776845E-2</v>
      </c>
      <c r="J73" s="193">
        <f>'All Curves'!BT73</f>
        <v>2.5313291033488561E-2</v>
      </c>
      <c r="K73" s="697">
        <f>'All Curves'!CC73</f>
        <v>3.7173896485995339E-2</v>
      </c>
      <c r="L73" s="697">
        <f>'All Curves'!CL73</f>
        <v>2.9711645968747646E-2</v>
      </c>
    </row>
    <row r="74" spans="2:12">
      <c r="B74" s="2" t="s">
        <v>315</v>
      </c>
      <c r="C74" s="193">
        <f>'All Curves'!I74</f>
        <v>3.1940477895748387E-2</v>
      </c>
      <c r="D74" s="193">
        <f>'All Curves'!R74</f>
        <v>1.2969378279818367E-2</v>
      </c>
      <c r="E74" s="193">
        <f>'All Curves'!AA74</f>
        <v>2.0771155096732441E-2</v>
      </c>
      <c r="F74" s="193">
        <f>'All Curves'!AJ74</f>
        <v>1.1261494268762329E-2</v>
      </c>
      <c r="G74" s="193">
        <f>'All Curves'!AS74</f>
        <v>2.4129661657958046E-2</v>
      </c>
      <c r="H74" s="193">
        <f>'All Curves'!BB74</f>
        <v>1.8357002129440136E-2</v>
      </c>
      <c r="I74" s="193">
        <f>'All Curves'!BK74</f>
        <v>2.7782474289925085E-2</v>
      </c>
      <c r="J74" s="193">
        <f>'All Curves'!BT74</f>
        <v>2.5589201125800098E-2</v>
      </c>
      <c r="K74" s="697">
        <f>'All Curves'!CC74</f>
        <v>3.7308422388550255E-2</v>
      </c>
      <c r="L74" s="697">
        <f>'All Curves'!CL74</f>
        <v>2.9948175272537458E-2</v>
      </c>
    </row>
    <row r="75" spans="2:12">
      <c r="B75" s="2" t="s">
        <v>316</v>
      </c>
      <c r="C75" s="193">
        <f>'All Curves'!I75</f>
        <v>3.2104602544500649E-2</v>
      </c>
      <c r="D75" s="193">
        <f>'All Curves'!R75</f>
        <v>1.3438706795978694E-2</v>
      </c>
      <c r="E75" s="193">
        <f>'All Curves'!AA75</f>
        <v>2.1115657672001076E-2</v>
      </c>
      <c r="F75" s="193">
        <f>'All Curves'!AJ75</f>
        <v>1.175801931973286E-2</v>
      </c>
      <c r="G75" s="193">
        <f>'All Curves'!AS75</f>
        <v>2.4420132617594348E-2</v>
      </c>
      <c r="H75" s="193">
        <f>'All Curves'!BB75</f>
        <v>1.8740233496330916E-2</v>
      </c>
      <c r="I75" s="193">
        <f>'All Curves'!BK75</f>
        <v>2.8013977183154459E-2</v>
      </c>
      <c r="J75" s="193">
        <f>'All Curves'!BT75</f>
        <v>2.5856135620731635E-2</v>
      </c>
      <c r="K75" s="697">
        <f>'All Curves'!CC75</f>
        <v>3.743060548951016E-2</v>
      </c>
      <c r="L75" s="697">
        <f>'All Curves'!CL75</f>
        <v>3.017700120602651E-2</v>
      </c>
    </row>
    <row r="76" spans="2:12">
      <c r="B76" s="2" t="s">
        <v>317</v>
      </c>
      <c r="C76" s="193">
        <f>'All Curves'!I76</f>
        <v>3.2263457703380682E-2</v>
      </c>
      <c r="D76" s="193">
        <f>'All Curves'!R76</f>
        <v>1.3893102722038142E-2</v>
      </c>
      <c r="E76" s="193">
        <f>'All Curves'!AA76</f>
        <v>2.1449157962262211E-2</v>
      </c>
      <c r="F76" s="193">
        <f>'All Curves'!AJ76</f>
        <v>1.2238759554489276E-2</v>
      </c>
      <c r="G76" s="193">
        <f>'All Curves'!AS76</f>
        <v>2.4701311987952668E-2</v>
      </c>
      <c r="H76" s="193">
        <f>'All Curves'!BB76</f>
        <v>1.911123987606711E-2</v>
      </c>
      <c r="I76" s="193">
        <f>'All Curves'!BK76</f>
        <v>2.8238061889865662E-2</v>
      </c>
      <c r="J76" s="193">
        <f>'All Curves'!BT76</f>
        <v>2.6114525475900319E-2</v>
      </c>
      <c r="K76" s="697">
        <f>'All Curves'!CC76</f>
        <v>3.754199425089344E-2</v>
      </c>
      <c r="L76" s="697">
        <f>'All Curves'!CL76</f>
        <v>3.0398494062963577E-2</v>
      </c>
    </row>
    <row r="77" spans="2:12">
      <c r="B77" s="2" t="s">
        <v>318</v>
      </c>
      <c r="C77" s="193">
        <f>'All Curves'!I77</f>
        <v>3.2417293139344272E-2</v>
      </c>
      <c r="D77" s="193">
        <f>'All Curves'!R77</f>
        <v>1.4333267518239046E-2</v>
      </c>
      <c r="E77" s="193">
        <f>'All Curves'!AA77</f>
        <v>2.1772174731938598E-2</v>
      </c>
      <c r="F77" s="193">
        <f>'All Curves'!AJ77</f>
        <v>1.2704455856448416E-2</v>
      </c>
      <c r="G77" s="193">
        <f>'All Curves'!AS77</f>
        <v>2.4973638569828482E-2</v>
      </c>
      <c r="H77" s="193">
        <f>'All Curves'!BB77</f>
        <v>1.9470597022770209E-2</v>
      </c>
      <c r="I77" s="193">
        <f>'All Curves'!BK77</f>
        <v>2.8455079340485412E-2</v>
      </c>
      <c r="J77" s="193">
        <f>'All Curves'!BT77</f>
        <v>2.6364774494520349E-2</v>
      </c>
      <c r="K77" s="697">
        <f>'All Curves'!CC77</f>
        <v>3.7644490224605143E-2</v>
      </c>
      <c r="L77" s="697">
        <f>'All Curves'!CL77</f>
        <v>3.0613000778809019E-2</v>
      </c>
    </row>
    <row r="78" spans="2:12">
      <c r="B78" s="2" t="s">
        <v>319</v>
      </c>
      <c r="C78" s="193">
        <f>'All Curves'!I78</f>
        <v>3.2566343080132842E-2</v>
      </c>
      <c r="D78" s="193">
        <f>'All Curves'!R78</f>
        <v>1.4759859389898766E-2</v>
      </c>
      <c r="E78" s="193">
        <f>'All Curves'!AA78</f>
        <v>2.2085194637720074E-2</v>
      </c>
      <c r="F78" s="193">
        <f>'All Curves'!AJ78</f>
        <v>1.3155803460477511E-2</v>
      </c>
      <c r="G78" s="193">
        <f>'All Curves'!AS78</f>
        <v>2.5237523962669428E-2</v>
      </c>
      <c r="H78" s="193">
        <f>'All Curves'!BB78</f>
        <v>1.9818845096123638E-2</v>
      </c>
      <c r="I78" s="193">
        <f>'All Curves'!BK78</f>
        <v>2.8665358674198949E-2</v>
      </c>
      <c r="J78" s="193">
        <f>'All Curves'!BT78</f>
        <v>2.6607261430924289E-2</v>
      </c>
      <c r="K78" s="697">
        <f>'All Curves'!CC78</f>
        <v>3.7739975544304416E-2</v>
      </c>
      <c r="L78" s="697">
        <f>'All Curves'!CL78</f>
        <v>3.0820846743928154E-2</v>
      </c>
    </row>
    <row r="79" spans="2:12">
      <c r="B79" s="2" t="s">
        <v>320</v>
      </c>
      <c r="C79" s="193">
        <f>'All Curves'!I79</f>
        <v>3.2710827404218934E-2</v>
      </c>
      <c r="D79" s="193">
        <f>'All Curves'!R79</f>
        <v>1.5173496570690004E-2</v>
      </c>
      <c r="E79" s="193">
        <f>'All Curves'!AA79</f>
        <v>2.2388674674678644E-2</v>
      </c>
      <c r="F79" s="193">
        <f>'All Curves'!AJ79</f>
        <v>1.3593455415046973E-2</v>
      </c>
      <c r="G79" s="193">
        <f>'All Curves'!AS79</f>
        <v>2.5493354640133692E-2</v>
      </c>
      <c r="H79" s="193">
        <f>'All Curves'!BB79</f>
        <v>2.0156491370062923E-2</v>
      </c>
      <c r="I79" s="193">
        <f>'All Curves'!BK79</f>
        <v>2.8869208904495514E-2</v>
      </c>
      <c r="J79" s="193">
        <f>'All Curves'!BT79</f>
        <v>2.6842341903169809E-2</v>
      </c>
      <c r="K79" s="697">
        <f>'All Curves'!CC79</f>
        <v>3.7830313705428997E-2</v>
      </c>
      <c r="L79" s="697">
        <f>'All Curves'!CL79</f>
        <v>3.1022337450470339E-2</v>
      </c>
    </row>
    <row r="80" spans="2:12">
      <c r="B80" s="2" t="s">
        <v>321</v>
      </c>
      <c r="C80" s="193">
        <f>'All Curves'!I80</f>
        <v>3.2850952723056048E-2</v>
      </c>
      <c r="D80" s="193">
        <f>'All Curves'!R80</f>
        <v>1.5574760311349189E-2</v>
      </c>
      <c r="E80" s="193">
        <f>'All Curves'!AA80</f>
        <v>2.268304440211999E-2</v>
      </c>
      <c r="F80" s="193">
        <f>'All Curves'!AJ80</f>
        <v>1.4018025734011674E-2</v>
      </c>
      <c r="G80" s="193">
        <f>'All Curves'!AS80</f>
        <v>2.5741493838463025E-2</v>
      </c>
      <c r="H80" s="193">
        <f>'All Curves'!BB80</f>
        <v>2.0484012697829623E-2</v>
      </c>
      <c r="I80" s="193">
        <f>'All Curves'!BK80</f>
        <v>2.9066920434256849E-2</v>
      </c>
      <c r="J80" s="193">
        <f>'All Curves'!BT80</f>
        <v>2.7070350133040044E-2</v>
      </c>
      <c r="K80" s="697">
        <f>'All Curves'!CC80</f>
        <v>3.7917033495166175E-2</v>
      </c>
      <c r="L80" s="697">
        <f>'All Curves'!CL80</f>
        <v>3.121775999046128E-2</v>
      </c>
    </row>
    <row r="81" spans="2:12">
      <c r="B81" s="2" t="s">
        <v>322</v>
      </c>
      <c r="C81" s="193">
        <f>'All Curves'!I81</f>
        <v>3.2986913366833903E-2</v>
      </c>
      <c r="D81" s="193">
        <f>'All Curves'!R81</f>
        <v>1.5964197604189323E-2</v>
      </c>
      <c r="E81" s="193">
        <f>'All Curves'!AA81</f>
        <v>2.2968707971967595E-2</v>
      </c>
      <c r="F81" s="193">
        <f>'All Curves'!AJ81</f>
        <v>1.4430092270005135E-2</v>
      </c>
      <c r="G81" s="193">
        <f>'All Curves'!AS81</f>
        <v>2.5982283277071749E-2</v>
      </c>
      <c r="H81" s="193">
        <f>'All Curves'!BB81</f>
        <v>2.0801857758578235E-2</v>
      </c>
      <c r="I81" s="193">
        <f>'All Curves'!BK81</f>
        <v>2.9258766436007333E-2</v>
      </c>
      <c r="J81" s="193">
        <f>'All Curves'!BT81</f>
        <v>2.7291600531342386E-2</v>
      </c>
      <c r="K81" s="697">
        <f>'All Curves'!CC81</f>
        <v>3.8000379210002544E-2</v>
      </c>
      <c r="L81" s="697">
        <f>'All Curves'!CL81</f>
        <v>3.1407384420560014E-2</v>
      </c>
    </row>
    <row r="82" spans="2:12">
      <c r="B82" s="2" t="s">
        <v>323</v>
      </c>
      <c r="C82" s="193">
        <f>'All Curves'!I82</f>
        <v>3.3118892283629187E-2</v>
      </c>
      <c r="D82" s="193">
        <f>'All Curves'!R82</f>
        <v>1.6342323670266445E-2</v>
      </c>
      <c r="E82" s="193">
        <f>'All Curves'!AA82</f>
        <v>2.3246045979817831E-2</v>
      </c>
      <c r="F82" s="193">
        <f>'All Curves'!AJ82</f>
        <v>1.4830199337712902E-2</v>
      </c>
      <c r="G82" s="193">
        <f>'All Curves'!AS82</f>
        <v>2.621604472849115E-2</v>
      </c>
      <c r="H82" s="193">
        <f>'All Curves'!BB82</f>
        <v>2.1110449107789586E-2</v>
      </c>
      <c r="I82" s="193">
        <f>'All Curves'!BK82</f>
        <v>2.9445004111121609E-2</v>
      </c>
      <c r="J82" s="193">
        <f>'All Curves'!BT82</f>
        <v>2.7506389144317689E-2</v>
      </c>
      <c r="K82" s="697">
        <f>'All Curves'!CC82</f>
        <v>3.8080261997657017E-2</v>
      </c>
      <c r="L82" s="697">
        <f>'All Curves'!CL82</f>
        <v>3.1591465007121844E-2</v>
      </c>
    </row>
    <row r="83" spans="2:12">
      <c r="B83" s="2" t="s">
        <v>324</v>
      </c>
      <c r="C83" s="193">
        <f>'All Curves'!I83</f>
        <v>3.3247061860702143E-2</v>
      </c>
      <c r="D83" s="193">
        <f>'All Curves'!R83</f>
        <v>1.6709624232977838E-2</v>
      </c>
      <c r="E83" s="193">
        <f>'All Curves'!AA83</f>
        <v>2.3515417156493967E-2</v>
      </c>
      <c r="F83" s="193">
        <f>'All Curves'!AJ83</f>
        <v>1.521886011206397E-2</v>
      </c>
      <c r="G83" s="193">
        <f>'All Curves'!AS83</f>
        <v>2.6443081452834916E-2</v>
      </c>
      <c r="H83" s="193">
        <f>'All Curves'!BB83</f>
        <v>2.1410185051193409E-2</v>
      </c>
      <c r="I83" s="193">
        <f>'All Curves'!BK83</f>
        <v>2.9625875840197269E-2</v>
      </c>
      <c r="J83" s="193">
        <f>'All Curves'!BT83</f>
        <v>2.7714994975151619E-2</v>
      </c>
      <c r="K83" s="697">
        <f>'All Curves'!CC83</f>
        <v>3.8156577476093023E-2</v>
      </c>
      <c r="L83" s="697">
        <f>'All Curves'!CL83</f>
        <v>3.1770241363638485E-2</v>
      </c>
    </row>
    <row r="84" spans="2:12">
      <c r="B84" s="2" t="s">
        <v>325</v>
      </c>
      <c r="C84" s="193">
        <f>'All Curves'!I84</f>
        <v>3.3371584675689903E-2</v>
      </c>
      <c r="D84" s="193">
        <f>'All Curves'!R84</f>
        <v>1.7066557599181298E-2</v>
      </c>
      <c r="E84" s="193">
        <f>'All Curves'!AA84</f>
        <v>2.3777159915905344E-2</v>
      </c>
      <c r="F84" s="193">
        <f>'All Curves'!AJ84</f>
        <v>1.55965588235496E-2</v>
      </c>
      <c r="G84" s="193">
        <f>'All Curves'!AS84</f>
        <v>2.6663679510232186E-2</v>
      </c>
      <c r="H84" s="193">
        <f>'All Curves'!BB84</f>
        <v>2.1701441359671669E-2</v>
      </c>
      <c r="I84" s="193">
        <f>'All Curves'!BK84</f>
        <v>2.9801610235408171E-2</v>
      </c>
      <c r="J84" s="193">
        <f>'All Curves'!BT84</f>
        <v>2.7917681192992871E-2</v>
      </c>
      <c r="K84" s="697">
        <f>'All Curves'!CC84</f>
        <v>3.8229206483322731E-2</v>
      </c>
      <c r="L84" s="697">
        <f>'All Curves'!CL84</f>
        <v>3.1943939491254625E-2</v>
      </c>
    </row>
    <row r="85" spans="2:12">
      <c r="B85" s="2" t="s">
        <v>326</v>
      </c>
      <c r="C85" s="193">
        <f>'All Curves'!I85</f>
        <v>3.3492614184580827E-2</v>
      </c>
      <c r="D85" s="193">
        <f>'All Curves'!R85</f>
        <v>1.7413556566583166E-2</v>
      </c>
      <c r="E85" s="193">
        <f>'All Curves'!AA85</f>
        <v>2.403159377325359E-2</v>
      </c>
      <c r="F85" s="193">
        <f>'All Curves'!AJ85</f>
        <v>1.5963752770415729E-2</v>
      </c>
      <c r="G85" s="193">
        <f>'All Curves'!AS85</f>
        <v>2.6878108963169556E-2</v>
      </c>
      <c r="H85" s="193">
        <f>'All Curves'!BB85</f>
        <v>2.1984572840666017E-2</v>
      </c>
      <c r="I85" s="193">
        <f>'All Curves'!BK85</f>
        <v>2.9972423104447588E-2</v>
      </c>
      <c r="J85" s="193">
        <f>'All Curves'!BT85</f>
        <v>2.8114696240491011E-2</v>
      </c>
      <c r="K85" s="697">
        <f>'All Curves'!CC85</f>
        <v>3.8298078956898296E-2</v>
      </c>
      <c r="L85" s="697">
        <f>'All Curves'!CL85</f>
        <v>3.2112772731860417E-2</v>
      </c>
    </row>
    <row r="86" spans="2:12">
      <c r="B86" s="2" t="s">
        <v>327</v>
      </c>
      <c r="C86" s="193">
        <f>'All Curves'!I86</f>
        <v>3.3610295352590747E-2</v>
      </c>
      <c r="D86" s="193">
        <f>'All Curves'!R86</f>
        <v>1.775103017408064E-2</v>
      </c>
      <c r="E86" s="193">
        <f>'All Curves'!AA86</f>
        <v>2.4279020646081895E-2</v>
      </c>
      <c r="F86" s="193">
        <f>'All Curves'!AJ86</f>
        <v>1.6320874165301813E-2</v>
      </c>
      <c r="G86" s="193">
        <f>'All Curves'!AS86</f>
        <v>2.7086624979368423E-2</v>
      </c>
      <c r="H86" s="193">
        <f>'All Curves'!BB86</f>
        <v>2.2259914779904522E-2</v>
      </c>
      <c r="I86" s="193">
        <f>'All Curves'!BK86</f>
        <v>3.0138518334607012E-2</v>
      </c>
      <c r="J86" s="193">
        <f>'All Curves'!BT86</f>
        <v>2.8306274849657642E-2</v>
      </c>
      <c r="K86" s="697">
        <f>'All Curves'!CC86</f>
        <v>3.8363363913821891E-2</v>
      </c>
      <c r="L86" s="697">
        <f>'All Curves'!CL86</f>
        <v>3.2276942642212925E-2</v>
      </c>
    </row>
    <row r="87" spans="2:12">
      <c r="B87" s="2" t="s">
        <v>328</v>
      </c>
      <c r="C87" s="193">
        <f>'All Curves'!I87</f>
        <v>3.3724765233394516E-2</v>
      </c>
      <c r="D87" s="193">
        <f>'All Curves'!R87</f>
        <v>1.8079365309940476E-2</v>
      </c>
      <c r="E87" s="193">
        <f>'All Curves'!AA87</f>
        <v>2.4519726049304191E-2</v>
      </c>
      <c r="F87" s="193">
        <f>'All Curves'!AJ87</f>
        <v>1.666833183200378E-2</v>
      </c>
      <c r="G87" s="193">
        <f>'All Curves'!AS87</f>
        <v>2.728946884466521E-2</v>
      </c>
      <c r="H87" s="193">
        <f>'All Curves'!BB87</f>
        <v>2.2527784265763851E-2</v>
      </c>
      <c r="I87" s="193">
        <f>'All Curves'!BK87</f>
        <v>3.0300088704603656E-2</v>
      </c>
      <c r="J87" s="193">
        <f>'All Curves'!BT87</f>
        <v>2.8492638974780604E-2</v>
      </c>
      <c r="K87" s="697">
        <f>'All Curves'!CC87</f>
        <v>3.8425281046807536E-2</v>
      </c>
      <c r="L87" s="697">
        <f>'All Curves'!CL87</f>
        <v>3.243663979661382E-2</v>
      </c>
    </row>
    <row r="88" spans="2:12">
      <c r="B88" s="2" t="s">
        <v>329</v>
      </c>
      <c r="C88" s="193">
        <f>'All Curves'!I88</f>
        <v>3.3836153501577648E-2</v>
      </c>
      <c r="D88" s="193">
        <f>'All Curves'!R88</f>
        <v>1.8398928191102781E-2</v>
      </c>
      <c r="E88" s="193">
        <f>'All Curves'!AA88</f>
        <v>2.4753980194157865E-2</v>
      </c>
      <c r="F88" s="193">
        <f>'All Curves'!AJ88</f>
        <v>1.7006512766361226E-2</v>
      </c>
      <c r="G88" s="193">
        <f>'All Curves'!AS88</f>
        <v>2.7486868894348815E-2</v>
      </c>
      <c r="H88" s="193">
        <f>'All Curves'!BB88</f>
        <v>2.2788481407263195E-2</v>
      </c>
      <c r="I88" s="193">
        <f>'All Curves'!BK88</f>
        <v>3.0457316630954301E-2</v>
      </c>
      <c r="J88" s="193">
        <f>'All Curves'!BT88</f>
        <v>2.8673998650189603E-2</v>
      </c>
      <c r="K88" s="697">
        <f>'All Curves'!CC88</f>
        <v>3.8484037835888607E-2</v>
      </c>
      <c r="L88" s="697">
        <f>'All Curves'!CL88</f>
        <v>3.2592044524867303E-2</v>
      </c>
    </row>
    <row r="89" spans="2:12">
      <c r="B89" s="2" t="s">
        <v>330</v>
      </c>
      <c r="C89" s="193">
        <f>'All Curves'!I89</f>
        <v>3.3944582942659229E-2</v>
      </c>
      <c r="D89" s="193">
        <f>'All Curves'!R89</f>
        <v>1.8710065725501046E-2</v>
      </c>
      <c r="E89" s="193">
        <f>'All Curves'!AA89</f>
        <v>2.4982038999974199E-2</v>
      </c>
      <c r="F89" s="193">
        <f>'All Curves'!AJ89</f>
        <v>1.7335783573796615E-2</v>
      </c>
      <c r="G89" s="193">
        <f>'All Curves'!AS89</f>
        <v>2.7679041370511692E-2</v>
      </c>
      <c r="H89" s="193">
        <f>'All Curves'!BB89</f>
        <v>2.3042290455524972E-2</v>
      </c>
      <c r="I89" s="193">
        <f>'All Curves'!BK89</f>
        <v>3.0610374854969979E-2</v>
      </c>
      <c r="J89" s="193">
        <f>'All Curves'!BT89</f>
        <v>2.885055277983839E-2</v>
      </c>
      <c r="K89" s="697">
        <f>'All Curves'!CC89</f>
        <v>3.8539830656558083E-2</v>
      </c>
      <c r="L89" s="697">
        <f>'All Curves'!CL89</f>
        <v>3.2743327591521654E-2</v>
      </c>
    </row>
    <row r="90" spans="2:12">
      <c r="B90" s="2" t="s">
        <v>331</v>
      </c>
      <c r="C90" s="193">
        <f>'All Curves'!I90</f>
        <v>3.405016990457721E-2</v>
      </c>
      <c r="D90" s="193">
        <f>'All Curves'!R90</f>
        <v>1.9013106768049903E-2</v>
      </c>
      <c r="E90" s="193">
        <f>'All Curves'!AA90</f>
        <v>2.520414502672752E-2</v>
      </c>
      <c r="F90" s="193">
        <f>'All Curves'!AJ90</f>
        <v>1.7656491794728169E-2</v>
      </c>
      <c r="G90" s="193">
        <f>'All Curves'!AS90</f>
        <v>2.7866191212180924E-2</v>
      </c>
      <c r="H90" s="193">
        <f>'All Curves'!BB90</f>
        <v>2.328948083751281E-2</v>
      </c>
      <c r="I90" s="193">
        <f>'All Curves'!BK90</f>
        <v>3.0759427075810031E-2</v>
      </c>
      <c r="J90" s="193">
        <f>'All Curves'!BT90</f>
        <v>2.9022489864947154E-2</v>
      </c>
      <c r="K90" s="697">
        <f>'All Curves'!CC90</f>
        <v>3.8592844990015474E-2</v>
      </c>
      <c r="L90" s="697">
        <f>'All Curves'!CL90</f>
        <v>3.2890650821777889E-2</v>
      </c>
    </row>
    <row r="91" spans="2:12">
      <c r="B91" s="2" t="s">
        <v>332</v>
      </c>
      <c r="C91" s="193">
        <f>'All Curves'!I91</f>
        <v>3.4153024714126623E-2</v>
      </c>
      <c r="D91" s="193">
        <f>'All Curves'!R91</f>
        <v>1.9308363279858298E-2</v>
      </c>
      <c r="E91" s="193">
        <f>'All Curves'!AA91</f>
        <v>2.5420528335508896E-2</v>
      </c>
      <c r="F91" s="193">
        <f>'All Curves'!AJ91</f>
        <v>1.7968967127930391E-2</v>
      </c>
      <c r="G91" s="193">
        <f>'All Curves'!AS91</f>
        <v>2.804851278430176E-2</v>
      </c>
      <c r="H91" s="193">
        <f>'All Curves'!BB91</f>
        <v>2.3530308109947384E-2</v>
      </c>
      <c r="I91" s="193">
        <f>'All Curves'!BK91</f>
        <v>3.0904628534474066E-2</v>
      </c>
      <c r="J91" s="193">
        <f>'All Curves'!BT91</f>
        <v>2.9189988675298428E-2</v>
      </c>
      <c r="K91" s="697">
        <f>'All Curves'!CC91</f>
        <v>3.8643256190366682E-2</v>
      </c>
      <c r="L91" s="697">
        <f>'All Curves'!CL91</f>
        <v>3.3034167678884341E-2</v>
      </c>
    </row>
    <row r="92" spans="2:12">
      <c r="B92" s="2" t="s">
        <v>333</v>
      </c>
      <c r="C92" s="193">
        <f>'All Curves'!I92</f>
        <v>3.4253252061484218E-2</v>
      </c>
      <c r="D92" s="193">
        <f>'All Curves'!R92</f>
        <v>1.9596131399256977E-2</v>
      </c>
      <c r="E92" s="193">
        <f>'All Curves'!AA92</f>
        <v>2.5631407283339236E-2</v>
      </c>
      <c r="F92" s="193">
        <f>'All Curves'!AJ92</f>
        <v>1.8273522560891431E-2</v>
      </c>
      <c r="G92" s="193">
        <f>'All Curves'!AS92</f>
        <v>2.8226190551020158E-2</v>
      </c>
      <c r="H92" s="193">
        <f>'All Curves'!BB92</f>
        <v>2.3765014840501086E-2</v>
      </c>
      <c r="I92" s="193">
        <f>'All Curves'!BK92</f>
        <v>3.1046126553110787E-2</v>
      </c>
      <c r="J92" s="193">
        <f>'All Curves'!BT92</f>
        <v>2.9353218869213604E-2</v>
      </c>
      <c r="K92" s="697">
        <f>'All Curves'!CC92</f>
        <v>3.869123025560528E-2</v>
      </c>
      <c r="L92" s="697">
        <f>'All Curves'!CL92</f>
        <v>3.3174023797349683E-2</v>
      </c>
    </row>
    <row r="93" spans="2:12">
      <c r="B93" s="2" t="s">
        <v>334</v>
      </c>
      <c r="C93" s="193">
        <f>'All Curves'!I93</f>
        <v>3.4350951355637704E-2</v>
      </c>
      <c r="D93" s="193">
        <f>'All Curves'!R93</f>
        <v>1.9876692432369003E-2</v>
      </c>
      <c r="E93" s="193">
        <f>'All Curves'!AA93</f>
        <v>2.5836989258092968E-2</v>
      </c>
      <c r="F93" s="193">
        <f>'All Curves'!AJ93</f>
        <v>1.857045541531388E-2</v>
      </c>
      <c r="G93" s="193">
        <f>'All Curves'!AS93</f>
        <v>2.8399399698170624E-2</v>
      </c>
      <c r="H93" s="193">
        <f>'All Curves'!BB93</f>
        <v>2.3993831422656209E-2</v>
      </c>
      <c r="I93" s="193">
        <f>'All Curves'!BK93</f>
        <v>3.1184061033581179E-2</v>
      </c>
      <c r="J93" s="193">
        <f>'All Curves'!BT93</f>
        <v>2.9512341566728439E-2</v>
      </c>
      <c r="K93" s="697">
        <f>'All Curves'!CC93</f>
        <v>3.8736923875335005E-2</v>
      </c>
      <c r="L93" s="697">
        <f>'All Curves'!CL93</f>
        <v>3.3310357475869079E-2</v>
      </c>
    </row>
    <row r="94" spans="2:12">
      <c r="B94" s="2" t="s">
        <v>335</v>
      </c>
      <c r="C94" s="193">
        <f>'All Curves'!I94</f>
        <v>3.4446217053253569E-2</v>
      </c>
      <c r="D94" s="193">
        <f>'All Curves'!R94</f>
        <v>2.0150313770186612E-2</v>
      </c>
      <c r="E94" s="193">
        <f>'All Curves'!AA94</f>
        <v>2.603747135873502E-2</v>
      </c>
      <c r="F94" s="193">
        <f>'All Curves'!AJ94</f>
        <v>1.8860048315096689E-2</v>
      </c>
      <c r="G94" s="193">
        <f>'All Curves'!AS94</f>
        <v>2.8568306709381819E-2</v>
      </c>
      <c r="H94" s="193">
        <f>'All Curves'!BB94</f>
        <v>2.4216976829982029E-2</v>
      </c>
      <c r="I94" s="193">
        <f>'All Curves'!BK94</f>
        <v>3.1318564918824121E-2</v>
      </c>
      <c r="J94" s="193">
        <f>'All Curves'!BT94</f>
        <v>2.9667509880039189E-2</v>
      </c>
      <c r="K94" s="697">
        <f>'All Curves'!CC94</f>
        <v>3.8780485442455159E-2</v>
      </c>
      <c r="L94" s="697">
        <f>'All Curves'!CL94</f>
        <v>3.3443300133469744E-2</v>
      </c>
    </row>
    <row r="95" spans="2:12">
      <c r="B95" s="2" t="s">
        <v>336</v>
      </c>
      <c r="C95" s="193">
        <f>'All Curves'!I95</f>
        <v>3.453913896327454E-2</v>
      </c>
      <c r="D95" s="193">
        <f>'All Curves'!R95</f>
        <v>2.0417249738438503E-2</v>
      </c>
      <c r="E95" s="193">
        <f>'All Curves'!AA95</f>
        <v>2.6233041025556014E-2</v>
      </c>
      <c r="F95" s="193">
        <f>'All Curves'!AJ95</f>
        <v>1.9142570083424237E-2</v>
      </c>
      <c r="G95" s="193">
        <f>'All Curves'!AS95</f>
        <v>2.8733069899785413E-2</v>
      </c>
      <c r="H95" s="193">
        <f>'All Curves'!BB95</f>
        <v>2.4434659315020424E-2</v>
      </c>
      <c r="I95" s="193">
        <f>'All Curves'!BK95</f>
        <v>3.1449764620221421E-2</v>
      </c>
      <c r="J95" s="193">
        <f>'All Curves'!BT95</f>
        <v>2.9818869404887982E-2</v>
      </c>
      <c r="K95" s="697">
        <f>'All Curves'!CC95</f>
        <v>3.8822055284203572E-2</v>
      </c>
      <c r="L95" s="697">
        <f>'All Curves'!CL95</f>
        <v>3.3572976732038962E-2</v>
      </c>
    </row>
    <row r="96" spans="2:12">
      <c r="B96" s="2" t="s">
        <v>337</v>
      </c>
      <c r="C96" s="193">
        <f>'All Curves'!I96</f>
        <v>3.4629802529306586E-2</v>
      </c>
      <c r="D96" s="193">
        <f>'All Curves'!R96</f>
        <v>2.0677742385924125E-2</v>
      </c>
      <c r="E96" s="193">
        <f>'All Curves'!AA96</f>
        <v>2.6423876624644738E-2</v>
      </c>
      <c r="F96" s="193">
        <f>'All Curves'!AJ96</f>
        <v>1.941827657494466E-2</v>
      </c>
      <c r="G96" s="193">
        <f>'All Curves'!AS96</f>
        <v>2.8893839910919983E-2</v>
      </c>
      <c r="H96" s="193">
        <f>'All Curves'!BB96</f>
        <v>2.4647077057467826E-2</v>
      </c>
      <c r="I96" s="193">
        <f>'All Curves'!BK96</f>
        <v>3.1577780413851508E-2</v>
      </c>
      <c r="J96" s="193">
        <f>'All Curves'!BT96</f>
        <v>2.9966558676205901E-2</v>
      </c>
      <c r="K96" s="697">
        <f>'All Curves'!CC96</f>
        <v>3.8861766218093452E-2</v>
      </c>
      <c r="L96" s="697">
        <f>'All Curves'!CL96</f>
        <v>3.369950616808981E-2</v>
      </c>
    </row>
    <row r="97" spans="2:12">
      <c r="B97" s="2" t="s">
        <v>338</v>
      </c>
      <c r="C97" s="193">
        <f>'All Curves'!I97</f>
        <v>3.4718289091666188E-2</v>
      </c>
      <c r="D97" s="193">
        <f>'All Curves'!R97</f>
        <v>2.0932022216450852E-2</v>
      </c>
      <c r="E97" s="193">
        <f>'All Curves'!AA97</f>
        <v>2.6610147990427491E-2</v>
      </c>
      <c r="F97" s="193">
        <f>'All Curves'!AJ97</f>
        <v>1.968741144845243E-2</v>
      </c>
      <c r="G97" s="193">
        <f>'All Curves'!AS97</f>
        <v>2.905076017008712E-2</v>
      </c>
      <c r="H97" s="193">
        <f>'All Curves'!BB97</f>
        <v>2.4854418765894115E-2</v>
      </c>
      <c r="I97" s="193">
        <f>'All Curves'!BK97</f>
        <v>3.17027268082406E-2</v>
      </c>
      <c r="J97" s="193">
        <f>'All Curves'!BT97</f>
        <v>3.0110709591006701E-2</v>
      </c>
      <c r="K97" s="697">
        <f>'All Curves'!CC97</f>
        <v>3.8899743881259496E-2</v>
      </c>
      <c r="L97" s="697">
        <f>'All Curves'!CL97</f>
        <v>3.3823001636345884E-2</v>
      </c>
    </row>
    <row r="98" spans="2:12">
      <c r="B98" s="2" t="s">
        <v>339</v>
      </c>
      <c r="C98" s="193">
        <f>'All Curves'!I98</f>
        <v>3.4804676130774315E-2</v>
      </c>
      <c r="D98" s="193">
        <f>'All Curves'!R98</f>
        <v>2.1180308869024778E-2</v>
      </c>
      <c r="E98" s="193">
        <f>'All Curves'!AA98</f>
        <v>2.6792016929742424E-2</v>
      </c>
      <c r="F98" s="193">
        <f>'All Curves'!AJ98</f>
        <v>1.9950206884977728E-2</v>
      </c>
      <c r="G98" s="193">
        <f>'All Curves'!AS98</f>
        <v>2.9203967317098956E-2</v>
      </c>
      <c r="H98" s="193">
        <f>'All Curves'!BB98</f>
        <v>2.5056864236838061E-2</v>
      </c>
      <c r="I98" s="193">
        <f>'All Curves'!BK98</f>
        <v>3.1824712885975659E-2</v>
      </c>
      <c r="J98" s="193">
        <f>'All Curves'!BT98</f>
        <v>3.0251447801247222E-2</v>
      </c>
      <c r="K98" s="697">
        <f>'All Curves'!CC98</f>
        <v>3.8936107341528858E-2</v>
      </c>
      <c r="L98" s="697">
        <f>'All Curves'!CL98</f>
        <v>3.3943570967483128E-2</v>
      </c>
    </row>
    <row r="99" spans="2:12">
      <c r="B99" s="2" t="s">
        <v>340</v>
      </c>
      <c r="C99" s="193">
        <f>'All Curves'!I99</f>
        <v>3.4889037493428754E-2</v>
      </c>
      <c r="D99" s="193">
        <f>'All Curves'!R99</f>
        <v>2.1422811750514414E-2</v>
      </c>
      <c r="E99" s="193">
        <f>'All Curves'!AA99</f>
        <v>2.6969637690592574E-2</v>
      </c>
      <c r="F99" s="193">
        <f>'All Curves'!AJ99</f>
        <v>2.0206884255733026E-2</v>
      </c>
      <c r="G99" s="193">
        <f>'All Curves'!AS99</f>
        <v>2.9353591601088747E-2</v>
      </c>
      <c r="H99" s="193">
        <f>'All Curves'!BB99</f>
        <v>2.5254584874760955E-2</v>
      </c>
      <c r="I99" s="193">
        <f>'All Curves'!BK99</f>
        <v>3.1943842621322549E-2</v>
      </c>
      <c r="J99" s="193">
        <f>'All Curves'!BT99</f>
        <v>3.0388893079112966E-2</v>
      </c>
      <c r="K99" s="697">
        <f>'All Curves'!CC99</f>
        <v>3.897096933844435E-2</v>
      </c>
      <c r="L99" s="697">
        <f>'All Curves'!CL99</f>
        <v>3.4061316942144426E-2</v>
      </c>
    </row>
    <row r="100" spans="2:12">
      <c r="B100" s="2" t="s">
        <v>341</v>
      </c>
      <c r="C100" s="193">
        <f>'All Curves'!I100</f>
        <v>3.4971443603343477E-2</v>
      </c>
      <c r="D100" s="193">
        <f>'All Curves'!R100</f>
        <v>2.1659730624616014E-2</v>
      </c>
      <c r="E100" s="193">
        <f>'All Curves'!AA100</f>
        <v>2.7143157398433759E-2</v>
      </c>
      <c r="F100" s="193">
        <f>'All Curves'!AJ100</f>
        <v>2.0457654743950782E-2</v>
      </c>
      <c r="G100" s="193">
        <f>'All Curves'!AS100</f>
        <v>2.9499757249805247E-2</v>
      </c>
      <c r="H100" s="193">
        <f>'All Curves'!BB100</f>
        <v>2.5447744176018139E-2</v>
      </c>
      <c r="I100" s="193">
        <f>'All Curves'!BK100</f>
        <v>3.2060215175790052E-2</v>
      </c>
      <c r="J100" s="193">
        <f>'All Curves'!BT100</f>
        <v>3.0523159656961507E-2</v>
      </c>
      <c r="K100" s="697">
        <f>'All Curves'!CC100</f>
        <v>3.900443310755275E-2</v>
      </c>
      <c r="L100" s="697">
        <f>'All Curves'!CL100</f>
        <v>3.4176337583151417E-2</v>
      </c>
    </row>
    <row r="101" spans="2:12">
      <c r="B101" s="2" t="s">
        <v>342</v>
      </c>
      <c r="C101" s="193">
        <f>'All Curves'!I101</f>
        <v>3.5051961657217801E-2</v>
      </c>
      <c r="D101" s="193">
        <f>'All Curves'!R101</f>
        <v>2.1891256160602612E-2</v>
      </c>
      <c r="E101" s="193">
        <f>'All Curves'!AA101</f>
        <v>2.7312716462588371E-2</v>
      </c>
      <c r="F101" s="193">
        <f>'All Curves'!AJ101</f>
        <v>2.0702719924287294E-2</v>
      </c>
      <c r="G101" s="193">
        <f>'All Curves'!AS101</f>
        <v>2.9642582813592E-2</v>
      </c>
      <c r="H101" s="193">
        <f>'All Curves'!BB101</f>
        <v>2.5636498179719691E-2</v>
      </c>
      <c r="I101" s="193">
        <f>'All Curves'!BK101</f>
        <v>3.2173925173408113E-2</v>
      </c>
      <c r="J101" s="193">
        <f>'All Curves'!BT101</f>
        <v>3.0654356543949879E-2</v>
      </c>
      <c r="K101" s="697">
        <f>'All Curves'!CC101</f>
        <v>3.9036581696574535E-2</v>
      </c>
      <c r="L101" s="697">
        <f>'All Curves'!CL101</f>
        <v>3.4288726427658789E-2</v>
      </c>
    </row>
    <row r="102" spans="2:12">
      <c r="B102" s="2" t="s">
        <v>343</v>
      </c>
      <c r="C102" s="193">
        <f>'All Curves'!I102</f>
        <v>3.5130655807480426E-2</v>
      </c>
      <c r="D102" s="193">
        <f>'All Curves'!R102</f>
        <v>2.2117570445022272E-2</v>
      </c>
      <c r="E102" s="193">
        <f>'All Curves'!AA102</f>
        <v>2.7478448955146284E-2</v>
      </c>
      <c r="F102" s="193">
        <f>'All Curves'!AJ102</f>
        <v>2.0942272303129394E-2</v>
      </c>
      <c r="G102" s="193">
        <f>'All Curves'!AS102</f>
        <v>2.9782181486052606E-2</v>
      </c>
      <c r="H102" s="193">
        <f>'All Curves'!BB102</f>
        <v>2.5820995888094833E-2</v>
      </c>
      <c r="I102" s="193">
        <f>'All Curves'!BK102</f>
        <v>3.2285062957326138E-2</v>
      </c>
      <c r="J102" s="193">
        <f>'All Curves'!BT102</f>
        <v>3.0782587821192253E-2</v>
      </c>
      <c r="K102" s="697">
        <f>'All Curves'!CC102</f>
        <v>3.9067489507040198E-2</v>
      </c>
      <c r="L102" s="697">
        <f>'All Curves'!CL102</f>
        <v>3.4398572780838022E-2</v>
      </c>
    </row>
    <row r="103" spans="2:12">
      <c r="B103" s="2" t="s">
        <v>344</v>
      </c>
      <c r="C103" s="193">
        <f>'All Curves'!I103</f>
        <v>3.5207587332755086E-2</v>
      </c>
      <c r="D103" s="193">
        <f>'All Curves'!R103</f>
        <v>2.2338847459234978E-2</v>
      </c>
      <c r="E103" s="193">
        <f>'All Curves'!AA103</f>
        <v>2.7640482964500279E-2</v>
      </c>
      <c r="F103" s="193">
        <f>'All Curves'!AJ103</f>
        <v>2.1176495822849528E-2</v>
      </c>
      <c r="G103" s="193">
        <f>'All Curves'!AS103</f>
        <v>2.9918661403225189E-2</v>
      </c>
      <c r="H103" s="193">
        <f>'All Curves'!BB103</f>
        <v>2.6001379658738166E-2</v>
      </c>
      <c r="I103" s="193">
        <f>'All Curves'!BK103</f>
        <v>3.2393714829192621E-2</v>
      </c>
      <c r="J103" s="193">
        <f>'All Curves'!BT103</f>
        <v>3.090795291712567E-2</v>
      </c>
      <c r="K103" s="697">
        <f>'All Curves'!CC103</f>
        <v>3.9097225834320293E-2</v>
      </c>
      <c r="L103" s="697">
        <f>'All Curves'!CL103</f>
        <v>3.4505961952538522E-2</v>
      </c>
    </row>
    <row r="104" spans="2:12">
      <c r="B104" s="2" t="s">
        <v>345</v>
      </c>
      <c r="C104" s="193">
        <f>'All Curves'!I104</f>
        <v>3.528281479699813E-2</v>
      </c>
      <c r="D104" s="193">
        <f>'All Curves'!R104</f>
        <v>2.2555253525416097E-2</v>
      </c>
      <c r="E104" s="193">
        <f>'All Curves'!AA104</f>
        <v>2.779894092547619E-2</v>
      </c>
      <c r="F104" s="193">
        <f>'All Curves'!AJ104</f>
        <v>2.1405566332784787E-2</v>
      </c>
      <c r="G104" s="193">
        <f>'All Curves'!AS104</f>
        <v>3.0052125922928941E-2</v>
      </c>
      <c r="H104" s="193">
        <f>'All Curves'!BB104</f>
        <v>2.6177785570908885E-2</v>
      </c>
      <c r="I104" s="193">
        <f>'All Curves'!BK104</f>
        <v>3.2499963272648813E-2</v>
      </c>
      <c r="J104" s="193">
        <f>'All Curves'!BT104</f>
        <v>3.1030546864617703E-2</v>
      </c>
      <c r="K104" s="697">
        <f>'All Curves'!CC104</f>
        <v>3.9125855635264051E-2</v>
      </c>
      <c r="L104" s="697">
        <f>'All Curves'!CL104</f>
        <v>3.461097547824199E-2</v>
      </c>
    </row>
    <row r="105" spans="2:12">
      <c r="B105" s="2" t="s">
        <v>346</v>
      </c>
      <c r="C105" s="193">
        <f>'All Curves'!I105</f>
        <v>3.5356394198177155E-2</v>
      </c>
      <c r="D105" s="193">
        <f>'All Curves'!R105</f>
        <v>2.2766947723431352E-2</v>
      </c>
      <c r="E105" s="193">
        <f>'All Curves'!AA105</f>
        <v>2.7953939927845006E-2</v>
      </c>
      <c r="F105" s="193">
        <f>'All Curves'!AJ105</f>
        <v>2.1629652029472535E-2</v>
      </c>
      <c r="G105" s="193">
        <f>'All Curves'!AS105</f>
        <v>3.0182673885795985E-2</v>
      </c>
      <c r="H105" s="193">
        <f>'All Curves'!BB105</f>
        <v>2.6350343767862716E-2</v>
      </c>
      <c r="I105" s="193">
        <f>'All Curves'!BK105</f>
        <v>3.2603887162155676E-2</v>
      </c>
      <c r="J105" s="193">
        <f>'All Curves'!BT105</f>
        <v>3.115046054120918E-2</v>
      </c>
      <c r="K105" s="697">
        <f>'All Curves'!CC105</f>
        <v>3.9153439405438917E-2</v>
      </c>
      <c r="L105" s="697">
        <f>'All Curves'!CL105</f>
        <v>3.4713691325514384E-2</v>
      </c>
    </row>
    <row r="106" spans="2:12">
      <c r="B106" s="2" t="s">
        <v>347</v>
      </c>
      <c r="C106" s="193">
        <f>'All Curves'!I106</f>
        <v>3.5428379107284913E-2</v>
      </c>
      <c r="D106" s="193">
        <f>'All Curves'!R106</f>
        <v>2.2974082280778241E-2</v>
      </c>
      <c r="E106" s="193">
        <f>'All Curves'!AA106</f>
        <v>2.810559200485141E-2</v>
      </c>
      <c r="F106" s="193">
        <f>'All Curves'!AJ106</f>
        <v>2.1848913868459663E-2</v>
      </c>
      <c r="G106" s="193">
        <f>'All Curves'!AS106</f>
        <v>3.0310399859378556E-2</v>
      </c>
      <c r="H106" s="193">
        <f>'All Curves'!BB106</f>
        <v>2.6519178777027141E-2</v>
      </c>
      <c r="I106" s="193">
        <f>'All Curves'!BK106</f>
        <v>3.2705561958261686E-2</v>
      </c>
      <c r="J106" s="193">
        <f>'All Curves'!BT106</f>
        <v>3.1267780893772024E-2</v>
      </c>
      <c r="K106" s="697">
        <f>'All Curves'!CC106</f>
        <v>3.9180033621962984E-2</v>
      </c>
      <c r="L106" s="697">
        <f>'All Curves'!CL106</f>
        <v>3.4814184087053945E-2</v>
      </c>
    </row>
    <row r="107" spans="2:12">
      <c r="B107" s="2" t="s">
        <v>348</v>
      </c>
      <c r="C107" s="193">
        <f>'All Curves'!I107</f>
        <v>3.549882079841149E-2</v>
      </c>
      <c r="D107" s="193">
        <f>'All Curves'!R107</f>
        <v>2.3176802937601382E-2</v>
      </c>
      <c r="E107" s="193">
        <f>'All Curves'!AA107</f>
        <v>2.8254004403251765E-2</v>
      </c>
      <c r="F107" s="193">
        <f>'All Curves'!AJ107</f>
        <v>2.2063505949803996E-2</v>
      </c>
      <c r="G107" s="193">
        <f>'All Curves'!AS107</f>
        <v>3.0435394366594259E-2</v>
      </c>
      <c r="H107" s="193">
        <f>'All Curves'!BB107</f>
        <v>2.6684409809674348E-2</v>
      </c>
      <c r="I107" s="193">
        <f>'All Curves'!BK107</f>
        <v>3.2805059890328891E-2</v>
      </c>
      <c r="J107" s="193">
        <f>'All Curves'!BT107</f>
        <v>3.1382591148747974E-2</v>
      </c>
      <c r="K107" s="697">
        <f>'All Curves'!CC107</f>
        <v>3.9205691199766246E-2</v>
      </c>
      <c r="L107" s="697">
        <f>'All Curves'!CL107</f>
        <v>3.491252516133847E-2</v>
      </c>
    </row>
    <row r="108" spans="2:12">
      <c r="B108" s="2" t="s">
        <v>349</v>
      </c>
      <c r="C108" s="193">
        <f>'All Curves'!I108</f>
        <v>3.5567768370540875E-2</v>
      </c>
      <c r="D108" s="193">
        <f>'All Curves'!R108</f>
        <v>2.3375249288623001E-2</v>
      </c>
      <c r="E108" s="193">
        <f>'All Curves'!AA108</f>
        <v>2.8399279836230917E-2</v>
      </c>
      <c r="F108" s="193">
        <f>'All Curves'!AJ108</f>
        <v>2.2273575879206975E-2</v>
      </c>
      <c r="G108" s="193">
        <f>'All Curves'!AS108</f>
        <v>3.0557744099671824E-2</v>
      </c>
      <c r="H108" s="193">
        <f>'All Curves'!BB108</f>
        <v>2.6846151041608035E-2</v>
      </c>
      <c r="I108" s="193">
        <f>'All Curves'!BK108</f>
        <v>3.2902450127648253E-2</v>
      </c>
      <c r="J108" s="193">
        <f>'All Curves'!BT108</f>
        <v>3.1494971009035089E-2</v>
      </c>
      <c r="K108" s="697">
        <f>'All Curves'!CC108</f>
        <v>3.9230461234341041E-2</v>
      </c>
      <c r="L108" s="697">
        <f>'All Curves'!CL108</f>
        <v>3.500878292179288E-2</v>
      </c>
    </row>
    <row r="109" spans="2:12">
      <c r="B109" s="2" t="s">
        <v>350</v>
      </c>
      <c r="C109" s="193">
        <f>'All Curves'!I109</f>
        <v>3.5635268861678338E-2</v>
      </c>
      <c r="D109" s="193">
        <f>'All Curves'!R109</f>
        <v>2.3569555103672535E-2</v>
      </c>
      <c r="E109" s="193">
        <f>'All Curves'!AA109</f>
        <v>2.8541516720448801E-2</v>
      </c>
      <c r="F109" s="193">
        <f>'All Curves'!AJ109</f>
        <v>2.2479265106556845E-2</v>
      </c>
      <c r="G109" s="193">
        <f>'All Curves'!AS109</f>
        <v>3.0677532120658269E-2</v>
      </c>
      <c r="H109" s="193">
        <f>'All Curves'!BB109</f>
        <v>2.7004511876252302E-2</v>
      </c>
      <c r="I109" s="193">
        <f>'All Curves'!BK109</f>
        <v>3.2997798939793155E-2</v>
      </c>
      <c r="J109" s="193">
        <f>'All Curves'!BT109</f>
        <v>3.1604996838503041E-2</v>
      </c>
      <c r="K109" s="697">
        <f>'All Curves'!CC109</f>
        <v>3.9254389720015048E-2</v>
      </c>
      <c r="L109" s="697">
        <f>'All Curves'!CL109</f>
        <v>3.5103022875317302E-2</v>
      </c>
    </row>
    <row r="110" spans="2:12">
      <c r="B110" s="2" t="s">
        <v>351</v>
      </c>
      <c r="C110" s="193">
        <f>'All Curves'!I110</f>
        <v>3.5701367355866376E-2</v>
      </c>
      <c r="D110" s="193">
        <f>'All Curves'!R110</f>
        <v>2.3759848628361668E-2</v>
      </c>
      <c r="E110" s="193">
        <f>'All Curves'!AA110</f>
        <v>2.8680809398368812E-2</v>
      </c>
      <c r="F110" s="193">
        <f>'All Curves'!AJ110</f>
        <v>2.2680709243514618E-2</v>
      </c>
      <c r="G110" s="193">
        <f>'All Curves'!AS110</f>
        <v>3.0794838049462925E-2</v>
      </c>
      <c r="H110" s="193">
        <f>'All Curves'!BB110</f>
        <v>2.7159597191416696E-2</v>
      </c>
      <c r="I110" s="193">
        <f>'All Curves'!BK110</f>
        <v>3.3091169846995561E-2</v>
      </c>
      <c r="J110" s="193">
        <f>'All Curves'!BT110</f>
        <v>3.1712741835033365E-2</v>
      </c>
      <c r="K110" s="697">
        <f>'All Curves'!CC110</f>
        <v>3.9277519497939117E-2</v>
      </c>
      <c r="L110" s="697">
        <f>'All Curves'!CL110</f>
        <v>3.519530781095126E-2</v>
      </c>
    </row>
    <row r="111" spans="2:12">
      <c r="B111" s="2" t="s">
        <v>352</v>
      </c>
      <c r="C111" s="193">
        <f>'All Curves'!I111</f>
        <v>3.5766107083601728E-2</v>
      </c>
      <c r="D111" s="193">
        <f>'All Curves'!R111</f>
        <v>2.3946252866326789E-2</v>
      </c>
      <c r="E111" s="193">
        <f>'All Curves'!AA111</f>
        <v>2.8817248346921565E-2</v>
      </c>
      <c r="F111" s="193">
        <f>'All Curves'!AJ111</f>
        <v>2.2878038361637376E-2</v>
      </c>
      <c r="G111" s="193">
        <f>'All Curves'!AS111</f>
        <v>3.0909738240332274E-2</v>
      </c>
      <c r="H111" s="193">
        <f>'All Curves'!BB111</f>
        <v>2.7311507570906723E-2</v>
      </c>
      <c r="I111" s="193">
        <f>'All Curves'!BK111</f>
        <v>3.3182623761259578E-2</v>
      </c>
      <c r="J111" s="193">
        <f>'All Curves'!BT111</f>
        <v>3.1818276192909778E-2</v>
      </c>
      <c r="K111" s="697">
        <f>'All Curves'!CC111</f>
        <v>3.929989054067029E-2</v>
      </c>
      <c r="L111" s="697">
        <f>'All Curves'!CL111</f>
        <v>3.5285697939378968E-2</v>
      </c>
    </row>
    <row r="112" spans="2:12">
      <c r="B112" s="2" t="s">
        <v>353</v>
      </c>
      <c r="C112" s="193">
        <f>'All Curves'!I112</f>
        <v>3.5829529516122172E-2</v>
      </c>
      <c r="D112" s="193">
        <f>'All Curves'!R112</f>
        <v>2.4128885844341585E-2</v>
      </c>
      <c r="E112" s="193">
        <f>'All Curves'!AA112</f>
        <v>2.8950920373475464E-2</v>
      </c>
      <c r="F112" s="193">
        <f>'All Curves'!AJ112</f>
        <v>2.3071377272421589E-2</v>
      </c>
      <c r="G112" s="193">
        <f>'All Curves'!AS112</f>
        <v>3.102230594757871E-2</v>
      </c>
      <c r="H112" s="193">
        <f>'All Curves'!BB112</f>
        <v>2.7460339522054733E-2</v>
      </c>
      <c r="I112" s="193">
        <f>'All Curves'!BK112</f>
        <v>3.3272219118872348E-2</v>
      </c>
      <c r="J112" s="193">
        <f>'All Curves'!BT112</f>
        <v>3.1921667255314201E-2</v>
      </c>
      <c r="K112" s="697">
        <f>'All Curves'!CC112</f>
        <v>3.9321540020831103E-2</v>
      </c>
      <c r="L112" s="697">
        <f>'All Curves'!CL112</f>
        <v>3.5374251023930325E-2</v>
      </c>
    </row>
    <row r="113" spans="2:12">
      <c r="B113" s="2" t="s">
        <v>354</v>
      </c>
      <c r="C113" s="193">
        <f>'All Curves'!I113</f>
        <v>3.5891674453995437E-2</v>
      </c>
      <c r="D113" s="193">
        <f>'All Curves'!R113</f>
        <v>2.4307860861501274E-2</v>
      </c>
      <c r="E113" s="193">
        <f>'All Curves'!AA113</f>
        <v>2.9081908800003831E-2</v>
      </c>
      <c r="F113" s="193">
        <f>'All Curves'!AJ113</f>
        <v>2.3260845790528117E-2</v>
      </c>
      <c r="G113" s="193">
        <f>'All Curves'!AS113</f>
        <v>3.1132611481317074E-2</v>
      </c>
      <c r="H113" s="193">
        <f>'All Curves'!BB113</f>
        <v>2.7606185680160156E-2</v>
      </c>
      <c r="I113" s="193">
        <f>'All Curves'!BK113</f>
        <v>3.3360012004917117E-2</v>
      </c>
      <c r="J113" s="193">
        <f>'All Curves'!BT113</f>
        <v>3.2022979657625017E-2</v>
      </c>
      <c r="K113" s="697">
        <f>'All Curves'!CC113</f>
        <v>3.9342502674237556E-2</v>
      </c>
      <c r="L113" s="697">
        <f>'All Curves'!CL113</f>
        <v>3.5461022503674888E-2</v>
      </c>
    </row>
    <row r="114" spans="2:12" ht="13.5" thickBot="1">
      <c r="B114" s="133" t="s">
        <v>355</v>
      </c>
      <c r="C114" s="700">
        <f>'All Curves'!I114</f>
        <v>3.5952580110409471E-2</v>
      </c>
      <c r="D114" s="700">
        <f>'All Curves'!R114</f>
        <v>2.4483286723585573E-2</v>
      </c>
      <c r="E114" s="700">
        <f>'All Curves'!AA114</f>
        <v>2.9210293636272144E-2</v>
      </c>
      <c r="F114" s="700">
        <f>'All Curves'!AJ114</f>
        <v>2.3446558981358168E-2</v>
      </c>
      <c r="G114" s="700">
        <f>'All Curves'!AS114</f>
        <v>3.1240722353906403E-2</v>
      </c>
      <c r="H114" s="700">
        <f>'All Curves'!BB114</f>
        <v>2.7749135000748382E-2</v>
      </c>
      <c r="I114" s="700">
        <f>'All Curves'!BK114</f>
        <v>3.3446056270346691E-2</v>
      </c>
      <c r="J114" s="700">
        <f>'All Curves'!BT114</f>
        <v>3.2122275462159955E-2</v>
      </c>
      <c r="K114" s="701">
        <f>'All Curves'!CC114</f>
        <v>3.9362810802699544E-2</v>
      </c>
      <c r="L114" s="701">
        <f>'All Curves'!CL114</f>
        <v>3.554606560915996E-2</v>
      </c>
    </row>
    <row r="115" spans="2:12" ht="13.5" thickTop="1"/>
  </sheetData>
  <mergeCells count="1">
    <mergeCell ref="B2:J2"/>
  </mergeCells>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B0F0"/>
  </sheetPr>
  <dimension ref="A1"/>
  <sheetViews>
    <sheetView zoomScaleNormal="100" workbookViewId="0">
      <selection activeCell="Z41" sqref="Z41"/>
    </sheetView>
  </sheetViews>
  <sheetFormatPr defaultRowHeight="12.7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rgb="FF00B0F0"/>
    <pageSetUpPr autoPageBreaks="0"/>
  </sheetPr>
  <dimension ref="A1:CL236"/>
  <sheetViews>
    <sheetView topLeftCell="A49" zoomScaleNormal="100" workbookViewId="0">
      <pane xSplit="2" topLeftCell="CH1" activePane="topRight" state="frozen"/>
      <selection pane="topRight" activeCell="CL15" sqref="CL15"/>
    </sheetView>
  </sheetViews>
  <sheetFormatPr defaultRowHeight="12.75"/>
  <cols>
    <col min="1" max="1" width="10.5703125" style="284" bestFit="1" customWidth="1"/>
    <col min="2" max="2" width="9.5703125" style="284" customWidth="1"/>
    <col min="3" max="3" width="15.140625" style="284" bestFit="1" customWidth="1"/>
    <col min="4" max="4" width="15.85546875" style="284" bestFit="1" customWidth="1"/>
    <col min="5" max="6" width="29.5703125" style="284" bestFit="1" customWidth="1"/>
    <col min="7" max="7" width="20.28515625" style="284" bestFit="1" customWidth="1"/>
    <col min="8" max="8" width="16.85546875" style="284" bestFit="1" customWidth="1"/>
    <col min="9" max="9" width="10.7109375" style="284" bestFit="1" customWidth="1"/>
    <col min="10" max="10" width="15.7109375" style="702" customWidth="1"/>
    <col min="11" max="11" width="15.28515625" style="284" bestFit="1" customWidth="1"/>
    <col min="12" max="12" width="12.7109375" style="284" bestFit="1" customWidth="1"/>
    <col min="13" max="13" width="15.85546875" style="284" bestFit="1" customWidth="1"/>
    <col min="14" max="14" width="29.5703125" style="284" bestFit="1" customWidth="1"/>
    <col min="15" max="18" width="15.7109375" style="284" customWidth="1"/>
    <col min="19" max="19" width="15.7109375" style="703" customWidth="1"/>
    <col min="20" max="20" width="15.28515625" style="284" bestFit="1" customWidth="1"/>
    <col min="21" max="21" width="10.5703125" style="284" bestFit="1" customWidth="1"/>
    <col min="22" max="22" width="15.85546875" style="284" bestFit="1" customWidth="1"/>
    <col min="23" max="24" width="15.7109375" style="284" customWidth="1"/>
    <col min="25" max="25" width="20.28515625" style="284" bestFit="1" customWidth="1"/>
    <col min="26" max="28" width="15.7109375" style="284" customWidth="1"/>
    <col min="29" max="29" width="15.28515625" style="284" bestFit="1" customWidth="1"/>
    <col min="30" max="30" width="9.5703125" style="284" bestFit="1" customWidth="1"/>
    <col min="31" max="31" width="15.85546875" style="284" bestFit="1" customWidth="1"/>
    <col min="32" max="37" width="15.7109375" style="284" customWidth="1"/>
    <col min="38" max="38" width="15.28515625" style="284" bestFit="1" customWidth="1"/>
    <col min="39" max="39" width="9.5703125" style="284" bestFit="1" customWidth="1"/>
    <col min="40" max="40" width="15.85546875" style="284" bestFit="1" customWidth="1"/>
    <col min="41" max="46" width="15.7109375" style="284" customWidth="1"/>
    <col min="47" max="47" width="15.28515625" style="284" bestFit="1" customWidth="1"/>
    <col min="48" max="48" width="9.28515625" style="284" customWidth="1"/>
    <col min="49" max="49" width="15.85546875" style="284" bestFit="1" customWidth="1"/>
    <col min="50" max="51" width="9.28515625" style="284" bestFit="1" customWidth="1"/>
    <col min="52" max="52" width="20.28515625" style="284" bestFit="1" customWidth="1"/>
    <col min="53" max="53" width="9.28515625" style="284" bestFit="1" customWidth="1"/>
    <col min="54" max="54" width="10.7109375" style="284" bestFit="1" customWidth="1"/>
    <col min="55" max="55" width="9.140625" style="284"/>
    <col min="56" max="56" width="18.42578125" style="284" bestFit="1" customWidth="1"/>
    <col min="57" max="57" width="9.5703125" style="284" bestFit="1" customWidth="1"/>
    <col min="58" max="58" width="15.7109375" style="284" bestFit="1" customWidth="1"/>
    <col min="59" max="59" width="29.42578125" style="284" bestFit="1" customWidth="1"/>
    <col min="60" max="60" width="32" style="284" bestFit="1" customWidth="1"/>
    <col min="61" max="61" width="20.140625" style="284" bestFit="1" customWidth="1"/>
    <col min="62" max="62" width="16.7109375" style="284" bestFit="1" customWidth="1"/>
    <col min="63" max="63" width="9.42578125" style="284" bestFit="1" customWidth="1"/>
    <col min="64" max="64" width="9.140625" style="284"/>
    <col min="65" max="65" width="15.28515625" style="284" bestFit="1" customWidth="1"/>
    <col min="66" max="66" width="9.28515625" style="284" bestFit="1" customWidth="1"/>
    <col min="67" max="67" width="15.7109375" style="284" bestFit="1" customWidth="1"/>
    <col min="68" max="68" width="29.42578125" style="284" bestFit="1" customWidth="1"/>
    <col min="69" max="69" width="32" style="284" bestFit="1" customWidth="1"/>
    <col min="70" max="70" width="9.28515625" style="284" bestFit="1" customWidth="1"/>
    <col min="71" max="71" width="16.7109375" style="284" bestFit="1" customWidth="1"/>
    <col min="72" max="72" width="10.7109375" style="284" bestFit="1" customWidth="1"/>
    <col min="73" max="73" width="9.140625" style="284"/>
    <col min="74" max="74" width="15.28515625" style="284" bestFit="1" customWidth="1"/>
    <col min="75" max="75" width="9.28515625" style="284" bestFit="1" customWidth="1"/>
    <col min="76" max="76" width="15.7109375" style="284" bestFit="1" customWidth="1"/>
    <col min="77" max="77" width="29.42578125" style="284" bestFit="1" customWidth="1"/>
    <col min="78" max="78" width="32" style="284" bestFit="1" customWidth="1"/>
    <col min="79" max="79" width="20.140625" style="284" bestFit="1" customWidth="1"/>
    <col min="80" max="80" width="16.7109375" style="284" bestFit="1" customWidth="1"/>
    <col min="81" max="82" width="9.140625" style="284"/>
    <col min="83" max="83" width="20.85546875" style="284" bestFit="1" customWidth="1"/>
    <col min="84" max="84" width="9.28515625" style="284" bestFit="1" customWidth="1"/>
    <col min="85" max="85" width="15.7109375" style="284" bestFit="1" customWidth="1"/>
    <col min="86" max="86" width="29.42578125" style="284" bestFit="1" customWidth="1"/>
    <col min="87" max="87" width="32" style="284" bestFit="1" customWidth="1"/>
    <col min="88" max="88" width="20.140625" style="284" bestFit="1" customWidth="1"/>
    <col min="89" max="89" width="16.7109375" style="284" bestFit="1" customWidth="1"/>
    <col min="90" max="16384" width="9.140625" style="284"/>
  </cols>
  <sheetData>
    <row r="1" spans="1:90">
      <c r="J1" s="285"/>
      <c r="S1" s="287"/>
      <c r="AB1" s="288"/>
      <c r="AK1" s="288"/>
      <c r="AT1" s="288"/>
      <c r="BC1" s="288"/>
      <c r="BL1" s="288"/>
      <c r="BU1" s="288"/>
      <c r="CD1" s="288"/>
    </row>
    <row r="2" spans="1:90">
      <c r="A2" s="283"/>
      <c r="B2" s="283" t="s">
        <v>432</v>
      </c>
      <c r="C2" s="283"/>
      <c r="D2" s="283"/>
      <c r="E2" s="283"/>
      <c r="F2" s="283"/>
      <c r="J2" s="285"/>
      <c r="K2" s="708" t="s">
        <v>433</v>
      </c>
      <c r="L2" s="708"/>
      <c r="S2" s="287"/>
      <c r="T2" s="708" t="s">
        <v>434</v>
      </c>
      <c r="U2" s="708"/>
      <c r="AB2" s="288"/>
      <c r="AC2" s="708" t="s">
        <v>435</v>
      </c>
      <c r="AD2" s="708"/>
      <c r="AK2" s="288"/>
      <c r="AL2" s="708" t="s">
        <v>437</v>
      </c>
      <c r="AM2" s="708"/>
      <c r="AN2" s="283"/>
      <c r="AO2" s="283"/>
      <c r="AP2" s="283"/>
      <c r="AQ2" s="283"/>
      <c r="AR2" s="283"/>
      <c r="AS2" s="283"/>
      <c r="AT2" s="289"/>
      <c r="AU2" s="708" t="s">
        <v>436</v>
      </c>
      <c r="AV2" s="708"/>
      <c r="BC2" s="288"/>
      <c r="BD2" s="708" t="s">
        <v>439</v>
      </c>
      <c r="BE2" s="708"/>
      <c r="BL2" s="288"/>
      <c r="BM2" s="708" t="s">
        <v>438</v>
      </c>
      <c r="BN2" s="708"/>
      <c r="BU2" s="288"/>
      <c r="BV2" s="708" t="s">
        <v>828</v>
      </c>
      <c r="BW2" s="708"/>
      <c r="CD2" s="288"/>
      <c r="CE2" s="284" t="s">
        <v>833</v>
      </c>
    </row>
    <row r="3" spans="1:90">
      <c r="A3" s="283" t="s">
        <v>441</v>
      </c>
      <c r="B3" s="283" t="s">
        <v>8</v>
      </c>
      <c r="C3" s="286" t="s">
        <v>55</v>
      </c>
      <c r="D3" s="284" t="s">
        <v>513</v>
      </c>
      <c r="E3" s="283" t="s">
        <v>442</v>
      </c>
      <c r="F3" s="284" t="s">
        <v>440</v>
      </c>
      <c r="G3" s="284" t="s">
        <v>443</v>
      </c>
      <c r="H3" s="284" t="s">
        <v>444</v>
      </c>
      <c r="I3" s="284" t="s">
        <v>445</v>
      </c>
      <c r="J3" s="285"/>
      <c r="K3" s="283" t="s">
        <v>8</v>
      </c>
      <c r="L3" s="286" t="s">
        <v>55</v>
      </c>
      <c r="M3" s="284" t="s">
        <v>430</v>
      </c>
      <c r="N3" s="283" t="s">
        <v>442</v>
      </c>
      <c r="O3" s="284" t="s">
        <v>440</v>
      </c>
      <c r="P3" s="284" t="s">
        <v>443</v>
      </c>
      <c r="Q3" s="284" t="s">
        <v>444</v>
      </c>
      <c r="R3" s="284" t="s">
        <v>445</v>
      </c>
      <c r="S3" s="287"/>
      <c r="T3" s="283" t="s">
        <v>8</v>
      </c>
      <c r="U3" s="286" t="s">
        <v>55</v>
      </c>
      <c r="V3" s="284" t="s">
        <v>430</v>
      </c>
      <c r="W3" s="283" t="s">
        <v>442</v>
      </c>
      <c r="X3" s="284" t="s">
        <v>440</v>
      </c>
      <c r="Y3" s="284" t="s">
        <v>443</v>
      </c>
      <c r="Z3" s="284" t="s">
        <v>444</v>
      </c>
      <c r="AA3" s="284" t="s">
        <v>445</v>
      </c>
      <c r="AB3" s="288"/>
      <c r="AC3" s="283" t="s">
        <v>8</v>
      </c>
      <c r="AD3" s="286" t="s">
        <v>55</v>
      </c>
      <c r="AE3" s="284" t="s">
        <v>430</v>
      </c>
      <c r="AF3" s="283" t="s">
        <v>442</v>
      </c>
      <c r="AG3" s="284" t="s">
        <v>440</v>
      </c>
      <c r="AH3" s="284" t="s">
        <v>443</v>
      </c>
      <c r="AI3" s="284" t="s">
        <v>444</v>
      </c>
      <c r="AJ3" s="284" t="s">
        <v>445</v>
      </c>
      <c r="AK3" s="288"/>
      <c r="AL3" s="283" t="s">
        <v>8</v>
      </c>
      <c r="AM3" s="286" t="s">
        <v>55</v>
      </c>
      <c r="AN3" s="284" t="s">
        <v>430</v>
      </c>
      <c r="AO3" s="283" t="s">
        <v>442</v>
      </c>
      <c r="AP3" s="284" t="s">
        <v>440</v>
      </c>
      <c r="AQ3" s="284" t="s">
        <v>443</v>
      </c>
      <c r="AR3" s="284" t="s">
        <v>444</v>
      </c>
      <c r="AS3" s="284" t="s">
        <v>445</v>
      </c>
      <c r="AT3" s="288"/>
      <c r="AU3" s="283" t="s">
        <v>8</v>
      </c>
      <c r="AV3" s="283" t="s">
        <v>55</v>
      </c>
      <c r="AW3" s="284" t="s">
        <v>430</v>
      </c>
      <c r="AX3" s="283" t="s">
        <v>442</v>
      </c>
      <c r="AY3" s="284" t="s">
        <v>440</v>
      </c>
      <c r="AZ3" s="284" t="s">
        <v>443</v>
      </c>
      <c r="BA3" s="284" t="s">
        <v>444</v>
      </c>
      <c r="BB3" s="284" t="s">
        <v>445</v>
      </c>
      <c r="BC3" s="288"/>
      <c r="BD3" s="283" t="s">
        <v>8</v>
      </c>
      <c r="BE3" s="283" t="s">
        <v>55</v>
      </c>
      <c r="BF3" s="284" t="s">
        <v>430</v>
      </c>
      <c r="BG3" s="283" t="s">
        <v>442</v>
      </c>
      <c r="BH3" s="284" t="s">
        <v>440</v>
      </c>
      <c r="BI3" s="284" t="s">
        <v>443</v>
      </c>
      <c r="BJ3" s="284" t="s">
        <v>444</v>
      </c>
      <c r="BK3" s="284" t="s">
        <v>445</v>
      </c>
      <c r="BL3" s="288"/>
      <c r="BM3" s="283" t="s">
        <v>8</v>
      </c>
      <c r="BN3" s="283" t="s">
        <v>55</v>
      </c>
      <c r="BO3" s="284" t="s">
        <v>430</v>
      </c>
      <c r="BP3" s="283" t="s">
        <v>442</v>
      </c>
      <c r="BQ3" s="284" t="s">
        <v>440</v>
      </c>
      <c r="BR3" s="284" t="s">
        <v>443</v>
      </c>
      <c r="BS3" s="284" t="s">
        <v>444</v>
      </c>
      <c r="BT3" s="284" t="s">
        <v>445</v>
      </c>
      <c r="BU3" s="288"/>
      <c r="BV3" s="659" t="s">
        <v>8</v>
      </c>
      <c r="BW3" s="659" t="s">
        <v>55</v>
      </c>
      <c r="BX3" s="284" t="s">
        <v>430</v>
      </c>
      <c r="BY3" s="659" t="s">
        <v>442</v>
      </c>
      <c r="BZ3" s="284" t="s">
        <v>440</v>
      </c>
      <c r="CA3" s="284" t="s">
        <v>443</v>
      </c>
      <c r="CB3" s="284" t="s">
        <v>444</v>
      </c>
      <c r="CC3" s="284" t="s">
        <v>445</v>
      </c>
      <c r="CD3" s="288"/>
      <c r="CE3" s="284" t="str">
        <f t="shared" ref="CE3:CL3" si="0">BD3</f>
        <v>Maturity in Years</v>
      </c>
      <c r="CF3" s="284" t="str">
        <f t="shared" si="0"/>
        <v>Spot Rate</v>
      </c>
      <c r="CG3" s="284" t="str">
        <f t="shared" si="0"/>
        <v>Swap Adjustment</v>
      </c>
      <c r="CH3" s="284" t="str">
        <f t="shared" si="0"/>
        <v>Spot Rate After Swap Adjustment</v>
      </c>
      <c r="CI3" s="284" t="str">
        <f t="shared" si="0"/>
        <v>Forward Rate after Swap Adjustment</v>
      </c>
      <c r="CJ3" s="284" t="str">
        <f t="shared" si="0"/>
        <v>Smoothing Adjustment</v>
      </c>
      <c r="CK3" s="284" t="str">
        <f t="shared" si="0"/>
        <v>Final Forward Rate</v>
      </c>
      <c r="CL3" s="284" t="str">
        <f t="shared" si="0"/>
        <v>Final Spot</v>
      </c>
    </row>
    <row r="4" spans="1:90">
      <c r="A4" s="283">
        <f>1/12</f>
        <v>8.3333333333333329E-2</v>
      </c>
      <c r="B4" s="283" t="s">
        <v>56</v>
      </c>
      <c r="C4" s="283">
        <f>C125</f>
        <v>1.7478152138587701E-2</v>
      </c>
      <c r="E4" s="506">
        <f>C4+D4</f>
        <v>1.7478152138587701E-2</v>
      </c>
      <c r="F4" s="507"/>
      <c r="J4" s="290"/>
      <c r="K4" s="283" t="s">
        <v>56</v>
      </c>
      <c r="L4" s="283">
        <f>L125</f>
        <v>-6.5360704828297299E-3</v>
      </c>
      <c r="N4" s="283">
        <f>L4+M4</f>
        <v>-6.5360704828297299E-3</v>
      </c>
      <c r="S4" s="287"/>
      <c r="T4" s="283" t="s">
        <v>56</v>
      </c>
      <c r="U4" s="283">
        <f>U125</f>
        <v>8.2157510857598665E-3</v>
      </c>
      <c r="AB4" s="288"/>
      <c r="AC4" s="283" t="s">
        <v>56</v>
      </c>
      <c r="AD4" s="283">
        <f>AD125</f>
        <v>-1.4182393350927769E-2</v>
      </c>
      <c r="AK4" s="288"/>
      <c r="AL4" s="283" t="s">
        <v>56</v>
      </c>
      <c r="AM4" s="283">
        <f>AM125</f>
        <v>1.3594516313070695E-2</v>
      </c>
      <c r="AN4" s="283"/>
      <c r="AO4" s="283"/>
      <c r="AP4" s="283"/>
      <c r="AQ4" s="283"/>
      <c r="AR4" s="283"/>
      <c r="AS4" s="283"/>
      <c r="AT4" s="289"/>
      <c r="AU4" s="283" t="s">
        <v>56</v>
      </c>
      <c r="AV4" s="283">
        <f>AV125</f>
        <v>-1.1984815183289823E-3</v>
      </c>
      <c r="BC4" s="288"/>
      <c r="BD4" s="283" t="s">
        <v>56</v>
      </c>
      <c r="BE4" s="283">
        <f>BE125</f>
        <v>1.1037654420190224E-2</v>
      </c>
      <c r="BL4" s="288"/>
      <c r="BM4" s="283" t="s">
        <v>56</v>
      </c>
      <c r="BN4" s="283">
        <f>BN125</f>
        <v>0.12126400919422969</v>
      </c>
      <c r="BU4" s="288"/>
      <c r="BV4" s="659" t="s">
        <v>56</v>
      </c>
      <c r="BW4" s="659">
        <f>BW125</f>
        <v>1.9514627332265187E-2</v>
      </c>
      <c r="CD4" s="288"/>
      <c r="CE4" s="284" t="str">
        <f t="shared" ref="CE4:CE67" si="1">BD4</f>
        <v>1 Month</v>
      </c>
      <c r="CF4" s="284">
        <f t="shared" ref="CF4:CF67" si="2">BE4</f>
        <v>1.1037654420190224E-2</v>
      </c>
    </row>
    <row r="5" spans="1:90">
      <c r="A5" s="283">
        <f>A4+1/12</f>
        <v>0.16666666666666666</v>
      </c>
      <c r="B5" s="283" t="s">
        <v>57</v>
      </c>
      <c r="C5" s="283">
        <f>C126</f>
        <v>1.7482216285359675E-2</v>
      </c>
      <c r="D5" s="291"/>
      <c r="E5" s="506">
        <f>C5+D5</f>
        <v>1.7482216285359675E-2</v>
      </c>
      <c r="F5" s="507"/>
      <c r="G5" s="288">
        <f>C116-F74</f>
        <v>-3.6536403830587441E-3</v>
      </c>
      <c r="H5" s="291"/>
      <c r="I5" s="291"/>
      <c r="J5" s="290"/>
      <c r="K5" s="283" t="s">
        <v>57</v>
      </c>
      <c r="L5" s="552">
        <f t="shared" ref="L5:L26" si="3">L126</f>
        <v>-6.6301980507635968E-3</v>
      </c>
      <c r="N5" s="283">
        <f t="shared" ref="N5:N68" si="4">L5+M5</f>
        <v>-6.6301980507635968E-3</v>
      </c>
      <c r="P5" s="288">
        <f>L116-O74</f>
        <v>3.341950119477529E-2</v>
      </c>
      <c r="S5" s="287"/>
      <c r="T5" s="283" t="s">
        <v>57</v>
      </c>
      <c r="U5" s="283">
        <f t="shared" ref="U5:U68" si="5">U126</f>
        <v>8.0379828102572024E-3</v>
      </c>
      <c r="Y5" s="288">
        <f>U116-X74</f>
        <v>3.902486760049647E-2</v>
      </c>
      <c r="AB5" s="288"/>
      <c r="AC5" s="283" t="s">
        <v>57</v>
      </c>
      <c r="AD5" s="283">
        <f t="shared" ref="AD5:AD68" si="6">AD126</f>
        <v>-1.4081314972886921E-2</v>
      </c>
      <c r="AH5" s="288">
        <f>AD116-AG74</f>
        <v>7.0250732369982222E-2</v>
      </c>
      <c r="AK5" s="288"/>
      <c r="AL5" s="283" t="s">
        <v>57</v>
      </c>
      <c r="AM5" s="283">
        <f t="shared" ref="AM5:AM68" si="7">AM126</f>
        <v>1.3610377574391286E-2</v>
      </c>
      <c r="AN5" s="283"/>
      <c r="AO5" s="283"/>
      <c r="AP5" s="283"/>
      <c r="AQ5" s="288">
        <f>AM116-AP74</f>
        <v>2.3457083578721082E-2</v>
      </c>
      <c r="AR5" s="283"/>
      <c r="AS5" s="283"/>
      <c r="AT5" s="289"/>
      <c r="AU5" s="283" t="s">
        <v>57</v>
      </c>
      <c r="AV5" s="283">
        <f t="shared" ref="AV5:AV68" si="8">AV126</f>
        <v>-1.2595069517581377E-3</v>
      </c>
      <c r="AZ5" s="288">
        <f>AV116-AY74</f>
        <v>2.9580013018184123E-3</v>
      </c>
      <c r="BC5" s="288"/>
      <c r="BD5" s="283" t="s">
        <v>57</v>
      </c>
      <c r="BE5" s="283">
        <f t="shared" ref="BE5:BE68" si="9">BE126</f>
        <v>1.0857861352966108E-2</v>
      </c>
      <c r="BI5" s="288">
        <f>BE116-BH74</f>
        <v>5.339194088742269E-4</v>
      </c>
      <c r="BL5" s="288"/>
      <c r="BM5" s="283" t="s">
        <v>57</v>
      </c>
      <c r="BN5" s="283">
        <f t="shared" ref="BN5:BN68" si="10">BN126</f>
        <v>0.10134194279224328</v>
      </c>
      <c r="BR5" s="288">
        <f>BN116-BQ74</f>
        <v>9.7494482052102524E-3</v>
      </c>
      <c r="BU5" s="288"/>
      <c r="BV5" s="659" t="s">
        <v>57</v>
      </c>
      <c r="BW5" s="659">
        <f t="shared" ref="BW5:BW68" si="11">BW126</f>
        <v>1.9345004100402772E-2</v>
      </c>
      <c r="CA5" s="288">
        <f>BW116-BZ74</f>
        <v>-3.2764122259770004E-3</v>
      </c>
      <c r="CD5" s="288"/>
      <c r="CE5" s="284" t="str">
        <f t="shared" si="1"/>
        <v>2 Month</v>
      </c>
      <c r="CF5" s="284">
        <f t="shared" si="2"/>
        <v>1.0857861352966108E-2</v>
      </c>
      <c r="CJ5" s="288">
        <f t="shared" ref="CJ5:CJ67" si="12">BI5</f>
        <v>5.339194088742269E-4</v>
      </c>
    </row>
    <row r="6" spans="1:90">
      <c r="A6" s="283">
        <f t="shared" ref="A6:A15" si="13">A5+1/12</f>
        <v>0.25</v>
      </c>
      <c r="B6" s="283" t="s">
        <v>58</v>
      </c>
      <c r="C6" s="283">
        <f t="shared" ref="C6:C69" si="14">C127</f>
        <v>1.7486745046701349E-2</v>
      </c>
      <c r="D6" s="291"/>
      <c r="E6" s="506">
        <f t="shared" ref="E6:E69" si="15">C6+D6</f>
        <v>1.7486745046701349E-2</v>
      </c>
      <c r="F6" s="507"/>
      <c r="G6" s="291"/>
      <c r="H6" s="291"/>
      <c r="I6" s="291"/>
      <c r="J6" s="290"/>
      <c r="K6" s="283" t="s">
        <v>58</v>
      </c>
      <c r="L6" s="552">
        <f t="shared" si="3"/>
        <v>-6.7195830612545816E-3</v>
      </c>
      <c r="N6" s="283">
        <f t="shared" si="4"/>
        <v>-6.7195830612545816E-3</v>
      </c>
      <c r="S6" s="287"/>
      <c r="T6" s="283" t="s">
        <v>58</v>
      </c>
      <c r="U6" s="283">
        <f t="shared" si="5"/>
        <v>7.8668075596180047E-3</v>
      </c>
      <c r="AB6" s="288"/>
      <c r="AC6" s="283" t="s">
        <v>58</v>
      </c>
      <c r="AD6" s="283">
        <f t="shared" si="6"/>
        <v>-1.3980691376164934E-2</v>
      </c>
      <c r="AK6" s="288"/>
      <c r="AL6" s="283" t="s">
        <v>58</v>
      </c>
      <c r="AM6" s="283">
        <f t="shared" si="7"/>
        <v>1.3626203479977556E-2</v>
      </c>
      <c r="AN6" s="283"/>
      <c r="AO6" s="283"/>
      <c r="AP6" s="283"/>
      <c r="AQ6" s="283"/>
      <c r="AR6" s="283"/>
      <c r="AS6" s="283"/>
      <c r="AT6" s="289"/>
      <c r="AU6" s="283" t="s">
        <v>58</v>
      </c>
      <c r="AV6" s="283">
        <f t="shared" si="8"/>
        <v>-1.3188413096856528E-3</v>
      </c>
      <c r="BC6" s="288"/>
      <c r="BD6" s="283" t="s">
        <v>58</v>
      </c>
      <c r="BE6" s="283">
        <f t="shared" si="9"/>
        <v>1.0691635655968954E-2</v>
      </c>
      <c r="BL6" s="288"/>
      <c r="BM6" s="283" t="s">
        <v>58</v>
      </c>
      <c r="BN6" s="283">
        <f t="shared" si="10"/>
        <v>8.3656688206652396E-2</v>
      </c>
      <c r="BU6" s="288"/>
      <c r="BV6" s="659" t="s">
        <v>58</v>
      </c>
      <c r="BW6" s="659">
        <f t="shared" si="11"/>
        <v>1.9178852901659809E-2</v>
      </c>
      <c r="CD6" s="288"/>
      <c r="CE6" s="284" t="str">
        <f t="shared" si="1"/>
        <v>3 Month</v>
      </c>
      <c r="CF6" s="284">
        <f t="shared" si="2"/>
        <v>1.0691635655968954E-2</v>
      </c>
    </row>
    <row r="7" spans="1:90">
      <c r="A7" s="283">
        <f t="shared" si="13"/>
        <v>0.33333333333333331</v>
      </c>
      <c r="B7" s="283" t="s">
        <v>59</v>
      </c>
      <c r="C7" s="283">
        <f t="shared" si="14"/>
        <v>1.7491733082632816E-2</v>
      </c>
      <c r="D7" s="291"/>
      <c r="E7" s="506">
        <f t="shared" si="15"/>
        <v>1.7491733082632816E-2</v>
      </c>
      <c r="F7" s="507"/>
      <c r="G7" s="291"/>
      <c r="H7" s="291"/>
      <c r="I7" s="291"/>
      <c r="J7" s="290"/>
      <c r="K7" s="283" t="s">
        <v>59</v>
      </c>
      <c r="L7" s="552">
        <f t="shared" si="3"/>
        <v>-6.804342876125042E-3</v>
      </c>
      <c r="N7" s="283">
        <f t="shared" si="4"/>
        <v>-6.804342876125042E-3</v>
      </c>
      <c r="S7" s="287"/>
      <c r="T7" s="283" t="s">
        <v>59</v>
      </c>
      <c r="U7" s="283">
        <f t="shared" si="5"/>
        <v>7.7020740826456244E-3</v>
      </c>
      <c r="AB7" s="288"/>
      <c r="AC7" s="283" t="s">
        <v>59</v>
      </c>
      <c r="AD7" s="283">
        <f t="shared" si="6"/>
        <v>-1.3880521306530747E-2</v>
      </c>
      <c r="AK7" s="288"/>
      <c r="AL7" s="283" t="s">
        <v>59</v>
      </c>
      <c r="AM7" s="283">
        <f t="shared" si="7"/>
        <v>1.3641994098561219E-2</v>
      </c>
      <c r="AN7" s="283"/>
      <c r="AO7" s="283"/>
      <c r="AP7" s="283"/>
      <c r="AQ7" s="283"/>
      <c r="AR7" s="283"/>
      <c r="AS7" s="283"/>
      <c r="AT7" s="289"/>
      <c r="AU7" s="283" t="s">
        <v>59</v>
      </c>
      <c r="AV7" s="283">
        <f t="shared" si="8"/>
        <v>-1.3765115520630372E-3</v>
      </c>
      <c r="BC7" s="288"/>
      <c r="BD7" s="283" t="s">
        <v>59</v>
      </c>
      <c r="BE7" s="283">
        <f t="shared" si="9"/>
        <v>1.0538263623032187E-2</v>
      </c>
      <c r="BL7" s="288"/>
      <c r="BM7" s="283" t="s">
        <v>59</v>
      </c>
      <c r="BN7" s="283">
        <f t="shared" si="10"/>
        <v>6.798993340722792E-2</v>
      </c>
      <c r="BU7" s="288"/>
      <c r="BV7" s="659" t="s">
        <v>59</v>
      </c>
      <c r="BW7" s="659">
        <f t="shared" si="11"/>
        <v>1.9016132146578955E-2</v>
      </c>
      <c r="CD7" s="288"/>
      <c r="CE7" s="284" t="str">
        <f t="shared" si="1"/>
        <v>4 Month</v>
      </c>
      <c r="CF7" s="284">
        <f t="shared" si="2"/>
        <v>1.0538263623032187E-2</v>
      </c>
    </row>
    <row r="8" spans="1:90">
      <c r="A8" s="283">
        <f t="shared" si="13"/>
        <v>0.41666666666666663</v>
      </c>
      <c r="B8" s="283" t="s">
        <v>60</v>
      </c>
      <c r="C8" s="283">
        <f t="shared" si="14"/>
        <v>1.7497175098849769E-2</v>
      </c>
      <c r="D8" s="291"/>
      <c r="E8" s="506">
        <f t="shared" si="15"/>
        <v>1.7497175098849769E-2</v>
      </c>
      <c r="F8" s="507"/>
      <c r="G8" s="291"/>
      <c r="H8" s="291"/>
      <c r="I8" s="291"/>
      <c r="J8" s="290"/>
      <c r="K8" s="283" t="s">
        <v>60</v>
      </c>
      <c r="L8" s="552">
        <f t="shared" si="3"/>
        <v>-6.8845924254675745E-3</v>
      </c>
      <c r="N8" s="283">
        <f t="shared" si="4"/>
        <v>-6.8845924254675745E-3</v>
      </c>
      <c r="S8" s="287"/>
      <c r="T8" s="283" t="s">
        <v>60</v>
      </c>
      <c r="U8" s="283">
        <f t="shared" si="5"/>
        <v>7.5436341524300864E-3</v>
      </c>
      <c r="AB8" s="288"/>
      <c r="AC8" s="283" t="s">
        <v>60</v>
      </c>
      <c r="AD8" s="283">
        <f t="shared" si="6"/>
        <v>-1.3780803512642615E-2</v>
      </c>
      <c r="AK8" s="288"/>
      <c r="AL8" s="283" t="s">
        <v>60</v>
      </c>
      <c r="AM8" s="283">
        <f t="shared" si="7"/>
        <v>1.3657749498746001E-2</v>
      </c>
      <c r="AN8" s="283"/>
      <c r="AO8" s="283"/>
      <c r="AP8" s="283"/>
      <c r="AQ8" s="283"/>
      <c r="AR8" s="283"/>
      <c r="AS8" s="283"/>
      <c r="AT8" s="289"/>
      <c r="AU8" s="283" t="s">
        <v>60</v>
      </c>
      <c r="AV8" s="283">
        <f t="shared" si="8"/>
        <v>-1.4325442118953186E-3</v>
      </c>
      <c r="BC8" s="288"/>
      <c r="BD8" s="283" t="s">
        <v>60</v>
      </c>
      <c r="BE8" s="283">
        <f t="shared" si="9"/>
        <v>1.0397066953435421E-2</v>
      </c>
      <c r="BL8" s="288"/>
      <c r="BM8" s="283" t="s">
        <v>60</v>
      </c>
      <c r="BN8" s="283">
        <f t="shared" si="10"/>
        <v>5.4143555779518474E-2</v>
      </c>
      <c r="BU8" s="288"/>
      <c r="BV8" s="659" t="s">
        <v>60</v>
      </c>
      <c r="BW8" s="659">
        <f t="shared" si="11"/>
        <v>1.8856800669901183E-2</v>
      </c>
      <c r="CD8" s="288"/>
      <c r="CE8" s="284" t="str">
        <f t="shared" si="1"/>
        <v>5 Month</v>
      </c>
      <c r="CF8" s="284">
        <f t="shared" si="2"/>
        <v>1.0397066953435421E-2</v>
      </c>
    </row>
    <row r="9" spans="1:90">
      <c r="A9" s="283">
        <f t="shared" si="13"/>
        <v>0.49999999999999994</v>
      </c>
      <c r="B9" s="283" t="s">
        <v>61</v>
      </c>
      <c r="C9" s="283">
        <f t="shared" si="14"/>
        <v>1.7503065846450564E-2</v>
      </c>
      <c r="D9" s="291"/>
      <c r="E9" s="506">
        <f t="shared" si="15"/>
        <v>1.7503065846450564E-2</v>
      </c>
      <c r="F9" s="507"/>
      <c r="G9" s="291"/>
      <c r="H9" s="291"/>
      <c r="I9" s="291"/>
      <c r="J9" s="290"/>
      <c r="K9" s="283" t="s">
        <v>61</v>
      </c>
      <c r="L9" s="552">
        <f t="shared" si="3"/>
        <v>-6.9604442543952545E-3</v>
      </c>
      <c r="N9" s="283">
        <f t="shared" si="4"/>
        <v>-6.9604442543952545E-3</v>
      </c>
      <c r="S9" s="287"/>
      <c r="T9" s="283" t="s">
        <v>61</v>
      </c>
      <c r="U9" s="283">
        <f t="shared" si="5"/>
        <v>7.3913425091140161E-3</v>
      </c>
      <c r="AB9" s="288"/>
      <c r="AC9" s="283" t="s">
        <v>61</v>
      </c>
      <c r="AD9" s="283">
        <f t="shared" si="6"/>
        <v>-1.3681536746086576E-2</v>
      </c>
      <c r="AK9" s="288"/>
      <c r="AL9" s="283" t="s">
        <v>61</v>
      </c>
      <c r="AM9" s="283">
        <f t="shared" si="7"/>
        <v>1.3673469749026508E-2</v>
      </c>
      <c r="AN9" s="283"/>
      <c r="AO9" s="283"/>
      <c r="AP9" s="283"/>
      <c r="AQ9" s="283"/>
      <c r="AR9" s="283"/>
      <c r="AS9" s="283"/>
      <c r="AT9" s="289"/>
      <c r="AU9" s="283" t="s">
        <v>61</v>
      </c>
      <c r="AV9" s="283">
        <f t="shared" si="8"/>
        <v>-1.4869654020468312E-3</v>
      </c>
      <c r="BC9" s="288"/>
      <c r="BD9" s="283" t="s">
        <v>61</v>
      </c>
      <c r="BE9" s="283">
        <f t="shared" si="9"/>
        <v>1.0267401038216344E-2</v>
      </c>
      <c r="BL9" s="288"/>
      <c r="BM9" s="283" t="s">
        <v>61</v>
      </c>
      <c r="BN9" s="283">
        <f t="shared" si="10"/>
        <v>4.1937801149521434E-2</v>
      </c>
      <c r="BU9" s="288"/>
      <c r="BV9" s="659" t="s">
        <v>61</v>
      </c>
      <c r="BW9" s="659">
        <f t="shared" si="11"/>
        <v>1.8700817726557642E-2</v>
      </c>
      <c r="CD9" s="288"/>
      <c r="CE9" s="284" t="str">
        <f t="shared" si="1"/>
        <v>6 Month</v>
      </c>
      <c r="CF9" s="284">
        <f t="shared" si="2"/>
        <v>1.0267401038216344E-2</v>
      </c>
    </row>
    <row r="10" spans="1:90">
      <c r="A10" s="283">
        <f t="shared" si="13"/>
        <v>0.58333333333333326</v>
      </c>
      <c r="B10" s="283" t="s">
        <v>62</v>
      </c>
      <c r="C10" s="283">
        <f t="shared" si="14"/>
        <v>1.75094001215827E-2</v>
      </c>
      <c r="D10" s="291"/>
      <c r="E10" s="506">
        <f t="shared" si="15"/>
        <v>1.75094001215827E-2</v>
      </c>
      <c r="F10" s="507"/>
      <c r="G10" s="291"/>
      <c r="H10" s="291"/>
      <c r="I10" s="291"/>
      <c r="J10" s="290"/>
      <c r="K10" s="283" t="s">
        <v>62</v>
      </c>
      <c r="L10" s="552">
        <f t="shared" si="3"/>
        <v>-7.0320085689297134E-3</v>
      </c>
      <c r="N10" s="283">
        <f t="shared" si="4"/>
        <v>-7.0320085689297134E-3</v>
      </c>
      <c r="S10" s="287"/>
      <c r="T10" s="283" t="s">
        <v>62</v>
      </c>
      <c r="U10" s="283">
        <f t="shared" si="5"/>
        <v>7.2450568036727617E-3</v>
      </c>
      <c r="AB10" s="288"/>
      <c r="AC10" s="283" t="s">
        <v>62</v>
      </c>
      <c r="AD10" s="283">
        <f t="shared" si="6"/>
        <v>-1.3582719761355843E-2</v>
      </c>
      <c r="AK10" s="288"/>
      <c r="AL10" s="283" t="s">
        <v>62</v>
      </c>
      <c r="AM10" s="283">
        <f t="shared" si="7"/>
        <v>1.3689154917783757E-2</v>
      </c>
      <c r="AN10" s="283"/>
      <c r="AO10" s="283"/>
      <c r="AP10" s="283"/>
      <c r="AQ10" s="283"/>
      <c r="AR10" s="283"/>
      <c r="AS10" s="283"/>
      <c r="AT10" s="289"/>
      <c r="AU10" s="283" t="s">
        <v>62</v>
      </c>
      <c r="AV10" s="283">
        <f t="shared" si="8"/>
        <v>-1.5398008219355604E-3</v>
      </c>
      <c r="BC10" s="288"/>
      <c r="BD10" s="283" t="s">
        <v>62</v>
      </c>
      <c r="BE10" s="283">
        <f t="shared" si="9"/>
        <v>1.0148653328352152E-2</v>
      </c>
      <c r="BL10" s="288"/>
      <c r="BM10" s="283" t="s">
        <v>62</v>
      </c>
      <c r="BN10" s="283">
        <f t="shared" si="10"/>
        <v>3.1209624861933724E-2</v>
      </c>
      <c r="BU10" s="288"/>
      <c r="BV10" s="659" t="s">
        <v>62</v>
      </c>
      <c r="BW10" s="659">
        <f t="shared" si="11"/>
        <v>1.8548142987705685E-2</v>
      </c>
      <c r="CD10" s="288"/>
      <c r="CE10" s="284" t="str">
        <f t="shared" si="1"/>
        <v>7 Month</v>
      </c>
      <c r="CF10" s="284">
        <f t="shared" si="2"/>
        <v>1.0148653328352152E-2</v>
      </c>
    </row>
    <row r="11" spans="1:90">
      <c r="A11" s="283">
        <f t="shared" si="13"/>
        <v>0.66666666666666663</v>
      </c>
      <c r="B11" s="283" t="s">
        <v>63</v>
      </c>
      <c r="C11" s="283">
        <f t="shared" si="14"/>
        <v>1.7516172765123249E-2</v>
      </c>
      <c r="D11" s="291"/>
      <c r="E11" s="506">
        <f t="shared" si="15"/>
        <v>1.7516172765123249E-2</v>
      </c>
      <c r="F11" s="507"/>
      <c r="G11" s="291"/>
      <c r="H11" s="291"/>
      <c r="I11" s="291"/>
      <c r="J11" s="290"/>
      <c r="K11" s="283" t="s">
        <v>63</v>
      </c>
      <c r="L11" s="552">
        <f t="shared" si="3"/>
        <v>-7.0993932810409542E-3</v>
      </c>
      <c r="N11" s="283">
        <f t="shared" si="4"/>
        <v>-7.0993932810409542E-3</v>
      </c>
      <c r="S11" s="287"/>
      <c r="T11" s="283" t="s">
        <v>63</v>
      </c>
      <c r="U11" s="283">
        <f t="shared" si="5"/>
        <v>7.1046375427399897E-3</v>
      </c>
      <c r="AB11" s="288"/>
      <c r="AC11" s="283" t="s">
        <v>63</v>
      </c>
      <c r="AD11" s="283">
        <f t="shared" si="6"/>
        <v>-1.3484351315889917E-2</v>
      </c>
      <c r="AK11" s="288"/>
      <c r="AL11" s="283" t="s">
        <v>63</v>
      </c>
      <c r="AM11" s="283">
        <f t="shared" si="7"/>
        <v>1.3704805073280762E-2</v>
      </c>
      <c r="AN11" s="283"/>
      <c r="AO11" s="283"/>
      <c r="AP11" s="283"/>
      <c r="AQ11" s="283"/>
      <c r="AR11" s="283"/>
      <c r="AS11" s="283"/>
      <c r="AT11" s="289"/>
      <c r="AU11" s="283" t="s">
        <v>63</v>
      </c>
      <c r="AV11" s="283">
        <f t="shared" si="8"/>
        <v>-1.5910757641251908E-3</v>
      </c>
      <c r="BC11" s="288"/>
      <c r="BD11" s="283" t="s">
        <v>63</v>
      </c>
      <c r="BE11" s="283">
        <f t="shared" si="9"/>
        <v>1.0040241780929214E-2</v>
      </c>
      <c r="BL11" s="288"/>
      <c r="BM11" s="283" t="s">
        <v>63</v>
      </c>
      <c r="BN11" s="283">
        <f t="shared" si="10"/>
        <v>2.1811180605281436E-2</v>
      </c>
      <c r="BU11" s="288"/>
      <c r="BV11" s="659" t="s">
        <v>63</v>
      </c>
      <c r="BW11" s="659">
        <f t="shared" si="11"/>
        <v>1.8398736536805647E-2</v>
      </c>
      <c r="CD11" s="288"/>
      <c r="CE11" s="284" t="str">
        <f t="shared" si="1"/>
        <v>8 Month</v>
      </c>
      <c r="CF11" s="284">
        <f t="shared" si="2"/>
        <v>1.0040241780929214E-2</v>
      </c>
    </row>
    <row r="12" spans="1:90">
      <c r="A12" s="283">
        <f t="shared" si="13"/>
        <v>0.75</v>
      </c>
      <c r="B12" s="283" t="s">
        <v>64</v>
      </c>
      <c r="C12" s="283">
        <f t="shared" si="14"/>
        <v>1.7523378662369745E-2</v>
      </c>
      <c r="D12" s="291"/>
      <c r="E12" s="506">
        <f t="shared" si="15"/>
        <v>1.7523378662369745E-2</v>
      </c>
      <c r="F12" s="507"/>
      <c r="G12" s="291"/>
      <c r="H12" s="291"/>
      <c r="I12" s="291"/>
      <c r="J12" s="290"/>
      <c r="K12" s="283" t="s">
        <v>64</v>
      </c>
      <c r="L12" s="552">
        <f t="shared" si="3"/>
        <v>-7.1627040528487139E-3</v>
      </c>
      <c r="N12" s="283">
        <f t="shared" si="4"/>
        <v>-7.1627040528487139E-3</v>
      </c>
      <c r="S12" s="287"/>
      <c r="T12" s="283" t="s">
        <v>64</v>
      </c>
      <c r="U12" s="283">
        <f t="shared" si="5"/>
        <v>6.9699480344712654E-3</v>
      </c>
      <c r="AB12" s="288"/>
      <c r="AC12" s="283" t="s">
        <v>64</v>
      </c>
      <c r="AD12" s="283">
        <f t="shared" si="6"/>
        <v>-1.3386430169986294E-2</v>
      </c>
      <c r="AK12" s="288"/>
      <c r="AL12" s="283" t="s">
        <v>64</v>
      </c>
      <c r="AM12" s="283">
        <f t="shared" si="7"/>
        <v>1.3720420283670176E-2</v>
      </c>
      <c r="AN12" s="283"/>
      <c r="AO12" s="283"/>
      <c r="AP12" s="283"/>
      <c r="AQ12" s="283"/>
      <c r="AR12" s="283"/>
      <c r="AS12" s="283"/>
      <c r="AT12" s="289"/>
      <c r="AU12" s="283" t="s">
        <v>64</v>
      </c>
      <c r="AV12" s="283">
        <f t="shared" si="8"/>
        <v>-1.6408151208080588E-3</v>
      </c>
      <c r="BC12" s="288"/>
      <c r="BD12" s="283" t="s">
        <v>64</v>
      </c>
      <c r="BE12" s="283">
        <f t="shared" si="9"/>
        <v>9.9416133796039752E-3</v>
      </c>
      <c r="BL12" s="288"/>
      <c r="BM12" s="283" t="s">
        <v>64</v>
      </c>
      <c r="BN12" s="283">
        <f t="shared" si="10"/>
        <v>1.360844393377808E-2</v>
      </c>
      <c r="BU12" s="288"/>
      <c r="BV12" s="659" t="s">
        <v>64</v>
      </c>
      <c r="BW12" s="659">
        <f t="shared" si="11"/>
        <v>1.8252558865719554E-2</v>
      </c>
      <c r="CD12" s="288"/>
      <c r="CE12" s="284" t="str">
        <f t="shared" si="1"/>
        <v>9 Month</v>
      </c>
      <c r="CF12" s="284">
        <f t="shared" si="2"/>
        <v>9.9416133796039752E-3</v>
      </c>
    </row>
    <row r="13" spans="1:90">
      <c r="A13" s="283">
        <f t="shared" si="13"/>
        <v>0.83333333333333337</v>
      </c>
      <c r="B13" s="283" t="s">
        <v>65</v>
      </c>
      <c r="C13" s="283">
        <f t="shared" si="14"/>
        <v>1.7531012742701472E-2</v>
      </c>
      <c r="D13" s="291"/>
      <c r="E13" s="506">
        <f t="shared" si="15"/>
        <v>1.7531012742701472E-2</v>
      </c>
      <c r="F13" s="507"/>
      <c r="G13" s="291"/>
      <c r="H13" s="291"/>
      <c r="I13" s="291"/>
      <c r="J13" s="290"/>
      <c r="K13" s="283" t="s">
        <v>65</v>
      </c>
      <c r="L13" s="552">
        <f t="shared" si="3"/>
        <v>-7.2220443400056612E-3</v>
      </c>
      <c r="N13" s="283">
        <f t="shared" si="4"/>
        <v>-7.2220443400056612E-3</v>
      </c>
      <c r="S13" s="287"/>
      <c r="T13" s="283" t="s">
        <v>65</v>
      </c>
      <c r="U13" s="283">
        <f t="shared" si="5"/>
        <v>6.8408543353680046E-3</v>
      </c>
      <c r="AB13" s="288"/>
      <c r="AC13" s="283" t="s">
        <v>65</v>
      </c>
      <c r="AD13" s="283">
        <f t="shared" si="6"/>
        <v>-1.3288955086876837E-2</v>
      </c>
      <c r="AK13" s="288"/>
      <c r="AL13" s="283" t="s">
        <v>65</v>
      </c>
      <c r="AM13" s="283">
        <f t="shared" si="7"/>
        <v>1.3736000616989298E-2</v>
      </c>
      <c r="AN13" s="283"/>
      <c r="AO13" s="283"/>
      <c r="AP13" s="283"/>
      <c r="AQ13" s="283"/>
      <c r="AR13" s="283"/>
      <c r="AS13" s="283"/>
      <c r="AT13" s="289"/>
      <c r="AU13" s="283" t="s">
        <v>65</v>
      </c>
      <c r="AV13" s="283">
        <f t="shared" si="8"/>
        <v>-1.6890433901864364E-3</v>
      </c>
      <c r="BC13" s="288"/>
      <c r="BD13" s="283" t="s">
        <v>65</v>
      </c>
      <c r="BE13" s="283">
        <f t="shared" si="9"/>
        <v>9.8522427258306445E-3</v>
      </c>
      <c r="BL13" s="288"/>
      <c r="BM13" s="283" t="s">
        <v>65</v>
      </c>
      <c r="BN13" s="283">
        <f t="shared" si="10"/>
        <v>6.4799585823584471E-3</v>
      </c>
      <c r="BU13" s="288"/>
      <c r="BV13" s="659" t="s">
        <v>65</v>
      </c>
      <c r="BW13" s="659">
        <f t="shared" si="11"/>
        <v>1.8109570870860771E-2</v>
      </c>
      <c r="CD13" s="288"/>
      <c r="CE13" s="284" t="str">
        <f t="shared" si="1"/>
        <v>10 Month</v>
      </c>
      <c r="CF13" s="284">
        <f t="shared" si="2"/>
        <v>9.8522427258306445E-3</v>
      </c>
    </row>
    <row r="14" spans="1:90">
      <c r="A14" s="283">
        <f t="shared" si="13"/>
        <v>0.91666666666666674</v>
      </c>
      <c r="B14" s="283" t="s">
        <v>66</v>
      </c>
      <c r="C14" s="283">
        <f t="shared" si="14"/>
        <v>1.7539069979280925E-2</v>
      </c>
      <c r="D14" s="291"/>
      <c r="E14" s="506">
        <f t="shared" si="15"/>
        <v>1.7539069979280925E-2</v>
      </c>
      <c r="F14" s="507"/>
      <c r="G14" s="291"/>
      <c r="H14" s="291"/>
      <c r="I14" s="291"/>
      <c r="J14" s="290"/>
      <c r="K14" s="283" t="s">
        <v>66</v>
      </c>
      <c r="L14" s="552">
        <f t="shared" si="3"/>
        <v>-7.2775154342750725E-3</v>
      </c>
      <c r="N14" s="283">
        <f t="shared" si="4"/>
        <v>-7.2775154342750725E-3</v>
      </c>
      <c r="S14" s="287"/>
      <c r="T14" s="283" t="s">
        <v>66</v>
      </c>
      <c r="U14" s="283">
        <f t="shared" si="5"/>
        <v>6.7172251981187595E-3</v>
      </c>
      <c r="AB14" s="288"/>
      <c r="AC14" s="283" t="s">
        <v>66</v>
      </c>
      <c r="AD14" s="283">
        <f t="shared" si="6"/>
        <v>-1.3191924832658191E-2</v>
      </c>
      <c r="AK14" s="288"/>
      <c r="AL14" s="283" t="s">
        <v>66</v>
      </c>
      <c r="AM14" s="283">
        <f t="shared" si="7"/>
        <v>1.37515461411685E-2</v>
      </c>
      <c r="AN14" s="283"/>
      <c r="AO14" s="283"/>
      <c r="AP14" s="283"/>
      <c r="AQ14" s="283"/>
      <c r="AR14" s="283"/>
      <c r="AS14" s="283"/>
      <c r="AT14" s="289"/>
      <c r="AU14" s="283" t="s">
        <v>66</v>
      </c>
      <c r="AV14" s="283">
        <f t="shared" si="8"/>
        <v>-1.7357846827536904E-3</v>
      </c>
      <c r="BC14" s="288"/>
      <c r="BD14" s="283" t="s">
        <v>66</v>
      </c>
      <c r="BE14" s="283">
        <f t="shared" si="9"/>
        <v>9.7716306974996395E-3</v>
      </c>
      <c r="BL14" s="288"/>
      <c r="BM14" s="283" t="s">
        <v>66</v>
      </c>
      <c r="BN14" s="283">
        <f t="shared" si="10"/>
        <v>3.1569471753328804E-4</v>
      </c>
      <c r="BU14" s="288"/>
      <c r="BV14" s="659" t="s">
        <v>66</v>
      </c>
      <c r="BW14" s="659">
        <f t="shared" si="11"/>
        <v>1.7969733849366235E-2</v>
      </c>
      <c r="CD14" s="288"/>
      <c r="CE14" s="284" t="str">
        <f t="shared" si="1"/>
        <v>11 Month</v>
      </c>
      <c r="CF14" s="284">
        <f t="shared" si="2"/>
        <v>9.7716306974996395E-3</v>
      </c>
    </row>
    <row r="15" spans="1:90">
      <c r="A15" s="283">
        <f t="shared" si="13"/>
        <v>1</v>
      </c>
      <c r="B15" s="283" t="s">
        <v>67</v>
      </c>
      <c r="C15" s="283">
        <f t="shared" si="14"/>
        <v>1.7547545388720366E-2</v>
      </c>
      <c r="D15" s="284">
        <f>Splines!D5</f>
        <v>1.981749664992094E-3</v>
      </c>
      <c r="E15" s="506">
        <f t="shared" si="15"/>
        <v>1.952929505371246E-2</v>
      </c>
      <c r="F15" s="507">
        <f>E15</f>
        <v>1.952929505371246E-2</v>
      </c>
      <c r="G15" s="291"/>
      <c r="H15" s="291">
        <f>F15</f>
        <v>1.952929505371246E-2</v>
      </c>
      <c r="I15" s="284">
        <f>E15</f>
        <v>1.952929505371246E-2</v>
      </c>
      <c r="J15" s="285"/>
      <c r="K15" s="283" t="s">
        <v>67</v>
      </c>
      <c r="L15" s="552">
        <f t="shared" si="3"/>
        <v>-7.3292165053200371E-3</v>
      </c>
      <c r="M15" s="284">
        <f>Splines!I5</f>
        <v>1.7135549569502473E-3</v>
      </c>
      <c r="N15" s="283">
        <f t="shared" si="4"/>
        <v>-5.6156615483697898E-3</v>
      </c>
      <c r="O15" s="284">
        <f>N15</f>
        <v>-5.6156615483697898E-3</v>
      </c>
      <c r="Q15" s="291">
        <f>O15</f>
        <v>-5.6156615483697898E-3</v>
      </c>
      <c r="R15" s="284">
        <f>N15</f>
        <v>-5.6156615483697898E-3</v>
      </c>
      <c r="S15" s="287"/>
      <c r="T15" s="283" t="s">
        <v>67</v>
      </c>
      <c r="U15" s="283">
        <f t="shared" si="5"/>
        <v>6.5989320203722005E-3</v>
      </c>
      <c r="V15" s="284">
        <f>Splines!N5</f>
        <v>5.9277564287185669E-4</v>
      </c>
      <c r="W15" s="284">
        <f>U15+V15</f>
        <v>7.1917076632440572E-3</v>
      </c>
      <c r="X15" s="284">
        <f>W15</f>
        <v>7.1917076632440572E-3</v>
      </c>
      <c r="Z15" s="291">
        <f>X15</f>
        <v>7.1917076632440572E-3</v>
      </c>
      <c r="AA15" s="284">
        <f>W15</f>
        <v>7.1917076632440572E-3</v>
      </c>
      <c r="AB15" s="288"/>
      <c r="AC15" s="283" t="s">
        <v>67</v>
      </c>
      <c r="AD15" s="283">
        <f t="shared" si="6"/>
        <v>-1.3095338176329841E-2</v>
      </c>
      <c r="AE15" s="284">
        <f>Splines!S5</f>
        <v>3.5646094474941492E-3</v>
      </c>
      <c r="AF15" s="284">
        <f>AE15+AD15</f>
        <v>-9.5307287288356919E-3</v>
      </c>
      <c r="AG15" s="284">
        <f>AF15</f>
        <v>-9.5307287288356919E-3</v>
      </c>
      <c r="AI15" s="291">
        <f>AG15</f>
        <v>-9.5307287288356919E-3</v>
      </c>
      <c r="AJ15" s="284">
        <f>AF15</f>
        <v>-9.5307287288356919E-3</v>
      </c>
      <c r="AK15" s="288"/>
      <c r="AL15" s="283" t="s">
        <v>67</v>
      </c>
      <c r="AM15" s="283">
        <f t="shared" si="7"/>
        <v>1.3767056924019503E-2</v>
      </c>
      <c r="AN15" s="283">
        <f>Splines!X5</f>
        <v>4.5553911477327347E-3</v>
      </c>
      <c r="AO15" s="283">
        <f>AN15+AM15</f>
        <v>1.8322448071752238E-2</v>
      </c>
      <c r="AP15" s="284">
        <f>AO15</f>
        <v>1.8322448071752238E-2</v>
      </c>
      <c r="AQ15" s="283"/>
      <c r="AR15" s="291">
        <f>AP15</f>
        <v>1.8322448071752238E-2</v>
      </c>
      <c r="AS15" s="284">
        <f>AO15</f>
        <v>1.8322448071752238E-2</v>
      </c>
      <c r="AT15" s="289"/>
      <c r="AU15" s="283" t="s">
        <v>67</v>
      </c>
      <c r="AV15" s="283">
        <f t="shared" si="8"/>
        <v>-1.7810627274724481E-3</v>
      </c>
      <c r="AW15" s="284">
        <f>Splines!AC5</f>
        <v>1.4366433606483042E-4</v>
      </c>
      <c r="AX15" s="284">
        <f>AW15+AV15</f>
        <v>-1.6373983914076177E-3</v>
      </c>
      <c r="AY15" s="284">
        <f>AX15</f>
        <v>-1.6373983914076177E-3</v>
      </c>
      <c r="BA15" s="291">
        <f>AY15</f>
        <v>-1.6373983914076177E-3</v>
      </c>
      <c r="BB15" s="284">
        <f>AX15</f>
        <v>-1.6373983914076177E-3</v>
      </c>
      <c r="BC15" s="288"/>
      <c r="BD15" s="283" t="s">
        <v>67</v>
      </c>
      <c r="BE15" s="283">
        <f t="shared" si="9"/>
        <v>9.6993031717871655E-3</v>
      </c>
      <c r="BF15" s="284">
        <f>Splines!AH5</f>
        <v>4.2315328028053045E-4</v>
      </c>
      <c r="BG15" s="284">
        <f>BF15+BE15</f>
        <v>1.0122456452067696E-2</v>
      </c>
      <c r="BH15" s="284">
        <f>BG15</f>
        <v>1.0122456452067696E-2</v>
      </c>
      <c r="BJ15" s="291">
        <f>BH15</f>
        <v>1.0122456452067696E-2</v>
      </c>
      <c r="BK15" s="284">
        <f>BG15</f>
        <v>1.0122456452067696E-2</v>
      </c>
      <c r="BL15" s="288"/>
      <c r="BM15" s="283" t="s">
        <v>67</v>
      </c>
      <c r="BN15" s="283">
        <f t="shared" si="10"/>
        <v>-4.9839907786870807E-3</v>
      </c>
      <c r="BO15" s="284">
        <f>Splines!AM5</f>
        <v>1.8046081066131592E-2</v>
      </c>
      <c r="BP15" s="284">
        <f>BO15+BN15</f>
        <v>1.3062090287444511E-2</v>
      </c>
      <c r="BQ15" s="284">
        <f>BP15</f>
        <v>1.3062090287444511E-2</v>
      </c>
      <c r="BS15" s="291">
        <f>BQ15</f>
        <v>1.3062090287444511E-2</v>
      </c>
      <c r="BT15" s="284">
        <f>BP15</f>
        <v>1.3062090287444511E-2</v>
      </c>
      <c r="BU15" s="288"/>
      <c r="BV15" s="659" t="s">
        <v>67</v>
      </c>
      <c r="BW15" s="659">
        <f t="shared" si="11"/>
        <v>1.7833009495308937E-2</v>
      </c>
      <c r="BX15" s="284">
        <f>Splines!AR5</f>
        <v>1.8225661478936672E-3</v>
      </c>
      <c r="BY15" s="284">
        <f>BX15+BW15</f>
        <v>1.9655575643202604E-2</v>
      </c>
      <c r="BZ15" s="284">
        <f>BY15</f>
        <v>1.9655575643202604E-2</v>
      </c>
      <c r="CB15" s="291">
        <f>BZ15</f>
        <v>1.9655575643202604E-2</v>
      </c>
      <c r="CC15" s="284">
        <f>BY15</f>
        <v>1.9655575643202604E-2</v>
      </c>
      <c r="CD15" s="288"/>
      <c r="CE15" s="284" t="str">
        <f t="shared" si="1"/>
        <v>1 Year</v>
      </c>
      <c r="CF15" s="284">
        <f t="shared" si="2"/>
        <v>9.6993031717871655E-3</v>
      </c>
      <c r="CG15" s="284">
        <f t="shared" ref="CG15:CG67" si="16">BF15</f>
        <v>4.2315328028053045E-4</v>
      </c>
      <c r="CH15" s="284">
        <f t="shared" ref="CH15:CH67" si="17">BG15</f>
        <v>1.0122456452067696E-2</v>
      </c>
      <c r="CI15" s="284">
        <f t="shared" ref="CI15:CI67" si="18">BH15</f>
        <v>1.0122456452067696E-2</v>
      </c>
      <c r="CK15" s="284">
        <f>BJ15+MIN('Instructions &amp; Dashboard'!$D$44/10000,33/100*'Instructions &amp; Dashboard'!$D$42/10000)</f>
        <v>1.3104006452067695E-2</v>
      </c>
      <c r="CL15" s="284">
        <f>CK15</f>
        <v>1.3104006452067695E-2</v>
      </c>
    </row>
    <row r="16" spans="1:90">
      <c r="A16" s="283">
        <f>A15+1</f>
        <v>2</v>
      </c>
      <c r="B16" s="283" t="s">
        <v>68</v>
      </c>
      <c r="C16" s="283">
        <f t="shared" si="14"/>
        <v>1.7680111792976946E-2</v>
      </c>
      <c r="D16" s="284">
        <f>Splines!D6</f>
        <v>-2.7334084734320641E-4</v>
      </c>
      <c r="E16" s="506">
        <f t="shared" si="15"/>
        <v>1.740677094563374E-2</v>
      </c>
      <c r="F16" s="507">
        <f>(1+E16)^$A16/(1+E15)^$A15-1</f>
        <v>1.5288665649855426E-2</v>
      </c>
      <c r="H16" s="284">
        <f t="shared" ref="H16:H43" si="19">F16</f>
        <v>1.5288665649855426E-2</v>
      </c>
      <c r="I16" s="284">
        <f>((1+H16)*(1+I15)^$A15)^(1/($A16))-1</f>
        <v>1.7406770945633809E-2</v>
      </c>
      <c r="J16" s="285"/>
      <c r="K16" s="283" t="s">
        <v>68</v>
      </c>
      <c r="L16" s="552">
        <f t="shared" si="3"/>
        <v>-7.6889418287134498E-3</v>
      </c>
      <c r="M16" s="284">
        <f>Splines!I6</f>
        <v>1.8622917123138905E-3</v>
      </c>
      <c r="N16" s="283">
        <f t="shared" si="4"/>
        <v>-5.8266501163995593E-3</v>
      </c>
      <c r="O16" s="284">
        <f>(1+N16)^$A16/(1+N15)^$A15-1</f>
        <v>-6.0375939168541004E-3</v>
      </c>
      <c r="Q16" s="291">
        <f t="shared" ref="Q16:Q43" si="20">O16</f>
        <v>-6.0375939168541004E-3</v>
      </c>
      <c r="R16" s="284">
        <f>((1+Q16)*(1+R15)^$A15)^(1/($A16))-1</f>
        <v>-5.826650116399601E-3</v>
      </c>
      <c r="S16" s="287"/>
      <c r="T16" s="283" t="s">
        <v>68</v>
      </c>
      <c r="U16" s="283">
        <f t="shared" si="5"/>
        <v>5.5522055393531023E-3</v>
      </c>
      <c r="V16" s="284">
        <f>Splines!N6</f>
        <v>1.2055118568241596E-3</v>
      </c>
      <c r="W16" s="284">
        <f t="shared" ref="W16:W79" si="21">U16+V16</f>
        <v>6.7577173961772619E-3</v>
      </c>
      <c r="X16" s="284">
        <f>(1+W16)^$A16/(1+W15)^$A15-1</f>
        <v>6.3239141317938952E-3</v>
      </c>
      <c r="Z16" s="291">
        <f t="shared" ref="Z16:Z43" si="22">X16</f>
        <v>6.3239141317938952E-3</v>
      </c>
      <c r="AA16" s="284">
        <f>((1+Z16)*(1+AA15)^$A15)^(1/($A16))-1</f>
        <v>6.7577173961772541E-3</v>
      </c>
      <c r="AB16" s="288"/>
      <c r="AC16" s="283" t="s">
        <v>68</v>
      </c>
      <c r="AD16" s="283">
        <f t="shared" si="6"/>
        <v>-1.1970454759777493E-2</v>
      </c>
      <c r="AE16" s="284">
        <f>Splines!S6</f>
        <v>2.0918084774166346E-3</v>
      </c>
      <c r="AF16" s="284">
        <f t="shared" ref="AF16:AF79" si="23">AE16+AD16</f>
        <v>-9.8786462823608583E-3</v>
      </c>
      <c r="AG16" s="284">
        <f>(1+AF16)^$A16/(1+AF15)^$A15-1</f>
        <v>-1.0226441624498483E-2</v>
      </c>
      <c r="AI16" s="291">
        <f t="shared" ref="AI16:AI43" si="24">AG16</f>
        <v>-1.0226441624498483E-2</v>
      </c>
      <c r="AJ16" s="284">
        <f>((1+AI16)*(1+AJ15)^$A15)^(1/($A16))-1</f>
        <v>-9.8786462823609034E-3</v>
      </c>
      <c r="AK16" s="288"/>
      <c r="AL16" s="283" t="s">
        <v>68</v>
      </c>
      <c r="AM16" s="283">
        <f t="shared" si="7"/>
        <v>1.3950501025597526E-2</v>
      </c>
      <c r="AN16" s="283">
        <f>Splines!X6</f>
        <v>3.0256884638220072E-3</v>
      </c>
      <c r="AO16" s="283">
        <f t="shared" ref="AO16:AO79" si="25">AN16+AM16</f>
        <v>1.6976189489419535E-2</v>
      </c>
      <c r="AP16" s="284">
        <f>(1+AO16)^$A16/(1+AO15)^$A15-1</f>
        <v>1.5631710708930546E-2</v>
      </c>
      <c r="AQ16" s="283"/>
      <c r="AR16" s="291">
        <f t="shared" ref="AR16:AR43" si="26">AP16</f>
        <v>1.5631710708930546E-2</v>
      </c>
      <c r="AS16" s="284">
        <f>((1+AR16)*(1+AS15)^$A15)^(1/($A16))-1</f>
        <v>1.6976189489419591E-2</v>
      </c>
      <c r="AT16" s="289"/>
      <c r="AU16" s="283" t="s">
        <v>68</v>
      </c>
      <c r="AV16" s="283">
        <f t="shared" si="8"/>
        <v>-2.2184082915925061E-3</v>
      </c>
      <c r="AW16" s="284">
        <f>Splines!AC6</f>
        <v>2.3132472415454686E-4</v>
      </c>
      <c r="AX16" s="284">
        <f t="shared" ref="AX16:AX79" si="27">AW16+AV16</f>
        <v>-1.9870835674379592E-3</v>
      </c>
      <c r="AY16" s="284">
        <f>(1+AX16)^$A16/(1+AX15)^$A15-1</f>
        <v>-2.336646263196851E-3</v>
      </c>
      <c r="BA16" s="291">
        <f t="shared" ref="BA16:BA43" si="28">AY16</f>
        <v>-2.336646263196851E-3</v>
      </c>
      <c r="BB16" s="284">
        <f>((1+BA16)*(1+BB15)^$A15)^(1/($A16))-1</f>
        <v>-1.9870835674379306E-3</v>
      </c>
      <c r="BC16" s="288"/>
      <c r="BD16" s="283" t="s">
        <v>68</v>
      </c>
      <c r="BE16" s="283">
        <f t="shared" si="9"/>
        <v>9.3342324611000484E-3</v>
      </c>
      <c r="BF16" s="284">
        <f>Splines!AH6</f>
        <v>3.7257297663018107E-4</v>
      </c>
      <c r="BG16" s="284">
        <f t="shared" ref="BG16:BG79" si="29">BF16+BE16</f>
        <v>9.7068054377302294E-3</v>
      </c>
      <c r="BH16" s="284">
        <f>(1+BG16)^$A16/(1+BG15)^$A15-1</f>
        <v>9.2913254578694815E-3</v>
      </c>
      <c r="BJ16" s="291">
        <f t="shared" ref="BJ16:BJ43" si="30">BH16</f>
        <v>9.2913254578694815E-3</v>
      </c>
      <c r="BK16" s="284">
        <f>((1+BJ16)*(1+BK15)^$A15)^(1/($A16))-1</f>
        <v>9.7068054377302815E-3</v>
      </c>
      <c r="BL16" s="288"/>
      <c r="BM16" s="283" t="s">
        <v>68</v>
      </c>
      <c r="BN16" s="283">
        <f t="shared" si="10"/>
        <v>-2.6769839830502393E-2</v>
      </c>
      <c r="BO16" s="284">
        <f>Splines!AM6</f>
        <v>3.913460299372673E-2</v>
      </c>
      <c r="BP16" s="284">
        <f t="shared" ref="BP16:BP79" si="31">BO16+BN16</f>
        <v>1.2364763163224338E-2</v>
      </c>
      <c r="BQ16" s="284">
        <f>(1+BP16)^$A16/(1+BP15)^$A15-1</f>
        <v>1.1667916034379555E-2</v>
      </c>
      <c r="BS16" s="291">
        <f t="shared" ref="BS16:BS43" si="32">BQ16</f>
        <v>1.1667916034379555E-2</v>
      </c>
      <c r="BT16" s="284">
        <f>((1+BS16)*(1+BT15)^$A15)^(1/($A16))-1</f>
        <v>1.2364763163224435E-2</v>
      </c>
      <c r="BU16" s="288"/>
      <c r="BV16" s="659" t="s">
        <v>68</v>
      </c>
      <c r="BW16" s="659">
        <f t="shared" si="11"/>
        <v>1.6421687634901136E-2</v>
      </c>
      <c r="BX16" s="284">
        <f>Splines!AR6</f>
        <v>8.1405637320131063E-4</v>
      </c>
      <c r="BY16" s="284">
        <f t="shared" ref="BY16:BY79" si="33">BX16+BW16</f>
        <v>1.7235744008102447E-2</v>
      </c>
      <c r="BZ16" s="284">
        <f>(1+BY16)^$A16/(1+BY15)^$A15-1</f>
        <v>1.4821655081895369E-2</v>
      </c>
      <c r="CB16" s="291">
        <f t="shared" ref="CB16:CB79" si="34">BZ16</f>
        <v>1.4821655081895369E-2</v>
      </c>
      <c r="CC16" s="284">
        <f>((1+CB16)*(1+CC15)^$A15)^(1/($A16))-1</f>
        <v>1.7235744008102349E-2</v>
      </c>
      <c r="CD16" s="288"/>
      <c r="CE16" s="284" t="str">
        <f t="shared" si="1"/>
        <v>2 Year</v>
      </c>
      <c r="CF16" s="284">
        <f t="shared" si="2"/>
        <v>9.3342324611000484E-3</v>
      </c>
      <c r="CG16" s="284">
        <f t="shared" si="16"/>
        <v>3.7257297663018107E-4</v>
      </c>
      <c r="CH16" s="284">
        <f t="shared" si="17"/>
        <v>9.7068054377302294E-3</v>
      </c>
      <c r="CI16" s="284">
        <f t="shared" si="18"/>
        <v>9.2913254578694815E-3</v>
      </c>
      <c r="CK16" s="284">
        <f>BJ16+MIN('Instructions &amp; Dashboard'!$D$44/10000,33/100*'Instructions &amp; Dashboard'!$D$42/10000)</f>
        <v>1.2272875457869481E-2</v>
      </c>
      <c r="CL16" s="284">
        <f>((1+CK16)*(1+CL15)^$A15)^(1/($A16))-1</f>
        <v>1.2688355689509656E-2</v>
      </c>
    </row>
    <row r="17" spans="1:90">
      <c r="A17" s="283">
        <f>A16+1</f>
        <v>3</v>
      </c>
      <c r="B17" s="283" t="s">
        <v>69</v>
      </c>
      <c r="C17" s="283">
        <f t="shared" si="14"/>
        <v>1.7864182710062071E-2</v>
      </c>
      <c r="D17" s="284">
        <f>Splines!D7</f>
        <v>-1.1067719897255301E-3</v>
      </c>
      <c r="E17" s="506">
        <f t="shared" si="15"/>
        <v>1.6757410720336541E-2</v>
      </c>
      <c r="F17" s="507">
        <f>(1+E17)^$A17/(1+E16)^$A16-1</f>
        <v>1.5459933368384915E-2</v>
      </c>
      <c r="H17" s="284">
        <f t="shared" si="19"/>
        <v>1.5459933368384915E-2</v>
      </c>
      <c r="I17" s="284">
        <f>((1+H17)*(1+I16)^$A16)^(1/($A17))-1</f>
        <v>1.6757410720336541E-2</v>
      </c>
      <c r="J17" s="285"/>
      <c r="K17" s="283" t="s">
        <v>69</v>
      </c>
      <c r="L17" s="552">
        <f t="shared" si="3"/>
        <v>-7.6633927451663451E-3</v>
      </c>
      <c r="M17" s="284">
        <f>Splines!I7</f>
        <v>2.0937663502991199E-3</v>
      </c>
      <c r="N17" s="283">
        <f t="shared" si="4"/>
        <v>-5.5696263948672251E-3</v>
      </c>
      <c r="O17" s="284">
        <f t="shared" ref="O17:O80" si="35">(1+N17)^$A17/(1+N16)^$A16-1</f>
        <v>-5.0553795895291742E-3</v>
      </c>
      <c r="Q17" s="291">
        <f t="shared" si="20"/>
        <v>-5.0553795895291742E-3</v>
      </c>
      <c r="R17" s="284">
        <f t="shared" ref="R17:R80" si="36">((1+Q17)*(1+R16)^$A16)^(1/($A17))-1</f>
        <v>-5.5696263948672442E-3</v>
      </c>
      <c r="S17" s="287"/>
      <c r="T17" s="283" t="s">
        <v>69</v>
      </c>
      <c r="U17" s="283">
        <f t="shared" si="5"/>
        <v>5.068127198431199E-3</v>
      </c>
      <c r="V17" s="284">
        <f>Splines!N7</f>
        <v>1.7028945730999112E-3</v>
      </c>
      <c r="W17" s="284">
        <f t="shared" si="21"/>
        <v>6.7710217715311102E-3</v>
      </c>
      <c r="X17" s="284">
        <f t="shared" ref="X17:X80" si="37">(1+W17)^$A17/(1+W16)^$A16-1</f>
        <v>6.7976310496959957E-3</v>
      </c>
      <c r="Z17" s="291">
        <f t="shared" si="22"/>
        <v>6.7976310496959957E-3</v>
      </c>
      <c r="AA17" s="284">
        <f t="shared" ref="AA17:AA80" si="38">((1+Z17)*(1+AA16)^$A16)^(1/($A17))-1</f>
        <v>6.771021771531105E-3</v>
      </c>
      <c r="AB17" s="288"/>
      <c r="AC17" s="283" t="s">
        <v>69</v>
      </c>
      <c r="AD17" s="283">
        <f t="shared" si="6"/>
        <v>-1.0907187190712453E-2</v>
      </c>
      <c r="AE17" s="284">
        <f>Splines!S7</f>
        <v>1.3734913663938642E-3</v>
      </c>
      <c r="AF17" s="284">
        <f t="shared" si="23"/>
        <v>-9.5336958243185891E-3</v>
      </c>
      <c r="AG17" s="284">
        <f t="shared" ref="AG17:AG80" si="39">(1+AF17)^$A17/(1+AF16)^$A16-1</f>
        <v>-8.8434343323211539E-3</v>
      </c>
      <c r="AI17" s="291">
        <f t="shared" si="24"/>
        <v>-8.8434343323211539E-3</v>
      </c>
      <c r="AJ17" s="284">
        <f t="shared" ref="AJ17:AJ80" si="40">((1+AI17)*(1+AJ16)^$A16)^(1/($A17))-1</f>
        <v>-9.5336958243186221E-3</v>
      </c>
      <c r="AK17" s="288"/>
      <c r="AL17" s="283" t="s">
        <v>69</v>
      </c>
      <c r="AM17" s="283">
        <f t="shared" si="7"/>
        <v>1.4129067667065346E-2</v>
      </c>
      <c r="AN17" s="283">
        <f>Splines!X7</f>
        <v>2.3985786829143763E-3</v>
      </c>
      <c r="AO17" s="283">
        <f t="shared" si="25"/>
        <v>1.6527646349979722E-2</v>
      </c>
      <c r="AP17" s="284">
        <f t="shared" ref="AP17:AP80" si="41">(1+AO17)^$A17/(1+AO16)^$A16-1</f>
        <v>1.5631153481362237E-2</v>
      </c>
      <c r="AQ17" s="283"/>
      <c r="AR17" s="291">
        <f t="shared" si="26"/>
        <v>1.5631153481362237E-2</v>
      </c>
      <c r="AS17" s="284">
        <f t="shared" ref="AS17:AS80" si="42">((1+AR17)*(1+AS16)^$A16)^(1/($A17))-1</f>
        <v>1.6527646349979719E-2</v>
      </c>
      <c r="AT17" s="289"/>
      <c r="AU17" s="283" t="s">
        <v>69</v>
      </c>
      <c r="AV17" s="283">
        <f t="shared" si="8"/>
        <v>-2.484323844077577E-3</v>
      </c>
      <c r="AW17" s="284">
        <f>Splines!AC7</f>
        <v>3.3497504773549736E-4</v>
      </c>
      <c r="AX17" s="284">
        <f t="shared" si="27"/>
        <v>-2.1493487963420797E-3</v>
      </c>
      <c r="AY17" s="284">
        <f t="shared" ref="AY17:AY80" si="43">(1+AX17)^$A17/(1+AX16)^$A16-1</f>
        <v>-2.4738001111541674E-3</v>
      </c>
      <c r="BA17" s="291">
        <f t="shared" si="28"/>
        <v>-2.4738001111541674E-3</v>
      </c>
      <c r="BB17" s="284">
        <f t="shared" ref="BB17:BB80" si="44">((1+BA17)*(1+BB16)^$A16)^(1/($A17))-1</f>
        <v>-2.1493487963420987E-3</v>
      </c>
      <c r="BC17" s="288"/>
      <c r="BD17" s="283" t="s">
        <v>69</v>
      </c>
      <c r="BE17" s="283">
        <f t="shared" si="9"/>
        <v>9.5543442815649703E-3</v>
      </c>
      <c r="BF17" s="284">
        <f>Splines!AH7</f>
        <v>3.6671748966909945E-4</v>
      </c>
      <c r="BG17" s="284">
        <f t="shared" si="29"/>
        <v>9.9210617712340698E-3</v>
      </c>
      <c r="BH17" s="284">
        <f t="shared" ref="BH17:BH80" si="45">(1+BG17)^$A17/(1+BG16)^$A16-1</f>
        <v>1.0349710841274007E-2</v>
      </c>
      <c r="BJ17" s="291">
        <f t="shared" si="30"/>
        <v>1.0349710841274007E-2</v>
      </c>
      <c r="BK17" s="284">
        <f t="shared" ref="BK17:BK80" si="46">((1+BJ17)*(1+BK16)^$A16)^(1/($A17))-1</f>
        <v>9.9210617712339744E-3</v>
      </c>
      <c r="BL17" s="288"/>
      <c r="BM17" s="283" t="s">
        <v>69</v>
      </c>
      <c r="BN17" s="283">
        <f t="shared" si="10"/>
        <v>-1.7878336290357344E-2</v>
      </c>
      <c r="BO17" s="284">
        <f>Splines!AM7</f>
        <v>3.0325222760438919E-2</v>
      </c>
      <c r="BP17" s="284">
        <f t="shared" si="31"/>
        <v>1.2446886470081575E-2</v>
      </c>
      <c r="BQ17" s="284">
        <f t="shared" ref="BQ17:BQ80" si="47">(1+BP17)^$A17/(1+BP16)^$A16-1</f>
        <v>1.2611153069931325E-2</v>
      </c>
      <c r="BS17" s="291">
        <f t="shared" si="32"/>
        <v>1.2611153069931325E-2</v>
      </c>
      <c r="BT17" s="284">
        <f t="shared" ref="BT17:BT80" si="48">((1+BS17)*(1+BT16)^$A16)^(1/($A17))-1</f>
        <v>1.244688647008152E-2</v>
      </c>
      <c r="BU17" s="288"/>
      <c r="BV17" s="659" t="s">
        <v>69</v>
      </c>
      <c r="BW17" s="659">
        <f t="shared" si="11"/>
        <v>1.5392439461825752E-2</v>
      </c>
      <c r="BX17" s="284">
        <f>Splines!AR7</f>
        <v>1.055618398822844E-3</v>
      </c>
      <c r="BY17" s="284">
        <f t="shared" si="33"/>
        <v>1.6448057860648596E-2</v>
      </c>
      <c r="BZ17" s="284">
        <f t="shared" ref="BZ17:BZ80" si="49">(1+BY17)^$A17/(1+BY16)^$A16-1</f>
        <v>1.4874514903701952E-2</v>
      </c>
      <c r="CB17" s="291">
        <f t="shared" si="34"/>
        <v>1.4874514903701952E-2</v>
      </c>
      <c r="CC17" s="284">
        <f t="shared" ref="CC17:CC80" si="50">((1+CB17)*(1+CC16)^$A16)^(1/($A17))-1</f>
        <v>1.6448057860648513E-2</v>
      </c>
      <c r="CD17" s="288"/>
      <c r="CE17" s="284" t="str">
        <f t="shared" si="1"/>
        <v>3 Year</v>
      </c>
      <c r="CF17" s="284">
        <f t="shared" si="2"/>
        <v>9.5543442815649703E-3</v>
      </c>
      <c r="CG17" s="284">
        <f t="shared" si="16"/>
        <v>3.6671748966909945E-4</v>
      </c>
      <c r="CH17" s="284">
        <f t="shared" si="17"/>
        <v>9.9210617712340698E-3</v>
      </c>
      <c r="CI17" s="284">
        <f t="shared" si="18"/>
        <v>1.0349710841274007E-2</v>
      </c>
      <c r="CK17" s="284">
        <f>BJ17+MIN('Instructions &amp; Dashboard'!$D$44/10000,33/100*'Instructions &amp; Dashboard'!$D$42/10000)</f>
        <v>1.3331260841274006E-2</v>
      </c>
      <c r="CL17" s="284">
        <f t="shared" ref="CL17:CL80" si="51">((1+CK17)*(1+CL16)^$A16)^(1/($A17))-1</f>
        <v>1.2902612072940745E-2</v>
      </c>
    </row>
    <row r="18" spans="1:90">
      <c r="A18" s="283">
        <f t="shared" ref="A18:A80" si="52">A17+1</f>
        <v>4</v>
      </c>
      <c r="B18" s="283" t="s">
        <v>70</v>
      </c>
      <c r="C18" s="283">
        <f t="shared" si="14"/>
        <v>1.8092497670247482E-2</v>
      </c>
      <c r="D18" s="284">
        <f>Splines!D8</f>
        <v>-1.4129242626950145E-3</v>
      </c>
      <c r="E18" s="506">
        <f t="shared" si="15"/>
        <v>1.6679573407552467E-2</v>
      </c>
      <c r="F18" s="507">
        <f>(1+E18)^$A18/(1+E17)^$A17-1</f>
        <v>1.6446097220135458E-2</v>
      </c>
      <c r="H18" s="284">
        <f t="shared" si="19"/>
        <v>1.6446097220135458E-2</v>
      </c>
      <c r="I18" s="284">
        <f t="shared" ref="I18:I81" si="53">((1+H18)*(1+I17)^$A17)^(1/($A18))-1</f>
        <v>1.6679573407552439E-2</v>
      </c>
      <c r="J18" s="285"/>
      <c r="K18" s="283" t="s">
        <v>70</v>
      </c>
      <c r="L18" s="552">
        <f t="shared" si="3"/>
        <v>-7.3659717909434503E-3</v>
      </c>
      <c r="M18" s="284">
        <f>Splines!I8</f>
        <v>2.3073991760611534E-3</v>
      </c>
      <c r="N18" s="283">
        <f t="shared" si="4"/>
        <v>-5.0585726148822969E-3</v>
      </c>
      <c r="O18" s="284">
        <f t="shared" si="35"/>
        <v>-3.5238349023659632E-3</v>
      </c>
      <c r="Q18" s="291">
        <f t="shared" si="20"/>
        <v>-3.5238349023659632E-3</v>
      </c>
      <c r="R18" s="284">
        <f t="shared" si="36"/>
        <v>-5.0585726148822951E-3</v>
      </c>
      <c r="S18" s="287"/>
      <c r="T18" s="283" t="s">
        <v>70</v>
      </c>
      <c r="U18" s="283">
        <f t="shared" si="5"/>
        <v>4.9969835203492255E-3</v>
      </c>
      <c r="V18" s="284">
        <f>Splines!N8</f>
        <v>1.9673111382871866E-3</v>
      </c>
      <c r="W18" s="284">
        <f t="shared" si="21"/>
        <v>6.9642946586364121E-3</v>
      </c>
      <c r="X18" s="284">
        <f t="shared" si="37"/>
        <v>7.5443359675393395E-3</v>
      </c>
      <c r="Z18" s="291">
        <f t="shared" si="22"/>
        <v>7.5443359675393395E-3</v>
      </c>
      <c r="AA18" s="284">
        <f t="shared" si="38"/>
        <v>6.9642946586363497E-3</v>
      </c>
      <c r="AB18" s="288"/>
      <c r="AC18" s="283" t="s">
        <v>70</v>
      </c>
      <c r="AD18" s="283">
        <f t="shared" si="6"/>
        <v>-9.9035031694555253E-3</v>
      </c>
      <c r="AE18" s="284">
        <f>Splines!S8</f>
        <v>9.1158587019890547E-4</v>
      </c>
      <c r="AF18" s="284">
        <f t="shared" si="23"/>
        <v>-8.9919172992566198E-3</v>
      </c>
      <c r="AG18" s="284">
        <f t="shared" si="39"/>
        <v>-7.3648029799332493E-3</v>
      </c>
      <c r="AI18" s="291">
        <f t="shared" si="24"/>
        <v>-7.3648029799332493E-3</v>
      </c>
      <c r="AJ18" s="284">
        <f t="shared" si="40"/>
        <v>-8.9919172992566354E-3</v>
      </c>
      <c r="AK18" s="288"/>
      <c r="AL18" s="283" t="s">
        <v>70</v>
      </c>
      <c r="AM18" s="283">
        <f t="shared" si="7"/>
        <v>1.4302870294352911E-2</v>
      </c>
      <c r="AN18" s="283">
        <f>Splines!X8</f>
        <v>2.0279886666685343E-3</v>
      </c>
      <c r="AO18" s="283">
        <f t="shared" si="25"/>
        <v>1.6330858961021447E-2</v>
      </c>
      <c r="AP18" s="284">
        <f t="shared" si="41"/>
        <v>1.5740725338518891E-2</v>
      </c>
      <c r="AQ18" s="283"/>
      <c r="AR18" s="291">
        <f t="shared" si="26"/>
        <v>1.5740725338518891E-2</v>
      </c>
      <c r="AS18" s="284">
        <f t="shared" si="42"/>
        <v>1.6330858961021377E-2</v>
      </c>
      <c r="AT18" s="289"/>
      <c r="AU18" s="283" t="s">
        <v>70</v>
      </c>
      <c r="AV18" s="283">
        <f t="shared" si="8"/>
        <v>-2.6090023641163586E-3</v>
      </c>
      <c r="AW18" s="284">
        <f>Splines!AC8</f>
        <v>4.5957340626046062E-4</v>
      </c>
      <c r="AX18" s="284">
        <f t="shared" si="27"/>
        <v>-2.149428957855898E-3</v>
      </c>
      <c r="AY18" s="284">
        <f t="shared" si="43"/>
        <v>-2.1496694423583929E-3</v>
      </c>
      <c r="BA18" s="291">
        <f t="shared" si="28"/>
        <v>-2.1496694423583929E-3</v>
      </c>
      <c r="BB18" s="284">
        <f t="shared" si="44"/>
        <v>-2.149428957855859E-3</v>
      </c>
      <c r="BC18" s="288"/>
      <c r="BD18" s="283" t="s">
        <v>70</v>
      </c>
      <c r="BE18" s="283">
        <f t="shared" si="9"/>
        <v>1.0050002859864099E-2</v>
      </c>
      <c r="BF18" s="284">
        <f>Splines!AH8</f>
        <v>4.0222358074970543E-4</v>
      </c>
      <c r="BG18" s="284">
        <f t="shared" si="29"/>
        <v>1.0452226440613804E-2</v>
      </c>
      <c r="BH18" s="284">
        <f t="shared" si="45"/>
        <v>1.20473972224453E-2</v>
      </c>
      <c r="BJ18" s="291">
        <f t="shared" si="30"/>
        <v>1.20473972224453E-2</v>
      </c>
      <c r="BK18" s="284">
        <f t="shared" si="46"/>
        <v>1.0452226440613721E-2</v>
      </c>
      <c r="BL18" s="288"/>
      <c r="BM18" s="283" t="s">
        <v>70</v>
      </c>
      <c r="BN18" s="283">
        <f t="shared" si="10"/>
        <v>-5.4068711080230009E-3</v>
      </c>
      <c r="BO18" s="284">
        <f>Splines!AM8</f>
        <v>1.8192371353507042E-2</v>
      </c>
      <c r="BP18" s="284">
        <f t="shared" si="31"/>
        <v>1.2785500245484041E-2</v>
      </c>
      <c r="BQ18" s="284">
        <f t="shared" si="47"/>
        <v>1.380202122130747E-2</v>
      </c>
      <c r="BS18" s="291">
        <f t="shared" si="32"/>
        <v>1.380202122130747E-2</v>
      </c>
      <c r="BT18" s="284">
        <f t="shared" si="48"/>
        <v>1.2785500245483972E-2</v>
      </c>
      <c r="BU18" s="288"/>
      <c r="BV18" s="659" t="s">
        <v>70</v>
      </c>
      <c r="BW18" s="659">
        <f t="shared" si="11"/>
        <v>1.4691122957921542E-2</v>
      </c>
      <c r="BX18" s="284">
        <f>Splines!AR8</f>
        <v>1.6087591648101807E-3</v>
      </c>
      <c r="BY18" s="284">
        <f t="shared" si="33"/>
        <v>1.6299882122731722E-2</v>
      </c>
      <c r="BZ18" s="284">
        <f t="shared" si="49"/>
        <v>1.5855484500939321E-2</v>
      </c>
      <c r="CB18" s="291">
        <f t="shared" si="34"/>
        <v>1.5855484500939321E-2</v>
      </c>
      <c r="CC18" s="284">
        <f t="shared" si="50"/>
        <v>1.6299882122731812E-2</v>
      </c>
      <c r="CD18" s="288"/>
      <c r="CE18" s="284" t="str">
        <f t="shared" si="1"/>
        <v>4 Year</v>
      </c>
      <c r="CF18" s="284">
        <f t="shared" si="2"/>
        <v>1.0050002859864099E-2</v>
      </c>
      <c r="CG18" s="284">
        <f t="shared" si="16"/>
        <v>4.0222358074970543E-4</v>
      </c>
      <c r="CH18" s="284">
        <f t="shared" si="17"/>
        <v>1.0452226440613804E-2</v>
      </c>
      <c r="CI18" s="284">
        <f t="shared" si="18"/>
        <v>1.20473972224453E-2</v>
      </c>
      <c r="CK18" s="284">
        <f>BJ18+MIN('Instructions &amp; Dashboard'!$D$44/10000,33/100*'Instructions &amp; Dashboard'!$D$42/10000)</f>
        <v>1.5028947222445299E-2</v>
      </c>
      <c r="CL18" s="284">
        <f t="shared" si="51"/>
        <v>1.3433777899429122E-2</v>
      </c>
    </row>
    <row r="19" spans="1:90">
      <c r="A19" s="283">
        <f t="shared" si="52"/>
        <v>5</v>
      </c>
      <c r="B19" s="283" t="s">
        <v>71</v>
      </c>
      <c r="C19" s="283">
        <f t="shared" si="14"/>
        <v>1.8358540390717742E-2</v>
      </c>
      <c r="D19" s="284">
        <f>Splines!D9</f>
        <v>-1.4534828951582313E-3</v>
      </c>
      <c r="E19" s="506">
        <f t="shared" si="15"/>
        <v>1.6905057495559511E-2</v>
      </c>
      <c r="F19" s="507">
        <f t="shared" ref="F19:F82" si="54">(1+E19)^$A19/(1+E18)^$A18-1</f>
        <v>1.7807494047973327E-2</v>
      </c>
      <c r="H19" s="284">
        <f t="shared" si="19"/>
        <v>1.7807494047973327E-2</v>
      </c>
      <c r="I19" s="284">
        <f t="shared" si="53"/>
        <v>1.6905057495559594E-2</v>
      </c>
      <c r="J19" s="285"/>
      <c r="K19" s="283" t="s">
        <v>71</v>
      </c>
      <c r="L19" s="552">
        <f t="shared" si="3"/>
        <v>-6.8834907186791474E-3</v>
      </c>
      <c r="M19" s="284">
        <f>Splines!I9</f>
        <v>2.5201779790222645E-3</v>
      </c>
      <c r="N19" s="283">
        <f t="shared" si="4"/>
        <v>-4.3633127396568829E-3</v>
      </c>
      <c r="O19" s="284">
        <f t="shared" si="35"/>
        <v>-1.5774114028050956E-3</v>
      </c>
      <c r="Q19" s="291">
        <f t="shared" si="20"/>
        <v>-1.5774114028050956E-3</v>
      </c>
      <c r="R19" s="284">
        <f t="shared" si="36"/>
        <v>-4.3633127396568439E-3</v>
      </c>
      <c r="S19" s="287"/>
      <c r="T19" s="283" t="s">
        <v>71</v>
      </c>
      <c r="U19" s="283">
        <f t="shared" si="5"/>
        <v>5.2225310288750715E-3</v>
      </c>
      <c r="V19" s="284">
        <f>Splines!N9</f>
        <v>2.0283367484807968E-3</v>
      </c>
      <c r="W19" s="284">
        <f t="shared" si="21"/>
        <v>7.2508677773558683E-3</v>
      </c>
      <c r="X19" s="284">
        <f t="shared" si="37"/>
        <v>8.397976046080613E-3</v>
      </c>
      <c r="Z19" s="291">
        <f t="shared" si="22"/>
        <v>8.397976046080613E-3</v>
      </c>
      <c r="AA19" s="284">
        <f t="shared" si="38"/>
        <v>7.2508677773559516E-3</v>
      </c>
      <c r="AB19" s="288"/>
      <c r="AC19" s="283" t="s">
        <v>71</v>
      </c>
      <c r="AD19" s="283">
        <f t="shared" si="6"/>
        <v>-8.9574269210911366E-3</v>
      </c>
      <c r="AE19" s="284">
        <f>Splines!S9</f>
        <v>6.696073105558753E-4</v>
      </c>
      <c r="AF19" s="284">
        <f t="shared" si="23"/>
        <v>-8.2878196105352613E-3</v>
      </c>
      <c r="AG19" s="284">
        <f t="shared" si="39"/>
        <v>-5.4664227823877365E-3</v>
      </c>
      <c r="AI19" s="291">
        <f t="shared" si="24"/>
        <v>-5.4664227823877365E-3</v>
      </c>
      <c r="AJ19" s="284">
        <f t="shared" si="40"/>
        <v>-8.2878196105352631E-3</v>
      </c>
      <c r="AK19" s="288"/>
      <c r="AL19" s="283" t="s">
        <v>71</v>
      </c>
      <c r="AM19" s="283">
        <f t="shared" si="7"/>
        <v>1.4472020105455586E-2</v>
      </c>
      <c r="AN19" s="283">
        <f>Splines!X9</f>
        <v>1.8694887403398752E-3</v>
      </c>
      <c r="AO19" s="283">
        <f t="shared" si="25"/>
        <v>1.6341508845795459E-2</v>
      </c>
      <c r="AP19" s="284">
        <f t="shared" si="41"/>
        <v>1.6384109500879429E-2</v>
      </c>
      <c r="AQ19" s="283"/>
      <c r="AR19" s="291">
        <f t="shared" si="26"/>
        <v>1.6384109500879429E-2</v>
      </c>
      <c r="AS19" s="284">
        <f t="shared" si="42"/>
        <v>1.6341508845795438E-2</v>
      </c>
      <c r="AT19" s="289"/>
      <c r="AU19" s="283" t="s">
        <v>71</v>
      </c>
      <c r="AV19" s="283">
        <f t="shared" si="8"/>
        <v>-2.6173951214173608E-3</v>
      </c>
      <c r="AW19" s="284">
        <f>Splines!AC9</f>
        <v>5.8628915576264262E-4</v>
      </c>
      <c r="AX19" s="284">
        <f t="shared" si="27"/>
        <v>-2.0311059656547181E-3</v>
      </c>
      <c r="AY19" s="284">
        <f t="shared" si="43"/>
        <v>-1.5576736753319942E-3</v>
      </c>
      <c r="BA19" s="291">
        <f t="shared" si="28"/>
        <v>-1.5576736753319942E-3</v>
      </c>
      <c r="BB19" s="284">
        <f t="shared" si="44"/>
        <v>-2.0311059656547004E-3</v>
      </c>
      <c r="BC19" s="288"/>
      <c r="BD19" s="283" t="s">
        <v>71</v>
      </c>
      <c r="BE19" s="283">
        <f t="shared" si="9"/>
        <v>1.0659873992707593E-2</v>
      </c>
      <c r="BF19" s="284">
        <f>Splines!AH9</f>
        <v>4.6073162229731679E-4</v>
      </c>
      <c r="BG19" s="284">
        <f t="shared" si="29"/>
        <v>1.112060561500491E-2</v>
      </c>
      <c r="BH19" s="284">
        <f t="shared" si="45"/>
        <v>1.37985463348409E-2</v>
      </c>
      <c r="BJ19" s="291">
        <f t="shared" si="30"/>
        <v>1.37985463348409E-2</v>
      </c>
      <c r="BK19" s="284">
        <f t="shared" si="46"/>
        <v>1.112060561500483E-2</v>
      </c>
      <c r="BL19" s="288"/>
      <c r="BM19" s="283" t="s">
        <v>71</v>
      </c>
      <c r="BN19" s="283">
        <f t="shared" si="10"/>
        <v>4.3618141484182693E-3</v>
      </c>
      <c r="BO19" s="284">
        <f>Splines!AM9</f>
        <v>8.9844744652509689E-3</v>
      </c>
      <c r="BP19" s="284">
        <f t="shared" si="31"/>
        <v>1.3346288613669238E-2</v>
      </c>
      <c r="BQ19" s="284">
        <f t="shared" si="47"/>
        <v>1.5592548941459006E-2</v>
      </c>
      <c r="BS19" s="291">
        <f t="shared" si="32"/>
        <v>1.5592548941459006E-2</v>
      </c>
      <c r="BT19" s="284">
        <f t="shared" si="48"/>
        <v>1.3346288613669266E-2</v>
      </c>
      <c r="BU19" s="288"/>
      <c r="BV19" s="659" t="s">
        <v>71</v>
      </c>
      <c r="BW19" s="659">
        <f t="shared" si="11"/>
        <v>1.4270029195432993E-2</v>
      </c>
      <c r="BX19" s="284">
        <f>Splines!AR9</f>
        <v>2.0869076251983643E-3</v>
      </c>
      <c r="BY19" s="284">
        <f t="shared" si="33"/>
        <v>1.6356936820631357E-2</v>
      </c>
      <c r="BZ19" s="284">
        <f t="shared" si="49"/>
        <v>1.6585187644323041E-2</v>
      </c>
      <c r="CB19" s="291">
        <f t="shared" si="34"/>
        <v>1.6585187644323041E-2</v>
      </c>
      <c r="CC19" s="284">
        <f t="shared" si="50"/>
        <v>1.6356936820631329E-2</v>
      </c>
      <c r="CD19" s="288"/>
      <c r="CE19" s="284" t="str">
        <f t="shared" si="1"/>
        <v>5 Year</v>
      </c>
      <c r="CF19" s="284">
        <f t="shared" si="2"/>
        <v>1.0659873992707593E-2</v>
      </c>
      <c r="CG19" s="284">
        <f t="shared" si="16"/>
        <v>4.6073162229731679E-4</v>
      </c>
      <c r="CH19" s="284">
        <f t="shared" si="17"/>
        <v>1.112060561500491E-2</v>
      </c>
      <c r="CI19" s="284">
        <f t="shared" si="18"/>
        <v>1.37985463348409E-2</v>
      </c>
      <c r="CK19" s="284">
        <f>BJ19+MIN('Instructions &amp; Dashboard'!$D$44/10000,33/100*'Instructions &amp; Dashboard'!$D$42/10000)</f>
        <v>1.6780096334840899E-2</v>
      </c>
      <c r="CL19" s="284">
        <f t="shared" si="51"/>
        <v>1.4102159380802171E-2</v>
      </c>
    </row>
    <row r="20" spans="1:90">
      <c r="A20" s="283">
        <f t="shared" si="52"/>
        <v>6</v>
      </c>
      <c r="B20" s="283" t="s">
        <v>72</v>
      </c>
      <c r="C20" s="283">
        <f t="shared" si="14"/>
        <v>1.8656473881589891E-2</v>
      </c>
      <c r="D20" s="284">
        <f>Splines!D10</f>
        <v>-1.3572175521403551E-3</v>
      </c>
      <c r="E20" s="506">
        <f t="shared" si="15"/>
        <v>1.7299256329449536E-2</v>
      </c>
      <c r="F20" s="507">
        <f t="shared" si="54"/>
        <v>1.927254382597976E-2</v>
      </c>
      <c r="H20" s="284">
        <f t="shared" si="19"/>
        <v>1.927254382597976E-2</v>
      </c>
      <c r="I20" s="284">
        <f t="shared" si="53"/>
        <v>1.7299256329449619E-2</v>
      </c>
      <c r="J20" s="285"/>
      <c r="K20" s="283" t="s">
        <v>72</v>
      </c>
      <c r="L20" s="552">
        <f t="shared" si="3"/>
        <v>-6.2818599280919426E-3</v>
      </c>
      <c r="M20" s="284">
        <f>Splines!I10</f>
        <v>2.7208230458199978E-3</v>
      </c>
      <c r="N20" s="283">
        <f t="shared" si="4"/>
        <v>-3.5610368822719448E-3</v>
      </c>
      <c r="O20" s="284">
        <f t="shared" si="35"/>
        <v>4.6004983866598792E-4</v>
      </c>
      <c r="Q20" s="291">
        <f t="shared" si="20"/>
        <v>4.6004983866598792E-4</v>
      </c>
      <c r="R20" s="284">
        <f t="shared" si="36"/>
        <v>-3.5610368822719396E-3</v>
      </c>
      <c r="S20" s="287"/>
      <c r="T20" s="283" t="s">
        <v>72</v>
      </c>
      <c r="U20" s="283">
        <f t="shared" si="5"/>
        <v>5.6549913921392254E-3</v>
      </c>
      <c r="V20" s="284">
        <f>Splines!N10</f>
        <v>1.9084989326074719E-3</v>
      </c>
      <c r="W20" s="284">
        <f t="shared" si="21"/>
        <v>7.5634903247466974E-3</v>
      </c>
      <c r="X20" s="284">
        <f t="shared" si="37"/>
        <v>9.1280591038016556E-3</v>
      </c>
      <c r="Z20" s="291">
        <f t="shared" si="22"/>
        <v>9.1280591038016556E-3</v>
      </c>
      <c r="AA20" s="284">
        <f t="shared" si="38"/>
        <v>7.5634903247467911E-3</v>
      </c>
      <c r="AB20" s="288"/>
      <c r="AC20" s="283" t="s">
        <v>72</v>
      </c>
      <c r="AD20" s="283">
        <f t="shared" si="6"/>
        <v>-8.0670377304249228E-3</v>
      </c>
      <c r="AE20" s="284">
        <f>Splines!S10</f>
        <v>5.5297557264566422E-4</v>
      </c>
      <c r="AF20" s="284">
        <f t="shared" si="23"/>
        <v>-7.5140621577792586E-3</v>
      </c>
      <c r="AG20" s="284">
        <f t="shared" si="39"/>
        <v>-3.6362099082194455E-3</v>
      </c>
      <c r="AI20" s="291">
        <f t="shared" si="24"/>
        <v>-3.6362099082194455E-3</v>
      </c>
      <c r="AJ20" s="284">
        <f t="shared" si="40"/>
        <v>-7.5140621577792777E-3</v>
      </c>
      <c r="AK20" s="288"/>
      <c r="AL20" s="283" t="s">
        <v>72</v>
      </c>
      <c r="AM20" s="283">
        <f t="shared" si="7"/>
        <v>1.463662609098601E-2</v>
      </c>
      <c r="AN20" s="283">
        <f>Splines!X10</f>
        <v>1.8903383752331138E-3</v>
      </c>
      <c r="AO20" s="283">
        <f t="shared" si="25"/>
        <v>1.6526964466219124E-2</v>
      </c>
      <c r="AP20" s="284">
        <f t="shared" si="41"/>
        <v>1.745475030352206E-2</v>
      </c>
      <c r="AQ20" s="283"/>
      <c r="AR20" s="291">
        <f t="shared" si="26"/>
        <v>1.745475030352206E-2</v>
      </c>
      <c r="AS20" s="284">
        <f t="shared" si="42"/>
        <v>1.6526964466219152E-2</v>
      </c>
      <c r="AT20" s="289"/>
      <c r="AU20" s="283" t="s">
        <v>72</v>
      </c>
      <c r="AV20" s="283">
        <f t="shared" si="8"/>
        <v>-2.5301309240936608E-3</v>
      </c>
      <c r="AW20" s="284">
        <f>Splines!AC10</f>
        <v>6.7987741203978658E-4</v>
      </c>
      <c r="AX20" s="284">
        <f t="shared" si="27"/>
        <v>-1.8502535120538742E-3</v>
      </c>
      <c r="AY20" s="284">
        <f t="shared" si="43"/>
        <v>-9.4549951257993925E-4</v>
      </c>
      <c r="BA20" s="291">
        <f t="shared" si="28"/>
        <v>-9.4549951257993925E-4</v>
      </c>
      <c r="BB20" s="284">
        <f t="shared" si="44"/>
        <v>-1.8502535120539232E-3</v>
      </c>
      <c r="BC20" s="288"/>
      <c r="BD20" s="283" t="s">
        <v>72</v>
      </c>
      <c r="BE20" s="283">
        <f t="shared" si="9"/>
        <v>1.130250498648817E-2</v>
      </c>
      <c r="BF20" s="284">
        <f>Splines!AH10</f>
        <v>5.9479317860677838E-4</v>
      </c>
      <c r="BG20" s="284">
        <f t="shared" si="29"/>
        <v>1.1897298165094949E-2</v>
      </c>
      <c r="BH20" s="284">
        <f t="shared" si="45"/>
        <v>1.5789719335346009E-2</v>
      </c>
      <c r="BJ20" s="291">
        <f t="shared" si="30"/>
        <v>1.5789719335346009E-2</v>
      </c>
      <c r="BK20" s="284">
        <f t="shared" si="46"/>
        <v>1.1897298165094883E-2</v>
      </c>
      <c r="BL20" s="288"/>
      <c r="BM20" s="283" t="s">
        <v>72</v>
      </c>
      <c r="BN20" s="283">
        <f t="shared" si="10"/>
        <v>1.0893013842751598E-2</v>
      </c>
      <c r="BO20" s="284">
        <f>Splines!AM10</f>
        <v>3.1798467971384525E-3</v>
      </c>
      <c r="BP20" s="284">
        <f t="shared" si="31"/>
        <v>1.407286063989005E-2</v>
      </c>
      <c r="BQ20" s="284">
        <f t="shared" si="47"/>
        <v>1.7713542557104223E-2</v>
      </c>
      <c r="BS20" s="291">
        <f t="shared" si="32"/>
        <v>1.7713542557104223E-2</v>
      </c>
      <c r="BT20" s="284">
        <f t="shared" si="48"/>
        <v>1.4072860639890106E-2</v>
      </c>
      <c r="BU20" s="288"/>
      <c r="BV20" s="659" t="s">
        <v>72</v>
      </c>
      <c r="BW20" s="659">
        <f t="shared" si="11"/>
        <v>1.4087179242891851E-2</v>
      </c>
      <c r="BX20" s="284">
        <f>Splines!AR10</f>
        <v>2.3959104437381029E-3</v>
      </c>
      <c r="BY20" s="284">
        <f t="shared" si="33"/>
        <v>1.6483089686629954E-2</v>
      </c>
      <c r="BZ20" s="284">
        <f t="shared" si="49"/>
        <v>1.7114088931824201E-2</v>
      </c>
      <c r="CB20" s="291">
        <f t="shared" si="34"/>
        <v>1.7114088931824201E-2</v>
      </c>
      <c r="CC20" s="284">
        <f t="shared" si="50"/>
        <v>1.6483089686629926E-2</v>
      </c>
      <c r="CD20" s="288"/>
      <c r="CE20" s="284" t="str">
        <f t="shared" si="1"/>
        <v>6 Year</v>
      </c>
      <c r="CF20" s="284">
        <f t="shared" si="2"/>
        <v>1.130250498648817E-2</v>
      </c>
      <c r="CG20" s="284">
        <f t="shared" si="16"/>
        <v>5.9479317860677838E-4</v>
      </c>
      <c r="CH20" s="284">
        <f t="shared" si="17"/>
        <v>1.1897298165094949E-2</v>
      </c>
      <c r="CI20" s="284">
        <f t="shared" si="18"/>
        <v>1.5789719335346009E-2</v>
      </c>
      <c r="CK20" s="284">
        <f>BJ20+MIN('Instructions &amp; Dashboard'!$D$44/10000,33/100*'Instructions &amp; Dashboard'!$D$42/10000)</f>
        <v>1.8771269335346008E-2</v>
      </c>
      <c r="CL20" s="284">
        <f t="shared" si="51"/>
        <v>1.4878855683114978E-2</v>
      </c>
    </row>
    <row r="21" spans="1:90">
      <c r="A21" s="283">
        <f t="shared" si="52"/>
        <v>7</v>
      </c>
      <c r="B21" s="283" t="s">
        <v>73</v>
      </c>
      <c r="C21" s="283">
        <f t="shared" si="14"/>
        <v>1.8981080278950957E-2</v>
      </c>
      <c r="D21" s="284">
        <f>Splines!D11</f>
        <v>-1.2613694416359067E-3</v>
      </c>
      <c r="E21" s="506">
        <f t="shared" si="15"/>
        <v>1.771971083731505E-2</v>
      </c>
      <c r="F21" s="507">
        <f t="shared" si="54"/>
        <v>2.0246089691151159E-2</v>
      </c>
      <c r="H21" s="284">
        <f t="shared" si="19"/>
        <v>2.0246089691151159E-2</v>
      </c>
      <c r="I21" s="284">
        <f t="shared" si="53"/>
        <v>1.771971083731505E-2</v>
      </c>
      <c r="J21" s="285"/>
      <c r="K21" s="283" t="s">
        <v>73</v>
      </c>
      <c r="L21" s="552">
        <f t="shared" si="3"/>
        <v>-5.610613614015849E-3</v>
      </c>
      <c r="M21" s="284">
        <f>Splines!I11</f>
        <v>2.8904457576572895E-3</v>
      </c>
      <c r="N21" s="283">
        <f t="shared" si="4"/>
        <v>-2.7201678563585595E-3</v>
      </c>
      <c r="O21" s="284">
        <f t="shared" si="35"/>
        <v>2.3399686142195897E-3</v>
      </c>
      <c r="Q21" s="291">
        <f t="shared" si="20"/>
        <v>2.3399686142195897E-3</v>
      </c>
      <c r="R21" s="284">
        <f t="shared" si="36"/>
        <v>-2.7201678563585352E-3</v>
      </c>
      <c r="S21" s="287"/>
      <c r="T21" s="283" t="s">
        <v>73</v>
      </c>
      <c r="U21" s="283">
        <f t="shared" si="5"/>
        <v>6.2254664663813838E-3</v>
      </c>
      <c r="V21" s="284">
        <f>Splines!N11</f>
        <v>1.6669288743287325E-3</v>
      </c>
      <c r="W21" s="284">
        <f t="shared" si="21"/>
        <v>7.8923953407101163E-3</v>
      </c>
      <c r="X21" s="284">
        <f t="shared" si="37"/>
        <v>9.8680813589140381E-3</v>
      </c>
      <c r="Z21" s="291">
        <f t="shared" si="22"/>
        <v>9.8680813589140381E-3</v>
      </c>
      <c r="AA21" s="284">
        <f t="shared" si="38"/>
        <v>7.8923953407101788E-3</v>
      </c>
      <c r="AB21" s="288"/>
      <c r="AC21" s="283" t="s">
        <v>73</v>
      </c>
      <c r="AD21" s="283">
        <f t="shared" si="6"/>
        <v>-7.2304685136704329E-3</v>
      </c>
      <c r="AE21" s="284">
        <f>Splines!S11</f>
        <v>6.0505792498588562E-4</v>
      </c>
      <c r="AF21" s="284">
        <f t="shared" si="23"/>
        <v>-6.6254105886845473E-3</v>
      </c>
      <c r="AG21" s="284">
        <f t="shared" si="39"/>
        <v>-1.2767669280521199E-3</v>
      </c>
      <c r="AI21" s="291">
        <f t="shared" si="24"/>
        <v>-1.2767669280521199E-3</v>
      </c>
      <c r="AJ21" s="284">
        <f t="shared" si="40"/>
        <v>-6.6254105886845993E-3</v>
      </c>
      <c r="AK21" s="288"/>
      <c r="AL21" s="283" t="s">
        <v>73</v>
      </c>
      <c r="AM21" s="283">
        <f t="shared" si="7"/>
        <v>1.4796795074036671E-2</v>
      </c>
      <c r="AN21" s="283">
        <f>Splines!X11</f>
        <v>1.9966484978795052E-3</v>
      </c>
      <c r="AO21" s="283">
        <f t="shared" si="25"/>
        <v>1.6793443571916176E-2</v>
      </c>
      <c r="AP21" s="284">
        <f t="shared" si="41"/>
        <v>1.8393785835731258E-2</v>
      </c>
      <c r="AQ21" s="283"/>
      <c r="AR21" s="291">
        <f t="shared" si="26"/>
        <v>1.8393785835731258E-2</v>
      </c>
      <c r="AS21" s="284">
        <f t="shared" si="42"/>
        <v>1.6793443571916145E-2</v>
      </c>
      <c r="AT21" s="289"/>
      <c r="AU21" s="283" t="s">
        <v>73</v>
      </c>
      <c r="AV21" s="283">
        <f t="shared" si="8"/>
        <v>-2.3642739790482336E-3</v>
      </c>
      <c r="AW21" s="284">
        <f>Splines!AC11</f>
        <v>7.6335150515660644E-4</v>
      </c>
      <c r="AX21" s="284">
        <f t="shared" si="27"/>
        <v>-1.6009224738916272E-3</v>
      </c>
      <c r="AY21" s="284">
        <f t="shared" si="43"/>
        <v>-1.0362779501704722E-4</v>
      </c>
      <c r="BA21" s="291">
        <f t="shared" si="28"/>
        <v>-1.0362779501704722E-4</v>
      </c>
      <c r="BB21" s="284">
        <f t="shared" si="44"/>
        <v>-1.6009224738916528E-3</v>
      </c>
      <c r="BC21" s="288"/>
      <c r="BD21" s="283" t="s">
        <v>73</v>
      </c>
      <c r="BE21" s="283">
        <f t="shared" si="9"/>
        <v>1.1938871979577241E-2</v>
      </c>
      <c r="BF21" s="284">
        <f>Splines!AH11</f>
        <v>7.8310898970812559E-4</v>
      </c>
      <c r="BG21" s="284">
        <f t="shared" si="29"/>
        <v>1.2721980969285366E-2</v>
      </c>
      <c r="BH21" s="284">
        <f t="shared" si="45"/>
        <v>1.7684211196806299E-2</v>
      </c>
      <c r="BJ21" s="291">
        <f t="shared" si="30"/>
        <v>1.7684211196806299E-2</v>
      </c>
      <c r="BK21" s="284">
        <f t="shared" si="46"/>
        <v>1.272198096928534E-2</v>
      </c>
      <c r="BL21" s="288"/>
      <c r="BM21" s="283" t="s">
        <v>73</v>
      </c>
      <c r="BN21" s="283">
        <f t="shared" si="10"/>
        <v>1.4917148715085427E-2</v>
      </c>
      <c r="BO21" s="284">
        <f>Splines!AM11</f>
        <v>-5.2773539209738374E-5</v>
      </c>
      <c r="BP21" s="284">
        <f t="shared" si="31"/>
        <v>1.4864375175875688E-2</v>
      </c>
      <c r="BQ21" s="284">
        <f t="shared" si="47"/>
        <v>1.962645310409239E-2</v>
      </c>
      <c r="BS21" s="291">
        <f t="shared" si="32"/>
        <v>1.962645310409239E-2</v>
      </c>
      <c r="BT21" s="284">
        <f t="shared" si="48"/>
        <v>1.4864375175875688E-2</v>
      </c>
      <c r="BU21" s="288"/>
      <c r="BV21" s="659" t="s">
        <v>73</v>
      </c>
      <c r="BW21" s="659">
        <f t="shared" si="11"/>
        <v>1.4105694255789614E-2</v>
      </c>
      <c r="BX21" s="284">
        <f>Splines!AR11</f>
        <v>2.7049130294471979E-3</v>
      </c>
      <c r="BY21" s="284">
        <f t="shared" si="33"/>
        <v>1.6810607285236812E-2</v>
      </c>
      <c r="BZ21" s="284">
        <f t="shared" si="49"/>
        <v>1.8777930162558354E-2</v>
      </c>
      <c r="CB21" s="291">
        <f t="shared" si="34"/>
        <v>1.8777930162558354E-2</v>
      </c>
      <c r="CC21" s="284">
        <f t="shared" si="50"/>
        <v>1.6810607285236756E-2</v>
      </c>
      <c r="CD21" s="288"/>
      <c r="CE21" s="284" t="str">
        <f t="shared" si="1"/>
        <v>7 Year</v>
      </c>
      <c r="CF21" s="284">
        <f t="shared" si="2"/>
        <v>1.1938871979577241E-2</v>
      </c>
      <c r="CG21" s="284">
        <f t="shared" si="16"/>
        <v>7.8310898970812559E-4</v>
      </c>
      <c r="CH21" s="284">
        <f t="shared" si="17"/>
        <v>1.2721980969285366E-2</v>
      </c>
      <c r="CI21" s="284">
        <f t="shared" si="18"/>
        <v>1.7684211196806299E-2</v>
      </c>
      <c r="CK21" s="284">
        <f>BJ21+MIN('Instructions &amp; Dashboard'!$D$44/10000,33/100*'Instructions &amp; Dashboard'!$D$42/10000)</f>
        <v>2.0665761196806298E-2</v>
      </c>
      <c r="CL21" s="284">
        <f t="shared" si="51"/>
        <v>1.5703543329361747E-2</v>
      </c>
    </row>
    <row r="22" spans="1:90">
      <c r="A22" s="283">
        <f t="shared" si="52"/>
        <v>8</v>
      </c>
      <c r="B22" s="283" t="s">
        <v>74</v>
      </c>
      <c r="C22" s="283">
        <f t="shared" si="14"/>
        <v>1.9327705174832399E-2</v>
      </c>
      <c r="D22" s="284">
        <f>Splines!D12</f>
        <v>-1.1513190111145377E-3</v>
      </c>
      <c r="E22" s="506">
        <f t="shared" si="15"/>
        <v>1.8176386163717861E-2</v>
      </c>
      <c r="F22" s="507">
        <f t="shared" si="54"/>
        <v>2.1378856394655976E-2</v>
      </c>
      <c r="H22" s="284">
        <f t="shared" si="19"/>
        <v>2.1378856394655976E-2</v>
      </c>
      <c r="I22" s="284">
        <f t="shared" si="53"/>
        <v>1.8176386163717861E-2</v>
      </c>
      <c r="J22" s="285"/>
      <c r="K22" s="283" t="s">
        <v>74</v>
      </c>
      <c r="L22" s="552">
        <f t="shared" si="3"/>
        <v>-4.9065030942335181E-3</v>
      </c>
      <c r="M22" s="284">
        <f>Splines!I12</f>
        <v>3.0708878766745329E-3</v>
      </c>
      <c r="N22" s="283">
        <f t="shared" si="4"/>
        <v>-1.8356152175589852E-3</v>
      </c>
      <c r="O22" s="284">
        <f t="shared" si="35"/>
        <v>4.3782601575221847E-3</v>
      </c>
      <c r="Q22" s="291">
        <f t="shared" si="20"/>
        <v>4.3782601575221847E-3</v>
      </c>
      <c r="R22" s="284">
        <f t="shared" si="36"/>
        <v>-1.835615217559039E-3</v>
      </c>
      <c r="S22" s="287"/>
      <c r="T22" s="283" t="s">
        <v>74</v>
      </c>
      <c r="U22" s="283">
        <f t="shared" si="5"/>
        <v>6.8814905527375949E-3</v>
      </c>
      <c r="V22" s="284">
        <f>Splines!N12</f>
        <v>1.3415653957054019E-3</v>
      </c>
      <c r="W22" s="284">
        <f t="shared" si="21"/>
        <v>8.2230559484429977E-3</v>
      </c>
      <c r="X22" s="284">
        <f t="shared" si="37"/>
        <v>1.0540719643903795E-2</v>
      </c>
      <c r="Z22" s="291">
        <f t="shared" si="22"/>
        <v>1.0540719643903795E-2</v>
      </c>
      <c r="AA22" s="284">
        <f t="shared" si="38"/>
        <v>8.223055948443081E-3</v>
      </c>
      <c r="AB22" s="288"/>
      <c r="AC22" s="283" t="s">
        <v>74</v>
      </c>
      <c r="AD22" s="283">
        <f t="shared" si="6"/>
        <v>-6.4459044259744039E-3</v>
      </c>
      <c r="AE22" s="284">
        <f>Splines!S12</f>
        <v>6.6271534888073802E-4</v>
      </c>
      <c r="AF22" s="284">
        <f t="shared" si="23"/>
        <v>-5.7831890770936659E-3</v>
      </c>
      <c r="AG22" s="284">
        <f t="shared" si="39"/>
        <v>1.3238934914072686E-4</v>
      </c>
      <c r="AI22" s="291">
        <f t="shared" si="24"/>
        <v>1.3238934914072686E-4</v>
      </c>
      <c r="AJ22" s="284">
        <f t="shared" si="40"/>
        <v>-5.7831890770936312E-3</v>
      </c>
      <c r="AK22" s="288"/>
      <c r="AL22" s="283" t="s">
        <v>74</v>
      </c>
      <c r="AM22" s="283">
        <f t="shared" si="7"/>
        <v>1.4952631749361362E-2</v>
      </c>
      <c r="AN22" s="283">
        <f>Splines!X12</f>
        <v>2.1611044649034739E-3</v>
      </c>
      <c r="AO22" s="283">
        <f t="shared" si="25"/>
        <v>1.7113736214264836E-2</v>
      </c>
      <c r="AP22" s="284">
        <f t="shared" si="41"/>
        <v>1.9358611496162137E-2</v>
      </c>
      <c r="AQ22" s="283"/>
      <c r="AR22" s="291">
        <f t="shared" si="26"/>
        <v>1.9358611496162137E-2</v>
      </c>
      <c r="AS22" s="284">
        <f t="shared" si="42"/>
        <v>1.7113736214264819E-2</v>
      </c>
      <c r="AT22" s="289"/>
      <c r="AU22" s="283" t="s">
        <v>74</v>
      </c>
      <c r="AV22" s="283">
        <f t="shared" si="8"/>
        <v>-2.1339486138659161E-3</v>
      </c>
      <c r="AW22" s="284">
        <f>Splines!AC12</f>
        <v>8.2083290908485651E-4</v>
      </c>
      <c r="AX22" s="284">
        <f t="shared" si="27"/>
        <v>-1.3131157047810596E-3</v>
      </c>
      <c r="AY22" s="284">
        <f t="shared" si="43"/>
        <v>7.0385605440792531E-4</v>
      </c>
      <c r="BA22" s="291">
        <f t="shared" si="28"/>
        <v>7.0385605440792531E-4</v>
      </c>
      <c r="BB22" s="284">
        <f t="shared" si="44"/>
        <v>-1.3131157047810982E-3</v>
      </c>
      <c r="BC22" s="288"/>
      <c r="BD22" s="283" t="s">
        <v>74</v>
      </c>
      <c r="BE22" s="283">
        <f t="shared" si="9"/>
        <v>1.255203450207204E-2</v>
      </c>
      <c r="BF22" s="284">
        <f>Splines!AH12</f>
        <v>9.6978980582207441E-4</v>
      </c>
      <c r="BG22" s="284">
        <f t="shared" si="29"/>
        <v>1.3521824307894115E-2</v>
      </c>
      <c r="BH22" s="284">
        <f t="shared" si="45"/>
        <v>1.9138443601907751E-2</v>
      </c>
      <c r="BJ22" s="291">
        <f t="shared" si="30"/>
        <v>1.9138443601907751E-2</v>
      </c>
      <c r="BK22" s="284">
        <f t="shared" si="46"/>
        <v>1.3521824307894059E-2</v>
      </c>
      <c r="BL22" s="288"/>
      <c r="BM22" s="283" t="s">
        <v>74</v>
      </c>
      <c r="BN22" s="283">
        <f t="shared" si="10"/>
        <v>1.7221941350646787E-2</v>
      </c>
      <c r="BO22" s="284">
        <f>Splines!AM12</f>
        <v>-1.5729231527075171E-3</v>
      </c>
      <c r="BP22" s="284">
        <f t="shared" si="31"/>
        <v>1.564901819793927E-2</v>
      </c>
      <c r="BQ22" s="284">
        <f t="shared" si="47"/>
        <v>2.1158531766163335E-2</v>
      </c>
      <c r="BS22" s="291">
        <f t="shared" si="32"/>
        <v>2.1158531766163335E-2</v>
      </c>
      <c r="BT22" s="284">
        <f t="shared" si="48"/>
        <v>1.564901819793918E-2</v>
      </c>
      <c r="BU22" s="288"/>
      <c r="BV22" s="659" t="s">
        <v>74</v>
      </c>
      <c r="BW22" s="659">
        <f t="shared" si="11"/>
        <v>1.4293231373208537E-2</v>
      </c>
      <c r="BX22" s="284">
        <f>Splines!AR12</f>
        <v>2.7538810390979052E-3</v>
      </c>
      <c r="BY22" s="284">
        <f t="shared" si="33"/>
        <v>1.7047112412306442E-2</v>
      </c>
      <c r="BZ22" s="284">
        <f t="shared" si="49"/>
        <v>1.8704189296420592E-2</v>
      </c>
      <c r="CB22" s="291">
        <f t="shared" si="34"/>
        <v>1.8704189296420592E-2</v>
      </c>
      <c r="CC22" s="284">
        <f t="shared" si="50"/>
        <v>1.7047112412306387E-2</v>
      </c>
      <c r="CD22" s="288"/>
      <c r="CE22" s="284" t="str">
        <f t="shared" si="1"/>
        <v>8 Year</v>
      </c>
      <c r="CF22" s="284">
        <f t="shared" si="2"/>
        <v>1.255203450207204E-2</v>
      </c>
      <c r="CG22" s="284">
        <f t="shared" si="16"/>
        <v>9.6978980582207441E-4</v>
      </c>
      <c r="CH22" s="284">
        <f t="shared" si="17"/>
        <v>1.3521824307894115E-2</v>
      </c>
      <c r="CI22" s="284">
        <f t="shared" si="18"/>
        <v>1.9138443601907751E-2</v>
      </c>
      <c r="CK22" s="284">
        <f>BJ22+MIN('Instructions &amp; Dashboard'!$D$44/10000,33/100*'Instructions &amp; Dashboard'!$D$42/10000)</f>
        <v>2.211999360190775E-2</v>
      </c>
      <c r="CL22" s="284">
        <f t="shared" si="51"/>
        <v>1.6503391606475404E-2</v>
      </c>
    </row>
    <row r="23" spans="1:90">
      <c r="A23" s="283">
        <f t="shared" si="52"/>
        <v>9</v>
      </c>
      <c r="B23" s="283" t="s">
        <v>75</v>
      </c>
      <c r="C23" s="283">
        <f t="shared" si="14"/>
        <v>1.969220620681017E-2</v>
      </c>
      <c r="D23" s="284">
        <f>Splines!D13</f>
        <v>-1.0731641668826342E-3</v>
      </c>
      <c r="E23" s="506">
        <f t="shared" si="15"/>
        <v>1.8619042039927536E-2</v>
      </c>
      <c r="F23" s="507">
        <f t="shared" si="54"/>
        <v>2.2167224147100706E-2</v>
      </c>
      <c r="H23" s="284">
        <f t="shared" si="19"/>
        <v>2.2167224147100706E-2</v>
      </c>
      <c r="I23" s="284">
        <f t="shared" si="53"/>
        <v>1.861904203992748E-2</v>
      </c>
      <c r="J23" s="285"/>
      <c r="K23" s="283" t="s">
        <v>75</v>
      </c>
      <c r="L23" s="552">
        <f t="shared" si="3"/>
        <v>-4.1963450559209057E-3</v>
      </c>
      <c r="M23" s="284">
        <f>Splines!I13</f>
        <v>3.2418335322290659E-3</v>
      </c>
      <c r="N23" s="283">
        <f t="shared" si="4"/>
        <v>-9.5451152369183979E-4</v>
      </c>
      <c r="O23" s="284">
        <f t="shared" si="35"/>
        <v>6.1223755452068929E-3</v>
      </c>
      <c r="Q23" s="291">
        <f t="shared" si="20"/>
        <v>6.1223755452068929E-3</v>
      </c>
      <c r="R23" s="284">
        <f t="shared" si="36"/>
        <v>-9.5451152369185888E-4</v>
      </c>
      <c r="S23" s="287"/>
      <c r="T23" s="283" t="s">
        <v>75</v>
      </c>
      <c r="U23" s="283">
        <f t="shared" si="5"/>
        <v>7.5834928360359651E-3</v>
      </c>
      <c r="V23" s="284">
        <f>Splines!N13</f>
        <v>9.6921809017658234E-4</v>
      </c>
      <c r="W23" s="284">
        <f t="shared" si="21"/>
        <v>8.5527109262125475E-3</v>
      </c>
      <c r="X23" s="284">
        <f t="shared" si="37"/>
        <v>1.1193834008827341E-2</v>
      </c>
      <c r="Z23" s="291">
        <f t="shared" si="22"/>
        <v>1.1193834008827341E-2</v>
      </c>
      <c r="AA23" s="284">
        <f t="shared" si="38"/>
        <v>8.552710926212459E-3</v>
      </c>
      <c r="AB23" s="288"/>
      <c r="AC23" s="283" t="s">
        <v>75</v>
      </c>
      <c r="AD23" s="283">
        <f t="shared" si="6"/>
        <v>-5.7115815038911236E-3</v>
      </c>
      <c r="AE23" s="284">
        <f>Splines!S13</f>
        <v>7.7368837082758546E-4</v>
      </c>
      <c r="AF23" s="284">
        <f t="shared" si="23"/>
        <v>-4.9378931330635381E-3</v>
      </c>
      <c r="AG23" s="284">
        <f t="shared" si="39"/>
        <v>1.8503983455460116E-3</v>
      </c>
      <c r="AI23" s="291">
        <f t="shared" si="24"/>
        <v>1.8503983455460116E-3</v>
      </c>
      <c r="AJ23" s="284">
        <f t="shared" si="40"/>
        <v>-4.9378931330635867E-3</v>
      </c>
      <c r="AK23" s="288"/>
      <c r="AL23" s="283" t="s">
        <v>75</v>
      </c>
      <c r="AM23" s="283">
        <f t="shared" si="7"/>
        <v>1.5104238721888711E-2</v>
      </c>
      <c r="AN23" s="283">
        <f>Splines!X13</f>
        <v>2.3588715121150017E-3</v>
      </c>
      <c r="AO23" s="283">
        <f t="shared" si="25"/>
        <v>1.7463110234003713E-2</v>
      </c>
      <c r="AP23" s="284">
        <f t="shared" si="41"/>
        <v>2.0262426159257441E-2</v>
      </c>
      <c r="AQ23" s="283"/>
      <c r="AR23" s="291">
        <f t="shared" si="26"/>
        <v>2.0262426159257441E-2</v>
      </c>
      <c r="AS23" s="284">
        <f t="shared" si="42"/>
        <v>1.7463110234003709E-2</v>
      </c>
      <c r="AT23" s="289"/>
      <c r="AU23" s="283" t="s">
        <v>75</v>
      </c>
      <c r="AV23" s="283">
        <f t="shared" si="8"/>
        <v>-1.8508541823955395E-3</v>
      </c>
      <c r="AW23" s="284">
        <f>Splines!AC13</f>
        <v>8.6339330300688744E-4</v>
      </c>
      <c r="AX23" s="284">
        <f t="shared" si="27"/>
        <v>-9.8746087938865208E-4</v>
      </c>
      <c r="AY23" s="284">
        <f t="shared" si="43"/>
        <v>1.6216034920415456E-3</v>
      </c>
      <c r="BA23" s="291">
        <f t="shared" si="28"/>
        <v>1.6216034920415456E-3</v>
      </c>
      <c r="BB23" s="284">
        <f t="shared" si="44"/>
        <v>-9.8746087938861304E-4</v>
      </c>
      <c r="BC23" s="288"/>
      <c r="BD23" s="283" t="s">
        <v>75</v>
      </c>
      <c r="BE23" s="283">
        <f t="shared" si="9"/>
        <v>1.313619659363275E-2</v>
      </c>
      <c r="BF23" s="284">
        <f>Splines!AH13</f>
        <v>1.1174812680110335E-3</v>
      </c>
      <c r="BG23" s="284">
        <f t="shared" si="29"/>
        <v>1.4253677861643783E-2</v>
      </c>
      <c r="BH23" s="284">
        <f t="shared" si="45"/>
        <v>2.0127563078483623E-2</v>
      </c>
      <c r="BJ23" s="291">
        <f t="shared" si="30"/>
        <v>2.0127563078483623E-2</v>
      </c>
      <c r="BK23" s="284">
        <f t="shared" si="46"/>
        <v>1.4253677861643776E-2</v>
      </c>
      <c r="BL23" s="288"/>
      <c r="BM23" s="283" t="s">
        <v>75</v>
      </c>
      <c r="BN23" s="283">
        <f t="shared" si="10"/>
        <v>1.8404596267986878E-2</v>
      </c>
      <c r="BO23" s="284">
        <f>Splines!AM13</f>
        <v>-2.0077452063560486E-3</v>
      </c>
      <c r="BP23" s="284">
        <f t="shared" si="31"/>
        <v>1.6396851061630829E-2</v>
      </c>
      <c r="BQ23" s="284">
        <f t="shared" si="47"/>
        <v>2.2399370999999224E-2</v>
      </c>
      <c r="BS23" s="291">
        <f t="shared" si="32"/>
        <v>2.2399370999999224E-2</v>
      </c>
      <c r="BT23" s="284">
        <f t="shared" si="48"/>
        <v>1.6396851061630802E-2</v>
      </c>
      <c r="BU23" s="288"/>
      <c r="BV23" s="659" t="s">
        <v>75</v>
      </c>
      <c r="BW23" s="659">
        <f t="shared" si="11"/>
        <v>1.4621478769102955E-2</v>
      </c>
      <c r="BX23" s="284">
        <f>Splines!AR13</f>
        <v>2.8028490487486124E-3</v>
      </c>
      <c r="BY23" s="284">
        <f t="shared" si="33"/>
        <v>1.7424327817851568E-2</v>
      </c>
      <c r="BZ23" s="284">
        <f t="shared" si="49"/>
        <v>2.0447092056020466E-2</v>
      </c>
      <c r="CB23" s="291">
        <f t="shared" si="34"/>
        <v>2.0447092056020466E-2</v>
      </c>
      <c r="CC23" s="284">
        <f t="shared" si="50"/>
        <v>1.7424327817851637E-2</v>
      </c>
      <c r="CD23" s="288"/>
      <c r="CE23" s="284" t="str">
        <f t="shared" si="1"/>
        <v>9 Year</v>
      </c>
      <c r="CF23" s="284">
        <f t="shared" si="2"/>
        <v>1.313619659363275E-2</v>
      </c>
      <c r="CG23" s="284">
        <f t="shared" si="16"/>
        <v>1.1174812680110335E-3</v>
      </c>
      <c r="CH23" s="284">
        <f t="shared" si="17"/>
        <v>1.4253677861643783E-2</v>
      </c>
      <c r="CI23" s="284">
        <f t="shared" si="18"/>
        <v>2.0127563078483623E-2</v>
      </c>
      <c r="CK23" s="284">
        <f>BJ23+MIN('Instructions &amp; Dashboard'!$D$44/10000,33/100*'Instructions &amp; Dashboard'!$D$42/10000)</f>
        <v>2.3109113078483623E-2</v>
      </c>
      <c r="CL23" s="284">
        <f t="shared" si="51"/>
        <v>1.723524943465149E-2</v>
      </c>
    </row>
    <row r="24" spans="1:90">
      <c r="A24" s="283">
        <f t="shared" si="52"/>
        <v>10</v>
      </c>
      <c r="B24" s="283" t="s">
        <v>76</v>
      </c>
      <c r="C24" s="283">
        <f t="shared" si="14"/>
        <v>2.0070905667001537E-2</v>
      </c>
      <c r="D24" s="284">
        <f>Splines!D14</f>
        <v>-1.0208692401647568E-3</v>
      </c>
      <c r="E24" s="506">
        <f t="shared" si="15"/>
        <v>1.9050036426836781E-2</v>
      </c>
      <c r="F24" s="507">
        <f t="shared" si="54"/>
        <v>2.2937201410093033E-2</v>
      </c>
      <c r="H24" s="284">
        <f t="shared" si="19"/>
        <v>2.2937201410093033E-2</v>
      </c>
      <c r="I24" s="284">
        <f t="shared" si="53"/>
        <v>1.905003642683667E-2</v>
      </c>
      <c r="J24" s="285"/>
      <c r="K24" s="283" t="s">
        <v>76</v>
      </c>
      <c r="L24" s="552">
        <f t="shared" si="3"/>
        <v>-3.499274641730837E-3</v>
      </c>
      <c r="M24" s="284">
        <f>Splines!I14</f>
        <v>3.3904381562024355E-3</v>
      </c>
      <c r="N24" s="283">
        <f t="shared" si="4"/>
        <v>-1.0883648552840151E-4</v>
      </c>
      <c r="O24" s="284">
        <f t="shared" si="35"/>
        <v>7.5345249103637713E-3</v>
      </c>
      <c r="Q24" s="291">
        <f t="shared" si="20"/>
        <v>7.5345249103637713E-3</v>
      </c>
      <c r="R24" s="284">
        <f t="shared" si="36"/>
        <v>-1.0883648552839631E-4</v>
      </c>
      <c r="S24" s="287"/>
      <c r="T24" s="283" t="s">
        <v>76</v>
      </c>
      <c r="U24" s="283">
        <f t="shared" si="5"/>
        <v>8.3019877538305156E-3</v>
      </c>
      <c r="V24" s="284">
        <f>Splines!N14</f>
        <v>5.6755990954115987E-4</v>
      </c>
      <c r="W24" s="284">
        <f t="shared" si="21"/>
        <v>8.8695476633716755E-3</v>
      </c>
      <c r="X24" s="284">
        <f t="shared" si="37"/>
        <v>1.1725561092481795E-2</v>
      </c>
      <c r="Z24" s="291">
        <f t="shared" si="22"/>
        <v>1.1725561092481795E-2</v>
      </c>
      <c r="AA24" s="284">
        <f t="shared" si="38"/>
        <v>8.8695476633717796E-3</v>
      </c>
      <c r="AB24" s="288"/>
      <c r="AC24" s="283" t="s">
        <v>76</v>
      </c>
      <c r="AD24" s="283">
        <f t="shared" si="6"/>
        <v>-5.0257853419485334E-3</v>
      </c>
      <c r="AE24" s="284">
        <f>Splines!S14</f>
        <v>8.8704348308965564E-4</v>
      </c>
      <c r="AF24" s="284">
        <f t="shared" si="23"/>
        <v>-4.1387418588588777E-3</v>
      </c>
      <c r="AG24" s="284">
        <f t="shared" si="39"/>
        <v>3.0825630881168298E-3</v>
      </c>
      <c r="AI24" s="291">
        <f t="shared" si="24"/>
        <v>3.0825630881168298E-3</v>
      </c>
      <c r="AJ24" s="284">
        <f t="shared" si="40"/>
        <v>-4.1387418588588742E-3</v>
      </c>
      <c r="AK24" s="288"/>
      <c r="AL24" s="283" t="s">
        <v>76</v>
      </c>
      <c r="AM24" s="283">
        <f t="shared" si="7"/>
        <v>1.5251716544578568E-2</v>
      </c>
      <c r="AN24" s="283">
        <f>Splines!X14</f>
        <v>2.5676272343844175E-3</v>
      </c>
      <c r="AO24" s="283">
        <f t="shared" si="25"/>
        <v>1.7819343778962986E-2</v>
      </c>
      <c r="AP24" s="284">
        <f t="shared" si="41"/>
        <v>2.1031063518936355E-2</v>
      </c>
      <c r="AQ24" s="283"/>
      <c r="AR24" s="291">
        <f t="shared" si="26"/>
        <v>2.1031063518936355E-2</v>
      </c>
      <c r="AS24" s="284">
        <f t="shared" si="42"/>
        <v>1.7819343778962882E-2</v>
      </c>
      <c r="AT24" s="289"/>
      <c r="AU24" s="283" t="s">
        <v>76</v>
      </c>
      <c r="AV24" s="283">
        <f t="shared" si="8"/>
        <v>-1.5246894059836144E-3</v>
      </c>
      <c r="AW24" s="284">
        <f>Splines!AC14</f>
        <v>8.762414800003171E-4</v>
      </c>
      <c r="AX24" s="284">
        <f t="shared" si="27"/>
        <v>-6.4844792598329733E-4</v>
      </c>
      <c r="AY24" s="284">
        <f t="shared" si="43"/>
        <v>2.4078502944713254E-3</v>
      </c>
      <c r="BA24" s="291">
        <f t="shared" si="28"/>
        <v>2.4078502944713254E-3</v>
      </c>
      <c r="BB24" s="284">
        <f t="shared" si="44"/>
        <v>-6.4844792598328649E-4</v>
      </c>
      <c r="BC24" s="288"/>
      <c r="BD24" s="283" t="s">
        <v>76</v>
      </c>
      <c r="BE24" s="283">
        <f t="shared" si="9"/>
        <v>1.369090910883131E-2</v>
      </c>
      <c r="BF24" s="284">
        <f>Splines!AH14</f>
        <v>1.2309529120102525E-3</v>
      </c>
      <c r="BG24" s="284">
        <f t="shared" si="29"/>
        <v>1.4921862020841562E-2</v>
      </c>
      <c r="BH24" s="284">
        <f t="shared" si="45"/>
        <v>2.0955363098414503E-2</v>
      </c>
      <c r="BJ24" s="291">
        <f t="shared" si="30"/>
        <v>2.0955363098414503E-2</v>
      </c>
      <c r="BK24" s="284">
        <f t="shared" si="46"/>
        <v>1.4921862020841559E-2</v>
      </c>
      <c r="BL24" s="288"/>
      <c r="BM24" s="283" t="s">
        <v>76</v>
      </c>
      <c r="BN24" s="283">
        <f t="shared" si="10"/>
        <v>1.8874739031672069E-2</v>
      </c>
      <c r="BO24" s="284">
        <f>Splines!AM14</f>
        <v>-1.7638887511566281E-3</v>
      </c>
      <c r="BP24" s="284">
        <f t="shared" si="31"/>
        <v>1.7110850280515441E-2</v>
      </c>
      <c r="BQ24" s="284">
        <f t="shared" si="47"/>
        <v>2.3559456265450418E-2</v>
      </c>
      <c r="BS24" s="291">
        <f t="shared" si="32"/>
        <v>2.3559456265450418E-2</v>
      </c>
      <c r="BT24" s="284">
        <f t="shared" si="48"/>
        <v>1.711085028051551E-2</v>
      </c>
      <c r="BU24" s="288"/>
      <c r="BV24" s="659" t="s">
        <v>76</v>
      </c>
      <c r="BW24" s="659">
        <f t="shared" si="11"/>
        <v>1.5065703863893415E-2</v>
      </c>
      <c r="BX24" s="284">
        <f>Splines!AR14</f>
        <v>2.851816825568676E-3</v>
      </c>
      <c r="BY24" s="284">
        <f t="shared" si="33"/>
        <v>1.7917520689462091E-2</v>
      </c>
      <c r="BZ24" s="284">
        <f t="shared" si="49"/>
        <v>2.2367028760666985E-2</v>
      </c>
      <c r="CB24" s="291">
        <f t="shared" si="34"/>
        <v>2.2367028760666985E-2</v>
      </c>
      <c r="CC24" s="284">
        <f t="shared" si="50"/>
        <v>1.7917520689462174E-2</v>
      </c>
      <c r="CD24" s="288"/>
      <c r="CE24" s="284" t="str">
        <f t="shared" si="1"/>
        <v>10 Year</v>
      </c>
      <c r="CF24" s="284">
        <f t="shared" si="2"/>
        <v>1.369090910883131E-2</v>
      </c>
      <c r="CG24" s="284">
        <f t="shared" si="16"/>
        <v>1.2309529120102525E-3</v>
      </c>
      <c r="CH24" s="284">
        <f t="shared" si="17"/>
        <v>1.4921862020841562E-2</v>
      </c>
      <c r="CI24" s="284">
        <f t="shared" si="18"/>
        <v>2.0955363098414503E-2</v>
      </c>
      <c r="CK24" s="284">
        <f>BJ24+MIN('Instructions &amp; Dashboard'!$D$44/10000,33/100*'Instructions &amp; Dashboard'!$D$42/10000)</f>
        <v>2.3936913098414503E-2</v>
      </c>
      <c r="CL24" s="284">
        <f t="shared" si="51"/>
        <v>1.7903437241401532E-2</v>
      </c>
    </row>
    <row r="25" spans="1:90">
      <c r="A25" s="283">
        <f t="shared" si="52"/>
        <v>11</v>
      </c>
      <c r="B25" s="283" t="s">
        <v>77</v>
      </c>
      <c r="C25" s="283">
        <f t="shared" si="14"/>
        <v>2.0460546890787246E-2</v>
      </c>
      <c r="D25" s="284">
        <f>Splines!D15</f>
        <v>-9.8208861891180277E-4</v>
      </c>
      <c r="E25" s="506">
        <f t="shared" si="15"/>
        <v>1.9478458271875443E-2</v>
      </c>
      <c r="F25" s="507">
        <f t="shared" si="54"/>
        <v>2.3772595502300042E-2</v>
      </c>
      <c r="H25" s="284">
        <f t="shared" si="19"/>
        <v>2.3772595502300042E-2</v>
      </c>
      <c r="I25" s="284">
        <f t="shared" si="53"/>
        <v>1.9478458271875443E-2</v>
      </c>
      <c r="J25" s="285"/>
      <c r="K25" s="283" t="s">
        <v>77</v>
      </c>
      <c r="L25" s="552">
        <f t="shared" si="3"/>
        <v>-2.8285236616768551E-3</v>
      </c>
      <c r="M25" s="284">
        <f>Splines!I15</f>
        <v>3.5267495550215244E-3</v>
      </c>
      <c r="N25" s="283">
        <f t="shared" si="4"/>
        <v>6.9822589334466931E-4</v>
      </c>
      <c r="O25" s="284">
        <f t="shared" si="35"/>
        <v>8.8047647103322024E-3</v>
      </c>
      <c r="Q25" s="291">
        <f t="shared" si="20"/>
        <v>8.8047647103322024E-3</v>
      </c>
      <c r="R25" s="284">
        <f t="shared" si="36"/>
        <v>6.9822589334456175E-4</v>
      </c>
      <c r="S25" s="287"/>
      <c r="T25" s="283" t="s">
        <v>77</v>
      </c>
      <c r="U25" s="283">
        <f t="shared" si="5"/>
        <v>9.0153470609237972E-3</v>
      </c>
      <c r="V25" s="284">
        <f>Splines!N15</f>
        <v>1.5634948795195669E-4</v>
      </c>
      <c r="W25" s="284">
        <f t="shared" si="21"/>
        <v>9.1716965488757539E-3</v>
      </c>
      <c r="X25" s="284">
        <f t="shared" si="37"/>
        <v>1.2198166901590035E-2</v>
      </c>
      <c r="Z25" s="291">
        <f t="shared" si="22"/>
        <v>1.2198166901590035E-2</v>
      </c>
      <c r="AA25" s="284">
        <f t="shared" si="38"/>
        <v>9.1716965488757296E-3</v>
      </c>
      <c r="AB25" s="288"/>
      <c r="AC25" s="283" t="s">
        <v>77</v>
      </c>
      <c r="AD25" s="283">
        <f t="shared" si="6"/>
        <v>-4.3868498024570643E-3</v>
      </c>
      <c r="AE25" s="284">
        <f>Splines!S15</f>
        <v>1.0510231368243694E-3</v>
      </c>
      <c r="AF25" s="284">
        <f t="shared" si="23"/>
        <v>-3.3358266656326949E-3</v>
      </c>
      <c r="AG25" s="284">
        <f t="shared" si="39"/>
        <v>4.7290158855972653E-3</v>
      </c>
      <c r="AI25" s="291">
        <f t="shared" si="24"/>
        <v>4.7290158855972653E-3</v>
      </c>
      <c r="AJ25" s="284">
        <f t="shared" si="40"/>
        <v>-3.3358266656327018E-3</v>
      </c>
      <c r="AK25" s="288"/>
      <c r="AL25" s="283" t="s">
        <v>77</v>
      </c>
      <c r="AM25" s="283">
        <f t="shared" si="7"/>
        <v>1.5395163755630721E-2</v>
      </c>
      <c r="AN25" s="283">
        <f>Splines!X15</f>
        <v>2.847534604370594E-3</v>
      </c>
      <c r="AO25" s="283">
        <f t="shared" si="25"/>
        <v>1.8242698360001315E-2</v>
      </c>
      <c r="AP25" s="284">
        <f t="shared" si="41"/>
        <v>2.2485941285558475E-2</v>
      </c>
      <c r="AQ25" s="283"/>
      <c r="AR25" s="291">
        <f t="shared" si="26"/>
        <v>2.2485941285558475E-2</v>
      </c>
      <c r="AS25" s="284">
        <f t="shared" si="42"/>
        <v>1.8242698360001253E-2</v>
      </c>
      <c r="AT25" s="289"/>
      <c r="AU25" s="283" t="s">
        <v>77</v>
      </c>
      <c r="AV25" s="283">
        <f t="shared" si="8"/>
        <v>-1.1635020401276602E-3</v>
      </c>
      <c r="AW25" s="284">
        <f>Splines!AC15</f>
        <v>8.5501209832727909E-4</v>
      </c>
      <c r="AX25" s="284">
        <f t="shared" si="27"/>
        <v>-3.0848994180038107E-4</v>
      </c>
      <c r="AY25" s="284">
        <f t="shared" si="43"/>
        <v>3.0974569488122494E-3</v>
      </c>
      <c r="BA25" s="291">
        <f t="shared" si="28"/>
        <v>3.0974569488122494E-3</v>
      </c>
      <c r="BB25" s="284">
        <f t="shared" si="44"/>
        <v>-3.0848994180032729E-4</v>
      </c>
      <c r="BC25" s="288"/>
      <c r="BD25" s="283" t="s">
        <v>77</v>
      </c>
      <c r="BE25" s="283">
        <f t="shared" si="9"/>
        <v>1.421805972089521E-2</v>
      </c>
      <c r="BF25" s="284">
        <f>Splines!AH15</f>
        <v>1.3537519844248891E-3</v>
      </c>
      <c r="BG25" s="284">
        <f t="shared" si="29"/>
        <v>1.5571811705320099E-2</v>
      </c>
      <c r="BH25" s="284">
        <f t="shared" si="45"/>
        <v>2.2094244893497539E-2</v>
      </c>
      <c r="BJ25" s="291">
        <f t="shared" si="30"/>
        <v>2.2094244893497539E-2</v>
      </c>
      <c r="BK25" s="284">
        <f t="shared" si="46"/>
        <v>1.5571811705320071E-2</v>
      </c>
      <c r="BL25" s="288"/>
      <c r="BM25" s="283" t="s">
        <v>77</v>
      </c>
      <c r="BN25" s="283">
        <f t="shared" si="10"/>
        <v>1.8903924426844534E-2</v>
      </c>
      <c r="BO25" s="284">
        <f>Splines!AM15</f>
        <v>-9.8960136529058218E-4</v>
      </c>
      <c r="BP25" s="284">
        <f t="shared" si="31"/>
        <v>1.7914323061553952E-2</v>
      </c>
      <c r="BQ25" s="284">
        <f t="shared" si="47"/>
        <v>2.598404267866905E-2</v>
      </c>
      <c r="BS25" s="291">
        <f t="shared" si="32"/>
        <v>2.598404267866905E-2</v>
      </c>
      <c r="BT25" s="284">
        <f t="shared" si="48"/>
        <v>1.7914323061553938E-2</v>
      </c>
      <c r="BU25" s="288"/>
      <c r="BV25" s="659" t="s">
        <v>77</v>
      </c>
      <c r="BW25" s="659">
        <f t="shared" si="11"/>
        <v>1.560434929519694E-2</v>
      </c>
      <c r="BX25" s="284">
        <f>Splines!AR15</f>
        <v>2.5764964520931244E-3</v>
      </c>
      <c r="BY25" s="284">
        <f t="shared" si="33"/>
        <v>1.8180845747290064E-2</v>
      </c>
      <c r="BZ25" s="284">
        <f t="shared" si="49"/>
        <v>2.08178458100714E-2</v>
      </c>
      <c r="CB25" s="291">
        <f t="shared" si="34"/>
        <v>2.08178458100714E-2</v>
      </c>
      <c r="CC25" s="284">
        <f t="shared" si="50"/>
        <v>1.8180845747290064E-2</v>
      </c>
      <c r="CD25" s="288"/>
      <c r="CE25" s="284" t="str">
        <f t="shared" si="1"/>
        <v>11 Year</v>
      </c>
      <c r="CF25" s="284">
        <f t="shared" si="2"/>
        <v>1.421805972089521E-2</v>
      </c>
      <c r="CG25" s="284">
        <f t="shared" si="16"/>
        <v>1.3537519844248891E-3</v>
      </c>
      <c r="CH25" s="284">
        <f t="shared" si="17"/>
        <v>1.5571811705320099E-2</v>
      </c>
      <c r="CI25" s="284">
        <f t="shared" si="18"/>
        <v>2.2094244893497539E-2</v>
      </c>
      <c r="CK25" s="284">
        <f>BJ25+MIN('Instructions &amp; Dashboard'!$D$43,'Instructions &amp; Dashboard'!$D$44)/10000</f>
        <v>2.4094244893497541E-2</v>
      </c>
      <c r="CL25" s="284">
        <f t="shared" si="51"/>
        <v>1.8464688064497636E-2</v>
      </c>
    </row>
    <row r="26" spans="1:90">
      <c r="A26" s="283">
        <f t="shared" si="52"/>
        <v>12</v>
      </c>
      <c r="B26" s="283" t="s">
        <v>78</v>
      </c>
      <c r="C26" s="283">
        <f t="shared" si="14"/>
        <v>2.0858254188902081E-2</v>
      </c>
      <c r="D26" s="284">
        <f>Splines!D16</f>
        <v>-1.0190157918259501E-3</v>
      </c>
      <c r="E26" s="506">
        <f t="shared" si="15"/>
        <v>1.9839238397076131E-2</v>
      </c>
      <c r="F26" s="507">
        <f t="shared" si="54"/>
        <v>2.3816256297411131E-2</v>
      </c>
      <c r="H26" s="284">
        <f t="shared" si="19"/>
        <v>2.3816256297411131E-2</v>
      </c>
      <c r="I26" s="284">
        <f t="shared" si="53"/>
        <v>1.983923839707602E-2</v>
      </c>
      <c r="J26" s="285"/>
      <c r="K26" s="283" t="s">
        <v>78</v>
      </c>
      <c r="L26" s="552">
        <f t="shared" si="3"/>
        <v>-2.192820373761924E-3</v>
      </c>
      <c r="M26" s="284">
        <f>Splines!I16</f>
        <v>3.6519984714686871E-3</v>
      </c>
      <c r="N26" s="283">
        <f t="shared" si="4"/>
        <v>1.459178097706763E-3</v>
      </c>
      <c r="O26" s="284">
        <f t="shared" si="35"/>
        <v>9.8679398338328284E-3</v>
      </c>
      <c r="Q26" s="291">
        <f t="shared" si="20"/>
        <v>9.8679398338328284E-3</v>
      </c>
      <c r="R26" s="284">
        <f t="shared" si="36"/>
        <v>1.4591780977066815E-3</v>
      </c>
      <c r="S26" s="287"/>
      <c r="T26" s="283" t="s">
        <v>78</v>
      </c>
      <c r="U26" s="283">
        <f t="shared" si="5"/>
        <v>9.7080363145017508E-3</v>
      </c>
      <c r="V26" s="284">
        <f>Splines!N16</f>
        <v>-2.6100652758032084E-4</v>
      </c>
      <c r="W26" s="284">
        <f t="shared" si="21"/>
        <v>9.4470297869214299E-3</v>
      </c>
      <c r="X26" s="284">
        <f t="shared" si="37"/>
        <v>1.2480657798753736E-2</v>
      </c>
      <c r="Z26" s="291">
        <f t="shared" si="22"/>
        <v>1.2480657798753736E-2</v>
      </c>
      <c r="AA26" s="284">
        <f t="shared" si="38"/>
        <v>9.4470297869213571E-3</v>
      </c>
      <c r="AB26" s="288"/>
      <c r="AC26" s="283" t="s">
        <v>78</v>
      </c>
      <c r="AD26" s="283">
        <f t="shared" si="6"/>
        <v>-3.793155757747399E-3</v>
      </c>
      <c r="AE26" s="284">
        <f>Splines!S16</f>
        <v>1.2394626392051578E-3</v>
      </c>
      <c r="AF26" s="284">
        <f t="shared" si="23"/>
        <v>-2.5536931185422412E-3</v>
      </c>
      <c r="AG26" s="284">
        <f t="shared" si="39"/>
        <v>6.0903915562040556E-3</v>
      </c>
      <c r="AI26" s="291">
        <f t="shared" si="24"/>
        <v>6.0903915562040556E-3</v>
      </c>
      <c r="AJ26" s="284">
        <f t="shared" si="40"/>
        <v>-2.5536931185422551E-3</v>
      </c>
      <c r="AK26" s="288"/>
      <c r="AL26" s="283" t="s">
        <v>78</v>
      </c>
      <c r="AM26" s="283">
        <f t="shared" si="7"/>
        <v>1.5534676915057253E-2</v>
      </c>
      <c r="AN26" s="283">
        <f>Splines!X16</f>
        <v>3.1274419743567705E-3</v>
      </c>
      <c r="AO26" s="283">
        <f t="shared" si="25"/>
        <v>1.8662118889414023E-2</v>
      </c>
      <c r="AP26" s="284">
        <f t="shared" si="41"/>
        <v>2.3287162670867945E-2</v>
      </c>
      <c r="AQ26" s="283"/>
      <c r="AR26" s="291">
        <f t="shared" si="26"/>
        <v>2.3287162670867945E-2</v>
      </c>
      <c r="AS26" s="284">
        <f t="shared" si="42"/>
        <v>1.8662118889414048E-2</v>
      </c>
      <c r="AT26" s="289"/>
      <c r="AU26" s="283" t="s">
        <v>78</v>
      </c>
      <c r="AV26" s="283">
        <f t="shared" si="8"/>
        <v>-7.7397697930933198E-4</v>
      </c>
      <c r="AW26" s="284">
        <f>Splines!AC16</f>
        <v>7.9382822150364518E-4</v>
      </c>
      <c r="AX26" s="284">
        <f t="shared" si="27"/>
        <v>1.9851242194313199E-5</v>
      </c>
      <c r="AY26" s="284">
        <f t="shared" si="43"/>
        <v>3.6387295834849898E-3</v>
      </c>
      <c r="BA26" s="291">
        <f t="shared" si="28"/>
        <v>3.6387295834849898E-3</v>
      </c>
      <c r="BB26" s="284">
        <f t="shared" si="44"/>
        <v>1.9851242194279806E-5</v>
      </c>
      <c r="BC26" s="288"/>
      <c r="BD26" s="283" t="s">
        <v>78</v>
      </c>
      <c r="BE26" s="283">
        <f t="shared" si="9"/>
        <v>1.4720358389582106E-2</v>
      </c>
      <c r="BF26" s="284">
        <f>Splines!AH16</f>
        <v>1.4765510568395257E-3</v>
      </c>
      <c r="BG26" s="284">
        <f t="shared" si="29"/>
        <v>1.6196909446421631E-2</v>
      </c>
      <c r="BH26" s="284">
        <f t="shared" si="45"/>
        <v>2.3098430657129354E-2</v>
      </c>
      <c r="BJ26" s="291">
        <f t="shared" si="30"/>
        <v>2.3098430657129354E-2</v>
      </c>
      <c r="BK26" s="284">
        <f t="shared" si="46"/>
        <v>1.6196909446421603E-2</v>
      </c>
      <c r="BL26" s="288"/>
      <c r="BM26" s="283" t="s">
        <v>78</v>
      </c>
      <c r="BN26" s="283">
        <f t="shared" si="10"/>
        <v>1.8670445931303355E-2</v>
      </c>
      <c r="BO26" s="284">
        <f>Splines!AM16</f>
        <v>-2.1531405218411237E-4</v>
      </c>
      <c r="BP26" s="284">
        <f t="shared" si="31"/>
        <v>1.8455131879119242E-2</v>
      </c>
      <c r="BQ26" s="284">
        <f t="shared" si="47"/>
        <v>2.4423026072513565E-2</v>
      </c>
      <c r="BS26" s="291">
        <f t="shared" si="32"/>
        <v>2.4423026072513565E-2</v>
      </c>
      <c r="BT26" s="284">
        <f t="shared" si="48"/>
        <v>1.8455131879119291E-2</v>
      </c>
      <c r="BU26" s="288"/>
      <c r="BV26" s="659" t="s">
        <v>78</v>
      </c>
      <c r="BW26" s="659">
        <f t="shared" si="11"/>
        <v>1.6218671781995084E-2</v>
      </c>
      <c r="BX26" s="284">
        <f>Splines!AR16</f>
        <v>2.3011760786175728E-3</v>
      </c>
      <c r="BY26" s="284">
        <f t="shared" si="33"/>
        <v>1.8519847860612657E-2</v>
      </c>
      <c r="BZ26" s="284">
        <f t="shared" si="49"/>
        <v>2.2256328824353799E-2</v>
      </c>
      <c r="CB26" s="291">
        <f t="shared" si="34"/>
        <v>2.2256328824353799E-2</v>
      </c>
      <c r="CC26" s="284">
        <f t="shared" si="50"/>
        <v>1.8519847860612559E-2</v>
      </c>
      <c r="CD26" s="288"/>
      <c r="CE26" s="284" t="str">
        <f t="shared" si="1"/>
        <v>12 Year</v>
      </c>
      <c r="CF26" s="284">
        <f t="shared" si="2"/>
        <v>1.4720358389582106E-2</v>
      </c>
      <c r="CG26" s="284">
        <f t="shared" si="16"/>
        <v>1.4765510568395257E-3</v>
      </c>
      <c r="CH26" s="284">
        <f t="shared" si="17"/>
        <v>1.6196909446421631E-2</v>
      </c>
      <c r="CI26" s="284">
        <f t="shared" si="18"/>
        <v>2.3098430657129354E-2</v>
      </c>
      <c r="CK26" s="284">
        <f>BJ26+MIN('Instructions &amp; Dashboard'!$D$43,'Instructions &amp; Dashboard'!$D$44)/10000</f>
        <v>2.5098430657129356E-2</v>
      </c>
      <c r="CL26" s="284">
        <f t="shared" si="51"/>
        <v>1.9015856449932977E-2</v>
      </c>
    </row>
    <row r="27" spans="1:90">
      <c r="A27" s="283">
        <f t="shared" si="52"/>
        <v>13</v>
      </c>
      <c r="B27" s="283" t="s">
        <v>79</v>
      </c>
      <c r="C27" s="283">
        <f t="shared" si="14"/>
        <v>2.1261496092005783E-2</v>
      </c>
      <c r="D27" s="284">
        <f>Splines!D17</f>
        <v>-1.1119770351797342E-3</v>
      </c>
      <c r="E27" s="506">
        <f t="shared" si="15"/>
        <v>2.0149519056826048E-2</v>
      </c>
      <c r="F27" s="507">
        <f t="shared" si="54"/>
        <v>2.3880258490955653E-2</v>
      </c>
      <c r="H27" s="284">
        <f t="shared" si="19"/>
        <v>2.3880258490955653E-2</v>
      </c>
      <c r="I27" s="284">
        <f t="shared" si="53"/>
        <v>2.0149519056825937E-2</v>
      </c>
      <c r="J27" s="285"/>
      <c r="K27" s="283" t="s">
        <v>79</v>
      </c>
      <c r="L27" s="552">
        <f t="shared" ref="L27:L38" si="55">MAX(L148,0)</f>
        <v>0</v>
      </c>
      <c r="M27" s="284">
        <f>Splines!I17</f>
        <v>2.2079495247453451E-3</v>
      </c>
      <c r="N27" s="283">
        <f t="shared" si="4"/>
        <v>2.2079495247453451E-3</v>
      </c>
      <c r="O27" s="284">
        <f t="shared" si="35"/>
        <v>1.1236994243747134E-2</v>
      </c>
      <c r="Q27" s="291">
        <f t="shared" si="20"/>
        <v>1.1236994243747134E-2</v>
      </c>
      <c r="R27" s="284">
        <f t="shared" si="36"/>
        <v>2.2079495247453451E-3</v>
      </c>
      <c r="S27" s="287"/>
      <c r="T27" s="283" t="s">
        <v>79</v>
      </c>
      <c r="U27" s="283">
        <f t="shared" si="5"/>
        <v>1.0369221782444175E-2</v>
      </c>
      <c r="V27" s="284">
        <f>Splines!N17</f>
        <v>-6.9203809835016727E-4</v>
      </c>
      <c r="W27" s="284">
        <f t="shared" si="21"/>
        <v>9.6771836840940078E-3</v>
      </c>
      <c r="X27" s="284">
        <f t="shared" si="37"/>
        <v>1.2443126930364867E-2</v>
      </c>
      <c r="Z27" s="291">
        <f t="shared" si="22"/>
        <v>1.2443126930364867E-2</v>
      </c>
      <c r="AA27" s="284">
        <f t="shared" si="38"/>
        <v>9.6771836840940928E-3</v>
      </c>
      <c r="AB27" s="288"/>
      <c r="AC27" s="283" t="s">
        <v>79</v>
      </c>
      <c r="AD27" s="283">
        <f t="shared" si="6"/>
        <v>-3.2431298640321106E-3</v>
      </c>
      <c r="AE27" s="284">
        <f>Splines!S17</f>
        <v>1.3088418636471033E-3</v>
      </c>
      <c r="AF27" s="284">
        <f t="shared" si="23"/>
        <v>-1.9342880003850073E-3</v>
      </c>
      <c r="AG27" s="284">
        <f t="shared" si="39"/>
        <v>5.5286441452508939E-3</v>
      </c>
      <c r="AI27" s="291">
        <f t="shared" si="24"/>
        <v>5.5286441452508939E-3</v>
      </c>
      <c r="AJ27" s="284">
        <f t="shared" si="40"/>
        <v>-1.9342880003849761E-3</v>
      </c>
      <c r="AK27" s="288"/>
      <c r="AL27" s="283" t="s">
        <v>79</v>
      </c>
      <c r="AM27" s="283">
        <f t="shared" si="7"/>
        <v>1.5670350640630125E-2</v>
      </c>
      <c r="AN27" s="283">
        <f>Splines!X17</f>
        <v>3.3519566059112549E-3</v>
      </c>
      <c r="AO27" s="283">
        <f t="shared" si="25"/>
        <v>1.902230724654138E-2</v>
      </c>
      <c r="AP27" s="284">
        <f t="shared" si="41"/>
        <v>2.3354514414407168E-2</v>
      </c>
      <c r="AQ27" s="283"/>
      <c r="AR27" s="291">
        <f t="shared" si="26"/>
        <v>2.3354514414407168E-2</v>
      </c>
      <c r="AS27" s="284">
        <f t="shared" si="42"/>
        <v>1.9022307246541414E-2</v>
      </c>
      <c r="AT27" s="289"/>
      <c r="AU27" s="283" t="s">
        <v>79</v>
      </c>
      <c r="AV27" s="283">
        <f t="shared" si="8"/>
        <v>-3.6167361936428107E-4</v>
      </c>
      <c r="AW27" s="284">
        <f>Splines!AC17</f>
        <v>6.98221439961344E-4</v>
      </c>
      <c r="AX27" s="284">
        <f t="shared" si="27"/>
        <v>3.3654782059706293E-4</v>
      </c>
      <c r="AY27" s="284">
        <f t="shared" si="43"/>
        <v>4.1447388417432673E-3</v>
      </c>
      <c r="BA27" s="291">
        <f t="shared" si="28"/>
        <v>4.1447388417432673E-3</v>
      </c>
      <c r="BB27" s="284">
        <f t="shared" si="44"/>
        <v>3.3654782059699961E-4</v>
      </c>
      <c r="BC27" s="288"/>
      <c r="BD27" s="283" t="s">
        <v>79</v>
      </c>
      <c r="BE27" s="283">
        <f t="shared" si="9"/>
        <v>1.5200613238419539E-2</v>
      </c>
      <c r="BF27" s="284">
        <f>Splines!AH17</f>
        <v>1.5188712859526277E-3</v>
      </c>
      <c r="BG27" s="284">
        <f t="shared" si="29"/>
        <v>1.6719484524372167E-2</v>
      </c>
      <c r="BH27" s="284">
        <f t="shared" si="45"/>
        <v>2.3011386136691403E-2</v>
      </c>
      <c r="BJ27" s="291">
        <f t="shared" si="30"/>
        <v>2.3011386136691403E-2</v>
      </c>
      <c r="BK27" s="284">
        <f t="shared" si="46"/>
        <v>1.6719484524372108E-2</v>
      </c>
      <c r="BL27" s="288"/>
      <c r="BM27" s="283" t="s">
        <v>79</v>
      </c>
      <c r="BN27" s="283">
        <f t="shared" si="10"/>
        <v>1.8291254521485438E-2</v>
      </c>
      <c r="BO27" s="284">
        <f>Splines!AM17</f>
        <v>7.2960229590535164E-4</v>
      </c>
      <c r="BP27" s="284">
        <f t="shared" si="31"/>
        <v>1.902085681739079E-2</v>
      </c>
      <c r="BQ27" s="284">
        <f t="shared" si="47"/>
        <v>2.5834117199658335E-2</v>
      </c>
      <c r="BS27" s="291">
        <f t="shared" si="32"/>
        <v>2.5834117199658335E-2</v>
      </c>
      <c r="BT27" s="284">
        <f t="shared" si="48"/>
        <v>1.9020856817390852E-2</v>
      </c>
      <c r="BU27" s="288"/>
      <c r="BV27" s="659" t="s">
        <v>79</v>
      </c>
      <c r="BW27" s="659">
        <f t="shared" si="11"/>
        <v>1.6892419499870553E-2</v>
      </c>
      <c r="BX27" s="284">
        <f>Splines!AR17</f>
        <v>1.8752843607217073E-3</v>
      </c>
      <c r="BY27" s="284">
        <f t="shared" si="33"/>
        <v>1.8767703860592261E-2</v>
      </c>
      <c r="BZ27" s="284">
        <f t="shared" si="49"/>
        <v>2.1746684674550432E-2</v>
      </c>
      <c r="CB27" s="291">
        <f t="shared" si="34"/>
        <v>2.1746684674550432E-2</v>
      </c>
      <c r="CC27" s="284">
        <f t="shared" si="50"/>
        <v>1.8767703860592233E-2</v>
      </c>
      <c r="CD27" s="288"/>
      <c r="CE27" s="284" t="str">
        <f t="shared" si="1"/>
        <v>13 Year</v>
      </c>
      <c r="CF27" s="284">
        <f t="shared" si="2"/>
        <v>1.5200613238419539E-2</v>
      </c>
      <c r="CG27" s="284">
        <f t="shared" si="16"/>
        <v>1.5188712859526277E-3</v>
      </c>
      <c r="CH27" s="284">
        <f t="shared" si="17"/>
        <v>1.6719484524372167E-2</v>
      </c>
      <c r="CI27" s="284">
        <f t="shared" si="18"/>
        <v>2.3011386136691403E-2</v>
      </c>
      <c r="CK27" s="284">
        <f>BJ27+MIN('Instructions &amp; Dashboard'!$D$43,'Instructions &amp; Dashboard'!$D$44)/10000</f>
        <v>2.5011386136691405E-2</v>
      </c>
      <c r="CL27" s="284">
        <f t="shared" si="51"/>
        <v>1.9475803356986177E-2</v>
      </c>
    </row>
    <row r="28" spans="1:90">
      <c r="A28" s="283">
        <f t="shared" si="52"/>
        <v>14</v>
      </c>
      <c r="B28" s="283" t="s">
        <v>80</v>
      </c>
      <c r="C28" s="283">
        <f t="shared" si="14"/>
        <v>2.1668051683958578E-2</v>
      </c>
      <c r="D28" s="284">
        <f>Splines!D18</f>
        <v>-1.2398394756019115E-3</v>
      </c>
      <c r="E28" s="506">
        <f t="shared" si="15"/>
        <v>2.0428212208356666E-2</v>
      </c>
      <c r="F28" s="507">
        <f t="shared" si="54"/>
        <v>2.4058159110322164E-2</v>
      </c>
      <c r="H28" s="284">
        <f t="shared" si="19"/>
        <v>2.4058159110322164E-2</v>
      </c>
      <c r="I28" s="284">
        <f t="shared" si="53"/>
        <v>2.0428212208356555E-2</v>
      </c>
      <c r="J28" s="285"/>
      <c r="K28" s="283" t="s">
        <v>80</v>
      </c>
      <c r="L28" s="552">
        <f t="shared" si="55"/>
        <v>0</v>
      </c>
      <c r="M28" s="284">
        <f>Splines!I18</f>
        <v>2.8046646621078253E-3</v>
      </c>
      <c r="N28" s="283">
        <f t="shared" si="4"/>
        <v>2.8046646621078253E-3</v>
      </c>
      <c r="O28" s="284">
        <f t="shared" si="35"/>
        <v>1.0594369463306386E-2</v>
      </c>
      <c r="Q28" s="291">
        <f t="shared" si="20"/>
        <v>1.0594369463306386E-2</v>
      </c>
      <c r="R28" s="284">
        <f t="shared" si="36"/>
        <v>2.8046646621078253E-3</v>
      </c>
      <c r="S28" s="287"/>
      <c r="T28" s="283" t="s">
        <v>80</v>
      </c>
      <c r="U28" s="283">
        <f t="shared" si="5"/>
        <v>1.0991672480323039E-2</v>
      </c>
      <c r="V28" s="284">
        <f>Splines!N18</f>
        <v>-1.0909819975495338E-3</v>
      </c>
      <c r="W28" s="284">
        <f t="shared" si="21"/>
        <v>9.9006904827735054E-3</v>
      </c>
      <c r="X28" s="284">
        <f t="shared" si="37"/>
        <v>1.2810785215814802E-2</v>
      </c>
      <c r="Z28" s="291">
        <f t="shared" si="22"/>
        <v>1.2810785215814802E-2</v>
      </c>
      <c r="AA28" s="284">
        <f t="shared" si="38"/>
        <v>9.9006904827734221E-3</v>
      </c>
      <c r="AB28" s="288"/>
      <c r="AC28" s="283" t="s">
        <v>80</v>
      </c>
      <c r="AD28" s="283">
        <f t="shared" si="6"/>
        <v>-2.7352433661130063E-3</v>
      </c>
      <c r="AE28" s="284">
        <f>Splines!S18</f>
        <v>1.3782210880890489E-3</v>
      </c>
      <c r="AF28" s="284">
        <f t="shared" si="23"/>
        <v>-1.3570222780239574E-3</v>
      </c>
      <c r="AG28" s="284">
        <f t="shared" si="39"/>
        <v>6.1778857372267737E-3</v>
      </c>
      <c r="AI28" s="291">
        <f t="shared" si="24"/>
        <v>6.1778857372267737E-3</v>
      </c>
      <c r="AJ28" s="284">
        <f t="shared" si="40"/>
        <v>-1.3570222780239227E-3</v>
      </c>
      <c r="AK28" s="288"/>
      <c r="AL28" s="283" t="s">
        <v>80</v>
      </c>
      <c r="AM28" s="283">
        <f t="shared" si="7"/>
        <v>1.5802277643212917E-2</v>
      </c>
      <c r="AN28" s="283">
        <f>Splines!X18</f>
        <v>3.5764712374657393E-3</v>
      </c>
      <c r="AO28" s="283">
        <f t="shared" si="25"/>
        <v>1.9378748880678656E-2</v>
      </c>
      <c r="AP28" s="284">
        <f t="shared" si="41"/>
        <v>2.4023851799313878E-2</v>
      </c>
      <c r="AQ28" s="283"/>
      <c r="AR28" s="291">
        <f t="shared" si="26"/>
        <v>2.4023851799313878E-2</v>
      </c>
      <c r="AS28" s="284">
        <f t="shared" si="42"/>
        <v>1.9378748880678698E-2</v>
      </c>
      <c r="AT28" s="289"/>
      <c r="AU28" s="283" t="s">
        <v>80</v>
      </c>
      <c r="AV28" s="283">
        <f t="shared" si="8"/>
        <v>6.877859702761422E-5</v>
      </c>
      <c r="AW28" s="284">
        <f>Splines!AC18</f>
        <v>5.9832679107785225E-4</v>
      </c>
      <c r="AX28" s="284">
        <f t="shared" si="27"/>
        <v>6.6710538810546647E-4</v>
      </c>
      <c r="AY28" s="284">
        <f t="shared" si="43"/>
        <v>4.9743069867900225E-3</v>
      </c>
      <c r="BA28" s="291">
        <f t="shared" si="28"/>
        <v>4.9743069867900225E-3</v>
      </c>
      <c r="BB28" s="284">
        <f t="shared" si="44"/>
        <v>6.6710538810554887E-4</v>
      </c>
      <c r="BC28" s="288"/>
      <c r="BD28" s="283" t="s">
        <v>80</v>
      </c>
      <c r="BE28" s="283">
        <f t="shared" si="9"/>
        <v>1.5661415348514531E-2</v>
      </c>
      <c r="BF28" s="284">
        <f>Splines!AH18</f>
        <v>1.5611915150657296E-3</v>
      </c>
      <c r="BG28" s="284">
        <f t="shared" si="29"/>
        <v>1.7222606863580261E-2</v>
      </c>
      <c r="BH28" s="284">
        <f t="shared" si="45"/>
        <v>2.3785898399693473E-2</v>
      </c>
      <c r="BJ28" s="291">
        <f t="shared" si="30"/>
        <v>2.3785898399693473E-2</v>
      </c>
      <c r="BK28" s="284">
        <f t="shared" si="46"/>
        <v>1.7222606863580348E-2</v>
      </c>
      <c r="BL28" s="288"/>
      <c r="BM28" s="283" t="s">
        <v>80</v>
      </c>
      <c r="BN28" s="283">
        <f t="shared" si="10"/>
        <v>1.7843067911703751E-2</v>
      </c>
      <c r="BO28" s="284">
        <f>Splines!AM18</f>
        <v>1.6745185712352395E-3</v>
      </c>
      <c r="BP28" s="284">
        <f t="shared" si="31"/>
        <v>1.9517586482938991E-2</v>
      </c>
      <c r="BQ28" s="284">
        <f t="shared" si="47"/>
        <v>2.5997149418075072E-2</v>
      </c>
      <c r="BS28" s="291">
        <f t="shared" si="32"/>
        <v>2.5997149418075072E-2</v>
      </c>
      <c r="BT28" s="284">
        <f t="shared" si="48"/>
        <v>1.9517586482938887E-2</v>
      </c>
      <c r="BU28" s="288"/>
      <c r="BV28" s="659" t="s">
        <v>80</v>
      </c>
      <c r="BW28" s="659">
        <f t="shared" si="11"/>
        <v>1.7611544021132713E-2</v>
      </c>
      <c r="BX28" s="284">
        <f>Splines!AR18</f>
        <v>1.4493925264105201E-3</v>
      </c>
      <c r="BY28" s="284">
        <f t="shared" si="33"/>
        <v>1.9060936547543234E-2</v>
      </c>
      <c r="BZ28" s="284">
        <f t="shared" si="49"/>
        <v>2.2880650854024021E-2</v>
      </c>
      <c r="CB28" s="291">
        <f t="shared" si="34"/>
        <v>2.2880650854024021E-2</v>
      </c>
      <c r="CC28" s="284">
        <f t="shared" si="50"/>
        <v>1.906093654754315E-2</v>
      </c>
      <c r="CD28" s="288"/>
      <c r="CE28" s="284" t="str">
        <f t="shared" si="1"/>
        <v>14 Year</v>
      </c>
      <c r="CF28" s="284">
        <f t="shared" si="2"/>
        <v>1.5661415348514531E-2</v>
      </c>
      <c r="CG28" s="284">
        <f t="shared" si="16"/>
        <v>1.5611915150657296E-3</v>
      </c>
      <c r="CH28" s="284">
        <f t="shared" si="17"/>
        <v>1.7222606863580261E-2</v>
      </c>
      <c r="CI28" s="284">
        <f t="shared" si="18"/>
        <v>2.3785898399693473E-2</v>
      </c>
      <c r="CK28" s="284">
        <f>BJ28+MIN('Instructions &amp; Dashboard'!$D$43,'Instructions &amp; Dashboard'!$D$44)/10000</f>
        <v>2.5785898399693474E-2</v>
      </c>
      <c r="CL28" s="284">
        <f t="shared" si="51"/>
        <v>1.9925234316285678E-2</v>
      </c>
    </row>
    <row r="29" spans="1:90">
      <c r="A29" s="283">
        <f t="shared" si="52"/>
        <v>15</v>
      </c>
      <c r="B29" s="283" t="s">
        <v>81</v>
      </c>
      <c r="C29" s="283">
        <f t="shared" si="14"/>
        <v>2.2075979808366453E-2</v>
      </c>
      <c r="D29" s="284">
        <f>Splines!D19</f>
        <v>-1.4192884555086493E-3</v>
      </c>
      <c r="E29" s="506">
        <f t="shared" si="15"/>
        <v>2.0656691352857803E-2</v>
      </c>
      <c r="F29" s="507">
        <f t="shared" si="54"/>
        <v>2.3860776145452789E-2</v>
      </c>
      <c r="H29" s="284">
        <f t="shared" si="19"/>
        <v>2.3860776145452789E-2</v>
      </c>
      <c r="I29" s="284">
        <f t="shared" si="53"/>
        <v>2.0656691352857859E-2</v>
      </c>
      <c r="J29" s="285"/>
      <c r="K29" s="283" t="s">
        <v>81</v>
      </c>
      <c r="L29" s="552">
        <f t="shared" si="55"/>
        <v>0</v>
      </c>
      <c r="M29" s="284">
        <f>Splines!I19</f>
        <v>3.3811121247708797E-3</v>
      </c>
      <c r="N29" s="283">
        <f t="shared" si="4"/>
        <v>3.3811121247708797E-3</v>
      </c>
      <c r="O29" s="284">
        <f t="shared" si="35"/>
        <v>1.148625646281487E-2</v>
      </c>
      <c r="Q29" s="291">
        <f t="shared" si="20"/>
        <v>1.148625646281487E-2</v>
      </c>
      <c r="R29" s="284">
        <f t="shared" si="36"/>
        <v>3.3811121247708797E-3</v>
      </c>
      <c r="S29" s="287"/>
      <c r="T29" s="283" t="s">
        <v>81</v>
      </c>
      <c r="U29" s="283">
        <f t="shared" si="5"/>
        <v>1.1570897064036766E-2</v>
      </c>
      <c r="V29" s="284">
        <f>Splines!N19</f>
        <v>-1.4846064150333405E-3</v>
      </c>
      <c r="W29" s="284">
        <f t="shared" si="21"/>
        <v>1.0086290649003425E-2</v>
      </c>
      <c r="X29" s="284">
        <f t="shared" si="37"/>
        <v>1.2688277349816701E-2</v>
      </c>
      <c r="Z29" s="291">
        <f t="shared" si="22"/>
        <v>1.2688277349816701E-2</v>
      </c>
      <c r="AA29" s="284">
        <f t="shared" si="38"/>
        <v>1.0086290649003349E-2</v>
      </c>
      <c r="AB29" s="288"/>
      <c r="AC29" s="283" t="s">
        <v>81</v>
      </c>
      <c r="AD29" s="283">
        <f t="shared" si="6"/>
        <v>-2.2680109321716393E-3</v>
      </c>
      <c r="AE29" s="284">
        <f>Splines!S19</f>
        <v>1.4476003125309944E-3</v>
      </c>
      <c r="AF29" s="284">
        <f t="shared" si="23"/>
        <v>-8.2041061964064493E-4</v>
      </c>
      <c r="AG29" s="284">
        <f t="shared" si="39"/>
        <v>6.7224992614236534E-3</v>
      </c>
      <c r="AI29" s="291">
        <f t="shared" si="24"/>
        <v>6.7224992614236534E-3</v>
      </c>
      <c r="AJ29" s="284">
        <f t="shared" si="40"/>
        <v>-8.2041061964066575E-4</v>
      </c>
      <c r="AK29" s="288"/>
      <c r="AL29" s="283" t="s">
        <v>81</v>
      </c>
      <c r="AM29" s="283">
        <f t="shared" si="7"/>
        <v>1.5930548761487182E-2</v>
      </c>
      <c r="AN29" s="283">
        <f>Splines!X19</f>
        <v>3.8009861018508673E-3</v>
      </c>
      <c r="AO29" s="283">
        <f t="shared" si="25"/>
        <v>1.9731534863338049E-2</v>
      </c>
      <c r="AP29" s="284">
        <f t="shared" si="41"/>
        <v>2.4683377521704131E-2</v>
      </c>
      <c r="AQ29" s="283"/>
      <c r="AR29" s="291">
        <f t="shared" si="26"/>
        <v>2.4683377521704131E-2</v>
      </c>
      <c r="AS29" s="284">
        <f t="shared" si="42"/>
        <v>1.9731534863338007E-2</v>
      </c>
      <c r="AT29" s="289"/>
      <c r="AU29" s="283" t="s">
        <v>81</v>
      </c>
      <c r="AV29" s="283">
        <f t="shared" si="8"/>
        <v>5.1351908972435559E-4</v>
      </c>
      <c r="AW29" s="284">
        <f>Splines!AC19</f>
        <v>4.7260872088372707E-4</v>
      </c>
      <c r="AX29" s="284">
        <f t="shared" si="27"/>
        <v>9.8612781060808266E-4</v>
      </c>
      <c r="AY29" s="284">
        <f t="shared" si="43"/>
        <v>5.4631357762153776E-3</v>
      </c>
      <c r="BA29" s="291">
        <f t="shared" si="28"/>
        <v>5.4631357762153776E-3</v>
      </c>
      <c r="BB29" s="284">
        <f t="shared" si="44"/>
        <v>9.8612781060802845E-4</v>
      </c>
      <c r="BC29" s="288"/>
      <c r="BD29" s="283" t="s">
        <v>81</v>
      </c>
      <c r="BE29" s="283">
        <f t="shared" si="9"/>
        <v>1.6105028354561745E-2</v>
      </c>
      <c r="BF29" s="284">
        <f>Splines!AH19</f>
        <v>1.6035117441788316E-3</v>
      </c>
      <c r="BG29" s="284">
        <f t="shared" si="29"/>
        <v>1.7708540098740577E-2</v>
      </c>
      <c r="BH29" s="284">
        <f t="shared" si="45"/>
        <v>2.4536029901871315E-2</v>
      </c>
      <c r="BJ29" s="291">
        <f t="shared" si="30"/>
        <v>2.4536029901871315E-2</v>
      </c>
      <c r="BK29" s="284">
        <f t="shared" si="46"/>
        <v>1.7708540098740677E-2</v>
      </c>
      <c r="BL29" s="288"/>
      <c r="BM29" s="283" t="s">
        <v>81</v>
      </c>
      <c r="BN29" s="283">
        <f t="shared" si="10"/>
        <v>1.7376028284112693E-2</v>
      </c>
      <c r="BO29" s="284">
        <f>Splines!AM19</f>
        <v>2.6194348465651274E-3</v>
      </c>
      <c r="BP29" s="284">
        <f t="shared" si="31"/>
        <v>1.9995463130677821E-2</v>
      </c>
      <c r="BQ29" s="284">
        <f t="shared" si="47"/>
        <v>2.670930343544331E-2</v>
      </c>
      <c r="BS29" s="291">
        <f t="shared" si="32"/>
        <v>2.670930343544331E-2</v>
      </c>
      <c r="BT29" s="284">
        <f t="shared" si="48"/>
        <v>1.9995463130677793E-2</v>
      </c>
      <c r="BU29" s="288"/>
      <c r="BV29" s="659" t="s">
        <v>81</v>
      </c>
      <c r="BW29" s="659">
        <f t="shared" si="11"/>
        <v>1.836394326723674E-2</v>
      </c>
      <c r="BX29" s="284">
        <f>Splines!AR19</f>
        <v>1.0235006920993328E-3</v>
      </c>
      <c r="BY29" s="284">
        <f t="shared" si="33"/>
        <v>1.9387443959336073E-2</v>
      </c>
      <c r="BZ29" s="284">
        <f t="shared" si="49"/>
        <v>2.3969547361846866E-2</v>
      </c>
      <c r="CB29" s="291">
        <f t="shared" si="34"/>
        <v>2.3969547361846866E-2</v>
      </c>
      <c r="CC29" s="284">
        <f t="shared" si="50"/>
        <v>1.9387443959336004E-2</v>
      </c>
      <c r="CD29" s="288"/>
      <c r="CE29" s="284" t="str">
        <f t="shared" si="1"/>
        <v>15 Year</v>
      </c>
      <c r="CF29" s="284">
        <f t="shared" si="2"/>
        <v>1.6105028354561745E-2</v>
      </c>
      <c r="CG29" s="284">
        <f t="shared" si="16"/>
        <v>1.6035117441788316E-3</v>
      </c>
      <c r="CH29" s="284">
        <f t="shared" si="17"/>
        <v>1.7708540098740577E-2</v>
      </c>
      <c r="CI29" s="284">
        <f t="shared" si="18"/>
        <v>2.4536029901871315E-2</v>
      </c>
      <c r="CK29" s="284">
        <f>BJ29+MIN('Instructions &amp; Dashboard'!$D$43,'Instructions &amp; Dashboard'!$D$44)/10000</f>
        <v>2.6536029901871316E-2</v>
      </c>
      <c r="CL29" s="284">
        <f t="shared" si="51"/>
        <v>2.0364626488817539E-2</v>
      </c>
    </row>
    <row r="30" spans="1:90">
      <c r="A30" s="283">
        <f t="shared" si="52"/>
        <v>16</v>
      </c>
      <c r="B30" s="283" t="s">
        <v>82</v>
      </c>
      <c r="C30" s="283">
        <f t="shared" si="14"/>
        <v>2.2483590942178E-2</v>
      </c>
      <c r="D30" s="284">
        <f>Splines!D20</f>
        <v>-1.6134592005982995E-3</v>
      </c>
      <c r="E30" s="506">
        <f t="shared" si="15"/>
        <v>2.0870131741579701E-2</v>
      </c>
      <c r="F30" s="507">
        <f t="shared" si="54"/>
        <v>2.4077098978125822E-2</v>
      </c>
      <c r="H30" s="284">
        <f t="shared" si="19"/>
        <v>2.4077098978125822E-2</v>
      </c>
      <c r="I30" s="284">
        <f t="shared" si="53"/>
        <v>2.0870131741579812E-2</v>
      </c>
      <c r="J30" s="285"/>
      <c r="K30" s="283" t="s">
        <v>82</v>
      </c>
      <c r="L30" s="552">
        <f t="shared" si="55"/>
        <v>0</v>
      </c>
      <c r="M30" s="284">
        <f>Splines!I20</f>
        <v>3.8857781328260899E-3</v>
      </c>
      <c r="N30" s="283">
        <f t="shared" si="4"/>
        <v>3.8857781328260899E-3</v>
      </c>
      <c r="O30" s="284">
        <f t="shared" si="35"/>
        <v>1.1486299410877976E-2</v>
      </c>
      <c r="Q30" s="291">
        <f t="shared" si="20"/>
        <v>1.1486299410877976E-2</v>
      </c>
      <c r="R30" s="284">
        <f t="shared" si="36"/>
        <v>3.8857781328260899E-3</v>
      </c>
      <c r="S30" s="287"/>
      <c r="T30" s="283" t="s">
        <v>82</v>
      </c>
      <c r="U30" s="283">
        <f t="shared" si="5"/>
        <v>1.2104467364379201E-2</v>
      </c>
      <c r="V30" s="284">
        <f>Splines!N20</f>
        <v>-1.8613478168845177E-3</v>
      </c>
      <c r="W30" s="284">
        <f t="shared" si="21"/>
        <v>1.0243119547494683E-2</v>
      </c>
      <c r="X30" s="284">
        <f t="shared" si="37"/>
        <v>1.259847710769324E-2</v>
      </c>
      <c r="Z30" s="291">
        <f t="shared" si="22"/>
        <v>1.259847710769324E-2</v>
      </c>
      <c r="AA30" s="284">
        <f t="shared" si="38"/>
        <v>1.0243119547494572E-2</v>
      </c>
      <c r="AB30" s="288"/>
      <c r="AC30" s="283" t="s">
        <v>82</v>
      </c>
      <c r="AD30" s="283">
        <f t="shared" si="6"/>
        <v>-1.8399895178974821E-3</v>
      </c>
      <c r="AE30" s="284">
        <f>Splines!S20</f>
        <v>1.4286449877545238E-3</v>
      </c>
      <c r="AF30" s="284">
        <f t="shared" si="23"/>
        <v>-4.113445301429583E-4</v>
      </c>
      <c r="AG30" s="284">
        <f t="shared" si="39"/>
        <v>5.7447819544631518E-3</v>
      </c>
      <c r="AI30" s="291">
        <f t="shared" si="24"/>
        <v>5.7447819544631518E-3</v>
      </c>
      <c r="AJ30" s="284">
        <f t="shared" si="40"/>
        <v>-4.1134453014290973E-4</v>
      </c>
      <c r="AK30" s="288"/>
      <c r="AL30" s="283" t="s">
        <v>82</v>
      </c>
      <c r="AM30" s="283">
        <f t="shared" si="7"/>
        <v>1.6055252996083805E-2</v>
      </c>
      <c r="AN30" s="283">
        <f>Splines!X20</f>
        <v>3.8870591670274734E-3</v>
      </c>
      <c r="AO30" s="283">
        <f t="shared" si="25"/>
        <v>1.9942312163111278E-2</v>
      </c>
      <c r="AP30" s="284">
        <f t="shared" si="41"/>
        <v>2.3109204796255112E-2</v>
      </c>
      <c r="AQ30" s="283"/>
      <c r="AR30" s="291">
        <f t="shared" si="26"/>
        <v>2.3109204796255112E-2</v>
      </c>
      <c r="AS30" s="284">
        <f t="shared" si="42"/>
        <v>1.9942312163111264E-2</v>
      </c>
      <c r="AT30" s="289"/>
      <c r="AU30" s="283" t="s">
        <v>82</v>
      </c>
      <c r="AV30" s="283">
        <f t="shared" si="8"/>
        <v>9.6932343414058656E-4</v>
      </c>
      <c r="AW30" s="284">
        <f>Splines!AC20</f>
        <v>1.5933354734443128E-4</v>
      </c>
      <c r="AX30" s="284">
        <f t="shared" si="27"/>
        <v>1.1286569814850178E-3</v>
      </c>
      <c r="AY30" s="284">
        <f t="shared" si="43"/>
        <v>3.2690315098136136E-3</v>
      </c>
      <c r="BA30" s="291">
        <f t="shared" si="28"/>
        <v>3.2690315098136136E-3</v>
      </c>
      <c r="BB30" s="284">
        <f t="shared" si="44"/>
        <v>1.12865698148501E-3</v>
      </c>
      <c r="BC30" s="288"/>
      <c r="BD30" s="283" t="s">
        <v>82</v>
      </c>
      <c r="BE30" s="283">
        <f t="shared" si="9"/>
        <v>1.6533375321693407E-2</v>
      </c>
      <c r="BF30" s="284">
        <f>Splines!AH20</f>
        <v>1.4647943899035454E-3</v>
      </c>
      <c r="BG30" s="284">
        <f t="shared" si="29"/>
        <v>1.7998169711596953E-2</v>
      </c>
      <c r="BH30" s="284">
        <f t="shared" si="45"/>
        <v>2.2352518133724519E-2</v>
      </c>
      <c r="BJ30" s="291">
        <f t="shared" si="30"/>
        <v>2.2352518133724519E-2</v>
      </c>
      <c r="BK30" s="284">
        <f t="shared" si="46"/>
        <v>1.7998169711596956E-2</v>
      </c>
      <c r="BL30" s="288"/>
      <c r="BM30" s="283" t="s">
        <v>82</v>
      </c>
      <c r="BN30" s="283">
        <f t="shared" si="10"/>
        <v>1.6922540859293077E-2</v>
      </c>
      <c r="BO30" s="284">
        <f>Splines!AM20</f>
        <v>3.3569494262337685E-3</v>
      </c>
      <c r="BP30" s="284">
        <f t="shared" si="31"/>
        <v>2.0279490285526846E-2</v>
      </c>
      <c r="BQ30" s="284">
        <f t="shared" si="47"/>
        <v>2.454940075055867E-2</v>
      </c>
      <c r="BS30" s="291">
        <f t="shared" si="32"/>
        <v>2.454940075055867E-2</v>
      </c>
      <c r="BT30" s="284">
        <f t="shared" si="48"/>
        <v>2.027949028552678E-2</v>
      </c>
      <c r="BU30" s="288"/>
      <c r="BV30" s="659" t="s">
        <v>82</v>
      </c>
      <c r="BW30" s="659">
        <f t="shared" si="11"/>
        <v>1.9139232275985713E-2</v>
      </c>
      <c r="BX30" s="284">
        <f>Splines!AR20</f>
        <v>8.9703191770240664E-4</v>
      </c>
      <c r="BY30" s="284">
        <f t="shared" si="33"/>
        <v>2.0036264193688119E-2</v>
      </c>
      <c r="BZ30" s="284">
        <f t="shared" si="49"/>
        <v>2.981827057696651E-2</v>
      </c>
      <c r="CB30" s="291">
        <f t="shared" si="34"/>
        <v>2.981827057696651E-2</v>
      </c>
      <c r="CC30" s="284">
        <f t="shared" si="50"/>
        <v>2.0036264193688202E-2</v>
      </c>
      <c r="CD30" s="288"/>
      <c r="CE30" s="284" t="str">
        <f t="shared" si="1"/>
        <v>16 Year</v>
      </c>
      <c r="CF30" s="284">
        <f t="shared" si="2"/>
        <v>1.6533375321693407E-2</v>
      </c>
      <c r="CG30" s="284">
        <f t="shared" si="16"/>
        <v>1.4647943899035454E-3</v>
      </c>
      <c r="CH30" s="284">
        <f t="shared" si="17"/>
        <v>1.7998169711596953E-2</v>
      </c>
      <c r="CI30" s="284">
        <f t="shared" si="18"/>
        <v>2.2352518133724519E-2</v>
      </c>
      <c r="CK30" s="284">
        <f>BJ30+MIN('Instructions &amp; Dashboard'!$D$43,'Instructions &amp; Dashboard'!$D$44)/10000</f>
        <v>2.4352518133724521E-2</v>
      </c>
      <c r="CL30" s="284">
        <f t="shared" si="51"/>
        <v>2.0613414248326078E-2</v>
      </c>
    </row>
    <row r="31" spans="1:90">
      <c r="A31" s="283">
        <f t="shared" si="52"/>
        <v>17</v>
      </c>
      <c r="B31" s="283" t="s">
        <v>83</v>
      </c>
      <c r="C31" s="283">
        <f t="shared" si="14"/>
        <v>2.2889421539921628E-2</v>
      </c>
      <c r="D31" s="284">
        <f>Splines!D21</f>
        <v>-1.8360164249315858E-3</v>
      </c>
      <c r="E31" s="506">
        <f t="shared" si="15"/>
        <v>2.1053405114990043E-2</v>
      </c>
      <c r="F31" s="507">
        <f t="shared" si="54"/>
        <v>2.3990257842070983E-2</v>
      </c>
      <c r="H31" s="284">
        <f t="shared" si="19"/>
        <v>2.3990257842070983E-2</v>
      </c>
      <c r="I31" s="284">
        <f t="shared" si="53"/>
        <v>2.1053405114989987E-2</v>
      </c>
      <c r="J31" s="285"/>
      <c r="K31" s="283" t="s">
        <v>83</v>
      </c>
      <c r="L31" s="552">
        <f t="shared" si="55"/>
        <v>3.4972280917605972E-4</v>
      </c>
      <c r="M31" s="284">
        <f>Splines!I21</f>
        <v>3.9795511402189732E-3</v>
      </c>
      <c r="N31" s="283">
        <f t="shared" si="4"/>
        <v>4.3292739493950329E-3</v>
      </c>
      <c r="O31" s="284">
        <f t="shared" si="35"/>
        <v>1.1451912064581293E-2</v>
      </c>
      <c r="Q31" s="291">
        <f t="shared" si="20"/>
        <v>1.1451912064581293E-2</v>
      </c>
      <c r="R31" s="284">
        <f t="shared" si="36"/>
        <v>4.3292739493949739E-3</v>
      </c>
      <c r="S31" s="287"/>
      <c r="T31" s="283" t="s">
        <v>83</v>
      </c>
      <c r="U31" s="283">
        <f t="shared" si="5"/>
        <v>1.259149002670948E-2</v>
      </c>
      <c r="V31" s="284">
        <f>Splines!N21</f>
        <v>-2.2147765848785639E-3</v>
      </c>
      <c r="W31" s="284">
        <f t="shared" si="21"/>
        <v>1.0376713441830917E-2</v>
      </c>
      <c r="X31" s="284">
        <f t="shared" si="37"/>
        <v>1.2516619966858267E-2</v>
      </c>
      <c r="Z31" s="291">
        <f t="shared" si="22"/>
        <v>1.2516619966858267E-2</v>
      </c>
      <c r="AA31" s="284">
        <f t="shared" si="38"/>
        <v>1.0376713441830887E-2</v>
      </c>
      <c r="AB31" s="288"/>
      <c r="AC31" s="283" t="s">
        <v>83</v>
      </c>
      <c r="AD31" s="283">
        <f t="shared" si="6"/>
        <v>-1.4497772592302061E-3</v>
      </c>
      <c r="AE31" s="284">
        <f>Splines!S21</f>
        <v>1.4096896629780531E-3</v>
      </c>
      <c r="AF31" s="284">
        <f t="shared" si="23"/>
        <v>-4.0087596252152968E-5</v>
      </c>
      <c r="AG31" s="284">
        <f t="shared" si="39"/>
        <v>5.91881104278702E-3</v>
      </c>
      <c r="AI31" s="291">
        <f t="shared" si="24"/>
        <v>5.91881104278702E-3</v>
      </c>
      <c r="AJ31" s="284">
        <f t="shared" si="40"/>
        <v>-4.0087596252180724E-5</v>
      </c>
      <c r="AK31" s="288"/>
      <c r="AL31" s="283" t="s">
        <v>83</v>
      </c>
      <c r="AM31" s="283">
        <f t="shared" si="7"/>
        <v>1.6176477543128752E-2</v>
      </c>
      <c r="AN31" s="283">
        <f>Splines!X21</f>
        <v>3.9731324650347233E-3</v>
      </c>
      <c r="AO31" s="283">
        <f t="shared" si="25"/>
        <v>2.0149610008163475E-2</v>
      </c>
      <c r="AP31" s="284">
        <f t="shared" si="41"/>
        <v>2.3472111333023404E-2</v>
      </c>
      <c r="AQ31" s="283"/>
      <c r="AR31" s="291">
        <f t="shared" si="26"/>
        <v>2.3472111333023404E-2</v>
      </c>
      <c r="AS31" s="284">
        <f t="shared" si="42"/>
        <v>2.014961000816351E-2</v>
      </c>
      <c r="AT31" s="289"/>
      <c r="AU31" s="283" t="s">
        <v>83</v>
      </c>
      <c r="AV31" s="283">
        <f t="shared" si="8"/>
        <v>1.4334940320771968E-3</v>
      </c>
      <c r="AW31" s="284">
        <f>Splines!AC21</f>
        <v>-6.7454461714078207E-6</v>
      </c>
      <c r="AX31" s="284">
        <f t="shared" si="27"/>
        <v>1.426748585905789E-3</v>
      </c>
      <c r="AY31" s="284">
        <f t="shared" si="43"/>
        <v>6.2083033926818576E-3</v>
      </c>
      <c r="BA31" s="291">
        <f t="shared" si="28"/>
        <v>6.2083033926818576E-3</v>
      </c>
      <c r="BB31" s="284">
        <f t="shared" si="44"/>
        <v>1.4267485859058571E-3</v>
      </c>
      <c r="BC31" s="288"/>
      <c r="BD31" s="283" t="s">
        <v>83</v>
      </c>
      <c r="BE31" s="283">
        <f t="shared" si="9"/>
        <v>1.6948067522016757E-2</v>
      </c>
      <c r="BF31" s="284">
        <f>Splines!AH21</f>
        <v>1.3260770356282592E-3</v>
      </c>
      <c r="BG31" s="284">
        <f t="shared" si="29"/>
        <v>1.8274144557645016E-2</v>
      </c>
      <c r="BH31" s="284">
        <f t="shared" si="45"/>
        <v>2.2699930817220215E-2</v>
      </c>
      <c r="BJ31" s="291">
        <f t="shared" si="30"/>
        <v>2.2699930817220215E-2</v>
      </c>
      <c r="BK31" s="284">
        <f t="shared" si="46"/>
        <v>1.8274144557645089E-2</v>
      </c>
      <c r="BL31" s="288"/>
      <c r="BM31" s="283" t="s">
        <v>83</v>
      </c>
      <c r="BN31" s="283">
        <f t="shared" si="10"/>
        <v>1.6503052407408743E-2</v>
      </c>
      <c r="BO31" s="284">
        <f>Splines!AM21</f>
        <v>4.0944637730717659E-3</v>
      </c>
      <c r="BP31" s="284">
        <f t="shared" si="31"/>
        <v>2.0597516180480509E-2</v>
      </c>
      <c r="BQ31" s="284">
        <f t="shared" si="47"/>
        <v>2.5699433236089364E-2</v>
      </c>
      <c r="BS31" s="291">
        <f t="shared" si="32"/>
        <v>2.5699433236089364E-2</v>
      </c>
      <c r="BT31" s="284">
        <f t="shared" si="48"/>
        <v>2.0597516180480557E-2</v>
      </c>
      <c r="BU31" s="288"/>
      <c r="BV31" s="659" t="s">
        <v>83</v>
      </c>
      <c r="BW31" s="659">
        <f t="shared" si="11"/>
        <v>1.9928538906301183E-2</v>
      </c>
      <c r="BX31" s="284">
        <f>Splines!AR21</f>
        <v>7.7056314330548048E-4</v>
      </c>
      <c r="BY31" s="284">
        <f t="shared" si="33"/>
        <v>2.0699102049606663E-2</v>
      </c>
      <c r="BZ31" s="284">
        <f t="shared" si="49"/>
        <v>3.1363276958336739E-2</v>
      </c>
      <c r="CB31" s="291">
        <f t="shared" si="34"/>
        <v>3.1363276958336739E-2</v>
      </c>
      <c r="CC31" s="284">
        <f t="shared" si="50"/>
        <v>2.0699102049606566E-2</v>
      </c>
      <c r="CD31" s="288"/>
      <c r="CE31" s="284" t="str">
        <f t="shared" si="1"/>
        <v>17 Year</v>
      </c>
      <c r="CF31" s="284">
        <f t="shared" si="2"/>
        <v>1.6948067522016757E-2</v>
      </c>
      <c r="CG31" s="284">
        <f t="shared" si="16"/>
        <v>1.3260770356282592E-3</v>
      </c>
      <c r="CH31" s="284">
        <f t="shared" si="17"/>
        <v>1.8274144557645016E-2</v>
      </c>
      <c r="CI31" s="284">
        <f t="shared" si="18"/>
        <v>2.2699930817220215E-2</v>
      </c>
      <c r="CK31" s="284">
        <f>BJ31+MIN('Instructions &amp; Dashboard'!$D$43,'Instructions &amp; Dashboard'!$D$44)/10000</f>
        <v>2.4699930817220217E-2</v>
      </c>
      <c r="CL31" s="284">
        <f t="shared" si="51"/>
        <v>2.0853345809353163E-2</v>
      </c>
    </row>
    <row r="32" spans="1:90">
      <c r="A32" s="283">
        <f t="shared" si="52"/>
        <v>18</v>
      </c>
      <c r="B32" s="283" t="s">
        <v>84</v>
      </c>
      <c r="C32" s="283">
        <f t="shared" si="14"/>
        <v>2.3292210662324564E-2</v>
      </c>
      <c r="D32" s="284">
        <f>Splines!D22</f>
        <v>-2.0976143423467875E-3</v>
      </c>
      <c r="E32" s="506">
        <f t="shared" si="15"/>
        <v>2.1194596319977776E-2</v>
      </c>
      <c r="F32" s="507">
        <f t="shared" si="54"/>
        <v>2.3597836167388087E-2</v>
      </c>
      <c r="H32" s="284">
        <f t="shared" si="19"/>
        <v>2.3597836167388087E-2</v>
      </c>
      <c r="I32" s="284">
        <f t="shared" si="53"/>
        <v>2.1194596319977776E-2</v>
      </c>
      <c r="J32" s="285"/>
      <c r="K32" s="283" t="s">
        <v>84</v>
      </c>
      <c r="L32" s="552">
        <f t="shared" si="55"/>
        <v>7.3195728033116636E-4</v>
      </c>
      <c r="M32" s="284">
        <f>Splines!I22</f>
        <v>3.9731841534376144E-3</v>
      </c>
      <c r="N32" s="283">
        <f t="shared" si="4"/>
        <v>4.7051414337687808E-3</v>
      </c>
      <c r="O32" s="284">
        <f t="shared" si="35"/>
        <v>1.1116453795155801E-2</v>
      </c>
      <c r="Q32" s="291">
        <f t="shared" si="20"/>
        <v>1.1116453795155801E-2</v>
      </c>
      <c r="R32" s="284">
        <f t="shared" si="36"/>
        <v>4.7051414337688779E-3</v>
      </c>
      <c r="S32" s="287"/>
      <c r="T32" s="283" t="s">
        <v>84</v>
      </c>
      <c r="U32" s="283">
        <f t="shared" si="5"/>
        <v>1.3032195480025387E-2</v>
      </c>
      <c r="V32" s="284">
        <f>Splines!N22</f>
        <v>-2.53879907540977E-3</v>
      </c>
      <c r="W32" s="284">
        <f t="shared" si="21"/>
        <v>1.0493396404615617E-2</v>
      </c>
      <c r="X32" s="284">
        <f t="shared" si="37"/>
        <v>1.24790697306012E-2</v>
      </c>
      <c r="Z32" s="291">
        <f t="shared" si="22"/>
        <v>1.24790697306012E-2</v>
      </c>
      <c r="AA32" s="284">
        <f t="shared" si="38"/>
        <v>1.0493396404615662E-2</v>
      </c>
      <c r="AB32" s="288"/>
      <c r="AC32" s="283" t="s">
        <v>84</v>
      </c>
      <c r="AD32" s="283">
        <f t="shared" si="6"/>
        <v>-1.0960123930102428E-3</v>
      </c>
      <c r="AE32" s="284">
        <f>Splines!S22</f>
        <v>1.3907342217862606E-3</v>
      </c>
      <c r="AF32" s="284">
        <f t="shared" si="23"/>
        <v>2.9472182877601782E-4</v>
      </c>
      <c r="AG32" s="284">
        <f t="shared" si="39"/>
        <v>6.0036643029865999E-3</v>
      </c>
      <c r="AI32" s="291">
        <f t="shared" si="24"/>
        <v>6.0036643029865999E-3</v>
      </c>
      <c r="AJ32" s="284">
        <f t="shared" si="40"/>
        <v>2.9472182877610109E-4</v>
      </c>
      <c r="AK32" s="288"/>
      <c r="AL32" s="283" t="s">
        <v>84</v>
      </c>
      <c r="AM32" s="283">
        <f t="shared" si="7"/>
        <v>1.6294307827212556E-2</v>
      </c>
      <c r="AN32" s="283">
        <f>Splines!X22</f>
        <v>4.0592057630419731E-3</v>
      </c>
      <c r="AO32" s="283">
        <f t="shared" si="25"/>
        <v>2.0353513590254529E-2</v>
      </c>
      <c r="AP32" s="284">
        <f t="shared" si="41"/>
        <v>2.3826116723966173E-2</v>
      </c>
      <c r="AQ32" s="283"/>
      <c r="AR32" s="291">
        <f t="shared" si="26"/>
        <v>2.3826116723966173E-2</v>
      </c>
      <c r="AS32" s="284">
        <f t="shared" si="42"/>
        <v>2.0353513590254613E-2</v>
      </c>
      <c r="AT32" s="289"/>
      <c r="AU32" s="283" t="s">
        <v>84</v>
      </c>
      <c r="AV32" s="283">
        <f t="shared" si="8"/>
        <v>1.9037700337948137E-3</v>
      </c>
      <c r="AW32" s="284">
        <f>Splines!AC22</f>
        <v>-1.7282443877775222E-4</v>
      </c>
      <c r="AX32" s="284">
        <f t="shared" si="27"/>
        <v>1.7309455950170615E-3</v>
      </c>
      <c r="AY32" s="284">
        <f t="shared" si="43"/>
        <v>6.9164554897103159E-3</v>
      </c>
      <c r="BA32" s="291">
        <f t="shared" si="28"/>
        <v>6.9164554897103159E-3</v>
      </c>
      <c r="BB32" s="284">
        <f t="shared" si="44"/>
        <v>1.7309455950169639E-3</v>
      </c>
      <c r="BC32" s="288"/>
      <c r="BD32" s="283" t="s">
        <v>84</v>
      </c>
      <c r="BE32" s="283">
        <f t="shared" si="9"/>
        <v>1.7350447542822361E-2</v>
      </c>
      <c r="BF32" s="284">
        <f>Splines!AH22</f>
        <v>1.187359681352973E-3</v>
      </c>
      <c r="BG32" s="284">
        <f t="shared" si="29"/>
        <v>1.8537807224175334E-2</v>
      </c>
      <c r="BH32" s="284">
        <f t="shared" si="45"/>
        <v>2.3030532367889434E-2</v>
      </c>
      <c r="BJ32" s="291">
        <f t="shared" si="30"/>
        <v>2.3030532367889434E-2</v>
      </c>
      <c r="BK32" s="284">
        <f t="shared" si="46"/>
        <v>1.8537807224175307E-2</v>
      </c>
      <c r="BL32" s="288"/>
      <c r="BM32" s="283" t="s">
        <v>84</v>
      </c>
      <c r="BN32" s="283">
        <f t="shared" si="10"/>
        <v>1.6129883122892579E-2</v>
      </c>
      <c r="BO32" s="284">
        <f>Splines!AM22</f>
        <v>4.8319781199097633E-3</v>
      </c>
      <c r="BP32" s="284">
        <f t="shared" si="31"/>
        <v>2.0961861242802343E-2</v>
      </c>
      <c r="BQ32" s="284">
        <f t="shared" si="47"/>
        <v>2.7175665683613737E-2</v>
      </c>
      <c r="BS32" s="291">
        <f t="shared" si="32"/>
        <v>2.7175665683613737E-2</v>
      </c>
      <c r="BT32" s="284">
        <f t="shared" si="48"/>
        <v>2.0961861242802415E-2</v>
      </c>
      <c r="BU32" s="288"/>
      <c r="BV32" s="659" t="s">
        <v>84</v>
      </c>
      <c r="BW32" s="659">
        <f t="shared" si="11"/>
        <v>2.0724321892206826E-2</v>
      </c>
      <c r="BX32" s="284">
        <f>Splines!AR22</f>
        <v>6.440943107008934E-4</v>
      </c>
      <c r="BY32" s="284">
        <f t="shared" si="33"/>
        <v>2.136841620290772E-2</v>
      </c>
      <c r="BZ32" s="284">
        <f t="shared" si="49"/>
        <v>3.281414342476241E-2</v>
      </c>
      <c r="CB32" s="291">
        <f t="shared" si="34"/>
        <v>3.281414342476241E-2</v>
      </c>
      <c r="CC32" s="284">
        <f t="shared" si="50"/>
        <v>2.1368416202907747E-2</v>
      </c>
      <c r="CD32" s="288"/>
      <c r="CE32" s="284" t="str">
        <f t="shared" si="1"/>
        <v>18 Year</v>
      </c>
      <c r="CF32" s="284">
        <f t="shared" si="2"/>
        <v>1.7350447542822361E-2</v>
      </c>
      <c r="CG32" s="284">
        <f t="shared" si="16"/>
        <v>1.187359681352973E-3</v>
      </c>
      <c r="CH32" s="284">
        <f t="shared" si="17"/>
        <v>1.8537807224175334E-2</v>
      </c>
      <c r="CI32" s="284">
        <f t="shared" si="18"/>
        <v>2.3030532367889434E-2</v>
      </c>
      <c r="CK32" s="284">
        <f>BJ32+MIN('Instructions &amp; Dashboard'!$D$43,'Instructions &amp; Dashboard'!$D$44)/10000</f>
        <v>2.5030532367889435E-2</v>
      </c>
      <c r="CL32" s="284">
        <f t="shared" si="51"/>
        <v>2.1084964501839609E-2</v>
      </c>
    </row>
    <row r="33" spans="1:90">
      <c r="A33" s="283">
        <f t="shared" si="52"/>
        <v>19</v>
      </c>
      <c r="B33" s="283" t="s">
        <v>85</v>
      </c>
      <c r="C33" s="283">
        <f t="shared" si="14"/>
        <v>2.3690878713369945E-2</v>
      </c>
      <c r="D33" s="284">
        <f>Splines!D23</f>
        <v>-2.3741612676531076E-3</v>
      </c>
      <c r="E33" s="506">
        <f t="shared" si="15"/>
        <v>2.1316717445716837E-2</v>
      </c>
      <c r="F33" s="507">
        <f t="shared" si="54"/>
        <v>2.3517396693412129E-2</v>
      </c>
      <c r="H33" s="284">
        <f t="shared" si="19"/>
        <v>2.3517396693412129E-2</v>
      </c>
      <c r="I33" s="284">
        <f t="shared" si="53"/>
        <v>2.1316717445716726E-2</v>
      </c>
      <c r="J33" s="285"/>
      <c r="K33" s="283" t="s">
        <v>85</v>
      </c>
      <c r="L33" s="552">
        <f t="shared" si="55"/>
        <v>1.0765488107651981E-3</v>
      </c>
      <c r="M33" s="284">
        <f>Splines!I23</f>
        <v>3.9467080496251583E-3</v>
      </c>
      <c r="N33" s="283">
        <f t="shared" si="4"/>
        <v>5.0232568603903564E-3</v>
      </c>
      <c r="O33" s="284">
        <f t="shared" si="35"/>
        <v>1.0766589201335774E-2</v>
      </c>
      <c r="Q33" s="291">
        <f t="shared" si="20"/>
        <v>1.0766589201335774E-2</v>
      </c>
      <c r="R33" s="284">
        <f t="shared" si="36"/>
        <v>5.0232568603902905E-3</v>
      </c>
      <c r="S33" s="287"/>
      <c r="T33" s="283" t="s">
        <v>85</v>
      </c>
      <c r="U33" s="283">
        <f t="shared" si="5"/>
        <v>1.3427619681044079E-2</v>
      </c>
      <c r="V33" s="284">
        <f>Splines!N23</f>
        <v>-2.8301530983299017E-3</v>
      </c>
      <c r="W33" s="284">
        <f t="shared" si="21"/>
        <v>1.0597466582714177E-2</v>
      </c>
      <c r="X33" s="284">
        <f t="shared" si="37"/>
        <v>1.2472563659198244E-2</v>
      </c>
      <c r="Z33" s="291">
        <f t="shared" si="22"/>
        <v>1.2472563659198244E-2</v>
      </c>
      <c r="AA33" s="284">
        <f t="shared" si="38"/>
        <v>1.059746658271421E-2</v>
      </c>
      <c r="AB33" s="288"/>
      <c r="AC33" s="283" t="s">
        <v>85</v>
      </c>
      <c r="AD33" s="283">
        <f t="shared" si="6"/>
        <v>-7.7737220484540293E-4</v>
      </c>
      <c r="AE33" s="284">
        <f>Splines!S23</f>
        <v>1.3717788970097899E-3</v>
      </c>
      <c r="AF33" s="284">
        <f t="shared" si="23"/>
        <v>5.9440669216438702E-4</v>
      </c>
      <c r="AG33" s="284">
        <f t="shared" si="39"/>
        <v>6.00411348874208E-3</v>
      </c>
      <c r="AI33" s="291">
        <f t="shared" si="24"/>
        <v>6.00411348874208E-3</v>
      </c>
      <c r="AJ33" s="284">
        <f t="shared" si="40"/>
        <v>5.9440669216437314E-4</v>
      </c>
      <c r="AK33" s="288"/>
      <c r="AL33" s="283" t="s">
        <v>85</v>
      </c>
      <c r="AM33" s="283">
        <f t="shared" si="7"/>
        <v>1.6408827533795127E-2</v>
      </c>
      <c r="AN33" s="283">
        <f>Splines!X23</f>
        <v>4.1452790610492229E-3</v>
      </c>
      <c r="AO33" s="283">
        <f t="shared" si="25"/>
        <v>2.055410659484435E-2</v>
      </c>
      <c r="AP33" s="284">
        <f t="shared" si="41"/>
        <v>2.4171531565981397E-2</v>
      </c>
      <c r="AQ33" s="283"/>
      <c r="AR33" s="291">
        <f t="shared" si="26"/>
        <v>2.4171531565981397E-2</v>
      </c>
      <c r="AS33" s="284">
        <f t="shared" si="42"/>
        <v>2.0554106594844246E-2</v>
      </c>
      <c r="AT33" s="289"/>
      <c r="AU33" s="283" t="s">
        <v>85</v>
      </c>
      <c r="AV33" s="283">
        <f t="shared" si="8"/>
        <v>2.378253110282098E-3</v>
      </c>
      <c r="AW33" s="284">
        <f>Splines!AC23</f>
        <v>-5.3482182556763291E-4</v>
      </c>
      <c r="AX33" s="284">
        <f t="shared" si="27"/>
        <v>1.8434312847144651E-3</v>
      </c>
      <c r="AY33" s="284">
        <f t="shared" si="43"/>
        <v>3.8703350037625484E-3</v>
      </c>
      <c r="BA33" s="291">
        <f t="shared" si="28"/>
        <v>3.8703350037625484E-3</v>
      </c>
      <c r="BB33" s="284">
        <f t="shared" si="44"/>
        <v>1.8434312847144252E-3</v>
      </c>
      <c r="BC33" s="288"/>
      <c r="BD33" s="283" t="s">
        <v>85</v>
      </c>
      <c r="BE33" s="283">
        <f t="shared" si="9"/>
        <v>1.7741633752284706E-2</v>
      </c>
      <c r="BF33" s="284">
        <f>Splines!AH23</f>
        <v>1.0486423270776868E-3</v>
      </c>
      <c r="BG33" s="284">
        <f t="shared" si="29"/>
        <v>1.8790276079362393E-2</v>
      </c>
      <c r="BH33" s="284">
        <f t="shared" si="45"/>
        <v>2.3345431770481317E-2</v>
      </c>
      <c r="BJ33" s="291">
        <f t="shared" si="30"/>
        <v>2.3345431770481317E-2</v>
      </c>
      <c r="BK33" s="284">
        <f t="shared" si="46"/>
        <v>1.8790276079362345E-2</v>
      </c>
      <c r="BL33" s="288"/>
      <c r="BM33" s="283" t="s">
        <v>85</v>
      </c>
      <c r="BN33" s="283">
        <f t="shared" si="10"/>
        <v>1.5809805955891355E-2</v>
      </c>
      <c r="BO33" s="284">
        <f>Splines!AM23</f>
        <v>5.5694924667477608E-3</v>
      </c>
      <c r="BP33" s="284">
        <f t="shared" si="31"/>
        <v>2.1379298422639116E-2</v>
      </c>
      <c r="BQ33" s="284">
        <f t="shared" si="47"/>
        <v>2.8922421005727061E-2</v>
      </c>
      <c r="BS33" s="291">
        <f t="shared" si="32"/>
        <v>2.8922421005727061E-2</v>
      </c>
      <c r="BT33" s="284">
        <f t="shared" si="48"/>
        <v>2.1379298422639081E-2</v>
      </c>
      <c r="BU33" s="288"/>
      <c r="BV33" s="659" t="s">
        <v>85</v>
      </c>
      <c r="BW33" s="659">
        <f t="shared" si="11"/>
        <v>2.152020891814499E-2</v>
      </c>
      <c r="BX33" s="284">
        <f>Splines!AR23</f>
        <v>5.1762553630396724E-4</v>
      </c>
      <c r="BY33" s="284">
        <f t="shared" si="33"/>
        <v>2.2037834454448957E-2</v>
      </c>
      <c r="BZ33" s="284">
        <f t="shared" si="49"/>
        <v>3.4162667839686467E-2</v>
      </c>
      <c r="CB33" s="291">
        <f t="shared" si="34"/>
        <v>3.4162667839686467E-2</v>
      </c>
      <c r="CC33" s="284">
        <f t="shared" si="50"/>
        <v>2.2037834454448957E-2</v>
      </c>
      <c r="CD33" s="288"/>
      <c r="CE33" s="284" t="str">
        <f t="shared" si="1"/>
        <v>19 Year</v>
      </c>
      <c r="CF33" s="284">
        <f t="shared" si="2"/>
        <v>1.7741633752284706E-2</v>
      </c>
      <c r="CG33" s="284">
        <f t="shared" si="16"/>
        <v>1.0486423270776868E-3</v>
      </c>
      <c r="CH33" s="284">
        <f t="shared" si="17"/>
        <v>1.8790276079362393E-2</v>
      </c>
      <c r="CI33" s="284">
        <f t="shared" si="18"/>
        <v>2.3345431770481317E-2</v>
      </c>
      <c r="CK33" s="284">
        <f>BJ33+MIN('Instructions &amp; Dashboard'!$D$43,'Instructions &amp; Dashboard'!$D$44)/10000</f>
        <v>2.5345431770481319E-2</v>
      </c>
      <c r="CL33" s="284">
        <f t="shared" si="51"/>
        <v>2.1308757630021713E-2</v>
      </c>
    </row>
    <row r="34" spans="1:90">
      <c r="A34" s="283">
        <f t="shared" si="52"/>
        <v>20</v>
      </c>
      <c r="B34" s="283" t="s">
        <v>86</v>
      </c>
      <c r="C34" s="283">
        <f t="shared" si="14"/>
        <v>2.4084508120166492E-2</v>
      </c>
      <c r="D34" s="284">
        <f>Splines!D24</f>
        <v>-2.6588398031890392E-3</v>
      </c>
      <c r="E34" s="506">
        <f t="shared" si="15"/>
        <v>2.1425668316977453E-2</v>
      </c>
      <c r="F34" s="507">
        <f t="shared" si="54"/>
        <v>2.3497944567228979E-2</v>
      </c>
      <c r="H34" s="284">
        <f t="shared" si="19"/>
        <v>2.3497944567228979E-2</v>
      </c>
      <c r="I34" s="284">
        <f t="shared" si="53"/>
        <v>2.1425668316977564E-2</v>
      </c>
      <c r="J34" s="285"/>
      <c r="K34" s="283" t="s">
        <v>86</v>
      </c>
      <c r="L34" s="552">
        <f t="shared" si="55"/>
        <v>1.3862164526000087E-3</v>
      </c>
      <c r="M34" s="284">
        <f>Splines!I24</f>
        <v>3.8844284135848284E-3</v>
      </c>
      <c r="N34" s="283">
        <f t="shared" si="4"/>
        <v>5.2706448661848371E-3</v>
      </c>
      <c r="O34" s="284">
        <f t="shared" si="35"/>
        <v>9.9826041196220405E-3</v>
      </c>
      <c r="Q34" s="291">
        <f t="shared" si="20"/>
        <v>9.9826041196220405E-3</v>
      </c>
      <c r="R34" s="284">
        <f t="shared" si="36"/>
        <v>5.2706448661847816E-3</v>
      </c>
      <c r="S34" s="287"/>
      <c r="T34" s="283" t="s">
        <v>86</v>
      </c>
      <c r="U34" s="283">
        <f t="shared" si="5"/>
        <v>1.3779359062904721E-2</v>
      </c>
      <c r="V34" s="284">
        <f>Splines!N24</f>
        <v>-3.1051882542669773E-3</v>
      </c>
      <c r="W34" s="284">
        <f t="shared" si="21"/>
        <v>1.0674170808637744E-2</v>
      </c>
      <c r="X34" s="284">
        <f t="shared" si="37"/>
        <v>1.213265775497252E-2</v>
      </c>
      <c r="Z34" s="291">
        <f t="shared" si="22"/>
        <v>1.213265775497252E-2</v>
      </c>
      <c r="AA34" s="284">
        <f t="shared" si="38"/>
        <v>1.0674170808637751E-2</v>
      </c>
      <c r="AB34" s="288"/>
      <c r="AC34" s="283" t="s">
        <v>86</v>
      </c>
      <c r="AD34" s="283">
        <f t="shared" si="6"/>
        <v>-4.9257200351987551E-4</v>
      </c>
      <c r="AE34" s="284">
        <f>Splines!S24</f>
        <v>1.3528235722333193E-3</v>
      </c>
      <c r="AF34" s="284">
        <f t="shared" si="23"/>
        <v>8.6025156871344377E-4</v>
      </c>
      <c r="AG34" s="284">
        <f t="shared" si="39"/>
        <v>5.9247456281814603E-3</v>
      </c>
      <c r="AI34" s="291">
        <f t="shared" si="24"/>
        <v>5.9247456281814603E-3</v>
      </c>
      <c r="AJ34" s="284">
        <f t="shared" si="40"/>
        <v>8.6025156871349928E-4</v>
      </c>
      <c r="AK34" s="288"/>
      <c r="AL34" s="283" t="s">
        <v>86</v>
      </c>
      <c r="AM34" s="283">
        <f t="shared" si="7"/>
        <v>1.6520118641051532E-2</v>
      </c>
      <c r="AN34" s="283">
        <f>Splines!X24</f>
        <v>4.2313518933951855E-3</v>
      </c>
      <c r="AO34" s="283">
        <f t="shared" si="25"/>
        <v>2.0751470534446717E-2</v>
      </c>
      <c r="AP34" s="284">
        <f t="shared" si="41"/>
        <v>2.4508645731355916E-2</v>
      </c>
      <c r="AQ34" s="283"/>
      <c r="AR34" s="291">
        <f t="shared" si="26"/>
        <v>2.4508645731355916E-2</v>
      </c>
      <c r="AS34" s="284">
        <f t="shared" si="42"/>
        <v>2.0751470534446703E-2</v>
      </c>
      <c r="AT34" s="289"/>
      <c r="AU34" s="283" t="s">
        <v>86</v>
      </c>
      <c r="AV34" s="283">
        <f t="shared" si="8"/>
        <v>2.8553462732254717E-3</v>
      </c>
      <c r="AW34" s="284">
        <f>Splines!AC24</f>
        <v>-6.1836984241381288E-4</v>
      </c>
      <c r="AX34" s="284">
        <f t="shared" si="27"/>
        <v>2.2369764308116588E-3</v>
      </c>
      <c r="AY34" s="284">
        <f t="shared" si="43"/>
        <v>9.7437761836580705E-3</v>
      </c>
      <c r="BA34" s="291">
        <f t="shared" si="28"/>
        <v>9.7437761836580705E-3</v>
      </c>
      <c r="BB34" s="284">
        <f t="shared" si="44"/>
        <v>2.2369764308116658E-3</v>
      </c>
      <c r="BC34" s="288"/>
      <c r="BD34" s="283" t="s">
        <v>86</v>
      </c>
      <c r="BE34" s="283">
        <f t="shared" si="9"/>
        <v>1.812256062565662E-2</v>
      </c>
      <c r="BF34" s="284">
        <f>Splines!AH24</f>
        <v>9.0992491459473968E-4</v>
      </c>
      <c r="BG34" s="284">
        <f t="shared" si="29"/>
        <v>1.9032485540251359E-2</v>
      </c>
      <c r="BH34" s="284">
        <f t="shared" si="45"/>
        <v>2.3645421768323516E-2</v>
      </c>
      <c r="BJ34" s="291">
        <f t="shared" si="30"/>
        <v>2.3645421768323516E-2</v>
      </c>
      <c r="BK34" s="284">
        <f t="shared" si="46"/>
        <v>1.9032485540251276E-2</v>
      </c>
      <c r="BL34" s="288"/>
      <c r="BM34" s="283" t="s">
        <v>86</v>
      </c>
      <c r="BN34" s="283">
        <f t="shared" si="10"/>
        <v>1.5545807333443493E-2</v>
      </c>
      <c r="BO34" s="284">
        <f>Splines!AM24</f>
        <v>6.3070068135857582E-3</v>
      </c>
      <c r="BP34" s="284">
        <f t="shared" si="31"/>
        <v>2.1852814147029252E-2</v>
      </c>
      <c r="BQ34" s="284">
        <f t="shared" si="47"/>
        <v>3.0891438695888729E-2</v>
      </c>
      <c r="BS34" s="291">
        <f t="shared" si="32"/>
        <v>3.0891438695888729E-2</v>
      </c>
      <c r="BT34" s="284">
        <f t="shared" si="48"/>
        <v>2.1852814147029331E-2</v>
      </c>
      <c r="BU34" s="288"/>
      <c r="BV34" s="659" t="s">
        <v>86</v>
      </c>
      <c r="BW34" s="659">
        <f t="shared" si="11"/>
        <v>2.231085262256316E-2</v>
      </c>
      <c r="BX34" s="284">
        <f>Splines!AR24</f>
        <v>3.9115673280321062E-4</v>
      </c>
      <c r="BY34" s="284">
        <f t="shared" si="33"/>
        <v>2.270200935536637E-2</v>
      </c>
      <c r="BZ34" s="284">
        <f t="shared" si="49"/>
        <v>3.5403660230987066E-2</v>
      </c>
      <c r="CB34" s="291">
        <f t="shared" si="34"/>
        <v>3.5403660230987066E-2</v>
      </c>
      <c r="CC34" s="284">
        <f t="shared" si="50"/>
        <v>2.2702009355366481E-2</v>
      </c>
      <c r="CD34" s="288"/>
      <c r="CE34" s="284" t="str">
        <f t="shared" si="1"/>
        <v>20 Year</v>
      </c>
      <c r="CF34" s="284">
        <f t="shared" si="2"/>
        <v>1.812256062565662E-2</v>
      </c>
      <c r="CG34" s="284">
        <f t="shared" si="16"/>
        <v>9.0992491459473968E-4</v>
      </c>
      <c r="CH34" s="284">
        <f t="shared" si="17"/>
        <v>1.9032485540251359E-2</v>
      </c>
      <c r="CI34" s="284">
        <f t="shared" si="18"/>
        <v>2.3645421768323516E-2</v>
      </c>
      <c r="CK34" s="284">
        <f>BJ34+MIN('Instructions &amp; Dashboard'!$D$43,'Instructions &amp; Dashboard'!$D$44)/10000</f>
        <v>2.5645421768323517E-2</v>
      </c>
      <c r="CL34" s="284">
        <f t="shared" si="51"/>
        <v>2.1525154701306004E-2</v>
      </c>
    </row>
    <row r="35" spans="1:90">
      <c r="A35" s="283">
        <f t="shared" si="52"/>
        <v>21</v>
      </c>
      <c r="B35" s="283" t="s">
        <v>87</v>
      </c>
      <c r="C35" s="283">
        <f t="shared" si="14"/>
        <v>2.4472325800199313E-2</v>
      </c>
      <c r="D35" s="284">
        <f>Splines!D25</f>
        <v>-2.9778147581964731E-3</v>
      </c>
      <c r="E35" s="506">
        <f t="shared" si="15"/>
        <v>2.149451104200284E-2</v>
      </c>
      <c r="F35" s="507">
        <f t="shared" si="54"/>
        <v>2.2872340339166408E-2</v>
      </c>
      <c r="H35" s="284">
        <f t="shared" si="19"/>
        <v>2.2872340339166408E-2</v>
      </c>
      <c r="I35" s="284">
        <f t="shared" si="53"/>
        <v>2.149451104200284E-2</v>
      </c>
      <c r="J35" s="285"/>
      <c r="K35" s="283" t="s">
        <v>87</v>
      </c>
      <c r="L35" s="552">
        <f t="shared" si="55"/>
        <v>1.6637895042334663E-3</v>
      </c>
      <c r="M35" s="284">
        <f>Splines!I25</f>
        <v>3.8425067905336618E-3</v>
      </c>
      <c r="N35" s="283">
        <f t="shared" si="4"/>
        <v>5.5062962947671282E-3</v>
      </c>
      <c r="O35" s="284">
        <f t="shared" si="35"/>
        <v>1.0230942600121695E-2</v>
      </c>
      <c r="Q35" s="291">
        <f t="shared" si="20"/>
        <v>1.0230942600121695E-2</v>
      </c>
      <c r="R35" s="284">
        <f t="shared" si="36"/>
        <v>5.5062962947671767E-3</v>
      </c>
      <c r="S35" s="287"/>
      <c r="T35" s="283" t="s">
        <v>87</v>
      </c>
      <c r="U35" s="283">
        <f t="shared" si="5"/>
        <v>1.4089383108349026E-2</v>
      </c>
      <c r="V35" s="284">
        <f>Splines!N25</f>
        <v>-3.2311955001205206E-3</v>
      </c>
      <c r="W35" s="284">
        <f t="shared" si="21"/>
        <v>1.0858187608228506E-2</v>
      </c>
      <c r="X35" s="284">
        <f t="shared" si="37"/>
        <v>1.4545567675417814E-2</v>
      </c>
      <c r="Z35" s="291">
        <f t="shared" si="22"/>
        <v>1.4545567675417814E-2</v>
      </c>
      <c r="AA35" s="284">
        <f t="shared" si="38"/>
        <v>1.0858187608228542E-2</v>
      </c>
      <c r="AB35" s="288"/>
      <c r="AC35" s="283" t="s">
        <v>87</v>
      </c>
      <c r="AD35" s="283">
        <f t="shared" si="6"/>
        <v>-2.4036412129106038E-4</v>
      </c>
      <c r="AE35" s="284">
        <f>Splines!S25</f>
        <v>1.2851583305746317E-3</v>
      </c>
      <c r="AF35" s="284">
        <f t="shared" si="23"/>
        <v>1.0447942092835713E-3</v>
      </c>
      <c r="AG35" s="284">
        <f t="shared" si="39"/>
        <v>4.7428009820862371E-3</v>
      </c>
      <c r="AI35" s="291">
        <f t="shared" si="24"/>
        <v>4.7428009820862371E-3</v>
      </c>
      <c r="AJ35" s="284">
        <f t="shared" si="40"/>
        <v>1.044794209283495E-3</v>
      </c>
      <c r="AK35" s="288"/>
      <c r="AL35" s="283" t="s">
        <v>87</v>
      </c>
      <c r="AM35" s="283">
        <f t="shared" si="7"/>
        <v>1.6628261451171168E-2</v>
      </c>
      <c r="AN35" s="283">
        <f>Splines!X25</f>
        <v>4.1059632785618305E-3</v>
      </c>
      <c r="AO35" s="283">
        <f t="shared" si="25"/>
        <v>2.0734224729732999E-2</v>
      </c>
      <c r="AP35" s="284">
        <f t="shared" si="41"/>
        <v>2.03893698169062E-2</v>
      </c>
      <c r="AQ35" s="283"/>
      <c r="AR35" s="291">
        <f t="shared" si="26"/>
        <v>2.03893698169062E-2</v>
      </c>
      <c r="AS35" s="284">
        <f t="shared" si="42"/>
        <v>2.0734224729733075E-2</v>
      </c>
      <c r="AT35" s="289"/>
      <c r="AU35" s="283" t="s">
        <v>87</v>
      </c>
      <c r="AV35" s="283">
        <f t="shared" si="8"/>
        <v>3.3337034339116132E-3</v>
      </c>
      <c r="AW35" s="284">
        <f>Splines!AC25</f>
        <v>-9.4664981588721275E-4</v>
      </c>
      <c r="AX35" s="284">
        <f t="shared" si="27"/>
        <v>2.3870536180244004E-3</v>
      </c>
      <c r="AY35" s="284">
        <f t="shared" si="43"/>
        <v>5.3933211480015064E-3</v>
      </c>
      <c r="BA35" s="291">
        <f t="shared" si="28"/>
        <v>5.3933211480015064E-3</v>
      </c>
      <c r="BB35" s="284">
        <f t="shared" si="44"/>
        <v>2.3870536180243818E-3</v>
      </c>
      <c r="BC35" s="288"/>
      <c r="BD35" s="283" t="s">
        <v>87</v>
      </c>
      <c r="BE35" s="283">
        <f t="shared" si="9"/>
        <v>1.8494013128853484E-2</v>
      </c>
      <c r="BF35" s="284">
        <f>Splines!AH25</f>
        <v>6.780484109185636E-4</v>
      </c>
      <c r="BG35" s="284">
        <f t="shared" si="29"/>
        <v>1.9172061539772047E-2</v>
      </c>
      <c r="BH35" s="284">
        <f t="shared" si="45"/>
        <v>2.1967599711834929E-2</v>
      </c>
      <c r="BJ35" s="291">
        <f t="shared" si="30"/>
        <v>2.1967599711834929E-2</v>
      </c>
      <c r="BK35" s="284">
        <f t="shared" si="46"/>
        <v>1.9172061539772134E-2</v>
      </c>
      <c r="BL35" s="288"/>
      <c r="BM35" s="283" t="s">
        <v>87</v>
      </c>
      <c r="BN35" s="283">
        <f t="shared" si="10"/>
        <v>1.5338303775743859E-2</v>
      </c>
      <c r="BO35" s="284">
        <f>Splines!AM25</f>
        <v>6.6358488984405994E-3</v>
      </c>
      <c r="BP35" s="284">
        <f t="shared" si="31"/>
        <v>2.1974152674184459E-2</v>
      </c>
      <c r="BQ35" s="284">
        <f t="shared" si="47"/>
        <v>2.4403951211547703E-2</v>
      </c>
      <c r="BS35" s="291">
        <f t="shared" si="32"/>
        <v>2.4403951211547703E-2</v>
      </c>
      <c r="BT35" s="284">
        <f t="shared" si="48"/>
        <v>2.1974152674184566E-2</v>
      </c>
      <c r="BU35" s="288"/>
      <c r="BV35" s="659" t="s">
        <v>87</v>
      </c>
      <c r="BW35" s="659">
        <f t="shared" si="11"/>
        <v>2.3091802648374279E-2</v>
      </c>
      <c r="BX35" s="284">
        <f>Splines!AR25</f>
        <v>2.6468795840628445E-4</v>
      </c>
      <c r="BY35" s="284">
        <f t="shared" si="33"/>
        <v>2.3356490606780564E-2</v>
      </c>
      <c r="BZ35" s="284">
        <f t="shared" si="49"/>
        <v>3.6534428976839006E-2</v>
      </c>
      <c r="CB35" s="291">
        <f t="shared" si="34"/>
        <v>3.6534428976839006E-2</v>
      </c>
      <c r="CC35" s="284">
        <f t="shared" si="50"/>
        <v>2.3356490606780467E-2</v>
      </c>
      <c r="CD35" s="288"/>
      <c r="CE35" s="284" t="str">
        <f t="shared" si="1"/>
        <v>21 Year</v>
      </c>
      <c r="CF35" s="284">
        <f t="shared" si="2"/>
        <v>1.8494013128853484E-2</v>
      </c>
      <c r="CG35" s="284">
        <f t="shared" si="16"/>
        <v>6.780484109185636E-4</v>
      </c>
      <c r="CH35" s="284">
        <f t="shared" si="17"/>
        <v>1.9172061539772047E-2</v>
      </c>
      <c r="CI35" s="284">
        <f t="shared" si="18"/>
        <v>2.1967599711834929E-2</v>
      </c>
      <c r="CK35" s="284">
        <f>BJ35+MIN('Instructions &amp; Dashboard'!$D$43,'Instructions &amp; Dashboard'!$D$44)/10000</f>
        <v>2.396759971183493E-2</v>
      </c>
      <c r="CL35" s="284">
        <f t="shared" si="51"/>
        <v>2.164132938971397E-2</v>
      </c>
    </row>
    <row r="36" spans="1:90">
      <c r="A36" s="283">
        <f t="shared" si="52"/>
        <v>22</v>
      </c>
      <c r="B36" s="283" t="s">
        <v>88</v>
      </c>
      <c r="C36" s="283">
        <f t="shared" si="14"/>
        <v>2.4853687270516345E-2</v>
      </c>
      <c r="D36" s="284">
        <f>Splines!D26</f>
        <v>-3.2967894803732634E-3</v>
      </c>
      <c r="E36" s="506">
        <f t="shared" si="15"/>
        <v>2.1556897790143081E-2</v>
      </c>
      <c r="F36" s="507">
        <f t="shared" si="54"/>
        <v>2.2867900017557563E-2</v>
      </c>
      <c r="H36" s="284">
        <f t="shared" si="19"/>
        <v>2.2867900017557563E-2</v>
      </c>
      <c r="I36" s="284">
        <f t="shared" si="53"/>
        <v>2.1556897790143026E-2</v>
      </c>
      <c r="J36" s="285"/>
      <c r="K36" s="283" t="s">
        <v>88</v>
      </c>
      <c r="L36" s="552">
        <f t="shared" si="55"/>
        <v>1.9121118835199354E-3</v>
      </c>
      <c r="M36" s="284">
        <f>Splines!I26</f>
        <v>3.8056862540543079E-3</v>
      </c>
      <c r="N36" s="283">
        <f t="shared" si="4"/>
        <v>5.7177981375742433E-3</v>
      </c>
      <c r="O36" s="284">
        <f t="shared" si="35"/>
        <v>1.016962800494059E-2</v>
      </c>
      <c r="Q36" s="291">
        <f t="shared" si="20"/>
        <v>1.016962800494059E-2</v>
      </c>
      <c r="R36" s="284">
        <f t="shared" si="36"/>
        <v>5.7177981375742259E-3</v>
      </c>
      <c r="S36" s="287"/>
      <c r="T36" s="283" t="s">
        <v>88</v>
      </c>
      <c r="U36" s="283">
        <f t="shared" si="5"/>
        <v>1.4359892159629697E-2</v>
      </c>
      <c r="V36" s="284">
        <f>Splines!N26</f>
        <v>-3.4577290061861277E-3</v>
      </c>
      <c r="W36" s="284">
        <f t="shared" si="21"/>
        <v>1.090216315344357E-2</v>
      </c>
      <c r="X36" s="284">
        <f t="shared" si="37"/>
        <v>1.1826091651717219E-2</v>
      </c>
      <c r="Z36" s="291">
        <f t="shared" si="22"/>
        <v>1.1826091651717219E-2</v>
      </c>
      <c r="AA36" s="284">
        <f t="shared" si="38"/>
        <v>1.0902163153443611E-2</v>
      </c>
      <c r="AB36" s="288"/>
      <c r="AC36" s="283" t="s">
        <v>88</v>
      </c>
      <c r="AD36" s="283">
        <f t="shared" si="6"/>
        <v>-1.9536939432136802E-5</v>
      </c>
      <c r="AE36" s="284">
        <f>Splines!S26</f>
        <v>1.2174929725006223E-3</v>
      </c>
      <c r="AF36" s="284">
        <f t="shared" si="23"/>
        <v>1.1979560330684855E-3</v>
      </c>
      <c r="AG36" s="284">
        <f t="shared" si="39"/>
        <v>4.4197731261441664E-3</v>
      </c>
      <c r="AI36" s="291">
        <f t="shared" si="24"/>
        <v>4.4197731261441664E-3</v>
      </c>
      <c r="AJ36" s="284">
        <f t="shared" si="40"/>
        <v>1.1979560330683814E-3</v>
      </c>
      <c r="AK36" s="288"/>
      <c r="AL36" s="283" t="s">
        <v>88</v>
      </c>
      <c r="AM36" s="283">
        <f t="shared" si="7"/>
        <v>1.6733334621118891E-2</v>
      </c>
      <c r="AN36" s="283">
        <f>Splines!X26</f>
        <v>3.9805741980671883E-3</v>
      </c>
      <c r="AO36" s="283">
        <f t="shared" si="25"/>
        <v>2.071390881918608E-2</v>
      </c>
      <c r="AP36" s="284">
        <f t="shared" si="41"/>
        <v>2.0287368090685209E-2</v>
      </c>
      <c r="AQ36" s="283"/>
      <c r="AR36" s="291">
        <f t="shared" si="26"/>
        <v>2.0287368090685209E-2</v>
      </c>
      <c r="AS36" s="284">
        <f t="shared" si="42"/>
        <v>2.0713908819186111E-2</v>
      </c>
      <c r="AT36" s="289"/>
      <c r="AU36" s="283" t="s">
        <v>88</v>
      </c>
      <c r="AV36" s="283">
        <f t="shared" si="8"/>
        <v>3.8121877994715817E-3</v>
      </c>
      <c r="AW36" s="284">
        <f>Splines!AC26</f>
        <v>-1.2749298475682735E-3</v>
      </c>
      <c r="AX36" s="284">
        <f t="shared" si="27"/>
        <v>2.5372579519033081E-3</v>
      </c>
      <c r="AY36" s="284">
        <f t="shared" si="43"/>
        <v>5.6967534200766945E-3</v>
      </c>
      <c r="BA36" s="291">
        <f t="shared" si="28"/>
        <v>5.6967534200766945E-3</v>
      </c>
      <c r="BB36" s="284">
        <f t="shared" si="44"/>
        <v>2.5372579519034044E-3</v>
      </c>
      <c r="BC36" s="288"/>
      <c r="BD36" s="283" t="s">
        <v>88</v>
      </c>
      <c r="BE36" s="283">
        <f t="shared" si="9"/>
        <v>1.8856655074024897E-2</v>
      </c>
      <c r="BF36" s="284">
        <f>Splines!AH26</f>
        <v>4.4617190724238753E-4</v>
      </c>
      <c r="BG36" s="284">
        <f t="shared" si="29"/>
        <v>1.9302826981267285E-2</v>
      </c>
      <c r="BH36" s="284">
        <f t="shared" si="45"/>
        <v>2.2052780272396877E-2</v>
      </c>
      <c r="BJ36" s="291">
        <f t="shared" si="30"/>
        <v>2.2052780272396877E-2</v>
      </c>
      <c r="BK36" s="284">
        <f t="shared" si="46"/>
        <v>1.9302826981267174E-2</v>
      </c>
      <c r="BL36" s="288"/>
      <c r="BM36" s="283" t="s">
        <v>88</v>
      </c>
      <c r="BN36" s="283">
        <f t="shared" si="10"/>
        <v>1.5185990851896803E-2</v>
      </c>
      <c r="BO36" s="284">
        <f>Splines!AM26</f>
        <v>6.9646905176341534E-3</v>
      </c>
      <c r="BP36" s="284">
        <f t="shared" si="31"/>
        <v>2.2150681369530956E-2</v>
      </c>
      <c r="BQ36" s="284">
        <f t="shared" si="47"/>
        <v>2.5864835819545462E-2</v>
      </c>
      <c r="BS36" s="291">
        <f t="shared" si="32"/>
        <v>2.5864835819545462E-2</v>
      </c>
      <c r="BT36" s="284">
        <f t="shared" si="48"/>
        <v>2.2150681369530911E-2</v>
      </c>
      <c r="BU36" s="288"/>
      <c r="BV36" s="659" t="s">
        <v>88</v>
      </c>
      <c r="BW36" s="659">
        <f t="shared" si="11"/>
        <v>2.3859392049639799E-2</v>
      </c>
      <c r="BX36" s="284">
        <f>Splines!AR26</f>
        <v>1.3821915490552783E-4</v>
      </c>
      <c r="BY36" s="284">
        <f t="shared" si="33"/>
        <v>2.3997611204545327E-2</v>
      </c>
      <c r="BZ36" s="284">
        <f t="shared" si="49"/>
        <v>3.7554314588855497E-2</v>
      </c>
      <c r="CB36" s="291">
        <f t="shared" si="34"/>
        <v>3.7554314588855497E-2</v>
      </c>
      <c r="CC36" s="284">
        <f t="shared" si="50"/>
        <v>2.3997611204545244E-2</v>
      </c>
      <c r="CD36" s="288"/>
      <c r="CE36" s="284" t="str">
        <f t="shared" si="1"/>
        <v>22 Year</v>
      </c>
      <c r="CF36" s="284">
        <f t="shared" si="2"/>
        <v>1.8856655074024897E-2</v>
      </c>
      <c r="CG36" s="284">
        <f t="shared" si="16"/>
        <v>4.4617190724238753E-4</v>
      </c>
      <c r="CH36" s="284">
        <f t="shared" si="17"/>
        <v>1.9302826981267285E-2</v>
      </c>
      <c r="CI36" s="284">
        <f t="shared" si="18"/>
        <v>2.2052780272396877E-2</v>
      </c>
      <c r="CK36" s="284">
        <f>BJ36+MIN('Instructions &amp; Dashboard'!$D$43,'Instructions &amp; Dashboard'!$D$44)/10000</f>
        <v>2.4052780272396879E-2</v>
      </c>
      <c r="CL36" s="284">
        <f t="shared" si="51"/>
        <v>2.1750817501412056E-2</v>
      </c>
    </row>
    <row r="37" spans="1:90">
      <c r="A37" s="283">
        <f t="shared" si="52"/>
        <v>23</v>
      </c>
      <c r="B37" s="283" t="s">
        <v>89</v>
      </c>
      <c r="C37" s="283">
        <f t="shared" si="14"/>
        <v>2.5228062263083717E-2</v>
      </c>
      <c r="D37" s="284">
        <f>Splines!D27</f>
        <v>-3.6157644353806973E-3</v>
      </c>
      <c r="E37" s="506">
        <f t="shared" si="15"/>
        <v>2.161229782770302E-2</v>
      </c>
      <c r="F37" s="507">
        <f t="shared" si="54"/>
        <v>2.2831859055513215E-2</v>
      </c>
      <c r="H37" s="284">
        <f t="shared" si="19"/>
        <v>2.2831859055513215E-2</v>
      </c>
      <c r="I37" s="284">
        <f t="shared" si="53"/>
        <v>2.1612297827703131E-2</v>
      </c>
      <c r="J37" s="285"/>
      <c r="K37" s="283" t="s">
        <v>89</v>
      </c>
      <c r="L37" s="552">
        <f t="shared" si="55"/>
        <v>2.1339735669131318E-3</v>
      </c>
      <c r="M37" s="284">
        <f>Splines!I27</f>
        <v>3.719208762049675E-3</v>
      </c>
      <c r="N37" s="283">
        <f t="shared" si="4"/>
        <v>5.8531823289628068E-3</v>
      </c>
      <c r="O37" s="284">
        <f t="shared" si="35"/>
        <v>8.8362497298279941E-3</v>
      </c>
      <c r="Q37" s="291">
        <f t="shared" si="20"/>
        <v>8.8362497298279941E-3</v>
      </c>
      <c r="R37" s="284">
        <f t="shared" si="36"/>
        <v>5.8531823289627027E-3</v>
      </c>
      <c r="S37" s="287"/>
      <c r="T37" s="283" t="s">
        <v>89</v>
      </c>
      <c r="U37" s="283">
        <f t="shared" si="5"/>
        <v>1.4593210629536229E-2</v>
      </c>
      <c r="V37" s="284">
        <f>Splines!N27</f>
        <v>-3.6801346577703953E-3</v>
      </c>
      <c r="W37" s="284">
        <f t="shared" si="21"/>
        <v>1.0913075971765834E-2</v>
      </c>
      <c r="X37" s="284">
        <f t="shared" si="37"/>
        <v>1.1153187781842933E-2</v>
      </c>
      <c r="Z37" s="291">
        <f t="shared" si="22"/>
        <v>1.1153187781842933E-2</v>
      </c>
      <c r="AA37" s="284">
        <f t="shared" si="38"/>
        <v>1.091307597176594E-2</v>
      </c>
      <c r="AB37" s="288"/>
      <c r="AC37" s="283" t="s">
        <v>89</v>
      </c>
      <c r="AD37" s="283">
        <f t="shared" si="6"/>
        <v>1.7108606160464584E-4</v>
      </c>
      <c r="AE37" s="284">
        <f>Splines!S27</f>
        <v>1.1498276144266129E-3</v>
      </c>
      <c r="AF37" s="284">
        <f t="shared" si="23"/>
        <v>1.3209136760312587E-3</v>
      </c>
      <c r="AG37" s="284">
        <f t="shared" si="39"/>
        <v>4.0298055320862058E-3</v>
      </c>
      <c r="AI37" s="291">
        <f t="shared" si="24"/>
        <v>4.0298055320862058E-3</v>
      </c>
      <c r="AJ37" s="284">
        <f t="shared" si="40"/>
        <v>1.3209136760312656E-3</v>
      </c>
      <c r="AK37" s="288"/>
      <c r="AL37" s="283" t="s">
        <v>89</v>
      </c>
      <c r="AM37" s="283">
        <f t="shared" si="7"/>
        <v>1.6835415192864463E-2</v>
      </c>
      <c r="AN37" s="283">
        <f>Splines!X27</f>
        <v>3.855185117572546E-3</v>
      </c>
      <c r="AO37" s="283">
        <f t="shared" si="25"/>
        <v>2.0690600310437009E-2</v>
      </c>
      <c r="AP37" s="284">
        <f t="shared" si="41"/>
        <v>2.0177947758559522E-2</v>
      </c>
      <c r="AQ37" s="283"/>
      <c r="AR37" s="291">
        <f t="shared" si="26"/>
        <v>2.0177947758559522E-2</v>
      </c>
      <c r="AS37" s="284">
        <f t="shared" si="42"/>
        <v>2.0690600310437013E-2</v>
      </c>
      <c r="AT37" s="289"/>
      <c r="AU37" s="283" t="s">
        <v>89</v>
      </c>
      <c r="AV37" s="283">
        <f t="shared" si="8"/>
        <v>4.2898375406107293E-3</v>
      </c>
      <c r="AW37" s="284">
        <f>Splines!AC27</f>
        <v>-1.6032097628340125E-3</v>
      </c>
      <c r="AX37" s="284">
        <f t="shared" si="27"/>
        <v>2.6866277777767168E-3</v>
      </c>
      <c r="AY37" s="284">
        <f t="shared" si="43"/>
        <v>5.9784003079013104E-3</v>
      </c>
      <c r="BA37" s="291">
        <f t="shared" si="28"/>
        <v>5.9784003079013104E-3</v>
      </c>
      <c r="BB37" s="284">
        <f t="shared" si="44"/>
        <v>2.6866277777766179E-3</v>
      </c>
      <c r="BC37" s="288"/>
      <c r="BD37" s="283" t="s">
        <v>89</v>
      </c>
      <c r="BE37" s="283">
        <f t="shared" si="9"/>
        <v>1.9211052073189207E-2</v>
      </c>
      <c r="BF37" s="284">
        <f>Splines!AH27</f>
        <v>2.1429538901429623E-4</v>
      </c>
      <c r="BG37" s="284">
        <f t="shared" si="29"/>
        <v>1.9425347462203504E-2</v>
      </c>
      <c r="BH37" s="284">
        <f t="shared" si="45"/>
        <v>2.2124527109579128E-2</v>
      </c>
      <c r="BJ37" s="291">
        <f t="shared" si="30"/>
        <v>2.2124527109579128E-2</v>
      </c>
      <c r="BK37" s="284">
        <f t="shared" si="46"/>
        <v>1.9425347462203479E-2</v>
      </c>
      <c r="BL37" s="288"/>
      <c r="BM37" s="283" t="s">
        <v>89</v>
      </c>
      <c r="BN37" s="283">
        <f t="shared" si="10"/>
        <v>1.5086439883461547E-2</v>
      </c>
      <c r="BO37" s="284">
        <f>Splines!AM27</f>
        <v>7.2935321368277073E-3</v>
      </c>
      <c r="BP37" s="284">
        <f t="shared" si="31"/>
        <v>2.2379972020289254E-2</v>
      </c>
      <c r="BQ37" s="284">
        <f t="shared" si="47"/>
        <v>2.7437399819496333E-2</v>
      </c>
      <c r="BS37" s="291">
        <f t="shared" si="32"/>
        <v>2.7437399819496333E-2</v>
      </c>
      <c r="BT37" s="284">
        <f t="shared" si="48"/>
        <v>2.2379972020289296E-2</v>
      </c>
      <c r="BU37" s="288"/>
      <c r="BV37" s="659" t="s">
        <v>89</v>
      </c>
      <c r="BW37" s="659">
        <f t="shared" si="11"/>
        <v>2.4610636535689637E-2</v>
      </c>
      <c r="BX37" s="284">
        <f>Splines!AR27</f>
        <v>1.1750357771234121E-5</v>
      </c>
      <c r="BY37" s="284">
        <f t="shared" si="33"/>
        <v>2.4622386893460871E-2</v>
      </c>
      <c r="BZ37" s="284">
        <f t="shared" si="49"/>
        <v>3.8464308012755133E-2</v>
      </c>
      <c r="CB37" s="291">
        <f t="shared" si="34"/>
        <v>3.8464308012755133E-2</v>
      </c>
      <c r="CC37" s="284">
        <f t="shared" si="50"/>
        <v>2.4622386893460968E-2</v>
      </c>
      <c r="CD37" s="288"/>
      <c r="CE37" s="284" t="str">
        <f t="shared" si="1"/>
        <v>23 Year</v>
      </c>
      <c r="CF37" s="284">
        <f t="shared" si="2"/>
        <v>1.9211052073189207E-2</v>
      </c>
      <c r="CG37" s="284">
        <f t="shared" si="16"/>
        <v>2.1429538901429623E-4</v>
      </c>
      <c r="CH37" s="284">
        <f t="shared" si="17"/>
        <v>1.9425347462203504E-2</v>
      </c>
      <c r="CI37" s="284">
        <f t="shared" si="18"/>
        <v>2.2124527109579128E-2</v>
      </c>
      <c r="CK37" s="284">
        <f>BJ37+MIN('Instructions &amp; Dashboard'!$D$43,'Instructions &amp; Dashboard'!$D$44)/10000</f>
        <v>2.412452710957913E-2</v>
      </c>
      <c r="CL37" s="284">
        <f t="shared" si="51"/>
        <v>2.1853907771115288E-2</v>
      </c>
    </row>
    <row r="38" spans="1:90">
      <c r="A38" s="283">
        <f t="shared" si="52"/>
        <v>24</v>
      </c>
      <c r="B38" s="283" t="s">
        <v>90</v>
      </c>
      <c r="C38" s="283">
        <f t="shared" si="14"/>
        <v>2.5595021719896527E-2</v>
      </c>
      <c r="D38" s="284">
        <f>Splines!D28</f>
        <v>-3.9347391575574875E-3</v>
      </c>
      <c r="E38" s="506">
        <f t="shared" si="15"/>
        <v>2.1660282562339039E-2</v>
      </c>
      <c r="F38" s="507">
        <f t="shared" si="54"/>
        <v>2.2764553728824577E-2</v>
      </c>
      <c r="H38" s="284">
        <f t="shared" si="19"/>
        <v>2.2764553728824577E-2</v>
      </c>
      <c r="I38" s="284">
        <f t="shared" si="53"/>
        <v>2.1660282562339095E-2</v>
      </c>
      <c r="J38" s="285"/>
      <c r="K38" s="283" t="s">
        <v>90</v>
      </c>
      <c r="L38" s="552">
        <f t="shared" si="55"/>
        <v>2.3320628454559789E-3</v>
      </c>
      <c r="M38" s="284">
        <f>Splines!I28</f>
        <v>3.6236497107893229E-3</v>
      </c>
      <c r="N38" s="283">
        <f t="shared" si="4"/>
        <v>5.9557125562453017E-3</v>
      </c>
      <c r="O38" s="284">
        <f t="shared" si="35"/>
        <v>8.3167944928443926E-3</v>
      </c>
      <c r="Q38" s="291">
        <f t="shared" si="20"/>
        <v>8.3167944928443926E-3</v>
      </c>
      <c r="R38" s="284">
        <f t="shared" si="36"/>
        <v>5.955712556245274E-3</v>
      </c>
      <c r="S38" s="287"/>
      <c r="T38" s="283" t="s">
        <v>90</v>
      </c>
      <c r="U38" s="283">
        <f t="shared" si="5"/>
        <v>1.4791707816518295E-2</v>
      </c>
      <c r="V38" s="284">
        <f>Splines!N28</f>
        <v>-3.9025403093546629E-3</v>
      </c>
      <c r="W38" s="284">
        <f t="shared" si="21"/>
        <v>1.0889167507163632E-2</v>
      </c>
      <c r="X38" s="284">
        <f t="shared" si="37"/>
        <v>1.0339428856776633E-2</v>
      </c>
      <c r="Z38" s="291">
        <f t="shared" si="22"/>
        <v>1.0339428856776633E-2</v>
      </c>
      <c r="AA38" s="284">
        <f t="shared" si="38"/>
        <v>1.0889167507163622E-2</v>
      </c>
      <c r="AB38" s="288"/>
      <c r="AC38" s="283" t="s">
        <v>90</v>
      </c>
      <c r="AD38" s="283">
        <f t="shared" si="6"/>
        <v>3.3264722801123331E-4</v>
      </c>
      <c r="AE38" s="284">
        <f>Splines!S28</f>
        <v>1.0821622563526034E-3</v>
      </c>
      <c r="AF38" s="284">
        <f t="shared" si="23"/>
        <v>1.4148094843638367E-3</v>
      </c>
      <c r="AG38" s="284">
        <f t="shared" si="39"/>
        <v>3.5768448706516853E-3</v>
      </c>
      <c r="AI38" s="291">
        <f t="shared" si="24"/>
        <v>3.5768448706516853E-3</v>
      </c>
      <c r="AJ38" s="284">
        <f t="shared" si="40"/>
        <v>1.4148094843637882E-3</v>
      </c>
      <c r="AK38" s="288"/>
      <c r="AL38" s="283" t="s">
        <v>90</v>
      </c>
      <c r="AM38" s="283">
        <f t="shared" si="7"/>
        <v>1.6934578623093017E-2</v>
      </c>
      <c r="AN38" s="283">
        <f>Splines!X28</f>
        <v>3.7297960370779037E-3</v>
      </c>
      <c r="AO38" s="283">
        <f t="shared" si="25"/>
        <v>2.0664374660170921E-2</v>
      </c>
      <c r="AP38" s="284">
        <f t="shared" si="41"/>
        <v>2.0061370649550492E-2</v>
      </c>
      <c r="AQ38" s="283"/>
      <c r="AR38" s="291">
        <f t="shared" si="26"/>
        <v>2.0061370649550492E-2</v>
      </c>
      <c r="AS38" s="284">
        <f t="shared" si="42"/>
        <v>2.0664374660170903E-2</v>
      </c>
      <c r="AT38" s="289"/>
      <c r="AU38" s="283" t="s">
        <v>90</v>
      </c>
      <c r="AV38" s="283">
        <f t="shared" si="8"/>
        <v>4.7658374417406633E-3</v>
      </c>
      <c r="AW38" s="284">
        <f>Splines!AC28</f>
        <v>-1.9314897945150733E-3</v>
      </c>
      <c r="AX38" s="284">
        <f t="shared" si="27"/>
        <v>2.83434764722559E-3</v>
      </c>
      <c r="AY38" s="284">
        <f t="shared" si="43"/>
        <v>6.2379176417333149E-3</v>
      </c>
      <c r="BA38" s="291">
        <f t="shared" si="28"/>
        <v>6.2379176417333149E-3</v>
      </c>
      <c r="BB38" s="284">
        <f t="shared" si="44"/>
        <v>2.8343476472256768E-3</v>
      </c>
      <c r="BC38" s="288"/>
      <c r="BD38" s="283" t="s">
        <v>90</v>
      </c>
      <c r="BE38" s="283">
        <f t="shared" si="9"/>
        <v>1.95576899349231E-2</v>
      </c>
      <c r="BF38" s="284">
        <f>Splines!AH28</f>
        <v>-1.7581131032784469E-5</v>
      </c>
      <c r="BG38" s="284">
        <f t="shared" si="29"/>
        <v>1.9540108803890316E-2</v>
      </c>
      <c r="BH38" s="284">
        <f t="shared" si="45"/>
        <v>2.2183188308793955E-2</v>
      </c>
      <c r="BJ38" s="291">
        <f t="shared" si="30"/>
        <v>2.2183188308793955E-2</v>
      </c>
      <c r="BK38" s="284">
        <f t="shared" si="46"/>
        <v>1.9540108803890233E-2</v>
      </c>
      <c r="BL38" s="288"/>
      <c r="BM38" s="283" t="s">
        <v>90</v>
      </c>
      <c r="BN38" s="283">
        <f t="shared" si="10"/>
        <v>1.5036519206715247E-2</v>
      </c>
      <c r="BO38" s="284">
        <f>Splines!AM28</f>
        <v>7.6223737560212612E-3</v>
      </c>
      <c r="BP38" s="284">
        <f t="shared" si="31"/>
        <v>2.2658892962736508E-2</v>
      </c>
      <c r="BQ38" s="284">
        <f t="shared" si="47"/>
        <v>2.9095118636523587E-2</v>
      </c>
      <c r="BS38" s="291">
        <f t="shared" si="32"/>
        <v>2.9095118636523587E-2</v>
      </c>
      <c r="BT38" s="284">
        <f t="shared" si="48"/>
        <v>2.2658892962736488E-2</v>
      </c>
      <c r="BU38" s="288"/>
      <c r="BV38" s="659" t="s">
        <v>90</v>
      </c>
      <c r="BW38" s="659">
        <f t="shared" si="11"/>
        <v>2.5343145188714181E-2</v>
      </c>
      <c r="BX38" s="284">
        <f>Splines!AR28</f>
        <v>-1.1471843754407018E-4</v>
      </c>
      <c r="BY38" s="284">
        <f t="shared" si="33"/>
        <v>2.522842675117011E-2</v>
      </c>
      <c r="BZ38" s="284">
        <f t="shared" si="49"/>
        <v>3.926670840833979E-2</v>
      </c>
      <c r="CB38" s="291">
        <f t="shared" si="34"/>
        <v>3.926670840833979E-2</v>
      </c>
      <c r="CC38" s="284">
        <f t="shared" si="50"/>
        <v>2.5228426751170208E-2</v>
      </c>
      <c r="CD38" s="288"/>
      <c r="CE38" s="284" t="str">
        <f t="shared" si="1"/>
        <v>24 Year</v>
      </c>
      <c r="CF38" s="284">
        <f t="shared" si="2"/>
        <v>1.95576899349231E-2</v>
      </c>
      <c r="CG38" s="284">
        <f t="shared" si="16"/>
        <v>-1.7581131032784469E-5</v>
      </c>
      <c r="CH38" s="284">
        <f t="shared" si="17"/>
        <v>1.9540108803890316E-2</v>
      </c>
      <c r="CI38" s="284">
        <f t="shared" si="18"/>
        <v>2.2183188308793955E-2</v>
      </c>
      <c r="CK38" s="284">
        <f>BJ38+MIN('Instructions &amp; Dashboard'!$D$43,'Instructions &amp; Dashboard'!$D$44)/10000</f>
        <v>2.4183188308793957E-2</v>
      </c>
      <c r="CL38" s="284">
        <f t="shared" si="51"/>
        <v>2.195085527839602E-2</v>
      </c>
    </row>
    <row r="39" spans="1:90">
      <c r="A39" s="283">
        <f t="shared" si="52"/>
        <v>25</v>
      </c>
      <c r="B39" s="283" t="s">
        <v>91</v>
      </c>
      <c r="C39" s="283">
        <f t="shared" si="14"/>
        <v>2.5954226050374007E-2</v>
      </c>
      <c r="D39" s="284">
        <f>Splines!D29</f>
        <v>-4.2537138797342777E-3</v>
      </c>
      <c r="E39" s="506">
        <f t="shared" si="15"/>
        <v>2.170051217063973E-2</v>
      </c>
      <c r="F39" s="507">
        <f t="shared" si="54"/>
        <v>2.2666498146091785E-2</v>
      </c>
      <c r="H39" s="284">
        <f t="shared" si="19"/>
        <v>2.2666498146091785E-2</v>
      </c>
      <c r="I39" s="284">
        <f t="shared" si="53"/>
        <v>2.170051217063973E-2</v>
      </c>
      <c r="J39" s="285"/>
      <c r="K39" s="283" t="s">
        <v>91</v>
      </c>
      <c r="L39" s="283">
        <f t="shared" ref="L39:L68" si="56">L160</f>
        <v>2.5089344797042841E-3</v>
      </c>
      <c r="M39" s="284">
        <f>Splines!I29</f>
        <v>3.4924072679132223E-3</v>
      </c>
      <c r="N39" s="283">
        <f t="shared" si="4"/>
        <v>6.0013417476175064E-3</v>
      </c>
      <c r="O39" s="284">
        <f t="shared" si="35"/>
        <v>7.0970634655018738E-3</v>
      </c>
      <c r="Q39" s="291">
        <f t="shared" si="20"/>
        <v>7.0970634655018738E-3</v>
      </c>
      <c r="R39" s="284">
        <f t="shared" si="36"/>
        <v>6.0013417476174613E-3</v>
      </c>
      <c r="S39" s="287"/>
      <c r="T39" s="283" t="s">
        <v>91</v>
      </c>
      <c r="U39" s="283">
        <f t="shared" si="5"/>
        <v>1.4957740153799111E-2</v>
      </c>
      <c r="V39" s="284">
        <f>Splines!N29</f>
        <v>-4.1249459609389305E-3</v>
      </c>
      <c r="W39" s="284">
        <f t="shared" si="21"/>
        <v>1.0832794192860181E-2</v>
      </c>
      <c r="X39" s="284">
        <f t="shared" si="37"/>
        <v>9.4807773619072222E-3</v>
      </c>
      <c r="Z39" s="291">
        <f t="shared" si="22"/>
        <v>9.4807773619072222E-3</v>
      </c>
      <c r="AA39" s="284">
        <f t="shared" si="38"/>
        <v>1.0832794192860096E-2</v>
      </c>
      <c r="AB39" s="288"/>
      <c r="AC39" s="283" t="s">
        <v>91</v>
      </c>
      <c r="AD39" s="283">
        <f t="shared" si="6"/>
        <v>4.6625563503392697E-4</v>
      </c>
      <c r="AE39" s="284">
        <f>Splines!S29</f>
        <v>1.0144970146939158E-3</v>
      </c>
      <c r="AF39" s="284">
        <f t="shared" si="23"/>
        <v>1.4807526497278428E-3</v>
      </c>
      <c r="AG39" s="284">
        <f t="shared" si="39"/>
        <v>3.0646919836103681E-3</v>
      </c>
      <c r="AI39" s="291">
        <f t="shared" si="24"/>
        <v>3.0646919836103681E-3</v>
      </c>
      <c r="AJ39" s="284">
        <f t="shared" si="40"/>
        <v>1.4807526497278012E-3</v>
      </c>
      <c r="AK39" s="288"/>
      <c r="AL39" s="283" t="s">
        <v>91</v>
      </c>
      <c r="AM39" s="283">
        <f t="shared" si="7"/>
        <v>1.7030898812402082E-2</v>
      </c>
      <c r="AN39" s="283">
        <f>Splines!X29</f>
        <v>3.6044071894139051E-3</v>
      </c>
      <c r="AO39" s="283">
        <f t="shared" si="25"/>
        <v>2.0635306001815987E-2</v>
      </c>
      <c r="AP39" s="284">
        <f t="shared" si="41"/>
        <v>1.9937906510866465E-2</v>
      </c>
      <c r="AQ39" s="283"/>
      <c r="AR39" s="291">
        <f t="shared" si="26"/>
        <v>1.9937906510866465E-2</v>
      </c>
      <c r="AS39" s="284">
        <f t="shared" si="42"/>
        <v>2.0635306001816067E-2</v>
      </c>
      <c r="AT39" s="289"/>
      <c r="AU39" s="283" t="s">
        <v>91</v>
      </c>
      <c r="AV39" s="283">
        <f t="shared" si="8"/>
        <v>5.2394954725431256E-3</v>
      </c>
      <c r="AW39" s="284">
        <f>Splines!AC29</f>
        <v>-2.2597697097808123E-3</v>
      </c>
      <c r="AX39" s="284">
        <f t="shared" si="27"/>
        <v>2.9797257627623133E-3</v>
      </c>
      <c r="AY39" s="284">
        <f t="shared" si="43"/>
        <v>6.4751300869221318E-3</v>
      </c>
      <c r="BA39" s="291">
        <f t="shared" si="28"/>
        <v>6.4751300869221318E-3</v>
      </c>
      <c r="BB39" s="284">
        <f t="shared" si="44"/>
        <v>2.9797257627623974E-3</v>
      </c>
      <c r="BC39" s="288"/>
      <c r="BD39" s="283" t="s">
        <v>91</v>
      </c>
      <c r="BE39" s="283">
        <f t="shared" si="9"/>
        <v>1.9896989342386821E-2</v>
      </c>
      <c r="BF39" s="284">
        <f>Splines!AH29</f>
        <v>-2.4945766199380159E-4</v>
      </c>
      <c r="BG39" s="284">
        <f t="shared" si="29"/>
        <v>1.9647531680393019E-2</v>
      </c>
      <c r="BH39" s="284">
        <f t="shared" si="45"/>
        <v>2.2229079013794228E-2</v>
      </c>
      <c r="BJ39" s="291">
        <f t="shared" si="30"/>
        <v>2.2229079013794228E-2</v>
      </c>
      <c r="BK39" s="284">
        <f t="shared" si="46"/>
        <v>1.9647531680393016E-2</v>
      </c>
      <c r="BL39" s="288"/>
      <c r="BM39" s="283" t="s">
        <v>91</v>
      </c>
      <c r="BN39" s="283">
        <f t="shared" si="10"/>
        <v>1.5032691968353294E-2</v>
      </c>
      <c r="BO39" s="284">
        <f>Splines!AM29</f>
        <v>7.9512158408761024E-3</v>
      </c>
      <c r="BP39" s="284">
        <f t="shared" si="31"/>
        <v>2.2983907809229397E-2</v>
      </c>
      <c r="BQ39" s="284">
        <f t="shared" si="47"/>
        <v>3.0815327998244824E-2</v>
      </c>
      <c r="BS39" s="291">
        <f t="shared" si="32"/>
        <v>3.0815327998244824E-2</v>
      </c>
      <c r="BT39" s="284">
        <f t="shared" si="48"/>
        <v>2.298390780922932E-2</v>
      </c>
      <c r="BU39" s="288"/>
      <c r="BV39" s="659" t="s">
        <v>91</v>
      </c>
      <c r="BW39" s="659">
        <f t="shared" si="11"/>
        <v>2.6055041430295064E-2</v>
      </c>
      <c r="BX39" s="284">
        <f>Splines!AR29</f>
        <v>-2.4118722649291158E-4</v>
      </c>
      <c r="BY39" s="284">
        <f t="shared" si="33"/>
        <v>2.5813854203802153E-2</v>
      </c>
      <c r="BZ39" s="284">
        <f t="shared" si="49"/>
        <v>3.9964840985854178E-2</v>
      </c>
      <c r="CB39" s="291">
        <f t="shared" si="34"/>
        <v>3.9964840985854178E-2</v>
      </c>
      <c r="CC39" s="284">
        <f t="shared" si="50"/>
        <v>2.5813854203802222E-2</v>
      </c>
      <c r="CD39" s="288"/>
      <c r="CE39" s="284" t="str">
        <f t="shared" si="1"/>
        <v>25 Year</v>
      </c>
      <c r="CF39" s="284">
        <f t="shared" si="2"/>
        <v>1.9896989342386821E-2</v>
      </c>
      <c r="CG39" s="284">
        <f t="shared" si="16"/>
        <v>-2.4945766199380159E-4</v>
      </c>
      <c r="CH39" s="284">
        <f t="shared" si="17"/>
        <v>1.9647531680393019E-2</v>
      </c>
      <c r="CI39" s="284">
        <f t="shared" si="18"/>
        <v>2.2229079013794228E-2</v>
      </c>
      <c r="CK39" s="284">
        <f>BJ39+MIN('Instructions &amp; Dashboard'!$D$43,'Instructions &amp; Dashboard'!$D$44)/10000</f>
        <v>2.422907901379423E-2</v>
      </c>
      <c r="CL39" s="284">
        <f t="shared" si="51"/>
        <v>2.2041886856279058E-2</v>
      </c>
    </row>
    <row r="40" spans="1:90">
      <c r="A40" s="283">
        <f>A39+1</f>
        <v>26</v>
      </c>
      <c r="B40" s="283" t="s">
        <v>92</v>
      </c>
      <c r="C40" s="283">
        <f t="shared" si="14"/>
        <v>2.6305414542116351E-2</v>
      </c>
      <c r="D40" s="284">
        <f>Splines!D30</f>
        <v>-4.572481382638216E-3</v>
      </c>
      <c r="E40" s="506">
        <f t="shared" si="15"/>
        <v>2.1732933159478135E-2</v>
      </c>
      <c r="F40" s="507">
        <f t="shared" si="54"/>
        <v>2.254379232375503E-2</v>
      </c>
      <c r="H40" s="284">
        <f t="shared" si="19"/>
        <v>2.254379232375503E-2</v>
      </c>
      <c r="I40" s="284">
        <f t="shared" si="53"/>
        <v>2.1732933159478218E-2</v>
      </c>
      <c r="J40" s="285"/>
      <c r="K40" s="283" t="s">
        <v>92</v>
      </c>
      <c r="L40" s="283">
        <f t="shared" si="56"/>
        <v>2.6669898945631057E-3</v>
      </c>
      <c r="M40" s="284">
        <f>Splines!I30</f>
        <v>3.4397856798022985E-3</v>
      </c>
      <c r="N40" s="283">
        <f t="shared" si="4"/>
        <v>6.1067755743654042E-3</v>
      </c>
      <c r="O40" s="284">
        <f t="shared" si="35"/>
        <v>8.7462154984847551E-3</v>
      </c>
      <c r="Q40" s="291">
        <f t="shared" si="20"/>
        <v>8.7462154984847551E-3</v>
      </c>
      <c r="R40" s="284">
        <f t="shared" si="36"/>
        <v>6.1067755743653418E-3</v>
      </c>
      <c r="S40" s="287"/>
      <c r="T40" s="283" t="s">
        <v>92</v>
      </c>
      <c r="U40" s="283">
        <f t="shared" si="5"/>
        <v>1.5093610019433589E-2</v>
      </c>
      <c r="V40" s="284">
        <f>Splines!N30</f>
        <v>-4.2136437259614468E-3</v>
      </c>
      <c r="W40" s="284">
        <f t="shared" si="21"/>
        <v>1.0879966293472142E-2</v>
      </c>
      <c r="X40" s="284">
        <f t="shared" si="37"/>
        <v>1.2059984518007827E-2</v>
      </c>
      <c r="Z40" s="291">
        <f t="shared" si="22"/>
        <v>1.2059984518007827E-2</v>
      </c>
      <c r="AA40" s="284">
        <f t="shared" si="38"/>
        <v>1.087996629347221E-2</v>
      </c>
      <c r="AB40" s="288"/>
      <c r="AC40" s="283" t="s">
        <v>92</v>
      </c>
      <c r="AD40" s="283">
        <f t="shared" si="6"/>
        <v>5.7298796654212808E-4</v>
      </c>
      <c r="AE40" s="284">
        <f>Splines!S30</f>
        <v>9.8670111037790775E-4</v>
      </c>
      <c r="AF40" s="284">
        <f t="shared" si="23"/>
        <v>1.5596890769200358E-3</v>
      </c>
      <c r="AG40" s="284">
        <f t="shared" si="39"/>
        <v>3.5351231000031458E-3</v>
      </c>
      <c r="AI40" s="291">
        <f t="shared" si="24"/>
        <v>3.5351231000031458E-3</v>
      </c>
      <c r="AJ40" s="284">
        <f t="shared" si="40"/>
        <v>1.5596890769200566E-3</v>
      </c>
      <c r="AK40" s="288"/>
      <c r="AL40" s="283" t="s">
        <v>92</v>
      </c>
      <c r="AM40" s="283">
        <f t="shared" si="7"/>
        <v>1.7124448133994552E-2</v>
      </c>
      <c r="AN40" s="283">
        <f>Splines!X30</f>
        <v>3.454308258369565E-3</v>
      </c>
      <c r="AO40" s="283">
        <f t="shared" si="25"/>
        <v>2.0578756392364117E-2</v>
      </c>
      <c r="AP40" s="284">
        <f t="shared" si="41"/>
        <v>1.9166033996055987E-2</v>
      </c>
      <c r="AQ40" s="283"/>
      <c r="AR40" s="291">
        <f t="shared" si="26"/>
        <v>1.9166033996055987E-2</v>
      </c>
      <c r="AS40" s="284">
        <f t="shared" si="42"/>
        <v>2.0578756392364062E-2</v>
      </c>
      <c r="AT40" s="289"/>
      <c r="AU40" s="283" t="s">
        <v>92</v>
      </c>
      <c r="AV40" s="283">
        <f t="shared" si="8"/>
        <v>5.7102234079644482E-3</v>
      </c>
      <c r="AW40" s="284">
        <f>Splines!AC30</f>
        <v>-2.6285133790224791E-3</v>
      </c>
      <c r="AX40" s="284">
        <f t="shared" si="27"/>
        <v>3.0817100289419691E-3</v>
      </c>
      <c r="AY40" s="284">
        <f t="shared" si="43"/>
        <v>5.6346896411489933E-3</v>
      </c>
      <c r="BA40" s="291">
        <f t="shared" si="28"/>
        <v>5.6346896411489933E-3</v>
      </c>
      <c r="BB40" s="284">
        <f t="shared" si="44"/>
        <v>3.0817100289419752E-3</v>
      </c>
      <c r="BC40" s="288"/>
      <c r="BD40" s="283" t="s">
        <v>92</v>
      </c>
      <c r="BE40" s="283">
        <f t="shared" si="9"/>
        <v>2.022931755355797E-2</v>
      </c>
      <c r="BF40" s="284">
        <f>Splines!AH30</f>
        <v>-5.919506074860692E-4</v>
      </c>
      <c r="BG40" s="284">
        <f t="shared" si="29"/>
        <v>1.9637366946071901E-2</v>
      </c>
      <c r="BH40" s="284">
        <f t="shared" si="45"/>
        <v>1.938328151796509E-2</v>
      </c>
      <c r="BJ40" s="291">
        <f t="shared" si="30"/>
        <v>1.938328151796509E-2</v>
      </c>
      <c r="BK40" s="284">
        <f t="shared" si="46"/>
        <v>1.9637366946071877E-2</v>
      </c>
      <c r="BL40" s="288"/>
      <c r="BM40" s="283" t="s">
        <v>92</v>
      </c>
      <c r="BN40" s="283">
        <f t="shared" si="10"/>
        <v>1.507122616490018E-2</v>
      </c>
      <c r="BO40" s="284">
        <f>Splines!AM30</f>
        <v>7.9880375415086746E-3</v>
      </c>
      <c r="BP40" s="284">
        <f t="shared" si="31"/>
        <v>2.3059263706408855E-2</v>
      </c>
      <c r="BQ40" s="284">
        <f t="shared" si="47"/>
        <v>2.4944966251469136E-2</v>
      </c>
      <c r="BS40" s="291">
        <f t="shared" si="32"/>
        <v>2.4944966251469136E-2</v>
      </c>
      <c r="BT40" s="284">
        <f t="shared" si="48"/>
        <v>2.3059263706408872E-2</v>
      </c>
      <c r="BU40" s="288"/>
      <c r="BV40" s="659" t="s">
        <v>92</v>
      </c>
      <c r="BW40" s="659">
        <f t="shared" si="11"/>
        <v>2.6744893137894507E-2</v>
      </c>
      <c r="BX40" s="284">
        <f>Splines!AR30</f>
        <v>-3.676560299936682E-4</v>
      </c>
      <c r="BY40" s="284">
        <f t="shared" si="33"/>
        <v>2.6377237107900839E-2</v>
      </c>
      <c r="BZ40" s="284">
        <f t="shared" si="49"/>
        <v>4.0562812204832266E-2</v>
      </c>
      <c r="CB40" s="291">
        <f t="shared" si="34"/>
        <v>4.0562812204832266E-2</v>
      </c>
      <c r="CC40" s="284">
        <f t="shared" si="50"/>
        <v>2.6377237107900742E-2</v>
      </c>
      <c r="CD40" s="288"/>
      <c r="CE40" s="284" t="str">
        <f t="shared" si="1"/>
        <v>26 Year</v>
      </c>
      <c r="CF40" s="284">
        <f t="shared" si="2"/>
        <v>2.022931755355797E-2</v>
      </c>
      <c r="CG40" s="284">
        <f t="shared" si="16"/>
        <v>-5.919506074860692E-4</v>
      </c>
      <c r="CH40" s="284">
        <f t="shared" si="17"/>
        <v>1.9637366946071901E-2</v>
      </c>
      <c r="CI40" s="284">
        <f t="shared" si="18"/>
        <v>1.938328151796509E-2</v>
      </c>
      <c r="CK40" s="284">
        <f>BJ40+MIN('Instructions &amp; Dashboard'!$D$43,'Instructions &amp; Dashboard'!$D$44)/10000</f>
        <v>2.1383281517965091E-2</v>
      </c>
      <c r="CL40" s="284">
        <f t="shared" si="51"/>
        <v>2.2016548030671101E-2</v>
      </c>
    </row>
    <row r="41" spans="1:90">
      <c r="A41" s="283">
        <f t="shared" si="52"/>
        <v>27</v>
      </c>
      <c r="B41" s="283" t="s">
        <v>93</v>
      </c>
      <c r="C41" s="283">
        <f t="shared" si="14"/>
        <v>2.6648395824196591E-2</v>
      </c>
      <c r="D41" s="284">
        <f>Splines!D31</f>
        <v>-4.891248419880867E-3</v>
      </c>
      <c r="E41" s="506">
        <f t="shared" si="15"/>
        <v>2.1757147404315724E-2</v>
      </c>
      <c r="F41" s="507">
        <f t="shared" si="54"/>
        <v>2.2386919234047786E-2</v>
      </c>
      <c r="H41" s="284">
        <f t="shared" si="19"/>
        <v>2.2386919234047786E-2</v>
      </c>
      <c r="I41" s="284">
        <f t="shared" si="53"/>
        <v>2.1757147404315669E-2</v>
      </c>
      <c r="J41" s="285"/>
      <c r="K41" s="283" t="s">
        <v>93</v>
      </c>
      <c r="L41" s="283">
        <f t="shared" si="56"/>
        <v>2.8084663960157644E-3</v>
      </c>
      <c r="M41" s="284">
        <f>Splines!I31</f>
        <v>3.3462694846093655E-3</v>
      </c>
      <c r="N41" s="283">
        <f t="shared" si="4"/>
        <v>6.1547358806251298E-3</v>
      </c>
      <c r="O41" s="284">
        <f t="shared" si="35"/>
        <v>7.4025066287930485E-3</v>
      </c>
      <c r="Q41" s="291">
        <f t="shared" si="20"/>
        <v>7.4025066287930485E-3</v>
      </c>
      <c r="R41" s="284">
        <f t="shared" si="36"/>
        <v>6.1547358806250951E-3</v>
      </c>
      <c r="S41" s="287"/>
      <c r="T41" s="283" t="s">
        <v>93</v>
      </c>
      <c r="U41" s="283">
        <f t="shared" si="5"/>
        <v>1.5201537267229242E-2</v>
      </c>
      <c r="V41" s="284">
        <f>Splines!N31</f>
        <v>-4.2891264893114567E-3</v>
      </c>
      <c r="W41" s="284">
        <f t="shared" si="21"/>
        <v>1.0912410777917785E-2</v>
      </c>
      <c r="X41" s="284">
        <f t="shared" si="37"/>
        <v>1.1756332972874928E-2</v>
      </c>
      <c r="Z41" s="291">
        <f t="shared" si="22"/>
        <v>1.1756332972874928E-2</v>
      </c>
      <c r="AA41" s="284">
        <f t="shared" si="38"/>
        <v>1.0912410777917714E-2</v>
      </c>
      <c r="AB41" s="288"/>
      <c r="AC41" s="283" t="s">
        <v>93</v>
      </c>
      <c r="AD41" s="283">
        <f t="shared" si="6"/>
        <v>6.5388937233092775E-4</v>
      </c>
      <c r="AE41" s="284">
        <f>Splines!S31</f>
        <v>9.5890526426956058E-4</v>
      </c>
      <c r="AF41" s="284">
        <f t="shared" si="23"/>
        <v>1.6127946366004883E-3</v>
      </c>
      <c r="AG41" s="284">
        <f t="shared" si="39"/>
        <v>2.9945279739860275E-3</v>
      </c>
      <c r="AI41" s="291">
        <f t="shared" si="24"/>
        <v>2.9945279739860275E-3</v>
      </c>
      <c r="AJ41" s="284">
        <f t="shared" si="40"/>
        <v>1.6127946366004675E-3</v>
      </c>
      <c r="AK41" s="288"/>
      <c r="AL41" s="283" t="s">
        <v>93</v>
      </c>
      <c r="AM41" s="283">
        <f t="shared" si="7"/>
        <v>1.7215297461876809E-2</v>
      </c>
      <c r="AN41" s="283">
        <f>Splines!X31</f>
        <v>3.3042093273252249E-3</v>
      </c>
      <c r="AO41" s="283">
        <f t="shared" si="25"/>
        <v>2.0519506789202033E-2</v>
      </c>
      <c r="AP41" s="284">
        <f t="shared" si="41"/>
        <v>1.8980223868359625E-2</v>
      </c>
      <c r="AQ41" s="283"/>
      <c r="AR41" s="291">
        <f t="shared" si="26"/>
        <v>1.8980223868359625E-2</v>
      </c>
      <c r="AS41" s="284">
        <f t="shared" si="42"/>
        <v>2.0519506789202113E-2</v>
      </c>
      <c r="AT41" s="289"/>
      <c r="AU41" s="283" t="s">
        <v>93</v>
      </c>
      <c r="AV41" s="283">
        <f t="shared" si="8"/>
        <v>6.1775207784891773E-3</v>
      </c>
      <c r="AW41" s="284">
        <f>Splines!AC31</f>
        <v>-2.9972570482641459E-3</v>
      </c>
      <c r="AX41" s="284">
        <f t="shared" si="27"/>
        <v>3.1802637302250315E-3</v>
      </c>
      <c r="AY41" s="284">
        <f t="shared" si="43"/>
        <v>5.7460614781057462E-3</v>
      </c>
      <c r="BA41" s="291">
        <f t="shared" si="28"/>
        <v>5.7460614781057462E-3</v>
      </c>
      <c r="BB41" s="284">
        <f t="shared" si="44"/>
        <v>3.1802637302249526E-3</v>
      </c>
      <c r="BC41" s="288"/>
      <c r="BD41" s="283" t="s">
        <v>93</v>
      </c>
      <c r="BE41" s="283">
        <f t="shared" si="9"/>
        <v>2.0554997741777457E-2</v>
      </c>
      <c r="BF41" s="284">
        <f>Splines!AH31</f>
        <v>-9.3444355297833681E-4</v>
      </c>
      <c r="BG41" s="284">
        <f t="shared" si="29"/>
        <v>1.9620554188799121E-2</v>
      </c>
      <c r="BH41" s="284">
        <f t="shared" si="45"/>
        <v>1.9183519792254522E-2</v>
      </c>
      <c r="BJ41" s="291">
        <f t="shared" si="30"/>
        <v>1.9183519792254522E-2</v>
      </c>
      <c r="BK41" s="284">
        <f t="shared" si="46"/>
        <v>1.9620554188799044E-2</v>
      </c>
      <c r="BL41" s="288"/>
      <c r="BM41" s="283" t="s">
        <v>93</v>
      </c>
      <c r="BN41" s="283">
        <f t="shared" si="10"/>
        <v>1.514834180302017E-2</v>
      </c>
      <c r="BO41" s="284">
        <f>Splines!AM31</f>
        <v>8.0248592421412468E-3</v>
      </c>
      <c r="BP41" s="284">
        <f t="shared" si="31"/>
        <v>2.3173201045161417E-2</v>
      </c>
      <c r="BQ41" s="284">
        <f t="shared" si="47"/>
        <v>2.614002986858055E-2</v>
      </c>
      <c r="BS41" s="291">
        <f t="shared" si="32"/>
        <v>2.614002986858055E-2</v>
      </c>
      <c r="BT41" s="284">
        <f t="shared" si="48"/>
        <v>2.3173201045161518E-2</v>
      </c>
      <c r="BU41" s="288"/>
      <c r="BV41" s="659" t="s">
        <v>93</v>
      </c>
      <c r="BW41" s="659">
        <f t="shared" si="11"/>
        <v>2.7411650925343159E-2</v>
      </c>
      <c r="BX41" s="284">
        <f>Splines!AR31</f>
        <v>-4.9412483349442482E-4</v>
      </c>
      <c r="BY41" s="284">
        <f t="shared" si="33"/>
        <v>2.6917526091848734E-2</v>
      </c>
      <c r="BZ41" s="284">
        <f t="shared" si="49"/>
        <v>4.1065306967108306E-2</v>
      </c>
      <c r="CB41" s="291">
        <f t="shared" si="34"/>
        <v>4.1065306967108306E-2</v>
      </c>
      <c r="CC41" s="284">
        <f t="shared" si="50"/>
        <v>2.6917526091848831E-2</v>
      </c>
      <c r="CD41" s="288"/>
      <c r="CE41" s="284" t="str">
        <f t="shared" si="1"/>
        <v>27 Year</v>
      </c>
      <c r="CF41" s="284">
        <f t="shared" si="2"/>
        <v>2.0554997741777457E-2</v>
      </c>
      <c r="CG41" s="284">
        <f t="shared" si="16"/>
        <v>-9.3444355297833681E-4</v>
      </c>
      <c r="CH41" s="284">
        <f t="shared" si="17"/>
        <v>1.9620554188799121E-2</v>
      </c>
      <c r="CI41" s="284">
        <f t="shared" si="18"/>
        <v>1.9183519792254522E-2</v>
      </c>
      <c r="CK41" s="284">
        <f>BJ41+MIN('Instructions &amp; Dashboard'!$D$43,'Instructions &amp; Dashboard'!$D$44)/10000</f>
        <v>2.1183519792254524E-2</v>
      </c>
      <c r="CL41" s="284">
        <f t="shared" si="51"/>
        <v>2.198568301835313E-2</v>
      </c>
    </row>
    <row r="42" spans="1:90">
      <c r="A42" s="283">
        <f t="shared" si="52"/>
        <v>28</v>
      </c>
      <c r="B42" s="283" t="s">
        <v>94</v>
      </c>
      <c r="C42" s="283">
        <f t="shared" si="14"/>
        <v>2.6983039289839472E-2</v>
      </c>
      <c r="D42" s="284">
        <f>Splines!D32</f>
        <v>-5.210015457123518E-3</v>
      </c>
      <c r="E42" s="506">
        <f t="shared" si="15"/>
        <v>2.1773023832715954E-2</v>
      </c>
      <c r="F42" s="507">
        <f t="shared" si="54"/>
        <v>2.2201780662269188E-2</v>
      </c>
      <c r="H42" s="284">
        <f t="shared" si="19"/>
        <v>2.2201780662269188E-2</v>
      </c>
      <c r="I42" s="284">
        <f t="shared" si="53"/>
        <v>2.1773023832715843E-2</v>
      </c>
      <c r="J42" s="285"/>
      <c r="K42" s="283" t="s">
        <v>94</v>
      </c>
      <c r="L42" s="283">
        <f t="shared" si="56"/>
        <v>2.9354330585399102E-3</v>
      </c>
      <c r="M42" s="284">
        <f>Splines!I32</f>
        <v>3.2564292196184397E-3</v>
      </c>
      <c r="N42" s="283">
        <f t="shared" si="4"/>
        <v>6.1918622781583499E-3</v>
      </c>
      <c r="O42" s="284">
        <f t="shared" si="35"/>
        <v>7.1947930136786464E-3</v>
      </c>
      <c r="Q42" s="291">
        <f t="shared" si="20"/>
        <v>7.1947930136786464E-3</v>
      </c>
      <c r="R42" s="284">
        <f t="shared" si="36"/>
        <v>6.1918622781582666E-3</v>
      </c>
      <c r="S42" s="287"/>
      <c r="T42" s="283" t="s">
        <v>94</v>
      </c>
      <c r="U42" s="283">
        <f t="shared" si="5"/>
        <v>1.5283640460084414E-2</v>
      </c>
      <c r="V42" s="284">
        <f>Splines!N32</f>
        <v>-4.3646087870001793E-3</v>
      </c>
      <c r="W42" s="284">
        <f t="shared" si="21"/>
        <v>1.0919031673084235E-2</v>
      </c>
      <c r="X42" s="284">
        <f t="shared" si="37"/>
        <v>1.1097812234749149E-2</v>
      </c>
      <c r="Z42" s="291">
        <f t="shared" si="22"/>
        <v>1.1097812234749149E-2</v>
      </c>
      <c r="AA42" s="284">
        <f t="shared" si="38"/>
        <v>1.0919031673084278E-2</v>
      </c>
      <c r="AB42" s="288"/>
      <c r="AC42" s="283" t="s">
        <v>94</v>
      </c>
      <c r="AD42" s="283">
        <f t="shared" si="6"/>
        <v>7.0997430370111497E-4</v>
      </c>
      <c r="AE42" s="284">
        <f>Splines!S32</f>
        <v>9.3110935995355248E-4</v>
      </c>
      <c r="AF42" s="284">
        <f t="shared" si="23"/>
        <v>1.6410836636546675E-3</v>
      </c>
      <c r="AG42" s="284">
        <f t="shared" si="39"/>
        <v>2.4051894826719877E-3</v>
      </c>
      <c r="AI42" s="291">
        <f t="shared" si="24"/>
        <v>2.4051894826719877E-3</v>
      </c>
      <c r="AJ42" s="284">
        <f t="shared" si="40"/>
        <v>1.6410836636546744E-3</v>
      </c>
      <c r="AK42" s="288"/>
      <c r="AL42" s="283" t="s">
        <v>94</v>
      </c>
      <c r="AM42" s="283">
        <f t="shared" si="7"/>
        <v>1.7303516198569104E-2</v>
      </c>
      <c r="AN42" s="283">
        <f>Splines!X32</f>
        <v>3.1541101634502411E-3</v>
      </c>
      <c r="AO42" s="283">
        <f t="shared" si="25"/>
        <v>2.0457626362019345E-2</v>
      </c>
      <c r="AP42" s="284">
        <f t="shared" si="41"/>
        <v>1.87882724123829E-2</v>
      </c>
      <c r="AQ42" s="283"/>
      <c r="AR42" s="291">
        <f t="shared" si="26"/>
        <v>1.87882724123829E-2</v>
      </c>
      <c r="AS42" s="284">
        <f t="shared" si="42"/>
        <v>2.045762636201931E-2</v>
      </c>
      <c r="AT42" s="289"/>
      <c r="AU42" s="283" t="s">
        <v>94</v>
      </c>
      <c r="AV42" s="283">
        <f t="shared" si="8"/>
        <v>6.6409615600787541E-3</v>
      </c>
      <c r="AW42" s="284">
        <f>Splines!AC32</f>
        <v>-3.3660007175058126E-3</v>
      </c>
      <c r="AX42" s="284">
        <f t="shared" si="27"/>
        <v>3.2749608425729415E-3</v>
      </c>
      <c r="AY42" s="284">
        <f t="shared" si="43"/>
        <v>5.835164627190359E-3</v>
      </c>
      <c r="BA42" s="291">
        <f t="shared" si="28"/>
        <v>5.835164627190359E-3</v>
      </c>
      <c r="BB42" s="284">
        <f t="shared" si="44"/>
        <v>3.2749608425728383E-3</v>
      </c>
      <c r="BC42" s="288"/>
      <c r="BD42" s="283" t="s">
        <v>94</v>
      </c>
      <c r="BE42" s="283">
        <f t="shared" si="9"/>
        <v>2.0874316475954734E-2</v>
      </c>
      <c r="BF42" s="284">
        <f>Splines!AH32</f>
        <v>-1.2769364984706044E-3</v>
      </c>
      <c r="BG42" s="284">
        <f t="shared" si="29"/>
        <v>1.959737997748413E-2</v>
      </c>
      <c r="BH42" s="284">
        <f t="shared" si="45"/>
        <v>1.8971875329054644E-2</v>
      </c>
      <c r="BJ42" s="291">
        <f t="shared" si="30"/>
        <v>1.8971875329054644E-2</v>
      </c>
      <c r="BK42" s="284">
        <f t="shared" si="46"/>
        <v>1.9597379977484231E-2</v>
      </c>
      <c r="BL42" s="288"/>
      <c r="BM42" s="283" t="s">
        <v>94</v>
      </c>
      <c r="BN42" s="283">
        <f t="shared" si="10"/>
        <v>1.5260312726606981E-2</v>
      </c>
      <c r="BO42" s="284">
        <f>Splines!AM32</f>
        <v>8.0616818740963936E-3</v>
      </c>
      <c r="BP42" s="284">
        <f t="shared" si="31"/>
        <v>2.3321994600703375E-2</v>
      </c>
      <c r="BQ42" s="284">
        <f t="shared" si="47"/>
        <v>2.7347610119371035E-2</v>
      </c>
      <c r="BS42" s="291">
        <f t="shared" si="32"/>
        <v>2.7347610119371035E-2</v>
      </c>
      <c r="BT42" s="284">
        <f t="shared" si="48"/>
        <v>2.3321994600703277E-2</v>
      </c>
      <c r="BU42" s="288"/>
      <c r="BV42" s="659" t="s">
        <v>94</v>
      </c>
      <c r="BW42" s="659">
        <f t="shared" si="11"/>
        <v>2.8054593703088757E-2</v>
      </c>
      <c r="BX42" s="284">
        <f>Splines!AR32</f>
        <v>-6.2059360789135098E-4</v>
      </c>
      <c r="BY42" s="284">
        <f t="shared" si="33"/>
        <v>2.7434000095197406E-2</v>
      </c>
      <c r="BZ42" s="284">
        <f t="shared" si="49"/>
        <v>4.1477414322522055E-2</v>
      </c>
      <c r="CB42" s="291">
        <f t="shared" si="34"/>
        <v>4.1477414322522055E-2</v>
      </c>
      <c r="CC42" s="284">
        <f t="shared" si="50"/>
        <v>2.7434000095197364E-2</v>
      </c>
      <c r="CD42" s="288"/>
      <c r="CE42" s="284" t="str">
        <f t="shared" si="1"/>
        <v>28 Year</v>
      </c>
      <c r="CF42" s="284">
        <f t="shared" si="2"/>
        <v>2.0874316475954734E-2</v>
      </c>
      <c r="CG42" s="284">
        <f t="shared" si="16"/>
        <v>-1.2769364984706044E-3</v>
      </c>
      <c r="CH42" s="284">
        <f t="shared" si="17"/>
        <v>1.959737997748413E-2</v>
      </c>
      <c r="CI42" s="284">
        <f t="shared" si="18"/>
        <v>1.8971875329054644E-2</v>
      </c>
      <c r="CK42" s="284">
        <f>BJ42+MIN('Instructions &amp; Dashboard'!$D$43,'Instructions &amp; Dashboard'!$D$44)/10000</f>
        <v>2.0971875329054646E-2</v>
      </c>
      <c r="CL42" s="284">
        <f t="shared" si="51"/>
        <v>2.1949458272167321E-2</v>
      </c>
    </row>
    <row r="43" spans="1:90">
      <c r="A43" s="283">
        <f t="shared" si="52"/>
        <v>29</v>
      </c>
      <c r="B43" s="283" t="s">
        <v>95</v>
      </c>
      <c r="C43" s="283">
        <f t="shared" si="14"/>
        <v>2.7309267392548742E-2</v>
      </c>
      <c r="D43" s="284">
        <f>Splines!D33</f>
        <v>-5.5287829600274563E-3</v>
      </c>
      <c r="E43" s="506">
        <f t="shared" si="15"/>
        <v>2.1780484432521285E-2</v>
      </c>
      <c r="F43" s="507">
        <f t="shared" si="54"/>
        <v>2.1989403345166192E-2</v>
      </c>
      <c r="H43" s="284">
        <f t="shared" si="19"/>
        <v>2.1989403345166192E-2</v>
      </c>
      <c r="I43" s="284">
        <f t="shared" si="53"/>
        <v>2.1780484432521341E-2</v>
      </c>
      <c r="J43" s="285"/>
      <c r="K43" s="283" t="s">
        <v>95</v>
      </c>
      <c r="L43" s="283">
        <f t="shared" si="56"/>
        <v>3.0497914597036047E-3</v>
      </c>
      <c r="M43" s="284">
        <f>Splines!I33</f>
        <v>3.1682723201811314E-3</v>
      </c>
      <c r="N43" s="283">
        <f t="shared" si="4"/>
        <v>6.218063779884736E-3</v>
      </c>
      <c r="O43" s="284">
        <f t="shared" si="35"/>
        <v>6.9519829045312509E-3</v>
      </c>
      <c r="Q43" s="291">
        <f t="shared" si="20"/>
        <v>6.9519829045312509E-3</v>
      </c>
      <c r="R43" s="284">
        <f t="shared" si="36"/>
        <v>6.2180637798847638E-3</v>
      </c>
      <c r="S43" s="287"/>
      <c r="T43" s="283" t="s">
        <v>95</v>
      </c>
      <c r="U43" s="283">
        <f t="shared" si="5"/>
        <v>1.5341925439965065E-2</v>
      </c>
      <c r="V43" s="284">
        <f>Splines!N33</f>
        <v>-4.4400915503501892E-3</v>
      </c>
      <c r="W43" s="284">
        <f t="shared" si="21"/>
        <v>1.0901833889614876E-2</v>
      </c>
      <c r="X43" s="284">
        <f t="shared" si="37"/>
        <v>1.0420414717377646E-2</v>
      </c>
      <c r="Z43" s="291">
        <f t="shared" si="22"/>
        <v>1.0420414717377646E-2</v>
      </c>
      <c r="AA43" s="284">
        <f t="shared" si="38"/>
        <v>1.0901833889614965E-2</v>
      </c>
      <c r="AB43" s="288"/>
      <c r="AC43" s="283" t="s">
        <v>95</v>
      </c>
      <c r="AD43" s="283">
        <f t="shared" si="6"/>
        <v>7.4222732786258933E-4</v>
      </c>
      <c r="AE43" s="284">
        <f>Splines!S33</f>
        <v>9.0331351384520531E-4</v>
      </c>
      <c r="AF43" s="284">
        <f t="shared" si="23"/>
        <v>1.6455408417077946E-3</v>
      </c>
      <c r="AG43" s="284">
        <f t="shared" si="39"/>
        <v>1.7703498800745177E-3</v>
      </c>
      <c r="AI43" s="291">
        <f t="shared" si="24"/>
        <v>1.7703498800745177E-3</v>
      </c>
      <c r="AJ43" s="284">
        <f t="shared" si="40"/>
        <v>1.6455408417077599E-3</v>
      </c>
      <c r="AK43" s="288"/>
      <c r="AL43" s="283" t="s">
        <v>95</v>
      </c>
      <c r="AM43" s="283">
        <f t="shared" si="7"/>
        <v>1.7389172302336574E-2</v>
      </c>
      <c r="AN43" s="283">
        <f>Splines!X33</f>
        <v>3.004011232405901E-3</v>
      </c>
      <c r="AO43" s="283">
        <f t="shared" si="25"/>
        <v>2.0393183534742475E-2</v>
      </c>
      <c r="AP43" s="284">
        <f t="shared" si="41"/>
        <v>1.8590435699298302E-2</v>
      </c>
      <c r="AQ43" s="283"/>
      <c r="AR43" s="291">
        <f t="shared" si="26"/>
        <v>1.8590435699298302E-2</v>
      </c>
      <c r="AS43" s="284">
        <f t="shared" si="42"/>
        <v>2.0393183534742398E-2</v>
      </c>
      <c r="AT43" s="289"/>
      <c r="AU43" s="283" t="s">
        <v>95</v>
      </c>
      <c r="AV43" s="283">
        <f t="shared" si="8"/>
        <v>7.100183118173134E-3</v>
      </c>
      <c r="AW43" s="284">
        <f>Splines!AC33</f>
        <v>-3.7347443867474794E-3</v>
      </c>
      <c r="AX43" s="284">
        <f t="shared" si="27"/>
        <v>3.3654387314256545E-3</v>
      </c>
      <c r="AY43" s="284">
        <f t="shared" si="43"/>
        <v>5.9021350773191816E-3</v>
      </c>
      <c r="BA43" s="291">
        <f t="shared" si="28"/>
        <v>5.9021350773191816E-3</v>
      </c>
      <c r="BB43" s="284">
        <f t="shared" si="44"/>
        <v>3.3654387314256962E-3</v>
      </c>
      <c r="BC43" s="288"/>
      <c r="BD43" s="283" t="s">
        <v>95</v>
      </c>
      <c r="BE43" s="283">
        <f t="shared" si="9"/>
        <v>2.1187529736389106E-2</v>
      </c>
      <c r="BF43" s="284">
        <f>Splines!AH33</f>
        <v>-1.619429443962872E-3</v>
      </c>
      <c r="BG43" s="284">
        <f t="shared" si="29"/>
        <v>1.9568100292426234E-2</v>
      </c>
      <c r="BH43" s="284">
        <f t="shared" si="45"/>
        <v>1.8748610396338572E-2</v>
      </c>
      <c r="BJ43" s="291">
        <f t="shared" si="30"/>
        <v>1.8748610396338572E-2</v>
      </c>
      <c r="BK43" s="284">
        <f t="shared" si="46"/>
        <v>1.9568100292426172E-2</v>
      </c>
      <c r="BL43" s="288"/>
      <c r="BM43" s="283" t="s">
        <v>95</v>
      </c>
      <c r="BN43" s="283">
        <f t="shared" si="10"/>
        <v>1.5403535621408438E-2</v>
      </c>
      <c r="BO43" s="284">
        <f>Splines!AM33</f>
        <v>8.0985035747289658E-3</v>
      </c>
      <c r="BP43" s="284">
        <f t="shared" si="31"/>
        <v>2.3502039196137404E-2</v>
      </c>
      <c r="BQ43" s="284">
        <f t="shared" si="47"/>
        <v>2.8556169231873207E-2</v>
      </c>
      <c r="BS43" s="291">
        <f t="shared" si="32"/>
        <v>2.8556169231873207E-2</v>
      </c>
      <c r="BT43" s="284">
        <f t="shared" si="48"/>
        <v>2.3502039196137359E-2</v>
      </c>
      <c r="BU43" s="288"/>
      <c r="BV43" s="659" t="s">
        <v>95</v>
      </c>
      <c r="BW43" s="659">
        <f t="shared" si="11"/>
        <v>2.8673280725493605E-2</v>
      </c>
      <c r="BX43" s="284">
        <f>Splines!AR33</f>
        <v>-7.4706238228827715E-4</v>
      </c>
      <c r="BY43" s="284">
        <f t="shared" si="33"/>
        <v>2.7926218343205328E-2</v>
      </c>
      <c r="BZ43" s="284">
        <f t="shared" si="49"/>
        <v>4.1804482069181192E-2</v>
      </c>
      <c r="CB43" s="291">
        <f t="shared" si="34"/>
        <v>4.1804482069181192E-2</v>
      </c>
      <c r="CC43" s="284">
        <f t="shared" si="50"/>
        <v>2.7926218343205411E-2</v>
      </c>
      <c r="CD43" s="288"/>
      <c r="CE43" s="284" t="str">
        <f t="shared" si="1"/>
        <v>29 Year</v>
      </c>
      <c r="CF43" s="284">
        <f t="shared" si="2"/>
        <v>2.1187529736389106E-2</v>
      </c>
      <c r="CG43" s="284">
        <f t="shared" si="16"/>
        <v>-1.619429443962872E-3</v>
      </c>
      <c r="CH43" s="284">
        <f t="shared" si="17"/>
        <v>1.9568100292426234E-2</v>
      </c>
      <c r="CI43" s="284">
        <f t="shared" si="18"/>
        <v>1.8748610396338572E-2</v>
      </c>
      <c r="CK43" s="284">
        <f>BJ43+MIN('Instructions &amp; Dashboard'!$D$43,'Instructions &amp; Dashboard'!$D$44)/10000</f>
        <v>2.0748610396338574E-2</v>
      </c>
      <c r="CL43" s="284">
        <f t="shared" si="51"/>
        <v>2.1908026216863608E-2</v>
      </c>
    </row>
    <row r="44" spans="1:90">
      <c r="A44" s="283">
        <f t="shared" si="52"/>
        <v>30</v>
      </c>
      <c r="B44" s="283" t="s">
        <v>96</v>
      </c>
      <c r="C44" s="283">
        <f t="shared" si="14"/>
        <v>2.7627048736543536E-2</v>
      </c>
      <c r="D44" s="284">
        <f>Splines!D34</f>
        <v>-5.8475499972701073E-3</v>
      </c>
      <c r="E44" s="506">
        <f t="shared" si="15"/>
        <v>2.1779498739273428E-2</v>
      </c>
      <c r="F44" s="507">
        <f t="shared" si="54"/>
        <v>2.1750914048714876E-2</v>
      </c>
      <c r="G44" s="284">
        <f>($A44-$A$44)/30*$G$5</f>
        <v>0</v>
      </c>
      <c r="H44" s="284">
        <f>F44+G44</f>
        <v>2.1750914048714876E-2</v>
      </c>
      <c r="I44" s="284">
        <f t="shared" si="53"/>
        <v>2.1779498739273428E-2</v>
      </c>
      <c r="J44" s="285"/>
      <c r="K44" s="283" t="s">
        <v>96</v>
      </c>
      <c r="L44" s="283">
        <f t="shared" si="56"/>
        <v>3.1532798551531516E-3</v>
      </c>
      <c r="M44" s="284">
        <f>Splines!I34</f>
        <v>3.0235124286264181E-3</v>
      </c>
      <c r="N44" s="283">
        <f t="shared" si="4"/>
        <v>6.1767922837795697E-3</v>
      </c>
      <c r="O44" s="284">
        <f t="shared" si="35"/>
        <v>4.9806549874282791E-3</v>
      </c>
      <c r="P44" s="284">
        <f>($A44-$A$44)/30*$P$5</f>
        <v>0</v>
      </c>
      <c r="Q44" s="291">
        <f>O44+P44</f>
        <v>4.9806549874282791E-3</v>
      </c>
      <c r="R44" s="284">
        <f t="shared" si="36"/>
        <v>6.1767922837796529E-3</v>
      </c>
      <c r="S44" s="287"/>
      <c r="T44" s="283" t="s">
        <v>96</v>
      </c>
      <c r="U44" s="283">
        <f t="shared" si="5"/>
        <v>1.5378279386420102E-2</v>
      </c>
      <c r="V44" s="284">
        <f>Splines!N34</f>
        <v>-4.5155738480389118E-3</v>
      </c>
      <c r="W44" s="284">
        <f t="shared" si="21"/>
        <v>1.0862705538381191E-2</v>
      </c>
      <c r="X44" s="284">
        <f t="shared" si="37"/>
        <v>9.7286419294946302E-3</v>
      </c>
      <c r="Y44" s="284">
        <f>($A44-$A$44)/30*$Y$5</f>
        <v>0</v>
      </c>
      <c r="Z44" s="291">
        <f>X44+Y44</f>
        <v>9.7286419294946302E-3</v>
      </c>
      <c r="AA44" s="284">
        <f t="shared" si="38"/>
        <v>1.0862705538381201E-2</v>
      </c>
      <c r="AB44" s="288"/>
      <c r="AC44" s="283" t="s">
        <v>96</v>
      </c>
      <c r="AD44" s="283">
        <f t="shared" si="6"/>
        <v>7.5160392167882006E-4</v>
      </c>
      <c r="AE44" s="284">
        <f>Splines!S34</f>
        <v>8.7551766773685813E-4</v>
      </c>
      <c r="AF44" s="284">
        <f t="shared" si="23"/>
        <v>1.6271215894156782E-3</v>
      </c>
      <c r="AG44" s="284">
        <f t="shared" si="39"/>
        <v>1.0931105871596625E-3</v>
      </c>
      <c r="AH44" s="284">
        <f>($A44-$A$44)/30*$AH$5</f>
        <v>0</v>
      </c>
      <c r="AI44" s="291">
        <f>AG44+AH44</f>
        <v>1.0931105871596625E-3</v>
      </c>
      <c r="AJ44" s="284">
        <f t="shared" si="40"/>
        <v>1.6271215894156921E-3</v>
      </c>
      <c r="AK44" s="288"/>
      <c r="AL44" s="283" t="s">
        <v>96</v>
      </c>
      <c r="AM44" s="283">
        <f t="shared" si="7"/>
        <v>1.7472332313949158E-2</v>
      </c>
      <c r="AN44" s="283">
        <f>Splines!X34</f>
        <v>2.8539123013615608E-3</v>
      </c>
      <c r="AO44" s="283">
        <f t="shared" si="25"/>
        <v>2.0326244615310719E-2</v>
      </c>
      <c r="AP44" s="284">
        <f t="shared" si="41"/>
        <v>1.8386924983889941E-2</v>
      </c>
      <c r="AQ44" s="284">
        <f>($A44-$A$44)/30*$AQ$5</f>
        <v>0</v>
      </c>
      <c r="AR44" s="291">
        <f>AP44+AQ44</f>
        <v>1.8386924983889941E-2</v>
      </c>
      <c r="AS44" s="284">
        <f t="shared" si="42"/>
        <v>2.032624461531074E-2</v>
      </c>
      <c r="AT44" s="289"/>
      <c r="AU44" s="283" t="s">
        <v>96</v>
      </c>
      <c r="AV44" s="283">
        <f t="shared" si="8"/>
        <v>7.5548770065970317E-3</v>
      </c>
      <c r="AW44" s="284">
        <f>Splines!AC34</f>
        <v>-4.1034882888197899E-3</v>
      </c>
      <c r="AX44" s="284">
        <f t="shared" si="27"/>
        <v>3.4513887177772418E-3</v>
      </c>
      <c r="AY44" s="284">
        <f t="shared" si="43"/>
        <v>5.9471436245122078E-3</v>
      </c>
      <c r="AZ44" s="284">
        <f>($A44-$A$44)/30*$AZ$5</f>
        <v>0</v>
      </c>
      <c r="BA44" s="291">
        <f>AY44+AZ44</f>
        <v>5.9471436245122078E-3</v>
      </c>
      <c r="BB44" s="284">
        <f t="shared" si="44"/>
        <v>3.4513887177771707E-3</v>
      </c>
      <c r="BC44" s="288"/>
      <c r="BD44" s="283" t="s">
        <v>96</v>
      </c>
      <c r="BE44" s="283">
        <f t="shared" si="9"/>
        <v>2.1494867776875752E-2</v>
      </c>
      <c r="BF44" s="284">
        <f>Splines!AH34</f>
        <v>-1.9619222730398178E-3</v>
      </c>
      <c r="BG44" s="284">
        <f t="shared" si="29"/>
        <v>1.9532945503835934E-2</v>
      </c>
      <c r="BH44" s="284">
        <f t="shared" si="45"/>
        <v>1.8513983745923834E-2</v>
      </c>
      <c r="BI44" s="284">
        <f>($A44-$A$44)/30*$BI$5</f>
        <v>0</v>
      </c>
      <c r="BJ44" s="291">
        <f>BH44+BI44</f>
        <v>1.8513983745923834E-2</v>
      </c>
      <c r="BK44" s="284">
        <f t="shared" si="46"/>
        <v>1.9532945503835997E-2</v>
      </c>
      <c r="BL44" s="288"/>
      <c r="BM44" s="283" t="s">
        <v>96</v>
      </c>
      <c r="BN44" s="283">
        <f t="shared" si="10"/>
        <v>1.5574575202855429E-2</v>
      </c>
      <c r="BO44" s="284">
        <f>Splines!AM34</f>
        <v>8.1353252753615379E-3</v>
      </c>
      <c r="BP44" s="284">
        <f t="shared" si="31"/>
        <v>2.3709900478216965E-2</v>
      </c>
      <c r="BQ44" s="284">
        <f t="shared" si="47"/>
        <v>2.9756275687458311E-2</v>
      </c>
      <c r="BR44" s="284">
        <f>($A44-$A$44)/30*$BR$5</f>
        <v>0</v>
      </c>
      <c r="BS44" s="291">
        <f>BQ44+BR44</f>
        <v>2.9756275687458311E-2</v>
      </c>
      <c r="BT44" s="284">
        <f t="shared" si="48"/>
        <v>2.3709900478216861E-2</v>
      </c>
      <c r="BU44" s="288"/>
      <c r="BV44" s="659" t="s">
        <v>96</v>
      </c>
      <c r="BW44" s="659">
        <f t="shared" si="11"/>
        <v>2.9267509414802884E-2</v>
      </c>
      <c r="BX44" s="284">
        <f>Splines!AR34</f>
        <v>-8.7353121489286423E-4</v>
      </c>
      <c r="BY44" s="284">
        <f t="shared" si="33"/>
        <v>2.8393978199910019E-2</v>
      </c>
      <c r="BZ44" s="284">
        <f t="shared" si="49"/>
        <v>4.2052000452625471E-2</v>
      </c>
      <c r="CA44" s="284">
        <f>($A44-$A$44)/30*$CA$5</f>
        <v>0</v>
      </c>
      <c r="CB44" s="291">
        <f t="shared" si="34"/>
        <v>4.2052000452625471E-2</v>
      </c>
      <c r="CC44" s="284">
        <f t="shared" si="50"/>
        <v>2.8393978199910075E-2</v>
      </c>
      <c r="CD44" s="288"/>
      <c r="CE44" s="284" t="str">
        <f t="shared" si="1"/>
        <v>30 Year</v>
      </c>
      <c r="CF44" s="284">
        <f t="shared" si="2"/>
        <v>2.1494867776875752E-2</v>
      </c>
      <c r="CG44" s="284">
        <f t="shared" si="16"/>
        <v>-1.9619222730398178E-3</v>
      </c>
      <c r="CH44" s="284">
        <f t="shared" si="17"/>
        <v>1.9532945503835934E-2</v>
      </c>
      <c r="CI44" s="284">
        <f t="shared" si="18"/>
        <v>1.8513983745923834E-2</v>
      </c>
      <c r="CK44" s="284">
        <f>BJ44+MIN('Instructions &amp; Dashboard'!$D$43,'Instructions &amp; Dashboard'!$D$44)/10000</f>
        <v>2.0513983745923836E-2</v>
      </c>
      <c r="CL44" s="284">
        <f t="shared" si="51"/>
        <v>2.1861527468699293E-2</v>
      </c>
    </row>
    <row r="45" spans="1:90">
      <c r="A45" s="283">
        <f t="shared" si="52"/>
        <v>31</v>
      </c>
      <c r="B45" s="283" t="s">
        <v>360</v>
      </c>
      <c r="C45" s="283">
        <f t="shared" si="14"/>
        <v>2.7936391888711942E-2</v>
      </c>
      <c r="D45" s="284">
        <f>Splines!D35</f>
        <v>-6.1133335596279467E-3</v>
      </c>
      <c r="E45" s="506">
        <f t="shared" si="15"/>
        <v>2.1823058329083996E-2</v>
      </c>
      <c r="F45" s="507">
        <f t="shared" si="54"/>
        <v>2.3130709881321376E-2</v>
      </c>
      <c r="G45" s="284">
        <f>($A45-$A$44)/30*$G$5</f>
        <v>-1.217880127686248E-4</v>
      </c>
      <c r="H45" s="284">
        <f t="shared" ref="H45:H74" si="57">F45+G45</f>
        <v>2.3008921868552752E-2</v>
      </c>
      <c r="I45" s="284">
        <f t="shared" si="53"/>
        <v>2.181913447865913E-2</v>
      </c>
      <c r="J45" s="285"/>
      <c r="K45" s="283" t="s">
        <v>360</v>
      </c>
      <c r="L45" s="283">
        <f t="shared" si="56"/>
        <v>3.2474797154926002E-3</v>
      </c>
      <c r="M45" s="284">
        <f>Splines!I35</f>
        <v>2.8607518925462872E-3</v>
      </c>
      <c r="N45" s="283">
        <f t="shared" si="4"/>
        <v>6.108231608038887E-3</v>
      </c>
      <c r="O45" s="284">
        <f t="shared" si="35"/>
        <v>4.0535822507976604E-3</v>
      </c>
      <c r="P45" s="284">
        <f t="shared" ref="P45:P74" si="58">($A45-$A$44)/30*$P$5</f>
        <v>1.1139833731591763E-3</v>
      </c>
      <c r="Q45" s="291">
        <f t="shared" ref="Q45:Q73" si="59">O45+P45</f>
        <v>5.1675656239568366E-3</v>
      </c>
      <c r="R45" s="284">
        <f t="shared" si="36"/>
        <v>6.1442207741664312E-3</v>
      </c>
      <c r="S45" s="287"/>
      <c r="T45" s="283" t="s">
        <v>360</v>
      </c>
      <c r="U45" s="283">
        <f t="shared" si="5"/>
        <v>1.5394468925450664E-2</v>
      </c>
      <c r="V45" s="284">
        <f>Splines!N35</f>
        <v>-4.5675227362850825E-3</v>
      </c>
      <c r="W45" s="284">
        <f t="shared" si="21"/>
        <v>1.0826946189165581E-2</v>
      </c>
      <c r="X45" s="284">
        <f t="shared" si="37"/>
        <v>9.7547537318809496E-3</v>
      </c>
      <c r="Y45" s="284">
        <f t="shared" ref="Y45:Y74" si="60">($A45-$A$44)/30*$Y$5</f>
        <v>1.300828920016549E-3</v>
      </c>
      <c r="Z45" s="291">
        <f t="shared" ref="Z45:Z74" si="61">X45+Y45</f>
        <v>1.1055582651897499E-2</v>
      </c>
      <c r="AA45" s="284">
        <f t="shared" si="38"/>
        <v>1.0868926806394619E-2</v>
      </c>
      <c r="AB45" s="288"/>
      <c r="AC45" s="283" t="s">
        <v>360</v>
      </c>
      <c r="AD45" s="283">
        <f t="shared" si="6"/>
        <v>7.3903124527299746E-4</v>
      </c>
      <c r="AE45" s="284">
        <f>Splines!S35</f>
        <v>8.4182851188095058E-4</v>
      </c>
      <c r="AF45" s="284">
        <f t="shared" si="23"/>
        <v>1.580859757153948E-3</v>
      </c>
      <c r="AG45" s="284">
        <f t="shared" si="39"/>
        <v>1.9399790227847546E-4</v>
      </c>
      <c r="AH45" s="284">
        <f t="shared" ref="AH45:AH74" si="62">($A45-$A$44)/30*$AH$5</f>
        <v>2.3416910789994072E-3</v>
      </c>
      <c r="AI45" s="291">
        <f t="shared" ref="AI45:AI74" si="63">AG45+AH45</f>
        <v>2.5356889812778827E-3</v>
      </c>
      <c r="AJ45" s="284">
        <f t="shared" si="40"/>
        <v>1.6564173586066655E-3</v>
      </c>
      <c r="AK45" s="288"/>
      <c r="AL45" s="283" t="s">
        <v>360</v>
      </c>
      <c r="AM45" s="283">
        <f t="shared" si="7"/>
        <v>1.7553061382978213E-2</v>
      </c>
      <c r="AN45" s="283">
        <f>Splines!X35</f>
        <v>2.7005263191785841E-3</v>
      </c>
      <c r="AO45" s="283">
        <f t="shared" si="25"/>
        <v>2.0253587702156798E-2</v>
      </c>
      <c r="AP45" s="284">
        <f t="shared" si="41"/>
        <v>1.8076284498037776E-2</v>
      </c>
      <c r="AQ45" s="284">
        <f t="shared" ref="AQ45:AQ74" si="64">($A45-$A$44)/30*$AQ$5</f>
        <v>7.819027859573694E-4</v>
      </c>
      <c r="AR45" s="291">
        <f t="shared" ref="AR45:AR74" si="65">AP45+AQ45</f>
        <v>1.8858187283995145E-2</v>
      </c>
      <c r="AS45" s="284">
        <f t="shared" si="42"/>
        <v>2.0278854926367051E-2</v>
      </c>
      <c r="AT45" s="289"/>
      <c r="AU45" s="283" t="s">
        <v>360</v>
      </c>
      <c r="AV45" s="283">
        <f t="shared" si="8"/>
        <v>8.0047812933497758E-3</v>
      </c>
      <c r="AW45" s="284">
        <f>Splines!AC35</f>
        <v>-4.4225017727661355E-3</v>
      </c>
      <c r="AX45" s="284">
        <f t="shared" si="27"/>
        <v>3.5822795205836403E-3</v>
      </c>
      <c r="AY45" s="284">
        <f t="shared" si="43"/>
        <v>7.516952790525E-3</v>
      </c>
      <c r="AZ45" s="284">
        <f t="shared" ref="AZ45:AZ74" si="66">($A45-$A$44)/30*$AZ$5</f>
        <v>9.8600043393947071E-5</v>
      </c>
      <c r="BA45" s="291">
        <f t="shared" ref="BA45:BA74" si="67">AY45+AZ45</f>
        <v>7.6155528339189472E-3</v>
      </c>
      <c r="BB45" s="284">
        <f t="shared" si="44"/>
        <v>3.5854475956933474E-3</v>
      </c>
      <c r="BC45" s="288"/>
      <c r="BD45" s="283" t="s">
        <v>360</v>
      </c>
      <c r="BE45" s="283">
        <f t="shared" si="9"/>
        <v>2.1796539075532799E-2</v>
      </c>
      <c r="BF45" s="284">
        <f>Splines!AH35</f>
        <v>-2.2671440564750634E-3</v>
      </c>
      <c r="BG45" s="284">
        <f t="shared" si="29"/>
        <v>1.9529395019057736E-2</v>
      </c>
      <c r="BH45" s="284">
        <f t="shared" si="45"/>
        <v>1.9422886224976788E-2</v>
      </c>
      <c r="BI45" s="284">
        <f t="shared" ref="BI45:BI74" si="68">($A45-$A$44)/30*$BI$5</f>
        <v>1.7797313629140896E-5</v>
      </c>
      <c r="BJ45" s="291">
        <f t="shared" ref="BJ45:BJ74" si="69">BH45+BI45</f>
        <v>1.9440683538605927E-2</v>
      </c>
      <c r="BK45" s="284">
        <f t="shared" si="46"/>
        <v>1.9529969181081297E-2</v>
      </c>
      <c r="BL45" s="288"/>
      <c r="BM45" s="283" t="s">
        <v>360</v>
      </c>
      <c r="BN45" s="283">
        <f t="shared" si="10"/>
        <v>1.5770192122646846E-2</v>
      </c>
      <c r="BO45" s="284">
        <f>Splines!AM35</f>
        <v>8.1262482071021436E-3</v>
      </c>
      <c r="BP45" s="284">
        <f t="shared" si="31"/>
        <v>2.389644032974899E-2</v>
      </c>
      <c r="BQ45" s="284">
        <f t="shared" si="47"/>
        <v>2.9508469655298963E-2</v>
      </c>
      <c r="BR45" s="284">
        <f t="shared" ref="BR45:BR74" si="70">($A45-$A$44)/30*$BR$5</f>
        <v>3.2498160684034177E-4</v>
      </c>
      <c r="BS45" s="291">
        <f t="shared" ref="BS45:BS74" si="71">BQ45+BR45</f>
        <v>2.9833451262139304E-2</v>
      </c>
      <c r="BT45" s="284">
        <f t="shared" si="48"/>
        <v>2.390686486904503E-2</v>
      </c>
      <c r="BU45" s="288"/>
      <c r="BV45" s="659" t="s">
        <v>360</v>
      </c>
      <c r="BW45" s="659">
        <f t="shared" si="11"/>
        <v>2.98372783254503E-2</v>
      </c>
      <c r="BX45" s="284">
        <f>Splines!AR35</f>
        <v>-9.8840030556226143E-4</v>
      </c>
      <c r="BY45" s="284">
        <f t="shared" si="33"/>
        <v>2.8848878019888041E-2</v>
      </c>
      <c r="BZ45" s="284">
        <f t="shared" si="49"/>
        <v>4.2589841436601494E-2</v>
      </c>
      <c r="CA45" s="284">
        <f t="shared" ref="CA45:CA74" si="72">($A45-$A$44)/30*$CA$5</f>
        <v>-1.0921374086590001E-4</v>
      </c>
      <c r="CB45" s="291">
        <f t="shared" si="34"/>
        <v>4.2589841436601494E-2</v>
      </c>
      <c r="CC45" s="284">
        <f t="shared" si="50"/>
        <v>2.8848878019888113E-2</v>
      </c>
      <c r="CD45" s="288"/>
      <c r="CE45" s="284" t="str">
        <f t="shared" si="1"/>
        <v>31 Year</v>
      </c>
      <c r="CF45" s="284">
        <f t="shared" si="2"/>
        <v>2.1796539075532799E-2</v>
      </c>
      <c r="CG45" s="284">
        <f t="shared" si="16"/>
        <v>-2.2671440564750634E-3</v>
      </c>
      <c r="CH45" s="284">
        <f t="shared" si="17"/>
        <v>1.9529395019057736E-2</v>
      </c>
      <c r="CI45" s="284">
        <f t="shared" si="18"/>
        <v>1.9422886224976788E-2</v>
      </c>
      <c r="CJ45" s="284">
        <f t="shared" si="12"/>
        <v>1.7797313629140896E-5</v>
      </c>
      <c r="CK45" s="284">
        <f>BJ45+MIN('Instructions &amp; Dashboard'!$D$43,'Instructions &amp; Dashboard'!$D$44)/10000</f>
        <v>2.1440683538605926E-2</v>
      </c>
      <c r="CL45" s="284">
        <f t="shared" si="51"/>
        <v>2.1847949152004276E-2</v>
      </c>
    </row>
    <row r="46" spans="1:90">
      <c r="A46" s="283">
        <f t="shared" si="52"/>
        <v>32</v>
      </c>
      <c r="B46" s="283" t="s">
        <v>361</v>
      </c>
      <c r="C46" s="283">
        <f t="shared" si="14"/>
        <v>2.8237339845232357E-2</v>
      </c>
      <c r="D46" s="284">
        <f>Splines!D36</f>
        <v>-6.3148736591182586E-3</v>
      </c>
      <c r="E46" s="506">
        <f t="shared" si="15"/>
        <v>2.1922466186114098E-2</v>
      </c>
      <c r="F46" s="507">
        <f t="shared" si="54"/>
        <v>2.5008911177353932E-2</v>
      </c>
      <c r="G46" s="284">
        <f t="shared" ref="G46:G74" si="73">($A46-$A$44)/30*$G$5</f>
        <v>-2.435760255372496E-4</v>
      </c>
      <c r="H46" s="284">
        <f t="shared" si="57"/>
        <v>2.4765335151816684E-2</v>
      </c>
      <c r="I46" s="284">
        <f t="shared" si="53"/>
        <v>2.1911074909828354E-2</v>
      </c>
      <c r="J46" s="285"/>
      <c r="K46" s="283" t="s">
        <v>361</v>
      </c>
      <c r="L46" s="283">
        <f t="shared" si="56"/>
        <v>3.3338238044721136E-3</v>
      </c>
      <c r="M46" s="284">
        <f>Splines!I36</f>
        <v>2.6945012007184065E-3</v>
      </c>
      <c r="N46" s="283">
        <f t="shared" si="4"/>
        <v>6.0283250051905201E-3</v>
      </c>
      <c r="O46" s="284">
        <f t="shared" si="35"/>
        <v>3.5543655833734089E-3</v>
      </c>
      <c r="P46" s="284">
        <f t="shared" si="58"/>
        <v>2.2279667463183527E-3</v>
      </c>
      <c r="Q46" s="291">
        <f t="shared" si="59"/>
        <v>5.7823323296917611E-3</v>
      </c>
      <c r="R46" s="284">
        <f t="shared" si="36"/>
        <v>6.1329097895632678E-3</v>
      </c>
      <c r="S46" s="287"/>
      <c r="T46" s="283" t="s">
        <v>361</v>
      </c>
      <c r="U46" s="283">
        <f t="shared" si="5"/>
        <v>1.5392141174546976E-2</v>
      </c>
      <c r="V46" s="284">
        <f>Splines!N36</f>
        <v>-4.5911838202169278E-3</v>
      </c>
      <c r="W46" s="284">
        <f t="shared" si="21"/>
        <v>1.0800957354330048E-2</v>
      </c>
      <c r="X46" s="284">
        <f t="shared" si="37"/>
        <v>9.9956348090530778E-3</v>
      </c>
      <c r="Y46" s="284">
        <f t="shared" si="60"/>
        <v>2.601657840033098E-3</v>
      </c>
      <c r="Z46" s="291">
        <f t="shared" si="61"/>
        <v>1.2597292649086177E-2</v>
      </c>
      <c r="AA46" s="284">
        <f t="shared" si="38"/>
        <v>1.0922893558142688E-2</v>
      </c>
      <c r="AB46" s="288"/>
      <c r="AC46" s="283" t="s">
        <v>361</v>
      </c>
      <c r="AD46" s="283">
        <f t="shared" si="6"/>
        <v>7.0540889598857265E-4</v>
      </c>
      <c r="AE46" s="284">
        <f>Splines!S36</f>
        <v>8.0102958445666859E-4</v>
      </c>
      <c r="AF46" s="284">
        <f t="shared" si="23"/>
        <v>1.5064384804452412E-3</v>
      </c>
      <c r="AG46" s="284">
        <f t="shared" si="39"/>
        <v>-7.9788036124694983E-4</v>
      </c>
      <c r="AH46" s="284">
        <f t="shared" si="62"/>
        <v>4.6833821579988144E-3</v>
      </c>
      <c r="AI46" s="291">
        <f t="shared" si="63"/>
        <v>3.8855017967518645E-3</v>
      </c>
      <c r="AJ46" s="284">
        <f t="shared" si="40"/>
        <v>1.726001269560351E-3</v>
      </c>
      <c r="AK46" s="288"/>
      <c r="AL46" s="283" t="s">
        <v>361</v>
      </c>
      <c r="AM46" s="283">
        <f t="shared" si="7"/>
        <v>1.7631423293636577E-2</v>
      </c>
      <c r="AN46" s="283">
        <f>Splines!X36</f>
        <v>2.5434705356409196E-3</v>
      </c>
      <c r="AO46" s="283">
        <f t="shared" si="25"/>
        <v>2.0174893829277497E-2</v>
      </c>
      <c r="AP46" s="284">
        <f t="shared" si="41"/>
        <v>1.7738392065309139E-2</v>
      </c>
      <c r="AQ46" s="284">
        <f t="shared" si="64"/>
        <v>1.5638055719147388E-3</v>
      </c>
      <c r="AR46" s="291">
        <f t="shared" si="65"/>
        <v>1.9302197637223878E-2</v>
      </c>
      <c r="AS46" s="284">
        <f t="shared" si="42"/>
        <v>2.0248320225855654E-2</v>
      </c>
      <c r="AT46" s="289"/>
      <c r="AU46" s="283" t="s">
        <v>361</v>
      </c>
      <c r="AV46" s="283">
        <f t="shared" si="8"/>
        <v>8.4496741437818934E-3</v>
      </c>
      <c r="AW46" s="284">
        <f>Splines!AC36</f>
        <v>-4.6810362507986175E-3</v>
      </c>
      <c r="AX46" s="284">
        <f t="shared" si="27"/>
        <v>3.7686378929832759E-3</v>
      </c>
      <c r="AY46" s="284">
        <f t="shared" si="43"/>
        <v>9.5629436696236247E-3</v>
      </c>
      <c r="AZ46" s="284">
        <f t="shared" si="66"/>
        <v>1.9720008678789414E-4</v>
      </c>
      <c r="BA46" s="291">
        <f t="shared" si="67"/>
        <v>9.7601437564115191E-3</v>
      </c>
      <c r="BB46" s="284">
        <f t="shared" si="44"/>
        <v>3.777834108118272E-3</v>
      </c>
      <c r="BC46" s="288"/>
      <c r="BD46" s="283" t="s">
        <v>361</v>
      </c>
      <c r="BE46" s="283">
        <f t="shared" si="9"/>
        <v>2.2092733563172661E-2</v>
      </c>
      <c r="BF46" s="284">
        <f>Splines!AH36</f>
        <v>-2.5267983791260966E-3</v>
      </c>
      <c r="BG46" s="284">
        <f t="shared" si="29"/>
        <v>1.9565935184046566E-2</v>
      </c>
      <c r="BH46" s="284">
        <f t="shared" si="45"/>
        <v>2.0699330097035729E-2</v>
      </c>
      <c r="BI46" s="284">
        <f t="shared" si="68"/>
        <v>3.5594627258281793E-5</v>
      </c>
      <c r="BJ46" s="291">
        <f t="shared" si="69"/>
        <v>2.0734924724294012E-2</v>
      </c>
      <c r="BK46" s="284">
        <f t="shared" si="46"/>
        <v>1.9567602502232218E-2</v>
      </c>
      <c r="BL46" s="288"/>
      <c r="BM46" s="283" t="s">
        <v>361</v>
      </c>
      <c r="BN46" s="283">
        <f t="shared" si="10"/>
        <v>1.5987358369461243E-2</v>
      </c>
      <c r="BO46" s="284">
        <f>Splines!AM36</f>
        <v>8.0623912399102465E-3</v>
      </c>
      <c r="BP46" s="284">
        <f t="shared" si="31"/>
        <v>2.404974960937149E-2</v>
      </c>
      <c r="BQ46" s="284">
        <f t="shared" si="47"/>
        <v>2.881374011746618E-2</v>
      </c>
      <c r="BR46" s="284">
        <f t="shared" si="70"/>
        <v>6.4996321368068354E-4</v>
      </c>
      <c r="BS46" s="291">
        <f t="shared" si="71"/>
        <v>2.9463703331146864E-2</v>
      </c>
      <c r="BT46" s="284">
        <f t="shared" si="48"/>
        <v>2.4080061204915904E-2</v>
      </c>
      <c r="BU46" s="288"/>
      <c r="BV46" s="659" t="s">
        <v>361</v>
      </c>
      <c r="BW46" s="659">
        <f t="shared" si="11"/>
        <v>3.0382754678937501E-2</v>
      </c>
      <c r="BX46" s="284">
        <f>Splines!AR36</f>
        <v>-1.0891125975867016E-3</v>
      </c>
      <c r="BY46" s="284">
        <f t="shared" si="33"/>
        <v>2.9293642081350799E-2</v>
      </c>
      <c r="BZ46" s="284">
        <f t="shared" si="49"/>
        <v>4.3177106637236395E-2</v>
      </c>
      <c r="CA46" s="284">
        <f t="shared" si="72"/>
        <v>-2.1842748173180003E-4</v>
      </c>
      <c r="CB46" s="291">
        <f t="shared" si="34"/>
        <v>4.3177106637236395E-2</v>
      </c>
      <c r="CC46" s="284">
        <f t="shared" si="50"/>
        <v>2.9293642081350768E-2</v>
      </c>
      <c r="CD46" s="288"/>
      <c r="CE46" s="284" t="str">
        <f t="shared" si="1"/>
        <v>32 Year</v>
      </c>
      <c r="CF46" s="284">
        <f t="shared" si="2"/>
        <v>2.2092733563172661E-2</v>
      </c>
      <c r="CG46" s="284">
        <f t="shared" si="16"/>
        <v>-2.5267983791260966E-3</v>
      </c>
      <c r="CH46" s="284">
        <f t="shared" si="17"/>
        <v>1.9565935184046566E-2</v>
      </c>
      <c r="CI46" s="284">
        <f t="shared" si="18"/>
        <v>2.0699330097035729E-2</v>
      </c>
      <c r="CJ46" s="284">
        <f t="shared" si="12"/>
        <v>3.5594627258281793E-5</v>
      </c>
      <c r="CK46" s="284">
        <f>BJ46+MIN('Instructions &amp; Dashboard'!$D$43,'Instructions &amp; Dashboard'!$D$44)/10000</f>
        <v>2.273492472429401E-2</v>
      </c>
      <c r="CL46" s="284">
        <f t="shared" si="51"/>
        <v>2.1875655491439661E-2</v>
      </c>
    </row>
    <row r="47" spans="1:90">
      <c r="A47" s="283">
        <f t="shared" si="52"/>
        <v>33</v>
      </c>
      <c r="B47" s="283" t="s">
        <v>362</v>
      </c>
      <c r="C47" s="283">
        <f t="shared" si="14"/>
        <v>2.8529965091548121E-2</v>
      </c>
      <c r="D47" s="284">
        <f>Splines!D37</f>
        <v>-6.4558975929512622E-3</v>
      </c>
      <c r="E47" s="506">
        <f t="shared" si="15"/>
        <v>2.2074067498596858E-2</v>
      </c>
      <c r="F47" s="507">
        <f t="shared" si="54"/>
        <v>2.6937202401035254E-2</v>
      </c>
      <c r="G47" s="284">
        <f t="shared" si="73"/>
        <v>-3.6536403830587444E-4</v>
      </c>
      <c r="H47" s="284">
        <f t="shared" si="57"/>
        <v>2.6571838362729378E-2</v>
      </c>
      <c r="I47" s="284">
        <f t="shared" si="53"/>
        <v>2.2051998782845139E-2</v>
      </c>
      <c r="J47" s="285"/>
      <c r="K47" s="283" t="s">
        <v>362</v>
      </c>
      <c r="L47" s="283">
        <f t="shared" si="56"/>
        <v>3.4136051799032417E-3</v>
      </c>
      <c r="M47" s="284">
        <f>Splines!I37</f>
        <v>2.5253460671979169E-3</v>
      </c>
      <c r="N47" s="283">
        <f t="shared" si="4"/>
        <v>5.9389512471011586E-3</v>
      </c>
      <c r="O47" s="284">
        <f t="shared" si="35"/>
        <v>3.0831793593606438E-3</v>
      </c>
      <c r="P47" s="284">
        <f t="shared" si="58"/>
        <v>3.3419501194775292E-3</v>
      </c>
      <c r="Q47" s="291">
        <f t="shared" si="59"/>
        <v>6.425129478838173E-3</v>
      </c>
      <c r="R47" s="284">
        <f t="shared" si="36"/>
        <v>6.1417636849310231E-3</v>
      </c>
      <c r="S47" s="287"/>
      <c r="T47" s="283" t="s">
        <v>362</v>
      </c>
      <c r="U47" s="283">
        <f t="shared" si="5"/>
        <v>1.537282686524093E-2</v>
      </c>
      <c r="V47" s="284">
        <f>Splines!N37</f>
        <v>-4.5883386237409E-3</v>
      </c>
      <c r="W47" s="284">
        <f t="shared" si="21"/>
        <v>1.078448824150003E-2</v>
      </c>
      <c r="X47" s="284">
        <f t="shared" si="37"/>
        <v>1.0257618287138559E-2</v>
      </c>
      <c r="Y47" s="284">
        <f t="shared" si="60"/>
        <v>3.9024867600496471E-3</v>
      </c>
      <c r="Z47" s="291">
        <f t="shared" si="61"/>
        <v>1.4160105047188206E-2</v>
      </c>
      <c r="AA47" s="284">
        <f t="shared" si="38"/>
        <v>1.1020838889731266E-2</v>
      </c>
      <c r="AB47" s="288"/>
      <c r="AC47" s="283" t="s">
        <v>362</v>
      </c>
      <c r="AD47" s="283">
        <f t="shared" si="6"/>
        <v>6.5160964319635473E-4</v>
      </c>
      <c r="AE47" s="284">
        <f>Splines!S37</f>
        <v>7.5366985257732623E-4</v>
      </c>
      <c r="AF47" s="284">
        <f t="shared" si="23"/>
        <v>1.405279495773681E-3</v>
      </c>
      <c r="AG47" s="284">
        <f t="shared" si="39"/>
        <v>-1.8264186695612361E-3</v>
      </c>
      <c r="AH47" s="284">
        <f t="shared" si="62"/>
        <v>7.0250732369982229E-3</v>
      </c>
      <c r="AI47" s="291">
        <f t="shared" si="63"/>
        <v>5.1986545674369868E-3</v>
      </c>
      <c r="AJ47" s="284">
        <f t="shared" si="40"/>
        <v>1.8310567144093071E-3</v>
      </c>
      <c r="AK47" s="288"/>
      <c r="AL47" s="283" t="s">
        <v>362</v>
      </c>
      <c r="AM47" s="283">
        <f t="shared" si="7"/>
        <v>1.7707480490171644E-2</v>
      </c>
      <c r="AN47" s="283">
        <f>Splines!X37</f>
        <v>2.3833224210022736E-3</v>
      </c>
      <c r="AO47" s="283">
        <f t="shared" si="25"/>
        <v>2.0090802911173919E-2</v>
      </c>
      <c r="AP47" s="284">
        <f t="shared" si="41"/>
        <v>1.740355021760176E-2</v>
      </c>
      <c r="AQ47" s="284">
        <f t="shared" si="64"/>
        <v>2.3457083578721084E-3</v>
      </c>
      <c r="AR47" s="291">
        <f t="shared" si="65"/>
        <v>1.9749258575473869E-2</v>
      </c>
      <c r="AS47" s="284">
        <f t="shared" si="42"/>
        <v>2.0233193557692486E-2</v>
      </c>
      <c r="AT47" s="289"/>
      <c r="AU47" s="283" t="s">
        <v>362</v>
      </c>
      <c r="AV47" s="283">
        <f t="shared" si="8"/>
        <v>8.8893684397943623E-3</v>
      </c>
      <c r="AW47" s="284">
        <f>Splines!AC37</f>
        <v>-4.8824515811700534E-3</v>
      </c>
      <c r="AX47" s="284">
        <f t="shared" si="27"/>
        <v>4.0069168586243089E-3</v>
      </c>
      <c r="AY47" s="284">
        <f t="shared" si="43"/>
        <v>1.1661782781509755E-2</v>
      </c>
      <c r="AZ47" s="284">
        <f t="shared" si="66"/>
        <v>2.9580013018184125E-4</v>
      </c>
      <c r="BA47" s="291">
        <f t="shared" si="67"/>
        <v>1.1957582911691597E-2</v>
      </c>
      <c r="BB47" s="284">
        <f t="shared" si="44"/>
        <v>4.0247311501651062E-3</v>
      </c>
      <c r="BC47" s="288"/>
      <c r="BD47" s="283" t="s">
        <v>362</v>
      </c>
      <c r="BE47" s="283">
        <f t="shared" si="9"/>
        <v>2.2383625276351373E-2</v>
      </c>
      <c r="BF47" s="284">
        <f>Splines!AH37</f>
        <v>-2.743276374585575E-3</v>
      </c>
      <c r="BG47" s="284">
        <f t="shared" si="29"/>
        <v>1.9640348901765799E-2</v>
      </c>
      <c r="BH47" s="284">
        <f t="shared" si="45"/>
        <v>2.2024457672577658E-2</v>
      </c>
      <c r="BI47" s="284">
        <f t="shared" si="68"/>
        <v>5.3391940887422692E-5</v>
      </c>
      <c r="BJ47" s="291">
        <f t="shared" si="69"/>
        <v>2.2077849613465081E-2</v>
      </c>
      <c r="BK47" s="284">
        <f t="shared" si="46"/>
        <v>1.9643579938184885E-2</v>
      </c>
      <c r="BL47" s="288"/>
      <c r="BM47" s="283" t="s">
        <v>362</v>
      </c>
      <c r="BN47" s="283">
        <f t="shared" si="10"/>
        <v>1.6223263672290714E-2</v>
      </c>
      <c r="BO47" s="284">
        <f>Splines!AM37</f>
        <v>7.9474405654350946E-3</v>
      </c>
      <c r="BP47" s="284">
        <f t="shared" si="31"/>
        <v>2.4170704237725809E-2</v>
      </c>
      <c r="BQ47" s="284">
        <f t="shared" si="47"/>
        <v>2.8048804798511462E-2</v>
      </c>
      <c r="BR47" s="284">
        <f t="shared" si="70"/>
        <v>9.7494482052102531E-4</v>
      </c>
      <c r="BS47" s="291">
        <f t="shared" si="71"/>
        <v>2.9023749619032486E-2</v>
      </c>
      <c r="BT47" s="284">
        <f t="shared" si="48"/>
        <v>2.422952041300741E-2</v>
      </c>
      <c r="BU47" s="288"/>
      <c r="BV47" s="659" t="s">
        <v>362</v>
      </c>
      <c r="BW47" s="659">
        <f t="shared" si="11"/>
        <v>3.0904245959360574E-2</v>
      </c>
      <c r="BX47" s="284">
        <f>Splines!AR37</f>
        <v>-1.1763675734608016E-3</v>
      </c>
      <c r="BY47" s="284">
        <f t="shared" si="33"/>
        <v>2.9727878385899773E-2</v>
      </c>
      <c r="BZ47" s="284">
        <f t="shared" si="49"/>
        <v>4.3720589956447675E-2</v>
      </c>
      <c r="CA47" s="284">
        <f t="shared" si="72"/>
        <v>-3.2764122259770008E-4</v>
      </c>
      <c r="CB47" s="291">
        <f t="shared" si="34"/>
        <v>4.3720589956447675E-2</v>
      </c>
      <c r="CC47" s="284">
        <f t="shared" si="50"/>
        <v>2.9727878385899853E-2</v>
      </c>
      <c r="CD47" s="288"/>
      <c r="CE47" s="284" t="str">
        <f t="shared" si="1"/>
        <v>33 Year</v>
      </c>
      <c r="CF47" s="284">
        <f t="shared" si="2"/>
        <v>2.2383625276351373E-2</v>
      </c>
      <c r="CG47" s="284">
        <f t="shared" si="16"/>
        <v>-2.743276374585575E-3</v>
      </c>
      <c r="CH47" s="284">
        <f t="shared" si="17"/>
        <v>1.9640348901765799E-2</v>
      </c>
      <c r="CI47" s="284">
        <f t="shared" si="18"/>
        <v>2.2024457672577658E-2</v>
      </c>
      <c r="CJ47" s="284">
        <f t="shared" si="12"/>
        <v>5.3391940887422692E-5</v>
      </c>
      <c r="CK47" s="284">
        <f>BJ47+MIN('Instructions &amp; Dashboard'!$D$43,'Instructions &amp; Dashboard'!$D$44)/10000</f>
        <v>2.4077849613465083E-2</v>
      </c>
      <c r="CL47" s="284">
        <f t="shared" si="51"/>
        <v>2.194231901746968E-2</v>
      </c>
    </row>
    <row r="48" spans="1:90">
      <c r="A48" s="283">
        <f t="shared" si="52"/>
        <v>34</v>
      </c>
      <c r="B48" s="283" t="s">
        <v>363</v>
      </c>
      <c r="C48" s="283">
        <f t="shared" si="14"/>
        <v>2.8814365199528763E-2</v>
      </c>
      <c r="D48" s="284">
        <f>Splines!D38</f>
        <v>-6.5401287286885575E-3</v>
      </c>
      <c r="E48" s="506">
        <f t="shared" si="15"/>
        <v>2.2274236470840206E-2</v>
      </c>
      <c r="F48" s="507">
        <f t="shared" si="54"/>
        <v>2.8901851037564708E-2</v>
      </c>
      <c r="G48" s="284">
        <f t="shared" si="73"/>
        <v>-4.871520510744992E-4</v>
      </c>
      <c r="H48" s="284">
        <f t="shared" si="57"/>
        <v>2.8414698986490208E-2</v>
      </c>
      <c r="I48" s="284">
        <f t="shared" si="53"/>
        <v>2.2238573951176788E-2</v>
      </c>
      <c r="J48" s="285"/>
      <c r="K48" s="283" t="s">
        <v>363</v>
      </c>
      <c r="L48" s="283">
        <f t="shared" si="56"/>
        <v>3.4879866563619355E-3</v>
      </c>
      <c r="M48" s="284">
        <f>Splines!I38</f>
        <v>2.353872203229042E-3</v>
      </c>
      <c r="N48" s="283">
        <f t="shared" si="4"/>
        <v>5.8418588595909775E-3</v>
      </c>
      <c r="O48" s="284">
        <f t="shared" si="35"/>
        <v>2.6430619491559781E-3</v>
      </c>
      <c r="P48" s="284">
        <f t="shared" si="58"/>
        <v>4.4559334926367053E-3</v>
      </c>
      <c r="Q48" s="291">
        <f t="shared" si="59"/>
        <v>7.0989954417926835E-3</v>
      </c>
      <c r="R48" s="284">
        <f t="shared" si="36"/>
        <v>6.1699045695142729E-3</v>
      </c>
      <c r="S48" s="287"/>
      <c r="T48" s="283" t="s">
        <v>363</v>
      </c>
      <c r="U48" s="283">
        <f t="shared" si="5"/>
        <v>1.5337944885599676E-2</v>
      </c>
      <c r="V48" s="284">
        <f>Splines!N38</f>
        <v>-4.5607673979484661E-3</v>
      </c>
      <c r="W48" s="284">
        <f t="shared" si="21"/>
        <v>1.077717748765121E-2</v>
      </c>
      <c r="X48" s="284">
        <f t="shared" si="37"/>
        <v>1.0535952272278548E-2</v>
      </c>
      <c r="Y48" s="284">
        <f t="shared" si="60"/>
        <v>5.2033156800661961E-3</v>
      </c>
      <c r="Z48" s="291">
        <f t="shared" si="61"/>
        <v>1.5739267952344746E-2</v>
      </c>
      <c r="AA48" s="284">
        <f t="shared" si="38"/>
        <v>1.1159302863393394E-2</v>
      </c>
      <c r="AB48" s="288"/>
      <c r="AC48" s="283" t="s">
        <v>363</v>
      </c>
      <c r="AD48" s="283">
        <f t="shared" si="6"/>
        <v>5.784801444216961E-4</v>
      </c>
      <c r="AE48" s="284">
        <f>Splines!S38</f>
        <v>7.0029784057537364E-4</v>
      </c>
      <c r="AF48" s="284">
        <f t="shared" si="23"/>
        <v>1.2787779849970696E-3</v>
      </c>
      <c r="AG48" s="284">
        <f t="shared" si="39"/>
        <v>-2.8868190600758181E-3</v>
      </c>
      <c r="AH48" s="284">
        <f t="shared" si="62"/>
        <v>9.3667643159976288E-3</v>
      </c>
      <c r="AI48" s="291">
        <f t="shared" si="63"/>
        <v>6.4799452559218106E-3</v>
      </c>
      <c r="AJ48" s="284">
        <f t="shared" si="40"/>
        <v>1.9674817513468668E-3</v>
      </c>
      <c r="AK48" s="288"/>
      <c r="AL48" s="283" t="s">
        <v>363</v>
      </c>
      <c r="AM48" s="283">
        <f t="shared" si="7"/>
        <v>1.7781294101816478E-2</v>
      </c>
      <c r="AN48" s="283">
        <f>Splines!X38</f>
        <v>2.2206591999653982E-3</v>
      </c>
      <c r="AO48" s="283">
        <f t="shared" si="25"/>
        <v>2.0001953301781877E-2</v>
      </c>
      <c r="AP48" s="284">
        <f t="shared" si="41"/>
        <v>1.7074253613790891E-2</v>
      </c>
      <c r="AQ48" s="284">
        <f t="shared" si="64"/>
        <v>3.1276111438294776E-3</v>
      </c>
      <c r="AR48" s="291">
        <f t="shared" si="65"/>
        <v>2.0201864757620369E-2</v>
      </c>
      <c r="AS48" s="284">
        <f t="shared" si="42"/>
        <v>2.0232272108664517E-2</v>
      </c>
      <c r="AT48" s="289"/>
      <c r="AU48" s="283" t="s">
        <v>363</v>
      </c>
      <c r="AV48" s="283">
        <f t="shared" si="8"/>
        <v>9.3237072532697373E-3</v>
      </c>
      <c r="AW48" s="284">
        <f>Splines!AC38</f>
        <v>-5.0301046298437549E-3</v>
      </c>
      <c r="AX48" s="284">
        <f t="shared" si="27"/>
        <v>4.2936026234259824E-3</v>
      </c>
      <c r="AY48" s="284">
        <f t="shared" si="43"/>
        <v>1.380029690896456E-2</v>
      </c>
      <c r="AZ48" s="284">
        <f t="shared" si="66"/>
        <v>3.9440017357578828E-4</v>
      </c>
      <c r="BA48" s="291">
        <f t="shared" si="67"/>
        <v>1.4194697082540349E-2</v>
      </c>
      <c r="BB48" s="284">
        <f t="shared" si="44"/>
        <v>4.3223871552950932E-3</v>
      </c>
      <c r="BC48" s="288"/>
      <c r="BD48" s="283" t="s">
        <v>363</v>
      </c>
      <c r="BE48" s="283">
        <f t="shared" si="9"/>
        <v>2.2669374549989674E-2</v>
      </c>
      <c r="BF48" s="284">
        <f>Splines!AH38</f>
        <v>-2.9189668694181818E-3</v>
      </c>
      <c r="BG48" s="284">
        <f t="shared" si="29"/>
        <v>1.9750407680571493E-2</v>
      </c>
      <c r="BH48" s="284">
        <f t="shared" si="45"/>
        <v>2.3389019524711951E-2</v>
      </c>
      <c r="BI48" s="284">
        <f t="shared" si="68"/>
        <v>7.1189254516563585E-5</v>
      </c>
      <c r="BJ48" s="291">
        <f t="shared" si="69"/>
        <v>2.3460208779228515E-2</v>
      </c>
      <c r="BK48" s="284">
        <f t="shared" si="46"/>
        <v>1.9755630318036177E-2</v>
      </c>
      <c r="BL48" s="288"/>
      <c r="BM48" s="283" t="s">
        <v>363</v>
      </c>
      <c r="BN48" s="283">
        <f t="shared" si="10"/>
        <v>1.6475315494893238E-2</v>
      </c>
      <c r="BO48" s="284">
        <f>Splines!AM38</f>
        <v>7.7850822546459498E-3</v>
      </c>
      <c r="BP48" s="284">
        <f t="shared" si="31"/>
        <v>2.4260397749539187E-2</v>
      </c>
      <c r="BQ48" s="284">
        <f t="shared" si="47"/>
        <v>2.7224694449400122E-2</v>
      </c>
      <c r="BR48" s="284">
        <f t="shared" si="70"/>
        <v>1.2999264273613671E-3</v>
      </c>
      <c r="BS48" s="291">
        <f t="shared" si="71"/>
        <v>2.852462087676149E-2</v>
      </c>
      <c r="BT48" s="284">
        <f t="shared" si="48"/>
        <v>2.4355590518936765E-2</v>
      </c>
      <c r="BU48" s="288"/>
      <c r="BV48" s="659" t="s">
        <v>363</v>
      </c>
      <c r="BW48" s="659">
        <f t="shared" si="11"/>
        <v>3.1402175113422276E-2</v>
      </c>
      <c r="BX48" s="284">
        <f>Splines!AR38</f>
        <v>-1.2508641478091698E-3</v>
      </c>
      <c r="BY48" s="284">
        <f t="shared" si="33"/>
        <v>3.0151310965613107E-2</v>
      </c>
      <c r="BZ48" s="284">
        <f t="shared" si="49"/>
        <v>4.422269665205758E-2</v>
      </c>
      <c r="CA48" s="284">
        <f t="shared" si="72"/>
        <v>-4.3685496346360005E-4</v>
      </c>
      <c r="CB48" s="291">
        <f t="shared" si="34"/>
        <v>4.422269665205758E-2</v>
      </c>
      <c r="CC48" s="284">
        <f t="shared" si="50"/>
        <v>3.0151310965613076E-2</v>
      </c>
      <c r="CD48" s="288"/>
      <c r="CE48" s="284" t="str">
        <f t="shared" si="1"/>
        <v>34 Year</v>
      </c>
      <c r="CF48" s="284">
        <f t="shared" si="2"/>
        <v>2.2669374549989674E-2</v>
      </c>
      <c r="CG48" s="284">
        <f t="shared" si="16"/>
        <v>-2.9189668694181818E-3</v>
      </c>
      <c r="CH48" s="284">
        <f t="shared" si="17"/>
        <v>1.9750407680571493E-2</v>
      </c>
      <c r="CI48" s="284">
        <f t="shared" si="18"/>
        <v>2.3389019524711951E-2</v>
      </c>
      <c r="CJ48" s="284">
        <f t="shared" si="12"/>
        <v>7.1189254516563585E-5</v>
      </c>
      <c r="CK48" s="284">
        <f>BJ48+MIN('Instructions &amp; Dashboard'!$D$43,'Instructions &amp; Dashboard'!$D$44)/10000</f>
        <v>2.5460208779228513E-2</v>
      </c>
      <c r="CL48" s="284">
        <f t="shared" si="51"/>
        <v>2.204561390531512E-2</v>
      </c>
    </row>
    <row r="49" spans="1:90">
      <c r="A49" s="283">
        <f t="shared" si="52"/>
        <v>35</v>
      </c>
      <c r="B49" s="283" t="s">
        <v>364</v>
      </c>
      <c r="C49" s="283">
        <f t="shared" si="14"/>
        <v>2.9090658910429085E-2</v>
      </c>
      <c r="D49" s="284">
        <f>Splines!D39</f>
        <v>-6.5712939179101209E-3</v>
      </c>
      <c r="E49" s="506">
        <f t="shared" si="15"/>
        <v>2.2519364992518963E-2</v>
      </c>
      <c r="F49" s="507">
        <f t="shared" si="54"/>
        <v>3.0888800505340708E-2</v>
      </c>
      <c r="G49" s="284">
        <f t="shared" si="73"/>
        <v>-6.0894006384312402E-4</v>
      </c>
      <c r="H49" s="284">
        <f t="shared" si="57"/>
        <v>3.0279860441497584E-2</v>
      </c>
      <c r="I49" s="284">
        <f t="shared" si="53"/>
        <v>2.2467451672733674E-2</v>
      </c>
      <c r="J49" s="285"/>
      <c r="K49" s="283" t="s">
        <v>364</v>
      </c>
      <c r="L49" s="283">
        <f t="shared" si="56"/>
        <v>3.5580103912550391E-3</v>
      </c>
      <c r="M49" s="284">
        <f>Splines!I39</f>
        <v>2.1806645976527538E-3</v>
      </c>
      <c r="N49" s="283">
        <f t="shared" si="4"/>
        <v>5.7386749889077934E-3</v>
      </c>
      <c r="O49" s="284">
        <f t="shared" si="35"/>
        <v>2.2367144039441289E-3</v>
      </c>
      <c r="P49" s="284">
        <f t="shared" si="58"/>
        <v>5.5699168657958814E-3</v>
      </c>
      <c r="Q49" s="291">
        <f t="shared" si="59"/>
        <v>7.8066312697400103E-3</v>
      </c>
      <c r="R49" s="284">
        <f t="shared" si="36"/>
        <v>6.2166312807221402E-3</v>
      </c>
      <c r="S49" s="287"/>
      <c r="T49" s="283" t="s">
        <v>364</v>
      </c>
      <c r="U49" s="283">
        <f t="shared" si="5"/>
        <v>1.5288807742873844E-2</v>
      </c>
      <c r="V49" s="284">
        <f>Splines!N39</f>
        <v>-4.5102514695992907E-3</v>
      </c>
      <c r="W49" s="284">
        <f t="shared" si="21"/>
        <v>1.0778556273274554E-2</v>
      </c>
      <c r="X49" s="284">
        <f t="shared" si="37"/>
        <v>1.0825436103547137E-2</v>
      </c>
      <c r="Y49" s="284">
        <f t="shared" si="60"/>
        <v>6.5041446000827447E-3</v>
      </c>
      <c r="Z49" s="291">
        <f t="shared" si="61"/>
        <v>1.7329580703629881E-2</v>
      </c>
      <c r="AA49" s="284">
        <f t="shared" si="38"/>
        <v>1.1335076082098938E-2</v>
      </c>
      <c r="AB49" s="288"/>
      <c r="AC49" s="283" t="s">
        <v>364</v>
      </c>
      <c r="AD49" s="283">
        <f t="shared" si="6"/>
        <v>4.8684164325708823E-4</v>
      </c>
      <c r="AE49" s="284">
        <f>Splines!S39</f>
        <v>6.4146246535186358E-4</v>
      </c>
      <c r="AF49" s="284">
        <f t="shared" si="23"/>
        <v>1.1283041086089518E-3</v>
      </c>
      <c r="AG49" s="284">
        <f t="shared" si="39"/>
        <v>-3.9743748897619335E-3</v>
      </c>
      <c r="AH49" s="284">
        <f t="shared" si="62"/>
        <v>1.1708455394997036E-2</v>
      </c>
      <c r="AI49" s="291">
        <f t="shared" si="63"/>
        <v>7.7340805052351028E-3</v>
      </c>
      <c r="AJ49" s="284">
        <f t="shared" si="40"/>
        <v>2.1317828770253122E-3</v>
      </c>
      <c r="AK49" s="288"/>
      <c r="AL49" s="283" t="s">
        <v>364</v>
      </c>
      <c r="AM49" s="283">
        <f t="shared" si="7"/>
        <v>1.7852923967308025E-2</v>
      </c>
      <c r="AN49" s="283">
        <f>Splines!X39</f>
        <v>2.0560583149380166E-3</v>
      </c>
      <c r="AO49" s="283">
        <f t="shared" si="25"/>
        <v>1.9908982282246041E-2</v>
      </c>
      <c r="AP49" s="284">
        <f t="shared" si="41"/>
        <v>1.6753004662824145E-2</v>
      </c>
      <c r="AQ49" s="284">
        <f t="shared" si="64"/>
        <v>3.9095139297868464E-3</v>
      </c>
      <c r="AR49" s="291">
        <f t="shared" si="65"/>
        <v>2.0662518592610993E-2</v>
      </c>
      <c r="AS49" s="284">
        <f t="shared" si="42"/>
        <v>2.0244562348088468E-2</v>
      </c>
      <c r="AT49" s="289"/>
      <c r="AU49" s="283" t="s">
        <v>364</v>
      </c>
      <c r="AV49" s="283">
        <f t="shared" si="8"/>
        <v>9.7525600244700826E-3</v>
      </c>
      <c r="AW49" s="284">
        <f>Splines!AC39</f>
        <v>-5.127354603699682E-3</v>
      </c>
      <c r="AX49" s="284">
        <f t="shared" si="27"/>
        <v>4.6252054207704006E-3</v>
      </c>
      <c r="AY49" s="284">
        <f t="shared" si="43"/>
        <v>1.5965084504943272E-2</v>
      </c>
      <c r="AZ49" s="284">
        <f t="shared" si="66"/>
        <v>4.9300021696973531E-4</v>
      </c>
      <c r="BA49" s="291">
        <f t="shared" si="67"/>
        <v>1.6458084721913006E-2</v>
      </c>
      <c r="BB49" s="284">
        <f t="shared" si="44"/>
        <v>4.6671023647100185E-3</v>
      </c>
      <c r="BC49" s="288"/>
      <c r="BD49" s="283" t="s">
        <v>364</v>
      </c>
      <c r="BE49" s="283">
        <f t="shared" si="9"/>
        <v>2.2950129839580752E-2</v>
      </c>
      <c r="BF49" s="284">
        <f>Splines!AH39</f>
        <v>-3.0562606827879038E-3</v>
      </c>
      <c r="BG49" s="284">
        <f t="shared" si="29"/>
        <v>1.9893869156792848E-2</v>
      </c>
      <c r="BH49" s="284">
        <f t="shared" si="45"/>
        <v>2.4783586588436268E-2</v>
      </c>
      <c r="BI49" s="284">
        <f t="shared" si="68"/>
        <v>8.8986568145704478E-5</v>
      </c>
      <c r="BJ49" s="291">
        <f t="shared" si="69"/>
        <v>2.4872573156581972E-2</v>
      </c>
      <c r="BK49" s="284">
        <f t="shared" si="46"/>
        <v>1.990147353734617E-2</v>
      </c>
      <c r="BL49" s="288"/>
      <c r="BM49" s="283" t="s">
        <v>364</v>
      </c>
      <c r="BN49" s="283">
        <f t="shared" si="10"/>
        <v>1.6741134536448991E-2</v>
      </c>
      <c r="BO49" s="284">
        <f>Splines!AM39</f>
        <v>7.5790030471806344E-3</v>
      </c>
      <c r="BP49" s="284">
        <f t="shared" si="31"/>
        <v>2.4320137583629626E-2</v>
      </c>
      <c r="BQ49" s="284">
        <f t="shared" si="47"/>
        <v>2.6353366441951298E-2</v>
      </c>
      <c r="BR49" s="284">
        <f t="shared" si="70"/>
        <v>1.6249080342017087E-3</v>
      </c>
      <c r="BS49" s="291">
        <f t="shared" si="71"/>
        <v>2.7978274476153007E-2</v>
      </c>
      <c r="BT49" s="284">
        <f t="shared" si="48"/>
        <v>2.4458918390567241E-2</v>
      </c>
      <c r="BU49" s="288"/>
      <c r="BV49" s="659" t="s">
        <v>364</v>
      </c>
      <c r="BW49" s="659">
        <f t="shared" si="11"/>
        <v>3.1877058947066259E-2</v>
      </c>
      <c r="BX49" s="284">
        <f>Splines!AR39</f>
        <v>-1.3133015893091297E-3</v>
      </c>
      <c r="BY49" s="284">
        <f t="shared" si="33"/>
        <v>3.056375735775713E-2</v>
      </c>
      <c r="BZ49" s="284">
        <f t="shared" si="49"/>
        <v>4.4685622967127747E-2</v>
      </c>
      <c r="CA49" s="284">
        <f t="shared" si="72"/>
        <v>-5.4606870432950003E-4</v>
      </c>
      <c r="CB49" s="291">
        <f t="shared" si="34"/>
        <v>4.4685622967127747E-2</v>
      </c>
      <c r="CC49" s="284">
        <f t="shared" si="50"/>
        <v>3.0563757357757071E-2</v>
      </c>
      <c r="CD49" s="288"/>
      <c r="CE49" s="284" t="str">
        <f t="shared" si="1"/>
        <v>35 Year</v>
      </c>
      <c r="CF49" s="284">
        <f t="shared" si="2"/>
        <v>2.2950129839580752E-2</v>
      </c>
      <c r="CG49" s="284">
        <f t="shared" si="16"/>
        <v>-3.0562606827879038E-3</v>
      </c>
      <c r="CH49" s="284">
        <f t="shared" si="17"/>
        <v>1.9893869156792848E-2</v>
      </c>
      <c r="CI49" s="284">
        <f t="shared" si="18"/>
        <v>2.4783586588436268E-2</v>
      </c>
      <c r="CJ49" s="284">
        <f t="shared" si="12"/>
        <v>8.8986568145704478E-5</v>
      </c>
      <c r="CK49" s="284">
        <f>BJ49+MIN('Instructions &amp; Dashboard'!$D$43,'Instructions &amp; Dashboard'!$D$44)/10000</f>
        <v>2.6872573156581973E-2</v>
      </c>
      <c r="CL49" s="284">
        <f t="shared" si="51"/>
        <v>2.2183211639204448E-2</v>
      </c>
    </row>
    <row r="50" spans="1:90">
      <c r="A50" s="283">
        <f t="shared" si="52"/>
        <v>36</v>
      </c>
      <c r="B50" s="283" t="s">
        <v>365</v>
      </c>
      <c r="C50" s="283">
        <f t="shared" si="14"/>
        <v>2.9358982656684657E-2</v>
      </c>
      <c r="D50" s="284">
        <f>Splines!D40</f>
        <v>-6.5531174232643452E-3</v>
      </c>
      <c r="E50" s="506">
        <f t="shared" si="15"/>
        <v>2.2805865233420312E-2</v>
      </c>
      <c r="F50" s="507">
        <f t="shared" si="54"/>
        <v>3.2884107663039952E-2</v>
      </c>
      <c r="G50" s="284">
        <f t="shared" si="73"/>
        <v>-7.3072807661174889E-4</v>
      </c>
      <c r="H50" s="284">
        <f t="shared" si="57"/>
        <v>3.21533795864282E-2</v>
      </c>
      <c r="I50" s="284">
        <f t="shared" si="53"/>
        <v>2.2735273903067288E-2</v>
      </c>
      <c r="J50" s="285"/>
      <c r="K50" s="283" t="s">
        <v>365</v>
      </c>
      <c r="L50" s="283">
        <f t="shared" si="56"/>
        <v>3.6246073505810904E-3</v>
      </c>
      <c r="M50" s="284">
        <f>Splines!I40</f>
        <v>2.0063096859557262E-3</v>
      </c>
      <c r="N50" s="283">
        <f t="shared" si="4"/>
        <v>5.6309170365368161E-3</v>
      </c>
      <c r="O50" s="284">
        <f t="shared" si="35"/>
        <v>1.8666535568021558E-3</v>
      </c>
      <c r="P50" s="284">
        <f t="shared" si="58"/>
        <v>6.6839002389550584E-3</v>
      </c>
      <c r="Q50" s="291">
        <f t="shared" si="59"/>
        <v>8.5505537957572143E-3</v>
      </c>
      <c r="R50" s="284">
        <f t="shared" si="36"/>
        <v>6.281389473467236E-3</v>
      </c>
      <c r="S50" s="287"/>
      <c r="T50" s="283" t="s">
        <v>365</v>
      </c>
      <c r="U50" s="283">
        <f t="shared" si="5"/>
        <v>1.5226627569960814E-2</v>
      </c>
      <c r="V50" s="284">
        <f>Splines!N40</f>
        <v>-4.4385722110852283E-3</v>
      </c>
      <c r="W50" s="284">
        <f t="shared" si="21"/>
        <v>1.0788055358875587E-2</v>
      </c>
      <c r="X50" s="284">
        <f t="shared" si="37"/>
        <v>1.1120579601264335E-2</v>
      </c>
      <c r="Y50" s="284">
        <f t="shared" si="60"/>
        <v>7.8049735200992941E-3</v>
      </c>
      <c r="Z50" s="291">
        <f t="shared" si="61"/>
        <v>1.8925553121363629E-2</v>
      </c>
      <c r="AA50" s="284">
        <f t="shared" si="38"/>
        <v>1.1545157175860243E-2</v>
      </c>
      <c r="AB50" s="288"/>
      <c r="AC50" s="283" t="s">
        <v>365</v>
      </c>
      <c r="AD50" s="283">
        <f t="shared" si="6"/>
        <v>3.7749064951052291E-4</v>
      </c>
      <c r="AE50" s="284">
        <f>Splines!S40</f>
        <v>5.7771229962560696E-4</v>
      </c>
      <c r="AF50" s="284">
        <f t="shared" si="23"/>
        <v>9.5520294913612987E-4</v>
      </c>
      <c r="AG50" s="284">
        <f t="shared" si="39"/>
        <v>-5.0845184782911668E-3</v>
      </c>
      <c r="AH50" s="284">
        <f t="shared" si="62"/>
        <v>1.4050146473996446E-2</v>
      </c>
      <c r="AI50" s="291">
        <f t="shared" si="63"/>
        <v>8.965627995705279E-3</v>
      </c>
      <c r="AJ50" s="284">
        <f t="shared" si="40"/>
        <v>2.320985442852086E-3</v>
      </c>
      <c r="AK50" s="288"/>
      <c r="AL50" s="283" t="s">
        <v>365</v>
      </c>
      <c r="AM50" s="283">
        <f t="shared" si="7"/>
        <v>1.7922428658979361E-2</v>
      </c>
      <c r="AN50" s="283">
        <f>Splines!X40</f>
        <v>1.8900970174562826E-3</v>
      </c>
      <c r="AO50" s="283">
        <f t="shared" si="25"/>
        <v>1.9812525676435645E-2</v>
      </c>
      <c r="AP50" s="284">
        <f t="shared" si="41"/>
        <v>1.6442285342978646E-2</v>
      </c>
      <c r="AQ50" s="284">
        <f t="shared" si="64"/>
        <v>4.6914167157442168E-3</v>
      </c>
      <c r="AR50" s="291">
        <f t="shared" si="65"/>
        <v>2.1133702058722864E-2</v>
      </c>
      <c r="AS50" s="284">
        <f t="shared" si="42"/>
        <v>2.0269250216072399E-2</v>
      </c>
      <c r="AT50" s="289"/>
      <c r="AU50" s="283" t="s">
        <v>365</v>
      </c>
      <c r="AV50" s="283">
        <f t="shared" si="8"/>
        <v>1.0175819322860479E-2</v>
      </c>
      <c r="AW50" s="284">
        <f>Splines!AC40</f>
        <v>-5.177559004854288E-3</v>
      </c>
      <c r="AX50" s="284">
        <f t="shared" si="27"/>
        <v>4.9982603180061909E-3</v>
      </c>
      <c r="AY50" s="284">
        <f t="shared" si="43"/>
        <v>1.8142823553491061E-2</v>
      </c>
      <c r="AZ50" s="284">
        <f t="shared" si="66"/>
        <v>5.9160026036368251E-4</v>
      </c>
      <c r="BA50" s="291">
        <f t="shared" si="67"/>
        <v>1.8734423813854744E-2</v>
      </c>
      <c r="BB50" s="284">
        <f t="shared" si="44"/>
        <v>5.0552258181890686E-3</v>
      </c>
      <c r="BC50" s="288"/>
      <c r="BD50" s="283" t="s">
        <v>365</v>
      </c>
      <c r="BE50" s="283">
        <f t="shared" si="9"/>
        <v>2.3226029243798157E-2</v>
      </c>
      <c r="BF50" s="284">
        <f>Splines!AH40</f>
        <v>-3.1575469442543256E-3</v>
      </c>
      <c r="BG50" s="284">
        <f t="shared" si="29"/>
        <v>2.0068482299543833E-2</v>
      </c>
      <c r="BH50" s="284">
        <f t="shared" si="45"/>
        <v>2.6198812755586776E-2</v>
      </c>
      <c r="BI50" s="284">
        <f t="shared" si="68"/>
        <v>1.0678388177484538E-4</v>
      </c>
      <c r="BJ50" s="291">
        <f t="shared" si="69"/>
        <v>2.6305596637361622E-2</v>
      </c>
      <c r="BK50" s="284">
        <f t="shared" si="46"/>
        <v>2.0078825083805096E-2</v>
      </c>
      <c r="BL50" s="288"/>
      <c r="BM50" s="283" t="s">
        <v>365</v>
      </c>
      <c r="BN50" s="283">
        <f t="shared" si="10"/>
        <v>1.7018547157156866E-2</v>
      </c>
      <c r="BO50" s="284">
        <f>Splines!AM40</f>
        <v>7.3328893834029973E-3</v>
      </c>
      <c r="BP50" s="284">
        <f t="shared" si="31"/>
        <v>2.4351436540559865E-2</v>
      </c>
      <c r="BQ50" s="284">
        <f t="shared" si="47"/>
        <v>2.5447502752244722E-2</v>
      </c>
      <c r="BR50" s="284">
        <f t="shared" si="70"/>
        <v>1.9498896410420506E-3</v>
      </c>
      <c r="BS50" s="291">
        <f t="shared" si="71"/>
        <v>2.7397392393286771E-2</v>
      </c>
      <c r="BT50" s="284">
        <f t="shared" si="48"/>
        <v>2.4540429072104297E-2</v>
      </c>
      <c r="BU50" s="288"/>
      <c r="BV50" s="659" t="s">
        <v>365</v>
      </c>
      <c r="BW50" s="659">
        <f t="shared" si="11"/>
        <v>3.2329489354240279E-2</v>
      </c>
      <c r="BX50" s="284">
        <f>Splines!AR40</f>
        <v>-1.3643789064453711E-3</v>
      </c>
      <c r="BY50" s="284">
        <f t="shared" si="33"/>
        <v>3.0965110447794909E-2</v>
      </c>
      <c r="BZ50" s="284">
        <f t="shared" si="49"/>
        <v>4.5111378031599703E-2</v>
      </c>
      <c r="CA50" s="284">
        <f t="shared" si="72"/>
        <v>-6.5528244519540016E-4</v>
      </c>
      <c r="CB50" s="291">
        <f t="shared" si="34"/>
        <v>4.5111378031599703E-2</v>
      </c>
      <c r="CC50" s="284">
        <f t="shared" si="50"/>
        <v>3.0965110447794819E-2</v>
      </c>
      <c r="CD50" s="288"/>
      <c r="CE50" s="284" t="str">
        <f t="shared" si="1"/>
        <v>36 Year</v>
      </c>
      <c r="CF50" s="284">
        <f t="shared" si="2"/>
        <v>2.3226029243798157E-2</v>
      </c>
      <c r="CG50" s="284">
        <f t="shared" si="16"/>
        <v>-3.1575469442543256E-3</v>
      </c>
      <c r="CH50" s="284">
        <f t="shared" si="17"/>
        <v>2.0068482299543833E-2</v>
      </c>
      <c r="CI50" s="284">
        <f t="shared" si="18"/>
        <v>2.6198812755586776E-2</v>
      </c>
      <c r="CJ50" s="284">
        <f t="shared" si="12"/>
        <v>1.0678388177484538E-4</v>
      </c>
      <c r="CK50" s="284">
        <f>BJ50+MIN('Instructions &amp; Dashboard'!$D$43,'Instructions &amp; Dashboard'!$D$44)/10000</f>
        <v>2.8305596637361624E-2</v>
      </c>
      <c r="CL50" s="284">
        <f t="shared" si="51"/>
        <v>2.2352784670211845E-2</v>
      </c>
    </row>
    <row r="51" spans="1:90">
      <c r="A51" s="283">
        <f t="shared" si="52"/>
        <v>37</v>
      </c>
      <c r="B51" s="283" t="s">
        <v>366</v>
      </c>
      <c r="C51" s="283">
        <f t="shared" si="14"/>
        <v>2.9619487479675799E-2</v>
      </c>
      <c r="D51" s="284">
        <f>Splines!D41</f>
        <v>-6.4893242861265759E-3</v>
      </c>
      <c r="E51" s="506">
        <f t="shared" si="15"/>
        <v>2.3130163193549224E-2</v>
      </c>
      <c r="F51" s="507">
        <f t="shared" si="54"/>
        <v>3.4873624660065161E-2</v>
      </c>
      <c r="G51" s="284">
        <f t="shared" si="73"/>
        <v>-8.5251608938037365E-4</v>
      </c>
      <c r="H51" s="284">
        <f t="shared" si="57"/>
        <v>3.4021108570684785E-2</v>
      </c>
      <c r="I51" s="284">
        <f t="shared" si="53"/>
        <v>2.3038670779123471E-2</v>
      </c>
      <c r="J51" s="285"/>
      <c r="K51" s="283" t="s">
        <v>366</v>
      </c>
      <c r="L51" s="283">
        <f t="shared" si="56"/>
        <v>3.6886064835833926E-3</v>
      </c>
      <c r="M51" s="284">
        <f>Splines!I41</f>
        <v>1.8313921993694858E-3</v>
      </c>
      <c r="N51" s="283">
        <f t="shared" si="4"/>
        <v>5.5199986829528782E-3</v>
      </c>
      <c r="O51" s="284">
        <f t="shared" si="35"/>
        <v>1.5350753181515575E-3</v>
      </c>
      <c r="P51" s="284">
        <f t="shared" si="58"/>
        <v>7.7978836121142345E-3</v>
      </c>
      <c r="Q51" s="291">
        <f t="shared" si="59"/>
        <v>9.3329589302657921E-3</v>
      </c>
      <c r="R51" s="284">
        <f t="shared" si="36"/>
        <v>6.3637428922287409E-3</v>
      </c>
      <c r="S51" s="287"/>
      <c r="T51" s="283" t="s">
        <v>366</v>
      </c>
      <c r="U51" s="283">
        <f t="shared" si="5"/>
        <v>1.5152522395579342E-2</v>
      </c>
      <c r="V51" s="284">
        <f>Splines!N41</f>
        <v>-4.3475105335264597E-3</v>
      </c>
      <c r="W51" s="284">
        <f t="shared" si="21"/>
        <v>1.0805011862052882E-2</v>
      </c>
      <c r="X51" s="284">
        <f t="shared" si="37"/>
        <v>1.1415635460077622E-2</v>
      </c>
      <c r="Y51" s="284">
        <f t="shared" si="60"/>
        <v>9.1058024401158427E-3</v>
      </c>
      <c r="Z51" s="291">
        <f t="shared" si="61"/>
        <v>2.0521437900193465E-2</v>
      </c>
      <c r="AA51" s="284">
        <f t="shared" si="38"/>
        <v>1.1786718116292949E-2</v>
      </c>
      <c r="AB51" s="288"/>
      <c r="AC51" s="283" t="s">
        <v>366</v>
      </c>
      <c r="AD51" s="283">
        <f t="shared" si="6"/>
        <v>2.5119960203471431E-4</v>
      </c>
      <c r="AE51" s="284">
        <f>Splines!S41</f>
        <v>5.0959621373719587E-4</v>
      </c>
      <c r="AF51" s="284">
        <f t="shared" si="23"/>
        <v>7.6079581577191018E-4</v>
      </c>
      <c r="AG51" s="284">
        <f t="shared" si="39"/>
        <v>-6.2127709996235847E-3</v>
      </c>
      <c r="AH51" s="284">
        <f t="shared" si="62"/>
        <v>1.6391837552995853E-2</v>
      </c>
      <c r="AI51" s="291">
        <f t="shared" si="63"/>
        <v>1.0179066553372269E-2</v>
      </c>
      <c r="AJ51" s="284">
        <f t="shared" si="40"/>
        <v>2.5325601465688852E-3</v>
      </c>
      <c r="AK51" s="288"/>
      <c r="AL51" s="283" t="s">
        <v>366</v>
      </c>
      <c r="AM51" s="283">
        <f t="shared" si="7"/>
        <v>1.7989865506432227E-2</v>
      </c>
      <c r="AN51" s="283">
        <f>Splines!X41</f>
        <v>1.7233527241070977E-3</v>
      </c>
      <c r="AO51" s="283">
        <f t="shared" si="25"/>
        <v>1.9713218230539325E-2</v>
      </c>
      <c r="AP51" s="284">
        <f t="shared" si="41"/>
        <v>1.6144583336711538E-2</v>
      </c>
      <c r="AQ51" s="284">
        <f t="shared" si="64"/>
        <v>5.4733195017015856E-3</v>
      </c>
      <c r="AR51" s="291">
        <f t="shared" si="65"/>
        <v>2.1617902838413125E-2</v>
      </c>
      <c r="AS51" s="284">
        <f t="shared" si="42"/>
        <v>2.0305676867473199E-2</v>
      </c>
      <c r="AT51" s="289"/>
      <c r="AU51" s="283" t="s">
        <v>366</v>
      </c>
      <c r="AV51" s="283">
        <f t="shared" si="8"/>
        <v>1.0593398089765695E-2</v>
      </c>
      <c r="AW51" s="284">
        <f>Splines!AC41</f>
        <v>-5.1840761864234671E-3</v>
      </c>
      <c r="AX51" s="284">
        <f t="shared" si="27"/>
        <v>5.4093219033422282E-3</v>
      </c>
      <c r="AY51" s="284">
        <f t="shared" si="43"/>
        <v>2.0320050591255079E-2</v>
      </c>
      <c r="AZ51" s="284">
        <f t="shared" si="66"/>
        <v>6.9020030375762959E-4</v>
      </c>
      <c r="BA51" s="291">
        <f t="shared" si="67"/>
        <v>2.1010250895012707E-2</v>
      </c>
      <c r="BB51" s="284">
        <f t="shared" si="44"/>
        <v>5.4831468460763144E-3</v>
      </c>
      <c r="BC51" s="288"/>
      <c r="BD51" s="283" t="s">
        <v>366</v>
      </c>
      <c r="BE51" s="283">
        <f t="shared" si="9"/>
        <v>2.3497201783470381E-2</v>
      </c>
      <c r="BF51" s="284">
        <f>Splines!AH41</f>
        <v>-3.2252161814203028E-3</v>
      </c>
      <c r="BG51" s="284">
        <f t="shared" si="29"/>
        <v>2.0271985602050079E-2</v>
      </c>
      <c r="BH51" s="284">
        <f t="shared" si="45"/>
        <v>2.7625206357390741E-2</v>
      </c>
      <c r="BI51" s="284">
        <f t="shared" si="68"/>
        <v>1.2458119540398628E-4</v>
      </c>
      <c r="BJ51" s="291">
        <f t="shared" si="69"/>
        <v>2.7749787552794728E-2</v>
      </c>
      <c r="BK51" s="284">
        <f t="shared" si="46"/>
        <v>2.028539365985238E-2</v>
      </c>
      <c r="BL51" s="288"/>
      <c r="BM51" s="283" t="s">
        <v>366</v>
      </c>
      <c r="BN51" s="283">
        <f t="shared" si="10"/>
        <v>1.7305575779462484E-2</v>
      </c>
      <c r="BO51" s="284">
        <f>Splines!AM41</f>
        <v>7.0504267161731219E-3</v>
      </c>
      <c r="BP51" s="284">
        <f t="shared" si="31"/>
        <v>2.4356002495635607E-2</v>
      </c>
      <c r="BQ51" s="284">
        <f t="shared" si="47"/>
        <v>2.4520390433718786E-2</v>
      </c>
      <c r="BR51" s="284">
        <f t="shared" si="70"/>
        <v>2.2748712478823921E-3</v>
      </c>
      <c r="BS51" s="291">
        <f t="shared" si="71"/>
        <v>2.6795261681601179E-2</v>
      </c>
      <c r="BT51" s="284">
        <f t="shared" si="48"/>
        <v>2.4601305340062662E-2</v>
      </c>
      <c r="BU51" s="288"/>
      <c r="BV51" s="659" t="s">
        <v>366</v>
      </c>
      <c r="BW51" s="659">
        <f t="shared" si="11"/>
        <v>3.2760117052231266E-2</v>
      </c>
      <c r="BX51" s="284">
        <f>Splines!AR41</f>
        <v>-1.4047953939923482E-3</v>
      </c>
      <c r="BY51" s="284">
        <f t="shared" si="33"/>
        <v>3.135532165823892E-2</v>
      </c>
      <c r="BZ51" s="284">
        <f t="shared" si="49"/>
        <v>4.5501723519889348E-2</v>
      </c>
      <c r="CA51" s="284">
        <f t="shared" si="72"/>
        <v>-7.6449618606130008E-4</v>
      </c>
      <c r="CB51" s="291">
        <f t="shared" si="34"/>
        <v>4.5501723519889348E-2</v>
      </c>
      <c r="CC51" s="284">
        <f t="shared" si="50"/>
        <v>3.1355321658238955E-2</v>
      </c>
      <c r="CD51" s="288"/>
      <c r="CE51" s="284" t="str">
        <f t="shared" si="1"/>
        <v>37 Year</v>
      </c>
      <c r="CF51" s="284">
        <f t="shared" si="2"/>
        <v>2.3497201783470381E-2</v>
      </c>
      <c r="CG51" s="284">
        <f t="shared" si="16"/>
        <v>-3.2252161814203028E-3</v>
      </c>
      <c r="CH51" s="284">
        <f t="shared" si="17"/>
        <v>2.0271985602050079E-2</v>
      </c>
      <c r="CI51" s="284">
        <f t="shared" si="18"/>
        <v>2.7625206357390741E-2</v>
      </c>
      <c r="CJ51" s="284">
        <f t="shared" si="12"/>
        <v>1.2458119540398628E-4</v>
      </c>
      <c r="CK51" s="284">
        <f>BJ51+MIN('Instructions &amp; Dashboard'!$D$43,'Instructions &amp; Dashboard'!$D$44)/10000</f>
        <v>2.9749787552794726E-2</v>
      </c>
      <c r="CL51" s="284">
        <f t="shared" si="51"/>
        <v>2.2552003309995516E-2</v>
      </c>
    </row>
    <row r="52" spans="1:90">
      <c r="A52" s="283">
        <f t="shared" si="52"/>
        <v>38</v>
      </c>
      <c r="B52" s="283" t="s">
        <v>367</v>
      </c>
      <c r="C52" s="283">
        <f t="shared" si="14"/>
        <v>2.9872336304373942E-2</v>
      </c>
      <c r="D52" s="284">
        <f>Splines!D42</f>
        <v>-6.3836405631451021E-3</v>
      </c>
      <c r="E52" s="506">
        <f t="shared" si="15"/>
        <v>2.3488695741228839E-2</v>
      </c>
      <c r="F52" s="507">
        <f t="shared" si="54"/>
        <v>3.6843097148993253E-2</v>
      </c>
      <c r="G52" s="284">
        <f t="shared" si="73"/>
        <v>-9.7430410214899841E-4</v>
      </c>
      <c r="H52" s="284">
        <f t="shared" si="57"/>
        <v>3.5868793046844254E-2</v>
      </c>
      <c r="I52" s="284">
        <f t="shared" si="53"/>
        <v>2.3374260971228855E-2</v>
      </c>
      <c r="J52" s="285"/>
      <c r="K52" s="283" t="s">
        <v>367</v>
      </c>
      <c r="L52" s="283">
        <f t="shared" si="56"/>
        <v>3.7507434911464334E-3</v>
      </c>
      <c r="M52" s="284">
        <f>Splines!I42</f>
        <v>1.6564985971877918E-3</v>
      </c>
      <c r="N52" s="283">
        <f t="shared" si="4"/>
        <v>5.407242088334225E-3</v>
      </c>
      <c r="O52" s="284">
        <f t="shared" si="35"/>
        <v>1.2441250479184873E-3</v>
      </c>
      <c r="P52" s="284">
        <f t="shared" si="58"/>
        <v>8.9118669852734107E-3</v>
      </c>
      <c r="Q52" s="291">
        <f t="shared" si="59"/>
        <v>1.0155992033191898E-2</v>
      </c>
      <c r="R52" s="284">
        <f t="shared" si="36"/>
        <v>6.4633562938665179E-3</v>
      </c>
      <c r="S52" s="287"/>
      <c r="T52" s="283" t="s">
        <v>367</v>
      </c>
      <c r="U52" s="283">
        <f t="shared" si="5"/>
        <v>1.5067522472762464E-2</v>
      </c>
      <c r="V52" s="284">
        <f>Splines!N42</f>
        <v>-4.238847286462775E-3</v>
      </c>
      <c r="W52" s="284">
        <f t="shared" si="21"/>
        <v>1.082867518629969E-2</v>
      </c>
      <c r="X52" s="284">
        <f t="shared" si="37"/>
        <v>1.1704607731861216E-2</v>
      </c>
      <c r="Y52" s="284">
        <f t="shared" si="60"/>
        <v>1.0406631360132392E-2</v>
      </c>
      <c r="Z52" s="291">
        <f t="shared" si="61"/>
        <v>2.2111239091993608E-2</v>
      </c>
      <c r="AA52" s="284">
        <f t="shared" si="38"/>
        <v>1.2057075273503859E-2</v>
      </c>
      <c r="AB52" s="288"/>
      <c r="AC52" s="283" t="s">
        <v>367</v>
      </c>
      <c r="AD52" s="283">
        <f t="shared" si="6"/>
        <v>1.0871751466329238E-4</v>
      </c>
      <c r="AE52" s="284">
        <f>Splines!S42</f>
        <v>4.3766288334766261E-4</v>
      </c>
      <c r="AF52" s="284">
        <f t="shared" si="23"/>
        <v>5.4638039801095499E-4</v>
      </c>
      <c r="AG52" s="284">
        <f t="shared" si="39"/>
        <v>-7.3547778035517597E-3</v>
      </c>
      <c r="AH52" s="284">
        <f t="shared" si="62"/>
        <v>1.8733528631995258E-2</v>
      </c>
      <c r="AI52" s="291">
        <f t="shared" si="63"/>
        <v>1.1378750828443498E-2</v>
      </c>
      <c r="AJ52" s="284">
        <f t="shared" si="40"/>
        <v>2.7643603628644264E-3</v>
      </c>
      <c r="AK52" s="288"/>
      <c r="AL52" s="283" t="s">
        <v>367</v>
      </c>
      <c r="AM52" s="283">
        <f t="shared" si="7"/>
        <v>1.8055290619797763E-2</v>
      </c>
      <c r="AN52" s="283">
        <f>Splines!X42</f>
        <v>1.5564027112348572E-3</v>
      </c>
      <c r="AO52" s="283">
        <f t="shared" si="25"/>
        <v>1.9611693331032621E-2</v>
      </c>
      <c r="AP52" s="284">
        <f t="shared" si="41"/>
        <v>1.5862369521203457E-2</v>
      </c>
      <c r="AQ52" s="284">
        <f t="shared" si="64"/>
        <v>6.2552222876589552E-3</v>
      </c>
      <c r="AR52" s="291">
        <f t="shared" si="65"/>
        <v>2.2117591808862413E-2</v>
      </c>
      <c r="AS52" s="284">
        <f t="shared" si="42"/>
        <v>2.0353317663741599E-2</v>
      </c>
      <c r="AT52" s="289"/>
      <c r="AU52" s="283" t="s">
        <v>367</v>
      </c>
      <c r="AV52" s="283">
        <f t="shared" si="8"/>
        <v>1.1005227280289095E-2</v>
      </c>
      <c r="AW52" s="284">
        <f>Splines!AC42</f>
        <v>-5.150264023406733E-3</v>
      </c>
      <c r="AX52" s="284">
        <f t="shared" si="27"/>
        <v>5.8549632568823621E-3</v>
      </c>
      <c r="AY52" s="284">
        <f t="shared" si="43"/>
        <v>2.2483296798148977E-2</v>
      </c>
      <c r="AZ52" s="284">
        <f t="shared" si="66"/>
        <v>7.8880034715157657E-4</v>
      </c>
      <c r="BA52" s="291">
        <f t="shared" si="67"/>
        <v>2.3272097145300555E-2</v>
      </c>
      <c r="BB52" s="284">
        <f t="shared" si="44"/>
        <v>5.9472913481302125E-3</v>
      </c>
      <c r="BC52" s="288"/>
      <c r="BD52" s="283" t="s">
        <v>367</v>
      </c>
      <c r="BE52" s="283">
        <f t="shared" si="9"/>
        <v>2.3763768481374778E-2</v>
      </c>
      <c r="BF52" s="284">
        <f>Splines!AH42</f>
        <v>-3.2616579203881019E-3</v>
      </c>
      <c r="BG52" s="284">
        <f t="shared" si="29"/>
        <v>2.0502110560986678E-2</v>
      </c>
      <c r="BH52" s="284">
        <f t="shared" si="45"/>
        <v>2.9053322407660787E-2</v>
      </c>
      <c r="BI52" s="284">
        <f t="shared" si="68"/>
        <v>1.4237850903312717E-4</v>
      </c>
      <c r="BJ52" s="291">
        <f t="shared" si="69"/>
        <v>2.9195700916693913E-2</v>
      </c>
      <c r="BK52" s="284">
        <f t="shared" si="46"/>
        <v>2.0518884182566088E-2</v>
      </c>
      <c r="BL52" s="288"/>
      <c r="BM52" s="283" t="s">
        <v>367</v>
      </c>
      <c r="BN52" s="283">
        <f t="shared" si="10"/>
        <v>1.76004280413199E-2</v>
      </c>
      <c r="BO52" s="284">
        <f>Splines!AM42</f>
        <v>6.7353018273705965E-3</v>
      </c>
      <c r="BP52" s="284">
        <f t="shared" si="31"/>
        <v>2.4335729868690495E-2</v>
      </c>
      <c r="BQ52" s="284">
        <f t="shared" si="47"/>
        <v>2.3585924653694468E-2</v>
      </c>
      <c r="BR52" s="284">
        <f t="shared" si="70"/>
        <v>2.5998528547227341E-3</v>
      </c>
      <c r="BS52" s="291">
        <f t="shared" si="71"/>
        <v>2.6185777508417201E-2</v>
      </c>
      <c r="BT52" s="284">
        <f t="shared" si="48"/>
        <v>2.4642970615982085E-2</v>
      </c>
      <c r="BU52" s="288"/>
      <c r="BV52" s="659" t="s">
        <v>367</v>
      </c>
      <c r="BW52" s="659">
        <f t="shared" si="11"/>
        <v>3.3169637532954613E-2</v>
      </c>
      <c r="BX52" s="284">
        <f>Splines!AR42</f>
        <v>-1.4352500890033909E-3</v>
      </c>
      <c r="BY52" s="284">
        <f t="shared" si="33"/>
        <v>3.1734387443951219E-2</v>
      </c>
      <c r="BZ52" s="284">
        <f t="shared" si="49"/>
        <v>4.585819851568318E-2</v>
      </c>
      <c r="CA52" s="284">
        <f t="shared" si="72"/>
        <v>-8.7370992692720011E-4</v>
      </c>
      <c r="CB52" s="291">
        <f t="shared" si="34"/>
        <v>4.585819851568318E-2</v>
      </c>
      <c r="CC52" s="284">
        <f t="shared" si="50"/>
        <v>3.1734387443951295E-2</v>
      </c>
      <c r="CD52" s="288"/>
      <c r="CE52" s="284" t="str">
        <f t="shared" si="1"/>
        <v>38 Year</v>
      </c>
      <c r="CF52" s="284">
        <f t="shared" si="2"/>
        <v>2.3763768481374778E-2</v>
      </c>
      <c r="CG52" s="284">
        <f t="shared" si="16"/>
        <v>-3.2616579203881019E-3</v>
      </c>
      <c r="CH52" s="284">
        <f t="shared" si="17"/>
        <v>2.0502110560986678E-2</v>
      </c>
      <c r="CI52" s="284">
        <f t="shared" si="18"/>
        <v>2.9053322407660787E-2</v>
      </c>
      <c r="CJ52" s="284">
        <f t="shared" si="12"/>
        <v>1.4237850903312717E-4</v>
      </c>
      <c r="CK52" s="284">
        <f>BJ52+MIN('Instructions &amp; Dashboard'!$D$43,'Instructions &amp; Dashboard'!$D$44)/10000</f>
        <v>3.1195700916693915E-2</v>
      </c>
      <c r="CL52" s="284">
        <f t="shared" si="51"/>
        <v>2.277853811839492E-2</v>
      </c>
    </row>
    <row r="53" spans="1:90">
      <c r="A53" s="283">
        <f t="shared" si="52"/>
        <v>39</v>
      </c>
      <c r="B53" s="283" t="s">
        <v>368</v>
      </c>
      <c r="C53" s="283">
        <f t="shared" si="14"/>
        <v>3.0117701535267216E-2</v>
      </c>
      <c r="D53" s="284">
        <f>Splines!D43</f>
        <v>-6.239790449222681E-3</v>
      </c>
      <c r="E53" s="506">
        <f t="shared" si="15"/>
        <v>2.3877911086044534E-2</v>
      </c>
      <c r="F53" s="507">
        <f t="shared" si="54"/>
        <v>3.8778287230536446E-2</v>
      </c>
      <c r="G53" s="284">
        <f t="shared" si="73"/>
        <v>-1.0960921149176233E-3</v>
      </c>
      <c r="H53" s="284">
        <f t="shared" si="57"/>
        <v>3.7682195115618822E-2</v>
      </c>
      <c r="I53" s="284">
        <f t="shared" si="53"/>
        <v>2.3738654963271655E-2</v>
      </c>
      <c r="J53" s="285"/>
      <c r="K53" s="283" t="s">
        <v>368</v>
      </c>
      <c r="L53" s="283">
        <f t="shared" si="56"/>
        <v>3.811669114940925E-3</v>
      </c>
      <c r="M53" s="284">
        <f>Splines!I43</f>
        <v>1.4822138206374463E-3</v>
      </c>
      <c r="N53" s="283">
        <f t="shared" si="4"/>
        <v>5.2938829355783715E-3</v>
      </c>
      <c r="O53" s="284">
        <f t="shared" si="35"/>
        <v>9.9569283348222015E-4</v>
      </c>
      <c r="P53" s="284">
        <f t="shared" si="58"/>
        <v>1.0025850358432587E-2</v>
      </c>
      <c r="Q53" s="291">
        <f t="shared" si="59"/>
        <v>1.1021543191914807E-2</v>
      </c>
      <c r="R53" s="284">
        <f t="shared" si="36"/>
        <v>6.5799757711810791E-3</v>
      </c>
      <c r="S53" s="287"/>
      <c r="T53" s="283" t="s">
        <v>368</v>
      </c>
      <c r="U53" s="283">
        <f t="shared" si="5"/>
        <v>1.4972576518006622E-2</v>
      </c>
      <c r="V53" s="284">
        <f>Splines!N43</f>
        <v>-4.114363911035394E-3</v>
      </c>
      <c r="W53" s="284">
        <f t="shared" si="21"/>
        <v>1.0858212606971228E-2</v>
      </c>
      <c r="X53" s="284">
        <f t="shared" si="37"/>
        <v>1.1981274389667673E-2</v>
      </c>
      <c r="Y53" s="284">
        <f t="shared" si="60"/>
        <v>1.170746028014894E-2</v>
      </c>
      <c r="Z53" s="291">
        <f t="shared" si="61"/>
        <v>2.3688734669816615E-2</v>
      </c>
      <c r="AA53" s="284">
        <f t="shared" si="38"/>
        <v>1.235366552737216E-2</v>
      </c>
      <c r="AB53" s="288"/>
      <c r="AC53" s="283" t="s">
        <v>368</v>
      </c>
      <c r="AD53" s="283">
        <f t="shared" si="6"/>
        <v>-4.9229394321240183E-5</v>
      </c>
      <c r="AE53" s="284">
        <f>Splines!S43</f>
        <v>3.6246096126595659E-4</v>
      </c>
      <c r="AF53" s="284">
        <f t="shared" si="23"/>
        <v>3.132315669447164E-4</v>
      </c>
      <c r="AG53" s="284">
        <f t="shared" si="39"/>
        <v>-8.5062819070930162E-3</v>
      </c>
      <c r="AH53" s="284">
        <f t="shared" si="62"/>
        <v>2.1075219710994665E-2</v>
      </c>
      <c r="AI53" s="291">
        <f t="shared" si="63"/>
        <v>1.2568937803901649E-2</v>
      </c>
      <c r="AJ53" s="284">
        <f t="shared" si="40"/>
        <v>3.0145699133095061E-3</v>
      </c>
      <c r="AK53" s="288"/>
      <c r="AL53" s="283" t="s">
        <v>368</v>
      </c>
      <c r="AM53" s="283">
        <f t="shared" si="7"/>
        <v>1.8118758912591963E-2</v>
      </c>
      <c r="AN53" s="283">
        <f>Splines!X43</f>
        <v>1.389824371630803E-3</v>
      </c>
      <c r="AO53" s="283">
        <f t="shared" si="25"/>
        <v>1.9508583284222766E-2</v>
      </c>
      <c r="AP53" s="284">
        <f t="shared" si="41"/>
        <v>1.5598118422970764E-2</v>
      </c>
      <c r="AQ53" s="284">
        <f t="shared" si="64"/>
        <v>7.037125073616324E-3</v>
      </c>
      <c r="AR53" s="291">
        <f t="shared" si="65"/>
        <v>2.2635243496587087E-2</v>
      </c>
      <c r="AS53" s="284">
        <f t="shared" si="42"/>
        <v>2.0411764926694165E-2</v>
      </c>
      <c r="AT53" s="289"/>
      <c r="AU53" s="283" t="s">
        <v>368</v>
      </c>
      <c r="AV53" s="283">
        <f t="shared" si="8"/>
        <v>1.1411253836712907E-2</v>
      </c>
      <c r="AW53" s="284">
        <f>Splines!AC43</f>
        <v>-5.0794809769179224E-3</v>
      </c>
      <c r="AX53" s="284">
        <f t="shared" si="27"/>
        <v>6.3317728597949846E-3</v>
      </c>
      <c r="AY53" s="284">
        <f t="shared" si="43"/>
        <v>2.46190049526962E-2</v>
      </c>
      <c r="AZ53" s="284">
        <f t="shared" si="66"/>
        <v>8.8740039054552365E-4</v>
      </c>
      <c r="BA53" s="291">
        <f t="shared" si="67"/>
        <v>2.5506405343241723E-2</v>
      </c>
      <c r="BB53" s="284">
        <f t="shared" si="44"/>
        <v>6.4441164256237027E-3</v>
      </c>
      <c r="BC53" s="288"/>
      <c r="BD53" s="283" t="s">
        <v>368</v>
      </c>
      <c r="BE53" s="283">
        <f t="shared" si="9"/>
        <v>2.4025843278339822E-2</v>
      </c>
      <c r="BF53" s="284">
        <f>Splines!AH43</f>
        <v>-3.2692621872363447E-3</v>
      </c>
      <c r="BG53" s="284">
        <f t="shared" si="29"/>
        <v>2.0756581091103475E-2</v>
      </c>
      <c r="BH53" s="284">
        <f t="shared" si="45"/>
        <v>3.0473625804582571E-2</v>
      </c>
      <c r="BI53" s="284">
        <f t="shared" si="68"/>
        <v>1.6017582266226806E-4</v>
      </c>
      <c r="BJ53" s="291">
        <f t="shared" si="69"/>
        <v>3.0633801627244838E-2</v>
      </c>
      <c r="BK53" s="284">
        <f t="shared" si="46"/>
        <v>2.0776996792834179E-2</v>
      </c>
      <c r="BL53" s="288"/>
      <c r="BM53" s="283" t="s">
        <v>368</v>
      </c>
      <c r="BN53" s="283">
        <f t="shared" si="10"/>
        <v>1.7901485272627235E-2</v>
      </c>
      <c r="BO53" s="284">
        <f>Splines!AM43</f>
        <v>6.3912007736017561E-3</v>
      </c>
      <c r="BP53" s="284">
        <f t="shared" si="31"/>
        <v>2.429268604622899E-2</v>
      </c>
      <c r="BQ53" s="284">
        <f t="shared" si="47"/>
        <v>2.2658360384540943E-2</v>
      </c>
      <c r="BR53" s="284">
        <f t="shared" si="70"/>
        <v>2.9248344615630758E-3</v>
      </c>
      <c r="BS53" s="291">
        <f t="shared" si="71"/>
        <v>2.558319484610402E-2</v>
      </c>
      <c r="BT53" s="284">
        <f t="shared" si="48"/>
        <v>2.4667068158661598E-2</v>
      </c>
      <c r="BU53" s="288"/>
      <c r="BV53" s="659" t="s">
        <v>368</v>
      </c>
      <c r="BW53" s="659">
        <f t="shared" si="11"/>
        <v>3.3558778970925698E-2</v>
      </c>
      <c r="BX53" s="284">
        <f>Splines!AR43</f>
        <v>-1.4564422030185421E-3</v>
      </c>
      <c r="BY53" s="284">
        <f t="shared" si="33"/>
        <v>3.2102336767907157E-2</v>
      </c>
      <c r="BZ53" s="284">
        <f t="shared" si="49"/>
        <v>4.6182075971178627E-2</v>
      </c>
      <c r="CA53" s="284">
        <f t="shared" si="72"/>
        <v>-9.8292366779310003E-4</v>
      </c>
      <c r="CB53" s="291">
        <f t="shared" si="34"/>
        <v>4.6182075971178627E-2</v>
      </c>
      <c r="CC53" s="284">
        <f t="shared" si="50"/>
        <v>3.2102336767907191E-2</v>
      </c>
      <c r="CD53" s="288"/>
      <c r="CE53" s="284" t="str">
        <f t="shared" si="1"/>
        <v>39 Year</v>
      </c>
      <c r="CF53" s="284">
        <f t="shared" si="2"/>
        <v>2.4025843278339822E-2</v>
      </c>
      <c r="CG53" s="284">
        <f t="shared" si="16"/>
        <v>-3.2692621872363447E-3</v>
      </c>
      <c r="CH53" s="284">
        <f t="shared" si="17"/>
        <v>2.0756581091103475E-2</v>
      </c>
      <c r="CI53" s="284">
        <f t="shared" si="18"/>
        <v>3.0473625804582571E-2</v>
      </c>
      <c r="CJ53" s="284">
        <f t="shared" si="12"/>
        <v>1.6017582266226806E-4</v>
      </c>
      <c r="CK53" s="284">
        <f>BJ53+MIN('Instructions &amp; Dashboard'!$D$43,'Instructions &amp; Dashboard'!$D$44)/10000</f>
        <v>3.2633801627244836E-2</v>
      </c>
      <c r="CL53" s="284">
        <f t="shared" si="51"/>
        <v>2.3030058393586739E-2</v>
      </c>
    </row>
    <row r="54" spans="1:90">
      <c r="A54" s="283">
        <f t="shared" si="52"/>
        <v>40</v>
      </c>
      <c r="B54" s="283" t="s">
        <v>369</v>
      </c>
      <c r="C54" s="283">
        <f t="shared" si="14"/>
        <v>3.0355762941171038E-2</v>
      </c>
      <c r="D54" s="284">
        <f>Splines!D44</f>
        <v>-6.0615003656141683E-3</v>
      </c>
      <c r="E54" s="506">
        <f t="shared" si="15"/>
        <v>2.429426257555687E-2</v>
      </c>
      <c r="F54" s="507">
        <f t="shared" si="54"/>
        <v>4.0664712034991224E-2</v>
      </c>
      <c r="G54" s="284">
        <f t="shared" si="73"/>
        <v>-1.217880127686248E-3</v>
      </c>
      <c r="H54" s="284">
        <f t="shared" si="57"/>
        <v>3.9446831907304976E-2</v>
      </c>
      <c r="I54" s="284">
        <f t="shared" si="53"/>
        <v>2.4128451230467585E-2</v>
      </c>
      <c r="J54" s="285"/>
      <c r="K54" s="283" t="s">
        <v>369</v>
      </c>
      <c r="L54" s="283">
        <f t="shared" si="56"/>
        <v>3.8719569059288347E-3</v>
      </c>
      <c r="M54" s="284">
        <f>Splines!I44</f>
        <v>1.3091236523839276E-3</v>
      </c>
      <c r="N54" s="283">
        <f t="shared" si="4"/>
        <v>5.1810805583127626E-3</v>
      </c>
      <c r="O54" s="284">
        <f t="shared" si="35"/>
        <v>7.9164657566299645E-4</v>
      </c>
      <c r="P54" s="284">
        <f t="shared" si="58"/>
        <v>1.1139833731591763E-2</v>
      </c>
      <c r="Q54" s="291">
        <f t="shared" si="59"/>
        <v>1.1931480307254759E-2</v>
      </c>
      <c r="R54" s="284">
        <f t="shared" si="36"/>
        <v>6.7134178421170976E-3</v>
      </c>
      <c r="S54" s="287"/>
      <c r="T54" s="283" t="s">
        <v>369</v>
      </c>
      <c r="U54" s="283">
        <f t="shared" si="5"/>
        <v>1.4868557757765116E-2</v>
      </c>
      <c r="V54" s="284">
        <f>Splines!N44</f>
        <v>-3.9758414180860258E-3</v>
      </c>
      <c r="W54" s="284">
        <f t="shared" si="21"/>
        <v>1.0892716339679091E-2</v>
      </c>
      <c r="X54" s="284">
        <f t="shared" si="37"/>
        <v>1.2239280933901364E-2</v>
      </c>
      <c r="Y54" s="284">
        <f t="shared" si="60"/>
        <v>1.3008289200165489E-2</v>
      </c>
      <c r="Z54" s="291">
        <f t="shared" si="61"/>
        <v>2.5247570134066852E-2</v>
      </c>
      <c r="AA54" s="284">
        <f t="shared" si="38"/>
        <v>1.2674028287281924E-2</v>
      </c>
      <c r="AB54" s="288"/>
      <c r="AC54" s="283" t="s">
        <v>369</v>
      </c>
      <c r="AD54" s="283">
        <f t="shared" si="6"/>
        <v>-2.2193708878127938E-4</v>
      </c>
      <c r="AE54" s="284">
        <f>Splines!S44</f>
        <v>2.8453933885885248E-4</v>
      </c>
      <c r="AF54" s="284">
        <f t="shared" si="23"/>
        <v>6.2602250077573105E-5</v>
      </c>
      <c r="AG54" s="284">
        <f t="shared" si="39"/>
        <v>-9.6631157941932111E-3</v>
      </c>
      <c r="AH54" s="284">
        <f t="shared" si="62"/>
        <v>2.3416910789994073E-2</v>
      </c>
      <c r="AI54" s="291">
        <f t="shared" si="63"/>
        <v>1.3753794995800862E-2</v>
      </c>
      <c r="AJ54" s="284">
        <f t="shared" si="40"/>
        <v>3.2816589687929554E-3</v>
      </c>
      <c r="AK54" s="288"/>
      <c r="AL54" s="283" t="s">
        <v>369</v>
      </c>
      <c r="AM54" s="283">
        <f t="shared" si="7"/>
        <v>1.8180324124172333E-2</v>
      </c>
      <c r="AN54" s="283">
        <f>Splines!X44</f>
        <v>1.2241950044224077E-3</v>
      </c>
      <c r="AO54" s="283">
        <f t="shared" si="25"/>
        <v>1.9404519128594741E-2</v>
      </c>
      <c r="AP54" s="284">
        <f t="shared" si="41"/>
        <v>1.5354291615176319E-2</v>
      </c>
      <c r="AQ54" s="284">
        <f t="shared" si="64"/>
        <v>7.8190278595736927E-3</v>
      </c>
      <c r="AR54" s="291">
        <f t="shared" si="65"/>
        <v>2.3173319474750011E-2</v>
      </c>
      <c r="AS54" s="284">
        <f t="shared" si="42"/>
        <v>2.0480712867443795E-2</v>
      </c>
      <c r="AT54" s="289"/>
      <c r="AU54" s="283" t="s">
        <v>369</v>
      </c>
      <c r="AV54" s="283">
        <f t="shared" si="8"/>
        <v>1.1811438937733889E-2</v>
      </c>
      <c r="AW54" s="284">
        <f>Splines!AC44</f>
        <v>-4.9750852644001795E-3</v>
      </c>
      <c r="AX54" s="284">
        <f t="shared" si="27"/>
        <v>6.8363536733337098E-3</v>
      </c>
      <c r="AY54" s="284">
        <f t="shared" si="43"/>
        <v>2.6713604459831064E-2</v>
      </c>
      <c r="AZ54" s="284">
        <f t="shared" si="66"/>
        <v>9.8600043393947063E-4</v>
      </c>
      <c r="BA54" s="291">
        <f t="shared" si="67"/>
        <v>2.7699604893770536E-2</v>
      </c>
      <c r="BB54" s="284">
        <f t="shared" si="44"/>
        <v>6.970107523498692E-3</v>
      </c>
      <c r="BC54" s="288"/>
      <c r="BD54" s="283" t="s">
        <v>369</v>
      </c>
      <c r="BE54" s="283">
        <f t="shared" si="9"/>
        <v>2.4283533814136733E-2</v>
      </c>
      <c r="BF54" s="284">
        <f>Splines!AH44</f>
        <v>-3.2504187653271204E-3</v>
      </c>
      <c r="BG54" s="284">
        <f t="shared" si="29"/>
        <v>2.1033115048809614E-2</v>
      </c>
      <c r="BH54" s="284">
        <f t="shared" si="45"/>
        <v>3.1876574925672418E-2</v>
      </c>
      <c r="BI54" s="284">
        <f t="shared" si="68"/>
        <v>1.7797313629140896E-4</v>
      </c>
      <c r="BJ54" s="291">
        <f t="shared" si="69"/>
        <v>3.2054548061963825E-2</v>
      </c>
      <c r="BK54" s="284">
        <f t="shared" si="46"/>
        <v>2.1057428033998571E-2</v>
      </c>
      <c r="BL54" s="288"/>
      <c r="BM54" s="283" t="s">
        <v>369</v>
      </c>
      <c r="BN54" s="283">
        <f t="shared" si="10"/>
        <v>1.82072907118878E-2</v>
      </c>
      <c r="BO54" s="284">
        <f>Splines!AM44</f>
        <v>6.0218106503831005E-3</v>
      </c>
      <c r="BP54" s="284">
        <f t="shared" si="31"/>
        <v>2.42291013622709E-2</v>
      </c>
      <c r="BQ54" s="284">
        <f t="shared" si="47"/>
        <v>2.1752375026535598E-2</v>
      </c>
      <c r="BR54" s="284">
        <f t="shared" si="70"/>
        <v>3.2498160684034175E-3</v>
      </c>
      <c r="BS54" s="291">
        <f t="shared" si="71"/>
        <v>2.5002191094939015E-2</v>
      </c>
      <c r="BT54" s="284">
        <f t="shared" si="48"/>
        <v>2.4675444896560039E-2</v>
      </c>
      <c r="BU54" s="288"/>
      <c r="BV54" s="659" t="s">
        <v>369</v>
      </c>
      <c r="BW54" s="659">
        <f t="shared" si="11"/>
        <v>3.3928291856750711E-2</v>
      </c>
      <c r="BX54" s="284">
        <f>Splines!AR44</f>
        <v>-1.4690708527836534E-3</v>
      </c>
      <c r="BY54" s="284">
        <f t="shared" si="33"/>
        <v>3.2459221003967059E-2</v>
      </c>
      <c r="BZ54" s="284">
        <f t="shared" si="49"/>
        <v>4.6474384880738961E-2</v>
      </c>
      <c r="CA54" s="284">
        <f t="shared" si="72"/>
        <v>-1.0921374086590001E-3</v>
      </c>
      <c r="CB54" s="291">
        <f t="shared" si="34"/>
        <v>4.6474384880738961E-2</v>
      </c>
      <c r="CC54" s="284">
        <f t="shared" si="50"/>
        <v>3.2459221003967142E-2</v>
      </c>
      <c r="CD54" s="288"/>
      <c r="CE54" s="284" t="str">
        <f t="shared" si="1"/>
        <v>40 Year</v>
      </c>
      <c r="CF54" s="284">
        <f t="shared" si="2"/>
        <v>2.4283533814136733E-2</v>
      </c>
      <c r="CG54" s="284">
        <f t="shared" si="16"/>
        <v>-3.2504187653271204E-3</v>
      </c>
      <c r="CH54" s="284">
        <f t="shared" si="17"/>
        <v>2.1033115048809614E-2</v>
      </c>
      <c r="CI54" s="284">
        <f t="shared" si="18"/>
        <v>3.1876574925672418E-2</v>
      </c>
      <c r="CJ54" s="284">
        <f t="shared" si="12"/>
        <v>1.7797313629140896E-4</v>
      </c>
      <c r="CK54" s="284">
        <f>BJ54+MIN('Instructions &amp; Dashboard'!$D$43,'Instructions &amp; Dashboard'!$D$44)/10000</f>
        <v>3.4054548061963827E-2</v>
      </c>
      <c r="CL54" s="284">
        <f t="shared" si="51"/>
        <v>2.3304232910241307E-2</v>
      </c>
    </row>
    <row r="55" spans="1:90">
      <c r="A55" s="283">
        <f t="shared" si="52"/>
        <v>41</v>
      </c>
      <c r="B55" s="283" t="s">
        <v>370</v>
      </c>
      <c r="C55" s="283">
        <f t="shared" si="14"/>
        <v>3.0586705799480002E-2</v>
      </c>
      <c r="D55" s="284">
        <f>Splines!D45</f>
        <v>-5.8524943916511358E-3</v>
      </c>
      <c r="E55" s="506">
        <f t="shared" si="15"/>
        <v>2.4734211407828867E-2</v>
      </c>
      <c r="F55" s="507">
        <f t="shared" si="54"/>
        <v>4.2487984103064758E-2</v>
      </c>
      <c r="G55" s="284">
        <f t="shared" si="73"/>
        <v>-1.3396681404548728E-3</v>
      </c>
      <c r="H55" s="284">
        <f t="shared" si="57"/>
        <v>4.1148315962609885E-2</v>
      </c>
      <c r="I55" s="284">
        <f t="shared" si="53"/>
        <v>2.4540240991951956E-2</v>
      </c>
      <c r="J55" s="285"/>
      <c r="K55" s="283" t="s">
        <v>370</v>
      </c>
      <c r="L55" s="283">
        <f t="shared" si="56"/>
        <v>3.932110454231471E-3</v>
      </c>
      <c r="M55" s="284">
        <f>Splines!I45</f>
        <v>1.1378137112540367E-3</v>
      </c>
      <c r="N55" s="283">
        <f t="shared" si="4"/>
        <v>5.0699241654855072E-3</v>
      </c>
      <c r="O55" s="284">
        <f t="shared" si="35"/>
        <v>6.337334646562276E-4</v>
      </c>
      <c r="P55" s="284">
        <f t="shared" si="58"/>
        <v>1.2253817104750939E-2</v>
      </c>
      <c r="Q55" s="291">
        <f t="shared" si="59"/>
        <v>1.2887550569407167E-2</v>
      </c>
      <c r="R55" s="284">
        <f t="shared" si="36"/>
        <v>6.8635577424285277E-3</v>
      </c>
      <c r="S55" s="287"/>
      <c r="T55" s="283" t="s">
        <v>370</v>
      </c>
      <c r="U55" s="283">
        <f t="shared" si="5"/>
        <v>1.4756269712815802E-2</v>
      </c>
      <c r="V55" s="284">
        <f>Splines!N45</f>
        <v>-3.8250606289616561E-3</v>
      </c>
      <c r="W55" s="284">
        <f t="shared" si="21"/>
        <v>1.0931209083854147E-2</v>
      </c>
      <c r="X55" s="284">
        <f t="shared" si="37"/>
        <v>1.2472121341043474E-2</v>
      </c>
      <c r="Y55" s="284">
        <f t="shared" si="60"/>
        <v>1.4309118120182037E-2</v>
      </c>
      <c r="Z55" s="291">
        <f t="shared" si="61"/>
        <v>2.6781239461225511E-2</v>
      </c>
      <c r="AA55" s="284">
        <f t="shared" si="38"/>
        <v>1.3015789674829081E-2</v>
      </c>
      <c r="AB55" s="288"/>
      <c r="AC55" s="283" t="s">
        <v>370</v>
      </c>
      <c r="AD55" s="283">
        <f t="shared" si="6"/>
        <v>-4.0872311698013364E-4</v>
      </c>
      <c r="AE55" s="284">
        <f>Splines!S45</f>
        <v>2.0444657147077925E-4</v>
      </c>
      <c r="AF55" s="284">
        <f t="shared" si="23"/>
        <v>-2.0427654550935438E-4</v>
      </c>
      <c r="AG55" s="284">
        <f t="shared" si="39"/>
        <v>-1.0821230195908194E-2</v>
      </c>
      <c r="AH55" s="284">
        <f t="shared" si="62"/>
        <v>2.575860186899348E-2</v>
      </c>
      <c r="AI55" s="291">
        <f t="shared" si="63"/>
        <v>1.4937371673085287E-2</v>
      </c>
      <c r="AJ55" s="284">
        <f t="shared" si="40"/>
        <v>3.5643457848035798E-3</v>
      </c>
      <c r="AK55" s="288"/>
      <c r="AL55" s="283" t="s">
        <v>370</v>
      </c>
      <c r="AM55" s="283">
        <f t="shared" si="7"/>
        <v>1.8240038841803047E-2</v>
      </c>
      <c r="AN55" s="283">
        <f>Splines!X45</f>
        <v>1.0600919806304173E-3</v>
      </c>
      <c r="AO55" s="283">
        <f t="shared" si="25"/>
        <v>1.9300130822433464E-2</v>
      </c>
      <c r="AP55" s="284">
        <f t="shared" si="41"/>
        <v>1.5133352303757563E-2</v>
      </c>
      <c r="AQ55" s="284">
        <f t="shared" si="64"/>
        <v>8.6009306455310623E-3</v>
      </c>
      <c r="AR55" s="291">
        <f t="shared" si="65"/>
        <v>2.3734282949288626E-2</v>
      </c>
      <c r="AS55" s="284">
        <f t="shared" si="42"/>
        <v>2.0559945076004338E-2</v>
      </c>
      <c r="AT55" s="289"/>
      <c r="AU55" s="283" t="s">
        <v>370</v>
      </c>
      <c r="AV55" s="283">
        <f t="shared" si="8"/>
        <v>1.2205756477840118E-2</v>
      </c>
      <c r="AW55" s="284">
        <f>Splines!AC45</f>
        <v>-4.8404345540821389E-3</v>
      </c>
      <c r="AX55" s="284">
        <f t="shared" si="27"/>
        <v>7.3653219237579792E-3</v>
      </c>
      <c r="AY55" s="284">
        <f t="shared" si="43"/>
        <v>2.8753500343748239E-2</v>
      </c>
      <c r="AZ55" s="284">
        <f t="shared" si="66"/>
        <v>1.0846004773334178E-3</v>
      </c>
      <c r="BA55" s="291">
        <f t="shared" si="67"/>
        <v>2.9838100821081657E-2</v>
      </c>
      <c r="BB55" s="284">
        <f t="shared" si="44"/>
        <v>7.521775561736721E-3</v>
      </c>
      <c r="BC55" s="288"/>
      <c r="BD55" s="283" t="s">
        <v>370</v>
      </c>
      <c r="BE55" s="283">
        <f t="shared" si="9"/>
        <v>2.4536942096135855E-2</v>
      </c>
      <c r="BF55" s="284">
        <f>Splines!AH45</f>
        <v>-3.2075176677436403E-3</v>
      </c>
      <c r="BG55" s="284">
        <f t="shared" si="29"/>
        <v>2.1329424428392214E-2</v>
      </c>
      <c r="BH55" s="284">
        <f t="shared" si="45"/>
        <v>3.3252578656932652E-2</v>
      </c>
      <c r="BI55" s="284">
        <f t="shared" si="68"/>
        <v>1.9577044992054985E-4</v>
      </c>
      <c r="BJ55" s="291">
        <f t="shared" si="69"/>
        <v>3.3448349106853202E-2</v>
      </c>
      <c r="BK55" s="284">
        <f t="shared" si="46"/>
        <v>2.135787075367479E-2</v>
      </c>
      <c r="BL55" s="288"/>
      <c r="BM55" s="283" t="s">
        <v>370</v>
      </c>
      <c r="BN55" s="283">
        <f t="shared" si="10"/>
        <v>1.8516537764226855E-2</v>
      </c>
      <c r="BO55" s="284">
        <f>Splines!AM45</f>
        <v>5.6308162833008943E-3</v>
      </c>
      <c r="BP55" s="284">
        <f t="shared" si="31"/>
        <v>2.4147354047527748E-2</v>
      </c>
      <c r="BQ55" s="284">
        <f t="shared" si="47"/>
        <v>2.0882806033431178E-2</v>
      </c>
      <c r="BR55" s="284">
        <f t="shared" si="70"/>
        <v>3.5747976752437591E-3</v>
      </c>
      <c r="BS55" s="291">
        <f t="shared" si="71"/>
        <v>2.4457603708674936E-2</v>
      </c>
      <c r="BT55" s="284">
        <f t="shared" si="48"/>
        <v>2.4670131145772878E-2</v>
      </c>
      <c r="BU55" s="288"/>
      <c r="BV55" s="659" t="s">
        <v>370</v>
      </c>
      <c r="BW55" s="659">
        <f t="shared" si="11"/>
        <v>3.4278940150170703E-2</v>
      </c>
      <c r="BX55" s="284">
        <f>Splines!AR45</f>
        <v>-1.4738351736881359E-3</v>
      </c>
      <c r="BY55" s="284">
        <f t="shared" si="33"/>
        <v>3.280510497648257E-2</v>
      </c>
      <c r="BZ55" s="284">
        <f t="shared" si="49"/>
        <v>4.6735896120007947E-2</v>
      </c>
      <c r="CA55" s="284">
        <f t="shared" si="72"/>
        <v>-1.2013511495249001E-3</v>
      </c>
      <c r="CB55" s="291">
        <f t="shared" si="34"/>
        <v>4.6735896120007947E-2</v>
      </c>
      <c r="CC55" s="284">
        <f t="shared" si="50"/>
        <v>3.2805104976482591E-2</v>
      </c>
      <c r="CD55" s="288"/>
      <c r="CE55" s="284" t="str">
        <f t="shared" si="1"/>
        <v>41 Year</v>
      </c>
      <c r="CF55" s="284">
        <f t="shared" si="2"/>
        <v>2.4536942096135855E-2</v>
      </c>
      <c r="CG55" s="284">
        <f t="shared" si="16"/>
        <v>-3.2075176677436403E-3</v>
      </c>
      <c r="CH55" s="284">
        <f t="shared" si="17"/>
        <v>2.1329424428392214E-2</v>
      </c>
      <c r="CI55" s="284">
        <f t="shared" si="18"/>
        <v>3.3252578656932652E-2</v>
      </c>
      <c r="CJ55" s="284">
        <f t="shared" si="12"/>
        <v>1.9577044992054985E-4</v>
      </c>
      <c r="CK55" s="284">
        <f>BJ55+MIN('Instructions &amp; Dashboard'!$D$43,'Instructions &amp; Dashboard'!$D$44)/10000</f>
        <v>3.5448349106853204E-2</v>
      </c>
      <c r="CL55" s="284">
        <f t="shared" si="51"/>
        <v>2.3598729445140076E-2</v>
      </c>
    </row>
    <row r="56" spans="1:90">
      <c r="A56" s="283">
        <f t="shared" si="52"/>
        <v>42</v>
      </c>
      <c r="B56" s="283" t="s">
        <v>371</v>
      </c>
      <c r="C56" s="283">
        <f t="shared" si="14"/>
        <v>3.0810719273125758E-2</v>
      </c>
      <c r="D56" s="284">
        <f>Splines!D46</f>
        <v>-5.6164985822935998E-3</v>
      </c>
      <c r="E56" s="506">
        <f t="shared" si="15"/>
        <v>2.5194220690832159E-2</v>
      </c>
      <c r="F56" s="507">
        <f t="shared" si="54"/>
        <v>4.4233467435631724E-2</v>
      </c>
      <c r="G56" s="284">
        <f t="shared" si="73"/>
        <v>-1.4614561532234978E-3</v>
      </c>
      <c r="H56" s="284">
        <f t="shared" si="57"/>
        <v>4.2772011282408227E-2</v>
      </c>
      <c r="I56" s="284">
        <f t="shared" si="53"/>
        <v>2.4970604010869035E-2</v>
      </c>
      <c r="J56" s="285"/>
      <c r="K56" s="283" t="s">
        <v>371</v>
      </c>
      <c r="L56" s="283">
        <f t="shared" si="56"/>
        <v>3.9925700793917093E-3</v>
      </c>
      <c r="M56" s="284">
        <f>Splines!I46</f>
        <v>9.6886968341814393E-4</v>
      </c>
      <c r="N56" s="283">
        <f t="shared" si="4"/>
        <v>4.9614397628098533E-3</v>
      </c>
      <c r="O56" s="284">
        <f t="shared" si="35"/>
        <v>5.2364663784953969E-4</v>
      </c>
      <c r="P56" s="284">
        <f t="shared" si="58"/>
        <v>1.3367800477910117E-2</v>
      </c>
      <c r="Q56" s="291">
        <f t="shared" si="59"/>
        <v>1.3891447115759657E-2</v>
      </c>
      <c r="R56" s="284">
        <f t="shared" si="36"/>
        <v>7.0303209711573E-3</v>
      </c>
      <c r="S56" s="287"/>
      <c r="T56" s="283" t="s">
        <v>371</v>
      </c>
      <c r="U56" s="283">
        <f t="shared" si="5"/>
        <v>1.4636451676645033E-2</v>
      </c>
      <c r="V56" s="284">
        <f>Splines!N46</f>
        <v>-3.6638029342986097E-3</v>
      </c>
      <c r="W56" s="284">
        <f t="shared" si="21"/>
        <v>1.0972648742346424E-2</v>
      </c>
      <c r="X56" s="284">
        <f t="shared" si="37"/>
        <v>1.2673138100854686E-2</v>
      </c>
      <c r="Y56" s="284">
        <f t="shared" si="60"/>
        <v>1.5609947040198588E-2</v>
      </c>
      <c r="Z56" s="291">
        <f t="shared" si="61"/>
        <v>2.8283085141053273E-2</v>
      </c>
      <c r="AA56" s="284">
        <f t="shared" si="38"/>
        <v>1.3376648951053616E-2</v>
      </c>
      <c r="AB56" s="288"/>
      <c r="AC56" s="283" t="s">
        <v>371</v>
      </c>
      <c r="AD56" s="283">
        <f t="shared" si="6"/>
        <v>-6.0892602910704585E-4</v>
      </c>
      <c r="AE56" s="284">
        <f>Splines!S46</f>
        <v>1.2273158789947053E-4</v>
      </c>
      <c r="AF56" s="284">
        <f t="shared" si="23"/>
        <v>-4.8619444120757532E-4</v>
      </c>
      <c r="AG56" s="284">
        <f t="shared" si="39"/>
        <v>-1.1976640505831027E-2</v>
      </c>
      <c r="AH56" s="284">
        <f t="shared" si="62"/>
        <v>2.8100292947992891E-2</v>
      </c>
      <c r="AI56" s="291">
        <f t="shared" si="63"/>
        <v>1.6123652442161865E-2</v>
      </c>
      <c r="AJ56" s="284">
        <f t="shared" si="40"/>
        <v>3.8615652236273501E-3</v>
      </c>
      <c r="AK56" s="288"/>
      <c r="AL56" s="283" t="s">
        <v>371</v>
      </c>
      <c r="AM56" s="283">
        <f t="shared" si="7"/>
        <v>1.8297954522334466E-2</v>
      </c>
      <c r="AN56" s="283">
        <f>Splines!X46</f>
        <v>8.9809273655554103E-4</v>
      </c>
      <c r="AO56" s="283">
        <f t="shared" si="25"/>
        <v>1.9196047258890007E-2</v>
      </c>
      <c r="AP56" s="284">
        <f t="shared" si="41"/>
        <v>1.4937759640007986E-2</v>
      </c>
      <c r="AQ56" s="284">
        <f t="shared" si="64"/>
        <v>9.3828334314884337E-3</v>
      </c>
      <c r="AR56" s="291">
        <f t="shared" si="65"/>
        <v>2.4320593071496421E-2</v>
      </c>
      <c r="AS56" s="284">
        <f t="shared" si="42"/>
        <v>2.0649323660727914E-2</v>
      </c>
      <c r="AT56" s="289"/>
      <c r="AU56" s="283" t="s">
        <v>371</v>
      </c>
      <c r="AV56" s="283">
        <f t="shared" si="8"/>
        <v>1.2594191739293385E-2</v>
      </c>
      <c r="AW56" s="284">
        <f>Splines!AC46</f>
        <v>-4.6788873754111419E-3</v>
      </c>
      <c r="AX56" s="284">
        <f t="shared" si="27"/>
        <v>7.9153043638822418E-3</v>
      </c>
      <c r="AY56" s="284">
        <f t="shared" si="43"/>
        <v>3.0725008146019084E-2</v>
      </c>
      <c r="AZ56" s="284">
        <f t="shared" si="66"/>
        <v>1.183200520727365E-3</v>
      </c>
      <c r="BA56" s="291">
        <f t="shared" si="67"/>
        <v>3.190820866674645E-2</v>
      </c>
      <c r="BB56" s="284">
        <f t="shared" si="44"/>
        <v>8.0956527809381562E-3</v>
      </c>
      <c r="BC56" s="288"/>
      <c r="BD56" s="283" t="s">
        <v>371</v>
      </c>
      <c r="BE56" s="283">
        <f t="shared" si="9"/>
        <v>2.4786165074357044E-2</v>
      </c>
      <c r="BF56" s="284">
        <f>Splines!AH46</f>
        <v>-3.142948795824955E-3</v>
      </c>
      <c r="BG56" s="284">
        <f t="shared" si="29"/>
        <v>2.164321627853209E-2</v>
      </c>
      <c r="BH56" s="284">
        <f t="shared" si="45"/>
        <v>3.4592031328714246E-2</v>
      </c>
      <c r="BI56" s="284">
        <f t="shared" si="68"/>
        <v>2.1356776354969077E-4</v>
      </c>
      <c r="BJ56" s="291">
        <f t="shared" si="69"/>
        <v>3.4805599092263939E-2</v>
      </c>
      <c r="BK56" s="284">
        <f t="shared" si="46"/>
        <v>2.1676014767757268E-2</v>
      </c>
      <c r="BL56" s="288"/>
      <c r="BM56" s="283" t="s">
        <v>371</v>
      </c>
      <c r="BN56" s="283">
        <f t="shared" si="10"/>
        <v>1.8828058514595625E-2</v>
      </c>
      <c r="BO56" s="284">
        <f>Splines!AM46</f>
        <v>5.2219050536297124E-3</v>
      </c>
      <c r="BP56" s="284">
        <f t="shared" si="31"/>
        <v>2.4049963568225335E-2</v>
      </c>
      <c r="BQ56" s="284">
        <f t="shared" si="47"/>
        <v>2.0064917769561319E-2</v>
      </c>
      <c r="BR56" s="284">
        <f t="shared" si="70"/>
        <v>3.8997792820841012E-3</v>
      </c>
      <c r="BS56" s="291">
        <f t="shared" si="71"/>
        <v>2.3964697051645421E-2</v>
      </c>
      <c r="BT56" s="284">
        <f t="shared" si="48"/>
        <v>2.4653329449389583E-2</v>
      </c>
      <c r="BU56" s="288"/>
      <c r="BV56" s="659" t="s">
        <v>371</v>
      </c>
      <c r="BW56" s="659">
        <f t="shared" si="11"/>
        <v>3.4611493769272514E-2</v>
      </c>
      <c r="BX56" s="284">
        <f>Splines!AR46</f>
        <v>-1.4714344132942445E-3</v>
      </c>
      <c r="BY56" s="284">
        <f t="shared" si="33"/>
        <v>3.3140059355978267E-2</v>
      </c>
      <c r="BZ56" s="284">
        <f t="shared" si="49"/>
        <v>4.6967125756567363E-2</v>
      </c>
      <c r="CA56" s="284">
        <f t="shared" si="72"/>
        <v>-1.3105648903908003E-3</v>
      </c>
      <c r="CB56" s="291">
        <f t="shared" si="34"/>
        <v>4.6967125756567363E-2</v>
      </c>
      <c r="CC56" s="284">
        <f t="shared" si="50"/>
        <v>3.3140059355978302E-2</v>
      </c>
      <c r="CD56" s="288"/>
      <c r="CE56" s="284" t="str">
        <f t="shared" si="1"/>
        <v>42 Year</v>
      </c>
      <c r="CF56" s="284">
        <f t="shared" si="2"/>
        <v>2.4786165074357044E-2</v>
      </c>
      <c r="CG56" s="284">
        <f t="shared" si="16"/>
        <v>-3.142948795824955E-3</v>
      </c>
      <c r="CH56" s="284">
        <f t="shared" si="17"/>
        <v>2.164321627853209E-2</v>
      </c>
      <c r="CI56" s="284">
        <f t="shared" si="18"/>
        <v>3.4592031328714246E-2</v>
      </c>
      <c r="CJ56" s="284">
        <f t="shared" si="12"/>
        <v>2.1356776354969077E-4</v>
      </c>
      <c r="CK56" s="284">
        <f>BJ56+MIN('Instructions &amp; Dashboard'!$D$43,'Instructions &amp; Dashboard'!$D$44)/10000</f>
        <v>3.6805599092263941E-2</v>
      </c>
      <c r="CL56" s="284">
        <f t="shared" si="51"/>
        <v>2.3911215119071239E-2</v>
      </c>
    </row>
    <row r="57" spans="1:90">
      <c r="A57" s="283">
        <f t="shared" si="52"/>
        <v>43</v>
      </c>
      <c r="B57" s="283" t="s">
        <v>372</v>
      </c>
      <c r="C57" s="283">
        <f t="shared" si="14"/>
        <v>3.1027994995985436E-2</v>
      </c>
      <c r="D57" s="284">
        <f>Splines!D47</f>
        <v>-5.3572376322033478E-3</v>
      </c>
      <c r="E57" s="506">
        <f t="shared" si="15"/>
        <v>2.567075736378209E-2</v>
      </c>
      <c r="F57" s="507">
        <f t="shared" si="54"/>
        <v>4.5886594593180341E-2</v>
      </c>
      <c r="G57" s="284">
        <f t="shared" si="73"/>
        <v>-1.5832441659921225E-3</v>
      </c>
      <c r="H57" s="284">
        <f t="shared" si="57"/>
        <v>4.4303350427188221E-2</v>
      </c>
      <c r="I57" s="284">
        <f t="shared" si="53"/>
        <v>2.5416112020753445E-2</v>
      </c>
      <c r="J57" s="285"/>
      <c r="K57" s="283" t="s">
        <v>372</v>
      </c>
      <c r="L57" s="283">
        <f t="shared" si="56"/>
        <v>4.0537189921814459E-3</v>
      </c>
      <c r="M57" s="284">
        <f>Splines!I47</f>
        <v>8.028768195085887E-4</v>
      </c>
      <c r="N57" s="283">
        <f t="shared" si="4"/>
        <v>4.8565958116900346E-3</v>
      </c>
      <c r="O57" s="284">
        <f t="shared" si="35"/>
        <v>4.6301279806248985E-4</v>
      </c>
      <c r="P57" s="284">
        <f t="shared" si="58"/>
        <v>1.4481783851069293E-2</v>
      </c>
      <c r="Q57" s="291">
        <f t="shared" si="59"/>
        <v>1.4944796649131783E-2</v>
      </c>
      <c r="R57" s="284">
        <f t="shared" si="36"/>
        <v>7.2136757278147279E-3</v>
      </c>
      <c r="S57" s="287"/>
      <c r="T57" s="283" t="s">
        <v>372</v>
      </c>
      <c r="U57" s="283">
        <f t="shared" si="5"/>
        <v>1.4509783863177094E-2</v>
      </c>
      <c r="V57" s="284">
        <f>Splines!N47</f>
        <v>-3.4938487828182329E-3</v>
      </c>
      <c r="W57" s="284">
        <f t="shared" si="21"/>
        <v>1.1015935080358861E-2</v>
      </c>
      <c r="X57" s="284">
        <f t="shared" si="37"/>
        <v>1.2835635850340754E-2</v>
      </c>
      <c r="Y57" s="284">
        <f t="shared" si="60"/>
        <v>1.6910775960215136E-2</v>
      </c>
      <c r="Z57" s="291">
        <f t="shared" si="61"/>
        <v>2.974641181055589E-2</v>
      </c>
      <c r="AA57" s="284">
        <f t="shared" si="38"/>
        <v>1.3754369414742396E-2</v>
      </c>
      <c r="AB57" s="288"/>
      <c r="AC57" s="283" t="s">
        <v>372</v>
      </c>
      <c r="AD57" s="283">
        <f t="shared" si="6"/>
        <v>-8.2190480969436541E-4</v>
      </c>
      <c r="AE57" s="284">
        <f>Splines!S47</f>
        <v>3.9942907884296799E-5</v>
      </c>
      <c r="AF57" s="284">
        <f t="shared" si="23"/>
        <v>-7.8196190181006864E-4</v>
      </c>
      <c r="AG57" s="284">
        <f t="shared" si="39"/>
        <v>-1.3125482504673269E-2</v>
      </c>
      <c r="AH57" s="284">
        <f t="shared" si="62"/>
        <v>3.0441984026992296E-2</v>
      </c>
      <c r="AI57" s="291">
        <f t="shared" si="63"/>
        <v>1.7316501522319026E-2</v>
      </c>
      <c r="AJ57" s="284">
        <f t="shared" si="40"/>
        <v>4.1724404316054731E-3</v>
      </c>
      <c r="AK57" s="288"/>
      <c r="AL57" s="283" t="s">
        <v>372</v>
      </c>
      <c r="AM57" s="283">
        <f t="shared" si="7"/>
        <v>1.8354121513503747E-2</v>
      </c>
      <c r="AN57" s="283">
        <f>Splines!X47</f>
        <v>7.3877427422722555E-4</v>
      </c>
      <c r="AO57" s="283">
        <f t="shared" si="25"/>
        <v>1.9092895787730973E-2</v>
      </c>
      <c r="AP57" s="284">
        <f t="shared" si="41"/>
        <v>1.4769948132610233E-2</v>
      </c>
      <c r="AQ57" s="284">
        <f t="shared" si="64"/>
        <v>1.0164736217445802E-2</v>
      </c>
      <c r="AR57" s="291">
        <f t="shared" si="65"/>
        <v>2.4934684350056035E-2</v>
      </c>
      <c r="AS57" s="284">
        <f t="shared" si="42"/>
        <v>2.074877942243547E-2</v>
      </c>
      <c r="AT57" s="289"/>
      <c r="AU57" s="283" t="s">
        <v>372</v>
      </c>
      <c r="AV57" s="283">
        <f t="shared" si="8"/>
        <v>1.2976740225867939E-2</v>
      </c>
      <c r="AW57" s="284">
        <f>Splines!AC47</f>
        <v>-4.4938015654926288E-3</v>
      </c>
      <c r="AX57" s="284">
        <f t="shared" si="27"/>
        <v>8.4829386603753106E-3</v>
      </c>
      <c r="AY57" s="284">
        <f t="shared" si="43"/>
        <v>3.2614483041221165E-2</v>
      </c>
      <c r="AZ57" s="284">
        <f t="shared" si="66"/>
        <v>1.281800564121312E-3</v>
      </c>
      <c r="BA57" s="291">
        <f t="shared" si="67"/>
        <v>3.3896283605342477E-2</v>
      </c>
      <c r="BB57" s="284">
        <f t="shared" si="44"/>
        <v>8.6882919087174493E-3</v>
      </c>
      <c r="BC57" s="288"/>
      <c r="BD57" s="283" t="s">
        <v>372</v>
      </c>
      <c r="BE57" s="283">
        <f t="shared" si="9"/>
        <v>2.5031295138094802E-2</v>
      </c>
      <c r="BF57" s="284">
        <f>Splines!AH47</f>
        <v>-3.0591019396957624E-3</v>
      </c>
      <c r="BG57" s="284">
        <f t="shared" si="29"/>
        <v>2.1972193198399038E-2</v>
      </c>
      <c r="BH57" s="284">
        <f t="shared" si="45"/>
        <v>3.5885303731180151E-2</v>
      </c>
      <c r="BI57" s="284">
        <f t="shared" si="68"/>
        <v>2.3136507717883166E-4</v>
      </c>
      <c r="BJ57" s="291">
        <f t="shared" si="69"/>
        <v>3.6116668808358982E-2</v>
      </c>
      <c r="BK57" s="284">
        <f t="shared" si="46"/>
        <v>2.2009547139225205E-2</v>
      </c>
      <c r="BL57" s="288"/>
      <c r="BM57" s="283" t="s">
        <v>372</v>
      </c>
      <c r="BN57" s="283">
        <f t="shared" si="10"/>
        <v>1.9140812644262532E-2</v>
      </c>
      <c r="BO57" s="284">
        <f>Splines!AM47</f>
        <v>4.7987624464597397E-3</v>
      </c>
      <c r="BP57" s="284">
        <f t="shared" si="31"/>
        <v>2.3939575090722271E-2</v>
      </c>
      <c r="BQ57" s="284">
        <f t="shared" si="47"/>
        <v>1.9313988412491323E-2</v>
      </c>
      <c r="BR57" s="284">
        <f t="shared" si="70"/>
        <v>4.2247608889244429E-3</v>
      </c>
      <c r="BS57" s="291">
        <f t="shared" si="71"/>
        <v>2.3538749301415765E-2</v>
      </c>
      <c r="BT57" s="284">
        <f t="shared" si="48"/>
        <v>2.4627395201141988E-2</v>
      </c>
      <c r="BU57" s="288"/>
      <c r="BV57" s="659" t="s">
        <v>372</v>
      </c>
      <c r="BW57" s="659">
        <f t="shared" si="11"/>
        <v>3.492672225270238E-2</v>
      </c>
      <c r="BX57" s="284">
        <f>Splines!AR47</f>
        <v>-1.4625675215092148E-3</v>
      </c>
      <c r="BY57" s="284">
        <f t="shared" si="33"/>
        <v>3.3464154731193164E-2</v>
      </c>
      <c r="BZ57" s="284">
        <f t="shared" si="49"/>
        <v>4.7168361989833762E-2</v>
      </c>
      <c r="CA57" s="284">
        <f t="shared" si="72"/>
        <v>-1.4197786312567001E-3</v>
      </c>
      <c r="CB57" s="291">
        <f t="shared" si="34"/>
        <v>4.7168361989833762E-2</v>
      </c>
      <c r="CC57" s="284">
        <f t="shared" si="50"/>
        <v>3.346415473119313E-2</v>
      </c>
      <c r="CD57" s="288"/>
      <c r="CE57" s="284" t="str">
        <f t="shared" si="1"/>
        <v>43 Year</v>
      </c>
      <c r="CF57" s="284">
        <f t="shared" si="2"/>
        <v>2.5031295138094802E-2</v>
      </c>
      <c r="CG57" s="284">
        <f t="shared" si="16"/>
        <v>-3.0591019396957624E-3</v>
      </c>
      <c r="CH57" s="284">
        <f t="shared" si="17"/>
        <v>2.1972193198399038E-2</v>
      </c>
      <c r="CI57" s="284">
        <f t="shared" si="18"/>
        <v>3.5885303731180151E-2</v>
      </c>
      <c r="CJ57" s="284">
        <f t="shared" si="12"/>
        <v>2.3136507717883166E-4</v>
      </c>
      <c r="CK57" s="284">
        <f>BJ57+MIN('Instructions &amp; Dashboard'!$D$43,'Instructions &amp; Dashboard'!$D$44)/10000</f>
        <v>3.8116668808358983E-2</v>
      </c>
      <c r="CL57" s="284">
        <f t="shared" si="51"/>
        <v>2.4239356398555012E-2</v>
      </c>
    </row>
    <row r="58" spans="1:90">
      <c r="A58" s="283">
        <f t="shared" si="52"/>
        <v>44</v>
      </c>
      <c r="B58" s="283" t="s">
        <v>373</v>
      </c>
      <c r="C58" s="283">
        <f t="shared" si="14"/>
        <v>3.1238725844765447E-2</v>
      </c>
      <c r="D58" s="284">
        <f>Splines!D48</f>
        <v>-5.0784371976360931E-3</v>
      </c>
      <c r="E58" s="506">
        <f t="shared" si="15"/>
        <v>2.6160288647129354E-2</v>
      </c>
      <c r="F58" s="507">
        <f t="shared" si="54"/>
        <v>4.7432644317674244E-2</v>
      </c>
      <c r="G58" s="284">
        <f t="shared" si="73"/>
        <v>-1.7050321787607473E-3</v>
      </c>
      <c r="H58" s="284">
        <f t="shared" si="57"/>
        <v>4.57276121389135E-2</v>
      </c>
      <c r="I58" s="284">
        <f t="shared" si="53"/>
        <v>2.5873326469250557E-2</v>
      </c>
      <c r="J58" s="285"/>
      <c r="K58" s="283" t="s">
        <v>373</v>
      </c>
      <c r="L58" s="283">
        <f t="shared" si="56"/>
        <v>4.1158889474658365E-3</v>
      </c>
      <c r="M58" s="284">
        <f>Splines!I48</f>
        <v>6.4042128933380806E-4</v>
      </c>
      <c r="N58" s="283">
        <f t="shared" si="4"/>
        <v>4.7563102367996447E-3</v>
      </c>
      <c r="O58" s="284">
        <f t="shared" si="35"/>
        <v>4.5348542611600706E-4</v>
      </c>
      <c r="P58" s="284">
        <f t="shared" si="58"/>
        <v>1.5595767224228469E-2</v>
      </c>
      <c r="Q58" s="291">
        <f t="shared" si="59"/>
        <v>1.6049252650344476E-2</v>
      </c>
      <c r="R58" s="284">
        <f t="shared" si="36"/>
        <v>7.4136284801540331E-3</v>
      </c>
      <c r="S58" s="287"/>
      <c r="T58" s="283" t="s">
        <v>373</v>
      </c>
      <c r="U58" s="283">
        <f t="shared" si="5"/>
        <v>1.4376892213364332E-2</v>
      </c>
      <c r="V58" s="284">
        <f>Splines!N48</f>
        <v>-3.3169801634441594E-3</v>
      </c>
      <c r="W58" s="284">
        <f t="shared" si="21"/>
        <v>1.1059912049920172E-2</v>
      </c>
      <c r="X58" s="284">
        <f t="shared" si="37"/>
        <v>1.2952732448316517E-2</v>
      </c>
      <c r="Y58" s="284">
        <f t="shared" si="60"/>
        <v>1.8211604880231685E-2</v>
      </c>
      <c r="Z58" s="291">
        <f t="shared" si="61"/>
        <v>3.1164337328548203E-2</v>
      </c>
      <c r="AA58" s="284">
        <f t="shared" si="38"/>
        <v>1.4146767168927044E-2</v>
      </c>
      <c r="AB58" s="288"/>
      <c r="AC58" s="283" t="s">
        <v>373</v>
      </c>
      <c r="AD58" s="283">
        <f t="shared" si="6"/>
        <v>-1.047038324555119E-3</v>
      </c>
      <c r="AE58" s="284">
        <f>Splines!S48</f>
        <v>-4.3370505997849692E-5</v>
      </c>
      <c r="AF58" s="284">
        <f t="shared" si="23"/>
        <v>-1.0904088305529688E-3</v>
      </c>
      <c r="AG58" s="284">
        <f t="shared" si="39"/>
        <v>-1.4263942390469131E-2</v>
      </c>
      <c r="AH58" s="284">
        <f t="shared" si="62"/>
        <v>3.2783675105991707E-2</v>
      </c>
      <c r="AI58" s="291">
        <f t="shared" si="63"/>
        <v>1.8519732715522576E-2</v>
      </c>
      <c r="AJ58" s="284">
        <f t="shared" si="40"/>
        <v>4.4962599836853023E-3</v>
      </c>
      <c r="AK58" s="288"/>
      <c r="AL58" s="283" t="s">
        <v>373</v>
      </c>
      <c r="AM58" s="283">
        <f t="shared" si="7"/>
        <v>1.840858907486299E-2</v>
      </c>
      <c r="AN58" s="283">
        <f>Splines!X48</f>
        <v>5.82714397924899E-4</v>
      </c>
      <c r="AO58" s="283">
        <f t="shared" si="25"/>
        <v>1.899130347278789E-2</v>
      </c>
      <c r="AP58" s="284">
        <f t="shared" si="41"/>
        <v>1.4632401313032339E-2</v>
      </c>
      <c r="AQ58" s="284">
        <f t="shared" si="64"/>
        <v>1.0946639003403171E-2</v>
      </c>
      <c r="AR58" s="291">
        <f t="shared" si="65"/>
        <v>2.5579040316435511E-2</v>
      </c>
      <c r="AS58" s="284">
        <f t="shared" si="42"/>
        <v>2.0858305030738711E-2</v>
      </c>
      <c r="AT58" s="289"/>
      <c r="AU58" s="283" t="s">
        <v>373</v>
      </c>
      <c r="AV58" s="283">
        <f t="shared" si="8"/>
        <v>1.3353406632973925E-2</v>
      </c>
      <c r="AW58" s="284">
        <f>Splines!AC48</f>
        <v>-4.2885359353387088E-3</v>
      </c>
      <c r="AX58" s="284">
        <f t="shared" si="27"/>
        <v>9.0648706976352161E-3</v>
      </c>
      <c r="AY58" s="284">
        <f t="shared" si="43"/>
        <v>3.4408193150843092E-2</v>
      </c>
      <c r="AZ58" s="284">
        <f t="shared" si="66"/>
        <v>1.3804006075152592E-3</v>
      </c>
      <c r="BA58" s="291">
        <f t="shared" si="67"/>
        <v>3.5788593758358349E-2</v>
      </c>
      <c r="BB58" s="284">
        <f t="shared" si="44"/>
        <v>9.2962624120642712E-3</v>
      </c>
      <c r="BC58" s="288"/>
      <c r="BD58" s="283" t="s">
        <v>373</v>
      </c>
      <c r="BE58" s="283">
        <f t="shared" si="9"/>
        <v>2.5272420546549032E-2</v>
      </c>
      <c r="BF58" s="284">
        <f>Splines!AH48</f>
        <v>-2.9583672122198588E-3</v>
      </c>
      <c r="BG58" s="284">
        <f t="shared" si="29"/>
        <v>2.2314053334329172E-2</v>
      </c>
      <c r="BH58" s="284">
        <f t="shared" si="45"/>
        <v>3.7122728044494124E-2</v>
      </c>
      <c r="BI58" s="284">
        <f t="shared" si="68"/>
        <v>2.4916239080797256E-4</v>
      </c>
      <c r="BJ58" s="291">
        <f t="shared" si="69"/>
        <v>3.7371890435302098E-2</v>
      </c>
      <c r="BK58" s="284">
        <f t="shared" si="46"/>
        <v>2.2356151987212192E-2</v>
      </c>
      <c r="BL58" s="288"/>
      <c r="BM58" s="283" t="s">
        <v>373</v>
      </c>
      <c r="BN58" s="283">
        <f t="shared" si="10"/>
        <v>1.9453876849275867E-2</v>
      </c>
      <c r="BO58" s="284">
        <f>Splines!AM48</f>
        <v>4.365076100944788E-3</v>
      </c>
      <c r="BP58" s="284">
        <f t="shared" si="31"/>
        <v>2.3818952950220657E-2</v>
      </c>
      <c r="BQ58" s="284">
        <f t="shared" si="47"/>
        <v>1.8645620982111533E-2</v>
      </c>
      <c r="BR58" s="284">
        <f t="shared" si="70"/>
        <v>4.5497424957647841E-3</v>
      </c>
      <c r="BS58" s="291">
        <f t="shared" si="71"/>
        <v>2.3195363477876318E-2</v>
      </c>
      <c r="BT58" s="284">
        <f t="shared" si="48"/>
        <v>2.4594826778549184E-2</v>
      </c>
      <c r="BU58" s="288"/>
      <c r="BV58" s="659" t="s">
        <v>373</v>
      </c>
      <c r="BW58" s="659">
        <f t="shared" si="11"/>
        <v>3.52253894498257E-2</v>
      </c>
      <c r="BX58" s="284">
        <f>Splines!AR48</f>
        <v>-1.4479338114202663E-3</v>
      </c>
      <c r="BY58" s="284">
        <f t="shared" si="33"/>
        <v>3.3777455638405438E-2</v>
      </c>
      <c r="BZ58" s="284">
        <f t="shared" si="49"/>
        <v>4.7339627372070758E-2</v>
      </c>
      <c r="CA58" s="284">
        <f t="shared" si="72"/>
        <v>-1.5289923721226002E-3</v>
      </c>
      <c r="CB58" s="291">
        <f t="shared" si="34"/>
        <v>4.7339627372070758E-2</v>
      </c>
      <c r="CC58" s="284">
        <f t="shared" si="50"/>
        <v>3.3777455638405396E-2</v>
      </c>
      <c r="CD58" s="288"/>
      <c r="CE58" s="284" t="str">
        <f t="shared" si="1"/>
        <v>44 Year</v>
      </c>
      <c r="CF58" s="284">
        <f t="shared" si="2"/>
        <v>2.5272420546549032E-2</v>
      </c>
      <c r="CG58" s="284">
        <f t="shared" si="16"/>
        <v>-2.9583672122198588E-3</v>
      </c>
      <c r="CH58" s="284">
        <f t="shared" si="17"/>
        <v>2.2314053334329172E-2</v>
      </c>
      <c r="CI58" s="284">
        <f t="shared" si="18"/>
        <v>3.7122728044494124E-2</v>
      </c>
      <c r="CJ58" s="284">
        <f t="shared" si="12"/>
        <v>2.4916239080797256E-4</v>
      </c>
      <c r="CK58" s="284">
        <f>BJ58+MIN('Instructions &amp; Dashboard'!$D$43,'Instructions &amp; Dashboard'!$D$44)/10000</f>
        <v>3.93718904353021E-2</v>
      </c>
      <c r="CL58" s="284">
        <f t="shared" si="51"/>
        <v>2.4580818665691062E-2</v>
      </c>
    </row>
    <row r="59" spans="1:90">
      <c r="A59" s="283">
        <f t="shared" si="52"/>
        <v>45</v>
      </c>
      <c r="B59" s="283" t="s">
        <v>374</v>
      </c>
      <c r="C59" s="283">
        <f t="shared" si="14"/>
        <v>3.1443104877460659E-2</v>
      </c>
      <c r="D59" s="284">
        <f>Splines!D49</f>
        <v>-4.7838216896707308E-3</v>
      </c>
      <c r="E59" s="506">
        <f t="shared" si="15"/>
        <v>2.6659283187789928E-2</v>
      </c>
      <c r="F59" s="507">
        <f t="shared" si="54"/>
        <v>4.8856947220013103E-2</v>
      </c>
      <c r="G59" s="284">
        <f t="shared" si="73"/>
        <v>-1.8268201915293721E-3</v>
      </c>
      <c r="H59" s="284">
        <f t="shared" si="57"/>
        <v>4.7030127028483734E-2</v>
      </c>
      <c r="I59" s="284">
        <f t="shared" si="53"/>
        <v>2.6338800789353689E-2</v>
      </c>
      <c r="J59" s="285"/>
      <c r="K59" s="283" t="s">
        <v>374</v>
      </c>
      <c r="L59" s="283">
        <f t="shared" si="56"/>
        <v>4.1793654131377332E-3</v>
      </c>
      <c r="M59" s="284">
        <f>Splines!I49</f>
        <v>4.820879772751141E-4</v>
      </c>
      <c r="N59" s="283">
        <f t="shared" si="4"/>
        <v>4.6614533904128473E-3</v>
      </c>
      <c r="O59" s="284">
        <f t="shared" si="35"/>
        <v>4.9660583962185534E-4</v>
      </c>
      <c r="P59" s="284">
        <f t="shared" si="58"/>
        <v>1.6709750597387645E-2</v>
      </c>
      <c r="Q59" s="291">
        <f t="shared" si="59"/>
        <v>1.7206356437009501E-2</v>
      </c>
      <c r="R59" s="284">
        <f t="shared" si="36"/>
        <v>7.6302170543109948E-3</v>
      </c>
      <c r="S59" s="287"/>
      <c r="T59" s="283" t="s">
        <v>374</v>
      </c>
      <c r="U59" s="283">
        <f t="shared" si="5"/>
        <v>1.4238352860473456E-2</v>
      </c>
      <c r="V59" s="284">
        <f>Splines!N49</f>
        <v>-3.134977399440686E-3</v>
      </c>
      <c r="W59" s="284">
        <f t="shared" si="21"/>
        <v>1.110337546103277E-2</v>
      </c>
      <c r="X59" s="284">
        <f t="shared" si="37"/>
        <v>1.301761640991117E-2</v>
      </c>
      <c r="Y59" s="284">
        <f t="shared" si="60"/>
        <v>1.9512433800248235E-2</v>
      </c>
      <c r="Z59" s="291">
        <f t="shared" si="61"/>
        <v>3.2530050210159409E-2</v>
      </c>
      <c r="AA59" s="284">
        <f t="shared" si="38"/>
        <v>1.4551706970891143E-2</v>
      </c>
      <c r="AB59" s="288"/>
      <c r="AC59" s="283" t="s">
        <v>374</v>
      </c>
      <c r="AD59" s="283">
        <f t="shared" si="6"/>
        <v>-1.283724781877299E-3</v>
      </c>
      <c r="AE59" s="284">
        <f>Splines!S49</f>
        <v>-1.2666013685702637E-4</v>
      </c>
      <c r="AF59" s="284">
        <f t="shared" si="23"/>
        <v>-1.4103849187343254E-3</v>
      </c>
      <c r="AG59" s="284">
        <f t="shared" si="39"/>
        <v>-1.5388325629546951E-2</v>
      </c>
      <c r="AH59" s="284">
        <f t="shared" si="62"/>
        <v>3.5125366184991111E-2</v>
      </c>
      <c r="AI59" s="291">
        <f t="shared" si="63"/>
        <v>1.973704055544416E-2</v>
      </c>
      <c r="AJ59" s="284">
        <f t="shared" si="40"/>
        <v>4.8324565899713345E-3</v>
      </c>
      <c r="AK59" s="288"/>
      <c r="AL59" s="283" t="s">
        <v>374</v>
      </c>
      <c r="AM59" s="283">
        <f t="shared" si="7"/>
        <v>1.8461405398340958E-2</v>
      </c>
      <c r="AN59" s="283">
        <f>Splines!X49</f>
        <v>4.30489975542514E-4</v>
      </c>
      <c r="AO59" s="283">
        <f t="shared" si="25"/>
        <v>1.8891895373883472E-2</v>
      </c>
      <c r="AP59" s="284">
        <f t="shared" si="41"/>
        <v>1.4527526429429338E-2</v>
      </c>
      <c r="AQ59" s="284">
        <f t="shared" si="64"/>
        <v>1.1728541789360541E-2</v>
      </c>
      <c r="AR59" s="291">
        <f t="shared" si="65"/>
        <v>2.6256068218789879E-2</v>
      </c>
      <c r="AS59" s="284">
        <f t="shared" si="42"/>
        <v>2.097794633035166E-2</v>
      </c>
      <c r="AT59" s="289"/>
      <c r="AU59" s="283" t="s">
        <v>374</v>
      </c>
      <c r="AV59" s="283">
        <f t="shared" si="8"/>
        <v>1.372420393327959E-2</v>
      </c>
      <c r="AW59" s="284">
        <f>Splines!AC49</f>
        <v>-4.0664475900484831E-3</v>
      </c>
      <c r="AX59" s="284">
        <f t="shared" si="27"/>
        <v>9.6577563432311067E-3</v>
      </c>
      <c r="AY59" s="284">
        <f t="shared" si="43"/>
        <v>3.6092519192960637E-2</v>
      </c>
      <c r="AZ59" s="284">
        <f t="shared" si="66"/>
        <v>1.4790006509092062E-3</v>
      </c>
      <c r="BA59" s="291">
        <f t="shared" si="67"/>
        <v>3.7571519843869847E-2</v>
      </c>
      <c r="BB59" s="284">
        <f t="shared" si="44"/>
        <v>9.916151347296287E-3</v>
      </c>
      <c r="BC59" s="288"/>
      <c r="BD59" s="283" t="s">
        <v>374</v>
      </c>
      <c r="BE59" s="283">
        <f t="shared" si="9"/>
        <v>2.5509625803688665E-2</v>
      </c>
      <c r="BF59" s="284">
        <f>Splines!AH49</f>
        <v>-2.8431342034309637E-3</v>
      </c>
      <c r="BG59" s="284">
        <f t="shared" si="29"/>
        <v>2.2666491600257702E-2</v>
      </c>
      <c r="BH59" s="284">
        <f t="shared" si="45"/>
        <v>3.8294658361059275E-2</v>
      </c>
      <c r="BI59" s="284">
        <f t="shared" si="68"/>
        <v>2.6695970443711345E-4</v>
      </c>
      <c r="BJ59" s="291">
        <f t="shared" si="69"/>
        <v>3.8561618065496392E-2</v>
      </c>
      <c r="BK59" s="284">
        <f t="shared" si="46"/>
        <v>2.2713511544589338E-2</v>
      </c>
      <c r="BL59" s="288"/>
      <c r="BM59" s="283" t="s">
        <v>374</v>
      </c>
      <c r="BN59" s="283">
        <f t="shared" si="10"/>
        <v>1.9766434822550492E-2</v>
      </c>
      <c r="BO59" s="284">
        <f>Splines!AM49</f>
        <v>3.9245303269126453E-3</v>
      </c>
      <c r="BP59" s="284">
        <f t="shared" si="31"/>
        <v>2.3690965149463138E-2</v>
      </c>
      <c r="BQ59" s="284">
        <f t="shared" si="47"/>
        <v>1.8075313352793776E-2</v>
      </c>
      <c r="BR59" s="284">
        <f t="shared" si="70"/>
        <v>4.8747241026051262E-3</v>
      </c>
      <c r="BS59" s="291">
        <f t="shared" si="71"/>
        <v>2.2950037455398902E-2</v>
      </c>
      <c r="BT59" s="284">
        <f t="shared" si="48"/>
        <v>2.4558247188567028E-2</v>
      </c>
      <c r="BU59" s="288"/>
      <c r="BV59" s="659" t="s">
        <v>374</v>
      </c>
      <c r="BW59" s="659">
        <f t="shared" si="11"/>
        <v>3.5508249109978698E-2</v>
      </c>
      <c r="BX59" s="284">
        <f>Splines!AR49</f>
        <v>-1.4282322873668818E-3</v>
      </c>
      <c r="BY59" s="284">
        <f t="shared" si="33"/>
        <v>3.4080016822611817E-2</v>
      </c>
      <c r="BZ59" s="284">
        <f t="shared" si="49"/>
        <v>4.7480744503570538E-2</v>
      </c>
      <c r="CA59" s="284">
        <f t="shared" si="72"/>
        <v>-1.6382061129885002E-3</v>
      </c>
      <c r="CB59" s="291">
        <f t="shared" si="34"/>
        <v>4.7480744503570538E-2</v>
      </c>
      <c r="CC59" s="284">
        <f t="shared" si="50"/>
        <v>3.4080016822611858E-2</v>
      </c>
      <c r="CD59" s="288"/>
      <c r="CE59" s="284" t="str">
        <f t="shared" si="1"/>
        <v>45 Year</v>
      </c>
      <c r="CF59" s="284">
        <f t="shared" si="2"/>
        <v>2.5509625803688665E-2</v>
      </c>
      <c r="CG59" s="284">
        <f t="shared" si="16"/>
        <v>-2.8431342034309637E-3</v>
      </c>
      <c r="CH59" s="284">
        <f t="shared" si="17"/>
        <v>2.2666491600257702E-2</v>
      </c>
      <c r="CI59" s="284">
        <f t="shared" si="18"/>
        <v>3.8294658361059275E-2</v>
      </c>
      <c r="CJ59" s="284">
        <f t="shared" si="12"/>
        <v>2.6695970443711345E-4</v>
      </c>
      <c r="CK59" s="284">
        <f>BJ59+MIN('Instructions &amp; Dashboard'!$D$43,'Instructions &amp; Dashboard'!$D$44)/10000</f>
        <v>4.0561618065496394E-2</v>
      </c>
      <c r="CL59" s="284">
        <f t="shared" si="51"/>
        <v>2.4933267068920628E-2</v>
      </c>
    </row>
    <row r="60" spans="1:90">
      <c r="A60" s="283">
        <f t="shared" si="52"/>
        <v>46</v>
      </c>
      <c r="B60" s="283" t="s">
        <v>375</v>
      </c>
      <c r="C60" s="283">
        <f t="shared" si="14"/>
        <v>3.1641324420396716E-2</v>
      </c>
      <c r="D60" s="284">
        <f>Splines!D50</f>
        <v>-4.4771171594409943E-3</v>
      </c>
      <c r="E60" s="506">
        <f t="shared" si="15"/>
        <v>2.7164207260955722E-2</v>
      </c>
      <c r="F60" s="507">
        <f t="shared" si="54"/>
        <v>5.0144673896668879E-2</v>
      </c>
      <c r="G60" s="284">
        <f t="shared" si="73"/>
        <v>-1.9486082042979968E-3</v>
      </c>
      <c r="H60" s="284">
        <f t="shared" si="57"/>
        <v>4.8196065692370879E-2</v>
      </c>
      <c r="I60" s="284">
        <f t="shared" si="53"/>
        <v>2.6809077573221485E-2</v>
      </c>
      <c r="J60" s="285"/>
      <c r="K60" s="283" t="s">
        <v>375</v>
      </c>
      <c r="L60" s="283">
        <f t="shared" si="56"/>
        <v>4.2443922834835626E-3</v>
      </c>
      <c r="M60" s="284">
        <f>Splines!I50</f>
        <v>3.2846294644280007E-4</v>
      </c>
      <c r="N60" s="283">
        <f t="shared" si="4"/>
        <v>4.5728552299263625E-3</v>
      </c>
      <c r="O60" s="284">
        <f t="shared" si="35"/>
        <v>5.9401423413318888E-4</v>
      </c>
      <c r="P60" s="284">
        <f t="shared" si="58"/>
        <v>1.7823733970546821E-2</v>
      </c>
      <c r="Q60" s="291">
        <f t="shared" si="59"/>
        <v>1.841774820468001E-2</v>
      </c>
      <c r="R60" s="284">
        <f t="shared" si="36"/>
        <v>7.863509169692362E-3</v>
      </c>
      <c r="S60" s="287"/>
      <c r="T60" s="283" t="s">
        <v>375</v>
      </c>
      <c r="U60" s="283">
        <f t="shared" si="5"/>
        <v>1.4094696261241747E-2</v>
      </c>
      <c r="V60" s="284">
        <f>Splines!N50</f>
        <v>-2.949621852929264E-3</v>
      </c>
      <c r="W60" s="284">
        <f t="shared" si="21"/>
        <v>1.1145074408312482E-2</v>
      </c>
      <c r="X60" s="284">
        <f t="shared" si="37"/>
        <v>1.3023308010396306E-2</v>
      </c>
      <c r="Y60" s="284">
        <f t="shared" si="60"/>
        <v>2.0813262720264784E-2</v>
      </c>
      <c r="Z60" s="291">
        <f t="shared" si="61"/>
        <v>3.3836570730661091E-2</v>
      </c>
      <c r="AA60" s="284">
        <f t="shared" si="38"/>
        <v>1.4967093459568259E-2</v>
      </c>
      <c r="AB60" s="288"/>
      <c r="AC60" s="283" t="s">
        <v>375</v>
      </c>
      <c r="AD60" s="283">
        <f t="shared" si="6"/>
        <v>-1.531381207124094E-3</v>
      </c>
      <c r="AE60" s="284">
        <f>Splines!S50</f>
        <v>-2.0937712027265713E-4</v>
      </c>
      <c r="AF60" s="284">
        <f t="shared" si="23"/>
        <v>-1.740758327396751E-3</v>
      </c>
      <c r="AG60" s="284">
        <f t="shared" si="39"/>
        <v>-1.6494982423893578E-2</v>
      </c>
      <c r="AH60" s="284">
        <f t="shared" si="62"/>
        <v>3.7467057263990515E-2</v>
      </c>
      <c r="AI60" s="291">
        <f t="shared" si="63"/>
        <v>2.0972074840096937E-2</v>
      </c>
      <c r="AJ60" s="284">
        <f t="shared" si="40"/>
        <v>5.1805901964911971E-3</v>
      </c>
      <c r="AK60" s="288"/>
      <c r="AL60" s="283" t="s">
        <v>375</v>
      </c>
      <c r="AM60" s="283">
        <f t="shared" si="7"/>
        <v>1.8512617628444722E-2</v>
      </c>
      <c r="AN60" s="283">
        <f>Splines!X50</f>
        <v>2.8267870506998945E-4</v>
      </c>
      <c r="AO60" s="283">
        <f t="shared" si="25"/>
        <v>1.8795296333514712E-2</v>
      </c>
      <c r="AP60" s="284">
        <f t="shared" si="41"/>
        <v>1.4457805248135225E-2</v>
      </c>
      <c r="AQ60" s="284">
        <f t="shared" si="64"/>
        <v>1.251044457531791E-2</v>
      </c>
      <c r="AR60" s="291">
        <f t="shared" si="65"/>
        <v>2.6968249823453135E-2</v>
      </c>
      <c r="AS60" s="284">
        <f t="shared" si="42"/>
        <v>2.1107798037406811E-2</v>
      </c>
      <c r="AT60" s="289"/>
      <c r="AU60" s="283" t="s">
        <v>375</v>
      </c>
      <c r="AV60" s="283">
        <f t="shared" si="8"/>
        <v>1.4089152560619368E-2</v>
      </c>
      <c r="AW60" s="284">
        <f>Splines!AC50</f>
        <v>-3.8308954928312437E-3</v>
      </c>
      <c r="AX60" s="284">
        <f t="shared" si="27"/>
        <v>1.0258257067788124E-2</v>
      </c>
      <c r="AY60" s="284">
        <f t="shared" si="43"/>
        <v>3.7653687053699425E-2</v>
      </c>
      <c r="AZ60" s="284">
        <f t="shared" si="66"/>
        <v>1.5776006943031531E-3</v>
      </c>
      <c r="BA60" s="291">
        <f t="shared" si="67"/>
        <v>3.923128774800258E-2</v>
      </c>
      <c r="BB60" s="284">
        <f t="shared" si="44"/>
        <v>1.0544558190680675E-2</v>
      </c>
      <c r="BC60" s="288"/>
      <c r="BD60" s="283" t="s">
        <v>375</v>
      </c>
      <c r="BE60" s="283">
        <f t="shared" si="9"/>
        <v>2.5742991985800073E-2</v>
      </c>
      <c r="BF60" s="284">
        <f>Splines!AH50</f>
        <v>-2.715793082322923E-3</v>
      </c>
      <c r="BG60" s="284">
        <f t="shared" si="29"/>
        <v>2.3027198903477149E-2</v>
      </c>
      <c r="BH60" s="284">
        <f t="shared" si="45"/>
        <v>3.9391390230708367E-2</v>
      </c>
      <c r="BI60" s="284">
        <f t="shared" si="68"/>
        <v>2.8475701806625434E-4</v>
      </c>
      <c r="BJ60" s="291">
        <f t="shared" si="69"/>
        <v>3.9676147248774621E-2</v>
      </c>
      <c r="BK60" s="284">
        <f t="shared" si="46"/>
        <v>2.3079305242476478E-2</v>
      </c>
      <c r="BL60" s="288"/>
      <c r="BM60" s="283" t="s">
        <v>375</v>
      </c>
      <c r="BN60" s="283">
        <f t="shared" si="10"/>
        <v>2.0077767833625124E-2</v>
      </c>
      <c r="BO60" s="284">
        <f>Splines!AM50</f>
        <v>3.4808129029113193E-3</v>
      </c>
      <c r="BP60" s="284">
        <f t="shared" si="31"/>
        <v>2.3558580736536442E-2</v>
      </c>
      <c r="BQ60" s="284">
        <f t="shared" si="47"/>
        <v>1.7618967837291333E-2</v>
      </c>
      <c r="BR60" s="284">
        <f t="shared" si="70"/>
        <v>5.1997057094454683E-3</v>
      </c>
      <c r="BS60" s="291">
        <f t="shared" si="71"/>
        <v>2.2818673546736799E-2</v>
      </c>
      <c r="BT60" s="284">
        <f t="shared" si="48"/>
        <v>2.4520398928826737E-2</v>
      </c>
      <c r="BU60" s="288"/>
      <c r="BV60" s="659" t="s">
        <v>375</v>
      </c>
      <c r="BW60" s="659">
        <f t="shared" si="11"/>
        <v>3.5776041256451591E-2</v>
      </c>
      <c r="BX60" s="284">
        <f>Splines!AR50</f>
        <v>-1.404162210543691E-3</v>
      </c>
      <c r="BY60" s="284">
        <f t="shared" si="33"/>
        <v>3.4371879045907897E-2</v>
      </c>
      <c r="BZ60" s="284">
        <f t="shared" si="49"/>
        <v>4.7591292446670597E-2</v>
      </c>
      <c r="CA60" s="284">
        <f t="shared" si="72"/>
        <v>-1.7474198538544002E-3</v>
      </c>
      <c r="CB60" s="291">
        <f t="shared" si="34"/>
        <v>4.7591292446670597E-2</v>
      </c>
      <c r="CC60" s="284">
        <f t="shared" si="50"/>
        <v>3.4371879045907994E-2</v>
      </c>
      <c r="CD60" s="288"/>
      <c r="CE60" s="284" t="str">
        <f t="shared" si="1"/>
        <v>46 Year</v>
      </c>
      <c r="CF60" s="284">
        <f t="shared" si="2"/>
        <v>2.5742991985800073E-2</v>
      </c>
      <c r="CG60" s="284">
        <f t="shared" si="16"/>
        <v>-2.715793082322923E-3</v>
      </c>
      <c r="CH60" s="284">
        <f t="shared" si="17"/>
        <v>2.3027198903477149E-2</v>
      </c>
      <c r="CI60" s="284">
        <f t="shared" si="18"/>
        <v>3.9391390230708367E-2</v>
      </c>
      <c r="CJ60" s="284">
        <f t="shared" si="12"/>
        <v>2.8475701806625434E-4</v>
      </c>
      <c r="CK60" s="284">
        <f>BJ60+MIN('Instructions &amp; Dashboard'!$D$43,'Instructions &amp; Dashboard'!$D$44)/10000</f>
        <v>4.1676147248774623E-2</v>
      </c>
      <c r="CL60" s="284">
        <f t="shared" si="51"/>
        <v>2.5294365427444898E-2</v>
      </c>
    </row>
    <row r="61" spans="1:90">
      <c r="A61" s="283">
        <f t="shared" si="52"/>
        <v>47</v>
      </c>
      <c r="B61" s="283" t="s">
        <v>376</v>
      </c>
      <c r="C61" s="283">
        <f t="shared" si="14"/>
        <v>3.1833575287593119E-2</v>
      </c>
      <c r="D61" s="284">
        <f>Splines!D51</f>
        <v>-4.1620485485059809E-3</v>
      </c>
      <c r="E61" s="506">
        <f t="shared" si="15"/>
        <v>2.7671526739087137E-2</v>
      </c>
      <c r="F61" s="507">
        <f t="shared" si="54"/>
        <v>5.1281102883844243E-2</v>
      </c>
      <c r="G61" s="284">
        <f t="shared" si="73"/>
        <v>-2.0703962170666216E-3</v>
      </c>
      <c r="H61" s="284">
        <f t="shared" si="57"/>
        <v>4.9210706666777619E-2</v>
      </c>
      <c r="I61" s="284">
        <f t="shared" si="53"/>
        <v>2.7280691395632939E-2</v>
      </c>
      <c r="J61" s="285"/>
      <c r="K61" s="283" t="s">
        <v>376</v>
      </c>
      <c r="L61" s="283">
        <f t="shared" si="56"/>
        <v>4.3111761670852379E-3</v>
      </c>
      <c r="M61" s="284">
        <f>Splines!I51</f>
        <v>1.8013178359697901E-4</v>
      </c>
      <c r="N61" s="283">
        <f t="shared" si="4"/>
        <v>4.4913079506822169E-3</v>
      </c>
      <c r="O61" s="284">
        <f t="shared" si="35"/>
        <v>7.4728028252435408E-4</v>
      </c>
      <c r="P61" s="284">
        <f t="shared" si="58"/>
        <v>1.8937717343705997E-2</v>
      </c>
      <c r="Q61" s="291">
        <f t="shared" si="59"/>
        <v>1.9684997626230352E-2</v>
      </c>
      <c r="R61" s="284">
        <f t="shared" si="36"/>
        <v>8.1135975803152682E-3</v>
      </c>
      <c r="S61" s="287"/>
      <c r="T61" s="283" t="s">
        <v>376</v>
      </c>
      <c r="U61" s="283">
        <f t="shared" si="5"/>
        <v>1.3946411005133046E-2</v>
      </c>
      <c r="V61" s="284">
        <f>Splines!N51</f>
        <v>-2.7626948071726469E-3</v>
      </c>
      <c r="W61" s="284">
        <f t="shared" si="21"/>
        <v>1.1183716197960398E-2</v>
      </c>
      <c r="X61" s="284">
        <f t="shared" si="37"/>
        <v>1.2962835781976656E-2</v>
      </c>
      <c r="Y61" s="284">
        <f t="shared" si="60"/>
        <v>2.2114091640281334E-2</v>
      </c>
      <c r="Z61" s="291">
        <f t="shared" si="61"/>
        <v>3.5076927422257986E-2</v>
      </c>
      <c r="AA61" s="284">
        <f t="shared" si="38"/>
        <v>1.5390867136898301E-2</v>
      </c>
      <c r="AB61" s="288"/>
      <c r="AC61" s="283" t="s">
        <v>376</v>
      </c>
      <c r="AD61" s="283">
        <f t="shared" si="6"/>
        <v>-1.7894429313959348E-3</v>
      </c>
      <c r="AE61" s="284">
        <f>Splines!S51</f>
        <v>-2.9097275742821804E-4</v>
      </c>
      <c r="AF61" s="284">
        <f t="shared" si="23"/>
        <v>-2.0804156888241526E-3</v>
      </c>
      <c r="AG61" s="284">
        <f t="shared" si="39"/>
        <v>-1.7580360210552093E-2</v>
      </c>
      <c r="AH61" s="284">
        <f t="shared" si="62"/>
        <v>3.9808748342989926E-2</v>
      </c>
      <c r="AI61" s="291">
        <f t="shared" si="63"/>
        <v>2.2228388132437833E-2</v>
      </c>
      <c r="AJ61" s="284">
        <f t="shared" si="40"/>
        <v>5.5403321544829076E-3</v>
      </c>
      <c r="AK61" s="288"/>
      <c r="AL61" s="283" t="s">
        <v>376</v>
      </c>
      <c r="AM61" s="283">
        <f t="shared" si="7"/>
        <v>1.8562271882106671E-2</v>
      </c>
      <c r="AN61" s="283">
        <f>Splines!X51</f>
        <v>1.3985780769756721E-4</v>
      </c>
      <c r="AO61" s="283">
        <f t="shared" si="25"/>
        <v>1.8702129689804239E-2</v>
      </c>
      <c r="AP61" s="284">
        <f t="shared" si="41"/>
        <v>1.4425661459006367E-2</v>
      </c>
      <c r="AQ61" s="284">
        <f t="shared" si="64"/>
        <v>1.329234736127528E-2</v>
      </c>
      <c r="AR61" s="291">
        <f t="shared" si="65"/>
        <v>2.7718008820281647E-2</v>
      </c>
      <c r="AS61" s="284">
        <f t="shared" si="42"/>
        <v>2.1247997168725163E-2</v>
      </c>
      <c r="AT61" s="289"/>
      <c r="AU61" s="283" t="s">
        <v>376</v>
      </c>
      <c r="AV61" s="283">
        <f t="shared" si="8"/>
        <v>1.4448279677980611E-2</v>
      </c>
      <c r="AW61" s="284">
        <f>Splines!AC51</f>
        <v>-3.5852373917415379E-3</v>
      </c>
      <c r="AX61" s="284">
        <f t="shared" si="27"/>
        <v>1.0863042286239072E-2</v>
      </c>
      <c r="AY61" s="284">
        <f t="shared" si="43"/>
        <v>3.9078077323107641E-2</v>
      </c>
      <c r="AZ61" s="284">
        <f t="shared" si="66"/>
        <v>1.6762007376971003E-3</v>
      </c>
      <c r="BA61" s="291">
        <f t="shared" si="67"/>
        <v>4.0754278060804741E-2</v>
      </c>
      <c r="BB61" s="284">
        <f t="shared" si="44"/>
        <v>1.1178096484584454E-2</v>
      </c>
      <c r="BC61" s="288"/>
      <c r="BD61" s="283" t="s">
        <v>376</v>
      </c>
      <c r="BE61" s="283">
        <f t="shared" si="9"/>
        <v>2.5972597028736361E-2</v>
      </c>
      <c r="BF61" s="284">
        <f>Splines!AH51</f>
        <v>-2.5787336592874967E-3</v>
      </c>
      <c r="BG61" s="284">
        <f t="shared" si="29"/>
        <v>2.3393863369448865E-2</v>
      </c>
      <c r="BH61" s="284">
        <f t="shared" si="45"/>
        <v>4.0403256993980063E-2</v>
      </c>
      <c r="BI61" s="284">
        <f t="shared" si="68"/>
        <v>3.0255433169539523E-4</v>
      </c>
      <c r="BJ61" s="291">
        <f t="shared" si="69"/>
        <v>4.070581132567546E-2</v>
      </c>
      <c r="BK61" s="284">
        <f t="shared" si="46"/>
        <v>2.3451210811457956E-2</v>
      </c>
      <c r="BL61" s="288"/>
      <c r="BM61" s="283" t="s">
        <v>376</v>
      </c>
      <c r="BN61" s="283">
        <f t="shared" si="10"/>
        <v>2.0387245919716437E-2</v>
      </c>
      <c r="BO61" s="284">
        <f>Splines!AM51</f>
        <v>3.0376093586794604E-3</v>
      </c>
      <c r="BP61" s="284">
        <f t="shared" si="31"/>
        <v>2.3424855278395898E-2</v>
      </c>
      <c r="BQ61" s="284">
        <f t="shared" si="47"/>
        <v>1.7292333297743268E-2</v>
      </c>
      <c r="BR61" s="284">
        <f t="shared" si="70"/>
        <v>5.5246873162858095E-3</v>
      </c>
      <c r="BS61" s="291">
        <f t="shared" si="71"/>
        <v>2.2817020614029078E-2</v>
      </c>
      <c r="BT61" s="284">
        <f t="shared" si="48"/>
        <v>2.4484127317432547E-2</v>
      </c>
      <c r="BU61" s="288"/>
      <c r="BV61" s="659" t="s">
        <v>376</v>
      </c>
      <c r="BW61" s="659">
        <f t="shared" si="11"/>
        <v>3.6029489243800644E-2</v>
      </c>
      <c r="BX61" s="284">
        <f>Splines!AR51</f>
        <v>-1.3764227158730522E-3</v>
      </c>
      <c r="BY61" s="284">
        <f t="shared" si="33"/>
        <v>3.4653066527927594E-2</v>
      </c>
      <c r="BZ61" s="284">
        <f t="shared" si="49"/>
        <v>4.7670659259043235E-2</v>
      </c>
      <c r="CA61" s="284">
        <f t="shared" si="72"/>
        <v>-1.8566335947203002E-3</v>
      </c>
      <c r="CB61" s="291">
        <f t="shared" si="34"/>
        <v>4.7670659259043235E-2</v>
      </c>
      <c r="CC61" s="284">
        <f t="shared" si="50"/>
        <v>3.4653066527927656E-2</v>
      </c>
      <c r="CD61" s="288"/>
      <c r="CE61" s="284" t="str">
        <f t="shared" si="1"/>
        <v>47 Year</v>
      </c>
      <c r="CF61" s="284">
        <f t="shared" si="2"/>
        <v>2.5972597028736361E-2</v>
      </c>
      <c r="CG61" s="284">
        <f t="shared" si="16"/>
        <v>-2.5787336592874967E-3</v>
      </c>
      <c r="CH61" s="284">
        <f t="shared" si="17"/>
        <v>2.3393863369448865E-2</v>
      </c>
      <c r="CI61" s="284">
        <f t="shared" si="18"/>
        <v>4.0403256993980063E-2</v>
      </c>
      <c r="CJ61" s="284">
        <f t="shared" si="12"/>
        <v>3.0255433169539523E-4</v>
      </c>
      <c r="CK61" s="284">
        <f>BJ61+MIN('Instructions &amp; Dashboard'!$D$43,'Instructions &amp; Dashboard'!$D$44)/10000</f>
        <v>4.2705811325675462E-2</v>
      </c>
      <c r="CL61" s="284">
        <f t="shared" si="51"/>
        <v>2.5661777176037681E-2</v>
      </c>
    </row>
    <row r="62" spans="1:90">
      <c r="A62" s="283">
        <f t="shared" si="52"/>
        <v>48</v>
      </c>
      <c r="B62" s="283" t="s">
        <v>377</v>
      </c>
      <c r="C62" s="283">
        <f t="shared" si="14"/>
        <v>3.2020046117774009E-2</v>
      </c>
      <c r="D62" s="284">
        <f>Splines!D52</f>
        <v>-3.8423413086490915E-3</v>
      </c>
      <c r="E62" s="506">
        <f t="shared" si="15"/>
        <v>2.8177704809124918E-2</v>
      </c>
      <c r="F62" s="507">
        <f t="shared" si="54"/>
        <v>5.2251439742221795E-2</v>
      </c>
      <c r="G62" s="284">
        <f t="shared" si="73"/>
        <v>-2.1921842298352466E-3</v>
      </c>
      <c r="H62" s="284">
        <f t="shared" si="57"/>
        <v>5.0059255512386547E-2</v>
      </c>
      <c r="I62" s="284">
        <f t="shared" si="53"/>
        <v>2.7750167271984427E-2</v>
      </c>
      <c r="J62" s="285"/>
      <c r="K62" s="283" t="s">
        <v>377</v>
      </c>
      <c r="L62" s="283">
        <f t="shared" si="56"/>
        <v>4.3798902799279012E-3</v>
      </c>
      <c r="M62" s="284">
        <f>Splines!I52</f>
        <v>3.7679845339343219E-5</v>
      </c>
      <c r="N62" s="283">
        <f t="shared" si="4"/>
        <v>4.4175701252672445E-3</v>
      </c>
      <c r="O62" s="284">
        <f t="shared" si="35"/>
        <v>9.5799127775775261E-4</v>
      </c>
      <c r="P62" s="284">
        <f t="shared" si="58"/>
        <v>2.0051700716865174E-2</v>
      </c>
      <c r="Q62" s="291">
        <f t="shared" si="59"/>
        <v>2.1009691994622926E-2</v>
      </c>
      <c r="R62" s="284">
        <f t="shared" si="36"/>
        <v>8.3805976361488455E-3</v>
      </c>
      <c r="S62" s="287"/>
      <c r="T62" s="283" t="s">
        <v>377</v>
      </c>
      <c r="U62" s="283">
        <f t="shared" si="5"/>
        <v>1.3793947317247902E-2</v>
      </c>
      <c r="V62" s="284">
        <f>Splines!N52</f>
        <v>-2.5759768666563316E-3</v>
      </c>
      <c r="W62" s="284">
        <f t="shared" si="21"/>
        <v>1.1217970450591572E-2</v>
      </c>
      <c r="X62" s="284">
        <f t="shared" si="37"/>
        <v>1.2829229909077755E-2</v>
      </c>
      <c r="Y62" s="284">
        <f t="shared" si="60"/>
        <v>2.341492056029788E-2</v>
      </c>
      <c r="Z62" s="291">
        <f t="shared" si="61"/>
        <v>3.6244150469375638E-2</v>
      </c>
      <c r="AA62" s="284">
        <f t="shared" si="38"/>
        <v>1.5821000647804562E-2</v>
      </c>
      <c r="AB62" s="288"/>
      <c r="AC62" s="283" t="s">
        <v>377</v>
      </c>
      <c r="AD62" s="283">
        <f t="shared" si="6"/>
        <v>-2.0573630929155151E-3</v>
      </c>
      <c r="AE62" s="284">
        <f>Splines!S52</f>
        <v>-3.7089831538213023E-4</v>
      </c>
      <c r="AF62" s="284">
        <f t="shared" si="23"/>
        <v>-2.4282614082976454E-3</v>
      </c>
      <c r="AG62" s="284">
        <f t="shared" si="39"/>
        <v>-1.8640969610154268E-2</v>
      </c>
      <c r="AH62" s="284">
        <f t="shared" si="62"/>
        <v>4.215043942198933E-2</v>
      </c>
      <c r="AI62" s="291">
        <f t="shared" si="63"/>
        <v>2.3509469811835063E-2</v>
      </c>
      <c r="AJ62" s="284">
        <f t="shared" si="40"/>
        <v>5.9114520757661548E-3</v>
      </c>
      <c r="AK62" s="288"/>
      <c r="AL62" s="283" t="s">
        <v>377</v>
      </c>
      <c r="AM62" s="283">
        <f t="shared" si="7"/>
        <v>1.8610413268183568E-2</v>
      </c>
      <c r="AN62" s="283">
        <f>Splines!X52</f>
        <v>2.6046238154072256E-6</v>
      </c>
      <c r="AO62" s="283">
        <f t="shared" si="25"/>
        <v>1.8613017891998977E-2</v>
      </c>
      <c r="AP62" s="284">
        <f t="shared" si="41"/>
        <v>1.4433544516157859E-2</v>
      </c>
      <c r="AQ62" s="284">
        <f t="shared" si="64"/>
        <v>1.4074250147232648E-2</v>
      </c>
      <c r="AR62" s="291">
        <f t="shared" si="65"/>
        <v>2.8507794663390505E-2</v>
      </c>
      <c r="AS62" s="284">
        <f t="shared" si="42"/>
        <v>2.1398719020896628E-2</v>
      </c>
      <c r="AT62" s="289"/>
      <c r="AU62" s="283" t="s">
        <v>377</v>
      </c>
      <c r="AV62" s="283">
        <f t="shared" si="8"/>
        <v>1.4801618517821975E-2</v>
      </c>
      <c r="AW62" s="284">
        <f>Splines!AC52</f>
        <v>-3.3328316587647351E-3</v>
      </c>
      <c r="AX62" s="284">
        <f t="shared" si="27"/>
        <v>1.146878685905724E-2</v>
      </c>
      <c r="AY62" s="284">
        <f t="shared" si="43"/>
        <v>4.0352014628276311E-2</v>
      </c>
      <c r="AZ62" s="284">
        <f t="shared" si="66"/>
        <v>1.7748007810910473E-3</v>
      </c>
      <c r="BA62" s="291">
        <f t="shared" si="67"/>
        <v>4.2126815409367357E-2</v>
      </c>
      <c r="BB62" s="284">
        <f t="shared" si="44"/>
        <v>1.1813390736431506E-2</v>
      </c>
      <c r="BC62" s="288"/>
      <c r="BD62" s="283" t="s">
        <v>377</v>
      </c>
      <c r="BE62" s="283">
        <f t="shared" si="9"/>
        <v>2.6198515980715455E-2</v>
      </c>
      <c r="BF62" s="284">
        <f>Splines!AH52</f>
        <v>-2.4343458343669671E-3</v>
      </c>
      <c r="BG62" s="284">
        <f t="shared" si="29"/>
        <v>2.376417014634849E-2</v>
      </c>
      <c r="BH62" s="284">
        <f t="shared" si="45"/>
        <v>4.1320574213671968E-2</v>
      </c>
      <c r="BI62" s="284">
        <f t="shared" si="68"/>
        <v>3.2035164532453613E-4</v>
      </c>
      <c r="BJ62" s="291">
        <f t="shared" si="69"/>
        <v>4.1640925858996501E-2</v>
      </c>
      <c r="BK62" s="284">
        <f t="shared" si="46"/>
        <v>2.382690397827214E-2</v>
      </c>
      <c r="BL62" s="288"/>
      <c r="BM62" s="283" t="s">
        <v>377</v>
      </c>
      <c r="BN62" s="283">
        <f t="shared" si="10"/>
        <v>2.069431968675986E-2</v>
      </c>
      <c r="BO62" s="284">
        <f>Splines!AM52</f>
        <v>2.5986064264423279E-3</v>
      </c>
      <c r="BP62" s="284">
        <f t="shared" si="31"/>
        <v>2.3292926113202189E-2</v>
      </c>
      <c r="BQ62" s="284">
        <f t="shared" si="47"/>
        <v>1.7111401290829997E-2</v>
      </c>
      <c r="BR62" s="284">
        <f t="shared" si="70"/>
        <v>5.8496689231261516E-3</v>
      </c>
      <c r="BS62" s="291">
        <f t="shared" si="71"/>
        <v>2.2961070213956148E-2</v>
      </c>
      <c r="BT62" s="284">
        <f t="shared" si="48"/>
        <v>2.4452373843723452E-2</v>
      </c>
      <c r="BU62" s="288"/>
      <c r="BV62" s="659" t="s">
        <v>377</v>
      </c>
      <c r="BW62" s="659">
        <f t="shared" si="11"/>
        <v>3.626929740866483E-2</v>
      </c>
      <c r="BX62" s="284">
        <f>Splines!AR52</f>
        <v>-1.3457128898098573E-3</v>
      </c>
      <c r="BY62" s="284">
        <f t="shared" si="33"/>
        <v>3.4923584518854973E-2</v>
      </c>
      <c r="BZ62" s="284">
        <f t="shared" si="49"/>
        <v>4.7718033203414612E-2</v>
      </c>
      <c r="CA62" s="284">
        <f t="shared" si="72"/>
        <v>-1.9658473355862001E-3</v>
      </c>
      <c r="CB62" s="291">
        <f t="shared" si="34"/>
        <v>4.7718033203414612E-2</v>
      </c>
      <c r="CC62" s="284">
        <f t="shared" si="50"/>
        <v>3.4923584518854911E-2</v>
      </c>
      <c r="CD62" s="288"/>
      <c r="CE62" s="284" t="str">
        <f t="shared" si="1"/>
        <v>48 Year</v>
      </c>
      <c r="CF62" s="284">
        <f t="shared" si="2"/>
        <v>2.6198515980715455E-2</v>
      </c>
      <c r="CG62" s="284">
        <f t="shared" si="16"/>
        <v>-2.4343458343669671E-3</v>
      </c>
      <c r="CH62" s="284">
        <f t="shared" si="17"/>
        <v>2.376417014634849E-2</v>
      </c>
      <c r="CI62" s="284">
        <f t="shared" si="18"/>
        <v>4.1320574213671968E-2</v>
      </c>
      <c r="CJ62" s="284">
        <f t="shared" si="12"/>
        <v>3.2035164532453613E-4</v>
      </c>
      <c r="CK62" s="284">
        <f>BJ62+MIN('Instructions &amp; Dashboard'!$D$43,'Instructions &amp; Dashboard'!$D$44)/10000</f>
        <v>4.3640925858996503E-2</v>
      </c>
      <c r="CL62" s="284">
        <f t="shared" si="51"/>
        <v>2.6033164924804897E-2</v>
      </c>
    </row>
    <row r="63" spans="1:90">
      <c r="A63" s="283">
        <f t="shared" si="52"/>
        <v>49</v>
      </c>
      <c r="B63" s="283" t="s">
        <v>378</v>
      </c>
      <c r="C63" s="283">
        <f t="shared" si="14"/>
        <v>3.2200922815792593E-2</v>
      </c>
      <c r="D63" s="284">
        <f>Splines!D53</f>
        <v>-3.5217201931617955E-3</v>
      </c>
      <c r="E63" s="506">
        <f t="shared" si="15"/>
        <v>2.8679202622630798E-2</v>
      </c>
      <c r="F63" s="507">
        <f t="shared" si="54"/>
        <v>5.3040966702011083E-2</v>
      </c>
      <c r="G63" s="284">
        <f t="shared" si="73"/>
        <v>-2.3139722426038711E-3</v>
      </c>
      <c r="H63" s="284">
        <f t="shared" si="57"/>
        <v>5.0726994459407211E-2</v>
      </c>
      <c r="I63" s="284">
        <f t="shared" si="53"/>
        <v>2.8214021961272318E-2</v>
      </c>
      <c r="J63" s="285"/>
      <c r="K63" s="283" t="s">
        <v>378</v>
      </c>
      <c r="L63" s="283">
        <f t="shared" si="56"/>
        <v>4.4506779741012338E-3</v>
      </c>
      <c r="M63" s="284">
        <f>Splines!I53</f>
        <v>-9.8307162482448997E-5</v>
      </c>
      <c r="N63" s="283">
        <f t="shared" si="4"/>
        <v>4.3523708116187847E-3</v>
      </c>
      <c r="O63" s="284">
        <f t="shared" si="35"/>
        <v>1.2277758296708186E-3</v>
      </c>
      <c r="P63" s="284">
        <f t="shared" si="58"/>
        <v>2.116568409002435E-2</v>
      </c>
      <c r="Q63" s="291">
        <f t="shared" si="59"/>
        <v>2.2393459919695168E-2</v>
      </c>
      <c r="R63" s="284">
        <f t="shared" si="36"/>
        <v>8.6646456106831415E-3</v>
      </c>
      <c r="S63" s="287"/>
      <c r="T63" s="283" t="s">
        <v>378</v>
      </c>
      <c r="U63" s="283">
        <f t="shared" si="5"/>
        <v>1.3637720272458895E-2</v>
      </c>
      <c r="V63" s="284">
        <f>Splines!N53</f>
        <v>-2.3912493343577457E-3</v>
      </c>
      <c r="W63" s="284">
        <f t="shared" si="21"/>
        <v>1.1246470938101149E-2</v>
      </c>
      <c r="X63" s="284">
        <f t="shared" si="37"/>
        <v>1.2615439397522188E-2</v>
      </c>
      <c r="Y63" s="284">
        <f t="shared" si="60"/>
        <v>2.4715749480314429E-2</v>
      </c>
      <c r="Z63" s="291">
        <f t="shared" si="61"/>
        <v>3.7331188877836617E-2</v>
      </c>
      <c r="AA63" s="284">
        <f t="shared" si="38"/>
        <v>1.6255493787916242E-2</v>
      </c>
      <c r="AB63" s="288"/>
      <c r="AC63" s="283" t="s">
        <v>378</v>
      </c>
      <c r="AD63" s="283">
        <f t="shared" si="6"/>
        <v>-2.3346121513124346E-3</v>
      </c>
      <c r="AE63" s="284">
        <f>Splines!S53</f>
        <v>-4.4860503208898385E-4</v>
      </c>
      <c r="AF63" s="284">
        <f t="shared" si="23"/>
        <v>-2.7832171834014183E-3</v>
      </c>
      <c r="AG63" s="284">
        <f t="shared" si="39"/>
        <v>-1.9673389844537259E-2</v>
      </c>
      <c r="AH63" s="284">
        <f t="shared" si="62"/>
        <v>4.4492130500988741E-2</v>
      </c>
      <c r="AI63" s="291">
        <f t="shared" si="63"/>
        <v>2.4818740656451482E-2</v>
      </c>
      <c r="AJ63" s="284">
        <f t="shared" si="40"/>
        <v>6.2938061928776712E-3</v>
      </c>
      <c r="AK63" s="288"/>
      <c r="AL63" s="283" t="s">
        <v>378</v>
      </c>
      <c r="AM63" s="283">
        <f t="shared" si="7"/>
        <v>1.8657085906613354E-2</v>
      </c>
      <c r="AN63" s="283">
        <f>Splines!X53</f>
        <v>-1.2850350618632948E-4</v>
      </c>
      <c r="AO63" s="283">
        <f t="shared" si="25"/>
        <v>1.8528582400427023E-2</v>
      </c>
      <c r="AP63" s="284">
        <f t="shared" si="41"/>
        <v>1.4483899042115445E-2</v>
      </c>
      <c r="AQ63" s="284">
        <f t="shared" si="64"/>
        <v>1.4856152933190018E-2</v>
      </c>
      <c r="AR63" s="291">
        <f t="shared" si="65"/>
        <v>2.934005197530546E-2</v>
      </c>
      <c r="AS63" s="284">
        <f t="shared" si="42"/>
        <v>2.1560173010321648E-2</v>
      </c>
      <c r="AT63" s="289"/>
      <c r="AU63" s="283" t="s">
        <v>378</v>
      </c>
      <c r="AV63" s="283">
        <f t="shared" si="8"/>
        <v>1.5149207784989096E-2</v>
      </c>
      <c r="AW63" s="284">
        <f>Splines!AC53</f>
        <v>-3.0770362002249169E-3</v>
      </c>
      <c r="AX63" s="284">
        <f t="shared" si="27"/>
        <v>1.2072171584764179E-2</v>
      </c>
      <c r="AY63" s="284">
        <f t="shared" si="43"/>
        <v>4.1461917069485432E-2</v>
      </c>
      <c r="AZ63" s="284">
        <f t="shared" si="66"/>
        <v>1.8734008244849943E-3</v>
      </c>
      <c r="BA63" s="291">
        <f t="shared" si="67"/>
        <v>4.3335317893970424E-2</v>
      </c>
      <c r="BB63" s="284">
        <f t="shared" si="44"/>
        <v>1.244707638008502E-2</v>
      </c>
      <c r="BC63" s="288"/>
      <c r="BD63" s="283" t="s">
        <v>378</v>
      </c>
      <c r="BE63" s="283">
        <f t="shared" si="9"/>
        <v>2.6420821225561469E-2</v>
      </c>
      <c r="BF63" s="284">
        <f>Splines!AH53</f>
        <v>-2.2850195658112755E-3</v>
      </c>
      <c r="BG63" s="284">
        <f t="shared" si="29"/>
        <v>2.4135801659750194E-2</v>
      </c>
      <c r="BH63" s="284">
        <f t="shared" si="45"/>
        <v>4.2133667540016351E-2</v>
      </c>
      <c r="BI63" s="284">
        <f t="shared" si="68"/>
        <v>3.3814895895367702E-4</v>
      </c>
      <c r="BJ63" s="291">
        <f t="shared" si="69"/>
        <v>4.2471816498970028E-2</v>
      </c>
      <c r="BK63" s="284">
        <f t="shared" si="46"/>
        <v>2.4204058625802549E-2</v>
      </c>
      <c r="BL63" s="288"/>
      <c r="BM63" s="283" t="s">
        <v>378</v>
      </c>
      <c r="BN63" s="283">
        <f t="shared" si="10"/>
        <v>2.0998512708377493E-2</v>
      </c>
      <c r="BO63" s="284">
        <f>Splines!AM53</f>
        <v>2.1674899071026077E-3</v>
      </c>
      <c r="BP63" s="284">
        <f t="shared" si="31"/>
        <v>2.3166002615480099E-2</v>
      </c>
      <c r="BQ63" s="284">
        <f t="shared" si="47"/>
        <v>1.7092152423201945E-2</v>
      </c>
      <c r="BR63" s="284">
        <f t="shared" si="70"/>
        <v>6.1746505299664928E-3</v>
      </c>
      <c r="BS63" s="291">
        <f t="shared" si="71"/>
        <v>2.3266802953168436E-2</v>
      </c>
      <c r="BT63" s="284">
        <f t="shared" si="48"/>
        <v>2.4428164794368934E-2</v>
      </c>
      <c r="BU63" s="288"/>
      <c r="BV63" s="659" t="s">
        <v>378</v>
      </c>
      <c r="BW63" s="659">
        <f t="shared" si="11"/>
        <v>3.6496149234603786E-2</v>
      </c>
      <c r="BX63" s="284">
        <f>Splines!AR53</f>
        <v>-1.3127319061204898E-3</v>
      </c>
      <c r="BY63" s="284">
        <f t="shared" si="33"/>
        <v>3.5183417328483298E-2</v>
      </c>
      <c r="BZ63" s="284">
        <f t="shared" si="49"/>
        <v>4.7732411003603259E-2</v>
      </c>
      <c r="CA63" s="284">
        <f t="shared" si="72"/>
        <v>-2.0750610764521003E-3</v>
      </c>
      <c r="CB63" s="291">
        <f t="shared" si="34"/>
        <v>4.7732411003603259E-2</v>
      </c>
      <c r="CC63" s="284">
        <f t="shared" si="50"/>
        <v>3.5183417328483291E-2</v>
      </c>
      <c r="CD63" s="288"/>
      <c r="CE63" s="284" t="str">
        <f t="shared" si="1"/>
        <v>49 Year</v>
      </c>
      <c r="CF63" s="284">
        <f t="shared" si="2"/>
        <v>2.6420821225561469E-2</v>
      </c>
      <c r="CG63" s="284">
        <f t="shared" si="16"/>
        <v>-2.2850195658112755E-3</v>
      </c>
      <c r="CH63" s="284">
        <f t="shared" si="17"/>
        <v>2.4135801659750194E-2</v>
      </c>
      <c r="CI63" s="284">
        <f t="shared" si="18"/>
        <v>4.2133667540016351E-2</v>
      </c>
      <c r="CJ63" s="284">
        <f t="shared" si="12"/>
        <v>3.3814895895367702E-4</v>
      </c>
      <c r="CK63" s="284">
        <f>BJ63+MIN('Instructions &amp; Dashboard'!$D$43,'Instructions &amp; Dashboard'!$D$44)/10000</f>
        <v>4.4471816498970029E-2</v>
      </c>
      <c r="CL63" s="284">
        <f t="shared" si="51"/>
        <v>2.6406190499369764E-2</v>
      </c>
    </row>
    <row r="64" spans="1:90">
      <c r="A64" s="283">
        <f t="shared" si="52"/>
        <v>50</v>
      </c>
      <c r="B64" s="283" t="s">
        <v>379</v>
      </c>
      <c r="C64" s="283">
        <f t="shared" si="14"/>
        <v>3.2376388086549662E-2</v>
      </c>
      <c r="D64" s="284">
        <f>Splines!D54</f>
        <v>-3.2039106538274938E-3</v>
      </c>
      <c r="E64" s="506">
        <f t="shared" si="15"/>
        <v>2.9172477432722169E-2</v>
      </c>
      <c r="F64" s="507">
        <f t="shared" si="54"/>
        <v>5.3634935874747658E-2</v>
      </c>
      <c r="G64" s="284">
        <f t="shared" si="73"/>
        <v>-2.4357602553724961E-3</v>
      </c>
      <c r="H64" s="284">
        <f t="shared" si="57"/>
        <v>5.1199175619375162E-2</v>
      </c>
      <c r="I64" s="284">
        <f t="shared" si="53"/>
        <v>2.8668762671885784E-2</v>
      </c>
      <c r="J64" s="285"/>
      <c r="K64" s="283" t="s">
        <v>379</v>
      </c>
      <c r="L64" s="283">
        <f t="shared" si="56"/>
        <v>4.5236559316040106E-3</v>
      </c>
      <c r="M64" s="284">
        <f>Splines!I54</f>
        <v>-2.2724365043606234E-4</v>
      </c>
      <c r="N64" s="283">
        <f t="shared" si="4"/>
        <v>4.2964122811679486E-3</v>
      </c>
      <c r="O64" s="284">
        <f t="shared" si="35"/>
        <v>1.5582601760875114E-3</v>
      </c>
      <c r="P64" s="284">
        <f t="shared" si="58"/>
        <v>2.2279667463183526E-2</v>
      </c>
      <c r="Q64" s="291">
        <f t="shared" si="59"/>
        <v>2.3837927639271037E-2</v>
      </c>
      <c r="R64" s="284">
        <f t="shared" si="36"/>
        <v>8.9658963559950955E-3</v>
      </c>
      <c r="S64" s="287"/>
      <c r="T64" s="283" t="s">
        <v>379</v>
      </c>
      <c r="U64" s="283">
        <f t="shared" si="5"/>
        <v>1.3478112739390688E-2</v>
      </c>
      <c r="V64" s="284">
        <f>Splines!N54</f>
        <v>-2.2102933968389965E-3</v>
      </c>
      <c r="W64" s="284">
        <f t="shared" si="21"/>
        <v>1.1267819342551692E-2</v>
      </c>
      <c r="X64" s="284">
        <f t="shared" si="37"/>
        <v>1.2314443437208222E-2</v>
      </c>
      <c r="Y64" s="284">
        <f t="shared" si="60"/>
        <v>2.6016578400330979E-2</v>
      </c>
      <c r="Z64" s="291">
        <f t="shared" si="61"/>
        <v>3.8331021837539198E-2</v>
      </c>
      <c r="AA64" s="284">
        <f t="shared" si="38"/>
        <v>1.6692371219878765E-2</v>
      </c>
      <c r="AB64" s="288"/>
      <c r="AC64" s="283" t="s">
        <v>379</v>
      </c>
      <c r="AD64" s="283">
        <f t="shared" si="6"/>
        <v>-2.6206774143847644E-3</v>
      </c>
      <c r="AE64" s="284">
        <f>Splines!S54</f>
        <v>-5.2354423281486084E-4</v>
      </c>
      <c r="AF64" s="284">
        <f t="shared" si="23"/>
        <v>-3.1442216471996255E-3</v>
      </c>
      <c r="AG64" s="284">
        <f t="shared" si="39"/>
        <v>-2.0674270984127663E-2</v>
      </c>
      <c r="AH64" s="284">
        <f t="shared" si="62"/>
        <v>4.6833821579988145E-2</v>
      </c>
      <c r="AI64" s="291">
        <f t="shared" si="63"/>
        <v>2.6159550595860483E-2</v>
      </c>
      <c r="AJ64" s="284">
        <f t="shared" si="40"/>
        <v>6.6873270733498469E-3</v>
      </c>
      <c r="AK64" s="288"/>
      <c r="AL64" s="283" t="s">
        <v>379</v>
      </c>
      <c r="AM64" s="283">
        <f t="shared" si="7"/>
        <v>1.8702332947234539E-2</v>
      </c>
      <c r="AN64" s="283">
        <f>Splines!X54</f>
        <v>-2.5288924191748221E-4</v>
      </c>
      <c r="AO64" s="283">
        <f t="shared" si="25"/>
        <v>1.8449443705317058E-2</v>
      </c>
      <c r="AP64" s="284">
        <f t="shared" si="41"/>
        <v>1.4579170815124609E-2</v>
      </c>
      <c r="AQ64" s="284">
        <f t="shared" si="64"/>
        <v>1.5638055719147385E-2</v>
      </c>
      <c r="AR64" s="291">
        <f t="shared" si="65"/>
        <v>3.0217226534271995E-2</v>
      </c>
      <c r="AS64" s="284">
        <f t="shared" si="42"/>
        <v>2.1732599120727558E-2</v>
      </c>
      <c r="AT64" s="289"/>
      <c r="AU64" s="283" t="s">
        <v>379</v>
      </c>
      <c r="AV64" s="283">
        <f t="shared" si="8"/>
        <v>1.5491091114139894E-2</v>
      </c>
      <c r="AW64" s="284">
        <f>Splines!AC54</f>
        <v>-2.8212093881074519E-3</v>
      </c>
      <c r="AX64" s="284">
        <f t="shared" si="27"/>
        <v>1.2669881726032442E-2</v>
      </c>
      <c r="AY64" s="284">
        <f t="shared" si="43"/>
        <v>4.239421330113391E-2</v>
      </c>
      <c r="AZ64" s="284">
        <f t="shared" si="66"/>
        <v>1.9720008678789413E-3</v>
      </c>
      <c r="BA64" s="291">
        <f t="shared" si="67"/>
        <v>4.4366214169012853E-2</v>
      </c>
      <c r="BB64" s="284">
        <f t="shared" si="44"/>
        <v>1.3075797838020708E-2</v>
      </c>
      <c r="BC64" s="288"/>
      <c r="BD64" s="283" t="s">
        <v>379</v>
      </c>
      <c r="BE64" s="283">
        <f t="shared" si="9"/>
        <v>2.6639582680501372E-2</v>
      </c>
      <c r="BF64" s="284">
        <f>Splines!AH54</f>
        <v>-2.1331446372473825E-3</v>
      </c>
      <c r="BG64" s="284">
        <f t="shared" si="29"/>
        <v>2.4506438043253989E-2</v>
      </c>
      <c r="BH64" s="284">
        <f t="shared" si="45"/>
        <v>4.2832890369469467E-2</v>
      </c>
      <c r="BI64" s="284">
        <f t="shared" si="68"/>
        <v>3.5594627258281791E-4</v>
      </c>
      <c r="BJ64" s="291">
        <f t="shared" si="69"/>
        <v>4.3188836642052288E-2</v>
      </c>
      <c r="BK64" s="284">
        <f t="shared" si="46"/>
        <v>2.4580347140377601E-2</v>
      </c>
      <c r="BL64" s="288"/>
      <c r="BM64" s="283" t="s">
        <v>379</v>
      </c>
      <c r="BN64" s="283">
        <f t="shared" si="10"/>
        <v>2.1299414503155346E-2</v>
      </c>
      <c r="BO64" s="284">
        <f>Splines!AM54</f>
        <v>1.747946532885558E-3</v>
      </c>
      <c r="BP64" s="284">
        <f t="shared" si="31"/>
        <v>2.3047361036040905E-2</v>
      </c>
      <c r="BQ64" s="284">
        <f t="shared" si="47"/>
        <v>1.7250744900160653E-2</v>
      </c>
      <c r="BR64" s="284">
        <f t="shared" si="70"/>
        <v>6.4996321368068349E-3</v>
      </c>
      <c r="BS64" s="291">
        <f t="shared" si="71"/>
        <v>2.3750377036967488E-2</v>
      </c>
      <c r="BT64" s="284">
        <f t="shared" si="48"/>
        <v>2.4414604642572835E-2</v>
      </c>
      <c r="BU64" s="288"/>
      <c r="BV64" s="659" t="s">
        <v>379</v>
      </c>
      <c r="BW64" s="659">
        <f t="shared" si="11"/>
        <v>3.6710705960703194E-2</v>
      </c>
      <c r="BX64" s="284">
        <f>Splines!AR54</f>
        <v>-1.2781789094675026E-3</v>
      </c>
      <c r="BY64" s="284">
        <f t="shared" si="33"/>
        <v>3.5432527051235688E-2</v>
      </c>
      <c r="BZ64" s="284">
        <f t="shared" si="49"/>
        <v>4.7712621510882292E-2</v>
      </c>
      <c r="CA64" s="284">
        <f t="shared" si="72"/>
        <v>-2.1842748173180001E-3</v>
      </c>
      <c r="CB64" s="291">
        <f t="shared" si="34"/>
        <v>4.7712621510882292E-2</v>
      </c>
      <c r="CC64" s="284">
        <f t="shared" si="50"/>
        <v>3.5432527051235674E-2</v>
      </c>
      <c r="CD64" s="288"/>
      <c r="CE64" s="284" t="str">
        <f t="shared" si="1"/>
        <v>50 Year</v>
      </c>
      <c r="CF64" s="284">
        <f t="shared" si="2"/>
        <v>2.6639582680501372E-2</v>
      </c>
      <c r="CG64" s="284">
        <f t="shared" si="16"/>
        <v>-2.1331446372473825E-3</v>
      </c>
      <c r="CH64" s="284">
        <f t="shared" si="17"/>
        <v>2.4506438043253989E-2</v>
      </c>
      <c r="CI64" s="284">
        <f t="shared" si="18"/>
        <v>4.2832890369469467E-2</v>
      </c>
      <c r="CJ64" s="284">
        <f t="shared" si="12"/>
        <v>3.5594627258281791E-4</v>
      </c>
      <c r="CK64" s="284">
        <f>BJ64+MIN('Instructions &amp; Dashboard'!$D$43,'Instructions &amp; Dashboard'!$D$44)/10000</f>
        <v>4.5188836642052289E-2</v>
      </c>
      <c r="CL64" s="284">
        <f t="shared" si="51"/>
        <v>2.6778515183052187E-2</v>
      </c>
    </row>
    <row r="65" spans="1:90">
      <c r="A65" s="283">
        <f t="shared" si="52"/>
        <v>51</v>
      </c>
      <c r="B65" s="283" t="s">
        <v>380</v>
      </c>
      <c r="C65" s="283">
        <f t="shared" si="14"/>
        <v>3.2546621050680763E-2</v>
      </c>
      <c r="D65" s="284">
        <f>Splines!D55</f>
        <v>-2.8926379095989422E-3</v>
      </c>
      <c r="E65" s="506">
        <f t="shared" si="15"/>
        <v>2.9653983141081822E-2</v>
      </c>
      <c r="F65" s="507">
        <f t="shared" si="54"/>
        <v>5.4018702588870982E-2</v>
      </c>
      <c r="G65" s="284">
        <f t="shared" si="73"/>
        <v>-2.5575482681411206E-3</v>
      </c>
      <c r="H65" s="284">
        <f t="shared" si="57"/>
        <v>5.1461154320729861E-2</v>
      </c>
      <c r="I65" s="284">
        <f t="shared" si="53"/>
        <v>2.9110888112405586E-2</v>
      </c>
      <c r="J65" s="285"/>
      <c r="K65" s="283" t="s">
        <v>380</v>
      </c>
      <c r="L65" s="283">
        <f t="shared" si="56"/>
        <v>4.5989170514821286E-3</v>
      </c>
      <c r="M65" s="284">
        <f>Splines!I55</f>
        <v>-3.485439708814991E-4</v>
      </c>
      <c r="N65" s="283">
        <f t="shared" si="4"/>
        <v>4.2503730806006295E-3</v>
      </c>
      <c r="O65" s="284">
        <f t="shared" si="35"/>
        <v>1.9511019772899818E-3</v>
      </c>
      <c r="P65" s="284">
        <f t="shared" si="58"/>
        <v>2.3393650836342702E-2</v>
      </c>
      <c r="Q65" s="291">
        <f t="shared" si="59"/>
        <v>2.5344752813632684E-2</v>
      </c>
      <c r="R65" s="284">
        <f t="shared" si="36"/>
        <v>9.2845218781283378E-3</v>
      </c>
      <c r="S65" s="287"/>
      <c r="T65" s="283" t="s">
        <v>380</v>
      </c>
      <c r="U65" s="283">
        <f t="shared" si="5"/>
        <v>1.331547807319744E-2</v>
      </c>
      <c r="V65" s="284">
        <f>Splines!N55</f>
        <v>-2.0348900078315459E-3</v>
      </c>
      <c r="W65" s="284">
        <f t="shared" si="21"/>
        <v>1.1280588065365894E-2</v>
      </c>
      <c r="X65" s="284">
        <f t="shared" si="37"/>
        <v>1.1919229808621479E-2</v>
      </c>
      <c r="Y65" s="284">
        <f t="shared" si="60"/>
        <v>2.7317407320347528E-2</v>
      </c>
      <c r="Z65" s="291">
        <f t="shared" si="61"/>
        <v>3.9236637128969007E-2</v>
      </c>
      <c r="AA65" s="284">
        <f t="shared" si="38"/>
        <v>1.7129679963365785E-2</v>
      </c>
      <c r="AB65" s="288"/>
      <c r="AC65" s="283" t="s">
        <v>380</v>
      </c>
      <c r="AD65" s="283">
        <f t="shared" si="6"/>
        <v>-2.915062577027519E-3</v>
      </c>
      <c r="AE65" s="284">
        <f>Splines!S55</f>
        <v>-5.9516715551435158E-4</v>
      </c>
      <c r="AF65" s="284">
        <f t="shared" si="23"/>
        <v>-3.5102297325418706E-3</v>
      </c>
      <c r="AG65" s="284">
        <f t="shared" si="39"/>
        <v>-2.1640316835358164E-2</v>
      </c>
      <c r="AH65" s="284">
        <f t="shared" si="62"/>
        <v>4.917551265898755E-2</v>
      </c>
      <c r="AI65" s="291">
        <f t="shared" si="63"/>
        <v>2.7535195823629385E-2</v>
      </c>
      <c r="AJ65" s="284">
        <f t="shared" si="40"/>
        <v>7.0920148723572218E-3</v>
      </c>
      <c r="AK65" s="288"/>
      <c r="AL65" s="283" t="s">
        <v>380</v>
      </c>
      <c r="AM65" s="283">
        <f t="shared" si="7"/>
        <v>1.8746196588275241E-2</v>
      </c>
      <c r="AN65" s="283">
        <f>Splines!X55</f>
        <v>-3.6997518478022967E-4</v>
      </c>
      <c r="AO65" s="283">
        <f t="shared" si="25"/>
        <v>1.837622140349501E-2</v>
      </c>
      <c r="AP65" s="284">
        <f t="shared" si="41"/>
        <v>1.4721810522447365E-2</v>
      </c>
      <c r="AQ65" s="284">
        <f t="shared" si="64"/>
        <v>1.6419958505104755E-2</v>
      </c>
      <c r="AR65" s="291">
        <f t="shared" si="65"/>
        <v>3.114176902755212E-2</v>
      </c>
      <c r="AS65" s="284">
        <f t="shared" si="42"/>
        <v>2.1916264830216248E-2</v>
      </c>
      <c r="AT65" s="289"/>
      <c r="AU65" s="283" t="s">
        <v>380</v>
      </c>
      <c r="AV65" s="283">
        <f t="shared" si="8"/>
        <v>1.5827316574939462E-2</v>
      </c>
      <c r="AW65" s="284">
        <f>Splines!AC55</f>
        <v>-2.5687091287364219E-3</v>
      </c>
      <c r="AX65" s="284">
        <f t="shared" si="27"/>
        <v>1.325860744620304E-2</v>
      </c>
      <c r="AY65" s="284">
        <f t="shared" si="43"/>
        <v>4.3135449709813978E-2</v>
      </c>
      <c r="AZ65" s="284">
        <f t="shared" si="66"/>
        <v>2.0706009112728884E-3</v>
      </c>
      <c r="BA65" s="291">
        <f t="shared" si="67"/>
        <v>4.5206050621086867E-2</v>
      </c>
      <c r="BB65" s="284">
        <f t="shared" si="44"/>
        <v>1.3696208547139266E-2</v>
      </c>
      <c r="BC65" s="288"/>
      <c r="BD65" s="283" t="s">
        <v>380</v>
      </c>
      <c r="BE65" s="283">
        <f t="shared" si="9"/>
        <v>2.685486797198465E-2</v>
      </c>
      <c r="BF65" s="284">
        <f>Splines!AH55</f>
        <v>-1.9811110069252302E-3</v>
      </c>
      <c r="BG65" s="284">
        <f t="shared" si="29"/>
        <v>2.4873756965059418E-2</v>
      </c>
      <c r="BH65" s="284">
        <f t="shared" si="45"/>
        <v>4.3408602738227886E-2</v>
      </c>
      <c r="BI65" s="284">
        <f t="shared" si="68"/>
        <v>3.7374358621195881E-4</v>
      </c>
      <c r="BJ65" s="291">
        <f t="shared" si="69"/>
        <v>4.3782346324439843E-2</v>
      </c>
      <c r="BK65" s="284">
        <f t="shared" si="46"/>
        <v>2.4953440165038199E-2</v>
      </c>
      <c r="BL65" s="288"/>
      <c r="BM65" s="283" t="s">
        <v>380</v>
      </c>
      <c r="BN65" s="283">
        <f t="shared" si="10"/>
        <v>2.1596674065483899E-2</v>
      </c>
      <c r="BO65" s="284">
        <f>Splines!AM55</f>
        <v>1.3436621046938649E-3</v>
      </c>
      <c r="BP65" s="284">
        <f t="shared" si="31"/>
        <v>2.2940336170177763E-2</v>
      </c>
      <c r="BQ65" s="284">
        <f t="shared" si="47"/>
        <v>1.7603343769115654E-2</v>
      </c>
      <c r="BR65" s="284">
        <f t="shared" si="70"/>
        <v>6.8246137436471762E-3</v>
      </c>
      <c r="BS65" s="291">
        <f t="shared" si="71"/>
        <v>2.4427957512762829E-2</v>
      </c>
      <c r="BT65" s="284">
        <f t="shared" si="48"/>
        <v>2.4414866461883955E-2</v>
      </c>
      <c r="BU65" s="288"/>
      <c r="BV65" s="659" t="s">
        <v>380</v>
      </c>
      <c r="BW65" s="659">
        <f t="shared" si="11"/>
        <v>3.6913605571927466E-2</v>
      </c>
      <c r="BX65" s="284">
        <f>Splines!AR55</f>
        <v>-1.2427530736172797E-3</v>
      </c>
      <c r="BY65" s="284">
        <f t="shared" si="33"/>
        <v>3.5670852498310188E-2</v>
      </c>
      <c r="BZ65" s="284">
        <f t="shared" si="49"/>
        <v>4.7657329094900724E-2</v>
      </c>
      <c r="CA65" s="284">
        <f t="shared" si="72"/>
        <v>-2.2934885581838999E-3</v>
      </c>
      <c r="CB65" s="291">
        <f t="shared" si="34"/>
        <v>4.7657329094900724E-2</v>
      </c>
      <c r="CC65" s="284">
        <f t="shared" si="50"/>
        <v>3.5670852498310257E-2</v>
      </c>
      <c r="CD65" s="288"/>
      <c r="CE65" s="284" t="str">
        <f t="shared" si="1"/>
        <v>51 Year</v>
      </c>
      <c r="CF65" s="284">
        <f t="shared" si="2"/>
        <v>2.685486797198465E-2</v>
      </c>
      <c r="CG65" s="284">
        <f t="shared" si="16"/>
        <v>-1.9811110069252302E-3</v>
      </c>
      <c r="CH65" s="284">
        <f t="shared" si="17"/>
        <v>2.4873756965059418E-2</v>
      </c>
      <c r="CI65" s="284">
        <f t="shared" si="18"/>
        <v>4.3408602738227886E-2</v>
      </c>
      <c r="CJ65" s="284">
        <f t="shared" si="12"/>
        <v>3.7374358621195881E-4</v>
      </c>
      <c r="CK65" s="284">
        <f>BJ65+MIN('Instructions &amp; Dashboard'!$D$43,'Instructions &amp; Dashboard'!$D$44)/10000</f>
        <v>4.5782346324439845E-2</v>
      </c>
      <c r="CL65" s="284">
        <f t="shared" si="51"/>
        <v>2.7147799377528203E-2</v>
      </c>
    </row>
    <row r="66" spans="1:90">
      <c r="A66" s="283">
        <f t="shared" si="52"/>
        <v>52</v>
      </c>
      <c r="B66" s="283" t="s">
        <v>381</v>
      </c>
      <c r="C66" s="283">
        <f t="shared" si="14"/>
        <v>3.2711796932370252E-2</v>
      </c>
      <c r="D66" s="284">
        <f>Splines!D56</f>
        <v>-2.5916272958442202E-3</v>
      </c>
      <c r="E66" s="506">
        <f t="shared" si="15"/>
        <v>3.0120169636526032E-2</v>
      </c>
      <c r="F66" s="507">
        <f t="shared" si="54"/>
        <v>5.4177684471224064E-2</v>
      </c>
      <c r="G66" s="284">
        <f t="shared" si="73"/>
        <v>-2.6793362809097456E-3</v>
      </c>
      <c r="H66" s="284">
        <f t="shared" si="57"/>
        <v>5.1498348190314319E-2</v>
      </c>
      <c r="I66" s="284">
        <f t="shared" si="53"/>
        <v>2.9536888271721518E-2</v>
      </c>
      <c r="J66" s="285"/>
      <c r="K66" s="283" t="s">
        <v>381</v>
      </c>
      <c r="L66" s="283">
        <f t="shared" si="56"/>
        <v>4.6765330569952419E-3</v>
      </c>
      <c r="M66" s="284">
        <f>Splines!I56</f>
        <v>-4.6162259259408423E-4</v>
      </c>
      <c r="N66" s="283">
        <f t="shared" si="4"/>
        <v>4.2149104644011578E-3</v>
      </c>
      <c r="O66" s="284">
        <f t="shared" si="35"/>
        <v>2.4079765773683537E-3</v>
      </c>
      <c r="P66" s="284">
        <f t="shared" si="58"/>
        <v>2.4507634209501878E-2</v>
      </c>
      <c r="Q66" s="291">
        <f t="shared" si="59"/>
        <v>2.6915610786870232E-2</v>
      </c>
      <c r="R66" s="284">
        <f t="shared" si="36"/>
        <v>9.6207098057019547E-3</v>
      </c>
      <c r="S66" s="287"/>
      <c r="T66" s="283" t="s">
        <v>381</v>
      </c>
      <c r="U66" s="283">
        <f t="shared" si="5"/>
        <v>1.3150142575911395E-2</v>
      </c>
      <c r="V66" s="284">
        <f>Splines!N56</f>
        <v>-1.8668201210668557E-3</v>
      </c>
      <c r="W66" s="284">
        <f t="shared" si="21"/>
        <v>1.1283322454844539E-2</v>
      </c>
      <c r="X66" s="284">
        <f t="shared" si="37"/>
        <v>1.1422786122456285E-2</v>
      </c>
      <c r="Y66" s="284">
        <f t="shared" si="60"/>
        <v>2.8618236240364074E-2</v>
      </c>
      <c r="Z66" s="291">
        <f t="shared" si="61"/>
        <v>4.004102236282036E-2</v>
      </c>
      <c r="AA66" s="284">
        <f t="shared" si="38"/>
        <v>1.7565486927431539E-2</v>
      </c>
      <c r="AB66" s="288"/>
      <c r="AC66" s="283" t="s">
        <v>381</v>
      </c>
      <c r="AD66" s="283">
        <f t="shared" si="6"/>
        <v>-3.2172872720232365E-3</v>
      </c>
      <c r="AE66" s="284">
        <f>Splines!S56</f>
        <v>-6.6292506724587648E-4</v>
      </c>
      <c r="AF66" s="284">
        <f t="shared" si="23"/>
        <v>-3.8802123392691129E-3</v>
      </c>
      <c r="AG66" s="284">
        <f t="shared" si="39"/>
        <v>-2.2568295618895728E-2</v>
      </c>
      <c r="AH66" s="284">
        <f t="shared" si="62"/>
        <v>5.1517203737986961E-2</v>
      </c>
      <c r="AI66" s="291">
        <f t="shared" si="63"/>
        <v>2.8948908119091232E-2</v>
      </c>
      <c r="AJ66" s="284">
        <f t="shared" si="40"/>
        <v>7.5079293898538957E-3</v>
      </c>
      <c r="AK66" s="288"/>
      <c r="AL66" s="283" t="s">
        <v>381</v>
      </c>
      <c r="AM66" s="283">
        <f t="shared" si="7"/>
        <v>1.8788718094516276E-2</v>
      </c>
      <c r="AN66" s="283">
        <f>Splines!X56</f>
        <v>-4.7918411079973279E-4</v>
      </c>
      <c r="AO66" s="283">
        <f t="shared" si="25"/>
        <v>1.8309533983716542E-2</v>
      </c>
      <c r="AP66" s="284">
        <f t="shared" si="41"/>
        <v>1.4914259854036604E-2</v>
      </c>
      <c r="AQ66" s="284">
        <f t="shared" si="64"/>
        <v>1.7201861291062125E-2</v>
      </c>
      <c r="AR66" s="291">
        <f t="shared" si="65"/>
        <v>3.2116121145098729E-2</v>
      </c>
      <c r="AS66" s="284">
        <f t="shared" si="42"/>
        <v>2.2111462116009006E-2</v>
      </c>
      <c r="AT66" s="289"/>
      <c r="AU66" s="283" t="s">
        <v>381</v>
      </c>
      <c r="AV66" s="283">
        <f t="shared" si="8"/>
        <v>1.6157936219386899E-2</v>
      </c>
      <c r="AW66" s="284">
        <f>Splines!AC56</f>
        <v>-2.3228937940971959E-3</v>
      </c>
      <c r="AX66" s="284">
        <f t="shared" si="27"/>
        <v>1.3835042425289703E-2</v>
      </c>
      <c r="AY66" s="284">
        <f t="shared" si="43"/>
        <v>4.3672212528779175E-2</v>
      </c>
      <c r="AZ66" s="284">
        <f t="shared" si="66"/>
        <v>2.1692009546668356E-3</v>
      </c>
      <c r="BA66" s="291">
        <f t="shared" si="67"/>
        <v>4.584141348344601E-2</v>
      </c>
      <c r="BB66" s="284">
        <f t="shared" si="44"/>
        <v>1.4304969215339192E-2</v>
      </c>
      <c r="BC66" s="288"/>
      <c r="BD66" s="283" t="s">
        <v>381</v>
      </c>
      <c r="BE66" s="283">
        <f t="shared" si="9"/>
        <v>2.7066742592460762E-2</v>
      </c>
      <c r="BF66" s="284">
        <f>Splines!AH56</f>
        <v>-1.8313085748871E-3</v>
      </c>
      <c r="BG66" s="284">
        <f t="shared" si="29"/>
        <v>2.5235434017573662E-2</v>
      </c>
      <c r="BH66" s="284">
        <f t="shared" si="45"/>
        <v>4.385120814569432E-2</v>
      </c>
      <c r="BI66" s="284">
        <f t="shared" si="68"/>
        <v>3.915408998410997E-4</v>
      </c>
      <c r="BJ66" s="291">
        <f t="shared" si="69"/>
        <v>4.4242749045535421E-2</v>
      </c>
      <c r="BK66" s="284">
        <f t="shared" si="46"/>
        <v>2.5321006924253542E-2</v>
      </c>
      <c r="BL66" s="288"/>
      <c r="BM66" s="283" t="s">
        <v>381</v>
      </c>
      <c r="BN66" s="283">
        <f t="shared" si="10"/>
        <v>2.1889993921929592E-2</v>
      </c>
      <c r="BO66" s="284">
        <f>Splines!AM56</f>
        <v>9.5832335475278885E-4</v>
      </c>
      <c r="BP66" s="284">
        <f t="shared" si="31"/>
        <v>2.2848317276682382E-2</v>
      </c>
      <c r="BQ66" s="284">
        <f t="shared" si="47"/>
        <v>1.816631334984331E-2</v>
      </c>
      <c r="BR66" s="284">
        <f t="shared" si="70"/>
        <v>7.1495953504875183E-3</v>
      </c>
      <c r="BS66" s="291">
        <f t="shared" si="71"/>
        <v>2.531590870033083E-2</v>
      </c>
      <c r="BT66" s="284">
        <f t="shared" si="48"/>
        <v>2.4432186727665339E-2</v>
      </c>
      <c r="BU66" s="288"/>
      <c r="BV66" s="659" t="s">
        <v>381</v>
      </c>
      <c r="BW66" s="659">
        <f t="shared" si="11"/>
        <v>3.7105462116539104E-2</v>
      </c>
      <c r="BX66" s="284">
        <f>Splines!AR56</f>
        <v>-1.2071534850247125E-3</v>
      </c>
      <c r="BY66" s="284">
        <f t="shared" si="33"/>
        <v>3.5898308631514393E-2</v>
      </c>
      <c r="BZ66" s="284">
        <f t="shared" si="49"/>
        <v>4.7565054043826605E-2</v>
      </c>
      <c r="CA66" s="284">
        <f t="shared" si="72"/>
        <v>-2.4027022990498002E-3</v>
      </c>
      <c r="CB66" s="291">
        <f t="shared" si="34"/>
        <v>4.7565054043826605E-2</v>
      </c>
      <c r="CC66" s="284">
        <f t="shared" si="50"/>
        <v>3.5898308631514331E-2</v>
      </c>
      <c r="CD66" s="288"/>
      <c r="CE66" s="284" t="str">
        <f t="shared" si="1"/>
        <v>52 Year</v>
      </c>
      <c r="CF66" s="284">
        <f t="shared" si="2"/>
        <v>2.7066742592460762E-2</v>
      </c>
      <c r="CG66" s="284">
        <f t="shared" si="16"/>
        <v>-1.8313085748871E-3</v>
      </c>
      <c r="CH66" s="284">
        <f t="shared" si="17"/>
        <v>2.5235434017573662E-2</v>
      </c>
      <c r="CI66" s="284">
        <f t="shared" si="18"/>
        <v>4.385120814569432E-2</v>
      </c>
      <c r="CJ66" s="284">
        <f t="shared" si="12"/>
        <v>3.915408998410997E-4</v>
      </c>
      <c r="CK66" s="284">
        <f>BJ66+MIN('Instructions &amp; Dashboard'!$D$43,'Instructions &amp; Dashboard'!$D$44)/10000</f>
        <v>4.6242749045535422E-2</v>
      </c>
      <c r="CL66" s="284">
        <f t="shared" si="51"/>
        <v>2.7511702846035435E-2</v>
      </c>
    </row>
    <row r="67" spans="1:90">
      <c r="A67" s="283">
        <f t="shared" si="52"/>
        <v>53</v>
      </c>
      <c r="B67" s="283" t="s">
        <v>382</v>
      </c>
      <c r="C67" s="283">
        <f t="shared" si="14"/>
        <v>3.2872086810637524E-2</v>
      </c>
      <c r="D67" s="284">
        <f>Splines!D57</f>
        <v>-2.3046035551642146E-3</v>
      </c>
      <c r="E67" s="506">
        <f t="shared" si="15"/>
        <v>3.0567483255473309E-2</v>
      </c>
      <c r="F67" s="507">
        <f t="shared" si="54"/>
        <v>5.4097439374275913E-2</v>
      </c>
      <c r="G67" s="284">
        <f t="shared" si="73"/>
        <v>-2.8011242936783706E-3</v>
      </c>
      <c r="H67" s="284">
        <f t="shared" si="57"/>
        <v>5.1296315080597545E-2</v>
      </c>
      <c r="I67" s="284">
        <f t="shared" si="53"/>
        <v>2.9943245270675822E-2</v>
      </c>
      <c r="J67" s="285"/>
      <c r="K67" s="283" t="s">
        <v>382</v>
      </c>
      <c r="L67" s="283">
        <f t="shared" si="56"/>
        <v>4.75655684782526E-3</v>
      </c>
      <c r="M67" s="284">
        <f>Splines!I57</f>
        <v>-5.6589405017871508E-4</v>
      </c>
      <c r="N67" s="283">
        <f t="shared" si="4"/>
        <v>4.1906627976465447E-3</v>
      </c>
      <c r="O67" s="284">
        <f t="shared" si="35"/>
        <v>2.930590588964721E-3</v>
      </c>
      <c r="P67" s="284">
        <f t="shared" si="58"/>
        <v>2.5621617582661058E-2</v>
      </c>
      <c r="Q67" s="291">
        <f t="shared" si="59"/>
        <v>2.8552208171625779E-2</v>
      </c>
      <c r="R67" s="284">
        <f t="shared" si="36"/>
        <v>9.9746622734648849E-3</v>
      </c>
      <c r="S67" s="287"/>
      <c r="T67" s="283" t="s">
        <v>382</v>
      </c>
      <c r="U67" s="283">
        <f t="shared" si="5"/>
        <v>1.2982407742597891E-2</v>
      </c>
      <c r="V67" s="284">
        <f>Splines!N57</f>
        <v>-1.7078648668753897E-3</v>
      </c>
      <c r="W67" s="284">
        <f t="shared" si="21"/>
        <v>1.1274542875722502E-2</v>
      </c>
      <c r="X67" s="284">
        <f t="shared" si="37"/>
        <v>1.0818109778397478E-2</v>
      </c>
      <c r="Y67" s="284">
        <f t="shared" si="60"/>
        <v>2.9919065160380631E-2</v>
      </c>
      <c r="Z67" s="291">
        <f t="shared" si="61"/>
        <v>4.0737174938778112E-2</v>
      </c>
      <c r="AA67" s="284">
        <f t="shared" si="38"/>
        <v>1.7997876820748493E-2</v>
      </c>
      <c r="AB67" s="288"/>
      <c r="AC67" s="283" t="s">
        <v>382</v>
      </c>
      <c r="AD67" s="283">
        <f t="shared" si="6"/>
        <v>-3.5268866323998199E-3</v>
      </c>
      <c r="AE67" s="284">
        <f>Splines!S57</f>
        <v>-7.2626926394167926E-4</v>
      </c>
      <c r="AF67" s="284">
        <f t="shared" si="23"/>
        <v>-4.2531558963414991E-3</v>
      </c>
      <c r="AG67" s="284">
        <f t="shared" si="39"/>
        <v>-2.3455031453361919E-2</v>
      </c>
      <c r="AH67" s="284">
        <f t="shared" si="62"/>
        <v>5.3858894816986372E-2</v>
      </c>
      <c r="AI67" s="291">
        <f t="shared" si="63"/>
        <v>3.0403863363624453E-2</v>
      </c>
      <c r="AJ67" s="284">
        <f t="shared" si="40"/>
        <v>7.9351831797906947E-3</v>
      </c>
      <c r="AK67" s="288"/>
      <c r="AL67" s="283" t="s">
        <v>382</v>
      </c>
      <c r="AM67" s="283">
        <f t="shared" si="7"/>
        <v>1.8829937815134402E-2</v>
      </c>
      <c r="AN67" s="283">
        <f>Splines!X57</f>
        <v>-5.7993868752826533E-4</v>
      </c>
      <c r="AO67" s="283">
        <f t="shared" si="25"/>
        <v>1.8249999127606137E-2</v>
      </c>
      <c r="AP67" s="284">
        <f t="shared" si="41"/>
        <v>1.5158978209053542E-2</v>
      </c>
      <c r="AQ67" s="284">
        <f t="shared" si="64"/>
        <v>1.7983764077019498E-2</v>
      </c>
      <c r="AR67" s="291">
        <f t="shared" si="65"/>
        <v>3.3142742286073043E-2</v>
      </c>
      <c r="AS67" s="284">
        <f t="shared" si="42"/>
        <v>2.2318505285422674E-2</v>
      </c>
      <c r="AT67" s="289"/>
      <c r="AU67" s="283" t="s">
        <v>382</v>
      </c>
      <c r="AV67" s="283">
        <f t="shared" si="8"/>
        <v>1.648300566653943E-2</v>
      </c>
      <c r="AW67" s="284">
        <f>Splines!AC57</f>
        <v>-2.0871211711341957E-3</v>
      </c>
      <c r="AX67" s="284">
        <f t="shared" si="27"/>
        <v>1.4395884495405234E-2</v>
      </c>
      <c r="AY67" s="284">
        <f t="shared" si="43"/>
        <v>4.399124718925318E-2</v>
      </c>
      <c r="AZ67" s="284">
        <f t="shared" si="66"/>
        <v>2.2678009980607828E-3</v>
      </c>
      <c r="BA67" s="291">
        <f t="shared" si="67"/>
        <v>4.625904818731396E-2</v>
      </c>
      <c r="BB67" s="284">
        <f t="shared" si="44"/>
        <v>1.4898748136799922E-2</v>
      </c>
      <c r="BC67" s="288"/>
      <c r="BD67" s="283" t="s">
        <v>382</v>
      </c>
      <c r="BE67" s="283">
        <f t="shared" si="9"/>
        <v>2.7275270040606599E-2</v>
      </c>
      <c r="BF67" s="284">
        <f>Splines!AH57</f>
        <v>-1.6861271223878069E-3</v>
      </c>
      <c r="BG67" s="284">
        <f t="shared" si="29"/>
        <v>2.5589142918218791E-2</v>
      </c>
      <c r="BH67" s="284">
        <f t="shared" si="45"/>
        <v>4.415115429431915E-2</v>
      </c>
      <c r="BI67" s="284">
        <f t="shared" si="68"/>
        <v>4.0933821347024065E-4</v>
      </c>
      <c r="BJ67" s="291">
        <f t="shared" si="69"/>
        <v>4.4560492507789394E-2</v>
      </c>
      <c r="BK67" s="284">
        <f t="shared" si="46"/>
        <v>2.5680715367326856E-2</v>
      </c>
      <c r="BL67" s="288"/>
      <c r="BM67" s="283" t="s">
        <v>382</v>
      </c>
      <c r="BN67" s="283">
        <f t="shared" si="10"/>
        <v>2.217912468320736E-2</v>
      </c>
      <c r="BO67" s="284">
        <f>Splines!AM57</f>
        <v>5.956159746276972E-4</v>
      </c>
      <c r="BP67" s="284">
        <f t="shared" si="31"/>
        <v>2.2774740657835059E-2</v>
      </c>
      <c r="BQ67" s="284">
        <f t="shared" si="47"/>
        <v>1.8956040759019244E-2</v>
      </c>
      <c r="BR67" s="284">
        <f t="shared" si="70"/>
        <v>7.4745769573278604E-3</v>
      </c>
      <c r="BS67" s="291">
        <f t="shared" si="71"/>
        <v>2.6430617716347103E-2</v>
      </c>
      <c r="BT67" s="284">
        <f t="shared" si="48"/>
        <v>2.4469856934983714E-2</v>
      </c>
      <c r="BU67" s="288"/>
      <c r="BV67" s="659" t="s">
        <v>382</v>
      </c>
      <c r="BW67" s="659">
        <f t="shared" si="11"/>
        <v>3.7286865302443579E-2</v>
      </c>
      <c r="BX67" s="284">
        <f>Splines!AR57</f>
        <v>-1.1720792751225703E-3</v>
      </c>
      <c r="BY67" s="284">
        <f t="shared" si="33"/>
        <v>3.6114786027321009E-2</v>
      </c>
      <c r="BZ67" s="284">
        <f t="shared" si="49"/>
        <v>4.743417127489713E-2</v>
      </c>
      <c r="CA67" s="284">
        <f t="shared" si="72"/>
        <v>-2.5119160399157004E-3</v>
      </c>
      <c r="CB67" s="291">
        <f t="shared" si="34"/>
        <v>4.743417127489713E-2</v>
      </c>
      <c r="CC67" s="284">
        <f t="shared" si="50"/>
        <v>3.6114786027320989E-2</v>
      </c>
      <c r="CD67" s="288"/>
      <c r="CE67" s="284" t="str">
        <f t="shared" si="1"/>
        <v>53 Year</v>
      </c>
      <c r="CF67" s="284">
        <f t="shared" si="2"/>
        <v>2.7275270040606599E-2</v>
      </c>
      <c r="CG67" s="284">
        <f t="shared" si="16"/>
        <v>-1.6861271223878069E-3</v>
      </c>
      <c r="CH67" s="284">
        <f t="shared" si="17"/>
        <v>2.5589142918218791E-2</v>
      </c>
      <c r="CI67" s="284">
        <f t="shared" si="18"/>
        <v>4.415115429431915E-2</v>
      </c>
      <c r="CJ67" s="284">
        <f t="shared" si="12"/>
        <v>4.0933821347024065E-4</v>
      </c>
      <c r="CK67" s="284">
        <f>BJ67+MIN('Instructions &amp; Dashboard'!$D$43,'Instructions &amp; Dashboard'!$D$44)/10000</f>
        <v>4.6560492507789396E-2</v>
      </c>
      <c r="CL67" s="284">
        <f t="shared" si="51"/>
        <v>2.7867884784756214E-2</v>
      </c>
    </row>
    <row r="68" spans="1:90">
      <c r="A68" s="283">
        <f t="shared" si="52"/>
        <v>54</v>
      </c>
      <c r="B68" s="283" t="s">
        <v>383</v>
      </c>
      <c r="C68" s="283">
        <f t="shared" si="14"/>
        <v>3.3027657426330737E-2</v>
      </c>
      <c r="D68" s="284">
        <f>Splines!D58</f>
        <v>-2.0352926198016034E-3</v>
      </c>
      <c r="E68" s="506">
        <f t="shared" si="15"/>
        <v>3.0992364806529133E-2</v>
      </c>
      <c r="F68" s="507">
        <f t="shared" si="54"/>
        <v>5.3763555813648667E-2</v>
      </c>
      <c r="G68" s="284">
        <f t="shared" si="73"/>
        <v>-2.9229123064469955E-3</v>
      </c>
      <c r="H68" s="284">
        <f t="shared" si="57"/>
        <v>5.0840643507201674E-2</v>
      </c>
      <c r="I68" s="284">
        <f t="shared" si="53"/>
        <v>3.0326431726772407E-2</v>
      </c>
      <c r="J68" s="285"/>
      <c r="K68" s="283" t="s">
        <v>383</v>
      </c>
      <c r="L68" s="283">
        <f t="shared" si="56"/>
        <v>4.8390246205929979E-3</v>
      </c>
      <c r="M68" s="284">
        <f>Splines!I58</f>
        <v>-6.607725065233491E-4</v>
      </c>
      <c r="N68" s="283">
        <f t="shared" si="4"/>
        <v>4.178252114069649E-3</v>
      </c>
      <c r="O68" s="284">
        <f t="shared" si="35"/>
        <v>3.5207053275490008E-3</v>
      </c>
      <c r="P68" s="284">
        <f t="shared" si="58"/>
        <v>2.6735600955820234E-2</v>
      </c>
      <c r="Q68" s="291">
        <f t="shared" si="59"/>
        <v>3.0256306283369234E-2</v>
      </c>
      <c r="R68" s="284">
        <f t="shared" si="36"/>
        <v>1.0346595343796228E-2</v>
      </c>
      <c r="S68" s="287"/>
      <c r="T68" s="283" t="s">
        <v>383</v>
      </c>
      <c r="U68" s="283">
        <f t="shared" si="5"/>
        <v>1.2812552310771514E-2</v>
      </c>
      <c r="V68" s="284">
        <f>Splines!N58</f>
        <v>-1.5598055413701443E-3</v>
      </c>
      <c r="W68" s="284">
        <f t="shared" si="21"/>
        <v>1.125274676940137E-2</v>
      </c>
      <c r="X68" s="284">
        <f t="shared" si="37"/>
        <v>1.0098225129568927E-2</v>
      </c>
      <c r="Y68" s="284">
        <f t="shared" si="60"/>
        <v>3.1219894080397177E-2</v>
      </c>
      <c r="Z68" s="291">
        <f t="shared" si="61"/>
        <v>4.13181192099661E-2</v>
      </c>
      <c r="AA68" s="284">
        <f t="shared" si="38"/>
        <v>1.8424950516397365E-2</v>
      </c>
      <c r="AB68" s="288"/>
      <c r="AC68" s="283" t="s">
        <v>383</v>
      </c>
      <c r="AD68" s="283">
        <f t="shared" si="6"/>
        <v>-3.8434108650634846E-3</v>
      </c>
      <c r="AE68" s="284">
        <f>Splines!S58</f>
        <v>-7.8465095565430766E-4</v>
      </c>
      <c r="AF68" s="284">
        <f t="shared" si="23"/>
        <v>-4.6280618207177925E-3</v>
      </c>
      <c r="AG68" s="284">
        <f t="shared" si="39"/>
        <v>-2.4297395210275186E-2</v>
      </c>
      <c r="AH68" s="284">
        <f t="shared" si="62"/>
        <v>5.6200585895985783E-2</v>
      </c>
      <c r="AI68" s="291">
        <f t="shared" si="63"/>
        <v>3.1903190685710597E-2</v>
      </c>
      <c r="AJ68" s="284">
        <f t="shared" si="40"/>
        <v>8.3739355843828189E-3</v>
      </c>
      <c r="AK68" s="288"/>
      <c r="AL68" s="283" t="s">
        <v>383</v>
      </c>
      <c r="AM68" s="283">
        <f t="shared" si="7"/>
        <v>1.8869895201230648E-2</v>
      </c>
      <c r="AN68" s="283">
        <f>Splines!X58</f>
        <v>-6.716614426868371E-4</v>
      </c>
      <c r="AO68" s="283">
        <f t="shared" si="25"/>
        <v>1.8198233758543812E-2</v>
      </c>
      <c r="AP68" s="284">
        <f t="shared" si="41"/>
        <v>1.5458431739145739E-2</v>
      </c>
      <c r="AQ68" s="284">
        <f t="shared" si="64"/>
        <v>1.8765666862976867E-2</v>
      </c>
      <c r="AR68" s="291">
        <f t="shared" si="65"/>
        <v>3.422409860212261E-2</v>
      </c>
      <c r="AS68" s="284">
        <f t="shared" si="42"/>
        <v>2.2537728833591952E-2</v>
      </c>
      <c r="AT68" s="289"/>
      <c r="AU68" s="283" t="s">
        <v>383</v>
      </c>
      <c r="AV68" s="283">
        <f t="shared" si="8"/>
        <v>1.6802583720638531E-2</v>
      </c>
      <c r="AW68" s="284">
        <f>Splines!AC58</f>
        <v>-1.8647498062014385E-3</v>
      </c>
      <c r="AX68" s="284">
        <f t="shared" si="27"/>
        <v>1.4937833914437093E-2</v>
      </c>
      <c r="AY68" s="284">
        <f t="shared" si="43"/>
        <v>4.4079349456537242E-2</v>
      </c>
      <c r="AZ68" s="284">
        <f t="shared" si="66"/>
        <v>2.36640104145473E-3</v>
      </c>
      <c r="BA68" s="291">
        <f t="shared" si="67"/>
        <v>4.6445750497991975E-2</v>
      </c>
      <c r="BB68" s="284">
        <f t="shared" si="44"/>
        <v>1.547421918645786E-2</v>
      </c>
      <c r="BC68" s="288"/>
      <c r="BD68" s="283" t="s">
        <v>383</v>
      </c>
      <c r="BE68" s="283">
        <f t="shared" si="9"/>
        <v>2.7480511947127372E-2</v>
      </c>
      <c r="BF68" s="284">
        <f>Splines!AH58</f>
        <v>-1.547956782399597E-3</v>
      </c>
      <c r="BG68" s="284">
        <f t="shared" si="29"/>
        <v>2.5932555164727776E-2</v>
      </c>
      <c r="BH68" s="284">
        <f t="shared" si="45"/>
        <v>4.4298913320360178E-2</v>
      </c>
      <c r="BI68" s="284">
        <f t="shared" si="68"/>
        <v>4.2713552709938154E-4</v>
      </c>
      <c r="BJ68" s="291">
        <f t="shared" si="69"/>
        <v>4.4726048847459558E-2</v>
      </c>
      <c r="BK68" s="284">
        <f t="shared" si="46"/>
        <v>2.6030231772958823E-2</v>
      </c>
      <c r="BL68" s="288"/>
      <c r="BM68" s="283" t="s">
        <v>383</v>
      </c>
      <c r="BN68" s="283">
        <f t="shared" si="10"/>
        <v>2.2463860060968094E-2</v>
      </c>
      <c r="BO68" s="284">
        <f>Splines!AM58</f>
        <v>2.5922679314027296E-4</v>
      </c>
      <c r="BP68" s="284">
        <f t="shared" si="31"/>
        <v>2.2723086854108367E-2</v>
      </c>
      <c r="BQ68" s="284">
        <f t="shared" si="47"/>
        <v>1.9989165044653312E-2</v>
      </c>
      <c r="BR68" s="284">
        <f t="shared" si="70"/>
        <v>7.7995585641682024E-3</v>
      </c>
      <c r="BS68" s="291">
        <f t="shared" si="71"/>
        <v>2.7788723608821515E-2</v>
      </c>
      <c r="BT68" s="284">
        <f t="shared" si="48"/>
        <v>2.4531219927565351E-2</v>
      </c>
      <c r="BU68" s="288"/>
      <c r="BV68" s="659" t="s">
        <v>383</v>
      </c>
      <c r="BW68" s="659">
        <f t="shared" si="11"/>
        <v>3.7458380330138964E-2</v>
      </c>
      <c r="BX68" s="284">
        <f>Splines!AR58</f>
        <v>-1.1382296863536581E-3</v>
      </c>
      <c r="BY68" s="284">
        <f t="shared" si="33"/>
        <v>3.6320150643785305E-2</v>
      </c>
      <c r="BZ68" s="284">
        <f t="shared" si="49"/>
        <v>4.7262924205308865E-2</v>
      </c>
      <c r="CA68" s="284">
        <f t="shared" si="72"/>
        <v>-2.6211297807816007E-3</v>
      </c>
      <c r="CB68" s="291">
        <f t="shared" si="34"/>
        <v>4.7262924205308865E-2</v>
      </c>
      <c r="CC68" s="284">
        <f t="shared" si="50"/>
        <v>3.6320150643785354E-2</v>
      </c>
      <c r="CD68" s="288"/>
      <c r="CE68" s="284" t="str">
        <f t="shared" ref="CE68:CE114" si="74">BD68</f>
        <v>54 Year</v>
      </c>
      <c r="CF68" s="284">
        <f t="shared" ref="CF68:CF114" si="75">BE68</f>
        <v>2.7480511947127372E-2</v>
      </c>
      <c r="CG68" s="284">
        <f t="shared" ref="CG68:CG114" si="76">BF68</f>
        <v>-1.547956782399597E-3</v>
      </c>
      <c r="CH68" s="284">
        <f t="shared" ref="CH68:CH114" si="77">BG68</f>
        <v>2.5932555164727776E-2</v>
      </c>
      <c r="CI68" s="284">
        <f t="shared" ref="CI68:CJ114" si="78">BH68</f>
        <v>4.4298913320360178E-2</v>
      </c>
      <c r="CJ68" s="284">
        <f t="shared" si="78"/>
        <v>4.2713552709938154E-4</v>
      </c>
      <c r="CK68" s="284">
        <f>BJ68+MIN('Instructions &amp; Dashboard'!$D$43,'Instructions &amp; Dashboard'!$D$44)/10000</f>
        <v>4.672604884745956E-2</v>
      </c>
      <c r="CL68" s="284">
        <f t="shared" si="51"/>
        <v>2.8214003363556062E-2</v>
      </c>
    </row>
    <row r="69" spans="1:90">
      <c r="A69" s="283">
        <f t="shared" si="52"/>
        <v>55</v>
      </c>
      <c r="B69" s="283" t="s">
        <v>384</v>
      </c>
      <c r="C69" s="283">
        <f t="shared" si="14"/>
        <v>3.3178671037874641E-2</v>
      </c>
      <c r="D69" s="284">
        <f>Splines!D59</f>
        <v>-1.7874192399532445E-3</v>
      </c>
      <c r="E69" s="506">
        <f t="shared" si="15"/>
        <v>3.1391251797921398E-2</v>
      </c>
      <c r="F69" s="507">
        <f t="shared" si="54"/>
        <v>5.3161900557529229E-2</v>
      </c>
      <c r="G69" s="284">
        <f t="shared" si="73"/>
        <v>-3.0447003192156201E-3</v>
      </c>
      <c r="H69" s="284">
        <f t="shared" si="57"/>
        <v>5.0117200238313606E-2</v>
      </c>
      <c r="I69" s="284">
        <f t="shared" si="53"/>
        <v>3.0682913289803659E-2</v>
      </c>
      <c r="J69" s="285"/>
      <c r="K69" s="283" t="s">
        <v>384</v>
      </c>
      <c r="L69" s="283">
        <f t="shared" ref="L69:L114" si="79">L190</f>
        <v>4.9239577791951872E-3</v>
      </c>
      <c r="M69" s="284">
        <f>Splines!I59</f>
        <v>-7.456725539850518E-4</v>
      </c>
      <c r="N69" s="283">
        <f t="shared" ref="N69:N114" si="80">L69+M69</f>
        <v>4.1782852252101356E-3</v>
      </c>
      <c r="O69" s="284">
        <f t="shared" si="35"/>
        <v>4.1800732284169584E-3</v>
      </c>
      <c r="P69" s="284">
        <f t="shared" si="58"/>
        <v>2.784958432897941E-2</v>
      </c>
      <c r="Q69" s="291">
        <f t="shared" si="59"/>
        <v>3.2029657557396368E-2</v>
      </c>
      <c r="R69" s="284">
        <f t="shared" si="36"/>
        <v>1.0736737344627212E-2</v>
      </c>
      <c r="S69" s="287"/>
      <c r="T69" s="283" t="s">
        <v>384</v>
      </c>
      <c r="U69" s="283">
        <f t="shared" ref="U69:U114" si="81">U190</f>
        <v>1.2640834129590068E-2</v>
      </c>
      <c r="V69" s="284">
        <f>Splines!N59</f>
        <v>-1.424422987203735E-3</v>
      </c>
      <c r="W69" s="284">
        <f t="shared" si="21"/>
        <v>1.1216411142386333E-2</v>
      </c>
      <c r="X69" s="284">
        <f t="shared" si="37"/>
        <v>9.2562248491578902E-3</v>
      </c>
      <c r="Y69" s="284">
        <f t="shared" si="60"/>
        <v>3.2520723000413726E-2</v>
      </c>
      <c r="Z69" s="291">
        <f t="shared" si="61"/>
        <v>4.1776947849571616E-2</v>
      </c>
      <c r="AA69" s="284">
        <f t="shared" si="38"/>
        <v>1.8844824239230507E-2</v>
      </c>
      <c r="AB69" s="288"/>
      <c r="AC69" s="283" t="s">
        <v>384</v>
      </c>
      <c r="AD69" s="283">
        <f t="shared" ref="AD69:AD114" si="82">AD190</f>
        <v>-4.1664248354280342E-3</v>
      </c>
      <c r="AE69" s="284">
        <f>Splines!S59</f>
        <v>-8.3752142290819905E-4</v>
      </c>
      <c r="AF69" s="284">
        <f t="shared" si="23"/>
        <v>-5.003946258336233E-3</v>
      </c>
      <c r="AG69" s="284">
        <f t="shared" si="39"/>
        <v>-2.509231541980439E-2</v>
      </c>
      <c r="AH69" s="284">
        <f t="shared" si="62"/>
        <v>5.8542276974985187E-2</v>
      </c>
      <c r="AI69" s="291">
        <f t="shared" si="63"/>
        <v>3.3449961555180797E-2</v>
      </c>
      <c r="AJ69" s="284">
        <f t="shared" si="40"/>
        <v>8.8243872179032401E-3</v>
      </c>
      <c r="AK69" s="288"/>
      <c r="AL69" s="283" t="s">
        <v>384</v>
      </c>
      <c r="AM69" s="283">
        <f t="shared" ref="AM69:AM114" si="83">AM190</f>
        <v>1.8908628823049462E-2</v>
      </c>
      <c r="AN69" s="283">
        <f>Splines!X59</f>
        <v>-7.5377510156073545E-4</v>
      </c>
      <c r="AO69" s="283">
        <f t="shared" si="25"/>
        <v>1.8154853721488728E-2</v>
      </c>
      <c r="AP69" s="284">
        <f t="shared" si="41"/>
        <v>1.581507422358408E-2</v>
      </c>
      <c r="AQ69" s="284">
        <f t="shared" si="64"/>
        <v>1.9547569648934237E-2</v>
      </c>
      <c r="AR69" s="291">
        <f t="shared" si="65"/>
        <v>3.5362643872518321E-2</v>
      </c>
      <c r="AS69" s="284">
        <f t="shared" si="42"/>
        <v>2.2769485178152582E-2</v>
      </c>
      <c r="AT69" s="289"/>
      <c r="AU69" s="283" t="s">
        <v>384</v>
      </c>
      <c r="AV69" s="283">
        <f t="shared" ref="AV69:AV114" si="84">AV190</f>
        <v>1.7116732019249091E-2</v>
      </c>
      <c r="AW69" s="284">
        <f>Splines!AC59</f>
        <v>-1.6591376680005711E-3</v>
      </c>
      <c r="AX69" s="284">
        <f t="shared" si="27"/>
        <v>1.545759435124852E-2</v>
      </c>
      <c r="AY69" s="284">
        <f t="shared" si="43"/>
        <v>4.3923527621471559E-2</v>
      </c>
      <c r="AZ69" s="284">
        <f t="shared" si="66"/>
        <v>2.4650010848486772E-3</v>
      </c>
      <c r="BA69" s="291">
        <f t="shared" si="67"/>
        <v>4.6388528706320237E-2</v>
      </c>
      <c r="BB69" s="284">
        <f t="shared" si="44"/>
        <v>1.6028062554165556E-2</v>
      </c>
      <c r="BC69" s="288"/>
      <c r="BD69" s="283" t="s">
        <v>384</v>
      </c>
      <c r="BE69" s="283">
        <f t="shared" ref="BE69:BE114" si="85">BE190</f>
        <v>2.7682528187946073E-2</v>
      </c>
      <c r="BF69" s="284">
        <f>Splines!AH59</f>
        <v>-1.4191873706406954E-3</v>
      </c>
      <c r="BG69" s="284">
        <f t="shared" si="29"/>
        <v>2.6263340817305379E-2</v>
      </c>
      <c r="BH69" s="284">
        <f t="shared" si="45"/>
        <v>4.4285052240753853E-2</v>
      </c>
      <c r="BI69" s="284">
        <f t="shared" si="68"/>
        <v>4.4493284072852243E-4</v>
      </c>
      <c r="BJ69" s="291">
        <f t="shared" si="69"/>
        <v>4.4729985081482376E-2</v>
      </c>
      <c r="BK69" s="284">
        <f t="shared" si="46"/>
        <v>2.6367221486032433E-2</v>
      </c>
      <c r="BL69" s="288"/>
      <c r="BM69" s="283" t="s">
        <v>384</v>
      </c>
      <c r="BN69" s="283">
        <f t="shared" ref="BN69:BN114" si="86">BN190</f>
        <v>2.2744032318528215E-2</v>
      </c>
      <c r="BO69" s="284">
        <f>Splines!AM59</f>
        <v>-4.7158142364048987E-5</v>
      </c>
      <c r="BP69" s="284">
        <f t="shared" si="31"/>
        <v>2.2696874176164165E-2</v>
      </c>
      <c r="BQ69" s="284">
        <f t="shared" si="47"/>
        <v>2.1282386795373531E-2</v>
      </c>
      <c r="BR69" s="284">
        <f t="shared" si="70"/>
        <v>8.1245401710085437E-3</v>
      </c>
      <c r="BS69" s="291">
        <f t="shared" si="71"/>
        <v>2.9406926966382075E-2</v>
      </c>
      <c r="BT69" s="284">
        <f t="shared" si="48"/>
        <v>2.461966269128979E-2</v>
      </c>
      <c r="BU69" s="288"/>
      <c r="BV69" s="659" t="s">
        <v>384</v>
      </c>
      <c r="BW69" s="659">
        <f t="shared" ref="BW69:BW114" si="87">BW190</f>
        <v>3.7620547925129109E-2</v>
      </c>
      <c r="BX69" s="284">
        <f>Splines!AR59</f>
        <v>-1.1063037936033446E-3</v>
      </c>
      <c r="BY69" s="284">
        <f t="shared" si="33"/>
        <v>3.6514244131525764E-2</v>
      </c>
      <c r="BZ69" s="284">
        <f t="shared" si="49"/>
        <v>4.7049454203280883E-2</v>
      </c>
      <c r="CA69" s="284">
        <f t="shared" si="72"/>
        <v>-2.7303435216475005E-3</v>
      </c>
      <c r="CB69" s="291">
        <f t="shared" si="34"/>
        <v>4.7049454203280883E-2</v>
      </c>
      <c r="CC69" s="284">
        <f t="shared" si="50"/>
        <v>3.6514244131525819E-2</v>
      </c>
      <c r="CD69" s="288"/>
      <c r="CE69" s="284" t="str">
        <f t="shared" si="74"/>
        <v>55 Year</v>
      </c>
      <c r="CF69" s="284">
        <f t="shared" si="75"/>
        <v>2.7682528187946073E-2</v>
      </c>
      <c r="CG69" s="284">
        <f t="shared" si="76"/>
        <v>-1.4191873706406954E-3</v>
      </c>
      <c r="CH69" s="284">
        <f t="shared" si="77"/>
        <v>2.6263340817305379E-2</v>
      </c>
      <c r="CI69" s="284">
        <f t="shared" si="78"/>
        <v>4.4285052240753853E-2</v>
      </c>
      <c r="CJ69" s="284">
        <f t="shared" si="78"/>
        <v>4.4493284072852243E-4</v>
      </c>
      <c r="CK69" s="284">
        <f>BJ69+MIN('Instructions &amp; Dashboard'!$D$43,'Instructions &amp; Dashboard'!$D$44)/10000</f>
        <v>4.6729985081482378E-2</v>
      </c>
      <c r="CL69" s="284">
        <f t="shared" si="51"/>
        <v>2.854771640646403E-2</v>
      </c>
    </row>
    <row r="70" spans="1:90">
      <c r="A70" s="283">
        <f t="shared" si="52"/>
        <v>56</v>
      </c>
      <c r="B70" s="283" t="s">
        <v>385</v>
      </c>
      <c r="C70" s="283">
        <f t="shared" ref="C70:C114" si="88">C191</f>
        <v>3.3325285319549453E-2</v>
      </c>
      <c r="D70" s="284">
        <f>Splines!D60</f>
        <v>-1.5647088091948768E-3</v>
      </c>
      <c r="E70" s="506">
        <f t="shared" ref="E70:E114" si="89">C70+D70</f>
        <v>3.1760576510354577E-2</v>
      </c>
      <c r="F70" s="507">
        <f t="shared" si="54"/>
        <v>5.2278418544194905E-2</v>
      </c>
      <c r="G70" s="284">
        <f t="shared" si="73"/>
        <v>-3.1664883319842451E-3</v>
      </c>
      <c r="H70" s="284">
        <f t="shared" si="57"/>
        <v>4.9111930212210657E-2</v>
      </c>
      <c r="I70" s="284">
        <f t="shared" si="53"/>
        <v>3.100914697829027E-2</v>
      </c>
      <c r="J70" s="285"/>
      <c r="K70" s="283" t="s">
        <v>385</v>
      </c>
      <c r="L70" s="283">
        <f t="shared" si="79"/>
        <v>5.0113646547549524E-3</v>
      </c>
      <c r="M70" s="284">
        <f>Splines!I60</f>
        <v>-8.2000848671616531E-4</v>
      </c>
      <c r="N70" s="283">
        <f t="shared" si="80"/>
        <v>4.1913561680387871E-3</v>
      </c>
      <c r="O70" s="284">
        <f t="shared" si="35"/>
        <v>4.9105200985501973E-3</v>
      </c>
      <c r="P70" s="284">
        <f t="shared" si="58"/>
        <v>2.8963567702138586E-2</v>
      </c>
      <c r="Q70" s="291">
        <f t="shared" si="59"/>
        <v>3.3874087800688783E-2</v>
      </c>
      <c r="R70" s="284">
        <f t="shared" si="36"/>
        <v>1.1145328814322619E-2</v>
      </c>
      <c r="S70" s="287"/>
      <c r="T70" s="283" t="s">
        <v>385</v>
      </c>
      <c r="U70" s="283">
        <f t="shared" si="81"/>
        <v>1.2467491864320984E-2</v>
      </c>
      <c r="V70" s="284">
        <f>Splines!N60</f>
        <v>-1.3034983327306065E-3</v>
      </c>
      <c r="W70" s="284">
        <f t="shared" si="21"/>
        <v>1.1163993531590376E-2</v>
      </c>
      <c r="X70" s="284">
        <f t="shared" si="37"/>
        <v>8.2852054156499211E-3</v>
      </c>
      <c r="Y70" s="284">
        <f t="shared" si="60"/>
        <v>3.3821551920430272E-2</v>
      </c>
      <c r="Z70" s="291">
        <f t="shared" si="61"/>
        <v>4.2106757336080193E-2</v>
      </c>
      <c r="AA70" s="284">
        <f t="shared" si="38"/>
        <v>1.9255627620236249E-2</v>
      </c>
      <c r="AB70" s="288"/>
      <c r="AC70" s="283" t="s">
        <v>385</v>
      </c>
      <c r="AD70" s="283">
        <f t="shared" si="82"/>
        <v>-4.4955076627632151E-3</v>
      </c>
      <c r="AE70" s="284">
        <f>Splines!S60</f>
        <v>-8.8433196186560477E-4</v>
      </c>
      <c r="AF70" s="284">
        <f t="shared" si="23"/>
        <v>-5.37983962462882E-3</v>
      </c>
      <c r="AG70" s="284">
        <f t="shared" si="39"/>
        <v>-2.5836764591165573E-2</v>
      </c>
      <c r="AH70" s="284">
        <f t="shared" si="62"/>
        <v>6.0883968053984591E-2</v>
      </c>
      <c r="AI70" s="291">
        <f t="shared" si="63"/>
        <v>3.5047203462819018E-2</v>
      </c>
      <c r="AJ70" s="284">
        <f t="shared" si="40"/>
        <v>9.2867752722440855E-3</v>
      </c>
      <c r="AK70" s="288"/>
      <c r="AL70" s="283" t="s">
        <v>385</v>
      </c>
      <c r="AM70" s="283">
        <f t="shared" si="83"/>
        <v>1.8946176386893464E-2</v>
      </c>
      <c r="AN70" s="283">
        <f>Splines!X60</f>
        <v>-8.257022946559691E-4</v>
      </c>
      <c r="AO70" s="283">
        <f t="shared" si="25"/>
        <v>1.8120474092237493E-2</v>
      </c>
      <c r="AP70" s="284">
        <f t="shared" si="41"/>
        <v>1.6231381157514102E-2</v>
      </c>
      <c r="AQ70" s="284">
        <f t="shared" si="64"/>
        <v>2.0329472434891603E-2</v>
      </c>
      <c r="AR70" s="291">
        <f t="shared" si="65"/>
        <v>3.6560853592405705E-2</v>
      </c>
      <c r="AS70" s="284">
        <f t="shared" si="42"/>
        <v>2.3014143225329686E-2</v>
      </c>
      <c r="AT70" s="289"/>
      <c r="AU70" s="283" t="s">
        <v>385</v>
      </c>
      <c r="AV70" s="283">
        <f t="shared" si="84"/>
        <v>1.74255147085202E-2</v>
      </c>
      <c r="AW70" s="284">
        <f>Splines!AC60</f>
        <v>-1.4736428956863188E-3</v>
      </c>
      <c r="AX70" s="284">
        <f t="shared" si="27"/>
        <v>1.5951871812833883E-2</v>
      </c>
      <c r="AY70" s="284">
        <f t="shared" si="43"/>
        <v>4.3510910014443072E-2</v>
      </c>
      <c r="AZ70" s="284">
        <f t="shared" si="66"/>
        <v>2.563601128242624E-3</v>
      </c>
      <c r="BA70" s="291">
        <f t="shared" si="67"/>
        <v>4.6074511142685695E-2</v>
      </c>
      <c r="BB70" s="284">
        <f t="shared" si="44"/>
        <v>1.6556963453084883E-2</v>
      </c>
      <c r="BC70" s="288"/>
      <c r="BD70" s="283" t="s">
        <v>385</v>
      </c>
      <c r="BE70" s="283">
        <f t="shared" si="85"/>
        <v>2.7881376986337417E-2</v>
      </c>
      <c r="BF70" s="284">
        <f>Splines!AH60</f>
        <v>-1.3022087289457219E-3</v>
      </c>
      <c r="BG70" s="284">
        <f t="shared" si="29"/>
        <v>2.6579168257391695E-2</v>
      </c>
      <c r="BH70" s="284">
        <f t="shared" si="45"/>
        <v>4.4100189248085009E-2</v>
      </c>
      <c r="BI70" s="284">
        <f t="shared" si="68"/>
        <v>4.6273015435766333E-4</v>
      </c>
      <c r="BJ70" s="291">
        <f t="shared" si="69"/>
        <v>4.4562919402442669E-2</v>
      </c>
      <c r="BK70" s="284">
        <f t="shared" si="46"/>
        <v>2.6689348636315557E-2</v>
      </c>
      <c r="BL70" s="288"/>
      <c r="BM70" s="283" t="s">
        <v>385</v>
      </c>
      <c r="BN70" s="283">
        <f t="shared" si="86"/>
        <v>2.3019508125145041E-2</v>
      </c>
      <c r="BO70" s="284">
        <f>Splines!AM60</f>
        <v>-3.1985256532129523E-4</v>
      </c>
      <c r="BP70" s="284">
        <f t="shared" si="31"/>
        <v>2.2699655559823746E-2</v>
      </c>
      <c r="BQ70" s="284">
        <f t="shared" si="47"/>
        <v>2.2852643310862231E-2</v>
      </c>
      <c r="BR70" s="284">
        <f t="shared" si="70"/>
        <v>8.4495217778488858E-3</v>
      </c>
      <c r="BS70" s="291">
        <f t="shared" si="71"/>
        <v>3.1302165088711115E-2</v>
      </c>
      <c r="BT70" s="284">
        <f t="shared" si="48"/>
        <v>2.4738612546423733E-2</v>
      </c>
      <c r="BU70" s="288"/>
      <c r="BV70" s="659" t="s">
        <v>385</v>
      </c>
      <c r="BW70" s="659">
        <f t="shared" si="87"/>
        <v>3.7773884537261854E-2</v>
      </c>
      <c r="BX70" s="284">
        <f>Splines!AR60</f>
        <v>-1.0770007706380129E-3</v>
      </c>
      <c r="BY70" s="284">
        <f t="shared" si="33"/>
        <v>3.669688376662384E-2</v>
      </c>
      <c r="BZ70" s="284">
        <f t="shared" si="49"/>
        <v>4.6791781736159832E-2</v>
      </c>
      <c r="CA70" s="284">
        <f t="shared" si="72"/>
        <v>-2.8395572625134003E-3</v>
      </c>
      <c r="CB70" s="291">
        <f t="shared" si="34"/>
        <v>4.6791781736159832E-2</v>
      </c>
      <c r="CC70" s="284">
        <f t="shared" si="50"/>
        <v>3.6696883766623944E-2</v>
      </c>
      <c r="CD70" s="288"/>
      <c r="CE70" s="284" t="str">
        <f t="shared" si="74"/>
        <v>56 Year</v>
      </c>
      <c r="CF70" s="284">
        <f t="shared" si="75"/>
        <v>2.7881376986337417E-2</v>
      </c>
      <c r="CG70" s="284">
        <f t="shared" si="76"/>
        <v>-1.3022087289457219E-3</v>
      </c>
      <c r="CH70" s="284">
        <f t="shared" si="77"/>
        <v>2.6579168257391695E-2</v>
      </c>
      <c r="CI70" s="284">
        <f t="shared" si="78"/>
        <v>4.4100189248085009E-2</v>
      </c>
      <c r="CJ70" s="284">
        <f t="shared" si="78"/>
        <v>4.6273015435766333E-4</v>
      </c>
      <c r="CK70" s="284">
        <f>BJ70+MIN('Instructions &amp; Dashboard'!$D$43,'Instructions &amp; Dashboard'!$D$44)/10000</f>
        <v>4.6562919402442671E-2</v>
      </c>
      <c r="CL70" s="284">
        <f t="shared" si="51"/>
        <v>2.8866681060226718E-2</v>
      </c>
    </row>
    <row r="71" spans="1:90">
      <c r="A71" s="283">
        <f t="shared" si="52"/>
        <v>57</v>
      </c>
      <c r="B71" s="283" t="s">
        <v>386</v>
      </c>
      <c r="C71" s="283">
        <f t="shared" si="88"/>
        <v>3.3467653296742589E-2</v>
      </c>
      <c r="D71" s="284">
        <f>Splines!D61</f>
        <v>-1.3708863563830209E-3</v>
      </c>
      <c r="E71" s="506">
        <f t="shared" si="89"/>
        <v>3.2096766940359567E-2</v>
      </c>
      <c r="F71" s="507">
        <f t="shared" si="54"/>
        <v>5.1099313543946367E-2</v>
      </c>
      <c r="G71" s="284">
        <f t="shared" si="73"/>
        <v>-3.2882763447528696E-3</v>
      </c>
      <c r="H71" s="284">
        <f t="shared" si="57"/>
        <v>4.7811037199193496E-2</v>
      </c>
      <c r="I71" s="284">
        <f t="shared" si="53"/>
        <v>3.1301582360641067E-2</v>
      </c>
      <c r="J71" s="285"/>
      <c r="K71" s="283" t="s">
        <v>386</v>
      </c>
      <c r="L71" s="283">
        <f t="shared" si="79"/>
        <v>5.1012420533237748E-3</v>
      </c>
      <c r="M71" s="284">
        <f>Splines!I61</f>
        <v>-8.8319483611795473E-4</v>
      </c>
      <c r="N71" s="283">
        <f t="shared" si="80"/>
        <v>4.2180472172058201E-3</v>
      </c>
      <c r="O71" s="284">
        <f t="shared" si="35"/>
        <v>5.7138787864943197E-3</v>
      </c>
      <c r="P71" s="284">
        <f t="shared" si="58"/>
        <v>3.0077551075297762E-2</v>
      </c>
      <c r="Q71" s="291">
        <f t="shared" si="59"/>
        <v>3.5791429861792082E-2</v>
      </c>
      <c r="R71" s="284">
        <f t="shared" si="36"/>
        <v>1.157262129895642E-2</v>
      </c>
      <c r="S71" s="287"/>
      <c r="T71" s="283" t="s">
        <v>386</v>
      </c>
      <c r="U71" s="283">
        <f t="shared" si="81"/>
        <v>1.2292746550509187E-2</v>
      </c>
      <c r="V71" s="284">
        <f>Splines!N61</f>
        <v>-1.1988126155011117E-3</v>
      </c>
      <c r="W71" s="284">
        <f t="shared" si="21"/>
        <v>1.1093933935008075E-2</v>
      </c>
      <c r="X71" s="284">
        <f t="shared" si="37"/>
        <v>7.1783339265945045E-3</v>
      </c>
      <c r="Y71" s="284">
        <f t="shared" si="60"/>
        <v>3.5122380840446825E-2</v>
      </c>
      <c r="Z71" s="291">
        <f t="shared" si="61"/>
        <v>4.2300714767041329E-2</v>
      </c>
      <c r="AA71" s="284">
        <f t="shared" si="38"/>
        <v>1.9655503006214214E-2</v>
      </c>
      <c r="AB71" s="288"/>
      <c r="AC71" s="283" t="s">
        <v>386</v>
      </c>
      <c r="AD71" s="283">
        <f t="shared" si="82"/>
        <v>-4.830252325994891E-3</v>
      </c>
      <c r="AE71" s="284">
        <f>Splines!S61</f>
        <v>-9.2453384061112927E-4</v>
      </c>
      <c r="AF71" s="284">
        <f t="shared" si="23"/>
        <v>-5.7547861666060202E-3</v>
      </c>
      <c r="AG71" s="284">
        <f t="shared" si="39"/>
        <v>-2.6527756554679205E-2</v>
      </c>
      <c r="AH71" s="284">
        <f t="shared" si="62"/>
        <v>6.3225659132984002E-2</v>
      </c>
      <c r="AI71" s="291">
        <f t="shared" si="63"/>
        <v>3.6697902578304797E-2</v>
      </c>
      <c r="AJ71" s="284">
        <f t="shared" si="40"/>
        <v>9.7613693529572387E-3</v>
      </c>
      <c r="AK71" s="288"/>
      <c r="AL71" s="283" t="s">
        <v>386</v>
      </c>
      <c r="AM71" s="283">
        <f t="shared" si="83"/>
        <v>1.8982574751739461E-2</v>
      </c>
      <c r="AN71" s="283">
        <f>Splines!X61</f>
        <v>-8.8686577349794964E-4</v>
      </c>
      <c r="AO71" s="283">
        <f t="shared" si="25"/>
        <v>1.8095708978241511E-2</v>
      </c>
      <c r="AP71" s="284">
        <f t="shared" si="41"/>
        <v>1.6709823588563211E-2</v>
      </c>
      <c r="AQ71" s="284">
        <f t="shared" si="64"/>
        <v>2.1111375220848973E-2</v>
      </c>
      <c r="AR71" s="291">
        <f t="shared" si="65"/>
        <v>3.7821198809412183E-2</v>
      </c>
      <c r="AS71" s="284">
        <f t="shared" si="42"/>
        <v>2.3272086619551935E-2</v>
      </c>
      <c r="AT71" s="289"/>
      <c r="AU71" s="283" t="s">
        <v>386</v>
      </c>
      <c r="AV71" s="283">
        <f t="shared" si="84"/>
        <v>1.772899814308513E-2</v>
      </c>
      <c r="AW71" s="284">
        <f>Splines!AC61</f>
        <v>-1.3116235301074222E-3</v>
      </c>
      <c r="AX71" s="284">
        <f t="shared" si="27"/>
        <v>1.6417374612977709E-2</v>
      </c>
      <c r="AY71" s="284">
        <f t="shared" si="43"/>
        <v>4.2828820324650296E-2</v>
      </c>
      <c r="AZ71" s="284">
        <f t="shared" si="66"/>
        <v>2.6622011716365712E-3</v>
      </c>
      <c r="BA71" s="291">
        <f t="shared" si="67"/>
        <v>4.5491021496286865E-2</v>
      </c>
      <c r="BB71" s="284">
        <f t="shared" si="44"/>
        <v>1.705761189334698E-2</v>
      </c>
      <c r="BC71" s="288"/>
      <c r="BD71" s="283" t="s">
        <v>386</v>
      </c>
      <c r="BE71" s="283">
        <f t="shared" si="85"/>
        <v>2.8077115005344537E-2</v>
      </c>
      <c r="BF71" s="284">
        <f>Splines!AH61</f>
        <v>-1.1994107199209485E-3</v>
      </c>
      <c r="BG71" s="284">
        <f t="shared" si="29"/>
        <v>2.687770428542359E-2</v>
      </c>
      <c r="BH71" s="284">
        <f t="shared" si="45"/>
        <v>4.3735022228820863E-2</v>
      </c>
      <c r="BI71" s="284">
        <f t="shared" si="68"/>
        <v>4.8052746798680422E-4</v>
      </c>
      <c r="BJ71" s="291">
        <f t="shared" si="69"/>
        <v>4.4215549696807667E-2</v>
      </c>
      <c r="BK71" s="284">
        <f t="shared" si="46"/>
        <v>2.6994276200477341E-2</v>
      </c>
      <c r="BL71" s="288"/>
      <c r="BM71" s="283" t="s">
        <v>386</v>
      </c>
      <c r="BN71" s="283">
        <f t="shared" si="86"/>
        <v>2.3290184784320326E-2</v>
      </c>
      <c r="BO71" s="284">
        <f>Splines!AM61</f>
        <v>-5.5517033075594998E-4</v>
      </c>
      <c r="BP71" s="284">
        <f t="shared" si="31"/>
        <v>2.2735014453564375E-2</v>
      </c>
      <c r="BQ71" s="284">
        <f t="shared" si="47"/>
        <v>2.4717064851957016E-2</v>
      </c>
      <c r="BR71" s="284">
        <f t="shared" si="70"/>
        <v>8.7745033846892279E-3</v>
      </c>
      <c r="BS71" s="291">
        <f t="shared" si="71"/>
        <v>3.3491568236646244E-2</v>
      </c>
      <c r="BT71" s="284">
        <f t="shared" si="48"/>
        <v>2.4891532461889465E-2</v>
      </c>
      <c r="BU71" s="288"/>
      <c r="BV71" s="659" t="s">
        <v>386</v>
      </c>
      <c r="BW71" s="659">
        <f t="shared" si="87"/>
        <v>3.7918882678542272E-2</v>
      </c>
      <c r="BX71" s="284">
        <f>Splines!AR61</f>
        <v>-1.0510197169118546E-3</v>
      </c>
      <c r="BY71" s="284">
        <f t="shared" si="33"/>
        <v>3.6867862961630415E-2</v>
      </c>
      <c r="BZ71" s="284">
        <f t="shared" si="49"/>
        <v>4.6487839978764933E-2</v>
      </c>
      <c r="CA71" s="284">
        <f t="shared" si="72"/>
        <v>-2.9487710033793005E-3</v>
      </c>
      <c r="CB71" s="291">
        <f t="shared" si="34"/>
        <v>4.6487839978764933E-2</v>
      </c>
      <c r="CC71" s="284">
        <f t="shared" si="50"/>
        <v>3.686786296163036E-2</v>
      </c>
      <c r="CD71" s="288"/>
      <c r="CE71" s="284" t="str">
        <f t="shared" si="74"/>
        <v>57 Year</v>
      </c>
      <c r="CF71" s="284">
        <f t="shared" si="75"/>
        <v>2.8077115005344537E-2</v>
      </c>
      <c r="CG71" s="284">
        <f t="shared" si="76"/>
        <v>-1.1994107199209485E-3</v>
      </c>
      <c r="CH71" s="284">
        <f t="shared" si="77"/>
        <v>2.687770428542359E-2</v>
      </c>
      <c r="CI71" s="284">
        <f t="shared" si="78"/>
        <v>4.3735022228820863E-2</v>
      </c>
      <c r="CJ71" s="284">
        <f t="shared" si="78"/>
        <v>4.8052746798680422E-4</v>
      </c>
      <c r="CK71" s="284">
        <f>BJ71+MIN('Instructions &amp; Dashboard'!$D$43,'Instructions &amp; Dashboard'!$D$44)/10000</f>
        <v>4.6215549696807669E-2</v>
      </c>
      <c r="CL71" s="284">
        <f t="shared" si="51"/>
        <v>2.9168553811869558E-2</v>
      </c>
    </row>
    <row r="72" spans="1:90">
      <c r="A72" s="283">
        <f t="shared" si="52"/>
        <v>58</v>
      </c>
      <c r="B72" s="283" t="s">
        <v>387</v>
      </c>
      <c r="C72" s="283">
        <f t="shared" si="88"/>
        <v>3.3605923313210273E-2</v>
      </c>
      <c r="D72" s="284">
        <f>Splines!D62</f>
        <v>-1.2096773338777589E-3</v>
      </c>
      <c r="E72" s="506">
        <f t="shared" si="89"/>
        <v>3.2396245979332515E-2</v>
      </c>
      <c r="F72" s="507">
        <f t="shared" si="54"/>
        <v>4.9610975622607079E-2</v>
      </c>
      <c r="G72" s="284">
        <f t="shared" si="73"/>
        <v>-3.4100643575214946E-3</v>
      </c>
      <c r="H72" s="284">
        <f t="shared" si="57"/>
        <v>4.6200911265085583E-2</v>
      </c>
      <c r="I72" s="284">
        <f t="shared" si="53"/>
        <v>3.1556660939524139E-2</v>
      </c>
      <c r="J72" s="285"/>
      <c r="K72" s="283" t="s">
        <v>387</v>
      </c>
      <c r="L72" s="283">
        <f t="shared" si="79"/>
        <v>5.193576647899701E-3</v>
      </c>
      <c r="M72" s="284">
        <f>Splines!I62</f>
        <v>-9.3464591668594916E-4</v>
      </c>
      <c r="N72" s="283">
        <f t="shared" si="80"/>
        <v>4.2589307312137521E-3</v>
      </c>
      <c r="O72" s="284">
        <f t="shared" si="35"/>
        <v>6.5920444427338687E-3</v>
      </c>
      <c r="P72" s="284">
        <f t="shared" si="58"/>
        <v>3.1191534448456938E-2</v>
      </c>
      <c r="Q72" s="291">
        <f t="shared" si="59"/>
        <v>3.7783578891190807E-2</v>
      </c>
      <c r="R72" s="284">
        <f t="shared" si="36"/>
        <v>1.2018877193467281E-2</v>
      </c>
      <c r="S72" s="287"/>
      <c r="T72" s="283" t="s">
        <v>387</v>
      </c>
      <c r="U72" s="283">
        <f t="shared" si="81"/>
        <v>1.2116803011207489E-2</v>
      </c>
      <c r="V72" s="284">
        <f>Splines!N62</f>
        <v>-1.112146970294822E-3</v>
      </c>
      <c r="W72" s="284">
        <f t="shared" si="21"/>
        <v>1.1004656040912667E-2</v>
      </c>
      <c r="X72" s="284">
        <f t="shared" si="37"/>
        <v>5.9288253701330618E-3</v>
      </c>
      <c r="Y72" s="284">
        <f t="shared" si="60"/>
        <v>3.6423209760463371E-2</v>
      </c>
      <c r="Z72" s="291">
        <f t="shared" si="61"/>
        <v>4.2352035130596433E-2</v>
      </c>
      <c r="AA72" s="284">
        <f t="shared" si="38"/>
        <v>2.0042604360161143E-2</v>
      </c>
      <c r="AB72" s="288"/>
      <c r="AC72" s="283" t="s">
        <v>387</v>
      </c>
      <c r="AD72" s="283">
        <f t="shared" si="82"/>
        <v>-5.1702652796942611E-3</v>
      </c>
      <c r="AE72" s="284">
        <f>Splines!S62</f>
        <v>-9.5757828791368633E-4</v>
      </c>
      <c r="AF72" s="284">
        <f t="shared" si="23"/>
        <v>-6.1278435676079476E-3</v>
      </c>
      <c r="AG72" s="284">
        <f t="shared" si="39"/>
        <v>-2.7162345128284526E-2</v>
      </c>
      <c r="AH72" s="284">
        <f t="shared" si="62"/>
        <v>6.5567350211983413E-2</v>
      </c>
      <c r="AI72" s="291">
        <f t="shared" si="63"/>
        <v>3.8405005083698887E-2</v>
      </c>
      <c r="AJ72" s="284">
        <f t="shared" si="40"/>
        <v>1.024846775873578E-2</v>
      </c>
      <c r="AK72" s="288"/>
      <c r="AL72" s="283" t="s">
        <v>387</v>
      </c>
      <c r="AM72" s="283">
        <f t="shared" si="83"/>
        <v>1.9017859945559719E-2</v>
      </c>
      <c r="AN72" s="283">
        <f>Splines!X62</f>
        <v>-9.3668808670405613E-4</v>
      </c>
      <c r="AO72" s="283">
        <f t="shared" si="25"/>
        <v>1.8081171858855664E-2</v>
      </c>
      <c r="AP72" s="284">
        <f t="shared" si="41"/>
        <v>1.7252899078423534E-2</v>
      </c>
      <c r="AQ72" s="284">
        <f t="shared" si="64"/>
        <v>2.1893278006806342E-2</v>
      </c>
      <c r="AR72" s="291">
        <f t="shared" si="65"/>
        <v>3.9146177085229876E-2</v>
      </c>
      <c r="AS72" s="284">
        <f t="shared" si="42"/>
        <v>2.3543712686888263E-2</v>
      </c>
      <c r="AT72" s="289"/>
      <c r="AU72" s="283" t="s">
        <v>387</v>
      </c>
      <c r="AV72" s="283">
        <f t="shared" si="84"/>
        <v>1.8027250608455076E-2</v>
      </c>
      <c r="AW72" s="284">
        <f>Splines!AC62</f>
        <v>-1.1764379058415359E-3</v>
      </c>
      <c r="AX72" s="284">
        <f t="shared" si="27"/>
        <v>1.685081270261354E-2</v>
      </c>
      <c r="AY72" s="284">
        <f t="shared" si="43"/>
        <v>4.1864760957686098E-2</v>
      </c>
      <c r="AZ72" s="284">
        <f t="shared" si="66"/>
        <v>2.7608012150305184E-3</v>
      </c>
      <c r="BA72" s="291">
        <f t="shared" si="67"/>
        <v>4.4625562172716619E-2</v>
      </c>
      <c r="BB72" s="284">
        <f t="shared" si="44"/>
        <v>1.7526701841353409E-2</v>
      </c>
      <c r="BC72" s="288"/>
      <c r="BD72" s="283" t="s">
        <v>387</v>
      </c>
      <c r="BE72" s="283">
        <f t="shared" si="85"/>
        <v>2.826979743163216E-2</v>
      </c>
      <c r="BF72" s="284">
        <f>Splines!AH62</f>
        <v>-1.11318339034699E-3</v>
      </c>
      <c r="BG72" s="284">
        <f t="shared" si="29"/>
        <v>2.7156614041285169E-2</v>
      </c>
      <c r="BH72" s="284">
        <f t="shared" si="45"/>
        <v>4.3180329646546944E-2</v>
      </c>
      <c r="BI72" s="284">
        <f t="shared" si="68"/>
        <v>4.9832478161594511E-4</v>
      </c>
      <c r="BJ72" s="291">
        <f t="shared" si="69"/>
        <v>4.3678654428162891E-2</v>
      </c>
      <c r="BK72" s="284">
        <f t="shared" si="46"/>
        <v>2.7279665890763471E-2</v>
      </c>
      <c r="BL72" s="288"/>
      <c r="BM72" s="283" t="s">
        <v>387</v>
      </c>
      <c r="BN72" s="283">
        <f t="shared" si="86"/>
        <v>2.3555986807771524E-2</v>
      </c>
      <c r="BO72" s="284">
        <f>Splines!AM62</f>
        <v>-7.4942493001614488E-4</v>
      </c>
      <c r="BP72" s="284">
        <f t="shared" si="31"/>
        <v>2.2806561877755378E-2</v>
      </c>
      <c r="BQ72" s="284">
        <f t="shared" si="47"/>
        <v>2.6893049532554558E-2</v>
      </c>
      <c r="BR72" s="284">
        <f t="shared" si="70"/>
        <v>9.0994849915295682E-3</v>
      </c>
      <c r="BS72" s="291">
        <f t="shared" si="71"/>
        <v>3.599253452408413E-2</v>
      </c>
      <c r="BT72" s="284">
        <f t="shared" si="48"/>
        <v>2.508191760887013E-2</v>
      </c>
      <c r="BU72" s="288"/>
      <c r="BV72" s="659" t="s">
        <v>387</v>
      </c>
      <c r="BW72" s="659">
        <f t="shared" si="87"/>
        <v>3.80560113745992E-2</v>
      </c>
      <c r="BX72" s="284">
        <f>Splines!AR62</f>
        <v>-1.0290598308476484E-3</v>
      </c>
      <c r="BY72" s="284">
        <f t="shared" si="33"/>
        <v>3.7026951543751553E-2</v>
      </c>
      <c r="BZ72" s="284">
        <f t="shared" si="49"/>
        <v>4.6135465035789913E-2</v>
      </c>
      <c r="CA72" s="284">
        <f t="shared" si="72"/>
        <v>-3.0579847442452003E-3</v>
      </c>
      <c r="CB72" s="291">
        <f t="shared" si="34"/>
        <v>4.6135465035789913E-2</v>
      </c>
      <c r="CC72" s="284">
        <f t="shared" si="50"/>
        <v>3.7026951543751574E-2</v>
      </c>
      <c r="CD72" s="288"/>
      <c r="CE72" s="284" t="str">
        <f t="shared" si="74"/>
        <v>58 Year</v>
      </c>
      <c r="CF72" s="284">
        <f t="shared" si="75"/>
        <v>2.826979743163216E-2</v>
      </c>
      <c r="CG72" s="284">
        <f t="shared" si="76"/>
        <v>-1.11318339034699E-3</v>
      </c>
      <c r="CH72" s="284">
        <f t="shared" si="77"/>
        <v>2.7156614041285169E-2</v>
      </c>
      <c r="CI72" s="284">
        <f t="shared" si="78"/>
        <v>4.3180329646546944E-2</v>
      </c>
      <c r="CJ72" s="284">
        <f t="shared" si="78"/>
        <v>4.9832478161594511E-4</v>
      </c>
      <c r="CK72" s="284">
        <f>BJ72+MIN('Instructions &amp; Dashboard'!$D$43,'Instructions &amp; Dashboard'!$D$44)/10000</f>
        <v>4.5678654428162893E-2</v>
      </c>
      <c r="CL72" s="284">
        <f t="shared" si="51"/>
        <v>2.9450990337836602E-2</v>
      </c>
    </row>
    <row r="73" spans="1:90">
      <c r="A73" s="283">
        <f t="shared" si="52"/>
        <v>59</v>
      </c>
      <c r="B73" s="283" t="s">
        <v>388</v>
      </c>
      <c r="C73" s="283">
        <f t="shared" si="88"/>
        <v>3.3740239025928792E-2</v>
      </c>
      <c r="D73" s="284">
        <f>Splines!D63</f>
        <v>-1.0848068072143262E-3</v>
      </c>
      <c r="E73" s="506">
        <f t="shared" si="89"/>
        <v>3.2655432218714468E-2</v>
      </c>
      <c r="F73" s="507">
        <f t="shared" si="54"/>
        <v>4.7800100951362889E-2</v>
      </c>
      <c r="G73" s="284">
        <f t="shared" si="73"/>
        <v>-3.5318523702901191E-3</v>
      </c>
      <c r="H73" s="284">
        <f>F73+G73</f>
        <v>4.4268248581072769E-2</v>
      </c>
      <c r="I73" s="284">
        <f t="shared" si="53"/>
        <v>3.1770817140597041E-2</v>
      </c>
      <c r="J73" s="285"/>
      <c r="K73" s="283" t="s">
        <v>388</v>
      </c>
      <c r="L73" s="283">
        <f t="shared" si="79"/>
        <v>5.2883462298484139E-3</v>
      </c>
      <c r="M73" s="284">
        <f>Splines!I63</f>
        <v>-9.7377618922542828E-4</v>
      </c>
      <c r="N73" s="283">
        <f t="shared" si="80"/>
        <v>4.3145700406229861E-3</v>
      </c>
      <c r="O73" s="284">
        <f t="shared" si="35"/>
        <v>7.5469298784782701E-3</v>
      </c>
      <c r="P73" s="284">
        <f t="shared" si="58"/>
        <v>3.2305517821616114E-2</v>
      </c>
      <c r="Q73" s="291">
        <f t="shared" si="59"/>
        <v>3.9852447700094384E-2</v>
      </c>
      <c r="R73" s="284">
        <f t="shared" si="36"/>
        <v>1.2484368846100491E-2</v>
      </c>
      <c r="S73" s="287"/>
      <c r="T73" s="283" t="s">
        <v>388</v>
      </c>
      <c r="U73" s="283">
        <f t="shared" si="81"/>
        <v>1.1939851149583375E-2</v>
      </c>
      <c r="V73" s="284">
        <f>Splines!N63</f>
        <v>-1.0452824186999196E-3</v>
      </c>
      <c r="W73" s="284">
        <f t="shared" si="21"/>
        <v>1.0894568730883455E-2</v>
      </c>
      <c r="X73" s="284">
        <f t="shared" si="37"/>
        <v>4.5299726500933613E-3</v>
      </c>
      <c r="Y73" s="284">
        <f t="shared" si="60"/>
        <v>3.7724038680479924E-2</v>
      </c>
      <c r="Z73" s="291">
        <f t="shared" si="61"/>
        <v>4.2254011330573285E-2</v>
      </c>
      <c r="AA73" s="284">
        <f t="shared" si="38"/>
        <v>2.0415096672063315E-2</v>
      </c>
      <c r="AB73" s="288"/>
      <c r="AC73" s="283" t="s">
        <v>388</v>
      </c>
      <c r="AD73" s="283">
        <f t="shared" si="82"/>
        <v>-5.5151660800027841E-3</v>
      </c>
      <c r="AE73" s="284">
        <f>Splines!S63</f>
        <v>-9.8291660502719254E-4</v>
      </c>
      <c r="AF73" s="284">
        <f t="shared" si="23"/>
        <v>-6.4980826850299768E-3</v>
      </c>
      <c r="AG73" s="284">
        <f t="shared" si="39"/>
        <v>-2.7737628268677428E-2</v>
      </c>
      <c r="AH73" s="284">
        <f t="shared" si="62"/>
        <v>6.7909041290982811E-2</v>
      </c>
      <c r="AI73" s="291">
        <f t="shared" si="63"/>
        <v>4.0171413022305383E-2</v>
      </c>
      <c r="AJ73" s="284">
        <f t="shared" si="40"/>
        <v>1.0748394060841049E-2</v>
      </c>
      <c r="AK73" s="288"/>
      <c r="AL73" s="283" t="s">
        <v>388</v>
      </c>
      <c r="AM73" s="283">
        <f t="shared" si="83"/>
        <v>1.9052067181354933E-2</v>
      </c>
      <c r="AN73" s="283">
        <f>Splines!X63</f>
        <v>-9.7459196622640305E-4</v>
      </c>
      <c r="AO73" s="283">
        <f t="shared" si="25"/>
        <v>1.8077475215128529E-2</v>
      </c>
      <c r="AP73" s="284">
        <f t="shared" si="41"/>
        <v>1.7863092843234618E-2</v>
      </c>
      <c r="AQ73" s="284">
        <f t="shared" si="64"/>
        <v>2.2675180792763712E-2</v>
      </c>
      <c r="AR73" s="291">
        <f t="shared" si="65"/>
        <v>4.053827363599833E-2</v>
      </c>
      <c r="AS73" s="284">
        <f t="shared" si="42"/>
        <v>2.382943082214517E-2</v>
      </c>
      <c r="AT73" s="289"/>
      <c r="AU73" s="283" t="s">
        <v>388</v>
      </c>
      <c r="AV73" s="283">
        <f t="shared" si="84"/>
        <v>1.8320342064039052E-2</v>
      </c>
      <c r="AW73" s="284">
        <f>Splines!AC63</f>
        <v>-1.0714440152978309E-3</v>
      </c>
      <c r="AX73" s="284">
        <f t="shared" si="27"/>
        <v>1.7248898048741221E-2</v>
      </c>
      <c r="AY73" s="284">
        <f t="shared" si="43"/>
        <v>4.0606494663842252E-2</v>
      </c>
      <c r="AZ73" s="284">
        <f t="shared" si="66"/>
        <v>2.8594012584244651E-3</v>
      </c>
      <c r="BA73" s="291">
        <f t="shared" si="67"/>
        <v>4.3465895922266719E-2</v>
      </c>
      <c r="BB73" s="284">
        <f t="shared" si="44"/>
        <v>1.7960931445947237E-2</v>
      </c>
      <c r="BC73" s="288"/>
      <c r="BD73" s="283" t="s">
        <v>388</v>
      </c>
      <c r="BE73" s="283">
        <f t="shared" si="85"/>
        <v>2.8459478051774088E-2</v>
      </c>
      <c r="BF73" s="284">
        <f>Splines!AH63</f>
        <v>-1.0459165191644513E-3</v>
      </c>
      <c r="BG73" s="284">
        <f t="shared" si="29"/>
        <v>2.7413561532609636E-2</v>
      </c>
      <c r="BH73" s="284">
        <f t="shared" si="45"/>
        <v>4.2427017638428932E-2</v>
      </c>
      <c r="BI73" s="284">
        <f t="shared" si="68"/>
        <v>5.1612209524508606E-4</v>
      </c>
      <c r="BJ73" s="291">
        <f t="shared" si="69"/>
        <v>4.2943139733674016E-2</v>
      </c>
      <c r="BK73" s="284">
        <f t="shared" si="46"/>
        <v>2.7543178654776845E-2</v>
      </c>
      <c r="BL73" s="288"/>
      <c r="BM73" s="283" t="s">
        <v>388</v>
      </c>
      <c r="BN73" s="283">
        <f t="shared" si="86"/>
        <v>2.3816862808052498E-2</v>
      </c>
      <c r="BO73" s="284">
        <f>Splines!AM63</f>
        <v>-8.9893027826718288E-4</v>
      </c>
      <c r="BP73" s="284">
        <f t="shared" si="31"/>
        <v>2.2917932529785315E-2</v>
      </c>
      <c r="BQ73" s="284">
        <f t="shared" si="47"/>
        <v>2.9398222380855765E-2</v>
      </c>
      <c r="BR73" s="284">
        <f t="shared" si="70"/>
        <v>9.4244665983699103E-3</v>
      </c>
      <c r="BS73" s="291">
        <f t="shared" si="71"/>
        <v>3.8822688979225674E-2</v>
      </c>
      <c r="BT73" s="284">
        <f t="shared" si="48"/>
        <v>2.5313291033488561E-2</v>
      </c>
      <c r="BU73" s="288"/>
      <c r="BV73" s="659" t="s">
        <v>388</v>
      </c>
      <c r="BW73" s="659">
        <f t="shared" si="87"/>
        <v>3.8185716708198689E-2</v>
      </c>
      <c r="BX73" s="284">
        <f>Splines!AR63</f>
        <v>-1.011820222203239E-3</v>
      </c>
      <c r="BY73" s="284">
        <f t="shared" si="33"/>
        <v>3.717389648599545E-2</v>
      </c>
      <c r="BZ73" s="284">
        <f t="shared" si="49"/>
        <v>4.5732425421347811E-2</v>
      </c>
      <c r="CA73" s="284">
        <f t="shared" si="72"/>
        <v>-3.1671984851111006E-3</v>
      </c>
      <c r="CB73" s="291">
        <f t="shared" si="34"/>
        <v>4.5732425421347811E-2</v>
      </c>
      <c r="CC73" s="284">
        <f t="shared" si="50"/>
        <v>3.7173896485995339E-2</v>
      </c>
      <c r="CD73" s="288"/>
      <c r="CE73" s="284" t="str">
        <f t="shared" si="74"/>
        <v>59 Year</v>
      </c>
      <c r="CF73" s="284">
        <f t="shared" si="75"/>
        <v>2.8459478051774088E-2</v>
      </c>
      <c r="CG73" s="284">
        <f t="shared" si="76"/>
        <v>-1.0459165191644513E-3</v>
      </c>
      <c r="CH73" s="284">
        <f t="shared" si="77"/>
        <v>2.7413561532609636E-2</v>
      </c>
      <c r="CI73" s="284">
        <f t="shared" si="78"/>
        <v>4.2427017638428932E-2</v>
      </c>
      <c r="CJ73" s="284">
        <f t="shared" si="78"/>
        <v>5.1612209524508606E-4</v>
      </c>
      <c r="CK73" s="284">
        <f>BJ73+MIN('Instructions &amp; Dashboard'!$D$43,'Instructions &amp; Dashboard'!$D$44)/10000</f>
        <v>4.4943139733674017E-2</v>
      </c>
      <c r="CL73" s="284">
        <f t="shared" si="51"/>
        <v>2.9711645968747646E-2</v>
      </c>
    </row>
    <row r="74" spans="1:90">
      <c r="A74" s="283">
        <f t="shared" si="52"/>
        <v>60</v>
      </c>
      <c r="B74" s="283" t="s">
        <v>389</v>
      </c>
      <c r="C74" s="283">
        <f t="shared" si="88"/>
        <v>3.387073942360172E-2</v>
      </c>
      <c r="D74" s="284">
        <f>Splines!D64</f>
        <v>-1.0000000474974513E-3</v>
      </c>
      <c r="E74" s="506">
        <f t="shared" si="89"/>
        <v>3.2870739376104269E-2</v>
      </c>
      <c r="F74" s="507">
        <f t="shared" si="54"/>
        <v>4.5653640383058747E-2</v>
      </c>
      <c r="G74" s="284">
        <f t="shared" si="73"/>
        <v>-3.6536403830587441E-3</v>
      </c>
      <c r="H74" s="284">
        <f t="shared" si="57"/>
        <v>4.2000000000000003E-2</v>
      </c>
      <c r="I74" s="284">
        <f t="shared" si="53"/>
        <v>3.1940477895748387E-2</v>
      </c>
      <c r="J74" s="285"/>
      <c r="K74" s="283" t="s">
        <v>389</v>
      </c>
      <c r="L74" s="283">
        <f t="shared" si="79"/>
        <v>5.3855208334341945E-3</v>
      </c>
      <c r="M74" s="284">
        <f>Splines!I64</f>
        <v>-1.0000000474974513E-3</v>
      </c>
      <c r="N74" s="283">
        <f t="shared" si="80"/>
        <v>4.3855207859367432E-3</v>
      </c>
      <c r="O74" s="284">
        <f t="shared" si="35"/>
        <v>8.5804988052247122E-3</v>
      </c>
      <c r="P74" s="284">
        <f t="shared" si="58"/>
        <v>3.341950119477529E-2</v>
      </c>
      <c r="Q74" s="291">
        <f>O74+P74</f>
        <v>4.2000000000000003E-2</v>
      </c>
      <c r="R74" s="284">
        <f t="shared" si="36"/>
        <v>1.2969378279818367E-2</v>
      </c>
      <c r="S74" s="287"/>
      <c r="T74" s="283" t="s">
        <v>389</v>
      </c>
      <c r="U74" s="283">
        <f t="shared" si="81"/>
        <v>1.1762067128207931E-2</v>
      </c>
      <c r="V74" s="284">
        <f>Splines!N64</f>
        <v>-1.0000000474974513E-3</v>
      </c>
      <c r="W74" s="284">
        <f t="shared" si="21"/>
        <v>1.076206708071048E-2</v>
      </c>
      <c r="X74" s="284">
        <f t="shared" si="37"/>
        <v>2.9751323995035328E-3</v>
      </c>
      <c r="Y74" s="284">
        <f t="shared" si="60"/>
        <v>3.902486760049647E-2</v>
      </c>
      <c r="Z74" s="291">
        <f t="shared" si="61"/>
        <v>4.2000000000000003E-2</v>
      </c>
      <c r="AA74" s="284">
        <f t="shared" si="38"/>
        <v>2.0771155096732441E-2</v>
      </c>
      <c r="AB74" s="288"/>
      <c r="AC74" s="283" t="s">
        <v>389</v>
      </c>
      <c r="AD74" s="283">
        <f t="shared" si="82"/>
        <v>-5.8645870202410494E-3</v>
      </c>
      <c r="AE74" s="284">
        <f>Splines!S64</f>
        <v>-1.0000000474974513E-3</v>
      </c>
      <c r="AF74" s="284">
        <f t="shared" si="23"/>
        <v>-6.8645870677385007E-3</v>
      </c>
      <c r="AG74" s="284">
        <f t="shared" si="39"/>
        <v>-2.8250732369982212E-2</v>
      </c>
      <c r="AH74" s="284">
        <f t="shared" si="62"/>
        <v>7.0250732369982222E-2</v>
      </c>
      <c r="AI74" s="291">
        <f t="shared" si="63"/>
        <v>4.200000000000001E-2</v>
      </c>
      <c r="AJ74" s="284">
        <f t="shared" si="40"/>
        <v>1.1261494268762329E-2</v>
      </c>
      <c r="AK74" s="288"/>
      <c r="AL74" s="283" t="s">
        <v>389</v>
      </c>
      <c r="AM74" s="283">
        <f t="shared" si="83"/>
        <v>1.9085230872902429E-2</v>
      </c>
      <c r="AN74" s="283">
        <f>Splines!X64</f>
        <v>-1.0000000474974513E-3</v>
      </c>
      <c r="AO74" s="283">
        <f t="shared" si="25"/>
        <v>1.8085230825404978E-2</v>
      </c>
      <c r="AP74" s="284">
        <f t="shared" si="41"/>
        <v>1.8542916421278921E-2</v>
      </c>
      <c r="AQ74" s="284">
        <f t="shared" si="64"/>
        <v>2.3457083578721082E-2</v>
      </c>
      <c r="AR74" s="291">
        <f t="shared" si="65"/>
        <v>4.2000000000000003E-2</v>
      </c>
      <c r="AS74" s="284">
        <f t="shared" si="42"/>
        <v>2.4129661657958046E-2</v>
      </c>
      <c r="AT74" s="289"/>
      <c r="AU74" s="283" t="s">
        <v>389</v>
      </c>
      <c r="AV74" s="283">
        <f t="shared" si="84"/>
        <v>1.8608343905152775E-2</v>
      </c>
      <c r="AW74" s="284">
        <f>Splines!AC64</f>
        <v>-1.0000000474974513E-3</v>
      </c>
      <c r="AX74" s="284">
        <f t="shared" si="27"/>
        <v>1.7608343857655324E-2</v>
      </c>
      <c r="AY74" s="284">
        <f t="shared" si="43"/>
        <v>3.904199869818159E-2</v>
      </c>
      <c r="AZ74" s="284">
        <f t="shared" si="66"/>
        <v>2.9580013018184123E-3</v>
      </c>
      <c r="BA74" s="291">
        <f t="shared" si="67"/>
        <v>4.2000000000000003E-2</v>
      </c>
      <c r="BB74" s="284">
        <f t="shared" si="44"/>
        <v>1.8357002129440136E-2</v>
      </c>
      <c r="BC74" s="288"/>
      <c r="BD74" s="283" t="s">
        <v>389</v>
      </c>
      <c r="BE74" s="283">
        <f t="shared" si="85"/>
        <v>2.8646209321840001E-2</v>
      </c>
      <c r="BF74" s="284">
        <f>Splines!AH64</f>
        <v>-1.0000000474974513E-3</v>
      </c>
      <c r="BG74" s="284">
        <f t="shared" si="29"/>
        <v>2.764620927434255E-2</v>
      </c>
      <c r="BH74" s="284">
        <f t="shared" si="45"/>
        <v>4.1466080591125776E-2</v>
      </c>
      <c r="BI74" s="284">
        <f t="shared" si="68"/>
        <v>5.339194088742269E-4</v>
      </c>
      <c r="BJ74" s="291">
        <f t="shared" si="69"/>
        <v>4.2000000000000003E-2</v>
      </c>
      <c r="BK74" s="284">
        <f t="shared" si="46"/>
        <v>2.7782474289925085E-2</v>
      </c>
      <c r="BL74" s="288"/>
      <c r="BM74" s="283" t="s">
        <v>389</v>
      </c>
      <c r="BN74" s="283">
        <f t="shared" si="86"/>
        <v>2.4072782684259712E-2</v>
      </c>
      <c r="BO74" s="284">
        <f>Splines!AM64</f>
        <v>-1.0000000474974513E-3</v>
      </c>
      <c r="BP74" s="284">
        <f t="shared" si="31"/>
        <v>2.3072782636762261E-2</v>
      </c>
      <c r="BQ74" s="284">
        <f t="shared" si="47"/>
        <v>3.225055179478975E-2</v>
      </c>
      <c r="BR74" s="284">
        <f t="shared" si="70"/>
        <v>9.7494482052102524E-3</v>
      </c>
      <c r="BS74" s="291">
        <f t="shared" si="71"/>
        <v>4.2000000000000003E-2</v>
      </c>
      <c r="BT74" s="284">
        <f t="shared" si="48"/>
        <v>2.5589201125800098E-2</v>
      </c>
      <c r="BU74" s="288"/>
      <c r="BV74" s="659" t="s">
        <v>389</v>
      </c>
      <c r="BW74" s="659">
        <f t="shared" si="87"/>
        <v>3.830842243604772E-2</v>
      </c>
      <c r="BX74" s="284">
        <f>Splines!AR64</f>
        <v>-1.0000000474974513E-3</v>
      </c>
      <c r="BY74" s="284">
        <f t="shared" si="33"/>
        <v>3.7308422388550269E-2</v>
      </c>
      <c r="BZ74" s="284">
        <f t="shared" si="49"/>
        <v>4.5276412225977003E-2</v>
      </c>
      <c r="CA74" s="284">
        <f t="shared" si="72"/>
        <v>-3.2764122259770004E-3</v>
      </c>
      <c r="CB74" s="291">
        <f t="shared" si="34"/>
        <v>4.5276412225977003E-2</v>
      </c>
      <c r="CC74" s="284">
        <f t="shared" si="50"/>
        <v>3.7308422388550255E-2</v>
      </c>
      <c r="CD74" s="288"/>
      <c r="CE74" s="284" t="str">
        <f t="shared" si="74"/>
        <v>60 Year</v>
      </c>
      <c r="CF74" s="284">
        <f t="shared" si="75"/>
        <v>2.8646209321840001E-2</v>
      </c>
      <c r="CG74" s="284">
        <f t="shared" si="76"/>
        <v>-1.0000000474974513E-3</v>
      </c>
      <c r="CH74" s="284">
        <f t="shared" si="77"/>
        <v>2.764620927434255E-2</v>
      </c>
      <c r="CI74" s="284">
        <f t="shared" si="78"/>
        <v>4.1466080591125776E-2</v>
      </c>
      <c r="CJ74" s="284">
        <f t="shared" si="78"/>
        <v>5.339194088742269E-4</v>
      </c>
      <c r="CK74" s="284">
        <f>BJ74+MIN('Instructions &amp; Dashboard'!$D$43,'Instructions &amp; Dashboard'!$D$44)/10000</f>
        <v>4.4000000000000004E-2</v>
      </c>
      <c r="CL74" s="284">
        <f t="shared" si="51"/>
        <v>2.9948175272537458E-2</v>
      </c>
    </row>
    <row r="75" spans="1:90">
      <c r="A75" s="283">
        <f t="shared" si="52"/>
        <v>61</v>
      </c>
      <c r="B75" s="283" t="s">
        <v>390</v>
      </c>
      <c r="C75" s="283">
        <f t="shared" si="88"/>
        <v>3.399755886532746E-2</v>
      </c>
      <c r="D75" s="284">
        <f>Splines!D65</f>
        <v>-9.565238417054803E-4</v>
      </c>
      <c r="E75" s="506">
        <f t="shared" si="89"/>
        <v>3.3041035023621983E-2</v>
      </c>
      <c r="F75" s="507">
        <f t="shared" si="54"/>
        <v>4.3310323026355846E-2</v>
      </c>
      <c r="H75" s="284">
        <f>H74</f>
        <v>4.2000000000000003E-2</v>
      </c>
      <c r="I75" s="284">
        <f t="shared" si="53"/>
        <v>3.2104602544500649E-2</v>
      </c>
      <c r="J75" s="285"/>
      <c r="K75" s="283" t="s">
        <v>390</v>
      </c>
      <c r="L75" s="283">
        <f t="shared" si="79"/>
        <v>5.4850637458909932E-3</v>
      </c>
      <c r="M75" s="284">
        <f>Splines!I65</f>
        <v>-1.0133956792943574E-3</v>
      </c>
      <c r="N75" s="283">
        <f t="shared" si="80"/>
        <v>4.471668066596636E-3</v>
      </c>
      <c r="O75" s="284">
        <f t="shared" si="35"/>
        <v>9.6540495212735777E-3</v>
      </c>
      <c r="Q75" s="284">
        <f>Q74</f>
        <v>4.2000000000000003E-2</v>
      </c>
      <c r="R75" s="284">
        <f t="shared" si="36"/>
        <v>1.3438706795978694E-2</v>
      </c>
      <c r="S75" s="287"/>
      <c r="T75" s="283" t="s">
        <v>390</v>
      </c>
      <c r="U75" s="283">
        <f t="shared" si="81"/>
        <v>1.1583614445371766E-2</v>
      </c>
      <c r="V75" s="284">
        <f>Splines!N65</f>
        <v>-9.76803678326059E-4</v>
      </c>
      <c r="W75" s="284">
        <f t="shared" si="21"/>
        <v>1.0606810767045708E-2</v>
      </c>
      <c r="X75" s="284">
        <f t="shared" si="37"/>
        <v>1.3349420080559504E-3</v>
      </c>
      <c r="Z75" s="284">
        <f>Z74</f>
        <v>4.2000000000000003E-2</v>
      </c>
      <c r="AA75" s="284">
        <f t="shared" si="38"/>
        <v>2.1115657672001076E-2</v>
      </c>
      <c r="AB75" s="288"/>
      <c r="AC75" s="283" t="s">
        <v>390</v>
      </c>
      <c r="AD75" s="283">
        <f t="shared" si="82"/>
        <v>-6.2181727759620248E-3</v>
      </c>
      <c r="AE75" s="284">
        <f>Splines!S65</f>
        <v>-1.0087407717561921E-3</v>
      </c>
      <c r="AF75" s="284">
        <f t="shared" si="23"/>
        <v>-7.2269135477182169E-3</v>
      </c>
      <c r="AG75" s="284">
        <f t="shared" si="39"/>
        <v>-2.8726325019823418E-2</v>
      </c>
      <c r="AI75" s="284">
        <f>AI74</f>
        <v>4.200000000000001E-2</v>
      </c>
      <c r="AJ75" s="284">
        <f t="shared" si="40"/>
        <v>1.175801931973286E-2</v>
      </c>
      <c r="AK75" s="288"/>
      <c r="AL75" s="283" t="s">
        <v>390</v>
      </c>
      <c r="AM75" s="283">
        <f t="shared" si="83"/>
        <v>1.9117384650224913E-2</v>
      </c>
      <c r="AN75" s="283">
        <f>Splines!X65</f>
        <v>-1.0129798059489528E-3</v>
      </c>
      <c r="AO75" s="283">
        <f t="shared" si="25"/>
        <v>1.8104404844275959E-2</v>
      </c>
      <c r="AP75" s="284">
        <f t="shared" si="41"/>
        <v>1.9255507056707311E-2</v>
      </c>
      <c r="AR75" s="291">
        <f>AR74</f>
        <v>4.2000000000000003E-2</v>
      </c>
      <c r="AS75" s="284">
        <f t="shared" si="42"/>
        <v>2.4420132617594348E-2</v>
      </c>
      <c r="AT75" s="289"/>
      <c r="AU75" s="283" t="s">
        <v>390</v>
      </c>
      <c r="AV75" s="283">
        <f t="shared" si="84"/>
        <v>1.8891328742570362E-2</v>
      </c>
      <c r="AW75" s="284">
        <f>Splines!AC65</f>
        <v>-9.6335561634479621E-4</v>
      </c>
      <c r="AX75" s="284">
        <f t="shared" si="27"/>
        <v>1.7927973126225565E-2</v>
      </c>
      <c r="AY75" s="284">
        <f t="shared" si="43"/>
        <v>3.7290592327763772E-2</v>
      </c>
      <c r="BA75" s="291">
        <f>BA74</f>
        <v>4.2000000000000003E-2</v>
      </c>
      <c r="BB75" s="284">
        <f t="shared" si="44"/>
        <v>1.8740233496330916E-2</v>
      </c>
      <c r="BC75" s="288"/>
      <c r="BD75" s="283" t="s">
        <v>390</v>
      </c>
      <c r="BE75" s="283">
        <f t="shared" si="85"/>
        <v>2.8830042431033466E-2</v>
      </c>
      <c r="BF75" s="284">
        <f>Splines!AH65</f>
        <v>-9.7642932195668799E-4</v>
      </c>
      <c r="BG75" s="284">
        <f t="shared" si="29"/>
        <v>2.7853613109076778E-2</v>
      </c>
      <c r="BH75" s="284">
        <f t="shared" si="45"/>
        <v>4.0374750297218265E-2</v>
      </c>
      <c r="BJ75" s="284">
        <f>BJ74</f>
        <v>4.2000000000000003E-2</v>
      </c>
      <c r="BK75" s="284">
        <f t="shared" si="46"/>
        <v>2.8013977183154459E-2</v>
      </c>
      <c r="BL75" s="288"/>
      <c r="BM75" s="283" t="s">
        <v>390</v>
      </c>
      <c r="BN75" s="283">
        <f t="shared" si="86"/>
        <v>2.4323735076772126E-2</v>
      </c>
      <c r="BO75" s="284">
        <f>Splines!AM65</f>
        <v>-1.0517495922442103E-3</v>
      </c>
      <c r="BP75" s="284">
        <f t="shared" si="31"/>
        <v>2.3271985484527916E-2</v>
      </c>
      <c r="BQ75" s="284">
        <f t="shared" si="47"/>
        <v>3.5295408865947397E-2</v>
      </c>
      <c r="BS75" s="284">
        <f>BS74</f>
        <v>4.2000000000000003E-2</v>
      </c>
      <c r="BT75" s="284">
        <f t="shared" si="48"/>
        <v>2.5856135620731635E-2</v>
      </c>
      <c r="BU75" s="288"/>
      <c r="BV75" s="659" t="s">
        <v>390</v>
      </c>
      <c r="BW75" s="659">
        <f t="shared" si="87"/>
        <v>3.8424530662650912E-2</v>
      </c>
      <c r="BX75" s="284">
        <f>Splines!AR65</f>
        <v>-9.9392517314065426E-4</v>
      </c>
      <c r="BY75" s="284">
        <f t="shared" si="33"/>
        <v>3.7430605489510257E-2</v>
      </c>
      <c r="BZ75" s="284">
        <f t="shared" si="49"/>
        <v>4.4787989610785894E-2</v>
      </c>
      <c r="CB75" s="291">
        <f t="shared" si="34"/>
        <v>4.4787989610785894E-2</v>
      </c>
      <c r="CC75" s="284">
        <f t="shared" si="50"/>
        <v>3.743060548951016E-2</v>
      </c>
      <c r="CD75" s="288"/>
      <c r="CE75" s="284" t="str">
        <f t="shared" si="74"/>
        <v>61 Year</v>
      </c>
      <c r="CF75" s="284">
        <f t="shared" si="75"/>
        <v>2.8830042431033466E-2</v>
      </c>
      <c r="CG75" s="284">
        <f t="shared" si="76"/>
        <v>-9.7642932195668799E-4</v>
      </c>
      <c r="CH75" s="284">
        <f t="shared" si="77"/>
        <v>2.7853613109076778E-2</v>
      </c>
      <c r="CI75" s="284">
        <f t="shared" si="78"/>
        <v>4.0374750297218265E-2</v>
      </c>
      <c r="CK75" s="284">
        <f>BJ75+MIN('Instructions &amp; Dashboard'!$D$43,'Instructions &amp; Dashboard'!$D$44)/10000</f>
        <v>4.4000000000000004E-2</v>
      </c>
      <c r="CL75" s="284">
        <f t="shared" si="51"/>
        <v>3.017700120602651E-2</v>
      </c>
    </row>
    <row r="76" spans="1:90">
      <c r="A76" s="283">
        <f t="shared" si="52"/>
        <v>62</v>
      </c>
      <c r="B76" s="283" t="s">
        <v>391</v>
      </c>
      <c r="C76" s="283">
        <f t="shared" si="88"/>
        <v>3.4120827136328302E-2</v>
      </c>
      <c r="D76" s="284">
        <f>Splines!D66</f>
        <v>-9.4581117753717459E-4</v>
      </c>
      <c r="E76" s="506">
        <f t="shared" si="89"/>
        <v>3.3175015958791125E-2</v>
      </c>
      <c r="F76" s="507">
        <f t="shared" si="54"/>
        <v>4.1380797827345051E-2</v>
      </c>
      <c r="H76" s="284">
        <f t="shared" ref="H76:H114" si="90">H75</f>
        <v>4.2000000000000003E-2</v>
      </c>
      <c r="I76" s="284">
        <f t="shared" si="53"/>
        <v>3.2263457703380682E-2</v>
      </c>
      <c r="J76" s="285"/>
      <c r="K76" s="283" t="s">
        <v>391</v>
      </c>
      <c r="L76" s="283">
        <f t="shared" si="79"/>
        <v>5.5869324142875619E-3</v>
      </c>
      <c r="M76" s="284">
        <f>Splines!I66</f>
        <v>-1.0166964022410912E-3</v>
      </c>
      <c r="N76" s="283">
        <f t="shared" si="80"/>
        <v>4.5702360120464707E-3</v>
      </c>
      <c r="O76" s="284">
        <f t="shared" si="35"/>
        <v>1.0601207119118161E-2</v>
      </c>
      <c r="Q76" s="284">
        <f t="shared" ref="Q76:Q114" si="91">Q75</f>
        <v>4.2000000000000003E-2</v>
      </c>
      <c r="R76" s="284">
        <f t="shared" si="36"/>
        <v>1.3893102722038142E-2</v>
      </c>
      <c r="S76" s="287"/>
      <c r="T76" s="283" t="s">
        <v>391</v>
      </c>
      <c r="U76" s="283">
        <f t="shared" si="81"/>
        <v>1.1404644917872072E-2</v>
      </c>
      <c r="V76" s="284">
        <f>Splines!N66</f>
        <v>-9.71088025202472E-4</v>
      </c>
      <c r="W76" s="284">
        <f t="shared" si="21"/>
        <v>1.04335568926696E-2</v>
      </c>
      <c r="X76" s="284">
        <f t="shared" si="37"/>
        <v>-7.8955313115192105E-5</v>
      </c>
      <c r="Z76" s="284">
        <f t="shared" ref="Z76:Z114" si="92">Z75</f>
        <v>4.2000000000000003E-2</v>
      </c>
      <c r="AA76" s="284">
        <f t="shared" si="38"/>
        <v>2.1449157962262211E-2</v>
      </c>
      <c r="AB76" s="288"/>
      <c r="AC76" s="283" t="s">
        <v>391</v>
      </c>
      <c r="AD76" s="283">
        <f t="shared" si="82"/>
        <v>-6.575580059208469E-3</v>
      </c>
      <c r="AE76" s="284">
        <f>Splines!S66</f>
        <v>-1.0108945117490956E-3</v>
      </c>
      <c r="AF76" s="284">
        <f t="shared" si="23"/>
        <v>-7.5864745709575644E-3</v>
      </c>
      <c r="AG76" s="284">
        <f t="shared" si="39"/>
        <v>-2.9275215312080882E-2</v>
      </c>
      <c r="AI76" s="284">
        <f t="shared" ref="AI76:AI114" si="93">AI75</f>
        <v>4.200000000000001E-2</v>
      </c>
      <c r="AJ76" s="284">
        <f t="shared" si="40"/>
        <v>1.2238759554489276E-2</v>
      </c>
      <c r="AK76" s="288"/>
      <c r="AL76" s="283" t="s">
        <v>391</v>
      </c>
      <c r="AM76" s="283">
        <f t="shared" si="83"/>
        <v>1.9148561374784951E-2</v>
      </c>
      <c r="AN76" s="283">
        <f>Splines!X66</f>
        <v>-1.0161780563846742E-3</v>
      </c>
      <c r="AO76" s="283">
        <f t="shared" si="25"/>
        <v>1.8132383318400277E-2</v>
      </c>
      <c r="AP76" s="284">
        <f t="shared" si="41"/>
        <v>1.9840524982016605E-2</v>
      </c>
      <c r="AR76" s="291">
        <f t="shared" ref="AR76:AR114" si="94">AR75</f>
        <v>4.2000000000000003E-2</v>
      </c>
      <c r="AS76" s="284">
        <f t="shared" si="42"/>
        <v>2.4701311987952668E-2</v>
      </c>
      <c r="AT76" s="289"/>
      <c r="AU76" s="283" t="s">
        <v>391</v>
      </c>
      <c r="AV76" s="283">
        <f t="shared" si="84"/>
        <v>1.9169370198332546E-2</v>
      </c>
      <c r="AW76" s="284">
        <f>Splines!AC66</f>
        <v>-9.5432632162783897E-4</v>
      </c>
      <c r="AX76" s="284">
        <f t="shared" si="27"/>
        <v>1.8215043876704709E-2</v>
      </c>
      <c r="AY76" s="284">
        <f t="shared" si="43"/>
        <v>3.5880318698483515E-2</v>
      </c>
      <c r="BA76" s="291">
        <f t="shared" ref="BA76:BA114" si="95">BA75</f>
        <v>4.2000000000000003E-2</v>
      </c>
      <c r="BB76" s="284">
        <f t="shared" si="44"/>
        <v>1.911123987606711E-2</v>
      </c>
      <c r="BC76" s="288"/>
      <c r="BD76" s="283" t="s">
        <v>391</v>
      </c>
      <c r="BE76" s="283">
        <f t="shared" si="85"/>
        <v>2.9011027360036426E-2</v>
      </c>
      <c r="BF76" s="284">
        <f>Splines!AH66</f>
        <v>-9.7062142613817376E-4</v>
      </c>
      <c r="BG76" s="284">
        <f t="shared" si="29"/>
        <v>2.8040405933898251E-2</v>
      </c>
      <c r="BH76" s="284">
        <f t="shared" si="45"/>
        <v>3.9499194148873151E-2</v>
      </c>
      <c r="BJ76" s="284">
        <f t="shared" ref="BJ76:BJ114" si="96">BJ75</f>
        <v>4.2000000000000003E-2</v>
      </c>
      <c r="BK76" s="284">
        <f t="shared" si="46"/>
        <v>2.8238061889865662E-2</v>
      </c>
      <c r="BL76" s="288"/>
      <c r="BM76" s="283" t="s">
        <v>391</v>
      </c>
      <c r="BN76" s="283">
        <f t="shared" si="86"/>
        <v>2.4569725068502427E-2</v>
      </c>
      <c r="BO76" s="284">
        <f>Splines!AM66</f>
        <v>-1.0645008314391381E-3</v>
      </c>
      <c r="BP76" s="284">
        <f t="shared" si="31"/>
        <v>2.3505224237063287E-2</v>
      </c>
      <c r="BQ76" s="284">
        <f t="shared" si="47"/>
        <v>3.7833779408707358E-2</v>
      </c>
      <c r="BS76" s="284">
        <f t="shared" ref="BS76:BS114" si="97">BS75</f>
        <v>4.2000000000000003E-2</v>
      </c>
      <c r="BT76" s="284">
        <f t="shared" si="48"/>
        <v>2.6114525475900319E-2</v>
      </c>
      <c r="BU76" s="288"/>
      <c r="BV76" s="659" t="s">
        <v>391</v>
      </c>
      <c r="BW76" s="659">
        <f t="shared" si="87"/>
        <v>3.8534422557209395E-2</v>
      </c>
      <c r="BX76" s="284">
        <f>Splines!AR66</f>
        <v>-9.9242830631598284E-4</v>
      </c>
      <c r="BY76" s="284">
        <f t="shared" si="33"/>
        <v>3.7541994250893412E-2</v>
      </c>
      <c r="BZ76" s="284">
        <f t="shared" si="49"/>
        <v>4.4359373307887973E-2</v>
      </c>
      <c r="CB76" s="291">
        <f t="shared" si="34"/>
        <v>4.4359373307887973E-2</v>
      </c>
      <c r="CC76" s="284">
        <f t="shared" si="50"/>
        <v>3.754199425089344E-2</v>
      </c>
      <c r="CD76" s="288"/>
      <c r="CE76" s="284" t="str">
        <f t="shared" si="74"/>
        <v>62 Year</v>
      </c>
      <c r="CF76" s="284">
        <f t="shared" si="75"/>
        <v>2.9011027360036426E-2</v>
      </c>
      <c r="CG76" s="284">
        <f t="shared" si="76"/>
        <v>-9.7062142613817376E-4</v>
      </c>
      <c r="CH76" s="284">
        <f t="shared" si="77"/>
        <v>2.8040405933898251E-2</v>
      </c>
      <c r="CI76" s="284">
        <f t="shared" si="78"/>
        <v>3.9499194148873151E-2</v>
      </c>
      <c r="CK76" s="284">
        <f>BJ76+MIN('Instructions &amp; Dashboard'!$D$43,'Instructions &amp; Dashboard'!$D$44)/10000</f>
        <v>4.4000000000000004E-2</v>
      </c>
      <c r="CL76" s="284">
        <f t="shared" si="51"/>
        <v>3.0398494062963577E-2</v>
      </c>
    </row>
    <row r="77" spans="1:90">
      <c r="A77" s="283">
        <f t="shared" si="52"/>
        <v>63</v>
      </c>
      <c r="B77" s="283" t="s">
        <v>392</v>
      </c>
      <c r="C77" s="283">
        <f t="shared" si="88"/>
        <v>3.4240669517996328E-2</v>
      </c>
      <c r="D77" s="284">
        <f>Splines!D67</f>
        <v>-9.5683661800487218E-4</v>
      </c>
      <c r="E77" s="506">
        <f t="shared" si="89"/>
        <v>3.3283832899991456E-2</v>
      </c>
      <c r="F77" s="507">
        <f t="shared" si="54"/>
        <v>4.0052914423993835E-2</v>
      </c>
      <c r="H77" s="284">
        <f t="shared" si="90"/>
        <v>4.2000000000000003E-2</v>
      </c>
      <c r="I77" s="284">
        <f t="shared" si="53"/>
        <v>3.2417293139344272E-2</v>
      </c>
      <c r="J77" s="285"/>
      <c r="K77" s="283" t="s">
        <v>392</v>
      </c>
      <c r="L77" s="283">
        <f t="shared" si="79"/>
        <v>5.6910792593617664E-3</v>
      </c>
      <c r="M77" s="284">
        <f>Splines!I67</f>
        <v>-1.0132993087532479E-3</v>
      </c>
      <c r="N77" s="283">
        <f t="shared" si="80"/>
        <v>4.6777799506085189E-3</v>
      </c>
      <c r="O77" s="284">
        <f t="shared" si="35"/>
        <v>1.1368038212747678E-2</v>
      </c>
      <c r="Q77" s="284">
        <f t="shared" si="91"/>
        <v>4.2000000000000003E-2</v>
      </c>
      <c r="R77" s="284">
        <f t="shared" si="36"/>
        <v>1.4333267518239046E-2</v>
      </c>
      <c r="S77" s="287"/>
      <c r="T77" s="283" t="s">
        <v>392</v>
      </c>
      <c r="U77" s="283">
        <f t="shared" si="81"/>
        <v>1.1225299578871365E-2</v>
      </c>
      <c r="V77" s="284">
        <f>Splines!N67</f>
        <v>-9.7697055759295311E-4</v>
      </c>
      <c r="W77" s="284">
        <f t="shared" si="21"/>
        <v>1.0248329021278412E-2</v>
      </c>
      <c r="X77" s="284">
        <f t="shared" si="37"/>
        <v>-1.169731212727898E-3</v>
      </c>
      <c r="Z77" s="284">
        <f t="shared" si="92"/>
        <v>4.2000000000000003E-2</v>
      </c>
      <c r="AA77" s="284">
        <f t="shared" si="38"/>
        <v>2.1772174731938598E-2</v>
      </c>
      <c r="AB77" s="288"/>
      <c r="AC77" s="283" t="s">
        <v>392</v>
      </c>
      <c r="AD77" s="283">
        <f t="shared" si="82"/>
        <v>-6.936477281746567E-3</v>
      </c>
      <c r="AE77" s="284">
        <f>Splines!S67</f>
        <v>-1.008677889262805E-3</v>
      </c>
      <c r="AF77" s="284">
        <f t="shared" si="23"/>
        <v>-7.9451551710093722E-3</v>
      </c>
      <c r="AG77" s="284">
        <f t="shared" si="39"/>
        <v>-2.9932025275524299E-2</v>
      </c>
      <c r="AI77" s="284">
        <f t="shared" si="93"/>
        <v>4.200000000000001E-2</v>
      </c>
      <c r="AJ77" s="284">
        <f t="shared" si="40"/>
        <v>1.2704455856448416E-2</v>
      </c>
      <c r="AK77" s="288"/>
      <c r="AL77" s="283" t="s">
        <v>392</v>
      </c>
      <c r="AM77" s="283">
        <f t="shared" si="83"/>
        <v>1.9178793154408728E-2</v>
      </c>
      <c r="AN77" s="283">
        <f>Splines!X67</f>
        <v>-1.0128864270751651E-3</v>
      </c>
      <c r="AO77" s="283">
        <f t="shared" si="25"/>
        <v>1.8165906727333564E-2</v>
      </c>
      <c r="AP77" s="284">
        <f t="shared" si="41"/>
        <v>2.0246515255074815E-2</v>
      </c>
      <c r="AR77" s="291">
        <f t="shared" si="94"/>
        <v>4.2000000000000003E-2</v>
      </c>
      <c r="AS77" s="284">
        <f t="shared" si="42"/>
        <v>2.4973638569828482E-2</v>
      </c>
      <c r="AT77" s="289"/>
      <c r="AU77" s="283" t="s">
        <v>392</v>
      </c>
      <c r="AV77" s="283">
        <f t="shared" si="84"/>
        <v>1.9442542716658615E-2</v>
      </c>
      <c r="AW77" s="284">
        <f>Splines!AC67</f>
        <v>-9.6361924395380375E-4</v>
      </c>
      <c r="AX77" s="284">
        <f t="shared" si="27"/>
        <v>1.8478923472704811E-2</v>
      </c>
      <c r="AY77" s="284">
        <f t="shared" si="43"/>
        <v>3.4973724336875511E-2</v>
      </c>
      <c r="BA77" s="291">
        <f t="shared" si="95"/>
        <v>4.2000000000000003E-2</v>
      </c>
      <c r="BB77" s="284">
        <f t="shared" si="44"/>
        <v>1.9470597022770209E-2</v>
      </c>
      <c r="BC77" s="288"/>
      <c r="BD77" s="283" t="s">
        <v>392</v>
      </c>
      <c r="BE77" s="283">
        <f t="shared" si="85"/>
        <v>2.9189212934632388E-2</v>
      </c>
      <c r="BF77" s="284">
        <f>Splines!AH67</f>
        <v>-9.7659889403339589E-4</v>
      </c>
      <c r="BG77" s="284">
        <f t="shared" si="29"/>
        <v>2.8212614040598993E-2</v>
      </c>
      <c r="BH77" s="284">
        <f t="shared" si="45"/>
        <v>3.8946046745527596E-2</v>
      </c>
      <c r="BJ77" s="284">
        <f t="shared" si="96"/>
        <v>4.2000000000000003E-2</v>
      </c>
      <c r="BK77" s="284">
        <f t="shared" si="46"/>
        <v>2.8455079340485412E-2</v>
      </c>
      <c r="BL77" s="288"/>
      <c r="BM77" s="283" t="s">
        <v>392</v>
      </c>
      <c r="BN77" s="283">
        <f t="shared" si="86"/>
        <v>2.4810772111652848E-2</v>
      </c>
      <c r="BO77" s="284">
        <f>Splines!AM67</f>
        <v>-1.0513772961895506E-3</v>
      </c>
      <c r="BP77" s="284">
        <f t="shared" si="31"/>
        <v>2.3759394815463297E-2</v>
      </c>
      <c r="BQ77" s="284">
        <f t="shared" si="47"/>
        <v>3.9641866969805317E-2</v>
      </c>
      <c r="BS77" s="284">
        <f t="shared" si="97"/>
        <v>4.2000000000000003E-2</v>
      </c>
      <c r="BT77" s="284">
        <f t="shared" si="48"/>
        <v>2.6364774494520349E-2</v>
      </c>
      <c r="BU77" s="288"/>
      <c r="BV77" s="659" t="s">
        <v>392</v>
      </c>
      <c r="BW77" s="659">
        <f t="shared" si="87"/>
        <v>3.8638459101517926E-2</v>
      </c>
      <c r="BX77" s="284">
        <f>Splines!AR67</f>
        <v>-9.9396887691284011E-4</v>
      </c>
      <c r="BY77" s="284">
        <f t="shared" si="33"/>
        <v>3.7644490224605087E-2</v>
      </c>
      <c r="BZ77" s="284">
        <f t="shared" si="49"/>
        <v>4.4019055086798708E-2</v>
      </c>
      <c r="CB77" s="291">
        <f t="shared" si="34"/>
        <v>4.4019055086798708E-2</v>
      </c>
      <c r="CC77" s="284">
        <f t="shared" si="50"/>
        <v>3.7644490224605143E-2</v>
      </c>
      <c r="CD77" s="288"/>
      <c r="CE77" s="284" t="str">
        <f t="shared" si="74"/>
        <v>63 Year</v>
      </c>
      <c r="CF77" s="284">
        <f t="shared" si="75"/>
        <v>2.9189212934632388E-2</v>
      </c>
      <c r="CG77" s="284">
        <f t="shared" si="76"/>
        <v>-9.7659889403339589E-4</v>
      </c>
      <c r="CH77" s="284">
        <f t="shared" si="77"/>
        <v>2.8212614040598993E-2</v>
      </c>
      <c r="CI77" s="284">
        <f t="shared" si="78"/>
        <v>3.8946046745527596E-2</v>
      </c>
      <c r="CK77" s="284">
        <f>BJ77+MIN('Instructions &amp; Dashboard'!$D$43,'Instructions &amp; Dashboard'!$D$44)/10000</f>
        <v>4.4000000000000004E-2</v>
      </c>
      <c r="CL77" s="284">
        <f t="shared" si="51"/>
        <v>3.0613000778809019E-2</v>
      </c>
    </row>
    <row r="78" spans="1:90">
      <c r="A78" s="283">
        <f t="shared" si="52"/>
        <v>64</v>
      </c>
      <c r="B78" s="283" t="s">
        <v>393</v>
      </c>
      <c r="C78" s="283">
        <f t="shared" si="88"/>
        <v>3.4357206869831847E-2</v>
      </c>
      <c r="D78" s="284">
        <f>Splines!D68</f>
        <v>-9.785747219883689E-4</v>
      </c>
      <c r="E78" s="506">
        <f t="shared" si="89"/>
        <v>3.3378632147843479E-2</v>
      </c>
      <c r="F78" s="507">
        <f t="shared" si="54"/>
        <v>3.9368552041719518E-2</v>
      </c>
      <c r="H78" s="284">
        <f t="shared" si="90"/>
        <v>4.2000000000000003E-2</v>
      </c>
      <c r="I78" s="284">
        <f t="shared" si="53"/>
        <v>3.2566343080132842E-2</v>
      </c>
      <c r="J78" s="285"/>
      <c r="K78" s="283" t="s">
        <v>393</v>
      </c>
      <c r="L78" s="283">
        <f t="shared" si="79"/>
        <v>5.7974524055140232E-3</v>
      </c>
      <c r="M78" s="284">
        <f>Splines!I68</f>
        <v>-1.0066014925197173E-3</v>
      </c>
      <c r="N78" s="283">
        <f t="shared" si="80"/>
        <v>4.7908509129943062E-3</v>
      </c>
      <c r="O78" s="284">
        <f t="shared" si="35"/>
        <v>1.1940035955475325E-2</v>
      </c>
      <c r="Q78" s="284">
        <f t="shared" si="91"/>
        <v>4.2000000000000003E-2</v>
      </c>
      <c r="R78" s="284">
        <f t="shared" si="36"/>
        <v>1.4759859389898766E-2</v>
      </c>
      <c r="S78" s="287"/>
      <c r="T78" s="283" t="s">
        <v>393</v>
      </c>
      <c r="U78" s="283">
        <f t="shared" si="81"/>
        <v>1.1045709498647888E-2</v>
      </c>
      <c r="V78" s="284">
        <f>Splines!N68</f>
        <v>-9.8856874275888196E-4</v>
      </c>
      <c r="W78" s="284">
        <f t="shared" si="21"/>
        <v>1.0057140755889005E-2</v>
      </c>
      <c r="X78" s="284">
        <f t="shared" si="37"/>
        <v>-1.9150612264506872E-3</v>
      </c>
      <c r="Z78" s="284">
        <f t="shared" si="92"/>
        <v>4.2000000000000003E-2</v>
      </c>
      <c r="AA78" s="284">
        <f t="shared" si="38"/>
        <v>2.2085194637720074E-2</v>
      </c>
      <c r="AB78" s="288"/>
      <c r="AC78" s="283" t="s">
        <v>393</v>
      </c>
      <c r="AD78" s="283">
        <f t="shared" si="82"/>
        <v>-7.3005442270489551E-3</v>
      </c>
      <c r="AE78" s="284">
        <f>Splines!S68</f>
        <v>-1.0043075269147946E-3</v>
      </c>
      <c r="AF78" s="284">
        <f t="shared" si="23"/>
        <v>-8.3048517539637493E-3</v>
      </c>
      <c r="AG78" s="284">
        <f t="shared" si="39"/>
        <v>-3.0704773451956768E-2</v>
      </c>
      <c r="AI78" s="284">
        <f t="shared" si="93"/>
        <v>4.200000000000001E-2</v>
      </c>
      <c r="AJ78" s="284">
        <f t="shared" si="40"/>
        <v>1.3155803460477511E-2</v>
      </c>
      <c r="AK78" s="288"/>
      <c r="AL78" s="283" t="s">
        <v>393</v>
      </c>
      <c r="AM78" s="283">
        <f t="shared" si="83"/>
        <v>1.9208111357944598E-2</v>
      </c>
      <c r="AN78" s="283">
        <f>Splines!X68</f>
        <v>-1.0063965475247394E-3</v>
      </c>
      <c r="AO78" s="283">
        <f t="shared" si="25"/>
        <v>1.8201714810419857E-2</v>
      </c>
      <c r="AP78" s="284">
        <f t="shared" si="41"/>
        <v>2.0460164724072971E-2</v>
      </c>
      <c r="AR78" s="291">
        <f t="shared" si="94"/>
        <v>4.2000000000000003E-2</v>
      </c>
      <c r="AS78" s="284">
        <f t="shared" si="42"/>
        <v>2.5237523962669428E-2</v>
      </c>
      <c r="AT78" s="289"/>
      <c r="AU78" s="283" t="s">
        <v>393</v>
      </c>
      <c r="AV78" s="283">
        <f t="shared" si="84"/>
        <v>1.9710921388922151E-2</v>
      </c>
      <c r="AW78" s="284">
        <f>Splines!AC68</f>
        <v>-9.8194146044675306E-4</v>
      </c>
      <c r="AX78" s="284">
        <f t="shared" si="27"/>
        <v>1.8728979928475397E-2</v>
      </c>
      <c r="AY78" s="284">
        <f t="shared" si="43"/>
        <v>3.4606936798435628E-2</v>
      </c>
      <c r="BA78" s="291">
        <f t="shared" si="95"/>
        <v>4.2000000000000003E-2</v>
      </c>
      <c r="BB78" s="284">
        <f t="shared" si="44"/>
        <v>1.9818845096123638E-2</v>
      </c>
      <c r="BC78" s="288"/>
      <c r="BD78" s="283" t="s">
        <v>393</v>
      </c>
      <c r="BE78" s="283">
        <f t="shared" si="85"/>
        <v>2.936464687510934E-2</v>
      </c>
      <c r="BF78" s="284">
        <f>Splines!AH68</f>
        <v>-9.8838425739337433E-4</v>
      </c>
      <c r="BG78" s="284">
        <f t="shared" si="29"/>
        <v>2.8376262617715965E-2</v>
      </c>
      <c r="BH78" s="284">
        <f t="shared" si="45"/>
        <v>3.8738804908666546E-2</v>
      </c>
      <c r="BJ78" s="284">
        <f t="shared" si="96"/>
        <v>4.2000000000000003E-2</v>
      </c>
      <c r="BK78" s="284">
        <f t="shared" si="46"/>
        <v>2.8665358674198949E-2</v>
      </c>
      <c r="BL78" s="288"/>
      <c r="BM78" s="283" t="s">
        <v>393</v>
      </c>
      <c r="BN78" s="283">
        <f t="shared" si="86"/>
        <v>2.5046908160449743E-2</v>
      </c>
      <c r="BO78" s="284">
        <f>Splines!AM68</f>
        <v>-1.025502522521711E-3</v>
      </c>
      <c r="BP78" s="284">
        <f t="shared" si="31"/>
        <v>2.4021405637928032E-2</v>
      </c>
      <c r="BQ78" s="284">
        <f t="shared" si="47"/>
        <v>4.0663991084207707E-2</v>
      </c>
      <c r="BS78" s="284">
        <f t="shared" si="97"/>
        <v>4.2000000000000003E-2</v>
      </c>
      <c r="BT78" s="284">
        <f t="shared" si="48"/>
        <v>2.6607261430924289E-2</v>
      </c>
      <c r="BU78" s="288"/>
      <c r="BV78" s="659" t="s">
        <v>393</v>
      </c>
      <c r="BW78" s="659">
        <f t="shared" si="87"/>
        <v>3.873698185854757E-2</v>
      </c>
      <c r="BX78" s="284">
        <f>Splines!AR68</f>
        <v>-9.970063142431952E-4</v>
      </c>
      <c r="BY78" s="284">
        <f t="shared" si="33"/>
        <v>3.7739975544304374E-2</v>
      </c>
      <c r="BZ78" s="284">
        <f t="shared" si="49"/>
        <v>4.3773298360034074E-2</v>
      </c>
      <c r="CB78" s="291">
        <f t="shared" si="34"/>
        <v>4.3773298360034074E-2</v>
      </c>
      <c r="CC78" s="284">
        <f t="shared" si="50"/>
        <v>3.7739975544304416E-2</v>
      </c>
      <c r="CD78" s="288"/>
      <c r="CE78" s="284" t="str">
        <f t="shared" si="74"/>
        <v>64 Year</v>
      </c>
      <c r="CF78" s="284">
        <f t="shared" si="75"/>
        <v>2.936464687510934E-2</v>
      </c>
      <c r="CG78" s="284">
        <f t="shared" si="76"/>
        <v>-9.8838425739337433E-4</v>
      </c>
      <c r="CH78" s="284">
        <f t="shared" si="77"/>
        <v>2.8376262617715965E-2</v>
      </c>
      <c r="CI78" s="284">
        <f t="shared" si="78"/>
        <v>3.8738804908666546E-2</v>
      </c>
      <c r="CK78" s="284">
        <f>BJ78+MIN('Instructions &amp; Dashboard'!$D$43,'Instructions &amp; Dashboard'!$D$44)/10000</f>
        <v>4.4000000000000004E-2</v>
      </c>
      <c r="CL78" s="284">
        <f t="shared" si="51"/>
        <v>3.0820846743928154E-2</v>
      </c>
    </row>
    <row r="79" spans="1:90">
      <c r="A79" s="283">
        <f t="shared" si="52"/>
        <v>65</v>
      </c>
      <c r="B79" s="283" t="s">
        <v>394</v>
      </c>
      <c r="C79" s="283">
        <f t="shared" si="88"/>
        <v>3.4470555721136026E-2</v>
      </c>
      <c r="D79" s="284">
        <f>Splines!D69</f>
        <v>-1.0000000474974513E-3</v>
      </c>
      <c r="E79" s="506">
        <f t="shared" si="89"/>
        <v>3.3470555673638575E-2</v>
      </c>
      <c r="F79" s="507">
        <f t="shared" si="54"/>
        <v>3.9370701295318611E-2</v>
      </c>
      <c r="H79" s="284">
        <f t="shared" si="90"/>
        <v>4.2000000000000003E-2</v>
      </c>
      <c r="I79" s="284">
        <f t="shared" si="53"/>
        <v>3.2710827404218934E-2</v>
      </c>
      <c r="J79" s="285"/>
      <c r="K79" s="283" t="s">
        <v>394</v>
      </c>
      <c r="L79" s="283">
        <f t="shared" si="79"/>
        <v>5.9059963352524752E-3</v>
      </c>
      <c r="M79" s="284">
        <f>Splines!I69</f>
        <v>-1.0000000474974513E-3</v>
      </c>
      <c r="N79" s="283">
        <f t="shared" si="80"/>
        <v>4.9059962877550239E-3</v>
      </c>
      <c r="O79" s="284">
        <f t="shared" si="35"/>
        <v>1.2302812540676999E-2</v>
      </c>
      <c r="Q79" s="284">
        <f t="shared" si="91"/>
        <v>4.2000000000000003E-2</v>
      </c>
      <c r="R79" s="284">
        <f t="shared" si="36"/>
        <v>1.5173496570690004E-2</v>
      </c>
      <c r="S79" s="287"/>
      <c r="T79" s="283" t="s">
        <v>394</v>
      </c>
      <c r="U79" s="283">
        <f t="shared" si="81"/>
        <v>1.0865996535338353E-2</v>
      </c>
      <c r="V79" s="284">
        <f>Splines!N69</f>
        <v>-1.0000000474974513E-3</v>
      </c>
      <c r="W79" s="284">
        <f t="shared" si="21"/>
        <v>9.8659964878409015E-3</v>
      </c>
      <c r="X79" s="284">
        <f t="shared" si="37"/>
        <v>-2.292296325503318E-3</v>
      </c>
      <c r="Z79" s="284">
        <f t="shared" si="92"/>
        <v>4.2000000000000003E-2</v>
      </c>
      <c r="AA79" s="284">
        <f t="shared" si="38"/>
        <v>2.2388674674678644E-2</v>
      </c>
      <c r="AB79" s="288"/>
      <c r="AC79" s="283" t="s">
        <v>394</v>
      </c>
      <c r="AD79" s="283">
        <f t="shared" si="82"/>
        <v>-7.6674717308064522E-3</v>
      </c>
      <c r="AE79" s="284">
        <f>Splines!S69</f>
        <v>-1.0000000474974513E-3</v>
      </c>
      <c r="AF79" s="284">
        <f t="shared" si="23"/>
        <v>-8.6674717783039035E-3</v>
      </c>
      <c r="AG79" s="284">
        <f t="shared" si="39"/>
        <v>-3.1601462694689997E-2</v>
      </c>
      <c r="AI79" s="284">
        <f t="shared" si="93"/>
        <v>4.200000000000001E-2</v>
      </c>
      <c r="AJ79" s="284">
        <f t="shared" si="40"/>
        <v>1.3593455415046973E-2</v>
      </c>
      <c r="AK79" s="288"/>
      <c r="AL79" s="283" t="s">
        <v>394</v>
      </c>
      <c r="AM79" s="283">
        <f t="shared" si="83"/>
        <v>1.9236546629660688E-2</v>
      </c>
      <c r="AN79" s="283">
        <f>Splines!X69</f>
        <v>-1.0000000474974513E-3</v>
      </c>
      <c r="AO79" s="283">
        <f t="shared" si="25"/>
        <v>1.8236546582163237E-2</v>
      </c>
      <c r="AP79" s="284">
        <f t="shared" si="41"/>
        <v>2.0468260207921585E-2</v>
      </c>
      <c r="AR79" s="291">
        <f t="shared" si="94"/>
        <v>4.2000000000000003E-2</v>
      </c>
      <c r="AS79" s="284">
        <f t="shared" si="42"/>
        <v>2.5493354640133692E-2</v>
      </c>
      <c r="AT79" s="289"/>
      <c r="AU79" s="283" t="s">
        <v>394</v>
      </c>
      <c r="AV79" s="283">
        <f t="shared" si="84"/>
        <v>1.9974581791746365E-2</v>
      </c>
      <c r="AW79" s="284">
        <f>Splines!AC69</f>
        <v>-1.0000000474974513E-3</v>
      </c>
      <c r="AX79" s="284">
        <f t="shared" si="27"/>
        <v>1.8974581744248913E-2</v>
      </c>
      <c r="AY79" s="284">
        <f t="shared" si="43"/>
        <v>3.4816883297190682E-2</v>
      </c>
      <c r="BA79" s="291">
        <f t="shared" si="95"/>
        <v>4.2000000000000003E-2</v>
      </c>
      <c r="BB79" s="284">
        <f t="shared" si="44"/>
        <v>2.0156491370062923E-2</v>
      </c>
      <c r="BC79" s="288"/>
      <c r="BD79" s="283" t="s">
        <v>394</v>
      </c>
      <c r="BE79" s="283">
        <f t="shared" si="85"/>
        <v>2.9537375841882114E-2</v>
      </c>
      <c r="BF79" s="284">
        <f>Splines!AH69</f>
        <v>-1.0000000474974513E-3</v>
      </c>
      <c r="BG79" s="284">
        <f t="shared" si="29"/>
        <v>2.8537375794384662E-2</v>
      </c>
      <c r="BH79" s="284">
        <f t="shared" si="45"/>
        <v>3.890129395867592E-2</v>
      </c>
      <c r="BJ79" s="284">
        <f t="shared" si="96"/>
        <v>4.2000000000000003E-2</v>
      </c>
      <c r="BK79" s="284">
        <f t="shared" si="46"/>
        <v>2.8869208904495514E-2</v>
      </c>
      <c r="BL79" s="288"/>
      <c r="BM79" s="283" t="s">
        <v>394</v>
      </c>
      <c r="BN79" s="283">
        <f t="shared" si="86"/>
        <v>2.5278175991760417E-2</v>
      </c>
      <c r="BO79" s="284">
        <f>Splines!AM69</f>
        <v>-1.0000000474974513E-3</v>
      </c>
      <c r="BP79" s="284">
        <f t="shared" si="31"/>
        <v>2.4278175944262965E-2</v>
      </c>
      <c r="BQ79" s="284">
        <f t="shared" si="47"/>
        <v>4.0846103001595857E-2</v>
      </c>
      <c r="BS79" s="284">
        <f t="shared" si="97"/>
        <v>4.2000000000000003E-2</v>
      </c>
      <c r="BT79" s="284">
        <f t="shared" si="48"/>
        <v>2.6842341903169809E-2</v>
      </c>
      <c r="BU79" s="288"/>
      <c r="BV79" s="659" t="s">
        <v>394</v>
      </c>
      <c r="BW79" s="659">
        <f t="shared" si="87"/>
        <v>3.8830313752926442E-2</v>
      </c>
      <c r="BX79" s="284">
        <f>Splines!AR69</f>
        <v>-1.0000000474974513E-3</v>
      </c>
      <c r="BY79" s="284">
        <f t="shared" si="33"/>
        <v>3.783031370542899E-2</v>
      </c>
      <c r="BZ79" s="284">
        <f t="shared" si="49"/>
        <v>4.362834347433675E-2</v>
      </c>
      <c r="CB79" s="291">
        <f t="shared" si="34"/>
        <v>4.362834347433675E-2</v>
      </c>
      <c r="CC79" s="284">
        <f t="shared" si="50"/>
        <v>3.7830313705428997E-2</v>
      </c>
      <c r="CD79" s="288"/>
      <c r="CE79" s="284" t="str">
        <f t="shared" si="74"/>
        <v>65 Year</v>
      </c>
      <c r="CF79" s="284">
        <f t="shared" si="75"/>
        <v>2.9537375841882114E-2</v>
      </c>
      <c r="CG79" s="284">
        <f t="shared" si="76"/>
        <v>-1.0000000474974513E-3</v>
      </c>
      <c r="CH79" s="284">
        <f t="shared" si="77"/>
        <v>2.8537375794384662E-2</v>
      </c>
      <c r="CI79" s="284">
        <f t="shared" si="78"/>
        <v>3.890129395867592E-2</v>
      </c>
      <c r="CK79" s="284">
        <f>BJ79+MIN('Instructions &amp; Dashboard'!$D$43,'Instructions &amp; Dashboard'!$D$44)/10000</f>
        <v>4.4000000000000004E-2</v>
      </c>
      <c r="CL79" s="284">
        <f t="shared" si="51"/>
        <v>3.1022337450470339E-2</v>
      </c>
    </row>
    <row r="80" spans="1:90">
      <c r="A80" s="283">
        <f t="shared" si="52"/>
        <v>66</v>
      </c>
      <c r="B80" s="283" t="s">
        <v>395</v>
      </c>
      <c r="C80" s="283">
        <f t="shared" si="88"/>
        <v>3.4580828370577299E-2</v>
      </c>
      <c r="D80" s="284">
        <f>Splines!D70</f>
        <v>-1.0123547973583476E-3</v>
      </c>
      <c r="E80" s="506">
        <f t="shared" si="89"/>
        <v>3.3568473573218953E-2</v>
      </c>
      <c r="F80" s="507">
        <f t="shared" si="54"/>
        <v>3.995307734248188E-2</v>
      </c>
      <c r="H80" s="284">
        <f t="shared" si="90"/>
        <v>4.2000000000000003E-2</v>
      </c>
      <c r="I80" s="284">
        <f t="shared" si="53"/>
        <v>3.2850952723056048E-2</v>
      </c>
      <c r="J80" s="285"/>
      <c r="K80" s="283" t="s">
        <v>395</v>
      </c>
      <c r="L80" s="283">
        <f t="shared" si="79"/>
        <v>6.0166524755681794E-3</v>
      </c>
      <c r="M80" s="284">
        <f>Splines!I70</f>
        <v>-9.9619337531796793E-4</v>
      </c>
      <c r="N80" s="283">
        <f t="shared" si="80"/>
        <v>5.0204591002502115E-3</v>
      </c>
      <c r="O80" s="284">
        <f t="shared" si="35"/>
        <v>1.2488576011942421E-2</v>
      </c>
      <c r="Q80" s="284">
        <f t="shared" si="91"/>
        <v>4.2000000000000003E-2</v>
      </c>
      <c r="R80" s="284">
        <f t="shared" si="36"/>
        <v>1.5574760311349189E-2</v>
      </c>
      <c r="S80" s="287"/>
      <c r="T80" s="283" t="s">
        <v>395</v>
      </c>
      <c r="U80" s="283">
        <f t="shared" si="81"/>
        <v>1.0686274022110732E-2</v>
      </c>
      <c r="V80" s="284">
        <f>Splines!N70</f>
        <v>-1.006591821938902E-3</v>
      </c>
      <c r="W80" s="284">
        <f t="shared" ref="W80:W114" si="98">U80+V80</f>
        <v>9.6796822001718307E-3</v>
      </c>
      <c r="X80" s="284">
        <f t="shared" si="37"/>
        <v>-2.3573038815472014E-3</v>
      </c>
      <c r="Z80" s="284">
        <f t="shared" si="92"/>
        <v>4.2000000000000003E-2</v>
      </c>
      <c r="AA80" s="284">
        <f t="shared" si="38"/>
        <v>2.268304440211999E-2</v>
      </c>
      <c r="AB80" s="288"/>
      <c r="AC80" s="283" t="s">
        <v>395</v>
      </c>
      <c r="AD80" s="283">
        <f t="shared" si="82"/>
        <v>-8.0369613697565817E-3</v>
      </c>
      <c r="AE80" s="284">
        <f>Splines!S70</f>
        <v>-9.975161724374011E-4</v>
      </c>
      <c r="AF80" s="284">
        <f t="shared" ref="AF80:AF114" si="99">AE80+AD80</f>
        <v>-9.0344775421939832E-3</v>
      </c>
      <c r="AG80" s="284">
        <f t="shared" si="39"/>
        <v>-3.2600697571967818E-2</v>
      </c>
      <c r="AI80" s="284">
        <f t="shared" si="93"/>
        <v>4.200000000000001E-2</v>
      </c>
      <c r="AJ80" s="284">
        <f t="shared" si="40"/>
        <v>1.4018025734011674E-2</v>
      </c>
      <c r="AK80" s="288"/>
      <c r="AL80" s="283" t="s">
        <v>395</v>
      </c>
      <c r="AM80" s="283">
        <f t="shared" si="83"/>
        <v>1.9264128903385504E-2</v>
      </c>
      <c r="AN80" s="283">
        <f>Splines!X70</f>
        <v>-9.9631155484992398E-4</v>
      </c>
      <c r="AO80" s="283">
        <f t="shared" ref="AO80:AO114" si="100">AN80+AM80</f>
        <v>1.8267817348535581E-2</v>
      </c>
      <c r="AP80" s="284">
        <f t="shared" si="41"/>
        <v>2.0302478458180451E-2</v>
      </c>
      <c r="AR80" s="291">
        <f t="shared" si="94"/>
        <v>4.2000000000000003E-2</v>
      </c>
      <c r="AS80" s="284">
        <f t="shared" si="42"/>
        <v>2.5741493838463025E-2</v>
      </c>
      <c r="AT80" s="289"/>
      <c r="AU80" s="283" t="s">
        <v>395</v>
      </c>
      <c r="AV80" s="283">
        <f t="shared" si="84"/>
        <v>2.0233599837356422E-2</v>
      </c>
      <c r="AW80" s="284">
        <f>Splines!AC70</f>
        <v>-1.0104133943239849E-3</v>
      </c>
      <c r="AX80" s="284">
        <f t="shared" ref="AX80:AX114" si="101">AW80+AV80</f>
        <v>1.9223186443032437E-2</v>
      </c>
      <c r="AY80" s="284">
        <f t="shared" si="43"/>
        <v>3.5513273219855312E-2</v>
      </c>
      <c r="BA80" s="291">
        <f t="shared" si="95"/>
        <v>4.2000000000000003E-2</v>
      </c>
      <c r="BB80" s="284">
        <f t="shared" si="44"/>
        <v>2.0484012697829623E-2</v>
      </c>
      <c r="BC80" s="288"/>
      <c r="BD80" s="283" t="s">
        <v>395</v>
      </c>
      <c r="BE80" s="283">
        <f t="shared" si="85"/>
        <v>2.9707445477720775E-2</v>
      </c>
      <c r="BF80" s="284">
        <f>Splines!AH70</f>
        <v>-1.0066982032104956E-3</v>
      </c>
      <c r="BG80" s="284">
        <f t="shared" ref="BG80:BG114" si="102">BF80+BE80</f>
        <v>2.8700747274510281E-2</v>
      </c>
      <c r="BH80" s="284">
        <f t="shared" si="45"/>
        <v>3.9375744684958081E-2</v>
      </c>
      <c r="BJ80" s="284">
        <f t="shared" si="96"/>
        <v>4.2000000000000003E-2</v>
      </c>
      <c r="BK80" s="284">
        <f t="shared" si="46"/>
        <v>2.9066920434256849E-2</v>
      </c>
      <c r="BL80" s="288"/>
      <c r="BM80" s="283" t="s">
        <v>395</v>
      </c>
      <c r="BN80" s="283">
        <f t="shared" si="86"/>
        <v>2.5504627696863492E-2</v>
      </c>
      <c r="BO80" s="284">
        <f>Splines!AM70</f>
        <v>-9.8529424119814246E-4</v>
      </c>
      <c r="BP80" s="284">
        <f t="shared" ref="BP80:BP114" si="103">BO80+BN80</f>
        <v>2.451933345566535E-2</v>
      </c>
      <c r="BQ80" s="284">
        <f t="shared" si="47"/>
        <v>4.0316975504828712E-2</v>
      </c>
      <c r="BS80" s="284">
        <f t="shared" si="97"/>
        <v>4.2000000000000003E-2</v>
      </c>
      <c r="BT80" s="284">
        <f t="shared" si="48"/>
        <v>2.7070350133040044E-2</v>
      </c>
      <c r="BU80" s="288"/>
      <c r="BV80" s="659" t="s">
        <v>395</v>
      </c>
      <c r="BW80" s="659">
        <f t="shared" si="87"/>
        <v>3.8918759855871572E-2</v>
      </c>
      <c r="BX80" s="284">
        <f>Splines!AR70</f>
        <v>-1.0017263607054695E-3</v>
      </c>
      <c r="BY80" s="284">
        <f t="shared" ref="BY80:BY114" si="104">BX80+BW80</f>
        <v>3.7917033495166105E-2</v>
      </c>
      <c r="BZ80" s="284">
        <f t="shared" si="49"/>
        <v>4.3569390662042684E-2</v>
      </c>
      <c r="CB80" s="291">
        <f t="shared" ref="CB80:CB114" si="105">BZ80</f>
        <v>4.3569390662042684E-2</v>
      </c>
      <c r="CC80" s="284">
        <f t="shared" si="50"/>
        <v>3.7917033495166175E-2</v>
      </c>
      <c r="CD80" s="288"/>
      <c r="CE80" s="284" t="str">
        <f t="shared" si="74"/>
        <v>66 Year</v>
      </c>
      <c r="CF80" s="284">
        <f t="shared" si="75"/>
        <v>2.9707445477720775E-2</v>
      </c>
      <c r="CG80" s="284">
        <f t="shared" si="76"/>
        <v>-1.0066982032104956E-3</v>
      </c>
      <c r="CH80" s="284">
        <f t="shared" si="77"/>
        <v>2.8700747274510281E-2</v>
      </c>
      <c r="CI80" s="284">
        <f t="shared" si="78"/>
        <v>3.9375744684958081E-2</v>
      </c>
      <c r="CK80" s="284">
        <f>BJ80+MIN('Instructions &amp; Dashboard'!$D$43,'Instructions &amp; Dashboard'!$D$44)/10000</f>
        <v>4.4000000000000004E-2</v>
      </c>
      <c r="CL80" s="284">
        <f t="shared" si="51"/>
        <v>3.121775999046128E-2</v>
      </c>
    </row>
    <row r="81" spans="1:90">
      <c r="A81" s="283">
        <f t="shared" ref="A81:A114" si="106">A80+1</f>
        <v>67</v>
      </c>
      <c r="B81" s="283" t="s">
        <v>396</v>
      </c>
      <c r="C81" s="283">
        <f t="shared" si="88"/>
        <v>3.4688132991979925E-2</v>
      </c>
      <c r="D81" s="284">
        <f>Splines!D71</f>
        <v>-1.0159517504470614E-3</v>
      </c>
      <c r="E81" s="506">
        <f t="shared" si="89"/>
        <v>3.3672181241532866E-2</v>
      </c>
      <c r="F81" s="507">
        <f t="shared" si="54"/>
        <v>4.0539945044906656E-2</v>
      </c>
      <c r="H81" s="284">
        <f t="shared" si="90"/>
        <v>4.2000000000000003E-2</v>
      </c>
      <c r="I81" s="284">
        <f t="shared" si="53"/>
        <v>3.2986913366833903E-2</v>
      </c>
      <c r="J81" s="285"/>
      <c r="K81" s="283" t="s">
        <v>396</v>
      </c>
      <c r="L81" s="283">
        <f t="shared" si="79"/>
        <v>6.1293597229793544E-3</v>
      </c>
      <c r="M81" s="284">
        <f>Splines!I71</f>
        <v>-9.9508510348234849E-4</v>
      </c>
      <c r="N81" s="283">
        <f t="shared" si="80"/>
        <v>5.1342746194970061E-3</v>
      </c>
      <c r="O81" s="284">
        <f t="shared" ref="O81:O114" si="107">(1+N81)^$A81/(1+N80)^$A80-1</f>
        <v>1.2674667101336468E-2</v>
      </c>
      <c r="Q81" s="284">
        <f t="shared" si="91"/>
        <v>4.2000000000000003E-2</v>
      </c>
      <c r="R81" s="284">
        <f t="shared" ref="R81:R114" si="108">((1+Q81)*(1+R80)^$A80)^(1/($A81))-1</f>
        <v>1.5964197604189323E-2</v>
      </c>
      <c r="S81" s="287"/>
      <c r="T81" s="283" t="s">
        <v>396</v>
      </c>
      <c r="U81" s="283">
        <f t="shared" si="81"/>
        <v>1.0506647396602151E-2</v>
      </c>
      <c r="V81" s="284">
        <f>Splines!N71</f>
        <v>-1.0085109464486226E-3</v>
      </c>
      <c r="W81" s="284">
        <f t="shared" si="98"/>
        <v>9.4981364501535281E-3</v>
      </c>
      <c r="X81" s="284">
        <f t="shared" ref="X81:X114" si="109">(1+W81)^$A81/(1+W80)^$A80-1</f>
        <v>-2.4119899936135836E-3</v>
      </c>
      <c r="Z81" s="284">
        <f t="shared" si="92"/>
        <v>4.2000000000000003E-2</v>
      </c>
      <c r="AA81" s="284">
        <f t="shared" ref="AA81:AA114" si="110">((1+Z81)*(1+AA80)^$A80)^(1/($A81))-1</f>
        <v>2.2968707971967595E-2</v>
      </c>
      <c r="AB81" s="288"/>
      <c r="AC81" s="283" t="s">
        <v>396</v>
      </c>
      <c r="AD81" s="283">
        <f t="shared" si="82"/>
        <v>-8.4087251586185269E-3</v>
      </c>
      <c r="AE81" s="284">
        <f>Splines!S71</f>
        <v>-9.967930188178513E-4</v>
      </c>
      <c r="AF81" s="284">
        <f t="shared" si="99"/>
        <v>-9.405518177436378E-3</v>
      </c>
      <c r="AG81" s="284">
        <f t="shared" ref="AG81:AG114" si="111">(1+AF81)^$A81/(1+AF80)^$A80-1</f>
        <v>-3.3589511127671501E-2</v>
      </c>
      <c r="AI81" s="284">
        <f t="shared" si="93"/>
        <v>4.200000000000001E-2</v>
      </c>
      <c r="AJ81" s="284">
        <f t="shared" ref="AJ81:AJ114" si="112">((1+AI81)*(1+AJ80)^$A80)^(1/($A81))-1</f>
        <v>1.4430092270005135E-2</v>
      </c>
      <c r="AK81" s="288"/>
      <c r="AL81" s="283" t="s">
        <v>396</v>
      </c>
      <c r="AM81" s="283">
        <f t="shared" si="83"/>
        <v>1.9290887416396382E-2</v>
      </c>
      <c r="AN81" s="283">
        <f>Splines!X71</f>
        <v>-9.9523768973161053E-4</v>
      </c>
      <c r="AO81" s="283">
        <f t="shared" si="100"/>
        <v>1.8295649726664771E-2</v>
      </c>
      <c r="AP81" s="284">
        <f t="shared" ref="AP81:AP114" si="113">(1+AO81)^$A81/(1+AO80)^$A80-1</f>
        <v>2.0134269685029071E-2</v>
      </c>
      <c r="AR81" s="291">
        <f t="shared" si="94"/>
        <v>4.2000000000000003E-2</v>
      </c>
      <c r="AS81" s="284">
        <f t="shared" ref="AS81:AS114" si="114">((1+AR81)*(1+AS80)^$A80)^(1/($A81))-1</f>
        <v>2.5982283277071749E-2</v>
      </c>
      <c r="AT81" s="289"/>
      <c r="AU81" s="283" t="s">
        <v>396</v>
      </c>
      <c r="AV81" s="283">
        <f t="shared" si="84"/>
        <v>2.0488051635396593E-2</v>
      </c>
      <c r="AW81" s="284">
        <f>Splines!AC71</f>
        <v>-1.0134451286980888E-3</v>
      </c>
      <c r="AX81" s="284">
        <f t="shared" si="101"/>
        <v>1.9474606506698505E-2</v>
      </c>
      <c r="AY81" s="284">
        <f t="shared" ref="AY81:AY114" si="115">(1+AX81)^$A81/(1+AX80)^$A80-1</f>
        <v>3.6206192349186317E-2</v>
      </c>
      <c r="BA81" s="291">
        <f t="shared" si="95"/>
        <v>4.2000000000000003E-2</v>
      </c>
      <c r="BB81" s="284">
        <f t="shared" ref="BB81:BB114" si="116">((1+BA81)*(1+BB80)^$A80)^(1/($A81))-1</f>
        <v>2.0801857758578235E-2</v>
      </c>
      <c r="BC81" s="288"/>
      <c r="BD81" s="283" t="s">
        <v>396</v>
      </c>
      <c r="BE81" s="283">
        <f t="shared" si="85"/>
        <v>2.9874900446925718E-2</v>
      </c>
      <c r="BF81" s="284">
        <f>Splines!AH71</f>
        <v>-1.0086482995086828E-3</v>
      </c>
      <c r="BG81" s="284">
        <f t="shared" si="102"/>
        <v>2.8866252147417035E-2</v>
      </c>
      <c r="BH81" s="284">
        <f t="shared" ref="BH81:BH114" si="117">(1+BG81)^$A81/(1+BG80)^$A80-1</f>
        <v>3.9848653206008944E-2</v>
      </c>
      <c r="BJ81" s="284">
        <f t="shared" si="96"/>
        <v>4.2000000000000003E-2</v>
      </c>
      <c r="BK81" s="284">
        <f t="shared" ref="BK81:BK114" si="118">((1+BJ81)*(1+BK80)^$A80)^(1/($A81))-1</f>
        <v>2.9258766436007333E-2</v>
      </c>
      <c r="BL81" s="288"/>
      <c r="BM81" s="283" t="s">
        <v>396</v>
      </c>
      <c r="BN81" s="283">
        <f t="shared" si="86"/>
        <v>2.572632332894375E-2</v>
      </c>
      <c r="BO81" s="284">
        <f>Splines!AM71</f>
        <v>-9.8101280322491981E-4</v>
      </c>
      <c r="BP81" s="284">
        <f t="shared" si="103"/>
        <v>2.4745310525718829E-2</v>
      </c>
      <c r="BQ81" s="284">
        <f t="shared" ref="BQ81:BQ114" si="119">(1+BP81)^$A81/(1+BP80)^$A80-1</f>
        <v>3.9770529670269061E-2</v>
      </c>
      <c r="BS81" s="284">
        <f t="shared" si="97"/>
        <v>4.2000000000000003E-2</v>
      </c>
      <c r="BT81" s="284">
        <f t="shared" ref="BT81:BT114" si="120">((1+BS81)*(1+BT80)^$A80)^(1/($A81))-1</f>
        <v>2.7291600531342386E-2</v>
      </c>
      <c r="BU81" s="288"/>
      <c r="BV81" s="659" t="s">
        <v>396</v>
      </c>
      <c r="BW81" s="659">
        <f t="shared" si="87"/>
        <v>3.9002608168300514E-2</v>
      </c>
      <c r="BX81" s="284">
        <f>Splines!AR71</f>
        <v>-1.002228958297934E-3</v>
      </c>
      <c r="BY81" s="284">
        <f t="shared" si="104"/>
        <v>3.8000379210002579E-2</v>
      </c>
      <c r="BZ81" s="284">
        <f t="shared" ref="BZ81:BZ114" si="121">(1+BY81)^$A81/(1+BY80)^$A80-1</f>
        <v>4.3516019814777263E-2</v>
      </c>
      <c r="CB81" s="291">
        <f t="shared" si="105"/>
        <v>4.3516019814777263E-2</v>
      </c>
      <c r="CC81" s="284">
        <f t="shared" ref="CC81:CC114" si="122">((1+CB81)*(1+CC80)^$A80)^(1/($A81))-1</f>
        <v>3.8000379210002544E-2</v>
      </c>
      <c r="CD81" s="288"/>
      <c r="CE81" s="284" t="str">
        <f t="shared" si="74"/>
        <v>67 Year</v>
      </c>
      <c r="CF81" s="284">
        <f t="shared" si="75"/>
        <v>2.9874900446925718E-2</v>
      </c>
      <c r="CG81" s="284">
        <f t="shared" si="76"/>
        <v>-1.0086482995086828E-3</v>
      </c>
      <c r="CH81" s="284">
        <f t="shared" si="77"/>
        <v>2.8866252147417035E-2</v>
      </c>
      <c r="CI81" s="284">
        <f t="shared" si="78"/>
        <v>3.9848653206008944E-2</v>
      </c>
      <c r="CK81" s="284">
        <f>BJ81+MIN('Instructions &amp; Dashboard'!$D$43,'Instructions &amp; Dashboard'!$D$44)/10000</f>
        <v>4.4000000000000004E-2</v>
      </c>
      <c r="CL81" s="284">
        <f t="shared" ref="CL81:CL114" si="123">((1+CK81)*(1+CL80)^$A80)^(1/($A81))-1</f>
        <v>3.1407384420560014E-2</v>
      </c>
    </row>
    <row r="82" spans="1:90">
      <c r="A82" s="283">
        <f t="shared" si="106"/>
        <v>68</v>
      </c>
      <c r="B82" s="283" t="s">
        <v>397</v>
      </c>
      <c r="C82" s="283">
        <f t="shared" si="88"/>
        <v>3.4792573744890989E-2</v>
      </c>
      <c r="D82" s="284">
        <f>Splines!D72</f>
        <v>-1.0133713281547869E-3</v>
      </c>
      <c r="E82" s="506">
        <f t="shared" si="89"/>
        <v>3.3779202416736202E-2</v>
      </c>
      <c r="F82" s="507">
        <f t="shared" si="54"/>
        <v>4.0974919964742895E-2</v>
      </c>
      <c r="H82" s="284">
        <f t="shared" si="90"/>
        <v>4.2000000000000003E-2</v>
      </c>
      <c r="I82" s="284">
        <f t="shared" ref="I82:I114" si="124">((1+H82)*(1+I81)^$A81)^(1/($A82))-1</f>
        <v>3.3118892283629187E-2</v>
      </c>
      <c r="J82" s="285"/>
      <c r="K82" s="283" t="s">
        <v>397</v>
      </c>
      <c r="L82" s="283">
        <f t="shared" si="79"/>
        <v>6.2440549133166469E-3</v>
      </c>
      <c r="M82" s="284">
        <f>Splines!I72</f>
        <v>-9.9588016787528853E-4</v>
      </c>
      <c r="N82" s="283">
        <f t="shared" si="80"/>
        <v>5.2481747454413584E-3</v>
      </c>
      <c r="O82" s="284">
        <f t="shared" si="107"/>
        <v>1.2908958697740003E-2</v>
      </c>
      <c r="Q82" s="284">
        <f t="shared" si="91"/>
        <v>4.2000000000000003E-2</v>
      </c>
      <c r="R82" s="284">
        <f t="shared" si="108"/>
        <v>1.6342323670266445E-2</v>
      </c>
      <c r="S82" s="287"/>
      <c r="T82" s="283" t="s">
        <v>397</v>
      </c>
      <c r="U82" s="283">
        <f t="shared" si="81"/>
        <v>1.0327214777903389E-2</v>
      </c>
      <c r="V82" s="284">
        <f>Splines!N72</f>
        <v>-1.0071341834972359E-3</v>
      </c>
      <c r="W82" s="284">
        <f t="shared" si="98"/>
        <v>9.3200805944061525E-3</v>
      </c>
      <c r="X82" s="284">
        <f t="shared" si="109"/>
        <v>-2.538396614956806E-3</v>
      </c>
      <c r="Z82" s="284">
        <f t="shared" si="92"/>
        <v>4.2000000000000003E-2</v>
      </c>
      <c r="AA82" s="284">
        <f t="shared" si="110"/>
        <v>2.3246045979817831E-2</v>
      </c>
      <c r="AB82" s="288"/>
      <c r="AC82" s="283" t="s">
        <v>397</v>
      </c>
      <c r="AD82" s="283">
        <f t="shared" si="82"/>
        <v>-8.7824852549297644E-3</v>
      </c>
      <c r="AE82" s="284">
        <f>Splines!S72</f>
        <v>-9.9731180281890583E-4</v>
      </c>
      <c r="AF82" s="284">
        <f t="shared" si="99"/>
        <v>-9.7797970577486702E-3</v>
      </c>
      <c r="AG82" s="284">
        <f t="shared" si="111"/>
        <v>-3.4537000608543367E-2</v>
      </c>
      <c r="AI82" s="284">
        <f t="shared" si="93"/>
        <v>4.200000000000001E-2</v>
      </c>
      <c r="AJ82" s="284">
        <f t="shared" si="112"/>
        <v>1.4830199337712902E-2</v>
      </c>
      <c r="AK82" s="288"/>
      <c r="AL82" s="283" t="s">
        <v>397</v>
      </c>
      <c r="AM82" s="283">
        <f t="shared" si="83"/>
        <v>1.9316850723060084E-2</v>
      </c>
      <c r="AN82" s="283">
        <f>Splines!X72</f>
        <v>-9.9600807107156904E-4</v>
      </c>
      <c r="AO82" s="283">
        <f t="shared" si="100"/>
        <v>1.8320842651988516E-2</v>
      </c>
      <c r="AP82" s="284">
        <f t="shared" si="113"/>
        <v>2.0010189254014321E-2</v>
      </c>
      <c r="AR82" s="291">
        <f t="shared" si="94"/>
        <v>4.2000000000000003E-2</v>
      </c>
      <c r="AS82" s="284">
        <f t="shared" si="114"/>
        <v>2.621604472849115E-2</v>
      </c>
      <c r="AT82" s="289"/>
      <c r="AU82" s="283" t="s">
        <v>397</v>
      </c>
      <c r="AV82" s="283">
        <f t="shared" si="84"/>
        <v>2.0738013365481148E-2</v>
      </c>
      <c r="AW82" s="284">
        <f>Splines!AC72</f>
        <v>-1.0112701892791829E-3</v>
      </c>
      <c r="AX82" s="284">
        <f t="shared" si="101"/>
        <v>1.9726743176201964E-2</v>
      </c>
      <c r="AY82" s="284">
        <f t="shared" si="115"/>
        <v>3.676272871092845E-2</v>
      </c>
      <c r="BA82" s="291">
        <f t="shared" si="95"/>
        <v>4.2000000000000003E-2</v>
      </c>
      <c r="BB82" s="284">
        <f t="shared" si="116"/>
        <v>2.1110449107789586E-2</v>
      </c>
      <c r="BC82" s="288"/>
      <c r="BD82" s="283" t="s">
        <v>397</v>
      </c>
      <c r="BE82" s="283">
        <f t="shared" si="85"/>
        <v>3.0039784471750427E-2</v>
      </c>
      <c r="BF82" s="284">
        <f>Splines!AH72</f>
        <v>-1.0072493177060867E-3</v>
      </c>
      <c r="BG82" s="284">
        <f t="shared" si="102"/>
        <v>2.9032535154044341E-2</v>
      </c>
      <c r="BH82" s="284">
        <f t="shared" si="117"/>
        <v>4.0234934449353998E-2</v>
      </c>
      <c r="BJ82" s="284">
        <f t="shared" si="96"/>
        <v>4.2000000000000003E-2</v>
      </c>
      <c r="BK82" s="284">
        <f t="shared" si="118"/>
        <v>2.9445004111121609E-2</v>
      </c>
      <c r="BL82" s="288"/>
      <c r="BM82" s="283" t="s">
        <v>397</v>
      </c>
      <c r="BN82" s="283">
        <f t="shared" si="86"/>
        <v>2.5943329692108913E-2</v>
      </c>
      <c r="BO82" s="284">
        <f>Splines!AM72</f>
        <v>-9.8408426893762811E-4</v>
      </c>
      <c r="BP82" s="284">
        <f t="shared" si="103"/>
        <v>2.4959245423171284E-2</v>
      </c>
      <c r="BQ82" s="284">
        <f t="shared" si="119"/>
        <v>3.9395094616995197E-2</v>
      </c>
      <c r="BS82" s="284">
        <f t="shared" si="97"/>
        <v>4.2000000000000003E-2</v>
      </c>
      <c r="BT82" s="284">
        <f t="shared" si="120"/>
        <v>2.7506389144317689E-2</v>
      </c>
      <c r="BU82" s="288"/>
      <c r="BV82" s="659" t="s">
        <v>397</v>
      </c>
      <c r="BW82" s="659">
        <f t="shared" si="87"/>
        <v>3.9082130396880355E-2</v>
      </c>
      <c r="BX82" s="284">
        <f>Splines!AR72</f>
        <v>-1.0018683992234364E-3</v>
      </c>
      <c r="BY82" s="284">
        <f t="shared" si="104"/>
        <v>3.808026199765692E-2</v>
      </c>
      <c r="BZ82" s="284">
        <f t="shared" si="121"/>
        <v>4.3446436850228976E-2</v>
      </c>
      <c r="CB82" s="291">
        <f t="shared" si="105"/>
        <v>4.3446436850228976E-2</v>
      </c>
      <c r="CC82" s="284">
        <f t="shared" si="122"/>
        <v>3.8080261997657017E-2</v>
      </c>
      <c r="CD82" s="288"/>
      <c r="CE82" s="284" t="str">
        <f t="shared" si="74"/>
        <v>68 Year</v>
      </c>
      <c r="CF82" s="284">
        <f t="shared" si="75"/>
        <v>3.0039784471750427E-2</v>
      </c>
      <c r="CG82" s="284">
        <f t="shared" si="76"/>
        <v>-1.0072493177060867E-3</v>
      </c>
      <c r="CH82" s="284">
        <f t="shared" si="77"/>
        <v>2.9032535154044341E-2</v>
      </c>
      <c r="CI82" s="284">
        <f t="shared" si="78"/>
        <v>4.0234934449353998E-2</v>
      </c>
      <c r="CK82" s="284">
        <f>BJ82+MIN('Instructions &amp; Dashboard'!$D$43,'Instructions &amp; Dashboard'!$D$44)/10000</f>
        <v>4.4000000000000004E-2</v>
      </c>
      <c r="CL82" s="284">
        <f t="shared" si="123"/>
        <v>3.1591465007121844E-2</v>
      </c>
    </row>
    <row r="83" spans="1:90">
      <c r="A83" s="283">
        <f t="shared" si="106"/>
        <v>69</v>
      </c>
      <c r="B83" s="283" t="s">
        <v>398</v>
      </c>
      <c r="C83" s="283">
        <f t="shared" si="88"/>
        <v>3.4894250888664533E-2</v>
      </c>
      <c r="D83" s="284">
        <f>Splines!D73</f>
        <v>-1.0071939529427509E-3</v>
      </c>
      <c r="E83" s="506">
        <f t="shared" si="89"/>
        <v>3.3887056935721784E-2</v>
      </c>
      <c r="F83" s="507">
        <f t="shared" ref="F83:F114" si="125">(1+E83)^$A83/(1+E82)^$A82-1</f>
        <v>4.1247624199807431E-2</v>
      </c>
      <c r="H83" s="284">
        <f t="shared" si="90"/>
        <v>4.2000000000000003E-2</v>
      </c>
      <c r="I83" s="284">
        <f t="shared" si="124"/>
        <v>3.3247061860702143E-2</v>
      </c>
      <c r="J83" s="285"/>
      <c r="K83" s="283" t="s">
        <v>398</v>
      </c>
      <c r="L83" s="283">
        <f t="shared" si="79"/>
        <v>6.3606732417175425E-3</v>
      </c>
      <c r="M83" s="284">
        <f>Splines!I73</f>
        <v>-9.9778350405179132E-4</v>
      </c>
      <c r="N83" s="283">
        <f t="shared" si="80"/>
        <v>5.3628897376657514E-3</v>
      </c>
      <c r="O83" s="284">
        <f t="shared" si="107"/>
        <v>1.3194298705513585E-2</v>
      </c>
      <c r="Q83" s="284">
        <f t="shared" si="91"/>
        <v>4.2000000000000003E-2</v>
      </c>
      <c r="R83" s="284">
        <f t="shared" si="108"/>
        <v>1.6709624232977838E-2</v>
      </c>
      <c r="S83" s="287"/>
      <c r="T83" s="283" t="s">
        <v>398</v>
      </c>
      <c r="U83" s="283">
        <f t="shared" si="81"/>
        <v>1.0148067495871507E-2</v>
      </c>
      <c r="V83" s="284">
        <f>Splines!N73</f>
        <v>-1.0038382961262717E-3</v>
      </c>
      <c r="W83" s="284">
        <f t="shared" si="98"/>
        <v>9.1442291997452362E-3</v>
      </c>
      <c r="X83" s="284">
        <f t="shared" si="109"/>
        <v>-2.7420673847966537E-3</v>
      </c>
      <c r="Z83" s="284">
        <f t="shared" si="92"/>
        <v>4.2000000000000003E-2</v>
      </c>
      <c r="AA83" s="284">
        <f t="shared" si="110"/>
        <v>2.3515417156493967E-2</v>
      </c>
      <c r="AB83" s="288"/>
      <c r="AC83" s="283" t="s">
        <v>398</v>
      </c>
      <c r="AD83" s="283">
        <f t="shared" si="82"/>
        <v>-9.1579736715876048E-3</v>
      </c>
      <c r="AE83" s="284">
        <f>Splines!S73</f>
        <v>-9.9855374040554298E-4</v>
      </c>
      <c r="AF83" s="284">
        <f t="shared" si="99"/>
        <v>-1.0156527411993148E-2</v>
      </c>
      <c r="AG83" s="284">
        <f t="shared" si="111"/>
        <v>-3.5440784399010661E-2</v>
      </c>
      <c r="AI83" s="284">
        <f t="shared" si="93"/>
        <v>4.200000000000001E-2</v>
      </c>
      <c r="AJ83" s="284">
        <f t="shared" si="112"/>
        <v>1.521886011206397E-2</v>
      </c>
      <c r="AK83" s="288"/>
      <c r="AL83" s="283" t="s">
        <v>398</v>
      </c>
      <c r="AM83" s="283">
        <f t="shared" si="83"/>
        <v>1.9342046708229168E-2</v>
      </c>
      <c r="AN83" s="283">
        <f>Splines!X73</f>
        <v>-9.9785231747940022E-4</v>
      </c>
      <c r="AO83" s="283">
        <f t="shared" si="100"/>
        <v>1.8344194390749767E-2</v>
      </c>
      <c r="AP83" s="284">
        <f t="shared" si="113"/>
        <v>1.9933369536766277E-2</v>
      </c>
      <c r="AR83" s="291">
        <f t="shared" si="94"/>
        <v>4.2000000000000003E-2</v>
      </c>
      <c r="AS83" s="284">
        <f t="shared" si="114"/>
        <v>2.6443081452834916E-2</v>
      </c>
      <c r="AT83" s="289"/>
      <c r="AU83" s="283" t="s">
        <v>398</v>
      </c>
      <c r="AV83" s="283">
        <f t="shared" si="84"/>
        <v>2.0983561159801021E-2</v>
      </c>
      <c r="AW83" s="284">
        <f>Splines!AC73</f>
        <v>-1.0060635156285765E-3</v>
      </c>
      <c r="AX83" s="284">
        <f t="shared" si="101"/>
        <v>1.9977497644172445E-2</v>
      </c>
      <c r="AY83" s="284">
        <f t="shared" si="115"/>
        <v>3.7174256838803599E-2</v>
      </c>
      <c r="BA83" s="291">
        <f t="shared" si="95"/>
        <v>4.2000000000000003E-2</v>
      </c>
      <c r="BB83" s="284">
        <f t="shared" si="116"/>
        <v>2.1410185051193409E-2</v>
      </c>
      <c r="BC83" s="288"/>
      <c r="BD83" s="283" t="s">
        <v>398</v>
      </c>
      <c r="BE83" s="283">
        <f t="shared" si="85"/>
        <v>3.0202140366338066E-2</v>
      </c>
      <c r="BF83" s="284">
        <f>Splines!AH73</f>
        <v>-1.0039002396969011E-3</v>
      </c>
      <c r="BG83" s="284">
        <f t="shared" si="102"/>
        <v>2.9198240126641167E-2</v>
      </c>
      <c r="BH83" s="284">
        <f t="shared" si="117"/>
        <v>4.0529003363983129E-2</v>
      </c>
      <c r="BJ83" s="284">
        <f t="shared" si="96"/>
        <v>4.2000000000000003E-2</v>
      </c>
      <c r="BK83" s="284">
        <f t="shared" si="118"/>
        <v>2.9625875840197269E-2</v>
      </c>
      <c r="BL83" s="288"/>
      <c r="BM83" s="283" t="s">
        <v>398</v>
      </c>
      <c r="BN83" s="283">
        <f t="shared" si="86"/>
        <v>2.6155719258878562E-2</v>
      </c>
      <c r="BO83" s="284">
        <f>Splines!AM73</f>
        <v>-9.9143717242245518E-4</v>
      </c>
      <c r="BP83" s="284">
        <f t="shared" si="103"/>
        <v>2.5164282086456106E-2</v>
      </c>
      <c r="BQ83" s="284">
        <f t="shared" si="119"/>
        <v>3.920343074186694E-2</v>
      </c>
      <c r="BS83" s="284">
        <f t="shared" si="97"/>
        <v>4.2000000000000003E-2</v>
      </c>
      <c r="BT83" s="284">
        <f t="shared" si="120"/>
        <v>2.7714994975151619E-2</v>
      </c>
      <c r="BU83" s="288"/>
      <c r="BV83" s="659" t="s">
        <v>398</v>
      </c>
      <c r="BW83" s="659">
        <f t="shared" si="87"/>
        <v>3.9157582718673152E-2</v>
      </c>
      <c r="BX83" s="284">
        <f>Splines!AR73</f>
        <v>-1.0010052425800814E-3</v>
      </c>
      <c r="BY83" s="284">
        <f t="shared" si="104"/>
        <v>3.8156577476093072E-2</v>
      </c>
      <c r="BZ83" s="284">
        <f t="shared" si="121"/>
        <v>4.3359213659767359E-2</v>
      </c>
      <c r="CB83" s="291">
        <f t="shared" si="105"/>
        <v>4.3359213659767359E-2</v>
      </c>
      <c r="CC83" s="284">
        <f t="shared" si="122"/>
        <v>3.8156577476093023E-2</v>
      </c>
      <c r="CD83" s="288"/>
      <c r="CE83" s="284" t="str">
        <f t="shared" si="74"/>
        <v>69 Year</v>
      </c>
      <c r="CF83" s="284">
        <f t="shared" si="75"/>
        <v>3.0202140366338066E-2</v>
      </c>
      <c r="CG83" s="284">
        <f t="shared" si="76"/>
        <v>-1.0039002396969011E-3</v>
      </c>
      <c r="CH83" s="284">
        <f t="shared" si="77"/>
        <v>2.9198240126641167E-2</v>
      </c>
      <c r="CI83" s="284">
        <f t="shared" si="78"/>
        <v>4.0529003363983129E-2</v>
      </c>
      <c r="CK83" s="284">
        <f>BJ83+MIN('Instructions &amp; Dashboard'!$D$43,'Instructions &amp; Dashboard'!$D$44)/10000</f>
        <v>4.4000000000000004E-2</v>
      </c>
      <c r="CL83" s="284">
        <f t="shared" si="123"/>
        <v>3.1770241363638485E-2</v>
      </c>
    </row>
    <row r="84" spans="1:90">
      <c r="A84" s="283">
        <f t="shared" si="106"/>
        <v>70</v>
      </c>
      <c r="B84" s="283" t="s">
        <v>399</v>
      </c>
      <c r="C84" s="283">
        <f t="shared" si="88"/>
        <v>3.4993260898967177E-2</v>
      </c>
      <c r="D84" s="284">
        <f>Splines!D74</f>
        <v>-1.0000000474974513E-3</v>
      </c>
      <c r="E84" s="506">
        <f t="shared" si="89"/>
        <v>3.3993260851469725E-2</v>
      </c>
      <c r="F84" s="507">
        <f t="shared" si="125"/>
        <v>4.1347739120325189E-2</v>
      </c>
      <c r="H84" s="284">
        <f t="shared" si="90"/>
        <v>4.2000000000000003E-2</v>
      </c>
      <c r="I84" s="284">
        <f t="shared" si="124"/>
        <v>3.3371584675689903E-2</v>
      </c>
      <c r="J84" s="285"/>
      <c r="K84" s="283" t="s">
        <v>399</v>
      </c>
      <c r="L84" s="283">
        <f t="shared" si="79"/>
        <v>6.4791486377541105E-3</v>
      </c>
      <c r="M84" s="284">
        <f>Splines!I74</f>
        <v>-1.0000000474974513E-3</v>
      </c>
      <c r="N84" s="283">
        <f t="shared" si="80"/>
        <v>5.4791485902566592E-3</v>
      </c>
      <c r="O84" s="284">
        <f t="shared" si="107"/>
        <v>1.3533561998724686E-2</v>
      </c>
      <c r="Q84" s="284">
        <f t="shared" si="91"/>
        <v>4.2000000000000003E-2</v>
      </c>
      <c r="R84" s="284">
        <f t="shared" si="108"/>
        <v>1.7066557599181298E-2</v>
      </c>
      <c r="S84" s="287"/>
      <c r="T84" s="283" t="s">
        <v>399</v>
      </c>
      <c r="U84" s="283">
        <f t="shared" si="81"/>
        <v>9.9692905770955922E-3</v>
      </c>
      <c r="V84" s="284">
        <f>Splines!N74</f>
        <v>-1.0000000474974513E-3</v>
      </c>
      <c r="W84" s="284">
        <f t="shared" si="98"/>
        <v>8.9692905295981409E-3</v>
      </c>
      <c r="X84" s="284">
        <f t="shared" si="109"/>
        <v>-3.0285268122247633E-3</v>
      </c>
      <c r="Z84" s="284">
        <f t="shared" si="92"/>
        <v>4.2000000000000003E-2</v>
      </c>
      <c r="AA84" s="284">
        <f t="shared" si="110"/>
        <v>2.3777159915905344E-2</v>
      </c>
      <c r="AB84" s="288"/>
      <c r="AC84" s="283" t="s">
        <v>399</v>
      </c>
      <c r="AD84" s="283">
        <f t="shared" si="82"/>
        <v>-9.5349319969000451E-3</v>
      </c>
      <c r="AE84" s="284">
        <f>Splines!S74</f>
        <v>-1.0000000474974513E-3</v>
      </c>
      <c r="AF84" s="284">
        <f t="shared" si="99"/>
        <v>-1.0534932044397496E-2</v>
      </c>
      <c r="AG84" s="284">
        <f t="shared" si="111"/>
        <v>-3.6298507379045164E-2</v>
      </c>
      <c r="AI84" s="284">
        <f t="shared" si="93"/>
        <v>4.200000000000001E-2</v>
      </c>
      <c r="AJ84" s="284">
        <f t="shared" si="112"/>
        <v>1.55965588235496E-2</v>
      </c>
      <c r="AK84" s="288"/>
      <c r="AL84" s="283" t="s">
        <v>399</v>
      </c>
      <c r="AM84" s="283">
        <f t="shared" si="83"/>
        <v>1.9366502600399085E-2</v>
      </c>
      <c r="AN84" s="283">
        <f>Splines!X74</f>
        <v>-1.0000000474974513E-3</v>
      </c>
      <c r="AO84" s="283">
        <f t="shared" si="100"/>
        <v>1.8366502552901634E-2</v>
      </c>
      <c r="AP84" s="284">
        <f t="shared" si="113"/>
        <v>1.9906946512706414E-2</v>
      </c>
      <c r="AR84" s="291">
        <f t="shared" si="94"/>
        <v>4.2000000000000003E-2</v>
      </c>
      <c r="AS84" s="284">
        <f t="shared" si="114"/>
        <v>2.6663679510232186E-2</v>
      </c>
      <c r="AT84" s="289"/>
      <c r="AU84" s="283" t="s">
        <v>399</v>
      </c>
      <c r="AV84" s="283">
        <f t="shared" si="84"/>
        <v>2.1224770995155857E-2</v>
      </c>
      <c r="AW84" s="284">
        <f>Splines!AC74</f>
        <v>-1.0000000474974513E-3</v>
      </c>
      <c r="AX84" s="284">
        <f t="shared" si="101"/>
        <v>2.0224770947658406E-2</v>
      </c>
      <c r="AY84" s="284">
        <f t="shared" si="115"/>
        <v>3.7432198467302946E-2</v>
      </c>
      <c r="BA84" s="291">
        <f t="shared" si="95"/>
        <v>4.2000000000000003E-2</v>
      </c>
      <c r="BB84" s="284">
        <f t="shared" si="116"/>
        <v>2.1701441359671669E-2</v>
      </c>
      <c r="BC84" s="288"/>
      <c r="BD84" s="283" t="s">
        <v>399</v>
      </c>
      <c r="BE84" s="283">
        <f t="shared" si="85"/>
        <v>3.0362010068408024E-2</v>
      </c>
      <c r="BF84" s="284">
        <f>Splines!AH74</f>
        <v>-1.0000000474974513E-3</v>
      </c>
      <c r="BG84" s="284">
        <f t="shared" si="102"/>
        <v>2.9362010020910573E-2</v>
      </c>
      <c r="BH84" s="284">
        <f t="shared" si="117"/>
        <v>4.0725294453603622E-2</v>
      </c>
      <c r="BJ84" s="284">
        <f t="shared" si="96"/>
        <v>4.2000000000000003E-2</v>
      </c>
      <c r="BK84" s="284">
        <f t="shared" si="118"/>
        <v>2.9801610235408171E-2</v>
      </c>
      <c r="BL84" s="288"/>
      <c r="BM84" s="283" t="s">
        <v>399</v>
      </c>
      <c r="BN84" s="283">
        <f t="shared" si="86"/>
        <v>2.6363569204173935E-2</v>
      </c>
      <c r="BO84" s="284">
        <f>Splines!AM74</f>
        <v>-1.0000000474974513E-3</v>
      </c>
      <c r="BP84" s="284">
        <f t="shared" si="103"/>
        <v>2.5363569156676483E-2</v>
      </c>
      <c r="BQ84" s="284">
        <f t="shared" si="119"/>
        <v>3.9208348804551596E-2</v>
      </c>
      <c r="BS84" s="284">
        <f t="shared" si="97"/>
        <v>4.2000000000000003E-2</v>
      </c>
      <c r="BT84" s="284">
        <f t="shared" si="120"/>
        <v>2.7917681192992871E-2</v>
      </c>
      <c r="BU84" s="288"/>
      <c r="BV84" s="659" t="s">
        <v>399</v>
      </c>
      <c r="BW84" s="659">
        <f t="shared" si="87"/>
        <v>3.9229206530820182E-2</v>
      </c>
      <c r="BX84" s="284">
        <f>Splines!AR74</f>
        <v>-1.0000000474974513E-3</v>
      </c>
      <c r="BY84" s="284">
        <f t="shared" si="104"/>
        <v>3.8229206483322731E-2</v>
      </c>
      <c r="BZ84" s="284">
        <f t="shared" si="121"/>
        <v>4.3252898309080301E-2</v>
      </c>
      <c r="CB84" s="291">
        <f t="shared" si="105"/>
        <v>4.3252898309080301E-2</v>
      </c>
      <c r="CC84" s="284">
        <f t="shared" si="122"/>
        <v>3.8229206483322731E-2</v>
      </c>
      <c r="CD84" s="288"/>
      <c r="CE84" s="284" t="str">
        <f t="shared" si="74"/>
        <v>70 Year</v>
      </c>
      <c r="CF84" s="284">
        <f t="shared" si="75"/>
        <v>3.0362010068408024E-2</v>
      </c>
      <c r="CG84" s="284">
        <f t="shared" si="76"/>
        <v>-1.0000000474974513E-3</v>
      </c>
      <c r="CH84" s="284">
        <f t="shared" si="77"/>
        <v>2.9362010020910573E-2</v>
      </c>
      <c r="CI84" s="284">
        <f t="shared" si="78"/>
        <v>4.0725294453603622E-2</v>
      </c>
      <c r="CK84" s="284">
        <f>BJ84+MIN('Instructions &amp; Dashboard'!$D$43,'Instructions &amp; Dashboard'!$D$44)/10000</f>
        <v>4.4000000000000004E-2</v>
      </c>
      <c r="CL84" s="284">
        <f t="shared" si="123"/>
        <v>3.1943939491254625E-2</v>
      </c>
    </row>
    <row r="85" spans="1:90">
      <c r="A85" s="283">
        <f t="shared" si="106"/>
        <v>71</v>
      </c>
      <c r="B85" s="283" t="s">
        <v>400</v>
      </c>
      <c r="C85" s="283">
        <f t="shared" si="88"/>
        <v>3.5089696585754254E-2</v>
      </c>
      <c r="D85" s="284">
        <f>Splines!D75</f>
        <v>-9.9391822470508017E-4</v>
      </c>
      <c r="E85" s="506">
        <f t="shared" si="89"/>
        <v>3.4095778361049177E-2</v>
      </c>
      <c r="F85" s="507">
        <f t="shared" si="125"/>
        <v>4.1297320066096654E-2</v>
      </c>
      <c r="H85" s="284">
        <f t="shared" si="90"/>
        <v>4.2000000000000003E-2</v>
      </c>
      <c r="I85" s="284">
        <f t="shared" si="124"/>
        <v>3.3492614184580827E-2</v>
      </c>
      <c r="J85" s="285"/>
      <c r="K85" s="283" t="s">
        <v>400</v>
      </c>
      <c r="L85" s="283">
        <f t="shared" si="79"/>
        <v>6.5994141001278935E-3</v>
      </c>
      <c r="M85" s="284">
        <f>Splines!I75</f>
        <v>-1.0018739171986537E-3</v>
      </c>
      <c r="N85" s="283">
        <f t="shared" si="80"/>
        <v>5.5975401829292393E-3</v>
      </c>
      <c r="O85" s="284">
        <f t="shared" si="107"/>
        <v>1.3919687042055262E-2</v>
      </c>
      <c r="Q85" s="284">
        <f t="shared" si="91"/>
        <v>4.2000000000000003E-2</v>
      </c>
      <c r="R85" s="284">
        <f t="shared" si="108"/>
        <v>1.7413556566583166E-2</v>
      </c>
      <c r="S85" s="287"/>
      <c r="T85" s="283" t="s">
        <v>400</v>
      </c>
      <c r="U85" s="283">
        <f t="shared" si="81"/>
        <v>9.7909631914279739E-3</v>
      </c>
      <c r="V85" s="284">
        <f>Splines!N75</f>
        <v>-9.9675513211953709E-4</v>
      </c>
      <c r="W85" s="284">
        <f t="shared" si="98"/>
        <v>8.7942080593084362E-3</v>
      </c>
      <c r="X85" s="284">
        <f t="shared" si="109"/>
        <v>-3.386367583491201E-3</v>
      </c>
      <c r="Z85" s="284">
        <f t="shared" si="92"/>
        <v>4.2000000000000003E-2</v>
      </c>
      <c r="AA85" s="284">
        <f t="shared" si="110"/>
        <v>2.403159377325359E-2</v>
      </c>
      <c r="AB85" s="288"/>
      <c r="AC85" s="283" t="s">
        <v>400</v>
      </c>
      <c r="AD85" s="283">
        <f t="shared" si="82"/>
        <v>-9.9131111219580847E-3</v>
      </c>
      <c r="AE85" s="284">
        <f>Splines!S75</f>
        <v>-1.0012227513226583E-3</v>
      </c>
      <c r="AF85" s="284">
        <f t="shared" si="99"/>
        <v>-1.0914333873280743E-2</v>
      </c>
      <c r="AG85" s="284">
        <f t="shared" si="111"/>
        <v>-3.7114115757400423E-2</v>
      </c>
      <c r="AI85" s="284">
        <f t="shared" si="93"/>
        <v>4.200000000000001E-2</v>
      </c>
      <c r="AJ85" s="284">
        <f t="shared" si="112"/>
        <v>1.5963752770415729E-2</v>
      </c>
      <c r="AK85" s="288"/>
      <c r="AL85" s="283" t="s">
        <v>400</v>
      </c>
      <c r="AM85" s="283">
        <f t="shared" si="83"/>
        <v>1.9390244984629153E-2</v>
      </c>
      <c r="AN85" s="283">
        <f>Splines!X75</f>
        <v>-1.0018157417683972E-3</v>
      </c>
      <c r="AO85" s="283">
        <f t="shared" si="100"/>
        <v>1.8388429242860757E-2</v>
      </c>
      <c r="AP85" s="284">
        <f t="shared" si="113"/>
        <v>1.9924471311426606E-2</v>
      </c>
      <c r="AR85" s="291">
        <f t="shared" si="94"/>
        <v>4.2000000000000003E-2</v>
      </c>
      <c r="AS85" s="284">
        <f t="shared" si="114"/>
        <v>2.6878108963169556E-2</v>
      </c>
      <c r="AT85" s="289"/>
      <c r="AU85" s="283" t="s">
        <v>400</v>
      </c>
      <c r="AV85" s="283">
        <f t="shared" si="84"/>
        <v>2.1461718593822607E-2</v>
      </c>
      <c r="AW85" s="284">
        <f>Splines!AC75</f>
        <v>-9.9487390809936292E-4</v>
      </c>
      <c r="AX85" s="284">
        <f t="shared" si="101"/>
        <v>2.0466844685723243E-2</v>
      </c>
      <c r="AY85" s="284">
        <f t="shared" si="115"/>
        <v>3.7555521934120817E-2</v>
      </c>
      <c r="BA85" s="291">
        <f t="shared" si="95"/>
        <v>4.2000000000000003E-2</v>
      </c>
      <c r="BB85" s="284">
        <f t="shared" si="116"/>
        <v>2.1984572840666017E-2</v>
      </c>
      <c r="BC85" s="288"/>
      <c r="BD85" s="283" t="s">
        <v>400</v>
      </c>
      <c r="BE85" s="283">
        <f t="shared" si="85"/>
        <v>3.0519434668901949E-2</v>
      </c>
      <c r="BF85" s="284">
        <f>Splines!AH75</f>
        <v>-9.967027646494537E-4</v>
      </c>
      <c r="BG85" s="284">
        <f t="shared" si="102"/>
        <v>2.9522731904252496E-2</v>
      </c>
      <c r="BH85" s="284">
        <f t="shared" si="117"/>
        <v>4.0835848592187363E-2</v>
      </c>
      <c r="BJ85" s="284">
        <f t="shared" si="96"/>
        <v>4.2000000000000003E-2</v>
      </c>
      <c r="BK85" s="284">
        <f t="shared" si="118"/>
        <v>2.9972423104447588E-2</v>
      </c>
      <c r="BL85" s="288"/>
      <c r="BM85" s="283" t="s">
        <v>400</v>
      </c>
      <c r="BN85" s="283">
        <f t="shared" si="86"/>
        <v>2.6566960544842227E-2</v>
      </c>
      <c r="BO85" s="284">
        <f>Splines!AM75</f>
        <v>-1.007239173021398E-3</v>
      </c>
      <c r="BP85" s="284">
        <f t="shared" si="103"/>
        <v>2.5559721371820828E-2</v>
      </c>
      <c r="BQ85" s="284">
        <f t="shared" si="119"/>
        <v>3.9384035063751321E-2</v>
      </c>
      <c r="BS85" s="284">
        <f t="shared" si="97"/>
        <v>4.2000000000000003E-2</v>
      </c>
      <c r="BT85" s="284">
        <f t="shared" si="120"/>
        <v>2.8114696240491011E-2</v>
      </c>
      <c r="BU85" s="288"/>
      <c r="BV85" s="659" t="s">
        <v>400</v>
      </c>
      <c r="BW85" s="659">
        <f t="shared" si="87"/>
        <v>3.9297229182391834E-2</v>
      </c>
      <c r="BX85" s="284">
        <f>Splines!AR75</f>
        <v>-9.9915022549350611E-4</v>
      </c>
      <c r="BY85" s="284">
        <f t="shared" si="104"/>
        <v>3.8298078956898331E-2</v>
      </c>
      <c r="BZ85" s="284">
        <f t="shared" si="121"/>
        <v>4.313052281173424E-2</v>
      </c>
      <c r="CB85" s="291">
        <f t="shared" si="105"/>
        <v>4.313052281173424E-2</v>
      </c>
      <c r="CC85" s="284">
        <f t="shared" si="122"/>
        <v>3.8298078956898296E-2</v>
      </c>
      <c r="CD85" s="288"/>
      <c r="CE85" s="284" t="str">
        <f t="shared" si="74"/>
        <v>71 Year</v>
      </c>
      <c r="CF85" s="284">
        <f t="shared" si="75"/>
        <v>3.0519434668901949E-2</v>
      </c>
      <c r="CG85" s="284">
        <f t="shared" si="76"/>
        <v>-9.967027646494537E-4</v>
      </c>
      <c r="CH85" s="284">
        <f t="shared" si="77"/>
        <v>2.9522731904252496E-2</v>
      </c>
      <c r="CI85" s="284">
        <f t="shared" si="78"/>
        <v>4.0835848592187363E-2</v>
      </c>
      <c r="CK85" s="284">
        <f>BJ85+MIN('Instructions &amp; Dashboard'!$D$43,'Instructions &amp; Dashboard'!$D$44)/10000</f>
        <v>4.4000000000000004E-2</v>
      </c>
      <c r="CL85" s="284">
        <f t="shared" si="123"/>
        <v>3.2112772731860417E-2</v>
      </c>
    </row>
    <row r="86" spans="1:90">
      <c r="A86" s="283">
        <f t="shared" si="106"/>
        <v>72</v>
      </c>
      <c r="B86" s="283" t="s">
        <v>401</v>
      </c>
      <c r="C86" s="283">
        <f t="shared" si="88"/>
        <v>3.51836472118989E-2</v>
      </c>
      <c r="D86" s="284">
        <f>Splines!D76</f>
        <v>-9.8927002798308893E-4</v>
      </c>
      <c r="E86" s="506">
        <f t="shared" si="89"/>
        <v>3.4194377183915811E-2</v>
      </c>
      <c r="F86" s="507">
        <f t="shared" si="125"/>
        <v>4.121897658995044E-2</v>
      </c>
      <c r="H86" s="284">
        <f t="shared" si="90"/>
        <v>4.2000000000000003E-2</v>
      </c>
      <c r="I86" s="284">
        <f t="shared" si="124"/>
        <v>3.3610295352590747E-2</v>
      </c>
      <c r="J86" s="285"/>
      <c r="K86" s="283" t="s">
        <v>401</v>
      </c>
      <c r="L86" s="283">
        <f t="shared" si="79"/>
        <v>6.7214019949240929E-3</v>
      </c>
      <c r="M86" s="284">
        <f>Splines!I76</f>
        <v>-1.0033061427003095E-3</v>
      </c>
      <c r="N86" s="283">
        <f t="shared" si="80"/>
        <v>5.7180958522237832E-3</v>
      </c>
      <c r="O86" s="284">
        <f t="shared" si="107"/>
        <v>1.43145932009896E-2</v>
      </c>
      <c r="Q86" s="284">
        <f t="shared" si="91"/>
        <v>4.2000000000000003E-2</v>
      </c>
      <c r="R86" s="284">
        <f t="shared" si="108"/>
        <v>1.775103017408064E-2</v>
      </c>
      <c r="S86" s="287"/>
      <c r="T86" s="283" t="s">
        <v>401</v>
      </c>
      <c r="U86" s="283">
        <f t="shared" si="81"/>
        <v>9.6131590626197458E-3</v>
      </c>
      <c r="V86" s="284">
        <f>Splines!N76</f>
        <v>-9.9427514324409408E-4</v>
      </c>
      <c r="W86" s="284">
        <f t="shared" si="98"/>
        <v>8.6188839193756511E-3</v>
      </c>
      <c r="X86" s="284">
        <f t="shared" si="109"/>
        <v>-3.751562077953241E-3</v>
      </c>
      <c r="Z86" s="284">
        <f t="shared" si="92"/>
        <v>4.2000000000000003E-2</v>
      </c>
      <c r="AA86" s="284">
        <f t="shared" si="110"/>
        <v>2.4279020646081895E-2</v>
      </c>
      <c r="AB86" s="288"/>
      <c r="AC86" s="283" t="s">
        <v>401</v>
      </c>
      <c r="AD86" s="283">
        <f t="shared" si="82"/>
        <v>-1.0292270975143528E-2</v>
      </c>
      <c r="AE86" s="284">
        <f>Splines!S76</f>
        <v>-1.0021573000391843E-3</v>
      </c>
      <c r="AF86" s="284">
        <f t="shared" si="99"/>
        <v>-1.1294428275182712E-2</v>
      </c>
      <c r="AG86" s="284">
        <f t="shared" si="111"/>
        <v>-3.7911111804425413E-2</v>
      </c>
      <c r="AI86" s="284">
        <f t="shared" si="93"/>
        <v>4.200000000000001E-2</v>
      </c>
      <c r="AJ86" s="284">
        <f t="shared" si="112"/>
        <v>1.6320874165301813E-2</v>
      </c>
      <c r="AK86" s="288"/>
      <c r="AL86" s="283" t="s">
        <v>401</v>
      </c>
      <c r="AM86" s="283">
        <f t="shared" si="83"/>
        <v>1.9413299815232318E-2</v>
      </c>
      <c r="AN86" s="283">
        <f>Splines!X76</f>
        <v>-1.003203504619028E-3</v>
      </c>
      <c r="AO86" s="283">
        <f t="shared" si="100"/>
        <v>1.8410096310613289E-2</v>
      </c>
      <c r="AP86" s="284">
        <f t="shared" si="113"/>
        <v>1.9949636983956465E-2</v>
      </c>
      <c r="AR86" s="291">
        <f t="shared" si="94"/>
        <v>4.2000000000000003E-2</v>
      </c>
      <c r="AS86" s="284">
        <f t="shared" si="114"/>
        <v>2.7086624979368423E-2</v>
      </c>
      <c r="AT86" s="289"/>
      <c r="AU86" s="283" t="s">
        <v>401</v>
      </c>
      <c r="AV86" s="283">
        <f t="shared" si="84"/>
        <v>2.1694479332709612E-2</v>
      </c>
      <c r="AW86" s="284">
        <f>Splines!AC76</f>
        <v>-9.9095612655544221E-4</v>
      </c>
      <c r="AX86" s="284">
        <f t="shared" si="101"/>
        <v>2.0703523206154172E-2</v>
      </c>
      <c r="AY86" s="284">
        <f t="shared" si="115"/>
        <v>3.7648767607333378E-2</v>
      </c>
      <c r="BA86" s="291">
        <f t="shared" si="95"/>
        <v>4.2000000000000003E-2</v>
      </c>
      <c r="BB86" s="284">
        <f t="shared" si="116"/>
        <v>2.2259914779904522E-2</v>
      </c>
      <c r="BC86" s="288"/>
      <c r="BD86" s="283" t="s">
        <v>401</v>
      </c>
      <c r="BE86" s="283">
        <f t="shared" si="85"/>
        <v>3.067445443977607E-2</v>
      </c>
      <c r="BF86" s="284">
        <f>Splines!AH76</f>
        <v>-9.9418275206405115E-4</v>
      </c>
      <c r="BG86" s="284">
        <f t="shared" si="102"/>
        <v>2.968027168771202E-2</v>
      </c>
      <c r="BH86" s="284">
        <f t="shared" si="117"/>
        <v>4.0927434590091405E-2</v>
      </c>
      <c r="BJ86" s="284">
        <f t="shared" si="96"/>
        <v>4.2000000000000003E-2</v>
      </c>
      <c r="BK86" s="284">
        <f t="shared" si="118"/>
        <v>3.0138518334607012E-2</v>
      </c>
      <c r="BL86" s="288"/>
      <c r="BM86" s="283" t="s">
        <v>401</v>
      </c>
      <c r="BN86" s="283">
        <f t="shared" si="86"/>
        <v>2.6765977374683666E-2</v>
      </c>
      <c r="BO86" s="284">
        <f>Splines!AM76</f>
        <v>-1.0127719869717047E-3</v>
      </c>
      <c r="BP86" s="284">
        <f t="shared" si="103"/>
        <v>2.5753205387711961E-2</v>
      </c>
      <c r="BQ86" s="284">
        <f t="shared" si="119"/>
        <v>3.9584284393249458E-2</v>
      </c>
      <c r="BS86" s="284">
        <f t="shared" si="97"/>
        <v>4.2000000000000003E-2</v>
      </c>
      <c r="BT86" s="284">
        <f t="shared" si="120"/>
        <v>2.8306274849657642E-2</v>
      </c>
      <c r="BU86" s="288"/>
      <c r="BV86" s="659" t="s">
        <v>401</v>
      </c>
      <c r="BW86" s="659">
        <f t="shared" si="87"/>
        <v>3.9361864686121184E-2</v>
      </c>
      <c r="BX86" s="284">
        <f>Splines!AR76</f>
        <v>-9.9850077229934517E-4</v>
      </c>
      <c r="BY86" s="284">
        <f t="shared" si="104"/>
        <v>3.8363363913821842E-2</v>
      </c>
      <c r="BZ86" s="284">
        <f t="shared" si="121"/>
        <v>4.3009103428788276E-2</v>
      </c>
      <c r="CB86" s="291">
        <f t="shared" si="105"/>
        <v>4.3009103428788276E-2</v>
      </c>
      <c r="CC86" s="284">
        <f t="shared" si="122"/>
        <v>3.8363363913821891E-2</v>
      </c>
      <c r="CD86" s="288"/>
      <c r="CE86" s="284" t="str">
        <f t="shared" si="74"/>
        <v>72 Year</v>
      </c>
      <c r="CF86" s="284">
        <f t="shared" si="75"/>
        <v>3.067445443977607E-2</v>
      </c>
      <c r="CG86" s="284">
        <f t="shared" si="76"/>
        <v>-9.9418275206405115E-4</v>
      </c>
      <c r="CH86" s="284">
        <f t="shared" si="77"/>
        <v>2.968027168771202E-2</v>
      </c>
      <c r="CI86" s="284">
        <f t="shared" si="78"/>
        <v>4.0927434590091405E-2</v>
      </c>
      <c r="CK86" s="284">
        <f>BJ86+MIN('Instructions &amp; Dashboard'!$D$43,'Instructions &amp; Dashboard'!$D$44)/10000</f>
        <v>4.4000000000000004E-2</v>
      </c>
      <c r="CL86" s="284">
        <f t="shared" si="123"/>
        <v>3.2276942642212925E-2</v>
      </c>
    </row>
    <row r="87" spans="1:90">
      <c r="A87" s="283">
        <f t="shared" si="106"/>
        <v>73</v>
      </c>
      <c r="B87" s="283" t="s">
        <v>402</v>
      </c>
      <c r="C87" s="283">
        <f t="shared" si="88"/>
        <v>3.5275198611768505E-2</v>
      </c>
      <c r="D87" s="284">
        <f>Splines!D77</f>
        <v>-9.8592501656838936E-4</v>
      </c>
      <c r="E87" s="506">
        <f t="shared" si="89"/>
        <v>3.4289273595200113E-2</v>
      </c>
      <c r="F87" s="507">
        <f t="shared" si="125"/>
        <v>4.1144748498658013E-2</v>
      </c>
      <c r="H87" s="284">
        <f t="shared" si="90"/>
        <v>4.2000000000000003E-2</v>
      </c>
      <c r="I87" s="284">
        <f t="shared" si="124"/>
        <v>3.3724765233394516E-2</v>
      </c>
      <c r="J87" s="285"/>
      <c r="K87" s="283" t="s">
        <v>402</v>
      </c>
      <c r="L87" s="283">
        <f t="shared" si="79"/>
        <v>6.8450443210199552E-3</v>
      </c>
      <c r="M87" s="284">
        <f>Splines!I77</f>
        <v>-1.0043367623503445E-3</v>
      </c>
      <c r="N87" s="283">
        <f t="shared" si="80"/>
        <v>5.8407075586696111E-3</v>
      </c>
      <c r="O87" s="284">
        <f t="shared" si="107"/>
        <v>1.4708147763711654E-2</v>
      </c>
      <c r="Q87" s="284">
        <f t="shared" si="91"/>
        <v>4.2000000000000003E-2</v>
      </c>
      <c r="R87" s="284">
        <f t="shared" si="108"/>
        <v>1.8079365309940476E-2</v>
      </c>
      <c r="S87" s="287"/>
      <c r="T87" s="283" t="s">
        <v>402</v>
      </c>
      <c r="U87" s="283">
        <f t="shared" si="81"/>
        <v>9.4359468462621131E-3</v>
      </c>
      <c r="V87" s="284">
        <f>Splines!N77</f>
        <v>-9.9249043097626353E-4</v>
      </c>
      <c r="W87" s="284">
        <f t="shared" si="98"/>
        <v>8.4434564152858493E-3</v>
      </c>
      <c r="X87" s="284">
        <f t="shared" si="109"/>
        <v>-4.1074678508082885E-3</v>
      </c>
      <c r="Z87" s="284">
        <f t="shared" si="92"/>
        <v>4.2000000000000003E-2</v>
      </c>
      <c r="AA87" s="284">
        <f t="shared" si="110"/>
        <v>2.4519726049304191E-2</v>
      </c>
      <c r="AB87" s="288"/>
      <c r="AC87" s="283" t="s">
        <v>402</v>
      </c>
      <c r="AD87" s="283">
        <f t="shared" si="82"/>
        <v>-1.0672180263594067E-2</v>
      </c>
      <c r="AE87" s="284">
        <f>Splines!S77</f>
        <v>-1.0028297784416028E-3</v>
      </c>
      <c r="AF87" s="284">
        <f t="shared" si="99"/>
        <v>-1.167501004203567E-2</v>
      </c>
      <c r="AG87" s="284">
        <f t="shared" si="111"/>
        <v>-3.8695386718762825E-2</v>
      </c>
      <c r="AI87" s="284">
        <f t="shared" si="93"/>
        <v>4.200000000000001E-2</v>
      </c>
      <c r="AJ87" s="284">
        <f t="shared" si="112"/>
        <v>1.666833183200378E-2</v>
      </c>
      <c r="AK87" s="288"/>
      <c r="AL87" s="283" t="s">
        <v>402</v>
      </c>
      <c r="AM87" s="283">
        <f t="shared" si="83"/>
        <v>1.9435692428236732E-2</v>
      </c>
      <c r="AN87" s="283">
        <f>Splines!X77</f>
        <v>-1.0042021277810087E-3</v>
      </c>
      <c r="AO87" s="283">
        <f t="shared" si="100"/>
        <v>1.8431490300455725E-2</v>
      </c>
      <c r="AP87" s="284">
        <f t="shared" si="113"/>
        <v>1.9973039255340774E-2</v>
      </c>
      <c r="AR87" s="291">
        <f t="shared" si="94"/>
        <v>4.2000000000000003E-2</v>
      </c>
      <c r="AS87" s="284">
        <f t="shared" si="114"/>
        <v>2.728946884466521E-2</v>
      </c>
      <c r="AT87" s="289"/>
      <c r="AU87" s="283" t="s">
        <v>402</v>
      </c>
      <c r="AV87" s="283">
        <f t="shared" si="84"/>
        <v>2.1923128160279349E-2</v>
      </c>
      <c r="AW87" s="284">
        <f>Splines!AC77</f>
        <v>-9.8813674103081497E-4</v>
      </c>
      <c r="AX87" s="284">
        <f t="shared" si="101"/>
        <v>2.0934991419248535E-2</v>
      </c>
      <c r="AY87" s="284">
        <f t="shared" si="115"/>
        <v>3.7739391854282989E-2</v>
      </c>
      <c r="BA87" s="291">
        <f t="shared" si="95"/>
        <v>4.2000000000000003E-2</v>
      </c>
      <c r="BB87" s="284">
        <f t="shared" si="116"/>
        <v>2.2527784265763851E-2</v>
      </c>
      <c r="BC87" s="288"/>
      <c r="BD87" s="283" t="s">
        <v>402</v>
      </c>
      <c r="BE87" s="283">
        <f t="shared" si="85"/>
        <v>3.0827108860105951E-2</v>
      </c>
      <c r="BF87" s="284">
        <f>Splines!AH77</f>
        <v>-9.9236923768640235E-4</v>
      </c>
      <c r="BG87" s="284">
        <f t="shared" si="102"/>
        <v>2.9834739622419549E-2</v>
      </c>
      <c r="BH87" s="284">
        <f t="shared" si="117"/>
        <v>4.1017545224506513E-2</v>
      </c>
      <c r="BJ87" s="284">
        <f t="shared" si="96"/>
        <v>4.2000000000000003E-2</v>
      </c>
      <c r="BK87" s="284">
        <f t="shared" si="118"/>
        <v>3.0300088704603656E-2</v>
      </c>
      <c r="BL87" s="288"/>
      <c r="BM87" s="283" t="s">
        <v>402</v>
      </c>
      <c r="BN87" s="283">
        <f t="shared" si="86"/>
        <v>2.696070618581518E-2</v>
      </c>
      <c r="BO87" s="284">
        <f>Splines!AM77</f>
        <v>-1.016753497454588E-3</v>
      </c>
      <c r="BP87" s="284">
        <f t="shared" si="103"/>
        <v>2.5943952688360594E-2</v>
      </c>
      <c r="BQ87" s="284">
        <f t="shared" si="119"/>
        <v>3.9771387819125259E-2</v>
      </c>
      <c r="BS87" s="284">
        <f t="shared" si="97"/>
        <v>4.2000000000000003E-2</v>
      </c>
      <c r="BT87" s="284">
        <f t="shared" si="120"/>
        <v>2.8492638974780604E-2</v>
      </c>
      <c r="BU87" s="288"/>
      <c r="BV87" s="659" t="s">
        <v>402</v>
      </c>
      <c r="BW87" s="659">
        <f t="shared" si="87"/>
        <v>3.9423314408252967E-2</v>
      </c>
      <c r="BX87" s="284">
        <f>Splines!AR77</f>
        <v>-9.9803336144538182E-4</v>
      </c>
      <c r="BY87" s="284">
        <f t="shared" si="104"/>
        <v>3.8425281046807584E-2</v>
      </c>
      <c r="BZ87" s="284">
        <f t="shared" si="121"/>
        <v>4.2893031142440252E-2</v>
      </c>
      <c r="CB87" s="291">
        <f t="shared" si="105"/>
        <v>4.2893031142440252E-2</v>
      </c>
      <c r="CC87" s="284">
        <f t="shared" si="122"/>
        <v>3.8425281046807536E-2</v>
      </c>
      <c r="CD87" s="288"/>
      <c r="CE87" s="284" t="str">
        <f t="shared" si="74"/>
        <v>73 Year</v>
      </c>
      <c r="CF87" s="284">
        <f t="shared" si="75"/>
        <v>3.0827108860105951E-2</v>
      </c>
      <c r="CG87" s="284">
        <f t="shared" si="76"/>
        <v>-9.9236923768640235E-4</v>
      </c>
      <c r="CH87" s="284">
        <f t="shared" si="77"/>
        <v>2.9834739622419549E-2</v>
      </c>
      <c r="CI87" s="284">
        <f t="shared" si="78"/>
        <v>4.1017545224506513E-2</v>
      </c>
      <c r="CK87" s="284">
        <f>BJ87+MIN('Instructions &amp; Dashboard'!$D$43,'Instructions &amp; Dashboard'!$D$44)/10000</f>
        <v>4.4000000000000004E-2</v>
      </c>
      <c r="CL87" s="284">
        <f t="shared" si="123"/>
        <v>3.243663979661382E-2</v>
      </c>
    </row>
    <row r="88" spans="1:90">
      <c r="A88" s="283">
        <f t="shared" si="106"/>
        <v>74</v>
      </c>
      <c r="B88" s="283" t="s">
        <v>403</v>
      </c>
      <c r="C88" s="283">
        <f t="shared" si="88"/>
        <v>3.5364433309149443E-2</v>
      </c>
      <c r="D88" s="284">
        <f>Splines!D78</f>
        <v>-9.8375298252853689E-4</v>
      </c>
      <c r="E88" s="506">
        <f t="shared" si="89"/>
        <v>3.4380680326620908E-2</v>
      </c>
      <c r="F88" s="507">
        <f t="shared" si="125"/>
        <v>4.1075237277262922E-2</v>
      </c>
      <c r="H88" s="284">
        <f t="shared" si="90"/>
        <v>4.2000000000000003E-2</v>
      </c>
      <c r="I88" s="284">
        <f t="shared" si="124"/>
        <v>3.3836153501577648E-2</v>
      </c>
      <c r="J88" s="285"/>
      <c r="K88" s="283" t="s">
        <v>403</v>
      </c>
      <c r="L88" s="283">
        <f t="shared" si="79"/>
        <v>6.9702729458849463E-3</v>
      </c>
      <c r="M88" s="284">
        <f>Splines!I78</f>
        <v>-1.0050060473273273E-3</v>
      </c>
      <c r="N88" s="283">
        <f t="shared" si="80"/>
        <v>5.9652668985576193E-3</v>
      </c>
      <c r="O88" s="284">
        <f t="shared" si="107"/>
        <v>1.5099885561250082E-2</v>
      </c>
      <c r="Q88" s="284">
        <f t="shared" si="91"/>
        <v>4.2000000000000003E-2</v>
      </c>
      <c r="R88" s="284">
        <f t="shared" si="108"/>
        <v>1.8398928191102781E-2</v>
      </c>
      <c r="S88" s="287"/>
      <c r="T88" s="283" t="s">
        <v>403</v>
      </c>
      <c r="U88" s="283">
        <f t="shared" si="81"/>
        <v>9.2593904779292822E-3</v>
      </c>
      <c r="V88" s="284">
        <f>Splines!N78</f>
        <v>-9.9133157825182861E-4</v>
      </c>
      <c r="W88" s="284">
        <f t="shared" si="98"/>
        <v>8.2680588996774541E-3</v>
      </c>
      <c r="X88" s="284">
        <f t="shared" si="109"/>
        <v>-4.4539040224642612E-3</v>
      </c>
      <c r="Z88" s="284">
        <f t="shared" si="92"/>
        <v>4.2000000000000003E-2</v>
      </c>
      <c r="AA88" s="284">
        <f t="shared" si="110"/>
        <v>2.4753980194157865E-2</v>
      </c>
      <c r="AB88" s="288"/>
      <c r="AC88" s="283" t="s">
        <v>403</v>
      </c>
      <c r="AD88" s="283">
        <f t="shared" si="82"/>
        <v>-1.1052616221449485E-2</v>
      </c>
      <c r="AE88" s="284">
        <f>Splines!S78</f>
        <v>-1.0032665041551307E-3</v>
      </c>
      <c r="AF88" s="284">
        <f t="shared" si="99"/>
        <v>-1.2055882725604615E-2</v>
      </c>
      <c r="AG88" s="284">
        <f t="shared" si="111"/>
        <v>-3.9466784000029009E-2</v>
      </c>
      <c r="AI88" s="284">
        <f t="shared" si="93"/>
        <v>4.200000000000001E-2</v>
      </c>
      <c r="AJ88" s="284">
        <f t="shared" si="112"/>
        <v>1.7006512766361226E-2</v>
      </c>
      <c r="AK88" s="288"/>
      <c r="AL88" s="283" t="s">
        <v>403</v>
      </c>
      <c r="AM88" s="283">
        <f t="shared" si="83"/>
        <v>1.9457447553623955E-2</v>
      </c>
      <c r="AN88" s="283">
        <f>Splines!X78</f>
        <v>-1.0048506358166461E-3</v>
      </c>
      <c r="AO88" s="283">
        <f t="shared" si="100"/>
        <v>1.8452596917807308E-2</v>
      </c>
      <c r="AP88" s="284">
        <f t="shared" si="113"/>
        <v>1.9994562062327637E-2</v>
      </c>
      <c r="AR88" s="291">
        <f t="shared" si="94"/>
        <v>4.2000000000000003E-2</v>
      </c>
      <c r="AS88" s="284">
        <f t="shared" si="114"/>
        <v>2.7486868894348815E-2</v>
      </c>
      <c r="AT88" s="289"/>
      <c r="AU88" s="283" t="s">
        <v>403</v>
      </c>
      <c r="AV88" s="283">
        <f t="shared" si="84"/>
        <v>2.2147739520753724E-2</v>
      </c>
      <c r="AW88" s="284">
        <f>Splines!AC78</f>
        <v>-9.8630602252125E-4</v>
      </c>
      <c r="AX88" s="284">
        <f t="shared" si="101"/>
        <v>2.1161433498232473E-2</v>
      </c>
      <c r="AY88" s="284">
        <f t="shared" si="115"/>
        <v>3.7828086786841464E-2</v>
      </c>
      <c r="BA88" s="291">
        <f t="shared" si="95"/>
        <v>4.2000000000000003E-2</v>
      </c>
      <c r="BB88" s="284">
        <f t="shared" si="116"/>
        <v>2.2788481407263195E-2</v>
      </c>
      <c r="BC88" s="288"/>
      <c r="BD88" s="283" t="s">
        <v>403</v>
      </c>
      <c r="BE88" s="283">
        <f t="shared" si="85"/>
        <v>3.09774366406524E-2</v>
      </c>
      <c r="BF88" s="284">
        <f>Splines!AH78</f>
        <v>-9.9119168229230901E-4</v>
      </c>
      <c r="BG88" s="284">
        <f t="shared" si="102"/>
        <v>2.9986244958360091E-2</v>
      </c>
      <c r="BH88" s="284">
        <f t="shared" si="117"/>
        <v>4.1106549874779796E-2</v>
      </c>
      <c r="BJ88" s="284">
        <f t="shared" si="96"/>
        <v>4.2000000000000003E-2</v>
      </c>
      <c r="BK88" s="284">
        <f t="shared" si="118"/>
        <v>3.0457316630954301E-2</v>
      </c>
      <c r="BL88" s="288"/>
      <c r="BM88" s="283" t="s">
        <v>403</v>
      </c>
      <c r="BN88" s="283">
        <f t="shared" si="86"/>
        <v>2.7151235268005371E-2</v>
      </c>
      <c r="BO88" s="284">
        <f>Splines!AM78</f>
        <v>-1.0193389454069075E-3</v>
      </c>
      <c r="BP88" s="284">
        <f t="shared" si="103"/>
        <v>2.6131896322598464E-2</v>
      </c>
      <c r="BQ88" s="284">
        <f t="shared" si="119"/>
        <v>3.99451860817297E-2</v>
      </c>
      <c r="BS88" s="284">
        <f t="shared" si="97"/>
        <v>4.2000000000000003E-2</v>
      </c>
      <c r="BT88" s="284">
        <f t="shared" si="120"/>
        <v>2.8673998650189603E-2</v>
      </c>
      <c r="BU88" s="288"/>
      <c r="BV88" s="659" t="s">
        <v>403</v>
      </c>
      <c r="BW88" s="659">
        <f t="shared" si="87"/>
        <v>3.948176773518125E-2</v>
      </c>
      <c r="BX88" s="284">
        <f>Splines!AR78</f>
        <v>-9.9772989929267303E-4</v>
      </c>
      <c r="BY88" s="284">
        <f t="shared" si="104"/>
        <v>3.8484037835888579E-2</v>
      </c>
      <c r="BZ88" s="284">
        <f t="shared" si="121"/>
        <v>4.2782275420144789E-2</v>
      </c>
      <c r="CB88" s="291">
        <f t="shared" si="105"/>
        <v>4.2782275420144789E-2</v>
      </c>
      <c r="CC88" s="284">
        <f t="shared" si="122"/>
        <v>3.8484037835888607E-2</v>
      </c>
      <c r="CD88" s="288"/>
      <c r="CE88" s="284" t="str">
        <f t="shared" si="74"/>
        <v>74 Year</v>
      </c>
      <c r="CF88" s="284">
        <f t="shared" si="75"/>
        <v>3.09774366406524E-2</v>
      </c>
      <c r="CG88" s="284">
        <f t="shared" si="76"/>
        <v>-9.9119168229230901E-4</v>
      </c>
      <c r="CH88" s="284">
        <f t="shared" si="77"/>
        <v>2.9986244958360091E-2</v>
      </c>
      <c r="CI88" s="284">
        <f t="shared" si="78"/>
        <v>4.1106549874779796E-2</v>
      </c>
      <c r="CK88" s="284">
        <f>BJ88+MIN('Instructions &amp; Dashboard'!$D$43,'Instructions &amp; Dashboard'!$D$44)/10000</f>
        <v>4.4000000000000004E-2</v>
      </c>
      <c r="CL88" s="284">
        <f t="shared" si="123"/>
        <v>3.2592044524867303E-2</v>
      </c>
    </row>
    <row r="89" spans="1:90">
      <c r="A89" s="283">
        <f t="shared" si="106"/>
        <v>75</v>
      </c>
      <c r="B89" s="283" t="s">
        <v>404</v>
      </c>
      <c r="C89" s="283">
        <f t="shared" si="88"/>
        <v>3.5451430634010211E-2</v>
      </c>
      <c r="D89" s="284">
        <f>Splines!D79</f>
        <v>-9.8262348510044241E-4</v>
      </c>
      <c r="E89" s="506">
        <f t="shared" si="89"/>
        <v>3.4468807148909771E-2</v>
      </c>
      <c r="F89" s="507">
        <f t="shared" si="125"/>
        <v>4.1011070513496284E-2</v>
      </c>
      <c r="H89" s="284">
        <f t="shared" si="90"/>
        <v>4.2000000000000003E-2</v>
      </c>
      <c r="I89" s="284">
        <f t="shared" si="124"/>
        <v>3.3944582942659229E-2</v>
      </c>
      <c r="J89" s="285"/>
      <c r="K89" s="283" t="s">
        <v>404</v>
      </c>
      <c r="L89" s="283">
        <f t="shared" si="79"/>
        <v>7.0970198146889409E-3</v>
      </c>
      <c r="M89" s="284">
        <f>Splines!I79</f>
        <v>-1.0053540359791831E-3</v>
      </c>
      <c r="N89" s="283">
        <f t="shared" si="80"/>
        <v>6.0916657787097577E-3</v>
      </c>
      <c r="O89" s="284">
        <f t="shared" si="107"/>
        <v>1.5489390340051701E-2</v>
      </c>
      <c r="Q89" s="284">
        <f t="shared" si="91"/>
        <v>4.2000000000000003E-2</v>
      </c>
      <c r="R89" s="284">
        <f t="shared" si="108"/>
        <v>1.8710065725501046E-2</v>
      </c>
      <c r="S89" s="287"/>
      <c r="T89" s="283" t="s">
        <v>404</v>
      </c>
      <c r="U89" s="283">
        <f t="shared" si="81"/>
        <v>9.083549494143868E-3</v>
      </c>
      <c r="V89" s="284">
        <f>Splines!N79</f>
        <v>-9.907289351759295E-4</v>
      </c>
      <c r="W89" s="284">
        <f t="shared" si="98"/>
        <v>8.0928205589679385E-3</v>
      </c>
      <c r="X89" s="284">
        <f t="shared" si="109"/>
        <v>-4.7906557478318845E-3</v>
      </c>
      <c r="Z89" s="284">
        <f t="shared" si="92"/>
        <v>4.2000000000000003E-2</v>
      </c>
      <c r="AA89" s="284">
        <f t="shared" si="110"/>
        <v>2.4982038999974199E-2</v>
      </c>
      <c r="AB89" s="288"/>
      <c r="AC89" s="283" t="s">
        <v>404</v>
      </c>
      <c r="AD89" s="283">
        <f t="shared" si="82"/>
        <v>-1.1433364364706974E-2</v>
      </c>
      <c r="AE89" s="284">
        <f>Splines!S79</f>
        <v>-1.0034935619743408E-3</v>
      </c>
      <c r="AF89" s="284">
        <f t="shared" si="99"/>
        <v>-1.2436857926681316E-2</v>
      </c>
      <c r="AG89" s="284">
        <f t="shared" si="111"/>
        <v>-4.0225137580060299E-2</v>
      </c>
      <c r="AI89" s="284">
        <f t="shared" si="93"/>
        <v>4.200000000000001E-2</v>
      </c>
      <c r="AJ89" s="284">
        <f t="shared" si="112"/>
        <v>1.7335783573796615E-2</v>
      </c>
      <c r="AK89" s="288"/>
      <c r="AL89" s="283" t="s">
        <v>404</v>
      </c>
      <c r="AM89" s="283">
        <f t="shared" si="83"/>
        <v>1.9478589327346679E-2</v>
      </c>
      <c r="AN89" s="283">
        <f>Splines!X79</f>
        <v>-1.0051878204576043E-3</v>
      </c>
      <c r="AO89" s="283">
        <f t="shared" si="100"/>
        <v>1.8473401506889073E-2</v>
      </c>
      <c r="AP89" s="284">
        <f t="shared" si="113"/>
        <v>2.0014121029239273E-2</v>
      </c>
      <c r="AR89" s="291">
        <f t="shared" si="94"/>
        <v>4.2000000000000003E-2</v>
      </c>
      <c r="AS89" s="284">
        <f t="shared" si="114"/>
        <v>2.7679041370511692E-2</v>
      </c>
      <c r="AT89" s="289"/>
      <c r="AU89" s="283" t="s">
        <v>404</v>
      </c>
      <c r="AV89" s="283">
        <f t="shared" si="84"/>
        <v>2.2368387285144679E-2</v>
      </c>
      <c r="AW89" s="284">
        <f>Splines!AC79</f>
        <v>-9.8535400919187287E-4</v>
      </c>
      <c r="AX89" s="284">
        <f t="shared" si="101"/>
        <v>2.1383033275952805E-2</v>
      </c>
      <c r="AY89" s="284">
        <f t="shared" si="115"/>
        <v>3.791557076614227E-2</v>
      </c>
      <c r="BA89" s="291">
        <f t="shared" si="95"/>
        <v>4.2000000000000003E-2</v>
      </c>
      <c r="BB89" s="284">
        <f t="shared" si="116"/>
        <v>2.3042290455524972E-2</v>
      </c>
      <c r="BC89" s="288"/>
      <c r="BD89" s="283" t="s">
        <v>404</v>
      </c>
      <c r="BE89" s="283">
        <f t="shared" si="85"/>
        <v>3.112547574702142E-2</v>
      </c>
      <c r="BF89" s="284">
        <f>Splines!AH79</f>
        <v>-9.9057931382692918E-4</v>
      </c>
      <c r="BG89" s="284">
        <f t="shared" si="102"/>
        <v>3.0134896433194492E-2</v>
      </c>
      <c r="BH89" s="284">
        <f t="shared" si="117"/>
        <v>4.11948498714787E-2</v>
      </c>
      <c r="BJ89" s="284">
        <f t="shared" si="96"/>
        <v>4.2000000000000003E-2</v>
      </c>
      <c r="BK89" s="284">
        <f t="shared" si="118"/>
        <v>3.0610374854969979E-2</v>
      </c>
      <c r="BL89" s="288"/>
      <c r="BM89" s="283" t="s">
        <v>404</v>
      </c>
      <c r="BN89" s="283">
        <f t="shared" si="86"/>
        <v>2.7337654178354119E-2</v>
      </c>
      <c r="BO89" s="284">
        <f>Splines!AM79</f>
        <v>-1.0206833389348796E-3</v>
      </c>
      <c r="BP89" s="284">
        <f t="shared" si="103"/>
        <v>2.6316970839419241E-2</v>
      </c>
      <c r="BQ89" s="284">
        <f t="shared" si="119"/>
        <v>4.0105523237789376E-2</v>
      </c>
      <c r="BS89" s="284">
        <f t="shared" si="97"/>
        <v>4.2000000000000003E-2</v>
      </c>
      <c r="BT89" s="284">
        <f t="shared" si="120"/>
        <v>2.885055277983839E-2</v>
      </c>
      <c r="BU89" s="288"/>
      <c r="BV89" s="659" t="s">
        <v>404</v>
      </c>
      <c r="BW89" s="659">
        <f t="shared" si="87"/>
        <v>3.9537402715929613E-2</v>
      </c>
      <c r="BX89" s="284">
        <f>Splines!AR79</f>
        <v>-9.9757205937163192E-4</v>
      </c>
      <c r="BY89" s="284">
        <f t="shared" si="104"/>
        <v>3.8539830656557979E-2</v>
      </c>
      <c r="BZ89" s="284">
        <f t="shared" si="121"/>
        <v>4.2676828287788737E-2</v>
      </c>
      <c r="CB89" s="291">
        <f t="shared" si="105"/>
        <v>4.2676828287788737E-2</v>
      </c>
      <c r="CC89" s="284">
        <f t="shared" si="122"/>
        <v>3.8539830656558083E-2</v>
      </c>
      <c r="CD89" s="288"/>
      <c r="CE89" s="284" t="str">
        <f t="shared" si="74"/>
        <v>75 Year</v>
      </c>
      <c r="CF89" s="284">
        <f t="shared" si="75"/>
        <v>3.112547574702142E-2</v>
      </c>
      <c r="CG89" s="284">
        <f t="shared" si="76"/>
        <v>-9.9057931382692918E-4</v>
      </c>
      <c r="CH89" s="284">
        <f t="shared" si="77"/>
        <v>3.0134896433194492E-2</v>
      </c>
      <c r="CI89" s="284">
        <f t="shared" si="78"/>
        <v>4.11948498714787E-2</v>
      </c>
      <c r="CK89" s="284">
        <f>BJ89+MIN('Instructions &amp; Dashboard'!$D$43,'Instructions &amp; Dashboard'!$D$44)/10000</f>
        <v>4.4000000000000004E-2</v>
      </c>
      <c r="CL89" s="284">
        <f t="shared" si="123"/>
        <v>3.2743327591521654E-2</v>
      </c>
    </row>
    <row r="90" spans="1:90">
      <c r="A90" s="283">
        <f t="shared" si="106"/>
        <v>76</v>
      </c>
      <c r="B90" s="283" t="s">
        <v>405</v>
      </c>
      <c r="C90" s="283">
        <f t="shared" si="88"/>
        <v>3.5536266837673802E-2</v>
      </c>
      <c r="D90" s="284">
        <f>Splines!D80</f>
        <v>-9.8240625814400087E-4</v>
      </c>
      <c r="E90" s="506">
        <f t="shared" si="89"/>
        <v>3.4553860579529805E-2</v>
      </c>
      <c r="F90" s="507">
        <f t="shared" si="125"/>
        <v>4.0952838532596347E-2</v>
      </c>
      <c r="H90" s="284">
        <f t="shared" si="90"/>
        <v>4.2000000000000003E-2</v>
      </c>
      <c r="I90" s="284">
        <f t="shared" si="124"/>
        <v>3.405016990457721E-2</v>
      </c>
      <c r="J90" s="285"/>
      <c r="K90" s="283" t="s">
        <v>405</v>
      </c>
      <c r="L90" s="283">
        <f t="shared" si="79"/>
        <v>7.2252171353459349E-3</v>
      </c>
      <c r="M90" s="284">
        <f>Splines!I80</f>
        <v>-1.0054209412768207E-3</v>
      </c>
      <c r="N90" s="283">
        <f t="shared" si="80"/>
        <v>6.2197961940691146E-3</v>
      </c>
      <c r="O90" s="284">
        <f t="shared" si="107"/>
        <v>1.5876230080415388E-2</v>
      </c>
      <c r="Q90" s="284">
        <f t="shared" si="91"/>
        <v>4.2000000000000003E-2</v>
      </c>
      <c r="R90" s="284">
        <f t="shared" si="108"/>
        <v>1.9013106768049903E-2</v>
      </c>
      <c r="S90" s="287"/>
      <c r="T90" s="283" t="s">
        <v>405</v>
      </c>
      <c r="U90" s="283">
        <f t="shared" si="81"/>
        <v>8.9084793285372568E-3</v>
      </c>
      <c r="V90" s="284">
        <f>Splines!N80</f>
        <v>-9.9061302647668998E-4</v>
      </c>
      <c r="W90" s="284">
        <f t="shared" si="98"/>
        <v>7.9178663020605666E-3</v>
      </c>
      <c r="X90" s="284">
        <f t="shared" si="109"/>
        <v>-5.11753693161765E-3</v>
      </c>
      <c r="Z90" s="284">
        <f t="shared" si="92"/>
        <v>4.2000000000000003E-2</v>
      </c>
      <c r="AA90" s="284">
        <f t="shared" si="110"/>
        <v>2.520414502672752E-2</v>
      </c>
      <c r="AB90" s="288"/>
      <c r="AC90" s="283" t="s">
        <v>405</v>
      </c>
      <c r="AD90" s="283">
        <f t="shared" si="82"/>
        <v>-1.1814218252520839E-2</v>
      </c>
      <c r="AE90" s="284">
        <f>Splines!S80</f>
        <v>-1.0035372113167895E-3</v>
      </c>
      <c r="AF90" s="284">
        <f t="shared" si="99"/>
        <v>-1.2817755463837628E-2</v>
      </c>
      <c r="AG90" s="284">
        <f t="shared" si="111"/>
        <v>-4.0970332637601858E-2</v>
      </c>
      <c r="AI90" s="284">
        <f t="shared" si="93"/>
        <v>4.200000000000001E-2</v>
      </c>
      <c r="AJ90" s="284">
        <f t="shared" si="112"/>
        <v>1.7656491794728169E-2</v>
      </c>
      <c r="AK90" s="288"/>
      <c r="AL90" s="283" t="s">
        <v>405</v>
      </c>
      <c r="AM90" s="283">
        <f t="shared" si="83"/>
        <v>1.9499141303130442E-2</v>
      </c>
      <c r="AN90" s="283">
        <f>Splines!X80</f>
        <v>-1.0052526480585303E-3</v>
      </c>
      <c r="AO90" s="283">
        <f t="shared" si="100"/>
        <v>1.8493888655071913E-2</v>
      </c>
      <c r="AP90" s="284">
        <f t="shared" si="113"/>
        <v>2.0031599865738547E-2</v>
      </c>
      <c r="AR90" s="291">
        <f t="shared" si="94"/>
        <v>4.2000000000000003E-2</v>
      </c>
      <c r="AS90" s="284">
        <f t="shared" si="114"/>
        <v>2.7866191212180924E-2</v>
      </c>
      <c r="AT90" s="289"/>
      <c r="AU90" s="283" t="s">
        <v>405</v>
      </c>
      <c r="AV90" s="283">
        <f t="shared" si="84"/>
        <v>2.2585144688678851E-2</v>
      </c>
      <c r="AW90" s="284">
        <f>Splines!AC80</f>
        <v>-9.8517091383079169E-4</v>
      </c>
      <c r="AX90" s="284">
        <f t="shared" si="101"/>
        <v>2.1599973774848059E-2</v>
      </c>
      <c r="AY90" s="284">
        <f t="shared" si="115"/>
        <v>3.80025238858126E-2</v>
      </c>
      <c r="BA90" s="291">
        <f t="shared" si="95"/>
        <v>4.2000000000000003E-2</v>
      </c>
      <c r="BB90" s="284">
        <f t="shared" si="116"/>
        <v>2.328948083751281E-2</v>
      </c>
      <c r="BC90" s="288"/>
      <c r="BD90" s="283" t="s">
        <v>405</v>
      </c>
      <c r="BE90" s="283">
        <f t="shared" si="85"/>
        <v>3.1271263421537299E-2</v>
      </c>
      <c r="BF90" s="284">
        <f>Splines!AH80</f>
        <v>-9.9046153485840387E-4</v>
      </c>
      <c r="BG90" s="284">
        <f t="shared" si="102"/>
        <v>3.0280801886678893E-2</v>
      </c>
      <c r="BH90" s="284">
        <f t="shared" si="117"/>
        <v>4.1282814287094016E-2</v>
      </c>
      <c r="BJ90" s="284">
        <f t="shared" si="96"/>
        <v>4.2000000000000003E-2</v>
      </c>
      <c r="BK90" s="284">
        <f t="shared" si="118"/>
        <v>3.0759427075810031E-2</v>
      </c>
      <c r="BL90" s="288"/>
      <c r="BM90" s="283" t="s">
        <v>405</v>
      </c>
      <c r="BN90" s="283">
        <f t="shared" si="86"/>
        <v>2.7520053274370907E-2</v>
      </c>
      <c r="BO90" s="284">
        <f>Splines!AM80</f>
        <v>-1.0209418607677035E-3</v>
      </c>
      <c r="BP90" s="284">
        <f t="shared" si="103"/>
        <v>2.6499111413603203E-2</v>
      </c>
      <c r="BQ90" s="284">
        <f t="shared" si="119"/>
        <v>4.0252183913457307E-2</v>
      </c>
      <c r="BS90" s="284">
        <f t="shared" si="97"/>
        <v>4.2000000000000003E-2</v>
      </c>
      <c r="BT90" s="284">
        <f t="shared" si="120"/>
        <v>2.9022489864947154E-2</v>
      </c>
      <c r="BU90" s="288"/>
      <c r="BV90" s="659" t="s">
        <v>405</v>
      </c>
      <c r="BW90" s="659">
        <f t="shared" si="87"/>
        <v>3.9590386679851194E-2</v>
      </c>
      <c r="BX90" s="284">
        <f>Splines!AR80</f>
        <v>-9.9754168983565497E-4</v>
      </c>
      <c r="BY90" s="284">
        <f t="shared" si="104"/>
        <v>3.8592844990015543E-2</v>
      </c>
      <c r="BZ90" s="284">
        <f t="shared" si="121"/>
        <v>4.2576642453217906E-2</v>
      </c>
      <c r="CB90" s="291">
        <f t="shared" si="105"/>
        <v>4.2576642453217906E-2</v>
      </c>
      <c r="CC90" s="284">
        <f t="shared" si="122"/>
        <v>3.8592844990015474E-2</v>
      </c>
      <c r="CD90" s="288"/>
      <c r="CE90" s="284" t="str">
        <f t="shared" si="74"/>
        <v>76 Year</v>
      </c>
      <c r="CF90" s="284">
        <f t="shared" si="75"/>
        <v>3.1271263421537299E-2</v>
      </c>
      <c r="CG90" s="284">
        <f t="shared" si="76"/>
        <v>-9.9046153485840387E-4</v>
      </c>
      <c r="CH90" s="284">
        <f t="shared" si="77"/>
        <v>3.0280801886678893E-2</v>
      </c>
      <c r="CI90" s="284">
        <f t="shared" si="78"/>
        <v>4.1282814287094016E-2</v>
      </c>
      <c r="CK90" s="284">
        <f>BJ90+MIN('Instructions &amp; Dashboard'!$D$43,'Instructions &amp; Dashboard'!$D$44)/10000</f>
        <v>4.4000000000000004E-2</v>
      </c>
      <c r="CL90" s="284">
        <f t="shared" si="123"/>
        <v>3.2890650821777889E-2</v>
      </c>
    </row>
    <row r="91" spans="1:90">
      <c r="A91" s="283">
        <f t="shared" si="106"/>
        <v>77</v>
      </c>
      <c r="B91" s="283" t="s">
        <v>406</v>
      </c>
      <c r="C91" s="283">
        <f t="shared" si="88"/>
        <v>3.5619015206042229E-2</v>
      </c>
      <c r="D91" s="284">
        <f>Splines!D81</f>
        <v>-9.8297103551910612E-4</v>
      </c>
      <c r="E91" s="506">
        <f t="shared" si="89"/>
        <v>3.4636044170523121E-2</v>
      </c>
      <c r="F91" s="507">
        <f t="shared" si="125"/>
        <v>4.0901137633222451E-2</v>
      </c>
      <c r="H91" s="284">
        <f t="shared" si="90"/>
        <v>4.2000000000000003E-2</v>
      </c>
      <c r="I91" s="284">
        <f t="shared" si="124"/>
        <v>3.4153024714126623E-2</v>
      </c>
      <c r="J91" s="285"/>
      <c r="K91" s="283" t="s">
        <v>406</v>
      </c>
      <c r="L91" s="283">
        <f t="shared" si="79"/>
        <v>7.3547975418612466E-3</v>
      </c>
      <c r="M91" s="284">
        <f>Splines!I81</f>
        <v>-1.0052469761911477E-3</v>
      </c>
      <c r="N91" s="283">
        <f t="shared" si="80"/>
        <v>6.3495505656700991E-3</v>
      </c>
      <c r="O91" s="284">
        <f t="shared" si="107"/>
        <v>1.6259999218656951E-2</v>
      </c>
      <c r="Q91" s="284">
        <f t="shared" si="91"/>
        <v>4.2000000000000003E-2</v>
      </c>
      <c r="R91" s="284">
        <f t="shared" si="108"/>
        <v>1.9308363279858298E-2</v>
      </c>
      <c r="S91" s="287"/>
      <c r="T91" s="283" t="s">
        <v>406</v>
      </c>
      <c r="U91" s="283">
        <f t="shared" si="81"/>
        <v>8.734231585353195E-3</v>
      </c>
      <c r="V91" s="284">
        <f>Splines!N81</f>
        <v>-9.9091437688223231E-4</v>
      </c>
      <c r="W91" s="284">
        <f t="shared" si="98"/>
        <v>7.7433172084709623E-3</v>
      </c>
      <c r="X91" s="284">
        <f t="shared" si="109"/>
        <v>-5.4343483502735657E-3</v>
      </c>
      <c r="Z91" s="284">
        <f t="shared" si="92"/>
        <v>4.2000000000000003E-2</v>
      </c>
      <c r="AA91" s="284">
        <f t="shared" si="110"/>
        <v>2.5420528335508896E-2</v>
      </c>
      <c r="AB91" s="288"/>
      <c r="AC91" s="283" t="s">
        <v>406</v>
      </c>
      <c r="AD91" s="283">
        <f t="shared" si="82"/>
        <v>-1.2194979254781857E-2</v>
      </c>
      <c r="AE91" s="284">
        <f>Splines!S81</f>
        <v>-1.0034237116000326E-3</v>
      </c>
      <c r="AF91" s="284">
        <f t="shared" si="99"/>
        <v>-1.3198402966381889E-2</v>
      </c>
      <c r="AG91" s="284">
        <f t="shared" si="111"/>
        <v>-4.1702263448631371E-2</v>
      </c>
      <c r="AI91" s="284">
        <f t="shared" si="93"/>
        <v>4.200000000000001E-2</v>
      </c>
      <c r="AJ91" s="284">
        <f t="shared" si="112"/>
        <v>1.7968967127930391E-2</v>
      </c>
      <c r="AK91" s="288"/>
      <c r="AL91" s="283" t="s">
        <v>406</v>
      </c>
      <c r="AM91" s="283">
        <f t="shared" si="83"/>
        <v>1.9519126464062418E-2</v>
      </c>
      <c r="AN91" s="283">
        <f>Splines!X81</f>
        <v>-1.0050840849740708E-3</v>
      </c>
      <c r="AO91" s="283">
        <f t="shared" si="100"/>
        <v>1.8514042379088349E-2</v>
      </c>
      <c r="AP91" s="284">
        <f t="shared" si="113"/>
        <v>2.0046892862646271E-2</v>
      </c>
      <c r="AR91" s="291">
        <f t="shared" si="94"/>
        <v>4.2000000000000003E-2</v>
      </c>
      <c r="AS91" s="284">
        <f t="shared" si="114"/>
        <v>2.804851278430176E-2</v>
      </c>
      <c r="AT91" s="289"/>
      <c r="AU91" s="283" t="s">
        <v>406</v>
      </c>
      <c r="AV91" s="283">
        <f t="shared" si="84"/>
        <v>2.2798084274209734E-2</v>
      </c>
      <c r="AW91" s="284">
        <f>Splines!AC81</f>
        <v>-9.8564694922611477E-4</v>
      </c>
      <c r="AX91" s="284">
        <f t="shared" si="101"/>
        <v>2.181243732498362E-2</v>
      </c>
      <c r="AY91" s="284">
        <f t="shared" si="115"/>
        <v>3.8089631161294601E-2</v>
      </c>
      <c r="BA91" s="291">
        <f t="shared" si="95"/>
        <v>4.2000000000000003E-2</v>
      </c>
      <c r="BB91" s="284">
        <f t="shared" si="116"/>
        <v>2.3530308109947384E-2</v>
      </c>
      <c r="BC91" s="288"/>
      <c r="BD91" s="283" t="s">
        <v>406</v>
      </c>
      <c r="BE91" s="283">
        <f t="shared" si="85"/>
        <v>3.1414836203935856E-2</v>
      </c>
      <c r="BF91" s="284">
        <f>Splines!AH81</f>
        <v>-9.9076774795487429E-4</v>
      </c>
      <c r="BG91" s="284">
        <f t="shared" si="102"/>
        <v>3.0424068455980981E-2</v>
      </c>
      <c r="BH91" s="284">
        <f t="shared" si="117"/>
        <v>4.1370822821455544E-2</v>
      </c>
      <c r="BJ91" s="284">
        <f t="shared" si="96"/>
        <v>4.2000000000000003E-2</v>
      </c>
      <c r="BK91" s="284">
        <f t="shared" si="118"/>
        <v>3.0904628534474066E-2</v>
      </c>
      <c r="BL91" s="288"/>
      <c r="BM91" s="283" t="s">
        <v>406</v>
      </c>
      <c r="BN91" s="283">
        <f t="shared" si="86"/>
        <v>2.7698523304131296E-2</v>
      </c>
      <c r="BO91" s="284">
        <f>Splines!AM81</f>
        <v>-1.020269693634578E-3</v>
      </c>
      <c r="BP91" s="284">
        <f t="shared" si="103"/>
        <v>2.6678253610496718E-2</v>
      </c>
      <c r="BQ91" s="284">
        <f t="shared" si="119"/>
        <v>4.038493789507247E-2</v>
      </c>
      <c r="BS91" s="284">
        <f t="shared" si="97"/>
        <v>4.2000000000000003E-2</v>
      </c>
      <c r="BT91" s="284">
        <f t="shared" si="120"/>
        <v>2.9189988675298428E-2</v>
      </c>
      <c r="BU91" s="288"/>
      <c r="BV91" s="659" t="s">
        <v>406</v>
      </c>
      <c r="BW91" s="659">
        <f t="shared" si="87"/>
        <v>3.9640876829204877E-2</v>
      </c>
      <c r="BX91" s="284">
        <f>Splines!AR81</f>
        <v>-9.9762063883813783E-4</v>
      </c>
      <c r="BY91" s="284">
        <f t="shared" si="104"/>
        <v>3.8643256190366737E-2</v>
      </c>
      <c r="BZ91" s="284">
        <f t="shared" si="121"/>
        <v>4.248167561881977E-2</v>
      </c>
      <c r="CB91" s="291">
        <f t="shared" si="105"/>
        <v>4.248167561881977E-2</v>
      </c>
      <c r="CC91" s="284">
        <f t="shared" si="122"/>
        <v>3.8643256190366682E-2</v>
      </c>
      <c r="CD91" s="288"/>
      <c r="CE91" s="284" t="str">
        <f t="shared" si="74"/>
        <v>77 Year</v>
      </c>
      <c r="CF91" s="284">
        <f t="shared" si="75"/>
        <v>3.1414836203935856E-2</v>
      </c>
      <c r="CG91" s="284">
        <f t="shared" si="76"/>
        <v>-9.9076774795487429E-4</v>
      </c>
      <c r="CH91" s="284">
        <f t="shared" si="77"/>
        <v>3.0424068455980981E-2</v>
      </c>
      <c r="CI91" s="284">
        <f t="shared" si="78"/>
        <v>4.1370822821455544E-2</v>
      </c>
      <c r="CK91" s="284">
        <f>BJ91+MIN('Instructions &amp; Dashboard'!$D$43,'Instructions &amp; Dashboard'!$D$44)/10000</f>
        <v>4.4000000000000004E-2</v>
      </c>
      <c r="CL91" s="284">
        <f t="shared" si="123"/>
        <v>3.3034167678884341E-2</v>
      </c>
    </row>
    <row r="92" spans="1:90">
      <c r="A92" s="283">
        <f t="shared" si="106"/>
        <v>78</v>
      </c>
      <c r="B92" s="283" t="s">
        <v>407</v>
      </c>
      <c r="C92" s="283">
        <f t="shared" si="88"/>
        <v>3.5699746170578223E-2</v>
      </c>
      <c r="D92" s="284">
        <f>Splines!D82</f>
        <v>-9.8418734796473827E-4</v>
      </c>
      <c r="E92" s="506">
        <f t="shared" si="89"/>
        <v>3.4715558822613485E-2</v>
      </c>
      <c r="F92" s="507">
        <f t="shared" si="125"/>
        <v>4.0856573911534966E-2</v>
      </c>
      <c r="H92" s="284">
        <f t="shared" si="90"/>
        <v>4.2000000000000003E-2</v>
      </c>
      <c r="I92" s="284">
        <f t="shared" si="124"/>
        <v>3.4253252061484218E-2</v>
      </c>
      <c r="J92" s="285"/>
      <c r="K92" s="283" t="s">
        <v>407</v>
      </c>
      <c r="L92" s="283">
        <f t="shared" si="79"/>
        <v>7.4856942381166525E-3</v>
      </c>
      <c r="M92" s="284">
        <f>Splines!I82</f>
        <v>-1.0048721497795728E-3</v>
      </c>
      <c r="N92" s="283">
        <f t="shared" si="80"/>
        <v>6.4808220883370796E-3</v>
      </c>
      <c r="O92" s="284">
        <f t="shared" si="107"/>
        <v>1.6640321505885458E-2</v>
      </c>
      <c r="Q92" s="284">
        <f t="shared" si="91"/>
        <v>4.2000000000000003E-2</v>
      </c>
      <c r="R92" s="284">
        <f t="shared" si="108"/>
        <v>1.9596131399256977E-2</v>
      </c>
      <c r="S92" s="287"/>
      <c r="T92" s="283" t="s">
        <v>407</v>
      </c>
      <c r="U92" s="283">
        <f t="shared" si="81"/>
        <v>8.5608542922412205E-3</v>
      </c>
      <c r="V92" s="284">
        <f>Splines!N82</f>
        <v>-9.9156330771713887E-4</v>
      </c>
      <c r="W92" s="284">
        <f t="shared" si="98"/>
        <v>7.5692909845240814E-3</v>
      </c>
      <c r="X92" s="284">
        <f t="shared" si="109"/>
        <v>-5.7408743768414539E-3</v>
      </c>
      <c r="Z92" s="284">
        <f t="shared" si="92"/>
        <v>4.2000000000000003E-2</v>
      </c>
      <c r="AA92" s="284">
        <f t="shared" si="110"/>
        <v>2.5631407283339236E-2</v>
      </c>
      <c r="AB92" s="288"/>
      <c r="AC92" s="283" t="s">
        <v>407</v>
      </c>
      <c r="AD92" s="283">
        <f t="shared" si="82"/>
        <v>-1.2575456325818343E-2</v>
      </c>
      <c r="AE92" s="284">
        <f>Splines!S82</f>
        <v>-1.0031791183929993E-3</v>
      </c>
      <c r="AF92" s="284">
        <f t="shared" si="99"/>
        <v>-1.3578635444211343E-2</v>
      </c>
      <c r="AG92" s="284">
        <f t="shared" si="111"/>
        <v>-4.2420829258076886E-2</v>
      </c>
      <c r="AI92" s="284">
        <f t="shared" si="93"/>
        <v>4.200000000000001E-2</v>
      </c>
      <c r="AJ92" s="284">
        <f t="shared" si="112"/>
        <v>1.8273522560891431E-2</v>
      </c>
      <c r="AK92" s="288"/>
      <c r="AL92" s="283" t="s">
        <v>407</v>
      </c>
      <c r="AM92" s="283">
        <f t="shared" si="83"/>
        <v>1.9538567233971481E-2</v>
      </c>
      <c r="AN92" s="283">
        <f>Splines!X82</f>
        <v>-1.0047208936511689E-3</v>
      </c>
      <c r="AO92" s="283">
        <f t="shared" si="100"/>
        <v>1.8533846340320313E-2</v>
      </c>
      <c r="AP92" s="284">
        <f t="shared" si="113"/>
        <v>2.0059908283358352E-2</v>
      </c>
      <c r="AR92" s="291">
        <f t="shared" si="94"/>
        <v>4.2000000000000003E-2</v>
      </c>
      <c r="AS92" s="284">
        <f t="shared" si="114"/>
        <v>2.8226190551020158E-2</v>
      </c>
      <c r="AT92" s="289"/>
      <c r="AU92" s="283" t="s">
        <v>407</v>
      </c>
      <c r="AV92" s="283">
        <f t="shared" si="84"/>
        <v>2.3007277841233516E-2</v>
      </c>
      <c r="AW92" s="284">
        <f>Splines!AC82</f>
        <v>-9.8667212494982638E-4</v>
      </c>
      <c r="AX92" s="284">
        <f t="shared" si="101"/>
        <v>2.2020605716283691E-2</v>
      </c>
      <c r="AY92" s="284">
        <f t="shared" si="115"/>
        <v>3.8177585974797035E-2</v>
      </c>
      <c r="BA92" s="291">
        <f t="shared" si="95"/>
        <v>4.2000000000000003E-2</v>
      </c>
      <c r="BB92" s="284">
        <f t="shared" si="116"/>
        <v>2.3765014840501086E-2</v>
      </c>
      <c r="BC92" s="288"/>
      <c r="BD92" s="283" t="s">
        <v>407</v>
      </c>
      <c r="BE92" s="283">
        <f t="shared" si="85"/>
        <v>3.1556229950973881E-2</v>
      </c>
      <c r="BF92" s="284">
        <f>Splines!AH82</f>
        <v>-9.9142715228615745E-4</v>
      </c>
      <c r="BG92" s="284">
        <f t="shared" si="102"/>
        <v>3.0564802798687722E-2</v>
      </c>
      <c r="BH92" s="284">
        <f t="shared" si="117"/>
        <v>4.1459269170558866E-2</v>
      </c>
      <c r="BJ92" s="284">
        <f t="shared" si="96"/>
        <v>4.2000000000000003E-2</v>
      </c>
      <c r="BK92" s="284">
        <f t="shared" si="118"/>
        <v>3.1046126553110787E-2</v>
      </c>
      <c r="BL92" s="288"/>
      <c r="BM92" s="283" t="s">
        <v>407</v>
      </c>
      <c r="BN92" s="283">
        <f t="shared" si="86"/>
        <v>2.7873155047765989E-2</v>
      </c>
      <c r="BO92" s="284">
        <f>Splines!AM82</f>
        <v>-1.0188218158166901E-3</v>
      </c>
      <c r="BP92" s="284">
        <f t="shared" si="103"/>
        <v>2.6854333231949298E-2</v>
      </c>
      <c r="BQ92" s="284">
        <f t="shared" si="119"/>
        <v>4.0503545136427954E-2</v>
      </c>
      <c r="BS92" s="284">
        <f t="shared" si="97"/>
        <v>4.2000000000000003E-2</v>
      </c>
      <c r="BT92" s="284">
        <f t="shared" si="120"/>
        <v>2.9353218869213604E-2</v>
      </c>
      <c r="BU92" s="288"/>
      <c r="BV92" s="659" t="s">
        <v>407</v>
      </c>
      <c r="BW92" s="659">
        <f t="shared" si="87"/>
        <v>3.9689020806495494E-2</v>
      </c>
      <c r="BX92" s="284">
        <f>Splines!AR82</f>
        <v>-9.9779055089032525E-4</v>
      </c>
      <c r="BY92" s="284">
        <f t="shared" si="104"/>
        <v>3.8691230255605169E-2</v>
      </c>
      <c r="BZ92" s="284">
        <f t="shared" si="121"/>
        <v>4.239189536584087E-2</v>
      </c>
      <c r="CB92" s="291">
        <f t="shared" si="105"/>
        <v>4.239189536584087E-2</v>
      </c>
      <c r="CC92" s="284">
        <f t="shared" si="122"/>
        <v>3.869123025560528E-2</v>
      </c>
      <c r="CD92" s="288"/>
      <c r="CE92" s="284" t="str">
        <f t="shared" si="74"/>
        <v>78 Year</v>
      </c>
      <c r="CF92" s="284">
        <f t="shared" si="75"/>
        <v>3.1556229950973881E-2</v>
      </c>
      <c r="CG92" s="284">
        <f t="shared" si="76"/>
        <v>-9.9142715228615745E-4</v>
      </c>
      <c r="CH92" s="284">
        <f t="shared" si="77"/>
        <v>3.0564802798687722E-2</v>
      </c>
      <c r="CI92" s="284">
        <f t="shared" si="78"/>
        <v>4.1459269170558866E-2</v>
      </c>
      <c r="CK92" s="284">
        <f>BJ92+MIN('Instructions &amp; Dashboard'!$D$43,'Instructions &amp; Dashboard'!$D$44)/10000</f>
        <v>4.4000000000000004E-2</v>
      </c>
      <c r="CL92" s="284">
        <f t="shared" si="123"/>
        <v>3.3174023797349683E-2</v>
      </c>
    </row>
    <row r="93" spans="1:90">
      <c r="A93" s="283">
        <f t="shared" si="106"/>
        <v>79</v>
      </c>
      <c r="B93" s="283" t="s">
        <v>408</v>
      </c>
      <c r="C93" s="283">
        <f t="shared" si="88"/>
        <v>3.5778527416804595E-2</v>
      </c>
      <c r="D93" s="284">
        <f>Splines!D83</f>
        <v>-9.8592501574343446E-4</v>
      </c>
      <c r="E93" s="506">
        <f t="shared" si="89"/>
        <v>3.4792602401061162E-2</v>
      </c>
      <c r="F93" s="507">
        <f t="shared" si="125"/>
        <v>4.0819709701927831E-2</v>
      </c>
      <c r="H93" s="284">
        <f t="shared" si="90"/>
        <v>4.2000000000000003E-2</v>
      </c>
      <c r="I93" s="284">
        <f t="shared" si="124"/>
        <v>3.4350951355637704E-2</v>
      </c>
      <c r="J93" s="285"/>
      <c r="K93" s="283" t="s">
        <v>408</v>
      </c>
      <c r="L93" s="283">
        <f t="shared" si="79"/>
        <v>7.617841124018733E-3</v>
      </c>
      <c r="M93" s="284">
        <f>Splines!I83</f>
        <v>-1.0043367626045247E-3</v>
      </c>
      <c r="N93" s="283">
        <f t="shared" si="80"/>
        <v>6.6135043614142085E-3</v>
      </c>
      <c r="O93" s="284">
        <f t="shared" si="107"/>
        <v>1.7016794935597934E-2</v>
      </c>
      <c r="Q93" s="284">
        <f t="shared" si="91"/>
        <v>4.2000000000000003E-2</v>
      </c>
      <c r="R93" s="284">
        <f t="shared" si="108"/>
        <v>1.9876692432369003E-2</v>
      </c>
      <c r="S93" s="287"/>
      <c r="T93" s="283" t="s">
        <v>408</v>
      </c>
      <c r="U93" s="283">
        <f t="shared" si="81"/>
        <v>8.388392134104132E-3</v>
      </c>
      <c r="V93" s="284">
        <f>Splines!N83</f>
        <v>-9.9249043053611561E-4</v>
      </c>
      <c r="W93" s="284">
        <f t="shared" si="98"/>
        <v>7.3959017035680162E-3</v>
      </c>
      <c r="X93" s="284">
        <f t="shared" si="109"/>
        <v>-6.0369360872628564E-3</v>
      </c>
      <c r="Z93" s="284">
        <f t="shared" si="92"/>
        <v>4.2000000000000003E-2</v>
      </c>
      <c r="AA93" s="284">
        <f t="shared" si="110"/>
        <v>2.5836989258092968E-2</v>
      </c>
      <c r="AB93" s="288"/>
      <c r="AC93" s="283" t="s">
        <v>408</v>
      </c>
      <c r="AD93" s="283">
        <f t="shared" si="82"/>
        <v>-1.2955465784064729E-2</v>
      </c>
      <c r="AE93" s="284">
        <f>Splines!S83</f>
        <v>-1.0028297786074569E-3</v>
      </c>
      <c r="AF93" s="284">
        <f t="shared" si="99"/>
        <v>-1.3958295562672186E-2</v>
      </c>
      <c r="AG93" s="284">
        <f t="shared" si="111"/>
        <v>-4.3125985821235391E-2</v>
      </c>
      <c r="AI93" s="284">
        <f t="shared" si="93"/>
        <v>4.200000000000001E-2</v>
      </c>
      <c r="AJ93" s="284">
        <f t="shared" si="112"/>
        <v>1.857045541531388E-2</v>
      </c>
      <c r="AK93" s="288"/>
      <c r="AL93" s="283" t="s">
        <v>408</v>
      </c>
      <c r="AM93" s="283">
        <f t="shared" si="83"/>
        <v>1.955748548860264E-2</v>
      </c>
      <c r="AN93" s="283">
        <f>Splines!X83</f>
        <v>-1.0042021280272978E-3</v>
      </c>
      <c r="AO93" s="283">
        <f t="shared" si="100"/>
        <v>1.8553283360575344E-2</v>
      </c>
      <c r="AP93" s="284">
        <f t="shared" si="113"/>
        <v>2.0070514314554533E-2</v>
      </c>
      <c r="AR93" s="291">
        <f t="shared" si="94"/>
        <v>4.2000000000000003E-2</v>
      </c>
      <c r="AS93" s="284">
        <f t="shared" si="114"/>
        <v>2.8399399698170624E-2</v>
      </c>
      <c r="AT93" s="289"/>
      <c r="AU93" s="283" t="s">
        <v>408</v>
      </c>
      <c r="AV93" s="283">
        <f t="shared" si="84"/>
        <v>2.3212796400146084E-2</v>
      </c>
      <c r="AW93" s="284">
        <f>Splines!AC83</f>
        <v>-9.8813674033549183E-4</v>
      </c>
      <c r="AX93" s="284">
        <f t="shared" si="101"/>
        <v>2.2224659659810592E-2</v>
      </c>
      <c r="AY93" s="284">
        <f t="shared" si="115"/>
        <v>3.8267035578224862E-2</v>
      </c>
      <c r="BA93" s="291">
        <f t="shared" si="95"/>
        <v>4.2000000000000003E-2</v>
      </c>
      <c r="BB93" s="284">
        <f t="shared" si="116"/>
        <v>2.3993831422656209E-2</v>
      </c>
      <c r="BC93" s="288"/>
      <c r="BD93" s="283" t="s">
        <v>408</v>
      </c>
      <c r="BE93" s="283">
        <f t="shared" si="85"/>
        <v>3.1695479855041502E-2</v>
      </c>
      <c r="BF93" s="284">
        <f>Splines!AH83</f>
        <v>-9.9236923723915117E-4</v>
      </c>
      <c r="BG93" s="284">
        <f t="shared" si="102"/>
        <v>3.070311061780235E-2</v>
      </c>
      <c r="BH93" s="284">
        <f t="shared" si="117"/>
        <v>4.1548506656956974E-2</v>
      </c>
      <c r="BJ93" s="284">
        <f t="shared" si="96"/>
        <v>4.2000000000000003E-2</v>
      </c>
      <c r="BK93" s="284">
        <f t="shared" si="118"/>
        <v>3.1184061033581179E-2</v>
      </c>
      <c r="BL93" s="288"/>
      <c r="BM93" s="283" t="s">
        <v>408</v>
      </c>
      <c r="BN93" s="283">
        <f t="shared" si="86"/>
        <v>2.8044039005063436E-2</v>
      </c>
      <c r="BO93" s="284">
        <f>Splines!AM83</f>
        <v>-1.0167534984365284E-3</v>
      </c>
      <c r="BP93" s="284">
        <f t="shared" si="103"/>
        <v>2.7027285506626909E-2</v>
      </c>
      <c r="BQ93" s="284">
        <f t="shared" si="119"/>
        <v>4.0607702365722087E-2</v>
      </c>
      <c r="BS93" s="284">
        <f t="shared" si="97"/>
        <v>4.2000000000000003E-2</v>
      </c>
      <c r="BT93" s="284">
        <f t="shared" si="120"/>
        <v>2.9512341566728439E-2</v>
      </c>
      <c r="BU93" s="288"/>
      <c r="BV93" s="659" t="s">
        <v>408</v>
      </c>
      <c r="BW93" s="659">
        <f t="shared" si="87"/>
        <v>3.973495723666523E-2</v>
      </c>
      <c r="BX93" s="284">
        <f>Splines!AR83</f>
        <v>-9.9803336133011183E-4</v>
      </c>
      <c r="BY93" s="284">
        <f t="shared" si="104"/>
        <v>3.8736923875335116E-2</v>
      </c>
      <c r="BZ93" s="284">
        <f t="shared" si="121"/>
        <v>4.2307226430859046E-2</v>
      </c>
      <c r="CB93" s="291">
        <f t="shared" si="105"/>
        <v>4.2307226430859046E-2</v>
      </c>
      <c r="CC93" s="284">
        <f t="shared" si="122"/>
        <v>3.8736923875335005E-2</v>
      </c>
      <c r="CD93" s="288"/>
      <c r="CE93" s="284" t="str">
        <f t="shared" si="74"/>
        <v>79 Year</v>
      </c>
      <c r="CF93" s="284">
        <f t="shared" si="75"/>
        <v>3.1695479855041502E-2</v>
      </c>
      <c r="CG93" s="284">
        <f t="shared" si="76"/>
        <v>-9.9236923723915117E-4</v>
      </c>
      <c r="CH93" s="284">
        <f t="shared" si="77"/>
        <v>3.070311061780235E-2</v>
      </c>
      <c r="CI93" s="284">
        <f t="shared" si="78"/>
        <v>4.1548506656956974E-2</v>
      </c>
      <c r="CK93" s="284">
        <f>BJ93+MIN('Instructions &amp; Dashboard'!$D$43,'Instructions &amp; Dashboard'!$D$44)/10000</f>
        <v>4.4000000000000004E-2</v>
      </c>
      <c r="CL93" s="284">
        <f t="shared" si="123"/>
        <v>3.3310357475869079E-2</v>
      </c>
    </row>
    <row r="94" spans="1:90">
      <c r="A94" s="283">
        <f t="shared" si="106"/>
        <v>80</v>
      </c>
      <c r="B94" s="283" t="s">
        <v>409</v>
      </c>
      <c r="C94" s="283">
        <f t="shared" si="88"/>
        <v>3.5855423990129795E-2</v>
      </c>
      <c r="D94" s="284">
        <f>Splines!D84</f>
        <v>-9.8805365655610898E-4</v>
      </c>
      <c r="E94" s="506">
        <f t="shared" si="89"/>
        <v>3.4867370333573684E-2</v>
      </c>
      <c r="F94" s="507">
        <f t="shared" si="125"/>
        <v>4.0791140334886622E-2</v>
      </c>
      <c r="H94" s="284">
        <f t="shared" si="90"/>
        <v>4.2000000000000003E-2</v>
      </c>
      <c r="I94" s="284">
        <f t="shared" si="124"/>
        <v>3.4446217053253569E-2</v>
      </c>
      <c r="J94" s="285"/>
      <c r="K94" s="283" t="s">
        <v>409</v>
      </c>
      <c r="L94" s="283">
        <f t="shared" si="79"/>
        <v>7.7511729057466901E-3</v>
      </c>
      <c r="M94" s="284">
        <f>Splines!I84</f>
        <v>-1.0036809111426072E-3</v>
      </c>
      <c r="N94" s="283">
        <f t="shared" si="80"/>
        <v>6.7474919946040827E-3</v>
      </c>
      <c r="O94" s="284">
        <f t="shared" si="107"/>
        <v>1.7389068324740853E-2</v>
      </c>
      <c r="Q94" s="284">
        <f t="shared" si="91"/>
        <v>4.2000000000000003E-2</v>
      </c>
      <c r="R94" s="284">
        <f t="shared" si="108"/>
        <v>2.0150313770186612E-2</v>
      </c>
      <c r="S94" s="287"/>
      <c r="T94" s="283" t="s">
        <v>409</v>
      </c>
      <c r="U94" s="283">
        <f t="shared" si="81"/>
        <v>8.216886669600236E-3</v>
      </c>
      <c r="V94" s="284">
        <f>Splines!N84</f>
        <v>-9.9362615378873246E-4</v>
      </c>
      <c r="W94" s="284">
        <f t="shared" si="98"/>
        <v>7.2232605158115033E-3</v>
      </c>
      <c r="X94" s="284">
        <f t="shared" si="109"/>
        <v>-6.3223162451708781E-3</v>
      </c>
      <c r="Z94" s="284">
        <f t="shared" si="92"/>
        <v>4.2000000000000003E-2</v>
      </c>
      <c r="AA94" s="284">
        <f t="shared" si="110"/>
        <v>2.603747135873502E-2</v>
      </c>
      <c r="AB94" s="288"/>
      <c r="AC94" s="283" t="s">
        <v>409</v>
      </c>
      <c r="AD94" s="283">
        <f t="shared" si="82"/>
        <v>-1.3334831097545879E-2</v>
      </c>
      <c r="AE94" s="284">
        <f>Splines!S84</f>
        <v>-1.0024018351941035E-3</v>
      </c>
      <c r="AF94" s="284">
        <f t="shared" si="99"/>
        <v>-1.4337232932739983E-2</v>
      </c>
      <c r="AG94" s="284">
        <f t="shared" si="111"/>
        <v>-4.3817670515604035E-2</v>
      </c>
      <c r="AI94" s="284">
        <f t="shared" si="93"/>
        <v>4.200000000000001E-2</v>
      </c>
      <c r="AJ94" s="284">
        <f t="shared" si="112"/>
        <v>1.8860048315096689E-2</v>
      </c>
      <c r="AK94" s="288"/>
      <c r="AL94" s="283" t="s">
        <v>409</v>
      </c>
      <c r="AM94" s="283">
        <f t="shared" si="83"/>
        <v>1.9575902566589306E-2</v>
      </c>
      <c r="AN94" s="283">
        <f>Splines!X84</f>
        <v>-1.0035666379652522E-3</v>
      </c>
      <c r="AO94" s="283">
        <f t="shared" si="100"/>
        <v>1.8572335928624055E-2</v>
      </c>
      <c r="AP94" s="284">
        <f t="shared" si="113"/>
        <v>2.0078615539031341E-2</v>
      </c>
      <c r="AR94" s="291">
        <f t="shared" si="94"/>
        <v>4.2000000000000003E-2</v>
      </c>
      <c r="AS94" s="284">
        <f t="shared" si="114"/>
        <v>2.8568306709381819E-2</v>
      </c>
      <c r="AT94" s="289"/>
      <c r="AU94" s="283" t="s">
        <v>409</v>
      </c>
      <c r="AV94" s="283">
        <f t="shared" si="84"/>
        <v>2.3414710131398883E-2</v>
      </c>
      <c r="AW94" s="284">
        <f>Splines!AC84</f>
        <v>-9.8993089197195894E-4</v>
      </c>
      <c r="AX94" s="284">
        <f t="shared" si="101"/>
        <v>2.2424779239426925E-2</v>
      </c>
      <c r="AY94" s="284">
        <f t="shared" si="115"/>
        <v>3.8358658335792661E-2</v>
      </c>
      <c r="BA94" s="291">
        <f t="shared" si="95"/>
        <v>4.2000000000000003E-2</v>
      </c>
      <c r="BB94" s="284">
        <f t="shared" si="116"/>
        <v>2.4216976829982029E-2</v>
      </c>
      <c r="BC94" s="288"/>
      <c r="BD94" s="283" t="s">
        <v>409</v>
      </c>
      <c r="BE94" s="283">
        <f t="shared" si="85"/>
        <v>3.1832620461855442E-2</v>
      </c>
      <c r="BF94" s="284">
        <f>Splines!AH84</f>
        <v>-9.9352328910565116E-4</v>
      </c>
      <c r="BG94" s="284">
        <f t="shared" si="102"/>
        <v>3.083909717274979E-2</v>
      </c>
      <c r="BH94" s="284">
        <f t="shared" si="117"/>
        <v>4.1638925079999778E-2</v>
      </c>
      <c r="BJ94" s="284">
        <f t="shared" si="96"/>
        <v>4.2000000000000003E-2</v>
      </c>
      <c r="BK94" s="284">
        <f t="shared" si="118"/>
        <v>3.1318564918824121E-2</v>
      </c>
      <c r="BL94" s="288"/>
      <c r="BM94" s="283" t="s">
        <v>409</v>
      </c>
      <c r="BN94" s="283">
        <f t="shared" si="86"/>
        <v>2.8211265124449405E-2</v>
      </c>
      <c r="BO94" s="284">
        <f>Splines!AM84</f>
        <v>-1.0142198075028478E-3</v>
      </c>
      <c r="BP94" s="284">
        <f t="shared" si="103"/>
        <v>2.7197045316946555E-2</v>
      </c>
      <c r="BQ94" s="284">
        <f t="shared" si="119"/>
        <v>4.0697122237841166E-2</v>
      </c>
      <c r="BS94" s="284">
        <f t="shared" si="97"/>
        <v>4.2000000000000003E-2</v>
      </c>
      <c r="BT94" s="284">
        <f t="shared" si="120"/>
        <v>2.9667509880039189E-2</v>
      </c>
      <c r="BU94" s="288"/>
      <c r="BV94" s="659" t="s">
        <v>409</v>
      </c>
      <c r="BW94" s="659">
        <f t="shared" si="87"/>
        <v>3.9778816244386631E-2</v>
      </c>
      <c r="BX94" s="284">
        <f>Splines!AR84</f>
        <v>-9.9833080193139061E-4</v>
      </c>
      <c r="BY94" s="284">
        <f t="shared" si="104"/>
        <v>3.8780485442455243E-2</v>
      </c>
      <c r="BZ94" s="284">
        <f t="shared" si="121"/>
        <v>4.222762837097771E-2</v>
      </c>
      <c r="CB94" s="291">
        <f t="shared" si="105"/>
        <v>4.222762837097771E-2</v>
      </c>
      <c r="CC94" s="284">
        <f t="shared" si="122"/>
        <v>3.8780485442455159E-2</v>
      </c>
      <c r="CD94" s="288"/>
      <c r="CE94" s="284" t="str">
        <f t="shared" si="74"/>
        <v>80 Year</v>
      </c>
      <c r="CF94" s="284">
        <f t="shared" si="75"/>
        <v>3.1832620461855442E-2</v>
      </c>
      <c r="CG94" s="284">
        <f t="shared" si="76"/>
        <v>-9.9352328910565116E-4</v>
      </c>
      <c r="CH94" s="284">
        <f t="shared" si="77"/>
        <v>3.083909717274979E-2</v>
      </c>
      <c r="CI94" s="284">
        <f t="shared" si="78"/>
        <v>4.1638925079999778E-2</v>
      </c>
      <c r="CK94" s="284">
        <f>BJ94+MIN('Instructions &amp; Dashboard'!$D$43,'Instructions &amp; Dashboard'!$D$44)/10000</f>
        <v>4.4000000000000004E-2</v>
      </c>
      <c r="CL94" s="284">
        <f t="shared" si="123"/>
        <v>3.3443300133469744E-2</v>
      </c>
    </row>
    <row r="95" spans="1:90">
      <c r="A95" s="283">
        <f t="shared" si="106"/>
        <v>81</v>
      </c>
      <c r="B95" s="283" t="s">
        <v>410</v>
      </c>
      <c r="C95" s="283">
        <f t="shared" si="88"/>
        <v>3.5930498398851138E-2</v>
      </c>
      <c r="D95" s="284">
        <f>Splines!D85</f>
        <v>-9.9044294605499564E-4</v>
      </c>
      <c r="E95" s="506">
        <f t="shared" si="89"/>
        <v>3.4940055452796145E-2</v>
      </c>
      <c r="F95" s="507">
        <f t="shared" si="125"/>
        <v>4.0771436227954316E-2</v>
      </c>
      <c r="H95" s="284">
        <f t="shared" si="90"/>
        <v>4.2000000000000003E-2</v>
      </c>
      <c r="I95" s="284">
        <f t="shared" si="124"/>
        <v>3.453913896327454E-2</v>
      </c>
      <c r="J95" s="285"/>
      <c r="K95" s="283" t="s">
        <v>410</v>
      </c>
      <c r="L95" s="283">
        <f t="shared" si="79"/>
        <v>7.8856251916667626E-3</v>
      </c>
      <c r="M95" s="284">
        <f>Splines!I85</f>
        <v>-1.0029447501570675E-3</v>
      </c>
      <c r="N95" s="283">
        <f t="shared" si="80"/>
        <v>6.8826804415096955E-3</v>
      </c>
      <c r="O95" s="284">
        <f t="shared" si="107"/>
        <v>1.7756781823492496E-2</v>
      </c>
      <c r="Q95" s="284">
        <f t="shared" si="91"/>
        <v>4.2000000000000003E-2</v>
      </c>
      <c r="R95" s="284">
        <f t="shared" si="108"/>
        <v>2.0417249738438503E-2</v>
      </c>
      <c r="S95" s="287"/>
      <c r="T95" s="283" t="s">
        <v>410</v>
      </c>
      <c r="U95" s="283">
        <f t="shared" si="81"/>
        <v>8.0463765317517165E-3</v>
      </c>
      <c r="V95" s="284">
        <f>Splines!N85</f>
        <v>-9.9490094399545185E-4</v>
      </c>
      <c r="W95" s="284">
        <f t="shared" si="98"/>
        <v>7.0514755877562644E-3</v>
      </c>
      <c r="X95" s="284">
        <f t="shared" si="109"/>
        <v>-6.5968166635231862E-3</v>
      </c>
      <c r="Z95" s="284">
        <f t="shared" si="92"/>
        <v>4.2000000000000003E-2</v>
      </c>
      <c r="AA95" s="284">
        <f t="shared" si="110"/>
        <v>2.6233041025556014E-2</v>
      </c>
      <c r="AB95" s="288"/>
      <c r="AC95" s="283" t="s">
        <v>410</v>
      </c>
      <c r="AD95" s="283">
        <f t="shared" si="82"/>
        <v>-1.3713382675030111E-2</v>
      </c>
      <c r="AE95" s="284">
        <f>Splines!S85</f>
        <v>-1.0019214893628343E-3</v>
      </c>
      <c r="AF95" s="284">
        <f t="shared" si="99"/>
        <v>-1.4715304164392946E-2</v>
      </c>
      <c r="AG95" s="284">
        <f t="shared" si="111"/>
        <v>-4.4495858193537963E-2</v>
      </c>
      <c r="AI95" s="284">
        <f t="shared" si="93"/>
        <v>4.200000000000001E-2</v>
      </c>
      <c r="AJ95" s="284">
        <f t="shared" si="112"/>
        <v>1.9142570083424237E-2</v>
      </c>
      <c r="AK95" s="288"/>
      <c r="AL95" s="283" t="s">
        <v>410</v>
      </c>
      <c r="AM95" s="283">
        <f t="shared" si="83"/>
        <v>1.9593839280227683E-2</v>
      </c>
      <c r="AN95" s="283">
        <f>Splines!X85</f>
        <v>-1.0028533316120182E-3</v>
      </c>
      <c r="AO95" s="283">
        <f t="shared" si="100"/>
        <v>1.8590985948615666E-2</v>
      </c>
      <c r="AP95" s="284">
        <f t="shared" si="113"/>
        <v>2.008409448051296E-2</v>
      </c>
      <c r="AR95" s="291">
        <f t="shared" si="94"/>
        <v>4.2000000000000003E-2</v>
      </c>
      <c r="AS95" s="284">
        <f t="shared" si="114"/>
        <v>2.8733069899785413E-2</v>
      </c>
      <c r="AT95" s="289"/>
      <c r="AU95" s="283" t="s">
        <v>410</v>
      </c>
      <c r="AV95" s="283">
        <f t="shared" si="84"/>
        <v>2.3613088349230246E-2</v>
      </c>
      <c r="AW95" s="284">
        <f>Splines!AC85</f>
        <v>-9.9194473443967469E-4</v>
      </c>
      <c r="AX95" s="284">
        <f t="shared" si="101"/>
        <v>2.2621143614790572E-2</v>
      </c>
      <c r="AY95" s="284">
        <f t="shared" si="115"/>
        <v>3.8453104898644508E-2</v>
      </c>
      <c r="BA95" s="291">
        <f t="shared" si="95"/>
        <v>4.2000000000000003E-2</v>
      </c>
      <c r="BB95" s="284">
        <f t="shared" si="116"/>
        <v>2.4434659315020424E-2</v>
      </c>
      <c r="BC95" s="288"/>
      <c r="BD95" s="283" t="s">
        <v>410</v>
      </c>
      <c r="BE95" s="283">
        <f t="shared" si="85"/>
        <v>3.1967685687303814E-2</v>
      </c>
      <c r="BF95" s="284">
        <f>Splines!AH85</f>
        <v>-9.9481865224613749E-4</v>
      </c>
      <c r="BG95" s="284">
        <f t="shared" si="102"/>
        <v>3.0972867035057677E-2</v>
      </c>
      <c r="BH95" s="284">
        <f t="shared" si="117"/>
        <v>4.1730891989103958E-2</v>
      </c>
      <c r="BJ95" s="284">
        <f t="shared" si="96"/>
        <v>4.2000000000000003E-2</v>
      </c>
      <c r="BK95" s="284">
        <f t="shared" si="118"/>
        <v>3.1449764620221421E-2</v>
      </c>
      <c r="BL95" s="288"/>
      <c r="BM95" s="283" t="s">
        <v>410</v>
      </c>
      <c r="BN95" s="283">
        <f t="shared" si="86"/>
        <v>2.8374922569048555E-2</v>
      </c>
      <c r="BO95" s="284">
        <f>Splines!AM85</f>
        <v>-1.0113758675371863E-3</v>
      </c>
      <c r="BP95" s="284">
        <f t="shared" si="103"/>
        <v>2.7363546701511369E-2</v>
      </c>
      <c r="BQ95" s="284">
        <f t="shared" si="119"/>
        <v>4.0771475279097746E-2</v>
      </c>
      <c r="BS95" s="284">
        <f t="shared" si="97"/>
        <v>4.2000000000000003E-2</v>
      </c>
      <c r="BT95" s="284">
        <f t="shared" si="120"/>
        <v>2.9818869404887982E-2</v>
      </c>
      <c r="BU95" s="288"/>
      <c r="BV95" s="659" t="s">
        <v>410</v>
      </c>
      <c r="BW95" s="659">
        <f t="shared" si="87"/>
        <v>3.9820719946843539E-2</v>
      </c>
      <c r="BX95" s="284">
        <f>Splines!AR85</f>
        <v>-9.9866466263989675E-4</v>
      </c>
      <c r="BY95" s="284">
        <f t="shared" si="104"/>
        <v>3.8822055284203641E-2</v>
      </c>
      <c r="BZ95" s="284">
        <f t="shared" si="121"/>
        <v>4.215303817440752E-2</v>
      </c>
      <c r="CB95" s="291">
        <f t="shared" si="105"/>
        <v>4.215303817440752E-2</v>
      </c>
      <c r="CC95" s="284">
        <f t="shared" si="122"/>
        <v>3.8822055284203572E-2</v>
      </c>
      <c r="CD95" s="288"/>
      <c r="CE95" s="284" t="str">
        <f t="shared" si="74"/>
        <v>81 Year</v>
      </c>
      <c r="CF95" s="284">
        <f t="shared" si="75"/>
        <v>3.1967685687303814E-2</v>
      </c>
      <c r="CG95" s="284">
        <f t="shared" si="76"/>
        <v>-9.9481865224613749E-4</v>
      </c>
      <c r="CH95" s="284">
        <f t="shared" si="77"/>
        <v>3.0972867035057677E-2</v>
      </c>
      <c r="CI95" s="284">
        <f t="shared" si="78"/>
        <v>4.1730891989103958E-2</v>
      </c>
      <c r="CK95" s="284">
        <f>BJ95+MIN('Instructions &amp; Dashboard'!$D$43,'Instructions &amp; Dashboard'!$D$44)/10000</f>
        <v>4.4000000000000004E-2</v>
      </c>
      <c r="CL95" s="284">
        <f t="shared" si="123"/>
        <v>3.3572976732038962E-2</v>
      </c>
    </row>
    <row r="96" spans="1:90">
      <c r="A96" s="283">
        <f t="shared" si="106"/>
        <v>82</v>
      </c>
      <c r="B96" s="283" t="s">
        <v>411</v>
      </c>
      <c r="C96" s="283">
        <f t="shared" si="88"/>
        <v>3.6003810714223622E-2</v>
      </c>
      <c r="D96" s="284">
        <f>Splines!D86</f>
        <v>-9.9296253155752262E-4</v>
      </c>
      <c r="E96" s="506">
        <f t="shared" si="89"/>
        <v>3.5010848182666102E-2</v>
      </c>
      <c r="F96" s="507">
        <f t="shared" si="125"/>
        <v>4.0761170340495312E-2</v>
      </c>
      <c r="H96" s="284">
        <f t="shared" si="90"/>
        <v>4.2000000000000003E-2</v>
      </c>
      <c r="I96" s="284">
        <f t="shared" si="124"/>
        <v>3.4629802529306586E-2</v>
      </c>
      <c r="J96" s="285"/>
      <c r="K96" s="283" t="s">
        <v>411</v>
      </c>
      <c r="L96" s="283">
        <f t="shared" si="79"/>
        <v>8.0211345753279095E-3</v>
      </c>
      <c r="M96" s="284">
        <f>Splines!I86</f>
        <v>-1.0021684050703747E-3</v>
      </c>
      <c r="N96" s="283">
        <f t="shared" si="80"/>
        <v>7.0189661702575352E-3</v>
      </c>
      <c r="O96" s="284">
        <f t="shared" si="107"/>
        <v>1.81195938556864E-2</v>
      </c>
      <c r="Q96" s="284">
        <f t="shared" si="91"/>
        <v>4.2000000000000003E-2</v>
      </c>
      <c r="R96" s="284">
        <f t="shared" si="108"/>
        <v>2.0677742385924125E-2</v>
      </c>
      <c r="S96" s="287"/>
      <c r="T96" s="283" t="s">
        <v>411</v>
      </c>
      <c r="U96" s="283">
        <f t="shared" si="81"/>
        <v>7.8768976139784418E-3</v>
      </c>
      <c r="V96" s="284">
        <f>Splines!N86</f>
        <v>-9.9624523898321276E-4</v>
      </c>
      <c r="W96" s="284">
        <f t="shared" si="98"/>
        <v>6.8806523749952286E-3</v>
      </c>
      <c r="X96" s="284">
        <f t="shared" si="109"/>
        <v>-6.8602315816993498E-3</v>
      </c>
      <c r="Z96" s="284">
        <f t="shared" si="92"/>
        <v>4.2000000000000003E-2</v>
      </c>
      <c r="AA96" s="284">
        <f t="shared" si="110"/>
        <v>2.6423876624644738E-2</v>
      </c>
      <c r="AB96" s="288"/>
      <c r="AC96" s="283" t="s">
        <v>411</v>
      </c>
      <c r="AD96" s="283">
        <f t="shared" si="82"/>
        <v>-1.4090957662707779E-2</v>
      </c>
      <c r="AE96" s="284">
        <f>Splines!S86</f>
        <v>-1.0014149130651039E-3</v>
      </c>
      <c r="AF96" s="284">
        <f t="shared" si="99"/>
        <v>-1.5092372575772882E-2</v>
      </c>
      <c r="AG96" s="284">
        <f t="shared" si="111"/>
        <v>-4.5160534091400195E-2</v>
      </c>
      <c r="AI96" s="284">
        <f t="shared" si="93"/>
        <v>4.200000000000001E-2</v>
      </c>
      <c r="AJ96" s="284">
        <f t="shared" si="112"/>
        <v>1.941827657494466E-2</v>
      </c>
      <c r="AK96" s="288"/>
      <c r="AL96" s="283" t="s">
        <v>411</v>
      </c>
      <c r="AM96" s="283">
        <f t="shared" si="83"/>
        <v>1.9611315926055157E-2</v>
      </c>
      <c r="AN96" s="283">
        <f>Splines!X86</f>
        <v>-1.0021010877811593E-3</v>
      </c>
      <c r="AO96" s="283">
        <f t="shared" si="100"/>
        <v>1.8609214838273998E-2</v>
      </c>
      <c r="AP96" s="284">
        <f t="shared" si="113"/>
        <v>2.0086838819421748E-2</v>
      </c>
      <c r="AR96" s="291">
        <f t="shared" si="94"/>
        <v>4.2000000000000003E-2</v>
      </c>
      <c r="AS96" s="284">
        <f t="shared" si="114"/>
        <v>2.8893839910919983E-2</v>
      </c>
      <c r="AT96" s="289"/>
      <c r="AU96" s="283" t="s">
        <v>411</v>
      </c>
      <c r="AV96" s="283">
        <f t="shared" si="84"/>
        <v>2.3807999469666625E-2</v>
      </c>
      <c r="AW96" s="284">
        <f>Splines!AC86</f>
        <v>-9.9406839386343847E-4</v>
      </c>
      <c r="AX96" s="284">
        <f t="shared" si="101"/>
        <v>2.2813931075803186E-2</v>
      </c>
      <c r="AY96" s="284">
        <f t="shared" si="115"/>
        <v>3.8551025706471176E-2</v>
      </c>
      <c r="BA96" s="291">
        <f t="shared" si="95"/>
        <v>4.2000000000000003E-2</v>
      </c>
      <c r="BB96" s="284">
        <f t="shared" si="116"/>
        <v>2.4647077057467826E-2</v>
      </c>
      <c r="BC96" s="288"/>
      <c r="BD96" s="283" t="s">
        <v>411</v>
      </c>
      <c r="BE96" s="283">
        <f t="shared" si="85"/>
        <v>3.2100708833506277E-2</v>
      </c>
      <c r="BF96" s="284">
        <f>Splines!AH86</f>
        <v>-9.9618464233418888E-4</v>
      </c>
      <c r="BG96" s="284">
        <f t="shared" si="102"/>
        <v>3.1104524191172087E-2</v>
      </c>
      <c r="BH96" s="284">
        <f t="shared" si="117"/>
        <v>4.1824779980126792E-2</v>
      </c>
      <c r="BJ96" s="284">
        <f t="shared" si="96"/>
        <v>4.2000000000000003E-2</v>
      </c>
      <c r="BK96" s="284">
        <f t="shared" si="118"/>
        <v>3.1577780413851508E-2</v>
      </c>
      <c r="BL96" s="288"/>
      <c r="BM96" s="283" t="s">
        <v>411</v>
      </c>
      <c r="BN96" s="283">
        <f t="shared" si="86"/>
        <v>2.8535099515936271E-2</v>
      </c>
      <c r="BO96" s="284">
        <f>Splines!AM86</f>
        <v>-1.0083767730418836E-3</v>
      </c>
      <c r="BP96" s="284">
        <f t="shared" si="103"/>
        <v>2.7526722742894388E-2</v>
      </c>
      <c r="BQ96" s="284">
        <f t="shared" si="119"/>
        <v>4.0830418923477607E-2</v>
      </c>
      <c r="BS96" s="284">
        <f t="shared" si="97"/>
        <v>4.2000000000000003E-2</v>
      </c>
      <c r="BT96" s="284">
        <f t="shared" si="120"/>
        <v>2.9966558676205901E-2</v>
      </c>
      <c r="BU96" s="288"/>
      <c r="BV96" s="659" t="s">
        <v>411</v>
      </c>
      <c r="BW96" s="659">
        <f t="shared" si="87"/>
        <v>3.9860782922498422E-2</v>
      </c>
      <c r="BX96" s="284">
        <f>Splines!AR86</f>
        <v>-9.9901670440498977E-4</v>
      </c>
      <c r="BY96" s="284">
        <f t="shared" si="104"/>
        <v>3.8861766218093431E-2</v>
      </c>
      <c r="BZ96" s="284">
        <f t="shared" si="121"/>
        <v>4.2083398368505165E-2</v>
      </c>
      <c r="CB96" s="291">
        <f t="shared" si="105"/>
        <v>4.2083398368505165E-2</v>
      </c>
      <c r="CC96" s="284">
        <f t="shared" si="122"/>
        <v>3.8861766218093452E-2</v>
      </c>
      <c r="CD96" s="288"/>
      <c r="CE96" s="284" t="str">
        <f t="shared" si="74"/>
        <v>82 Year</v>
      </c>
      <c r="CF96" s="284">
        <f t="shared" si="75"/>
        <v>3.2100708833506277E-2</v>
      </c>
      <c r="CG96" s="284">
        <f t="shared" si="76"/>
        <v>-9.9618464233418888E-4</v>
      </c>
      <c r="CH96" s="284">
        <f t="shared" si="77"/>
        <v>3.1104524191172087E-2</v>
      </c>
      <c r="CI96" s="284">
        <f t="shared" si="78"/>
        <v>4.1824779980126792E-2</v>
      </c>
      <c r="CK96" s="284">
        <f>BJ96+MIN('Instructions &amp; Dashboard'!$D$43,'Instructions &amp; Dashboard'!$D$44)/10000</f>
        <v>4.4000000000000004E-2</v>
      </c>
      <c r="CL96" s="284">
        <f t="shared" si="123"/>
        <v>3.369950616808981E-2</v>
      </c>
    </row>
    <row r="97" spans="1:90">
      <c r="A97" s="283">
        <f t="shared" si="106"/>
        <v>83</v>
      </c>
      <c r="B97" s="283" t="s">
        <v>412</v>
      </c>
      <c r="C97" s="283">
        <f t="shared" si="88"/>
        <v>3.607541866751432E-2</v>
      </c>
      <c r="D97" s="284">
        <f>Splines!D87</f>
        <v>-9.9548214544379222E-4</v>
      </c>
      <c r="E97" s="506">
        <f t="shared" si="89"/>
        <v>3.5079936522070525E-2</v>
      </c>
      <c r="F97" s="507">
        <f t="shared" si="125"/>
        <v>4.0760902419339828E-2</v>
      </c>
      <c r="H97" s="284">
        <f t="shared" si="90"/>
        <v>4.2000000000000003E-2</v>
      </c>
      <c r="I97" s="284">
        <f t="shared" si="124"/>
        <v>3.4718289091666188E-2</v>
      </c>
      <c r="J97" s="285"/>
      <c r="K97" s="283" t="s">
        <v>412</v>
      </c>
      <c r="L97" s="283">
        <f t="shared" si="79"/>
        <v>8.1576387068165099E-3</v>
      </c>
      <c r="M97" s="284">
        <f>Splines!I87</f>
        <v>-1.0013920893093813E-3</v>
      </c>
      <c r="N97" s="283">
        <f t="shared" si="80"/>
        <v>7.1562466175071286E-3</v>
      </c>
      <c r="O97" s="284">
        <f t="shared" si="107"/>
        <v>1.8477164004959024E-2</v>
      </c>
      <c r="Q97" s="284">
        <f t="shared" si="91"/>
        <v>4.2000000000000003E-2</v>
      </c>
      <c r="R97" s="284">
        <f t="shared" si="108"/>
        <v>2.0932022216450852E-2</v>
      </c>
      <c r="S97" s="287"/>
      <c r="T97" s="283" t="s">
        <v>412</v>
      </c>
      <c r="U97" s="283">
        <f t="shared" si="81"/>
        <v>7.7084832427558453E-3</v>
      </c>
      <c r="V97" s="284">
        <f>Splines!N87</f>
        <v>-9.9758956269060733E-4</v>
      </c>
      <c r="W97" s="284">
        <f t="shared" si="98"/>
        <v>6.7108936800652375E-3</v>
      </c>
      <c r="X97" s="284">
        <f t="shared" si="109"/>
        <v>-7.1123636379055721E-3</v>
      </c>
      <c r="Z97" s="284">
        <f t="shared" si="92"/>
        <v>4.2000000000000003E-2</v>
      </c>
      <c r="AA97" s="284">
        <f t="shared" si="110"/>
        <v>2.6610147990427491E-2</v>
      </c>
      <c r="AB97" s="288"/>
      <c r="AC97" s="283" t="s">
        <v>412</v>
      </c>
      <c r="AD97" s="283">
        <f t="shared" si="82"/>
        <v>-1.4467399746255466E-2</v>
      </c>
      <c r="AE97" s="284">
        <f>Splines!S87</f>
        <v>-1.0009083660159749E-3</v>
      </c>
      <c r="AF97" s="284">
        <f t="shared" si="99"/>
        <v>-1.546830811227144E-2</v>
      </c>
      <c r="AG97" s="284">
        <f t="shared" si="111"/>
        <v>-4.5811709023262148E-2</v>
      </c>
      <c r="AI97" s="284">
        <f t="shared" si="93"/>
        <v>4.200000000000001E-2</v>
      </c>
      <c r="AJ97" s="284">
        <f t="shared" si="112"/>
        <v>1.968741144845243E-2</v>
      </c>
      <c r="AK97" s="288"/>
      <c r="AL97" s="283" t="s">
        <v>412</v>
      </c>
      <c r="AM97" s="283">
        <f t="shared" si="83"/>
        <v>1.9628352295237707E-2</v>
      </c>
      <c r="AN97" s="283">
        <f>Splines!X87</f>
        <v>-1.001348873269112E-3</v>
      </c>
      <c r="AO97" s="283">
        <f t="shared" si="100"/>
        <v>1.8627003421968595E-2</v>
      </c>
      <c r="AP97" s="284">
        <f t="shared" si="113"/>
        <v>2.0086724934736067E-2</v>
      </c>
      <c r="AR97" s="291">
        <f t="shared" si="94"/>
        <v>4.2000000000000003E-2</v>
      </c>
      <c r="AS97" s="284">
        <f t="shared" si="114"/>
        <v>2.905076017008712E-2</v>
      </c>
      <c r="AT97" s="289"/>
      <c r="AU97" s="283" t="s">
        <v>412</v>
      </c>
      <c r="AV97" s="283">
        <f t="shared" si="84"/>
        <v>2.3999510982505343E-2</v>
      </c>
      <c r="AW97" s="284">
        <f>Splines!AC87</f>
        <v>-9.9619208178409828E-4</v>
      </c>
      <c r="AX97" s="284">
        <f t="shared" si="101"/>
        <v>2.3003318900721246E-2</v>
      </c>
      <c r="AY97" s="284">
        <f t="shared" si="115"/>
        <v>3.8653054804050679E-2</v>
      </c>
      <c r="BA97" s="291">
        <f t="shared" si="95"/>
        <v>4.2000000000000003E-2</v>
      </c>
      <c r="BB97" s="284">
        <f t="shared" si="116"/>
        <v>2.4854418765894115E-2</v>
      </c>
      <c r="BC97" s="288"/>
      <c r="BD97" s="283" t="s">
        <v>412</v>
      </c>
      <c r="BE97" s="283">
        <f t="shared" si="85"/>
        <v>3.2231722604147313E-2</v>
      </c>
      <c r="BF97" s="284">
        <f>Splines!AH87</f>
        <v>-9.9755066113567338E-4</v>
      </c>
      <c r="BG97" s="284">
        <f t="shared" si="102"/>
        <v>3.1234171943011639E-2</v>
      </c>
      <c r="BH97" s="284">
        <f t="shared" si="117"/>
        <v>4.1920950365282206E-2</v>
      </c>
      <c r="BJ97" s="284">
        <f t="shared" si="96"/>
        <v>4.2000000000000003E-2</v>
      </c>
      <c r="BK97" s="284">
        <f t="shared" si="118"/>
        <v>3.17027268082406E-2</v>
      </c>
      <c r="BL97" s="288"/>
      <c r="BM97" s="283" t="s">
        <v>412</v>
      </c>
      <c r="BN97" s="283">
        <f t="shared" si="86"/>
        <v>2.8691882985057066E-2</v>
      </c>
      <c r="BO97" s="284">
        <f>Splines!AM87</f>
        <v>-1.0053777085075289E-3</v>
      </c>
      <c r="BP97" s="284">
        <f t="shared" si="103"/>
        <v>2.7686505276549537E-2</v>
      </c>
      <c r="BQ97" s="284">
        <f t="shared" si="119"/>
        <v>4.0873581832569617E-2</v>
      </c>
      <c r="BS97" s="284">
        <f t="shared" si="97"/>
        <v>4.2000000000000003E-2</v>
      </c>
      <c r="BT97" s="284">
        <f t="shared" si="120"/>
        <v>3.0110709591006701E-2</v>
      </c>
      <c r="BU97" s="288"/>
      <c r="BV97" s="659" t="s">
        <v>412</v>
      </c>
      <c r="BW97" s="659">
        <f t="shared" si="87"/>
        <v>3.9899112656432867E-2</v>
      </c>
      <c r="BX97" s="284">
        <f>Splines!AR87</f>
        <v>-9.9936877517329647E-4</v>
      </c>
      <c r="BY97" s="284">
        <f t="shared" si="104"/>
        <v>3.8899743881259573E-2</v>
      </c>
      <c r="BZ97" s="284">
        <f t="shared" si="121"/>
        <v>4.2018641479921293E-2</v>
      </c>
      <c r="CB97" s="291">
        <f t="shared" si="105"/>
        <v>4.2018641479921293E-2</v>
      </c>
      <c r="CC97" s="284">
        <f t="shared" si="122"/>
        <v>3.8899743881259496E-2</v>
      </c>
      <c r="CD97" s="288"/>
      <c r="CE97" s="284" t="str">
        <f t="shared" si="74"/>
        <v>83 Year</v>
      </c>
      <c r="CF97" s="284">
        <f t="shared" si="75"/>
        <v>3.2231722604147313E-2</v>
      </c>
      <c r="CG97" s="284">
        <f t="shared" si="76"/>
        <v>-9.9755066113567338E-4</v>
      </c>
      <c r="CH97" s="284">
        <f t="shared" si="77"/>
        <v>3.1234171943011639E-2</v>
      </c>
      <c r="CI97" s="284">
        <f t="shared" si="78"/>
        <v>4.1920950365282206E-2</v>
      </c>
      <c r="CK97" s="284">
        <f>BJ97+MIN('Instructions &amp; Dashboard'!$D$43,'Instructions &amp; Dashboard'!$D$44)/10000</f>
        <v>4.4000000000000004E-2</v>
      </c>
      <c r="CL97" s="284">
        <f t="shared" si="123"/>
        <v>3.3823001636345884E-2</v>
      </c>
    </row>
    <row r="98" spans="1:90">
      <c r="A98" s="283">
        <f t="shared" si="106"/>
        <v>84</v>
      </c>
      <c r="B98" s="283" t="s">
        <v>413</v>
      </c>
      <c r="C98" s="283">
        <f t="shared" si="88"/>
        <v>3.6145377743991167E-2</v>
      </c>
      <c r="D98" s="284">
        <f>Splines!D88</f>
        <v>-9.9787142082887522E-4</v>
      </c>
      <c r="E98" s="506">
        <f t="shared" si="89"/>
        <v>3.5147506323162291E-2</v>
      </c>
      <c r="F98" s="507">
        <f t="shared" si="125"/>
        <v>4.0771203832026481E-2</v>
      </c>
      <c r="H98" s="284">
        <f t="shared" si="90"/>
        <v>4.2000000000000003E-2</v>
      </c>
      <c r="I98" s="284">
        <f t="shared" si="124"/>
        <v>3.4804676130774315E-2</v>
      </c>
      <c r="J98" s="285"/>
      <c r="K98" s="283" t="s">
        <v>413</v>
      </c>
      <c r="L98" s="283">
        <f t="shared" si="79"/>
        <v>8.2950763536238786E-3</v>
      </c>
      <c r="M98" s="284">
        <f>Splines!I88</f>
        <v>-1.0006559136369383E-3</v>
      </c>
      <c r="N98" s="283">
        <f t="shared" si="80"/>
        <v>7.2944204399869404E-3</v>
      </c>
      <c r="O98" s="284">
        <f t="shared" si="107"/>
        <v>1.8829178029370564E-2</v>
      </c>
      <c r="Q98" s="284">
        <f t="shared" si="91"/>
        <v>4.2000000000000003E-2</v>
      </c>
      <c r="R98" s="284">
        <f t="shared" si="108"/>
        <v>2.1180308869024778E-2</v>
      </c>
      <c r="S98" s="287"/>
      <c r="T98" s="283" t="s">
        <v>413</v>
      </c>
      <c r="U98" s="283">
        <f t="shared" si="81"/>
        <v>7.5411643379857916E-3</v>
      </c>
      <c r="V98" s="284">
        <f>Splines!N88</f>
        <v>-9.9886433857916245E-4</v>
      </c>
      <c r="W98" s="284">
        <f t="shared" si="98"/>
        <v>6.5422999994066292E-3</v>
      </c>
      <c r="X98" s="284">
        <f t="shared" si="109"/>
        <v>-7.3529995633666578E-3</v>
      </c>
      <c r="Z98" s="284">
        <f t="shared" si="92"/>
        <v>4.2000000000000003E-2</v>
      </c>
      <c r="AA98" s="284">
        <f t="shared" si="110"/>
        <v>2.6792016929742424E-2</v>
      </c>
      <c r="AB98" s="288"/>
      <c r="AC98" s="283" t="s">
        <v>413</v>
      </c>
      <c r="AD98" s="283">
        <f t="shared" si="82"/>
        <v>-1.4842558958148053E-2</v>
      </c>
      <c r="AE98" s="284">
        <f>Splines!S88</f>
        <v>-1.0004280055447099E-3</v>
      </c>
      <c r="AF98" s="284">
        <f t="shared" si="99"/>
        <v>-1.5842986963692761E-2</v>
      </c>
      <c r="AG98" s="284">
        <f t="shared" si="111"/>
        <v>-4.6449394321013915E-2</v>
      </c>
      <c r="AI98" s="284">
        <f t="shared" si="93"/>
        <v>4.200000000000001E-2</v>
      </c>
      <c r="AJ98" s="284">
        <f t="shared" si="112"/>
        <v>1.9950206884977728E-2</v>
      </c>
      <c r="AK98" s="288"/>
      <c r="AL98" s="283" t="s">
        <v>413</v>
      </c>
      <c r="AM98" s="283">
        <f t="shared" si="83"/>
        <v>1.9644967683768232E-2</v>
      </c>
      <c r="AN98" s="283">
        <f>Splines!X88</f>
        <v>-1.0006355522331652E-3</v>
      </c>
      <c r="AO98" s="283">
        <f t="shared" si="100"/>
        <v>1.8644332131535067E-2</v>
      </c>
      <c r="AP98" s="284">
        <f t="shared" si="113"/>
        <v>2.0083643152181807E-2</v>
      </c>
      <c r="AR98" s="291">
        <f t="shared" si="94"/>
        <v>4.2000000000000003E-2</v>
      </c>
      <c r="AS98" s="284">
        <f t="shared" si="114"/>
        <v>2.9203967317098956E-2</v>
      </c>
      <c r="AT98" s="289"/>
      <c r="AU98" s="283" t="s">
        <v>413</v>
      </c>
      <c r="AV98" s="283">
        <f t="shared" si="84"/>
        <v>2.4187689427006262E-2</v>
      </c>
      <c r="AW98" s="284">
        <f>Splines!AC88</f>
        <v>-9.9820591006916635E-4</v>
      </c>
      <c r="AX98" s="284">
        <f t="shared" si="101"/>
        <v>2.3189483516937094E-2</v>
      </c>
      <c r="AY98" s="284">
        <f t="shared" si="115"/>
        <v>3.8759834830015327E-2</v>
      </c>
      <c r="BA98" s="291">
        <f t="shared" si="95"/>
        <v>4.2000000000000003E-2</v>
      </c>
      <c r="BB98" s="284">
        <f t="shared" si="116"/>
        <v>2.5056864236838061E-2</v>
      </c>
      <c r="BC98" s="288"/>
      <c r="BD98" s="283" t="s">
        <v>413</v>
      </c>
      <c r="BE98" s="283">
        <f t="shared" si="85"/>
        <v>3.2360759119135198E-2</v>
      </c>
      <c r="BF98" s="284">
        <f>Splines!AH88</f>
        <v>-9.988460099617678E-4</v>
      </c>
      <c r="BG98" s="284">
        <f t="shared" si="102"/>
        <v>3.1361913109173432E-2</v>
      </c>
      <c r="BH98" s="284">
        <f t="shared" si="117"/>
        <v>4.2019778099184002E-2</v>
      </c>
      <c r="BJ98" s="284">
        <f t="shared" si="96"/>
        <v>4.2000000000000003E-2</v>
      </c>
      <c r="BK98" s="284">
        <f t="shared" si="118"/>
        <v>3.1824712885975659E-2</v>
      </c>
      <c r="BL98" s="288"/>
      <c r="BM98" s="283" t="s">
        <v>413</v>
      </c>
      <c r="BN98" s="283">
        <f t="shared" si="86"/>
        <v>2.884535869462216E-2</v>
      </c>
      <c r="BO98" s="284">
        <f>Splines!AM88</f>
        <v>-1.0025337534684698E-3</v>
      </c>
      <c r="BP98" s="284">
        <f t="shared" si="103"/>
        <v>2.7842824941153692E-2</v>
      </c>
      <c r="BQ98" s="284">
        <f t="shared" si="119"/>
        <v>4.0900591225100369E-2</v>
      </c>
      <c r="BS98" s="284">
        <f t="shared" si="97"/>
        <v>4.2000000000000003E-2</v>
      </c>
      <c r="BT98" s="284">
        <f t="shared" si="120"/>
        <v>3.0251447801247222E-2</v>
      </c>
      <c r="BU98" s="288"/>
      <c r="BV98" s="659" t="s">
        <v>413</v>
      </c>
      <c r="BW98" s="659">
        <f t="shared" si="87"/>
        <v>3.9935809962920059E-2</v>
      </c>
      <c r="BX98" s="284">
        <f>Splines!AR88</f>
        <v>-9.9970262139110404E-4</v>
      </c>
      <c r="BY98" s="284">
        <f t="shared" si="104"/>
        <v>3.8936107341528955E-2</v>
      </c>
      <c r="BZ98" s="284">
        <f t="shared" si="121"/>
        <v>4.1958715737869579E-2</v>
      </c>
      <c r="CB98" s="291">
        <f t="shared" si="105"/>
        <v>4.1958715737869579E-2</v>
      </c>
      <c r="CC98" s="284">
        <f t="shared" si="122"/>
        <v>3.8936107341528858E-2</v>
      </c>
      <c r="CD98" s="288"/>
      <c r="CE98" s="284" t="str">
        <f t="shared" si="74"/>
        <v>84 Year</v>
      </c>
      <c r="CF98" s="284">
        <f t="shared" si="75"/>
        <v>3.2360759119135198E-2</v>
      </c>
      <c r="CG98" s="284">
        <f t="shared" si="76"/>
        <v>-9.988460099617678E-4</v>
      </c>
      <c r="CH98" s="284">
        <f t="shared" si="77"/>
        <v>3.1361913109173432E-2</v>
      </c>
      <c r="CI98" s="284">
        <f t="shared" si="78"/>
        <v>4.2019778099184002E-2</v>
      </c>
      <c r="CK98" s="284">
        <f>BJ98+MIN('Instructions &amp; Dashboard'!$D$43,'Instructions &amp; Dashboard'!$D$44)/10000</f>
        <v>4.4000000000000004E-2</v>
      </c>
      <c r="CL98" s="284">
        <f t="shared" si="123"/>
        <v>3.3943570967483128E-2</v>
      </c>
    </row>
    <row r="99" spans="1:90">
      <c r="A99" s="283">
        <f t="shared" si="106"/>
        <v>85</v>
      </c>
      <c r="B99" s="283" t="s">
        <v>414</v>
      </c>
      <c r="C99" s="283">
        <f t="shared" si="88"/>
        <v>3.6213741273816977E-2</v>
      </c>
      <c r="D99" s="284">
        <f>Splines!D89</f>
        <v>-1.0000000474974513E-3</v>
      </c>
      <c r="E99" s="506">
        <f t="shared" si="89"/>
        <v>3.5213741226319525E-2</v>
      </c>
      <c r="F99" s="507">
        <f t="shared" si="125"/>
        <v>4.0792629940996861E-2</v>
      </c>
      <c r="H99" s="284">
        <f t="shared" si="90"/>
        <v>4.2000000000000003E-2</v>
      </c>
      <c r="I99" s="284">
        <f t="shared" si="124"/>
        <v>3.4889037493428754E-2</v>
      </c>
      <c r="J99" s="285"/>
      <c r="K99" s="283" t="s">
        <v>414</v>
      </c>
      <c r="L99" s="283">
        <f t="shared" si="79"/>
        <v>8.4333874520702949E-3</v>
      </c>
      <c r="M99" s="284">
        <f>Splines!I89</f>
        <v>-1.0000000474974513E-3</v>
      </c>
      <c r="N99" s="283">
        <f t="shared" si="80"/>
        <v>7.4333874045728436E-3</v>
      </c>
      <c r="O99" s="284">
        <f t="shared" si="107"/>
        <v>1.9175318343419789E-2</v>
      </c>
      <c r="Q99" s="284">
        <f t="shared" si="91"/>
        <v>4.2000000000000003E-2</v>
      </c>
      <c r="R99" s="284">
        <f t="shared" si="108"/>
        <v>2.1422811750514414E-2</v>
      </c>
      <c r="S99" s="287"/>
      <c r="T99" s="283" t="s">
        <v>414</v>
      </c>
      <c r="U99" s="283">
        <f t="shared" si="81"/>
        <v>7.3749695620721686E-3</v>
      </c>
      <c r="V99" s="284">
        <f>Splines!N89</f>
        <v>-1.0000000474974513E-3</v>
      </c>
      <c r="W99" s="284">
        <f t="shared" si="98"/>
        <v>6.3749695145747173E-3</v>
      </c>
      <c r="X99" s="284">
        <f t="shared" si="109"/>
        <v>-7.5819379393401443E-3</v>
      </c>
      <c r="Z99" s="284">
        <f t="shared" si="92"/>
        <v>4.2000000000000003E-2</v>
      </c>
      <c r="AA99" s="284">
        <f t="shared" si="110"/>
        <v>2.6969637690592574E-2</v>
      </c>
      <c r="AB99" s="288"/>
      <c r="AC99" s="283" t="s">
        <v>414</v>
      </c>
      <c r="AD99" s="283">
        <f t="shared" si="82"/>
        <v>-1.5216291490087963E-2</v>
      </c>
      <c r="AE99" s="284">
        <f>Splines!S89</f>
        <v>-1.0000000474974513E-3</v>
      </c>
      <c r="AF99" s="284">
        <f t="shared" si="99"/>
        <v>-1.6216291537585414E-2</v>
      </c>
      <c r="AG99" s="284">
        <f t="shared" si="111"/>
        <v>-4.7073628945689228E-2</v>
      </c>
      <c r="AI99" s="284">
        <f t="shared" si="93"/>
        <v>4.200000000000001E-2</v>
      </c>
      <c r="AJ99" s="284">
        <f t="shared" si="112"/>
        <v>2.0206884255733026E-2</v>
      </c>
      <c r="AK99" s="288"/>
      <c r="AL99" s="283" t="s">
        <v>414</v>
      </c>
      <c r="AM99" s="283">
        <f t="shared" si="83"/>
        <v>1.9661180902479761E-2</v>
      </c>
      <c r="AN99" s="283">
        <f>Splines!X89</f>
        <v>-1.0000000474974513E-3</v>
      </c>
      <c r="AO99" s="283">
        <f t="shared" si="100"/>
        <v>1.866118085498231E-2</v>
      </c>
      <c r="AP99" s="284">
        <f t="shared" si="113"/>
        <v>2.0077468980478796E-2</v>
      </c>
      <c r="AR99" s="291">
        <f t="shared" si="94"/>
        <v>4.2000000000000003E-2</v>
      </c>
      <c r="AS99" s="284">
        <f t="shared" si="114"/>
        <v>2.9353591601088747E-2</v>
      </c>
      <c r="AT99" s="289"/>
      <c r="AU99" s="283" t="s">
        <v>414</v>
      </c>
      <c r="AV99" s="283">
        <f t="shared" si="84"/>
        <v>2.4372600371035277E-2</v>
      </c>
      <c r="AW99" s="284">
        <f>Splines!AC89</f>
        <v>-1.0000000474974513E-3</v>
      </c>
      <c r="AX99" s="284">
        <f t="shared" si="101"/>
        <v>2.3372600323537825E-2</v>
      </c>
      <c r="AY99" s="284">
        <f t="shared" si="115"/>
        <v>3.887198884055354E-2</v>
      </c>
      <c r="BA99" s="291">
        <f t="shared" si="95"/>
        <v>4.2000000000000003E-2</v>
      </c>
      <c r="BB99" s="284">
        <f t="shared" si="116"/>
        <v>2.5254584874760955E-2</v>
      </c>
      <c r="BC99" s="288"/>
      <c r="BD99" s="283" t="s">
        <v>414</v>
      </c>
      <c r="BE99" s="283">
        <f t="shared" si="85"/>
        <v>3.2487849928634308E-2</v>
      </c>
      <c r="BF99" s="284">
        <f>Splines!AH89</f>
        <v>-1.0000000474974513E-3</v>
      </c>
      <c r="BG99" s="284">
        <f t="shared" si="102"/>
        <v>3.1487849881136856E-2</v>
      </c>
      <c r="BH99" s="284">
        <f t="shared" si="117"/>
        <v>4.2121623378464923E-2</v>
      </c>
      <c r="BJ99" s="284">
        <f t="shared" si="96"/>
        <v>4.2000000000000003E-2</v>
      </c>
      <c r="BK99" s="284">
        <f t="shared" si="118"/>
        <v>3.1943842621322549E-2</v>
      </c>
      <c r="BL99" s="288"/>
      <c r="BM99" s="283" t="s">
        <v>414</v>
      </c>
      <c r="BN99" s="283">
        <f t="shared" si="86"/>
        <v>2.8995610940104641E-2</v>
      </c>
      <c r="BO99" s="284">
        <f>Splines!AM89</f>
        <v>-1.0000000474974513E-3</v>
      </c>
      <c r="BP99" s="284">
        <f t="shared" si="103"/>
        <v>2.799561089260719E-2</v>
      </c>
      <c r="BQ99" s="284">
        <f t="shared" si="119"/>
        <v>4.0911044270880215E-2</v>
      </c>
      <c r="BS99" s="284">
        <f t="shared" si="97"/>
        <v>4.2000000000000003E-2</v>
      </c>
      <c r="BT99" s="284">
        <f t="shared" si="120"/>
        <v>3.0388893079112966E-2</v>
      </c>
      <c r="BU99" s="288"/>
      <c r="BV99" s="659" t="s">
        <v>414</v>
      </c>
      <c r="BW99" s="659">
        <f t="shared" si="87"/>
        <v>3.9970969385941815E-2</v>
      </c>
      <c r="BX99" s="284">
        <f>Splines!AR89</f>
        <v>-1.0000000474974513E-3</v>
      </c>
      <c r="BY99" s="284">
        <f t="shared" si="104"/>
        <v>3.8970969338444364E-2</v>
      </c>
      <c r="BZ99" s="284">
        <f t="shared" si="121"/>
        <v>4.190355718416372E-2</v>
      </c>
      <c r="CB99" s="291">
        <f t="shared" si="105"/>
        <v>4.190355718416372E-2</v>
      </c>
      <c r="CC99" s="284">
        <f t="shared" si="122"/>
        <v>3.897096933844435E-2</v>
      </c>
      <c r="CD99" s="288"/>
      <c r="CE99" s="284" t="str">
        <f t="shared" si="74"/>
        <v>85 Year</v>
      </c>
      <c r="CF99" s="284">
        <f t="shared" si="75"/>
        <v>3.2487849928634308E-2</v>
      </c>
      <c r="CG99" s="284">
        <f t="shared" si="76"/>
        <v>-1.0000000474974513E-3</v>
      </c>
      <c r="CH99" s="284">
        <f t="shared" si="77"/>
        <v>3.1487849881136856E-2</v>
      </c>
      <c r="CI99" s="284">
        <f t="shared" si="78"/>
        <v>4.2121623378464923E-2</v>
      </c>
      <c r="CK99" s="284">
        <f>BJ99+MIN('Instructions &amp; Dashboard'!$D$43,'Instructions &amp; Dashboard'!$D$44)/10000</f>
        <v>4.4000000000000004E-2</v>
      </c>
      <c r="CL99" s="284">
        <f t="shared" si="123"/>
        <v>3.4061316942144426E-2</v>
      </c>
    </row>
    <row r="100" spans="1:90">
      <c r="A100" s="283">
        <f t="shared" si="106"/>
        <v>86</v>
      </c>
      <c r="B100" s="283" t="s">
        <v>415</v>
      </c>
      <c r="C100" s="283">
        <f t="shared" si="88"/>
        <v>3.6280560519842395E-2</v>
      </c>
      <c r="D100" s="284">
        <f>Splines!D90</f>
        <v>-1.0017637510929835E-3</v>
      </c>
      <c r="E100" s="506">
        <f t="shared" si="89"/>
        <v>3.5278796768749413E-2</v>
      </c>
      <c r="F100" s="507">
        <f t="shared" si="125"/>
        <v>4.0823486795149133E-2</v>
      </c>
      <c r="H100" s="284">
        <f t="shared" si="90"/>
        <v>4.2000000000000003E-2</v>
      </c>
      <c r="I100" s="284">
        <f t="shared" si="124"/>
        <v>3.4971443603343477E-2</v>
      </c>
      <c r="J100" s="285"/>
      <c r="K100" s="283" t="s">
        <v>415</v>
      </c>
      <c r="L100" s="283">
        <f t="shared" si="79"/>
        <v>8.5725131502282226E-3</v>
      </c>
      <c r="M100" s="284">
        <f>Splines!I90</f>
        <v>-9.9945660025017478E-4</v>
      </c>
      <c r="N100" s="283">
        <f t="shared" si="80"/>
        <v>7.5730565499780474E-3</v>
      </c>
      <c r="O100" s="284">
        <f t="shared" si="107"/>
        <v>1.9515983151730865E-2</v>
      </c>
      <c r="Q100" s="284">
        <f t="shared" si="91"/>
        <v>4.2000000000000003E-2</v>
      </c>
      <c r="R100" s="284">
        <f t="shared" si="108"/>
        <v>2.1659730624616014E-2</v>
      </c>
      <c r="S100" s="287"/>
      <c r="T100" s="283" t="s">
        <v>415</v>
      </c>
      <c r="U100" s="283">
        <f t="shared" si="81"/>
        <v>7.209925458604563E-3</v>
      </c>
      <c r="V100" s="284">
        <f>Splines!N90</f>
        <v>-1.0009410479357762E-3</v>
      </c>
      <c r="W100" s="284">
        <f t="shared" si="98"/>
        <v>6.208984410668787E-3</v>
      </c>
      <c r="X100" s="284">
        <f t="shared" si="109"/>
        <v>-7.8001487233054778E-3</v>
      </c>
      <c r="Z100" s="284">
        <f t="shared" si="92"/>
        <v>4.2000000000000003E-2</v>
      </c>
      <c r="AA100" s="284">
        <f t="shared" si="110"/>
        <v>2.7143157398433759E-2</v>
      </c>
      <c r="AB100" s="288"/>
      <c r="AC100" s="283" t="s">
        <v>415</v>
      </c>
      <c r="AD100" s="283">
        <f t="shared" si="82"/>
        <v>-1.5588459510418776E-2</v>
      </c>
      <c r="AE100" s="284">
        <f>Splines!S90</f>
        <v>-9.9964543835582361E-4</v>
      </c>
      <c r="AF100" s="284">
        <f t="shared" si="99"/>
        <v>-1.65881049487746E-2</v>
      </c>
      <c r="AG100" s="284">
        <f t="shared" si="111"/>
        <v>-4.7684022623874278E-2</v>
      </c>
      <c r="AI100" s="284">
        <f t="shared" si="93"/>
        <v>4.200000000000001E-2</v>
      </c>
      <c r="AJ100" s="284">
        <f t="shared" si="112"/>
        <v>2.0457654743950782E-2</v>
      </c>
      <c r="AK100" s="288"/>
      <c r="AL100" s="283" t="s">
        <v>415</v>
      </c>
      <c r="AM100" s="283">
        <f t="shared" si="83"/>
        <v>1.9677010286876656E-2</v>
      </c>
      <c r="AN100" s="283">
        <f>Splines!X90</f>
        <v>-9.9947347112509322E-4</v>
      </c>
      <c r="AO100" s="283">
        <f t="shared" si="100"/>
        <v>1.8677536815751562E-2</v>
      </c>
      <c r="AP100" s="284">
        <f t="shared" si="113"/>
        <v>2.0068753776893988E-2</v>
      </c>
      <c r="AR100" s="291">
        <f t="shared" si="94"/>
        <v>4.2000000000000003E-2</v>
      </c>
      <c r="AS100" s="284">
        <f t="shared" si="114"/>
        <v>2.9499757249805247E-2</v>
      </c>
      <c r="AT100" s="289"/>
      <c r="AU100" s="283" t="s">
        <v>415</v>
      </c>
      <c r="AV100" s="283">
        <f t="shared" si="84"/>
        <v>2.4554308393416911E-2</v>
      </c>
      <c r="AW100" s="284">
        <f>Splines!AC90</f>
        <v>-1.0014866029062783E-3</v>
      </c>
      <c r="AX100" s="284">
        <f t="shared" si="101"/>
        <v>2.3552821790510631E-2</v>
      </c>
      <c r="AY100" s="284">
        <f t="shared" si="115"/>
        <v>3.8988222891157776E-2</v>
      </c>
      <c r="BA100" s="291">
        <f t="shared" si="95"/>
        <v>4.2000000000000003E-2</v>
      </c>
      <c r="BB100" s="284">
        <f t="shared" si="116"/>
        <v>2.5447744176018139E-2</v>
      </c>
      <c r="BC100" s="288"/>
      <c r="BD100" s="283" t="s">
        <v>415</v>
      </c>
      <c r="BE100" s="283">
        <f t="shared" si="85"/>
        <v>3.2613026026514128E-2</v>
      </c>
      <c r="BF100" s="284">
        <f>Splines!AH90</f>
        <v>-1.0009562345022298E-3</v>
      </c>
      <c r="BG100" s="284">
        <f t="shared" si="102"/>
        <v>3.16120697920119E-2</v>
      </c>
      <c r="BH100" s="284">
        <f t="shared" si="117"/>
        <v>4.2225624175849852E-2</v>
      </c>
      <c r="BJ100" s="284">
        <f t="shared" si="96"/>
        <v>4.2000000000000003E-2</v>
      </c>
      <c r="BK100" s="284">
        <f t="shared" si="118"/>
        <v>3.2060215175790052E-2</v>
      </c>
      <c r="BL100" s="288"/>
      <c r="BM100" s="283" t="s">
        <v>415</v>
      </c>
      <c r="BN100" s="283">
        <f t="shared" si="86"/>
        <v>2.9142722494229507E-2</v>
      </c>
      <c r="BO100" s="284">
        <f>Splines!AM90</f>
        <v>-9.9790067604831208E-4</v>
      </c>
      <c r="BP100" s="284">
        <f t="shared" si="103"/>
        <v>2.8144821818181197E-2</v>
      </c>
      <c r="BQ100" s="284">
        <f t="shared" si="119"/>
        <v>4.0907231639389252E-2</v>
      </c>
      <c r="BS100" s="284">
        <f t="shared" si="97"/>
        <v>4.2000000000000003E-2</v>
      </c>
      <c r="BT100" s="284">
        <f t="shared" si="120"/>
        <v>3.0523159656961507E-2</v>
      </c>
      <c r="BU100" s="288"/>
      <c r="BV100" s="659" t="s">
        <v>415</v>
      </c>
      <c r="BW100" s="659">
        <f t="shared" si="87"/>
        <v>4.0004679578404249E-2</v>
      </c>
      <c r="BX100" s="284">
        <f>Splines!AR90</f>
        <v>-1.0002464708514026E-3</v>
      </c>
      <c r="BY100" s="284">
        <f t="shared" si="104"/>
        <v>3.9004433107552847E-2</v>
      </c>
      <c r="BZ100" s="284">
        <f t="shared" si="121"/>
        <v>4.1852796469517006E-2</v>
      </c>
      <c r="CB100" s="291">
        <f t="shared" si="105"/>
        <v>4.1852796469517006E-2</v>
      </c>
      <c r="CC100" s="284">
        <f t="shared" si="122"/>
        <v>3.900443310755275E-2</v>
      </c>
      <c r="CD100" s="288"/>
      <c r="CE100" s="284" t="str">
        <f t="shared" si="74"/>
        <v>86 Year</v>
      </c>
      <c r="CF100" s="284">
        <f t="shared" si="75"/>
        <v>3.2613026026514128E-2</v>
      </c>
      <c r="CG100" s="284">
        <f t="shared" si="76"/>
        <v>-1.0009562345022298E-3</v>
      </c>
      <c r="CH100" s="284">
        <f t="shared" si="77"/>
        <v>3.16120697920119E-2</v>
      </c>
      <c r="CI100" s="284">
        <f t="shared" si="78"/>
        <v>4.2225624175849852E-2</v>
      </c>
      <c r="CK100" s="284">
        <f>BJ100+MIN('Instructions &amp; Dashboard'!$D$43,'Instructions &amp; Dashboard'!$D$44)/10000</f>
        <v>4.4000000000000004E-2</v>
      </c>
      <c r="CL100" s="284">
        <f t="shared" si="123"/>
        <v>3.4176337583151417E-2</v>
      </c>
    </row>
    <row r="101" spans="1:90">
      <c r="A101" s="283">
        <f t="shared" si="106"/>
        <v>87</v>
      </c>
      <c r="B101" s="283" t="s">
        <v>416</v>
      </c>
      <c r="C101" s="283">
        <f t="shared" si="88"/>
        <v>3.6345884762307795E-2</v>
      </c>
      <c r="D101" s="284">
        <f>Splines!D91</f>
        <v>-1.0031626047121763E-3</v>
      </c>
      <c r="E101" s="506">
        <f t="shared" si="89"/>
        <v>3.5342722157595617E-2</v>
      </c>
      <c r="F101" s="507">
        <f t="shared" si="125"/>
        <v>4.0855097951448371E-2</v>
      </c>
      <c r="H101" s="284">
        <f t="shared" si="90"/>
        <v>4.2000000000000003E-2</v>
      </c>
      <c r="I101" s="284">
        <f t="shared" si="124"/>
        <v>3.5051961657217801E-2</v>
      </c>
      <c r="J101" s="285"/>
      <c r="K101" s="283" t="s">
        <v>416</v>
      </c>
      <c r="L101" s="283">
        <f t="shared" si="79"/>
        <v>8.7123958431980821E-3</v>
      </c>
      <c r="M101" s="284">
        <f>Splines!I91</f>
        <v>-9.9902564455081047E-4</v>
      </c>
      <c r="N101" s="283">
        <f t="shared" si="80"/>
        <v>7.7133701986472712E-3</v>
      </c>
      <c r="O101" s="284">
        <f t="shared" si="107"/>
        <v>1.9853732180505679E-2</v>
      </c>
      <c r="Q101" s="284">
        <f t="shared" si="91"/>
        <v>4.2000000000000003E-2</v>
      </c>
      <c r="R101" s="284">
        <f t="shared" si="108"/>
        <v>2.1891256160602612E-2</v>
      </c>
      <c r="S101" s="287"/>
      <c r="T101" s="283" t="s">
        <v>416</v>
      </c>
      <c r="U101" s="283">
        <f t="shared" si="81"/>
        <v>7.0460565814727052E-3</v>
      </c>
      <c r="V101" s="284">
        <f>Splines!N91</f>
        <v>-1.0016874128335848E-3</v>
      </c>
      <c r="W101" s="284">
        <f t="shared" si="98"/>
        <v>6.0443691686391209E-3</v>
      </c>
      <c r="X101" s="284">
        <f t="shared" si="109"/>
        <v>-8.0122583120245672E-3</v>
      </c>
      <c r="Z101" s="284">
        <f t="shared" si="92"/>
        <v>4.2000000000000003E-2</v>
      </c>
      <c r="AA101" s="284">
        <f t="shared" si="110"/>
        <v>2.7312716462588371E-2</v>
      </c>
      <c r="AB101" s="288"/>
      <c r="AC101" s="283" t="s">
        <v>416</v>
      </c>
      <c r="AD101" s="283">
        <f t="shared" si="82"/>
        <v>-1.5958930986399444E-2</v>
      </c>
      <c r="AE101" s="284">
        <f>Splines!S91</f>
        <v>-9.9936425081162427E-4</v>
      </c>
      <c r="AF101" s="284">
        <f t="shared" si="99"/>
        <v>-1.6958295237211068E-2</v>
      </c>
      <c r="AG101" s="284">
        <f t="shared" si="111"/>
        <v>-4.8278859062926172E-2</v>
      </c>
      <c r="AI101" s="284">
        <f t="shared" si="93"/>
        <v>4.200000000000001E-2</v>
      </c>
      <c r="AJ101" s="284">
        <f t="shared" si="112"/>
        <v>2.0702719924287294E-2</v>
      </c>
      <c r="AK101" s="288"/>
      <c r="AL101" s="283" t="s">
        <v>416</v>
      </c>
      <c r="AM101" s="283">
        <f t="shared" si="83"/>
        <v>1.9692473706786513E-2</v>
      </c>
      <c r="AN101" s="283">
        <f>Splines!X91</f>
        <v>-9.9905589577501709E-4</v>
      </c>
      <c r="AO101" s="283">
        <f t="shared" si="100"/>
        <v>1.8693417811011498E-2</v>
      </c>
      <c r="AP101" s="284">
        <f t="shared" si="113"/>
        <v>2.006011001610819E-2</v>
      </c>
      <c r="AR101" s="291">
        <f t="shared" si="94"/>
        <v>4.2000000000000003E-2</v>
      </c>
      <c r="AS101" s="284">
        <f t="shared" si="114"/>
        <v>2.9642582813592E-2</v>
      </c>
      <c r="AT101" s="289"/>
      <c r="AU101" s="283" t="s">
        <v>416</v>
      </c>
      <c r="AV101" s="283">
        <f t="shared" si="84"/>
        <v>2.4732877069267085E-2</v>
      </c>
      <c r="AW101" s="284">
        <f>Splines!AC91</f>
        <v>-1.0026656493393761E-3</v>
      </c>
      <c r="AX101" s="284">
        <f t="shared" si="101"/>
        <v>2.3730211419927708E-2</v>
      </c>
      <c r="AY101" s="284">
        <f t="shared" si="115"/>
        <v>3.9101295901575517E-2</v>
      </c>
      <c r="BA101" s="291">
        <f t="shared" si="95"/>
        <v>4.2000000000000003E-2</v>
      </c>
      <c r="BB101" s="284">
        <f t="shared" si="116"/>
        <v>2.5636498179719691E-2</v>
      </c>
      <c r="BC101" s="288"/>
      <c r="BD101" s="283" t="s">
        <v>416</v>
      </c>
      <c r="BE101" s="283">
        <f t="shared" si="85"/>
        <v>3.2736317863254538E-2</v>
      </c>
      <c r="BF101" s="284">
        <f>Splines!AH91</f>
        <v>-1.0017146439184541E-3</v>
      </c>
      <c r="BG101" s="284">
        <f t="shared" si="102"/>
        <v>3.1734603219336084E-2</v>
      </c>
      <c r="BH101" s="284">
        <f t="shared" si="117"/>
        <v>4.2327109480454483E-2</v>
      </c>
      <c r="BJ101" s="284">
        <f t="shared" si="96"/>
        <v>4.2000000000000003E-2</v>
      </c>
      <c r="BK101" s="284">
        <f t="shared" si="118"/>
        <v>3.2173925173408113E-2</v>
      </c>
      <c r="BL101" s="288"/>
      <c r="BM101" s="283" t="s">
        <v>416</v>
      </c>
      <c r="BN101" s="283">
        <f t="shared" si="86"/>
        <v>2.9286774525609634E-2</v>
      </c>
      <c r="BO101" s="284">
        <f>Splines!AM91</f>
        <v>-9.9623571147934532E-4</v>
      </c>
      <c r="BP101" s="284">
        <f t="shared" si="103"/>
        <v>2.8290538814130288E-2</v>
      </c>
      <c r="BQ101" s="284">
        <f t="shared" si="119"/>
        <v>4.0899771483529745E-2</v>
      </c>
      <c r="BS101" s="284">
        <f t="shared" si="97"/>
        <v>4.2000000000000003E-2</v>
      </c>
      <c r="BT101" s="284">
        <f t="shared" si="120"/>
        <v>3.0654356543949879E-2</v>
      </c>
      <c r="BU101" s="288"/>
      <c r="BV101" s="659" t="s">
        <v>416</v>
      </c>
      <c r="BW101" s="659">
        <f t="shared" si="87"/>
        <v>4.0037023660834212E-2</v>
      </c>
      <c r="BX101" s="284">
        <f>Splines!AR91</f>
        <v>-1.0004419642596404E-3</v>
      </c>
      <c r="BY101" s="284">
        <f t="shared" si="104"/>
        <v>3.903658169657457E-2</v>
      </c>
      <c r="BZ101" s="284">
        <f t="shared" si="121"/>
        <v>4.1805084912321711E-2</v>
      </c>
      <c r="CB101" s="291">
        <f t="shared" si="105"/>
        <v>4.1805084912321711E-2</v>
      </c>
      <c r="CC101" s="284">
        <f t="shared" si="122"/>
        <v>3.9036581696574535E-2</v>
      </c>
      <c r="CD101" s="288"/>
      <c r="CE101" s="284" t="str">
        <f t="shared" si="74"/>
        <v>87 Year</v>
      </c>
      <c r="CF101" s="284">
        <f t="shared" si="75"/>
        <v>3.2736317863254538E-2</v>
      </c>
      <c r="CG101" s="284">
        <f t="shared" si="76"/>
        <v>-1.0017146439184541E-3</v>
      </c>
      <c r="CH101" s="284">
        <f t="shared" si="77"/>
        <v>3.1734603219336084E-2</v>
      </c>
      <c r="CI101" s="284">
        <f t="shared" si="78"/>
        <v>4.2327109480454483E-2</v>
      </c>
      <c r="CK101" s="284">
        <f>BJ101+MIN('Instructions &amp; Dashboard'!$D$43,'Instructions &amp; Dashboard'!$D$44)/10000</f>
        <v>4.4000000000000004E-2</v>
      </c>
      <c r="CL101" s="284">
        <f t="shared" si="123"/>
        <v>3.4288726427658789E-2</v>
      </c>
    </row>
    <row r="102" spans="1:90">
      <c r="A102" s="283">
        <f t="shared" si="106"/>
        <v>88</v>
      </c>
      <c r="B102" s="283" t="s">
        <v>417</v>
      </c>
      <c r="C102" s="283">
        <f t="shared" si="88"/>
        <v>3.6409761380478897E-2</v>
      </c>
      <c r="D102" s="284">
        <f>Splines!D92</f>
        <v>-1.0042225568083292E-3</v>
      </c>
      <c r="E102" s="506">
        <f t="shared" si="89"/>
        <v>3.540553882367057E-2</v>
      </c>
      <c r="F102" s="507">
        <f t="shared" si="125"/>
        <v>4.0885203584205554E-2</v>
      </c>
      <c r="H102" s="284">
        <f t="shared" si="90"/>
        <v>4.2000000000000003E-2</v>
      </c>
      <c r="I102" s="284">
        <f t="shared" si="124"/>
        <v>3.5130655807480426E-2</v>
      </c>
      <c r="J102" s="285"/>
      <c r="K102" s="283" t="s">
        <v>417</v>
      </c>
      <c r="L102" s="283">
        <f t="shared" si="79"/>
        <v>8.8529792015082272E-3</v>
      </c>
      <c r="M102" s="284">
        <f>Splines!I92</f>
        <v>-9.9869903303167465E-4</v>
      </c>
      <c r="N102" s="283">
        <f t="shared" si="80"/>
        <v>7.8542801684765521E-3</v>
      </c>
      <c r="O102" s="284">
        <f t="shared" si="107"/>
        <v>2.0189176314144186E-2</v>
      </c>
      <c r="Q102" s="284">
        <f t="shared" si="91"/>
        <v>4.2000000000000003E-2</v>
      </c>
      <c r="R102" s="284">
        <f t="shared" si="108"/>
        <v>2.2117570445022272E-2</v>
      </c>
      <c r="S102" s="287"/>
      <c r="T102" s="283" t="s">
        <v>417</v>
      </c>
      <c r="U102" s="283">
        <f t="shared" si="81"/>
        <v>6.8833856151617641E-3</v>
      </c>
      <c r="V102" s="284">
        <f>Splines!N92</f>
        <v>-1.002252932470966E-3</v>
      </c>
      <c r="W102" s="284">
        <f t="shared" si="98"/>
        <v>5.8811326826907978E-3</v>
      </c>
      <c r="X102" s="284">
        <f t="shared" si="109"/>
        <v>-8.2195229321728736E-3</v>
      </c>
      <c r="Z102" s="284">
        <f t="shared" si="92"/>
        <v>4.2000000000000003E-2</v>
      </c>
      <c r="AA102" s="284">
        <f t="shared" si="110"/>
        <v>2.7478448955146284E-2</v>
      </c>
      <c r="AB102" s="288"/>
      <c r="AC102" s="283" t="s">
        <v>417</v>
      </c>
      <c r="AD102" s="283">
        <f t="shared" si="82"/>
        <v>-1.6327579511213261E-2</v>
      </c>
      <c r="AE102" s="284">
        <f>Splines!S92</f>
        <v>-9.9915112820774042E-4</v>
      </c>
      <c r="AF102" s="284">
        <f t="shared" si="99"/>
        <v>-1.7326730639421001E-2</v>
      </c>
      <c r="AG102" s="284">
        <f t="shared" si="111"/>
        <v>-4.885765034575773E-2</v>
      </c>
      <c r="AI102" s="284">
        <f t="shared" si="93"/>
        <v>4.200000000000001E-2</v>
      </c>
      <c r="AJ102" s="284">
        <f t="shared" si="112"/>
        <v>2.0942272303129394E-2</v>
      </c>
      <c r="AK102" s="288"/>
      <c r="AL102" s="283" t="s">
        <v>417</v>
      </c>
      <c r="AM102" s="283">
        <f t="shared" si="83"/>
        <v>1.9707588575836425E-2</v>
      </c>
      <c r="AN102" s="283">
        <f>Splines!X92</f>
        <v>-9.9873942340278311E-4</v>
      </c>
      <c r="AO102" s="283">
        <f t="shared" si="100"/>
        <v>1.8708849152433642E-2</v>
      </c>
      <c r="AP102" s="284">
        <f t="shared" si="113"/>
        <v>2.005227106508678E-2</v>
      </c>
      <c r="AR102" s="291">
        <f t="shared" si="94"/>
        <v>4.2000000000000003E-2</v>
      </c>
      <c r="AS102" s="284">
        <f t="shared" si="114"/>
        <v>2.9782181486052606E-2</v>
      </c>
      <c r="AT102" s="289"/>
      <c r="AU102" s="283" t="s">
        <v>417</v>
      </c>
      <c r="AV102" s="283">
        <f t="shared" si="84"/>
        <v>2.4908368958090239E-2</v>
      </c>
      <c r="AW102" s="284">
        <f>Splines!AC92</f>
        <v>-1.003559039464548E-3</v>
      </c>
      <c r="AX102" s="284">
        <f t="shared" si="101"/>
        <v>2.3904809918625692E-2</v>
      </c>
      <c r="AY102" s="284">
        <f t="shared" si="115"/>
        <v>3.920942881920686E-2</v>
      </c>
      <c r="BA102" s="291">
        <f t="shared" si="95"/>
        <v>4.2000000000000003E-2</v>
      </c>
      <c r="BB102" s="284">
        <f t="shared" si="116"/>
        <v>2.5820995888094833E-2</v>
      </c>
      <c r="BC102" s="288"/>
      <c r="BD102" s="283" t="s">
        <v>417</v>
      </c>
      <c r="BE102" s="283">
        <f t="shared" si="85"/>
        <v>3.2857755358343496E-2</v>
      </c>
      <c r="BF102" s="284">
        <f>Splines!AH92</f>
        <v>-1.0022892904582013E-3</v>
      </c>
      <c r="BG102" s="284">
        <f t="shared" si="102"/>
        <v>3.1855466067885294E-2</v>
      </c>
      <c r="BH102" s="284">
        <f t="shared" si="117"/>
        <v>4.2424915143238762E-2</v>
      </c>
      <c r="BJ102" s="284">
        <f t="shared" si="96"/>
        <v>4.2000000000000003E-2</v>
      </c>
      <c r="BK102" s="284">
        <f t="shared" si="118"/>
        <v>3.2285062957326138E-2</v>
      </c>
      <c r="BL102" s="288"/>
      <c r="BM102" s="283" t="s">
        <v>417</v>
      </c>
      <c r="BN102" s="283">
        <f t="shared" si="86"/>
        <v>2.9427846533909247E-2</v>
      </c>
      <c r="BO102" s="284">
        <f>Splines!AM92</f>
        <v>-9.9497401247203125E-4</v>
      </c>
      <c r="BP102" s="284">
        <f t="shared" si="103"/>
        <v>2.8432872521437218E-2</v>
      </c>
      <c r="BQ102" s="284">
        <f t="shared" si="119"/>
        <v>4.0891622603621558E-2</v>
      </c>
      <c r="BS102" s="284">
        <f t="shared" si="97"/>
        <v>4.2000000000000003E-2</v>
      </c>
      <c r="BT102" s="284">
        <f t="shared" si="120"/>
        <v>3.0782587821192253E-2</v>
      </c>
      <c r="BU102" s="288"/>
      <c r="BV102" s="659" t="s">
        <v>417</v>
      </c>
      <c r="BW102" s="659">
        <f t="shared" si="87"/>
        <v>4.0068079560357753E-2</v>
      </c>
      <c r="BX102" s="284">
        <f>Splines!AR92</f>
        <v>-1.0005900533175656E-3</v>
      </c>
      <c r="BY102" s="284">
        <f t="shared" si="104"/>
        <v>3.9067489507040185E-2</v>
      </c>
      <c r="BZ102" s="284">
        <f t="shared" si="121"/>
        <v>4.1759991493091952E-2</v>
      </c>
      <c r="CB102" s="291">
        <f t="shared" si="105"/>
        <v>4.1759991493091952E-2</v>
      </c>
      <c r="CC102" s="284">
        <f t="shared" si="122"/>
        <v>3.9067489507040198E-2</v>
      </c>
      <c r="CD102" s="288"/>
      <c r="CE102" s="284" t="str">
        <f t="shared" si="74"/>
        <v>88 Year</v>
      </c>
      <c r="CF102" s="284">
        <f t="shared" si="75"/>
        <v>3.2857755358343496E-2</v>
      </c>
      <c r="CG102" s="284">
        <f t="shared" si="76"/>
        <v>-1.0022892904582013E-3</v>
      </c>
      <c r="CH102" s="284">
        <f t="shared" si="77"/>
        <v>3.1855466067885294E-2</v>
      </c>
      <c r="CI102" s="284">
        <f t="shared" si="78"/>
        <v>4.2424915143238762E-2</v>
      </c>
      <c r="CK102" s="284">
        <f>BJ102+MIN('Instructions &amp; Dashboard'!$D$43,'Instructions &amp; Dashboard'!$D$44)/10000</f>
        <v>4.4000000000000004E-2</v>
      </c>
      <c r="CL102" s="284">
        <f t="shared" si="123"/>
        <v>3.4398572780838022E-2</v>
      </c>
    </row>
    <row r="103" spans="1:90">
      <c r="A103" s="283">
        <f t="shared" si="106"/>
        <v>89</v>
      </c>
      <c r="B103" s="283" t="s">
        <v>418</v>
      </c>
      <c r="C103" s="283">
        <f t="shared" si="88"/>
        <v>3.6472235931254815E-2</v>
      </c>
      <c r="D103" s="284">
        <f>Splines!D93</f>
        <v>-1.004969788665385E-3</v>
      </c>
      <c r="E103" s="506">
        <f t="shared" si="89"/>
        <v>3.5467266142589431E-2</v>
      </c>
      <c r="F103" s="507">
        <f t="shared" si="125"/>
        <v>4.091370591862642E-2</v>
      </c>
      <c r="H103" s="284">
        <f t="shared" si="90"/>
        <v>4.2000000000000003E-2</v>
      </c>
      <c r="I103" s="284">
        <f t="shared" si="124"/>
        <v>3.5207587332755086E-2</v>
      </c>
      <c r="J103" s="285"/>
      <c r="K103" s="283" t="s">
        <v>418</v>
      </c>
      <c r="L103" s="283">
        <f t="shared" si="79"/>
        <v>8.9942081933376619E-3</v>
      </c>
      <c r="M103" s="284">
        <f>Splines!I93</f>
        <v>-9.984688511557266E-4</v>
      </c>
      <c r="N103" s="283">
        <f t="shared" si="80"/>
        <v>7.9957393421819355E-3</v>
      </c>
      <c r="O103" s="284">
        <f t="shared" si="107"/>
        <v>2.0522215272800404E-2</v>
      </c>
      <c r="Q103" s="284">
        <f t="shared" si="91"/>
        <v>4.2000000000000003E-2</v>
      </c>
      <c r="R103" s="284">
        <f t="shared" si="108"/>
        <v>2.2338847459234978E-2</v>
      </c>
      <c r="S103" s="287"/>
      <c r="T103" s="283" t="s">
        <v>418</v>
      </c>
      <c r="U103" s="283">
        <f t="shared" si="81"/>
        <v>6.7219334869141403E-3</v>
      </c>
      <c r="V103" s="284">
        <f>Splines!N93</f>
        <v>-1.0026516299586517E-3</v>
      </c>
      <c r="W103" s="284">
        <f t="shared" si="98"/>
        <v>5.7192818569554889E-3</v>
      </c>
      <c r="X103" s="284">
        <f t="shared" si="109"/>
        <v>-8.4220824918100901E-3</v>
      </c>
      <c r="Z103" s="284">
        <f t="shared" si="92"/>
        <v>4.2000000000000003E-2</v>
      </c>
      <c r="AA103" s="284">
        <f t="shared" si="110"/>
        <v>2.7640482964500279E-2</v>
      </c>
      <c r="AB103" s="288"/>
      <c r="AC103" s="283" t="s">
        <v>418</v>
      </c>
      <c r="AD103" s="283">
        <f t="shared" si="82"/>
        <v>-1.6694284135593443E-2</v>
      </c>
      <c r="AE103" s="284">
        <f>Splines!S93</f>
        <v>-9.9900094671770152E-4</v>
      </c>
      <c r="AF103" s="284">
        <f t="shared" si="99"/>
        <v>-1.7693285082311144E-2</v>
      </c>
      <c r="AG103" s="284">
        <f t="shared" si="111"/>
        <v>-4.9420382386319184E-2</v>
      </c>
      <c r="AI103" s="284">
        <f t="shared" si="93"/>
        <v>4.200000000000001E-2</v>
      </c>
      <c r="AJ103" s="284">
        <f t="shared" si="112"/>
        <v>2.1176495822849528E-2</v>
      </c>
      <c r="AK103" s="288"/>
      <c r="AL103" s="283" t="s">
        <v>418</v>
      </c>
      <c r="AM103" s="283">
        <f t="shared" si="83"/>
        <v>1.9722371860756115E-2</v>
      </c>
      <c r="AN103" s="283">
        <f>Splines!X93</f>
        <v>-9.985163887945936E-4</v>
      </c>
      <c r="AO103" s="283">
        <f t="shared" si="100"/>
        <v>1.872385547196152E-2</v>
      </c>
      <c r="AP103" s="284">
        <f t="shared" si="113"/>
        <v>2.0045277607637635E-2</v>
      </c>
      <c r="AR103" s="291">
        <f t="shared" si="94"/>
        <v>4.2000000000000003E-2</v>
      </c>
      <c r="AS103" s="284">
        <f t="shared" si="114"/>
        <v>2.9918661403225189E-2</v>
      </c>
      <c r="AT103" s="289"/>
      <c r="AU103" s="283" t="s">
        <v>418</v>
      </c>
      <c r="AV103" s="283">
        <f t="shared" si="84"/>
        <v>2.5080845594437382E-2</v>
      </c>
      <c r="AW103" s="284">
        <f>Splines!AC93</f>
        <v>-1.0041888587802405E-3</v>
      </c>
      <c r="AX103" s="284">
        <f t="shared" si="101"/>
        <v>2.4076656735657141E-2</v>
      </c>
      <c r="AY103" s="284">
        <f t="shared" si="115"/>
        <v>3.931267310889508E-2</v>
      </c>
      <c r="BA103" s="291">
        <f t="shared" si="95"/>
        <v>4.2000000000000003E-2</v>
      </c>
      <c r="BB103" s="284">
        <f t="shared" si="116"/>
        <v>2.6001379658738166E-2</v>
      </c>
      <c r="BC103" s="288"/>
      <c r="BD103" s="283" t="s">
        <v>418</v>
      </c>
      <c r="BE103" s="283">
        <f t="shared" si="85"/>
        <v>3.2977367912199927E-2</v>
      </c>
      <c r="BF103" s="284">
        <f>Splines!AH93</f>
        <v>-1.0026944216641916E-3</v>
      </c>
      <c r="BG103" s="284">
        <f t="shared" si="102"/>
        <v>3.1974673490535732E-2</v>
      </c>
      <c r="BH103" s="284">
        <f t="shared" si="117"/>
        <v>4.2519037813377514E-2</v>
      </c>
      <c r="BJ103" s="284">
        <f t="shared" si="96"/>
        <v>4.2000000000000003E-2</v>
      </c>
      <c r="BK103" s="284">
        <f t="shared" si="118"/>
        <v>3.2393714829192621E-2</v>
      </c>
      <c r="BL103" s="288"/>
      <c r="BM103" s="283" t="s">
        <v>418</v>
      </c>
      <c r="BN103" s="283">
        <f t="shared" si="86"/>
        <v>2.9566016299626213E-2</v>
      </c>
      <c r="BO103" s="284">
        <f>Splines!AM93</f>
        <v>-9.9408467053849377E-4</v>
      </c>
      <c r="BP103" s="284">
        <f t="shared" si="103"/>
        <v>2.8571931629087721E-2</v>
      </c>
      <c r="BQ103" s="284">
        <f t="shared" si="119"/>
        <v>4.0883054503043192E-2</v>
      </c>
      <c r="BS103" s="284">
        <f t="shared" si="97"/>
        <v>4.2000000000000003E-2</v>
      </c>
      <c r="BT103" s="284">
        <f t="shared" si="120"/>
        <v>3.090795291712567E-2</v>
      </c>
      <c r="BU103" s="288"/>
      <c r="BV103" s="659" t="s">
        <v>418</v>
      </c>
      <c r="BW103" s="659">
        <f t="shared" si="87"/>
        <v>4.0097920330771537E-2</v>
      </c>
      <c r="BX103" s="284">
        <f>Splines!AR93</f>
        <v>-1.0006944964512231E-3</v>
      </c>
      <c r="BY103" s="284">
        <f t="shared" si="104"/>
        <v>3.9097225834320314E-2</v>
      </c>
      <c r="BZ103" s="284">
        <f t="shared" si="121"/>
        <v>4.1717357928715337E-2</v>
      </c>
      <c r="CB103" s="291">
        <f t="shared" si="105"/>
        <v>4.1717357928715337E-2</v>
      </c>
      <c r="CC103" s="284">
        <f t="shared" si="122"/>
        <v>3.9097225834320293E-2</v>
      </c>
      <c r="CD103" s="288"/>
      <c r="CE103" s="284" t="str">
        <f t="shared" si="74"/>
        <v>89 Year</v>
      </c>
      <c r="CF103" s="284">
        <f t="shared" si="75"/>
        <v>3.2977367912199927E-2</v>
      </c>
      <c r="CG103" s="284">
        <f t="shared" si="76"/>
        <v>-1.0026944216641916E-3</v>
      </c>
      <c r="CH103" s="284">
        <f t="shared" si="77"/>
        <v>3.1974673490535732E-2</v>
      </c>
      <c r="CI103" s="284">
        <f t="shared" si="78"/>
        <v>4.2519037813377514E-2</v>
      </c>
      <c r="CK103" s="284">
        <f>BJ103+MIN('Instructions &amp; Dashboard'!$D$43,'Instructions &amp; Dashboard'!$D$44)/10000</f>
        <v>4.4000000000000004E-2</v>
      </c>
      <c r="CL103" s="284">
        <f t="shared" si="123"/>
        <v>3.4505961952538522E-2</v>
      </c>
    </row>
    <row r="104" spans="1:90">
      <c r="A104" s="283">
        <f t="shared" si="106"/>
        <v>90</v>
      </c>
      <c r="B104" s="283" t="s">
        <v>419</v>
      </c>
      <c r="C104" s="283">
        <f t="shared" si="88"/>
        <v>3.653335222479602E-2</v>
      </c>
      <c r="D104" s="284">
        <f>Splines!D94</f>
        <v>-1.0054302487366429E-3</v>
      </c>
      <c r="E104" s="506">
        <f t="shared" si="89"/>
        <v>3.5527921976059376E-2</v>
      </c>
      <c r="F104" s="507">
        <f t="shared" si="125"/>
        <v>4.0940545847320431E-2</v>
      </c>
      <c r="H104" s="284">
        <f t="shared" si="90"/>
        <v>4.2000000000000003E-2</v>
      </c>
      <c r="I104" s="284">
        <f t="shared" si="124"/>
        <v>3.528281479699813E-2</v>
      </c>
      <c r="J104" s="285"/>
      <c r="K104" s="283" t="s">
        <v>419</v>
      </c>
      <c r="L104" s="283">
        <f t="shared" si="79"/>
        <v>9.1360291011939807E-3</v>
      </c>
      <c r="M104" s="284">
        <f>Splines!I94</f>
        <v>-9.9832695155528217E-4</v>
      </c>
      <c r="N104" s="283">
        <f t="shared" si="80"/>
        <v>8.1377021496386991E-3</v>
      </c>
      <c r="O104" s="284">
        <f t="shared" si="107"/>
        <v>2.0852798101727243E-2</v>
      </c>
      <c r="Q104" s="284">
        <f t="shared" si="91"/>
        <v>4.2000000000000003E-2</v>
      </c>
      <c r="R104" s="284">
        <f t="shared" si="108"/>
        <v>2.2555253525416097E-2</v>
      </c>
      <c r="S104" s="287"/>
      <c r="T104" s="283" t="s">
        <v>419</v>
      </c>
      <c r="U104" s="283">
        <f t="shared" si="81"/>
        <v>6.5617194713830165E-3</v>
      </c>
      <c r="V104" s="284">
        <f>Splines!N94</f>
        <v>-1.00289729557673E-3</v>
      </c>
      <c r="W104" s="284">
        <f t="shared" si="98"/>
        <v>5.5588221758062868E-3</v>
      </c>
      <c r="X104" s="284">
        <f t="shared" si="109"/>
        <v>-8.6200360720998237E-3</v>
      </c>
      <c r="Z104" s="284">
        <f t="shared" si="92"/>
        <v>4.2000000000000003E-2</v>
      </c>
      <c r="AA104" s="284">
        <f t="shared" si="110"/>
        <v>2.779894092547619E-2</v>
      </c>
      <c r="AB104" s="288"/>
      <c r="AC104" s="283" t="s">
        <v>419</v>
      </c>
      <c r="AD104" s="283">
        <f t="shared" si="82"/>
        <v>-1.705892920394543E-2</v>
      </c>
      <c r="AE104" s="284">
        <f>Splines!S94</f>
        <v>-9.9890834968439446E-4</v>
      </c>
      <c r="AF104" s="284">
        <f t="shared" si="99"/>
        <v>-1.8057837553629826E-2</v>
      </c>
      <c r="AG104" s="284">
        <f t="shared" si="111"/>
        <v>-4.9967013265538318E-2</v>
      </c>
      <c r="AI104" s="284">
        <f t="shared" si="93"/>
        <v>4.200000000000001E-2</v>
      </c>
      <c r="AJ104" s="284">
        <f t="shared" si="112"/>
        <v>2.1405566332784787E-2</v>
      </c>
      <c r="AK104" s="288"/>
      <c r="AL104" s="283" t="s">
        <v>419</v>
      </c>
      <c r="AM104" s="283">
        <f t="shared" si="83"/>
        <v>1.9736840090511121E-2</v>
      </c>
      <c r="AN104" s="283">
        <f>Splines!X94</f>
        <v>-9.9837889390600788E-4</v>
      </c>
      <c r="AO104" s="283">
        <f t="shared" si="100"/>
        <v>1.8738461196605112E-2</v>
      </c>
      <c r="AP104" s="284">
        <f t="shared" si="113"/>
        <v>2.0039209714932671E-2</v>
      </c>
      <c r="AR104" s="291">
        <f t="shared" si="94"/>
        <v>4.2000000000000003E-2</v>
      </c>
      <c r="AS104" s="284">
        <f t="shared" si="114"/>
        <v>3.0052125922928941E-2</v>
      </c>
      <c r="AT104" s="289"/>
      <c r="AU104" s="283" t="s">
        <v>419</v>
      </c>
      <c r="AV104" s="283">
        <f t="shared" si="84"/>
        <v>2.5250367480933549E-2</v>
      </c>
      <c r="AW104" s="284">
        <f>Splines!AC94</f>
        <v>-1.0045769599542564E-3</v>
      </c>
      <c r="AX104" s="284">
        <f t="shared" si="101"/>
        <v>2.4245790520979294E-2</v>
      </c>
      <c r="AY104" s="284">
        <f t="shared" si="115"/>
        <v>3.9411115774208971E-2</v>
      </c>
      <c r="BA104" s="291">
        <f t="shared" si="95"/>
        <v>4.2000000000000003E-2</v>
      </c>
      <c r="BB104" s="284">
        <f t="shared" si="116"/>
        <v>2.6177785570908885E-2</v>
      </c>
      <c r="BC104" s="288"/>
      <c r="BD104" s="283" t="s">
        <v>419</v>
      </c>
      <c r="BE104" s="283">
        <f t="shared" si="85"/>
        <v>3.3095184417652176E-2</v>
      </c>
      <c r="BF104" s="284">
        <f>Splines!AH94</f>
        <v>-1.0029440522485017E-3</v>
      </c>
      <c r="BG104" s="284">
        <f t="shared" si="102"/>
        <v>3.2092240365403674E-2</v>
      </c>
      <c r="BH104" s="284">
        <f t="shared" si="117"/>
        <v>4.2609513743346428E-2</v>
      </c>
      <c r="BJ104" s="284">
        <f t="shared" si="96"/>
        <v>4.2000000000000003E-2</v>
      </c>
      <c r="BK104" s="284">
        <f t="shared" si="118"/>
        <v>3.2499963272648813E-2</v>
      </c>
      <c r="BL104" s="288"/>
      <c r="BM104" s="283" t="s">
        <v>419</v>
      </c>
      <c r="BN104" s="283">
        <f t="shared" si="86"/>
        <v>2.9701359846774713E-2</v>
      </c>
      <c r="BO104" s="284">
        <f>Splines!AM94</f>
        <v>-9.9353654436021223E-4</v>
      </c>
      <c r="BP104" s="284">
        <f t="shared" si="103"/>
        <v>2.87078233024145E-2</v>
      </c>
      <c r="BQ104" s="284">
        <f t="shared" si="119"/>
        <v>4.0874365771840004E-2</v>
      </c>
      <c r="BS104" s="284">
        <f t="shared" si="97"/>
        <v>4.2000000000000003E-2</v>
      </c>
      <c r="BT104" s="284">
        <f t="shared" si="120"/>
        <v>3.1030546864617703E-2</v>
      </c>
      <c r="BU104" s="288"/>
      <c r="BV104" s="659" t="s">
        <v>419</v>
      </c>
      <c r="BW104" s="659">
        <f t="shared" si="87"/>
        <v>4.0126614454520156E-2</v>
      </c>
      <c r="BX104" s="284">
        <f>Splines!AR94</f>
        <v>-1.0007588192560133E-3</v>
      </c>
      <c r="BY104" s="284">
        <f t="shared" si="104"/>
        <v>3.9125855635264141E-2</v>
      </c>
      <c r="BZ104" s="284">
        <f t="shared" si="121"/>
        <v>4.1677069716832715E-2</v>
      </c>
      <c r="CB104" s="291">
        <f t="shared" si="105"/>
        <v>4.1677069716832715E-2</v>
      </c>
      <c r="CC104" s="284">
        <f t="shared" si="122"/>
        <v>3.9125855635264051E-2</v>
      </c>
      <c r="CD104" s="288"/>
      <c r="CE104" s="284" t="str">
        <f t="shared" si="74"/>
        <v>90 Year</v>
      </c>
      <c r="CF104" s="284">
        <f t="shared" si="75"/>
        <v>3.3095184417652176E-2</v>
      </c>
      <c r="CG104" s="284">
        <f t="shared" si="76"/>
        <v>-1.0029440522485017E-3</v>
      </c>
      <c r="CH104" s="284">
        <f t="shared" si="77"/>
        <v>3.2092240365403674E-2</v>
      </c>
      <c r="CI104" s="284">
        <f t="shared" si="78"/>
        <v>4.2609513743346428E-2</v>
      </c>
      <c r="CK104" s="284">
        <f>BJ104+MIN('Instructions &amp; Dashboard'!$D$43,'Instructions &amp; Dashboard'!$D$44)/10000</f>
        <v>4.4000000000000004E-2</v>
      </c>
      <c r="CL104" s="284">
        <f t="shared" si="123"/>
        <v>3.461097547824199E-2</v>
      </c>
    </row>
    <row r="105" spans="1:90">
      <c r="A105" s="283">
        <f t="shared" si="106"/>
        <v>91</v>
      </c>
      <c r="B105" s="283" t="s">
        <v>420</v>
      </c>
      <c r="C105" s="283">
        <f t="shared" si="88"/>
        <v>3.6593152397229795E-2</v>
      </c>
      <c r="D105" s="284">
        <f>Splines!D95</f>
        <v>-1.0056300600983854E-3</v>
      </c>
      <c r="E105" s="506">
        <f t="shared" si="89"/>
        <v>3.5587522337131409E-2</v>
      </c>
      <c r="F105" s="507">
        <f t="shared" si="125"/>
        <v>4.0965626052836157E-2</v>
      </c>
      <c r="H105" s="284">
        <f t="shared" si="90"/>
        <v>4.2000000000000003E-2</v>
      </c>
      <c r="I105" s="284">
        <f t="shared" si="124"/>
        <v>3.5356394198177155E-2</v>
      </c>
      <c r="J105" s="285"/>
      <c r="K105" s="283" t="s">
        <v>420</v>
      </c>
      <c r="L105" s="283">
        <f t="shared" si="79"/>
        <v>9.2783895336192683E-3</v>
      </c>
      <c r="M105" s="284">
        <f>Splines!I95</f>
        <v>-9.982653614856406E-4</v>
      </c>
      <c r="N105" s="283">
        <f t="shared" si="80"/>
        <v>8.2801241721336283E-3</v>
      </c>
      <c r="O105" s="284">
        <f t="shared" si="107"/>
        <v>2.1180845213111921E-2</v>
      </c>
      <c r="Q105" s="284">
        <f t="shared" si="91"/>
        <v>4.2000000000000003E-2</v>
      </c>
      <c r="R105" s="284">
        <f t="shared" si="108"/>
        <v>2.2766947723431352E-2</v>
      </c>
      <c r="S105" s="287"/>
      <c r="T105" s="283" t="s">
        <v>420</v>
      </c>
      <c r="U105" s="283">
        <f t="shared" si="81"/>
        <v>6.4027612883496773E-3</v>
      </c>
      <c r="V105" s="284">
        <f>Splines!N95</f>
        <v>-1.0030038942282727E-3</v>
      </c>
      <c r="W105" s="284">
        <f t="shared" si="98"/>
        <v>5.3997573941214046E-3</v>
      </c>
      <c r="X105" s="284">
        <f t="shared" si="109"/>
        <v>-8.8135175110086728E-3</v>
      </c>
      <c r="Z105" s="284">
        <f t="shared" si="92"/>
        <v>4.2000000000000003E-2</v>
      </c>
      <c r="AA105" s="284">
        <f t="shared" si="110"/>
        <v>2.7953939927845006E-2</v>
      </c>
      <c r="AB105" s="288"/>
      <c r="AC105" s="283" t="s">
        <v>420</v>
      </c>
      <c r="AD105" s="283">
        <f t="shared" si="82"/>
        <v>-1.7421404194854231E-2</v>
      </c>
      <c r="AE105" s="284">
        <f>Splines!S95</f>
        <v>-9.9886815507368889E-4</v>
      </c>
      <c r="AF105" s="284">
        <f t="shared" si="99"/>
        <v>-1.8420272349927921E-2</v>
      </c>
      <c r="AG105" s="284">
        <f t="shared" si="111"/>
        <v>-5.0497546845568286E-2</v>
      </c>
      <c r="AI105" s="284">
        <f t="shared" si="93"/>
        <v>4.200000000000001E-2</v>
      </c>
      <c r="AJ105" s="284">
        <f t="shared" si="112"/>
        <v>2.1629652029472535E-2</v>
      </c>
      <c r="AK105" s="288"/>
      <c r="AL105" s="283" t="s">
        <v>420</v>
      </c>
      <c r="AM105" s="283">
        <f t="shared" si="83"/>
        <v>1.975100936526894E-2</v>
      </c>
      <c r="AN105" s="283">
        <f>Splines!X95</f>
        <v>-9.9831921531556844E-4</v>
      </c>
      <c r="AO105" s="283">
        <f t="shared" si="100"/>
        <v>1.8752690149953372E-2</v>
      </c>
      <c r="AP105" s="284">
        <f t="shared" si="113"/>
        <v>2.0034110125023652E-2</v>
      </c>
      <c r="AR105" s="291">
        <f t="shared" si="94"/>
        <v>4.2000000000000003E-2</v>
      </c>
      <c r="AS105" s="284">
        <f t="shared" si="114"/>
        <v>3.0182673885795985E-2</v>
      </c>
      <c r="AT105" s="289"/>
      <c r="AU105" s="283" t="s">
        <v>420</v>
      </c>
      <c r="AV105" s="283">
        <f t="shared" si="84"/>
        <v>2.5416994083494345E-2</v>
      </c>
      <c r="AW105" s="284">
        <f>Splines!AC95</f>
        <v>-1.0047453702773821E-3</v>
      </c>
      <c r="AX105" s="284">
        <f t="shared" si="101"/>
        <v>2.4412248713216962E-2</v>
      </c>
      <c r="AY105" s="284">
        <f t="shared" si="115"/>
        <v>3.9504801708277082E-2</v>
      </c>
      <c r="BA105" s="291">
        <f t="shared" si="95"/>
        <v>4.2000000000000003E-2</v>
      </c>
      <c r="BB105" s="284">
        <f t="shared" si="116"/>
        <v>2.6350343767862716E-2</v>
      </c>
      <c r="BC105" s="288"/>
      <c r="BD105" s="283" t="s">
        <v>420</v>
      </c>
      <c r="BE105" s="283">
        <f t="shared" si="85"/>
        <v>3.321123327099957E-2</v>
      </c>
      <c r="BF105" s="284">
        <f>Splines!AH95</f>
        <v>-1.0030523715461915E-3</v>
      </c>
      <c r="BG105" s="284">
        <f t="shared" si="102"/>
        <v>3.2208180899453376E-2</v>
      </c>
      <c r="BH105" s="284">
        <f t="shared" si="117"/>
        <v>4.2696341371363022E-2</v>
      </c>
      <c r="BJ105" s="284">
        <f t="shared" si="96"/>
        <v>4.2000000000000003E-2</v>
      </c>
      <c r="BK105" s="284">
        <f t="shared" si="118"/>
        <v>3.2603887162155676E-2</v>
      </c>
      <c r="BL105" s="288"/>
      <c r="BM105" s="283" t="s">
        <v>420</v>
      </c>
      <c r="BN105" s="283">
        <f t="shared" si="86"/>
        <v>2.983395141692264E-2</v>
      </c>
      <c r="BO105" s="284">
        <f>Splines!AM95</f>
        <v>-9.9329866724165048E-4</v>
      </c>
      <c r="BP105" s="284">
        <f t="shared" si="103"/>
        <v>2.8840652749680989E-2</v>
      </c>
      <c r="BQ105" s="284">
        <f t="shared" si="119"/>
        <v>4.0865807328694048E-2</v>
      </c>
      <c r="BS105" s="284">
        <f t="shared" si="97"/>
        <v>4.2000000000000003E-2</v>
      </c>
      <c r="BT105" s="284">
        <f t="shared" si="120"/>
        <v>3.115046054120918E-2</v>
      </c>
      <c r="BU105" s="288"/>
      <c r="BV105" s="659" t="s">
        <v>420</v>
      </c>
      <c r="BW105" s="659">
        <f t="shared" si="87"/>
        <v>4.015422612738935E-2</v>
      </c>
      <c r="BX105" s="284">
        <f>Splines!AR95</f>
        <v>-1.0007867219503203E-3</v>
      </c>
      <c r="BY105" s="284">
        <f t="shared" si="104"/>
        <v>3.9153439405439028E-2</v>
      </c>
      <c r="BZ105" s="284">
        <f t="shared" si="121"/>
        <v>4.1638979507556906E-2</v>
      </c>
      <c r="CB105" s="291">
        <f t="shared" si="105"/>
        <v>4.1638979507556906E-2</v>
      </c>
      <c r="CC105" s="284">
        <f t="shared" si="122"/>
        <v>3.9153439405438917E-2</v>
      </c>
      <c r="CD105" s="288"/>
      <c r="CE105" s="284" t="str">
        <f t="shared" si="74"/>
        <v>91 Year</v>
      </c>
      <c r="CF105" s="284">
        <f t="shared" si="75"/>
        <v>3.321123327099957E-2</v>
      </c>
      <c r="CG105" s="284">
        <f t="shared" si="76"/>
        <v>-1.0030523715461915E-3</v>
      </c>
      <c r="CH105" s="284">
        <f t="shared" si="77"/>
        <v>3.2208180899453376E-2</v>
      </c>
      <c r="CI105" s="284">
        <f t="shared" si="78"/>
        <v>4.2696341371363022E-2</v>
      </c>
      <c r="CK105" s="284">
        <f>BJ105+MIN('Instructions &amp; Dashboard'!$D$43,'Instructions &amp; Dashboard'!$D$44)/10000</f>
        <v>4.4000000000000004E-2</v>
      </c>
      <c r="CL105" s="284">
        <f t="shared" si="123"/>
        <v>3.4713691325514384E-2</v>
      </c>
    </row>
    <row r="106" spans="1:90">
      <c r="A106" s="283">
        <f t="shared" si="106"/>
        <v>92</v>
      </c>
      <c r="B106" s="283" t="s">
        <v>421</v>
      </c>
      <c r="C106" s="283">
        <f t="shared" si="88"/>
        <v>3.6651676980497511E-2</v>
      </c>
      <c r="D106" s="284">
        <f>Splines!D96</f>
        <v>-1.0055953458268947E-3</v>
      </c>
      <c r="E106" s="506">
        <f t="shared" si="89"/>
        <v>3.5646081634670618E-2</v>
      </c>
      <c r="F106" s="507">
        <f t="shared" si="125"/>
        <v>4.09888625601742E-2</v>
      </c>
      <c r="H106" s="284">
        <f t="shared" si="90"/>
        <v>4.2000000000000003E-2</v>
      </c>
      <c r="I106" s="284">
        <f t="shared" si="124"/>
        <v>3.5428379107284913E-2</v>
      </c>
      <c r="J106" s="285"/>
      <c r="K106" s="283" t="s">
        <v>421</v>
      </c>
      <c r="L106" s="283">
        <f t="shared" si="79"/>
        <v>9.421238432442712E-3</v>
      </c>
      <c r="M106" s="284">
        <f>Splines!I96</f>
        <v>-9.9827610820210004E-4</v>
      </c>
      <c r="N106" s="283">
        <f t="shared" si="80"/>
        <v>8.4229623242406126E-3</v>
      </c>
      <c r="O106" s="284">
        <f t="shared" si="107"/>
        <v>2.1506299790032157E-2</v>
      </c>
      <c r="Q106" s="284">
        <f t="shared" si="91"/>
        <v>4.2000000000000003E-2</v>
      </c>
      <c r="R106" s="284">
        <f t="shared" si="108"/>
        <v>2.2974082280778241E-2</v>
      </c>
      <c r="S106" s="287"/>
      <c r="T106" s="283" t="s">
        <v>421</v>
      </c>
      <c r="U106" s="283">
        <f t="shared" si="81"/>
        <v>6.2450751940284627E-3</v>
      </c>
      <c r="V106" s="284">
        <f>Splines!N96</f>
        <v>-1.0029853908163505E-3</v>
      </c>
      <c r="W106" s="284">
        <f t="shared" si="98"/>
        <v>5.2420898032121124E-3</v>
      </c>
      <c r="X106" s="284">
        <f t="shared" si="109"/>
        <v>-9.0026450268082536E-3</v>
      </c>
      <c r="Z106" s="284">
        <f t="shared" si="92"/>
        <v>4.2000000000000003E-2</v>
      </c>
      <c r="AA106" s="284">
        <f t="shared" si="110"/>
        <v>2.810559200485141E-2</v>
      </c>
      <c r="AB106" s="288"/>
      <c r="AC106" s="283" t="s">
        <v>421</v>
      </c>
      <c r="AD106" s="283">
        <f t="shared" si="82"/>
        <v>-1.7781603565862503E-2</v>
      </c>
      <c r="AE106" s="284">
        <f>Splines!S96</f>
        <v>-9.988751808514538E-4</v>
      </c>
      <c r="AF106" s="284">
        <f t="shared" si="99"/>
        <v>-1.8780478746713958E-2</v>
      </c>
      <c r="AG106" s="284">
        <f t="shared" si="111"/>
        <v>-5.1011982777852238E-2</v>
      </c>
      <c r="AI106" s="284">
        <f t="shared" si="93"/>
        <v>4.200000000000001E-2</v>
      </c>
      <c r="AJ106" s="284">
        <f t="shared" si="112"/>
        <v>2.1848913868459663E-2</v>
      </c>
      <c r="AK106" s="288"/>
      <c r="AL106" s="283" t="s">
        <v>421</v>
      </c>
      <c r="AM106" s="283">
        <f t="shared" si="83"/>
        <v>1.976489536520112E-2</v>
      </c>
      <c r="AN106" s="283">
        <f>Splines!X96</f>
        <v>-9.9832962960181692E-4</v>
      </c>
      <c r="AO106" s="283">
        <f t="shared" si="100"/>
        <v>1.8766565735599303E-2</v>
      </c>
      <c r="AP106" s="284">
        <f t="shared" si="113"/>
        <v>2.0030035455862905E-2</v>
      </c>
      <c r="AR106" s="291">
        <f t="shared" si="94"/>
        <v>4.2000000000000003E-2</v>
      </c>
      <c r="AS106" s="284">
        <f t="shared" si="114"/>
        <v>3.0310399859378556E-2</v>
      </c>
      <c r="AT106" s="289"/>
      <c r="AU106" s="283" t="s">
        <v>421</v>
      </c>
      <c r="AV106" s="283">
        <f t="shared" si="84"/>
        <v>2.5580783828561871E-2</v>
      </c>
      <c r="AW106" s="284">
        <f>Splines!AC96</f>
        <v>-1.0047161170404029E-3</v>
      </c>
      <c r="AX106" s="284">
        <f t="shared" si="101"/>
        <v>2.4576067711521467E-2</v>
      </c>
      <c r="AY106" s="284">
        <f t="shared" si="115"/>
        <v>3.9593785728777142E-2</v>
      </c>
      <c r="BA106" s="291">
        <f t="shared" si="95"/>
        <v>4.2000000000000003E-2</v>
      </c>
      <c r="BB106" s="284">
        <f t="shared" si="116"/>
        <v>2.6519178777027141E-2</v>
      </c>
      <c r="BC106" s="288"/>
      <c r="BD106" s="283" t="s">
        <v>421</v>
      </c>
      <c r="BE106" s="283">
        <f t="shared" si="85"/>
        <v>3.3325542382682372E-2</v>
      </c>
      <c r="BF106" s="284">
        <f>Splines!AH96</f>
        <v>-1.0030335688923206E-3</v>
      </c>
      <c r="BG106" s="284">
        <f t="shared" si="102"/>
        <v>3.2322508813790049E-2</v>
      </c>
      <c r="BH106" s="284">
        <f t="shared" si="117"/>
        <v>4.2779532985438795E-2</v>
      </c>
      <c r="BJ106" s="284">
        <f t="shared" si="96"/>
        <v>4.2000000000000003E-2</v>
      </c>
      <c r="BK106" s="284">
        <f t="shared" si="118"/>
        <v>3.2705561958261686E-2</v>
      </c>
      <c r="BL106" s="288"/>
      <c r="BM106" s="283" t="s">
        <v>421</v>
      </c>
      <c r="BN106" s="283">
        <f t="shared" si="86"/>
        <v>2.9963863453194559E-2</v>
      </c>
      <c r="BO106" s="284">
        <f>Splines!AM96</f>
        <v>-9.9334007248727085E-4</v>
      </c>
      <c r="BP106" s="284">
        <f t="shared" si="103"/>
        <v>2.8970523380707287E-2</v>
      </c>
      <c r="BQ106" s="284">
        <f t="shared" si="119"/>
        <v>4.0857634929038378E-2</v>
      </c>
      <c r="BS106" s="284">
        <f t="shared" si="97"/>
        <v>4.2000000000000003E-2</v>
      </c>
      <c r="BT106" s="284">
        <f t="shared" si="120"/>
        <v>3.1267780893772024E-2</v>
      </c>
      <c r="BU106" s="288"/>
      <c r="BV106" s="659" t="s">
        <v>421</v>
      </c>
      <c r="BW106" s="659">
        <f t="shared" si="87"/>
        <v>4.0180815526715499E-2</v>
      </c>
      <c r="BX106" s="284">
        <f>Splines!AR96</f>
        <v>-1.0007819047525273E-3</v>
      </c>
      <c r="BY106" s="284">
        <f t="shared" si="104"/>
        <v>3.918003362196297E-2</v>
      </c>
      <c r="BZ106" s="284">
        <f t="shared" si="121"/>
        <v>4.160295852408713E-2</v>
      </c>
      <c r="CB106" s="291">
        <f t="shared" si="105"/>
        <v>4.160295852408713E-2</v>
      </c>
      <c r="CC106" s="284">
        <f t="shared" si="122"/>
        <v>3.9180033621962984E-2</v>
      </c>
      <c r="CD106" s="288"/>
      <c r="CE106" s="284" t="str">
        <f t="shared" si="74"/>
        <v>92 Year</v>
      </c>
      <c r="CF106" s="284">
        <f t="shared" si="75"/>
        <v>3.3325542382682372E-2</v>
      </c>
      <c r="CG106" s="284">
        <f t="shared" si="76"/>
        <v>-1.0030335688923206E-3</v>
      </c>
      <c r="CH106" s="284">
        <f t="shared" si="77"/>
        <v>3.2322508813790049E-2</v>
      </c>
      <c r="CI106" s="284">
        <f t="shared" si="78"/>
        <v>4.2779532985438795E-2</v>
      </c>
      <c r="CK106" s="284">
        <f>BJ106+MIN('Instructions &amp; Dashboard'!$D$43,'Instructions &amp; Dashboard'!$D$44)/10000</f>
        <v>4.4000000000000004E-2</v>
      </c>
      <c r="CL106" s="284">
        <f t="shared" si="123"/>
        <v>3.4814184087053945E-2</v>
      </c>
    </row>
    <row r="107" spans="1:90">
      <c r="A107" s="283">
        <f t="shared" si="106"/>
        <v>93</v>
      </c>
      <c r="B107" s="283" t="s">
        <v>422</v>
      </c>
      <c r="C107" s="283">
        <f t="shared" si="88"/>
        <v>3.6708964969413019E-2</v>
      </c>
      <c r="D107" s="284">
        <f>Splines!D97</f>
        <v>-1.0053520251201644E-3</v>
      </c>
      <c r="E107" s="506">
        <f t="shared" si="89"/>
        <v>3.5703612944292855E-2</v>
      </c>
      <c r="F107" s="507">
        <f t="shared" si="125"/>
        <v>4.101018868195716E-2</v>
      </c>
      <c r="H107" s="284">
        <f t="shared" si="90"/>
        <v>4.2000000000000003E-2</v>
      </c>
      <c r="I107" s="284">
        <f t="shared" si="124"/>
        <v>3.549882079841149E-2</v>
      </c>
      <c r="J107" s="285"/>
      <c r="K107" s="283" t="s">
        <v>422</v>
      </c>
      <c r="L107" s="283">
        <f t="shared" si="79"/>
        <v>9.5645260760501803E-3</v>
      </c>
      <c r="M107" s="284">
        <f>Splines!I97</f>
        <v>-9.9835101527981774E-4</v>
      </c>
      <c r="N107" s="283">
        <f t="shared" si="80"/>
        <v>8.5661750607703632E-3</v>
      </c>
      <c r="O107" s="284">
        <f t="shared" si="107"/>
        <v>2.1829131271897451E-2</v>
      </c>
      <c r="Q107" s="284">
        <f t="shared" si="91"/>
        <v>4.2000000000000003E-2</v>
      </c>
      <c r="R107" s="284">
        <f t="shared" si="108"/>
        <v>2.3176802937601382E-2</v>
      </c>
      <c r="S107" s="287"/>
      <c r="T107" s="283" t="s">
        <v>422</v>
      </c>
      <c r="U107" s="283">
        <f t="shared" si="81"/>
        <v>6.0886760664378772E-3</v>
      </c>
      <c r="V107" s="284">
        <f>Splines!N97</f>
        <v>-1.0028555464364033E-3</v>
      </c>
      <c r="W107" s="284">
        <f t="shared" si="98"/>
        <v>5.0858205200014737E-3</v>
      </c>
      <c r="X107" s="284">
        <f t="shared" si="109"/>
        <v>-9.1875175167270839E-3</v>
      </c>
      <c r="Z107" s="284">
        <f t="shared" si="92"/>
        <v>4.2000000000000003E-2</v>
      </c>
      <c r="AA107" s="284">
        <f t="shared" si="110"/>
        <v>2.8254004403251765E-2</v>
      </c>
      <c r="AB107" s="288"/>
      <c r="AC107" s="283" t="s">
        <v>422</v>
      </c>
      <c r="AD107" s="283">
        <f t="shared" si="82"/>
        <v>-1.8139426602412315E-2</v>
      </c>
      <c r="AE107" s="284">
        <f>Splines!S97</f>
        <v>-9.9892404128719848E-4</v>
      </c>
      <c r="AF107" s="284">
        <f t="shared" si="99"/>
        <v>-1.9138350643699512E-2</v>
      </c>
      <c r="AG107" s="284">
        <f t="shared" si="111"/>
        <v>-5.1510312361099042E-2</v>
      </c>
      <c r="AI107" s="284">
        <f t="shared" si="93"/>
        <v>4.200000000000001E-2</v>
      </c>
      <c r="AJ107" s="284">
        <f t="shared" si="112"/>
        <v>2.2063505949803996E-2</v>
      </c>
      <c r="AK107" s="288"/>
      <c r="AL107" s="283" t="s">
        <v>422</v>
      </c>
      <c r="AM107" s="283">
        <f t="shared" si="83"/>
        <v>1.9778513359123701E-2</v>
      </c>
      <c r="AN107" s="283">
        <f>Splines!X97</f>
        <v>-9.9840220966170489E-4</v>
      </c>
      <c r="AO107" s="283">
        <f t="shared" si="100"/>
        <v>1.8780111149461997E-2</v>
      </c>
      <c r="AP107" s="284">
        <f t="shared" si="113"/>
        <v>2.0027059996648111E-2</v>
      </c>
      <c r="AR107" s="291">
        <f t="shared" si="94"/>
        <v>4.2000000000000003E-2</v>
      </c>
      <c r="AS107" s="284">
        <f t="shared" si="114"/>
        <v>3.0435394366594259E-2</v>
      </c>
      <c r="AT107" s="289"/>
      <c r="AU107" s="283" t="s">
        <v>422</v>
      </c>
      <c r="AV107" s="283">
        <f t="shared" si="84"/>
        <v>2.5741794102200601E-2</v>
      </c>
      <c r="AW107" s="284">
        <f>Splines!AC97</f>
        <v>-1.0045110236796193E-3</v>
      </c>
      <c r="AX107" s="284">
        <f t="shared" si="101"/>
        <v>2.473728307852098E-2</v>
      </c>
      <c r="AY107" s="284">
        <f t="shared" si="115"/>
        <v>3.9678136551237309E-2</v>
      </c>
      <c r="BA107" s="291">
        <f t="shared" si="95"/>
        <v>4.2000000000000003E-2</v>
      </c>
      <c r="BB107" s="284">
        <f t="shared" si="116"/>
        <v>2.6684409809674348E-2</v>
      </c>
      <c r="BC107" s="288"/>
      <c r="BD107" s="283" t="s">
        <v>422</v>
      </c>
      <c r="BE107" s="283">
        <f t="shared" si="85"/>
        <v>3.3438139187583524E-2</v>
      </c>
      <c r="BF107" s="284">
        <f>Splines!AH97</f>
        <v>-1.0029016298130123E-3</v>
      </c>
      <c r="BG107" s="284">
        <f t="shared" si="102"/>
        <v>3.2435237557770509E-2</v>
      </c>
      <c r="BH107" s="284">
        <f t="shared" si="117"/>
        <v>4.285911854980462E-2</v>
      </c>
      <c r="BJ107" s="284">
        <f t="shared" si="96"/>
        <v>4.2000000000000003E-2</v>
      </c>
      <c r="BK107" s="284">
        <f t="shared" si="118"/>
        <v>3.2805059890328891E-2</v>
      </c>
      <c r="BL107" s="288"/>
      <c r="BM107" s="283" t="s">
        <v>422</v>
      </c>
      <c r="BN107" s="283">
        <f t="shared" si="86"/>
        <v>3.0091166592993386E-2</v>
      </c>
      <c r="BO107" s="284">
        <f>Splines!AM97</f>
        <v>-9.9362958985502268E-4</v>
      </c>
      <c r="BP107" s="284">
        <f t="shared" si="103"/>
        <v>2.9097537003138364E-2</v>
      </c>
      <c r="BQ107" s="284">
        <f t="shared" si="119"/>
        <v>4.0850113666758059E-2</v>
      </c>
      <c r="BS107" s="284">
        <f t="shared" si="97"/>
        <v>4.2000000000000003E-2</v>
      </c>
      <c r="BT107" s="284">
        <f t="shared" si="120"/>
        <v>3.1382591148747974E-2</v>
      </c>
      <c r="BU107" s="288"/>
      <c r="BV107" s="659" t="s">
        <v>422</v>
      </c>
      <c r="BW107" s="659">
        <f t="shared" si="87"/>
        <v>4.0206439063899389E-2</v>
      </c>
      <c r="BX107" s="284">
        <f>Splines!AR97</f>
        <v>-1.0007478641330398E-3</v>
      </c>
      <c r="BY107" s="284">
        <f t="shared" si="104"/>
        <v>3.920569119976635E-2</v>
      </c>
      <c r="BZ107" s="284">
        <f t="shared" si="121"/>
        <v>4.156890046338324E-2</v>
      </c>
      <c r="CB107" s="291">
        <f t="shared" si="105"/>
        <v>4.156890046338324E-2</v>
      </c>
      <c r="CC107" s="284">
        <f t="shared" si="122"/>
        <v>3.9205691199766246E-2</v>
      </c>
      <c r="CD107" s="288"/>
      <c r="CE107" s="284" t="str">
        <f t="shared" si="74"/>
        <v>93 Year</v>
      </c>
      <c r="CF107" s="284">
        <f t="shared" si="75"/>
        <v>3.3438139187583524E-2</v>
      </c>
      <c r="CG107" s="284">
        <f t="shared" si="76"/>
        <v>-1.0029016298130123E-3</v>
      </c>
      <c r="CH107" s="284">
        <f t="shared" si="77"/>
        <v>3.2435237557770509E-2</v>
      </c>
      <c r="CI107" s="284">
        <f t="shared" si="78"/>
        <v>4.285911854980462E-2</v>
      </c>
      <c r="CK107" s="284">
        <f>BJ107+MIN('Instructions &amp; Dashboard'!$D$43,'Instructions &amp; Dashboard'!$D$44)/10000</f>
        <v>4.4000000000000004E-2</v>
      </c>
      <c r="CL107" s="284">
        <f t="shared" si="123"/>
        <v>3.491252516133847E-2</v>
      </c>
    </row>
    <row r="108" spans="1:90">
      <c r="A108" s="283">
        <f t="shared" si="106"/>
        <v>94</v>
      </c>
      <c r="B108" s="283" t="s">
        <v>423</v>
      </c>
      <c r="C108" s="283">
        <f t="shared" si="88"/>
        <v>3.6765053886006809E-2</v>
      </c>
      <c r="D108" s="284">
        <f>Splines!D98</f>
        <v>-1.0049263085931803E-3</v>
      </c>
      <c r="E108" s="506">
        <f t="shared" si="89"/>
        <v>3.5760127577413627E-2</v>
      </c>
      <c r="F108" s="507">
        <f t="shared" si="125"/>
        <v>4.102949033533787E-2</v>
      </c>
      <c r="H108" s="284">
        <f t="shared" si="90"/>
        <v>4.2000000000000003E-2</v>
      </c>
      <c r="I108" s="284">
        <f t="shared" si="124"/>
        <v>3.5567768370540875E-2</v>
      </c>
      <c r="J108" s="285"/>
      <c r="K108" s="283" t="s">
        <v>423</v>
      </c>
      <c r="L108" s="283">
        <f t="shared" si="79"/>
        <v>9.7082040790967793E-3</v>
      </c>
      <c r="M108" s="284">
        <f>Splines!I98</f>
        <v>-9.9848219721557609E-4</v>
      </c>
      <c r="N108" s="283">
        <f t="shared" si="80"/>
        <v>8.7097218818812036E-3</v>
      </c>
      <c r="O108" s="284">
        <f t="shared" si="107"/>
        <v>2.2149269779890624E-2</v>
      </c>
      <c r="Q108" s="284">
        <f t="shared" si="91"/>
        <v>4.2000000000000003E-2</v>
      </c>
      <c r="R108" s="284">
        <f t="shared" si="108"/>
        <v>2.3375249288623001E-2</v>
      </c>
      <c r="S108" s="287"/>
      <c r="T108" s="283" t="s">
        <v>423</v>
      </c>
      <c r="U108" s="283">
        <f t="shared" si="81"/>
        <v>5.9335774852770223E-3</v>
      </c>
      <c r="V108" s="284">
        <f>Splines!N98</f>
        <v>-1.0026284134242206E-3</v>
      </c>
      <c r="W108" s="284">
        <f t="shared" si="98"/>
        <v>4.9309490718528019E-3</v>
      </c>
      <c r="X108" s="284">
        <f t="shared" si="109"/>
        <v>-9.3682781157171657E-3</v>
      </c>
      <c r="Z108" s="284">
        <f t="shared" si="92"/>
        <v>4.2000000000000003E-2</v>
      </c>
      <c r="AA108" s="284">
        <f t="shared" si="110"/>
        <v>2.8399279836230917E-2</v>
      </c>
      <c r="AB108" s="288"/>
      <c r="AC108" s="283" t="s">
        <v>423</v>
      </c>
      <c r="AD108" s="283">
        <f t="shared" si="82"/>
        <v>-1.8494777270844004E-2</v>
      </c>
      <c r="AE108" s="284">
        <f>Splines!S98</f>
        <v>-9.9900964161260368E-4</v>
      </c>
      <c r="AF108" s="284">
        <f t="shared" si="99"/>
        <v>-1.9493786912456609E-2</v>
      </c>
      <c r="AG108" s="284">
        <f t="shared" si="111"/>
        <v>-5.199258033320231E-2</v>
      </c>
      <c r="AI108" s="284">
        <f t="shared" si="93"/>
        <v>4.200000000000001E-2</v>
      </c>
      <c r="AJ108" s="284">
        <f t="shared" si="112"/>
        <v>2.2273575879206975E-2</v>
      </c>
      <c r="AK108" s="288"/>
      <c r="AL108" s="283" t="s">
        <v>423</v>
      </c>
      <c r="AM108" s="283">
        <f t="shared" si="83"/>
        <v>1.97918782129794E-2</v>
      </c>
      <c r="AN108" s="283">
        <f>Splines!X98</f>
        <v>-9.9852931931743182E-4</v>
      </c>
      <c r="AO108" s="283">
        <f t="shared" si="100"/>
        <v>1.8793348893661969E-2</v>
      </c>
      <c r="AP108" s="284">
        <f t="shared" si="113"/>
        <v>2.0025211248943409E-2</v>
      </c>
      <c r="AR108" s="291">
        <f t="shared" si="94"/>
        <v>4.2000000000000003E-2</v>
      </c>
      <c r="AS108" s="284">
        <f t="shared" si="114"/>
        <v>3.0557744099671824E-2</v>
      </c>
      <c r="AT108" s="289"/>
      <c r="AU108" s="283" t="s">
        <v>423</v>
      </c>
      <c r="AV108" s="283">
        <f t="shared" si="84"/>
        <v>2.5900081250903286E-2</v>
      </c>
      <c r="AW108" s="284">
        <f>Splines!AC98</f>
        <v>-1.0041522049888164E-3</v>
      </c>
      <c r="AX108" s="284">
        <f t="shared" si="101"/>
        <v>2.4895929045914471E-2</v>
      </c>
      <c r="AY108" s="284">
        <f t="shared" si="115"/>
        <v>3.9757871513006249E-2</v>
      </c>
      <c r="BA108" s="291">
        <f t="shared" si="95"/>
        <v>4.2000000000000003E-2</v>
      </c>
      <c r="BB108" s="284">
        <f t="shared" si="116"/>
        <v>2.6846151041608035E-2</v>
      </c>
      <c r="BC108" s="288"/>
      <c r="BD108" s="283" t="s">
        <v>423</v>
      </c>
      <c r="BE108" s="283">
        <f t="shared" si="85"/>
        <v>3.3549050654983564E-2</v>
      </c>
      <c r="BF108" s="284">
        <f>Splines!AH98</f>
        <v>-1.0026708310780018E-3</v>
      </c>
      <c r="BG108" s="284">
        <f t="shared" si="102"/>
        <v>3.2546379823905562E-2</v>
      </c>
      <c r="BH108" s="284">
        <f t="shared" si="117"/>
        <v>4.2935080609935783E-2</v>
      </c>
      <c r="BJ108" s="284">
        <f t="shared" si="96"/>
        <v>4.2000000000000003E-2</v>
      </c>
      <c r="BK108" s="284">
        <f t="shared" si="118"/>
        <v>3.2902450127648253E-2</v>
      </c>
      <c r="BL108" s="288"/>
      <c r="BM108" s="283" t="s">
        <v>423</v>
      </c>
      <c r="BN108" s="283">
        <f t="shared" si="86"/>
        <v>3.0215929668321879E-2</v>
      </c>
      <c r="BO108" s="284">
        <f>Splines!AM98</f>
        <v>-9.941363396904102E-4</v>
      </c>
      <c r="BP108" s="284">
        <f t="shared" si="103"/>
        <v>2.9221793328631469E-2</v>
      </c>
      <c r="BQ108" s="284">
        <f t="shared" si="119"/>
        <v>4.0843453561066445E-2</v>
      </c>
      <c r="BS108" s="284">
        <f t="shared" si="97"/>
        <v>4.2000000000000003E-2</v>
      </c>
      <c r="BT108" s="284">
        <f t="shared" si="120"/>
        <v>3.1494971009035089E-2</v>
      </c>
      <c r="BU108" s="288"/>
      <c r="BV108" s="659" t="s">
        <v>423</v>
      </c>
      <c r="BW108" s="659">
        <f t="shared" si="87"/>
        <v>4.0231149621994602E-2</v>
      </c>
      <c r="BX108" s="284">
        <f>Splines!AR98</f>
        <v>-1.0006883876534803E-3</v>
      </c>
      <c r="BY108" s="284">
        <f t="shared" si="104"/>
        <v>3.9230461234341124E-2</v>
      </c>
      <c r="BZ108" s="284">
        <f t="shared" si="121"/>
        <v>4.1536657007428035E-2</v>
      </c>
      <c r="CB108" s="291">
        <f t="shared" si="105"/>
        <v>4.1536657007428035E-2</v>
      </c>
      <c r="CC108" s="284">
        <f t="shared" si="122"/>
        <v>3.9230461234341041E-2</v>
      </c>
      <c r="CD108" s="288"/>
      <c r="CE108" s="284" t="str">
        <f t="shared" si="74"/>
        <v>94 Year</v>
      </c>
      <c r="CF108" s="284">
        <f t="shared" si="75"/>
        <v>3.3549050654983564E-2</v>
      </c>
      <c r="CG108" s="284">
        <f t="shared" si="76"/>
        <v>-1.0026708310780018E-3</v>
      </c>
      <c r="CH108" s="284">
        <f t="shared" si="77"/>
        <v>3.2546379823905562E-2</v>
      </c>
      <c r="CI108" s="284">
        <f t="shared" si="78"/>
        <v>4.2935080609935783E-2</v>
      </c>
      <c r="CK108" s="284">
        <f>BJ108+MIN('Instructions &amp; Dashboard'!$D$43,'Instructions &amp; Dashboard'!$D$44)/10000</f>
        <v>4.4000000000000004E-2</v>
      </c>
      <c r="CL108" s="284">
        <f t="shared" si="123"/>
        <v>3.500878292179288E-2</v>
      </c>
    </row>
    <row r="109" spans="1:90">
      <c r="A109" s="283">
        <f t="shared" si="106"/>
        <v>95</v>
      </c>
      <c r="B109" s="283" t="s">
        <v>424</v>
      </c>
      <c r="C109" s="283">
        <f t="shared" si="88"/>
        <v>3.6819979841233905E-2</v>
      </c>
      <c r="D109" s="284">
        <f>Splines!D99</f>
        <v>-1.0043442028428171E-3</v>
      </c>
      <c r="E109" s="506">
        <f t="shared" si="89"/>
        <v>3.5815635638391088E-2</v>
      </c>
      <c r="F109" s="507">
        <f t="shared" si="125"/>
        <v>4.1046697797718634E-2</v>
      </c>
      <c r="H109" s="284">
        <f t="shared" si="90"/>
        <v>4.2000000000000003E-2</v>
      </c>
      <c r="I109" s="284">
        <f t="shared" si="124"/>
        <v>3.5635268861678338E-2</v>
      </c>
      <c r="J109" s="285"/>
      <c r="K109" s="283" t="s">
        <v>424</v>
      </c>
      <c r="L109" s="283">
        <f t="shared" si="79"/>
        <v>9.8522253890484593E-3</v>
      </c>
      <c r="M109" s="284">
        <f>Splines!I99</f>
        <v>-9.9866156486909819E-4</v>
      </c>
      <c r="N109" s="283">
        <f t="shared" si="80"/>
        <v>8.853563824179362E-3</v>
      </c>
      <c r="O109" s="284">
        <f t="shared" si="107"/>
        <v>2.2466698012299391E-2</v>
      </c>
      <c r="Q109" s="284">
        <f t="shared" si="91"/>
        <v>4.2000000000000003E-2</v>
      </c>
      <c r="R109" s="284">
        <f t="shared" si="108"/>
        <v>2.3569555103672535E-2</v>
      </c>
      <c r="S109" s="287"/>
      <c r="T109" s="283" t="s">
        <v>424</v>
      </c>
      <c r="U109" s="283">
        <f t="shared" si="81"/>
        <v>5.779791806710767E-3</v>
      </c>
      <c r="V109" s="284">
        <f>Splines!N99</f>
        <v>-1.0023178402333599E-3</v>
      </c>
      <c r="W109" s="284">
        <f t="shared" si="98"/>
        <v>4.7774739664774076E-3</v>
      </c>
      <c r="X109" s="284">
        <f t="shared" si="109"/>
        <v>-9.5450244066365153E-3</v>
      </c>
      <c r="Z109" s="284">
        <f t="shared" si="92"/>
        <v>4.2000000000000003E-2</v>
      </c>
      <c r="AA109" s="284">
        <f t="shared" si="110"/>
        <v>2.8541516720448801E-2</v>
      </c>
      <c r="AB109" s="288"/>
      <c r="AC109" s="283" t="s">
        <v>424</v>
      </c>
      <c r="AD109" s="283">
        <f t="shared" si="82"/>
        <v>-1.8847564075348253E-2</v>
      </c>
      <c r="AE109" s="284">
        <f>Splines!S99</f>
        <v>-9.9912668339110122E-4</v>
      </c>
      <c r="AF109" s="284">
        <f t="shared" si="99"/>
        <v>-1.9846690758739353E-2</v>
      </c>
      <c r="AG109" s="284">
        <f t="shared" si="111"/>
        <v>-5.2458796386265938E-2</v>
      </c>
      <c r="AI109" s="284">
        <f t="shared" si="93"/>
        <v>4.200000000000001E-2</v>
      </c>
      <c r="AJ109" s="284">
        <f t="shared" si="112"/>
        <v>2.2479265106556845E-2</v>
      </c>
      <c r="AK109" s="288"/>
      <c r="AL109" s="283" t="s">
        <v>424</v>
      </c>
      <c r="AM109" s="283">
        <f t="shared" si="83"/>
        <v>1.980500439816367E-2</v>
      </c>
      <c r="AN109" s="283">
        <f>Splines!X99</f>
        <v>-9.9870311875135042E-4</v>
      </c>
      <c r="AO109" s="283">
        <f t="shared" si="100"/>
        <v>1.8806301279412321E-2</v>
      </c>
      <c r="AP109" s="284">
        <f t="shared" si="113"/>
        <v>2.00245610795875E-2</v>
      </c>
      <c r="AR109" s="291">
        <f t="shared" si="94"/>
        <v>4.2000000000000003E-2</v>
      </c>
      <c r="AS109" s="284">
        <f t="shared" si="114"/>
        <v>3.0677532120658269E-2</v>
      </c>
      <c r="AT109" s="289"/>
      <c r="AU109" s="283" t="s">
        <v>424</v>
      </c>
      <c r="AV109" s="283">
        <f t="shared" si="84"/>
        <v>2.6055700583966241E-2</v>
      </c>
      <c r="AW109" s="284">
        <f>Splines!AC99</f>
        <v>-1.0036615717894434E-3</v>
      </c>
      <c r="AX109" s="284">
        <f t="shared" si="101"/>
        <v>2.5052039012176799E-2</v>
      </c>
      <c r="AY109" s="284">
        <f t="shared" si="115"/>
        <v>3.9833049200644011E-2</v>
      </c>
      <c r="BA109" s="291">
        <f t="shared" si="95"/>
        <v>4.2000000000000003E-2</v>
      </c>
      <c r="BB109" s="284">
        <f t="shared" si="116"/>
        <v>2.7004511876252302E-2</v>
      </c>
      <c r="BC109" s="288"/>
      <c r="BD109" s="283" t="s">
        <v>424</v>
      </c>
      <c r="BE109" s="283">
        <f t="shared" si="85"/>
        <v>3.365830329818837E-2</v>
      </c>
      <c r="BF109" s="284">
        <f>Splines!AH99</f>
        <v>-1.002355245572282E-3</v>
      </c>
      <c r="BG109" s="284">
        <f t="shared" si="102"/>
        <v>3.2655948052616089E-2</v>
      </c>
      <c r="BH109" s="284">
        <f t="shared" si="117"/>
        <v>4.3007446345102673E-2</v>
      </c>
      <c r="BJ109" s="284">
        <f t="shared" si="96"/>
        <v>4.2000000000000003E-2</v>
      </c>
      <c r="BK109" s="284">
        <f t="shared" si="118"/>
        <v>3.2997798939793155E-2</v>
      </c>
      <c r="BL109" s="288"/>
      <c r="BM109" s="283" t="s">
        <v>424</v>
      </c>
      <c r="BN109" s="283">
        <f t="shared" si="86"/>
        <v>3.0338219712702275E-2</v>
      </c>
      <c r="BO109" s="284">
        <f>Splines!AM99</f>
        <v>-9.9482923895885577E-4</v>
      </c>
      <c r="BP109" s="284">
        <f t="shared" si="103"/>
        <v>2.934339047374342E-2</v>
      </c>
      <c r="BQ109" s="284">
        <f t="shared" si="119"/>
        <v>4.083790215612515E-2</v>
      </c>
      <c r="BS109" s="284">
        <f t="shared" si="97"/>
        <v>4.2000000000000003E-2</v>
      </c>
      <c r="BT109" s="284">
        <f t="shared" si="120"/>
        <v>3.1604996838503041E-2</v>
      </c>
      <c r="BU109" s="288"/>
      <c r="BV109" s="659" t="s">
        <v>424</v>
      </c>
      <c r="BW109" s="659">
        <f t="shared" si="87"/>
        <v>4.0254996779122983E-2</v>
      </c>
      <c r="BX109" s="284">
        <f>Splines!AR99</f>
        <v>-1.0006070591079563E-3</v>
      </c>
      <c r="BY109" s="284">
        <f t="shared" si="104"/>
        <v>3.9254389720015027E-2</v>
      </c>
      <c r="BZ109" s="284">
        <f t="shared" si="121"/>
        <v>4.1506129158074945E-2</v>
      </c>
      <c r="CB109" s="291">
        <f t="shared" si="105"/>
        <v>4.1506129158074945E-2</v>
      </c>
      <c r="CC109" s="284">
        <f t="shared" si="122"/>
        <v>3.9254389720015048E-2</v>
      </c>
      <c r="CD109" s="288"/>
      <c r="CE109" s="284" t="str">
        <f t="shared" si="74"/>
        <v>95 Year</v>
      </c>
      <c r="CF109" s="284">
        <f t="shared" si="75"/>
        <v>3.365830329818837E-2</v>
      </c>
      <c r="CG109" s="284">
        <f t="shared" si="76"/>
        <v>-1.002355245572282E-3</v>
      </c>
      <c r="CH109" s="284">
        <f t="shared" si="77"/>
        <v>3.2655948052616089E-2</v>
      </c>
      <c r="CI109" s="284">
        <f t="shared" si="78"/>
        <v>4.3007446345102673E-2</v>
      </c>
      <c r="CK109" s="284">
        <f>BJ109+MIN('Instructions &amp; Dashboard'!$D$43,'Instructions &amp; Dashboard'!$D$44)/10000</f>
        <v>4.4000000000000004E-2</v>
      </c>
      <c r="CL109" s="284">
        <f t="shared" si="123"/>
        <v>3.5103022875317302E-2</v>
      </c>
    </row>
    <row r="110" spans="1:90">
      <c r="A110" s="283">
        <f t="shared" si="106"/>
        <v>96</v>
      </c>
      <c r="B110" s="283" t="s">
        <v>425</v>
      </c>
      <c r="C110" s="283">
        <f t="shared" si="88"/>
        <v>3.6873777594124899E-2</v>
      </c>
      <c r="D110" s="284">
        <f>Splines!D100</f>
        <v>-1.0036317727376964E-3</v>
      </c>
      <c r="E110" s="506">
        <f t="shared" si="89"/>
        <v>3.58701458213872E-2</v>
      </c>
      <c r="F110" s="507">
        <f t="shared" si="125"/>
        <v>4.1061715702940482E-2</v>
      </c>
      <c r="H110" s="284">
        <f t="shared" si="90"/>
        <v>4.2000000000000003E-2</v>
      </c>
      <c r="I110" s="284">
        <f t="shared" si="124"/>
        <v>3.5701367355866376E-2</v>
      </c>
      <c r="J110" s="285"/>
      <c r="K110" s="283" t="s">
        <v>425</v>
      </c>
      <c r="L110" s="283">
        <f t="shared" si="79"/>
        <v>9.9965442799031246E-3</v>
      </c>
      <c r="M110" s="284">
        <f>Splines!I100</f>
        <v>-9.988810872880215E-4</v>
      </c>
      <c r="N110" s="283">
        <f t="shared" si="80"/>
        <v>8.9976631926151039E-3</v>
      </c>
      <c r="O110" s="284">
        <f t="shared" si="107"/>
        <v>2.2781380388825712E-2</v>
      </c>
      <c r="Q110" s="284">
        <f t="shared" si="91"/>
        <v>4.2000000000000003E-2</v>
      </c>
      <c r="R110" s="284">
        <f t="shared" si="108"/>
        <v>2.3759848628361668E-2</v>
      </c>
      <c r="S110" s="287"/>
      <c r="T110" s="283" t="s">
        <v>425</v>
      </c>
      <c r="U110" s="283">
        <f t="shared" si="81"/>
        <v>5.6273302334324329E-3</v>
      </c>
      <c r="V110" s="284">
        <f>Splines!N100</f>
        <v>-1.0019377335592312E-3</v>
      </c>
      <c r="W110" s="284">
        <f t="shared" si="98"/>
        <v>4.6253924998732017E-3</v>
      </c>
      <c r="X110" s="284">
        <f t="shared" si="109"/>
        <v>-9.7178771555748167E-3</v>
      </c>
      <c r="Z110" s="284">
        <f t="shared" si="92"/>
        <v>4.2000000000000003E-2</v>
      </c>
      <c r="AA110" s="284">
        <f t="shared" si="110"/>
        <v>2.8680809398368812E-2</v>
      </c>
      <c r="AB110" s="288"/>
      <c r="AC110" s="283" t="s">
        <v>425</v>
      </c>
      <c r="AD110" s="283">
        <f t="shared" si="82"/>
        <v>-1.9197699918770295E-2</v>
      </c>
      <c r="AE110" s="284">
        <f>Splines!S100</f>
        <v>-9.992699263808994E-4</v>
      </c>
      <c r="AF110" s="284">
        <f t="shared" si="99"/>
        <v>-2.0196969845151194E-2</v>
      </c>
      <c r="AG110" s="284">
        <f t="shared" si="111"/>
        <v>-5.2909002045916975E-2</v>
      </c>
      <c r="AI110" s="284">
        <f t="shared" si="93"/>
        <v>4.200000000000001E-2</v>
      </c>
      <c r="AJ110" s="284">
        <f t="shared" si="112"/>
        <v>2.2680709243514618E-2</v>
      </c>
      <c r="AK110" s="288"/>
      <c r="AL110" s="283" t="s">
        <v>425</v>
      </c>
      <c r="AM110" s="283">
        <f t="shared" si="83"/>
        <v>1.9817905999697707E-2</v>
      </c>
      <c r="AN110" s="283">
        <f>Splines!X100</f>
        <v>-9.9891582633434227E-4</v>
      </c>
      <c r="AO110" s="283">
        <f t="shared" si="100"/>
        <v>1.8818990173363366E-2</v>
      </c>
      <c r="AP110" s="284">
        <f t="shared" si="113"/>
        <v>2.0025156023971258E-2</v>
      </c>
      <c r="AR110" s="291">
        <f t="shared" si="94"/>
        <v>4.2000000000000003E-2</v>
      </c>
      <c r="AS110" s="284">
        <f t="shared" si="114"/>
        <v>3.0794838049462925E-2</v>
      </c>
      <c r="AT110" s="289"/>
      <c r="AU110" s="283" t="s">
        <v>425</v>
      </c>
      <c r="AV110" s="283">
        <f t="shared" si="84"/>
        <v>2.6208706377301785E-2</v>
      </c>
      <c r="AW110" s="284">
        <f>Splines!AC100</f>
        <v>-1.0030610931646255E-3</v>
      </c>
      <c r="AX110" s="284">
        <f t="shared" si="101"/>
        <v>2.520564528413716E-2</v>
      </c>
      <c r="AY110" s="284">
        <f t="shared" si="115"/>
        <v>3.9903698825755507E-2</v>
      </c>
      <c r="BA110" s="291">
        <f t="shared" si="95"/>
        <v>4.2000000000000003E-2</v>
      </c>
      <c r="BB110" s="284">
        <f t="shared" si="116"/>
        <v>2.7159597191416696E-2</v>
      </c>
      <c r="BC110" s="288"/>
      <c r="BD110" s="283" t="s">
        <v>425</v>
      </c>
      <c r="BE110" s="283">
        <f t="shared" si="85"/>
        <v>3.3765923183848051E-2</v>
      </c>
      <c r="BF110" s="284">
        <f>Splines!AH100</f>
        <v>-1.0019690044232525E-3</v>
      </c>
      <c r="BG110" s="284">
        <f t="shared" si="102"/>
        <v>3.2763954179424799E-2</v>
      </c>
      <c r="BH110" s="284">
        <f t="shared" si="117"/>
        <v>4.307621716140897E-2</v>
      </c>
      <c r="BJ110" s="284">
        <f t="shared" si="96"/>
        <v>4.2000000000000003E-2</v>
      </c>
      <c r="BK110" s="284">
        <f t="shared" si="118"/>
        <v>3.3091169846995561E-2</v>
      </c>
      <c r="BL110" s="288"/>
      <c r="BM110" s="283" t="s">
        <v>425</v>
      </c>
      <c r="BN110" s="283">
        <f t="shared" si="86"/>
        <v>3.0458101973796805E-2</v>
      </c>
      <c r="BO110" s="284">
        <f>Splines!AM100</f>
        <v>-9.9567726275716101E-4</v>
      </c>
      <c r="BP110" s="284">
        <f t="shared" si="103"/>
        <v>2.9462424711039645E-2</v>
      </c>
      <c r="BQ110" s="284">
        <f t="shared" si="119"/>
        <v>4.0833674760637262E-2</v>
      </c>
      <c r="BS110" s="284">
        <f t="shared" si="97"/>
        <v>4.2000000000000003E-2</v>
      </c>
      <c r="BT110" s="284">
        <f t="shared" si="120"/>
        <v>3.1712741835033365E-2</v>
      </c>
      <c r="BU110" s="288"/>
      <c r="BV110" s="659" t="s">
        <v>425</v>
      </c>
      <c r="BW110" s="659">
        <f t="shared" si="87"/>
        <v>4.0278027018446287E-2</v>
      </c>
      <c r="BX110" s="284">
        <f>Splines!AR100</f>
        <v>-1.0005075205071908E-3</v>
      </c>
      <c r="BY110" s="284">
        <f t="shared" si="104"/>
        <v>3.9277519497939097E-2</v>
      </c>
      <c r="BZ110" s="284">
        <f t="shared" si="121"/>
        <v>4.1477197432074675E-2</v>
      </c>
      <c r="CB110" s="291">
        <f t="shared" si="105"/>
        <v>4.1477197432074675E-2</v>
      </c>
      <c r="CC110" s="284">
        <f t="shared" si="122"/>
        <v>3.9277519497939117E-2</v>
      </c>
      <c r="CD110" s="288"/>
      <c r="CE110" s="284" t="str">
        <f t="shared" si="74"/>
        <v>96 Year</v>
      </c>
      <c r="CF110" s="284">
        <f t="shared" si="75"/>
        <v>3.3765923183848051E-2</v>
      </c>
      <c r="CG110" s="284">
        <f t="shared" si="76"/>
        <v>-1.0019690044232525E-3</v>
      </c>
      <c r="CH110" s="284">
        <f t="shared" si="77"/>
        <v>3.2763954179424799E-2</v>
      </c>
      <c r="CI110" s="284">
        <f t="shared" si="78"/>
        <v>4.307621716140897E-2</v>
      </c>
      <c r="CK110" s="284">
        <f>BJ110+MIN('Instructions &amp; Dashboard'!$D$43,'Instructions &amp; Dashboard'!$D$44)/10000</f>
        <v>4.4000000000000004E-2</v>
      </c>
      <c r="CL110" s="284">
        <f t="shared" si="123"/>
        <v>3.519530781095126E-2</v>
      </c>
    </row>
    <row r="111" spans="1:90">
      <c r="A111" s="283">
        <f t="shared" si="106"/>
        <v>97</v>
      </c>
      <c r="B111" s="283" t="s">
        <v>426</v>
      </c>
      <c r="C111" s="283">
        <f t="shared" si="88"/>
        <v>3.6926480608462917E-2</v>
      </c>
      <c r="D111" s="284">
        <f>Splines!D101</f>
        <v>-1.0028150538503519E-3</v>
      </c>
      <c r="E111" s="506">
        <f t="shared" si="89"/>
        <v>3.5923665554612565E-2</v>
      </c>
      <c r="F111" s="507">
        <f t="shared" si="125"/>
        <v>4.1074455687173161E-2</v>
      </c>
      <c r="H111" s="284">
        <f t="shared" si="90"/>
        <v>4.2000000000000003E-2</v>
      </c>
      <c r="I111" s="284">
        <f t="shared" si="124"/>
        <v>3.5766107083601728E-2</v>
      </c>
      <c r="J111" s="285"/>
      <c r="K111" s="283" t="s">
        <v>426</v>
      </c>
      <c r="L111" s="283">
        <f t="shared" si="79"/>
        <v>1.0141116343408304E-2</v>
      </c>
      <c r="M111" s="284">
        <f>Splines!I101</f>
        <v>-9.9913270447539036E-4</v>
      </c>
      <c r="N111" s="283">
        <f t="shared" si="80"/>
        <v>9.1419836389329129E-3</v>
      </c>
      <c r="O111" s="284">
        <f t="shared" si="107"/>
        <v>2.3093295486892318E-2</v>
      </c>
      <c r="Q111" s="284">
        <f t="shared" si="91"/>
        <v>4.2000000000000003E-2</v>
      </c>
      <c r="R111" s="284">
        <f t="shared" si="108"/>
        <v>2.3946252866326789E-2</v>
      </c>
      <c r="S111" s="287"/>
      <c r="T111" s="283" t="s">
        <v>426</v>
      </c>
      <c r="U111" s="283">
        <f t="shared" si="81"/>
        <v>5.4762028803437904E-3</v>
      </c>
      <c r="V111" s="284">
        <f>Splines!N101</f>
        <v>-1.0015019708908375E-3</v>
      </c>
      <c r="W111" s="284">
        <f t="shared" si="98"/>
        <v>4.4747009094529529E-3</v>
      </c>
      <c r="X111" s="284">
        <f t="shared" si="109"/>
        <v>-9.8869484458626866E-3</v>
      </c>
      <c r="Z111" s="284">
        <f t="shared" si="92"/>
        <v>4.2000000000000003E-2</v>
      </c>
      <c r="AA111" s="284">
        <f t="shared" si="110"/>
        <v>2.8817248346921565E-2</v>
      </c>
      <c r="AB111" s="288"/>
      <c r="AC111" s="283" t="s">
        <v>426</v>
      </c>
      <c r="AD111" s="283">
        <f t="shared" si="82"/>
        <v>-1.9545101967169271E-2</v>
      </c>
      <c r="AE111" s="284">
        <f>Splines!S101</f>
        <v>-9.9943410127502851E-4</v>
      </c>
      <c r="AF111" s="284">
        <f t="shared" si="99"/>
        <v>-2.0544536068444297E-2</v>
      </c>
      <c r="AG111" s="284">
        <f t="shared" si="111"/>
        <v>-5.334323900654292E-2</v>
      </c>
      <c r="AI111" s="284">
        <f t="shared" si="93"/>
        <v>4.200000000000001E-2</v>
      </c>
      <c r="AJ111" s="284">
        <f t="shared" si="112"/>
        <v>2.2878038361637376E-2</v>
      </c>
      <c r="AK111" s="288"/>
      <c r="AL111" s="283" t="s">
        <v>426</v>
      </c>
      <c r="AM111" s="283">
        <f t="shared" si="83"/>
        <v>1.9830596724251005E-2</v>
      </c>
      <c r="AN111" s="283">
        <f>Splines!X101</f>
        <v>-9.9915963139085595E-4</v>
      </c>
      <c r="AO111" s="283">
        <f t="shared" si="100"/>
        <v>1.883143709286015E-2</v>
      </c>
      <c r="AP111" s="284">
        <f t="shared" si="113"/>
        <v>2.0027049649053108E-2</v>
      </c>
      <c r="AR111" s="291">
        <f t="shared" si="94"/>
        <v>4.2000000000000003E-2</v>
      </c>
      <c r="AS111" s="284">
        <f t="shared" si="114"/>
        <v>3.0909738240332274E-2</v>
      </c>
      <c r="AT111" s="289"/>
      <c r="AU111" s="283" t="s">
        <v>426</v>
      </c>
      <c r="AV111" s="283">
        <f t="shared" si="84"/>
        <v>2.6359151878564205E-2</v>
      </c>
      <c r="AW111" s="284">
        <f>Splines!AC101</f>
        <v>-1.002372708931611E-3</v>
      </c>
      <c r="AX111" s="284">
        <f t="shared" si="101"/>
        <v>2.5356779169632596E-2</v>
      </c>
      <c r="AY111" s="284">
        <f t="shared" si="115"/>
        <v>3.9969853207399764E-2</v>
      </c>
      <c r="BA111" s="291">
        <f t="shared" si="95"/>
        <v>4.2000000000000003E-2</v>
      </c>
      <c r="BB111" s="284">
        <f t="shared" si="116"/>
        <v>2.7311507570906723E-2</v>
      </c>
      <c r="BC111" s="288"/>
      <c r="BD111" s="283" t="s">
        <v>426</v>
      </c>
      <c r="BE111" s="283">
        <f t="shared" si="85"/>
        <v>3.3871935940983575E-2</v>
      </c>
      <c r="BF111" s="284">
        <f>Splines!AH101</f>
        <v>-1.0015262095502484E-3</v>
      </c>
      <c r="BG111" s="284">
        <f t="shared" si="102"/>
        <v>3.2870409731433327E-2</v>
      </c>
      <c r="BH111" s="284">
        <f t="shared" si="117"/>
        <v>4.3141401384860112E-2</v>
      </c>
      <c r="BJ111" s="284">
        <f t="shared" si="96"/>
        <v>4.2000000000000003E-2</v>
      </c>
      <c r="BK111" s="284">
        <f t="shared" si="118"/>
        <v>3.3182623761259578E-2</v>
      </c>
      <c r="BL111" s="288"/>
      <c r="BM111" s="283" t="s">
        <v>426</v>
      </c>
      <c r="BN111" s="283">
        <f t="shared" si="86"/>
        <v>3.0575639930927691E-2</v>
      </c>
      <c r="BO111" s="284">
        <f>Splines!AM101</f>
        <v>-9.9664935730713945E-4</v>
      </c>
      <c r="BP111" s="284">
        <f t="shared" si="103"/>
        <v>2.957899057362055E-2</v>
      </c>
      <c r="BQ111" s="284">
        <f t="shared" si="119"/>
        <v>4.0830987620382064E-2</v>
      </c>
      <c r="BS111" s="284">
        <f t="shared" si="97"/>
        <v>4.2000000000000003E-2</v>
      </c>
      <c r="BT111" s="284">
        <f t="shared" si="120"/>
        <v>3.1818276192909778E-2</v>
      </c>
      <c r="BU111" s="288"/>
      <c r="BV111" s="659" t="s">
        <v>426</v>
      </c>
      <c r="BW111" s="659">
        <f t="shared" si="87"/>
        <v>4.0300283925401428E-2</v>
      </c>
      <c r="BX111" s="284">
        <f>Splines!AR101</f>
        <v>-1.0003933847312122E-3</v>
      </c>
      <c r="BY111" s="284">
        <f t="shared" si="104"/>
        <v>3.9299890540670214E-2</v>
      </c>
      <c r="BZ111" s="284">
        <f t="shared" si="121"/>
        <v>4.1449754266333683E-2</v>
      </c>
      <c r="CB111" s="291">
        <f t="shared" si="105"/>
        <v>4.1449754266333683E-2</v>
      </c>
      <c r="CC111" s="284">
        <f t="shared" si="122"/>
        <v>3.929989054067029E-2</v>
      </c>
      <c r="CD111" s="288"/>
      <c r="CE111" s="284" t="str">
        <f t="shared" si="74"/>
        <v>97 Year</v>
      </c>
      <c r="CF111" s="284">
        <f t="shared" si="75"/>
        <v>3.3871935940983575E-2</v>
      </c>
      <c r="CG111" s="284">
        <f t="shared" si="76"/>
        <v>-1.0015262095502484E-3</v>
      </c>
      <c r="CH111" s="284">
        <f t="shared" si="77"/>
        <v>3.2870409731433327E-2</v>
      </c>
      <c r="CI111" s="284">
        <f t="shared" si="78"/>
        <v>4.3141401384860112E-2</v>
      </c>
      <c r="CK111" s="284">
        <f>BJ111+MIN('Instructions &amp; Dashboard'!$D$43,'Instructions &amp; Dashboard'!$D$44)/10000</f>
        <v>4.4000000000000004E-2</v>
      </c>
      <c r="CL111" s="284">
        <f t="shared" si="123"/>
        <v>3.5285697939378968E-2</v>
      </c>
    </row>
    <row r="112" spans="1:90">
      <c r="A112" s="283">
        <f t="shared" si="106"/>
        <v>98</v>
      </c>
      <c r="B112" s="283" t="s">
        <v>427</v>
      </c>
      <c r="C112" s="283">
        <f t="shared" si="88"/>
        <v>3.6978121107068156E-2</v>
      </c>
      <c r="D112" s="284">
        <f>Splines!D102</f>
        <v>-1.0019201696270144E-3</v>
      </c>
      <c r="E112" s="506">
        <f t="shared" si="89"/>
        <v>3.5976200937441138E-2</v>
      </c>
      <c r="F112" s="507">
        <f t="shared" si="125"/>
        <v>4.108481685845522E-2</v>
      </c>
      <c r="H112" s="284">
        <f t="shared" si="90"/>
        <v>4.2000000000000003E-2</v>
      </c>
      <c r="I112" s="284">
        <f t="shared" si="124"/>
        <v>3.5829529516122172E-2</v>
      </c>
      <c r="J112" s="285"/>
      <c r="K112" s="283" t="s">
        <v>427</v>
      </c>
      <c r="L112" s="283">
        <f t="shared" si="79"/>
        <v>1.0285898478063528E-2</v>
      </c>
      <c r="M112" s="284">
        <f>Splines!I102</f>
        <v>-9.9940844357251728E-4</v>
      </c>
      <c r="N112" s="283">
        <f t="shared" si="80"/>
        <v>9.2864900344910104E-3</v>
      </c>
      <c r="O112" s="284">
        <f t="shared" si="107"/>
        <v>2.3402416094634004E-2</v>
      </c>
      <c r="Q112" s="284">
        <f t="shared" si="91"/>
        <v>4.2000000000000003E-2</v>
      </c>
      <c r="R112" s="284">
        <f t="shared" si="108"/>
        <v>2.4128885844341585E-2</v>
      </c>
      <c r="S112" s="287"/>
      <c r="T112" s="283" t="s">
        <v>427</v>
      </c>
      <c r="U112" s="283">
        <f t="shared" si="81"/>
        <v>5.3264188361645884E-3</v>
      </c>
      <c r="V112" s="284">
        <f>Splines!N102</f>
        <v>-1.0010245173286327E-3</v>
      </c>
      <c r="W112" s="284">
        <f t="shared" si="98"/>
        <v>4.3253943188359557E-3</v>
      </c>
      <c r="X112" s="284">
        <f t="shared" si="109"/>
        <v>-1.00523608990577E-2</v>
      </c>
      <c r="Z112" s="284">
        <f t="shared" si="92"/>
        <v>4.2000000000000003E-2</v>
      </c>
      <c r="AA112" s="284">
        <f t="shared" si="110"/>
        <v>2.8950920373475464E-2</v>
      </c>
      <c r="AB112" s="288"/>
      <c r="AC112" s="283" t="s">
        <v>427</v>
      </c>
      <c r="AD112" s="283">
        <f t="shared" si="82"/>
        <v>-1.988969151803445E-2</v>
      </c>
      <c r="AE112" s="284">
        <f>Splines!S102</f>
        <v>-9.9961402596498126E-4</v>
      </c>
      <c r="AF112" s="284">
        <f t="shared" si="99"/>
        <v>-2.0889305543999433E-2</v>
      </c>
      <c r="AG112" s="284">
        <f t="shared" si="111"/>
        <v>-5.3761567473606831E-2</v>
      </c>
      <c r="AI112" s="284">
        <f t="shared" si="93"/>
        <v>4.200000000000001E-2</v>
      </c>
      <c r="AJ112" s="284">
        <f t="shared" si="112"/>
        <v>2.3071377272421589E-2</v>
      </c>
      <c r="AK112" s="288"/>
      <c r="AL112" s="283" t="s">
        <v>427</v>
      </c>
      <c r="AM112" s="283">
        <f t="shared" si="83"/>
        <v>1.984308990801574E-2</v>
      </c>
      <c r="AN112" s="283">
        <f>Splines!X102</f>
        <v>-9.9942681038898539E-4</v>
      </c>
      <c r="AO112" s="283">
        <f t="shared" si="100"/>
        <v>1.8843663097626754E-2</v>
      </c>
      <c r="AP112" s="284">
        <f t="shared" si="113"/>
        <v>2.0030283151806216E-2</v>
      </c>
      <c r="AR112" s="291">
        <f t="shared" si="94"/>
        <v>4.2000000000000003E-2</v>
      </c>
      <c r="AS112" s="284">
        <f t="shared" si="114"/>
        <v>3.102230594757871E-2</v>
      </c>
      <c r="AT112" s="289"/>
      <c r="AU112" s="283" t="s">
        <v>427</v>
      </c>
      <c r="AV112" s="283">
        <f t="shared" si="84"/>
        <v>2.6507089313472967E-2</v>
      </c>
      <c r="AW112" s="284">
        <f>Splines!AC102</f>
        <v>-1.0016184466930009E-3</v>
      </c>
      <c r="AX112" s="284">
        <f t="shared" si="101"/>
        <v>2.5505470866779966E-2</v>
      </c>
      <c r="AY112" s="284">
        <f t="shared" si="115"/>
        <v>4.0031529118689013E-2</v>
      </c>
      <c r="BA112" s="291">
        <f t="shared" si="95"/>
        <v>4.2000000000000003E-2</v>
      </c>
      <c r="BB112" s="284">
        <f t="shared" si="116"/>
        <v>2.7460339522054733E-2</v>
      </c>
      <c r="BC112" s="288"/>
      <c r="BD112" s="283" t="s">
        <v>427</v>
      </c>
      <c r="BE112" s="283">
        <f t="shared" si="85"/>
        <v>3.3976366769736893E-2</v>
      </c>
      <c r="BF112" s="284">
        <f>Splines!AH102</f>
        <v>-1.0010410504888978E-3</v>
      </c>
      <c r="BG112" s="284">
        <f t="shared" si="102"/>
        <v>3.2975325719247994E-2</v>
      </c>
      <c r="BH112" s="284">
        <f t="shared" si="117"/>
        <v>4.3202994599214506E-2</v>
      </c>
      <c r="BJ112" s="284">
        <f t="shared" si="96"/>
        <v>4.2000000000000003E-2</v>
      </c>
      <c r="BK112" s="284">
        <f t="shared" si="118"/>
        <v>3.3272219118872348E-2</v>
      </c>
      <c r="BL112" s="288"/>
      <c r="BM112" s="283" t="s">
        <v>427</v>
      </c>
      <c r="BN112" s="283">
        <f t="shared" si="86"/>
        <v>3.0690895316780775E-2</v>
      </c>
      <c r="BO112" s="284">
        <f>Splines!AM102</f>
        <v>-9.9771455547290619E-4</v>
      </c>
      <c r="BP112" s="284">
        <f t="shared" si="103"/>
        <v>2.9693180761307867E-2</v>
      </c>
      <c r="BQ112" s="284">
        <f t="shared" si="119"/>
        <v>4.08300389062215E-2</v>
      </c>
      <c r="BS112" s="284">
        <f t="shared" si="97"/>
        <v>4.2000000000000003E-2</v>
      </c>
      <c r="BT112" s="284">
        <f t="shared" si="120"/>
        <v>3.1921667255314201E-2</v>
      </c>
      <c r="BU112" s="288"/>
      <c r="BV112" s="659" t="s">
        <v>427</v>
      </c>
      <c r="BW112" s="659">
        <f t="shared" si="87"/>
        <v>4.0321808372881178E-2</v>
      </c>
      <c r="BX112" s="284">
        <f>Splines!AR102</f>
        <v>-1.0002683520500964E-3</v>
      </c>
      <c r="BY112" s="284">
        <f t="shared" si="104"/>
        <v>3.9321540020831082E-2</v>
      </c>
      <c r="BZ112" s="284">
        <f t="shared" si="121"/>
        <v>4.1423684518018034E-2</v>
      </c>
      <c r="CB112" s="291">
        <f t="shared" si="105"/>
        <v>4.1423684518018034E-2</v>
      </c>
      <c r="CC112" s="284">
        <f t="shared" si="122"/>
        <v>3.9321540020831103E-2</v>
      </c>
      <c r="CD112" s="288"/>
      <c r="CE112" s="284" t="str">
        <f t="shared" si="74"/>
        <v>98 Year</v>
      </c>
      <c r="CF112" s="284">
        <f t="shared" si="75"/>
        <v>3.3976366769736893E-2</v>
      </c>
      <c r="CG112" s="284">
        <f t="shared" si="76"/>
        <v>-1.0010410504888978E-3</v>
      </c>
      <c r="CH112" s="284">
        <f t="shared" si="77"/>
        <v>3.2975325719247994E-2</v>
      </c>
      <c r="CI112" s="284">
        <f t="shared" si="78"/>
        <v>4.3202994599214506E-2</v>
      </c>
      <c r="CK112" s="284">
        <f>BJ112+MIN('Instructions &amp; Dashboard'!$D$43,'Instructions &amp; Dashboard'!$D$44)/10000</f>
        <v>4.4000000000000004E-2</v>
      </c>
      <c r="CL112" s="284">
        <f t="shared" si="123"/>
        <v>3.5374251023930325E-2</v>
      </c>
    </row>
    <row r="113" spans="1:90">
      <c r="A113" s="283">
        <f t="shared" si="106"/>
        <v>99</v>
      </c>
      <c r="B113" s="283" t="s">
        <v>428</v>
      </c>
      <c r="C113" s="283">
        <f t="shared" si="88"/>
        <v>3.7028730123774202E-2</v>
      </c>
      <c r="D113" s="284">
        <f>Splines!D103</f>
        <v>-1.000973141000913E-3</v>
      </c>
      <c r="E113" s="506">
        <f t="shared" si="89"/>
        <v>3.6027756982773287E-2</v>
      </c>
      <c r="F113" s="507">
        <f t="shared" si="125"/>
        <v>4.1092715788682899E-2</v>
      </c>
      <c r="H113" s="284">
        <f t="shared" si="90"/>
        <v>4.2000000000000003E-2</v>
      </c>
      <c r="I113" s="284">
        <f t="shared" si="124"/>
        <v>3.5891674453995437E-2</v>
      </c>
      <c r="J113" s="285"/>
      <c r="K113" s="283" t="s">
        <v>428</v>
      </c>
      <c r="L113" s="283">
        <f t="shared" si="79"/>
        <v>1.0430848876168339E-2</v>
      </c>
      <c r="M113" s="284">
        <f>Splines!I103</f>
        <v>-9.9970023005745709E-4</v>
      </c>
      <c r="N113" s="283">
        <f t="shared" si="80"/>
        <v>9.4311486461108821E-3</v>
      </c>
      <c r="O113" s="284">
        <f t="shared" si="107"/>
        <v>2.3708738856509592E-2</v>
      </c>
      <c r="Q113" s="284">
        <f t="shared" si="91"/>
        <v>4.2000000000000003E-2</v>
      </c>
      <c r="R113" s="284">
        <f t="shared" si="108"/>
        <v>2.4307860861501274E-2</v>
      </c>
      <c r="S113" s="287"/>
      <c r="T113" s="283" t="s">
        <v>428</v>
      </c>
      <c r="U113" s="283">
        <f t="shared" si="81"/>
        <v>5.1779862212587777E-3</v>
      </c>
      <c r="V113" s="284">
        <f>Splines!N103</f>
        <v>-1.0005192357630784E-3</v>
      </c>
      <c r="W113" s="284">
        <f t="shared" si="98"/>
        <v>4.1774669854956993E-3</v>
      </c>
      <c r="X113" s="284">
        <f t="shared" si="109"/>
        <v>-1.0214218450721568E-2</v>
      </c>
      <c r="Z113" s="284">
        <f t="shared" si="92"/>
        <v>4.2000000000000003E-2</v>
      </c>
      <c r="AA113" s="284">
        <f t="shared" si="110"/>
        <v>2.9081908800003831E-2</v>
      </c>
      <c r="AB113" s="288"/>
      <c r="AC113" s="283" t="s">
        <v>428</v>
      </c>
      <c r="AD113" s="283">
        <f t="shared" si="82"/>
        <v>-2.0231393872067405E-2</v>
      </c>
      <c r="AE113" s="284">
        <f>Splines!S103</f>
        <v>-9.9980441660944223E-4</v>
      </c>
      <c r="AF113" s="284">
        <f t="shared" si="99"/>
        <v>-2.1231198288676846E-2</v>
      </c>
      <c r="AG113" s="284">
        <f t="shared" si="111"/>
        <v>-5.416403722756713E-2</v>
      </c>
      <c r="AI113" s="284">
        <f t="shared" si="93"/>
        <v>4.200000000000001E-2</v>
      </c>
      <c r="AJ113" s="284">
        <f t="shared" si="112"/>
        <v>2.3260845790528117E-2</v>
      </c>
      <c r="AK113" s="288"/>
      <c r="AL113" s="283" t="s">
        <v>428</v>
      </c>
      <c r="AM113" s="283">
        <f t="shared" si="83"/>
        <v>1.9855398524435887E-2</v>
      </c>
      <c r="AN113" s="283">
        <f>Splines!X103</f>
        <v>-9.9970953812735463E-4</v>
      </c>
      <c r="AO113" s="283">
        <f t="shared" si="100"/>
        <v>1.8855688986308534E-2</v>
      </c>
      <c r="AP113" s="284">
        <f t="shared" si="113"/>
        <v>2.0034914925832092E-2</v>
      </c>
      <c r="AR113" s="291">
        <f t="shared" si="94"/>
        <v>4.2000000000000003E-2</v>
      </c>
      <c r="AS113" s="284">
        <f t="shared" si="114"/>
        <v>3.1132611481317074E-2</v>
      </c>
      <c r="AT113" s="289"/>
      <c r="AU113" s="283" t="s">
        <v>428</v>
      </c>
      <c r="AV113" s="283">
        <f t="shared" si="84"/>
        <v>2.6652569893224679E-2</v>
      </c>
      <c r="AW113" s="284">
        <f>Splines!AC103</f>
        <v>-1.0008202316404715E-3</v>
      </c>
      <c r="AX113" s="284">
        <f t="shared" si="101"/>
        <v>2.5651749661584209E-2</v>
      </c>
      <c r="AY113" s="284">
        <f t="shared" si="115"/>
        <v>4.0088757576428824E-2</v>
      </c>
      <c r="BA113" s="291">
        <f t="shared" si="95"/>
        <v>4.2000000000000003E-2</v>
      </c>
      <c r="BB113" s="284">
        <f t="shared" si="116"/>
        <v>2.7606185680160156E-2</v>
      </c>
      <c r="BC113" s="288"/>
      <c r="BD113" s="283" t="s">
        <v>428</v>
      </c>
      <c r="BE113" s="283">
        <f t="shared" si="85"/>
        <v>3.4079240449858696E-2</v>
      </c>
      <c r="BF113" s="284">
        <f>Splines!AH103</f>
        <v>-1.0005276145592429E-3</v>
      </c>
      <c r="BG113" s="284">
        <f t="shared" si="102"/>
        <v>3.3078712835299451E-2</v>
      </c>
      <c r="BH113" s="284">
        <f t="shared" si="117"/>
        <v>4.3261009626950342E-2</v>
      </c>
      <c r="BJ113" s="284">
        <f t="shared" si="96"/>
        <v>4.2000000000000003E-2</v>
      </c>
      <c r="BK113" s="284">
        <f t="shared" si="118"/>
        <v>3.3360012004917117E-2</v>
      </c>
      <c r="BL113" s="288"/>
      <c r="BM113" s="283" t="s">
        <v>428</v>
      </c>
      <c r="BN113" s="283">
        <f t="shared" si="86"/>
        <v>3.0803928142654924E-2</v>
      </c>
      <c r="BO113" s="284">
        <f>Splines!AM103</f>
        <v>-9.9884178902837897E-4</v>
      </c>
      <c r="BP113" s="284">
        <f t="shared" si="103"/>
        <v>2.9805086353626546E-2</v>
      </c>
      <c r="BQ113" s="284">
        <f t="shared" si="119"/>
        <v>4.0831038858007318E-2</v>
      </c>
      <c r="BS113" s="284">
        <f t="shared" si="97"/>
        <v>4.2000000000000003E-2</v>
      </c>
      <c r="BT113" s="284">
        <f t="shared" si="120"/>
        <v>3.2022979657625017E-2</v>
      </c>
      <c r="BU113" s="288"/>
      <c r="BV113" s="659" t="s">
        <v>428</v>
      </c>
      <c r="BW113" s="659">
        <f t="shared" si="87"/>
        <v>4.0342638695017322E-2</v>
      </c>
      <c r="BX113" s="284">
        <f>Splines!AR103</f>
        <v>-1.000136020779746E-3</v>
      </c>
      <c r="BY113" s="284">
        <f t="shared" si="104"/>
        <v>3.9342502674237577E-2</v>
      </c>
      <c r="BZ113" s="284">
        <f t="shared" si="121"/>
        <v>4.1398895085003273E-2</v>
      </c>
      <c r="CB113" s="291">
        <f t="shared" si="105"/>
        <v>4.1398895085003273E-2</v>
      </c>
      <c r="CC113" s="284">
        <f t="shared" si="122"/>
        <v>3.9342502674237556E-2</v>
      </c>
      <c r="CD113" s="288"/>
      <c r="CE113" s="284" t="str">
        <f t="shared" si="74"/>
        <v>99 Year</v>
      </c>
      <c r="CF113" s="284">
        <f t="shared" si="75"/>
        <v>3.4079240449858696E-2</v>
      </c>
      <c r="CG113" s="284">
        <f t="shared" si="76"/>
        <v>-1.0005276145592429E-3</v>
      </c>
      <c r="CH113" s="284">
        <f t="shared" si="77"/>
        <v>3.3078712835299451E-2</v>
      </c>
      <c r="CI113" s="284">
        <f t="shared" si="78"/>
        <v>4.3261009626950342E-2</v>
      </c>
      <c r="CK113" s="284">
        <f>BJ113+MIN('Instructions &amp; Dashboard'!$D$43,'Instructions &amp; Dashboard'!$D$44)/10000</f>
        <v>4.4000000000000004E-2</v>
      </c>
      <c r="CL113" s="284">
        <f t="shared" si="123"/>
        <v>3.5461022503674888E-2</v>
      </c>
    </row>
    <row r="114" spans="1:90">
      <c r="A114" s="283">
        <f t="shared" si="106"/>
        <v>100</v>
      </c>
      <c r="B114" s="283" t="s">
        <v>429</v>
      </c>
      <c r="C114" s="283">
        <f t="shared" si="88"/>
        <v>3.7078337553178131E-2</v>
      </c>
      <c r="D114" s="284">
        <f>Splines!D104</f>
        <v>-1.0000000474974513E-3</v>
      </c>
      <c r="E114" s="506">
        <f t="shared" si="89"/>
        <v>3.607833750568068E-2</v>
      </c>
      <c r="F114" s="507">
        <f t="shared" si="125"/>
        <v>4.1098052428127252E-2</v>
      </c>
      <c r="H114" s="284">
        <f t="shared" si="90"/>
        <v>4.2000000000000003E-2</v>
      </c>
      <c r="I114" s="284">
        <f t="shared" si="124"/>
        <v>3.5952580110409471E-2</v>
      </c>
      <c r="J114" s="285"/>
      <c r="K114" s="283" t="s">
        <v>429</v>
      </c>
      <c r="L114" s="283">
        <f t="shared" si="79"/>
        <v>1.0575927009152476E-2</v>
      </c>
      <c r="M114" s="284">
        <f>Splines!I104</f>
        <v>-1.0000000474974513E-3</v>
      </c>
      <c r="N114" s="283">
        <f t="shared" si="80"/>
        <v>9.5759269616550249E-3</v>
      </c>
      <c r="O114" s="284">
        <f t="shared" si="107"/>
        <v>2.4012249830381638E-2</v>
      </c>
      <c r="Q114" s="284">
        <f t="shared" si="91"/>
        <v>4.2000000000000003E-2</v>
      </c>
      <c r="R114" s="284">
        <f t="shared" si="108"/>
        <v>2.4483286723585573E-2</v>
      </c>
      <c r="S114" s="287"/>
      <c r="T114" s="283" t="s">
        <v>429</v>
      </c>
      <c r="U114" s="283">
        <f t="shared" si="81"/>
        <v>5.0309122419413474E-3</v>
      </c>
      <c r="V114" s="284">
        <f>Splines!N104</f>
        <v>-1.0000000474974513E-3</v>
      </c>
      <c r="W114" s="284">
        <f t="shared" si="98"/>
        <v>4.0309121944438961E-3</v>
      </c>
      <c r="X114" s="284">
        <f t="shared" si="109"/>
        <v>-1.0372639775235393E-2</v>
      </c>
      <c r="Z114" s="284">
        <f t="shared" si="92"/>
        <v>4.2000000000000003E-2</v>
      </c>
      <c r="AA114" s="284">
        <f t="shared" si="110"/>
        <v>2.9210293636272144E-2</v>
      </c>
      <c r="AB114" s="288"/>
      <c r="AC114" s="283" t="s">
        <v>429</v>
      </c>
      <c r="AD114" s="283">
        <f t="shared" si="82"/>
        <v>-2.057013820843577E-2</v>
      </c>
      <c r="AE114" s="284">
        <f>Splines!S104</f>
        <v>-1.0000000474974513E-3</v>
      </c>
      <c r="AF114" s="284">
        <f t="shared" si="99"/>
        <v>-2.1570138255933222E-2</v>
      </c>
      <c r="AG114" s="284">
        <f t="shared" si="111"/>
        <v>-5.4550719836789052E-2</v>
      </c>
      <c r="AI114" s="284">
        <f t="shared" si="93"/>
        <v>4.200000000000001E-2</v>
      </c>
      <c r="AJ114" s="284">
        <f t="shared" si="112"/>
        <v>2.3446558981358168E-2</v>
      </c>
      <c r="AK114" s="288"/>
      <c r="AL114" s="283" t="s">
        <v>429</v>
      </c>
      <c r="AM114" s="283">
        <f t="shared" si="83"/>
        <v>1.9867535191793607E-2</v>
      </c>
      <c r="AN114" s="283">
        <f>Splines!X104</f>
        <v>-1.0000000474974513E-3</v>
      </c>
      <c r="AO114" s="283">
        <f t="shared" si="100"/>
        <v>1.8867535144296156E-2</v>
      </c>
      <c r="AP114" s="284">
        <f t="shared" si="113"/>
        <v>2.0040986829287899E-2</v>
      </c>
      <c r="AR114" s="291">
        <f t="shared" si="94"/>
        <v>4.2000000000000003E-2</v>
      </c>
      <c r="AS114" s="284">
        <f t="shared" si="114"/>
        <v>3.1240722353906403E-2</v>
      </c>
      <c r="AT114" s="289"/>
      <c r="AU114" s="283" t="s">
        <v>429</v>
      </c>
      <c r="AV114" s="283">
        <f t="shared" si="84"/>
        <v>2.6795643822891953E-2</v>
      </c>
      <c r="AW114" s="284">
        <f>Splines!AC104</f>
        <v>-1.0000000474974513E-3</v>
      </c>
      <c r="AX114" s="284">
        <f t="shared" si="101"/>
        <v>2.5795643775394502E-2</v>
      </c>
      <c r="AY114" s="284">
        <f t="shared" si="115"/>
        <v>4.0141549528960319E-2</v>
      </c>
      <c r="BA114" s="291">
        <f t="shared" si="95"/>
        <v>4.2000000000000003E-2</v>
      </c>
      <c r="BB114" s="284">
        <f t="shared" si="116"/>
        <v>2.7749135000748382E-2</v>
      </c>
      <c r="BC114" s="288"/>
      <c r="BD114" s="283" t="s">
        <v>429</v>
      </c>
      <c r="BE114" s="283">
        <f t="shared" si="85"/>
        <v>3.4180581348947303E-2</v>
      </c>
      <c r="BF114" s="284">
        <f>Splines!AH104</f>
        <v>-1.0000000474974513E-3</v>
      </c>
      <c r="BG114" s="284">
        <f t="shared" si="102"/>
        <v>3.3180581301449852E-2</v>
      </c>
      <c r="BH114" s="284">
        <f t="shared" si="117"/>
        <v>4.331544230983253E-2</v>
      </c>
      <c r="BJ114" s="284">
        <f t="shared" si="96"/>
        <v>4.2000000000000003E-2</v>
      </c>
      <c r="BK114" s="284">
        <f t="shared" si="118"/>
        <v>3.3446056270346691E-2</v>
      </c>
      <c r="BL114" s="288"/>
      <c r="BM114" s="283" t="s">
        <v>429</v>
      </c>
      <c r="BN114" s="283">
        <f t="shared" si="86"/>
        <v>3.0914796726688887E-2</v>
      </c>
      <c r="BO114" s="284">
        <f>Splines!AM104</f>
        <v>-1.0000000474974513E-3</v>
      </c>
      <c r="BP114" s="284">
        <f t="shared" si="103"/>
        <v>2.9914796679191436E-2</v>
      </c>
      <c r="BQ114" s="284">
        <f t="shared" si="119"/>
        <v>4.0834176346759676E-2</v>
      </c>
      <c r="BS114" s="284">
        <f t="shared" si="97"/>
        <v>4.2000000000000003E-2</v>
      </c>
      <c r="BT114" s="284">
        <f t="shared" si="120"/>
        <v>3.2122275462159955E-2</v>
      </c>
      <c r="BU114" s="288"/>
      <c r="BV114" s="659" t="s">
        <v>429</v>
      </c>
      <c r="BW114" s="659">
        <f t="shared" si="87"/>
        <v>4.0362810850196919E-2</v>
      </c>
      <c r="BX114" s="284">
        <f>Splines!AR104</f>
        <v>-1.0000000474974513E-3</v>
      </c>
      <c r="BY114" s="284">
        <f t="shared" si="104"/>
        <v>3.9362810802699467E-2</v>
      </c>
      <c r="BZ114" s="284">
        <f t="shared" si="121"/>
        <v>4.1375280977505202E-2</v>
      </c>
      <c r="CB114" s="291">
        <f t="shared" si="105"/>
        <v>4.1375280977505202E-2</v>
      </c>
      <c r="CC114" s="284">
        <f t="shared" si="122"/>
        <v>3.9362810802699544E-2</v>
      </c>
      <c r="CD114" s="288"/>
      <c r="CE114" s="284" t="str">
        <f t="shared" si="74"/>
        <v>100 Year</v>
      </c>
      <c r="CF114" s="284">
        <f t="shared" si="75"/>
        <v>3.4180581348947303E-2</v>
      </c>
      <c r="CG114" s="284">
        <f t="shared" si="76"/>
        <v>-1.0000000474974513E-3</v>
      </c>
      <c r="CH114" s="284">
        <f t="shared" si="77"/>
        <v>3.3180581301449852E-2</v>
      </c>
      <c r="CI114" s="284">
        <f t="shared" si="78"/>
        <v>4.331544230983253E-2</v>
      </c>
      <c r="CK114" s="284">
        <f>BJ114+MIN('Instructions &amp; Dashboard'!$D$43,'Instructions &amp; Dashboard'!$D$44)/10000</f>
        <v>4.4000000000000004E-2</v>
      </c>
      <c r="CL114" s="284">
        <f t="shared" si="123"/>
        <v>3.554606560915996E-2</v>
      </c>
    </row>
    <row r="115" spans="1:90">
      <c r="E115" s="283"/>
      <c r="J115" s="285"/>
      <c r="S115" s="287"/>
      <c r="AB115" s="288"/>
      <c r="AK115" s="288"/>
      <c r="AT115" s="288"/>
      <c r="BC115" s="288"/>
      <c r="BL115" s="288"/>
      <c r="BU115" s="288"/>
      <c r="CD115" s="288"/>
    </row>
    <row r="116" spans="1:90">
      <c r="B116" s="284" t="str">
        <f>'USD Yield Curve'!A5</f>
        <v>b0</v>
      </c>
      <c r="C116" s="284">
        <f>'USD Yield Curve'!B5</f>
        <v>4.2000000000000003E-2</v>
      </c>
      <c r="J116" s="285"/>
      <c r="K116" s="284" t="str">
        <f>'Euro Yield Curve'!A5</f>
        <v>b0</v>
      </c>
      <c r="L116" s="284">
        <f>'Euro Yield Curve'!B5</f>
        <v>4.2000000000000003E-2</v>
      </c>
      <c r="S116" s="287"/>
      <c r="T116" s="284" t="str">
        <f>'GBP Yield Curve'!A5</f>
        <v>b0</v>
      </c>
      <c r="U116" s="291">
        <f>'GBP Yield Curve'!B5</f>
        <v>4.2000000000000003E-2</v>
      </c>
      <c r="AB116" s="288"/>
      <c r="AC116" s="284" t="str">
        <f>'CHF Yield Curve'!A5</f>
        <v>b0</v>
      </c>
      <c r="AD116" s="291">
        <f>'CHF Yield Curve'!B5</f>
        <v>4.2000000000000003E-2</v>
      </c>
      <c r="AK116" s="288"/>
      <c r="AL116" s="284" t="str">
        <f>'CAD Yield Curve'!A5</f>
        <v>b0</v>
      </c>
      <c r="AM116" s="291">
        <f>'CAD Yield Curve'!B5</f>
        <v>4.2000000000000003E-2</v>
      </c>
      <c r="AN116" s="291"/>
      <c r="AO116" s="291"/>
      <c r="AP116" s="291"/>
      <c r="AQ116" s="291"/>
      <c r="AR116" s="291"/>
      <c r="AS116" s="291"/>
      <c r="AT116" s="292"/>
      <c r="AU116" s="284" t="str">
        <f>'JPY Yield Curve'!A5</f>
        <v>b0</v>
      </c>
      <c r="AV116" s="284">
        <f>'JPY Yield Curve'!B5</f>
        <v>4.2000000000000003E-2</v>
      </c>
      <c r="BC116" s="288"/>
      <c r="BD116" s="284" t="str">
        <f>'Australia Yield Curve'!A5</f>
        <v>b0</v>
      </c>
      <c r="BE116" s="284">
        <f>'Australia Yield Curve'!B5</f>
        <v>4.2000000000000003E-2</v>
      </c>
      <c r="BL116" s="288"/>
      <c r="BM116" s="283" t="str">
        <f>'NZ Yield Curve'!A5</f>
        <v>b0</v>
      </c>
      <c r="BN116" s="283">
        <f>'NZ Yield Curve'!B5</f>
        <v>4.2000000000000003E-2</v>
      </c>
      <c r="BU116" s="288"/>
      <c r="BV116" s="284" t="str">
        <f>'Hong Kong Yield Curve'!A5</f>
        <v>b0</v>
      </c>
      <c r="BW116" s="284">
        <f>'Hong Kong Yield Curve'!B5</f>
        <v>4.2000000000000003E-2</v>
      </c>
      <c r="CD116" s="288"/>
    </row>
    <row r="117" spans="1:90">
      <c r="B117" s="284" t="str">
        <f>'USD Yield Curve'!A6</f>
        <v>b1</v>
      </c>
      <c r="C117" s="284">
        <f>'USD Yield Curve'!B6</f>
        <v>-2.4525442007552144E-2</v>
      </c>
      <c r="J117" s="285"/>
      <c r="K117" s="284" t="str">
        <f>'Euro Yield Curve'!A6</f>
        <v>b1</v>
      </c>
      <c r="L117" s="284">
        <f>'Euro Yield Curve'!B6</f>
        <v>-4.8437080516257953E-2</v>
      </c>
      <c r="S117" s="287"/>
      <c r="T117" s="284" t="str">
        <f>'GBP Yield Curve'!A6</f>
        <v>b1</v>
      </c>
      <c r="U117" s="291">
        <f>'GBP Yield Curve'!B6</f>
        <v>-3.359973327998509E-2</v>
      </c>
      <c r="AB117" s="288"/>
      <c r="AC117" s="284" t="str">
        <f>'CHF Yield Curve'!A6</f>
        <v>b1</v>
      </c>
      <c r="AD117" s="291">
        <f>'CHF Yield Curve'!B6</f>
        <v>-5.6283927767546767E-2</v>
      </c>
      <c r="AK117" s="288"/>
      <c r="AL117" s="284" t="str">
        <f>'CAD Yield Curve'!A6</f>
        <v>b1</v>
      </c>
      <c r="AM117" s="291">
        <f>'CAD Yield Curve'!B6</f>
        <v>-2.8421380372790666E-2</v>
      </c>
      <c r="AN117" s="291"/>
      <c r="AO117" s="291"/>
      <c r="AP117" s="291"/>
      <c r="AQ117" s="291"/>
      <c r="AR117" s="291"/>
      <c r="AS117" s="291"/>
      <c r="AT117" s="292"/>
      <c r="AU117" s="284" t="str">
        <f>'JPY Yield Curve'!A6</f>
        <v>b1</v>
      </c>
      <c r="AV117" s="284">
        <f>'JPY Yield Curve'!B6</f>
        <v>-4.3135737615587137E-2</v>
      </c>
      <c r="BC117" s="288"/>
      <c r="BD117" s="284" t="str">
        <f>'Australia Yield Curve'!A6</f>
        <v>b1</v>
      </c>
      <c r="BE117" s="284">
        <f>'Australia Yield Curve'!B6</f>
        <v>-3.0768234231114178E-2</v>
      </c>
      <c r="BL117" s="288"/>
      <c r="BM117" s="283" t="str">
        <f>'NZ Yield Curve'!A6</f>
        <v>b1</v>
      </c>
      <c r="BN117" s="283">
        <f>'NZ Yield Curve'!B6</f>
        <v>0.10166338757128487</v>
      </c>
      <c r="BU117" s="288"/>
      <c r="BV117" s="284" t="str">
        <f>'Hong Kong Yield Curve'!A6</f>
        <v>b1</v>
      </c>
      <c r="BW117" s="284">
        <f>'Hong Kong Yield Curve'!B6</f>
        <v>-2.231223538508004E-2</v>
      </c>
      <c r="CD117" s="288"/>
    </row>
    <row r="118" spans="1:90">
      <c r="B118" s="284" t="str">
        <f>'USD Yield Curve'!A7</f>
        <v>b2</v>
      </c>
      <c r="C118" s="284">
        <f>'USD Yield Curve'!B7</f>
        <v>-1.0393981879277385</v>
      </c>
      <c r="J118" s="285"/>
      <c r="K118" s="284" t="str">
        <f>'Euro Yield Curve'!A7</f>
        <v>b2</v>
      </c>
      <c r="L118" s="284">
        <f>'Euro Yield Curve'!B7</f>
        <v>-4.7192247035216218E-2</v>
      </c>
      <c r="S118" s="287"/>
      <c r="T118" s="284" t="str">
        <f>'GBP Yield Curve'!A7</f>
        <v>b2</v>
      </c>
      <c r="U118" s="291">
        <f>'GBP Yield Curve'!B7</f>
        <v>-5.0042222459697167E-2</v>
      </c>
      <c r="AB118" s="288"/>
      <c r="AC118" s="284" t="str">
        <f>'CHF Yield Curve'!A7</f>
        <v>b2</v>
      </c>
      <c r="AD118" s="291">
        <f>'CHF Yield Curve'!B7</f>
        <v>-0.35060106157291315</v>
      </c>
      <c r="AK118" s="288"/>
      <c r="AL118" s="284" t="str">
        <f>'CAD Yield Curve'!A7</f>
        <v>b2</v>
      </c>
      <c r="AM118" s="291">
        <f>'CAD Yield Curve'!B7</f>
        <v>-0.1222768186881517</v>
      </c>
      <c r="AN118" s="291"/>
      <c r="AO118" s="291"/>
      <c r="AP118" s="291"/>
      <c r="AQ118" s="291"/>
      <c r="AR118" s="291"/>
      <c r="AS118" s="291"/>
      <c r="AT118" s="292"/>
      <c r="AU118" s="284" t="str">
        <f>'JPY Yield Curve'!A7</f>
        <v>b2</v>
      </c>
      <c r="AV118" s="284">
        <f>'JPY Yield Curve'!B7</f>
        <v>-4.0009795784515072E-2</v>
      </c>
      <c r="BC118" s="288"/>
      <c r="BD118" s="284" t="str">
        <f>'Australia Yield Curve'!A7</f>
        <v>b2</v>
      </c>
      <c r="BE118" s="284">
        <f>'Australia Yield Curve'!B7</f>
        <v>2.6341192267091352E-2</v>
      </c>
      <c r="BL118" s="288"/>
      <c r="BM118" s="283" t="str">
        <f>'NZ Yield Curve'!A7</f>
        <v>b2</v>
      </c>
      <c r="BN118" s="283">
        <f>'NZ Yield Curve'!B7</f>
        <v>-0.16338100137205555</v>
      </c>
      <c r="BU118" s="288"/>
      <c r="BV118" s="284" t="str">
        <f>'Hong Kong Yield Curve'!A7</f>
        <v>b2</v>
      </c>
      <c r="BW118" s="284">
        <f>'Hong Kong Yield Curve'!B7</f>
        <v>0.29503329293762037</v>
      </c>
      <c r="CD118" s="288"/>
    </row>
    <row r="119" spans="1:90">
      <c r="B119" s="284" t="str">
        <f>'USD Yield Curve'!A8</f>
        <v>b3</v>
      </c>
      <c r="C119" s="284">
        <f>'USD Yield Curve'!B8</f>
        <v>1.0123545567755907</v>
      </c>
      <c r="J119" s="285"/>
      <c r="K119" s="284" t="str">
        <f>'Euro Yield Curve'!A8</f>
        <v>b3</v>
      </c>
      <c r="L119" s="284">
        <f>'Euro Yield Curve'!B8</f>
        <v>-9.7343296302025678E-2</v>
      </c>
      <c r="S119" s="287"/>
      <c r="T119" s="284" t="str">
        <f>'GBP Yield Curve'!A8</f>
        <v>b3</v>
      </c>
      <c r="U119" s="291">
        <f>'GBP Yield Curve'!B8</f>
        <v>-0.14864707809475847</v>
      </c>
      <c r="AB119" s="288"/>
      <c r="AC119" s="284" t="str">
        <f>'CHF Yield Curve'!A8</f>
        <v>b3</v>
      </c>
      <c r="AD119" s="291">
        <f>'CHF Yield Curve'!B8</f>
        <v>0.23542902199977092</v>
      </c>
      <c r="AK119" s="288"/>
      <c r="AL119" s="284" t="str">
        <f>'CAD Yield Curve'!A8</f>
        <v>b3</v>
      </c>
      <c r="AM119" s="291">
        <f>'CAD Yield Curve'!B8</f>
        <v>9.7343820355281094E-2</v>
      </c>
      <c r="AN119" s="291"/>
      <c r="AO119" s="291"/>
      <c r="AP119" s="291"/>
      <c r="AQ119" s="291"/>
      <c r="AR119" s="291"/>
      <c r="AS119" s="291"/>
      <c r="AT119" s="292"/>
      <c r="AU119" s="284" t="str">
        <f>'JPY Yield Curve'!A8</f>
        <v>b3</v>
      </c>
      <c r="AV119" s="284">
        <f>'JPY Yield Curve'!B8</f>
        <v>-9.0382917870018998E-3</v>
      </c>
      <c r="BC119" s="288"/>
      <c r="BD119" s="284" t="str">
        <f>'Australia Yield Curve'!A8</f>
        <v>b3</v>
      </c>
      <c r="BE119" s="284">
        <f>'Australia Yield Curve'!B8</f>
        <v>-1.0065339593401893E-2</v>
      </c>
      <c r="BL119" s="288"/>
      <c r="BM119" s="284" t="str">
        <f>'NZ Yield Curve'!A8</f>
        <v>b3</v>
      </c>
      <c r="BN119" s="283">
        <f>'NZ Yield Curve'!B8</f>
        <v>-0.50185538303747568</v>
      </c>
      <c r="BU119" s="288"/>
      <c r="BV119" s="284" t="str">
        <f>'Hong Kong Yield Curve'!A8</f>
        <v>b3</v>
      </c>
      <c r="BW119" s="284">
        <f>'Hong Kong Yield Curve'!B8</f>
        <v>-0.32428276115887644</v>
      </c>
      <c r="CD119" s="288"/>
    </row>
    <row r="120" spans="1:90">
      <c r="B120" s="284" t="str">
        <f>'USD Yield Curve'!A9</f>
        <v>tau</v>
      </c>
      <c r="C120" s="284">
        <f>'USD Yield Curve'!B9</f>
        <v>8.9829027485211501</v>
      </c>
      <c r="J120" s="285"/>
      <c r="K120" s="284" t="str">
        <f>'Euro Yield Curve'!A9</f>
        <v>tau</v>
      </c>
      <c r="L120" s="291">
        <f>'Euro Yield Curve'!B9</f>
        <v>4.7881899899881883</v>
      </c>
      <c r="S120" s="287"/>
      <c r="T120" s="284" t="str">
        <f>'GBP Yield Curve'!A9</f>
        <v>tau</v>
      </c>
      <c r="U120" s="291">
        <f>'GBP Yield Curve'!B9</f>
        <v>4.7326601087914124</v>
      </c>
      <c r="AB120" s="288"/>
      <c r="AC120" s="284" t="str">
        <f>'CHF Yield Curve'!A9</f>
        <v>tau</v>
      </c>
      <c r="AD120" s="291">
        <f>'CHF Yield Curve'!B9</f>
        <v>90.026227563865291</v>
      </c>
      <c r="AK120" s="288"/>
      <c r="AL120" s="284" t="str">
        <f>'CAD Yield Curve'!A9</f>
        <v>tau</v>
      </c>
      <c r="AM120" s="291">
        <f>'CAD Yield Curve'!B9</f>
        <v>86.453020971661076</v>
      </c>
      <c r="AN120" s="291"/>
      <c r="AO120" s="291"/>
      <c r="AP120" s="291"/>
      <c r="AQ120" s="291"/>
      <c r="AR120" s="291"/>
      <c r="AS120" s="291"/>
      <c r="AT120" s="292"/>
      <c r="AU120" s="284" t="str">
        <f>'JPY Yield Curve'!A9</f>
        <v>tau</v>
      </c>
      <c r="AV120" s="284">
        <f>'JPY Yield Curve'!B9</f>
        <v>17.961159636964524</v>
      </c>
      <c r="BC120" s="288"/>
      <c r="BD120" s="284" t="str">
        <f>'Australia Yield Curve'!A9</f>
        <v>tau</v>
      </c>
      <c r="BE120" s="284">
        <f>'Australia Yield Curve'!B9</f>
        <v>63.243018913710777</v>
      </c>
      <c r="BL120" s="288"/>
      <c r="BM120" s="284" t="str">
        <f>'NZ Yield Curve'!A9</f>
        <v>tau</v>
      </c>
      <c r="BN120" s="283">
        <f>'NZ Yield Curve'!B9</f>
        <v>10.480674003050957</v>
      </c>
      <c r="BU120" s="288"/>
      <c r="BV120" s="284" t="str">
        <f>'Hong Kong Yield Curve'!A9</f>
        <v>tau</v>
      </c>
      <c r="BW120" s="284">
        <f>'Hong Kong Yield Curve'!B9</f>
        <v>12.018365722420603</v>
      </c>
      <c r="CD120" s="288"/>
    </row>
    <row r="121" spans="1:90">
      <c r="B121" s="284" t="str">
        <f>'USD Yield Curve'!A10</f>
        <v>rho</v>
      </c>
      <c r="C121" s="284">
        <f>'USD Yield Curve'!B10</f>
        <v>8.9542274432135009</v>
      </c>
      <c r="J121" s="285"/>
      <c r="K121" s="284" t="str">
        <f>'Euro Yield Curve'!A10</f>
        <v>rho</v>
      </c>
      <c r="L121" s="291">
        <f>'Euro Yield Curve'!B10</f>
        <v>36.119133428546959</v>
      </c>
      <c r="S121" s="287"/>
      <c r="T121" s="284" t="str">
        <f>'GBP Yield Curve'!A10</f>
        <v>rho</v>
      </c>
      <c r="U121" s="291">
        <f>'GBP Yield Curve'!B10</f>
        <v>143.43500678771329</v>
      </c>
      <c r="AB121" s="288"/>
      <c r="AC121" s="284" t="str">
        <f>'CHF Yield Curve'!A10</f>
        <v>rho</v>
      </c>
      <c r="AD121" s="291">
        <f>'CHF Yield Curve'!B10</f>
        <v>41.219840265800102</v>
      </c>
      <c r="AK121" s="288"/>
      <c r="AL121" s="284" t="str">
        <f>'CAD Yield Curve'!A10</f>
        <v>rho</v>
      </c>
      <c r="AM121" s="291">
        <f>'CAD Yield Curve'!B10</f>
        <v>66.329947449088166</v>
      </c>
      <c r="AN121" s="291"/>
      <c r="AO121" s="291"/>
      <c r="AP121" s="291"/>
      <c r="AQ121" s="291"/>
      <c r="AR121" s="291"/>
      <c r="AS121" s="291"/>
      <c r="AT121" s="292"/>
      <c r="AU121" s="284" t="str">
        <f>'JPY Yield Curve'!A10</f>
        <v>rho</v>
      </c>
      <c r="AV121" s="284">
        <f>'JPY Yield Curve'!B10</f>
        <v>5.3143412402669723</v>
      </c>
      <c r="BC121" s="288"/>
      <c r="BD121" s="284" t="str">
        <f>'Australia Yield Curve'!A10</f>
        <v>rho</v>
      </c>
      <c r="BE121" s="284">
        <f>'Australia Yield Curve'!B10</f>
        <v>1.7536208484834075</v>
      </c>
      <c r="BL121" s="288"/>
      <c r="BM121" s="284" t="str">
        <f>'NZ Yield Curve'!A10</f>
        <v>rho</v>
      </c>
      <c r="BN121" s="283">
        <f>'NZ Yield Curve'!B10</f>
        <v>0.92237322213457662</v>
      </c>
      <c r="BU121" s="288"/>
      <c r="BV121" s="284" t="str">
        <f>'Hong Kong Yield Curve'!A10</f>
        <v>rho</v>
      </c>
      <c r="BW121" s="284">
        <f>'Hong Kong Yield Curve'!B10</f>
        <v>10.596488753333446</v>
      </c>
      <c r="CD121" s="288"/>
    </row>
    <row r="122" spans="1:90">
      <c r="A122" s="293"/>
      <c r="B122" s="293"/>
      <c r="D122" s="293"/>
      <c r="E122" s="293"/>
      <c r="G122" s="293"/>
      <c r="H122" s="293"/>
      <c r="I122" s="293"/>
      <c r="J122" s="294"/>
      <c r="K122" s="293"/>
      <c r="L122" s="293"/>
      <c r="M122" s="293"/>
      <c r="N122" s="293"/>
      <c r="O122" s="293"/>
      <c r="P122" s="293"/>
      <c r="Q122" s="293"/>
      <c r="R122" s="293"/>
      <c r="S122" s="295"/>
      <c r="T122" s="293"/>
      <c r="U122" s="293"/>
      <c r="AB122" s="288"/>
      <c r="AK122" s="288"/>
      <c r="AT122" s="288"/>
      <c r="BC122" s="288"/>
      <c r="BL122" s="288"/>
      <c r="BU122" s="288"/>
      <c r="CD122" s="288"/>
    </row>
    <row r="123" spans="1:90" ht="15">
      <c r="B123" s="284" t="s">
        <v>54</v>
      </c>
      <c r="C123" s="293"/>
      <c r="J123" s="285"/>
      <c r="K123" s="284" t="s">
        <v>137</v>
      </c>
      <c r="L123" s="296"/>
      <c r="S123" s="287"/>
      <c r="T123" s="284" t="s">
        <v>138</v>
      </c>
      <c r="U123" s="296"/>
      <c r="AB123" s="288"/>
      <c r="AC123" s="284" t="s">
        <v>140</v>
      </c>
      <c r="AD123" s="296"/>
      <c r="AK123" s="288"/>
      <c r="AL123" s="284" t="s">
        <v>139</v>
      </c>
      <c r="AM123" s="296"/>
      <c r="AT123" s="288"/>
      <c r="AU123" s="284" t="s">
        <v>144</v>
      </c>
      <c r="AV123" s="296"/>
      <c r="BC123" s="288"/>
      <c r="BD123" s="284" t="s">
        <v>141</v>
      </c>
      <c r="BE123" s="296"/>
      <c r="BL123" s="288"/>
      <c r="BM123" s="284" t="s">
        <v>142</v>
      </c>
      <c r="BN123" s="296"/>
      <c r="BU123" s="288"/>
      <c r="BV123" s="284" t="s">
        <v>829</v>
      </c>
      <c r="BW123" s="296"/>
      <c r="CD123" s="288"/>
    </row>
    <row r="124" spans="1:90">
      <c r="B124" s="284" t="s">
        <v>8</v>
      </c>
      <c r="C124" s="284" t="s">
        <v>55</v>
      </c>
      <c r="D124" s="284" t="s">
        <v>431</v>
      </c>
      <c r="J124" s="285"/>
      <c r="K124" s="284" t="s">
        <v>8</v>
      </c>
      <c r="L124" s="284" t="s">
        <v>55</v>
      </c>
      <c r="M124" s="284" t="s">
        <v>431</v>
      </c>
      <c r="S124" s="287"/>
      <c r="T124" s="284" t="s">
        <v>8</v>
      </c>
      <c r="U124" s="284" t="s">
        <v>55</v>
      </c>
      <c r="V124" s="284" t="s">
        <v>431</v>
      </c>
      <c r="AB124" s="288"/>
      <c r="AC124" s="284" t="s">
        <v>8</v>
      </c>
      <c r="AD124" s="284" t="s">
        <v>55</v>
      </c>
      <c r="AE124" s="284" t="s">
        <v>431</v>
      </c>
      <c r="AK124" s="288"/>
      <c r="AL124" s="284" t="s">
        <v>8</v>
      </c>
      <c r="AM124" s="284" t="s">
        <v>55</v>
      </c>
      <c r="AN124" s="284" t="s">
        <v>431</v>
      </c>
      <c r="AT124" s="288"/>
      <c r="AU124" s="284" t="s">
        <v>8</v>
      </c>
      <c r="AV124" s="284" t="s">
        <v>55</v>
      </c>
      <c r="AW124" s="284" t="s">
        <v>431</v>
      </c>
      <c r="BC124" s="288"/>
      <c r="BD124" s="284" t="s">
        <v>8</v>
      </c>
      <c r="BE124" s="284" t="s">
        <v>55</v>
      </c>
      <c r="BF124" s="284" t="s">
        <v>431</v>
      </c>
      <c r="BL124" s="288"/>
      <c r="BM124" s="284" t="s">
        <v>8</v>
      </c>
      <c r="BN124" s="284" t="s">
        <v>55</v>
      </c>
      <c r="BO124" s="284" t="s">
        <v>431</v>
      </c>
      <c r="BU124" s="288"/>
      <c r="BV124" s="284" t="s">
        <v>8</v>
      </c>
      <c r="BW124" s="284" t="s">
        <v>55</v>
      </c>
      <c r="BX124" s="284" t="s">
        <v>431</v>
      </c>
      <c r="CD124" s="288"/>
    </row>
    <row r="125" spans="1:90">
      <c r="A125" s="284">
        <f>A4</f>
        <v>8.3333333333333329E-2</v>
      </c>
      <c r="B125" s="284" t="s">
        <v>56</v>
      </c>
      <c r="C125" s="284">
        <f>C$116+C$117*((1-EXP(-$A125/C$120))/($A125/C$120))+C$118*((1-EXP(-$A125/C$120))/($A125/C$120)-EXP(-$A125/C$120))+C$119*((1-EXP(-$A125/C$121))/($A125/C$121)-EXP(-$A125/C$121))</f>
        <v>1.7478152138587701E-2</v>
      </c>
      <c r="J125" s="285"/>
      <c r="K125" s="284" t="s">
        <v>56</v>
      </c>
      <c r="L125" s="284">
        <f>L$116+L$117*((1-EXP(-$A125/L$120))/($A125/L$120))+L$118*((1-EXP(-$A125/L$120))/($A125/L$120)-EXP(-$A125/L$120))+L$119*((1-EXP(-$A125/L$121))/($A125/L$121)-EXP(-$A125/L$121))</f>
        <v>-6.5360704828297299E-3</v>
      </c>
      <c r="S125" s="287"/>
      <c r="T125" s="284" t="s">
        <v>56</v>
      </c>
      <c r="U125" s="284">
        <f>U$116+U$117*((1-EXP(-$A125/U$120))/($A125/U$120))+U$118*((1-EXP(-$A125/U$120))/($A125/U$120)-EXP(-$A125/U$120))+U$119*((1-EXP(-$A125/U$121))/($A125/U$121)-EXP(-$A125/U$121))</f>
        <v>8.2157510857598665E-3</v>
      </c>
      <c r="AB125" s="288"/>
      <c r="AC125" s="284" t="s">
        <v>56</v>
      </c>
      <c r="AD125" s="284">
        <f>AD$116+AD$117*((1-EXP(-$A125/AD$120))/($A125/AD$120))+AD$118*((1-EXP(-$A125/AD$120))/($A125/AD$120)-EXP(-$A125/AD$120))+AD$119*((1-EXP(-$A125/AD$121))/($A125/AD$121)-EXP(-$A125/AD$121))</f>
        <v>-1.4182393350927769E-2</v>
      </c>
      <c r="AK125" s="288"/>
      <c r="AL125" s="284" t="s">
        <v>56</v>
      </c>
      <c r="AM125" s="284">
        <f>AM$116+AM$117*((1-EXP(-$A125/AM$120))/($A125/AM$120))+AM$118*((1-EXP(-$A125/AM$120))/($A125/AM$120)-EXP(-$A125/AM$120))+AM$119*((1-EXP(-$A125/AM$121))/($A125/AM$121)-EXP(-$A125/AM$121))</f>
        <v>1.3594516313070695E-2</v>
      </c>
      <c r="AT125" s="288"/>
      <c r="AU125" s="284" t="s">
        <v>56</v>
      </c>
      <c r="AV125" s="284">
        <f>AV$116+AV$117*((1-EXP(-$A125/AV$120))/($A125/AV$120))+AV$118*((1-EXP(-$A125/AV$120))/($A125/AV$120)-EXP(-$A125/AV$120))+AV$119*((1-EXP(-$A125/AV$121))/($A125/AV$121)-EXP(-$A125/AV$121))</f>
        <v>-1.1984815183289823E-3</v>
      </c>
      <c r="BC125" s="288"/>
      <c r="BD125" s="284" t="s">
        <v>56</v>
      </c>
      <c r="BE125" s="284">
        <f>BE$116+BE$117*((1-EXP(-$A125/BE$120))/($A125/BE$120))+BE$118*((1-EXP(-$A125/BE$120))/($A125/BE$120)-EXP(-$A125/BE$120))+BE$119*((1-EXP(-$A125/BE$121))/($A125/BE$121)-EXP(-$A125/BE$121))</f>
        <v>1.1037654420190224E-2</v>
      </c>
      <c r="BL125" s="288"/>
      <c r="BM125" s="284" t="s">
        <v>56</v>
      </c>
      <c r="BN125" s="284">
        <f>BN$116+BN$117*((1-EXP(-$A125/BN$120))/($A125/BN$120))+BN$118*((1-EXP(-$A125/BN$120))/($A125/BN$120)-EXP(-$A125/BN$120))+BN$119*((1-EXP(-$A125/BN$121))/($A125/BN$121)-EXP(-$A125/BN$121))</f>
        <v>0.12126400919422969</v>
      </c>
      <c r="BU125" s="288"/>
      <c r="BV125" s="284" t="s">
        <v>56</v>
      </c>
      <c r="BW125" s="284">
        <f>BW$116+BW$117*((1-EXP(-$A125/BW$120))/($A125/BW$120))+BW$118*((1-EXP(-$A125/BW$120))/($A125/BW$120)-EXP(-$A125/BW$120))+BW$119*((1-EXP(-$A125/BW$121))/($A125/BW$121)-EXP(-$A125/BW$121))</f>
        <v>1.9514627332265187E-2</v>
      </c>
      <c r="CD125" s="288"/>
    </row>
    <row r="126" spans="1:90">
      <c r="A126" s="284">
        <f t="shared" ref="A126:A189" si="126">A5</f>
        <v>0.16666666666666666</v>
      </c>
      <c r="B126" s="284" t="s">
        <v>57</v>
      </c>
      <c r="C126" s="284">
        <f t="shared" ref="C126:C189" si="127">C$116+C$117*((1-EXP(-$A126/C$120))/($A126/C$120))+C$118*((1-EXP(-$A126/C$120))/($A126/C$120)-EXP(-$A126/C$120))+C$119*((1-EXP(-$A126/C$121))/($A126/C$121)-EXP(-$A126/C$121))</f>
        <v>1.7482216285359675E-2</v>
      </c>
      <c r="J126" s="285"/>
      <c r="K126" s="284" t="s">
        <v>57</v>
      </c>
      <c r="L126" s="284">
        <f t="shared" ref="L126:L189" si="128">L$116+L$117*((1-EXP(-$A126/L$120))/($A126/L$120))+L$118*((1-EXP(-$A126/L$120))/($A126/L$120)-EXP(-$A126/L$120))+L$119*((1-EXP(-$A126/L$121))/($A126/L$121)-EXP(-$A126/L$121))</f>
        <v>-6.6301980507635968E-3</v>
      </c>
      <c r="S126" s="287"/>
      <c r="T126" s="284" t="s">
        <v>57</v>
      </c>
      <c r="U126" s="284">
        <f t="shared" ref="U126:U189" si="129">U$116+U$117*((1-EXP(-$A126/U$120))/($A126/U$120))+U$118*((1-EXP(-$A126/U$120))/($A126/U$120)-EXP(-$A126/U$120))+U$119*((1-EXP(-$A126/U$121))/($A126/U$121)-EXP(-$A126/U$121))</f>
        <v>8.0379828102572024E-3</v>
      </c>
      <c r="AB126" s="288"/>
      <c r="AC126" s="284" t="s">
        <v>57</v>
      </c>
      <c r="AD126" s="284">
        <f t="shared" ref="AD126:AD189" si="130">AD$116+AD$117*((1-EXP(-$A126/AD$120))/($A126/AD$120))+AD$118*((1-EXP(-$A126/AD$120))/($A126/AD$120)-EXP(-$A126/AD$120))+AD$119*((1-EXP(-$A126/AD$121))/($A126/AD$121)-EXP(-$A126/AD$121))</f>
        <v>-1.4081314972886921E-2</v>
      </c>
      <c r="AK126" s="288"/>
      <c r="AL126" s="284" t="s">
        <v>57</v>
      </c>
      <c r="AM126" s="284">
        <f t="shared" ref="AM126:AM189" si="131">AM$116+AM$117*((1-EXP(-$A126/AM$120))/($A126/AM$120))+AM$118*((1-EXP(-$A126/AM$120))/($A126/AM$120)-EXP(-$A126/AM$120))+AM$119*((1-EXP(-$A126/AM$121))/($A126/AM$121)-EXP(-$A126/AM$121))</f>
        <v>1.3610377574391286E-2</v>
      </c>
      <c r="AT126" s="288"/>
      <c r="AU126" s="284" t="s">
        <v>57</v>
      </c>
      <c r="AV126" s="284">
        <f t="shared" ref="AV126:AV189" si="132">AV$116+AV$117*((1-EXP(-$A126/AV$120))/($A126/AV$120))+AV$118*((1-EXP(-$A126/AV$120))/($A126/AV$120)-EXP(-$A126/AV$120))+AV$119*((1-EXP(-$A126/AV$121))/($A126/AV$121)-EXP(-$A126/AV$121))</f>
        <v>-1.2595069517581377E-3</v>
      </c>
      <c r="BC126" s="288"/>
      <c r="BD126" s="284" t="s">
        <v>57</v>
      </c>
      <c r="BE126" s="284">
        <f t="shared" ref="BE126:BE189" si="133">BE$116+BE$117*((1-EXP(-$A126/BE$120))/($A126/BE$120))+BE$118*((1-EXP(-$A126/BE$120))/($A126/BE$120)-EXP(-$A126/BE$120))+BE$119*((1-EXP(-$A126/BE$121))/($A126/BE$121)-EXP(-$A126/BE$121))</f>
        <v>1.0857861352966108E-2</v>
      </c>
      <c r="BL126" s="288"/>
      <c r="BM126" s="284" t="s">
        <v>57</v>
      </c>
      <c r="BN126" s="284">
        <f t="shared" ref="BN126:BN189" si="134">BN$116+BN$117*((1-EXP(-$A126/BN$120))/($A126/BN$120))+BN$118*((1-EXP(-$A126/BN$120))/($A126/BN$120)-EXP(-$A126/BN$120))+BN$119*((1-EXP(-$A126/BN$121))/($A126/BN$121)-EXP(-$A126/BN$121))</f>
        <v>0.10134194279224328</v>
      </c>
      <c r="BU126" s="288"/>
      <c r="BV126" s="284" t="s">
        <v>57</v>
      </c>
      <c r="BW126" s="284">
        <f t="shared" ref="BW126:BW189" si="135">BW$116+BW$117*((1-EXP(-$A126/BW$120))/($A126/BW$120))+BW$118*((1-EXP(-$A126/BW$120))/($A126/BW$120)-EXP(-$A126/BW$120))+BW$119*((1-EXP(-$A126/BW$121))/($A126/BW$121)-EXP(-$A126/BW$121))</f>
        <v>1.9345004100402772E-2</v>
      </c>
      <c r="CD126" s="288"/>
    </row>
    <row r="127" spans="1:90">
      <c r="A127" s="284">
        <f t="shared" si="126"/>
        <v>0.25</v>
      </c>
      <c r="B127" s="284" t="s">
        <v>58</v>
      </c>
      <c r="C127" s="284">
        <f t="shared" si="127"/>
        <v>1.7486745046701349E-2</v>
      </c>
      <c r="J127" s="285"/>
      <c r="K127" s="284" t="s">
        <v>58</v>
      </c>
      <c r="L127" s="284">
        <f t="shared" si="128"/>
        <v>-6.7195830612545816E-3</v>
      </c>
      <c r="S127" s="287"/>
      <c r="T127" s="284" t="s">
        <v>58</v>
      </c>
      <c r="U127" s="284">
        <f t="shared" si="129"/>
        <v>7.8668075596180047E-3</v>
      </c>
      <c r="AB127" s="288"/>
      <c r="AC127" s="284" t="s">
        <v>58</v>
      </c>
      <c r="AD127" s="284">
        <f t="shared" si="130"/>
        <v>-1.3980691376164934E-2</v>
      </c>
      <c r="AK127" s="288"/>
      <c r="AL127" s="284" t="s">
        <v>58</v>
      </c>
      <c r="AM127" s="284">
        <f t="shared" si="131"/>
        <v>1.3626203479977556E-2</v>
      </c>
      <c r="AT127" s="288"/>
      <c r="AU127" s="284" t="s">
        <v>58</v>
      </c>
      <c r="AV127" s="284">
        <f t="shared" si="132"/>
        <v>-1.3188413096856528E-3</v>
      </c>
      <c r="BC127" s="288"/>
      <c r="BD127" s="284" t="s">
        <v>58</v>
      </c>
      <c r="BE127" s="284">
        <f t="shared" si="133"/>
        <v>1.0691635655968954E-2</v>
      </c>
      <c r="BL127" s="288"/>
      <c r="BM127" s="284" t="s">
        <v>58</v>
      </c>
      <c r="BN127" s="284">
        <f t="shared" si="134"/>
        <v>8.3656688206652396E-2</v>
      </c>
      <c r="BU127" s="288"/>
      <c r="BV127" s="284" t="s">
        <v>58</v>
      </c>
      <c r="BW127" s="284">
        <f t="shared" si="135"/>
        <v>1.9178852901659809E-2</v>
      </c>
      <c r="CD127" s="288"/>
    </row>
    <row r="128" spans="1:90">
      <c r="A128" s="284">
        <f t="shared" si="126"/>
        <v>0.33333333333333331</v>
      </c>
      <c r="B128" s="284" t="s">
        <v>59</v>
      </c>
      <c r="C128" s="284">
        <f t="shared" si="127"/>
        <v>1.7491733082632816E-2</v>
      </c>
      <c r="J128" s="285"/>
      <c r="K128" s="284" t="s">
        <v>59</v>
      </c>
      <c r="L128" s="284">
        <f t="shared" si="128"/>
        <v>-6.804342876125042E-3</v>
      </c>
      <c r="S128" s="287"/>
      <c r="T128" s="284" t="s">
        <v>59</v>
      </c>
      <c r="U128" s="284">
        <f t="shared" si="129"/>
        <v>7.7020740826456244E-3</v>
      </c>
      <c r="AB128" s="288"/>
      <c r="AC128" s="284" t="s">
        <v>59</v>
      </c>
      <c r="AD128" s="284">
        <f t="shared" si="130"/>
        <v>-1.3880521306530747E-2</v>
      </c>
      <c r="AK128" s="288"/>
      <c r="AL128" s="284" t="s">
        <v>59</v>
      </c>
      <c r="AM128" s="284">
        <f t="shared" si="131"/>
        <v>1.3641994098561219E-2</v>
      </c>
      <c r="AT128" s="288"/>
      <c r="AU128" s="284" t="s">
        <v>59</v>
      </c>
      <c r="AV128" s="284">
        <f t="shared" si="132"/>
        <v>-1.3765115520630372E-3</v>
      </c>
      <c r="BC128" s="288"/>
      <c r="BD128" s="284" t="s">
        <v>59</v>
      </c>
      <c r="BE128" s="284">
        <f t="shared" si="133"/>
        <v>1.0538263623032187E-2</v>
      </c>
      <c r="BL128" s="288"/>
      <c r="BM128" s="284" t="s">
        <v>59</v>
      </c>
      <c r="BN128" s="284">
        <f t="shared" si="134"/>
        <v>6.798993340722792E-2</v>
      </c>
      <c r="BU128" s="288"/>
      <c r="BV128" s="284" t="s">
        <v>59</v>
      </c>
      <c r="BW128" s="284">
        <f t="shared" si="135"/>
        <v>1.9016132146578955E-2</v>
      </c>
      <c r="CD128" s="288"/>
    </row>
    <row r="129" spans="1:82">
      <c r="A129" s="284">
        <f t="shared" si="126"/>
        <v>0.41666666666666663</v>
      </c>
      <c r="B129" s="284" t="s">
        <v>60</v>
      </c>
      <c r="C129" s="284">
        <f t="shared" si="127"/>
        <v>1.7497175098849769E-2</v>
      </c>
      <c r="J129" s="285"/>
      <c r="K129" s="284" t="s">
        <v>60</v>
      </c>
      <c r="L129" s="284">
        <f t="shared" si="128"/>
        <v>-6.8845924254675745E-3</v>
      </c>
      <c r="S129" s="287"/>
      <c r="T129" s="284" t="s">
        <v>60</v>
      </c>
      <c r="U129" s="284">
        <f t="shared" si="129"/>
        <v>7.5436341524300864E-3</v>
      </c>
      <c r="AB129" s="288"/>
      <c r="AC129" s="284" t="s">
        <v>60</v>
      </c>
      <c r="AD129" s="284">
        <f t="shared" si="130"/>
        <v>-1.3780803512642615E-2</v>
      </c>
      <c r="AK129" s="288"/>
      <c r="AL129" s="284" t="s">
        <v>60</v>
      </c>
      <c r="AM129" s="284">
        <f t="shared" si="131"/>
        <v>1.3657749498746001E-2</v>
      </c>
      <c r="AT129" s="288"/>
      <c r="AU129" s="284" t="s">
        <v>60</v>
      </c>
      <c r="AV129" s="284">
        <f t="shared" si="132"/>
        <v>-1.4325442118953186E-3</v>
      </c>
      <c r="BC129" s="288"/>
      <c r="BD129" s="284" t="s">
        <v>60</v>
      </c>
      <c r="BE129" s="284">
        <f t="shared" si="133"/>
        <v>1.0397066953435421E-2</v>
      </c>
      <c r="BL129" s="288"/>
      <c r="BM129" s="284" t="s">
        <v>60</v>
      </c>
      <c r="BN129" s="284">
        <f t="shared" si="134"/>
        <v>5.4143555779518474E-2</v>
      </c>
      <c r="BU129" s="288"/>
      <c r="BV129" s="284" t="s">
        <v>60</v>
      </c>
      <c r="BW129" s="284">
        <f t="shared" si="135"/>
        <v>1.8856800669901183E-2</v>
      </c>
      <c r="CD129" s="288"/>
    </row>
    <row r="130" spans="1:82">
      <c r="A130" s="284">
        <f t="shared" si="126"/>
        <v>0.49999999999999994</v>
      </c>
      <c r="B130" s="284" t="s">
        <v>61</v>
      </c>
      <c r="C130" s="284">
        <f t="shared" si="127"/>
        <v>1.7503065846450564E-2</v>
      </c>
      <c r="J130" s="285"/>
      <c r="K130" s="284" t="s">
        <v>61</v>
      </c>
      <c r="L130" s="284">
        <f t="shared" si="128"/>
        <v>-6.9604442543952545E-3</v>
      </c>
      <c r="S130" s="287"/>
      <c r="T130" s="284" t="s">
        <v>61</v>
      </c>
      <c r="U130" s="284">
        <f t="shared" si="129"/>
        <v>7.3913425091140161E-3</v>
      </c>
      <c r="AB130" s="288"/>
      <c r="AC130" s="284" t="s">
        <v>61</v>
      </c>
      <c r="AD130" s="284">
        <f t="shared" si="130"/>
        <v>-1.3681536746086576E-2</v>
      </c>
      <c r="AK130" s="288"/>
      <c r="AL130" s="284" t="s">
        <v>61</v>
      </c>
      <c r="AM130" s="284">
        <f t="shared" si="131"/>
        <v>1.3673469749026508E-2</v>
      </c>
      <c r="AT130" s="288"/>
      <c r="AU130" s="284" t="s">
        <v>61</v>
      </c>
      <c r="AV130" s="284">
        <f t="shared" si="132"/>
        <v>-1.4869654020468312E-3</v>
      </c>
      <c r="BC130" s="288"/>
      <c r="BD130" s="284" t="s">
        <v>61</v>
      </c>
      <c r="BE130" s="284">
        <f t="shared" si="133"/>
        <v>1.0267401038216344E-2</v>
      </c>
      <c r="BL130" s="288"/>
      <c r="BM130" s="284" t="s">
        <v>61</v>
      </c>
      <c r="BN130" s="284">
        <f t="shared" si="134"/>
        <v>4.1937801149521434E-2</v>
      </c>
      <c r="BU130" s="288"/>
      <c r="BV130" s="284" t="s">
        <v>61</v>
      </c>
      <c r="BW130" s="284">
        <f t="shared" si="135"/>
        <v>1.8700817726557642E-2</v>
      </c>
      <c r="CD130" s="288"/>
    </row>
    <row r="131" spans="1:82">
      <c r="A131" s="284">
        <f t="shared" si="126"/>
        <v>0.58333333333333326</v>
      </c>
      <c r="B131" s="284" t="s">
        <v>62</v>
      </c>
      <c r="C131" s="284">
        <f t="shared" si="127"/>
        <v>1.75094001215827E-2</v>
      </c>
      <c r="G131" s="297"/>
      <c r="J131" s="285"/>
      <c r="K131" s="284" t="s">
        <v>62</v>
      </c>
      <c r="L131" s="284">
        <f t="shared" si="128"/>
        <v>-7.0320085689297134E-3</v>
      </c>
      <c r="S131" s="287"/>
      <c r="T131" s="284" t="s">
        <v>62</v>
      </c>
      <c r="U131" s="284">
        <f t="shared" si="129"/>
        <v>7.2450568036727617E-3</v>
      </c>
      <c r="AB131" s="288"/>
      <c r="AC131" s="284" t="s">
        <v>62</v>
      </c>
      <c r="AD131" s="284">
        <f t="shared" si="130"/>
        <v>-1.3582719761355843E-2</v>
      </c>
      <c r="AK131" s="288"/>
      <c r="AL131" s="284" t="s">
        <v>62</v>
      </c>
      <c r="AM131" s="284">
        <f t="shared" si="131"/>
        <v>1.3689154917783757E-2</v>
      </c>
      <c r="AT131" s="288"/>
      <c r="AU131" s="284" t="s">
        <v>62</v>
      </c>
      <c r="AV131" s="284">
        <f t="shared" si="132"/>
        <v>-1.5398008219355604E-3</v>
      </c>
      <c r="BC131" s="288"/>
      <c r="BD131" s="284" t="s">
        <v>62</v>
      </c>
      <c r="BE131" s="284">
        <f t="shared" si="133"/>
        <v>1.0148653328352152E-2</v>
      </c>
      <c r="BL131" s="288"/>
      <c r="BM131" s="284" t="s">
        <v>62</v>
      </c>
      <c r="BN131" s="284">
        <f t="shared" si="134"/>
        <v>3.1209624861933724E-2</v>
      </c>
      <c r="BU131" s="288"/>
      <c r="BV131" s="284" t="s">
        <v>62</v>
      </c>
      <c r="BW131" s="284">
        <f t="shared" si="135"/>
        <v>1.8548142987705685E-2</v>
      </c>
      <c r="CD131" s="288"/>
    </row>
    <row r="132" spans="1:82">
      <c r="A132" s="284">
        <f t="shared" si="126"/>
        <v>0.66666666666666663</v>
      </c>
      <c r="B132" s="284" t="s">
        <v>63</v>
      </c>
      <c r="C132" s="284">
        <f t="shared" si="127"/>
        <v>1.7516172765123249E-2</v>
      </c>
      <c r="G132" s="297"/>
      <c r="J132" s="285"/>
      <c r="K132" s="284" t="s">
        <v>63</v>
      </c>
      <c r="L132" s="284">
        <f t="shared" si="128"/>
        <v>-7.0993932810409542E-3</v>
      </c>
      <c r="S132" s="287"/>
      <c r="T132" s="284" t="s">
        <v>63</v>
      </c>
      <c r="U132" s="284">
        <f t="shared" si="129"/>
        <v>7.1046375427399897E-3</v>
      </c>
      <c r="AB132" s="288"/>
      <c r="AC132" s="284" t="s">
        <v>63</v>
      </c>
      <c r="AD132" s="284">
        <f t="shared" si="130"/>
        <v>-1.3484351315889917E-2</v>
      </c>
      <c r="AK132" s="288"/>
      <c r="AL132" s="284" t="s">
        <v>63</v>
      </c>
      <c r="AM132" s="284">
        <f t="shared" si="131"/>
        <v>1.3704805073280762E-2</v>
      </c>
      <c r="AT132" s="288"/>
      <c r="AU132" s="284" t="s">
        <v>63</v>
      </c>
      <c r="AV132" s="284">
        <f t="shared" si="132"/>
        <v>-1.5910757641251908E-3</v>
      </c>
      <c r="BC132" s="288"/>
      <c r="BD132" s="284" t="s">
        <v>63</v>
      </c>
      <c r="BE132" s="284">
        <f t="shared" si="133"/>
        <v>1.0040241780929214E-2</v>
      </c>
      <c r="BL132" s="288"/>
      <c r="BM132" s="284" t="s">
        <v>63</v>
      </c>
      <c r="BN132" s="284">
        <f t="shared" si="134"/>
        <v>2.1811180605281436E-2</v>
      </c>
      <c r="BU132" s="288"/>
      <c r="BV132" s="284" t="s">
        <v>63</v>
      </c>
      <c r="BW132" s="284">
        <f t="shared" si="135"/>
        <v>1.8398736536805647E-2</v>
      </c>
      <c r="CD132" s="288"/>
    </row>
    <row r="133" spans="1:82">
      <c r="A133" s="284">
        <f t="shared" si="126"/>
        <v>0.75</v>
      </c>
      <c r="B133" s="284" t="s">
        <v>64</v>
      </c>
      <c r="C133" s="284">
        <f t="shared" si="127"/>
        <v>1.7523378662369745E-2</v>
      </c>
      <c r="G133" s="297"/>
      <c r="J133" s="285"/>
      <c r="K133" s="284" t="s">
        <v>64</v>
      </c>
      <c r="L133" s="284">
        <f t="shared" si="128"/>
        <v>-7.1627040528487139E-3</v>
      </c>
      <c r="S133" s="287"/>
      <c r="T133" s="284" t="s">
        <v>64</v>
      </c>
      <c r="U133" s="284">
        <f t="shared" si="129"/>
        <v>6.9699480344712654E-3</v>
      </c>
      <c r="AB133" s="288"/>
      <c r="AC133" s="284" t="s">
        <v>64</v>
      </c>
      <c r="AD133" s="284">
        <f t="shared" si="130"/>
        <v>-1.3386430169986294E-2</v>
      </c>
      <c r="AK133" s="288"/>
      <c r="AL133" s="284" t="s">
        <v>64</v>
      </c>
      <c r="AM133" s="284">
        <f t="shared" si="131"/>
        <v>1.3720420283670176E-2</v>
      </c>
      <c r="AT133" s="288"/>
      <c r="AU133" s="284" t="s">
        <v>64</v>
      </c>
      <c r="AV133" s="284">
        <f t="shared" si="132"/>
        <v>-1.6408151208080588E-3</v>
      </c>
      <c r="BC133" s="288"/>
      <c r="BD133" s="284" t="s">
        <v>64</v>
      </c>
      <c r="BE133" s="284">
        <f t="shared" si="133"/>
        <v>9.9416133796039752E-3</v>
      </c>
      <c r="BL133" s="288"/>
      <c r="BM133" s="284" t="s">
        <v>64</v>
      </c>
      <c r="BN133" s="284">
        <f t="shared" si="134"/>
        <v>1.360844393377808E-2</v>
      </c>
      <c r="BU133" s="288"/>
      <c r="BV133" s="284" t="s">
        <v>64</v>
      </c>
      <c r="BW133" s="284">
        <f t="shared" si="135"/>
        <v>1.8252558865719554E-2</v>
      </c>
      <c r="CD133" s="288"/>
    </row>
    <row r="134" spans="1:82">
      <c r="A134" s="284">
        <f t="shared" si="126"/>
        <v>0.83333333333333337</v>
      </c>
      <c r="B134" s="284" t="s">
        <v>65</v>
      </c>
      <c r="C134" s="284">
        <f t="shared" si="127"/>
        <v>1.7531012742701472E-2</v>
      </c>
      <c r="G134" s="297"/>
      <c r="J134" s="285"/>
      <c r="K134" s="284" t="s">
        <v>65</v>
      </c>
      <c r="L134" s="284">
        <f t="shared" si="128"/>
        <v>-7.2220443400056612E-3</v>
      </c>
      <c r="S134" s="287"/>
      <c r="T134" s="284" t="s">
        <v>65</v>
      </c>
      <c r="U134" s="284">
        <f t="shared" si="129"/>
        <v>6.8408543353680046E-3</v>
      </c>
      <c r="AB134" s="288"/>
      <c r="AC134" s="284" t="s">
        <v>65</v>
      </c>
      <c r="AD134" s="284">
        <f t="shared" si="130"/>
        <v>-1.3288955086876837E-2</v>
      </c>
      <c r="AK134" s="288"/>
      <c r="AL134" s="284" t="s">
        <v>65</v>
      </c>
      <c r="AM134" s="284">
        <f t="shared" si="131"/>
        <v>1.3736000616989298E-2</v>
      </c>
      <c r="AT134" s="288"/>
      <c r="AU134" s="284" t="s">
        <v>65</v>
      </c>
      <c r="AV134" s="284">
        <f t="shared" si="132"/>
        <v>-1.6890433901864364E-3</v>
      </c>
      <c r="BC134" s="288"/>
      <c r="BD134" s="284" t="s">
        <v>65</v>
      </c>
      <c r="BE134" s="284">
        <f t="shared" si="133"/>
        <v>9.8522427258306445E-3</v>
      </c>
      <c r="BL134" s="288"/>
      <c r="BM134" s="284" t="s">
        <v>65</v>
      </c>
      <c r="BN134" s="284">
        <f t="shared" si="134"/>
        <v>6.4799585823584471E-3</v>
      </c>
      <c r="BU134" s="288"/>
      <c r="BV134" s="284" t="s">
        <v>65</v>
      </c>
      <c r="BW134" s="284">
        <f t="shared" si="135"/>
        <v>1.8109570870860771E-2</v>
      </c>
      <c r="CD134" s="288"/>
    </row>
    <row r="135" spans="1:82">
      <c r="A135" s="284">
        <f t="shared" si="126"/>
        <v>0.91666666666666674</v>
      </c>
      <c r="B135" s="284" t="s">
        <v>66</v>
      </c>
      <c r="C135" s="284">
        <f t="shared" si="127"/>
        <v>1.7539069979280925E-2</v>
      </c>
      <c r="G135" s="297"/>
      <c r="J135" s="285"/>
      <c r="K135" s="284" t="s">
        <v>66</v>
      </c>
      <c r="L135" s="284">
        <f t="shared" si="128"/>
        <v>-7.2775154342750725E-3</v>
      </c>
      <c r="S135" s="287"/>
      <c r="T135" s="284" t="s">
        <v>66</v>
      </c>
      <c r="U135" s="284">
        <f t="shared" si="129"/>
        <v>6.7172251981187595E-3</v>
      </c>
      <c r="AB135" s="288"/>
      <c r="AC135" s="284" t="s">
        <v>66</v>
      </c>
      <c r="AD135" s="284">
        <f t="shared" si="130"/>
        <v>-1.3191924832658191E-2</v>
      </c>
      <c r="AK135" s="288"/>
      <c r="AL135" s="284" t="s">
        <v>66</v>
      </c>
      <c r="AM135" s="284">
        <f t="shared" si="131"/>
        <v>1.37515461411685E-2</v>
      </c>
      <c r="AT135" s="288"/>
      <c r="AU135" s="284" t="s">
        <v>66</v>
      </c>
      <c r="AV135" s="284">
        <f t="shared" si="132"/>
        <v>-1.7357846827536904E-3</v>
      </c>
      <c r="BC135" s="288"/>
      <c r="BD135" s="284" t="s">
        <v>66</v>
      </c>
      <c r="BE135" s="284">
        <f t="shared" si="133"/>
        <v>9.7716306974996395E-3</v>
      </c>
      <c r="BL135" s="288"/>
      <c r="BM135" s="284" t="s">
        <v>66</v>
      </c>
      <c r="BN135" s="284">
        <f t="shared" si="134"/>
        <v>3.1569471753328804E-4</v>
      </c>
      <c r="BU135" s="288"/>
      <c r="BV135" s="284" t="s">
        <v>66</v>
      </c>
      <c r="BW135" s="284">
        <f t="shared" si="135"/>
        <v>1.7969733849366235E-2</v>
      </c>
      <c r="CD135" s="288"/>
    </row>
    <row r="136" spans="1:82">
      <c r="A136" s="284">
        <f t="shared" si="126"/>
        <v>1</v>
      </c>
      <c r="B136" s="284" t="s">
        <v>67</v>
      </c>
      <c r="C136" s="284">
        <f t="shared" si="127"/>
        <v>1.7547545388720366E-2</v>
      </c>
      <c r="G136" s="297"/>
      <c r="J136" s="285"/>
      <c r="K136" s="284" t="s">
        <v>67</v>
      </c>
      <c r="L136" s="284">
        <f t="shared" si="128"/>
        <v>-7.3292165053200371E-3</v>
      </c>
      <c r="S136" s="287"/>
      <c r="T136" s="284" t="s">
        <v>67</v>
      </c>
      <c r="U136" s="284">
        <f t="shared" si="129"/>
        <v>6.5989320203722005E-3</v>
      </c>
      <c r="AB136" s="288"/>
      <c r="AC136" s="284" t="s">
        <v>67</v>
      </c>
      <c r="AD136" s="284">
        <f t="shared" si="130"/>
        <v>-1.3095338176329841E-2</v>
      </c>
      <c r="AK136" s="288"/>
      <c r="AL136" s="284" t="s">
        <v>67</v>
      </c>
      <c r="AM136" s="284">
        <f t="shared" si="131"/>
        <v>1.3767056924019503E-2</v>
      </c>
      <c r="AT136" s="288"/>
      <c r="AU136" s="284" t="s">
        <v>67</v>
      </c>
      <c r="AV136" s="284">
        <f t="shared" si="132"/>
        <v>-1.7810627274724481E-3</v>
      </c>
      <c r="BC136" s="288"/>
      <c r="BD136" s="284" t="s">
        <v>67</v>
      </c>
      <c r="BE136" s="284">
        <f t="shared" si="133"/>
        <v>9.6993031717871655E-3</v>
      </c>
      <c r="BL136" s="288"/>
      <c r="BM136" s="284" t="s">
        <v>67</v>
      </c>
      <c r="BN136" s="284">
        <f t="shared" si="134"/>
        <v>-4.9839907786870807E-3</v>
      </c>
      <c r="BU136" s="288"/>
      <c r="BV136" s="284" t="s">
        <v>67</v>
      </c>
      <c r="BW136" s="284">
        <f t="shared" si="135"/>
        <v>1.7833009495308937E-2</v>
      </c>
      <c r="CD136" s="288"/>
    </row>
    <row r="137" spans="1:82">
      <c r="A137" s="284">
        <f t="shared" si="126"/>
        <v>2</v>
      </c>
      <c r="B137" s="284" t="s">
        <v>68</v>
      </c>
      <c r="C137" s="284">
        <f t="shared" si="127"/>
        <v>1.7680111792976946E-2</v>
      </c>
      <c r="D137" s="297">
        <f>(1+C137)^A137/(1+C136)^A136-1</f>
        <v>1.781269546802533E-2</v>
      </c>
      <c r="H137" s="297"/>
      <c r="I137" s="297"/>
      <c r="J137" s="298"/>
      <c r="K137" s="284" t="s">
        <v>68</v>
      </c>
      <c r="L137" s="284">
        <f t="shared" si="128"/>
        <v>-7.6889418287134498E-3</v>
      </c>
      <c r="M137" s="297">
        <f>(1+L137)^$A137/(1+L136)^$A136-1</f>
        <v>-8.048536794378669E-3</v>
      </c>
      <c r="N137" s="297"/>
      <c r="O137" s="297"/>
      <c r="P137" s="297"/>
      <c r="Q137" s="297"/>
      <c r="R137" s="297"/>
      <c r="S137" s="299"/>
      <c r="T137" s="284" t="s">
        <v>68</v>
      </c>
      <c r="U137" s="284">
        <f t="shared" si="129"/>
        <v>5.5522055393531023E-3</v>
      </c>
      <c r="V137" s="297">
        <f>(1+U137)^$A137/(1+U136)^$A136-1</f>
        <v>4.506567512028159E-3</v>
      </c>
      <c r="W137" s="297"/>
      <c r="X137" s="297"/>
      <c r="Y137" s="297"/>
      <c r="Z137" s="297"/>
      <c r="AA137" s="297"/>
      <c r="AB137" s="299"/>
      <c r="AC137" s="284" t="s">
        <v>68</v>
      </c>
      <c r="AD137" s="284">
        <f t="shared" si="130"/>
        <v>-1.1970454759777493E-2</v>
      </c>
      <c r="AE137" s="297">
        <f>(1+AD137)^$A137/(1+AD136)^$A136-1</f>
        <v>-1.0844289190298229E-2</v>
      </c>
      <c r="AF137" s="297"/>
      <c r="AG137" s="297"/>
      <c r="AH137" s="297"/>
      <c r="AI137" s="297"/>
      <c r="AJ137" s="297"/>
      <c r="AK137" s="299"/>
      <c r="AL137" s="284" t="s">
        <v>68</v>
      </c>
      <c r="AM137" s="284">
        <f t="shared" si="131"/>
        <v>1.3950501025597526E-2</v>
      </c>
      <c r="AN137" s="297">
        <f>(1+AM137)^$A137/(1+AM136)^$A136-1</f>
        <v>1.4133978321919871E-2</v>
      </c>
      <c r="AO137" s="297"/>
      <c r="AP137" s="297"/>
      <c r="AQ137" s="297"/>
      <c r="AR137" s="297"/>
      <c r="AS137" s="297"/>
      <c r="AT137" s="299"/>
      <c r="AU137" s="284" t="s">
        <v>68</v>
      </c>
      <c r="AV137" s="284">
        <f t="shared" si="132"/>
        <v>-2.2184082915925061E-3</v>
      </c>
      <c r="AW137" s="297">
        <f>(1+AV137)^$A137/(1+AV136)^$A136-1</f>
        <v>-2.6555622432962167E-3</v>
      </c>
      <c r="BC137" s="288"/>
      <c r="BD137" s="284" t="s">
        <v>68</v>
      </c>
      <c r="BE137" s="284">
        <f t="shared" si="133"/>
        <v>9.3342324611000484E-3</v>
      </c>
      <c r="BF137" s="297">
        <f>(1+BE137)^$A137/(1+BE136)^$A136-1</f>
        <v>8.9692937467642508E-3</v>
      </c>
      <c r="BG137" s="297"/>
      <c r="BH137" s="297"/>
      <c r="BI137" s="297"/>
      <c r="BJ137" s="297"/>
      <c r="BK137" s="297"/>
      <c r="BL137" s="288"/>
      <c r="BM137" s="284" t="s">
        <v>68</v>
      </c>
      <c r="BN137" s="284">
        <f t="shared" si="134"/>
        <v>-2.6769839830502393E-2</v>
      </c>
      <c r="BO137" s="297">
        <f>(1+BN137)^$A137/(1+BN136)^$A136-1</f>
        <v>-4.8078688296890104E-2</v>
      </c>
      <c r="BU137" s="288"/>
      <c r="BV137" s="284" t="s">
        <v>68</v>
      </c>
      <c r="BW137" s="284">
        <f t="shared" si="135"/>
        <v>1.6421687634901136E-2</v>
      </c>
      <c r="BX137" s="297">
        <f>(1+BW137)^$A137/(1+BW136)^$A136-1</f>
        <v>1.5012322705910242E-2</v>
      </c>
      <c r="CD137" s="288"/>
    </row>
    <row r="138" spans="1:82">
      <c r="A138" s="284">
        <f t="shared" si="126"/>
        <v>3</v>
      </c>
      <c r="B138" s="284" t="s">
        <v>69</v>
      </c>
      <c r="C138" s="284">
        <f t="shared" si="127"/>
        <v>1.7864182710062071E-2</v>
      </c>
      <c r="D138" s="297">
        <f>(1+C138)^A138/(1+C137)^A137-1</f>
        <v>1.823242443066464E-2</v>
      </c>
      <c r="J138" s="285"/>
      <c r="K138" s="284" t="s">
        <v>69</v>
      </c>
      <c r="L138" s="284">
        <f t="shared" si="128"/>
        <v>-7.6633927451663451E-3</v>
      </c>
      <c r="M138" s="297">
        <f>(1+L138)^$A138/(1+L137)^$A137-1</f>
        <v>-7.6122926046144901E-3</v>
      </c>
      <c r="N138" s="297"/>
      <c r="O138" s="297"/>
      <c r="P138" s="297"/>
      <c r="Q138" s="297"/>
      <c r="R138" s="297"/>
      <c r="S138" s="299"/>
      <c r="T138" s="284" t="s">
        <v>69</v>
      </c>
      <c r="U138" s="284">
        <f t="shared" si="129"/>
        <v>5.068127198431199E-3</v>
      </c>
      <c r="V138" s="297">
        <f>(1+U138)^$A138/(1+U137)^$A137-1</f>
        <v>4.1006695182981279E-3</v>
      </c>
      <c r="W138" s="297"/>
      <c r="X138" s="297"/>
      <c r="Y138" s="297"/>
      <c r="Z138" s="297"/>
      <c r="AA138" s="297"/>
      <c r="AB138" s="299"/>
      <c r="AC138" s="284" t="s">
        <v>69</v>
      </c>
      <c r="AD138" s="284">
        <f t="shared" si="130"/>
        <v>-1.0907187190712453E-2</v>
      </c>
      <c r="AE138" s="297">
        <f>(1+AD138)^$A138/(1+AD137)^$A137-1</f>
        <v>-8.7772181164065266E-3</v>
      </c>
      <c r="AF138" s="297"/>
      <c r="AG138" s="297"/>
      <c r="AH138" s="297"/>
      <c r="AI138" s="297"/>
      <c r="AJ138" s="297"/>
      <c r="AK138" s="299"/>
      <c r="AL138" s="284" t="s">
        <v>69</v>
      </c>
      <c r="AM138" s="284">
        <f t="shared" si="131"/>
        <v>1.4129067667065346E-2</v>
      </c>
      <c r="AN138" s="297">
        <f t="shared" ref="AN138:AN201" si="136">(1+AM138)^$A138/(1+AM137)^$A137-1</f>
        <v>1.448629529755685E-2</v>
      </c>
      <c r="AO138" s="297"/>
      <c r="AP138" s="297"/>
      <c r="AQ138" s="297"/>
      <c r="AR138" s="297"/>
      <c r="AS138" s="297"/>
      <c r="AT138" s="299"/>
      <c r="AU138" s="284" t="s">
        <v>69</v>
      </c>
      <c r="AV138" s="284">
        <f t="shared" si="132"/>
        <v>-2.484323844077577E-3</v>
      </c>
      <c r="AW138" s="297">
        <f t="shared" ref="AW138:AW201" si="137">(1+AV138)^$A138/(1+AV137)^$A137-1</f>
        <v>-3.0159423630471416E-3</v>
      </c>
      <c r="BC138" s="288"/>
      <c r="BD138" s="284" t="s">
        <v>69</v>
      </c>
      <c r="BE138" s="284">
        <f t="shared" si="133"/>
        <v>9.5543442815649703E-3</v>
      </c>
      <c r="BF138" s="297">
        <f t="shared" ref="BF138:BF201" si="138">(1+BE138)^$A138/(1+BE137)^$A137-1</f>
        <v>9.9947119364409698E-3</v>
      </c>
      <c r="BG138" s="297"/>
      <c r="BH138" s="297"/>
      <c r="BI138" s="297"/>
      <c r="BJ138" s="297"/>
      <c r="BK138" s="297"/>
      <c r="BL138" s="288"/>
      <c r="BM138" s="284" t="s">
        <v>69</v>
      </c>
      <c r="BN138" s="284">
        <f t="shared" si="134"/>
        <v>-1.7878336290357344E-2</v>
      </c>
      <c r="BO138" s="297">
        <f t="shared" ref="BO138:BO201" si="139">(1+BN138)^$A138/(1+BN137)^$A137-1</f>
        <v>1.4911326898991994E-4</v>
      </c>
      <c r="BU138" s="288"/>
      <c r="BV138" s="284" t="s">
        <v>69</v>
      </c>
      <c r="BW138" s="284">
        <f t="shared" si="135"/>
        <v>1.5392439461825752E-2</v>
      </c>
      <c r="BX138" s="297">
        <f t="shared" ref="BX138:BX201" si="140">(1+BW138)^$A138/(1+BW137)^$A137-1</f>
        <v>1.333706876984353E-2</v>
      </c>
      <c r="CD138" s="288"/>
    </row>
    <row r="139" spans="1:82">
      <c r="A139" s="284">
        <f t="shared" si="126"/>
        <v>4</v>
      </c>
      <c r="B139" s="284" t="s">
        <v>70</v>
      </c>
      <c r="C139" s="284">
        <f t="shared" si="127"/>
        <v>1.8092497670247482E-2</v>
      </c>
      <c r="D139" s="297">
        <f t="shared" ref="D139:D202" si="141">(1+C139)^A139/(1+C138)^A138-1</f>
        <v>1.8777749873828631E-2</v>
      </c>
      <c r="J139" s="285"/>
      <c r="K139" s="284" t="s">
        <v>70</v>
      </c>
      <c r="L139" s="284">
        <f t="shared" si="128"/>
        <v>-7.3659717909434503E-3</v>
      </c>
      <c r="M139" s="297">
        <f t="shared" ref="M139:M202" si="142">(1+L139)^$A139/(1+L138)^$A138-1</f>
        <v>-6.4731739672551081E-3</v>
      </c>
      <c r="N139" s="297"/>
      <c r="O139" s="297"/>
      <c r="P139" s="297"/>
      <c r="Q139" s="297"/>
      <c r="R139" s="297"/>
      <c r="S139" s="299"/>
      <c r="T139" s="284" t="s">
        <v>70</v>
      </c>
      <c r="U139" s="284">
        <f t="shared" si="129"/>
        <v>4.9969835203492255E-3</v>
      </c>
      <c r="V139" s="297">
        <f t="shared" ref="V139:V202" si="143">(1+U139)^$A139/(1+U138)^$A138-1</f>
        <v>4.7835827000795028E-3</v>
      </c>
      <c r="W139" s="297"/>
      <c r="X139" s="297"/>
      <c r="Y139" s="297"/>
      <c r="Z139" s="297"/>
      <c r="AA139" s="297"/>
      <c r="AB139" s="299"/>
      <c r="AC139" s="284" t="s">
        <v>70</v>
      </c>
      <c r="AD139" s="284">
        <f t="shared" si="130"/>
        <v>-9.9035031694555253E-3</v>
      </c>
      <c r="AE139" s="297">
        <f t="shared" ref="AE139:AE202" si="144">(1+AD139)^$A139/(1+AD138)^$A138-1</f>
        <v>-6.8863360276896213E-3</v>
      </c>
      <c r="AF139" s="297"/>
      <c r="AG139" s="297"/>
      <c r="AH139" s="297"/>
      <c r="AI139" s="297"/>
      <c r="AJ139" s="297"/>
      <c r="AK139" s="299"/>
      <c r="AL139" s="284" t="s">
        <v>70</v>
      </c>
      <c r="AM139" s="284">
        <f t="shared" si="131"/>
        <v>1.4302870294352911E-2</v>
      </c>
      <c r="AN139" s="297">
        <f t="shared" si="136"/>
        <v>1.4824456915622397E-2</v>
      </c>
      <c r="AO139" s="297"/>
      <c r="AP139" s="297"/>
      <c r="AQ139" s="297"/>
      <c r="AR139" s="297"/>
      <c r="AS139" s="297"/>
      <c r="AT139" s="299"/>
      <c r="AU139" s="284" t="s">
        <v>70</v>
      </c>
      <c r="AV139" s="284">
        <f t="shared" si="132"/>
        <v>-2.6090023641163586E-3</v>
      </c>
      <c r="AW139" s="297">
        <f t="shared" si="137"/>
        <v>-2.9829444313370646E-3</v>
      </c>
      <c r="BC139" s="288"/>
      <c r="BD139" s="284" t="s">
        <v>70</v>
      </c>
      <c r="BE139" s="284">
        <f t="shared" si="133"/>
        <v>1.0050002859864099E-2</v>
      </c>
      <c r="BF139" s="297">
        <f t="shared" si="138"/>
        <v>1.153843918685693E-2</v>
      </c>
      <c r="BG139" s="297"/>
      <c r="BH139" s="297"/>
      <c r="BI139" s="297"/>
      <c r="BJ139" s="297"/>
      <c r="BK139" s="297"/>
      <c r="BL139" s="288"/>
      <c r="BM139" s="284" t="s">
        <v>70</v>
      </c>
      <c r="BN139" s="284">
        <f t="shared" si="134"/>
        <v>-5.4068711080230009E-3</v>
      </c>
      <c r="BO139" s="297">
        <f t="shared" si="139"/>
        <v>3.2965807045767237E-2</v>
      </c>
      <c r="BU139" s="288"/>
      <c r="BV139" s="284" t="s">
        <v>70</v>
      </c>
      <c r="BW139" s="284">
        <f t="shared" si="135"/>
        <v>1.4691122957921542E-2</v>
      </c>
      <c r="BX139" s="297">
        <f t="shared" si="140"/>
        <v>1.2590078441669927E-2</v>
      </c>
      <c r="CD139" s="288"/>
    </row>
    <row r="140" spans="1:82">
      <c r="A140" s="284">
        <f t="shared" si="126"/>
        <v>5</v>
      </c>
      <c r="B140" s="284" t="s">
        <v>71</v>
      </c>
      <c r="C140" s="284">
        <f t="shared" si="127"/>
        <v>1.8358540390717742E-2</v>
      </c>
      <c r="D140" s="297">
        <f t="shared" si="141"/>
        <v>1.94234066635115E-2</v>
      </c>
      <c r="J140" s="285"/>
      <c r="K140" s="284" t="s">
        <v>71</v>
      </c>
      <c r="L140" s="284">
        <f t="shared" si="128"/>
        <v>-6.8834907186791474E-3</v>
      </c>
      <c r="M140" s="297">
        <f t="shared" si="142"/>
        <v>-4.9512201352652774E-3</v>
      </c>
      <c r="N140" s="297"/>
      <c r="O140" s="297"/>
      <c r="P140" s="297"/>
      <c r="Q140" s="297"/>
      <c r="R140" s="297"/>
      <c r="S140" s="299"/>
      <c r="T140" s="284" t="s">
        <v>71</v>
      </c>
      <c r="U140" s="284">
        <f t="shared" si="129"/>
        <v>5.2225310288750715E-3</v>
      </c>
      <c r="V140" s="297">
        <f t="shared" si="143"/>
        <v>6.1252273639695876E-3</v>
      </c>
      <c r="W140" s="297"/>
      <c r="X140" s="297"/>
      <c r="Y140" s="297"/>
      <c r="Z140" s="297"/>
      <c r="AA140" s="297"/>
      <c r="AB140" s="299"/>
      <c r="AC140" s="284" t="s">
        <v>71</v>
      </c>
      <c r="AD140" s="284">
        <f t="shared" si="130"/>
        <v>-8.9574269210911366E-3</v>
      </c>
      <c r="AE140" s="297">
        <f t="shared" si="144"/>
        <v>-5.1640731536535256E-3</v>
      </c>
      <c r="AF140" s="297"/>
      <c r="AG140" s="297"/>
      <c r="AH140" s="297"/>
      <c r="AI140" s="297"/>
      <c r="AJ140" s="297"/>
      <c r="AK140" s="299"/>
      <c r="AL140" s="284" t="s">
        <v>71</v>
      </c>
      <c r="AM140" s="284">
        <f t="shared" si="131"/>
        <v>1.4472020105455586E-2</v>
      </c>
      <c r="AN140" s="297">
        <f t="shared" si="136"/>
        <v>1.5148901478915233E-2</v>
      </c>
      <c r="AO140" s="297"/>
      <c r="AP140" s="297"/>
      <c r="AQ140" s="297"/>
      <c r="AR140" s="297"/>
      <c r="AS140" s="297"/>
      <c r="AT140" s="299"/>
      <c r="AU140" s="284" t="s">
        <v>71</v>
      </c>
      <c r="AV140" s="284">
        <f t="shared" si="132"/>
        <v>-2.6173951214173608E-3</v>
      </c>
      <c r="AW140" s="297">
        <f t="shared" si="137"/>
        <v>-2.6509654444011321E-3</v>
      </c>
      <c r="BC140" s="288"/>
      <c r="BD140" s="284" t="s">
        <v>71</v>
      </c>
      <c r="BE140" s="284">
        <f t="shared" si="133"/>
        <v>1.0659873992707593E-2</v>
      </c>
      <c r="BF140" s="297">
        <f t="shared" si="138"/>
        <v>1.310304316786759E-2</v>
      </c>
      <c r="BG140" s="297"/>
      <c r="BH140" s="297"/>
      <c r="BI140" s="297"/>
      <c r="BJ140" s="297"/>
      <c r="BK140" s="297"/>
      <c r="BL140" s="288"/>
      <c r="BM140" s="284" t="s">
        <v>71</v>
      </c>
      <c r="BN140" s="284">
        <f t="shared" si="134"/>
        <v>4.3618141484182693E-3</v>
      </c>
      <c r="BO140" s="297">
        <f t="shared" si="139"/>
        <v>4.4405484948271345E-2</v>
      </c>
      <c r="BU140" s="288"/>
      <c r="BV140" s="284" t="s">
        <v>71</v>
      </c>
      <c r="BW140" s="284">
        <f t="shared" si="135"/>
        <v>1.4270029195432993E-2</v>
      </c>
      <c r="BX140" s="297">
        <f t="shared" si="140"/>
        <v>1.2587400946852512E-2</v>
      </c>
      <c r="CD140" s="288"/>
    </row>
    <row r="141" spans="1:82">
      <c r="A141" s="284">
        <f t="shared" si="126"/>
        <v>6</v>
      </c>
      <c r="B141" s="284" t="s">
        <v>72</v>
      </c>
      <c r="C141" s="284">
        <f t="shared" si="127"/>
        <v>1.8656473881589891E-2</v>
      </c>
      <c r="D141" s="297">
        <f t="shared" si="141"/>
        <v>2.0147449308455911E-2</v>
      </c>
      <c r="J141" s="285"/>
      <c r="K141" s="284" t="s">
        <v>72</v>
      </c>
      <c r="L141" s="284">
        <f t="shared" si="128"/>
        <v>-6.2818599280919426E-3</v>
      </c>
      <c r="M141" s="297">
        <f t="shared" si="142"/>
        <v>-3.2682345308959748E-3</v>
      </c>
      <c r="N141" s="297"/>
      <c r="O141" s="297"/>
      <c r="P141" s="297"/>
      <c r="Q141" s="297"/>
      <c r="R141" s="297"/>
      <c r="S141" s="299"/>
      <c r="T141" s="284" t="s">
        <v>72</v>
      </c>
      <c r="U141" s="284">
        <f t="shared" si="129"/>
        <v>5.6549913921392254E-3</v>
      </c>
      <c r="V141" s="297">
        <f t="shared" si="143"/>
        <v>7.8200855644878775E-3</v>
      </c>
      <c r="W141" s="297"/>
      <c r="X141" s="297"/>
      <c r="Y141" s="297"/>
      <c r="Z141" s="297"/>
      <c r="AA141" s="297"/>
      <c r="AB141" s="299"/>
      <c r="AC141" s="284" t="s">
        <v>72</v>
      </c>
      <c r="AD141" s="284">
        <f t="shared" si="130"/>
        <v>-8.0670377304249228E-3</v>
      </c>
      <c r="AE141" s="297">
        <f t="shared" si="144"/>
        <v>-3.6030780159537201E-3</v>
      </c>
      <c r="AF141" s="297"/>
      <c r="AG141" s="297"/>
      <c r="AH141" s="297"/>
      <c r="AI141" s="297"/>
      <c r="AJ141" s="297"/>
      <c r="AK141" s="299"/>
      <c r="AL141" s="284" t="s">
        <v>72</v>
      </c>
      <c r="AM141" s="284">
        <f t="shared" si="131"/>
        <v>1.463662609098601E-2</v>
      </c>
      <c r="AN141" s="297">
        <f t="shared" si="136"/>
        <v>1.5460056734368122E-2</v>
      </c>
      <c r="AO141" s="297"/>
      <c r="AP141" s="297"/>
      <c r="AQ141" s="297"/>
      <c r="AR141" s="297"/>
      <c r="AS141" s="297"/>
      <c r="AT141" s="299"/>
      <c r="AU141" s="284" t="s">
        <v>72</v>
      </c>
      <c r="AV141" s="284">
        <f t="shared" si="132"/>
        <v>-2.5301309240936608E-3</v>
      </c>
      <c r="AW141" s="297">
        <f t="shared" si="137"/>
        <v>-2.0936953987541473E-3</v>
      </c>
      <c r="BC141" s="288"/>
      <c r="BD141" s="284" t="s">
        <v>72</v>
      </c>
      <c r="BE141" s="284">
        <f t="shared" si="133"/>
        <v>1.130250498648817E-2</v>
      </c>
      <c r="BF141" s="297">
        <f t="shared" si="138"/>
        <v>1.4521794435841562E-2</v>
      </c>
      <c r="BG141" s="297"/>
      <c r="BH141" s="297"/>
      <c r="BI141" s="297"/>
      <c r="BJ141" s="297"/>
      <c r="BK141" s="297"/>
      <c r="BL141" s="288"/>
      <c r="BM141" s="284" t="s">
        <v>72</v>
      </c>
      <c r="BN141" s="284">
        <f t="shared" si="134"/>
        <v>1.0893013842751598E-2</v>
      </c>
      <c r="BO141" s="297">
        <f t="shared" si="139"/>
        <v>4.4191632765909095E-2</v>
      </c>
      <c r="BU141" s="288"/>
      <c r="BV141" s="284" t="s">
        <v>72</v>
      </c>
      <c r="BW141" s="284">
        <f t="shared" si="135"/>
        <v>1.4087179242891851E-2</v>
      </c>
      <c r="BX141" s="297">
        <f t="shared" si="140"/>
        <v>1.3173423817030239E-2</v>
      </c>
      <c r="CD141" s="288"/>
    </row>
    <row r="142" spans="1:82">
      <c r="A142" s="284">
        <f t="shared" si="126"/>
        <v>7</v>
      </c>
      <c r="B142" s="284" t="s">
        <v>73</v>
      </c>
      <c r="C142" s="284">
        <f t="shared" si="127"/>
        <v>1.8981080278950957E-2</v>
      </c>
      <c r="D142" s="297">
        <f t="shared" si="141"/>
        <v>2.0930892046595595E-2</v>
      </c>
      <c r="J142" s="285"/>
      <c r="K142" s="284" t="s">
        <v>73</v>
      </c>
      <c r="L142" s="284">
        <f t="shared" si="128"/>
        <v>-5.610613614015849E-3</v>
      </c>
      <c r="M142" s="297">
        <f t="shared" si="142"/>
        <v>-1.5736031838702313E-3</v>
      </c>
      <c r="N142" s="297"/>
      <c r="O142" s="297"/>
      <c r="P142" s="297"/>
      <c r="Q142" s="297"/>
      <c r="R142" s="297"/>
      <c r="S142" s="299"/>
      <c r="T142" s="284" t="s">
        <v>73</v>
      </c>
      <c r="U142" s="284">
        <f t="shared" si="129"/>
        <v>6.2254664663813838E-3</v>
      </c>
      <c r="V142" s="297">
        <f t="shared" si="143"/>
        <v>9.6551191881397713E-3</v>
      </c>
      <c r="W142" s="297"/>
      <c r="X142" s="297"/>
      <c r="Y142" s="297"/>
      <c r="Z142" s="297"/>
      <c r="AA142" s="297"/>
      <c r="AB142" s="299"/>
      <c r="AC142" s="284" t="s">
        <v>73</v>
      </c>
      <c r="AD142" s="284">
        <f t="shared" si="130"/>
        <v>-7.2304685136704329E-3</v>
      </c>
      <c r="AE142" s="297">
        <f t="shared" si="144"/>
        <v>-2.1962160363576677E-3</v>
      </c>
      <c r="AF142" s="297"/>
      <c r="AG142" s="297"/>
      <c r="AH142" s="297"/>
      <c r="AI142" s="297"/>
      <c r="AJ142" s="297"/>
      <c r="AK142" s="299"/>
      <c r="AL142" s="284" t="s">
        <v>73</v>
      </c>
      <c r="AM142" s="284">
        <f t="shared" si="131"/>
        <v>1.4796795074036671E-2</v>
      </c>
      <c r="AN142" s="297">
        <f t="shared" si="136"/>
        <v>1.5758340076692523E-2</v>
      </c>
      <c r="AO142" s="297"/>
      <c r="AP142" s="297"/>
      <c r="AQ142" s="297"/>
      <c r="AR142" s="297"/>
      <c r="AS142" s="297"/>
      <c r="AT142" s="299"/>
      <c r="AU142" s="284" t="s">
        <v>73</v>
      </c>
      <c r="AV142" s="284">
        <f t="shared" si="132"/>
        <v>-2.3642739790482336E-3</v>
      </c>
      <c r="AW142" s="297">
        <f t="shared" si="137"/>
        <v>-1.3685530038892724E-3</v>
      </c>
      <c r="BC142" s="288"/>
      <c r="BD142" s="284" t="s">
        <v>73</v>
      </c>
      <c r="BE142" s="284">
        <f t="shared" si="133"/>
        <v>1.1938871979577241E-2</v>
      </c>
      <c r="BF142" s="297">
        <f t="shared" si="138"/>
        <v>1.5765491940036958E-2</v>
      </c>
      <c r="BG142" s="297"/>
      <c r="BH142" s="297"/>
      <c r="BI142" s="297"/>
      <c r="BJ142" s="297"/>
      <c r="BK142" s="297"/>
      <c r="BL142" s="288"/>
      <c r="BM142" s="284" t="s">
        <v>73</v>
      </c>
      <c r="BN142" s="284">
        <f t="shared" si="134"/>
        <v>1.4917148715085427E-2</v>
      </c>
      <c r="BO142" s="297">
        <f t="shared" si="139"/>
        <v>3.9400601211927455E-2</v>
      </c>
      <c r="BU142" s="288"/>
      <c r="BV142" s="284" t="s">
        <v>73</v>
      </c>
      <c r="BW142" s="284">
        <f t="shared" si="135"/>
        <v>1.4105694255789614E-2</v>
      </c>
      <c r="BX142" s="297">
        <f t="shared" si="140"/>
        <v>1.4216791432307696E-2</v>
      </c>
      <c r="CD142" s="288"/>
    </row>
    <row r="143" spans="1:82">
      <c r="A143" s="284">
        <f t="shared" si="126"/>
        <v>8</v>
      </c>
      <c r="B143" s="284" t="s">
        <v>74</v>
      </c>
      <c r="C143" s="284">
        <f t="shared" si="127"/>
        <v>1.9327705174832399E-2</v>
      </c>
      <c r="D143" s="297">
        <f t="shared" si="141"/>
        <v>2.1757383193951929E-2</v>
      </c>
      <c r="J143" s="285"/>
      <c r="K143" s="284" t="s">
        <v>74</v>
      </c>
      <c r="L143" s="284">
        <f t="shared" si="128"/>
        <v>-4.9065030942335181E-3</v>
      </c>
      <c r="M143" s="297">
        <f t="shared" si="142"/>
        <v>3.6250260578851723E-5</v>
      </c>
      <c r="N143" s="297"/>
      <c r="O143" s="297"/>
      <c r="P143" s="297"/>
      <c r="Q143" s="297"/>
      <c r="R143" s="297"/>
      <c r="S143" s="299"/>
      <c r="T143" s="284" t="s">
        <v>74</v>
      </c>
      <c r="U143" s="284">
        <f t="shared" si="129"/>
        <v>6.8814905527375949E-3</v>
      </c>
      <c r="V143" s="297">
        <f t="shared" si="143"/>
        <v>1.1485650523791691E-2</v>
      </c>
      <c r="W143" s="297"/>
      <c r="X143" s="297"/>
      <c r="Y143" s="297"/>
      <c r="Z143" s="297"/>
      <c r="AA143" s="297"/>
      <c r="AB143" s="299"/>
      <c r="AC143" s="284" t="s">
        <v>74</v>
      </c>
      <c r="AD143" s="284">
        <f t="shared" si="130"/>
        <v>-6.4459044259744039E-3</v>
      </c>
      <c r="AE143" s="297">
        <f t="shared" si="144"/>
        <v>-9.3656767708205635E-4</v>
      </c>
      <c r="AF143" s="297"/>
      <c r="AG143" s="297"/>
      <c r="AH143" s="297"/>
      <c r="AI143" s="297"/>
      <c r="AJ143" s="297"/>
      <c r="AK143" s="299"/>
      <c r="AL143" s="284" t="s">
        <v>74</v>
      </c>
      <c r="AM143" s="284">
        <f t="shared" si="131"/>
        <v>1.4952631749361362E-2</v>
      </c>
      <c r="AN143" s="297">
        <f t="shared" si="136"/>
        <v>1.6044158749568327E-2</v>
      </c>
      <c r="AO143" s="297"/>
      <c r="AP143" s="297"/>
      <c r="AQ143" s="297"/>
      <c r="AR143" s="297"/>
      <c r="AS143" s="297"/>
      <c r="AT143" s="299"/>
      <c r="AU143" s="284" t="s">
        <v>74</v>
      </c>
      <c r="AV143" s="284">
        <f t="shared" si="132"/>
        <v>-2.1339486138659161E-3</v>
      </c>
      <c r="AW143" s="297">
        <f t="shared" si="137"/>
        <v>-5.2018145602883425E-4</v>
      </c>
      <c r="BC143" s="288"/>
      <c r="BD143" s="284" t="s">
        <v>74</v>
      </c>
      <c r="BE143" s="284">
        <f t="shared" si="133"/>
        <v>1.255203450207204E-2</v>
      </c>
      <c r="BF143" s="297">
        <f t="shared" si="138"/>
        <v>1.6854587688697631E-2</v>
      </c>
      <c r="BG143" s="297"/>
      <c r="BH143" s="297"/>
      <c r="BI143" s="297"/>
      <c r="BJ143" s="297"/>
      <c r="BK143" s="297"/>
      <c r="BL143" s="288"/>
      <c r="BM143" s="284" t="s">
        <v>74</v>
      </c>
      <c r="BN143" s="284">
        <f t="shared" si="134"/>
        <v>1.7221941350646787E-2</v>
      </c>
      <c r="BO143" s="297">
        <f t="shared" si="139"/>
        <v>3.3502709106021822E-2</v>
      </c>
      <c r="BU143" s="288"/>
      <c r="BV143" s="284" t="s">
        <v>74</v>
      </c>
      <c r="BW143" s="284">
        <f t="shared" si="135"/>
        <v>1.4293231373208537E-2</v>
      </c>
      <c r="BX143" s="297">
        <f t="shared" si="140"/>
        <v>1.5606962621575349E-2</v>
      </c>
      <c r="CD143" s="288"/>
    </row>
    <row r="144" spans="1:82">
      <c r="A144" s="284">
        <f t="shared" si="126"/>
        <v>9</v>
      </c>
      <c r="B144" s="284" t="s">
        <v>75</v>
      </c>
      <c r="C144" s="284">
        <f t="shared" si="127"/>
        <v>1.969220620681017E-2</v>
      </c>
      <c r="D144" s="297">
        <f t="shared" si="141"/>
        <v>2.2612910684482346E-2</v>
      </c>
      <c r="J144" s="285"/>
      <c r="K144" s="284" t="s">
        <v>75</v>
      </c>
      <c r="L144" s="284">
        <f t="shared" si="128"/>
        <v>-4.1963450559209057E-3</v>
      </c>
      <c r="M144" s="297">
        <f t="shared" si="142"/>
        <v>1.5031948650867655E-3</v>
      </c>
      <c r="N144" s="297"/>
      <c r="O144" s="297"/>
      <c r="P144" s="297"/>
      <c r="Q144" s="297"/>
      <c r="R144" s="297"/>
      <c r="S144" s="299"/>
      <c r="T144" s="284" t="s">
        <v>75</v>
      </c>
      <c r="U144" s="284">
        <f t="shared" si="129"/>
        <v>7.5834928360359651E-3</v>
      </c>
      <c r="V144" s="297">
        <f t="shared" si="143"/>
        <v>1.3217159605366957E-2</v>
      </c>
      <c r="W144" s="297"/>
      <c r="X144" s="297"/>
      <c r="Y144" s="297"/>
      <c r="Z144" s="297"/>
      <c r="AA144" s="297"/>
      <c r="AB144" s="299"/>
      <c r="AC144" s="284" t="s">
        <v>75</v>
      </c>
      <c r="AD144" s="284">
        <f t="shared" si="130"/>
        <v>-5.7115815038911236E-3</v>
      </c>
      <c r="AE144" s="297">
        <f t="shared" si="144"/>
        <v>1.8257383162390006E-4</v>
      </c>
      <c r="AF144" s="297"/>
      <c r="AG144" s="297"/>
      <c r="AH144" s="297"/>
      <c r="AI144" s="297"/>
      <c r="AJ144" s="297"/>
      <c r="AK144" s="299"/>
      <c r="AL144" s="284" t="s">
        <v>75</v>
      </c>
      <c r="AM144" s="284">
        <f t="shared" si="131"/>
        <v>1.5104238721888711E-2</v>
      </c>
      <c r="AN144" s="297">
        <f t="shared" si="136"/>
        <v>1.6317910044335138E-2</v>
      </c>
      <c r="AO144" s="297"/>
      <c r="AP144" s="297"/>
      <c r="AQ144" s="297"/>
      <c r="AR144" s="297"/>
      <c r="AS144" s="297"/>
      <c r="AT144" s="299"/>
      <c r="AU144" s="284" t="s">
        <v>75</v>
      </c>
      <c r="AV144" s="284">
        <f t="shared" si="132"/>
        <v>-1.8508541823955395E-3</v>
      </c>
      <c r="AW144" s="297">
        <f t="shared" si="137"/>
        <v>4.1679448246356721E-4</v>
      </c>
      <c r="BC144" s="288"/>
      <c r="BD144" s="284" t="s">
        <v>75</v>
      </c>
      <c r="BE144" s="284">
        <f t="shared" si="133"/>
        <v>1.313619659363275E-2</v>
      </c>
      <c r="BF144" s="297">
        <f t="shared" si="138"/>
        <v>1.7821642216915956E-2</v>
      </c>
      <c r="BG144" s="297"/>
      <c r="BH144" s="297"/>
      <c r="BI144" s="297"/>
      <c r="BJ144" s="297"/>
      <c r="BK144" s="297"/>
      <c r="BL144" s="288"/>
      <c r="BM144" s="284" t="s">
        <v>75</v>
      </c>
      <c r="BN144" s="284">
        <f t="shared" si="134"/>
        <v>1.8404596267986878E-2</v>
      </c>
      <c r="BO144" s="297">
        <f t="shared" si="139"/>
        <v>2.7915469858463604E-2</v>
      </c>
      <c r="BU144" s="288"/>
      <c r="BV144" s="284" t="s">
        <v>75</v>
      </c>
      <c r="BW144" s="284">
        <f t="shared" si="135"/>
        <v>1.4621478769102955E-2</v>
      </c>
      <c r="BX144" s="297">
        <f t="shared" si="140"/>
        <v>1.7251285033796915E-2</v>
      </c>
      <c r="CD144" s="288"/>
    </row>
    <row r="145" spans="1:82">
      <c r="A145" s="284">
        <f t="shared" si="126"/>
        <v>10</v>
      </c>
      <c r="B145" s="284" t="s">
        <v>76</v>
      </c>
      <c r="C145" s="284">
        <f t="shared" si="127"/>
        <v>2.0070905667001537E-2</v>
      </c>
      <c r="D145" s="297">
        <f t="shared" si="141"/>
        <v>2.348553604711201E-2</v>
      </c>
      <c r="J145" s="285"/>
      <c r="K145" s="284" t="s">
        <v>76</v>
      </c>
      <c r="L145" s="284">
        <f t="shared" si="128"/>
        <v>-3.499274641730837E-3</v>
      </c>
      <c r="M145" s="297">
        <f t="shared" si="142"/>
        <v>2.7963580904031282E-3</v>
      </c>
      <c r="N145" s="297"/>
      <c r="O145" s="297"/>
      <c r="P145" s="297"/>
      <c r="Q145" s="297"/>
      <c r="R145" s="297"/>
      <c r="S145" s="299"/>
      <c r="T145" s="284" t="s">
        <v>76</v>
      </c>
      <c r="U145" s="284">
        <f t="shared" si="129"/>
        <v>8.3019877538305156E-3</v>
      </c>
      <c r="V145" s="297">
        <f t="shared" si="143"/>
        <v>1.4791541640380323E-2</v>
      </c>
      <c r="W145" s="297"/>
      <c r="X145" s="297"/>
      <c r="Y145" s="297"/>
      <c r="Z145" s="297"/>
      <c r="AA145" s="297"/>
      <c r="AB145" s="299"/>
      <c r="AC145" s="284" t="s">
        <v>76</v>
      </c>
      <c r="AD145" s="284">
        <f t="shared" si="130"/>
        <v>-5.0257853419485334E-3</v>
      </c>
      <c r="AE145" s="297">
        <f t="shared" si="144"/>
        <v>1.1677051262821703E-3</v>
      </c>
      <c r="AF145" s="297"/>
      <c r="AG145" s="297"/>
      <c r="AH145" s="297"/>
      <c r="AI145" s="297"/>
      <c r="AJ145" s="297"/>
      <c r="AK145" s="299"/>
      <c r="AL145" s="284" t="s">
        <v>76</v>
      </c>
      <c r="AM145" s="284">
        <f t="shared" si="131"/>
        <v>1.5251716544578568E-2</v>
      </c>
      <c r="AN145" s="297">
        <f t="shared" si="136"/>
        <v>1.657998149618134E-2</v>
      </c>
      <c r="AO145" s="297"/>
      <c r="AP145" s="297"/>
      <c r="AQ145" s="297"/>
      <c r="AR145" s="297"/>
      <c r="AS145" s="297"/>
      <c r="AT145" s="299"/>
      <c r="AU145" s="284" t="s">
        <v>76</v>
      </c>
      <c r="AV145" s="284">
        <f t="shared" si="132"/>
        <v>-1.5246894059836144E-3</v>
      </c>
      <c r="AW145" s="297">
        <f t="shared" si="137"/>
        <v>1.4155938960991321E-3</v>
      </c>
      <c r="BC145" s="288"/>
      <c r="BD145" s="284" t="s">
        <v>76</v>
      </c>
      <c r="BE145" s="284">
        <f t="shared" si="133"/>
        <v>1.369090910883131E-2</v>
      </c>
      <c r="BF145" s="297">
        <f t="shared" si="138"/>
        <v>1.869700895303561E-2</v>
      </c>
      <c r="BG145" s="297"/>
      <c r="BH145" s="297"/>
      <c r="BI145" s="297"/>
      <c r="BJ145" s="297"/>
      <c r="BK145" s="297"/>
      <c r="BL145" s="288"/>
      <c r="BM145" s="284" t="s">
        <v>76</v>
      </c>
      <c r="BN145" s="284">
        <f t="shared" si="134"/>
        <v>1.8874739031672069E-2</v>
      </c>
      <c r="BO145" s="297">
        <f t="shared" si="139"/>
        <v>2.3115802724095635E-2</v>
      </c>
      <c r="BU145" s="288"/>
      <c r="BV145" s="284" t="s">
        <v>76</v>
      </c>
      <c r="BW145" s="284">
        <f t="shared" si="135"/>
        <v>1.5065703863893415E-2</v>
      </c>
      <c r="BX145" s="297">
        <f t="shared" si="140"/>
        <v>1.9072492090955517E-2</v>
      </c>
      <c r="CD145" s="288"/>
    </row>
    <row r="146" spans="1:82">
      <c r="A146" s="284">
        <f t="shared" si="126"/>
        <v>11</v>
      </c>
      <c r="B146" s="284" t="s">
        <v>77</v>
      </c>
      <c r="C146" s="284">
        <f t="shared" si="127"/>
        <v>2.0460546890787246E-2</v>
      </c>
      <c r="D146" s="297">
        <f t="shared" si="141"/>
        <v>2.4365154334925254E-2</v>
      </c>
      <c r="J146" s="285"/>
      <c r="K146" s="284" t="s">
        <v>77</v>
      </c>
      <c r="L146" s="284">
        <f t="shared" si="128"/>
        <v>-2.8285236616768551E-3</v>
      </c>
      <c r="M146" s="297">
        <f t="shared" si="142"/>
        <v>3.9038681211367443E-3</v>
      </c>
      <c r="N146" s="297"/>
      <c r="O146" s="297"/>
      <c r="P146" s="297"/>
      <c r="Q146" s="297"/>
      <c r="R146" s="297"/>
      <c r="S146" s="299"/>
      <c r="T146" s="284" t="s">
        <v>77</v>
      </c>
      <c r="U146" s="284">
        <f t="shared" si="129"/>
        <v>9.0153470609237972E-3</v>
      </c>
      <c r="V146" s="297">
        <f t="shared" si="143"/>
        <v>1.6176757166231459E-2</v>
      </c>
      <c r="W146" s="297"/>
      <c r="X146" s="297"/>
      <c r="Y146" s="297"/>
      <c r="Z146" s="297"/>
      <c r="AA146" s="297"/>
      <c r="AB146" s="299"/>
      <c r="AC146" s="284" t="s">
        <v>77</v>
      </c>
      <c r="AD146" s="284">
        <f t="shared" si="130"/>
        <v>-4.3868498024570643E-3</v>
      </c>
      <c r="AE146" s="297">
        <f t="shared" si="144"/>
        <v>2.0251156614050636E-3</v>
      </c>
      <c r="AF146" s="297"/>
      <c r="AG146" s="297"/>
      <c r="AH146" s="297"/>
      <c r="AI146" s="297"/>
      <c r="AJ146" s="297"/>
      <c r="AK146" s="299"/>
      <c r="AL146" s="284" t="s">
        <v>77</v>
      </c>
      <c r="AM146" s="284">
        <f t="shared" si="131"/>
        <v>1.5395163755630721E-2</v>
      </c>
      <c r="AN146" s="297">
        <f t="shared" si="136"/>
        <v>1.683075107774501E-2</v>
      </c>
      <c r="AO146" s="297"/>
      <c r="AP146" s="297"/>
      <c r="AQ146" s="297"/>
      <c r="AR146" s="297"/>
      <c r="AS146" s="297"/>
      <c r="AT146" s="299"/>
      <c r="AU146" s="284" t="s">
        <v>77</v>
      </c>
      <c r="AV146" s="284">
        <f t="shared" si="132"/>
        <v>-1.1635020401276602E-3</v>
      </c>
      <c r="AW146" s="297">
        <f t="shared" si="137"/>
        <v>2.4555654762321577E-3</v>
      </c>
      <c r="BC146" s="288"/>
      <c r="BD146" s="284" t="s">
        <v>77</v>
      </c>
      <c r="BE146" s="284">
        <f t="shared" si="133"/>
        <v>1.421805972089521E-2</v>
      </c>
      <c r="BF146" s="297">
        <f t="shared" si="138"/>
        <v>1.9504666792028003E-2</v>
      </c>
      <c r="BG146" s="297"/>
      <c r="BH146" s="297"/>
      <c r="BI146" s="297"/>
      <c r="BJ146" s="297"/>
      <c r="BK146" s="297"/>
      <c r="BL146" s="288"/>
      <c r="BM146" s="284" t="s">
        <v>77</v>
      </c>
      <c r="BN146" s="284">
        <f t="shared" si="134"/>
        <v>1.8903924426844534E-2</v>
      </c>
      <c r="BO146" s="297">
        <f t="shared" si="139"/>
        <v>1.919582436295264E-2</v>
      </c>
      <c r="BU146" s="288"/>
      <c r="BV146" s="284" t="s">
        <v>77</v>
      </c>
      <c r="BW146" s="284">
        <f t="shared" si="135"/>
        <v>1.560434929519694E-2</v>
      </c>
      <c r="BX146" s="297">
        <f t="shared" si="140"/>
        <v>2.1006549456268786E-2</v>
      </c>
      <c r="CD146" s="288"/>
    </row>
    <row r="147" spans="1:82">
      <c r="A147" s="284">
        <f t="shared" si="126"/>
        <v>12</v>
      </c>
      <c r="B147" s="284" t="s">
        <v>78</v>
      </c>
      <c r="C147" s="284">
        <f t="shared" si="127"/>
        <v>2.0858254188902081E-2</v>
      </c>
      <c r="D147" s="297">
        <f t="shared" si="141"/>
        <v>2.5243277750957693E-2</v>
      </c>
      <c r="J147" s="285"/>
      <c r="K147" s="284" t="s">
        <v>78</v>
      </c>
      <c r="L147" s="284">
        <f t="shared" si="128"/>
        <v>-2.192820373761924E-3</v>
      </c>
      <c r="M147" s="297">
        <f t="shared" si="142"/>
        <v>4.8267202020466637E-3</v>
      </c>
      <c r="N147" s="297"/>
      <c r="O147" s="297"/>
      <c r="P147" s="297"/>
      <c r="Q147" s="297"/>
      <c r="R147" s="297"/>
      <c r="S147" s="299"/>
      <c r="T147" s="284" t="s">
        <v>78</v>
      </c>
      <c r="U147" s="284">
        <f t="shared" si="129"/>
        <v>9.7080363145017508E-3</v>
      </c>
      <c r="V147" s="297">
        <f t="shared" si="143"/>
        <v>1.7359075101691435E-2</v>
      </c>
      <c r="W147" s="297"/>
      <c r="X147" s="297"/>
      <c r="Y147" s="297"/>
      <c r="Z147" s="297"/>
      <c r="AA147" s="297"/>
      <c r="AB147" s="299"/>
      <c r="AC147" s="284" t="s">
        <v>78</v>
      </c>
      <c r="AD147" s="284">
        <f t="shared" si="130"/>
        <v>-3.793155757747399E-3</v>
      </c>
      <c r="AE147" s="297">
        <f t="shared" si="144"/>
        <v>2.7608909350496091E-3</v>
      </c>
      <c r="AF147" s="297"/>
      <c r="AG147" s="297"/>
      <c r="AH147" s="297"/>
      <c r="AI147" s="297"/>
      <c r="AJ147" s="297"/>
      <c r="AK147" s="299"/>
      <c r="AL147" s="284" t="s">
        <v>78</v>
      </c>
      <c r="AM147" s="284">
        <f t="shared" si="131"/>
        <v>1.5534676915057253E-2</v>
      </c>
      <c r="AN147" s="297">
        <f t="shared" si="136"/>
        <v>1.7070587390120462E-2</v>
      </c>
      <c r="AO147" s="297"/>
      <c r="AP147" s="297"/>
      <c r="AQ147" s="297"/>
      <c r="AR147" s="297"/>
      <c r="AS147" s="297"/>
      <c r="AT147" s="299"/>
      <c r="AU147" s="284" t="s">
        <v>78</v>
      </c>
      <c r="AV147" s="284">
        <f t="shared" si="132"/>
        <v>-7.7397697930933198E-4</v>
      </c>
      <c r="AW147" s="297">
        <f t="shared" si="137"/>
        <v>3.5208375640969347E-3</v>
      </c>
      <c r="BC147" s="288"/>
      <c r="BD147" s="284" t="s">
        <v>78</v>
      </c>
      <c r="BE147" s="284">
        <f t="shared" si="133"/>
        <v>1.4720358389582106E-2</v>
      </c>
      <c r="BF147" s="297">
        <f t="shared" si="138"/>
        <v>2.0262089500107994E-2</v>
      </c>
      <c r="BG147" s="297"/>
      <c r="BH147" s="297"/>
      <c r="BI147" s="297"/>
      <c r="BJ147" s="297"/>
      <c r="BK147" s="297"/>
      <c r="BL147" s="288"/>
      <c r="BM147" s="284" t="s">
        <v>78</v>
      </c>
      <c r="BN147" s="284">
        <f t="shared" si="134"/>
        <v>1.8670445931303355E-2</v>
      </c>
      <c r="BO147" s="297">
        <f t="shared" si="139"/>
        <v>1.6105710839566356E-2</v>
      </c>
      <c r="BU147" s="288"/>
      <c r="BV147" s="284" t="s">
        <v>78</v>
      </c>
      <c r="BW147" s="284">
        <f t="shared" si="135"/>
        <v>1.6218671781995084E-2</v>
      </c>
      <c r="BX147" s="297">
        <f t="shared" si="140"/>
        <v>2.3000793834036415E-2</v>
      </c>
      <c r="CD147" s="288"/>
    </row>
    <row r="148" spans="1:82">
      <c r="A148" s="284">
        <f t="shared" si="126"/>
        <v>13</v>
      </c>
      <c r="B148" s="284" t="s">
        <v>79</v>
      </c>
      <c r="C148" s="284">
        <f t="shared" si="127"/>
        <v>2.1261496092005783E-2</v>
      </c>
      <c r="D148" s="297">
        <f t="shared" si="141"/>
        <v>2.6112840913373958E-2</v>
      </c>
      <c r="J148" s="285"/>
      <c r="K148" s="284" t="s">
        <v>79</v>
      </c>
      <c r="L148" s="284">
        <f t="shared" si="128"/>
        <v>-1.5974881015607244E-3</v>
      </c>
      <c r="M148" s="297">
        <f t="shared" si="142"/>
        <v>5.5742654197237229E-3</v>
      </c>
      <c r="N148" s="297"/>
      <c r="O148" s="297"/>
      <c r="P148" s="297"/>
      <c r="Q148" s="297"/>
      <c r="R148" s="297"/>
      <c r="S148" s="299"/>
      <c r="T148" s="284" t="s">
        <v>79</v>
      </c>
      <c r="U148" s="284">
        <f t="shared" si="129"/>
        <v>1.0369221782444175E-2</v>
      </c>
      <c r="V148" s="297">
        <f t="shared" si="143"/>
        <v>1.8337299730555312E-2</v>
      </c>
      <c r="W148" s="297"/>
      <c r="X148" s="297"/>
      <c r="Y148" s="297"/>
      <c r="Z148" s="297"/>
      <c r="AA148" s="297"/>
      <c r="AB148" s="299"/>
      <c r="AC148" s="284" t="s">
        <v>79</v>
      </c>
      <c r="AD148" s="284">
        <f t="shared" si="130"/>
        <v>-3.2431298640321106E-3</v>
      </c>
      <c r="AE148" s="297">
        <f t="shared" si="144"/>
        <v>3.380915950356389E-3</v>
      </c>
      <c r="AF148" s="297"/>
      <c r="AG148" s="297"/>
      <c r="AH148" s="297"/>
      <c r="AI148" s="297"/>
      <c r="AJ148" s="297"/>
      <c r="AK148" s="299"/>
      <c r="AL148" s="284" t="s">
        <v>79</v>
      </c>
      <c r="AM148" s="284">
        <f t="shared" si="131"/>
        <v>1.5670350640630125E-2</v>
      </c>
      <c r="AN148" s="297">
        <f t="shared" si="136"/>
        <v>1.7299849851274862E-2</v>
      </c>
      <c r="AO148" s="297"/>
      <c r="AP148" s="297"/>
      <c r="AQ148" s="297"/>
      <c r="AR148" s="297"/>
      <c r="AS148" s="297"/>
      <c r="AT148" s="299"/>
      <c r="AU148" s="284" t="s">
        <v>79</v>
      </c>
      <c r="AV148" s="284">
        <f t="shared" si="132"/>
        <v>-3.6167361936428107E-4</v>
      </c>
      <c r="AW148" s="297">
        <f t="shared" si="137"/>
        <v>4.5992566045107708E-3</v>
      </c>
      <c r="BC148" s="288"/>
      <c r="BD148" s="284" t="s">
        <v>79</v>
      </c>
      <c r="BE148" s="284">
        <f t="shared" si="133"/>
        <v>1.5200613238419539E-2</v>
      </c>
      <c r="BF148" s="297">
        <f t="shared" si="138"/>
        <v>2.0981431534547346E-2</v>
      </c>
      <c r="BG148" s="297"/>
      <c r="BH148" s="297"/>
      <c r="BI148" s="297"/>
      <c r="BJ148" s="297"/>
      <c r="BK148" s="297"/>
      <c r="BL148" s="288"/>
      <c r="BM148" s="284" t="s">
        <v>79</v>
      </c>
      <c r="BN148" s="284">
        <f t="shared" si="134"/>
        <v>1.8291254521485438E-2</v>
      </c>
      <c r="BO148" s="297">
        <f t="shared" si="139"/>
        <v>1.3751952351214625E-2</v>
      </c>
      <c r="BU148" s="288"/>
      <c r="BV148" s="284" t="s">
        <v>79</v>
      </c>
      <c r="BW148" s="284">
        <f t="shared" si="135"/>
        <v>1.6892419499870553E-2</v>
      </c>
      <c r="BX148" s="297">
        <f t="shared" si="140"/>
        <v>2.5012318872364103E-2</v>
      </c>
      <c r="CD148" s="288"/>
    </row>
    <row r="149" spans="1:82">
      <c r="A149" s="284">
        <f t="shared" si="126"/>
        <v>14</v>
      </c>
      <c r="B149" s="284" t="s">
        <v>80</v>
      </c>
      <c r="C149" s="284">
        <f t="shared" si="127"/>
        <v>2.1668051683958578E-2</v>
      </c>
      <c r="D149" s="297">
        <f t="shared" si="141"/>
        <v>2.6968025875629076E-2</v>
      </c>
      <c r="J149" s="285"/>
      <c r="K149" s="284" t="s">
        <v>80</v>
      </c>
      <c r="L149" s="284">
        <f t="shared" si="128"/>
        <v>-1.0453045441561285E-3</v>
      </c>
      <c r="M149" s="297">
        <f t="shared" si="142"/>
        <v>6.1609341802655315E-3</v>
      </c>
      <c r="N149" s="297"/>
      <c r="O149" s="297"/>
      <c r="P149" s="297"/>
      <c r="Q149" s="297"/>
      <c r="R149" s="297"/>
      <c r="S149" s="299"/>
      <c r="T149" s="284" t="s">
        <v>80</v>
      </c>
      <c r="U149" s="284">
        <f t="shared" si="129"/>
        <v>1.0991672480323039E-2</v>
      </c>
      <c r="V149" s="297">
        <f t="shared" si="143"/>
        <v>1.9118513332841536E-2</v>
      </c>
      <c r="W149" s="297"/>
      <c r="X149" s="297"/>
      <c r="Y149" s="297"/>
      <c r="Z149" s="297"/>
      <c r="AA149" s="297"/>
      <c r="AB149" s="299"/>
      <c r="AC149" s="284" t="s">
        <v>80</v>
      </c>
      <c r="AD149" s="284">
        <f t="shared" si="130"/>
        <v>-2.7352433661130063E-3</v>
      </c>
      <c r="AE149" s="297">
        <f t="shared" si="144"/>
        <v>3.8908788781133463E-3</v>
      </c>
      <c r="AF149" s="297"/>
      <c r="AG149" s="297"/>
      <c r="AH149" s="297"/>
      <c r="AI149" s="297"/>
      <c r="AJ149" s="297"/>
      <c r="AK149" s="299"/>
      <c r="AL149" s="284" t="s">
        <v>80</v>
      </c>
      <c r="AM149" s="284">
        <f t="shared" si="131"/>
        <v>1.5802277643212917E-2</v>
      </c>
      <c r="AN149" s="297">
        <f t="shared" si="136"/>
        <v>1.7518888881823402E-2</v>
      </c>
      <c r="AO149" s="297"/>
      <c r="AP149" s="297"/>
      <c r="AQ149" s="297"/>
      <c r="AR149" s="297"/>
      <c r="AS149" s="297"/>
      <c r="AT149" s="299"/>
      <c r="AU149" s="284" t="s">
        <v>80</v>
      </c>
      <c r="AV149" s="284">
        <f t="shared" si="132"/>
        <v>6.877859702761422E-5</v>
      </c>
      <c r="AW149" s="297">
        <f t="shared" si="137"/>
        <v>5.6815539070804721E-3</v>
      </c>
      <c r="BC149" s="288"/>
      <c r="BD149" s="284" t="s">
        <v>80</v>
      </c>
      <c r="BE149" s="284">
        <f t="shared" si="133"/>
        <v>1.5661415348514531E-2</v>
      </c>
      <c r="BF149" s="297">
        <f t="shared" si="138"/>
        <v>2.1670910870800197E-2</v>
      </c>
      <c r="BG149" s="297"/>
      <c r="BH149" s="297"/>
      <c r="BI149" s="297"/>
      <c r="BJ149" s="297"/>
      <c r="BK149" s="297"/>
      <c r="BL149" s="288"/>
      <c r="BM149" s="284" t="s">
        <v>80</v>
      </c>
      <c r="BN149" s="284">
        <f t="shared" si="134"/>
        <v>1.7843067911703751E-2</v>
      </c>
      <c r="BO149" s="297">
        <f t="shared" si="139"/>
        <v>1.2034561356764284E-2</v>
      </c>
      <c r="BU149" s="288"/>
      <c r="BV149" s="284" t="s">
        <v>80</v>
      </c>
      <c r="BW149" s="284">
        <f t="shared" si="135"/>
        <v>1.7611544021132713E-2</v>
      </c>
      <c r="BX149" s="297">
        <f t="shared" si="140"/>
        <v>2.7006571959348635E-2</v>
      </c>
      <c r="CD149" s="288"/>
    </row>
    <row r="150" spans="1:82">
      <c r="A150" s="284">
        <f t="shared" si="126"/>
        <v>15</v>
      </c>
      <c r="B150" s="284" t="s">
        <v>81</v>
      </c>
      <c r="C150" s="284">
        <f t="shared" si="127"/>
        <v>2.2075979808366453E-2</v>
      </c>
      <c r="D150" s="297">
        <f t="shared" si="141"/>
        <v>2.7804105170723403E-2</v>
      </c>
      <c r="J150" s="285"/>
      <c r="K150" s="284" t="s">
        <v>81</v>
      </c>
      <c r="L150" s="284">
        <f t="shared" si="128"/>
        <v>-5.3717125141645658E-4</v>
      </c>
      <c r="M150" s="297">
        <f t="shared" si="142"/>
        <v>6.6038940695809512E-3</v>
      </c>
      <c r="N150" s="297"/>
      <c r="O150" s="297"/>
      <c r="P150" s="297"/>
      <c r="Q150" s="297"/>
      <c r="R150" s="297"/>
      <c r="S150" s="299"/>
      <c r="T150" s="284" t="s">
        <v>81</v>
      </c>
      <c r="U150" s="284">
        <f t="shared" si="129"/>
        <v>1.1570897064036766E-2</v>
      </c>
      <c r="V150" s="297">
        <f t="shared" si="143"/>
        <v>1.9714972509904616E-2</v>
      </c>
      <c r="W150" s="297"/>
      <c r="X150" s="297"/>
      <c r="Y150" s="297"/>
      <c r="Z150" s="297"/>
      <c r="AA150" s="297"/>
      <c r="AB150" s="299"/>
      <c r="AC150" s="284" t="s">
        <v>81</v>
      </c>
      <c r="AD150" s="284">
        <f t="shared" si="130"/>
        <v>-2.2680109321716393E-3</v>
      </c>
      <c r="AE150" s="297">
        <f t="shared" si="144"/>
        <v>4.2962748885420066E-3</v>
      </c>
      <c r="AF150" s="297"/>
      <c r="AG150" s="297"/>
      <c r="AH150" s="297"/>
      <c r="AI150" s="297"/>
      <c r="AJ150" s="297"/>
      <c r="AK150" s="299"/>
      <c r="AL150" s="284" t="s">
        <v>81</v>
      </c>
      <c r="AM150" s="284">
        <f t="shared" si="131"/>
        <v>1.5930548761487182E-2</v>
      </c>
      <c r="AN150" s="297">
        <f t="shared" si="136"/>
        <v>1.7728046088128835E-2</v>
      </c>
      <c r="AO150" s="297"/>
      <c r="AP150" s="297"/>
      <c r="AQ150" s="297"/>
      <c r="AR150" s="297"/>
      <c r="AS150" s="297"/>
      <c r="AT150" s="299"/>
      <c r="AU150" s="284" t="s">
        <v>81</v>
      </c>
      <c r="AV150" s="284">
        <f t="shared" si="132"/>
        <v>5.1351908972435559E-4</v>
      </c>
      <c r="AW150" s="297">
        <f t="shared" si="137"/>
        <v>6.7606930132140253E-3</v>
      </c>
      <c r="BC150" s="288"/>
      <c r="BD150" s="284" t="s">
        <v>81</v>
      </c>
      <c r="BE150" s="284">
        <f t="shared" si="133"/>
        <v>1.6105028354561745E-2</v>
      </c>
      <c r="BF150" s="297">
        <f t="shared" si="138"/>
        <v>2.233599358291638E-2</v>
      </c>
      <c r="BG150" s="297"/>
      <c r="BH150" s="297"/>
      <c r="BI150" s="297"/>
      <c r="BJ150" s="297"/>
      <c r="BK150" s="297"/>
      <c r="BL150" s="288"/>
      <c r="BM150" s="284" t="s">
        <v>81</v>
      </c>
      <c r="BN150" s="284">
        <f t="shared" si="134"/>
        <v>1.7376028284112693E-2</v>
      </c>
      <c r="BO150" s="297">
        <f t="shared" si="139"/>
        <v>1.0859930549343089E-2</v>
      </c>
      <c r="BU150" s="288"/>
      <c r="BV150" s="284" t="s">
        <v>81</v>
      </c>
      <c r="BW150" s="284">
        <f t="shared" si="135"/>
        <v>1.836394326723674E-2</v>
      </c>
      <c r="BX150" s="297">
        <f t="shared" si="140"/>
        <v>2.895613253527185E-2</v>
      </c>
      <c r="CD150" s="288"/>
    </row>
    <row r="151" spans="1:82">
      <c r="A151" s="284">
        <f t="shared" si="126"/>
        <v>16</v>
      </c>
      <c r="B151" s="284" t="s">
        <v>82</v>
      </c>
      <c r="C151" s="284">
        <f t="shared" si="127"/>
        <v>2.2483590942178E-2</v>
      </c>
      <c r="D151" s="297">
        <f t="shared" si="141"/>
        <v>2.8617301285466246E-2</v>
      </c>
      <c r="J151" s="285"/>
      <c r="K151" s="284" t="s">
        <v>82</v>
      </c>
      <c r="L151" s="284">
        <f t="shared" si="128"/>
        <v>-7.2632795412416046E-5</v>
      </c>
      <c r="M151" s="297">
        <f t="shared" si="142"/>
        <v>6.9214097625482918E-3</v>
      </c>
      <c r="N151" s="297"/>
      <c r="O151" s="297"/>
      <c r="P151" s="297"/>
      <c r="Q151" s="297"/>
      <c r="R151" s="297"/>
      <c r="S151" s="299"/>
      <c r="T151" s="284" t="s">
        <v>82</v>
      </c>
      <c r="U151" s="284">
        <f t="shared" si="129"/>
        <v>1.2104467364379201E-2</v>
      </c>
      <c r="V151" s="297">
        <f t="shared" si="143"/>
        <v>2.0141878033831162E-2</v>
      </c>
      <c r="W151" s="297"/>
      <c r="X151" s="297"/>
      <c r="Y151" s="297"/>
      <c r="Z151" s="297"/>
      <c r="AA151" s="297"/>
      <c r="AB151" s="299"/>
      <c r="AC151" s="284" t="s">
        <v>82</v>
      </c>
      <c r="AD151" s="284">
        <f t="shared" si="130"/>
        <v>-1.8399895178974821E-3</v>
      </c>
      <c r="AE151" s="297">
        <f t="shared" si="144"/>
        <v>4.6024101234374282E-3</v>
      </c>
      <c r="AF151" s="297"/>
      <c r="AG151" s="297"/>
      <c r="AH151" s="297"/>
      <c r="AI151" s="297"/>
      <c r="AJ151" s="297"/>
      <c r="AK151" s="299"/>
      <c r="AL151" s="284" t="s">
        <v>82</v>
      </c>
      <c r="AM151" s="284">
        <f t="shared" si="131"/>
        <v>1.6055252996083805E-2</v>
      </c>
      <c r="AN151" s="297">
        <f t="shared" si="136"/>
        <v>1.7927654442772445E-2</v>
      </c>
      <c r="AO151" s="297"/>
      <c r="AP151" s="297"/>
      <c r="AQ151" s="297"/>
      <c r="AR151" s="297"/>
      <c r="AS151" s="297"/>
      <c r="AT151" s="299"/>
      <c r="AU151" s="284" t="s">
        <v>82</v>
      </c>
      <c r="AV151" s="284">
        <f t="shared" si="132"/>
        <v>9.6932343414058656E-4</v>
      </c>
      <c r="AW151" s="297">
        <f t="shared" si="137"/>
        <v>7.8313597708195015E-3</v>
      </c>
      <c r="BC151" s="288"/>
      <c r="BD151" s="284" t="s">
        <v>82</v>
      </c>
      <c r="BE151" s="284">
        <f t="shared" si="133"/>
        <v>1.6533375321693407E-2</v>
      </c>
      <c r="BF151" s="297">
        <f t="shared" si="138"/>
        <v>2.2980291274352416E-2</v>
      </c>
      <c r="BG151" s="297"/>
      <c r="BH151" s="297"/>
      <c r="BI151" s="297"/>
      <c r="BJ151" s="297"/>
      <c r="BK151" s="297"/>
      <c r="BL151" s="288"/>
      <c r="BM151" s="284" t="s">
        <v>82</v>
      </c>
      <c r="BN151" s="284">
        <f t="shared" si="134"/>
        <v>1.6922540859293077E-2</v>
      </c>
      <c r="BO151" s="297">
        <f t="shared" si="139"/>
        <v>1.0144435720752742E-2</v>
      </c>
      <c r="BU151" s="288"/>
      <c r="BV151" s="284" t="s">
        <v>82</v>
      </c>
      <c r="BW151" s="284">
        <f t="shared" si="135"/>
        <v>1.9139232275985713E-2</v>
      </c>
      <c r="BX151" s="297">
        <f t="shared" si="140"/>
        <v>3.0839647749792087E-2</v>
      </c>
      <c r="CD151" s="288"/>
    </row>
    <row r="152" spans="1:82">
      <c r="A152" s="284">
        <f t="shared" si="126"/>
        <v>17</v>
      </c>
      <c r="B152" s="284" t="s">
        <v>83</v>
      </c>
      <c r="C152" s="284">
        <f t="shared" si="127"/>
        <v>2.2889421539921628E-2</v>
      </c>
      <c r="D152" s="297">
        <f t="shared" si="141"/>
        <v>2.9404661095032258E-2</v>
      </c>
      <c r="J152" s="285"/>
      <c r="K152" s="284" t="s">
        <v>83</v>
      </c>
      <c r="L152" s="284">
        <f t="shared" si="128"/>
        <v>3.4972280917605972E-4</v>
      </c>
      <c r="M152" s="297">
        <f t="shared" si="142"/>
        <v>7.1317258192808985E-3</v>
      </c>
      <c r="N152" s="297"/>
      <c r="O152" s="297"/>
      <c r="P152" s="297"/>
      <c r="Q152" s="297"/>
      <c r="R152" s="297"/>
      <c r="S152" s="299"/>
      <c r="T152" s="284" t="s">
        <v>83</v>
      </c>
      <c r="U152" s="284">
        <f t="shared" si="129"/>
        <v>1.259149002670948E-2</v>
      </c>
      <c r="V152" s="297">
        <f t="shared" si="143"/>
        <v>2.0415801627606811E-2</v>
      </c>
      <c r="W152" s="297"/>
      <c r="X152" s="297"/>
      <c r="Y152" s="297"/>
      <c r="Z152" s="297"/>
      <c r="AA152" s="297"/>
      <c r="AB152" s="299"/>
      <c r="AC152" s="284" t="s">
        <v>83</v>
      </c>
      <c r="AD152" s="284">
        <f t="shared" si="130"/>
        <v>-1.4497772592302061E-3</v>
      </c>
      <c r="AE152" s="297">
        <f t="shared" si="144"/>
        <v>4.8144057823893416E-3</v>
      </c>
      <c r="AF152" s="297"/>
      <c r="AG152" s="297"/>
      <c r="AH152" s="297"/>
      <c r="AI152" s="297"/>
      <c r="AJ152" s="297"/>
      <c r="AK152" s="299"/>
      <c r="AL152" s="284" t="s">
        <v>83</v>
      </c>
      <c r="AM152" s="284">
        <f t="shared" si="131"/>
        <v>1.6176477543128752E-2</v>
      </c>
      <c r="AN152" s="297">
        <f t="shared" si="136"/>
        <v>1.8118038462324737E-2</v>
      </c>
      <c r="AO152" s="297"/>
      <c r="AP152" s="297"/>
      <c r="AQ152" s="297"/>
      <c r="AR152" s="297"/>
      <c r="AS152" s="297"/>
      <c r="AT152" s="299"/>
      <c r="AU152" s="284" t="s">
        <v>83</v>
      </c>
      <c r="AV152" s="284">
        <f t="shared" si="132"/>
        <v>1.4334940320771968E-3</v>
      </c>
      <c r="AW152" s="297">
        <f t="shared" si="137"/>
        <v>8.8895649982356773E-3</v>
      </c>
      <c r="BC152" s="288"/>
      <c r="BD152" s="284" t="s">
        <v>83</v>
      </c>
      <c r="BE152" s="284">
        <f t="shared" si="133"/>
        <v>1.6948067522016757E-2</v>
      </c>
      <c r="BF152" s="297">
        <f t="shared" si="138"/>
        <v>2.3606197200679802E-2</v>
      </c>
      <c r="BG152" s="297"/>
      <c r="BH152" s="297"/>
      <c r="BI152" s="297"/>
      <c r="BJ152" s="297"/>
      <c r="BK152" s="297"/>
      <c r="BL152" s="288"/>
      <c r="BM152" s="284" t="s">
        <v>83</v>
      </c>
      <c r="BN152" s="284">
        <f t="shared" si="134"/>
        <v>1.6503052407408743E-2</v>
      </c>
      <c r="BO152" s="297">
        <f t="shared" si="139"/>
        <v>9.8147224535618527E-3</v>
      </c>
      <c r="BU152" s="288"/>
      <c r="BV152" s="284" t="s">
        <v>83</v>
      </c>
      <c r="BW152" s="284">
        <f t="shared" si="135"/>
        <v>1.9928538906301183E-2</v>
      </c>
      <c r="BX152" s="297">
        <f t="shared" si="140"/>
        <v>3.2640905295339362E-2</v>
      </c>
      <c r="CD152" s="288"/>
    </row>
    <row r="153" spans="1:82">
      <c r="A153" s="284">
        <f t="shared" si="126"/>
        <v>18</v>
      </c>
      <c r="B153" s="284" t="s">
        <v>84</v>
      </c>
      <c r="C153" s="284">
        <f t="shared" si="127"/>
        <v>2.3292210662324564E-2</v>
      </c>
      <c r="D153" s="297">
        <f t="shared" si="141"/>
        <v>3.016394390130217E-2</v>
      </c>
      <c r="J153" s="285"/>
      <c r="K153" s="284" t="s">
        <v>84</v>
      </c>
      <c r="L153" s="284">
        <f t="shared" si="128"/>
        <v>7.3195728033116636E-4</v>
      </c>
      <c r="M153" s="297">
        <f t="shared" si="142"/>
        <v>7.2523348668240839E-3</v>
      </c>
      <c r="N153" s="297"/>
      <c r="O153" s="297"/>
      <c r="P153" s="297"/>
      <c r="Q153" s="297"/>
      <c r="R153" s="297"/>
      <c r="S153" s="299"/>
      <c r="T153" s="284" t="s">
        <v>84</v>
      </c>
      <c r="U153" s="284">
        <f t="shared" si="129"/>
        <v>1.3032195480025387E-2</v>
      </c>
      <c r="V153" s="297">
        <f t="shared" si="143"/>
        <v>2.0553602760670975E-2</v>
      </c>
      <c r="W153" s="297"/>
      <c r="X153" s="297"/>
      <c r="Y153" s="297"/>
      <c r="Z153" s="297"/>
      <c r="AA153" s="297"/>
      <c r="AB153" s="299"/>
      <c r="AC153" s="284" t="s">
        <v>84</v>
      </c>
      <c r="AD153" s="284">
        <f t="shared" si="130"/>
        <v>-1.0960123930102428E-3</v>
      </c>
      <c r="AE153" s="297">
        <f t="shared" si="144"/>
        <v>4.9372022993909859E-3</v>
      </c>
      <c r="AF153" s="297"/>
      <c r="AG153" s="297"/>
      <c r="AH153" s="297"/>
      <c r="AI153" s="297"/>
      <c r="AJ153" s="297"/>
      <c r="AK153" s="299"/>
      <c r="AL153" s="284" t="s">
        <v>84</v>
      </c>
      <c r="AM153" s="284">
        <f t="shared" si="131"/>
        <v>1.6294307827212556E-2</v>
      </c>
      <c r="AN153" s="297">
        <f t="shared" si="136"/>
        <v>1.829951438244426E-2</v>
      </c>
      <c r="AO153" s="297"/>
      <c r="AP153" s="297"/>
      <c r="AQ153" s="297"/>
      <c r="AR153" s="297"/>
      <c r="AS153" s="297"/>
      <c r="AT153" s="299"/>
      <c r="AU153" s="284" t="s">
        <v>84</v>
      </c>
      <c r="AV153" s="284">
        <f t="shared" si="132"/>
        <v>1.9037700337948137E-3</v>
      </c>
      <c r="AW153" s="297">
        <f t="shared" si="137"/>
        <v>9.9323358082619162E-3</v>
      </c>
      <c r="BC153" s="288"/>
      <c r="BD153" s="284" t="s">
        <v>84</v>
      </c>
      <c r="BE153" s="284">
        <f t="shared" si="133"/>
        <v>1.7350447542822361E-2</v>
      </c>
      <c r="BF153" s="297">
        <f t="shared" si="138"/>
        <v>2.4215318714972733E-2</v>
      </c>
      <c r="BG153" s="297"/>
      <c r="BH153" s="297"/>
      <c r="BI153" s="297"/>
      <c r="BJ153" s="297"/>
      <c r="BK153" s="297"/>
      <c r="BL153" s="288"/>
      <c r="BM153" s="284" t="s">
        <v>84</v>
      </c>
      <c r="BN153" s="284">
        <f t="shared" si="134"/>
        <v>1.6129883122892579E-2</v>
      </c>
      <c r="BO153" s="297">
        <f t="shared" si="139"/>
        <v>9.806924460770805E-3</v>
      </c>
      <c r="BU153" s="288"/>
      <c r="BV153" s="284" t="s">
        <v>84</v>
      </c>
      <c r="BW153" s="284">
        <f t="shared" si="135"/>
        <v>2.0724321892206826E-2</v>
      </c>
      <c r="BX153" s="297">
        <f t="shared" si="140"/>
        <v>3.4348026358455908E-2</v>
      </c>
      <c r="CD153" s="288"/>
    </row>
    <row r="154" spans="1:82">
      <c r="A154" s="284">
        <f t="shared" si="126"/>
        <v>19</v>
      </c>
      <c r="B154" s="284" t="s">
        <v>85</v>
      </c>
      <c r="C154" s="284">
        <f t="shared" si="127"/>
        <v>2.3690878713369945E-2</v>
      </c>
      <c r="D154" s="297">
        <f t="shared" si="141"/>
        <v>3.0893521823029957E-2</v>
      </c>
      <c r="J154" s="285"/>
      <c r="K154" s="284" t="s">
        <v>85</v>
      </c>
      <c r="L154" s="284">
        <f t="shared" si="128"/>
        <v>1.0765488107651981E-3</v>
      </c>
      <c r="M154" s="297">
        <f t="shared" si="142"/>
        <v>7.2995262612742806E-3</v>
      </c>
      <c r="N154" s="297"/>
      <c r="O154" s="297"/>
      <c r="P154" s="297"/>
      <c r="Q154" s="297"/>
      <c r="R154" s="297"/>
      <c r="S154" s="299"/>
      <c r="T154" s="284" t="s">
        <v>85</v>
      </c>
      <c r="U154" s="284">
        <f t="shared" si="129"/>
        <v>1.3427619681044079E-2</v>
      </c>
      <c r="V154" s="297">
        <f t="shared" si="143"/>
        <v>2.0571707414992035E-2</v>
      </c>
      <c r="W154" s="297"/>
      <c r="X154" s="297"/>
      <c r="Y154" s="297"/>
      <c r="Z154" s="297"/>
      <c r="AA154" s="297"/>
      <c r="AB154" s="299"/>
      <c r="AC154" s="284" t="s">
        <v>85</v>
      </c>
      <c r="AD154" s="284">
        <f t="shared" si="130"/>
        <v>-7.7737220484540293E-4</v>
      </c>
      <c r="AE154" s="297">
        <f t="shared" si="144"/>
        <v>4.9755635883266258E-3</v>
      </c>
      <c r="AF154" s="297"/>
      <c r="AG154" s="297"/>
      <c r="AH154" s="297"/>
      <c r="AI154" s="297"/>
      <c r="AJ154" s="297"/>
      <c r="AK154" s="299"/>
      <c r="AL154" s="284" t="s">
        <v>85</v>
      </c>
      <c r="AM154" s="284">
        <f t="shared" si="131"/>
        <v>1.6408827533795127E-2</v>
      </c>
      <c r="AN154" s="297">
        <f t="shared" si="136"/>
        <v>1.8472390330333877E-2</v>
      </c>
      <c r="AO154" s="297"/>
      <c r="AP154" s="297"/>
      <c r="AQ154" s="297"/>
      <c r="AR154" s="297"/>
      <c r="AS154" s="297"/>
      <c r="AT154" s="299"/>
      <c r="AU154" s="284" t="s">
        <v>85</v>
      </c>
      <c r="AV154" s="284">
        <f t="shared" si="132"/>
        <v>2.378253110282098E-3</v>
      </c>
      <c r="AW154" s="297">
        <f t="shared" si="137"/>
        <v>1.0957476595036653E-2</v>
      </c>
      <c r="BC154" s="288"/>
      <c r="BD154" s="284" t="s">
        <v>85</v>
      </c>
      <c r="BE154" s="284">
        <f t="shared" si="133"/>
        <v>1.7741633752284706E-2</v>
      </c>
      <c r="BF154" s="297">
        <f t="shared" si="138"/>
        <v>2.4808762934921624E-2</v>
      </c>
      <c r="BG154" s="297"/>
      <c r="BH154" s="297"/>
      <c r="BI154" s="297"/>
      <c r="BJ154" s="297"/>
      <c r="BK154" s="297"/>
      <c r="BL154" s="288"/>
      <c r="BM154" s="284" t="s">
        <v>85</v>
      </c>
      <c r="BN154" s="284">
        <f t="shared" si="134"/>
        <v>1.5809805955891355E-2</v>
      </c>
      <c r="BO154" s="297">
        <f t="shared" si="139"/>
        <v>1.0065626969033348E-2</v>
      </c>
      <c r="BU154" s="288"/>
      <c r="BV154" s="284" t="s">
        <v>85</v>
      </c>
      <c r="BW154" s="284">
        <f t="shared" si="135"/>
        <v>2.152020891814499E-2</v>
      </c>
      <c r="BX154" s="297">
        <f t="shared" si="140"/>
        <v>3.595276408236292E-2</v>
      </c>
      <c r="CD154" s="288"/>
    </row>
    <row r="155" spans="1:82">
      <c r="A155" s="284">
        <f t="shared" si="126"/>
        <v>20</v>
      </c>
      <c r="B155" s="284" t="s">
        <v>86</v>
      </c>
      <c r="C155" s="284">
        <f t="shared" si="127"/>
        <v>2.4084508120166492E-2</v>
      </c>
      <c r="D155" s="297">
        <f t="shared" si="141"/>
        <v>3.1592291382936066E-2</v>
      </c>
      <c r="J155" s="285"/>
      <c r="K155" s="284" t="s">
        <v>86</v>
      </c>
      <c r="L155" s="284">
        <f t="shared" si="128"/>
        <v>1.3862164526000087E-3</v>
      </c>
      <c r="M155" s="297">
        <f t="shared" si="142"/>
        <v>7.2881357474785524E-3</v>
      </c>
      <c r="N155" s="297"/>
      <c r="O155" s="297"/>
      <c r="P155" s="297"/>
      <c r="Q155" s="297"/>
      <c r="R155" s="297"/>
      <c r="S155" s="299"/>
      <c r="T155" s="284" t="s">
        <v>86</v>
      </c>
      <c r="U155" s="284">
        <f t="shared" si="129"/>
        <v>1.3779359062904721E-2</v>
      </c>
      <c r="V155" s="297">
        <f t="shared" si="143"/>
        <v>2.0485651146410211E-2</v>
      </c>
      <c r="W155" s="297"/>
      <c r="X155" s="297"/>
      <c r="Y155" s="297"/>
      <c r="Z155" s="297"/>
      <c r="AA155" s="297"/>
      <c r="AB155" s="299"/>
      <c r="AC155" s="284" t="s">
        <v>86</v>
      </c>
      <c r="AD155" s="284">
        <f t="shared" si="130"/>
        <v>-4.9257200351987551E-4</v>
      </c>
      <c r="AE155" s="297">
        <f t="shared" si="144"/>
        <v>4.9340813380609472E-3</v>
      </c>
      <c r="AF155" s="297"/>
      <c r="AG155" s="297"/>
      <c r="AH155" s="297"/>
      <c r="AI155" s="297"/>
      <c r="AJ155" s="297"/>
      <c r="AK155" s="299"/>
      <c r="AL155" s="284" t="s">
        <v>86</v>
      </c>
      <c r="AM155" s="284">
        <f t="shared" si="131"/>
        <v>1.6520118641051532E-2</v>
      </c>
      <c r="AN155" s="297">
        <f t="shared" si="136"/>
        <v>1.8636966494453677E-2</v>
      </c>
      <c r="AO155" s="297"/>
      <c r="AP155" s="297"/>
      <c r="AQ155" s="297"/>
      <c r="AR155" s="297"/>
      <c r="AS155" s="297"/>
      <c r="AT155" s="299"/>
      <c r="AU155" s="284" t="s">
        <v>86</v>
      </c>
      <c r="AV155" s="284">
        <f t="shared" si="132"/>
        <v>2.8553462732254717E-3</v>
      </c>
      <c r="AW155" s="297">
        <f t="shared" si="137"/>
        <v>1.1963384619376738E-2</v>
      </c>
      <c r="BC155" s="288"/>
      <c r="BD155" s="284" t="s">
        <v>86</v>
      </c>
      <c r="BE155" s="284">
        <f t="shared" si="133"/>
        <v>1.812256062565662E-2</v>
      </c>
      <c r="BF155" s="297">
        <f t="shared" si="138"/>
        <v>2.5387321545404573E-2</v>
      </c>
      <c r="BG155" s="297"/>
      <c r="BH155" s="297"/>
      <c r="BI155" s="297"/>
      <c r="BJ155" s="297"/>
      <c r="BK155" s="297"/>
      <c r="BL155" s="288"/>
      <c r="BM155" s="284" t="s">
        <v>86</v>
      </c>
      <c r="BN155" s="284">
        <f t="shared" si="134"/>
        <v>1.5545807333443493E-2</v>
      </c>
      <c r="BO155" s="297">
        <f t="shared" si="139"/>
        <v>1.0542849206915061E-2</v>
      </c>
      <c r="BU155" s="288"/>
      <c r="BV155" s="284" t="s">
        <v>86</v>
      </c>
      <c r="BW155" s="284">
        <f t="shared" si="135"/>
        <v>2.231085262256316E-2</v>
      </c>
      <c r="BX155" s="297">
        <f t="shared" si="140"/>
        <v>3.7449894897491065E-2</v>
      </c>
      <c r="CD155" s="288"/>
    </row>
    <row r="156" spans="1:82">
      <c r="A156" s="284">
        <f t="shared" si="126"/>
        <v>21</v>
      </c>
      <c r="B156" s="284" t="s">
        <v>87</v>
      </c>
      <c r="C156" s="284">
        <f t="shared" si="127"/>
        <v>2.4472325800199313E-2</v>
      </c>
      <c r="D156" s="297">
        <f t="shared" si="141"/>
        <v>3.225959522656896E-2</v>
      </c>
      <c r="J156" s="285"/>
      <c r="K156" s="284" t="s">
        <v>87</v>
      </c>
      <c r="L156" s="284">
        <f t="shared" si="128"/>
        <v>1.6637895042334663E-3</v>
      </c>
      <c r="M156" s="297">
        <f t="shared" si="142"/>
        <v>7.2314363672523196E-3</v>
      </c>
      <c r="N156" s="297"/>
      <c r="O156" s="297"/>
      <c r="P156" s="297"/>
      <c r="Q156" s="297"/>
      <c r="R156" s="297"/>
      <c r="S156" s="299"/>
      <c r="T156" s="284" t="s">
        <v>87</v>
      </c>
      <c r="U156" s="284">
        <f t="shared" si="129"/>
        <v>1.4089383108349026E-2</v>
      </c>
      <c r="V156" s="297">
        <f t="shared" si="143"/>
        <v>2.0309812418324968E-2</v>
      </c>
      <c r="W156" s="297"/>
      <c r="X156" s="297"/>
      <c r="Y156" s="297"/>
      <c r="Z156" s="297"/>
      <c r="AA156" s="297"/>
      <c r="AB156" s="299"/>
      <c r="AC156" s="284" t="s">
        <v>87</v>
      </c>
      <c r="AD156" s="284">
        <f t="shared" si="130"/>
        <v>-2.4036412129106038E-4</v>
      </c>
      <c r="AE156" s="297">
        <f t="shared" si="144"/>
        <v>4.8171793395865858E-3</v>
      </c>
      <c r="AF156" s="297"/>
      <c r="AG156" s="297"/>
      <c r="AH156" s="297"/>
      <c r="AI156" s="297"/>
      <c r="AJ156" s="297"/>
      <c r="AK156" s="299"/>
      <c r="AL156" s="284" t="s">
        <v>87</v>
      </c>
      <c r="AM156" s="284">
        <f t="shared" si="131"/>
        <v>1.6628261451171168E-2</v>
      </c>
      <c r="AN156" s="297">
        <f t="shared" si="136"/>
        <v>1.8793535291576902E-2</v>
      </c>
      <c r="AO156" s="297"/>
      <c r="AP156" s="297"/>
      <c r="AQ156" s="297"/>
      <c r="AR156" s="297"/>
      <c r="AS156" s="297"/>
      <c r="AT156" s="299"/>
      <c r="AU156" s="284" t="s">
        <v>87</v>
      </c>
      <c r="AV156" s="284">
        <f t="shared" si="132"/>
        <v>3.3337034339116132E-3</v>
      </c>
      <c r="AW156" s="297">
        <f t="shared" si="137"/>
        <v>1.2948908265309811E-2</v>
      </c>
      <c r="BC156" s="288"/>
      <c r="BD156" s="284" t="s">
        <v>87</v>
      </c>
      <c r="BE156" s="284">
        <f t="shared" si="133"/>
        <v>1.8494013128853484E-2</v>
      </c>
      <c r="BF156" s="297">
        <f t="shared" si="138"/>
        <v>2.5951588465589204E-2</v>
      </c>
      <c r="BG156" s="297"/>
      <c r="BH156" s="297"/>
      <c r="BI156" s="297"/>
      <c r="BJ156" s="297"/>
      <c r="BK156" s="297"/>
      <c r="BL156" s="288"/>
      <c r="BM156" s="284" t="s">
        <v>87</v>
      </c>
      <c r="BN156" s="284">
        <f t="shared" si="134"/>
        <v>1.5338303775743859E-2</v>
      </c>
      <c r="BO156" s="297">
        <f t="shared" si="139"/>
        <v>1.1197124817539317E-2</v>
      </c>
      <c r="BU156" s="288"/>
      <c r="BV156" s="284" t="s">
        <v>87</v>
      </c>
      <c r="BW156" s="284">
        <f t="shared" si="135"/>
        <v>2.3091802648374279E-2</v>
      </c>
      <c r="BX156" s="297">
        <f t="shared" si="140"/>
        <v>3.8836691676651602E-2</v>
      </c>
      <c r="CD156" s="288"/>
    </row>
    <row r="157" spans="1:82">
      <c r="A157" s="284">
        <f t="shared" si="126"/>
        <v>22</v>
      </c>
      <c r="B157" s="284" t="s">
        <v>88</v>
      </c>
      <c r="C157" s="284">
        <f t="shared" si="127"/>
        <v>2.4853687270516345E-2</v>
      </c>
      <c r="D157" s="297">
        <f t="shared" si="141"/>
        <v>3.289515299282697E-2</v>
      </c>
      <c r="J157" s="285"/>
      <c r="K157" s="284" t="s">
        <v>88</v>
      </c>
      <c r="L157" s="284">
        <f t="shared" si="128"/>
        <v>1.9121118835199354E-3</v>
      </c>
      <c r="M157" s="297">
        <f t="shared" si="142"/>
        <v>7.1411261039362461E-3</v>
      </c>
      <c r="N157" s="297"/>
      <c r="O157" s="297"/>
      <c r="P157" s="297"/>
      <c r="Q157" s="297"/>
      <c r="R157" s="297"/>
      <c r="S157" s="299"/>
      <c r="T157" s="284" t="s">
        <v>88</v>
      </c>
      <c r="U157" s="284">
        <f t="shared" si="129"/>
        <v>1.4359892159629697E-2</v>
      </c>
      <c r="V157" s="297">
        <f t="shared" si="143"/>
        <v>2.0057280525043186E-2</v>
      </c>
      <c r="W157" s="297"/>
      <c r="X157" s="297"/>
      <c r="Y157" s="297"/>
      <c r="Z157" s="297"/>
      <c r="AA157" s="297"/>
      <c r="AB157" s="299"/>
      <c r="AC157" s="284" t="s">
        <v>88</v>
      </c>
      <c r="AD157" s="284">
        <f t="shared" si="130"/>
        <v>-1.9536939432136802E-5</v>
      </c>
      <c r="AE157" s="297">
        <f t="shared" si="144"/>
        <v>4.6291178296673507E-3</v>
      </c>
      <c r="AF157" s="297"/>
      <c r="AG157" s="297"/>
      <c r="AH157" s="297"/>
      <c r="AI157" s="297"/>
      <c r="AJ157" s="297"/>
      <c r="AK157" s="299"/>
      <c r="AL157" s="284" t="s">
        <v>88</v>
      </c>
      <c r="AM157" s="284">
        <f t="shared" si="131"/>
        <v>1.6733334621118891E-2</v>
      </c>
      <c r="AN157" s="297">
        <f t="shared" si="136"/>
        <v>1.8942381531236396E-2</v>
      </c>
      <c r="AO157" s="297"/>
      <c r="AP157" s="297"/>
      <c r="AQ157" s="297"/>
      <c r="AR157" s="297"/>
      <c r="AS157" s="297"/>
      <c r="AT157" s="299"/>
      <c r="AU157" s="284" t="s">
        <v>88</v>
      </c>
      <c r="AV157" s="284">
        <f t="shared" si="132"/>
        <v>3.8121877994715817E-3</v>
      </c>
      <c r="AW157" s="297">
        <f t="shared" si="137"/>
        <v>1.3913238541119366E-2</v>
      </c>
      <c r="BC157" s="288"/>
      <c r="BD157" s="284" t="s">
        <v>88</v>
      </c>
      <c r="BE157" s="284">
        <f t="shared" si="133"/>
        <v>1.8856655074024897E-2</v>
      </c>
      <c r="BF157" s="297">
        <f t="shared" si="138"/>
        <v>2.6502033843013528E-2</v>
      </c>
      <c r="BG157" s="297"/>
      <c r="BH157" s="297"/>
      <c r="BI157" s="297"/>
      <c r="BJ157" s="297"/>
      <c r="BK157" s="297"/>
      <c r="BL157" s="288"/>
      <c r="BM157" s="284" t="s">
        <v>88</v>
      </c>
      <c r="BN157" s="284">
        <f t="shared" si="134"/>
        <v>1.5185990851896803E-2</v>
      </c>
      <c r="BO157" s="297">
        <f t="shared" si="139"/>
        <v>1.1992692241201253E-2</v>
      </c>
      <c r="BU157" s="288"/>
      <c r="BV157" s="284" t="s">
        <v>88</v>
      </c>
      <c r="BW157" s="284">
        <f t="shared" si="135"/>
        <v>2.3859392049639799E-2</v>
      </c>
      <c r="BX157" s="297">
        <f t="shared" si="140"/>
        <v>4.011246900018639E-2</v>
      </c>
      <c r="CD157" s="288"/>
    </row>
    <row r="158" spans="1:82">
      <c r="A158" s="284">
        <f t="shared" si="126"/>
        <v>23</v>
      </c>
      <c r="B158" s="284" t="s">
        <v>89</v>
      </c>
      <c r="C158" s="284">
        <f t="shared" si="127"/>
        <v>2.5228062263083717E-2</v>
      </c>
      <c r="D158" s="297">
        <f t="shared" si="141"/>
        <v>3.3499000433900861E-2</v>
      </c>
      <c r="J158" s="285"/>
      <c r="K158" s="284" t="s">
        <v>89</v>
      </c>
      <c r="L158" s="284">
        <f t="shared" si="128"/>
        <v>2.1339735669131318E-3</v>
      </c>
      <c r="M158" s="297">
        <f t="shared" si="142"/>
        <v>7.0273794423263425E-3</v>
      </c>
      <c r="N158" s="297"/>
      <c r="O158" s="297"/>
      <c r="P158" s="297"/>
      <c r="Q158" s="297"/>
      <c r="R158" s="297"/>
      <c r="S158" s="299"/>
      <c r="T158" s="284" t="s">
        <v>89</v>
      </c>
      <c r="U158" s="284">
        <f t="shared" si="129"/>
        <v>1.4593210629536229E-2</v>
      </c>
      <c r="V158" s="297">
        <f t="shared" si="143"/>
        <v>1.9739816569340984E-2</v>
      </c>
      <c r="W158" s="297"/>
      <c r="X158" s="297"/>
      <c r="Y158" s="297"/>
      <c r="Z158" s="297"/>
      <c r="AA158" s="297"/>
      <c r="AB158" s="299"/>
      <c r="AC158" s="284" t="s">
        <v>89</v>
      </c>
      <c r="AD158" s="284">
        <f t="shared" si="130"/>
        <v>1.7108606160464584E-4</v>
      </c>
      <c r="AE158" s="297">
        <f t="shared" si="144"/>
        <v>4.3739978368959598E-3</v>
      </c>
      <c r="AF158" s="297"/>
      <c r="AG158" s="297"/>
      <c r="AH158" s="297"/>
      <c r="AI158" s="297"/>
      <c r="AJ158" s="297"/>
      <c r="AK158" s="299"/>
      <c r="AL158" s="284" t="s">
        <v>89</v>
      </c>
      <c r="AM158" s="284">
        <f t="shared" si="131"/>
        <v>1.6835415192864463E-2</v>
      </c>
      <c r="AN158" s="297">
        <f t="shared" si="136"/>
        <v>1.9083782577400843E-2</v>
      </c>
      <c r="AO158" s="297"/>
      <c r="AP158" s="297"/>
      <c r="AQ158" s="297"/>
      <c r="AR158" s="297"/>
      <c r="AS158" s="297"/>
      <c r="AT158" s="299"/>
      <c r="AU158" s="284" t="s">
        <v>89</v>
      </c>
      <c r="AV158" s="284">
        <f t="shared" si="132"/>
        <v>4.2898375406107293E-3</v>
      </c>
      <c r="AW158" s="297">
        <f t="shared" si="137"/>
        <v>1.4855826390675508E-2</v>
      </c>
      <c r="BC158" s="288"/>
      <c r="BD158" s="284" t="s">
        <v>89</v>
      </c>
      <c r="BE158" s="284">
        <f t="shared" si="133"/>
        <v>1.9211052073189207E-2</v>
      </c>
      <c r="BF158" s="297">
        <f t="shared" si="138"/>
        <v>2.7039050124258779E-2</v>
      </c>
      <c r="BG158" s="297"/>
      <c r="BH158" s="297"/>
      <c r="BI158" s="297"/>
      <c r="BJ158" s="297"/>
      <c r="BK158" s="297"/>
      <c r="BL158" s="288"/>
      <c r="BM158" s="284" t="s">
        <v>89</v>
      </c>
      <c r="BN158" s="284">
        <f t="shared" si="134"/>
        <v>1.5086439883461547E-2</v>
      </c>
      <c r="BO158" s="297">
        <f t="shared" si="139"/>
        <v>1.2898786706651899E-2</v>
      </c>
      <c r="BU158" s="288"/>
      <c r="BV158" s="284" t="s">
        <v>89</v>
      </c>
      <c r="BW158" s="284">
        <f t="shared" si="135"/>
        <v>2.4610636535689637E-2</v>
      </c>
      <c r="BX158" s="297">
        <f t="shared" si="140"/>
        <v>4.1278191938330044E-2</v>
      </c>
      <c r="CD158" s="288"/>
    </row>
    <row r="159" spans="1:82">
      <c r="A159" s="284">
        <f t="shared" si="126"/>
        <v>24</v>
      </c>
      <c r="B159" s="284" t="s">
        <v>90</v>
      </c>
      <c r="C159" s="284">
        <f t="shared" si="127"/>
        <v>2.5595021719896527E-2</v>
      </c>
      <c r="D159" s="297">
        <f t="shared" si="141"/>
        <v>3.4071435957451879E-2</v>
      </c>
      <c r="J159" s="285"/>
      <c r="K159" s="284" t="s">
        <v>90</v>
      </c>
      <c r="L159" s="284">
        <f t="shared" si="128"/>
        <v>2.3320628454559789E-3</v>
      </c>
      <c r="M159" s="297">
        <f t="shared" si="142"/>
        <v>6.8989389357547726E-3</v>
      </c>
      <c r="N159" s="297"/>
      <c r="O159" s="297"/>
      <c r="P159" s="297"/>
      <c r="Q159" s="297"/>
      <c r="R159" s="297"/>
      <c r="S159" s="299"/>
      <c r="T159" s="284" t="s">
        <v>90</v>
      </c>
      <c r="U159" s="284">
        <f t="shared" si="129"/>
        <v>1.4791707816518295E-2</v>
      </c>
      <c r="V159" s="297">
        <f t="shared" si="143"/>
        <v>1.9367876808936701E-2</v>
      </c>
      <c r="W159" s="297"/>
      <c r="X159" s="297"/>
      <c r="Y159" s="297"/>
      <c r="Z159" s="297"/>
      <c r="AA159" s="297"/>
      <c r="AB159" s="299"/>
      <c r="AC159" s="284" t="s">
        <v>90</v>
      </c>
      <c r="AD159" s="284">
        <f t="shared" si="130"/>
        <v>3.3264722801123331E-4</v>
      </c>
      <c r="AE159" s="297">
        <f t="shared" si="144"/>
        <v>4.0557655176090002E-3</v>
      </c>
      <c r="AF159" s="297"/>
      <c r="AG159" s="297"/>
      <c r="AH159" s="297"/>
      <c r="AI159" s="297"/>
      <c r="AJ159" s="297"/>
      <c r="AK159" s="299"/>
      <c r="AL159" s="284" t="s">
        <v>90</v>
      </c>
      <c r="AM159" s="284">
        <f t="shared" si="131"/>
        <v>1.6934578623093017E-2</v>
      </c>
      <c r="AN159" s="297">
        <f t="shared" si="136"/>
        <v>1.9218008507585704E-2</v>
      </c>
      <c r="AO159" s="297"/>
      <c r="AP159" s="297"/>
      <c r="AQ159" s="297"/>
      <c r="AR159" s="297"/>
      <c r="AS159" s="297"/>
      <c r="AT159" s="299"/>
      <c r="AU159" s="284" t="s">
        <v>90</v>
      </c>
      <c r="AV159" s="284">
        <f t="shared" si="132"/>
        <v>4.7658374417406633E-3</v>
      </c>
      <c r="AW159" s="297">
        <f t="shared" si="137"/>
        <v>1.5776319966199992E-2</v>
      </c>
      <c r="BC159" s="288"/>
      <c r="BD159" s="284" t="s">
        <v>90</v>
      </c>
      <c r="BE159" s="284">
        <f t="shared" si="133"/>
        <v>1.95576899349231E-2</v>
      </c>
      <c r="BF159" s="297">
        <f t="shared" si="138"/>
        <v>2.756298051075845E-2</v>
      </c>
      <c r="BG159" s="297"/>
      <c r="BH159" s="297"/>
      <c r="BI159" s="297"/>
      <c r="BJ159" s="297"/>
      <c r="BK159" s="297"/>
      <c r="BL159" s="288"/>
      <c r="BM159" s="284" t="s">
        <v>90</v>
      </c>
      <c r="BN159" s="284">
        <f t="shared" si="134"/>
        <v>1.5036519206715247E-2</v>
      </c>
      <c r="BO159" s="297">
        <f t="shared" si="139"/>
        <v>1.388902098723821E-2</v>
      </c>
      <c r="BU159" s="288"/>
      <c r="BV159" s="284" t="s">
        <v>90</v>
      </c>
      <c r="BW159" s="284">
        <f t="shared" si="135"/>
        <v>2.5343145188714181E-2</v>
      </c>
      <c r="BX159" s="297">
        <f t="shared" si="140"/>
        <v>4.233614072266878E-2</v>
      </c>
      <c r="CD159" s="288"/>
    </row>
    <row r="160" spans="1:82">
      <c r="A160" s="284">
        <f t="shared" si="126"/>
        <v>25</v>
      </c>
      <c r="B160" s="284" t="s">
        <v>91</v>
      </c>
      <c r="C160" s="284">
        <f t="shared" si="127"/>
        <v>2.5954226050374007E-2</v>
      </c>
      <c r="D160" s="297">
        <f t="shared" si="141"/>
        <v>3.4612973832032656E-2</v>
      </c>
      <c r="J160" s="285"/>
      <c r="K160" s="284" t="s">
        <v>91</v>
      </c>
      <c r="L160" s="284">
        <f t="shared" si="128"/>
        <v>2.5089344797042841E-3</v>
      </c>
      <c r="M160" s="297">
        <f t="shared" si="142"/>
        <v>6.7632296179676032E-3</v>
      </c>
      <c r="N160" s="297"/>
      <c r="O160" s="297"/>
      <c r="P160" s="297"/>
      <c r="Q160" s="297"/>
      <c r="R160" s="297"/>
      <c r="S160" s="299"/>
      <c r="T160" s="284" t="s">
        <v>91</v>
      </c>
      <c r="U160" s="284">
        <f t="shared" si="129"/>
        <v>1.4957740153799111E-2</v>
      </c>
      <c r="V160" s="297">
        <f t="shared" si="143"/>
        <v>1.8950675956557195E-2</v>
      </c>
      <c r="W160" s="297"/>
      <c r="X160" s="297"/>
      <c r="Y160" s="297"/>
      <c r="Z160" s="297"/>
      <c r="AA160" s="297"/>
      <c r="AB160" s="299"/>
      <c r="AC160" s="284" t="s">
        <v>91</v>
      </c>
      <c r="AD160" s="284">
        <f t="shared" si="130"/>
        <v>4.6625563503392697E-4</v>
      </c>
      <c r="AE160" s="297">
        <f t="shared" si="144"/>
        <v>3.6782164706996578E-3</v>
      </c>
      <c r="AF160" s="297"/>
      <c r="AG160" s="297"/>
      <c r="AH160" s="297"/>
      <c r="AI160" s="297"/>
      <c r="AJ160" s="297"/>
      <c r="AK160" s="299"/>
      <c r="AL160" s="284" t="s">
        <v>91</v>
      </c>
      <c r="AM160" s="284">
        <f t="shared" si="131"/>
        <v>1.7030898812402082E-2</v>
      </c>
      <c r="AN160" s="297">
        <f t="shared" si="136"/>
        <v>1.9345322269286536E-2</v>
      </c>
      <c r="AO160" s="297"/>
      <c r="AP160" s="297"/>
      <c r="AQ160" s="297"/>
      <c r="AR160" s="297"/>
      <c r="AS160" s="297"/>
      <c r="AT160" s="299"/>
      <c r="AU160" s="284" t="s">
        <v>91</v>
      </c>
      <c r="AV160" s="284">
        <f t="shared" si="132"/>
        <v>5.2394954725431256E-3</v>
      </c>
      <c r="AW160" s="297">
        <f t="shared" si="137"/>
        <v>1.6674517272728506E-2</v>
      </c>
      <c r="BC160" s="288"/>
      <c r="BD160" s="284" t="s">
        <v>91</v>
      </c>
      <c r="BE160" s="284">
        <f t="shared" si="133"/>
        <v>1.9896989342386821E-2</v>
      </c>
      <c r="BF160" s="297">
        <f t="shared" si="138"/>
        <v>2.8074136422941098E-2</v>
      </c>
      <c r="BG160" s="297"/>
      <c r="BH160" s="297"/>
      <c r="BI160" s="297"/>
      <c r="BJ160" s="297"/>
      <c r="BK160" s="297"/>
      <c r="BL160" s="288"/>
      <c r="BM160" s="284" t="s">
        <v>91</v>
      </c>
      <c r="BN160" s="284">
        <f t="shared" si="134"/>
        <v>1.5032691968353294E-2</v>
      </c>
      <c r="BO160" s="297">
        <f t="shared" si="139"/>
        <v>1.494084257676831E-2</v>
      </c>
      <c r="BU160" s="288"/>
      <c r="BV160" s="284" t="s">
        <v>91</v>
      </c>
      <c r="BW160" s="284">
        <f t="shared" si="135"/>
        <v>2.6055041430295064E-2</v>
      </c>
      <c r="BX160" s="297">
        <f t="shared" si="140"/>
        <v>4.328962451775209E-2</v>
      </c>
      <c r="CD160" s="288"/>
    </row>
    <row r="161" spans="1:82">
      <c r="A161" s="284">
        <f t="shared" si="126"/>
        <v>26</v>
      </c>
      <c r="B161" s="284" t="s">
        <v>92</v>
      </c>
      <c r="C161" s="284">
        <f t="shared" si="127"/>
        <v>2.6305414542116351E-2</v>
      </c>
      <c r="D161" s="297">
        <f t="shared" si="141"/>
        <v>3.5124303362146891E-2</v>
      </c>
      <c r="J161" s="285"/>
      <c r="K161" s="284" t="s">
        <v>92</v>
      </c>
      <c r="L161" s="284">
        <f t="shared" si="128"/>
        <v>2.6669898945631057E-3</v>
      </c>
      <c r="M161" s="297">
        <f t="shared" si="142"/>
        <v>6.626484163050339E-3</v>
      </c>
      <c r="N161" s="297"/>
      <c r="O161" s="297"/>
      <c r="P161" s="297"/>
      <c r="Q161" s="297"/>
      <c r="R161" s="297"/>
      <c r="S161" s="299"/>
      <c r="T161" s="284" t="s">
        <v>92</v>
      </c>
      <c r="U161" s="284">
        <f t="shared" si="129"/>
        <v>1.5093610019433589E-2</v>
      </c>
      <c r="V161" s="297">
        <f t="shared" si="143"/>
        <v>1.8496274278003932E-2</v>
      </c>
      <c r="W161" s="297"/>
      <c r="X161" s="297"/>
      <c r="Y161" s="297"/>
      <c r="Z161" s="297"/>
      <c r="AA161" s="297"/>
      <c r="AB161" s="299"/>
      <c r="AC161" s="284" t="s">
        <v>92</v>
      </c>
      <c r="AD161" s="284">
        <f t="shared" si="130"/>
        <v>5.7298796654212808E-4</v>
      </c>
      <c r="AE161" s="297">
        <f t="shared" si="144"/>
        <v>3.2450000210226815E-3</v>
      </c>
      <c r="AF161" s="297"/>
      <c r="AG161" s="297"/>
      <c r="AH161" s="297"/>
      <c r="AI161" s="297"/>
      <c r="AJ161" s="297"/>
      <c r="AK161" s="299"/>
      <c r="AL161" s="284" t="s">
        <v>92</v>
      </c>
      <c r="AM161" s="284">
        <f t="shared" si="131"/>
        <v>1.7124448133994552E-2</v>
      </c>
      <c r="AN161" s="297">
        <f t="shared" si="136"/>
        <v>1.9465979833738212E-2</v>
      </c>
      <c r="AO161" s="297"/>
      <c r="AP161" s="297"/>
      <c r="AQ161" s="297"/>
      <c r="AR161" s="297"/>
      <c r="AS161" s="297"/>
      <c r="AT161" s="299"/>
      <c r="AU161" s="284" t="s">
        <v>92</v>
      </c>
      <c r="AV161" s="284">
        <f t="shared" si="132"/>
        <v>5.7102234079644482E-3</v>
      </c>
      <c r="AW161" s="297">
        <f t="shared" si="137"/>
        <v>1.7550330594520602E-2</v>
      </c>
      <c r="BC161" s="288"/>
      <c r="BD161" s="284" t="s">
        <v>92</v>
      </c>
      <c r="BE161" s="284">
        <f t="shared" si="133"/>
        <v>2.022931755355797E-2</v>
      </c>
      <c r="BF161" s="297">
        <f t="shared" si="138"/>
        <v>2.8572808165615138E-2</v>
      </c>
      <c r="BG161" s="297"/>
      <c r="BH161" s="297"/>
      <c r="BI161" s="297"/>
      <c r="BJ161" s="297"/>
      <c r="BK161" s="297"/>
      <c r="BL161" s="288"/>
      <c r="BM161" s="284" t="s">
        <v>92</v>
      </c>
      <c r="BN161" s="284">
        <f t="shared" si="134"/>
        <v>1.507122616490018E-2</v>
      </c>
      <c r="BO161" s="297">
        <f t="shared" si="139"/>
        <v>1.6035056663254776E-2</v>
      </c>
      <c r="BU161" s="288"/>
      <c r="BV161" s="284" t="s">
        <v>92</v>
      </c>
      <c r="BW161" s="284">
        <f t="shared" si="135"/>
        <v>2.6744893137894507E-2</v>
      </c>
      <c r="BX161" s="297">
        <f t="shared" si="140"/>
        <v>4.4142738244663748E-2</v>
      </c>
      <c r="CD161" s="288"/>
    </row>
    <row r="162" spans="1:82">
      <c r="A162" s="284">
        <f t="shared" si="126"/>
        <v>27</v>
      </c>
      <c r="B162" s="284" t="s">
        <v>93</v>
      </c>
      <c r="C162" s="284">
        <f t="shared" si="127"/>
        <v>2.6648395824196591E-2</v>
      </c>
      <c r="D162" s="297">
        <f t="shared" si="141"/>
        <v>3.5606253399441457E-2</v>
      </c>
      <c r="J162" s="285"/>
      <c r="K162" s="284" t="s">
        <v>93</v>
      </c>
      <c r="L162" s="284">
        <f t="shared" si="128"/>
        <v>2.8084663960157644E-3</v>
      </c>
      <c r="M162" s="297">
        <f t="shared" si="142"/>
        <v>6.4938704683177306E-3</v>
      </c>
      <c r="N162" s="297"/>
      <c r="O162" s="297"/>
      <c r="P162" s="297"/>
      <c r="Q162" s="297"/>
      <c r="R162" s="297"/>
      <c r="S162" s="299"/>
      <c r="T162" s="284" t="s">
        <v>93</v>
      </c>
      <c r="U162" s="284">
        <f t="shared" si="129"/>
        <v>1.5201537267229242E-2</v>
      </c>
      <c r="V162" s="297">
        <f t="shared" si="143"/>
        <v>1.8011677037555796E-2</v>
      </c>
      <c r="W162" s="297"/>
      <c r="X162" s="297"/>
      <c r="Y162" s="297"/>
      <c r="Z162" s="297"/>
      <c r="AA162" s="297"/>
      <c r="AB162" s="299"/>
      <c r="AC162" s="284" t="s">
        <v>93</v>
      </c>
      <c r="AD162" s="284">
        <f t="shared" si="130"/>
        <v>6.5388937233092775E-4</v>
      </c>
      <c r="AE162" s="297">
        <f t="shared" si="144"/>
        <v>2.7596234631821481E-3</v>
      </c>
      <c r="AF162" s="297"/>
      <c r="AG162" s="297"/>
      <c r="AH162" s="297"/>
      <c r="AI162" s="297"/>
      <c r="AJ162" s="297"/>
      <c r="AK162" s="299"/>
      <c r="AL162" s="284" t="s">
        <v>93</v>
      </c>
      <c r="AM162" s="284">
        <f t="shared" si="131"/>
        <v>1.7215297461876809E-2</v>
      </c>
      <c r="AN162" s="297">
        <f t="shared" si="136"/>
        <v>1.9580230347196359E-2</v>
      </c>
      <c r="AO162" s="297"/>
      <c r="AP162" s="297"/>
      <c r="AQ162" s="297"/>
      <c r="AR162" s="297"/>
      <c r="AS162" s="297"/>
      <c r="AT162" s="299"/>
      <c r="AU162" s="284" t="s">
        <v>93</v>
      </c>
      <c r="AV162" s="284">
        <f t="shared" si="132"/>
        <v>6.1775207784891773E-3</v>
      </c>
      <c r="AW162" s="297">
        <f t="shared" si="137"/>
        <v>1.8403759903515393E-2</v>
      </c>
      <c r="BC162" s="288"/>
      <c r="BD162" s="284" t="s">
        <v>93</v>
      </c>
      <c r="BE162" s="284">
        <f t="shared" si="133"/>
        <v>2.0554997741777457E-2</v>
      </c>
      <c r="BF162" s="297">
        <f t="shared" si="138"/>
        <v>2.9059271419703769E-2</v>
      </c>
      <c r="BG162" s="297"/>
      <c r="BH162" s="297"/>
      <c r="BI162" s="297"/>
      <c r="BJ162" s="297"/>
      <c r="BK162" s="297"/>
      <c r="BL162" s="288"/>
      <c r="BM162" s="284" t="s">
        <v>93</v>
      </c>
      <c r="BN162" s="284">
        <f t="shared" si="134"/>
        <v>1.514834180302017E-2</v>
      </c>
      <c r="BO162" s="297">
        <f t="shared" si="139"/>
        <v>1.7155406039373267E-2</v>
      </c>
      <c r="BU162" s="288"/>
      <c r="BV162" s="284" t="s">
        <v>93</v>
      </c>
      <c r="BW162" s="284">
        <f t="shared" si="135"/>
        <v>2.7411650925343159E-2</v>
      </c>
      <c r="BX162" s="297">
        <f t="shared" si="140"/>
        <v>4.4900157066454893E-2</v>
      </c>
      <c r="CD162" s="288"/>
    </row>
    <row r="163" spans="1:82">
      <c r="A163" s="284">
        <f t="shared" si="126"/>
        <v>28</v>
      </c>
      <c r="B163" s="284" t="s">
        <v>94</v>
      </c>
      <c r="C163" s="284">
        <f t="shared" si="127"/>
        <v>2.6983039289839472E-2</v>
      </c>
      <c r="D163" s="297">
        <f t="shared" si="141"/>
        <v>3.6059761613398855E-2</v>
      </c>
      <c r="J163" s="285"/>
      <c r="K163" s="284" t="s">
        <v>94</v>
      </c>
      <c r="L163" s="284">
        <f t="shared" si="128"/>
        <v>2.9354330585399102E-3</v>
      </c>
      <c r="M163" s="297">
        <f t="shared" si="142"/>
        <v>6.3696161156721054E-3</v>
      </c>
      <c r="N163" s="297"/>
      <c r="O163" s="297"/>
      <c r="P163" s="297"/>
      <c r="Q163" s="297"/>
      <c r="R163" s="297"/>
      <c r="S163" s="299"/>
      <c r="T163" s="284" t="s">
        <v>94</v>
      </c>
      <c r="U163" s="284">
        <f t="shared" si="129"/>
        <v>1.5283640460084414E-2</v>
      </c>
      <c r="V163" s="297">
        <f t="shared" si="143"/>
        <v>1.750293834581873E-2</v>
      </c>
      <c r="W163" s="297"/>
      <c r="X163" s="297"/>
      <c r="Y163" s="297"/>
      <c r="Z163" s="297"/>
      <c r="AA163" s="297"/>
      <c r="AB163" s="299"/>
      <c r="AC163" s="284" t="s">
        <v>94</v>
      </c>
      <c r="AD163" s="284">
        <f t="shared" si="130"/>
        <v>7.0997430370111497E-4</v>
      </c>
      <c r="AE163" s="297">
        <f t="shared" si="144"/>
        <v>2.2254562574919312E-3</v>
      </c>
      <c r="AF163" s="297"/>
      <c r="AG163" s="297"/>
      <c r="AH163" s="297"/>
      <c r="AI163" s="297"/>
      <c r="AJ163" s="297"/>
      <c r="AK163" s="299"/>
      <c r="AL163" s="284" t="s">
        <v>94</v>
      </c>
      <c r="AM163" s="284">
        <f t="shared" si="131"/>
        <v>1.7303516198569104E-2</v>
      </c>
      <c r="AN163" s="297">
        <f t="shared" si="136"/>
        <v>1.9688316279439011E-2</v>
      </c>
      <c r="AO163" s="297"/>
      <c r="AP163" s="297"/>
      <c r="AQ163" s="297"/>
      <c r="AR163" s="297"/>
      <c r="AS163" s="297"/>
      <c r="AT163" s="299"/>
      <c r="AU163" s="284" t="s">
        <v>94</v>
      </c>
      <c r="AV163" s="284">
        <f t="shared" si="132"/>
        <v>6.6409615600787541E-3</v>
      </c>
      <c r="AW163" s="297">
        <f t="shared" si="137"/>
        <v>1.9234873075679726E-2</v>
      </c>
      <c r="BC163" s="288"/>
      <c r="BD163" s="284" t="s">
        <v>94</v>
      </c>
      <c r="BE163" s="284">
        <f t="shared" si="133"/>
        <v>2.0874316475954734E-2</v>
      </c>
      <c r="BF163" s="297">
        <f t="shared" si="138"/>
        <v>2.9533791187618341E-2</v>
      </c>
      <c r="BG163" s="297"/>
      <c r="BH163" s="297"/>
      <c r="BI163" s="297"/>
      <c r="BJ163" s="297"/>
      <c r="BK163" s="297"/>
      <c r="BL163" s="288"/>
      <c r="BM163" s="284" t="s">
        <v>94</v>
      </c>
      <c r="BN163" s="284">
        <f t="shared" si="134"/>
        <v>1.5260312726606981E-2</v>
      </c>
      <c r="BO163" s="297">
        <f t="shared" si="139"/>
        <v>1.8288200580323322E-2</v>
      </c>
      <c r="BU163" s="288"/>
      <c r="BV163" s="284" t="s">
        <v>94</v>
      </c>
      <c r="BW163" s="284">
        <f t="shared" si="135"/>
        <v>2.8054593703088757E-2</v>
      </c>
      <c r="BX163" s="297">
        <f t="shared" si="140"/>
        <v>4.5566963734760435E-2</v>
      </c>
      <c r="CD163" s="288"/>
    </row>
    <row r="164" spans="1:82">
      <c r="A164" s="284">
        <f t="shared" si="126"/>
        <v>29</v>
      </c>
      <c r="B164" s="284" t="s">
        <v>95</v>
      </c>
      <c r="C164" s="284">
        <f t="shared" si="127"/>
        <v>2.7309267392548742E-2</v>
      </c>
      <c r="D164" s="297">
        <f t="shared" si="141"/>
        <v>3.6485847996631682E-2</v>
      </c>
      <c r="J164" s="285"/>
      <c r="K164" s="284" t="s">
        <v>95</v>
      </c>
      <c r="L164" s="284">
        <f t="shared" si="128"/>
        <v>3.0497914597036047E-3</v>
      </c>
      <c r="M164" s="297">
        <f t="shared" si="142"/>
        <v>6.2571261934170064E-3</v>
      </c>
      <c r="N164" s="297"/>
      <c r="O164" s="297"/>
      <c r="P164" s="297"/>
      <c r="Q164" s="297"/>
      <c r="R164" s="297"/>
      <c r="S164" s="299"/>
      <c r="T164" s="284" t="s">
        <v>95</v>
      </c>
      <c r="U164" s="284">
        <f t="shared" si="129"/>
        <v>1.5341925439965065E-2</v>
      </c>
      <c r="V164" s="297">
        <f t="shared" si="143"/>
        <v>1.6975264054694073E-2</v>
      </c>
      <c r="W164" s="297"/>
      <c r="X164" s="297"/>
      <c r="Y164" s="297"/>
      <c r="Z164" s="297"/>
      <c r="AA164" s="297"/>
      <c r="AB164" s="299"/>
      <c r="AC164" s="284" t="s">
        <v>95</v>
      </c>
      <c r="AD164" s="284">
        <f t="shared" si="130"/>
        <v>7.4222732786258933E-4</v>
      </c>
      <c r="AE164" s="297">
        <f t="shared" si="144"/>
        <v>1.6457341717659446E-3</v>
      </c>
      <c r="AF164" s="297"/>
      <c r="AG164" s="297"/>
      <c r="AH164" s="297"/>
      <c r="AI164" s="297"/>
      <c r="AJ164" s="297"/>
      <c r="AK164" s="299"/>
      <c r="AL164" s="284" t="s">
        <v>95</v>
      </c>
      <c r="AM164" s="284">
        <f t="shared" si="131"/>
        <v>1.7389172302336574E-2</v>
      </c>
      <c r="AN164" s="297">
        <f t="shared" si="136"/>
        <v>1.9790473569867517E-2</v>
      </c>
      <c r="AO164" s="297"/>
      <c r="AP164" s="297"/>
      <c r="AQ164" s="297"/>
      <c r="AR164" s="297"/>
      <c r="AS164" s="297"/>
      <c r="AT164" s="299"/>
      <c r="AU164" s="284" t="s">
        <v>95</v>
      </c>
      <c r="AV164" s="284">
        <f t="shared" si="132"/>
        <v>7.100183118173134E-3</v>
      </c>
      <c r="AW164" s="297">
        <f t="shared" si="137"/>
        <v>2.0043791232720265E-2</v>
      </c>
      <c r="BC164" s="288"/>
      <c r="BD164" s="284" t="s">
        <v>95</v>
      </c>
      <c r="BE164" s="284">
        <f t="shared" si="133"/>
        <v>2.1187529736389106E-2</v>
      </c>
      <c r="BF164" s="297">
        <f t="shared" si="138"/>
        <v>2.9996624193523669E-2</v>
      </c>
      <c r="BG164" s="297"/>
      <c r="BH164" s="297"/>
      <c r="BI164" s="297"/>
      <c r="BJ164" s="297"/>
      <c r="BK164" s="297"/>
      <c r="BL164" s="288"/>
      <c r="BM164" s="284" t="s">
        <v>95</v>
      </c>
      <c r="BN164" s="284">
        <f t="shared" si="134"/>
        <v>1.5403535621408438E-2</v>
      </c>
      <c r="BO164" s="297">
        <f t="shared" si="139"/>
        <v>1.9421990115453314E-2</v>
      </c>
      <c r="BU164" s="288"/>
      <c r="BV164" s="284" t="s">
        <v>95</v>
      </c>
      <c r="BW164" s="284">
        <f t="shared" si="135"/>
        <v>2.8673280725493605E-2</v>
      </c>
      <c r="BX164" s="297">
        <f t="shared" si="140"/>
        <v>4.6148504526986267E-2</v>
      </c>
      <c r="CD164" s="288"/>
    </row>
    <row r="165" spans="1:82">
      <c r="A165" s="284">
        <f t="shared" si="126"/>
        <v>30</v>
      </c>
      <c r="B165" s="284" t="s">
        <v>96</v>
      </c>
      <c r="C165" s="284">
        <f t="shared" si="127"/>
        <v>2.7627048736543536E-2</v>
      </c>
      <c r="D165" s="297">
        <f t="shared" si="141"/>
        <v>3.6885592129546563E-2</v>
      </c>
      <c r="J165" s="285"/>
      <c r="K165" s="284" t="s">
        <v>96</v>
      </c>
      <c r="L165" s="284">
        <f t="shared" si="128"/>
        <v>3.1532798551531516E-3</v>
      </c>
      <c r="M165" s="297">
        <f t="shared" si="142"/>
        <v>6.159092417626244E-3</v>
      </c>
      <c r="N165" s="297"/>
      <c r="O165" s="297"/>
      <c r="P165" s="297"/>
      <c r="Q165" s="297"/>
      <c r="R165" s="297"/>
      <c r="S165" s="299"/>
      <c r="T165" s="284" t="s">
        <v>96</v>
      </c>
      <c r="U165" s="284">
        <f t="shared" si="129"/>
        <v>1.5378279386420102E-2</v>
      </c>
      <c r="V165" s="297">
        <f t="shared" si="143"/>
        <v>1.6433110236174775E-2</v>
      </c>
      <c r="W165" s="297"/>
      <c r="X165" s="297"/>
      <c r="Y165" s="297"/>
      <c r="Z165" s="297"/>
      <c r="AA165" s="297"/>
      <c r="AB165" s="299"/>
      <c r="AC165" s="284" t="s">
        <v>96</v>
      </c>
      <c r="AD165" s="284">
        <f t="shared" si="130"/>
        <v>7.5160392167882006E-4</v>
      </c>
      <c r="AE165" s="297">
        <f t="shared" si="144"/>
        <v>1.0235633627497798E-3</v>
      </c>
      <c r="AF165" s="297"/>
      <c r="AG165" s="297"/>
      <c r="AH165" s="297"/>
      <c r="AI165" s="297"/>
      <c r="AJ165" s="297"/>
      <c r="AK165" s="299"/>
      <c r="AL165" s="284" t="s">
        <v>96</v>
      </c>
      <c r="AM165" s="284">
        <f t="shared" si="131"/>
        <v>1.7472332313949158E-2</v>
      </c>
      <c r="AN165" s="297">
        <f t="shared" si="136"/>
        <v>1.988693177090739E-2</v>
      </c>
      <c r="AO165" s="297"/>
      <c r="AP165" s="297"/>
      <c r="AQ165" s="297"/>
      <c r="AR165" s="297"/>
      <c r="AS165" s="297"/>
      <c r="AT165" s="299"/>
      <c r="AU165" s="284" t="s">
        <v>96</v>
      </c>
      <c r="AV165" s="284">
        <f t="shared" si="132"/>
        <v>7.5548770065970317E-3</v>
      </c>
      <c r="AW165" s="297">
        <f t="shared" si="137"/>
        <v>2.083067791393356E-2</v>
      </c>
      <c r="BC165" s="288"/>
      <c r="BD165" s="284" t="s">
        <v>96</v>
      </c>
      <c r="BE165" s="284">
        <f t="shared" si="133"/>
        <v>2.1494867776875752E-2</v>
      </c>
      <c r="BF165" s="297">
        <f t="shared" si="138"/>
        <v>3.0448020350585248E-2</v>
      </c>
      <c r="BG165" s="297"/>
      <c r="BH165" s="297"/>
      <c r="BI165" s="297"/>
      <c r="BJ165" s="297"/>
      <c r="BK165" s="297"/>
      <c r="BL165" s="288"/>
      <c r="BM165" s="284" t="s">
        <v>96</v>
      </c>
      <c r="BN165" s="284">
        <f t="shared" si="134"/>
        <v>1.5574575202855429E-2</v>
      </c>
      <c r="BO165" s="297">
        <f t="shared" si="139"/>
        <v>2.0547275467200921E-2</v>
      </c>
      <c r="BU165" s="288"/>
      <c r="BV165" s="284" t="s">
        <v>96</v>
      </c>
      <c r="BW165" s="284">
        <f t="shared" si="135"/>
        <v>2.9267509414802884E-2</v>
      </c>
      <c r="BX165" s="297">
        <f t="shared" si="140"/>
        <v>4.6650269980458736E-2</v>
      </c>
      <c r="CD165" s="288"/>
    </row>
    <row r="166" spans="1:82">
      <c r="A166" s="284">
        <f t="shared" si="126"/>
        <v>31</v>
      </c>
      <c r="B166" s="284" t="s">
        <v>360</v>
      </c>
      <c r="C166" s="284">
        <f t="shared" si="127"/>
        <v>2.7936391888711942E-2</v>
      </c>
      <c r="D166" s="297">
        <f t="shared" si="141"/>
        <v>3.7260113773639025E-2</v>
      </c>
      <c r="J166" s="285"/>
      <c r="K166" s="284" t="s">
        <v>360</v>
      </c>
      <c r="L166" s="284">
        <f t="shared" si="128"/>
        <v>3.2474797154926002E-3</v>
      </c>
      <c r="M166" s="297">
        <f t="shared" si="142"/>
        <v>6.0775925219915816E-3</v>
      </c>
      <c r="N166" s="297"/>
      <c r="O166" s="297"/>
      <c r="P166" s="297"/>
      <c r="Q166" s="297"/>
      <c r="R166" s="297"/>
      <c r="S166" s="299"/>
      <c r="T166" s="284" t="s">
        <v>360</v>
      </c>
      <c r="U166" s="284">
        <f t="shared" si="129"/>
        <v>1.5394468925450664E-2</v>
      </c>
      <c r="V166" s="297">
        <f t="shared" si="143"/>
        <v>1.588027514603918E-2</v>
      </c>
      <c r="W166" s="297"/>
      <c r="X166" s="297"/>
      <c r="Y166" s="297"/>
      <c r="Z166" s="297"/>
      <c r="AA166" s="297"/>
      <c r="AB166" s="299"/>
      <c r="AC166" s="284" t="s">
        <v>360</v>
      </c>
      <c r="AD166" s="284">
        <f t="shared" si="130"/>
        <v>7.3903124527299746E-4</v>
      </c>
      <c r="AE166" s="297">
        <f t="shared" si="144"/>
        <v>3.6192439254523201E-4</v>
      </c>
      <c r="AF166" s="297"/>
      <c r="AG166" s="297"/>
      <c r="AH166" s="297"/>
      <c r="AI166" s="297"/>
      <c r="AJ166" s="297"/>
      <c r="AK166" s="299"/>
      <c r="AL166" s="284" t="s">
        <v>360</v>
      </c>
      <c r="AM166" s="284">
        <f t="shared" si="131"/>
        <v>1.7553061382978213E-2</v>
      </c>
      <c r="AN166" s="297">
        <f t="shared" si="136"/>
        <v>1.9977914188973322E-2</v>
      </c>
      <c r="AO166" s="297"/>
      <c r="AP166" s="297"/>
      <c r="AQ166" s="297"/>
      <c r="AR166" s="297"/>
      <c r="AS166" s="297"/>
      <c r="AT166" s="299"/>
      <c r="AU166" s="284" t="s">
        <v>360</v>
      </c>
      <c r="AV166" s="284">
        <f t="shared" si="132"/>
        <v>8.0047812933497758E-3</v>
      </c>
      <c r="AW166" s="297">
        <f t="shared" si="137"/>
        <v>2.1595731085819025E-2</v>
      </c>
      <c r="BC166" s="288"/>
      <c r="BD166" s="284" t="s">
        <v>360</v>
      </c>
      <c r="BE166" s="284">
        <f t="shared" si="133"/>
        <v>2.1796539075532799E-2</v>
      </c>
      <c r="BF166" s="297">
        <f t="shared" si="138"/>
        <v>3.0888223666654779E-2</v>
      </c>
      <c r="BG166" s="297"/>
      <c r="BH166" s="297"/>
      <c r="BI166" s="297"/>
      <c r="BJ166" s="297"/>
      <c r="BK166" s="297"/>
      <c r="BL166" s="288"/>
      <c r="BM166" s="284" t="s">
        <v>360</v>
      </c>
      <c r="BN166" s="284">
        <f t="shared" si="134"/>
        <v>1.5770192122646846E-2</v>
      </c>
      <c r="BO166" s="297">
        <f t="shared" si="139"/>
        <v>2.1656253184869856E-2</v>
      </c>
      <c r="BU166" s="288"/>
      <c r="BV166" s="284" t="s">
        <v>360</v>
      </c>
      <c r="BW166" s="284">
        <f t="shared" si="135"/>
        <v>2.98372783254503E-2</v>
      </c>
      <c r="BX166" s="297">
        <f t="shared" si="140"/>
        <v>4.7077797061571891E-2</v>
      </c>
      <c r="CD166" s="288"/>
    </row>
    <row r="167" spans="1:82">
      <c r="A167" s="284">
        <f t="shared" si="126"/>
        <v>32</v>
      </c>
      <c r="B167" s="284" t="s">
        <v>361</v>
      </c>
      <c r="C167" s="284">
        <f t="shared" si="127"/>
        <v>2.8237339845232357E-2</v>
      </c>
      <c r="D167" s="297">
        <f t="shared" si="141"/>
        <v>3.7610556404444884E-2</v>
      </c>
      <c r="J167" s="285"/>
      <c r="K167" s="284" t="s">
        <v>361</v>
      </c>
      <c r="L167" s="284">
        <f t="shared" si="128"/>
        <v>3.3338238044721136E-3</v>
      </c>
      <c r="M167" s="297">
        <f t="shared" si="142"/>
        <v>6.0141795969259615E-3</v>
      </c>
      <c r="N167" s="297"/>
      <c r="O167" s="297"/>
      <c r="P167" s="297"/>
      <c r="Q167" s="297"/>
      <c r="R167" s="297"/>
      <c r="S167" s="299"/>
      <c r="T167" s="284" t="s">
        <v>361</v>
      </c>
      <c r="U167" s="284">
        <f t="shared" si="129"/>
        <v>1.5392141174546976E-2</v>
      </c>
      <c r="V167" s="297">
        <f t="shared" si="143"/>
        <v>1.5319983543265137E-2</v>
      </c>
      <c r="W167" s="297"/>
      <c r="X167" s="297"/>
      <c r="Y167" s="297"/>
      <c r="Z167" s="297"/>
      <c r="AA167" s="297"/>
      <c r="AB167" s="299"/>
      <c r="AC167" s="284" t="s">
        <v>361</v>
      </c>
      <c r="AD167" s="284">
        <f t="shared" si="130"/>
        <v>7.0540889598857265E-4</v>
      </c>
      <c r="AE167" s="297">
        <f t="shared" si="144"/>
        <v>-3.363238247701128E-4</v>
      </c>
      <c r="AF167" s="297"/>
      <c r="AG167" s="297"/>
      <c r="AH167" s="297"/>
      <c r="AI167" s="297"/>
      <c r="AJ167" s="297"/>
      <c r="AK167" s="299"/>
      <c r="AL167" s="284" t="s">
        <v>361</v>
      </c>
      <c r="AM167" s="284">
        <f t="shared" si="131"/>
        <v>1.7631423293636577E-2</v>
      </c>
      <c r="AN167" s="297">
        <f t="shared" si="136"/>
        <v>2.0063638022866481E-2</v>
      </c>
      <c r="AO167" s="297"/>
      <c r="AP167" s="297"/>
      <c r="AQ167" s="297"/>
      <c r="AR167" s="297"/>
      <c r="AS167" s="297"/>
      <c r="AT167" s="299"/>
      <c r="AU167" s="284" t="s">
        <v>361</v>
      </c>
      <c r="AV167" s="284">
        <f t="shared" si="132"/>
        <v>8.4496741437818934E-3</v>
      </c>
      <c r="AW167" s="297">
        <f t="shared" si="137"/>
        <v>2.2339177233830165E-2</v>
      </c>
      <c r="BC167" s="288"/>
      <c r="BD167" s="284" t="s">
        <v>361</v>
      </c>
      <c r="BE167" s="284">
        <f t="shared" si="133"/>
        <v>2.2092733563172661E-2</v>
      </c>
      <c r="BF167" s="297">
        <f t="shared" si="138"/>
        <v>3.1317472813635616E-2</v>
      </c>
      <c r="BG167" s="297"/>
      <c r="BH167" s="297"/>
      <c r="BI167" s="297"/>
      <c r="BJ167" s="297"/>
      <c r="BK167" s="297"/>
      <c r="BL167" s="288"/>
      <c r="BM167" s="284" t="s">
        <v>361</v>
      </c>
      <c r="BN167" s="284">
        <f t="shared" si="134"/>
        <v>1.5987358369461243E-2</v>
      </c>
      <c r="BO167" s="297">
        <f t="shared" si="139"/>
        <v>2.2742590107843519E-2</v>
      </c>
      <c r="BU167" s="288"/>
      <c r="BV167" s="284" t="s">
        <v>361</v>
      </c>
      <c r="BW167" s="284">
        <f t="shared" si="135"/>
        <v>3.0382754678937501E-2</v>
      </c>
      <c r="BX167" s="297">
        <f t="shared" si="140"/>
        <v>4.7436589795676554E-2</v>
      </c>
      <c r="CD167" s="288"/>
    </row>
    <row r="168" spans="1:82">
      <c r="A168" s="284">
        <f t="shared" si="126"/>
        <v>33</v>
      </c>
      <c r="B168" s="284" t="s">
        <v>362</v>
      </c>
      <c r="C168" s="284">
        <f t="shared" si="127"/>
        <v>2.8529965091548121E-2</v>
      </c>
      <c r="D168" s="297">
        <f t="shared" si="141"/>
        <v>3.7938073333990685E-2</v>
      </c>
      <c r="J168" s="285"/>
      <c r="K168" s="284" t="s">
        <v>362</v>
      </c>
      <c r="L168" s="284">
        <f t="shared" si="128"/>
        <v>3.4136051799032417E-3</v>
      </c>
      <c r="M168" s="297">
        <f t="shared" si="142"/>
        <v>5.9699615364809944E-3</v>
      </c>
      <c r="N168" s="297"/>
      <c r="O168" s="297"/>
      <c r="P168" s="297"/>
      <c r="Q168" s="297"/>
      <c r="R168" s="297"/>
      <c r="S168" s="299"/>
      <c r="T168" s="284" t="s">
        <v>362</v>
      </c>
      <c r="U168" s="284">
        <f t="shared" si="129"/>
        <v>1.537282686524093E-2</v>
      </c>
      <c r="V168" s="297">
        <f t="shared" si="143"/>
        <v>1.4754962910010994E-2</v>
      </c>
      <c r="W168" s="297"/>
      <c r="X168" s="297"/>
      <c r="Y168" s="297"/>
      <c r="Z168" s="297"/>
      <c r="AA168" s="297"/>
      <c r="AB168" s="299"/>
      <c r="AC168" s="284" t="s">
        <v>362</v>
      </c>
      <c r="AD168" s="284">
        <f t="shared" si="130"/>
        <v>6.5160964319635473E-4</v>
      </c>
      <c r="AE168" s="297">
        <f t="shared" si="144"/>
        <v>-1.0684401495872908E-3</v>
      </c>
      <c r="AF168" s="297"/>
      <c r="AG168" s="297"/>
      <c r="AH168" s="297"/>
      <c r="AI168" s="297"/>
      <c r="AJ168" s="297"/>
      <c r="AK168" s="299"/>
      <c r="AL168" s="284" t="s">
        <v>362</v>
      </c>
      <c r="AM168" s="284">
        <f t="shared" si="131"/>
        <v>1.7707480490171644E-2</v>
      </c>
      <c r="AN168" s="297">
        <f t="shared" si="136"/>
        <v>2.014431449971732E-2</v>
      </c>
      <c r="AO168" s="297"/>
      <c r="AP168" s="297"/>
      <c r="AQ168" s="297"/>
      <c r="AR168" s="297"/>
      <c r="AS168" s="297"/>
      <c r="AT168" s="299"/>
      <c r="AU168" s="284" t="s">
        <v>362</v>
      </c>
      <c r="AV168" s="284">
        <f t="shared" si="132"/>
        <v>8.8893684397943623E-3</v>
      </c>
      <c r="AW168" s="297">
        <f t="shared" si="137"/>
        <v>2.306126696498767E-2</v>
      </c>
      <c r="BC168" s="288"/>
      <c r="BD168" s="284" t="s">
        <v>362</v>
      </c>
      <c r="BE168" s="284">
        <f t="shared" si="133"/>
        <v>2.2383625276351373E-2</v>
      </c>
      <c r="BF168" s="297">
        <f t="shared" si="138"/>
        <v>3.1736001495551669E-2</v>
      </c>
      <c r="BG168" s="297"/>
      <c r="BH168" s="297"/>
      <c r="BI168" s="297"/>
      <c r="BJ168" s="297"/>
      <c r="BK168" s="297"/>
      <c r="BL168" s="288"/>
      <c r="BM168" s="284" t="s">
        <v>362</v>
      </c>
      <c r="BN168" s="284">
        <f t="shared" si="134"/>
        <v>1.6223263672290714E-2</v>
      </c>
      <c r="BO168" s="297">
        <f t="shared" si="139"/>
        <v>2.3801224390150866E-2</v>
      </c>
      <c r="BU168" s="288"/>
      <c r="BV168" s="284" t="s">
        <v>362</v>
      </c>
      <c r="BW168" s="284">
        <f t="shared" si="135"/>
        <v>3.0904245959360574E-2</v>
      </c>
      <c r="BX168" s="297">
        <f t="shared" si="140"/>
        <v>4.773205573448891E-2</v>
      </c>
      <c r="CD168" s="288"/>
    </row>
    <row r="169" spans="1:82">
      <c r="A169" s="284">
        <f t="shared" si="126"/>
        <v>34</v>
      </c>
      <c r="B169" s="284" t="s">
        <v>363</v>
      </c>
      <c r="C169" s="284">
        <f t="shared" si="127"/>
        <v>2.8814365199528763E-2</v>
      </c>
      <c r="D169" s="297">
        <f t="shared" si="141"/>
        <v>3.8243816107599304E-2</v>
      </c>
      <c r="J169" s="285"/>
      <c r="K169" s="284" t="s">
        <v>363</v>
      </c>
      <c r="L169" s="284">
        <f t="shared" si="128"/>
        <v>3.4879866563619355E-3</v>
      </c>
      <c r="M169" s="297">
        <f t="shared" si="142"/>
        <v>5.9456710585308326E-3</v>
      </c>
      <c r="N169" s="297"/>
      <c r="O169" s="297"/>
      <c r="P169" s="297"/>
      <c r="Q169" s="297"/>
      <c r="R169" s="297"/>
      <c r="S169" s="299"/>
      <c r="T169" s="284" t="s">
        <v>363</v>
      </c>
      <c r="U169" s="284">
        <f t="shared" si="129"/>
        <v>1.5337944885599676E-2</v>
      </c>
      <c r="V169" s="297">
        <f t="shared" si="143"/>
        <v>1.418751157472542E-2</v>
      </c>
      <c r="W169" s="297"/>
      <c r="X169" s="297"/>
      <c r="Y169" s="297"/>
      <c r="Z169" s="297"/>
      <c r="AA169" s="297"/>
      <c r="AB169" s="299"/>
      <c r="AC169" s="284" t="s">
        <v>363</v>
      </c>
      <c r="AD169" s="284">
        <f t="shared" si="130"/>
        <v>5.784801444216961E-4</v>
      </c>
      <c r="AE169" s="297">
        <f t="shared" si="144"/>
        <v>-1.8317974196003783E-3</v>
      </c>
      <c r="AF169" s="297"/>
      <c r="AG169" s="297"/>
      <c r="AH169" s="297"/>
      <c r="AI169" s="297"/>
      <c r="AJ169" s="297"/>
      <c r="AK169" s="299"/>
      <c r="AL169" s="284" t="s">
        <v>363</v>
      </c>
      <c r="AM169" s="284">
        <f t="shared" si="131"/>
        <v>1.7781294101816478E-2</v>
      </c>
      <c r="AN169" s="297">
        <f t="shared" si="136"/>
        <v>2.0220149008409738E-2</v>
      </c>
      <c r="AO169" s="297"/>
      <c r="AP169" s="297"/>
      <c r="AQ169" s="297"/>
      <c r="AR169" s="297"/>
      <c r="AS169" s="297"/>
      <c r="AT169" s="299"/>
      <c r="AU169" s="284" t="s">
        <v>363</v>
      </c>
      <c r="AV169" s="284">
        <f t="shared" si="132"/>
        <v>9.3237072532697373E-3</v>
      </c>
      <c r="AW169" s="297">
        <f t="shared" si="137"/>
        <v>2.3762271692429504E-2</v>
      </c>
      <c r="BC169" s="288"/>
      <c r="BD169" s="284" t="s">
        <v>363</v>
      </c>
      <c r="BE169" s="284">
        <f t="shared" si="133"/>
        <v>2.2669374549989674E-2</v>
      </c>
      <c r="BF169" s="297">
        <f t="shared" si="138"/>
        <v>3.214403869659499E-2</v>
      </c>
      <c r="BG169" s="297"/>
      <c r="BH169" s="297"/>
      <c r="BI169" s="297"/>
      <c r="BJ169" s="297"/>
      <c r="BK169" s="297"/>
      <c r="BL169" s="288"/>
      <c r="BM169" s="284" t="s">
        <v>363</v>
      </c>
      <c r="BN169" s="284">
        <f t="shared" si="134"/>
        <v>1.6475315494893238E-2</v>
      </c>
      <c r="BO169" s="297">
        <f t="shared" si="139"/>
        <v>2.4828190030546482E-2</v>
      </c>
      <c r="BU169" s="288"/>
      <c r="BV169" s="284" t="s">
        <v>363</v>
      </c>
      <c r="BW169" s="284">
        <f t="shared" si="135"/>
        <v>3.1402175113422276E-2</v>
      </c>
      <c r="BX169" s="297">
        <f t="shared" si="140"/>
        <v>4.7969455952094009E-2</v>
      </c>
      <c r="CD169" s="288"/>
    </row>
    <row r="170" spans="1:82">
      <c r="A170" s="284">
        <f t="shared" si="126"/>
        <v>35</v>
      </c>
      <c r="B170" s="284" t="s">
        <v>364</v>
      </c>
      <c r="C170" s="284">
        <f t="shared" si="127"/>
        <v>2.9090658910429085E-2</v>
      </c>
      <c r="D170" s="297">
        <f t="shared" si="141"/>
        <v>3.852892489221893E-2</v>
      </c>
      <c r="J170" s="285"/>
      <c r="K170" s="284" t="s">
        <v>364</v>
      </c>
      <c r="L170" s="284">
        <f t="shared" si="128"/>
        <v>3.5580103912550391E-3</v>
      </c>
      <c r="M170" s="297">
        <f t="shared" si="142"/>
        <v>5.941726947196635E-3</v>
      </c>
      <c r="N170" s="297"/>
      <c r="O170" s="297"/>
      <c r="P170" s="297"/>
      <c r="Q170" s="297"/>
      <c r="R170" s="297"/>
      <c r="S170" s="299"/>
      <c r="T170" s="284" t="s">
        <v>364</v>
      </c>
      <c r="U170" s="284">
        <f t="shared" si="129"/>
        <v>1.5288807742873844E-2</v>
      </c>
      <c r="V170" s="297">
        <f t="shared" si="143"/>
        <v>1.3619559038576812E-2</v>
      </c>
      <c r="W170" s="297"/>
      <c r="X170" s="297"/>
      <c r="Y170" s="297"/>
      <c r="Z170" s="297"/>
      <c r="AA170" s="297"/>
      <c r="AB170" s="299"/>
      <c r="AC170" s="284" t="s">
        <v>364</v>
      </c>
      <c r="AD170" s="284">
        <f t="shared" si="130"/>
        <v>4.8684164325708823E-4</v>
      </c>
      <c r="AE170" s="297">
        <f t="shared" si="144"/>
        <v>-2.6238787313939138E-3</v>
      </c>
      <c r="AF170" s="297"/>
      <c r="AG170" s="297"/>
      <c r="AH170" s="297"/>
      <c r="AI170" s="297"/>
      <c r="AJ170" s="297"/>
      <c r="AK170" s="299"/>
      <c r="AL170" s="284" t="s">
        <v>364</v>
      </c>
      <c r="AM170" s="284">
        <f t="shared" si="131"/>
        <v>1.7852923967308025E-2</v>
      </c>
      <c r="AN170" s="297">
        <f t="shared" si="136"/>
        <v>2.0291341230600057E-2</v>
      </c>
      <c r="AO170" s="297"/>
      <c r="AP170" s="297"/>
      <c r="AQ170" s="297"/>
      <c r="AR170" s="297"/>
      <c r="AS170" s="297"/>
      <c r="AT170" s="299"/>
      <c r="AU170" s="284" t="s">
        <v>364</v>
      </c>
      <c r="AV170" s="284">
        <f t="shared" si="132"/>
        <v>9.7525600244700826E-3</v>
      </c>
      <c r="AW170" s="297">
        <f t="shared" si="137"/>
        <v>2.4442481083307932E-2</v>
      </c>
      <c r="BC170" s="288"/>
      <c r="BD170" s="284" t="s">
        <v>364</v>
      </c>
      <c r="BE170" s="284">
        <f t="shared" si="133"/>
        <v>2.2950129839580752E-2</v>
      </c>
      <c r="BF170" s="297">
        <f t="shared" si="138"/>
        <v>3.2541808857692756E-2</v>
      </c>
      <c r="BG170" s="297"/>
      <c r="BH170" s="297"/>
      <c r="BI170" s="297"/>
      <c r="BJ170" s="297"/>
      <c r="BK170" s="297"/>
      <c r="BL170" s="288"/>
      <c r="BM170" s="284" t="s">
        <v>364</v>
      </c>
      <c r="BN170" s="284">
        <f t="shared" si="134"/>
        <v>1.6741134536448991E-2</v>
      </c>
      <c r="BO170" s="297">
        <f t="shared" si="139"/>
        <v>2.5820462300105929E-2</v>
      </c>
      <c r="BU170" s="288"/>
      <c r="BV170" s="284" t="s">
        <v>364</v>
      </c>
      <c r="BW170" s="284">
        <f t="shared" si="135"/>
        <v>3.1877058947066259E-2</v>
      </c>
      <c r="BX170" s="297">
        <f t="shared" si="140"/>
        <v>4.8153866544112356E-2</v>
      </c>
      <c r="CD170" s="288"/>
    </row>
    <row r="171" spans="1:82">
      <c r="A171" s="284">
        <f t="shared" si="126"/>
        <v>36</v>
      </c>
      <c r="B171" s="284" t="s">
        <v>365</v>
      </c>
      <c r="C171" s="284">
        <f t="shared" si="127"/>
        <v>2.9358982656684657E-2</v>
      </c>
      <c r="D171" s="297">
        <f t="shared" si="141"/>
        <v>3.8794520603487204E-2</v>
      </c>
      <c r="J171" s="285"/>
      <c r="K171" s="284" t="s">
        <v>365</v>
      </c>
      <c r="L171" s="284">
        <f t="shared" si="128"/>
        <v>3.6246073505810904E-3</v>
      </c>
      <c r="M171" s="297">
        <f t="shared" si="142"/>
        <v>5.9582872634138528E-3</v>
      </c>
      <c r="N171" s="297"/>
      <c r="O171" s="297"/>
      <c r="P171" s="297"/>
      <c r="Q171" s="297"/>
      <c r="R171" s="297"/>
      <c r="S171" s="299"/>
      <c r="T171" s="284" t="s">
        <v>365</v>
      </c>
      <c r="U171" s="284">
        <f t="shared" si="129"/>
        <v>1.5226627569960814E-2</v>
      </c>
      <c r="V171" s="297">
        <f t="shared" si="143"/>
        <v>1.3052718989249312E-2</v>
      </c>
      <c r="W171" s="297"/>
      <c r="X171" s="297"/>
      <c r="Y171" s="297"/>
      <c r="Z171" s="297"/>
      <c r="AA171" s="297"/>
      <c r="AB171" s="299"/>
      <c r="AC171" s="284" t="s">
        <v>365</v>
      </c>
      <c r="AD171" s="284">
        <f t="shared" si="130"/>
        <v>3.7749064951052291E-4</v>
      </c>
      <c r="AE171" s="297">
        <f t="shared" si="144"/>
        <v>-3.4422738029044053E-3</v>
      </c>
      <c r="AF171" s="297"/>
      <c r="AG171" s="297"/>
      <c r="AH171" s="297"/>
      <c r="AI171" s="297"/>
      <c r="AJ171" s="297"/>
      <c r="AK171" s="299"/>
      <c r="AL171" s="284" t="s">
        <v>365</v>
      </c>
      <c r="AM171" s="284">
        <f t="shared" si="131"/>
        <v>1.7922428658979361E-2</v>
      </c>
      <c r="AN171" s="297">
        <f t="shared" si="136"/>
        <v>2.0358085269398751E-2</v>
      </c>
      <c r="AO171" s="297"/>
      <c r="AP171" s="297"/>
      <c r="AQ171" s="297"/>
      <c r="AR171" s="297"/>
      <c r="AS171" s="297"/>
      <c r="AT171" s="299"/>
      <c r="AU171" s="284" t="s">
        <v>365</v>
      </c>
      <c r="AV171" s="284">
        <f t="shared" si="132"/>
        <v>1.0175819322860479E-2</v>
      </c>
      <c r="AW171" s="297">
        <f t="shared" si="137"/>
        <v>2.5102201035579697E-2</v>
      </c>
      <c r="BC171" s="288"/>
      <c r="BD171" s="284" t="s">
        <v>365</v>
      </c>
      <c r="BE171" s="284">
        <f t="shared" si="133"/>
        <v>2.3226029243798157E-2</v>
      </c>
      <c r="BF171" s="297">
        <f t="shared" si="138"/>
        <v>3.2929532010372853E-2</v>
      </c>
      <c r="BG171" s="297"/>
      <c r="BH171" s="297"/>
      <c r="BI171" s="297"/>
      <c r="BJ171" s="297"/>
      <c r="BK171" s="297"/>
      <c r="BL171" s="288"/>
      <c r="BM171" s="284" t="s">
        <v>365</v>
      </c>
      <c r="BN171" s="284">
        <f t="shared" si="134"/>
        <v>1.7018547157156866E-2</v>
      </c>
      <c r="BO171" s="297">
        <f t="shared" si="139"/>
        <v>2.6775821755935958E-2</v>
      </c>
      <c r="BU171" s="288"/>
      <c r="BV171" s="284" t="s">
        <v>365</v>
      </c>
      <c r="BW171" s="284">
        <f t="shared" si="135"/>
        <v>3.2329489354240279E-2</v>
      </c>
      <c r="BX171" s="297">
        <f t="shared" si="140"/>
        <v>4.8290149857450393E-2</v>
      </c>
      <c r="CD171" s="288"/>
    </row>
    <row r="172" spans="1:82">
      <c r="A172" s="284">
        <f t="shared" si="126"/>
        <v>37</v>
      </c>
      <c r="B172" s="284" t="s">
        <v>366</v>
      </c>
      <c r="C172" s="284">
        <f t="shared" si="127"/>
        <v>2.9619487479675799E-2</v>
      </c>
      <c r="D172" s="297">
        <f t="shared" si="141"/>
        <v>3.9041698545285275E-2</v>
      </c>
      <c r="J172" s="285"/>
      <c r="K172" s="284" t="s">
        <v>366</v>
      </c>
      <c r="L172" s="284">
        <f t="shared" si="128"/>
        <v>3.6886064835833926E-3</v>
      </c>
      <c r="M172" s="297">
        <f t="shared" si="142"/>
        <v>5.9952953052302416E-3</v>
      </c>
      <c r="N172" s="297"/>
      <c r="O172" s="297"/>
      <c r="P172" s="297"/>
      <c r="Q172" s="297"/>
      <c r="R172" s="297"/>
      <c r="S172" s="299"/>
      <c r="T172" s="284" t="s">
        <v>366</v>
      </c>
      <c r="U172" s="284">
        <f t="shared" si="129"/>
        <v>1.5152522395579342E-2</v>
      </c>
      <c r="V172" s="297">
        <f t="shared" si="143"/>
        <v>1.2488335587576227E-2</v>
      </c>
      <c r="W172" s="297"/>
      <c r="X172" s="297"/>
      <c r="Y172" s="297"/>
      <c r="Z172" s="297"/>
      <c r="AA172" s="297"/>
      <c r="AB172" s="299"/>
      <c r="AC172" s="284" t="s">
        <v>366</v>
      </c>
      <c r="AD172" s="284">
        <f t="shared" si="130"/>
        <v>2.5119960203471431E-4</v>
      </c>
      <c r="AE172" s="297">
        <f t="shared" si="144"/>
        <v>-4.2846754182109814E-3</v>
      </c>
      <c r="AF172" s="297"/>
      <c r="AG172" s="297"/>
      <c r="AH172" s="297"/>
      <c r="AI172" s="297"/>
      <c r="AJ172" s="297"/>
      <c r="AK172" s="299"/>
      <c r="AL172" s="284" t="s">
        <v>366</v>
      </c>
      <c r="AM172" s="284">
        <f t="shared" si="131"/>
        <v>1.7989865506432227E-2</v>
      </c>
      <c r="AN172" s="297">
        <f t="shared" si="136"/>
        <v>2.0420569775444486E-2</v>
      </c>
      <c r="AO172" s="297"/>
      <c r="AP172" s="297"/>
      <c r="AQ172" s="297"/>
      <c r="AR172" s="297"/>
      <c r="AS172" s="297"/>
      <c r="AT172" s="299"/>
      <c r="AU172" s="284" t="s">
        <v>366</v>
      </c>
      <c r="AV172" s="284">
        <f t="shared" si="132"/>
        <v>1.0593398089765695E-2</v>
      </c>
      <c r="AW172" s="297">
        <f t="shared" si="137"/>
        <v>2.5741752013888286E-2</v>
      </c>
      <c r="BC172" s="288"/>
      <c r="BD172" s="284" t="s">
        <v>366</v>
      </c>
      <c r="BE172" s="284">
        <f t="shared" si="133"/>
        <v>2.3497201783470381E-2</v>
      </c>
      <c r="BF172" s="297">
        <f t="shared" si="138"/>
        <v>3.3307423885034604E-2</v>
      </c>
      <c r="BG172" s="297"/>
      <c r="BH172" s="297"/>
      <c r="BI172" s="297"/>
      <c r="BJ172" s="297"/>
      <c r="BK172" s="297"/>
      <c r="BL172" s="288"/>
      <c r="BM172" s="284" t="s">
        <v>366</v>
      </c>
      <c r="BN172" s="284">
        <f t="shared" si="134"/>
        <v>1.7305575779462484E-2</v>
      </c>
      <c r="BO172" s="297">
        <f t="shared" si="139"/>
        <v>2.7692734785277562E-2</v>
      </c>
      <c r="BU172" s="288"/>
      <c r="BV172" s="284" t="s">
        <v>366</v>
      </c>
      <c r="BW172" s="284">
        <f t="shared" si="135"/>
        <v>3.2760117052231266E-2</v>
      </c>
      <c r="BX172" s="297">
        <f t="shared" si="140"/>
        <v>4.8382933904512315E-2</v>
      </c>
      <c r="CD172" s="288"/>
    </row>
    <row r="173" spans="1:82">
      <c r="A173" s="284">
        <f t="shared" si="126"/>
        <v>38</v>
      </c>
      <c r="B173" s="284" t="s">
        <v>367</v>
      </c>
      <c r="C173" s="284">
        <f t="shared" si="127"/>
        <v>2.9872336304373942E-2</v>
      </c>
      <c r="D173" s="297">
        <f t="shared" si="141"/>
        <v>3.9271523360506322E-2</v>
      </c>
      <c r="J173" s="285"/>
      <c r="K173" s="284" t="s">
        <v>367</v>
      </c>
      <c r="L173" s="284">
        <f t="shared" si="128"/>
        <v>3.7507434911464334E-3</v>
      </c>
      <c r="M173" s="297">
        <f t="shared" si="142"/>
        <v>6.0525190943809815E-3</v>
      </c>
      <c r="N173" s="297"/>
      <c r="O173" s="297"/>
      <c r="P173" s="297"/>
      <c r="Q173" s="297"/>
      <c r="R173" s="297"/>
      <c r="S173" s="299"/>
      <c r="T173" s="284" t="s">
        <v>367</v>
      </c>
      <c r="U173" s="284">
        <f t="shared" si="129"/>
        <v>1.5067522472762464E-2</v>
      </c>
      <c r="V173" s="297">
        <f t="shared" si="143"/>
        <v>1.1927523657351946E-2</v>
      </c>
      <c r="W173" s="297"/>
      <c r="X173" s="297"/>
      <c r="Y173" s="297"/>
      <c r="Z173" s="297"/>
      <c r="AA173" s="297"/>
      <c r="AB173" s="299"/>
      <c r="AC173" s="284" t="s">
        <v>367</v>
      </c>
      <c r="AD173" s="284">
        <f t="shared" si="130"/>
        <v>1.0871751466329238E-4</v>
      </c>
      <c r="AE173" s="297">
        <f t="shared" si="144"/>
        <v>-5.1488759560572861E-3</v>
      </c>
      <c r="AF173" s="297"/>
      <c r="AG173" s="297"/>
      <c r="AH173" s="297"/>
      <c r="AI173" s="297"/>
      <c r="AJ173" s="297"/>
      <c r="AK173" s="299"/>
      <c r="AL173" s="284" t="s">
        <v>367</v>
      </c>
      <c r="AM173" s="284">
        <f t="shared" si="131"/>
        <v>1.8055290619797763E-2</v>
      </c>
      <c r="AN173" s="297">
        <f t="shared" si="136"/>
        <v>2.0478978070883391E-2</v>
      </c>
      <c r="AO173" s="297"/>
      <c r="AP173" s="297"/>
      <c r="AQ173" s="297"/>
      <c r="AR173" s="297"/>
      <c r="AS173" s="297"/>
      <c r="AT173" s="299"/>
      <c r="AU173" s="284" t="s">
        <v>367</v>
      </c>
      <c r="AV173" s="284">
        <f t="shared" si="132"/>
        <v>1.1005227280289095E-2</v>
      </c>
      <c r="AW173" s="297">
        <f t="shared" si="137"/>
        <v>2.6361467623082113E-2</v>
      </c>
      <c r="BC173" s="288"/>
      <c r="BD173" s="284" t="s">
        <v>367</v>
      </c>
      <c r="BE173" s="284">
        <f t="shared" si="133"/>
        <v>2.3763768481374778E-2</v>
      </c>
      <c r="BF173" s="297">
        <f t="shared" si="138"/>
        <v>3.3675696004065392E-2</v>
      </c>
      <c r="BG173" s="297"/>
      <c r="BH173" s="297"/>
      <c r="BI173" s="297"/>
      <c r="BJ173" s="297"/>
      <c r="BK173" s="297"/>
      <c r="BL173" s="288"/>
      <c r="BM173" s="284" t="s">
        <v>367</v>
      </c>
      <c r="BN173" s="284">
        <f t="shared" si="134"/>
        <v>1.76004280413199E-2</v>
      </c>
      <c r="BO173" s="297">
        <f t="shared" si="139"/>
        <v>2.8570248848221347E-2</v>
      </c>
      <c r="BU173" s="288"/>
      <c r="BV173" s="284" t="s">
        <v>367</v>
      </c>
      <c r="BW173" s="284">
        <f t="shared" si="135"/>
        <v>3.3169637532954613E-2</v>
      </c>
      <c r="BX173" s="297">
        <f t="shared" si="140"/>
        <v>4.8436598617415116E-2</v>
      </c>
      <c r="CD173" s="288"/>
    </row>
    <row r="174" spans="1:82">
      <c r="A174" s="284">
        <f t="shared" si="126"/>
        <v>39</v>
      </c>
      <c r="B174" s="284" t="s">
        <v>368</v>
      </c>
      <c r="C174" s="284">
        <f t="shared" si="127"/>
        <v>3.0117701535267216E-2</v>
      </c>
      <c r="D174" s="297">
        <f t="shared" si="141"/>
        <v>3.948502511387475E-2</v>
      </c>
      <c r="J174" s="285"/>
      <c r="K174" s="284" t="s">
        <v>368</v>
      </c>
      <c r="L174" s="284">
        <f t="shared" si="128"/>
        <v>3.811669114940925E-3</v>
      </c>
      <c r="M174" s="297">
        <f t="shared" si="142"/>
        <v>6.1295851349567609E-3</v>
      </c>
      <c r="N174" s="297"/>
      <c r="O174" s="297"/>
      <c r="P174" s="297"/>
      <c r="Q174" s="297"/>
      <c r="R174" s="297"/>
      <c r="S174" s="299"/>
      <c r="T174" s="284" t="s">
        <v>368</v>
      </c>
      <c r="U174" s="284">
        <f t="shared" si="129"/>
        <v>1.4972576518006622E-2</v>
      </c>
      <c r="V174" s="297">
        <f t="shared" si="143"/>
        <v>1.1371203414331621E-2</v>
      </c>
      <c r="W174" s="297"/>
      <c r="X174" s="297"/>
      <c r="Y174" s="297"/>
      <c r="Z174" s="297"/>
      <c r="AA174" s="297"/>
      <c r="AB174" s="299"/>
      <c r="AC174" s="284" t="s">
        <v>368</v>
      </c>
      <c r="AD174" s="284">
        <f t="shared" si="130"/>
        <v>-4.9229394321240183E-5</v>
      </c>
      <c r="AE174" s="297">
        <f t="shared" si="144"/>
        <v>-6.0327640025434892E-3</v>
      </c>
      <c r="AF174" s="297"/>
      <c r="AG174" s="297"/>
      <c r="AH174" s="297"/>
      <c r="AI174" s="297"/>
      <c r="AJ174" s="297"/>
      <c r="AK174" s="299"/>
      <c r="AL174" s="284" t="s">
        <v>368</v>
      </c>
      <c r="AM174" s="284">
        <f t="shared" si="131"/>
        <v>1.8118758912591963E-2</v>
      </c>
      <c r="AN174" s="297">
        <f t="shared" si="136"/>
        <v>2.0533488270852773E-2</v>
      </c>
      <c r="AO174" s="297"/>
      <c r="AP174" s="297"/>
      <c r="AQ174" s="297"/>
      <c r="AR174" s="297"/>
      <c r="AS174" s="297"/>
      <c r="AT174" s="299"/>
      <c r="AU174" s="284" t="s">
        <v>368</v>
      </c>
      <c r="AV174" s="284">
        <f t="shared" si="132"/>
        <v>1.1411253836712907E-2</v>
      </c>
      <c r="AW174" s="297">
        <f t="shared" si="137"/>
        <v>2.6961693334800474E-2</v>
      </c>
      <c r="BC174" s="288"/>
      <c r="BD174" s="284" t="s">
        <v>368</v>
      </c>
      <c r="BE174" s="284">
        <f t="shared" si="133"/>
        <v>2.4025843278339822E-2</v>
      </c>
      <c r="BF174" s="297">
        <f t="shared" si="138"/>
        <v>3.4034555765315222E-2</v>
      </c>
      <c r="BG174" s="297"/>
      <c r="BH174" s="297"/>
      <c r="BI174" s="297"/>
      <c r="BJ174" s="297"/>
      <c r="BK174" s="297"/>
      <c r="BL174" s="288"/>
      <c r="BM174" s="284" t="s">
        <v>368</v>
      </c>
      <c r="BN174" s="284">
        <f t="shared" si="134"/>
        <v>1.7901485272627235E-2</v>
      </c>
      <c r="BO174" s="297">
        <f t="shared" si="139"/>
        <v>2.9407900782244312E-2</v>
      </c>
      <c r="BU174" s="288"/>
      <c r="BV174" s="284" t="s">
        <v>368</v>
      </c>
      <c r="BW174" s="284">
        <f t="shared" si="135"/>
        <v>3.3558778970925698E-2</v>
      </c>
      <c r="BX174" s="297">
        <f t="shared" si="140"/>
        <v>4.8455267776849054E-2</v>
      </c>
      <c r="CD174" s="288"/>
    </row>
    <row r="175" spans="1:82">
      <c r="A175" s="284">
        <f t="shared" si="126"/>
        <v>40</v>
      </c>
      <c r="B175" s="284" t="s">
        <v>369</v>
      </c>
      <c r="C175" s="284">
        <f t="shared" si="127"/>
        <v>3.0355762941171038E-2</v>
      </c>
      <c r="D175" s="297">
        <f t="shared" si="141"/>
        <v>3.9683196348053507E-2</v>
      </c>
      <c r="J175" s="285"/>
      <c r="K175" s="284" t="s">
        <v>369</v>
      </c>
      <c r="L175" s="284">
        <f t="shared" si="128"/>
        <v>3.8719569059288347E-3</v>
      </c>
      <c r="M175" s="297">
        <f t="shared" si="142"/>
        <v>6.2260071409609985E-3</v>
      </c>
      <c r="N175" s="297"/>
      <c r="O175" s="297"/>
      <c r="P175" s="297"/>
      <c r="Q175" s="297"/>
      <c r="R175" s="297"/>
      <c r="S175" s="299"/>
      <c r="T175" s="284" t="s">
        <v>369</v>
      </c>
      <c r="U175" s="284">
        <f t="shared" si="129"/>
        <v>1.4868557757765116E-2</v>
      </c>
      <c r="V175" s="297">
        <f t="shared" si="143"/>
        <v>1.0820130351116175E-2</v>
      </c>
      <c r="W175" s="297"/>
      <c r="X175" s="297"/>
      <c r="Y175" s="297"/>
      <c r="Z175" s="297"/>
      <c r="AA175" s="297"/>
      <c r="AB175" s="299"/>
      <c r="AC175" s="284" t="s">
        <v>369</v>
      </c>
      <c r="AD175" s="284">
        <f t="shared" si="130"/>
        <v>-2.2193708878127938E-4</v>
      </c>
      <c r="AE175" s="297">
        <f t="shared" si="144"/>
        <v>-6.9343210488470586E-3</v>
      </c>
      <c r="AF175" s="297"/>
      <c r="AG175" s="297"/>
      <c r="AH175" s="297"/>
      <c r="AI175" s="297"/>
      <c r="AJ175" s="297"/>
      <c r="AK175" s="299"/>
      <c r="AL175" s="284" t="s">
        <v>369</v>
      </c>
      <c r="AM175" s="284">
        <f t="shared" si="131"/>
        <v>1.8180324124172333E-2</v>
      </c>
      <c r="AN175" s="297">
        <f t="shared" si="136"/>
        <v>2.0584273402647568E-2</v>
      </c>
      <c r="AO175" s="297"/>
      <c r="AP175" s="297"/>
      <c r="AQ175" s="297"/>
      <c r="AR175" s="297"/>
      <c r="AS175" s="297"/>
      <c r="AT175" s="299"/>
      <c r="AU175" s="284" t="s">
        <v>369</v>
      </c>
      <c r="AV175" s="284">
        <f t="shared" si="132"/>
        <v>1.1811438937733889E-2</v>
      </c>
      <c r="AW175" s="297">
        <f t="shared" si="137"/>
        <v>2.7542785309718099E-2</v>
      </c>
      <c r="BC175" s="288"/>
      <c r="BD175" s="284" t="s">
        <v>369</v>
      </c>
      <c r="BE175" s="284">
        <f t="shared" si="133"/>
        <v>2.4283533814136733E-2</v>
      </c>
      <c r="BF175" s="297">
        <f t="shared" si="138"/>
        <v>3.4384206519852967E-2</v>
      </c>
      <c r="BG175" s="297"/>
      <c r="BH175" s="297"/>
      <c r="BI175" s="297"/>
      <c r="BJ175" s="297"/>
      <c r="BK175" s="297"/>
      <c r="BL175" s="288"/>
      <c r="BM175" s="284" t="s">
        <v>369</v>
      </c>
      <c r="BN175" s="284">
        <f t="shared" si="134"/>
        <v>1.82072907118878E-2</v>
      </c>
      <c r="BO175" s="297">
        <f t="shared" si="139"/>
        <v>3.0205636706256422E-2</v>
      </c>
      <c r="BU175" s="288"/>
      <c r="BV175" s="284" t="s">
        <v>369</v>
      </c>
      <c r="BW175" s="284">
        <f t="shared" si="135"/>
        <v>3.3928291856750711E-2</v>
      </c>
      <c r="BX175" s="297">
        <f t="shared" si="140"/>
        <v>4.8442805608644779E-2</v>
      </c>
      <c r="CD175" s="288"/>
    </row>
    <row r="176" spans="1:82">
      <c r="A176" s="284">
        <f t="shared" si="126"/>
        <v>41</v>
      </c>
      <c r="B176" s="284" t="s">
        <v>370</v>
      </c>
      <c r="C176" s="284">
        <f t="shared" si="127"/>
        <v>3.0586705799480002E-2</v>
      </c>
      <c r="D176" s="297">
        <f t="shared" si="141"/>
        <v>3.9866989972269229E-2</v>
      </c>
      <c r="J176" s="285"/>
      <c r="K176" s="284" t="s">
        <v>370</v>
      </c>
      <c r="L176" s="284">
        <f t="shared" si="128"/>
        <v>3.932110454231471E-3</v>
      </c>
      <c r="M176" s="297">
        <f t="shared" si="142"/>
        <v>6.3412103742623849E-3</v>
      </c>
      <c r="N176" s="297"/>
      <c r="O176" s="297"/>
      <c r="P176" s="297"/>
      <c r="Q176" s="297"/>
      <c r="R176" s="297"/>
      <c r="S176" s="299"/>
      <c r="T176" s="284" t="s">
        <v>370</v>
      </c>
      <c r="U176" s="284">
        <f t="shared" si="129"/>
        <v>1.4756269712815802E-2</v>
      </c>
      <c r="V176" s="297">
        <f t="shared" si="143"/>
        <v>1.0274920858326375E-2</v>
      </c>
      <c r="W176" s="297"/>
      <c r="X176" s="297"/>
      <c r="Y176" s="297"/>
      <c r="Z176" s="297"/>
      <c r="AA176" s="297"/>
      <c r="AB176" s="299"/>
      <c r="AC176" s="284" t="s">
        <v>370</v>
      </c>
      <c r="AD176" s="284">
        <f t="shared" si="130"/>
        <v>-4.0872311698013364E-4</v>
      </c>
      <c r="AE176" s="297">
        <f t="shared" si="144"/>
        <v>-7.8516182740117069E-3</v>
      </c>
      <c r="AF176" s="297"/>
      <c r="AG176" s="297"/>
      <c r="AH176" s="297"/>
      <c r="AI176" s="297"/>
      <c r="AJ176" s="297"/>
      <c r="AK176" s="299"/>
      <c r="AL176" s="284" t="s">
        <v>370</v>
      </c>
      <c r="AM176" s="284">
        <f t="shared" si="131"/>
        <v>1.8240038841803047E-2</v>
      </c>
      <c r="AN176" s="297">
        <f t="shared" si="136"/>
        <v>2.0631501522765605E-2</v>
      </c>
      <c r="AO176" s="297"/>
      <c r="AP176" s="297"/>
      <c r="AQ176" s="297"/>
      <c r="AR176" s="297"/>
      <c r="AS176" s="297"/>
      <c r="AT176" s="299"/>
      <c r="AU176" s="284" t="s">
        <v>370</v>
      </c>
      <c r="AV176" s="284">
        <f t="shared" si="132"/>
        <v>1.2205756477840118E-2</v>
      </c>
      <c r="AW176" s="297">
        <f t="shared" si="137"/>
        <v>2.810510927755705E-2</v>
      </c>
      <c r="BC176" s="288"/>
      <c r="BD176" s="284" t="s">
        <v>370</v>
      </c>
      <c r="BE176" s="284">
        <f t="shared" si="133"/>
        <v>2.4536942096135855E-2</v>
      </c>
      <c r="BF176" s="297">
        <f t="shared" si="138"/>
        <v>3.4724847645946744E-2</v>
      </c>
      <c r="BG176" s="297"/>
      <c r="BH176" s="297"/>
      <c r="BI176" s="297"/>
      <c r="BJ176" s="297"/>
      <c r="BK176" s="297"/>
      <c r="BL176" s="288"/>
      <c r="BM176" s="284" t="s">
        <v>370</v>
      </c>
      <c r="BN176" s="284">
        <f t="shared" si="134"/>
        <v>1.8516537764226855E-2</v>
      </c>
      <c r="BO176" s="297">
        <f t="shared" si="139"/>
        <v>3.0963742215030399E-2</v>
      </c>
      <c r="BU176" s="288"/>
      <c r="BV176" s="284" t="s">
        <v>370</v>
      </c>
      <c r="BW176" s="284">
        <f t="shared" si="135"/>
        <v>3.4278940150170703E-2</v>
      </c>
      <c r="BX176" s="297">
        <f t="shared" si="140"/>
        <v>4.8402817181673718E-2</v>
      </c>
      <c r="CD176" s="288"/>
    </row>
    <row r="177" spans="1:82">
      <c r="A177" s="284">
        <f t="shared" si="126"/>
        <v>42</v>
      </c>
      <c r="B177" s="284" t="s">
        <v>371</v>
      </c>
      <c r="C177" s="284">
        <f t="shared" si="127"/>
        <v>3.0810719273125758E-2</v>
      </c>
      <c r="D177" s="297">
        <f t="shared" si="141"/>
        <v>4.0037317859749288E-2</v>
      </c>
      <c r="J177" s="285"/>
      <c r="K177" s="284" t="s">
        <v>371</v>
      </c>
      <c r="L177" s="284">
        <f t="shared" si="128"/>
        <v>3.9925700793917093E-3</v>
      </c>
      <c r="M177" s="297">
        <f t="shared" si="142"/>
        <v>6.4745521731317535E-3</v>
      </c>
      <c r="N177" s="297"/>
      <c r="O177" s="297"/>
      <c r="P177" s="297"/>
      <c r="Q177" s="297"/>
      <c r="R177" s="297"/>
      <c r="S177" s="299"/>
      <c r="T177" s="284" t="s">
        <v>371</v>
      </c>
      <c r="U177" s="284">
        <f t="shared" si="129"/>
        <v>1.4636451676645033E-2</v>
      </c>
      <c r="V177" s="297">
        <f t="shared" si="143"/>
        <v>9.7360741187071387E-3</v>
      </c>
      <c r="W177" s="297"/>
      <c r="X177" s="297"/>
      <c r="Y177" s="297"/>
      <c r="Z177" s="297"/>
      <c r="AA177" s="297"/>
      <c r="AB177" s="299"/>
      <c r="AC177" s="284" t="s">
        <v>371</v>
      </c>
      <c r="AD177" s="284">
        <f t="shared" si="130"/>
        <v>-6.0892602910704585E-4</v>
      </c>
      <c r="AE177" s="297">
        <f t="shared" si="144"/>
        <v>-8.7828134125536028E-3</v>
      </c>
      <c r="AF177" s="297"/>
      <c r="AG177" s="297"/>
      <c r="AH177" s="297"/>
      <c r="AI177" s="297"/>
      <c r="AJ177" s="297"/>
      <c r="AK177" s="299"/>
      <c r="AL177" s="284" t="s">
        <v>371</v>
      </c>
      <c r="AM177" s="284">
        <f t="shared" si="131"/>
        <v>1.8297954522334466E-2</v>
      </c>
      <c r="AN177" s="297">
        <f t="shared" si="136"/>
        <v>2.0675335831483288E-2</v>
      </c>
      <c r="AO177" s="297"/>
      <c r="AP177" s="297"/>
      <c r="AQ177" s="297"/>
      <c r="AR177" s="297"/>
      <c r="AS177" s="297"/>
      <c r="AT177" s="299"/>
      <c r="AU177" s="284" t="s">
        <v>371</v>
      </c>
      <c r="AV177" s="284">
        <f t="shared" si="132"/>
        <v>1.2594191739293385E-2</v>
      </c>
      <c r="AW177" s="297">
        <f t="shared" si="137"/>
        <v>2.8649039452358638E-2</v>
      </c>
      <c r="BC177" s="288"/>
      <c r="BD177" s="284" t="s">
        <v>371</v>
      </c>
      <c r="BE177" s="284">
        <f t="shared" si="133"/>
        <v>2.4786165074357044E-2</v>
      </c>
      <c r="BF177" s="297">
        <f t="shared" si="138"/>
        <v>3.5056674620392636E-2</v>
      </c>
      <c r="BG177" s="297"/>
      <c r="BH177" s="297"/>
      <c r="BI177" s="297"/>
      <c r="BJ177" s="297"/>
      <c r="BK177" s="297"/>
      <c r="BL177" s="288"/>
      <c r="BM177" s="284" t="s">
        <v>371</v>
      </c>
      <c r="BN177" s="284">
        <f t="shared" si="134"/>
        <v>1.8828058514595625E-2</v>
      </c>
      <c r="BO177" s="297">
        <f t="shared" si="139"/>
        <v>3.1682781693623818E-2</v>
      </c>
      <c r="BU177" s="288"/>
      <c r="BV177" s="284" t="s">
        <v>371</v>
      </c>
      <c r="BW177" s="284">
        <f t="shared" si="135"/>
        <v>3.4611493769272514E-2</v>
      </c>
      <c r="BX177" s="297">
        <f t="shared" si="140"/>
        <v>4.8338651863815141E-2</v>
      </c>
      <c r="CD177" s="288"/>
    </row>
    <row r="178" spans="1:82">
      <c r="A178" s="284">
        <f t="shared" si="126"/>
        <v>43</v>
      </c>
      <c r="B178" s="284" t="s">
        <v>372</v>
      </c>
      <c r="C178" s="284">
        <f t="shared" si="127"/>
        <v>3.1027994995985436E-2</v>
      </c>
      <c r="D178" s="297">
        <f t="shared" si="141"/>
        <v>4.019505004427093E-2</v>
      </c>
      <c r="J178" s="285"/>
      <c r="K178" s="284" t="s">
        <v>372</v>
      </c>
      <c r="L178" s="284">
        <f t="shared" si="128"/>
        <v>4.0537189921814459E-3</v>
      </c>
      <c r="M178" s="297">
        <f t="shared" si="142"/>
        <v>6.6253391912876047E-3</v>
      </c>
      <c r="N178" s="297"/>
      <c r="O178" s="297"/>
      <c r="P178" s="297"/>
      <c r="Q178" s="297"/>
      <c r="R178" s="297"/>
      <c r="S178" s="299"/>
      <c r="T178" s="284" t="s">
        <v>372</v>
      </c>
      <c r="U178" s="284">
        <f t="shared" si="129"/>
        <v>1.4509783863177094E-2</v>
      </c>
      <c r="V178" s="297">
        <f t="shared" si="143"/>
        <v>9.2039907610381722E-3</v>
      </c>
      <c r="W178" s="297"/>
      <c r="X178" s="297"/>
      <c r="Y178" s="297"/>
      <c r="Z178" s="297"/>
      <c r="AA178" s="297"/>
      <c r="AB178" s="299"/>
      <c r="AC178" s="284" t="s">
        <v>372</v>
      </c>
      <c r="AD178" s="284">
        <f t="shared" si="130"/>
        <v>-8.2190480969436541E-4</v>
      </c>
      <c r="AE178" s="297">
        <f t="shared" si="144"/>
        <v>-9.7261477069446878E-3</v>
      </c>
      <c r="AF178" s="297"/>
      <c r="AG178" s="297"/>
      <c r="AH178" s="297"/>
      <c r="AI178" s="297"/>
      <c r="AJ178" s="297"/>
      <c r="AK178" s="299"/>
      <c r="AL178" s="284" t="s">
        <v>372</v>
      </c>
      <c r="AM178" s="284">
        <f t="shared" si="131"/>
        <v>1.8354121513503747E-2</v>
      </c>
      <c r="AN178" s="297">
        <f t="shared" si="136"/>
        <v>2.0715934785484613E-2</v>
      </c>
      <c r="AO178" s="297"/>
      <c r="AP178" s="297"/>
      <c r="AQ178" s="297"/>
      <c r="AR178" s="297"/>
      <c r="AS178" s="297"/>
      <c r="AT178" s="299"/>
      <c r="AU178" s="284" t="s">
        <v>372</v>
      </c>
      <c r="AV178" s="284">
        <f t="shared" si="132"/>
        <v>1.2976740225867939E-2</v>
      </c>
      <c r="AW178" s="297">
        <f t="shared" si="137"/>
        <v>2.9174957469642049E-2</v>
      </c>
      <c r="BC178" s="288"/>
      <c r="BD178" s="284" t="s">
        <v>372</v>
      </c>
      <c r="BE178" s="284">
        <f t="shared" si="133"/>
        <v>2.5031295138094802E-2</v>
      </c>
      <c r="BF178" s="297">
        <f t="shared" si="138"/>
        <v>3.5379879088003552E-2</v>
      </c>
      <c r="BG178" s="297"/>
      <c r="BH178" s="297"/>
      <c r="BI178" s="297"/>
      <c r="BJ178" s="297"/>
      <c r="BK178" s="297"/>
      <c r="BL178" s="288"/>
      <c r="BM178" s="284" t="s">
        <v>372</v>
      </c>
      <c r="BN178" s="284">
        <f t="shared" si="134"/>
        <v>1.9140812644262532E-2</v>
      </c>
      <c r="BO178" s="297">
        <f t="shared" si="139"/>
        <v>3.2363545703589791E-2</v>
      </c>
      <c r="BU178" s="288"/>
      <c r="BV178" s="284" t="s">
        <v>372</v>
      </c>
      <c r="BW178" s="284">
        <f t="shared" si="135"/>
        <v>3.492672225270238E-2</v>
      </c>
      <c r="BX178" s="297">
        <f t="shared" si="140"/>
        <v>4.8253409201248099E-2</v>
      </c>
      <c r="CD178" s="288"/>
    </row>
    <row r="179" spans="1:82">
      <c r="A179" s="284">
        <f t="shared" si="126"/>
        <v>44</v>
      </c>
      <c r="B179" s="284" t="s">
        <v>373</v>
      </c>
      <c r="C179" s="284">
        <f t="shared" si="127"/>
        <v>3.1238725844765447E-2</v>
      </c>
      <c r="D179" s="297">
        <f t="shared" si="141"/>
        <v>4.0341014420246957E-2</v>
      </c>
      <c r="J179" s="285"/>
      <c r="K179" s="284" t="s">
        <v>373</v>
      </c>
      <c r="L179" s="284">
        <f t="shared" si="128"/>
        <v>4.1158889474658365E-3</v>
      </c>
      <c r="M179" s="297">
        <f t="shared" si="142"/>
        <v>6.7928418091278697E-3</v>
      </c>
      <c r="N179" s="297"/>
      <c r="O179" s="297"/>
      <c r="P179" s="297"/>
      <c r="Q179" s="297"/>
      <c r="R179" s="297"/>
      <c r="S179" s="299"/>
      <c r="T179" s="284" t="s">
        <v>373</v>
      </c>
      <c r="U179" s="284">
        <f t="shared" si="129"/>
        <v>1.4376892213364332E-2</v>
      </c>
      <c r="V179" s="297">
        <f t="shared" si="143"/>
        <v>8.6789887114075981E-3</v>
      </c>
      <c r="W179" s="297"/>
      <c r="X179" s="297"/>
      <c r="Y179" s="297"/>
      <c r="Z179" s="297"/>
      <c r="AA179" s="297"/>
      <c r="AB179" s="299"/>
      <c r="AC179" s="284" t="s">
        <v>373</v>
      </c>
      <c r="AD179" s="284">
        <f t="shared" si="130"/>
        <v>-1.047038324555119E-3</v>
      </c>
      <c r="AE179" s="297">
        <f t="shared" si="144"/>
        <v>-1.0679942944141763E-2</v>
      </c>
      <c r="AF179" s="297"/>
      <c r="AG179" s="297"/>
      <c r="AH179" s="297"/>
      <c r="AI179" s="297"/>
      <c r="AJ179" s="297"/>
      <c r="AK179" s="299"/>
      <c r="AL179" s="284" t="s">
        <v>373</v>
      </c>
      <c r="AM179" s="284">
        <f t="shared" si="131"/>
        <v>1.840858907486299E-2</v>
      </c>
      <c r="AN179" s="297">
        <f t="shared" si="136"/>
        <v>2.0753452208043033E-2</v>
      </c>
      <c r="AO179" s="297"/>
      <c r="AP179" s="297"/>
      <c r="AQ179" s="297"/>
      <c r="AR179" s="297"/>
      <c r="AS179" s="297"/>
      <c r="AT179" s="299"/>
      <c r="AU179" s="284" t="s">
        <v>373</v>
      </c>
      <c r="AV179" s="284">
        <f t="shared" si="132"/>
        <v>1.3353406632973925E-2</v>
      </c>
      <c r="AW179" s="297">
        <f t="shared" si="137"/>
        <v>2.9683251339998051E-2</v>
      </c>
      <c r="BC179" s="288"/>
      <c r="BD179" s="284" t="s">
        <v>373</v>
      </c>
      <c r="BE179" s="284">
        <f t="shared" si="133"/>
        <v>2.5272420546549032E-2</v>
      </c>
      <c r="BF179" s="297">
        <f t="shared" si="138"/>
        <v>3.5694648929584627E-2</v>
      </c>
      <c r="BG179" s="297"/>
      <c r="BH179" s="297"/>
      <c r="BI179" s="297"/>
      <c r="BJ179" s="297"/>
      <c r="BK179" s="297"/>
      <c r="BL179" s="288"/>
      <c r="BM179" s="284" t="s">
        <v>373</v>
      </c>
      <c r="BN179" s="284">
        <f t="shared" si="134"/>
        <v>1.9453876849275867E-2</v>
      </c>
      <c r="BO179" s="297">
        <f t="shared" si="139"/>
        <v>3.3007005504362974E-2</v>
      </c>
      <c r="BU179" s="288"/>
      <c r="BV179" s="284" t="s">
        <v>373</v>
      </c>
      <c r="BW179" s="284">
        <f t="shared" si="135"/>
        <v>3.52253894498257E-2</v>
      </c>
      <c r="BX179" s="297">
        <f t="shared" si="140"/>
        <v>4.8149946681573796E-2</v>
      </c>
      <c r="CD179" s="288"/>
    </row>
    <row r="180" spans="1:82">
      <c r="A180" s="284">
        <f t="shared" si="126"/>
        <v>45</v>
      </c>
      <c r="B180" s="284" t="s">
        <v>374</v>
      </c>
      <c r="C180" s="284">
        <f t="shared" si="127"/>
        <v>3.1443104877460659E-2</v>
      </c>
      <c r="D180" s="297">
        <f t="shared" si="141"/>
        <v>4.0475996862245678E-2</v>
      </c>
      <c r="J180" s="285"/>
      <c r="K180" s="284" t="s">
        <v>374</v>
      </c>
      <c r="L180" s="284">
        <f t="shared" si="128"/>
        <v>4.1793654131377332E-3</v>
      </c>
      <c r="M180" s="297">
        <f t="shared" si="142"/>
        <v>6.9763061229097811E-3</v>
      </c>
      <c r="N180" s="297"/>
      <c r="O180" s="297"/>
      <c r="P180" s="297"/>
      <c r="Q180" s="297"/>
      <c r="R180" s="297"/>
      <c r="S180" s="299"/>
      <c r="T180" s="284" t="s">
        <v>374</v>
      </c>
      <c r="U180" s="284">
        <f t="shared" si="129"/>
        <v>1.4238352860473456E-2</v>
      </c>
      <c r="V180" s="297">
        <f t="shared" si="143"/>
        <v>8.1613166305287699E-3</v>
      </c>
      <c r="W180" s="297"/>
      <c r="X180" s="297"/>
      <c r="Y180" s="297"/>
      <c r="Z180" s="297"/>
      <c r="AA180" s="297"/>
      <c r="AB180" s="299"/>
      <c r="AC180" s="284" t="s">
        <v>374</v>
      </c>
      <c r="AD180" s="284">
        <f t="shared" si="130"/>
        <v>-1.283724781877299E-3</v>
      </c>
      <c r="AE180" s="297">
        <f t="shared" si="144"/>
        <v>-1.1642598575642538E-2</v>
      </c>
      <c r="AF180" s="297"/>
      <c r="AG180" s="297"/>
      <c r="AH180" s="297"/>
      <c r="AI180" s="297"/>
      <c r="AJ180" s="297"/>
      <c r="AK180" s="299"/>
      <c r="AL180" s="284" t="s">
        <v>374</v>
      </c>
      <c r="AM180" s="284">
        <f t="shared" si="131"/>
        <v>1.8461405398340958E-2</v>
      </c>
      <c r="AN180" s="297">
        <f t="shared" si="136"/>
        <v>2.0788037397158732E-2</v>
      </c>
      <c r="AO180" s="297"/>
      <c r="AP180" s="297"/>
      <c r="AQ180" s="297"/>
      <c r="AR180" s="297"/>
      <c r="AS180" s="297"/>
      <c r="AT180" s="299"/>
      <c r="AU180" s="284" t="s">
        <v>374</v>
      </c>
      <c r="AV180" s="284">
        <f t="shared" si="132"/>
        <v>1.372420393327959E-2</v>
      </c>
      <c r="AW180" s="297">
        <f t="shared" si="137"/>
        <v>3.0174314418322412E-2</v>
      </c>
      <c r="BC180" s="288"/>
      <c r="BD180" s="284" t="s">
        <v>374</v>
      </c>
      <c r="BE180" s="284">
        <f t="shared" si="133"/>
        <v>2.5509625803688665E-2</v>
      </c>
      <c r="BF180" s="297">
        <f t="shared" si="138"/>
        <v>3.6001168328750444E-2</v>
      </c>
      <c r="BG180" s="297"/>
      <c r="BH180" s="297"/>
      <c r="BI180" s="297"/>
      <c r="BJ180" s="297"/>
      <c r="BK180" s="297"/>
      <c r="BL180" s="288"/>
      <c r="BM180" s="284" t="s">
        <v>374</v>
      </c>
      <c r="BN180" s="284">
        <f t="shared" si="134"/>
        <v>1.9766434822550492E-2</v>
      </c>
      <c r="BO180" s="297">
        <f t="shared" si="139"/>
        <v>3.3614273871960032E-2</v>
      </c>
      <c r="BU180" s="288"/>
      <c r="BV180" s="284" t="s">
        <v>374</v>
      </c>
      <c r="BW180" s="284">
        <f t="shared" si="135"/>
        <v>3.5508249109978698E-2</v>
      </c>
      <c r="BX180" s="297">
        <f t="shared" si="140"/>
        <v>4.8030888923472626E-2</v>
      </c>
      <c r="CD180" s="288"/>
    </row>
    <row r="181" spans="1:82">
      <c r="A181" s="284">
        <f t="shared" si="126"/>
        <v>46</v>
      </c>
      <c r="B181" s="284" t="s">
        <v>375</v>
      </c>
      <c r="C181" s="284">
        <f t="shared" si="127"/>
        <v>3.1641324420396716E-2</v>
      </c>
      <c r="D181" s="297">
        <f t="shared" si="141"/>
        <v>4.0600741690524078E-2</v>
      </c>
      <c r="J181" s="285"/>
      <c r="K181" s="284" t="s">
        <v>375</v>
      </c>
      <c r="L181" s="284">
        <f t="shared" si="128"/>
        <v>4.2443922834835626E-3</v>
      </c>
      <c r="M181" s="297">
        <f t="shared" si="142"/>
        <v>7.174963867562667E-3</v>
      </c>
      <c r="N181" s="297"/>
      <c r="O181" s="297"/>
      <c r="P181" s="297"/>
      <c r="Q181" s="297"/>
      <c r="R181" s="297"/>
      <c r="S181" s="299"/>
      <c r="T181" s="284" t="s">
        <v>375</v>
      </c>
      <c r="U181" s="284">
        <f t="shared" si="129"/>
        <v>1.4094696261241747E-2</v>
      </c>
      <c r="V181" s="297">
        <f t="shared" si="143"/>
        <v>7.6511652795114848E-3</v>
      </c>
      <c r="W181" s="297"/>
      <c r="X181" s="297"/>
      <c r="Y181" s="297"/>
      <c r="Z181" s="297"/>
      <c r="AA181" s="297"/>
      <c r="AB181" s="299"/>
      <c r="AC181" s="284" t="s">
        <v>375</v>
      </c>
      <c r="AD181" s="284">
        <f t="shared" si="130"/>
        <v>-1.531381207124094E-3</v>
      </c>
      <c r="AE181" s="297">
        <f t="shared" si="144"/>
        <v>-1.2612588920111301E-2</v>
      </c>
      <c r="AF181" s="297"/>
      <c r="AG181" s="297"/>
      <c r="AH181" s="297"/>
      <c r="AI181" s="297"/>
      <c r="AJ181" s="297"/>
      <c r="AK181" s="299"/>
      <c r="AL181" s="284" t="s">
        <v>375</v>
      </c>
      <c r="AM181" s="284">
        <f t="shared" si="131"/>
        <v>1.8512617628444722E-2</v>
      </c>
      <c r="AN181" s="297">
        <f t="shared" si="136"/>
        <v>2.0819835231712602E-2</v>
      </c>
      <c r="AO181" s="297"/>
      <c r="AP181" s="297"/>
      <c r="AQ181" s="297"/>
      <c r="AR181" s="297"/>
      <c r="AS181" s="297"/>
      <c r="AT181" s="299"/>
      <c r="AU181" s="284" t="s">
        <v>375</v>
      </c>
      <c r="AV181" s="284">
        <f t="shared" si="132"/>
        <v>1.4089152560619368E-2</v>
      </c>
      <c r="AW181" s="297">
        <f t="shared" si="137"/>
        <v>3.0648544390197818E-2</v>
      </c>
      <c r="BC181" s="288"/>
      <c r="BD181" s="284" t="s">
        <v>375</v>
      </c>
      <c r="BE181" s="284">
        <f t="shared" si="133"/>
        <v>2.5742991985800073E-2</v>
      </c>
      <c r="BF181" s="297">
        <f t="shared" si="138"/>
        <v>3.6299617837577625E-2</v>
      </c>
      <c r="BG181" s="297"/>
      <c r="BH181" s="297"/>
      <c r="BI181" s="297"/>
      <c r="BJ181" s="297"/>
      <c r="BK181" s="297"/>
      <c r="BL181" s="288"/>
      <c r="BM181" s="284" t="s">
        <v>375</v>
      </c>
      <c r="BN181" s="284">
        <f t="shared" si="134"/>
        <v>2.0077767833625124E-2</v>
      </c>
      <c r="BO181" s="297">
        <f t="shared" si="139"/>
        <v>3.4186571467190507E-2</v>
      </c>
      <c r="BU181" s="288"/>
      <c r="BV181" s="284" t="s">
        <v>375</v>
      </c>
      <c r="BW181" s="284">
        <f t="shared" si="135"/>
        <v>3.5776041256451591E-2</v>
      </c>
      <c r="BX181" s="297">
        <f t="shared" si="140"/>
        <v>4.7898637908875719E-2</v>
      </c>
      <c r="CD181" s="288"/>
    </row>
    <row r="182" spans="1:82">
      <c r="A182" s="284">
        <f t="shared" si="126"/>
        <v>47</v>
      </c>
      <c r="B182" s="284" t="s">
        <v>376</v>
      </c>
      <c r="C182" s="284">
        <f t="shared" si="127"/>
        <v>3.1833575287593119E-2</v>
      </c>
      <c r="D182" s="297">
        <f t="shared" si="141"/>
        <v>4.0715952418788337E-2</v>
      </c>
      <c r="J182" s="285"/>
      <c r="K182" s="284" t="s">
        <v>376</v>
      </c>
      <c r="L182" s="284">
        <f t="shared" si="128"/>
        <v>4.3111761670852379E-3</v>
      </c>
      <c r="M182" s="297">
        <f t="shared" si="142"/>
        <v>7.388040582294142E-3</v>
      </c>
      <c r="N182" s="297"/>
      <c r="O182" s="297"/>
      <c r="P182" s="297"/>
      <c r="Q182" s="297"/>
      <c r="R182" s="297"/>
      <c r="S182" s="299"/>
      <c r="T182" s="284" t="s">
        <v>376</v>
      </c>
      <c r="U182" s="284">
        <f t="shared" si="129"/>
        <v>1.3946411005133046E-2</v>
      </c>
      <c r="V182" s="297">
        <f t="shared" si="143"/>
        <v>7.1486771143867145E-3</v>
      </c>
      <c r="W182" s="297"/>
      <c r="X182" s="297"/>
      <c r="Y182" s="297"/>
      <c r="Z182" s="297"/>
      <c r="AA182" s="297"/>
      <c r="AB182" s="299"/>
      <c r="AC182" s="284" t="s">
        <v>376</v>
      </c>
      <c r="AD182" s="284">
        <f t="shared" si="130"/>
        <v>-1.7894429313959348E-3</v>
      </c>
      <c r="AE182" s="297">
        <f t="shared" si="144"/>
        <v>-1.3588460447771511E-2</v>
      </c>
      <c r="AF182" s="297"/>
      <c r="AG182" s="297"/>
      <c r="AH182" s="297"/>
      <c r="AI182" s="297"/>
      <c r="AJ182" s="297"/>
      <c r="AK182" s="299"/>
      <c r="AL182" s="284" t="s">
        <v>376</v>
      </c>
      <c r="AM182" s="284">
        <f t="shared" si="131"/>
        <v>1.8562271882106671E-2</v>
      </c>
      <c r="AN182" s="297">
        <f t="shared" si="136"/>
        <v>2.0848986275233017E-2</v>
      </c>
      <c r="AO182" s="297"/>
      <c r="AP182" s="297"/>
      <c r="AQ182" s="297"/>
      <c r="AR182" s="297"/>
      <c r="AS182" s="297"/>
      <c r="AT182" s="299"/>
      <c r="AU182" s="284" t="s">
        <v>376</v>
      </c>
      <c r="AV182" s="284">
        <f t="shared" si="132"/>
        <v>1.4448279677980611E-2</v>
      </c>
      <c r="AW182" s="297">
        <f t="shared" si="137"/>
        <v>3.1106342279884291E-2</v>
      </c>
      <c r="BC182" s="288"/>
      <c r="BD182" s="284" t="s">
        <v>376</v>
      </c>
      <c r="BE182" s="284">
        <f t="shared" si="133"/>
        <v>2.5972597028736361E-2</v>
      </c>
      <c r="BF182" s="297">
        <f t="shared" si="138"/>
        <v>3.659017444123025E-2</v>
      </c>
      <c r="BG182" s="297"/>
      <c r="BH182" s="297"/>
      <c r="BI182" s="297"/>
      <c r="BJ182" s="297"/>
      <c r="BK182" s="297"/>
      <c r="BL182" s="288"/>
      <c r="BM182" s="284" t="s">
        <v>376</v>
      </c>
      <c r="BN182" s="284">
        <f t="shared" si="134"/>
        <v>2.0387245919716437E-2</v>
      </c>
      <c r="BO182" s="297">
        <f t="shared" si="139"/>
        <v>3.4725198085797437E-2</v>
      </c>
      <c r="BU182" s="288"/>
      <c r="BV182" s="284" t="s">
        <v>376</v>
      </c>
      <c r="BW182" s="284">
        <f t="shared" si="135"/>
        <v>3.6029489243800644E-2</v>
      </c>
      <c r="BX182" s="297">
        <f t="shared" si="140"/>
        <v>4.7755383935169426E-2</v>
      </c>
      <c r="CD182" s="288"/>
    </row>
    <row r="183" spans="1:82">
      <c r="A183" s="284">
        <f t="shared" si="126"/>
        <v>48</v>
      </c>
      <c r="B183" s="284" t="s">
        <v>377</v>
      </c>
      <c r="C183" s="284">
        <f t="shared" si="127"/>
        <v>3.2020046117774009E-2</v>
      </c>
      <c r="D183" s="297">
        <f t="shared" si="141"/>
        <v>4.0822292729043363E-2</v>
      </c>
      <c r="J183" s="285"/>
      <c r="K183" s="284" t="s">
        <v>377</v>
      </c>
      <c r="L183" s="284">
        <f t="shared" si="128"/>
        <v>4.3798902799279012E-3</v>
      </c>
      <c r="M183" s="297">
        <f t="shared" si="142"/>
        <v>7.6147622864077835E-3</v>
      </c>
      <c r="N183" s="297"/>
      <c r="O183" s="297"/>
      <c r="P183" s="297"/>
      <c r="Q183" s="297"/>
      <c r="R183" s="297"/>
      <c r="S183" s="299"/>
      <c r="T183" s="284" t="s">
        <v>377</v>
      </c>
      <c r="U183" s="284">
        <f t="shared" si="129"/>
        <v>1.3793947317247902E-2</v>
      </c>
      <c r="V183" s="297">
        <f t="shared" si="143"/>
        <v>6.6539543700165904E-3</v>
      </c>
      <c r="W183" s="297"/>
      <c r="X183" s="297"/>
      <c r="Y183" s="297"/>
      <c r="Z183" s="297"/>
      <c r="AA183" s="297"/>
      <c r="AB183" s="299"/>
      <c r="AC183" s="284" t="s">
        <v>377</v>
      </c>
      <c r="AD183" s="284">
        <f t="shared" si="130"/>
        <v>-2.0573630929155151E-3</v>
      </c>
      <c r="AE183" s="297">
        <f t="shared" si="144"/>
        <v>-1.4568829145001461E-2</v>
      </c>
      <c r="AF183" s="297"/>
      <c r="AG183" s="297"/>
      <c r="AH183" s="297"/>
      <c r="AI183" s="297"/>
      <c r="AJ183" s="297"/>
      <c r="AK183" s="299"/>
      <c r="AL183" s="284" t="s">
        <v>377</v>
      </c>
      <c r="AM183" s="284">
        <f t="shared" si="131"/>
        <v>1.8610413268183568E-2</v>
      </c>
      <c r="AN183" s="297">
        <f t="shared" si="136"/>
        <v>2.0875626877828513E-2</v>
      </c>
      <c r="AO183" s="297"/>
      <c r="AP183" s="297"/>
      <c r="AQ183" s="297"/>
      <c r="AR183" s="297"/>
      <c r="AS183" s="297"/>
      <c r="AT183" s="299"/>
      <c r="AU183" s="284" t="s">
        <v>377</v>
      </c>
      <c r="AV183" s="284">
        <f t="shared" si="132"/>
        <v>1.4801618517821975E-2</v>
      </c>
      <c r="AW183" s="297">
        <f t="shared" si="137"/>
        <v>3.1548111483905128E-2</v>
      </c>
      <c r="BC183" s="288"/>
      <c r="BD183" s="284" t="s">
        <v>377</v>
      </c>
      <c r="BE183" s="284">
        <f t="shared" si="133"/>
        <v>2.6198515980715455E-2</v>
      </c>
      <c r="BF183" s="297">
        <f t="shared" si="138"/>
        <v>3.6873011621689988E-2</v>
      </c>
      <c r="BG183" s="297"/>
      <c r="BH183" s="297"/>
      <c r="BI183" s="297"/>
      <c r="BJ183" s="297"/>
      <c r="BK183" s="297"/>
      <c r="BL183" s="288"/>
      <c r="BM183" s="284" t="s">
        <v>377</v>
      </c>
      <c r="BN183" s="284">
        <f t="shared" si="134"/>
        <v>2.069431968675986E-2</v>
      </c>
      <c r="BO183" s="297">
        <f t="shared" si="139"/>
        <v>3.5231508195159744E-2</v>
      </c>
      <c r="BU183" s="288"/>
      <c r="BV183" s="284" t="s">
        <v>377</v>
      </c>
      <c r="BW183" s="284">
        <f t="shared" si="135"/>
        <v>3.626929740866483E-2</v>
      </c>
      <c r="BX183" s="297">
        <f t="shared" si="140"/>
        <v>4.7603117020163621E-2</v>
      </c>
      <c r="CD183" s="288"/>
    </row>
    <row r="184" spans="1:82">
      <c r="A184" s="284">
        <f t="shared" si="126"/>
        <v>49</v>
      </c>
      <c r="B184" s="284" t="s">
        <v>378</v>
      </c>
      <c r="C184" s="284">
        <f t="shared" si="127"/>
        <v>3.2200922815792593E-2</v>
      </c>
      <c r="D184" s="297">
        <f t="shared" si="141"/>
        <v>4.0920387625278165E-2</v>
      </c>
      <c r="J184" s="285"/>
      <c r="K184" s="284" t="s">
        <v>378</v>
      </c>
      <c r="L184" s="284">
        <f t="shared" si="128"/>
        <v>4.4506779741012338E-3</v>
      </c>
      <c r="M184" s="297">
        <f t="shared" si="142"/>
        <v>7.8543608962695632E-3</v>
      </c>
      <c r="N184" s="297"/>
      <c r="O184" s="297"/>
      <c r="P184" s="297"/>
      <c r="Q184" s="297"/>
      <c r="R184" s="297"/>
      <c r="S184" s="299"/>
      <c r="T184" s="284" t="s">
        <v>378</v>
      </c>
      <c r="U184" s="284">
        <f t="shared" si="129"/>
        <v>1.3637720272458895E-2</v>
      </c>
      <c r="V184" s="297">
        <f t="shared" si="143"/>
        <v>6.1670658595169847E-3</v>
      </c>
      <c r="W184" s="297"/>
      <c r="X184" s="297"/>
      <c r="Y184" s="297"/>
      <c r="Z184" s="297"/>
      <c r="AA184" s="297"/>
      <c r="AB184" s="299"/>
      <c r="AC184" s="284" t="s">
        <v>378</v>
      </c>
      <c r="AD184" s="284">
        <f t="shared" si="130"/>
        <v>-2.3346121513124346E-3</v>
      </c>
      <c r="AE184" s="297">
        <f t="shared" si="144"/>
        <v>-1.5552377958584107E-2</v>
      </c>
      <c r="AF184" s="297"/>
      <c r="AG184" s="297"/>
      <c r="AH184" s="297"/>
      <c r="AI184" s="297"/>
      <c r="AJ184" s="297"/>
      <c r="AK184" s="299"/>
      <c r="AL184" s="284" t="s">
        <v>378</v>
      </c>
      <c r="AM184" s="284">
        <f t="shared" si="131"/>
        <v>1.8657085906613354E-2</v>
      </c>
      <c r="AN184" s="297">
        <f t="shared" si="136"/>
        <v>2.0899889276011052E-2</v>
      </c>
      <c r="AO184" s="297"/>
      <c r="AP184" s="297"/>
      <c r="AQ184" s="297"/>
      <c r="AR184" s="297"/>
      <c r="AS184" s="297"/>
      <c r="AT184" s="299"/>
      <c r="AU184" s="284" t="s">
        <v>378</v>
      </c>
      <c r="AV184" s="284">
        <f t="shared" si="132"/>
        <v>1.5149207784989096E-2</v>
      </c>
      <c r="AW184" s="297">
        <f t="shared" si="137"/>
        <v>3.1974256835613168E-2</v>
      </c>
      <c r="BC184" s="288"/>
      <c r="BD184" s="284" t="s">
        <v>378</v>
      </c>
      <c r="BE184" s="284">
        <f t="shared" si="133"/>
        <v>2.6420821225561469E-2</v>
      </c>
      <c r="BF184" s="297">
        <f t="shared" si="138"/>
        <v>3.7148299420420861E-2</v>
      </c>
      <c r="BG184" s="297"/>
      <c r="BH184" s="297"/>
      <c r="BI184" s="297"/>
      <c r="BJ184" s="297"/>
      <c r="BK184" s="297"/>
      <c r="BL184" s="288"/>
      <c r="BM184" s="284" t="s">
        <v>378</v>
      </c>
      <c r="BN184" s="284">
        <f t="shared" si="134"/>
        <v>2.0998512708377493E-2</v>
      </c>
      <c r="BO184" s="297">
        <f t="shared" si="139"/>
        <v>3.5706890228453192E-2</v>
      </c>
      <c r="BU184" s="288"/>
      <c r="BV184" s="284" t="s">
        <v>378</v>
      </c>
      <c r="BW184" s="284">
        <f t="shared" si="135"/>
        <v>3.6496149234603786E-2</v>
      </c>
      <c r="BX184" s="297">
        <f t="shared" si="140"/>
        <v>4.7443638538681832E-2</v>
      </c>
      <c r="CD184" s="288"/>
    </row>
    <row r="185" spans="1:82">
      <c r="A185" s="284">
        <f t="shared" si="126"/>
        <v>50</v>
      </c>
      <c r="B185" s="284" t="s">
        <v>379</v>
      </c>
      <c r="C185" s="284">
        <f t="shared" si="127"/>
        <v>3.2376388086549662E-2</v>
      </c>
      <c r="D185" s="297">
        <f t="shared" si="141"/>
        <v>4.1010824725136175E-2</v>
      </c>
      <c r="J185" s="285"/>
      <c r="K185" s="284" t="s">
        <v>379</v>
      </c>
      <c r="L185" s="284">
        <f t="shared" si="128"/>
        <v>4.5236559316040106E-3</v>
      </c>
      <c r="M185" s="297">
        <f t="shared" si="142"/>
        <v>8.1060785815196823E-3</v>
      </c>
      <c r="N185" s="297"/>
      <c r="O185" s="297"/>
      <c r="P185" s="297"/>
      <c r="Q185" s="297"/>
      <c r="R185" s="297"/>
      <c r="S185" s="299"/>
      <c r="T185" s="284" t="s">
        <v>379</v>
      </c>
      <c r="U185" s="284">
        <f t="shared" si="129"/>
        <v>1.3478112739390688E-2</v>
      </c>
      <c r="V185" s="297">
        <f t="shared" si="143"/>
        <v>5.6880526842260082E-3</v>
      </c>
      <c r="W185" s="297"/>
      <c r="X185" s="297"/>
      <c r="Y185" s="297"/>
      <c r="Z185" s="297"/>
      <c r="AA185" s="297"/>
      <c r="AB185" s="299"/>
      <c r="AC185" s="284" t="s">
        <v>379</v>
      </c>
      <c r="AD185" s="284">
        <f t="shared" si="130"/>
        <v>-2.6206774143847644E-3</v>
      </c>
      <c r="AE185" s="297">
        <f t="shared" si="144"/>
        <v>-1.6537854317580813E-2</v>
      </c>
      <c r="AF185" s="297"/>
      <c r="AG185" s="297"/>
      <c r="AH185" s="297"/>
      <c r="AI185" s="297"/>
      <c r="AJ185" s="297"/>
      <c r="AK185" s="299"/>
      <c r="AL185" s="284" t="s">
        <v>379</v>
      </c>
      <c r="AM185" s="284">
        <f t="shared" si="131"/>
        <v>1.8702332947234539E-2</v>
      </c>
      <c r="AN185" s="297">
        <f t="shared" si="136"/>
        <v>2.0921901690518663E-2</v>
      </c>
      <c r="AO185" s="297"/>
      <c r="AP185" s="297"/>
      <c r="AQ185" s="297"/>
      <c r="AR185" s="297"/>
      <c r="AS185" s="297"/>
      <c r="AT185" s="299"/>
      <c r="AU185" s="284" t="s">
        <v>379</v>
      </c>
      <c r="AV185" s="284">
        <f t="shared" si="132"/>
        <v>1.5491091114139894E-2</v>
      </c>
      <c r="AW185" s="297">
        <f t="shared" si="137"/>
        <v>3.2385183705003318E-2</v>
      </c>
      <c r="BC185" s="288"/>
      <c r="BD185" s="284" t="s">
        <v>379</v>
      </c>
      <c r="BE185" s="284">
        <f t="shared" si="133"/>
        <v>2.6639582680501372E-2</v>
      </c>
      <c r="BF185" s="297">
        <f t="shared" si="138"/>
        <v>3.7416204500253958E-2</v>
      </c>
      <c r="BG185" s="297"/>
      <c r="BH185" s="297"/>
      <c r="BI185" s="297"/>
      <c r="BJ185" s="297"/>
      <c r="BK185" s="297"/>
      <c r="BL185" s="288"/>
      <c r="BM185" s="284" t="s">
        <v>379</v>
      </c>
      <c r="BN185" s="284">
        <f t="shared" si="134"/>
        <v>2.1299414503155346E-2</v>
      </c>
      <c r="BO185" s="297">
        <f t="shared" si="139"/>
        <v>3.6152749164277242E-2</v>
      </c>
      <c r="BU185" s="288"/>
      <c r="BV185" s="284" t="s">
        <v>379</v>
      </c>
      <c r="BW185" s="284">
        <f t="shared" si="135"/>
        <v>3.6710705960703194E-2</v>
      </c>
      <c r="BX185" s="297">
        <f t="shared" si="140"/>
        <v>4.7278572910361749E-2</v>
      </c>
      <c r="CD185" s="288"/>
    </row>
    <row r="186" spans="1:82">
      <c r="A186" s="284">
        <f t="shared" si="126"/>
        <v>51</v>
      </c>
      <c r="B186" s="284" t="s">
        <v>380</v>
      </c>
      <c r="C186" s="284">
        <f t="shared" si="127"/>
        <v>3.2546621050680763E-2</v>
      </c>
      <c r="D186" s="297">
        <f t="shared" si="141"/>
        <v>4.1094155654246123E-2</v>
      </c>
      <c r="J186" s="285"/>
      <c r="K186" s="284" t="s">
        <v>380</v>
      </c>
      <c r="L186" s="284">
        <f t="shared" si="128"/>
        <v>4.5989170514821286E-3</v>
      </c>
      <c r="M186" s="297">
        <f t="shared" si="142"/>
        <v>8.3691712299982512E-3</v>
      </c>
      <c r="N186" s="297"/>
      <c r="O186" s="297"/>
      <c r="P186" s="297"/>
      <c r="Q186" s="297"/>
      <c r="R186" s="297"/>
      <c r="S186" s="299"/>
      <c r="T186" s="284" t="s">
        <v>380</v>
      </c>
      <c r="U186" s="284">
        <f t="shared" si="129"/>
        <v>1.331547807319744E-2</v>
      </c>
      <c r="V186" s="297">
        <f t="shared" si="143"/>
        <v>5.2169330211955245E-3</v>
      </c>
      <c r="W186" s="297"/>
      <c r="X186" s="297"/>
      <c r="Y186" s="297"/>
      <c r="Z186" s="297"/>
      <c r="AA186" s="297"/>
      <c r="AB186" s="299"/>
      <c r="AC186" s="284" t="s">
        <v>380</v>
      </c>
      <c r="AD186" s="284">
        <f t="shared" si="130"/>
        <v>-2.915062577027519E-3</v>
      </c>
      <c r="AE186" s="297">
        <f t="shared" si="144"/>
        <v>-1.7524067731967574E-2</v>
      </c>
      <c r="AF186" s="297"/>
      <c r="AG186" s="297"/>
      <c r="AH186" s="297"/>
      <c r="AI186" s="297"/>
      <c r="AJ186" s="297"/>
      <c r="AK186" s="299"/>
      <c r="AL186" s="284" t="s">
        <v>380</v>
      </c>
      <c r="AM186" s="284">
        <f t="shared" si="131"/>
        <v>1.8746196588275241E-2</v>
      </c>
      <c r="AN186" s="297">
        <f t="shared" si="136"/>
        <v>2.0941788422137231E-2</v>
      </c>
      <c r="AO186" s="297"/>
      <c r="AP186" s="297"/>
      <c r="AQ186" s="297"/>
      <c r="AR186" s="297"/>
      <c r="AS186" s="297"/>
      <c r="AT186" s="299"/>
      <c r="AU186" s="284" t="s">
        <v>380</v>
      </c>
      <c r="AV186" s="284">
        <f t="shared" si="132"/>
        <v>1.5827316574939462E-2</v>
      </c>
      <c r="AW186" s="297">
        <f t="shared" si="137"/>
        <v>3.278129713821909E-2</v>
      </c>
      <c r="BC186" s="288"/>
      <c r="BD186" s="284" t="s">
        <v>380</v>
      </c>
      <c r="BE186" s="284">
        <f t="shared" si="133"/>
        <v>2.685486797198465E-2</v>
      </c>
      <c r="BF186" s="297">
        <f t="shared" si="138"/>
        <v>3.7676890206142843E-2</v>
      </c>
      <c r="BG186" s="297"/>
      <c r="BH186" s="297"/>
      <c r="BI186" s="297"/>
      <c r="BJ186" s="297"/>
      <c r="BK186" s="297"/>
      <c r="BL186" s="288"/>
      <c r="BM186" s="284" t="s">
        <v>380</v>
      </c>
      <c r="BN186" s="284">
        <f t="shared" si="134"/>
        <v>2.1596674065483899E-2</v>
      </c>
      <c r="BO186" s="297">
        <f t="shared" si="139"/>
        <v>3.6570491974081021E-2</v>
      </c>
      <c r="BU186" s="288"/>
      <c r="BV186" s="284" t="s">
        <v>380</v>
      </c>
      <c r="BW186" s="284">
        <f t="shared" si="135"/>
        <v>3.6913605571927466E-2</v>
      </c>
      <c r="BX186" s="297">
        <f t="shared" si="140"/>
        <v>4.7109379192405987E-2</v>
      </c>
      <c r="CD186" s="288"/>
    </row>
    <row r="187" spans="1:82">
      <c r="A187" s="284">
        <f t="shared" si="126"/>
        <v>52</v>
      </c>
      <c r="B187" s="284" t="s">
        <v>381</v>
      </c>
      <c r="C187" s="284">
        <f t="shared" si="127"/>
        <v>3.2711796932370252E-2</v>
      </c>
      <c r="D187" s="297">
        <f t="shared" si="141"/>
        <v>4.1170897512877058E-2</v>
      </c>
      <c r="J187" s="285"/>
      <c r="K187" s="284" t="s">
        <v>381</v>
      </c>
      <c r="L187" s="284">
        <f t="shared" si="128"/>
        <v>4.6765330569952419E-3</v>
      </c>
      <c r="M187" s="297">
        <f t="shared" si="142"/>
        <v>8.6429111662409408E-3</v>
      </c>
      <c r="N187" s="297"/>
      <c r="O187" s="297"/>
      <c r="P187" s="297"/>
      <c r="Q187" s="297"/>
      <c r="R187" s="297"/>
      <c r="S187" s="299"/>
      <c r="T187" s="284" t="s">
        <v>381</v>
      </c>
      <c r="U187" s="284">
        <f t="shared" si="129"/>
        <v>1.3150142575911395E-2</v>
      </c>
      <c r="V187" s="297">
        <f t="shared" si="143"/>
        <v>4.7537061316520468E-3</v>
      </c>
      <c r="W187" s="297"/>
      <c r="X187" s="297"/>
      <c r="Y187" s="297"/>
      <c r="Z187" s="297"/>
      <c r="AA187" s="297"/>
      <c r="AB187" s="299"/>
      <c r="AC187" s="284" t="s">
        <v>381</v>
      </c>
      <c r="AD187" s="284">
        <f t="shared" si="130"/>
        <v>-3.2172872720232365E-3</v>
      </c>
      <c r="AE187" s="297">
        <f t="shared" si="144"/>
        <v>-1.8509887466217734E-2</v>
      </c>
      <c r="AF187" s="297"/>
      <c r="AG187" s="297"/>
      <c r="AH187" s="297"/>
      <c r="AI187" s="297"/>
      <c r="AJ187" s="297"/>
      <c r="AK187" s="299"/>
      <c r="AL187" s="284" t="s">
        <v>381</v>
      </c>
      <c r="AM187" s="284">
        <f t="shared" si="131"/>
        <v>1.8788718094516276E-2</v>
      </c>
      <c r="AN187" s="297">
        <f t="shared" si="136"/>
        <v>2.0959669945677994E-2</v>
      </c>
      <c r="AO187" s="297"/>
      <c r="AP187" s="297"/>
      <c r="AQ187" s="297"/>
      <c r="AR187" s="297"/>
      <c r="AS187" s="297"/>
      <c r="AT187" s="299"/>
      <c r="AU187" s="284" t="s">
        <v>381</v>
      </c>
      <c r="AV187" s="284">
        <f t="shared" si="132"/>
        <v>1.6157936219386899E-2</v>
      </c>
      <c r="AW187" s="297">
        <f t="shared" si="137"/>
        <v>3.3163001040178886E-2</v>
      </c>
      <c r="BC187" s="288"/>
      <c r="BD187" s="284" t="s">
        <v>381</v>
      </c>
      <c r="BE187" s="284">
        <f t="shared" si="133"/>
        <v>2.7066742592460762E-2</v>
      </c>
      <c r="BF187" s="297">
        <f t="shared" si="138"/>
        <v>3.793051662525837E-2</v>
      </c>
      <c r="BG187" s="297"/>
      <c r="BH187" s="297"/>
      <c r="BI187" s="297"/>
      <c r="BJ187" s="297"/>
      <c r="BK187" s="297"/>
      <c r="BL187" s="288"/>
      <c r="BM187" s="284" t="s">
        <v>381</v>
      </c>
      <c r="BN187" s="284">
        <f t="shared" si="134"/>
        <v>2.1889993921929592E-2</v>
      </c>
      <c r="BO187" s="297">
        <f t="shared" si="139"/>
        <v>3.696151556561289E-2</v>
      </c>
      <c r="BU187" s="288"/>
      <c r="BV187" s="284" t="s">
        <v>381</v>
      </c>
      <c r="BW187" s="284">
        <f t="shared" si="135"/>
        <v>3.7105462116539104E-2</v>
      </c>
      <c r="BX187" s="297">
        <f t="shared" si="140"/>
        <v>4.6937362460717447E-2</v>
      </c>
      <c r="CD187" s="288"/>
    </row>
    <row r="188" spans="1:82">
      <c r="A188" s="284">
        <f t="shared" si="126"/>
        <v>53</v>
      </c>
      <c r="B188" s="284" t="s">
        <v>382</v>
      </c>
      <c r="C188" s="284">
        <f t="shared" si="127"/>
        <v>3.2872086810637524E-2</v>
      </c>
      <c r="D188" s="297">
        <f t="shared" si="141"/>
        <v>4.1241534389689027E-2</v>
      </c>
      <c r="J188" s="285"/>
      <c r="K188" s="284" t="s">
        <v>382</v>
      </c>
      <c r="L188" s="284">
        <f t="shared" si="128"/>
        <v>4.75655684782526E-3</v>
      </c>
      <c r="M188" s="297">
        <f t="shared" si="142"/>
        <v>8.9265892466054986E-3</v>
      </c>
      <c r="N188" s="297"/>
      <c r="O188" s="297"/>
      <c r="P188" s="297"/>
      <c r="Q188" s="297"/>
      <c r="R188" s="297"/>
      <c r="S188" s="299"/>
      <c r="T188" s="284" t="s">
        <v>382</v>
      </c>
      <c r="U188" s="284">
        <f t="shared" si="129"/>
        <v>1.2982407742597891E-2</v>
      </c>
      <c r="V188" s="297">
        <f t="shared" si="143"/>
        <v>4.2983557126585747E-3</v>
      </c>
      <c r="W188" s="297"/>
      <c r="X188" s="297"/>
      <c r="Y188" s="297"/>
      <c r="Z188" s="297"/>
      <c r="AA188" s="297"/>
      <c r="AB188" s="299"/>
      <c r="AC188" s="284" t="s">
        <v>382</v>
      </c>
      <c r="AD188" s="284">
        <f t="shared" si="130"/>
        <v>-3.5268866323998199E-3</v>
      </c>
      <c r="AE188" s="297">
        <f t="shared" si="144"/>
        <v>-1.9494240286661246E-2</v>
      </c>
      <c r="AF188" s="297"/>
      <c r="AG188" s="297"/>
      <c r="AH188" s="297"/>
      <c r="AI188" s="297"/>
      <c r="AJ188" s="297"/>
      <c r="AK188" s="299"/>
      <c r="AL188" s="284" t="s">
        <v>382</v>
      </c>
      <c r="AM188" s="284">
        <f t="shared" si="131"/>
        <v>1.8829937815134402E-2</v>
      </c>
      <c r="AN188" s="297">
        <f t="shared" si="136"/>
        <v>2.0975663001861156E-2</v>
      </c>
      <c r="AO188" s="297"/>
      <c r="AP188" s="297"/>
      <c r="AQ188" s="297"/>
      <c r="AR188" s="297"/>
      <c r="AS188" s="297"/>
      <c r="AT188" s="299"/>
      <c r="AU188" s="284" t="s">
        <v>382</v>
      </c>
      <c r="AV188" s="284">
        <f t="shared" si="132"/>
        <v>1.648300566653943E-2</v>
      </c>
      <c r="AW188" s="297">
        <f t="shared" si="137"/>
        <v>3.353069740313952E-2</v>
      </c>
      <c r="BC188" s="288"/>
      <c r="BD188" s="284" t="s">
        <v>382</v>
      </c>
      <c r="BE188" s="284">
        <f t="shared" si="133"/>
        <v>2.7275270040606599E-2</v>
      </c>
      <c r="BF188" s="297">
        <f t="shared" si="138"/>
        <v>3.8177240646001254E-2</v>
      </c>
      <c r="BG188" s="297"/>
      <c r="BH188" s="297"/>
      <c r="BI188" s="297"/>
      <c r="BJ188" s="297"/>
      <c r="BK188" s="297"/>
      <c r="BL188" s="288"/>
      <c r="BM188" s="284" t="s">
        <v>382</v>
      </c>
      <c r="BN188" s="284">
        <f t="shared" si="134"/>
        <v>2.217912468320736E-2</v>
      </c>
      <c r="BO188" s="297">
        <f t="shared" si="139"/>
        <v>3.7327196894129111E-2</v>
      </c>
      <c r="BU188" s="288"/>
      <c r="BV188" s="284" t="s">
        <v>382</v>
      </c>
      <c r="BW188" s="284">
        <f t="shared" si="135"/>
        <v>3.7286865302443579E-2</v>
      </c>
      <c r="BX188" s="297">
        <f t="shared" si="140"/>
        <v>4.6763684887804136E-2</v>
      </c>
      <c r="CD188" s="288"/>
    </row>
    <row r="189" spans="1:82">
      <c r="A189" s="284">
        <f t="shared" si="126"/>
        <v>54</v>
      </c>
      <c r="B189" s="284" t="s">
        <v>383</v>
      </c>
      <c r="C189" s="284">
        <f t="shared" si="127"/>
        <v>3.3027657426330737E-2</v>
      </c>
      <c r="D189" s="297">
        <f t="shared" si="141"/>
        <v>4.1306518900847244E-2</v>
      </c>
      <c r="J189" s="285"/>
      <c r="K189" s="284" t="s">
        <v>383</v>
      </c>
      <c r="L189" s="284">
        <f t="shared" si="128"/>
        <v>4.8390246205929979E-3</v>
      </c>
      <c r="M189" s="297">
        <f t="shared" si="142"/>
        <v>9.2195164354227366E-3</v>
      </c>
      <c r="N189" s="297"/>
      <c r="O189" s="297"/>
      <c r="P189" s="297"/>
      <c r="Q189" s="297"/>
      <c r="R189" s="297"/>
      <c r="S189" s="299"/>
      <c r="T189" s="284" t="s">
        <v>383</v>
      </c>
      <c r="U189" s="284">
        <f t="shared" si="129"/>
        <v>1.2812552310771514E-2</v>
      </c>
      <c r="V189" s="297">
        <f t="shared" si="143"/>
        <v>3.8508526955611799E-3</v>
      </c>
      <c r="W189" s="297"/>
      <c r="X189" s="297"/>
      <c r="Y189" s="297"/>
      <c r="Z189" s="297"/>
      <c r="AA189" s="297"/>
      <c r="AB189" s="299"/>
      <c r="AC189" s="284" t="s">
        <v>383</v>
      </c>
      <c r="AD189" s="284">
        <f t="shared" si="130"/>
        <v>-3.8434108650634846E-3</v>
      </c>
      <c r="AE189" s="297">
        <f t="shared" si="144"/>
        <v>-2.0476108280524707E-2</v>
      </c>
      <c r="AF189" s="297"/>
      <c r="AG189" s="297"/>
      <c r="AH189" s="297"/>
      <c r="AI189" s="297"/>
      <c r="AJ189" s="297"/>
      <c r="AK189" s="299"/>
      <c r="AL189" s="284" t="s">
        <v>383</v>
      </c>
      <c r="AM189" s="284">
        <f t="shared" si="131"/>
        <v>1.8869895201230648E-2</v>
      </c>
      <c r="AN189" s="297">
        <f t="shared" si="136"/>
        <v>2.0989880687591445E-2</v>
      </c>
      <c r="AO189" s="297"/>
      <c r="AP189" s="297"/>
      <c r="AQ189" s="297"/>
      <c r="AR189" s="297"/>
      <c r="AS189" s="297"/>
      <c r="AT189" s="299"/>
      <c r="AU189" s="284" t="s">
        <v>383</v>
      </c>
      <c r="AV189" s="284">
        <f t="shared" si="132"/>
        <v>1.6802583720638531E-2</v>
      </c>
      <c r="AW189" s="297">
        <f t="shared" si="137"/>
        <v>3.3884785583567778E-2</v>
      </c>
      <c r="BC189" s="288"/>
      <c r="BD189" s="284" t="s">
        <v>383</v>
      </c>
      <c r="BE189" s="284">
        <f t="shared" si="133"/>
        <v>2.7480511947127372E-2</v>
      </c>
      <c r="BF189" s="297">
        <f t="shared" si="138"/>
        <v>3.841721601604009E-2</v>
      </c>
      <c r="BG189" s="297"/>
      <c r="BH189" s="297"/>
      <c r="BI189" s="297"/>
      <c r="BJ189" s="297"/>
      <c r="BK189" s="297"/>
      <c r="BL189" s="288"/>
      <c r="BM189" s="284" t="s">
        <v>383</v>
      </c>
      <c r="BN189" s="284">
        <f t="shared" si="134"/>
        <v>2.2463860060968094E-2</v>
      </c>
      <c r="BO189" s="297">
        <f t="shared" si="139"/>
        <v>3.7668884950794235E-2</v>
      </c>
      <c r="BU189" s="288"/>
      <c r="BV189" s="284" t="s">
        <v>383</v>
      </c>
      <c r="BW189" s="284">
        <f t="shared" si="135"/>
        <v>3.7458380330138964E-2</v>
      </c>
      <c r="BX189" s="297">
        <f t="shared" si="140"/>
        <v>4.6589376447156994E-2</v>
      </c>
      <c r="CD189" s="288"/>
    </row>
    <row r="190" spans="1:82">
      <c r="A190" s="284">
        <f t="shared" ref="A190:A235" si="145">A69</f>
        <v>55</v>
      </c>
      <c r="B190" s="284" t="s">
        <v>384</v>
      </c>
      <c r="C190" s="284">
        <f t="shared" ref="C190:C235" si="146">C$116+C$117*((1-EXP(-$A190/C$120))/($A190/C$120))+C$118*((1-EXP(-$A190/C$120))/($A190/C$120)-EXP(-$A190/C$120))+C$119*((1-EXP(-$A190/C$121))/($A190/C$121)-EXP(-$A190/C$121))</f>
        <v>3.3178671037874641E-2</v>
      </c>
      <c r="D190" s="297">
        <f t="shared" si="141"/>
        <v>4.1366273736611836E-2</v>
      </c>
      <c r="J190" s="285"/>
      <c r="K190" s="284" t="s">
        <v>384</v>
      </c>
      <c r="L190" s="284">
        <f t="shared" ref="L190:L235" si="147">L$116+L$117*((1-EXP(-$A190/L$120))/($A190/L$120))+L$118*((1-EXP(-$A190/L$120))/($A190/L$120)-EXP(-$A190/L$120))+L$119*((1-EXP(-$A190/L$121))/($A190/L$121)-EXP(-$A190/L$121))</f>
        <v>4.9239577791951872E-3</v>
      </c>
      <c r="M190" s="297">
        <f t="shared" si="142"/>
        <v>9.5210249506558764E-3</v>
      </c>
      <c r="N190" s="297"/>
      <c r="O190" s="297"/>
      <c r="P190" s="297"/>
      <c r="Q190" s="297"/>
      <c r="R190" s="297"/>
      <c r="S190" s="299"/>
      <c r="T190" s="284" t="s">
        <v>384</v>
      </c>
      <c r="U190" s="284">
        <f t="shared" ref="U190:U235" si="148">U$116+U$117*((1-EXP(-$A190/U$120))/($A190/U$120))+U$118*((1-EXP(-$A190/U$120))/($A190/U$120)-EXP(-$A190/U$120))+U$119*((1-EXP(-$A190/U$121))/($A190/U$121)-EXP(-$A190/U$121))</f>
        <v>1.2640834129590068E-2</v>
      </c>
      <c r="V190" s="297">
        <f t="shared" si="143"/>
        <v>3.4111575800925831E-3</v>
      </c>
      <c r="W190" s="297"/>
      <c r="X190" s="297"/>
      <c r="Y190" s="297"/>
      <c r="Z190" s="297"/>
      <c r="AA190" s="297"/>
      <c r="AB190" s="299"/>
      <c r="AC190" s="284" t="s">
        <v>384</v>
      </c>
      <c r="AD190" s="284">
        <f t="shared" ref="AD190:AD235" si="149">AD$116+AD$117*((1-EXP(-$A190/AD$120))/($A190/AD$120))+AD$118*((1-EXP(-$A190/AD$120))/($A190/AD$120)-EXP(-$A190/AD$120))+AD$119*((1-EXP(-$A190/AD$121))/($A190/AD$121)-EXP(-$A190/AD$121))</f>
        <v>-4.1664248354280342E-3</v>
      </c>
      <c r="AE190" s="297">
        <f t="shared" si="144"/>
        <v>-2.1454526745790514E-2</v>
      </c>
      <c r="AF190" s="297"/>
      <c r="AG190" s="297"/>
      <c r="AH190" s="297"/>
      <c r="AI190" s="297"/>
      <c r="AJ190" s="297"/>
      <c r="AK190" s="299"/>
      <c r="AL190" s="284" t="s">
        <v>384</v>
      </c>
      <c r="AM190" s="284">
        <f t="shared" ref="AM190:AM235" si="150">AM$116+AM$117*((1-EXP(-$A190/AM$120))/($A190/AM$120))+AM$118*((1-EXP(-$A190/AM$120))/($A190/AM$120)-EXP(-$A190/AM$120))+AM$119*((1-EXP(-$A190/AM$121))/($A190/AM$121)-EXP(-$A190/AM$121))</f>
        <v>1.8908628823049462E-2</v>
      </c>
      <c r="AN190" s="297">
        <f t="shared" si="136"/>
        <v>2.1002432544093841E-2</v>
      </c>
      <c r="AO190" s="297"/>
      <c r="AP190" s="297"/>
      <c r="AQ190" s="297"/>
      <c r="AR190" s="297"/>
      <c r="AS190" s="297"/>
      <c r="AT190" s="299"/>
      <c r="AU190" s="284" t="s">
        <v>384</v>
      </c>
      <c r="AV190" s="284">
        <f t="shared" ref="AV190:AV235" si="151">AV$116+AV$117*((1-EXP(-$A190/AV$120))/($A190/AV$120))+AV$118*((1-EXP(-$A190/AV$120))/($A190/AV$120)-EXP(-$A190/AV$120))+AV$119*((1-EXP(-$A190/AV$121))/($A190/AV$121)-EXP(-$A190/AV$121))</f>
        <v>1.7116732019249091E-2</v>
      </c>
      <c r="AW190" s="297">
        <f t="shared" si="137"/>
        <v>3.4225661628528359E-2</v>
      </c>
      <c r="BC190" s="288"/>
      <c r="BD190" s="284" t="s">
        <v>384</v>
      </c>
      <c r="BE190" s="284">
        <f t="shared" ref="BE190:BE235" si="152">BE$116+BE$117*((1-EXP(-$A190/BE$120))/($A190/BE$120))+BE$118*((1-EXP(-$A190/BE$120))/($A190/BE$120)-EXP(-$A190/BE$120))+BE$119*((1-EXP(-$A190/BE$121))/($A190/BE$121)-EXP(-$A190/BE$121))</f>
        <v>2.7682528187946073E-2</v>
      </c>
      <c r="BF190" s="297">
        <f t="shared" si="138"/>
        <v>3.865059339984267E-2</v>
      </c>
      <c r="BG190" s="297"/>
      <c r="BH190" s="297"/>
      <c r="BI190" s="297"/>
      <c r="BJ190" s="297"/>
      <c r="BK190" s="297"/>
      <c r="BL190" s="288"/>
      <c r="BM190" s="284" t="s">
        <v>384</v>
      </c>
      <c r="BN190" s="284">
        <f t="shared" ref="BN190:BN235" si="153">BN$116+BN$117*((1-EXP(-$A190/BN$120))/($A190/BN$120))+BN$118*((1-EXP(-$A190/BN$120))/($A190/BN$120)-EXP(-$A190/BN$120))+BN$119*((1-EXP(-$A190/BN$121))/($A190/BN$121)-EXP(-$A190/BN$121))</f>
        <v>2.2744032318528215E-2</v>
      </c>
      <c r="BO190" s="297">
        <f t="shared" si="139"/>
        <v>3.7987894370932196E-2</v>
      </c>
      <c r="BU190" s="288"/>
      <c r="BV190" s="284" t="s">
        <v>384</v>
      </c>
      <c r="BW190" s="284">
        <f t="shared" ref="BW190:BW235" si="154">BW$116+BW$117*((1-EXP(-$A190/BW$120))/($A190/BW$120))+BW$118*((1-EXP(-$A190/BW$120))/($A190/BW$120)-EXP(-$A190/BW$120))+BW$119*((1-EXP(-$A190/BW$121))/($A190/BW$121)-EXP(-$A190/BW$121))</f>
        <v>3.7620547925129109E-2</v>
      </c>
      <c r="BX190" s="297">
        <f t="shared" si="140"/>
        <v>4.6415345191495483E-2</v>
      </c>
      <c r="CD190" s="288"/>
    </row>
    <row r="191" spans="1:82">
      <c r="A191" s="284">
        <f t="shared" si="145"/>
        <v>56</v>
      </c>
      <c r="B191" s="284" t="s">
        <v>385</v>
      </c>
      <c r="C191" s="284">
        <f t="shared" si="146"/>
        <v>3.3325285319549453E-2</v>
      </c>
      <c r="D191" s="297">
        <f t="shared" si="141"/>
        <v>4.1421193200433581E-2</v>
      </c>
      <c r="J191" s="285"/>
      <c r="K191" s="284" t="s">
        <v>385</v>
      </c>
      <c r="L191" s="284">
        <f t="shared" si="147"/>
        <v>5.0113646547549524E-3</v>
      </c>
      <c r="M191" s="297">
        <f t="shared" si="142"/>
        <v>9.8304690538857376E-3</v>
      </c>
      <c r="N191" s="297"/>
      <c r="O191" s="297"/>
      <c r="P191" s="297"/>
      <c r="Q191" s="297"/>
      <c r="R191" s="297"/>
      <c r="S191" s="299"/>
      <c r="T191" s="284" t="s">
        <v>385</v>
      </c>
      <c r="U191" s="284">
        <f t="shared" si="148"/>
        <v>1.2467491864320984E-2</v>
      </c>
      <c r="V191" s="297">
        <f t="shared" si="143"/>
        <v>2.9792223782880711E-3</v>
      </c>
      <c r="W191" s="297"/>
      <c r="X191" s="297"/>
      <c r="Y191" s="297"/>
      <c r="Z191" s="297"/>
      <c r="AA191" s="297"/>
      <c r="AB191" s="299"/>
      <c r="AC191" s="284" t="s">
        <v>385</v>
      </c>
      <c r="AD191" s="284">
        <f t="shared" si="149"/>
        <v>-4.4955076627632151E-3</v>
      </c>
      <c r="AE191" s="297">
        <f t="shared" si="144"/>
        <v>-2.2428582149480181E-2</v>
      </c>
      <c r="AF191" s="297"/>
      <c r="AG191" s="297"/>
      <c r="AH191" s="297"/>
      <c r="AI191" s="297"/>
      <c r="AJ191" s="297"/>
      <c r="AK191" s="299"/>
      <c r="AL191" s="284" t="s">
        <v>385</v>
      </c>
      <c r="AM191" s="284">
        <f t="shared" si="150"/>
        <v>1.8946176386893464E-2</v>
      </c>
      <c r="AN191" s="297">
        <f t="shared" si="136"/>
        <v>2.1013424643420153E-2</v>
      </c>
      <c r="AO191" s="297"/>
      <c r="AP191" s="297"/>
      <c r="AQ191" s="297"/>
      <c r="AR191" s="297"/>
      <c r="AS191" s="297"/>
      <c r="AT191" s="299"/>
      <c r="AU191" s="284" t="s">
        <v>385</v>
      </c>
      <c r="AV191" s="284">
        <f t="shared" si="151"/>
        <v>1.74255147085202E-2</v>
      </c>
      <c r="AW191" s="297">
        <f t="shared" si="137"/>
        <v>3.4553717652348492E-2</v>
      </c>
      <c r="BC191" s="288"/>
      <c r="BD191" s="284" t="s">
        <v>385</v>
      </c>
      <c r="BE191" s="284">
        <f t="shared" si="152"/>
        <v>2.7881376986337417E-2</v>
      </c>
      <c r="BF191" s="297">
        <f t="shared" si="138"/>
        <v>3.8877520434793089E-2</v>
      </c>
      <c r="BG191" s="297"/>
      <c r="BH191" s="297"/>
      <c r="BI191" s="297"/>
      <c r="BJ191" s="297"/>
      <c r="BK191" s="297"/>
      <c r="BL191" s="288"/>
      <c r="BM191" s="284" t="s">
        <v>385</v>
      </c>
      <c r="BN191" s="284">
        <f t="shared" si="153"/>
        <v>2.3019508125145041E-2</v>
      </c>
      <c r="BO191" s="297">
        <f t="shared" si="139"/>
        <v>3.8285500437003739E-2</v>
      </c>
      <c r="BU191" s="288"/>
      <c r="BV191" s="284" t="s">
        <v>385</v>
      </c>
      <c r="BW191" s="284">
        <f t="shared" si="154"/>
        <v>3.7773884537261854E-2</v>
      </c>
      <c r="BX191" s="297">
        <f t="shared" si="140"/>
        <v>4.6242387067479074E-2</v>
      </c>
      <c r="CD191" s="288"/>
    </row>
    <row r="192" spans="1:82">
      <c r="A192" s="284">
        <f t="shared" si="145"/>
        <v>57</v>
      </c>
      <c r="B192" s="284" t="s">
        <v>386</v>
      </c>
      <c r="C192" s="284">
        <f t="shared" si="146"/>
        <v>3.3467653296742589E-2</v>
      </c>
      <c r="D192" s="297">
        <f t="shared" si="141"/>
        <v>4.1471644728134915E-2</v>
      </c>
      <c r="J192" s="285"/>
      <c r="K192" s="284" t="s">
        <v>386</v>
      </c>
      <c r="L192" s="284">
        <f t="shared" si="147"/>
        <v>5.1012420533237748E-3</v>
      </c>
      <c r="M192" s="297">
        <f t="shared" si="142"/>
        <v>1.0147225547435967E-2</v>
      </c>
      <c r="N192" s="297"/>
      <c r="O192" s="297"/>
      <c r="P192" s="297"/>
      <c r="Q192" s="297"/>
      <c r="R192" s="297"/>
      <c r="S192" s="299"/>
      <c r="T192" s="284" t="s">
        <v>386</v>
      </c>
      <c r="U192" s="284">
        <f t="shared" si="148"/>
        <v>1.2292746550509187E-2</v>
      </c>
      <c r="V192" s="297">
        <f t="shared" si="143"/>
        <v>2.5549922316381313E-3</v>
      </c>
      <c r="W192" s="297"/>
      <c r="X192" s="297"/>
      <c r="Y192" s="297"/>
      <c r="Z192" s="297"/>
      <c r="AA192" s="297"/>
      <c r="AB192" s="299"/>
      <c r="AC192" s="284" t="s">
        <v>386</v>
      </c>
      <c r="AD192" s="284">
        <f t="shared" si="149"/>
        <v>-4.830252325994891E-3</v>
      </c>
      <c r="AE192" s="297">
        <f t="shared" si="144"/>
        <v>-2.3397410153363052E-2</v>
      </c>
      <c r="AF192" s="297"/>
      <c r="AG192" s="297"/>
      <c r="AH192" s="297"/>
      <c r="AI192" s="297"/>
      <c r="AJ192" s="297"/>
      <c r="AK192" s="299"/>
      <c r="AL192" s="284" t="s">
        <v>386</v>
      </c>
      <c r="AM192" s="284">
        <f t="shared" si="150"/>
        <v>1.8982574751739461E-2</v>
      </c>
      <c r="AN192" s="297">
        <f t="shared" si="136"/>
        <v>2.1022959673157704E-2</v>
      </c>
      <c r="AO192" s="297"/>
      <c r="AP192" s="297"/>
      <c r="AQ192" s="297"/>
      <c r="AR192" s="297"/>
      <c r="AS192" s="297"/>
      <c r="AT192" s="299"/>
      <c r="AU192" s="284" t="s">
        <v>386</v>
      </c>
      <c r="AV192" s="284">
        <f t="shared" si="151"/>
        <v>1.772899814308513E-2</v>
      </c>
      <c r="AW192" s="297">
        <f t="shared" si="137"/>
        <v>3.4869341264127218E-2</v>
      </c>
      <c r="BC192" s="288"/>
      <c r="BD192" s="284" t="s">
        <v>386</v>
      </c>
      <c r="BE192" s="284">
        <f t="shared" si="152"/>
        <v>2.8077115005344537E-2</v>
      </c>
      <c r="BF192" s="297">
        <f t="shared" si="138"/>
        <v>3.9098141786797269E-2</v>
      </c>
      <c r="BG192" s="297"/>
      <c r="BH192" s="297"/>
      <c r="BI192" s="297"/>
      <c r="BJ192" s="297"/>
      <c r="BK192" s="297"/>
      <c r="BL192" s="288"/>
      <c r="BM192" s="284" t="s">
        <v>386</v>
      </c>
      <c r="BN192" s="284">
        <f t="shared" si="153"/>
        <v>2.3290184784320326E-2</v>
      </c>
      <c r="BO192" s="297">
        <f t="shared" si="139"/>
        <v>3.8562935276233778E-2</v>
      </c>
      <c r="BU192" s="288"/>
      <c r="BV192" s="284" t="s">
        <v>386</v>
      </c>
      <c r="BW192" s="284">
        <f t="shared" si="154"/>
        <v>3.7918882678542272E-2</v>
      </c>
      <c r="BX192" s="297">
        <f t="shared" si="140"/>
        <v>4.6071195242038065E-2</v>
      </c>
      <c r="CD192" s="288"/>
    </row>
    <row r="193" spans="1:82">
      <c r="A193" s="284">
        <f t="shared" si="145"/>
        <v>58</v>
      </c>
      <c r="B193" s="284" t="s">
        <v>387</v>
      </c>
      <c r="C193" s="284">
        <f t="shared" si="146"/>
        <v>3.3605923313210273E-2</v>
      </c>
      <c r="D193" s="297">
        <f t="shared" si="141"/>
        <v>4.1517970377494162E-2</v>
      </c>
      <c r="J193" s="285"/>
      <c r="K193" s="284" t="s">
        <v>387</v>
      </c>
      <c r="L193" s="284">
        <f t="shared" si="147"/>
        <v>5.193576647899701E-3</v>
      </c>
      <c r="M193" s="297">
        <f t="shared" si="142"/>
        <v>1.0470694031504912E-2</v>
      </c>
      <c r="N193" s="297"/>
      <c r="O193" s="297"/>
      <c r="P193" s="297"/>
      <c r="Q193" s="297"/>
      <c r="R193" s="297"/>
      <c r="S193" s="299"/>
      <c r="T193" s="284" t="s">
        <v>387</v>
      </c>
      <c r="U193" s="284">
        <f t="shared" si="148"/>
        <v>1.2116803011207489E-2</v>
      </c>
      <c r="V193" s="297">
        <f t="shared" si="143"/>
        <v>2.1384067549679031E-3</v>
      </c>
      <c r="W193" s="297"/>
      <c r="X193" s="297"/>
      <c r="Y193" s="297"/>
      <c r="Z193" s="297"/>
      <c r="AA193" s="297"/>
      <c r="AB193" s="299"/>
      <c r="AC193" s="284" t="s">
        <v>387</v>
      </c>
      <c r="AD193" s="284">
        <f t="shared" si="149"/>
        <v>-5.1702652796942611E-3</v>
      </c>
      <c r="AE193" s="297">
        <f t="shared" si="144"/>
        <v>-2.4360193704921485E-2</v>
      </c>
      <c r="AF193" s="297"/>
      <c r="AG193" s="297"/>
      <c r="AH193" s="297"/>
      <c r="AI193" s="297"/>
      <c r="AJ193" s="297"/>
      <c r="AK193" s="299"/>
      <c r="AL193" s="284" t="s">
        <v>387</v>
      </c>
      <c r="AM193" s="284">
        <f t="shared" si="150"/>
        <v>1.9017859945559719E-2</v>
      </c>
      <c r="AN193" s="297">
        <f t="shared" si="136"/>
        <v>2.1031137019203117E-2</v>
      </c>
      <c r="AO193" s="297"/>
      <c r="AP193" s="297"/>
      <c r="AQ193" s="297"/>
      <c r="AR193" s="297"/>
      <c r="AS193" s="297"/>
      <c r="AT193" s="299"/>
      <c r="AU193" s="284" t="s">
        <v>387</v>
      </c>
      <c r="AV193" s="284">
        <f t="shared" si="151"/>
        <v>1.8027250608455076E-2</v>
      </c>
      <c r="AW193" s="297">
        <f t="shared" si="137"/>
        <v>3.5172915045346809E-2</v>
      </c>
      <c r="BC193" s="288"/>
      <c r="BD193" s="284" t="s">
        <v>387</v>
      </c>
      <c r="BE193" s="284">
        <f t="shared" si="152"/>
        <v>2.826979743163216E-2</v>
      </c>
      <c r="BF193" s="297">
        <f t="shared" si="138"/>
        <v>3.9312599205018728E-2</v>
      </c>
      <c r="BG193" s="297"/>
      <c r="BH193" s="297"/>
      <c r="BI193" s="297"/>
      <c r="BJ193" s="297"/>
      <c r="BK193" s="297"/>
      <c r="BL193" s="288"/>
      <c r="BM193" s="284" t="s">
        <v>387</v>
      </c>
      <c r="BN193" s="284">
        <f t="shared" si="153"/>
        <v>2.3555986807771524E-2</v>
      </c>
      <c r="BO193" s="297">
        <f t="shared" si="139"/>
        <v>3.8821385078613435E-2</v>
      </c>
      <c r="BU193" s="288"/>
      <c r="BV193" s="284" t="s">
        <v>387</v>
      </c>
      <c r="BW193" s="284">
        <f t="shared" si="154"/>
        <v>3.80560113745992E-2</v>
      </c>
      <c r="BX193" s="297">
        <f t="shared" si="140"/>
        <v>4.5902368925630155E-2</v>
      </c>
      <c r="CD193" s="288"/>
    </row>
    <row r="194" spans="1:82">
      <c r="A194" s="284">
        <f t="shared" si="145"/>
        <v>59</v>
      </c>
      <c r="B194" s="284" t="s">
        <v>388</v>
      </c>
      <c r="C194" s="284">
        <f t="shared" si="146"/>
        <v>3.3740239025928792E-2</v>
      </c>
      <c r="D194" s="297">
        <f t="shared" si="141"/>
        <v>4.156048828010972E-2</v>
      </c>
      <c r="J194" s="285"/>
      <c r="K194" s="284" t="s">
        <v>388</v>
      </c>
      <c r="L194" s="284">
        <f t="shared" si="147"/>
        <v>5.2883462298484139E-3</v>
      </c>
      <c r="M194" s="297">
        <f t="shared" si="142"/>
        <v>1.080029696606255E-2</v>
      </c>
      <c r="N194" s="297"/>
      <c r="O194" s="297"/>
      <c r="P194" s="297"/>
      <c r="Q194" s="297"/>
      <c r="R194" s="297"/>
      <c r="S194" s="299"/>
      <c r="T194" s="284" t="s">
        <v>388</v>
      </c>
      <c r="U194" s="284">
        <f t="shared" si="148"/>
        <v>1.1939851149583375E-2</v>
      </c>
      <c r="V194" s="297">
        <f t="shared" si="143"/>
        <v>1.7294011514381591E-3</v>
      </c>
      <c r="W194" s="297"/>
      <c r="X194" s="297"/>
      <c r="Y194" s="297"/>
      <c r="Z194" s="297"/>
      <c r="AA194" s="297"/>
      <c r="AB194" s="299"/>
      <c r="AC194" s="284" t="s">
        <v>388</v>
      </c>
      <c r="AD194" s="284">
        <f t="shared" si="149"/>
        <v>-5.5151660800027841E-3</v>
      </c>
      <c r="AE194" s="297">
        <f t="shared" si="144"/>
        <v>-2.5316161192407094E-2</v>
      </c>
      <c r="AF194" s="297"/>
      <c r="AG194" s="297"/>
      <c r="AH194" s="297"/>
      <c r="AI194" s="297"/>
      <c r="AJ194" s="297"/>
      <c r="AK194" s="299"/>
      <c r="AL194" s="284" t="s">
        <v>388</v>
      </c>
      <c r="AM194" s="284">
        <f t="shared" si="150"/>
        <v>1.9052067181354933E-2</v>
      </c>
      <c r="AN194" s="297">
        <f t="shared" si="136"/>
        <v>2.1038052847071942E-2</v>
      </c>
      <c r="AO194" s="297"/>
      <c r="AP194" s="297"/>
      <c r="AQ194" s="297"/>
      <c r="AR194" s="297"/>
      <c r="AS194" s="297"/>
      <c r="AT194" s="299"/>
      <c r="AU194" s="284" t="s">
        <v>388</v>
      </c>
      <c r="AV194" s="284">
        <f t="shared" si="151"/>
        <v>1.8320342064039052E-2</v>
      </c>
      <c r="AW194" s="297">
        <f t="shared" si="137"/>
        <v>3.5464816076733463E-2</v>
      </c>
      <c r="BC194" s="288"/>
      <c r="BD194" s="284" t="s">
        <v>388</v>
      </c>
      <c r="BE194" s="284">
        <f t="shared" si="152"/>
        <v>2.8459478051774088E-2</v>
      </c>
      <c r="BF194" s="297">
        <f t="shared" si="138"/>
        <v>3.9521031575409538E-2</v>
      </c>
      <c r="BG194" s="297"/>
      <c r="BH194" s="297"/>
      <c r="BI194" s="297"/>
      <c r="BJ194" s="297"/>
      <c r="BK194" s="297"/>
      <c r="BL194" s="288"/>
      <c r="BM194" s="284" t="s">
        <v>388</v>
      </c>
      <c r="BN194" s="284">
        <f t="shared" si="153"/>
        <v>2.3816862808052498E-2</v>
      </c>
      <c r="BO194" s="297">
        <f t="shared" si="139"/>
        <v>3.9061988181861018E-2</v>
      </c>
      <c r="BU194" s="288"/>
      <c r="BV194" s="284" t="s">
        <v>388</v>
      </c>
      <c r="BW194" s="284">
        <f t="shared" si="154"/>
        <v>3.8185716708198689E-2</v>
      </c>
      <c r="BX194" s="297">
        <f t="shared" si="140"/>
        <v>4.5736421686231488E-2</v>
      </c>
      <c r="CD194" s="288"/>
    </row>
    <row r="195" spans="1:82">
      <c r="A195" s="284">
        <f t="shared" si="145"/>
        <v>60</v>
      </c>
      <c r="B195" s="284" t="s">
        <v>389</v>
      </c>
      <c r="C195" s="284">
        <f t="shared" si="146"/>
        <v>3.387073942360172E-2</v>
      </c>
      <c r="D195" s="297">
        <f t="shared" si="141"/>
        <v>4.1599494049201713E-2</v>
      </c>
      <c r="J195" s="285"/>
      <c r="K195" s="284" t="s">
        <v>389</v>
      </c>
      <c r="L195" s="284">
        <f t="shared" si="147"/>
        <v>5.3855208334341945E-3</v>
      </c>
      <c r="M195" s="297">
        <f t="shared" si="142"/>
        <v>1.113547957418981E-2</v>
      </c>
      <c r="N195" s="297"/>
      <c r="O195" s="297"/>
      <c r="P195" s="297"/>
      <c r="Q195" s="297"/>
      <c r="R195" s="297"/>
      <c r="S195" s="299"/>
      <c r="T195" s="284" t="s">
        <v>389</v>
      </c>
      <c r="U195" s="284">
        <f t="shared" si="148"/>
        <v>1.1762067128207931E-2</v>
      </c>
      <c r="V195" s="297">
        <f t="shared" si="143"/>
        <v>1.327907136928097E-3</v>
      </c>
      <c r="W195" s="297"/>
      <c r="X195" s="297"/>
      <c r="Y195" s="297"/>
      <c r="Z195" s="297"/>
      <c r="AA195" s="297"/>
      <c r="AB195" s="299"/>
      <c r="AC195" s="284" t="s">
        <v>389</v>
      </c>
      <c r="AD195" s="284">
        <f t="shared" si="149"/>
        <v>-5.8645870202410494E-3</v>
      </c>
      <c r="AE195" s="297">
        <f t="shared" si="144"/>
        <v>-2.6264584661751189E-2</v>
      </c>
      <c r="AF195" s="297"/>
      <c r="AG195" s="297"/>
      <c r="AH195" s="297"/>
      <c r="AI195" s="297"/>
      <c r="AJ195" s="297"/>
      <c r="AK195" s="299"/>
      <c r="AL195" s="284" t="s">
        <v>389</v>
      </c>
      <c r="AM195" s="284">
        <f t="shared" si="150"/>
        <v>1.9085230872902429E-2</v>
      </c>
      <c r="AN195" s="297">
        <f t="shared" si="136"/>
        <v>2.1043800181298478E-2</v>
      </c>
      <c r="AO195" s="297"/>
      <c r="AP195" s="297"/>
      <c r="AQ195" s="297"/>
      <c r="AR195" s="297"/>
      <c r="AS195" s="297"/>
      <c r="AT195" s="299"/>
      <c r="AU195" s="284" t="s">
        <v>389</v>
      </c>
      <c r="AV195" s="284">
        <f t="shared" si="151"/>
        <v>1.8608343905152775E-2</v>
      </c>
      <c r="AW195" s="297">
        <f t="shared" si="137"/>
        <v>3.5745415513972256E-2</v>
      </c>
      <c r="BC195" s="288"/>
      <c r="BD195" s="284" t="s">
        <v>389</v>
      </c>
      <c r="BE195" s="284">
        <f t="shared" si="152"/>
        <v>2.8646209321840001E-2</v>
      </c>
      <c r="BF195" s="297">
        <f t="shared" si="138"/>
        <v>3.9723574973816067E-2</v>
      </c>
      <c r="BG195" s="297"/>
      <c r="BH195" s="297"/>
      <c r="BI195" s="297"/>
      <c r="BJ195" s="297"/>
      <c r="BK195" s="297"/>
      <c r="BL195" s="288"/>
      <c r="BM195" s="284" t="s">
        <v>389</v>
      </c>
      <c r="BN195" s="284">
        <f t="shared" si="153"/>
        <v>2.4072782684259712E-2</v>
      </c>
      <c r="BO195" s="297">
        <f t="shared" si="139"/>
        <v>3.9285833888918154E-2</v>
      </c>
      <c r="BU195" s="288"/>
      <c r="BV195" s="284" t="s">
        <v>389</v>
      </c>
      <c r="BW195" s="284">
        <f t="shared" si="154"/>
        <v>3.830842243604772E-2</v>
      </c>
      <c r="BX195" s="297">
        <f t="shared" si="140"/>
        <v>4.5573789255067387E-2</v>
      </c>
      <c r="CD195" s="288"/>
    </row>
    <row r="196" spans="1:82">
      <c r="A196" s="284">
        <f t="shared" si="145"/>
        <v>61</v>
      </c>
      <c r="B196" s="284" t="s">
        <v>390</v>
      </c>
      <c r="C196" s="284">
        <f t="shared" si="146"/>
        <v>3.399755886532746E-2</v>
      </c>
      <c r="D196" s="297">
        <f t="shared" si="141"/>
        <v>4.1635262138809193E-2</v>
      </c>
      <c r="J196" s="285"/>
      <c r="K196" s="284" t="s">
        <v>390</v>
      </c>
      <c r="L196" s="284">
        <f t="shared" si="147"/>
        <v>5.4850637458909932E-3</v>
      </c>
      <c r="M196" s="297">
        <f t="shared" si="142"/>
        <v>1.1475709618510965E-2</v>
      </c>
      <c r="N196" s="297"/>
      <c r="O196" s="297"/>
      <c r="P196" s="297"/>
      <c r="Q196" s="297"/>
      <c r="R196" s="297"/>
      <c r="S196" s="299"/>
      <c r="T196" s="284" t="s">
        <v>390</v>
      </c>
      <c r="U196" s="284">
        <f t="shared" si="148"/>
        <v>1.1583614445371766E-2</v>
      </c>
      <c r="V196" s="297">
        <f t="shared" si="143"/>
        <v>9.3385370511467336E-4</v>
      </c>
      <c r="W196" s="297"/>
      <c r="X196" s="297"/>
      <c r="Y196" s="297"/>
      <c r="Z196" s="297"/>
      <c r="AA196" s="297"/>
      <c r="AB196" s="299"/>
      <c r="AC196" s="284" t="s">
        <v>390</v>
      </c>
      <c r="AD196" s="284">
        <f t="shared" si="149"/>
        <v>-6.2181727759620248E-3</v>
      </c>
      <c r="AE196" s="297">
        <f t="shared" si="144"/>
        <v>-2.7204778094324089E-2</v>
      </c>
      <c r="AF196" s="297"/>
      <c r="AG196" s="297"/>
      <c r="AH196" s="297"/>
      <c r="AI196" s="297"/>
      <c r="AJ196" s="297"/>
      <c r="AK196" s="299"/>
      <c r="AL196" s="284" t="s">
        <v>390</v>
      </c>
      <c r="AM196" s="284">
        <f t="shared" si="150"/>
        <v>1.9117384650224913E-2</v>
      </c>
      <c r="AN196" s="297">
        <f t="shared" si="136"/>
        <v>2.1048468983273505E-2</v>
      </c>
      <c r="AO196" s="297"/>
      <c r="AP196" s="297"/>
      <c r="AQ196" s="297"/>
      <c r="AR196" s="297"/>
      <c r="AS196" s="297"/>
      <c r="AT196" s="299"/>
      <c r="AU196" s="284" t="s">
        <v>390</v>
      </c>
      <c r="AV196" s="284">
        <f t="shared" si="151"/>
        <v>1.8891328742570362E-2</v>
      </c>
      <c r="AW196" s="297">
        <f t="shared" si="137"/>
        <v>3.6015078209531204E-2</v>
      </c>
      <c r="BC196" s="288"/>
      <c r="BD196" s="284" t="s">
        <v>390</v>
      </c>
      <c r="BE196" s="284">
        <f t="shared" si="152"/>
        <v>2.8830042431033466E-2</v>
      </c>
      <c r="BF196" s="297">
        <f t="shared" si="138"/>
        <v>3.9920362717966507E-2</v>
      </c>
      <c r="BG196" s="297"/>
      <c r="BH196" s="297"/>
      <c r="BI196" s="297"/>
      <c r="BJ196" s="297"/>
      <c r="BK196" s="297"/>
      <c r="BL196" s="288"/>
      <c r="BM196" s="284" t="s">
        <v>390</v>
      </c>
      <c r="BN196" s="284">
        <f t="shared" si="153"/>
        <v>2.4323735076772126E-2</v>
      </c>
      <c r="BO196" s="297">
        <f t="shared" si="139"/>
        <v>3.9493961901121644E-2</v>
      </c>
      <c r="BU196" s="288"/>
      <c r="BV196" s="284" t="s">
        <v>390</v>
      </c>
      <c r="BW196" s="284">
        <f t="shared" si="154"/>
        <v>3.8424530662650912E-2</v>
      </c>
      <c r="BX196" s="297">
        <f t="shared" si="140"/>
        <v>4.5414836830584004E-2</v>
      </c>
      <c r="CD196" s="288"/>
    </row>
    <row r="197" spans="1:82">
      <c r="A197" s="284">
        <f t="shared" si="145"/>
        <v>62</v>
      </c>
      <c r="B197" s="284" t="s">
        <v>391</v>
      </c>
      <c r="C197" s="284">
        <f t="shared" si="146"/>
        <v>3.4120827136328302E-2</v>
      </c>
      <c r="D197" s="297">
        <f t="shared" si="141"/>
        <v>4.1668047150895671E-2</v>
      </c>
      <c r="J197" s="285"/>
      <c r="K197" s="284" t="s">
        <v>391</v>
      </c>
      <c r="L197" s="284">
        <f t="shared" si="147"/>
        <v>5.5869324142875619E-3</v>
      </c>
      <c r="M197" s="297">
        <f t="shared" si="142"/>
        <v>1.1820477076242009E-2</v>
      </c>
      <c r="N197" s="297"/>
      <c r="O197" s="297"/>
      <c r="P197" s="297"/>
      <c r="Q197" s="297"/>
      <c r="R197" s="297"/>
      <c r="S197" s="299"/>
      <c r="T197" s="284" t="s">
        <v>391</v>
      </c>
      <c r="U197" s="284">
        <f t="shared" si="148"/>
        <v>1.1404644917872072E-2</v>
      </c>
      <c r="V197" s="297">
        <f t="shared" si="143"/>
        <v>5.4716775986318744E-4</v>
      </c>
      <c r="W197" s="297"/>
      <c r="X197" s="297"/>
      <c r="Y197" s="297"/>
      <c r="Z197" s="297"/>
      <c r="AA197" s="297"/>
      <c r="AB197" s="299"/>
      <c r="AC197" s="284" t="s">
        <v>391</v>
      </c>
      <c r="AD197" s="284">
        <f t="shared" si="149"/>
        <v>-6.575580059208469E-3</v>
      </c>
      <c r="AE197" s="297">
        <f t="shared" si="144"/>
        <v>-2.8136095743255263E-2</v>
      </c>
      <c r="AF197" s="297"/>
      <c r="AG197" s="297"/>
      <c r="AH197" s="297"/>
      <c r="AI197" s="297"/>
      <c r="AJ197" s="297"/>
      <c r="AK197" s="299"/>
      <c r="AL197" s="284" t="s">
        <v>391</v>
      </c>
      <c r="AM197" s="284">
        <f t="shared" si="150"/>
        <v>1.9148561374784951E-2</v>
      </c>
      <c r="AN197" s="297">
        <f t="shared" si="136"/>
        <v>2.1052146227362734E-2</v>
      </c>
      <c r="AO197" s="297"/>
      <c r="AP197" s="297"/>
      <c r="AQ197" s="297"/>
      <c r="AR197" s="297"/>
      <c r="AS197" s="297"/>
      <c r="AT197" s="299"/>
      <c r="AU197" s="284" t="s">
        <v>391</v>
      </c>
      <c r="AV197" s="284">
        <f t="shared" si="151"/>
        <v>1.9169370198332546E-2</v>
      </c>
      <c r="AW197" s="297">
        <f t="shared" si="137"/>
        <v>3.6274162380140584E-2</v>
      </c>
      <c r="BC197" s="288"/>
      <c r="BD197" s="284" t="s">
        <v>391</v>
      </c>
      <c r="BE197" s="284">
        <f t="shared" si="152"/>
        <v>2.9011027360036426E-2</v>
      </c>
      <c r="BF197" s="297">
        <f t="shared" si="138"/>
        <v>4.0111525418644378E-2</v>
      </c>
      <c r="BG197" s="297"/>
      <c r="BH197" s="297"/>
      <c r="BI197" s="297"/>
      <c r="BJ197" s="297"/>
      <c r="BK197" s="297"/>
      <c r="BL197" s="288"/>
      <c r="BM197" s="284" t="s">
        <v>391</v>
      </c>
      <c r="BN197" s="284">
        <f t="shared" si="153"/>
        <v>2.4569725068502427E-2</v>
      </c>
      <c r="BO197" s="297">
        <f t="shared" si="139"/>
        <v>3.9687362264851922E-2</v>
      </c>
      <c r="BU197" s="288"/>
      <c r="BV197" s="284" t="s">
        <v>391</v>
      </c>
      <c r="BW197" s="284">
        <f t="shared" si="154"/>
        <v>3.8534422557209395E-2</v>
      </c>
      <c r="BX197" s="297">
        <f t="shared" si="140"/>
        <v>4.5259865891044582E-2</v>
      </c>
      <c r="CD197" s="288"/>
    </row>
    <row r="198" spans="1:82">
      <c r="A198" s="284">
        <f t="shared" si="145"/>
        <v>63</v>
      </c>
      <c r="B198" s="284" t="s">
        <v>392</v>
      </c>
      <c r="C198" s="284">
        <f t="shared" si="146"/>
        <v>3.4240669517996328E-2</v>
      </c>
      <c r="D198" s="297">
        <f t="shared" si="141"/>
        <v>4.1698085087620962E-2</v>
      </c>
      <c r="J198" s="285"/>
      <c r="K198" s="284" t="s">
        <v>392</v>
      </c>
      <c r="L198" s="284">
        <f t="shared" si="147"/>
        <v>5.6910792593617664E-3</v>
      </c>
      <c r="M198" s="297">
        <f t="shared" si="142"/>
        <v>1.2169293734586528E-2</v>
      </c>
      <c r="N198" s="297"/>
      <c r="O198" s="297"/>
      <c r="P198" s="297"/>
      <c r="Q198" s="297"/>
      <c r="R198" s="297"/>
      <c r="S198" s="299"/>
      <c r="T198" s="284" t="s">
        <v>392</v>
      </c>
      <c r="U198" s="284">
        <f t="shared" si="148"/>
        <v>1.1225299578871365E-2</v>
      </c>
      <c r="V198" s="297">
        <f t="shared" si="143"/>
        <v>1.6777463752815081E-4</v>
      </c>
      <c r="W198" s="297"/>
      <c r="X198" s="297"/>
      <c r="Y198" s="297"/>
      <c r="Z198" s="297"/>
      <c r="AA198" s="297"/>
      <c r="AB198" s="299"/>
      <c r="AC198" s="284" t="s">
        <v>392</v>
      </c>
      <c r="AD198" s="284">
        <f t="shared" si="149"/>
        <v>-6.936477281746567E-3</v>
      </c>
      <c r="AE198" s="297">
        <f t="shared" si="144"/>
        <v>-2.905793052716843E-2</v>
      </c>
      <c r="AF198" s="297"/>
      <c r="AG198" s="297"/>
      <c r="AH198" s="297"/>
      <c r="AI198" s="297"/>
      <c r="AJ198" s="297"/>
      <c r="AK198" s="299"/>
      <c r="AL198" s="284" t="s">
        <v>392</v>
      </c>
      <c r="AM198" s="284">
        <f t="shared" si="150"/>
        <v>1.9178793154408728E-2</v>
      </c>
      <c r="AN198" s="297">
        <f t="shared" si="136"/>
        <v>2.1054915975484256E-2</v>
      </c>
      <c r="AO198" s="297"/>
      <c r="AP198" s="297"/>
      <c r="AQ198" s="297"/>
      <c r="AR198" s="297"/>
      <c r="AS198" s="297"/>
      <c r="AT198" s="299"/>
      <c r="AU198" s="284" t="s">
        <v>392</v>
      </c>
      <c r="AV198" s="284">
        <f t="shared" si="151"/>
        <v>1.9442542716658615E-2</v>
      </c>
      <c r="AW198" s="297">
        <f t="shared" si="137"/>
        <v>3.6523019316851535E-2</v>
      </c>
      <c r="BC198" s="288"/>
      <c r="BD198" s="284" t="s">
        <v>392</v>
      </c>
      <c r="BE198" s="284">
        <f t="shared" si="152"/>
        <v>2.9189212934632388E-2</v>
      </c>
      <c r="BF198" s="297">
        <f t="shared" si="138"/>
        <v>4.0297191030158608E-2</v>
      </c>
      <c r="BG198" s="297"/>
      <c r="BH198" s="297"/>
      <c r="BI198" s="297"/>
      <c r="BJ198" s="297"/>
      <c r="BK198" s="297"/>
      <c r="BL198" s="288"/>
      <c r="BM198" s="284" t="s">
        <v>392</v>
      </c>
      <c r="BN198" s="284">
        <f t="shared" si="153"/>
        <v>2.4810772111652848E-2</v>
      </c>
      <c r="BO198" s="297">
        <f t="shared" si="139"/>
        <v>3.9866975742902433E-2</v>
      </c>
      <c r="BU198" s="288"/>
      <c r="BV198" s="284" t="s">
        <v>392</v>
      </c>
      <c r="BW198" s="284">
        <f t="shared" si="154"/>
        <v>3.8638459101517926E-2</v>
      </c>
      <c r="BX198" s="297">
        <f t="shared" si="140"/>
        <v>4.5109120530769875E-2</v>
      </c>
      <c r="CD198" s="288"/>
    </row>
    <row r="199" spans="1:82">
      <c r="A199" s="284">
        <f t="shared" si="145"/>
        <v>64</v>
      </c>
      <c r="B199" s="284" t="s">
        <v>393</v>
      </c>
      <c r="C199" s="284">
        <f t="shared" si="146"/>
        <v>3.4357206869831847E-2</v>
      </c>
      <c r="D199" s="297">
        <f t="shared" si="141"/>
        <v>4.1725594547733946E-2</v>
      </c>
      <c r="J199" s="285"/>
      <c r="K199" s="284" t="s">
        <v>393</v>
      </c>
      <c r="L199" s="284">
        <f t="shared" si="147"/>
        <v>5.7974524055140232E-3</v>
      </c>
      <c r="M199" s="297">
        <f t="shared" si="142"/>
        <v>1.2521692724371425E-2</v>
      </c>
      <c r="N199" s="297"/>
      <c r="O199" s="297"/>
      <c r="P199" s="297"/>
      <c r="Q199" s="297"/>
      <c r="R199" s="297"/>
      <c r="S199" s="299"/>
      <c r="T199" s="284" t="s">
        <v>393</v>
      </c>
      <c r="U199" s="284">
        <f t="shared" si="148"/>
        <v>1.1045709498647888E-2</v>
      </c>
      <c r="V199" s="297">
        <f t="shared" si="143"/>
        <v>-2.0440146295663819E-4</v>
      </c>
      <c r="W199" s="297"/>
      <c r="X199" s="297"/>
      <c r="Y199" s="297"/>
      <c r="Z199" s="297"/>
      <c r="AA199" s="297"/>
      <c r="AB199" s="299"/>
      <c r="AC199" s="284" t="s">
        <v>393</v>
      </c>
      <c r="AD199" s="284">
        <f t="shared" si="149"/>
        <v>-7.3005442270489551E-3</v>
      </c>
      <c r="AE199" s="297">
        <f t="shared" si="144"/>
        <v>-2.9969712479446797E-2</v>
      </c>
      <c r="AF199" s="297"/>
      <c r="AG199" s="297"/>
      <c r="AH199" s="297"/>
      <c r="AI199" s="297"/>
      <c r="AJ199" s="297"/>
      <c r="AK199" s="299"/>
      <c r="AL199" s="284" t="s">
        <v>393</v>
      </c>
      <c r="AM199" s="284">
        <f t="shared" si="150"/>
        <v>1.9208111357944598E-2</v>
      </c>
      <c r="AN199" s="297">
        <f t="shared" si="136"/>
        <v>2.1056859450090837E-2</v>
      </c>
      <c r="AO199" s="297"/>
      <c r="AP199" s="297"/>
      <c r="AQ199" s="297"/>
      <c r="AR199" s="297"/>
      <c r="AS199" s="297"/>
      <c r="AT199" s="299"/>
      <c r="AU199" s="284" t="s">
        <v>393</v>
      </c>
      <c r="AV199" s="284">
        <f t="shared" si="151"/>
        <v>1.9710921388922151E-2</v>
      </c>
      <c r="AW199" s="297">
        <f t="shared" si="137"/>
        <v>3.6761993136604554E-2</v>
      </c>
      <c r="BC199" s="288"/>
      <c r="BD199" s="284" t="s">
        <v>393</v>
      </c>
      <c r="BE199" s="284">
        <f t="shared" si="152"/>
        <v>2.936464687510934E-2</v>
      </c>
      <c r="BF199" s="297">
        <f t="shared" si="138"/>
        <v>4.0477484899814176E-2</v>
      </c>
      <c r="BG199" s="297"/>
      <c r="BH199" s="297"/>
      <c r="BI199" s="297"/>
      <c r="BJ199" s="297"/>
      <c r="BK199" s="297"/>
      <c r="BL199" s="288"/>
      <c r="BM199" s="284" t="s">
        <v>393</v>
      </c>
      <c r="BN199" s="284">
        <f t="shared" si="153"/>
        <v>2.5046908160449743E-2</v>
      </c>
      <c r="BO199" s="297">
        <f t="shared" si="139"/>
        <v>4.003369453355754E-2</v>
      </c>
      <c r="BU199" s="288"/>
      <c r="BV199" s="284" t="s">
        <v>393</v>
      </c>
      <c r="BW199" s="284">
        <f t="shared" si="154"/>
        <v>3.873698185854757E-2</v>
      </c>
      <c r="BX199" s="297">
        <f t="shared" si="140"/>
        <v>4.4962793335943552E-2</v>
      </c>
      <c r="CD199" s="288"/>
    </row>
    <row r="200" spans="1:82">
      <c r="A200" s="284">
        <f t="shared" si="145"/>
        <v>65</v>
      </c>
      <c r="B200" s="284" t="s">
        <v>394</v>
      </c>
      <c r="C200" s="284">
        <f t="shared" si="146"/>
        <v>3.4470555721136026E-2</v>
      </c>
      <c r="D200" s="297">
        <f t="shared" si="141"/>
        <v>4.1750777866099265E-2</v>
      </c>
      <c r="J200" s="285"/>
      <c r="K200" s="284" t="s">
        <v>394</v>
      </c>
      <c r="L200" s="284">
        <f t="shared" si="147"/>
        <v>5.9059963352524752E-3</v>
      </c>
      <c r="M200" s="297">
        <f t="shared" si="142"/>
        <v>1.2877228006731967E-2</v>
      </c>
      <c r="N200" s="297"/>
      <c r="O200" s="297"/>
      <c r="P200" s="297"/>
      <c r="Q200" s="297"/>
      <c r="R200" s="297"/>
      <c r="S200" s="299"/>
      <c r="T200" s="284" t="s">
        <v>394</v>
      </c>
      <c r="U200" s="284">
        <f t="shared" si="148"/>
        <v>1.0865996535338353E-2</v>
      </c>
      <c r="V200" s="297">
        <f t="shared" si="143"/>
        <v>-5.6943712575341365E-4</v>
      </c>
      <c r="W200" s="297"/>
      <c r="X200" s="297"/>
      <c r="Y200" s="297"/>
      <c r="Z200" s="297"/>
      <c r="AA200" s="297"/>
      <c r="AB200" s="299"/>
      <c r="AC200" s="284" t="s">
        <v>394</v>
      </c>
      <c r="AD200" s="284">
        <f t="shared" si="149"/>
        <v>-7.6674717308064522E-3</v>
      </c>
      <c r="AE200" s="297">
        <f t="shared" si="144"/>
        <v>-3.0870907251465241E-2</v>
      </c>
      <c r="AF200" s="297"/>
      <c r="AG200" s="297"/>
      <c r="AH200" s="297"/>
      <c r="AI200" s="297"/>
      <c r="AJ200" s="297"/>
      <c r="AK200" s="299"/>
      <c r="AL200" s="284" t="s">
        <v>394</v>
      </c>
      <c r="AM200" s="284">
        <f t="shared" si="150"/>
        <v>1.9236546629660688E-2</v>
      </c>
      <c r="AN200" s="297">
        <f t="shared" si="136"/>
        <v>2.1058055105559692E-2</v>
      </c>
      <c r="AO200" s="297"/>
      <c r="AP200" s="297"/>
      <c r="AQ200" s="297"/>
      <c r="AR200" s="297"/>
      <c r="AS200" s="297"/>
      <c r="AT200" s="299"/>
      <c r="AU200" s="284" t="s">
        <v>394</v>
      </c>
      <c r="AV200" s="284">
        <f t="shared" si="151"/>
        <v>1.9974581791746365E-2</v>
      </c>
      <c r="AW200" s="297">
        <f t="shared" si="137"/>
        <v>3.6991420572204614E-2</v>
      </c>
      <c r="BC200" s="288"/>
      <c r="BD200" s="284" t="s">
        <v>394</v>
      </c>
      <c r="BE200" s="284">
        <f t="shared" si="152"/>
        <v>2.9537375841882114E-2</v>
      </c>
      <c r="BF200" s="297">
        <f t="shared" si="138"/>
        <v>4.0652529816692651E-2</v>
      </c>
      <c r="BG200" s="297"/>
      <c r="BH200" s="297"/>
      <c r="BI200" s="297"/>
      <c r="BJ200" s="297"/>
      <c r="BK200" s="297"/>
      <c r="BL200" s="288"/>
      <c r="BM200" s="284" t="s">
        <v>394</v>
      </c>
      <c r="BN200" s="284">
        <f t="shared" si="153"/>
        <v>2.5278175991760417E-2</v>
      </c>
      <c r="BO200" s="297">
        <f t="shared" si="139"/>
        <v>4.0188363271096428E-2</v>
      </c>
      <c r="BU200" s="288"/>
      <c r="BV200" s="284" t="s">
        <v>394</v>
      </c>
      <c r="BW200" s="284">
        <f t="shared" si="154"/>
        <v>3.8830313752926442E-2</v>
      </c>
      <c r="BX200" s="297">
        <f t="shared" si="140"/>
        <v>4.4821030819978347E-2</v>
      </c>
      <c r="CD200" s="288"/>
    </row>
    <row r="201" spans="1:82">
      <c r="A201" s="284">
        <f t="shared" si="145"/>
        <v>66</v>
      </c>
      <c r="B201" s="284" t="s">
        <v>395</v>
      </c>
      <c r="C201" s="284">
        <f t="shared" si="146"/>
        <v>3.4580828370577299E-2</v>
      </c>
      <c r="D201" s="297">
        <f t="shared" si="141"/>
        <v>4.1773822196127908E-2</v>
      </c>
      <c r="J201" s="285"/>
      <c r="K201" s="284" t="s">
        <v>395</v>
      </c>
      <c r="L201" s="284">
        <f t="shared" si="147"/>
        <v>6.0166524755681794E-3</v>
      </c>
      <c r="M201" s="297">
        <f t="shared" si="142"/>
        <v>1.3235473824963595E-2</v>
      </c>
      <c r="N201" s="297"/>
      <c r="O201" s="297"/>
      <c r="P201" s="297"/>
      <c r="Q201" s="297"/>
      <c r="R201" s="297"/>
      <c r="S201" s="299"/>
      <c r="T201" s="284" t="s">
        <v>395</v>
      </c>
      <c r="U201" s="284">
        <f t="shared" si="148"/>
        <v>1.0686274022110732E-2</v>
      </c>
      <c r="V201" s="297">
        <f t="shared" si="143"/>
        <v>-9.2740942742564059E-4</v>
      </c>
      <c r="W201" s="297"/>
      <c r="X201" s="297"/>
      <c r="Y201" s="297"/>
      <c r="Z201" s="297"/>
      <c r="AA201" s="297"/>
      <c r="AB201" s="299"/>
      <c r="AC201" s="284" t="s">
        <v>395</v>
      </c>
      <c r="AD201" s="284">
        <f t="shared" si="149"/>
        <v>-8.0369613697565817E-3</v>
      </c>
      <c r="AE201" s="297">
        <f t="shared" si="144"/>
        <v>-3.1761014668259202E-2</v>
      </c>
      <c r="AF201" s="297"/>
      <c r="AG201" s="297"/>
      <c r="AH201" s="297"/>
      <c r="AI201" s="297"/>
      <c r="AJ201" s="297"/>
      <c r="AK201" s="299"/>
      <c r="AL201" s="284" t="s">
        <v>395</v>
      </c>
      <c r="AM201" s="284">
        <f t="shared" si="150"/>
        <v>1.9264128903385504E-2</v>
      </c>
      <c r="AN201" s="297">
        <f t="shared" si="136"/>
        <v>2.1058578698025077E-2</v>
      </c>
      <c r="AO201" s="297"/>
      <c r="AP201" s="297"/>
      <c r="AQ201" s="297"/>
      <c r="AR201" s="297"/>
      <c r="AS201" s="297"/>
      <c r="AT201" s="299"/>
      <c r="AU201" s="284" t="s">
        <v>395</v>
      </c>
      <c r="AV201" s="284">
        <f t="shared" si="151"/>
        <v>2.0233599837356422E-2</v>
      </c>
      <c r="AW201" s="297">
        <f t="shared" si="137"/>
        <v>3.7211630799032669E-2</v>
      </c>
      <c r="BC201" s="288"/>
      <c r="BD201" s="284" t="s">
        <v>395</v>
      </c>
      <c r="BE201" s="284">
        <f t="shared" si="152"/>
        <v>2.9707445477720775E-2</v>
      </c>
      <c r="BF201" s="297">
        <f t="shared" si="138"/>
        <v>4.0822446059627593E-2</v>
      </c>
      <c r="BG201" s="297"/>
      <c r="BH201" s="297"/>
      <c r="BI201" s="297"/>
      <c r="BJ201" s="297"/>
      <c r="BK201" s="297"/>
      <c r="BL201" s="288"/>
      <c r="BM201" s="284" t="s">
        <v>395</v>
      </c>
      <c r="BN201" s="284">
        <f t="shared" si="153"/>
        <v>2.5504627696863492E-2</v>
      </c>
      <c r="BO201" s="297">
        <f t="shared" si="139"/>
        <v>4.0331780250114857E-2</v>
      </c>
      <c r="BU201" s="288"/>
      <c r="BV201" s="284" t="s">
        <v>395</v>
      </c>
      <c r="BW201" s="284">
        <f t="shared" si="154"/>
        <v>3.8918759855871572E-2</v>
      </c>
      <c r="BX201" s="297">
        <f t="shared" si="140"/>
        <v>4.4683938437371173E-2</v>
      </c>
      <c r="CD201" s="288"/>
    </row>
    <row r="202" spans="1:82">
      <c r="A202" s="284">
        <f t="shared" si="145"/>
        <v>67</v>
      </c>
      <c r="B202" s="284" t="s">
        <v>396</v>
      </c>
      <c r="C202" s="284">
        <f t="shared" si="146"/>
        <v>3.4688132991979925E-2</v>
      </c>
      <c r="D202" s="297">
        <f t="shared" si="141"/>
        <v>4.1794900535826685E-2</v>
      </c>
      <c r="J202" s="285"/>
      <c r="K202" s="284" t="s">
        <v>396</v>
      </c>
      <c r="L202" s="284">
        <f t="shared" si="147"/>
        <v>6.1293597229793544E-3</v>
      </c>
      <c r="M202" s="297">
        <f t="shared" si="142"/>
        <v>1.3596024132051188E-2</v>
      </c>
      <c r="N202" s="297"/>
      <c r="O202" s="297"/>
      <c r="P202" s="297"/>
      <c r="Q202" s="297"/>
      <c r="R202" s="297"/>
      <c r="S202" s="299"/>
      <c r="T202" s="284" t="s">
        <v>396</v>
      </c>
      <c r="U202" s="284">
        <f t="shared" si="148"/>
        <v>1.0506647396602151E-2</v>
      </c>
      <c r="V202" s="297">
        <f t="shared" si="143"/>
        <v>-1.2783956984948608E-3</v>
      </c>
      <c r="W202" s="297"/>
      <c r="X202" s="297"/>
      <c r="Y202" s="297"/>
      <c r="Z202" s="297"/>
      <c r="AA202" s="297"/>
      <c r="AB202" s="299"/>
      <c r="AC202" s="284" t="s">
        <v>396</v>
      </c>
      <c r="AD202" s="284">
        <f t="shared" si="149"/>
        <v>-8.4087251586185269E-3</v>
      </c>
      <c r="AE202" s="297">
        <f t="shared" si="144"/>
        <v>-3.2639567335118969E-2</v>
      </c>
      <c r="AF202" s="297"/>
      <c r="AG202" s="297"/>
      <c r="AH202" s="297"/>
      <c r="AI202" s="297"/>
      <c r="AJ202" s="297"/>
      <c r="AK202" s="299"/>
      <c r="AL202" s="284" t="s">
        <v>396</v>
      </c>
      <c r="AM202" s="284">
        <f t="shared" si="150"/>
        <v>1.9290887416396382E-2</v>
      </c>
      <c r="AN202" s="297">
        <f t="shared" ref="AN202:AN235" si="155">(1+AM202)^$A202/(1+AM201)^$A201-1</f>
        <v>2.1058503353851288E-2</v>
      </c>
      <c r="AO202" s="297"/>
      <c r="AP202" s="297"/>
      <c r="AQ202" s="297"/>
      <c r="AR202" s="297"/>
      <c r="AS202" s="297"/>
      <c r="AT202" s="299"/>
      <c r="AU202" s="284" t="s">
        <v>396</v>
      </c>
      <c r="AV202" s="284">
        <f t="shared" si="151"/>
        <v>2.0488051635396593E-2</v>
      </c>
      <c r="AW202" s="297">
        <f t="shared" ref="AW202:AW235" si="156">(1+AV202)^$A202/(1+AV201)^$A201-1</f>
        <v>3.742294529599266E-2</v>
      </c>
      <c r="BC202" s="288"/>
      <c r="BD202" s="284" t="s">
        <v>396</v>
      </c>
      <c r="BE202" s="284">
        <f t="shared" si="152"/>
        <v>2.9874900446925718E-2</v>
      </c>
      <c r="BF202" s="297">
        <f t="shared" ref="BF202:BF235" si="157">(1+BE202)^$A202/(1+BE201)^$A201-1</f>
        <v>4.0987351444307984E-2</v>
      </c>
      <c r="BG202" s="297"/>
      <c r="BH202" s="297"/>
      <c r="BI202" s="297"/>
      <c r="BJ202" s="297"/>
      <c r="BK202" s="297"/>
      <c r="BL202" s="288"/>
      <c r="BM202" s="284" t="s">
        <v>396</v>
      </c>
      <c r="BN202" s="284">
        <f t="shared" si="153"/>
        <v>2.572632332894375E-2</v>
      </c>
      <c r="BO202" s="297">
        <f t="shared" ref="BO202:BO235" si="158">(1+BN202)^$A202/(1+BN201)^$A201-1</f>
        <v>4.0464698824603129E-2</v>
      </c>
      <c r="BU202" s="288"/>
      <c r="BV202" s="284" t="s">
        <v>396</v>
      </c>
      <c r="BW202" s="284">
        <f t="shared" si="154"/>
        <v>3.9002608168300514E-2</v>
      </c>
      <c r="BX202" s="297">
        <f t="shared" ref="BX202:BX235" si="159">(1+BW202)^$A202/(1+BW201)^$A201-1</f>
        <v>4.4551585198319588E-2</v>
      </c>
      <c r="CD202" s="288"/>
    </row>
    <row r="203" spans="1:82">
      <c r="A203" s="284">
        <f t="shared" si="145"/>
        <v>68</v>
      </c>
      <c r="B203" s="284" t="s">
        <v>397</v>
      </c>
      <c r="C203" s="284">
        <f t="shared" si="146"/>
        <v>3.4792573744890989E-2</v>
      </c>
      <c r="D203" s="297">
        <f t="shared" ref="D203:D235" si="160">(1+C203)^A203/(1+C202)^A202-1</f>
        <v>4.1814172698179997E-2</v>
      </c>
      <c r="J203" s="285"/>
      <c r="K203" s="284" t="s">
        <v>397</v>
      </c>
      <c r="L203" s="284">
        <f t="shared" si="147"/>
        <v>6.2440549133166469E-3</v>
      </c>
      <c r="M203" s="297">
        <f t="shared" ref="M203:M235" si="161">(1+L203)^$A203/(1+L202)^$A202-1</f>
        <v>1.3958492001452605E-2</v>
      </c>
      <c r="N203" s="297"/>
      <c r="O203" s="297"/>
      <c r="P203" s="297"/>
      <c r="Q203" s="297"/>
      <c r="R203" s="297"/>
      <c r="S203" s="299"/>
      <c r="T203" s="284" t="s">
        <v>397</v>
      </c>
      <c r="U203" s="284">
        <f t="shared" si="148"/>
        <v>1.0327214777903389E-2</v>
      </c>
      <c r="V203" s="297">
        <f t="shared" ref="V203:V235" si="162">(1+U203)^$A203/(1+U202)^$A202-1</f>
        <v>-1.6224733285934434E-3</v>
      </c>
      <c r="W203" s="297"/>
      <c r="X203" s="297"/>
      <c r="Y203" s="297"/>
      <c r="Z203" s="297"/>
      <c r="AA203" s="297"/>
      <c r="AB203" s="299"/>
      <c r="AC203" s="284" t="s">
        <v>397</v>
      </c>
      <c r="AD203" s="284">
        <f t="shared" si="149"/>
        <v>-8.7824852549297644E-3</v>
      </c>
      <c r="AE203" s="297">
        <f t="shared" ref="AE203:AE235" si="163">(1+AD203)^$A203/(1+AD202)^$A202-1</f>
        <v>-3.3506129293314091E-2</v>
      </c>
      <c r="AF203" s="297"/>
      <c r="AG203" s="297"/>
      <c r="AH203" s="297"/>
      <c r="AI203" s="297"/>
      <c r="AJ203" s="297"/>
      <c r="AK203" s="299"/>
      <c r="AL203" s="284" t="s">
        <v>397</v>
      </c>
      <c r="AM203" s="284">
        <f t="shared" si="150"/>
        <v>1.9316850723060084E-2</v>
      </c>
      <c r="AN203" s="297">
        <f t="shared" si="155"/>
        <v>2.1057899636477195E-2</v>
      </c>
      <c r="AO203" s="297"/>
      <c r="AP203" s="297"/>
      <c r="AQ203" s="297"/>
      <c r="AR203" s="297"/>
      <c r="AS203" s="297"/>
      <c r="AT203" s="299"/>
      <c r="AU203" s="284" t="s">
        <v>397</v>
      </c>
      <c r="AV203" s="284">
        <f t="shared" si="151"/>
        <v>2.0738013365481148E-2</v>
      </c>
      <c r="AW203" s="297">
        <f t="shared" si="156"/>
        <v>3.7625677738463592E-2</v>
      </c>
      <c r="BC203" s="288"/>
      <c r="BD203" s="284" t="s">
        <v>397</v>
      </c>
      <c r="BE203" s="284">
        <f t="shared" si="152"/>
        <v>3.0039784471750427E-2</v>
      </c>
      <c r="BF203" s="297">
        <f t="shared" si="157"/>
        <v>4.1147361369686219E-2</v>
      </c>
      <c r="BG203" s="297"/>
      <c r="BH203" s="297"/>
      <c r="BI203" s="297"/>
      <c r="BJ203" s="297"/>
      <c r="BK203" s="297"/>
      <c r="BL203" s="288"/>
      <c r="BM203" s="284" t="s">
        <v>397</v>
      </c>
      <c r="BN203" s="284">
        <f t="shared" si="153"/>
        <v>2.5943329692108913E-2</v>
      </c>
      <c r="BO203" s="297">
        <f t="shared" si="158"/>
        <v>4.0587828939495418E-2</v>
      </c>
      <c r="BU203" s="288"/>
      <c r="BV203" s="284" t="s">
        <v>397</v>
      </c>
      <c r="BW203" s="284">
        <f t="shared" si="154"/>
        <v>3.9082130396880355E-2</v>
      </c>
      <c r="BX203" s="297">
        <f t="shared" si="159"/>
        <v>4.4424007904398266E-2</v>
      </c>
      <c r="CD203" s="288"/>
    </row>
    <row r="204" spans="1:82">
      <c r="A204" s="284">
        <f t="shared" si="145"/>
        <v>69</v>
      </c>
      <c r="B204" s="284" t="s">
        <v>398</v>
      </c>
      <c r="C204" s="284">
        <f t="shared" si="146"/>
        <v>3.4894250888664533E-2</v>
      </c>
      <c r="D204" s="297">
        <f t="shared" si="160"/>
        <v>4.183178622692818E-2</v>
      </c>
      <c r="J204" s="285"/>
      <c r="K204" s="284" t="s">
        <v>398</v>
      </c>
      <c r="L204" s="284">
        <f t="shared" si="147"/>
        <v>6.3606732417175425E-3</v>
      </c>
      <c r="M204" s="297">
        <f t="shared" si="161"/>
        <v>1.4322509028531272E-2</v>
      </c>
      <c r="N204" s="297"/>
      <c r="O204" s="297"/>
      <c r="P204" s="297"/>
      <c r="Q204" s="297"/>
      <c r="R204" s="297"/>
      <c r="S204" s="299"/>
      <c r="T204" s="284" t="s">
        <v>398</v>
      </c>
      <c r="U204" s="284">
        <f t="shared" si="148"/>
        <v>1.0148067495871507E-2</v>
      </c>
      <c r="V204" s="297">
        <f t="shared" si="162"/>
        <v>-1.9597196074293555E-3</v>
      </c>
      <c r="W204" s="297"/>
      <c r="X204" s="297"/>
      <c r="Y204" s="297"/>
      <c r="Z204" s="297"/>
      <c r="AA204" s="297"/>
      <c r="AB204" s="299"/>
      <c r="AC204" s="284" t="s">
        <v>398</v>
      </c>
      <c r="AD204" s="284">
        <f t="shared" si="149"/>
        <v>-9.1579736715876048E-3</v>
      </c>
      <c r="AE204" s="297">
        <f t="shared" si="163"/>
        <v>-3.4360294723823515E-2</v>
      </c>
      <c r="AF204" s="297"/>
      <c r="AG204" s="297"/>
      <c r="AH204" s="297"/>
      <c r="AI204" s="297"/>
      <c r="AJ204" s="297"/>
      <c r="AK204" s="299"/>
      <c r="AL204" s="284" t="s">
        <v>398</v>
      </c>
      <c r="AM204" s="284">
        <f t="shared" si="150"/>
        <v>1.9342046708229168E-2</v>
      </c>
      <c r="AN204" s="297">
        <f t="shared" si="155"/>
        <v>2.1056835611876545E-2</v>
      </c>
      <c r="AO204" s="297"/>
      <c r="AP204" s="297"/>
      <c r="AQ204" s="297"/>
      <c r="AR204" s="297"/>
      <c r="AS204" s="297"/>
      <c r="AT204" s="299"/>
      <c r="AU204" s="284" t="s">
        <v>398</v>
      </c>
      <c r="AV204" s="284">
        <f t="shared" si="151"/>
        <v>2.0983561159801021E-2</v>
      </c>
      <c r="AW204" s="297">
        <f t="shared" si="156"/>
        <v>3.7820133920964505E-2</v>
      </c>
      <c r="BC204" s="288"/>
      <c r="BD204" s="284" t="s">
        <v>398</v>
      </c>
      <c r="BE204" s="284">
        <f t="shared" si="152"/>
        <v>3.0202140366338066E-2</v>
      </c>
      <c r="BF204" s="297">
        <f t="shared" si="157"/>
        <v>4.130258886341176E-2</v>
      </c>
      <c r="BG204" s="297"/>
      <c r="BH204" s="297"/>
      <c r="BI204" s="297"/>
      <c r="BJ204" s="297"/>
      <c r="BK204" s="297"/>
      <c r="BL204" s="288"/>
      <c r="BM204" s="284" t="s">
        <v>398</v>
      </c>
      <c r="BN204" s="284">
        <f t="shared" si="153"/>
        <v>2.6155719258878562E-2</v>
      </c>
      <c r="BO204" s="297">
        <f t="shared" si="158"/>
        <v>4.0701838758698816E-2</v>
      </c>
      <c r="BU204" s="288"/>
      <c r="BV204" s="284" t="s">
        <v>398</v>
      </c>
      <c r="BW204" s="284">
        <f t="shared" si="154"/>
        <v>3.9157582718673152E-2</v>
      </c>
      <c r="BX204" s="297">
        <f t="shared" si="159"/>
        <v>4.4301215028077712E-2</v>
      </c>
      <c r="CD204" s="288"/>
    </row>
    <row r="205" spans="1:82">
      <c r="A205" s="284">
        <f t="shared" si="145"/>
        <v>70</v>
      </c>
      <c r="B205" s="284" t="s">
        <v>399</v>
      </c>
      <c r="C205" s="284">
        <f t="shared" si="146"/>
        <v>3.4993260898967177E-2</v>
      </c>
      <c r="D205" s="297">
        <f t="shared" si="160"/>
        <v>4.1847877259570065E-2</v>
      </c>
      <c r="J205" s="285"/>
      <c r="K205" s="284" t="s">
        <v>399</v>
      </c>
      <c r="L205" s="284">
        <f t="shared" si="147"/>
        <v>6.4791486377541105E-3</v>
      </c>
      <c r="M205" s="297">
        <f t="shared" si="161"/>
        <v>1.4687724727691531E-2</v>
      </c>
      <c r="N205" s="297"/>
      <c r="O205" s="297"/>
      <c r="P205" s="297"/>
      <c r="Q205" s="297"/>
      <c r="R205" s="297"/>
      <c r="S205" s="299"/>
      <c r="T205" s="284" t="s">
        <v>399</v>
      </c>
      <c r="U205" s="284">
        <f t="shared" si="148"/>
        <v>9.9692905770955922E-3</v>
      </c>
      <c r="V205" s="297">
        <f t="shared" si="162"/>
        <v>-2.2902115956635605E-3</v>
      </c>
      <c r="W205" s="297"/>
      <c r="X205" s="297"/>
      <c r="Y205" s="297"/>
      <c r="Z205" s="297"/>
      <c r="AA205" s="297"/>
      <c r="AB205" s="299"/>
      <c r="AC205" s="284" t="s">
        <v>399</v>
      </c>
      <c r="AD205" s="284">
        <f t="shared" si="149"/>
        <v>-9.5349319969000451E-3</v>
      </c>
      <c r="AE205" s="297">
        <f t="shared" si="163"/>
        <v>-3.5201686697215684E-2</v>
      </c>
      <c r="AF205" s="297"/>
      <c r="AG205" s="297"/>
      <c r="AH205" s="297"/>
      <c r="AI205" s="297"/>
      <c r="AJ205" s="297"/>
      <c r="AK205" s="299"/>
      <c r="AL205" s="284" t="s">
        <v>399</v>
      </c>
      <c r="AM205" s="284">
        <f t="shared" si="150"/>
        <v>1.9366502600399085E-2</v>
      </c>
      <c r="AN205" s="297">
        <f t="shared" si="155"/>
        <v>2.1055376912622492E-2</v>
      </c>
      <c r="AO205" s="297"/>
      <c r="AP205" s="297"/>
      <c r="AQ205" s="297"/>
      <c r="AR205" s="297"/>
      <c r="AS205" s="297"/>
      <c r="AT205" s="299"/>
      <c r="AU205" s="284" t="s">
        <v>399</v>
      </c>
      <c r="AV205" s="284">
        <f t="shared" si="151"/>
        <v>2.1224770995155857E-2</v>
      </c>
      <c r="AW205" s="297">
        <f t="shared" si="156"/>
        <v>3.8006611707110061E-2</v>
      </c>
      <c r="BC205" s="288"/>
      <c r="BD205" s="284" t="s">
        <v>399</v>
      </c>
      <c r="BE205" s="284">
        <f t="shared" si="152"/>
        <v>3.0362010068408024E-2</v>
      </c>
      <c r="BF205" s="297">
        <f t="shared" si="157"/>
        <v>4.1453144626816485E-2</v>
      </c>
      <c r="BG205" s="297"/>
      <c r="BH205" s="297"/>
      <c r="BI205" s="297"/>
      <c r="BJ205" s="297"/>
      <c r="BK205" s="297"/>
      <c r="BL205" s="288"/>
      <c r="BM205" s="284" t="s">
        <v>399</v>
      </c>
      <c r="BN205" s="284">
        <f t="shared" si="153"/>
        <v>2.6363569204173935E-2</v>
      </c>
      <c r="BO205" s="297">
        <f t="shared" si="158"/>
        <v>4.0807356359324976E-2</v>
      </c>
      <c r="BU205" s="288"/>
      <c r="BV205" s="284" t="s">
        <v>399</v>
      </c>
      <c r="BW205" s="284">
        <f t="shared" si="154"/>
        <v>3.9229206530820182E-2</v>
      </c>
      <c r="BX205" s="297">
        <f t="shared" si="159"/>
        <v>4.4183190256646521E-2</v>
      </c>
      <c r="CD205" s="288"/>
    </row>
    <row r="206" spans="1:82">
      <c r="A206" s="284">
        <f t="shared" si="145"/>
        <v>71</v>
      </c>
      <c r="B206" s="284" t="s">
        <v>400</v>
      </c>
      <c r="C206" s="284">
        <f t="shared" si="146"/>
        <v>3.5089696585754254E-2</v>
      </c>
      <c r="D206" s="297">
        <f t="shared" si="160"/>
        <v>4.1862571338701082E-2</v>
      </c>
      <c r="J206" s="285"/>
      <c r="K206" s="284" t="s">
        <v>400</v>
      </c>
      <c r="L206" s="284">
        <f t="shared" si="147"/>
        <v>6.5994141001278935E-3</v>
      </c>
      <c r="M206" s="297">
        <f t="shared" si="161"/>
        <v>1.5053805930057562E-2</v>
      </c>
      <c r="N206" s="297"/>
      <c r="O206" s="297"/>
      <c r="P206" s="297"/>
      <c r="Q206" s="297"/>
      <c r="R206" s="297"/>
      <c r="S206" s="299"/>
      <c r="T206" s="284" t="s">
        <v>400</v>
      </c>
      <c r="U206" s="284">
        <f t="shared" si="148"/>
        <v>9.7909631914279739E-3</v>
      </c>
      <c r="V206" s="297">
        <f t="shared" si="162"/>
        <v>-2.6140260201933385E-3</v>
      </c>
      <c r="W206" s="297"/>
      <c r="X206" s="297"/>
      <c r="Y206" s="297"/>
      <c r="Z206" s="297"/>
      <c r="AA206" s="297"/>
      <c r="AB206" s="299"/>
      <c r="AC206" s="284" t="s">
        <v>400</v>
      </c>
      <c r="AD206" s="284">
        <f t="shared" si="149"/>
        <v>-9.9131111219580847E-3</v>
      </c>
      <c r="AE206" s="297">
        <f t="shared" si="163"/>
        <v>-3.6029955968640004E-2</v>
      </c>
      <c r="AF206" s="297"/>
      <c r="AG206" s="297"/>
      <c r="AH206" s="297"/>
      <c r="AI206" s="297"/>
      <c r="AJ206" s="297"/>
      <c r="AK206" s="299"/>
      <c r="AL206" s="284" t="s">
        <v>400</v>
      </c>
      <c r="AM206" s="284">
        <f t="shared" si="150"/>
        <v>1.9390244984629153E-2</v>
      </c>
      <c r="AN206" s="297">
        <f t="shared" si="155"/>
        <v>2.1053586800557023E-2</v>
      </c>
      <c r="AO206" s="297"/>
      <c r="AP206" s="297"/>
      <c r="AQ206" s="297"/>
      <c r="AR206" s="297"/>
      <c r="AS206" s="297"/>
      <c r="AT206" s="299"/>
      <c r="AU206" s="284" t="s">
        <v>400</v>
      </c>
      <c r="AV206" s="284">
        <f t="shared" si="151"/>
        <v>2.1461718593822607E-2</v>
      </c>
      <c r="AW206" s="297">
        <f t="shared" si="156"/>
        <v>3.8185401005296882E-2</v>
      </c>
      <c r="BC206" s="288"/>
      <c r="BD206" s="284" t="s">
        <v>400</v>
      </c>
      <c r="BE206" s="284">
        <f t="shared" si="152"/>
        <v>3.0519434668901949E-2</v>
      </c>
      <c r="BF206" s="297">
        <f t="shared" si="157"/>
        <v>4.1599137078915494E-2</v>
      </c>
      <c r="BG206" s="297"/>
      <c r="BH206" s="297"/>
      <c r="BI206" s="297"/>
      <c r="BJ206" s="297"/>
      <c r="BK206" s="297"/>
      <c r="BL206" s="288"/>
      <c r="BM206" s="284" t="s">
        <v>400</v>
      </c>
      <c r="BN206" s="284">
        <f t="shared" si="153"/>
        <v>2.6566960544842227E-2</v>
      </c>
      <c r="BO206" s="297">
        <f t="shared" si="158"/>
        <v>4.0904971466150908E-2</v>
      </c>
      <c r="BU206" s="288"/>
      <c r="BV206" s="284" t="s">
        <v>400</v>
      </c>
      <c r="BW206" s="284">
        <f t="shared" si="154"/>
        <v>3.9297229182391834E-2</v>
      </c>
      <c r="BX206" s="297">
        <f t="shared" si="159"/>
        <v>4.40698957224539E-2</v>
      </c>
      <c r="CD206" s="288"/>
    </row>
    <row r="207" spans="1:82">
      <c r="A207" s="284">
        <f t="shared" si="145"/>
        <v>72</v>
      </c>
      <c r="B207" s="284" t="s">
        <v>401</v>
      </c>
      <c r="C207" s="284">
        <f t="shared" si="146"/>
        <v>3.51836472118989E-2</v>
      </c>
      <c r="D207" s="297">
        <f t="shared" si="160"/>
        <v>4.1875984174249536E-2</v>
      </c>
      <c r="J207" s="285"/>
      <c r="K207" s="284" t="s">
        <v>401</v>
      </c>
      <c r="L207" s="284">
        <f t="shared" si="147"/>
        <v>6.7214019949240929E-3</v>
      </c>
      <c r="M207" s="297">
        <f t="shared" si="161"/>
        <v>1.5420436184637287E-2</v>
      </c>
      <c r="N207" s="297"/>
      <c r="O207" s="297"/>
      <c r="P207" s="297"/>
      <c r="Q207" s="297"/>
      <c r="R207" s="297"/>
      <c r="S207" s="299"/>
      <c r="T207" s="284" t="s">
        <v>401</v>
      </c>
      <c r="U207" s="284">
        <f t="shared" si="148"/>
        <v>9.6131590626197458E-3</v>
      </c>
      <c r="V207" s="297">
        <f t="shared" si="162"/>
        <v>-2.9312391898185242E-3</v>
      </c>
      <c r="W207" s="297"/>
      <c r="X207" s="297"/>
      <c r="Y207" s="297"/>
      <c r="Z207" s="297"/>
      <c r="AA207" s="297"/>
      <c r="AB207" s="299"/>
      <c r="AC207" s="284" t="s">
        <v>401</v>
      </c>
      <c r="AD207" s="284">
        <f t="shared" si="149"/>
        <v>-1.0292270975143528E-2</v>
      </c>
      <c r="AE207" s="297">
        <f t="shared" si="163"/>
        <v>-3.6844779815898066E-2</v>
      </c>
      <c r="AF207" s="297"/>
      <c r="AG207" s="297"/>
      <c r="AH207" s="297"/>
      <c r="AI207" s="297"/>
      <c r="AJ207" s="297"/>
      <c r="AK207" s="299"/>
      <c r="AL207" s="284" t="s">
        <v>401</v>
      </c>
      <c r="AM207" s="284">
        <f t="shared" si="150"/>
        <v>1.9413299815232318E-2</v>
      </c>
      <c r="AN207" s="297">
        <f t="shared" si="155"/>
        <v>2.1051526228001993E-2</v>
      </c>
      <c r="AO207" s="297"/>
      <c r="AP207" s="297"/>
      <c r="AQ207" s="297"/>
      <c r="AR207" s="297"/>
      <c r="AS207" s="297"/>
      <c r="AT207" s="299"/>
      <c r="AU207" s="284" t="s">
        <v>401</v>
      </c>
      <c r="AV207" s="284">
        <f t="shared" si="151"/>
        <v>2.1694479332709612E-2</v>
      </c>
      <c r="AW207" s="297">
        <f t="shared" si="156"/>
        <v>3.8356783767130587E-2</v>
      </c>
      <c r="BC207" s="288"/>
      <c r="BD207" s="284" t="s">
        <v>401</v>
      </c>
      <c r="BE207" s="284">
        <f t="shared" si="152"/>
        <v>3.067445443977607E-2</v>
      </c>
      <c r="BF207" s="297">
        <f t="shared" si="157"/>
        <v>4.1740672399673606E-2</v>
      </c>
      <c r="BG207" s="297"/>
      <c r="BH207" s="297"/>
      <c r="BI207" s="297"/>
      <c r="BJ207" s="297"/>
      <c r="BK207" s="297"/>
      <c r="BL207" s="288"/>
      <c r="BM207" s="284" t="s">
        <v>401</v>
      </c>
      <c r="BN207" s="284">
        <f t="shared" si="153"/>
        <v>2.6765977374683666E-2</v>
      </c>
      <c r="BO207" s="297">
        <f t="shared" si="158"/>
        <v>4.0995237204669133E-2</v>
      </c>
      <c r="BU207" s="288"/>
      <c r="BV207" s="284" t="s">
        <v>401</v>
      </c>
      <c r="BW207" s="284">
        <f t="shared" si="154"/>
        <v>3.9361864686121184E-2</v>
      </c>
      <c r="BX207" s="297">
        <f t="shared" si="159"/>
        <v>4.3961274939605E-2</v>
      </c>
      <c r="CD207" s="288"/>
    </row>
    <row r="208" spans="1:82">
      <c r="A208" s="284">
        <f t="shared" si="145"/>
        <v>73</v>
      </c>
      <c r="B208" s="284" t="s">
        <v>402</v>
      </c>
      <c r="C208" s="284">
        <f t="shared" si="146"/>
        <v>3.5275198611768505E-2</v>
      </c>
      <c r="D208" s="297">
        <f t="shared" si="160"/>
        <v>4.1888222358002603E-2</v>
      </c>
      <c r="J208" s="285"/>
      <c r="K208" s="284" t="s">
        <v>402</v>
      </c>
      <c r="L208" s="284">
        <f t="shared" si="147"/>
        <v>6.8450443210199552E-3</v>
      </c>
      <c r="M208" s="297">
        <f t="shared" si="161"/>
        <v>1.5787315166869709E-2</v>
      </c>
      <c r="N208" s="297"/>
      <c r="O208" s="297"/>
      <c r="P208" s="297"/>
      <c r="Q208" s="297"/>
      <c r="R208" s="297"/>
      <c r="S208" s="299"/>
      <c r="T208" s="284" t="s">
        <v>402</v>
      </c>
      <c r="U208" s="284">
        <f t="shared" si="148"/>
        <v>9.4359468462621131E-3</v>
      </c>
      <c r="V208" s="297">
        <f t="shared" si="162"/>
        <v>-3.2419269276973139E-3</v>
      </c>
      <c r="W208" s="297"/>
      <c r="X208" s="297"/>
      <c r="Y208" s="297"/>
      <c r="Z208" s="297"/>
      <c r="AA208" s="297"/>
      <c r="AB208" s="299"/>
      <c r="AC208" s="284" t="s">
        <v>402</v>
      </c>
      <c r="AD208" s="284">
        <f t="shared" si="149"/>
        <v>-1.0672180263594067E-2</v>
      </c>
      <c r="AE208" s="297">
        <f t="shared" si="163"/>
        <v>-3.7645860920037966E-2</v>
      </c>
      <c r="AF208" s="297"/>
      <c r="AG208" s="297"/>
      <c r="AH208" s="297"/>
      <c r="AI208" s="297"/>
      <c r="AJ208" s="297"/>
      <c r="AK208" s="299"/>
      <c r="AL208" s="284" t="s">
        <v>402</v>
      </c>
      <c r="AM208" s="284">
        <f t="shared" si="150"/>
        <v>1.9435692428236732E-2</v>
      </c>
      <c r="AN208" s="297">
        <f t="shared" si="155"/>
        <v>2.1049253897741371E-2</v>
      </c>
      <c r="AO208" s="297"/>
      <c r="AP208" s="297"/>
      <c r="AQ208" s="297"/>
      <c r="AR208" s="297"/>
      <c r="AS208" s="297"/>
      <c r="AT208" s="299"/>
      <c r="AU208" s="284" t="s">
        <v>402</v>
      </c>
      <c r="AV208" s="284">
        <f t="shared" si="151"/>
        <v>2.1923128160279349E-2</v>
      </c>
      <c r="AW208" s="297">
        <f t="shared" si="156"/>
        <v>3.8521034007481081E-2</v>
      </c>
      <c r="BC208" s="288"/>
      <c r="BD208" s="284" t="s">
        <v>402</v>
      </c>
      <c r="BE208" s="284">
        <f t="shared" si="152"/>
        <v>3.0827108860105951E-2</v>
      </c>
      <c r="BF208" s="297">
        <f t="shared" si="157"/>
        <v>4.1877854572560436E-2</v>
      </c>
      <c r="BG208" s="297"/>
      <c r="BH208" s="297"/>
      <c r="BI208" s="297"/>
      <c r="BJ208" s="297"/>
      <c r="BK208" s="297"/>
      <c r="BL208" s="288"/>
      <c r="BM208" s="284" t="s">
        <v>402</v>
      </c>
      <c r="BN208" s="284">
        <f t="shared" si="153"/>
        <v>2.696070618581518E-2</v>
      </c>
      <c r="BO208" s="297">
        <f t="shared" si="158"/>
        <v>4.1078671855193649E-2</v>
      </c>
      <c r="BU208" s="288"/>
      <c r="BV208" s="284" t="s">
        <v>402</v>
      </c>
      <c r="BW208" s="284">
        <f t="shared" si="154"/>
        <v>3.9423314408252967E-2</v>
      </c>
      <c r="BX208" s="297">
        <f t="shared" si="159"/>
        <v>4.385725546767083E-2</v>
      </c>
      <c r="CD208" s="288"/>
    </row>
    <row r="209" spans="1:82">
      <c r="A209" s="284">
        <f t="shared" si="145"/>
        <v>74</v>
      </c>
      <c r="B209" s="284" t="s">
        <v>403</v>
      </c>
      <c r="C209" s="284">
        <f t="shared" si="146"/>
        <v>3.5364433309149443E-2</v>
      </c>
      <c r="D209" s="297">
        <f t="shared" si="160"/>
        <v>4.1899384032606291E-2</v>
      </c>
      <c r="J209" s="285"/>
      <c r="K209" s="284" t="s">
        <v>403</v>
      </c>
      <c r="L209" s="284">
        <f t="shared" si="147"/>
        <v>6.9702729458849463E-3</v>
      </c>
      <c r="M209" s="297">
        <f t="shared" si="161"/>
        <v>1.6154158095338156E-2</v>
      </c>
      <c r="N209" s="297"/>
      <c r="O209" s="297"/>
      <c r="P209" s="297"/>
      <c r="Q209" s="297"/>
      <c r="R209" s="297"/>
      <c r="S209" s="299"/>
      <c r="T209" s="284" t="s">
        <v>403</v>
      </c>
      <c r="U209" s="284">
        <f t="shared" si="148"/>
        <v>9.2593904779292822E-3</v>
      </c>
      <c r="V209" s="297">
        <f t="shared" si="162"/>
        <v>-3.546164517242989E-3</v>
      </c>
      <c r="W209" s="297"/>
      <c r="X209" s="297"/>
      <c r="Y209" s="297"/>
      <c r="Z209" s="297"/>
      <c r="AA209" s="297"/>
      <c r="AB209" s="299"/>
      <c r="AC209" s="284" t="s">
        <v>403</v>
      </c>
      <c r="AD209" s="284">
        <f t="shared" si="149"/>
        <v>-1.1052616221449485E-2</v>
      </c>
      <c r="AE209" s="297">
        <f t="shared" si="163"/>
        <v>-3.8432926286269042E-2</v>
      </c>
      <c r="AF209" s="297"/>
      <c r="AG209" s="297"/>
      <c r="AH209" s="297"/>
      <c r="AI209" s="297"/>
      <c r="AJ209" s="297"/>
      <c r="AK209" s="299"/>
      <c r="AL209" s="284" t="s">
        <v>403</v>
      </c>
      <c r="AM209" s="284">
        <f t="shared" si="150"/>
        <v>1.9457447553623955E-2</v>
      </c>
      <c r="AN209" s="297">
        <f t="shared" si="155"/>
        <v>2.1046826321639234E-2</v>
      </c>
      <c r="AO209" s="297"/>
      <c r="AP209" s="297"/>
      <c r="AQ209" s="297"/>
      <c r="AR209" s="297"/>
      <c r="AS209" s="297"/>
      <c r="AT209" s="299"/>
      <c r="AU209" s="284" t="s">
        <v>403</v>
      </c>
      <c r="AV209" s="284">
        <f t="shared" si="151"/>
        <v>2.2147739520753724E-2</v>
      </c>
      <c r="AW209" s="297">
        <f t="shared" si="156"/>
        <v>3.8678417843536428E-2</v>
      </c>
      <c r="BC209" s="288"/>
      <c r="BD209" s="284" t="s">
        <v>403</v>
      </c>
      <c r="BE209" s="284">
        <f t="shared" si="152"/>
        <v>3.09774366406524E-2</v>
      </c>
      <c r="BF209" s="297">
        <f t="shared" si="157"/>
        <v>4.2010785426479069E-2</v>
      </c>
      <c r="BG209" s="297"/>
      <c r="BH209" s="297"/>
      <c r="BI209" s="297"/>
      <c r="BJ209" s="297"/>
      <c r="BK209" s="297"/>
      <c r="BL209" s="288"/>
      <c r="BM209" s="284" t="s">
        <v>403</v>
      </c>
      <c r="BN209" s="284">
        <f t="shared" si="153"/>
        <v>2.7151235268005371E-2</v>
      </c>
      <c r="BO209" s="297">
        <f t="shared" si="158"/>
        <v>4.1155760592420432E-2</v>
      </c>
      <c r="BU209" s="288"/>
      <c r="BV209" s="284" t="s">
        <v>403</v>
      </c>
      <c r="BW209" s="284">
        <f t="shared" si="154"/>
        <v>3.948176773518125E-2</v>
      </c>
      <c r="BX209" s="297">
        <f t="shared" si="159"/>
        <v>4.3757751321171323E-2</v>
      </c>
      <c r="CD209" s="288"/>
    </row>
    <row r="210" spans="1:82">
      <c r="A210" s="284">
        <f t="shared" si="145"/>
        <v>75</v>
      </c>
      <c r="B210" s="284" t="s">
        <v>404</v>
      </c>
      <c r="C210" s="284">
        <f t="shared" si="146"/>
        <v>3.5451430634010211E-2</v>
      </c>
      <c r="D210" s="297">
        <f t="shared" si="160"/>
        <v>4.190955951741504E-2</v>
      </c>
      <c r="J210" s="285"/>
      <c r="K210" s="284" t="s">
        <v>404</v>
      </c>
      <c r="L210" s="284">
        <f t="shared" si="147"/>
        <v>7.0970198146889409E-3</v>
      </c>
      <c r="M210" s="297">
        <f t="shared" si="161"/>
        <v>1.6520695160018972E-2</v>
      </c>
      <c r="N210" s="297"/>
      <c r="O210" s="297"/>
      <c r="P210" s="297"/>
      <c r="Q210" s="297"/>
      <c r="R210" s="297"/>
      <c r="S210" s="299"/>
      <c r="T210" s="284" t="s">
        <v>404</v>
      </c>
      <c r="U210" s="284">
        <f t="shared" si="148"/>
        <v>9.083549494143868E-3</v>
      </c>
      <c r="V210" s="297">
        <f t="shared" si="162"/>
        <v>-3.8440266597933315E-3</v>
      </c>
      <c r="W210" s="297"/>
      <c r="X210" s="297"/>
      <c r="Y210" s="297"/>
      <c r="Z210" s="297"/>
      <c r="AA210" s="297"/>
      <c r="AB210" s="299"/>
      <c r="AC210" s="284" t="s">
        <v>404</v>
      </c>
      <c r="AD210" s="284">
        <f t="shared" si="149"/>
        <v>-1.1433364364706974E-2</v>
      </c>
      <c r="AE210" s="297">
        <f t="shared" si="163"/>
        <v>-3.9205726204425972E-2</v>
      </c>
      <c r="AF210" s="297"/>
      <c r="AG210" s="297"/>
      <c r="AH210" s="297"/>
      <c r="AI210" s="297"/>
      <c r="AJ210" s="297"/>
      <c r="AK210" s="299"/>
      <c r="AL210" s="284" t="s">
        <v>404</v>
      </c>
      <c r="AM210" s="284">
        <f t="shared" si="150"/>
        <v>1.9478589327346679E-2</v>
      </c>
      <c r="AN210" s="297">
        <f t="shared" si="155"/>
        <v>2.1044297878020313E-2</v>
      </c>
      <c r="AO210" s="297"/>
      <c r="AP210" s="297"/>
      <c r="AQ210" s="297"/>
      <c r="AR210" s="297"/>
      <c r="AS210" s="297"/>
      <c r="AT210" s="299"/>
      <c r="AU210" s="284" t="s">
        <v>404</v>
      </c>
      <c r="AV210" s="284">
        <f t="shared" si="151"/>
        <v>2.2368387285144679E-2</v>
      </c>
      <c r="AW210" s="297">
        <f t="shared" si="156"/>
        <v>3.8829193551563668E-2</v>
      </c>
      <c r="BC210" s="288"/>
      <c r="BD210" s="284" t="s">
        <v>404</v>
      </c>
      <c r="BE210" s="284">
        <f t="shared" si="152"/>
        <v>3.112547574702142E-2</v>
      </c>
      <c r="BF210" s="297">
        <f t="shared" si="157"/>
        <v>4.2139564676800356E-2</v>
      </c>
      <c r="BG210" s="297"/>
      <c r="BH210" s="297"/>
      <c r="BI210" s="297"/>
      <c r="BJ210" s="297"/>
      <c r="BK210" s="297"/>
      <c r="BL210" s="288"/>
      <c r="BM210" s="284" t="s">
        <v>404</v>
      </c>
      <c r="BN210" s="284">
        <f t="shared" si="153"/>
        <v>2.7337654178354119E-2</v>
      </c>
      <c r="BO210" s="297">
        <f t="shared" si="158"/>
        <v>4.1226957199077097E-2</v>
      </c>
      <c r="BU210" s="288"/>
      <c r="BV210" s="284" t="s">
        <v>404</v>
      </c>
      <c r="BW210" s="284">
        <f t="shared" si="154"/>
        <v>3.9537402715929613E-2</v>
      </c>
      <c r="BX210" s="297">
        <f t="shared" si="159"/>
        <v>4.3662665143945345E-2</v>
      </c>
      <c r="CD210" s="288"/>
    </row>
    <row r="211" spans="1:82">
      <c r="A211" s="284">
        <f t="shared" si="145"/>
        <v>76</v>
      </c>
      <c r="B211" s="284" t="s">
        <v>405</v>
      </c>
      <c r="C211" s="284">
        <f t="shared" si="146"/>
        <v>3.5536266837673802E-2</v>
      </c>
      <c r="D211" s="297">
        <f t="shared" si="160"/>
        <v>4.1918831892802766E-2</v>
      </c>
      <c r="J211" s="285"/>
      <c r="K211" s="284" t="s">
        <v>405</v>
      </c>
      <c r="L211" s="284">
        <f t="shared" si="147"/>
        <v>7.2252171353459349E-3</v>
      </c>
      <c r="M211" s="297">
        <f t="shared" si="161"/>
        <v>1.6886670962049655E-2</v>
      </c>
      <c r="N211" s="297"/>
      <c r="O211" s="297"/>
      <c r="P211" s="297"/>
      <c r="Q211" s="297"/>
      <c r="R211" s="297"/>
      <c r="S211" s="299"/>
      <c r="T211" s="284" t="s">
        <v>405</v>
      </c>
      <c r="U211" s="284">
        <f t="shared" si="148"/>
        <v>8.9084793285372568E-3</v>
      </c>
      <c r="V211" s="297">
        <f t="shared" si="162"/>
        <v>-4.1355874413373517E-3</v>
      </c>
      <c r="W211" s="297"/>
      <c r="X211" s="297"/>
      <c r="Y211" s="297"/>
      <c r="Z211" s="297"/>
      <c r="AA211" s="297"/>
      <c r="AB211" s="299"/>
      <c r="AC211" s="284" t="s">
        <v>405</v>
      </c>
      <c r="AD211" s="284">
        <f t="shared" si="149"/>
        <v>-1.1814218252520839E-2</v>
      </c>
      <c r="AE211" s="297">
        <f t="shared" si="163"/>
        <v>-3.9964033247599451E-2</v>
      </c>
      <c r="AF211" s="297"/>
      <c r="AG211" s="297"/>
      <c r="AH211" s="297"/>
      <c r="AI211" s="297"/>
      <c r="AJ211" s="297"/>
      <c r="AK211" s="299"/>
      <c r="AL211" s="284" t="s">
        <v>405</v>
      </c>
      <c r="AM211" s="284">
        <f t="shared" si="150"/>
        <v>1.9499141303130442E-2</v>
      </c>
      <c r="AN211" s="297">
        <f t="shared" si="155"/>
        <v>2.1041720867678082E-2</v>
      </c>
      <c r="AO211" s="297"/>
      <c r="AP211" s="297"/>
      <c r="AQ211" s="297"/>
      <c r="AR211" s="297"/>
      <c r="AS211" s="297"/>
      <c r="AT211" s="299"/>
      <c r="AU211" s="284" t="s">
        <v>405</v>
      </c>
      <c r="AV211" s="284">
        <f t="shared" si="151"/>
        <v>2.2585144688678851E-2</v>
      </c>
      <c r="AW211" s="297">
        <f t="shared" si="156"/>
        <v>3.8973611638982719E-2</v>
      </c>
      <c r="BC211" s="288"/>
      <c r="BD211" s="284" t="s">
        <v>405</v>
      </c>
      <c r="BE211" s="284">
        <f t="shared" si="152"/>
        <v>3.1271263421537299E-2</v>
      </c>
      <c r="BF211" s="297">
        <f t="shared" si="157"/>
        <v>4.2264289965751267E-2</v>
      </c>
      <c r="BG211" s="297"/>
      <c r="BH211" s="297"/>
      <c r="BI211" s="297"/>
      <c r="BJ211" s="297"/>
      <c r="BK211" s="297"/>
      <c r="BL211" s="288"/>
      <c r="BM211" s="284" t="s">
        <v>405</v>
      </c>
      <c r="BN211" s="284">
        <f t="shared" si="153"/>
        <v>2.7520053274370907E-2</v>
      </c>
      <c r="BO211" s="297">
        <f t="shared" si="158"/>
        <v>4.1292685743362423E-2</v>
      </c>
      <c r="BU211" s="288"/>
      <c r="BV211" s="284" t="s">
        <v>405</v>
      </c>
      <c r="BW211" s="284">
        <f t="shared" si="154"/>
        <v>3.9590386679851194E-2</v>
      </c>
      <c r="BX211" s="297">
        <f t="shared" si="159"/>
        <v>4.357189016561791E-2</v>
      </c>
      <c r="CD211" s="288"/>
    </row>
    <row r="212" spans="1:82">
      <c r="A212" s="284">
        <f t="shared" si="145"/>
        <v>77</v>
      </c>
      <c r="B212" s="284" t="s">
        <v>406</v>
      </c>
      <c r="C212" s="284">
        <f t="shared" si="146"/>
        <v>3.5619015206042229E-2</v>
      </c>
      <c r="D212" s="297">
        <f t="shared" si="160"/>
        <v>4.1927277545408259E-2</v>
      </c>
      <c r="J212" s="285"/>
      <c r="K212" s="284" t="s">
        <v>406</v>
      </c>
      <c r="L212" s="284">
        <f t="shared" si="147"/>
        <v>7.3547975418612466E-3</v>
      </c>
      <c r="M212" s="297">
        <f t="shared" si="161"/>
        <v>1.7251843966907598E-2</v>
      </c>
      <c r="N212" s="297"/>
      <c r="O212" s="297"/>
      <c r="P212" s="297"/>
      <c r="Q212" s="297"/>
      <c r="R212" s="297"/>
      <c r="S212" s="299"/>
      <c r="T212" s="284" t="s">
        <v>406</v>
      </c>
      <c r="U212" s="284">
        <f t="shared" si="148"/>
        <v>8.734231585353195E-3</v>
      </c>
      <c r="V212" s="297">
        <f t="shared" si="162"/>
        <v>-4.420920306754117E-3</v>
      </c>
      <c r="W212" s="297"/>
      <c r="X212" s="297"/>
      <c r="Y212" s="297"/>
      <c r="Z212" s="297"/>
      <c r="AA212" s="297"/>
      <c r="AB212" s="299"/>
      <c r="AC212" s="284" t="s">
        <v>406</v>
      </c>
      <c r="AD212" s="284">
        <f t="shared" si="149"/>
        <v>-1.2194979254781857E-2</v>
      </c>
      <c r="AE212" s="297">
        <f t="shared" si="163"/>
        <v>-4.0707641307412445E-2</v>
      </c>
      <c r="AF212" s="297"/>
      <c r="AG212" s="297"/>
      <c r="AH212" s="297"/>
      <c r="AI212" s="297"/>
      <c r="AJ212" s="297"/>
      <c r="AK212" s="299"/>
      <c r="AL212" s="284" t="s">
        <v>406</v>
      </c>
      <c r="AM212" s="284">
        <f t="shared" si="150"/>
        <v>1.9519126464062418E-2</v>
      </c>
      <c r="AN212" s="297">
        <f t="shared" si="155"/>
        <v>2.1039145568654494E-2</v>
      </c>
      <c r="AO212" s="297"/>
      <c r="AP212" s="297"/>
      <c r="AQ212" s="297"/>
      <c r="AR212" s="297"/>
      <c r="AS212" s="297"/>
      <c r="AT212" s="299"/>
      <c r="AU212" s="284" t="s">
        <v>406</v>
      </c>
      <c r="AV212" s="284">
        <f t="shared" si="151"/>
        <v>2.2798084274209734E-2</v>
      </c>
      <c r="AW212" s="297">
        <f t="shared" si="156"/>
        <v>3.9111914931098779E-2</v>
      </c>
      <c r="BC212" s="288"/>
      <c r="BD212" s="284" t="s">
        <v>406</v>
      </c>
      <c r="BE212" s="284">
        <f t="shared" si="152"/>
        <v>3.1414836203935856E-2</v>
      </c>
      <c r="BF212" s="297">
        <f t="shared" si="157"/>
        <v>4.2385056902241258E-2</v>
      </c>
      <c r="BG212" s="297"/>
      <c r="BH212" s="297"/>
      <c r="BI212" s="297"/>
      <c r="BJ212" s="297"/>
      <c r="BK212" s="297"/>
      <c r="BL212" s="288"/>
      <c r="BM212" s="284" t="s">
        <v>406</v>
      </c>
      <c r="BN212" s="284">
        <f t="shared" si="153"/>
        <v>2.7698523304131296E-2</v>
      </c>
      <c r="BO212" s="297">
        <f t="shared" si="158"/>
        <v>4.1353342212402167E-2</v>
      </c>
      <c r="BU212" s="288"/>
      <c r="BV212" s="284" t="s">
        <v>406</v>
      </c>
      <c r="BW212" s="284">
        <f t="shared" si="154"/>
        <v>3.9640876829204877E-2</v>
      </c>
      <c r="BX212" s="297">
        <f t="shared" si="159"/>
        <v>4.3485311957124573E-2</v>
      </c>
      <c r="CD212" s="288"/>
    </row>
    <row r="213" spans="1:82">
      <c r="A213" s="284">
        <f t="shared" si="145"/>
        <v>78</v>
      </c>
      <c r="B213" s="284" t="s">
        <v>407</v>
      </c>
      <c r="C213" s="284">
        <f t="shared" si="146"/>
        <v>3.5699746170578223E-2</v>
      </c>
      <c r="D213" s="297">
        <f t="shared" si="160"/>
        <v>4.1934966676331564E-2</v>
      </c>
      <c r="J213" s="285"/>
      <c r="K213" s="284" t="s">
        <v>407</v>
      </c>
      <c r="L213" s="284">
        <f t="shared" si="147"/>
        <v>7.4856942381166525E-3</v>
      </c>
      <c r="M213" s="297">
        <f t="shared" si="161"/>
        <v>1.7615985971273451E-2</v>
      </c>
      <c r="N213" s="297"/>
      <c r="O213" s="297"/>
      <c r="P213" s="297"/>
      <c r="Q213" s="297"/>
      <c r="R213" s="297"/>
      <c r="S213" s="299"/>
      <c r="T213" s="284" t="s">
        <v>407</v>
      </c>
      <c r="U213" s="284">
        <f t="shared" si="148"/>
        <v>8.5608542922412205E-3</v>
      </c>
      <c r="V213" s="297">
        <f t="shared" si="162"/>
        <v>-4.7000980407139181E-3</v>
      </c>
      <c r="W213" s="297"/>
      <c r="X213" s="297"/>
      <c r="Y213" s="297"/>
      <c r="Z213" s="297"/>
      <c r="AA213" s="297"/>
      <c r="AB213" s="299"/>
      <c r="AC213" s="284" t="s">
        <v>407</v>
      </c>
      <c r="AD213" s="284">
        <f t="shared" si="149"/>
        <v>-1.2575456325818343E-2</v>
      </c>
      <c r="AE213" s="297">
        <f t="shared" si="163"/>
        <v>-4.1436364664982683E-2</v>
      </c>
      <c r="AF213" s="297"/>
      <c r="AG213" s="297"/>
      <c r="AH213" s="297"/>
      <c r="AI213" s="297"/>
      <c r="AJ213" s="297"/>
      <c r="AK213" s="299"/>
      <c r="AL213" s="284" t="s">
        <v>407</v>
      </c>
      <c r="AM213" s="284">
        <f t="shared" si="150"/>
        <v>1.9538567233971481E-2</v>
      </c>
      <c r="AN213" s="297">
        <f t="shared" si="155"/>
        <v>2.1036620289986541E-2</v>
      </c>
      <c r="AO213" s="297"/>
      <c r="AP213" s="297"/>
      <c r="AQ213" s="297"/>
      <c r="AR213" s="297"/>
      <c r="AS213" s="297"/>
      <c r="AT213" s="299"/>
      <c r="AU213" s="284" t="s">
        <v>407</v>
      </c>
      <c r="AV213" s="284">
        <f t="shared" si="151"/>
        <v>2.3007277841233516E-2</v>
      </c>
      <c r="AW213" s="297">
        <f t="shared" si="156"/>
        <v>3.9244338669857548E-2</v>
      </c>
      <c r="BC213" s="288"/>
      <c r="BD213" s="284" t="s">
        <v>407</v>
      </c>
      <c r="BE213" s="284">
        <f t="shared" si="152"/>
        <v>3.1556229950973881E-2</v>
      </c>
      <c r="BF213" s="297">
        <f t="shared" si="157"/>
        <v>4.2501959100738063E-2</v>
      </c>
      <c r="BG213" s="297"/>
      <c r="BH213" s="297"/>
      <c r="BI213" s="297"/>
      <c r="BJ213" s="297"/>
      <c r="BK213" s="297"/>
      <c r="BL213" s="288"/>
      <c r="BM213" s="284" t="s">
        <v>407</v>
      </c>
      <c r="BN213" s="284">
        <f t="shared" si="153"/>
        <v>2.7873155047765989E-2</v>
      </c>
      <c r="BO213" s="297">
        <f t="shared" si="158"/>
        <v>4.1409296096037496E-2</v>
      </c>
      <c r="BU213" s="288"/>
      <c r="BV213" s="284" t="s">
        <v>407</v>
      </c>
      <c r="BW213" s="284">
        <f t="shared" si="154"/>
        <v>3.9689020806495494E-2</v>
      </c>
      <c r="BX213" s="297">
        <f t="shared" si="159"/>
        <v>4.3402810001226477E-2</v>
      </c>
      <c r="CD213" s="288"/>
    </row>
    <row r="214" spans="1:82">
      <c r="A214" s="284">
        <f t="shared" si="145"/>
        <v>79</v>
      </c>
      <c r="B214" s="284" t="s">
        <v>408</v>
      </c>
      <c r="C214" s="284">
        <f t="shared" si="146"/>
        <v>3.5778527416804595E-2</v>
      </c>
      <c r="D214" s="297">
        <f t="shared" si="160"/>
        <v>4.1941963774245306E-2</v>
      </c>
      <c r="J214" s="285"/>
      <c r="K214" s="284" t="s">
        <v>408</v>
      </c>
      <c r="L214" s="284">
        <f t="shared" si="147"/>
        <v>7.617841124018733E-3</v>
      </c>
      <c r="M214" s="297">
        <f t="shared" si="161"/>
        <v>1.7978881584253203E-2</v>
      </c>
      <c r="N214" s="297"/>
      <c r="O214" s="297"/>
      <c r="P214" s="297"/>
      <c r="Q214" s="297"/>
      <c r="R214" s="297"/>
      <c r="S214" s="299"/>
      <c r="T214" s="284" t="s">
        <v>408</v>
      </c>
      <c r="U214" s="284">
        <f t="shared" si="148"/>
        <v>8.388392134104132E-3</v>
      </c>
      <c r="V214" s="297">
        <f t="shared" si="162"/>
        <v>-4.9731927533098741E-3</v>
      </c>
      <c r="W214" s="297"/>
      <c r="X214" s="297"/>
      <c r="Y214" s="297"/>
      <c r="Z214" s="297"/>
      <c r="AA214" s="297"/>
      <c r="AB214" s="299"/>
      <c r="AC214" s="284" t="s">
        <v>408</v>
      </c>
      <c r="AD214" s="284">
        <f t="shared" si="149"/>
        <v>-1.2955465784064729E-2</v>
      </c>
      <c r="AE214" s="297">
        <f t="shared" si="163"/>
        <v>-4.2150037096350901E-2</v>
      </c>
      <c r="AF214" s="297"/>
      <c r="AG214" s="297"/>
      <c r="AH214" s="297"/>
      <c r="AI214" s="297"/>
      <c r="AJ214" s="297"/>
      <c r="AK214" s="299"/>
      <c r="AL214" s="284" t="s">
        <v>408</v>
      </c>
      <c r="AM214" s="284">
        <f t="shared" si="150"/>
        <v>1.955748548860264E-2</v>
      </c>
      <c r="AN214" s="297">
        <f t="shared" si="155"/>
        <v>2.1034191424025295E-2</v>
      </c>
      <c r="AO214" s="297"/>
      <c r="AP214" s="297"/>
      <c r="AQ214" s="297"/>
      <c r="AR214" s="297"/>
      <c r="AS214" s="297"/>
      <c r="AT214" s="299"/>
      <c r="AU214" s="284" t="s">
        <v>408</v>
      </c>
      <c r="AV214" s="284">
        <f t="shared" si="151"/>
        <v>2.3212796400146084E-2</v>
      </c>
      <c r="AW214" s="297">
        <f t="shared" si="156"/>
        <v>3.9371110623801275E-2</v>
      </c>
      <c r="BC214" s="288"/>
      <c r="BD214" s="284" t="s">
        <v>408</v>
      </c>
      <c r="BE214" s="284">
        <f t="shared" si="152"/>
        <v>3.1695479855041502E-2</v>
      </c>
      <c r="BF214" s="297">
        <f t="shared" si="157"/>
        <v>4.2615088219706054E-2</v>
      </c>
      <c r="BG214" s="297"/>
      <c r="BH214" s="297"/>
      <c r="BI214" s="297"/>
      <c r="BJ214" s="297"/>
      <c r="BK214" s="297"/>
      <c r="BL214" s="288"/>
      <c r="BM214" s="284" t="s">
        <v>408</v>
      </c>
      <c r="BN214" s="284">
        <f t="shared" si="153"/>
        <v>2.8044039005063436E-2</v>
      </c>
      <c r="BO214" s="297">
        <f t="shared" si="158"/>
        <v>4.1460891916007103E-2</v>
      </c>
      <c r="BU214" s="288"/>
      <c r="BV214" s="284" t="s">
        <v>408</v>
      </c>
      <c r="BW214" s="284">
        <f t="shared" si="154"/>
        <v>3.973495723666523E-2</v>
      </c>
      <c r="BX214" s="297">
        <f t="shared" si="159"/>
        <v>4.3324259093003858E-2</v>
      </c>
      <c r="CD214" s="288"/>
    </row>
    <row r="215" spans="1:82">
      <c r="A215" s="284">
        <f t="shared" si="145"/>
        <v>80</v>
      </c>
      <c r="B215" s="284" t="s">
        <v>409</v>
      </c>
      <c r="C215" s="284">
        <f t="shared" si="146"/>
        <v>3.5855423990129795E-2</v>
      </c>
      <c r="D215" s="297">
        <f t="shared" si="160"/>
        <v>4.1948328055307016E-2</v>
      </c>
      <c r="J215" s="285"/>
      <c r="K215" s="284" t="s">
        <v>409</v>
      </c>
      <c r="L215" s="284">
        <f t="shared" si="147"/>
        <v>7.7511729057466901E-3</v>
      </c>
      <c r="M215" s="297">
        <f t="shared" si="161"/>
        <v>1.8340327723413319E-2</v>
      </c>
      <c r="N215" s="297"/>
      <c r="O215" s="297"/>
      <c r="P215" s="297"/>
      <c r="Q215" s="297"/>
      <c r="R215" s="297"/>
      <c r="S215" s="299"/>
      <c r="T215" s="284" t="s">
        <v>409</v>
      </c>
      <c r="U215" s="284">
        <f t="shared" si="148"/>
        <v>8.216886669600236E-3</v>
      </c>
      <c r="V215" s="297">
        <f t="shared" si="162"/>
        <v>-5.2402758700308416E-3</v>
      </c>
      <c r="W215" s="297"/>
      <c r="X215" s="297"/>
      <c r="Y215" s="297"/>
      <c r="Z215" s="297"/>
      <c r="AA215" s="297"/>
      <c r="AB215" s="299"/>
      <c r="AC215" s="284" t="s">
        <v>409</v>
      </c>
      <c r="AD215" s="284">
        <f t="shared" si="149"/>
        <v>-1.3334831097545879E-2</v>
      </c>
      <c r="AE215" s="297">
        <f t="shared" si="163"/>
        <v>-4.2848511011076229E-2</v>
      </c>
      <c r="AF215" s="297"/>
      <c r="AG215" s="297"/>
      <c r="AH215" s="297"/>
      <c r="AI215" s="297"/>
      <c r="AJ215" s="297"/>
      <c r="AK215" s="299"/>
      <c r="AL215" s="284" t="s">
        <v>409</v>
      </c>
      <c r="AM215" s="284">
        <f t="shared" si="150"/>
        <v>1.9575902566589306E-2</v>
      </c>
      <c r="AN215" s="297">
        <f t="shared" si="155"/>
        <v>2.1031903497619409E-2</v>
      </c>
      <c r="AO215" s="297"/>
      <c r="AP215" s="297"/>
      <c r="AQ215" s="297"/>
      <c r="AR215" s="297"/>
      <c r="AS215" s="297"/>
      <c r="AT215" s="299"/>
      <c r="AU215" s="284" t="s">
        <v>409</v>
      </c>
      <c r="AV215" s="284">
        <f t="shared" si="151"/>
        <v>2.3414710131398883E-2</v>
      </c>
      <c r="AW215" s="297">
        <f t="shared" si="156"/>
        <v>3.9492451208007928E-2</v>
      </c>
      <c r="BC215" s="288"/>
      <c r="BD215" s="284" t="s">
        <v>409</v>
      </c>
      <c r="BE215" s="284">
        <f t="shared" si="152"/>
        <v>3.1832620461855442E-2</v>
      </c>
      <c r="BF215" s="297">
        <f t="shared" si="157"/>
        <v>4.272453399925169E-2</v>
      </c>
      <c r="BG215" s="297"/>
      <c r="BH215" s="297"/>
      <c r="BI215" s="297"/>
      <c r="BJ215" s="297"/>
      <c r="BK215" s="297"/>
      <c r="BL215" s="288"/>
      <c r="BM215" s="284" t="s">
        <v>409</v>
      </c>
      <c r="BN215" s="284">
        <f t="shared" si="153"/>
        <v>2.8211265124449405E-2</v>
      </c>
      <c r="BO215" s="297">
        <f t="shared" si="158"/>
        <v>4.1508450697290478E-2</v>
      </c>
      <c r="BU215" s="288"/>
      <c r="BV215" s="284" t="s">
        <v>409</v>
      </c>
      <c r="BW215" s="284">
        <f t="shared" si="154"/>
        <v>3.9778816244386631E-2</v>
      </c>
      <c r="BX215" s="297">
        <f t="shared" si="159"/>
        <v>4.3249530584261731E-2</v>
      </c>
      <c r="CD215" s="288"/>
    </row>
    <row r="216" spans="1:82">
      <c r="A216" s="284">
        <f t="shared" si="145"/>
        <v>81</v>
      </c>
      <c r="B216" s="284" t="s">
        <v>410</v>
      </c>
      <c r="C216" s="284">
        <f t="shared" si="146"/>
        <v>3.5930498398851138E-2</v>
      </c>
      <c r="D216" s="297">
        <f t="shared" si="160"/>
        <v>4.1954113872113785E-2</v>
      </c>
      <c r="J216" s="285"/>
      <c r="K216" s="284" t="s">
        <v>410</v>
      </c>
      <c r="L216" s="284">
        <f t="shared" si="147"/>
        <v>7.8856251916667626E-3</v>
      </c>
      <c r="M216" s="297">
        <f t="shared" si="161"/>
        <v>1.8700133125307827E-2</v>
      </c>
      <c r="N216" s="297"/>
      <c r="O216" s="297"/>
      <c r="P216" s="297"/>
      <c r="Q216" s="297"/>
      <c r="R216" s="297"/>
      <c r="S216" s="299"/>
      <c r="T216" s="284" t="s">
        <v>410</v>
      </c>
      <c r="U216" s="284">
        <f t="shared" si="148"/>
        <v>8.0463765317517165E-3</v>
      </c>
      <c r="V216" s="297">
        <f t="shared" si="162"/>
        <v>-5.5014181251634708E-3</v>
      </c>
      <c r="W216" s="297"/>
      <c r="X216" s="297"/>
      <c r="Y216" s="297"/>
      <c r="Z216" s="297"/>
      <c r="AA216" s="297"/>
      <c r="AB216" s="299"/>
      <c r="AC216" s="284" t="s">
        <v>410</v>
      </c>
      <c r="AD216" s="284">
        <f t="shared" si="149"/>
        <v>-1.3713382675030111E-2</v>
      </c>
      <c r="AE216" s="297">
        <f t="shared" si="163"/>
        <v>-4.353165662288927E-2</v>
      </c>
      <c r="AF216" s="297"/>
      <c r="AG216" s="297"/>
      <c r="AH216" s="297"/>
      <c r="AI216" s="297"/>
      <c r="AJ216" s="297"/>
      <c r="AK216" s="299"/>
      <c r="AL216" s="284" t="s">
        <v>410</v>
      </c>
      <c r="AM216" s="284">
        <f t="shared" si="150"/>
        <v>1.9593839280227683E-2</v>
      </c>
      <c r="AN216" s="297">
        <f t="shared" si="155"/>
        <v>2.1029799222390677E-2</v>
      </c>
      <c r="AO216" s="297"/>
      <c r="AP216" s="297"/>
      <c r="AQ216" s="297"/>
      <c r="AR216" s="297"/>
      <c r="AS216" s="297"/>
      <c r="AT216" s="299"/>
      <c r="AU216" s="284" t="s">
        <v>410</v>
      </c>
      <c r="AV216" s="284">
        <f t="shared" si="151"/>
        <v>2.3613088349230246E-2</v>
      </c>
      <c r="AW216" s="297">
        <f t="shared" si="156"/>
        <v>3.9608573612178066E-2</v>
      </c>
      <c r="BC216" s="288"/>
      <c r="BD216" s="284" t="s">
        <v>410</v>
      </c>
      <c r="BE216" s="284">
        <f t="shared" si="152"/>
        <v>3.1967685687303814E-2</v>
      </c>
      <c r="BF216" s="297">
        <f t="shared" si="157"/>
        <v>4.2830384298041535E-2</v>
      </c>
      <c r="BG216" s="297"/>
      <c r="BH216" s="297"/>
      <c r="BI216" s="297"/>
      <c r="BJ216" s="297"/>
      <c r="BK216" s="297"/>
      <c r="BL216" s="288"/>
      <c r="BM216" s="284" t="s">
        <v>410</v>
      </c>
      <c r="BN216" s="284">
        <f t="shared" si="153"/>
        <v>2.8374922569048555E-2</v>
      </c>
      <c r="BO216" s="297">
        <f t="shared" si="158"/>
        <v>4.1552271379403649E-2</v>
      </c>
      <c r="BU216" s="288"/>
      <c r="BV216" s="284" t="s">
        <v>410</v>
      </c>
      <c r="BW216" s="284">
        <f t="shared" si="154"/>
        <v>3.9820719946843539E-2</v>
      </c>
      <c r="BX216" s="297">
        <f t="shared" si="159"/>
        <v>4.3178493485299896E-2</v>
      </c>
      <c r="CD216" s="288"/>
    </row>
    <row r="217" spans="1:82">
      <c r="A217" s="284">
        <f t="shared" si="145"/>
        <v>82</v>
      </c>
      <c r="B217" s="284" t="s">
        <v>411</v>
      </c>
      <c r="C217" s="284">
        <f t="shared" si="146"/>
        <v>3.6003810714223622E-2</v>
      </c>
      <c r="D217" s="297">
        <f t="shared" si="160"/>
        <v>4.1959371093432951E-2</v>
      </c>
      <c r="J217" s="285"/>
      <c r="K217" s="284" t="s">
        <v>411</v>
      </c>
      <c r="L217" s="284">
        <f t="shared" si="147"/>
        <v>8.0211345753279095E-3</v>
      </c>
      <c r="M217" s="297">
        <f t="shared" si="161"/>
        <v>1.9058117871314728E-2</v>
      </c>
      <c r="N217" s="297"/>
      <c r="O217" s="297"/>
      <c r="P217" s="297"/>
      <c r="Q217" s="297"/>
      <c r="R217" s="297"/>
      <c r="S217" s="299"/>
      <c r="T217" s="284" t="s">
        <v>411</v>
      </c>
      <c r="U217" s="284">
        <f t="shared" si="148"/>
        <v>7.8768976139784418E-3</v>
      </c>
      <c r="V217" s="297">
        <f t="shared" si="162"/>
        <v>-5.7566895580386523E-3</v>
      </c>
      <c r="W217" s="297"/>
      <c r="X217" s="297"/>
      <c r="Y217" s="297"/>
      <c r="Z217" s="297"/>
      <c r="AA217" s="297"/>
      <c r="AB217" s="299"/>
      <c r="AC217" s="284" t="s">
        <v>411</v>
      </c>
      <c r="AD217" s="284">
        <f t="shared" si="149"/>
        <v>-1.4090957662707779E-2</v>
      </c>
      <c r="AE217" s="297">
        <f t="shared" si="163"/>
        <v>-4.4199361151508576E-2</v>
      </c>
      <c r="AF217" s="297"/>
      <c r="AG217" s="297"/>
      <c r="AH217" s="297"/>
      <c r="AI217" s="297"/>
      <c r="AJ217" s="297"/>
      <c r="AK217" s="299"/>
      <c r="AL217" s="284" t="s">
        <v>411</v>
      </c>
      <c r="AM217" s="284">
        <f t="shared" si="150"/>
        <v>1.9611315926055157E-2</v>
      </c>
      <c r="AN217" s="297">
        <f t="shared" si="155"/>
        <v>2.1027919543509466E-2</v>
      </c>
      <c r="AO217" s="297"/>
      <c r="AP217" s="297"/>
      <c r="AQ217" s="297"/>
      <c r="AR217" s="297"/>
      <c r="AS217" s="297"/>
      <c r="AT217" s="299"/>
      <c r="AU217" s="284" t="s">
        <v>411</v>
      </c>
      <c r="AV217" s="284">
        <f t="shared" si="151"/>
        <v>2.3807999469666625E-2</v>
      </c>
      <c r="AW217" s="297">
        <f t="shared" si="156"/>
        <v>3.9719683936160655E-2</v>
      </c>
      <c r="BC217" s="288"/>
      <c r="BD217" s="284" t="s">
        <v>411</v>
      </c>
      <c r="BE217" s="284">
        <f t="shared" si="152"/>
        <v>3.2100708833506277E-2</v>
      </c>
      <c r="BF217" s="297">
        <f t="shared" si="157"/>
        <v>4.2932725129803284E-2</v>
      </c>
      <c r="BG217" s="297"/>
      <c r="BH217" s="297"/>
      <c r="BI217" s="297"/>
      <c r="BJ217" s="297"/>
      <c r="BK217" s="297"/>
      <c r="BL217" s="288"/>
      <c r="BM217" s="284" t="s">
        <v>411</v>
      </c>
      <c r="BN217" s="284">
        <f t="shared" si="153"/>
        <v>2.8535099515936271E-2</v>
      </c>
      <c r="BO217" s="297">
        <f t="shared" si="158"/>
        <v>4.1592632166502774E-2</v>
      </c>
      <c r="BU217" s="288"/>
      <c r="BV217" s="284" t="s">
        <v>411</v>
      </c>
      <c r="BW217" s="284">
        <f t="shared" si="154"/>
        <v>3.9860782922498422E-2</v>
      </c>
      <c r="BX217" s="297">
        <f t="shared" si="159"/>
        <v>4.3111015436374078E-2</v>
      </c>
      <c r="CD217" s="288"/>
    </row>
    <row r="218" spans="1:82">
      <c r="A218" s="284">
        <f t="shared" si="145"/>
        <v>83</v>
      </c>
      <c r="B218" s="284" t="s">
        <v>412</v>
      </c>
      <c r="C218" s="284">
        <f t="shared" si="146"/>
        <v>3.607541866751432E-2</v>
      </c>
      <c r="D218" s="297">
        <f t="shared" si="160"/>
        <v>4.1964145456224067E-2</v>
      </c>
      <c r="J218" s="285"/>
      <c r="K218" s="284" t="s">
        <v>412</v>
      </c>
      <c r="L218" s="284">
        <f t="shared" si="147"/>
        <v>8.1576387068165099E-3</v>
      </c>
      <c r="M218" s="297">
        <f t="shared" si="161"/>
        <v>1.9414112928049176E-2</v>
      </c>
      <c r="N218" s="297"/>
      <c r="O218" s="297"/>
      <c r="P218" s="297"/>
      <c r="Q218" s="297"/>
      <c r="R218" s="297"/>
      <c r="S218" s="299"/>
      <c r="T218" s="284" t="s">
        <v>412</v>
      </c>
      <c r="U218" s="284">
        <f t="shared" si="148"/>
        <v>7.7084832427558453E-3</v>
      </c>
      <c r="V218" s="297">
        <f t="shared" si="162"/>
        <v>-6.0061595112034238E-3</v>
      </c>
      <c r="W218" s="297"/>
      <c r="X218" s="297"/>
      <c r="Y218" s="297"/>
      <c r="Z218" s="297"/>
      <c r="AA218" s="297"/>
      <c r="AB218" s="299"/>
      <c r="AC218" s="284" t="s">
        <v>412</v>
      </c>
      <c r="AD218" s="284">
        <f t="shared" si="149"/>
        <v>-1.4467399746255466E-2</v>
      </c>
      <c r="AE218" s="297">
        <f t="shared" si="163"/>
        <v>-4.485152805429804E-2</v>
      </c>
      <c r="AF218" s="297"/>
      <c r="AG218" s="297"/>
      <c r="AH218" s="297"/>
      <c r="AI218" s="297"/>
      <c r="AJ218" s="297"/>
      <c r="AK218" s="299"/>
      <c r="AL218" s="284" t="s">
        <v>412</v>
      </c>
      <c r="AM218" s="284">
        <f t="shared" si="150"/>
        <v>1.9628352295237707E-2</v>
      </c>
      <c r="AN218" s="297">
        <f t="shared" si="155"/>
        <v>2.102630368770475E-2</v>
      </c>
      <c r="AO218" s="297"/>
      <c r="AP218" s="297"/>
      <c r="AQ218" s="297"/>
      <c r="AR218" s="297"/>
      <c r="AS218" s="297"/>
      <c r="AT218" s="299"/>
      <c r="AU218" s="284" t="s">
        <v>412</v>
      </c>
      <c r="AV218" s="284">
        <f t="shared" si="151"/>
        <v>2.3999510982505343E-2</v>
      </c>
      <c r="AW218" s="297">
        <f t="shared" si="156"/>
        <v>3.9825981331654603E-2</v>
      </c>
      <c r="BC218" s="288"/>
      <c r="BD218" s="284" t="s">
        <v>412</v>
      </c>
      <c r="BE218" s="284">
        <f t="shared" si="152"/>
        <v>3.2231722604147313E-2</v>
      </c>
      <c r="BF218" s="297">
        <f t="shared" si="157"/>
        <v>4.3031640698898199E-2</v>
      </c>
      <c r="BG218" s="297"/>
      <c r="BH218" s="297"/>
      <c r="BI218" s="297"/>
      <c r="BJ218" s="297"/>
      <c r="BK218" s="297"/>
      <c r="BL218" s="288"/>
      <c r="BM218" s="284" t="s">
        <v>412</v>
      </c>
      <c r="BN218" s="284">
        <f t="shared" si="153"/>
        <v>2.8691882985057066E-2</v>
      </c>
      <c r="BO218" s="297">
        <f t="shared" si="158"/>
        <v>4.1629791815119388E-2</v>
      </c>
      <c r="BU218" s="288"/>
      <c r="BV218" s="284" t="s">
        <v>412</v>
      </c>
      <c r="BW218" s="284">
        <f t="shared" si="154"/>
        <v>3.9899112656432867E-2</v>
      </c>
      <c r="BX218" s="297">
        <f t="shared" si="159"/>
        <v>4.3046963560047891E-2</v>
      </c>
      <c r="CD218" s="288"/>
    </row>
    <row r="219" spans="1:82">
      <c r="A219" s="284">
        <f t="shared" si="145"/>
        <v>84</v>
      </c>
      <c r="B219" s="284" t="s">
        <v>413</v>
      </c>
      <c r="C219" s="284">
        <f t="shared" si="146"/>
        <v>3.6145377743991167E-2</v>
      </c>
      <c r="D219" s="297">
        <f t="shared" si="160"/>
        <v>4.1968478892263184E-2</v>
      </c>
      <c r="J219" s="285"/>
      <c r="K219" s="284" t="s">
        <v>413</v>
      </c>
      <c r="L219" s="284">
        <f t="shared" si="147"/>
        <v>8.2950763536238786E-3</v>
      </c>
      <c r="M219" s="297">
        <f t="shared" si="161"/>
        <v>1.976795970249845E-2</v>
      </c>
      <c r="N219" s="297"/>
      <c r="O219" s="297"/>
      <c r="P219" s="297"/>
      <c r="Q219" s="297"/>
      <c r="R219" s="297"/>
      <c r="S219" s="299"/>
      <c r="T219" s="284" t="s">
        <v>413</v>
      </c>
      <c r="U219" s="284">
        <f t="shared" si="148"/>
        <v>7.5411643379857916E-3</v>
      </c>
      <c r="V219" s="297">
        <f t="shared" si="162"/>
        <v>-6.2498966308085491E-3</v>
      </c>
      <c r="W219" s="297"/>
      <c r="X219" s="297"/>
      <c r="Y219" s="297"/>
      <c r="Z219" s="297"/>
      <c r="AA219" s="297"/>
      <c r="AB219" s="299"/>
      <c r="AC219" s="284" t="s">
        <v>413</v>
      </c>
      <c r="AD219" s="284">
        <f t="shared" si="149"/>
        <v>-1.4842558958148053E-2</v>
      </c>
      <c r="AE219" s="297">
        <f t="shared" si="163"/>
        <v>-4.5488076286773871E-2</v>
      </c>
      <c r="AF219" s="297"/>
      <c r="AG219" s="297"/>
      <c r="AH219" s="297"/>
      <c r="AI219" s="297"/>
      <c r="AJ219" s="297"/>
      <c r="AK219" s="299"/>
      <c r="AL219" s="284" t="s">
        <v>413</v>
      </c>
      <c r="AM219" s="284">
        <f t="shared" si="150"/>
        <v>1.9644967683768232E-2</v>
      </c>
      <c r="AN219" s="297">
        <f t="shared" si="155"/>
        <v>2.1024989209953215E-2</v>
      </c>
      <c r="AO219" s="297"/>
      <c r="AP219" s="297"/>
      <c r="AQ219" s="297"/>
      <c r="AR219" s="297"/>
      <c r="AS219" s="297"/>
      <c r="AT219" s="299"/>
      <c r="AU219" s="284" t="s">
        <v>413</v>
      </c>
      <c r="AV219" s="284">
        <f t="shared" si="151"/>
        <v>2.4187689427006262E-2</v>
      </c>
      <c r="AW219" s="297">
        <f t="shared" si="156"/>
        <v>3.9927658149281564E-2</v>
      </c>
      <c r="BC219" s="288"/>
      <c r="BD219" s="284" t="s">
        <v>413</v>
      </c>
      <c r="BE219" s="284">
        <f t="shared" si="152"/>
        <v>3.2360759119135198E-2</v>
      </c>
      <c r="BF219" s="297">
        <f t="shared" si="157"/>
        <v>4.3127213435495859E-2</v>
      </c>
      <c r="BG219" s="297"/>
      <c r="BH219" s="297"/>
      <c r="BI219" s="297"/>
      <c r="BJ219" s="297"/>
      <c r="BK219" s="297"/>
      <c r="BL219" s="288"/>
      <c r="BM219" s="284" t="s">
        <v>413</v>
      </c>
      <c r="BN219" s="284">
        <f t="shared" si="153"/>
        <v>2.884535869462216E-2</v>
      </c>
      <c r="BO219" s="297">
        <f t="shared" si="158"/>
        <v>4.166399086021122E-2</v>
      </c>
      <c r="BU219" s="288"/>
      <c r="BV219" s="284" t="s">
        <v>413</v>
      </c>
      <c r="BW219" s="284">
        <f t="shared" si="154"/>
        <v>3.9935809962920059E-2</v>
      </c>
      <c r="BX219" s="297">
        <f t="shared" si="159"/>
        <v>4.2986205205955086E-2</v>
      </c>
      <c r="CD219" s="288"/>
    </row>
    <row r="220" spans="1:82">
      <c r="A220" s="284">
        <f t="shared" si="145"/>
        <v>85</v>
      </c>
      <c r="B220" s="284" t="s">
        <v>414</v>
      </c>
      <c r="C220" s="284">
        <f t="shared" si="146"/>
        <v>3.6213741273816977E-2</v>
      </c>
      <c r="D220" s="297">
        <f t="shared" si="160"/>
        <v>4.1972409830483448E-2</v>
      </c>
      <c r="J220" s="285"/>
      <c r="K220" s="284" t="s">
        <v>414</v>
      </c>
      <c r="L220" s="284">
        <f t="shared" si="147"/>
        <v>8.4333874520702949E-3</v>
      </c>
      <c r="M220" s="297">
        <f t="shared" si="161"/>
        <v>2.0119509611929542E-2</v>
      </c>
      <c r="N220" s="297"/>
      <c r="O220" s="297"/>
      <c r="P220" s="297"/>
      <c r="Q220" s="297"/>
      <c r="R220" s="297"/>
      <c r="S220" s="299"/>
      <c r="T220" s="284" t="s">
        <v>414</v>
      </c>
      <c r="U220" s="284">
        <f t="shared" si="148"/>
        <v>7.3749695620721686E-3</v>
      </c>
      <c r="V220" s="297">
        <f t="shared" si="162"/>
        <v>-6.4879688682580872E-3</v>
      </c>
      <c r="W220" s="297"/>
      <c r="X220" s="297"/>
      <c r="Y220" s="297"/>
      <c r="Z220" s="297"/>
      <c r="AA220" s="297"/>
      <c r="AB220" s="299"/>
      <c r="AC220" s="284" t="s">
        <v>414</v>
      </c>
      <c r="AD220" s="284">
        <f t="shared" si="149"/>
        <v>-1.5216291490087963E-2</v>
      </c>
      <c r="AE220" s="297">
        <f t="shared" si="163"/>
        <v>-4.6108939591236187E-2</v>
      </c>
      <c r="AF220" s="297"/>
      <c r="AG220" s="297"/>
      <c r="AH220" s="297"/>
      <c r="AI220" s="297"/>
      <c r="AJ220" s="297"/>
      <c r="AK220" s="299"/>
      <c r="AL220" s="284" t="s">
        <v>414</v>
      </c>
      <c r="AM220" s="284">
        <f t="shared" si="150"/>
        <v>1.9661180902479761E-2</v>
      </c>
      <c r="AN220" s="297">
        <f t="shared" si="155"/>
        <v>2.1024012039244644E-2</v>
      </c>
      <c r="AO220" s="297"/>
      <c r="AP220" s="297"/>
      <c r="AQ220" s="297"/>
      <c r="AR220" s="297"/>
      <c r="AS220" s="297"/>
      <c r="AT220" s="299"/>
      <c r="AU220" s="284" t="s">
        <v>414</v>
      </c>
      <c r="AV220" s="284">
        <f t="shared" si="151"/>
        <v>2.4372600371035277E-2</v>
      </c>
      <c r="AW220" s="297">
        <f t="shared" si="156"/>
        <v>4.0024900089525417E-2</v>
      </c>
      <c r="BC220" s="288"/>
      <c r="BD220" s="284" t="s">
        <v>414</v>
      </c>
      <c r="BE220" s="284">
        <f t="shared" si="152"/>
        <v>3.2487849928634308E-2</v>
      </c>
      <c r="BF220" s="297">
        <f t="shared" si="157"/>
        <v>4.3219524029945111E-2</v>
      </c>
      <c r="BG220" s="297"/>
      <c r="BH220" s="297"/>
      <c r="BI220" s="297"/>
      <c r="BJ220" s="297"/>
      <c r="BK220" s="297"/>
      <c r="BL220" s="288"/>
      <c r="BM220" s="284" t="s">
        <v>414</v>
      </c>
      <c r="BN220" s="284">
        <f t="shared" si="153"/>
        <v>2.8995610940104641E-2</v>
      </c>
      <c r="BO220" s="297">
        <f t="shared" si="158"/>
        <v>4.1695452779674236E-2</v>
      </c>
      <c r="BU220" s="288"/>
      <c r="BV220" s="284" t="s">
        <v>414</v>
      </c>
      <c r="BW220" s="284">
        <f t="shared" si="154"/>
        <v>3.9970969385941815E-2</v>
      </c>
      <c r="BX220" s="297">
        <f t="shared" si="159"/>
        <v>4.2928608596787043E-2</v>
      </c>
      <c r="CD220" s="288"/>
    </row>
    <row r="221" spans="1:82">
      <c r="A221" s="284">
        <f t="shared" si="145"/>
        <v>86</v>
      </c>
      <c r="B221" s="284" t="s">
        <v>415</v>
      </c>
      <c r="C221" s="284">
        <f t="shared" si="146"/>
        <v>3.6280560519842395E-2</v>
      </c>
      <c r="D221" s="297">
        <f t="shared" si="160"/>
        <v>4.1975973476804374E-2</v>
      </c>
      <c r="J221" s="285"/>
      <c r="K221" s="284" t="s">
        <v>415</v>
      </c>
      <c r="L221" s="284">
        <f t="shared" si="147"/>
        <v>8.5725131502282226E-3</v>
      </c>
      <c r="M221" s="297">
        <f t="shared" si="161"/>
        <v>2.0468623667749153E-2</v>
      </c>
      <c r="N221" s="297"/>
      <c r="O221" s="297"/>
      <c r="P221" s="297"/>
      <c r="Q221" s="297"/>
      <c r="R221" s="297"/>
      <c r="S221" s="299"/>
      <c r="T221" s="284" t="s">
        <v>415</v>
      </c>
      <c r="U221" s="284">
        <f t="shared" si="148"/>
        <v>7.209925458604563E-3</v>
      </c>
      <c r="V221" s="297">
        <f t="shared" si="162"/>
        <v>-6.7204434830171467E-3</v>
      </c>
      <c r="W221" s="297"/>
      <c r="X221" s="297"/>
      <c r="Y221" s="297"/>
      <c r="Z221" s="297"/>
      <c r="AA221" s="297"/>
      <c r="AB221" s="299"/>
      <c r="AC221" s="284" t="s">
        <v>415</v>
      </c>
      <c r="AD221" s="284">
        <f t="shared" si="149"/>
        <v>-1.5588459510418776E-2</v>
      </c>
      <c r="AE221" s="297">
        <f t="shared" si="163"/>
        <v>-4.6714065812038963E-2</v>
      </c>
      <c r="AF221" s="297"/>
      <c r="AG221" s="297"/>
      <c r="AH221" s="297"/>
      <c r="AI221" s="297"/>
      <c r="AJ221" s="297"/>
      <c r="AK221" s="299"/>
      <c r="AL221" s="284" t="s">
        <v>415</v>
      </c>
      <c r="AM221" s="284">
        <f t="shared" si="150"/>
        <v>1.9677010286876656E-2</v>
      </c>
      <c r="AN221" s="297">
        <f t="shared" si="155"/>
        <v>2.1023406523220656E-2</v>
      </c>
      <c r="AO221" s="297"/>
      <c r="AP221" s="297"/>
      <c r="AQ221" s="297"/>
      <c r="AR221" s="297"/>
      <c r="AS221" s="297"/>
      <c r="AT221" s="299"/>
      <c r="AU221" s="284" t="s">
        <v>415</v>
      </c>
      <c r="AV221" s="284">
        <f t="shared" si="151"/>
        <v>2.4554308393416911E-2</v>
      </c>
      <c r="AW221" s="297">
        <f t="shared" si="156"/>
        <v>4.0117886357708521E-2</v>
      </c>
      <c r="BC221" s="288"/>
      <c r="BD221" s="284" t="s">
        <v>415</v>
      </c>
      <c r="BE221" s="284">
        <f t="shared" si="152"/>
        <v>3.2613026026514128E-2</v>
      </c>
      <c r="BF221" s="297">
        <f t="shared" si="157"/>
        <v>4.3308651466674286E-2</v>
      </c>
      <c r="BG221" s="297"/>
      <c r="BH221" s="297"/>
      <c r="BI221" s="297"/>
      <c r="BJ221" s="297"/>
      <c r="BK221" s="297"/>
      <c r="BL221" s="288"/>
      <c r="BM221" s="284" t="s">
        <v>415</v>
      </c>
      <c r="BN221" s="284">
        <f t="shared" si="153"/>
        <v>2.9142722494229507E-2</v>
      </c>
      <c r="BO221" s="297">
        <f t="shared" si="158"/>
        <v>4.1724385098457661E-2</v>
      </c>
      <c r="BU221" s="288"/>
      <c r="BV221" s="284" t="s">
        <v>415</v>
      </c>
      <c r="BW221" s="284">
        <f t="shared" si="154"/>
        <v>4.0004679578404249E-2</v>
      </c>
      <c r="BX221" s="297">
        <f t="shared" si="159"/>
        <v>4.2874043386264438E-2</v>
      </c>
      <c r="CD221" s="288"/>
    </row>
    <row r="222" spans="1:82">
      <c r="A222" s="284">
        <f t="shared" si="145"/>
        <v>87</v>
      </c>
      <c r="B222" s="284" t="s">
        <v>416</v>
      </c>
      <c r="C222" s="284">
        <f t="shared" si="146"/>
        <v>3.6345884762307795E-2</v>
      </c>
      <c r="D222" s="297">
        <f t="shared" si="160"/>
        <v>4.1979202073219257E-2</v>
      </c>
      <c r="J222" s="285"/>
      <c r="K222" s="284" t="s">
        <v>416</v>
      </c>
      <c r="L222" s="284">
        <f t="shared" si="147"/>
        <v>8.7123958431980821E-3</v>
      </c>
      <c r="M222" s="297">
        <f t="shared" si="161"/>
        <v>2.0815172073884947E-2</v>
      </c>
      <c r="N222" s="297"/>
      <c r="O222" s="297"/>
      <c r="P222" s="297"/>
      <c r="Q222" s="297"/>
      <c r="R222" s="297"/>
      <c r="S222" s="299"/>
      <c r="T222" s="284" t="s">
        <v>416</v>
      </c>
      <c r="U222" s="284">
        <f t="shared" si="148"/>
        <v>7.0460565814727052E-3</v>
      </c>
      <c r="V222" s="297">
        <f t="shared" si="162"/>
        <v>-6.9473870464218379E-3</v>
      </c>
      <c r="W222" s="297"/>
      <c r="X222" s="297"/>
      <c r="Y222" s="297"/>
      <c r="Z222" s="297"/>
      <c r="AA222" s="297"/>
      <c r="AB222" s="299"/>
      <c r="AC222" s="284" t="s">
        <v>416</v>
      </c>
      <c r="AD222" s="284">
        <f t="shared" si="149"/>
        <v>-1.5958930986399444E-2</v>
      </c>
      <c r="AE222" s="297">
        <f t="shared" si="163"/>
        <v>-4.7303416237137519E-2</v>
      </c>
      <c r="AF222" s="297"/>
      <c r="AG222" s="297"/>
      <c r="AH222" s="297"/>
      <c r="AI222" s="297"/>
      <c r="AJ222" s="297"/>
      <c r="AK222" s="299"/>
      <c r="AL222" s="284" t="s">
        <v>416</v>
      </c>
      <c r="AM222" s="284">
        <f t="shared" si="150"/>
        <v>1.9692473706786513E-2</v>
      </c>
      <c r="AN222" s="297">
        <f t="shared" si="155"/>
        <v>2.1023205471952355E-2</v>
      </c>
      <c r="AO222" s="297"/>
      <c r="AP222" s="297"/>
      <c r="AQ222" s="297"/>
      <c r="AR222" s="297"/>
      <c r="AS222" s="297"/>
      <c r="AT222" s="299"/>
      <c r="AU222" s="284" t="s">
        <v>416</v>
      </c>
      <c r="AV222" s="284">
        <f t="shared" si="151"/>
        <v>2.4732877069267085E-2</v>
      </c>
      <c r="AW222" s="297">
        <f t="shared" si="156"/>
        <v>4.0206789820944611E-2</v>
      </c>
      <c r="BC222" s="288"/>
      <c r="BD222" s="284" t="s">
        <v>416</v>
      </c>
      <c r="BE222" s="284">
        <f t="shared" si="152"/>
        <v>3.2736317863254538E-2</v>
      </c>
      <c r="BF222" s="297">
        <f t="shared" si="157"/>
        <v>4.3394673057439048E-2</v>
      </c>
      <c r="BG222" s="297"/>
      <c r="BH222" s="297"/>
      <c r="BI222" s="297"/>
      <c r="BJ222" s="297"/>
      <c r="BK222" s="297"/>
      <c r="BL222" s="288"/>
      <c r="BM222" s="284" t="s">
        <v>416</v>
      </c>
      <c r="BN222" s="284">
        <f t="shared" si="153"/>
        <v>2.9286774525609634E-2</v>
      </c>
      <c r="BO222" s="297">
        <f t="shared" si="158"/>
        <v>4.175098043330161E-2</v>
      </c>
      <c r="BU222" s="288"/>
      <c r="BV222" s="284" t="s">
        <v>416</v>
      </c>
      <c r="BW222" s="284">
        <f t="shared" si="154"/>
        <v>4.0037023660834212E-2</v>
      </c>
      <c r="BX222" s="297">
        <f t="shared" si="159"/>
        <v>4.2822381136045751E-2</v>
      </c>
      <c r="CD222" s="288"/>
    </row>
    <row r="223" spans="1:82">
      <c r="A223" s="284">
        <f t="shared" si="145"/>
        <v>88</v>
      </c>
      <c r="B223" s="284" t="s">
        <v>417</v>
      </c>
      <c r="C223" s="284">
        <f t="shared" si="146"/>
        <v>3.6409761380478897E-2</v>
      </c>
      <c r="D223" s="297">
        <f t="shared" si="160"/>
        <v>4.1982125136946546E-2</v>
      </c>
      <c r="J223" s="285"/>
      <c r="K223" s="284" t="s">
        <v>417</v>
      </c>
      <c r="L223" s="284">
        <f t="shared" si="147"/>
        <v>8.8529792015082272E-3</v>
      </c>
      <c r="M223" s="297">
        <f t="shared" si="161"/>
        <v>2.1159033838329622E-2</v>
      </c>
      <c r="N223" s="297"/>
      <c r="O223" s="297"/>
      <c r="P223" s="297"/>
      <c r="Q223" s="297"/>
      <c r="R223" s="297"/>
      <c r="S223" s="299"/>
      <c r="T223" s="284" t="s">
        <v>417</v>
      </c>
      <c r="U223" s="284">
        <f t="shared" si="148"/>
        <v>6.8833856151617641E-3</v>
      </c>
      <c r="V223" s="297">
        <f t="shared" si="162"/>
        <v>-7.1688654461207202E-3</v>
      </c>
      <c r="W223" s="297"/>
      <c r="X223" s="297"/>
      <c r="Y223" s="297"/>
      <c r="Z223" s="297"/>
      <c r="AA223" s="297"/>
      <c r="AB223" s="299"/>
      <c r="AC223" s="284" t="s">
        <v>417</v>
      </c>
      <c r="AD223" s="284">
        <f t="shared" si="149"/>
        <v>-1.6327579511213261E-2</v>
      </c>
      <c r="AE223" s="297">
        <f t="shared" si="163"/>
        <v>-4.7876964964401192E-2</v>
      </c>
      <c r="AF223" s="297"/>
      <c r="AG223" s="297"/>
      <c r="AH223" s="297"/>
      <c r="AI223" s="297"/>
      <c r="AJ223" s="297"/>
      <c r="AK223" s="299"/>
      <c r="AL223" s="284" t="s">
        <v>417</v>
      </c>
      <c r="AM223" s="284">
        <f t="shared" si="150"/>
        <v>1.9707588575836425E-2</v>
      </c>
      <c r="AN223" s="297">
        <f t="shared" si="155"/>
        <v>2.1023440200508725E-2</v>
      </c>
      <c r="AO223" s="297"/>
      <c r="AP223" s="297"/>
      <c r="AQ223" s="297"/>
      <c r="AR223" s="297"/>
      <c r="AS223" s="297"/>
      <c r="AT223" s="299"/>
      <c r="AU223" s="284" t="s">
        <v>417</v>
      </c>
      <c r="AV223" s="284">
        <f t="shared" si="151"/>
        <v>2.4908368958090239E-2</v>
      </c>
      <c r="AW223" s="297">
        <f t="shared" si="156"/>
        <v>4.0291777167737797E-2</v>
      </c>
      <c r="BC223" s="288"/>
      <c r="BD223" s="284" t="s">
        <v>417</v>
      </c>
      <c r="BE223" s="284">
        <f t="shared" si="152"/>
        <v>3.2857755358343496E-2</v>
      </c>
      <c r="BF223" s="297">
        <f t="shared" si="157"/>
        <v>4.3477664473859479E-2</v>
      </c>
      <c r="BG223" s="297"/>
      <c r="BH223" s="297"/>
      <c r="BI223" s="297"/>
      <c r="BJ223" s="297"/>
      <c r="BK223" s="297"/>
      <c r="BL223" s="288"/>
      <c r="BM223" s="284" t="s">
        <v>417</v>
      </c>
      <c r="BN223" s="284">
        <f t="shared" si="153"/>
        <v>2.9427846533909247E-2</v>
      </c>
      <c r="BO223" s="297">
        <f t="shared" si="158"/>
        <v>4.1775417480324206E-2</v>
      </c>
      <c r="BU223" s="288"/>
      <c r="BV223" s="284" t="s">
        <v>417</v>
      </c>
      <c r="BW223" s="284">
        <f t="shared" si="154"/>
        <v>4.0068079560357753E-2</v>
      </c>
      <c r="BX223" s="297">
        <f t="shared" si="159"/>
        <v>4.2773495720564325E-2</v>
      </c>
      <c r="CD223" s="288"/>
    </row>
    <row r="224" spans="1:82">
      <c r="A224" s="284">
        <f t="shared" si="145"/>
        <v>89</v>
      </c>
      <c r="B224" s="284" t="s">
        <v>418</v>
      </c>
      <c r="C224" s="284">
        <f t="shared" si="146"/>
        <v>3.6472235931254815E-2</v>
      </c>
      <c r="D224" s="297">
        <f t="shared" si="160"/>
        <v>4.198476968157383E-2</v>
      </c>
      <c r="J224" s="285"/>
      <c r="K224" s="284" t="s">
        <v>418</v>
      </c>
      <c r="L224" s="284">
        <f t="shared" si="147"/>
        <v>8.9942081933376619E-3</v>
      </c>
      <c r="M224" s="297">
        <f t="shared" si="161"/>
        <v>2.150009639870798E-2</v>
      </c>
      <c r="N224" s="297"/>
      <c r="O224" s="297"/>
      <c r="P224" s="297"/>
      <c r="Q224" s="297"/>
      <c r="R224" s="297"/>
      <c r="S224" s="299"/>
      <c r="T224" s="284" t="s">
        <v>418</v>
      </c>
      <c r="U224" s="284">
        <f t="shared" si="148"/>
        <v>6.7219334869141403E-3</v>
      </c>
      <c r="V224" s="297">
        <f t="shared" si="162"/>
        <v>-7.3849438913251575E-3</v>
      </c>
      <c r="W224" s="297"/>
      <c r="X224" s="297"/>
      <c r="Y224" s="297"/>
      <c r="Z224" s="297"/>
      <c r="AA224" s="297"/>
      <c r="AB224" s="299"/>
      <c r="AC224" s="284" t="s">
        <v>418</v>
      </c>
      <c r="AD224" s="284">
        <f t="shared" si="149"/>
        <v>-1.6694284135593443E-2</v>
      </c>
      <c r="AE224" s="297">
        <f t="shared" si="163"/>
        <v>-4.8434698292470157E-2</v>
      </c>
      <c r="AF224" s="297"/>
      <c r="AG224" s="297"/>
      <c r="AH224" s="297"/>
      <c r="AI224" s="297"/>
      <c r="AJ224" s="297"/>
      <c r="AK224" s="299"/>
      <c r="AL224" s="284" t="s">
        <v>418</v>
      </c>
      <c r="AM224" s="284">
        <f t="shared" si="150"/>
        <v>1.9722371860756115E-2</v>
      </c>
      <c r="AN224" s="297">
        <f t="shared" si="155"/>
        <v>2.1024140570625516E-2</v>
      </c>
      <c r="AO224" s="297"/>
      <c r="AP224" s="297"/>
      <c r="AQ224" s="297"/>
      <c r="AR224" s="297"/>
      <c r="AS224" s="297"/>
      <c r="AT224" s="299"/>
      <c r="AU224" s="284" t="s">
        <v>418</v>
      </c>
      <c r="AV224" s="284">
        <f t="shared" si="151"/>
        <v>2.5080845594437382E-2</v>
      </c>
      <c r="AW224" s="297">
        <f t="shared" si="156"/>
        <v>4.0373009068346732E-2</v>
      </c>
      <c r="BC224" s="288"/>
      <c r="BD224" s="284" t="s">
        <v>418</v>
      </c>
      <c r="BE224" s="284">
        <f t="shared" si="152"/>
        <v>3.2977367912199927E-2</v>
      </c>
      <c r="BF224" s="297">
        <f t="shared" si="157"/>
        <v>4.3557699779535497E-2</v>
      </c>
      <c r="BG224" s="297"/>
      <c r="BH224" s="297"/>
      <c r="BI224" s="297"/>
      <c r="BJ224" s="297"/>
      <c r="BK224" s="297"/>
      <c r="BL224" s="288"/>
      <c r="BM224" s="284" t="s">
        <v>418</v>
      </c>
      <c r="BN224" s="284">
        <f t="shared" si="153"/>
        <v>2.9566016299626213E-2</v>
      </c>
      <c r="BO224" s="297">
        <f t="shared" si="158"/>
        <v>4.1797861946272663E-2</v>
      </c>
      <c r="BU224" s="288"/>
      <c r="BV224" s="284" t="s">
        <v>418</v>
      </c>
      <c r="BW224" s="284">
        <f t="shared" si="154"/>
        <v>4.0097920330771537E-2</v>
      </c>
      <c r="BX224" s="297">
        <f t="shared" si="159"/>
        <v>4.2727263667051929E-2</v>
      </c>
      <c r="CD224" s="288"/>
    </row>
    <row r="225" spans="1:82">
      <c r="A225" s="284">
        <f t="shared" si="145"/>
        <v>90</v>
      </c>
      <c r="B225" s="284" t="s">
        <v>419</v>
      </c>
      <c r="C225" s="284">
        <f t="shared" si="146"/>
        <v>3.653335222479602E-2</v>
      </c>
      <c r="D225" s="297">
        <f t="shared" si="160"/>
        <v>4.1987160421154801E-2</v>
      </c>
      <c r="J225" s="285"/>
      <c r="K225" s="284" t="s">
        <v>419</v>
      </c>
      <c r="L225" s="284">
        <f t="shared" si="147"/>
        <v>9.1360291011939807E-3</v>
      </c>
      <c r="M225" s="297">
        <f t="shared" si="161"/>
        <v>2.1838255260505868E-2</v>
      </c>
      <c r="N225" s="297"/>
      <c r="O225" s="297"/>
      <c r="P225" s="297"/>
      <c r="Q225" s="297"/>
      <c r="R225" s="297"/>
      <c r="S225" s="299"/>
      <c r="T225" s="284" t="s">
        <v>419</v>
      </c>
      <c r="U225" s="284">
        <f t="shared" si="148"/>
        <v>6.5617194713830165E-3</v>
      </c>
      <c r="V225" s="297">
        <f t="shared" si="162"/>
        <v>-7.5956869182516318E-3</v>
      </c>
      <c r="W225" s="297"/>
      <c r="X225" s="297"/>
      <c r="Y225" s="297"/>
      <c r="Z225" s="297"/>
      <c r="AA225" s="297"/>
      <c r="AB225" s="299"/>
      <c r="AC225" s="284" t="s">
        <v>419</v>
      </c>
      <c r="AD225" s="284">
        <f t="shared" si="149"/>
        <v>-1.705892920394543E-2</v>
      </c>
      <c r="AE225" s="297">
        <f t="shared" si="163"/>
        <v>-4.8976614134462748E-2</v>
      </c>
      <c r="AF225" s="297"/>
      <c r="AG225" s="297"/>
      <c r="AH225" s="297"/>
      <c r="AI225" s="297"/>
      <c r="AJ225" s="297"/>
      <c r="AK225" s="299"/>
      <c r="AL225" s="284" t="s">
        <v>419</v>
      </c>
      <c r="AM225" s="284">
        <f t="shared" si="150"/>
        <v>1.9736840090511121E-2</v>
      </c>
      <c r="AN225" s="297">
        <f t="shared" si="155"/>
        <v>2.1025335031557679E-2</v>
      </c>
      <c r="AO225" s="297"/>
      <c r="AP225" s="297"/>
      <c r="AQ225" s="297"/>
      <c r="AR225" s="297"/>
      <c r="AS225" s="297"/>
      <c r="AT225" s="299"/>
      <c r="AU225" s="284" t="s">
        <v>419</v>
      </c>
      <c r="AV225" s="284">
        <f t="shared" si="151"/>
        <v>2.5250367480933549E-2</v>
      </c>
      <c r="AW225" s="297">
        <f t="shared" si="156"/>
        <v>4.0450640336009203E-2</v>
      </c>
      <c r="BC225" s="288"/>
      <c r="BD225" s="284" t="s">
        <v>419</v>
      </c>
      <c r="BE225" s="284">
        <f t="shared" si="152"/>
        <v>3.3095184417652176E-2</v>
      </c>
      <c r="BF225" s="297">
        <f t="shared" si="157"/>
        <v>4.3634851461664015E-2</v>
      </c>
      <c r="BG225" s="297"/>
      <c r="BH225" s="297"/>
      <c r="BI225" s="297"/>
      <c r="BJ225" s="297"/>
      <c r="BK225" s="297"/>
      <c r="BL225" s="288"/>
      <c r="BM225" s="284" t="s">
        <v>419</v>
      </c>
      <c r="BN225" s="284">
        <f t="shared" si="153"/>
        <v>2.9701359846774713E-2</v>
      </c>
      <c r="BO225" s="297">
        <f t="shared" si="158"/>
        <v>4.1818467426367523E-2</v>
      </c>
      <c r="BU225" s="288"/>
      <c r="BV225" s="284" t="s">
        <v>419</v>
      </c>
      <c r="BW225" s="284">
        <f t="shared" si="154"/>
        <v>4.0126614454520156E-2</v>
      </c>
      <c r="BX225" s="297">
        <f t="shared" si="159"/>
        <v>4.2683564436531318E-2</v>
      </c>
      <c r="CD225" s="288"/>
    </row>
    <row r="226" spans="1:82">
      <c r="A226" s="284">
        <f t="shared" si="145"/>
        <v>91</v>
      </c>
      <c r="B226" s="284" t="s">
        <v>420</v>
      </c>
      <c r="C226" s="284">
        <f t="shared" si="146"/>
        <v>3.6593152397229795E-2</v>
      </c>
      <c r="D226" s="297">
        <f t="shared" si="160"/>
        <v>4.1989319958622984E-2</v>
      </c>
      <c r="J226" s="285"/>
      <c r="K226" s="284" t="s">
        <v>420</v>
      </c>
      <c r="L226" s="284">
        <f t="shared" si="147"/>
        <v>9.2783895336192683E-3</v>
      </c>
      <c r="M226" s="297">
        <f t="shared" si="161"/>
        <v>2.2173413648275409E-2</v>
      </c>
      <c r="N226" s="297"/>
      <c r="O226" s="297"/>
      <c r="P226" s="297"/>
      <c r="Q226" s="297"/>
      <c r="R226" s="297"/>
      <c r="S226" s="299"/>
      <c r="T226" s="284" t="s">
        <v>420</v>
      </c>
      <c r="U226" s="284">
        <f t="shared" si="148"/>
        <v>6.4027612883496773E-3</v>
      </c>
      <c r="V226" s="297">
        <f t="shared" si="162"/>
        <v>-7.8011583960461151E-3</v>
      </c>
      <c r="W226" s="297"/>
      <c r="X226" s="297"/>
      <c r="Y226" s="297"/>
      <c r="Z226" s="297"/>
      <c r="AA226" s="297"/>
      <c r="AB226" s="299"/>
      <c r="AC226" s="284" t="s">
        <v>420</v>
      </c>
      <c r="AD226" s="284">
        <f t="shared" si="149"/>
        <v>-1.7421404194854231E-2</v>
      </c>
      <c r="AE226" s="297">
        <f t="shared" si="163"/>
        <v>-4.9502721454778742E-2</v>
      </c>
      <c r="AF226" s="297"/>
      <c r="AG226" s="297"/>
      <c r="AH226" s="297"/>
      <c r="AI226" s="297"/>
      <c r="AJ226" s="297"/>
      <c r="AK226" s="299"/>
      <c r="AL226" s="284" t="s">
        <v>420</v>
      </c>
      <c r="AM226" s="284">
        <f t="shared" si="150"/>
        <v>1.975100936526894E-2</v>
      </c>
      <c r="AN226" s="297">
        <f t="shared" si="155"/>
        <v>2.1027050659785607E-2</v>
      </c>
      <c r="AO226" s="297"/>
      <c r="AP226" s="297"/>
      <c r="AQ226" s="297"/>
      <c r="AR226" s="297"/>
      <c r="AS226" s="297"/>
      <c r="AT226" s="299"/>
      <c r="AU226" s="284" t="s">
        <v>420</v>
      </c>
      <c r="AV226" s="284">
        <f t="shared" si="151"/>
        <v>2.5416994083494345E-2</v>
      </c>
      <c r="AW226" s="297">
        <f t="shared" si="156"/>
        <v>4.0524820088591484E-2</v>
      </c>
      <c r="BC226" s="288"/>
      <c r="BD226" s="284" t="s">
        <v>420</v>
      </c>
      <c r="BE226" s="284">
        <f t="shared" si="152"/>
        <v>3.321123327099957E-2</v>
      </c>
      <c r="BF226" s="297">
        <f t="shared" si="157"/>
        <v>4.3709190461591163E-2</v>
      </c>
      <c r="BG226" s="297"/>
      <c r="BH226" s="297"/>
      <c r="BI226" s="297"/>
      <c r="BJ226" s="297"/>
      <c r="BK226" s="297"/>
      <c r="BL226" s="288"/>
      <c r="BM226" s="284" t="s">
        <v>420</v>
      </c>
      <c r="BN226" s="284">
        <f t="shared" si="153"/>
        <v>2.983395141692264E-2</v>
      </c>
      <c r="BO226" s="297">
        <f t="shared" si="158"/>
        <v>4.1837376230117407E-2</v>
      </c>
      <c r="BU226" s="288"/>
      <c r="BV226" s="284" t="s">
        <v>420</v>
      </c>
      <c r="BW226" s="284">
        <f t="shared" si="154"/>
        <v>4.015422612738935E-2</v>
      </c>
      <c r="BX226" s="297">
        <f t="shared" si="159"/>
        <v>4.2642280653084841E-2</v>
      </c>
      <c r="CD226" s="288"/>
    </row>
    <row r="227" spans="1:82">
      <c r="A227" s="284">
        <f t="shared" si="145"/>
        <v>92</v>
      </c>
      <c r="B227" s="284" t="s">
        <v>421</v>
      </c>
      <c r="C227" s="284">
        <f t="shared" si="146"/>
        <v>3.6651676980497511E-2</v>
      </c>
      <c r="D227" s="297">
        <f t="shared" si="160"/>
        <v>4.1991268959235439E-2</v>
      </c>
      <c r="J227" s="285"/>
      <c r="K227" s="284" t="s">
        <v>421</v>
      </c>
      <c r="L227" s="284">
        <f t="shared" si="147"/>
        <v>9.421238432442712E-3</v>
      </c>
      <c r="M227" s="297">
        <f t="shared" si="161"/>
        <v>2.2505482169210111E-2</v>
      </c>
      <c r="N227" s="297"/>
      <c r="O227" s="297"/>
      <c r="P227" s="297"/>
      <c r="Q227" s="297"/>
      <c r="R227" s="297"/>
      <c r="S227" s="299"/>
      <c r="T227" s="284" t="s">
        <v>421</v>
      </c>
      <c r="U227" s="284">
        <f t="shared" si="148"/>
        <v>6.2450751940284627E-3</v>
      </c>
      <c r="V227" s="297">
        <f t="shared" si="162"/>
        <v>-8.0014215330016514E-3</v>
      </c>
      <c r="W227" s="297"/>
      <c r="X227" s="297"/>
      <c r="Y227" s="297"/>
      <c r="Z227" s="297"/>
      <c r="AA227" s="297"/>
      <c r="AB227" s="299"/>
      <c r="AC227" s="284" t="s">
        <v>421</v>
      </c>
      <c r="AD227" s="284">
        <f t="shared" si="149"/>
        <v>-1.7781603565862503E-2</v>
      </c>
      <c r="AE227" s="297">
        <f t="shared" si="163"/>
        <v>-5.0013039726934494E-2</v>
      </c>
      <c r="AF227" s="297"/>
      <c r="AG227" s="297"/>
      <c r="AH227" s="297"/>
      <c r="AI227" s="297"/>
      <c r="AJ227" s="297"/>
      <c r="AK227" s="299"/>
      <c r="AL227" s="284" t="s">
        <v>421</v>
      </c>
      <c r="AM227" s="284">
        <f t="shared" si="150"/>
        <v>1.976489536520112E-2</v>
      </c>
      <c r="AN227" s="297">
        <f t="shared" si="155"/>
        <v>2.102931319794199E-2</v>
      </c>
      <c r="AO227" s="297"/>
      <c r="AP227" s="297"/>
      <c r="AQ227" s="297"/>
      <c r="AR227" s="297"/>
      <c r="AS227" s="297"/>
      <c r="AT227" s="299"/>
      <c r="AU227" s="284" t="s">
        <v>421</v>
      </c>
      <c r="AV227" s="284">
        <f t="shared" si="151"/>
        <v>2.5580783828561871E-2</v>
      </c>
      <c r="AW227" s="297">
        <f t="shared" si="156"/>
        <v>4.059569190954071E-2</v>
      </c>
      <c r="BC227" s="288"/>
      <c r="BD227" s="284" t="s">
        <v>421</v>
      </c>
      <c r="BE227" s="284">
        <f t="shared" si="152"/>
        <v>3.3325542382682372E-2</v>
      </c>
      <c r="BF227" s="297">
        <f t="shared" si="157"/>
        <v>4.3780786205513733E-2</v>
      </c>
      <c r="BG227" s="297"/>
      <c r="BH227" s="297"/>
      <c r="BI227" s="297"/>
      <c r="BJ227" s="297"/>
      <c r="BK227" s="297"/>
      <c r="BL227" s="288"/>
      <c r="BM227" s="284" t="s">
        <v>421</v>
      </c>
      <c r="BN227" s="284">
        <f t="shared" si="153"/>
        <v>2.9963863453194559E-2</v>
      </c>
      <c r="BO227" s="297">
        <f t="shared" si="158"/>
        <v>4.1854720157543435E-2</v>
      </c>
      <c r="BU227" s="288"/>
      <c r="BV227" s="284" t="s">
        <v>421</v>
      </c>
      <c r="BW227" s="284">
        <f t="shared" si="154"/>
        <v>4.0180815526715499E-2</v>
      </c>
      <c r="BX227" s="297">
        <f t="shared" si="159"/>
        <v>4.2603298286229441E-2</v>
      </c>
      <c r="CD227" s="288"/>
    </row>
    <row r="228" spans="1:82">
      <c r="A228" s="284">
        <f t="shared" si="145"/>
        <v>93</v>
      </c>
      <c r="B228" s="284" t="s">
        <v>422</v>
      </c>
      <c r="C228" s="284">
        <f t="shared" si="146"/>
        <v>3.6708964969413019E-2</v>
      </c>
      <c r="D228" s="297">
        <f t="shared" si="160"/>
        <v>4.1993026310988668E-2</v>
      </c>
      <c r="J228" s="285"/>
      <c r="K228" s="284" t="s">
        <v>422</v>
      </c>
      <c r="L228" s="284">
        <f t="shared" si="147"/>
        <v>9.5645260760501803E-3</v>
      </c>
      <c r="M228" s="297">
        <f t="shared" si="161"/>
        <v>2.2834378488669982E-2</v>
      </c>
      <c r="N228" s="297"/>
      <c r="O228" s="297"/>
      <c r="P228" s="297"/>
      <c r="Q228" s="297"/>
      <c r="R228" s="297"/>
      <c r="S228" s="299"/>
      <c r="T228" s="284" t="s">
        <v>422</v>
      </c>
      <c r="U228" s="284">
        <f t="shared" si="148"/>
        <v>6.0886760664378772E-3</v>
      </c>
      <c r="V228" s="297">
        <f t="shared" si="162"/>
        <v>-8.1965388827305308E-3</v>
      </c>
      <c r="W228" s="297"/>
      <c r="X228" s="297"/>
      <c r="Y228" s="297"/>
      <c r="Z228" s="297"/>
      <c r="AA228" s="297"/>
      <c r="AB228" s="299"/>
      <c r="AC228" s="284" t="s">
        <v>422</v>
      </c>
      <c r="AD228" s="284">
        <f t="shared" si="149"/>
        <v>-1.8139426602412315E-2</v>
      </c>
      <c r="AE228" s="297">
        <f t="shared" si="163"/>
        <v>-5.0507598412891874E-2</v>
      </c>
      <c r="AF228" s="297"/>
      <c r="AG228" s="297"/>
      <c r="AH228" s="297"/>
      <c r="AI228" s="297"/>
      <c r="AJ228" s="297"/>
      <c r="AK228" s="299"/>
      <c r="AL228" s="284" t="s">
        <v>422</v>
      </c>
      <c r="AM228" s="284">
        <f t="shared" si="150"/>
        <v>1.9778513359123701E-2</v>
      </c>
      <c r="AN228" s="297">
        <f t="shared" si="155"/>
        <v>2.1032147092642228E-2</v>
      </c>
      <c r="AO228" s="297"/>
      <c r="AP228" s="297"/>
      <c r="AQ228" s="297"/>
      <c r="AR228" s="297"/>
      <c r="AS228" s="297"/>
      <c r="AT228" s="299"/>
      <c r="AU228" s="284" t="s">
        <v>422</v>
      </c>
      <c r="AV228" s="284">
        <f t="shared" si="151"/>
        <v>2.5741794102200601E-2</v>
      </c>
      <c r="AW228" s="297">
        <f t="shared" si="156"/>
        <v>4.0663394008491505E-2</v>
      </c>
      <c r="BC228" s="288"/>
      <c r="BD228" s="284" t="s">
        <v>422</v>
      </c>
      <c r="BE228" s="284">
        <f t="shared" si="152"/>
        <v>3.3438139187583524E-2</v>
      </c>
      <c r="BF228" s="297">
        <f t="shared" si="157"/>
        <v>4.384970663410015E-2</v>
      </c>
      <c r="BG228" s="297"/>
      <c r="BH228" s="297"/>
      <c r="BI228" s="297"/>
      <c r="BJ228" s="297"/>
      <c r="BK228" s="297"/>
      <c r="BL228" s="288"/>
      <c r="BM228" s="284" t="s">
        <v>422</v>
      </c>
      <c r="BN228" s="284">
        <f t="shared" si="153"/>
        <v>3.0091166592993386E-2</v>
      </c>
      <c r="BO228" s="297">
        <f t="shared" si="158"/>
        <v>4.1870621227747984E-2</v>
      </c>
      <c r="BU228" s="288"/>
      <c r="BV228" s="284" t="s">
        <v>422</v>
      </c>
      <c r="BW228" s="284">
        <f t="shared" si="154"/>
        <v>4.0206439063899389E-2</v>
      </c>
      <c r="BX228" s="297">
        <f t="shared" si="159"/>
        <v>4.2566506791759107E-2</v>
      </c>
      <c r="CD228" s="288"/>
    </row>
    <row r="229" spans="1:82">
      <c r="A229" s="284">
        <f t="shared" si="145"/>
        <v>94</v>
      </c>
      <c r="B229" s="284" t="s">
        <v>423</v>
      </c>
      <c r="C229" s="284">
        <f t="shared" si="146"/>
        <v>3.6765053886006809E-2</v>
      </c>
      <c r="D229" s="297">
        <f t="shared" si="160"/>
        <v>4.199460927171228E-2</v>
      </c>
      <c r="J229" s="285"/>
      <c r="K229" s="284" t="s">
        <v>423</v>
      </c>
      <c r="L229" s="284">
        <f t="shared" si="147"/>
        <v>9.7082040790967793E-3</v>
      </c>
      <c r="M229" s="297">
        <f t="shared" si="161"/>
        <v>2.3160027017707918E-2</v>
      </c>
      <c r="N229" s="297"/>
      <c r="O229" s="297"/>
      <c r="P229" s="297"/>
      <c r="Q229" s="297"/>
      <c r="R229" s="297"/>
      <c r="S229" s="299"/>
      <c r="T229" s="284" t="s">
        <v>423</v>
      </c>
      <c r="U229" s="284">
        <f t="shared" si="148"/>
        <v>5.9335774852770223E-3</v>
      </c>
      <c r="V229" s="297">
        <f t="shared" si="162"/>
        <v>-8.3865723508922407E-3</v>
      </c>
      <c r="W229" s="297"/>
      <c r="X229" s="297"/>
      <c r="Y229" s="297"/>
      <c r="Z229" s="297"/>
      <c r="AA229" s="297"/>
      <c r="AB229" s="299"/>
      <c r="AC229" s="284" t="s">
        <v>423</v>
      </c>
      <c r="AD229" s="284">
        <f t="shared" si="149"/>
        <v>-1.8494777270844004E-2</v>
      </c>
      <c r="AE229" s="297">
        <f t="shared" si="163"/>
        <v>-5.0986436462083562E-2</v>
      </c>
      <c r="AF229" s="297"/>
      <c r="AG229" s="297"/>
      <c r="AH229" s="297"/>
      <c r="AI229" s="297"/>
      <c r="AJ229" s="297"/>
      <c r="AK229" s="299"/>
      <c r="AL229" s="284" t="s">
        <v>423</v>
      </c>
      <c r="AM229" s="284">
        <f t="shared" si="150"/>
        <v>1.97918782129794E-2</v>
      </c>
      <c r="AN229" s="297">
        <f t="shared" si="155"/>
        <v>2.1035575531910045E-2</v>
      </c>
      <c r="AO229" s="297"/>
      <c r="AP229" s="297"/>
      <c r="AQ229" s="297"/>
      <c r="AR229" s="297"/>
      <c r="AS229" s="297"/>
      <c r="AT229" s="299"/>
      <c r="AU229" s="284" t="s">
        <v>423</v>
      </c>
      <c r="AV229" s="284">
        <f t="shared" si="151"/>
        <v>2.5900081250903286E-2</v>
      </c>
      <c r="AW229" s="297">
        <f t="shared" si="156"/>
        <v>4.0728059380420678E-2</v>
      </c>
      <c r="BC229" s="288"/>
      <c r="BD229" s="284" t="s">
        <v>423</v>
      </c>
      <c r="BE229" s="284">
        <f t="shared" si="152"/>
        <v>3.3549050654983564E-2</v>
      </c>
      <c r="BF229" s="297">
        <f t="shared" si="157"/>
        <v>4.3916018231737963E-2</v>
      </c>
      <c r="BG229" s="297"/>
      <c r="BH229" s="297"/>
      <c r="BI229" s="297"/>
      <c r="BJ229" s="297"/>
      <c r="BK229" s="297"/>
      <c r="BL229" s="288"/>
      <c r="BM229" s="284" t="s">
        <v>423</v>
      </c>
      <c r="BN229" s="284">
        <f t="shared" si="153"/>
        <v>3.0215929668321879E-2</v>
      </c>
      <c r="BO229" s="297">
        <f t="shared" si="158"/>
        <v>4.1885192362318691E-2</v>
      </c>
      <c r="BU229" s="288"/>
      <c r="BV229" s="284" t="s">
        <v>423</v>
      </c>
      <c r="BW229" s="284">
        <f t="shared" si="154"/>
        <v>4.0231149621994602E-2</v>
      </c>
      <c r="BX229" s="297">
        <f t="shared" si="159"/>
        <v>4.2531799216195765E-2</v>
      </c>
      <c r="CD229" s="288"/>
    </row>
    <row r="230" spans="1:82">
      <c r="A230" s="284">
        <f t="shared" si="145"/>
        <v>95</v>
      </c>
      <c r="B230" s="284" t="s">
        <v>424</v>
      </c>
      <c r="C230" s="284">
        <f t="shared" si="146"/>
        <v>3.6819979841233905E-2</v>
      </c>
      <c r="D230" s="297">
        <f t="shared" si="160"/>
        <v>4.1996033605127048E-2</v>
      </c>
      <c r="J230" s="285"/>
      <c r="K230" s="284" t="s">
        <v>424</v>
      </c>
      <c r="L230" s="284">
        <f t="shared" si="147"/>
        <v>9.8522253890484593E-3</v>
      </c>
      <c r="M230" s="297">
        <f t="shared" si="161"/>
        <v>2.348235861156045E-2</v>
      </c>
      <c r="N230" s="297"/>
      <c r="O230" s="297"/>
      <c r="P230" s="297"/>
      <c r="Q230" s="297"/>
      <c r="R230" s="297"/>
      <c r="S230" s="299"/>
      <c r="T230" s="284" t="s">
        <v>424</v>
      </c>
      <c r="U230" s="284">
        <f t="shared" si="148"/>
        <v>5.779791806710767E-3</v>
      </c>
      <c r="V230" s="297">
        <f t="shared" si="162"/>
        <v>-8.5715832016308724E-3</v>
      </c>
      <c r="W230" s="297"/>
      <c r="X230" s="297"/>
      <c r="Y230" s="297"/>
      <c r="Z230" s="297"/>
      <c r="AA230" s="297"/>
      <c r="AB230" s="299"/>
      <c r="AC230" s="284" t="s">
        <v>424</v>
      </c>
      <c r="AD230" s="284">
        <f t="shared" si="149"/>
        <v>-1.8847564075348253E-2</v>
      </c>
      <c r="AE230" s="297">
        <f t="shared" si="163"/>
        <v>-5.1449601830247715E-2</v>
      </c>
      <c r="AF230" s="297"/>
      <c r="AG230" s="297"/>
      <c r="AH230" s="297"/>
      <c r="AI230" s="297"/>
      <c r="AJ230" s="297"/>
      <c r="AK230" s="299"/>
      <c r="AL230" s="284" t="s">
        <v>424</v>
      </c>
      <c r="AM230" s="284">
        <f t="shared" si="150"/>
        <v>1.980500439816367E-2</v>
      </c>
      <c r="AN230" s="297">
        <f t="shared" si="155"/>
        <v>2.1039620481027255E-2</v>
      </c>
      <c r="AO230" s="297"/>
      <c r="AP230" s="297"/>
      <c r="AQ230" s="297"/>
      <c r="AR230" s="297"/>
      <c r="AS230" s="297"/>
      <c r="AT230" s="299"/>
      <c r="AU230" s="284" t="s">
        <v>424</v>
      </c>
      <c r="AV230" s="284">
        <f t="shared" si="151"/>
        <v>2.6055700583966241E-2</v>
      </c>
      <c r="AW230" s="297">
        <f t="shared" si="156"/>
        <v>4.0789815963633069E-2</v>
      </c>
      <c r="BC230" s="288"/>
      <c r="BD230" s="284" t="s">
        <v>424</v>
      </c>
      <c r="BE230" s="284">
        <f t="shared" si="152"/>
        <v>3.365830329818837E-2</v>
      </c>
      <c r="BF230" s="297">
        <f t="shared" si="157"/>
        <v>4.3979786055335479E-2</v>
      </c>
      <c r="BG230" s="297"/>
      <c r="BH230" s="297"/>
      <c r="BI230" s="297"/>
      <c r="BJ230" s="297"/>
      <c r="BK230" s="297"/>
      <c r="BL230" s="288"/>
      <c r="BM230" s="284" t="s">
        <v>424</v>
      </c>
      <c r="BN230" s="284">
        <f t="shared" si="153"/>
        <v>3.0338219712702275E-2</v>
      </c>
      <c r="BO230" s="297">
        <f t="shared" si="158"/>
        <v>4.1898538025791243E-2</v>
      </c>
      <c r="BU230" s="288"/>
      <c r="BV230" s="284" t="s">
        <v>424</v>
      </c>
      <c r="BW230" s="284">
        <f t="shared" si="154"/>
        <v>4.0254996779122983E-2</v>
      </c>
      <c r="BX230" s="297">
        <f t="shared" si="159"/>
        <v>4.2499072268289417E-2</v>
      </c>
      <c r="CD230" s="288"/>
    </row>
    <row r="231" spans="1:82">
      <c r="A231" s="284">
        <f t="shared" si="145"/>
        <v>96</v>
      </c>
      <c r="B231" s="284" t="s">
        <v>425</v>
      </c>
      <c r="C231" s="284">
        <f t="shared" si="146"/>
        <v>3.6873777594124899E-2</v>
      </c>
      <c r="D231" s="297">
        <f t="shared" si="160"/>
        <v>4.1997313705589567E-2</v>
      </c>
      <c r="J231" s="285"/>
      <c r="K231" s="284" t="s">
        <v>425</v>
      </c>
      <c r="L231" s="284">
        <f t="shared" si="147"/>
        <v>9.9965442799031246E-3</v>
      </c>
      <c r="M231" s="297">
        <f t="shared" si="161"/>
        <v>2.380131027942145E-2</v>
      </c>
      <c r="N231" s="297"/>
      <c r="O231" s="297"/>
      <c r="P231" s="297"/>
      <c r="Q231" s="297"/>
      <c r="R231" s="297"/>
      <c r="S231" s="299"/>
      <c r="T231" s="284" t="s">
        <v>425</v>
      </c>
      <c r="U231" s="284">
        <f t="shared" si="148"/>
        <v>5.6273302334324329E-3</v>
      </c>
      <c r="V231" s="297">
        <f t="shared" si="162"/>
        <v>-8.7516320640953493E-3</v>
      </c>
      <c r="W231" s="297"/>
      <c r="X231" s="297"/>
      <c r="Y231" s="297"/>
      <c r="Z231" s="297"/>
      <c r="AA231" s="297"/>
      <c r="AB231" s="299"/>
      <c r="AC231" s="284" t="s">
        <v>425</v>
      </c>
      <c r="AD231" s="284">
        <f t="shared" si="149"/>
        <v>-1.9197699918770295E-2</v>
      </c>
      <c r="AE231" s="297">
        <f t="shared" si="163"/>
        <v>-5.189715101664738E-2</v>
      </c>
      <c r="AF231" s="297"/>
      <c r="AG231" s="297"/>
      <c r="AH231" s="297"/>
      <c r="AI231" s="297"/>
      <c r="AJ231" s="297"/>
      <c r="AK231" s="299"/>
      <c r="AL231" s="284" t="s">
        <v>425</v>
      </c>
      <c r="AM231" s="284">
        <f t="shared" si="150"/>
        <v>1.9817905999697707E-2</v>
      </c>
      <c r="AN231" s="297">
        <f t="shared" si="155"/>
        <v>2.1044302718155494E-2</v>
      </c>
      <c r="AO231" s="297"/>
      <c r="AP231" s="297"/>
      <c r="AQ231" s="297"/>
      <c r="AR231" s="297"/>
      <c r="AS231" s="297"/>
      <c r="AT231" s="299"/>
      <c r="AU231" s="284" t="s">
        <v>425</v>
      </c>
      <c r="AV231" s="284">
        <f t="shared" si="151"/>
        <v>2.6208706377301785E-2</v>
      </c>
      <c r="AW231" s="297">
        <f t="shared" si="156"/>
        <v>4.0848786795831815E-2</v>
      </c>
      <c r="BC231" s="288"/>
      <c r="BD231" s="284" t="s">
        <v>425</v>
      </c>
      <c r="BE231" s="284">
        <f t="shared" si="152"/>
        <v>3.3765923183848051E-2</v>
      </c>
      <c r="BF231" s="297">
        <f t="shared" si="157"/>
        <v>4.4041073762450811E-2</v>
      </c>
      <c r="BG231" s="297"/>
      <c r="BH231" s="297"/>
      <c r="BI231" s="297"/>
      <c r="BJ231" s="297"/>
      <c r="BK231" s="297"/>
      <c r="BL231" s="288"/>
      <c r="BM231" s="284" t="s">
        <v>425</v>
      </c>
      <c r="BN231" s="284">
        <f t="shared" si="153"/>
        <v>3.0458101973796805E-2</v>
      </c>
      <c r="BO231" s="297">
        <f t="shared" si="158"/>
        <v>4.191075482471307E-2</v>
      </c>
      <c r="BU231" s="288"/>
      <c r="BV231" s="284" t="s">
        <v>425</v>
      </c>
      <c r="BW231" s="284">
        <f t="shared" si="154"/>
        <v>4.0278027018446287E-2</v>
      </c>
      <c r="BX231" s="297">
        <f t="shared" si="159"/>
        <v>4.246822636232217E-2</v>
      </c>
      <c r="CD231" s="288"/>
    </row>
    <row r="232" spans="1:82">
      <c r="A232" s="284">
        <f t="shared" si="145"/>
        <v>97</v>
      </c>
      <c r="B232" s="284" t="s">
        <v>426</v>
      </c>
      <c r="C232" s="284">
        <f t="shared" si="146"/>
        <v>3.6926480608462917E-2</v>
      </c>
      <c r="D232" s="297">
        <f t="shared" si="160"/>
        <v>4.1998462713186413E-2</v>
      </c>
      <c r="J232" s="285"/>
      <c r="K232" s="284" t="s">
        <v>426</v>
      </c>
      <c r="L232" s="284">
        <f t="shared" si="147"/>
        <v>1.0141116343408304E-2</v>
      </c>
      <c r="M232" s="297">
        <f t="shared" si="161"/>
        <v>2.4116824904888645E-2</v>
      </c>
      <c r="N232" s="297"/>
      <c r="O232" s="297"/>
      <c r="P232" s="297"/>
      <c r="Q232" s="297"/>
      <c r="R232" s="297"/>
      <c r="S232" s="299"/>
      <c r="T232" s="284" t="s">
        <v>426</v>
      </c>
      <c r="U232" s="284">
        <f t="shared" si="148"/>
        <v>5.4762028803437904E-3</v>
      </c>
      <c r="V232" s="297">
        <f t="shared" si="162"/>
        <v>-8.9267789392305508E-3</v>
      </c>
      <c r="W232" s="297"/>
      <c r="X232" s="297"/>
      <c r="Y232" s="297"/>
      <c r="Z232" s="297"/>
      <c r="AA232" s="297"/>
      <c r="AB232" s="299"/>
      <c r="AC232" s="284" t="s">
        <v>426</v>
      </c>
      <c r="AD232" s="284">
        <f t="shared" si="149"/>
        <v>-1.9545101967169271E-2</v>
      </c>
      <c r="AE232" s="297">
        <f t="shared" si="163"/>
        <v>-5.2329148619668864E-2</v>
      </c>
      <c r="AF232" s="297"/>
      <c r="AG232" s="297"/>
      <c r="AH232" s="297"/>
      <c r="AI232" s="297"/>
      <c r="AJ232" s="297"/>
      <c r="AK232" s="299"/>
      <c r="AL232" s="284" t="s">
        <v>426</v>
      </c>
      <c r="AM232" s="284">
        <f t="shared" si="150"/>
        <v>1.9830596724251005E-2</v>
      </c>
      <c r="AN232" s="297">
        <f t="shared" si="155"/>
        <v>2.1049641868845947E-2</v>
      </c>
      <c r="AO232" s="297"/>
      <c r="AP232" s="297"/>
      <c r="AQ232" s="297"/>
      <c r="AR232" s="297"/>
      <c r="AS232" s="297"/>
      <c r="AT232" s="299"/>
      <c r="AU232" s="284" t="s">
        <v>426</v>
      </c>
      <c r="AV232" s="284">
        <f t="shared" si="151"/>
        <v>2.6359151878564205E-2</v>
      </c>
      <c r="AW232" s="297">
        <f t="shared" si="156"/>
        <v>4.0905090168158464E-2</v>
      </c>
      <c r="BC232" s="288"/>
      <c r="BD232" s="284" t="s">
        <v>426</v>
      </c>
      <c r="BE232" s="284">
        <f t="shared" si="152"/>
        <v>3.3871935940983575E-2</v>
      </c>
      <c r="BF232" s="297">
        <f t="shared" si="157"/>
        <v>4.4099943638944206E-2</v>
      </c>
      <c r="BG232" s="297"/>
      <c r="BH232" s="297"/>
      <c r="BI232" s="297"/>
      <c r="BJ232" s="297"/>
      <c r="BK232" s="297"/>
      <c r="BL232" s="288"/>
      <c r="BM232" s="284" t="s">
        <v>426</v>
      </c>
      <c r="BN232" s="284">
        <f t="shared" si="153"/>
        <v>3.0575639930927691E-2</v>
      </c>
      <c r="BO232" s="297">
        <f t="shared" si="158"/>
        <v>4.1921932068147427E-2</v>
      </c>
      <c r="BU232" s="288"/>
      <c r="BV232" s="284" t="s">
        <v>426</v>
      </c>
      <c r="BW232" s="284">
        <f t="shared" si="154"/>
        <v>4.0300283925401428E-2</v>
      </c>
      <c r="BX232" s="297">
        <f t="shared" si="159"/>
        <v>4.2439165636259046E-2</v>
      </c>
      <c r="CD232" s="288"/>
    </row>
    <row r="233" spans="1:82">
      <c r="A233" s="284">
        <f t="shared" si="145"/>
        <v>98</v>
      </c>
      <c r="B233" s="284" t="s">
        <v>427</v>
      </c>
      <c r="C233" s="284">
        <f t="shared" si="146"/>
        <v>3.6978121107068156E-2</v>
      </c>
      <c r="D233" s="297">
        <f t="shared" si="160"/>
        <v>4.1999492619303247E-2</v>
      </c>
      <c r="J233" s="285"/>
      <c r="K233" s="284" t="s">
        <v>427</v>
      </c>
      <c r="L233" s="284">
        <f t="shared" si="147"/>
        <v>1.0285898478063528E-2</v>
      </c>
      <c r="M233" s="297">
        <f t="shared" si="161"/>
        <v>2.4428850976589755E-2</v>
      </c>
      <c r="N233" s="297"/>
      <c r="O233" s="297"/>
      <c r="P233" s="297"/>
      <c r="Q233" s="297"/>
      <c r="R233" s="297"/>
      <c r="S233" s="299"/>
      <c r="T233" s="284" t="s">
        <v>427</v>
      </c>
      <c r="U233" s="284">
        <f t="shared" si="148"/>
        <v>5.3264188361645884E-3</v>
      </c>
      <c r="V233" s="297">
        <f t="shared" si="162"/>
        <v>-9.0970832064629636E-3</v>
      </c>
      <c r="W233" s="297"/>
      <c r="X233" s="297"/>
      <c r="Y233" s="297"/>
      <c r="Z233" s="297"/>
      <c r="AA233" s="297"/>
      <c r="AB233" s="299"/>
      <c r="AC233" s="284" t="s">
        <v>427</v>
      </c>
      <c r="AD233" s="284">
        <f t="shared" si="149"/>
        <v>-1.988969151803445E-2</v>
      </c>
      <c r="AE233" s="297">
        <f t="shared" si="163"/>
        <v>-5.2745666909458699E-2</v>
      </c>
      <c r="AF233" s="297"/>
      <c r="AG233" s="297"/>
      <c r="AH233" s="297"/>
      <c r="AI233" s="297"/>
      <c r="AJ233" s="297"/>
      <c r="AK233" s="299"/>
      <c r="AL233" s="284" t="s">
        <v>427</v>
      </c>
      <c r="AM233" s="284">
        <f t="shared" si="150"/>
        <v>1.984308990801574E-2</v>
      </c>
      <c r="AN233" s="297">
        <f t="shared" si="155"/>
        <v>2.105565643978391E-2</v>
      </c>
      <c r="AO233" s="297"/>
      <c r="AP233" s="297"/>
      <c r="AQ233" s="297"/>
      <c r="AR233" s="297"/>
      <c r="AS233" s="297"/>
      <c r="AT233" s="299"/>
      <c r="AU233" s="284" t="s">
        <v>427</v>
      </c>
      <c r="AV233" s="284">
        <f t="shared" si="151"/>
        <v>2.6507089313472967E-2</v>
      </c>
      <c r="AW233" s="297">
        <f t="shared" si="156"/>
        <v>4.0958839776921163E-2</v>
      </c>
      <c r="BC233" s="288"/>
      <c r="BD233" s="284" t="s">
        <v>427</v>
      </c>
      <c r="BE233" s="284">
        <f t="shared" si="152"/>
        <v>3.3976366769736893E-2</v>
      </c>
      <c r="BF233" s="297">
        <f t="shared" si="157"/>
        <v>4.4156456626252227E-2</v>
      </c>
      <c r="BG233" s="297"/>
      <c r="BH233" s="297"/>
      <c r="BI233" s="297"/>
      <c r="BJ233" s="297"/>
      <c r="BK233" s="297"/>
      <c r="BL233" s="288"/>
      <c r="BM233" s="284" t="s">
        <v>427</v>
      </c>
      <c r="BN233" s="284">
        <f t="shared" si="153"/>
        <v>3.0690895316780775E-2</v>
      </c>
      <c r="BO233" s="297">
        <f t="shared" si="158"/>
        <v>4.1932152291664027E-2</v>
      </c>
      <c r="BU233" s="288"/>
      <c r="BV233" s="284" t="s">
        <v>427</v>
      </c>
      <c r="BW233" s="284">
        <f t="shared" si="154"/>
        <v>4.0321808372881178E-2</v>
      </c>
      <c r="BX233" s="297">
        <f t="shared" si="159"/>
        <v>4.2411797947929708E-2</v>
      </c>
      <c r="CD233" s="288"/>
    </row>
    <row r="234" spans="1:82">
      <c r="A234" s="284">
        <f t="shared" si="145"/>
        <v>99</v>
      </c>
      <c r="B234" s="284" t="s">
        <v>428</v>
      </c>
      <c r="C234" s="284">
        <f t="shared" si="146"/>
        <v>3.7028730123774202E-2</v>
      </c>
      <c r="D234" s="297">
        <f t="shared" si="160"/>
        <v>4.2000414363766003E-2</v>
      </c>
      <c r="J234" s="285"/>
      <c r="K234" s="284" t="s">
        <v>428</v>
      </c>
      <c r="L234" s="284">
        <f t="shared" si="147"/>
        <v>1.0430848876168339E-2</v>
      </c>
      <c r="M234" s="297">
        <f t="shared" si="161"/>
        <v>2.4737342328849499E-2</v>
      </c>
      <c r="N234" s="297"/>
      <c r="O234" s="297"/>
      <c r="P234" s="297"/>
      <c r="Q234" s="297"/>
      <c r="R234" s="297"/>
      <c r="S234" s="299"/>
      <c r="T234" s="284" t="s">
        <v>428</v>
      </c>
      <c r="U234" s="284">
        <f t="shared" si="148"/>
        <v>5.1779862212587777E-3</v>
      </c>
      <c r="V234" s="297">
        <f t="shared" si="162"/>
        <v>-9.2626036300232917E-3</v>
      </c>
      <c r="W234" s="297"/>
      <c r="X234" s="297"/>
      <c r="Y234" s="297"/>
      <c r="Z234" s="297"/>
      <c r="AA234" s="297"/>
      <c r="AB234" s="299"/>
      <c r="AC234" s="284" t="s">
        <v>428</v>
      </c>
      <c r="AD234" s="284">
        <f t="shared" si="149"/>
        <v>-2.0231393872067405E-2</v>
      </c>
      <c r="AE234" s="297">
        <f t="shared" si="163"/>
        <v>-5.3146785417737985E-2</v>
      </c>
      <c r="AF234" s="297"/>
      <c r="AG234" s="297"/>
      <c r="AH234" s="297"/>
      <c r="AI234" s="297"/>
      <c r="AJ234" s="297"/>
      <c r="AK234" s="299"/>
      <c r="AL234" s="284" t="s">
        <v>428</v>
      </c>
      <c r="AM234" s="284">
        <f t="shared" si="150"/>
        <v>1.9855398524435887E-2</v>
      </c>
      <c r="AN234" s="297">
        <f t="shared" si="155"/>
        <v>2.1062363851629406E-2</v>
      </c>
      <c r="AO234" s="297"/>
      <c r="AP234" s="297"/>
      <c r="AQ234" s="297"/>
      <c r="AR234" s="297"/>
      <c r="AS234" s="297"/>
      <c r="AT234" s="299"/>
      <c r="AU234" s="284" t="s">
        <v>428</v>
      </c>
      <c r="AV234" s="284">
        <f t="shared" si="151"/>
        <v>2.6652569893224679E-2</v>
      </c>
      <c r="AW234" s="297">
        <f t="shared" si="156"/>
        <v>4.1010144873146581E-2</v>
      </c>
      <c r="BC234" s="288"/>
      <c r="BD234" s="284" t="s">
        <v>428</v>
      </c>
      <c r="BE234" s="284">
        <f t="shared" si="152"/>
        <v>3.4079240449858696E-2</v>
      </c>
      <c r="BF234" s="297">
        <f t="shared" si="157"/>
        <v>4.4210672347984481E-2</v>
      </c>
      <c r="BG234" s="297"/>
      <c r="BH234" s="297"/>
      <c r="BI234" s="297"/>
      <c r="BJ234" s="297"/>
      <c r="BK234" s="297"/>
      <c r="BL234" s="288"/>
      <c r="BM234" s="284" t="s">
        <v>428</v>
      </c>
      <c r="BN234" s="284">
        <f t="shared" si="153"/>
        <v>3.0803928142654924E-2</v>
      </c>
      <c r="BO234" s="297">
        <f t="shared" si="158"/>
        <v>4.1941491746099402E-2</v>
      </c>
      <c r="BU234" s="288"/>
      <c r="BV234" s="284" t="s">
        <v>428</v>
      </c>
      <c r="BW234" s="284">
        <f t="shared" si="154"/>
        <v>4.0342638695017322E-2</v>
      </c>
      <c r="BX234" s="297">
        <f t="shared" si="159"/>
        <v>4.2386034852817778E-2</v>
      </c>
      <c r="CD234" s="288"/>
    </row>
    <row r="235" spans="1:82">
      <c r="A235" s="284">
        <f t="shared" si="145"/>
        <v>100</v>
      </c>
      <c r="B235" s="284" t="s">
        <v>429</v>
      </c>
      <c r="C235" s="284">
        <f t="shared" si="146"/>
        <v>3.7078337553178131E-2</v>
      </c>
      <c r="D235" s="297">
        <f t="shared" si="160"/>
        <v>4.2001237924131907E-2</v>
      </c>
      <c r="J235" s="285"/>
      <c r="K235" s="284" t="s">
        <v>429</v>
      </c>
      <c r="L235" s="284">
        <f t="shared" si="147"/>
        <v>1.0575927009152476E-2</v>
      </c>
      <c r="M235" s="297">
        <f t="shared" si="161"/>
        <v>2.5042257892384789E-2</v>
      </c>
      <c r="N235" s="297"/>
      <c r="O235" s="297"/>
      <c r="P235" s="297"/>
      <c r="Q235" s="297"/>
      <c r="R235" s="297"/>
      <c r="S235" s="299"/>
      <c r="T235" s="284" t="s">
        <v>429</v>
      </c>
      <c r="U235" s="284">
        <f t="shared" si="148"/>
        <v>5.0309122419413474E-3</v>
      </c>
      <c r="V235" s="297">
        <f t="shared" si="162"/>
        <v>-9.4233983658871256E-3</v>
      </c>
      <c r="W235" s="297"/>
      <c r="X235" s="297"/>
      <c r="Y235" s="297"/>
      <c r="Z235" s="297"/>
      <c r="AA235" s="297"/>
      <c r="AB235" s="299"/>
      <c r="AC235" s="284" t="s">
        <v>429</v>
      </c>
      <c r="AD235" s="284">
        <f t="shared" si="149"/>
        <v>-2.057013820843577E-2</v>
      </c>
      <c r="AE235" s="297">
        <f t="shared" si="163"/>
        <v>-5.3532590543266645E-2</v>
      </c>
      <c r="AF235" s="297"/>
      <c r="AG235" s="297"/>
      <c r="AH235" s="297"/>
      <c r="AI235" s="297"/>
      <c r="AJ235" s="297"/>
      <c r="AK235" s="299"/>
      <c r="AL235" s="284" t="s">
        <v>429</v>
      </c>
      <c r="AM235" s="284">
        <f t="shared" si="150"/>
        <v>1.9867535191793607E-2</v>
      </c>
      <c r="AN235" s="297">
        <f t="shared" si="155"/>
        <v>2.1069780471473898E-2</v>
      </c>
      <c r="AO235" s="297"/>
      <c r="AP235" s="297"/>
      <c r="AQ235" s="297"/>
      <c r="AR235" s="297"/>
      <c r="AS235" s="297"/>
      <c r="AT235" s="299"/>
      <c r="AU235" s="284" t="s">
        <v>429</v>
      </c>
      <c r="AV235" s="284">
        <f t="shared" si="151"/>
        <v>2.6795643822891953E-2</v>
      </c>
      <c r="AW235" s="297">
        <f t="shared" si="156"/>
        <v>4.1059110408954602E-2</v>
      </c>
      <c r="BC235" s="288"/>
      <c r="BD235" s="284" t="s">
        <v>429</v>
      </c>
      <c r="BE235" s="284">
        <f t="shared" si="152"/>
        <v>3.4180581348947303E-2</v>
      </c>
      <c r="BF235" s="297">
        <f t="shared" si="157"/>
        <v>4.4262649136045384E-2</v>
      </c>
      <c r="BG235" s="297"/>
      <c r="BH235" s="297"/>
      <c r="BI235" s="297"/>
      <c r="BJ235" s="297"/>
      <c r="BK235" s="297"/>
      <c r="BL235" s="288"/>
      <c r="BM235" s="284" t="s">
        <v>429</v>
      </c>
      <c r="BN235" s="284">
        <f t="shared" si="153"/>
        <v>3.0914796726688887E-2</v>
      </c>
      <c r="BO235" s="297">
        <f t="shared" si="158"/>
        <v>4.1950020854158776E-2</v>
      </c>
      <c r="BU235" s="288"/>
      <c r="BV235" s="284" t="s">
        <v>429</v>
      </c>
      <c r="BW235" s="284">
        <f t="shared" si="154"/>
        <v>4.0362810850196919E-2</v>
      </c>
      <c r="BX235" s="297">
        <f t="shared" si="159"/>
        <v>4.2361791564939244E-2</v>
      </c>
      <c r="CD235" s="288"/>
    </row>
    <row r="236" spans="1:82">
      <c r="D236" s="297"/>
    </row>
  </sheetData>
  <mergeCells count="8">
    <mergeCell ref="BV2:BW2"/>
    <mergeCell ref="BD2:BE2"/>
    <mergeCell ref="BM2:BN2"/>
    <mergeCell ref="AU2:AV2"/>
    <mergeCell ref="K2:L2"/>
    <mergeCell ref="T2:U2"/>
    <mergeCell ref="AC2:AD2"/>
    <mergeCell ref="AL2:AM2"/>
  </mergeCells>
  <phoneticPr fontId="0" type="noConversion"/>
  <pageMargins left="0.75" right="0.75" top="1" bottom="1" header="0.5" footer="0.5"/>
  <pageSetup paperSize="9" orientation="portrait"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J109"/>
  <sheetViews>
    <sheetView workbookViewId="0">
      <selection activeCell="J25" sqref="J25"/>
    </sheetView>
  </sheetViews>
  <sheetFormatPr defaultRowHeight="12.75"/>
  <cols>
    <col min="1" max="1" width="9.140625" style="548"/>
    <col min="2" max="2" width="10.7109375" style="548" bestFit="1" customWidth="1"/>
    <col min="3" max="28" width="9.140625" style="548"/>
    <col min="29" max="29" width="12.5703125" style="548" bestFit="1" customWidth="1"/>
    <col min="30" max="16384" width="9.140625" style="548"/>
  </cols>
  <sheetData>
    <row r="1" spans="1:27" ht="13.5" thickBot="1"/>
    <row r="2" spans="1:27">
      <c r="B2" s="610" t="s">
        <v>717</v>
      </c>
      <c r="C2" s="611"/>
      <c r="D2" s="611"/>
      <c r="E2" s="611"/>
      <c r="F2" s="611"/>
      <c r="G2" s="611"/>
      <c r="H2" s="611"/>
      <c r="I2" s="611"/>
      <c r="J2" s="611"/>
      <c r="K2" s="611"/>
      <c r="L2" s="611"/>
      <c r="M2" s="611"/>
      <c r="N2" s="611"/>
      <c r="O2" s="611"/>
      <c r="P2" s="612"/>
    </row>
    <row r="3" spans="1:27">
      <c r="B3" s="613" t="s">
        <v>720</v>
      </c>
      <c r="C3" s="614"/>
      <c r="D3" s="614"/>
      <c r="E3" s="614"/>
      <c r="F3" s="614"/>
      <c r="G3" s="614"/>
      <c r="H3" s="614"/>
      <c r="I3" s="614"/>
      <c r="J3" s="614"/>
      <c r="K3" s="614"/>
      <c r="L3" s="614"/>
      <c r="M3" s="614"/>
      <c r="N3" s="614"/>
      <c r="O3" s="614"/>
      <c r="P3" s="615"/>
    </row>
    <row r="4" spans="1:27">
      <c r="B4" s="613" t="s">
        <v>725</v>
      </c>
      <c r="C4" s="614"/>
      <c r="D4" s="614"/>
      <c r="E4" s="614"/>
      <c r="F4" s="614"/>
      <c r="G4" s="614"/>
      <c r="H4" s="614"/>
      <c r="I4" s="614"/>
      <c r="J4" s="614"/>
      <c r="K4" s="614"/>
      <c r="L4" s="614"/>
      <c r="M4" s="614"/>
      <c r="N4" s="614"/>
      <c r="O4" s="614"/>
      <c r="P4" s="615"/>
    </row>
    <row r="5" spans="1:27">
      <c r="B5" s="613" t="s">
        <v>718</v>
      </c>
      <c r="C5" s="614"/>
      <c r="D5" s="614"/>
      <c r="E5" s="614"/>
      <c r="F5" s="614"/>
      <c r="G5" s="614"/>
      <c r="H5" s="614"/>
      <c r="I5" s="614"/>
      <c r="J5" s="614"/>
      <c r="K5" s="614"/>
      <c r="L5" s="614"/>
      <c r="M5" s="614"/>
      <c r="N5" s="614"/>
      <c r="O5" s="614"/>
      <c r="P5" s="615"/>
    </row>
    <row r="6" spans="1:27">
      <c r="B6" s="613" t="s">
        <v>726</v>
      </c>
      <c r="C6" s="614"/>
      <c r="D6" s="614"/>
      <c r="E6" s="614"/>
      <c r="F6" s="614"/>
      <c r="G6" s="614"/>
      <c r="H6" s="614"/>
      <c r="I6" s="614"/>
      <c r="J6" s="614"/>
      <c r="K6" s="614"/>
      <c r="L6" s="614"/>
      <c r="M6" s="614"/>
      <c r="N6" s="614"/>
      <c r="O6" s="614"/>
      <c r="P6" s="615"/>
    </row>
    <row r="7" spans="1:27" ht="13.5" thickBot="1">
      <c r="B7" s="616" t="s">
        <v>719</v>
      </c>
      <c r="C7" s="617"/>
      <c r="D7" s="617"/>
      <c r="E7" s="617"/>
      <c r="F7" s="617"/>
      <c r="G7" s="617"/>
      <c r="H7" s="617"/>
      <c r="I7" s="617"/>
      <c r="J7" s="617"/>
      <c r="K7" s="617"/>
      <c r="L7" s="617"/>
      <c r="M7" s="617"/>
      <c r="N7" s="617"/>
      <c r="O7" s="617"/>
      <c r="P7" s="618"/>
    </row>
    <row r="11" spans="1:27">
      <c r="B11" s="548" t="s">
        <v>745</v>
      </c>
      <c r="K11" s="548" t="s">
        <v>746</v>
      </c>
      <c r="T11" s="548" t="s">
        <v>512</v>
      </c>
    </row>
    <row r="12" spans="1:27">
      <c r="A12" s="548" t="s">
        <v>3</v>
      </c>
      <c r="B12" s="548" t="s">
        <v>126</v>
      </c>
      <c r="C12" s="548" t="s">
        <v>131</v>
      </c>
      <c r="D12" s="548" t="s">
        <v>132</v>
      </c>
      <c r="E12" s="548" t="s">
        <v>133</v>
      </c>
      <c r="F12" s="548" t="s">
        <v>134</v>
      </c>
      <c r="G12" s="548" t="s">
        <v>143</v>
      </c>
      <c r="H12" s="548" t="s">
        <v>135</v>
      </c>
      <c r="I12" s="548" t="s">
        <v>136</v>
      </c>
      <c r="K12" s="548" t="s">
        <v>126</v>
      </c>
      <c r="L12" s="548" t="s">
        <v>131</v>
      </c>
      <c r="M12" s="548" t="s">
        <v>132</v>
      </c>
      <c r="N12" s="548" t="s">
        <v>133</v>
      </c>
      <c r="O12" s="548" t="s">
        <v>134</v>
      </c>
      <c r="P12" s="548" t="s">
        <v>143</v>
      </c>
      <c r="Q12" s="548" t="s">
        <v>135</v>
      </c>
      <c r="R12" s="548" t="s">
        <v>136</v>
      </c>
      <c r="T12" s="548" t="s">
        <v>126</v>
      </c>
      <c r="U12" s="548" t="s">
        <v>131</v>
      </c>
      <c r="V12" s="548" t="s">
        <v>132</v>
      </c>
      <c r="W12" s="548" t="s">
        <v>133</v>
      </c>
      <c r="X12" s="548" t="s">
        <v>134</v>
      </c>
      <c r="Y12" s="548" t="s">
        <v>143</v>
      </c>
      <c r="Z12" s="548" t="s">
        <v>135</v>
      </c>
      <c r="AA12" s="548" t="s">
        <v>136</v>
      </c>
    </row>
    <row r="13" spans="1:27">
      <c r="A13" s="548">
        <v>1</v>
      </c>
      <c r="B13" s="306">
        <f>100*Results!C15</f>
        <v>1.9529295053712461</v>
      </c>
      <c r="C13" s="306">
        <f>100*Results!D15</f>
        <v>-0.56156615483697903</v>
      </c>
      <c r="D13" s="306">
        <f>100*Results!E15</f>
        <v>0.71917076632440569</v>
      </c>
      <c r="E13" s="306">
        <f>100*Results!F15</f>
        <v>-0.95307287288356923</v>
      </c>
      <c r="F13" s="306">
        <f>100*Results!G15</f>
        <v>1.8322448071752238</v>
      </c>
      <c r="G13" s="306">
        <f>100*Results!H15</f>
        <v>-0.16373983914076176</v>
      </c>
      <c r="H13" s="306">
        <f>100*Results!I15</f>
        <v>1.0122456452067696</v>
      </c>
      <c r="I13" s="306">
        <f>100*Results!J15</f>
        <v>1.3062090287444512</v>
      </c>
      <c r="K13" s="548">
        <f>'Swap and Yield Curves'!D7</f>
        <v>2.0425</v>
      </c>
      <c r="L13" s="548">
        <f>'Swap and Yield Curves'!D35</f>
        <v>-0.46210000000000001</v>
      </c>
      <c r="M13" s="548">
        <f>'Swap and Yield Curves'!D71</f>
        <v>0.8175</v>
      </c>
      <c r="N13" s="548">
        <f>'Swap and Yield Curves'!D99</f>
        <v>-0.85489999999999999</v>
      </c>
      <c r="O13" s="548">
        <f>'Swap and Yield Curves'!D127</f>
        <v>1.923</v>
      </c>
      <c r="P13" s="548">
        <f>'Swap and Yield Curves'!D148</f>
        <v>-6.3750000000000001E-2</v>
      </c>
      <c r="Q13" s="548">
        <f>'Swap and Yield Curves'!D184</f>
        <v>1.10917</v>
      </c>
      <c r="R13" s="548">
        <f>'Swap and Yield Curves'!D205</f>
        <v>1.4013</v>
      </c>
      <c r="T13" s="609">
        <f>K13-B13</f>
        <v>8.9570494628753883E-2</v>
      </c>
      <c r="U13" s="609">
        <f t="shared" ref="U13:AA13" si="0">L13-C13</f>
        <v>9.9466154836979015E-2</v>
      </c>
      <c r="V13" s="609">
        <f t="shared" si="0"/>
        <v>9.8329233675594319E-2</v>
      </c>
      <c r="W13" s="609">
        <f t="shared" si="0"/>
        <v>9.817287288356924E-2</v>
      </c>
      <c r="X13" s="609">
        <f t="shared" si="0"/>
        <v>9.0755192824776287E-2</v>
      </c>
      <c r="Y13" s="609">
        <f t="shared" si="0"/>
        <v>9.998983914076176E-2</v>
      </c>
      <c r="Z13" s="609">
        <f t="shared" si="0"/>
        <v>9.6924354793230361E-2</v>
      </c>
      <c r="AA13" s="609">
        <f t="shared" si="0"/>
        <v>9.5090971255548773E-2</v>
      </c>
    </row>
    <row r="14" spans="1:27">
      <c r="A14" s="548">
        <f>A13+1</f>
        <v>2</v>
      </c>
      <c r="B14" s="306">
        <f>100*Results!C16</f>
        <v>1.7406770945633809</v>
      </c>
      <c r="C14" s="306">
        <f>100*Results!D16</f>
        <v>-0.5826650116399601</v>
      </c>
      <c r="D14" s="306">
        <f>100*Results!E16</f>
        <v>0.67577173961772541</v>
      </c>
      <c r="E14" s="306">
        <f>100*Results!F16</f>
        <v>-0.98786462823609034</v>
      </c>
      <c r="F14" s="306">
        <f>100*Results!G16</f>
        <v>1.6976189489419591</v>
      </c>
      <c r="G14" s="306">
        <f>100*Results!H16</f>
        <v>-0.19870835674379306</v>
      </c>
      <c r="H14" s="306">
        <f>100*Results!I16</f>
        <v>0.97068054377302815</v>
      </c>
      <c r="I14" s="306">
        <f>100*Results!J16</f>
        <v>1.2364763163224435</v>
      </c>
      <c r="K14" s="548">
        <f>'Swap and Yield Curves'!D8</f>
        <v>1.8342000000000001</v>
      </c>
      <c r="L14" s="548">
        <f>'Swap and Yield Curves'!D36</f>
        <v>-0.48330000000000001</v>
      </c>
      <c r="M14" s="548">
        <f>'Swap and Yield Curves'!D72</f>
        <v>0.77444000000000002</v>
      </c>
      <c r="N14" s="548">
        <f>'Swap and Yield Curves'!D100</f>
        <v>-0.89</v>
      </c>
      <c r="O14" s="548">
        <f>'Swap and Yield Curves'!D128</f>
        <v>1.7907999999999999</v>
      </c>
      <c r="P14" s="548">
        <f>'Swap and Yield Curves'!D149</f>
        <v>-9.8750000000000004E-2</v>
      </c>
      <c r="Q14" s="548">
        <f>'Swap and Yield Curves'!D185</f>
        <v>1.0680499999999999</v>
      </c>
      <c r="R14" s="548">
        <f>'Swap and Yield Curves'!D206</f>
        <v>1.3325</v>
      </c>
      <c r="T14" s="609">
        <f t="shared" ref="T14:T42" si="1">K14-B14</f>
        <v>9.3522905436619119E-2</v>
      </c>
      <c r="U14" s="609">
        <f t="shared" ref="U14:U42" si="2">L14-C14</f>
        <v>9.9365011639960088E-2</v>
      </c>
      <c r="V14" s="609">
        <f t="shared" ref="V14:V42" si="3">M14-D14</f>
        <v>9.8668260382274608E-2</v>
      </c>
      <c r="W14" s="609">
        <f t="shared" ref="W14:W42" si="4">N14-E14</f>
        <v>9.7864628236090323E-2</v>
      </c>
      <c r="X14" s="609">
        <f t="shared" ref="X14:X42" si="5">O14-F14</f>
        <v>9.3181051058040865E-2</v>
      </c>
      <c r="Y14" s="609">
        <f t="shared" ref="Y14:Y42" si="6">P14-G14</f>
        <v>9.9958356743793053E-2</v>
      </c>
      <c r="Z14" s="609">
        <f t="shared" ref="Z14:Z42" si="7">Q14-H14</f>
        <v>9.7369456226971796E-2</v>
      </c>
      <c r="AA14" s="609">
        <f t="shared" ref="AA14:AA32" si="8">R14-I14</f>
        <v>9.6023683677556537E-2</v>
      </c>
    </row>
    <row r="15" spans="1:27">
      <c r="A15" s="548">
        <f t="shared" ref="A15:A42" si="9">A14+1</f>
        <v>3</v>
      </c>
      <c r="B15" s="306">
        <f>100*Results!C17</f>
        <v>1.6757410720336541</v>
      </c>
      <c r="C15" s="306">
        <f>100*Results!D17</f>
        <v>-0.55696263948672442</v>
      </c>
      <c r="D15" s="306">
        <f>100*Results!E17</f>
        <v>0.6771021771531105</v>
      </c>
      <c r="E15" s="306">
        <f>100*Results!F17</f>
        <v>-0.95336958243186221</v>
      </c>
      <c r="F15" s="306">
        <f>100*Results!G17</f>
        <v>1.6527646349979719</v>
      </c>
      <c r="G15" s="306">
        <f>100*Results!H17</f>
        <v>-0.21493487963420987</v>
      </c>
      <c r="H15" s="306">
        <f>100*Results!I17</f>
        <v>0.99210617712339744</v>
      </c>
      <c r="I15" s="306">
        <f>100*Results!J17</f>
        <v>1.244688647008152</v>
      </c>
      <c r="K15" s="548">
        <f>'Swap and Yield Curves'!D9</f>
        <v>1.7703</v>
      </c>
      <c r="L15" s="548">
        <f>'Swap and Yield Curves'!D37</f>
        <v>-0.45739999999999997</v>
      </c>
      <c r="M15" s="548">
        <f>'Swap and Yield Curves'!D73</f>
        <v>0.77569999999999995</v>
      </c>
      <c r="N15" s="548">
        <f>'Swap and Yield Curves'!D101</f>
        <v>-0.85499999999999998</v>
      </c>
      <c r="O15" s="548">
        <f>'Swap and Yield Curves'!D129</f>
        <v>1.7466999999999999</v>
      </c>
      <c r="P15" s="548">
        <f>'Swap and Yield Curves'!D150</f>
        <v>-0.115</v>
      </c>
      <c r="Q15" s="548">
        <f>'Swap and Yield Curves'!D186</f>
        <v>1.0890599999999999</v>
      </c>
      <c r="R15" s="548">
        <f>'Swap and Yield Curves'!D207</f>
        <v>1.3404</v>
      </c>
      <c r="T15" s="609">
        <f t="shared" si="1"/>
        <v>9.4558927966345907E-2</v>
      </c>
      <c r="U15" s="609">
        <f t="shared" si="2"/>
        <v>9.9562639486724447E-2</v>
      </c>
      <c r="V15" s="609">
        <f t="shared" si="3"/>
        <v>9.8597822846889449E-2</v>
      </c>
      <c r="W15" s="609">
        <f t="shared" si="4"/>
        <v>9.8369582431862224E-2</v>
      </c>
      <c r="X15" s="609">
        <f t="shared" si="5"/>
        <v>9.3935365002028037E-2</v>
      </c>
      <c r="Y15" s="609">
        <f t="shared" si="6"/>
        <v>9.9934879634209869E-2</v>
      </c>
      <c r="Z15" s="609">
        <f t="shared" si="7"/>
        <v>9.695382287660248E-2</v>
      </c>
      <c r="AA15" s="609">
        <f t="shared" si="8"/>
        <v>9.5711352991848075E-2</v>
      </c>
    </row>
    <row r="16" spans="1:27">
      <c r="A16" s="548">
        <f t="shared" si="9"/>
        <v>4</v>
      </c>
      <c r="B16" s="306">
        <f>100*Results!C18</f>
        <v>1.6679573407552439</v>
      </c>
      <c r="C16" s="306">
        <f>100*Results!D18</f>
        <v>-0.50585726148822951</v>
      </c>
      <c r="D16" s="306">
        <f>100*Results!E18</f>
        <v>0.69642946586363497</v>
      </c>
      <c r="E16" s="306">
        <f>100*Results!F18</f>
        <v>-0.89919172992566354</v>
      </c>
      <c r="F16" s="306">
        <f>100*Results!G18</f>
        <v>1.6330858961021377</v>
      </c>
      <c r="G16" s="306">
        <f>100*Results!H18</f>
        <v>-0.2149428957855859</v>
      </c>
      <c r="H16" s="306">
        <f>100*Results!I18</f>
        <v>1.0452226440613721</v>
      </c>
      <c r="I16" s="306">
        <f>100*Results!J18</f>
        <v>1.2785500245483972</v>
      </c>
      <c r="K16" s="548">
        <f>'Swap and Yield Curves'!D10</f>
        <v>1.7622</v>
      </c>
      <c r="L16" s="548">
        <f>'Swap and Yield Curves'!D38</f>
        <v>-0.40589999999999998</v>
      </c>
      <c r="M16" s="548">
        <f>'Swap and Yield Curves'!D74</f>
        <v>0.79469999999999996</v>
      </c>
      <c r="N16" s="548">
        <f>'Swap and Yield Curves'!D102</f>
        <v>-0.8</v>
      </c>
      <c r="O16" s="548">
        <f>'Swap and Yield Curves'!D130</f>
        <v>1.7273000000000001</v>
      </c>
      <c r="P16" s="548">
        <f>'Swap and Yield Curves'!D151</f>
        <v>-0.115</v>
      </c>
      <c r="Q16" s="548">
        <f>'Swap and Yield Curves'!D187</f>
        <v>1.141</v>
      </c>
      <c r="R16" s="548">
        <f>'Swap and Yield Curves'!D208</f>
        <v>1.3733</v>
      </c>
      <c r="T16" s="609">
        <f t="shared" si="1"/>
        <v>9.4242659244756055E-2</v>
      </c>
      <c r="U16" s="609">
        <f t="shared" si="2"/>
        <v>9.9957261488229532E-2</v>
      </c>
      <c r="V16" s="609">
        <f t="shared" si="3"/>
        <v>9.8270534136364995E-2</v>
      </c>
      <c r="W16" s="609">
        <f t="shared" si="4"/>
        <v>9.9191729925663497E-2</v>
      </c>
      <c r="X16" s="609">
        <f t="shared" si="5"/>
        <v>9.4214103897862334E-2</v>
      </c>
      <c r="Y16" s="609">
        <f t="shared" si="6"/>
        <v>9.9942895785585892E-2</v>
      </c>
      <c r="Z16" s="609">
        <f t="shared" si="7"/>
        <v>9.5777355938627906E-2</v>
      </c>
      <c r="AA16" s="609">
        <f t="shared" si="8"/>
        <v>9.4749975451602797E-2</v>
      </c>
    </row>
    <row r="17" spans="1:27">
      <c r="A17" s="548">
        <f t="shared" si="9"/>
        <v>5</v>
      </c>
      <c r="B17" s="306">
        <f>100*Results!C19</f>
        <v>1.6905057495559594</v>
      </c>
      <c r="C17" s="306">
        <f>100*Results!D19</f>
        <v>-0.43633127396568439</v>
      </c>
      <c r="D17" s="306">
        <f>100*Results!E19</f>
        <v>0.72508677773559516</v>
      </c>
      <c r="E17" s="306">
        <f>100*Results!F19</f>
        <v>-0.82878196105352631</v>
      </c>
      <c r="F17" s="306">
        <f>100*Results!G19</f>
        <v>1.6341508845795438</v>
      </c>
      <c r="G17" s="306">
        <f>100*Results!H19</f>
        <v>-0.20311059656547004</v>
      </c>
      <c r="H17" s="306">
        <f>100*Results!I19</f>
        <v>1.112060561500483</v>
      </c>
      <c r="I17" s="306">
        <f>100*Results!J19</f>
        <v>1.3346288613669266</v>
      </c>
      <c r="K17" s="548">
        <f>'Swap and Yield Curves'!D11</f>
        <v>1.7834000000000001</v>
      </c>
      <c r="L17" s="548">
        <f>'Swap and Yield Curves'!D39</f>
        <v>-0.33589999999999998</v>
      </c>
      <c r="M17" s="548">
        <f>'Swap and Yield Curves'!D75</f>
        <v>0.82279999999999998</v>
      </c>
      <c r="N17" s="548">
        <f>'Swap and Yield Curves'!D103</f>
        <v>-0.72850000000000004</v>
      </c>
      <c r="O17" s="548">
        <f>'Swap and Yield Curves'!D131</f>
        <v>1.728</v>
      </c>
      <c r="P17" s="548">
        <f>'Swap and Yield Curves'!D152</f>
        <v>-0.10313</v>
      </c>
      <c r="Q17" s="548">
        <f>'Swap and Yield Curves'!D188</f>
        <v>1.206</v>
      </c>
      <c r="R17" s="548">
        <f>'Swap and Yield Curves'!D209</f>
        <v>1.4275</v>
      </c>
      <c r="T17" s="609">
        <f t="shared" si="1"/>
        <v>9.2894250444040649E-2</v>
      </c>
      <c r="U17" s="609">
        <f t="shared" si="2"/>
        <v>0.10043127396568441</v>
      </c>
      <c r="V17" s="609">
        <f t="shared" si="3"/>
        <v>9.771322226440482E-2</v>
      </c>
      <c r="W17" s="609">
        <f t="shared" si="4"/>
        <v>0.10028196105352627</v>
      </c>
      <c r="X17" s="609">
        <f t="shared" si="5"/>
        <v>9.3849115420456153E-2</v>
      </c>
      <c r="Y17" s="609">
        <f t="shared" si="6"/>
        <v>9.9980596565470037E-2</v>
      </c>
      <c r="Z17" s="609">
        <f t="shared" si="7"/>
        <v>9.3939438499516914E-2</v>
      </c>
      <c r="AA17" s="609">
        <f t="shared" si="8"/>
        <v>9.2871138633073391E-2</v>
      </c>
    </row>
    <row r="18" spans="1:27">
      <c r="A18" s="548">
        <f t="shared" si="9"/>
        <v>6</v>
      </c>
      <c r="B18" s="306">
        <f>100*Results!C20</f>
        <v>1.7299256329449619</v>
      </c>
      <c r="C18" s="306">
        <f>100*Results!D20</f>
        <v>-0.35610368822719396</v>
      </c>
      <c r="D18" s="306">
        <f>100*Results!E20</f>
        <v>0.75634903247467911</v>
      </c>
      <c r="E18" s="306">
        <f>100*Results!F20</f>
        <v>-0.75140621577792777</v>
      </c>
      <c r="F18" s="306">
        <f>100*Results!G20</f>
        <v>1.6526964466219152</v>
      </c>
      <c r="G18" s="306">
        <f>100*Results!H20</f>
        <v>-0.18502535120539232</v>
      </c>
      <c r="H18" s="306">
        <f>100*Results!I20</f>
        <v>1.1897298165094883</v>
      </c>
      <c r="I18" s="306">
        <f>100*Results!J20</f>
        <v>1.4072860639890106</v>
      </c>
      <c r="K18" s="548">
        <f>'Swap and Yield Curves'!D12</f>
        <v>1.8206</v>
      </c>
      <c r="L18" s="548">
        <f>'Swap and Yield Curves'!D40</f>
        <v>-0.25530000000000003</v>
      </c>
      <c r="M18" s="548">
        <f>'Swap and Yield Curves'!D76</f>
        <v>0.85335000000000005</v>
      </c>
      <c r="N18" s="548">
        <f>'Swap and Yield Curves'!D104</f>
        <v>-0.65</v>
      </c>
      <c r="O18" s="548">
        <f>'Swap and Yield Curves'!D132</f>
        <v>1.7454000000000001</v>
      </c>
      <c r="P18" s="548">
        <f>'Swap and Yield Curves'!D153</f>
        <v>-8.5000000000000006E-2</v>
      </c>
      <c r="Q18" s="548">
        <f>'Swap and Yield Curves'!D189</f>
        <v>1.2809999999999999</v>
      </c>
      <c r="R18" s="548">
        <f>'Swap and Yield Curves'!D210</f>
        <v>1.4972000000000001</v>
      </c>
      <c r="T18" s="609">
        <f t="shared" si="1"/>
        <v>9.0674367055038063E-2</v>
      </c>
      <c r="U18" s="609">
        <f t="shared" si="2"/>
        <v>0.10080368822719393</v>
      </c>
      <c r="V18" s="609">
        <f t="shared" si="3"/>
        <v>9.7000967525320947E-2</v>
      </c>
      <c r="W18" s="609">
        <f t="shared" si="4"/>
        <v>0.10140621577792774</v>
      </c>
      <c r="X18" s="609">
        <f t="shared" si="5"/>
        <v>9.2703553378084891E-2</v>
      </c>
      <c r="Y18" s="609">
        <f t="shared" si="6"/>
        <v>0.10002535120539231</v>
      </c>
      <c r="Z18" s="609">
        <f t="shared" si="7"/>
        <v>9.1270183490511636E-2</v>
      </c>
      <c r="AA18" s="609">
        <f t="shared" si="8"/>
        <v>8.9913936010989515E-2</v>
      </c>
    </row>
    <row r="19" spans="1:27">
      <c r="A19" s="548">
        <f t="shared" si="9"/>
        <v>7</v>
      </c>
      <c r="B19" s="306">
        <f>100*Results!C21</f>
        <v>1.771971083731505</v>
      </c>
      <c r="C19" s="306">
        <f>100*Results!D21</f>
        <v>-0.27201678563585352</v>
      </c>
      <c r="D19" s="306">
        <f>100*Results!E21</f>
        <v>0.78923953407101788</v>
      </c>
      <c r="E19" s="306">
        <f>100*Results!F21</f>
        <v>-0.66254105886845993</v>
      </c>
      <c r="F19" s="306">
        <f>100*Results!G21</f>
        <v>1.6793443571916145</v>
      </c>
      <c r="G19" s="306">
        <f>100*Results!H21</f>
        <v>-0.16009224738916528</v>
      </c>
      <c r="H19" s="306">
        <f>100*Results!I21</f>
        <v>1.272198096928534</v>
      </c>
      <c r="I19" s="306">
        <f>100*Results!J21</f>
        <v>1.4864375175875688</v>
      </c>
      <c r="K19" s="548">
        <f>'Swap and Yield Curves'!D13</f>
        <v>1.8601000000000001</v>
      </c>
      <c r="L19" s="548">
        <f>'Swap and Yield Curves'!D41</f>
        <v>-0.1711</v>
      </c>
      <c r="M19" s="548">
        <f>'Swap and Yield Curves'!D77</f>
        <v>0.88536000000000004</v>
      </c>
      <c r="N19" s="548">
        <f>'Swap and Yield Curves'!D105</f>
        <v>-0.56000000000000005</v>
      </c>
      <c r="O19" s="548">
        <f>'Swap and Yield Curves'!D133</f>
        <v>1.7704</v>
      </c>
      <c r="P19" s="548">
        <f>'Swap and Yield Curves'!D154</f>
        <v>-6.003E-2</v>
      </c>
      <c r="Q19" s="548">
        <f>'Swap and Yield Curves'!D190</f>
        <v>1.36</v>
      </c>
      <c r="R19" s="548">
        <f>'Swap and Yield Curves'!D211</f>
        <v>1.5725</v>
      </c>
      <c r="T19" s="609">
        <f t="shared" si="1"/>
        <v>8.8128916268495061E-2</v>
      </c>
      <c r="U19" s="609">
        <f t="shared" si="2"/>
        <v>0.10091678563585352</v>
      </c>
      <c r="V19" s="609">
        <f t="shared" si="3"/>
        <v>9.6120465928982157E-2</v>
      </c>
      <c r="W19" s="609">
        <f t="shared" si="4"/>
        <v>0.10254105886845988</v>
      </c>
      <c r="X19" s="609">
        <f t="shared" si="5"/>
        <v>9.1055642808385517E-2</v>
      </c>
      <c r="Y19" s="609">
        <f t="shared" si="6"/>
        <v>0.10006224738916528</v>
      </c>
      <c r="Z19" s="609">
        <f t="shared" si="7"/>
        <v>8.780190307146607E-2</v>
      </c>
      <c r="AA19" s="609">
        <f t="shared" si="8"/>
        <v>8.6062482412431196E-2</v>
      </c>
    </row>
    <row r="20" spans="1:27">
      <c r="A20" s="548">
        <f t="shared" si="9"/>
        <v>8</v>
      </c>
      <c r="B20" s="306">
        <f>100*Results!C22</f>
        <v>1.8176386163717861</v>
      </c>
      <c r="C20" s="306">
        <f>100*Results!D22</f>
        <v>-0.1835615217559039</v>
      </c>
      <c r="D20" s="306">
        <f>100*Results!E22</f>
        <v>0.8223055948443081</v>
      </c>
      <c r="E20" s="306">
        <f>100*Results!F22</f>
        <v>-0.57831890770936312</v>
      </c>
      <c r="F20" s="306">
        <f>100*Results!G22</f>
        <v>1.7113736214264819</v>
      </c>
      <c r="G20" s="306">
        <f>100*Results!H22</f>
        <v>-0.13131157047810982</v>
      </c>
      <c r="H20" s="306">
        <f>100*Results!I22</f>
        <v>1.3521824307894059</v>
      </c>
      <c r="I20" s="306">
        <f>100*Results!J22</f>
        <v>1.564901819793918</v>
      </c>
      <c r="K20" s="548">
        <f>'Swap and Yield Curves'!D14</f>
        <v>1.9027000000000001</v>
      </c>
      <c r="L20" s="548">
        <f>'Swap and Yield Curves'!D42</f>
        <v>-8.2900000000000001E-2</v>
      </c>
      <c r="M20" s="548">
        <f>'Swap and Yield Curves'!D78</f>
        <v>0.91739999999999999</v>
      </c>
      <c r="N20" s="548">
        <f>'Swap and Yield Curves'!D106</f>
        <v>-0.47499999999999998</v>
      </c>
      <c r="O20" s="548">
        <f>'Swap and Yield Curves'!D134</f>
        <v>1.8003</v>
      </c>
      <c r="P20" s="548">
        <f>'Swap and Yield Curves'!D155</f>
        <v>-3.125E-2</v>
      </c>
      <c r="Q20" s="548">
        <f>'Swap and Yield Curves'!D191</f>
        <v>1.4359999999999999</v>
      </c>
      <c r="R20" s="548">
        <f>'Swap and Yield Curves'!D212</f>
        <v>1.6465000000000001</v>
      </c>
      <c r="T20" s="609">
        <f t="shared" si="1"/>
        <v>8.5061383628213916E-2</v>
      </c>
      <c r="U20" s="609">
        <f t="shared" si="2"/>
        <v>0.1006615217559039</v>
      </c>
      <c r="V20" s="609">
        <f t="shared" si="3"/>
        <v>9.5094405155691897E-2</v>
      </c>
      <c r="W20" s="609">
        <f t="shared" si="4"/>
        <v>0.10331890770936314</v>
      </c>
      <c r="X20" s="609">
        <f t="shared" si="5"/>
        <v>8.892637857351815E-2</v>
      </c>
      <c r="Y20" s="609">
        <f t="shared" si="6"/>
        <v>0.10006157047810982</v>
      </c>
      <c r="Z20" s="609">
        <f t="shared" si="7"/>
        <v>8.3817569210594023E-2</v>
      </c>
      <c r="AA20" s="609">
        <f t="shared" si="8"/>
        <v>8.1598180206082116E-2</v>
      </c>
    </row>
    <row r="21" spans="1:27">
      <c r="A21" s="548">
        <f t="shared" si="9"/>
        <v>9</v>
      </c>
      <c r="B21" s="306">
        <f>100*Results!C23</f>
        <v>1.861904203992748</v>
      </c>
      <c r="C21" s="306">
        <f>100*Results!D23</f>
        <v>-9.5451152369185888E-2</v>
      </c>
      <c r="D21" s="306">
        <f>100*Results!E23</f>
        <v>0.8552710926212459</v>
      </c>
      <c r="E21" s="306">
        <f>100*Results!F23</f>
        <v>-0.49378931330635867</v>
      </c>
      <c r="F21" s="306">
        <f>100*Results!G23</f>
        <v>1.7463110234003709</v>
      </c>
      <c r="G21" s="306">
        <f>100*Results!H23</f>
        <v>-9.8746087938861304E-2</v>
      </c>
      <c r="H21" s="306">
        <f>100*Results!I23</f>
        <v>1.4253677861643776</v>
      </c>
      <c r="I21" s="306">
        <f>100*Results!J23</f>
        <v>1.6396851061630802</v>
      </c>
      <c r="K21" s="548">
        <f>'Swap and Yield Curves'!D15</f>
        <v>1.9437</v>
      </c>
      <c r="L21" s="548">
        <f>'Swap and Yield Curves'!D43</f>
        <v>4.4999999999999997E-3</v>
      </c>
      <c r="M21" s="548">
        <f>'Swap and Yield Curves'!D79</f>
        <v>0.94918999999999998</v>
      </c>
      <c r="N21" s="548">
        <f>'Swap and Yield Curves'!D107</f>
        <v>-0.39</v>
      </c>
      <c r="O21" s="548">
        <f>'Swap and Yield Curves'!D135</f>
        <v>1.8327</v>
      </c>
      <c r="P21" s="548">
        <f>'Swap and Yield Curves'!D156</f>
        <v>1.25E-3</v>
      </c>
      <c r="Q21" s="548">
        <f>'Swap and Yield Curves'!D192</f>
        <v>1.5049999999999999</v>
      </c>
      <c r="R21" s="548">
        <f>'Swap and Yield Curves'!D213</f>
        <v>1.7163999999999999</v>
      </c>
      <c r="T21" s="609">
        <f t="shared" si="1"/>
        <v>8.1795796007251953E-2</v>
      </c>
      <c r="U21" s="609">
        <f t="shared" si="2"/>
        <v>9.9951152369185892E-2</v>
      </c>
      <c r="V21" s="609">
        <f t="shared" si="3"/>
        <v>9.391890737875408E-2</v>
      </c>
      <c r="W21" s="609">
        <f t="shared" si="4"/>
        <v>0.10378931330635865</v>
      </c>
      <c r="X21" s="609">
        <f t="shared" si="5"/>
        <v>8.6388976599629075E-2</v>
      </c>
      <c r="Y21" s="609">
        <f t="shared" si="6"/>
        <v>9.9996087938861306E-2</v>
      </c>
      <c r="Z21" s="609">
        <f t="shared" si="7"/>
        <v>7.9632213835622245E-2</v>
      </c>
      <c r="AA21" s="609">
        <f t="shared" si="8"/>
        <v>7.6714893836919762E-2</v>
      </c>
    </row>
    <row r="22" spans="1:27">
      <c r="A22" s="548">
        <f t="shared" si="9"/>
        <v>10</v>
      </c>
      <c r="B22" s="306">
        <f>100*Results!C24</f>
        <v>1.905003642683667</v>
      </c>
      <c r="C22" s="306">
        <f>100*Results!D24</f>
        <v>-1.0883648552839631E-2</v>
      </c>
      <c r="D22" s="306">
        <f>100*Results!E24</f>
        <v>0.88695476633717796</v>
      </c>
      <c r="E22" s="306">
        <f>100*Results!F24</f>
        <v>-0.41387418588588742</v>
      </c>
      <c r="F22" s="306">
        <f>100*Results!G24</f>
        <v>1.7819343778962882</v>
      </c>
      <c r="G22" s="306">
        <f>100*Results!H24</f>
        <v>-6.4844792598328649E-2</v>
      </c>
      <c r="H22" s="306">
        <f>100*Results!I24</f>
        <v>1.4921862020841559</v>
      </c>
      <c r="I22" s="306">
        <f>100*Results!J24</f>
        <v>1.711085028051551</v>
      </c>
      <c r="K22" s="548">
        <f>'Swap and Yield Curves'!D16</f>
        <v>1.9833000000000001</v>
      </c>
      <c r="L22" s="548">
        <f>'Swap and Yield Curves'!D44</f>
        <v>8.7900000000000006E-2</v>
      </c>
      <c r="M22" s="548">
        <f>'Swap and Yield Curves'!D80</f>
        <v>0.97960000000000003</v>
      </c>
      <c r="N22" s="548">
        <f>'Swap and Yield Curves'!D108</f>
        <v>-0.31</v>
      </c>
      <c r="O22" s="548">
        <f>'Swap and Yield Curves'!D136</f>
        <v>1.8654999999999999</v>
      </c>
      <c r="P22" s="548">
        <f>'Swap and Yield Curves'!D157</f>
        <v>3.5000000000000003E-2</v>
      </c>
      <c r="Q22" s="548">
        <f>'Swap and Yield Curves'!D193</f>
        <v>1.5674999999999999</v>
      </c>
      <c r="R22" s="548">
        <f>'Swap and Yield Curves'!D214</f>
        <v>1.7825</v>
      </c>
      <c r="T22" s="609">
        <f t="shared" si="1"/>
        <v>7.8296357316333109E-2</v>
      </c>
      <c r="U22" s="609">
        <f t="shared" si="2"/>
        <v>9.8783648552839637E-2</v>
      </c>
      <c r="V22" s="609">
        <f t="shared" si="3"/>
        <v>9.2645233662822069E-2</v>
      </c>
      <c r="W22" s="609">
        <f t="shared" si="4"/>
        <v>0.10387418588588743</v>
      </c>
      <c r="X22" s="609">
        <f t="shared" si="5"/>
        <v>8.3565622103711767E-2</v>
      </c>
      <c r="Y22" s="609">
        <f t="shared" si="6"/>
        <v>9.9844792598328652E-2</v>
      </c>
      <c r="Z22" s="609">
        <f t="shared" si="7"/>
        <v>7.5313797915844027E-2</v>
      </c>
      <c r="AA22" s="609">
        <f t="shared" si="8"/>
        <v>7.1414971948448924E-2</v>
      </c>
    </row>
    <row r="23" spans="1:27">
      <c r="A23" s="548">
        <f t="shared" si="9"/>
        <v>11</v>
      </c>
      <c r="B23" s="306">
        <f>100*Results!C25</f>
        <v>1.9478458271875443</v>
      </c>
      <c r="C23" s="306">
        <f>100*Results!D25</f>
        <v>6.9822589334456175E-2</v>
      </c>
      <c r="D23" s="306">
        <f>100*Results!E25</f>
        <v>0.91716965488757296</v>
      </c>
      <c r="E23" s="306">
        <f>100*Results!F25</f>
        <v>-0.33358266656327018</v>
      </c>
      <c r="F23" s="306">
        <f>100*Results!G25</f>
        <v>1.8242698360001253</v>
      </c>
      <c r="G23" s="306">
        <f>100*Results!H25</f>
        <v>-3.0848994180032729E-2</v>
      </c>
      <c r="H23" s="306">
        <f>100*Results!I25</f>
        <v>1.5571811705320071</v>
      </c>
      <c r="I23" s="306">
        <f>100*Results!J25</f>
        <v>1.7914323061553938</v>
      </c>
      <c r="K23" s="548">
        <f>'Swap and Yield Curves'!D17</f>
        <v>2.0223</v>
      </c>
      <c r="L23" s="548">
        <f>'Swap and Yield Curves'!D45</f>
        <v>0.16700000000000001</v>
      </c>
      <c r="M23" s="548">
        <f>'Swap and Yield Curves'!D81</f>
        <v>1.0084599999999999</v>
      </c>
      <c r="N23" s="548">
        <f>'Swap and Yield Curves'!D109</f>
        <v>-0.23</v>
      </c>
      <c r="P23" s="548">
        <f>'Swap and Yield Curves'!D158</f>
        <v>6.8750000000000006E-2</v>
      </c>
      <c r="T23" s="609">
        <f t="shared" si="1"/>
        <v>7.4454172812455699E-2</v>
      </c>
      <c r="U23" s="609">
        <f t="shared" si="2"/>
        <v>9.7177410665543834E-2</v>
      </c>
      <c r="V23" s="609">
        <f t="shared" si="3"/>
        <v>9.1290345112426952E-2</v>
      </c>
      <c r="W23" s="609">
        <f t="shared" si="4"/>
        <v>0.10358266656327017</v>
      </c>
      <c r="X23" s="609"/>
      <c r="Y23" s="609">
        <f t="shared" si="6"/>
        <v>9.9598994180032735E-2</v>
      </c>
      <c r="Z23" s="609"/>
      <c r="AA23" s="609"/>
    </row>
    <row r="24" spans="1:27">
      <c r="A24" s="548">
        <f t="shared" si="9"/>
        <v>12</v>
      </c>
      <c r="B24" s="306">
        <f>100*Results!C26</f>
        <v>1.983923839707602</v>
      </c>
      <c r="C24" s="306">
        <f>100*Results!D26</f>
        <v>0.14591780977066815</v>
      </c>
      <c r="D24" s="306">
        <f>100*Results!E26</f>
        <v>0.94470297869213571</v>
      </c>
      <c r="E24" s="306">
        <f>100*Results!F26</f>
        <v>-0.25536931185422551</v>
      </c>
      <c r="F24" s="306">
        <f>100*Results!G26</f>
        <v>1.8662118889414048</v>
      </c>
      <c r="G24" s="306">
        <f>100*Results!H26</f>
        <v>1.9851242194279806E-3</v>
      </c>
      <c r="H24" s="306">
        <f>100*Results!I26</f>
        <v>1.6196909446421603</v>
      </c>
      <c r="I24" s="306">
        <f>100*Results!J26</f>
        <v>1.8455131879119291</v>
      </c>
      <c r="K24" s="548">
        <f>'Swap and Yield Curves'!D18</f>
        <v>2.0550000000000002</v>
      </c>
      <c r="L24" s="548">
        <f>'Swap and Yield Curves'!D46</f>
        <v>0.24110000000000001</v>
      </c>
      <c r="M24" s="548">
        <f>'Swap and Yield Curves'!D82</f>
        <v>1.0346500000000001</v>
      </c>
      <c r="N24" s="548">
        <f>'Swap and Yield Curves'!D110</f>
        <v>-0.1525</v>
      </c>
      <c r="O24" s="548">
        <f>'Swap and Yield Curves'!D137</f>
        <v>1.9419</v>
      </c>
      <c r="P24" s="548">
        <f>'Swap and Yield Curves'!D159</f>
        <v>0.10125000000000001</v>
      </c>
      <c r="Q24" s="548">
        <f>'Swap and Yield Curves'!D194</f>
        <v>1.6850000000000001</v>
      </c>
      <c r="R24" s="548">
        <f>'Swap and Yield Curves'!D215</f>
        <v>1.905</v>
      </c>
      <c r="T24" s="609">
        <f t="shared" si="1"/>
        <v>7.1076160292398161E-2</v>
      </c>
      <c r="U24" s="609">
        <f t="shared" si="2"/>
        <v>9.5182190229331859E-2</v>
      </c>
      <c r="V24" s="609">
        <f t="shared" si="3"/>
        <v>8.9947021307864361E-2</v>
      </c>
      <c r="W24" s="609">
        <f t="shared" si="4"/>
        <v>0.10286931185422551</v>
      </c>
      <c r="X24" s="609">
        <f t="shared" si="5"/>
        <v>7.5688111058595187E-2</v>
      </c>
      <c r="Y24" s="609">
        <f t="shared" si="6"/>
        <v>9.9264875780572026E-2</v>
      </c>
      <c r="Z24" s="609">
        <f t="shared" si="7"/>
        <v>6.5309055357839707E-2</v>
      </c>
      <c r="AA24" s="609">
        <f t="shared" si="8"/>
        <v>5.9486812088070939E-2</v>
      </c>
    </row>
    <row r="25" spans="1:27">
      <c r="A25" s="548">
        <f t="shared" si="9"/>
        <v>13</v>
      </c>
      <c r="B25" s="306">
        <f>100*Results!C27</f>
        <v>2.0149519056825937</v>
      </c>
      <c r="C25" s="306">
        <f>100*Results!D27</f>
        <v>0.22079495247453451</v>
      </c>
      <c r="D25" s="306">
        <f>100*Results!E27</f>
        <v>0.96771836840940928</v>
      </c>
      <c r="E25" s="306">
        <f>100*Results!F27</f>
        <v>-0.19342880003849761</v>
      </c>
      <c r="F25" s="306">
        <f>100*Results!G27</f>
        <v>1.9022307246541414</v>
      </c>
      <c r="G25" s="306">
        <f>100*Results!H27</f>
        <v>3.3654782059699961E-2</v>
      </c>
      <c r="H25" s="306">
        <f>100*Results!I27</f>
        <v>1.6719484524372108</v>
      </c>
      <c r="I25" s="306">
        <f>100*Results!J27</f>
        <v>1.9020856817390852</v>
      </c>
      <c r="K25" s="548">
        <f>'Swap and Yield Curves'!D19</f>
        <v>2.0830000000000002</v>
      </c>
      <c r="L25" s="548">
        <f>'Swap and Yield Curves'!D47</f>
        <v>0.3135</v>
      </c>
      <c r="M25" s="548">
        <f>'Swap and Yield Curves'!D83</f>
        <v>1.0565</v>
      </c>
      <c r="N25" s="548" t="str">
        <f>'Swap and Yield Curves'!D111</f>
        <v>#N/A N/A</v>
      </c>
      <c r="P25" s="548">
        <f>'Swap and Yield Curves'!D160</f>
        <v>0.13250000000000001</v>
      </c>
      <c r="T25" s="609">
        <f t="shared" si="1"/>
        <v>6.8048094317406438E-2</v>
      </c>
      <c r="U25" s="609">
        <f t="shared" si="2"/>
        <v>9.2705047525465489E-2</v>
      </c>
      <c r="V25" s="609">
        <f t="shared" si="3"/>
        <v>8.8781631590590715E-2</v>
      </c>
      <c r="W25" s="609" t="e">
        <f t="shared" si="4"/>
        <v>#VALUE!</v>
      </c>
      <c r="X25" s="609"/>
      <c r="Y25" s="609">
        <f t="shared" si="6"/>
        <v>9.8845217940300045E-2</v>
      </c>
      <c r="Z25" s="609"/>
      <c r="AA25" s="609"/>
    </row>
    <row r="26" spans="1:27">
      <c r="A26" s="548">
        <f t="shared" si="9"/>
        <v>14</v>
      </c>
      <c r="B26" s="306">
        <f>100*Results!C28</f>
        <v>2.0428212208356555</v>
      </c>
      <c r="C26" s="306">
        <f>100*Results!D28</f>
        <v>0.28046646621078253</v>
      </c>
      <c r="D26" s="306">
        <f>100*Results!E28</f>
        <v>0.99006904827734221</v>
      </c>
      <c r="E26" s="306">
        <f>100*Results!F28</f>
        <v>-0.13570222780239227</v>
      </c>
      <c r="F26" s="306">
        <f>100*Results!G28</f>
        <v>1.9378748880678698</v>
      </c>
      <c r="G26" s="306">
        <f>100*Results!H28</f>
        <v>6.6710538810554887E-2</v>
      </c>
      <c r="H26" s="306">
        <f>100*Results!I28</f>
        <v>1.7222606863580348</v>
      </c>
      <c r="I26" s="306">
        <f>100*Results!J28</f>
        <v>1.9517586482938887</v>
      </c>
      <c r="K26" s="548">
        <f>'Swap and Yield Curves'!D20</f>
        <v>2.1080000000000001</v>
      </c>
      <c r="L26" s="548">
        <f>'Swap and Yield Curves'!D48</f>
        <v>0.37090000000000001</v>
      </c>
      <c r="M26" s="548">
        <f>'Swap and Yield Curves'!D84</f>
        <v>1.0775999999999999</v>
      </c>
      <c r="N26" s="548" t="str">
        <f>'Swap and Yield Curves'!D112</f>
        <v>#N/A N/A</v>
      </c>
      <c r="P26" s="548">
        <f>'Swap and Yield Curves'!D161</f>
        <v>0.16500000000000001</v>
      </c>
      <c r="T26" s="609">
        <f t="shared" si="1"/>
        <v>6.5178779164344558E-2</v>
      </c>
      <c r="U26" s="609">
        <f t="shared" si="2"/>
        <v>9.043353378921748E-2</v>
      </c>
      <c r="V26" s="609">
        <f t="shared" si="3"/>
        <v>8.7530951722657679E-2</v>
      </c>
      <c r="W26" s="609" t="e">
        <f t="shared" si="4"/>
        <v>#VALUE!</v>
      </c>
      <c r="X26" s="609"/>
      <c r="Y26" s="609">
        <f t="shared" si="6"/>
        <v>9.8289461189445121E-2</v>
      </c>
      <c r="Z26" s="609"/>
      <c r="AA26" s="609"/>
    </row>
    <row r="27" spans="1:27">
      <c r="A27" s="548">
        <f t="shared" si="9"/>
        <v>15</v>
      </c>
      <c r="B27" s="306">
        <f>100*Results!C29</f>
        <v>2.0656691352857859</v>
      </c>
      <c r="C27" s="306">
        <f>100*Results!D29</f>
        <v>0.33811121247708797</v>
      </c>
      <c r="D27" s="306">
        <f>100*Results!E29</f>
        <v>1.0086290649003349</v>
      </c>
      <c r="E27" s="306">
        <f>100*Results!F29</f>
        <v>-8.2041061964066575E-2</v>
      </c>
      <c r="F27" s="306">
        <f>100*Results!G29</f>
        <v>1.9731534863338007</v>
      </c>
      <c r="G27" s="306">
        <f>100*Results!H29</f>
        <v>9.8612781060802845E-2</v>
      </c>
      <c r="H27" s="306">
        <f>100*Results!I29</f>
        <v>1.7708540098740677</v>
      </c>
      <c r="I27" s="306">
        <f>100*Results!J29</f>
        <v>1.9995463130677793</v>
      </c>
      <c r="K27" s="548">
        <f>'Swap and Yield Curves'!D21</f>
        <v>2.1284999999999998</v>
      </c>
      <c r="L27" s="548">
        <f>'Swap and Yield Curves'!D49</f>
        <v>0.42599999999999999</v>
      </c>
      <c r="M27" s="548">
        <f>'Swap and Yield Curves'!D85</f>
        <v>1.09511</v>
      </c>
      <c r="N27" s="548">
        <f>'Swap and Yield Curves'!D113</f>
        <v>1.7500000000000002E-2</v>
      </c>
      <c r="O27" s="548">
        <f>'Swap and Yield Curves'!D138</f>
        <v>2.0369999999999999</v>
      </c>
      <c r="P27" s="548">
        <f>'Swap and Yield Curves'!D162</f>
        <v>0.19625000000000001</v>
      </c>
      <c r="Q27" s="548">
        <f>'Swap and Yield Curves'!D195</f>
        <v>1.8214999999999999</v>
      </c>
      <c r="R27" s="548">
        <f>'Swap and Yield Curves'!D216</f>
        <v>2.0425</v>
      </c>
      <c r="T27" s="609">
        <f t="shared" si="1"/>
        <v>6.2830864714213952E-2</v>
      </c>
      <c r="U27" s="609">
        <f t="shared" si="2"/>
        <v>8.7888787522912015E-2</v>
      </c>
      <c r="V27" s="609">
        <f t="shared" si="3"/>
        <v>8.6480935099665146E-2</v>
      </c>
      <c r="W27" s="609">
        <f t="shared" si="4"/>
        <v>9.9541061964066577E-2</v>
      </c>
      <c r="X27" s="609">
        <f t="shared" si="5"/>
        <v>6.3846513666199201E-2</v>
      </c>
      <c r="Y27" s="609">
        <f t="shared" si="6"/>
        <v>9.7637218939197162E-2</v>
      </c>
      <c r="Z27" s="609">
        <f t="shared" si="7"/>
        <v>5.0645990125932183E-2</v>
      </c>
      <c r="AA27" s="609">
        <f t="shared" si="8"/>
        <v>4.295368693222068E-2</v>
      </c>
    </row>
    <row r="28" spans="1:27">
      <c r="A28" s="548">
        <f t="shared" si="9"/>
        <v>16</v>
      </c>
      <c r="B28" s="306">
        <f>100*Results!C30</f>
        <v>2.0870131741579812</v>
      </c>
      <c r="C28" s="306">
        <f>100*Results!D30</f>
        <v>0.38857781328260899</v>
      </c>
      <c r="D28" s="306">
        <f>100*Results!E30</f>
        <v>1.0243119547494572</v>
      </c>
      <c r="E28" s="306">
        <f>100*Results!F30</f>
        <v>-4.1134453014290973E-2</v>
      </c>
      <c r="F28" s="306">
        <f>100*Results!G30</f>
        <v>1.9942312163111264</v>
      </c>
      <c r="G28" s="306">
        <f>100*Results!H30</f>
        <v>0.112865698148501</v>
      </c>
      <c r="H28" s="306">
        <f>100*Results!I30</f>
        <v>1.7998169711596956</v>
      </c>
      <c r="I28" s="306">
        <f>100*Results!J30</f>
        <v>2.027949028552678</v>
      </c>
      <c r="K28" s="548">
        <f>'Swap and Yield Curves'!D22</f>
        <v>2.1475</v>
      </c>
      <c r="L28" s="548">
        <f>'Swap and Yield Curves'!D50</f>
        <v>0.47399999999999998</v>
      </c>
      <c r="M28" s="548">
        <f>'Swap and Yield Curves'!D86</f>
        <v>1.1099000000000001</v>
      </c>
      <c r="N28" s="548" t="str">
        <f>'Swap and Yield Curves'!D114</f>
        <v>#N/A N/A</v>
      </c>
      <c r="P28" s="548">
        <f>'Swap and Yield Curves'!D163</f>
        <v>0.21024999999999999</v>
      </c>
      <c r="T28" s="609">
        <f t="shared" si="1"/>
        <v>6.048682584201881E-2</v>
      </c>
      <c r="U28" s="609">
        <f t="shared" si="2"/>
        <v>8.5422186717390991E-2</v>
      </c>
      <c r="V28" s="609">
        <f t="shared" si="3"/>
        <v>8.5588045250542866E-2</v>
      </c>
      <c r="W28" s="609" t="e">
        <f t="shared" si="4"/>
        <v>#VALUE!</v>
      </c>
      <c r="X28" s="609"/>
      <c r="Y28" s="609">
        <f t="shared" si="6"/>
        <v>9.7384301851498989E-2</v>
      </c>
      <c r="Z28" s="609"/>
      <c r="AA28" s="609"/>
    </row>
    <row r="29" spans="1:27">
      <c r="A29" s="548">
        <f t="shared" si="9"/>
        <v>17</v>
      </c>
      <c r="B29" s="306">
        <f>100*Results!C31</f>
        <v>2.1053405114989987</v>
      </c>
      <c r="C29" s="306">
        <f>100*Results!D31</f>
        <v>0.43292739493949739</v>
      </c>
      <c r="D29" s="306">
        <f>100*Results!E31</f>
        <v>1.0376713441830887</v>
      </c>
      <c r="E29" s="306">
        <f>100*Results!F31</f>
        <v>-4.0087596252180724E-3</v>
      </c>
      <c r="F29" s="306">
        <f>100*Results!G31</f>
        <v>2.014961000816351</v>
      </c>
      <c r="G29" s="306">
        <f>100*Results!H31</f>
        <v>0.14267485859058571</v>
      </c>
      <c r="H29" s="306">
        <f>100*Results!I31</f>
        <v>1.8274144557645089</v>
      </c>
      <c r="I29" s="306">
        <f>100*Results!J31</f>
        <v>2.0597516180480557</v>
      </c>
      <c r="K29" s="548">
        <f>'Swap and Yield Curves'!D23</f>
        <v>2.1638000000000002</v>
      </c>
      <c r="L29" s="548">
        <f>'Swap and Yield Curves'!D51</f>
        <v>0.51600000000000001</v>
      </c>
      <c r="M29" s="548">
        <f>'Swap and Yield Curves'!D87</f>
        <v>1.1225000000000001</v>
      </c>
      <c r="N29" s="548" t="str">
        <f>'Swap and Yield Curves'!D115</f>
        <v>#N/A N/A</v>
      </c>
      <c r="P29" s="548">
        <f>'Swap and Yield Curves'!D164</f>
        <v>0.23549999999999999</v>
      </c>
      <c r="T29" s="609">
        <f t="shared" si="1"/>
        <v>5.8459488501001466E-2</v>
      </c>
      <c r="U29" s="609">
        <f t="shared" si="2"/>
        <v>8.3072605060502624E-2</v>
      </c>
      <c r="V29" s="609">
        <f t="shared" si="3"/>
        <v>8.4828655816911347E-2</v>
      </c>
      <c r="W29" s="609" t="e">
        <f t="shared" si="4"/>
        <v>#VALUE!</v>
      </c>
      <c r="X29" s="609"/>
      <c r="Y29" s="609">
        <f t="shared" si="6"/>
        <v>9.282514140941428E-2</v>
      </c>
      <c r="Z29" s="609"/>
      <c r="AA29" s="609"/>
    </row>
    <row r="30" spans="1:27">
      <c r="A30" s="548">
        <f t="shared" si="9"/>
        <v>18</v>
      </c>
      <c r="B30" s="306">
        <f>100*Results!C32</f>
        <v>2.1194596319977776</v>
      </c>
      <c r="C30" s="306">
        <f>100*Results!D32</f>
        <v>0.47051414337688779</v>
      </c>
      <c r="D30" s="306">
        <f>100*Results!E32</f>
        <v>1.0493396404615662</v>
      </c>
      <c r="E30" s="306">
        <f>100*Results!F32</f>
        <v>2.9472182877610109E-2</v>
      </c>
      <c r="F30" s="306">
        <f>100*Results!G32</f>
        <v>2.0353513590254613</v>
      </c>
      <c r="G30" s="306">
        <f>100*Results!H32</f>
        <v>0.17309455950169639</v>
      </c>
      <c r="H30" s="306">
        <f>100*Results!I32</f>
        <v>1.8537807224175307</v>
      </c>
      <c r="I30" s="306">
        <f>100*Results!J32</f>
        <v>2.0961861242802415</v>
      </c>
      <c r="K30" s="548">
        <f>'Swap and Yield Curves'!D24</f>
        <v>2.1764999999999999</v>
      </c>
      <c r="L30" s="548">
        <f>'Swap and Yield Curves'!D52</f>
        <v>0.55149999999999999</v>
      </c>
      <c r="M30" s="548">
        <f>'Swap and Yield Curves'!D88</f>
        <v>1.1335</v>
      </c>
      <c r="N30" s="548" t="str">
        <f>'Swap and Yield Curves'!D116</f>
        <v>#N/A N/A</v>
      </c>
      <c r="P30" s="548">
        <f>'Swap and Yield Curves'!D165</f>
        <v>0.26874999999999999</v>
      </c>
      <c r="T30" s="609">
        <f t="shared" si="1"/>
        <v>5.704036800222223E-2</v>
      </c>
      <c r="U30" s="609">
        <f t="shared" si="2"/>
        <v>8.0985856623112196E-2</v>
      </c>
      <c r="V30" s="609">
        <f t="shared" si="3"/>
        <v>8.4160359538433704E-2</v>
      </c>
      <c r="W30" s="609" t="e">
        <f t="shared" si="4"/>
        <v>#VALUE!</v>
      </c>
      <c r="X30" s="609"/>
      <c r="Y30" s="609">
        <f t="shared" si="6"/>
        <v>9.5655440498303601E-2</v>
      </c>
      <c r="Z30" s="609"/>
      <c r="AA30" s="609"/>
    </row>
    <row r="31" spans="1:27">
      <c r="A31" s="548">
        <f t="shared" si="9"/>
        <v>19</v>
      </c>
      <c r="B31" s="306">
        <f>100*Results!C33</f>
        <v>2.1316717445716726</v>
      </c>
      <c r="C31" s="306">
        <f>100*Results!D33</f>
        <v>0.50232568603902905</v>
      </c>
      <c r="D31" s="306">
        <f>100*Results!E33</f>
        <v>1.059746658271421</v>
      </c>
      <c r="E31" s="306">
        <f>100*Results!F33</f>
        <v>5.9440669216437314E-2</v>
      </c>
      <c r="F31" s="306">
        <f>100*Results!G33</f>
        <v>2.0554106594844246</v>
      </c>
      <c r="G31" s="306">
        <f>100*Results!H33</f>
        <v>0.18434312847144252</v>
      </c>
      <c r="H31" s="306">
        <f>100*Results!I33</f>
        <v>1.8790276079362345</v>
      </c>
      <c r="I31" s="306">
        <f>100*Results!J33</f>
        <v>2.1379298422639081</v>
      </c>
      <c r="K31" s="548">
        <f>'Swap and Yield Curves'!D25</f>
        <v>2.1875</v>
      </c>
      <c r="L31" s="548">
        <f>'Swap and Yield Curves'!D53</f>
        <v>0.58150000000000002</v>
      </c>
      <c r="M31" s="548">
        <f>'Swap and Yield Curves'!D89</f>
        <v>1.1433</v>
      </c>
      <c r="N31" s="548" t="str">
        <f>'Swap and Yield Curves'!D117</f>
        <v>#N/A N/A</v>
      </c>
      <c r="P31" s="548">
        <f>'Swap and Yield Curves'!D166</f>
        <v>0.27975</v>
      </c>
      <c r="T31" s="609">
        <f t="shared" si="1"/>
        <v>5.5828255428327367E-2</v>
      </c>
      <c r="U31" s="609">
        <f t="shared" si="2"/>
        <v>7.9174313960970966E-2</v>
      </c>
      <c r="V31" s="609">
        <f t="shared" si="3"/>
        <v>8.3553341728578978E-2</v>
      </c>
      <c r="W31" s="609" t="e">
        <f t="shared" si="4"/>
        <v>#VALUE!</v>
      </c>
      <c r="X31" s="609"/>
      <c r="Y31" s="609">
        <f t="shared" si="6"/>
        <v>9.540687152855748E-2</v>
      </c>
      <c r="Z31" s="609"/>
      <c r="AA31" s="609"/>
    </row>
    <row r="32" spans="1:27">
      <c r="A32" s="548">
        <f t="shared" si="9"/>
        <v>20</v>
      </c>
      <c r="B32" s="306">
        <f>100*Results!C34</f>
        <v>2.1425668316977564</v>
      </c>
      <c r="C32" s="306">
        <f>100*Results!D34</f>
        <v>0.52706448661847816</v>
      </c>
      <c r="D32" s="306">
        <f>100*Results!E34</f>
        <v>1.0674170808637751</v>
      </c>
      <c r="E32" s="306">
        <f>100*Results!F34</f>
        <v>8.6025156871349928E-2</v>
      </c>
      <c r="F32" s="306">
        <f>100*Results!G34</f>
        <v>2.0751470534446703</v>
      </c>
      <c r="G32" s="306">
        <f>100*Results!H34</f>
        <v>0.22369764308116658</v>
      </c>
      <c r="H32" s="306">
        <f>100*Results!I34</f>
        <v>1.9032485540251276</v>
      </c>
      <c r="I32" s="306">
        <f>100*Results!J34</f>
        <v>2.1852814147029331</v>
      </c>
      <c r="K32" s="548">
        <f>'Swap and Yield Curves'!D26</f>
        <v>2.1972999999999998</v>
      </c>
      <c r="L32" s="548">
        <f>'Swap and Yield Curves'!D54</f>
        <v>0.60489999999999999</v>
      </c>
      <c r="M32" s="548">
        <f>'Swap and Yield Curves'!D90</f>
        <v>1.15062</v>
      </c>
      <c r="N32" s="548">
        <f>'Swap and Yield Curves'!D118</f>
        <v>0.18</v>
      </c>
      <c r="O32" s="548">
        <f>'Swap and Yield Curves'!D139</f>
        <v>2.1263999999999998</v>
      </c>
      <c r="P32" s="548">
        <f>'Swap and Yield Curves'!D167</f>
        <v>0.3175</v>
      </c>
      <c r="Q32" s="548">
        <f>'Swap and Yield Curves'!D196</f>
        <v>1.94</v>
      </c>
      <c r="R32" s="548">
        <f>'Swap and Yield Curves'!D217</f>
        <v>2.2025000000000001</v>
      </c>
      <c r="T32" s="609">
        <f t="shared" si="1"/>
        <v>5.4733168302243396E-2</v>
      </c>
      <c r="U32" s="609">
        <f t="shared" si="2"/>
        <v>7.7835513381521837E-2</v>
      </c>
      <c r="V32" s="609">
        <f t="shared" si="3"/>
        <v>8.3202919136224907E-2</v>
      </c>
      <c r="W32" s="609">
        <f t="shared" si="4"/>
        <v>9.3974843128650065E-2</v>
      </c>
      <c r="X32" s="609">
        <f t="shared" si="5"/>
        <v>5.1252946555329526E-2</v>
      </c>
      <c r="Y32" s="609">
        <f t="shared" si="6"/>
        <v>9.3802356918833429E-2</v>
      </c>
      <c r="Z32" s="609">
        <f t="shared" si="7"/>
        <v>3.6751445974872343E-2</v>
      </c>
      <c r="AA32" s="609">
        <f t="shared" si="8"/>
        <v>1.7218585297066991E-2</v>
      </c>
    </row>
    <row r="33" spans="1:36">
      <c r="A33" s="548">
        <f t="shared" si="9"/>
        <v>21</v>
      </c>
      <c r="B33" s="306">
        <f>100*Results!C35</f>
        <v>2.149451104200284</v>
      </c>
      <c r="C33" s="306">
        <f>100*Results!D35</f>
        <v>0.55062962947671767</v>
      </c>
      <c r="D33" s="306">
        <f>100*Results!E35</f>
        <v>1.0858187608228542</v>
      </c>
      <c r="E33" s="306">
        <f>100*Results!F35</f>
        <v>0.1044794209283495</v>
      </c>
      <c r="F33" s="306">
        <f>100*Results!G35</f>
        <v>2.0734224729733075</v>
      </c>
      <c r="G33" s="306">
        <f>100*Results!H35</f>
        <v>0.23870536180243818</v>
      </c>
      <c r="H33" s="306">
        <f>100*Results!I35</f>
        <v>1.9172061539772134</v>
      </c>
      <c r="I33" s="306">
        <f>100*Results!J35</f>
        <v>2.1974152674184566</v>
      </c>
      <c r="L33" s="548">
        <f>'Swap and Yield Curves'!D55</f>
        <v>0.62709999999999999</v>
      </c>
      <c r="P33" s="548" t="str">
        <f>'Swap and Yield Curves'!D168</f>
        <v>#N/A N/A</v>
      </c>
      <c r="T33" s="609"/>
      <c r="U33" s="609">
        <f t="shared" si="2"/>
        <v>7.6470370523282316E-2</v>
      </c>
      <c r="V33" s="609"/>
      <c r="W33" s="609"/>
      <c r="X33" s="609"/>
      <c r="Y33" s="609" t="e">
        <f t="shared" si="6"/>
        <v>#VALUE!</v>
      </c>
      <c r="Z33" s="609"/>
      <c r="AA33" s="609"/>
    </row>
    <row r="34" spans="1:36">
      <c r="A34" s="548">
        <f t="shared" si="9"/>
        <v>22</v>
      </c>
      <c r="B34" s="306">
        <f>100*Results!C36</f>
        <v>2.1556897790143026</v>
      </c>
      <c r="C34" s="306">
        <f>100*Results!D36</f>
        <v>0.57177981375742259</v>
      </c>
      <c r="D34" s="306">
        <f>100*Results!E36</f>
        <v>1.0902163153443611</v>
      </c>
      <c r="E34" s="306">
        <f>100*Results!F36</f>
        <v>0.11979560330683814</v>
      </c>
      <c r="F34" s="306">
        <f>100*Results!G36</f>
        <v>2.0713908819186111</v>
      </c>
      <c r="G34" s="306">
        <f>100*Results!H36</f>
        <v>0.25372579519034044</v>
      </c>
      <c r="H34" s="306">
        <f>100*Results!I36</f>
        <v>1.9302826981267174</v>
      </c>
      <c r="I34" s="306">
        <f>100*Results!J36</f>
        <v>2.2150681369530911</v>
      </c>
      <c r="L34" s="548">
        <f>'Swap and Yield Curves'!D56</f>
        <v>0.64700000000000002</v>
      </c>
      <c r="P34" s="548" t="str">
        <f>'Swap and Yield Curves'!D169</f>
        <v>#N/A N/A</v>
      </c>
      <c r="T34" s="609"/>
      <c r="U34" s="609">
        <f t="shared" si="2"/>
        <v>7.5220186242577425E-2</v>
      </c>
      <c r="V34" s="609"/>
      <c r="W34" s="609"/>
      <c r="X34" s="609"/>
      <c r="Y34" s="609" t="e">
        <f t="shared" si="6"/>
        <v>#VALUE!</v>
      </c>
      <c r="Z34" s="609"/>
      <c r="AA34" s="609"/>
    </row>
    <row r="35" spans="1:36">
      <c r="A35" s="548">
        <f t="shared" si="9"/>
        <v>23</v>
      </c>
      <c r="B35" s="306">
        <f>100*Results!C37</f>
        <v>2.1612297827703131</v>
      </c>
      <c r="C35" s="306">
        <f>100*Results!D37</f>
        <v>0.58531823289627027</v>
      </c>
      <c r="D35" s="306">
        <f>100*Results!E37</f>
        <v>1.091307597176594</v>
      </c>
      <c r="E35" s="306">
        <f>100*Results!F37</f>
        <v>0.13209136760312656</v>
      </c>
      <c r="F35" s="306">
        <f>100*Results!G37</f>
        <v>2.0690600310437013</v>
      </c>
      <c r="G35" s="306">
        <f>100*Results!H37</f>
        <v>0.26866277777766179</v>
      </c>
      <c r="H35" s="306">
        <f>100*Results!I37</f>
        <v>1.9425347462203479</v>
      </c>
      <c r="I35" s="306">
        <f>100*Results!J37</f>
        <v>2.2379972020289296</v>
      </c>
      <c r="L35" s="548">
        <f>'Swap and Yield Curves'!D57</f>
        <v>0.66</v>
      </c>
      <c r="P35" s="548" t="str">
        <f>'Swap and Yield Curves'!D170</f>
        <v>#N/A N/A</v>
      </c>
      <c r="T35" s="609"/>
      <c r="U35" s="609">
        <f t="shared" si="2"/>
        <v>7.4681767103729757E-2</v>
      </c>
      <c r="V35" s="609"/>
      <c r="W35" s="609"/>
      <c r="X35" s="609"/>
      <c r="Y35" s="609" t="e">
        <f t="shared" si="6"/>
        <v>#VALUE!</v>
      </c>
      <c r="Z35" s="609"/>
      <c r="AA35" s="609"/>
    </row>
    <row r="36" spans="1:36">
      <c r="A36" s="548">
        <f t="shared" si="9"/>
        <v>24</v>
      </c>
      <c r="B36" s="306">
        <f>100*Results!C38</f>
        <v>2.1660282562339095</v>
      </c>
      <c r="C36" s="306">
        <f>100*Results!D38</f>
        <v>0.5955712556245274</v>
      </c>
      <c r="D36" s="306">
        <f>100*Results!E38</f>
        <v>1.0889167507163622</v>
      </c>
      <c r="E36" s="306">
        <f>100*Results!F38</f>
        <v>0.14148094843637882</v>
      </c>
      <c r="F36" s="306">
        <f>100*Results!G38</f>
        <v>2.0664374660170903</v>
      </c>
      <c r="G36" s="306">
        <f>100*Results!H38</f>
        <v>0.28343476472256768</v>
      </c>
      <c r="H36" s="306">
        <f>100*Results!I38</f>
        <v>1.9540108803890233</v>
      </c>
      <c r="I36" s="306">
        <f>100*Results!J38</f>
        <v>2.2658892962736488</v>
      </c>
      <c r="L36" s="548">
        <f>'Swap and Yield Curves'!D58</f>
        <v>0.67</v>
      </c>
      <c r="P36" s="548" t="str">
        <f>'Swap and Yield Curves'!D171</f>
        <v>#N/A N/A</v>
      </c>
      <c r="T36" s="609"/>
      <c r="U36" s="609">
        <f t="shared" si="2"/>
        <v>7.4428744375472644E-2</v>
      </c>
      <c r="V36" s="609"/>
      <c r="W36" s="609"/>
      <c r="X36" s="609"/>
      <c r="Y36" s="609" t="e">
        <f t="shared" si="6"/>
        <v>#VALUE!</v>
      </c>
      <c r="Z36" s="609"/>
      <c r="AA36" s="609"/>
    </row>
    <row r="37" spans="1:36">
      <c r="A37" s="548">
        <f t="shared" si="9"/>
        <v>25</v>
      </c>
      <c r="B37" s="306">
        <f>100*Results!C39</f>
        <v>2.170051217063973</v>
      </c>
      <c r="C37" s="306">
        <f>100*Results!D39</f>
        <v>0.60013417476174613</v>
      </c>
      <c r="D37" s="306">
        <f>100*Results!E39</f>
        <v>1.0832794192860096</v>
      </c>
      <c r="E37" s="306">
        <f>100*Results!F39</f>
        <v>0.14807526497278012</v>
      </c>
      <c r="F37" s="306">
        <f>100*Results!G39</f>
        <v>2.0635306001816067</v>
      </c>
      <c r="G37" s="306">
        <f>100*Results!H39</f>
        <v>0.29797257627623974</v>
      </c>
      <c r="H37" s="306">
        <f>100*Results!I39</f>
        <v>1.9647531680393016</v>
      </c>
      <c r="I37" s="306">
        <f>100*Results!J39</f>
        <v>2.298390780922932</v>
      </c>
      <c r="K37" s="548">
        <f>'Swap and Yield Curves'!D27</f>
        <v>2.2235</v>
      </c>
      <c r="L37" s="548">
        <f>'Swap and Yield Curves'!D59</f>
        <v>0.67490000000000006</v>
      </c>
      <c r="M37" s="548">
        <f>'Swap and Yield Curves'!D91</f>
        <v>1.1672199999999999</v>
      </c>
      <c r="N37" s="548">
        <f>'Swap and Yield Curves'!D119</f>
        <v>0.24</v>
      </c>
      <c r="O37" s="548">
        <f>'Swap and Yield Curves'!D140</f>
        <v>2.1232000000000002</v>
      </c>
      <c r="P37" s="548">
        <f>'Swap and Yield Curves'!D172</f>
        <v>0.38874999999999998</v>
      </c>
      <c r="Q37" s="548">
        <f>'Swap and Yield Curves'!D197</f>
        <v>1.9962500000000001</v>
      </c>
      <c r="T37" s="609">
        <f t="shared" si="1"/>
        <v>5.3448782936027062E-2</v>
      </c>
      <c r="U37" s="609">
        <f t="shared" si="2"/>
        <v>7.4765825238253925E-2</v>
      </c>
      <c r="V37" s="609">
        <f t="shared" si="3"/>
        <v>8.3940580713990354E-2</v>
      </c>
      <c r="W37" s="609">
        <f t="shared" si="4"/>
        <v>9.1924735027219873E-2</v>
      </c>
      <c r="X37" s="609">
        <f t="shared" si="5"/>
        <v>5.9669399818393476E-2</v>
      </c>
      <c r="Y37" s="609">
        <f t="shared" si="6"/>
        <v>9.0777423723760242E-2</v>
      </c>
      <c r="Z37" s="609">
        <f t="shared" si="7"/>
        <v>3.1496831960698524E-2</v>
      </c>
      <c r="AA37" s="609"/>
    </row>
    <row r="38" spans="1:36">
      <c r="A38" s="548">
        <f t="shared" si="9"/>
        <v>26</v>
      </c>
      <c r="B38" s="306">
        <f>100*Results!C40</f>
        <v>2.1732933159478218</v>
      </c>
      <c r="C38" s="306">
        <f>100*Results!D40</f>
        <v>0.61067755743653418</v>
      </c>
      <c r="D38" s="306">
        <f>100*Results!E40</f>
        <v>1.087996629347221</v>
      </c>
      <c r="E38" s="306">
        <f>100*Results!F40</f>
        <v>0.15596890769200566</v>
      </c>
      <c r="F38" s="306">
        <f>100*Results!G40</f>
        <v>2.0578756392364062</v>
      </c>
      <c r="G38" s="306">
        <f>100*Results!H40</f>
        <v>0.30817100289419752</v>
      </c>
      <c r="H38" s="306">
        <f>100*Results!I40</f>
        <v>1.9637366946071877</v>
      </c>
      <c r="I38" s="306">
        <f>100*Results!J40</f>
        <v>2.3059263706408872</v>
      </c>
      <c r="L38" s="548">
        <f>'Swap and Yield Curves'!D60</f>
        <v>0.68500000000000005</v>
      </c>
      <c r="P38" s="548" t="str">
        <f>'Swap and Yield Curves'!D173</f>
        <v>#N/A N/A</v>
      </c>
      <c r="T38" s="609"/>
      <c r="U38" s="609">
        <f t="shared" si="2"/>
        <v>7.4322442563465874E-2</v>
      </c>
      <c r="V38" s="609"/>
      <c r="W38" s="609"/>
      <c r="X38" s="609"/>
      <c r="Y38" s="609" t="e">
        <f t="shared" si="6"/>
        <v>#VALUE!</v>
      </c>
      <c r="Z38" s="609"/>
      <c r="AA38" s="609"/>
    </row>
    <row r="39" spans="1:36">
      <c r="A39" s="548">
        <f t="shared" si="9"/>
        <v>27</v>
      </c>
      <c r="B39" s="306">
        <f>100*Results!C41</f>
        <v>2.1757147404315669</v>
      </c>
      <c r="C39" s="306">
        <f>100*Results!D41</f>
        <v>0.61547358806250951</v>
      </c>
      <c r="D39" s="306">
        <f>100*Results!E41</f>
        <v>1.0912410777917714</v>
      </c>
      <c r="E39" s="306">
        <f>100*Results!F41</f>
        <v>0.16127946366004675</v>
      </c>
      <c r="F39" s="306">
        <f>100*Results!G41</f>
        <v>2.0519506789202113</v>
      </c>
      <c r="G39" s="306">
        <f>100*Results!H41</f>
        <v>0.31802637302249526</v>
      </c>
      <c r="H39" s="306">
        <f>100*Results!I41</f>
        <v>1.9620554188799044</v>
      </c>
      <c r="I39" s="306">
        <f>100*Results!J41</f>
        <v>2.3173201045161518</v>
      </c>
      <c r="L39" s="548">
        <f>'Swap and Yield Curves'!D61</f>
        <v>0.69</v>
      </c>
      <c r="P39" s="548" t="str">
        <f>'Swap and Yield Curves'!D174</f>
        <v>#N/A N/A</v>
      </c>
      <c r="T39" s="609"/>
      <c r="U39" s="609">
        <f t="shared" si="2"/>
        <v>7.4526411937490433E-2</v>
      </c>
      <c r="V39" s="609"/>
      <c r="W39" s="609"/>
      <c r="X39" s="609"/>
      <c r="Y39" s="609" t="e">
        <f t="shared" si="6"/>
        <v>#VALUE!</v>
      </c>
      <c r="Z39" s="609"/>
      <c r="AA39" s="609"/>
    </row>
    <row r="40" spans="1:36">
      <c r="A40" s="548">
        <f t="shared" si="9"/>
        <v>28</v>
      </c>
      <c r="B40" s="306">
        <f>100*Results!C42</f>
        <v>2.1773023832715843</v>
      </c>
      <c r="C40" s="306">
        <f>100*Results!D42</f>
        <v>0.61918622781582666</v>
      </c>
      <c r="D40" s="306">
        <f>100*Results!E42</f>
        <v>1.0919031673084278</v>
      </c>
      <c r="E40" s="306">
        <f>100*Results!F42</f>
        <v>0.16410836636546744</v>
      </c>
      <c r="F40" s="306">
        <f>100*Results!G42</f>
        <v>2.045762636201931</v>
      </c>
      <c r="G40" s="306">
        <f>100*Results!H42</f>
        <v>0.32749608425728383</v>
      </c>
      <c r="H40" s="306">
        <f>100*Results!I42</f>
        <v>1.9597379977484231</v>
      </c>
      <c r="I40" s="306">
        <f>100*Results!J42</f>
        <v>2.3321994600703277</v>
      </c>
      <c r="L40" s="548">
        <f>'Swap and Yield Curves'!D62</f>
        <v>0.69399999999999995</v>
      </c>
      <c r="P40" s="548" t="str">
        <f>'Swap and Yield Curves'!D175</f>
        <v>#N/A N/A</v>
      </c>
      <c r="T40" s="609"/>
      <c r="U40" s="609">
        <f t="shared" si="2"/>
        <v>7.4813772184173288E-2</v>
      </c>
      <c r="V40" s="609"/>
      <c r="W40" s="609"/>
      <c r="X40" s="609"/>
      <c r="Y40" s="609" t="e">
        <f t="shared" si="6"/>
        <v>#VALUE!</v>
      </c>
      <c r="Z40" s="609"/>
      <c r="AA40" s="609"/>
    </row>
    <row r="41" spans="1:36">
      <c r="A41" s="548">
        <f t="shared" si="9"/>
        <v>29</v>
      </c>
      <c r="B41" s="306">
        <f>100*Results!C43</f>
        <v>2.1780484432521341</v>
      </c>
      <c r="C41" s="306">
        <f>100*Results!D43</f>
        <v>0.62180637798847638</v>
      </c>
      <c r="D41" s="306">
        <f>100*Results!E43</f>
        <v>1.0901833889614965</v>
      </c>
      <c r="E41" s="306">
        <f>100*Results!F43</f>
        <v>0.16455408417077599</v>
      </c>
      <c r="F41" s="306">
        <f>100*Results!G43</f>
        <v>2.0393183534742398</v>
      </c>
      <c r="G41" s="306">
        <f>100*Results!H43</f>
        <v>0.33654387314256962</v>
      </c>
      <c r="H41" s="306">
        <f>100*Results!I43</f>
        <v>1.9568100292426172</v>
      </c>
      <c r="I41" s="306">
        <f>100*Results!J43</f>
        <v>2.3502039196137359</v>
      </c>
      <c r="L41" s="548">
        <f>'Swap and Yield Curves'!D63</f>
        <v>0.69699999999999995</v>
      </c>
      <c r="P41" s="548" t="str">
        <f>'Swap and Yield Curves'!D176</f>
        <v>#N/A N/A</v>
      </c>
      <c r="T41" s="609"/>
      <c r="U41" s="609">
        <f t="shared" si="2"/>
        <v>7.5193622011523575E-2</v>
      </c>
      <c r="V41" s="609"/>
      <c r="W41" s="609"/>
      <c r="X41" s="609"/>
      <c r="Y41" s="609" t="e">
        <f t="shared" si="6"/>
        <v>#VALUE!</v>
      </c>
      <c r="Z41" s="609"/>
      <c r="AA41" s="609"/>
    </row>
    <row r="42" spans="1:36">
      <c r="A42" s="548">
        <f t="shared" si="9"/>
        <v>30</v>
      </c>
      <c r="B42" s="306">
        <f>100*Results!C44</f>
        <v>2.1779498739273428</v>
      </c>
      <c r="C42" s="306">
        <f>100*Results!D44</f>
        <v>0.61767922837796529</v>
      </c>
      <c r="D42" s="306">
        <f>100*Results!E44</f>
        <v>1.0862705538381201</v>
      </c>
      <c r="E42" s="306">
        <f>100*Results!F44</f>
        <v>0.16271215894156921</v>
      </c>
      <c r="F42" s="306">
        <f>100*Results!G44</f>
        <v>2.032624461531074</v>
      </c>
      <c r="G42" s="306">
        <f>100*Results!H44</f>
        <v>0.34513887177771707</v>
      </c>
      <c r="H42" s="306">
        <f>100*Results!I44</f>
        <v>1.9532945503835997</v>
      </c>
      <c r="I42" s="306">
        <f>100*Results!J44</f>
        <v>2.3709900478216861</v>
      </c>
      <c r="K42" s="548">
        <f>'Swap and Yield Curves'!D28</f>
        <v>2.2332999999999998</v>
      </c>
      <c r="L42" s="548">
        <f>'Swap and Yield Curves'!D64</f>
        <v>0.69410000000000005</v>
      </c>
      <c r="M42" s="548">
        <f>'Swap and Yield Curves'!D92</f>
        <v>1.1716200000000001</v>
      </c>
      <c r="N42" s="548">
        <f>'Swap and Yield Curves'!D120</f>
        <v>0.255</v>
      </c>
      <c r="O42" s="548">
        <f>'Swap and Yield Curves'!D141</f>
        <v>2.1040000000000001</v>
      </c>
      <c r="P42" s="548">
        <f>'Swap and Yield Curves'!D177</f>
        <v>0.43375000000000002</v>
      </c>
      <c r="Q42" s="548">
        <f>'Swap and Yield Curves'!D198</f>
        <v>1.9950000000000001</v>
      </c>
      <c r="T42" s="609">
        <f t="shared" si="1"/>
        <v>5.5350126072656991E-2</v>
      </c>
      <c r="U42" s="609">
        <f t="shared" si="2"/>
        <v>7.6420771622034755E-2</v>
      </c>
      <c r="V42" s="609">
        <f t="shared" si="3"/>
        <v>8.5349446161880005E-2</v>
      </c>
      <c r="W42" s="609">
        <f t="shared" si="4"/>
        <v>9.2287841058430797E-2</v>
      </c>
      <c r="X42" s="609">
        <f t="shared" si="5"/>
        <v>7.1375538468926081E-2</v>
      </c>
      <c r="Y42" s="609">
        <f t="shared" si="6"/>
        <v>8.8611128222282953E-2</v>
      </c>
      <c r="Z42" s="609">
        <f t="shared" si="7"/>
        <v>4.1705449616400436E-2</v>
      </c>
      <c r="AA42" s="609"/>
    </row>
    <row r="43" spans="1:36">
      <c r="B43" s="306"/>
      <c r="C43" s="306"/>
      <c r="D43" s="306"/>
      <c r="E43" s="306"/>
      <c r="F43" s="306"/>
      <c r="G43" s="306"/>
      <c r="H43" s="306"/>
      <c r="I43" s="306"/>
      <c r="T43" s="306"/>
      <c r="U43" s="306"/>
      <c r="V43" s="306"/>
      <c r="W43" s="306"/>
      <c r="X43" s="306"/>
      <c r="Y43" s="306"/>
      <c r="Z43" s="306"/>
      <c r="AA43" s="306"/>
    </row>
    <row r="44" spans="1:36">
      <c r="B44" s="306" t="s">
        <v>744</v>
      </c>
      <c r="C44" s="306"/>
      <c r="D44" s="306"/>
      <c r="E44" s="306"/>
      <c r="F44" s="306"/>
      <c r="G44" s="306"/>
      <c r="H44" s="306"/>
      <c r="I44" s="306"/>
      <c r="K44" s="548" t="s">
        <v>715</v>
      </c>
      <c r="T44" s="548" t="s">
        <v>512</v>
      </c>
      <c r="AC44" s="548" t="s">
        <v>716</v>
      </c>
    </row>
    <row r="45" spans="1:36">
      <c r="A45" s="548" t="s">
        <v>3</v>
      </c>
      <c r="B45" s="548" t="s">
        <v>126</v>
      </c>
      <c r="C45" s="548" t="s">
        <v>131</v>
      </c>
      <c r="D45" s="548" t="s">
        <v>132</v>
      </c>
      <c r="E45" s="548" t="s">
        <v>133</v>
      </c>
      <c r="F45" s="548" t="s">
        <v>134</v>
      </c>
      <c r="G45" s="548" t="s">
        <v>143</v>
      </c>
      <c r="H45" s="548" t="s">
        <v>135</v>
      </c>
      <c r="I45" s="548" t="s">
        <v>136</v>
      </c>
      <c r="K45" s="548" t="s">
        <v>126</v>
      </c>
      <c r="L45" s="548" t="s">
        <v>131</v>
      </c>
      <c r="M45" s="548" t="s">
        <v>132</v>
      </c>
      <c r="N45" s="548" t="s">
        <v>133</v>
      </c>
      <c r="O45" s="548" t="s">
        <v>134</v>
      </c>
      <c r="P45" s="548" t="s">
        <v>143</v>
      </c>
      <c r="Q45" s="548" t="s">
        <v>135</v>
      </c>
      <c r="R45" s="548" t="s">
        <v>136</v>
      </c>
      <c r="T45" s="548" t="s">
        <v>126</v>
      </c>
      <c r="U45" s="548" t="s">
        <v>131</v>
      </c>
      <c r="V45" s="548" t="s">
        <v>132</v>
      </c>
      <c r="W45" s="548" t="s">
        <v>133</v>
      </c>
      <c r="X45" s="548" t="s">
        <v>134</v>
      </c>
      <c r="Y45" s="548" t="s">
        <v>143</v>
      </c>
      <c r="Z45" s="548" t="s">
        <v>135</v>
      </c>
      <c r="AA45" s="548" t="s">
        <v>136</v>
      </c>
      <c r="AC45" s="548" t="s">
        <v>126</v>
      </c>
      <c r="AD45" s="548" t="s">
        <v>131</v>
      </c>
      <c r="AE45" s="548" t="s">
        <v>132</v>
      </c>
      <c r="AF45" s="548" t="s">
        <v>133</v>
      </c>
      <c r="AG45" s="548" t="s">
        <v>134</v>
      </c>
      <c r="AH45" s="548" t="s">
        <v>143</v>
      </c>
      <c r="AI45" s="548" t="s">
        <v>135</v>
      </c>
      <c r="AJ45" s="548" t="s">
        <v>136</v>
      </c>
    </row>
    <row r="46" spans="1:36">
      <c r="A46" s="548">
        <v>1</v>
      </c>
      <c r="B46" s="630">
        <f>100*0.0077</f>
        <v>0.77</v>
      </c>
      <c r="C46" s="548">
        <f>-100*0.00157</f>
        <v>-0.157</v>
      </c>
      <c r="D46" s="548">
        <f>100*0.00725</f>
        <v>0.72500000000000009</v>
      </c>
      <c r="E46" s="548">
        <f>-100*0.00795</f>
        <v>-0.79500000000000004</v>
      </c>
      <c r="F46" s="548">
        <f>100*0.00645</f>
        <v>0.64500000000000002</v>
      </c>
      <c r="G46" s="548">
        <f>100*0.00015</f>
        <v>1.4999999999999999E-2</v>
      </c>
      <c r="H46" s="548">
        <f>100*0.02043</f>
        <v>2.0430000000000001</v>
      </c>
      <c r="I46" s="548">
        <f>100*0.0243</f>
        <v>2.4299999999999997</v>
      </c>
      <c r="K46" s="608">
        <f>K13</f>
        <v>2.0425</v>
      </c>
      <c r="L46" s="608">
        <f t="shared" ref="L46:R46" si="10">L13</f>
        <v>-0.46210000000000001</v>
      </c>
      <c r="M46" s="608">
        <f t="shared" si="10"/>
        <v>0.8175</v>
      </c>
      <c r="N46" s="608">
        <f t="shared" si="10"/>
        <v>-0.85489999999999999</v>
      </c>
      <c r="O46" s="608">
        <f t="shared" si="10"/>
        <v>1.923</v>
      </c>
      <c r="P46" s="608">
        <f t="shared" si="10"/>
        <v>-6.3750000000000001E-2</v>
      </c>
      <c r="Q46" s="608">
        <f t="shared" si="10"/>
        <v>1.10917</v>
      </c>
      <c r="R46" s="608">
        <f t="shared" si="10"/>
        <v>1.4013</v>
      </c>
      <c r="T46" s="607">
        <f>K46-B46</f>
        <v>1.2725</v>
      </c>
      <c r="U46" s="607">
        <f t="shared" ref="U46:AA61" si="11">L46-C46</f>
        <v>-0.30510000000000004</v>
      </c>
      <c r="V46" s="607">
        <f t="shared" si="11"/>
        <v>9.2499999999999916E-2</v>
      </c>
      <c r="W46" s="607">
        <f t="shared" si="11"/>
        <v>-5.9899999999999953E-2</v>
      </c>
      <c r="X46" s="607">
        <f t="shared" si="11"/>
        <v>1.278</v>
      </c>
      <c r="Y46" s="607">
        <f t="shared" si="11"/>
        <v>-7.8750000000000001E-2</v>
      </c>
      <c r="Z46" s="607">
        <f t="shared" si="11"/>
        <v>-0.93383000000000016</v>
      </c>
      <c r="AA46" s="607">
        <f t="shared" si="11"/>
        <v>-1.0286999999999997</v>
      </c>
      <c r="AC46" s="306">
        <f>T13-T46</f>
        <v>-1.1829295053712461</v>
      </c>
      <c r="AD46" s="306">
        <f t="shared" ref="AD46:AJ61" si="12">U13-U46</f>
        <v>0.40456615483697905</v>
      </c>
      <c r="AE46" s="306">
        <f t="shared" si="12"/>
        <v>5.829233675594403E-3</v>
      </c>
      <c r="AF46" s="306">
        <f t="shared" si="12"/>
        <v>0.15807287288356919</v>
      </c>
      <c r="AG46" s="306">
        <f t="shared" si="12"/>
        <v>-1.1872448071752237</v>
      </c>
      <c r="AH46" s="306">
        <f t="shared" si="12"/>
        <v>0.17873983914076175</v>
      </c>
      <c r="AI46" s="306">
        <f t="shared" si="12"/>
        <v>1.0307543547932305</v>
      </c>
      <c r="AJ46" s="306">
        <f t="shared" si="12"/>
        <v>1.1237909712555485</v>
      </c>
    </row>
    <row r="47" spans="1:36">
      <c r="A47" s="548">
        <f>A46+1</f>
        <v>2</v>
      </c>
      <c r="B47" s="630">
        <f>100*0.01084</f>
        <v>1.0840000000000001</v>
      </c>
      <c r="C47" s="548">
        <f>-100*0.00129</f>
        <v>-0.129</v>
      </c>
      <c r="D47" s="548">
        <f>100*0.00978</f>
        <v>0.97800000000000009</v>
      </c>
      <c r="E47" s="548">
        <f>-100*0.00746</f>
        <v>-0.746</v>
      </c>
      <c r="F47" s="548">
        <f>100*0.00681</f>
        <v>0.68100000000000005</v>
      </c>
      <c r="G47" s="548">
        <f>100*0.00009</f>
        <v>9.0000000000000011E-3</v>
      </c>
      <c r="H47" s="548">
        <f>100*0.02008</f>
        <v>2.008</v>
      </c>
      <c r="I47" s="548">
        <f>100*0.02512</f>
        <v>2.512</v>
      </c>
      <c r="K47" s="608">
        <f t="shared" ref="K47:K75" si="13">K14</f>
        <v>1.8342000000000001</v>
      </c>
      <c r="L47" s="608">
        <f t="shared" ref="L47:R47" si="14">L14</f>
        <v>-0.48330000000000001</v>
      </c>
      <c r="M47" s="608">
        <f t="shared" si="14"/>
        <v>0.77444000000000002</v>
      </c>
      <c r="N47" s="608">
        <f t="shared" si="14"/>
        <v>-0.89</v>
      </c>
      <c r="O47" s="608">
        <f t="shared" si="14"/>
        <v>1.7907999999999999</v>
      </c>
      <c r="P47" s="608">
        <f t="shared" si="14"/>
        <v>-9.8750000000000004E-2</v>
      </c>
      <c r="Q47" s="608">
        <f t="shared" si="14"/>
        <v>1.0680499999999999</v>
      </c>
      <c r="R47" s="608">
        <f t="shared" si="14"/>
        <v>1.3325</v>
      </c>
      <c r="T47" s="607">
        <f t="shared" ref="T47:T75" si="15">K47-B47</f>
        <v>0.75019999999999998</v>
      </c>
      <c r="U47" s="607">
        <f t="shared" si="11"/>
        <v>-0.3543</v>
      </c>
      <c r="V47" s="607">
        <f t="shared" si="11"/>
        <v>-0.20356000000000007</v>
      </c>
      <c r="W47" s="607">
        <f t="shared" si="11"/>
        <v>-0.14400000000000002</v>
      </c>
      <c r="X47" s="607">
        <f t="shared" si="11"/>
        <v>1.1097999999999999</v>
      </c>
      <c r="Y47" s="607">
        <f t="shared" si="11"/>
        <v>-0.10775000000000001</v>
      </c>
      <c r="Z47" s="607">
        <f t="shared" si="11"/>
        <v>-0.93995000000000006</v>
      </c>
      <c r="AA47" s="607">
        <f t="shared" si="11"/>
        <v>-1.1795</v>
      </c>
      <c r="AC47" s="306">
        <f t="shared" ref="AC47:AC75" si="16">T14-T47</f>
        <v>-0.65667709456338086</v>
      </c>
      <c r="AD47" s="306">
        <f t="shared" si="12"/>
        <v>0.45366501163996009</v>
      </c>
      <c r="AE47" s="306">
        <f t="shared" si="12"/>
        <v>0.30222826038227468</v>
      </c>
      <c r="AF47" s="306">
        <f t="shared" si="12"/>
        <v>0.24186462823609034</v>
      </c>
      <c r="AG47" s="306">
        <f t="shared" si="12"/>
        <v>-1.016618948941959</v>
      </c>
      <c r="AH47" s="306">
        <f t="shared" si="12"/>
        <v>0.20770835674379307</v>
      </c>
      <c r="AI47" s="306">
        <f t="shared" si="12"/>
        <v>1.0373194562269719</v>
      </c>
      <c r="AJ47" s="306">
        <f t="shared" si="12"/>
        <v>1.2755236836775565</v>
      </c>
    </row>
    <row r="48" spans="1:36">
      <c r="A48" s="548">
        <f t="shared" ref="A48:A75" si="17">A47+1</f>
        <v>3</v>
      </c>
      <c r="B48" s="630">
        <f>100*0.01325</f>
        <v>1.325</v>
      </c>
      <c r="C48" s="548">
        <f>-100*0.00038</f>
        <v>-3.7999999999999999E-2</v>
      </c>
      <c r="D48" s="548">
        <f>100*0.01191</f>
        <v>1.1910000000000001</v>
      </c>
      <c r="E48" s="548">
        <f>-100*0.00666</f>
        <v>-0.66600000000000004</v>
      </c>
      <c r="F48" s="548">
        <f>100*0.00789</f>
        <v>0.78899999999999992</v>
      </c>
      <c r="G48" s="548">
        <f>100*0.00011</f>
        <v>1.1000000000000001E-2</v>
      </c>
      <c r="H48" s="548">
        <f>100*0.02059</f>
        <v>2.0590000000000002</v>
      </c>
      <c r="I48" s="548">
        <f>100*0.02655</f>
        <v>2.6550000000000002</v>
      </c>
      <c r="K48" s="608">
        <f t="shared" si="13"/>
        <v>1.7703</v>
      </c>
      <c r="L48" s="608">
        <f t="shared" ref="L48:R48" si="18">L15</f>
        <v>-0.45739999999999997</v>
      </c>
      <c r="M48" s="608">
        <f t="shared" si="18"/>
        <v>0.77569999999999995</v>
      </c>
      <c r="N48" s="608">
        <f t="shared" si="18"/>
        <v>-0.85499999999999998</v>
      </c>
      <c r="O48" s="608">
        <f t="shared" si="18"/>
        <v>1.7466999999999999</v>
      </c>
      <c r="P48" s="608">
        <f t="shared" si="18"/>
        <v>-0.115</v>
      </c>
      <c r="Q48" s="608">
        <f t="shared" si="18"/>
        <v>1.0890599999999999</v>
      </c>
      <c r="R48" s="608">
        <f t="shared" si="18"/>
        <v>1.3404</v>
      </c>
      <c r="T48" s="607">
        <f t="shared" si="15"/>
        <v>0.44530000000000003</v>
      </c>
      <c r="U48" s="607">
        <f t="shared" si="11"/>
        <v>-0.4194</v>
      </c>
      <c r="V48" s="607">
        <f t="shared" si="11"/>
        <v>-0.41530000000000011</v>
      </c>
      <c r="W48" s="607">
        <f t="shared" si="11"/>
        <v>-0.18899999999999995</v>
      </c>
      <c r="X48" s="607">
        <f t="shared" si="11"/>
        <v>0.9577</v>
      </c>
      <c r="Y48" s="607">
        <f t="shared" si="11"/>
        <v>-0.126</v>
      </c>
      <c r="Z48" s="607">
        <f t="shared" si="11"/>
        <v>-0.96994000000000025</v>
      </c>
      <c r="AA48" s="607">
        <f t="shared" si="11"/>
        <v>-1.3146000000000002</v>
      </c>
      <c r="AC48" s="306">
        <f t="shared" si="16"/>
        <v>-0.35074107203365412</v>
      </c>
      <c r="AD48" s="306">
        <f t="shared" si="12"/>
        <v>0.51896263948672439</v>
      </c>
      <c r="AE48" s="306">
        <f t="shared" si="12"/>
        <v>0.51389782284688956</v>
      </c>
      <c r="AF48" s="306">
        <f t="shared" si="12"/>
        <v>0.28736958243186217</v>
      </c>
      <c r="AG48" s="306">
        <f t="shared" si="12"/>
        <v>-0.86376463499797196</v>
      </c>
      <c r="AH48" s="306">
        <f t="shared" si="12"/>
        <v>0.22593487963420988</v>
      </c>
      <c r="AI48" s="306">
        <f t="shared" si="12"/>
        <v>1.0668938228766027</v>
      </c>
      <c r="AJ48" s="306">
        <f t="shared" si="12"/>
        <v>1.4103113529918483</v>
      </c>
    </row>
    <row r="49" spans="1:36">
      <c r="A49" s="548">
        <f t="shared" si="17"/>
        <v>4</v>
      </c>
      <c r="B49" s="630">
        <f>100*0.01503</f>
        <v>1.5029999999999999</v>
      </c>
      <c r="C49" s="548">
        <f>100*0.00096</f>
        <v>9.6000000000000002E-2</v>
      </c>
      <c r="D49" s="548">
        <f>100*0.01349</f>
        <v>1.349</v>
      </c>
      <c r="E49" s="548">
        <f>-100*0.00543</f>
        <v>-0.54300000000000004</v>
      </c>
      <c r="F49" s="548">
        <f>100*0.00909</f>
        <v>0.90900000000000003</v>
      </c>
      <c r="G49" s="548">
        <f>100*0.00033</f>
        <v>3.3000000000000002E-2</v>
      </c>
      <c r="H49" s="548">
        <f>100*0.02153</f>
        <v>2.153</v>
      </c>
      <c r="I49" s="548">
        <f>100*0.02812</f>
        <v>2.8119999999999998</v>
      </c>
      <c r="K49" s="608">
        <f t="shared" si="13"/>
        <v>1.7622</v>
      </c>
      <c r="L49" s="608">
        <f t="shared" ref="L49:R49" si="19">L16</f>
        <v>-0.40589999999999998</v>
      </c>
      <c r="M49" s="608">
        <f t="shared" si="19"/>
        <v>0.79469999999999996</v>
      </c>
      <c r="N49" s="608">
        <f t="shared" si="19"/>
        <v>-0.8</v>
      </c>
      <c r="O49" s="608">
        <f t="shared" si="19"/>
        <v>1.7273000000000001</v>
      </c>
      <c r="P49" s="608">
        <f t="shared" si="19"/>
        <v>-0.115</v>
      </c>
      <c r="Q49" s="608">
        <f t="shared" si="19"/>
        <v>1.141</v>
      </c>
      <c r="R49" s="608">
        <f t="shared" si="19"/>
        <v>1.3733</v>
      </c>
      <c r="T49" s="607">
        <f t="shared" si="15"/>
        <v>0.2592000000000001</v>
      </c>
      <c r="U49" s="607">
        <f t="shared" si="11"/>
        <v>-0.50190000000000001</v>
      </c>
      <c r="V49" s="607">
        <f t="shared" si="11"/>
        <v>-0.55430000000000001</v>
      </c>
      <c r="W49" s="607">
        <f t="shared" si="11"/>
        <v>-0.25700000000000001</v>
      </c>
      <c r="X49" s="607">
        <f t="shared" si="11"/>
        <v>0.81830000000000003</v>
      </c>
      <c r="Y49" s="607">
        <f t="shared" si="11"/>
        <v>-0.14800000000000002</v>
      </c>
      <c r="Z49" s="607">
        <f t="shared" si="11"/>
        <v>-1.012</v>
      </c>
      <c r="AA49" s="607">
        <f t="shared" si="11"/>
        <v>-1.4386999999999999</v>
      </c>
      <c r="AC49" s="306">
        <f t="shared" si="16"/>
        <v>-0.16495734075524404</v>
      </c>
      <c r="AD49" s="306">
        <f t="shared" si="12"/>
        <v>0.6018572614882296</v>
      </c>
      <c r="AE49" s="306">
        <f t="shared" si="12"/>
        <v>0.65257053413636501</v>
      </c>
      <c r="AF49" s="306">
        <f t="shared" si="12"/>
        <v>0.3561917299256635</v>
      </c>
      <c r="AG49" s="306">
        <f t="shared" si="12"/>
        <v>-0.72408589610213769</v>
      </c>
      <c r="AH49" s="306">
        <f t="shared" si="12"/>
        <v>0.24794289578558593</v>
      </c>
      <c r="AI49" s="306">
        <f t="shared" si="12"/>
        <v>1.1077773559386279</v>
      </c>
      <c r="AJ49" s="306">
        <f t="shared" si="12"/>
        <v>1.5334499754516027</v>
      </c>
    </row>
    <row r="50" spans="1:36">
      <c r="A50" s="548">
        <f t="shared" si="17"/>
        <v>5</v>
      </c>
      <c r="B50" s="630">
        <f>100*0.01656</f>
        <v>1.6559999999999999</v>
      </c>
      <c r="C50" s="548">
        <f>100*0.00232</f>
        <v>0.23200000000000001</v>
      </c>
      <c r="D50" s="548">
        <f>100*0.01482</f>
        <v>1.482</v>
      </c>
      <c r="E50" s="548">
        <f>-100*0.00407</f>
        <v>-0.40699999999999997</v>
      </c>
      <c r="F50" s="548">
        <f>100*0.01039</f>
        <v>1.0389999999999999</v>
      </c>
      <c r="G50" s="548">
        <f>100*0.00069</f>
        <v>6.8999999999999992E-2</v>
      </c>
      <c r="H50" s="548">
        <f>100*0.02304</f>
        <v>2.3040000000000003</v>
      </c>
      <c r="I50" s="548">
        <f>100*0.02964</f>
        <v>2.964</v>
      </c>
      <c r="K50" s="608">
        <f t="shared" si="13"/>
        <v>1.7834000000000001</v>
      </c>
      <c r="L50" s="608">
        <f t="shared" ref="L50:R50" si="20">L17</f>
        <v>-0.33589999999999998</v>
      </c>
      <c r="M50" s="608">
        <f t="shared" si="20"/>
        <v>0.82279999999999998</v>
      </c>
      <c r="N50" s="608">
        <f t="shared" si="20"/>
        <v>-0.72850000000000004</v>
      </c>
      <c r="O50" s="608">
        <f t="shared" si="20"/>
        <v>1.728</v>
      </c>
      <c r="P50" s="608">
        <f t="shared" si="20"/>
        <v>-0.10313</v>
      </c>
      <c r="Q50" s="608">
        <f t="shared" si="20"/>
        <v>1.206</v>
      </c>
      <c r="R50" s="608">
        <f t="shared" si="20"/>
        <v>1.4275</v>
      </c>
      <c r="T50" s="607">
        <f t="shared" si="15"/>
        <v>0.12740000000000018</v>
      </c>
      <c r="U50" s="607">
        <f t="shared" si="11"/>
        <v>-0.56789999999999996</v>
      </c>
      <c r="V50" s="607">
        <f t="shared" si="11"/>
        <v>-0.65920000000000001</v>
      </c>
      <c r="W50" s="607">
        <f t="shared" si="11"/>
        <v>-0.32150000000000006</v>
      </c>
      <c r="X50" s="607">
        <f t="shared" si="11"/>
        <v>0.68900000000000006</v>
      </c>
      <c r="Y50" s="607">
        <f t="shared" si="11"/>
        <v>-0.17213000000000001</v>
      </c>
      <c r="Z50" s="607">
        <f t="shared" si="11"/>
        <v>-1.0980000000000003</v>
      </c>
      <c r="AA50" s="607">
        <f t="shared" si="11"/>
        <v>-1.5365</v>
      </c>
      <c r="AC50" s="306">
        <f t="shared" si="16"/>
        <v>-3.4505749555959531E-2</v>
      </c>
      <c r="AD50" s="306">
        <f t="shared" si="12"/>
        <v>0.66833127396568437</v>
      </c>
      <c r="AE50" s="306">
        <f t="shared" si="12"/>
        <v>0.75691322226440483</v>
      </c>
      <c r="AF50" s="306">
        <f t="shared" si="12"/>
        <v>0.42178196105352633</v>
      </c>
      <c r="AG50" s="306">
        <f t="shared" si="12"/>
        <v>-0.5951508845795439</v>
      </c>
      <c r="AH50" s="306">
        <f t="shared" si="12"/>
        <v>0.27211059656547004</v>
      </c>
      <c r="AI50" s="306">
        <f t="shared" si="12"/>
        <v>1.1919394384995172</v>
      </c>
      <c r="AJ50" s="306">
        <f t="shared" si="12"/>
        <v>1.6293711386330734</v>
      </c>
    </row>
    <row r="51" spans="1:36">
      <c r="A51" s="548">
        <f t="shared" si="17"/>
        <v>6</v>
      </c>
      <c r="B51" s="630">
        <f>100*0.0177</f>
        <v>1.77</v>
      </c>
      <c r="C51" s="548">
        <f>100*0.00381</f>
        <v>0.38100000000000001</v>
      </c>
      <c r="D51" s="548">
        <f>100*0.01597</f>
        <v>1.5970000000000002</v>
      </c>
      <c r="E51" s="548">
        <f>-100*0.0027</f>
        <v>-0.27</v>
      </c>
      <c r="F51" s="548">
        <f>100*0.01185</f>
        <v>1.1850000000000001</v>
      </c>
      <c r="G51" s="548">
        <f>100*0.0011</f>
        <v>0.11</v>
      </c>
      <c r="H51" s="548">
        <f>100*0.02407</f>
        <v>2.407</v>
      </c>
      <c r="I51" s="548">
        <f>100*0.03102</f>
        <v>3.1019999999999999</v>
      </c>
      <c r="K51" s="608">
        <f t="shared" si="13"/>
        <v>1.8206</v>
      </c>
      <c r="L51" s="608">
        <f t="shared" ref="L51:R51" si="21">L18</f>
        <v>-0.25530000000000003</v>
      </c>
      <c r="M51" s="608">
        <f t="shared" si="21"/>
        <v>0.85335000000000005</v>
      </c>
      <c r="N51" s="608">
        <f t="shared" si="21"/>
        <v>-0.65</v>
      </c>
      <c r="O51" s="608">
        <f t="shared" si="21"/>
        <v>1.7454000000000001</v>
      </c>
      <c r="P51" s="608">
        <f t="shared" si="21"/>
        <v>-8.5000000000000006E-2</v>
      </c>
      <c r="Q51" s="608">
        <f t="shared" si="21"/>
        <v>1.2809999999999999</v>
      </c>
      <c r="R51" s="608">
        <f t="shared" si="21"/>
        <v>1.4972000000000001</v>
      </c>
      <c r="T51" s="607">
        <f t="shared" si="15"/>
        <v>5.0599999999999978E-2</v>
      </c>
      <c r="U51" s="607">
        <f t="shared" si="11"/>
        <v>-0.63630000000000009</v>
      </c>
      <c r="V51" s="607">
        <f t="shared" si="11"/>
        <v>-0.74365000000000014</v>
      </c>
      <c r="W51" s="607">
        <f t="shared" si="11"/>
        <v>-0.38</v>
      </c>
      <c r="X51" s="607">
        <f t="shared" si="11"/>
        <v>0.56040000000000001</v>
      </c>
      <c r="Y51" s="607">
        <f t="shared" si="11"/>
        <v>-0.19500000000000001</v>
      </c>
      <c r="Z51" s="607">
        <f t="shared" si="11"/>
        <v>-1.1260000000000001</v>
      </c>
      <c r="AA51" s="607">
        <f t="shared" si="11"/>
        <v>-1.6047999999999998</v>
      </c>
      <c r="AC51" s="306">
        <f t="shared" si="16"/>
        <v>4.0074367055038085E-2</v>
      </c>
      <c r="AD51" s="306">
        <f t="shared" si="12"/>
        <v>0.73710368822719396</v>
      </c>
      <c r="AE51" s="306">
        <f t="shared" si="12"/>
        <v>0.84065096752532109</v>
      </c>
      <c r="AF51" s="306">
        <f t="shared" si="12"/>
        <v>0.48140621577792775</v>
      </c>
      <c r="AG51" s="306">
        <f t="shared" si="12"/>
        <v>-0.46769644662191512</v>
      </c>
      <c r="AH51" s="306">
        <f t="shared" si="12"/>
        <v>0.29502535120539231</v>
      </c>
      <c r="AI51" s="306">
        <f t="shared" si="12"/>
        <v>1.2172701834905117</v>
      </c>
      <c r="AJ51" s="306">
        <f t="shared" si="12"/>
        <v>1.6947139360109893</v>
      </c>
    </row>
    <row r="52" spans="1:36">
      <c r="A52" s="548">
        <f t="shared" si="17"/>
        <v>7</v>
      </c>
      <c r="B52" s="630">
        <f>100*0.0188</f>
        <v>1.8800000000000001</v>
      </c>
      <c r="C52" s="548">
        <f>100*0.00526</f>
        <v>0.52600000000000002</v>
      </c>
      <c r="D52" s="548">
        <f>100*0.017</f>
        <v>1.7000000000000002</v>
      </c>
      <c r="E52" s="548">
        <f>-100*0.00143</f>
        <v>-0.14300000000000002</v>
      </c>
      <c r="F52" s="548">
        <f>100*0.01336</f>
        <v>1.3360000000000001</v>
      </c>
      <c r="G52" s="548">
        <f>100*0.00158</f>
        <v>0.158</v>
      </c>
      <c r="H52" s="548">
        <f>100*0.02534</f>
        <v>2.5340000000000003</v>
      </c>
      <c r="I52" s="548">
        <f>100*0.03222</f>
        <v>3.222</v>
      </c>
      <c r="K52" s="608">
        <f t="shared" si="13"/>
        <v>1.8601000000000001</v>
      </c>
      <c r="L52" s="608">
        <f t="shared" ref="L52:R52" si="22">L19</f>
        <v>-0.1711</v>
      </c>
      <c r="M52" s="608">
        <f t="shared" si="22"/>
        <v>0.88536000000000004</v>
      </c>
      <c r="N52" s="608">
        <f t="shared" si="22"/>
        <v>-0.56000000000000005</v>
      </c>
      <c r="O52" s="608">
        <f t="shared" si="22"/>
        <v>1.7704</v>
      </c>
      <c r="P52" s="608">
        <f t="shared" si="22"/>
        <v>-6.003E-2</v>
      </c>
      <c r="Q52" s="608">
        <f t="shared" si="22"/>
        <v>1.36</v>
      </c>
      <c r="R52" s="608">
        <f t="shared" si="22"/>
        <v>1.5725</v>
      </c>
      <c r="T52" s="607">
        <f t="shared" si="15"/>
        <v>-1.9900000000000029E-2</v>
      </c>
      <c r="U52" s="607">
        <f t="shared" si="11"/>
        <v>-0.69710000000000005</v>
      </c>
      <c r="V52" s="607">
        <f t="shared" si="11"/>
        <v>-0.81464000000000014</v>
      </c>
      <c r="W52" s="607">
        <f t="shared" si="11"/>
        <v>-0.41700000000000004</v>
      </c>
      <c r="X52" s="607">
        <f t="shared" si="11"/>
        <v>0.4343999999999999</v>
      </c>
      <c r="Y52" s="607">
        <f t="shared" si="11"/>
        <v>-0.21803</v>
      </c>
      <c r="Z52" s="607">
        <f t="shared" si="11"/>
        <v>-1.1740000000000002</v>
      </c>
      <c r="AA52" s="607">
        <f t="shared" si="11"/>
        <v>-1.6495</v>
      </c>
      <c r="AC52" s="306">
        <f t="shared" si="16"/>
        <v>0.10802891626849509</v>
      </c>
      <c r="AD52" s="306">
        <f t="shared" si="12"/>
        <v>0.79801678563585354</v>
      </c>
      <c r="AE52" s="306">
        <f t="shared" si="12"/>
        <v>0.9107604659289823</v>
      </c>
      <c r="AF52" s="306">
        <f t="shared" si="12"/>
        <v>0.51954105886845992</v>
      </c>
      <c r="AG52" s="306">
        <f t="shared" si="12"/>
        <v>-0.34334435719161438</v>
      </c>
      <c r="AH52" s="306">
        <f t="shared" si="12"/>
        <v>0.31809224738916531</v>
      </c>
      <c r="AI52" s="306">
        <f t="shared" si="12"/>
        <v>1.2618019030714662</v>
      </c>
      <c r="AJ52" s="306">
        <f t="shared" si="12"/>
        <v>1.7355624824124312</v>
      </c>
    </row>
    <row r="53" spans="1:36">
      <c r="A53" s="548">
        <f t="shared" si="17"/>
        <v>8</v>
      </c>
      <c r="B53" s="630">
        <f>100*0.01976</f>
        <v>1.976</v>
      </c>
      <c r="C53" s="548">
        <f>100*0.00667</f>
        <v>0.66699999999999993</v>
      </c>
      <c r="D53" s="548">
        <f>100*0.01783</f>
        <v>1.7829999999999999</v>
      </c>
      <c r="E53" s="548">
        <f>-100*0.0003</f>
        <v>-0.03</v>
      </c>
      <c r="F53" s="548">
        <f>100*0.01491</f>
        <v>1.4909999999999999</v>
      </c>
      <c r="G53" s="548">
        <f>100*0.00211</f>
        <v>0.21099999999999999</v>
      </c>
      <c r="H53" s="548">
        <f>100*0.02633</f>
        <v>2.633</v>
      </c>
      <c r="I53" s="548">
        <f>100*0.03325</f>
        <v>3.3250000000000002</v>
      </c>
      <c r="K53" s="608">
        <f t="shared" si="13"/>
        <v>1.9027000000000001</v>
      </c>
      <c r="L53" s="608">
        <f t="shared" ref="L53:R53" si="23">L20</f>
        <v>-8.2900000000000001E-2</v>
      </c>
      <c r="M53" s="608">
        <f t="shared" si="23"/>
        <v>0.91739999999999999</v>
      </c>
      <c r="N53" s="608">
        <f t="shared" si="23"/>
        <v>-0.47499999999999998</v>
      </c>
      <c r="O53" s="608">
        <f t="shared" si="23"/>
        <v>1.8003</v>
      </c>
      <c r="P53" s="608">
        <f t="shared" si="23"/>
        <v>-3.125E-2</v>
      </c>
      <c r="Q53" s="608">
        <f t="shared" si="23"/>
        <v>1.4359999999999999</v>
      </c>
      <c r="R53" s="608">
        <f t="shared" si="23"/>
        <v>1.6465000000000001</v>
      </c>
      <c r="T53" s="607">
        <f t="shared" si="15"/>
        <v>-7.3299999999999921E-2</v>
      </c>
      <c r="U53" s="607">
        <f t="shared" si="11"/>
        <v>-0.7498999999999999</v>
      </c>
      <c r="V53" s="607">
        <f t="shared" si="11"/>
        <v>-0.86559999999999993</v>
      </c>
      <c r="W53" s="607">
        <f t="shared" si="11"/>
        <v>-0.44499999999999995</v>
      </c>
      <c r="X53" s="607">
        <f t="shared" si="11"/>
        <v>0.30930000000000013</v>
      </c>
      <c r="Y53" s="607">
        <f t="shared" si="11"/>
        <v>-0.24224999999999999</v>
      </c>
      <c r="Z53" s="607">
        <f t="shared" si="11"/>
        <v>-1.1970000000000001</v>
      </c>
      <c r="AA53" s="607">
        <f t="shared" si="11"/>
        <v>-1.6785000000000001</v>
      </c>
      <c r="AC53" s="306">
        <f t="shared" si="16"/>
        <v>0.15836138362821384</v>
      </c>
      <c r="AD53" s="306">
        <f t="shared" si="12"/>
        <v>0.85056152175590383</v>
      </c>
      <c r="AE53" s="306">
        <f t="shared" si="12"/>
        <v>0.96069440515569182</v>
      </c>
      <c r="AF53" s="306">
        <f t="shared" si="12"/>
        <v>0.54831890770936309</v>
      </c>
      <c r="AG53" s="306">
        <f t="shared" si="12"/>
        <v>-0.22037362142648198</v>
      </c>
      <c r="AH53" s="306">
        <f t="shared" si="12"/>
        <v>0.34231157047810978</v>
      </c>
      <c r="AI53" s="306">
        <f t="shared" si="12"/>
        <v>1.2808175692105941</v>
      </c>
      <c r="AJ53" s="306">
        <f t="shared" si="12"/>
        <v>1.7600981802060822</v>
      </c>
    </row>
    <row r="54" spans="1:36">
      <c r="A54" s="548">
        <f t="shared" si="17"/>
        <v>9</v>
      </c>
      <c r="B54" s="630">
        <f>100*0.02058</f>
        <v>2.0580000000000003</v>
      </c>
      <c r="C54" s="548">
        <f>100*0.00801</f>
        <v>0.80099999999999993</v>
      </c>
      <c r="D54" s="548">
        <f>100*0.01858</f>
        <v>1.8579999999999999</v>
      </c>
      <c r="E54" s="548">
        <f>100*0.00071</f>
        <v>7.1000000000000008E-2</v>
      </c>
      <c r="F54" s="548">
        <f>100*0.01644</f>
        <v>1.6439999999999999</v>
      </c>
      <c r="G54" s="548">
        <f>100*0.00267</f>
        <v>0.26700000000000002</v>
      </c>
      <c r="H54" s="548">
        <f>100*0.02741</f>
        <v>2.7410000000000001</v>
      </c>
      <c r="I54" s="548">
        <f>100*0.03411</f>
        <v>3.411</v>
      </c>
      <c r="K54" s="608">
        <f t="shared" si="13"/>
        <v>1.9437</v>
      </c>
      <c r="L54" s="608">
        <f t="shared" ref="L54:R54" si="24">L21</f>
        <v>4.4999999999999997E-3</v>
      </c>
      <c r="M54" s="608">
        <f t="shared" si="24"/>
        <v>0.94918999999999998</v>
      </c>
      <c r="N54" s="608">
        <f t="shared" si="24"/>
        <v>-0.39</v>
      </c>
      <c r="O54" s="608">
        <f t="shared" si="24"/>
        <v>1.8327</v>
      </c>
      <c r="P54" s="608">
        <f t="shared" si="24"/>
        <v>1.25E-3</v>
      </c>
      <c r="Q54" s="608">
        <f t="shared" si="24"/>
        <v>1.5049999999999999</v>
      </c>
      <c r="R54" s="608">
        <f t="shared" si="24"/>
        <v>1.7163999999999999</v>
      </c>
      <c r="T54" s="607">
        <f t="shared" si="15"/>
        <v>-0.11430000000000029</v>
      </c>
      <c r="U54" s="607">
        <f t="shared" si="11"/>
        <v>-0.79649999999999999</v>
      </c>
      <c r="V54" s="607">
        <f t="shared" si="11"/>
        <v>-0.9088099999999999</v>
      </c>
      <c r="W54" s="607">
        <f t="shared" si="11"/>
        <v>-0.46100000000000002</v>
      </c>
      <c r="X54" s="607">
        <f t="shared" si="11"/>
        <v>0.18870000000000009</v>
      </c>
      <c r="Y54" s="607">
        <f t="shared" si="11"/>
        <v>-0.26575000000000004</v>
      </c>
      <c r="Z54" s="607">
        <f t="shared" si="11"/>
        <v>-1.2360000000000002</v>
      </c>
      <c r="AA54" s="607">
        <f t="shared" si="11"/>
        <v>-1.6946000000000001</v>
      </c>
      <c r="AC54" s="306">
        <f t="shared" si="16"/>
        <v>0.19609579600725224</v>
      </c>
      <c r="AD54" s="306">
        <f t="shared" si="12"/>
        <v>0.89645115236918582</v>
      </c>
      <c r="AE54" s="306">
        <f t="shared" si="12"/>
        <v>1.002728907378754</v>
      </c>
      <c r="AF54" s="306">
        <f t="shared" si="12"/>
        <v>0.56478931330635862</v>
      </c>
      <c r="AG54" s="306">
        <f t="shared" si="12"/>
        <v>-0.10231102340037102</v>
      </c>
      <c r="AH54" s="306">
        <f t="shared" si="12"/>
        <v>0.36574608793886132</v>
      </c>
      <c r="AI54" s="306">
        <f t="shared" si="12"/>
        <v>1.3156322138356225</v>
      </c>
      <c r="AJ54" s="306">
        <f t="shared" si="12"/>
        <v>1.7713148938369199</v>
      </c>
    </row>
    <row r="55" spans="1:36">
      <c r="A55" s="548">
        <f t="shared" si="17"/>
        <v>10</v>
      </c>
      <c r="B55" s="630">
        <f>100*0.02151</f>
        <v>2.1510000000000002</v>
      </c>
      <c r="C55" s="548">
        <f>100*0.00921</f>
        <v>0.92099999999999993</v>
      </c>
      <c r="D55" s="548">
        <f>100*0.01917</f>
        <v>1.917</v>
      </c>
      <c r="E55" s="548">
        <f>100*0.00159</f>
        <v>0.159</v>
      </c>
      <c r="F55" s="548">
        <f>100*0.01778</f>
        <v>1.778</v>
      </c>
      <c r="G55" s="548">
        <f>100*0.00325</f>
        <v>0.32500000000000001</v>
      </c>
      <c r="H55" s="548">
        <f>100*0.02831</f>
        <v>2.831</v>
      </c>
      <c r="I55" s="548">
        <f>100*0.03485</f>
        <v>3.4849999999999999</v>
      </c>
      <c r="K55" s="608">
        <f t="shared" si="13"/>
        <v>1.9833000000000001</v>
      </c>
      <c r="L55" s="608">
        <f t="shared" ref="L55:R55" si="25">L22</f>
        <v>8.7900000000000006E-2</v>
      </c>
      <c r="M55" s="608">
        <f t="shared" si="25"/>
        <v>0.97960000000000003</v>
      </c>
      <c r="N55" s="608">
        <f t="shared" si="25"/>
        <v>-0.31</v>
      </c>
      <c r="O55" s="608">
        <f t="shared" si="25"/>
        <v>1.8654999999999999</v>
      </c>
      <c r="P55" s="608">
        <f t="shared" si="25"/>
        <v>3.5000000000000003E-2</v>
      </c>
      <c r="Q55" s="608">
        <f t="shared" si="25"/>
        <v>1.5674999999999999</v>
      </c>
      <c r="R55" s="608">
        <f t="shared" si="25"/>
        <v>1.7825</v>
      </c>
      <c r="T55" s="607">
        <f t="shared" si="15"/>
        <v>-0.16770000000000018</v>
      </c>
      <c r="U55" s="607">
        <f t="shared" si="11"/>
        <v>-0.83309999999999995</v>
      </c>
      <c r="V55" s="607">
        <f t="shared" si="11"/>
        <v>-0.93740000000000001</v>
      </c>
      <c r="W55" s="607">
        <f t="shared" si="11"/>
        <v>-0.46899999999999997</v>
      </c>
      <c r="X55" s="607">
        <f t="shared" si="11"/>
        <v>8.7499999999999911E-2</v>
      </c>
      <c r="Y55" s="607">
        <f t="shared" si="11"/>
        <v>-0.29000000000000004</v>
      </c>
      <c r="Z55" s="607">
        <f t="shared" si="11"/>
        <v>-1.2635000000000001</v>
      </c>
      <c r="AA55" s="607">
        <f t="shared" si="11"/>
        <v>-1.7024999999999999</v>
      </c>
      <c r="AC55" s="306">
        <f t="shared" si="16"/>
        <v>0.24599635731633329</v>
      </c>
      <c r="AD55" s="306">
        <f t="shared" si="12"/>
        <v>0.93188364855283956</v>
      </c>
      <c r="AE55" s="306">
        <f t="shared" si="12"/>
        <v>1.0300452336628221</v>
      </c>
      <c r="AF55" s="306">
        <f t="shared" si="12"/>
        <v>0.57287418588588745</v>
      </c>
      <c r="AG55" s="306">
        <f t="shared" si="12"/>
        <v>-3.9343778962881437E-3</v>
      </c>
      <c r="AH55" s="306">
        <f t="shared" si="12"/>
        <v>0.38984479259832872</v>
      </c>
      <c r="AI55" s="306">
        <f t="shared" si="12"/>
        <v>1.3388137979158441</v>
      </c>
      <c r="AJ55" s="306">
        <f t="shared" si="12"/>
        <v>1.7739149719484488</v>
      </c>
    </row>
    <row r="56" spans="1:36">
      <c r="A56" s="548">
        <f t="shared" si="17"/>
        <v>11</v>
      </c>
      <c r="B56" s="630">
        <f>100*0.02191</f>
        <v>2.1909999999999998</v>
      </c>
      <c r="C56" s="548">
        <f>100*0.01026</f>
        <v>1.026</v>
      </c>
      <c r="D56" s="548">
        <f>100*0.01968</f>
        <v>1.968</v>
      </c>
      <c r="E56" s="548">
        <f>100*0.00227</f>
        <v>0.22699999999999998</v>
      </c>
      <c r="F56" s="548">
        <f>100*0.01904</f>
        <v>1.9040000000000001</v>
      </c>
      <c r="G56" s="548">
        <f>100*0.00388</f>
        <v>0.38800000000000001</v>
      </c>
      <c r="H56" s="548">
        <f>100*0.029</f>
        <v>2.9000000000000004</v>
      </c>
      <c r="I56" s="548">
        <f>100*0.03557</f>
        <v>3.5569999999999999</v>
      </c>
      <c r="K56" s="608">
        <f t="shared" si="13"/>
        <v>2.0223</v>
      </c>
      <c r="L56" s="608">
        <f t="shared" ref="L56:P56" si="26">L23</f>
        <v>0.16700000000000001</v>
      </c>
      <c r="M56" s="608">
        <f t="shared" si="26"/>
        <v>1.0084599999999999</v>
      </c>
      <c r="N56" s="608">
        <f t="shared" si="26"/>
        <v>-0.23</v>
      </c>
      <c r="O56" s="608">
        <f t="shared" si="26"/>
        <v>0</v>
      </c>
      <c r="P56" s="608">
        <f t="shared" si="26"/>
        <v>6.8750000000000006E-2</v>
      </c>
      <c r="Q56" s="608"/>
      <c r="R56" s="608"/>
      <c r="T56" s="607">
        <f t="shared" si="15"/>
        <v>-0.16869999999999985</v>
      </c>
      <c r="U56" s="607">
        <f t="shared" si="11"/>
        <v>-0.85899999999999999</v>
      </c>
      <c r="V56" s="607">
        <f t="shared" si="11"/>
        <v>-0.95954000000000006</v>
      </c>
      <c r="W56" s="607">
        <f t="shared" si="11"/>
        <v>-0.45699999999999996</v>
      </c>
      <c r="X56" s="607"/>
      <c r="Y56" s="607">
        <f t="shared" si="11"/>
        <v>-0.31925000000000003</v>
      </c>
      <c r="Z56" s="607"/>
      <c r="AA56" s="607"/>
      <c r="AC56" s="306">
        <f t="shared" si="16"/>
        <v>0.24315417281245555</v>
      </c>
      <c r="AD56" s="306">
        <f t="shared" si="12"/>
        <v>0.95617741066554385</v>
      </c>
      <c r="AE56" s="306">
        <f t="shared" si="12"/>
        <v>1.050830345112427</v>
      </c>
      <c r="AF56" s="306">
        <f t="shared" si="12"/>
        <v>0.56058266656327016</v>
      </c>
      <c r="AG56" s="306"/>
      <c r="AH56" s="306">
        <f t="shared" si="12"/>
        <v>0.41884899418003274</v>
      </c>
      <c r="AI56" s="306"/>
      <c r="AJ56" s="306"/>
    </row>
    <row r="57" spans="1:36">
      <c r="A57" s="548">
        <f t="shared" si="17"/>
        <v>12</v>
      </c>
      <c r="B57" s="630">
        <f>100*0.02257</f>
        <v>2.2570000000000001</v>
      </c>
      <c r="C57" s="548">
        <f>100*0.0112</f>
        <v>1.1199999999999999</v>
      </c>
      <c r="D57" s="548">
        <f>100*0.02013</f>
        <v>2.0129999999999999</v>
      </c>
      <c r="E57" s="548">
        <f>100*0.00317</f>
        <v>0.317</v>
      </c>
      <c r="F57" s="548">
        <f>100*0.02019</f>
        <v>2.0190000000000001</v>
      </c>
      <c r="G57" s="548">
        <f>100*0.00453</f>
        <v>0.45300000000000001</v>
      </c>
      <c r="H57" s="548">
        <f>100*0.0296</f>
        <v>2.96</v>
      </c>
      <c r="I57" s="548">
        <f>100*0.03626</f>
        <v>3.6259999999999999</v>
      </c>
      <c r="K57" s="608">
        <f t="shared" si="13"/>
        <v>2.0550000000000002</v>
      </c>
      <c r="L57" s="608">
        <f t="shared" ref="L57:R57" si="27">L24</f>
        <v>0.24110000000000001</v>
      </c>
      <c r="M57" s="608">
        <f t="shared" si="27"/>
        <v>1.0346500000000001</v>
      </c>
      <c r="N57" s="608">
        <f t="shared" si="27"/>
        <v>-0.1525</v>
      </c>
      <c r="O57" s="608">
        <f t="shared" si="27"/>
        <v>1.9419</v>
      </c>
      <c r="P57" s="608">
        <f t="shared" si="27"/>
        <v>0.10125000000000001</v>
      </c>
      <c r="Q57" s="608">
        <f t="shared" si="27"/>
        <v>1.6850000000000001</v>
      </c>
      <c r="R57" s="608">
        <f t="shared" si="27"/>
        <v>1.905</v>
      </c>
      <c r="T57" s="607">
        <f t="shared" si="15"/>
        <v>-0.20199999999999996</v>
      </c>
      <c r="U57" s="607">
        <f t="shared" si="11"/>
        <v>-0.8788999999999999</v>
      </c>
      <c r="V57" s="607">
        <f t="shared" si="11"/>
        <v>-0.97834999999999983</v>
      </c>
      <c r="W57" s="607">
        <f t="shared" si="11"/>
        <v>-0.46950000000000003</v>
      </c>
      <c r="X57" s="607">
        <f t="shared" si="11"/>
        <v>-7.7100000000000168E-2</v>
      </c>
      <c r="Y57" s="607">
        <f t="shared" si="11"/>
        <v>-0.35175000000000001</v>
      </c>
      <c r="Z57" s="607">
        <f t="shared" si="11"/>
        <v>-1.2749999999999999</v>
      </c>
      <c r="AA57" s="607">
        <f t="shared" si="11"/>
        <v>-1.7209999999999999</v>
      </c>
      <c r="AC57" s="306">
        <f t="shared" si="16"/>
        <v>0.27307616029239812</v>
      </c>
      <c r="AD57" s="306">
        <f t="shared" si="12"/>
        <v>0.97408219022933173</v>
      </c>
      <c r="AE57" s="306">
        <f t="shared" si="12"/>
        <v>1.0682970213078642</v>
      </c>
      <c r="AF57" s="306">
        <f t="shared" si="12"/>
        <v>0.57236931185422557</v>
      </c>
      <c r="AG57" s="306">
        <f t="shared" si="12"/>
        <v>0.15278811105859536</v>
      </c>
      <c r="AH57" s="306">
        <f t="shared" si="12"/>
        <v>0.45101487578057203</v>
      </c>
      <c r="AI57" s="306">
        <f t="shared" si="12"/>
        <v>1.3403090553578396</v>
      </c>
      <c r="AJ57" s="306">
        <f t="shared" si="12"/>
        <v>1.7804868120880708</v>
      </c>
    </row>
    <row r="58" spans="1:36">
      <c r="A58" s="548">
        <f t="shared" si="17"/>
        <v>13</v>
      </c>
      <c r="B58" s="630">
        <f>100*0.02312</f>
        <v>2.3120000000000003</v>
      </c>
      <c r="C58" s="548">
        <f>100*0.01208</f>
        <v>1.208</v>
      </c>
      <c r="D58" s="548">
        <f>100*0.02049</f>
        <v>2.0489999999999999</v>
      </c>
      <c r="E58" s="548">
        <f>100*0.00372</f>
        <v>0.372</v>
      </c>
      <c r="F58" s="548">
        <f>100*0.02116</f>
        <v>2.1160000000000001</v>
      </c>
      <c r="G58" s="548">
        <f>100*0.00523</f>
        <v>0.52300000000000002</v>
      </c>
      <c r="H58" s="548">
        <f>100*0.03019</f>
        <v>3.0190000000000001</v>
      </c>
      <c r="I58" s="548">
        <f>100*0.03689</f>
        <v>3.6890000000000001</v>
      </c>
      <c r="K58" s="608">
        <f t="shared" si="13"/>
        <v>2.0830000000000002</v>
      </c>
      <c r="L58" s="608">
        <f t="shared" ref="L58:P58" si="28">L25</f>
        <v>0.3135</v>
      </c>
      <c r="M58" s="608">
        <f t="shared" si="28"/>
        <v>1.0565</v>
      </c>
      <c r="N58" s="608" t="str">
        <f t="shared" si="28"/>
        <v>#N/A N/A</v>
      </c>
      <c r="O58" s="608"/>
      <c r="P58" s="608">
        <f t="shared" si="28"/>
        <v>0.13250000000000001</v>
      </c>
      <c r="Q58" s="608"/>
      <c r="R58" s="608"/>
      <c r="T58" s="607">
        <f t="shared" si="15"/>
        <v>-0.22900000000000009</v>
      </c>
      <c r="U58" s="607">
        <f t="shared" si="11"/>
        <v>-0.89449999999999996</v>
      </c>
      <c r="V58" s="607">
        <f t="shared" si="11"/>
        <v>-0.99249999999999994</v>
      </c>
      <c r="W58" s="607" t="e">
        <f t="shared" si="11"/>
        <v>#VALUE!</v>
      </c>
      <c r="X58" s="607"/>
      <c r="Y58" s="607">
        <f t="shared" si="11"/>
        <v>-0.39050000000000001</v>
      </c>
      <c r="Z58" s="607"/>
      <c r="AA58" s="607"/>
      <c r="AC58" s="306">
        <f t="shared" si="16"/>
        <v>0.29704809431740653</v>
      </c>
      <c r="AD58" s="306">
        <f t="shared" si="12"/>
        <v>0.98720504752546545</v>
      </c>
      <c r="AE58" s="306">
        <f t="shared" si="12"/>
        <v>1.0812816315905907</v>
      </c>
      <c r="AF58" s="306" t="e">
        <f t="shared" si="12"/>
        <v>#VALUE!</v>
      </c>
      <c r="AG58" s="306"/>
      <c r="AH58" s="306">
        <f t="shared" si="12"/>
        <v>0.48934521794030006</v>
      </c>
      <c r="AI58" s="306"/>
      <c r="AJ58" s="306"/>
    </row>
    <row r="59" spans="1:36">
      <c r="A59" s="548">
        <f t="shared" si="17"/>
        <v>14</v>
      </c>
      <c r="B59" s="630">
        <f>100*0.02356</f>
        <v>2.3560000000000003</v>
      </c>
      <c r="C59" s="548">
        <f>100*0.01284</f>
        <v>1.284</v>
      </c>
      <c r="D59" s="548">
        <f>100*0.02078</f>
        <v>2.0779999999999998</v>
      </c>
      <c r="E59" s="548">
        <f>100*0.00408</f>
        <v>0.40800000000000003</v>
      </c>
      <c r="F59" s="548">
        <f>100*0.02199</f>
        <v>2.1989999999999998</v>
      </c>
      <c r="G59" s="548">
        <f>100*0.00593</f>
        <v>0.59300000000000008</v>
      </c>
      <c r="H59" s="548">
        <f>100*0.03075</f>
        <v>3.0750000000000002</v>
      </c>
      <c r="I59" s="548">
        <f>100*0.03745</f>
        <v>3.7449999999999997</v>
      </c>
      <c r="K59" s="608">
        <f t="shared" si="13"/>
        <v>2.1080000000000001</v>
      </c>
      <c r="L59" s="608">
        <f t="shared" ref="L59:P59" si="29">L26</f>
        <v>0.37090000000000001</v>
      </c>
      <c r="M59" s="608">
        <f t="shared" si="29"/>
        <v>1.0775999999999999</v>
      </c>
      <c r="N59" s="608" t="str">
        <f t="shared" si="29"/>
        <v>#N/A N/A</v>
      </c>
      <c r="O59" s="608"/>
      <c r="P59" s="608">
        <f t="shared" si="29"/>
        <v>0.16500000000000001</v>
      </c>
      <c r="Q59" s="608"/>
      <c r="R59" s="608"/>
      <c r="T59" s="607">
        <f t="shared" si="15"/>
        <v>-0.24800000000000022</v>
      </c>
      <c r="U59" s="607">
        <f t="shared" si="11"/>
        <v>-0.91310000000000002</v>
      </c>
      <c r="V59" s="607">
        <f t="shared" si="11"/>
        <v>-1.0004</v>
      </c>
      <c r="W59" s="607" t="e">
        <f t="shared" si="11"/>
        <v>#VALUE!</v>
      </c>
      <c r="X59" s="607"/>
      <c r="Y59" s="607">
        <f t="shared" si="11"/>
        <v>-0.42800000000000005</v>
      </c>
      <c r="Z59" s="607"/>
      <c r="AA59" s="607"/>
      <c r="AC59" s="306">
        <f t="shared" si="16"/>
        <v>0.31317877916434478</v>
      </c>
      <c r="AD59" s="306">
        <f t="shared" si="12"/>
        <v>1.0035335337892175</v>
      </c>
      <c r="AE59" s="306">
        <f t="shared" si="12"/>
        <v>1.0879309517226576</v>
      </c>
      <c r="AF59" s="306" t="e">
        <f t="shared" si="12"/>
        <v>#VALUE!</v>
      </c>
      <c r="AG59" s="306"/>
      <c r="AH59" s="306">
        <f t="shared" si="12"/>
        <v>0.5262894611894452</v>
      </c>
      <c r="AI59" s="306"/>
      <c r="AJ59" s="306"/>
    </row>
    <row r="60" spans="1:36">
      <c r="A60" s="548">
        <f t="shared" si="17"/>
        <v>15</v>
      </c>
      <c r="B60" s="630">
        <f>100*0.02388</f>
        <v>2.3879999999999999</v>
      </c>
      <c r="C60" s="548">
        <f>100*0.01344</f>
        <v>1.3440000000000001</v>
      </c>
      <c r="D60" s="548">
        <f>100*0.02099</f>
        <v>2.0990000000000002</v>
      </c>
      <c r="E60" s="548">
        <f>100*0.00481</f>
        <v>0.48099999999999998</v>
      </c>
      <c r="F60" s="548">
        <f>100*0.02269</f>
        <v>2.2689999999999997</v>
      </c>
      <c r="G60" s="548">
        <f>100*0.00659</f>
        <v>0.65900000000000003</v>
      </c>
      <c r="H60" s="548">
        <f>100*0.03124</f>
        <v>3.1240000000000001</v>
      </c>
      <c r="I60" s="548">
        <f>100*0.03793</f>
        <v>3.7929999999999997</v>
      </c>
      <c r="K60" s="608">
        <f t="shared" si="13"/>
        <v>2.1284999999999998</v>
      </c>
      <c r="L60" s="608">
        <f t="shared" ref="L60:R60" si="30">L27</f>
        <v>0.42599999999999999</v>
      </c>
      <c r="M60" s="608">
        <f t="shared" si="30"/>
        <v>1.09511</v>
      </c>
      <c r="N60" s="608">
        <f t="shared" si="30"/>
        <v>1.7500000000000002E-2</v>
      </c>
      <c r="O60" s="608">
        <f t="shared" si="30"/>
        <v>2.0369999999999999</v>
      </c>
      <c r="P60" s="608">
        <f t="shared" si="30"/>
        <v>0.19625000000000001</v>
      </c>
      <c r="Q60" s="608">
        <f t="shared" si="30"/>
        <v>1.8214999999999999</v>
      </c>
      <c r="R60" s="608">
        <f t="shared" si="30"/>
        <v>2.0425</v>
      </c>
      <c r="T60" s="607">
        <f t="shared" si="15"/>
        <v>-0.25950000000000006</v>
      </c>
      <c r="U60" s="607">
        <f t="shared" si="11"/>
        <v>-0.91800000000000015</v>
      </c>
      <c r="V60" s="607">
        <f t="shared" si="11"/>
        <v>-1.0038900000000002</v>
      </c>
      <c r="W60" s="607">
        <f t="shared" si="11"/>
        <v>-0.46349999999999997</v>
      </c>
      <c r="X60" s="607">
        <f t="shared" si="11"/>
        <v>-0.23199999999999976</v>
      </c>
      <c r="Y60" s="607">
        <f t="shared" si="11"/>
        <v>-0.46274999999999999</v>
      </c>
      <c r="Z60" s="607">
        <f t="shared" si="11"/>
        <v>-1.3025000000000002</v>
      </c>
      <c r="AA60" s="607">
        <f t="shared" si="11"/>
        <v>-1.7504999999999997</v>
      </c>
      <c r="AC60" s="306">
        <f t="shared" si="16"/>
        <v>0.32233086471421402</v>
      </c>
      <c r="AD60" s="306">
        <f t="shared" si="12"/>
        <v>1.0058887875229121</v>
      </c>
      <c r="AE60" s="306">
        <f t="shared" si="12"/>
        <v>1.0903709350996653</v>
      </c>
      <c r="AF60" s="306">
        <f t="shared" si="12"/>
        <v>0.56304106196406656</v>
      </c>
      <c r="AG60" s="306">
        <f t="shared" si="12"/>
        <v>0.29584651366619896</v>
      </c>
      <c r="AH60" s="306">
        <f t="shared" si="12"/>
        <v>0.56038721893919718</v>
      </c>
      <c r="AI60" s="306">
        <f t="shared" si="12"/>
        <v>1.3531459901259324</v>
      </c>
      <c r="AJ60" s="306">
        <f t="shared" si="12"/>
        <v>1.7934536869322204</v>
      </c>
    </row>
    <row r="61" spans="1:36">
      <c r="A61" s="548">
        <f t="shared" si="17"/>
        <v>16</v>
      </c>
      <c r="B61" s="630">
        <f>100*0.02418</f>
        <v>2.4180000000000001</v>
      </c>
      <c r="C61" s="548">
        <f>100*0.01388</f>
        <v>1.3879999999999999</v>
      </c>
      <c r="D61" s="548">
        <f>100*0.02115</f>
        <v>2.1149999999999998</v>
      </c>
      <c r="E61" s="548">
        <f>100*0.00545</f>
        <v>0.54500000000000004</v>
      </c>
      <c r="F61" s="548">
        <f>100*0.02328</f>
        <v>2.3279999999999998</v>
      </c>
      <c r="G61" s="548">
        <f>100*0.00725</f>
        <v>0.72500000000000009</v>
      </c>
      <c r="H61" s="548">
        <f>100*0.03165</f>
        <v>3.1649999999999996</v>
      </c>
      <c r="I61" s="548">
        <f>100*0.03833</f>
        <v>3.8330000000000002</v>
      </c>
      <c r="K61" s="608">
        <f t="shared" si="13"/>
        <v>2.1475</v>
      </c>
      <c r="L61" s="608">
        <f t="shared" ref="L61:P61" si="31">L28</f>
        <v>0.47399999999999998</v>
      </c>
      <c r="M61" s="608">
        <f t="shared" si="31"/>
        <v>1.1099000000000001</v>
      </c>
      <c r="N61" s="608" t="str">
        <f t="shared" si="31"/>
        <v>#N/A N/A</v>
      </c>
      <c r="O61" s="608"/>
      <c r="P61" s="608">
        <f t="shared" si="31"/>
        <v>0.21024999999999999</v>
      </c>
      <c r="Q61" s="608"/>
      <c r="R61" s="608"/>
      <c r="T61" s="607">
        <f t="shared" si="15"/>
        <v>-0.27050000000000018</v>
      </c>
      <c r="U61" s="607">
        <f t="shared" si="11"/>
        <v>-0.91399999999999992</v>
      </c>
      <c r="V61" s="607">
        <f t="shared" si="11"/>
        <v>-1.0050999999999997</v>
      </c>
      <c r="W61" s="607" t="e">
        <f t="shared" si="11"/>
        <v>#VALUE!</v>
      </c>
      <c r="X61" s="607"/>
      <c r="Y61" s="607">
        <f t="shared" si="11"/>
        <v>-0.51475000000000004</v>
      </c>
      <c r="Z61" s="607"/>
      <c r="AA61" s="607"/>
      <c r="AC61" s="306">
        <f t="shared" si="16"/>
        <v>0.33098682584201899</v>
      </c>
      <c r="AD61" s="306">
        <f t="shared" si="12"/>
        <v>0.99942218671739091</v>
      </c>
      <c r="AE61" s="306">
        <f t="shared" si="12"/>
        <v>1.0906880452505425</v>
      </c>
      <c r="AF61" s="306" t="e">
        <f t="shared" si="12"/>
        <v>#VALUE!</v>
      </c>
      <c r="AG61" s="306"/>
      <c r="AH61" s="306">
        <f t="shared" si="12"/>
        <v>0.61213430185149909</v>
      </c>
      <c r="AI61" s="306"/>
      <c r="AJ61" s="306"/>
    </row>
    <row r="62" spans="1:36">
      <c r="A62" s="548">
        <f t="shared" si="17"/>
        <v>17</v>
      </c>
      <c r="B62" s="630">
        <f>100*0.02446</f>
        <v>2.4459999999999997</v>
      </c>
      <c r="C62" s="548">
        <f>100*0.01422</f>
        <v>1.4219999999999999</v>
      </c>
      <c r="D62" s="548">
        <f>100*0.02125</f>
        <v>2.125</v>
      </c>
      <c r="E62" s="548">
        <f>100*0.00591</f>
        <v>0.59100000000000008</v>
      </c>
      <c r="F62" s="548">
        <f>100*0.02375</f>
        <v>2.375</v>
      </c>
      <c r="G62" s="548">
        <f>100*0.00786</f>
        <v>0.78600000000000003</v>
      </c>
      <c r="H62" s="548">
        <f>100*0.03199</f>
        <v>3.1989999999999998</v>
      </c>
      <c r="I62" s="548">
        <f>100*0.03868</f>
        <v>3.8679999999999999</v>
      </c>
      <c r="K62" s="608">
        <f t="shared" si="13"/>
        <v>2.1638000000000002</v>
      </c>
      <c r="L62" s="608">
        <f t="shared" ref="L62:P62" si="32">L29</f>
        <v>0.51600000000000001</v>
      </c>
      <c r="M62" s="608">
        <f t="shared" si="32"/>
        <v>1.1225000000000001</v>
      </c>
      <c r="N62" s="608" t="str">
        <f t="shared" si="32"/>
        <v>#N/A N/A</v>
      </c>
      <c r="O62" s="608"/>
      <c r="P62" s="608">
        <f t="shared" si="32"/>
        <v>0.23549999999999999</v>
      </c>
      <c r="Q62" s="608"/>
      <c r="R62" s="608"/>
      <c r="T62" s="607">
        <f t="shared" si="15"/>
        <v>-0.28219999999999956</v>
      </c>
      <c r="U62" s="607">
        <f t="shared" ref="U62:U75" si="33">L62-C62</f>
        <v>-0.90599999999999992</v>
      </c>
      <c r="V62" s="607">
        <f t="shared" ref="V62:V75" si="34">M62-D62</f>
        <v>-1.0024999999999999</v>
      </c>
      <c r="W62" s="607" t="e">
        <f t="shared" ref="W62:W75" si="35">N62-E62</f>
        <v>#VALUE!</v>
      </c>
      <c r="X62" s="607"/>
      <c r="Y62" s="607">
        <f t="shared" ref="Y62:Y75" si="36">P62-G62</f>
        <v>-0.55049999999999999</v>
      </c>
      <c r="Z62" s="607"/>
      <c r="AA62" s="607"/>
      <c r="AC62" s="306">
        <f t="shared" si="16"/>
        <v>0.34065948850100103</v>
      </c>
      <c r="AD62" s="306">
        <f t="shared" ref="AD62:AD75" si="37">U29-U62</f>
        <v>0.98907260506050254</v>
      </c>
      <c r="AE62" s="306">
        <f t="shared" ref="AE62:AE75" si="38">V29-V62</f>
        <v>1.0873286558169113</v>
      </c>
      <c r="AF62" s="306" t="e">
        <f t="shared" ref="AF62:AF75" si="39">W29-W62</f>
        <v>#VALUE!</v>
      </c>
      <c r="AG62" s="306"/>
      <c r="AH62" s="306">
        <f t="shared" ref="AH62:AH75" si="40">Y29-Y62</f>
        <v>0.64332514140941433</v>
      </c>
      <c r="AI62" s="306"/>
      <c r="AJ62" s="306"/>
    </row>
    <row r="63" spans="1:36">
      <c r="A63" s="548">
        <f t="shared" si="17"/>
        <v>18</v>
      </c>
      <c r="B63" s="630">
        <f>100*0.02472</f>
        <v>2.472</v>
      </c>
      <c r="C63" s="548">
        <f>100*0.01454</f>
        <v>1.4540000000000002</v>
      </c>
      <c r="D63" s="548">
        <f>100*0.0213</f>
        <v>2.13</v>
      </c>
      <c r="E63" s="548">
        <f>100*0.00624</f>
        <v>0.624</v>
      </c>
      <c r="F63" s="548">
        <f>100*0.02412</f>
        <v>2.4119999999999999</v>
      </c>
      <c r="G63" s="548">
        <f>100*0.00843</f>
        <v>0.84299999999999997</v>
      </c>
      <c r="H63" s="548">
        <f>100*0.03229</f>
        <v>3.2290000000000001</v>
      </c>
      <c r="I63" s="548">
        <f>100*0.03897</f>
        <v>3.8969999999999998</v>
      </c>
      <c r="K63" s="608">
        <f t="shared" si="13"/>
        <v>2.1764999999999999</v>
      </c>
      <c r="L63" s="608">
        <f t="shared" ref="L63:P63" si="41">L30</f>
        <v>0.55149999999999999</v>
      </c>
      <c r="M63" s="608">
        <f t="shared" si="41"/>
        <v>1.1335</v>
      </c>
      <c r="N63" s="608" t="str">
        <f t="shared" si="41"/>
        <v>#N/A N/A</v>
      </c>
      <c r="O63" s="608"/>
      <c r="P63" s="608">
        <f t="shared" si="41"/>
        <v>0.26874999999999999</v>
      </c>
      <c r="Q63" s="608"/>
      <c r="R63" s="608"/>
      <c r="T63" s="607">
        <f t="shared" si="15"/>
        <v>-0.2955000000000001</v>
      </c>
      <c r="U63" s="607">
        <f t="shared" si="33"/>
        <v>-0.90250000000000019</v>
      </c>
      <c r="V63" s="607">
        <f t="shared" si="34"/>
        <v>-0.99649999999999994</v>
      </c>
      <c r="W63" s="607" t="e">
        <f t="shared" si="35"/>
        <v>#VALUE!</v>
      </c>
      <c r="X63" s="607"/>
      <c r="Y63" s="607">
        <f t="shared" si="36"/>
        <v>-0.57424999999999993</v>
      </c>
      <c r="Z63" s="607"/>
      <c r="AA63" s="607"/>
      <c r="AC63" s="306">
        <f t="shared" si="16"/>
        <v>0.35254036800222233</v>
      </c>
      <c r="AD63" s="306">
        <f t="shared" si="37"/>
        <v>0.98348585662311239</v>
      </c>
      <c r="AE63" s="306">
        <f t="shared" si="38"/>
        <v>1.0806603595384336</v>
      </c>
      <c r="AF63" s="306" t="e">
        <f t="shared" si="39"/>
        <v>#VALUE!</v>
      </c>
      <c r="AG63" s="306"/>
      <c r="AH63" s="306">
        <f t="shared" si="40"/>
        <v>0.66990544049830358</v>
      </c>
      <c r="AI63" s="306"/>
      <c r="AJ63" s="306"/>
    </row>
    <row r="64" spans="1:36">
      <c r="A64" s="548">
        <f t="shared" si="17"/>
        <v>19</v>
      </c>
      <c r="B64" s="630">
        <f>100*0.02496</f>
        <v>2.496</v>
      </c>
      <c r="C64" s="548">
        <f>100*0.01488</f>
        <v>1.488</v>
      </c>
      <c r="D64" s="548">
        <f>100*0.02133</f>
        <v>2.133</v>
      </c>
      <c r="E64" s="548">
        <f>100*0.00649</f>
        <v>0.64900000000000002</v>
      </c>
      <c r="F64" s="548">
        <f>100*0.02437</f>
        <v>2.4369999999999998</v>
      </c>
      <c r="G64" s="548">
        <f>100*0.00895</f>
        <v>0.89500000000000002</v>
      </c>
      <c r="H64" s="548">
        <f>100*0.03255</f>
        <v>3.2550000000000003</v>
      </c>
      <c r="I64" s="548">
        <f>100*0.03923</f>
        <v>3.923</v>
      </c>
      <c r="K64" s="608">
        <f t="shared" si="13"/>
        <v>2.1875</v>
      </c>
      <c r="L64" s="608">
        <f t="shared" ref="L64:P64" si="42">L31</f>
        <v>0.58150000000000002</v>
      </c>
      <c r="M64" s="608">
        <f t="shared" si="42"/>
        <v>1.1433</v>
      </c>
      <c r="N64" s="608" t="str">
        <f t="shared" si="42"/>
        <v>#N/A N/A</v>
      </c>
      <c r="O64" s="608"/>
      <c r="P64" s="608">
        <f t="shared" si="42"/>
        <v>0.27975</v>
      </c>
      <c r="Q64" s="608"/>
      <c r="R64" s="608"/>
      <c r="T64" s="607">
        <f t="shared" si="15"/>
        <v>-0.3085</v>
      </c>
      <c r="U64" s="607">
        <f t="shared" si="33"/>
        <v>-0.90649999999999997</v>
      </c>
      <c r="V64" s="607">
        <f t="shared" si="34"/>
        <v>-0.98970000000000002</v>
      </c>
      <c r="W64" s="607" t="e">
        <f t="shared" si="35"/>
        <v>#VALUE!</v>
      </c>
      <c r="X64" s="607"/>
      <c r="Y64" s="607">
        <f t="shared" si="36"/>
        <v>-0.61525000000000007</v>
      </c>
      <c r="Z64" s="607"/>
      <c r="AA64" s="607"/>
      <c r="AC64" s="306">
        <f t="shared" si="16"/>
        <v>0.36432825542832736</v>
      </c>
      <c r="AD64" s="306">
        <f t="shared" si="37"/>
        <v>0.98567431396097094</v>
      </c>
      <c r="AE64" s="306">
        <f t="shared" si="38"/>
        <v>1.073253341728579</v>
      </c>
      <c r="AF64" s="306" t="e">
        <f t="shared" si="39"/>
        <v>#VALUE!</v>
      </c>
      <c r="AG64" s="306"/>
      <c r="AH64" s="306">
        <f t="shared" si="40"/>
        <v>0.7106568715285575</v>
      </c>
      <c r="AI64" s="306"/>
      <c r="AJ64" s="306"/>
    </row>
    <row r="65" spans="1:36">
      <c r="A65" s="548">
        <f t="shared" si="17"/>
        <v>20</v>
      </c>
      <c r="B65" s="630">
        <f>100*0.02517</f>
        <v>2.5170000000000003</v>
      </c>
      <c r="C65" s="548">
        <f>100*0.01527</f>
        <v>1.5270000000000001</v>
      </c>
      <c r="D65" s="548">
        <f>100*0.02126</f>
        <v>2.1260000000000003</v>
      </c>
      <c r="E65" s="548">
        <f>100*0.00668</f>
        <v>0.66800000000000004</v>
      </c>
      <c r="F65" s="548">
        <f>100*0.02451</f>
        <v>2.4510000000000001</v>
      </c>
      <c r="G65" s="548">
        <f>100*0.0094</f>
        <v>0.94000000000000006</v>
      </c>
      <c r="H65" s="548">
        <f>100*0.03279</f>
        <v>3.2789999999999999</v>
      </c>
      <c r="I65" s="548">
        <f>100*0.03945</f>
        <v>3.9449999999999998</v>
      </c>
      <c r="K65" s="608">
        <f t="shared" si="13"/>
        <v>2.1972999999999998</v>
      </c>
      <c r="L65" s="608">
        <f t="shared" ref="L65:R65" si="43">L32</f>
        <v>0.60489999999999999</v>
      </c>
      <c r="M65" s="608">
        <f t="shared" si="43"/>
        <v>1.15062</v>
      </c>
      <c r="N65" s="608">
        <f t="shared" si="43"/>
        <v>0.18</v>
      </c>
      <c r="O65" s="608">
        <f t="shared" si="43"/>
        <v>2.1263999999999998</v>
      </c>
      <c r="P65" s="608">
        <f t="shared" si="43"/>
        <v>0.3175</v>
      </c>
      <c r="Q65" s="608">
        <f t="shared" si="43"/>
        <v>1.94</v>
      </c>
      <c r="R65" s="608">
        <f t="shared" si="43"/>
        <v>2.2025000000000001</v>
      </c>
      <c r="T65" s="607">
        <f t="shared" si="15"/>
        <v>-0.31970000000000054</v>
      </c>
      <c r="U65" s="607">
        <f t="shared" si="33"/>
        <v>-0.92210000000000014</v>
      </c>
      <c r="V65" s="607">
        <f t="shared" si="34"/>
        <v>-0.97538000000000036</v>
      </c>
      <c r="W65" s="607">
        <f t="shared" si="35"/>
        <v>-0.48800000000000004</v>
      </c>
      <c r="X65" s="607">
        <f t="shared" ref="X65:X75" si="44">O65-F65</f>
        <v>-0.32460000000000022</v>
      </c>
      <c r="Y65" s="607">
        <f t="shared" si="36"/>
        <v>-0.62250000000000005</v>
      </c>
      <c r="Z65" s="607">
        <f t="shared" ref="Z65:Z75" si="45">Q65-H65</f>
        <v>-1.339</v>
      </c>
      <c r="AA65" s="607">
        <f t="shared" ref="AA65" si="46">R65-I65</f>
        <v>-1.7424999999999997</v>
      </c>
      <c r="AC65" s="306">
        <f t="shared" si="16"/>
        <v>0.37443316830224393</v>
      </c>
      <c r="AD65" s="306">
        <f t="shared" si="37"/>
        <v>0.99993551338152198</v>
      </c>
      <c r="AE65" s="306">
        <f t="shared" si="38"/>
        <v>1.0585829191362253</v>
      </c>
      <c r="AF65" s="306">
        <f t="shared" si="39"/>
        <v>0.58197484312865011</v>
      </c>
      <c r="AG65" s="306">
        <f t="shared" ref="AG65:AG75" si="47">X32-X65</f>
        <v>0.37585294655532975</v>
      </c>
      <c r="AH65" s="306">
        <f t="shared" si="40"/>
        <v>0.71630235691883348</v>
      </c>
      <c r="AI65" s="306">
        <f t="shared" ref="AI65:AI75" si="48">Z32-Z65</f>
        <v>1.3757514459748723</v>
      </c>
      <c r="AJ65" s="306">
        <f t="shared" ref="AJ65" si="49">AA32-AA65</f>
        <v>1.7597185852970667</v>
      </c>
    </row>
    <row r="66" spans="1:36">
      <c r="A66" s="548">
        <f t="shared" si="17"/>
        <v>21</v>
      </c>
      <c r="B66" s="630">
        <f>100*0.02535</f>
        <v>2.5350000000000001</v>
      </c>
      <c r="C66" s="548">
        <f>100*0.01574</f>
        <v>1.5740000000000001</v>
      </c>
      <c r="D66" s="548">
        <f>100*0.02117</f>
        <v>2.117</v>
      </c>
      <c r="E66" s="548">
        <f>100*0.00684</f>
        <v>0.68399999999999994</v>
      </c>
      <c r="F66" s="548">
        <f>100*0.02454</f>
        <v>2.4539999999999997</v>
      </c>
      <c r="G66" s="548">
        <f>100*0.0098</f>
        <v>0.98</v>
      </c>
      <c r="H66" s="548">
        <f>100*0.03301</f>
        <v>3.3009999999999997</v>
      </c>
      <c r="I66" s="548">
        <f>100*0.03964</f>
        <v>3.964</v>
      </c>
      <c r="K66" s="608"/>
      <c r="L66" s="608">
        <f t="shared" ref="L66:P66" si="50">L33</f>
        <v>0.62709999999999999</v>
      </c>
      <c r="M66" s="608"/>
      <c r="N66" s="608"/>
      <c r="O66" s="608"/>
      <c r="P66" s="608" t="str">
        <f t="shared" si="50"/>
        <v>#N/A N/A</v>
      </c>
      <c r="Q66" s="608"/>
      <c r="R66" s="608"/>
      <c r="T66" s="607"/>
      <c r="U66" s="607">
        <f t="shared" si="33"/>
        <v>-0.94690000000000007</v>
      </c>
      <c r="V66" s="607"/>
      <c r="W66" s="607"/>
      <c r="X66" s="607"/>
      <c r="Y66" s="607" t="e">
        <f t="shared" si="36"/>
        <v>#VALUE!</v>
      </c>
      <c r="Z66" s="607"/>
      <c r="AA66" s="607"/>
      <c r="AC66" s="306"/>
      <c r="AD66" s="306">
        <f t="shared" si="37"/>
        <v>1.0233703705232824</v>
      </c>
      <c r="AE66" s="306"/>
      <c r="AF66" s="306">
        <f t="shared" si="39"/>
        <v>0</v>
      </c>
      <c r="AG66" s="306"/>
      <c r="AH66" s="306" t="e">
        <f t="shared" si="40"/>
        <v>#VALUE!</v>
      </c>
      <c r="AI66" s="306"/>
      <c r="AJ66" s="306"/>
    </row>
    <row r="67" spans="1:36">
      <c r="A67" s="548">
        <f t="shared" si="17"/>
        <v>22</v>
      </c>
      <c r="B67" s="630">
        <f>100*0.0255</f>
        <v>2.5499999999999998</v>
      </c>
      <c r="C67" s="548">
        <f>100*0.01627</f>
        <v>1.627</v>
      </c>
      <c r="D67" s="548">
        <f>100*0.02108</f>
        <v>2.1080000000000001</v>
      </c>
      <c r="E67" s="548">
        <f>100*0.007</f>
        <v>0.70000000000000007</v>
      </c>
      <c r="F67" s="548">
        <f>100*0.02452</f>
        <v>2.452</v>
      </c>
      <c r="G67" s="548">
        <f>100*0.01015</f>
        <v>1.0149999999999999</v>
      </c>
      <c r="H67" s="548">
        <f>100*0.03319</f>
        <v>3.319</v>
      </c>
      <c r="I67" s="548">
        <f>100*0.03982</f>
        <v>3.9820000000000002</v>
      </c>
      <c r="K67" s="608"/>
      <c r="L67" s="608">
        <f t="shared" ref="L67:P67" si="51">L34</f>
        <v>0.64700000000000002</v>
      </c>
      <c r="M67" s="608"/>
      <c r="N67" s="608"/>
      <c r="O67" s="608"/>
      <c r="P67" s="608" t="str">
        <f t="shared" si="51"/>
        <v>#N/A N/A</v>
      </c>
      <c r="Q67" s="608"/>
      <c r="R67" s="608"/>
      <c r="T67" s="607"/>
      <c r="U67" s="607">
        <f t="shared" si="33"/>
        <v>-0.98</v>
      </c>
      <c r="V67" s="607"/>
      <c r="W67" s="607"/>
      <c r="X67" s="607"/>
      <c r="Y67" s="607" t="e">
        <f t="shared" si="36"/>
        <v>#VALUE!</v>
      </c>
      <c r="Z67" s="607"/>
      <c r="AA67" s="607"/>
      <c r="AC67" s="306"/>
      <c r="AD67" s="306">
        <f t="shared" si="37"/>
        <v>1.0552201862425774</v>
      </c>
      <c r="AE67" s="306"/>
      <c r="AF67" s="306">
        <f t="shared" si="39"/>
        <v>0</v>
      </c>
      <c r="AG67" s="306"/>
      <c r="AH67" s="306" t="e">
        <f t="shared" si="40"/>
        <v>#VALUE!</v>
      </c>
      <c r="AI67" s="306"/>
      <c r="AJ67" s="306"/>
    </row>
    <row r="68" spans="1:36">
      <c r="A68" s="548">
        <f t="shared" si="17"/>
        <v>23</v>
      </c>
      <c r="B68" s="630">
        <f>100*0.02563</f>
        <v>2.5630000000000002</v>
      </c>
      <c r="C68" s="548">
        <f>100*0.01683</f>
        <v>1.6830000000000001</v>
      </c>
      <c r="D68" s="548">
        <f>100*0.021</f>
        <v>2.1</v>
      </c>
      <c r="E68" s="548">
        <f>100*0.00717</f>
        <v>0.71699999999999997</v>
      </c>
      <c r="F68" s="548">
        <f>100*0.02449</f>
        <v>2.4490000000000003</v>
      </c>
      <c r="G68" s="548">
        <f>100*0.01046</f>
        <v>1.046</v>
      </c>
      <c r="H68" s="548">
        <f>100*0.03332</f>
        <v>3.3320000000000003</v>
      </c>
      <c r="I68" s="548">
        <f>100*0.03997</f>
        <v>3.9969999999999999</v>
      </c>
      <c r="K68" s="608"/>
      <c r="L68" s="608">
        <f t="shared" ref="L68:P68" si="52">L35</f>
        <v>0.66</v>
      </c>
      <c r="M68" s="608"/>
      <c r="N68" s="608"/>
      <c r="O68" s="608"/>
      <c r="P68" s="608" t="str">
        <f t="shared" si="52"/>
        <v>#N/A N/A</v>
      </c>
      <c r="Q68" s="608"/>
      <c r="R68" s="608"/>
      <c r="T68" s="607"/>
      <c r="U68" s="607">
        <f t="shared" si="33"/>
        <v>-1.0230000000000001</v>
      </c>
      <c r="V68" s="607"/>
      <c r="W68" s="607"/>
      <c r="X68" s="607"/>
      <c r="Y68" s="607" t="e">
        <f t="shared" si="36"/>
        <v>#VALUE!</v>
      </c>
      <c r="Z68" s="607"/>
      <c r="AA68" s="607"/>
      <c r="AC68" s="306"/>
      <c r="AD68" s="306">
        <f t="shared" si="37"/>
        <v>1.09768176710373</v>
      </c>
      <c r="AE68" s="306"/>
      <c r="AF68" s="306">
        <f t="shared" si="39"/>
        <v>0</v>
      </c>
      <c r="AG68" s="306"/>
      <c r="AH68" s="306" t="e">
        <f t="shared" si="40"/>
        <v>#VALUE!</v>
      </c>
      <c r="AI68" s="306"/>
      <c r="AJ68" s="306"/>
    </row>
    <row r="69" spans="1:36">
      <c r="A69" s="548">
        <f t="shared" si="17"/>
        <v>24</v>
      </c>
      <c r="B69" s="630">
        <f>100*0.02573</f>
        <v>2.573</v>
      </c>
      <c r="C69" s="548">
        <f>100*0.01741</f>
        <v>1.7409999999999999</v>
      </c>
      <c r="D69" s="548">
        <f>100*0.02093</f>
        <v>2.093</v>
      </c>
      <c r="E69" s="548">
        <f>100*0.00739</f>
        <v>0.73899999999999999</v>
      </c>
      <c r="F69" s="548">
        <f>100*0.02449</f>
        <v>2.4490000000000003</v>
      </c>
      <c r="G69" s="548">
        <f>100*0.01071</f>
        <v>1.0710000000000002</v>
      </c>
      <c r="H69" s="548">
        <f>100*0.03339</f>
        <v>3.3390000000000004</v>
      </c>
      <c r="I69" s="548">
        <f>100*0.04011</f>
        <v>4.0110000000000001</v>
      </c>
      <c r="K69" s="608"/>
      <c r="L69" s="608">
        <f t="shared" ref="L69:P69" si="53">L36</f>
        <v>0.67</v>
      </c>
      <c r="M69" s="608"/>
      <c r="N69" s="608"/>
      <c r="O69" s="608"/>
      <c r="P69" s="608" t="str">
        <f t="shared" si="53"/>
        <v>#N/A N/A</v>
      </c>
      <c r="Q69" s="608"/>
      <c r="R69" s="608"/>
      <c r="T69" s="607"/>
      <c r="U69" s="607">
        <f t="shared" si="33"/>
        <v>-1.0709999999999997</v>
      </c>
      <c r="V69" s="607"/>
      <c r="W69" s="607"/>
      <c r="X69" s="607"/>
      <c r="Y69" s="607" t="e">
        <f t="shared" si="36"/>
        <v>#VALUE!</v>
      </c>
      <c r="Z69" s="607"/>
      <c r="AA69" s="607"/>
      <c r="AC69" s="306"/>
      <c r="AD69" s="306">
        <f t="shared" si="37"/>
        <v>1.1454287443754723</v>
      </c>
      <c r="AE69" s="306"/>
      <c r="AF69" s="306">
        <f t="shared" si="39"/>
        <v>0</v>
      </c>
      <c r="AG69" s="306"/>
      <c r="AH69" s="306" t="e">
        <f t="shared" si="40"/>
        <v>#VALUE!</v>
      </c>
      <c r="AI69" s="306"/>
      <c r="AJ69" s="306"/>
    </row>
    <row r="70" spans="1:36">
      <c r="A70" s="548">
        <f t="shared" si="17"/>
        <v>25</v>
      </c>
      <c r="B70" s="630">
        <f>100*0.0258</f>
        <v>2.58</v>
      </c>
      <c r="C70" s="548">
        <f>100*0.018</f>
        <v>1.7999999999999998</v>
      </c>
      <c r="D70" s="548">
        <f>100*0.02086</f>
        <v>2.0859999999999999</v>
      </c>
      <c r="E70" s="548">
        <f>100*0.00767</f>
        <v>0.76700000000000002</v>
      </c>
      <c r="F70" s="548">
        <f>100*0.02454</f>
        <v>2.4539999999999997</v>
      </c>
      <c r="G70" s="548">
        <f>100*0.01092</f>
        <v>1.0919999999999999</v>
      </c>
      <c r="H70" s="548">
        <f>100*0.03339</f>
        <v>3.3390000000000004</v>
      </c>
      <c r="I70" s="548">
        <f>100*0.04023</f>
        <v>4.0230000000000006</v>
      </c>
      <c r="K70" s="608">
        <f t="shared" si="13"/>
        <v>2.2235</v>
      </c>
      <c r="L70" s="608">
        <f t="shared" ref="L70:Q70" si="54">L37</f>
        <v>0.67490000000000006</v>
      </c>
      <c r="M70" s="608">
        <f t="shared" si="54"/>
        <v>1.1672199999999999</v>
      </c>
      <c r="N70" s="608">
        <f t="shared" si="54"/>
        <v>0.24</v>
      </c>
      <c r="O70" s="608">
        <f t="shared" si="54"/>
        <v>2.1232000000000002</v>
      </c>
      <c r="P70" s="608">
        <f t="shared" si="54"/>
        <v>0.38874999999999998</v>
      </c>
      <c r="Q70" s="608">
        <f t="shared" si="54"/>
        <v>1.9962500000000001</v>
      </c>
      <c r="R70" s="608"/>
      <c r="T70" s="607">
        <f t="shared" si="15"/>
        <v>-0.35650000000000004</v>
      </c>
      <c r="U70" s="607">
        <f t="shared" si="33"/>
        <v>-1.1250999999999998</v>
      </c>
      <c r="V70" s="607">
        <f t="shared" si="34"/>
        <v>-0.91877999999999993</v>
      </c>
      <c r="W70" s="607">
        <f t="shared" si="35"/>
        <v>-0.52700000000000002</v>
      </c>
      <c r="X70" s="607">
        <f t="shared" si="44"/>
        <v>-0.33079999999999954</v>
      </c>
      <c r="Y70" s="607">
        <f t="shared" si="36"/>
        <v>-0.70324999999999993</v>
      </c>
      <c r="Z70" s="607">
        <f t="shared" si="45"/>
        <v>-1.3427500000000003</v>
      </c>
      <c r="AA70" s="607"/>
      <c r="AC70" s="306">
        <f t="shared" si="16"/>
        <v>0.4099487829360271</v>
      </c>
      <c r="AD70" s="306">
        <f t="shared" si="37"/>
        <v>1.1998658252382537</v>
      </c>
      <c r="AE70" s="306">
        <f t="shared" si="38"/>
        <v>1.0027205807139903</v>
      </c>
      <c r="AF70" s="306">
        <f t="shared" si="39"/>
        <v>0.6189247350272199</v>
      </c>
      <c r="AG70" s="306">
        <f t="shared" si="47"/>
        <v>0.39046939981839301</v>
      </c>
      <c r="AH70" s="306">
        <f t="shared" si="40"/>
        <v>0.79402742372376012</v>
      </c>
      <c r="AI70" s="306">
        <f t="shared" si="48"/>
        <v>1.3742468319606989</v>
      </c>
      <c r="AJ70" s="306"/>
    </row>
    <row r="71" spans="1:36">
      <c r="A71" s="548">
        <f t="shared" si="17"/>
        <v>26</v>
      </c>
      <c r="B71" s="630">
        <f>100*0.02585</f>
        <v>2.585</v>
      </c>
      <c r="C71" s="548">
        <f>100*0.01859</f>
        <v>1.859</v>
      </c>
      <c r="D71" s="548">
        <f>100*0.02079</f>
        <v>2.0789999999999997</v>
      </c>
      <c r="E71" s="548">
        <f>100*0.008</f>
        <v>0.8</v>
      </c>
      <c r="F71" s="548">
        <f>100*0.02466</f>
        <v>2.4660000000000002</v>
      </c>
      <c r="G71" s="548">
        <f>100*0.01109</f>
        <v>1.109</v>
      </c>
      <c r="H71" s="548">
        <f>100*0.03332</f>
        <v>3.3320000000000003</v>
      </c>
      <c r="I71" s="548">
        <f>100*0.04034</f>
        <v>4.0339999999999998</v>
      </c>
      <c r="K71" s="608"/>
      <c r="L71" s="608">
        <f t="shared" ref="L71:P71" si="55">L38</f>
        <v>0.68500000000000005</v>
      </c>
      <c r="M71" s="608"/>
      <c r="N71" s="608"/>
      <c r="O71" s="608"/>
      <c r="P71" s="608" t="str">
        <f t="shared" si="55"/>
        <v>#N/A N/A</v>
      </c>
      <c r="Q71" s="608"/>
      <c r="R71" s="608"/>
      <c r="T71" s="607"/>
      <c r="U71" s="607">
        <f t="shared" si="33"/>
        <v>-1.1739999999999999</v>
      </c>
      <c r="V71" s="607"/>
      <c r="W71" s="607"/>
      <c r="X71" s="607"/>
      <c r="Y71" s="607" t="e">
        <f t="shared" si="36"/>
        <v>#VALUE!</v>
      </c>
      <c r="Z71" s="607"/>
      <c r="AA71" s="607"/>
      <c r="AC71" s="306"/>
      <c r="AD71" s="306">
        <f t="shared" si="37"/>
        <v>1.2483224425634658</v>
      </c>
      <c r="AE71" s="306"/>
      <c r="AF71" s="306"/>
      <c r="AG71" s="306"/>
      <c r="AH71" s="306" t="e">
        <f t="shared" si="40"/>
        <v>#VALUE!</v>
      </c>
      <c r="AI71" s="306"/>
      <c r="AJ71" s="306"/>
    </row>
    <row r="72" spans="1:36">
      <c r="A72" s="548">
        <f t="shared" si="17"/>
        <v>27</v>
      </c>
      <c r="B72" s="630">
        <f>100*0.02589</f>
        <v>2.589</v>
      </c>
      <c r="C72" s="548">
        <f>100*0.01918</f>
        <v>1.9179999999999999</v>
      </c>
      <c r="D72" s="548">
        <f>100*0.02072</f>
        <v>2.0720000000000001</v>
      </c>
      <c r="E72" s="548">
        <f>100*0.00839</f>
        <v>0.83899999999999997</v>
      </c>
      <c r="F72" s="548">
        <f>100*0.02484</f>
        <v>2.484</v>
      </c>
      <c r="G72" s="548">
        <f>100*0.01124</f>
        <v>1.1240000000000001</v>
      </c>
      <c r="H72" s="548">
        <f>100*0.03321</f>
        <v>3.3210000000000002</v>
      </c>
      <c r="I72" s="548">
        <f>100*0.04044</f>
        <v>4.0439999999999996</v>
      </c>
      <c r="K72" s="608"/>
      <c r="L72" s="608">
        <f t="shared" ref="L72:P72" si="56">L39</f>
        <v>0.69</v>
      </c>
      <c r="M72" s="608"/>
      <c r="N72" s="608"/>
      <c r="O72" s="608"/>
      <c r="P72" s="608" t="str">
        <f t="shared" si="56"/>
        <v>#N/A N/A</v>
      </c>
      <c r="Q72" s="608"/>
      <c r="R72" s="608"/>
      <c r="T72" s="607"/>
      <c r="U72" s="607">
        <f t="shared" si="33"/>
        <v>-1.228</v>
      </c>
      <c r="V72" s="607"/>
      <c r="W72" s="607"/>
      <c r="X72" s="607"/>
      <c r="Y72" s="607" t="e">
        <f t="shared" si="36"/>
        <v>#VALUE!</v>
      </c>
      <c r="Z72" s="607"/>
      <c r="AA72" s="607"/>
      <c r="AC72" s="306"/>
      <c r="AD72" s="306">
        <f t="shared" si="37"/>
        <v>1.3025264119374904</v>
      </c>
      <c r="AE72" s="306"/>
      <c r="AF72" s="306"/>
      <c r="AG72" s="306"/>
      <c r="AH72" s="306" t="e">
        <f t="shared" si="40"/>
        <v>#VALUE!</v>
      </c>
      <c r="AI72" s="306"/>
      <c r="AJ72" s="306"/>
    </row>
    <row r="73" spans="1:36">
      <c r="A73" s="548">
        <f t="shared" si="17"/>
        <v>28</v>
      </c>
      <c r="B73" s="630">
        <f>100*0.02594</f>
        <v>2.5940000000000003</v>
      </c>
      <c r="C73" s="548">
        <f>100*0.01976</f>
        <v>1.976</v>
      </c>
      <c r="D73" s="548">
        <f>100*0.02065</f>
        <v>2.0650000000000004</v>
      </c>
      <c r="E73" s="548">
        <f>100*0.00881</f>
        <v>0.88100000000000001</v>
      </c>
      <c r="F73" s="548">
        <f>100*0.02506</f>
        <v>2.5059999999999998</v>
      </c>
      <c r="G73" s="548">
        <f>100*0.01139</f>
        <v>1.139</v>
      </c>
      <c r="H73" s="548">
        <f>100*0.0331</f>
        <v>3.3099999999999996</v>
      </c>
      <c r="I73" s="548">
        <f>100*0.04053</f>
        <v>4.0529999999999999</v>
      </c>
      <c r="K73" s="608"/>
      <c r="L73" s="608">
        <f t="shared" ref="L73:P73" si="57">L40</f>
        <v>0.69399999999999995</v>
      </c>
      <c r="M73" s="608"/>
      <c r="N73" s="608"/>
      <c r="O73" s="608"/>
      <c r="P73" s="608" t="str">
        <f t="shared" si="57"/>
        <v>#N/A N/A</v>
      </c>
      <c r="Q73" s="608"/>
      <c r="R73" s="608"/>
      <c r="T73" s="607"/>
      <c r="U73" s="607">
        <f t="shared" si="33"/>
        <v>-1.282</v>
      </c>
      <c r="V73" s="607"/>
      <c r="W73" s="607"/>
      <c r="X73" s="607"/>
      <c r="Y73" s="607" t="e">
        <f t="shared" si="36"/>
        <v>#VALUE!</v>
      </c>
      <c r="Z73" s="607"/>
      <c r="AA73" s="607"/>
      <c r="AC73" s="306"/>
      <c r="AD73" s="306">
        <f t="shared" si="37"/>
        <v>1.3568137721841733</v>
      </c>
      <c r="AE73" s="306"/>
      <c r="AF73" s="306"/>
      <c r="AG73" s="306"/>
      <c r="AH73" s="306" t="e">
        <f t="shared" si="40"/>
        <v>#VALUE!</v>
      </c>
      <c r="AI73" s="306"/>
      <c r="AJ73" s="306"/>
    </row>
    <row r="74" spans="1:36">
      <c r="A74" s="548">
        <f t="shared" si="17"/>
        <v>29</v>
      </c>
      <c r="B74" s="630">
        <f>100*0.02602</f>
        <v>2.6020000000000003</v>
      </c>
      <c r="C74" s="548">
        <f>100*0.02033</f>
        <v>2.0329999999999999</v>
      </c>
      <c r="D74" s="548">
        <f>100*0.02057</f>
        <v>2.0569999999999999</v>
      </c>
      <c r="E74" s="548">
        <f>100*0.00925</f>
        <v>0.92499999999999993</v>
      </c>
      <c r="F74" s="548">
        <f>100*0.02532</f>
        <v>2.532</v>
      </c>
      <c r="G74" s="548">
        <f>100*0.01155</f>
        <v>1.155</v>
      </c>
      <c r="H74" s="548">
        <f>100*0.03299</f>
        <v>3.2989999999999999</v>
      </c>
      <c r="I74" s="548">
        <f>100*0.04061</f>
        <v>4.0609999999999999</v>
      </c>
      <c r="K74" s="608"/>
      <c r="L74" s="608">
        <f t="shared" ref="L74:P74" si="58">L41</f>
        <v>0.69699999999999995</v>
      </c>
      <c r="M74" s="608"/>
      <c r="N74" s="608"/>
      <c r="O74" s="608"/>
      <c r="P74" s="608" t="str">
        <f t="shared" si="58"/>
        <v>#N/A N/A</v>
      </c>
      <c r="Q74" s="608"/>
      <c r="R74" s="608"/>
      <c r="T74" s="607"/>
      <c r="U74" s="607">
        <f t="shared" si="33"/>
        <v>-1.3359999999999999</v>
      </c>
      <c r="V74" s="607"/>
      <c r="W74" s="607"/>
      <c r="X74" s="607"/>
      <c r="Y74" s="607" t="e">
        <f t="shared" si="36"/>
        <v>#VALUE!</v>
      </c>
      <c r="Z74" s="607"/>
      <c r="AA74" s="607"/>
      <c r="AC74" s="306"/>
      <c r="AD74" s="306">
        <f t="shared" si="37"/>
        <v>1.4111936220115235</v>
      </c>
      <c r="AE74" s="306"/>
      <c r="AF74" s="306"/>
      <c r="AG74" s="306"/>
      <c r="AH74" s="306" t="e">
        <f t="shared" si="40"/>
        <v>#VALUE!</v>
      </c>
      <c r="AI74" s="306"/>
      <c r="AJ74" s="306"/>
    </row>
    <row r="75" spans="1:36">
      <c r="A75" s="548">
        <f t="shared" si="17"/>
        <v>30</v>
      </c>
      <c r="B75" s="630">
        <f>100*0.02613</f>
        <v>2.613</v>
      </c>
      <c r="C75" s="548">
        <f>100*0.02088</f>
        <v>2.0880000000000001</v>
      </c>
      <c r="D75" s="548">
        <f>100*0.02049</f>
        <v>2.0489999999999999</v>
      </c>
      <c r="E75" s="548">
        <f>100*0.0097</f>
        <v>0.97</v>
      </c>
      <c r="F75" s="548">
        <f>100*0.02559</f>
        <v>2.5590000000000002</v>
      </c>
      <c r="G75" s="548">
        <f>100*0.01176</f>
        <v>1.1759999999999999</v>
      </c>
      <c r="H75" s="548">
        <f>100*0.03292</f>
        <v>3.2919999999999998</v>
      </c>
      <c r="I75" s="548">
        <f>100*0.04069</f>
        <v>4.069</v>
      </c>
      <c r="K75" s="608">
        <f t="shared" si="13"/>
        <v>2.2332999999999998</v>
      </c>
      <c r="L75" s="608">
        <f t="shared" ref="L75:Q75" si="59">L42</f>
        <v>0.69410000000000005</v>
      </c>
      <c r="M75" s="608">
        <f t="shared" si="59"/>
        <v>1.1716200000000001</v>
      </c>
      <c r="N75" s="608">
        <f t="shared" si="59"/>
        <v>0.255</v>
      </c>
      <c r="O75" s="608">
        <f t="shared" si="59"/>
        <v>2.1040000000000001</v>
      </c>
      <c r="P75" s="608">
        <f t="shared" si="59"/>
        <v>0.43375000000000002</v>
      </c>
      <c r="Q75" s="608">
        <f t="shared" si="59"/>
        <v>1.9950000000000001</v>
      </c>
      <c r="R75" s="608"/>
      <c r="T75" s="607">
        <f t="shared" si="15"/>
        <v>-0.37970000000000015</v>
      </c>
      <c r="U75" s="607">
        <f t="shared" si="33"/>
        <v>-1.3938999999999999</v>
      </c>
      <c r="V75" s="607">
        <f t="shared" si="34"/>
        <v>-0.87737999999999983</v>
      </c>
      <c r="W75" s="607">
        <f t="shared" si="35"/>
        <v>-0.71499999999999997</v>
      </c>
      <c r="X75" s="607">
        <f t="shared" si="44"/>
        <v>-0.45500000000000007</v>
      </c>
      <c r="Y75" s="607">
        <f t="shared" si="36"/>
        <v>-0.74224999999999985</v>
      </c>
      <c r="Z75" s="607">
        <f t="shared" si="45"/>
        <v>-1.2969999999999997</v>
      </c>
      <c r="AA75" s="607"/>
      <c r="AC75" s="306">
        <f t="shared" si="16"/>
        <v>0.43505012607265714</v>
      </c>
      <c r="AD75" s="306">
        <f t="shared" si="37"/>
        <v>1.4703207716220348</v>
      </c>
      <c r="AE75" s="306">
        <f t="shared" si="38"/>
        <v>0.96272944616187983</v>
      </c>
      <c r="AF75" s="306">
        <f t="shared" si="39"/>
        <v>0.80728784105843077</v>
      </c>
      <c r="AG75" s="306">
        <f t="shared" si="47"/>
        <v>0.52637553846892615</v>
      </c>
      <c r="AH75" s="306">
        <f t="shared" si="40"/>
        <v>0.83086112822228286</v>
      </c>
      <c r="AI75" s="306">
        <f t="shared" si="48"/>
        <v>1.3387054496164001</v>
      </c>
      <c r="AJ75" s="306"/>
    </row>
    <row r="77" spans="1:36">
      <c r="A77" s="548" t="s">
        <v>747</v>
      </c>
    </row>
    <row r="78" spans="1:36">
      <c r="A78" s="548" t="s">
        <v>3</v>
      </c>
      <c r="B78" s="548" t="s">
        <v>126</v>
      </c>
      <c r="C78" s="548" t="s">
        <v>131</v>
      </c>
      <c r="D78" s="548" t="s">
        <v>132</v>
      </c>
      <c r="E78" s="548" t="s">
        <v>133</v>
      </c>
      <c r="F78" s="548" t="s">
        <v>134</v>
      </c>
      <c r="G78" s="548" t="s">
        <v>143</v>
      </c>
      <c r="H78" s="548" t="s">
        <v>135</v>
      </c>
      <c r="I78" s="548" t="s">
        <v>136</v>
      </c>
    </row>
    <row r="79" spans="1:36">
      <c r="A79" s="548">
        <v>1</v>
      </c>
      <c r="B79" s="306">
        <f>B13-B46</f>
        <v>1.1829295053712461</v>
      </c>
      <c r="C79" s="306">
        <f t="shared" ref="C79:I79" si="60">C13-C46</f>
        <v>-0.404566154836979</v>
      </c>
      <c r="D79" s="306">
        <f t="shared" si="60"/>
        <v>-5.829233675594403E-3</v>
      </c>
      <c r="E79" s="306">
        <f t="shared" si="60"/>
        <v>-0.15807287288356919</v>
      </c>
      <c r="F79" s="306">
        <f t="shared" si="60"/>
        <v>1.1872448071752237</v>
      </c>
      <c r="G79" s="306">
        <f t="shared" si="60"/>
        <v>-0.17873983914076175</v>
      </c>
      <c r="H79" s="306">
        <f t="shared" si="60"/>
        <v>-1.0307543547932305</v>
      </c>
      <c r="I79" s="306">
        <f t="shared" si="60"/>
        <v>-1.1237909712555485</v>
      </c>
    </row>
    <row r="80" spans="1:36">
      <c r="A80" s="548">
        <f>A79+1</f>
        <v>2</v>
      </c>
      <c r="B80" s="306">
        <f t="shared" ref="B80:I108" si="61">B14-B47</f>
        <v>0.65667709456338086</v>
      </c>
      <c r="C80" s="306">
        <f t="shared" si="61"/>
        <v>-0.45366501163996009</v>
      </c>
      <c r="D80" s="306">
        <f t="shared" si="61"/>
        <v>-0.30222826038227468</v>
      </c>
      <c r="E80" s="306">
        <f t="shared" si="61"/>
        <v>-0.24186462823609034</v>
      </c>
      <c r="F80" s="306">
        <f t="shared" si="61"/>
        <v>1.016618948941959</v>
      </c>
      <c r="G80" s="306">
        <f t="shared" si="61"/>
        <v>-0.20770835674379307</v>
      </c>
      <c r="H80" s="306">
        <f t="shared" si="61"/>
        <v>-1.0373194562269719</v>
      </c>
      <c r="I80" s="306">
        <f t="shared" si="61"/>
        <v>-1.2755236836775565</v>
      </c>
    </row>
    <row r="81" spans="1:9">
      <c r="A81" s="548">
        <f t="shared" ref="A81:A108" si="62">A80+1</f>
        <v>3</v>
      </c>
      <c r="B81" s="306">
        <f t="shared" si="61"/>
        <v>0.35074107203365412</v>
      </c>
      <c r="C81" s="306">
        <f t="shared" si="61"/>
        <v>-0.51896263948672439</v>
      </c>
      <c r="D81" s="306">
        <f t="shared" si="61"/>
        <v>-0.51389782284688956</v>
      </c>
      <c r="E81" s="306">
        <f t="shared" si="61"/>
        <v>-0.28736958243186217</v>
      </c>
      <c r="F81" s="306">
        <f t="shared" si="61"/>
        <v>0.86376463499797196</v>
      </c>
      <c r="G81" s="306">
        <f t="shared" si="61"/>
        <v>-0.22593487963420988</v>
      </c>
      <c r="H81" s="306">
        <f t="shared" si="61"/>
        <v>-1.0668938228766027</v>
      </c>
      <c r="I81" s="306">
        <f t="shared" si="61"/>
        <v>-1.4103113529918483</v>
      </c>
    </row>
    <row r="82" spans="1:9">
      <c r="A82" s="548">
        <f t="shared" si="62"/>
        <v>4</v>
      </c>
      <c r="B82" s="306">
        <f t="shared" si="61"/>
        <v>0.16495734075524404</v>
      </c>
      <c r="C82" s="306">
        <f t="shared" si="61"/>
        <v>-0.60185726148822949</v>
      </c>
      <c r="D82" s="306">
        <f t="shared" si="61"/>
        <v>-0.65257053413636501</v>
      </c>
      <c r="E82" s="306">
        <f t="shared" si="61"/>
        <v>-0.3561917299256635</v>
      </c>
      <c r="F82" s="306">
        <f t="shared" si="61"/>
        <v>0.72408589610213769</v>
      </c>
      <c r="G82" s="306">
        <f t="shared" si="61"/>
        <v>-0.2479428957855859</v>
      </c>
      <c r="H82" s="306">
        <f t="shared" si="61"/>
        <v>-1.1077773559386279</v>
      </c>
      <c r="I82" s="306">
        <f t="shared" si="61"/>
        <v>-1.5334499754516027</v>
      </c>
    </row>
    <row r="83" spans="1:9">
      <c r="A83" s="548">
        <f t="shared" si="62"/>
        <v>5</v>
      </c>
      <c r="B83" s="306">
        <f t="shared" si="61"/>
        <v>3.4505749555959531E-2</v>
      </c>
      <c r="C83" s="306">
        <f t="shared" si="61"/>
        <v>-0.66833127396568437</v>
      </c>
      <c r="D83" s="306">
        <f t="shared" si="61"/>
        <v>-0.75691322226440483</v>
      </c>
      <c r="E83" s="306">
        <f t="shared" si="61"/>
        <v>-0.42178196105352633</v>
      </c>
      <c r="F83" s="306">
        <f t="shared" si="61"/>
        <v>0.5951508845795439</v>
      </c>
      <c r="G83" s="306">
        <f t="shared" si="61"/>
        <v>-0.27211059656547004</v>
      </c>
      <c r="H83" s="306">
        <f t="shared" si="61"/>
        <v>-1.1919394384995172</v>
      </c>
      <c r="I83" s="306">
        <f t="shared" si="61"/>
        <v>-1.6293711386330734</v>
      </c>
    </row>
    <row r="84" spans="1:9">
      <c r="A84" s="548">
        <f t="shared" si="62"/>
        <v>6</v>
      </c>
      <c r="B84" s="306">
        <f t="shared" si="61"/>
        <v>-4.0074367055038085E-2</v>
      </c>
      <c r="C84" s="306">
        <f t="shared" si="61"/>
        <v>-0.73710368822719396</v>
      </c>
      <c r="D84" s="306">
        <f t="shared" si="61"/>
        <v>-0.84065096752532109</v>
      </c>
      <c r="E84" s="306">
        <f t="shared" si="61"/>
        <v>-0.48140621577792775</v>
      </c>
      <c r="F84" s="306">
        <f t="shared" si="61"/>
        <v>0.46769644662191512</v>
      </c>
      <c r="G84" s="306">
        <f t="shared" si="61"/>
        <v>-0.29502535120539231</v>
      </c>
      <c r="H84" s="306">
        <f t="shared" si="61"/>
        <v>-1.2172701834905117</v>
      </c>
      <c r="I84" s="306">
        <f t="shared" si="61"/>
        <v>-1.6947139360109893</v>
      </c>
    </row>
    <row r="85" spans="1:9">
      <c r="A85" s="548">
        <f t="shared" si="62"/>
        <v>7</v>
      </c>
      <c r="B85" s="306">
        <f t="shared" si="61"/>
        <v>-0.10802891626849509</v>
      </c>
      <c r="C85" s="306">
        <f t="shared" si="61"/>
        <v>-0.79801678563585354</v>
      </c>
      <c r="D85" s="306">
        <f t="shared" si="61"/>
        <v>-0.9107604659289823</v>
      </c>
      <c r="E85" s="306">
        <f t="shared" si="61"/>
        <v>-0.51954105886845992</v>
      </c>
      <c r="F85" s="306">
        <f t="shared" si="61"/>
        <v>0.34334435719161438</v>
      </c>
      <c r="G85" s="306">
        <f t="shared" si="61"/>
        <v>-0.31809224738916531</v>
      </c>
      <c r="H85" s="306">
        <f t="shared" si="61"/>
        <v>-1.2618019030714662</v>
      </c>
      <c r="I85" s="306">
        <f t="shared" si="61"/>
        <v>-1.7355624824124312</v>
      </c>
    </row>
    <row r="86" spans="1:9">
      <c r="A86" s="548">
        <f t="shared" si="62"/>
        <v>8</v>
      </c>
      <c r="B86" s="306">
        <f t="shared" si="61"/>
        <v>-0.15836138362821384</v>
      </c>
      <c r="C86" s="306">
        <f t="shared" si="61"/>
        <v>-0.85056152175590383</v>
      </c>
      <c r="D86" s="306">
        <f t="shared" si="61"/>
        <v>-0.96069440515569182</v>
      </c>
      <c r="E86" s="306">
        <f t="shared" si="61"/>
        <v>-0.54831890770936309</v>
      </c>
      <c r="F86" s="306">
        <f t="shared" si="61"/>
        <v>0.22037362142648198</v>
      </c>
      <c r="G86" s="306">
        <f t="shared" si="61"/>
        <v>-0.34231157047810978</v>
      </c>
      <c r="H86" s="306">
        <f t="shared" si="61"/>
        <v>-1.2808175692105941</v>
      </c>
      <c r="I86" s="306">
        <f t="shared" si="61"/>
        <v>-1.7600981802060822</v>
      </c>
    </row>
    <row r="87" spans="1:9">
      <c r="A87" s="548">
        <f t="shared" si="62"/>
        <v>9</v>
      </c>
      <c r="B87" s="306">
        <f t="shared" si="61"/>
        <v>-0.19609579600725224</v>
      </c>
      <c r="C87" s="306">
        <f t="shared" si="61"/>
        <v>-0.89645115236918582</v>
      </c>
      <c r="D87" s="306">
        <f t="shared" si="61"/>
        <v>-1.002728907378754</v>
      </c>
      <c r="E87" s="306">
        <f t="shared" si="61"/>
        <v>-0.56478931330635862</v>
      </c>
      <c r="F87" s="306">
        <f t="shared" si="61"/>
        <v>0.10231102340037102</v>
      </c>
      <c r="G87" s="306">
        <f t="shared" si="61"/>
        <v>-0.36574608793886132</v>
      </c>
      <c r="H87" s="306">
        <f t="shared" si="61"/>
        <v>-1.3156322138356225</v>
      </c>
      <c r="I87" s="306">
        <f t="shared" si="61"/>
        <v>-1.7713148938369199</v>
      </c>
    </row>
    <row r="88" spans="1:9">
      <c r="A88" s="548">
        <f t="shared" si="62"/>
        <v>10</v>
      </c>
      <c r="B88" s="306">
        <f t="shared" si="61"/>
        <v>-0.24599635731633329</v>
      </c>
      <c r="C88" s="306">
        <f t="shared" si="61"/>
        <v>-0.93188364855283956</v>
      </c>
      <c r="D88" s="306">
        <f t="shared" si="61"/>
        <v>-1.0300452336628221</v>
      </c>
      <c r="E88" s="306">
        <f t="shared" si="61"/>
        <v>-0.57287418588588745</v>
      </c>
      <c r="F88" s="306">
        <f t="shared" si="61"/>
        <v>3.9343778962881437E-3</v>
      </c>
      <c r="G88" s="306">
        <f t="shared" si="61"/>
        <v>-0.38984479259832866</v>
      </c>
      <c r="H88" s="306">
        <f t="shared" si="61"/>
        <v>-1.3388137979158441</v>
      </c>
      <c r="I88" s="306">
        <f t="shared" si="61"/>
        <v>-1.7739149719484488</v>
      </c>
    </row>
    <row r="89" spans="1:9">
      <c r="A89" s="548">
        <f t="shared" si="62"/>
        <v>11</v>
      </c>
      <c r="B89" s="306">
        <f t="shared" si="61"/>
        <v>-0.24315417281245555</v>
      </c>
      <c r="C89" s="306">
        <f t="shared" si="61"/>
        <v>-0.95617741066554385</v>
      </c>
      <c r="D89" s="306">
        <f t="shared" si="61"/>
        <v>-1.050830345112427</v>
      </c>
      <c r="E89" s="306">
        <f t="shared" si="61"/>
        <v>-0.56058266656327016</v>
      </c>
      <c r="F89" s="306">
        <f t="shared" si="61"/>
        <v>-7.973016399987487E-2</v>
      </c>
      <c r="G89" s="306">
        <f t="shared" si="61"/>
        <v>-0.41884899418003274</v>
      </c>
      <c r="H89" s="306">
        <f t="shared" si="61"/>
        <v>-1.3428188294679932</v>
      </c>
      <c r="I89" s="306">
        <f t="shared" si="61"/>
        <v>-1.7655676938446061</v>
      </c>
    </row>
    <row r="90" spans="1:9">
      <c r="A90" s="548">
        <f t="shared" si="62"/>
        <v>12</v>
      </c>
      <c r="B90" s="306">
        <f t="shared" si="61"/>
        <v>-0.27307616029239812</v>
      </c>
      <c r="C90" s="306">
        <f t="shared" si="61"/>
        <v>-0.97408219022933173</v>
      </c>
      <c r="D90" s="306">
        <f t="shared" si="61"/>
        <v>-1.0682970213078642</v>
      </c>
      <c r="E90" s="306">
        <f t="shared" si="61"/>
        <v>-0.57236931185422546</v>
      </c>
      <c r="F90" s="306">
        <f t="shared" si="61"/>
        <v>-0.15278811105859536</v>
      </c>
      <c r="G90" s="306">
        <f t="shared" si="61"/>
        <v>-0.45101487578057203</v>
      </c>
      <c r="H90" s="306">
        <f t="shared" si="61"/>
        <v>-1.3403090553578396</v>
      </c>
      <c r="I90" s="306">
        <f t="shared" si="61"/>
        <v>-1.7804868120880708</v>
      </c>
    </row>
    <row r="91" spans="1:9">
      <c r="A91" s="548">
        <f t="shared" si="62"/>
        <v>13</v>
      </c>
      <c r="B91" s="306">
        <f t="shared" si="61"/>
        <v>-0.29704809431740653</v>
      </c>
      <c r="C91" s="306">
        <f t="shared" si="61"/>
        <v>-0.98720504752546545</v>
      </c>
      <c r="D91" s="306">
        <f t="shared" si="61"/>
        <v>-1.0812816315905907</v>
      </c>
      <c r="E91" s="306">
        <f t="shared" si="61"/>
        <v>-0.5654288000384976</v>
      </c>
      <c r="F91" s="306">
        <f t="shared" si="61"/>
        <v>-0.21376927534585866</v>
      </c>
      <c r="G91" s="306">
        <f t="shared" si="61"/>
        <v>-0.48934521794030006</v>
      </c>
      <c r="H91" s="306">
        <f t="shared" si="61"/>
        <v>-1.3470515475627893</v>
      </c>
      <c r="I91" s="306">
        <f t="shared" si="61"/>
        <v>-1.7869143182609148</v>
      </c>
    </row>
    <row r="92" spans="1:9">
      <c r="A92" s="548">
        <f t="shared" si="62"/>
        <v>14</v>
      </c>
      <c r="B92" s="306">
        <f t="shared" si="61"/>
        <v>-0.31317877916434478</v>
      </c>
      <c r="C92" s="306">
        <f t="shared" si="61"/>
        <v>-1.0035335337892175</v>
      </c>
      <c r="D92" s="306">
        <f t="shared" si="61"/>
        <v>-1.0879309517226576</v>
      </c>
      <c r="E92" s="306">
        <f t="shared" si="61"/>
        <v>-0.5437022278023923</v>
      </c>
      <c r="F92" s="306">
        <f t="shared" si="61"/>
        <v>-0.26112511193213006</v>
      </c>
      <c r="G92" s="306">
        <f t="shared" si="61"/>
        <v>-0.5262894611894452</v>
      </c>
      <c r="H92" s="306">
        <f t="shared" si="61"/>
        <v>-1.3527393136419654</v>
      </c>
      <c r="I92" s="306">
        <f t="shared" si="61"/>
        <v>-1.793241351706111</v>
      </c>
    </row>
    <row r="93" spans="1:9">
      <c r="A93" s="548">
        <f t="shared" si="62"/>
        <v>15</v>
      </c>
      <c r="B93" s="306">
        <f t="shared" si="61"/>
        <v>-0.32233086471421402</v>
      </c>
      <c r="C93" s="306">
        <f t="shared" si="61"/>
        <v>-1.0058887875229121</v>
      </c>
      <c r="D93" s="306">
        <f t="shared" si="61"/>
        <v>-1.0903709350996653</v>
      </c>
      <c r="E93" s="306">
        <f t="shared" si="61"/>
        <v>-0.56304106196406656</v>
      </c>
      <c r="F93" s="306">
        <f t="shared" si="61"/>
        <v>-0.29584651366619896</v>
      </c>
      <c r="G93" s="306">
        <f t="shared" si="61"/>
        <v>-0.56038721893919718</v>
      </c>
      <c r="H93" s="306">
        <f t="shared" si="61"/>
        <v>-1.3531459901259324</v>
      </c>
      <c r="I93" s="306">
        <f t="shared" si="61"/>
        <v>-1.7934536869322204</v>
      </c>
    </row>
    <row r="94" spans="1:9">
      <c r="A94" s="548">
        <f t="shared" si="62"/>
        <v>16</v>
      </c>
      <c r="B94" s="306">
        <f t="shared" si="61"/>
        <v>-0.33098682584201899</v>
      </c>
      <c r="C94" s="306">
        <f t="shared" si="61"/>
        <v>-0.99942218671739091</v>
      </c>
      <c r="D94" s="306">
        <f t="shared" si="61"/>
        <v>-1.0906880452505425</v>
      </c>
      <c r="E94" s="306">
        <f t="shared" si="61"/>
        <v>-0.58613445301429101</v>
      </c>
      <c r="F94" s="306">
        <f t="shared" si="61"/>
        <v>-0.33376878368887342</v>
      </c>
      <c r="G94" s="306">
        <f t="shared" si="61"/>
        <v>-0.61213430185149909</v>
      </c>
      <c r="H94" s="306">
        <f t="shared" si="61"/>
        <v>-1.365183028840304</v>
      </c>
      <c r="I94" s="306">
        <f t="shared" si="61"/>
        <v>-1.8050509714473222</v>
      </c>
    </row>
    <row r="95" spans="1:9">
      <c r="A95" s="548">
        <f t="shared" si="62"/>
        <v>17</v>
      </c>
      <c r="B95" s="306">
        <f t="shared" si="61"/>
        <v>-0.34065948850100103</v>
      </c>
      <c r="C95" s="306">
        <f t="shared" si="61"/>
        <v>-0.98907260506050254</v>
      </c>
      <c r="D95" s="306">
        <f t="shared" si="61"/>
        <v>-1.0873286558169113</v>
      </c>
      <c r="E95" s="306">
        <f t="shared" si="61"/>
        <v>-0.59500875962521815</v>
      </c>
      <c r="F95" s="306">
        <f t="shared" si="61"/>
        <v>-0.36003899918364901</v>
      </c>
      <c r="G95" s="306">
        <f t="shared" si="61"/>
        <v>-0.64332514140941433</v>
      </c>
      <c r="H95" s="306">
        <f t="shared" si="61"/>
        <v>-1.3715855442354909</v>
      </c>
      <c r="I95" s="306">
        <f t="shared" si="61"/>
        <v>-1.8082483819519442</v>
      </c>
    </row>
    <row r="96" spans="1:9">
      <c r="A96" s="548">
        <f t="shared" si="62"/>
        <v>18</v>
      </c>
      <c r="B96" s="306">
        <f t="shared" si="61"/>
        <v>-0.35254036800222233</v>
      </c>
      <c r="C96" s="306">
        <f t="shared" si="61"/>
        <v>-0.98348585662311239</v>
      </c>
      <c r="D96" s="306">
        <f t="shared" si="61"/>
        <v>-1.0806603595384336</v>
      </c>
      <c r="E96" s="306">
        <f t="shared" si="61"/>
        <v>-0.59452781712238989</v>
      </c>
      <c r="F96" s="306">
        <f t="shared" si="61"/>
        <v>-0.37664864097453865</v>
      </c>
      <c r="G96" s="306">
        <f t="shared" si="61"/>
        <v>-0.66990544049830358</v>
      </c>
      <c r="H96" s="306">
        <f t="shared" si="61"/>
        <v>-1.3752192775824694</v>
      </c>
      <c r="I96" s="306">
        <f t="shared" si="61"/>
        <v>-1.8008138757197583</v>
      </c>
    </row>
    <row r="97" spans="1:9">
      <c r="A97" s="548">
        <f t="shared" si="62"/>
        <v>19</v>
      </c>
      <c r="B97" s="306">
        <f t="shared" si="61"/>
        <v>-0.36432825542832736</v>
      </c>
      <c r="C97" s="306">
        <f t="shared" si="61"/>
        <v>-0.98567431396097094</v>
      </c>
      <c r="D97" s="306">
        <f t="shared" si="61"/>
        <v>-1.073253341728579</v>
      </c>
      <c r="E97" s="306">
        <f t="shared" si="61"/>
        <v>-0.58955933078356271</v>
      </c>
      <c r="F97" s="306">
        <f t="shared" si="61"/>
        <v>-0.38158934051557525</v>
      </c>
      <c r="G97" s="306">
        <f t="shared" si="61"/>
        <v>-0.7106568715285575</v>
      </c>
      <c r="H97" s="306">
        <f t="shared" si="61"/>
        <v>-1.3759723920637659</v>
      </c>
      <c r="I97" s="306">
        <f t="shared" si="61"/>
        <v>-1.7850701577360919</v>
      </c>
    </row>
    <row r="98" spans="1:9">
      <c r="A98" s="548">
        <f t="shared" si="62"/>
        <v>20</v>
      </c>
      <c r="B98" s="306">
        <f t="shared" si="61"/>
        <v>-0.37443316830224393</v>
      </c>
      <c r="C98" s="306">
        <f t="shared" si="61"/>
        <v>-0.99993551338152198</v>
      </c>
      <c r="D98" s="306">
        <f t="shared" si="61"/>
        <v>-1.0585829191362253</v>
      </c>
      <c r="E98" s="306">
        <f t="shared" si="61"/>
        <v>-0.58197484312865011</v>
      </c>
      <c r="F98" s="306">
        <f t="shared" si="61"/>
        <v>-0.37585294655532975</v>
      </c>
      <c r="G98" s="306">
        <f t="shared" si="61"/>
        <v>-0.71630235691883348</v>
      </c>
      <c r="H98" s="306">
        <f t="shared" si="61"/>
        <v>-1.3757514459748723</v>
      </c>
      <c r="I98" s="306">
        <f t="shared" si="61"/>
        <v>-1.7597185852970667</v>
      </c>
    </row>
    <row r="99" spans="1:9">
      <c r="A99" s="548">
        <f t="shared" si="62"/>
        <v>21</v>
      </c>
      <c r="B99" s="306">
        <f t="shared" si="61"/>
        <v>-0.38554889579971618</v>
      </c>
      <c r="C99" s="306">
        <f t="shared" si="61"/>
        <v>-1.0233703705232824</v>
      </c>
      <c r="D99" s="306">
        <f t="shared" si="61"/>
        <v>-1.0311812391771458</v>
      </c>
      <c r="E99" s="306">
        <f t="shared" si="61"/>
        <v>-0.57952057907165044</v>
      </c>
      <c r="F99" s="306">
        <f t="shared" si="61"/>
        <v>-0.38057752702669223</v>
      </c>
      <c r="G99" s="306">
        <f t="shared" si="61"/>
        <v>-0.74129463819756181</v>
      </c>
      <c r="H99" s="306">
        <f t="shared" si="61"/>
        <v>-1.3837938460227863</v>
      </c>
      <c r="I99" s="306">
        <f t="shared" si="61"/>
        <v>-1.7665847325815434</v>
      </c>
    </row>
    <row r="100" spans="1:9">
      <c r="A100" s="548">
        <f t="shared" si="62"/>
        <v>22</v>
      </c>
      <c r="B100" s="306">
        <f t="shared" si="61"/>
        <v>-0.39431022098569724</v>
      </c>
      <c r="C100" s="306">
        <f t="shared" si="61"/>
        <v>-1.0552201862425774</v>
      </c>
      <c r="D100" s="306">
        <f t="shared" si="61"/>
        <v>-1.017783684655639</v>
      </c>
      <c r="E100" s="306">
        <f t="shared" si="61"/>
        <v>-0.58020439669316193</v>
      </c>
      <c r="F100" s="306">
        <f t="shared" si="61"/>
        <v>-0.38060911808138886</v>
      </c>
      <c r="G100" s="306">
        <f t="shared" si="61"/>
        <v>-0.76127420480965946</v>
      </c>
      <c r="H100" s="306">
        <f t="shared" si="61"/>
        <v>-1.3887173018732826</v>
      </c>
      <c r="I100" s="306">
        <f t="shared" si="61"/>
        <v>-1.7669318630469091</v>
      </c>
    </row>
    <row r="101" spans="1:9">
      <c r="A101" s="548">
        <f t="shared" si="62"/>
        <v>23</v>
      </c>
      <c r="B101" s="306">
        <f t="shared" si="61"/>
        <v>-0.40177021722968709</v>
      </c>
      <c r="C101" s="306">
        <f t="shared" si="61"/>
        <v>-1.0976817671037298</v>
      </c>
      <c r="D101" s="306">
        <f t="shared" si="61"/>
        <v>-1.0086924028234061</v>
      </c>
      <c r="E101" s="306">
        <f t="shared" si="61"/>
        <v>-0.58490863239687341</v>
      </c>
      <c r="F101" s="306">
        <f t="shared" si="61"/>
        <v>-0.379939968956299</v>
      </c>
      <c r="G101" s="306">
        <f t="shared" si="61"/>
        <v>-0.77733722222233825</v>
      </c>
      <c r="H101" s="306">
        <f t="shared" si="61"/>
        <v>-1.3894652537796524</v>
      </c>
      <c r="I101" s="306">
        <f t="shared" si="61"/>
        <v>-1.7590027979710703</v>
      </c>
    </row>
    <row r="102" spans="1:9">
      <c r="A102" s="548">
        <f t="shared" si="62"/>
        <v>24</v>
      </c>
      <c r="B102" s="306">
        <f t="shared" si="61"/>
        <v>-0.40697174376609047</v>
      </c>
      <c r="C102" s="306">
        <f t="shared" si="61"/>
        <v>-1.1454287443754725</v>
      </c>
      <c r="D102" s="306">
        <f t="shared" si="61"/>
        <v>-1.0040832492836378</v>
      </c>
      <c r="E102" s="306">
        <f t="shared" si="61"/>
        <v>-0.59751905156362117</v>
      </c>
      <c r="F102" s="306">
        <f t="shared" si="61"/>
        <v>-0.38256253398290996</v>
      </c>
      <c r="G102" s="306">
        <f t="shared" si="61"/>
        <v>-0.7875652352774325</v>
      </c>
      <c r="H102" s="306">
        <f t="shared" si="61"/>
        <v>-1.3849891196109771</v>
      </c>
      <c r="I102" s="306">
        <f t="shared" si="61"/>
        <v>-1.7451107037263514</v>
      </c>
    </row>
    <row r="103" spans="1:9">
      <c r="A103" s="548">
        <f t="shared" si="62"/>
        <v>25</v>
      </c>
      <c r="B103" s="306">
        <f t="shared" si="61"/>
        <v>-0.4099487829360271</v>
      </c>
      <c r="C103" s="306">
        <f t="shared" si="61"/>
        <v>-1.1998658252382537</v>
      </c>
      <c r="D103" s="306">
        <f t="shared" si="61"/>
        <v>-1.0027205807139903</v>
      </c>
      <c r="E103" s="306">
        <f t="shared" si="61"/>
        <v>-0.6189247350272199</v>
      </c>
      <c r="F103" s="306">
        <f t="shared" si="61"/>
        <v>-0.39046939981839301</v>
      </c>
      <c r="G103" s="306">
        <f t="shared" si="61"/>
        <v>-0.79402742372376012</v>
      </c>
      <c r="H103" s="306">
        <f t="shared" si="61"/>
        <v>-1.3742468319606989</v>
      </c>
      <c r="I103" s="306">
        <f t="shared" si="61"/>
        <v>-1.7246092190770685</v>
      </c>
    </row>
    <row r="104" spans="1:9">
      <c r="A104" s="548">
        <f t="shared" si="62"/>
        <v>26</v>
      </c>
      <c r="B104" s="306">
        <f t="shared" si="61"/>
        <v>-0.41170668405217814</v>
      </c>
      <c r="C104" s="306">
        <f t="shared" si="61"/>
        <v>-1.2483224425634658</v>
      </c>
      <c r="D104" s="306">
        <f t="shared" si="61"/>
        <v>-0.99100337065277877</v>
      </c>
      <c r="E104" s="306">
        <f t="shared" si="61"/>
        <v>-0.64403109230799438</v>
      </c>
      <c r="F104" s="306">
        <f t="shared" si="61"/>
        <v>-0.40812436076359404</v>
      </c>
      <c r="G104" s="306">
        <f t="shared" si="61"/>
        <v>-0.80082899710580246</v>
      </c>
      <c r="H104" s="306">
        <f t="shared" si="61"/>
        <v>-1.3682633053928126</v>
      </c>
      <c r="I104" s="306">
        <f t="shared" si="61"/>
        <v>-1.7280736293591126</v>
      </c>
    </row>
    <row r="105" spans="1:9">
      <c r="A105" s="548">
        <f t="shared" si="62"/>
        <v>27</v>
      </c>
      <c r="B105" s="306">
        <f t="shared" si="61"/>
        <v>-0.41328525956843309</v>
      </c>
      <c r="C105" s="306">
        <f t="shared" si="61"/>
        <v>-1.3025264119374904</v>
      </c>
      <c r="D105" s="306">
        <f t="shared" si="61"/>
        <v>-0.98075892220822869</v>
      </c>
      <c r="E105" s="306">
        <f t="shared" si="61"/>
        <v>-0.67772053633995322</v>
      </c>
      <c r="F105" s="306">
        <f t="shared" si="61"/>
        <v>-0.43204932107978866</v>
      </c>
      <c r="G105" s="306">
        <f t="shared" si="61"/>
        <v>-0.80597362697750485</v>
      </c>
      <c r="H105" s="306">
        <f t="shared" si="61"/>
        <v>-1.3589445811200958</v>
      </c>
      <c r="I105" s="306">
        <f t="shared" si="61"/>
        <v>-1.7266798954838478</v>
      </c>
    </row>
    <row r="106" spans="1:9">
      <c r="A106" s="548">
        <f t="shared" si="62"/>
        <v>28</v>
      </c>
      <c r="B106" s="306">
        <f t="shared" si="61"/>
        <v>-0.41669761672841599</v>
      </c>
      <c r="C106" s="306">
        <f t="shared" si="61"/>
        <v>-1.3568137721841733</v>
      </c>
      <c r="D106" s="306">
        <f t="shared" si="61"/>
        <v>-0.97309683269157254</v>
      </c>
      <c r="E106" s="306">
        <f t="shared" si="61"/>
        <v>-0.71689163363453257</v>
      </c>
      <c r="F106" s="306">
        <f t="shared" si="61"/>
        <v>-0.46023736379806879</v>
      </c>
      <c r="G106" s="306">
        <f t="shared" si="61"/>
        <v>-0.81150391574271619</v>
      </c>
      <c r="H106" s="306">
        <f t="shared" si="61"/>
        <v>-1.3502620022515766</v>
      </c>
      <c r="I106" s="306">
        <f t="shared" si="61"/>
        <v>-1.7208005399296722</v>
      </c>
    </row>
    <row r="107" spans="1:9">
      <c r="A107" s="548">
        <f t="shared" si="62"/>
        <v>29</v>
      </c>
      <c r="B107" s="306">
        <f t="shared" si="61"/>
        <v>-0.42395155674786622</v>
      </c>
      <c r="C107" s="306">
        <f t="shared" si="61"/>
        <v>-1.4111936220115235</v>
      </c>
      <c r="D107" s="306">
        <f t="shared" si="61"/>
        <v>-0.96681661103850347</v>
      </c>
      <c r="E107" s="306">
        <f t="shared" si="61"/>
        <v>-0.76044591582922394</v>
      </c>
      <c r="F107" s="306">
        <f t="shared" si="61"/>
        <v>-0.49268164652576019</v>
      </c>
      <c r="G107" s="306">
        <f t="shared" si="61"/>
        <v>-0.81845612685743041</v>
      </c>
      <c r="H107" s="306">
        <f t="shared" si="61"/>
        <v>-1.3421899707573828</v>
      </c>
      <c r="I107" s="306">
        <f t="shared" si="61"/>
        <v>-1.7107960803862641</v>
      </c>
    </row>
    <row r="108" spans="1:9">
      <c r="A108" s="548">
        <f t="shared" si="62"/>
        <v>30</v>
      </c>
      <c r="B108" s="306">
        <f t="shared" si="61"/>
        <v>-0.43505012607265714</v>
      </c>
      <c r="C108" s="306">
        <f t="shared" si="61"/>
        <v>-1.4703207716220348</v>
      </c>
      <c r="D108" s="306">
        <f t="shared" si="61"/>
        <v>-0.96272944616187983</v>
      </c>
      <c r="E108" s="306">
        <f t="shared" si="61"/>
        <v>-0.80728784105843077</v>
      </c>
      <c r="F108" s="306">
        <f t="shared" si="61"/>
        <v>-0.52637553846892615</v>
      </c>
      <c r="G108" s="306">
        <f t="shared" si="61"/>
        <v>-0.83086112822228286</v>
      </c>
      <c r="H108" s="306">
        <f t="shared" si="61"/>
        <v>-1.3387054496164001</v>
      </c>
      <c r="I108" s="306">
        <f t="shared" si="61"/>
        <v>-1.6980099521783139</v>
      </c>
    </row>
    <row r="109" spans="1:9">
      <c r="A109" s="548" t="s">
        <v>748</v>
      </c>
      <c r="B109" s="306">
        <f>AVERAGE(B79:B108)</f>
        <v>-0.18899077797530831</v>
      </c>
      <c r="C109" s="306">
        <f t="shared" ref="C109:I109" si="63">AVERAGE(C79:C108)</f>
        <v>-0.96855401657455098</v>
      </c>
      <c r="D109" s="306">
        <f t="shared" si="63"/>
        <v>-0.92281365328892595</v>
      </c>
      <c r="E109" s="306">
        <f t="shared" si="63"/>
        <v>-0.54906647139659781</v>
      </c>
      <c r="F109" s="306">
        <f t="shared" si="63"/>
        <v>-5.1341988902964604E-2</v>
      </c>
      <c r="G109" s="306">
        <f t="shared" si="63"/>
        <v>-0.55235963389507725</v>
      </c>
      <c r="H109" s="306">
        <f t="shared" si="63"/>
        <v>-1.3042791394366025</v>
      </c>
      <c r="I109" s="306">
        <f t="shared" si="63"/>
        <v>-1.6977738945049585</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L67"/>
  <sheetViews>
    <sheetView topLeftCell="L49" workbookViewId="0">
      <selection activeCell="W15" sqref="W15"/>
    </sheetView>
  </sheetViews>
  <sheetFormatPr defaultRowHeight="12.75"/>
  <cols>
    <col min="1" max="1" width="23.85546875" style="548" customWidth="1"/>
    <col min="2" max="12" width="9.140625" style="548"/>
    <col min="13" max="13" width="10.7109375" style="548" bestFit="1" customWidth="1"/>
    <col min="14" max="17" width="9.140625" style="548"/>
    <col min="18" max="18" width="15.85546875" style="548" bestFit="1" customWidth="1"/>
    <col min="19" max="26" width="9.140625" style="548"/>
    <col min="27" max="27" width="19.5703125" style="548" bestFit="1" customWidth="1"/>
    <col min="28" max="30" width="9.140625" style="548"/>
    <col min="39" max="39" width="9.140625" style="548"/>
    <col min="40" max="40" width="12.5703125" style="548" bestFit="1" customWidth="1"/>
    <col min="41" max="16384" width="9.140625" style="548"/>
  </cols>
  <sheetData>
    <row r="1" spans="1:38">
      <c r="AE1" s="548"/>
      <c r="AF1" s="548"/>
      <c r="AG1" s="548"/>
      <c r="AH1" s="548"/>
      <c r="AI1" s="548"/>
      <c r="AJ1" s="548"/>
      <c r="AK1" s="548"/>
      <c r="AL1" s="548"/>
    </row>
    <row r="2" spans="1:38">
      <c r="A2" s="623" t="s">
        <v>723</v>
      </c>
      <c r="C2" s="548" t="s">
        <v>727</v>
      </c>
      <c r="M2" s="619" t="s">
        <v>721</v>
      </c>
      <c r="V2" s="619" t="s">
        <v>722</v>
      </c>
      <c r="AE2" s="548"/>
      <c r="AF2" s="548"/>
      <c r="AG2" s="548"/>
      <c r="AH2" s="548"/>
      <c r="AI2" s="548"/>
      <c r="AJ2" s="548"/>
      <c r="AK2" s="548"/>
      <c r="AL2" s="548"/>
    </row>
    <row r="3" spans="1:38">
      <c r="A3" s="623" t="s">
        <v>724</v>
      </c>
      <c r="AE3" s="548"/>
      <c r="AF3" s="548"/>
      <c r="AG3" s="548"/>
      <c r="AH3" s="548"/>
      <c r="AI3" s="548"/>
      <c r="AJ3" s="548"/>
      <c r="AK3" s="548"/>
      <c r="AL3" s="548"/>
    </row>
    <row r="4" spans="1:38">
      <c r="C4" s="548" t="s">
        <v>126</v>
      </c>
      <c r="D4" s="548" t="s">
        <v>131</v>
      </c>
      <c r="E4" s="548" t="s">
        <v>132</v>
      </c>
      <c r="F4" s="548" t="s">
        <v>133</v>
      </c>
      <c r="G4" s="548" t="s">
        <v>134</v>
      </c>
      <c r="H4" s="548" t="s">
        <v>143</v>
      </c>
      <c r="I4" s="548" t="s">
        <v>135</v>
      </c>
      <c r="J4" s="548" t="s">
        <v>136</v>
      </c>
      <c r="L4" s="548" t="s">
        <v>3</v>
      </c>
      <c r="M4" s="548" t="s">
        <v>728</v>
      </c>
      <c r="N4" s="548" t="s">
        <v>729</v>
      </c>
      <c r="O4" s="548" t="s">
        <v>730</v>
      </c>
      <c r="P4" s="548" t="s">
        <v>731</v>
      </c>
      <c r="Q4" s="548" t="s">
        <v>732</v>
      </c>
      <c r="R4" s="548" t="s">
        <v>733</v>
      </c>
      <c r="S4" s="548" t="s">
        <v>734</v>
      </c>
      <c r="T4" s="548" t="s">
        <v>735</v>
      </c>
      <c r="U4" s="548" t="s">
        <v>832</v>
      </c>
      <c r="W4" s="548" t="s">
        <v>736</v>
      </c>
      <c r="X4" s="548" t="s">
        <v>737</v>
      </c>
      <c r="Y4" s="548" t="s">
        <v>743</v>
      </c>
      <c r="Z4" s="548" t="s">
        <v>742</v>
      </c>
      <c r="AA4" s="548" t="s">
        <v>741</v>
      </c>
      <c r="AB4" s="548" t="s">
        <v>740</v>
      </c>
      <c r="AC4" s="548" t="s">
        <v>739</v>
      </c>
      <c r="AD4" s="548" t="s">
        <v>738</v>
      </c>
      <c r="AE4" s="548" t="s">
        <v>831</v>
      </c>
      <c r="AF4" s="548"/>
      <c r="AG4" s="548"/>
      <c r="AH4" s="548"/>
      <c r="AI4" s="548"/>
      <c r="AJ4" s="548"/>
      <c r="AK4" s="548"/>
      <c r="AL4" s="548"/>
    </row>
    <row r="5" spans="1:38">
      <c r="A5" s="622">
        <v>0.1</v>
      </c>
      <c r="C5" s="620">
        <f t="shared" ref="C5:C14" si="0">W5-M5</f>
        <v>0.10000001025374439</v>
      </c>
      <c r="D5" s="620">
        <f t="shared" ref="D5:D14" si="1">X5-N5</f>
        <v>9.9999995861977053E-2</v>
      </c>
      <c r="E5" s="620">
        <f t="shared" ref="E5:E14" si="2">Y5-O5</f>
        <v>9.9999999300604547E-2</v>
      </c>
      <c r="F5" s="620">
        <f t="shared" ref="F5:F14" si="3">Z5-P5</f>
        <v>0.10000000790857844</v>
      </c>
      <c r="G5" s="620">
        <f t="shared" ref="G5:G14" si="4">AA5-Q5</f>
        <v>0.10000001532476066</v>
      </c>
      <c r="H5" s="620">
        <f t="shared" ref="H5:H14" si="5">AB5-R5</f>
        <v>9.9999999297004566E-2</v>
      </c>
      <c r="I5" s="620">
        <f t="shared" ref="I5:I14" si="6">AC5-S5</f>
        <v>0.10000000001548437</v>
      </c>
      <c r="J5" s="620">
        <f t="shared" ref="J5:J14" si="7">AD5-T5</f>
        <v>0.10000007548052459</v>
      </c>
      <c r="L5" s="548">
        <v>1</v>
      </c>
      <c r="M5" s="621">
        <f>Results!C15*100</f>
        <v>1.9529295053712461</v>
      </c>
      <c r="N5" s="621">
        <f>Results!D15*100</f>
        <v>-0.56156615483697903</v>
      </c>
      <c r="O5" s="621">
        <f>Results!E15*100</f>
        <v>0.71917076632440569</v>
      </c>
      <c r="P5" s="621">
        <f>Results!F15*100</f>
        <v>-0.95307287288356923</v>
      </c>
      <c r="Q5" s="621">
        <f>Results!G15*100</f>
        <v>1.8322448071752238</v>
      </c>
      <c r="R5" s="621">
        <f>Results!H15*100</f>
        <v>-0.16373983914076176</v>
      </c>
      <c r="S5" s="621">
        <f>Results!I15*100</f>
        <v>1.0122456452067696</v>
      </c>
      <c r="T5" s="621">
        <f>Results!J15*100</f>
        <v>1.3062090287444512</v>
      </c>
      <c r="U5" s="621">
        <f>Results!K15*100</f>
        <v>1.9655575643202603</v>
      </c>
      <c r="W5" s="629">
        <f>'Interpolations USD'!J23*100</f>
        <v>2.0529295156249905</v>
      </c>
      <c r="X5" s="629">
        <f>'Interpolations Euro'!J22*100</f>
        <v>-0.46156615897500197</v>
      </c>
      <c r="Y5" s="629">
        <f>'Interpolations GBP'!J22*100</f>
        <v>0.81917076562501023</v>
      </c>
      <c r="Z5" s="629">
        <f>'Interpolations CHF'!J22*100</f>
        <v>-0.8530728649749908</v>
      </c>
      <c r="AA5" s="629">
        <f>'Interpolations CAD'!J22*100</f>
        <v>1.9322448224999844</v>
      </c>
      <c r="AB5" s="629">
        <f>'Interpolations JPY'!J22*100</f>
        <v>-6.3739839843757196E-2</v>
      </c>
      <c r="AC5" s="629">
        <f>'Interpolations AUD'!J22*100</f>
        <v>1.112245645222254</v>
      </c>
      <c r="AD5" s="629">
        <f>'Interpolations NZD'!J22*100</f>
        <v>1.4062091042249758</v>
      </c>
      <c r="AE5" s="548">
        <f>'Interpolations HKD'!J22*100</f>
        <v>2.0655575624999978</v>
      </c>
      <c r="AF5" s="548"/>
      <c r="AG5" s="548"/>
      <c r="AH5" s="548"/>
      <c r="AI5" s="548"/>
      <c r="AJ5" s="548"/>
      <c r="AK5" s="548"/>
      <c r="AL5" s="548"/>
    </row>
    <row r="6" spans="1:38">
      <c r="A6" s="622">
        <v>9.2171553749999954E-2</v>
      </c>
      <c r="C6" s="620">
        <f t="shared" si="0"/>
        <v>0.10193362953663243</v>
      </c>
      <c r="D6" s="620">
        <f t="shared" si="1"/>
        <v>9.9948958864948256E-2</v>
      </c>
      <c r="E6" s="620">
        <f t="shared" si="2"/>
        <v>0.10016765366627212</v>
      </c>
      <c r="F6" s="620">
        <f t="shared" si="3"/>
        <v>9.9844878236099444E-2</v>
      </c>
      <c r="G6" s="620">
        <f t="shared" si="4"/>
        <v>0.10119846265801424</v>
      </c>
      <c r="H6" s="620">
        <f t="shared" si="5"/>
        <v>9.9982735650050447E-2</v>
      </c>
      <c r="I6" s="620">
        <f t="shared" si="6"/>
        <v>0.100221283233215</v>
      </c>
      <c r="J6" s="620">
        <f t="shared" si="7"/>
        <v>0.10046257430256222</v>
      </c>
      <c r="L6" s="548">
        <f>L5+1</f>
        <v>2</v>
      </c>
      <c r="M6" s="621">
        <f>Results!C16*100</f>
        <v>1.7406770945633809</v>
      </c>
      <c r="N6" s="621">
        <f>Results!D16*100</f>
        <v>-0.5826650116399601</v>
      </c>
      <c r="O6" s="621">
        <f>Results!E16*100</f>
        <v>0.67577173961772541</v>
      </c>
      <c r="P6" s="621">
        <f>Results!F16*100</f>
        <v>-0.98786462823609034</v>
      </c>
      <c r="Q6" s="621">
        <f>Results!G16*100</f>
        <v>1.6976189489419591</v>
      </c>
      <c r="R6" s="621">
        <f>Results!H16*100</f>
        <v>-0.19870835674379306</v>
      </c>
      <c r="S6" s="621">
        <f>Results!I16*100</f>
        <v>0.97068054377302815</v>
      </c>
      <c r="T6" s="621">
        <f>Results!J16*100</f>
        <v>1.2364763163224435</v>
      </c>
      <c r="U6" s="621">
        <f>Results!K16*100</f>
        <v>1.7235744008102349</v>
      </c>
      <c r="W6" s="629">
        <f>'Interpolations USD'!J24*100</f>
        <v>1.8426107241000134</v>
      </c>
      <c r="X6" s="629">
        <f>'Interpolations Euro'!J23*100</f>
        <v>-0.48271605277501184</v>
      </c>
      <c r="Y6" s="629">
        <f>'Interpolations GBP'!J23*100</f>
        <v>0.77593939328399752</v>
      </c>
      <c r="Z6" s="629">
        <f>'Interpolations CHF'!J23*100</f>
        <v>-0.88801974999999089</v>
      </c>
      <c r="AA6" s="629">
        <f>'Interpolations CAD'!J23*100</f>
        <v>1.7988174115999733</v>
      </c>
      <c r="AB6" s="629">
        <f>'Interpolations JPY'!J23*100</f>
        <v>-9.872562109374261E-2</v>
      </c>
      <c r="AC6" s="629">
        <f>'Interpolations AUD'!J23*100</f>
        <v>1.0709018270062431</v>
      </c>
      <c r="AD6" s="629">
        <f>'Interpolations NZD'!J23*100</f>
        <v>1.3369388906250057</v>
      </c>
      <c r="AE6" s="548">
        <f>'Interpolations HKD'!J23*100</f>
        <v>1.8257582656249882</v>
      </c>
      <c r="AF6" s="548"/>
      <c r="AG6" s="548"/>
      <c r="AH6" s="548"/>
      <c r="AI6" s="548"/>
      <c r="AJ6" s="548"/>
      <c r="AK6" s="548"/>
      <c r="AL6" s="548"/>
    </row>
    <row r="7" spans="1:38">
      <c r="A7" s="622">
        <v>9.0019726249999918E-2</v>
      </c>
      <c r="C7" s="620">
        <f t="shared" si="0"/>
        <v>0.10239383319134987</v>
      </c>
      <c r="D7" s="620">
        <f t="shared" si="1"/>
        <v>0.10008567638671861</v>
      </c>
      <c r="E7" s="620">
        <f t="shared" si="2"/>
        <v>0.10010209907187484</v>
      </c>
      <c r="F7" s="620">
        <f t="shared" si="3"/>
        <v>0.10019714493185727</v>
      </c>
      <c r="G7" s="620">
        <f t="shared" si="4"/>
        <v>0.10156276722701474</v>
      </c>
      <c r="H7" s="620">
        <f t="shared" si="5"/>
        <v>9.9967942134215892E-2</v>
      </c>
      <c r="I7" s="620">
        <f t="shared" si="6"/>
        <v>9.9918952085631396E-2</v>
      </c>
      <c r="J7" s="620">
        <f t="shared" si="7"/>
        <v>0.10020303339184355</v>
      </c>
      <c r="L7" s="548">
        <f t="shared" ref="L7:L34" si="8">L6+1</f>
        <v>3</v>
      </c>
      <c r="M7" s="621">
        <f>Results!C17*100</f>
        <v>1.6757410720336541</v>
      </c>
      <c r="N7" s="621">
        <f>Results!D17*100</f>
        <v>-0.55696263948672442</v>
      </c>
      <c r="O7" s="621">
        <f>Results!E17*100</f>
        <v>0.6771021771531105</v>
      </c>
      <c r="P7" s="621">
        <f>Results!F17*100</f>
        <v>-0.95336958243186221</v>
      </c>
      <c r="Q7" s="621">
        <f>Results!G17*100</f>
        <v>1.6527646349979719</v>
      </c>
      <c r="R7" s="621">
        <f>Results!H17*100</f>
        <v>-0.21493487963420987</v>
      </c>
      <c r="S7" s="621">
        <f>Results!I17*100</f>
        <v>0.99210617712339744</v>
      </c>
      <c r="T7" s="621">
        <f>Results!J17*100</f>
        <v>1.244688647008152</v>
      </c>
      <c r="U7" s="621">
        <f>Results!K17*100</f>
        <v>1.6448057860648513</v>
      </c>
      <c r="W7" s="629">
        <f>'Interpolations USD'!J25*100</f>
        <v>1.7781349052250039</v>
      </c>
      <c r="X7" s="629">
        <f>'Interpolations Euro'!J24*100</f>
        <v>-0.45687696310000581</v>
      </c>
      <c r="Y7" s="629">
        <f>'Interpolations GBP'!J24*100</f>
        <v>0.77720427622498534</v>
      </c>
      <c r="Z7" s="629">
        <f>'Interpolations CHF'!J24*100</f>
        <v>-0.85317243750000493</v>
      </c>
      <c r="AA7" s="629">
        <f>'Interpolations CAD'!J24*100</f>
        <v>1.7543274022249866</v>
      </c>
      <c r="AB7" s="629">
        <f>'Interpolations JPY'!J24*100</f>
        <v>-0.11496693749999398</v>
      </c>
      <c r="AC7" s="629">
        <f>'Interpolations AUD'!J24*100</f>
        <v>1.0920251292090288</v>
      </c>
      <c r="AD7" s="629">
        <f>'Interpolations NZD'!J24*100</f>
        <v>1.3448916803999955</v>
      </c>
      <c r="AE7" s="548">
        <f>'Interpolations HKD'!J24*100</f>
        <v>1.7475689999999933</v>
      </c>
      <c r="AF7" s="548"/>
      <c r="AG7" s="548"/>
      <c r="AH7" s="548"/>
      <c r="AI7" s="548"/>
      <c r="AJ7" s="548"/>
      <c r="AK7" s="548"/>
      <c r="AL7" s="548"/>
    </row>
    <row r="8" spans="1:38">
      <c r="A8" s="622">
        <v>8.6335318750000015E-2</v>
      </c>
      <c r="C8" s="620">
        <f t="shared" si="0"/>
        <v>0.10200603134473685</v>
      </c>
      <c r="D8" s="620">
        <f t="shared" si="1"/>
        <v>0.10036914851322409</v>
      </c>
      <c r="E8" s="620">
        <f t="shared" si="2"/>
        <v>9.9849404361385119E-2</v>
      </c>
      <c r="F8" s="620">
        <f t="shared" si="3"/>
        <v>0.10079172992566443</v>
      </c>
      <c r="G8" s="620">
        <f t="shared" si="4"/>
        <v>0.10167301712284971</v>
      </c>
      <c r="H8" s="620">
        <f t="shared" si="5"/>
        <v>9.9975958285591915E-2</v>
      </c>
      <c r="I8" s="620">
        <f t="shared" si="6"/>
        <v>9.9032058438641712E-2</v>
      </c>
      <c r="J8" s="620">
        <f t="shared" si="7"/>
        <v>9.9464857676623275E-2</v>
      </c>
      <c r="L8" s="548">
        <f t="shared" si="8"/>
        <v>4</v>
      </c>
      <c r="M8" s="621">
        <f>Results!C18*100</f>
        <v>1.6679573407552439</v>
      </c>
      <c r="N8" s="621">
        <f>Results!D18*100</f>
        <v>-0.50585726148822951</v>
      </c>
      <c r="O8" s="621">
        <f>Results!E18*100</f>
        <v>0.69642946586363497</v>
      </c>
      <c r="P8" s="621">
        <f>Results!F18*100</f>
        <v>-0.89919172992566354</v>
      </c>
      <c r="Q8" s="621">
        <f>Results!G18*100</f>
        <v>1.6330858961021377</v>
      </c>
      <c r="R8" s="621">
        <f>Results!H18*100</f>
        <v>-0.2149428957855859</v>
      </c>
      <c r="S8" s="621">
        <f>Results!I18*100</f>
        <v>1.0452226440613721</v>
      </c>
      <c r="T8" s="621">
        <f>Results!J18*100</f>
        <v>1.2785500245483972</v>
      </c>
      <c r="U8" s="621">
        <f>Results!K18*100</f>
        <v>1.6299882122731812</v>
      </c>
      <c r="W8" s="629">
        <f>'Interpolations USD'!J26*100</f>
        <v>1.7699633720999808</v>
      </c>
      <c r="X8" s="629">
        <f>'Interpolations Euro'!J25*100</f>
        <v>-0.40548811297500542</v>
      </c>
      <c r="Y8" s="629">
        <f>'Interpolations GBP'!J25*100</f>
        <v>0.79627887022502009</v>
      </c>
      <c r="Z8" s="629">
        <f>'Interpolations CHF'!J25*100</f>
        <v>-0.79839999999999911</v>
      </c>
      <c r="AA8" s="629">
        <f>'Interpolations CAD'!J25*100</f>
        <v>1.7347589132249874</v>
      </c>
      <c r="AB8" s="629">
        <f>'Interpolations JPY'!J25*100</f>
        <v>-0.11496693749999398</v>
      </c>
      <c r="AC8" s="629">
        <f>'Interpolations AUD'!J25*100</f>
        <v>1.1442547025000138</v>
      </c>
      <c r="AD8" s="629">
        <f>'Interpolations NZD'!J25*100</f>
        <v>1.3780148822250204</v>
      </c>
      <c r="AE8" s="548">
        <f>'Interpolations HKD'!J25*100</f>
        <v>1.7324390625000241</v>
      </c>
      <c r="AF8" s="548"/>
      <c r="AG8" s="548"/>
      <c r="AH8" s="548"/>
      <c r="AI8" s="548"/>
      <c r="AJ8" s="548"/>
      <c r="AK8" s="548"/>
      <c r="AL8" s="548"/>
    </row>
    <row r="9" spans="1:38">
      <c r="A9" s="622">
        <v>8.3207477499999988E-2</v>
      </c>
      <c r="C9" s="620">
        <f t="shared" si="0"/>
        <v>0.10084553934406326</v>
      </c>
      <c r="D9" s="620">
        <f t="shared" si="1"/>
        <v>0.10071334599069948</v>
      </c>
      <c r="E9" s="620">
        <f t="shared" si="2"/>
        <v>9.9405721864398444E-2</v>
      </c>
      <c r="F9" s="620">
        <f t="shared" si="3"/>
        <v>0.10160874167852718</v>
      </c>
      <c r="G9" s="620">
        <f t="shared" si="4"/>
        <v>0.10131407542044446</v>
      </c>
      <c r="H9" s="620">
        <f t="shared" si="5"/>
        <v>0.10000718605772674</v>
      </c>
      <c r="I9" s="620">
        <f t="shared" si="6"/>
        <v>9.7575528499516118E-2</v>
      </c>
      <c r="J9" s="620">
        <f t="shared" si="7"/>
        <v>9.7965529258070561E-2</v>
      </c>
      <c r="L9" s="548">
        <f t="shared" si="8"/>
        <v>5</v>
      </c>
      <c r="M9" s="621">
        <f>Results!C19*100</f>
        <v>1.6905057495559594</v>
      </c>
      <c r="N9" s="621">
        <f>Results!D19*100</f>
        <v>-0.43633127396568439</v>
      </c>
      <c r="O9" s="621">
        <f>Results!E19*100</f>
        <v>0.72508677773559516</v>
      </c>
      <c r="P9" s="621">
        <f>Results!F19*100</f>
        <v>-0.82878196105352631</v>
      </c>
      <c r="Q9" s="621">
        <f>Results!G19*100</f>
        <v>1.6341508845795438</v>
      </c>
      <c r="R9" s="621">
        <f>Results!H19*100</f>
        <v>-0.20311059656547004</v>
      </c>
      <c r="S9" s="621">
        <f>Results!I19*100</f>
        <v>1.112060561500483</v>
      </c>
      <c r="T9" s="621">
        <f>Results!J19*100</f>
        <v>1.3346288613669266</v>
      </c>
      <c r="U9" s="621">
        <f>Results!K19*100</f>
        <v>1.6356936820631329</v>
      </c>
      <c r="W9" s="629">
        <f>'Interpolations USD'!J27*100</f>
        <v>1.7913512889000227</v>
      </c>
      <c r="X9" s="629">
        <f>'Interpolations Euro'!J26*100</f>
        <v>-0.33561792797498491</v>
      </c>
      <c r="Y9" s="629">
        <f>'Interpolations GBP'!J26*100</f>
        <v>0.8244924995999936</v>
      </c>
      <c r="Z9" s="629">
        <f>'Interpolations CHF'!J26*100</f>
        <v>-0.72717321937499912</v>
      </c>
      <c r="AA9" s="629">
        <f>'Interpolations CAD'!J26*100</f>
        <v>1.7354649599999883</v>
      </c>
      <c r="AB9" s="629">
        <f>'Interpolations JPY'!J26*100</f>
        <v>-0.1031034105077433</v>
      </c>
      <c r="AC9" s="629">
        <f>'Interpolations AUD'!J26*100</f>
        <v>1.2096360899999992</v>
      </c>
      <c r="AD9" s="629">
        <f>'Interpolations NZD'!J26*100</f>
        <v>1.4325943906249972</v>
      </c>
      <c r="AE9" s="548">
        <f>'Interpolations HKD'!J26*100</f>
        <v>1.7374822500000109</v>
      </c>
      <c r="AF9" s="548"/>
      <c r="AG9" s="548"/>
      <c r="AH9" s="548"/>
      <c r="AI9" s="548"/>
      <c r="AJ9" s="548"/>
      <c r="AK9" s="548"/>
      <c r="AL9" s="548"/>
    </row>
    <row r="10" spans="1:38">
      <c r="A10" s="622">
        <v>7.917537249999998E-2</v>
      </c>
      <c r="C10" s="620">
        <f t="shared" si="0"/>
        <v>9.8960827955063557E-2</v>
      </c>
      <c r="D10" s="620">
        <f t="shared" si="1"/>
        <v>0.10096663345219303</v>
      </c>
      <c r="E10" s="620">
        <f t="shared" si="2"/>
        <v>9.8821483081557027E-2</v>
      </c>
      <c r="F10" s="620">
        <f t="shared" si="3"/>
        <v>0.1024624657779305</v>
      </c>
      <c r="G10" s="620">
        <f t="shared" si="4"/>
        <v>0.10031960627807646</v>
      </c>
      <c r="H10" s="620">
        <f t="shared" si="5"/>
        <v>0.10004341370538627</v>
      </c>
      <c r="I10" s="620">
        <f t="shared" si="6"/>
        <v>9.5372585990505243E-2</v>
      </c>
      <c r="J10" s="620">
        <f t="shared" si="7"/>
        <v>9.5517955611001959E-2</v>
      </c>
      <c r="L10" s="548">
        <f t="shared" si="8"/>
        <v>6</v>
      </c>
      <c r="M10" s="621">
        <f>Results!C20*100</f>
        <v>1.7299256329449619</v>
      </c>
      <c r="N10" s="621">
        <f>Results!D20*100</f>
        <v>-0.35610368822719396</v>
      </c>
      <c r="O10" s="621">
        <f>Results!E20*100</f>
        <v>0.75634903247467911</v>
      </c>
      <c r="P10" s="621">
        <f>Results!F20*100</f>
        <v>-0.75140621577792777</v>
      </c>
      <c r="Q10" s="621">
        <f>Results!G20*100</f>
        <v>1.6526964466219152</v>
      </c>
      <c r="R10" s="621">
        <f>Results!H20*100</f>
        <v>-0.18502535120539232</v>
      </c>
      <c r="S10" s="621">
        <f>Results!I20*100</f>
        <v>1.1897298165094883</v>
      </c>
      <c r="T10" s="621">
        <f>Results!J20*100</f>
        <v>1.4072860639890106</v>
      </c>
      <c r="U10" s="621">
        <f>Results!K20*100</f>
        <v>1.6483089686629926</v>
      </c>
      <c r="W10" s="629">
        <f>'Interpolations USD'!J28*100</f>
        <v>1.8288864609000255</v>
      </c>
      <c r="X10" s="629">
        <f>'Interpolations Euro'!J27*100</f>
        <v>-0.25513705477500093</v>
      </c>
      <c r="Y10" s="629">
        <f>'Interpolations GBP'!J27*100</f>
        <v>0.85517051555623613</v>
      </c>
      <c r="Z10" s="629">
        <f>'Interpolations CHF'!J27*100</f>
        <v>-0.64894374999999727</v>
      </c>
      <c r="AA10" s="629">
        <f>'Interpolations CAD'!J27*100</f>
        <v>1.7530160528999916</v>
      </c>
      <c r="AB10" s="629">
        <f>'Interpolations JPY'!J27*100</f>
        <v>-8.4981937500006044E-2</v>
      </c>
      <c r="AC10" s="629">
        <f>'Interpolations AUD'!J27*100</f>
        <v>1.2851024024999935</v>
      </c>
      <c r="AD10" s="629">
        <f>'Interpolations NZD'!J27*100</f>
        <v>1.5028040196000125</v>
      </c>
      <c r="AE10" s="548">
        <f>'Interpolations HKD'!J27*100</f>
        <v>1.7589171914062618</v>
      </c>
      <c r="AF10" s="548"/>
      <c r="AG10" s="548"/>
      <c r="AH10" s="548"/>
      <c r="AI10" s="548"/>
      <c r="AJ10" s="548"/>
      <c r="AK10" s="548"/>
      <c r="AL10" s="548"/>
    </row>
    <row r="11" spans="1:38">
      <c r="A11" s="622">
        <v>7.4758290000000033E-2</v>
      </c>
      <c r="C11" s="620">
        <f t="shared" si="0"/>
        <v>9.6778846293488208E-2</v>
      </c>
      <c r="D11" s="620">
        <f t="shared" si="1"/>
        <v>0.10098997366084772</v>
      </c>
      <c r="E11" s="620">
        <f t="shared" si="2"/>
        <v>9.808012175298586E-2</v>
      </c>
      <c r="F11" s="620">
        <f t="shared" si="3"/>
        <v>0.10332505886845311</v>
      </c>
      <c r="G11" s="620">
        <f t="shared" si="4"/>
        <v>9.8891433208403434E-2</v>
      </c>
      <c r="H11" s="620">
        <f t="shared" si="5"/>
        <v>0.10007125639140968</v>
      </c>
      <c r="I11" s="620">
        <f t="shared" si="6"/>
        <v>9.2425903071458038E-2</v>
      </c>
      <c r="J11" s="620">
        <f t="shared" si="7"/>
        <v>9.2244373037453364E-2</v>
      </c>
      <c r="L11" s="548">
        <f t="shared" si="8"/>
        <v>7</v>
      </c>
      <c r="M11" s="621">
        <f>Results!C21*100</f>
        <v>1.771971083731505</v>
      </c>
      <c r="N11" s="621">
        <f>Results!D21*100</f>
        <v>-0.27201678563585352</v>
      </c>
      <c r="O11" s="621">
        <f>Results!E21*100</f>
        <v>0.78923953407101788</v>
      </c>
      <c r="P11" s="621">
        <f>Results!F21*100</f>
        <v>-0.66254105886845993</v>
      </c>
      <c r="Q11" s="621">
        <f>Results!G21*100</f>
        <v>1.6793443571916145</v>
      </c>
      <c r="R11" s="621">
        <f>Results!H21*100</f>
        <v>-0.16009224738916528</v>
      </c>
      <c r="S11" s="621">
        <f>Results!I21*100</f>
        <v>1.272198096928534</v>
      </c>
      <c r="T11" s="621">
        <f>Results!J21*100</f>
        <v>1.4864375175875688</v>
      </c>
      <c r="U11" s="621">
        <f>Results!K21*100</f>
        <v>1.6810607285236756</v>
      </c>
      <c r="W11" s="629">
        <f>'Interpolations USD'!J29*100</f>
        <v>1.8687499300249932</v>
      </c>
      <c r="X11" s="629">
        <f>'Interpolations Euro'!J28*100</f>
        <v>-0.1710268119750058</v>
      </c>
      <c r="Y11" s="629">
        <f>'Interpolations GBP'!J28*100</f>
        <v>0.88731965582400374</v>
      </c>
      <c r="Z11" s="629">
        <f>'Interpolations CHF'!J28*100</f>
        <v>-0.55921600000000682</v>
      </c>
      <c r="AA11" s="629">
        <f>'Interpolations CAD'!J28*100</f>
        <v>1.7782357904000179</v>
      </c>
      <c r="AB11" s="629">
        <f>'Interpolations JPY'!J28*100</f>
        <v>-6.0020990997755597E-2</v>
      </c>
      <c r="AC11" s="629">
        <f>'Interpolations AUD'!J28*100</f>
        <v>1.3646239999999921</v>
      </c>
      <c r="AD11" s="629">
        <f>'Interpolations NZD'!J28*100</f>
        <v>1.5786818906250222</v>
      </c>
      <c r="AE11" s="548">
        <f>'Interpolations HKD'!J28*100</f>
        <v>1.7803543906250052</v>
      </c>
      <c r="AF11" s="548"/>
      <c r="AG11" s="548"/>
      <c r="AH11" s="548"/>
      <c r="AI11" s="548"/>
      <c r="AJ11" s="548"/>
      <c r="AK11" s="548"/>
      <c r="AL11" s="548"/>
    </row>
    <row r="12" spans="1:38">
      <c r="A12" s="622">
        <v>7.046508999999998E-2</v>
      </c>
      <c r="C12" s="620">
        <f t="shared" si="0"/>
        <v>9.4112051853212364E-2</v>
      </c>
      <c r="D12" s="620">
        <f t="shared" si="1"/>
        <v>0.10067870278090973</v>
      </c>
      <c r="E12" s="620">
        <f t="shared" si="2"/>
        <v>9.7198462055669843E-2</v>
      </c>
      <c r="F12" s="620">
        <f t="shared" si="3"/>
        <v>0.10388297020935688</v>
      </c>
      <c r="G12" s="620">
        <f t="shared" si="4"/>
        <v>9.7029078798538393E-2</v>
      </c>
      <c r="H12" s="620">
        <f t="shared" si="5"/>
        <v>0.10006401188437097</v>
      </c>
      <c r="I12" s="620">
        <f t="shared" si="6"/>
        <v>8.8972809210585702E-2</v>
      </c>
      <c r="J12" s="620">
        <f t="shared" si="7"/>
        <v>8.8375585831101944E-2</v>
      </c>
      <c r="L12" s="548">
        <f t="shared" si="8"/>
        <v>8</v>
      </c>
      <c r="M12" s="621">
        <f>Results!C22*100</f>
        <v>1.8176386163717861</v>
      </c>
      <c r="N12" s="621">
        <f>Results!D22*100</f>
        <v>-0.1835615217559039</v>
      </c>
      <c r="O12" s="621">
        <f>Results!E22*100</f>
        <v>0.8223055948443081</v>
      </c>
      <c r="P12" s="621">
        <f>Results!F22*100</f>
        <v>-0.57831890770936312</v>
      </c>
      <c r="Q12" s="621">
        <f>Results!G22*100</f>
        <v>1.7113736214264819</v>
      </c>
      <c r="R12" s="621">
        <f>Results!H22*100</f>
        <v>-0.13131157047810982</v>
      </c>
      <c r="S12" s="621">
        <f>Results!I22*100</f>
        <v>1.3521824307894059</v>
      </c>
      <c r="T12" s="621">
        <f>Results!J22*100</f>
        <v>1.564901819793918</v>
      </c>
      <c r="U12" s="621">
        <f>Results!K22*100</f>
        <v>1.7047112412306387</v>
      </c>
      <c r="W12" s="629">
        <f>'Interpolations USD'!J30*100</f>
        <v>1.9117506682249985</v>
      </c>
      <c r="X12" s="629">
        <f>'Interpolations Euro'!J29*100</f>
        <v>-8.2882818974994166E-2</v>
      </c>
      <c r="Y12" s="629">
        <f>'Interpolations GBP'!J29*100</f>
        <v>0.91950405689997794</v>
      </c>
      <c r="Z12" s="629">
        <f>'Interpolations CHF'!J29*100</f>
        <v>-0.47443593750000623</v>
      </c>
      <c r="AA12" s="629">
        <f>'Interpolations CAD'!J29*100</f>
        <v>1.8084027002250203</v>
      </c>
      <c r="AB12" s="629">
        <f>'Interpolations JPY'!J29*100</f>
        <v>-3.1247558593738844E-2</v>
      </c>
      <c r="AC12" s="629">
        <f>'Interpolations AUD'!J29*100</f>
        <v>1.4411552399999916</v>
      </c>
      <c r="AD12" s="629">
        <f>'Interpolations NZD'!J29*100</f>
        <v>1.6532774056250199</v>
      </c>
      <c r="AE12" s="548">
        <f>'Interpolations HKD'!J29*100</f>
        <v>1.814826777777756</v>
      </c>
      <c r="AF12" s="548"/>
      <c r="AG12" s="548"/>
      <c r="AH12" s="548"/>
      <c r="AI12" s="548"/>
      <c r="AJ12" s="548"/>
      <c r="AK12" s="548"/>
      <c r="AL12" s="548"/>
    </row>
    <row r="13" spans="1:38">
      <c r="A13" s="622">
        <v>6.6163787500000043E-2</v>
      </c>
      <c r="C13" s="620">
        <f t="shared" si="0"/>
        <v>9.1240720232255157E-2</v>
      </c>
      <c r="D13" s="620">
        <f t="shared" si="1"/>
        <v>9.995120299418625E-2</v>
      </c>
      <c r="E13" s="620">
        <f t="shared" si="2"/>
        <v>9.6171311518999936E-2</v>
      </c>
      <c r="F13" s="620">
        <f t="shared" si="3"/>
        <v>0.10416956330635552</v>
      </c>
      <c r="G13" s="620">
        <f t="shared" si="4"/>
        <v>9.4785949824660598E-2</v>
      </c>
      <c r="H13" s="620">
        <f t="shared" si="5"/>
        <v>9.999609184511149E-2</v>
      </c>
      <c r="I13" s="620">
        <f t="shared" si="6"/>
        <v>8.5294776335631539E-2</v>
      </c>
      <c r="J13" s="620">
        <f t="shared" si="7"/>
        <v>8.4079966236938475E-2</v>
      </c>
      <c r="L13" s="548">
        <f t="shared" si="8"/>
        <v>9</v>
      </c>
      <c r="M13" s="621">
        <f>Results!C23*100</f>
        <v>1.861904203992748</v>
      </c>
      <c r="N13" s="621">
        <f>Results!D23*100</f>
        <v>-9.5451152369185888E-2</v>
      </c>
      <c r="O13" s="621">
        <f>Results!E23*100</f>
        <v>0.8552710926212459</v>
      </c>
      <c r="P13" s="621">
        <f>Results!F23*100</f>
        <v>-0.49378931330635867</v>
      </c>
      <c r="Q13" s="621">
        <f>Results!G23*100</f>
        <v>1.7463110234003709</v>
      </c>
      <c r="R13" s="621">
        <f>Results!H23*100</f>
        <v>-9.8746087938861304E-2</v>
      </c>
      <c r="S13" s="621">
        <f>Results!I23*100</f>
        <v>1.4253677861643776</v>
      </c>
      <c r="T13" s="621">
        <f>Results!J23*100</f>
        <v>1.6396851061630802</v>
      </c>
      <c r="U13" s="621">
        <f>Results!K23*100</f>
        <v>1.7424327817851637</v>
      </c>
      <c r="W13" s="629">
        <f>'Interpolations USD'!J31*100</f>
        <v>1.9531449242250032</v>
      </c>
      <c r="X13" s="629">
        <f>'Interpolations Euro'!J30*100</f>
        <v>4.5000506250003625E-3</v>
      </c>
      <c r="Y13" s="629">
        <f>'Interpolations GBP'!J30*100</f>
        <v>0.95144240414024583</v>
      </c>
      <c r="Z13" s="629">
        <f>'Interpolations CHF'!J30*100</f>
        <v>-0.38961975000000315</v>
      </c>
      <c r="AA13" s="629">
        <f>'Interpolations CAD'!J30*100</f>
        <v>1.8410969732250315</v>
      </c>
      <c r="AB13" s="629">
        <f>'Interpolations JPY'!J30*100</f>
        <v>1.2500039062501855E-3</v>
      </c>
      <c r="AC13" s="629">
        <f>'Interpolations AUD'!J30*100</f>
        <v>1.5106625625000092</v>
      </c>
      <c r="AD13" s="629">
        <f>'Interpolations NZD'!J30*100</f>
        <v>1.7237650724000186</v>
      </c>
      <c r="AE13" s="548">
        <f>'Interpolations HKD'!J30*100</f>
        <v>1.8493050017361234</v>
      </c>
      <c r="AF13" s="548"/>
      <c r="AG13" s="548"/>
      <c r="AH13" s="548"/>
      <c r="AI13" s="548"/>
      <c r="AJ13" s="548"/>
      <c r="AK13" s="548"/>
      <c r="AL13" s="548"/>
    </row>
    <row r="14" spans="1:38">
      <c r="A14" s="622">
        <v>6.0863873749999839E-2</v>
      </c>
      <c r="C14" s="620">
        <f t="shared" si="0"/>
        <v>8.8130054541357694E-2</v>
      </c>
      <c r="D14" s="620">
        <f t="shared" si="1"/>
        <v>9.8802964577826558E-2</v>
      </c>
      <c r="E14" s="620">
        <f t="shared" si="2"/>
        <v>9.5044274062838774E-2</v>
      </c>
      <c r="F14" s="620">
        <f t="shared" si="3"/>
        <v>0.10411443588588254</v>
      </c>
      <c r="G14" s="620">
        <f t="shared" si="4"/>
        <v>9.2265847728700834E-2</v>
      </c>
      <c r="H14" s="620">
        <f t="shared" si="5"/>
        <v>9.984785509834504E-2</v>
      </c>
      <c r="I14" s="620">
        <f t="shared" si="6"/>
        <v>8.1456438540827847E-2</v>
      </c>
      <c r="J14" s="620">
        <f t="shared" si="7"/>
        <v>7.9358237573479151E-2</v>
      </c>
      <c r="L14" s="548">
        <f t="shared" si="8"/>
        <v>10</v>
      </c>
      <c r="M14" s="621">
        <f>Results!C24*100</f>
        <v>1.905003642683667</v>
      </c>
      <c r="N14" s="621">
        <f>Results!D24*100</f>
        <v>-1.0883648552839631E-2</v>
      </c>
      <c r="O14" s="621">
        <f>Results!E24*100</f>
        <v>0.88695476633717796</v>
      </c>
      <c r="P14" s="621">
        <f>Results!F24*100</f>
        <v>-0.41387418588588742</v>
      </c>
      <c r="Q14" s="621">
        <f>Results!G24*100</f>
        <v>1.7819343778962882</v>
      </c>
      <c r="R14" s="621">
        <f>Results!H24*100</f>
        <v>-6.4844792598328649E-2</v>
      </c>
      <c r="S14" s="621">
        <f>Results!I24*100</f>
        <v>1.4921862020841559</v>
      </c>
      <c r="T14" s="621">
        <f>Results!J24*100</f>
        <v>1.711085028051551</v>
      </c>
      <c r="U14" s="621">
        <f>Results!K24*100</f>
        <v>1.7917520689462174</v>
      </c>
      <c r="W14" s="629">
        <f>'Interpolations USD'!J32*100</f>
        <v>1.9931336972250246</v>
      </c>
      <c r="X14" s="629">
        <f>'Interpolations Euro'!J31*100</f>
        <v>8.7919316024986927E-2</v>
      </c>
      <c r="Y14" s="629">
        <f>'Interpolations GBP'!J31*100</f>
        <v>0.98199904040001673</v>
      </c>
      <c r="Z14" s="629">
        <f>'Interpolations CHF'!J31*100</f>
        <v>-0.30975975000000489</v>
      </c>
      <c r="AA14" s="629">
        <f>'Interpolations CAD'!J31*100</f>
        <v>1.874200225624989</v>
      </c>
      <c r="AB14" s="629">
        <f>'Interpolations JPY'!J31*100</f>
        <v>3.5003062500016391E-2</v>
      </c>
      <c r="AC14" s="629">
        <f>'Interpolations AUD'!J31*100</f>
        <v>1.5736426406249837</v>
      </c>
      <c r="AD14" s="629">
        <f>'Interpolations NZD'!J31*100</f>
        <v>1.7904432656250302</v>
      </c>
      <c r="AE14" s="548">
        <f>'Interpolations HKD'!J31*100</f>
        <v>1.8837890624999742</v>
      </c>
      <c r="AF14" s="548"/>
      <c r="AG14" s="548"/>
      <c r="AH14" s="548"/>
      <c r="AI14" s="548"/>
      <c r="AJ14" s="548"/>
      <c r="AK14" s="548"/>
      <c r="AL14" s="548"/>
    </row>
    <row r="15" spans="1:38">
      <c r="A15" s="622"/>
      <c r="C15" s="620">
        <f>W15-M15</f>
        <v>8.4678416037475834E-2</v>
      </c>
      <c r="D15" s="620"/>
      <c r="E15" s="620"/>
      <c r="F15" s="620"/>
      <c r="G15" s="620"/>
      <c r="H15" s="620"/>
      <c r="I15" s="620"/>
      <c r="J15" s="620"/>
      <c r="L15" s="548">
        <f t="shared" si="8"/>
        <v>11</v>
      </c>
      <c r="M15" s="621">
        <f>Results!C25*100</f>
        <v>1.9478458271875443</v>
      </c>
      <c r="N15" s="621">
        <f>Results!D25*100</f>
        <v>6.9822589334456175E-2</v>
      </c>
      <c r="O15" s="621">
        <f>Results!E25*100</f>
        <v>0.91716965488757296</v>
      </c>
      <c r="P15" s="621">
        <f>Results!F25*100</f>
        <v>-0.33358266656327018</v>
      </c>
      <c r="Q15" s="621">
        <f>Results!G25*100</f>
        <v>1.8242698360001253</v>
      </c>
      <c r="R15" s="621">
        <f>Results!H25*100</f>
        <v>-3.0848994180032729E-2</v>
      </c>
      <c r="S15" s="621">
        <f>Results!I25*100</f>
        <v>1.5571811705320071</v>
      </c>
      <c r="T15" s="621">
        <f>Results!J25*100</f>
        <v>1.7914323061553938</v>
      </c>
      <c r="U15" s="621">
        <f>Results!K25*100</f>
        <v>1.8180845747290064</v>
      </c>
      <c r="W15" s="629">
        <f>'Interpolations USD'!J33*100</f>
        <v>2.0325242432250201</v>
      </c>
      <c r="X15" s="629">
        <f>'Interpolations Euro'!J32*100</f>
        <v>0.16706972249997953</v>
      </c>
      <c r="Y15" s="629">
        <f>'Interpolations GBP'!J32*100</f>
        <v>1.0110024789289795</v>
      </c>
      <c r="Z15" s="629">
        <f>'Interpolations CHF'!J32*100</f>
        <v>-0.22986775000000126</v>
      </c>
      <c r="AA15" s="629">
        <f>'Interpolations CAD'!J32*100</f>
        <v>1.9127601842249931</v>
      </c>
      <c r="AB15" s="629">
        <f>'Interpolations JPY'!J32*100</f>
        <v>6.8761816406270881E-2</v>
      </c>
      <c r="AC15" s="629">
        <f>'Interpolations AUD'!J32*100</f>
        <v>1.6328617226562425</v>
      </c>
      <c r="AD15" s="629">
        <f>'Interpolations NZD'!J32*100</f>
        <v>1.8522485351562645</v>
      </c>
      <c r="AE15" s="548">
        <f>'Interpolations HKD'!J32*100</f>
        <v>1.9115487656250041</v>
      </c>
      <c r="AF15" s="548"/>
      <c r="AG15" s="548"/>
      <c r="AH15" s="548"/>
      <c r="AI15" s="548"/>
      <c r="AJ15" s="548"/>
      <c r="AK15" s="548"/>
      <c r="AL15" s="548"/>
    </row>
    <row r="16" spans="1:38">
      <c r="A16" s="622"/>
      <c r="C16" s="620">
        <f>W16-M16</f>
        <v>8.163372279239578E-2</v>
      </c>
      <c r="D16" s="620"/>
      <c r="E16" s="620">
        <f>Y16-O16</f>
        <v>9.262327286410077E-2</v>
      </c>
      <c r="F16" s="620">
        <f>Z16-P16</f>
        <v>0.10292745247922896</v>
      </c>
      <c r="G16" s="620"/>
      <c r="H16" s="620">
        <f>AB16-R16</f>
        <v>9.9290504686799785E-2</v>
      </c>
      <c r="I16" s="620"/>
      <c r="J16" s="620">
        <f>AD16-T16</f>
        <v>6.8559374588073041E-2</v>
      </c>
      <c r="L16" s="548">
        <f t="shared" si="8"/>
        <v>12</v>
      </c>
      <c r="M16" s="621">
        <f>Results!C26*100</f>
        <v>1.983923839707602</v>
      </c>
      <c r="N16" s="621">
        <f>Results!D26*100</f>
        <v>0.14591780977066815</v>
      </c>
      <c r="O16" s="621">
        <f>Results!E26*100</f>
        <v>0.94470297869213571</v>
      </c>
      <c r="P16" s="621">
        <f>Results!F26*100</f>
        <v>-0.25536931185422551</v>
      </c>
      <c r="Q16" s="621">
        <f>Results!G26*100</f>
        <v>1.8662118889414048</v>
      </c>
      <c r="R16" s="621">
        <f>Results!H26*100</f>
        <v>1.9851242194279806E-3</v>
      </c>
      <c r="S16" s="621">
        <f>Results!I26*100</f>
        <v>1.6196909446421603</v>
      </c>
      <c r="T16" s="621">
        <f>Results!J26*100</f>
        <v>1.8455131879119291</v>
      </c>
      <c r="U16" s="621">
        <f>Results!K26*100</f>
        <v>1.8519847860612559</v>
      </c>
      <c r="W16" s="629">
        <f>'Interpolations USD'!J34*100</f>
        <v>2.0655575624999978</v>
      </c>
      <c r="X16" s="629">
        <f>'Interpolations Euro'!J33*100</f>
        <v>0.24124532302498558</v>
      </c>
      <c r="Y16" s="629">
        <f>'Interpolations GBP'!J33*100</f>
        <v>1.0373262515562365</v>
      </c>
      <c r="Z16" s="629">
        <f>'Interpolations CHF'!J33*100</f>
        <v>-0.15244185937499655</v>
      </c>
      <c r="AA16" s="629">
        <f>'Interpolations CAD'!J33*100</f>
        <v>1.9513274390249968</v>
      </c>
      <c r="AB16" s="629">
        <f>'Interpolations JPY'!J33*100</f>
        <v>0.10127562890622777</v>
      </c>
      <c r="AC16" s="629">
        <f>'Interpolations AUD'!J33*100</f>
        <v>1.6920980624999915</v>
      </c>
      <c r="AD16" s="629">
        <f>'Interpolations NZD'!J33*100</f>
        <v>1.9140725625000021</v>
      </c>
      <c r="AE16" s="548">
        <f>'Interpolations HKD'!J33*100</f>
        <v>1.9393122499999915</v>
      </c>
      <c r="AF16" s="548"/>
      <c r="AG16" s="548"/>
      <c r="AH16" s="548"/>
      <c r="AI16" s="548"/>
      <c r="AJ16" s="548"/>
      <c r="AK16" s="548"/>
      <c r="AL16" s="548"/>
    </row>
    <row r="17" spans="1:38">
      <c r="A17" s="622"/>
      <c r="C17" s="620"/>
      <c r="D17" s="620"/>
      <c r="E17" s="620"/>
      <c r="F17" s="620"/>
      <c r="G17" s="620"/>
      <c r="H17" s="620"/>
      <c r="I17" s="620"/>
      <c r="J17" s="620"/>
      <c r="L17" s="548">
        <f t="shared" si="8"/>
        <v>13</v>
      </c>
      <c r="M17" s="621">
        <f>Results!C27*100</f>
        <v>2.0149519056825937</v>
      </c>
      <c r="N17" s="621">
        <f>Results!D27*100</f>
        <v>0.22079495247453451</v>
      </c>
      <c r="O17" s="621">
        <f>Results!E27*100</f>
        <v>0.96771836840940928</v>
      </c>
      <c r="P17" s="621">
        <f>Results!F27*100</f>
        <v>-0.19342880003849761</v>
      </c>
      <c r="Q17" s="621">
        <f>Results!G27*100</f>
        <v>1.9022307246541414</v>
      </c>
      <c r="R17" s="621">
        <f>Results!H27*100</f>
        <v>3.3654782059699961E-2</v>
      </c>
      <c r="S17" s="621">
        <f>Results!I27*100</f>
        <v>1.6719484524372108</v>
      </c>
      <c r="T17" s="621">
        <f>Results!J27*100</f>
        <v>1.9020856817390852</v>
      </c>
      <c r="U17" s="621">
        <f>Results!K27*100</f>
        <v>1.8767703860592233</v>
      </c>
      <c r="W17" s="629">
        <f>'Interpolations USD'!J35*100</f>
        <v>2.0938472225000115</v>
      </c>
      <c r="X17" s="629">
        <f>'Interpolations Euro'!J34*100</f>
        <v>0.31374570562499038</v>
      </c>
      <c r="Y17" s="629">
        <f>'Interpolations GBP'!J34*100</f>
        <v>1.0592904806250081</v>
      </c>
      <c r="Z17" s="629">
        <f>'Interpolations CHF'!J34*100</f>
        <v>-9.5810373263893744E-2</v>
      </c>
      <c r="AA17" s="629">
        <f>'Interpolations CAD'!J34*100</f>
        <v>1.9833377424000043</v>
      </c>
      <c r="AB17" s="629">
        <f>'Interpolations JPY'!J34*100</f>
        <v>0.13254389062500316</v>
      </c>
      <c r="AC17" s="629">
        <f>'Interpolations AUD'!J34*100</f>
        <v>1.7379865756249835</v>
      </c>
      <c r="AD17" s="629">
        <f>'Interpolations NZD'!J34*100</f>
        <v>1.9603477100694544</v>
      </c>
      <c r="AE17" s="548">
        <f>'Interpolations HKD'!J34*100</f>
        <v>1.9653965434027754</v>
      </c>
      <c r="AF17" s="548"/>
      <c r="AG17" s="548"/>
      <c r="AH17" s="548"/>
      <c r="AI17" s="548"/>
      <c r="AJ17" s="548"/>
      <c r="AK17" s="548"/>
      <c r="AL17" s="548"/>
    </row>
    <row r="18" spans="1:38">
      <c r="A18" s="622"/>
      <c r="C18" s="620"/>
      <c r="D18" s="620"/>
      <c r="E18" s="620"/>
      <c r="F18" s="620"/>
      <c r="G18" s="620"/>
      <c r="H18" s="620"/>
      <c r="I18" s="620"/>
      <c r="J18" s="620"/>
      <c r="L18" s="548">
        <f t="shared" si="8"/>
        <v>14</v>
      </c>
      <c r="M18" s="621">
        <f>Results!C28*100</f>
        <v>2.0428212208356555</v>
      </c>
      <c r="N18" s="621">
        <f>Results!D28*100</f>
        <v>0.28046646621078253</v>
      </c>
      <c r="O18" s="621">
        <f>Results!E28*100</f>
        <v>0.99006904827734221</v>
      </c>
      <c r="P18" s="621">
        <f>Results!F28*100</f>
        <v>-0.13570222780239227</v>
      </c>
      <c r="Q18" s="621">
        <f>Results!G28*100</f>
        <v>1.9378748880678698</v>
      </c>
      <c r="R18" s="621">
        <f>Results!H28*100</f>
        <v>6.6710538810554887E-2</v>
      </c>
      <c r="S18" s="621">
        <f>Results!I28*100</f>
        <v>1.7222606863580348</v>
      </c>
      <c r="T18" s="621">
        <f>Results!J28*100</f>
        <v>1.9517586482938887</v>
      </c>
      <c r="U18" s="621">
        <f>Results!K28*100</f>
        <v>1.906093654754315</v>
      </c>
      <c r="W18" s="629">
        <f>'Interpolations USD'!J36*100</f>
        <v>2.1191091599999989</v>
      </c>
      <c r="X18" s="629">
        <f>'Interpolations Euro'!J35*100</f>
        <v>0.37124391702501036</v>
      </c>
      <c r="Y18" s="629">
        <f>'Interpolations GBP'!J35*100</f>
        <v>1.0805030543999949</v>
      </c>
      <c r="Z18" s="629">
        <f>'Interpolations CHF'!J35*100</f>
        <v>-3.9162831597217007E-2</v>
      </c>
      <c r="AA18" s="629">
        <f>'Interpolations CAD'!J35*100</f>
        <v>2.0153530702249789</v>
      </c>
      <c r="AB18" s="629">
        <f>'Interpolations JPY'!J35*100</f>
        <v>0.16506806250000672</v>
      </c>
      <c r="AC18" s="629">
        <f>'Interpolations AUD'!J35*100</f>
        <v>1.7838854400000104</v>
      </c>
      <c r="AD18" s="629">
        <f>'Interpolations NZD'!J35*100</f>
        <v>2.0066333611110876</v>
      </c>
      <c r="AE18" s="548">
        <f>'Interpolations HKD'!J35*100</f>
        <v>1.9914841736111244</v>
      </c>
      <c r="AF18" s="548"/>
      <c r="AG18" s="548"/>
      <c r="AH18" s="548"/>
      <c r="AI18" s="548"/>
      <c r="AJ18" s="548"/>
      <c r="AK18" s="548"/>
      <c r="AL18" s="548"/>
    </row>
    <row r="19" spans="1:38">
      <c r="A19" s="622">
        <v>0.04</v>
      </c>
      <c r="C19" s="620">
        <f>W19-M19</f>
        <v>7.4157145339182051E-2</v>
      </c>
      <c r="D19" s="620">
        <f>X19-N19</f>
        <v>8.8342477522895813E-2</v>
      </c>
      <c r="E19" s="620">
        <f>Y19-O19</f>
        <v>8.9479099879929969E-2</v>
      </c>
      <c r="F19" s="620">
        <f>Z19-P19</f>
        <v>9.9541827589078036E-2</v>
      </c>
      <c r="G19" s="620"/>
      <c r="H19" s="620"/>
      <c r="I19" s="620">
        <f>AC19-S19</f>
        <v>5.8940645750937826E-2</v>
      </c>
      <c r="J19" s="620">
        <f>AD19-T19</f>
        <v>5.3383202557211185E-2</v>
      </c>
      <c r="L19" s="548">
        <f t="shared" si="8"/>
        <v>15</v>
      </c>
      <c r="M19" s="621">
        <f>Results!C29*100</f>
        <v>2.0656691352857859</v>
      </c>
      <c r="N19" s="621">
        <f>Results!D29*100</f>
        <v>0.33811121247708797</v>
      </c>
      <c r="O19" s="621">
        <f>Results!E29*100</f>
        <v>1.0086290649003349</v>
      </c>
      <c r="P19" s="621">
        <f>Results!F29*100</f>
        <v>-8.2041061964066575E-2</v>
      </c>
      <c r="Q19" s="621">
        <f>Results!G29*100</f>
        <v>1.9731534863338007</v>
      </c>
      <c r="R19" s="621">
        <f>Results!H29*100</f>
        <v>9.8612781060802845E-2</v>
      </c>
      <c r="S19" s="621">
        <f>Results!I29*100</f>
        <v>1.7708540098740677</v>
      </c>
      <c r="T19" s="621">
        <f>Results!J29*100</f>
        <v>1.9995463130677793</v>
      </c>
      <c r="U19" s="621">
        <f>Results!K29*100</f>
        <v>1.9387443959336004</v>
      </c>
      <c r="W19" s="629">
        <f>'Interpolations USD'!J37*100</f>
        <v>2.1398262806249679</v>
      </c>
      <c r="X19" s="629">
        <f>'Interpolations Euro'!J36*100</f>
        <v>0.42645368999998379</v>
      </c>
      <c r="Y19" s="629">
        <f>'Interpolations GBP'!J36*100</f>
        <v>1.0981081647802649</v>
      </c>
      <c r="Z19" s="629">
        <f>'Interpolations CHF'!J36*100</f>
        <v>1.7500765625011461E-2</v>
      </c>
      <c r="AA19" s="629">
        <f>'Interpolations CAD'!J36*100</f>
        <v>2.0473734224999873</v>
      </c>
      <c r="AB19" s="629">
        <f>'Interpolations JPY'!J36*100</f>
        <v>0.19634628515623476</v>
      </c>
      <c r="AC19" s="629">
        <f>'Interpolations AUD'!J36*100</f>
        <v>1.8297946556250055</v>
      </c>
      <c r="AD19" s="629">
        <f>'Interpolations NZD'!J36*100</f>
        <v>2.0529295156249905</v>
      </c>
      <c r="AE19" s="548">
        <f>'Interpolations HKD'!J36*100</f>
        <v>2.0175751406249942</v>
      </c>
      <c r="AF19" s="548"/>
      <c r="AG19" s="548"/>
      <c r="AH19" s="548"/>
      <c r="AI19" s="548"/>
      <c r="AJ19" s="548"/>
      <c r="AK19" s="548"/>
      <c r="AL19" s="548"/>
    </row>
    <row r="20" spans="1:38">
      <c r="A20" s="622"/>
      <c r="C20" s="620"/>
      <c r="D20" s="620"/>
      <c r="E20" s="620"/>
      <c r="F20" s="620"/>
      <c r="G20" s="620"/>
      <c r="H20" s="620"/>
      <c r="I20" s="620"/>
      <c r="J20" s="620"/>
      <c r="L20" s="548">
        <f t="shared" si="8"/>
        <v>16</v>
      </c>
      <c r="M20" s="621">
        <f>Results!C30*100</f>
        <v>2.0870131741579812</v>
      </c>
      <c r="N20" s="621">
        <f>Results!D30*100</f>
        <v>0.38857781328260899</v>
      </c>
      <c r="O20" s="621">
        <f>Results!E30*100</f>
        <v>1.0243119547494572</v>
      </c>
      <c r="P20" s="621">
        <f>Results!F30*100</f>
        <v>-4.1134453014290973E-2</v>
      </c>
      <c r="Q20" s="621">
        <f>Results!G30*100</f>
        <v>1.9942312163111264</v>
      </c>
      <c r="R20" s="621">
        <f>Results!H30*100</f>
        <v>0.112865698148501</v>
      </c>
      <c r="S20" s="621">
        <f>Results!I30*100</f>
        <v>1.7998169711596956</v>
      </c>
      <c r="T20" s="621">
        <f>Results!J30*100</f>
        <v>2.027949028552678</v>
      </c>
      <c r="U20" s="621">
        <f>Results!K30*100</f>
        <v>2.0036264193688202</v>
      </c>
      <c r="W20" s="629">
        <f>'Interpolations USD'!J38*100</f>
        <v>2.1590293906250224</v>
      </c>
      <c r="X20" s="629">
        <f>'Interpolations Euro'!J37*100</f>
        <v>0.47456168999999715</v>
      </c>
      <c r="Y20" s="629">
        <f>'Interpolations GBP'!J37*100</f>
        <v>1.1129796950250181</v>
      </c>
      <c r="Z20" s="629">
        <f>'Interpolations CHF'!J37*100</f>
        <v>5.0006250000023122E-2</v>
      </c>
      <c r="AA20" s="629">
        <f>'Interpolations CAD'!J37*100</f>
        <v>2.0654363295359746</v>
      </c>
      <c r="AB20" s="629">
        <f>'Interpolations JPY'!J37*100</f>
        <v>0.21036051265623801</v>
      </c>
      <c r="AC20" s="629">
        <f>'Interpolations AUD'!J37*100</f>
        <v>1.8537119075999975</v>
      </c>
      <c r="AD20" s="629">
        <f>'Interpolations NZD'!J37*100</f>
        <v>2.0852588756249846</v>
      </c>
      <c r="AE20" s="548"/>
      <c r="AF20" s="548"/>
      <c r="AG20" s="548"/>
      <c r="AH20" s="548"/>
      <c r="AI20" s="548"/>
      <c r="AJ20" s="548"/>
      <c r="AK20" s="548"/>
      <c r="AL20" s="548"/>
    </row>
    <row r="21" spans="1:38">
      <c r="A21" s="622"/>
      <c r="C21" s="620"/>
      <c r="D21" s="620"/>
      <c r="E21" s="620"/>
      <c r="F21" s="620"/>
      <c r="G21" s="620"/>
      <c r="H21" s="620"/>
      <c r="I21" s="620"/>
      <c r="J21" s="620"/>
      <c r="L21" s="548">
        <f t="shared" si="8"/>
        <v>17</v>
      </c>
      <c r="M21" s="621">
        <f>Results!C31*100</f>
        <v>2.1053405114989987</v>
      </c>
      <c r="N21" s="621">
        <f>Results!D31*100</f>
        <v>0.43292739493949739</v>
      </c>
      <c r="O21" s="621">
        <f>Results!E31*100</f>
        <v>1.0376713441830887</v>
      </c>
      <c r="P21" s="621">
        <f>Results!F31*100</f>
        <v>-4.0087596252180724E-3</v>
      </c>
      <c r="Q21" s="621">
        <f>Results!G31*100</f>
        <v>2.014961000816351</v>
      </c>
      <c r="R21" s="621">
        <f>Results!H31*100</f>
        <v>0.14267485859058571</v>
      </c>
      <c r="S21" s="621">
        <f>Results!I31*100</f>
        <v>1.8274144557645089</v>
      </c>
      <c r="T21" s="621">
        <f>Results!J31*100</f>
        <v>2.0597516180480557</v>
      </c>
      <c r="U21" s="621">
        <f>Results!K31*100</f>
        <v>2.0699102049606566</v>
      </c>
      <c r="W21" s="629">
        <f>'Interpolations USD'!J39*100</f>
        <v>2.1755050760999817</v>
      </c>
      <c r="X21" s="629">
        <f>'Interpolations Euro'!J38*100</f>
        <v>0.51666564000001358</v>
      </c>
      <c r="Y21" s="629">
        <f>'Interpolations GBP'!J38*100</f>
        <v>1.1256500156250127</v>
      </c>
      <c r="Z21" s="629">
        <f>'Interpolations CHF'!J38*100</f>
        <v>8.2517015624983259E-2</v>
      </c>
      <c r="AA21" s="629">
        <f>'Interpolations CAD'!J38*100</f>
        <v>2.0835008350439832</v>
      </c>
      <c r="AB21" s="629">
        <f>'Interpolations JPY'!J38*100</f>
        <v>0.23964340062498923</v>
      </c>
      <c r="AC21" s="629">
        <f>'Interpolations AUD'!J38*100</f>
        <v>1.8776319680250175</v>
      </c>
      <c r="AD21" s="629">
        <f>'Interpolations NZD'!J38*100</f>
        <v>2.1175933556250026</v>
      </c>
      <c r="AE21" s="548"/>
      <c r="AF21" s="548"/>
      <c r="AG21" s="548"/>
      <c r="AH21" s="548"/>
      <c r="AI21" s="548"/>
      <c r="AJ21" s="548"/>
      <c r="AK21" s="548"/>
      <c r="AL21" s="548"/>
    </row>
    <row r="22" spans="1:38">
      <c r="A22" s="622"/>
      <c r="C22" s="620"/>
      <c r="D22" s="620"/>
      <c r="E22" s="620"/>
      <c r="F22" s="620"/>
      <c r="G22" s="620"/>
      <c r="H22" s="620"/>
      <c r="I22" s="620"/>
      <c r="J22" s="620"/>
      <c r="L22" s="548">
        <f t="shared" si="8"/>
        <v>18</v>
      </c>
      <c r="M22" s="621">
        <f>Results!C32*100</f>
        <v>2.1194596319977776</v>
      </c>
      <c r="N22" s="621">
        <f>Results!D32*100</f>
        <v>0.47051414337688779</v>
      </c>
      <c r="O22" s="621">
        <f>Results!E32*100</f>
        <v>1.0493396404615662</v>
      </c>
      <c r="P22" s="621">
        <f>Results!F32*100</f>
        <v>2.9472182877610109E-2</v>
      </c>
      <c r="Q22" s="621">
        <f>Results!G32*100</f>
        <v>2.0353513590254613</v>
      </c>
      <c r="R22" s="621">
        <f>Results!H32*100</f>
        <v>0.17309455950169639</v>
      </c>
      <c r="S22" s="621">
        <f>Results!I32*100</f>
        <v>1.8537807224175307</v>
      </c>
      <c r="T22" s="621">
        <f>Results!J32*100</f>
        <v>2.0961861242802415</v>
      </c>
      <c r="U22" s="621">
        <f>Results!K32*100</f>
        <v>2.1368416202907747</v>
      </c>
      <c r="W22" s="629">
        <f>'Interpolations USD'!J40*100</f>
        <v>2.1883428806249716</v>
      </c>
      <c r="X22" s="629">
        <f>'Interpolations Euro'!J39*100</f>
        <v>0.5522603806249915</v>
      </c>
      <c r="Y22" s="629">
        <f>'Interpolations GBP'!J39*100</f>
        <v>1.1367120556249777</v>
      </c>
      <c r="Z22" s="629">
        <f>'Interpolations CHF'!J39*100</f>
        <v>0.11503306250000289</v>
      </c>
      <c r="AA22" s="629">
        <f>'Interpolations CAD'!J39*100</f>
        <v>2.1015669390239911</v>
      </c>
      <c r="AB22" s="629">
        <f>'Interpolations JPY'!J39*100</f>
        <v>0.26893056640624469</v>
      </c>
      <c r="AC22" s="629">
        <f>'Interpolations AUD'!J39*100</f>
        <v>1.901554836899999</v>
      </c>
      <c r="AD22" s="629">
        <f>'Interpolations NZD'!J39*100</f>
        <v>2.1499329556250002</v>
      </c>
      <c r="AE22" s="548"/>
      <c r="AF22" s="548"/>
      <c r="AG22" s="548"/>
      <c r="AH22" s="548"/>
      <c r="AI22" s="548"/>
      <c r="AJ22" s="548"/>
      <c r="AK22" s="548"/>
      <c r="AL22" s="548"/>
    </row>
    <row r="23" spans="1:38">
      <c r="A23" s="622"/>
      <c r="C23" s="620"/>
      <c r="D23" s="620"/>
      <c r="E23" s="620"/>
      <c r="F23" s="620"/>
      <c r="G23" s="620"/>
      <c r="H23" s="620"/>
      <c r="I23" s="620"/>
      <c r="J23" s="620"/>
      <c r="L23" s="548">
        <f t="shared" si="8"/>
        <v>19</v>
      </c>
      <c r="M23" s="621">
        <f>Results!C33*100</f>
        <v>2.1316717445716726</v>
      </c>
      <c r="N23" s="621">
        <f>Results!D33*100</f>
        <v>0.50232568603902905</v>
      </c>
      <c r="O23" s="621">
        <f>Results!E33*100</f>
        <v>1.059746658271421</v>
      </c>
      <c r="P23" s="621">
        <f>Results!F33*100</f>
        <v>5.9440669216437314E-2</v>
      </c>
      <c r="Q23" s="621">
        <f>Results!G33*100</f>
        <v>2.0554106594844246</v>
      </c>
      <c r="R23" s="621">
        <f>Results!H33*100</f>
        <v>0.18434312847144252</v>
      </c>
      <c r="S23" s="621">
        <f>Results!I33*100</f>
        <v>1.8790276079362345</v>
      </c>
      <c r="T23" s="621">
        <f>Results!J33*100</f>
        <v>2.1379298422639081</v>
      </c>
      <c r="U23" s="621">
        <f>Results!K33*100</f>
        <v>2.2037834454448957</v>
      </c>
      <c r="W23" s="629">
        <f>'Interpolations USD'!J41*100</f>
        <v>2.1994628906250036</v>
      </c>
      <c r="X23" s="629">
        <f>'Interpolations Euro'!J40*100</f>
        <v>0.58234535562500245</v>
      </c>
      <c r="Y23" s="629">
        <f>'Interpolations GBP'!J40*100</f>
        <v>1.1465678372249766</v>
      </c>
      <c r="Z23" s="629">
        <f>'Interpolations CHF'!J40*100</f>
        <v>0.14755439062501541</v>
      </c>
      <c r="AA23" s="629">
        <f>'Interpolations CAD'!J40*100</f>
        <v>2.1196346414759981</v>
      </c>
      <c r="AB23" s="629">
        <f>'Interpolations JPY'!J40*100</f>
        <v>0.27994565015623252</v>
      </c>
      <c r="AC23" s="629">
        <f>'Interpolations AUD'!J40*100</f>
        <v>1.9254805142249865</v>
      </c>
      <c r="AD23" s="629">
        <f>'Interpolations NZD'!J40*100</f>
        <v>2.1822776756249773</v>
      </c>
      <c r="AE23" s="548"/>
      <c r="AF23" s="548"/>
      <c r="AG23" s="548"/>
      <c r="AH23" s="548"/>
      <c r="AI23" s="548"/>
      <c r="AJ23" s="548"/>
      <c r="AK23" s="548"/>
      <c r="AL23" s="548"/>
    </row>
    <row r="24" spans="1:38">
      <c r="A24" s="622">
        <v>0.03</v>
      </c>
      <c r="C24" s="620">
        <f t="shared" ref="C24:J24" si="9">W24-M24</f>
        <v>6.6803486527255984E-2</v>
      </c>
      <c r="D24" s="620">
        <f t="shared" si="9"/>
        <v>7.8750273406513749E-2</v>
      </c>
      <c r="E24" s="620">
        <f t="shared" si="9"/>
        <v>8.651273509721058E-2</v>
      </c>
      <c r="F24" s="620">
        <f t="shared" si="9"/>
        <v>9.4055843128626471E-2</v>
      </c>
      <c r="G24" s="620">
        <f t="shared" si="9"/>
        <v>6.2556888955334067E-2</v>
      </c>
      <c r="H24" s="620">
        <f t="shared" si="9"/>
        <v>9.4054372543839193E-2</v>
      </c>
      <c r="I24" s="620">
        <f t="shared" si="9"/>
        <v>4.6160445974874342E-2</v>
      </c>
      <c r="J24" s="620">
        <f t="shared" si="9"/>
        <v>2.9346100922089668E-2</v>
      </c>
      <c r="L24" s="548">
        <f t="shared" si="8"/>
        <v>20</v>
      </c>
      <c r="M24" s="621">
        <f>Results!C34*100</f>
        <v>2.1425668316977564</v>
      </c>
      <c r="N24" s="621">
        <f>Results!D34*100</f>
        <v>0.52706448661847816</v>
      </c>
      <c r="O24" s="621">
        <f>Results!E34*100</f>
        <v>1.0674170808637751</v>
      </c>
      <c r="P24" s="621">
        <f>Results!F34*100</f>
        <v>8.6025156871349928E-2</v>
      </c>
      <c r="Q24" s="621">
        <f>Results!G34*100</f>
        <v>2.0751470534446703</v>
      </c>
      <c r="R24" s="621">
        <f>Results!H34*100</f>
        <v>0.22369764308116658</v>
      </c>
      <c r="S24" s="621">
        <f>Results!I34*100</f>
        <v>1.9032485540251276</v>
      </c>
      <c r="T24" s="621">
        <f>Results!J34*100</f>
        <v>2.1852814147029331</v>
      </c>
      <c r="U24" s="621">
        <f>Results!K34*100</f>
        <v>2.2702009355366481</v>
      </c>
      <c r="W24" s="629">
        <f>'Interpolations USD'!J42*100</f>
        <v>2.2093703182250124</v>
      </c>
      <c r="X24" s="629">
        <f>'Interpolations Euro'!J41*100</f>
        <v>0.60581476002499191</v>
      </c>
      <c r="Y24" s="629">
        <f>'Interpolations GBP'!J41*100</f>
        <v>1.1539298159609856</v>
      </c>
      <c r="Z24" s="629">
        <f>'Interpolations CHF'!J41*100</f>
        <v>0.1800809999999764</v>
      </c>
      <c r="AA24" s="629">
        <f>'Interpolations CAD'!J41*100</f>
        <v>2.1377039424000044</v>
      </c>
      <c r="AB24" s="629">
        <f>'Interpolations JPY'!J41*100</f>
        <v>0.31775201562500577</v>
      </c>
      <c r="AC24" s="629">
        <f>'Interpolations AUD'!J41*100</f>
        <v>1.9494090000000019</v>
      </c>
      <c r="AD24" s="629">
        <f>'Interpolations NZD'!J41*100</f>
        <v>2.2146275156250228</v>
      </c>
      <c r="AE24" s="548"/>
      <c r="AF24" s="548"/>
      <c r="AG24" s="548"/>
      <c r="AH24" s="548"/>
      <c r="AI24" s="548"/>
      <c r="AJ24" s="548"/>
      <c r="AK24" s="548"/>
      <c r="AL24" s="548"/>
    </row>
    <row r="25" spans="1:38">
      <c r="A25" s="622"/>
      <c r="C25" s="620"/>
      <c r="D25" s="620"/>
      <c r="E25" s="620"/>
      <c r="F25" s="620"/>
      <c r="G25" s="620"/>
      <c r="H25" s="620"/>
      <c r="I25" s="620"/>
      <c r="J25" s="620"/>
      <c r="L25" s="548">
        <f t="shared" si="8"/>
        <v>21</v>
      </c>
      <c r="M25" s="621">
        <f>Results!C35*100</f>
        <v>2.149451104200284</v>
      </c>
      <c r="N25" s="621">
        <f>Results!D35*100</f>
        <v>0.55062962947671767</v>
      </c>
      <c r="O25" s="621">
        <f>Results!E35*100</f>
        <v>1.0858187608228542</v>
      </c>
      <c r="P25" s="621">
        <f>Results!F35*100</f>
        <v>0.1044794209283495</v>
      </c>
      <c r="Q25" s="621">
        <f>Results!G35*100</f>
        <v>2.0734224729733075</v>
      </c>
      <c r="R25" s="621">
        <f>Results!H35*100</f>
        <v>0.23870536180243818</v>
      </c>
      <c r="S25" s="621">
        <f>Results!I35*100</f>
        <v>1.9172061539772134</v>
      </c>
      <c r="T25" s="621">
        <f>Results!J35*100</f>
        <v>2.1974152674184566</v>
      </c>
      <c r="U25" s="621">
        <f>Results!K35*100</f>
        <v>2.3356490606780467</v>
      </c>
      <c r="W25" s="629">
        <f>'Interpolations USD'!J43*100</f>
        <v>2.2146679561289906</v>
      </c>
      <c r="X25" s="629">
        <f>'Interpolations Euro'!J42*100</f>
        <v>0.62808313602498167</v>
      </c>
      <c r="Y25" s="629">
        <f>'Interpolations GBP'!J42*100</f>
        <v>1.1706260063210072</v>
      </c>
      <c r="Z25" s="629">
        <f>'Interpolations CHF'!J42*100</f>
        <v>0.1920921600000236</v>
      </c>
      <c r="AA25" s="629">
        <f>'Interpolations CAD'!J42*100</f>
        <v>2.1370571389440318</v>
      </c>
      <c r="AB25" s="629">
        <f>'Interpolations JPY'!J42*100</f>
        <v>0.33202514515626724</v>
      </c>
      <c r="AC25" s="629">
        <f>'Interpolations AUD'!J42*100</f>
        <v>1.9607684414062243</v>
      </c>
      <c r="AD25" s="629">
        <f>'Interpolations NZD'!J42*100</f>
        <v>2.233837655625015</v>
      </c>
      <c r="AE25" s="548"/>
      <c r="AF25" s="548"/>
      <c r="AG25" s="548"/>
      <c r="AH25" s="548"/>
      <c r="AI25" s="548"/>
      <c r="AJ25" s="548"/>
      <c r="AK25" s="548"/>
      <c r="AL25" s="548"/>
    </row>
    <row r="26" spans="1:38">
      <c r="A26" s="622"/>
      <c r="C26" s="620"/>
      <c r="D26" s="620"/>
      <c r="E26" s="620"/>
      <c r="F26" s="620"/>
      <c r="G26" s="620"/>
      <c r="H26" s="620"/>
      <c r="I26" s="620"/>
      <c r="J26" s="620"/>
      <c r="L26" s="548">
        <f t="shared" si="8"/>
        <v>22</v>
      </c>
      <c r="M26" s="621">
        <f>Results!C36*100</f>
        <v>2.1556897790143026</v>
      </c>
      <c r="N26" s="621">
        <f>Results!D36*100</f>
        <v>0.57177981375742259</v>
      </c>
      <c r="O26" s="621">
        <f>Results!E36*100</f>
        <v>1.0902163153443611</v>
      </c>
      <c r="P26" s="621">
        <f>Results!F36*100</f>
        <v>0.11979560330683814</v>
      </c>
      <c r="Q26" s="621">
        <f>Results!G36*100</f>
        <v>2.0713908819186111</v>
      </c>
      <c r="R26" s="621">
        <f>Results!H36*100</f>
        <v>0.25372579519034044</v>
      </c>
      <c r="S26" s="621">
        <f>Results!I36*100</f>
        <v>1.9302826981267174</v>
      </c>
      <c r="T26" s="621">
        <f>Results!J36*100</f>
        <v>2.2150681369530911</v>
      </c>
      <c r="U26" s="621">
        <f>Results!K36*100</f>
        <v>2.3997611204545244</v>
      </c>
      <c r="W26" s="629">
        <f>'Interpolations USD'!J44*100</f>
        <v>2.2199657313209942</v>
      </c>
      <c r="X26" s="629">
        <f>'Interpolations Euro'!J43*100</f>
        <v>0.64804652250001205</v>
      </c>
      <c r="Y26" s="629">
        <f>'Interpolations GBP'!J43*100</f>
        <v>1.1750517335610056</v>
      </c>
      <c r="Z26" s="629">
        <f>'Interpolations CHF'!J43*100</f>
        <v>0.20410403999999716</v>
      </c>
      <c r="AA26" s="629">
        <f>'Interpolations CAD'!J43*100</f>
        <v>2.1364103375359988</v>
      </c>
      <c r="AB26" s="629">
        <f>'Interpolations JPY'!J43*100</f>
        <v>0.34629929000000725</v>
      </c>
      <c r="AC26" s="629">
        <f>'Interpolations AUD'!J43*100</f>
        <v>1.9721285156250046</v>
      </c>
      <c r="AD26" s="629">
        <f>'Interpolations NZD'!J43*100</f>
        <v>2.2530496006250011</v>
      </c>
      <c r="AE26" s="548"/>
      <c r="AF26" s="548"/>
      <c r="AG26" s="548"/>
      <c r="AH26" s="548"/>
      <c r="AI26" s="548"/>
      <c r="AJ26" s="548"/>
      <c r="AK26" s="548"/>
      <c r="AL26" s="548"/>
    </row>
    <row r="27" spans="1:38">
      <c r="A27" s="622"/>
      <c r="C27" s="620"/>
      <c r="D27" s="620"/>
      <c r="E27" s="620"/>
      <c r="F27" s="620"/>
      <c r="G27" s="620"/>
      <c r="H27" s="620"/>
      <c r="I27" s="620"/>
      <c r="J27" s="620"/>
      <c r="L27" s="548">
        <f t="shared" si="8"/>
        <v>23</v>
      </c>
      <c r="M27" s="621">
        <f>Results!C37*100</f>
        <v>2.1612297827703131</v>
      </c>
      <c r="N27" s="621">
        <f>Results!D37*100</f>
        <v>0.58531823289627027</v>
      </c>
      <c r="O27" s="621">
        <f>Results!E37*100</f>
        <v>1.091307597176594</v>
      </c>
      <c r="P27" s="621">
        <f>Results!F37*100</f>
        <v>0.13209136760312656</v>
      </c>
      <c r="Q27" s="621">
        <f>Results!G37*100</f>
        <v>2.0690600310437013</v>
      </c>
      <c r="R27" s="621">
        <f>Results!H37*100</f>
        <v>0.26866277777766179</v>
      </c>
      <c r="S27" s="621">
        <f>Results!I37*100</f>
        <v>1.9425347462203479</v>
      </c>
      <c r="T27" s="621">
        <f>Results!J37*100</f>
        <v>2.2379972020289296</v>
      </c>
      <c r="U27" s="621">
        <f>Results!K37*100</f>
        <v>2.4622386893460968</v>
      </c>
      <c r="W27" s="629">
        <f>'Interpolations USD'!J45*100</f>
        <v>2.2252636438009787</v>
      </c>
      <c r="X27" s="629">
        <f>'Interpolations Euro'!J44*100</f>
        <v>0.66108900000001469</v>
      </c>
      <c r="Y27" s="629">
        <f>'Interpolations GBP'!J44*100</f>
        <v>1.1735764803921134</v>
      </c>
      <c r="Z27" s="629">
        <f>'Interpolations CHF'!J44*100</f>
        <v>0.21611663999998587</v>
      </c>
      <c r="AA27" s="629">
        <f>'Interpolations CAD'!J44*100</f>
        <v>2.1357635381759943</v>
      </c>
      <c r="AB27" s="629">
        <f>'Interpolations JPY'!J44*100</f>
        <v>0.36057445015624801</v>
      </c>
      <c r="AC27" s="629">
        <f>'Interpolations AUD'!J44*100</f>
        <v>1.9834892226562761</v>
      </c>
      <c r="AD27" s="629">
        <f>'Interpolations NZD'!J44*100</f>
        <v>2.2722633506249812</v>
      </c>
      <c r="AE27" s="548"/>
      <c r="AF27" s="548"/>
      <c r="AG27" s="548"/>
      <c r="AH27" s="548"/>
      <c r="AI27" s="548"/>
      <c r="AJ27" s="548"/>
      <c r="AK27" s="548"/>
      <c r="AL27" s="548"/>
    </row>
    <row r="28" spans="1:38">
      <c r="A28" s="622"/>
      <c r="C28" s="620"/>
      <c r="D28" s="620"/>
      <c r="E28" s="620"/>
      <c r="F28" s="620"/>
      <c r="G28" s="620"/>
      <c r="H28" s="620"/>
      <c r="I28" s="620"/>
      <c r="J28" s="620"/>
      <c r="L28" s="548">
        <f t="shared" si="8"/>
        <v>24</v>
      </c>
      <c r="M28" s="621">
        <f>Results!C38*100</f>
        <v>2.1660282562339095</v>
      </c>
      <c r="N28" s="621">
        <f>Results!D38*100</f>
        <v>0.5955712556245274</v>
      </c>
      <c r="O28" s="621">
        <f>Results!E38*100</f>
        <v>1.0889167507163622</v>
      </c>
      <c r="P28" s="621">
        <f>Results!F38*100</f>
        <v>0.14148094843637882</v>
      </c>
      <c r="Q28" s="621">
        <f>Results!G38*100</f>
        <v>2.0664374660170903</v>
      </c>
      <c r="R28" s="621">
        <f>Results!H38*100</f>
        <v>0.28343476472256768</v>
      </c>
      <c r="S28" s="621">
        <f>Results!I38*100</f>
        <v>1.9540108803890233</v>
      </c>
      <c r="T28" s="621">
        <f>Results!J38*100</f>
        <v>2.2658892962736488</v>
      </c>
      <c r="U28" s="621">
        <f>Results!K38*100</f>
        <v>2.5228426751170208</v>
      </c>
      <c r="W28" s="629">
        <f>'Interpolations USD'!J46*100</f>
        <v>2.2305616935689887</v>
      </c>
      <c r="X28" s="629">
        <f>'Interpolations Euro'!J45*100</f>
        <v>0.67112224999998915</v>
      </c>
      <c r="Y28" s="629">
        <f>'Interpolations GBP'!J45*100</f>
        <v>1.1721012379787732</v>
      </c>
      <c r="Z28" s="629">
        <f>'Interpolations CHF'!J45*100</f>
        <v>0.22812995999998975</v>
      </c>
      <c r="AA28" s="629">
        <f>'Interpolations CAD'!J45*100</f>
        <v>2.1351167408640181</v>
      </c>
      <c r="AB28" s="629">
        <f>'Interpolations JPY'!J45*100</f>
        <v>0.3748506256249895</v>
      </c>
      <c r="AC28" s="629">
        <f>'Interpolations AUD'!J45*100</f>
        <v>1.9948505624999946</v>
      </c>
      <c r="AD28" s="629">
        <f>'Interpolations NZD'!J45*100</f>
        <v>2.2914789056249774</v>
      </c>
      <c r="AE28" s="548"/>
      <c r="AF28" s="548"/>
      <c r="AG28" s="548"/>
      <c r="AH28" s="548"/>
      <c r="AI28" s="548"/>
      <c r="AJ28" s="548"/>
      <c r="AK28" s="548"/>
      <c r="AL28" s="548"/>
    </row>
    <row r="29" spans="1:38">
      <c r="A29" s="622">
        <v>0.02</v>
      </c>
      <c r="C29" s="620">
        <f>W29-M29</f>
        <v>6.5808663561006675E-2</v>
      </c>
      <c r="D29" s="620"/>
      <c r="E29" s="620">
        <f>Y29-O29</f>
        <v>8.7346587034997647E-2</v>
      </c>
      <c r="F29" s="620">
        <f>Z29-P29</f>
        <v>9.2068735027228676E-2</v>
      </c>
      <c r="G29" s="620"/>
      <c r="H29" s="620"/>
      <c r="I29" s="620">
        <f>AC29-S29</f>
        <v>4.1459367116969403E-2</v>
      </c>
      <c r="J29" s="620"/>
      <c r="L29" s="548">
        <f t="shared" si="8"/>
        <v>25</v>
      </c>
      <c r="M29" s="621">
        <f>Results!C39*100</f>
        <v>2.170051217063973</v>
      </c>
      <c r="N29" s="621">
        <f>Results!D39*100</f>
        <v>0.60013417476174613</v>
      </c>
      <c r="O29" s="621">
        <f>Results!E39*100</f>
        <v>1.0832794192860096</v>
      </c>
      <c r="P29" s="621">
        <f>Results!F39*100</f>
        <v>0.14807526497278012</v>
      </c>
      <c r="Q29" s="621">
        <f>Results!G39*100</f>
        <v>2.0635306001816067</v>
      </c>
      <c r="R29" s="621">
        <f>Results!H39*100</f>
        <v>0.29797257627623974</v>
      </c>
      <c r="S29" s="621">
        <f>Results!I39*100</f>
        <v>1.9647531680393016</v>
      </c>
      <c r="T29" s="621">
        <f>Results!J39*100</f>
        <v>2.298390780922932</v>
      </c>
      <c r="U29" s="621">
        <f>Results!K39*100</f>
        <v>2.5813854203802222</v>
      </c>
      <c r="W29" s="629">
        <f>'Interpolations USD'!J47*100</f>
        <v>2.2358598806249796</v>
      </c>
      <c r="X29" s="629">
        <f>'Interpolations Euro'!J46*100</f>
        <v>0.67603872502501883</v>
      </c>
      <c r="Y29" s="629">
        <f>'Interpolations GBP'!J46*100</f>
        <v>1.1706260063210072</v>
      </c>
      <c r="Z29" s="629">
        <f>'Interpolations CHF'!J46*100</f>
        <v>0.24014400000000879</v>
      </c>
      <c r="AA29" s="629">
        <f>'Interpolations CAD'!J46*100</f>
        <v>2.1344699455999816</v>
      </c>
      <c r="AB29" s="629">
        <f>'Interpolations JPY'!J46*100</f>
        <v>0.38912781640623173</v>
      </c>
      <c r="AC29" s="629">
        <f>'Interpolations AUD'!J46*100</f>
        <v>2.006212535156271</v>
      </c>
      <c r="AD29" s="629">
        <f>'Interpolations NZD'!J46*100</f>
        <v>2.3106962656250118</v>
      </c>
      <c r="AE29" s="548"/>
      <c r="AF29" s="548"/>
      <c r="AG29" s="548"/>
      <c r="AH29" s="548"/>
      <c r="AI29" s="548"/>
      <c r="AJ29" s="548"/>
      <c r="AK29" s="548"/>
      <c r="AL29" s="548"/>
    </row>
    <row r="30" spans="1:38">
      <c r="A30" s="622"/>
      <c r="C30" s="620"/>
      <c r="D30" s="620"/>
      <c r="E30" s="620"/>
      <c r="F30" s="620"/>
      <c r="G30" s="620"/>
      <c r="H30" s="620"/>
      <c r="I30" s="620"/>
      <c r="J30" s="620"/>
      <c r="L30" s="548">
        <f t="shared" si="8"/>
        <v>26</v>
      </c>
      <c r="M30" s="621">
        <f>Results!C40*100</f>
        <v>2.1732933159478218</v>
      </c>
      <c r="N30" s="621">
        <f>Results!D40*100</f>
        <v>0.61067755743653418</v>
      </c>
      <c r="O30" s="621">
        <f>Results!E40*100</f>
        <v>1.087996629347221</v>
      </c>
      <c r="P30" s="621">
        <f>Results!F40*100</f>
        <v>0.15596890769200566</v>
      </c>
      <c r="Q30" s="621">
        <f>Results!G40*100</f>
        <v>2.0578756392364062</v>
      </c>
      <c r="R30" s="621">
        <f>Results!H40*100</f>
        <v>0.30817100289419752</v>
      </c>
      <c r="S30" s="621">
        <f>Results!I40*100</f>
        <v>1.9637366946071877</v>
      </c>
      <c r="T30" s="621">
        <f>Results!J40*100</f>
        <v>2.3059263706408872</v>
      </c>
      <c r="U30" s="621">
        <f>Results!K40*100</f>
        <v>2.6377237107900742</v>
      </c>
      <c r="W30" s="629">
        <f>'Interpolations USD'!J48*100</f>
        <v>2.2378416805290069</v>
      </c>
      <c r="X30" s="629">
        <f>'Interpolations Euro'!J47*100</f>
        <v>0.6861730625000062</v>
      </c>
      <c r="Y30" s="629">
        <f>'Interpolations GBP'!J47*100</f>
        <v>1.1750517335610056</v>
      </c>
      <c r="Z30" s="629">
        <f>'Interpolations CHF'!J47*100</f>
        <v>0.24314762249999511</v>
      </c>
      <c r="AA30" s="629">
        <f>'Interpolations CAD'!J47*100</f>
        <v>2.1305892170240037</v>
      </c>
      <c r="AB30" s="629">
        <f>'Interpolations JPY'!J47*100</f>
        <v>0.39814551265624498</v>
      </c>
      <c r="AC30" s="629">
        <f>'Interpolations AUD'!J47*100</f>
        <v>2.005960040000021</v>
      </c>
      <c r="AD30" s="629">
        <f>'Interpolations NZD'!J47*100</f>
        <v>2.3228344756250019</v>
      </c>
      <c r="AE30" s="548"/>
      <c r="AF30" s="548"/>
      <c r="AG30" s="548"/>
      <c r="AH30" s="548"/>
      <c r="AI30" s="548"/>
      <c r="AJ30" s="548"/>
      <c r="AK30" s="548"/>
      <c r="AL30" s="548"/>
    </row>
    <row r="31" spans="1:38">
      <c r="A31" s="622"/>
      <c r="C31" s="620"/>
      <c r="D31" s="620"/>
      <c r="E31" s="620"/>
      <c r="F31" s="620"/>
      <c r="G31" s="620"/>
      <c r="H31" s="620"/>
      <c r="I31" s="620"/>
      <c r="J31" s="620"/>
      <c r="L31" s="548">
        <f t="shared" si="8"/>
        <v>27</v>
      </c>
      <c r="M31" s="621">
        <f>Results!C41*100</f>
        <v>2.1757147404315669</v>
      </c>
      <c r="N31" s="621">
        <f>Results!D41*100</f>
        <v>0.61547358806250951</v>
      </c>
      <c r="O31" s="621">
        <f>Results!E41*100</f>
        <v>1.0912410777917714</v>
      </c>
      <c r="P31" s="621">
        <f>Results!F41*100</f>
        <v>0.16127946366004675</v>
      </c>
      <c r="Q31" s="621">
        <f>Results!G41*100</f>
        <v>2.0519506789202113</v>
      </c>
      <c r="R31" s="621">
        <f>Results!H41*100</f>
        <v>0.31802637302249526</v>
      </c>
      <c r="S31" s="621">
        <f>Results!I41*100</f>
        <v>1.9620554188799044</v>
      </c>
      <c r="T31" s="621">
        <f>Results!J41*100</f>
        <v>2.3173201045161518</v>
      </c>
      <c r="U31" s="621">
        <f>Results!K41*100</f>
        <v>2.6917526091848831</v>
      </c>
      <c r="W31" s="629">
        <f>'Interpolations USD'!J49*100</f>
        <v>2.2398234996410027</v>
      </c>
      <c r="X31" s="629">
        <f>'Interpolations Euro'!J48*100</f>
        <v>0.69119024999999557</v>
      </c>
      <c r="Y31" s="629">
        <f>'Interpolations GBP'!J48*100</f>
        <v>1.1750517335610056</v>
      </c>
      <c r="Z31" s="629">
        <f>'Interpolations CHF'!J48*100</f>
        <v>0.24615129000000735</v>
      </c>
      <c r="AA31" s="629">
        <f>'Interpolations CAD'!J48*100</f>
        <v>2.1267085621759829</v>
      </c>
      <c r="AB31" s="629">
        <f>'Interpolations JPY'!J48*100</f>
        <v>0.40716361390626954</v>
      </c>
      <c r="AC31" s="629">
        <f>'Interpolations AUD'!J48*100</f>
        <v>2.0057075451562323</v>
      </c>
      <c r="AD31" s="629">
        <f>'Interpolations NZD'!J48*100</f>
        <v>2.3349734056250071</v>
      </c>
      <c r="AE31" s="548"/>
      <c r="AF31" s="548"/>
      <c r="AG31" s="548"/>
      <c r="AH31" s="548"/>
      <c r="AI31" s="548"/>
      <c r="AJ31" s="548"/>
      <c r="AK31" s="548"/>
      <c r="AL31" s="548"/>
    </row>
    <row r="32" spans="1:38">
      <c r="A32" s="622"/>
      <c r="C32" s="620"/>
      <c r="D32" s="620"/>
      <c r="E32" s="620"/>
      <c r="F32" s="620"/>
      <c r="G32" s="620"/>
      <c r="H32" s="620"/>
      <c r="I32" s="620"/>
      <c r="J32" s="620"/>
      <c r="L32" s="548">
        <f t="shared" si="8"/>
        <v>28</v>
      </c>
      <c r="M32" s="621">
        <f>Results!C42*100</f>
        <v>2.1773023832715843</v>
      </c>
      <c r="N32" s="621">
        <f>Results!D42*100</f>
        <v>0.61918622781582666</v>
      </c>
      <c r="O32" s="621">
        <f>Results!E42*100</f>
        <v>1.0919031673084278</v>
      </c>
      <c r="P32" s="621">
        <f>Results!F42*100</f>
        <v>0.16410836636546744</v>
      </c>
      <c r="Q32" s="621">
        <f>Results!G42*100</f>
        <v>2.045762636201931</v>
      </c>
      <c r="R32" s="621">
        <f>Results!H42*100</f>
        <v>0.32749608425728383</v>
      </c>
      <c r="S32" s="621">
        <f>Results!I42*100</f>
        <v>1.9597379977484231</v>
      </c>
      <c r="T32" s="621">
        <f>Results!J42*100</f>
        <v>2.3321994600703277</v>
      </c>
      <c r="U32" s="621">
        <f>Results!K42*100</f>
        <v>2.7434000095197364</v>
      </c>
      <c r="W32" s="629">
        <f>'Interpolations USD'!J50*100</f>
        <v>2.2418053379609892</v>
      </c>
      <c r="X32" s="629">
        <f>'Interpolations Euro'!J49*100</f>
        <v>0.69520409000001226</v>
      </c>
      <c r="Y32" s="629">
        <f>'Interpolations GBP'!J49*100</f>
        <v>1.1750517335610056</v>
      </c>
      <c r="Z32" s="629">
        <f>'Interpolations CHF'!J49*100</f>
        <v>0.24915500249997891</v>
      </c>
      <c r="AA32" s="629">
        <f>'Interpolations CAD'!J49*100</f>
        <v>2.122827981056008</v>
      </c>
      <c r="AB32" s="629">
        <f>'Interpolations JPY'!J49*100</f>
        <v>0.41618212015623879</v>
      </c>
      <c r="AC32" s="629">
        <f>'Interpolations AUD'!J49*100</f>
        <v>2.0054550506249935</v>
      </c>
      <c r="AD32" s="629">
        <f>'Interpolations NZD'!J49*100</f>
        <v>2.3471130556249831</v>
      </c>
      <c r="AE32" s="548"/>
      <c r="AF32" s="548"/>
      <c r="AG32" s="548"/>
      <c r="AH32" s="548"/>
      <c r="AI32" s="548"/>
      <c r="AJ32" s="548"/>
      <c r="AK32" s="548"/>
      <c r="AL32" s="548"/>
    </row>
    <row r="33" spans="1:38">
      <c r="A33" s="622"/>
      <c r="C33" s="620"/>
      <c r="D33" s="620"/>
      <c r="E33" s="620"/>
      <c r="F33" s="620"/>
      <c r="G33" s="620"/>
      <c r="H33" s="620"/>
      <c r="I33" s="620"/>
      <c r="J33" s="620"/>
      <c r="L33" s="548">
        <f t="shared" si="8"/>
        <v>29</v>
      </c>
      <c r="M33" s="621">
        <f>Results!C43*100</f>
        <v>2.1780484432521341</v>
      </c>
      <c r="N33" s="621">
        <f>Results!D43*100</f>
        <v>0.62180637798847638</v>
      </c>
      <c r="O33" s="621">
        <f>Results!E43*100</f>
        <v>1.0901833889614965</v>
      </c>
      <c r="P33" s="621">
        <f>Results!F43*100</f>
        <v>0.16455408417077599</v>
      </c>
      <c r="Q33" s="621">
        <f>Results!G43*100</f>
        <v>2.0393183534742398</v>
      </c>
      <c r="R33" s="621">
        <f>Results!H43*100</f>
        <v>0.33654387314256962</v>
      </c>
      <c r="S33" s="621">
        <f>Results!I43*100</f>
        <v>1.9568100292426172</v>
      </c>
      <c r="T33" s="621">
        <f>Results!J43*100</f>
        <v>2.3502039196137359</v>
      </c>
      <c r="U33" s="621">
        <f>Results!K43*100</f>
        <v>2.7926218343205411</v>
      </c>
      <c r="W33" s="629">
        <f>'Interpolations USD'!J51*100</f>
        <v>2.2437871954889888</v>
      </c>
      <c r="X33" s="629">
        <f>'Interpolations Euro'!J50*100</f>
        <v>0.69821452249998472</v>
      </c>
      <c r="Y33" s="629">
        <f>'Interpolations GBP'!J50*100</f>
        <v>1.1750517335610056</v>
      </c>
      <c r="Z33" s="629">
        <f>'Interpolations CHF'!J50*100</f>
        <v>0.25215875999999859</v>
      </c>
      <c r="AA33" s="629">
        <f>'Interpolations CAD'!J50*100</f>
        <v>2.1189474736639902</v>
      </c>
      <c r="AB33" s="629">
        <f>'Interpolations JPY'!J50*100</f>
        <v>0.42520103140624155</v>
      </c>
      <c r="AC33" s="629">
        <f>'Interpolations AUD'!J50*100</f>
        <v>2.0052025564062603</v>
      </c>
      <c r="AD33" s="629">
        <f>'Interpolations NZD'!J50*100</f>
        <v>2.3592534256249742</v>
      </c>
      <c r="AE33" s="548"/>
      <c r="AF33" s="548"/>
      <c r="AG33" s="548"/>
      <c r="AH33" s="548"/>
      <c r="AI33" s="548"/>
      <c r="AJ33" s="548"/>
      <c r="AK33" s="548"/>
      <c r="AL33" s="548"/>
    </row>
    <row r="34" spans="1:38">
      <c r="A34" s="622">
        <v>0.02</v>
      </c>
      <c r="C34" s="620">
        <f t="shared" ref="C34:J34" si="10">W34-M34</f>
        <v>6.7819198297680572E-2</v>
      </c>
      <c r="D34" s="620">
        <f t="shared" si="10"/>
        <v>7.7625208647025268E-2</v>
      </c>
      <c r="E34" s="620">
        <f t="shared" si="10"/>
        <v>8.8781179722885462E-2</v>
      </c>
      <c r="F34" s="620">
        <f t="shared" si="10"/>
        <v>9.2450403558408389E-2</v>
      </c>
      <c r="G34" s="620">
        <f t="shared" si="10"/>
        <v>8.2442578468944205E-2</v>
      </c>
      <c r="H34" s="620">
        <f t="shared" si="10"/>
        <v>8.9081475878538541E-2</v>
      </c>
      <c r="I34" s="620">
        <f t="shared" si="10"/>
        <v>5.165551211641084E-2</v>
      </c>
      <c r="J34" s="620">
        <f t="shared" si="10"/>
        <v>4.0446780331659937E-4</v>
      </c>
      <c r="L34" s="548">
        <f t="shared" si="8"/>
        <v>30</v>
      </c>
      <c r="M34" s="621">
        <f>Results!C44*100</f>
        <v>2.1779498739273428</v>
      </c>
      <c r="N34" s="621">
        <f>Results!D44*100</f>
        <v>0.61767922837796529</v>
      </c>
      <c r="O34" s="621">
        <f>Results!E44*100</f>
        <v>1.0862705538381201</v>
      </c>
      <c r="P34" s="621">
        <f>Results!F44*100</f>
        <v>0.16271215894156921</v>
      </c>
      <c r="Q34" s="621">
        <f>Results!G44*100</f>
        <v>2.032624461531074</v>
      </c>
      <c r="R34" s="621">
        <f>Results!H44*100</f>
        <v>0.34513887177771707</v>
      </c>
      <c r="S34" s="621">
        <f>Results!I44*100</f>
        <v>1.9532945503835997</v>
      </c>
      <c r="T34" s="621">
        <f>Results!J44*100</f>
        <v>2.3709900478216861</v>
      </c>
      <c r="U34" s="621">
        <f>Results!K44*100</f>
        <v>2.8393978199910075</v>
      </c>
      <c r="W34" s="629">
        <f>'Interpolations USD'!J52*100</f>
        <v>2.2457690722250234</v>
      </c>
      <c r="X34" s="629">
        <f>'Interpolations Euro'!J51*100</f>
        <v>0.69530443702499056</v>
      </c>
      <c r="Y34" s="629">
        <f>'Interpolations GBP'!J51*100</f>
        <v>1.1750517335610056</v>
      </c>
      <c r="Z34" s="629">
        <f>'Interpolations CHF'!J51*100</f>
        <v>0.2551625624999776</v>
      </c>
      <c r="AA34" s="629">
        <f>'Interpolations CAD'!J51*100</f>
        <v>2.1150670400000182</v>
      </c>
      <c r="AB34" s="629">
        <f>'Interpolations JPY'!J51*100</f>
        <v>0.43422034765625561</v>
      </c>
      <c r="AC34" s="629">
        <f>'Interpolations AUD'!J51*100</f>
        <v>2.0049500625000105</v>
      </c>
      <c r="AD34" s="629">
        <f>'Interpolations NZD'!J51*100</f>
        <v>2.3713945156250027</v>
      </c>
      <c r="AE34" s="548"/>
      <c r="AF34" s="548"/>
      <c r="AG34" s="548"/>
      <c r="AH34" s="548"/>
      <c r="AI34" s="548"/>
      <c r="AJ34" s="548"/>
      <c r="AK34" s="548"/>
      <c r="AL34" s="548"/>
    </row>
    <row r="35" spans="1:38">
      <c r="C35" s="306"/>
      <c r="D35" s="306"/>
      <c r="E35" s="306"/>
      <c r="F35" s="306"/>
      <c r="G35" s="306"/>
      <c r="H35" s="306"/>
      <c r="I35" s="306"/>
      <c r="J35" s="306"/>
      <c r="M35" s="306"/>
      <c r="N35" s="306"/>
      <c r="O35" s="306"/>
      <c r="P35" s="306"/>
      <c r="Q35" s="306"/>
      <c r="R35" s="306"/>
      <c r="S35" s="306"/>
      <c r="T35" s="306"/>
      <c r="AE35" s="548"/>
      <c r="AF35" s="548"/>
      <c r="AG35" s="548"/>
      <c r="AH35" s="548"/>
      <c r="AI35" s="548"/>
      <c r="AJ35" s="548"/>
      <c r="AK35" s="548"/>
      <c r="AL35" s="548"/>
    </row>
    <row r="36" spans="1:38">
      <c r="AE36" s="548"/>
      <c r="AF36" s="548"/>
      <c r="AG36" s="548"/>
      <c r="AH36" s="548"/>
      <c r="AI36" s="548"/>
      <c r="AJ36" s="548"/>
      <c r="AK36" s="548"/>
      <c r="AL36" s="548"/>
    </row>
    <row r="37" spans="1:38" ht="15">
      <c r="I37" s="628"/>
      <c r="W37" s="628"/>
      <c r="AE37" s="548"/>
      <c r="AF37" s="548"/>
      <c r="AG37" s="548"/>
      <c r="AH37" s="548"/>
      <c r="AI37" s="548"/>
      <c r="AJ37" s="548"/>
      <c r="AK37" s="548"/>
      <c r="AL37" s="548"/>
    </row>
    <row r="38" spans="1:38">
      <c r="AE38" s="548"/>
      <c r="AF38" s="548"/>
      <c r="AG38" s="548"/>
      <c r="AH38" s="548"/>
      <c r="AI38" s="548"/>
      <c r="AJ38" s="548"/>
      <c r="AK38" s="548"/>
      <c r="AL38" s="548"/>
    </row>
    <row r="39" spans="1:38">
      <c r="AE39" s="548"/>
      <c r="AF39" s="548"/>
      <c r="AG39" s="548"/>
      <c r="AH39" s="548"/>
      <c r="AI39" s="548"/>
      <c r="AJ39" s="548"/>
      <c r="AK39" s="548"/>
      <c r="AL39" s="548"/>
    </row>
    <row r="40" spans="1:38">
      <c r="AE40" s="548"/>
      <c r="AF40" s="548"/>
      <c r="AG40" s="548"/>
      <c r="AH40" s="548"/>
      <c r="AI40" s="548"/>
      <c r="AJ40" s="548"/>
      <c r="AK40" s="548"/>
      <c r="AL40" s="548"/>
    </row>
    <row r="41" spans="1:38">
      <c r="AE41" s="548"/>
      <c r="AF41" s="548"/>
      <c r="AG41" s="548"/>
      <c r="AH41" s="548"/>
      <c r="AI41" s="548"/>
      <c r="AJ41" s="548"/>
      <c r="AK41" s="548"/>
      <c r="AL41" s="548"/>
    </row>
    <row r="42" spans="1:38">
      <c r="AE42" s="548"/>
      <c r="AF42" s="548"/>
      <c r="AG42" s="548"/>
      <c r="AH42" s="548"/>
      <c r="AI42" s="548"/>
      <c r="AJ42" s="548"/>
      <c r="AK42" s="548"/>
      <c r="AL42" s="548"/>
    </row>
    <row r="43" spans="1:38">
      <c r="AE43" s="548"/>
      <c r="AF43" s="548"/>
      <c r="AG43" s="548"/>
      <c r="AH43" s="548"/>
      <c r="AI43" s="548"/>
      <c r="AJ43" s="548"/>
      <c r="AK43" s="548"/>
      <c r="AL43" s="548"/>
    </row>
    <row r="44" spans="1:38">
      <c r="AE44" s="548"/>
      <c r="AF44" s="548"/>
      <c r="AG44" s="548"/>
      <c r="AH44" s="548"/>
      <c r="AI44" s="548"/>
      <c r="AJ44" s="548"/>
      <c r="AK44" s="548"/>
      <c r="AL44" s="548"/>
    </row>
    <row r="45" spans="1:38">
      <c r="AE45" s="548"/>
      <c r="AF45" s="548"/>
      <c r="AG45" s="548"/>
      <c r="AH45" s="548"/>
      <c r="AI45" s="548"/>
      <c r="AJ45" s="548"/>
      <c r="AK45" s="548"/>
      <c r="AL45" s="548"/>
    </row>
    <row r="46" spans="1:38">
      <c r="AE46" s="548"/>
      <c r="AF46" s="548"/>
      <c r="AG46" s="548"/>
      <c r="AH46" s="548"/>
      <c r="AI46" s="548"/>
      <c r="AJ46" s="548"/>
      <c r="AK46" s="548"/>
      <c r="AL46" s="548"/>
    </row>
    <row r="47" spans="1:38">
      <c r="AE47" s="548"/>
      <c r="AF47" s="548"/>
      <c r="AG47" s="548"/>
      <c r="AH47" s="548"/>
      <c r="AI47" s="548"/>
      <c r="AJ47" s="548"/>
      <c r="AK47" s="548"/>
      <c r="AL47" s="548"/>
    </row>
    <row r="48" spans="1:38">
      <c r="AE48" s="548"/>
      <c r="AF48" s="548"/>
      <c r="AG48" s="548"/>
      <c r="AH48" s="548"/>
      <c r="AI48" s="548"/>
      <c r="AJ48" s="548"/>
      <c r="AK48" s="548"/>
      <c r="AL48" s="548"/>
    </row>
    <row r="49" spans="31:38">
      <c r="AE49" s="548"/>
      <c r="AF49" s="548"/>
      <c r="AG49" s="548"/>
      <c r="AH49" s="548"/>
      <c r="AI49" s="548"/>
      <c r="AJ49" s="548"/>
      <c r="AK49" s="548"/>
      <c r="AL49" s="548"/>
    </row>
    <row r="50" spans="31:38">
      <c r="AE50" s="548"/>
      <c r="AF50" s="548"/>
      <c r="AG50" s="548"/>
      <c r="AH50" s="548"/>
      <c r="AI50" s="548"/>
      <c r="AJ50" s="548"/>
      <c r="AK50" s="548"/>
      <c r="AL50" s="548"/>
    </row>
    <row r="51" spans="31:38">
      <c r="AE51" s="548"/>
      <c r="AF51" s="548"/>
      <c r="AG51" s="548"/>
      <c r="AH51" s="548"/>
      <c r="AI51" s="548"/>
      <c r="AJ51" s="548"/>
      <c r="AK51" s="548"/>
      <c r="AL51" s="548"/>
    </row>
    <row r="52" spans="31:38">
      <c r="AE52" s="548"/>
      <c r="AF52" s="548"/>
      <c r="AG52" s="548"/>
      <c r="AH52" s="548"/>
      <c r="AI52" s="548"/>
      <c r="AJ52" s="548"/>
      <c r="AK52" s="548"/>
      <c r="AL52" s="548"/>
    </row>
    <row r="53" spans="31:38">
      <c r="AE53" s="548"/>
      <c r="AF53" s="548"/>
      <c r="AG53" s="548"/>
      <c r="AH53" s="548"/>
      <c r="AI53" s="548"/>
      <c r="AJ53" s="548"/>
      <c r="AK53" s="548"/>
      <c r="AL53" s="548"/>
    </row>
    <row r="54" spans="31:38">
      <c r="AE54" s="548"/>
      <c r="AF54" s="548"/>
      <c r="AG54" s="548"/>
      <c r="AH54" s="548"/>
      <c r="AI54" s="548"/>
      <c r="AJ54" s="548"/>
      <c r="AK54" s="548"/>
      <c r="AL54" s="548"/>
    </row>
    <row r="55" spans="31:38">
      <c r="AE55" s="548"/>
      <c r="AF55" s="548"/>
      <c r="AG55" s="548"/>
      <c r="AH55" s="548"/>
      <c r="AI55" s="548"/>
      <c r="AJ55" s="548"/>
      <c r="AK55" s="548"/>
      <c r="AL55" s="548"/>
    </row>
    <row r="56" spans="31:38">
      <c r="AE56" s="548"/>
      <c r="AF56" s="548"/>
      <c r="AG56" s="548"/>
      <c r="AH56" s="548"/>
      <c r="AI56" s="548"/>
      <c r="AJ56" s="548"/>
      <c r="AK56" s="548"/>
      <c r="AL56" s="548"/>
    </row>
    <row r="57" spans="31:38">
      <c r="AE57" s="548"/>
      <c r="AF57" s="548"/>
      <c r="AG57" s="548"/>
      <c r="AH57" s="548"/>
      <c r="AI57" s="548"/>
      <c r="AJ57" s="548"/>
      <c r="AK57" s="548"/>
      <c r="AL57" s="548"/>
    </row>
    <row r="58" spans="31:38">
      <c r="AE58" s="548"/>
      <c r="AF58" s="548"/>
      <c r="AG58" s="548"/>
      <c r="AH58" s="548"/>
      <c r="AI58" s="548"/>
      <c r="AJ58" s="548"/>
      <c r="AK58" s="548"/>
      <c r="AL58" s="548"/>
    </row>
    <row r="59" spans="31:38">
      <c r="AE59" s="548"/>
      <c r="AF59" s="548"/>
      <c r="AG59" s="548"/>
      <c r="AH59" s="548"/>
      <c r="AI59" s="548"/>
      <c r="AJ59" s="548"/>
      <c r="AK59" s="548"/>
      <c r="AL59" s="548"/>
    </row>
    <row r="60" spans="31:38">
      <c r="AE60" s="548"/>
      <c r="AF60" s="548"/>
      <c r="AG60" s="548"/>
      <c r="AH60" s="548"/>
      <c r="AI60" s="548"/>
      <c r="AJ60" s="548"/>
      <c r="AK60" s="548"/>
      <c r="AL60" s="548"/>
    </row>
    <row r="61" spans="31:38">
      <c r="AE61" s="548"/>
      <c r="AF61" s="548"/>
      <c r="AG61" s="548"/>
      <c r="AH61" s="548"/>
      <c r="AI61" s="548"/>
      <c r="AJ61" s="548"/>
      <c r="AK61" s="548"/>
      <c r="AL61" s="548"/>
    </row>
    <row r="62" spans="31:38">
      <c r="AE62" s="548"/>
      <c r="AF62" s="548"/>
      <c r="AG62" s="548"/>
      <c r="AH62" s="548"/>
      <c r="AI62" s="548"/>
      <c r="AJ62" s="548"/>
      <c r="AK62" s="548"/>
      <c r="AL62" s="548"/>
    </row>
    <row r="63" spans="31:38">
      <c r="AE63" s="548"/>
      <c r="AF63" s="548"/>
      <c r="AG63" s="548"/>
      <c r="AH63" s="548"/>
      <c r="AI63" s="548"/>
      <c r="AJ63" s="548"/>
      <c r="AK63" s="548"/>
      <c r="AL63" s="548"/>
    </row>
    <row r="64" spans="31:38">
      <c r="AE64" s="548"/>
      <c r="AF64" s="548"/>
      <c r="AG64" s="548"/>
      <c r="AH64" s="548"/>
      <c r="AI64" s="548"/>
      <c r="AJ64" s="548"/>
      <c r="AK64" s="548"/>
      <c r="AL64" s="548"/>
    </row>
    <row r="65" spans="31:38">
      <c r="AE65" s="548"/>
      <c r="AF65" s="548"/>
      <c r="AG65" s="548"/>
      <c r="AH65" s="548"/>
      <c r="AI65" s="548"/>
      <c r="AJ65" s="548"/>
      <c r="AK65" s="548"/>
      <c r="AL65" s="548"/>
    </row>
    <row r="66" spans="31:38">
      <c r="AE66" s="548"/>
      <c r="AF66" s="548"/>
      <c r="AG66" s="548"/>
      <c r="AH66" s="548"/>
      <c r="AI66" s="548"/>
      <c r="AJ66" s="548"/>
      <c r="AK66" s="548"/>
      <c r="AL66" s="548"/>
    </row>
    <row r="67" spans="31:38">
      <c r="AE67" s="548"/>
      <c r="AF67" s="548"/>
      <c r="AG67" s="548"/>
      <c r="AH67" s="548"/>
      <c r="AI67" s="548"/>
      <c r="AJ67" s="548"/>
      <c r="AK67" s="548"/>
      <c r="AL67" s="548"/>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5" tint="-0.249977111117893"/>
  </sheetPr>
  <dimension ref="A1:O193"/>
  <sheetViews>
    <sheetView topLeftCell="A175" workbookViewId="0">
      <selection activeCell="M162" sqref="M162"/>
    </sheetView>
  </sheetViews>
  <sheetFormatPr defaultRowHeight="12.75"/>
  <cols>
    <col min="1" max="1" width="11.5703125" bestFit="1" customWidth="1"/>
    <col min="2" max="2" width="20.5703125" bestFit="1" customWidth="1"/>
    <col min="3" max="3" width="24.42578125" style="542" bestFit="1" customWidth="1"/>
    <col min="4" max="4" width="19.85546875" style="274" bestFit="1" customWidth="1"/>
    <col min="5" max="5" width="24.42578125" bestFit="1" customWidth="1"/>
    <col min="6" max="6" width="14.85546875" bestFit="1" customWidth="1"/>
    <col min="7" max="7" width="11" bestFit="1" customWidth="1"/>
    <col min="8" max="8" width="6" bestFit="1" customWidth="1"/>
    <col min="9" max="9" width="14" bestFit="1" customWidth="1"/>
    <col min="10" max="10" width="11" bestFit="1" customWidth="1"/>
    <col min="11" max="11" width="6" bestFit="1" customWidth="1"/>
    <col min="12" max="12" width="14" bestFit="1" customWidth="1"/>
  </cols>
  <sheetData>
    <row r="1" spans="1:15">
      <c r="A1" t="s">
        <v>126</v>
      </c>
    </row>
    <row r="2" spans="1:15">
      <c r="C2" s="542" t="s">
        <v>98</v>
      </c>
      <c r="D2" s="274" t="s">
        <v>97</v>
      </c>
      <c r="E2" t="s">
        <v>99</v>
      </c>
      <c r="F2" t="s">
        <v>102</v>
      </c>
      <c r="G2" t="s">
        <v>101</v>
      </c>
      <c r="H2" t="s">
        <v>100</v>
      </c>
      <c r="I2" t="s">
        <v>103</v>
      </c>
      <c r="J2" t="s">
        <v>520</v>
      </c>
    </row>
    <row r="3" spans="1:15" ht="15">
      <c r="B3" s="635" t="s">
        <v>521</v>
      </c>
      <c r="C3" s="654" t="s">
        <v>544</v>
      </c>
      <c r="D3" s="658" t="s">
        <v>946</v>
      </c>
      <c r="E3" s="654" t="s">
        <v>544</v>
      </c>
      <c r="F3" s="654">
        <v>2.1147</v>
      </c>
      <c r="G3" s="654">
        <v>0</v>
      </c>
      <c r="H3" s="654">
        <v>0</v>
      </c>
      <c r="I3" s="654">
        <v>2.1147</v>
      </c>
      <c r="J3">
        <f>IF(ROUND(F3+G3,2)=ROUND(I3,2),1,0)</f>
        <v>1</v>
      </c>
    </row>
    <row r="4" spans="1:15" ht="15">
      <c r="B4" s="635" t="s">
        <v>522</v>
      </c>
      <c r="C4" s="654" t="s">
        <v>544</v>
      </c>
      <c r="D4" s="658" t="s">
        <v>990</v>
      </c>
      <c r="E4" s="654" t="s">
        <v>544</v>
      </c>
      <c r="F4" s="654">
        <v>2.0213999999999999</v>
      </c>
      <c r="G4" s="654">
        <v>0</v>
      </c>
      <c r="H4" s="654">
        <v>0</v>
      </c>
      <c r="I4" s="654">
        <v>2.0213999999999999</v>
      </c>
      <c r="J4" s="225">
        <f t="shared" ref="J4:J65" si="0">IF(ROUND(F4+G4,2)=ROUND(I4,2),1,0)</f>
        <v>1</v>
      </c>
    </row>
    <row r="5" spans="1:15" ht="15">
      <c r="B5" s="635" t="s">
        <v>523</v>
      </c>
      <c r="C5" s="654" t="s">
        <v>544</v>
      </c>
      <c r="D5" s="658" t="s">
        <v>991</v>
      </c>
      <c r="E5" s="654" t="s">
        <v>544</v>
      </c>
      <c r="F5" s="654">
        <v>1.8749500000000001</v>
      </c>
      <c r="G5" s="654">
        <v>0</v>
      </c>
      <c r="H5" s="654">
        <v>0</v>
      </c>
      <c r="I5" s="654">
        <v>1.8749500000000001</v>
      </c>
      <c r="J5" s="225">
        <f t="shared" si="0"/>
        <v>1</v>
      </c>
    </row>
    <row r="6" spans="1:15" ht="15">
      <c r="B6" s="635" t="s">
        <v>524</v>
      </c>
      <c r="C6" s="658" t="s">
        <v>992</v>
      </c>
      <c r="D6" s="658" t="s">
        <v>993</v>
      </c>
      <c r="E6" s="654">
        <v>2</v>
      </c>
      <c r="F6" s="654">
        <v>99.720703125</v>
      </c>
      <c r="G6" s="654">
        <v>1.3247282608695652E-2</v>
      </c>
      <c r="H6" s="654">
        <v>1.625</v>
      </c>
      <c r="I6" s="654">
        <v>99.733950407608702</v>
      </c>
      <c r="J6" s="225">
        <f t="shared" si="0"/>
        <v>1</v>
      </c>
    </row>
    <row r="7" spans="1:15" ht="15">
      <c r="B7" s="635" t="s">
        <v>525</v>
      </c>
      <c r="C7" s="658" t="s">
        <v>994</v>
      </c>
      <c r="D7" s="658" t="s">
        <v>995</v>
      </c>
      <c r="E7" s="654">
        <v>2</v>
      </c>
      <c r="F7" s="654">
        <v>100.09375</v>
      </c>
      <c r="G7" s="654">
        <v>8.6065573770491802E-2</v>
      </c>
      <c r="H7" s="654">
        <v>1.75</v>
      </c>
      <c r="I7" s="654">
        <v>100.1798155737705</v>
      </c>
      <c r="J7" s="225">
        <f t="shared" si="0"/>
        <v>1</v>
      </c>
    </row>
    <row r="8" spans="1:15" ht="15">
      <c r="B8" s="704" t="s">
        <v>853</v>
      </c>
      <c r="C8" s="658" t="s">
        <v>992</v>
      </c>
      <c r="D8" s="658" t="s">
        <v>996</v>
      </c>
      <c r="E8" s="654">
        <v>2</v>
      </c>
      <c r="F8" s="654">
        <v>103.37890625</v>
      </c>
      <c r="G8" s="654">
        <v>2.1399456521739128E-2</v>
      </c>
      <c r="H8" s="654">
        <v>2.625</v>
      </c>
      <c r="I8" s="654">
        <v>103.40030570652173</v>
      </c>
      <c r="J8" s="225">
        <f t="shared" si="0"/>
        <v>1</v>
      </c>
    </row>
    <row r="9" spans="1:15" ht="15">
      <c r="B9" s="636" t="s">
        <v>526</v>
      </c>
      <c r="C9" s="658" t="s">
        <v>992</v>
      </c>
      <c r="D9" s="658" t="s">
        <v>997</v>
      </c>
      <c r="E9" s="654">
        <v>2</v>
      </c>
      <c r="F9" s="654">
        <v>99.8984375</v>
      </c>
      <c r="G9" s="654">
        <v>1.4266304347826086E-2</v>
      </c>
      <c r="H9" s="654">
        <v>1.75</v>
      </c>
      <c r="I9" s="654">
        <v>99.912703804347828</v>
      </c>
      <c r="J9" s="225">
        <f t="shared" si="0"/>
        <v>1</v>
      </c>
    </row>
    <row r="10" spans="1:15" ht="15">
      <c r="B10" s="636" t="s">
        <v>104</v>
      </c>
      <c r="C10" s="658" t="s">
        <v>992</v>
      </c>
      <c r="D10" s="658" t="s">
        <v>998</v>
      </c>
      <c r="E10" s="654">
        <v>2</v>
      </c>
      <c r="F10" s="654">
        <v>99.9765625</v>
      </c>
      <c r="G10" s="654">
        <v>1.5285326086956522E-2</v>
      </c>
      <c r="H10" s="654">
        <v>1.875</v>
      </c>
      <c r="I10" s="654">
        <v>99.991847826086953</v>
      </c>
      <c r="J10" s="225">
        <f t="shared" si="0"/>
        <v>1</v>
      </c>
    </row>
    <row r="11" spans="1:15" ht="15">
      <c r="B11" s="636" t="s">
        <v>105</v>
      </c>
      <c r="C11" s="658" t="s">
        <v>999</v>
      </c>
      <c r="D11" s="658" t="s">
        <v>1000</v>
      </c>
      <c r="E11" s="654">
        <v>2</v>
      </c>
      <c r="F11" s="654">
        <v>103.2421875</v>
      </c>
      <c r="G11" s="654">
        <v>0.31623641304347827</v>
      </c>
      <c r="H11" s="654">
        <v>2.375</v>
      </c>
      <c r="I11" s="654">
        <v>103.55842391304348</v>
      </c>
      <c r="J11" s="225">
        <f t="shared" si="0"/>
        <v>1</v>
      </c>
    </row>
    <row r="12" spans="1:15" ht="15">
      <c r="B12" s="636" t="s">
        <v>110</v>
      </c>
      <c r="C12" s="658" t="s">
        <v>854</v>
      </c>
      <c r="D12" s="658" t="s">
        <v>839</v>
      </c>
      <c r="E12" s="654">
        <v>2</v>
      </c>
      <c r="F12" s="654">
        <v>128.9375</v>
      </c>
      <c r="G12" s="654">
        <v>2.6208563535911602</v>
      </c>
      <c r="H12" s="654">
        <v>6.875</v>
      </c>
      <c r="I12" s="654">
        <v>131.55835635359117</v>
      </c>
      <c r="J12" s="225">
        <f t="shared" si="0"/>
        <v>1</v>
      </c>
    </row>
    <row r="13" spans="1:15" ht="15">
      <c r="B13" s="636" t="s">
        <v>111</v>
      </c>
      <c r="C13" s="658" t="s">
        <v>999</v>
      </c>
      <c r="D13" s="658" t="s">
        <v>840</v>
      </c>
      <c r="E13" s="654">
        <v>2</v>
      </c>
      <c r="F13" s="654">
        <v>131.5078125</v>
      </c>
      <c r="G13" s="654">
        <v>0.86548913043478271</v>
      </c>
      <c r="H13" s="654">
        <v>6.5</v>
      </c>
      <c r="I13" s="654">
        <v>132.37330163043478</v>
      </c>
      <c r="J13" s="225">
        <f t="shared" si="0"/>
        <v>1</v>
      </c>
    </row>
    <row r="14" spans="1:15" ht="15">
      <c r="B14" s="636" t="s">
        <v>112</v>
      </c>
      <c r="C14" s="658" t="s">
        <v>854</v>
      </c>
      <c r="D14" s="658" t="s">
        <v>841</v>
      </c>
      <c r="E14" s="654">
        <v>2</v>
      </c>
      <c r="F14" s="654">
        <v>133.25</v>
      </c>
      <c r="G14" s="654">
        <v>2.4302486187845305</v>
      </c>
      <c r="H14" s="654">
        <v>6.375</v>
      </c>
      <c r="I14" s="654">
        <v>135.68024861878453</v>
      </c>
      <c r="J14" s="225">
        <f t="shared" si="0"/>
        <v>1</v>
      </c>
    </row>
    <row r="15" spans="1:15" ht="15">
      <c r="B15" s="636" t="s">
        <v>113</v>
      </c>
      <c r="C15" s="658" t="s">
        <v>999</v>
      </c>
      <c r="D15" s="658" t="s">
        <v>838</v>
      </c>
      <c r="E15" s="654">
        <v>2</v>
      </c>
      <c r="F15" s="654">
        <v>127.8046875</v>
      </c>
      <c r="G15" s="654">
        <v>0.69904891304347827</v>
      </c>
      <c r="H15" s="654">
        <v>5.25</v>
      </c>
      <c r="I15" s="654">
        <v>128.50373641304347</v>
      </c>
      <c r="J15" s="225">
        <f t="shared" si="0"/>
        <v>1</v>
      </c>
      <c r="M15" s="225"/>
      <c r="N15" s="225"/>
      <c r="O15" s="225"/>
    </row>
    <row r="16" spans="1:15" ht="15">
      <c r="B16" s="636" t="s">
        <v>114</v>
      </c>
      <c r="C16" s="658" t="s">
        <v>854</v>
      </c>
      <c r="D16" s="658" t="s">
        <v>842</v>
      </c>
      <c r="E16" s="654">
        <v>2</v>
      </c>
      <c r="F16" s="654">
        <v>128.3828125</v>
      </c>
      <c r="G16" s="654">
        <v>2.0013812154696136</v>
      </c>
      <c r="H16" s="654">
        <v>5.25</v>
      </c>
      <c r="I16" s="654">
        <v>130.38419371546962</v>
      </c>
      <c r="J16" s="225">
        <f t="shared" si="0"/>
        <v>1</v>
      </c>
    </row>
    <row r="17" spans="1:10" ht="15">
      <c r="B17" s="636" t="s">
        <v>115</v>
      </c>
      <c r="C17" s="658" t="s">
        <v>999</v>
      </c>
      <c r="D17" s="658" t="s">
        <v>843</v>
      </c>
      <c r="E17" s="654">
        <v>2</v>
      </c>
      <c r="F17" s="654">
        <v>140.9609375</v>
      </c>
      <c r="G17" s="654">
        <v>0.83220108695652184</v>
      </c>
      <c r="H17" s="654">
        <v>6.25</v>
      </c>
      <c r="I17" s="654">
        <v>141.79313858695653</v>
      </c>
      <c r="J17" s="225">
        <f t="shared" si="0"/>
        <v>1</v>
      </c>
    </row>
    <row r="18" spans="1:10" ht="15">
      <c r="B18" s="636" t="s">
        <v>116</v>
      </c>
      <c r="C18" s="658" t="s">
        <v>854</v>
      </c>
      <c r="D18" s="658" t="s">
        <v>844</v>
      </c>
      <c r="E18" s="654">
        <v>2</v>
      </c>
      <c r="F18" s="654">
        <v>134.171875</v>
      </c>
      <c r="G18" s="654">
        <v>2.049033149171271</v>
      </c>
      <c r="H18" s="654">
        <v>5.375</v>
      </c>
      <c r="I18" s="654">
        <v>136.22090814917127</v>
      </c>
      <c r="J18" s="225">
        <f t="shared" si="0"/>
        <v>1</v>
      </c>
    </row>
    <row r="19" spans="1:10" ht="15">
      <c r="B19" s="636" t="s">
        <v>117</v>
      </c>
      <c r="C19" s="658" t="s">
        <v>999</v>
      </c>
      <c r="D19" s="658" t="s">
        <v>1001</v>
      </c>
      <c r="E19" s="654">
        <v>2</v>
      </c>
      <c r="F19" s="654">
        <v>130.5859375</v>
      </c>
      <c r="G19" s="654">
        <v>0.56589673913043481</v>
      </c>
      <c r="H19" s="654">
        <v>4.25</v>
      </c>
      <c r="I19" s="654">
        <v>131.15183423913044</v>
      </c>
      <c r="J19" s="225">
        <f t="shared" si="0"/>
        <v>1</v>
      </c>
    </row>
    <row r="20" spans="1:10" ht="15">
      <c r="B20" s="636" t="s">
        <v>118</v>
      </c>
      <c r="C20" s="658" t="s">
        <v>854</v>
      </c>
      <c r="D20" s="658" t="s">
        <v>845</v>
      </c>
      <c r="E20" s="654">
        <v>2</v>
      </c>
      <c r="F20" s="654">
        <v>131.75</v>
      </c>
      <c r="G20" s="654">
        <v>1.7154696132596685</v>
      </c>
      <c r="H20" s="654">
        <v>4.5</v>
      </c>
      <c r="I20" s="654">
        <v>133.46546961325967</v>
      </c>
      <c r="J20" s="225">
        <f t="shared" si="0"/>
        <v>1</v>
      </c>
    </row>
    <row r="21" spans="1:10" ht="15">
      <c r="B21" s="636" t="s">
        <v>119</v>
      </c>
      <c r="C21" s="658" t="s">
        <v>854</v>
      </c>
      <c r="D21" s="658" t="s">
        <v>846</v>
      </c>
      <c r="E21" s="654">
        <v>2</v>
      </c>
      <c r="F21" s="654">
        <v>136.7265625</v>
      </c>
      <c r="G21" s="654">
        <v>1.8107734806629836</v>
      </c>
      <c r="H21" s="654">
        <v>4.75</v>
      </c>
      <c r="I21" s="654">
        <v>138.53733598066299</v>
      </c>
      <c r="J21" s="225">
        <f t="shared" si="0"/>
        <v>1</v>
      </c>
    </row>
    <row r="22" spans="1:10" ht="15">
      <c r="B22" s="636" t="s">
        <v>120</v>
      </c>
      <c r="C22" s="658" t="s">
        <v>854</v>
      </c>
      <c r="D22" s="658" t="s">
        <v>847</v>
      </c>
      <c r="E22" s="654">
        <v>2</v>
      </c>
      <c r="F22" s="654">
        <v>131.9921875</v>
      </c>
      <c r="G22" s="654">
        <v>1.6678176795580111</v>
      </c>
      <c r="H22" s="654">
        <v>4.375</v>
      </c>
      <c r="I22" s="654">
        <v>133.660005179558</v>
      </c>
      <c r="J22" s="225">
        <f t="shared" si="0"/>
        <v>1</v>
      </c>
    </row>
    <row r="23" spans="1:10" ht="15">
      <c r="B23" s="636" t="s">
        <v>121</v>
      </c>
      <c r="C23" s="658" t="s">
        <v>854</v>
      </c>
      <c r="D23" s="658" t="s">
        <v>848</v>
      </c>
      <c r="E23" s="654">
        <v>2</v>
      </c>
      <c r="F23" s="654">
        <v>118.578125</v>
      </c>
      <c r="G23" s="654">
        <v>1.334254143646409</v>
      </c>
      <c r="H23" s="654">
        <v>3.5</v>
      </c>
      <c r="I23" s="654">
        <v>119.9123791436464</v>
      </c>
      <c r="J23" s="225">
        <f t="shared" si="0"/>
        <v>1</v>
      </c>
    </row>
    <row r="24" spans="1:10" ht="15">
      <c r="B24" s="636" t="s">
        <v>122</v>
      </c>
      <c r="C24" s="658" t="s">
        <v>854</v>
      </c>
      <c r="D24" s="658" t="s">
        <v>849</v>
      </c>
      <c r="E24" s="654">
        <v>2</v>
      </c>
      <c r="F24" s="654">
        <v>124.6640625</v>
      </c>
      <c r="G24" s="654">
        <v>1.4772099447513813</v>
      </c>
      <c r="H24" s="654">
        <v>3.875</v>
      </c>
      <c r="I24" s="654">
        <v>126.14127244475138</v>
      </c>
      <c r="J24" s="225">
        <f t="shared" si="0"/>
        <v>1</v>
      </c>
    </row>
    <row r="25" spans="1:10" ht="15">
      <c r="B25" s="636" t="s">
        <v>123</v>
      </c>
      <c r="C25" s="658" t="s">
        <v>999</v>
      </c>
      <c r="D25" s="658" t="s">
        <v>850</v>
      </c>
      <c r="E25" s="654">
        <v>2</v>
      </c>
      <c r="F25" s="654">
        <v>133.2734375</v>
      </c>
      <c r="G25" s="654">
        <v>0.5825407608695653</v>
      </c>
      <c r="H25" s="654">
        <v>4.375</v>
      </c>
      <c r="I25" s="654">
        <v>133.85597826086956</v>
      </c>
      <c r="J25" s="225">
        <f t="shared" si="0"/>
        <v>1</v>
      </c>
    </row>
    <row r="26" spans="1:10" ht="15">
      <c r="B26" s="636" t="s">
        <v>124</v>
      </c>
      <c r="C26" s="658" t="s">
        <v>854</v>
      </c>
      <c r="D26" s="658" t="s">
        <v>851</v>
      </c>
      <c r="E26" s="654">
        <v>2</v>
      </c>
      <c r="F26" s="654">
        <v>104.6953125</v>
      </c>
      <c r="G26" s="654">
        <v>1.0483425414364642</v>
      </c>
      <c r="H26" s="654">
        <v>2.75</v>
      </c>
      <c r="I26" s="654">
        <v>105.74365504143647</v>
      </c>
      <c r="J26" s="225">
        <f t="shared" si="0"/>
        <v>1</v>
      </c>
    </row>
    <row r="27" spans="1:10" ht="15">
      <c r="B27" s="636" t="s">
        <v>125</v>
      </c>
      <c r="C27" s="658" t="s">
        <v>999</v>
      </c>
      <c r="D27" s="658" t="s">
        <v>852</v>
      </c>
      <c r="E27" s="654">
        <v>2</v>
      </c>
      <c r="F27" s="654">
        <v>106.7109375</v>
      </c>
      <c r="G27" s="654">
        <v>0.3828125</v>
      </c>
      <c r="H27" s="654">
        <v>2.875</v>
      </c>
      <c r="I27" s="654">
        <v>107.09375</v>
      </c>
      <c r="J27" s="225">
        <f t="shared" si="0"/>
        <v>1</v>
      </c>
    </row>
    <row r="28" spans="1:10" ht="15">
      <c r="B28" s="636" t="s">
        <v>106</v>
      </c>
      <c r="C28" s="658" t="s">
        <v>999</v>
      </c>
      <c r="D28" s="658" t="s">
        <v>1002</v>
      </c>
      <c r="E28" s="654">
        <v>2</v>
      </c>
      <c r="F28" s="654">
        <v>106.8984375</v>
      </c>
      <c r="G28" s="654">
        <v>0.3828125</v>
      </c>
      <c r="H28" s="654">
        <v>2.875</v>
      </c>
      <c r="I28" s="654">
        <v>107.28125</v>
      </c>
      <c r="J28" s="225">
        <f t="shared" si="0"/>
        <v>1</v>
      </c>
    </row>
    <row r="29" spans="1:10">
      <c r="A29" t="s">
        <v>131</v>
      </c>
      <c r="J29" s="225"/>
    </row>
    <row r="30" spans="1:10" ht="15">
      <c r="A30" s="194"/>
      <c r="B30" s="194"/>
      <c r="C30" s="543" t="s">
        <v>98</v>
      </c>
      <c r="D30" s="545" t="s">
        <v>97</v>
      </c>
      <c r="E30" s="194" t="s">
        <v>99</v>
      </c>
      <c r="F30" s="194" t="s">
        <v>102</v>
      </c>
      <c r="G30" s="194" t="s">
        <v>101</v>
      </c>
      <c r="H30" s="194" t="s">
        <v>100</v>
      </c>
      <c r="I30" s="194" t="s">
        <v>103</v>
      </c>
      <c r="J30" s="225"/>
    </row>
    <row r="31" spans="1:10" ht="15">
      <c r="A31" s="194"/>
      <c r="B31" s="637" t="s">
        <v>145</v>
      </c>
      <c r="C31" s="655" t="s">
        <v>544</v>
      </c>
      <c r="D31" s="658" t="s">
        <v>1003</v>
      </c>
      <c r="E31" s="655" t="s">
        <v>544</v>
      </c>
      <c r="F31" s="655">
        <v>100.05199999999999</v>
      </c>
      <c r="G31" s="655">
        <v>0</v>
      </c>
      <c r="H31" s="655">
        <v>0</v>
      </c>
      <c r="I31" s="655">
        <v>100.05199999999999</v>
      </c>
      <c r="J31" s="225">
        <f t="shared" si="0"/>
        <v>1</v>
      </c>
    </row>
    <row r="32" spans="1:10" ht="15">
      <c r="A32" s="194"/>
      <c r="B32" s="637" t="s">
        <v>146</v>
      </c>
      <c r="C32" s="655" t="s">
        <v>544</v>
      </c>
      <c r="D32" s="658" t="s">
        <v>1004</v>
      </c>
      <c r="E32" s="655" t="s">
        <v>544</v>
      </c>
      <c r="F32" s="655">
        <v>100.14</v>
      </c>
      <c r="G32" s="655">
        <v>0</v>
      </c>
      <c r="H32" s="655">
        <v>0</v>
      </c>
      <c r="I32" s="655">
        <v>100.14</v>
      </c>
      <c r="J32" s="225">
        <f t="shared" si="0"/>
        <v>1</v>
      </c>
    </row>
    <row r="33" spans="1:10" ht="15">
      <c r="A33" s="194"/>
      <c r="B33" s="637" t="s">
        <v>147</v>
      </c>
      <c r="C33" s="655" t="s">
        <v>544</v>
      </c>
      <c r="D33" s="658" t="s">
        <v>945</v>
      </c>
      <c r="E33" s="655" t="s">
        <v>544</v>
      </c>
      <c r="F33" s="655">
        <v>100.22450000000001</v>
      </c>
      <c r="G33" s="655">
        <v>0</v>
      </c>
      <c r="H33" s="655">
        <v>0</v>
      </c>
      <c r="I33" s="655">
        <v>100.22450000000001</v>
      </c>
      <c r="J33" s="225">
        <f t="shared" si="0"/>
        <v>1</v>
      </c>
    </row>
    <row r="34" spans="1:10" ht="15">
      <c r="A34" s="194"/>
      <c r="B34" s="637" t="s">
        <v>148</v>
      </c>
      <c r="C34" s="655" t="s">
        <v>544</v>
      </c>
      <c r="D34" s="658" t="s">
        <v>1005</v>
      </c>
      <c r="E34" s="655" t="s">
        <v>544</v>
      </c>
      <c r="F34" s="655">
        <v>100.61150000000001</v>
      </c>
      <c r="G34" s="655">
        <v>0</v>
      </c>
      <c r="H34" s="655">
        <v>0</v>
      </c>
      <c r="I34" s="655">
        <v>100.61150000000001</v>
      </c>
      <c r="J34" s="225">
        <f t="shared" si="0"/>
        <v>1</v>
      </c>
    </row>
    <row r="35" spans="1:10" ht="15">
      <c r="A35" s="194"/>
      <c r="B35" s="637" t="s">
        <v>149</v>
      </c>
      <c r="C35" s="658" t="s">
        <v>1006</v>
      </c>
      <c r="D35" s="658" t="s">
        <v>1007</v>
      </c>
      <c r="E35" s="655">
        <v>1</v>
      </c>
      <c r="F35" s="655">
        <v>101.50149999999999</v>
      </c>
      <c r="G35" s="655">
        <v>0</v>
      </c>
      <c r="H35" s="655">
        <v>0</v>
      </c>
      <c r="I35" s="655">
        <v>101.50149999999999</v>
      </c>
      <c r="J35" s="225">
        <f t="shared" si="0"/>
        <v>1</v>
      </c>
    </row>
    <row r="36" spans="1:10" ht="15">
      <c r="A36" s="194"/>
      <c r="B36" s="637" t="s">
        <v>150</v>
      </c>
      <c r="C36" s="658" t="s">
        <v>1008</v>
      </c>
      <c r="D36" s="658" t="s">
        <v>948</v>
      </c>
      <c r="E36" s="655">
        <v>1</v>
      </c>
      <c r="F36" s="655">
        <v>102.1995</v>
      </c>
      <c r="G36" s="655">
        <v>0</v>
      </c>
      <c r="H36" s="655">
        <v>0</v>
      </c>
      <c r="I36" s="655">
        <v>102.1995</v>
      </c>
      <c r="J36" s="225">
        <f t="shared" si="0"/>
        <v>1</v>
      </c>
    </row>
    <row r="37" spans="1:10" ht="15">
      <c r="A37" s="194"/>
      <c r="B37" s="637" t="s">
        <v>151</v>
      </c>
      <c r="C37" s="658" t="s">
        <v>1009</v>
      </c>
      <c r="D37" s="658" t="s">
        <v>949</v>
      </c>
      <c r="E37" s="655">
        <v>1</v>
      </c>
      <c r="F37" s="655">
        <v>102.88849999999999</v>
      </c>
      <c r="G37" s="655">
        <v>0</v>
      </c>
      <c r="H37" s="655">
        <v>0</v>
      </c>
      <c r="I37" s="655">
        <v>102.88849999999999</v>
      </c>
      <c r="J37" s="225">
        <f t="shared" si="0"/>
        <v>1</v>
      </c>
    </row>
    <row r="38" spans="1:10" ht="15">
      <c r="A38" s="194"/>
      <c r="B38" s="637" t="s">
        <v>152</v>
      </c>
      <c r="C38" s="658" t="s">
        <v>950</v>
      </c>
      <c r="D38" s="658" t="s">
        <v>951</v>
      </c>
      <c r="E38" s="655">
        <v>1</v>
      </c>
      <c r="F38" s="655">
        <v>103.32550000000001</v>
      </c>
      <c r="G38" s="655">
        <v>0</v>
      </c>
      <c r="H38" s="655">
        <v>0</v>
      </c>
      <c r="I38" s="655">
        <v>103.32550000000001</v>
      </c>
      <c r="J38" s="225">
        <f t="shared" si="0"/>
        <v>1</v>
      </c>
    </row>
    <row r="39" spans="1:10" ht="15">
      <c r="A39" s="194"/>
      <c r="B39" s="637" t="s">
        <v>153</v>
      </c>
      <c r="C39" s="658" t="s">
        <v>952</v>
      </c>
      <c r="D39" s="658" t="s">
        <v>953</v>
      </c>
      <c r="E39" s="655">
        <v>1</v>
      </c>
      <c r="F39" s="655">
        <v>106.61750000000001</v>
      </c>
      <c r="G39" s="655">
        <v>0.19041095890410958</v>
      </c>
      <c r="H39" s="655">
        <v>0.5</v>
      </c>
      <c r="I39" s="655">
        <v>106.80791095890412</v>
      </c>
      <c r="J39" s="225">
        <f t="shared" si="0"/>
        <v>1</v>
      </c>
    </row>
    <row r="40" spans="1:10" ht="15">
      <c r="A40" s="194"/>
      <c r="B40" s="637" t="s">
        <v>154</v>
      </c>
      <c r="C40" s="658" t="s">
        <v>952</v>
      </c>
      <c r="D40" s="658" t="s">
        <v>954</v>
      </c>
      <c r="E40" s="655">
        <v>1</v>
      </c>
      <c r="F40" s="655">
        <v>107.41050000000001</v>
      </c>
      <c r="G40" s="655">
        <v>0.19041095890410958</v>
      </c>
      <c r="H40" s="655">
        <v>0.5</v>
      </c>
      <c r="I40" s="655">
        <v>107.60091095890412</v>
      </c>
      <c r="J40" s="225">
        <f t="shared" si="0"/>
        <v>1</v>
      </c>
    </row>
    <row r="41" spans="1:10" ht="15">
      <c r="A41" s="194"/>
      <c r="B41" s="637" t="s">
        <v>155</v>
      </c>
      <c r="C41" s="658" t="s">
        <v>952</v>
      </c>
      <c r="D41" s="658" t="s">
        <v>955</v>
      </c>
      <c r="E41" s="655">
        <v>1</v>
      </c>
      <c r="F41" s="655">
        <v>106.041</v>
      </c>
      <c r="G41" s="655">
        <v>9.5205479452054792E-2</v>
      </c>
      <c r="H41" s="655">
        <v>0.25</v>
      </c>
      <c r="I41" s="655">
        <v>106.13620547945204</v>
      </c>
      <c r="J41" s="225">
        <f t="shared" si="0"/>
        <v>1</v>
      </c>
    </row>
    <row r="42" spans="1:10" ht="15">
      <c r="A42" s="194"/>
      <c r="B42" s="637" t="s">
        <v>156</v>
      </c>
      <c r="C42" s="658" t="s">
        <v>952</v>
      </c>
      <c r="D42" s="658" t="s">
        <v>956</v>
      </c>
      <c r="E42" s="655">
        <v>1</v>
      </c>
      <c r="F42" s="655">
        <v>108.33699999999999</v>
      </c>
      <c r="G42" s="655">
        <v>0.19041095890410958</v>
      </c>
      <c r="H42" s="655">
        <v>0.5</v>
      </c>
      <c r="I42" s="655">
        <v>108.5274109589041</v>
      </c>
      <c r="J42" s="225">
        <f t="shared" si="0"/>
        <v>1</v>
      </c>
    </row>
    <row r="43" spans="1:10" ht="15">
      <c r="A43" s="194"/>
      <c r="B43" s="637" t="s">
        <v>157</v>
      </c>
      <c r="C43" s="658" t="s">
        <v>952</v>
      </c>
      <c r="D43" s="658" t="s">
        <v>842</v>
      </c>
      <c r="E43" s="655">
        <v>1</v>
      </c>
      <c r="F43" s="655">
        <v>105.9495</v>
      </c>
      <c r="G43" s="655">
        <v>0.11917808219178083</v>
      </c>
      <c r="H43" s="655">
        <v>0.25</v>
      </c>
      <c r="I43" s="655">
        <v>106.06867808219178</v>
      </c>
      <c r="J43" s="225">
        <f t="shared" si="0"/>
        <v>1</v>
      </c>
    </row>
    <row r="44" spans="1:10" ht="15">
      <c r="A44" s="195"/>
      <c r="B44" s="637" t="s">
        <v>158</v>
      </c>
      <c r="C44" s="658" t="s">
        <v>1010</v>
      </c>
      <c r="D44" s="658" t="s">
        <v>855</v>
      </c>
      <c r="E44" s="655">
        <v>1</v>
      </c>
      <c r="F44" s="655">
        <v>174.09550000000002</v>
      </c>
      <c r="G44" s="655">
        <v>0</v>
      </c>
      <c r="H44" s="655">
        <v>4.75</v>
      </c>
      <c r="I44" s="655">
        <v>174.09550000000002</v>
      </c>
      <c r="J44" s="225">
        <f t="shared" si="0"/>
        <v>1</v>
      </c>
    </row>
    <row r="45" spans="1:10" ht="15">
      <c r="A45" s="196"/>
      <c r="B45" s="637" t="s">
        <v>159</v>
      </c>
      <c r="C45" s="658" t="s">
        <v>1010</v>
      </c>
      <c r="D45" s="658" t="s">
        <v>856</v>
      </c>
      <c r="E45" s="655">
        <v>1</v>
      </c>
      <c r="F45" s="655">
        <v>183.69</v>
      </c>
      <c r="G45" s="655">
        <v>0</v>
      </c>
      <c r="H45" s="655">
        <v>4.25</v>
      </c>
      <c r="I45" s="655">
        <v>183.69</v>
      </c>
      <c r="J45" s="225">
        <f t="shared" si="0"/>
        <v>1</v>
      </c>
    </row>
    <row r="46" spans="1:10" ht="15">
      <c r="A46" s="197"/>
      <c r="B46" s="637" t="s">
        <v>160</v>
      </c>
      <c r="C46" s="658" t="s">
        <v>854</v>
      </c>
      <c r="D46" s="658" t="s">
        <v>857</v>
      </c>
      <c r="E46" s="655">
        <v>1</v>
      </c>
      <c r="F46" s="655">
        <v>127.607</v>
      </c>
      <c r="G46" s="655">
        <v>1.1061643835616439</v>
      </c>
      <c r="H46" s="655">
        <v>1.25</v>
      </c>
      <c r="I46" s="655">
        <v>128.71316438356163</v>
      </c>
      <c r="J46" s="225">
        <f t="shared" si="0"/>
        <v>1</v>
      </c>
    </row>
    <row r="47" spans="1:10">
      <c r="J47" s="225"/>
    </row>
    <row r="48" spans="1:10">
      <c r="A48" t="s">
        <v>132</v>
      </c>
      <c r="J48" s="225"/>
    </row>
    <row r="49" spans="1:10" ht="15">
      <c r="A49" s="198"/>
      <c r="B49" s="198"/>
      <c r="C49" s="543" t="s">
        <v>98</v>
      </c>
      <c r="D49" s="545" t="s">
        <v>97</v>
      </c>
      <c r="E49" s="198" t="s">
        <v>99</v>
      </c>
      <c r="F49" s="198" t="s">
        <v>102</v>
      </c>
      <c r="G49" s="198" t="s">
        <v>101</v>
      </c>
      <c r="H49" s="198" t="s">
        <v>100</v>
      </c>
      <c r="I49" s="198" t="s">
        <v>103</v>
      </c>
      <c r="J49" s="225"/>
    </row>
    <row r="50" spans="1:10" ht="15">
      <c r="A50" s="198"/>
      <c r="B50" s="638" t="s">
        <v>161</v>
      </c>
      <c r="C50" s="638" t="s">
        <v>544</v>
      </c>
      <c r="D50" s="653" t="s">
        <v>1011</v>
      </c>
      <c r="E50" s="638" t="s">
        <v>544</v>
      </c>
      <c r="F50" s="638">
        <v>99.9495</v>
      </c>
      <c r="G50" s="638">
        <v>0</v>
      </c>
      <c r="H50" s="638">
        <v>0</v>
      </c>
      <c r="I50" s="638">
        <v>99.9495</v>
      </c>
      <c r="J50" s="225">
        <f t="shared" si="0"/>
        <v>1</v>
      </c>
    </row>
    <row r="51" spans="1:10" ht="15">
      <c r="A51" s="198"/>
      <c r="B51" s="638" t="s">
        <v>162</v>
      </c>
      <c r="C51" s="638" t="s">
        <v>544</v>
      </c>
      <c r="D51" s="653" t="s">
        <v>937</v>
      </c>
      <c r="E51" s="638" t="s">
        <v>544</v>
      </c>
      <c r="F51" s="638">
        <v>99.817999999999998</v>
      </c>
      <c r="G51" s="638">
        <v>0</v>
      </c>
      <c r="H51" s="638">
        <v>0</v>
      </c>
      <c r="I51" s="638">
        <v>99.817999999999998</v>
      </c>
      <c r="J51" s="225">
        <f t="shared" si="0"/>
        <v>1</v>
      </c>
    </row>
    <row r="52" spans="1:10" ht="15">
      <c r="A52" s="198"/>
      <c r="B52" s="638" t="s">
        <v>163</v>
      </c>
      <c r="C52" s="638" t="s">
        <v>544</v>
      </c>
      <c r="D52" s="653" t="s">
        <v>1012</v>
      </c>
      <c r="E52" s="638" t="s">
        <v>544</v>
      </c>
      <c r="F52" s="638">
        <v>99.646000000000001</v>
      </c>
      <c r="G52" s="638">
        <v>0</v>
      </c>
      <c r="H52" s="638">
        <v>0</v>
      </c>
      <c r="I52" s="638">
        <v>99.646000000000001</v>
      </c>
      <c r="J52" s="225">
        <f t="shared" si="0"/>
        <v>1</v>
      </c>
    </row>
    <row r="53" spans="1:10" ht="15">
      <c r="A53" s="198"/>
      <c r="B53" s="638" t="s">
        <v>164</v>
      </c>
      <c r="C53" s="653" t="s">
        <v>860</v>
      </c>
      <c r="D53" s="653" t="s">
        <v>861</v>
      </c>
      <c r="E53" s="638">
        <v>2</v>
      </c>
      <c r="F53" s="638">
        <v>101.4235</v>
      </c>
      <c r="G53" s="638">
        <v>0.89502762430939231</v>
      </c>
      <c r="H53" s="638">
        <v>2</v>
      </c>
      <c r="I53" s="638">
        <v>102.3185276243094</v>
      </c>
      <c r="J53" s="225">
        <f t="shared" si="0"/>
        <v>1</v>
      </c>
    </row>
    <row r="54" spans="1:10" ht="15">
      <c r="A54" s="198"/>
      <c r="B54" s="638" t="s">
        <v>165</v>
      </c>
      <c r="C54" s="653" t="s">
        <v>860</v>
      </c>
      <c r="D54" s="653" t="s">
        <v>862</v>
      </c>
      <c r="E54" s="638">
        <v>2</v>
      </c>
      <c r="F54" s="638">
        <v>101.447</v>
      </c>
      <c r="G54" s="638">
        <v>0.67127071823204421</v>
      </c>
      <c r="H54" s="638">
        <v>1.5</v>
      </c>
      <c r="I54" s="638">
        <v>102.11827071823204</v>
      </c>
      <c r="J54" s="225">
        <f t="shared" si="0"/>
        <v>1</v>
      </c>
    </row>
    <row r="55" spans="1:10" ht="15">
      <c r="A55" s="198"/>
      <c r="B55" s="638" t="s">
        <v>166</v>
      </c>
      <c r="C55" s="653" t="s">
        <v>860</v>
      </c>
      <c r="D55" s="653" t="s">
        <v>863</v>
      </c>
      <c r="E55" s="638">
        <v>2</v>
      </c>
      <c r="F55" s="638">
        <v>99.966999999999999</v>
      </c>
      <c r="G55" s="638">
        <v>0.22375690607734808</v>
      </c>
      <c r="H55" s="638">
        <v>0.5</v>
      </c>
      <c r="I55" s="638">
        <v>100.19075690607734</v>
      </c>
      <c r="J55" s="225">
        <f t="shared" si="0"/>
        <v>1</v>
      </c>
    </row>
    <row r="56" spans="1:10" ht="15">
      <c r="A56" s="198"/>
      <c r="B56" s="638" t="s">
        <v>167</v>
      </c>
      <c r="C56" s="653" t="s">
        <v>860</v>
      </c>
      <c r="D56" s="653" t="s">
        <v>864</v>
      </c>
      <c r="E56" s="638">
        <v>2</v>
      </c>
      <c r="F56" s="638">
        <v>100.80199999999999</v>
      </c>
      <c r="G56" s="638">
        <v>0.3356353591160221</v>
      </c>
      <c r="H56" s="638">
        <v>0.75</v>
      </c>
      <c r="I56" s="638">
        <v>101.13763535911602</v>
      </c>
      <c r="J56" s="225">
        <f t="shared" si="0"/>
        <v>1</v>
      </c>
    </row>
    <row r="57" spans="1:10" ht="15">
      <c r="A57" s="198"/>
      <c r="B57" s="638" t="s">
        <v>168</v>
      </c>
      <c r="C57" s="653" t="s">
        <v>1013</v>
      </c>
      <c r="D57" s="653" t="s">
        <v>957</v>
      </c>
      <c r="E57" s="638">
        <v>2</v>
      </c>
      <c r="F57" s="638">
        <v>102.02600000000001</v>
      </c>
      <c r="G57" s="638">
        <v>0.19672131147540983</v>
      </c>
      <c r="H57" s="638">
        <v>1</v>
      </c>
      <c r="I57" s="638">
        <v>102.22272131147542</v>
      </c>
      <c r="J57" s="225">
        <f t="shared" si="0"/>
        <v>1</v>
      </c>
    </row>
    <row r="58" spans="1:10" ht="15">
      <c r="A58" s="198"/>
      <c r="B58" s="638" t="s">
        <v>169</v>
      </c>
      <c r="C58" s="653" t="s">
        <v>958</v>
      </c>
      <c r="D58" s="653" t="s">
        <v>865</v>
      </c>
      <c r="E58" s="638">
        <v>2</v>
      </c>
      <c r="F58" s="638">
        <v>108.63499999999999</v>
      </c>
      <c r="G58" s="638">
        <v>0.64130434782608692</v>
      </c>
      <c r="H58" s="638">
        <v>2</v>
      </c>
      <c r="I58" s="638">
        <v>109.27630434782608</v>
      </c>
      <c r="J58" s="225">
        <f t="shared" si="0"/>
        <v>1</v>
      </c>
    </row>
    <row r="59" spans="1:10" ht="15">
      <c r="A59" s="198"/>
      <c r="B59" s="638" t="s">
        <v>170</v>
      </c>
      <c r="C59" s="653" t="s">
        <v>860</v>
      </c>
      <c r="D59" s="653" t="s">
        <v>866</v>
      </c>
      <c r="E59" s="638">
        <v>2</v>
      </c>
      <c r="F59" s="638">
        <v>106.04849999999999</v>
      </c>
      <c r="G59" s="638">
        <v>0.67127071823204421</v>
      </c>
      <c r="H59" s="638">
        <v>1.5</v>
      </c>
      <c r="I59" s="638">
        <v>106.71977071823203</v>
      </c>
      <c r="J59" s="225">
        <f t="shared" si="0"/>
        <v>1</v>
      </c>
    </row>
    <row r="60" spans="1:10" ht="15">
      <c r="A60" s="198"/>
      <c r="B60" s="638" t="s">
        <v>171</v>
      </c>
      <c r="C60" s="653" t="s">
        <v>860</v>
      </c>
      <c r="D60" s="653" t="s">
        <v>867</v>
      </c>
      <c r="E60" s="638">
        <v>2</v>
      </c>
      <c r="F60" s="638">
        <v>104.441</v>
      </c>
      <c r="G60" s="638">
        <v>0.55939226519337015</v>
      </c>
      <c r="H60" s="638">
        <v>1.25</v>
      </c>
      <c r="I60" s="638">
        <v>105.00039226519337</v>
      </c>
      <c r="J60" s="225">
        <f t="shared" si="0"/>
        <v>1</v>
      </c>
    </row>
    <row r="61" spans="1:10" ht="15">
      <c r="A61" s="198"/>
      <c r="B61" s="638" t="s">
        <v>172</v>
      </c>
      <c r="C61" s="653" t="s">
        <v>1014</v>
      </c>
      <c r="D61" s="653" t="s">
        <v>959</v>
      </c>
      <c r="E61" s="638">
        <v>2</v>
      </c>
      <c r="F61" s="638">
        <v>129.447</v>
      </c>
      <c r="G61" s="638">
        <v>0.30191256830601093</v>
      </c>
      <c r="H61" s="638">
        <v>4.25</v>
      </c>
      <c r="I61" s="638">
        <v>129.74891256830603</v>
      </c>
      <c r="J61" s="225">
        <f t="shared" si="0"/>
        <v>1</v>
      </c>
    </row>
    <row r="62" spans="1:10" ht="15">
      <c r="A62" s="198"/>
      <c r="B62" s="638" t="s">
        <v>173</v>
      </c>
      <c r="C62" s="653" t="s">
        <v>1013</v>
      </c>
      <c r="D62" s="653" t="s">
        <v>868</v>
      </c>
      <c r="E62" s="638">
        <v>2</v>
      </c>
      <c r="F62" s="638">
        <v>107.70949999999999</v>
      </c>
      <c r="G62" s="638">
        <v>0.31967213114754101</v>
      </c>
      <c r="H62" s="638">
        <v>1.625</v>
      </c>
      <c r="I62" s="638">
        <v>108.02917213114753</v>
      </c>
      <c r="J62" s="225">
        <f t="shared" si="0"/>
        <v>1</v>
      </c>
    </row>
    <row r="63" spans="1:10" ht="15">
      <c r="A63" s="198"/>
      <c r="B63" s="638" t="s">
        <v>174</v>
      </c>
      <c r="C63" s="653" t="s">
        <v>1014</v>
      </c>
      <c r="D63" s="653" t="s">
        <v>869</v>
      </c>
      <c r="E63" s="638">
        <v>2</v>
      </c>
      <c r="F63" s="638">
        <v>142.233</v>
      </c>
      <c r="G63" s="638">
        <v>0.33743169398907102</v>
      </c>
      <c r="H63" s="638">
        <v>4.75</v>
      </c>
      <c r="I63" s="638">
        <v>142.57043169398906</v>
      </c>
      <c r="J63" s="225">
        <f t="shared" si="0"/>
        <v>1</v>
      </c>
    </row>
    <row r="64" spans="1:10" ht="15">
      <c r="A64" s="198"/>
      <c r="B64" s="638" t="s">
        <v>175</v>
      </c>
      <c r="C64" s="653" t="s">
        <v>958</v>
      </c>
      <c r="D64" s="653" t="s">
        <v>960</v>
      </c>
      <c r="E64" s="638">
        <v>2</v>
      </c>
      <c r="F64" s="638">
        <v>147.24200000000002</v>
      </c>
      <c r="G64" s="638">
        <v>1.4429347826086956</v>
      </c>
      <c r="H64" s="638">
        <v>4.5</v>
      </c>
      <c r="I64" s="638">
        <v>148.68493478260871</v>
      </c>
      <c r="J64" s="225">
        <f t="shared" si="0"/>
        <v>1</v>
      </c>
    </row>
    <row r="65" spans="1:10" ht="15">
      <c r="A65" s="199"/>
      <c r="B65" s="639" t="s">
        <v>176</v>
      </c>
      <c r="C65" s="653" t="s">
        <v>958</v>
      </c>
      <c r="D65" s="653" t="s">
        <v>870</v>
      </c>
      <c r="E65" s="639">
        <v>2</v>
      </c>
      <c r="F65" s="639">
        <v>107.756</v>
      </c>
      <c r="G65" s="639">
        <v>0.56114130434782605</v>
      </c>
      <c r="H65" s="639">
        <v>1.75</v>
      </c>
      <c r="I65" s="639">
        <v>108.31714130434783</v>
      </c>
      <c r="J65" s="548">
        <f t="shared" si="0"/>
        <v>1</v>
      </c>
    </row>
    <row r="66" spans="1:10" ht="15">
      <c r="A66" s="200"/>
      <c r="B66" s="639" t="s">
        <v>177</v>
      </c>
      <c r="C66" s="653" t="s">
        <v>860</v>
      </c>
      <c r="D66" s="653" t="s">
        <v>961</v>
      </c>
      <c r="E66" s="639">
        <v>2</v>
      </c>
      <c r="F66" s="639">
        <v>138.80000000000001</v>
      </c>
      <c r="G66" s="639">
        <v>1.4544198895027625</v>
      </c>
      <c r="H66" s="639">
        <v>3.25</v>
      </c>
      <c r="I66" s="639">
        <v>140.25441988950277</v>
      </c>
      <c r="J66" s="225">
        <f>IF(ROUND(F65+G65,2)=ROUND(I65,2),1,0)</f>
        <v>1</v>
      </c>
    </row>
    <row r="67" spans="1:10" ht="15">
      <c r="A67" s="201"/>
      <c r="B67" s="639" t="s">
        <v>178</v>
      </c>
      <c r="C67" s="542" t="s">
        <v>860</v>
      </c>
      <c r="D67" s="542" t="s">
        <v>871</v>
      </c>
      <c r="E67">
        <v>2</v>
      </c>
      <c r="F67">
        <v>102.52600000000001</v>
      </c>
      <c r="G67">
        <v>0.67127071823204421</v>
      </c>
      <c r="H67">
        <v>1.5</v>
      </c>
      <c r="I67">
        <v>103.19727071823205</v>
      </c>
      <c r="J67" s="225">
        <f>IF(ROUND(F66+G66,2)=ROUND(I66,2),1,0)</f>
        <v>1</v>
      </c>
    </row>
    <row r="68" spans="1:10">
      <c r="D68" s="542"/>
      <c r="J68" s="225"/>
    </row>
    <row r="69" spans="1:10">
      <c r="A69" t="s">
        <v>133</v>
      </c>
      <c r="J69" s="225"/>
    </row>
    <row r="70" spans="1:10" ht="15">
      <c r="A70" s="210"/>
      <c r="B70" s="210"/>
      <c r="C70" s="543" t="s">
        <v>98</v>
      </c>
      <c r="D70" s="545" t="s">
        <v>97</v>
      </c>
      <c r="E70" s="210" t="s">
        <v>99</v>
      </c>
      <c r="F70" s="210" t="s">
        <v>102</v>
      </c>
      <c r="G70" s="210" t="s">
        <v>101</v>
      </c>
      <c r="H70" s="210" t="s">
        <v>100</v>
      </c>
      <c r="I70" s="210" t="s">
        <v>103</v>
      </c>
      <c r="J70" s="225"/>
    </row>
    <row r="71" spans="1:10" ht="15">
      <c r="A71" s="210">
        <v>1</v>
      </c>
      <c r="B71" s="640" t="s">
        <v>205</v>
      </c>
      <c r="C71" s="653" t="s">
        <v>872</v>
      </c>
      <c r="D71" s="653" t="s">
        <v>873</v>
      </c>
      <c r="E71" s="640">
        <v>1</v>
      </c>
      <c r="F71" s="640">
        <v>103.24250000000001</v>
      </c>
      <c r="G71" s="640">
        <v>2.2374999999999998</v>
      </c>
      <c r="H71" s="640">
        <v>2.25</v>
      </c>
      <c r="I71" s="640">
        <v>105.48</v>
      </c>
      <c r="J71" s="225">
        <f t="shared" ref="J71:J127" si="1">IF(ROUND(F71+G71,2)=ROUND(I71,2),1,0)</f>
        <v>1</v>
      </c>
    </row>
    <row r="72" spans="1:10" ht="15">
      <c r="A72" s="210">
        <v>2</v>
      </c>
      <c r="B72" s="640" t="s">
        <v>754</v>
      </c>
      <c r="C72" s="653" t="s">
        <v>1015</v>
      </c>
      <c r="D72" s="653" t="s">
        <v>874</v>
      </c>
      <c r="E72" s="640">
        <v>1</v>
      </c>
      <c r="F72" s="640">
        <v>105.4285</v>
      </c>
      <c r="G72" s="640">
        <v>0.36666666666666664</v>
      </c>
      <c r="H72" s="640">
        <v>2</v>
      </c>
      <c r="I72" s="640">
        <v>105.79516666666666</v>
      </c>
      <c r="J72" s="225">
        <f t="shared" si="1"/>
        <v>1</v>
      </c>
    </row>
    <row r="73" spans="1:10" ht="15">
      <c r="A73" s="210">
        <v>3</v>
      </c>
      <c r="B73" s="640" t="s">
        <v>755</v>
      </c>
      <c r="C73" s="653" t="s">
        <v>1016</v>
      </c>
      <c r="D73" s="653" t="s">
        <v>875</v>
      </c>
      <c r="E73" s="640">
        <v>1</v>
      </c>
      <c r="F73" s="640">
        <v>108.655</v>
      </c>
      <c r="G73" s="640">
        <v>0.2166666666666667</v>
      </c>
      <c r="H73" s="640">
        <v>2</v>
      </c>
      <c r="I73" s="640">
        <v>108.87166666666667</v>
      </c>
      <c r="J73" s="225">
        <f t="shared" si="1"/>
        <v>1</v>
      </c>
    </row>
    <row r="74" spans="1:10" ht="15">
      <c r="A74" s="210">
        <v>4</v>
      </c>
      <c r="B74" s="640" t="s">
        <v>756</v>
      </c>
      <c r="C74" s="653" t="s">
        <v>962</v>
      </c>
      <c r="D74" s="653" t="s">
        <v>876</v>
      </c>
      <c r="E74" s="640">
        <v>1</v>
      </c>
      <c r="F74" s="640">
        <v>118.0765</v>
      </c>
      <c r="G74" s="640">
        <v>1.588888888888889</v>
      </c>
      <c r="H74" s="640">
        <v>4</v>
      </c>
      <c r="I74" s="640">
        <v>119.66538888888888</v>
      </c>
      <c r="J74" s="225">
        <f t="shared" si="1"/>
        <v>1</v>
      </c>
    </row>
    <row r="75" spans="1:10" ht="15">
      <c r="A75" s="210">
        <v>5</v>
      </c>
      <c r="B75" s="640" t="s">
        <v>757</v>
      </c>
      <c r="C75" s="653" t="s">
        <v>1006</v>
      </c>
      <c r="D75" s="653" t="s">
        <v>877</v>
      </c>
      <c r="E75" s="640">
        <v>1</v>
      </c>
      <c r="F75" s="640">
        <v>110.83449999999999</v>
      </c>
      <c r="G75" s="640">
        <v>7.9861111111111105E-2</v>
      </c>
      <c r="H75" s="640">
        <v>1.25</v>
      </c>
      <c r="I75" s="640">
        <v>110.91436111111111</v>
      </c>
      <c r="J75" s="225">
        <f t="shared" si="1"/>
        <v>1</v>
      </c>
    </row>
    <row r="76" spans="1:10" ht="15">
      <c r="A76" s="210">
        <v>6</v>
      </c>
      <c r="B76" s="640" t="s">
        <v>758</v>
      </c>
      <c r="C76" s="653" t="s">
        <v>878</v>
      </c>
      <c r="D76" s="653" t="s">
        <v>879</v>
      </c>
      <c r="E76" s="640">
        <v>1</v>
      </c>
      <c r="F76" s="640">
        <v>114.3565</v>
      </c>
      <c r="G76" s="640">
        <v>1.4166666666666665</v>
      </c>
      <c r="H76" s="640">
        <v>1.5</v>
      </c>
      <c r="I76" s="640">
        <v>115.77316666666667</v>
      </c>
      <c r="J76" s="225">
        <f t="shared" si="1"/>
        <v>1</v>
      </c>
    </row>
    <row r="77" spans="1:10" ht="15">
      <c r="A77" s="210">
        <v>7</v>
      </c>
      <c r="B77" s="640" t="s">
        <v>759</v>
      </c>
      <c r="C77" s="653" t="s">
        <v>1017</v>
      </c>
      <c r="D77" s="653" t="s">
        <v>880</v>
      </c>
      <c r="E77" s="640">
        <v>1</v>
      </c>
      <c r="F77" s="640">
        <v>114.29499999999999</v>
      </c>
      <c r="G77" s="640">
        <v>0.12500000000000003</v>
      </c>
      <c r="H77" s="640">
        <v>1.25</v>
      </c>
      <c r="I77" s="640">
        <v>114.41999999999999</v>
      </c>
      <c r="J77" s="225">
        <f t="shared" si="1"/>
        <v>1</v>
      </c>
    </row>
    <row r="78" spans="1:10" ht="15">
      <c r="A78" s="210">
        <v>8</v>
      </c>
      <c r="B78" s="640" t="s">
        <v>760</v>
      </c>
      <c r="C78" s="653" t="s">
        <v>1018</v>
      </c>
      <c r="D78" s="653" t="s">
        <v>881</v>
      </c>
      <c r="E78" s="640">
        <v>1</v>
      </c>
      <c r="F78" s="640">
        <v>132.63150000000002</v>
      </c>
      <c r="G78" s="640">
        <v>6.3194444444444456E-2</v>
      </c>
      <c r="H78" s="640">
        <v>3.25</v>
      </c>
      <c r="I78" s="640">
        <v>132.69469444444445</v>
      </c>
      <c r="J78" s="225">
        <f t="shared" si="1"/>
        <v>1</v>
      </c>
    </row>
    <row r="79" spans="1:10" ht="15">
      <c r="A79" s="210">
        <v>9</v>
      </c>
      <c r="B79" s="640" t="s">
        <v>761</v>
      </c>
      <c r="C79" s="653" t="s">
        <v>1008</v>
      </c>
      <c r="D79" s="653" t="s">
        <v>882</v>
      </c>
      <c r="E79" s="640">
        <v>1</v>
      </c>
      <c r="F79" s="640">
        <v>142.74</v>
      </c>
      <c r="G79" s="640">
        <v>0.95555555555555571</v>
      </c>
      <c r="H79" s="640">
        <v>4</v>
      </c>
      <c r="I79" s="640">
        <v>143.69555555555556</v>
      </c>
      <c r="J79" s="225">
        <f t="shared" si="1"/>
        <v>1</v>
      </c>
    </row>
    <row r="80" spans="1:10" ht="15">
      <c r="A80" s="210">
        <v>10</v>
      </c>
      <c r="B80" s="640" t="s">
        <v>762</v>
      </c>
      <c r="C80" s="653" t="s">
        <v>916</v>
      </c>
      <c r="D80" s="653" t="s">
        <v>963</v>
      </c>
      <c r="E80" s="640">
        <v>1</v>
      </c>
      <c r="F80" s="640">
        <v>106.03749999999999</v>
      </c>
      <c r="G80" s="640">
        <v>0</v>
      </c>
      <c r="H80" s="640">
        <v>0</v>
      </c>
      <c r="I80" s="640">
        <v>106.03749999999999</v>
      </c>
      <c r="J80" s="225">
        <f t="shared" si="1"/>
        <v>1</v>
      </c>
    </row>
    <row r="81" spans="1:10" ht="15">
      <c r="A81" s="210">
        <v>15</v>
      </c>
      <c r="B81" s="640" t="s">
        <v>206</v>
      </c>
      <c r="C81" s="653" t="s">
        <v>1008</v>
      </c>
      <c r="D81" s="653" t="s">
        <v>883</v>
      </c>
      <c r="E81" s="640">
        <v>1</v>
      </c>
      <c r="F81" s="640">
        <v>153.47250000000003</v>
      </c>
      <c r="G81" s="640">
        <v>0.83611111111111125</v>
      </c>
      <c r="H81" s="640">
        <v>3.5</v>
      </c>
      <c r="I81" s="640">
        <v>154.30861111111113</v>
      </c>
      <c r="J81" s="225">
        <f t="shared" si="1"/>
        <v>1</v>
      </c>
    </row>
    <row r="82" spans="1:10" ht="15">
      <c r="A82" s="210">
        <v>20</v>
      </c>
      <c r="B82" s="640" t="s">
        <v>207</v>
      </c>
      <c r="C82" s="653" t="s">
        <v>1018</v>
      </c>
      <c r="D82" s="653" t="s">
        <v>884</v>
      </c>
      <c r="E82" s="640">
        <v>1</v>
      </c>
      <c r="F82" s="640">
        <v>125.4235</v>
      </c>
      <c r="G82" s="640">
        <v>2.4305555555555556E-2</v>
      </c>
      <c r="H82" s="640">
        <v>1.25</v>
      </c>
      <c r="I82" s="640">
        <v>125.44780555555556</v>
      </c>
      <c r="J82" s="225">
        <f t="shared" si="1"/>
        <v>1</v>
      </c>
    </row>
    <row r="83" spans="1:10" ht="15">
      <c r="A83" s="210">
        <v>30</v>
      </c>
      <c r="B83" s="640" t="s">
        <v>208</v>
      </c>
      <c r="C83" s="653" t="s">
        <v>964</v>
      </c>
      <c r="D83" s="653" t="s">
        <v>885</v>
      </c>
      <c r="E83" s="640">
        <v>1</v>
      </c>
      <c r="F83" s="640">
        <v>218.37700000000001</v>
      </c>
      <c r="G83" s="640">
        <v>1.9777777777777779</v>
      </c>
      <c r="H83" s="640">
        <v>4</v>
      </c>
      <c r="I83" s="640">
        <v>220.3547777777778</v>
      </c>
      <c r="J83" s="225">
        <f t="shared" si="1"/>
        <v>1</v>
      </c>
    </row>
    <row r="84" spans="1:10">
      <c r="J84" s="225"/>
    </row>
    <row r="85" spans="1:10">
      <c r="A85" t="s">
        <v>134</v>
      </c>
      <c r="J85" s="225"/>
    </row>
    <row r="86" spans="1:10" ht="15">
      <c r="A86" s="205"/>
      <c r="B86" s="206"/>
      <c r="C86" s="544" t="s">
        <v>98</v>
      </c>
      <c r="D86" s="546" t="s">
        <v>97</v>
      </c>
      <c r="E86" s="206" t="s">
        <v>99</v>
      </c>
      <c r="F86" s="206" t="s">
        <v>102</v>
      </c>
      <c r="G86" s="206" t="s">
        <v>101</v>
      </c>
      <c r="H86" s="206" t="s">
        <v>100</v>
      </c>
      <c r="I86" s="206" t="s">
        <v>103</v>
      </c>
      <c r="J86" s="225"/>
    </row>
    <row r="87" spans="1:10" ht="15">
      <c r="A87" s="205"/>
      <c r="B87" s="641" t="s">
        <v>191</v>
      </c>
      <c r="C87" s="641" t="s">
        <v>544</v>
      </c>
      <c r="D87" s="656" t="s">
        <v>946</v>
      </c>
      <c r="E87" s="641" t="s">
        <v>544</v>
      </c>
      <c r="F87" s="641">
        <v>99.580500000000001</v>
      </c>
      <c r="G87" s="641">
        <v>0</v>
      </c>
      <c r="H87" s="641">
        <v>0</v>
      </c>
      <c r="I87" s="641">
        <v>99.580500000000001</v>
      </c>
      <c r="J87" s="225">
        <f t="shared" si="1"/>
        <v>1</v>
      </c>
    </row>
    <row r="88" spans="1:10" ht="15">
      <c r="A88" s="205"/>
      <c r="B88" s="641" t="s">
        <v>192</v>
      </c>
      <c r="C88" s="641" t="s">
        <v>544</v>
      </c>
      <c r="D88" s="656" t="s">
        <v>1019</v>
      </c>
      <c r="E88" s="641" t="s">
        <v>544</v>
      </c>
      <c r="F88" s="641">
        <v>99.188000000000002</v>
      </c>
      <c r="G88" s="641">
        <v>0</v>
      </c>
      <c r="H88" s="641">
        <v>0</v>
      </c>
      <c r="I88" s="641">
        <v>99.188000000000002</v>
      </c>
      <c r="J88" s="225">
        <f t="shared" si="1"/>
        <v>1</v>
      </c>
    </row>
    <row r="89" spans="1:10" ht="15">
      <c r="A89" s="205"/>
      <c r="B89" s="641" t="s">
        <v>193</v>
      </c>
      <c r="C89" s="641" t="s">
        <v>544</v>
      </c>
      <c r="D89" s="656" t="s">
        <v>1020</v>
      </c>
      <c r="E89" s="641" t="s">
        <v>544</v>
      </c>
      <c r="F89" s="641">
        <v>98.368499999999997</v>
      </c>
      <c r="G89" s="641">
        <v>0</v>
      </c>
      <c r="H89" s="641">
        <v>0</v>
      </c>
      <c r="I89" s="641">
        <v>98.368499999999997</v>
      </c>
      <c r="J89" s="225">
        <f t="shared" si="1"/>
        <v>1</v>
      </c>
    </row>
    <row r="90" spans="1:10" ht="15">
      <c r="A90" s="205"/>
      <c r="B90" s="641" t="s">
        <v>194</v>
      </c>
      <c r="C90" s="656" t="s">
        <v>1021</v>
      </c>
      <c r="D90" s="656" t="s">
        <v>1022</v>
      </c>
      <c r="E90" s="641">
        <v>2</v>
      </c>
      <c r="F90" s="641">
        <v>100.48650000000001</v>
      </c>
      <c r="G90" s="641">
        <v>0.30684931506849317</v>
      </c>
      <c r="H90" s="641">
        <v>1.75</v>
      </c>
      <c r="I90" s="641">
        <v>100.7933493150685</v>
      </c>
      <c r="J90" s="225">
        <f t="shared" si="1"/>
        <v>1</v>
      </c>
    </row>
    <row r="91" spans="1:10" ht="15">
      <c r="A91" s="205"/>
      <c r="B91" s="641" t="s">
        <v>195</v>
      </c>
      <c r="C91" s="656" t="s">
        <v>965</v>
      </c>
      <c r="D91" s="656" t="s">
        <v>1023</v>
      </c>
      <c r="E91" s="641">
        <v>2</v>
      </c>
      <c r="F91" s="641">
        <v>98.660499999999999</v>
      </c>
      <c r="G91" s="641">
        <v>0.34246575342465752</v>
      </c>
      <c r="H91" s="641">
        <v>1</v>
      </c>
      <c r="I91" s="641">
        <v>99.002965753424661</v>
      </c>
      <c r="J91" s="225">
        <f t="shared" si="1"/>
        <v>1</v>
      </c>
    </row>
    <row r="92" spans="1:10" ht="15">
      <c r="A92" s="207"/>
      <c r="B92" s="641" t="s">
        <v>196</v>
      </c>
      <c r="C92" s="656" t="s">
        <v>965</v>
      </c>
      <c r="D92" s="656" t="s">
        <v>966</v>
      </c>
      <c r="E92" s="641">
        <v>2</v>
      </c>
      <c r="F92" s="641">
        <v>101.149</v>
      </c>
      <c r="G92" s="641">
        <v>0.59931506849315075</v>
      </c>
      <c r="H92" s="641">
        <v>1.75</v>
      </c>
      <c r="I92" s="641">
        <v>101.74831506849316</v>
      </c>
      <c r="J92" s="225">
        <f t="shared" si="1"/>
        <v>1</v>
      </c>
    </row>
    <row r="93" spans="1:10" ht="15">
      <c r="A93" s="207"/>
      <c r="B93" s="641" t="s">
        <v>197</v>
      </c>
      <c r="C93" s="656" t="s">
        <v>965</v>
      </c>
      <c r="D93" s="656" t="s">
        <v>967</v>
      </c>
      <c r="E93" s="641">
        <v>2</v>
      </c>
      <c r="F93" s="641">
        <v>103.79599999999999</v>
      </c>
      <c r="G93" s="641">
        <v>0.77054794520547942</v>
      </c>
      <c r="H93" s="641">
        <v>2.25</v>
      </c>
      <c r="I93" s="641">
        <v>104.56654794520547</v>
      </c>
      <c r="J93" s="225">
        <f t="shared" si="1"/>
        <v>1</v>
      </c>
    </row>
    <row r="94" spans="1:10" ht="15">
      <c r="A94" s="207"/>
      <c r="B94" s="641" t="s">
        <v>198</v>
      </c>
      <c r="C94" s="656" t="s">
        <v>1024</v>
      </c>
      <c r="D94" s="656" t="s">
        <v>886</v>
      </c>
      <c r="E94" s="641">
        <v>2</v>
      </c>
      <c r="F94" s="641">
        <v>104.6705</v>
      </c>
      <c r="G94" s="641">
        <v>0.2034246575342466</v>
      </c>
      <c r="H94" s="641">
        <v>2.25</v>
      </c>
      <c r="I94" s="641">
        <v>104.87392465753425</v>
      </c>
      <c r="J94" s="225">
        <f t="shared" si="1"/>
        <v>1</v>
      </c>
    </row>
    <row r="95" spans="1:10" ht="15">
      <c r="A95" s="207"/>
      <c r="B95" s="641" t="s">
        <v>199</v>
      </c>
      <c r="C95" s="656" t="s">
        <v>1024</v>
      </c>
      <c r="D95" s="656" t="s">
        <v>887</v>
      </c>
      <c r="E95" s="641">
        <v>2</v>
      </c>
      <c r="F95" s="641">
        <v>100.37299999999999</v>
      </c>
      <c r="G95" s="641">
        <v>0.13561643835616438</v>
      </c>
      <c r="H95" s="641">
        <v>1.5</v>
      </c>
      <c r="I95" s="641">
        <v>100.50861643835616</v>
      </c>
      <c r="J95" s="225">
        <f t="shared" si="1"/>
        <v>1</v>
      </c>
    </row>
    <row r="96" spans="1:10" ht="15">
      <c r="A96" s="207"/>
      <c r="B96" s="641" t="s">
        <v>200</v>
      </c>
      <c r="C96" s="656" t="s">
        <v>1024</v>
      </c>
      <c r="D96" s="656" t="s">
        <v>888</v>
      </c>
      <c r="E96" s="641">
        <v>2</v>
      </c>
      <c r="F96" s="641">
        <v>96.569500000000005</v>
      </c>
      <c r="G96" s="641">
        <v>9.0410958904109592E-2</v>
      </c>
      <c r="H96" s="641">
        <v>1</v>
      </c>
      <c r="I96" s="641">
        <v>96.659910958904121</v>
      </c>
      <c r="J96" s="225">
        <f t="shared" si="1"/>
        <v>1</v>
      </c>
    </row>
    <row r="97" spans="1:10" ht="15">
      <c r="A97" s="207"/>
      <c r="B97" s="641" t="s">
        <v>201</v>
      </c>
      <c r="C97" s="656" t="s">
        <v>1024</v>
      </c>
      <c r="D97" s="656" t="s">
        <v>889</v>
      </c>
      <c r="E97" s="641">
        <v>2</v>
      </c>
      <c r="F97" s="641">
        <v>104.39750000000001</v>
      </c>
      <c r="G97" s="641">
        <v>0.18082191780821918</v>
      </c>
      <c r="H97" s="641">
        <v>2</v>
      </c>
      <c r="I97" s="641">
        <v>104.57832191780822</v>
      </c>
      <c r="J97" s="225">
        <f t="shared" si="1"/>
        <v>1</v>
      </c>
    </row>
    <row r="98" spans="1:10" ht="15">
      <c r="A98" s="207"/>
      <c r="B98" s="641" t="s">
        <v>202</v>
      </c>
      <c r="C98" s="656" t="s">
        <v>1024</v>
      </c>
      <c r="D98" s="656" t="s">
        <v>1025</v>
      </c>
      <c r="E98" s="641">
        <v>2</v>
      </c>
      <c r="F98" s="641">
        <v>107.0705</v>
      </c>
      <c r="G98" s="641">
        <v>0.2034246575342466</v>
      </c>
      <c r="H98" s="641">
        <v>2.25</v>
      </c>
      <c r="I98" s="641">
        <v>107.27392465753424</v>
      </c>
      <c r="J98" s="225">
        <f t="shared" si="1"/>
        <v>1</v>
      </c>
    </row>
    <row r="99" spans="1:10" ht="15">
      <c r="A99" s="208"/>
      <c r="B99" s="641" t="s">
        <v>203</v>
      </c>
      <c r="C99" s="656" t="s">
        <v>1024</v>
      </c>
      <c r="D99" s="656" t="s">
        <v>890</v>
      </c>
      <c r="E99" s="641">
        <v>2</v>
      </c>
      <c r="F99" s="641">
        <v>151.607</v>
      </c>
      <c r="G99" s="641">
        <v>0.45205479452054798</v>
      </c>
      <c r="H99" s="641">
        <v>5</v>
      </c>
      <c r="I99" s="641">
        <v>152.05905479452053</v>
      </c>
      <c r="J99" s="225">
        <f t="shared" si="1"/>
        <v>1</v>
      </c>
    </row>
    <row r="100" spans="1:10" ht="15">
      <c r="A100" s="209"/>
      <c r="B100" s="641" t="s">
        <v>204</v>
      </c>
      <c r="C100" s="656" t="s">
        <v>1024</v>
      </c>
      <c r="D100" s="656" t="s">
        <v>891</v>
      </c>
      <c r="E100" s="641">
        <v>2</v>
      </c>
      <c r="F100" s="641">
        <v>124.28450000000001</v>
      </c>
      <c r="G100" s="641">
        <v>0.24863013698630138</v>
      </c>
      <c r="H100" s="641">
        <v>2.75</v>
      </c>
      <c r="I100" s="641">
        <v>124.53313013698632</v>
      </c>
      <c r="J100" s="225">
        <f t="shared" si="1"/>
        <v>1</v>
      </c>
    </row>
    <row r="101" spans="1:10">
      <c r="J101" s="225"/>
    </row>
    <row r="102" spans="1:10">
      <c r="A102" t="s">
        <v>143</v>
      </c>
      <c r="J102" s="225"/>
    </row>
    <row r="103" spans="1:10" ht="15">
      <c r="A103" s="212"/>
      <c r="B103" s="212"/>
      <c r="C103" s="543" t="s">
        <v>98</v>
      </c>
      <c r="D103" s="545" t="s">
        <v>97</v>
      </c>
      <c r="E103" s="212" t="s">
        <v>99</v>
      </c>
      <c r="F103" s="212" t="s">
        <v>102</v>
      </c>
      <c r="G103" s="212" t="s">
        <v>101</v>
      </c>
      <c r="H103" s="212" t="s">
        <v>100</v>
      </c>
      <c r="I103" s="212" t="s">
        <v>103</v>
      </c>
      <c r="J103" s="225"/>
    </row>
    <row r="104" spans="1:10" ht="15">
      <c r="A104" s="212"/>
      <c r="B104" s="603" t="s">
        <v>446</v>
      </c>
      <c r="C104" s="603" t="s">
        <v>544</v>
      </c>
      <c r="D104" s="603" t="s">
        <v>1011</v>
      </c>
      <c r="E104" s="603" t="s">
        <v>544</v>
      </c>
      <c r="F104" s="603">
        <v>100.008</v>
      </c>
      <c r="G104" s="603">
        <v>0</v>
      </c>
      <c r="H104" s="603">
        <v>0</v>
      </c>
      <c r="I104" s="603">
        <v>100.008</v>
      </c>
      <c r="J104" s="225"/>
    </row>
    <row r="105" spans="1:10" ht="15">
      <c r="A105" s="212"/>
      <c r="B105" s="642" t="s">
        <v>210</v>
      </c>
      <c r="C105" s="642" t="s">
        <v>544</v>
      </c>
      <c r="D105" s="653" t="s">
        <v>937</v>
      </c>
      <c r="E105" s="642" t="s">
        <v>544</v>
      </c>
      <c r="F105" s="642">
        <v>100.02775</v>
      </c>
      <c r="G105" s="642">
        <v>0</v>
      </c>
      <c r="H105" s="642">
        <v>0</v>
      </c>
      <c r="I105" s="642">
        <v>100.02775</v>
      </c>
      <c r="J105" s="225">
        <f t="shared" si="1"/>
        <v>1</v>
      </c>
    </row>
    <row r="106" spans="1:10" ht="15">
      <c r="A106" s="212"/>
      <c r="B106" s="642" t="s">
        <v>211</v>
      </c>
      <c r="C106" s="642" t="s">
        <v>544</v>
      </c>
      <c r="D106" s="653" t="s">
        <v>1026</v>
      </c>
      <c r="E106" s="642" t="s">
        <v>544</v>
      </c>
      <c r="F106" s="642">
        <v>100.0821</v>
      </c>
      <c r="G106" s="642">
        <v>0</v>
      </c>
      <c r="H106" s="642">
        <v>0</v>
      </c>
      <c r="I106" s="642">
        <v>100.0821</v>
      </c>
      <c r="J106" s="225">
        <f t="shared" si="1"/>
        <v>1</v>
      </c>
    </row>
    <row r="107" spans="1:10" ht="15">
      <c r="A107" s="212"/>
      <c r="B107" s="642" t="s">
        <v>212</v>
      </c>
      <c r="C107" s="653" t="s">
        <v>1027</v>
      </c>
      <c r="D107" s="653" t="s">
        <v>1028</v>
      </c>
      <c r="E107" s="642">
        <v>2</v>
      </c>
      <c r="F107" s="642">
        <v>100.3</v>
      </c>
      <c r="G107" s="642">
        <v>8.2189999999999997E-4</v>
      </c>
      <c r="H107" s="642">
        <v>0.1</v>
      </c>
      <c r="I107" s="642">
        <v>100.3008219</v>
      </c>
      <c r="J107" s="225">
        <f t="shared" si="1"/>
        <v>1</v>
      </c>
    </row>
    <row r="108" spans="1:10" ht="15">
      <c r="A108" s="212"/>
      <c r="B108" s="642" t="s">
        <v>213</v>
      </c>
      <c r="C108" s="653" t="s">
        <v>1027</v>
      </c>
      <c r="D108" s="653" t="s">
        <v>1029</v>
      </c>
      <c r="E108" s="642">
        <v>2</v>
      </c>
      <c r="F108" s="642">
        <v>100.63800000000001</v>
      </c>
      <c r="G108" s="642">
        <v>8.2189999999999997E-4</v>
      </c>
      <c r="H108" s="642">
        <v>0.1</v>
      </c>
      <c r="I108" s="642">
        <v>100.63882190000001</v>
      </c>
      <c r="J108" s="225">
        <f t="shared" si="1"/>
        <v>1</v>
      </c>
    </row>
    <row r="109" spans="1:10" ht="15">
      <c r="A109" s="212"/>
      <c r="B109" s="642" t="s">
        <v>214</v>
      </c>
      <c r="C109" s="653" t="s">
        <v>968</v>
      </c>
      <c r="D109" s="653" t="s">
        <v>969</v>
      </c>
      <c r="E109" s="642">
        <v>2</v>
      </c>
      <c r="F109" s="642">
        <v>103.325</v>
      </c>
      <c r="G109" s="642">
        <v>0.29041090000000003</v>
      </c>
      <c r="H109" s="642">
        <v>1</v>
      </c>
      <c r="I109" s="642">
        <v>103.6154109</v>
      </c>
      <c r="J109" s="225">
        <f t="shared" si="1"/>
        <v>1</v>
      </c>
    </row>
    <row r="110" spans="1:10" ht="15">
      <c r="A110" s="212"/>
      <c r="B110" s="642" t="s">
        <v>215</v>
      </c>
      <c r="C110" s="653" t="s">
        <v>968</v>
      </c>
      <c r="D110" s="653" t="s">
        <v>970</v>
      </c>
      <c r="E110" s="642">
        <v>2</v>
      </c>
      <c r="F110" s="642">
        <v>103.105</v>
      </c>
      <c r="G110" s="642">
        <v>0.1742465</v>
      </c>
      <c r="H110" s="642">
        <v>0.6</v>
      </c>
      <c r="I110" s="642">
        <v>103.2792465</v>
      </c>
      <c r="J110" s="225">
        <f t="shared" si="1"/>
        <v>1</v>
      </c>
    </row>
    <row r="111" spans="1:10" ht="15">
      <c r="A111" s="212"/>
      <c r="B111" s="642" t="s">
        <v>216</v>
      </c>
      <c r="C111" s="653" t="s">
        <v>968</v>
      </c>
      <c r="D111" s="653" t="s">
        <v>1030</v>
      </c>
      <c r="E111" s="642">
        <v>2</v>
      </c>
      <c r="F111" s="642">
        <v>101.63149999999999</v>
      </c>
      <c r="G111" s="642">
        <v>2.9041000000000001E-2</v>
      </c>
      <c r="H111" s="642">
        <v>0.1</v>
      </c>
      <c r="I111" s="642">
        <v>101.66054099999999</v>
      </c>
      <c r="J111" s="225">
        <f t="shared" si="1"/>
        <v>1</v>
      </c>
    </row>
    <row r="112" spans="1:10" ht="15">
      <c r="A112" s="212"/>
      <c r="B112" s="642" t="s">
        <v>217</v>
      </c>
      <c r="C112" s="653" t="s">
        <v>968</v>
      </c>
      <c r="D112" s="653" t="s">
        <v>971</v>
      </c>
      <c r="E112" s="642">
        <v>2</v>
      </c>
      <c r="F112" s="642">
        <v>103.74</v>
      </c>
      <c r="G112" s="642">
        <v>0.1161643</v>
      </c>
      <c r="H112" s="642">
        <v>0.4</v>
      </c>
      <c r="I112" s="642">
        <v>103.85616429999999</v>
      </c>
      <c r="J112" s="225">
        <f t="shared" si="1"/>
        <v>1</v>
      </c>
    </row>
    <row r="113" spans="1:10" ht="15">
      <c r="A113" s="212"/>
      <c r="B113" s="642" t="s">
        <v>218</v>
      </c>
      <c r="C113" s="653" t="s">
        <v>1031</v>
      </c>
      <c r="D113" s="653" t="s">
        <v>972</v>
      </c>
      <c r="E113" s="642">
        <v>2</v>
      </c>
      <c r="F113" s="642">
        <v>102.43549999999999</v>
      </c>
      <c r="G113" s="642">
        <v>3.8356000000000002E-3</v>
      </c>
      <c r="H113" s="642">
        <v>0.1</v>
      </c>
      <c r="I113" s="642">
        <v>102.43933559999999</v>
      </c>
      <c r="J113" s="225">
        <f t="shared" si="1"/>
        <v>1</v>
      </c>
    </row>
    <row r="114" spans="1:10" ht="15">
      <c r="A114" s="212"/>
      <c r="B114" s="642" t="s">
        <v>219</v>
      </c>
      <c r="C114" s="653" t="s">
        <v>968</v>
      </c>
      <c r="D114" s="653" t="s">
        <v>973</v>
      </c>
      <c r="E114" s="642">
        <v>2</v>
      </c>
      <c r="F114" s="642">
        <v>102.6545</v>
      </c>
      <c r="G114" s="642">
        <v>2.9041000000000001E-2</v>
      </c>
      <c r="H114" s="642">
        <v>0.1</v>
      </c>
      <c r="I114" s="642">
        <v>102.68354100000001</v>
      </c>
      <c r="J114" s="225">
        <f t="shared" si="1"/>
        <v>1</v>
      </c>
    </row>
    <row r="115" spans="1:10" ht="15">
      <c r="A115" s="212"/>
      <c r="B115" s="642" t="s">
        <v>220</v>
      </c>
      <c r="C115" s="653" t="s">
        <v>968</v>
      </c>
      <c r="D115" s="653" t="s">
        <v>974</v>
      </c>
      <c r="E115" s="642">
        <v>2</v>
      </c>
      <c r="F115" s="642">
        <v>102.663</v>
      </c>
      <c r="G115" s="642">
        <v>2.9041000000000001E-2</v>
      </c>
      <c r="H115" s="642">
        <v>0.1</v>
      </c>
      <c r="I115" s="642">
        <v>102.692041</v>
      </c>
      <c r="J115" s="225">
        <f t="shared" si="1"/>
        <v>1</v>
      </c>
    </row>
    <row r="116" spans="1:10" ht="15">
      <c r="A116" s="212"/>
      <c r="B116" s="642" t="s">
        <v>221</v>
      </c>
      <c r="C116" s="653" t="s">
        <v>968</v>
      </c>
      <c r="D116" s="653" t="s">
        <v>975</v>
      </c>
      <c r="E116" s="642">
        <v>2</v>
      </c>
      <c r="F116" s="642">
        <v>102.46250000000001</v>
      </c>
      <c r="G116" s="642">
        <v>2.9041000000000001E-2</v>
      </c>
      <c r="H116" s="642">
        <v>0.1</v>
      </c>
      <c r="I116" s="642">
        <v>102.49154100000001</v>
      </c>
      <c r="J116" s="225">
        <f t="shared" si="1"/>
        <v>1</v>
      </c>
    </row>
    <row r="117" spans="1:10" ht="15">
      <c r="A117" s="212"/>
      <c r="B117" s="642" t="s">
        <v>222</v>
      </c>
      <c r="C117" s="653" t="s">
        <v>968</v>
      </c>
      <c r="D117" s="653" t="s">
        <v>976</v>
      </c>
      <c r="E117" s="642">
        <v>2</v>
      </c>
      <c r="F117" s="642">
        <v>121.03100000000001</v>
      </c>
      <c r="G117" s="642">
        <v>0.43561640000000001</v>
      </c>
      <c r="H117" s="642">
        <v>1.5</v>
      </c>
      <c r="I117" s="642">
        <v>121.46661640000001</v>
      </c>
      <c r="J117" s="225">
        <f t="shared" si="1"/>
        <v>1</v>
      </c>
    </row>
    <row r="118" spans="1:10" ht="15">
      <c r="A118" s="212"/>
      <c r="B118" s="642" t="s">
        <v>223</v>
      </c>
      <c r="C118" s="653" t="s">
        <v>968</v>
      </c>
      <c r="D118" s="653" t="s">
        <v>1032</v>
      </c>
      <c r="E118" s="642">
        <v>2</v>
      </c>
      <c r="F118" s="642">
        <v>103.108</v>
      </c>
      <c r="G118" s="642">
        <v>0.1161643</v>
      </c>
      <c r="H118" s="642">
        <v>0.4</v>
      </c>
      <c r="I118" s="642">
        <v>103.2241643</v>
      </c>
      <c r="J118" s="225">
        <f t="shared" si="1"/>
        <v>1</v>
      </c>
    </row>
    <row r="119" spans="1:10" s="225" customFormat="1" ht="15">
      <c r="A119" s="212"/>
      <c r="B119" s="642" t="s">
        <v>224</v>
      </c>
      <c r="C119" s="653" t="s">
        <v>968</v>
      </c>
      <c r="D119" s="653" t="s">
        <v>1033</v>
      </c>
      <c r="E119" s="642">
        <v>2</v>
      </c>
      <c r="F119" s="642">
        <v>103.369</v>
      </c>
      <c r="G119" s="642">
        <v>0.14520540000000001</v>
      </c>
      <c r="H119" s="642">
        <v>0.5</v>
      </c>
      <c r="I119" s="642">
        <v>103.51420539999999</v>
      </c>
      <c r="J119" s="225">
        <f t="shared" si="1"/>
        <v>1</v>
      </c>
    </row>
    <row r="120" spans="1:10">
      <c r="J120" s="225"/>
    </row>
    <row r="121" spans="1:10">
      <c r="A121" t="s">
        <v>135</v>
      </c>
      <c r="J121" s="225"/>
    </row>
    <row r="122" spans="1:10" ht="15">
      <c r="A122" s="202"/>
      <c r="B122" s="202"/>
      <c r="C122" s="543" t="s">
        <v>98</v>
      </c>
      <c r="D122" s="545" t="s">
        <v>97</v>
      </c>
      <c r="E122" s="202" t="s">
        <v>99</v>
      </c>
      <c r="F122" s="202" t="s">
        <v>102</v>
      </c>
      <c r="G122" s="202" t="s">
        <v>101</v>
      </c>
      <c r="H122" s="202" t="s">
        <v>100</v>
      </c>
      <c r="I122" s="202" t="s">
        <v>103</v>
      </c>
      <c r="J122" s="225"/>
    </row>
    <row r="123" spans="1:10" ht="15">
      <c r="A123" s="202"/>
      <c r="B123" s="643" t="s">
        <v>179</v>
      </c>
      <c r="C123" s="653" t="s">
        <v>1034</v>
      </c>
      <c r="D123" s="653" t="s">
        <v>901</v>
      </c>
      <c r="E123" s="643">
        <v>2</v>
      </c>
      <c r="F123" s="643">
        <v>102.71549999999999</v>
      </c>
      <c r="G123" s="643">
        <v>0.98399999999999999</v>
      </c>
      <c r="H123" s="643">
        <v>4.5</v>
      </c>
      <c r="I123" s="643">
        <v>103.69949999999999</v>
      </c>
      <c r="J123" s="225">
        <f t="shared" si="1"/>
        <v>1</v>
      </c>
    </row>
    <row r="124" spans="1:10" ht="15">
      <c r="A124" s="202"/>
      <c r="B124" s="643" t="s">
        <v>180</v>
      </c>
      <c r="C124" s="653" t="s">
        <v>999</v>
      </c>
      <c r="D124" s="653" t="s">
        <v>893</v>
      </c>
      <c r="E124" s="643">
        <v>2</v>
      </c>
      <c r="F124" s="643">
        <v>108.813</v>
      </c>
      <c r="G124" s="643">
        <v>0.78100000000000003</v>
      </c>
      <c r="H124" s="643">
        <v>5.75</v>
      </c>
      <c r="I124" s="643">
        <v>109.59400000000001</v>
      </c>
      <c r="J124" s="225">
        <f t="shared" si="1"/>
        <v>1</v>
      </c>
    </row>
    <row r="125" spans="1:10" ht="15">
      <c r="A125" s="202"/>
      <c r="B125" s="643" t="s">
        <v>181</v>
      </c>
      <c r="C125" s="653" t="s">
        <v>977</v>
      </c>
      <c r="D125" s="653" t="s">
        <v>978</v>
      </c>
      <c r="E125" s="643">
        <v>2</v>
      </c>
      <c r="F125" s="643">
        <v>114.254</v>
      </c>
      <c r="G125" s="643">
        <v>2.7</v>
      </c>
      <c r="H125" s="643">
        <v>5.75</v>
      </c>
      <c r="I125" s="643">
        <v>116.95400000000001</v>
      </c>
      <c r="J125" s="225">
        <f t="shared" si="1"/>
        <v>1</v>
      </c>
    </row>
    <row r="126" spans="1:10" ht="15">
      <c r="A126" s="202"/>
      <c r="B126" s="643" t="s">
        <v>182</v>
      </c>
      <c r="C126" s="653" t="s">
        <v>1035</v>
      </c>
      <c r="D126" s="653" t="s">
        <v>894</v>
      </c>
      <c r="E126" s="643">
        <v>2</v>
      </c>
      <c r="F126" s="643">
        <v>116.8125</v>
      </c>
      <c r="G126" s="643">
        <v>1.1120000000000001</v>
      </c>
      <c r="H126" s="643">
        <v>5.5</v>
      </c>
      <c r="I126" s="643">
        <v>117.92449999999999</v>
      </c>
      <c r="J126" s="225">
        <f t="shared" si="1"/>
        <v>1</v>
      </c>
    </row>
    <row r="127" spans="1:10" ht="15">
      <c r="A127" s="202"/>
      <c r="B127" s="643" t="s">
        <v>183</v>
      </c>
      <c r="C127" s="653" t="s">
        <v>1035</v>
      </c>
      <c r="D127" s="653" t="s">
        <v>895</v>
      </c>
      <c r="E127" s="643">
        <v>2</v>
      </c>
      <c r="F127" s="643">
        <v>108.0475</v>
      </c>
      <c r="G127" s="643">
        <v>0.55600000000000005</v>
      </c>
      <c r="H127" s="643">
        <v>2.75</v>
      </c>
      <c r="I127" s="643">
        <v>108.6035</v>
      </c>
      <c r="J127" s="225">
        <f t="shared" si="1"/>
        <v>1</v>
      </c>
    </row>
    <row r="128" spans="1:10" ht="15">
      <c r="A128" s="202"/>
      <c r="B128" s="643" t="s">
        <v>184</v>
      </c>
      <c r="C128" s="653" t="s">
        <v>1035</v>
      </c>
      <c r="D128" s="653" t="s">
        <v>896</v>
      </c>
      <c r="E128" s="643">
        <v>2</v>
      </c>
      <c r="F128" s="643">
        <v>112.00700000000001</v>
      </c>
      <c r="G128" s="643">
        <v>0.65700000000000003</v>
      </c>
      <c r="H128" s="643">
        <v>3.25</v>
      </c>
      <c r="I128" s="643">
        <v>112.664</v>
      </c>
      <c r="J128" s="225">
        <f t="shared" ref="J128:J145" si="2">IF(ROUND(F128+G128,2)=ROUND(I128,2),1,0)</f>
        <v>1</v>
      </c>
    </row>
    <row r="129" spans="1:10" ht="15">
      <c r="A129" s="202"/>
      <c r="B129" s="643" t="s">
        <v>185</v>
      </c>
      <c r="C129" s="653" t="s">
        <v>1035</v>
      </c>
      <c r="D129" s="653" t="s">
        <v>897</v>
      </c>
      <c r="E129" s="643">
        <v>2</v>
      </c>
      <c r="F129" s="643">
        <v>120.0615</v>
      </c>
      <c r="G129" s="643">
        <v>0.85899999999999999</v>
      </c>
      <c r="H129" s="643">
        <v>4.25</v>
      </c>
      <c r="I129" s="643">
        <v>120.92049999999999</v>
      </c>
      <c r="J129" s="225">
        <f t="shared" si="2"/>
        <v>1</v>
      </c>
    </row>
    <row r="130" spans="1:10" ht="15">
      <c r="A130" s="202"/>
      <c r="B130" s="643" t="s">
        <v>186</v>
      </c>
      <c r="C130" s="653" t="s">
        <v>1035</v>
      </c>
      <c r="D130" s="653" t="s">
        <v>898</v>
      </c>
      <c r="E130" s="643">
        <v>2</v>
      </c>
      <c r="F130" s="643">
        <v>126.0275</v>
      </c>
      <c r="G130" s="643">
        <v>0.96</v>
      </c>
      <c r="H130" s="643">
        <v>4.75</v>
      </c>
      <c r="I130" s="643">
        <v>126.9875</v>
      </c>
      <c r="J130" s="225">
        <f t="shared" si="2"/>
        <v>1</v>
      </c>
    </row>
    <row r="131" spans="1:10" ht="15">
      <c r="A131" s="202"/>
      <c r="B131" s="643" t="s">
        <v>187</v>
      </c>
      <c r="C131" s="653" t="s">
        <v>1036</v>
      </c>
      <c r="D131" s="653" t="s">
        <v>979</v>
      </c>
      <c r="E131" s="643">
        <v>2</v>
      </c>
      <c r="F131" s="643">
        <v>107.84649999999999</v>
      </c>
      <c r="G131" s="643">
        <v>0.26900000000000002</v>
      </c>
      <c r="H131" s="643">
        <v>2.25</v>
      </c>
      <c r="I131" s="643">
        <v>108.1155</v>
      </c>
      <c r="J131" s="225">
        <f t="shared" si="2"/>
        <v>1</v>
      </c>
    </row>
    <row r="132" spans="1:10" ht="15">
      <c r="A132" s="202"/>
      <c r="B132" s="643" t="s">
        <v>188</v>
      </c>
      <c r="C132" s="653" t="s">
        <v>1035</v>
      </c>
      <c r="D132" s="653" t="s">
        <v>980</v>
      </c>
      <c r="E132" s="643">
        <v>2</v>
      </c>
      <c r="F132" s="643">
        <v>117.547</v>
      </c>
      <c r="G132" s="643">
        <v>0.65700000000000003</v>
      </c>
      <c r="H132" s="643">
        <v>3.25</v>
      </c>
      <c r="I132" s="643">
        <v>118.20399999999999</v>
      </c>
      <c r="J132" s="225">
        <f t="shared" si="2"/>
        <v>1</v>
      </c>
    </row>
    <row r="133" spans="1:10" ht="15">
      <c r="A133" s="203"/>
      <c r="B133" s="643" t="s">
        <v>189</v>
      </c>
      <c r="C133" s="653" t="s">
        <v>1037</v>
      </c>
      <c r="D133" s="653" t="s">
        <v>981</v>
      </c>
      <c r="E133" s="643">
        <v>2</v>
      </c>
      <c r="F133" s="643">
        <v>116.54349999999999</v>
      </c>
      <c r="G133" s="643">
        <v>9.8000000000000004E-2</v>
      </c>
      <c r="H133" s="643">
        <v>2.75</v>
      </c>
      <c r="I133" s="643">
        <v>116.64149999999999</v>
      </c>
      <c r="J133" s="225">
        <f t="shared" si="2"/>
        <v>1</v>
      </c>
    </row>
    <row r="134" spans="1:10" ht="15">
      <c r="A134" s="204"/>
      <c r="B134" s="643" t="s">
        <v>190</v>
      </c>
      <c r="C134" s="653" t="s">
        <v>1037</v>
      </c>
      <c r="D134" s="653" t="s">
        <v>899</v>
      </c>
      <c r="E134" s="643">
        <v>2</v>
      </c>
      <c r="F134" s="643">
        <v>125.24100000000001</v>
      </c>
      <c r="G134" s="643">
        <v>0.115</v>
      </c>
      <c r="H134" s="643">
        <v>3.25</v>
      </c>
      <c r="I134" s="643">
        <v>125.35600000000001</v>
      </c>
      <c r="J134" s="225">
        <f t="shared" si="2"/>
        <v>1</v>
      </c>
    </row>
    <row r="135" spans="1:10">
      <c r="J135" s="225"/>
    </row>
    <row r="136" spans="1:10">
      <c r="A136" t="s">
        <v>136</v>
      </c>
      <c r="J136" s="225"/>
    </row>
    <row r="137" spans="1:10" ht="15">
      <c r="A137" s="211"/>
      <c r="B137" s="211"/>
      <c r="C137" s="543" t="s">
        <v>98</v>
      </c>
      <c r="D137" s="545" t="s">
        <v>97</v>
      </c>
      <c r="E137" s="211" t="s">
        <v>99</v>
      </c>
      <c r="F137" s="211" t="s">
        <v>102</v>
      </c>
      <c r="G137" s="211" t="s">
        <v>101</v>
      </c>
      <c r="H137" s="211" t="s">
        <v>100</v>
      </c>
      <c r="I137" s="211" t="s">
        <v>103</v>
      </c>
      <c r="J137" s="225"/>
    </row>
    <row r="138" spans="1:10" ht="15">
      <c r="A138" s="211"/>
      <c r="B138" s="644" t="s">
        <v>752</v>
      </c>
      <c r="C138" s="653" t="s">
        <v>544</v>
      </c>
      <c r="D138" s="653" t="s">
        <v>1005</v>
      </c>
      <c r="E138" s="644" t="s">
        <v>544</v>
      </c>
      <c r="F138" s="644">
        <v>98.935000000000002</v>
      </c>
      <c r="G138" s="644">
        <v>0</v>
      </c>
      <c r="H138" s="644">
        <v>0</v>
      </c>
      <c r="I138" s="644">
        <v>98.935000000000002</v>
      </c>
      <c r="J138" s="225">
        <f t="shared" si="2"/>
        <v>1</v>
      </c>
    </row>
    <row r="139" spans="1:10" ht="15">
      <c r="A139" s="211"/>
      <c r="B139" s="644" t="s">
        <v>900</v>
      </c>
      <c r="C139" s="653" t="s">
        <v>1034</v>
      </c>
      <c r="D139" s="653" t="s">
        <v>901</v>
      </c>
      <c r="E139" s="644">
        <v>2</v>
      </c>
      <c r="F139" s="644">
        <v>101.38765031258832</v>
      </c>
      <c r="G139" s="644">
        <v>0.65573770491803274</v>
      </c>
      <c r="H139" s="644">
        <v>3</v>
      </c>
      <c r="I139" s="644">
        <v>102.04338801750636</v>
      </c>
      <c r="J139" s="225">
        <f t="shared" si="2"/>
        <v>1</v>
      </c>
    </row>
    <row r="140" spans="1:10" ht="15">
      <c r="A140" s="211"/>
      <c r="B140" s="705" t="s">
        <v>988</v>
      </c>
      <c r="C140" s="705" t="s">
        <v>544</v>
      </c>
      <c r="D140" s="705" t="s">
        <v>989</v>
      </c>
      <c r="E140" s="705" t="s">
        <v>544</v>
      </c>
      <c r="F140" s="705">
        <v>99.730500000000006</v>
      </c>
      <c r="G140" s="705">
        <v>0</v>
      </c>
      <c r="H140" s="705">
        <v>0</v>
      </c>
      <c r="I140" s="705">
        <v>99.730500000000006</v>
      </c>
      <c r="J140" s="225">
        <f t="shared" si="2"/>
        <v>1</v>
      </c>
    </row>
    <row r="141" spans="1:10" ht="15">
      <c r="A141" s="211"/>
      <c r="B141" s="644" t="s">
        <v>902</v>
      </c>
      <c r="C141" s="653" t="s">
        <v>999</v>
      </c>
      <c r="D141" s="653" t="s">
        <v>893</v>
      </c>
      <c r="E141" s="644">
        <v>2</v>
      </c>
      <c r="F141" s="644">
        <v>108.91971645788519</v>
      </c>
      <c r="G141" s="644">
        <v>0.81521739130434778</v>
      </c>
      <c r="H141" s="644">
        <v>6</v>
      </c>
      <c r="I141" s="644">
        <v>109.73493384918953</v>
      </c>
      <c r="J141" s="225">
        <f t="shared" si="2"/>
        <v>1</v>
      </c>
    </row>
    <row r="142" spans="1:10" ht="15">
      <c r="A142" s="211"/>
      <c r="B142" s="644" t="s">
        <v>209</v>
      </c>
      <c r="C142" s="653" t="s">
        <v>1034</v>
      </c>
      <c r="D142" s="653" t="s">
        <v>903</v>
      </c>
      <c r="E142" s="644">
        <v>2</v>
      </c>
      <c r="F142" s="644">
        <v>108.40118129111292</v>
      </c>
      <c r="G142" s="644">
        <v>0.60109289617486339</v>
      </c>
      <c r="H142" s="644">
        <v>2.75</v>
      </c>
      <c r="I142" s="644">
        <v>109.00227418728778</v>
      </c>
      <c r="J142" s="225">
        <f t="shared" si="2"/>
        <v>1</v>
      </c>
    </row>
    <row r="143" spans="1:10" ht="15">
      <c r="A143" s="211"/>
      <c r="B143" s="644" t="s">
        <v>542</v>
      </c>
      <c r="C143" s="653" t="s">
        <v>1034</v>
      </c>
      <c r="D143" s="653" t="s">
        <v>982</v>
      </c>
      <c r="E143" s="644">
        <v>2</v>
      </c>
      <c r="F143" s="644">
        <v>122.79006726446278</v>
      </c>
      <c r="G143" s="644">
        <v>0.98360655737704916</v>
      </c>
      <c r="H143" s="644">
        <v>4.5</v>
      </c>
      <c r="I143" s="644">
        <v>123.77367382183982</v>
      </c>
      <c r="J143" s="548">
        <f t="shared" si="2"/>
        <v>1</v>
      </c>
    </row>
    <row r="144" spans="1:10" ht="15">
      <c r="B144" s="644" t="s">
        <v>541</v>
      </c>
      <c r="C144" s="653" t="s">
        <v>1038</v>
      </c>
      <c r="D144" s="653" t="s">
        <v>904</v>
      </c>
      <c r="E144" s="644">
        <v>2</v>
      </c>
      <c r="F144" s="644">
        <v>113.07550601193907</v>
      </c>
      <c r="G144" s="644">
        <v>0.61475409836065575</v>
      </c>
      <c r="H144" s="644">
        <v>3</v>
      </c>
      <c r="I144" s="644">
        <v>113.69026011029972</v>
      </c>
      <c r="J144" s="548">
        <f t="shared" si="2"/>
        <v>1</v>
      </c>
    </row>
    <row r="145" spans="1:10" ht="15">
      <c r="B145" s="644" t="s">
        <v>545</v>
      </c>
      <c r="C145" s="653" t="s">
        <v>1039</v>
      </c>
      <c r="D145" s="653" t="s">
        <v>905</v>
      </c>
      <c r="E145" s="644">
        <v>2</v>
      </c>
      <c r="F145" s="644">
        <v>121.21211258457703</v>
      </c>
      <c r="G145" s="644">
        <v>0.77459016393442626</v>
      </c>
      <c r="H145" s="644">
        <v>3.5</v>
      </c>
      <c r="I145" s="644">
        <v>121.98670274851145</v>
      </c>
      <c r="J145" s="548">
        <f t="shared" si="2"/>
        <v>1</v>
      </c>
    </row>
    <row r="147" spans="1:10">
      <c r="A147" t="s">
        <v>763</v>
      </c>
    </row>
    <row r="148" spans="1:10">
      <c r="C148" s="542" t="s">
        <v>98</v>
      </c>
      <c r="D148" s="274" t="s">
        <v>97</v>
      </c>
      <c r="E148" t="s">
        <v>99</v>
      </c>
      <c r="F148" t="s">
        <v>102</v>
      </c>
      <c r="G148" t="s">
        <v>101</v>
      </c>
      <c r="H148" t="s">
        <v>100</v>
      </c>
      <c r="I148" t="s">
        <v>103</v>
      </c>
    </row>
    <row r="149" spans="1:10">
      <c r="A149">
        <v>1</v>
      </c>
      <c r="B149" t="s">
        <v>764</v>
      </c>
      <c r="C149" s="542" t="s">
        <v>983</v>
      </c>
      <c r="D149" s="542" t="s">
        <v>906</v>
      </c>
      <c r="E149">
        <v>2</v>
      </c>
      <c r="F149">
        <v>109.5145</v>
      </c>
      <c r="G149">
        <v>1.5797260274254143</v>
      </c>
      <c r="H149">
        <v>4.6500000000000004</v>
      </c>
      <c r="I149">
        <v>111.09422602742541</v>
      </c>
    </row>
    <row r="150" spans="1:10">
      <c r="A150">
        <f>A149+1</f>
        <v>2</v>
      </c>
      <c r="B150" t="s">
        <v>765</v>
      </c>
      <c r="C150" s="542" t="s">
        <v>984</v>
      </c>
      <c r="D150" s="542" t="s">
        <v>908</v>
      </c>
      <c r="E150">
        <v>2</v>
      </c>
      <c r="F150">
        <v>104.20400000000001</v>
      </c>
      <c r="G150">
        <v>0.98747945205479448</v>
      </c>
      <c r="H150">
        <v>2.71</v>
      </c>
      <c r="I150">
        <v>105.19147945205481</v>
      </c>
    </row>
    <row r="151" spans="1:10">
      <c r="A151" s="548">
        <f t="shared" ref="A151:A192" si="3">A150+1</f>
        <v>3</v>
      </c>
      <c r="B151" t="s">
        <v>766</v>
      </c>
      <c r="C151" s="542" t="s">
        <v>544</v>
      </c>
      <c r="D151" s="542" t="s">
        <v>909</v>
      </c>
      <c r="E151">
        <v>2</v>
      </c>
      <c r="F151" t="s">
        <v>830</v>
      </c>
      <c r="G151">
        <v>0</v>
      </c>
      <c r="H151">
        <v>3.56</v>
      </c>
      <c r="I151" t="s">
        <v>830</v>
      </c>
    </row>
    <row r="152" spans="1:10">
      <c r="A152" s="548">
        <f t="shared" si="3"/>
        <v>4</v>
      </c>
      <c r="B152" t="s">
        <v>767</v>
      </c>
      <c r="C152" s="542" t="s">
        <v>985</v>
      </c>
      <c r="D152" s="542" t="s">
        <v>910</v>
      </c>
      <c r="E152">
        <v>2</v>
      </c>
      <c r="F152">
        <v>107.19200000000001</v>
      </c>
      <c r="G152">
        <v>1.128821917922652</v>
      </c>
      <c r="H152">
        <v>3.27</v>
      </c>
      <c r="I152">
        <v>108.32082191792266</v>
      </c>
    </row>
    <row r="153" spans="1:10">
      <c r="A153" s="548">
        <f t="shared" si="3"/>
        <v>5</v>
      </c>
      <c r="B153" t="s">
        <v>768</v>
      </c>
      <c r="C153" s="542" t="s">
        <v>544</v>
      </c>
      <c r="D153" s="542" t="s">
        <v>911</v>
      </c>
      <c r="E153">
        <v>2</v>
      </c>
      <c r="F153" t="s">
        <v>830</v>
      </c>
      <c r="G153">
        <v>0</v>
      </c>
      <c r="H153">
        <v>1.61</v>
      </c>
      <c r="I153" t="s">
        <v>830</v>
      </c>
    </row>
    <row r="154" spans="1:10">
      <c r="A154" s="548">
        <f t="shared" si="3"/>
        <v>6</v>
      </c>
      <c r="B154" t="s">
        <v>769</v>
      </c>
      <c r="C154" s="542" t="s">
        <v>984</v>
      </c>
      <c r="D154" s="542" t="s">
        <v>912</v>
      </c>
      <c r="E154">
        <v>2</v>
      </c>
      <c r="F154">
        <v>101.2915</v>
      </c>
      <c r="G154">
        <v>0.63038356164383558</v>
      </c>
      <c r="H154">
        <v>1.73</v>
      </c>
      <c r="I154">
        <v>101.92188356164384</v>
      </c>
    </row>
    <row r="155" spans="1:10">
      <c r="A155" s="548">
        <f t="shared" si="3"/>
        <v>7</v>
      </c>
      <c r="B155" t="s">
        <v>770</v>
      </c>
      <c r="C155" s="542" t="s">
        <v>544</v>
      </c>
      <c r="D155" s="542" t="s">
        <v>892</v>
      </c>
      <c r="E155">
        <v>2</v>
      </c>
      <c r="F155" t="s">
        <v>830</v>
      </c>
      <c r="G155">
        <v>0</v>
      </c>
      <c r="H155">
        <v>2.64</v>
      </c>
      <c r="I155" t="s">
        <v>830</v>
      </c>
    </row>
    <row r="156" spans="1:10">
      <c r="A156" s="548">
        <f t="shared" si="3"/>
        <v>8</v>
      </c>
      <c r="B156" t="s">
        <v>771</v>
      </c>
      <c r="C156" s="542" t="s">
        <v>984</v>
      </c>
      <c r="D156" s="542" t="s">
        <v>913</v>
      </c>
      <c r="E156">
        <v>2</v>
      </c>
      <c r="F156">
        <v>105.809</v>
      </c>
      <c r="G156">
        <v>0.94739726027397264</v>
      </c>
      <c r="H156">
        <v>2.6</v>
      </c>
      <c r="I156">
        <v>106.75639726027397</v>
      </c>
    </row>
    <row r="157" spans="1:10">
      <c r="A157" s="548">
        <f t="shared" si="3"/>
        <v>9</v>
      </c>
      <c r="B157" t="s">
        <v>772</v>
      </c>
      <c r="C157" s="542" t="s">
        <v>914</v>
      </c>
      <c r="D157" s="542" t="s">
        <v>914</v>
      </c>
      <c r="E157">
        <v>2</v>
      </c>
      <c r="F157">
        <v>100.09649999999999</v>
      </c>
      <c r="G157">
        <v>0.13610958904109591</v>
      </c>
      <c r="H157">
        <v>2.16</v>
      </c>
      <c r="I157">
        <v>100.23260958904109</v>
      </c>
    </row>
    <row r="158" spans="1:10">
      <c r="A158" s="548">
        <f t="shared" si="3"/>
        <v>10</v>
      </c>
      <c r="B158" t="s">
        <v>773</v>
      </c>
      <c r="C158" s="542" t="s">
        <v>986</v>
      </c>
      <c r="D158" s="542" t="s">
        <v>915</v>
      </c>
      <c r="E158">
        <v>2</v>
      </c>
      <c r="F158">
        <v>108.262</v>
      </c>
      <c r="G158">
        <v>1.0345205479452055</v>
      </c>
      <c r="H158">
        <v>2.95</v>
      </c>
      <c r="I158">
        <v>109.29652054794521</v>
      </c>
    </row>
    <row r="159" spans="1:10">
      <c r="A159" s="548">
        <f t="shared" si="3"/>
        <v>11</v>
      </c>
      <c r="B159" t="s">
        <v>774</v>
      </c>
      <c r="C159" s="542" t="s">
        <v>939</v>
      </c>
      <c r="D159" s="542" t="s">
        <v>916</v>
      </c>
      <c r="E159">
        <v>2</v>
      </c>
      <c r="F159">
        <v>100.73050000000001</v>
      </c>
      <c r="G159">
        <v>8.3178082191780814E-2</v>
      </c>
      <c r="H159">
        <v>2.5299999999999998</v>
      </c>
      <c r="I159">
        <v>100.81367808219179</v>
      </c>
    </row>
    <row r="160" spans="1:10">
      <c r="A160" s="548">
        <f t="shared" si="3"/>
        <v>12</v>
      </c>
      <c r="B160" t="s">
        <v>775</v>
      </c>
      <c r="C160" s="542" t="s">
        <v>984</v>
      </c>
      <c r="D160" s="542" t="s">
        <v>917</v>
      </c>
      <c r="E160">
        <v>2</v>
      </c>
      <c r="F160">
        <v>105.66900000000001</v>
      </c>
      <c r="G160">
        <v>0.87087671232876718</v>
      </c>
      <c r="H160">
        <v>2.39</v>
      </c>
      <c r="I160">
        <v>106.53987671232878</v>
      </c>
    </row>
    <row r="161" spans="1:9">
      <c r="A161" s="548">
        <f t="shared" si="3"/>
        <v>13</v>
      </c>
      <c r="B161" t="s">
        <v>776</v>
      </c>
      <c r="C161" s="542" t="s">
        <v>1040</v>
      </c>
      <c r="D161" s="542" t="s">
        <v>918</v>
      </c>
      <c r="E161">
        <v>2</v>
      </c>
      <c r="F161">
        <v>101.03049999999999</v>
      </c>
      <c r="G161">
        <v>0.18049315068493152</v>
      </c>
      <c r="H161">
        <v>2.44</v>
      </c>
      <c r="I161">
        <v>101.21099315068493</v>
      </c>
    </row>
    <row r="162" spans="1:9">
      <c r="A162" s="548">
        <f t="shared" si="3"/>
        <v>14</v>
      </c>
      <c r="B162" t="s">
        <v>777</v>
      </c>
      <c r="C162" s="542" t="s">
        <v>986</v>
      </c>
      <c r="D162" s="542" t="s">
        <v>919</v>
      </c>
      <c r="E162">
        <v>2</v>
      </c>
      <c r="F162">
        <v>112.0095</v>
      </c>
      <c r="G162">
        <v>1.1642739726027396</v>
      </c>
      <c r="H162">
        <v>3.32</v>
      </c>
      <c r="I162">
        <v>113.17377397260275</v>
      </c>
    </row>
    <row r="163" spans="1:9">
      <c r="A163" s="548">
        <f t="shared" si="3"/>
        <v>15</v>
      </c>
      <c r="B163" t="s">
        <v>778</v>
      </c>
      <c r="C163" s="542" t="s">
        <v>1031</v>
      </c>
      <c r="D163" s="542" t="s">
        <v>920</v>
      </c>
      <c r="E163">
        <v>2</v>
      </c>
      <c r="F163">
        <v>101.2915</v>
      </c>
      <c r="G163">
        <v>8.227397260273972E-2</v>
      </c>
      <c r="H163">
        <v>2.31</v>
      </c>
      <c r="I163">
        <v>101.37377397260273</v>
      </c>
    </row>
    <row r="164" spans="1:9">
      <c r="A164" s="548">
        <f t="shared" si="3"/>
        <v>16</v>
      </c>
      <c r="B164" t="s">
        <v>779</v>
      </c>
      <c r="C164" s="542" t="s">
        <v>986</v>
      </c>
      <c r="D164" s="542" t="s">
        <v>921</v>
      </c>
      <c r="E164">
        <v>2</v>
      </c>
      <c r="F164">
        <v>104.44800000000001</v>
      </c>
      <c r="G164">
        <v>0.72024657534246572</v>
      </c>
      <c r="H164">
        <v>2.0699999999999998</v>
      </c>
      <c r="I164">
        <v>105.16824657534248</v>
      </c>
    </row>
    <row r="165" spans="1:9">
      <c r="A165" s="548">
        <f t="shared" si="3"/>
        <v>17</v>
      </c>
      <c r="B165" t="s">
        <v>780</v>
      </c>
      <c r="C165" s="542" t="s">
        <v>1041</v>
      </c>
      <c r="D165" s="542" t="s">
        <v>922</v>
      </c>
      <c r="E165">
        <v>2</v>
      </c>
      <c r="F165">
        <v>99.010999999999996</v>
      </c>
      <c r="G165">
        <v>9.1287671232876719E-2</v>
      </c>
      <c r="H165">
        <v>1.19</v>
      </c>
      <c r="I165">
        <v>99.102287671232872</v>
      </c>
    </row>
    <row r="166" spans="1:9">
      <c r="A166" s="548">
        <f t="shared" si="3"/>
        <v>18</v>
      </c>
      <c r="B166" t="s">
        <v>781</v>
      </c>
      <c r="C166" s="542" t="s">
        <v>986</v>
      </c>
      <c r="D166" s="542" t="s">
        <v>923</v>
      </c>
      <c r="E166">
        <v>2</v>
      </c>
      <c r="F166">
        <v>100.5415</v>
      </c>
      <c r="G166">
        <v>0.52953424657534243</v>
      </c>
      <c r="H166">
        <v>1.51</v>
      </c>
      <c r="I166">
        <v>101.07103424657534</v>
      </c>
    </row>
    <row r="167" spans="1:9">
      <c r="A167" s="548">
        <f t="shared" si="3"/>
        <v>19</v>
      </c>
      <c r="B167" t="s">
        <v>782</v>
      </c>
      <c r="C167" s="542" t="s">
        <v>1042</v>
      </c>
      <c r="D167" s="542" t="s">
        <v>924</v>
      </c>
      <c r="E167">
        <v>2</v>
      </c>
      <c r="F167">
        <v>98.3065</v>
      </c>
      <c r="G167">
        <v>3.7205479452054796E-2</v>
      </c>
      <c r="H167">
        <v>0.97</v>
      </c>
      <c r="I167">
        <v>98.343705479452055</v>
      </c>
    </row>
    <row r="168" spans="1:9">
      <c r="A168" s="548">
        <f t="shared" si="3"/>
        <v>20</v>
      </c>
      <c r="B168" t="s">
        <v>783</v>
      </c>
      <c r="C168" s="542" t="s">
        <v>985</v>
      </c>
      <c r="D168" s="542" t="s">
        <v>925</v>
      </c>
      <c r="E168">
        <v>2</v>
      </c>
      <c r="F168">
        <v>95.027999999999992</v>
      </c>
      <c r="G168">
        <v>0.2761643837237569</v>
      </c>
      <c r="H168">
        <v>0.8</v>
      </c>
      <c r="I168">
        <v>95.304164383723744</v>
      </c>
    </row>
    <row r="169" spans="1:9">
      <c r="A169" s="548">
        <f t="shared" si="3"/>
        <v>21</v>
      </c>
      <c r="B169" t="s">
        <v>784</v>
      </c>
      <c r="C169" s="542" t="s">
        <v>1043</v>
      </c>
      <c r="D169" s="542" t="s">
        <v>926</v>
      </c>
      <c r="E169">
        <v>2</v>
      </c>
      <c r="F169">
        <v>96.896500000000003</v>
      </c>
      <c r="G169">
        <v>4.3698630136986306E-2</v>
      </c>
      <c r="H169">
        <v>0.55000000000000004</v>
      </c>
      <c r="I169">
        <v>96.94019863013699</v>
      </c>
    </row>
    <row r="170" spans="1:9">
      <c r="A170" s="548">
        <f t="shared" si="3"/>
        <v>22</v>
      </c>
      <c r="B170" t="s">
        <v>785</v>
      </c>
      <c r="C170" s="542" t="s">
        <v>987</v>
      </c>
      <c r="D170" s="542" t="s">
        <v>927</v>
      </c>
      <c r="E170">
        <v>2</v>
      </c>
      <c r="F170">
        <v>100.221</v>
      </c>
      <c r="G170">
        <v>0.53476712328767129</v>
      </c>
      <c r="H170">
        <v>1.49</v>
      </c>
      <c r="I170">
        <v>100.75576712328767</v>
      </c>
    </row>
    <row r="171" spans="1:9">
      <c r="A171" s="548">
        <f t="shared" si="3"/>
        <v>23</v>
      </c>
      <c r="B171" t="s">
        <v>786</v>
      </c>
      <c r="C171" s="542" t="s">
        <v>1041</v>
      </c>
      <c r="D171" s="542" t="s">
        <v>928</v>
      </c>
      <c r="E171">
        <v>2</v>
      </c>
      <c r="F171">
        <v>98.460000000000008</v>
      </c>
      <c r="G171">
        <v>8.3616438356164391E-2</v>
      </c>
      <c r="H171">
        <v>1.0900000000000001</v>
      </c>
      <c r="I171">
        <v>98.543616438356167</v>
      </c>
    </row>
    <row r="172" spans="1:9">
      <c r="A172" s="548">
        <f t="shared" si="3"/>
        <v>24</v>
      </c>
      <c r="B172" t="s">
        <v>787</v>
      </c>
      <c r="C172" s="542" t="s">
        <v>984</v>
      </c>
      <c r="D172" s="542" t="s">
        <v>929</v>
      </c>
      <c r="E172">
        <v>2</v>
      </c>
      <c r="F172">
        <v>99.692499999999995</v>
      </c>
      <c r="G172">
        <v>0.47734246575342471</v>
      </c>
      <c r="H172">
        <v>1.31</v>
      </c>
      <c r="I172">
        <v>100.16984246575342</v>
      </c>
    </row>
    <row r="173" spans="1:9">
      <c r="A173" s="548">
        <f t="shared" si="3"/>
        <v>25</v>
      </c>
      <c r="B173" s="548" t="s">
        <v>807</v>
      </c>
      <c r="C173" s="542" t="s">
        <v>987</v>
      </c>
      <c r="D173" s="542" t="s">
        <v>930</v>
      </c>
      <c r="E173" s="548">
        <v>2</v>
      </c>
      <c r="F173" s="548">
        <v>108.64</v>
      </c>
      <c r="G173" s="548">
        <v>0.89367123287671246</v>
      </c>
      <c r="H173" s="548">
        <v>2.4900000000000002</v>
      </c>
      <c r="I173" s="548">
        <v>109.53367123287671</v>
      </c>
    </row>
    <row r="174" spans="1:9">
      <c r="A174" s="548">
        <f t="shared" si="3"/>
        <v>26</v>
      </c>
      <c r="B174" t="s">
        <v>788</v>
      </c>
      <c r="C174" s="542" t="s">
        <v>544</v>
      </c>
      <c r="D174" s="542" t="s">
        <v>931</v>
      </c>
      <c r="E174">
        <v>2</v>
      </c>
      <c r="F174" t="s">
        <v>830</v>
      </c>
      <c r="G174">
        <v>0</v>
      </c>
      <c r="H174">
        <v>1.52</v>
      </c>
      <c r="I174" t="s">
        <v>830</v>
      </c>
    </row>
    <row r="175" spans="1:9">
      <c r="A175" s="548">
        <f t="shared" si="3"/>
        <v>27</v>
      </c>
      <c r="B175" t="s">
        <v>789</v>
      </c>
      <c r="C175" s="542" t="s">
        <v>1044</v>
      </c>
      <c r="D175" s="542" t="s">
        <v>932</v>
      </c>
      <c r="E175">
        <v>2</v>
      </c>
      <c r="F175">
        <v>102.05</v>
      </c>
      <c r="G175">
        <v>0.15945205479452054</v>
      </c>
      <c r="H175">
        <v>1.94</v>
      </c>
      <c r="I175">
        <v>102.20945205479451</v>
      </c>
    </row>
    <row r="176" spans="1:9">
      <c r="A176" s="548">
        <f t="shared" si="3"/>
        <v>28</v>
      </c>
      <c r="B176" t="s">
        <v>790</v>
      </c>
      <c r="C176" s="542" t="s">
        <v>544</v>
      </c>
      <c r="D176" s="542" t="s">
        <v>933</v>
      </c>
      <c r="E176">
        <v>2</v>
      </c>
      <c r="F176" t="s">
        <v>830</v>
      </c>
      <c r="G176">
        <v>0</v>
      </c>
      <c r="H176">
        <v>1.17</v>
      </c>
      <c r="I176" t="s">
        <v>830</v>
      </c>
    </row>
    <row r="177" spans="1:9">
      <c r="A177" s="548">
        <f t="shared" si="3"/>
        <v>29</v>
      </c>
      <c r="B177" t="s">
        <v>791</v>
      </c>
      <c r="C177" s="542" t="s">
        <v>947</v>
      </c>
      <c r="D177" s="542" t="s">
        <v>934</v>
      </c>
      <c r="E177">
        <v>2</v>
      </c>
      <c r="F177">
        <v>108.91</v>
      </c>
      <c r="G177">
        <v>0.84931506837016568</v>
      </c>
      <c r="H177">
        <v>2.48</v>
      </c>
      <c r="I177">
        <v>109.75931506837016</v>
      </c>
    </row>
    <row r="178" spans="1:9">
      <c r="A178" s="548">
        <f t="shared" si="3"/>
        <v>30</v>
      </c>
      <c r="B178" t="s">
        <v>792</v>
      </c>
      <c r="C178" s="542" t="s">
        <v>544</v>
      </c>
      <c r="D178" s="542" t="s">
        <v>858</v>
      </c>
      <c r="E178">
        <v>2</v>
      </c>
      <c r="F178" t="s">
        <v>830</v>
      </c>
      <c r="G178">
        <v>0</v>
      </c>
      <c r="H178">
        <v>1.35</v>
      </c>
      <c r="I178" t="s">
        <v>830</v>
      </c>
    </row>
    <row r="179" spans="1:9">
      <c r="A179" s="548">
        <f t="shared" si="3"/>
        <v>31</v>
      </c>
      <c r="B179" t="s">
        <v>793</v>
      </c>
      <c r="C179" s="542" t="s">
        <v>1045</v>
      </c>
      <c r="D179" s="542" t="s">
        <v>935</v>
      </c>
      <c r="E179">
        <v>2</v>
      </c>
      <c r="F179">
        <v>102.5945</v>
      </c>
      <c r="G179">
        <v>0.1610958904109589</v>
      </c>
      <c r="H179">
        <v>1.96</v>
      </c>
      <c r="I179">
        <v>102.75559589041096</v>
      </c>
    </row>
    <row r="180" spans="1:9">
      <c r="A180" s="548">
        <f t="shared" si="3"/>
        <v>32</v>
      </c>
      <c r="B180" t="s">
        <v>794</v>
      </c>
      <c r="C180" s="542" t="s">
        <v>544</v>
      </c>
      <c r="D180" s="542" t="s">
        <v>859</v>
      </c>
      <c r="E180">
        <v>2</v>
      </c>
      <c r="F180">
        <v>100</v>
      </c>
      <c r="G180">
        <v>0</v>
      </c>
      <c r="H180">
        <v>1.34</v>
      </c>
      <c r="I180">
        <v>100</v>
      </c>
    </row>
    <row r="181" spans="1:9">
      <c r="A181" s="548">
        <f t="shared" si="3"/>
        <v>33</v>
      </c>
      <c r="B181" t="s">
        <v>795</v>
      </c>
      <c r="C181" s="542" t="s">
        <v>985</v>
      </c>
      <c r="D181" s="542" t="s">
        <v>936</v>
      </c>
      <c r="E181">
        <v>2</v>
      </c>
      <c r="F181">
        <v>106.94749999999999</v>
      </c>
      <c r="G181">
        <v>0.77326027397260289</v>
      </c>
      <c r="H181">
        <v>2.2400000000000002</v>
      </c>
      <c r="I181">
        <v>107.72076027397259</v>
      </c>
    </row>
    <row r="182" spans="1:9">
      <c r="A182" s="548">
        <f t="shared" si="3"/>
        <v>34</v>
      </c>
      <c r="B182" t="s">
        <v>796</v>
      </c>
      <c r="C182" s="542" t="s">
        <v>937</v>
      </c>
      <c r="D182" s="542" t="s">
        <v>937</v>
      </c>
      <c r="E182">
        <v>2</v>
      </c>
      <c r="F182">
        <v>99.82650000000001</v>
      </c>
      <c r="G182">
        <v>0.39189041095887572</v>
      </c>
      <c r="H182">
        <v>1.49</v>
      </c>
      <c r="I182">
        <v>100.21839041095889</v>
      </c>
    </row>
    <row r="183" spans="1:9">
      <c r="A183" s="548">
        <f t="shared" si="3"/>
        <v>35</v>
      </c>
      <c r="B183" t="s">
        <v>797</v>
      </c>
      <c r="C183" s="542" t="s">
        <v>914</v>
      </c>
      <c r="D183" s="542" t="s">
        <v>938</v>
      </c>
      <c r="E183">
        <v>2</v>
      </c>
      <c r="F183">
        <v>102.17250000000001</v>
      </c>
      <c r="G183">
        <v>0.11594520547945207</v>
      </c>
      <c r="H183">
        <v>1.84</v>
      </c>
      <c r="I183">
        <v>102.28844520547946</v>
      </c>
    </row>
    <row r="184" spans="1:9">
      <c r="A184" s="548">
        <f t="shared" si="3"/>
        <v>36</v>
      </c>
      <c r="B184" t="s">
        <v>798</v>
      </c>
      <c r="C184" s="542" t="s">
        <v>939</v>
      </c>
      <c r="D184" s="542" t="s">
        <v>939</v>
      </c>
      <c r="E184">
        <v>2</v>
      </c>
      <c r="F184">
        <v>99.735500000000002</v>
      </c>
      <c r="G184">
        <v>3.2547945205479455E-2</v>
      </c>
      <c r="H184">
        <v>1.32</v>
      </c>
      <c r="I184">
        <v>99.768047945205481</v>
      </c>
    </row>
    <row r="185" spans="1:9">
      <c r="A185" s="548">
        <f t="shared" si="3"/>
        <v>37</v>
      </c>
      <c r="B185" t="s">
        <v>799</v>
      </c>
      <c r="C185" s="542" t="s">
        <v>544</v>
      </c>
      <c r="D185" s="542" t="s">
        <v>940</v>
      </c>
      <c r="E185">
        <v>2</v>
      </c>
      <c r="F185" t="s">
        <v>830</v>
      </c>
      <c r="G185">
        <v>0</v>
      </c>
      <c r="H185">
        <v>0.67</v>
      </c>
      <c r="I185" t="s">
        <v>830</v>
      </c>
    </row>
    <row r="186" spans="1:9">
      <c r="A186" s="548">
        <f t="shared" si="3"/>
        <v>38</v>
      </c>
      <c r="B186" t="s">
        <v>800</v>
      </c>
      <c r="C186" s="542" t="s">
        <v>544</v>
      </c>
      <c r="D186" s="542" t="s">
        <v>941</v>
      </c>
      <c r="E186">
        <v>2</v>
      </c>
      <c r="F186" t="s">
        <v>830</v>
      </c>
      <c r="G186">
        <v>0</v>
      </c>
      <c r="H186">
        <v>0.5</v>
      </c>
      <c r="I186" t="s">
        <v>830</v>
      </c>
    </row>
    <row r="187" spans="1:9">
      <c r="A187" s="548">
        <f t="shared" si="3"/>
        <v>39</v>
      </c>
      <c r="B187" t="s">
        <v>801</v>
      </c>
      <c r="C187" s="542" t="s">
        <v>544</v>
      </c>
      <c r="D187" s="542" t="s">
        <v>942</v>
      </c>
      <c r="E187">
        <v>2</v>
      </c>
      <c r="F187" t="s">
        <v>830</v>
      </c>
      <c r="G187">
        <v>0</v>
      </c>
      <c r="H187">
        <v>0.55000000000000004</v>
      </c>
      <c r="I187" t="s">
        <v>830</v>
      </c>
    </row>
    <row r="188" spans="1:9">
      <c r="A188" s="548">
        <f t="shared" si="3"/>
        <v>40</v>
      </c>
      <c r="B188" t="s">
        <v>802</v>
      </c>
      <c r="C188" s="542" t="s">
        <v>544</v>
      </c>
      <c r="D188" s="542" t="s">
        <v>907</v>
      </c>
      <c r="E188">
        <v>2</v>
      </c>
      <c r="F188" t="s">
        <v>830</v>
      </c>
      <c r="G188">
        <v>0</v>
      </c>
      <c r="H188">
        <v>0.99</v>
      </c>
      <c r="I188" t="s">
        <v>830</v>
      </c>
    </row>
    <row r="189" spans="1:9">
      <c r="A189" s="548">
        <f t="shared" si="3"/>
        <v>41</v>
      </c>
      <c r="B189" t="s">
        <v>803</v>
      </c>
      <c r="C189" s="542" t="s">
        <v>544</v>
      </c>
      <c r="D189" s="542" t="s">
        <v>943</v>
      </c>
      <c r="E189">
        <v>2</v>
      </c>
      <c r="F189" t="s">
        <v>830</v>
      </c>
      <c r="G189">
        <v>0</v>
      </c>
      <c r="H189">
        <v>0.8</v>
      </c>
      <c r="I189" t="s">
        <v>830</v>
      </c>
    </row>
    <row r="190" spans="1:9">
      <c r="A190" s="548">
        <f t="shared" si="3"/>
        <v>42</v>
      </c>
      <c r="B190" t="s">
        <v>804</v>
      </c>
      <c r="C190" s="542" t="s">
        <v>944</v>
      </c>
      <c r="D190" s="542" t="s">
        <v>944</v>
      </c>
      <c r="E190">
        <v>2</v>
      </c>
      <c r="F190">
        <v>99.763000000000005</v>
      </c>
      <c r="G190">
        <v>0.27846575342465757</v>
      </c>
      <c r="H190">
        <v>0.77</v>
      </c>
      <c r="I190">
        <v>100.04146575342466</v>
      </c>
    </row>
    <row r="191" spans="1:9">
      <c r="A191" s="548">
        <f t="shared" si="3"/>
        <v>43</v>
      </c>
      <c r="B191" t="s">
        <v>805</v>
      </c>
      <c r="C191" s="542" t="s">
        <v>945</v>
      </c>
      <c r="D191" s="542" t="s">
        <v>945</v>
      </c>
      <c r="E191">
        <v>2</v>
      </c>
      <c r="F191">
        <v>99.634500000000003</v>
      </c>
      <c r="G191">
        <v>0.12536986301369865</v>
      </c>
      <c r="H191">
        <v>1.04</v>
      </c>
      <c r="I191">
        <v>99.759869863013705</v>
      </c>
    </row>
    <row r="192" spans="1:9">
      <c r="A192" s="548">
        <f t="shared" si="3"/>
        <v>44</v>
      </c>
      <c r="B192" t="s">
        <v>806</v>
      </c>
      <c r="C192" s="542" t="s">
        <v>984</v>
      </c>
      <c r="D192" s="542" t="s">
        <v>929</v>
      </c>
      <c r="E192">
        <v>2</v>
      </c>
      <c r="F192">
        <v>99.692499999999995</v>
      </c>
      <c r="G192">
        <v>0.47734246575342471</v>
      </c>
      <c r="H192">
        <v>1.31</v>
      </c>
      <c r="I192">
        <v>100.16984246575342</v>
      </c>
    </row>
    <row r="193" spans="1:4">
      <c r="A193" s="548"/>
      <c r="D193" s="542"/>
    </row>
  </sheetData>
  <conditionalFormatting sqref="J3:J145">
    <cfRule type="colorScale" priority="6">
      <colorScale>
        <cfvo type="min"/>
        <cfvo type="percentile" val="50"/>
        <cfvo type="max"/>
        <color rgb="FFF8696B"/>
        <color rgb="FFFFEB84"/>
        <color rgb="FF63BE7B"/>
      </colorScale>
    </cfRule>
  </conditionalFormatting>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5" tint="-0.249977111117893"/>
  </sheetPr>
  <dimension ref="A2:Z231"/>
  <sheetViews>
    <sheetView topLeftCell="A208" workbookViewId="0">
      <selection activeCell="D223" sqref="D223:D231"/>
    </sheetView>
  </sheetViews>
  <sheetFormatPr defaultRowHeight="12.75"/>
  <cols>
    <col min="1" max="1" width="12.85546875" style="277" bestFit="1" customWidth="1"/>
    <col min="2" max="2" width="9.140625" style="277"/>
    <col min="3" max="3" width="18" style="277" bestFit="1" customWidth="1"/>
    <col min="4" max="4" width="9.140625" style="277"/>
    <col min="6" max="6" width="20.28515625" bestFit="1" customWidth="1"/>
    <col min="7" max="8" width="12.140625" bestFit="1" customWidth="1"/>
    <col min="9" max="9" width="12.5703125" style="225" bestFit="1" customWidth="1"/>
    <col min="10" max="10" width="10.28515625" style="455" bestFit="1" customWidth="1"/>
    <col min="11" max="11" width="13.140625" style="455" bestFit="1" customWidth="1"/>
    <col min="12" max="17" width="9.140625" style="225"/>
    <col min="18" max="18" width="15.28515625" bestFit="1" customWidth="1"/>
    <col min="19" max="19" width="11.42578125" bestFit="1" customWidth="1"/>
  </cols>
  <sheetData>
    <row r="2" spans="1:26" ht="15">
      <c r="A2" s="219" t="s">
        <v>226</v>
      </c>
      <c r="B2" s="219" t="s">
        <v>227</v>
      </c>
      <c r="C2" s="219"/>
      <c r="D2" s="219"/>
    </row>
    <row r="3" spans="1:26" ht="15">
      <c r="A3" s="219"/>
      <c r="B3" s="219" t="s">
        <v>228</v>
      </c>
      <c r="C3" s="219"/>
      <c r="D3" s="219"/>
    </row>
    <row r="4" spans="1:26" ht="15">
      <c r="A4" s="219"/>
      <c r="B4" s="219" t="s">
        <v>229</v>
      </c>
      <c r="C4" s="219"/>
      <c r="D4" s="219"/>
    </row>
    <row r="5" spans="1:26" ht="15">
      <c r="A5" s="219"/>
      <c r="B5" s="219" t="s">
        <v>230</v>
      </c>
      <c r="C5" s="219"/>
      <c r="D5" s="219"/>
      <c r="F5" s="272"/>
      <c r="G5" s="241"/>
      <c r="H5" s="240"/>
      <c r="I5" s="240"/>
      <c r="J5" s="456"/>
      <c r="K5" s="456"/>
    </row>
    <row r="6" spans="1:26" s="453" customFormat="1" ht="15">
      <c r="A6" s="508" t="s">
        <v>441</v>
      </c>
      <c r="B6" s="508" t="s">
        <v>231</v>
      </c>
      <c r="C6" s="508" t="s">
        <v>232</v>
      </c>
      <c r="D6" s="508" t="s">
        <v>233</v>
      </c>
      <c r="F6" s="454"/>
      <c r="G6" s="452"/>
      <c r="H6" s="240"/>
      <c r="J6" s="457"/>
      <c r="K6" s="456"/>
    </row>
    <row r="7" spans="1:26" ht="15">
      <c r="A7" s="219"/>
      <c r="B7" s="271" t="s">
        <v>234</v>
      </c>
      <c r="C7" s="271" t="s">
        <v>548</v>
      </c>
      <c r="D7" s="657">
        <v>2.0425</v>
      </c>
      <c r="E7" s="219"/>
      <c r="F7" s="273"/>
      <c r="G7" s="241"/>
      <c r="H7" s="241"/>
      <c r="S7" s="225"/>
      <c r="T7" s="225"/>
      <c r="U7" s="225"/>
      <c r="V7" s="225"/>
      <c r="W7" s="225"/>
      <c r="X7" s="225"/>
      <c r="Y7" s="225"/>
      <c r="Z7" s="225"/>
    </row>
    <row r="8" spans="1:26" ht="15">
      <c r="A8" s="219"/>
      <c r="B8" s="271" t="s">
        <v>235</v>
      </c>
      <c r="C8" s="271" t="s">
        <v>549</v>
      </c>
      <c r="D8" s="657">
        <v>1.8342000000000001</v>
      </c>
      <c r="E8" s="219"/>
      <c r="F8" s="273"/>
      <c r="G8" s="241"/>
      <c r="H8" s="241"/>
      <c r="S8" s="225"/>
      <c r="T8" s="225"/>
      <c r="U8" s="225"/>
      <c r="V8" s="225"/>
      <c r="W8" s="225"/>
      <c r="X8" s="225"/>
      <c r="Y8" s="225"/>
      <c r="Z8" s="225"/>
    </row>
    <row r="9" spans="1:26" ht="15">
      <c r="A9" s="219"/>
      <c r="B9" s="271" t="s">
        <v>236</v>
      </c>
      <c r="C9" s="271" t="s">
        <v>550</v>
      </c>
      <c r="D9" s="657">
        <v>1.7703</v>
      </c>
      <c r="E9" s="219"/>
      <c r="F9" s="273"/>
      <c r="G9" s="241"/>
      <c r="H9" s="241"/>
      <c r="J9" s="457"/>
      <c r="K9" s="456"/>
      <c r="S9" s="225"/>
      <c r="T9" s="225"/>
      <c r="U9" s="225"/>
      <c r="V9" s="225"/>
      <c r="W9" s="225"/>
      <c r="X9" s="225"/>
      <c r="Y9" s="225"/>
      <c r="Z9" s="225"/>
    </row>
    <row r="10" spans="1:26" ht="15">
      <c r="A10" s="219"/>
      <c r="B10" s="271" t="s">
        <v>242</v>
      </c>
      <c r="C10" s="271" t="s">
        <v>551</v>
      </c>
      <c r="D10" s="657">
        <v>1.7622</v>
      </c>
      <c r="E10" s="219"/>
      <c r="F10" s="273"/>
      <c r="G10" s="241"/>
      <c r="H10" s="241"/>
      <c r="J10" s="457"/>
      <c r="K10" s="456"/>
      <c r="S10" s="225"/>
      <c r="T10" s="225"/>
      <c r="U10" s="225"/>
      <c r="V10" s="225"/>
      <c r="W10" s="225"/>
      <c r="X10" s="225"/>
      <c r="Y10" s="225"/>
      <c r="Z10" s="225"/>
    </row>
    <row r="11" spans="1:26" ht="15">
      <c r="A11" s="219"/>
      <c r="B11" s="271" t="s">
        <v>237</v>
      </c>
      <c r="C11" s="271" t="s">
        <v>552</v>
      </c>
      <c r="D11" s="657">
        <v>1.7834000000000001</v>
      </c>
      <c r="E11" s="219"/>
      <c r="F11" s="273"/>
      <c r="G11" s="241"/>
      <c r="H11" s="241"/>
      <c r="J11" s="457"/>
      <c r="K11" s="456"/>
      <c r="S11" s="225"/>
      <c r="T11" s="225"/>
      <c r="U11" s="225"/>
      <c r="V11" s="225"/>
      <c r="W11" s="225"/>
      <c r="X11" s="225"/>
      <c r="Y11" s="225"/>
      <c r="Z11" s="225"/>
    </row>
    <row r="12" spans="1:26" ht="15">
      <c r="A12" s="219"/>
      <c r="B12" s="271" t="s">
        <v>243</v>
      </c>
      <c r="C12" s="271" t="s">
        <v>553</v>
      </c>
      <c r="D12" s="657">
        <v>1.8206</v>
      </c>
      <c r="E12" s="219"/>
      <c r="F12" s="273"/>
      <c r="G12" s="241"/>
      <c r="H12" s="241"/>
      <c r="J12" s="457"/>
      <c r="K12" s="456"/>
      <c r="S12" s="225"/>
      <c r="T12" s="225"/>
      <c r="U12" s="225"/>
      <c r="V12" s="225"/>
      <c r="W12" s="225"/>
      <c r="X12" s="225"/>
      <c r="Y12" s="225"/>
      <c r="Z12" s="225"/>
    </row>
    <row r="13" spans="1:26" ht="15">
      <c r="A13" s="219"/>
      <c r="B13" s="271" t="s">
        <v>238</v>
      </c>
      <c r="C13" s="271" t="s">
        <v>554</v>
      </c>
      <c r="D13" s="657">
        <v>1.8601000000000001</v>
      </c>
      <c r="E13" s="219"/>
      <c r="F13" s="273"/>
      <c r="G13" s="241"/>
      <c r="H13" s="241"/>
      <c r="J13" s="457"/>
      <c r="K13" s="456"/>
      <c r="S13" s="225"/>
      <c r="T13" s="225"/>
      <c r="U13" s="225"/>
      <c r="V13" s="225"/>
      <c r="W13" s="225"/>
      <c r="X13" s="225"/>
      <c r="Y13" s="225"/>
      <c r="Z13" s="225"/>
    </row>
    <row r="14" spans="1:26" s="225" customFormat="1" ht="15">
      <c r="A14" s="219"/>
      <c r="B14" s="271" t="s">
        <v>244</v>
      </c>
      <c r="C14" s="271" t="s">
        <v>555</v>
      </c>
      <c r="D14" s="657">
        <v>1.9027000000000001</v>
      </c>
      <c r="E14" s="219"/>
      <c r="F14" s="273"/>
      <c r="G14" s="241"/>
      <c r="H14" s="241"/>
      <c r="J14" s="457"/>
      <c r="K14" s="456"/>
    </row>
    <row r="15" spans="1:26" s="225" customFormat="1" ht="15">
      <c r="A15" s="219"/>
      <c r="B15" s="271" t="s">
        <v>245</v>
      </c>
      <c r="C15" s="271" t="s">
        <v>556</v>
      </c>
      <c r="D15" s="657">
        <v>1.9437</v>
      </c>
      <c r="E15" s="219"/>
      <c r="F15" s="273"/>
      <c r="G15" s="241"/>
      <c r="H15" s="241"/>
      <c r="J15" s="457"/>
      <c r="K15" s="456"/>
    </row>
    <row r="16" spans="1:26" s="225" customFormat="1" ht="15">
      <c r="A16" s="219"/>
      <c r="B16" s="271" t="s">
        <v>239</v>
      </c>
      <c r="C16" s="271" t="s">
        <v>557</v>
      </c>
      <c r="D16" s="657">
        <v>1.9833000000000001</v>
      </c>
      <c r="E16" s="219"/>
      <c r="F16" s="273"/>
      <c r="G16" s="241"/>
      <c r="H16" s="241"/>
      <c r="J16" s="457"/>
      <c r="K16" s="456"/>
    </row>
    <row r="17" spans="1:26" s="225" customFormat="1" ht="15">
      <c r="A17" s="219"/>
      <c r="B17" s="271" t="s">
        <v>517</v>
      </c>
      <c r="C17" s="271" t="s">
        <v>558</v>
      </c>
      <c r="D17" s="657">
        <v>2.0223</v>
      </c>
      <c r="E17" s="219"/>
      <c r="F17" s="273"/>
      <c r="G17" s="241"/>
      <c r="H17" s="241"/>
      <c r="J17" s="457"/>
      <c r="K17" s="456"/>
    </row>
    <row r="18" spans="1:26" s="225" customFormat="1" ht="15">
      <c r="A18" s="219"/>
      <c r="B18" s="271" t="s">
        <v>249</v>
      </c>
      <c r="C18" s="271" t="s">
        <v>559</v>
      </c>
      <c r="D18" s="657">
        <v>2.0550000000000002</v>
      </c>
      <c r="E18" s="219"/>
      <c r="F18" s="273"/>
      <c r="G18" s="241"/>
      <c r="H18" s="241"/>
      <c r="J18" s="457"/>
      <c r="K18" s="456"/>
    </row>
    <row r="19" spans="1:26" s="548" customFormat="1" ht="15">
      <c r="A19" s="219"/>
      <c r="B19" s="553" t="s">
        <v>546</v>
      </c>
      <c r="C19" s="553" t="s">
        <v>560</v>
      </c>
      <c r="D19" s="657">
        <v>2.0830000000000002</v>
      </c>
      <c r="E19" s="219"/>
      <c r="F19" s="273"/>
      <c r="G19" s="241"/>
      <c r="H19" s="241"/>
      <c r="J19" s="457"/>
      <c r="K19" s="456"/>
    </row>
    <row r="20" spans="1:26" s="548" customFormat="1" ht="15">
      <c r="A20" s="219"/>
      <c r="B20" s="553" t="s">
        <v>547</v>
      </c>
      <c r="C20" s="553" t="s">
        <v>561</v>
      </c>
      <c r="D20" s="657">
        <v>2.1080000000000001</v>
      </c>
      <c r="E20" s="219"/>
      <c r="F20" s="273"/>
      <c r="G20" s="241"/>
      <c r="H20" s="241"/>
      <c r="J20" s="457"/>
      <c r="K20" s="456"/>
    </row>
    <row r="21" spans="1:26" s="548" customFormat="1" ht="15">
      <c r="A21" s="219"/>
      <c r="B21" s="271" t="s">
        <v>246</v>
      </c>
      <c r="C21" s="271" t="s">
        <v>562</v>
      </c>
      <c r="D21" s="657">
        <v>2.1284999999999998</v>
      </c>
      <c r="E21" s="219"/>
      <c r="F21" s="273"/>
      <c r="G21" s="241"/>
      <c r="H21" s="241"/>
      <c r="J21" s="457"/>
      <c r="K21" s="456"/>
    </row>
    <row r="22" spans="1:26" s="548" customFormat="1" ht="15">
      <c r="A22" s="219"/>
      <c r="B22" s="553" t="s">
        <v>569</v>
      </c>
      <c r="C22" s="553" t="s">
        <v>563</v>
      </c>
      <c r="D22" s="657">
        <v>2.1475</v>
      </c>
      <c r="E22" s="219"/>
      <c r="F22" s="273"/>
      <c r="G22" s="241"/>
      <c r="H22" s="241"/>
      <c r="J22" s="457"/>
      <c r="K22" s="456"/>
    </row>
    <row r="23" spans="1:26" s="548" customFormat="1" ht="15">
      <c r="A23" s="219"/>
      <c r="B23" s="553" t="s">
        <v>570</v>
      </c>
      <c r="C23" s="553" t="s">
        <v>564</v>
      </c>
      <c r="D23" s="657">
        <v>2.1638000000000002</v>
      </c>
      <c r="E23" s="219"/>
      <c r="F23" s="273"/>
      <c r="G23" s="241"/>
      <c r="H23" s="241"/>
      <c r="J23" s="457"/>
      <c r="K23" s="456"/>
    </row>
    <row r="24" spans="1:26" s="548" customFormat="1" ht="15">
      <c r="A24" s="219"/>
      <c r="B24" s="553" t="s">
        <v>571</v>
      </c>
      <c r="C24" s="553" t="s">
        <v>565</v>
      </c>
      <c r="D24" s="657">
        <v>2.1764999999999999</v>
      </c>
      <c r="E24" s="219"/>
      <c r="F24" s="273"/>
      <c r="G24" s="241"/>
      <c r="H24" s="241"/>
      <c r="J24" s="457"/>
      <c r="K24" s="456"/>
    </row>
    <row r="25" spans="1:26" s="548" customFormat="1" ht="15">
      <c r="A25" s="219"/>
      <c r="B25" s="553" t="s">
        <v>572</v>
      </c>
      <c r="C25" s="554" t="s">
        <v>566</v>
      </c>
      <c r="D25" s="657">
        <v>2.1875</v>
      </c>
      <c r="E25" s="219"/>
      <c r="F25" s="273"/>
      <c r="G25" s="241"/>
      <c r="H25" s="241"/>
      <c r="J25" s="457"/>
      <c r="K25" s="456"/>
    </row>
    <row r="26" spans="1:26" s="225" customFormat="1" ht="15">
      <c r="A26" s="219"/>
      <c r="B26" s="271" t="s">
        <v>247</v>
      </c>
      <c r="C26" s="271" t="s">
        <v>518</v>
      </c>
      <c r="D26" s="657">
        <v>2.1972999999999998</v>
      </c>
      <c r="E26" s="219"/>
      <c r="F26" s="273"/>
      <c r="G26" s="241"/>
      <c r="H26" s="241"/>
      <c r="J26" s="457"/>
      <c r="K26" s="456"/>
    </row>
    <row r="27" spans="1:26" s="225" customFormat="1" ht="15">
      <c r="A27" s="219"/>
      <c r="B27" s="271" t="s">
        <v>250</v>
      </c>
      <c r="C27" s="555" t="s">
        <v>567</v>
      </c>
      <c r="D27" s="657">
        <v>2.2235</v>
      </c>
      <c r="E27" s="219"/>
      <c r="F27" s="273"/>
      <c r="G27" s="241"/>
      <c r="H27" s="241"/>
      <c r="J27" s="457"/>
      <c r="K27" s="456"/>
    </row>
    <row r="28" spans="1:26" s="225" customFormat="1" ht="15">
      <c r="A28" s="219"/>
      <c r="B28" s="271" t="s">
        <v>240</v>
      </c>
      <c r="C28" s="556" t="s">
        <v>568</v>
      </c>
      <c r="D28" s="657">
        <v>2.2332999999999998</v>
      </c>
      <c r="E28" s="219"/>
      <c r="F28" s="273"/>
      <c r="G28" s="241"/>
      <c r="H28" s="241"/>
      <c r="J28" s="457"/>
      <c r="K28" s="456"/>
    </row>
    <row r="29" spans="1:26" ht="15">
      <c r="F29" s="276"/>
      <c r="R29" s="225"/>
      <c r="S29" s="225"/>
      <c r="T29" s="225"/>
      <c r="U29" s="225"/>
      <c r="V29" s="225"/>
      <c r="W29" s="225"/>
      <c r="X29" s="225"/>
      <c r="Y29" s="225"/>
      <c r="Z29" s="225"/>
    </row>
    <row r="30" spans="1:26" ht="15">
      <c r="A30" s="219" t="s">
        <v>131</v>
      </c>
      <c r="B30" s="219" t="s">
        <v>241</v>
      </c>
      <c r="C30" s="219"/>
      <c r="D30" s="219"/>
      <c r="R30" s="225"/>
      <c r="S30" s="225"/>
      <c r="T30" s="225"/>
      <c r="U30" s="225"/>
      <c r="V30" s="225"/>
      <c r="W30" s="225"/>
      <c r="X30" s="225"/>
      <c r="Y30" s="225"/>
      <c r="Z30" s="225"/>
    </row>
    <row r="31" spans="1:26" ht="15">
      <c r="A31" s="219"/>
      <c r="B31" s="219" t="s">
        <v>228</v>
      </c>
      <c r="C31" s="219"/>
      <c r="D31" s="219"/>
      <c r="R31" s="225"/>
      <c r="S31" s="225"/>
      <c r="T31" s="225"/>
      <c r="U31" s="225"/>
      <c r="V31" s="225"/>
      <c r="W31" s="225"/>
      <c r="X31" s="225"/>
      <c r="Y31" s="225"/>
      <c r="Z31" s="225"/>
    </row>
    <row r="32" spans="1:26" ht="15">
      <c r="A32" s="219"/>
      <c r="B32" s="219" t="s">
        <v>229</v>
      </c>
      <c r="C32" s="219"/>
      <c r="D32" s="219"/>
      <c r="R32" s="225"/>
      <c r="S32" s="225"/>
      <c r="T32" s="225"/>
      <c r="U32" s="225"/>
      <c r="V32" s="225"/>
      <c r="W32" s="225"/>
      <c r="X32" s="225"/>
      <c r="Y32" s="225"/>
      <c r="Z32" s="225"/>
    </row>
    <row r="33" spans="1:26" ht="15">
      <c r="A33" s="219"/>
      <c r="B33" s="219" t="s">
        <v>230</v>
      </c>
      <c r="C33" s="219"/>
      <c r="D33" s="219"/>
      <c r="F33" s="272"/>
      <c r="G33" s="241"/>
      <c r="H33" s="240"/>
      <c r="I33" s="240"/>
      <c r="J33" s="456"/>
      <c r="K33" s="456"/>
      <c r="R33" s="225"/>
      <c r="S33" s="225"/>
      <c r="T33" s="225"/>
      <c r="U33" s="225"/>
      <c r="V33" s="225"/>
      <c r="W33" s="225"/>
      <c r="X33" s="225"/>
      <c r="Y33" s="225"/>
      <c r="Z33" s="225"/>
    </row>
    <row r="34" spans="1:26" ht="15">
      <c r="A34" s="219"/>
      <c r="B34" s="219" t="s">
        <v>231</v>
      </c>
      <c r="C34" s="219" t="s">
        <v>232</v>
      </c>
      <c r="D34" s="219" t="s">
        <v>233</v>
      </c>
      <c r="F34" s="273"/>
      <c r="G34" s="274"/>
      <c r="H34" s="275"/>
      <c r="J34" s="458"/>
      <c r="K34" s="456"/>
      <c r="R34" s="225"/>
      <c r="S34" s="225"/>
      <c r="T34" s="225"/>
      <c r="U34" s="225"/>
      <c r="V34" s="225"/>
      <c r="W34" s="225"/>
      <c r="X34" s="225"/>
      <c r="Y34" s="225"/>
      <c r="Z34" s="225"/>
    </row>
    <row r="35" spans="1:26" ht="15">
      <c r="A35" s="219"/>
      <c r="B35" s="560" t="s">
        <v>234</v>
      </c>
      <c r="C35" s="548" t="s">
        <v>681</v>
      </c>
      <c r="D35" s="645">
        <v>-0.46210000000000001</v>
      </c>
      <c r="E35" s="219"/>
      <c r="F35" s="273"/>
      <c r="G35" s="241"/>
      <c r="H35" s="241"/>
      <c r="R35" s="225"/>
      <c r="S35" s="225"/>
      <c r="T35" s="225"/>
      <c r="U35" s="225"/>
      <c r="V35" s="225"/>
      <c r="W35" s="225"/>
      <c r="X35" s="225"/>
      <c r="Y35" s="225"/>
      <c r="Z35" s="225"/>
    </row>
    <row r="36" spans="1:26" ht="15">
      <c r="A36" s="219"/>
      <c r="B36" s="560" t="s">
        <v>235</v>
      </c>
      <c r="C36" s="548" t="s">
        <v>682</v>
      </c>
      <c r="D36" s="645">
        <v>-0.48330000000000001</v>
      </c>
      <c r="E36" s="219"/>
      <c r="F36" s="273"/>
      <c r="G36" s="241"/>
      <c r="H36" s="241"/>
      <c r="R36" s="225"/>
      <c r="S36" s="225"/>
      <c r="T36" s="225"/>
      <c r="U36" s="225"/>
      <c r="V36" s="225"/>
      <c r="W36" s="225"/>
      <c r="X36" s="225"/>
      <c r="Y36" s="225"/>
      <c r="Z36" s="225"/>
    </row>
    <row r="37" spans="1:26" ht="15">
      <c r="A37" s="219"/>
      <c r="B37" s="560" t="s">
        <v>236</v>
      </c>
      <c r="C37" s="548" t="s">
        <v>683</v>
      </c>
      <c r="D37" s="645">
        <v>-0.45739999999999997</v>
      </c>
      <c r="E37" s="219"/>
      <c r="F37" s="273"/>
      <c r="G37" s="241"/>
      <c r="H37" s="241"/>
      <c r="J37" s="457"/>
      <c r="K37" s="456"/>
      <c r="R37" s="225"/>
      <c r="S37" s="225"/>
      <c r="T37" s="225"/>
      <c r="U37" s="225"/>
      <c r="V37" s="225"/>
      <c r="W37" s="225"/>
      <c r="X37" s="225"/>
      <c r="Y37" s="225"/>
      <c r="Z37" s="225"/>
    </row>
    <row r="38" spans="1:26" ht="15">
      <c r="A38" s="219"/>
      <c r="B38" s="560" t="s">
        <v>242</v>
      </c>
      <c r="C38" s="548" t="s">
        <v>684</v>
      </c>
      <c r="D38" s="645">
        <v>-0.40589999999999998</v>
      </c>
      <c r="E38" s="219"/>
      <c r="F38" s="273"/>
      <c r="G38" s="241"/>
      <c r="H38" s="241"/>
      <c r="J38" s="457"/>
      <c r="K38" s="456"/>
      <c r="R38" s="225"/>
      <c r="S38" s="225"/>
      <c r="T38" s="225"/>
      <c r="U38" s="225"/>
      <c r="V38" s="225"/>
      <c r="W38" s="225"/>
      <c r="X38" s="225"/>
      <c r="Y38" s="225"/>
      <c r="Z38" s="225"/>
    </row>
    <row r="39" spans="1:26" ht="15">
      <c r="A39" s="219"/>
      <c r="B39" s="560" t="s">
        <v>237</v>
      </c>
      <c r="C39" s="548" t="s">
        <v>685</v>
      </c>
      <c r="D39" s="645">
        <v>-0.33589999999999998</v>
      </c>
      <c r="E39" s="219"/>
      <c r="F39" s="273"/>
      <c r="G39" s="241"/>
      <c r="H39" s="241"/>
      <c r="J39" s="457"/>
      <c r="K39" s="456"/>
      <c r="R39" s="225"/>
      <c r="S39" s="225"/>
      <c r="T39" s="225"/>
      <c r="U39" s="225"/>
      <c r="V39" s="225"/>
      <c r="W39" s="225"/>
      <c r="X39" s="225"/>
      <c r="Y39" s="225"/>
      <c r="Z39" s="225"/>
    </row>
    <row r="40" spans="1:26" ht="15">
      <c r="A40" s="219"/>
      <c r="B40" s="560" t="s">
        <v>243</v>
      </c>
      <c r="C40" s="548" t="s">
        <v>686</v>
      </c>
      <c r="D40" s="645">
        <v>-0.25530000000000003</v>
      </c>
      <c r="E40" s="219"/>
      <c r="F40" s="273"/>
      <c r="G40" s="241"/>
      <c r="H40" s="241"/>
      <c r="J40" s="457"/>
      <c r="K40" s="456"/>
      <c r="R40" s="225"/>
      <c r="S40" s="225"/>
      <c r="T40" s="225"/>
      <c r="U40" s="225"/>
      <c r="V40" s="225"/>
      <c r="W40" s="225"/>
      <c r="X40" s="225"/>
      <c r="Y40" s="225"/>
      <c r="Z40" s="225"/>
    </row>
    <row r="41" spans="1:26" ht="15">
      <c r="A41" s="219"/>
      <c r="B41" s="560" t="s">
        <v>238</v>
      </c>
      <c r="C41" s="548" t="s">
        <v>687</v>
      </c>
      <c r="D41" s="645">
        <v>-0.1711</v>
      </c>
      <c r="E41" s="219"/>
      <c r="F41" s="273"/>
      <c r="G41" s="241"/>
      <c r="H41" s="241"/>
      <c r="J41" s="457"/>
      <c r="K41" s="456"/>
      <c r="R41" s="225"/>
      <c r="S41" s="225"/>
      <c r="T41" s="225"/>
      <c r="U41" s="225"/>
      <c r="V41" s="225"/>
      <c r="W41" s="225"/>
      <c r="X41" s="225"/>
      <c r="Y41" s="225"/>
      <c r="Z41" s="225"/>
    </row>
    <row r="42" spans="1:26" ht="15">
      <c r="A42" s="219"/>
      <c r="B42" s="560" t="s">
        <v>244</v>
      </c>
      <c r="C42" s="548" t="s">
        <v>688</v>
      </c>
      <c r="D42" s="645">
        <v>-8.2900000000000001E-2</v>
      </c>
      <c r="E42" s="219"/>
      <c r="F42" s="273"/>
      <c r="G42" s="241"/>
      <c r="H42" s="241"/>
      <c r="J42" s="457"/>
      <c r="K42" s="456"/>
      <c r="R42" s="225"/>
      <c r="S42" s="225"/>
      <c r="T42" s="225"/>
      <c r="U42" s="225"/>
      <c r="V42" s="225"/>
      <c r="W42" s="225"/>
      <c r="X42" s="225"/>
      <c r="Y42" s="225"/>
      <c r="Z42" s="225"/>
    </row>
    <row r="43" spans="1:26" ht="15">
      <c r="A43" s="219"/>
      <c r="B43" s="560" t="s">
        <v>245</v>
      </c>
      <c r="C43" s="548" t="s">
        <v>689</v>
      </c>
      <c r="D43" s="645">
        <v>4.4999999999999997E-3</v>
      </c>
      <c r="E43" s="219"/>
      <c r="F43" s="273"/>
      <c r="G43" s="241"/>
      <c r="H43" s="241"/>
      <c r="R43" s="225"/>
      <c r="S43" s="225"/>
      <c r="T43" s="225"/>
      <c r="U43" s="225"/>
      <c r="V43" s="225"/>
      <c r="W43" s="225"/>
      <c r="X43" s="225"/>
      <c r="Y43" s="225"/>
      <c r="Z43" s="225"/>
    </row>
    <row r="44" spans="1:26" ht="15">
      <c r="A44" s="219"/>
      <c r="B44" s="560" t="s">
        <v>239</v>
      </c>
      <c r="C44" s="548" t="s">
        <v>690</v>
      </c>
      <c r="D44" s="645">
        <v>8.7900000000000006E-2</v>
      </c>
      <c r="E44" s="219"/>
      <c r="F44" s="273"/>
      <c r="G44" s="241"/>
      <c r="H44" s="241"/>
      <c r="R44" s="225"/>
      <c r="S44" s="225"/>
      <c r="T44" s="225"/>
      <c r="U44" s="225"/>
      <c r="V44" s="225"/>
      <c r="W44" s="225"/>
      <c r="X44" s="225"/>
      <c r="Y44" s="225"/>
      <c r="Z44" s="225"/>
    </row>
    <row r="45" spans="1:26" ht="15">
      <c r="A45" s="219"/>
      <c r="B45" s="560" t="s">
        <v>517</v>
      </c>
      <c r="C45" s="548" t="s">
        <v>691</v>
      </c>
      <c r="D45" s="645">
        <v>0.16700000000000001</v>
      </c>
      <c r="E45" s="219"/>
      <c r="F45" s="273"/>
      <c r="G45" s="241"/>
      <c r="H45" s="241"/>
      <c r="R45" s="225"/>
      <c r="S45" s="225"/>
      <c r="T45" s="225"/>
      <c r="U45" s="225"/>
      <c r="V45" s="225"/>
      <c r="W45" s="225"/>
      <c r="X45" s="225"/>
      <c r="Y45" s="225"/>
      <c r="Z45" s="225"/>
    </row>
    <row r="46" spans="1:26" ht="15">
      <c r="A46" s="219"/>
      <c r="B46" s="560" t="s">
        <v>249</v>
      </c>
      <c r="C46" s="548" t="s">
        <v>692</v>
      </c>
      <c r="D46" s="645">
        <v>0.24110000000000001</v>
      </c>
      <c r="E46" s="219"/>
      <c r="F46" s="273"/>
      <c r="G46" s="241"/>
      <c r="H46" s="241"/>
      <c r="R46" s="225"/>
      <c r="S46" s="225"/>
      <c r="T46" s="225"/>
      <c r="U46" s="225"/>
      <c r="V46" s="225"/>
      <c r="W46" s="225"/>
      <c r="X46" s="225"/>
      <c r="Y46" s="225"/>
      <c r="Z46" s="225"/>
    </row>
    <row r="47" spans="1:26" ht="15">
      <c r="A47" s="219"/>
      <c r="B47" s="560" t="s">
        <v>546</v>
      </c>
      <c r="C47" s="548" t="s">
        <v>693</v>
      </c>
      <c r="D47" s="645">
        <v>0.3135</v>
      </c>
      <c r="E47" s="219"/>
      <c r="F47" s="273"/>
      <c r="G47" s="241"/>
      <c r="H47" s="241"/>
    </row>
    <row r="48" spans="1:26" ht="15">
      <c r="B48" s="560" t="s">
        <v>547</v>
      </c>
      <c r="C48" s="548" t="s">
        <v>694</v>
      </c>
      <c r="D48" s="645">
        <v>0.37090000000000001</v>
      </c>
      <c r="F48" s="273"/>
    </row>
    <row r="49" spans="1:11" s="548" customFormat="1" ht="15">
      <c r="A49" s="277"/>
      <c r="B49" s="560" t="s">
        <v>246</v>
      </c>
      <c r="C49" s="548" t="s">
        <v>695</v>
      </c>
      <c r="D49" s="645">
        <v>0.42599999999999999</v>
      </c>
      <c r="F49" s="273"/>
      <c r="J49" s="455"/>
      <c r="K49" s="455"/>
    </row>
    <row r="50" spans="1:11" s="548" customFormat="1" ht="15">
      <c r="A50" s="277"/>
      <c r="B50" s="560" t="s">
        <v>569</v>
      </c>
      <c r="C50" s="548" t="s">
        <v>696</v>
      </c>
      <c r="D50" s="645">
        <v>0.47399999999999998</v>
      </c>
      <c r="F50" s="273"/>
      <c r="J50" s="455"/>
      <c r="K50" s="455"/>
    </row>
    <row r="51" spans="1:11" s="548" customFormat="1" ht="15">
      <c r="A51" s="277"/>
      <c r="B51" s="560" t="s">
        <v>570</v>
      </c>
      <c r="C51" s="548" t="s">
        <v>697</v>
      </c>
      <c r="D51" s="645">
        <v>0.51600000000000001</v>
      </c>
      <c r="F51" s="273"/>
      <c r="J51" s="455"/>
      <c r="K51" s="455"/>
    </row>
    <row r="52" spans="1:11" s="548" customFormat="1" ht="15">
      <c r="A52" s="277"/>
      <c r="B52" s="560" t="s">
        <v>571</v>
      </c>
      <c r="C52" s="548" t="s">
        <v>698</v>
      </c>
      <c r="D52" s="645">
        <v>0.55149999999999999</v>
      </c>
      <c r="F52" s="273"/>
      <c r="J52" s="455"/>
      <c r="K52" s="455"/>
    </row>
    <row r="53" spans="1:11" s="548" customFormat="1" ht="15">
      <c r="A53" s="277"/>
      <c r="B53" s="560" t="s">
        <v>572</v>
      </c>
      <c r="C53" s="548" t="s">
        <v>699</v>
      </c>
      <c r="D53" s="645">
        <v>0.58150000000000002</v>
      </c>
      <c r="F53" s="273"/>
      <c r="J53" s="455"/>
      <c r="K53" s="455"/>
    </row>
    <row r="54" spans="1:11" s="548" customFormat="1" ht="15">
      <c r="A54" s="277"/>
      <c r="B54" s="560" t="s">
        <v>247</v>
      </c>
      <c r="C54" s="548" t="s">
        <v>700</v>
      </c>
      <c r="D54" s="645">
        <v>0.60489999999999999</v>
      </c>
      <c r="F54" s="273"/>
      <c r="J54" s="455"/>
      <c r="K54" s="455"/>
    </row>
    <row r="55" spans="1:11" s="548" customFormat="1" ht="15">
      <c r="A55" s="277"/>
      <c r="B55" s="560" t="s">
        <v>573</v>
      </c>
      <c r="C55" s="548" t="s">
        <v>701</v>
      </c>
      <c r="D55" s="645">
        <v>0.62709999999999999</v>
      </c>
      <c r="F55" s="273"/>
      <c r="J55" s="455"/>
      <c r="K55" s="455"/>
    </row>
    <row r="56" spans="1:11" s="548" customFormat="1" ht="15">
      <c r="A56" s="277"/>
      <c r="B56" s="560" t="s">
        <v>574</v>
      </c>
      <c r="C56" s="548" t="s">
        <v>702</v>
      </c>
      <c r="D56" s="645">
        <v>0.64700000000000002</v>
      </c>
      <c r="F56" s="273"/>
      <c r="J56" s="455"/>
      <c r="K56" s="455"/>
    </row>
    <row r="57" spans="1:11" s="548" customFormat="1" ht="15">
      <c r="A57" s="277"/>
      <c r="B57" s="557" t="s">
        <v>575</v>
      </c>
      <c r="C57" s="548" t="s">
        <v>703</v>
      </c>
      <c r="D57" s="645">
        <v>0.66</v>
      </c>
      <c r="F57" s="273"/>
      <c r="J57" s="455"/>
      <c r="K57" s="455"/>
    </row>
    <row r="58" spans="1:11" s="548" customFormat="1" ht="15">
      <c r="A58" s="277"/>
      <c r="B58" s="557" t="s">
        <v>576</v>
      </c>
      <c r="C58" s="548" t="s">
        <v>704</v>
      </c>
      <c r="D58" s="645">
        <v>0.67</v>
      </c>
      <c r="F58" s="273"/>
      <c r="J58" s="455"/>
      <c r="K58" s="455"/>
    </row>
    <row r="59" spans="1:11" s="548" customFormat="1" ht="15">
      <c r="A59" s="277"/>
      <c r="B59" s="557" t="s">
        <v>250</v>
      </c>
      <c r="C59" s="548" t="s">
        <v>705</v>
      </c>
      <c r="D59" s="645">
        <v>0.67490000000000006</v>
      </c>
      <c r="F59" s="273"/>
      <c r="J59" s="455"/>
      <c r="K59" s="455"/>
    </row>
    <row r="60" spans="1:11" s="548" customFormat="1" ht="15">
      <c r="A60" s="277"/>
      <c r="B60" s="557" t="s">
        <v>577</v>
      </c>
      <c r="C60" s="548" t="s">
        <v>706</v>
      </c>
      <c r="D60" s="645">
        <v>0.68500000000000005</v>
      </c>
      <c r="F60" s="273"/>
      <c r="J60" s="455"/>
      <c r="K60" s="455"/>
    </row>
    <row r="61" spans="1:11" s="548" customFormat="1" ht="15">
      <c r="A61" s="277"/>
      <c r="B61" s="557" t="s">
        <v>578</v>
      </c>
      <c r="C61" s="548" t="s">
        <v>707</v>
      </c>
      <c r="D61" s="645">
        <v>0.69</v>
      </c>
      <c r="F61" s="273"/>
      <c r="J61" s="455"/>
      <c r="K61" s="455"/>
    </row>
    <row r="62" spans="1:11" s="548" customFormat="1" ht="15">
      <c r="A62" s="277"/>
      <c r="B62" s="271" t="s">
        <v>579</v>
      </c>
      <c r="C62" s="548" t="s">
        <v>708</v>
      </c>
      <c r="D62" s="645">
        <v>0.69399999999999995</v>
      </c>
      <c r="F62" s="273"/>
      <c r="J62" s="455"/>
      <c r="K62" s="455"/>
    </row>
    <row r="63" spans="1:11" s="548" customFormat="1" ht="15">
      <c r="A63" s="277"/>
      <c r="B63" s="560" t="s">
        <v>580</v>
      </c>
      <c r="C63" s="548" t="s">
        <v>709</v>
      </c>
      <c r="D63" s="645">
        <v>0.69699999999999995</v>
      </c>
      <c r="F63" s="273"/>
      <c r="J63" s="455"/>
      <c r="K63" s="455"/>
    </row>
    <row r="64" spans="1:11" ht="15">
      <c r="B64" s="271" t="s">
        <v>240</v>
      </c>
      <c r="C64" s="548" t="s">
        <v>710</v>
      </c>
      <c r="D64" s="645">
        <v>0.69410000000000005</v>
      </c>
      <c r="F64" s="273"/>
    </row>
    <row r="65" spans="1:11" s="548" customFormat="1" ht="15">
      <c r="A65" s="277"/>
      <c r="B65" s="559"/>
      <c r="C65" s="559"/>
      <c r="D65" s="558"/>
      <c r="F65" s="276"/>
      <c r="J65" s="455"/>
      <c r="K65" s="455"/>
    </row>
    <row r="66" spans="1:11" ht="15">
      <c r="A66" s="219" t="s">
        <v>132</v>
      </c>
      <c r="B66" s="219" t="s">
        <v>248</v>
      </c>
      <c r="C66" s="219"/>
      <c r="D66" s="219"/>
    </row>
    <row r="67" spans="1:11" ht="15">
      <c r="A67" s="219"/>
      <c r="B67" s="219" t="s">
        <v>228</v>
      </c>
      <c r="C67" s="219"/>
      <c r="D67" s="219"/>
    </row>
    <row r="68" spans="1:11" ht="15">
      <c r="A68" s="219"/>
      <c r="B68" s="219" t="s">
        <v>229</v>
      </c>
      <c r="C68" s="219"/>
      <c r="D68" s="219"/>
    </row>
    <row r="69" spans="1:11" ht="15">
      <c r="A69" s="219"/>
      <c r="B69" s="219" t="s">
        <v>230</v>
      </c>
      <c r="C69" s="219"/>
      <c r="D69" s="219"/>
      <c r="F69" s="272"/>
      <c r="G69" s="241"/>
      <c r="H69" s="240"/>
      <c r="I69" s="240"/>
      <c r="J69" s="456"/>
      <c r="K69" s="456"/>
    </row>
    <row r="70" spans="1:11" ht="15">
      <c r="A70" s="219"/>
      <c r="B70" s="219" t="s">
        <v>231</v>
      </c>
      <c r="C70" s="219" t="s">
        <v>232</v>
      </c>
      <c r="D70" s="219" t="s">
        <v>233</v>
      </c>
      <c r="F70" s="273"/>
      <c r="G70" s="274"/>
      <c r="H70" s="275"/>
      <c r="J70" s="458"/>
      <c r="K70" s="456"/>
    </row>
    <row r="71" spans="1:11" ht="15">
      <c r="A71" s="219"/>
      <c r="B71" s="271" t="s">
        <v>234</v>
      </c>
      <c r="C71" s="541" t="s">
        <v>527</v>
      </c>
      <c r="D71" s="646">
        <v>0.8175</v>
      </c>
      <c r="E71" s="219"/>
      <c r="F71" s="273"/>
      <c r="G71" s="241"/>
      <c r="H71" s="241"/>
      <c r="J71" s="457"/>
      <c r="K71" s="456"/>
    </row>
    <row r="72" spans="1:11" ht="15">
      <c r="A72" s="219"/>
      <c r="B72" s="271" t="s">
        <v>235</v>
      </c>
      <c r="C72" s="541" t="s">
        <v>528</v>
      </c>
      <c r="D72" s="646">
        <v>0.77444000000000002</v>
      </c>
      <c r="E72" s="219"/>
      <c r="F72" s="273"/>
      <c r="G72" s="241"/>
      <c r="H72" s="241"/>
      <c r="J72" s="457"/>
      <c r="K72" s="456"/>
    </row>
    <row r="73" spans="1:11" ht="15">
      <c r="A73" s="219"/>
      <c r="B73" s="271" t="s">
        <v>236</v>
      </c>
      <c r="C73" s="541" t="s">
        <v>529</v>
      </c>
      <c r="D73" s="646">
        <v>0.77569999999999995</v>
      </c>
      <c r="E73" s="219"/>
      <c r="F73" s="273"/>
      <c r="G73" s="241"/>
      <c r="H73" s="241"/>
      <c r="J73" s="457"/>
      <c r="K73" s="456"/>
    </row>
    <row r="74" spans="1:11" ht="15">
      <c r="A74" s="219"/>
      <c r="B74" s="271" t="s">
        <v>242</v>
      </c>
      <c r="C74" s="541" t="s">
        <v>530</v>
      </c>
      <c r="D74" s="646">
        <v>0.79469999999999996</v>
      </c>
      <c r="E74" s="219"/>
      <c r="F74" s="273"/>
      <c r="G74" s="241"/>
      <c r="H74" s="241"/>
      <c r="J74" s="457"/>
      <c r="K74" s="456"/>
    </row>
    <row r="75" spans="1:11" ht="15">
      <c r="A75" s="219"/>
      <c r="B75" s="271" t="s">
        <v>237</v>
      </c>
      <c r="C75" s="541" t="s">
        <v>531</v>
      </c>
      <c r="D75" s="646">
        <v>0.82279999999999998</v>
      </c>
      <c r="E75" s="219"/>
      <c r="F75" s="273"/>
      <c r="G75" s="241"/>
      <c r="H75" s="241"/>
      <c r="J75" s="457"/>
      <c r="K75" s="456"/>
    </row>
    <row r="76" spans="1:11" ht="15">
      <c r="A76" s="219"/>
      <c r="B76" s="271" t="s">
        <v>243</v>
      </c>
      <c r="C76" s="541" t="s">
        <v>532</v>
      </c>
      <c r="D76" s="646">
        <v>0.85335000000000005</v>
      </c>
      <c r="E76" s="219"/>
      <c r="F76" s="273"/>
      <c r="G76" s="241"/>
      <c r="H76" s="241"/>
    </row>
    <row r="77" spans="1:11" ht="15">
      <c r="A77" s="219"/>
      <c r="B77" s="271" t="s">
        <v>238</v>
      </c>
      <c r="C77" s="541" t="s">
        <v>533</v>
      </c>
      <c r="D77" s="646">
        <v>0.88536000000000004</v>
      </c>
      <c r="E77" s="219"/>
      <c r="F77" s="273"/>
      <c r="G77" s="241"/>
      <c r="H77" s="241"/>
    </row>
    <row r="78" spans="1:11" ht="15">
      <c r="A78" s="219"/>
      <c r="B78" s="271" t="s">
        <v>244</v>
      </c>
      <c r="C78" s="541" t="s">
        <v>534</v>
      </c>
      <c r="D78" s="646">
        <v>0.91739999999999999</v>
      </c>
      <c r="E78" s="219"/>
      <c r="F78" s="273"/>
      <c r="G78" s="241"/>
      <c r="H78" s="241"/>
    </row>
    <row r="79" spans="1:11" ht="15">
      <c r="A79" s="219"/>
      <c r="B79" s="271" t="s">
        <v>245</v>
      </c>
      <c r="C79" s="541" t="s">
        <v>535</v>
      </c>
      <c r="D79" s="646">
        <v>0.94918999999999998</v>
      </c>
      <c r="E79" s="219"/>
      <c r="F79" s="273"/>
      <c r="G79" s="241"/>
      <c r="H79" s="241"/>
    </row>
    <row r="80" spans="1:11" ht="15">
      <c r="A80" s="219"/>
      <c r="B80" s="271" t="s">
        <v>239</v>
      </c>
      <c r="C80" s="541" t="s">
        <v>536</v>
      </c>
      <c r="D80" s="646">
        <v>0.97960000000000003</v>
      </c>
      <c r="E80" s="219"/>
      <c r="F80" s="273"/>
      <c r="G80" s="241"/>
      <c r="H80" s="241"/>
    </row>
    <row r="81" spans="1:11" ht="15">
      <c r="A81" s="219"/>
      <c r="B81" s="595" t="s">
        <v>517</v>
      </c>
      <c r="C81" s="593" t="s">
        <v>674</v>
      </c>
      <c r="D81" s="646">
        <v>1.0084599999999999</v>
      </c>
      <c r="E81" s="219"/>
      <c r="F81" s="273"/>
      <c r="G81" s="241"/>
      <c r="H81" s="241"/>
    </row>
    <row r="82" spans="1:11" ht="15">
      <c r="A82" s="219"/>
      <c r="B82" s="271" t="s">
        <v>249</v>
      </c>
      <c r="C82" s="594" t="s">
        <v>537</v>
      </c>
      <c r="D82" s="647">
        <v>1.0346500000000001</v>
      </c>
      <c r="E82" s="219"/>
      <c r="F82" s="273"/>
      <c r="G82" s="241"/>
      <c r="H82" s="241"/>
    </row>
    <row r="83" spans="1:11" ht="15">
      <c r="A83" s="219"/>
      <c r="B83" s="602" t="s">
        <v>626</v>
      </c>
      <c r="C83" s="596" t="s">
        <v>675</v>
      </c>
      <c r="D83" s="646">
        <v>1.0565</v>
      </c>
      <c r="E83" s="219"/>
      <c r="F83" s="273"/>
      <c r="G83" s="241"/>
      <c r="H83" s="241"/>
    </row>
    <row r="84" spans="1:11" ht="15">
      <c r="A84" s="219"/>
      <c r="B84" s="602" t="s">
        <v>547</v>
      </c>
      <c r="C84" s="596" t="s">
        <v>676</v>
      </c>
      <c r="D84" s="646">
        <v>1.0775999999999999</v>
      </c>
      <c r="E84" s="219"/>
      <c r="F84" s="273"/>
      <c r="G84" s="241"/>
      <c r="H84" s="241"/>
    </row>
    <row r="85" spans="1:11" ht="15">
      <c r="A85" s="219"/>
      <c r="B85" s="271" t="s">
        <v>246</v>
      </c>
      <c r="C85" s="597" t="s">
        <v>538</v>
      </c>
      <c r="D85" s="646">
        <v>1.09511</v>
      </c>
      <c r="E85" s="219"/>
      <c r="F85" s="273"/>
      <c r="G85" s="241"/>
      <c r="H85" s="241"/>
    </row>
    <row r="86" spans="1:11" s="548" customFormat="1" ht="15">
      <c r="A86" s="219"/>
      <c r="B86" s="602" t="s">
        <v>569</v>
      </c>
      <c r="C86" s="598" t="s">
        <v>677</v>
      </c>
      <c r="D86" s="646">
        <v>1.1099000000000001</v>
      </c>
      <c r="E86" s="219"/>
      <c r="F86" s="273"/>
      <c r="G86" s="241"/>
      <c r="H86" s="241"/>
      <c r="J86" s="455"/>
      <c r="K86" s="455"/>
    </row>
    <row r="87" spans="1:11" s="548" customFormat="1" ht="15">
      <c r="A87" s="219"/>
      <c r="B87" s="560" t="s">
        <v>570</v>
      </c>
      <c r="C87" s="598" t="s">
        <v>678</v>
      </c>
      <c r="D87" s="646">
        <v>1.1225000000000001</v>
      </c>
      <c r="E87" s="219"/>
      <c r="F87" s="273"/>
      <c r="G87" s="241"/>
      <c r="H87" s="241"/>
      <c r="J87" s="455"/>
      <c r="K87" s="455"/>
    </row>
    <row r="88" spans="1:11" s="548" customFormat="1" ht="15">
      <c r="A88" s="219"/>
      <c r="B88" s="560" t="s">
        <v>571</v>
      </c>
      <c r="C88" s="598" t="s">
        <v>679</v>
      </c>
      <c r="D88" s="646">
        <v>1.1335</v>
      </c>
      <c r="E88" s="219"/>
      <c r="F88" s="273"/>
      <c r="G88" s="241"/>
      <c r="H88" s="241"/>
      <c r="J88" s="455"/>
      <c r="K88" s="455"/>
    </row>
    <row r="89" spans="1:11" s="548" customFormat="1" ht="15">
      <c r="A89" s="219"/>
      <c r="B89" s="560" t="s">
        <v>572</v>
      </c>
      <c r="C89" s="598" t="s">
        <v>680</v>
      </c>
      <c r="D89" s="646">
        <v>1.1433</v>
      </c>
      <c r="E89" s="219"/>
      <c r="F89" s="273"/>
      <c r="G89" s="241"/>
      <c r="H89" s="241"/>
      <c r="J89" s="455"/>
      <c r="K89" s="455"/>
    </row>
    <row r="90" spans="1:11" s="548" customFormat="1" ht="15">
      <c r="A90" s="219"/>
      <c r="B90" s="271" t="s">
        <v>247</v>
      </c>
      <c r="C90" s="599" t="s">
        <v>539</v>
      </c>
      <c r="D90" s="646">
        <v>1.15062</v>
      </c>
      <c r="E90" s="219"/>
      <c r="F90" s="273"/>
      <c r="G90" s="241"/>
      <c r="H90" s="241"/>
      <c r="J90" s="455"/>
      <c r="K90" s="455"/>
    </row>
    <row r="91" spans="1:11" s="548" customFormat="1" ht="15">
      <c r="A91" s="219"/>
      <c r="B91" s="271" t="s">
        <v>250</v>
      </c>
      <c r="C91" s="600" t="s">
        <v>540</v>
      </c>
      <c r="D91" s="646">
        <v>1.1672199999999999</v>
      </c>
      <c r="E91" s="219"/>
      <c r="F91" s="273"/>
      <c r="G91" s="241"/>
      <c r="H91" s="241"/>
      <c r="J91" s="455"/>
      <c r="K91" s="455"/>
    </row>
    <row r="92" spans="1:11" s="548" customFormat="1" ht="15">
      <c r="A92" s="219"/>
      <c r="B92" s="271" t="s">
        <v>240</v>
      </c>
      <c r="C92" s="601" t="s">
        <v>543</v>
      </c>
      <c r="D92" s="646">
        <v>1.1716200000000001</v>
      </c>
      <c r="E92" s="219"/>
      <c r="F92" s="273"/>
      <c r="G92" s="241"/>
      <c r="H92" s="241"/>
      <c r="J92" s="455"/>
      <c r="K92" s="455"/>
    </row>
    <row r="93" spans="1:11" ht="15">
      <c r="F93" s="276"/>
    </row>
    <row r="94" spans="1:11" ht="15">
      <c r="A94" s="219" t="s">
        <v>256</v>
      </c>
      <c r="B94" s="219" t="s">
        <v>253</v>
      </c>
      <c r="C94" s="219"/>
      <c r="D94" s="219"/>
    </row>
    <row r="95" spans="1:11" ht="15">
      <c r="A95" s="219"/>
      <c r="B95" s="219" t="s">
        <v>228</v>
      </c>
      <c r="C95" s="219"/>
      <c r="D95" s="219"/>
    </row>
    <row r="96" spans="1:11" ht="15">
      <c r="A96" s="219"/>
      <c r="B96" s="219" t="s">
        <v>229</v>
      </c>
      <c r="C96" s="219"/>
      <c r="D96" s="219"/>
    </row>
    <row r="97" spans="1:11" ht="15">
      <c r="A97" s="219"/>
      <c r="B97" s="219" t="s">
        <v>230</v>
      </c>
      <c r="C97" s="219"/>
      <c r="D97" s="219"/>
      <c r="F97" s="272"/>
      <c r="G97" s="241"/>
      <c r="H97" s="240"/>
      <c r="I97" s="240"/>
      <c r="J97" s="456"/>
      <c r="K97" s="456"/>
    </row>
    <row r="98" spans="1:11" ht="15">
      <c r="A98" s="219"/>
      <c r="B98" s="219" t="s">
        <v>231</v>
      </c>
      <c r="C98" s="219" t="s">
        <v>232</v>
      </c>
      <c r="D98" s="219" t="s">
        <v>233</v>
      </c>
      <c r="F98" s="273"/>
      <c r="G98" s="274"/>
      <c r="H98" s="275"/>
      <c r="J98" s="458"/>
      <c r="K98" s="456"/>
    </row>
    <row r="99" spans="1:11" ht="15">
      <c r="A99" s="219"/>
      <c r="B99" s="271" t="s">
        <v>234</v>
      </c>
      <c r="C99" s="271" t="s">
        <v>611</v>
      </c>
      <c r="D99" s="648">
        <v>-0.85489999999999999</v>
      </c>
      <c r="E99" s="219"/>
      <c r="F99" s="273"/>
      <c r="G99" s="241"/>
      <c r="H99" s="241"/>
      <c r="J99" s="457"/>
      <c r="K99" s="456"/>
    </row>
    <row r="100" spans="1:11" ht="15">
      <c r="A100" s="219"/>
      <c r="B100" s="271" t="s">
        <v>235</v>
      </c>
      <c r="C100" s="271" t="s">
        <v>612</v>
      </c>
      <c r="D100" s="648">
        <v>-0.89</v>
      </c>
      <c r="E100" s="219"/>
      <c r="F100" s="273"/>
      <c r="G100" s="241"/>
      <c r="H100" s="241"/>
      <c r="J100" s="457"/>
      <c r="K100" s="456"/>
    </row>
    <row r="101" spans="1:11" ht="15">
      <c r="A101" s="219"/>
      <c r="B101" s="271" t="s">
        <v>236</v>
      </c>
      <c r="C101" s="271" t="s">
        <v>613</v>
      </c>
      <c r="D101" s="648">
        <v>-0.85499999999999998</v>
      </c>
      <c r="E101" s="219"/>
      <c r="F101" s="273"/>
      <c r="G101" s="241"/>
      <c r="H101" s="241"/>
      <c r="J101" s="457"/>
      <c r="K101" s="456"/>
    </row>
    <row r="102" spans="1:11" ht="15">
      <c r="A102" s="219"/>
      <c r="B102" s="271" t="s">
        <v>242</v>
      </c>
      <c r="C102" s="271" t="s">
        <v>614</v>
      </c>
      <c r="D102" s="648">
        <v>-0.8</v>
      </c>
      <c r="E102" s="219"/>
      <c r="F102" s="273"/>
      <c r="G102" s="241"/>
      <c r="H102" s="241"/>
      <c r="J102" s="457"/>
      <c r="K102" s="456"/>
    </row>
    <row r="103" spans="1:11" ht="15">
      <c r="A103" s="219"/>
      <c r="B103" s="271" t="s">
        <v>237</v>
      </c>
      <c r="C103" s="271" t="s">
        <v>615</v>
      </c>
      <c r="D103" s="648">
        <v>-0.72850000000000004</v>
      </c>
      <c r="E103" s="219"/>
      <c r="F103" s="273"/>
      <c r="G103" s="241"/>
      <c r="H103" s="241"/>
      <c r="J103" s="457"/>
      <c r="K103" s="456"/>
    </row>
    <row r="104" spans="1:11" ht="15">
      <c r="A104" s="219"/>
      <c r="B104" s="271" t="s">
        <v>243</v>
      </c>
      <c r="C104" s="271" t="s">
        <v>616</v>
      </c>
      <c r="D104" s="648">
        <v>-0.65</v>
      </c>
      <c r="E104" s="219"/>
      <c r="F104" s="273"/>
      <c r="G104" s="241"/>
      <c r="H104" s="241"/>
      <c r="J104" s="457"/>
      <c r="K104" s="456"/>
    </row>
    <row r="105" spans="1:11" ht="15">
      <c r="A105" s="219"/>
      <c r="B105" s="271" t="s">
        <v>238</v>
      </c>
      <c r="C105" s="271" t="s">
        <v>617</v>
      </c>
      <c r="D105" s="648">
        <v>-0.56000000000000005</v>
      </c>
      <c r="E105" s="219"/>
      <c r="F105" s="273"/>
      <c r="G105" s="241"/>
      <c r="H105" s="241"/>
    </row>
    <row r="106" spans="1:11" ht="15">
      <c r="A106" s="219"/>
      <c r="B106" s="271" t="s">
        <v>244</v>
      </c>
      <c r="C106" s="271" t="s">
        <v>618</v>
      </c>
      <c r="D106" s="648">
        <v>-0.47499999999999998</v>
      </c>
      <c r="E106" s="219"/>
      <c r="F106" s="273"/>
      <c r="G106" s="241"/>
      <c r="H106" s="241"/>
    </row>
    <row r="107" spans="1:11" ht="15">
      <c r="A107" s="219"/>
      <c r="B107" s="271" t="s">
        <v>245</v>
      </c>
      <c r="C107" s="271" t="s">
        <v>619</v>
      </c>
      <c r="D107" s="648">
        <v>-0.39</v>
      </c>
      <c r="E107" s="219"/>
      <c r="F107" s="273"/>
      <c r="G107" s="241"/>
      <c r="H107" s="241"/>
    </row>
    <row r="108" spans="1:11" ht="15">
      <c r="A108" s="219"/>
      <c r="B108" s="271" t="s">
        <v>239</v>
      </c>
      <c r="C108" s="271" t="s">
        <v>620</v>
      </c>
      <c r="D108" s="648">
        <v>-0.31</v>
      </c>
      <c r="E108" s="219"/>
      <c r="F108" s="273"/>
      <c r="G108" s="241"/>
      <c r="H108" s="241"/>
    </row>
    <row r="109" spans="1:11" s="548" customFormat="1" ht="15">
      <c r="A109" s="219"/>
      <c r="B109" s="576" t="s">
        <v>517</v>
      </c>
      <c r="C109" s="577" t="s">
        <v>621</v>
      </c>
      <c r="D109" s="648">
        <v>-0.23</v>
      </c>
      <c r="E109" s="219"/>
      <c r="F109" s="273"/>
      <c r="G109" s="241"/>
      <c r="H109" s="241"/>
      <c r="J109" s="455"/>
      <c r="K109" s="455"/>
    </row>
    <row r="110" spans="1:11" s="548" customFormat="1" ht="15">
      <c r="A110" s="219"/>
      <c r="B110" s="271" t="s">
        <v>249</v>
      </c>
      <c r="C110" s="578" t="s">
        <v>622</v>
      </c>
      <c r="D110" s="648">
        <v>-0.1525</v>
      </c>
      <c r="E110" s="219"/>
      <c r="F110" s="273"/>
      <c r="G110" s="241"/>
      <c r="H110" s="241"/>
      <c r="J110" s="455"/>
      <c r="K110" s="455"/>
    </row>
    <row r="111" spans="1:11" s="548" customFormat="1" ht="15">
      <c r="A111" s="219"/>
      <c r="B111" s="576" t="s">
        <v>626</v>
      </c>
      <c r="C111" s="579" t="s">
        <v>623</v>
      </c>
      <c r="D111" s="648" t="s">
        <v>830</v>
      </c>
      <c r="E111" s="219"/>
      <c r="F111" s="273"/>
      <c r="G111" s="241"/>
      <c r="H111" s="241"/>
      <c r="J111" s="455"/>
      <c r="K111" s="455"/>
    </row>
    <row r="112" spans="1:11" s="548" customFormat="1" ht="15">
      <c r="A112" s="219"/>
      <c r="B112" s="576" t="s">
        <v>547</v>
      </c>
      <c r="C112" s="579" t="s">
        <v>624</v>
      </c>
      <c r="D112" s="648" t="s">
        <v>830</v>
      </c>
      <c r="E112" s="219"/>
      <c r="F112" s="273"/>
      <c r="G112" s="241"/>
      <c r="H112" s="241"/>
      <c r="J112" s="455"/>
      <c r="K112" s="455"/>
    </row>
    <row r="113" spans="1:11" s="548" customFormat="1" ht="15">
      <c r="A113" s="219"/>
      <c r="B113" s="271" t="s">
        <v>246</v>
      </c>
      <c r="C113" s="580" t="s">
        <v>625</v>
      </c>
      <c r="D113" s="648">
        <v>1.7500000000000002E-2</v>
      </c>
      <c r="E113" s="219"/>
      <c r="F113" s="273"/>
      <c r="G113" s="241"/>
      <c r="H113" s="241"/>
      <c r="J113" s="455"/>
      <c r="K113" s="455"/>
    </row>
    <row r="114" spans="1:11" s="548" customFormat="1" ht="15">
      <c r="A114" s="219"/>
      <c r="B114" s="604" t="s">
        <v>569</v>
      </c>
      <c r="C114" s="605" t="s">
        <v>711</v>
      </c>
      <c r="D114" s="648" t="s">
        <v>830</v>
      </c>
      <c r="E114" s="219"/>
      <c r="F114" s="273"/>
      <c r="G114" s="241"/>
      <c r="H114" s="241"/>
      <c r="J114" s="455"/>
      <c r="K114" s="455"/>
    </row>
    <row r="115" spans="1:11" s="548" customFormat="1" ht="15">
      <c r="A115" s="219"/>
      <c r="B115" s="604" t="s">
        <v>570</v>
      </c>
      <c r="C115" s="605" t="s">
        <v>712</v>
      </c>
      <c r="D115" s="648" t="s">
        <v>830</v>
      </c>
      <c r="E115" s="219"/>
      <c r="F115" s="273"/>
      <c r="G115" s="241"/>
      <c r="H115" s="241"/>
      <c r="J115" s="455"/>
      <c r="K115" s="455"/>
    </row>
    <row r="116" spans="1:11" s="548" customFormat="1" ht="15">
      <c r="A116" s="219"/>
      <c r="B116" s="604" t="s">
        <v>571</v>
      </c>
      <c r="C116" s="605" t="s">
        <v>713</v>
      </c>
      <c r="D116" s="648" t="s">
        <v>830</v>
      </c>
      <c r="E116" s="219"/>
      <c r="F116" s="273"/>
      <c r="G116" s="241"/>
      <c r="H116" s="241"/>
      <c r="J116" s="455"/>
      <c r="K116" s="455"/>
    </row>
    <row r="117" spans="1:11" s="548" customFormat="1" ht="15">
      <c r="A117" s="219"/>
      <c r="B117" s="604" t="s">
        <v>572</v>
      </c>
      <c r="C117" s="605" t="s">
        <v>714</v>
      </c>
      <c r="D117" s="648" t="s">
        <v>830</v>
      </c>
      <c r="E117" s="219"/>
      <c r="F117" s="273"/>
      <c r="G117" s="241"/>
      <c r="H117" s="241"/>
      <c r="J117" s="455"/>
      <c r="K117" s="455"/>
    </row>
    <row r="118" spans="1:11" ht="15">
      <c r="A118" s="219"/>
      <c r="B118" s="271" t="s">
        <v>247</v>
      </c>
      <c r="C118" s="581" t="s">
        <v>627</v>
      </c>
      <c r="D118" s="648">
        <v>0.18</v>
      </c>
      <c r="E118" s="219"/>
      <c r="F118" s="273"/>
      <c r="G118" s="241"/>
      <c r="H118" s="241"/>
    </row>
    <row r="119" spans="1:11" ht="15">
      <c r="A119" s="219"/>
      <c r="B119" s="271" t="s">
        <v>250</v>
      </c>
      <c r="C119" s="582" t="s">
        <v>628</v>
      </c>
      <c r="D119" s="648">
        <v>0.24</v>
      </c>
      <c r="E119" s="219"/>
      <c r="F119" s="273"/>
      <c r="G119" s="241"/>
      <c r="H119" s="241"/>
    </row>
    <row r="120" spans="1:11" ht="15">
      <c r="A120" s="219"/>
      <c r="B120" s="271" t="s">
        <v>240</v>
      </c>
      <c r="C120" s="583" t="s">
        <v>629</v>
      </c>
      <c r="D120" s="648">
        <v>0.255</v>
      </c>
      <c r="E120" s="219"/>
      <c r="F120" s="273"/>
      <c r="G120" s="241"/>
      <c r="H120" s="241"/>
    </row>
    <row r="121" spans="1:11" ht="15">
      <c r="F121" s="276"/>
      <c r="G121" s="241"/>
      <c r="H121" s="241"/>
    </row>
    <row r="122" spans="1:11" ht="15">
      <c r="A122" s="219" t="s">
        <v>134</v>
      </c>
      <c r="B122" s="219" t="s">
        <v>252</v>
      </c>
      <c r="C122" s="219"/>
      <c r="D122" s="219"/>
      <c r="F122" s="276"/>
      <c r="G122" s="241"/>
      <c r="H122" s="241"/>
    </row>
    <row r="123" spans="1:11" ht="15">
      <c r="A123" s="219"/>
      <c r="B123" s="219" t="s">
        <v>228</v>
      </c>
      <c r="C123" s="219"/>
      <c r="D123" s="219"/>
    </row>
    <row r="124" spans="1:11" ht="15">
      <c r="A124" s="219"/>
      <c r="B124" s="219" t="s">
        <v>229</v>
      </c>
      <c r="C124" s="219"/>
      <c r="D124" s="219"/>
    </row>
    <row r="125" spans="1:11" ht="15">
      <c r="A125" s="219"/>
      <c r="B125" s="219" t="s">
        <v>230</v>
      </c>
      <c r="C125" s="219"/>
      <c r="D125" s="219"/>
      <c r="F125" s="272"/>
      <c r="G125" s="241"/>
      <c r="H125" s="240"/>
      <c r="I125" s="240"/>
      <c r="J125" s="456"/>
      <c r="K125" s="456"/>
    </row>
    <row r="126" spans="1:11" ht="15">
      <c r="A126" s="219"/>
      <c r="B126" s="219" t="s">
        <v>231</v>
      </c>
      <c r="C126" s="219" t="s">
        <v>232</v>
      </c>
      <c r="D126" s="219" t="s">
        <v>233</v>
      </c>
      <c r="F126" s="273"/>
      <c r="G126" s="274"/>
      <c r="H126" s="275"/>
      <c r="J126" s="458"/>
      <c r="K126" s="456"/>
    </row>
    <row r="127" spans="1:11" ht="15">
      <c r="A127" s="219"/>
      <c r="B127" s="271" t="s">
        <v>234</v>
      </c>
      <c r="C127" s="567" t="s">
        <v>596</v>
      </c>
      <c r="D127" s="649">
        <v>1.923</v>
      </c>
      <c r="E127" s="219"/>
      <c r="F127" s="273"/>
      <c r="G127" s="241"/>
      <c r="H127" s="241"/>
      <c r="J127" s="457"/>
      <c r="K127" s="456"/>
    </row>
    <row r="128" spans="1:11" ht="15">
      <c r="A128" s="219"/>
      <c r="B128" s="271" t="s">
        <v>235</v>
      </c>
      <c r="C128" s="567" t="s">
        <v>597</v>
      </c>
      <c r="D128" s="649">
        <v>1.7907999999999999</v>
      </c>
      <c r="E128" s="219"/>
      <c r="F128" s="273"/>
      <c r="G128" s="241"/>
      <c r="H128" s="241"/>
      <c r="J128" s="457"/>
      <c r="K128" s="456"/>
    </row>
    <row r="129" spans="1:11" ht="15">
      <c r="A129" s="219"/>
      <c r="B129" s="271" t="s">
        <v>236</v>
      </c>
      <c r="C129" s="567" t="s">
        <v>598</v>
      </c>
      <c r="D129" s="649">
        <v>1.7466999999999999</v>
      </c>
      <c r="E129" s="219"/>
      <c r="F129" s="273"/>
      <c r="G129" s="241"/>
      <c r="H129" s="241"/>
      <c r="J129" s="457"/>
      <c r="K129" s="456"/>
    </row>
    <row r="130" spans="1:11" ht="15">
      <c r="A130" s="219"/>
      <c r="B130" s="271" t="s">
        <v>242</v>
      </c>
      <c r="C130" s="567" t="s">
        <v>599</v>
      </c>
      <c r="D130" s="649">
        <v>1.7273000000000001</v>
      </c>
      <c r="E130" s="219"/>
      <c r="F130" s="273"/>
      <c r="G130" s="241"/>
      <c r="H130" s="241"/>
      <c r="J130" s="457"/>
      <c r="K130" s="456"/>
    </row>
    <row r="131" spans="1:11" ht="15">
      <c r="A131" s="219"/>
      <c r="B131" s="271" t="s">
        <v>237</v>
      </c>
      <c r="C131" s="567" t="s">
        <v>600</v>
      </c>
      <c r="D131" s="649">
        <v>1.728</v>
      </c>
      <c r="E131" s="219"/>
      <c r="F131" s="273"/>
      <c r="G131" s="241"/>
      <c r="H131" s="241"/>
      <c r="J131" s="457"/>
      <c r="K131" s="456"/>
    </row>
    <row r="132" spans="1:11" ht="15">
      <c r="A132" s="219"/>
      <c r="B132" s="271" t="s">
        <v>243</v>
      </c>
      <c r="C132" s="567" t="s">
        <v>601</v>
      </c>
      <c r="D132" s="649">
        <v>1.7454000000000001</v>
      </c>
      <c r="E132" s="219"/>
      <c r="F132" s="273"/>
      <c r="G132" s="241"/>
      <c r="H132" s="241"/>
      <c r="J132" s="457"/>
      <c r="K132" s="456"/>
    </row>
    <row r="133" spans="1:11" ht="15">
      <c r="A133" s="219"/>
      <c r="B133" s="271" t="s">
        <v>238</v>
      </c>
      <c r="C133" s="567" t="s">
        <v>602</v>
      </c>
      <c r="D133" s="649">
        <v>1.7704</v>
      </c>
      <c r="E133" s="219"/>
      <c r="F133" s="273"/>
      <c r="G133" s="241"/>
      <c r="H133" s="241"/>
    </row>
    <row r="134" spans="1:11" ht="15">
      <c r="A134" s="219"/>
      <c r="B134" s="271" t="s">
        <v>244</v>
      </c>
      <c r="C134" s="567" t="s">
        <v>603</v>
      </c>
      <c r="D134" s="649">
        <v>1.8003</v>
      </c>
      <c r="E134" s="219"/>
      <c r="F134" s="273"/>
      <c r="G134" s="241"/>
      <c r="H134" s="241"/>
    </row>
    <row r="135" spans="1:11" ht="15">
      <c r="A135" s="219"/>
      <c r="B135" s="271" t="s">
        <v>245</v>
      </c>
      <c r="C135" s="567" t="s">
        <v>604</v>
      </c>
      <c r="D135" s="649">
        <v>1.8327</v>
      </c>
      <c r="E135" s="219"/>
      <c r="F135" s="273"/>
      <c r="G135" s="241"/>
      <c r="H135" s="241"/>
    </row>
    <row r="136" spans="1:11" ht="15">
      <c r="A136" s="219"/>
      <c r="B136" s="271" t="s">
        <v>239</v>
      </c>
      <c r="C136" s="567" t="s">
        <v>605</v>
      </c>
      <c r="D136" s="649">
        <v>1.8654999999999999</v>
      </c>
      <c r="E136" s="219"/>
      <c r="F136" s="273"/>
      <c r="G136" s="241"/>
      <c r="H136" s="241"/>
    </row>
    <row r="137" spans="1:11" s="548" customFormat="1" ht="15">
      <c r="A137" s="219"/>
      <c r="B137" s="569" t="s">
        <v>249</v>
      </c>
      <c r="C137" s="570" t="s">
        <v>606</v>
      </c>
      <c r="D137" s="649">
        <v>1.9419</v>
      </c>
      <c r="E137" s="219"/>
      <c r="F137" s="273"/>
      <c r="G137" s="241"/>
      <c r="H137" s="241"/>
      <c r="J137" s="455"/>
      <c r="K137" s="455"/>
    </row>
    <row r="138" spans="1:11" s="548" customFormat="1" ht="15">
      <c r="A138" s="219"/>
      <c r="B138" s="568" t="s">
        <v>246</v>
      </c>
      <c r="C138" s="571" t="s">
        <v>607</v>
      </c>
      <c r="D138" s="649">
        <v>2.0369999999999999</v>
      </c>
      <c r="E138" s="219"/>
      <c r="F138" s="273"/>
      <c r="G138" s="241"/>
      <c r="H138" s="241"/>
      <c r="J138" s="455"/>
      <c r="K138" s="455"/>
    </row>
    <row r="139" spans="1:11" ht="15">
      <c r="A139" s="219"/>
      <c r="B139" s="271" t="s">
        <v>247</v>
      </c>
      <c r="C139" s="572" t="s">
        <v>608</v>
      </c>
      <c r="D139" s="649">
        <v>2.1263999999999998</v>
      </c>
      <c r="E139" s="219"/>
      <c r="F139" s="273"/>
      <c r="G139" s="241"/>
      <c r="H139" s="241"/>
    </row>
    <row r="140" spans="1:11" s="548" customFormat="1" ht="15">
      <c r="A140" s="219"/>
      <c r="B140" s="573" t="s">
        <v>250</v>
      </c>
      <c r="C140" s="574" t="s">
        <v>609</v>
      </c>
      <c r="D140" s="649">
        <v>2.1232000000000002</v>
      </c>
      <c r="E140" s="219"/>
      <c r="F140" s="273"/>
      <c r="G140" s="241"/>
      <c r="H140" s="241"/>
      <c r="J140" s="455"/>
      <c r="K140" s="455"/>
    </row>
    <row r="141" spans="1:11" ht="15">
      <c r="A141" s="219"/>
      <c r="B141" s="271" t="s">
        <v>240</v>
      </c>
      <c r="C141" s="575" t="s">
        <v>610</v>
      </c>
      <c r="D141" s="649">
        <v>2.1040000000000001</v>
      </c>
      <c r="E141" s="219"/>
      <c r="F141" s="273"/>
      <c r="G141" s="241"/>
      <c r="H141" s="241"/>
    </row>
    <row r="142" spans="1:11" ht="15">
      <c r="F142" s="276"/>
      <c r="G142" s="241"/>
      <c r="H142" s="241"/>
    </row>
    <row r="143" spans="1:11" ht="15">
      <c r="A143" s="219" t="s">
        <v>143</v>
      </c>
      <c r="B143" s="219" t="s">
        <v>255</v>
      </c>
      <c r="C143" s="219"/>
      <c r="D143" s="219"/>
      <c r="F143" s="276"/>
      <c r="G143" s="241"/>
      <c r="H143" s="241"/>
    </row>
    <row r="144" spans="1:11" ht="15">
      <c r="A144" s="219"/>
      <c r="B144" s="219" t="s">
        <v>228</v>
      </c>
      <c r="C144" s="219"/>
      <c r="D144" s="219"/>
      <c r="F144" s="276"/>
      <c r="G144" s="241"/>
      <c r="H144" s="241"/>
    </row>
    <row r="145" spans="1:11" ht="15">
      <c r="A145" s="219"/>
      <c r="B145" s="219" t="s">
        <v>229</v>
      </c>
      <c r="C145" s="219"/>
      <c r="D145" s="219"/>
    </row>
    <row r="146" spans="1:11" ht="15">
      <c r="A146" s="219"/>
      <c r="B146" s="219" t="s">
        <v>230</v>
      </c>
      <c r="C146" s="219"/>
      <c r="D146" s="219"/>
      <c r="F146" s="272"/>
      <c r="G146" s="241"/>
      <c r="H146" s="240"/>
      <c r="I146" s="240"/>
      <c r="J146" s="456"/>
      <c r="K146" s="456"/>
    </row>
    <row r="147" spans="1:11" ht="15">
      <c r="A147" s="219"/>
      <c r="B147" s="219" t="s">
        <v>231</v>
      </c>
      <c r="C147" s="219" t="s">
        <v>232</v>
      </c>
      <c r="D147" s="219" t="s">
        <v>233</v>
      </c>
      <c r="F147" s="273"/>
      <c r="G147" s="274"/>
      <c r="H147" s="275"/>
      <c r="J147" s="458"/>
      <c r="K147" s="456"/>
    </row>
    <row r="148" spans="1:11" ht="15">
      <c r="A148" s="219"/>
      <c r="B148" s="588" t="s">
        <v>234</v>
      </c>
      <c r="C148" s="271" t="s">
        <v>630</v>
      </c>
      <c r="D148" s="650">
        <v>-6.3750000000000001E-2</v>
      </c>
      <c r="E148" s="219"/>
      <c r="F148" s="273"/>
      <c r="G148" s="241"/>
      <c r="H148" s="241"/>
      <c r="J148" s="457"/>
      <c r="K148" s="456"/>
    </row>
    <row r="149" spans="1:11" ht="15">
      <c r="A149" s="219"/>
      <c r="B149" s="588" t="s">
        <v>235</v>
      </c>
      <c r="C149" s="271" t="s">
        <v>631</v>
      </c>
      <c r="D149" s="650">
        <v>-9.8750000000000004E-2</v>
      </c>
      <c r="E149" s="219"/>
      <c r="F149" s="273"/>
      <c r="G149" s="241"/>
      <c r="H149" s="241"/>
      <c r="J149" s="457"/>
      <c r="K149" s="456"/>
    </row>
    <row r="150" spans="1:11" ht="15">
      <c r="A150" s="219"/>
      <c r="B150" s="588" t="s">
        <v>236</v>
      </c>
      <c r="C150" s="271" t="s">
        <v>632</v>
      </c>
      <c r="D150" s="650">
        <v>-0.115</v>
      </c>
      <c r="E150" s="219"/>
      <c r="F150" s="273"/>
      <c r="G150" s="241"/>
      <c r="H150" s="241"/>
      <c r="J150" s="457"/>
      <c r="K150" s="456"/>
    </row>
    <row r="151" spans="1:11" ht="15">
      <c r="A151" s="219"/>
      <c r="B151" s="588" t="s">
        <v>242</v>
      </c>
      <c r="C151" s="271" t="s">
        <v>633</v>
      </c>
      <c r="D151" s="650">
        <v>-0.115</v>
      </c>
      <c r="E151" s="219"/>
      <c r="F151" s="273"/>
      <c r="G151" s="241"/>
      <c r="H151" s="241"/>
      <c r="J151" s="457"/>
      <c r="K151" s="456"/>
    </row>
    <row r="152" spans="1:11" ht="15">
      <c r="A152" s="219"/>
      <c r="B152" s="588" t="s">
        <v>237</v>
      </c>
      <c r="C152" s="271" t="s">
        <v>634</v>
      </c>
      <c r="D152" s="650">
        <v>-0.10313</v>
      </c>
      <c r="E152" s="219"/>
      <c r="F152" s="273"/>
      <c r="G152" s="241"/>
      <c r="H152" s="241"/>
      <c r="J152" s="457"/>
      <c r="K152" s="456"/>
    </row>
    <row r="153" spans="1:11" ht="15">
      <c r="A153" s="219"/>
      <c r="B153" s="588" t="s">
        <v>243</v>
      </c>
      <c r="C153" s="271" t="s">
        <v>635</v>
      </c>
      <c r="D153" s="650">
        <v>-8.5000000000000006E-2</v>
      </c>
      <c r="E153" s="219"/>
      <c r="F153" s="273"/>
      <c r="G153" s="241"/>
      <c r="H153" s="241"/>
      <c r="J153" s="457"/>
      <c r="K153" s="456"/>
    </row>
    <row r="154" spans="1:11" ht="15">
      <c r="A154" s="219"/>
      <c r="B154" s="588" t="s">
        <v>238</v>
      </c>
      <c r="C154" s="271" t="s">
        <v>636</v>
      </c>
      <c r="D154" s="650">
        <v>-6.003E-2</v>
      </c>
      <c r="E154" s="219"/>
      <c r="F154" s="273"/>
      <c r="G154" s="241"/>
      <c r="H154" s="241"/>
    </row>
    <row r="155" spans="1:11" ht="15">
      <c r="A155" s="219"/>
      <c r="B155" s="588" t="s">
        <v>244</v>
      </c>
      <c r="C155" s="271" t="s">
        <v>637</v>
      </c>
      <c r="D155" s="650">
        <v>-3.125E-2</v>
      </c>
      <c r="E155" s="219"/>
      <c r="F155" s="273"/>
      <c r="G155" s="241"/>
      <c r="H155" s="241"/>
    </row>
    <row r="156" spans="1:11" ht="15">
      <c r="A156" s="219"/>
      <c r="B156" s="588" t="s">
        <v>245</v>
      </c>
      <c r="C156" s="271" t="s">
        <v>638</v>
      </c>
      <c r="D156" s="650">
        <v>1.25E-3</v>
      </c>
      <c r="E156" s="219"/>
      <c r="F156" s="273"/>
      <c r="G156" s="241"/>
      <c r="H156" s="241"/>
    </row>
    <row r="157" spans="1:11" ht="15">
      <c r="A157" s="219"/>
      <c r="B157" s="588" t="s">
        <v>239</v>
      </c>
      <c r="C157" s="271" t="s">
        <v>639</v>
      </c>
      <c r="D157" s="650">
        <v>3.5000000000000003E-2</v>
      </c>
      <c r="E157" s="219"/>
      <c r="F157" s="273"/>
      <c r="G157" s="241"/>
      <c r="H157" s="241"/>
    </row>
    <row r="158" spans="1:11" ht="15">
      <c r="A158" s="219"/>
      <c r="B158" s="588" t="s">
        <v>517</v>
      </c>
      <c r="C158" s="277" t="s">
        <v>640</v>
      </c>
      <c r="D158" s="650">
        <v>6.8750000000000006E-2</v>
      </c>
      <c r="E158" s="219"/>
      <c r="F158" s="273"/>
      <c r="G158" s="241"/>
      <c r="H158" s="241"/>
    </row>
    <row r="159" spans="1:11" ht="15">
      <c r="A159" s="219"/>
      <c r="B159" s="588" t="s">
        <v>249</v>
      </c>
      <c r="C159" s="277" t="s">
        <v>641</v>
      </c>
      <c r="D159" s="650">
        <v>0.10125000000000001</v>
      </c>
      <c r="E159" s="219"/>
      <c r="F159" s="273"/>
      <c r="G159" s="241"/>
      <c r="H159" s="241"/>
    </row>
    <row r="160" spans="1:11" ht="15">
      <c r="A160" s="219"/>
      <c r="B160" s="588" t="s">
        <v>546</v>
      </c>
      <c r="C160" s="277" t="s">
        <v>642</v>
      </c>
      <c r="D160" s="650">
        <v>0.13250000000000001</v>
      </c>
      <c r="E160" s="219"/>
      <c r="F160" s="273"/>
      <c r="G160" s="241"/>
      <c r="H160" s="241"/>
    </row>
    <row r="161" spans="1:11" s="548" customFormat="1" ht="15">
      <c r="A161" s="219"/>
      <c r="B161" s="588" t="s">
        <v>547</v>
      </c>
      <c r="C161" s="584" t="s">
        <v>643</v>
      </c>
      <c r="D161" s="650">
        <v>0.16500000000000001</v>
      </c>
      <c r="E161" s="219"/>
      <c r="F161" s="273"/>
      <c r="G161" s="241"/>
      <c r="H161" s="241"/>
      <c r="J161" s="455"/>
      <c r="K161" s="455"/>
    </row>
    <row r="162" spans="1:11" s="548" customFormat="1" ht="15">
      <c r="A162" s="219"/>
      <c r="B162" s="588" t="s">
        <v>246</v>
      </c>
      <c r="C162" s="271" t="s">
        <v>644</v>
      </c>
      <c r="D162" s="650">
        <v>0.19625000000000001</v>
      </c>
      <c r="E162" s="219"/>
      <c r="F162" s="273"/>
      <c r="G162" s="241"/>
      <c r="H162" s="241"/>
      <c r="J162" s="455"/>
      <c r="K162" s="455"/>
    </row>
    <row r="163" spans="1:11" s="548" customFormat="1" ht="15">
      <c r="A163" s="219"/>
      <c r="B163" s="588" t="s">
        <v>569</v>
      </c>
      <c r="C163" s="548" t="s">
        <v>645</v>
      </c>
      <c r="D163" s="650">
        <v>0.21024999999999999</v>
      </c>
      <c r="E163" s="219"/>
      <c r="F163" s="273"/>
      <c r="G163" s="241"/>
      <c r="H163" s="241"/>
      <c r="J163" s="455"/>
      <c r="K163" s="455"/>
    </row>
    <row r="164" spans="1:11" s="548" customFormat="1" ht="15">
      <c r="A164" s="219"/>
      <c r="B164" s="588" t="s">
        <v>570</v>
      </c>
      <c r="C164" s="548" t="s">
        <v>646</v>
      </c>
      <c r="D164" s="650">
        <v>0.23549999999999999</v>
      </c>
      <c r="E164" s="219"/>
      <c r="F164" s="273"/>
      <c r="G164" s="241"/>
      <c r="H164" s="241"/>
      <c r="J164" s="455"/>
      <c r="K164" s="455"/>
    </row>
    <row r="165" spans="1:11" s="548" customFormat="1" ht="15">
      <c r="A165" s="219"/>
      <c r="B165" s="588" t="s">
        <v>571</v>
      </c>
      <c r="C165" s="548" t="s">
        <v>647</v>
      </c>
      <c r="D165" s="650">
        <v>0.26874999999999999</v>
      </c>
      <c r="E165" s="219"/>
      <c r="F165" s="273"/>
      <c r="G165" s="241"/>
      <c r="H165" s="241"/>
      <c r="J165" s="455"/>
      <c r="K165" s="455"/>
    </row>
    <row r="166" spans="1:11" s="548" customFormat="1" ht="15">
      <c r="A166" s="219"/>
      <c r="B166" s="588" t="s">
        <v>572</v>
      </c>
      <c r="C166" s="584" t="s">
        <v>648</v>
      </c>
      <c r="D166" s="650">
        <v>0.27975</v>
      </c>
      <c r="E166" s="219"/>
      <c r="F166" s="273"/>
      <c r="G166" s="241"/>
      <c r="H166" s="241"/>
      <c r="J166" s="455"/>
      <c r="K166" s="455"/>
    </row>
    <row r="167" spans="1:11" s="548" customFormat="1" ht="15">
      <c r="A167" s="219"/>
      <c r="B167" s="588" t="s">
        <v>247</v>
      </c>
      <c r="C167" s="585" t="s">
        <v>649</v>
      </c>
      <c r="D167" s="650">
        <v>0.3175</v>
      </c>
      <c r="E167" s="219"/>
      <c r="F167" s="273"/>
      <c r="G167" s="241"/>
      <c r="H167" s="241"/>
      <c r="J167" s="455"/>
      <c r="K167" s="455"/>
    </row>
    <row r="168" spans="1:11" s="548" customFormat="1" ht="15">
      <c r="A168" s="219"/>
      <c r="B168" s="588" t="s">
        <v>573</v>
      </c>
      <c r="C168" s="584" t="s">
        <v>650</v>
      </c>
      <c r="D168" s="650" t="s">
        <v>830</v>
      </c>
      <c r="E168" s="219"/>
      <c r="F168" s="273"/>
      <c r="G168" s="241"/>
      <c r="H168" s="241"/>
      <c r="J168" s="455"/>
      <c r="K168" s="455"/>
    </row>
    <row r="169" spans="1:11" s="548" customFormat="1" ht="15">
      <c r="A169" s="219"/>
      <c r="B169" s="588" t="s">
        <v>574</v>
      </c>
      <c r="C169" s="584" t="s">
        <v>651</v>
      </c>
      <c r="D169" s="650" t="s">
        <v>830</v>
      </c>
      <c r="E169" s="219"/>
      <c r="F169" s="273"/>
      <c r="G169" s="241"/>
      <c r="H169" s="241"/>
      <c r="J169" s="455"/>
      <c r="K169" s="455"/>
    </row>
    <row r="170" spans="1:11" s="548" customFormat="1" ht="15">
      <c r="A170" s="219"/>
      <c r="B170" s="588" t="s">
        <v>575</v>
      </c>
      <c r="C170" s="548" t="s">
        <v>652</v>
      </c>
      <c r="D170" s="650" t="s">
        <v>830</v>
      </c>
      <c r="E170" s="219"/>
      <c r="F170" s="273"/>
      <c r="G170" s="241"/>
      <c r="H170" s="241"/>
      <c r="J170" s="455"/>
      <c r="K170" s="455"/>
    </row>
    <row r="171" spans="1:11" s="548" customFormat="1" ht="15">
      <c r="A171" s="219"/>
      <c r="B171" s="588" t="s">
        <v>576</v>
      </c>
      <c r="C171" s="586" t="s">
        <v>653</v>
      </c>
      <c r="D171" s="650" t="s">
        <v>830</v>
      </c>
      <c r="E171" s="219"/>
      <c r="F171" s="273"/>
      <c r="G171" s="241"/>
      <c r="H171" s="241"/>
      <c r="J171" s="455"/>
      <c r="K171" s="455"/>
    </row>
    <row r="172" spans="1:11" s="548" customFormat="1" ht="15">
      <c r="A172" s="219"/>
      <c r="B172" s="588" t="s">
        <v>250</v>
      </c>
      <c r="C172" s="586" t="s">
        <v>654</v>
      </c>
      <c r="D172" s="650">
        <v>0.38874999999999998</v>
      </c>
      <c r="E172" s="219"/>
      <c r="F172" s="273"/>
      <c r="G172" s="241"/>
      <c r="H172" s="241"/>
      <c r="J172" s="455"/>
      <c r="K172" s="455"/>
    </row>
    <row r="173" spans="1:11" s="548" customFormat="1" ht="15">
      <c r="A173" s="219"/>
      <c r="B173" s="588" t="s">
        <v>577</v>
      </c>
      <c r="C173" s="586" t="s">
        <v>655</v>
      </c>
      <c r="D173" s="650" t="s">
        <v>830</v>
      </c>
      <c r="E173" s="219"/>
      <c r="F173" s="273"/>
      <c r="G173" s="241"/>
      <c r="H173" s="241"/>
      <c r="J173" s="455"/>
      <c r="K173" s="455"/>
    </row>
    <row r="174" spans="1:11" s="548" customFormat="1" ht="15">
      <c r="A174" s="219"/>
      <c r="B174" s="588" t="s">
        <v>578</v>
      </c>
      <c r="C174" s="586" t="s">
        <v>656</v>
      </c>
      <c r="D174" s="650" t="s">
        <v>830</v>
      </c>
      <c r="E174" s="219"/>
      <c r="F174" s="273"/>
      <c r="G174" s="241"/>
      <c r="H174" s="241"/>
      <c r="J174" s="455"/>
      <c r="K174" s="455"/>
    </row>
    <row r="175" spans="1:11" s="548" customFormat="1" ht="15">
      <c r="A175" s="219"/>
      <c r="B175" s="588" t="s">
        <v>579</v>
      </c>
      <c r="C175" s="587" t="s">
        <v>657</v>
      </c>
      <c r="D175" s="650" t="s">
        <v>830</v>
      </c>
      <c r="E175" s="219"/>
      <c r="F175" s="273"/>
      <c r="G175" s="241"/>
      <c r="H175" s="241"/>
      <c r="J175" s="455"/>
      <c r="K175" s="455"/>
    </row>
    <row r="176" spans="1:11" s="548" customFormat="1" ht="15">
      <c r="A176" s="219"/>
      <c r="B176" s="588" t="s">
        <v>580</v>
      </c>
      <c r="C176" s="587" t="s">
        <v>658</v>
      </c>
      <c r="D176" s="650" t="s">
        <v>830</v>
      </c>
      <c r="E176" s="219"/>
      <c r="F176" s="273"/>
      <c r="G176" s="241"/>
      <c r="H176" s="241"/>
      <c r="J176" s="455"/>
      <c r="K176" s="455"/>
    </row>
    <row r="177" spans="1:11" s="548" customFormat="1" ht="15">
      <c r="A177" s="219"/>
      <c r="B177" s="588" t="s">
        <v>240</v>
      </c>
      <c r="C177" s="587" t="s">
        <v>659</v>
      </c>
      <c r="D177" s="650">
        <v>0.43375000000000002</v>
      </c>
      <c r="E177" s="219"/>
      <c r="F177" s="273"/>
      <c r="G177" s="241"/>
      <c r="H177" s="241"/>
      <c r="J177" s="455"/>
      <c r="K177" s="455"/>
    </row>
    <row r="178" spans="1:11" ht="15">
      <c r="F178" s="276"/>
    </row>
    <row r="179" spans="1:11" ht="15">
      <c r="A179" s="219" t="s">
        <v>135</v>
      </c>
      <c r="B179" s="219" t="s">
        <v>251</v>
      </c>
      <c r="C179" s="219"/>
      <c r="D179" s="219"/>
    </row>
    <row r="180" spans="1:11" ht="15">
      <c r="A180" s="219"/>
      <c r="B180" s="219" t="s">
        <v>228</v>
      </c>
      <c r="C180" s="219"/>
      <c r="D180" s="219"/>
    </row>
    <row r="181" spans="1:11" ht="15">
      <c r="A181" s="219"/>
      <c r="B181" s="219" t="s">
        <v>229</v>
      </c>
      <c r="C181" s="219"/>
      <c r="D181" s="219"/>
    </row>
    <row r="182" spans="1:11" ht="15">
      <c r="A182" s="219"/>
      <c r="B182" s="219" t="s">
        <v>230</v>
      </c>
      <c r="C182" s="219"/>
      <c r="D182" s="219"/>
      <c r="F182" s="272"/>
      <c r="G182" s="241"/>
      <c r="H182" s="240"/>
      <c r="I182" s="240"/>
      <c r="J182" s="456"/>
      <c r="K182" s="456"/>
    </row>
    <row r="183" spans="1:11" ht="15">
      <c r="A183" s="219"/>
      <c r="B183" s="219" t="s">
        <v>231</v>
      </c>
      <c r="C183" s="219" t="s">
        <v>232</v>
      </c>
      <c r="D183" s="219" t="s">
        <v>233</v>
      </c>
      <c r="F183" s="273"/>
      <c r="G183" s="274"/>
      <c r="H183" s="275"/>
      <c r="J183" s="458"/>
      <c r="K183" s="456"/>
    </row>
    <row r="184" spans="1:11" ht="15">
      <c r="A184" s="219"/>
      <c r="B184" s="271" t="s">
        <v>234</v>
      </c>
      <c r="C184" s="271" t="s">
        <v>581</v>
      </c>
      <c r="D184" s="651">
        <v>1.10917</v>
      </c>
      <c r="E184" s="219"/>
      <c r="F184" s="273"/>
      <c r="G184" s="241"/>
      <c r="H184" s="241"/>
    </row>
    <row r="185" spans="1:11" ht="15">
      <c r="A185" s="219"/>
      <c r="B185" s="271" t="s">
        <v>235</v>
      </c>
      <c r="C185" s="271" t="s">
        <v>582</v>
      </c>
      <c r="D185" s="651">
        <v>1.0680499999999999</v>
      </c>
      <c r="E185" s="219"/>
      <c r="F185" s="273"/>
      <c r="G185" s="241"/>
      <c r="H185" s="241"/>
      <c r="J185" s="457"/>
      <c r="K185" s="456"/>
    </row>
    <row r="186" spans="1:11" ht="15">
      <c r="A186" s="219"/>
      <c r="B186" s="271" t="s">
        <v>236</v>
      </c>
      <c r="C186" s="271" t="s">
        <v>583</v>
      </c>
      <c r="D186" s="651">
        <v>1.0890599999999999</v>
      </c>
      <c r="E186" s="219"/>
      <c r="F186" s="273"/>
      <c r="G186" s="241"/>
      <c r="H186" s="241"/>
      <c r="J186" s="457"/>
      <c r="K186" s="456"/>
    </row>
    <row r="187" spans="1:11" ht="15">
      <c r="A187" s="219"/>
      <c r="B187" s="271" t="s">
        <v>242</v>
      </c>
      <c r="C187" s="271" t="s">
        <v>584</v>
      </c>
      <c r="D187" s="651">
        <v>1.141</v>
      </c>
      <c r="E187" s="219"/>
      <c r="F187" s="273"/>
      <c r="G187" s="241"/>
      <c r="H187" s="241"/>
      <c r="J187" s="457"/>
      <c r="K187" s="456"/>
    </row>
    <row r="188" spans="1:11" ht="15">
      <c r="A188" s="219"/>
      <c r="B188" s="271" t="s">
        <v>237</v>
      </c>
      <c r="C188" s="271" t="s">
        <v>585</v>
      </c>
      <c r="D188" s="651">
        <v>1.206</v>
      </c>
      <c r="E188" s="219"/>
      <c r="F188" s="273"/>
      <c r="G188" s="241"/>
      <c r="H188" s="241"/>
      <c r="J188" s="457"/>
      <c r="K188" s="456"/>
    </row>
    <row r="189" spans="1:11" ht="15">
      <c r="A189" s="219"/>
      <c r="B189" s="271" t="s">
        <v>243</v>
      </c>
      <c r="C189" s="271" t="s">
        <v>586</v>
      </c>
      <c r="D189" s="651">
        <v>1.2809999999999999</v>
      </c>
      <c r="E189" s="219"/>
      <c r="F189" s="273"/>
      <c r="G189" s="241"/>
      <c r="H189" s="241"/>
      <c r="J189" s="457"/>
      <c r="K189" s="456"/>
    </row>
    <row r="190" spans="1:11" ht="15">
      <c r="A190" s="219"/>
      <c r="B190" s="271" t="s">
        <v>238</v>
      </c>
      <c r="C190" s="271" t="s">
        <v>587</v>
      </c>
      <c r="D190" s="651">
        <v>1.36</v>
      </c>
      <c r="E190" s="219"/>
      <c r="F190" s="273"/>
      <c r="G190" s="241"/>
      <c r="H190" s="241"/>
      <c r="J190" s="457"/>
      <c r="K190" s="456"/>
    </row>
    <row r="191" spans="1:11" ht="15">
      <c r="A191" s="219"/>
      <c r="B191" s="271" t="s">
        <v>244</v>
      </c>
      <c r="C191" s="271" t="s">
        <v>588</v>
      </c>
      <c r="D191" s="651">
        <v>1.4359999999999999</v>
      </c>
      <c r="E191" s="219"/>
      <c r="F191" s="273"/>
      <c r="G191" s="241"/>
      <c r="H191" s="241"/>
    </row>
    <row r="192" spans="1:11" ht="15">
      <c r="A192" s="219"/>
      <c r="B192" s="271" t="s">
        <v>245</v>
      </c>
      <c r="C192" s="271" t="s">
        <v>589</v>
      </c>
      <c r="D192" s="651">
        <v>1.5049999999999999</v>
      </c>
      <c r="E192" s="219"/>
      <c r="F192" s="273"/>
      <c r="G192" s="241"/>
      <c r="H192" s="241"/>
    </row>
    <row r="193" spans="1:11" ht="15">
      <c r="A193" s="219"/>
      <c r="B193" s="271" t="s">
        <v>239</v>
      </c>
      <c r="C193" s="271" t="s">
        <v>590</v>
      </c>
      <c r="D193" s="651">
        <v>1.5674999999999999</v>
      </c>
      <c r="E193" s="219"/>
      <c r="F193" s="273"/>
      <c r="G193" s="241"/>
      <c r="H193" s="241"/>
    </row>
    <row r="194" spans="1:11" s="548" customFormat="1" ht="15">
      <c r="A194" s="219"/>
      <c r="B194" s="561" t="s">
        <v>249</v>
      </c>
      <c r="C194" s="562" t="s">
        <v>591</v>
      </c>
      <c r="D194" s="651">
        <v>1.6850000000000001</v>
      </c>
      <c r="E194" s="219"/>
      <c r="F194" s="273"/>
      <c r="G194" s="241"/>
      <c r="H194" s="241"/>
      <c r="J194" s="455"/>
      <c r="K194" s="455"/>
    </row>
    <row r="195" spans="1:11" ht="15">
      <c r="A195" s="219"/>
      <c r="B195" s="271" t="s">
        <v>246</v>
      </c>
      <c r="C195" s="563" t="s">
        <v>592</v>
      </c>
      <c r="D195" s="651">
        <v>1.8214999999999999</v>
      </c>
      <c r="E195" s="219"/>
      <c r="F195" s="273"/>
      <c r="G195" s="241"/>
      <c r="H195" s="241"/>
    </row>
    <row r="196" spans="1:11" ht="15">
      <c r="A196" s="219"/>
      <c r="B196" s="271" t="s">
        <v>247</v>
      </c>
      <c r="C196" s="564" t="s">
        <v>593</v>
      </c>
      <c r="D196" s="651">
        <v>1.94</v>
      </c>
      <c r="E196" s="219"/>
      <c r="F196" s="273"/>
      <c r="G196" s="241"/>
      <c r="H196" s="241"/>
    </row>
    <row r="197" spans="1:11" s="225" customFormat="1" ht="15">
      <c r="A197" s="219"/>
      <c r="B197" s="271" t="s">
        <v>250</v>
      </c>
      <c r="C197" s="565" t="s">
        <v>594</v>
      </c>
      <c r="D197" s="651">
        <v>1.9962500000000001</v>
      </c>
      <c r="E197" s="219"/>
      <c r="F197" s="273"/>
      <c r="G197" s="241"/>
      <c r="H197" s="241"/>
      <c r="J197" s="455"/>
      <c r="K197" s="455"/>
    </row>
    <row r="198" spans="1:11" s="225" customFormat="1" ht="15">
      <c r="A198" s="219"/>
      <c r="B198" s="271" t="s">
        <v>240</v>
      </c>
      <c r="C198" s="566" t="s">
        <v>595</v>
      </c>
      <c r="D198" s="651">
        <v>1.9950000000000001</v>
      </c>
      <c r="E198" s="219"/>
      <c r="F198" s="273"/>
      <c r="G198" s="241"/>
      <c r="H198" s="241"/>
      <c r="J198" s="455"/>
      <c r="K198" s="455"/>
    </row>
    <row r="199" spans="1:11" s="225" customFormat="1" ht="15">
      <c r="A199" s="219"/>
      <c r="B199" s="271"/>
      <c r="C199" s="271"/>
      <c r="D199" s="271"/>
      <c r="E199" s="219"/>
      <c r="F199" s="276"/>
      <c r="G199" s="241"/>
      <c r="H199" s="241"/>
      <c r="J199" s="455"/>
      <c r="K199" s="455"/>
    </row>
    <row r="200" spans="1:11" ht="15">
      <c r="A200" s="219" t="s">
        <v>136</v>
      </c>
      <c r="B200" s="219" t="s">
        <v>254</v>
      </c>
      <c r="C200" s="219"/>
      <c r="D200" s="219"/>
    </row>
    <row r="201" spans="1:11" ht="15">
      <c r="A201" s="219"/>
      <c r="B201" s="219" t="s">
        <v>228</v>
      </c>
      <c r="C201" s="219"/>
      <c r="D201" s="219"/>
    </row>
    <row r="202" spans="1:11" ht="15">
      <c r="A202" s="219"/>
      <c r="B202" s="219" t="s">
        <v>229</v>
      </c>
      <c r="C202" s="219"/>
      <c r="D202" s="219"/>
    </row>
    <row r="203" spans="1:11" ht="15">
      <c r="A203" s="219"/>
      <c r="B203" s="219" t="s">
        <v>230</v>
      </c>
      <c r="C203" s="219"/>
      <c r="D203" s="219"/>
      <c r="F203" s="272"/>
      <c r="G203" s="241"/>
      <c r="H203" s="240"/>
      <c r="I203" s="240"/>
      <c r="J203" s="456"/>
      <c r="K203" s="456"/>
    </row>
    <row r="204" spans="1:11" ht="15">
      <c r="A204" s="219"/>
      <c r="B204" s="219" t="s">
        <v>231</v>
      </c>
      <c r="C204" s="219" t="s">
        <v>232</v>
      </c>
      <c r="D204" s="219" t="s">
        <v>233</v>
      </c>
      <c r="F204" s="273"/>
      <c r="G204" s="274"/>
      <c r="H204" s="275"/>
      <c r="J204" s="458"/>
      <c r="K204" s="456"/>
    </row>
    <row r="205" spans="1:11" s="277" customFormat="1" ht="15">
      <c r="B205" s="271" t="s">
        <v>234</v>
      </c>
      <c r="C205" s="271" t="s">
        <v>660</v>
      </c>
      <c r="D205" s="652">
        <v>1.4013</v>
      </c>
      <c r="J205" s="455"/>
      <c r="K205" s="455"/>
    </row>
    <row r="206" spans="1:11" s="277" customFormat="1" ht="15">
      <c r="B206" s="271" t="s">
        <v>235</v>
      </c>
      <c r="C206" s="271" t="s">
        <v>661</v>
      </c>
      <c r="D206" s="652">
        <v>1.3325</v>
      </c>
      <c r="J206" s="455"/>
      <c r="K206" s="455"/>
    </row>
    <row r="207" spans="1:11" ht="15">
      <c r="B207" s="277" t="s">
        <v>236</v>
      </c>
      <c r="C207" s="277" t="s">
        <v>662</v>
      </c>
      <c r="D207" s="652">
        <v>1.3404</v>
      </c>
      <c r="F207" s="277"/>
    </row>
    <row r="208" spans="1:11" ht="15">
      <c r="B208" s="277" t="s">
        <v>242</v>
      </c>
      <c r="C208" s="277" t="s">
        <v>663</v>
      </c>
      <c r="D208" s="652">
        <v>1.3733</v>
      </c>
      <c r="F208" s="277"/>
    </row>
    <row r="209" spans="1:6" ht="15">
      <c r="B209" s="277" t="s">
        <v>237</v>
      </c>
      <c r="C209" s="277" t="s">
        <v>664</v>
      </c>
      <c r="D209" s="652">
        <v>1.4275</v>
      </c>
      <c r="F209" s="277"/>
    </row>
    <row r="210" spans="1:6" ht="15">
      <c r="B210" s="277" t="s">
        <v>243</v>
      </c>
      <c r="C210" s="277" t="s">
        <v>665</v>
      </c>
      <c r="D210" s="652">
        <v>1.4972000000000001</v>
      </c>
      <c r="F210" s="277"/>
    </row>
    <row r="211" spans="1:6" ht="15">
      <c r="B211" s="277" t="s">
        <v>238</v>
      </c>
      <c r="C211" s="277" t="s">
        <v>666</v>
      </c>
      <c r="D211" s="652">
        <v>1.5725</v>
      </c>
      <c r="F211" s="277"/>
    </row>
    <row r="212" spans="1:6" ht="15">
      <c r="B212" s="277" t="s">
        <v>244</v>
      </c>
      <c r="C212" s="277" t="s">
        <v>667</v>
      </c>
      <c r="D212" s="652">
        <v>1.6465000000000001</v>
      </c>
      <c r="F212" s="277"/>
    </row>
    <row r="213" spans="1:6" ht="15">
      <c r="B213" s="277" t="s">
        <v>245</v>
      </c>
      <c r="C213" s="277" t="s">
        <v>668</v>
      </c>
      <c r="D213" s="652">
        <v>1.7163999999999999</v>
      </c>
      <c r="F213" s="277"/>
    </row>
    <row r="214" spans="1:6" ht="15">
      <c r="B214" s="277" t="s">
        <v>239</v>
      </c>
      <c r="C214" s="277" t="s">
        <v>669</v>
      </c>
      <c r="D214" s="652">
        <v>1.7825</v>
      </c>
      <c r="F214" s="277"/>
    </row>
    <row r="215" spans="1:6" ht="15">
      <c r="B215" s="277" t="s">
        <v>249</v>
      </c>
      <c r="C215" s="589" t="s">
        <v>670</v>
      </c>
      <c r="D215" s="652">
        <v>1.905</v>
      </c>
      <c r="F215" s="277"/>
    </row>
    <row r="216" spans="1:6" ht="15">
      <c r="B216" s="277" t="s">
        <v>246</v>
      </c>
      <c r="C216" s="590" t="s">
        <v>671</v>
      </c>
      <c r="D216" s="652">
        <v>2.0425</v>
      </c>
      <c r="F216" s="277"/>
    </row>
    <row r="217" spans="1:6" ht="15">
      <c r="B217" s="277" t="s">
        <v>247</v>
      </c>
      <c r="C217" s="591" t="s">
        <v>672</v>
      </c>
      <c r="D217" s="652">
        <v>2.2025000000000001</v>
      </c>
      <c r="F217" s="277"/>
    </row>
    <row r="218" spans="1:6" ht="15">
      <c r="B218" s="277" t="s">
        <v>250</v>
      </c>
      <c r="C218" s="592" t="s">
        <v>673</v>
      </c>
      <c r="D218" s="652">
        <v>2.2974999999999999</v>
      </c>
      <c r="F218" s="277"/>
    </row>
    <row r="219" spans="1:6" ht="15">
      <c r="B219" s="277" t="s">
        <v>240</v>
      </c>
      <c r="C219" s="634" t="s">
        <v>753</v>
      </c>
      <c r="D219" s="652">
        <v>2.3574999999999999</v>
      </c>
      <c r="F219" s="277"/>
    </row>
    <row r="221" spans="1:6">
      <c r="A221" s="277" t="s">
        <v>763</v>
      </c>
    </row>
    <row r="222" spans="1:6">
      <c r="D222" s="277" t="s">
        <v>817</v>
      </c>
    </row>
    <row r="223" spans="1:6">
      <c r="B223" s="277">
        <v>1</v>
      </c>
      <c r="C223" s="277" t="s">
        <v>818</v>
      </c>
      <c r="D223" s="277">
        <v>2.0550000000000002</v>
      </c>
    </row>
    <row r="224" spans="1:6">
      <c r="B224" s="277">
        <v>2</v>
      </c>
      <c r="C224" s="277" t="s">
        <v>819</v>
      </c>
      <c r="D224" s="277">
        <v>1.8174999999999999</v>
      </c>
    </row>
    <row r="225" spans="2:4">
      <c r="B225" s="277">
        <v>3</v>
      </c>
      <c r="C225" s="277" t="s">
        <v>820</v>
      </c>
      <c r="D225" s="277">
        <v>1.74</v>
      </c>
    </row>
    <row r="226" spans="2:4">
      <c r="B226" s="277">
        <v>4</v>
      </c>
      <c r="C226" s="277" t="s">
        <v>821</v>
      </c>
      <c r="D226" s="277">
        <v>1.7250000000000001</v>
      </c>
    </row>
    <row r="227" spans="2:4">
      <c r="B227" s="277">
        <v>5</v>
      </c>
      <c r="C227" s="277" t="s">
        <v>822</v>
      </c>
      <c r="D227" s="277">
        <v>1.73</v>
      </c>
    </row>
    <row r="228" spans="2:4">
      <c r="B228" s="277">
        <v>7</v>
      </c>
      <c r="C228" s="277" t="s">
        <v>823</v>
      </c>
      <c r="D228" s="277">
        <v>1.7725</v>
      </c>
    </row>
    <row r="229" spans="2:4">
      <c r="B229" s="277">
        <v>10</v>
      </c>
      <c r="C229" s="277" t="s">
        <v>824</v>
      </c>
      <c r="D229" s="277">
        <v>1.875</v>
      </c>
    </row>
    <row r="230" spans="2:4">
      <c r="B230" s="277">
        <v>12</v>
      </c>
      <c r="C230" s="277" t="s">
        <v>825</v>
      </c>
      <c r="D230" s="277">
        <v>1.93</v>
      </c>
    </row>
    <row r="231" spans="2:4">
      <c r="B231" s="277">
        <v>15</v>
      </c>
      <c r="C231" s="277" t="s">
        <v>826</v>
      </c>
      <c r="D231" s="277">
        <v>2.0074999999999998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theme="5" tint="-0.249977111117893"/>
  </sheetPr>
  <dimension ref="A1:AR104"/>
  <sheetViews>
    <sheetView topLeftCell="W1" zoomScaleNormal="100" workbookViewId="0">
      <selection activeCell="AP15" sqref="AP15"/>
    </sheetView>
  </sheetViews>
  <sheetFormatPr defaultRowHeight="12.75"/>
  <cols>
    <col min="1" max="1" width="16" style="234" bestFit="1" customWidth="1"/>
    <col min="2" max="2" width="13.140625" style="234" bestFit="1" customWidth="1"/>
    <col min="3" max="3" width="9.140625" style="234"/>
    <col min="4" max="4" width="12.5703125" style="234" bestFit="1" customWidth="1"/>
    <col min="5" max="18" width="12" style="234" customWidth="1"/>
    <col min="19" max="19" width="10.140625" style="234" bestFit="1" customWidth="1"/>
    <col min="20" max="23" width="12" style="234" customWidth="1"/>
    <col min="24" max="24" width="10.140625" style="234" bestFit="1" customWidth="1"/>
    <col min="25" max="28" width="12" style="234" customWidth="1"/>
    <col min="29" max="29" width="10.140625" style="234" bestFit="1" customWidth="1"/>
    <col min="30" max="33" width="9.140625" style="234"/>
    <col min="34" max="34" width="10.140625" style="234" bestFit="1" customWidth="1"/>
    <col min="35" max="38" width="9.140625" style="234"/>
    <col min="39" max="39" width="10.140625" style="234" bestFit="1" customWidth="1"/>
    <col min="40" max="40" width="9.140625" style="279"/>
    <col min="41" max="43" width="9.140625" style="234"/>
    <col min="44" max="44" width="10.140625" style="234" bestFit="1" customWidth="1"/>
    <col min="45" max="16384" width="9.140625" style="234"/>
  </cols>
  <sheetData>
    <row r="1" spans="1:44">
      <c r="A1" s="279" t="s">
        <v>454</v>
      </c>
      <c r="B1" s="279">
        <f>'Instructions &amp; Dashboard'!$D$41/10000</f>
        <v>1E-3</v>
      </c>
      <c r="E1" s="279"/>
      <c r="J1" s="279"/>
      <c r="O1" s="279"/>
      <c r="T1" s="279"/>
      <c r="Y1" s="279"/>
      <c r="AD1" s="279"/>
      <c r="AI1" s="279"/>
    </row>
    <row r="2" spans="1:44">
      <c r="E2" s="279"/>
      <c r="J2" s="279"/>
      <c r="O2" s="279"/>
      <c r="T2" s="279"/>
      <c r="Y2" s="279"/>
      <c r="AD2" s="279"/>
      <c r="AI2" s="279"/>
    </row>
    <row r="3" spans="1:44">
      <c r="A3" s="234" t="s">
        <v>450</v>
      </c>
      <c r="E3" s="279"/>
      <c r="F3" s="234" t="s">
        <v>131</v>
      </c>
      <c r="J3" s="279"/>
      <c r="K3" s="234" t="s">
        <v>447</v>
      </c>
      <c r="O3" s="279"/>
      <c r="P3" s="234" t="s">
        <v>448</v>
      </c>
      <c r="T3" s="279"/>
      <c r="U3" s="234" t="s">
        <v>449</v>
      </c>
      <c r="Y3" s="279"/>
      <c r="Z3" s="234" t="s">
        <v>451</v>
      </c>
      <c r="AD3" s="279"/>
      <c r="AE3" s="234" t="s">
        <v>452</v>
      </c>
      <c r="AI3" s="279"/>
      <c r="AJ3" s="234" t="s">
        <v>453</v>
      </c>
      <c r="AO3" s="234" t="s">
        <v>827</v>
      </c>
    </row>
    <row r="4" spans="1:44" s="235" customFormat="1">
      <c r="A4" s="278" t="s">
        <v>359</v>
      </c>
      <c r="B4" s="278" t="s">
        <v>358</v>
      </c>
      <c r="C4" s="278" t="s">
        <v>357</v>
      </c>
      <c r="D4" s="278" t="s">
        <v>356</v>
      </c>
      <c r="E4" s="280"/>
      <c r="F4" s="278" t="s">
        <v>359</v>
      </c>
      <c r="G4" s="278" t="s">
        <v>358</v>
      </c>
      <c r="H4" s="278" t="s">
        <v>357</v>
      </c>
      <c r="I4" s="278" t="s">
        <v>356</v>
      </c>
      <c r="J4" s="280"/>
      <c r="K4" s="278" t="s">
        <v>359</v>
      </c>
      <c r="L4" s="278" t="s">
        <v>358</v>
      </c>
      <c r="M4" s="278" t="s">
        <v>357</v>
      </c>
      <c r="N4" s="278" t="s">
        <v>356</v>
      </c>
      <c r="O4" s="280"/>
      <c r="P4" s="278" t="s">
        <v>359</v>
      </c>
      <c r="Q4" s="278" t="s">
        <v>358</v>
      </c>
      <c r="R4" s="278" t="s">
        <v>357</v>
      </c>
      <c r="S4" s="278" t="s">
        <v>356</v>
      </c>
      <c r="T4" s="280"/>
      <c r="U4" s="278" t="s">
        <v>359</v>
      </c>
      <c r="V4" s="278" t="s">
        <v>358</v>
      </c>
      <c r="W4" s="278" t="s">
        <v>357</v>
      </c>
      <c r="X4" s="278" t="s">
        <v>356</v>
      </c>
      <c r="Y4" s="280"/>
      <c r="Z4" s="278" t="s">
        <v>359</v>
      </c>
      <c r="AA4" s="278" t="s">
        <v>358</v>
      </c>
      <c r="AB4" s="278" t="s">
        <v>357</v>
      </c>
      <c r="AC4" s="278" t="s">
        <v>356</v>
      </c>
      <c r="AD4" s="282"/>
      <c r="AE4" s="278" t="s">
        <v>359</v>
      </c>
      <c r="AF4" s="278" t="s">
        <v>358</v>
      </c>
      <c r="AG4" s="278" t="s">
        <v>357</v>
      </c>
      <c r="AH4" s="278" t="s">
        <v>356</v>
      </c>
      <c r="AI4" s="282"/>
      <c r="AJ4" s="278" t="s">
        <v>359</v>
      </c>
      <c r="AK4" s="278" t="s">
        <v>358</v>
      </c>
      <c r="AL4" s="278" t="s">
        <v>357</v>
      </c>
      <c r="AM4" s="278" t="s">
        <v>356</v>
      </c>
      <c r="AN4" s="282"/>
      <c r="AO4" s="278" t="s">
        <v>359</v>
      </c>
      <c r="AP4" s="278" t="s">
        <v>358</v>
      </c>
      <c r="AQ4" s="278" t="s">
        <v>357</v>
      </c>
      <c r="AR4" s="278" t="s">
        <v>356</v>
      </c>
    </row>
    <row r="5" spans="1:44">
      <c r="A5" s="235">
        <f>'Interpolations USD'!I23</f>
        <v>1</v>
      </c>
      <c r="B5" s="487">
        <f>'Interpolations USD'!R23-$B$1</f>
        <v>1.9817497675295387E-3</v>
      </c>
      <c r="C5" s="236">
        <v>1</v>
      </c>
      <c r="D5" s="237">
        <f>cubic_spline($A$5:$A$39,$B$5:$B$39,C5)</f>
        <v>1.981749664992094E-3</v>
      </c>
      <c r="E5" s="279"/>
      <c r="F5" s="235">
        <f>A5</f>
        <v>1</v>
      </c>
      <c r="G5" s="487">
        <f>'Interpolations Euro'!R22-$B$1</f>
        <v>1.7135549155700173E-3</v>
      </c>
      <c r="H5" s="236">
        <v>1</v>
      </c>
      <c r="I5" s="237">
        <f>cubic_spline($F$5:$F$39,$G$5:$G$39,H5)</f>
        <v>1.7135549569502473E-3</v>
      </c>
      <c r="J5" s="279"/>
      <c r="K5" s="235">
        <f>A5</f>
        <v>1</v>
      </c>
      <c r="L5" s="487">
        <f>'Interpolations GBP'!R22-$B$1</f>
        <v>5.927756358779018E-4</v>
      </c>
      <c r="M5" s="236">
        <v>1</v>
      </c>
      <c r="N5" s="237">
        <f>cubic_spline($K$5:$K$39,$L$5:$L$39,M5)</f>
        <v>5.9277564287185669E-4</v>
      </c>
      <c r="O5" s="281"/>
      <c r="P5" s="235">
        <f>A5</f>
        <v>1</v>
      </c>
      <c r="Q5" s="487">
        <f>'Interpolations CHF'!R22-$B$1</f>
        <v>3.5646095265799331E-3</v>
      </c>
      <c r="R5" s="236">
        <v>1</v>
      </c>
      <c r="S5" s="237">
        <f>cubic_spline($P$5:$P$39,$Q$5:$Q$39,R5)</f>
        <v>3.5646094474941492E-3</v>
      </c>
      <c r="T5" s="281"/>
      <c r="U5" s="235">
        <f>A5</f>
        <v>1</v>
      </c>
      <c r="V5" s="487">
        <f>'Interpolations CAD'!R22-$B$1</f>
        <v>4.5553913009803411E-3</v>
      </c>
      <c r="W5" s="236">
        <v>1</v>
      </c>
      <c r="X5" s="237">
        <f>cubic_spline($U$5:$U$39,$V$5:$V$39,W5)</f>
        <v>4.5553911477327347E-3</v>
      </c>
      <c r="Y5" s="281"/>
      <c r="Z5" s="235">
        <f>A5</f>
        <v>1</v>
      </c>
      <c r="AA5" s="487">
        <f>'Interpolations JPY'!R22-$B$1</f>
        <v>1.4366432903487611E-4</v>
      </c>
      <c r="AB5" s="236">
        <v>1</v>
      </c>
      <c r="AC5" s="237">
        <f>cubic_spline($Z$5:$Z$39,$AA$5:$AA$39,AB5)</f>
        <v>1.4366433606483042E-4</v>
      </c>
      <c r="AD5" s="279"/>
      <c r="AE5" s="235">
        <f>A5</f>
        <v>1</v>
      </c>
      <c r="AF5" s="487">
        <f>'Interpolations AUD'!R22-$B$1</f>
        <v>4.2315328043537447E-4</v>
      </c>
      <c r="AG5" s="236">
        <v>1</v>
      </c>
      <c r="AH5" s="237">
        <f>cubic_spline($AE$5:$AE$39,$AF$5:$AF$39,AG5)</f>
        <v>4.2315328028053045E-4</v>
      </c>
      <c r="AI5" s="279"/>
      <c r="AJ5" s="235">
        <f>A5</f>
        <v>1</v>
      </c>
      <c r="AK5" s="487">
        <f>'Interpolations NZD'!R22-$B$1</f>
        <v>1.8046081820936838E-2</v>
      </c>
      <c r="AL5" s="236">
        <v>1</v>
      </c>
      <c r="AM5" s="237">
        <f>cubic_spline($AJ$5:$AJ$39,$AK$5:$AK$39,AL5)</f>
        <v>1.8046081066131592E-2</v>
      </c>
      <c r="AO5" s="234">
        <f>A5</f>
        <v>1</v>
      </c>
      <c r="AP5" s="487">
        <f>'Interpolations HKD'!R22-$B$1</f>
        <v>1.8225661296910412E-3</v>
      </c>
      <c r="AQ5" s="236">
        <v>1</v>
      </c>
      <c r="AR5" s="237">
        <f>cubic_spline($AO$5:$AO$39,$AP$5:$AP$39,AQ5)</f>
        <v>1.8225661478936672E-3</v>
      </c>
    </row>
    <row r="6" spans="1:44">
      <c r="A6" s="235">
        <f>'Interpolations USD'!I24</f>
        <v>2</v>
      </c>
      <c r="B6" s="487">
        <f>'Interpolations USD'!R24-$B$1</f>
        <v>-2.733408510933585E-4</v>
      </c>
      <c r="C6" s="236">
        <v>2</v>
      </c>
      <c r="D6" s="237">
        <f t="shared" ref="D6:D69" si="0">cubic_spline($A$5:$A$39,$B$5:$B$39,C6)</f>
        <v>-2.7334084734320641E-4</v>
      </c>
      <c r="E6" s="279"/>
      <c r="F6" s="235">
        <f>A6</f>
        <v>2</v>
      </c>
      <c r="G6" s="487">
        <f>'Interpolations Euro'!R23-$B$1</f>
        <v>1.8622916625540978E-3</v>
      </c>
      <c r="H6" s="236">
        <v>2</v>
      </c>
      <c r="I6" s="237">
        <f t="shared" ref="I6:I69" si="1">cubic_spline($F$5:$F$39,$G$5:$G$39,H6)</f>
        <v>1.8622917123138905E-3</v>
      </c>
      <c r="J6" s="279"/>
      <c r="K6" s="235">
        <f t="shared" ref="K6:K35" si="2">A6</f>
        <v>2</v>
      </c>
      <c r="L6" s="487">
        <f>'Interpolations GBP'!R23-$B$1</f>
        <v>1.2055118706343279E-3</v>
      </c>
      <c r="M6" s="236">
        <v>2</v>
      </c>
      <c r="N6" s="237">
        <f t="shared" ref="N6:N69" si="3">cubic_spline($K$5:$K$39,$L$5:$L$39,M6)</f>
        <v>1.2055118568241596E-3</v>
      </c>
      <c r="O6" s="279"/>
      <c r="P6" s="235">
        <f t="shared" ref="P6:P39" si="4">A6</f>
        <v>2</v>
      </c>
      <c r="Q6" s="487">
        <f>'Interpolations CHF'!R23-$B$1</f>
        <v>2.0918083926958044E-3</v>
      </c>
      <c r="R6" s="236">
        <v>2</v>
      </c>
      <c r="S6" s="237">
        <f t="shared" ref="S6:S69" si="5">cubic_spline($P$5:$P$39,$Q$5:$Q$39,R6)</f>
        <v>2.0918084774166346E-3</v>
      </c>
      <c r="T6" s="279"/>
      <c r="U6" s="235">
        <f t="shared" ref="U6:U39" si="6">A6</f>
        <v>2</v>
      </c>
      <c r="V6" s="487">
        <f>'Interpolations CAD'!R23-$B$1</f>
        <v>3.0256884330834314E-3</v>
      </c>
      <c r="W6" s="236">
        <v>2</v>
      </c>
      <c r="X6" s="237">
        <f t="shared" ref="X6:X69" si="7">cubic_spline($U$5:$U$39,$V$5:$V$39,W6)</f>
        <v>3.0256884638220072E-3</v>
      </c>
      <c r="Y6" s="279"/>
      <c r="Z6" s="235">
        <f t="shared" ref="Z6:Z39" si="8">A6</f>
        <v>2</v>
      </c>
      <c r="AA6" s="487">
        <f>'Interpolations JPY'!R23-$B$1</f>
        <v>2.3132471989009869E-4</v>
      </c>
      <c r="AB6" s="236">
        <v>2</v>
      </c>
      <c r="AC6" s="237">
        <f t="shared" ref="AC6:AC69" si="9">cubic_spline($Z$5:$Z$39,$AA$5:$AA$39,AB6)</f>
        <v>2.3132472415454686E-4</v>
      </c>
      <c r="AD6" s="279"/>
      <c r="AE6" s="235">
        <f t="shared" ref="AE6:AE39" si="10">A6</f>
        <v>2</v>
      </c>
      <c r="AF6" s="487">
        <f>'Interpolations AUD'!R23-$B$1</f>
        <v>3.7257296289089099E-4</v>
      </c>
      <c r="AG6" s="236">
        <v>2</v>
      </c>
      <c r="AH6" s="237">
        <f t="shared" ref="AH6:AH69" si="11">cubic_spline($AE$5:$AE$39,$AF$5:$AF$39,AG6)</f>
        <v>3.7257297663018107E-4</v>
      </c>
      <c r="AI6" s="279"/>
      <c r="AJ6" s="235">
        <f t="shared" ref="AJ6:AJ39" si="12">A6</f>
        <v>2</v>
      </c>
      <c r="AK6" s="487">
        <f>'Interpolations NZD'!R23-$B$1</f>
        <v>3.9134601429399826E-2</v>
      </c>
      <c r="AL6" s="236">
        <v>2</v>
      </c>
      <c r="AM6" s="237">
        <f t="shared" ref="AM6:AM69" si="13">cubic_spline($AJ$5:$AJ$39,$AK$5:$AK$39,AL6)</f>
        <v>3.913460299372673E-2</v>
      </c>
      <c r="AO6" s="234">
        <f t="shared" ref="AO6:AO39" si="14">A6</f>
        <v>2</v>
      </c>
      <c r="AP6" s="487">
        <f>'Interpolations HKD'!R23-$B$1</f>
        <v>8.1405637809452234E-4</v>
      </c>
      <c r="AQ6" s="236">
        <v>2</v>
      </c>
      <c r="AR6" s="237">
        <f t="shared" ref="AR6:AR69" si="15">cubic_spline($AO$5:$AO$39,$AP$5:$AP$39,AQ6)</f>
        <v>8.1405637320131063E-4</v>
      </c>
    </row>
    <row r="7" spans="1:44">
      <c r="A7" s="235">
        <f>'Interpolations USD'!I25</f>
        <v>3</v>
      </c>
      <c r="B7" s="487">
        <f>'Interpolations USD'!R25-$B$1</f>
        <v>-1.1067719719995974E-3</v>
      </c>
      <c r="C7" s="236">
        <f>C6+1</f>
        <v>3</v>
      </c>
      <c r="D7" s="237">
        <f t="shared" si="0"/>
        <v>-1.1067719897255301E-3</v>
      </c>
      <c r="E7" s="279"/>
      <c r="F7" s="235">
        <f t="shared" ref="F7:F39" si="16">A7</f>
        <v>3</v>
      </c>
      <c r="G7" s="487">
        <f>'Interpolations Euro'!R24-$B$1</f>
        <v>2.0937662558701926E-3</v>
      </c>
      <c r="H7" s="236">
        <f>H6+1</f>
        <v>3</v>
      </c>
      <c r="I7" s="237">
        <f t="shared" si="1"/>
        <v>2.0937663502991199E-3</v>
      </c>
      <c r="J7" s="279"/>
      <c r="K7" s="235">
        <f t="shared" si="2"/>
        <v>3</v>
      </c>
      <c r="L7" s="487">
        <f>'Interpolations GBP'!R24-$B$1</f>
        <v>1.7028945806433172E-3</v>
      </c>
      <c r="M7" s="236">
        <f>M6+1</f>
        <v>3</v>
      </c>
      <c r="N7" s="237">
        <f t="shared" si="3"/>
        <v>1.7028945730999112E-3</v>
      </c>
      <c r="O7" s="279"/>
      <c r="P7" s="235">
        <f t="shared" si="4"/>
        <v>3</v>
      </c>
      <c r="Q7" s="487">
        <f>'Interpolations CHF'!R24-$B$1</f>
        <v>1.3734913664430149E-3</v>
      </c>
      <c r="R7" s="236">
        <f>R6+1</f>
        <v>3</v>
      </c>
      <c r="S7" s="237">
        <f t="shared" si="5"/>
        <v>1.3734913663938642E-3</v>
      </c>
      <c r="T7" s="279"/>
      <c r="U7" s="235">
        <f t="shared" si="6"/>
        <v>3</v>
      </c>
      <c r="V7" s="487">
        <f>'Interpolations CAD'!R24-$B$1</f>
        <v>2.3985786701378161E-3</v>
      </c>
      <c r="W7" s="236">
        <f>W6+1</f>
        <v>3</v>
      </c>
      <c r="X7" s="237">
        <f t="shared" si="7"/>
        <v>2.3985786829143763E-3</v>
      </c>
      <c r="Y7" s="279"/>
      <c r="Z7" s="235">
        <f t="shared" si="8"/>
        <v>3</v>
      </c>
      <c r="AA7" s="487">
        <f>'Interpolations JPY'!R24-$B$1</f>
        <v>3.3497504001743072E-4</v>
      </c>
      <c r="AB7" s="236">
        <f>AB6+1</f>
        <v>3</v>
      </c>
      <c r="AC7" s="237">
        <f t="shared" si="9"/>
        <v>3.3497504773549736E-4</v>
      </c>
      <c r="AD7" s="279"/>
      <c r="AE7" s="235">
        <f t="shared" si="10"/>
        <v>3</v>
      </c>
      <c r="AF7" s="487">
        <f>'Interpolations AUD'!R24-$B$1</f>
        <v>3.6671749308349582E-4</v>
      </c>
      <c r="AG7" s="236">
        <f>AG6+1</f>
        <v>3</v>
      </c>
      <c r="AH7" s="237">
        <f t="shared" si="11"/>
        <v>3.6671748966909945E-4</v>
      </c>
      <c r="AI7" s="279"/>
      <c r="AJ7" s="235">
        <f t="shared" si="12"/>
        <v>3</v>
      </c>
      <c r="AK7" s="487">
        <f>'Interpolations NZD'!R24-$B$1</f>
        <v>3.0325223599812878E-2</v>
      </c>
      <c r="AL7" s="236">
        <f>AL6+1</f>
        <v>3</v>
      </c>
      <c r="AM7" s="237">
        <f t="shared" si="13"/>
        <v>3.0325222760438919E-2</v>
      </c>
      <c r="AO7" s="234">
        <f t="shared" si="14"/>
        <v>3</v>
      </c>
      <c r="AP7" s="487">
        <f>'Interpolations HKD'!R24-$B$1</f>
        <v>1.0556184144161771E-3</v>
      </c>
      <c r="AQ7" s="236">
        <f>AQ6+1</f>
        <v>3</v>
      </c>
      <c r="AR7" s="237">
        <f t="shared" si="15"/>
        <v>1.055618398822844E-3</v>
      </c>
    </row>
    <row r="8" spans="1:44">
      <c r="A8" s="235">
        <f>'Interpolations USD'!I26</f>
        <v>4</v>
      </c>
      <c r="B8" s="487">
        <f>'Interpolations USD'!R26-$B$1</f>
        <v>-1.4129242076145456E-3</v>
      </c>
      <c r="C8" s="236">
        <f t="shared" ref="C8:C38" si="17">C7+1</f>
        <v>4</v>
      </c>
      <c r="D8" s="237">
        <f t="shared" si="0"/>
        <v>-1.4129242626950145E-3</v>
      </c>
      <c r="E8" s="279"/>
      <c r="F8" s="235">
        <f t="shared" si="16"/>
        <v>4</v>
      </c>
      <c r="G8" s="487">
        <f>'Interpolations Euro'!R25-$B$1</f>
        <v>2.307399276677005E-3</v>
      </c>
      <c r="H8" s="236">
        <f t="shared" ref="H8:H70" si="18">H7+1</f>
        <v>4</v>
      </c>
      <c r="I8" s="237">
        <f t="shared" si="1"/>
        <v>2.3073991760611534E-3</v>
      </c>
      <c r="J8" s="279"/>
      <c r="K8" s="235">
        <f t="shared" si="2"/>
        <v>4</v>
      </c>
      <c r="L8" s="487">
        <f>'Interpolations GBP'!R25-$B$1</f>
        <v>1.9673112058329828E-3</v>
      </c>
      <c r="M8" s="236">
        <f t="shared" ref="M8:M70" si="19">M7+1</f>
        <v>4</v>
      </c>
      <c r="N8" s="237">
        <f t="shared" si="3"/>
        <v>1.9673111382871866E-3</v>
      </c>
      <c r="O8" s="279"/>
      <c r="P8" s="235">
        <f t="shared" si="4"/>
        <v>4</v>
      </c>
      <c r="Q8" s="487">
        <f>'Interpolations CHF'!R25-$B$1</f>
        <v>9.1158587833726958E-4</v>
      </c>
      <c r="R8" s="236">
        <f t="shared" ref="R8:R70" si="20">R7+1</f>
        <v>4</v>
      </c>
      <c r="S8" s="237">
        <f t="shared" si="5"/>
        <v>9.1158587019890547E-4</v>
      </c>
      <c r="T8" s="279"/>
      <c r="U8" s="235">
        <f t="shared" si="6"/>
        <v>4</v>
      </c>
      <c r="V8" s="487">
        <f>'Interpolations CAD'!R25-$B$1</f>
        <v>2.0279885673633478E-3</v>
      </c>
      <c r="W8" s="236">
        <f t="shared" ref="W8:W70" si="21">W7+1</f>
        <v>4</v>
      </c>
      <c r="X8" s="237">
        <f t="shared" si="7"/>
        <v>2.0279886666685343E-3</v>
      </c>
      <c r="Y8" s="279"/>
      <c r="Z8" s="235">
        <f t="shared" si="8"/>
        <v>4</v>
      </c>
      <c r="AA8" s="487">
        <f>'Interpolations JPY'!R25-$B$1</f>
        <v>4.5957341731154948E-4</v>
      </c>
      <c r="AB8" s="236">
        <f t="shared" ref="AB8:AB70" si="22">AB7+1</f>
        <v>4</v>
      </c>
      <c r="AC8" s="237">
        <f t="shared" si="9"/>
        <v>4.5957340626046062E-4</v>
      </c>
      <c r="AD8" s="279"/>
      <c r="AE8" s="235">
        <f t="shared" si="10"/>
        <v>4</v>
      </c>
      <c r="AF8" s="487">
        <f>'Interpolations AUD'!R25-$B$1</f>
        <v>4.0222358444833104E-4</v>
      </c>
      <c r="AG8" s="236">
        <f t="shared" ref="AG8:AG70" si="23">AG7+1</f>
        <v>4</v>
      </c>
      <c r="AH8" s="237">
        <f t="shared" si="11"/>
        <v>4.0222358074970543E-4</v>
      </c>
      <c r="AI8" s="279"/>
      <c r="AJ8" s="235">
        <f t="shared" si="12"/>
        <v>4</v>
      </c>
      <c r="AK8" s="487">
        <f>'Interpolations NZD'!R25-$B$1</f>
        <v>1.819237185648763E-2</v>
      </c>
      <c r="AL8" s="236">
        <f t="shared" ref="AL8:AL70" si="24">AL7+1</f>
        <v>4</v>
      </c>
      <c r="AM8" s="237">
        <f t="shared" si="13"/>
        <v>1.8192371353507042E-2</v>
      </c>
      <c r="AO8" s="234">
        <f t="shared" si="14"/>
        <v>4</v>
      </c>
      <c r="AP8" s="487">
        <f>'Interpolations HKD'!R25-$B$1</f>
        <v>1.6087591973146043E-3</v>
      </c>
      <c r="AQ8" s="236">
        <f t="shared" ref="AQ8:AQ71" si="25">AQ7+1</f>
        <v>4</v>
      </c>
      <c r="AR8" s="237">
        <f t="shared" si="15"/>
        <v>1.6087591648101807E-3</v>
      </c>
    </row>
    <row r="9" spans="1:44">
      <c r="A9" s="235">
        <f>'Interpolations USD'!I27</f>
        <v>5</v>
      </c>
      <c r="B9" s="487">
        <f>'Interpolations USD'!R27-$B$1</f>
        <v>-1.4534828787116363E-3</v>
      </c>
      <c r="C9" s="236">
        <f t="shared" si="17"/>
        <v>5</v>
      </c>
      <c r="D9" s="237">
        <f t="shared" si="0"/>
        <v>-1.4534828951582313E-3</v>
      </c>
      <c r="E9" s="279"/>
      <c r="F9" s="235">
        <f t="shared" si="16"/>
        <v>5</v>
      </c>
      <c r="G9" s="487">
        <f>'Interpolations Euro'!R26-$B$1</f>
        <v>2.5201779389534672E-3</v>
      </c>
      <c r="H9" s="236">
        <f t="shared" si="18"/>
        <v>5</v>
      </c>
      <c r="I9" s="237">
        <f t="shared" si="1"/>
        <v>2.5201779790222645E-3</v>
      </c>
      <c r="J9" s="279"/>
      <c r="K9" s="235">
        <f t="shared" si="2"/>
        <v>5</v>
      </c>
      <c r="L9" s="487">
        <f>'Interpolations GBP'!R26-$B$1</f>
        <v>2.0283368458684234E-3</v>
      </c>
      <c r="M9" s="236">
        <f t="shared" si="19"/>
        <v>5</v>
      </c>
      <c r="N9" s="237">
        <f t="shared" si="3"/>
        <v>2.0283367484807968E-3</v>
      </c>
      <c r="O9" s="279"/>
      <c r="P9" s="235">
        <f t="shared" si="4"/>
        <v>5</v>
      </c>
      <c r="Q9" s="487">
        <f>'Interpolations CHF'!R26-$B$1</f>
        <v>6.6960728400444671E-4</v>
      </c>
      <c r="R9" s="236">
        <f t="shared" si="20"/>
        <v>5</v>
      </c>
      <c r="S9" s="237">
        <f t="shared" si="5"/>
        <v>6.696073105558753E-4</v>
      </c>
      <c r="T9" s="279"/>
      <c r="U9" s="235">
        <f t="shared" si="6"/>
        <v>5</v>
      </c>
      <c r="V9" s="487">
        <f>'Interpolations CAD'!R26-$B$1</f>
        <v>1.8694886821753803E-3</v>
      </c>
      <c r="W9" s="236">
        <f t="shared" si="21"/>
        <v>5</v>
      </c>
      <c r="X9" s="237">
        <f t="shared" si="7"/>
        <v>1.8694887403398752E-3</v>
      </c>
      <c r="Y9" s="279"/>
      <c r="Z9" s="235">
        <f t="shared" si="8"/>
        <v>5</v>
      </c>
      <c r="AA9" s="487">
        <f>'Interpolations JPY'!R26-$B$1</f>
        <v>5.8628917329852292E-4</v>
      </c>
      <c r="AB9" s="236">
        <f t="shared" si="22"/>
        <v>5</v>
      </c>
      <c r="AC9" s="237">
        <f t="shared" si="9"/>
        <v>5.8628915576264262E-4</v>
      </c>
      <c r="AD9" s="279"/>
      <c r="AE9" s="235">
        <f t="shared" si="10"/>
        <v>5</v>
      </c>
      <c r="AF9" s="487">
        <f>'Interpolations AUD'!R26-$B$1</f>
        <v>4.6073161490304149E-4</v>
      </c>
      <c r="AG9" s="236">
        <f t="shared" si="23"/>
        <v>5</v>
      </c>
      <c r="AH9" s="237">
        <f t="shared" si="11"/>
        <v>4.6073162229731679E-4</v>
      </c>
      <c r="AI9" s="279"/>
      <c r="AJ9" s="235">
        <f t="shared" si="12"/>
        <v>5</v>
      </c>
      <c r="AK9" s="487">
        <f>'Interpolations NZD'!R26-$B$1</f>
        <v>8.9844747652342571E-3</v>
      </c>
      <c r="AL9" s="236">
        <f t="shared" si="24"/>
        <v>5</v>
      </c>
      <c r="AM9" s="237">
        <f t="shared" si="13"/>
        <v>8.9844744652509689E-3</v>
      </c>
      <c r="AO9" s="234">
        <f t="shared" si="14"/>
        <v>5</v>
      </c>
      <c r="AP9" s="487">
        <f>'Interpolations HKD'!R26-$B$1</f>
        <v>2.0869077174184578E-3</v>
      </c>
      <c r="AQ9" s="236">
        <f t="shared" si="25"/>
        <v>5</v>
      </c>
      <c r="AR9" s="237">
        <f t="shared" si="15"/>
        <v>2.0869076251983643E-3</v>
      </c>
    </row>
    <row r="10" spans="1:44">
      <c r="A10" s="235">
        <f>'Interpolations USD'!I28</f>
        <v>6</v>
      </c>
      <c r="B10" s="487">
        <f>'Interpolations USD'!R28-$B$1</f>
        <v>-1.3572175866123628E-3</v>
      </c>
      <c r="C10" s="236">
        <f t="shared" si="17"/>
        <v>6</v>
      </c>
      <c r="D10" s="237">
        <f t="shared" si="0"/>
        <v>-1.3572175521403551E-3</v>
      </c>
      <c r="E10" s="279"/>
      <c r="F10" s="235">
        <f t="shared" si="16"/>
        <v>6</v>
      </c>
      <c r="G10" s="487">
        <f>'Interpolations Euro'!R27-$B$1</f>
        <v>2.720822954140451E-3</v>
      </c>
      <c r="H10" s="236">
        <f t="shared" si="18"/>
        <v>6</v>
      </c>
      <c r="I10" s="237">
        <f t="shared" si="1"/>
        <v>2.7208230458199978E-3</v>
      </c>
      <c r="J10" s="279"/>
      <c r="K10" s="235">
        <f t="shared" si="2"/>
        <v>6</v>
      </c>
      <c r="L10" s="487">
        <f>'Interpolations GBP'!R27-$B$1</f>
        <v>1.9084989061848136E-3</v>
      </c>
      <c r="M10" s="236">
        <f t="shared" si="19"/>
        <v>6</v>
      </c>
      <c r="N10" s="237">
        <f t="shared" si="3"/>
        <v>1.9084989326074719E-3</v>
      </c>
      <c r="O10" s="279"/>
      <c r="P10" s="235">
        <f t="shared" si="4"/>
        <v>6</v>
      </c>
      <c r="Q10" s="487">
        <f>'Interpolations CHF'!R27-$B$1</f>
        <v>5.5297559019549646E-4</v>
      </c>
      <c r="R10" s="236">
        <f t="shared" si="20"/>
        <v>6</v>
      </c>
      <c r="S10" s="237">
        <f t="shared" si="5"/>
        <v>5.5297557264566422E-4</v>
      </c>
      <c r="T10" s="279"/>
      <c r="U10" s="235">
        <f t="shared" si="6"/>
        <v>6</v>
      </c>
      <c r="V10" s="487">
        <f>'Interpolations CAD'!R27-$B$1</f>
        <v>1.8903383205880761E-3</v>
      </c>
      <c r="W10" s="236">
        <f t="shared" si="21"/>
        <v>6</v>
      </c>
      <c r="X10" s="237">
        <f t="shared" si="7"/>
        <v>1.8903383752331138E-3</v>
      </c>
      <c r="Y10" s="279"/>
      <c r="Z10" s="235">
        <f t="shared" si="8"/>
        <v>6</v>
      </c>
      <c r="AA10" s="487">
        <f>'Interpolations JPY'!R27-$B$1</f>
        <v>6.7987742306947112E-4</v>
      </c>
      <c r="AB10" s="236">
        <f t="shared" si="22"/>
        <v>6</v>
      </c>
      <c r="AC10" s="237">
        <f t="shared" si="9"/>
        <v>6.7987741203978658E-4</v>
      </c>
      <c r="AD10" s="279"/>
      <c r="AE10" s="235">
        <f t="shared" si="10"/>
        <v>6</v>
      </c>
      <c r="AF10" s="487">
        <f>'Interpolations AUD'!R27-$B$1</f>
        <v>5.9479320307636186E-4</v>
      </c>
      <c r="AG10" s="236">
        <f t="shared" si="23"/>
        <v>6</v>
      </c>
      <c r="AH10" s="237">
        <f t="shared" si="11"/>
        <v>5.9479317860677838E-4</v>
      </c>
      <c r="AI10" s="279"/>
      <c r="AJ10" s="235">
        <f t="shared" si="12"/>
        <v>6</v>
      </c>
      <c r="AK10" s="487">
        <f>'Interpolations NZD'!R27-$B$1</f>
        <v>3.1798469132330873E-3</v>
      </c>
      <c r="AL10" s="236">
        <f t="shared" si="24"/>
        <v>6</v>
      </c>
      <c r="AM10" s="237">
        <f t="shared" si="13"/>
        <v>3.1798467971384525E-3</v>
      </c>
      <c r="AO10" s="234">
        <f t="shared" si="14"/>
        <v>6</v>
      </c>
      <c r="AP10" s="487">
        <f>'Interpolations HKD'!R27-$B$1</f>
        <v>2.3959104050002714E-3</v>
      </c>
      <c r="AQ10" s="236">
        <f t="shared" si="25"/>
        <v>6</v>
      </c>
      <c r="AR10" s="237">
        <f t="shared" si="15"/>
        <v>2.3959104437381029E-3</v>
      </c>
    </row>
    <row r="11" spans="1:44">
      <c r="A11" s="235">
        <f>'Interpolations USD'!I29</f>
        <v>7</v>
      </c>
      <c r="B11" s="487">
        <f>'Interpolations USD'!R29-$B$1</f>
        <v>-1.2613693886526214E-3</v>
      </c>
      <c r="C11" s="236">
        <f t="shared" si="17"/>
        <v>7</v>
      </c>
      <c r="D11" s="237">
        <f t="shared" si="0"/>
        <v>-1.2613694416359067E-3</v>
      </c>
      <c r="E11" s="279"/>
      <c r="F11" s="235">
        <f t="shared" si="16"/>
        <v>7</v>
      </c>
      <c r="G11" s="487">
        <f>'Interpolations Euro'!R28-$B$1</f>
        <v>2.8904458341616731E-3</v>
      </c>
      <c r="H11" s="236">
        <f t="shared" si="18"/>
        <v>7</v>
      </c>
      <c r="I11" s="237">
        <f t="shared" si="1"/>
        <v>2.8904457576572895E-3</v>
      </c>
      <c r="J11" s="279"/>
      <c r="K11" s="235">
        <f t="shared" si="2"/>
        <v>7</v>
      </c>
      <c r="L11" s="487">
        <f>'Interpolations GBP'!R28-$B$1</f>
        <v>1.6669288584134157E-3</v>
      </c>
      <c r="M11" s="236">
        <f t="shared" si="19"/>
        <v>7</v>
      </c>
      <c r="N11" s="237">
        <f t="shared" si="3"/>
        <v>1.6669288743287325E-3</v>
      </c>
      <c r="O11" s="279"/>
      <c r="P11" s="235">
        <f t="shared" si="4"/>
        <v>7</v>
      </c>
      <c r="Q11" s="487">
        <f>'Interpolations CHF'!R28-$B$1</f>
        <v>6.0505794421112247E-4</v>
      </c>
      <c r="R11" s="236">
        <f t="shared" si="20"/>
        <v>7</v>
      </c>
      <c r="S11" s="237">
        <f t="shared" si="5"/>
        <v>6.0505792498588562E-4</v>
      </c>
      <c r="T11" s="279"/>
      <c r="U11" s="235">
        <f t="shared" si="6"/>
        <v>7</v>
      </c>
      <c r="V11" s="487">
        <f>'Interpolations CAD'!R28-$B$1</f>
        <v>1.996648509603763E-3</v>
      </c>
      <c r="W11" s="236">
        <f t="shared" si="21"/>
        <v>7</v>
      </c>
      <c r="X11" s="237">
        <f t="shared" si="7"/>
        <v>1.9966484978795052E-3</v>
      </c>
      <c r="Y11" s="279"/>
      <c r="Z11" s="235">
        <f t="shared" si="8"/>
        <v>7</v>
      </c>
      <c r="AA11" s="487">
        <f>'Interpolations JPY'!R28-$B$1</f>
        <v>7.6335149436521392E-4</v>
      </c>
      <c r="AB11" s="236">
        <f t="shared" si="22"/>
        <v>7</v>
      </c>
      <c r="AC11" s="237">
        <f t="shared" si="9"/>
        <v>7.6335150515660644E-4</v>
      </c>
      <c r="AD11" s="279"/>
      <c r="AE11" s="235">
        <f t="shared" si="10"/>
        <v>7</v>
      </c>
      <c r="AF11" s="487">
        <f>'Interpolations AUD'!R28-$B$1</f>
        <v>7.8310897707698206E-4</v>
      </c>
      <c r="AG11" s="236">
        <f t="shared" si="23"/>
        <v>7</v>
      </c>
      <c r="AH11" s="237">
        <f t="shared" si="11"/>
        <v>7.8310898970812559E-4</v>
      </c>
      <c r="AI11" s="279"/>
      <c r="AJ11" s="235">
        <f t="shared" si="12"/>
        <v>7</v>
      </c>
      <c r="AK11" s="487">
        <f>'Interpolations NZD'!R28-$B$1</f>
        <v>-5.2773539356175923E-5</v>
      </c>
      <c r="AL11" s="236">
        <f t="shared" si="24"/>
        <v>7</v>
      </c>
      <c r="AM11" s="237">
        <f t="shared" si="13"/>
        <v>-5.2773539209738374E-5</v>
      </c>
      <c r="AO11" s="234">
        <f t="shared" si="14"/>
        <v>7</v>
      </c>
      <c r="AP11" s="487">
        <f>'Interpolations HKD'!R28-$B$1</f>
        <v>2.704913092582085E-3</v>
      </c>
      <c r="AQ11" s="236">
        <f t="shared" si="25"/>
        <v>7</v>
      </c>
      <c r="AR11" s="237">
        <f t="shared" si="15"/>
        <v>2.7049130294471979E-3</v>
      </c>
    </row>
    <row r="12" spans="1:44">
      <c r="A12" s="235">
        <f>'Interpolations USD'!I30</f>
        <v>8</v>
      </c>
      <c r="B12" s="487">
        <f>'Interpolations USD'!R30-$B$1</f>
        <v>-1.151318966880698E-3</v>
      </c>
      <c r="C12" s="236">
        <f t="shared" si="17"/>
        <v>8</v>
      </c>
      <c r="D12" s="237">
        <f t="shared" si="0"/>
        <v>-1.1513190111145377E-3</v>
      </c>
      <c r="E12" s="279"/>
      <c r="F12" s="235">
        <f t="shared" si="16"/>
        <v>8</v>
      </c>
      <c r="G12" s="487">
        <f>'Interpolations Euro'!R29-$B$1</f>
        <v>3.0708878263294185E-3</v>
      </c>
      <c r="H12" s="236">
        <f t="shared" si="18"/>
        <v>8</v>
      </c>
      <c r="I12" s="237">
        <f t="shared" si="1"/>
        <v>3.0708878766745329E-3</v>
      </c>
      <c r="J12" s="279"/>
      <c r="K12" s="235">
        <f t="shared" si="2"/>
        <v>8</v>
      </c>
      <c r="L12" s="487">
        <f>'Interpolations GBP'!R29-$B$1</f>
        <v>1.3415654393917637E-3</v>
      </c>
      <c r="M12" s="236">
        <f t="shared" si="19"/>
        <v>8</v>
      </c>
      <c r="N12" s="237">
        <f t="shared" si="3"/>
        <v>1.3415653957054019E-3</v>
      </c>
      <c r="O12" s="279"/>
      <c r="P12" s="235">
        <f t="shared" si="4"/>
        <v>8</v>
      </c>
      <c r="Q12" s="487">
        <f>'Interpolations CHF'!R29-$B$1</f>
        <v>6.6271532516063662E-4</v>
      </c>
      <c r="R12" s="236">
        <f t="shared" si="20"/>
        <v>8</v>
      </c>
      <c r="S12" s="237">
        <f t="shared" si="5"/>
        <v>6.6271534888073802E-4</v>
      </c>
      <c r="T12" s="279"/>
      <c r="U12" s="235">
        <f t="shared" si="6"/>
        <v>8</v>
      </c>
      <c r="V12" s="487">
        <f>'Interpolations CAD'!R29-$B$1</f>
        <v>2.1611044170667228E-3</v>
      </c>
      <c r="W12" s="236">
        <f t="shared" si="21"/>
        <v>8</v>
      </c>
      <c r="X12" s="237">
        <f t="shared" si="7"/>
        <v>2.1611044649034739E-3</v>
      </c>
      <c r="Y12" s="279"/>
      <c r="Z12" s="235">
        <f t="shared" si="8"/>
        <v>8</v>
      </c>
      <c r="AA12" s="487">
        <f>'Interpolations JPY'!R29-$B$1</f>
        <v>8.2083291827036E-4</v>
      </c>
      <c r="AB12" s="236">
        <f t="shared" si="22"/>
        <v>8</v>
      </c>
      <c r="AC12" s="237">
        <f t="shared" si="9"/>
        <v>8.2083290908485651E-4</v>
      </c>
      <c r="AD12" s="279"/>
      <c r="AE12" s="235">
        <f t="shared" si="10"/>
        <v>8</v>
      </c>
      <c r="AF12" s="487">
        <f>'Interpolations AUD'!R29-$B$1</f>
        <v>9.6978981079282132E-4</v>
      </c>
      <c r="AG12" s="236">
        <f t="shared" si="23"/>
        <v>8</v>
      </c>
      <c r="AH12" s="237">
        <f t="shared" si="11"/>
        <v>9.6978980582207441E-4</v>
      </c>
      <c r="AI12" s="279"/>
      <c r="AJ12" s="235">
        <f t="shared" si="12"/>
        <v>8</v>
      </c>
      <c r="AK12" s="487">
        <f>'Interpolations NZD'!R29-$B$1</f>
        <v>-1.5729231864731524E-3</v>
      </c>
      <c r="AL12" s="236">
        <f t="shared" si="24"/>
        <v>8</v>
      </c>
      <c r="AM12" s="237">
        <f t="shared" si="13"/>
        <v>-1.5729231527075171E-3</v>
      </c>
      <c r="AO12" s="234">
        <f t="shared" si="14"/>
        <v>8</v>
      </c>
      <c r="AP12" s="487">
        <f>'Interpolations HKD'!R29-$B$1</f>
        <v>2.7538810314285131E-3</v>
      </c>
      <c r="AQ12" s="236">
        <f t="shared" si="25"/>
        <v>8</v>
      </c>
      <c r="AR12" s="237">
        <f t="shared" si="15"/>
        <v>2.7538810390979052E-3</v>
      </c>
    </row>
    <row r="13" spans="1:44">
      <c r="A13" s="235">
        <f>'Interpolations USD'!I31</f>
        <v>9</v>
      </c>
      <c r="B13" s="487">
        <f>'Interpolations USD'!R31-$B$1</f>
        <v>-1.0731641212561862E-3</v>
      </c>
      <c r="C13" s="236">
        <f t="shared" si="17"/>
        <v>9</v>
      </c>
      <c r="D13" s="237">
        <f t="shared" si="0"/>
        <v>-1.0731641668826342E-3</v>
      </c>
      <c r="E13" s="279"/>
      <c r="F13" s="235">
        <f t="shared" si="16"/>
        <v>9</v>
      </c>
      <c r="G13" s="487">
        <f>'Interpolations Euro'!R30-$B$1</f>
        <v>3.2418334816164225E-3</v>
      </c>
      <c r="H13" s="236">
        <f t="shared" si="18"/>
        <v>9</v>
      </c>
      <c r="I13" s="237">
        <f t="shared" si="1"/>
        <v>3.2418335322290659E-3</v>
      </c>
      <c r="J13" s="279"/>
      <c r="K13" s="235">
        <f t="shared" si="2"/>
        <v>9</v>
      </c>
      <c r="L13" s="487">
        <f>'Interpolations GBP'!R30-$B$1</f>
        <v>9.6921807345598087E-4</v>
      </c>
      <c r="M13" s="236">
        <f t="shared" si="19"/>
        <v>9</v>
      </c>
      <c r="N13" s="237">
        <f t="shared" si="3"/>
        <v>9.6921809017658234E-4</v>
      </c>
      <c r="O13" s="279"/>
      <c r="P13" s="235">
        <f t="shared" si="4"/>
        <v>9</v>
      </c>
      <c r="Q13" s="487">
        <f>'Interpolations CHF'!R30-$B$1</f>
        <v>7.7368835179231991E-4</v>
      </c>
      <c r="R13" s="236">
        <f t="shared" si="20"/>
        <v>9</v>
      </c>
      <c r="S13" s="237">
        <f t="shared" si="5"/>
        <v>7.7368837082758546E-4</v>
      </c>
      <c r="T13" s="279"/>
      <c r="U13" s="235">
        <f t="shared" si="6"/>
        <v>9</v>
      </c>
      <c r="V13" s="487">
        <f>'Interpolations CAD'!R30-$B$1</f>
        <v>2.3588716029033759E-3</v>
      </c>
      <c r="W13" s="236">
        <f t="shared" si="21"/>
        <v>9</v>
      </c>
      <c r="X13" s="237">
        <f t="shared" si="7"/>
        <v>2.3588715121150017E-3</v>
      </c>
      <c r="Y13" s="279"/>
      <c r="Z13" s="235">
        <f t="shared" si="8"/>
        <v>9</v>
      </c>
      <c r="AA13" s="487">
        <f>'Interpolations JPY'!R30-$B$1</f>
        <v>8.633933164379614E-4</v>
      </c>
      <c r="AB13" s="236">
        <f t="shared" si="22"/>
        <v>9</v>
      </c>
      <c r="AC13" s="237">
        <f t="shared" si="9"/>
        <v>8.6339330300688744E-4</v>
      </c>
      <c r="AD13" s="282"/>
      <c r="AE13" s="235">
        <f t="shared" si="10"/>
        <v>9</v>
      </c>
      <c r="AF13" s="487">
        <f>'Interpolations AUD'!R30-$B$1</f>
        <v>1.1174812892286107E-3</v>
      </c>
      <c r="AG13" s="236">
        <f t="shared" si="23"/>
        <v>9</v>
      </c>
      <c r="AH13" s="237">
        <f t="shared" si="11"/>
        <v>1.1174812680110335E-3</v>
      </c>
      <c r="AI13" s="282"/>
      <c r="AJ13" s="235">
        <f t="shared" si="12"/>
        <v>9</v>
      </c>
      <c r="AK13" s="487">
        <f>'Interpolations NZD'!R30-$B$1</f>
        <v>-2.0077452510157958E-3</v>
      </c>
      <c r="AL13" s="236">
        <f t="shared" si="24"/>
        <v>9</v>
      </c>
      <c r="AM13" s="237">
        <f t="shared" si="13"/>
        <v>-2.0077452063560486E-3</v>
      </c>
      <c r="AN13" s="282"/>
      <c r="AO13" s="234">
        <f t="shared" si="14"/>
        <v>9</v>
      </c>
      <c r="AP13" s="487">
        <f>'Interpolations HKD'!R30-$B$1</f>
        <v>2.8028489702749413E-3</v>
      </c>
      <c r="AQ13" s="236">
        <f t="shared" si="25"/>
        <v>9</v>
      </c>
      <c r="AR13" s="237">
        <f t="shared" si="15"/>
        <v>2.8028490487486124E-3</v>
      </c>
    </row>
    <row r="14" spans="1:44">
      <c r="A14" s="235">
        <f>'Interpolations USD'!I32</f>
        <v>10</v>
      </c>
      <c r="B14" s="487">
        <f>'Interpolations USD'!R32-$B$1</f>
        <v>-1.020869251828759E-3</v>
      </c>
      <c r="C14" s="236">
        <f t="shared" si="17"/>
        <v>10</v>
      </c>
      <c r="D14" s="237">
        <f t="shared" si="0"/>
        <v>-1.0208692401647568E-3</v>
      </c>
      <c r="E14" s="279"/>
      <c r="F14" s="235">
        <f t="shared" si="16"/>
        <v>10</v>
      </c>
      <c r="G14" s="487">
        <f>'Interpolations Euro'!R31-$B$1</f>
        <v>3.3904380682400264E-3</v>
      </c>
      <c r="H14" s="236">
        <f t="shared" si="18"/>
        <v>10</v>
      </c>
      <c r="I14" s="237">
        <f t="shared" si="1"/>
        <v>3.3904381562024355E-3</v>
      </c>
      <c r="J14" s="279"/>
      <c r="K14" s="235">
        <f t="shared" si="2"/>
        <v>10</v>
      </c>
      <c r="L14" s="487">
        <f>'Interpolations GBP'!R31-$B$1</f>
        <v>5.6755990539735738E-4</v>
      </c>
      <c r="M14" s="236">
        <f t="shared" si="19"/>
        <v>10</v>
      </c>
      <c r="N14" s="237">
        <f t="shared" si="3"/>
        <v>5.6755990954115987E-4</v>
      </c>
      <c r="O14" s="279"/>
      <c r="P14" s="235">
        <f t="shared" si="4"/>
        <v>10</v>
      </c>
      <c r="Q14" s="487">
        <f>'Interpolations CHF'!R31-$B$1</f>
        <v>8.8704347893742586E-4</v>
      </c>
      <c r="R14" s="236">
        <f t="shared" si="20"/>
        <v>10</v>
      </c>
      <c r="S14" s="237">
        <f t="shared" si="5"/>
        <v>8.8704348308965564E-4</v>
      </c>
      <c r="T14" s="279"/>
      <c r="U14" s="235">
        <f t="shared" si="6"/>
        <v>10</v>
      </c>
      <c r="V14" s="487">
        <f>'Interpolations CAD'!R31-$B$1</f>
        <v>2.5676272108201637E-3</v>
      </c>
      <c r="W14" s="236">
        <f t="shared" si="21"/>
        <v>10</v>
      </c>
      <c r="X14" s="237">
        <f t="shared" si="7"/>
        <v>2.5676272343844175E-3</v>
      </c>
      <c r="Y14" s="279"/>
      <c r="Z14" s="235">
        <f t="shared" si="8"/>
        <v>10</v>
      </c>
      <c r="AA14" s="487">
        <f>'Interpolations JPY'!R31-$B$1</f>
        <v>8.7624146339516712E-4</v>
      </c>
      <c r="AB14" s="236">
        <f t="shared" si="22"/>
        <v>10</v>
      </c>
      <c r="AC14" s="237">
        <f t="shared" si="9"/>
        <v>8.762414800003171E-4</v>
      </c>
      <c r="AD14" s="282"/>
      <c r="AE14" s="235">
        <f t="shared" si="10"/>
        <v>10</v>
      </c>
      <c r="AF14" s="487">
        <f>'Interpolations AUD'!R31-$B$1</f>
        <v>1.2309528697868029E-3</v>
      </c>
      <c r="AG14" s="236">
        <f t="shared" si="23"/>
        <v>10</v>
      </c>
      <c r="AH14" s="237">
        <f t="shared" si="11"/>
        <v>1.2309529120102525E-3</v>
      </c>
      <c r="AI14" s="282"/>
      <c r="AJ14" s="235">
        <f t="shared" si="12"/>
        <v>10</v>
      </c>
      <c r="AK14" s="487">
        <f>'Interpolations NZD'!R31-$B$1</f>
        <v>-1.7638887800062583E-3</v>
      </c>
      <c r="AL14" s="236">
        <f t="shared" si="24"/>
        <v>10</v>
      </c>
      <c r="AM14" s="237">
        <f t="shared" si="13"/>
        <v>-1.7638887511566281E-3</v>
      </c>
      <c r="AN14" s="282"/>
      <c r="AO14" s="234">
        <f t="shared" si="14"/>
        <v>10</v>
      </c>
      <c r="AP14" s="487">
        <f>'Interpolations HKD'!R31-$B$1</f>
        <v>2.8518169091213694E-3</v>
      </c>
      <c r="AQ14" s="236">
        <f t="shared" si="25"/>
        <v>10</v>
      </c>
      <c r="AR14" s="237">
        <f t="shared" si="15"/>
        <v>2.851816825568676E-3</v>
      </c>
    </row>
    <row r="15" spans="1:44">
      <c r="A15" s="235">
        <f>'Interpolations USD'!I33</f>
        <v>11</v>
      </c>
      <c r="B15" s="487">
        <f>'Interpolations USD'!R33-$B$1</f>
        <v>-9.820886490851102E-4</v>
      </c>
      <c r="C15" s="236">
        <f t="shared" si="17"/>
        <v>11</v>
      </c>
      <c r="D15" s="237">
        <f t="shared" si="0"/>
        <v>-9.8208861891180277E-4</v>
      </c>
      <c r="E15" s="279"/>
      <c r="F15" s="235">
        <f t="shared" si="16"/>
        <v>11</v>
      </c>
      <c r="G15" s="487">
        <f>'Interpolations Euro'!R32-$B$1</f>
        <v>3.5267495119952795E-3</v>
      </c>
      <c r="H15" s="236">
        <f t="shared" si="18"/>
        <v>11</v>
      </c>
      <c r="I15" s="237">
        <f t="shared" si="1"/>
        <v>3.5267495550215244E-3</v>
      </c>
      <c r="J15" s="279"/>
      <c r="K15" s="235">
        <f t="shared" si="2"/>
        <v>11</v>
      </c>
      <c r="L15" s="487">
        <f>'Interpolations GBP'!R32-$B$1</f>
        <v>1.5634949054707959E-4</v>
      </c>
      <c r="M15" s="236">
        <f t="shared" si="19"/>
        <v>11</v>
      </c>
      <c r="N15" s="237">
        <f t="shared" si="3"/>
        <v>1.5634948795195669E-4</v>
      </c>
      <c r="O15" s="279"/>
      <c r="P15" s="235">
        <f t="shared" si="4"/>
        <v>11</v>
      </c>
      <c r="Q15" s="487">
        <f>'Interpolations CHF'!R32-$B$1</f>
        <v>1.0510230876091759E-3</v>
      </c>
      <c r="R15" s="236">
        <f t="shared" si="20"/>
        <v>11</v>
      </c>
      <c r="S15" s="237">
        <f t="shared" si="5"/>
        <v>1.0510231368243694E-3</v>
      </c>
      <c r="T15" s="279"/>
      <c r="U15" s="235">
        <f t="shared" si="6"/>
        <v>11</v>
      </c>
      <c r="V15" s="487">
        <f>'Interpolations CAD'!R32-$B$1</f>
        <v>2.8475345554698937E-3</v>
      </c>
      <c r="W15" s="236">
        <f t="shared" si="21"/>
        <v>11</v>
      </c>
      <c r="X15" s="237">
        <f t="shared" si="7"/>
        <v>2.847534604370594E-3</v>
      </c>
      <c r="Y15" s="279"/>
      <c r="Z15" s="235">
        <f t="shared" si="8"/>
        <v>11</v>
      </c>
      <c r="AA15" s="487">
        <f>'Interpolations JPY'!R32-$B$1</f>
        <v>8.5501207279753324E-4</v>
      </c>
      <c r="AB15" s="236">
        <f t="shared" si="22"/>
        <v>11</v>
      </c>
      <c r="AC15" s="237">
        <f t="shared" si="9"/>
        <v>8.5501209832727909E-4</v>
      </c>
      <c r="AD15" s="282"/>
      <c r="AE15" s="235">
        <f t="shared" si="10"/>
        <v>11</v>
      </c>
      <c r="AF15" s="487">
        <f>'Interpolations AUD'!R32-$B$1</f>
        <v>1.3537519493682501E-3</v>
      </c>
      <c r="AG15" s="236">
        <f t="shared" si="23"/>
        <v>11</v>
      </c>
      <c r="AH15" s="237">
        <f t="shared" si="11"/>
        <v>1.3537519844248891E-3</v>
      </c>
      <c r="AI15" s="282"/>
      <c r="AJ15" s="235">
        <f t="shared" si="12"/>
        <v>11</v>
      </c>
      <c r="AK15" s="487">
        <f>'Interpolations NZD'!R32-$B$1</f>
        <v>-9.8960141767506348E-4</v>
      </c>
      <c r="AL15" s="236">
        <f t="shared" si="24"/>
        <v>11</v>
      </c>
      <c r="AM15" s="237">
        <f t="shared" si="13"/>
        <v>-9.8960136529058218E-4</v>
      </c>
      <c r="AN15" s="282"/>
      <c r="AO15" s="234">
        <f t="shared" si="14"/>
        <v>11</v>
      </c>
      <c r="AP15" s="487">
        <f>'Interpolations HKD'!R32-$B$1</f>
        <v>2.5764965310721638E-3</v>
      </c>
      <c r="AQ15" s="236">
        <f t="shared" si="25"/>
        <v>11</v>
      </c>
      <c r="AR15" s="237">
        <f t="shared" si="15"/>
        <v>2.5764964520931244E-3</v>
      </c>
    </row>
    <row r="16" spans="1:44" ht="13.5" customHeight="1">
      <c r="A16" s="235">
        <f>'Interpolations USD'!I34</f>
        <v>12</v>
      </c>
      <c r="B16" s="487">
        <f>'Interpolations USD'!R34-$B$1</f>
        <v>-1.0190157576044348E-3</v>
      </c>
      <c r="C16" s="236">
        <f t="shared" si="17"/>
        <v>12</v>
      </c>
      <c r="D16" s="237">
        <f t="shared" si="0"/>
        <v>-1.0190157918259501E-3</v>
      </c>
      <c r="E16" s="279"/>
      <c r="F16" s="235">
        <f t="shared" si="16"/>
        <v>12</v>
      </c>
      <c r="G16" s="487">
        <f>'Interpolations Euro'!R33-$B$1</f>
        <v>3.6519984253358421E-3</v>
      </c>
      <c r="H16" s="236">
        <f t="shared" si="18"/>
        <v>12</v>
      </c>
      <c r="I16" s="237">
        <f t="shared" si="1"/>
        <v>3.6519984714686871E-3</v>
      </c>
      <c r="J16" s="279"/>
      <c r="K16" s="235">
        <f t="shared" si="2"/>
        <v>12</v>
      </c>
      <c r="L16" s="487">
        <f>'Interpolations GBP'!R33-$B$1</f>
        <v>-2.6100652533430063E-4</v>
      </c>
      <c r="M16" s="236">
        <f t="shared" si="19"/>
        <v>12</v>
      </c>
      <c r="N16" s="237">
        <f t="shared" si="3"/>
        <v>-2.6100652758032084E-4</v>
      </c>
      <c r="O16" s="279"/>
      <c r="P16" s="235">
        <f t="shared" si="4"/>
        <v>12</v>
      </c>
      <c r="Q16" s="487">
        <f>'Interpolations CHF'!R33-$B$1</f>
        <v>1.2394626134066703E-3</v>
      </c>
      <c r="R16" s="236">
        <f t="shared" si="20"/>
        <v>12</v>
      </c>
      <c r="S16" s="237">
        <f t="shared" si="5"/>
        <v>1.2394626392051578E-3</v>
      </c>
      <c r="T16" s="279"/>
      <c r="U16" s="235">
        <f t="shared" si="6"/>
        <v>12</v>
      </c>
      <c r="V16" s="487">
        <f>'Interpolations CAD'!R33-$B$1</f>
        <v>3.1274419001196237E-3</v>
      </c>
      <c r="W16" s="236">
        <f t="shared" si="21"/>
        <v>12</v>
      </c>
      <c r="X16" s="237">
        <f t="shared" si="7"/>
        <v>3.1274419743567705E-3</v>
      </c>
      <c r="Y16" s="279"/>
      <c r="Z16" s="235">
        <f t="shared" si="8"/>
        <v>12</v>
      </c>
      <c r="AA16" s="487">
        <f>'Interpolations JPY'!R33-$B$1</f>
        <v>7.9382820277692579E-4</v>
      </c>
      <c r="AB16" s="236">
        <f t="shared" si="22"/>
        <v>12</v>
      </c>
      <c r="AC16" s="237">
        <f t="shared" si="9"/>
        <v>7.9382822150364518E-4</v>
      </c>
      <c r="AD16" s="282"/>
      <c r="AE16" s="235">
        <f t="shared" si="10"/>
        <v>12</v>
      </c>
      <c r="AF16" s="487">
        <f>'Interpolations AUD'!R33-$B$1</f>
        <v>1.4765510289496972E-3</v>
      </c>
      <c r="AG16" s="236">
        <f t="shared" si="23"/>
        <v>12</v>
      </c>
      <c r="AH16" s="237">
        <f t="shared" si="11"/>
        <v>1.4765510568395257E-3</v>
      </c>
      <c r="AI16" s="282"/>
      <c r="AJ16" s="235">
        <f t="shared" si="12"/>
        <v>12</v>
      </c>
      <c r="AK16" s="487">
        <f>'Interpolations NZD'!R33-$B$1</f>
        <v>-2.1531405534386868E-4</v>
      </c>
      <c r="AL16" s="236">
        <f t="shared" si="24"/>
        <v>12</v>
      </c>
      <c r="AM16" s="237">
        <f t="shared" si="13"/>
        <v>-2.1531405218411237E-4</v>
      </c>
      <c r="AN16" s="282"/>
      <c r="AO16" s="234">
        <f t="shared" si="14"/>
        <v>12</v>
      </c>
      <c r="AP16" s="487">
        <f>'Interpolations HKD'!R33-$B$1</f>
        <v>2.3011761530229583E-3</v>
      </c>
      <c r="AQ16" s="236">
        <f t="shared" si="25"/>
        <v>12</v>
      </c>
      <c r="AR16" s="237">
        <f t="shared" si="15"/>
        <v>2.3011760786175728E-3</v>
      </c>
    </row>
    <row r="17" spans="1:44">
      <c r="A17" s="235">
        <f>'Interpolations USD'!I35</f>
        <v>13</v>
      </c>
      <c r="B17" s="487">
        <f>'Interpolations USD'!R35-$B$1</f>
        <v>-1.1119769828578088E-3</v>
      </c>
      <c r="C17" s="236">
        <f t="shared" si="17"/>
        <v>13</v>
      </c>
      <c r="D17" s="237">
        <f t="shared" si="0"/>
        <v>-1.1119770351797342E-3</v>
      </c>
      <c r="E17" s="279"/>
      <c r="F17" s="235">
        <f t="shared" si="16"/>
        <v>13</v>
      </c>
      <c r="G17" s="487">
        <f>'Interpolations Euro'!R34-$B$1</f>
        <v>2.2079495299699445E-3</v>
      </c>
      <c r="H17" s="236">
        <f t="shared" si="18"/>
        <v>13</v>
      </c>
      <c r="I17" s="237">
        <f t="shared" si="1"/>
        <v>2.2079495247453451E-3</v>
      </c>
      <c r="J17" s="279"/>
      <c r="K17" s="235">
        <f t="shared" si="2"/>
        <v>13</v>
      </c>
      <c r="L17" s="487">
        <f>'Interpolations GBP'!R34-$B$1</f>
        <v>-6.9203811610465699E-4</v>
      </c>
      <c r="M17" s="236">
        <f t="shared" si="19"/>
        <v>13</v>
      </c>
      <c r="N17" s="237">
        <f t="shared" si="3"/>
        <v>-6.9203809835016727E-4</v>
      </c>
      <c r="O17" s="279"/>
      <c r="P17" s="235">
        <f t="shared" si="4"/>
        <v>13</v>
      </c>
      <c r="Q17" s="487">
        <f>'Interpolations CHF'!R34-$B$1</f>
        <v>1.3088418392209972E-3</v>
      </c>
      <c r="R17" s="236">
        <f t="shared" si="20"/>
        <v>13</v>
      </c>
      <c r="S17" s="237">
        <f t="shared" si="5"/>
        <v>1.3088418636471033E-3</v>
      </c>
      <c r="T17" s="279"/>
      <c r="U17" s="235">
        <f t="shared" si="6"/>
        <v>13</v>
      </c>
      <c r="V17" s="487">
        <f>'Interpolations CAD'!R34-$B$1</f>
        <v>3.3519565962004698E-3</v>
      </c>
      <c r="W17" s="236">
        <f t="shared" si="21"/>
        <v>13</v>
      </c>
      <c r="X17" s="237">
        <f t="shared" si="7"/>
        <v>3.3519566059112549E-3</v>
      </c>
      <c r="Y17" s="279"/>
      <c r="Z17" s="235">
        <f t="shared" si="8"/>
        <v>13</v>
      </c>
      <c r="AA17" s="487">
        <f>'Interpolations JPY'!R34-$B$1</f>
        <v>6.9822146766589793E-4</v>
      </c>
      <c r="AB17" s="236">
        <f t="shared" si="22"/>
        <v>13</v>
      </c>
      <c r="AC17" s="237">
        <f t="shared" si="9"/>
        <v>6.98221439961344E-4</v>
      </c>
      <c r="AD17" s="282"/>
      <c r="AE17" s="235">
        <f t="shared" si="10"/>
        <v>13</v>
      </c>
      <c r="AF17" s="487">
        <f>'Interpolations AUD'!R34-$B$1</f>
        <v>1.5188712831037E-3</v>
      </c>
      <c r="AG17" s="236">
        <f t="shared" si="23"/>
        <v>13</v>
      </c>
      <c r="AH17" s="237">
        <f t="shared" si="11"/>
        <v>1.5188712859526277E-3</v>
      </c>
      <c r="AI17" s="282"/>
      <c r="AJ17" s="235">
        <f t="shared" si="12"/>
        <v>13</v>
      </c>
      <c r="AK17" s="487">
        <f>'Interpolations NZD'!R34-$B$1</f>
        <v>7.2960226692629724E-4</v>
      </c>
      <c r="AL17" s="236">
        <f t="shared" si="24"/>
        <v>13</v>
      </c>
      <c r="AM17" s="237">
        <f t="shared" si="13"/>
        <v>7.2960229590535164E-4</v>
      </c>
      <c r="AN17" s="282"/>
      <c r="AO17" s="234">
        <f t="shared" si="14"/>
        <v>13</v>
      </c>
      <c r="AP17" s="487">
        <f>'Interpolations HKD'!R34-$B$1</f>
        <v>1.8752843402726075E-3</v>
      </c>
      <c r="AQ17" s="236">
        <f t="shared" si="25"/>
        <v>13</v>
      </c>
      <c r="AR17" s="237">
        <f t="shared" si="15"/>
        <v>1.8752843607217073E-3</v>
      </c>
    </row>
    <row r="18" spans="1:44">
      <c r="A18" s="235">
        <f>'Interpolations USD'!I36</f>
        <v>14</v>
      </c>
      <c r="B18" s="487">
        <f>'Interpolations USD'!R36-$B$1</f>
        <v>-1.2398395287558364E-3</v>
      </c>
      <c r="C18" s="236">
        <f t="shared" si="17"/>
        <v>14</v>
      </c>
      <c r="D18" s="237">
        <f t="shared" si="0"/>
        <v>-1.2398394756019115E-3</v>
      </c>
      <c r="E18" s="279"/>
      <c r="F18" s="235">
        <f t="shared" si="16"/>
        <v>14</v>
      </c>
      <c r="G18" s="487">
        <f>'Interpolations Euro'!R35-$B$1</f>
        <v>2.8046646441449727E-3</v>
      </c>
      <c r="H18" s="236">
        <f t="shared" si="18"/>
        <v>14</v>
      </c>
      <c r="I18" s="237">
        <f t="shared" si="1"/>
        <v>2.8046646621078253E-3</v>
      </c>
      <c r="J18" s="279"/>
      <c r="K18" s="235">
        <f t="shared" si="2"/>
        <v>14</v>
      </c>
      <c r="L18" s="487">
        <f>'Interpolations GBP'!R35-$B$1</f>
        <v>-1.0909820117834526E-3</v>
      </c>
      <c r="M18" s="236">
        <f t="shared" si="19"/>
        <v>14</v>
      </c>
      <c r="N18" s="237">
        <f t="shared" si="3"/>
        <v>-1.0909819975495338E-3</v>
      </c>
      <c r="O18" s="279"/>
      <c r="P18" s="235">
        <f t="shared" si="4"/>
        <v>14</v>
      </c>
      <c r="Q18" s="487">
        <f>'Interpolations CHF'!R35-$B$1</f>
        <v>1.3782210650353241E-3</v>
      </c>
      <c r="R18" s="236">
        <f t="shared" si="20"/>
        <v>14</v>
      </c>
      <c r="S18" s="237">
        <f t="shared" si="5"/>
        <v>1.3782210880890489E-3</v>
      </c>
      <c r="T18" s="279"/>
      <c r="U18" s="235">
        <f t="shared" si="6"/>
        <v>14</v>
      </c>
      <c r="V18" s="487">
        <f>'Interpolations CAD'!R35-$B$1</f>
        <v>3.5764712922813167E-3</v>
      </c>
      <c r="W18" s="236">
        <f t="shared" si="21"/>
        <v>14</v>
      </c>
      <c r="X18" s="237">
        <f t="shared" si="7"/>
        <v>3.5764712374657393E-3</v>
      </c>
      <c r="Y18" s="279"/>
      <c r="Z18" s="235">
        <f t="shared" si="8"/>
        <v>14</v>
      </c>
      <c r="AA18" s="487">
        <f>'Interpolations JPY'!R35-$B$1</f>
        <v>5.9832678453439203E-4</v>
      </c>
      <c r="AB18" s="236">
        <f t="shared" si="22"/>
        <v>14</v>
      </c>
      <c r="AC18" s="237">
        <f t="shared" si="9"/>
        <v>5.9832679107785225E-4</v>
      </c>
      <c r="AD18" s="282"/>
      <c r="AE18" s="235">
        <f t="shared" si="10"/>
        <v>14</v>
      </c>
      <c r="AF18" s="487">
        <f>'Interpolations AUD'!R35-$B$1</f>
        <v>1.5611915372577031E-3</v>
      </c>
      <c r="AG18" s="236">
        <f t="shared" si="23"/>
        <v>14</v>
      </c>
      <c r="AH18" s="237">
        <f t="shared" si="11"/>
        <v>1.5611915150657296E-3</v>
      </c>
      <c r="AI18" s="282"/>
      <c r="AJ18" s="235">
        <f t="shared" si="12"/>
        <v>14</v>
      </c>
      <c r="AK18" s="487">
        <f>'Interpolations NZD'!R35-$B$1</f>
        <v>1.6745185891964632E-3</v>
      </c>
      <c r="AL18" s="236">
        <f t="shared" si="24"/>
        <v>14</v>
      </c>
      <c r="AM18" s="237">
        <f t="shared" si="13"/>
        <v>1.6745185712352395E-3</v>
      </c>
      <c r="AN18" s="282"/>
      <c r="AO18" s="234">
        <f t="shared" si="14"/>
        <v>14</v>
      </c>
      <c r="AP18" s="487">
        <f>'Interpolations HKD'!R35-$B$1</f>
        <v>1.4493925275222566E-3</v>
      </c>
      <c r="AQ18" s="236">
        <f t="shared" si="25"/>
        <v>14</v>
      </c>
      <c r="AR18" s="237">
        <f t="shared" si="15"/>
        <v>1.4493925264105201E-3</v>
      </c>
    </row>
    <row r="19" spans="1:44">
      <c r="A19" s="235">
        <f>'Interpolations USD'!I37</f>
        <v>15</v>
      </c>
      <c r="B19" s="487">
        <f>'Interpolations USD'!R37-$B$1</f>
        <v>-1.4192884225783789E-3</v>
      </c>
      <c r="C19" s="236">
        <f t="shared" si="17"/>
        <v>15</v>
      </c>
      <c r="D19" s="237">
        <f t="shared" si="0"/>
        <v>-1.4192884555086493E-3</v>
      </c>
      <c r="E19" s="279"/>
      <c r="F19" s="235">
        <f t="shared" si="16"/>
        <v>15</v>
      </c>
      <c r="G19" s="487">
        <f>'Interpolations Euro'!R36-$B$1</f>
        <v>3.3811122110684053E-3</v>
      </c>
      <c r="H19" s="236">
        <f t="shared" si="18"/>
        <v>15</v>
      </c>
      <c r="I19" s="237">
        <f t="shared" si="1"/>
        <v>3.3811121247708797E-3</v>
      </c>
      <c r="J19" s="279"/>
      <c r="K19" s="235">
        <f t="shared" si="2"/>
        <v>15</v>
      </c>
      <c r="L19" s="487">
        <f>'Interpolations GBP'!R36-$B$1</f>
        <v>-1.4846064165061268E-3</v>
      </c>
      <c r="M19" s="236">
        <f t="shared" si="19"/>
        <v>15</v>
      </c>
      <c r="N19" s="237">
        <f t="shared" si="3"/>
        <v>-1.4846064150333405E-3</v>
      </c>
      <c r="O19" s="279"/>
      <c r="P19" s="235">
        <f t="shared" si="4"/>
        <v>15</v>
      </c>
      <c r="Q19" s="487">
        <f>'Interpolations CHF'!R36-$B$1</f>
        <v>1.4476002908496511E-3</v>
      </c>
      <c r="R19" s="236">
        <f t="shared" si="20"/>
        <v>15</v>
      </c>
      <c r="S19" s="237">
        <f t="shared" si="5"/>
        <v>1.4476003125309944E-3</v>
      </c>
      <c r="T19" s="279"/>
      <c r="U19" s="235">
        <f t="shared" si="6"/>
        <v>15</v>
      </c>
      <c r="V19" s="487">
        <f>'Interpolations CAD'!R36-$B$1</f>
        <v>3.8009859883621636E-3</v>
      </c>
      <c r="W19" s="236">
        <f t="shared" si="21"/>
        <v>15</v>
      </c>
      <c r="X19" s="237">
        <f t="shared" si="7"/>
        <v>3.8009861018508673E-3</v>
      </c>
      <c r="Y19" s="279"/>
      <c r="Z19" s="235">
        <f t="shared" si="8"/>
        <v>15</v>
      </c>
      <c r="AA19" s="487">
        <f>'Interpolations JPY'!R36-$B$1</f>
        <v>4.7260873050386726E-4</v>
      </c>
      <c r="AB19" s="236">
        <f t="shared" si="22"/>
        <v>15</v>
      </c>
      <c r="AC19" s="237">
        <f t="shared" si="9"/>
        <v>4.7260872088372707E-4</v>
      </c>
      <c r="AD19" s="282"/>
      <c r="AE19" s="235">
        <f t="shared" si="10"/>
        <v>15</v>
      </c>
      <c r="AF19" s="487">
        <f>'Interpolations AUD'!R36-$B$1</f>
        <v>1.6035117914117063E-3</v>
      </c>
      <c r="AG19" s="236">
        <f t="shared" si="23"/>
        <v>15</v>
      </c>
      <c r="AH19" s="237">
        <f t="shared" si="11"/>
        <v>1.6035117441788316E-3</v>
      </c>
      <c r="AI19" s="282"/>
      <c r="AJ19" s="235">
        <f t="shared" si="12"/>
        <v>15</v>
      </c>
      <c r="AK19" s="487">
        <f>'Interpolations NZD'!R36-$B$1</f>
        <v>2.6194349114666291E-3</v>
      </c>
      <c r="AL19" s="236">
        <f t="shared" si="24"/>
        <v>15</v>
      </c>
      <c r="AM19" s="237">
        <f t="shared" si="13"/>
        <v>2.6194348465651274E-3</v>
      </c>
      <c r="AN19" s="282"/>
      <c r="AO19" s="234">
        <f t="shared" si="14"/>
        <v>15</v>
      </c>
      <c r="AP19" s="487">
        <f>'Interpolations HKD'!R36-$B$1</f>
        <v>1.0235007147719058E-3</v>
      </c>
      <c r="AQ19" s="236">
        <f t="shared" si="25"/>
        <v>15</v>
      </c>
      <c r="AR19" s="237">
        <f t="shared" si="15"/>
        <v>1.0235006920993328E-3</v>
      </c>
    </row>
    <row r="20" spans="1:44">
      <c r="A20" s="235">
        <f>'Interpolations USD'!I38</f>
        <v>16</v>
      </c>
      <c r="B20" s="487">
        <f>'Interpolations USD'!R38-$B$1</f>
        <v>-1.6134591971110881E-3</v>
      </c>
      <c r="C20" s="236">
        <f t="shared" si="17"/>
        <v>16</v>
      </c>
      <c r="D20" s="237">
        <f t="shared" si="0"/>
        <v>-1.6134592005982995E-3</v>
      </c>
      <c r="E20" s="279"/>
      <c r="F20" s="235">
        <f t="shared" si="16"/>
        <v>16</v>
      </c>
      <c r="G20" s="487">
        <f>'Interpolations Euro'!R37-$B$1</f>
        <v>3.8857780766391467E-3</v>
      </c>
      <c r="H20" s="236">
        <f t="shared" si="18"/>
        <v>16</v>
      </c>
      <c r="I20" s="237">
        <f t="shared" si="1"/>
        <v>3.8857781328260899E-3</v>
      </c>
      <c r="J20" s="279"/>
      <c r="K20" s="235">
        <f t="shared" si="2"/>
        <v>16</v>
      </c>
      <c r="L20" s="487">
        <f>'Interpolations GBP'!R37-$B$1</f>
        <v>-1.8613478718814127E-3</v>
      </c>
      <c r="M20" s="236">
        <f t="shared" si="19"/>
        <v>16</v>
      </c>
      <c r="N20" s="237">
        <f t="shared" si="3"/>
        <v>-1.8613478168845177E-3</v>
      </c>
      <c r="O20" s="279"/>
      <c r="P20" s="235">
        <f t="shared" si="4"/>
        <v>16</v>
      </c>
      <c r="Q20" s="487">
        <f>'Interpolations CHF'!R37-$B$1</f>
        <v>1.4286449517826498E-3</v>
      </c>
      <c r="R20" s="236">
        <f t="shared" si="20"/>
        <v>16</v>
      </c>
      <c r="S20" s="237">
        <f t="shared" si="5"/>
        <v>1.4286449877545238E-3</v>
      </c>
      <c r="T20" s="279"/>
      <c r="U20" s="235">
        <f t="shared" si="6"/>
        <v>16</v>
      </c>
      <c r="V20" s="487">
        <f>'Interpolations CAD'!R37-$B$1</f>
        <v>3.8870592080319484E-3</v>
      </c>
      <c r="W20" s="236">
        <f t="shared" si="21"/>
        <v>16</v>
      </c>
      <c r="X20" s="237">
        <f t="shared" si="7"/>
        <v>3.8870591670274734E-3</v>
      </c>
      <c r="Y20" s="279"/>
      <c r="Z20" s="235">
        <f t="shared" si="8"/>
        <v>16</v>
      </c>
      <c r="AA20" s="487">
        <f>'Interpolations JPY'!R37-$B$1</f>
        <v>1.5933355078067563E-4</v>
      </c>
      <c r="AB20" s="236">
        <f t="shared" si="22"/>
        <v>16</v>
      </c>
      <c r="AC20" s="237">
        <f t="shared" si="9"/>
        <v>1.5933354734443128E-4</v>
      </c>
      <c r="AD20" s="282"/>
      <c r="AE20" s="235">
        <f t="shared" si="10"/>
        <v>16</v>
      </c>
      <c r="AF20" s="487">
        <f>'Interpolations AUD'!R37-$B$1</f>
        <v>1.4647944208144624E-3</v>
      </c>
      <c r="AG20" s="236">
        <f t="shared" si="23"/>
        <v>16</v>
      </c>
      <c r="AH20" s="237">
        <f t="shared" si="11"/>
        <v>1.4647943899035454E-3</v>
      </c>
      <c r="AI20" s="282"/>
      <c r="AJ20" s="235">
        <f t="shared" si="12"/>
        <v>16</v>
      </c>
      <c r="AK20" s="487">
        <f>'Interpolations NZD'!R37-$B$1</f>
        <v>3.3569493281266636E-3</v>
      </c>
      <c r="AL20" s="236">
        <f t="shared" si="24"/>
        <v>16</v>
      </c>
      <c r="AM20" s="237">
        <f t="shared" si="13"/>
        <v>3.3569494262337685E-3</v>
      </c>
      <c r="AN20" s="282"/>
      <c r="AO20" s="234">
        <f t="shared" si="14"/>
        <v>16</v>
      </c>
      <c r="AP20" s="487">
        <f>'Interpolations HKD'!R37-$B$1</f>
        <v>8.9703192009866171E-4</v>
      </c>
      <c r="AQ20" s="236">
        <f t="shared" si="25"/>
        <v>16</v>
      </c>
      <c r="AR20" s="237">
        <f t="shared" si="15"/>
        <v>8.9703191770240664E-4</v>
      </c>
    </row>
    <row r="21" spans="1:44">
      <c r="A21" s="235">
        <f>'Interpolations USD'!I39</f>
        <v>17</v>
      </c>
      <c r="B21" s="487">
        <f>'Interpolations USD'!R39-$B$1</f>
        <v>-1.836016448366117E-3</v>
      </c>
      <c r="C21" s="236">
        <f t="shared" si="17"/>
        <v>17</v>
      </c>
      <c r="D21" s="237">
        <f t="shared" si="0"/>
        <v>-1.8360164249315858E-3</v>
      </c>
      <c r="E21" s="279"/>
      <c r="F21" s="235">
        <f t="shared" si="16"/>
        <v>17</v>
      </c>
      <c r="G21" s="487">
        <f>'Interpolations Euro'!R38-$B$1</f>
        <v>3.9795510128180474E-3</v>
      </c>
      <c r="H21" s="236">
        <f t="shared" si="18"/>
        <v>17</v>
      </c>
      <c r="I21" s="237">
        <f t="shared" si="1"/>
        <v>3.9795511402189732E-3</v>
      </c>
      <c r="J21" s="279"/>
      <c r="K21" s="235">
        <f t="shared" si="2"/>
        <v>17</v>
      </c>
      <c r="L21" s="487">
        <f>'Interpolations GBP'!R38-$B$1</f>
        <v>-2.2147764724974881E-3</v>
      </c>
      <c r="M21" s="236">
        <f t="shared" si="19"/>
        <v>17</v>
      </c>
      <c r="N21" s="237">
        <f t="shared" si="3"/>
        <v>-2.2147765848785639E-3</v>
      </c>
      <c r="O21" s="279"/>
      <c r="P21" s="235">
        <f t="shared" si="4"/>
        <v>17</v>
      </c>
      <c r="Q21" s="487">
        <f>'Interpolations CHF'!R38-$B$1</f>
        <v>1.4096896127156477E-3</v>
      </c>
      <c r="R21" s="236">
        <f t="shared" si="20"/>
        <v>17</v>
      </c>
      <c r="S21" s="237">
        <f t="shared" si="5"/>
        <v>1.4096896629780531E-3</v>
      </c>
      <c r="T21" s="279"/>
      <c r="U21" s="235">
        <f t="shared" si="6"/>
        <v>17</v>
      </c>
      <c r="V21" s="487">
        <f>'Interpolations CAD'!R38-$B$1</f>
        <v>3.9731324277017342E-3</v>
      </c>
      <c r="W21" s="236">
        <f t="shared" si="21"/>
        <v>17</v>
      </c>
      <c r="X21" s="237">
        <f t="shared" si="7"/>
        <v>3.9731324650347233E-3</v>
      </c>
      <c r="Y21" s="279"/>
      <c r="Z21" s="235">
        <f t="shared" si="8"/>
        <v>17</v>
      </c>
      <c r="AA21" s="487">
        <f>'Interpolations JPY'!R38-$B$1</f>
        <v>-6.7454459763934601E-6</v>
      </c>
      <c r="AB21" s="236">
        <f t="shared" si="22"/>
        <v>17</v>
      </c>
      <c r="AC21" s="237">
        <f t="shared" si="9"/>
        <v>-6.7454461714078207E-6</v>
      </c>
      <c r="AD21" s="282"/>
      <c r="AE21" s="235">
        <f t="shared" si="10"/>
        <v>17</v>
      </c>
      <c r="AF21" s="487">
        <f>'Interpolations AUD'!R38-$B$1</f>
        <v>1.3260770502172177E-3</v>
      </c>
      <c r="AG21" s="236">
        <f t="shared" si="23"/>
        <v>17</v>
      </c>
      <c r="AH21" s="237">
        <f t="shared" si="11"/>
        <v>1.3260770356282592E-3</v>
      </c>
      <c r="AI21" s="282"/>
      <c r="AJ21" s="235">
        <f t="shared" si="12"/>
        <v>17</v>
      </c>
      <c r="AK21" s="487">
        <f>'Interpolations NZD'!R38-$B$1</f>
        <v>4.0944637447866972E-3</v>
      </c>
      <c r="AL21" s="236">
        <f t="shared" si="24"/>
        <v>17</v>
      </c>
      <c r="AM21" s="237">
        <f t="shared" si="13"/>
        <v>4.0944637730717659E-3</v>
      </c>
      <c r="AN21" s="282"/>
      <c r="AO21" s="234">
        <f t="shared" si="14"/>
        <v>17</v>
      </c>
      <c r="AP21" s="487">
        <f>'Interpolations HKD'!R38-$B$1</f>
        <v>7.705631254254176E-4</v>
      </c>
      <c r="AQ21" s="236">
        <f t="shared" si="25"/>
        <v>17</v>
      </c>
      <c r="AR21" s="237">
        <f t="shared" si="15"/>
        <v>7.7056314330548048E-4</v>
      </c>
    </row>
    <row r="22" spans="1:44">
      <c r="A22" s="235">
        <f>'Interpolations USD'!I40</f>
        <v>18</v>
      </c>
      <c r="B22" s="487">
        <f>'Interpolations USD'!R40-$B$1</f>
        <v>-2.0976144218104445E-3</v>
      </c>
      <c r="C22" s="236">
        <f t="shared" si="17"/>
        <v>18</v>
      </c>
      <c r="D22" s="237">
        <f t="shared" si="0"/>
        <v>-2.0976143423467875E-3</v>
      </c>
      <c r="E22" s="279"/>
      <c r="F22" s="235">
        <f t="shared" si="16"/>
        <v>18</v>
      </c>
      <c r="G22" s="487">
        <f>'Interpolations Euro'!R39-$B$1</f>
        <v>3.9731839374621417E-3</v>
      </c>
      <c r="H22" s="236">
        <f t="shared" si="18"/>
        <v>18</v>
      </c>
      <c r="I22" s="237">
        <f t="shared" si="1"/>
        <v>3.9731841534376144E-3</v>
      </c>
      <c r="J22" s="279"/>
      <c r="K22" s="235">
        <f t="shared" si="2"/>
        <v>18</v>
      </c>
      <c r="L22" s="487">
        <f>'Interpolations GBP'!R39-$B$1</f>
        <v>-2.5387990627028885E-3</v>
      </c>
      <c r="M22" s="236">
        <f t="shared" si="19"/>
        <v>18</v>
      </c>
      <c r="N22" s="237">
        <f t="shared" si="3"/>
        <v>-2.53879907540977E-3</v>
      </c>
      <c r="O22" s="279"/>
      <c r="P22" s="235">
        <f t="shared" si="4"/>
        <v>18</v>
      </c>
      <c r="Q22" s="487">
        <f>'Interpolations CHF'!R39-$B$1</f>
        <v>1.3907342736486457E-3</v>
      </c>
      <c r="R22" s="236">
        <f t="shared" si="20"/>
        <v>18</v>
      </c>
      <c r="S22" s="237">
        <f t="shared" si="5"/>
        <v>1.3907342217862606E-3</v>
      </c>
      <c r="T22" s="279"/>
      <c r="U22" s="235">
        <f t="shared" si="6"/>
        <v>18</v>
      </c>
      <c r="V22" s="487">
        <f>'Interpolations CAD'!R39-$B$1</f>
        <v>4.0592056473715199E-3</v>
      </c>
      <c r="W22" s="236">
        <f t="shared" si="21"/>
        <v>18</v>
      </c>
      <c r="X22" s="237">
        <f t="shared" si="7"/>
        <v>4.0592057630419731E-3</v>
      </c>
      <c r="Y22" s="279"/>
      <c r="Z22" s="235">
        <f t="shared" si="8"/>
        <v>18</v>
      </c>
      <c r="AA22" s="487">
        <f>'Interpolations JPY'!R39-$B$1</f>
        <v>-1.7282444273346255E-4</v>
      </c>
      <c r="AB22" s="236">
        <f t="shared" si="22"/>
        <v>18</v>
      </c>
      <c r="AC22" s="237">
        <f t="shared" si="9"/>
        <v>-1.7282443877775222E-4</v>
      </c>
      <c r="AD22" s="282"/>
      <c r="AE22" s="235">
        <f t="shared" si="10"/>
        <v>18</v>
      </c>
      <c r="AF22" s="487">
        <f>'Interpolations AUD'!R39-$B$1</f>
        <v>1.187359679619973E-3</v>
      </c>
      <c r="AG22" s="236">
        <f t="shared" si="23"/>
        <v>18</v>
      </c>
      <c r="AH22" s="237">
        <f t="shared" si="11"/>
        <v>1.187359681352973E-3</v>
      </c>
      <c r="AI22" s="282"/>
      <c r="AJ22" s="235">
        <f t="shared" si="12"/>
        <v>18</v>
      </c>
      <c r="AK22" s="487">
        <f>'Interpolations NZD'!R39-$B$1</f>
        <v>4.8319781614467308E-3</v>
      </c>
      <c r="AL22" s="236">
        <f t="shared" si="24"/>
        <v>18</v>
      </c>
      <c r="AM22" s="237">
        <f t="shared" si="13"/>
        <v>4.8319781199097633E-3</v>
      </c>
      <c r="AN22" s="282"/>
      <c r="AO22" s="234">
        <f t="shared" si="14"/>
        <v>18</v>
      </c>
      <c r="AP22" s="487">
        <f>'Interpolations HKD'!R39-$B$1</f>
        <v>6.4409433075217348E-4</v>
      </c>
      <c r="AQ22" s="236">
        <f t="shared" si="25"/>
        <v>18</v>
      </c>
      <c r="AR22" s="237">
        <f t="shared" si="15"/>
        <v>6.440943107008934E-4</v>
      </c>
    </row>
    <row r="23" spans="1:44">
      <c r="A23" s="235">
        <f>'Interpolations USD'!I41</f>
        <v>19</v>
      </c>
      <c r="B23" s="487">
        <f>'Interpolations USD'!R41-$B$1</f>
        <v>-2.3741612292407224E-3</v>
      </c>
      <c r="C23" s="236">
        <f t="shared" si="17"/>
        <v>19</v>
      </c>
      <c r="D23" s="237">
        <f t="shared" si="0"/>
        <v>-2.3741612676531076E-3</v>
      </c>
      <c r="E23" s="279"/>
      <c r="F23" s="235">
        <f t="shared" si="16"/>
        <v>19</v>
      </c>
      <c r="G23" s="487">
        <f>'Interpolations Euro'!R40-$B$1</f>
        <v>3.9467081725775193E-3</v>
      </c>
      <c r="H23" s="236">
        <f t="shared" si="18"/>
        <v>19</v>
      </c>
      <c r="I23" s="237">
        <f t="shared" si="1"/>
        <v>3.9467080496251583E-3</v>
      </c>
      <c r="J23" s="279"/>
      <c r="K23" s="235">
        <f t="shared" si="2"/>
        <v>19</v>
      </c>
      <c r="L23" s="487">
        <f>'Interpolations GBP'!R40-$B$1</f>
        <v>-2.8301530079165244E-3</v>
      </c>
      <c r="M23" s="236">
        <f t="shared" si="19"/>
        <v>19</v>
      </c>
      <c r="N23" s="237">
        <f t="shared" si="3"/>
        <v>-2.8301530983299017E-3</v>
      </c>
      <c r="O23" s="279"/>
      <c r="P23" s="235">
        <f t="shared" si="4"/>
        <v>19</v>
      </c>
      <c r="Q23" s="487">
        <f>'Interpolations CHF'!R40-$B$1</f>
        <v>1.3717789345816436E-3</v>
      </c>
      <c r="R23" s="236">
        <f t="shared" si="20"/>
        <v>19</v>
      </c>
      <c r="S23" s="237">
        <f t="shared" si="5"/>
        <v>1.3717788970097899E-3</v>
      </c>
      <c r="T23" s="279"/>
      <c r="U23" s="235">
        <f t="shared" si="6"/>
        <v>19</v>
      </c>
      <c r="V23" s="487">
        <f>'Interpolations CAD'!R40-$B$1</f>
        <v>4.1452788670413056E-3</v>
      </c>
      <c r="W23" s="236">
        <f t="shared" si="21"/>
        <v>19</v>
      </c>
      <c r="X23" s="237">
        <f t="shared" si="7"/>
        <v>4.1452790610492229E-3</v>
      </c>
      <c r="Y23" s="279"/>
      <c r="Z23" s="235">
        <f t="shared" si="8"/>
        <v>19</v>
      </c>
      <c r="AA23" s="487">
        <f>'Interpolations JPY'!R40-$B$1</f>
        <v>-5.3482181118662004E-4</v>
      </c>
      <c r="AB23" s="236">
        <f t="shared" si="22"/>
        <v>19</v>
      </c>
      <c r="AC23" s="237">
        <f t="shared" si="9"/>
        <v>-5.3482182556763291E-4</v>
      </c>
      <c r="AD23" s="282"/>
      <c r="AE23" s="235">
        <f t="shared" si="10"/>
        <v>19</v>
      </c>
      <c r="AF23" s="487">
        <f>'Interpolations AUD'!R40-$B$1</f>
        <v>1.0486423090227282E-3</v>
      </c>
      <c r="AG23" s="236">
        <f t="shared" si="23"/>
        <v>19</v>
      </c>
      <c r="AH23" s="237">
        <f t="shared" si="11"/>
        <v>1.0486423270776868E-3</v>
      </c>
      <c r="AI23" s="282"/>
      <c r="AJ23" s="235">
        <f t="shared" si="12"/>
        <v>19</v>
      </c>
      <c r="AK23" s="487">
        <f>'Interpolations NZD'!R40-$B$1</f>
        <v>5.5694925781067644E-3</v>
      </c>
      <c r="AL23" s="236">
        <f t="shared" si="24"/>
        <v>19</v>
      </c>
      <c r="AM23" s="237">
        <f t="shared" si="13"/>
        <v>5.5694924667477608E-3</v>
      </c>
      <c r="AN23" s="282"/>
      <c r="AO23" s="234">
        <f t="shared" si="14"/>
        <v>19</v>
      </c>
      <c r="AP23" s="487">
        <f>'Interpolations HKD'!R40-$B$1</f>
        <v>5.1762553607892937E-4</v>
      </c>
      <c r="AQ23" s="236">
        <f t="shared" si="25"/>
        <v>19</v>
      </c>
      <c r="AR23" s="237">
        <f t="shared" si="15"/>
        <v>5.1762553630396724E-4</v>
      </c>
    </row>
    <row r="24" spans="1:44">
      <c r="A24" s="235">
        <f>'Interpolations USD'!I42</f>
        <v>20</v>
      </c>
      <c r="B24" s="487">
        <f>'Interpolations USD'!R42-$B$1</f>
        <v>-2.6588398853015774E-3</v>
      </c>
      <c r="C24" s="236">
        <f t="shared" si="17"/>
        <v>20</v>
      </c>
      <c r="D24" s="237">
        <f t="shared" si="0"/>
        <v>-2.6588398031890392E-3</v>
      </c>
      <c r="E24" s="279"/>
      <c r="F24" s="235">
        <f t="shared" si="16"/>
        <v>20</v>
      </c>
      <c r="G24" s="487">
        <f>'Interpolations Euro'!R41-$B$1</f>
        <v>3.8844284849671182E-3</v>
      </c>
      <c r="H24" s="236">
        <f t="shared" si="18"/>
        <v>20</v>
      </c>
      <c r="I24" s="237">
        <f t="shared" si="1"/>
        <v>3.8844284135848284E-3</v>
      </c>
      <c r="J24" s="279"/>
      <c r="K24" s="235">
        <f t="shared" si="2"/>
        <v>20</v>
      </c>
      <c r="L24" s="487">
        <f>'Interpolations GBP'!R41-$B$1</f>
        <v>-3.1051882154579024E-3</v>
      </c>
      <c r="M24" s="236">
        <f t="shared" si="19"/>
        <v>20</v>
      </c>
      <c r="N24" s="237">
        <f t="shared" si="3"/>
        <v>-3.1051882542669773E-3</v>
      </c>
      <c r="O24" s="279"/>
      <c r="P24" s="235">
        <f t="shared" si="4"/>
        <v>20</v>
      </c>
      <c r="Q24" s="487">
        <f>'Interpolations CHF'!R41-$B$1</f>
        <v>1.3528235955146415E-3</v>
      </c>
      <c r="R24" s="236">
        <f t="shared" si="20"/>
        <v>20</v>
      </c>
      <c r="S24" s="237">
        <f t="shared" si="5"/>
        <v>1.3528235722333193E-3</v>
      </c>
      <c r="T24" s="279"/>
      <c r="U24" s="235">
        <f t="shared" si="6"/>
        <v>20</v>
      </c>
      <c r="V24" s="487">
        <f>'Interpolations CAD'!R41-$B$1</f>
        <v>4.2313520867110913E-3</v>
      </c>
      <c r="W24" s="236">
        <f t="shared" si="21"/>
        <v>20</v>
      </c>
      <c r="X24" s="237">
        <f t="shared" si="7"/>
        <v>4.2313518933951855E-3</v>
      </c>
      <c r="Y24" s="279"/>
      <c r="Z24" s="235">
        <f t="shared" si="8"/>
        <v>20</v>
      </c>
      <c r="AA24" s="487">
        <f>'Interpolations JPY'!R41-$B$1</f>
        <v>-6.1836983639561912E-4</v>
      </c>
      <c r="AB24" s="236">
        <f t="shared" si="22"/>
        <v>20</v>
      </c>
      <c r="AC24" s="237">
        <f t="shared" si="9"/>
        <v>-6.1836984241381288E-4</v>
      </c>
      <c r="AD24" s="282"/>
      <c r="AE24" s="235">
        <f t="shared" si="10"/>
        <v>20</v>
      </c>
      <c r="AF24" s="487">
        <f>'Interpolations AUD'!R41-$B$1</f>
        <v>9.0992493842548348E-4</v>
      </c>
      <c r="AG24" s="236">
        <f t="shared" si="23"/>
        <v>20</v>
      </c>
      <c r="AH24" s="237">
        <f t="shared" si="11"/>
        <v>9.0992491459473968E-4</v>
      </c>
      <c r="AI24" s="282"/>
      <c r="AJ24" s="235">
        <f t="shared" si="12"/>
        <v>20</v>
      </c>
      <c r="AK24" s="487">
        <f>'Interpolations NZD'!R41-$B$1</f>
        <v>6.307006994766798E-3</v>
      </c>
      <c r="AL24" s="236">
        <f t="shared" si="24"/>
        <v>20</v>
      </c>
      <c r="AM24" s="237">
        <f t="shared" si="13"/>
        <v>6.3070068135857582E-3</v>
      </c>
      <c r="AN24" s="282"/>
      <c r="AO24" s="234">
        <f t="shared" si="14"/>
        <v>20</v>
      </c>
      <c r="AP24" s="487">
        <f>'Interpolations HKD'!R41-$B$1</f>
        <v>3.9115674140568525E-4</v>
      </c>
      <c r="AQ24" s="236">
        <f t="shared" si="25"/>
        <v>20</v>
      </c>
      <c r="AR24" s="237">
        <f t="shared" si="15"/>
        <v>3.9115673280321062E-4</v>
      </c>
    </row>
    <row r="25" spans="1:44">
      <c r="A25" s="235">
        <f>'Interpolations USD'!I43</f>
        <v>21</v>
      </c>
      <c r="B25" s="487">
        <f>'Interpolations USD'!R43-$B$1</f>
        <v>-2.9778147123550756E-3</v>
      </c>
      <c r="C25" s="236">
        <f t="shared" si="17"/>
        <v>21</v>
      </c>
      <c r="D25" s="237">
        <f t="shared" si="0"/>
        <v>-2.9778147581964731E-3</v>
      </c>
      <c r="E25" s="279"/>
      <c r="F25" s="235">
        <f t="shared" si="16"/>
        <v>21</v>
      </c>
      <c r="G25" s="487">
        <f>'Interpolations Euro'!R42-$B$1</f>
        <v>3.8425068763858145E-3</v>
      </c>
      <c r="H25" s="236">
        <f t="shared" si="18"/>
        <v>21</v>
      </c>
      <c r="I25" s="237">
        <f t="shared" si="1"/>
        <v>3.8425067905336618E-3</v>
      </c>
      <c r="J25" s="279"/>
      <c r="K25" s="235">
        <f t="shared" si="2"/>
        <v>21</v>
      </c>
      <c r="L25" s="487">
        <f>'Interpolations GBP'!R42-$B$1</f>
        <v>-3.2311955401257047E-3</v>
      </c>
      <c r="M25" s="236">
        <f t="shared" si="19"/>
        <v>21</v>
      </c>
      <c r="N25" s="237">
        <f t="shared" si="3"/>
        <v>-3.2311955001205206E-3</v>
      </c>
      <c r="O25" s="279"/>
      <c r="P25" s="235">
        <f t="shared" si="4"/>
        <v>21</v>
      </c>
      <c r="Q25" s="487">
        <f>'Interpolations CHF'!R42-$B$1</f>
        <v>1.2851582733647204E-3</v>
      </c>
      <c r="R25" s="236">
        <f t="shared" si="20"/>
        <v>21</v>
      </c>
      <c r="S25" s="237">
        <f t="shared" si="5"/>
        <v>1.2851583305746317E-3</v>
      </c>
      <c r="T25" s="279"/>
      <c r="U25" s="235">
        <f t="shared" si="6"/>
        <v>21</v>
      </c>
      <c r="V25" s="487">
        <f>'Interpolations CAD'!R42-$B$1</f>
        <v>4.1059631012506275E-3</v>
      </c>
      <c r="W25" s="236">
        <f t="shared" si="21"/>
        <v>21</v>
      </c>
      <c r="X25" s="237">
        <f t="shared" si="7"/>
        <v>4.1059632785618305E-3</v>
      </c>
      <c r="Y25" s="279"/>
      <c r="Z25" s="235">
        <f t="shared" si="8"/>
        <v>21</v>
      </c>
      <c r="AA25" s="487">
        <f>'Interpolations JPY'!R42-$B$1</f>
        <v>-9.4664982976615415E-4</v>
      </c>
      <c r="AB25" s="236">
        <f t="shared" si="22"/>
        <v>21</v>
      </c>
      <c r="AC25" s="237">
        <f t="shared" si="9"/>
        <v>-9.4664981588721275E-4</v>
      </c>
      <c r="AD25" s="282"/>
      <c r="AE25" s="235">
        <f t="shared" si="10"/>
        <v>21</v>
      </c>
      <c r="AF25" s="487">
        <f>'Interpolations AUD'!R42-$B$1</f>
        <v>6.7804842120962067E-4</v>
      </c>
      <c r="AG25" s="236">
        <f t="shared" si="23"/>
        <v>21</v>
      </c>
      <c r="AH25" s="237">
        <f t="shared" si="11"/>
        <v>6.780484109185636E-4</v>
      </c>
      <c r="AI25" s="282"/>
      <c r="AJ25" s="235">
        <f t="shared" si="12"/>
        <v>21</v>
      </c>
      <c r="AK25" s="487">
        <f>'Interpolations NZD'!R42-$B$1</f>
        <v>6.6358487032459274E-3</v>
      </c>
      <c r="AL25" s="236">
        <f t="shared" si="24"/>
        <v>21</v>
      </c>
      <c r="AM25" s="237">
        <f t="shared" si="13"/>
        <v>6.6358488984405994E-3</v>
      </c>
      <c r="AN25" s="282"/>
      <c r="AO25" s="234">
        <f t="shared" si="14"/>
        <v>21</v>
      </c>
      <c r="AP25" s="487">
        <f>'Interpolations HKD'!R42-$B$1</f>
        <v>2.6468794673244114E-4</v>
      </c>
      <c r="AQ25" s="236">
        <f t="shared" si="25"/>
        <v>21</v>
      </c>
      <c r="AR25" s="237">
        <f t="shared" si="15"/>
        <v>2.6468795840628445E-4</v>
      </c>
    </row>
    <row r="26" spans="1:44">
      <c r="A26" s="235">
        <f>'Interpolations USD'!I44</f>
        <v>22</v>
      </c>
      <c r="B26" s="487">
        <f>'Interpolations USD'!R44-$B$1</f>
        <v>-3.296789539408573E-3</v>
      </c>
      <c r="C26" s="236">
        <f t="shared" si="17"/>
        <v>22</v>
      </c>
      <c r="D26" s="237">
        <f t="shared" si="0"/>
        <v>-3.2967894803732634E-3</v>
      </c>
      <c r="E26" s="279"/>
      <c r="F26" s="235">
        <f t="shared" si="16"/>
        <v>22</v>
      </c>
      <c r="G26" s="487">
        <f>'Interpolations Euro'!R43-$B$1</f>
        <v>3.8056861633580632E-3</v>
      </c>
      <c r="H26" s="236">
        <f t="shared" si="18"/>
        <v>22</v>
      </c>
      <c r="I26" s="237">
        <f t="shared" si="1"/>
        <v>3.8056862540543079E-3</v>
      </c>
      <c r="J26" s="279"/>
      <c r="K26" s="235">
        <f t="shared" si="2"/>
        <v>22</v>
      </c>
      <c r="L26" s="487">
        <f>'Interpolations GBP'!R43-$B$1</f>
        <v>-3.4577289180637979E-3</v>
      </c>
      <c r="M26" s="236">
        <f t="shared" si="19"/>
        <v>22</v>
      </c>
      <c r="N26" s="237">
        <f t="shared" si="3"/>
        <v>-3.4577290061861277E-3</v>
      </c>
      <c r="O26" s="279"/>
      <c r="P26" s="235">
        <f t="shared" si="4"/>
        <v>22</v>
      </c>
      <c r="Q26" s="487">
        <f>'Interpolations CHF'!R43-$B$1</f>
        <v>1.2174929512147998E-3</v>
      </c>
      <c r="R26" s="236">
        <f t="shared" si="20"/>
        <v>22</v>
      </c>
      <c r="S26" s="237">
        <f t="shared" si="5"/>
        <v>1.2174929725006223E-3</v>
      </c>
      <c r="T26" s="279"/>
      <c r="U26" s="235">
        <f t="shared" si="6"/>
        <v>22</v>
      </c>
      <c r="V26" s="487">
        <f>'Interpolations CAD'!R43-$B$1</f>
        <v>3.9805741157901619E-3</v>
      </c>
      <c r="W26" s="236">
        <f t="shared" si="21"/>
        <v>22</v>
      </c>
      <c r="X26" s="237">
        <f t="shared" si="7"/>
        <v>3.9805741980671883E-3</v>
      </c>
      <c r="Y26" s="279"/>
      <c r="Z26" s="235">
        <f t="shared" si="8"/>
        <v>22</v>
      </c>
      <c r="AA26" s="487">
        <f>'Interpolations JPY'!R43-$B$1</f>
        <v>-1.2749298231366892E-3</v>
      </c>
      <c r="AB26" s="236">
        <f t="shared" si="22"/>
        <v>22</v>
      </c>
      <c r="AC26" s="237">
        <f t="shared" si="9"/>
        <v>-1.2749298475682735E-3</v>
      </c>
      <c r="AD26" s="282"/>
      <c r="AE26" s="235">
        <f t="shared" si="10"/>
        <v>22</v>
      </c>
      <c r="AF26" s="487">
        <f>'Interpolations AUD'!R43-$B$1</f>
        <v>4.4617190399375787E-4</v>
      </c>
      <c r="AG26" s="236">
        <f t="shared" si="23"/>
        <v>22</v>
      </c>
      <c r="AH26" s="237">
        <f t="shared" si="11"/>
        <v>4.4617190724238753E-4</v>
      </c>
      <c r="AI26" s="282"/>
      <c r="AJ26" s="235">
        <f t="shared" si="12"/>
        <v>22</v>
      </c>
      <c r="AK26" s="487">
        <f>'Interpolations NZD'!R43-$B$1</f>
        <v>6.9646904117250498E-3</v>
      </c>
      <c r="AL26" s="236">
        <f t="shared" si="24"/>
        <v>22</v>
      </c>
      <c r="AM26" s="237">
        <f t="shared" si="13"/>
        <v>6.9646905176341534E-3</v>
      </c>
      <c r="AN26" s="282"/>
      <c r="AO26" s="234">
        <f t="shared" si="14"/>
        <v>22</v>
      </c>
      <c r="AP26" s="487">
        <f>'Interpolations HKD'!R43-$B$1</f>
        <v>1.3821915205919702E-4</v>
      </c>
      <c r="AQ26" s="236">
        <f t="shared" si="25"/>
        <v>22</v>
      </c>
      <c r="AR26" s="237">
        <f t="shared" si="15"/>
        <v>1.3821915490552783E-4</v>
      </c>
    </row>
    <row r="27" spans="1:44">
      <c r="A27" s="235">
        <f>'Interpolations USD'!I45</f>
        <v>23</v>
      </c>
      <c r="B27" s="487">
        <f>'Interpolations USD'!R45-$B$1</f>
        <v>-3.6157643664620704E-3</v>
      </c>
      <c r="C27" s="236">
        <f t="shared" si="17"/>
        <v>23</v>
      </c>
      <c r="D27" s="237">
        <f t="shared" si="0"/>
        <v>-3.6157644353806973E-3</v>
      </c>
      <c r="E27" s="279"/>
      <c r="F27" s="235">
        <f t="shared" si="16"/>
        <v>23</v>
      </c>
      <c r="G27" s="487">
        <f>'Interpolations Euro'!R44-$B$1</f>
        <v>3.719208681371774E-3</v>
      </c>
      <c r="H27" s="236">
        <f t="shared" si="18"/>
        <v>23</v>
      </c>
      <c r="I27" s="237">
        <f t="shared" si="1"/>
        <v>3.719208762049675E-3</v>
      </c>
      <c r="J27" s="279"/>
      <c r="K27" s="235">
        <f t="shared" si="2"/>
        <v>23</v>
      </c>
      <c r="L27" s="487">
        <f>'Interpolations GBP'!R44-$B$1</f>
        <v>-3.6801346444179277E-3</v>
      </c>
      <c r="M27" s="236">
        <f t="shared" si="19"/>
        <v>23</v>
      </c>
      <c r="N27" s="237">
        <f t="shared" si="3"/>
        <v>-3.6801346577703953E-3</v>
      </c>
      <c r="O27" s="279"/>
      <c r="P27" s="235">
        <f t="shared" si="4"/>
        <v>23</v>
      </c>
      <c r="Q27" s="487">
        <f>'Interpolations CHF'!R44-$B$1</f>
        <v>1.1498276290648791E-3</v>
      </c>
      <c r="R27" s="236">
        <f t="shared" si="20"/>
        <v>23</v>
      </c>
      <c r="S27" s="237">
        <f t="shared" si="5"/>
        <v>1.1498276144266129E-3</v>
      </c>
      <c r="T27" s="279"/>
      <c r="U27" s="235">
        <f t="shared" si="6"/>
        <v>23</v>
      </c>
      <c r="V27" s="487">
        <f>'Interpolations CAD'!R44-$B$1</f>
        <v>3.8551851303296964E-3</v>
      </c>
      <c r="W27" s="236">
        <f t="shared" si="21"/>
        <v>23</v>
      </c>
      <c r="X27" s="237">
        <f t="shared" si="7"/>
        <v>3.855185117572546E-3</v>
      </c>
      <c r="Y27" s="279"/>
      <c r="Z27" s="235">
        <f t="shared" si="8"/>
        <v>23</v>
      </c>
      <c r="AA27" s="487">
        <f>'Interpolations JPY'!R44-$B$1</f>
        <v>-1.6032098165072242E-3</v>
      </c>
      <c r="AB27" s="236">
        <f t="shared" si="22"/>
        <v>23</v>
      </c>
      <c r="AC27" s="237">
        <f t="shared" si="9"/>
        <v>-1.6032097628340125E-3</v>
      </c>
      <c r="AD27" s="282"/>
      <c r="AE27" s="235">
        <f t="shared" si="10"/>
        <v>23</v>
      </c>
      <c r="AF27" s="487">
        <f>'Interpolations AUD'!R44-$B$1</f>
        <v>2.1429538677789507E-4</v>
      </c>
      <c r="AG27" s="236">
        <f t="shared" si="23"/>
        <v>23</v>
      </c>
      <c r="AH27" s="237">
        <f t="shared" si="11"/>
        <v>2.1429538901429623E-4</v>
      </c>
      <c r="AI27" s="282"/>
      <c r="AJ27" s="235">
        <f t="shared" si="12"/>
        <v>23</v>
      </c>
      <c r="AK27" s="487">
        <f>'Interpolations NZD'!R44-$B$1</f>
        <v>7.2935321202041723E-3</v>
      </c>
      <c r="AL27" s="236">
        <f t="shared" si="24"/>
        <v>23</v>
      </c>
      <c r="AM27" s="237">
        <f t="shared" si="13"/>
        <v>7.2935321368277073E-3</v>
      </c>
      <c r="AN27" s="282"/>
      <c r="AO27" s="234">
        <f t="shared" si="14"/>
        <v>23</v>
      </c>
      <c r="AP27" s="487">
        <f>'Interpolations HKD'!R44-$B$1</f>
        <v>1.1750357385952905E-5</v>
      </c>
      <c r="AQ27" s="236">
        <f t="shared" si="25"/>
        <v>23</v>
      </c>
      <c r="AR27" s="237">
        <f t="shared" si="15"/>
        <v>1.1750357771234121E-5</v>
      </c>
    </row>
    <row r="28" spans="1:44">
      <c r="A28" s="235">
        <f>'Interpolations USD'!I46</f>
        <v>24</v>
      </c>
      <c r="B28" s="487">
        <f>'Interpolations USD'!R46-$B$1</f>
        <v>-3.9347391935155678E-3</v>
      </c>
      <c r="C28" s="236">
        <f t="shared" si="17"/>
        <v>24</v>
      </c>
      <c r="D28" s="237">
        <f t="shared" si="0"/>
        <v>-3.9347391575574875E-3</v>
      </c>
      <c r="E28" s="279"/>
      <c r="F28" s="235">
        <f t="shared" si="16"/>
        <v>24</v>
      </c>
      <c r="G28" s="487">
        <f>'Interpolations Euro'!R45-$B$1</f>
        <v>3.6236496148745754E-3</v>
      </c>
      <c r="H28" s="236">
        <f t="shared" si="18"/>
        <v>24</v>
      </c>
      <c r="I28" s="237">
        <f t="shared" si="1"/>
        <v>3.6236497107893229E-3</v>
      </c>
      <c r="J28" s="279"/>
      <c r="K28" s="235">
        <f t="shared" si="2"/>
        <v>24</v>
      </c>
      <c r="L28" s="487">
        <f>'Interpolations GBP'!R45-$B$1</f>
        <v>-3.9025403707720575E-3</v>
      </c>
      <c r="M28" s="236">
        <f t="shared" si="19"/>
        <v>24</v>
      </c>
      <c r="N28" s="237">
        <f t="shared" si="3"/>
        <v>-3.9025403093546629E-3</v>
      </c>
      <c r="O28" s="279"/>
      <c r="P28" s="235">
        <f t="shared" si="4"/>
        <v>24</v>
      </c>
      <c r="Q28" s="487">
        <f>'Interpolations CHF'!R45-$B$1</f>
        <v>1.0821623069149585E-3</v>
      </c>
      <c r="R28" s="236">
        <f t="shared" si="20"/>
        <v>24</v>
      </c>
      <c r="S28" s="237">
        <f t="shared" si="5"/>
        <v>1.0821622563526034E-3</v>
      </c>
      <c r="T28" s="279"/>
      <c r="U28" s="235">
        <f t="shared" si="6"/>
        <v>24</v>
      </c>
      <c r="V28" s="487">
        <f>'Interpolations CAD'!R45-$B$1</f>
        <v>3.7297961448692308E-3</v>
      </c>
      <c r="W28" s="236">
        <f t="shared" si="21"/>
        <v>24</v>
      </c>
      <c r="X28" s="237">
        <f t="shared" si="7"/>
        <v>3.7297960370779037E-3</v>
      </c>
      <c r="Y28" s="279"/>
      <c r="Z28" s="235">
        <f t="shared" si="8"/>
        <v>24</v>
      </c>
      <c r="AA28" s="487">
        <f>'Interpolations JPY'!R45-$B$1</f>
        <v>-1.9314898098777592E-3</v>
      </c>
      <c r="AB28" s="236">
        <f t="shared" si="22"/>
        <v>24</v>
      </c>
      <c r="AC28" s="237">
        <f t="shared" si="9"/>
        <v>-1.9314897945150733E-3</v>
      </c>
      <c r="AD28" s="282"/>
      <c r="AE28" s="235">
        <f t="shared" si="10"/>
        <v>24</v>
      </c>
      <c r="AF28" s="487">
        <f>'Interpolations AUD'!R45-$B$1</f>
        <v>-1.7581130437967739E-5</v>
      </c>
      <c r="AG28" s="236">
        <f t="shared" si="23"/>
        <v>24</v>
      </c>
      <c r="AH28" s="237">
        <f t="shared" si="11"/>
        <v>-1.7581131032784469E-5</v>
      </c>
      <c r="AI28" s="282"/>
      <c r="AJ28" s="235">
        <f t="shared" si="12"/>
        <v>24</v>
      </c>
      <c r="AK28" s="487">
        <f>'Interpolations NZD'!R45-$B$1</f>
        <v>7.6223738286832947E-3</v>
      </c>
      <c r="AL28" s="236">
        <f t="shared" si="24"/>
        <v>24</v>
      </c>
      <c r="AM28" s="237">
        <f t="shared" si="13"/>
        <v>7.6223737560212612E-3</v>
      </c>
      <c r="AN28" s="282"/>
      <c r="AO28" s="234">
        <f t="shared" si="14"/>
        <v>24</v>
      </c>
      <c r="AP28" s="487">
        <f>'Interpolations HKD'!R45-$B$1</f>
        <v>-1.1471843728729121E-4</v>
      </c>
      <c r="AQ28" s="236">
        <f t="shared" si="25"/>
        <v>24</v>
      </c>
      <c r="AR28" s="237">
        <f t="shared" si="15"/>
        <v>-1.1471843754407018E-4</v>
      </c>
    </row>
    <row r="29" spans="1:44">
      <c r="A29" s="235">
        <f>'Interpolations USD'!I47</f>
        <v>25</v>
      </c>
      <c r="B29" s="487">
        <f>'Interpolations USD'!R47-$B$1</f>
        <v>-4.2537140205690651E-3</v>
      </c>
      <c r="C29" s="236">
        <f>C28+1</f>
        <v>25</v>
      </c>
      <c r="D29" s="237">
        <f t="shared" si="0"/>
        <v>-4.2537138797342777E-3</v>
      </c>
      <c r="E29" s="279"/>
      <c r="F29" s="235">
        <f t="shared" si="16"/>
        <v>25</v>
      </c>
      <c r="G29" s="487">
        <f>'Interpolations Euro'!R46-$B$1</f>
        <v>3.492407233046513E-3</v>
      </c>
      <c r="H29" s="236">
        <f>H28+1</f>
        <v>25</v>
      </c>
      <c r="I29" s="237">
        <f t="shared" si="1"/>
        <v>3.4924072679132223E-3</v>
      </c>
      <c r="J29" s="279"/>
      <c r="K29" s="235">
        <f t="shared" si="2"/>
        <v>25</v>
      </c>
      <c r="L29" s="487">
        <f>'Interpolations GBP'!R46-$B$1</f>
        <v>-4.1249460971261873E-3</v>
      </c>
      <c r="M29" s="236">
        <f>M28+1</f>
        <v>25</v>
      </c>
      <c r="N29" s="237">
        <f t="shared" si="3"/>
        <v>-4.1249459609389305E-3</v>
      </c>
      <c r="O29" s="279"/>
      <c r="P29" s="235">
        <f t="shared" si="4"/>
        <v>25</v>
      </c>
      <c r="Q29" s="487">
        <f>'Interpolations CHF'!R46-$B$1</f>
        <v>1.0144969847650379E-3</v>
      </c>
      <c r="R29" s="236">
        <f>R28+1</f>
        <v>25</v>
      </c>
      <c r="S29" s="237">
        <f t="shared" si="5"/>
        <v>1.0144970146939158E-3</v>
      </c>
      <c r="T29" s="279"/>
      <c r="U29" s="235">
        <f t="shared" si="6"/>
        <v>25</v>
      </c>
      <c r="V29" s="487">
        <f>'Interpolations CAD'!R46-$B$1</f>
        <v>3.6044071594087653E-3</v>
      </c>
      <c r="W29" s="236">
        <f>W28+1</f>
        <v>25</v>
      </c>
      <c r="X29" s="237">
        <f t="shared" si="7"/>
        <v>3.6044071894139051E-3</v>
      </c>
      <c r="Y29" s="279"/>
      <c r="Z29" s="235">
        <f t="shared" si="8"/>
        <v>25</v>
      </c>
      <c r="AA29" s="487">
        <f>'Interpolations JPY'!R46-$B$1</f>
        <v>-2.2597698032482943E-3</v>
      </c>
      <c r="AB29" s="236">
        <f>AB28+1</f>
        <v>25</v>
      </c>
      <c r="AC29" s="237">
        <f t="shared" si="9"/>
        <v>-2.2597697097808123E-3</v>
      </c>
      <c r="AD29" s="279"/>
      <c r="AE29" s="235">
        <f t="shared" si="10"/>
        <v>25</v>
      </c>
      <c r="AF29" s="487">
        <f>'Interpolations AUD'!R46-$B$1</f>
        <v>-2.4945764765383054E-4</v>
      </c>
      <c r="AG29" s="236">
        <f>AG28+1</f>
        <v>25</v>
      </c>
      <c r="AH29" s="237">
        <f t="shared" si="11"/>
        <v>-2.4945766199380159E-4</v>
      </c>
      <c r="AI29" s="279"/>
      <c r="AJ29" s="235">
        <f t="shared" si="12"/>
        <v>25</v>
      </c>
      <c r="AK29" s="487">
        <f>'Interpolations NZD'!R46-$B$1</f>
        <v>7.9512155371624163E-3</v>
      </c>
      <c r="AL29" s="236">
        <f>AL28+1</f>
        <v>25</v>
      </c>
      <c r="AM29" s="237">
        <f t="shared" si="13"/>
        <v>7.9512158408761024E-3</v>
      </c>
      <c r="AO29" s="234">
        <f t="shared" si="14"/>
        <v>25</v>
      </c>
      <c r="AP29" s="487">
        <f>'Interpolations HKD'!R46-$B$1</f>
        <v>-2.4118723196053533E-4</v>
      </c>
      <c r="AQ29" s="236">
        <f t="shared" si="25"/>
        <v>25</v>
      </c>
      <c r="AR29" s="237">
        <f t="shared" si="15"/>
        <v>-2.4118722649291158E-4</v>
      </c>
    </row>
    <row r="30" spans="1:44">
      <c r="A30" s="235">
        <f>'Interpolations USD'!I48</f>
        <v>26</v>
      </c>
      <c r="B30" s="487">
        <f>'Interpolations USD'!R48-$B$1</f>
        <v>-4.572481206250356E-3</v>
      </c>
      <c r="C30" s="236">
        <f t="shared" si="17"/>
        <v>26</v>
      </c>
      <c r="D30" s="237">
        <f t="shared" si="0"/>
        <v>-4.572481382638216E-3</v>
      </c>
      <c r="E30" s="279"/>
      <c r="F30" s="235">
        <f t="shared" si="16"/>
        <v>26</v>
      </c>
      <c r="G30" s="487">
        <f>'Interpolations Euro'!R47-$B$1</f>
        <v>3.4397855644697157E-3</v>
      </c>
      <c r="H30" s="236">
        <f t="shared" si="18"/>
        <v>26</v>
      </c>
      <c r="I30" s="237">
        <f t="shared" si="1"/>
        <v>3.4397856798022985E-3</v>
      </c>
      <c r="J30" s="279"/>
      <c r="K30" s="235">
        <f t="shared" si="2"/>
        <v>26</v>
      </c>
      <c r="L30" s="487">
        <f>'Interpolations GBP'!R47-$B$1</f>
        <v>-4.2136437469038482E-3</v>
      </c>
      <c r="M30" s="236">
        <f t="shared" si="19"/>
        <v>26</v>
      </c>
      <c r="N30" s="237">
        <f t="shared" si="3"/>
        <v>-4.2136437259614468E-3</v>
      </c>
      <c r="O30" s="279"/>
      <c r="P30" s="235">
        <f t="shared" si="4"/>
        <v>26</v>
      </c>
      <c r="Q30" s="487">
        <f>'Interpolations CHF'!R47-$B$1</f>
        <v>9.867011190506955E-4</v>
      </c>
      <c r="R30" s="236">
        <f t="shared" si="20"/>
        <v>26</v>
      </c>
      <c r="S30" s="237">
        <f t="shared" si="5"/>
        <v>9.8670111037790775E-4</v>
      </c>
      <c r="T30" s="279"/>
      <c r="U30" s="235">
        <f t="shared" si="6"/>
        <v>26</v>
      </c>
      <c r="V30" s="487">
        <f>'Interpolations CAD'!R47-$B$1</f>
        <v>3.4543081963696052E-3</v>
      </c>
      <c r="W30" s="236">
        <f t="shared" si="21"/>
        <v>26</v>
      </c>
      <c r="X30" s="237">
        <f t="shared" si="7"/>
        <v>3.454308258369565E-3</v>
      </c>
      <c r="Y30" s="279"/>
      <c r="Z30" s="235">
        <f t="shared" si="8"/>
        <v>26</v>
      </c>
      <c r="AA30" s="487">
        <f>'Interpolations JPY'!R47-$B$1</f>
        <v>-2.6285134659058814E-3</v>
      </c>
      <c r="AB30" s="236">
        <f t="shared" si="22"/>
        <v>26</v>
      </c>
      <c r="AC30" s="237">
        <f t="shared" si="9"/>
        <v>-2.6285133790224791E-3</v>
      </c>
      <c r="AD30" s="279"/>
      <c r="AE30" s="235">
        <f t="shared" si="10"/>
        <v>26</v>
      </c>
      <c r="AF30" s="487">
        <f>'Interpolations AUD'!R47-$B$1</f>
        <v>-5.9195058828361881E-4</v>
      </c>
      <c r="AG30" s="236">
        <f t="shared" si="23"/>
        <v>26</v>
      </c>
      <c r="AH30" s="237">
        <f t="shared" si="11"/>
        <v>-5.919506074860692E-4</v>
      </c>
      <c r="AI30" s="279"/>
      <c r="AJ30" s="235">
        <f t="shared" si="12"/>
        <v>26</v>
      </c>
      <c r="AK30" s="487">
        <f>'Interpolations NZD'!R47-$B$1</f>
        <v>7.9880375534817916E-3</v>
      </c>
      <c r="AL30" s="236">
        <f t="shared" si="24"/>
        <v>26</v>
      </c>
      <c r="AM30" s="237">
        <f t="shared" si="13"/>
        <v>7.9880375415086746E-3</v>
      </c>
      <c r="AO30" s="234">
        <f t="shared" si="14"/>
        <v>26</v>
      </c>
      <c r="AP30" s="487">
        <f>'Interpolations HKD'!R47-$B$1</f>
        <v>-3.6765602663377944E-4</v>
      </c>
      <c r="AQ30" s="236">
        <f t="shared" si="25"/>
        <v>26</v>
      </c>
      <c r="AR30" s="237">
        <f t="shared" si="15"/>
        <v>-3.676560299936682E-4</v>
      </c>
    </row>
    <row r="31" spans="1:44">
      <c r="A31" s="235">
        <f>'Interpolations USD'!I49</f>
        <v>27</v>
      </c>
      <c r="B31" s="487">
        <f>'Interpolations USD'!R49-$B$1</f>
        <v>-4.8912483919316459E-3</v>
      </c>
      <c r="C31" s="236">
        <f t="shared" si="17"/>
        <v>27</v>
      </c>
      <c r="D31" s="237">
        <f t="shared" si="0"/>
        <v>-4.891248419880867E-3</v>
      </c>
      <c r="E31" s="279"/>
      <c r="F31" s="235">
        <f t="shared" si="16"/>
        <v>27</v>
      </c>
      <c r="G31" s="487">
        <f>'Interpolations Euro'!R48-$B$1</f>
        <v>3.3462694740858607E-3</v>
      </c>
      <c r="H31" s="236">
        <f t="shared" si="18"/>
        <v>27</v>
      </c>
      <c r="I31" s="237">
        <f t="shared" si="1"/>
        <v>3.3462694846093655E-3</v>
      </c>
      <c r="J31" s="279"/>
      <c r="K31" s="235">
        <f t="shared" si="2"/>
        <v>27</v>
      </c>
      <c r="L31" s="487">
        <f>'Interpolations GBP'!R48-$B$1</f>
        <v>-4.2891262924377189E-3</v>
      </c>
      <c r="M31" s="236">
        <f t="shared" si="19"/>
        <v>27</v>
      </c>
      <c r="N31" s="237">
        <f t="shared" si="3"/>
        <v>-4.2891264893114567E-3</v>
      </c>
      <c r="O31" s="279"/>
      <c r="P31" s="235">
        <f t="shared" si="4"/>
        <v>27</v>
      </c>
      <c r="Q31" s="487">
        <f>'Interpolations CHF'!R48-$B$1</f>
        <v>9.5890525333635398E-4</v>
      </c>
      <c r="R31" s="236">
        <f t="shared" si="20"/>
        <v>27</v>
      </c>
      <c r="S31" s="237">
        <f t="shared" si="5"/>
        <v>9.5890526426956058E-4</v>
      </c>
      <c r="T31" s="279"/>
      <c r="U31" s="235">
        <f t="shared" si="6"/>
        <v>27</v>
      </c>
      <c r="V31" s="487">
        <f>'Interpolations CAD'!R48-$B$1</f>
        <v>3.3042092333304468E-3</v>
      </c>
      <c r="W31" s="236">
        <f t="shared" si="21"/>
        <v>27</v>
      </c>
      <c r="X31" s="237">
        <f t="shared" si="7"/>
        <v>3.3042093273252249E-3</v>
      </c>
      <c r="Y31" s="279"/>
      <c r="Z31" s="235">
        <f t="shared" si="8"/>
        <v>27</v>
      </c>
      <c r="AA31" s="487">
        <f>'Interpolations JPY'!R48-$B$1</f>
        <v>-2.9972571285634682E-3</v>
      </c>
      <c r="AB31" s="236">
        <f t="shared" si="22"/>
        <v>27</v>
      </c>
      <c r="AC31" s="237">
        <f t="shared" si="9"/>
        <v>-2.9972570482641459E-3</v>
      </c>
      <c r="AD31" s="279"/>
      <c r="AE31" s="235">
        <f t="shared" si="10"/>
        <v>27</v>
      </c>
      <c r="AF31" s="487">
        <f>'Interpolations AUD'!R48-$B$1</f>
        <v>-9.3444352891340729E-4</v>
      </c>
      <c r="AG31" s="236">
        <f t="shared" si="23"/>
        <v>27</v>
      </c>
      <c r="AH31" s="237">
        <f t="shared" si="11"/>
        <v>-9.3444355297833681E-4</v>
      </c>
      <c r="AI31" s="279"/>
      <c r="AJ31" s="235">
        <f t="shared" si="12"/>
        <v>27</v>
      </c>
      <c r="AK31" s="487">
        <f>'Interpolations NZD'!R48-$B$1</f>
        <v>8.0248595698011668E-3</v>
      </c>
      <c r="AL31" s="236">
        <f t="shared" si="24"/>
        <v>27</v>
      </c>
      <c r="AM31" s="237">
        <f t="shared" si="13"/>
        <v>8.0248592421412468E-3</v>
      </c>
      <c r="AO31" s="234">
        <f t="shared" si="14"/>
        <v>27</v>
      </c>
      <c r="AP31" s="487">
        <f>'Interpolations HKD'!R48-$B$1</f>
        <v>-4.9412482130702356E-4</v>
      </c>
      <c r="AQ31" s="236">
        <f t="shared" si="25"/>
        <v>27</v>
      </c>
      <c r="AR31" s="237">
        <f t="shared" si="15"/>
        <v>-4.9412483349442482E-4</v>
      </c>
    </row>
    <row r="32" spans="1:44">
      <c r="A32" s="235">
        <f>'Interpolations USD'!I50</f>
        <v>28</v>
      </c>
      <c r="B32" s="487">
        <f>'Interpolations USD'!R50-$B$1</f>
        <v>-5.2100155776129359E-3</v>
      </c>
      <c r="C32" s="236">
        <f t="shared" si="17"/>
        <v>28</v>
      </c>
      <c r="D32" s="237">
        <f t="shared" si="0"/>
        <v>-5.210015457123518E-3</v>
      </c>
      <c r="E32" s="279"/>
      <c r="F32" s="235">
        <f t="shared" si="16"/>
        <v>28</v>
      </c>
      <c r="G32" s="487">
        <f>'Interpolations Euro'!R49-$B$1</f>
        <v>3.2564291984001079E-3</v>
      </c>
      <c r="H32" s="236">
        <f t="shared" si="18"/>
        <v>28</v>
      </c>
      <c r="I32" s="237">
        <f t="shared" si="1"/>
        <v>3.2564292196184397E-3</v>
      </c>
      <c r="J32" s="279"/>
      <c r="K32" s="235">
        <f t="shared" si="2"/>
        <v>28</v>
      </c>
      <c r="L32" s="487">
        <f>'Interpolations GBP'!R49-$B$1</f>
        <v>-4.3646088379715887E-3</v>
      </c>
      <c r="M32" s="236">
        <f t="shared" si="19"/>
        <v>28</v>
      </c>
      <c r="N32" s="237">
        <f t="shared" si="3"/>
        <v>-4.3646087870001793E-3</v>
      </c>
      <c r="O32" s="279"/>
      <c r="P32" s="235">
        <f t="shared" si="4"/>
        <v>28</v>
      </c>
      <c r="Q32" s="487">
        <f>'Interpolations CHF'!R49-$B$1</f>
        <v>9.3110938762201246E-4</v>
      </c>
      <c r="R32" s="236">
        <f t="shared" si="20"/>
        <v>28</v>
      </c>
      <c r="S32" s="237">
        <f t="shared" si="5"/>
        <v>9.3110935995355248E-4</v>
      </c>
      <c r="T32" s="279"/>
      <c r="U32" s="235">
        <f t="shared" si="6"/>
        <v>28</v>
      </c>
      <c r="V32" s="487">
        <f>'Interpolations CAD'!R49-$B$1</f>
        <v>3.1541102702912884E-3</v>
      </c>
      <c r="W32" s="236">
        <f t="shared" si="21"/>
        <v>28</v>
      </c>
      <c r="X32" s="237">
        <f t="shared" si="7"/>
        <v>3.1541101634502411E-3</v>
      </c>
      <c r="Y32" s="279"/>
      <c r="Z32" s="235">
        <f t="shared" si="8"/>
        <v>28</v>
      </c>
      <c r="AA32" s="487">
        <f>'Interpolations JPY'!R49-$B$1</f>
        <v>-3.3660007912210549E-3</v>
      </c>
      <c r="AB32" s="236">
        <f t="shared" si="22"/>
        <v>28</v>
      </c>
      <c r="AC32" s="237">
        <f t="shared" si="9"/>
        <v>-3.3660007175058126E-3</v>
      </c>
      <c r="AD32" s="279"/>
      <c r="AE32" s="235">
        <f t="shared" si="10"/>
        <v>28</v>
      </c>
      <c r="AF32" s="487">
        <f>'Interpolations AUD'!R49-$B$1</f>
        <v>-1.2769364695431958E-3</v>
      </c>
      <c r="AG32" s="236">
        <f t="shared" si="23"/>
        <v>28</v>
      </c>
      <c r="AH32" s="237">
        <f t="shared" si="11"/>
        <v>-1.2769364984706044E-3</v>
      </c>
      <c r="AI32" s="279"/>
      <c r="AJ32" s="235">
        <f t="shared" si="12"/>
        <v>28</v>
      </c>
      <c r="AK32" s="487">
        <f>'Interpolations NZD'!R49-$B$1</f>
        <v>8.0616815861205456E-3</v>
      </c>
      <c r="AL32" s="236">
        <f t="shared" si="24"/>
        <v>28</v>
      </c>
      <c r="AM32" s="237">
        <f t="shared" si="13"/>
        <v>8.0616818740963936E-3</v>
      </c>
      <c r="AO32" s="234">
        <f t="shared" si="14"/>
        <v>28</v>
      </c>
      <c r="AP32" s="487">
        <f>'Interpolations HKD'!R49-$B$1</f>
        <v>-6.2059361598026767E-4</v>
      </c>
      <c r="AQ32" s="236">
        <f t="shared" si="25"/>
        <v>28</v>
      </c>
      <c r="AR32" s="237">
        <f t="shared" si="15"/>
        <v>-6.2059360789135098E-4</v>
      </c>
    </row>
    <row r="33" spans="1:44">
      <c r="A33" s="235">
        <f>'Interpolations USD'!I51</f>
        <v>29</v>
      </c>
      <c r="B33" s="487">
        <f>'Interpolations USD'!R51-$B$1</f>
        <v>-5.5287827632942259E-3</v>
      </c>
      <c r="C33" s="236">
        <f t="shared" si="17"/>
        <v>29</v>
      </c>
      <c r="D33" s="237">
        <f t="shared" si="0"/>
        <v>-5.5287829600274563E-3</v>
      </c>
      <c r="E33" s="279"/>
      <c r="F33" s="235">
        <f t="shared" si="16"/>
        <v>29</v>
      </c>
      <c r="G33" s="487">
        <f>'Interpolations Euro'!R50-$B$1</f>
        <v>3.1682722277116835E-3</v>
      </c>
      <c r="H33" s="236">
        <f t="shared" si="18"/>
        <v>29</v>
      </c>
      <c r="I33" s="237">
        <f t="shared" si="1"/>
        <v>3.1682723201811314E-3</v>
      </c>
      <c r="J33" s="279"/>
      <c r="K33" s="235">
        <f t="shared" si="2"/>
        <v>29</v>
      </c>
      <c r="L33" s="487">
        <f>'Interpolations GBP'!R50-$B$1</f>
        <v>-4.4400913835054585E-3</v>
      </c>
      <c r="M33" s="236">
        <f t="shared" si="19"/>
        <v>29</v>
      </c>
      <c r="N33" s="237">
        <f t="shared" si="3"/>
        <v>-4.4400915503501892E-3</v>
      </c>
      <c r="O33" s="279"/>
      <c r="P33" s="235">
        <f t="shared" si="4"/>
        <v>29</v>
      </c>
      <c r="Q33" s="487">
        <f>'Interpolations CHF'!R50-$B$1</f>
        <v>9.0331352190767072E-4</v>
      </c>
      <c r="R33" s="236">
        <f t="shared" si="20"/>
        <v>29</v>
      </c>
      <c r="S33" s="237">
        <f t="shared" si="5"/>
        <v>9.0331351384520531E-4</v>
      </c>
      <c r="T33" s="279"/>
      <c r="U33" s="235">
        <f t="shared" si="6"/>
        <v>29</v>
      </c>
      <c r="V33" s="487">
        <f>'Interpolations CAD'!R50-$B$1</f>
        <v>3.00401130725213E-3</v>
      </c>
      <c r="W33" s="236">
        <f t="shared" si="21"/>
        <v>29</v>
      </c>
      <c r="X33" s="237">
        <f t="shared" si="7"/>
        <v>3.004011232405901E-3</v>
      </c>
      <c r="Y33" s="279"/>
      <c r="Z33" s="235">
        <f t="shared" si="8"/>
        <v>29</v>
      </c>
      <c r="AA33" s="487">
        <f>'Interpolations JPY'!R50-$B$1</f>
        <v>-3.7347444538786416E-3</v>
      </c>
      <c r="AB33" s="236">
        <f t="shared" si="22"/>
        <v>29</v>
      </c>
      <c r="AC33" s="237">
        <f t="shared" si="9"/>
        <v>-3.7347443867474794E-3</v>
      </c>
      <c r="AD33" s="279"/>
      <c r="AE33" s="235">
        <f t="shared" si="10"/>
        <v>29</v>
      </c>
      <c r="AF33" s="487">
        <f>'Interpolations AUD'!R50-$B$1</f>
        <v>-1.6194294101729843E-3</v>
      </c>
      <c r="AG33" s="236">
        <f t="shared" si="23"/>
        <v>29</v>
      </c>
      <c r="AH33" s="237">
        <f t="shared" si="11"/>
        <v>-1.619429443962872E-3</v>
      </c>
      <c r="AI33" s="279"/>
      <c r="AJ33" s="235">
        <f t="shared" si="12"/>
        <v>29</v>
      </c>
      <c r="AK33" s="487">
        <f>'Interpolations NZD'!R50-$B$1</f>
        <v>8.0985036024399208E-3</v>
      </c>
      <c r="AL33" s="236">
        <f t="shared" si="24"/>
        <v>29</v>
      </c>
      <c r="AM33" s="237">
        <f t="shared" si="13"/>
        <v>8.0985035747289658E-3</v>
      </c>
      <c r="AO33" s="234">
        <f t="shared" si="14"/>
        <v>29</v>
      </c>
      <c r="AP33" s="487">
        <f>'Interpolations HKD'!R50-$B$1</f>
        <v>-7.4706241065351179E-4</v>
      </c>
      <c r="AQ33" s="236">
        <f t="shared" si="25"/>
        <v>29</v>
      </c>
      <c r="AR33" s="237">
        <f t="shared" si="15"/>
        <v>-7.4706238228827715E-4</v>
      </c>
    </row>
    <row r="34" spans="1:44">
      <c r="A34" s="235">
        <f>'Interpolations USD'!I52</f>
        <v>30</v>
      </c>
      <c r="B34" s="487">
        <f>'Interpolations USD'!R52-$B$1</f>
        <v>-5.8475499489755159E-3</v>
      </c>
      <c r="C34" s="236">
        <f t="shared" si="17"/>
        <v>30</v>
      </c>
      <c r="D34" s="237">
        <f t="shared" si="0"/>
        <v>-5.8475499972701073E-3</v>
      </c>
      <c r="E34" s="279"/>
      <c r="F34" s="235">
        <f t="shared" si="16"/>
        <v>30</v>
      </c>
      <c r="G34" s="487">
        <f>'Interpolations Euro'!R51-$B$1</f>
        <v>3.0235123593116151E-3</v>
      </c>
      <c r="H34" s="236">
        <f t="shared" si="18"/>
        <v>30</v>
      </c>
      <c r="I34" s="237">
        <f t="shared" si="1"/>
        <v>3.0235124286264181E-3</v>
      </c>
      <c r="J34" s="279"/>
      <c r="K34" s="235">
        <f t="shared" si="2"/>
        <v>30</v>
      </c>
      <c r="L34" s="487">
        <f>'Interpolations GBP'!R51-$B$1</f>
        <v>-4.5155739290393291E-3</v>
      </c>
      <c r="M34" s="236">
        <f t="shared" si="19"/>
        <v>30</v>
      </c>
      <c r="N34" s="237">
        <f t="shared" si="3"/>
        <v>-4.5155738480389118E-3</v>
      </c>
      <c r="O34" s="279"/>
      <c r="P34" s="235">
        <f t="shared" si="4"/>
        <v>30</v>
      </c>
      <c r="Q34" s="487">
        <f>'Interpolations CHF'!R51-$B$1</f>
        <v>8.7551765619332898E-4</v>
      </c>
      <c r="R34" s="236">
        <f t="shared" si="20"/>
        <v>30</v>
      </c>
      <c r="S34" s="237">
        <f t="shared" si="5"/>
        <v>8.7551766773685813E-4</v>
      </c>
      <c r="T34" s="279"/>
      <c r="U34" s="235">
        <f t="shared" si="6"/>
        <v>30</v>
      </c>
      <c r="V34" s="487">
        <f>'Interpolations CAD'!R51-$B$1</f>
        <v>2.8539123442129716E-3</v>
      </c>
      <c r="W34" s="236">
        <f t="shared" si="21"/>
        <v>30</v>
      </c>
      <c r="X34" s="237">
        <f t="shared" si="7"/>
        <v>2.8539123013615608E-3</v>
      </c>
      <c r="Y34" s="279"/>
      <c r="Z34" s="235">
        <f t="shared" si="8"/>
        <v>30</v>
      </c>
      <c r="AA34" s="487">
        <f>'Interpolations JPY'!R51-$B$1</f>
        <v>-4.1034881165362283E-3</v>
      </c>
      <c r="AB34" s="236">
        <f t="shared" si="22"/>
        <v>30</v>
      </c>
      <c r="AC34" s="237">
        <f t="shared" si="9"/>
        <v>-4.1034882888197899E-3</v>
      </c>
      <c r="AD34" s="279"/>
      <c r="AE34" s="235">
        <f t="shared" si="10"/>
        <v>30</v>
      </c>
      <c r="AF34" s="487">
        <f>'Interpolations AUD'!R51-$B$1</f>
        <v>-1.9619223508027727E-3</v>
      </c>
      <c r="AG34" s="236">
        <f t="shared" si="23"/>
        <v>30</v>
      </c>
      <c r="AH34" s="237">
        <f t="shared" si="11"/>
        <v>-1.9619222730398178E-3</v>
      </c>
      <c r="AI34" s="279"/>
      <c r="AJ34" s="235">
        <f t="shared" si="12"/>
        <v>30</v>
      </c>
      <c r="AK34" s="487">
        <f>'Interpolations NZD'!R51-$B$1</f>
        <v>8.1353256187592995E-3</v>
      </c>
      <c r="AL34" s="236">
        <f t="shared" si="24"/>
        <v>30</v>
      </c>
      <c r="AM34" s="237">
        <f t="shared" si="13"/>
        <v>8.1353252753615379E-3</v>
      </c>
      <c r="AO34" s="234">
        <f t="shared" si="14"/>
        <v>30</v>
      </c>
      <c r="AP34" s="487">
        <f>'Interpolations HKD'!R51-$B$1</f>
        <v>-8.7353120532675591E-4</v>
      </c>
      <c r="AQ34" s="236">
        <f t="shared" si="25"/>
        <v>30</v>
      </c>
      <c r="AR34" s="237">
        <f t="shared" si="15"/>
        <v>-8.7353121489286423E-4</v>
      </c>
    </row>
    <row r="35" spans="1:44">
      <c r="A35" s="234">
        <v>60</v>
      </c>
      <c r="B35" s="487">
        <f>'Interpolations USD'!R53-$B$1</f>
        <v>-1E-3</v>
      </c>
      <c r="C35" s="236">
        <f t="shared" si="17"/>
        <v>31</v>
      </c>
      <c r="D35" s="237">
        <f t="shared" si="0"/>
        <v>-6.1133335596279467E-3</v>
      </c>
      <c r="E35" s="279"/>
      <c r="F35" s="235">
        <f t="shared" si="16"/>
        <v>60</v>
      </c>
      <c r="G35" s="487">
        <f>'Interpolations Euro'!R52-$B$1</f>
        <v>-1E-3</v>
      </c>
      <c r="H35" s="236">
        <f t="shared" si="18"/>
        <v>31</v>
      </c>
      <c r="I35" s="237">
        <f t="shared" si="1"/>
        <v>2.8607518925462872E-3</v>
      </c>
      <c r="J35" s="279"/>
      <c r="K35" s="235">
        <f t="shared" si="2"/>
        <v>60</v>
      </c>
      <c r="L35" s="239">
        <f>0-$B$1</f>
        <v>-1E-3</v>
      </c>
      <c r="M35" s="236">
        <f t="shared" si="19"/>
        <v>31</v>
      </c>
      <c r="N35" s="237">
        <f t="shared" si="3"/>
        <v>-4.5675227362850825E-3</v>
      </c>
      <c r="O35" s="279"/>
      <c r="P35" s="235">
        <f t="shared" si="4"/>
        <v>60</v>
      </c>
      <c r="Q35" s="239">
        <f>0-$B$1</f>
        <v>-1E-3</v>
      </c>
      <c r="R35" s="236">
        <f t="shared" si="20"/>
        <v>31</v>
      </c>
      <c r="S35" s="237">
        <f t="shared" si="5"/>
        <v>8.4182851188095058E-4</v>
      </c>
      <c r="T35" s="279"/>
      <c r="U35" s="235">
        <f t="shared" si="6"/>
        <v>60</v>
      </c>
      <c r="V35" s="239">
        <f>0-$B$1</f>
        <v>-1E-3</v>
      </c>
      <c r="W35" s="236">
        <f t="shared" si="21"/>
        <v>31</v>
      </c>
      <c r="X35" s="237">
        <f t="shared" si="7"/>
        <v>2.7005263191785841E-3</v>
      </c>
      <c r="Y35" s="279"/>
      <c r="Z35" s="235">
        <f t="shared" si="8"/>
        <v>60</v>
      </c>
      <c r="AA35" s="239">
        <f>0-$B$1</f>
        <v>-1E-3</v>
      </c>
      <c r="AB35" s="236">
        <f t="shared" si="22"/>
        <v>31</v>
      </c>
      <c r="AC35" s="237">
        <f t="shared" si="9"/>
        <v>-4.4225017727661355E-3</v>
      </c>
      <c r="AD35" s="279"/>
      <c r="AE35" s="235">
        <f t="shared" si="10"/>
        <v>60</v>
      </c>
      <c r="AF35" s="487">
        <f>'Interpolations AUD'!R52-$B$1</f>
        <v>-1E-3</v>
      </c>
      <c r="AG35" s="236">
        <f t="shared" si="23"/>
        <v>31</v>
      </c>
      <c r="AH35" s="237">
        <f t="shared" si="11"/>
        <v>-2.2671440564750634E-3</v>
      </c>
      <c r="AI35" s="279"/>
      <c r="AJ35" s="235">
        <f t="shared" si="12"/>
        <v>60</v>
      </c>
      <c r="AK35" s="239">
        <f>0-$B$1</f>
        <v>-1E-3</v>
      </c>
      <c r="AL35" s="236">
        <f t="shared" si="24"/>
        <v>31</v>
      </c>
      <c r="AM35" s="237">
        <f t="shared" si="13"/>
        <v>8.1262482071021436E-3</v>
      </c>
      <c r="AO35" s="234">
        <f t="shared" si="14"/>
        <v>60</v>
      </c>
      <c r="AP35" s="487">
        <f>'Interpolations HKD'!R52-$B$1</f>
        <v>-1E-3</v>
      </c>
      <c r="AQ35" s="236">
        <f t="shared" si="25"/>
        <v>31</v>
      </c>
      <c r="AR35" s="237">
        <f t="shared" si="15"/>
        <v>-9.8840030556226143E-4</v>
      </c>
    </row>
    <row r="36" spans="1:44">
      <c r="A36" s="234">
        <v>65</v>
      </c>
      <c r="B36" s="487">
        <f>'Interpolations USD'!R54-$B$1</f>
        <v>-1E-3</v>
      </c>
      <c r="C36" s="236">
        <f t="shared" si="17"/>
        <v>32</v>
      </c>
      <c r="D36" s="237">
        <f t="shared" si="0"/>
        <v>-6.3148736591182586E-3</v>
      </c>
      <c r="E36" s="279"/>
      <c r="F36" s="235">
        <f t="shared" si="16"/>
        <v>65</v>
      </c>
      <c r="G36" s="487">
        <f>'Interpolations Euro'!R53-$B$1</f>
        <v>-1E-3</v>
      </c>
      <c r="H36" s="236">
        <f t="shared" si="18"/>
        <v>32</v>
      </c>
      <c r="I36" s="237">
        <f t="shared" si="1"/>
        <v>2.6945012007184065E-3</v>
      </c>
      <c r="J36" s="279"/>
      <c r="K36" s="235">
        <f t="shared" ref="K36:K39" si="26">A36</f>
        <v>65</v>
      </c>
      <c r="L36" s="239">
        <f t="shared" ref="L36:L39" si="27">0-$B$1</f>
        <v>-1E-3</v>
      </c>
      <c r="M36" s="236">
        <f t="shared" si="19"/>
        <v>32</v>
      </c>
      <c r="N36" s="237">
        <f t="shared" si="3"/>
        <v>-4.5911838202169278E-3</v>
      </c>
      <c r="O36" s="279"/>
      <c r="P36" s="235">
        <f t="shared" si="4"/>
        <v>65</v>
      </c>
      <c r="Q36" s="239">
        <f t="shared" ref="Q36:Q39" si="28">0-$B$1</f>
        <v>-1E-3</v>
      </c>
      <c r="R36" s="236">
        <f t="shared" si="20"/>
        <v>32</v>
      </c>
      <c r="S36" s="237">
        <f t="shared" si="5"/>
        <v>8.0102958445666859E-4</v>
      </c>
      <c r="T36" s="279"/>
      <c r="U36" s="235">
        <f t="shared" si="6"/>
        <v>65</v>
      </c>
      <c r="V36" s="239">
        <f t="shared" ref="V36:V39" si="29">0-$B$1</f>
        <v>-1E-3</v>
      </c>
      <c r="W36" s="236">
        <f t="shared" si="21"/>
        <v>32</v>
      </c>
      <c r="X36" s="237">
        <f t="shared" si="7"/>
        <v>2.5434705356409196E-3</v>
      </c>
      <c r="Y36" s="279"/>
      <c r="Z36" s="235">
        <f t="shared" si="8"/>
        <v>65</v>
      </c>
      <c r="AA36" s="239">
        <f t="shared" ref="AA36:AA39" si="30">0-$B$1</f>
        <v>-1E-3</v>
      </c>
      <c r="AB36" s="236">
        <f t="shared" si="22"/>
        <v>32</v>
      </c>
      <c r="AC36" s="237">
        <f t="shared" si="9"/>
        <v>-4.6810362507986175E-3</v>
      </c>
      <c r="AD36" s="279"/>
      <c r="AE36" s="235">
        <f t="shared" si="10"/>
        <v>65</v>
      </c>
      <c r="AF36" s="487">
        <f>'Interpolations AUD'!R53-$B$1</f>
        <v>-1E-3</v>
      </c>
      <c r="AG36" s="236">
        <f t="shared" si="23"/>
        <v>32</v>
      </c>
      <c r="AH36" s="237">
        <f t="shared" si="11"/>
        <v>-2.5267983791260966E-3</v>
      </c>
      <c r="AI36" s="279"/>
      <c r="AJ36" s="235">
        <f t="shared" si="12"/>
        <v>65</v>
      </c>
      <c r="AK36" s="239">
        <f t="shared" ref="AK36:AK39" si="31">0-$B$1</f>
        <v>-1E-3</v>
      </c>
      <c r="AL36" s="236">
        <f t="shared" si="24"/>
        <v>32</v>
      </c>
      <c r="AM36" s="237">
        <f t="shared" si="13"/>
        <v>8.0623912399102465E-3</v>
      </c>
      <c r="AO36" s="234">
        <f t="shared" si="14"/>
        <v>65</v>
      </c>
      <c r="AP36" s="487">
        <f>'Interpolations HKD'!R53-$B$1</f>
        <v>-1E-3</v>
      </c>
      <c r="AQ36" s="236">
        <f t="shared" si="25"/>
        <v>32</v>
      </c>
      <c r="AR36" s="237">
        <f t="shared" si="15"/>
        <v>-1.0891125975867016E-3</v>
      </c>
    </row>
    <row r="37" spans="1:44">
      <c r="A37" s="234">
        <v>70</v>
      </c>
      <c r="B37" s="487">
        <f>'Interpolations USD'!R55-$B$1</f>
        <v>-1E-3</v>
      </c>
      <c r="C37" s="236">
        <f t="shared" si="17"/>
        <v>33</v>
      </c>
      <c r="D37" s="237">
        <f t="shared" si="0"/>
        <v>-6.4558975929512622E-3</v>
      </c>
      <c r="E37" s="279"/>
      <c r="F37" s="235">
        <f t="shared" si="16"/>
        <v>70</v>
      </c>
      <c r="G37" s="487">
        <f>'Interpolations Euro'!R54-$B$1</f>
        <v>-1E-3</v>
      </c>
      <c r="H37" s="236">
        <f t="shared" si="18"/>
        <v>33</v>
      </c>
      <c r="I37" s="237">
        <f t="shared" si="1"/>
        <v>2.5253460671979169E-3</v>
      </c>
      <c r="J37" s="279"/>
      <c r="K37" s="235">
        <f t="shared" si="26"/>
        <v>70</v>
      </c>
      <c r="L37" s="239">
        <f t="shared" si="27"/>
        <v>-1E-3</v>
      </c>
      <c r="M37" s="236">
        <f t="shared" si="19"/>
        <v>33</v>
      </c>
      <c r="N37" s="237">
        <f t="shared" si="3"/>
        <v>-4.5883386237409E-3</v>
      </c>
      <c r="O37" s="279"/>
      <c r="P37" s="235">
        <f t="shared" si="4"/>
        <v>70</v>
      </c>
      <c r="Q37" s="239">
        <f t="shared" si="28"/>
        <v>-1E-3</v>
      </c>
      <c r="R37" s="236">
        <f t="shared" si="20"/>
        <v>33</v>
      </c>
      <c r="S37" s="237">
        <f t="shared" si="5"/>
        <v>7.5366985257732623E-4</v>
      </c>
      <c r="T37" s="279"/>
      <c r="U37" s="235">
        <f t="shared" si="6"/>
        <v>70</v>
      </c>
      <c r="V37" s="239">
        <f t="shared" si="29"/>
        <v>-1E-3</v>
      </c>
      <c r="W37" s="236">
        <f t="shared" si="21"/>
        <v>33</v>
      </c>
      <c r="X37" s="237">
        <f t="shared" si="7"/>
        <v>2.3833224210022736E-3</v>
      </c>
      <c r="Y37" s="279"/>
      <c r="Z37" s="235">
        <f t="shared" si="8"/>
        <v>70</v>
      </c>
      <c r="AA37" s="239">
        <f t="shared" si="30"/>
        <v>-1E-3</v>
      </c>
      <c r="AB37" s="236">
        <f t="shared" si="22"/>
        <v>33</v>
      </c>
      <c r="AC37" s="237">
        <f t="shared" si="9"/>
        <v>-4.8824515811700534E-3</v>
      </c>
      <c r="AD37" s="279"/>
      <c r="AE37" s="235">
        <f t="shared" si="10"/>
        <v>70</v>
      </c>
      <c r="AF37" s="487">
        <f>'Interpolations AUD'!R54-$B$1</f>
        <v>-1E-3</v>
      </c>
      <c r="AG37" s="236">
        <f t="shared" si="23"/>
        <v>33</v>
      </c>
      <c r="AH37" s="237">
        <f t="shared" si="11"/>
        <v>-2.743276374585575E-3</v>
      </c>
      <c r="AI37" s="279"/>
      <c r="AJ37" s="235">
        <f t="shared" si="12"/>
        <v>70</v>
      </c>
      <c r="AK37" s="239">
        <f t="shared" si="31"/>
        <v>-1E-3</v>
      </c>
      <c r="AL37" s="236">
        <f t="shared" si="24"/>
        <v>33</v>
      </c>
      <c r="AM37" s="237">
        <f t="shared" si="13"/>
        <v>7.9474405654350946E-3</v>
      </c>
      <c r="AO37" s="234">
        <f t="shared" si="14"/>
        <v>70</v>
      </c>
      <c r="AP37" s="487">
        <f>'Interpolations HKD'!R54-$B$1</f>
        <v>-1E-3</v>
      </c>
      <c r="AQ37" s="236">
        <f t="shared" si="25"/>
        <v>33</v>
      </c>
      <c r="AR37" s="237">
        <f t="shared" si="15"/>
        <v>-1.1763675734608016E-3</v>
      </c>
    </row>
    <row r="38" spans="1:44">
      <c r="A38" s="234">
        <v>85</v>
      </c>
      <c r="B38" s="487">
        <f>'Interpolations USD'!R56-$B$1</f>
        <v>-1E-3</v>
      </c>
      <c r="C38" s="236">
        <f t="shared" si="17"/>
        <v>34</v>
      </c>
      <c r="D38" s="237">
        <f t="shared" si="0"/>
        <v>-6.5401287286885575E-3</v>
      </c>
      <c r="E38" s="279"/>
      <c r="F38" s="235">
        <f t="shared" si="16"/>
        <v>85</v>
      </c>
      <c r="G38" s="487">
        <f>'Interpolations Euro'!R55-$B$1</f>
        <v>-1E-3</v>
      </c>
      <c r="H38" s="236">
        <f t="shared" si="18"/>
        <v>34</v>
      </c>
      <c r="I38" s="237">
        <f t="shared" si="1"/>
        <v>2.353872203229042E-3</v>
      </c>
      <c r="J38" s="279"/>
      <c r="K38" s="235">
        <f t="shared" si="26"/>
        <v>85</v>
      </c>
      <c r="L38" s="239">
        <f t="shared" si="27"/>
        <v>-1E-3</v>
      </c>
      <c r="M38" s="236">
        <f t="shared" si="19"/>
        <v>34</v>
      </c>
      <c r="N38" s="237">
        <f t="shared" si="3"/>
        <v>-4.5607673979484661E-3</v>
      </c>
      <c r="O38" s="279"/>
      <c r="P38" s="235">
        <f t="shared" si="4"/>
        <v>85</v>
      </c>
      <c r="Q38" s="239">
        <f t="shared" si="28"/>
        <v>-1E-3</v>
      </c>
      <c r="R38" s="236">
        <f t="shared" si="20"/>
        <v>34</v>
      </c>
      <c r="S38" s="237">
        <f t="shared" si="5"/>
        <v>7.0029784057537364E-4</v>
      </c>
      <c r="T38" s="279"/>
      <c r="U38" s="235">
        <f t="shared" si="6"/>
        <v>85</v>
      </c>
      <c r="V38" s="239">
        <f t="shared" si="29"/>
        <v>-1E-3</v>
      </c>
      <c r="W38" s="236">
        <f t="shared" si="21"/>
        <v>34</v>
      </c>
      <c r="X38" s="237">
        <f t="shared" si="7"/>
        <v>2.2206591999653982E-3</v>
      </c>
      <c r="Y38" s="279"/>
      <c r="Z38" s="235">
        <f t="shared" si="8"/>
        <v>85</v>
      </c>
      <c r="AA38" s="239">
        <f t="shared" si="30"/>
        <v>-1E-3</v>
      </c>
      <c r="AB38" s="236">
        <f t="shared" si="22"/>
        <v>34</v>
      </c>
      <c r="AC38" s="237">
        <f t="shared" si="9"/>
        <v>-5.0301046298437549E-3</v>
      </c>
      <c r="AD38" s="279"/>
      <c r="AE38" s="235">
        <f t="shared" si="10"/>
        <v>85</v>
      </c>
      <c r="AF38" s="487">
        <f>'Interpolations AUD'!R55-$B$1</f>
        <v>-1E-3</v>
      </c>
      <c r="AG38" s="236">
        <f t="shared" si="23"/>
        <v>34</v>
      </c>
      <c r="AH38" s="237">
        <f t="shared" si="11"/>
        <v>-2.9189668694181818E-3</v>
      </c>
      <c r="AI38" s="279"/>
      <c r="AJ38" s="235">
        <f t="shared" si="12"/>
        <v>85</v>
      </c>
      <c r="AK38" s="239">
        <f t="shared" si="31"/>
        <v>-1E-3</v>
      </c>
      <c r="AL38" s="236">
        <f t="shared" si="24"/>
        <v>34</v>
      </c>
      <c r="AM38" s="237">
        <f t="shared" si="13"/>
        <v>7.7850822546459498E-3</v>
      </c>
      <c r="AO38" s="234">
        <f t="shared" si="14"/>
        <v>85</v>
      </c>
      <c r="AP38" s="487">
        <f>'Interpolations HKD'!R55-$B$1</f>
        <v>-1E-3</v>
      </c>
      <c r="AQ38" s="236">
        <f t="shared" si="25"/>
        <v>34</v>
      </c>
      <c r="AR38" s="237">
        <f t="shared" si="15"/>
        <v>-1.2508641478091698E-3</v>
      </c>
    </row>
    <row r="39" spans="1:44">
      <c r="A39" s="234">
        <v>100</v>
      </c>
      <c r="B39" s="487">
        <f>'Interpolations USD'!R57-$B$1</f>
        <v>-1E-3</v>
      </c>
      <c r="C39" s="236">
        <f t="shared" ref="C39:C70" si="32">C38+1</f>
        <v>35</v>
      </c>
      <c r="D39" s="237">
        <f t="shared" si="0"/>
        <v>-6.5712939179101209E-3</v>
      </c>
      <c r="E39" s="279"/>
      <c r="F39" s="235">
        <f t="shared" si="16"/>
        <v>100</v>
      </c>
      <c r="G39" s="487">
        <f>'Interpolations Euro'!R56-$B$1</f>
        <v>-1E-3</v>
      </c>
      <c r="H39" s="236">
        <f t="shared" si="18"/>
        <v>35</v>
      </c>
      <c r="I39" s="237">
        <f t="shared" si="1"/>
        <v>2.1806645976527538E-3</v>
      </c>
      <c r="J39" s="279"/>
      <c r="K39" s="235">
        <f t="shared" si="26"/>
        <v>100</v>
      </c>
      <c r="L39" s="239">
        <f t="shared" si="27"/>
        <v>-1E-3</v>
      </c>
      <c r="M39" s="236">
        <f t="shared" si="19"/>
        <v>35</v>
      </c>
      <c r="N39" s="237">
        <f t="shared" si="3"/>
        <v>-4.5102514695992907E-3</v>
      </c>
      <c r="O39" s="279"/>
      <c r="P39" s="235">
        <f t="shared" si="4"/>
        <v>100</v>
      </c>
      <c r="Q39" s="239">
        <f t="shared" si="28"/>
        <v>-1E-3</v>
      </c>
      <c r="R39" s="236">
        <f t="shared" si="20"/>
        <v>35</v>
      </c>
      <c r="S39" s="237">
        <f t="shared" si="5"/>
        <v>6.4146246535186358E-4</v>
      </c>
      <c r="T39" s="279"/>
      <c r="U39" s="235">
        <f t="shared" si="6"/>
        <v>100</v>
      </c>
      <c r="V39" s="239">
        <f t="shared" si="29"/>
        <v>-1E-3</v>
      </c>
      <c r="W39" s="236">
        <f t="shared" si="21"/>
        <v>35</v>
      </c>
      <c r="X39" s="237">
        <f t="shared" si="7"/>
        <v>2.0560583149380166E-3</v>
      </c>
      <c r="Y39" s="279"/>
      <c r="Z39" s="235">
        <f t="shared" si="8"/>
        <v>100</v>
      </c>
      <c r="AA39" s="239">
        <f t="shared" si="30"/>
        <v>-1E-3</v>
      </c>
      <c r="AB39" s="236">
        <f t="shared" si="22"/>
        <v>35</v>
      </c>
      <c r="AC39" s="237">
        <f t="shared" si="9"/>
        <v>-5.127354603699682E-3</v>
      </c>
      <c r="AD39" s="279"/>
      <c r="AE39" s="235">
        <f t="shared" si="10"/>
        <v>100</v>
      </c>
      <c r="AF39" s="487">
        <f>'Interpolations AUD'!R56-$B$1</f>
        <v>-1E-3</v>
      </c>
      <c r="AG39" s="236">
        <f t="shared" si="23"/>
        <v>35</v>
      </c>
      <c r="AH39" s="237">
        <f t="shared" si="11"/>
        <v>-3.0562606827879038E-3</v>
      </c>
      <c r="AI39" s="279"/>
      <c r="AJ39" s="235">
        <f t="shared" si="12"/>
        <v>100</v>
      </c>
      <c r="AK39" s="239">
        <f t="shared" si="31"/>
        <v>-1E-3</v>
      </c>
      <c r="AL39" s="236">
        <f t="shared" si="24"/>
        <v>35</v>
      </c>
      <c r="AM39" s="237">
        <f t="shared" si="13"/>
        <v>7.5790030471806344E-3</v>
      </c>
      <c r="AO39" s="234">
        <f t="shared" si="14"/>
        <v>100</v>
      </c>
      <c r="AP39" s="487">
        <f>'Interpolations HKD'!R56-$B$1</f>
        <v>-1E-3</v>
      </c>
      <c r="AQ39" s="236">
        <f t="shared" si="25"/>
        <v>35</v>
      </c>
      <c r="AR39" s="237">
        <f t="shared" si="15"/>
        <v>-1.3133015893091297E-3</v>
      </c>
    </row>
    <row r="40" spans="1:44">
      <c r="B40" s="487"/>
      <c r="C40" s="236">
        <f t="shared" si="32"/>
        <v>36</v>
      </c>
      <c r="D40" s="237">
        <f t="shared" si="0"/>
        <v>-6.5531174232643452E-3</v>
      </c>
      <c r="E40" s="279"/>
      <c r="H40" s="236">
        <f t="shared" si="18"/>
        <v>36</v>
      </c>
      <c r="I40" s="237">
        <f t="shared" si="1"/>
        <v>2.0063096859557262E-3</v>
      </c>
      <c r="J40" s="279"/>
      <c r="M40" s="236">
        <f t="shared" si="19"/>
        <v>36</v>
      </c>
      <c r="N40" s="237">
        <f t="shared" si="3"/>
        <v>-4.4385722110852283E-3</v>
      </c>
      <c r="O40" s="279"/>
      <c r="R40" s="236">
        <f t="shared" si="20"/>
        <v>36</v>
      </c>
      <c r="S40" s="237">
        <f t="shared" si="5"/>
        <v>5.7771229962560696E-4</v>
      </c>
      <c r="T40" s="279"/>
      <c r="W40" s="236">
        <f t="shared" si="21"/>
        <v>36</v>
      </c>
      <c r="X40" s="237">
        <f t="shared" si="7"/>
        <v>1.8900970174562826E-3</v>
      </c>
      <c r="Y40" s="279"/>
      <c r="AB40" s="236">
        <f t="shared" si="22"/>
        <v>36</v>
      </c>
      <c r="AC40" s="237">
        <f t="shared" si="9"/>
        <v>-5.177559004854288E-3</v>
      </c>
      <c r="AD40" s="279"/>
      <c r="AG40" s="236">
        <f t="shared" si="23"/>
        <v>36</v>
      </c>
      <c r="AH40" s="237">
        <f t="shared" si="11"/>
        <v>-3.1575469442543256E-3</v>
      </c>
      <c r="AI40" s="279"/>
      <c r="AL40" s="236">
        <f t="shared" si="24"/>
        <v>36</v>
      </c>
      <c r="AM40" s="237">
        <f t="shared" si="13"/>
        <v>7.3328893834029973E-3</v>
      </c>
      <c r="AQ40" s="236">
        <f t="shared" si="25"/>
        <v>36</v>
      </c>
      <c r="AR40" s="237">
        <f t="shared" si="15"/>
        <v>-1.3643789064453711E-3</v>
      </c>
    </row>
    <row r="41" spans="1:44">
      <c r="C41" s="236">
        <f t="shared" si="32"/>
        <v>37</v>
      </c>
      <c r="D41" s="237">
        <f t="shared" si="0"/>
        <v>-6.4893242861265759E-3</v>
      </c>
      <c r="E41" s="279"/>
      <c r="H41" s="236">
        <f t="shared" si="18"/>
        <v>37</v>
      </c>
      <c r="I41" s="237">
        <f t="shared" si="1"/>
        <v>1.8313921993694858E-3</v>
      </c>
      <c r="J41" s="279"/>
      <c r="M41" s="236">
        <f t="shared" si="19"/>
        <v>37</v>
      </c>
      <c r="N41" s="237">
        <f t="shared" si="3"/>
        <v>-4.3475105335264597E-3</v>
      </c>
      <c r="O41" s="279"/>
      <c r="R41" s="236">
        <f t="shared" si="20"/>
        <v>37</v>
      </c>
      <c r="S41" s="237">
        <f t="shared" si="5"/>
        <v>5.0959621373719587E-4</v>
      </c>
      <c r="T41" s="279"/>
      <c r="W41" s="236">
        <f t="shared" si="21"/>
        <v>37</v>
      </c>
      <c r="X41" s="237">
        <f t="shared" si="7"/>
        <v>1.7233527241070977E-3</v>
      </c>
      <c r="Y41" s="279"/>
      <c r="AB41" s="236">
        <f t="shared" si="22"/>
        <v>37</v>
      </c>
      <c r="AC41" s="237">
        <f t="shared" si="9"/>
        <v>-5.1840761864234671E-3</v>
      </c>
      <c r="AD41" s="279"/>
      <c r="AG41" s="236">
        <f t="shared" si="23"/>
        <v>37</v>
      </c>
      <c r="AH41" s="237">
        <f t="shared" si="11"/>
        <v>-3.2252161814203028E-3</v>
      </c>
      <c r="AI41" s="279"/>
      <c r="AL41" s="236">
        <f t="shared" si="24"/>
        <v>37</v>
      </c>
      <c r="AM41" s="237">
        <f t="shared" si="13"/>
        <v>7.0504267161731219E-3</v>
      </c>
      <c r="AQ41" s="236">
        <f t="shared" si="25"/>
        <v>37</v>
      </c>
      <c r="AR41" s="237">
        <f t="shared" si="15"/>
        <v>-1.4047953939923482E-3</v>
      </c>
    </row>
    <row r="42" spans="1:44">
      <c r="C42" s="236">
        <f t="shared" si="32"/>
        <v>38</v>
      </c>
      <c r="D42" s="237">
        <f t="shared" si="0"/>
        <v>-6.3836405631451021E-3</v>
      </c>
      <c r="E42" s="279"/>
      <c r="H42" s="236">
        <f t="shared" si="18"/>
        <v>38</v>
      </c>
      <c r="I42" s="237">
        <f t="shared" si="1"/>
        <v>1.6564985971877918E-3</v>
      </c>
      <c r="J42" s="279"/>
      <c r="M42" s="236">
        <f t="shared" si="19"/>
        <v>38</v>
      </c>
      <c r="N42" s="237">
        <f t="shared" si="3"/>
        <v>-4.238847286462775E-3</v>
      </c>
      <c r="O42" s="279"/>
      <c r="R42" s="236">
        <f t="shared" si="20"/>
        <v>38</v>
      </c>
      <c r="S42" s="237">
        <f t="shared" si="5"/>
        <v>4.3766288334766261E-4</v>
      </c>
      <c r="T42" s="279"/>
      <c r="W42" s="236">
        <f t="shared" si="21"/>
        <v>38</v>
      </c>
      <c r="X42" s="237">
        <f t="shared" si="7"/>
        <v>1.5564027112348572E-3</v>
      </c>
      <c r="Y42" s="279"/>
      <c r="AB42" s="236">
        <f t="shared" si="22"/>
        <v>38</v>
      </c>
      <c r="AC42" s="237">
        <f t="shared" si="9"/>
        <v>-5.150264023406733E-3</v>
      </c>
      <c r="AD42" s="279"/>
      <c r="AG42" s="236">
        <f t="shared" si="23"/>
        <v>38</v>
      </c>
      <c r="AH42" s="237">
        <f t="shared" si="11"/>
        <v>-3.2616579203881019E-3</v>
      </c>
      <c r="AI42" s="279"/>
      <c r="AL42" s="236">
        <f t="shared" si="24"/>
        <v>38</v>
      </c>
      <c r="AM42" s="237">
        <f t="shared" si="13"/>
        <v>6.7353018273705965E-3</v>
      </c>
      <c r="AQ42" s="236">
        <f t="shared" si="25"/>
        <v>38</v>
      </c>
      <c r="AR42" s="237">
        <f t="shared" si="15"/>
        <v>-1.4352500890033909E-3</v>
      </c>
    </row>
    <row r="43" spans="1:44">
      <c r="C43" s="236">
        <f t="shared" si="32"/>
        <v>39</v>
      </c>
      <c r="D43" s="237">
        <f t="shared" si="0"/>
        <v>-6.239790449222681E-3</v>
      </c>
      <c r="E43" s="279"/>
      <c r="H43" s="236">
        <f t="shared" si="18"/>
        <v>39</v>
      </c>
      <c r="I43" s="237">
        <f t="shared" si="1"/>
        <v>1.4822138206374463E-3</v>
      </c>
      <c r="J43" s="279"/>
      <c r="M43" s="236">
        <f t="shared" si="19"/>
        <v>39</v>
      </c>
      <c r="N43" s="237">
        <f t="shared" si="3"/>
        <v>-4.114363911035394E-3</v>
      </c>
      <c r="O43" s="279"/>
      <c r="R43" s="236">
        <f t="shared" si="20"/>
        <v>39</v>
      </c>
      <c r="S43" s="237">
        <f t="shared" si="5"/>
        <v>3.6246096126595659E-4</v>
      </c>
      <c r="T43" s="279"/>
      <c r="W43" s="236">
        <f t="shared" si="21"/>
        <v>39</v>
      </c>
      <c r="X43" s="237">
        <f t="shared" si="7"/>
        <v>1.389824371630803E-3</v>
      </c>
      <c r="Y43" s="279"/>
      <c r="AB43" s="236">
        <f t="shared" si="22"/>
        <v>39</v>
      </c>
      <c r="AC43" s="237">
        <f t="shared" si="9"/>
        <v>-5.0794809769179224E-3</v>
      </c>
      <c r="AD43" s="279"/>
      <c r="AG43" s="236">
        <f t="shared" si="23"/>
        <v>39</v>
      </c>
      <c r="AH43" s="237">
        <f t="shared" si="11"/>
        <v>-3.2692621872363447E-3</v>
      </c>
      <c r="AI43" s="279"/>
      <c r="AL43" s="236">
        <f t="shared" si="24"/>
        <v>39</v>
      </c>
      <c r="AM43" s="237">
        <f t="shared" si="13"/>
        <v>6.3912007736017561E-3</v>
      </c>
      <c r="AQ43" s="236">
        <f t="shared" si="25"/>
        <v>39</v>
      </c>
      <c r="AR43" s="237">
        <f t="shared" si="15"/>
        <v>-1.4564422030185421E-3</v>
      </c>
    </row>
    <row r="44" spans="1:44">
      <c r="C44" s="236">
        <f>C43+1</f>
        <v>40</v>
      </c>
      <c r="D44" s="237">
        <f t="shared" si="0"/>
        <v>-6.0615003656141683E-3</v>
      </c>
      <c r="E44" s="279"/>
      <c r="H44" s="236">
        <f>H43+1</f>
        <v>40</v>
      </c>
      <c r="I44" s="237">
        <f t="shared" si="1"/>
        <v>1.3091236523839276E-3</v>
      </c>
      <c r="J44" s="279"/>
      <c r="M44" s="236">
        <f>M43+1</f>
        <v>40</v>
      </c>
      <c r="N44" s="237">
        <f t="shared" si="3"/>
        <v>-3.9758414180860258E-3</v>
      </c>
      <c r="O44" s="279"/>
      <c r="R44" s="236">
        <f>R43+1</f>
        <v>40</v>
      </c>
      <c r="S44" s="237">
        <f t="shared" si="5"/>
        <v>2.8453933885885248E-4</v>
      </c>
      <c r="T44" s="279"/>
      <c r="W44" s="236">
        <f>W43+1</f>
        <v>40</v>
      </c>
      <c r="X44" s="237">
        <f t="shared" si="7"/>
        <v>1.2241950044224077E-3</v>
      </c>
      <c r="Y44" s="279"/>
      <c r="AB44" s="236">
        <f>AB43+1</f>
        <v>40</v>
      </c>
      <c r="AC44" s="237">
        <f t="shared" si="9"/>
        <v>-4.9750852644001795E-3</v>
      </c>
      <c r="AD44" s="279"/>
      <c r="AG44" s="236">
        <f>AG43+1</f>
        <v>40</v>
      </c>
      <c r="AH44" s="237">
        <f t="shared" si="11"/>
        <v>-3.2504187653271204E-3</v>
      </c>
      <c r="AI44" s="279"/>
      <c r="AL44" s="236">
        <f>AL43+1</f>
        <v>40</v>
      </c>
      <c r="AM44" s="237">
        <f t="shared" si="13"/>
        <v>6.0218106503831005E-3</v>
      </c>
      <c r="AQ44" s="236">
        <f t="shared" si="25"/>
        <v>40</v>
      </c>
      <c r="AR44" s="237">
        <f t="shared" si="15"/>
        <v>-1.4690708527836534E-3</v>
      </c>
    </row>
    <row r="45" spans="1:44">
      <c r="C45" s="236">
        <f t="shared" si="32"/>
        <v>41</v>
      </c>
      <c r="D45" s="237">
        <f t="shared" si="0"/>
        <v>-5.8524943916511358E-3</v>
      </c>
      <c r="E45" s="279"/>
      <c r="H45" s="236">
        <f t="shared" si="18"/>
        <v>41</v>
      </c>
      <c r="I45" s="237">
        <f t="shared" si="1"/>
        <v>1.1378137112540367E-3</v>
      </c>
      <c r="J45" s="279"/>
      <c r="M45" s="236">
        <f t="shared" si="19"/>
        <v>41</v>
      </c>
      <c r="N45" s="237">
        <f t="shared" si="3"/>
        <v>-3.8250606289616561E-3</v>
      </c>
      <c r="O45" s="279"/>
      <c r="R45" s="236">
        <f t="shared" si="20"/>
        <v>41</v>
      </c>
      <c r="S45" s="237">
        <f t="shared" si="5"/>
        <v>2.0444657147077925E-4</v>
      </c>
      <c r="T45" s="279"/>
      <c r="W45" s="236">
        <f t="shared" si="21"/>
        <v>41</v>
      </c>
      <c r="X45" s="237">
        <f t="shared" si="7"/>
        <v>1.0600919806304173E-3</v>
      </c>
      <c r="Y45" s="279"/>
      <c r="AB45" s="236">
        <f t="shared" si="22"/>
        <v>41</v>
      </c>
      <c r="AC45" s="237">
        <f t="shared" si="9"/>
        <v>-4.8404345540821389E-3</v>
      </c>
      <c r="AD45" s="279"/>
      <c r="AG45" s="236">
        <f t="shared" si="23"/>
        <v>41</v>
      </c>
      <c r="AH45" s="237">
        <f t="shared" si="11"/>
        <v>-3.2075176677436403E-3</v>
      </c>
      <c r="AI45" s="279"/>
      <c r="AL45" s="236">
        <f t="shared" si="24"/>
        <v>41</v>
      </c>
      <c r="AM45" s="237">
        <f t="shared" si="13"/>
        <v>5.6308162833008943E-3</v>
      </c>
      <c r="AQ45" s="236">
        <f t="shared" si="25"/>
        <v>41</v>
      </c>
      <c r="AR45" s="237">
        <f t="shared" si="15"/>
        <v>-1.4738351736881359E-3</v>
      </c>
    </row>
    <row r="46" spans="1:44">
      <c r="C46" s="236">
        <f t="shared" si="32"/>
        <v>42</v>
      </c>
      <c r="D46" s="237">
        <f t="shared" si="0"/>
        <v>-5.6164985822935998E-3</v>
      </c>
      <c r="E46" s="279"/>
      <c r="H46" s="236">
        <f t="shared" si="18"/>
        <v>42</v>
      </c>
      <c r="I46" s="237">
        <f t="shared" si="1"/>
        <v>9.6886968341814393E-4</v>
      </c>
      <c r="J46" s="279"/>
      <c r="M46" s="236">
        <f t="shared" si="19"/>
        <v>42</v>
      </c>
      <c r="N46" s="237">
        <f t="shared" si="3"/>
        <v>-3.6638029342986097E-3</v>
      </c>
      <c r="O46" s="279"/>
      <c r="R46" s="236">
        <f t="shared" si="20"/>
        <v>42</v>
      </c>
      <c r="S46" s="237">
        <f t="shared" si="5"/>
        <v>1.2273158789947053E-4</v>
      </c>
      <c r="T46" s="279"/>
      <c r="W46" s="236">
        <f t="shared" si="21"/>
        <v>42</v>
      </c>
      <c r="X46" s="237">
        <f t="shared" si="7"/>
        <v>8.9809273655554103E-4</v>
      </c>
      <c r="Y46" s="279"/>
      <c r="AB46" s="236">
        <f t="shared" si="22"/>
        <v>42</v>
      </c>
      <c r="AC46" s="237">
        <f t="shared" si="9"/>
        <v>-4.6788873754111419E-3</v>
      </c>
      <c r="AD46" s="279"/>
      <c r="AG46" s="236">
        <f t="shared" si="23"/>
        <v>42</v>
      </c>
      <c r="AH46" s="237">
        <f t="shared" si="11"/>
        <v>-3.142948795824955E-3</v>
      </c>
      <c r="AI46" s="279"/>
      <c r="AL46" s="236">
        <f t="shared" si="24"/>
        <v>42</v>
      </c>
      <c r="AM46" s="237">
        <f t="shared" si="13"/>
        <v>5.2219050536297124E-3</v>
      </c>
      <c r="AQ46" s="236">
        <f t="shared" si="25"/>
        <v>42</v>
      </c>
      <c r="AR46" s="237">
        <f t="shared" si="15"/>
        <v>-1.4714344132942445E-3</v>
      </c>
    </row>
    <row r="47" spans="1:44">
      <c r="C47" s="236">
        <f t="shared" si="32"/>
        <v>43</v>
      </c>
      <c r="D47" s="237">
        <f t="shared" si="0"/>
        <v>-5.3572376322033478E-3</v>
      </c>
      <c r="E47" s="279"/>
      <c r="H47" s="236">
        <f t="shared" si="18"/>
        <v>43</v>
      </c>
      <c r="I47" s="237">
        <f t="shared" si="1"/>
        <v>8.028768195085887E-4</v>
      </c>
      <c r="J47" s="279"/>
      <c r="M47" s="236">
        <f t="shared" si="19"/>
        <v>43</v>
      </c>
      <c r="N47" s="237">
        <f t="shared" si="3"/>
        <v>-3.4938487828182329E-3</v>
      </c>
      <c r="O47" s="279"/>
      <c r="R47" s="236">
        <f t="shared" si="20"/>
        <v>43</v>
      </c>
      <c r="S47" s="237">
        <f t="shared" si="5"/>
        <v>3.9942907884296799E-5</v>
      </c>
      <c r="T47" s="279"/>
      <c r="W47" s="236">
        <f t="shared" si="21"/>
        <v>43</v>
      </c>
      <c r="X47" s="237">
        <f t="shared" si="7"/>
        <v>7.3877427422722555E-4</v>
      </c>
      <c r="Y47" s="279"/>
      <c r="AB47" s="236">
        <f t="shared" si="22"/>
        <v>43</v>
      </c>
      <c r="AC47" s="237">
        <f t="shared" si="9"/>
        <v>-4.4938015654926288E-3</v>
      </c>
      <c r="AD47" s="279"/>
      <c r="AG47" s="236">
        <f t="shared" si="23"/>
        <v>43</v>
      </c>
      <c r="AH47" s="237">
        <f t="shared" si="11"/>
        <v>-3.0591019396957624E-3</v>
      </c>
      <c r="AI47" s="279"/>
      <c r="AL47" s="236">
        <f t="shared" si="24"/>
        <v>43</v>
      </c>
      <c r="AM47" s="237">
        <f t="shared" si="13"/>
        <v>4.7987624464597397E-3</v>
      </c>
      <c r="AQ47" s="236">
        <f t="shared" si="25"/>
        <v>43</v>
      </c>
      <c r="AR47" s="237">
        <f t="shared" si="15"/>
        <v>-1.4625675215092148E-3</v>
      </c>
    </row>
    <row r="48" spans="1:44">
      <c r="C48" s="236">
        <f t="shared" si="32"/>
        <v>44</v>
      </c>
      <c r="D48" s="237">
        <f t="shared" si="0"/>
        <v>-5.0784371976360931E-3</v>
      </c>
      <c r="E48" s="279"/>
      <c r="H48" s="236">
        <f t="shared" si="18"/>
        <v>44</v>
      </c>
      <c r="I48" s="237">
        <f t="shared" si="1"/>
        <v>6.4042128933380806E-4</v>
      </c>
      <c r="J48" s="279"/>
      <c r="M48" s="236">
        <f t="shared" si="19"/>
        <v>44</v>
      </c>
      <c r="N48" s="237">
        <f t="shared" si="3"/>
        <v>-3.3169801634441594E-3</v>
      </c>
      <c r="O48" s="279"/>
      <c r="R48" s="236">
        <f t="shared" si="20"/>
        <v>44</v>
      </c>
      <c r="S48" s="237">
        <f t="shared" si="5"/>
        <v>-4.3370505997849692E-5</v>
      </c>
      <c r="T48" s="279"/>
      <c r="W48" s="236">
        <f t="shared" si="21"/>
        <v>44</v>
      </c>
      <c r="X48" s="237">
        <f t="shared" si="7"/>
        <v>5.82714397924899E-4</v>
      </c>
      <c r="Y48" s="279"/>
      <c r="AB48" s="236">
        <f t="shared" si="22"/>
        <v>44</v>
      </c>
      <c r="AC48" s="237">
        <f t="shared" si="9"/>
        <v>-4.2885359353387088E-3</v>
      </c>
      <c r="AD48" s="279"/>
      <c r="AG48" s="236">
        <f t="shared" si="23"/>
        <v>44</v>
      </c>
      <c r="AH48" s="237">
        <f t="shared" si="11"/>
        <v>-2.9583672122198588E-3</v>
      </c>
      <c r="AI48" s="279"/>
      <c r="AL48" s="236">
        <f t="shared" si="24"/>
        <v>44</v>
      </c>
      <c r="AM48" s="237">
        <f t="shared" si="13"/>
        <v>4.365076100944788E-3</v>
      </c>
      <c r="AQ48" s="236">
        <f t="shared" si="25"/>
        <v>44</v>
      </c>
      <c r="AR48" s="237">
        <f t="shared" si="15"/>
        <v>-1.4479338114202663E-3</v>
      </c>
    </row>
    <row r="49" spans="3:44">
      <c r="C49" s="236">
        <f t="shared" si="32"/>
        <v>45</v>
      </c>
      <c r="D49" s="237">
        <f t="shared" si="0"/>
        <v>-4.7838216896707308E-3</v>
      </c>
      <c r="E49" s="279"/>
      <c r="H49" s="236">
        <f t="shared" si="18"/>
        <v>45</v>
      </c>
      <c r="I49" s="237">
        <f t="shared" si="1"/>
        <v>4.820879772751141E-4</v>
      </c>
      <c r="J49" s="279"/>
      <c r="M49" s="236">
        <f t="shared" si="19"/>
        <v>45</v>
      </c>
      <c r="N49" s="237">
        <f t="shared" si="3"/>
        <v>-3.134977399440686E-3</v>
      </c>
      <c r="O49" s="279"/>
      <c r="R49" s="236">
        <f t="shared" si="20"/>
        <v>45</v>
      </c>
      <c r="S49" s="237">
        <f t="shared" si="5"/>
        <v>-1.2666013685702637E-4</v>
      </c>
      <c r="T49" s="279"/>
      <c r="W49" s="236">
        <f t="shared" si="21"/>
        <v>45</v>
      </c>
      <c r="X49" s="237">
        <f t="shared" si="7"/>
        <v>4.30489975542514E-4</v>
      </c>
      <c r="Y49" s="279"/>
      <c r="AB49" s="236">
        <f t="shared" si="22"/>
        <v>45</v>
      </c>
      <c r="AC49" s="237">
        <f t="shared" si="9"/>
        <v>-4.0664475900484831E-3</v>
      </c>
      <c r="AD49" s="279"/>
      <c r="AG49" s="236">
        <f t="shared" si="23"/>
        <v>45</v>
      </c>
      <c r="AH49" s="237">
        <f t="shared" si="11"/>
        <v>-2.8431342034309637E-3</v>
      </c>
      <c r="AI49" s="279"/>
      <c r="AL49" s="236">
        <f t="shared" si="24"/>
        <v>45</v>
      </c>
      <c r="AM49" s="237">
        <f t="shared" si="13"/>
        <v>3.9245303269126453E-3</v>
      </c>
      <c r="AQ49" s="236">
        <f t="shared" si="25"/>
        <v>45</v>
      </c>
      <c r="AR49" s="237">
        <f t="shared" si="15"/>
        <v>-1.4282322873668818E-3</v>
      </c>
    </row>
    <row r="50" spans="3:44">
      <c r="C50" s="236">
        <f t="shared" si="32"/>
        <v>46</v>
      </c>
      <c r="D50" s="237">
        <f t="shared" si="0"/>
        <v>-4.4771171594409943E-3</v>
      </c>
      <c r="E50" s="279"/>
      <c r="H50" s="236">
        <f t="shared" si="18"/>
        <v>46</v>
      </c>
      <c r="I50" s="237">
        <f t="shared" si="1"/>
        <v>3.2846294644280007E-4</v>
      </c>
      <c r="J50" s="279"/>
      <c r="M50" s="236">
        <f t="shared" si="19"/>
        <v>46</v>
      </c>
      <c r="N50" s="237">
        <f t="shared" si="3"/>
        <v>-2.949621852929264E-3</v>
      </c>
      <c r="O50" s="279"/>
      <c r="R50" s="236">
        <f t="shared" si="20"/>
        <v>46</v>
      </c>
      <c r="S50" s="237">
        <f t="shared" si="5"/>
        <v>-2.0937712027265713E-4</v>
      </c>
      <c r="T50" s="279"/>
      <c r="W50" s="236">
        <f t="shared" si="21"/>
        <v>46</v>
      </c>
      <c r="X50" s="237">
        <f t="shared" si="7"/>
        <v>2.8267870506998945E-4</v>
      </c>
      <c r="Y50" s="279"/>
      <c r="AB50" s="236">
        <f t="shared" si="22"/>
        <v>46</v>
      </c>
      <c r="AC50" s="237">
        <f t="shared" si="9"/>
        <v>-3.8308954928312437E-3</v>
      </c>
      <c r="AD50" s="279"/>
      <c r="AG50" s="236">
        <f t="shared" si="23"/>
        <v>46</v>
      </c>
      <c r="AH50" s="237">
        <f t="shared" si="11"/>
        <v>-2.715793082322923E-3</v>
      </c>
      <c r="AI50" s="279"/>
      <c r="AL50" s="236">
        <f t="shared" si="24"/>
        <v>46</v>
      </c>
      <c r="AM50" s="237">
        <f t="shared" si="13"/>
        <v>3.4808129029113193E-3</v>
      </c>
      <c r="AQ50" s="236">
        <f t="shared" si="25"/>
        <v>46</v>
      </c>
      <c r="AR50" s="237">
        <f t="shared" si="15"/>
        <v>-1.404162210543691E-3</v>
      </c>
    </row>
    <row r="51" spans="3:44">
      <c r="C51" s="236">
        <f t="shared" si="32"/>
        <v>47</v>
      </c>
      <c r="D51" s="237">
        <f t="shared" si="0"/>
        <v>-4.1620485485059809E-3</v>
      </c>
      <c r="E51" s="279"/>
      <c r="H51" s="236">
        <f t="shared" si="18"/>
        <v>47</v>
      </c>
      <c r="I51" s="237">
        <f t="shared" si="1"/>
        <v>1.8013178359697901E-4</v>
      </c>
      <c r="J51" s="279"/>
      <c r="M51" s="236">
        <f t="shared" si="19"/>
        <v>47</v>
      </c>
      <c r="N51" s="237">
        <f t="shared" si="3"/>
        <v>-2.7626948071726469E-3</v>
      </c>
      <c r="O51" s="279"/>
      <c r="R51" s="236">
        <f t="shared" si="20"/>
        <v>47</v>
      </c>
      <c r="S51" s="237">
        <f t="shared" si="5"/>
        <v>-2.9097275742821804E-4</v>
      </c>
      <c r="T51" s="279"/>
      <c r="W51" s="236">
        <f t="shared" si="21"/>
        <v>47</v>
      </c>
      <c r="X51" s="237">
        <f t="shared" si="7"/>
        <v>1.3985780769756721E-4</v>
      </c>
      <c r="Y51" s="279"/>
      <c r="AB51" s="236">
        <f t="shared" si="22"/>
        <v>47</v>
      </c>
      <c r="AC51" s="237">
        <f t="shared" si="9"/>
        <v>-3.5852373917415379E-3</v>
      </c>
      <c r="AD51" s="279"/>
      <c r="AG51" s="236">
        <f t="shared" si="23"/>
        <v>47</v>
      </c>
      <c r="AH51" s="237">
        <f t="shared" si="11"/>
        <v>-2.5787336592874967E-3</v>
      </c>
      <c r="AI51" s="279"/>
      <c r="AL51" s="236">
        <f t="shared" si="24"/>
        <v>47</v>
      </c>
      <c r="AM51" s="237">
        <f t="shared" si="13"/>
        <v>3.0376093586794604E-3</v>
      </c>
      <c r="AQ51" s="236">
        <f t="shared" si="25"/>
        <v>47</v>
      </c>
      <c r="AR51" s="237">
        <f t="shared" si="15"/>
        <v>-1.3764227158730522E-3</v>
      </c>
    </row>
    <row r="52" spans="3:44">
      <c r="C52" s="236">
        <f t="shared" si="32"/>
        <v>48</v>
      </c>
      <c r="D52" s="237">
        <f t="shared" si="0"/>
        <v>-3.8423413086490915E-3</v>
      </c>
      <c r="E52" s="279"/>
      <c r="H52" s="236">
        <f t="shared" si="18"/>
        <v>48</v>
      </c>
      <c r="I52" s="237">
        <f t="shared" si="1"/>
        <v>3.7679845339343219E-5</v>
      </c>
      <c r="J52" s="279"/>
      <c r="M52" s="236">
        <f t="shared" si="19"/>
        <v>48</v>
      </c>
      <c r="N52" s="237">
        <f t="shared" si="3"/>
        <v>-2.5759768666563316E-3</v>
      </c>
      <c r="O52" s="279"/>
      <c r="R52" s="236">
        <f t="shared" si="20"/>
        <v>48</v>
      </c>
      <c r="S52" s="237">
        <f t="shared" si="5"/>
        <v>-3.7089831538213023E-4</v>
      </c>
      <c r="T52" s="279"/>
      <c r="W52" s="236">
        <f t="shared" si="21"/>
        <v>48</v>
      </c>
      <c r="X52" s="237">
        <f t="shared" si="7"/>
        <v>2.6046238154072256E-6</v>
      </c>
      <c r="Y52" s="279"/>
      <c r="AB52" s="236">
        <f t="shared" si="22"/>
        <v>48</v>
      </c>
      <c r="AC52" s="237">
        <f t="shared" si="9"/>
        <v>-3.3328316587647351E-3</v>
      </c>
      <c r="AD52" s="279"/>
      <c r="AG52" s="236">
        <f t="shared" si="23"/>
        <v>48</v>
      </c>
      <c r="AH52" s="237">
        <f t="shared" si="11"/>
        <v>-2.4343458343669671E-3</v>
      </c>
      <c r="AI52" s="279"/>
      <c r="AL52" s="236">
        <f t="shared" si="24"/>
        <v>48</v>
      </c>
      <c r="AM52" s="237">
        <f t="shared" si="13"/>
        <v>2.5986064264423279E-3</v>
      </c>
      <c r="AQ52" s="236">
        <f t="shared" si="25"/>
        <v>48</v>
      </c>
      <c r="AR52" s="237">
        <f t="shared" si="15"/>
        <v>-1.3457128898098573E-3</v>
      </c>
    </row>
    <row r="53" spans="3:44">
      <c r="C53" s="236">
        <f t="shared" si="32"/>
        <v>49</v>
      </c>
      <c r="D53" s="237">
        <f t="shared" si="0"/>
        <v>-3.5217201931617955E-3</v>
      </c>
      <c r="E53" s="279"/>
      <c r="H53" s="236">
        <f t="shared" si="18"/>
        <v>49</v>
      </c>
      <c r="I53" s="237">
        <f t="shared" si="1"/>
        <v>-9.8307162482448997E-5</v>
      </c>
      <c r="J53" s="279"/>
      <c r="M53" s="236">
        <f t="shared" si="19"/>
        <v>49</v>
      </c>
      <c r="N53" s="237">
        <f t="shared" si="3"/>
        <v>-2.3912493343577457E-3</v>
      </c>
      <c r="O53" s="279"/>
      <c r="R53" s="236">
        <f t="shared" si="20"/>
        <v>49</v>
      </c>
      <c r="S53" s="237">
        <f t="shared" si="5"/>
        <v>-4.4860503208898385E-4</v>
      </c>
      <c r="T53" s="279"/>
      <c r="W53" s="236">
        <f t="shared" si="21"/>
        <v>49</v>
      </c>
      <c r="X53" s="237">
        <f t="shared" si="7"/>
        <v>-1.2850350618632948E-4</v>
      </c>
      <c r="Y53" s="279"/>
      <c r="AB53" s="236">
        <f t="shared" si="22"/>
        <v>49</v>
      </c>
      <c r="AC53" s="237">
        <f t="shared" si="9"/>
        <v>-3.0770362002249169E-3</v>
      </c>
      <c r="AD53" s="279"/>
      <c r="AG53" s="236">
        <f t="shared" si="23"/>
        <v>49</v>
      </c>
      <c r="AH53" s="237">
        <f t="shared" si="11"/>
        <v>-2.2850195658112755E-3</v>
      </c>
      <c r="AI53" s="279"/>
      <c r="AL53" s="236">
        <f t="shared" si="24"/>
        <v>49</v>
      </c>
      <c r="AM53" s="237">
        <f t="shared" si="13"/>
        <v>2.1674899071026077E-3</v>
      </c>
      <c r="AQ53" s="236">
        <f t="shared" si="25"/>
        <v>49</v>
      </c>
      <c r="AR53" s="237">
        <f t="shared" si="15"/>
        <v>-1.3127319061204898E-3</v>
      </c>
    </row>
    <row r="54" spans="3:44">
      <c r="C54" s="236">
        <f t="shared" si="32"/>
        <v>50</v>
      </c>
      <c r="D54" s="237">
        <f t="shared" si="0"/>
        <v>-3.2039106538274938E-3</v>
      </c>
      <c r="E54" s="279"/>
      <c r="H54" s="236">
        <f t="shared" si="18"/>
        <v>50</v>
      </c>
      <c r="I54" s="237">
        <f t="shared" si="1"/>
        <v>-2.2724365043606234E-4</v>
      </c>
      <c r="J54" s="279"/>
      <c r="M54" s="236">
        <f t="shared" si="19"/>
        <v>50</v>
      </c>
      <c r="N54" s="237">
        <f t="shared" si="3"/>
        <v>-2.2102933968389965E-3</v>
      </c>
      <c r="O54" s="279"/>
      <c r="R54" s="236">
        <f t="shared" si="20"/>
        <v>50</v>
      </c>
      <c r="S54" s="237">
        <f t="shared" si="5"/>
        <v>-5.2354423281486084E-4</v>
      </c>
      <c r="T54" s="279"/>
      <c r="W54" s="236">
        <f t="shared" si="21"/>
        <v>50</v>
      </c>
      <c r="X54" s="237">
        <f t="shared" si="7"/>
        <v>-2.5288924191748221E-4</v>
      </c>
      <c r="Y54" s="279"/>
      <c r="AB54" s="236">
        <f t="shared" si="22"/>
        <v>50</v>
      </c>
      <c r="AC54" s="237">
        <f t="shared" si="9"/>
        <v>-2.8212093881074519E-3</v>
      </c>
      <c r="AD54" s="279"/>
      <c r="AG54" s="236">
        <f t="shared" si="23"/>
        <v>50</v>
      </c>
      <c r="AH54" s="237">
        <f t="shared" si="11"/>
        <v>-2.1331446372473825E-3</v>
      </c>
      <c r="AI54" s="279"/>
      <c r="AL54" s="236">
        <f t="shared" si="24"/>
        <v>50</v>
      </c>
      <c r="AM54" s="237">
        <f t="shared" si="13"/>
        <v>1.747946532885558E-3</v>
      </c>
      <c r="AQ54" s="236">
        <f t="shared" si="25"/>
        <v>50</v>
      </c>
      <c r="AR54" s="237">
        <f t="shared" si="15"/>
        <v>-1.2781789094675026E-3</v>
      </c>
    </row>
    <row r="55" spans="3:44">
      <c r="C55" s="236">
        <f t="shared" si="32"/>
        <v>51</v>
      </c>
      <c r="D55" s="237">
        <f t="shared" si="0"/>
        <v>-2.8926379095989422E-3</v>
      </c>
      <c r="E55" s="279"/>
      <c r="H55" s="236">
        <f t="shared" si="18"/>
        <v>51</v>
      </c>
      <c r="I55" s="237">
        <f t="shared" si="1"/>
        <v>-3.485439708814991E-4</v>
      </c>
      <c r="J55" s="279"/>
      <c r="M55" s="236">
        <f t="shared" si="19"/>
        <v>51</v>
      </c>
      <c r="N55" s="237">
        <f t="shared" si="3"/>
        <v>-2.0348900078315459E-3</v>
      </c>
      <c r="O55" s="279"/>
      <c r="R55" s="236">
        <f t="shared" si="20"/>
        <v>51</v>
      </c>
      <c r="S55" s="237">
        <f t="shared" si="5"/>
        <v>-5.9516715551435158E-4</v>
      </c>
      <c r="T55" s="279"/>
      <c r="W55" s="236">
        <f t="shared" si="21"/>
        <v>51</v>
      </c>
      <c r="X55" s="237">
        <f t="shared" si="7"/>
        <v>-3.6997518478022967E-4</v>
      </c>
      <c r="Y55" s="279"/>
      <c r="AB55" s="236">
        <f t="shared" si="22"/>
        <v>51</v>
      </c>
      <c r="AC55" s="237">
        <f t="shared" si="9"/>
        <v>-2.5687091287364219E-3</v>
      </c>
      <c r="AD55" s="279"/>
      <c r="AG55" s="236">
        <f t="shared" si="23"/>
        <v>51</v>
      </c>
      <c r="AH55" s="237">
        <f t="shared" si="11"/>
        <v>-1.9811110069252302E-3</v>
      </c>
      <c r="AI55" s="279"/>
      <c r="AL55" s="236">
        <f t="shared" si="24"/>
        <v>51</v>
      </c>
      <c r="AM55" s="237">
        <f t="shared" si="13"/>
        <v>1.3436621046938649E-3</v>
      </c>
      <c r="AQ55" s="236">
        <f t="shared" si="25"/>
        <v>51</v>
      </c>
      <c r="AR55" s="237">
        <f t="shared" si="15"/>
        <v>-1.2427530736172797E-3</v>
      </c>
    </row>
    <row r="56" spans="3:44">
      <c r="C56" s="236">
        <f t="shared" si="32"/>
        <v>52</v>
      </c>
      <c r="D56" s="237">
        <f t="shared" si="0"/>
        <v>-2.5916272958442202E-3</v>
      </c>
      <c r="E56" s="279"/>
      <c r="H56" s="236">
        <f t="shared" si="18"/>
        <v>52</v>
      </c>
      <c r="I56" s="237">
        <f t="shared" si="1"/>
        <v>-4.6162259259408423E-4</v>
      </c>
      <c r="J56" s="279"/>
      <c r="M56" s="236">
        <f t="shared" si="19"/>
        <v>52</v>
      </c>
      <c r="N56" s="237">
        <f t="shared" si="3"/>
        <v>-1.8668201210668557E-3</v>
      </c>
      <c r="O56" s="279"/>
      <c r="R56" s="236">
        <f t="shared" si="20"/>
        <v>52</v>
      </c>
      <c r="S56" s="237">
        <f t="shared" si="5"/>
        <v>-6.6292506724587648E-4</v>
      </c>
      <c r="T56" s="279"/>
      <c r="W56" s="236">
        <f t="shared" si="21"/>
        <v>52</v>
      </c>
      <c r="X56" s="237">
        <f t="shared" si="7"/>
        <v>-4.7918411079973279E-4</v>
      </c>
      <c r="Y56" s="279"/>
      <c r="AB56" s="236">
        <f t="shared" si="22"/>
        <v>52</v>
      </c>
      <c r="AC56" s="237">
        <f t="shared" si="9"/>
        <v>-2.3228937940971959E-3</v>
      </c>
      <c r="AD56" s="279"/>
      <c r="AG56" s="236">
        <f t="shared" si="23"/>
        <v>52</v>
      </c>
      <c r="AH56" s="237">
        <f t="shared" si="11"/>
        <v>-1.8313085748871E-3</v>
      </c>
      <c r="AI56" s="279"/>
      <c r="AL56" s="236">
        <f t="shared" si="24"/>
        <v>52</v>
      </c>
      <c r="AM56" s="237">
        <f t="shared" si="13"/>
        <v>9.5832335475278885E-4</v>
      </c>
      <c r="AQ56" s="236">
        <f t="shared" si="25"/>
        <v>52</v>
      </c>
      <c r="AR56" s="237">
        <f t="shared" si="15"/>
        <v>-1.2071534850247125E-3</v>
      </c>
    </row>
    <row r="57" spans="3:44">
      <c r="C57" s="236">
        <f t="shared" si="32"/>
        <v>53</v>
      </c>
      <c r="D57" s="237">
        <f t="shared" si="0"/>
        <v>-2.3046035551642146E-3</v>
      </c>
      <c r="E57" s="279"/>
      <c r="H57" s="236">
        <f t="shared" si="18"/>
        <v>53</v>
      </c>
      <c r="I57" s="237">
        <f t="shared" si="1"/>
        <v>-5.6589405017871508E-4</v>
      </c>
      <c r="J57" s="279"/>
      <c r="M57" s="236">
        <f t="shared" si="19"/>
        <v>53</v>
      </c>
      <c r="N57" s="237">
        <f t="shared" si="3"/>
        <v>-1.7078648668753897E-3</v>
      </c>
      <c r="O57" s="279"/>
      <c r="R57" s="236">
        <f t="shared" si="20"/>
        <v>53</v>
      </c>
      <c r="S57" s="237">
        <f t="shared" si="5"/>
        <v>-7.2626926394167926E-4</v>
      </c>
      <c r="T57" s="279"/>
      <c r="W57" s="236">
        <f t="shared" si="21"/>
        <v>53</v>
      </c>
      <c r="X57" s="237">
        <f t="shared" si="7"/>
        <v>-5.7993868752826533E-4</v>
      </c>
      <c r="Y57" s="279"/>
      <c r="AB57" s="236">
        <f t="shared" si="22"/>
        <v>53</v>
      </c>
      <c r="AC57" s="237">
        <f t="shared" si="9"/>
        <v>-2.0871211711341957E-3</v>
      </c>
      <c r="AD57" s="279"/>
      <c r="AG57" s="236">
        <f t="shared" si="23"/>
        <v>53</v>
      </c>
      <c r="AH57" s="237">
        <f t="shared" si="11"/>
        <v>-1.6861271223878069E-3</v>
      </c>
      <c r="AI57" s="279"/>
      <c r="AL57" s="236">
        <f t="shared" si="24"/>
        <v>53</v>
      </c>
      <c r="AM57" s="237">
        <f t="shared" si="13"/>
        <v>5.956159746276972E-4</v>
      </c>
      <c r="AQ57" s="236">
        <f t="shared" si="25"/>
        <v>53</v>
      </c>
      <c r="AR57" s="237">
        <f t="shared" si="15"/>
        <v>-1.1720792751225703E-3</v>
      </c>
    </row>
    <row r="58" spans="3:44">
      <c r="C58" s="236">
        <f t="shared" si="32"/>
        <v>54</v>
      </c>
      <c r="D58" s="237">
        <f t="shared" si="0"/>
        <v>-2.0352926198016034E-3</v>
      </c>
      <c r="E58" s="279"/>
      <c r="H58" s="236">
        <f t="shared" si="18"/>
        <v>54</v>
      </c>
      <c r="I58" s="237">
        <f t="shared" si="1"/>
        <v>-6.607725065233491E-4</v>
      </c>
      <c r="J58" s="279"/>
      <c r="M58" s="236">
        <f t="shared" si="19"/>
        <v>54</v>
      </c>
      <c r="N58" s="237">
        <f t="shared" si="3"/>
        <v>-1.5598055413701443E-3</v>
      </c>
      <c r="O58" s="279"/>
      <c r="R58" s="236">
        <f t="shared" si="20"/>
        <v>54</v>
      </c>
      <c r="S58" s="237">
        <f t="shared" si="5"/>
        <v>-7.8465095565430766E-4</v>
      </c>
      <c r="T58" s="279"/>
      <c r="W58" s="236">
        <f t="shared" si="21"/>
        <v>54</v>
      </c>
      <c r="X58" s="237">
        <f t="shared" si="7"/>
        <v>-6.716614426868371E-4</v>
      </c>
      <c r="Y58" s="279"/>
      <c r="AB58" s="236">
        <f t="shared" si="22"/>
        <v>54</v>
      </c>
      <c r="AC58" s="237">
        <f t="shared" si="9"/>
        <v>-1.8647498062014385E-3</v>
      </c>
      <c r="AD58" s="279"/>
      <c r="AG58" s="236">
        <f t="shared" si="23"/>
        <v>54</v>
      </c>
      <c r="AH58" s="237">
        <f t="shared" si="11"/>
        <v>-1.547956782399597E-3</v>
      </c>
      <c r="AI58" s="279"/>
      <c r="AL58" s="236">
        <f t="shared" si="24"/>
        <v>54</v>
      </c>
      <c r="AM58" s="237">
        <f t="shared" si="13"/>
        <v>2.5922679314027296E-4</v>
      </c>
      <c r="AQ58" s="236">
        <f t="shared" si="25"/>
        <v>54</v>
      </c>
      <c r="AR58" s="237">
        <f t="shared" si="15"/>
        <v>-1.1382296863536581E-3</v>
      </c>
    </row>
    <row r="59" spans="3:44">
      <c r="C59" s="236">
        <f t="shared" si="32"/>
        <v>55</v>
      </c>
      <c r="D59" s="237">
        <f t="shared" si="0"/>
        <v>-1.7874192399532445E-3</v>
      </c>
      <c r="E59" s="279"/>
      <c r="H59" s="236">
        <f t="shared" si="18"/>
        <v>55</v>
      </c>
      <c r="I59" s="237">
        <f t="shared" si="1"/>
        <v>-7.456725539850518E-4</v>
      </c>
      <c r="J59" s="279"/>
      <c r="M59" s="236">
        <f t="shared" si="19"/>
        <v>55</v>
      </c>
      <c r="N59" s="237">
        <f t="shared" si="3"/>
        <v>-1.424422987203735E-3</v>
      </c>
      <c r="O59" s="279"/>
      <c r="R59" s="236">
        <f t="shared" si="20"/>
        <v>55</v>
      </c>
      <c r="S59" s="237">
        <f t="shared" si="5"/>
        <v>-8.3752142290819905E-4</v>
      </c>
      <c r="T59" s="279"/>
      <c r="W59" s="236">
        <f t="shared" si="21"/>
        <v>55</v>
      </c>
      <c r="X59" s="237">
        <f t="shared" si="7"/>
        <v>-7.5377510156073545E-4</v>
      </c>
      <c r="Y59" s="279"/>
      <c r="AB59" s="236">
        <f t="shared" si="22"/>
        <v>55</v>
      </c>
      <c r="AC59" s="237">
        <f t="shared" si="9"/>
        <v>-1.6591376680005711E-3</v>
      </c>
      <c r="AD59" s="279"/>
      <c r="AG59" s="236">
        <f t="shared" si="23"/>
        <v>55</v>
      </c>
      <c r="AH59" s="237">
        <f t="shared" si="11"/>
        <v>-1.4191873706406954E-3</v>
      </c>
      <c r="AI59" s="279"/>
      <c r="AL59" s="236">
        <f t="shared" si="24"/>
        <v>55</v>
      </c>
      <c r="AM59" s="237">
        <f t="shared" si="13"/>
        <v>-4.7158142364048987E-5</v>
      </c>
      <c r="AQ59" s="236">
        <f t="shared" si="25"/>
        <v>55</v>
      </c>
      <c r="AR59" s="237">
        <f t="shared" si="15"/>
        <v>-1.1063037936033446E-3</v>
      </c>
    </row>
    <row r="60" spans="3:44">
      <c r="C60" s="236">
        <f t="shared" si="32"/>
        <v>56</v>
      </c>
      <c r="D60" s="237">
        <f t="shared" si="0"/>
        <v>-1.5647088091948768E-3</v>
      </c>
      <c r="E60" s="279"/>
      <c r="H60" s="236">
        <f t="shared" si="18"/>
        <v>56</v>
      </c>
      <c r="I60" s="237">
        <f t="shared" si="1"/>
        <v>-8.2000848671616531E-4</v>
      </c>
      <c r="J60" s="279"/>
      <c r="M60" s="236">
        <f t="shared" si="19"/>
        <v>56</v>
      </c>
      <c r="N60" s="237">
        <f t="shared" si="3"/>
        <v>-1.3034983327306065E-3</v>
      </c>
      <c r="O60" s="279"/>
      <c r="R60" s="236">
        <f t="shared" si="20"/>
        <v>56</v>
      </c>
      <c r="S60" s="237">
        <f t="shared" si="5"/>
        <v>-8.8433196186560477E-4</v>
      </c>
      <c r="T60" s="279"/>
      <c r="W60" s="236">
        <f t="shared" si="21"/>
        <v>56</v>
      </c>
      <c r="X60" s="237">
        <f t="shared" si="7"/>
        <v>-8.257022946559691E-4</v>
      </c>
      <c r="Y60" s="279"/>
      <c r="AB60" s="236">
        <f t="shared" si="22"/>
        <v>56</v>
      </c>
      <c r="AC60" s="237">
        <f t="shared" si="9"/>
        <v>-1.4736428956863188E-3</v>
      </c>
      <c r="AD60" s="279"/>
      <c r="AG60" s="236">
        <f t="shared" si="23"/>
        <v>56</v>
      </c>
      <c r="AH60" s="237">
        <f t="shared" si="11"/>
        <v>-1.3022087289457219E-3</v>
      </c>
      <c r="AI60" s="279"/>
      <c r="AL60" s="236">
        <f t="shared" si="24"/>
        <v>56</v>
      </c>
      <c r="AM60" s="237">
        <f t="shared" si="13"/>
        <v>-3.1985256532129523E-4</v>
      </c>
      <c r="AQ60" s="236">
        <f t="shared" si="25"/>
        <v>56</v>
      </c>
      <c r="AR60" s="237">
        <f t="shared" si="15"/>
        <v>-1.0770007706380129E-3</v>
      </c>
    </row>
    <row r="61" spans="3:44">
      <c r="C61" s="236">
        <f t="shared" si="32"/>
        <v>57</v>
      </c>
      <c r="D61" s="237">
        <f t="shared" si="0"/>
        <v>-1.3708863563830209E-3</v>
      </c>
      <c r="E61" s="279"/>
      <c r="H61" s="236">
        <f t="shared" si="18"/>
        <v>57</v>
      </c>
      <c r="I61" s="237">
        <f t="shared" si="1"/>
        <v>-8.8319483611795473E-4</v>
      </c>
      <c r="J61" s="279"/>
      <c r="M61" s="236">
        <f t="shared" si="19"/>
        <v>57</v>
      </c>
      <c r="N61" s="237">
        <f t="shared" si="3"/>
        <v>-1.1988126155011117E-3</v>
      </c>
      <c r="O61" s="279"/>
      <c r="R61" s="236">
        <f t="shared" si="20"/>
        <v>57</v>
      </c>
      <c r="S61" s="237">
        <f t="shared" si="5"/>
        <v>-9.2453384061112927E-4</v>
      </c>
      <c r="T61" s="279"/>
      <c r="W61" s="236">
        <f t="shared" si="21"/>
        <v>57</v>
      </c>
      <c r="X61" s="237">
        <f t="shared" si="7"/>
        <v>-8.8686577349794964E-4</v>
      </c>
      <c r="Y61" s="279"/>
      <c r="AB61" s="236">
        <f t="shared" si="22"/>
        <v>57</v>
      </c>
      <c r="AC61" s="237">
        <f t="shared" si="9"/>
        <v>-1.3116235301074222E-3</v>
      </c>
      <c r="AD61" s="279"/>
      <c r="AG61" s="236">
        <f t="shared" si="23"/>
        <v>57</v>
      </c>
      <c r="AH61" s="237">
        <f t="shared" si="11"/>
        <v>-1.1994107199209485E-3</v>
      </c>
      <c r="AI61" s="279"/>
      <c r="AL61" s="236">
        <f t="shared" si="24"/>
        <v>57</v>
      </c>
      <c r="AM61" s="237">
        <f t="shared" si="13"/>
        <v>-5.5517033075594998E-4</v>
      </c>
      <c r="AQ61" s="236">
        <f t="shared" si="25"/>
        <v>57</v>
      </c>
      <c r="AR61" s="237">
        <f t="shared" si="15"/>
        <v>-1.0510197169118546E-3</v>
      </c>
    </row>
    <row r="62" spans="3:44">
      <c r="C62" s="236">
        <f t="shared" si="32"/>
        <v>58</v>
      </c>
      <c r="D62" s="237">
        <f t="shared" si="0"/>
        <v>-1.2096773338777589E-3</v>
      </c>
      <c r="E62" s="279"/>
      <c r="H62" s="236">
        <f t="shared" si="18"/>
        <v>58</v>
      </c>
      <c r="I62" s="237">
        <f t="shared" si="1"/>
        <v>-9.3464591668594916E-4</v>
      </c>
      <c r="J62" s="279"/>
      <c r="M62" s="236">
        <f t="shared" si="19"/>
        <v>58</v>
      </c>
      <c r="N62" s="237">
        <f t="shared" si="3"/>
        <v>-1.112146970294822E-3</v>
      </c>
      <c r="O62" s="279"/>
      <c r="R62" s="236">
        <f t="shared" si="20"/>
        <v>58</v>
      </c>
      <c r="S62" s="237">
        <f t="shared" si="5"/>
        <v>-9.5757828791368633E-4</v>
      </c>
      <c r="T62" s="279"/>
      <c r="W62" s="236">
        <f t="shared" si="21"/>
        <v>58</v>
      </c>
      <c r="X62" s="237">
        <f t="shared" si="7"/>
        <v>-9.3668808670405613E-4</v>
      </c>
      <c r="Y62" s="279"/>
      <c r="AB62" s="236">
        <f t="shared" si="22"/>
        <v>58</v>
      </c>
      <c r="AC62" s="237">
        <f t="shared" si="9"/>
        <v>-1.1764379058415359E-3</v>
      </c>
      <c r="AD62" s="279"/>
      <c r="AG62" s="236">
        <f t="shared" si="23"/>
        <v>58</v>
      </c>
      <c r="AH62" s="237">
        <f t="shared" si="11"/>
        <v>-1.11318339034699E-3</v>
      </c>
      <c r="AI62" s="279"/>
      <c r="AL62" s="236">
        <f t="shared" si="24"/>
        <v>58</v>
      </c>
      <c r="AM62" s="237">
        <f t="shared" si="13"/>
        <v>-7.4942493001614488E-4</v>
      </c>
      <c r="AQ62" s="236">
        <f t="shared" si="25"/>
        <v>58</v>
      </c>
      <c r="AR62" s="237">
        <f t="shared" si="15"/>
        <v>-1.0290598308476484E-3</v>
      </c>
    </row>
    <row r="63" spans="3:44">
      <c r="C63" s="236">
        <f t="shared" si="32"/>
        <v>59</v>
      </c>
      <c r="D63" s="237">
        <f t="shared" si="0"/>
        <v>-1.0848068072143262E-3</v>
      </c>
      <c r="E63" s="279"/>
      <c r="H63" s="236">
        <f t="shared" si="18"/>
        <v>59</v>
      </c>
      <c r="I63" s="237">
        <f t="shared" si="1"/>
        <v>-9.7377618922542828E-4</v>
      </c>
      <c r="J63" s="279"/>
      <c r="M63" s="236">
        <f t="shared" si="19"/>
        <v>59</v>
      </c>
      <c r="N63" s="237">
        <f t="shared" si="3"/>
        <v>-1.0452824186999196E-3</v>
      </c>
      <c r="O63" s="279"/>
      <c r="R63" s="236">
        <f t="shared" si="20"/>
        <v>59</v>
      </c>
      <c r="S63" s="237">
        <f t="shared" si="5"/>
        <v>-9.8291660502719254E-4</v>
      </c>
      <c r="T63" s="279"/>
      <c r="W63" s="236">
        <f t="shared" si="21"/>
        <v>59</v>
      </c>
      <c r="X63" s="237">
        <f t="shared" si="7"/>
        <v>-9.7459196622640305E-4</v>
      </c>
      <c r="Y63" s="279"/>
      <c r="AB63" s="236">
        <f t="shared" si="22"/>
        <v>59</v>
      </c>
      <c r="AC63" s="237">
        <f t="shared" si="9"/>
        <v>-1.0714440152978309E-3</v>
      </c>
      <c r="AD63" s="279"/>
      <c r="AG63" s="236">
        <f t="shared" si="23"/>
        <v>59</v>
      </c>
      <c r="AH63" s="237">
        <f t="shared" si="11"/>
        <v>-1.0459165191644513E-3</v>
      </c>
      <c r="AI63" s="279"/>
      <c r="AL63" s="236">
        <f t="shared" si="24"/>
        <v>59</v>
      </c>
      <c r="AM63" s="237">
        <f t="shared" si="13"/>
        <v>-8.9893027826718288E-4</v>
      </c>
      <c r="AQ63" s="236">
        <f t="shared" si="25"/>
        <v>59</v>
      </c>
      <c r="AR63" s="237">
        <f t="shared" si="15"/>
        <v>-1.011820222203239E-3</v>
      </c>
    </row>
    <row r="64" spans="3:44">
      <c r="C64" s="236">
        <f t="shared" si="32"/>
        <v>60</v>
      </c>
      <c r="D64" s="237">
        <f t="shared" si="0"/>
        <v>-1.0000000474974513E-3</v>
      </c>
      <c r="E64" s="279"/>
      <c r="H64" s="236">
        <f t="shared" si="18"/>
        <v>60</v>
      </c>
      <c r="I64" s="237">
        <f t="shared" si="1"/>
        <v>-1.0000000474974513E-3</v>
      </c>
      <c r="J64" s="279"/>
      <c r="M64" s="236">
        <f t="shared" si="19"/>
        <v>60</v>
      </c>
      <c r="N64" s="237">
        <f t="shared" si="3"/>
        <v>-1.0000000474974513E-3</v>
      </c>
      <c r="O64" s="279"/>
      <c r="R64" s="236">
        <f t="shared" si="20"/>
        <v>60</v>
      </c>
      <c r="S64" s="237">
        <f t="shared" si="5"/>
        <v>-1.0000000474974513E-3</v>
      </c>
      <c r="T64" s="279"/>
      <c r="W64" s="236">
        <f t="shared" si="21"/>
        <v>60</v>
      </c>
      <c r="X64" s="237">
        <f t="shared" si="7"/>
        <v>-1.0000000474974513E-3</v>
      </c>
      <c r="Y64" s="279"/>
      <c r="AB64" s="236">
        <f t="shared" si="22"/>
        <v>60</v>
      </c>
      <c r="AC64" s="237">
        <f t="shared" si="9"/>
        <v>-1.0000000474974513E-3</v>
      </c>
      <c r="AD64" s="279"/>
      <c r="AG64" s="236">
        <f t="shared" si="23"/>
        <v>60</v>
      </c>
      <c r="AH64" s="237">
        <f t="shared" si="11"/>
        <v>-1.0000000474974513E-3</v>
      </c>
      <c r="AI64" s="279"/>
      <c r="AL64" s="236">
        <f t="shared" si="24"/>
        <v>60</v>
      </c>
      <c r="AM64" s="237">
        <f t="shared" si="13"/>
        <v>-1.0000000474974513E-3</v>
      </c>
      <c r="AQ64" s="236">
        <f t="shared" si="25"/>
        <v>60</v>
      </c>
      <c r="AR64" s="237">
        <f t="shared" si="15"/>
        <v>-1.0000000474974513E-3</v>
      </c>
    </row>
    <row r="65" spans="3:44">
      <c r="C65" s="236">
        <f t="shared" si="32"/>
        <v>61</v>
      </c>
      <c r="D65" s="237">
        <f t="shared" si="0"/>
        <v>-9.565238417054803E-4</v>
      </c>
      <c r="E65" s="279"/>
      <c r="H65" s="236">
        <f t="shared" si="18"/>
        <v>61</v>
      </c>
      <c r="I65" s="237">
        <f t="shared" si="1"/>
        <v>-1.0133956792943574E-3</v>
      </c>
      <c r="J65" s="279"/>
      <c r="M65" s="236">
        <f t="shared" si="19"/>
        <v>61</v>
      </c>
      <c r="N65" s="237">
        <f t="shared" si="3"/>
        <v>-9.76803678326059E-4</v>
      </c>
      <c r="O65" s="279"/>
      <c r="R65" s="236">
        <f t="shared" si="20"/>
        <v>61</v>
      </c>
      <c r="S65" s="237">
        <f t="shared" si="5"/>
        <v>-1.0087407717561921E-3</v>
      </c>
      <c r="T65" s="279"/>
      <c r="W65" s="236">
        <f t="shared" si="21"/>
        <v>61</v>
      </c>
      <c r="X65" s="237">
        <f t="shared" si="7"/>
        <v>-1.0129798059489528E-3</v>
      </c>
      <c r="Y65" s="279"/>
      <c r="AB65" s="236">
        <f t="shared" si="22"/>
        <v>61</v>
      </c>
      <c r="AC65" s="237">
        <f t="shared" si="9"/>
        <v>-9.6335561634479621E-4</v>
      </c>
      <c r="AD65" s="279"/>
      <c r="AG65" s="236">
        <f t="shared" si="23"/>
        <v>61</v>
      </c>
      <c r="AH65" s="237">
        <f t="shared" si="11"/>
        <v>-9.7642932195668799E-4</v>
      </c>
      <c r="AI65" s="279"/>
      <c r="AL65" s="236">
        <f t="shared" si="24"/>
        <v>61</v>
      </c>
      <c r="AM65" s="237">
        <f t="shared" si="13"/>
        <v>-1.0517495922442103E-3</v>
      </c>
      <c r="AQ65" s="236">
        <f t="shared" si="25"/>
        <v>61</v>
      </c>
      <c r="AR65" s="237">
        <f t="shared" si="15"/>
        <v>-9.9392517314065426E-4</v>
      </c>
    </row>
    <row r="66" spans="3:44">
      <c r="C66" s="236">
        <f t="shared" si="32"/>
        <v>62</v>
      </c>
      <c r="D66" s="237">
        <f t="shared" si="0"/>
        <v>-9.4581117753717459E-4</v>
      </c>
      <c r="E66" s="279"/>
      <c r="H66" s="236">
        <f t="shared" si="18"/>
        <v>62</v>
      </c>
      <c r="I66" s="237">
        <f t="shared" si="1"/>
        <v>-1.0166964022410912E-3</v>
      </c>
      <c r="J66" s="279"/>
      <c r="M66" s="236">
        <f t="shared" si="19"/>
        <v>62</v>
      </c>
      <c r="N66" s="237">
        <f t="shared" si="3"/>
        <v>-9.71088025202472E-4</v>
      </c>
      <c r="O66" s="279"/>
      <c r="R66" s="236">
        <f t="shared" si="20"/>
        <v>62</v>
      </c>
      <c r="S66" s="237">
        <f t="shared" si="5"/>
        <v>-1.0108945117490956E-3</v>
      </c>
      <c r="T66" s="279"/>
      <c r="W66" s="236">
        <f t="shared" si="21"/>
        <v>62</v>
      </c>
      <c r="X66" s="237">
        <f t="shared" si="7"/>
        <v>-1.0161780563846742E-3</v>
      </c>
      <c r="Y66" s="279"/>
      <c r="AB66" s="236">
        <f t="shared" si="22"/>
        <v>62</v>
      </c>
      <c r="AC66" s="237">
        <f t="shared" si="9"/>
        <v>-9.5432632162783897E-4</v>
      </c>
      <c r="AD66" s="279"/>
      <c r="AG66" s="236">
        <f t="shared" si="23"/>
        <v>62</v>
      </c>
      <c r="AH66" s="237">
        <f t="shared" si="11"/>
        <v>-9.7062142613817376E-4</v>
      </c>
      <c r="AI66" s="279"/>
      <c r="AL66" s="236">
        <f t="shared" si="24"/>
        <v>62</v>
      </c>
      <c r="AM66" s="237">
        <f t="shared" si="13"/>
        <v>-1.0645008314391381E-3</v>
      </c>
      <c r="AQ66" s="236">
        <f t="shared" si="25"/>
        <v>62</v>
      </c>
      <c r="AR66" s="237">
        <f t="shared" si="15"/>
        <v>-9.9242830631598284E-4</v>
      </c>
    </row>
    <row r="67" spans="3:44">
      <c r="C67" s="236">
        <f t="shared" si="32"/>
        <v>63</v>
      </c>
      <c r="D67" s="237">
        <f t="shared" si="0"/>
        <v>-9.5683661800487218E-4</v>
      </c>
      <c r="E67" s="279"/>
      <c r="H67" s="236">
        <f t="shared" si="18"/>
        <v>63</v>
      </c>
      <c r="I67" s="237">
        <f t="shared" si="1"/>
        <v>-1.0132993087532479E-3</v>
      </c>
      <c r="J67" s="279"/>
      <c r="M67" s="236">
        <f t="shared" si="19"/>
        <v>63</v>
      </c>
      <c r="N67" s="237">
        <f t="shared" si="3"/>
        <v>-9.7697055759295311E-4</v>
      </c>
      <c r="O67" s="279"/>
      <c r="R67" s="236">
        <f t="shared" si="20"/>
        <v>63</v>
      </c>
      <c r="S67" s="237">
        <f t="shared" si="5"/>
        <v>-1.008677889262805E-3</v>
      </c>
      <c r="T67" s="279"/>
      <c r="W67" s="236">
        <f t="shared" si="21"/>
        <v>63</v>
      </c>
      <c r="X67" s="237">
        <f t="shared" si="7"/>
        <v>-1.0128864270751651E-3</v>
      </c>
      <c r="Y67" s="279"/>
      <c r="AB67" s="236">
        <f t="shared" si="22"/>
        <v>63</v>
      </c>
      <c r="AC67" s="237">
        <f t="shared" si="9"/>
        <v>-9.6361924395380375E-4</v>
      </c>
      <c r="AD67" s="279"/>
      <c r="AG67" s="236">
        <f t="shared" si="23"/>
        <v>63</v>
      </c>
      <c r="AH67" s="237">
        <f t="shared" si="11"/>
        <v>-9.7659889403339589E-4</v>
      </c>
      <c r="AI67" s="279"/>
      <c r="AL67" s="236">
        <f t="shared" si="24"/>
        <v>63</v>
      </c>
      <c r="AM67" s="237">
        <f t="shared" si="13"/>
        <v>-1.0513772961895506E-3</v>
      </c>
      <c r="AQ67" s="236">
        <f t="shared" si="25"/>
        <v>63</v>
      </c>
      <c r="AR67" s="237">
        <f t="shared" si="15"/>
        <v>-9.9396887691284011E-4</v>
      </c>
    </row>
    <row r="68" spans="3:44">
      <c r="C68" s="236">
        <f t="shared" si="32"/>
        <v>64</v>
      </c>
      <c r="D68" s="237">
        <f t="shared" si="0"/>
        <v>-9.785747219883689E-4</v>
      </c>
      <c r="E68" s="279"/>
      <c r="H68" s="236">
        <f t="shared" si="18"/>
        <v>64</v>
      </c>
      <c r="I68" s="237">
        <f t="shared" si="1"/>
        <v>-1.0066014925197173E-3</v>
      </c>
      <c r="J68" s="279"/>
      <c r="M68" s="236">
        <f t="shared" si="19"/>
        <v>64</v>
      </c>
      <c r="N68" s="237">
        <f t="shared" si="3"/>
        <v>-9.8856874275888196E-4</v>
      </c>
      <c r="O68" s="279"/>
      <c r="R68" s="236">
        <f t="shared" si="20"/>
        <v>64</v>
      </c>
      <c r="S68" s="237">
        <f t="shared" si="5"/>
        <v>-1.0043075269147946E-3</v>
      </c>
      <c r="T68" s="279"/>
      <c r="W68" s="236">
        <f t="shared" si="21"/>
        <v>64</v>
      </c>
      <c r="X68" s="237">
        <f t="shared" si="7"/>
        <v>-1.0063965475247394E-3</v>
      </c>
      <c r="Y68" s="279"/>
      <c r="AB68" s="236">
        <f t="shared" si="22"/>
        <v>64</v>
      </c>
      <c r="AC68" s="237">
        <f t="shared" si="9"/>
        <v>-9.8194146044675306E-4</v>
      </c>
      <c r="AD68" s="279"/>
      <c r="AG68" s="236">
        <f t="shared" si="23"/>
        <v>64</v>
      </c>
      <c r="AH68" s="237">
        <f t="shared" si="11"/>
        <v>-9.8838425739337433E-4</v>
      </c>
      <c r="AI68" s="279"/>
      <c r="AL68" s="236">
        <f t="shared" si="24"/>
        <v>64</v>
      </c>
      <c r="AM68" s="237">
        <f t="shared" si="13"/>
        <v>-1.025502522521711E-3</v>
      </c>
      <c r="AQ68" s="236">
        <f t="shared" si="25"/>
        <v>64</v>
      </c>
      <c r="AR68" s="237">
        <f t="shared" si="15"/>
        <v>-9.970063142431952E-4</v>
      </c>
    </row>
    <row r="69" spans="3:44">
      <c r="C69" s="236">
        <f t="shared" si="32"/>
        <v>65</v>
      </c>
      <c r="D69" s="237">
        <f t="shared" si="0"/>
        <v>-1.0000000474974513E-3</v>
      </c>
      <c r="E69" s="279"/>
      <c r="H69" s="236">
        <f t="shared" si="18"/>
        <v>65</v>
      </c>
      <c r="I69" s="237">
        <f t="shared" si="1"/>
        <v>-1.0000000474974513E-3</v>
      </c>
      <c r="J69" s="279"/>
      <c r="M69" s="236">
        <f t="shared" si="19"/>
        <v>65</v>
      </c>
      <c r="N69" s="237">
        <f t="shared" si="3"/>
        <v>-1.0000000474974513E-3</v>
      </c>
      <c r="O69" s="279"/>
      <c r="R69" s="236">
        <f t="shared" si="20"/>
        <v>65</v>
      </c>
      <c r="S69" s="237">
        <f t="shared" si="5"/>
        <v>-1.0000000474974513E-3</v>
      </c>
      <c r="T69" s="279"/>
      <c r="W69" s="236">
        <f t="shared" si="21"/>
        <v>65</v>
      </c>
      <c r="X69" s="237">
        <f t="shared" si="7"/>
        <v>-1.0000000474974513E-3</v>
      </c>
      <c r="Y69" s="279"/>
      <c r="AB69" s="236">
        <f t="shared" si="22"/>
        <v>65</v>
      </c>
      <c r="AC69" s="237">
        <f t="shared" si="9"/>
        <v>-1.0000000474974513E-3</v>
      </c>
      <c r="AD69" s="279"/>
      <c r="AG69" s="236">
        <f t="shared" si="23"/>
        <v>65</v>
      </c>
      <c r="AH69" s="237">
        <f t="shared" si="11"/>
        <v>-1.0000000474974513E-3</v>
      </c>
      <c r="AI69" s="279"/>
      <c r="AL69" s="236">
        <f t="shared" si="24"/>
        <v>65</v>
      </c>
      <c r="AM69" s="237">
        <f t="shared" si="13"/>
        <v>-1.0000000474974513E-3</v>
      </c>
      <c r="AQ69" s="236">
        <f t="shared" si="25"/>
        <v>65</v>
      </c>
      <c r="AR69" s="237">
        <f t="shared" si="15"/>
        <v>-1.0000000474974513E-3</v>
      </c>
    </row>
    <row r="70" spans="3:44">
      <c r="C70" s="236">
        <f t="shared" si="32"/>
        <v>66</v>
      </c>
      <c r="D70" s="237">
        <f t="shared" ref="D70:D104" si="33">cubic_spline($A$5:$A$39,$B$5:$B$39,C70)</f>
        <v>-1.0123547973583476E-3</v>
      </c>
      <c r="E70" s="279"/>
      <c r="H70" s="236">
        <f t="shared" si="18"/>
        <v>66</v>
      </c>
      <c r="I70" s="237">
        <f t="shared" ref="I70:I104" si="34">cubic_spline($F$5:$F$39,$G$5:$G$39,H70)</f>
        <v>-9.9619337531796793E-4</v>
      </c>
      <c r="J70" s="279"/>
      <c r="M70" s="236">
        <f t="shared" si="19"/>
        <v>66</v>
      </c>
      <c r="N70" s="237">
        <f t="shared" ref="N70:N104" si="35">cubic_spline($K$5:$K$39,$L$5:$L$39,M70)</f>
        <v>-1.006591821938902E-3</v>
      </c>
      <c r="O70" s="279"/>
      <c r="R70" s="236">
        <f t="shared" si="20"/>
        <v>66</v>
      </c>
      <c r="S70" s="237">
        <f t="shared" ref="S70:S104" si="36">cubic_spline($P$5:$P$39,$Q$5:$Q$39,R70)</f>
        <v>-9.975161724374011E-4</v>
      </c>
      <c r="T70" s="279"/>
      <c r="W70" s="236">
        <f t="shared" si="21"/>
        <v>66</v>
      </c>
      <c r="X70" s="237">
        <f t="shared" ref="X70:X104" si="37">cubic_spline($U$5:$U$39,$V$5:$V$39,W70)</f>
        <v>-9.9631155484992398E-4</v>
      </c>
      <c r="Y70" s="279"/>
      <c r="AB70" s="236">
        <f t="shared" si="22"/>
        <v>66</v>
      </c>
      <c r="AC70" s="237">
        <f t="shared" ref="AC70:AC104" si="38">cubic_spline($Z$5:$Z$39,$AA$5:$AA$39,AB70)</f>
        <v>-1.0104133943239849E-3</v>
      </c>
      <c r="AD70" s="279"/>
      <c r="AG70" s="236">
        <f t="shared" si="23"/>
        <v>66</v>
      </c>
      <c r="AH70" s="237">
        <f t="shared" ref="AH70:AH104" si="39">cubic_spline($AE$5:$AE$39,$AF$5:$AF$39,AG70)</f>
        <v>-1.0066982032104956E-3</v>
      </c>
      <c r="AI70" s="279"/>
      <c r="AL70" s="236">
        <f t="shared" si="24"/>
        <v>66</v>
      </c>
      <c r="AM70" s="237">
        <f t="shared" ref="AM70:AM104" si="40">cubic_spline($AJ$5:$AJ$39,$AK$5:$AK$39,AL70)</f>
        <v>-9.8529424119814246E-4</v>
      </c>
      <c r="AQ70" s="236">
        <f t="shared" si="25"/>
        <v>66</v>
      </c>
      <c r="AR70" s="237">
        <f t="shared" ref="AR70:AR104" si="41">cubic_spline($AO$5:$AO$39,$AP$5:$AP$39,AQ70)</f>
        <v>-1.0017263607054695E-3</v>
      </c>
    </row>
    <row r="71" spans="3:44">
      <c r="C71" s="236">
        <f>C70+1</f>
        <v>67</v>
      </c>
      <c r="D71" s="237">
        <f t="shared" si="33"/>
        <v>-1.0159517504470614E-3</v>
      </c>
      <c r="E71" s="279"/>
      <c r="H71" s="236">
        <f>H70+1</f>
        <v>67</v>
      </c>
      <c r="I71" s="237">
        <f t="shared" si="34"/>
        <v>-9.9508510348234849E-4</v>
      </c>
      <c r="J71" s="279"/>
      <c r="M71" s="236">
        <f>M70+1</f>
        <v>67</v>
      </c>
      <c r="N71" s="237">
        <f t="shared" si="35"/>
        <v>-1.0085109464486226E-3</v>
      </c>
      <c r="O71" s="279"/>
      <c r="R71" s="236">
        <f>R70+1</f>
        <v>67</v>
      </c>
      <c r="S71" s="237">
        <f t="shared" si="36"/>
        <v>-9.967930188178513E-4</v>
      </c>
      <c r="T71" s="279"/>
      <c r="W71" s="236">
        <f>W70+1</f>
        <v>67</v>
      </c>
      <c r="X71" s="237">
        <f t="shared" si="37"/>
        <v>-9.9523768973161053E-4</v>
      </c>
      <c r="Y71" s="279"/>
      <c r="AB71" s="236">
        <f>AB70+1</f>
        <v>67</v>
      </c>
      <c r="AC71" s="237">
        <f t="shared" si="38"/>
        <v>-1.0134451286980888E-3</v>
      </c>
      <c r="AD71" s="279"/>
      <c r="AG71" s="236">
        <f>AG70+1</f>
        <v>67</v>
      </c>
      <c r="AH71" s="237">
        <f t="shared" si="39"/>
        <v>-1.0086482995086828E-3</v>
      </c>
      <c r="AI71" s="279"/>
      <c r="AL71" s="236">
        <f>AL70+1</f>
        <v>67</v>
      </c>
      <c r="AM71" s="237">
        <f t="shared" si="40"/>
        <v>-9.8101280322491981E-4</v>
      </c>
      <c r="AQ71" s="236">
        <f t="shared" si="25"/>
        <v>67</v>
      </c>
      <c r="AR71" s="237">
        <f t="shared" si="41"/>
        <v>-1.002228958297934E-3</v>
      </c>
    </row>
    <row r="72" spans="3:44">
      <c r="C72" s="236">
        <f t="shared" ref="C72:C73" si="42">C71+1</f>
        <v>68</v>
      </c>
      <c r="D72" s="237">
        <f t="shared" si="33"/>
        <v>-1.0133713281547869E-3</v>
      </c>
      <c r="E72" s="279"/>
      <c r="H72" s="236">
        <f t="shared" ref="H72:H73" si="43">H71+1</f>
        <v>68</v>
      </c>
      <c r="I72" s="237">
        <f t="shared" si="34"/>
        <v>-9.9588016787528853E-4</v>
      </c>
      <c r="J72" s="279"/>
      <c r="M72" s="236">
        <f t="shared" ref="M72:M73" si="44">M71+1</f>
        <v>68</v>
      </c>
      <c r="N72" s="237">
        <f t="shared" si="35"/>
        <v>-1.0071341834972359E-3</v>
      </c>
      <c r="O72" s="279"/>
      <c r="R72" s="236">
        <f t="shared" ref="R72:R73" si="45">R71+1</f>
        <v>68</v>
      </c>
      <c r="S72" s="237">
        <f t="shared" si="36"/>
        <v>-9.9731180281890583E-4</v>
      </c>
      <c r="T72" s="279"/>
      <c r="W72" s="236">
        <f t="shared" ref="W72:W73" si="46">W71+1</f>
        <v>68</v>
      </c>
      <c r="X72" s="237">
        <f t="shared" si="37"/>
        <v>-9.9600807107156904E-4</v>
      </c>
      <c r="Y72" s="279"/>
      <c r="AB72" s="236">
        <f t="shared" ref="AB72:AB73" si="47">AB71+1</f>
        <v>68</v>
      </c>
      <c r="AC72" s="237">
        <f t="shared" si="38"/>
        <v>-1.0112701892791829E-3</v>
      </c>
      <c r="AD72" s="279"/>
      <c r="AG72" s="236">
        <f t="shared" ref="AG72:AG73" si="48">AG71+1</f>
        <v>68</v>
      </c>
      <c r="AH72" s="237">
        <f t="shared" si="39"/>
        <v>-1.0072493177060867E-3</v>
      </c>
      <c r="AI72" s="279"/>
      <c r="AL72" s="236">
        <f t="shared" ref="AL72:AL73" si="49">AL71+1</f>
        <v>68</v>
      </c>
      <c r="AM72" s="237">
        <f t="shared" si="40"/>
        <v>-9.8408426893762811E-4</v>
      </c>
      <c r="AQ72" s="236">
        <f t="shared" ref="AQ72:AQ104" si="50">AQ71+1</f>
        <v>68</v>
      </c>
      <c r="AR72" s="237">
        <f t="shared" si="41"/>
        <v>-1.0018683992234364E-3</v>
      </c>
    </row>
    <row r="73" spans="3:44">
      <c r="C73" s="236">
        <f t="shared" si="42"/>
        <v>69</v>
      </c>
      <c r="D73" s="237">
        <f t="shared" si="33"/>
        <v>-1.0071939529427509E-3</v>
      </c>
      <c r="E73" s="279"/>
      <c r="H73" s="236">
        <f t="shared" si="43"/>
        <v>69</v>
      </c>
      <c r="I73" s="237">
        <f t="shared" si="34"/>
        <v>-9.9778350405179132E-4</v>
      </c>
      <c r="J73" s="279"/>
      <c r="M73" s="236">
        <f t="shared" si="44"/>
        <v>69</v>
      </c>
      <c r="N73" s="237">
        <f t="shared" si="35"/>
        <v>-1.0038382961262717E-3</v>
      </c>
      <c r="O73" s="279"/>
      <c r="R73" s="236">
        <f t="shared" si="45"/>
        <v>69</v>
      </c>
      <c r="S73" s="237">
        <f t="shared" si="36"/>
        <v>-9.9855374040554298E-4</v>
      </c>
      <c r="T73" s="279"/>
      <c r="W73" s="236">
        <f t="shared" si="46"/>
        <v>69</v>
      </c>
      <c r="X73" s="237">
        <f t="shared" si="37"/>
        <v>-9.9785231747940022E-4</v>
      </c>
      <c r="Y73" s="279"/>
      <c r="AB73" s="236">
        <f t="shared" si="47"/>
        <v>69</v>
      </c>
      <c r="AC73" s="237">
        <f t="shared" si="38"/>
        <v>-1.0060635156285765E-3</v>
      </c>
      <c r="AD73" s="279"/>
      <c r="AG73" s="236">
        <f t="shared" si="48"/>
        <v>69</v>
      </c>
      <c r="AH73" s="237">
        <f t="shared" si="39"/>
        <v>-1.0039002396969011E-3</v>
      </c>
      <c r="AI73" s="279"/>
      <c r="AL73" s="236">
        <f t="shared" si="49"/>
        <v>69</v>
      </c>
      <c r="AM73" s="237">
        <f t="shared" si="40"/>
        <v>-9.9143717242245518E-4</v>
      </c>
      <c r="AQ73" s="236">
        <f t="shared" si="50"/>
        <v>69</v>
      </c>
      <c r="AR73" s="237">
        <f t="shared" si="41"/>
        <v>-1.0010052425800814E-3</v>
      </c>
    </row>
    <row r="74" spans="3:44">
      <c r="C74" s="236">
        <f>C73+1</f>
        <v>70</v>
      </c>
      <c r="D74" s="237">
        <f t="shared" si="33"/>
        <v>-1.0000000474974513E-3</v>
      </c>
      <c r="E74" s="279"/>
      <c r="H74" s="236">
        <f>H73+1</f>
        <v>70</v>
      </c>
      <c r="I74" s="237">
        <f t="shared" si="34"/>
        <v>-1.0000000474974513E-3</v>
      </c>
      <c r="J74" s="279"/>
      <c r="M74" s="236">
        <f>M73+1</f>
        <v>70</v>
      </c>
      <c r="N74" s="237">
        <f t="shared" si="35"/>
        <v>-1.0000000474974513E-3</v>
      </c>
      <c r="O74" s="279"/>
      <c r="R74" s="236">
        <f>R73+1</f>
        <v>70</v>
      </c>
      <c r="S74" s="237">
        <f t="shared" si="36"/>
        <v>-1.0000000474974513E-3</v>
      </c>
      <c r="T74" s="279"/>
      <c r="W74" s="236">
        <f>W73+1</f>
        <v>70</v>
      </c>
      <c r="X74" s="237">
        <f t="shared" si="37"/>
        <v>-1.0000000474974513E-3</v>
      </c>
      <c r="Y74" s="279"/>
      <c r="AB74" s="236">
        <f>AB73+1</f>
        <v>70</v>
      </c>
      <c r="AC74" s="237">
        <f t="shared" si="38"/>
        <v>-1.0000000474974513E-3</v>
      </c>
      <c r="AD74" s="279"/>
      <c r="AG74" s="236">
        <f>AG73+1</f>
        <v>70</v>
      </c>
      <c r="AH74" s="237">
        <f t="shared" si="39"/>
        <v>-1.0000000474974513E-3</v>
      </c>
      <c r="AI74" s="279"/>
      <c r="AL74" s="236">
        <f>AL73+1</f>
        <v>70</v>
      </c>
      <c r="AM74" s="237">
        <f t="shared" si="40"/>
        <v>-1.0000000474974513E-3</v>
      </c>
      <c r="AQ74" s="236">
        <f t="shared" si="50"/>
        <v>70</v>
      </c>
      <c r="AR74" s="237">
        <f t="shared" si="41"/>
        <v>-1.0000000474974513E-3</v>
      </c>
    </row>
    <row r="75" spans="3:44">
      <c r="C75" s="236">
        <f t="shared" ref="C75:C87" si="51">C74+1</f>
        <v>71</v>
      </c>
      <c r="D75" s="237">
        <f t="shared" si="33"/>
        <v>-9.9391822470508017E-4</v>
      </c>
      <c r="E75" s="279"/>
      <c r="H75" s="236">
        <f t="shared" ref="H75:H87" si="52">H74+1</f>
        <v>71</v>
      </c>
      <c r="I75" s="237">
        <f t="shared" si="34"/>
        <v>-1.0018739171986537E-3</v>
      </c>
      <c r="J75" s="279"/>
      <c r="M75" s="236">
        <f t="shared" ref="M75:M87" si="53">M74+1</f>
        <v>71</v>
      </c>
      <c r="N75" s="237">
        <f t="shared" si="35"/>
        <v>-9.9675513211953709E-4</v>
      </c>
      <c r="O75" s="279"/>
      <c r="R75" s="236">
        <f t="shared" ref="R75:R87" si="54">R74+1</f>
        <v>71</v>
      </c>
      <c r="S75" s="237">
        <f t="shared" si="36"/>
        <v>-1.0012227513226583E-3</v>
      </c>
      <c r="T75" s="279"/>
      <c r="W75" s="236">
        <f t="shared" ref="W75:W87" si="55">W74+1</f>
        <v>71</v>
      </c>
      <c r="X75" s="237">
        <f t="shared" si="37"/>
        <v>-1.0018157417683972E-3</v>
      </c>
      <c r="Y75" s="279"/>
      <c r="AB75" s="236">
        <f t="shared" ref="AB75:AB87" si="56">AB74+1</f>
        <v>71</v>
      </c>
      <c r="AC75" s="237">
        <f t="shared" si="38"/>
        <v>-9.9487390809936292E-4</v>
      </c>
      <c r="AD75" s="279"/>
      <c r="AG75" s="236">
        <f t="shared" ref="AG75:AG87" si="57">AG74+1</f>
        <v>71</v>
      </c>
      <c r="AH75" s="237">
        <f t="shared" si="39"/>
        <v>-9.967027646494537E-4</v>
      </c>
      <c r="AI75" s="279"/>
      <c r="AL75" s="236">
        <f t="shared" ref="AL75:AL87" si="58">AL74+1</f>
        <v>71</v>
      </c>
      <c r="AM75" s="237">
        <f t="shared" si="40"/>
        <v>-1.007239173021398E-3</v>
      </c>
      <c r="AQ75" s="236">
        <f t="shared" si="50"/>
        <v>71</v>
      </c>
      <c r="AR75" s="237">
        <f t="shared" si="41"/>
        <v>-9.9915022549350611E-4</v>
      </c>
    </row>
    <row r="76" spans="3:44">
      <c r="C76" s="236">
        <f t="shared" si="51"/>
        <v>72</v>
      </c>
      <c r="D76" s="237">
        <f t="shared" si="33"/>
        <v>-9.8927002798308893E-4</v>
      </c>
      <c r="E76" s="279"/>
      <c r="H76" s="236">
        <f t="shared" si="52"/>
        <v>72</v>
      </c>
      <c r="I76" s="237">
        <f t="shared" si="34"/>
        <v>-1.0033061427003095E-3</v>
      </c>
      <c r="J76" s="279"/>
      <c r="M76" s="236">
        <f t="shared" si="53"/>
        <v>72</v>
      </c>
      <c r="N76" s="237">
        <f t="shared" si="35"/>
        <v>-9.9427514324409408E-4</v>
      </c>
      <c r="O76" s="279"/>
      <c r="R76" s="236">
        <f t="shared" si="54"/>
        <v>72</v>
      </c>
      <c r="S76" s="237">
        <f t="shared" si="36"/>
        <v>-1.0021573000391843E-3</v>
      </c>
      <c r="T76" s="279"/>
      <c r="W76" s="236">
        <f t="shared" si="55"/>
        <v>72</v>
      </c>
      <c r="X76" s="237">
        <f t="shared" si="37"/>
        <v>-1.003203504619028E-3</v>
      </c>
      <c r="Y76" s="279"/>
      <c r="AB76" s="236">
        <f t="shared" si="56"/>
        <v>72</v>
      </c>
      <c r="AC76" s="237">
        <f t="shared" si="38"/>
        <v>-9.9095612655544221E-4</v>
      </c>
      <c r="AD76" s="279"/>
      <c r="AG76" s="236">
        <f t="shared" si="57"/>
        <v>72</v>
      </c>
      <c r="AH76" s="237">
        <f t="shared" si="39"/>
        <v>-9.9418275206405115E-4</v>
      </c>
      <c r="AI76" s="279"/>
      <c r="AL76" s="236">
        <f t="shared" si="58"/>
        <v>72</v>
      </c>
      <c r="AM76" s="237">
        <f t="shared" si="40"/>
        <v>-1.0127719869717047E-3</v>
      </c>
      <c r="AQ76" s="236">
        <f t="shared" si="50"/>
        <v>72</v>
      </c>
      <c r="AR76" s="237">
        <f t="shared" si="41"/>
        <v>-9.9850077229934517E-4</v>
      </c>
    </row>
    <row r="77" spans="3:44">
      <c r="C77" s="236">
        <f t="shared" si="51"/>
        <v>73</v>
      </c>
      <c r="D77" s="237">
        <f t="shared" si="33"/>
        <v>-9.8592501656838936E-4</v>
      </c>
      <c r="E77" s="279"/>
      <c r="H77" s="236">
        <f t="shared" si="52"/>
        <v>73</v>
      </c>
      <c r="I77" s="237">
        <f t="shared" si="34"/>
        <v>-1.0043367623503445E-3</v>
      </c>
      <c r="J77" s="279"/>
      <c r="M77" s="236">
        <f t="shared" si="53"/>
        <v>73</v>
      </c>
      <c r="N77" s="237">
        <f t="shared" si="35"/>
        <v>-9.9249043097626353E-4</v>
      </c>
      <c r="O77" s="279"/>
      <c r="R77" s="236">
        <f t="shared" si="54"/>
        <v>73</v>
      </c>
      <c r="S77" s="237">
        <f t="shared" si="36"/>
        <v>-1.0028297784416028E-3</v>
      </c>
      <c r="T77" s="279"/>
      <c r="W77" s="236">
        <f t="shared" si="55"/>
        <v>73</v>
      </c>
      <c r="X77" s="237">
        <f t="shared" si="37"/>
        <v>-1.0042021277810087E-3</v>
      </c>
      <c r="Y77" s="279"/>
      <c r="AB77" s="236">
        <f t="shared" si="56"/>
        <v>73</v>
      </c>
      <c r="AC77" s="237">
        <f t="shared" si="38"/>
        <v>-9.8813674103081497E-4</v>
      </c>
      <c r="AD77" s="279"/>
      <c r="AG77" s="236">
        <f t="shared" si="57"/>
        <v>73</v>
      </c>
      <c r="AH77" s="237">
        <f t="shared" si="39"/>
        <v>-9.9236923768640235E-4</v>
      </c>
      <c r="AI77" s="279"/>
      <c r="AL77" s="236">
        <f t="shared" si="58"/>
        <v>73</v>
      </c>
      <c r="AM77" s="237">
        <f t="shared" si="40"/>
        <v>-1.016753497454588E-3</v>
      </c>
      <c r="AQ77" s="236">
        <f t="shared" si="50"/>
        <v>73</v>
      </c>
      <c r="AR77" s="237">
        <f t="shared" si="41"/>
        <v>-9.9803336144538182E-4</v>
      </c>
    </row>
    <row r="78" spans="3:44">
      <c r="C78" s="236">
        <f t="shared" si="51"/>
        <v>74</v>
      </c>
      <c r="D78" s="237">
        <f t="shared" si="33"/>
        <v>-9.8375298252853689E-4</v>
      </c>
      <c r="E78" s="279"/>
      <c r="H78" s="236">
        <f t="shared" si="52"/>
        <v>74</v>
      </c>
      <c r="I78" s="237">
        <f t="shared" si="34"/>
        <v>-1.0050060473273273E-3</v>
      </c>
      <c r="J78" s="279"/>
      <c r="M78" s="236">
        <f t="shared" si="53"/>
        <v>74</v>
      </c>
      <c r="N78" s="237">
        <f t="shared" si="35"/>
        <v>-9.9133157825182861E-4</v>
      </c>
      <c r="O78" s="279"/>
      <c r="R78" s="236">
        <f t="shared" si="54"/>
        <v>74</v>
      </c>
      <c r="S78" s="237">
        <f t="shared" si="36"/>
        <v>-1.0032665041551307E-3</v>
      </c>
      <c r="T78" s="279"/>
      <c r="W78" s="236">
        <f t="shared" si="55"/>
        <v>74</v>
      </c>
      <c r="X78" s="237">
        <f t="shared" si="37"/>
        <v>-1.0048506358166461E-3</v>
      </c>
      <c r="Y78" s="279"/>
      <c r="AB78" s="236">
        <f t="shared" si="56"/>
        <v>74</v>
      </c>
      <c r="AC78" s="237">
        <f t="shared" si="38"/>
        <v>-9.8630602252125E-4</v>
      </c>
      <c r="AD78" s="279"/>
      <c r="AG78" s="236">
        <f t="shared" si="57"/>
        <v>74</v>
      </c>
      <c r="AH78" s="237">
        <f t="shared" si="39"/>
        <v>-9.9119168229230901E-4</v>
      </c>
      <c r="AI78" s="279"/>
      <c r="AL78" s="236">
        <f t="shared" si="58"/>
        <v>74</v>
      </c>
      <c r="AM78" s="237">
        <f t="shared" si="40"/>
        <v>-1.0193389454069075E-3</v>
      </c>
      <c r="AQ78" s="236">
        <f t="shared" si="50"/>
        <v>74</v>
      </c>
      <c r="AR78" s="237">
        <f t="shared" si="41"/>
        <v>-9.9772989929267303E-4</v>
      </c>
    </row>
    <row r="79" spans="3:44">
      <c r="C79" s="236">
        <f t="shared" si="51"/>
        <v>75</v>
      </c>
      <c r="D79" s="237">
        <f t="shared" si="33"/>
        <v>-9.8262348510044241E-4</v>
      </c>
      <c r="E79" s="279"/>
      <c r="H79" s="236">
        <f t="shared" si="52"/>
        <v>75</v>
      </c>
      <c r="I79" s="237">
        <f t="shared" si="34"/>
        <v>-1.0053540359791831E-3</v>
      </c>
      <c r="J79" s="279"/>
      <c r="M79" s="236">
        <f t="shared" si="53"/>
        <v>75</v>
      </c>
      <c r="N79" s="237">
        <f t="shared" si="35"/>
        <v>-9.907289351759295E-4</v>
      </c>
      <c r="O79" s="279"/>
      <c r="R79" s="236">
        <f t="shared" si="54"/>
        <v>75</v>
      </c>
      <c r="S79" s="237">
        <f t="shared" si="36"/>
        <v>-1.0034935619743408E-3</v>
      </c>
      <c r="T79" s="279"/>
      <c r="W79" s="236">
        <f t="shared" si="55"/>
        <v>75</v>
      </c>
      <c r="X79" s="237">
        <f t="shared" si="37"/>
        <v>-1.0051878204576043E-3</v>
      </c>
      <c r="Y79" s="279"/>
      <c r="AB79" s="236">
        <f t="shared" si="56"/>
        <v>75</v>
      </c>
      <c r="AC79" s="237">
        <f t="shared" si="38"/>
        <v>-9.8535400919187287E-4</v>
      </c>
      <c r="AD79" s="279"/>
      <c r="AG79" s="236">
        <f t="shared" si="57"/>
        <v>75</v>
      </c>
      <c r="AH79" s="237">
        <f t="shared" si="39"/>
        <v>-9.9057931382692918E-4</v>
      </c>
      <c r="AI79" s="279"/>
      <c r="AL79" s="236">
        <f t="shared" si="58"/>
        <v>75</v>
      </c>
      <c r="AM79" s="237">
        <f t="shared" si="40"/>
        <v>-1.0206833389348796E-3</v>
      </c>
      <c r="AQ79" s="236">
        <f t="shared" si="50"/>
        <v>75</v>
      </c>
      <c r="AR79" s="237">
        <f t="shared" si="41"/>
        <v>-9.9757205937163192E-4</v>
      </c>
    </row>
    <row r="80" spans="3:44">
      <c r="C80" s="236">
        <f t="shared" si="51"/>
        <v>76</v>
      </c>
      <c r="D80" s="237">
        <f t="shared" si="33"/>
        <v>-9.8240625814400087E-4</v>
      </c>
      <c r="E80" s="279"/>
      <c r="H80" s="236">
        <f t="shared" si="52"/>
        <v>76</v>
      </c>
      <c r="I80" s="237">
        <f t="shared" si="34"/>
        <v>-1.0054209412768207E-3</v>
      </c>
      <c r="J80" s="279"/>
      <c r="M80" s="236">
        <f t="shared" si="53"/>
        <v>76</v>
      </c>
      <c r="N80" s="237">
        <f t="shared" si="35"/>
        <v>-9.9061302647668998E-4</v>
      </c>
      <c r="O80" s="279"/>
      <c r="R80" s="236">
        <f t="shared" si="54"/>
        <v>76</v>
      </c>
      <c r="S80" s="237">
        <f t="shared" si="36"/>
        <v>-1.0035372113167895E-3</v>
      </c>
      <c r="T80" s="279"/>
      <c r="W80" s="236">
        <f t="shared" si="55"/>
        <v>76</v>
      </c>
      <c r="X80" s="237">
        <f t="shared" si="37"/>
        <v>-1.0052526480585303E-3</v>
      </c>
      <c r="Y80" s="279"/>
      <c r="AB80" s="236">
        <f t="shared" si="56"/>
        <v>76</v>
      </c>
      <c r="AC80" s="237">
        <f t="shared" si="38"/>
        <v>-9.8517091383079169E-4</v>
      </c>
      <c r="AD80" s="279"/>
      <c r="AG80" s="236">
        <f t="shared" si="57"/>
        <v>76</v>
      </c>
      <c r="AH80" s="237">
        <f t="shared" si="39"/>
        <v>-9.9046153485840387E-4</v>
      </c>
      <c r="AI80" s="279"/>
      <c r="AL80" s="236">
        <f t="shared" si="58"/>
        <v>76</v>
      </c>
      <c r="AM80" s="237">
        <f t="shared" si="40"/>
        <v>-1.0209418607677035E-3</v>
      </c>
      <c r="AQ80" s="236">
        <f t="shared" si="50"/>
        <v>76</v>
      </c>
      <c r="AR80" s="237">
        <f t="shared" si="41"/>
        <v>-9.9754168983565497E-4</v>
      </c>
    </row>
    <row r="81" spans="3:44">
      <c r="C81" s="236">
        <f t="shared" si="51"/>
        <v>77</v>
      </c>
      <c r="D81" s="237">
        <f t="shared" si="33"/>
        <v>-9.8297103551910612E-4</v>
      </c>
      <c r="E81" s="279"/>
      <c r="H81" s="236">
        <f t="shared" si="52"/>
        <v>77</v>
      </c>
      <c r="I81" s="237">
        <f t="shared" si="34"/>
        <v>-1.0052469761911477E-3</v>
      </c>
      <c r="J81" s="279"/>
      <c r="M81" s="236">
        <f t="shared" si="53"/>
        <v>77</v>
      </c>
      <c r="N81" s="237">
        <f t="shared" si="35"/>
        <v>-9.9091437688223231E-4</v>
      </c>
      <c r="O81" s="279"/>
      <c r="R81" s="236">
        <f t="shared" si="54"/>
        <v>77</v>
      </c>
      <c r="S81" s="237">
        <f t="shared" si="36"/>
        <v>-1.0034237116000326E-3</v>
      </c>
      <c r="T81" s="279"/>
      <c r="W81" s="236">
        <f t="shared" si="55"/>
        <v>77</v>
      </c>
      <c r="X81" s="237">
        <f t="shared" si="37"/>
        <v>-1.0050840849740708E-3</v>
      </c>
      <c r="Y81" s="279"/>
      <c r="AB81" s="236">
        <f t="shared" si="56"/>
        <v>77</v>
      </c>
      <c r="AC81" s="237">
        <f t="shared" si="38"/>
        <v>-9.8564694922611477E-4</v>
      </c>
      <c r="AD81" s="279"/>
      <c r="AG81" s="236">
        <f t="shared" si="57"/>
        <v>77</v>
      </c>
      <c r="AH81" s="237">
        <f t="shared" si="39"/>
        <v>-9.9076774795487429E-4</v>
      </c>
      <c r="AI81" s="279"/>
      <c r="AL81" s="236">
        <f t="shared" si="58"/>
        <v>77</v>
      </c>
      <c r="AM81" s="237">
        <f t="shared" si="40"/>
        <v>-1.020269693634578E-3</v>
      </c>
      <c r="AQ81" s="236">
        <f t="shared" si="50"/>
        <v>77</v>
      </c>
      <c r="AR81" s="237">
        <f t="shared" si="41"/>
        <v>-9.9762063883813783E-4</v>
      </c>
    </row>
    <row r="82" spans="3:44">
      <c r="C82" s="236">
        <f t="shared" si="51"/>
        <v>78</v>
      </c>
      <c r="D82" s="237">
        <f t="shared" si="33"/>
        <v>-9.8418734796473827E-4</v>
      </c>
      <c r="E82" s="279"/>
      <c r="H82" s="236">
        <f t="shared" si="52"/>
        <v>78</v>
      </c>
      <c r="I82" s="237">
        <f t="shared" si="34"/>
        <v>-1.0048721497795728E-3</v>
      </c>
      <c r="J82" s="279"/>
      <c r="M82" s="236">
        <f t="shared" si="53"/>
        <v>78</v>
      </c>
      <c r="N82" s="237">
        <f t="shared" si="35"/>
        <v>-9.9156330771713887E-4</v>
      </c>
      <c r="O82" s="279"/>
      <c r="R82" s="236">
        <f t="shared" si="54"/>
        <v>78</v>
      </c>
      <c r="S82" s="237">
        <f t="shared" si="36"/>
        <v>-1.0031791183929993E-3</v>
      </c>
      <c r="T82" s="279"/>
      <c r="W82" s="236">
        <f t="shared" si="55"/>
        <v>78</v>
      </c>
      <c r="X82" s="237">
        <f t="shared" si="37"/>
        <v>-1.0047208936511689E-3</v>
      </c>
      <c r="Y82" s="279"/>
      <c r="AB82" s="236">
        <f t="shared" si="56"/>
        <v>78</v>
      </c>
      <c r="AC82" s="237">
        <f t="shared" si="38"/>
        <v>-9.8667212494982638E-4</v>
      </c>
      <c r="AD82" s="279"/>
      <c r="AG82" s="236">
        <f t="shared" si="57"/>
        <v>78</v>
      </c>
      <c r="AH82" s="237">
        <f t="shared" si="39"/>
        <v>-9.9142715228615745E-4</v>
      </c>
      <c r="AI82" s="279"/>
      <c r="AL82" s="236">
        <f t="shared" si="58"/>
        <v>78</v>
      </c>
      <c r="AM82" s="237">
        <f t="shared" si="40"/>
        <v>-1.0188218158166901E-3</v>
      </c>
      <c r="AQ82" s="236">
        <f t="shared" si="50"/>
        <v>78</v>
      </c>
      <c r="AR82" s="237">
        <f t="shared" si="41"/>
        <v>-9.9779055089032525E-4</v>
      </c>
    </row>
    <row r="83" spans="3:44">
      <c r="C83" s="236">
        <f t="shared" si="51"/>
        <v>79</v>
      </c>
      <c r="D83" s="237">
        <f t="shared" si="33"/>
        <v>-9.8592501574343446E-4</v>
      </c>
      <c r="E83" s="279"/>
      <c r="H83" s="236">
        <f t="shared" si="52"/>
        <v>79</v>
      </c>
      <c r="I83" s="237">
        <f t="shared" si="34"/>
        <v>-1.0043367626045247E-3</v>
      </c>
      <c r="J83" s="279"/>
      <c r="M83" s="236">
        <f t="shared" si="53"/>
        <v>79</v>
      </c>
      <c r="N83" s="237">
        <f t="shared" si="35"/>
        <v>-9.9249043053611561E-4</v>
      </c>
      <c r="O83" s="279"/>
      <c r="R83" s="236">
        <f t="shared" si="54"/>
        <v>79</v>
      </c>
      <c r="S83" s="237">
        <f t="shared" si="36"/>
        <v>-1.0028297786074569E-3</v>
      </c>
      <c r="T83" s="279"/>
      <c r="W83" s="236">
        <f t="shared" si="55"/>
        <v>79</v>
      </c>
      <c r="X83" s="237">
        <f t="shared" si="37"/>
        <v>-1.0042021280272978E-3</v>
      </c>
      <c r="Y83" s="279"/>
      <c r="AB83" s="236">
        <f t="shared" si="56"/>
        <v>79</v>
      </c>
      <c r="AC83" s="237">
        <f t="shared" si="38"/>
        <v>-9.8813674033549183E-4</v>
      </c>
      <c r="AD83" s="279"/>
      <c r="AG83" s="236">
        <f t="shared" si="57"/>
        <v>79</v>
      </c>
      <c r="AH83" s="237">
        <f t="shared" si="39"/>
        <v>-9.9236923723915117E-4</v>
      </c>
      <c r="AI83" s="279"/>
      <c r="AL83" s="236">
        <f t="shared" si="58"/>
        <v>79</v>
      </c>
      <c r="AM83" s="237">
        <f t="shared" si="40"/>
        <v>-1.0167534984365284E-3</v>
      </c>
      <c r="AQ83" s="236">
        <f t="shared" si="50"/>
        <v>79</v>
      </c>
      <c r="AR83" s="237">
        <f t="shared" si="41"/>
        <v>-9.9803336133011183E-4</v>
      </c>
    </row>
    <row r="84" spans="3:44">
      <c r="C84" s="236">
        <f t="shared" si="51"/>
        <v>80</v>
      </c>
      <c r="D84" s="237">
        <f t="shared" si="33"/>
        <v>-9.8805365655610898E-4</v>
      </c>
      <c r="E84" s="279"/>
      <c r="H84" s="236">
        <f t="shared" si="52"/>
        <v>80</v>
      </c>
      <c r="I84" s="237">
        <f t="shared" si="34"/>
        <v>-1.0036809111426072E-3</v>
      </c>
      <c r="J84" s="279"/>
      <c r="M84" s="236">
        <f t="shared" si="53"/>
        <v>80</v>
      </c>
      <c r="N84" s="237">
        <f t="shared" si="35"/>
        <v>-9.9362615378873246E-4</v>
      </c>
      <c r="O84" s="279"/>
      <c r="R84" s="236">
        <f t="shared" si="54"/>
        <v>80</v>
      </c>
      <c r="S84" s="237">
        <f t="shared" si="36"/>
        <v>-1.0024018351941035E-3</v>
      </c>
      <c r="T84" s="279"/>
      <c r="W84" s="236">
        <f t="shared" si="55"/>
        <v>80</v>
      </c>
      <c r="X84" s="237">
        <f t="shared" si="37"/>
        <v>-1.0035666379652522E-3</v>
      </c>
      <c r="Y84" s="279"/>
      <c r="AB84" s="236">
        <f t="shared" si="56"/>
        <v>80</v>
      </c>
      <c r="AC84" s="237">
        <f t="shared" si="38"/>
        <v>-9.8993089197195894E-4</v>
      </c>
      <c r="AD84" s="279"/>
      <c r="AG84" s="236">
        <f t="shared" si="57"/>
        <v>80</v>
      </c>
      <c r="AH84" s="237">
        <f t="shared" si="39"/>
        <v>-9.9352328910565116E-4</v>
      </c>
      <c r="AI84" s="279"/>
      <c r="AL84" s="236">
        <f t="shared" si="58"/>
        <v>80</v>
      </c>
      <c r="AM84" s="237">
        <f t="shared" si="40"/>
        <v>-1.0142198075028478E-3</v>
      </c>
      <c r="AQ84" s="236">
        <f t="shared" si="50"/>
        <v>80</v>
      </c>
      <c r="AR84" s="237">
        <f t="shared" si="41"/>
        <v>-9.9833080193139061E-4</v>
      </c>
    </row>
    <row r="85" spans="3:44">
      <c r="C85" s="236">
        <f t="shared" si="51"/>
        <v>81</v>
      </c>
      <c r="D85" s="237">
        <f t="shared" si="33"/>
        <v>-9.9044294605499564E-4</v>
      </c>
      <c r="E85" s="279"/>
      <c r="H85" s="236">
        <f t="shared" si="52"/>
        <v>81</v>
      </c>
      <c r="I85" s="237">
        <f t="shared" si="34"/>
        <v>-1.0029447501570675E-3</v>
      </c>
      <c r="J85" s="279"/>
      <c r="M85" s="236">
        <f t="shared" si="53"/>
        <v>81</v>
      </c>
      <c r="N85" s="237">
        <f t="shared" si="35"/>
        <v>-9.9490094399545185E-4</v>
      </c>
      <c r="O85" s="279"/>
      <c r="R85" s="236">
        <f t="shared" si="54"/>
        <v>81</v>
      </c>
      <c r="S85" s="237">
        <f t="shared" si="36"/>
        <v>-1.0019214893628343E-3</v>
      </c>
      <c r="T85" s="279"/>
      <c r="W85" s="236">
        <f t="shared" si="55"/>
        <v>81</v>
      </c>
      <c r="X85" s="237">
        <f t="shared" si="37"/>
        <v>-1.0028533316120182E-3</v>
      </c>
      <c r="Y85" s="279"/>
      <c r="AB85" s="236">
        <f t="shared" si="56"/>
        <v>81</v>
      </c>
      <c r="AC85" s="237">
        <f t="shared" si="38"/>
        <v>-9.9194473443967469E-4</v>
      </c>
      <c r="AD85" s="279"/>
      <c r="AG85" s="236">
        <f t="shared" si="57"/>
        <v>81</v>
      </c>
      <c r="AH85" s="237">
        <f t="shared" si="39"/>
        <v>-9.9481865224613749E-4</v>
      </c>
      <c r="AI85" s="279"/>
      <c r="AL85" s="236">
        <f t="shared" si="58"/>
        <v>81</v>
      </c>
      <c r="AM85" s="237">
        <f t="shared" si="40"/>
        <v>-1.0113758675371863E-3</v>
      </c>
      <c r="AQ85" s="236">
        <f t="shared" si="50"/>
        <v>81</v>
      </c>
      <c r="AR85" s="237">
        <f t="shared" si="41"/>
        <v>-9.9866466263989675E-4</v>
      </c>
    </row>
    <row r="86" spans="3:44">
      <c r="C86" s="236">
        <f t="shared" si="51"/>
        <v>82</v>
      </c>
      <c r="D86" s="237">
        <f t="shared" si="33"/>
        <v>-9.9296253155752262E-4</v>
      </c>
      <c r="E86" s="279"/>
      <c r="H86" s="236">
        <f t="shared" si="52"/>
        <v>82</v>
      </c>
      <c r="I86" s="237">
        <f t="shared" si="34"/>
        <v>-1.0021684050703747E-3</v>
      </c>
      <c r="J86" s="279"/>
      <c r="M86" s="236">
        <f t="shared" si="53"/>
        <v>82</v>
      </c>
      <c r="N86" s="237">
        <f t="shared" si="35"/>
        <v>-9.9624523898321276E-4</v>
      </c>
      <c r="O86" s="279"/>
      <c r="R86" s="236">
        <f t="shared" si="54"/>
        <v>82</v>
      </c>
      <c r="S86" s="237">
        <f t="shared" si="36"/>
        <v>-1.0014149130651039E-3</v>
      </c>
      <c r="T86" s="279"/>
      <c r="W86" s="236">
        <f t="shared" si="55"/>
        <v>82</v>
      </c>
      <c r="X86" s="237">
        <f t="shared" si="37"/>
        <v>-1.0021010877811593E-3</v>
      </c>
      <c r="Y86" s="279"/>
      <c r="AB86" s="236">
        <f t="shared" si="56"/>
        <v>82</v>
      </c>
      <c r="AC86" s="237">
        <f t="shared" si="38"/>
        <v>-9.9406839386343847E-4</v>
      </c>
      <c r="AD86" s="279"/>
      <c r="AG86" s="236">
        <f t="shared" si="57"/>
        <v>82</v>
      </c>
      <c r="AH86" s="237">
        <f t="shared" si="39"/>
        <v>-9.9618464233418888E-4</v>
      </c>
      <c r="AI86" s="279"/>
      <c r="AL86" s="236">
        <f t="shared" si="58"/>
        <v>82</v>
      </c>
      <c r="AM86" s="237">
        <f t="shared" si="40"/>
        <v>-1.0083767730418836E-3</v>
      </c>
      <c r="AQ86" s="236">
        <f t="shared" si="50"/>
        <v>82</v>
      </c>
      <c r="AR86" s="237">
        <f t="shared" si="41"/>
        <v>-9.9901670440498977E-4</v>
      </c>
    </row>
    <row r="87" spans="3:44">
      <c r="C87" s="236">
        <f t="shared" si="51"/>
        <v>83</v>
      </c>
      <c r="D87" s="237">
        <f t="shared" si="33"/>
        <v>-9.9548214544379222E-4</v>
      </c>
      <c r="E87" s="279"/>
      <c r="H87" s="236">
        <f t="shared" si="52"/>
        <v>83</v>
      </c>
      <c r="I87" s="237">
        <f t="shared" si="34"/>
        <v>-1.0013920893093813E-3</v>
      </c>
      <c r="J87" s="279"/>
      <c r="M87" s="236">
        <f t="shared" si="53"/>
        <v>83</v>
      </c>
      <c r="N87" s="237">
        <f t="shared" si="35"/>
        <v>-9.9758956269060733E-4</v>
      </c>
      <c r="O87" s="279"/>
      <c r="R87" s="236">
        <f t="shared" si="54"/>
        <v>83</v>
      </c>
      <c r="S87" s="237">
        <f t="shared" si="36"/>
        <v>-1.0009083660159749E-3</v>
      </c>
      <c r="T87" s="279"/>
      <c r="W87" s="236">
        <f t="shared" si="55"/>
        <v>83</v>
      </c>
      <c r="X87" s="237">
        <f t="shared" si="37"/>
        <v>-1.001348873269112E-3</v>
      </c>
      <c r="Y87" s="279"/>
      <c r="AB87" s="236">
        <f t="shared" si="56"/>
        <v>83</v>
      </c>
      <c r="AC87" s="237">
        <f t="shared" si="38"/>
        <v>-9.9619208178409828E-4</v>
      </c>
      <c r="AD87" s="279"/>
      <c r="AG87" s="236">
        <f t="shared" si="57"/>
        <v>83</v>
      </c>
      <c r="AH87" s="237">
        <f t="shared" si="39"/>
        <v>-9.9755066113567338E-4</v>
      </c>
      <c r="AI87" s="279"/>
      <c r="AL87" s="236">
        <f t="shared" si="58"/>
        <v>83</v>
      </c>
      <c r="AM87" s="237">
        <f t="shared" si="40"/>
        <v>-1.0053777085075289E-3</v>
      </c>
      <c r="AQ87" s="236">
        <f t="shared" si="50"/>
        <v>83</v>
      </c>
      <c r="AR87" s="237">
        <f t="shared" si="41"/>
        <v>-9.9936877517329647E-4</v>
      </c>
    </row>
    <row r="88" spans="3:44">
      <c r="C88" s="236">
        <f>C87+1</f>
        <v>84</v>
      </c>
      <c r="D88" s="237">
        <f t="shared" si="33"/>
        <v>-9.9787142082887522E-4</v>
      </c>
      <c r="E88" s="279"/>
      <c r="H88" s="236">
        <f>H87+1</f>
        <v>84</v>
      </c>
      <c r="I88" s="237">
        <f t="shared" si="34"/>
        <v>-1.0006559136369383E-3</v>
      </c>
      <c r="J88" s="279"/>
      <c r="M88" s="236">
        <f>M87+1</f>
        <v>84</v>
      </c>
      <c r="N88" s="237">
        <f t="shared" si="35"/>
        <v>-9.9886433857916245E-4</v>
      </c>
      <c r="O88" s="279"/>
      <c r="R88" s="236">
        <f>R87+1</f>
        <v>84</v>
      </c>
      <c r="S88" s="237">
        <f t="shared" si="36"/>
        <v>-1.0004280055447099E-3</v>
      </c>
      <c r="T88" s="279"/>
      <c r="W88" s="236">
        <f>W87+1</f>
        <v>84</v>
      </c>
      <c r="X88" s="237">
        <f t="shared" si="37"/>
        <v>-1.0006355522331652E-3</v>
      </c>
      <c r="Y88" s="279"/>
      <c r="AB88" s="236">
        <f>AB87+1</f>
        <v>84</v>
      </c>
      <c r="AC88" s="237">
        <f t="shared" si="38"/>
        <v>-9.9820591006916635E-4</v>
      </c>
      <c r="AD88" s="279"/>
      <c r="AG88" s="236">
        <f>AG87+1</f>
        <v>84</v>
      </c>
      <c r="AH88" s="237">
        <f t="shared" si="39"/>
        <v>-9.988460099617678E-4</v>
      </c>
      <c r="AI88" s="279"/>
      <c r="AL88" s="236">
        <f>AL87+1</f>
        <v>84</v>
      </c>
      <c r="AM88" s="237">
        <f t="shared" si="40"/>
        <v>-1.0025337534684698E-3</v>
      </c>
      <c r="AQ88" s="236">
        <f t="shared" si="50"/>
        <v>84</v>
      </c>
      <c r="AR88" s="237">
        <f t="shared" si="41"/>
        <v>-9.9970262139110404E-4</v>
      </c>
    </row>
    <row r="89" spans="3:44">
      <c r="C89" s="236">
        <f t="shared" ref="C89:C95" si="59">C88+1</f>
        <v>85</v>
      </c>
      <c r="D89" s="237">
        <f t="shared" si="33"/>
        <v>-1.0000000474974513E-3</v>
      </c>
      <c r="E89" s="279"/>
      <c r="H89" s="236">
        <f t="shared" ref="H89:H95" si="60">H88+1</f>
        <v>85</v>
      </c>
      <c r="I89" s="237">
        <f t="shared" si="34"/>
        <v>-1.0000000474974513E-3</v>
      </c>
      <c r="J89" s="279"/>
      <c r="M89" s="236">
        <f t="shared" ref="M89:M95" si="61">M88+1</f>
        <v>85</v>
      </c>
      <c r="N89" s="237">
        <f t="shared" si="35"/>
        <v>-1.0000000474974513E-3</v>
      </c>
      <c r="O89" s="279"/>
      <c r="R89" s="236">
        <f t="shared" ref="R89:R95" si="62">R88+1</f>
        <v>85</v>
      </c>
      <c r="S89" s="237">
        <f t="shared" si="36"/>
        <v>-1.0000000474974513E-3</v>
      </c>
      <c r="T89" s="279"/>
      <c r="W89" s="236">
        <f t="shared" ref="W89:W95" si="63">W88+1</f>
        <v>85</v>
      </c>
      <c r="X89" s="237">
        <f t="shared" si="37"/>
        <v>-1.0000000474974513E-3</v>
      </c>
      <c r="Y89" s="279"/>
      <c r="AB89" s="236">
        <f t="shared" ref="AB89:AB95" si="64">AB88+1</f>
        <v>85</v>
      </c>
      <c r="AC89" s="237">
        <f t="shared" si="38"/>
        <v>-1.0000000474974513E-3</v>
      </c>
      <c r="AD89" s="279"/>
      <c r="AG89" s="236">
        <f t="shared" ref="AG89:AG95" si="65">AG88+1</f>
        <v>85</v>
      </c>
      <c r="AH89" s="237">
        <f t="shared" si="39"/>
        <v>-1.0000000474974513E-3</v>
      </c>
      <c r="AI89" s="279"/>
      <c r="AL89" s="236">
        <f t="shared" ref="AL89:AL95" si="66">AL88+1</f>
        <v>85</v>
      </c>
      <c r="AM89" s="237">
        <f t="shared" si="40"/>
        <v>-1.0000000474974513E-3</v>
      </c>
      <c r="AQ89" s="236">
        <f t="shared" si="50"/>
        <v>85</v>
      </c>
      <c r="AR89" s="237">
        <f t="shared" si="41"/>
        <v>-1.0000000474974513E-3</v>
      </c>
    </row>
    <row r="90" spans="3:44">
      <c r="C90" s="236">
        <f t="shared" si="59"/>
        <v>86</v>
      </c>
      <c r="D90" s="237">
        <f t="shared" si="33"/>
        <v>-1.0017637510929835E-3</v>
      </c>
      <c r="E90" s="279"/>
      <c r="H90" s="236">
        <f t="shared" si="60"/>
        <v>86</v>
      </c>
      <c r="I90" s="237">
        <f t="shared" si="34"/>
        <v>-9.9945660025017478E-4</v>
      </c>
      <c r="J90" s="279"/>
      <c r="M90" s="236">
        <f t="shared" si="61"/>
        <v>86</v>
      </c>
      <c r="N90" s="237">
        <f t="shared" si="35"/>
        <v>-1.0009410479357762E-3</v>
      </c>
      <c r="O90" s="279"/>
      <c r="R90" s="236">
        <f t="shared" si="62"/>
        <v>86</v>
      </c>
      <c r="S90" s="237">
        <f t="shared" si="36"/>
        <v>-9.9964543835582361E-4</v>
      </c>
      <c r="T90" s="279"/>
      <c r="W90" s="236">
        <f t="shared" si="63"/>
        <v>86</v>
      </c>
      <c r="X90" s="237">
        <f t="shared" si="37"/>
        <v>-9.9947347112509322E-4</v>
      </c>
      <c r="Y90" s="279"/>
      <c r="AB90" s="236">
        <f t="shared" si="64"/>
        <v>86</v>
      </c>
      <c r="AC90" s="237">
        <f t="shared" si="38"/>
        <v>-1.0014866029062783E-3</v>
      </c>
      <c r="AD90" s="279"/>
      <c r="AG90" s="236">
        <f t="shared" si="65"/>
        <v>86</v>
      </c>
      <c r="AH90" s="237">
        <f t="shared" si="39"/>
        <v>-1.0009562345022298E-3</v>
      </c>
      <c r="AI90" s="279"/>
      <c r="AL90" s="236">
        <f t="shared" si="66"/>
        <v>86</v>
      </c>
      <c r="AM90" s="237">
        <f t="shared" si="40"/>
        <v>-9.9790067604831208E-4</v>
      </c>
      <c r="AQ90" s="236">
        <f t="shared" si="50"/>
        <v>86</v>
      </c>
      <c r="AR90" s="237">
        <f t="shared" si="41"/>
        <v>-1.0002464708514026E-3</v>
      </c>
    </row>
    <row r="91" spans="3:44">
      <c r="C91" s="236">
        <f t="shared" si="59"/>
        <v>87</v>
      </c>
      <c r="D91" s="237">
        <f t="shared" si="33"/>
        <v>-1.0031626047121763E-3</v>
      </c>
      <c r="E91" s="279"/>
      <c r="H91" s="236">
        <f t="shared" si="60"/>
        <v>87</v>
      </c>
      <c r="I91" s="237">
        <f t="shared" si="34"/>
        <v>-9.9902564455081047E-4</v>
      </c>
      <c r="J91" s="279"/>
      <c r="M91" s="236">
        <f t="shared" si="61"/>
        <v>87</v>
      </c>
      <c r="N91" s="237">
        <f t="shared" si="35"/>
        <v>-1.0016874128335848E-3</v>
      </c>
      <c r="O91" s="279"/>
      <c r="R91" s="236">
        <f t="shared" si="62"/>
        <v>87</v>
      </c>
      <c r="S91" s="237">
        <f t="shared" si="36"/>
        <v>-9.9936425081162427E-4</v>
      </c>
      <c r="T91" s="279"/>
      <c r="W91" s="236">
        <f t="shared" si="63"/>
        <v>87</v>
      </c>
      <c r="X91" s="237">
        <f t="shared" si="37"/>
        <v>-9.9905589577501709E-4</v>
      </c>
      <c r="Y91" s="279"/>
      <c r="AB91" s="236">
        <f t="shared" si="64"/>
        <v>87</v>
      </c>
      <c r="AC91" s="237">
        <f t="shared" si="38"/>
        <v>-1.0026656493393761E-3</v>
      </c>
      <c r="AD91" s="279"/>
      <c r="AG91" s="236">
        <f t="shared" si="65"/>
        <v>87</v>
      </c>
      <c r="AH91" s="237">
        <f t="shared" si="39"/>
        <v>-1.0017146439184541E-3</v>
      </c>
      <c r="AI91" s="279"/>
      <c r="AL91" s="236">
        <f t="shared" si="66"/>
        <v>87</v>
      </c>
      <c r="AM91" s="237">
        <f t="shared" si="40"/>
        <v>-9.9623571147934532E-4</v>
      </c>
      <c r="AQ91" s="236">
        <f t="shared" si="50"/>
        <v>87</v>
      </c>
      <c r="AR91" s="237">
        <f t="shared" si="41"/>
        <v>-1.0004419642596404E-3</v>
      </c>
    </row>
    <row r="92" spans="3:44">
      <c r="C92" s="236">
        <f t="shared" si="59"/>
        <v>88</v>
      </c>
      <c r="D92" s="237">
        <f t="shared" si="33"/>
        <v>-1.0042225568083292E-3</v>
      </c>
      <c r="E92" s="279"/>
      <c r="H92" s="236">
        <f t="shared" si="60"/>
        <v>88</v>
      </c>
      <c r="I92" s="237">
        <f t="shared" si="34"/>
        <v>-9.9869903303167465E-4</v>
      </c>
      <c r="J92" s="279"/>
      <c r="M92" s="236">
        <f t="shared" si="61"/>
        <v>88</v>
      </c>
      <c r="N92" s="237">
        <f t="shared" si="35"/>
        <v>-1.002252932470966E-3</v>
      </c>
      <c r="O92" s="279"/>
      <c r="R92" s="236">
        <f t="shared" si="62"/>
        <v>88</v>
      </c>
      <c r="S92" s="237">
        <f t="shared" si="36"/>
        <v>-9.9915112820774042E-4</v>
      </c>
      <c r="T92" s="279"/>
      <c r="W92" s="236">
        <f t="shared" si="63"/>
        <v>88</v>
      </c>
      <c r="X92" s="237">
        <f t="shared" si="37"/>
        <v>-9.9873942340278311E-4</v>
      </c>
      <c r="Y92" s="279"/>
      <c r="AB92" s="236">
        <f t="shared" si="64"/>
        <v>88</v>
      </c>
      <c r="AC92" s="237">
        <f t="shared" si="38"/>
        <v>-1.003559039464548E-3</v>
      </c>
      <c r="AD92" s="279"/>
      <c r="AG92" s="236">
        <f t="shared" si="65"/>
        <v>88</v>
      </c>
      <c r="AH92" s="237">
        <f t="shared" si="39"/>
        <v>-1.0022892904582013E-3</v>
      </c>
      <c r="AI92" s="279"/>
      <c r="AL92" s="236">
        <f t="shared" si="66"/>
        <v>88</v>
      </c>
      <c r="AM92" s="237">
        <f t="shared" si="40"/>
        <v>-9.9497401247203125E-4</v>
      </c>
      <c r="AQ92" s="236">
        <f t="shared" si="50"/>
        <v>88</v>
      </c>
      <c r="AR92" s="237">
        <f t="shared" si="41"/>
        <v>-1.0005900533175656E-3</v>
      </c>
    </row>
    <row r="93" spans="3:44">
      <c r="C93" s="236">
        <f t="shared" si="59"/>
        <v>89</v>
      </c>
      <c r="D93" s="237">
        <f t="shared" si="33"/>
        <v>-1.004969788665385E-3</v>
      </c>
      <c r="E93" s="279"/>
      <c r="H93" s="236">
        <f t="shared" si="60"/>
        <v>89</v>
      </c>
      <c r="I93" s="237">
        <f t="shared" si="34"/>
        <v>-9.984688511557266E-4</v>
      </c>
      <c r="J93" s="279"/>
      <c r="M93" s="236">
        <f t="shared" si="61"/>
        <v>89</v>
      </c>
      <c r="N93" s="237">
        <f t="shared" si="35"/>
        <v>-1.0026516299586517E-3</v>
      </c>
      <c r="O93" s="279"/>
      <c r="R93" s="236">
        <f t="shared" si="62"/>
        <v>89</v>
      </c>
      <c r="S93" s="237">
        <f t="shared" si="36"/>
        <v>-9.9900094671770152E-4</v>
      </c>
      <c r="T93" s="279"/>
      <c r="W93" s="236">
        <f t="shared" si="63"/>
        <v>89</v>
      </c>
      <c r="X93" s="237">
        <f t="shared" si="37"/>
        <v>-9.985163887945936E-4</v>
      </c>
      <c r="Y93" s="279"/>
      <c r="AB93" s="236">
        <f t="shared" si="64"/>
        <v>89</v>
      </c>
      <c r="AC93" s="237">
        <f t="shared" si="38"/>
        <v>-1.0041888587802405E-3</v>
      </c>
      <c r="AD93" s="279"/>
      <c r="AG93" s="236">
        <f t="shared" si="65"/>
        <v>89</v>
      </c>
      <c r="AH93" s="237">
        <f t="shared" si="39"/>
        <v>-1.0026944216641916E-3</v>
      </c>
      <c r="AI93" s="279"/>
      <c r="AL93" s="236">
        <f t="shared" si="66"/>
        <v>89</v>
      </c>
      <c r="AM93" s="237">
        <f t="shared" si="40"/>
        <v>-9.9408467053849377E-4</v>
      </c>
      <c r="AQ93" s="236">
        <f t="shared" si="50"/>
        <v>89</v>
      </c>
      <c r="AR93" s="237">
        <f t="shared" si="41"/>
        <v>-1.0006944964512231E-3</v>
      </c>
    </row>
    <row r="94" spans="3:44">
      <c r="C94" s="236">
        <f t="shared" si="59"/>
        <v>90</v>
      </c>
      <c r="D94" s="237">
        <f t="shared" si="33"/>
        <v>-1.0054302487366429E-3</v>
      </c>
      <c r="E94" s="279"/>
      <c r="H94" s="236">
        <f t="shared" si="60"/>
        <v>90</v>
      </c>
      <c r="I94" s="237">
        <f t="shared" si="34"/>
        <v>-9.9832695155528217E-4</v>
      </c>
      <c r="J94" s="279"/>
      <c r="M94" s="236">
        <f t="shared" si="61"/>
        <v>90</v>
      </c>
      <c r="N94" s="237">
        <f t="shared" si="35"/>
        <v>-1.00289729557673E-3</v>
      </c>
      <c r="O94" s="279"/>
      <c r="R94" s="236">
        <f t="shared" si="62"/>
        <v>90</v>
      </c>
      <c r="S94" s="237">
        <f t="shared" si="36"/>
        <v>-9.9890834968439446E-4</v>
      </c>
      <c r="T94" s="279"/>
      <c r="W94" s="236">
        <f t="shared" si="63"/>
        <v>90</v>
      </c>
      <c r="X94" s="237">
        <f t="shared" si="37"/>
        <v>-9.9837889390600788E-4</v>
      </c>
      <c r="Y94" s="279"/>
      <c r="AB94" s="236">
        <f t="shared" si="64"/>
        <v>90</v>
      </c>
      <c r="AC94" s="237">
        <f t="shared" si="38"/>
        <v>-1.0045769599542564E-3</v>
      </c>
      <c r="AD94" s="279"/>
      <c r="AG94" s="236">
        <f t="shared" si="65"/>
        <v>90</v>
      </c>
      <c r="AH94" s="237">
        <f t="shared" si="39"/>
        <v>-1.0029440522485017E-3</v>
      </c>
      <c r="AI94" s="279"/>
      <c r="AL94" s="236">
        <f t="shared" si="66"/>
        <v>90</v>
      </c>
      <c r="AM94" s="237">
        <f t="shared" si="40"/>
        <v>-9.9353654436021223E-4</v>
      </c>
      <c r="AQ94" s="236">
        <f t="shared" si="50"/>
        <v>90</v>
      </c>
      <c r="AR94" s="237">
        <f t="shared" si="41"/>
        <v>-1.0007588192560133E-3</v>
      </c>
    </row>
    <row r="95" spans="3:44">
      <c r="C95" s="236">
        <f t="shared" si="59"/>
        <v>91</v>
      </c>
      <c r="D95" s="237">
        <f t="shared" si="33"/>
        <v>-1.0056300600983854E-3</v>
      </c>
      <c r="E95" s="279"/>
      <c r="H95" s="236">
        <f t="shared" si="60"/>
        <v>91</v>
      </c>
      <c r="I95" s="237">
        <f t="shared" si="34"/>
        <v>-9.982653614856406E-4</v>
      </c>
      <c r="J95" s="279"/>
      <c r="M95" s="236">
        <f t="shared" si="61"/>
        <v>91</v>
      </c>
      <c r="N95" s="237">
        <f t="shared" si="35"/>
        <v>-1.0030038942282727E-3</v>
      </c>
      <c r="O95" s="279"/>
      <c r="R95" s="236">
        <f t="shared" si="62"/>
        <v>91</v>
      </c>
      <c r="S95" s="237">
        <f t="shared" si="36"/>
        <v>-9.9886815507368889E-4</v>
      </c>
      <c r="T95" s="279"/>
      <c r="W95" s="236">
        <f t="shared" si="63"/>
        <v>91</v>
      </c>
      <c r="X95" s="237">
        <f t="shared" si="37"/>
        <v>-9.9831921531556844E-4</v>
      </c>
      <c r="Y95" s="279"/>
      <c r="AB95" s="236">
        <f t="shared" si="64"/>
        <v>91</v>
      </c>
      <c r="AC95" s="237">
        <f t="shared" si="38"/>
        <v>-1.0047453702773821E-3</v>
      </c>
      <c r="AD95" s="279"/>
      <c r="AG95" s="236">
        <f t="shared" si="65"/>
        <v>91</v>
      </c>
      <c r="AH95" s="237">
        <f t="shared" si="39"/>
        <v>-1.0030523715461915E-3</v>
      </c>
      <c r="AI95" s="279"/>
      <c r="AL95" s="236">
        <f t="shared" si="66"/>
        <v>91</v>
      </c>
      <c r="AM95" s="237">
        <f t="shared" si="40"/>
        <v>-9.9329866724165048E-4</v>
      </c>
      <c r="AQ95" s="236">
        <f t="shared" si="50"/>
        <v>91</v>
      </c>
      <c r="AR95" s="237">
        <f t="shared" si="41"/>
        <v>-1.0007867219503203E-3</v>
      </c>
    </row>
    <row r="96" spans="3:44">
      <c r="C96" s="236">
        <f>C95+1</f>
        <v>92</v>
      </c>
      <c r="D96" s="237">
        <f t="shared" si="33"/>
        <v>-1.0055953458268947E-3</v>
      </c>
      <c r="E96" s="279"/>
      <c r="H96" s="236">
        <f>H95+1</f>
        <v>92</v>
      </c>
      <c r="I96" s="237">
        <f t="shared" si="34"/>
        <v>-9.9827610820210004E-4</v>
      </c>
      <c r="J96" s="279"/>
      <c r="M96" s="236">
        <f>M95+1</f>
        <v>92</v>
      </c>
      <c r="N96" s="237">
        <f t="shared" si="35"/>
        <v>-1.0029853908163505E-3</v>
      </c>
      <c r="O96" s="279"/>
      <c r="R96" s="236">
        <f>R95+1</f>
        <v>92</v>
      </c>
      <c r="S96" s="237">
        <f t="shared" si="36"/>
        <v>-9.988751808514538E-4</v>
      </c>
      <c r="T96" s="279"/>
      <c r="W96" s="236">
        <f>W95+1</f>
        <v>92</v>
      </c>
      <c r="X96" s="237">
        <f t="shared" si="37"/>
        <v>-9.9832962960181692E-4</v>
      </c>
      <c r="Y96" s="279"/>
      <c r="AB96" s="236">
        <f>AB95+1</f>
        <v>92</v>
      </c>
      <c r="AC96" s="237">
        <f t="shared" si="38"/>
        <v>-1.0047161170404029E-3</v>
      </c>
      <c r="AD96" s="279"/>
      <c r="AG96" s="236">
        <f>AG95+1</f>
        <v>92</v>
      </c>
      <c r="AH96" s="237">
        <f t="shared" si="39"/>
        <v>-1.0030335688923206E-3</v>
      </c>
      <c r="AI96" s="279"/>
      <c r="AL96" s="236">
        <f>AL95+1</f>
        <v>92</v>
      </c>
      <c r="AM96" s="237">
        <f t="shared" si="40"/>
        <v>-9.9334007248727085E-4</v>
      </c>
      <c r="AQ96" s="236">
        <f t="shared" si="50"/>
        <v>92</v>
      </c>
      <c r="AR96" s="237">
        <f t="shared" si="41"/>
        <v>-1.0007819047525273E-3</v>
      </c>
    </row>
    <row r="97" spans="3:44">
      <c r="C97" s="236">
        <f t="shared" ref="C97:C102" si="67">C96+1</f>
        <v>93</v>
      </c>
      <c r="D97" s="237">
        <f t="shared" si="33"/>
        <v>-1.0053520251201644E-3</v>
      </c>
      <c r="E97" s="279"/>
      <c r="H97" s="236">
        <f t="shared" ref="H97:H102" si="68">H96+1</f>
        <v>93</v>
      </c>
      <c r="I97" s="237">
        <f t="shared" si="34"/>
        <v>-9.9835101527981774E-4</v>
      </c>
      <c r="J97" s="279"/>
      <c r="M97" s="236">
        <f t="shared" ref="M97:M102" si="69">M96+1</f>
        <v>93</v>
      </c>
      <c r="N97" s="237">
        <f t="shared" si="35"/>
        <v>-1.0028555464364033E-3</v>
      </c>
      <c r="O97" s="279"/>
      <c r="R97" s="236">
        <f t="shared" ref="R97:R102" si="70">R96+1</f>
        <v>93</v>
      </c>
      <c r="S97" s="237">
        <f t="shared" si="36"/>
        <v>-9.9892404128719848E-4</v>
      </c>
      <c r="T97" s="279"/>
      <c r="W97" s="236">
        <f t="shared" ref="W97:W102" si="71">W96+1</f>
        <v>93</v>
      </c>
      <c r="X97" s="237">
        <f t="shared" si="37"/>
        <v>-9.9840220966170489E-4</v>
      </c>
      <c r="Y97" s="279"/>
      <c r="AB97" s="236">
        <f t="shared" ref="AB97:AB102" si="72">AB96+1</f>
        <v>93</v>
      </c>
      <c r="AC97" s="237">
        <f t="shared" si="38"/>
        <v>-1.0045110236796193E-3</v>
      </c>
      <c r="AD97" s="279"/>
      <c r="AG97" s="236">
        <f t="shared" ref="AG97:AG102" si="73">AG96+1</f>
        <v>93</v>
      </c>
      <c r="AH97" s="237">
        <f t="shared" si="39"/>
        <v>-1.0029016298130123E-3</v>
      </c>
      <c r="AI97" s="279"/>
      <c r="AL97" s="236">
        <f t="shared" ref="AL97:AL102" si="74">AL96+1</f>
        <v>93</v>
      </c>
      <c r="AM97" s="237">
        <f t="shared" si="40"/>
        <v>-9.9362958985502268E-4</v>
      </c>
      <c r="AQ97" s="236">
        <f t="shared" si="50"/>
        <v>93</v>
      </c>
      <c r="AR97" s="237">
        <f t="shared" si="41"/>
        <v>-1.0007478641330398E-3</v>
      </c>
    </row>
    <row r="98" spans="3:44">
      <c r="C98" s="236">
        <f t="shared" si="67"/>
        <v>94</v>
      </c>
      <c r="D98" s="237">
        <f t="shared" si="33"/>
        <v>-1.0049263085931803E-3</v>
      </c>
      <c r="E98" s="279"/>
      <c r="H98" s="236">
        <f t="shared" si="68"/>
        <v>94</v>
      </c>
      <c r="I98" s="237">
        <f t="shared" si="34"/>
        <v>-9.9848219721557609E-4</v>
      </c>
      <c r="J98" s="279"/>
      <c r="M98" s="236">
        <f t="shared" si="69"/>
        <v>94</v>
      </c>
      <c r="N98" s="237">
        <f t="shared" si="35"/>
        <v>-1.0026284134242206E-3</v>
      </c>
      <c r="O98" s="279"/>
      <c r="R98" s="236">
        <f t="shared" si="70"/>
        <v>94</v>
      </c>
      <c r="S98" s="237">
        <f t="shared" si="36"/>
        <v>-9.9900964161260368E-4</v>
      </c>
      <c r="T98" s="279"/>
      <c r="W98" s="236">
        <f t="shared" si="71"/>
        <v>94</v>
      </c>
      <c r="X98" s="237">
        <f t="shared" si="37"/>
        <v>-9.9852931931743182E-4</v>
      </c>
      <c r="Y98" s="279"/>
      <c r="AB98" s="236">
        <f t="shared" si="72"/>
        <v>94</v>
      </c>
      <c r="AC98" s="237">
        <f t="shared" si="38"/>
        <v>-1.0041522049888164E-3</v>
      </c>
      <c r="AD98" s="279"/>
      <c r="AG98" s="236">
        <f t="shared" si="73"/>
        <v>94</v>
      </c>
      <c r="AH98" s="237">
        <f t="shared" si="39"/>
        <v>-1.0026708310780018E-3</v>
      </c>
      <c r="AI98" s="279"/>
      <c r="AL98" s="236">
        <f t="shared" si="74"/>
        <v>94</v>
      </c>
      <c r="AM98" s="237">
        <f t="shared" si="40"/>
        <v>-9.941363396904102E-4</v>
      </c>
      <c r="AQ98" s="236">
        <f t="shared" si="50"/>
        <v>94</v>
      </c>
      <c r="AR98" s="237">
        <f t="shared" si="41"/>
        <v>-1.0006883876534803E-3</v>
      </c>
    </row>
    <row r="99" spans="3:44">
      <c r="C99" s="236">
        <f t="shared" si="67"/>
        <v>95</v>
      </c>
      <c r="D99" s="237">
        <f t="shared" si="33"/>
        <v>-1.0043442028428171E-3</v>
      </c>
      <c r="E99" s="279"/>
      <c r="H99" s="236">
        <f t="shared" si="68"/>
        <v>95</v>
      </c>
      <c r="I99" s="237">
        <f t="shared" si="34"/>
        <v>-9.9866156486909819E-4</v>
      </c>
      <c r="J99" s="279"/>
      <c r="M99" s="236">
        <f t="shared" si="69"/>
        <v>95</v>
      </c>
      <c r="N99" s="237">
        <f t="shared" si="35"/>
        <v>-1.0023178402333599E-3</v>
      </c>
      <c r="O99" s="279"/>
      <c r="R99" s="236">
        <f t="shared" si="70"/>
        <v>95</v>
      </c>
      <c r="S99" s="237">
        <f t="shared" si="36"/>
        <v>-9.9912668339110122E-4</v>
      </c>
      <c r="T99" s="279"/>
      <c r="W99" s="236">
        <f t="shared" si="71"/>
        <v>95</v>
      </c>
      <c r="X99" s="237">
        <f t="shared" si="37"/>
        <v>-9.9870311875135042E-4</v>
      </c>
      <c r="Y99" s="279"/>
      <c r="AB99" s="236">
        <f t="shared" si="72"/>
        <v>95</v>
      </c>
      <c r="AC99" s="237">
        <f t="shared" si="38"/>
        <v>-1.0036615717894434E-3</v>
      </c>
      <c r="AD99" s="279"/>
      <c r="AG99" s="236">
        <f t="shared" si="73"/>
        <v>95</v>
      </c>
      <c r="AH99" s="237">
        <f t="shared" si="39"/>
        <v>-1.002355245572282E-3</v>
      </c>
      <c r="AI99" s="279"/>
      <c r="AL99" s="236">
        <f t="shared" si="74"/>
        <v>95</v>
      </c>
      <c r="AM99" s="237">
        <f t="shared" si="40"/>
        <v>-9.9482923895885577E-4</v>
      </c>
      <c r="AQ99" s="236">
        <f t="shared" si="50"/>
        <v>95</v>
      </c>
      <c r="AR99" s="237">
        <f t="shared" si="41"/>
        <v>-1.0006070591079563E-3</v>
      </c>
    </row>
    <row r="100" spans="3:44">
      <c r="C100" s="236">
        <f t="shared" si="67"/>
        <v>96</v>
      </c>
      <c r="D100" s="237">
        <f t="shared" si="33"/>
        <v>-1.0036317727376964E-3</v>
      </c>
      <c r="E100" s="279"/>
      <c r="H100" s="236">
        <f t="shared" si="68"/>
        <v>96</v>
      </c>
      <c r="I100" s="237">
        <f t="shared" si="34"/>
        <v>-9.988810872880215E-4</v>
      </c>
      <c r="J100" s="279"/>
      <c r="M100" s="236">
        <f t="shared" si="69"/>
        <v>96</v>
      </c>
      <c r="N100" s="237">
        <f t="shared" si="35"/>
        <v>-1.0019377335592312E-3</v>
      </c>
      <c r="O100" s="279"/>
      <c r="R100" s="236">
        <f t="shared" si="70"/>
        <v>96</v>
      </c>
      <c r="S100" s="237">
        <f t="shared" si="36"/>
        <v>-9.992699263808994E-4</v>
      </c>
      <c r="T100" s="279"/>
      <c r="W100" s="236">
        <f t="shared" si="71"/>
        <v>96</v>
      </c>
      <c r="X100" s="237">
        <f t="shared" si="37"/>
        <v>-9.9891582633434227E-4</v>
      </c>
      <c r="Y100" s="279"/>
      <c r="AB100" s="236">
        <f t="shared" si="72"/>
        <v>96</v>
      </c>
      <c r="AC100" s="237">
        <f t="shared" si="38"/>
        <v>-1.0030610931646255E-3</v>
      </c>
      <c r="AD100" s="279"/>
      <c r="AG100" s="236">
        <f t="shared" si="73"/>
        <v>96</v>
      </c>
      <c r="AH100" s="237">
        <f t="shared" si="39"/>
        <v>-1.0019690044232525E-3</v>
      </c>
      <c r="AI100" s="279"/>
      <c r="AL100" s="236">
        <f t="shared" si="74"/>
        <v>96</v>
      </c>
      <c r="AM100" s="237">
        <f t="shared" si="40"/>
        <v>-9.9567726275716101E-4</v>
      </c>
      <c r="AQ100" s="236">
        <f t="shared" si="50"/>
        <v>96</v>
      </c>
      <c r="AR100" s="237">
        <f t="shared" si="41"/>
        <v>-1.0005075205071908E-3</v>
      </c>
    </row>
    <row r="101" spans="3:44">
      <c r="C101" s="236">
        <f t="shared" si="67"/>
        <v>97</v>
      </c>
      <c r="D101" s="237">
        <f t="shared" si="33"/>
        <v>-1.0028150538503519E-3</v>
      </c>
      <c r="E101" s="279"/>
      <c r="H101" s="236">
        <f t="shared" si="68"/>
        <v>97</v>
      </c>
      <c r="I101" s="237">
        <f t="shared" si="34"/>
        <v>-9.9913270447539036E-4</v>
      </c>
      <c r="J101" s="279"/>
      <c r="M101" s="236">
        <f t="shared" si="69"/>
        <v>97</v>
      </c>
      <c r="N101" s="237">
        <f t="shared" si="35"/>
        <v>-1.0015019708908375E-3</v>
      </c>
      <c r="O101" s="279"/>
      <c r="R101" s="236">
        <f t="shared" si="70"/>
        <v>97</v>
      </c>
      <c r="S101" s="237">
        <f t="shared" si="36"/>
        <v>-9.9943410127502851E-4</v>
      </c>
      <c r="T101" s="279"/>
      <c r="W101" s="236">
        <f t="shared" si="71"/>
        <v>97</v>
      </c>
      <c r="X101" s="237">
        <f t="shared" si="37"/>
        <v>-9.9915963139085595E-4</v>
      </c>
      <c r="Y101" s="279"/>
      <c r="AB101" s="236">
        <f t="shared" si="72"/>
        <v>97</v>
      </c>
      <c r="AC101" s="237">
        <f t="shared" si="38"/>
        <v>-1.002372708931611E-3</v>
      </c>
      <c r="AD101" s="279"/>
      <c r="AG101" s="236">
        <f t="shared" si="73"/>
        <v>97</v>
      </c>
      <c r="AH101" s="237">
        <f t="shared" si="39"/>
        <v>-1.0015262095502484E-3</v>
      </c>
      <c r="AI101" s="279"/>
      <c r="AL101" s="236">
        <f t="shared" si="74"/>
        <v>97</v>
      </c>
      <c r="AM101" s="237">
        <f t="shared" si="40"/>
        <v>-9.9664935730713945E-4</v>
      </c>
      <c r="AQ101" s="236">
        <f t="shared" si="50"/>
        <v>97</v>
      </c>
      <c r="AR101" s="237">
        <f t="shared" si="41"/>
        <v>-1.0003933847312122E-3</v>
      </c>
    </row>
    <row r="102" spans="3:44">
      <c r="C102" s="236">
        <f t="shared" si="67"/>
        <v>98</v>
      </c>
      <c r="D102" s="237">
        <f t="shared" si="33"/>
        <v>-1.0019201696270144E-3</v>
      </c>
      <c r="E102" s="279"/>
      <c r="H102" s="236">
        <f t="shared" si="68"/>
        <v>98</v>
      </c>
      <c r="I102" s="237">
        <f t="shared" si="34"/>
        <v>-9.9940844357251728E-4</v>
      </c>
      <c r="J102" s="279"/>
      <c r="M102" s="236">
        <f t="shared" si="69"/>
        <v>98</v>
      </c>
      <c r="N102" s="237">
        <f t="shared" si="35"/>
        <v>-1.0010245173286327E-3</v>
      </c>
      <c r="O102" s="279"/>
      <c r="R102" s="236">
        <f t="shared" si="70"/>
        <v>98</v>
      </c>
      <c r="S102" s="237">
        <f t="shared" si="36"/>
        <v>-9.9961402596498126E-4</v>
      </c>
      <c r="T102" s="279"/>
      <c r="W102" s="236">
        <f t="shared" si="71"/>
        <v>98</v>
      </c>
      <c r="X102" s="237">
        <f t="shared" si="37"/>
        <v>-9.9942681038898539E-4</v>
      </c>
      <c r="Y102" s="279"/>
      <c r="AB102" s="236">
        <f t="shared" si="72"/>
        <v>98</v>
      </c>
      <c r="AC102" s="237">
        <f t="shared" si="38"/>
        <v>-1.0016184466930009E-3</v>
      </c>
      <c r="AD102" s="279"/>
      <c r="AG102" s="236">
        <f t="shared" si="73"/>
        <v>98</v>
      </c>
      <c r="AH102" s="237">
        <f t="shared" si="39"/>
        <v>-1.0010410504888978E-3</v>
      </c>
      <c r="AI102" s="279"/>
      <c r="AL102" s="236">
        <f t="shared" si="74"/>
        <v>98</v>
      </c>
      <c r="AM102" s="237">
        <f t="shared" si="40"/>
        <v>-9.9771455547290619E-4</v>
      </c>
      <c r="AQ102" s="236">
        <f t="shared" si="50"/>
        <v>98</v>
      </c>
      <c r="AR102" s="237">
        <f t="shared" si="41"/>
        <v>-1.0002683520500964E-3</v>
      </c>
    </row>
    <row r="103" spans="3:44">
      <c r="C103" s="236">
        <f>C102+1</f>
        <v>99</v>
      </c>
      <c r="D103" s="237">
        <f t="shared" si="33"/>
        <v>-1.000973141000913E-3</v>
      </c>
      <c r="E103" s="279"/>
      <c r="H103" s="236">
        <f>H102+1</f>
        <v>99</v>
      </c>
      <c r="I103" s="237">
        <f t="shared" si="34"/>
        <v>-9.9970023005745709E-4</v>
      </c>
      <c r="J103" s="279"/>
      <c r="M103" s="236">
        <f>M102+1</f>
        <v>99</v>
      </c>
      <c r="N103" s="237">
        <f t="shared" si="35"/>
        <v>-1.0005192357630784E-3</v>
      </c>
      <c r="O103" s="279"/>
      <c r="R103" s="236">
        <f>R102+1</f>
        <v>99</v>
      </c>
      <c r="S103" s="237">
        <f t="shared" si="36"/>
        <v>-9.9980441660944223E-4</v>
      </c>
      <c r="T103" s="279"/>
      <c r="W103" s="236">
        <f>W102+1</f>
        <v>99</v>
      </c>
      <c r="X103" s="237">
        <f t="shared" si="37"/>
        <v>-9.9970953812735463E-4</v>
      </c>
      <c r="Y103" s="279"/>
      <c r="AB103" s="236">
        <f>AB102+1</f>
        <v>99</v>
      </c>
      <c r="AC103" s="237">
        <f t="shared" si="38"/>
        <v>-1.0008202316404715E-3</v>
      </c>
      <c r="AD103" s="279"/>
      <c r="AG103" s="236">
        <f>AG102+1</f>
        <v>99</v>
      </c>
      <c r="AH103" s="237">
        <f t="shared" si="39"/>
        <v>-1.0005276145592429E-3</v>
      </c>
      <c r="AI103" s="279"/>
      <c r="AL103" s="236">
        <f>AL102+1</f>
        <v>99</v>
      </c>
      <c r="AM103" s="237">
        <f t="shared" si="40"/>
        <v>-9.9884178902837897E-4</v>
      </c>
      <c r="AQ103" s="236">
        <f t="shared" si="50"/>
        <v>99</v>
      </c>
      <c r="AR103" s="237">
        <f t="shared" si="41"/>
        <v>-1.000136020779746E-3</v>
      </c>
    </row>
    <row r="104" spans="3:44">
      <c r="C104" s="236">
        <f>C103+1</f>
        <v>100</v>
      </c>
      <c r="D104" s="237">
        <f t="shared" si="33"/>
        <v>-1.0000000474974513E-3</v>
      </c>
      <c r="E104" s="279"/>
      <c r="H104" s="236">
        <f>H103+1</f>
        <v>100</v>
      </c>
      <c r="I104" s="237">
        <f t="shared" si="34"/>
        <v>-1.0000000474974513E-3</v>
      </c>
      <c r="J104" s="279"/>
      <c r="M104" s="236">
        <f>M103+1</f>
        <v>100</v>
      </c>
      <c r="N104" s="237">
        <f t="shared" si="35"/>
        <v>-1.0000000474974513E-3</v>
      </c>
      <c r="O104" s="279"/>
      <c r="R104" s="236">
        <f>R103+1</f>
        <v>100</v>
      </c>
      <c r="S104" s="237">
        <f t="shared" si="36"/>
        <v>-1.0000000474974513E-3</v>
      </c>
      <c r="T104" s="279"/>
      <c r="W104" s="236">
        <f>W103+1</f>
        <v>100</v>
      </c>
      <c r="X104" s="237">
        <f t="shared" si="37"/>
        <v>-1.0000000474974513E-3</v>
      </c>
      <c r="Y104" s="279"/>
      <c r="AB104" s="236">
        <f>AB103+1</f>
        <v>100</v>
      </c>
      <c r="AC104" s="237">
        <f t="shared" si="38"/>
        <v>-1.0000000474974513E-3</v>
      </c>
      <c r="AD104" s="279"/>
      <c r="AG104" s="236">
        <f>AG103+1</f>
        <v>100</v>
      </c>
      <c r="AH104" s="237">
        <f t="shared" si="39"/>
        <v>-1.0000000474974513E-3</v>
      </c>
      <c r="AI104" s="279"/>
      <c r="AL104" s="236">
        <f>AL103+1</f>
        <v>100</v>
      </c>
      <c r="AM104" s="237">
        <f t="shared" si="40"/>
        <v>-1.0000000474974513E-3</v>
      </c>
      <c r="AQ104" s="236">
        <f t="shared" si="50"/>
        <v>100</v>
      </c>
      <c r="AR104" s="237">
        <f t="shared" si="41"/>
        <v>-1.0000000474974513E-3</v>
      </c>
    </row>
  </sheetData>
  <printOptions gridLines="1" gridLinesSet="0"/>
  <pageMargins left="0.75" right="0.75" top="1" bottom="1" header="0.5" footer="0.5"/>
  <pageSetup orientation="portrait" horizontalDpi="300" verticalDpi="200" r:id="rId1"/>
  <headerFooter alignWithMargins="0">
    <oddHeader>&amp;A</oddHeader>
    <oddFooter>Page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9900"/>
  </sheetPr>
  <dimension ref="C15:BI52"/>
  <sheetViews>
    <sheetView showGridLines="0" topLeftCell="A10" workbookViewId="0">
      <selection activeCell="D52" sqref="D52"/>
    </sheetView>
  </sheetViews>
  <sheetFormatPr defaultColWidth="8.85546875" defaultRowHeight="12.75"/>
  <cols>
    <col min="1" max="1" width="8.85546875" style="459"/>
    <col min="2" max="2" width="3.7109375" style="459" customWidth="1"/>
    <col min="3" max="3" width="24" style="459" customWidth="1"/>
    <col min="4" max="4" width="17.42578125" style="459" customWidth="1"/>
    <col min="5" max="5" width="6.140625" style="459" customWidth="1"/>
    <col min="6" max="6" width="6.7109375" style="459" bestFit="1" customWidth="1"/>
    <col min="7" max="7" width="5.5703125" style="459" customWidth="1"/>
    <col min="8" max="8" width="10" style="459" customWidth="1"/>
    <col min="9" max="9" width="5" style="459" customWidth="1"/>
    <col min="10" max="10" width="16.7109375" style="459" bestFit="1" customWidth="1"/>
    <col min="11" max="11" width="12.85546875" style="459" bestFit="1" customWidth="1"/>
    <col min="12" max="12" width="12.42578125" style="459" bestFit="1" customWidth="1"/>
    <col min="13" max="14" width="12.42578125" style="459" customWidth="1"/>
    <col min="15" max="17" width="5.7109375" style="459" bestFit="1" customWidth="1"/>
    <col min="18" max="18" width="12.42578125" style="459" customWidth="1"/>
    <col min="19" max="19" width="8" style="459" customWidth="1"/>
    <col min="20" max="20" width="8.85546875" style="459"/>
    <col min="21" max="36" width="8.85546875" style="460"/>
    <col min="37" max="37" width="8.42578125" style="460" customWidth="1"/>
    <col min="38" max="61" width="8.85546875" style="460"/>
    <col min="62" max="16384" width="8.85546875" style="459"/>
  </cols>
  <sheetData>
    <row r="15" spans="3:35">
      <c r="C15" s="461" t="s">
        <v>459</v>
      </c>
      <c r="U15" s="462" t="s">
        <v>460</v>
      </c>
      <c r="V15" s="462"/>
      <c r="W15" s="462"/>
      <c r="X15" s="462"/>
      <c r="Y15" s="462"/>
      <c r="Z15" s="462"/>
      <c r="AA15" s="462"/>
      <c r="AB15" s="462"/>
      <c r="AC15" s="462"/>
      <c r="AD15" s="462"/>
      <c r="AE15" s="462"/>
      <c r="AF15" s="462"/>
      <c r="AG15" s="462"/>
      <c r="AH15" s="462"/>
      <c r="AI15" s="462"/>
    </row>
    <row r="16" spans="3:35">
      <c r="U16" s="462" t="s">
        <v>461</v>
      </c>
      <c r="V16" s="462"/>
      <c r="W16" s="462"/>
      <c r="X16" s="462"/>
      <c r="Y16" s="462"/>
      <c r="Z16" s="462"/>
      <c r="AA16" s="462"/>
      <c r="AB16" s="462"/>
      <c r="AC16" s="462"/>
      <c r="AD16" s="462"/>
      <c r="AE16" s="462"/>
      <c r="AF16" s="462"/>
      <c r="AG16" s="462"/>
      <c r="AH16" s="462"/>
      <c r="AI16" s="462"/>
    </row>
    <row r="17" spans="3:51" ht="13.5" thickBot="1">
      <c r="C17" s="459" t="s">
        <v>462</v>
      </c>
      <c r="D17" s="463" t="s">
        <v>450</v>
      </c>
      <c r="E17" s="463"/>
      <c r="F17" s="463"/>
      <c r="G17" s="463"/>
      <c r="N17" s="463"/>
      <c r="O17" s="463"/>
      <c r="P17" s="463"/>
      <c r="Q17" s="463"/>
      <c r="U17" s="462"/>
      <c r="V17" s="462" t="s">
        <v>463</v>
      </c>
      <c r="W17" s="462"/>
      <c r="X17" s="462"/>
      <c r="Y17" s="462"/>
      <c r="Z17" s="462"/>
      <c r="AA17" s="462"/>
      <c r="AB17" s="462"/>
      <c r="AC17" s="462"/>
      <c r="AD17" s="462"/>
      <c r="AE17" s="462"/>
      <c r="AF17" s="462"/>
      <c r="AG17" s="462"/>
      <c r="AH17" s="462"/>
      <c r="AI17" s="462"/>
    </row>
    <row r="18" spans="3:51">
      <c r="C18" s="459" t="s">
        <v>464</v>
      </c>
      <c r="D18" s="464">
        <v>42004</v>
      </c>
      <c r="E18" s="464"/>
      <c r="F18" s="464"/>
      <c r="G18" s="464"/>
      <c r="L18" s="465"/>
      <c r="M18" s="502"/>
      <c r="N18" s="502"/>
      <c r="O18" s="464"/>
      <c r="P18" s="464"/>
      <c r="Q18" s="464"/>
      <c r="U18" s="462"/>
      <c r="V18" s="462" t="s">
        <v>465</v>
      </c>
      <c r="W18" s="462"/>
      <c r="X18" s="462"/>
      <c r="Y18" s="462"/>
      <c r="Z18" s="462"/>
      <c r="AA18" s="462"/>
      <c r="AB18" s="462"/>
      <c r="AC18" s="462"/>
      <c r="AD18" s="462"/>
      <c r="AE18" s="462"/>
      <c r="AF18" s="462"/>
      <c r="AG18" s="462"/>
      <c r="AH18" s="462"/>
      <c r="AI18" s="462"/>
    </row>
    <row r="19" spans="3:51" ht="39" thickBot="1">
      <c r="H19" s="463" t="s">
        <v>466</v>
      </c>
      <c r="L19" s="466"/>
      <c r="M19" s="459" t="s">
        <v>470</v>
      </c>
      <c r="N19" s="501" t="s">
        <v>515</v>
      </c>
      <c r="R19" s="503" t="s">
        <v>516</v>
      </c>
      <c r="U19" s="462"/>
      <c r="V19" s="462" t="s">
        <v>467</v>
      </c>
      <c r="W19" s="462"/>
      <c r="X19" s="462"/>
      <c r="Y19" s="462"/>
      <c r="Z19" s="462"/>
      <c r="AA19" s="462"/>
      <c r="AB19" s="462"/>
      <c r="AC19" s="462"/>
      <c r="AD19" s="462"/>
      <c r="AE19" s="462"/>
      <c r="AF19" s="462"/>
      <c r="AG19" s="462"/>
      <c r="AH19" s="462"/>
      <c r="AI19" s="462"/>
    </row>
    <row r="20" spans="3:51">
      <c r="C20" s="467"/>
      <c r="D20" s="468" t="s">
        <v>466</v>
      </c>
      <c r="E20" s="469"/>
      <c r="F20" s="469"/>
      <c r="G20" s="469"/>
      <c r="H20" s="463" t="s">
        <v>468</v>
      </c>
      <c r="J20" s="463" t="s">
        <v>469</v>
      </c>
      <c r="K20" s="459" t="s">
        <v>470</v>
      </c>
      <c r="L20" s="466"/>
      <c r="M20" s="469" t="s">
        <v>475</v>
      </c>
      <c r="N20" s="469"/>
      <c r="O20" s="469"/>
      <c r="P20" s="469"/>
      <c r="Q20" s="469"/>
      <c r="R20" s="503" t="s">
        <v>468</v>
      </c>
    </row>
    <row r="21" spans="3:51" ht="13.5" thickBot="1">
      <c r="C21" s="470" t="s">
        <v>471</v>
      </c>
      <c r="D21" s="471" t="s">
        <v>472</v>
      </c>
      <c r="E21" s="472"/>
      <c r="F21" s="472"/>
      <c r="G21" s="472"/>
      <c r="H21" s="473" t="s">
        <v>473</v>
      </c>
      <c r="J21" s="472" t="s">
        <v>474</v>
      </c>
      <c r="K21" s="469" t="s">
        <v>475</v>
      </c>
      <c r="L21" s="466"/>
      <c r="M21" s="477" t="s">
        <v>514</v>
      </c>
      <c r="N21" s="463"/>
      <c r="O21" s="472"/>
      <c r="P21" s="472"/>
      <c r="Q21" s="472"/>
      <c r="R21" s="504" t="s">
        <v>473</v>
      </c>
    </row>
    <row r="22" spans="3:51" ht="13.5" thickBot="1">
      <c r="C22" s="474" t="s">
        <v>476</v>
      </c>
      <c r="D22" s="499"/>
      <c r="E22" s="498"/>
      <c r="F22" s="498"/>
      <c r="G22" s="498"/>
      <c r="H22" s="463" t="s">
        <v>477</v>
      </c>
      <c r="I22" s="475" t="s">
        <v>478</v>
      </c>
      <c r="J22" s="476" t="s">
        <v>479</v>
      </c>
      <c r="K22" s="477" t="s">
        <v>480</v>
      </c>
      <c r="L22" s="478"/>
      <c r="M22" s="502"/>
      <c r="N22" s="502"/>
      <c r="O22" s="498"/>
      <c r="P22" s="498"/>
      <c r="Q22" s="498"/>
      <c r="R22" s="503" t="s">
        <v>477</v>
      </c>
      <c r="T22" s="459" t="s">
        <v>512</v>
      </c>
      <c r="U22" s="462" t="s">
        <v>481</v>
      </c>
      <c r="V22" s="479" t="s">
        <v>482</v>
      </c>
      <c r="W22" s="479" t="s">
        <v>483</v>
      </c>
      <c r="X22" s="479" t="s">
        <v>484</v>
      </c>
      <c r="Y22" s="479" t="s">
        <v>485</v>
      </c>
      <c r="Z22" s="480" t="s">
        <v>486</v>
      </c>
      <c r="AA22" s="479" t="s">
        <v>487</v>
      </c>
      <c r="AB22" s="480" t="s">
        <v>488</v>
      </c>
      <c r="AC22" s="480" t="s">
        <v>489</v>
      </c>
      <c r="AD22" s="480" t="s">
        <v>490</v>
      </c>
      <c r="AE22" s="480" t="s">
        <v>491</v>
      </c>
      <c r="AF22" s="480" t="s">
        <v>492</v>
      </c>
      <c r="AG22" s="480" t="s">
        <v>493</v>
      </c>
      <c r="AH22" s="480" t="s">
        <v>494</v>
      </c>
      <c r="AI22" s="480" t="s">
        <v>495</v>
      </c>
      <c r="AJ22" s="480" t="s">
        <v>496</v>
      </c>
      <c r="AK22" s="480" t="s">
        <v>497</v>
      </c>
      <c r="AL22" s="480" t="s">
        <v>498</v>
      </c>
      <c r="AM22" s="480" t="s">
        <v>499</v>
      </c>
      <c r="AN22" s="480" t="s">
        <v>500</v>
      </c>
      <c r="AO22" s="480" t="s">
        <v>501</v>
      </c>
      <c r="AP22" s="480" t="s">
        <v>502</v>
      </c>
      <c r="AQ22" s="480" t="s">
        <v>503</v>
      </c>
      <c r="AR22" s="480" t="s">
        <v>504</v>
      </c>
      <c r="AS22" s="480" t="s">
        <v>505</v>
      </c>
      <c r="AT22" s="480" t="s">
        <v>506</v>
      </c>
      <c r="AU22" s="480" t="s">
        <v>507</v>
      </c>
      <c r="AV22" s="480" t="s">
        <v>508</v>
      </c>
      <c r="AW22" s="480" t="s">
        <v>509</v>
      </c>
      <c r="AX22" s="480" t="s">
        <v>510</v>
      </c>
      <c r="AY22" s="480" t="s">
        <v>511</v>
      </c>
    </row>
    <row r="23" spans="3:51">
      <c r="C23" s="486">
        <v>1</v>
      </c>
      <c r="D23" s="625">
        <f>'Swap and Yield Curves'!D7</f>
        <v>2.0425</v>
      </c>
      <c r="E23" s="492">
        <f t="shared" ref="E23:E52" si="0">IF(ISNUMBER(D23),1,"")</f>
        <v>1</v>
      </c>
      <c r="F23" s="492">
        <f t="shared" ref="F23:F52" si="1">IF(ISNUMBER(E23),0,1+F22)</f>
        <v>0</v>
      </c>
      <c r="G23" s="492">
        <f>IF(F23=1,D22,IF(F23=2,D21,IF(F23=3,D20,IF(F23=4,D19,IF(F23=5,D18,IF(F23=6,D17,IF(F23=7,D16,IF(F23=8,D15,IF(F23=9,D14,IF(F23=10,D12,IF(F23=11,D11,IF(F23=21,D10,IF(F23=13,D9,IF(F23=14,D8,IF(F23=15,D7,IF(F23=16,D6,IF(F23=17,D5,IF(F23=18,D4,IF(F23=71,D3,0)))))))))))))))))))</f>
        <v>0</v>
      </c>
      <c r="H23" s="624">
        <f t="shared" ref="H23:H52" si="2">IF(G23=0,D23,IF(G24=0,((F23*D24+G23)/(1+F23)),2*H24-H25))</f>
        <v>2.0425</v>
      </c>
      <c r="I23" s="459">
        <v>1</v>
      </c>
      <c r="J23" s="482">
        <f t="shared" ref="J23:J52" si="3">(1+H23/200)^2-1</f>
        <v>2.0529295156249905E-2</v>
      </c>
      <c r="K23" s="483">
        <f>U23</f>
        <v>2.0529295156249905E-2</v>
      </c>
      <c r="L23" s="497">
        <f t="shared" ref="L23:L52" si="4">IF(ISNUMBER(D23),K23,"")</f>
        <v>2.0529295156249905E-2</v>
      </c>
      <c r="M23" s="483">
        <f>'All Curves'!C15</f>
        <v>1.7547545388720366E-2</v>
      </c>
      <c r="N23" s="483">
        <f t="shared" ref="N23:N52" si="5">IF(ISNUMBER(L23),L23-M23,"")</f>
        <v>2.9817497675295387E-3</v>
      </c>
      <c r="O23" s="492">
        <f t="shared" ref="O23:O52" si="6">IF(ISNUMBER(N23),1,"")</f>
        <v>1</v>
      </c>
      <c r="P23" s="492">
        <f t="shared" ref="P23:P52" si="7">IF(ISNUMBER(O23),0,1+P22)</f>
        <v>0</v>
      </c>
      <c r="Q23" s="492">
        <f>IF(P23=1,#REF!,IF(P23=2,#REF!,IF(P23=3,#REF!,IF(P23=4,#REF!,IF(P23=5,#REF!,IF(P23=6,N17,IF(P23=7,N16,IF(P23=8,N15,IF(P23=9,N14,IF(P23=10,#REF!,IF(P23=11,#REF!,IF(P23=12,#REF!,IF(P23=13,#REF!,IF(P23=14,#REF!,IF(P23=15,#REF!,IF(P23=16,#REF!,IF(P23=17,#REF!,IF(P23=18,#REF!,IF(P23=19,#REF!,0)))))))))))))))))))</f>
        <v>0</v>
      </c>
      <c r="R23" s="505">
        <f t="shared" ref="R23:R52" si="8">IF(Q23=0,N23,IF(Q24=0,((P23*N24+Q23)/(1+P23)),2*R24-R25))</f>
        <v>2.9817497675295387E-3</v>
      </c>
      <c r="S23" s="483">
        <f>R23+M23</f>
        <v>2.0529295156249905E-2</v>
      </c>
      <c r="T23" s="483">
        <f t="shared" ref="T23:T52" si="9">J23-K23</f>
        <v>0</v>
      </c>
      <c r="U23" s="489">
        <f>J23</f>
        <v>2.0529295156249905E-2</v>
      </c>
      <c r="V23" s="488">
        <f>W23</f>
        <v>1.0205292951562499</v>
      </c>
      <c r="W23" s="488">
        <f t="shared" ref="W23:W52" si="10">(1+U23)</f>
        <v>1.0205292951562499</v>
      </c>
      <c r="X23" s="488"/>
      <c r="Y23" s="488"/>
      <c r="Z23" s="488"/>
      <c r="AA23" s="488"/>
      <c r="AB23" s="488"/>
      <c r="AC23" s="488"/>
      <c r="AD23" s="488"/>
      <c r="AE23" s="488"/>
      <c r="AF23" s="488"/>
      <c r="AG23" s="488"/>
      <c r="AH23" s="488"/>
      <c r="AI23" s="488"/>
      <c r="AJ23" s="488"/>
      <c r="AK23" s="488"/>
      <c r="AL23" s="488"/>
      <c r="AM23" s="488"/>
      <c r="AN23" s="488"/>
      <c r="AO23" s="488"/>
      <c r="AP23" s="488"/>
      <c r="AQ23" s="488"/>
      <c r="AR23" s="488"/>
      <c r="AS23" s="488"/>
      <c r="AT23" s="488"/>
      <c r="AU23" s="488"/>
      <c r="AV23" s="488"/>
      <c r="AW23" s="488"/>
      <c r="AX23" s="488"/>
      <c r="AY23" s="488"/>
    </row>
    <row r="24" spans="3:51">
      <c r="C24" s="486">
        <v>2</v>
      </c>
      <c r="D24" s="625">
        <f>'Swap and Yield Curves'!D8</f>
        <v>1.8342000000000001</v>
      </c>
      <c r="E24" s="492">
        <f t="shared" si="0"/>
        <v>1</v>
      </c>
      <c r="F24" s="492">
        <f t="shared" si="1"/>
        <v>0</v>
      </c>
      <c r="G24" s="492">
        <f>IF(F24=1,D23,IF(F24=2,D22,IF(F24=3,D21,IF(F24=4,D20,IF(F24=5,D19,IF(F24=6,D18,IF(F24=7,D17,IF(F24=8,D16,IF(F24=9,D15,IF(F24=10,D14,IF(F24=11,D12,IF(F24=21,D11,IF(F24=13,D10,IF(F24=14,D9,IF(F24=15,D8,IF(F24=16,D7,IF(F24=17,D6,IF(F24=18,D5,IF(F24=71,D4,0)))))))))))))))))))</f>
        <v>0</v>
      </c>
      <c r="H24" s="624">
        <f t="shared" si="2"/>
        <v>1.8342000000000001</v>
      </c>
      <c r="I24" s="459">
        <f t="shared" ref="I24:I52" si="11">I23+1</f>
        <v>2</v>
      </c>
      <c r="J24" s="482">
        <f t="shared" si="3"/>
        <v>1.8426107241000134E-2</v>
      </c>
      <c r="K24" s="491">
        <f t="shared" ref="K24:K52" si="12">(((1+K23)^I23)*(1+U24))^(1/I24)-1</f>
        <v>1.8406770941883588E-2</v>
      </c>
      <c r="L24" s="494">
        <f t="shared" si="4"/>
        <v>1.8406770941883588E-2</v>
      </c>
      <c r="M24" s="483">
        <f>'All Curves'!C16</f>
        <v>1.7680111792976946E-2</v>
      </c>
      <c r="N24" s="483">
        <f t="shared" si="5"/>
        <v>7.2665914890664152E-4</v>
      </c>
      <c r="O24" s="492">
        <f t="shared" si="6"/>
        <v>1</v>
      </c>
      <c r="P24" s="492">
        <f t="shared" si="7"/>
        <v>0</v>
      </c>
      <c r="Q24" s="492">
        <f>IF(P24=1,N23,IF(P24=2,#REF!,IF(P24=3,#REF!,IF(P24=4,#REF!,IF(P24=5,#REF!,IF(P24=6,#REF!,IF(P24=7,N17,IF(P24=8,N16,IF(P24=9,N15,IF(P24=10,N14,IF(P24=11,#REF!,IF(P24=12,#REF!,IF(P24=13,#REF!,IF(P24=14,#REF!,IF(P24=15,#REF!,IF(P24=16,#REF!,IF(P24=17,#REF!,IF(P24=18,#REF!,IF(P24=19,#REF!,0)))))))))))))))))))</f>
        <v>0</v>
      </c>
      <c r="R24" s="505">
        <f t="shared" si="8"/>
        <v>7.2665914890664152E-4</v>
      </c>
      <c r="S24" s="483">
        <f t="shared" ref="S24:S52" si="13">R24+M24</f>
        <v>1.8406770941883588E-2</v>
      </c>
      <c r="T24" s="483">
        <f t="shared" si="9"/>
        <v>1.9336299116545774E-5</v>
      </c>
      <c r="U24" s="489">
        <f>(1+J24)/(V23-J24)-1</f>
        <v>1.628866121033723E-2</v>
      </c>
      <c r="V24" s="488">
        <f t="shared" ref="V24:V52" si="14">V23*W24</f>
        <v>1.0371523511002743</v>
      </c>
      <c r="W24" s="488">
        <f t="shared" si="10"/>
        <v>1.0162886612103372</v>
      </c>
      <c r="X24" s="488"/>
      <c r="Y24" s="488"/>
      <c r="Z24" s="488"/>
      <c r="AA24" s="488"/>
      <c r="AB24" s="488"/>
      <c r="AC24" s="488"/>
      <c r="AD24" s="488"/>
      <c r="AE24" s="488"/>
      <c r="AF24" s="488"/>
      <c r="AG24" s="488"/>
      <c r="AH24" s="488"/>
      <c r="AI24" s="488"/>
      <c r="AJ24" s="488"/>
      <c r="AK24" s="488"/>
      <c r="AL24" s="488"/>
      <c r="AM24" s="488"/>
      <c r="AN24" s="488"/>
      <c r="AO24" s="488"/>
      <c r="AP24" s="488"/>
      <c r="AQ24" s="488"/>
      <c r="AR24" s="488"/>
      <c r="AS24" s="488"/>
      <c r="AT24" s="488"/>
      <c r="AU24" s="488"/>
      <c r="AV24" s="488"/>
      <c r="AW24" s="488"/>
      <c r="AX24" s="488"/>
      <c r="AY24" s="488"/>
    </row>
    <row r="25" spans="3:51">
      <c r="C25" s="481">
        <v>3</v>
      </c>
      <c r="D25" s="625">
        <f>'Swap and Yield Curves'!D9</f>
        <v>1.7703</v>
      </c>
      <c r="E25" s="492">
        <f t="shared" si="0"/>
        <v>1</v>
      </c>
      <c r="F25" s="492">
        <f t="shared" si="1"/>
        <v>0</v>
      </c>
      <c r="G25" s="492">
        <f>IF(F25=1,D24,IF(F25=2,D23,IF(F25=3,D22,IF(F25=4,D21,IF(F25=5,D20,IF(F25=6,D19,IF(F25=7,D18,IF(F25=8,D17,IF(F25=9,D16,IF(F25=10,D15,IF(F25=11,D14,IF(F25=21,D12,IF(F25=13,D11,IF(F25=14,D10,IF(F25=15,D9,IF(F25=16,D8,IF(F25=17,D7,IF(F25=18,D6,IF(F25=71,D5,0)))))))))))))))))))</f>
        <v>0</v>
      </c>
      <c r="H25" s="624">
        <f t="shared" si="2"/>
        <v>1.7703</v>
      </c>
      <c r="I25" s="459">
        <f t="shared" si="11"/>
        <v>3</v>
      </c>
      <c r="J25" s="482">
        <f t="shared" si="3"/>
        <v>1.7781349052250039E-2</v>
      </c>
      <c r="K25" s="491">
        <f t="shared" si="12"/>
        <v>1.7757410738062473E-2</v>
      </c>
      <c r="L25" s="494">
        <f t="shared" si="4"/>
        <v>1.7757410738062473E-2</v>
      </c>
      <c r="M25" s="483">
        <f>'All Curves'!C17</f>
        <v>1.7864182710062071E-2</v>
      </c>
      <c r="N25" s="483">
        <f t="shared" si="5"/>
        <v>-1.0677197199959743E-4</v>
      </c>
      <c r="O25" s="492">
        <f t="shared" si="6"/>
        <v>1</v>
      </c>
      <c r="P25" s="492">
        <f t="shared" si="7"/>
        <v>0</v>
      </c>
      <c r="Q25" s="492">
        <f>IF(P25=1,N24,IF(P25=2,N23,IF(P25=3,#REF!,IF(P25=4,#REF!,IF(P25=5,#REF!,IF(P25=6,#REF!,IF(P25=7,#REF!,IF(P25=8,N17,IF(P25=9,N16,IF(P25=10,N15,IF(P25=11,N14,IF(P25=12,#REF!,IF(P25=13,#REF!,IF(P25=14,#REF!,IF(P25=15,#REF!,IF(P25=16,#REF!,IF(P25=17,#REF!,IF(P25=18,#REF!,IF(P25=19,#REF!,0)))))))))))))))))))</f>
        <v>0</v>
      </c>
      <c r="R25" s="505">
        <f t="shared" si="8"/>
        <v>-1.0677197199959743E-4</v>
      </c>
      <c r="S25" s="483">
        <f t="shared" si="13"/>
        <v>1.7757410738062473E-2</v>
      </c>
      <c r="T25" s="483">
        <f t="shared" si="9"/>
        <v>2.3938314187565979E-5</v>
      </c>
      <c r="U25" s="489">
        <f>((1+J25)/(V24-J25*(1+W24)))-1</f>
        <v>1.6459932208610084E-2</v>
      </c>
      <c r="V25" s="488">
        <f t="shared" si="14"/>
        <v>1.0542238084893854</v>
      </c>
      <c r="W25" s="488">
        <f t="shared" si="10"/>
        <v>1.0164599322086101</v>
      </c>
      <c r="X25" s="488">
        <f t="shared" ref="X25:X52" si="15">V25/V23</f>
        <v>1.0330167036782385</v>
      </c>
      <c r="Y25" s="488"/>
      <c r="Z25" s="488"/>
      <c r="AA25" s="488"/>
      <c r="AB25" s="488"/>
      <c r="AC25" s="488"/>
      <c r="AD25" s="488"/>
      <c r="AE25" s="488"/>
      <c r="AF25" s="488"/>
      <c r="AG25" s="488"/>
      <c r="AH25" s="488"/>
      <c r="AI25" s="488"/>
      <c r="AJ25" s="488"/>
      <c r="AK25" s="488"/>
      <c r="AL25" s="488"/>
      <c r="AM25" s="488"/>
      <c r="AN25" s="488"/>
      <c r="AO25" s="488"/>
      <c r="AP25" s="488"/>
      <c r="AQ25" s="488"/>
      <c r="AR25" s="488"/>
      <c r="AS25" s="488"/>
      <c r="AT25" s="488"/>
      <c r="AU25" s="488"/>
      <c r="AV25" s="488"/>
      <c r="AW25" s="488"/>
      <c r="AX25" s="488"/>
      <c r="AY25" s="488"/>
    </row>
    <row r="26" spans="3:51">
      <c r="C26" s="481">
        <v>4</v>
      </c>
      <c r="D26" s="625">
        <f>'Swap and Yield Curves'!D10</f>
        <v>1.7622</v>
      </c>
      <c r="E26" s="492">
        <f t="shared" si="0"/>
        <v>1</v>
      </c>
      <c r="F26" s="492">
        <f t="shared" si="1"/>
        <v>0</v>
      </c>
      <c r="G26" s="492">
        <f>IF(F26=1,D25,IF(F26=2,D24,IF(F26=3,D23,IF(F26=4,D22,IF(F26=5,D21,IF(F26=6,D20,IF(F26=7,D19,IF(F26=8,D18,IF(F26=9,D17,IF(F26=10,D16,IF(F26=11,D15,IF(F26=21,D14,IF(F26=13,D12,IF(F26=14,D11,IF(F26=15,D10,IF(F26=16,D9,IF(F26=17,D8,IF(F26=18,D7,IF(F26=71,D6,0)))))))))))))))))))</f>
        <v>0</v>
      </c>
      <c r="H26" s="624">
        <f t="shared" si="2"/>
        <v>1.7622</v>
      </c>
      <c r="I26" s="459">
        <f t="shared" si="11"/>
        <v>4</v>
      </c>
      <c r="J26" s="482">
        <f t="shared" si="3"/>
        <v>1.7699633720999808E-2</v>
      </c>
      <c r="K26" s="491">
        <f t="shared" si="12"/>
        <v>1.7679573462632936E-2</v>
      </c>
      <c r="L26" s="494">
        <f t="shared" si="4"/>
        <v>1.7679573462632936E-2</v>
      </c>
      <c r="M26" s="483">
        <f>'All Curves'!C18</f>
        <v>1.8092497670247482E-2</v>
      </c>
      <c r="N26" s="483">
        <f t="shared" si="5"/>
        <v>-4.1292420761454562E-4</v>
      </c>
      <c r="O26" s="492">
        <f t="shared" si="6"/>
        <v>1</v>
      </c>
      <c r="P26" s="492">
        <f t="shared" si="7"/>
        <v>0</v>
      </c>
      <c r="Q26" s="492">
        <f>IF(P26=1,N25,IF(P26=2,N24,IF(P26=3,N23,IF(P26=4,#REF!,IF(P26=5,#REF!,IF(P26=6,#REF!,IF(P26=7,#REF!,IF(P26=8,#REF!,IF(P26=9,N17,IF(P26=10,N16,IF(P26=11,N15,IF(P26=12,N14,IF(P26=13,#REF!,IF(P26=14,#REF!,IF(P26=15,#REF!,IF(P26=16,#REF!,IF(P26=17,#REF!,IF(P26=18,#REF!,IF(P26=19,#REF!,0)))))))))))))))))))</f>
        <v>0</v>
      </c>
      <c r="R26" s="505">
        <f t="shared" si="8"/>
        <v>-4.1292420761454562E-4</v>
      </c>
      <c r="S26" s="483">
        <f t="shared" si="13"/>
        <v>1.7679573462632936E-2</v>
      </c>
      <c r="T26" s="483">
        <f t="shared" si="9"/>
        <v>2.0060258366871864E-5</v>
      </c>
      <c r="U26" s="489">
        <f>((1+J26)/(V25-J26*(1+W25+X25)))-1</f>
        <v>1.7446097352119549E-2</v>
      </c>
      <c r="V26" s="488">
        <f t="shared" si="14"/>
        <v>1.0726158996832134</v>
      </c>
      <c r="W26" s="488">
        <f t="shared" si="10"/>
        <v>1.0174460973521195</v>
      </c>
      <c r="X26" s="488">
        <f t="shared" si="15"/>
        <v>1.0341931911404503</v>
      </c>
      <c r="Y26" s="488">
        <f t="shared" ref="Y26:Y52" si="16">V26/V23</f>
        <v>1.0510388136569746</v>
      </c>
      <c r="Z26" s="488"/>
      <c r="AA26" s="488"/>
      <c r="AB26" s="488"/>
      <c r="AC26" s="488"/>
      <c r="AD26" s="488"/>
      <c r="AE26" s="488"/>
      <c r="AF26" s="488"/>
      <c r="AG26" s="488"/>
      <c r="AH26" s="488"/>
      <c r="AI26" s="488"/>
      <c r="AJ26" s="488"/>
      <c r="AK26" s="488"/>
      <c r="AL26" s="488"/>
      <c r="AM26" s="488"/>
      <c r="AN26" s="488"/>
      <c r="AO26" s="488"/>
      <c r="AP26" s="488"/>
      <c r="AQ26" s="488"/>
      <c r="AR26" s="488"/>
      <c r="AS26" s="488"/>
      <c r="AT26" s="488"/>
      <c r="AU26" s="488"/>
      <c r="AV26" s="488"/>
      <c r="AW26" s="488"/>
      <c r="AX26" s="488"/>
      <c r="AY26" s="488"/>
    </row>
    <row r="27" spans="3:51">
      <c r="C27" s="481">
        <v>5</v>
      </c>
      <c r="D27" s="625">
        <f>'Swap and Yield Curves'!D11</f>
        <v>1.7834000000000001</v>
      </c>
      <c r="E27" s="492">
        <f t="shared" si="0"/>
        <v>1</v>
      </c>
      <c r="F27" s="492">
        <f t="shared" si="1"/>
        <v>0</v>
      </c>
      <c r="G27" s="492">
        <f>IF(F27=1,D26,IF(F27=2,D25,IF(F27=3,D24,IF(F27=4,D23,IF(F27=5,D22,IF(F27=6,D21,IF(F27=7,D20,IF(F27=8,D19,IF(F27=9,D18,IF(F27=10,D17,IF(F27=11,D16,IF(F27=21,D15,IF(F27=13,D14,IF(F27=14,D12,IF(F27=15,D11,IF(F27=16,D10,IF(F27=17,D9,IF(F27=18,D8,IF(F27=71,D7,0)))))))))))))))))))</f>
        <v>0</v>
      </c>
      <c r="H27" s="624">
        <f t="shared" si="2"/>
        <v>1.7834000000000001</v>
      </c>
      <c r="I27" s="459">
        <f t="shared" si="11"/>
        <v>5</v>
      </c>
      <c r="J27" s="482">
        <f t="shared" si="3"/>
        <v>1.7913512889000227E-2</v>
      </c>
      <c r="K27" s="491">
        <f t="shared" si="12"/>
        <v>1.7905057512006106E-2</v>
      </c>
      <c r="L27" s="494">
        <f t="shared" si="4"/>
        <v>1.7905057512006106E-2</v>
      </c>
      <c r="M27" s="483">
        <f>'All Curves'!C19</f>
        <v>1.8358540390717742E-2</v>
      </c>
      <c r="N27" s="483">
        <f t="shared" si="5"/>
        <v>-4.5348287871163628E-4</v>
      </c>
      <c r="O27" s="492">
        <f t="shared" si="6"/>
        <v>1</v>
      </c>
      <c r="P27" s="492">
        <f t="shared" si="7"/>
        <v>0</v>
      </c>
      <c r="Q27" s="492">
        <f>IF(P27=1,N26,IF(P27=2,N25,IF(P27=3,N24,IF(P27=4,N23,IF(P27=5,#REF!,IF(P27=6,#REF!,IF(P27=7,#REF!,IF(P27=8,#REF!,IF(P27=9,#REF!,IF(P27=10,N17,IF(P27=11,N16,IF(P27=12,N15,IF(P27=13,N14,IF(P27=14,#REF!,IF(P27=15,#REF!,IF(P27=16,#REF!,IF(P27=17,#REF!,IF(P27=18,#REF!,IF(P27=19,#REF!,0)))))))))))))))))))</f>
        <v>0</v>
      </c>
      <c r="R27" s="505">
        <f t="shared" si="8"/>
        <v>-4.5348287871163628E-4</v>
      </c>
      <c r="S27" s="483">
        <f t="shared" si="13"/>
        <v>1.7905057512006106E-2</v>
      </c>
      <c r="T27" s="483">
        <f t="shared" si="9"/>
        <v>8.4553769941209111E-6</v>
      </c>
      <c r="U27" s="489">
        <f>((1+J27)/(V26-J27*(1+W26+X26+Y26)))-1</f>
        <v>1.8807493418093069E-2</v>
      </c>
      <c r="V27" s="488">
        <f t="shared" si="14"/>
        <v>1.0927891161566474</v>
      </c>
      <c r="W27" s="488">
        <f t="shared" si="10"/>
        <v>1.0188074934180931</v>
      </c>
      <c r="X27" s="488">
        <f t="shared" si="15"/>
        <v>1.036581708131334</v>
      </c>
      <c r="Y27" s="488">
        <f t="shared" si="16"/>
        <v>1.053643772775861</v>
      </c>
      <c r="Z27" s="488">
        <f t="shared" ref="Z27:Z52" si="17">V27/V23</f>
        <v>1.0708062192269885</v>
      </c>
      <c r="AA27" s="488"/>
      <c r="AB27" s="488"/>
      <c r="AC27" s="488"/>
      <c r="AD27" s="488"/>
      <c r="AE27" s="488"/>
      <c r="AF27" s="488"/>
      <c r="AG27" s="488"/>
      <c r="AH27" s="488"/>
      <c r="AI27" s="488"/>
      <c r="AJ27" s="488"/>
      <c r="AK27" s="488"/>
      <c r="AL27" s="488"/>
      <c r="AM27" s="488"/>
      <c r="AN27" s="488"/>
      <c r="AO27" s="488"/>
      <c r="AP27" s="488"/>
      <c r="AQ27" s="488"/>
      <c r="AR27" s="488"/>
      <c r="AS27" s="488"/>
      <c r="AT27" s="488"/>
      <c r="AU27" s="488"/>
      <c r="AV27" s="488"/>
      <c r="AW27" s="488"/>
      <c r="AX27" s="488"/>
      <c r="AY27" s="488"/>
    </row>
    <row r="28" spans="3:51">
      <c r="C28" s="481">
        <v>6</v>
      </c>
      <c r="D28" s="625">
        <f>'Swap and Yield Curves'!D12</f>
        <v>1.8206</v>
      </c>
      <c r="E28" s="492">
        <f t="shared" si="0"/>
        <v>1</v>
      </c>
      <c r="F28" s="492">
        <f t="shared" si="1"/>
        <v>0</v>
      </c>
      <c r="G28" s="492">
        <f>IF(F28=1,D27,IF(F28=2,D26,IF(F28=3,D25,IF(F28=4,D24,IF(F28=5,D23,IF(F28=6,D22,IF(F28=7,D21,IF(F28=8,D20,IF(F28=9,D19,IF(F28=10,D18,IF(F28=11,D17,IF(F28=21,D16,IF(F28=13,D15,IF(F28=14,D14,IF(F28=15,D12,IF(F28=16,D11,IF(F28=17,D10,IF(F28=18,D9,IF(F28=71,D8,0)))))))))))))))))))</f>
        <v>0</v>
      </c>
      <c r="H28" s="624">
        <f t="shared" si="2"/>
        <v>1.8206</v>
      </c>
      <c r="I28" s="459">
        <f t="shared" si="11"/>
        <v>6</v>
      </c>
      <c r="J28" s="482">
        <f t="shared" si="3"/>
        <v>1.8288864609000255E-2</v>
      </c>
      <c r="K28" s="491">
        <f t="shared" si="12"/>
        <v>1.8299256294977528E-2</v>
      </c>
      <c r="L28" s="494">
        <f t="shared" si="4"/>
        <v>1.8299256294977528E-2</v>
      </c>
      <c r="M28" s="483">
        <f>'All Curves'!C20</f>
        <v>1.8656473881589891E-2</v>
      </c>
      <c r="N28" s="483">
        <f t="shared" si="5"/>
        <v>-3.572175866123628E-4</v>
      </c>
      <c r="O28" s="492">
        <f t="shared" si="6"/>
        <v>1</v>
      </c>
      <c r="P28" s="492">
        <f t="shared" si="7"/>
        <v>0</v>
      </c>
      <c r="Q28" s="492">
        <f>IF(P28=1,N27,IF(P28=2,N26,IF(P28=3,N25,IF(P28=4,N24,IF(P28=5,N23,IF(P28=6,#REF!,IF(P28=7,#REF!,IF(P28=8,#REF!,IF(P28=9,#REF!,IF(P28=10,#REF!,IF(P28=11,N17,IF(P28=12,N16,IF(P28=13,N15,IF(P28=14,N14,IF(P28=15,#REF!,IF(P28=16,#REF!,IF(P28=17,#REF!,IF(P28=18,#REF!,IF(P28=19,#REF!,0)))))))))))))))))))</f>
        <v>0</v>
      </c>
      <c r="R28" s="505">
        <f t="shared" si="8"/>
        <v>-3.572175866123628E-4</v>
      </c>
      <c r="S28" s="483">
        <f t="shared" si="13"/>
        <v>1.8299256294977528E-2</v>
      </c>
      <c r="T28" s="483">
        <f t="shared" si="9"/>
        <v>-1.0391685977273468E-5</v>
      </c>
      <c r="U28" s="489">
        <f>((1+J28)/(V27-J28*(1+W27+X27+Y27+Z27)))-1</f>
        <v>2.0272541282171819E-2</v>
      </c>
      <c r="V28" s="488">
        <f t="shared" si="14"/>
        <v>1.1149427286266411</v>
      </c>
      <c r="W28" s="488">
        <f t="shared" si="10"/>
        <v>1.0202725412821718</v>
      </c>
      <c r="X28" s="488">
        <f t="shared" si="15"/>
        <v>1.0394613103869974</v>
      </c>
      <c r="Y28" s="488">
        <f t="shared" si="16"/>
        <v>1.0575958536017707</v>
      </c>
      <c r="Z28" s="488">
        <f t="shared" si="17"/>
        <v>1.0750038096561629</v>
      </c>
      <c r="AA28" s="488">
        <f t="shared" ref="AA28:AA52" si="18">V28/V23</f>
        <v>1.0925141825114739</v>
      </c>
      <c r="AB28" s="488"/>
      <c r="AC28" s="488"/>
      <c r="AD28" s="488"/>
      <c r="AE28" s="488"/>
      <c r="AF28" s="488"/>
      <c r="AG28" s="488"/>
      <c r="AH28" s="488"/>
      <c r="AI28" s="488"/>
      <c r="AJ28" s="488"/>
      <c r="AK28" s="488"/>
      <c r="AL28" s="488"/>
      <c r="AM28" s="488"/>
      <c r="AN28" s="488"/>
      <c r="AO28" s="488"/>
      <c r="AP28" s="488"/>
      <c r="AQ28" s="488"/>
      <c r="AR28" s="488"/>
      <c r="AS28" s="488"/>
      <c r="AT28" s="488"/>
      <c r="AU28" s="488"/>
      <c r="AV28" s="488"/>
      <c r="AW28" s="488"/>
      <c r="AX28" s="488"/>
      <c r="AY28" s="488"/>
    </row>
    <row r="29" spans="3:51">
      <c r="C29" s="481">
        <v>7</v>
      </c>
      <c r="D29" s="625">
        <f>'Swap and Yield Curves'!D13</f>
        <v>1.8601000000000001</v>
      </c>
      <c r="E29" s="492">
        <f t="shared" si="0"/>
        <v>1</v>
      </c>
      <c r="F29" s="492">
        <f t="shared" si="1"/>
        <v>0</v>
      </c>
      <c r="G29" s="492">
        <f>IF(F29=1,D28,IF(F29=2,D27,IF(F29=3,D26,IF(F29=4,D25,IF(F29=5,D24,IF(F29=6,D23,IF(F29=7,D22,IF(F29=8,D21,IF(F29=9,D20,IF(F29=10,D19,IF(F29=11,D18,IF(F29=21,D17,IF(F29=13,D16,IF(F29=14,D15,IF(F29=15,D14,IF(F29=16,D12,IF(F29=17,D11,IF(F29=18,D10,IF(F29=71,D9,0)))))))))))))))))))</f>
        <v>0</v>
      </c>
      <c r="H29" s="624">
        <f t="shared" si="2"/>
        <v>1.8601000000000001</v>
      </c>
      <c r="I29" s="459">
        <f t="shared" si="11"/>
        <v>7</v>
      </c>
      <c r="J29" s="482">
        <f t="shared" si="3"/>
        <v>1.8687499300249932E-2</v>
      </c>
      <c r="K29" s="491">
        <f t="shared" si="12"/>
        <v>1.8719710890298336E-2</v>
      </c>
      <c r="L29" s="494">
        <f t="shared" si="4"/>
        <v>1.8719710890298336E-2</v>
      </c>
      <c r="M29" s="483">
        <f>'All Curves'!C21</f>
        <v>1.8981080278950957E-2</v>
      </c>
      <c r="N29" s="483">
        <f t="shared" si="5"/>
        <v>-2.6136938865262138E-4</v>
      </c>
      <c r="O29" s="492">
        <f t="shared" si="6"/>
        <v>1</v>
      </c>
      <c r="P29" s="492">
        <f t="shared" si="7"/>
        <v>0</v>
      </c>
      <c r="Q29" s="492">
        <f>IF(P29=1,N28,IF(P29=2,N27,IF(P29=3,N26,IF(P29=4,N25,IF(P29=5,N24,IF(P29=6,N23,IF(P29=7,#REF!,IF(P29=8,#REF!,IF(P29=9,#REF!,IF(P29=10,#REF!,IF(P29=11,#REF!,IF(P29=12,N17,IF(P29=13,N16,IF(P29=14,N15,IF(P29=15,N14,IF(P29=16,#REF!,IF(P29=17,#REF!,IF(P29=18,#REF!,IF(P29=19,#REF!,0)))))))))))))))))))</f>
        <v>0</v>
      </c>
      <c r="R29" s="505">
        <f t="shared" si="8"/>
        <v>-2.6136938865262138E-4</v>
      </c>
      <c r="S29" s="483">
        <f t="shared" si="13"/>
        <v>1.8719710890298336E-2</v>
      </c>
      <c r="T29" s="483">
        <f t="shared" si="9"/>
        <v>-3.2211590048403238E-5</v>
      </c>
      <c r="U29" s="489">
        <f>((1+J29)/(V28-J29*(1+W28+X28+Y28+Z28+AA28)))-1</f>
        <v>2.1246086681735221E-2</v>
      </c>
      <c r="V29" s="488">
        <f t="shared" si="14"/>
        <v>1.1386308984842131</v>
      </c>
      <c r="W29" s="488">
        <f t="shared" si="10"/>
        <v>1.0212460866817352</v>
      </c>
      <c r="X29" s="488">
        <f t="shared" si="15"/>
        <v>1.0419493401332471</v>
      </c>
      <c r="Y29" s="488">
        <f t="shared" si="16"/>
        <v>1.0615457954897896</v>
      </c>
      <c r="Z29" s="488">
        <f t="shared" si="17"/>
        <v>1.0800656267816375</v>
      </c>
      <c r="AA29" s="488">
        <f t="shared" si="18"/>
        <v>1.0978434337793133</v>
      </c>
      <c r="AB29" s="488">
        <f t="shared" ref="AB29:AB52" si="19">V29/V23</f>
        <v>1.1157258335341378</v>
      </c>
      <c r="AC29" s="488"/>
      <c r="AD29" s="488"/>
      <c r="AE29" s="488"/>
      <c r="AF29" s="488"/>
      <c r="AG29" s="488"/>
      <c r="AH29" s="488"/>
      <c r="AI29" s="488"/>
      <c r="AJ29" s="488"/>
      <c r="AK29" s="488"/>
      <c r="AL29" s="488"/>
      <c r="AM29" s="488"/>
      <c r="AN29" s="488"/>
      <c r="AO29" s="488"/>
      <c r="AP29" s="488"/>
      <c r="AQ29" s="488"/>
      <c r="AR29" s="488"/>
      <c r="AS29" s="488"/>
      <c r="AT29" s="488"/>
      <c r="AU29" s="488"/>
      <c r="AV29" s="488"/>
      <c r="AW29" s="488"/>
      <c r="AX29" s="488"/>
      <c r="AY29" s="488"/>
    </row>
    <row r="30" spans="3:51">
      <c r="C30" s="481">
        <v>8</v>
      </c>
      <c r="D30" s="625">
        <f>'Swap and Yield Curves'!D14</f>
        <v>1.9027000000000001</v>
      </c>
      <c r="E30" s="492">
        <f t="shared" si="0"/>
        <v>1</v>
      </c>
      <c r="F30" s="492">
        <f t="shared" si="1"/>
        <v>0</v>
      </c>
      <c r="G30" s="492">
        <f>IF(F30=1,D29,IF(F30=2,D28,IF(F30=3,D27,IF(F30=4,D26,IF(F30=5,D25,IF(F30=6,D24,IF(F30=7,D23,IF(F30=8,D22,IF(F30=9,D21,IF(F30=10,D20,IF(F30=11,D19,IF(F30=21,D18,IF(F30=13,D17,IF(F30=14,D16,IF(F30=15,D15,IF(F30=16,D14,IF(F30=17,D12,IF(F30=18,D11,IF(F30=71,D10,0)))))))))))))))))))</f>
        <v>0</v>
      </c>
      <c r="H30" s="624">
        <f t="shared" si="2"/>
        <v>1.9027000000000001</v>
      </c>
      <c r="I30" s="459">
        <f t="shared" si="11"/>
        <v>8</v>
      </c>
      <c r="J30" s="482">
        <f t="shared" si="3"/>
        <v>1.9117506682249985E-2</v>
      </c>
      <c r="K30" s="491">
        <f t="shared" si="12"/>
        <v>1.9176386207951701E-2</v>
      </c>
      <c r="L30" s="494">
        <f t="shared" si="4"/>
        <v>1.9176386207951701E-2</v>
      </c>
      <c r="M30" s="483">
        <f>'All Curves'!C22</f>
        <v>1.9327705174832399E-2</v>
      </c>
      <c r="N30" s="483">
        <f t="shared" si="5"/>
        <v>-1.5131896688069801E-4</v>
      </c>
      <c r="O30" s="492">
        <f t="shared" si="6"/>
        <v>1</v>
      </c>
      <c r="P30" s="492">
        <f t="shared" si="7"/>
        <v>0</v>
      </c>
      <c r="Q30" s="492">
        <f>IF(P30=1,N29,IF(P30=2,N28,IF(P30=3,N27,IF(P30=4,N26,IF(P30=5,N25,IF(P30=6,N24,IF(P30=7,N23,IF(P30=8,#REF!,IF(P30=9,#REF!,IF(P30=10,#REF!,IF(P30=11,#REF!,IF(P30=12,#REF!,IF(P30=13,N17,IF(P30=14,N16,IF(P30=15,N15,IF(P30=16,N14,IF(P30=17,#REF!,IF(P30=18,#REF!,IF(P30=19,#REF!,0)))))))))))))))))))</f>
        <v>0</v>
      </c>
      <c r="R30" s="505">
        <f t="shared" si="8"/>
        <v>-1.5131896688069801E-4</v>
      </c>
      <c r="S30" s="483">
        <f t="shared" si="13"/>
        <v>1.9176386207951701E-2</v>
      </c>
      <c r="T30" s="483">
        <f t="shared" si="9"/>
        <v>-5.8879525701716062E-5</v>
      </c>
      <c r="U30" s="489">
        <f>((1+J30)/(V29-J30*(1+W29+X29+Y29+Z29+AA29+AB29)))-1</f>
        <v>2.2378850734951827E-2</v>
      </c>
      <c r="V30" s="488">
        <f t="shared" si="14"/>
        <v>1.1641121494035953</v>
      </c>
      <c r="W30" s="488">
        <f t="shared" si="10"/>
        <v>1.0223788507349518</v>
      </c>
      <c r="X30" s="488">
        <f t="shared" si="15"/>
        <v>1.0441004004192393</v>
      </c>
      <c r="Y30" s="488">
        <f t="shared" si="16"/>
        <v>1.0652669688894705</v>
      </c>
      <c r="Z30" s="488">
        <f t="shared" si="17"/>
        <v>1.0853019703953712</v>
      </c>
      <c r="AA30" s="488">
        <f t="shared" si="18"/>
        <v>1.1042362542273361</v>
      </c>
      <c r="AB30" s="488">
        <f t="shared" si="19"/>
        <v>1.1224119081142074</v>
      </c>
      <c r="AC30" s="488">
        <f t="shared" ref="AC30:AC52" si="20">V30/V23</f>
        <v>1.140694495423928</v>
      </c>
      <c r="AD30" s="488"/>
      <c r="AE30" s="488"/>
      <c r="AF30" s="488"/>
      <c r="AG30" s="488"/>
      <c r="AH30" s="488"/>
      <c r="AI30" s="488"/>
      <c r="AJ30" s="488"/>
      <c r="AK30" s="488"/>
      <c r="AL30" s="488"/>
      <c r="AM30" s="488"/>
      <c r="AN30" s="488"/>
      <c r="AO30" s="488"/>
      <c r="AP30" s="488"/>
      <c r="AQ30" s="488"/>
      <c r="AR30" s="488"/>
      <c r="AS30" s="488"/>
      <c r="AT30" s="488"/>
      <c r="AU30" s="488"/>
      <c r="AV30" s="488"/>
      <c r="AW30" s="488"/>
      <c r="AX30" s="488"/>
      <c r="AY30" s="488"/>
    </row>
    <row r="31" spans="3:51">
      <c r="C31" s="481">
        <v>9</v>
      </c>
      <c r="D31" s="625">
        <f>'Swap and Yield Curves'!D15</f>
        <v>1.9437</v>
      </c>
      <c r="E31" s="492">
        <f t="shared" si="0"/>
        <v>1</v>
      </c>
      <c r="F31" s="492">
        <f t="shared" si="1"/>
        <v>0</v>
      </c>
      <c r="G31" s="492">
        <f>IF(F31=1,D30,IF(F31=2,D29,IF(F31=3,D28,IF(F31=4,D27,IF(F31=5,D26,IF(F31=6,D25,IF(F31=7,D24,IF(F31=8,D23,IF(F31=9,D22,IF(F31=10,D21,IF(F31=11,D20,IF(F31=21,D19,IF(F31=13,D18,IF(F31=14,D17,IF(F31=15,D16,IF(F31=16,D15,IF(F31=17,D14,IF(F31=18,D12,IF(F31=71,D11,0)))))))))))))))))))</f>
        <v>0</v>
      </c>
      <c r="H31" s="624">
        <f t="shared" si="2"/>
        <v>1.9437</v>
      </c>
      <c r="I31" s="459">
        <f t="shared" si="11"/>
        <v>9</v>
      </c>
      <c r="J31" s="482">
        <f t="shared" si="3"/>
        <v>1.9531449242250032E-2</v>
      </c>
      <c r="K31" s="491">
        <f t="shared" si="12"/>
        <v>1.9619042085553984E-2</v>
      </c>
      <c r="L31" s="494">
        <f t="shared" si="4"/>
        <v>1.9619042085553984E-2</v>
      </c>
      <c r="M31" s="483">
        <f>'All Curves'!C23</f>
        <v>1.969220620681017E-2</v>
      </c>
      <c r="N31" s="483">
        <f t="shared" si="5"/>
        <v>-7.316412125618621E-5</v>
      </c>
      <c r="O31" s="492">
        <f t="shared" si="6"/>
        <v>1</v>
      </c>
      <c r="P31" s="492">
        <f t="shared" si="7"/>
        <v>0</v>
      </c>
      <c r="Q31" s="492">
        <f>IF(P31=1,N30,IF(P31=2,N29,IF(P31=3,N28,IF(P31=4,N27,IF(P31=5,N26,IF(P31=6,N25,IF(P31=7,N24,IF(P31=8,N23,IF(P31=9,#REF!,IF(P31=10,#REF!,IF(P31=11,#REF!,IF(P31=12,#REF!,IF(P31=13,#REF!,IF(P31=14,N17,IF(P31=15,N16,IF(P31=16,N15,IF(P31=17,N14,IF(P31=18,#REF!,IF(P31=19,#REF!,0)))))))))))))))))))</f>
        <v>0</v>
      </c>
      <c r="R31" s="505">
        <f t="shared" si="8"/>
        <v>-7.316412125618621E-5</v>
      </c>
      <c r="S31" s="483">
        <f t="shared" si="13"/>
        <v>1.9619042085553984E-2</v>
      </c>
      <c r="T31" s="483">
        <f t="shared" si="9"/>
        <v>-8.7592843303951895E-5</v>
      </c>
      <c r="U31" s="489">
        <f>((1+J31)/(V30-J31*(1+W30+X30+Y30+Z30+AA30+AB30+AC30)))-1</f>
        <v>2.3167217392403572E-2</v>
      </c>
      <c r="V31" s="488">
        <f t="shared" si="14"/>
        <v>1.1910813886379665</v>
      </c>
      <c r="W31" s="488">
        <f t="shared" si="10"/>
        <v>1.0231672173924036</v>
      </c>
      <c r="X31" s="488">
        <f t="shared" si="15"/>
        <v>1.0460645238273241</v>
      </c>
      <c r="Y31" s="488">
        <f t="shared" si="16"/>
        <v>1.0682893013752475</v>
      </c>
      <c r="Z31" s="488">
        <f t="shared" si="17"/>
        <v>1.0899462403386797</v>
      </c>
      <c r="AA31" s="488">
        <f t="shared" si="18"/>
        <v>1.1104453970799246</v>
      </c>
      <c r="AB31" s="488">
        <f t="shared" si="19"/>
        <v>1.1298183355815941</v>
      </c>
      <c r="AC31" s="488">
        <f t="shared" si="20"/>
        <v>1.1484150687933119</v>
      </c>
      <c r="AD31" s="488">
        <f t="shared" ref="AD31:AD52" si="21">V31/V23</f>
        <v>1.1671212127777322</v>
      </c>
      <c r="AE31" s="488"/>
      <c r="AF31" s="488"/>
      <c r="AG31" s="488"/>
      <c r="AH31" s="488"/>
      <c r="AI31" s="488"/>
      <c r="AJ31" s="488"/>
      <c r="AK31" s="488"/>
      <c r="AL31" s="488"/>
      <c r="AM31" s="488"/>
      <c r="AN31" s="488"/>
      <c r="AO31" s="488"/>
      <c r="AP31" s="488"/>
      <c r="AQ31" s="488"/>
      <c r="AR31" s="488"/>
      <c r="AS31" s="488"/>
      <c r="AT31" s="488"/>
      <c r="AU31" s="488"/>
      <c r="AV31" s="488"/>
      <c r="AW31" s="488"/>
      <c r="AX31" s="488"/>
      <c r="AY31" s="488"/>
    </row>
    <row r="32" spans="3:51">
      <c r="C32" s="481">
        <v>10</v>
      </c>
      <c r="D32" s="625">
        <f>'Swap and Yield Curves'!D16</f>
        <v>1.9833000000000001</v>
      </c>
      <c r="E32" s="492">
        <f t="shared" si="0"/>
        <v>1</v>
      </c>
      <c r="F32" s="492">
        <f t="shared" si="1"/>
        <v>0</v>
      </c>
      <c r="G32" s="492">
        <f>IF(F32=1,D31,IF(F32=2,D30,IF(F32=3,D29,IF(F32=4,D28,IF(F32=5,D27,IF(F32=6,D26,IF(F32=7,D25,IF(F32=8,D24,IF(F32=9,D23,IF(F32=10,D22,IF(F32=11,D21,IF(F32=21,D20,IF(F32=13,D19,IF(F32=14,D18,IF(F32=15,D17,IF(F32=16,D16,IF(F32=17,D15,IF(F32=18,D14,IF(F32=71,D12,0)))))))))))))))))))</f>
        <v>0</v>
      </c>
      <c r="H32" s="624">
        <f t="shared" si="2"/>
        <v>1.9833000000000001</v>
      </c>
      <c r="I32" s="459">
        <f t="shared" si="11"/>
        <v>10</v>
      </c>
      <c r="J32" s="482">
        <f t="shared" si="3"/>
        <v>1.9931336972250246E-2</v>
      </c>
      <c r="K32" s="491">
        <f t="shared" si="12"/>
        <v>2.0050036415172778E-2</v>
      </c>
      <c r="L32" s="494">
        <f t="shared" si="4"/>
        <v>2.0050036415172778E-2</v>
      </c>
      <c r="M32" s="483">
        <f>'All Curves'!C24</f>
        <v>2.0070905667001537E-2</v>
      </c>
      <c r="N32" s="483">
        <f t="shared" si="5"/>
        <v>-2.0869251828758983E-5</v>
      </c>
      <c r="O32" s="492">
        <f t="shared" si="6"/>
        <v>1</v>
      </c>
      <c r="P32" s="492">
        <f t="shared" si="7"/>
        <v>0</v>
      </c>
      <c r="Q32" s="492">
        <f>IF(P32=1,N31,IF(P32=2,N30,IF(P32=3,N29,IF(P32=4,N28,IF(P32=5,N27,IF(P32=6,N26,IF(P32=7,N25,IF(P32=8,N24,IF(P32=9,N23,IF(P32=10,#REF!,IF(P32=11,#REF!,IF(P32=12,#REF!,IF(P32=13,#REF!,IF(P32=14,#REF!,IF(P32=15,N17,IF(P32=16,N16,IF(P32=17,N15,IF(P32=18,N14,IF(P32=19,#REF!,0)))))))))))))))))))</f>
        <v>0</v>
      </c>
      <c r="R32" s="505">
        <f t="shared" si="8"/>
        <v>-2.0869251828758983E-5</v>
      </c>
      <c r="S32" s="483">
        <f t="shared" si="13"/>
        <v>2.0050036415172778E-2</v>
      </c>
      <c r="T32" s="483">
        <f t="shared" si="9"/>
        <v>-1.1869944292253187E-4</v>
      </c>
      <c r="U32" s="489">
        <f>((1+J32)/(V31-J32*(1+W31+X31+Y31+Z31+AA31+AB31+AC31+AD31)))-1</f>
        <v>2.3937192814124542E-2</v>
      </c>
      <c r="V32" s="488">
        <f t="shared" si="14"/>
        <v>1.2195925334951088</v>
      </c>
      <c r="W32" s="488">
        <f t="shared" si="10"/>
        <v>1.0239371928141245</v>
      </c>
      <c r="X32" s="488">
        <f t="shared" si="15"/>
        <v>1.0476589683562167</v>
      </c>
      <c r="Y32" s="488">
        <f t="shared" si="16"/>
        <v>1.071104372030194</v>
      </c>
      <c r="Z32" s="488">
        <f t="shared" si="17"/>
        <v>1.0938611483635332</v>
      </c>
      <c r="AA32" s="488">
        <f t="shared" si="18"/>
        <v>1.1160364936506968</v>
      </c>
      <c r="AB32" s="488">
        <f t="shared" si="19"/>
        <v>1.1370263426593841</v>
      </c>
      <c r="AC32" s="488">
        <f t="shared" si="20"/>
        <v>1.156863014925344</v>
      </c>
      <c r="AD32" s="488">
        <f t="shared" si="21"/>
        <v>1.1759049017256633</v>
      </c>
      <c r="AE32" s="488">
        <f t="shared" ref="AE32:AE52" si="22">V32/V23</f>
        <v>1.1950588182854476</v>
      </c>
      <c r="AF32" s="488"/>
      <c r="AG32" s="488"/>
      <c r="AH32" s="488"/>
      <c r="AI32" s="488"/>
      <c r="AJ32" s="488"/>
      <c r="AK32" s="488"/>
      <c r="AL32" s="488"/>
      <c r="AM32" s="488"/>
      <c r="AN32" s="488"/>
      <c r="AO32" s="488"/>
      <c r="AP32" s="488"/>
      <c r="AQ32" s="488"/>
      <c r="AR32" s="488"/>
      <c r="AS32" s="488"/>
      <c r="AT32" s="488"/>
      <c r="AU32" s="488"/>
      <c r="AV32" s="488"/>
      <c r="AW32" s="488"/>
      <c r="AX32" s="488"/>
      <c r="AY32" s="488"/>
    </row>
    <row r="33" spans="3:51">
      <c r="C33" s="481">
        <v>11</v>
      </c>
      <c r="D33" s="625">
        <f>'Swap and Yield Curves'!D17</f>
        <v>2.0223</v>
      </c>
      <c r="E33" s="492">
        <f t="shared" si="0"/>
        <v>1</v>
      </c>
      <c r="F33" s="492">
        <f t="shared" si="1"/>
        <v>0</v>
      </c>
      <c r="G33" s="492">
        <f t="shared" ref="G33:G47" si="23">IF(F33=1,D32,IF(F33=2,D31,IF(F33=3,D30,IF(F33=4,D29,IF(F33=5,D28,IF(F33=6,D27,IF(F33=7,D26,IF(F33=8,D25,IF(F33=9,D24,IF(F33=10,D23,IF(F33=11,D22,IF(F33=21,D21,IF(F33=13,D20,IF(F33=14,D19,IF(F33=15,D18,IF(F33=16,D17,IF(F33=17,D16,IF(F33=18,D15,IF(F33=71,D14,0)))))))))))))))))))</f>
        <v>0</v>
      </c>
      <c r="H33" s="624">
        <f t="shared" si="2"/>
        <v>2.0223</v>
      </c>
      <c r="I33" s="459">
        <f t="shared" si="11"/>
        <v>11</v>
      </c>
      <c r="J33" s="482">
        <f t="shared" si="3"/>
        <v>2.0325242432250201E-2</v>
      </c>
      <c r="K33" s="491">
        <f t="shared" si="12"/>
        <v>2.0478458241702135E-2</v>
      </c>
      <c r="L33" s="494">
        <f t="shared" si="4"/>
        <v>2.0478458241702135E-2</v>
      </c>
      <c r="M33" s="483">
        <f>'All Curves'!C25</f>
        <v>2.0460546890787246E-2</v>
      </c>
      <c r="N33" s="483">
        <f t="shared" si="5"/>
        <v>1.7911350914889823E-5</v>
      </c>
      <c r="O33" s="492">
        <f t="shared" si="6"/>
        <v>1</v>
      </c>
      <c r="P33" s="492">
        <f t="shared" si="7"/>
        <v>0</v>
      </c>
      <c r="Q33" s="492">
        <f>IF(P33=1,N32,IF(P33=2,N31,IF(P33=3,N30,IF(P33=4,N29,IF(P33=5,N28,IF(P33=6,N27,IF(P33=7,N26,IF(P33=8,N25,IF(P33=9,N24,IF(P33=10,N23,IF(P33=11,#REF!,IF(P33=12,#REF!,IF(P33=13,#REF!,IF(P33=14,#REF!,IF(P33=15,#REF!,IF(P33=16,N17,IF(P33=17,N16,IF(P33=18,N15,IF(P33=19,N14,0)))))))))))))))))))</f>
        <v>0</v>
      </c>
      <c r="R33" s="505">
        <f t="shared" si="8"/>
        <v>1.7911350914889823E-5</v>
      </c>
      <c r="S33" s="483">
        <f t="shared" si="13"/>
        <v>2.0478458241702135E-2</v>
      </c>
      <c r="T33" s="483">
        <f t="shared" si="9"/>
        <v>-1.5321580945193425E-4</v>
      </c>
      <c r="U33" s="489">
        <f>((1+J33)/(V32-J33*(1+W32+X32+Y32+Z32+AA32+AB32+AC32+AD32+AE32)))-1</f>
        <v>2.4772585550101756E-2</v>
      </c>
      <c r="V33" s="488">
        <f t="shared" si="14"/>
        <v>1.2498049938673816</v>
      </c>
      <c r="W33" s="488">
        <f t="shared" si="10"/>
        <v>1.0247725855501018</v>
      </c>
      <c r="X33" s="488">
        <f t="shared" si="15"/>
        <v>1.0493027645210435</v>
      </c>
      <c r="Y33" s="488">
        <f t="shared" si="16"/>
        <v>1.0736121897771524</v>
      </c>
      <c r="Z33" s="488">
        <f t="shared" si="17"/>
        <v>1.0976383967194001</v>
      </c>
      <c r="AA33" s="488">
        <f t="shared" si="18"/>
        <v>1.1209589172413013</v>
      </c>
      <c r="AB33" s="488">
        <f t="shared" si="19"/>
        <v>1.1436836031666942</v>
      </c>
      <c r="AC33" s="488">
        <f t="shared" si="20"/>
        <v>1.1651934250056328</v>
      </c>
      <c r="AD33" s="488">
        <f t="shared" si="21"/>
        <v>1.1855215029323307</v>
      </c>
      <c r="AE33" s="488">
        <f t="shared" si="22"/>
        <v>1.2050351065024463</v>
      </c>
      <c r="AF33" s="488">
        <f t="shared" ref="AF33:AF52" si="24">V33/V23</f>
        <v>1.2246635150988272</v>
      </c>
      <c r="AG33" s="488"/>
      <c r="AH33" s="488"/>
      <c r="AI33" s="488"/>
      <c r="AJ33" s="488"/>
      <c r="AK33" s="488"/>
      <c r="AL33" s="488"/>
      <c r="AM33" s="488"/>
      <c r="AN33" s="488"/>
      <c r="AO33" s="488"/>
      <c r="AP33" s="488"/>
      <c r="AQ33" s="488"/>
      <c r="AR33" s="488"/>
      <c r="AS33" s="488"/>
      <c r="AT33" s="488"/>
      <c r="AU33" s="488"/>
      <c r="AV33" s="488"/>
      <c r="AW33" s="488"/>
      <c r="AX33" s="488"/>
      <c r="AY33" s="488"/>
    </row>
    <row r="34" spans="3:51">
      <c r="C34" s="481">
        <v>12</v>
      </c>
      <c r="D34" s="625">
        <f>'Swap and Yield Curves'!D18</f>
        <v>2.0550000000000002</v>
      </c>
      <c r="E34" s="492">
        <f t="shared" si="0"/>
        <v>1</v>
      </c>
      <c r="F34" s="492">
        <f t="shared" si="1"/>
        <v>0</v>
      </c>
      <c r="G34" s="492">
        <f t="shared" si="23"/>
        <v>0</v>
      </c>
      <c r="H34" s="624">
        <f t="shared" si="2"/>
        <v>2.0550000000000002</v>
      </c>
      <c r="I34" s="459">
        <f t="shared" si="11"/>
        <v>12</v>
      </c>
      <c r="J34" s="482">
        <f t="shared" si="3"/>
        <v>2.0655575624999978E-2</v>
      </c>
      <c r="K34" s="491">
        <f t="shared" si="12"/>
        <v>2.0839238431297646E-2</v>
      </c>
      <c r="L34" s="494">
        <f t="shared" si="4"/>
        <v>2.0839238431297646E-2</v>
      </c>
      <c r="M34" s="483">
        <f>'All Curves'!C26</f>
        <v>2.0858254188902081E-2</v>
      </c>
      <c r="N34" s="483">
        <f t="shared" si="5"/>
        <v>-1.9015757604434746E-5</v>
      </c>
      <c r="O34" s="492">
        <f t="shared" si="6"/>
        <v>1</v>
      </c>
      <c r="P34" s="492">
        <f t="shared" si="7"/>
        <v>0</v>
      </c>
      <c r="Q34" s="492">
        <f>IF(P34=1,N33,IF(P34=2,N32,IF(P34=3,N31,IF(P34=4,N30,IF(P34=5,N29,IF(P34=6,N28,IF(P34=7,N27,IF(P34=8,N26,IF(P34=9,N25,IF(P34=10,N24,IF(P34=11,N23,IF(P34=12,#REF!,IF(P34=13,#REF!,IF(P34=14,#REF!,IF(P34=15,#REF!,IF(P34=16,#REF!,IF(P34=17,N17,IF(P34=18,N16,IF(P34=19,N15,0)))))))))))))))))))</f>
        <v>0</v>
      </c>
      <c r="R34" s="505">
        <f t="shared" si="8"/>
        <v>-1.9015757604434746E-5</v>
      </c>
      <c r="S34" s="483">
        <f t="shared" si="13"/>
        <v>2.0839238431297646E-2</v>
      </c>
      <c r="T34" s="483">
        <f t="shared" si="9"/>
        <v>-1.8366280629766862E-4</v>
      </c>
      <c r="U34" s="489">
        <f>((1+J34)/(V33-J34*(1+W33+X33+Y33+Z33+AA33+AB33+AC33+AD33+AE33+AF33)))-1</f>
        <v>2.4816248766017512E-2</v>
      </c>
      <c r="V34" s="488">
        <f t="shared" si="14"/>
        <v>1.2808204655042055</v>
      </c>
      <c r="W34" s="488">
        <f t="shared" si="10"/>
        <v>1.0248162487660175</v>
      </c>
      <c r="X34" s="488">
        <f t="shared" si="15"/>
        <v>1.0502035969617078</v>
      </c>
      <c r="Y34" s="488">
        <f t="shared" si="16"/>
        <v>1.0753425229562674</v>
      </c>
      <c r="Z34" s="488">
        <f t="shared" si="17"/>
        <v>1.1002552169568911</v>
      </c>
      <c r="AA34" s="488">
        <f t="shared" si="18"/>
        <v>1.1248776642275213</v>
      </c>
      <c r="AB34" s="488">
        <f t="shared" si="19"/>
        <v>1.1487769125880469</v>
      </c>
      <c r="AC34" s="488">
        <f t="shared" si="20"/>
        <v>1.172065539972494</v>
      </c>
      <c r="AD34" s="488">
        <f t="shared" si="21"/>
        <v>1.1941091549011005</v>
      </c>
      <c r="AE34" s="488">
        <f t="shared" si="22"/>
        <v>1.2149416994665623</v>
      </c>
      <c r="AF34" s="488">
        <f t="shared" si="24"/>
        <v>1.2349395574771953</v>
      </c>
      <c r="AG34" s="488">
        <f t="shared" ref="AG34:AG52" si="25">V34/V23</f>
        <v>1.2550550695441851</v>
      </c>
      <c r="AH34" s="488"/>
      <c r="AI34" s="488"/>
      <c r="AJ34" s="488"/>
      <c r="AK34" s="488"/>
      <c r="AL34" s="488"/>
      <c r="AM34" s="488"/>
      <c r="AN34" s="488"/>
      <c r="AO34" s="488"/>
      <c r="AP34" s="488"/>
      <c r="AQ34" s="488"/>
      <c r="AR34" s="488"/>
      <c r="AS34" s="488"/>
      <c r="AT34" s="488"/>
      <c r="AU34" s="488"/>
      <c r="AV34" s="488"/>
      <c r="AW34" s="488"/>
      <c r="AX34" s="488"/>
      <c r="AY34" s="488"/>
    </row>
    <row r="35" spans="3:51">
      <c r="C35" s="481">
        <v>13</v>
      </c>
      <c r="D35" s="625">
        <f>'Swap and Yield Curves'!D19</f>
        <v>2.0830000000000002</v>
      </c>
      <c r="E35" s="492">
        <f t="shared" si="0"/>
        <v>1</v>
      </c>
      <c r="F35" s="492">
        <f t="shared" si="1"/>
        <v>0</v>
      </c>
      <c r="G35" s="492">
        <f t="shared" si="23"/>
        <v>0</v>
      </c>
      <c r="H35" s="624">
        <f t="shared" si="2"/>
        <v>2.0830000000000002</v>
      </c>
      <c r="I35" s="459">
        <f t="shared" si="11"/>
        <v>13</v>
      </c>
      <c r="J35" s="482">
        <f t="shared" si="3"/>
        <v>2.0938472225000115E-2</v>
      </c>
      <c r="K35" s="491">
        <f t="shared" si="12"/>
        <v>2.1149519109147974E-2</v>
      </c>
      <c r="L35" s="494">
        <f t="shared" si="4"/>
        <v>2.1149519109147974E-2</v>
      </c>
      <c r="M35" s="483">
        <f>'All Curves'!C27</f>
        <v>2.1261496092005783E-2</v>
      </c>
      <c r="N35" s="483">
        <f t="shared" si="5"/>
        <v>-1.1197698285780877E-4</v>
      </c>
      <c r="O35" s="492">
        <f t="shared" si="6"/>
        <v>1</v>
      </c>
      <c r="P35" s="492">
        <f t="shared" si="7"/>
        <v>0</v>
      </c>
      <c r="Q35" s="492">
        <f>IF(P35=1,N34,IF(P35=2,N33,IF(P35=3,N32,IF(P35=4,N31,IF(P35=5,N30,IF(P35=6,N29,IF(P35=7,N28,IF(P35=8,N27,IF(P35=9,N26,IF(P35=10,N25,IF(P35=11,N24,IF(P35=12,N23,IF(P35=13,#REF!,IF(P35=14,#REF!,IF(P35=15,#REF!,IF(P35=16,#REF!,IF(P35=17,#REF!,IF(P35=18,N17,IF(P35=19,N16,0)))))))))))))))))))</f>
        <v>0</v>
      </c>
      <c r="R35" s="505">
        <f t="shared" si="8"/>
        <v>-1.1197698285780877E-4</v>
      </c>
      <c r="S35" s="483">
        <f t="shared" si="13"/>
        <v>2.1149519109147974E-2</v>
      </c>
      <c r="T35" s="483">
        <f t="shared" si="9"/>
        <v>-2.1104688414785855E-4</v>
      </c>
      <c r="U35" s="489">
        <f>((1+J35)/(V34-J35*(1+W34+X34+Y34+Z34+AA34+AB34+AC34+AD34+AE34+AF34+AG34)))-1</f>
        <v>2.4880251532255038E-2</v>
      </c>
      <c r="V35" s="488">
        <f t="shared" si="14"/>
        <v>1.3126876008536101</v>
      </c>
      <c r="W35" s="488">
        <f t="shared" si="10"/>
        <v>1.024880251532255</v>
      </c>
      <c r="X35" s="488">
        <f t="shared" si="15"/>
        <v>1.050313934809658</v>
      </c>
      <c r="Y35" s="488">
        <f t="shared" si="16"/>
        <v>1.0763329266141943</v>
      </c>
      <c r="Z35" s="488">
        <f t="shared" si="17"/>
        <v>1.1020973154107492</v>
      </c>
      <c r="AA35" s="488">
        <f t="shared" si="18"/>
        <v>1.1276298435044543</v>
      </c>
      <c r="AB35" s="488">
        <f t="shared" si="19"/>
        <v>1.1528649034565175</v>
      </c>
      <c r="AC35" s="488">
        <f t="shared" si="20"/>
        <v>1.1773587711276849</v>
      </c>
      <c r="AD35" s="488">
        <f t="shared" si="21"/>
        <v>1.2012268254192981</v>
      </c>
      <c r="AE35" s="488">
        <f t="shared" si="22"/>
        <v>1.2238188910320085</v>
      </c>
      <c r="AF35" s="488">
        <f t="shared" si="24"/>
        <v>1.2451697545463158</v>
      </c>
      <c r="AG35" s="488">
        <f t="shared" si="25"/>
        <v>1.2656651642943597</v>
      </c>
      <c r="AH35" s="488">
        <f t="shared" ref="AH35:AH52" si="26">V35/V23</f>
        <v>1.2862811553612763</v>
      </c>
      <c r="AI35" s="488"/>
      <c r="AJ35" s="488"/>
      <c r="AK35" s="488"/>
      <c r="AL35" s="488"/>
      <c r="AM35" s="488"/>
      <c r="AN35" s="488"/>
      <c r="AO35" s="488"/>
      <c r="AP35" s="488"/>
      <c r="AQ35" s="488"/>
      <c r="AR35" s="488"/>
      <c r="AS35" s="488"/>
      <c r="AT35" s="488"/>
      <c r="AU35" s="488"/>
      <c r="AV35" s="488"/>
      <c r="AW35" s="488"/>
      <c r="AX35" s="488"/>
      <c r="AY35" s="488"/>
    </row>
    <row r="36" spans="3:51">
      <c r="C36" s="481">
        <v>14</v>
      </c>
      <c r="D36" s="625">
        <f>'Swap and Yield Curves'!D20</f>
        <v>2.1080000000000001</v>
      </c>
      <c r="E36" s="492">
        <f t="shared" si="0"/>
        <v>1</v>
      </c>
      <c r="F36" s="492">
        <f t="shared" si="1"/>
        <v>0</v>
      </c>
      <c r="G36" s="492">
        <f t="shared" si="23"/>
        <v>0</v>
      </c>
      <c r="H36" s="624">
        <f t="shared" si="2"/>
        <v>2.1080000000000001</v>
      </c>
      <c r="I36" s="459">
        <f t="shared" si="11"/>
        <v>14</v>
      </c>
      <c r="J36" s="482">
        <f t="shared" si="3"/>
        <v>2.1191091599999989E-2</v>
      </c>
      <c r="K36" s="491">
        <f t="shared" si="12"/>
        <v>2.1428212155202742E-2</v>
      </c>
      <c r="L36" s="494">
        <f t="shared" si="4"/>
        <v>2.1428212155202742E-2</v>
      </c>
      <c r="M36" s="483">
        <f>'All Curves'!C28</f>
        <v>2.1668051683958578E-2</v>
      </c>
      <c r="N36" s="483">
        <f t="shared" si="5"/>
        <v>-2.3983952875583636E-4</v>
      </c>
      <c r="O36" s="492">
        <f t="shared" si="6"/>
        <v>1</v>
      </c>
      <c r="P36" s="492">
        <f t="shared" si="7"/>
        <v>0</v>
      </c>
      <c r="Q36" s="492">
        <f>IF(P36=1,N35,IF(P36=2,N34,IF(P36=3,N33,IF(P36=4,N32,IF(P36=5,N31,IF(P36=6,N30,IF(P36=7,N29,IF(P36=8,N28,IF(P36=9,N27,IF(P36=10,N26,IF(P36=11,N25,IF(P36=12,N24,IF(P36=13,N23,IF(P36=14,#REF!,IF(P36=15,#REF!,IF(P36=16,#REF!,IF(P36=17,#REF!,IF(P36=18,#REF!,IF(P36=19,N17,0)))))))))))))))))))</f>
        <v>0</v>
      </c>
      <c r="R36" s="505">
        <f t="shared" si="8"/>
        <v>-2.3983952875583636E-4</v>
      </c>
      <c r="S36" s="483">
        <f t="shared" si="13"/>
        <v>2.1428212155202742E-2</v>
      </c>
      <c r="T36" s="483">
        <f t="shared" si="9"/>
        <v>-2.3712055520275221E-4</v>
      </c>
      <c r="U36" s="489">
        <f>((1+J36)/(V35-J36*(1+W35+X35+Y35+Z35+AA35+AB35+AC35+AD35+AE35+AF35+AG35+AH35)))-1</f>
        <v>2.5058150881036578E-2</v>
      </c>
      <c r="V36" s="488">
        <f t="shared" si="14"/>
        <v>1.3455811248154659</v>
      </c>
      <c r="W36" s="488">
        <f t="shared" si="10"/>
        <v>1.0250581508810366</v>
      </c>
      <c r="X36" s="488">
        <f t="shared" si="15"/>
        <v>1.050561855510145</v>
      </c>
      <c r="Y36" s="488">
        <f t="shared" si="16"/>
        <v>1.0766328598605737</v>
      </c>
      <c r="Z36" s="488">
        <f t="shared" si="17"/>
        <v>1.1033038394875205</v>
      </c>
      <c r="AA36" s="488">
        <f t="shared" si="18"/>
        <v>1.1297138362258972</v>
      </c>
      <c r="AB36" s="488">
        <f t="shared" si="19"/>
        <v>1.1558861622609486</v>
      </c>
      <c r="AC36" s="488">
        <f t="shared" si="20"/>
        <v>1.1817535661527827</v>
      </c>
      <c r="AD36" s="488">
        <f t="shared" si="21"/>
        <v>1.2068612048557144</v>
      </c>
      <c r="AE36" s="488">
        <f t="shared" si="22"/>
        <v>1.2313273484530034</v>
      </c>
      <c r="AF36" s="488">
        <f t="shared" si="24"/>
        <v>1.2544855294545514</v>
      </c>
      <c r="AG36" s="488">
        <f t="shared" si="25"/>
        <v>1.2763714061282407</v>
      </c>
      <c r="AH36" s="488">
        <f t="shared" si="26"/>
        <v>1.2973803929461198</v>
      </c>
      <c r="AI36" s="488">
        <f t="shared" ref="AI36:AI52" si="27">V36/V23</f>
        <v>1.3185129826277533</v>
      </c>
      <c r="AJ36" s="488"/>
      <c r="AK36" s="488"/>
      <c r="AL36" s="488"/>
      <c r="AM36" s="488"/>
      <c r="AN36" s="488"/>
      <c r="AO36" s="488"/>
      <c r="AP36" s="488"/>
      <c r="AQ36" s="488"/>
      <c r="AR36" s="488"/>
      <c r="AS36" s="488"/>
      <c r="AT36" s="488"/>
      <c r="AU36" s="488"/>
      <c r="AV36" s="488"/>
      <c r="AW36" s="488"/>
      <c r="AX36" s="488"/>
      <c r="AY36" s="488"/>
    </row>
    <row r="37" spans="3:51">
      <c r="C37" s="481">
        <v>15</v>
      </c>
      <c r="D37" s="625">
        <f>'Swap and Yield Curves'!D21</f>
        <v>2.1284999999999998</v>
      </c>
      <c r="E37" s="492">
        <f t="shared" si="0"/>
        <v>1</v>
      </c>
      <c r="F37" s="492">
        <f t="shared" si="1"/>
        <v>0</v>
      </c>
      <c r="G37" s="492">
        <f t="shared" si="23"/>
        <v>0</v>
      </c>
      <c r="H37" s="624">
        <f t="shared" si="2"/>
        <v>2.1284999999999998</v>
      </c>
      <c r="I37" s="459">
        <f t="shared" si="11"/>
        <v>15</v>
      </c>
      <c r="J37" s="482">
        <f t="shared" si="3"/>
        <v>2.1398262806249679E-2</v>
      </c>
      <c r="K37" s="491">
        <f t="shared" si="12"/>
        <v>2.1656691385788074E-2</v>
      </c>
      <c r="L37" s="494">
        <f t="shared" si="4"/>
        <v>2.1656691385788074E-2</v>
      </c>
      <c r="M37" s="483">
        <f>'All Curves'!C29</f>
        <v>2.2075979808366453E-2</v>
      </c>
      <c r="N37" s="483">
        <f t="shared" si="5"/>
        <v>-4.1928842257837884E-4</v>
      </c>
      <c r="O37" s="492">
        <f t="shared" si="6"/>
        <v>1</v>
      </c>
      <c r="P37" s="492">
        <f t="shared" si="7"/>
        <v>0</v>
      </c>
      <c r="Q37" s="492">
        <f>IF(P37=1,N36,IF(P37=2,N35,IF(P37=3,N34,IF(P37=4,N33,IF(P37=5,N32,IF(P37=6,N31,IF(P37=7,N30,IF(P37=8,N29,IF(P37=9,N28,IF(P37=10,N27,IF(P37=11,N26,IF(P37=12,N25,IF(P37=13,N24,IF(P37=14,N23,IF(P37=15,#REF!,IF(P37=16,#REF!,IF(P37=17,#REF!,IF(P37=18,#REF!,IF(P37=19,#REF!,0)))))))))))))))))))</f>
        <v>0</v>
      </c>
      <c r="R37" s="505">
        <f t="shared" si="8"/>
        <v>-4.1928842257837884E-4</v>
      </c>
      <c r="S37" s="483">
        <f t="shared" si="13"/>
        <v>2.1656691385788074E-2</v>
      </c>
      <c r="T37" s="483">
        <f t="shared" si="9"/>
        <v>-2.5842857953839449E-4</v>
      </c>
      <c r="U37" s="489">
        <f>((1+J37)/(V36-J37*(1+W36+X36+Y36+Z36+AA36+AB36+AC36+AD36+AE36+AF36+AG36+AH36+AI36)))-1</f>
        <v>2.4860772118534991E-2</v>
      </c>
      <c r="V37" s="488">
        <f t="shared" si="14"/>
        <v>1.3790333105265051</v>
      </c>
      <c r="W37" s="488">
        <f t="shared" si="10"/>
        <v>1.024860772118535</v>
      </c>
      <c r="X37" s="488">
        <f t="shared" si="15"/>
        <v>1.0505418879783368</v>
      </c>
      <c r="Y37" s="488">
        <f t="shared" si="16"/>
        <v>1.076679634396408</v>
      </c>
      <c r="Z37" s="488">
        <f t="shared" si="17"/>
        <v>1.103398784044894</v>
      </c>
      <c r="AA37" s="488">
        <f t="shared" si="18"/>
        <v>1.1307328248185244</v>
      </c>
      <c r="AB37" s="488">
        <f t="shared" si="19"/>
        <v>1.1577993944674652</v>
      </c>
      <c r="AC37" s="488">
        <f t="shared" si="20"/>
        <v>1.1846223847358861</v>
      </c>
      <c r="AD37" s="488">
        <f t="shared" si="21"/>
        <v>1.2111328722611732</v>
      </c>
      <c r="AE37" s="488">
        <f t="shared" si="22"/>
        <v>1.2368647062483329</v>
      </c>
      <c r="AF37" s="488">
        <f t="shared" si="24"/>
        <v>1.2619390970662134</v>
      </c>
      <c r="AG37" s="488">
        <f t="shared" si="25"/>
        <v>1.2856730083283208</v>
      </c>
      <c r="AH37" s="488">
        <f t="shared" si="26"/>
        <v>1.3081029847946088</v>
      </c>
      <c r="AI37" s="488">
        <f t="shared" si="27"/>
        <v>1.3296342712462086</v>
      </c>
      <c r="AJ37" s="488">
        <f t="shared" ref="AJ37:AJ52" si="28">V37/V23</f>
        <v>1.3512922334241917</v>
      </c>
      <c r="AK37" s="488"/>
      <c r="AL37" s="488"/>
      <c r="AM37" s="488"/>
      <c r="AN37" s="488"/>
      <c r="AO37" s="488"/>
      <c r="AP37" s="488"/>
      <c r="AQ37" s="488"/>
      <c r="AR37" s="488"/>
      <c r="AS37" s="488"/>
      <c r="AT37" s="488"/>
      <c r="AU37" s="488"/>
      <c r="AV37" s="488"/>
      <c r="AW37" s="488"/>
      <c r="AX37" s="488"/>
      <c r="AY37" s="488"/>
    </row>
    <row r="38" spans="3:51">
      <c r="C38" s="481">
        <v>16</v>
      </c>
      <c r="D38" s="625">
        <f>'Swap and Yield Curves'!D22</f>
        <v>2.1475</v>
      </c>
      <c r="E38" s="492">
        <f t="shared" si="0"/>
        <v>1</v>
      </c>
      <c r="F38" s="492">
        <f t="shared" si="1"/>
        <v>0</v>
      </c>
      <c r="G38" s="492">
        <f t="shared" si="23"/>
        <v>0</v>
      </c>
      <c r="H38" s="624">
        <f t="shared" si="2"/>
        <v>2.1475</v>
      </c>
      <c r="I38" s="459">
        <f t="shared" si="11"/>
        <v>16</v>
      </c>
      <c r="J38" s="482">
        <f t="shared" si="3"/>
        <v>2.1590293906250224E-2</v>
      </c>
      <c r="K38" s="491">
        <f t="shared" si="12"/>
        <v>2.1870131745066912E-2</v>
      </c>
      <c r="L38" s="494">
        <f t="shared" si="4"/>
        <v>2.1870131745066912E-2</v>
      </c>
      <c r="M38" s="483">
        <f>'All Curves'!C30</f>
        <v>2.2483590942178E-2</v>
      </c>
      <c r="N38" s="483">
        <f t="shared" si="5"/>
        <v>-6.1345919711108809E-4</v>
      </c>
      <c r="O38" s="492">
        <f t="shared" si="6"/>
        <v>1</v>
      </c>
      <c r="P38" s="492">
        <f t="shared" si="7"/>
        <v>0</v>
      </c>
      <c r="Q38" s="492">
        <f>IF(P38=1,N37,IF(P38=2,N36,IF(P38=3,N35,IF(P38=4,N34,IF(P38=5,N33,IF(P38=6,N32,IF(P38=7,N31,IF(P38=8,N30,IF(P38=9,N29,IF(P38=10,N28,IF(P38=11,N27,IF(P38=12,N26,IF(P38=13,N25,IF(P38=14,N24,IF(P38=15,N23,IF(P38=16,#REF!,IF(P38=17,#REF!,IF(P38=18,#REF!,IF(P38=19,#REF!,0)))))))))))))))))))</f>
        <v>0</v>
      </c>
      <c r="R38" s="505">
        <f t="shared" si="8"/>
        <v>-6.1345919711108809E-4</v>
      </c>
      <c r="S38" s="483">
        <f t="shared" si="13"/>
        <v>2.1870131745066912E-2</v>
      </c>
      <c r="T38" s="483">
        <f t="shared" si="9"/>
        <v>-2.7983783881668778E-4</v>
      </c>
      <c r="U38" s="489">
        <f>((1+J38)/(V37-J38*(1+W37+X37+Y37+Z37+AA37+AB37+AC37+AD37+AE37+AF37+AG37+AH37+AI37+AJ37)))-1</f>
        <v>2.5077093285610808E-2</v>
      </c>
      <c r="V38" s="488">
        <f t="shared" si="14"/>
        <v>1.4136154574985429</v>
      </c>
      <c r="W38" s="488">
        <f t="shared" si="10"/>
        <v>1.0250770932856108</v>
      </c>
      <c r="X38" s="488">
        <f t="shared" si="15"/>
        <v>1.0505613013057145</v>
      </c>
      <c r="Y38" s="488">
        <f t="shared" si="16"/>
        <v>1.0768864249036112</v>
      </c>
      <c r="Z38" s="488">
        <f t="shared" si="17"/>
        <v>1.1036796300268841</v>
      </c>
      <c r="AA38" s="488">
        <f t="shared" si="18"/>
        <v>1.1310688182836173</v>
      </c>
      <c r="AB38" s="488">
        <f t="shared" si="19"/>
        <v>1.1590883173476005</v>
      </c>
      <c r="AC38" s="488">
        <f t="shared" si="20"/>
        <v>1.1868336378885493</v>
      </c>
      <c r="AD38" s="488">
        <f t="shared" si="21"/>
        <v>1.2143292707861304</v>
      </c>
      <c r="AE38" s="488">
        <f t="shared" si="22"/>
        <v>1.2415045642801361</v>
      </c>
      <c r="AF38" s="488">
        <f t="shared" si="24"/>
        <v>1.2678816778686017</v>
      </c>
      <c r="AG38" s="488">
        <f t="shared" si="25"/>
        <v>1.2935848615241023</v>
      </c>
      <c r="AH38" s="488">
        <f t="shared" si="26"/>
        <v>1.3179139502929618</v>
      </c>
      <c r="AI38" s="488">
        <f t="shared" si="27"/>
        <v>1.3409064053714892</v>
      </c>
      <c r="AJ38" s="488">
        <f t="shared" si="28"/>
        <v>1.362977633901995</v>
      </c>
      <c r="AK38" s="496">
        <f t="shared" ref="AK38:AK52" si="29">V38/V23</f>
        <v>1.3851787148178916</v>
      </c>
      <c r="AL38" s="488"/>
      <c r="AM38" s="488"/>
      <c r="AN38" s="488"/>
      <c r="AO38" s="488"/>
      <c r="AP38" s="488"/>
      <c r="AQ38" s="488"/>
      <c r="AR38" s="488"/>
      <c r="AS38" s="488"/>
      <c r="AT38" s="488"/>
      <c r="AU38" s="488"/>
      <c r="AV38" s="488"/>
      <c r="AW38" s="488"/>
      <c r="AX38" s="488"/>
      <c r="AY38" s="488"/>
    </row>
    <row r="39" spans="3:51">
      <c r="C39" s="481">
        <v>17</v>
      </c>
      <c r="D39" s="625">
        <f>'Swap and Yield Curves'!D23</f>
        <v>2.1638000000000002</v>
      </c>
      <c r="E39" s="492">
        <f t="shared" si="0"/>
        <v>1</v>
      </c>
      <c r="F39" s="492">
        <f t="shared" si="1"/>
        <v>0</v>
      </c>
      <c r="G39" s="492">
        <f t="shared" si="23"/>
        <v>0</v>
      </c>
      <c r="H39" s="624">
        <f t="shared" si="2"/>
        <v>2.1638000000000002</v>
      </c>
      <c r="I39" s="459">
        <f t="shared" si="11"/>
        <v>17</v>
      </c>
      <c r="J39" s="482">
        <f t="shared" si="3"/>
        <v>2.1755050760999817E-2</v>
      </c>
      <c r="K39" s="491">
        <f t="shared" si="12"/>
        <v>2.2053405091555511E-2</v>
      </c>
      <c r="L39" s="494">
        <f t="shared" si="4"/>
        <v>2.2053405091555511E-2</v>
      </c>
      <c r="M39" s="483">
        <f>'All Curves'!C31</f>
        <v>2.2889421539921628E-2</v>
      </c>
      <c r="N39" s="483">
        <f t="shared" si="5"/>
        <v>-8.3601644836611699E-4</v>
      </c>
      <c r="O39" s="492">
        <f t="shared" si="6"/>
        <v>1</v>
      </c>
      <c r="P39" s="492">
        <f t="shared" si="7"/>
        <v>0</v>
      </c>
      <c r="Q39" s="492">
        <f>IF(P39=1,N38,IF(P39=2,N37,IF(P39=3,N36,IF(P39=4,N35,IF(P39=5,N34,IF(P39=6,N33,IF(P39=7,N32,IF(P39=8,N31,IF(P39=9,N30,IF(P39=10,N29,IF(P39=11,N28,IF(P39=12,N27,IF(P39=13,N26,IF(P39=14,N25,IF(P39=15,N24,IF(P39=16,N23,IF(P39=17,#REF!,IF(P39=18,#REF!,IF(P39=19,#REF!,0)))))))))))))))))))</f>
        <v>0</v>
      </c>
      <c r="R39" s="505">
        <f t="shared" si="8"/>
        <v>-8.3601644836611699E-4</v>
      </c>
      <c r="S39" s="483">
        <f t="shared" si="13"/>
        <v>2.2053405091555511E-2</v>
      </c>
      <c r="T39" s="483">
        <f t="shared" si="9"/>
        <v>-2.983543305556946E-4</v>
      </c>
      <c r="U39" s="489">
        <f>((1+J39)/(V38-J39*(1+W38+X38+Y38+Z38+AA38+AB38+AC38+AD38+AE38+AF38+AG38+AH38+AI38+AJ38+AK38)))-1</f>
        <v>2.4990252999746776E-2</v>
      </c>
      <c r="V39" s="488">
        <f t="shared" si="14"/>
        <v>1.4489420654257843</v>
      </c>
      <c r="W39" s="488">
        <f t="shared" si="10"/>
        <v>1.0249902529997468</v>
      </c>
      <c r="X39" s="488">
        <f t="shared" si="15"/>
        <v>1.0506940291910631</v>
      </c>
      <c r="Y39" s="488">
        <f t="shared" si="16"/>
        <v>1.0768150940170875</v>
      </c>
      <c r="Z39" s="488">
        <f t="shared" si="17"/>
        <v>1.1037980891139454</v>
      </c>
      <c r="AA39" s="488">
        <f t="shared" si="18"/>
        <v>1.1312608632119228</v>
      </c>
      <c r="AB39" s="488">
        <f t="shared" si="19"/>
        <v>1.1593345142126494</v>
      </c>
      <c r="AC39" s="488">
        <f t="shared" si="20"/>
        <v>1.1880542276471679</v>
      </c>
      <c r="AD39" s="488">
        <f t="shared" si="21"/>
        <v>1.216492910767994</v>
      </c>
      <c r="AE39" s="488">
        <f t="shared" si="22"/>
        <v>1.244675666488074</v>
      </c>
      <c r="AF39" s="488">
        <f t="shared" si="24"/>
        <v>1.2725300774418371</v>
      </c>
      <c r="AG39" s="488">
        <f t="shared" si="25"/>
        <v>1.2995663617722817</v>
      </c>
      <c r="AH39" s="488">
        <f t="shared" si="26"/>
        <v>1.3259118744902321</v>
      </c>
      <c r="AI39" s="488">
        <f t="shared" si="27"/>
        <v>1.3508489533426786</v>
      </c>
      <c r="AJ39" s="488">
        <f t="shared" si="28"/>
        <v>1.3744159956907036</v>
      </c>
      <c r="AK39" s="488">
        <f t="shared" si="29"/>
        <v>1.397038789806202</v>
      </c>
      <c r="AL39" s="488">
        <f t="shared" ref="AL39:AL52" si="30">V39/V23</f>
        <v>1.4197946813510547</v>
      </c>
      <c r="AM39" s="488"/>
      <c r="AN39" s="488"/>
      <c r="AO39" s="488"/>
      <c r="AP39" s="488"/>
      <c r="AQ39" s="488"/>
      <c r="AR39" s="488"/>
      <c r="AS39" s="488"/>
      <c r="AT39" s="488"/>
      <c r="AU39" s="488"/>
      <c r="AV39" s="488"/>
      <c r="AW39" s="488"/>
      <c r="AX39" s="488"/>
      <c r="AY39" s="488"/>
    </row>
    <row r="40" spans="3:51">
      <c r="C40" s="481">
        <v>18</v>
      </c>
      <c r="D40" s="625">
        <f>'Swap and Yield Curves'!D24</f>
        <v>2.1764999999999999</v>
      </c>
      <c r="E40" s="492">
        <f t="shared" si="0"/>
        <v>1</v>
      </c>
      <c r="F40" s="492">
        <f t="shared" si="1"/>
        <v>0</v>
      </c>
      <c r="G40" s="492">
        <f t="shared" si="23"/>
        <v>0</v>
      </c>
      <c r="H40" s="624">
        <f t="shared" si="2"/>
        <v>2.1764999999999999</v>
      </c>
      <c r="I40" s="459">
        <f t="shared" si="11"/>
        <v>18</v>
      </c>
      <c r="J40" s="482">
        <f t="shared" si="3"/>
        <v>2.1883428806249716E-2</v>
      </c>
      <c r="K40" s="491">
        <f t="shared" si="12"/>
        <v>2.219459624051412E-2</v>
      </c>
      <c r="L40" s="494">
        <f t="shared" si="4"/>
        <v>2.219459624051412E-2</v>
      </c>
      <c r="M40" s="483">
        <f>'All Curves'!C32</f>
        <v>2.3292210662324564E-2</v>
      </c>
      <c r="N40" s="483">
        <f t="shared" si="5"/>
        <v>-1.0976144218104444E-3</v>
      </c>
      <c r="O40" s="492">
        <f t="shared" si="6"/>
        <v>1</v>
      </c>
      <c r="P40" s="492">
        <f t="shared" si="7"/>
        <v>0</v>
      </c>
      <c r="Q40" s="492">
        <f>IF(P40=1,N39,IF(P40=2,N38,IF(P40=3,N37,IF(P40=4,N36,IF(P40=5,N35,IF(P40=6,N34,IF(P40=7,N33,IF(P40=8,N32,IF(P40=9,N31,IF(P40=10,N30,IF(P40=11,N29,IF(P40=12,N28,IF(P40=13,N27,IF(P40=14,N26,IF(P40=15,N25,IF(P40=16,N24,IF(P40=17,N23,IF(P40=18,#REF!,IF(P40=19,#REF!,0)))))))))))))))))))</f>
        <v>0</v>
      </c>
      <c r="R40" s="505">
        <f t="shared" si="8"/>
        <v>-1.0976144218104444E-3</v>
      </c>
      <c r="S40" s="483">
        <f t="shared" si="13"/>
        <v>2.219459624051412E-2</v>
      </c>
      <c r="T40" s="483">
        <f t="shared" si="9"/>
        <v>-3.111674342644033E-4</v>
      </c>
      <c r="U40" s="489">
        <f>((1+J40)/(V39-J40*(1+W39+X39+Y39+Z39+AA39+AB39+AC39+AD39+AE39+AF39+AG39+AH39+AI39+AJ39+AK39+AL39)))-1</f>
        <v>2.4597832206043613E-2</v>
      </c>
      <c r="V40" s="488">
        <f t="shared" si="14"/>
        <v>1.4845828992274059</v>
      </c>
      <c r="W40" s="488">
        <f t="shared" si="10"/>
        <v>1.0245978322060436</v>
      </c>
      <c r="X40" s="488">
        <f t="shared" si="15"/>
        <v>1.0502027912558647</v>
      </c>
      <c r="Y40" s="488">
        <f t="shared" si="16"/>
        <v>1.0765388246209968</v>
      </c>
      <c r="Z40" s="488">
        <f t="shared" si="17"/>
        <v>1.1033024110166549</v>
      </c>
      <c r="AA40" s="488">
        <f t="shared" si="18"/>
        <v>1.1309491292993217</v>
      </c>
      <c r="AB40" s="488">
        <f t="shared" si="19"/>
        <v>1.1590874281064738</v>
      </c>
      <c r="AC40" s="488">
        <f t="shared" si="20"/>
        <v>1.1878516300639272</v>
      </c>
      <c r="AD40" s="488">
        <f t="shared" si="21"/>
        <v>1.2172777861905137</v>
      </c>
      <c r="AE40" s="488">
        <f t="shared" si="22"/>
        <v>1.2464159992669068</v>
      </c>
      <c r="AF40" s="488">
        <f t="shared" si="24"/>
        <v>1.275291989683293</v>
      </c>
      <c r="AG40" s="488">
        <f t="shared" si="25"/>
        <v>1.3038315587638951</v>
      </c>
      <c r="AH40" s="488">
        <f t="shared" si="26"/>
        <v>1.3315328770797747</v>
      </c>
      <c r="AI40" s="488">
        <f t="shared" si="27"/>
        <v>1.3585264322989434</v>
      </c>
      <c r="AJ40" s="488">
        <f t="shared" si="28"/>
        <v>1.3840769092327114</v>
      </c>
      <c r="AK40" s="488">
        <f t="shared" si="29"/>
        <v>1.4082236497340059</v>
      </c>
      <c r="AL40" s="488">
        <f t="shared" si="30"/>
        <v>1.4314029155431891</v>
      </c>
      <c r="AM40" s="488">
        <f t="shared" ref="AM40:AM52" si="31">V40/V23</f>
        <v>1.4547185526899611</v>
      </c>
      <c r="AN40" s="488"/>
      <c r="AO40" s="488"/>
      <c r="AP40" s="488"/>
      <c r="AQ40" s="488"/>
      <c r="AR40" s="488"/>
      <c r="AS40" s="488"/>
      <c r="AT40" s="488"/>
      <c r="AU40" s="488"/>
      <c r="AV40" s="488"/>
      <c r="AW40" s="488"/>
      <c r="AX40" s="488"/>
      <c r="AY40" s="488"/>
    </row>
    <row r="41" spans="3:51">
      <c r="C41" s="481">
        <v>19</v>
      </c>
      <c r="D41" s="625">
        <f>'Swap and Yield Curves'!D25</f>
        <v>2.1875</v>
      </c>
      <c r="E41" s="492">
        <f t="shared" si="0"/>
        <v>1</v>
      </c>
      <c r="F41" s="492">
        <f t="shared" si="1"/>
        <v>0</v>
      </c>
      <c r="G41" s="492">
        <f t="shared" si="23"/>
        <v>0</v>
      </c>
      <c r="H41" s="624">
        <f t="shared" si="2"/>
        <v>2.1875</v>
      </c>
      <c r="I41" s="459">
        <f t="shared" si="11"/>
        <v>19</v>
      </c>
      <c r="J41" s="482">
        <f t="shared" si="3"/>
        <v>2.1994628906250036E-2</v>
      </c>
      <c r="K41" s="491">
        <f t="shared" si="12"/>
        <v>2.2316717484129223E-2</v>
      </c>
      <c r="L41" s="494">
        <f t="shared" si="4"/>
        <v>2.2316717484129223E-2</v>
      </c>
      <c r="M41" s="483">
        <f>'All Curves'!C33</f>
        <v>2.3690878713369945E-2</v>
      </c>
      <c r="N41" s="483">
        <f t="shared" si="5"/>
        <v>-1.3741612292407224E-3</v>
      </c>
      <c r="O41" s="492">
        <f t="shared" si="6"/>
        <v>1</v>
      </c>
      <c r="P41" s="492">
        <f t="shared" si="7"/>
        <v>0</v>
      </c>
      <c r="Q41" s="492">
        <f>IF(P41=1,N40,IF(P41=2,N39,IF(P41=3,N38,IF(P41=4,N37,IF(P41=5,N36,IF(P41=6,N35,IF(P41=7,N34,IF(P41=8,N33,IF(P41=9,N32,IF(P41=10,N31,IF(P41=11,N30,IF(P41=12,N29,IF(P41=13,N28,IF(P41=14,N27,IF(P41=15,N26,IF(P41=16,N25,IF(P41=17,N24,IF(P41=18,N23,IF(P41=19,#REF!,0)))))))))))))))))))</f>
        <v>0</v>
      </c>
      <c r="R41" s="505">
        <f t="shared" si="8"/>
        <v>-1.3741612292407224E-3</v>
      </c>
      <c r="S41" s="483">
        <f t="shared" si="13"/>
        <v>2.2316717484129223E-2</v>
      </c>
      <c r="T41" s="483">
        <f t="shared" si="9"/>
        <v>-3.220885778791871E-4</v>
      </c>
      <c r="U41" s="489">
        <f>((1+J41)/(V40-J41*(1+W40+X40+Y40+Z40+AA40+AB40+AC40+AD40+AE40+AF40+AG40+AH40+AI40+AJ40+AK40+AL40+AM40)))-1</f>
        <v>2.4517396412040204E-2</v>
      </c>
      <c r="V41" s="488">
        <f t="shared" si="14"/>
        <v>1.5209810066743001</v>
      </c>
      <c r="W41" s="488">
        <f t="shared" si="10"/>
        <v>1.0245173964120402</v>
      </c>
      <c r="X41" s="488">
        <f t="shared" si="15"/>
        <v>1.0497183034211561</v>
      </c>
      <c r="Y41" s="488">
        <f t="shared" si="16"/>
        <v>1.0759510294021157</v>
      </c>
      <c r="Z41" s="488">
        <f t="shared" si="17"/>
        <v>1.1029327537371816</v>
      </c>
      <c r="AA41" s="488">
        <f t="shared" si="18"/>
        <v>1.13035251358991</v>
      </c>
      <c r="AB41" s="488">
        <f t="shared" si="19"/>
        <v>1.1586770574242049</v>
      </c>
      <c r="AC41" s="488">
        <f t="shared" si="20"/>
        <v>1.1875052340575722</v>
      </c>
      <c r="AD41" s="488">
        <f t="shared" si="21"/>
        <v>1.2169746593568926</v>
      </c>
      <c r="AE41" s="488">
        <f t="shared" si="22"/>
        <v>1.2471222682181171</v>
      </c>
      <c r="AF41" s="488">
        <f t="shared" si="24"/>
        <v>1.2769748744152427</v>
      </c>
      <c r="AG41" s="488">
        <f t="shared" si="25"/>
        <v>1.3065588289354577</v>
      </c>
      <c r="AH41" s="488">
        <f t="shared" si="26"/>
        <v>1.3357981139446378</v>
      </c>
      <c r="AI41" s="488">
        <f t="shared" si="27"/>
        <v>1.3641785964628039</v>
      </c>
      <c r="AJ41" s="488">
        <f t="shared" si="28"/>
        <v>1.3918339633758514</v>
      </c>
      <c r="AK41" s="488">
        <f t="shared" si="29"/>
        <v>1.418010871481121</v>
      </c>
      <c r="AL41" s="488">
        <f t="shared" si="30"/>
        <v>1.4427496271913445</v>
      </c>
      <c r="AM41" s="488">
        <f t="shared" si="31"/>
        <v>1.4664971882489115</v>
      </c>
      <c r="AN41" s="488">
        <f t="shared" ref="AN41:AN52" si="32">V41/V23</f>
        <v>1.4903844641142101</v>
      </c>
      <c r="AO41" s="488"/>
      <c r="AP41" s="488"/>
      <c r="AQ41" s="488"/>
      <c r="AR41" s="488"/>
      <c r="AS41" s="488"/>
      <c r="AT41" s="488"/>
      <c r="AU41" s="488"/>
      <c r="AV41" s="488"/>
      <c r="AW41" s="488"/>
      <c r="AX41" s="488"/>
      <c r="AY41" s="488"/>
    </row>
    <row r="42" spans="3:51">
      <c r="C42" s="481">
        <v>20</v>
      </c>
      <c r="D42" s="625">
        <f>'Swap and Yield Curves'!D26</f>
        <v>2.1972999999999998</v>
      </c>
      <c r="E42" s="492">
        <f t="shared" si="0"/>
        <v>1</v>
      </c>
      <c r="F42" s="492">
        <f t="shared" si="1"/>
        <v>0</v>
      </c>
      <c r="G42" s="492">
        <f t="shared" si="23"/>
        <v>0</v>
      </c>
      <c r="H42" s="624">
        <f t="shared" si="2"/>
        <v>2.1972999999999998</v>
      </c>
      <c r="I42" s="459">
        <f t="shared" si="11"/>
        <v>20</v>
      </c>
      <c r="J42" s="482">
        <f t="shared" si="3"/>
        <v>2.2093703182250124E-2</v>
      </c>
      <c r="K42" s="491">
        <f t="shared" si="12"/>
        <v>2.2425668234864915E-2</v>
      </c>
      <c r="L42" s="494">
        <f t="shared" si="4"/>
        <v>2.2425668234864915E-2</v>
      </c>
      <c r="M42" s="483">
        <f>'All Curves'!C34</f>
        <v>2.4084508120166492E-2</v>
      </c>
      <c r="N42" s="483">
        <f t="shared" si="5"/>
        <v>-1.6588398853015773E-3</v>
      </c>
      <c r="O42" s="492">
        <f t="shared" si="6"/>
        <v>1</v>
      </c>
      <c r="P42" s="492">
        <f t="shared" si="7"/>
        <v>0</v>
      </c>
      <c r="Q42" s="492">
        <f t="shared" ref="Q42:Q52" si="33">IF(P42=1,N41,IF(P42=2,N40,IF(P42=3,N39,IF(P42=4,N38,IF(P42=5,N37,IF(P42=6,N36,IF(P42=7,N35,IF(P42=8,N34,IF(P42=9,N33,IF(P42=10,N32,IF(P42=11,N31,IF(P42=12,N30,IF(P42=13,N29,IF(P42=14,N28,IF(P42=15,N27,IF(P42=16,N26,IF(P42=17,N25,IF(P42=18,N24,IF(P42=19,N23,0)))))))))))))))))))</f>
        <v>0</v>
      </c>
      <c r="R42" s="505">
        <f t="shared" si="8"/>
        <v>-1.6588398853015773E-3</v>
      </c>
      <c r="S42" s="483">
        <f t="shared" si="13"/>
        <v>2.2425668234864915E-2</v>
      </c>
      <c r="T42" s="483">
        <f t="shared" si="9"/>
        <v>-3.3196505261479103E-4</v>
      </c>
      <c r="U42" s="489">
        <f>((1+J42)/(V41-J42*(1+W41+X41+Y41+Z41+AA41+AB41+AC41+AD41+AE41+AF41+AG41+AH41+AI41+AJ41+AK41+AL41+AM41+AN41)))-1</f>
        <v>2.4497940027409681E-2</v>
      </c>
      <c r="V42" s="488">
        <f t="shared" si="14"/>
        <v>1.5582419081586363</v>
      </c>
      <c r="W42" s="488">
        <f t="shared" si="10"/>
        <v>1.0244979400274097</v>
      </c>
      <c r="X42" s="488">
        <f t="shared" si="15"/>
        <v>1.0496159621463801</v>
      </c>
      <c r="Y42" s="488">
        <f t="shared" si="16"/>
        <v>1.0754342394640419</v>
      </c>
      <c r="Z42" s="488">
        <f t="shared" si="17"/>
        <v>1.1023096131928385</v>
      </c>
      <c r="AA42" s="488">
        <f t="shared" si="18"/>
        <v>1.1299523341925009</v>
      </c>
      <c r="AB42" s="488">
        <f t="shared" si="19"/>
        <v>1.1580438216776672</v>
      </c>
      <c r="AC42" s="488">
        <f t="shared" si="20"/>
        <v>1.1870622584881185</v>
      </c>
      <c r="AD42" s="488">
        <f t="shared" si="21"/>
        <v>1.2165966660637497</v>
      </c>
      <c r="AE42" s="488">
        <f t="shared" si="22"/>
        <v>1.246788031576695</v>
      </c>
      <c r="AF42" s="488">
        <f t="shared" si="24"/>
        <v>1.2776741947517718</v>
      </c>
      <c r="AG42" s="488">
        <f t="shared" si="25"/>
        <v>1.3082581283051762</v>
      </c>
      <c r="AH42" s="488">
        <f t="shared" si="26"/>
        <v>1.3385668287690011</v>
      </c>
      <c r="AI42" s="488">
        <f t="shared" si="27"/>
        <v>1.3685224160287803</v>
      </c>
      <c r="AJ42" s="488">
        <f t="shared" si="28"/>
        <v>1.3975981619056255</v>
      </c>
      <c r="AK42" s="488">
        <f t="shared" si="29"/>
        <v>1.4259310283387447</v>
      </c>
      <c r="AL42" s="488">
        <f t="shared" si="30"/>
        <v>1.4527492167688805</v>
      </c>
      <c r="AM42" s="488">
        <f t="shared" si="31"/>
        <v>1.4780940210328457</v>
      </c>
      <c r="AN42" s="488">
        <f t="shared" si="32"/>
        <v>1.5024233484169982</v>
      </c>
      <c r="AO42" s="488">
        <f t="shared" ref="AO42:AO52" si="34">V42/V23</f>
        <v>1.526895813333863</v>
      </c>
      <c r="AP42" s="488"/>
      <c r="AQ42" s="488"/>
      <c r="AR42" s="488"/>
      <c r="AS42" s="488"/>
      <c r="AT42" s="488"/>
      <c r="AU42" s="488"/>
      <c r="AV42" s="488"/>
      <c r="AW42" s="488"/>
      <c r="AX42" s="488"/>
      <c r="AY42" s="488"/>
    </row>
    <row r="43" spans="3:51">
      <c r="C43" s="481">
        <v>21</v>
      </c>
      <c r="D43" s="625"/>
      <c r="E43" s="492" t="str">
        <f t="shared" si="0"/>
        <v/>
      </c>
      <c r="F43" s="492">
        <f t="shared" si="1"/>
        <v>1</v>
      </c>
      <c r="G43" s="492">
        <f t="shared" si="23"/>
        <v>2.1972999999999998</v>
      </c>
      <c r="H43" s="624">
        <f t="shared" si="2"/>
        <v>2.2025399999999995</v>
      </c>
      <c r="I43" s="459">
        <f t="shared" si="11"/>
        <v>21</v>
      </c>
      <c r="J43" s="482">
        <f t="shared" si="3"/>
        <v>2.2146679561289906E-2</v>
      </c>
      <c r="K43" s="491">
        <f t="shared" si="12"/>
        <v>2.2477596359678831E-2</v>
      </c>
      <c r="L43" s="494" t="str">
        <f t="shared" si="4"/>
        <v/>
      </c>
      <c r="M43" s="483">
        <f>'All Curves'!C35</f>
        <v>2.4472325800199313E-2</v>
      </c>
      <c r="N43" s="483" t="str">
        <f t="shared" si="5"/>
        <v/>
      </c>
      <c r="O43" s="492" t="str">
        <f t="shared" si="6"/>
        <v/>
      </c>
      <c r="P43" s="492">
        <f t="shared" si="7"/>
        <v>1</v>
      </c>
      <c r="Q43" s="492">
        <f t="shared" si="33"/>
        <v>-1.6588398853015773E-3</v>
      </c>
      <c r="R43" s="505">
        <f t="shared" si="8"/>
        <v>-1.9778147123550756E-3</v>
      </c>
      <c r="S43" s="483">
        <f t="shared" si="13"/>
        <v>2.2494511087844237E-2</v>
      </c>
      <c r="T43" s="483">
        <f t="shared" si="9"/>
        <v>-3.3091679838892496E-4</v>
      </c>
      <c r="U43" s="489">
        <f>((1+J43)/(V42-J43*(1+W42+X42+Y42+Z42+AA42+AB42+AC42+AD42+AE42+AF42+AG42+AH42+AI42+AJ42+AK42+AL42+AM42+AN42+AO42)))-1</f>
        <v>2.3516712885004676E-2</v>
      </c>
      <c r="V43" s="488">
        <f t="shared" si="14"/>
        <v>1.5948866357181848</v>
      </c>
      <c r="W43" s="488">
        <f t="shared" si="10"/>
        <v>1.0235167128850047</v>
      </c>
      <c r="X43" s="488">
        <f t="shared" si="15"/>
        <v>1.0485907639343131</v>
      </c>
      <c r="Y43" s="488">
        <f t="shared" si="16"/>
        <v>1.0742994793676945</v>
      </c>
      <c r="Z43" s="488">
        <f t="shared" si="17"/>
        <v>1.1007249177002212</v>
      </c>
      <c r="AA43" s="488">
        <f t="shared" si="18"/>
        <v>1.1282323118766751</v>
      </c>
      <c r="AB43" s="488">
        <f t="shared" si="19"/>
        <v>1.1565250988094466</v>
      </c>
      <c r="AC43" s="488">
        <f t="shared" si="20"/>
        <v>1.1852772057403145</v>
      </c>
      <c r="AD43" s="488">
        <f t="shared" si="21"/>
        <v>1.2149780607976088</v>
      </c>
      <c r="AE43" s="488">
        <f t="shared" si="22"/>
        <v>1.2452070205564247</v>
      </c>
      <c r="AF43" s="488">
        <f t="shared" si="24"/>
        <v>1.2761083877437445</v>
      </c>
      <c r="AG43" s="488">
        <f t="shared" si="25"/>
        <v>1.3077208919503287</v>
      </c>
      <c r="AH43" s="488">
        <f t="shared" si="26"/>
        <v>1.3390240590880027</v>
      </c>
      <c r="AI43" s="488">
        <f t="shared" si="27"/>
        <v>1.3700455205585531</v>
      </c>
      <c r="AJ43" s="488">
        <f t="shared" si="28"/>
        <v>1.4007055647632223</v>
      </c>
      <c r="AK43" s="488">
        <f t="shared" si="29"/>
        <v>1.4304650766077704</v>
      </c>
      <c r="AL43" s="488">
        <f t="shared" si="30"/>
        <v>1.4594642389260066</v>
      </c>
      <c r="AM43" s="488">
        <f t="shared" si="31"/>
        <v>1.4869131029935496</v>
      </c>
      <c r="AN43" s="488">
        <f t="shared" si="32"/>
        <v>1.5128539337425173</v>
      </c>
      <c r="AO43" s="488">
        <f t="shared" si="34"/>
        <v>1.5377554069334483</v>
      </c>
      <c r="AP43" s="488">
        <f t="shared" ref="AP43:AP52" si="35">V43/V23</f>
        <v>1.5628033837813513</v>
      </c>
      <c r="AQ43" s="488"/>
      <c r="AR43" s="488"/>
      <c r="AS43" s="488"/>
      <c r="AT43" s="488"/>
      <c r="AU43" s="488"/>
      <c r="AV43" s="488"/>
      <c r="AW43" s="488"/>
      <c r="AX43" s="488"/>
      <c r="AY43" s="488"/>
    </row>
    <row r="44" spans="3:51">
      <c r="C44" s="481">
        <v>22</v>
      </c>
      <c r="D44" s="625"/>
      <c r="E44" s="492" t="str">
        <f t="shared" si="0"/>
        <v/>
      </c>
      <c r="F44" s="492">
        <f t="shared" si="1"/>
        <v>2</v>
      </c>
      <c r="G44" s="492">
        <f t="shared" si="23"/>
        <v>2.1972999999999998</v>
      </c>
      <c r="H44" s="624">
        <f t="shared" si="2"/>
        <v>2.2077799999999996</v>
      </c>
      <c r="I44" s="459">
        <f t="shared" si="11"/>
        <v>22</v>
      </c>
      <c r="J44" s="482">
        <f t="shared" si="3"/>
        <v>2.2199657313209942E-2</v>
      </c>
      <c r="K44" s="491">
        <f t="shared" si="12"/>
        <v>2.2531147429722509E-2</v>
      </c>
      <c r="L44" s="494" t="str">
        <f t="shared" si="4"/>
        <v/>
      </c>
      <c r="M44" s="483">
        <f>'All Curves'!C36</f>
        <v>2.4853687270516345E-2</v>
      </c>
      <c r="N44" s="483" t="str">
        <f t="shared" si="5"/>
        <v/>
      </c>
      <c r="O44" s="492" t="str">
        <f t="shared" si="6"/>
        <v/>
      </c>
      <c r="P44" s="492">
        <f t="shared" si="7"/>
        <v>2</v>
      </c>
      <c r="Q44" s="492">
        <f t="shared" si="33"/>
        <v>-1.6588398853015773E-3</v>
      </c>
      <c r="R44" s="505">
        <f t="shared" si="8"/>
        <v>-2.296789539408573E-3</v>
      </c>
      <c r="S44" s="483">
        <f t="shared" si="13"/>
        <v>2.2556897731107771E-2</v>
      </c>
      <c r="T44" s="483">
        <f t="shared" si="9"/>
        <v>-3.3149011651256721E-4</v>
      </c>
      <c r="U44" s="489">
        <f>((1+J44)/(V43-J44*(1+W43+X43+Y43+Z43+AA43+AB43+AC43+AD43+AE43+AF43+AG43+AH43+AI43+AJ43+AK43+AL43+AM43+AN43+AO43+AP43)))-1</f>
        <v>2.3656368006777395E-2</v>
      </c>
      <c r="V44" s="488">
        <f t="shared" si="14"/>
        <v>1.6326158609018253</v>
      </c>
      <c r="W44" s="488">
        <f t="shared" si="10"/>
        <v>1.0236563680067774</v>
      </c>
      <c r="X44" s="488">
        <f t="shared" si="15"/>
        <v>1.0477294009060996</v>
      </c>
      <c r="Y44" s="488">
        <f t="shared" si="16"/>
        <v>1.073396612934451</v>
      </c>
      <c r="Z44" s="488">
        <f t="shared" si="17"/>
        <v>1.0997135032011061</v>
      </c>
      <c r="AA44" s="488">
        <f t="shared" si="18"/>
        <v>1.1267640714275673</v>
      </c>
      <c r="AB44" s="488">
        <f t="shared" si="19"/>
        <v>1.1549221906435669</v>
      </c>
      <c r="AC44" s="488">
        <f t="shared" si="20"/>
        <v>1.1838842821559576</v>
      </c>
      <c r="AD44" s="488">
        <f t="shared" si="21"/>
        <v>1.2133165595093522</v>
      </c>
      <c r="AE44" s="488">
        <f t="shared" si="22"/>
        <v>1.2437200289239978</v>
      </c>
      <c r="AF44" s="488">
        <f t="shared" si="24"/>
        <v>1.2746640960793305</v>
      </c>
      <c r="AG44" s="488">
        <f t="shared" si="25"/>
        <v>1.3062964773807459</v>
      </c>
      <c r="AH44" s="488">
        <f t="shared" si="26"/>
        <v>1.3386568186204568</v>
      </c>
      <c r="AI44" s="488">
        <f t="shared" si="27"/>
        <v>1.3707005049997174</v>
      </c>
      <c r="AJ44" s="488">
        <f t="shared" si="28"/>
        <v>1.4024558215789231</v>
      </c>
      <c r="AK44" s="488">
        <f t="shared" si="29"/>
        <v>1.4338411710724019</v>
      </c>
      <c r="AL44" s="488">
        <f t="shared" si="30"/>
        <v>1.464304684880847</v>
      </c>
      <c r="AM44" s="488">
        <f t="shared" si="31"/>
        <v>1.4939898620547714</v>
      </c>
      <c r="AN44" s="488">
        <f t="shared" si="32"/>
        <v>1.5220880665520644</v>
      </c>
      <c r="AO44" s="488">
        <f t="shared" si="34"/>
        <v>1.548642563139631</v>
      </c>
      <c r="AP44" s="488">
        <f t="shared" si="35"/>
        <v>1.5741331147442776</v>
      </c>
      <c r="AQ44" s="488">
        <f t="shared" ref="AQ44:AQ52" si="36">V44/V23</f>
        <v>1.5997736357503201</v>
      </c>
      <c r="AR44" s="488"/>
      <c r="AS44" s="488"/>
      <c r="AT44" s="488"/>
      <c r="AU44" s="488"/>
      <c r="AV44" s="488"/>
      <c r="AW44" s="488"/>
      <c r="AX44" s="488"/>
      <c r="AY44" s="488"/>
    </row>
    <row r="45" spans="3:51">
      <c r="C45" s="481">
        <v>23</v>
      </c>
      <c r="D45" s="625"/>
      <c r="E45" s="492" t="str">
        <f t="shared" si="0"/>
        <v/>
      </c>
      <c r="F45" s="492">
        <f t="shared" si="1"/>
        <v>3</v>
      </c>
      <c r="G45" s="492">
        <f t="shared" si="23"/>
        <v>2.1972999999999998</v>
      </c>
      <c r="H45" s="624">
        <f t="shared" si="2"/>
        <v>2.2130199999999998</v>
      </c>
      <c r="I45" s="459">
        <f t="shared" si="11"/>
        <v>23</v>
      </c>
      <c r="J45" s="482">
        <f t="shared" si="3"/>
        <v>2.2252636438009787E-2</v>
      </c>
      <c r="K45" s="491">
        <f t="shared" si="12"/>
        <v>2.2586208087080895E-2</v>
      </c>
      <c r="L45" s="494" t="str">
        <f t="shared" si="4"/>
        <v/>
      </c>
      <c r="M45" s="483">
        <f>'All Curves'!C37</f>
        <v>2.5228062263083717E-2</v>
      </c>
      <c r="N45" s="483" t="str">
        <f t="shared" si="5"/>
        <v/>
      </c>
      <c r="O45" s="492" t="str">
        <f t="shared" si="6"/>
        <v/>
      </c>
      <c r="P45" s="492">
        <f t="shared" si="7"/>
        <v>3</v>
      </c>
      <c r="Q45" s="492">
        <f t="shared" si="33"/>
        <v>-1.6588398853015773E-3</v>
      </c>
      <c r="R45" s="505">
        <f t="shared" si="8"/>
        <v>-2.6157643664620703E-3</v>
      </c>
      <c r="S45" s="483">
        <f t="shared" si="13"/>
        <v>2.2612297896621648E-2</v>
      </c>
      <c r="T45" s="483">
        <f t="shared" si="9"/>
        <v>-3.3357164907110715E-4</v>
      </c>
      <c r="U45" s="489">
        <f>((1+J45)/(V44-J45*(1+W44+X44+Y44+Z44+AA44+AB44+AC44+AD44+AE44+AF44+AG44+AH44+AI44+AJ44+AK44+AL44+AM44+AN44+AO44+AP44+AQ44)))-1</f>
        <v>2.3798292944901878E-2</v>
      </c>
      <c r="V45" s="488">
        <f t="shared" si="14"/>
        <v>1.67146933142606</v>
      </c>
      <c r="W45" s="488">
        <f t="shared" si="10"/>
        <v>1.0237982929449019</v>
      </c>
      <c r="X45" s="488">
        <f t="shared" si="15"/>
        <v>1.0480176421275169</v>
      </c>
      <c r="Y45" s="488">
        <f t="shared" si="16"/>
        <v>1.0726635721158493</v>
      </c>
      <c r="Z45" s="488">
        <f t="shared" si="17"/>
        <v>1.0989416199751305</v>
      </c>
      <c r="AA45" s="488">
        <f t="shared" si="18"/>
        <v>1.1258848073057504</v>
      </c>
      <c r="AB45" s="488">
        <f t="shared" si="19"/>
        <v>1.1535791328791909</v>
      </c>
      <c r="AC45" s="488">
        <f t="shared" si="20"/>
        <v>1.1824073672650703</v>
      </c>
      <c r="AD45" s="488">
        <f t="shared" si="21"/>
        <v>1.21205870711557</v>
      </c>
      <c r="AE45" s="488">
        <f t="shared" si="22"/>
        <v>1.2421914224274562</v>
      </c>
      <c r="AF45" s="488">
        <f t="shared" si="24"/>
        <v>1.2733184425137729</v>
      </c>
      <c r="AG45" s="488">
        <f t="shared" si="25"/>
        <v>1.3049989256441747</v>
      </c>
      <c r="AH45" s="488">
        <f t="shared" si="26"/>
        <v>1.3373841036223462</v>
      </c>
      <c r="AI45" s="488">
        <f t="shared" si="27"/>
        <v>1.3705145657426767</v>
      </c>
      <c r="AJ45" s="488">
        <f t="shared" si="28"/>
        <v>1.4033208371574255</v>
      </c>
      <c r="AK45" s="488">
        <f t="shared" si="29"/>
        <v>1.4358318760631412</v>
      </c>
      <c r="AL45" s="488">
        <f t="shared" si="30"/>
        <v>1.4679641432980441</v>
      </c>
      <c r="AM45" s="488">
        <f t="shared" si="31"/>
        <v>1.4991526367322334</v>
      </c>
      <c r="AN45" s="488">
        <f t="shared" si="32"/>
        <v>1.5295442704486644</v>
      </c>
      <c r="AO45" s="488">
        <f t="shared" si="34"/>
        <v>1.5583111642478096</v>
      </c>
      <c r="AP45" s="488">
        <f t="shared" si="35"/>
        <v>1.5854976125241715</v>
      </c>
      <c r="AQ45" s="488">
        <f t="shared" si="36"/>
        <v>1.6115947957432326</v>
      </c>
      <c r="AR45" s="488">
        <f t="shared" ref="AR45:AR52" si="37">V45/V23</f>
        <v>1.6378455173794368</v>
      </c>
      <c r="AS45" s="488"/>
      <c r="AT45" s="488"/>
      <c r="AU45" s="488"/>
      <c r="AV45" s="488"/>
      <c r="AW45" s="488"/>
      <c r="AX45" s="488"/>
      <c r="AY45" s="488"/>
    </row>
    <row r="46" spans="3:51">
      <c r="C46" s="481">
        <v>24</v>
      </c>
      <c r="D46" s="625"/>
      <c r="E46" s="492" t="str">
        <f t="shared" si="0"/>
        <v/>
      </c>
      <c r="F46" s="492">
        <f t="shared" si="1"/>
        <v>4</v>
      </c>
      <c r="G46" s="492">
        <f t="shared" si="23"/>
        <v>2.1972999999999998</v>
      </c>
      <c r="H46" s="624">
        <f>IF(G46=0,D46,IF(G47=0,((F46*D47+G46)/(1+F46)),2*H47-H48))</f>
        <v>2.2182599999999999</v>
      </c>
      <c r="I46" s="459">
        <f t="shared" si="11"/>
        <v>24</v>
      </c>
      <c r="J46" s="482">
        <f t="shared" si="3"/>
        <v>2.2305616935689887E-2</v>
      </c>
      <c r="K46" s="491">
        <f t="shared" si="12"/>
        <v>2.264268729663188E-2</v>
      </c>
      <c r="L46" s="494" t="str">
        <f t="shared" si="4"/>
        <v/>
      </c>
      <c r="M46" s="483">
        <f>'All Curves'!C38</f>
        <v>2.5595021719896527E-2</v>
      </c>
      <c r="N46" s="483" t="str">
        <f t="shared" si="5"/>
        <v/>
      </c>
      <c r="O46" s="492" t="str">
        <f t="shared" si="6"/>
        <v/>
      </c>
      <c r="P46" s="492">
        <f t="shared" si="7"/>
        <v>4</v>
      </c>
      <c r="Q46" s="492">
        <f t="shared" si="33"/>
        <v>-1.6588398853015773E-3</v>
      </c>
      <c r="R46" s="505">
        <f t="shared" si="8"/>
        <v>-2.9347391935155677E-3</v>
      </c>
      <c r="S46" s="483">
        <f t="shared" si="13"/>
        <v>2.266028252638096E-2</v>
      </c>
      <c r="T46" s="483">
        <f t="shared" si="9"/>
        <v>-3.3707036094199339E-4</v>
      </c>
      <c r="U46" s="489">
        <f>((1+J46)/(V45-J46*(1+W45+X45+Y45+Z45+AA45+AB45+AC45+AD45+AE45+AF45+AG45+AH45+AI45+AJ45+AK45+AL45+AM45+AN45+AO45+AP45+AQ45+AR45)))-1</f>
        <v>2.39425704318601E-2</v>
      </c>
      <c r="V46" s="488">
        <f t="shared" si="14"/>
        <v>1.7114886036184225</v>
      </c>
      <c r="W46" s="488">
        <f t="shared" si="10"/>
        <v>1.0239425704318601</v>
      </c>
      <c r="X46" s="488">
        <f t="shared" si="15"/>
        <v>1.0483106556817532</v>
      </c>
      <c r="Y46" s="488">
        <f t="shared" si="16"/>
        <v>1.0731098783379869</v>
      </c>
      <c r="Z46" s="488">
        <f t="shared" si="17"/>
        <v>1.0983458952409237</v>
      </c>
      <c r="AA46" s="488">
        <f t="shared" si="18"/>
        <v>1.1252531071118874</v>
      </c>
      <c r="AB46" s="488">
        <f t="shared" si="19"/>
        <v>1.1528413836028293</v>
      </c>
      <c r="AC46" s="488">
        <f t="shared" si="20"/>
        <v>1.1811987825168748</v>
      </c>
      <c r="AD46" s="488">
        <f t="shared" si="21"/>
        <v>1.2107172389349645</v>
      </c>
      <c r="AE46" s="488">
        <f t="shared" si="22"/>
        <v>1.2410785080782336</v>
      </c>
      <c r="AF46" s="488">
        <f t="shared" si="24"/>
        <v>1.2719326780487779</v>
      </c>
      <c r="AG46" s="488">
        <f t="shared" si="25"/>
        <v>1.3038049590058451</v>
      </c>
      <c r="AH46" s="488">
        <f t="shared" si="26"/>
        <v>1.3362439543349121</v>
      </c>
      <c r="AI46" s="488">
        <f t="shared" si="27"/>
        <v>1.3694045167177742</v>
      </c>
      <c r="AJ46" s="488">
        <f t="shared" si="28"/>
        <v>1.4033282072608608</v>
      </c>
      <c r="AK46" s="488">
        <f t="shared" si="29"/>
        <v>1.436919945139564</v>
      </c>
      <c r="AL46" s="488">
        <f t="shared" si="30"/>
        <v>1.4702093818840927</v>
      </c>
      <c r="AM46" s="488">
        <f t="shared" si="31"/>
        <v>1.5031109781904026</v>
      </c>
      <c r="AN46" s="488">
        <f t="shared" si="32"/>
        <v>1.5350462043253037</v>
      </c>
      <c r="AO46" s="488">
        <f t="shared" si="34"/>
        <v>1.5661654918725294</v>
      </c>
      <c r="AP46" s="488">
        <f t="shared" si="35"/>
        <v>1.5956211390525668</v>
      </c>
      <c r="AQ46" s="488">
        <f t="shared" si="36"/>
        <v>1.6234585007815776</v>
      </c>
      <c r="AR46" s="488">
        <f t="shared" si="37"/>
        <v>1.6501805176479341</v>
      </c>
      <c r="AS46" s="488">
        <f t="shared" ref="AS46:AS52" si="38">V46/V23</f>
        <v>1.6770597490358001</v>
      </c>
      <c r="AT46" s="488"/>
      <c r="AU46" s="488"/>
      <c r="AV46" s="488"/>
      <c r="AW46" s="488"/>
      <c r="AX46" s="488"/>
      <c r="AY46" s="488"/>
    </row>
    <row r="47" spans="3:51">
      <c r="C47" s="481">
        <v>25</v>
      </c>
      <c r="D47" s="626">
        <f>'Swap and Yield Curves'!D27</f>
        <v>2.2235</v>
      </c>
      <c r="E47" s="492">
        <f>IF(ISNUMBER(D47),1,"")</f>
        <v>1</v>
      </c>
      <c r="F47" s="492">
        <f t="shared" si="1"/>
        <v>0</v>
      </c>
      <c r="G47" s="492">
        <f t="shared" si="23"/>
        <v>0</v>
      </c>
      <c r="H47" s="624">
        <f>IF(G47=0,D47,IF(G48=0,((F47*D48+G47)/(1+F47)),2*H48-H49))</f>
        <v>2.2235</v>
      </c>
      <c r="I47" s="459">
        <f t="shared" si="11"/>
        <v>25</v>
      </c>
      <c r="J47" s="482">
        <f t="shared" si="3"/>
        <v>2.2358598806249796E-2</v>
      </c>
      <c r="K47" s="491">
        <f t="shared" si="12"/>
        <v>2.2700512029804942E-2</v>
      </c>
      <c r="L47" s="494">
        <f>IF(ISNUMBER(D47),K47,"")</f>
        <v>2.2700512029804942E-2</v>
      </c>
      <c r="M47" s="483">
        <f>'All Curves'!C39</f>
        <v>2.5954226050374007E-2</v>
      </c>
      <c r="N47" s="483">
        <f t="shared" si="5"/>
        <v>-3.2537140205690651E-3</v>
      </c>
      <c r="O47" s="492">
        <f t="shared" si="6"/>
        <v>1</v>
      </c>
      <c r="P47" s="492">
        <f t="shared" si="7"/>
        <v>0</v>
      </c>
      <c r="Q47" s="492">
        <f t="shared" si="33"/>
        <v>0</v>
      </c>
      <c r="R47" s="505">
        <f t="shared" si="8"/>
        <v>-3.2537140205690651E-3</v>
      </c>
      <c r="S47" s="483">
        <f t="shared" si="13"/>
        <v>2.2700512029804942E-2</v>
      </c>
      <c r="T47" s="483">
        <f t="shared" si="9"/>
        <v>-3.4191322355514586E-4</v>
      </c>
      <c r="U47" s="489">
        <f>((1+J47)/(V46-J47*(1+W46+X46+Y46+Z46+AA46+AB46+AC46+AD46+AE46+AF46+AG46+AH46+AI46+AJ46+AK46+AL46+AM46+AN46+AO46+AP46+AQ46+AR46+AS46)))-1</f>
        <v>2.4089286951040956E-2</v>
      </c>
      <c r="V47" s="488">
        <f t="shared" si="14"/>
        <v>1.7527171437044231</v>
      </c>
      <c r="W47" s="488">
        <f t="shared" si="10"/>
        <v>1.024089286951041</v>
      </c>
      <c r="X47" s="488">
        <f t="shared" si="15"/>
        <v>1.0486086168323796</v>
      </c>
      <c r="Y47" s="488">
        <f t="shared" si="16"/>
        <v>1.073563711880305</v>
      </c>
      <c r="Z47" s="488">
        <f t="shared" si="17"/>
        <v>1.0989603301272672</v>
      </c>
      <c r="AA47" s="488">
        <f t="shared" si="18"/>
        <v>1.1248042646828802</v>
      </c>
      <c r="AB47" s="488">
        <f t="shared" si="19"/>
        <v>1.1523596521016561</v>
      </c>
      <c r="AC47" s="488">
        <f t="shared" si="20"/>
        <v>1.1806125105014731</v>
      </c>
      <c r="AD47" s="488">
        <f t="shared" si="21"/>
        <v>1.2096530189351442</v>
      </c>
      <c r="AE47" s="488">
        <f t="shared" si="22"/>
        <v>1.2398825539202409</v>
      </c>
      <c r="AF47" s="488">
        <f t="shared" si="24"/>
        <v>1.2709752043881</v>
      </c>
      <c r="AG47" s="488">
        <f t="shared" si="25"/>
        <v>1.3025726293127009</v>
      </c>
      <c r="AH47" s="488">
        <f t="shared" si="26"/>
        <v>1.3352126907915272</v>
      </c>
      <c r="AI47" s="488">
        <f t="shared" si="27"/>
        <v>1.3684331183874796</v>
      </c>
      <c r="AJ47" s="488">
        <f t="shared" si="28"/>
        <v>1.4023924950730402</v>
      </c>
      <c r="AK47" s="488">
        <f t="shared" si="29"/>
        <v>1.4371333831320576</v>
      </c>
      <c r="AL47" s="488">
        <f t="shared" si="30"/>
        <v>1.4715343220237049</v>
      </c>
      <c r="AM47" s="488">
        <f t="shared" si="31"/>
        <v>1.5056256775624113</v>
      </c>
      <c r="AN47" s="488">
        <f t="shared" si="32"/>
        <v>1.5393198498632912</v>
      </c>
      <c r="AO47" s="488">
        <f t="shared" si="34"/>
        <v>1.5720243728244021</v>
      </c>
      <c r="AP47" s="488">
        <f t="shared" si="35"/>
        <v>1.6038933018190651</v>
      </c>
      <c r="AQ47" s="488">
        <f t="shared" si="36"/>
        <v>1.6340585145363509</v>
      </c>
      <c r="AR47" s="488">
        <f t="shared" si="37"/>
        <v>1.6625664584600117</v>
      </c>
      <c r="AS47" s="488">
        <f t="shared" si="38"/>
        <v>1.6899321896585726</v>
      </c>
      <c r="AT47" s="488">
        <f t="shared" ref="AT47:AT52" si="39">V47/V23</f>
        <v>1.7174589225643644</v>
      </c>
      <c r="AU47" s="488"/>
      <c r="AV47" s="488"/>
      <c r="AW47" s="488"/>
      <c r="AX47" s="488"/>
      <c r="AY47" s="488"/>
    </row>
    <row r="48" spans="3:51">
      <c r="C48" s="481">
        <v>26</v>
      </c>
      <c r="D48" s="626"/>
      <c r="E48" s="492" t="str">
        <f t="shared" si="0"/>
        <v/>
      </c>
      <c r="F48" s="492">
        <f t="shared" si="1"/>
        <v>1</v>
      </c>
      <c r="G48" s="492">
        <f>IF(F48=1,D47,IF(F48=2,D46,IF(F48=3,D45,IF(F48=4,D44,IF(F48=5,D43,IF(F48=6,D42,IF(F48=7,D41,IF(F48=8,D40,IF(F48=9,D39,IF(F48=10,D38,IF(F48=11,D37,IF(F48=21,D36,IF(F48=13,D35,IF(F48=14,D34,IF(F48=15,D33,IF(F48=16,D32,IF(F48=17,D31,IF(F48=18,D30,IF(F48=71,D29,0)))))))))))))))))))</f>
        <v>2.2235</v>
      </c>
      <c r="H48" s="624">
        <f>IF(G48=0,D48,IF(G49=0,((F48*D49+G48)/(1+F48)),2*H49-H50))</f>
        <v>2.22546</v>
      </c>
      <c r="I48" s="459">
        <f t="shared" si="11"/>
        <v>26</v>
      </c>
      <c r="J48" s="482">
        <f t="shared" si="3"/>
        <v>2.2378416805290069E-2</v>
      </c>
      <c r="K48" s="491">
        <f t="shared" si="12"/>
        <v>2.2714374177257746E-2</v>
      </c>
      <c r="L48" s="494" t="str">
        <f t="shared" si="4"/>
        <v/>
      </c>
      <c r="M48" s="483">
        <f>'All Curves'!C40</f>
        <v>2.6305414542116351E-2</v>
      </c>
      <c r="N48" s="483" t="str">
        <f t="shared" si="5"/>
        <v/>
      </c>
      <c r="O48" s="492" t="str">
        <f t="shared" si="6"/>
        <v/>
      </c>
      <c r="P48" s="492">
        <f t="shared" si="7"/>
        <v>1</v>
      </c>
      <c r="Q48" s="492">
        <f t="shared" si="33"/>
        <v>-3.2537140205690651E-3</v>
      </c>
      <c r="R48" s="505">
        <f t="shared" si="8"/>
        <v>-3.572481206250356E-3</v>
      </c>
      <c r="S48" s="483">
        <f t="shared" si="13"/>
        <v>2.2732933335865995E-2</v>
      </c>
      <c r="T48" s="483">
        <f t="shared" si="9"/>
        <v>-3.3595737196767672E-4</v>
      </c>
      <c r="U48" s="489">
        <f>((1+J48)/(V47-J48*(1+W47+X47+Y47+Z47+AA47+AB47+AC47+AD47+AE47+AF47+AG47+AH47+AI47+AJ47+AK47+AL47+AM47+AN47+AO47+AP47+AQ47+AR47+AS47+AT47)))-1</f>
        <v>2.3060988935702076E-2</v>
      </c>
      <c r="V48" s="488">
        <f t="shared" si="14"/>
        <v>1.7931365343628061</v>
      </c>
      <c r="W48" s="488">
        <f t="shared" si="10"/>
        <v>1.0230609889357021</v>
      </c>
      <c r="X48" s="488">
        <f t="shared" si="15"/>
        <v>1.0477057986665899</v>
      </c>
      <c r="Y48" s="488">
        <f t="shared" si="16"/>
        <v>1.072790568543033</v>
      </c>
      <c r="Z48" s="488">
        <f t="shared" si="17"/>
        <v>1.0983211527617478</v>
      </c>
      <c r="AA48" s="488">
        <f t="shared" si="18"/>
        <v>1.1243034421411078</v>
      </c>
      <c r="AB48" s="488">
        <f t="shared" si="19"/>
        <v>1.1507433633855626</v>
      </c>
      <c r="AC48" s="488">
        <f t="shared" si="20"/>
        <v>1.1789342052887217</v>
      </c>
      <c r="AD48" s="488">
        <f t="shared" si="21"/>
        <v>1.2078386025434988</v>
      </c>
      <c r="AE48" s="488">
        <f t="shared" si="22"/>
        <v>1.2375488138208461</v>
      </c>
      <c r="AF48" s="488">
        <f t="shared" si="24"/>
        <v>1.2684754717777655</v>
      </c>
      <c r="AG48" s="488">
        <f t="shared" si="25"/>
        <v>1.3002851495140457</v>
      </c>
      <c r="AH48" s="488">
        <f t="shared" si="26"/>
        <v>1.3326112423052294</v>
      </c>
      <c r="AI48" s="488">
        <f t="shared" si="27"/>
        <v>1.3660040158806797</v>
      </c>
      <c r="AJ48" s="488">
        <f t="shared" si="28"/>
        <v>1.3999905393898615</v>
      </c>
      <c r="AK48" s="488">
        <f t="shared" si="29"/>
        <v>1.4347330528854312</v>
      </c>
      <c r="AL48" s="488">
        <f t="shared" si="30"/>
        <v>1.4702751001795942</v>
      </c>
      <c r="AM48" s="488">
        <f t="shared" si="31"/>
        <v>1.5054693587423993</v>
      </c>
      <c r="AN48" s="488">
        <f t="shared" si="32"/>
        <v>1.5403468946539869</v>
      </c>
      <c r="AO48" s="488">
        <f t="shared" si="34"/>
        <v>1.5748180878894951</v>
      </c>
      <c r="AP48" s="488">
        <f t="shared" si="35"/>
        <v>1.6082768094927595</v>
      </c>
      <c r="AQ48" s="488">
        <f t="shared" si="36"/>
        <v>1.6408806675063612</v>
      </c>
      <c r="AR48" s="488">
        <f t="shared" si="37"/>
        <v>1.6717415198603633</v>
      </c>
      <c r="AS48" s="488">
        <f t="shared" si="38"/>
        <v>1.7009068851634275</v>
      </c>
      <c r="AT48" s="488">
        <f t="shared" si="39"/>
        <v>1.7289036971863756</v>
      </c>
      <c r="AU48" s="488">
        <f>V48/V23</f>
        <v>1.7570652237751438</v>
      </c>
      <c r="AV48" s="488"/>
      <c r="AW48" s="488"/>
      <c r="AX48" s="488"/>
      <c r="AY48" s="488"/>
    </row>
    <row r="49" spans="3:51">
      <c r="C49" s="481">
        <v>27</v>
      </c>
      <c r="D49" s="626"/>
      <c r="E49" s="492" t="str">
        <f>IF(ISNUMBER(D49),1,"")</f>
        <v/>
      </c>
      <c r="F49" s="492">
        <f t="shared" si="1"/>
        <v>2</v>
      </c>
      <c r="G49" s="492">
        <f>IF(F49=1,D48,IF(F49=2,D47,IF(F49=3,D46,IF(F49=4,D45,IF(F49=5,D44,IF(F49=6,D43,IF(F49=7,D42,IF(F49=8,D41,IF(F49=9,D40,IF(F49=10,D39,IF(F49=11,D38,IF(F49=21,D37,IF(F49=13,D36,IF(F49=14,D35,IF(F49=15,D34,IF(F49=16,D33,IF(F49=17,D32,IF(F49=18,D31,IF(F49=71,D30,0)))))))))))))))))))</f>
        <v>2.2235</v>
      </c>
      <c r="H49" s="624">
        <f>IF(G49=0,D49,IF(G50=0,((F49*D50+G49)/(1+F49)),2*H50-H51))</f>
        <v>2.22742</v>
      </c>
      <c r="I49" s="459">
        <f t="shared" si="11"/>
        <v>27</v>
      </c>
      <c r="J49" s="482">
        <f t="shared" si="3"/>
        <v>2.2398234996410027E-2</v>
      </c>
      <c r="K49" s="491">
        <f t="shared" si="12"/>
        <v>2.272927857449325E-2</v>
      </c>
      <c r="L49" s="494" t="str">
        <f>IF(ISNUMBER(D49),K49,"")</f>
        <v/>
      </c>
      <c r="M49" s="483">
        <f>'All Curves'!C41</f>
        <v>2.6648395824196591E-2</v>
      </c>
      <c r="N49" s="483" t="str">
        <f t="shared" si="5"/>
        <v/>
      </c>
      <c r="O49" s="492" t="str">
        <f t="shared" si="6"/>
        <v/>
      </c>
      <c r="P49" s="492">
        <f t="shared" si="7"/>
        <v>2</v>
      </c>
      <c r="Q49" s="492">
        <f t="shared" si="33"/>
        <v>-3.2537140205690651E-3</v>
      </c>
      <c r="R49" s="505">
        <f t="shared" si="8"/>
        <v>-3.8912483919316459E-3</v>
      </c>
      <c r="S49" s="483">
        <f t="shared" si="13"/>
        <v>2.2757147432264944E-2</v>
      </c>
      <c r="T49" s="483">
        <f t="shared" si="9"/>
        <v>-3.3104357808322327E-4</v>
      </c>
      <c r="U49" s="489">
        <f>((1+J49)/(V48-J49*(1+W48+X48+Y48+Z48+AA48+AB48+AC48+AD48+AE48+AF48+AG48+AH48+AI48+AJ48+AK48+AL48+AM48+AN48+AO48+AP48+AQ48+AR48+AS48+AT48+AU48)))-1</f>
        <v>2.3116869151645236E-2</v>
      </c>
      <c r="V49" s="488">
        <f t="shared" si="14"/>
        <v>1.8345882369987057</v>
      </c>
      <c r="W49" s="488">
        <f t="shared" si="10"/>
        <v>1.0231168691516452</v>
      </c>
      <c r="X49" s="488">
        <f t="shared" si="15"/>
        <v>1.0467109559510814</v>
      </c>
      <c r="Y49" s="488">
        <f t="shared" si="16"/>
        <v>1.0719254765237853</v>
      </c>
      <c r="Z49" s="488">
        <f t="shared" si="17"/>
        <v>1.0975901277431612</v>
      </c>
      <c r="AA49" s="488">
        <f t="shared" si="18"/>
        <v>1.1237108991366254</v>
      </c>
      <c r="AB49" s="488">
        <f t="shared" si="19"/>
        <v>1.1502938176998281</v>
      </c>
      <c r="AC49" s="488">
        <f t="shared" si="20"/>
        <v>1.1773449471440709</v>
      </c>
      <c r="AD49" s="488">
        <f t="shared" si="21"/>
        <v>1.20618747305078</v>
      </c>
      <c r="AE49" s="488">
        <f t="shared" si="22"/>
        <v>1.2357600494748031</v>
      </c>
      <c r="AF49" s="488">
        <f t="shared" si="24"/>
        <v>1.2661570678187164</v>
      </c>
      <c r="AG49" s="488">
        <f t="shared" si="25"/>
        <v>1.2977986532809236</v>
      </c>
      <c r="AH49" s="488">
        <f t="shared" si="26"/>
        <v>1.3303436711751893</v>
      </c>
      <c r="AI49" s="488">
        <f t="shared" si="27"/>
        <v>1.3634170420236109</v>
      </c>
      <c r="AJ49" s="488">
        <f t="shared" si="28"/>
        <v>1.3975817519764151</v>
      </c>
      <c r="AK49" s="488">
        <f t="shared" si="29"/>
        <v>1.4323539375024781</v>
      </c>
      <c r="AL49" s="488">
        <f t="shared" si="30"/>
        <v>1.4678995891365243</v>
      </c>
      <c r="AM49" s="488">
        <f t="shared" si="31"/>
        <v>1.504263257287368</v>
      </c>
      <c r="AN49" s="488">
        <f t="shared" si="32"/>
        <v>1.5402710969202587</v>
      </c>
      <c r="AO49" s="488">
        <f t="shared" si="34"/>
        <v>1.5759548922658462</v>
      </c>
      <c r="AP49" s="488">
        <f t="shared" si="35"/>
        <v>1.6112229515648806</v>
      </c>
      <c r="AQ49" s="488">
        <f t="shared" si="36"/>
        <v>1.6454551340574293</v>
      </c>
      <c r="AR49" s="488">
        <f t="shared" si="37"/>
        <v>1.6788126911905701</v>
      </c>
      <c r="AS49" s="488">
        <f t="shared" si="38"/>
        <v>1.7103869498303479</v>
      </c>
      <c r="AT49" s="488">
        <f t="shared" si="39"/>
        <v>1.7402265270668829</v>
      </c>
      <c r="AU49" s="488">
        <f>V49/V24</f>
        <v>1.7688705377300287</v>
      </c>
      <c r="AV49" s="488">
        <f>V49/V23</f>
        <v>1.7976830706440601</v>
      </c>
      <c r="AW49" s="488"/>
      <c r="AX49" s="488"/>
      <c r="AY49" s="488"/>
    </row>
    <row r="50" spans="3:51">
      <c r="C50" s="481">
        <v>28</v>
      </c>
      <c r="D50" s="626"/>
      <c r="E50" s="492" t="str">
        <f t="shared" si="0"/>
        <v/>
      </c>
      <c r="F50" s="492">
        <f t="shared" si="1"/>
        <v>3</v>
      </c>
      <c r="G50" s="492">
        <f>IF(F50=1,D49,IF(F50=2,D48,IF(F50=3,D47,IF(F50=4,D46,IF(F50=5,D45,IF(F50=6,D44,IF(F50=7,D43,IF(F50=8,D42,IF(F50=9,D41,IF(F50=10,D40,IF(F50=11,D39,IF(F50=21,D38,IF(F50=13,D37,IF(F50=14,D36,IF(F50=15,D35,IF(F50=16,D34,IF(F50=17,D33,IF(F50=18,D32,IF(F50=71,D31,0)))))))))))))))))))</f>
        <v>2.2235</v>
      </c>
      <c r="H50" s="624">
        <f t="shared" si="2"/>
        <v>2.2293799999999999</v>
      </c>
      <c r="I50" s="459">
        <f t="shared" si="11"/>
        <v>28</v>
      </c>
      <c r="J50" s="482">
        <f t="shared" si="3"/>
        <v>2.2418053379609892E-2</v>
      </c>
      <c r="K50" s="491">
        <f t="shared" si="12"/>
        <v>2.2745144790153216E-2</v>
      </c>
      <c r="L50" s="494" t="str">
        <f t="shared" si="4"/>
        <v/>
      </c>
      <c r="M50" s="483">
        <f>'All Curves'!C42</f>
        <v>2.6983039289839472E-2</v>
      </c>
      <c r="N50" s="483" t="str">
        <f t="shared" si="5"/>
        <v/>
      </c>
      <c r="O50" s="492" t="str">
        <f t="shared" si="6"/>
        <v/>
      </c>
      <c r="P50" s="492">
        <f t="shared" si="7"/>
        <v>3</v>
      </c>
      <c r="Q50" s="492">
        <f t="shared" si="33"/>
        <v>-3.2537140205690651E-3</v>
      </c>
      <c r="R50" s="505">
        <f t="shared" si="8"/>
        <v>-4.2100155776129359E-3</v>
      </c>
      <c r="S50" s="483">
        <f t="shared" si="13"/>
        <v>2.2773023712226538E-2</v>
      </c>
      <c r="T50" s="483">
        <f t="shared" si="9"/>
        <v>-3.2709141054332314E-4</v>
      </c>
      <c r="U50" s="489">
        <f>((1+J50)/(V49-J50*(1+W49+X49+Y49+Z49+AA49+AB49+AC49+AD49+AE49+AF49+AG49+AH49+AI49+AJ49+AK49+AL49+AM49+AN49+AO49+AP49+AQ49+AR49+AS49+AT49+AU49+AV49)))-1</f>
        <v>2.3173625667223918E-2</v>
      </c>
      <c r="V50" s="488">
        <f t="shared" si="14"/>
        <v>1.877102298056406</v>
      </c>
      <c r="W50" s="488">
        <f t="shared" si="10"/>
        <v>1.0231736256672239</v>
      </c>
      <c r="X50" s="488">
        <f t="shared" si="15"/>
        <v>1.0468261964911876</v>
      </c>
      <c r="Y50" s="488">
        <f t="shared" si="16"/>
        <v>1.0709670438260739</v>
      </c>
      <c r="Z50" s="488">
        <f t="shared" si="17"/>
        <v>1.0967658762599084</v>
      </c>
      <c r="AA50" s="488">
        <f t="shared" si="18"/>
        <v>1.1230252704995218</v>
      </c>
      <c r="AB50" s="488">
        <f t="shared" si="19"/>
        <v>1.1497513548713971</v>
      </c>
      <c r="AC50" s="488">
        <f t="shared" si="20"/>
        <v>1.1769502960385259</v>
      </c>
      <c r="AD50" s="488">
        <f t="shared" si="21"/>
        <v>1.2046282982303851</v>
      </c>
      <c r="AE50" s="488">
        <f t="shared" si="22"/>
        <v>1.2341392100357536</v>
      </c>
      <c r="AF50" s="488">
        <f t="shared" si="24"/>
        <v>1.2643970902758424</v>
      </c>
      <c r="AG50" s="488">
        <f t="shared" si="25"/>
        <v>1.2954985177442571</v>
      </c>
      <c r="AH50" s="488">
        <f t="shared" si="26"/>
        <v>1.3278733534634832</v>
      </c>
      <c r="AI50" s="488">
        <f t="shared" si="27"/>
        <v>1.3611725574197637</v>
      </c>
      <c r="AJ50" s="488">
        <f t="shared" si="28"/>
        <v>1.3950123581837799</v>
      </c>
      <c r="AK50" s="488">
        <f t="shared" si="29"/>
        <v>1.4299687883360597</v>
      </c>
      <c r="AL50" s="488">
        <f t="shared" si="30"/>
        <v>1.4655467714731349</v>
      </c>
      <c r="AM50" s="488">
        <f t="shared" si="31"/>
        <v>1.501916144732246</v>
      </c>
      <c r="AN50" s="488">
        <f t="shared" si="32"/>
        <v>1.5391224909167045</v>
      </c>
      <c r="AO50" s="488">
        <f t="shared" si="34"/>
        <v>1.5759647627463331</v>
      </c>
      <c r="AP50" s="488">
        <f t="shared" si="35"/>
        <v>1.6124754810076452</v>
      </c>
      <c r="AQ50" s="488">
        <f t="shared" si="36"/>
        <v>1.6485608291108849</v>
      </c>
      <c r="AR50" s="488">
        <f t="shared" si="37"/>
        <v>1.6835862953862879</v>
      </c>
      <c r="AS50" s="488">
        <f t="shared" si="38"/>
        <v>1.7177168680616051</v>
      </c>
      <c r="AT50" s="488">
        <f t="shared" si="39"/>
        <v>1.7500228167518213</v>
      </c>
      <c r="AU50" s="488">
        <f>V50/V25</f>
        <v>1.7805538851813041</v>
      </c>
      <c r="AV50" s="488">
        <f>V50/V24</f>
        <v>1.8098616814251656</v>
      </c>
      <c r="AW50" s="488">
        <f>V50/V23</f>
        <v>1.8393419051914712</v>
      </c>
      <c r="AX50" s="488"/>
      <c r="AY50" s="488"/>
    </row>
    <row r="51" spans="3:51">
      <c r="C51" s="481">
        <v>29</v>
      </c>
      <c r="D51" s="626"/>
      <c r="E51" s="492" t="str">
        <f t="shared" si="0"/>
        <v/>
      </c>
      <c r="F51" s="492">
        <f t="shared" si="1"/>
        <v>4</v>
      </c>
      <c r="G51" s="492">
        <f>IF(F51=1,D50,IF(F51=2,D49,IF(F51=3,D48,IF(F51=4,D47,IF(F51=5,D46,IF(F51=6,D45,IF(F51=7,D44,IF(F51=8,D43,IF(F51=9,D42,IF(F51=10,D41,IF(F51=11,D40,IF(F51=21,D39,IF(F51=13,D38,IF(F51=14,D37,IF(F51=15,D36,IF(F51=16,D35,IF(F51=17,D34,IF(F51=18,D33,IF(F51=71,D32,0)))))))))))))))))))</f>
        <v>2.2235</v>
      </c>
      <c r="H51" s="624">
        <f t="shared" si="2"/>
        <v>2.2313399999999999</v>
      </c>
      <c r="I51" s="459">
        <f t="shared" si="11"/>
        <v>29</v>
      </c>
      <c r="J51" s="482">
        <f t="shared" si="3"/>
        <v>2.2437871954889888E-2</v>
      </c>
      <c r="K51" s="491">
        <f t="shared" si="12"/>
        <v>2.276190435315506E-2</v>
      </c>
      <c r="L51" s="494" t="str">
        <f t="shared" si="4"/>
        <v/>
      </c>
      <c r="M51" s="483">
        <f>'All Curves'!C43</f>
        <v>2.7309267392548742E-2</v>
      </c>
      <c r="N51" s="483" t="str">
        <f t="shared" si="5"/>
        <v/>
      </c>
      <c r="O51" s="492" t="str">
        <f t="shared" si="6"/>
        <v/>
      </c>
      <c r="P51" s="492">
        <f t="shared" si="7"/>
        <v>4</v>
      </c>
      <c r="Q51" s="492">
        <f t="shared" si="33"/>
        <v>-3.2537140205690651E-3</v>
      </c>
      <c r="R51" s="505">
        <f t="shared" si="8"/>
        <v>-4.5287827632942259E-3</v>
      </c>
      <c r="S51" s="483">
        <f t="shared" si="13"/>
        <v>2.2780484629254517E-2</v>
      </c>
      <c r="T51" s="483">
        <f t="shared" si="9"/>
        <v>-3.2403239826517272E-4</v>
      </c>
      <c r="U51" s="489">
        <f>((1+J51)/(V50-J51*(1+W50+X50+Y50+Z50+AA50+AB50+AC50+AD50+AE50+AF50+AG50+AH50+AI50+AJ50+AK50+AL50+AM50+AN50+AO50+AP50+AQ50+AR50+AS50+AT50+AU50+AV50+AW50)))-1</f>
        <v>2.3231283635992694E-2</v>
      </c>
      <c r="V51" s="488">
        <f t="shared" si="14"/>
        <v>1.920709793956328</v>
      </c>
      <c r="W51" s="488">
        <f t="shared" si="10"/>
        <v>1.0232312836359927</v>
      </c>
      <c r="X51" s="488">
        <f t="shared" si="15"/>
        <v>1.0469432623739663</v>
      </c>
      <c r="Y51" s="488">
        <f t="shared" si="16"/>
        <v>1.0711453127794617</v>
      </c>
      <c r="Z51" s="488">
        <f t="shared" si="17"/>
        <v>1.095846982985998</v>
      </c>
      <c r="AA51" s="488">
        <f t="shared" si="18"/>
        <v>1.1222451554135802</v>
      </c>
      <c r="AB51" s="488">
        <f t="shared" si="19"/>
        <v>1.1491145890888836</v>
      </c>
      <c r="AC51" s="488">
        <f t="shared" si="20"/>
        <v>1.1764615547072814</v>
      </c>
      <c r="AD51" s="488">
        <f t="shared" si="21"/>
        <v>1.2042923621912622</v>
      </c>
      <c r="AE51" s="488">
        <f t="shared" si="22"/>
        <v>1.2326133599025184</v>
      </c>
      <c r="AF51" s="488">
        <f t="shared" si="24"/>
        <v>1.262809848070394</v>
      </c>
      <c r="AG51" s="488">
        <f t="shared" si="25"/>
        <v>1.2937706577085641</v>
      </c>
      <c r="AH51" s="488">
        <f t="shared" si="26"/>
        <v>1.3255946112599821</v>
      </c>
      <c r="AI51" s="488">
        <f t="shared" si="27"/>
        <v>1.35872155597047</v>
      </c>
      <c r="AJ51" s="488">
        <f t="shared" si="28"/>
        <v>1.3927943431787118</v>
      </c>
      <c r="AK51" s="488">
        <f t="shared" si="29"/>
        <v>1.4274202859524623</v>
      </c>
      <c r="AL51" s="488">
        <f t="shared" si="30"/>
        <v>1.4631887988485115</v>
      </c>
      <c r="AM51" s="488">
        <f t="shared" si="31"/>
        <v>1.4995933042030405</v>
      </c>
      <c r="AN51" s="488">
        <f t="shared" si="32"/>
        <v>1.5368075846879972</v>
      </c>
      <c r="AO51" s="488">
        <f t="shared" si="34"/>
        <v>1.5748782820537259</v>
      </c>
      <c r="AP51" s="488">
        <f t="shared" si="35"/>
        <v>1.6125764471500232</v>
      </c>
      <c r="AQ51" s="488">
        <f t="shared" si="36"/>
        <v>1.6499353562630175</v>
      </c>
      <c r="AR51" s="488">
        <f t="shared" si="37"/>
        <v>1.6868590133231469</v>
      </c>
      <c r="AS51" s="488">
        <f t="shared" si="38"/>
        <v>1.7226981661400769</v>
      </c>
      <c r="AT51" s="488">
        <f t="shared" si="39"/>
        <v>1.7576216358298733</v>
      </c>
      <c r="AU51" s="488">
        <f>V51/V26</f>
        <v>1.7906780931772417</v>
      </c>
      <c r="AV51" s="488">
        <f>V51/V25</f>
        <v>1.8219184375171196</v>
      </c>
      <c r="AW51" s="488">
        <f>V51/V24</f>
        <v>1.851907091488268</v>
      </c>
      <c r="AX51" s="488">
        <f>V51/V23</f>
        <v>1.8820721786945414</v>
      </c>
      <c r="AY51" s="488"/>
    </row>
    <row r="52" spans="3:51" ht="13.5" thickBot="1">
      <c r="C52" s="485">
        <v>30</v>
      </c>
      <c r="D52" s="627">
        <f>'Swap and Yield Curves'!D28</f>
        <v>2.2332999999999998</v>
      </c>
      <c r="E52" s="492">
        <f t="shared" si="0"/>
        <v>1</v>
      </c>
      <c r="F52" s="492">
        <f t="shared" si="1"/>
        <v>0</v>
      </c>
      <c r="G52" s="492">
        <f>IF(F52=1,D51,IF(F52=2,D50,IF(F52=3,D49,IF(F52=4,D48,IF(F52=5,D47,IF(F52=6,D46,IF(F52=7,D45,IF(F52=8,D44,IF(F52=9,D43,IF(F52=10,D42,IF(F52=11,D41,IF(F52=21,D40,IF(F52=13,D39,IF(F52=14,D38,IF(F52=15,D37,IF(F52=16,D36,IF(F52=17,D35,IF(F52=18,D34,IF(F52=71,D33,0)))))))))))))))))))</f>
        <v>0</v>
      </c>
      <c r="H52" s="624">
        <f t="shared" si="2"/>
        <v>2.2332999999999998</v>
      </c>
      <c r="I52" s="459">
        <f t="shared" si="11"/>
        <v>30</v>
      </c>
      <c r="J52" s="482">
        <f t="shared" si="3"/>
        <v>2.2457690722250234E-2</v>
      </c>
      <c r="K52" s="491">
        <f t="shared" si="12"/>
        <v>2.277949878756802E-2</v>
      </c>
      <c r="L52" s="490">
        <f t="shared" si="4"/>
        <v>2.277949878756802E-2</v>
      </c>
      <c r="M52" s="483">
        <f>'All Curves'!C44</f>
        <v>2.7627048736543536E-2</v>
      </c>
      <c r="N52" s="483">
        <f t="shared" si="5"/>
        <v>-4.8475499489755158E-3</v>
      </c>
      <c r="O52" s="492">
        <f t="shared" si="6"/>
        <v>1</v>
      </c>
      <c r="P52" s="492">
        <f t="shared" si="7"/>
        <v>0</v>
      </c>
      <c r="Q52" s="492">
        <f t="shared" si="33"/>
        <v>0</v>
      </c>
      <c r="R52" s="505">
        <f t="shared" si="8"/>
        <v>-4.8475499489755158E-3</v>
      </c>
      <c r="S52" s="483">
        <f t="shared" si="13"/>
        <v>2.277949878756802E-2</v>
      </c>
      <c r="T52" s="483">
        <f t="shared" si="9"/>
        <v>-3.2180806531778572E-4</v>
      </c>
      <c r="U52" s="489">
        <f>((1+J52)/(V51-J52*(1+W51+X51+Y51+Z51+AA51+AB51+AC51+AD51+AE51+AF51+AG51+AH51+AI51+AJ51+AK51+AL51+AM51+AN51+AO51+AP51+AQ51+AR51+AS51+AT51+AU51+AV51+AW51+AX51)))-1</f>
        <v>2.3289869070168168E-2</v>
      </c>
      <c r="V52" s="488">
        <f t="shared" si="14"/>
        <v>1.9654428735793605</v>
      </c>
      <c r="W52" s="488">
        <f t="shared" si="10"/>
        <v>1.0232898690701682</v>
      </c>
      <c r="X52" s="488">
        <f t="shared" si="15"/>
        <v>1.0470622062603749</v>
      </c>
      <c r="Y52" s="488">
        <f t="shared" si="16"/>
        <v>1.0713264338785506</v>
      </c>
      <c r="Z52" s="488">
        <f t="shared" si="17"/>
        <v>1.0960921468692197</v>
      </c>
      <c r="AA52" s="488">
        <f t="shared" si="18"/>
        <v>1.1213691157406807</v>
      </c>
      <c r="AB52" s="488">
        <f t="shared" si="19"/>
        <v>1.148382098147793</v>
      </c>
      <c r="AC52" s="488">
        <f t="shared" si="20"/>
        <v>1.1758773174153838</v>
      </c>
      <c r="AD52" s="488">
        <f t="shared" si="21"/>
        <v>1.2038611902825005</v>
      </c>
      <c r="AE52" s="488">
        <f t="shared" si="22"/>
        <v>1.2323401736289004</v>
      </c>
      <c r="AF52" s="488">
        <f t="shared" si="24"/>
        <v>1.261320763668788</v>
      </c>
      <c r="AG52" s="488">
        <f t="shared" si="25"/>
        <v>1.2922205240924725</v>
      </c>
      <c r="AH52" s="488">
        <f t="shared" si="26"/>
        <v>1.323902406933422</v>
      </c>
      <c r="AI52" s="488">
        <f t="shared" si="27"/>
        <v>1.3564675361963474</v>
      </c>
      <c r="AJ52" s="488">
        <f t="shared" si="28"/>
        <v>1.3903660031118374</v>
      </c>
      <c r="AK52" s="488">
        <f t="shared" si="29"/>
        <v>1.4252323410730148</v>
      </c>
      <c r="AL52" s="488">
        <f t="shared" si="30"/>
        <v>1.4606647175203971</v>
      </c>
      <c r="AM52" s="488">
        <f t="shared" si="31"/>
        <v>1.4972662743986298</v>
      </c>
      <c r="AN52" s="488">
        <f t="shared" si="32"/>
        <v>1.5345186359164302</v>
      </c>
      <c r="AO52" s="488">
        <f t="shared" si="34"/>
        <v>1.5725996321214222</v>
      </c>
      <c r="AP52" s="488">
        <f t="shared" si="35"/>
        <v>1.6115569910442085</v>
      </c>
      <c r="AQ52" s="488">
        <f t="shared" si="36"/>
        <v>1.6501331414697842</v>
      </c>
      <c r="AR52" s="488">
        <f t="shared" si="37"/>
        <v>1.6883621346846243</v>
      </c>
      <c r="AS52" s="488">
        <f t="shared" si="38"/>
        <v>1.7261457388832762</v>
      </c>
      <c r="AT52" s="488">
        <f t="shared" si="39"/>
        <v>1.7628195808768981</v>
      </c>
      <c r="AU52" s="488">
        <f>V52/V27</f>
        <v>1.7985564136032457</v>
      </c>
      <c r="AV52" s="488">
        <f>V52/V26</f>
        <v>1.832382751514158</v>
      </c>
      <c r="AW52" s="488">
        <f>V52/V25</f>
        <v>1.8643506793834186</v>
      </c>
      <c r="AX52" s="488">
        <f>V52/V24</f>
        <v>1.8950377651791459</v>
      </c>
      <c r="AY52" s="488">
        <f>V52/V23</f>
        <v>1.9259053933169434</v>
      </c>
    </row>
  </sheetData>
  <pageMargins left="0.75" right="0.75" top="1" bottom="1" header="0.5" footer="0.5"/>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FF9900"/>
  </sheetPr>
  <dimension ref="C1:BI51"/>
  <sheetViews>
    <sheetView showGridLines="0" topLeftCell="H13" workbookViewId="0">
      <selection activeCell="Q47" sqref="Q47"/>
    </sheetView>
  </sheetViews>
  <sheetFormatPr defaultColWidth="8.85546875" defaultRowHeight="12.75"/>
  <cols>
    <col min="1" max="1" width="8.85546875" style="459"/>
    <col min="2" max="2" width="3.7109375" style="459" customWidth="1"/>
    <col min="3" max="3" width="24" style="459" customWidth="1"/>
    <col min="4" max="4" width="17.42578125" style="459" customWidth="1"/>
    <col min="5" max="5" width="6.140625" style="459" customWidth="1"/>
    <col min="6" max="6" width="6.7109375" style="459" bestFit="1" customWidth="1"/>
    <col min="7" max="7" width="5.5703125" style="459" customWidth="1"/>
    <col min="8" max="8" width="10" style="459" customWidth="1"/>
    <col min="9" max="9" width="5" style="459" customWidth="1"/>
    <col min="10" max="10" width="16.7109375" style="459" bestFit="1" customWidth="1"/>
    <col min="11" max="11" width="12.85546875" style="459" bestFit="1" customWidth="1"/>
    <col min="12" max="12" width="12.42578125" style="459" bestFit="1" customWidth="1"/>
    <col min="13" max="14" width="12.42578125" style="459" customWidth="1"/>
    <col min="15" max="17" width="5.7109375" style="459" bestFit="1" customWidth="1"/>
    <col min="18" max="18" width="13.85546875" style="459" bestFit="1" customWidth="1"/>
    <col min="19" max="19" width="8" style="459" customWidth="1"/>
    <col min="20" max="20" width="8.85546875" style="459"/>
    <col min="21" max="36" width="8.85546875" style="460"/>
    <col min="37" max="37" width="8.42578125" style="460" customWidth="1"/>
    <col min="38" max="61" width="8.85546875" style="460"/>
    <col min="62" max="16384" width="8.85546875" style="459"/>
  </cols>
  <sheetData>
    <row r="1" spans="3:35" hidden="1"/>
    <row r="2" spans="3:35" hidden="1"/>
    <row r="3" spans="3:35" hidden="1"/>
    <row r="4" spans="3:35" hidden="1"/>
    <row r="5" spans="3:35" hidden="1"/>
    <row r="6" spans="3:35" hidden="1"/>
    <row r="7" spans="3:35" hidden="1"/>
    <row r="8" spans="3:35" hidden="1"/>
    <row r="9" spans="3:35" hidden="1"/>
    <row r="10" spans="3:35" hidden="1"/>
    <row r="11" spans="3:35" hidden="1"/>
    <row r="12" spans="3:35" hidden="1"/>
    <row r="14" spans="3:35">
      <c r="C14" s="461"/>
      <c r="U14" s="462" t="s">
        <v>460</v>
      </c>
      <c r="V14" s="462"/>
      <c r="W14" s="462"/>
      <c r="X14" s="462"/>
      <c r="Y14" s="462"/>
      <c r="Z14" s="462"/>
      <c r="AA14" s="462"/>
      <c r="AB14" s="462"/>
      <c r="AC14" s="462"/>
      <c r="AD14" s="462"/>
      <c r="AE14" s="462"/>
      <c r="AF14" s="462"/>
      <c r="AG14" s="462"/>
      <c r="AH14" s="462"/>
      <c r="AI14" s="462"/>
    </row>
    <row r="15" spans="3:35">
      <c r="U15" s="462" t="s">
        <v>461</v>
      </c>
      <c r="V15" s="462"/>
      <c r="W15" s="462"/>
      <c r="X15" s="462"/>
      <c r="Y15" s="462"/>
      <c r="Z15" s="462"/>
      <c r="AA15" s="462"/>
      <c r="AB15" s="462"/>
      <c r="AC15" s="462"/>
      <c r="AD15" s="462"/>
      <c r="AE15" s="462"/>
      <c r="AF15" s="462"/>
      <c r="AG15" s="462"/>
      <c r="AH15" s="462"/>
      <c r="AI15" s="462"/>
    </row>
    <row r="16" spans="3:35">
      <c r="C16" s="459" t="s">
        <v>462</v>
      </c>
      <c r="D16" s="463" t="s">
        <v>131</v>
      </c>
      <c r="E16" s="463"/>
      <c r="F16" s="463"/>
      <c r="G16" s="463"/>
      <c r="N16" s="463"/>
      <c r="O16" s="463"/>
      <c r="P16" s="463"/>
      <c r="Q16" s="463"/>
      <c r="U16" s="462"/>
      <c r="V16" s="462" t="s">
        <v>463</v>
      </c>
      <c r="W16" s="462"/>
      <c r="X16" s="462"/>
      <c r="Y16" s="462"/>
      <c r="Z16" s="462"/>
      <c r="AA16" s="462"/>
      <c r="AB16" s="462"/>
      <c r="AC16" s="462"/>
      <c r="AD16" s="462"/>
      <c r="AE16" s="462"/>
      <c r="AF16" s="462"/>
      <c r="AG16" s="462"/>
      <c r="AH16" s="462"/>
      <c r="AI16" s="462"/>
    </row>
    <row r="17" spans="3:51">
      <c r="C17" s="459" t="s">
        <v>464</v>
      </c>
      <c r="D17" s="464">
        <v>42004</v>
      </c>
      <c r="E17" s="464"/>
      <c r="F17" s="464"/>
      <c r="G17" s="464"/>
      <c r="L17" s="502"/>
      <c r="M17" s="502"/>
      <c r="N17" s="502"/>
      <c r="O17" s="464"/>
      <c r="P17" s="464"/>
      <c r="Q17" s="464"/>
      <c r="U17" s="462"/>
      <c r="V17" s="462" t="s">
        <v>465</v>
      </c>
      <c r="W17" s="462"/>
      <c r="X17" s="462"/>
      <c r="Y17" s="462"/>
      <c r="Z17" s="462"/>
      <c r="AA17" s="462"/>
      <c r="AB17" s="462"/>
      <c r="AC17" s="462"/>
      <c r="AD17" s="462"/>
      <c r="AE17" s="462"/>
      <c r="AF17" s="462"/>
      <c r="AG17" s="462"/>
      <c r="AH17" s="462"/>
      <c r="AI17" s="462"/>
    </row>
    <row r="18" spans="3:51" ht="39" thickBot="1">
      <c r="H18" s="463" t="s">
        <v>466</v>
      </c>
      <c r="L18" s="502"/>
      <c r="M18" s="512" t="s">
        <v>470</v>
      </c>
      <c r="N18" s="515" t="s">
        <v>515</v>
      </c>
      <c r="R18" s="503" t="s">
        <v>516</v>
      </c>
      <c r="U18" s="462"/>
      <c r="V18" s="462" t="s">
        <v>467</v>
      </c>
      <c r="W18" s="462"/>
      <c r="X18" s="462"/>
      <c r="Y18" s="462"/>
      <c r="Z18" s="462"/>
      <c r="AA18" s="462"/>
      <c r="AB18" s="462"/>
      <c r="AC18" s="462"/>
      <c r="AD18" s="462"/>
      <c r="AE18" s="462"/>
      <c r="AF18" s="462"/>
      <c r="AG18" s="462"/>
      <c r="AH18" s="462"/>
      <c r="AI18" s="462"/>
    </row>
    <row r="19" spans="3:51">
      <c r="C19" s="467"/>
      <c r="D19" s="468" t="s">
        <v>466</v>
      </c>
      <c r="E19" s="469"/>
      <c r="F19" s="469"/>
      <c r="G19" s="469"/>
      <c r="H19" s="463" t="s">
        <v>468</v>
      </c>
      <c r="J19" s="463" t="s">
        <v>469</v>
      </c>
      <c r="K19" s="459" t="s">
        <v>470</v>
      </c>
      <c r="L19" s="502"/>
      <c r="M19" s="513" t="s">
        <v>475</v>
      </c>
      <c r="N19" s="513"/>
      <c r="O19" s="469"/>
      <c r="P19" s="469"/>
      <c r="Q19" s="469"/>
      <c r="R19" s="503" t="s">
        <v>468</v>
      </c>
    </row>
    <row r="20" spans="3:51" ht="13.5" thickBot="1">
      <c r="C20" s="470" t="s">
        <v>471</v>
      </c>
      <c r="D20" s="471" t="s">
        <v>472</v>
      </c>
      <c r="E20" s="472"/>
      <c r="F20" s="472"/>
      <c r="G20" s="472"/>
      <c r="H20" s="473" t="s">
        <v>473</v>
      </c>
      <c r="J20" s="472" t="s">
        <v>474</v>
      </c>
      <c r="K20" s="469" t="s">
        <v>475</v>
      </c>
      <c r="L20" s="502"/>
      <c r="M20" s="514" t="s">
        <v>514</v>
      </c>
      <c r="N20" s="514"/>
      <c r="O20" s="472"/>
      <c r="P20" s="472"/>
      <c r="Q20" s="472"/>
      <c r="R20" s="504" t="s">
        <v>473</v>
      </c>
    </row>
    <row r="21" spans="3:51" ht="13.5" thickBot="1">
      <c r="C21" s="474" t="s">
        <v>476</v>
      </c>
      <c r="D21" s="499"/>
      <c r="E21" s="498"/>
      <c r="F21" s="498"/>
      <c r="G21" s="498"/>
      <c r="H21" s="463" t="s">
        <v>477</v>
      </c>
      <c r="I21" s="475" t="s">
        <v>478</v>
      </c>
      <c r="J21" s="476" t="s">
        <v>479</v>
      </c>
      <c r="K21" s="477" t="s">
        <v>480</v>
      </c>
      <c r="L21" s="502"/>
      <c r="M21" s="502"/>
      <c r="N21" s="502"/>
      <c r="O21" s="498"/>
      <c r="P21" s="498"/>
      <c r="Q21" s="498"/>
      <c r="R21" s="503" t="s">
        <v>477</v>
      </c>
      <c r="T21" s="459" t="s">
        <v>512</v>
      </c>
      <c r="U21" s="462" t="s">
        <v>481</v>
      </c>
      <c r="V21" s="479" t="s">
        <v>482</v>
      </c>
      <c r="W21" s="479" t="s">
        <v>483</v>
      </c>
      <c r="X21" s="479" t="s">
        <v>484</v>
      </c>
      <c r="Y21" s="479" t="s">
        <v>485</v>
      </c>
      <c r="Z21" s="480" t="s">
        <v>486</v>
      </c>
      <c r="AA21" s="479" t="s">
        <v>487</v>
      </c>
      <c r="AB21" s="480" t="s">
        <v>488</v>
      </c>
      <c r="AC21" s="480" t="s">
        <v>489</v>
      </c>
      <c r="AD21" s="480" t="s">
        <v>490</v>
      </c>
      <c r="AE21" s="480" t="s">
        <v>491</v>
      </c>
      <c r="AF21" s="480" t="s">
        <v>492</v>
      </c>
      <c r="AG21" s="480" t="s">
        <v>493</v>
      </c>
      <c r="AH21" s="480" t="s">
        <v>494</v>
      </c>
      <c r="AI21" s="480" t="s">
        <v>495</v>
      </c>
      <c r="AJ21" s="480" t="s">
        <v>496</v>
      </c>
      <c r="AK21" s="480" t="s">
        <v>497</v>
      </c>
      <c r="AL21" s="480" t="s">
        <v>498</v>
      </c>
      <c r="AM21" s="480" t="s">
        <v>499</v>
      </c>
      <c r="AN21" s="480" t="s">
        <v>500</v>
      </c>
      <c r="AO21" s="480" t="s">
        <v>501</v>
      </c>
      <c r="AP21" s="480" t="s">
        <v>502</v>
      </c>
      <c r="AQ21" s="480" t="s">
        <v>503</v>
      </c>
      <c r="AR21" s="480" t="s">
        <v>504</v>
      </c>
      <c r="AS21" s="480" t="s">
        <v>505</v>
      </c>
      <c r="AT21" s="480" t="s">
        <v>506</v>
      </c>
      <c r="AU21" s="480" t="s">
        <v>507</v>
      </c>
      <c r="AV21" s="480" t="s">
        <v>508</v>
      </c>
      <c r="AW21" s="480" t="s">
        <v>509</v>
      </c>
      <c r="AX21" s="480" t="s">
        <v>510</v>
      </c>
      <c r="AY21" s="480" t="s">
        <v>511</v>
      </c>
    </row>
    <row r="22" spans="3:51">
      <c r="C22" s="486">
        <v>1</v>
      </c>
      <c r="D22" s="500">
        <f>'Swap and Yield Curves'!D35</f>
        <v>-0.46210000000000001</v>
      </c>
      <c r="E22" s="492">
        <f t="shared" ref="E22:E51" si="0">IF(ISNUMBER(D22),1,"")</f>
        <v>1</v>
      </c>
      <c r="F22" s="492">
        <f t="shared" ref="F22:F51" si="1">IF(ISNUMBER(E22),0,1+F21)</f>
        <v>0</v>
      </c>
      <c r="G22" s="492">
        <f t="shared" ref="G22:G51" si="2">IF(F22=1,D21,IF(F22=2,D20,IF(F22=3,D19,IF(F22=4,D18,IF(F22=5,D17,IF(F22=6,D16,IF(F22=7,D15,IF(F22=8,D14,IF(F22=9,D13,IF(F22=10,D12,IF(F22=11,D11,IF(F22=21,D10,IF(F22=13,D9,IF(F22=14,D8,IF(F22=15,D7,IF(F22=16,D6,IF(F22=17,D5,IF(F22=18,D4,IF(F22=71,D3,0)))))))))))))))))))</f>
        <v>0</v>
      </c>
      <c r="H22" s="492">
        <f t="shared" ref="H22:H51" si="3">IF(G22=0,D22,IF(G23=0,((F22*D23+G22)/(1+F22)),2*H23-H24))</f>
        <v>-0.46210000000000001</v>
      </c>
      <c r="I22" s="459">
        <v>1</v>
      </c>
      <c r="J22" s="482">
        <f t="shared" ref="J22:J51" si="4">(1+H22/200)^2-1</f>
        <v>-4.6156615897500197E-3</v>
      </c>
      <c r="K22" s="483">
        <f>U22</f>
        <v>-4.6156615897500197E-3</v>
      </c>
      <c r="L22" s="494">
        <f t="shared" ref="L22:L51" si="5">IF(ISNUMBER(D22),K22,"")</f>
        <v>-4.6156615897500197E-3</v>
      </c>
      <c r="M22" s="483">
        <f>'All Curves'!L15</f>
        <v>-7.3292165053200371E-3</v>
      </c>
      <c r="N22" s="483">
        <f t="shared" ref="N22:N51" si="6">IF(ISNUMBER(L22),L22-M22,"")</f>
        <v>2.7135549155700173E-3</v>
      </c>
      <c r="O22" s="492">
        <f t="shared" ref="O22:O51" si="7">IF(ISNUMBER(N22),1,"")</f>
        <v>1</v>
      </c>
      <c r="P22" s="492">
        <f t="shared" ref="P22:P51" si="8">IF(ISNUMBER(O22),0,1+P21)</f>
        <v>0</v>
      </c>
      <c r="Q22" s="492">
        <f>IF(P22=1,#REF!,IF(P22=2,#REF!,IF(P22=3,#REF!,IF(P22=4,#REF!,IF(P22=5,#REF!,IF(P22=6,N16,IF(P22=7,N15,IF(P22=8,N14,IF(P22=9,N13,IF(P22=10,#REF!,IF(P22=11,#REF!,IF(P22=12,#REF!,IF(P22=13,#REF!,IF(P22=14,#REF!,IF(P22=15,#REF!,IF(P22=16,#REF!,IF(P22=17,#REF!,IF(P22=18,#REF!,IF(P22=19,#REF!,0)))))))))))))))))))</f>
        <v>0</v>
      </c>
      <c r="R22" s="505">
        <f t="shared" ref="R22:R51" si="9">IF(Q22=0,N22,IF(Q23=0,((P22*N23+Q22)/(1+P22)),2*R23-R24))</f>
        <v>2.7135549155700173E-3</v>
      </c>
      <c r="S22" s="483">
        <f>R22+M22</f>
        <v>-4.6156615897500197E-3</v>
      </c>
      <c r="T22" s="483">
        <f t="shared" ref="T22:T51" si="10">J22-K22</f>
        <v>0</v>
      </c>
      <c r="U22" s="489">
        <f>J22</f>
        <v>-4.6156615897500197E-3</v>
      </c>
      <c r="V22" s="488">
        <f>W22</f>
        <v>0.99538433841024998</v>
      </c>
      <c r="W22" s="488">
        <f t="shared" ref="W22:W51" si="11">(1+U22)</f>
        <v>0.99538433841024998</v>
      </c>
      <c r="X22" s="488"/>
      <c r="Y22" s="488"/>
      <c r="Z22" s="488"/>
      <c r="AA22" s="488"/>
      <c r="AB22" s="488"/>
      <c r="AC22" s="488"/>
      <c r="AD22" s="488"/>
      <c r="AE22" s="488"/>
      <c r="AF22" s="488"/>
      <c r="AG22" s="488"/>
      <c r="AH22" s="488"/>
      <c r="AI22" s="488"/>
      <c r="AJ22" s="488"/>
      <c r="AK22" s="488"/>
      <c r="AL22" s="488"/>
      <c r="AM22" s="488"/>
      <c r="AN22" s="488"/>
      <c r="AO22" s="488"/>
      <c r="AP22" s="488"/>
      <c r="AQ22" s="488"/>
      <c r="AR22" s="488"/>
      <c r="AS22" s="488"/>
      <c r="AT22" s="488"/>
      <c r="AU22" s="488"/>
      <c r="AV22" s="488"/>
      <c r="AW22" s="488"/>
      <c r="AX22" s="488"/>
      <c r="AY22" s="488"/>
    </row>
    <row r="23" spans="3:51">
      <c r="C23" s="486">
        <v>2</v>
      </c>
      <c r="D23" s="500">
        <f>'Swap and Yield Curves'!D36</f>
        <v>-0.48330000000000001</v>
      </c>
      <c r="E23" s="492">
        <f t="shared" si="0"/>
        <v>1</v>
      </c>
      <c r="F23" s="492">
        <f t="shared" si="1"/>
        <v>0</v>
      </c>
      <c r="G23" s="492">
        <f t="shared" si="2"/>
        <v>0</v>
      </c>
      <c r="H23" s="492">
        <f t="shared" si="3"/>
        <v>-0.48330000000000001</v>
      </c>
      <c r="I23" s="459">
        <f t="shared" ref="I23:I51" si="12">I22+1</f>
        <v>2</v>
      </c>
      <c r="J23" s="482">
        <f t="shared" si="4"/>
        <v>-4.8271605277501184E-3</v>
      </c>
      <c r="K23" s="491">
        <f t="shared" ref="K23:K51" si="13">(((1+K22)^I22)*(1+U23))^(1/I23)-1</f>
        <v>-4.8266501661593519E-3</v>
      </c>
      <c r="L23" s="494">
        <f t="shared" si="5"/>
        <v>-4.8266501661593519E-3</v>
      </c>
      <c r="M23" s="483">
        <f>'All Curves'!L16</f>
        <v>-7.6889418287134498E-3</v>
      </c>
      <c r="N23" s="483">
        <f t="shared" si="6"/>
        <v>2.8622916625540978E-3</v>
      </c>
      <c r="O23" s="492">
        <f t="shared" si="7"/>
        <v>1</v>
      </c>
      <c r="P23" s="492">
        <f t="shared" si="8"/>
        <v>0</v>
      </c>
      <c r="Q23" s="492">
        <f>IF(P23=1,N22,IF(P23=2,#REF!,IF(P23=3,#REF!,IF(P23=4,#REF!,IF(P23=5,#REF!,IF(P23=6,#REF!,IF(P23=7,N16,IF(P23=8,N15,IF(P23=9,N14,IF(P23=10,N13,IF(P23=11,#REF!,IF(P23=12,#REF!,IF(P23=13,#REF!,IF(P23=14,#REF!,IF(P23=15,#REF!,IF(P23=16,#REF!,IF(P23=17,#REF!,IF(P23=18,#REF!,IF(P23=19,#REF!,0)))))))))))))))))))</f>
        <v>0</v>
      </c>
      <c r="R23" s="505">
        <f t="shared" si="9"/>
        <v>2.8622916625540978E-3</v>
      </c>
      <c r="S23" s="483">
        <f t="shared" ref="S23:S51" si="14">R23+M23</f>
        <v>-4.8266501661593519E-3</v>
      </c>
      <c r="T23" s="483">
        <f t="shared" si="10"/>
        <v>-5.1036159076645049E-7</v>
      </c>
      <c r="U23" s="489">
        <f>(1+J23)/(V22-J23)-1</f>
        <v>-5.0375940199648417E-3</v>
      </c>
      <c r="V23" s="488">
        <f t="shared" ref="V23:V51" si="15">V22*W23</f>
        <v>0.99036999621950783</v>
      </c>
      <c r="W23" s="488">
        <f t="shared" si="11"/>
        <v>0.99496240598003516</v>
      </c>
      <c r="X23" s="488"/>
      <c r="Y23" s="488"/>
      <c r="Z23" s="488"/>
      <c r="AA23" s="488"/>
      <c r="AB23" s="488"/>
      <c r="AC23" s="488"/>
      <c r="AD23" s="488"/>
      <c r="AE23" s="488"/>
      <c r="AF23" s="488"/>
      <c r="AG23" s="488"/>
      <c r="AH23" s="488"/>
      <c r="AI23" s="488"/>
      <c r="AJ23" s="488"/>
      <c r="AK23" s="488"/>
      <c r="AL23" s="488"/>
      <c r="AM23" s="488"/>
      <c r="AN23" s="488"/>
      <c r="AO23" s="488"/>
      <c r="AP23" s="488"/>
      <c r="AQ23" s="488"/>
      <c r="AR23" s="488"/>
      <c r="AS23" s="488"/>
      <c r="AT23" s="488"/>
      <c r="AU23" s="488"/>
      <c r="AV23" s="488"/>
      <c r="AW23" s="488"/>
      <c r="AX23" s="488"/>
      <c r="AY23" s="488"/>
    </row>
    <row r="24" spans="3:51">
      <c r="C24" s="481">
        <v>3</v>
      </c>
      <c r="D24" s="500">
        <f>'Swap and Yield Curves'!D37</f>
        <v>-0.45739999999999997</v>
      </c>
      <c r="E24" s="492">
        <f t="shared" si="0"/>
        <v>1</v>
      </c>
      <c r="F24" s="492">
        <f t="shared" si="1"/>
        <v>0</v>
      </c>
      <c r="G24" s="492">
        <f t="shared" si="2"/>
        <v>0</v>
      </c>
      <c r="H24" s="492">
        <f t="shared" si="3"/>
        <v>-0.45739999999999997</v>
      </c>
      <c r="I24" s="459">
        <f t="shared" si="12"/>
        <v>3</v>
      </c>
      <c r="J24" s="482">
        <f t="shared" si="4"/>
        <v>-4.5687696310000581E-3</v>
      </c>
      <c r="K24" s="491">
        <f t="shared" si="13"/>
        <v>-4.5696264892961524E-3</v>
      </c>
      <c r="L24" s="494">
        <f t="shared" si="5"/>
        <v>-4.5696264892961524E-3</v>
      </c>
      <c r="M24" s="483">
        <f>'All Curves'!L17</f>
        <v>-7.6633927451663451E-3</v>
      </c>
      <c r="N24" s="483">
        <f t="shared" si="6"/>
        <v>3.0937662558701926E-3</v>
      </c>
      <c r="O24" s="492">
        <f t="shared" si="7"/>
        <v>1</v>
      </c>
      <c r="P24" s="492">
        <f t="shared" si="8"/>
        <v>0</v>
      </c>
      <c r="Q24" s="492">
        <f>IF(P24=1,N23,IF(P24=2,N22,IF(P24=3,#REF!,IF(P24=4,#REF!,IF(P24=5,#REF!,IF(P24=6,#REF!,IF(P24=7,#REF!,IF(P24=8,N16,IF(P24=9,N15,IF(P24=10,N14,IF(P24=11,N13,IF(P24=12,#REF!,IF(P24=13,#REF!,IF(P24=14,#REF!,IF(P24=15,#REF!,IF(P24=16,#REF!,IF(P24=17,#REF!,IF(P24=18,#REF!,IF(P24=19,#REF!,0)))))))))))))))))))</f>
        <v>0</v>
      </c>
      <c r="R24" s="505">
        <f t="shared" si="9"/>
        <v>3.0937662558701926E-3</v>
      </c>
      <c r="S24" s="483">
        <f t="shared" si="14"/>
        <v>-4.5696264892961524E-3</v>
      </c>
      <c r="T24" s="483">
        <f t="shared" si="10"/>
        <v>8.5685829609438713E-7</v>
      </c>
      <c r="U24" s="489">
        <f>((1+J24)/(V23-J24*(1+W23)))-1</f>
        <v>-4.0553799737123031E-3</v>
      </c>
      <c r="V24" s="488">
        <f t="shared" si="15"/>
        <v>0.98635366957027371</v>
      </c>
      <c r="W24" s="488">
        <f t="shared" si="11"/>
        <v>0.9959446200262877</v>
      </c>
      <c r="X24" s="488">
        <f t="shared" ref="X24:X51" si="16">V24/V22</f>
        <v>0.99092745536422711</v>
      </c>
      <c r="Y24" s="488"/>
      <c r="Z24" s="488"/>
      <c r="AA24" s="488"/>
      <c r="AB24" s="488"/>
      <c r="AC24" s="488"/>
      <c r="AD24" s="488"/>
      <c r="AE24" s="488"/>
      <c r="AF24" s="488"/>
      <c r="AG24" s="488"/>
      <c r="AH24" s="488"/>
      <c r="AI24" s="488"/>
      <c r="AJ24" s="488"/>
      <c r="AK24" s="488"/>
      <c r="AL24" s="488"/>
      <c r="AM24" s="488"/>
      <c r="AN24" s="488"/>
      <c r="AO24" s="488"/>
      <c r="AP24" s="488"/>
      <c r="AQ24" s="488"/>
      <c r="AR24" s="488"/>
      <c r="AS24" s="488"/>
      <c r="AT24" s="488"/>
      <c r="AU24" s="488"/>
      <c r="AV24" s="488"/>
      <c r="AW24" s="488"/>
      <c r="AX24" s="488"/>
      <c r="AY24" s="488"/>
    </row>
    <row r="25" spans="3:51">
      <c r="C25" s="481">
        <v>4</v>
      </c>
      <c r="D25" s="500">
        <f>'Swap and Yield Curves'!D38</f>
        <v>-0.40589999999999998</v>
      </c>
      <c r="E25" s="492">
        <f t="shared" si="0"/>
        <v>1</v>
      </c>
      <c r="F25" s="492">
        <f t="shared" si="1"/>
        <v>0</v>
      </c>
      <c r="G25" s="492">
        <f t="shared" si="2"/>
        <v>0</v>
      </c>
      <c r="H25" s="492">
        <f t="shared" si="3"/>
        <v>-0.40589999999999998</v>
      </c>
      <c r="I25" s="459">
        <f t="shared" si="12"/>
        <v>4</v>
      </c>
      <c r="J25" s="482">
        <f t="shared" si="4"/>
        <v>-4.0548811297500542E-3</v>
      </c>
      <c r="K25" s="491">
        <f t="shared" si="13"/>
        <v>-4.0585725142664453E-3</v>
      </c>
      <c r="L25" s="494">
        <f t="shared" si="5"/>
        <v>-4.0585725142664453E-3</v>
      </c>
      <c r="M25" s="483">
        <f>'All Curves'!L18</f>
        <v>-7.3659717909434503E-3</v>
      </c>
      <c r="N25" s="483">
        <f t="shared" si="6"/>
        <v>3.307399276677005E-3</v>
      </c>
      <c r="O25" s="492">
        <f t="shared" si="7"/>
        <v>1</v>
      </c>
      <c r="P25" s="492">
        <f t="shared" si="8"/>
        <v>0</v>
      </c>
      <c r="Q25" s="492">
        <f>IF(P25=1,N24,IF(P25=2,N23,IF(P25=3,N22,IF(P25=4,#REF!,IF(P25=5,#REF!,IF(P25=6,#REF!,IF(P25=7,#REF!,IF(P25=8,#REF!,IF(P25=9,N16,IF(P25=10,N15,IF(P25=11,N14,IF(P25=12,N13,IF(P25=13,#REF!,IF(P25=14,#REF!,IF(P25=15,#REF!,IF(P25=16,#REF!,IF(P25=17,#REF!,IF(P25=18,#REF!,IF(P25=19,#REF!,0)))))))))))))))))))</f>
        <v>0</v>
      </c>
      <c r="R25" s="505">
        <f t="shared" si="9"/>
        <v>3.307399276677005E-3</v>
      </c>
      <c r="S25" s="483">
        <f t="shared" si="14"/>
        <v>-4.0585725142664453E-3</v>
      </c>
      <c r="T25" s="483">
        <f t="shared" si="10"/>
        <v>3.6913845163910608E-6</v>
      </c>
      <c r="U25" s="489">
        <f>((1+J25)/(V24-J25*(1+W24+X24)))-1</f>
        <v>-2.5238357995645E-3</v>
      </c>
      <c r="V25" s="488">
        <f t="shared" si="15"/>
        <v>0.98386427486798045</v>
      </c>
      <c r="W25" s="488">
        <f t="shared" si="11"/>
        <v>0.9974761642004355</v>
      </c>
      <c r="X25" s="488">
        <f t="shared" si="16"/>
        <v>0.99343101933988165</v>
      </c>
      <c r="Y25" s="488">
        <f t="shared" ref="Y25:Y51" si="17">V25/V22</f>
        <v>0.98842651717760754</v>
      </c>
      <c r="Z25" s="488"/>
      <c r="AA25" s="488"/>
      <c r="AB25" s="488"/>
      <c r="AC25" s="488"/>
      <c r="AD25" s="488"/>
      <c r="AE25" s="488"/>
      <c r="AF25" s="488"/>
      <c r="AG25" s="488"/>
      <c r="AH25" s="488"/>
      <c r="AI25" s="488"/>
      <c r="AJ25" s="488"/>
      <c r="AK25" s="488"/>
      <c r="AL25" s="488"/>
      <c r="AM25" s="488"/>
      <c r="AN25" s="488"/>
      <c r="AO25" s="488"/>
      <c r="AP25" s="488"/>
      <c r="AQ25" s="488"/>
      <c r="AR25" s="488"/>
      <c r="AS25" s="488"/>
      <c r="AT25" s="488"/>
      <c r="AU25" s="488"/>
      <c r="AV25" s="488"/>
      <c r="AW25" s="488"/>
      <c r="AX25" s="488"/>
      <c r="AY25" s="488"/>
    </row>
    <row r="26" spans="3:51">
      <c r="C26" s="481">
        <v>5</v>
      </c>
      <c r="D26" s="500">
        <f>'Swap and Yield Curves'!D39</f>
        <v>-0.33589999999999998</v>
      </c>
      <c r="E26" s="492">
        <f t="shared" si="0"/>
        <v>1</v>
      </c>
      <c r="F26" s="492">
        <f t="shared" si="1"/>
        <v>0</v>
      </c>
      <c r="G26" s="492">
        <f t="shared" si="2"/>
        <v>0</v>
      </c>
      <c r="H26" s="492">
        <f t="shared" si="3"/>
        <v>-0.33589999999999998</v>
      </c>
      <c r="I26" s="459">
        <f t="shared" si="12"/>
        <v>5</v>
      </c>
      <c r="J26" s="482">
        <f t="shared" si="4"/>
        <v>-3.3561792797498491E-3</v>
      </c>
      <c r="K26" s="491">
        <f t="shared" si="13"/>
        <v>-3.3633127797256801E-3</v>
      </c>
      <c r="L26" s="494">
        <f t="shared" si="5"/>
        <v>-3.3633127797256801E-3</v>
      </c>
      <c r="M26" s="483">
        <f>'All Curves'!L19</f>
        <v>-6.8834907186791474E-3</v>
      </c>
      <c r="N26" s="483">
        <f t="shared" si="6"/>
        <v>3.5201779389534673E-3</v>
      </c>
      <c r="O26" s="492">
        <f t="shared" si="7"/>
        <v>1</v>
      </c>
      <c r="P26" s="492">
        <f t="shared" si="8"/>
        <v>0</v>
      </c>
      <c r="Q26" s="492">
        <f>IF(P26=1,N25,IF(P26=2,N24,IF(P26=3,N23,IF(P26=4,N22,IF(P26=5,#REF!,IF(P26=6,#REF!,IF(P26=7,#REF!,IF(P26=8,#REF!,IF(P26=9,#REF!,IF(P26=10,N16,IF(P26=11,N15,IF(P26=12,N14,IF(P26=13,N13,IF(P26=14,#REF!,IF(P26=15,#REF!,IF(P26=16,#REF!,IF(P26=17,#REF!,IF(P26=18,#REF!,IF(P26=19,#REF!,0)))))))))))))))))))</f>
        <v>0</v>
      </c>
      <c r="R26" s="505">
        <f t="shared" si="9"/>
        <v>3.5201779389534673E-3</v>
      </c>
      <c r="S26" s="483">
        <f t="shared" si="14"/>
        <v>-3.3633127797256801E-3</v>
      </c>
      <c r="T26" s="483">
        <f t="shared" si="10"/>
        <v>7.1334999758310147E-6</v>
      </c>
      <c r="U26" s="489">
        <f>((1+J26)/(V25-J26*(1+W25+X25+Y25)))-1</f>
        <v>-5.7741689263612894E-4</v>
      </c>
      <c r="V26" s="488">
        <f t="shared" si="15"/>
        <v>0.98329617501561051</v>
      </c>
      <c r="W26" s="488">
        <f t="shared" si="11"/>
        <v>0.99942258310736387</v>
      </c>
      <c r="X26" s="488">
        <f t="shared" si="16"/>
        <v>0.99690020461322437</v>
      </c>
      <c r="Y26" s="488">
        <f t="shared" si="17"/>
        <v>0.99285739548764618</v>
      </c>
      <c r="Z26" s="488">
        <f t="shared" ref="Z26:Z51" si="18">V26/V22</f>
        <v>0.98785578300945975</v>
      </c>
      <c r="AA26" s="488"/>
      <c r="AB26" s="488"/>
      <c r="AC26" s="488"/>
      <c r="AD26" s="488"/>
      <c r="AE26" s="488"/>
      <c r="AF26" s="488"/>
      <c r="AG26" s="488"/>
      <c r="AH26" s="488"/>
      <c r="AI26" s="488"/>
      <c r="AJ26" s="488"/>
      <c r="AK26" s="488"/>
      <c r="AL26" s="488"/>
      <c r="AM26" s="488"/>
      <c r="AN26" s="488"/>
      <c r="AO26" s="488"/>
      <c r="AP26" s="488"/>
      <c r="AQ26" s="488"/>
      <c r="AR26" s="488"/>
      <c r="AS26" s="488"/>
      <c r="AT26" s="488"/>
      <c r="AU26" s="488"/>
      <c r="AV26" s="488"/>
      <c r="AW26" s="488"/>
      <c r="AX26" s="488"/>
      <c r="AY26" s="488"/>
    </row>
    <row r="27" spans="3:51">
      <c r="C27" s="481">
        <v>6</v>
      </c>
      <c r="D27" s="500">
        <f>'Swap and Yield Curves'!D40</f>
        <v>-0.25530000000000003</v>
      </c>
      <c r="E27" s="492">
        <f t="shared" si="0"/>
        <v>1</v>
      </c>
      <c r="F27" s="492">
        <f t="shared" si="1"/>
        <v>0</v>
      </c>
      <c r="G27" s="492">
        <f t="shared" si="2"/>
        <v>0</v>
      </c>
      <c r="H27" s="492">
        <f t="shared" si="3"/>
        <v>-0.25530000000000003</v>
      </c>
      <c r="I27" s="459">
        <f t="shared" si="12"/>
        <v>6</v>
      </c>
      <c r="J27" s="482">
        <f t="shared" si="4"/>
        <v>-2.5513705477500093E-3</v>
      </c>
      <c r="K27" s="491">
        <f t="shared" si="13"/>
        <v>-2.5610369739514915E-3</v>
      </c>
      <c r="L27" s="494">
        <f t="shared" si="5"/>
        <v>-2.5610369739514915E-3</v>
      </c>
      <c r="M27" s="483">
        <f>'All Curves'!L20</f>
        <v>-6.2818599280919426E-3</v>
      </c>
      <c r="N27" s="483">
        <f t="shared" si="6"/>
        <v>3.720822954140451E-3</v>
      </c>
      <c r="O27" s="492">
        <f t="shared" si="7"/>
        <v>1</v>
      </c>
      <c r="P27" s="492">
        <f t="shared" si="8"/>
        <v>0</v>
      </c>
      <c r="Q27" s="492">
        <f>IF(P27=1,N26,IF(P27=2,N25,IF(P27=3,N24,IF(P27=4,N23,IF(P27=5,N22,IF(P27=6,#REF!,IF(P27=7,#REF!,IF(P27=8,#REF!,IF(P27=9,#REF!,IF(P27=10,#REF!,IF(P27=11,N16,IF(P27=12,N15,IF(P27=13,N14,IF(P27=14,N13,IF(P27=15,#REF!,IF(P27=16,#REF!,IF(P27=17,#REF!,IF(P27=18,#REF!,IF(P27=19,#REF!,0)))))))))))))))))))</f>
        <v>0</v>
      </c>
      <c r="R27" s="505">
        <f t="shared" si="9"/>
        <v>3.720822954140451E-3</v>
      </c>
      <c r="S27" s="483">
        <f t="shared" si="14"/>
        <v>-2.5610369739514915E-3</v>
      </c>
      <c r="T27" s="483">
        <f t="shared" si="10"/>
        <v>9.666426201482281E-6</v>
      </c>
      <c r="U27" s="489">
        <f>((1+J27)/(V26-J27*(1+W26+X26+Y26+Z26)))-1</f>
        <v>1.4600397370356788E-3</v>
      </c>
      <c r="V27" s="488">
        <f t="shared" si="15"/>
        <v>0.98473182650440849</v>
      </c>
      <c r="W27" s="488">
        <f t="shared" si="11"/>
        <v>1.0014600397370357</v>
      </c>
      <c r="X27" s="488">
        <f t="shared" si="16"/>
        <v>1.0008817797927916</v>
      </c>
      <c r="Y27" s="488">
        <f t="shared" si="17"/>
        <v>0.99835571852581861</v>
      </c>
      <c r="Z27" s="488">
        <f t="shared" si="18"/>
        <v>0.99430700673826788</v>
      </c>
      <c r="AA27" s="488">
        <f t="shared" ref="AA27:AA51" si="19">V27/V22</f>
        <v>0.98929809170711402</v>
      </c>
      <c r="AB27" s="488"/>
      <c r="AC27" s="488"/>
      <c r="AD27" s="488"/>
      <c r="AE27" s="488"/>
      <c r="AF27" s="488"/>
      <c r="AG27" s="488"/>
      <c r="AH27" s="488"/>
      <c r="AI27" s="488"/>
      <c r="AJ27" s="488"/>
      <c r="AK27" s="488"/>
      <c r="AL27" s="488"/>
      <c r="AM27" s="488"/>
      <c r="AN27" s="488"/>
      <c r="AO27" s="488"/>
      <c r="AP27" s="488"/>
      <c r="AQ27" s="488"/>
      <c r="AR27" s="488"/>
      <c r="AS27" s="488"/>
      <c r="AT27" s="488"/>
      <c r="AU27" s="488"/>
      <c r="AV27" s="488"/>
      <c r="AW27" s="488"/>
      <c r="AX27" s="488"/>
      <c r="AY27" s="488"/>
    </row>
    <row r="28" spans="3:51">
      <c r="C28" s="481">
        <v>7</v>
      </c>
      <c r="D28" s="500">
        <f>'Swap and Yield Curves'!D41</f>
        <v>-0.1711</v>
      </c>
      <c r="E28" s="492">
        <f t="shared" si="0"/>
        <v>1</v>
      </c>
      <c r="F28" s="492">
        <f t="shared" si="1"/>
        <v>0</v>
      </c>
      <c r="G28" s="492">
        <f t="shared" si="2"/>
        <v>0</v>
      </c>
      <c r="H28" s="492">
        <f t="shared" si="3"/>
        <v>-0.1711</v>
      </c>
      <c r="I28" s="459">
        <f t="shared" si="12"/>
        <v>7</v>
      </c>
      <c r="J28" s="482">
        <f t="shared" si="4"/>
        <v>-1.710268119750058E-3</v>
      </c>
      <c r="K28" s="491">
        <f t="shared" si="13"/>
        <v>-1.7201677798541759E-3</v>
      </c>
      <c r="L28" s="494">
        <f t="shared" si="5"/>
        <v>-1.7201677798541759E-3</v>
      </c>
      <c r="M28" s="483">
        <f>'All Curves'!L21</f>
        <v>-5.610613614015849E-3</v>
      </c>
      <c r="N28" s="483">
        <f t="shared" si="6"/>
        <v>3.8904458341616731E-3</v>
      </c>
      <c r="O28" s="492">
        <f t="shared" si="7"/>
        <v>1</v>
      </c>
      <c r="P28" s="492">
        <f t="shared" si="8"/>
        <v>0</v>
      </c>
      <c r="Q28" s="492">
        <f>IF(P28=1,N27,IF(P28=2,N26,IF(P28=3,N25,IF(P28=4,N24,IF(P28=5,N23,IF(P28=6,N22,IF(P28=7,#REF!,IF(P28=8,#REF!,IF(P28=9,#REF!,IF(P28=10,#REF!,IF(P28=11,#REF!,IF(P28=12,N16,IF(P28=13,N15,IF(P28=14,N14,IF(P28=15,N13,IF(P28=16,#REF!,IF(P28=17,#REF!,IF(P28=18,#REF!,IF(P28=19,#REF!,0)))))))))))))))))))</f>
        <v>0</v>
      </c>
      <c r="R28" s="505">
        <f t="shared" si="9"/>
        <v>3.8904458341616731E-3</v>
      </c>
      <c r="S28" s="483">
        <f t="shared" si="14"/>
        <v>-1.7201677798541759E-3</v>
      </c>
      <c r="T28" s="483">
        <f t="shared" si="10"/>
        <v>9.8996601041179133E-6</v>
      </c>
      <c r="U28" s="489">
        <f>((1+J28)/(V27-J28*(1+W27+X27+Y27+Z27+AA27)))-1</f>
        <v>3.3399547241401706E-3</v>
      </c>
      <c r="V28" s="488">
        <f t="shared" si="15"/>
        <v>0.98802078622035305</v>
      </c>
      <c r="W28" s="488">
        <f t="shared" si="11"/>
        <v>1.0033399547241402</v>
      </c>
      <c r="X28" s="488">
        <f t="shared" si="16"/>
        <v>1.004804870927793</v>
      </c>
      <c r="Y28" s="488">
        <f t="shared" si="17"/>
        <v>1.0042246796215162</v>
      </c>
      <c r="Z28" s="488">
        <f t="shared" si="18"/>
        <v>1.0016901814242813</v>
      </c>
      <c r="AA28" s="488">
        <f t="shared" si="19"/>
        <v>0.997627947122669</v>
      </c>
      <c r="AB28" s="488">
        <f t="shared" ref="AB28:AB51" si="20">V28/V22</f>
        <v>0.99260230254209403</v>
      </c>
      <c r="AC28" s="488"/>
      <c r="AD28" s="488"/>
      <c r="AE28" s="488"/>
      <c r="AF28" s="488"/>
      <c r="AG28" s="488"/>
      <c r="AH28" s="488"/>
      <c r="AI28" s="488"/>
      <c r="AJ28" s="488"/>
      <c r="AK28" s="488"/>
      <c r="AL28" s="488"/>
      <c r="AM28" s="488"/>
      <c r="AN28" s="488"/>
      <c r="AO28" s="488"/>
      <c r="AP28" s="488"/>
      <c r="AQ28" s="488"/>
      <c r="AR28" s="488"/>
      <c r="AS28" s="488"/>
      <c r="AT28" s="488"/>
      <c r="AU28" s="488"/>
      <c r="AV28" s="488"/>
      <c r="AW28" s="488"/>
      <c r="AX28" s="488"/>
      <c r="AY28" s="488"/>
    </row>
    <row r="29" spans="3:51">
      <c r="C29" s="481">
        <v>8</v>
      </c>
      <c r="D29" s="500">
        <f>'Swap and Yield Curves'!D42</f>
        <v>-8.2900000000000001E-2</v>
      </c>
      <c r="E29" s="492">
        <f t="shared" si="0"/>
        <v>1</v>
      </c>
      <c r="F29" s="492">
        <f t="shared" si="1"/>
        <v>0</v>
      </c>
      <c r="G29" s="492">
        <f t="shared" si="2"/>
        <v>0</v>
      </c>
      <c r="H29" s="492">
        <f t="shared" si="3"/>
        <v>-8.2900000000000001E-2</v>
      </c>
      <c r="I29" s="459">
        <f t="shared" si="12"/>
        <v>8</v>
      </c>
      <c r="J29" s="482">
        <f t="shared" si="4"/>
        <v>-8.2882818974994166E-4</v>
      </c>
      <c r="K29" s="491">
        <f t="shared" si="13"/>
        <v>-8.3561526790409957E-4</v>
      </c>
      <c r="L29" s="494">
        <f t="shared" si="5"/>
        <v>-8.3561526790409957E-4</v>
      </c>
      <c r="M29" s="483">
        <f>'All Curves'!L22</f>
        <v>-4.9065030942335181E-3</v>
      </c>
      <c r="N29" s="483">
        <f t="shared" si="6"/>
        <v>4.0708878263294185E-3</v>
      </c>
      <c r="O29" s="492">
        <f t="shared" si="7"/>
        <v>1</v>
      </c>
      <c r="P29" s="492">
        <f t="shared" si="8"/>
        <v>0</v>
      </c>
      <c r="Q29" s="492">
        <f>IF(P29=1,N28,IF(P29=2,N27,IF(P29=3,N26,IF(P29=4,N25,IF(P29=5,N24,IF(P29=6,N23,IF(P29=7,N22,IF(P29=8,#REF!,IF(P29=9,#REF!,IF(P29=10,#REF!,IF(P29=11,#REF!,IF(P29=12,#REF!,IF(P29=13,N16,IF(P29=14,N15,IF(P29=15,N14,IF(P29=16,N13,IF(P29=17,#REF!,IF(P29=18,#REF!,IF(P29=19,#REF!,0)))))))))))))))))))</f>
        <v>0</v>
      </c>
      <c r="R29" s="505">
        <f t="shared" si="9"/>
        <v>4.0708878263294185E-3</v>
      </c>
      <c r="S29" s="483">
        <f t="shared" si="14"/>
        <v>-8.3561526790409957E-4</v>
      </c>
      <c r="T29" s="483">
        <f t="shared" si="10"/>
        <v>6.7870781541579106E-6</v>
      </c>
      <c r="U29" s="489">
        <f>((1+J29)/(V28-J29*(1+W28+X28+Y28+Z28+AA28+AB28)))-1</f>
        <v>5.3782371290096442E-3</v>
      </c>
      <c r="V29" s="488">
        <f t="shared" si="15"/>
        <v>0.99333459629703669</v>
      </c>
      <c r="W29" s="488">
        <f t="shared" si="11"/>
        <v>1.0053782371290096</v>
      </c>
      <c r="X29" s="488">
        <f t="shared" si="16"/>
        <v>1.0087361549216565</v>
      </c>
      <c r="Y29" s="488">
        <f t="shared" si="17"/>
        <v>1.0102089497920266</v>
      </c>
      <c r="Z29" s="488">
        <f t="shared" si="18"/>
        <v>1.0096256380793245</v>
      </c>
      <c r="AA29" s="488">
        <f t="shared" si="19"/>
        <v>1.0070775087497819</v>
      </c>
      <c r="AB29" s="488">
        <f t="shared" si="20"/>
        <v>1.0029934267888219</v>
      </c>
      <c r="AC29" s="488">
        <f t="shared" ref="AC29:AC51" si="21">V29/V22</f>
        <v>0.99794075309996644</v>
      </c>
      <c r="AD29" s="488"/>
      <c r="AE29" s="488"/>
      <c r="AF29" s="488"/>
      <c r="AG29" s="488"/>
      <c r="AH29" s="488"/>
      <c r="AI29" s="488"/>
      <c r="AJ29" s="488"/>
      <c r="AK29" s="488"/>
      <c r="AL29" s="488"/>
      <c r="AM29" s="488"/>
      <c r="AN29" s="488"/>
      <c r="AO29" s="488"/>
      <c r="AP29" s="488"/>
      <c r="AQ29" s="488"/>
      <c r="AR29" s="488"/>
      <c r="AS29" s="488"/>
      <c r="AT29" s="488"/>
      <c r="AU29" s="488"/>
      <c r="AV29" s="488"/>
      <c r="AW29" s="488"/>
      <c r="AX29" s="488"/>
      <c r="AY29" s="488"/>
    </row>
    <row r="30" spans="3:51">
      <c r="C30" s="481">
        <v>9</v>
      </c>
      <c r="D30" s="500">
        <f>'Swap and Yield Curves'!D43</f>
        <v>4.4999999999999997E-3</v>
      </c>
      <c r="E30" s="492">
        <f t="shared" si="0"/>
        <v>1</v>
      </c>
      <c r="F30" s="492">
        <f t="shared" si="1"/>
        <v>0</v>
      </c>
      <c r="G30" s="492">
        <f t="shared" si="2"/>
        <v>0</v>
      </c>
      <c r="H30" s="492">
        <f t="shared" si="3"/>
        <v>4.4999999999999997E-3</v>
      </c>
      <c r="I30" s="459">
        <f t="shared" si="12"/>
        <v>9</v>
      </c>
      <c r="J30" s="482">
        <f t="shared" si="4"/>
        <v>4.5000506250003625E-5</v>
      </c>
      <c r="K30" s="491">
        <f t="shared" si="13"/>
        <v>4.548842569551681E-5</v>
      </c>
      <c r="L30" s="494">
        <f t="shared" si="5"/>
        <v>4.548842569551681E-5</v>
      </c>
      <c r="M30" s="483">
        <f>'All Curves'!L23</f>
        <v>-4.1963450559209057E-3</v>
      </c>
      <c r="N30" s="483">
        <f t="shared" si="6"/>
        <v>4.2418334816164225E-3</v>
      </c>
      <c r="O30" s="492">
        <f t="shared" si="7"/>
        <v>1</v>
      </c>
      <c r="P30" s="492">
        <f t="shared" si="8"/>
        <v>0</v>
      </c>
      <c r="Q30" s="492">
        <f>IF(P30=1,N29,IF(P30=2,N28,IF(P30=3,N27,IF(P30=4,N26,IF(P30=5,N25,IF(P30=6,N24,IF(P30=7,N23,IF(P30=8,N22,IF(P30=9,#REF!,IF(P30=10,#REF!,IF(P30=11,#REF!,IF(P30=12,#REF!,IF(P30=13,#REF!,IF(P30=14,N16,IF(P30=15,N15,IF(P30=16,N14,IF(P30=17,N13,IF(P30=18,#REF!,IF(P30=19,#REF!,0)))))))))))))))))))</f>
        <v>0</v>
      </c>
      <c r="R30" s="505">
        <f t="shared" si="9"/>
        <v>4.2418334816164225E-3</v>
      </c>
      <c r="S30" s="483">
        <f t="shared" si="14"/>
        <v>4.548842569551681E-5</v>
      </c>
      <c r="T30" s="483">
        <f t="shared" si="10"/>
        <v>-4.8791944551318522E-7</v>
      </c>
      <c r="U30" s="489">
        <f>((1+J30)/(V29-J30*(1+W29+X29+Y29+Z29+AA29+AB29+AC29)))-1</f>
        <v>7.1223473536405901E-3</v>
      </c>
      <c r="V30" s="488">
        <f t="shared" si="15"/>
        <v>1.0004094703302526</v>
      </c>
      <c r="W30" s="488">
        <f t="shared" si="11"/>
        <v>1.0071223473536406</v>
      </c>
      <c r="X30" s="488">
        <f t="shared" si="16"/>
        <v>1.0125388901556334</v>
      </c>
      <c r="Y30" s="488">
        <f t="shared" si="17"/>
        <v>1.0159207242051844</v>
      </c>
      <c r="Z30" s="488">
        <f t="shared" si="18"/>
        <v>1.0174040088322021</v>
      </c>
      <c r="AA30" s="488">
        <f t="shared" si="19"/>
        <v>1.0168165425708666</v>
      </c>
      <c r="AB30" s="488">
        <f t="shared" si="20"/>
        <v>1.0142502645791369</v>
      </c>
      <c r="AC30" s="488">
        <f t="shared" si="21"/>
        <v>1.0101370943678303</v>
      </c>
      <c r="AD30" s="488">
        <f t="shared" ref="AD30:AD51" si="22">V30/V22</f>
        <v>1.0050484337818981</v>
      </c>
      <c r="AE30" s="488"/>
      <c r="AF30" s="488"/>
      <c r="AG30" s="488"/>
      <c r="AH30" s="488"/>
      <c r="AI30" s="488"/>
      <c r="AJ30" s="488"/>
      <c r="AK30" s="488"/>
      <c r="AL30" s="488"/>
      <c r="AM30" s="488"/>
      <c r="AN30" s="488"/>
      <c r="AO30" s="488"/>
      <c r="AP30" s="488"/>
      <c r="AQ30" s="488"/>
      <c r="AR30" s="488"/>
      <c r="AS30" s="488"/>
      <c r="AT30" s="488"/>
      <c r="AU30" s="488"/>
      <c r="AV30" s="488"/>
      <c r="AW30" s="488"/>
      <c r="AX30" s="488"/>
      <c r="AY30" s="488"/>
    </row>
    <row r="31" spans="3:51">
      <c r="C31" s="481">
        <v>10</v>
      </c>
      <c r="D31" s="500">
        <f>'Swap and Yield Curves'!D44</f>
        <v>8.7900000000000006E-2</v>
      </c>
      <c r="E31" s="492">
        <f t="shared" si="0"/>
        <v>1</v>
      </c>
      <c r="F31" s="492">
        <f t="shared" si="1"/>
        <v>0</v>
      </c>
      <c r="G31" s="492">
        <f t="shared" si="2"/>
        <v>0</v>
      </c>
      <c r="H31" s="492">
        <f t="shared" si="3"/>
        <v>8.7900000000000006E-2</v>
      </c>
      <c r="I31" s="459">
        <f t="shared" si="12"/>
        <v>10</v>
      </c>
      <c r="J31" s="482">
        <f t="shared" si="4"/>
        <v>8.7919316024986927E-4</v>
      </c>
      <c r="K31" s="491">
        <f t="shared" si="13"/>
        <v>8.9116342650918945E-4</v>
      </c>
      <c r="L31" s="494">
        <f t="shared" si="5"/>
        <v>8.9116342650918945E-4</v>
      </c>
      <c r="M31" s="483">
        <f>'All Curves'!L24</f>
        <v>-3.499274641730837E-3</v>
      </c>
      <c r="N31" s="483">
        <f t="shared" si="6"/>
        <v>4.3904380682400265E-3</v>
      </c>
      <c r="O31" s="492">
        <f t="shared" si="7"/>
        <v>1</v>
      </c>
      <c r="P31" s="492">
        <f t="shared" si="8"/>
        <v>0</v>
      </c>
      <c r="Q31" s="492">
        <f>IF(P31=1,N30,IF(P31=2,N29,IF(P31=3,N28,IF(P31=4,N27,IF(P31=5,N26,IF(P31=6,N25,IF(P31=7,N24,IF(P31=8,N23,IF(P31=9,N22,IF(P31=10,#REF!,IF(P31=11,#REF!,IF(P31=12,#REF!,IF(P31=13,#REF!,IF(P31=14,#REF!,IF(P31=15,N16,IF(P31=16,N15,IF(P31=17,N14,IF(P31=18,N13,IF(P31=19,#REF!,0)))))))))))))))))))</f>
        <v>0</v>
      </c>
      <c r="R31" s="505">
        <f t="shared" si="9"/>
        <v>4.3904380682400265E-3</v>
      </c>
      <c r="S31" s="483">
        <f t="shared" si="14"/>
        <v>8.9116342650918945E-4</v>
      </c>
      <c r="T31" s="483">
        <f t="shared" si="10"/>
        <v>-1.1970266259320184E-5</v>
      </c>
      <c r="U31" s="489">
        <f>((1+J31)/(V30-J31*(1+W30+X30+Y30+Z30+AA30+AB30+AC30+AD30)))-1</f>
        <v>8.5344921259651318E-3</v>
      </c>
      <c r="V31" s="488">
        <f t="shared" si="15"/>
        <v>1.0089474570775272</v>
      </c>
      <c r="W31" s="488">
        <f t="shared" si="11"/>
        <v>1.0085344921259651</v>
      </c>
      <c r="X31" s="488">
        <f t="shared" si="16"/>
        <v>1.0157176250970139</v>
      </c>
      <c r="Y31" s="488">
        <f t="shared" si="17"/>
        <v>1.0211803953409002</v>
      </c>
      <c r="Z31" s="488">
        <f t="shared" si="18"/>
        <v>1.0245910916265184</v>
      </c>
      <c r="AA31" s="488">
        <f t="shared" si="19"/>
        <v>1.026087035334506</v>
      </c>
      <c r="AB31" s="488">
        <f t="shared" si="20"/>
        <v>1.0254945553469887</v>
      </c>
      <c r="AC31" s="488">
        <f t="shared" si="21"/>
        <v>1.0229063754759455</v>
      </c>
      <c r="AD31" s="488">
        <f t="shared" si="22"/>
        <v>1.0187581014458578</v>
      </c>
      <c r="AE31" s="488">
        <f t="shared" ref="AE31:AE51" si="23">V31/V22</f>
        <v>1.0136260117262235</v>
      </c>
      <c r="AF31" s="488"/>
      <c r="AG31" s="488"/>
      <c r="AH31" s="488"/>
      <c r="AI31" s="488"/>
      <c r="AJ31" s="488"/>
      <c r="AK31" s="488"/>
      <c r="AL31" s="488"/>
      <c r="AM31" s="488"/>
      <c r="AN31" s="488"/>
      <c r="AO31" s="488"/>
      <c r="AP31" s="488"/>
      <c r="AQ31" s="488"/>
      <c r="AR31" s="488"/>
      <c r="AS31" s="488"/>
      <c r="AT31" s="488"/>
      <c r="AU31" s="488"/>
      <c r="AV31" s="488"/>
      <c r="AW31" s="488"/>
      <c r="AX31" s="488"/>
      <c r="AY31" s="488"/>
    </row>
    <row r="32" spans="3:51">
      <c r="C32" s="481">
        <v>11</v>
      </c>
      <c r="D32" s="500">
        <f>'Swap and Yield Curves'!D45</f>
        <v>0.16700000000000001</v>
      </c>
      <c r="E32" s="492">
        <f t="shared" si="0"/>
        <v>1</v>
      </c>
      <c r="F32" s="492">
        <f t="shared" si="1"/>
        <v>0</v>
      </c>
      <c r="G32" s="492">
        <f t="shared" si="2"/>
        <v>0</v>
      </c>
      <c r="H32" s="492">
        <f t="shared" si="3"/>
        <v>0.16700000000000001</v>
      </c>
      <c r="I32" s="459">
        <f t="shared" si="12"/>
        <v>11</v>
      </c>
      <c r="J32" s="482">
        <f t="shared" si="4"/>
        <v>1.6706972249997953E-3</v>
      </c>
      <c r="K32" s="491">
        <f t="shared" si="13"/>
        <v>1.6982258503184244E-3</v>
      </c>
      <c r="L32" s="494">
        <f t="shared" si="5"/>
        <v>1.6982258503184244E-3</v>
      </c>
      <c r="M32" s="483">
        <f>'All Curves'!L25</f>
        <v>-2.8285236616768551E-3</v>
      </c>
      <c r="N32" s="483">
        <f t="shared" si="6"/>
        <v>4.5267495119952796E-3</v>
      </c>
      <c r="O32" s="492">
        <f t="shared" si="7"/>
        <v>1</v>
      </c>
      <c r="P32" s="492">
        <f t="shared" si="8"/>
        <v>0</v>
      </c>
      <c r="Q32" s="492">
        <f>IF(P32=1,N31,IF(P32=2,N30,IF(P32=3,N29,IF(P32=4,N28,IF(P32=5,N27,IF(P32=6,N26,IF(P32=7,N25,IF(P32=8,N24,IF(P32=9,N23,IF(P32=10,N22,IF(P32=11,#REF!,IF(P32=12,#REF!,IF(P32=13,#REF!,IF(P32=14,#REF!,IF(P32=15,#REF!,IF(P32=16,N16,IF(P32=17,N15,IF(P32=18,N14,IF(P32=19,N13,0)))))))))))))))))))</f>
        <v>0</v>
      </c>
      <c r="R32" s="505">
        <f t="shared" si="9"/>
        <v>4.5267495119952796E-3</v>
      </c>
      <c r="S32" s="483">
        <f t="shared" si="14"/>
        <v>1.6982258503184244E-3</v>
      </c>
      <c r="T32" s="483">
        <f t="shared" si="10"/>
        <v>-2.7528625318629096E-5</v>
      </c>
      <c r="U32" s="489">
        <f>((1+J32)/(V31-J32*(1+W31+X31+Y31+Z31+AA31+AB31+AC31+AD31+AE31)))-1</f>
        <v>9.8047291507481482E-3</v>
      </c>
      <c r="V32" s="488">
        <f t="shared" si="15"/>
        <v>1.0188399136215085</v>
      </c>
      <c r="W32" s="488">
        <f t="shared" si="11"/>
        <v>1.0098047291507481</v>
      </c>
      <c r="X32" s="488">
        <f t="shared" si="16"/>
        <v>1.0184228996604476</v>
      </c>
      <c r="Y32" s="488">
        <f t="shared" si="17"/>
        <v>1.0256764613047313</v>
      </c>
      <c r="Z32" s="488">
        <f t="shared" si="18"/>
        <v>1.0311927925312718</v>
      </c>
      <c r="AA32" s="488">
        <f t="shared" si="19"/>
        <v>1.0346369297701858</v>
      </c>
      <c r="AB32" s="488">
        <f t="shared" si="20"/>
        <v>1.036147540801055</v>
      </c>
      <c r="AC32" s="488">
        <f t="shared" si="21"/>
        <v>1.0355492517077329</v>
      </c>
      <c r="AD32" s="488">
        <f t="shared" si="22"/>
        <v>1.0329356954340607</v>
      </c>
      <c r="AE32" s="488">
        <f t="shared" si="23"/>
        <v>1.028746748700665</v>
      </c>
      <c r="AF32" s="488">
        <f t="shared" ref="AF32:AF51" si="24">V32/V22</f>
        <v>1.0235643402313521</v>
      </c>
      <c r="AG32" s="488"/>
      <c r="AH32" s="488"/>
      <c r="AI32" s="488"/>
      <c r="AJ32" s="488"/>
      <c r="AK32" s="488"/>
      <c r="AL32" s="488"/>
      <c r="AM32" s="488"/>
      <c r="AN32" s="488"/>
      <c r="AO32" s="488"/>
      <c r="AP32" s="488"/>
      <c r="AQ32" s="488"/>
      <c r="AR32" s="488"/>
      <c r="AS32" s="488"/>
      <c r="AT32" s="488"/>
      <c r="AU32" s="488"/>
      <c r="AV32" s="488"/>
      <c r="AW32" s="488"/>
      <c r="AX32" s="488"/>
      <c r="AY32" s="488"/>
    </row>
    <row r="33" spans="3:51">
      <c r="C33" s="481">
        <v>12</v>
      </c>
      <c r="D33" s="500">
        <f>'Swap and Yield Curves'!D46</f>
        <v>0.24110000000000001</v>
      </c>
      <c r="E33" s="492">
        <f t="shared" si="0"/>
        <v>1</v>
      </c>
      <c r="F33" s="492">
        <f t="shared" si="1"/>
        <v>0</v>
      </c>
      <c r="G33" s="492">
        <f t="shared" si="2"/>
        <v>0</v>
      </c>
      <c r="H33" s="492">
        <f t="shared" si="3"/>
        <v>0.24110000000000001</v>
      </c>
      <c r="I33" s="459">
        <f t="shared" si="12"/>
        <v>12</v>
      </c>
      <c r="J33" s="482">
        <f t="shared" si="4"/>
        <v>2.4124532302498558E-3</v>
      </c>
      <c r="K33" s="491">
        <f t="shared" si="13"/>
        <v>2.4591780515739181E-3</v>
      </c>
      <c r="L33" s="494">
        <f t="shared" si="5"/>
        <v>2.4591780515739181E-3</v>
      </c>
      <c r="M33" s="483">
        <f>'All Curves'!L26</f>
        <v>-2.192820373761924E-3</v>
      </c>
      <c r="N33" s="483">
        <f t="shared" si="6"/>
        <v>4.6519984253358421E-3</v>
      </c>
      <c r="O33" s="492">
        <f t="shared" si="7"/>
        <v>1</v>
      </c>
      <c r="P33" s="492">
        <f t="shared" si="8"/>
        <v>0</v>
      </c>
      <c r="Q33" s="492">
        <f>IF(P33=1,N32,IF(P33=2,N31,IF(P33=3,N30,IF(P33=4,N29,IF(P33=5,N28,IF(P33=6,N27,IF(P33=7,N26,IF(P33=8,N25,IF(P33=9,N24,IF(P33=10,N23,IF(P33=11,N22,IF(P33=12,#REF!,IF(P33=13,#REF!,IF(P33=14,#REF!,IF(P33=15,#REF!,IF(P33=16,#REF!,IF(P33=17,N16,IF(P33=18,N15,IF(P33=19,N14,0)))))))))))))))))))</f>
        <v>0</v>
      </c>
      <c r="R33" s="505">
        <f t="shared" si="9"/>
        <v>4.6519984253358421E-3</v>
      </c>
      <c r="S33" s="483">
        <f t="shared" si="14"/>
        <v>2.4591780515739181E-3</v>
      </c>
      <c r="T33" s="483">
        <f t="shared" si="10"/>
        <v>-4.6724821324062304E-5</v>
      </c>
      <c r="U33" s="489">
        <f>((1+J33)/(V32-J33*(1+W32+X32+Y32+Z32+AA32+AB32+AC32+AD32+AE32+AF32)))-1</f>
        <v>1.0867901433765148E-2</v>
      </c>
      <c r="V33" s="488">
        <f t="shared" si="15"/>
        <v>1.0299125653795329</v>
      </c>
      <c r="W33" s="488">
        <f t="shared" si="11"/>
        <v>1.0108679014337651</v>
      </c>
      <c r="X33" s="488">
        <f t="shared" si="16"/>
        <v>1.0207791874145085</v>
      </c>
      <c r="Y33" s="488">
        <f t="shared" si="17"/>
        <v>1.0294910193518467</v>
      </c>
      <c r="Z33" s="488">
        <f t="shared" si="18"/>
        <v>1.0368234119891242</v>
      </c>
      <c r="AA33" s="488">
        <f t="shared" si="19"/>
        <v>1.0423996941597107</v>
      </c>
      <c r="AB33" s="488">
        <f t="shared" si="20"/>
        <v>1.0458812619426616</v>
      </c>
      <c r="AC33" s="488">
        <f t="shared" si="21"/>
        <v>1.047408290145319</v>
      </c>
      <c r="AD33" s="488">
        <f t="shared" si="22"/>
        <v>1.046803498905102</v>
      </c>
      <c r="AE33" s="488">
        <f t="shared" si="23"/>
        <v>1.0441615387594558</v>
      </c>
      <c r="AF33" s="488">
        <f t="shared" si="24"/>
        <v>1.0399270669658502</v>
      </c>
      <c r="AG33" s="488">
        <f t="shared" ref="AG33:AG51" si="25">V33/V22</f>
        <v>1.0346883365921034</v>
      </c>
      <c r="AH33" s="488"/>
      <c r="AI33" s="488"/>
      <c r="AJ33" s="488"/>
      <c r="AK33" s="488"/>
      <c r="AL33" s="488"/>
      <c r="AM33" s="488"/>
      <c r="AN33" s="488"/>
      <c r="AO33" s="488"/>
      <c r="AP33" s="488"/>
      <c r="AQ33" s="488"/>
      <c r="AR33" s="488"/>
      <c r="AS33" s="488"/>
      <c r="AT33" s="488"/>
      <c r="AU33" s="488"/>
      <c r="AV33" s="488"/>
      <c r="AW33" s="488"/>
      <c r="AX33" s="488"/>
      <c r="AY33" s="488"/>
    </row>
    <row r="34" spans="3:51">
      <c r="C34" s="481">
        <v>13</v>
      </c>
      <c r="D34" s="500">
        <f>'Swap and Yield Curves'!D47</f>
        <v>0.3135</v>
      </c>
      <c r="E34" s="492">
        <f t="shared" si="0"/>
        <v>1</v>
      </c>
      <c r="F34" s="492">
        <f t="shared" si="1"/>
        <v>0</v>
      </c>
      <c r="G34" s="492">
        <f t="shared" si="2"/>
        <v>0</v>
      </c>
      <c r="H34" s="492">
        <f t="shared" si="3"/>
        <v>0.3135</v>
      </c>
      <c r="I34" s="459">
        <f t="shared" si="12"/>
        <v>13</v>
      </c>
      <c r="J34" s="482">
        <f t="shared" si="4"/>
        <v>3.1374570562499038E-3</v>
      </c>
      <c r="K34" s="491">
        <f t="shared" si="13"/>
        <v>3.2079495299699445E-3</v>
      </c>
      <c r="L34" s="494">
        <f t="shared" si="5"/>
        <v>3.2079495299699445E-3</v>
      </c>
      <c r="M34" s="483">
        <f>'All Curves'!L27</f>
        <v>0</v>
      </c>
      <c r="N34" s="483">
        <f t="shared" si="6"/>
        <v>3.2079495299699445E-3</v>
      </c>
      <c r="O34" s="492">
        <f t="shared" si="7"/>
        <v>1</v>
      </c>
      <c r="P34" s="492">
        <f t="shared" si="8"/>
        <v>0</v>
      </c>
      <c r="Q34" s="492">
        <f>IF(P34=1,N33,IF(P34=2,N32,IF(P34=3,N31,IF(P34=4,N30,IF(P34=5,N29,IF(P34=6,N28,IF(P34=7,N27,IF(P34=8,N26,IF(P34=9,N25,IF(P34=10,N24,IF(P34=11,N23,IF(P34=12,N22,IF(P34=13,#REF!,IF(P34=14,#REF!,IF(P34=15,#REF!,IF(P34=16,#REF!,IF(P34=17,#REF!,IF(P34=18,N16,IF(P34=19,N15,0)))))))))))))))))))</f>
        <v>0</v>
      </c>
      <c r="R34" s="505">
        <f t="shared" si="9"/>
        <v>3.2079495299699445E-3</v>
      </c>
      <c r="S34" s="483">
        <f t="shared" si="14"/>
        <v>3.2079495299699445E-3</v>
      </c>
      <c r="T34" s="483">
        <f t="shared" si="10"/>
        <v>-7.0492473720040749E-5</v>
      </c>
      <c r="U34" s="489">
        <f>((1+J34)/(V33-J34*(1+W33+X33+Y33+Z33+AA33+AB33+AC33+AD33+AE33+AF33+AG33)))-1</f>
        <v>1.2236951071344038E-2</v>
      </c>
      <c r="V34" s="488">
        <f t="shared" si="15"/>
        <v>1.0425155550498446</v>
      </c>
      <c r="W34" s="488">
        <f t="shared" si="11"/>
        <v>1.012236951071344</v>
      </c>
      <c r="X34" s="488">
        <f t="shared" si="16"/>
        <v>1.0232378424832023</v>
      </c>
      <c r="Y34" s="488">
        <f t="shared" si="17"/>
        <v>1.0332704123855461</v>
      </c>
      <c r="Z34" s="488">
        <f t="shared" si="18"/>
        <v>1.0420888505840433</v>
      </c>
      <c r="AA34" s="488">
        <f t="shared" si="19"/>
        <v>1.0495109693512592</v>
      </c>
      <c r="AB34" s="488">
        <f t="shared" si="20"/>
        <v>1.0551554882139269</v>
      </c>
      <c r="AC34" s="488">
        <f t="shared" si="21"/>
        <v>1.0586796597714896</v>
      </c>
      <c r="AD34" s="488">
        <f t="shared" si="22"/>
        <v>1.0602253741435472</v>
      </c>
      <c r="AE34" s="488">
        <f t="shared" si="23"/>
        <v>1.0596131821025154</v>
      </c>
      <c r="AF34" s="488">
        <f t="shared" si="24"/>
        <v>1.0569388924198346</v>
      </c>
      <c r="AG34" s="488">
        <f t="shared" si="25"/>
        <v>1.0526526036020776</v>
      </c>
      <c r="AH34" s="488">
        <f t="shared" ref="AH34:AH51" si="26">V34/V22</f>
        <v>1.0473497671410712</v>
      </c>
      <c r="AI34" s="488"/>
      <c r="AJ34" s="488"/>
      <c r="AK34" s="488"/>
      <c r="AL34" s="488"/>
      <c r="AM34" s="488"/>
      <c r="AN34" s="488"/>
      <c r="AO34" s="488"/>
      <c r="AP34" s="488"/>
      <c r="AQ34" s="488"/>
      <c r="AR34" s="488"/>
      <c r="AS34" s="488"/>
      <c r="AT34" s="488"/>
      <c r="AU34" s="488"/>
      <c r="AV34" s="488"/>
      <c r="AW34" s="488"/>
      <c r="AX34" s="488"/>
      <c r="AY34" s="488"/>
    </row>
    <row r="35" spans="3:51">
      <c r="C35" s="481">
        <v>14</v>
      </c>
      <c r="D35" s="500">
        <f>'Swap and Yield Curves'!D48</f>
        <v>0.37090000000000001</v>
      </c>
      <c r="E35" s="492">
        <f t="shared" si="0"/>
        <v>1</v>
      </c>
      <c r="F35" s="492">
        <f t="shared" si="1"/>
        <v>0</v>
      </c>
      <c r="G35" s="492">
        <f t="shared" si="2"/>
        <v>0</v>
      </c>
      <c r="H35" s="492">
        <f t="shared" si="3"/>
        <v>0.37090000000000001</v>
      </c>
      <c r="I35" s="459">
        <f t="shared" si="12"/>
        <v>14</v>
      </c>
      <c r="J35" s="482">
        <f t="shared" si="4"/>
        <v>3.7124391702501036E-3</v>
      </c>
      <c r="K35" s="491">
        <f t="shared" si="13"/>
        <v>3.8046646441449727E-3</v>
      </c>
      <c r="L35" s="494">
        <f t="shared" si="5"/>
        <v>3.8046646441449727E-3</v>
      </c>
      <c r="M35" s="483">
        <f>'All Curves'!L28</f>
        <v>0</v>
      </c>
      <c r="N35" s="483">
        <f t="shared" si="6"/>
        <v>3.8046646441449727E-3</v>
      </c>
      <c r="O35" s="492">
        <f t="shared" si="7"/>
        <v>1</v>
      </c>
      <c r="P35" s="492">
        <f t="shared" si="8"/>
        <v>0</v>
      </c>
      <c r="Q35" s="492">
        <f>IF(P35=1,N34,IF(P35=2,N33,IF(P35=3,N32,IF(P35=4,N31,IF(P35=5,N30,IF(P35=6,N29,IF(P35=7,N28,IF(P35=8,N27,IF(P35=9,N26,IF(P35=10,N25,IF(P35=11,N24,IF(P35=12,N23,IF(P35=13,N22,IF(P35=14,#REF!,IF(P35=15,#REF!,IF(P35=16,#REF!,IF(P35=17,#REF!,IF(P35=18,#REF!,IF(P35=19,N16,0)))))))))))))))))))</f>
        <v>0</v>
      </c>
      <c r="R35" s="505">
        <f t="shared" si="9"/>
        <v>3.8046646441449727E-3</v>
      </c>
      <c r="S35" s="483">
        <f t="shared" si="14"/>
        <v>3.8046646441449727E-3</v>
      </c>
      <c r="T35" s="483">
        <f t="shared" si="10"/>
        <v>-9.2225473894869126E-5</v>
      </c>
      <c r="U35" s="489">
        <f>((1+J35)/(V34-J35*(1+W34+X34+Y34+Z34+AA34+AB34+AC34+AD34+AE34+AF34+AG34+AH34)))-1</f>
        <v>1.1594336760075485E-2</v>
      </c>
      <c r="V35" s="488">
        <f t="shared" si="15"/>
        <v>1.0546028314727096</v>
      </c>
      <c r="W35" s="488">
        <f t="shared" si="11"/>
        <v>1.0115943367600755</v>
      </c>
      <c r="X35" s="488">
        <f t="shared" si="16"/>
        <v>1.0239731671630572</v>
      </c>
      <c r="Y35" s="488">
        <f t="shared" si="17"/>
        <v>1.0351016066146057</v>
      </c>
      <c r="Z35" s="488">
        <f t="shared" si="18"/>
        <v>1.0452504975109662</v>
      </c>
      <c r="AA35" s="488">
        <f t="shared" si="19"/>
        <v>1.0541711796516349</v>
      </c>
      <c r="AB35" s="488">
        <f t="shared" si="20"/>
        <v>1.0616793529633111</v>
      </c>
      <c r="AC35" s="488">
        <f t="shared" si="21"/>
        <v>1.0673893162785213</v>
      </c>
      <c r="AD35" s="488">
        <f t="shared" si="22"/>
        <v>1.0709543482679225</v>
      </c>
      <c r="AE35" s="488">
        <f t="shared" si="23"/>
        <v>1.0725179841729446</v>
      </c>
      <c r="AF35" s="488">
        <f t="shared" si="24"/>
        <v>1.0718986941712272</v>
      </c>
      <c r="AG35" s="488">
        <f t="shared" si="25"/>
        <v>1.0691933978733714</v>
      </c>
      <c r="AH35" s="488">
        <f t="shared" si="26"/>
        <v>1.0648574123796104</v>
      </c>
      <c r="AI35" s="488">
        <f t="shared" ref="AI35:AI51" si="27">V35/V22</f>
        <v>1.0594930930468915</v>
      </c>
      <c r="AJ35" s="488"/>
      <c r="AK35" s="488"/>
      <c r="AL35" s="488"/>
      <c r="AM35" s="488"/>
      <c r="AN35" s="488"/>
      <c r="AO35" s="488"/>
      <c r="AP35" s="488"/>
      <c r="AQ35" s="488"/>
      <c r="AR35" s="488"/>
      <c r="AS35" s="488"/>
      <c r="AT35" s="488"/>
      <c r="AU35" s="488"/>
      <c r="AV35" s="488"/>
      <c r="AW35" s="488"/>
      <c r="AX35" s="488"/>
      <c r="AY35" s="488"/>
    </row>
    <row r="36" spans="3:51">
      <c r="C36" s="481">
        <v>15</v>
      </c>
      <c r="D36" s="500">
        <f>'Swap and Yield Curves'!D49</f>
        <v>0.42599999999999999</v>
      </c>
      <c r="E36" s="492">
        <f t="shared" si="0"/>
        <v>1</v>
      </c>
      <c r="F36" s="492">
        <f t="shared" si="1"/>
        <v>0</v>
      </c>
      <c r="G36" s="492">
        <f t="shared" si="2"/>
        <v>0</v>
      </c>
      <c r="H36" s="492">
        <f t="shared" si="3"/>
        <v>0.42599999999999999</v>
      </c>
      <c r="I36" s="459">
        <f t="shared" si="12"/>
        <v>15</v>
      </c>
      <c r="J36" s="482">
        <f t="shared" si="4"/>
        <v>4.2645368999998379E-3</v>
      </c>
      <c r="K36" s="491">
        <f t="shared" si="13"/>
        <v>4.3811122110684053E-3</v>
      </c>
      <c r="L36" s="494">
        <f t="shared" si="5"/>
        <v>4.3811122110684053E-3</v>
      </c>
      <c r="M36" s="483">
        <f>'All Curves'!L29</f>
        <v>0</v>
      </c>
      <c r="N36" s="483">
        <f t="shared" si="6"/>
        <v>4.3811122110684053E-3</v>
      </c>
      <c r="O36" s="492">
        <f t="shared" si="7"/>
        <v>1</v>
      </c>
      <c r="P36" s="492">
        <f t="shared" si="8"/>
        <v>0</v>
      </c>
      <c r="Q36" s="492">
        <f>IF(P36=1,N35,IF(P36=2,N34,IF(P36=3,N33,IF(P36=4,N32,IF(P36=5,N31,IF(P36=6,N30,IF(P36=7,N29,IF(P36=8,N28,IF(P36=9,N27,IF(P36=10,N26,IF(P36=11,N25,IF(P36=12,N24,IF(P36=13,N23,IF(P36=14,N22,IF(P36=15,#REF!,IF(P36=16,#REF!,IF(P36=17,#REF!,IF(P36=18,#REF!,IF(P36=19,#REF!,0)))))))))))))))))))</f>
        <v>0</v>
      </c>
      <c r="R36" s="505">
        <f t="shared" si="9"/>
        <v>4.3811122110684053E-3</v>
      </c>
      <c r="S36" s="483">
        <f t="shared" si="14"/>
        <v>4.3811122110684053E-3</v>
      </c>
      <c r="T36" s="483">
        <f t="shared" si="10"/>
        <v>-1.1657531106856744E-4</v>
      </c>
      <c r="U36" s="489">
        <f>((1+J36)/(V35-J36*(1+W35+X35+Y35+Z35+AA35+AB35+AC35+AD35+AE35+AF35+AG35+AH35+AI35)))-1</f>
        <v>1.2486223187169632E-2</v>
      </c>
      <c r="V36" s="488">
        <f t="shared" si="15"/>
        <v>1.0677708378002988</v>
      </c>
      <c r="W36" s="488">
        <f t="shared" si="11"/>
        <v>1.0124862231871696</v>
      </c>
      <c r="X36" s="488">
        <f t="shared" si="16"/>
        <v>1.0242253294237387</v>
      </c>
      <c r="Y36" s="488">
        <f t="shared" si="17"/>
        <v>1.036758724665928</v>
      </c>
      <c r="Z36" s="488">
        <f t="shared" si="18"/>
        <v>1.0480261162961935</v>
      </c>
      <c r="AA36" s="488">
        <f t="shared" si="19"/>
        <v>1.0583017285093883</v>
      </c>
      <c r="AB36" s="488">
        <f t="shared" si="20"/>
        <v>1.067333796278247</v>
      </c>
      <c r="AC36" s="488">
        <f t="shared" si="21"/>
        <v>1.0749357183176207</v>
      </c>
      <c r="AD36" s="488">
        <f t="shared" si="22"/>
        <v>1.0807169775091752</v>
      </c>
      <c r="AE36" s="488">
        <f t="shared" si="23"/>
        <v>1.0843265232836654</v>
      </c>
      <c r="AF36" s="488">
        <f t="shared" si="24"/>
        <v>1.0859096830955812</v>
      </c>
      <c r="AG36" s="488">
        <f t="shared" si="25"/>
        <v>1.0852826605006847</v>
      </c>
      <c r="AH36" s="488">
        <f t="shared" si="26"/>
        <v>1.0825435852694665</v>
      </c>
      <c r="AI36" s="488">
        <f t="shared" si="27"/>
        <v>1.078153459693094</v>
      </c>
      <c r="AJ36" s="488">
        <f t="shared" ref="AJ36:AJ51" si="28">V36/V22</f>
        <v>1.0727221602719397</v>
      </c>
      <c r="AK36" s="488"/>
      <c r="AL36" s="488"/>
      <c r="AM36" s="488"/>
      <c r="AN36" s="488"/>
      <c r="AO36" s="488"/>
      <c r="AP36" s="488"/>
      <c r="AQ36" s="488"/>
      <c r="AR36" s="488"/>
      <c r="AS36" s="488"/>
      <c r="AT36" s="488"/>
      <c r="AU36" s="488"/>
      <c r="AV36" s="488"/>
      <c r="AW36" s="488"/>
      <c r="AX36" s="488"/>
      <c r="AY36" s="488"/>
    </row>
    <row r="37" spans="3:51">
      <c r="C37" s="481">
        <v>16</v>
      </c>
      <c r="D37" s="500">
        <f>'Swap and Yield Curves'!D50</f>
        <v>0.47399999999999998</v>
      </c>
      <c r="E37" s="492">
        <f t="shared" si="0"/>
        <v>1</v>
      </c>
      <c r="F37" s="492">
        <f t="shared" si="1"/>
        <v>0</v>
      </c>
      <c r="G37" s="492">
        <f t="shared" si="2"/>
        <v>0</v>
      </c>
      <c r="H37" s="492">
        <f t="shared" si="3"/>
        <v>0.47399999999999998</v>
      </c>
      <c r="I37" s="459">
        <f t="shared" si="12"/>
        <v>16</v>
      </c>
      <c r="J37" s="482">
        <f t="shared" si="4"/>
        <v>4.7456168999999715E-3</v>
      </c>
      <c r="K37" s="491">
        <f t="shared" si="13"/>
        <v>4.8857780766391468E-3</v>
      </c>
      <c r="L37" s="494">
        <f t="shared" si="5"/>
        <v>4.8857780766391468E-3</v>
      </c>
      <c r="M37" s="483">
        <f>'All Curves'!L30</f>
        <v>0</v>
      </c>
      <c r="N37" s="483">
        <f t="shared" si="6"/>
        <v>4.8857780766391468E-3</v>
      </c>
      <c r="O37" s="492">
        <f t="shared" si="7"/>
        <v>1</v>
      </c>
      <c r="P37" s="492">
        <f t="shared" si="8"/>
        <v>0</v>
      </c>
      <c r="Q37" s="492">
        <f>IF(P37=1,N36,IF(P37=2,N35,IF(P37=3,N34,IF(P37=4,N33,IF(P37=5,N32,IF(P37=6,N31,IF(P37=7,N30,IF(P37=8,N29,IF(P37=9,N28,IF(P37=10,N27,IF(P37=11,N26,IF(P37=12,N25,IF(P37=13,N24,IF(P37=14,N23,IF(P37=15,N22,IF(P37=16,#REF!,IF(P37=17,#REF!,IF(P37=18,#REF!,IF(P37=19,#REF!,0)))))))))))))))))))</f>
        <v>0</v>
      </c>
      <c r="R37" s="505">
        <f t="shared" si="9"/>
        <v>4.8857780766391468E-3</v>
      </c>
      <c r="S37" s="483">
        <f t="shared" si="14"/>
        <v>4.8857780766391468E-3</v>
      </c>
      <c r="T37" s="483">
        <f t="shared" si="10"/>
        <v>-1.4016117663917527E-4</v>
      </c>
      <c r="U37" s="489">
        <f>((1+J37)/(V36-J37*(1+W36+X36+Y36+Z36+AA36+AB36+AC36+AD36+AE36+AF36+AG36+AH36+AI36+AJ36)))-1</f>
        <v>1.2486266730851181E-2</v>
      </c>
      <c r="V37" s="488">
        <f t="shared" si="15"/>
        <v>1.0811033092884978</v>
      </c>
      <c r="W37" s="488">
        <f t="shared" si="11"/>
        <v>1.0124862667308512</v>
      </c>
      <c r="X37" s="488">
        <f t="shared" si="16"/>
        <v>1.0251283962311968</v>
      </c>
      <c r="Y37" s="488">
        <f t="shared" si="17"/>
        <v>1.0370140800794174</v>
      </c>
      <c r="Z37" s="488">
        <f t="shared" si="18"/>
        <v>1.0497039706376441</v>
      </c>
      <c r="AA37" s="488">
        <f t="shared" si="19"/>
        <v>1.0611120499251658</v>
      </c>
      <c r="AB37" s="488">
        <f t="shared" si="20"/>
        <v>1.0715159661732774</v>
      </c>
      <c r="AC37" s="488">
        <f t="shared" si="21"/>
        <v>1.0806608107494291</v>
      </c>
      <c r="AD37" s="488">
        <f t="shared" si="22"/>
        <v>1.0883576524150536</v>
      </c>
      <c r="AE37" s="488">
        <f t="shared" si="23"/>
        <v>1.0942110979509141</v>
      </c>
      <c r="AF37" s="488">
        <f t="shared" si="24"/>
        <v>1.0978657134767218</v>
      </c>
      <c r="AG37" s="488">
        <f t="shared" si="25"/>
        <v>1.0994686410443268</v>
      </c>
      <c r="AH37" s="488">
        <f t="shared" si="26"/>
        <v>1.0988337892780642</v>
      </c>
      <c r="AI37" s="488">
        <f t="shared" si="27"/>
        <v>1.0960605132229131</v>
      </c>
      <c r="AJ37" s="488">
        <f t="shared" si="28"/>
        <v>1.0916155713676121</v>
      </c>
      <c r="AK37" s="496">
        <f t="shared" ref="AK37:AK51" si="29">V37/V22</f>
        <v>1.0861164552931901</v>
      </c>
      <c r="AL37" s="488"/>
      <c r="AM37" s="488"/>
      <c r="AN37" s="488"/>
      <c r="AO37" s="488"/>
      <c r="AP37" s="488"/>
      <c r="AQ37" s="488"/>
      <c r="AR37" s="488"/>
      <c r="AS37" s="488"/>
      <c r="AT37" s="488"/>
      <c r="AU37" s="488"/>
      <c r="AV37" s="488"/>
      <c r="AW37" s="488"/>
      <c r="AX37" s="488"/>
      <c r="AY37" s="488"/>
    </row>
    <row r="38" spans="3:51">
      <c r="C38" s="481">
        <v>17</v>
      </c>
      <c r="D38" s="500">
        <f>'Swap and Yield Curves'!D51</f>
        <v>0.51600000000000001</v>
      </c>
      <c r="E38" s="492">
        <f t="shared" si="0"/>
        <v>1</v>
      </c>
      <c r="F38" s="492">
        <f t="shared" si="1"/>
        <v>0</v>
      </c>
      <c r="G38" s="492">
        <f t="shared" si="2"/>
        <v>0</v>
      </c>
      <c r="H38" s="492">
        <f t="shared" si="3"/>
        <v>0.51600000000000001</v>
      </c>
      <c r="I38" s="459">
        <f t="shared" si="12"/>
        <v>17</v>
      </c>
      <c r="J38" s="482">
        <f t="shared" si="4"/>
        <v>5.1666564000001358E-3</v>
      </c>
      <c r="K38" s="491">
        <f t="shared" si="13"/>
        <v>5.3292738219941072E-3</v>
      </c>
      <c r="L38" s="494">
        <f t="shared" si="5"/>
        <v>5.3292738219941072E-3</v>
      </c>
      <c r="M38" s="483">
        <f>'All Curves'!L31</f>
        <v>3.4972280917605972E-4</v>
      </c>
      <c r="N38" s="483">
        <f t="shared" si="6"/>
        <v>4.9795510128180474E-3</v>
      </c>
      <c r="O38" s="492">
        <f t="shared" si="7"/>
        <v>1</v>
      </c>
      <c r="P38" s="492">
        <f t="shared" si="8"/>
        <v>0</v>
      </c>
      <c r="Q38" s="492">
        <f>IF(P38=1,N37,IF(P38=2,N36,IF(P38=3,N35,IF(P38=4,N34,IF(P38=5,N33,IF(P38=6,N32,IF(P38=7,N31,IF(P38=8,N30,IF(P38=9,N29,IF(P38=10,N28,IF(P38=11,N27,IF(P38=12,N26,IF(P38=13,N25,IF(P38=14,N24,IF(P38=15,N23,IF(P38=16,N22,IF(P38=17,#REF!,IF(P38=18,#REF!,IF(P38=19,#REF!,0)))))))))))))))))))</f>
        <v>0</v>
      </c>
      <c r="R38" s="505">
        <f t="shared" si="9"/>
        <v>4.9795510128180474E-3</v>
      </c>
      <c r="S38" s="483">
        <f t="shared" si="14"/>
        <v>5.3292738219941072E-3</v>
      </c>
      <c r="T38" s="483">
        <f t="shared" si="10"/>
        <v>-1.6261742199397133E-4</v>
      </c>
      <c r="U38" s="489">
        <f>((1+J38)/(V37-J38*(1+W37+X37+Y37+Z37+AA37+AB37+AC37+AD37+AE37+AF37+AG37+AH37+AI37+AJ37+AK37)))-1</f>
        <v>1.2451884155279203E-2</v>
      </c>
      <c r="V38" s="488">
        <f t="shared" si="15"/>
        <v>1.0945650824556472</v>
      </c>
      <c r="W38" s="488">
        <f t="shared" si="11"/>
        <v>1.0124518841552792</v>
      </c>
      <c r="X38" s="488">
        <f t="shared" si="16"/>
        <v>1.025093628432995</v>
      </c>
      <c r="Y38" s="488">
        <f t="shared" si="17"/>
        <v>1.0378931762653547</v>
      </c>
      <c r="Z38" s="488">
        <f t="shared" si="18"/>
        <v>1.0499268592719597</v>
      </c>
      <c r="AA38" s="488">
        <f t="shared" si="19"/>
        <v>1.0627747628773605</v>
      </c>
      <c r="AB38" s="488">
        <f t="shared" si="20"/>
        <v>1.0743248942466048</v>
      </c>
      <c r="AC38" s="488">
        <f t="shared" si="21"/>
        <v>1.084858358854599</v>
      </c>
      <c r="AD38" s="488">
        <f t="shared" si="22"/>
        <v>1.0941170739760313</v>
      </c>
      <c r="AE38" s="488">
        <f t="shared" si="23"/>
        <v>1.1019097558224376</v>
      </c>
      <c r="AF38" s="488">
        <f t="shared" si="24"/>
        <v>1.1078360877840197</v>
      </c>
      <c r="AG38" s="488">
        <f t="shared" si="25"/>
        <v>1.111536210158987</v>
      </c>
      <c r="AH38" s="488">
        <f t="shared" si="26"/>
        <v>1.113159097194973</v>
      </c>
      <c r="AI38" s="488">
        <f t="shared" si="27"/>
        <v>1.1125163403280611</v>
      </c>
      <c r="AJ38" s="488">
        <f t="shared" si="28"/>
        <v>1.1097085317607407</v>
      </c>
      <c r="AK38" s="488">
        <f t="shared" si="29"/>
        <v>1.1052082420043805</v>
      </c>
      <c r="AL38" s="488">
        <f t="shared" ref="AL38:AL51" si="30">V38/V22</f>
        <v>1.0996406515736434</v>
      </c>
      <c r="AM38" s="488"/>
      <c r="AN38" s="488"/>
      <c r="AO38" s="488"/>
      <c r="AP38" s="488"/>
      <c r="AQ38" s="488"/>
      <c r="AR38" s="488"/>
      <c r="AS38" s="488"/>
      <c r="AT38" s="488"/>
      <c r="AU38" s="488"/>
      <c r="AV38" s="488"/>
      <c r="AW38" s="488"/>
      <c r="AX38" s="488"/>
      <c r="AY38" s="488"/>
    </row>
    <row r="39" spans="3:51">
      <c r="C39" s="481">
        <v>18</v>
      </c>
      <c r="D39" s="500">
        <f>'Swap and Yield Curves'!D52</f>
        <v>0.55149999999999999</v>
      </c>
      <c r="E39" s="492">
        <f t="shared" si="0"/>
        <v>1</v>
      </c>
      <c r="F39" s="492">
        <f t="shared" si="1"/>
        <v>0</v>
      </c>
      <c r="G39" s="492">
        <f t="shared" si="2"/>
        <v>0</v>
      </c>
      <c r="H39" s="492">
        <f t="shared" si="3"/>
        <v>0.55149999999999999</v>
      </c>
      <c r="I39" s="459">
        <f t="shared" si="12"/>
        <v>18</v>
      </c>
      <c r="J39" s="482">
        <f t="shared" si="4"/>
        <v>5.522603806249915E-3</v>
      </c>
      <c r="K39" s="491">
        <f t="shared" si="13"/>
        <v>5.7051412177933081E-3</v>
      </c>
      <c r="L39" s="494">
        <f t="shared" si="5"/>
        <v>5.7051412177933081E-3</v>
      </c>
      <c r="M39" s="483">
        <f>'All Curves'!L32</f>
        <v>7.3195728033116636E-4</v>
      </c>
      <c r="N39" s="483">
        <f t="shared" si="6"/>
        <v>4.9731839374621417E-3</v>
      </c>
      <c r="O39" s="492">
        <f t="shared" si="7"/>
        <v>1</v>
      </c>
      <c r="P39" s="492">
        <f t="shared" si="8"/>
        <v>0</v>
      </c>
      <c r="Q39" s="492">
        <f>IF(P39=1,N38,IF(P39=2,N37,IF(P39=3,N36,IF(P39=4,N35,IF(P39=5,N34,IF(P39=6,N33,IF(P39=7,N32,IF(P39=8,N31,IF(P39=9,N30,IF(P39=10,N29,IF(P39=11,N28,IF(P39=12,N27,IF(P39=13,N26,IF(P39=14,N25,IF(P39=15,N24,IF(P39=16,N23,IF(P39=17,N22,IF(P39=18,#REF!,IF(P39=19,#REF!,0)))))))))))))))))))</f>
        <v>0</v>
      </c>
      <c r="R39" s="505">
        <f t="shared" si="9"/>
        <v>4.9731839374621417E-3</v>
      </c>
      <c r="S39" s="483">
        <f t="shared" si="14"/>
        <v>5.7051412177933081E-3</v>
      </c>
      <c r="T39" s="483">
        <f t="shared" si="10"/>
        <v>-1.8253741154339309E-4</v>
      </c>
      <c r="U39" s="489">
        <f>((1+J39)/(V38-J39*(1+W38+X38+Y38+Z38+AA38+AB38+AC38+AD38+AE38+AF38+AG38+AH38+AI38+AJ38+AK38+AL38)))-1</f>
        <v>1.2116430569631964E-2</v>
      </c>
      <c r="V39" s="488">
        <f t="shared" si="15"/>
        <v>1.1078273042811646</v>
      </c>
      <c r="W39" s="488">
        <f t="shared" si="11"/>
        <v>1.012116430569632</v>
      </c>
      <c r="X39" s="488">
        <f t="shared" si="16"/>
        <v>1.0247191871147399</v>
      </c>
      <c r="Y39" s="488">
        <f t="shared" si="17"/>
        <v>1.0375141042092755</v>
      </c>
      <c r="Z39" s="488">
        <f t="shared" si="18"/>
        <v>1.0504687368742687</v>
      </c>
      <c r="AA39" s="488">
        <f t="shared" si="19"/>
        <v>1.0626482251655203</v>
      </c>
      <c r="AB39" s="488">
        <f t="shared" si="20"/>
        <v>1.0756517995029213</v>
      </c>
      <c r="AC39" s="488">
        <f t="shared" si="21"/>
        <v>1.0873418772369712</v>
      </c>
      <c r="AD39" s="488">
        <f t="shared" si="22"/>
        <v>1.0980029698375458</v>
      </c>
      <c r="AE39" s="488">
        <f t="shared" si="23"/>
        <v>1.1073738675379108</v>
      </c>
      <c r="AF39" s="488">
        <f t="shared" si="24"/>
        <v>1.1152609688728603</v>
      </c>
      <c r="AG39" s="488">
        <f t="shared" si="25"/>
        <v>1.1212591068241875</v>
      </c>
      <c r="AH39" s="488">
        <f t="shared" si="26"/>
        <v>1.1250040614750101</v>
      </c>
      <c r="AI39" s="488">
        <f t="shared" si="27"/>
        <v>1.1266466121090901</v>
      </c>
      <c r="AJ39" s="488">
        <f t="shared" si="28"/>
        <v>1.1259960673232272</v>
      </c>
      <c r="AK39" s="488">
        <f t="shared" si="29"/>
        <v>1.1231542381383479</v>
      </c>
      <c r="AL39" s="488">
        <f t="shared" si="30"/>
        <v>1.1185994209336116</v>
      </c>
      <c r="AM39" s="488">
        <f t="shared" ref="AM39:AM51" si="31">V39/V22</f>
        <v>1.1129643711799804</v>
      </c>
      <c r="AN39" s="488"/>
      <c r="AO39" s="488"/>
      <c r="AP39" s="488"/>
      <c r="AQ39" s="488"/>
      <c r="AR39" s="488"/>
      <c r="AS39" s="488"/>
      <c r="AT39" s="488"/>
      <c r="AU39" s="488"/>
      <c r="AV39" s="488"/>
      <c r="AW39" s="488"/>
      <c r="AX39" s="488"/>
      <c r="AY39" s="488"/>
    </row>
    <row r="40" spans="3:51">
      <c r="C40" s="481">
        <v>19</v>
      </c>
      <c r="D40" s="500">
        <f>'Swap and Yield Curves'!D53</f>
        <v>0.58150000000000002</v>
      </c>
      <c r="E40" s="492">
        <f t="shared" si="0"/>
        <v>1</v>
      </c>
      <c r="F40" s="492">
        <f t="shared" si="1"/>
        <v>0</v>
      </c>
      <c r="G40" s="492">
        <f t="shared" si="2"/>
        <v>0</v>
      </c>
      <c r="H40" s="492">
        <f t="shared" si="3"/>
        <v>0.58150000000000002</v>
      </c>
      <c r="I40" s="459">
        <f t="shared" si="12"/>
        <v>19</v>
      </c>
      <c r="J40" s="482">
        <f t="shared" si="4"/>
        <v>5.8234535562500245E-3</v>
      </c>
      <c r="K40" s="491">
        <f t="shared" si="13"/>
        <v>6.0232569833427174E-3</v>
      </c>
      <c r="L40" s="494">
        <f t="shared" si="5"/>
        <v>6.0232569833427174E-3</v>
      </c>
      <c r="M40" s="483">
        <f>'All Curves'!L33</f>
        <v>1.0765488107651981E-3</v>
      </c>
      <c r="N40" s="483">
        <f t="shared" si="6"/>
        <v>4.9467081725775193E-3</v>
      </c>
      <c r="O40" s="492">
        <f t="shared" si="7"/>
        <v>1</v>
      </c>
      <c r="P40" s="492">
        <f t="shared" si="8"/>
        <v>0</v>
      </c>
      <c r="Q40" s="492">
        <f>IF(P40=1,N39,IF(P40=2,N38,IF(P40=3,N37,IF(P40=4,N36,IF(P40=5,N35,IF(P40=6,N34,IF(P40=7,N33,IF(P40=8,N32,IF(P40=9,N31,IF(P40=10,N30,IF(P40=11,N29,IF(P40=12,N28,IF(P40=13,N27,IF(P40=14,N26,IF(P40=15,N25,IF(P40=16,N24,IF(P40=17,N23,IF(P40=18,N22,IF(P40=19,#REF!,0)))))))))))))))))))</f>
        <v>0</v>
      </c>
      <c r="R40" s="505">
        <f t="shared" si="9"/>
        <v>4.9467081725775193E-3</v>
      </c>
      <c r="S40" s="483">
        <f t="shared" si="14"/>
        <v>6.0232569833427174E-3</v>
      </c>
      <c r="T40" s="483">
        <f t="shared" si="10"/>
        <v>-1.9980342709269294E-4</v>
      </c>
      <c r="U40" s="489">
        <f>((1+J40)/(V39-J40*(1+W39+X39+Y39+Z39+AA39+AB39+AC39+AD39+AE39+AF39+AG39+AH39+AI39+AJ39+AK39+AL39+AM39)))-1</f>
        <v>1.1766578274208239E-2</v>
      </c>
      <c r="V40" s="488">
        <f t="shared" si="15"/>
        <v>1.1208626409712941</v>
      </c>
      <c r="W40" s="488">
        <f t="shared" si="11"/>
        <v>1.0117665782742082</v>
      </c>
      <c r="X40" s="488">
        <f t="shared" si="16"/>
        <v>1.0240255777725418</v>
      </c>
      <c r="Y40" s="488">
        <f t="shared" si="17"/>
        <v>1.0367766256390085</v>
      </c>
      <c r="Z40" s="488">
        <f t="shared" si="18"/>
        <v>1.0497220951270489</v>
      </c>
      <c r="AA40" s="488">
        <f t="shared" si="19"/>
        <v>1.0628291594913086</v>
      </c>
      <c r="AB40" s="488">
        <f t="shared" si="20"/>
        <v>1.0751519586848788</v>
      </c>
      <c r="AC40" s="488">
        <f t="shared" si="21"/>
        <v>1.0883085405975654</v>
      </c>
      <c r="AD40" s="488">
        <f t="shared" si="22"/>
        <v>1.1001361705463046</v>
      </c>
      <c r="AE40" s="488">
        <f t="shared" si="23"/>
        <v>1.1109227077274524</v>
      </c>
      <c r="AF40" s="488">
        <f t="shared" si="24"/>
        <v>1.1204038688291083</v>
      </c>
      <c r="AG40" s="488">
        <f t="shared" si="25"/>
        <v>1.1283837743592722</v>
      </c>
      <c r="AH40" s="488">
        <f t="shared" si="26"/>
        <v>1.1344524898703032</v>
      </c>
      <c r="AI40" s="488">
        <f t="shared" si="27"/>
        <v>1.138241509823158</v>
      </c>
      <c r="AJ40" s="488">
        <f t="shared" si="28"/>
        <v>1.1399033876578433</v>
      </c>
      <c r="AK40" s="488">
        <f t="shared" si="29"/>
        <v>1.1392451881858365</v>
      </c>
      <c r="AL40" s="488">
        <f t="shared" si="30"/>
        <v>1.1363699203954116</v>
      </c>
      <c r="AM40" s="488">
        <f t="shared" si="31"/>
        <v>1.131761508577511</v>
      </c>
      <c r="AN40" s="488">
        <f t="shared" ref="AN40:AN51" si="32">V40/V22</f>
        <v>1.1260601535698747</v>
      </c>
      <c r="AO40" s="488"/>
      <c r="AP40" s="488"/>
      <c r="AQ40" s="488"/>
      <c r="AR40" s="488"/>
      <c r="AS40" s="488"/>
      <c r="AT40" s="488"/>
      <c r="AU40" s="488"/>
      <c r="AV40" s="488"/>
      <c r="AW40" s="488"/>
      <c r="AX40" s="488"/>
      <c r="AY40" s="488"/>
    </row>
    <row r="41" spans="3:51">
      <c r="C41" s="481">
        <v>20</v>
      </c>
      <c r="D41" s="500">
        <f>'Swap and Yield Curves'!D54</f>
        <v>0.60489999999999999</v>
      </c>
      <c r="E41" s="492">
        <f t="shared" si="0"/>
        <v>1</v>
      </c>
      <c r="F41" s="492">
        <f t="shared" si="1"/>
        <v>0</v>
      </c>
      <c r="G41" s="492">
        <f t="shared" si="2"/>
        <v>0</v>
      </c>
      <c r="H41" s="492">
        <f t="shared" si="3"/>
        <v>0.60489999999999999</v>
      </c>
      <c r="I41" s="459">
        <f t="shared" si="12"/>
        <v>20</v>
      </c>
      <c r="J41" s="482">
        <f t="shared" si="4"/>
        <v>6.0581476002499191E-3</v>
      </c>
      <c r="K41" s="491">
        <f t="shared" si="13"/>
        <v>6.2706449375671269E-3</v>
      </c>
      <c r="L41" s="494">
        <f t="shared" si="5"/>
        <v>6.2706449375671269E-3</v>
      </c>
      <c r="M41" s="483">
        <f>'All Curves'!L34</f>
        <v>1.3862164526000087E-3</v>
      </c>
      <c r="N41" s="483">
        <f t="shared" si="6"/>
        <v>4.8844284849671182E-3</v>
      </c>
      <c r="O41" s="492">
        <f t="shared" si="7"/>
        <v>1</v>
      </c>
      <c r="P41" s="492">
        <f t="shared" si="8"/>
        <v>0</v>
      </c>
      <c r="Q41" s="492">
        <f t="shared" ref="Q41:Q51" si="33">IF(P41=1,N40,IF(P41=2,N39,IF(P41=3,N38,IF(P41=4,N37,IF(P41=5,N36,IF(P41=6,N35,IF(P41=7,N34,IF(P41=8,N33,IF(P41=9,N32,IF(P41=10,N31,IF(P41=11,N30,IF(P41=12,N29,IF(P41=13,N28,IF(P41=14,N27,IF(P41=15,N26,IF(P41=16,N25,IF(P41=17,N24,IF(P41=18,N23,IF(P41=19,N22,0)))))))))))))))))))</f>
        <v>0</v>
      </c>
      <c r="R41" s="505">
        <f t="shared" si="9"/>
        <v>4.8844284849671182E-3</v>
      </c>
      <c r="S41" s="483">
        <f t="shared" si="14"/>
        <v>6.2706449375671269E-3</v>
      </c>
      <c r="T41" s="483">
        <f t="shared" si="10"/>
        <v>-2.1249733731720788E-4</v>
      </c>
      <c r="U41" s="489">
        <f>((1+J41)/(V40-J41*(1+W40+X40+Y40+Z40+AA40+AB40+AC40+AD40+AE40+AF40+AG40+AH40+AI40+AJ40+AK40+AL40+AM40+AN40)))-1</f>
        <v>1.0982591671567121E-2</v>
      </c>
      <c r="V41" s="488">
        <f t="shared" si="15"/>
        <v>1.1331726176769961</v>
      </c>
      <c r="W41" s="488">
        <f t="shared" si="11"/>
        <v>1.0109825916715671</v>
      </c>
      <c r="X41" s="488">
        <f t="shared" si="16"/>
        <v>1.0228783974703326</v>
      </c>
      <c r="Y41" s="488">
        <f t="shared" si="17"/>
        <v>1.0352720325544582</v>
      </c>
      <c r="Z41" s="488">
        <f t="shared" si="18"/>
        <v>1.0481631199730268</v>
      </c>
      <c r="AA41" s="488">
        <f t="shared" si="19"/>
        <v>1.0612507642664513</v>
      </c>
      <c r="AB41" s="488">
        <f t="shared" si="20"/>
        <v>1.0745017781666364</v>
      </c>
      <c r="AC41" s="488">
        <f t="shared" si="21"/>
        <v>1.0869599136320005</v>
      </c>
      <c r="AD41" s="488">
        <f t="shared" si="22"/>
        <v>1.1002609889116275</v>
      </c>
      <c r="AE41" s="488">
        <f t="shared" si="23"/>
        <v>1.1122185168905361</v>
      </c>
      <c r="AF41" s="488">
        <f t="shared" si="24"/>
        <v>1.1231235182050947</v>
      </c>
      <c r="AG41" s="488">
        <f t="shared" si="25"/>
        <v>1.1327088070277023</v>
      </c>
      <c r="AH41" s="488">
        <f t="shared" si="26"/>
        <v>1.1407763526018817</v>
      </c>
      <c r="AI41" s="488">
        <f t="shared" si="27"/>
        <v>1.1469117183373414</v>
      </c>
      <c r="AJ41" s="488">
        <f t="shared" si="28"/>
        <v>1.1507423515491737</v>
      </c>
      <c r="AK41" s="488">
        <f t="shared" si="29"/>
        <v>1.1524224811095254</v>
      </c>
      <c r="AL41" s="488">
        <f t="shared" si="30"/>
        <v>1.1517570529014793</v>
      </c>
      <c r="AM41" s="488">
        <f t="shared" si="31"/>
        <v>1.1488502072189657</v>
      </c>
      <c r="AN41" s="488">
        <f t="shared" si="32"/>
        <v>1.1441911830958145</v>
      </c>
      <c r="AO41" s="488">
        <f t="shared" ref="AO41:AO51" si="34">V41/V22</f>
        <v>1.1384272124341546</v>
      </c>
      <c r="AP41" s="488"/>
      <c r="AQ41" s="488"/>
      <c r="AR41" s="488"/>
      <c r="AS41" s="488"/>
      <c r="AT41" s="488"/>
      <c r="AU41" s="488"/>
      <c r="AV41" s="488"/>
      <c r="AW41" s="488"/>
      <c r="AX41" s="488"/>
      <c r="AY41" s="488"/>
    </row>
    <row r="42" spans="3:51">
      <c r="C42" s="481">
        <v>21</v>
      </c>
      <c r="D42" s="500">
        <f>'Swap and Yield Curves'!D55</f>
        <v>0.62709999999999999</v>
      </c>
      <c r="E42" s="492">
        <f t="shared" si="0"/>
        <v>1</v>
      </c>
      <c r="F42" s="492">
        <f t="shared" si="1"/>
        <v>0</v>
      </c>
      <c r="G42" s="492">
        <f t="shared" si="2"/>
        <v>0</v>
      </c>
      <c r="H42" s="492">
        <f t="shared" si="3"/>
        <v>0.62709999999999999</v>
      </c>
      <c r="I42" s="459">
        <f t="shared" si="12"/>
        <v>21</v>
      </c>
      <c r="J42" s="482">
        <f t="shared" si="4"/>
        <v>6.2808313602498167E-3</v>
      </c>
      <c r="K42" s="491">
        <f t="shared" si="13"/>
        <v>6.5062963806192808E-3</v>
      </c>
      <c r="L42" s="494">
        <f t="shared" si="5"/>
        <v>6.5062963806192808E-3</v>
      </c>
      <c r="M42" s="483">
        <f>'All Curves'!L35</f>
        <v>1.6637895042334663E-3</v>
      </c>
      <c r="N42" s="483">
        <f t="shared" si="6"/>
        <v>4.8425068763858145E-3</v>
      </c>
      <c r="O42" s="492">
        <f t="shared" si="7"/>
        <v>1</v>
      </c>
      <c r="P42" s="492">
        <f t="shared" si="8"/>
        <v>0</v>
      </c>
      <c r="Q42" s="492">
        <f t="shared" si="33"/>
        <v>0</v>
      </c>
      <c r="R42" s="505">
        <f t="shared" si="9"/>
        <v>4.8425068763858145E-3</v>
      </c>
      <c r="S42" s="483">
        <f t="shared" si="14"/>
        <v>6.5062963806192808E-3</v>
      </c>
      <c r="T42" s="483">
        <f t="shared" si="10"/>
        <v>-2.2546502036946414E-4</v>
      </c>
      <c r="U42" s="489">
        <f>((1+J42)/(V41-J42*(1+W41+X41+Y41+Z41+AA41+AB41+AC41+AD41+AE41+AF41+AG41+AH41+AI41+AJ41+AK41+AL41+AM41+AN41+AO41)))-1</f>
        <v>1.1230931414322631E-2</v>
      </c>
      <c r="V42" s="488">
        <f t="shared" si="15"/>
        <v>1.1458992016267149</v>
      </c>
      <c r="W42" s="488">
        <f t="shared" si="11"/>
        <v>1.0112309314143226</v>
      </c>
      <c r="X42" s="488">
        <f t="shared" si="16"/>
        <v>1.0223368678197047</v>
      </c>
      <c r="Y42" s="488">
        <f t="shared" si="17"/>
        <v>1.0343662745975142</v>
      </c>
      <c r="Z42" s="488">
        <f t="shared" si="18"/>
        <v>1.0468991017472438</v>
      </c>
      <c r="AA42" s="488">
        <f t="shared" si="19"/>
        <v>1.0599349680844663</v>
      </c>
      <c r="AB42" s="488">
        <f t="shared" si="20"/>
        <v>1.0731695988133252</v>
      </c>
      <c r="AC42" s="488">
        <f t="shared" si="21"/>
        <v>1.0865694339417937</v>
      </c>
      <c r="AD42" s="488">
        <f t="shared" si="22"/>
        <v>1.0991674858721194</v>
      </c>
      <c r="AE42" s="488">
        <f t="shared" si="23"/>
        <v>1.1126179446159488</v>
      </c>
      <c r="AF42" s="488">
        <f t="shared" si="24"/>
        <v>1.1247097667714734</v>
      </c>
      <c r="AG42" s="488">
        <f t="shared" si="25"/>
        <v>1.1357372414078688</v>
      </c>
      <c r="AH42" s="488">
        <f t="shared" si="26"/>
        <v>1.1454301819518298</v>
      </c>
      <c r="AI42" s="488">
        <f t="shared" si="27"/>
        <v>1.1535883335770345</v>
      </c>
      <c r="AJ42" s="488">
        <f t="shared" si="28"/>
        <v>1.1597926051842709</v>
      </c>
      <c r="AK42" s="488">
        <f t="shared" si="29"/>
        <v>1.163666259974979</v>
      </c>
      <c r="AL42" s="488">
        <f t="shared" si="30"/>
        <v>1.1653652589551902</v>
      </c>
      <c r="AM42" s="488">
        <f t="shared" si="31"/>
        <v>1.1646923573685781</v>
      </c>
      <c r="AN42" s="488">
        <f t="shared" si="32"/>
        <v>1.1617528651015723</v>
      </c>
      <c r="AO42" s="488">
        <f t="shared" si="34"/>
        <v>1.1570415157980363</v>
      </c>
      <c r="AP42" s="488">
        <f t="shared" ref="AP42:AP51" si="35">V42/V22</f>
        <v>1.151212810377201</v>
      </c>
      <c r="AQ42" s="488"/>
      <c r="AR42" s="488"/>
      <c r="AS42" s="488"/>
      <c r="AT42" s="488"/>
      <c r="AU42" s="488"/>
      <c r="AV42" s="488"/>
      <c r="AW42" s="488"/>
      <c r="AX42" s="488"/>
      <c r="AY42" s="488"/>
    </row>
    <row r="43" spans="3:51">
      <c r="C43" s="481">
        <v>22</v>
      </c>
      <c r="D43" s="500">
        <f>'Swap and Yield Curves'!D56</f>
        <v>0.64700000000000002</v>
      </c>
      <c r="E43" s="492">
        <f t="shared" si="0"/>
        <v>1</v>
      </c>
      <c r="F43" s="492">
        <f t="shared" si="1"/>
        <v>0</v>
      </c>
      <c r="G43" s="492">
        <f t="shared" si="2"/>
        <v>0</v>
      </c>
      <c r="H43" s="492">
        <f t="shared" si="3"/>
        <v>0.64700000000000002</v>
      </c>
      <c r="I43" s="459">
        <f t="shared" si="12"/>
        <v>22</v>
      </c>
      <c r="J43" s="482">
        <f t="shared" si="4"/>
        <v>6.4804652250001205E-3</v>
      </c>
      <c r="K43" s="491">
        <f t="shared" si="13"/>
        <v>6.7177980468779985E-3</v>
      </c>
      <c r="L43" s="494">
        <f t="shared" si="5"/>
        <v>6.7177980468779985E-3</v>
      </c>
      <c r="M43" s="483">
        <f>'All Curves'!L36</f>
        <v>1.9121118835199354E-3</v>
      </c>
      <c r="N43" s="483">
        <f t="shared" si="6"/>
        <v>4.8056861633580632E-3</v>
      </c>
      <c r="O43" s="492">
        <f t="shared" si="7"/>
        <v>1</v>
      </c>
      <c r="P43" s="492">
        <f t="shared" si="8"/>
        <v>0</v>
      </c>
      <c r="Q43" s="492">
        <f t="shared" si="33"/>
        <v>0</v>
      </c>
      <c r="R43" s="505">
        <f t="shared" si="9"/>
        <v>4.8056861633580632E-3</v>
      </c>
      <c r="S43" s="483">
        <f t="shared" si="14"/>
        <v>6.7177980468779985E-3</v>
      </c>
      <c r="T43" s="483">
        <f t="shared" si="10"/>
        <v>-2.3733282187787808E-4</v>
      </c>
      <c r="U43" s="489">
        <f>((1+J43)/(V42-J43*(1+W42+X42+Y42+Z42+AA42+AB42+AC42+AD42+AE42+AF42+AG42+AH42+AI42+AJ42+AK42+AL42+AM42+AN42+AO42+AP42)))-1</f>
        <v>1.1169613950575696E-2</v>
      </c>
      <c r="V43" s="488">
        <f t="shared" si="15"/>
        <v>1.1586984533351581</v>
      </c>
      <c r="W43" s="488">
        <f t="shared" si="11"/>
        <v>1.0111696139505757</v>
      </c>
      <c r="X43" s="488">
        <f t="shared" si="16"/>
        <v>1.0225259905331017</v>
      </c>
      <c r="Y43" s="488">
        <f t="shared" si="17"/>
        <v>1.0337559759606914</v>
      </c>
      <c r="Z43" s="488">
        <f t="shared" si="18"/>
        <v>1.0459197465682635</v>
      </c>
      <c r="AA43" s="488">
        <f t="shared" si="19"/>
        <v>1.0585925605589648</v>
      </c>
      <c r="AB43" s="488">
        <f t="shared" si="20"/>
        <v>1.0717740324906855</v>
      </c>
      <c r="AC43" s="488">
        <f t="shared" si="21"/>
        <v>1.0851564889355643</v>
      </c>
      <c r="AD43" s="488">
        <f t="shared" si="22"/>
        <v>1.0987059950494189</v>
      </c>
      <c r="AE43" s="488">
        <f t="shared" si="23"/>
        <v>1.1114447623563359</v>
      </c>
      <c r="AF43" s="488">
        <f t="shared" si="24"/>
        <v>1.1250454575317919</v>
      </c>
      <c r="AG43" s="488">
        <f t="shared" si="25"/>
        <v>1.1372723406727527</v>
      </c>
      <c r="AH43" s="488">
        <f t="shared" si="26"/>
        <v>1.1484229879436865</v>
      </c>
      <c r="AI43" s="488">
        <f t="shared" si="27"/>
        <v>1.1582241948915692</v>
      </c>
      <c r="AJ43" s="488">
        <f t="shared" si="28"/>
        <v>1.1664734699209778</v>
      </c>
      <c r="AK43" s="488">
        <f t="shared" si="29"/>
        <v>1.1727470408469116</v>
      </c>
      <c r="AL43" s="488">
        <f t="shared" si="30"/>
        <v>1.1766639628662097</v>
      </c>
      <c r="AM43" s="488">
        <f t="shared" si="31"/>
        <v>1.1783819390091321</v>
      </c>
      <c r="AN43" s="488">
        <f t="shared" si="32"/>
        <v>1.1777015213715709</v>
      </c>
      <c r="AO43" s="488">
        <f t="shared" si="34"/>
        <v>1.1747291961107318</v>
      </c>
      <c r="AP43" s="488">
        <f t="shared" si="35"/>
        <v>1.1699652228542892</v>
      </c>
      <c r="AQ43" s="488">
        <f t="shared" ref="AQ43:AQ51" si="36">V43/V22</f>
        <v>1.1640714130440717</v>
      </c>
      <c r="AR43" s="488"/>
      <c r="AS43" s="488"/>
      <c r="AT43" s="488"/>
      <c r="AU43" s="488"/>
      <c r="AV43" s="488"/>
      <c r="AW43" s="488"/>
      <c r="AX43" s="488"/>
      <c r="AY43" s="488"/>
    </row>
    <row r="44" spans="3:51">
      <c r="C44" s="481">
        <v>23</v>
      </c>
      <c r="D44" s="500">
        <f>'Swap and Yield Curves'!D57</f>
        <v>0.66</v>
      </c>
      <c r="E44" s="492">
        <f t="shared" si="0"/>
        <v>1</v>
      </c>
      <c r="F44" s="492">
        <f t="shared" si="1"/>
        <v>0</v>
      </c>
      <c r="G44" s="492">
        <f t="shared" si="2"/>
        <v>0</v>
      </c>
      <c r="H44" s="492">
        <f t="shared" si="3"/>
        <v>0.66</v>
      </c>
      <c r="I44" s="459">
        <f t="shared" si="12"/>
        <v>23</v>
      </c>
      <c r="J44" s="482">
        <f t="shared" si="4"/>
        <v>6.6108900000001469E-3</v>
      </c>
      <c r="K44" s="491">
        <f t="shared" si="13"/>
        <v>6.8531822482849059E-3</v>
      </c>
      <c r="L44" s="494">
        <f t="shared" si="5"/>
        <v>6.8531822482849059E-3</v>
      </c>
      <c r="M44" s="483">
        <f>'All Curves'!L37</f>
        <v>2.1339735669131318E-3</v>
      </c>
      <c r="N44" s="483">
        <f t="shared" si="6"/>
        <v>4.719208681371774E-3</v>
      </c>
      <c r="O44" s="492">
        <f t="shared" si="7"/>
        <v>1</v>
      </c>
      <c r="P44" s="492">
        <f t="shared" si="8"/>
        <v>0</v>
      </c>
      <c r="Q44" s="492">
        <f t="shared" si="33"/>
        <v>0</v>
      </c>
      <c r="R44" s="505">
        <f t="shared" si="9"/>
        <v>4.719208681371774E-3</v>
      </c>
      <c r="S44" s="483">
        <f t="shared" si="14"/>
        <v>6.8531822482849059E-3</v>
      </c>
      <c r="T44" s="483">
        <f t="shared" si="10"/>
        <v>-2.4229224828475893E-4</v>
      </c>
      <c r="U44" s="489">
        <f>((1+J44)/(V43-J44*(1+W43+X43+Y43+Z43+AA43+AB43+AC43+AD43+AE43+AF43+AG43+AH43+AI43+AJ43+AK43+AL43+AM43+AN43+AO43+AP43+AQ43)))-1</f>
        <v>9.8362452815290435E-3</v>
      </c>
      <c r="V44" s="488">
        <f t="shared" si="15"/>
        <v>1.170095695529491</v>
      </c>
      <c r="W44" s="488">
        <f t="shared" si="11"/>
        <v>1.009836245281529</v>
      </c>
      <c r="X44" s="488">
        <f t="shared" si="16"/>
        <v>1.0211157262946224</v>
      </c>
      <c r="Y44" s="488">
        <f t="shared" si="17"/>
        <v>1.0325838069827236</v>
      </c>
      <c r="Z44" s="488">
        <f t="shared" si="18"/>
        <v>1.0439242533014872</v>
      </c>
      <c r="AA44" s="488">
        <f t="shared" si="19"/>
        <v>1.0562076697403036</v>
      </c>
      <c r="AB44" s="488">
        <f t="shared" si="20"/>
        <v>1.0690051366378246</v>
      </c>
      <c r="AC44" s="488">
        <f t="shared" si="21"/>
        <v>1.0823162647606372</v>
      </c>
      <c r="AD44" s="488">
        <f t="shared" si="22"/>
        <v>1.0958303543295773</v>
      </c>
      <c r="AE44" s="488">
        <f t="shared" si="23"/>
        <v>1.1095131367090114</v>
      </c>
      <c r="AF44" s="488">
        <f t="shared" si="24"/>
        <v>1.1223772056557435</v>
      </c>
      <c r="AG44" s="488">
        <f t="shared" si="25"/>
        <v>1.1361116806049445</v>
      </c>
      <c r="AH44" s="488">
        <f t="shared" si="26"/>
        <v>1.1484588303675085</v>
      </c>
      <c r="AI44" s="488">
        <f t="shared" si="27"/>
        <v>1.159719158140047</v>
      </c>
      <c r="AJ44" s="488">
        <f t="shared" si="28"/>
        <v>1.1696167721635242</v>
      </c>
      <c r="AK44" s="488">
        <f t="shared" si="29"/>
        <v>1.1779471890855169</v>
      </c>
      <c r="AL44" s="488">
        <f t="shared" si="30"/>
        <v>1.1842824683938691</v>
      </c>
      <c r="AM44" s="488">
        <f t="shared" si="31"/>
        <v>1.1882379182188976</v>
      </c>
      <c r="AN44" s="488">
        <f t="shared" si="32"/>
        <v>1.1899727927965498</v>
      </c>
      <c r="AO44" s="488">
        <f t="shared" si="34"/>
        <v>1.1892856824042117</v>
      </c>
      <c r="AP44" s="488">
        <f t="shared" si="35"/>
        <v>1.1862841206230503</v>
      </c>
      <c r="AQ44" s="488">
        <f t="shared" si="36"/>
        <v>1.1814732877571428</v>
      </c>
      <c r="AR44" s="488">
        <f t="shared" ref="AR44:AR51" si="37">V44/V22</f>
        <v>1.1755215049879892</v>
      </c>
      <c r="AS44" s="488"/>
      <c r="AT44" s="488"/>
      <c r="AU44" s="488"/>
      <c r="AV44" s="488"/>
      <c r="AW44" s="488"/>
      <c r="AX44" s="488"/>
      <c r="AY44" s="488"/>
    </row>
    <row r="45" spans="3:51">
      <c r="C45" s="481">
        <v>24</v>
      </c>
      <c r="D45" s="500">
        <f>'Swap and Yield Curves'!D58</f>
        <v>0.67</v>
      </c>
      <c r="E45" s="492">
        <f t="shared" si="0"/>
        <v>1</v>
      </c>
      <c r="F45" s="492">
        <f t="shared" si="1"/>
        <v>0</v>
      </c>
      <c r="G45" s="492">
        <f t="shared" si="2"/>
        <v>0</v>
      </c>
      <c r="H45" s="492">
        <f t="shared" si="3"/>
        <v>0.67</v>
      </c>
      <c r="I45" s="459">
        <f t="shared" si="12"/>
        <v>24</v>
      </c>
      <c r="J45" s="482">
        <f t="shared" si="4"/>
        <v>6.7112224999998915E-3</v>
      </c>
      <c r="K45" s="491">
        <f t="shared" si="13"/>
        <v>6.9557124603305542E-3</v>
      </c>
      <c r="L45" s="494">
        <f t="shared" si="5"/>
        <v>6.9557124603305542E-3</v>
      </c>
      <c r="M45" s="483">
        <f>'All Curves'!L38</f>
        <v>2.3320628454559789E-3</v>
      </c>
      <c r="N45" s="483">
        <f t="shared" si="6"/>
        <v>4.6236496148745754E-3</v>
      </c>
      <c r="O45" s="492">
        <f t="shared" si="7"/>
        <v>1</v>
      </c>
      <c r="P45" s="492">
        <f t="shared" si="8"/>
        <v>0</v>
      </c>
      <c r="Q45" s="492">
        <f t="shared" si="33"/>
        <v>0</v>
      </c>
      <c r="R45" s="505">
        <f t="shared" si="9"/>
        <v>4.6236496148745754E-3</v>
      </c>
      <c r="S45" s="483">
        <f t="shared" si="14"/>
        <v>6.9557124603305542E-3</v>
      </c>
      <c r="T45" s="483">
        <f t="shared" si="10"/>
        <v>-2.4448996033066273E-4</v>
      </c>
      <c r="U45" s="489">
        <f>((1+J45)/(V44-J45*(1+W44+X44+Y44+Z44+AA44+AB44+AC44+AD44+AE44+AF44+AG44+AH44+AI44+AJ44+AK44+AL44+AM44+AN44+AO44+AP44+AQ44+AR44)))-1</f>
        <v>9.3167911764209244E-3</v>
      </c>
      <c r="V45" s="488">
        <f t="shared" si="15"/>
        <v>1.1809972327811682</v>
      </c>
      <c r="W45" s="488">
        <f t="shared" si="11"/>
        <v>1.0093167911764209</v>
      </c>
      <c r="X45" s="488">
        <f t="shared" si="16"/>
        <v>1.0192446787011979</v>
      </c>
      <c r="Y45" s="488">
        <f t="shared" si="17"/>
        <v>1.0306292482834687</v>
      </c>
      <c r="Z45" s="488">
        <f t="shared" si="18"/>
        <v>1.0422041746845354</v>
      </c>
      <c r="AA45" s="488">
        <f t="shared" si="19"/>
        <v>1.0536502775734982</v>
      </c>
      <c r="AB45" s="488">
        <f t="shared" si="20"/>
        <v>1.0660481360382079</v>
      </c>
      <c r="AC45" s="488">
        <f t="shared" si="21"/>
        <v>1.0789648342624005</v>
      </c>
      <c r="AD45" s="488">
        <f t="shared" si="22"/>
        <v>1.092399979386256</v>
      </c>
      <c r="AE45" s="488">
        <f t="shared" si="23"/>
        <v>1.1060399769056493</v>
      </c>
      <c r="AF45" s="488">
        <f t="shared" si="24"/>
        <v>1.119850238911225</v>
      </c>
      <c r="AG45" s="488">
        <f t="shared" si="25"/>
        <v>1.1328341597020128</v>
      </c>
      <c r="AH45" s="488">
        <f t="shared" si="26"/>
        <v>1.1466965958862334</v>
      </c>
      <c r="AI45" s="488">
        <f t="shared" si="27"/>
        <v>1.159158781464759</v>
      </c>
      <c r="AJ45" s="488">
        <f t="shared" si="28"/>
        <v>1.1705240193597324</v>
      </c>
      <c r="AK45" s="488">
        <f t="shared" si="29"/>
        <v>1.1805138473862111</v>
      </c>
      <c r="AL45" s="488">
        <f t="shared" si="30"/>
        <v>1.1889218770630785</v>
      </c>
      <c r="AM45" s="488">
        <f t="shared" si="31"/>
        <v>1.1953161808457911</v>
      </c>
      <c r="AN45" s="488">
        <f t="shared" si="32"/>
        <v>1.1993084827708482</v>
      </c>
      <c r="AO45" s="488">
        <f t="shared" si="34"/>
        <v>1.2010595208126575</v>
      </c>
      <c r="AP45" s="488">
        <f t="shared" si="35"/>
        <v>1.2003660087562789</v>
      </c>
      <c r="AQ45" s="488">
        <f t="shared" si="36"/>
        <v>1.1973364820507995</v>
      </c>
      <c r="AR45" s="488">
        <f t="shared" si="37"/>
        <v>1.1924808276596954</v>
      </c>
      <c r="AS45" s="488">
        <f t="shared" ref="AS45:AS51" si="38">V45/V22</f>
        <v>1.1864735933733543</v>
      </c>
      <c r="AT45" s="488"/>
      <c r="AU45" s="488"/>
      <c r="AV45" s="488"/>
      <c r="AW45" s="488"/>
      <c r="AX45" s="488"/>
      <c r="AY45" s="488"/>
    </row>
    <row r="46" spans="3:51">
      <c r="C46" s="481">
        <v>25</v>
      </c>
      <c r="D46" s="500">
        <f>'Swap and Yield Curves'!D59</f>
        <v>0.67490000000000006</v>
      </c>
      <c r="E46" s="492">
        <f t="shared" si="0"/>
        <v>1</v>
      </c>
      <c r="F46" s="492">
        <f t="shared" si="1"/>
        <v>0</v>
      </c>
      <c r="G46" s="492">
        <f t="shared" si="2"/>
        <v>0</v>
      </c>
      <c r="H46" s="492">
        <f t="shared" si="3"/>
        <v>0.67490000000000006</v>
      </c>
      <c r="I46" s="459">
        <f t="shared" si="12"/>
        <v>25</v>
      </c>
      <c r="J46" s="482">
        <f t="shared" si="4"/>
        <v>6.7603872502501883E-3</v>
      </c>
      <c r="K46" s="491">
        <f t="shared" si="13"/>
        <v>7.0013417127507971E-3</v>
      </c>
      <c r="L46" s="494">
        <f t="shared" si="5"/>
        <v>7.0013417127507971E-3</v>
      </c>
      <c r="M46" s="483">
        <f>'All Curves'!L39</f>
        <v>2.5089344797042841E-3</v>
      </c>
      <c r="N46" s="483">
        <f t="shared" si="6"/>
        <v>4.492407233046513E-3</v>
      </c>
      <c r="O46" s="492">
        <f t="shared" si="7"/>
        <v>1</v>
      </c>
      <c r="P46" s="492">
        <f t="shared" si="8"/>
        <v>0</v>
      </c>
      <c r="Q46" s="492">
        <f t="shared" si="33"/>
        <v>0</v>
      </c>
      <c r="R46" s="505">
        <f t="shared" si="9"/>
        <v>4.492407233046513E-3</v>
      </c>
      <c r="S46" s="483">
        <f t="shared" si="14"/>
        <v>7.0013417127507971E-3</v>
      </c>
      <c r="T46" s="483">
        <f t="shared" si="10"/>
        <v>-2.4095446250060881E-4</v>
      </c>
      <c r="U46" s="489">
        <f>((1+J46)/(V45-J46*(1+W45+X45+Y45+Z45+AA45+AB45+AC45+AD45+AE45+AF45+AG45+AH45+AI45+AJ45+AK45+AL45+AM45+AN45+AO45+AP45+AQ45+AR45+AS45)))-1</f>
        <v>8.0970642804010229E-3</v>
      </c>
      <c r="V46" s="488">
        <f t="shared" si="15"/>
        <v>1.1905598432899731</v>
      </c>
      <c r="W46" s="488">
        <f t="shared" si="11"/>
        <v>1.008097064280401</v>
      </c>
      <c r="X46" s="488">
        <f t="shared" si="16"/>
        <v>1.0174892941138645</v>
      </c>
      <c r="Y46" s="488">
        <f t="shared" si="17"/>
        <v>1.0274975683820984</v>
      </c>
      <c r="Z46" s="488">
        <f t="shared" si="18"/>
        <v>1.0389743195560814</v>
      </c>
      <c r="AA46" s="488">
        <f t="shared" si="19"/>
        <v>1.0506429688802583</v>
      </c>
      <c r="AB46" s="488">
        <f t="shared" si="20"/>
        <v>1.0621817516000731</v>
      </c>
      <c r="AC46" s="488">
        <f t="shared" si="21"/>
        <v>1.0746799963217111</v>
      </c>
      <c r="AD46" s="488">
        <f t="shared" si="22"/>
        <v>1.0877012818817156</v>
      </c>
      <c r="AE46" s="488">
        <f t="shared" si="23"/>
        <v>1.1012452122392553</v>
      </c>
      <c r="AF46" s="488">
        <f t="shared" si="24"/>
        <v>1.1149956536953476</v>
      </c>
      <c r="AG46" s="488">
        <f t="shared" si="25"/>
        <v>1.1289177382801117</v>
      </c>
      <c r="AH46" s="488">
        <f t="shared" si="26"/>
        <v>1.1420067907121541</v>
      </c>
      <c r="AI46" s="488">
        <f t="shared" si="27"/>
        <v>1.1559814719332413</v>
      </c>
      <c r="AJ46" s="488">
        <f t="shared" si="28"/>
        <v>1.1685445646294705</v>
      </c>
      <c r="AK46" s="488">
        <f t="shared" si="29"/>
        <v>1.1800018275862416</v>
      </c>
      <c r="AL46" s="488">
        <f t="shared" si="30"/>
        <v>1.1900725438924009</v>
      </c>
      <c r="AM46" s="488">
        <f t="shared" si="31"/>
        <v>1.1985486539260335</v>
      </c>
      <c r="AN46" s="488">
        <f t="shared" si="32"/>
        <v>1.204994732797503</v>
      </c>
      <c r="AO46" s="488">
        <f t="shared" si="34"/>
        <v>1.2090193606478741</v>
      </c>
      <c r="AP46" s="488">
        <f t="shared" si="35"/>
        <v>1.2107845769572654</v>
      </c>
      <c r="AQ46" s="488">
        <f t="shared" si="36"/>
        <v>1.2100854494891871</v>
      </c>
      <c r="AR46" s="488">
        <f t="shared" si="37"/>
        <v>1.2070313925112341</v>
      </c>
      <c r="AS46" s="488">
        <f t="shared" si="38"/>
        <v>1.2021364215744019</v>
      </c>
      <c r="AT46" s="488">
        <f t="shared" ref="AT46:AT51" si="39">V46/V22</f>
        <v>1.1960805463258968</v>
      </c>
      <c r="AU46" s="488"/>
      <c r="AV46" s="488"/>
      <c r="AW46" s="488"/>
      <c r="AX46" s="488"/>
      <c r="AY46" s="488"/>
    </row>
    <row r="47" spans="3:51">
      <c r="C47" s="481">
        <v>26</v>
      </c>
      <c r="D47" s="500">
        <f>'Swap and Yield Curves'!D60</f>
        <v>0.68500000000000005</v>
      </c>
      <c r="E47" s="492">
        <f t="shared" si="0"/>
        <v>1</v>
      </c>
      <c r="F47" s="492">
        <f t="shared" si="1"/>
        <v>0</v>
      </c>
      <c r="G47" s="492">
        <f t="shared" si="2"/>
        <v>0</v>
      </c>
      <c r="H47" s="492">
        <f t="shared" si="3"/>
        <v>0.68500000000000005</v>
      </c>
      <c r="I47" s="459">
        <f t="shared" si="12"/>
        <v>26</v>
      </c>
      <c r="J47" s="482">
        <f t="shared" si="4"/>
        <v>6.861730625000062E-3</v>
      </c>
      <c r="K47" s="491">
        <f t="shared" si="13"/>
        <v>7.1067754590328214E-3</v>
      </c>
      <c r="L47" s="494">
        <f t="shared" si="5"/>
        <v>7.1067754590328214E-3</v>
      </c>
      <c r="M47" s="483">
        <f>'All Curves'!L40</f>
        <v>2.6669898945631057E-3</v>
      </c>
      <c r="N47" s="483">
        <f t="shared" si="6"/>
        <v>4.4397855644697157E-3</v>
      </c>
      <c r="O47" s="492">
        <f t="shared" si="7"/>
        <v>1</v>
      </c>
      <c r="P47" s="492">
        <f t="shared" si="8"/>
        <v>0</v>
      </c>
      <c r="Q47" s="492">
        <f t="shared" si="33"/>
        <v>0</v>
      </c>
      <c r="R47" s="505">
        <f t="shared" si="9"/>
        <v>4.4397855644697157E-3</v>
      </c>
      <c r="S47" s="483">
        <f t="shared" si="14"/>
        <v>7.1067754590328214E-3</v>
      </c>
      <c r="T47" s="483">
        <f t="shared" si="10"/>
        <v>-2.4504483403275934E-4</v>
      </c>
      <c r="U47" s="489">
        <f>((1+J47)/(V46-J47*(1+W46+X46+Y46+Z46+AA46+AB46+AC46+AD46+AE46+AF46+AG46+AH46+AI46+AJ46+AK46+AL46+AM46+AN46+AO46+AP46+AQ46+AR46+AS46+AT46)))-1</f>
        <v>9.7462097937663916E-3</v>
      </c>
      <c r="V47" s="488">
        <f t="shared" si="15"/>
        <v>1.2021632892947107</v>
      </c>
      <c r="W47" s="488">
        <f t="shared" si="11"/>
        <v>1.0097462097937664</v>
      </c>
      <c r="X47" s="488">
        <f t="shared" si="16"/>
        <v>1.0179221897613577</v>
      </c>
      <c r="Y47" s="488">
        <f t="shared" si="17"/>
        <v>1.0274059582372095</v>
      </c>
      <c r="Z47" s="488">
        <f t="shared" si="18"/>
        <v>1.0375117752461349</v>
      </c>
      <c r="AA47" s="488">
        <f t="shared" si="19"/>
        <v>1.0491003812448108</v>
      </c>
      <c r="AB47" s="488">
        <f t="shared" si="20"/>
        <v>1.0608827556733109</v>
      </c>
      <c r="AC47" s="488">
        <f t="shared" si="21"/>
        <v>1.0725339977902777</v>
      </c>
      <c r="AD47" s="488">
        <f t="shared" si="22"/>
        <v>1.0851540530270265</v>
      </c>
      <c r="AE47" s="488">
        <f t="shared" si="23"/>
        <v>1.0983022467678834</v>
      </c>
      <c r="AF47" s="488">
        <f t="shared" si="24"/>
        <v>1.1119781791121197</v>
      </c>
      <c r="AG47" s="488">
        <f t="shared" si="25"/>
        <v>1.1258626352554</v>
      </c>
      <c r="AH47" s="488">
        <f t="shared" si="26"/>
        <v>1.1399204073972937</v>
      </c>
      <c r="AI47" s="488">
        <f t="shared" si="27"/>
        <v>1.1531370284803406</v>
      </c>
      <c r="AJ47" s="488">
        <f t="shared" si="28"/>
        <v>1.1672479098764095</v>
      </c>
      <c r="AK47" s="488">
        <f t="shared" si="29"/>
        <v>1.1799334451097148</v>
      </c>
      <c r="AL47" s="488">
        <f t="shared" si="30"/>
        <v>1.1915023729549248</v>
      </c>
      <c r="AM47" s="488">
        <f t="shared" si="31"/>
        <v>1.2016712405749774</v>
      </c>
      <c r="AN47" s="488">
        <f t="shared" si="32"/>
        <v>1.2102299605552327</v>
      </c>
      <c r="AO47" s="488">
        <f t="shared" si="34"/>
        <v>1.2167388642637307</v>
      </c>
      <c r="AP47" s="488">
        <f t="shared" si="35"/>
        <v>1.2208027169814732</v>
      </c>
      <c r="AQ47" s="488">
        <f t="shared" si="36"/>
        <v>1.2225851374593475</v>
      </c>
      <c r="AR47" s="488">
        <f t="shared" si="37"/>
        <v>1.2218791961482927</v>
      </c>
      <c r="AS47" s="488">
        <f t="shared" si="38"/>
        <v>1.2187953736903105</v>
      </c>
      <c r="AT47" s="488">
        <f t="shared" si="39"/>
        <v>1.2138526953397935</v>
      </c>
      <c r="AU47" s="488">
        <f>V47/V22</f>
        <v>1.2077377982606317</v>
      </c>
      <c r="AV47" s="488"/>
      <c r="AW47" s="488"/>
      <c r="AX47" s="488"/>
      <c r="AY47" s="488"/>
    </row>
    <row r="48" spans="3:51">
      <c r="C48" s="481">
        <v>27</v>
      </c>
      <c r="D48" s="500">
        <f>'Swap and Yield Curves'!D61</f>
        <v>0.69</v>
      </c>
      <c r="E48" s="492">
        <f t="shared" si="0"/>
        <v>1</v>
      </c>
      <c r="F48" s="492">
        <f t="shared" si="1"/>
        <v>0</v>
      </c>
      <c r="G48" s="492">
        <f t="shared" si="2"/>
        <v>0</v>
      </c>
      <c r="H48" s="492">
        <f t="shared" si="3"/>
        <v>0.69</v>
      </c>
      <c r="I48" s="459">
        <f t="shared" si="12"/>
        <v>27</v>
      </c>
      <c r="J48" s="482">
        <f t="shared" si="4"/>
        <v>6.9119024999999557E-3</v>
      </c>
      <c r="K48" s="491">
        <f t="shared" si="13"/>
        <v>7.154735870101625E-3</v>
      </c>
      <c r="L48" s="494">
        <f t="shared" si="5"/>
        <v>7.154735870101625E-3</v>
      </c>
      <c r="M48" s="483">
        <f>'All Curves'!L41</f>
        <v>2.8084663960157644E-3</v>
      </c>
      <c r="N48" s="483">
        <f t="shared" si="6"/>
        <v>4.3462694740858607E-3</v>
      </c>
      <c r="O48" s="492">
        <f t="shared" si="7"/>
        <v>1</v>
      </c>
      <c r="P48" s="492">
        <f t="shared" si="8"/>
        <v>0</v>
      </c>
      <c r="Q48" s="492">
        <f t="shared" si="33"/>
        <v>0</v>
      </c>
      <c r="R48" s="505">
        <f t="shared" si="9"/>
        <v>4.3462694740858607E-3</v>
      </c>
      <c r="S48" s="483">
        <f t="shared" si="14"/>
        <v>7.154735870101625E-3</v>
      </c>
      <c r="T48" s="483">
        <f t="shared" si="10"/>
        <v>-2.4283337010166939E-4</v>
      </c>
      <c r="U48" s="489">
        <f>((1+J48)/(V47-J48*(1+W47+X47+Y47+Z47+AA47+AB47+AC47+AD47+AE47+AF47+AG47+AH47+AI47+AJ47+AK47+AL47+AM47+AN47+AO47+AP47+AQ47+AR47+AS47+AT47+AU47)))-1</f>
        <v>8.4025085493750762E-3</v>
      </c>
      <c r="V48" s="488">
        <f t="shared" si="15"/>
        <v>1.2122644766107544</v>
      </c>
      <c r="W48" s="488">
        <f t="shared" si="11"/>
        <v>1.0084025085493751</v>
      </c>
      <c r="X48" s="488">
        <f t="shared" si="16"/>
        <v>1.0182306109542576</v>
      </c>
      <c r="Y48" s="488">
        <f t="shared" si="17"/>
        <v>1.0264752896634262</v>
      </c>
      <c r="Z48" s="488">
        <f t="shared" si="18"/>
        <v>1.0360387455849764</v>
      </c>
      <c r="AA48" s="488">
        <f t="shared" si="19"/>
        <v>1.0462294768077181</v>
      </c>
      <c r="AB48" s="488">
        <f t="shared" si="20"/>
        <v>1.0579154561673729</v>
      </c>
      <c r="AC48" s="488">
        <f t="shared" si="21"/>
        <v>1.0697968320977405</v>
      </c>
      <c r="AD48" s="488">
        <f t="shared" si="22"/>
        <v>1.0815459738762059</v>
      </c>
      <c r="AE48" s="488">
        <f t="shared" si="23"/>
        <v>1.0942720692349752</v>
      </c>
      <c r="AF48" s="488">
        <f t="shared" si="24"/>
        <v>1.1075307407861483</v>
      </c>
      <c r="AG48" s="488">
        <f t="shared" si="25"/>
        <v>1.1213215852688279</v>
      </c>
      <c r="AH48" s="488">
        <f t="shared" si="26"/>
        <v>1.1353227056735555</v>
      </c>
      <c r="AI48" s="488">
        <f t="shared" si="27"/>
        <v>1.1494985983660566</v>
      </c>
      <c r="AJ48" s="488">
        <f t="shared" si="28"/>
        <v>1.1628262722207476</v>
      </c>
      <c r="AK48" s="488">
        <f t="shared" si="29"/>
        <v>1.1770557204183862</v>
      </c>
      <c r="AL48" s="488">
        <f t="shared" si="30"/>
        <v>1.1898478459699429</v>
      </c>
      <c r="AM48" s="488">
        <f t="shared" si="31"/>
        <v>1.2015139818302791</v>
      </c>
      <c r="AN48" s="488">
        <f t="shared" si="32"/>
        <v>1.2117682934474467</v>
      </c>
      <c r="AO48" s="488">
        <f t="shared" si="34"/>
        <v>1.2203989281455079</v>
      </c>
      <c r="AP48" s="488">
        <f t="shared" si="35"/>
        <v>1.2269625229730636</v>
      </c>
      <c r="AQ48" s="488">
        <f t="shared" si="36"/>
        <v>1.2310605222480104</v>
      </c>
      <c r="AR48" s="488">
        <f t="shared" si="37"/>
        <v>1.2328579195291884</v>
      </c>
      <c r="AS48" s="488">
        <f t="shared" si="38"/>
        <v>1.2321460465402321</v>
      </c>
      <c r="AT48" s="488">
        <f t="shared" si="39"/>
        <v>1.2290363122376822</v>
      </c>
      <c r="AU48" s="488">
        <f>V48/V23</f>
        <v>1.2240521029900682</v>
      </c>
      <c r="AV48" s="488">
        <f>V48/V22</f>
        <v>1.2178858254359199</v>
      </c>
      <c r="AW48" s="488"/>
      <c r="AX48" s="488"/>
      <c r="AY48" s="488"/>
    </row>
    <row r="49" spans="3:51">
      <c r="C49" s="481">
        <v>28</v>
      </c>
      <c r="D49" s="500">
        <f>'Swap and Yield Curves'!D62</f>
        <v>0.69399999999999995</v>
      </c>
      <c r="E49" s="492">
        <f t="shared" si="0"/>
        <v>1</v>
      </c>
      <c r="F49" s="492">
        <f t="shared" si="1"/>
        <v>0</v>
      </c>
      <c r="G49" s="492">
        <f t="shared" si="2"/>
        <v>0</v>
      </c>
      <c r="H49" s="492">
        <f t="shared" si="3"/>
        <v>0.69399999999999995</v>
      </c>
      <c r="I49" s="459">
        <f t="shared" si="12"/>
        <v>28</v>
      </c>
      <c r="J49" s="482">
        <f t="shared" si="4"/>
        <v>6.9520409000001226E-3</v>
      </c>
      <c r="K49" s="491">
        <f t="shared" si="13"/>
        <v>7.1918622569400181E-3</v>
      </c>
      <c r="L49" s="494">
        <f t="shared" si="5"/>
        <v>7.1918622569400181E-3</v>
      </c>
      <c r="M49" s="483">
        <f>'All Curves'!L42</f>
        <v>2.9354330585399102E-3</v>
      </c>
      <c r="N49" s="483">
        <f t="shared" si="6"/>
        <v>4.2564291984001079E-3</v>
      </c>
      <c r="O49" s="492">
        <f t="shared" si="7"/>
        <v>1</v>
      </c>
      <c r="P49" s="492">
        <f t="shared" si="8"/>
        <v>0</v>
      </c>
      <c r="Q49" s="492">
        <f t="shared" si="33"/>
        <v>0</v>
      </c>
      <c r="R49" s="505">
        <f t="shared" si="9"/>
        <v>4.2564291984001079E-3</v>
      </c>
      <c r="S49" s="483">
        <f t="shared" si="14"/>
        <v>7.1918622569400181E-3</v>
      </c>
      <c r="T49" s="483">
        <f t="shared" si="10"/>
        <v>-2.3982135693989548E-4</v>
      </c>
      <c r="U49" s="489">
        <f>((1+J49)/(V48-J49*(1+W48+X48+Y48+Z48+AA48+AB48+AC48+AD48+AE48+AF48+AG48+AH48+AI48+AJ48+AK48+AL48+AM48+AN48+AO48+AP48+AQ48+AR48+AS48+AT48+AU48+AV48)))-1</f>
        <v>8.1947921889169439E-3</v>
      </c>
      <c r="V49" s="488">
        <f t="shared" si="15"/>
        <v>1.2221987320745857</v>
      </c>
      <c r="W49" s="488">
        <f t="shared" si="11"/>
        <v>1.0081947921889169</v>
      </c>
      <c r="X49" s="488">
        <f t="shared" si="16"/>
        <v>1.0166661575497198</v>
      </c>
      <c r="Y49" s="488">
        <f t="shared" si="17"/>
        <v>1.0265747992114216</v>
      </c>
      <c r="Z49" s="488">
        <f t="shared" si="18"/>
        <v>1.0348870413492763</v>
      </c>
      <c r="AA49" s="488">
        <f t="shared" si="19"/>
        <v>1.0445288678047115</v>
      </c>
      <c r="AB49" s="488">
        <f t="shared" si="20"/>
        <v>1.0548031099520765</v>
      </c>
      <c r="AC49" s="488">
        <f t="shared" si="21"/>
        <v>1.0665848534841078</v>
      </c>
      <c r="AD49" s="488">
        <f t="shared" si="22"/>
        <v>1.0785635948211432</v>
      </c>
      <c r="AE49" s="488">
        <f t="shared" si="23"/>
        <v>1.0904090183748814</v>
      </c>
      <c r="AF49" s="488">
        <f t="shared" si="24"/>
        <v>1.1032394014404918</v>
      </c>
      <c r="AG49" s="488">
        <f t="shared" si="25"/>
        <v>1.116606725049728</v>
      </c>
      <c r="AH49" s="488">
        <f t="shared" si="26"/>
        <v>1.130510582637053</v>
      </c>
      <c r="AI49" s="488">
        <f t="shared" si="27"/>
        <v>1.1446264393139092</v>
      </c>
      <c r="AJ49" s="488">
        <f t="shared" si="28"/>
        <v>1.1589185005011178</v>
      </c>
      <c r="AK49" s="488">
        <f t="shared" si="29"/>
        <v>1.1723553918734095</v>
      </c>
      <c r="AL49" s="488">
        <f t="shared" si="30"/>
        <v>1.1867014474419908</v>
      </c>
      <c r="AM49" s="488">
        <f t="shared" si="31"/>
        <v>1.1995984018040968</v>
      </c>
      <c r="AN49" s="488">
        <f t="shared" si="32"/>
        <v>1.2113601392234565</v>
      </c>
      <c r="AO49" s="488">
        <f t="shared" si="34"/>
        <v>1.2216984827933672</v>
      </c>
      <c r="AP49" s="488">
        <f t="shared" si="35"/>
        <v>1.2303998437492374</v>
      </c>
      <c r="AQ49" s="488">
        <f t="shared" si="36"/>
        <v>1.2370172258724172</v>
      </c>
      <c r="AR49" s="488">
        <f t="shared" si="37"/>
        <v>1.2411488073998125</v>
      </c>
      <c r="AS49" s="488">
        <f t="shared" si="38"/>
        <v>1.2429609339781906</v>
      </c>
      <c r="AT49" s="488">
        <f t="shared" si="39"/>
        <v>1.2422432273380251</v>
      </c>
      <c r="AU49" s="488">
        <f>V49/V24</f>
        <v>1.2391080094091027</v>
      </c>
      <c r="AV49" s="488">
        <f>V49/V23</f>
        <v>1.2340829556024786</v>
      </c>
      <c r="AW49" s="488">
        <f>V49/V22</f>
        <v>1.227866146685195</v>
      </c>
      <c r="AX49" s="488"/>
      <c r="AY49" s="488"/>
    </row>
    <row r="50" spans="3:51">
      <c r="C50" s="481">
        <v>29</v>
      </c>
      <c r="D50" s="500">
        <f>'Swap and Yield Curves'!D63</f>
        <v>0.69699999999999995</v>
      </c>
      <c r="E50" s="492">
        <f t="shared" si="0"/>
        <v>1</v>
      </c>
      <c r="F50" s="492">
        <f t="shared" si="1"/>
        <v>0</v>
      </c>
      <c r="G50" s="492">
        <f t="shared" si="2"/>
        <v>0</v>
      </c>
      <c r="H50" s="492">
        <f t="shared" si="3"/>
        <v>0.69699999999999995</v>
      </c>
      <c r="I50" s="459">
        <f t="shared" si="12"/>
        <v>29</v>
      </c>
      <c r="J50" s="482">
        <f t="shared" si="4"/>
        <v>6.9821452249998472E-3</v>
      </c>
      <c r="K50" s="491">
        <f t="shared" si="13"/>
        <v>7.2180636874152881E-3</v>
      </c>
      <c r="L50" s="494">
        <f t="shared" si="5"/>
        <v>7.2180636874152881E-3</v>
      </c>
      <c r="M50" s="483">
        <f>'All Curves'!L43</f>
        <v>3.0497914597036047E-3</v>
      </c>
      <c r="N50" s="483">
        <f t="shared" si="6"/>
        <v>4.1682722277116835E-3</v>
      </c>
      <c r="O50" s="492">
        <f t="shared" si="7"/>
        <v>1</v>
      </c>
      <c r="P50" s="492">
        <f t="shared" si="8"/>
        <v>0</v>
      </c>
      <c r="Q50" s="492">
        <f t="shared" si="33"/>
        <v>0</v>
      </c>
      <c r="R50" s="505">
        <f t="shared" si="9"/>
        <v>4.1682722277116835E-3</v>
      </c>
      <c r="S50" s="483">
        <f t="shared" si="14"/>
        <v>7.2180636874152881E-3</v>
      </c>
      <c r="T50" s="483">
        <f t="shared" si="10"/>
        <v>-2.359184624154409E-4</v>
      </c>
      <c r="U50" s="489">
        <f>((1+J50)/(V49-J50*(1+W49+X49+Y49+Z49+AA49+AB49+AC49+AD49+AE49+AF49+AG49+AH49+AI49+AJ49+AK49+AL49+AM49+AN49+AO49+AP49+AQ49+AR49+AS49+AT49+AU49+AV49+AW49)))-1</f>
        <v>7.9519805403580612E-3</v>
      </c>
      <c r="V50" s="488">
        <f t="shared" si="15"/>
        <v>1.2319176326084931</v>
      </c>
      <c r="W50" s="488">
        <f t="shared" si="11"/>
        <v>1.0079519805403581</v>
      </c>
      <c r="X50" s="488">
        <f t="shared" si="16"/>
        <v>1.0162119375572936</v>
      </c>
      <c r="Y50" s="488">
        <f t="shared" si="17"/>
        <v>1.0247506670505957</v>
      </c>
      <c r="Z50" s="488">
        <f t="shared" si="18"/>
        <v>1.0347381020379727</v>
      </c>
      <c r="AA50" s="488">
        <f t="shared" si="19"/>
        <v>1.0431164429635544</v>
      </c>
      <c r="AB50" s="488">
        <f t="shared" si="20"/>
        <v>1.0528349410353368</v>
      </c>
      <c r="AC50" s="488">
        <f t="shared" si="21"/>
        <v>1.0631908837563244</v>
      </c>
      <c r="AD50" s="488">
        <f t="shared" si="22"/>
        <v>1.0750663154836539</v>
      </c>
      <c r="AE50" s="488">
        <f t="shared" si="23"/>
        <v>1.0871403115386995</v>
      </c>
      <c r="AF50" s="488">
        <f t="shared" si="24"/>
        <v>1.0990799296700291</v>
      </c>
      <c r="AG50" s="488">
        <f t="shared" si="25"/>
        <v>1.1120123396921029</v>
      </c>
      <c r="AH50" s="488">
        <f t="shared" si="26"/>
        <v>1.1254859599985563</v>
      </c>
      <c r="AI50" s="488">
        <f t="shared" si="27"/>
        <v>1.1395003807908515</v>
      </c>
      <c r="AJ50" s="488">
        <f t="shared" si="28"/>
        <v>1.1537284864853128</v>
      </c>
      <c r="AK50" s="488">
        <f t="shared" si="29"/>
        <v>1.1681341978649635</v>
      </c>
      <c r="AL50" s="488">
        <f t="shared" si="30"/>
        <v>1.1816779391359709</v>
      </c>
      <c r="AM50" s="488">
        <f t="shared" si="31"/>
        <v>1.1961380742592642</v>
      </c>
      <c r="AN50" s="488">
        <f t="shared" si="32"/>
        <v>1.2091375849514876</v>
      </c>
      <c r="AO50" s="488">
        <f t="shared" si="34"/>
        <v>1.2209928514779267</v>
      </c>
      <c r="AP50" s="488">
        <f t="shared" si="35"/>
        <v>1.231413405354725</v>
      </c>
      <c r="AQ50" s="488">
        <f t="shared" si="36"/>
        <v>1.2401839593635908</v>
      </c>
      <c r="AR50" s="488">
        <f t="shared" si="37"/>
        <v>1.2468539627806423</v>
      </c>
      <c r="AS50" s="488">
        <f t="shared" si="38"/>
        <v>1.2510183985639445</v>
      </c>
      <c r="AT50" s="488">
        <f t="shared" si="39"/>
        <v>1.2528449351376105</v>
      </c>
      <c r="AU50" s="488">
        <f>V50/V25</f>
        <v>1.2521215213082084</v>
      </c>
      <c r="AV50" s="488">
        <f>V50/V24</f>
        <v>1.2489613721873256</v>
      </c>
      <c r="AW50" s="488">
        <f>V50/V23</f>
        <v>1.2438963592506169</v>
      </c>
      <c r="AX50" s="488">
        <f>V50/V22</f>
        <v>1.2376301143898001</v>
      </c>
      <c r="AY50" s="488"/>
    </row>
    <row r="51" spans="3:51" ht="13.5" thickBot="1">
      <c r="C51" s="485">
        <v>30</v>
      </c>
      <c r="D51" s="500">
        <f>'Swap and Yield Curves'!D64</f>
        <v>0.69410000000000005</v>
      </c>
      <c r="E51" s="492">
        <f t="shared" si="0"/>
        <v>1</v>
      </c>
      <c r="F51" s="492">
        <f t="shared" si="1"/>
        <v>0</v>
      </c>
      <c r="G51" s="492">
        <f t="shared" si="2"/>
        <v>0</v>
      </c>
      <c r="H51" s="492">
        <f t="shared" si="3"/>
        <v>0.69410000000000005</v>
      </c>
      <c r="I51" s="459">
        <f t="shared" si="12"/>
        <v>30</v>
      </c>
      <c r="J51" s="482">
        <f t="shared" si="4"/>
        <v>6.9530443702499056E-3</v>
      </c>
      <c r="K51" s="491">
        <f t="shared" si="13"/>
        <v>7.1767922144647667E-3</v>
      </c>
      <c r="L51" s="490">
        <f t="shared" si="5"/>
        <v>7.1767922144647667E-3</v>
      </c>
      <c r="M51" s="483">
        <f>'All Curves'!L44</f>
        <v>3.1532798551531516E-3</v>
      </c>
      <c r="N51" s="483">
        <f t="shared" si="6"/>
        <v>4.0235123593116151E-3</v>
      </c>
      <c r="O51" s="492">
        <f t="shared" si="7"/>
        <v>1</v>
      </c>
      <c r="P51" s="492">
        <f t="shared" si="8"/>
        <v>0</v>
      </c>
      <c r="Q51" s="492">
        <f t="shared" si="33"/>
        <v>0</v>
      </c>
      <c r="R51" s="505">
        <f t="shared" si="9"/>
        <v>4.0235123593116151E-3</v>
      </c>
      <c r="S51" s="483">
        <f t="shared" si="14"/>
        <v>7.1767922144647667E-3</v>
      </c>
      <c r="T51" s="483">
        <f t="shared" si="10"/>
        <v>-2.2374784421486105E-4</v>
      </c>
      <c r="U51" s="489">
        <f>((1+J51)/(V50-J51*(1+W50+X50+Y50+Z50+AA50+AB50+AC50+AD50+AE50+AF50+AG50+AH50+AI50+AJ50+AK50+AL50+AM50+AN50+AO50+AP50+AQ50+AR50+AS50+AT50+AU50+AV50+AW50+AX50)))-1</f>
        <v>5.9806548582364005E-3</v>
      </c>
      <c r="V51" s="488">
        <f t="shared" si="15"/>
        <v>1.2392853067829002</v>
      </c>
      <c r="W51" s="488">
        <f t="shared" si="11"/>
        <v>1.0059806548582364</v>
      </c>
      <c r="X51" s="488">
        <f t="shared" si="16"/>
        <v>1.0139801934496457</v>
      </c>
      <c r="Y51" s="488">
        <f t="shared" si="17"/>
        <v>1.0222895504186433</v>
      </c>
      <c r="Z51" s="488">
        <f t="shared" si="18"/>
        <v>1.030879347105973</v>
      </c>
      <c r="AA51" s="488">
        <f t="shared" si="19"/>
        <v>1.0409265134949286</v>
      </c>
      <c r="AB51" s="488">
        <f t="shared" si="20"/>
        <v>1.0493549623858707</v>
      </c>
      <c r="AC51" s="488">
        <f t="shared" si="21"/>
        <v>1.059131583440361</v>
      </c>
      <c r="AD51" s="488">
        <f t="shared" si="22"/>
        <v>1.0695494614804943</v>
      </c>
      <c r="AE51" s="488">
        <f t="shared" si="23"/>
        <v>1.0814959160662776</v>
      </c>
      <c r="AF51" s="488">
        <f t="shared" si="24"/>
        <v>1.0936421225244881</v>
      </c>
      <c r="AG51" s="488">
        <f t="shared" si="25"/>
        <v>1.1056531473910005</v>
      </c>
      <c r="AH51" s="488">
        <f t="shared" si="26"/>
        <v>1.1186629016939014</v>
      </c>
      <c r="AI51" s="488">
        <f t="shared" si="27"/>
        <v>1.1322171030730985</v>
      </c>
      <c r="AJ51" s="488">
        <f t="shared" si="28"/>
        <v>1.1463153392791907</v>
      </c>
      <c r="AK51" s="488">
        <f t="shared" si="29"/>
        <v>1.1606285383630968</v>
      </c>
      <c r="AL51" s="488">
        <f t="shared" si="30"/>
        <v>1.1751204053304969</v>
      </c>
      <c r="AM51" s="488">
        <f t="shared" si="31"/>
        <v>1.1887451470435351</v>
      </c>
      <c r="AN51" s="488">
        <f t="shared" si="32"/>
        <v>1.2032917632442044</v>
      </c>
      <c r="AO51" s="488">
        <f t="shared" si="34"/>
        <v>1.216369019523204</v>
      </c>
      <c r="AP51" s="488">
        <f t="shared" si="35"/>
        <v>1.2282951883069901</v>
      </c>
      <c r="AQ51" s="488">
        <f t="shared" si="36"/>
        <v>1.2387780639199573</v>
      </c>
      <c r="AR51" s="488">
        <f t="shared" si="37"/>
        <v>1.2476010715852657</v>
      </c>
      <c r="AS51" s="488">
        <f t="shared" si="38"/>
        <v>1.2543109659906577</v>
      </c>
      <c r="AT51" s="488">
        <f t="shared" si="39"/>
        <v>1.2585003078270591</v>
      </c>
      <c r="AU51" s="488">
        <f>V51/V26</f>
        <v>1.2603377682855581</v>
      </c>
      <c r="AV51" s="488">
        <f>V51/V25</f>
        <v>1.2596100279677227</v>
      </c>
      <c r="AW51" s="488">
        <f>V51/V24</f>
        <v>1.2564309790856474</v>
      </c>
      <c r="AX51" s="488">
        <f>V51/V23</f>
        <v>1.2513356740547117</v>
      </c>
      <c r="AY51" s="488">
        <f>V51/V22</f>
        <v>1.2450319529461251</v>
      </c>
    </row>
  </sheetData>
  <pageMargins left="0.75" right="0.75" top="1" bottom="1" header="0.5" footer="0.5"/>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FF9900"/>
  </sheetPr>
  <dimension ref="C1:BI51"/>
  <sheetViews>
    <sheetView showGridLines="0" topLeftCell="C13" workbookViewId="0">
      <selection activeCell="Q22" sqref="Q22:Q51"/>
    </sheetView>
  </sheetViews>
  <sheetFormatPr defaultColWidth="8.85546875" defaultRowHeight="12.75"/>
  <cols>
    <col min="1" max="1" width="8.85546875" style="459"/>
    <col min="2" max="2" width="3.7109375" style="459" customWidth="1"/>
    <col min="3" max="3" width="24" style="459" customWidth="1"/>
    <col min="4" max="4" width="17.42578125" style="459" customWidth="1"/>
    <col min="5" max="5" width="6.140625" style="459" customWidth="1"/>
    <col min="6" max="6" width="6.7109375" style="459" bestFit="1" customWidth="1"/>
    <col min="7" max="7" width="5.5703125" style="459" customWidth="1"/>
    <col min="8" max="8" width="10" style="459" customWidth="1"/>
    <col min="9" max="9" width="5" style="459" customWidth="1"/>
    <col min="10" max="10" width="16.7109375" style="459" bestFit="1" customWidth="1"/>
    <col min="11" max="11" width="12.85546875" style="459" bestFit="1" customWidth="1"/>
    <col min="12" max="12" width="12.42578125" style="459" bestFit="1" customWidth="1"/>
    <col min="13" max="14" width="12.42578125" style="459" customWidth="1"/>
    <col min="15" max="17" width="5.7109375" style="459" bestFit="1" customWidth="1"/>
    <col min="18" max="18" width="13.85546875" style="459" bestFit="1" customWidth="1"/>
    <col min="19" max="19" width="8" style="459" customWidth="1"/>
    <col min="20" max="20" width="8.85546875" style="459"/>
    <col min="21" max="36" width="8.85546875" style="460"/>
    <col min="37" max="37" width="8.42578125" style="460" customWidth="1"/>
    <col min="38" max="61" width="8.85546875" style="460"/>
    <col min="62" max="16384" width="8.85546875" style="459"/>
  </cols>
  <sheetData>
    <row r="1" spans="3:35" hidden="1"/>
    <row r="2" spans="3:35" hidden="1"/>
    <row r="3" spans="3:35" hidden="1"/>
    <row r="4" spans="3:35" hidden="1"/>
    <row r="5" spans="3:35" hidden="1"/>
    <row r="6" spans="3:35" hidden="1"/>
    <row r="7" spans="3:35" hidden="1"/>
    <row r="8" spans="3:35" hidden="1"/>
    <row r="9" spans="3:35" hidden="1"/>
    <row r="10" spans="3:35" hidden="1"/>
    <row r="11" spans="3:35" hidden="1"/>
    <row r="12" spans="3:35" hidden="1"/>
    <row r="14" spans="3:35">
      <c r="C14" s="461"/>
      <c r="U14" s="462" t="s">
        <v>460</v>
      </c>
      <c r="V14" s="462"/>
      <c r="W14" s="462"/>
      <c r="X14" s="462"/>
      <c r="Y14" s="462"/>
      <c r="Z14" s="462"/>
      <c r="AA14" s="462"/>
      <c r="AB14" s="462"/>
      <c r="AC14" s="462"/>
      <c r="AD14" s="462"/>
      <c r="AE14" s="462"/>
      <c r="AF14" s="462"/>
      <c r="AG14" s="462"/>
      <c r="AH14" s="462"/>
      <c r="AI14" s="462"/>
    </row>
    <row r="15" spans="3:35">
      <c r="U15" s="462" t="s">
        <v>461</v>
      </c>
      <c r="V15" s="462"/>
      <c r="W15" s="462"/>
      <c r="X15" s="462"/>
      <c r="Y15" s="462"/>
      <c r="Z15" s="462"/>
      <c r="AA15" s="462"/>
      <c r="AB15" s="462"/>
      <c r="AC15" s="462"/>
      <c r="AD15" s="462"/>
      <c r="AE15" s="462"/>
      <c r="AF15" s="462"/>
      <c r="AG15" s="462"/>
      <c r="AH15" s="462"/>
      <c r="AI15" s="462"/>
    </row>
    <row r="16" spans="3:35" ht="13.5" thickBot="1">
      <c r="C16" s="459" t="s">
        <v>462</v>
      </c>
      <c r="D16" s="463" t="s">
        <v>447</v>
      </c>
      <c r="E16" s="463"/>
      <c r="F16" s="463"/>
      <c r="G16" s="463"/>
      <c r="N16" s="463"/>
      <c r="O16" s="463"/>
      <c r="P16" s="463"/>
      <c r="Q16" s="463"/>
      <c r="U16" s="462"/>
      <c r="V16" s="462" t="s">
        <v>463</v>
      </c>
      <c r="W16" s="462"/>
      <c r="X16" s="462"/>
      <c r="Y16" s="462"/>
      <c r="Z16" s="462"/>
      <c r="AA16" s="462"/>
      <c r="AB16" s="462"/>
      <c r="AC16" s="462"/>
      <c r="AD16" s="462"/>
      <c r="AE16" s="462"/>
      <c r="AF16" s="462"/>
      <c r="AG16" s="462"/>
      <c r="AH16" s="462"/>
      <c r="AI16" s="462"/>
    </row>
    <row r="17" spans="3:51" ht="13.5" thickBot="1">
      <c r="C17" s="459" t="s">
        <v>464</v>
      </c>
      <c r="D17" s="464">
        <v>42004</v>
      </c>
      <c r="E17" s="464"/>
      <c r="F17" s="464"/>
      <c r="G17" s="464"/>
      <c r="L17" s="538"/>
      <c r="M17" s="537"/>
      <c r="N17" s="536"/>
      <c r="O17" s="464"/>
      <c r="P17" s="464"/>
      <c r="Q17" s="464"/>
      <c r="U17" s="462"/>
      <c r="V17" s="462" t="s">
        <v>465</v>
      </c>
      <c r="W17" s="462"/>
      <c r="X17" s="462"/>
      <c r="Y17" s="462"/>
      <c r="Z17" s="462"/>
      <c r="AA17" s="462"/>
      <c r="AB17" s="462"/>
      <c r="AC17" s="462"/>
      <c r="AD17" s="462"/>
      <c r="AE17" s="462"/>
      <c r="AF17" s="462"/>
      <c r="AG17" s="462"/>
      <c r="AH17" s="462"/>
      <c r="AI17" s="462"/>
    </row>
    <row r="18" spans="3:51" ht="39" thickBot="1">
      <c r="H18" s="463" t="s">
        <v>466</v>
      </c>
      <c r="L18" s="466"/>
      <c r="M18" s="459" t="s">
        <v>470</v>
      </c>
      <c r="N18" s="501" t="s">
        <v>515</v>
      </c>
      <c r="R18" s="503" t="s">
        <v>516</v>
      </c>
      <c r="U18" s="462"/>
      <c r="V18" s="462" t="s">
        <v>467</v>
      </c>
      <c r="W18" s="462"/>
      <c r="X18" s="462"/>
      <c r="Y18" s="462"/>
      <c r="Z18" s="462"/>
      <c r="AA18" s="462"/>
      <c r="AB18" s="462"/>
      <c r="AC18" s="462"/>
      <c r="AD18" s="462"/>
      <c r="AE18" s="462"/>
      <c r="AF18" s="462"/>
      <c r="AG18" s="462"/>
      <c r="AH18" s="462"/>
      <c r="AI18" s="462"/>
    </row>
    <row r="19" spans="3:51">
      <c r="C19" s="467"/>
      <c r="D19" s="468" t="s">
        <v>466</v>
      </c>
      <c r="E19" s="469"/>
      <c r="F19" s="469"/>
      <c r="G19" s="469"/>
      <c r="H19" s="463" t="s">
        <v>468</v>
      </c>
      <c r="J19" s="463" t="s">
        <v>469</v>
      </c>
      <c r="K19" s="459" t="s">
        <v>470</v>
      </c>
      <c r="L19" s="466"/>
      <c r="M19" s="469" t="s">
        <v>475</v>
      </c>
      <c r="N19" s="469"/>
      <c r="O19" s="469"/>
      <c r="P19" s="469"/>
      <c r="Q19" s="469"/>
      <c r="R19" s="503" t="s">
        <v>468</v>
      </c>
    </row>
    <row r="20" spans="3:51" ht="13.5" thickBot="1">
      <c r="C20" s="470" t="s">
        <v>471</v>
      </c>
      <c r="D20" s="471" t="s">
        <v>472</v>
      </c>
      <c r="E20" s="472"/>
      <c r="F20" s="472"/>
      <c r="G20" s="472"/>
      <c r="H20" s="473" t="s">
        <v>473</v>
      </c>
      <c r="J20" s="472" t="s">
        <v>474</v>
      </c>
      <c r="K20" s="469" t="s">
        <v>475</v>
      </c>
      <c r="L20" s="466"/>
      <c r="M20" s="463" t="s">
        <v>514</v>
      </c>
      <c r="N20" s="463"/>
      <c r="O20" s="472"/>
      <c r="P20" s="472"/>
      <c r="Q20" s="472"/>
      <c r="R20" s="504" t="s">
        <v>473</v>
      </c>
    </row>
    <row r="21" spans="3:51" ht="13.5" thickBot="1">
      <c r="C21" s="474" t="s">
        <v>476</v>
      </c>
      <c r="D21" s="540"/>
      <c r="E21" s="529"/>
      <c r="F21" s="530"/>
      <c r="G21" s="530"/>
      <c r="H21" s="477" t="s">
        <v>477</v>
      </c>
      <c r="I21" s="475" t="s">
        <v>478</v>
      </c>
      <c r="J21" s="476" t="s">
        <v>479</v>
      </c>
      <c r="K21" s="477" t="s">
        <v>480</v>
      </c>
      <c r="L21" s="539"/>
      <c r="M21" s="534"/>
      <c r="N21" s="535"/>
      <c r="O21" s="530"/>
      <c r="P21" s="530"/>
      <c r="Q21" s="530"/>
      <c r="R21" s="531" t="s">
        <v>477</v>
      </c>
      <c r="S21" s="475"/>
      <c r="T21" s="475" t="s">
        <v>512</v>
      </c>
      <c r="U21" s="532" t="s">
        <v>481</v>
      </c>
      <c r="V21" s="477" t="s">
        <v>482</v>
      </c>
      <c r="W21" s="477" t="s">
        <v>483</v>
      </c>
      <c r="X21" s="477" t="s">
        <v>484</v>
      </c>
      <c r="Y21" s="477" t="s">
        <v>485</v>
      </c>
      <c r="Z21" s="533" t="s">
        <v>486</v>
      </c>
      <c r="AA21" s="477" t="s">
        <v>487</v>
      </c>
      <c r="AB21" s="533" t="s">
        <v>488</v>
      </c>
      <c r="AC21" s="533" t="s">
        <v>489</v>
      </c>
      <c r="AD21" s="533" t="s">
        <v>490</v>
      </c>
      <c r="AE21" s="533" t="s">
        <v>491</v>
      </c>
      <c r="AF21" s="533" t="s">
        <v>492</v>
      </c>
      <c r="AG21" s="533" t="s">
        <v>493</v>
      </c>
      <c r="AH21" s="533" t="s">
        <v>494</v>
      </c>
      <c r="AI21" s="533" t="s">
        <v>495</v>
      </c>
      <c r="AJ21" s="533" t="s">
        <v>496</v>
      </c>
      <c r="AK21" s="533" t="s">
        <v>497</v>
      </c>
      <c r="AL21" s="533" t="s">
        <v>498</v>
      </c>
      <c r="AM21" s="533" t="s">
        <v>499</v>
      </c>
      <c r="AN21" s="533" t="s">
        <v>500</v>
      </c>
      <c r="AO21" s="533" t="s">
        <v>501</v>
      </c>
      <c r="AP21" s="533" t="s">
        <v>502</v>
      </c>
      <c r="AQ21" s="533" t="s">
        <v>503</v>
      </c>
      <c r="AR21" s="533" t="s">
        <v>504</v>
      </c>
      <c r="AS21" s="533" t="s">
        <v>505</v>
      </c>
      <c r="AT21" s="533" t="s">
        <v>506</v>
      </c>
      <c r="AU21" s="533" t="s">
        <v>507</v>
      </c>
      <c r="AV21" s="533" t="s">
        <v>508</v>
      </c>
      <c r="AW21" s="533" t="s">
        <v>509</v>
      </c>
      <c r="AX21" s="533" t="s">
        <v>510</v>
      </c>
      <c r="AY21" s="533" t="s">
        <v>511</v>
      </c>
    </row>
    <row r="22" spans="3:51">
      <c r="C22" s="481">
        <v>1</v>
      </c>
      <c r="D22" s="528">
        <f>'Swap and Yield Curves'!D71</f>
        <v>0.8175</v>
      </c>
      <c r="E22" s="492">
        <f t="shared" ref="E22:E51" si="0">IF(ISNUMBER(D22),1,"")</f>
        <v>1</v>
      </c>
      <c r="F22" s="492">
        <f t="shared" ref="F22:F51" si="1">IF(ISNUMBER(E22),0,1+F21)</f>
        <v>0</v>
      </c>
      <c r="G22" s="492">
        <f t="shared" ref="G22:G51" si="2">IF(F22=1,D21,IF(F22=2,D20,IF(F22=3,D19,IF(F22=4,D18,IF(F22=5,D17,IF(F22=6,D16,IF(F22=7,D15,IF(F22=8,D14,IF(F22=9,D13,IF(F22=10,D12,IF(F22=11,D11,IF(F22=21,D10,IF(F22=13,D9,IF(F22=14,D8,IF(F22=15,D7,IF(F22=16,D6,IF(F22=17,D5,IF(F22=18,D4,IF(F22=71,D3,0)))))))))))))))))))</f>
        <v>0</v>
      </c>
      <c r="H22" s="492">
        <f t="shared" ref="H22:H51" si="3">IF(G22=0,D22,IF(G23=0,((F22*D23+G22)/(1+F22)),2*H23-H24))</f>
        <v>0.8175</v>
      </c>
      <c r="I22" s="459">
        <v>1</v>
      </c>
      <c r="J22" s="482">
        <f t="shared" ref="J22:J51" si="4">(1+H22/200)^2-1</f>
        <v>8.1917076562501023E-3</v>
      </c>
      <c r="K22" s="483">
        <f>U22</f>
        <v>8.1917076562501023E-3</v>
      </c>
      <c r="L22" s="494">
        <f t="shared" ref="L22:L51" si="5">IF(ISNUMBER(D22),K22,"")</f>
        <v>8.1917076562501023E-3</v>
      </c>
      <c r="M22" s="483">
        <f>'All Curves'!U15</f>
        <v>6.5989320203722005E-3</v>
      </c>
      <c r="N22" s="483">
        <f t="shared" ref="N22:N51" si="6">IF(ISNUMBER(L22),L22-M22,"")</f>
        <v>1.5927756358779018E-3</v>
      </c>
      <c r="O22" s="492">
        <f t="shared" ref="O22:O51" si="7">IF(ISNUMBER(N22),1,"")</f>
        <v>1</v>
      </c>
      <c r="P22" s="492">
        <f t="shared" ref="P22:P51" si="8">IF(ISNUMBER(O22),0,1+P21)</f>
        <v>0</v>
      </c>
      <c r="Q22" s="492">
        <f>IF(P22=1,#REF!,IF(P22=2,#REF!,IF(P22=3,#REF!,IF(P22=4,#REF!,IF(P22=5,#REF!,IF(P22=6,N16,IF(P22=7,N15,IF(P22=8,N14,IF(P22=9,N13,IF(P22=10,#REF!,IF(P22=11,#REF!,IF(P22=12,#REF!,IF(P22=13,#REF!,IF(P22=14,#REF!,IF(P22=15,#REF!,IF(P22=16,#REF!,IF(P22=17,#REF!,IF(P22=18,#REF!,IF(P22=19,#REF!,0)))))))))))))))))))</f>
        <v>0</v>
      </c>
      <c r="R22" s="505">
        <f t="shared" ref="R22:R51" si="9">IF(Q22=0,N22,IF(Q23=0,((P22*N23+Q22)/(1+P22)),2*R23-R24))</f>
        <v>1.5927756358779018E-3</v>
      </c>
      <c r="S22" s="483">
        <f>R22+M22</f>
        <v>8.1917076562501023E-3</v>
      </c>
      <c r="T22" s="483">
        <f t="shared" ref="T22:T51" si="10">J22-K22</f>
        <v>0</v>
      </c>
      <c r="U22" s="489">
        <f>J22</f>
        <v>8.1917076562501023E-3</v>
      </c>
      <c r="V22" s="488">
        <f>W22</f>
        <v>1.0081917076562501</v>
      </c>
      <c r="W22" s="488">
        <f t="shared" ref="W22:W51" si="11">(1+U22)</f>
        <v>1.0081917076562501</v>
      </c>
      <c r="X22" s="488"/>
      <c r="Y22" s="488"/>
      <c r="Z22" s="488"/>
      <c r="AA22" s="488"/>
      <c r="AB22" s="488"/>
      <c r="AC22" s="488"/>
      <c r="AD22" s="488"/>
      <c r="AE22" s="488"/>
      <c r="AF22" s="488"/>
      <c r="AG22" s="488"/>
      <c r="AH22" s="488"/>
      <c r="AI22" s="488"/>
      <c r="AJ22" s="488"/>
      <c r="AK22" s="488"/>
      <c r="AL22" s="488"/>
      <c r="AM22" s="488"/>
      <c r="AN22" s="488"/>
      <c r="AO22" s="488"/>
      <c r="AP22" s="488"/>
      <c r="AQ22" s="488"/>
      <c r="AR22" s="488"/>
      <c r="AS22" s="488"/>
      <c r="AT22" s="488"/>
      <c r="AU22" s="488"/>
      <c r="AV22" s="488"/>
      <c r="AW22" s="488"/>
      <c r="AX22" s="488"/>
      <c r="AY22" s="488"/>
    </row>
    <row r="23" spans="3:51">
      <c r="C23" s="481">
        <v>2</v>
      </c>
      <c r="D23" s="528">
        <f>'Swap and Yield Curves'!D72</f>
        <v>0.77444000000000002</v>
      </c>
      <c r="E23" s="492">
        <f t="shared" si="0"/>
        <v>1</v>
      </c>
      <c r="F23" s="492">
        <f t="shared" si="1"/>
        <v>0</v>
      </c>
      <c r="G23" s="492">
        <f t="shared" si="2"/>
        <v>0</v>
      </c>
      <c r="H23" s="492">
        <f t="shared" si="3"/>
        <v>0.77444000000000002</v>
      </c>
      <c r="I23" s="459">
        <f t="shared" ref="I23:I51" si="12">I22+1</f>
        <v>2</v>
      </c>
      <c r="J23" s="482">
        <f t="shared" si="4"/>
        <v>7.7593939328399752E-3</v>
      </c>
      <c r="K23" s="491">
        <f t="shared" ref="K23:K51" si="13">(((1+K22)^I22)*(1+U23))^(1/I23)-1</f>
        <v>7.7577174099874302E-3</v>
      </c>
      <c r="L23" s="494">
        <f t="shared" si="5"/>
        <v>7.7577174099874302E-3</v>
      </c>
      <c r="M23" s="483">
        <f>'All Curves'!U16</f>
        <v>5.5522055393531023E-3</v>
      </c>
      <c r="N23" s="483">
        <f t="shared" si="6"/>
        <v>2.2055118706343279E-3</v>
      </c>
      <c r="O23" s="492">
        <f t="shared" si="7"/>
        <v>1</v>
      </c>
      <c r="P23" s="492">
        <f t="shared" si="8"/>
        <v>0</v>
      </c>
      <c r="Q23" s="492">
        <f>IF(P23=1,N22,IF(P23=2,#REF!,IF(P23=3,#REF!,IF(P23=4,#REF!,IF(P23=5,#REF!,IF(P23=6,#REF!,IF(P23=7,N16,IF(P23=8,N15,IF(P23=9,N14,IF(P23=10,N13,IF(P23=11,#REF!,IF(P23=12,#REF!,IF(P23=13,#REF!,IF(P23=14,#REF!,IF(P23=15,#REF!,IF(P23=16,#REF!,IF(P23=17,#REF!,IF(P23=18,#REF!,IF(P23=19,#REF!,0)))))))))))))))))))</f>
        <v>0</v>
      </c>
      <c r="R23" s="505">
        <f t="shared" si="9"/>
        <v>2.2055118706343279E-3</v>
      </c>
      <c r="S23" s="483">
        <f t="shared" ref="S23:S51" si="14">R23+M23</f>
        <v>7.7577174099874302E-3</v>
      </c>
      <c r="T23" s="483">
        <f t="shared" si="10"/>
        <v>1.6765228525450482E-6</v>
      </c>
      <c r="U23" s="489">
        <f>(1+J23)/(V22-J23)-1</f>
        <v>7.3239139809069265E-3</v>
      </c>
      <c r="V23" s="488">
        <f t="shared" ref="V23:V51" si="15">V22*W23</f>
        <v>1.0155756169993881</v>
      </c>
      <c r="W23" s="488">
        <f t="shared" si="11"/>
        <v>1.0073239139809069</v>
      </c>
      <c r="X23" s="488"/>
      <c r="Y23" s="488"/>
      <c r="Z23" s="488"/>
      <c r="AA23" s="488"/>
      <c r="AB23" s="488"/>
      <c r="AC23" s="488"/>
      <c r="AD23" s="488"/>
      <c r="AE23" s="488"/>
      <c r="AF23" s="488"/>
      <c r="AG23" s="488"/>
      <c r="AH23" s="488"/>
      <c r="AI23" s="488"/>
      <c r="AJ23" s="488"/>
      <c r="AK23" s="488"/>
      <c r="AL23" s="488"/>
      <c r="AM23" s="488"/>
      <c r="AN23" s="488"/>
      <c r="AO23" s="488"/>
      <c r="AP23" s="488"/>
      <c r="AQ23" s="488"/>
      <c r="AR23" s="488"/>
      <c r="AS23" s="488"/>
      <c r="AT23" s="488"/>
      <c r="AU23" s="488"/>
      <c r="AV23" s="488"/>
      <c r="AW23" s="488"/>
      <c r="AX23" s="488"/>
      <c r="AY23" s="488"/>
    </row>
    <row r="24" spans="3:51">
      <c r="C24" s="481">
        <v>3</v>
      </c>
      <c r="D24" s="528">
        <f>'Swap and Yield Curves'!D73</f>
        <v>0.77569999999999995</v>
      </c>
      <c r="E24" s="492">
        <f t="shared" si="0"/>
        <v>1</v>
      </c>
      <c r="F24" s="492">
        <f t="shared" si="1"/>
        <v>0</v>
      </c>
      <c r="G24" s="492">
        <f t="shared" si="2"/>
        <v>0</v>
      </c>
      <c r="H24" s="492">
        <f t="shared" si="3"/>
        <v>0.77569999999999995</v>
      </c>
      <c r="I24" s="459">
        <f t="shared" si="12"/>
        <v>3</v>
      </c>
      <c r="J24" s="482">
        <f t="shared" si="4"/>
        <v>7.7720427622498534E-3</v>
      </c>
      <c r="K24" s="491">
        <f t="shared" si="13"/>
        <v>7.7710217790745162E-3</v>
      </c>
      <c r="L24" s="494">
        <f t="shared" si="5"/>
        <v>7.7710217790745162E-3</v>
      </c>
      <c r="M24" s="483">
        <f>'All Curves'!U17</f>
        <v>5.068127198431199E-3</v>
      </c>
      <c r="N24" s="483">
        <f t="shared" si="6"/>
        <v>2.7028945806433172E-3</v>
      </c>
      <c r="O24" s="492">
        <f t="shared" si="7"/>
        <v>1</v>
      </c>
      <c r="P24" s="492">
        <f t="shared" si="8"/>
        <v>0</v>
      </c>
      <c r="Q24" s="492">
        <f>IF(P24=1,N23,IF(P24=2,N22,IF(P24=3,#REF!,IF(P24=4,#REF!,IF(P24=5,#REF!,IF(P24=6,#REF!,IF(P24=7,#REF!,IF(P24=8,N16,IF(P24=9,N15,IF(P24=10,N14,IF(P24=11,N13,IF(P24=12,#REF!,IF(P24=13,#REF!,IF(P24=14,#REF!,IF(P24=15,#REF!,IF(P24=16,#REF!,IF(P24=17,#REF!,IF(P24=18,#REF!,IF(P24=19,#REF!,0)))))))))))))))))))</f>
        <v>0</v>
      </c>
      <c r="R24" s="505">
        <f t="shared" si="9"/>
        <v>2.7028945806433172E-3</v>
      </c>
      <c r="S24" s="483">
        <f t="shared" si="14"/>
        <v>7.7710217790745162E-3</v>
      </c>
      <c r="T24" s="483">
        <f t="shared" si="10"/>
        <v>1.0209831753371645E-6</v>
      </c>
      <c r="U24" s="489">
        <f>((1+J24)/(V23-J24*(1+W23)))-1</f>
        <v>7.797631044182074E-3</v>
      </c>
      <c r="V24" s="488">
        <f t="shared" si="15"/>
        <v>1.0234947009582169</v>
      </c>
      <c r="W24" s="488">
        <f t="shared" si="11"/>
        <v>1.0077976310441821</v>
      </c>
      <c r="X24" s="488">
        <f t="shared" ref="X24:X51" si="16">V24/V22</f>
        <v>1.0151786542041115</v>
      </c>
      <c r="Y24" s="488"/>
      <c r="Z24" s="488"/>
      <c r="AA24" s="488"/>
      <c r="AB24" s="488"/>
      <c r="AC24" s="488"/>
      <c r="AD24" s="488"/>
      <c r="AE24" s="488"/>
      <c r="AF24" s="488"/>
      <c r="AG24" s="488"/>
      <c r="AH24" s="488"/>
      <c r="AI24" s="488"/>
      <c r="AJ24" s="488"/>
      <c r="AK24" s="488"/>
      <c r="AL24" s="488"/>
      <c r="AM24" s="488"/>
      <c r="AN24" s="488"/>
      <c r="AO24" s="488"/>
      <c r="AP24" s="488"/>
      <c r="AQ24" s="488"/>
      <c r="AR24" s="488"/>
      <c r="AS24" s="488"/>
      <c r="AT24" s="488"/>
      <c r="AU24" s="488"/>
      <c r="AV24" s="488"/>
      <c r="AW24" s="488"/>
      <c r="AX24" s="488"/>
      <c r="AY24" s="488"/>
    </row>
    <row r="25" spans="3:51">
      <c r="C25" s="481">
        <v>4</v>
      </c>
      <c r="D25" s="528">
        <f>'Swap and Yield Curves'!D74</f>
        <v>0.79469999999999996</v>
      </c>
      <c r="E25" s="492">
        <f t="shared" si="0"/>
        <v>1</v>
      </c>
      <c r="F25" s="492">
        <f t="shared" si="1"/>
        <v>0</v>
      </c>
      <c r="G25" s="492">
        <f t="shared" si="2"/>
        <v>0</v>
      </c>
      <c r="H25" s="492">
        <f t="shared" si="3"/>
        <v>0.79469999999999996</v>
      </c>
      <c r="I25" s="459">
        <f t="shared" si="12"/>
        <v>4</v>
      </c>
      <c r="J25" s="482">
        <f t="shared" si="4"/>
        <v>7.9627887022502009E-3</v>
      </c>
      <c r="K25" s="491">
        <f t="shared" si="13"/>
        <v>7.9642947261822084E-3</v>
      </c>
      <c r="L25" s="494">
        <f t="shared" si="5"/>
        <v>7.9642947261822084E-3</v>
      </c>
      <c r="M25" s="483">
        <f>'All Curves'!U18</f>
        <v>4.9969835203492255E-3</v>
      </c>
      <c r="N25" s="483">
        <f t="shared" si="6"/>
        <v>2.9673112058329829E-3</v>
      </c>
      <c r="O25" s="492">
        <f t="shared" si="7"/>
        <v>1</v>
      </c>
      <c r="P25" s="492">
        <f t="shared" si="8"/>
        <v>0</v>
      </c>
      <c r="Q25" s="492">
        <f>IF(P25=1,N24,IF(P25=2,N23,IF(P25=3,N22,IF(P25=4,#REF!,IF(P25=5,#REF!,IF(P25=6,#REF!,IF(P25=7,#REF!,IF(P25=8,#REF!,IF(P25=9,N16,IF(P25=10,N15,IF(P25=11,N14,IF(P25=12,N13,IF(P25=13,#REF!,IF(P25=14,#REF!,IF(P25=15,#REF!,IF(P25=16,#REF!,IF(P25=17,#REF!,IF(P25=18,#REF!,IF(P25=19,#REF!,0)))))))))))))))))))</f>
        <v>0</v>
      </c>
      <c r="R25" s="505">
        <f t="shared" si="9"/>
        <v>2.9673112058329829E-3</v>
      </c>
      <c r="S25" s="483">
        <f t="shared" si="14"/>
        <v>7.9642947261822084E-3</v>
      </c>
      <c r="T25" s="483">
        <f t="shared" si="10"/>
        <v>-1.5060239320074942E-6</v>
      </c>
      <c r="U25" s="489">
        <f>((1+J25)/(V24-J25*(1+W24+X24)))-1</f>
        <v>8.5443359942714014E-3</v>
      </c>
      <c r="V25" s="488">
        <f t="shared" si="15"/>
        <v>1.0322397835715602</v>
      </c>
      <c r="W25" s="488">
        <f t="shared" si="11"/>
        <v>1.0085443359942714</v>
      </c>
      <c r="X25" s="488">
        <f t="shared" si="16"/>
        <v>1.0164085926180542</v>
      </c>
      <c r="Y25" s="488">
        <f t="shared" ref="Y25:Y51" si="17">V25/V22</f>
        <v>1.0238526817198437</v>
      </c>
      <c r="Z25" s="488"/>
      <c r="AA25" s="488"/>
      <c r="AB25" s="488"/>
      <c r="AC25" s="488"/>
      <c r="AD25" s="488"/>
      <c r="AE25" s="488"/>
      <c r="AF25" s="488"/>
      <c r="AG25" s="488"/>
      <c r="AH25" s="488"/>
      <c r="AI25" s="488"/>
      <c r="AJ25" s="488"/>
      <c r="AK25" s="488"/>
      <c r="AL25" s="488"/>
      <c r="AM25" s="488"/>
      <c r="AN25" s="488"/>
      <c r="AO25" s="488"/>
      <c r="AP25" s="488"/>
      <c r="AQ25" s="488"/>
      <c r="AR25" s="488"/>
      <c r="AS25" s="488"/>
      <c r="AT25" s="488"/>
      <c r="AU25" s="488"/>
      <c r="AV25" s="488"/>
      <c r="AW25" s="488"/>
      <c r="AX25" s="488"/>
      <c r="AY25" s="488"/>
    </row>
    <row r="26" spans="3:51">
      <c r="C26" s="481">
        <v>5</v>
      </c>
      <c r="D26" s="528">
        <f>'Swap and Yield Curves'!D75</f>
        <v>0.82279999999999998</v>
      </c>
      <c r="E26" s="492">
        <f t="shared" si="0"/>
        <v>1</v>
      </c>
      <c r="F26" s="492">
        <f t="shared" si="1"/>
        <v>0</v>
      </c>
      <c r="G26" s="492">
        <f t="shared" si="2"/>
        <v>0</v>
      </c>
      <c r="H26" s="492">
        <f t="shared" si="3"/>
        <v>0.82279999999999998</v>
      </c>
      <c r="I26" s="459">
        <f t="shared" si="12"/>
        <v>5</v>
      </c>
      <c r="J26" s="482">
        <f t="shared" si="4"/>
        <v>8.244924995999936E-3</v>
      </c>
      <c r="K26" s="491">
        <f t="shared" si="13"/>
        <v>8.2508678747434949E-3</v>
      </c>
      <c r="L26" s="494">
        <f t="shared" si="5"/>
        <v>8.2508678747434949E-3</v>
      </c>
      <c r="M26" s="483">
        <f>'All Curves'!U19</f>
        <v>5.2225310288750715E-3</v>
      </c>
      <c r="N26" s="483">
        <f t="shared" si="6"/>
        <v>3.0283368458684234E-3</v>
      </c>
      <c r="O26" s="492">
        <f t="shared" si="7"/>
        <v>1</v>
      </c>
      <c r="P26" s="492">
        <f t="shared" si="8"/>
        <v>0</v>
      </c>
      <c r="Q26" s="492">
        <f>IF(P26=1,N25,IF(P26=2,N24,IF(P26=3,N23,IF(P26=4,N22,IF(P26=5,#REF!,IF(P26=6,#REF!,IF(P26=7,#REF!,IF(P26=8,#REF!,IF(P26=9,#REF!,IF(P26=10,N16,IF(P26=11,N15,IF(P26=12,N14,IF(P26=13,N13,IF(P26=14,#REF!,IF(P26=15,#REF!,IF(P26=16,#REF!,IF(P26=17,#REF!,IF(P26=18,#REF!,IF(P26=19,#REF!,0)))))))))))))))))))</f>
        <v>0</v>
      </c>
      <c r="R26" s="505">
        <f t="shared" si="9"/>
        <v>3.0283368458684234E-3</v>
      </c>
      <c r="S26" s="483">
        <f t="shared" si="14"/>
        <v>8.2508678747434949E-3</v>
      </c>
      <c r="T26" s="483">
        <f t="shared" si="10"/>
        <v>-5.9428787435589214E-6</v>
      </c>
      <c r="U26" s="489">
        <f>((1+J26)/(V25-J26*(1+W25+X25+Y25)))-1</f>
        <v>9.397975453427021E-3</v>
      </c>
      <c r="V26" s="488">
        <f t="shared" si="15"/>
        <v>1.0419407477196165</v>
      </c>
      <c r="W26" s="488">
        <f t="shared" si="11"/>
        <v>1.009397975453427</v>
      </c>
      <c r="X26" s="488">
        <f t="shared" si="16"/>
        <v>1.0180226109076382</v>
      </c>
      <c r="Y26" s="488">
        <f t="shared" si="17"/>
        <v>1.0259607756221309</v>
      </c>
      <c r="Z26" s="488">
        <f t="shared" ref="Z26:Z51" si="18">V26/V22</f>
        <v>1.033474824090572</v>
      </c>
      <c r="AA26" s="488"/>
      <c r="AB26" s="488"/>
      <c r="AC26" s="488"/>
      <c r="AD26" s="488"/>
      <c r="AE26" s="488"/>
      <c r="AF26" s="488"/>
      <c r="AG26" s="488"/>
      <c r="AH26" s="488"/>
      <c r="AI26" s="488"/>
      <c r="AJ26" s="488"/>
      <c r="AK26" s="488"/>
      <c r="AL26" s="488"/>
      <c r="AM26" s="488"/>
      <c r="AN26" s="488"/>
      <c r="AO26" s="488"/>
      <c r="AP26" s="488"/>
      <c r="AQ26" s="488"/>
      <c r="AR26" s="488"/>
      <c r="AS26" s="488"/>
      <c r="AT26" s="488"/>
      <c r="AU26" s="488"/>
      <c r="AV26" s="488"/>
      <c r="AW26" s="488"/>
      <c r="AX26" s="488"/>
      <c r="AY26" s="488"/>
    </row>
    <row r="27" spans="3:51">
      <c r="C27" s="481">
        <v>6</v>
      </c>
      <c r="D27" s="528">
        <f>'Swap and Yield Curves'!D76</f>
        <v>0.85335000000000005</v>
      </c>
      <c r="E27" s="492">
        <f t="shared" si="0"/>
        <v>1</v>
      </c>
      <c r="F27" s="492">
        <f t="shared" si="1"/>
        <v>0</v>
      </c>
      <c r="G27" s="492">
        <f t="shared" si="2"/>
        <v>0</v>
      </c>
      <c r="H27" s="492">
        <f t="shared" si="3"/>
        <v>0.85335000000000005</v>
      </c>
      <c r="I27" s="459">
        <f t="shared" si="12"/>
        <v>6</v>
      </c>
      <c r="J27" s="482">
        <f t="shared" si="4"/>
        <v>8.5517051555623613E-3</v>
      </c>
      <c r="K27" s="491">
        <f t="shared" si="13"/>
        <v>8.5634902983240391E-3</v>
      </c>
      <c r="L27" s="494">
        <f t="shared" si="5"/>
        <v>8.5634902983240391E-3</v>
      </c>
      <c r="M27" s="483">
        <f>'All Curves'!U20</f>
        <v>5.6549913921392254E-3</v>
      </c>
      <c r="N27" s="483">
        <f t="shared" si="6"/>
        <v>2.9084989061848136E-3</v>
      </c>
      <c r="O27" s="492">
        <f t="shared" si="7"/>
        <v>1</v>
      </c>
      <c r="P27" s="492">
        <f t="shared" si="8"/>
        <v>0</v>
      </c>
      <c r="Q27" s="492">
        <f>IF(P27=1,N26,IF(P27=2,N25,IF(P27=3,N24,IF(P27=4,N23,IF(P27=5,N22,IF(P27=6,#REF!,IF(P27=7,#REF!,IF(P27=8,#REF!,IF(P27=9,#REF!,IF(P27=10,#REF!,IF(P27=11,N16,IF(P27=12,N15,IF(P27=13,N14,IF(P27=14,N13,IF(P27=15,#REF!,IF(P27=16,#REF!,IF(P27=17,#REF!,IF(P27=18,#REF!,IF(P27=19,#REF!,0)))))))))))))))))))</f>
        <v>0</v>
      </c>
      <c r="R27" s="505">
        <f t="shared" si="9"/>
        <v>2.9084989061848136E-3</v>
      </c>
      <c r="S27" s="483">
        <f t="shared" si="14"/>
        <v>8.5634902983240391E-3</v>
      </c>
      <c r="T27" s="483">
        <f t="shared" si="10"/>
        <v>-1.1785142761677747E-5</v>
      </c>
      <c r="U27" s="489">
        <f>((1+J27)/(V26-J27*(1+W26+X26+Y26+Z26)))-1</f>
        <v>1.0128057012450675E-2</v>
      </c>
      <c r="V27" s="488">
        <f t="shared" si="15"/>
        <v>1.0524935830161164</v>
      </c>
      <c r="W27" s="488">
        <f t="shared" si="11"/>
        <v>1.0101280570124507</v>
      </c>
      <c r="X27" s="488">
        <f t="shared" si="16"/>
        <v>1.0196212156970716</v>
      </c>
      <c r="Y27" s="488">
        <f t="shared" si="17"/>
        <v>1.0283332019508749</v>
      </c>
      <c r="Z27" s="488">
        <f t="shared" si="18"/>
        <v>1.0363517648501701</v>
      </c>
      <c r="AA27" s="488">
        <f t="shared" ref="AA27:AA51" si="19">V27/V22</f>
        <v>1.0439419160298939</v>
      </c>
      <c r="AB27" s="488"/>
      <c r="AC27" s="488"/>
      <c r="AD27" s="488"/>
      <c r="AE27" s="488"/>
      <c r="AF27" s="488"/>
      <c r="AG27" s="488"/>
      <c r="AH27" s="488"/>
      <c r="AI27" s="488"/>
      <c r="AJ27" s="488"/>
      <c r="AK27" s="488"/>
      <c r="AL27" s="488"/>
      <c r="AM27" s="488"/>
      <c r="AN27" s="488"/>
      <c r="AO27" s="488"/>
      <c r="AP27" s="488"/>
      <c r="AQ27" s="488"/>
      <c r="AR27" s="488"/>
      <c r="AS27" s="488"/>
      <c r="AT27" s="488"/>
      <c r="AU27" s="488"/>
      <c r="AV27" s="488"/>
      <c r="AW27" s="488"/>
      <c r="AX27" s="488"/>
      <c r="AY27" s="488"/>
    </row>
    <row r="28" spans="3:51">
      <c r="C28" s="481">
        <v>7</v>
      </c>
      <c r="D28" s="528">
        <f>'Swap and Yield Curves'!D77</f>
        <v>0.88536000000000004</v>
      </c>
      <c r="E28" s="492">
        <f t="shared" si="0"/>
        <v>1</v>
      </c>
      <c r="F28" s="492">
        <f t="shared" si="1"/>
        <v>0</v>
      </c>
      <c r="G28" s="492">
        <f t="shared" si="2"/>
        <v>0</v>
      </c>
      <c r="H28" s="492">
        <f t="shared" si="3"/>
        <v>0.88536000000000004</v>
      </c>
      <c r="I28" s="459">
        <f t="shared" si="12"/>
        <v>7</v>
      </c>
      <c r="J28" s="482">
        <f t="shared" si="4"/>
        <v>8.8731965582400374E-3</v>
      </c>
      <c r="K28" s="491">
        <f t="shared" si="13"/>
        <v>8.8923953247947995E-3</v>
      </c>
      <c r="L28" s="494">
        <f t="shared" si="5"/>
        <v>8.8923953247947995E-3</v>
      </c>
      <c r="M28" s="483">
        <f>'All Curves'!U21</f>
        <v>6.2254664663813838E-3</v>
      </c>
      <c r="N28" s="483">
        <f t="shared" si="6"/>
        <v>2.6669288584134157E-3</v>
      </c>
      <c r="O28" s="492">
        <f t="shared" si="7"/>
        <v>1</v>
      </c>
      <c r="P28" s="492">
        <f t="shared" si="8"/>
        <v>0</v>
      </c>
      <c r="Q28" s="492">
        <f>IF(P28=1,N27,IF(P28=2,N26,IF(P28=3,N25,IF(P28=4,N24,IF(P28=5,N23,IF(P28=6,N22,IF(P28=7,#REF!,IF(P28=8,#REF!,IF(P28=9,#REF!,IF(P28=10,#REF!,IF(P28=11,#REF!,IF(P28=12,N16,IF(P28=13,N15,IF(P28=14,N14,IF(P28=15,N13,IF(P28=16,#REF!,IF(P28=17,#REF!,IF(P28=18,#REF!,IF(P28=19,#REF!,0)))))))))))))))))))</f>
        <v>0</v>
      </c>
      <c r="R28" s="505">
        <f t="shared" si="9"/>
        <v>2.6669288584134157E-3</v>
      </c>
      <c r="S28" s="483">
        <f t="shared" si="14"/>
        <v>8.8923953247947995E-3</v>
      </c>
      <c r="T28" s="483">
        <f t="shared" si="10"/>
        <v>-1.9198766554762159E-5</v>
      </c>
      <c r="U28" s="489">
        <f>((1+J28)/(V27-J28*(1+W27+X27+Y27+Z27+AA27)))-1</f>
        <v>1.0868079168204536E-2</v>
      </c>
      <c r="V28" s="488">
        <f t="shared" si="15"/>
        <v>1.0639321666003627</v>
      </c>
      <c r="W28" s="488">
        <f t="shared" si="11"/>
        <v>1.0108680791682045</v>
      </c>
      <c r="X28" s="488">
        <f t="shared" si="16"/>
        <v>1.0211062087060867</v>
      </c>
      <c r="Y28" s="488">
        <f t="shared" si="17"/>
        <v>1.0307025397908482</v>
      </c>
      <c r="Z28" s="488">
        <f t="shared" si="18"/>
        <v>1.0395092086009701</v>
      </c>
      <c r="AA28" s="488">
        <f t="shared" si="19"/>
        <v>1.0476149178766703</v>
      </c>
      <c r="AB28" s="488">
        <f t="shared" ref="AB28:AB51" si="20">V28/V22</f>
        <v>1.0552875594203139</v>
      </c>
      <c r="AC28" s="488"/>
      <c r="AD28" s="488"/>
      <c r="AE28" s="488"/>
      <c r="AF28" s="488"/>
      <c r="AG28" s="488"/>
      <c r="AH28" s="488"/>
      <c r="AI28" s="488"/>
      <c r="AJ28" s="488"/>
      <c r="AK28" s="488"/>
      <c r="AL28" s="488"/>
      <c r="AM28" s="488"/>
      <c r="AN28" s="488"/>
      <c r="AO28" s="488"/>
      <c r="AP28" s="488"/>
      <c r="AQ28" s="488"/>
      <c r="AR28" s="488"/>
      <c r="AS28" s="488"/>
      <c r="AT28" s="488"/>
      <c r="AU28" s="488"/>
      <c r="AV28" s="488"/>
      <c r="AW28" s="488"/>
      <c r="AX28" s="488"/>
      <c r="AY28" s="488"/>
    </row>
    <row r="29" spans="3:51">
      <c r="C29" s="481">
        <v>8</v>
      </c>
      <c r="D29" s="528">
        <f>'Swap and Yield Curves'!D78</f>
        <v>0.91739999999999999</v>
      </c>
      <c r="E29" s="492">
        <f t="shared" si="0"/>
        <v>1</v>
      </c>
      <c r="F29" s="492">
        <f t="shared" si="1"/>
        <v>0</v>
      </c>
      <c r="G29" s="492">
        <f t="shared" si="2"/>
        <v>0</v>
      </c>
      <c r="H29" s="492">
        <f t="shared" si="3"/>
        <v>0.91739999999999999</v>
      </c>
      <c r="I29" s="459">
        <f t="shared" si="12"/>
        <v>8</v>
      </c>
      <c r="J29" s="482">
        <f t="shared" si="4"/>
        <v>9.1950405689997794E-3</v>
      </c>
      <c r="K29" s="491">
        <f t="shared" si="13"/>
        <v>9.2230559921293587E-3</v>
      </c>
      <c r="L29" s="494">
        <f t="shared" si="5"/>
        <v>9.2230559921293587E-3</v>
      </c>
      <c r="M29" s="483">
        <f>'All Curves'!U22</f>
        <v>6.8814905527375949E-3</v>
      </c>
      <c r="N29" s="483">
        <f t="shared" si="6"/>
        <v>2.3415654393917637E-3</v>
      </c>
      <c r="O29" s="492">
        <f t="shared" si="7"/>
        <v>1</v>
      </c>
      <c r="P29" s="492">
        <f t="shared" si="8"/>
        <v>0</v>
      </c>
      <c r="Q29" s="492">
        <f>IF(P29=1,N28,IF(P29=2,N27,IF(P29=3,N26,IF(P29=4,N25,IF(P29=5,N24,IF(P29=6,N23,IF(P29=7,N22,IF(P29=8,#REF!,IF(P29=9,#REF!,IF(P29=10,#REF!,IF(P29=11,#REF!,IF(P29=12,#REF!,IF(P29=13,N16,IF(P29=14,N15,IF(P29=15,N14,IF(P29=16,N13,IF(P29=17,#REF!,IF(P29=18,#REF!,IF(P29=19,#REF!,0)))))))))))))))))))</f>
        <v>0</v>
      </c>
      <c r="R29" s="505">
        <f t="shared" si="9"/>
        <v>2.3415654393917637E-3</v>
      </c>
      <c r="S29" s="483">
        <f t="shared" si="14"/>
        <v>9.2230559921293587E-3</v>
      </c>
      <c r="T29" s="483">
        <f t="shared" si="10"/>
        <v>-2.8015423129579275E-5</v>
      </c>
      <c r="U29" s="489">
        <f>((1+J29)/(V28-J29*(1+W28+X28+Y28+Z28+AA28+AB28)))-1</f>
        <v>1.1540717091269359E-2</v>
      </c>
      <c r="V29" s="488">
        <f t="shared" si="15"/>
        <v>1.0762107067393987</v>
      </c>
      <c r="W29" s="488">
        <f t="shared" si="11"/>
        <v>1.0115407170912694</v>
      </c>
      <c r="X29" s="488">
        <f t="shared" si="16"/>
        <v>1.0225342216864794</v>
      </c>
      <c r="Y29" s="488">
        <f t="shared" si="17"/>
        <v>1.0328905065809022</v>
      </c>
      <c r="Z29" s="488">
        <f t="shared" si="18"/>
        <v>1.0425975862078272</v>
      </c>
      <c r="AA29" s="488">
        <f t="shared" si="19"/>
        <v>1.0515058902912031</v>
      </c>
      <c r="AB29" s="488">
        <f t="shared" si="20"/>
        <v>1.0597051452644781</v>
      </c>
      <c r="AC29" s="488">
        <f t="shared" ref="AC29:AC51" si="21">V29/V22</f>
        <v>1.0674663345935198</v>
      </c>
      <c r="AD29" s="488"/>
      <c r="AE29" s="488"/>
      <c r="AF29" s="488"/>
      <c r="AG29" s="488"/>
      <c r="AH29" s="488"/>
      <c r="AI29" s="488"/>
      <c r="AJ29" s="488"/>
      <c r="AK29" s="488"/>
      <c r="AL29" s="488"/>
      <c r="AM29" s="488"/>
      <c r="AN29" s="488"/>
      <c r="AO29" s="488"/>
      <c r="AP29" s="488"/>
      <c r="AQ29" s="488"/>
      <c r="AR29" s="488"/>
      <c r="AS29" s="488"/>
      <c r="AT29" s="488"/>
      <c r="AU29" s="488"/>
      <c r="AV29" s="488"/>
      <c r="AW29" s="488"/>
      <c r="AX29" s="488"/>
      <c r="AY29" s="488"/>
    </row>
    <row r="30" spans="3:51">
      <c r="C30" s="481">
        <v>9</v>
      </c>
      <c r="D30" s="528">
        <f>'Swap and Yield Curves'!D79</f>
        <v>0.94918999999999998</v>
      </c>
      <c r="E30" s="492">
        <f t="shared" si="0"/>
        <v>1</v>
      </c>
      <c r="F30" s="492">
        <f t="shared" si="1"/>
        <v>0</v>
      </c>
      <c r="G30" s="492">
        <f t="shared" si="2"/>
        <v>0</v>
      </c>
      <c r="H30" s="492">
        <f t="shared" si="3"/>
        <v>0.94918999999999998</v>
      </c>
      <c r="I30" s="459">
        <f t="shared" si="12"/>
        <v>9</v>
      </c>
      <c r="J30" s="482">
        <f t="shared" si="4"/>
        <v>9.5144240414024583E-3</v>
      </c>
      <c r="K30" s="491">
        <f t="shared" si="13"/>
        <v>9.552710909491946E-3</v>
      </c>
      <c r="L30" s="494">
        <f t="shared" si="5"/>
        <v>9.552710909491946E-3</v>
      </c>
      <c r="M30" s="483">
        <f>'All Curves'!U23</f>
        <v>7.5834928360359651E-3</v>
      </c>
      <c r="N30" s="483">
        <f t="shared" si="6"/>
        <v>1.9692180734559809E-3</v>
      </c>
      <c r="O30" s="492">
        <f t="shared" si="7"/>
        <v>1</v>
      </c>
      <c r="P30" s="492">
        <f t="shared" si="8"/>
        <v>0</v>
      </c>
      <c r="Q30" s="492">
        <f>IF(P30=1,N29,IF(P30=2,N28,IF(P30=3,N27,IF(P30=4,N26,IF(P30=5,N25,IF(P30=6,N24,IF(P30=7,N23,IF(P30=8,N22,IF(P30=9,#REF!,IF(P30=10,#REF!,IF(P30=11,#REF!,IF(P30=12,#REF!,IF(P30=13,#REF!,IF(P30=14,N16,IF(P30=15,N15,IF(P30=16,N14,IF(P30=17,N13,IF(P30=18,#REF!,IF(P30=19,#REF!,0)))))))))))))))))))</f>
        <v>0</v>
      </c>
      <c r="R30" s="505">
        <f t="shared" si="9"/>
        <v>1.9692180734559809E-3</v>
      </c>
      <c r="S30" s="483">
        <f t="shared" si="14"/>
        <v>9.552710909491946E-3</v>
      </c>
      <c r="T30" s="483">
        <f t="shared" si="10"/>
        <v>-3.8286868089487669E-5</v>
      </c>
      <c r="U30" s="489">
        <f>((1+J30)/(V29-J30*(1+W29+X29+Y29+Z29+AA29+AB29+AC29)))-1</f>
        <v>1.2193829656723443E-2</v>
      </c>
      <c r="V30" s="488">
        <f t="shared" si="15"/>
        <v>1.0893338367721208</v>
      </c>
      <c r="W30" s="488">
        <f t="shared" si="11"/>
        <v>1.0121938296567234</v>
      </c>
      <c r="X30" s="488">
        <f t="shared" si="16"/>
        <v>1.02387527228632</v>
      </c>
      <c r="Y30" s="488">
        <f t="shared" si="17"/>
        <v>1.0350028298038947</v>
      </c>
      <c r="Z30" s="488">
        <f t="shared" si="18"/>
        <v>1.0454853974721965</v>
      </c>
      <c r="AA30" s="488">
        <f t="shared" si="19"/>
        <v>1.0553108435745564</v>
      </c>
      <c r="AB30" s="488">
        <f t="shared" si="20"/>
        <v>1.0643277740004555</v>
      </c>
      <c r="AC30" s="488">
        <f t="shared" si="21"/>
        <v>1.0726270092921866</v>
      </c>
      <c r="AD30" s="488">
        <f t="shared" ref="AD30:AD51" si="22">V30/V22</f>
        <v>1.08048283724184</v>
      </c>
      <c r="AE30" s="488"/>
      <c r="AF30" s="488"/>
      <c r="AG30" s="488"/>
      <c r="AH30" s="488"/>
      <c r="AI30" s="488"/>
      <c r="AJ30" s="488"/>
      <c r="AK30" s="488"/>
      <c r="AL30" s="488"/>
      <c r="AM30" s="488"/>
      <c r="AN30" s="488"/>
      <c r="AO30" s="488"/>
      <c r="AP30" s="488"/>
      <c r="AQ30" s="488"/>
      <c r="AR30" s="488"/>
      <c r="AS30" s="488"/>
      <c r="AT30" s="488"/>
      <c r="AU30" s="488"/>
      <c r="AV30" s="488"/>
      <c r="AW30" s="488"/>
      <c r="AX30" s="488"/>
      <c r="AY30" s="488"/>
    </row>
    <row r="31" spans="3:51">
      <c r="C31" s="481">
        <v>10</v>
      </c>
      <c r="D31" s="528">
        <f>'Swap and Yield Curves'!D80</f>
        <v>0.97960000000000003</v>
      </c>
      <c r="E31" s="492">
        <f t="shared" si="0"/>
        <v>1</v>
      </c>
      <c r="F31" s="492">
        <f t="shared" si="1"/>
        <v>0</v>
      </c>
      <c r="G31" s="492">
        <f t="shared" si="2"/>
        <v>0</v>
      </c>
      <c r="H31" s="492">
        <f t="shared" si="3"/>
        <v>0.97960000000000003</v>
      </c>
      <c r="I31" s="459">
        <f t="shared" si="12"/>
        <v>10</v>
      </c>
      <c r="J31" s="482">
        <f t="shared" si="4"/>
        <v>9.8199904040001673E-3</v>
      </c>
      <c r="K31" s="491">
        <f t="shared" si="13"/>
        <v>9.869547659227873E-3</v>
      </c>
      <c r="L31" s="494">
        <f t="shared" si="5"/>
        <v>9.869547659227873E-3</v>
      </c>
      <c r="M31" s="483">
        <f>'All Curves'!U24</f>
        <v>8.3019877538305156E-3</v>
      </c>
      <c r="N31" s="483">
        <f t="shared" si="6"/>
        <v>1.5675599053973574E-3</v>
      </c>
      <c r="O31" s="492">
        <f t="shared" si="7"/>
        <v>1</v>
      </c>
      <c r="P31" s="492">
        <f t="shared" si="8"/>
        <v>0</v>
      </c>
      <c r="Q31" s="492">
        <f>IF(P31=1,N30,IF(P31=2,N29,IF(P31=3,N28,IF(P31=4,N27,IF(P31=5,N26,IF(P31=6,N25,IF(P31=7,N24,IF(P31=8,N23,IF(P31=9,N22,IF(P31=10,#REF!,IF(P31=11,#REF!,IF(P31=12,#REF!,IF(P31=13,#REF!,IF(P31=14,#REF!,IF(P31=15,N16,IF(P31=16,N15,IF(P31=17,N14,IF(P31=18,N13,IF(P31=19,#REF!,0)))))))))))))))))))</f>
        <v>0</v>
      </c>
      <c r="R31" s="505">
        <f t="shared" si="9"/>
        <v>1.5675599053973574E-3</v>
      </c>
      <c r="S31" s="483">
        <f t="shared" si="14"/>
        <v>9.869547659227873E-3</v>
      </c>
      <c r="T31" s="483">
        <f t="shared" si="10"/>
        <v>-4.955725522770571E-5</v>
      </c>
      <c r="U31" s="489">
        <f>((1+J31)/(V30-J31*(1+W30+X30+Y30+Z30+AA30+AB30+AC30+AD30)))-1</f>
        <v>1.2725556757790857E-2</v>
      </c>
      <c r="V31" s="488">
        <f t="shared" si="15"/>
        <v>1.1031962163401465</v>
      </c>
      <c r="W31" s="488">
        <f t="shared" si="11"/>
        <v>1.0127255567577909</v>
      </c>
      <c r="X31" s="488">
        <f t="shared" si="16"/>
        <v>1.0250745596859057</v>
      </c>
      <c r="Y31" s="488">
        <f t="shared" si="17"/>
        <v>1.0369046551766983</v>
      </c>
      <c r="Z31" s="488">
        <f t="shared" si="18"/>
        <v>1.0481738170590382</v>
      </c>
      <c r="AA31" s="488">
        <f t="shared" si="19"/>
        <v>1.0587897812371705</v>
      </c>
      <c r="AB31" s="488">
        <f t="shared" si="20"/>
        <v>1.0687402616115766</v>
      </c>
      <c r="AC31" s="488">
        <f t="shared" si="21"/>
        <v>1.0778719374973915</v>
      </c>
      <c r="AD31" s="488">
        <f t="shared" si="22"/>
        <v>1.0862767851788737</v>
      </c>
      <c r="AE31" s="488">
        <f t="shared" ref="AE31:AE51" si="23">V31/V22</f>
        <v>1.09423258291298</v>
      </c>
      <c r="AF31" s="488"/>
      <c r="AG31" s="488"/>
      <c r="AH31" s="488"/>
      <c r="AI31" s="488"/>
      <c r="AJ31" s="488"/>
      <c r="AK31" s="488"/>
      <c r="AL31" s="488"/>
      <c r="AM31" s="488"/>
      <c r="AN31" s="488"/>
      <c r="AO31" s="488"/>
      <c r="AP31" s="488"/>
      <c r="AQ31" s="488"/>
      <c r="AR31" s="488"/>
      <c r="AS31" s="488"/>
      <c r="AT31" s="488"/>
      <c r="AU31" s="488"/>
      <c r="AV31" s="488"/>
      <c r="AW31" s="488"/>
      <c r="AX31" s="488"/>
      <c r="AY31" s="488"/>
    </row>
    <row r="32" spans="3:51">
      <c r="C32" s="481">
        <v>11</v>
      </c>
      <c r="D32" s="528">
        <f>'Swap and Yield Curves'!D81</f>
        <v>1.0084599999999999</v>
      </c>
      <c r="E32" s="492">
        <f t="shared" si="0"/>
        <v>1</v>
      </c>
      <c r="F32" s="492">
        <f t="shared" si="1"/>
        <v>0</v>
      </c>
      <c r="G32" s="492">
        <f t="shared" si="2"/>
        <v>0</v>
      </c>
      <c r="H32" s="492">
        <f t="shared" si="3"/>
        <v>1.0084599999999999</v>
      </c>
      <c r="I32" s="459">
        <f t="shared" si="12"/>
        <v>11</v>
      </c>
      <c r="J32" s="482">
        <f t="shared" si="4"/>
        <v>1.0110024789289795E-2</v>
      </c>
      <c r="K32" s="491">
        <f t="shared" si="13"/>
        <v>1.0171696551470877E-2</v>
      </c>
      <c r="L32" s="494">
        <f t="shared" si="5"/>
        <v>1.0171696551470877E-2</v>
      </c>
      <c r="M32" s="483">
        <f>'All Curves'!U25</f>
        <v>9.0153470609237972E-3</v>
      </c>
      <c r="N32" s="483">
        <f t="shared" si="6"/>
        <v>1.1563494905470796E-3</v>
      </c>
      <c r="O32" s="492">
        <f t="shared" si="7"/>
        <v>1</v>
      </c>
      <c r="P32" s="492">
        <f t="shared" si="8"/>
        <v>0</v>
      </c>
      <c r="Q32" s="492">
        <f>IF(P32=1,N31,IF(P32=2,N30,IF(P32=3,N29,IF(P32=4,N28,IF(P32=5,N27,IF(P32=6,N26,IF(P32=7,N25,IF(P32=8,N24,IF(P32=9,N23,IF(P32=10,N22,IF(P32=11,#REF!,IF(P32=12,#REF!,IF(P32=13,#REF!,IF(P32=14,#REF!,IF(P32=15,#REF!,IF(P32=16,N16,IF(P32=17,N15,IF(P32=18,N14,IF(P32=19,N13,0)))))))))))))))))))</f>
        <v>0</v>
      </c>
      <c r="R32" s="505">
        <f t="shared" si="9"/>
        <v>1.1563494905470796E-3</v>
      </c>
      <c r="S32" s="483">
        <f t="shared" si="14"/>
        <v>1.0171696551470877E-2</v>
      </c>
      <c r="T32" s="483">
        <f t="shared" si="10"/>
        <v>-6.1671762181081391E-5</v>
      </c>
      <c r="U32" s="489">
        <f>((1+J32)/(V31-J32*(1+W31+X31+Y31+Z31+AA31+AB31+AC31+AD31+AE31)))-1</f>
        <v>1.3198162034555594E-2</v>
      </c>
      <c r="V32" s="488">
        <f t="shared" si="15"/>
        <v>1.1177563787593123</v>
      </c>
      <c r="W32" s="488">
        <f t="shared" si="11"/>
        <v>1.0131981620345556</v>
      </c>
      <c r="X32" s="488">
        <f t="shared" si="16"/>
        <v>1.0260916727524156</v>
      </c>
      <c r="Y32" s="488">
        <f t="shared" si="17"/>
        <v>1.0386036598221409</v>
      </c>
      <c r="Z32" s="488">
        <f t="shared" si="18"/>
        <v>1.0505898908301052</v>
      </c>
      <c r="AA32" s="488">
        <f t="shared" si="19"/>
        <v>1.062007784936962</v>
      </c>
      <c r="AB32" s="488">
        <f t="shared" si="20"/>
        <v>1.0727638603304701</v>
      </c>
      <c r="AC32" s="488">
        <f t="shared" si="21"/>
        <v>1.0828456687571795</v>
      </c>
      <c r="AD32" s="488">
        <f t="shared" si="22"/>
        <v>1.0920978659809824</v>
      </c>
      <c r="AE32" s="488">
        <f t="shared" si="23"/>
        <v>1.1006136422040407</v>
      </c>
      <c r="AF32" s="488">
        <f t="shared" ref="AF32:AF51" si="24">V32/V22</f>
        <v>1.1086744418457557</v>
      </c>
      <c r="AG32" s="488"/>
      <c r="AH32" s="488"/>
      <c r="AI32" s="488"/>
      <c r="AJ32" s="488"/>
      <c r="AK32" s="488"/>
      <c r="AL32" s="488"/>
      <c r="AM32" s="488"/>
      <c r="AN32" s="488"/>
      <c r="AO32" s="488"/>
      <c r="AP32" s="488"/>
      <c r="AQ32" s="488"/>
      <c r="AR32" s="488"/>
      <c r="AS32" s="488"/>
      <c r="AT32" s="488"/>
      <c r="AU32" s="488"/>
      <c r="AV32" s="488"/>
      <c r="AW32" s="488"/>
      <c r="AX32" s="488"/>
      <c r="AY32" s="488"/>
    </row>
    <row r="33" spans="3:51">
      <c r="C33" s="481">
        <v>12</v>
      </c>
      <c r="D33" s="528">
        <f>'Swap and Yield Curves'!D82</f>
        <v>1.0346500000000001</v>
      </c>
      <c r="E33" s="492">
        <f t="shared" si="0"/>
        <v>1</v>
      </c>
      <c r="F33" s="492">
        <f t="shared" si="1"/>
        <v>0</v>
      </c>
      <c r="G33" s="492">
        <f t="shared" si="2"/>
        <v>0</v>
      </c>
      <c r="H33" s="492">
        <f t="shared" si="3"/>
        <v>1.0346500000000001</v>
      </c>
      <c r="I33" s="459">
        <f t="shared" si="12"/>
        <v>12</v>
      </c>
      <c r="J33" s="482">
        <f t="shared" si="4"/>
        <v>1.0373262515562365E-2</v>
      </c>
      <c r="K33" s="491">
        <f t="shared" si="13"/>
        <v>1.044702978916745E-2</v>
      </c>
      <c r="L33" s="494">
        <f t="shared" si="5"/>
        <v>1.044702978916745E-2</v>
      </c>
      <c r="M33" s="483">
        <f>'All Curves'!U26</f>
        <v>9.7080363145017508E-3</v>
      </c>
      <c r="N33" s="483">
        <f t="shared" si="6"/>
        <v>7.389934746656994E-4</v>
      </c>
      <c r="O33" s="492">
        <f t="shared" si="7"/>
        <v>1</v>
      </c>
      <c r="P33" s="492">
        <f t="shared" si="8"/>
        <v>0</v>
      </c>
      <c r="Q33" s="492">
        <f>IF(P33=1,N32,IF(P33=2,N31,IF(P33=3,N30,IF(P33=4,N29,IF(P33=5,N28,IF(P33=6,N27,IF(P33=7,N26,IF(P33=8,N25,IF(P33=9,N24,IF(P33=10,N23,IF(P33=11,N22,IF(P33=12,#REF!,IF(P33=13,#REF!,IF(P33=14,#REF!,IF(P33=15,#REF!,IF(P33=16,#REF!,IF(P33=17,N16,IF(P33=18,N15,IF(P33=19,N14,0)))))))))))))))))))</f>
        <v>0</v>
      </c>
      <c r="R33" s="505">
        <f t="shared" si="9"/>
        <v>7.389934746656994E-4</v>
      </c>
      <c r="S33" s="483">
        <f t="shared" si="14"/>
        <v>1.044702978916745E-2</v>
      </c>
      <c r="T33" s="483">
        <f t="shared" si="10"/>
        <v>-7.3767273605085393E-5</v>
      </c>
      <c r="U33" s="489">
        <f>((1+J33)/(V32-J33*(1+W32+X32+Y32+Z32+AA32+AB32+AC32+AD32+AE32+AF32)))-1</f>
        <v>1.3480652880258459E-2</v>
      </c>
      <c r="V33" s="488">
        <f t="shared" si="15"/>
        <v>1.1328244645060612</v>
      </c>
      <c r="W33" s="488">
        <f t="shared" si="11"/>
        <v>1.0134806528802585</v>
      </c>
      <c r="X33" s="488">
        <f t="shared" si="16"/>
        <v>1.026856734755859</v>
      </c>
      <c r="Y33" s="488">
        <f t="shared" si="17"/>
        <v>1.0399240584161147</v>
      </c>
      <c r="Z33" s="488">
        <f t="shared" si="18"/>
        <v>1.0526047152403692</v>
      </c>
      <c r="AA33" s="488">
        <f t="shared" si="19"/>
        <v>1.0647525284678943</v>
      </c>
      <c r="AB33" s="488">
        <f t="shared" si="20"/>
        <v>1.0763243432418292</v>
      </c>
      <c r="AC33" s="488">
        <f t="shared" si="21"/>
        <v>1.0872254175540712</v>
      </c>
      <c r="AD33" s="488">
        <f t="shared" si="22"/>
        <v>1.0974431353405862</v>
      </c>
      <c r="AE33" s="488">
        <f t="shared" si="23"/>
        <v>1.1068200582235428</v>
      </c>
      <c r="AF33" s="488">
        <f t="shared" si="24"/>
        <v>1.1154506326698701</v>
      </c>
      <c r="AG33" s="488">
        <f t="shared" ref="AG33:AG51" si="25">V33/V22</f>
        <v>1.1236200971534924</v>
      </c>
      <c r="AH33" s="488"/>
      <c r="AI33" s="488"/>
      <c r="AJ33" s="488"/>
      <c r="AK33" s="488"/>
      <c r="AL33" s="488"/>
      <c r="AM33" s="488"/>
      <c r="AN33" s="488"/>
      <c r="AO33" s="488"/>
      <c r="AP33" s="488"/>
      <c r="AQ33" s="488"/>
      <c r="AR33" s="488"/>
      <c r="AS33" s="488"/>
      <c r="AT33" s="488"/>
      <c r="AU33" s="488"/>
      <c r="AV33" s="488"/>
      <c r="AW33" s="488"/>
      <c r="AX33" s="488"/>
      <c r="AY33" s="488"/>
    </row>
    <row r="34" spans="3:51">
      <c r="C34" s="481">
        <v>13</v>
      </c>
      <c r="D34" s="528">
        <f>'Swap and Yield Curves'!D83</f>
        <v>1.0565</v>
      </c>
      <c r="E34" s="492">
        <f t="shared" si="0"/>
        <v>1</v>
      </c>
      <c r="F34" s="492">
        <f t="shared" si="1"/>
        <v>0</v>
      </c>
      <c r="G34" s="492">
        <f t="shared" si="2"/>
        <v>0</v>
      </c>
      <c r="H34" s="492">
        <f t="shared" si="3"/>
        <v>1.0565</v>
      </c>
      <c r="I34" s="459">
        <f t="shared" si="12"/>
        <v>13</v>
      </c>
      <c r="J34" s="482">
        <f t="shared" si="4"/>
        <v>1.0592904806250081E-2</v>
      </c>
      <c r="K34" s="491">
        <f t="shared" si="13"/>
        <v>1.0677183666339518E-2</v>
      </c>
      <c r="L34" s="494">
        <f t="shared" si="5"/>
        <v>1.0677183666339518E-2</v>
      </c>
      <c r="M34" s="483">
        <f>'All Curves'!U27</f>
        <v>1.0369221782444175E-2</v>
      </c>
      <c r="N34" s="483">
        <f t="shared" si="6"/>
        <v>3.0796188389534303E-4</v>
      </c>
      <c r="O34" s="492">
        <f t="shared" si="7"/>
        <v>1</v>
      </c>
      <c r="P34" s="492">
        <f t="shared" si="8"/>
        <v>0</v>
      </c>
      <c r="Q34" s="492">
        <f>IF(P34=1,N33,IF(P34=2,N32,IF(P34=3,N31,IF(P34=4,N30,IF(P34=5,N29,IF(P34=6,N28,IF(P34=7,N27,IF(P34=8,N26,IF(P34=9,N25,IF(P34=10,N24,IF(P34=11,N23,IF(P34=12,N22,IF(P34=13,#REF!,IF(P34=14,#REF!,IF(P34=15,#REF!,IF(P34=16,#REF!,IF(P34=17,#REF!,IF(P34=18,N16,IF(P34=19,N15,0)))))))))))))))))))</f>
        <v>0</v>
      </c>
      <c r="R34" s="505">
        <f t="shared" si="9"/>
        <v>3.0796188389534303E-4</v>
      </c>
      <c r="S34" s="483">
        <f t="shared" si="14"/>
        <v>1.0677183666339518E-2</v>
      </c>
      <c r="T34" s="483">
        <f t="shared" si="10"/>
        <v>-8.4278860089437302E-5</v>
      </c>
      <c r="U34" s="489">
        <f>((1+J34)/(V33-J34*(1+W33+X33+Y33+Z33+AA33+AB33+AC33+AD33+AE33+AF33+AG33)))-1</f>
        <v>1.3443122614377412E-2</v>
      </c>
      <c r="V34" s="488">
        <f t="shared" si="15"/>
        <v>1.1480531626829826</v>
      </c>
      <c r="W34" s="488">
        <f t="shared" si="11"/>
        <v>1.0134431226143774</v>
      </c>
      <c r="X34" s="488">
        <f t="shared" si="16"/>
        <v>1.027104997564227</v>
      </c>
      <c r="Y34" s="488">
        <f t="shared" si="17"/>
        <v>1.0406608957485814</v>
      </c>
      <c r="Z34" s="488">
        <f t="shared" si="18"/>
        <v>1.0539038850430433</v>
      </c>
      <c r="AA34" s="488">
        <f t="shared" si="19"/>
        <v>1.0667550094918172</v>
      </c>
      <c r="AB34" s="488">
        <f t="shared" si="20"/>
        <v>1.0790661272620565</v>
      </c>
      <c r="AC34" s="488">
        <f t="shared" si="21"/>
        <v>1.0907935033608684</v>
      </c>
      <c r="AD34" s="488">
        <f t="shared" si="22"/>
        <v>1.1018411221517181</v>
      </c>
      <c r="AE34" s="488">
        <f t="shared" si="23"/>
        <v>1.1121961979712764</v>
      </c>
      <c r="AF34" s="488">
        <f t="shared" si="24"/>
        <v>1.1216991759782942</v>
      </c>
      <c r="AG34" s="488">
        <f t="shared" si="25"/>
        <v>1.130445772295136</v>
      </c>
      <c r="AH34" s="488">
        <f t="shared" ref="AH34:AH51" si="26">V34/V22</f>
        <v>1.1387250598915055</v>
      </c>
      <c r="AI34" s="488"/>
      <c r="AJ34" s="488"/>
      <c r="AK34" s="488"/>
      <c r="AL34" s="488"/>
      <c r="AM34" s="488"/>
      <c r="AN34" s="488"/>
      <c r="AO34" s="488"/>
      <c r="AP34" s="488"/>
      <c r="AQ34" s="488"/>
      <c r="AR34" s="488"/>
      <c r="AS34" s="488"/>
      <c r="AT34" s="488"/>
      <c r="AU34" s="488"/>
      <c r="AV34" s="488"/>
      <c r="AW34" s="488"/>
      <c r="AX34" s="488"/>
      <c r="AY34" s="488"/>
    </row>
    <row r="35" spans="3:51">
      <c r="C35" s="481">
        <v>14</v>
      </c>
      <c r="D35" s="528">
        <f>'Swap and Yield Curves'!D84</f>
        <v>1.0775999999999999</v>
      </c>
      <c r="E35" s="492">
        <f t="shared" si="0"/>
        <v>1</v>
      </c>
      <c r="F35" s="492">
        <f t="shared" si="1"/>
        <v>0</v>
      </c>
      <c r="G35" s="492">
        <f t="shared" si="2"/>
        <v>0</v>
      </c>
      <c r="H35" s="492">
        <f t="shared" si="3"/>
        <v>1.0775999999999999</v>
      </c>
      <c r="I35" s="459">
        <f t="shared" si="12"/>
        <v>14</v>
      </c>
      <c r="J35" s="482">
        <f t="shared" si="4"/>
        <v>1.0805030543999949E-2</v>
      </c>
      <c r="K35" s="491">
        <f t="shared" si="13"/>
        <v>1.0900690468539587E-2</v>
      </c>
      <c r="L35" s="494">
        <f t="shared" si="5"/>
        <v>1.0900690468539587E-2</v>
      </c>
      <c r="M35" s="483">
        <f>'All Curves'!U28</f>
        <v>1.0991672480323039E-2</v>
      </c>
      <c r="N35" s="483">
        <f t="shared" si="6"/>
        <v>-9.0982011783452554E-5</v>
      </c>
      <c r="O35" s="492">
        <f t="shared" si="7"/>
        <v>1</v>
      </c>
      <c r="P35" s="492">
        <f t="shared" si="8"/>
        <v>0</v>
      </c>
      <c r="Q35" s="492">
        <f>IF(P35=1,N34,IF(P35=2,N33,IF(P35=3,N32,IF(P35=4,N31,IF(P35=5,N30,IF(P35=6,N29,IF(P35=7,N28,IF(P35=8,N27,IF(P35=9,N26,IF(P35=10,N25,IF(P35=11,N24,IF(P35=12,N23,IF(P35=13,N22,IF(P35=14,#REF!,IF(P35=15,#REF!,IF(P35=16,#REF!,IF(P35=17,#REF!,IF(P35=18,#REF!,IF(P35=19,N16,0)))))))))))))))))))</f>
        <v>0</v>
      </c>
      <c r="R35" s="505">
        <f t="shared" si="9"/>
        <v>-9.0982011783452554E-5</v>
      </c>
      <c r="S35" s="483">
        <f t="shared" si="14"/>
        <v>1.0900690468539587E-2</v>
      </c>
      <c r="T35" s="483">
        <f t="shared" si="10"/>
        <v>-9.5659924539637231E-5</v>
      </c>
      <c r="U35" s="489">
        <f>((1+J35)/(V34-J35*(1+W34+X34+Y34+Z34+AA34+AB34+AC34+AD34+AE34+AF34+AG34+AH34)))-1</f>
        <v>1.3810780784804466E-2</v>
      </c>
      <c r="V35" s="488">
        <f t="shared" si="15"/>
        <v>1.1639086732420987</v>
      </c>
      <c r="W35" s="488">
        <f t="shared" si="11"/>
        <v>1.0138107807848045</v>
      </c>
      <c r="X35" s="488">
        <f t="shared" si="16"/>
        <v>1.0274395634186722</v>
      </c>
      <c r="Y35" s="488">
        <f t="shared" si="17"/>
        <v>1.0412901195285635</v>
      </c>
      <c r="Z35" s="488">
        <f t="shared" si="18"/>
        <v>1.0550332352510832</v>
      </c>
      <c r="AA35" s="488">
        <f t="shared" si="19"/>
        <v>1.0684591205676266</v>
      </c>
      <c r="AB35" s="488">
        <f t="shared" si="20"/>
        <v>1.0814877290790008</v>
      </c>
      <c r="AC35" s="488">
        <f t="shared" si="21"/>
        <v>1.0939688729979806</v>
      </c>
      <c r="AD35" s="488">
        <f t="shared" si="22"/>
        <v>1.1058582133172743</v>
      </c>
      <c r="AE35" s="488">
        <f t="shared" si="23"/>
        <v>1.1170584083494386</v>
      </c>
      <c r="AF35" s="488">
        <f t="shared" si="24"/>
        <v>1.1275564958511508</v>
      </c>
      <c r="AG35" s="488">
        <f t="shared" si="25"/>
        <v>1.1371907174042262</v>
      </c>
      <c r="AH35" s="488">
        <f t="shared" si="26"/>
        <v>1.1460581110454131</v>
      </c>
      <c r="AI35" s="488">
        <f t="shared" ref="AI35:AI51" si="27">V35/V22</f>
        <v>1.1544517420678304</v>
      </c>
      <c r="AJ35" s="488"/>
      <c r="AK35" s="488"/>
      <c r="AL35" s="488"/>
      <c r="AM35" s="488"/>
      <c r="AN35" s="488"/>
      <c r="AO35" s="488"/>
      <c r="AP35" s="488"/>
      <c r="AQ35" s="488"/>
      <c r="AR35" s="488"/>
      <c r="AS35" s="488"/>
      <c r="AT35" s="488"/>
      <c r="AU35" s="488"/>
      <c r="AV35" s="488"/>
      <c r="AW35" s="488"/>
      <c r="AX35" s="488"/>
      <c r="AY35" s="488"/>
    </row>
    <row r="36" spans="3:51">
      <c r="C36" s="481">
        <v>15</v>
      </c>
      <c r="D36" s="528">
        <f>'Swap and Yield Curves'!D85</f>
        <v>1.09511</v>
      </c>
      <c r="E36" s="492">
        <f t="shared" si="0"/>
        <v>1</v>
      </c>
      <c r="F36" s="492">
        <f t="shared" si="1"/>
        <v>0</v>
      </c>
      <c r="G36" s="492">
        <f t="shared" si="2"/>
        <v>0</v>
      </c>
      <c r="H36" s="492">
        <f t="shared" si="3"/>
        <v>1.09511</v>
      </c>
      <c r="I36" s="459">
        <f t="shared" si="12"/>
        <v>15</v>
      </c>
      <c r="J36" s="482">
        <f t="shared" si="4"/>
        <v>1.0981081647802649E-2</v>
      </c>
      <c r="K36" s="491">
        <f t="shared" si="13"/>
        <v>1.1086290647530639E-2</v>
      </c>
      <c r="L36" s="494">
        <f t="shared" si="5"/>
        <v>1.1086290647530639E-2</v>
      </c>
      <c r="M36" s="483">
        <f>'All Curves'!U29</f>
        <v>1.1570897064036766E-2</v>
      </c>
      <c r="N36" s="483">
        <f t="shared" si="6"/>
        <v>-4.8460641650612674E-4</v>
      </c>
      <c r="O36" s="492">
        <f t="shared" si="7"/>
        <v>1</v>
      </c>
      <c r="P36" s="492">
        <f t="shared" si="8"/>
        <v>0</v>
      </c>
      <c r="Q36" s="492">
        <f>IF(P36=1,N35,IF(P36=2,N34,IF(P36=3,N33,IF(P36=4,N32,IF(P36=5,N31,IF(P36=6,N30,IF(P36=7,N29,IF(P36=8,N28,IF(P36=9,N27,IF(P36=10,N26,IF(P36=11,N25,IF(P36=12,N24,IF(P36=13,N23,IF(P36=14,N22,IF(P36=15,#REF!,IF(P36=16,#REF!,IF(P36=17,#REF!,IF(P36=18,#REF!,IF(P36=19,#REF!,0)))))))))))))))))))</f>
        <v>0</v>
      </c>
      <c r="R36" s="505">
        <f t="shared" si="9"/>
        <v>-4.8460641650612674E-4</v>
      </c>
      <c r="S36" s="483">
        <f t="shared" si="14"/>
        <v>1.1086290647530639E-2</v>
      </c>
      <c r="T36" s="483">
        <f t="shared" si="10"/>
        <v>-1.0520899972799036E-4</v>
      </c>
      <c r="U36" s="489">
        <f>((1+J36)/(V35-J36*(1+W35+X35+Y35+Z35+AA35+AB35+AC35+AD35+AE35+AF35+AG35+AH35+AI35)))-1</f>
        <v>1.3688273978947008E-2</v>
      </c>
      <c r="V36" s="488">
        <f t="shared" si="15"/>
        <v>1.1798405740479092</v>
      </c>
      <c r="W36" s="488">
        <f t="shared" si="11"/>
        <v>1.013688273978947</v>
      </c>
      <c r="X36" s="488">
        <f t="shared" si="16"/>
        <v>1.0276881005149969</v>
      </c>
      <c r="Y36" s="488">
        <f t="shared" si="17"/>
        <v>1.0415034376595567</v>
      </c>
      <c r="Z36" s="488">
        <f t="shared" si="18"/>
        <v>1.055543583976241</v>
      </c>
      <c r="AA36" s="488">
        <f t="shared" si="19"/>
        <v>1.0694748192320949</v>
      </c>
      <c r="AB36" s="488">
        <f t="shared" si="20"/>
        <v>1.083084481745261</v>
      </c>
      <c r="AC36" s="488">
        <f t="shared" si="21"/>
        <v>1.0962914294195032</v>
      </c>
      <c r="AD36" s="488">
        <f t="shared" si="22"/>
        <v>1.108943418656017</v>
      </c>
      <c r="AE36" s="488">
        <f t="shared" si="23"/>
        <v>1.1209955035230299</v>
      </c>
      <c r="AF36" s="488">
        <f t="shared" si="24"/>
        <v>1.1323490098934121</v>
      </c>
      <c r="AG36" s="488">
        <f t="shared" si="25"/>
        <v>1.1429907980931027</v>
      </c>
      <c r="AH36" s="488">
        <f t="shared" si="26"/>
        <v>1.1527568955103706</v>
      </c>
      <c r="AI36" s="488">
        <f t="shared" si="27"/>
        <v>1.1617456684651972</v>
      </c>
      <c r="AJ36" s="488">
        <f t="shared" ref="AJ36:AJ51" si="28">V36/V22</f>
        <v>1.1702541938087274</v>
      </c>
      <c r="AK36" s="488"/>
      <c r="AL36" s="488"/>
      <c r="AM36" s="488"/>
      <c r="AN36" s="488"/>
      <c r="AO36" s="488"/>
      <c r="AP36" s="488"/>
      <c r="AQ36" s="488"/>
      <c r="AR36" s="488"/>
      <c r="AS36" s="488"/>
      <c r="AT36" s="488"/>
      <c r="AU36" s="488"/>
      <c r="AV36" s="488"/>
      <c r="AW36" s="488"/>
      <c r="AX36" s="488"/>
      <c r="AY36" s="488"/>
    </row>
    <row r="37" spans="3:51">
      <c r="C37" s="481">
        <v>16</v>
      </c>
      <c r="D37" s="528">
        <f>'Swap and Yield Curves'!D86</f>
        <v>1.1099000000000001</v>
      </c>
      <c r="E37" s="492">
        <f t="shared" si="0"/>
        <v>1</v>
      </c>
      <c r="F37" s="492">
        <f t="shared" si="1"/>
        <v>0</v>
      </c>
      <c r="G37" s="492">
        <f t="shared" si="2"/>
        <v>0</v>
      </c>
      <c r="H37" s="492">
        <f t="shared" si="3"/>
        <v>1.1099000000000001</v>
      </c>
      <c r="I37" s="459">
        <f t="shared" si="12"/>
        <v>16</v>
      </c>
      <c r="J37" s="482">
        <f t="shared" si="4"/>
        <v>1.1129796950250181E-2</v>
      </c>
      <c r="K37" s="491">
        <f t="shared" si="13"/>
        <v>1.1243119492497788E-2</v>
      </c>
      <c r="L37" s="494">
        <f t="shared" si="5"/>
        <v>1.1243119492497788E-2</v>
      </c>
      <c r="M37" s="483">
        <f>'All Curves'!U30</f>
        <v>1.2104467364379201E-2</v>
      </c>
      <c r="N37" s="483">
        <f t="shared" si="6"/>
        <v>-8.6134787188141271E-4</v>
      </c>
      <c r="O37" s="492">
        <f t="shared" si="7"/>
        <v>1</v>
      </c>
      <c r="P37" s="492">
        <f t="shared" si="8"/>
        <v>0</v>
      </c>
      <c r="Q37" s="492">
        <f>IF(P37=1,N36,IF(P37=2,N35,IF(P37=3,N34,IF(P37=4,N33,IF(P37=5,N32,IF(P37=6,N31,IF(P37=7,N30,IF(P37=8,N29,IF(P37=9,N28,IF(P37=10,N27,IF(P37=11,N26,IF(P37=12,N25,IF(P37=13,N24,IF(P37=14,N23,IF(P37=15,N22,IF(P37=16,#REF!,IF(P37=17,#REF!,IF(P37=18,#REF!,IF(P37=19,#REF!,0)))))))))))))))))))</f>
        <v>0</v>
      </c>
      <c r="R37" s="505">
        <f t="shared" si="9"/>
        <v>-8.6134787188141271E-4</v>
      </c>
      <c r="S37" s="483">
        <f t="shared" si="14"/>
        <v>1.1243119492497788E-2</v>
      </c>
      <c r="T37" s="483">
        <f t="shared" si="10"/>
        <v>-1.1332254224760696E-4</v>
      </c>
      <c r="U37" s="489">
        <f>((1+J37)/(V36-J37*(1+W36+X36+Y36+Z36+AA36+AB36+AC36+AD36+AE36+AF36+AG36+AH36+AI36+AJ36)))-1</f>
        <v>1.3598473353725993E-2</v>
      </c>
      <c r="V37" s="488">
        <f t="shared" si="15"/>
        <v>1.1958846046557445</v>
      </c>
      <c r="W37" s="488">
        <f t="shared" si="11"/>
        <v>1.013598473353726</v>
      </c>
      <c r="X37" s="488">
        <f t="shared" si="16"/>
        <v>1.0274728869616343</v>
      </c>
      <c r="Y37" s="488">
        <f t="shared" si="17"/>
        <v>1.0416630897657915</v>
      </c>
      <c r="Z37" s="488">
        <f t="shared" si="18"/>
        <v>1.0556662944043842</v>
      </c>
      <c r="AA37" s="488">
        <f t="shared" si="19"/>
        <v>1.0698973652766384</v>
      </c>
      <c r="AB37" s="488">
        <f t="shared" si="20"/>
        <v>1.0840180440639036</v>
      </c>
      <c r="AC37" s="488">
        <f t="shared" si="21"/>
        <v>1.0978127772101081</v>
      </c>
      <c r="AD37" s="488">
        <f t="shared" si="22"/>
        <v>1.1111993192103826</v>
      </c>
      <c r="AE37" s="488">
        <f t="shared" si="23"/>
        <v>1.1240233561854007</v>
      </c>
      <c r="AF37" s="488">
        <f t="shared" si="24"/>
        <v>1.1362393310073344</v>
      </c>
      <c r="AG37" s="488">
        <f t="shared" si="25"/>
        <v>1.1477472277315657</v>
      </c>
      <c r="AH37" s="488">
        <f t="shared" si="26"/>
        <v>1.1585337280045258</v>
      </c>
      <c r="AI37" s="488">
        <f t="shared" si="27"/>
        <v>1.1684326294372922</v>
      </c>
      <c r="AJ37" s="488">
        <f t="shared" si="28"/>
        <v>1.1775436359816278</v>
      </c>
      <c r="AK37" s="496">
        <f t="shared" ref="AK37:AK51" si="29">V37/V22</f>
        <v>1.1861678642803215</v>
      </c>
      <c r="AL37" s="488"/>
      <c r="AM37" s="488"/>
      <c r="AN37" s="488"/>
      <c r="AO37" s="488"/>
      <c r="AP37" s="488"/>
      <c r="AQ37" s="488"/>
      <c r="AR37" s="488"/>
      <c r="AS37" s="488"/>
      <c r="AT37" s="488"/>
      <c r="AU37" s="488"/>
      <c r="AV37" s="488"/>
      <c r="AW37" s="488"/>
      <c r="AX37" s="488"/>
      <c r="AY37" s="488"/>
    </row>
    <row r="38" spans="3:51">
      <c r="C38" s="481">
        <v>17</v>
      </c>
      <c r="D38" s="528">
        <f>'Swap and Yield Curves'!D87</f>
        <v>1.1225000000000001</v>
      </c>
      <c r="E38" s="492">
        <f t="shared" si="0"/>
        <v>1</v>
      </c>
      <c r="F38" s="492">
        <f t="shared" si="1"/>
        <v>0</v>
      </c>
      <c r="G38" s="492">
        <f t="shared" si="2"/>
        <v>0</v>
      </c>
      <c r="H38" s="492">
        <f t="shared" si="3"/>
        <v>1.1225000000000001</v>
      </c>
      <c r="I38" s="459">
        <f t="shared" si="12"/>
        <v>17</v>
      </c>
      <c r="J38" s="482">
        <f t="shared" si="4"/>
        <v>1.1256500156250127E-2</v>
      </c>
      <c r="K38" s="491">
        <f t="shared" si="13"/>
        <v>1.1376713554211992E-2</v>
      </c>
      <c r="L38" s="494">
        <f t="shared" si="5"/>
        <v>1.1376713554211992E-2</v>
      </c>
      <c r="M38" s="483">
        <f>'All Curves'!U31</f>
        <v>1.259149002670948E-2</v>
      </c>
      <c r="N38" s="483">
        <f t="shared" si="6"/>
        <v>-1.2147764724974881E-3</v>
      </c>
      <c r="O38" s="492">
        <f t="shared" si="7"/>
        <v>1</v>
      </c>
      <c r="P38" s="492">
        <f t="shared" si="8"/>
        <v>0</v>
      </c>
      <c r="Q38" s="492">
        <f>IF(P38=1,N37,IF(P38=2,N36,IF(P38=3,N35,IF(P38=4,N34,IF(P38=5,N33,IF(P38=6,N32,IF(P38=7,N31,IF(P38=8,N30,IF(P38=9,N29,IF(P38=10,N28,IF(P38=11,N27,IF(P38=12,N26,IF(P38=13,N25,IF(P38=14,N24,IF(P38=15,N23,IF(P38=16,N22,IF(P38=17,#REF!,IF(P38=18,#REF!,IF(P38=19,#REF!,0)))))))))))))))))))</f>
        <v>0</v>
      </c>
      <c r="R38" s="505">
        <f t="shared" si="9"/>
        <v>-1.2147764724974881E-3</v>
      </c>
      <c r="S38" s="483">
        <f t="shared" si="14"/>
        <v>1.1376713554211992E-2</v>
      </c>
      <c r="T38" s="483">
        <f t="shared" si="10"/>
        <v>-1.2021339796186581E-4</v>
      </c>
      <c r="U38" s="489">
        <f>((1+J38)/(V37-J38*(1+W37+X37+Y37+Z37+AA37+AB37+AC37+AD37+AE37+AF37+AG37+AH37+AI37+AJ37+AK37)))-1</f>
        <v>1.3516620384250055E-2</v>
      </c>
      <c r="V38" s="488">
        <f t="shared" si="15"/>
        <v>1.2120489228802451</v>
      </c>
      <c r="W38" s="488">
        <f t="shared" si="11"/>
        <v>1.0135166203842501</v>
      </c>
      <c r="X38" s="488">
        <f t="shared" si="16"/>
        <v>1.0272988991401037</v>
      </c>
      <c r="Y38" s="488">
        <f t="shared" si="17"/>
        <v>1.041360847929804</v>
      </c>
      <c r="Z38" s="488">
        <f t="shared" si="18"/>
        <v>1.0557428543184406</v>
      </c>
      <c r="AA38" s="488">
        <f t="shared" si="19"/>
        <v>1.0699353349582963</v>
      </c>
      <c r="AB38" s="488">
        <f t="shared" si="20"/>
        <v>1.084358761813192</v>
      </c>
      <c r="AC38" s="488">
        <f t="shared" si="21"/>
        <v>1.0986703044551924</v>
      </c>
      <c r="AD38" s="488">
        <f t="shared" si="22"/>
        <v>1.1126514957726363</v>
      </c>
      <c r="AE38" s="488">
        <f t="shared" si="23"/>
        <v>1.1262189785793864</v>
      </c>
      <c r="AF38" s="488">
        <f t="shared" si="24"/>
        <v>1.1392163531939894</v>
      </c>
      <c r="AG38" s="488">
        <f t="shared" si="25"/>
        <v>1.1515974467102148</v>
      </c>
      <c r="AH38" s="488">
        <f t="shared" si="26"/>
        <v>1.1632608913058886</v>
      </c>
      <c r="AI38" s="488">
        <f t="shared" si="27"/>
        <v>1.174193188608313</v>
      </c>
      <c r="AJ38" s="488">
        <f t="shared" si="28"/>
        <v>1.1842258897339673</v>
      </c>
      <c r="AK38" s="488">
        <f t="shared" si="29"/>
        <v>1.1934600462950808</v>
      </c>
      <c r="AL38" s="488">
        <f t="shared" ref="AL38:AL51" si="30">V38/V22</f>
        <v>1.2022008450137953</v>
      </c>
      <c r="AM38" s="488"/>
      <c r="AN38" s="488"/>
      <c r="AO38" s="488"/>
      <c r="AP38" s="488"/>
      <c r="AQ38" s="488"/>
      <c r="AR38" s="488"/>
      <c r="AS38" s="488"/>
      <c r="AT38" s="488"/>
      <c r="AU38" s="488"/>
      <c r="AV38" s="488"/>
      <c r="AW38" s="488"/>
      <c r="AX38" s="488"/>
      <c r="AY38" s="488"/>
    </row>
    <row r="39" spans="3:51">
      <c r="C39" s="481">
        <v>18</v>
      </c>
      <c r="D39" s="528">
        <f>'Swap and Yield Curves'!D88</f>
        <v>1.1335</v>
      </c>
      <c r="E39" s="492">
        <f t="shared" si="0"/>
        <v>1</v>
      </c>
      <c r="F39" s="492">
        <f t="shared" si="1"/>
        <v>0</v>
      </c>
      <c r="G39" s="492">
        <f t="shared" si="2"/>
        <v>0</v>
      </c>
      <c r="H39" s="492">
        <f t="shared" si="3"/>
        <v>1.1335</v>
      </c>
      <c r="I39" s="459">
        <f t="shared" si="12"/>
        <v>18</v>
      </c>
      <c r="J39" s="482">
        <f t="shared" si="4"/>
        <v>1.1367120556249777E-2</v>
      </c>
      <c r="K39" s="491">
        <f t="shared" si="13"/>
        <v>1.1493396417322499E-2</v>
      </c>
      <c r="L39" s="494">
        <f t="shared" si="5"/>
        <v>1.1493396417322499E-2</v>
      </c>
      <c r="M39" s="483">
        <f>'All Curves'!U32</f>
        <v>1.3032195480025387E-2</v>
      </c>
      <c r="N39" s="483">
        <f t="shared" si="6"/>
        <v>-1.5387990627028884E-3</v>
      </c>
      <c r="O39" s="492">
        <f t="shared" si="7"/>
        <v>1</v>
      </c>
      <c r="P39" s="492">
        <f t="shared" si="8"/>
        <v>0</v>
      </c>
      <c r="Q39" s="492">
        <f>IF(P39=1,N38,IF(P39=2,N37,IF(P39=3,N36,IF(P39=4,N35,IF(P39=5,N34,IF(P39=6,N33,IF(P39=7,N32,IF(P39=8,N31,IF(P39=9,N30,IF(P39=10,N29,IF(P39=11,N28,IF(P39=12,N27,IF(P39=13,N26,IF(P39=14,N25,IF(P39=15,N24,IF(P39=16,N23,IF(P39=17,N22,IF(P39=18,#REF!,IF(P39=19,#REF!,0)))))))))))))))))))</f>
        <v>0</v>
      </c>
      <c r="R39" s="505">
        <f t="shared" si="9"/>
        <v>-1.5387990627028884E-3</v>
      </c>
      <c r="S39" s="483">
        <f t="shared" si="14"/>
        <v>1.1493396417322499E-2</v>
      </c>
      <c r="T39" s="483">
        <f t="shared" si="10"/>
        <v>-1.2627586107272215E-4</v>
      </c>
      <c r="U39" s="489">
        <f>((1+J39)/(V38-J39*(1+W38+X38+Y38+Z38+AA38+AB38+AC38+AD38+AE38+AF38+AG38+AH38+AI38+AJ38+AK38+AL38)))-1</f>
        <v>1.3479066004313589E-2</v>
      </c>
      <c r="V39" s="488">
        <f t="shared" si="15"/>
        <v>1.2283862103122052</v>
      </c>
      <c r="W39" s="488">
        <f t="shared" si="11"/>
        <v>1.0134790660043136</v>
      </c>
      <c r="X39" s="488">
        <f t="shared" si="16"/>
        <v>1.0271778778068781</v>
      </c>
      <c r="Y39" s="488">
        <f t="shared" si="17"/>
        <v>1.0411459288077718</v>
      </c>
      <c r="Z39" s="488">
        <f t="shared" si="18"/>
        <v>1.055397419533358</v>
      </c>
      <c r="AA39" s="488">
        <f t="shared" si="19"/>
        <v>1.0699732819353813</v>
      </c>
      <c r="AB39" s="488">
        <f t="shared" si="20"/>
        <v>1.0843570639585465</v>
      </c>
      <c r="AC39" s="488">
        <f t="shared" si="21"/>
        <v>1.0989749051360278</v>
      </c>
      <c r="AD39" s="488">
        <f t="shared" si="22"/>
        <v>1.1134793540059233</v>
      </c>
      <c r="AE39" s="488">
        <f t="shared" si="23"/>
        <v>1.127648998723954</v>
      </c>
      <c r="AF39" s="488">
        <f t="shared" si="24"/>
        <v>1.1413993585269686</v>
      </c>
      <c r="AG39" s="488">
        <f t="shared" si="25"/>
        <v>1.1545719256118845</v>
      </c>
      <c r="AH39" s="488">
        <f t="shared" si="26"/>
        <v>1.1671199047048209</v>
      </c>
      <c r="AI39" s="488">
        <f t="shared" si="27"/>
        <v>1.1789405616400372</v>
      </c>
      <c r="AJ39" s="488">
        <f t="shared" si="28"/>
        <v>1.1900202160993798</v>
      </c>
      <c r="AK39" s="488">
        <f t="shared" si="29"/>
        <v>1.2001881486657084</v>
      </c>
      <c r="AL39" s="488">
        <f t="shared" si="30"/>
        <v>1.2095467730326035</v>
      </c>
      <c r="AM39" s="488">
        <f t="shared" ref="AM39:AM51" si="31">V39/V22</f>
        <v>1.2184053895541778</v>
      </c>
      <c r="AN39" s="488"/>
      <c r="AO39" s="488"/>
      <c r="AP39" s="488"/>
      <c r="AQ39" s="488"/>
      <c r="AR39" s="488"/>
      <c r="AS39" s="488"/>
      <c r="AT39" s="488"/>
      <c r="AU39" s="488"/>
      <c r="AV39" s="488"/>
      <c r="AW39" s="488"/>
      <c r="AX39" s="488"/>
      <c r="AY39" s="488"/>
    </row>
    <row r="40" spans="3:51">
      <c r="C40" s="481">
        <v>19</v>
      </c>
      <c r="D40" s="528">
        <f>'Swap and Yield Curves'!D89</f>
        <v>1.1433</v>
      </c>
      <c r="E40" s="492">
        <f t="shared" si="0"/>
        <v>1</v>
      </c>
      <c r="F40" s="492">
        <f t="shared" si="1"/>
        <v>0</v>
      </c>
      <c r="G40" s="492">
        <f t="shared" si="2"/>
        <v>0</v>
      </c>
      <c r="H40" s="492">
        <f t="shared" si="3"/>
        <v>1.1433</v>
      </c>
      <c r="I40" s="459">
        <f t="shared" si="12"/>
        <v>19</v>
      </c>
      <c r="J40" s="482">
        <f t="shared" si="4"/>
        <v>1.1465678372249766E-2</v>
      </c>
      <c r="K40" s="491">
        <f t="shared" si="13"/>
        <v>1.1597466673127554E-2</v>
      </c>
      <c r="L40" s="494">
        <f t="shared" si="5"/>
        <v>1.1597466673127554E-2</v>
      </c>
      <c r="M40" s="483">
        <f>'All Curves'!U33</f>
        <v>1.3427619681044079E-2</v>
      </c>
      <c r="N40" s="483">
        <f t="shared" si="6"/>
        <v>-1.8301530079165244E-3</v>
      </c>
      <c r="O40" s="492">
        <f t="shared" si="7"/>
        <v>1</v>
      </c>
      <c r="P40" s="492">
        <f t="shared" si="8"/>
        <v>0</v>
      </c>
      <c r="Q40" s="492">
        <f>IF(P40=1,N39,IF(P40=2,N38,IF(P40=3,N37,IF(P40=4,N36,IF(P40=5,N35,IF(P40=6,N34,IF(P40=7,N33,IF(P40=8,N32,IF(P40=9,N31,IF(P40=10,N30,IF(P40=11,N29,IF(P40=12,N28,IF(P40=13,N27,IF(P40=14,N26,IF(P40=15,N25,IF(P40=16,N24,IF(P40=17,N23,IF(P40=18,N22,IF(P40=19,#REF!,0)))))))))))))))))))</f>
        <v>0</v>
      </c>
      <c r="R40" s="505">
        <f t="shared" si="9"/>
        <v>-1.8301530079165244E-3</v>
      </c>
      <c r="S40" s="483">
        <f t="shared" si="14"/>
        <v>1.1597466673127554E-2</v>
      </c>
      <c r="T40" s="483">
        <f t="shared" si="10"/>
        <v>-1.317883008777887E-4</v>
      </c>
      <c r="U40" s="489">
        <f>((1+J40)/(V39-J40*(1+W39+X39+Y39+Z39+AA39+AB39+AC39+AD39+AE39+AF39+AG39+AH39+AI39+AJ39+AK39+AL39+AM39)))-1</f>
        <v>1.3472563336973442E-2</v>
      </c>
      <c r="V40" s="488">
        <f t="shared" si="15"/>
        <v>1.2449357213329011</v>
      </c>
      <c r="W40" s="488">
        <f t="shared" si="11"/>
        <v>1.0134725633369734</v>
      </c>
      <c r="X40" s="488">
        <f t="shared" si="16"/>
        <v>1.0271332269117535</v>
      </c>
      <c r="Y40" s="488">
        <f t="shared" si="17"/>
        <v>1.0410165968239693</v>
      </c>
      <c r="Z40" s="488">
        <f t="shared" si="18"/>
        <v>1.0551728332766666</v>
      </c>
      <c r="AA40" s="488">
        <f t="shared" si="19"/>
        <v>1.0696163281136994</v>
      </c>
      <c r="AB40" s="488">
        <f t="shared" si="20"/>
        <v>1.084388564745125</v>
      </c>
      <c r="AC40" s="488">
        <f t="shared" si="21"/>
        <v>1.0989661331826226</v>
      </c>
      <c r="AD40" s="488">
        <f t="shared" si="22"/>
        <v>1.1137809141512172</v>
      </c>
      <c r="AE40" s="488">
        <f t="shared" si="23"/>
        <v>1.1284807751271804</v>
      </c>
      <c r="AF40" s="488">
        <f t="shared" si="24"/>
        <v>1.142841321281137</v>
      </c>
      <c r="AG40" s="488">
        <f t="shared" si="25"/>
        <v>1.156776933677504</v>
      </c>
      <c r="AH40" s="488">
        <f t="shared" si="26"/>
        <v>1.1701269690067821</v>
      </c>
      <c r="AI40" s="488">
        <f t="shared" si="27"/>
        <v>1.1828440015427988</v>
      </c>
      <c r="AJ40" s="488">
        <f t="shared" si="28"/>
        <v>1.1948239130272598</v>
      </c>
      <c r="AK40" s="488">
        <f t="shared" si="29"/>
        <v>1.2060528388330576</v>
      </c>
      <c r="AL40" s="488">
        <f t="shared" si="30"/>
        <v>1.216357759514892</v>
      </c>
      <c r="AM40" s="488">
        <f t="shared" si="31"/>
        <v>1.225842468541317</v>
      </c>
      <c r="AN40" s="488">
        <f t="shared" ref="AN40:AN51" si="32">V40/V22</f>
        <v>1.2348204333350563</v>
      </c>
      <c r="AO40" s="488"/>
      <c r="AP40" s="488"/>
      <c r="AQ40" s="488"/>
      <c r="AR40" s="488"/>
      <c r="AS40" s="488"/>
      <c r="AT40" s="488"/>
      <c r="AU40" s="488"/>
      <c r="AV40" s="488"/>
      <c r="AW40" s="488"/>
      <c r="AX40" s="488"/>
      <c r="AY40" s="488"/>
    </row>
    <row r="41" spans="3:51">
      <c r="C41" s="481">
        <v>20</v>
      </c>
      <c r="D41" s="528">
        <f>'Swap and Yield Curves'!D90</f>
        <v>1.15062</v>
      </c>
      <c r="E41" s="492">
        <f t="shared" si="0"/>
        <v>1</v>
      </c>
      <c r="F41" s="492">
        <f t="shared" si="1"/>
        <v>0</v>
      </c>
      <c r="G41" s="492">
        <f t="shared" si="2"/>
        <v>0</v>
      </c>
      <c r="H41" s="492">
        <f t="shared" si="3"/>
        <v>1.15062</v>
      </c>
      <c r="I41" s="459">
        <f t="shared" si="12"/>
        <v>20</v>
      </c>
      <c r="J41" s="482">
        <f t="shared" si="4"/>
        <v>1.1539298159609856E-2</v>
      </c>
      <c r="K41" s="491">
        <f t="shared" si="13"/>
        <v>1.1674170847446819E-2</v>
      </c>
      <c r="L41" s="494">
        <f t="shared" si="5"/>
        <v>1.1674170847446819E-2</v>
      </c>
      <c r="M41" s="483">
        <f>'All Curves'!U34</f>
        <v>1.3779359062904721E-2</v>
      </c>
      <c r="N41" s="483">
        <f t="shared" si="6"/>
        <v>-2.1051882154579024E-3</v>
      </c>
      <c r="O41" s="492">
        <f t="shared" si="7"/>
        <v>1</v>
      </c>
      <c r="P41" s="492">
        <f t="shared" si="8"/>
        <v>0</v>
      </c>
      <c r="Q41" s="492">
        <f t="shared" ref="Q41:Q51" si="33">IF(P41=1,N40,IF(P41=2,N39,IF(P41=3,N38,IF(P41=4,N37,IF(P41=5,N36,IF(P41=6,N35,IF(P41=7,N34,IF(P41=8,N33,IF(P41=9,N32,IF(P41=10,N31,IF(P41=11,N30,IF(P41=12,N29,IF(P41=13,N28,IF(P41=14,N27,IF(P41=15,N26,IF(P41=16,N25,IF(P41=17,N24,IF(P41=18,N23,IF(P41=19,N22,0)))))))))))))))))))</f>
        <v>0</v>
      </c>
      <c r="R41" s="505">
        <f t="shared" si="9"/>
        <v>-2.1051882154579024E-3</v>
      </c>
      <c r="S41" s="483">
        <f t="shared" si="14"/>
        <v>1.1674170847446819E-2</v>
      </c>
      <c r="T41" s="483">
        <f t="shared" si="10"/>
        <v>-1.3487268783696216E-4</v>
      </c>
      <c r="U41" s="489">
        <f>((1+J41)/(V40-J41*(1+W40+X40+Y40+Z40+AA40+AB40+AC40+AD40+AE40+AF40+AG40+AH40+AI40+AJ40+AK40+AL40+AM40+AN40)))-1</f>
        <v>1.3132655717350117E-2</v>
      </c>
      <c r="V41" s="488">
        <f t="shared" si="15"/>
        <v>1.261285033551397</v>
      </c>
      <c r="W41" s="488">
        <f t="shared" si="11"/>
        <v>1.0131326557173501</v>
      </c>
      <c r="X41" s="488">
        <f t="shared" si="16"/>
        <v>1.0267821495902583</v>
      </c>
      <c r="Y41" s="488">
        <f t="shared" si="17"/>
        <v>1.0406222139566363</v>
      </c>
      <c r="Z41" s="488">
        <f t="shared" si="18"/>
        <v>1.0546879093861059</v>
      </c>
      <c r="AA41" s="488">
        <f t="shared" si="19"/>
        <v>1.06903005481839</v>
      </c>
      <c r="AB41" s="488">
        <f t="shared" si="20"/>
        <v>1.0836632311004728</v>
      </c>
      <c r="AC41" s="488">
        <f t="shared" si="21"/>
        <v>1.0986294664297542</v>
      </c>
      <c r="AD41" s="488">
        <f t="shared" si="22"/>
        <v>1.1133984770547374</v>
      </c>
      <c r="AE41" s="488">
        <f t="shared" si="23"/>
        <v>1.1284078154413206</v>
      </c>
      <c r="AF41" s="488">
        <f t="shared" si="24"/>
        <v>1.143300724630574</v>
      </c>
      <c r="AG41" s="488">
        <f t="shared" si="25"/>
        <v>1.1578498628930838</v>
      </c>
      <c r="AH41" s="488">
        <f t="shared" si="26"/>
        <v>1.1719684868892626</v>
      </c>
      <c r="AI41" s="488">
        <f t="shared" si="27"/>
        <v>1.1854938436363345</v>
      </c>
      <c r="AJ41" s="488">
        <f t="shared" si="28"/>
        <v>1.1983778845823931</v>
      </c>
      <c r="AK41" s="488">
        <f t="shared" si="29"/>
        <v>1.2105151241199037</v>
      </c>
      <c r="AL41" s="488">
        <f t="shared" si="30"/>
        <v>1.2218915155423848</v>
      </c>
      <c r="AM41" s="488">
        <f t="shared" si="31"/>
        <v>1.2323317671997283</v>
      </c>
      <c r="AN41" s="488">
        <f t="shared" si="32"/>
        <v>1.2419410356443767</v>
      </c>
      <c r="AO41" s="488">
        <f t="shared" ref="AO41:AO51" si="34">V41/V22</f>
        <v>1.2510369049587946</v>
      </c>
      <c r="AP41" s="488"/>
      <c r="AQ41" s="488"/>
      <c r="AR41" s="488"/>
      <c r="AS41" s="488"/>
      <c r="AT41" s="488"/>
      <c r="AU41" s="488"/>
      <c r="AV41" s="488"/>
      <c r="AW41" s="488"/>
      <c r="AX41" s="488"/>
      <c r="AY41" s="488"/>
    </row>
    <row r="42" spans="3:51">
      <c r="C42" s="481">
        <v>21</v>
      </c>
      <c r="D42" s="528">
        <f>'Swap and Yield Curves'!D91</f>
        <v>1.1672199999999999</v>
      </c>
      <c r="E42" s="492">
        <f t="shared" si="0"/>
        <v>1</v>
      </c>
      <c r="F42" s="492">
        <f t="shared" si="1"/>
        <v>0</v>
      </c>
      <c r="G42" s="492">
        <f t="shared" si="2"/>
        <v>0</v>
      </c>
      <c r="H42" s="492">
        <f t="shared" si="3"/>
        <v>1.1672199999999999</v>
      </c>
      <c r="I42" s="459">
        <f t="shared" si="12"/>
        <v>21</v>
      </c>
      <c r="J42" s="482">
        <f t="shared" si="4"/>
        <v>1.1706260063210072E-2</v>
      </c>
      <c r="K42" s="491">
        <f t="shared" si="13"/>
        <v>1.1858187568223322E-2</v>
      </c>
      <c r="L42" s="494">
        <f t="shared" si="5"/>
        <v>1.1858187568223322E-2</v>
      </c>
      <c r="M42" s="483">
        <f>'All Curves'!U35</f>
        <v>1.4089383108349026E-2</v>
      </c>
      <c r="N42" s="483">
        <f t="shared" si="6"/>
        <v>-2.2311955401257046E-3</v>
      </c>
      <c r="O42" s="492">
        <f t="shared" si="7"/>
        <v>1</v>
      </c>
      <c r="P42" s="492">
        <f t="shared" si="8"/>
        <v>0</v>
      </c>
      <c r="Q42" s="492">
        <f t="shared" si="33"/>
        <v>0</v>
      </c>
      <c r="R42" s="505">
        <f t="shared" si="9"/>
        <v>-2.2311955401257046E-3</v>
      </c>
      <c r="S42" s="483">
        <f t="shared" si="14"/>
        <v>1.1858187568223322E-2</v>
      </c>
      <c r="T42" s="483">
        <f t="shared" si="10"/>
        <v>-1.5192750501324959E-4</v>
      </c>
      <c r="U42" s="489">
        <f>((1+J42)/(V41-J42*(1+W41+X41+Y41+Z41+AA41+AB41+AC41+AD41+AE41+AF41+AG41+AH41+AI41+AJ41+AK41+AL41+AM41+AN41+AO41)))-1</f>
        <v>1.5545559082276394E-2</v>
      </c>
      <c r="V42" s="488">
        <f t="shared" si="15"/>
        <v>1.2808924145600611</v>
      </c>
      <c r="W42" s="488">
        <f t="shared" si="11"/>
        <v>1.0155455590822764</v>
      </c>
      <c r="X42" s="488">
        <f t="shared" si="16"/>
        <v>1.0288823692749878</v>
      </c>
      <c r="Y42" s="488">
        <f t="shared" si="17"/>
        <v>1.0427440521613403</v>
      </c>
      <c r="Z42" s="488">
        <f t="shared" si="18"/>
        <v>1.0567992680660283</v>
      </c>
      <c r="AA42" s="488">
        <f t="shared" si="19"/>
        <v>1.0710836225948301</v>
      </c>
      <c r="AB42" s="488">
        <f t="shared" si="20"/>
        <v>1.0856487246962983</v>
      </c>
      <c r="AC42" s="488">
        <f t="shared" si="21"/>
        <v>1.1005093818848355</v>
      </c>
      <c r="AD42" s="488">
        <f t="shared" si="22"/>
        <v>1.1157082757096677</v>
      </c>
      <c r="AE42" s="488">
        <f t="shared" si="23"/>
        <v>1.1307068788619083</v>
      </c>
      <c r="AF42" s="488">
        <f t="shared" si="24"/>
        <v>1.1459495458051661</v>
      </c>
      <c r="AG42" s="488">
        <f t="shared" si="25"/>
        <v>1.1610739735941278</v>
      </c>
      <c r="AH42" s="488">
        <f t="shared" si="26"/>
        <v>1.1758492863450938</v>
      </c>
      <c r="AI42" s="488">
        <f t="shared" si="27"/>
        <v>1.1901873922447657</v>
      </c>
      <c r="AJ42" s="488">
        <f t="shared" si="28"/>
        <v>1.203923008224258</v>
      </c>
      <c r="AK42" s="488">
        <f t="shared" si="29"/>
        <v>1.2170073387900622</v>
      </c>
      <c r="AL42" s="488">
        <f t="shared" si="30"/>
        <v>1.2293332585018988</v>
      </c>
      <c r="AM42" s="488">
        <f t="shared" si="31"/>
        <v>1.2408865022893811</v>
      </c>
      <c r="AN42" s="488">
        <f t="shared" si="32"/>
        <v>1.2514890534956977</v>
      </c>
      <c r="AO42" s="488">
        <f t="shared" si="34"/>
        <v>1.2612477033906897</v>
      </c>
      <c r="AP42" s="488">
        <f t="shared" ref="AP42:AP51" si="35">V42/V22</f>
        <v>1.2704849730789396</v>
      </c>
      <c r="AQ42" s="488"/>
      <c r="AR42" s="488"/>
      <c r="AS42" s="488"/>
      <c r="AT42" s="488"/>
      <c r="AU42" s="488"/>
      <c r="AV42" s="488"/>
      <c r="AW42" s="488"/>
      <c r="AX42" s="488"/>
      <c r="AY42" s="488"/>
    </row>
    <row r="43" spans="3:51">
      <c r="C43" s="481">
        <v>22</v>
      </c>
      <c r="D43" s="528">
        <f>'Swap and Yield Curves'!D92</f>
        <v>1.1716200000000001</v>
      </c>
      <c r="E43" s="492">
        <f t="shared" si="0"/>
        <v>1</v>
      </c>
      <c r="F43" s="492">
        <f t="shared" si="1"/>
        <v>0</v>
      </c>
      <c r="G43" s="492">
        <f t="shared" si="2"/>
        <v>0</v>
      </c>
      <c r="H43" s="492">
        <f t="shared" si="3"/>
        <v>1.1716200000000001</v>
      </c>
      <c r="I43" s="459">
        <f t="shared" si="12"/>
        <v>22</v>
      </c>
      <c r="J43" s="482">
        <f t="shared" si="4"/>
        <v>1.1750517335610056E-2</v>
      </c>
      <c r="K43" s="491">
        <f t="shared" si="13"/>
        <v>1.19021632415659E-2</v>
      </c>
      <c r="L43" s="494">
        <f t="shared" si="5"/>
        <v>1.19021632415659E-2</v>
      </c>
      <c r="M43" s="483">
        <f>'All Curves'!U36</f>
        <v>1.4359892159629697E-2</v>
      </c>
      <c r="N43" s="483">
        <f t="shared" si="6"/>
        <v>-2.4577289180637979E-3</v>
      </c>
      <c r="O43" s="492">
        <f t="shared" si="7"/>
        <v>1</v>
      </c>
      <c r="P43" s="492">
        <f t="shared" si="8"/>
        <v>0</v>
      </c>
      <c r="Q43" s="492">
        <f t="shared" si="33"/>
        <v>0</v>
      </c>
      <c r="R43" s="505">
        <f t="shared" si="9"/>
        <v>-2.4577289180637979E-3</v>
      </c>
      <c r="S43" s="483">
        <f t="shared" si="14"/>
        <v>1.19021632415659E-2</v>
      </c>
      <c r="T43" s="483">
        <f t="shared" si="10"/>
        <v>-1.5164590595584393E-4</v>
      </c>
      <c r="U43" s="489">
        <f>((1+J43)/(V42-J43*(1+W42+X42+Y42+Z42+AA42+AB42+AC42+AD42+AE42+AF42+AG42+AH42+AI42+AJ42+AK42+AL42+AM42+AN42+AO42+AP42)))-1</f>
        <v>1.2826093996097576E-2</v>
      </c>
      <c r="V43" s="488">
        <f t="shared" si="15"/>
        <v>1.2973212610680969</v>
      </c>
      <c r="W43" s="488">
        <f t="shared" si="11"/>
        <v>1.0128260939960976</v>
      </c>
      <c r="X43" s="488">
        <f t="shared" si="16"/>
        <v>1.0285710418803851</v>
      </c>
      <c r="Y43" s="488">
        <f t="shared" si="17"/>
        <v>1.0420789112542364</v>
      </c>
      <c r="Z43" s="488">
        <f t="shared" si="18"/>
        <v>1.0561183853882332</v>
      </c>
      <c r="AA43" s="488">
        <f t="shared" si="19"/>
        <v>1.0703538748132504</v>
      </c>
      <c r="AB43" s="488">
        <f t="shared" si="20"/>
        <v>1.0848214418159121</v>
      </c>
      <c r="AC43" s="488">
        <f t="shared" si="21"/>
        <v>1.0995733572859965</v>
      </c>
      <c r="AD43" s="488">
        <f t="shared" si="22"/>
        <v>1.1146246186604778</v>
      </c>
      <c r="AE43" s="488">
        <f t="shared" si="23"/>
        <v>1.1300184549261438</v>
      </c>
      <c r="AF43" s="488">
        <f t="shared" si="24"/>
        <v>1.1452094315722252</v>
      </c>
      <c r="AG43" s="488">
        <f t="shared" si="25"/>
        <v>1.1606476023944485</v>
      </c>
      <c r="AH43" s="488">
        <f t="shared" si="26"/>
        <v>1.1759660175158688</v>
      </c>
      <c r="AI43" s="488">
        <f t="shared" si="27"/>
        <v>1.1909308398170002</v>
      </c>
      <c r="AJ43" s="488">
        <f t="shared" si="28"/>
        <v>1.2054528476106672</v>
      </c>
      <c r="AK43" s="488">
        <f t="shared" si="29"/>
        <v>1.2193646378918068</v>
      </c>
      <c r="AL43" s="488">
        <f t="shared" si="30"/>
        <v>1.232616789311324</v>
      </c>
      <c r="AM43" s="488">
        <f t="shared" si="31"/>
        <v>1.2451008024279731</v>
      </c>
      <c r="AN43" s="488">
        <f t="shared" si="32"/>
        <v>1.2568022292062335</v>
      </c>
      <c r="AO43" s="488">
        <f t="shared" si="34"/>
        <v>1.2675407697309207</v>
      </c>
      <c r="AP43" s="488">
        <f t="shared" si="35"/>
        <v>1.2774245849867409</v>
      </c>
      <c r="AQ43" s="488">
        <f t="shared" ref="AQ43:AQ51" si="36">V43/V22</f>
        <v>1.2867803327642797</v>
      </c>
      <c r="AR43" s="488"/>
      <c r="AS43" s="488"/>
      <c r="AT43" s="488"/>
      <c r="AU43" s="488"/>
      <c r="AV43" s="488"/>
      <c r="AW43" s="488"/>
      <c r="AX43" s="488"/>
      <c r="AY43" s="488"/>
    </row>
    <row r="44" spans="3:51">
      <c r="C44" s="481">
        <v>23</v>
      </c>
      <c r="D44" s="528"/>
      <c r="E44" s="492" t="str">
        <f t="shared" si="0"/>
        <v/>
      </c>
      <c r="F44" s="492">
        <f t="shared" si="1"/>
        <v>1</v>
      </c>
      <c r="G44" s="492">
        <f t="shared" si="2"/>
        <v>1.1716200000000001</v>
      </c>
      <c r="H44" s="492">
        <f t="shared" si="3"/>
        <v>1.1701533333333334</v>
      </c>
      <c r="I44" s="459">
        <f t="shared" si="12"/>
        <v>23</v>
      </c>
      <c r="J44" s="482">
        <f t="shared" si="4"/>
        <v>1.1735764803921134E-2</v>
      </c>
      <c r="K44" s="491">
        <f t="shared" si="13"/>
        <v>1.187850850994332E-2</v>
      </c>
      <c r="L44" s="494" t="str">
        <f t="shared" si="5"/>
        <v/>
      </c>
      <c r="M44" s="483">
        <f>'All Curves'!U37</f>
        <v>1.4593210629536229E-2</v>
      </c>
      <c r="N44" s="483" t="str">
        <f t="shared" si="6"/>
        <v/>
      </c>
      <c r="O44" s="492" t="str">
        <f t="shared" si="7"/>
        <v/>
      </c>
      <c r="P44" s="492">
        <f t="shared" si="8"/>
        <v>1</v>
      </c>
      <c r="Q44" s="492">
        <f t="shared" si="33"/>
        <v>-2.4577289180637979E-3</v>
      </c>
      <c r="R44" s="505">
        <f t="shared" si="9"/>
        <v>-2.6801346444179277E-3</v>
      </c>
      <c r="S44" s="483">
        <f t="shared" si="14"/>
        <v>1.1913075985118302E-2</v>
      </c>
      <c r="T44" s="483">
        <f t="shared" si="10"/>
        <v>-1.4274370602218589E-4</v>
      </c>
      <c r="U44" s="489">
        <f>((1+J44)/(V43-J44*(1+W43+X43+Y43+Z43+AA43+AB43+AC43+AD43+AE43+AF43+AG43+AH43+AI43+AJ43+AK43+AL43+AM43+AN43+AO43+AP43+AQ43)))-1</f>
        <v>1.135824429146215E-2</v>
      </c>
      <c r="V44" s="488">
        <f t="shared" si="15"/>
        <v>1.3120565528758161</v>
      </c>
      <c r="W44" s="488">
        <f t="shared" si="11"/>
        <v>1.0113582442914621</v>
      </c>
      <c r="X44" s="488">
        <f t="shared" si="16"/>
        <v>1.0243300201964727</v>
      </c>
      <c r="Y44" s="488">
        <f t="shared" si="17"/>
        <v>1.0402538030451862</v>
      </c>
      <c r="Z44" s="488">
        <f t="shared" si="18"/>
        <v>1.0539150980992429</v>
      </c>
      <c r="AA44" s="488">
        <f t="shared" si="19"/>
        <v>1.0681140360101775</v>
      </c>
      <c r="AB44" s="488">
        <f t="shared" si="20"/>
        <v>1.0825112156016925</v>
      </c>
      <c r="AC44" s="488">
        <f t="shared" si="21"/>
        <v>1.0971431087646735</v>
      </c>
      <c r="AD44" s="488">
        <f t="shared" si="22"/>
        <v>1.1120625800944341</v>
      </c>
      <c r="AE44" s="488">
        <f t="shared" si="23"/>
        <v>1.1272847973725013</v>
      </c>
      <c r="AF44" s="488">
        <f t="shared" si="24"/>
        <v>1.1428534805910557</v>
      </c>
      <c r="AG44" s="488">
        <f t="shared" si="25"/>
        <v>1.1582170000609091</v>
      </c>
      <c r="AH44" s="488">
        <f t="shared" si="26"/>
        <v>1.1738305213987446</v>
      </c>
      <c r="AI44" s="488">
        <f t="shared" si="27"/>
        <v>1.1893229268212719</v>
      </c>
      <c r="AJ44" s="488">
        <f t="shared" si="28"/>
        <v>1.2044577232298779</v>
      </c>
      <c r="AK44" s="488">
        <f t="shared" si="29"/>
        <v>1.2191446755356681</v>
      </c>
      <c r="AL44" s="488">
        <f t="shared" si="30"/>
        <v>1.2332144793293525</v>
      </c>
      <c r="AM44" s="488">
        <f t="shared" si="31"/>
        <v>1.2466171519220799</v>
      </c>
      <c r="AN44" s="488">
        <f t="shared" si="32"/>
        <v>1.2592429615094456</v>
      </c>
      <c r="AO44" s="488">
        <f t="shared" si="34"/>
        <v>1.2710772959516121</v>
      </c>
      <c r="AP44" s="488">
        <f t="shared" si="35"/>
        <v>1.2819378074429126</v>
      </c>
      <c r="AQ44" s="488">
        <f t="shared" si="36"/>
        <v>1.2919338854869402</v>
      </c>
      <c r="AR44" s="488">
        <f t="shared" ref="AR44:AR51" si="37">V44/V22</f>
        <v>1.3013958981332654</v>
      </c>
      <c r="AS44" s="488"/>
      <c r="AT44" s="488"/>
      <c r="AU44" s="488"/>
      <c r="AV44" s="488"/>
      <c r="AW44" s="488"/>
      <c r="AX44" s="488"/>
      <c r="AY44" s="488"/>
    </row>
    <row r="45" spans="3:51">
      <c r="C45" s="481">
        <v>24</v>
      </c>
      <c r="D45" s="528"/>
      <c r="E45" s="492" t="str">
        <f t="shared" si="0"/>
        <v/>
      </c>
      <c r="F45" s="492">
        <f t="shared" si="1"/>
        <v>2</v>
      </c>
      <c r="G45" s="492">
        <f t="shared" si="2"/>
        <v>1.1716200000000001</v>
      </c>
      <c r="H45" s="492">
        <f t="shared" si="3"/>
        <v>1.1686866666666667</v>
      </c>
      <c r="I45" s="459">
        <f t="shared" si="12"/>
        <v>24</v>
      </c>
      <c r="J45" s="482">
        <f t="shared" si="4"/>
        <v>1.1721012379787732E-2</v>
      </c>
      <c r="K45" s="491">
        <f t="shared" si="13"/>
        <v>1.18554104266686E-2</v>
      </c>
      <c r="L45" s="494" t="str">
        <f t="shared" si="5"/>
        <v/>
      </c>
      <c r="M45" s="483">
        <f>'All Curves'!U38</f>
        <v>1.4791707816518295E-2</v>
      </c>
      <c r="N45" s="483" t="str">
        <f t="shared" si="6"/>
        <v/>
      </c>
      <c r="O45" s="492" t="str">
        <f t="shared" si="7"/>
        <v/>
      </c>
      <c r="P45" s="492">
        <f t="shared" si="8"/>
        <v>2</v>
      </c>
      <c r="Q45" s="492">
        <f t="shared" si="33"/>
        <v>-2.4577289180637979E-3</v>
      </c>
      <c r="R45" s="505">
        <f t="shared" si="9"/>
        <v>-2.9025403707720575E-3</v>
      </c>
      <c r="S45" s="483">
        <f t="shared" si="14"/>
        <v>1.1889167445746238E-2</v>
      </c>
      <c r="T45" s="483">
        <f t="shared" si="10"/>
        <v>-1.3439804688086809E-4</v>
      </c>
      <c r="U45" s="489">
        <f>((1+J45)/(V44-J45*(1+W44+X44+Y44+Z44+AA44+AB44+AC44+AD44+AE44+AF44+AG44+AH44+AI44+AJ44+AK44+AL44+AM44+AN44+AO44+AP44+AQ44+AR44)))-1</f>
        <v>1.1324300010313593E-2</v>
      </c>
      <c r="V45" s="488">
        <f t="shared" si="15"/>
        <v>1.3269146749110798</v>
      </c>
      <c r="W45" s="488">
        <f t="shared" si="11"/>
        <v>1.0113243000103136</v>
      </c>
      <c r="X45" s="488">
        <f t="shared" si="16"/>
        <v>1.0228111684677228</v>
      </c>
      <c r="Y45" s="488">
        <f t="shared" si="17"/>
        <v>1.0359298406547484</v>
      </c>
      <c r="Z45" s="488">
        <f t="shared" si="18"/>
        <v>1.0520339491977397</v>
      </c>
      <c r="AA45" s="488">
        <f t="shared" si="19"/>
        <v>1.0658499488555178</v>
      </c>
      <c r="AB45" s="488">
        <f t="shared" si="20"/>
        <v>1.0802096797991836</v>
      </c>
      <c r="AC45" s="488">
        <f t="shared" si="21"/>
        <v>1.0947698973716953</v>
      </c>
      <c r="AD45" s="488">
        <f t="shared" si="22"/>
        <v>1.1095674864825729</v>
      </c>
      <c r="AE45" s="488">
        <f t="shared" si="23"/>
        <v>1.1246559103816669</v>
      </c>
      <c r="AF45" s="488">
        <f t="shared" si="24"/>
        <v>1.1400505086150132</v>
      </c>
      <c r="AG45" s="488">
        <f t="shared" si="25"/>
        <v>1.1557954962730999</v>
      </c>
      <c r="AH45" s="488">
        <f t="shared" si="26"/>
        <v>1.1713329968466444</v>
      </c>
      <c r="AI45" s="488">
        <f t="shared" si="27"/>
        <v>1.1871233303843267</v>
      </c>
      <c r="AJ45" s="488">
        <f t="shared" si="28"/>
        <v>1.2027911764537402</v>
      </c>
      <c r="AK45" s="488">
        <f t="shared" si="29"/>
        <v>1.2180973638374724</v>
      </c>
      <c r="AL45" s="488">
        <f t="shared" si="30"/>
        <v>1.2329506355974105</v>
      </c>
      <c r="AM45" s="488">
        <f t="shared" si="31"/>
        <v>1.2471797700703406</v>
      </c>
      <c r="AN45" s="488">
        <f t="shared" si="32"/>
        <v>1.2607342185484482</v>
      </c>
      <c r="AO45" s="488">
        <f t="shared" si="34"/>
        <v>1.2735030065914545</v>
      </c>
      <c r="AP45" s="488">
        <f t="shared" si="35"/>
        <v>1.2854713565872664</v>
      </c>
      <c r="AQ45" s="488">
        <f t="shared" si="36"/>
        <v>1.2964548557689599</v>
      </c>
      <c r="AR45" s="488">
        <f t="shared" si="37"/>
        <v>1.3065641323996844</v>
      </c>
      <c r="AS45" s="488">
        <f t="shared" ref="AS45:AS51" si="38">V45/V22</f>
        <v>1.316133295715918</v>
      </c>
      <c r="AT45" s="488"/>
      <c r="AU45" s="488"/>
      <c r="AV45" s="488"/>
      <c r="AW45" s="488"/>
      <c r="AX45" s="488"/>
      <c r="AY45" s="488"/>
    </row>
    <row r="46" spans="3:51">
      <c r="C46" s="481">
        <v>25</v>
      </c>
      <c r="D46" s="495">
        <f>'Swap and Yield Curves'!D91</f>
        <v>1.1672199999999999</v>
      </c>
      <c r="E46" s="492">
        <f t="shared" si="0"/>
        <v>1</v>
      </c>
      <c r="F46" s="492">
        <f t="shared" si="1"/>
        <v>0</v>
      </c>
      <c r="G46" s="492">
        <f t="shared" si="2"/>
        <v>0</v>
      </c>
      <c r="H46" s="492">
        <f t="shared" si="3"/>
        <v>1.1672199999999999</v>
      </c>
      <c r="I46" s="459">
        <f t="shared" si="12"/>
        <v>25</v>
      </c>
      <c r="J46" s="482">
        <f t="shared" si="4"/>
        <v>1.1706260063210072E-2</v>
      </c>
      <c r="K46" s="491">
        <f t="shared" si="13"/>
        <v>1.1832794056672924E-2</v>
      </c>
      <c r="L46" s="494">
        <f t="shared" si="5"/>
        <v>1.1832794056672924E-2</v>
      </c>
      <c r="M46" s="483">
        <f>'All Curves'!U39</f>
        <v>1.4957740153799111E-2</v>
      </c>
      <c r="N46" s="483">
        <f t="shared" si="6"/>
        <v>-3.1249460971261873E-3</v>
      </c>
      <c r="O46" s="492">
        <f t="shared" si="7"/>
        <v>1</v>
      </c>
      <c r="P46" s="492">
        <f t="shared" si="8"/>
        <v>0</v>
      </c>
      <c r="Q46" s="492">
        <f t="shared" si="33"/>
        <v>0</v>
      </c>
      <c r="R46" s="505">
        <f t="shared" si="9"/>
        <v>-3.1249460971261873E-3</v>
      </c>
      <c r="S46" s="483">
        <f t="shared" si="14"/>
        <v>1.1832794056672924E-2</v>
      </c>
      <c r="T46" s="483">
        <f t="shared" si="10"/>
        <v>-1.2653399346285177E-4</v>
      </c>
      <c r="U46" s="489">
        <f>((1+J46)/(V45-J46*(1+W45+X45+Y45+Z45+AA45+AB45+AC45+AD45+AE45+AF45+AG45+AH45+AI45+AJ45+AK45+AL45+AM45+AN45+AO45+AP45+AQ45+AR45+AS45)))-1</f>
        <v>1.1290152802951647E-2</v>
      </c>
      <c r="V46" s="488">
        <f t="shared" si="15"/>
        <v>1.3418957443473047</v>
      </c>
      <c r="W46" s="488">
        <f t="shared" si="11"/>
        <v>1.0112901528029516</v>
      </c>
      <c r="X46" s="488">
        <f t="shared" si="16"/>
        <v>1.0227423058907681</v>
      </c>
      <c r="Y46" s="488">
        <f t="shared" si="17"/>
        <v>1.0343588628482889</v>
      </c>
      <c r="Z46" s="488">
        <f t="shared" si="18"/>
        <v>1.0476256468488776</v>
      </c>
      <c r="AA46" s="488">
        <f t="shared" si="19"/>
        <v>1.0639115732380748</v>
      </c>
      <c r="AB46" s="488">
        <f t="shared" si="20"/>
        <v>1.0778835576431147</v>
      </c>
      <c r="AC46" s="488">
        <f t="shared" si="21"/>
        <v>1.0924054121433437</v>
      </c>
      <c r="AD46" s="488">
        <f t="shared" si="22"/>
        <v>1.1071300167970934</v>
      </c>
      <c r="AE46" s="488">
        <f t="shared" si="23"/>
        <v>1.122094672950148</v>
      </c>
      <c r="AF46" s="488">
        <f t="shared" si="24"/>
        <v>1.1373534474606186</v>
      </c>
      <c r="AG46" s="488">
        <f t="shared" si="25"/>
        <v>1.1529218530603593</v>
      </c>
      <c r="AH46" s="488">
        <f t="shared" si="26"/>
        <v>1.1688446040349865</v>
      </c>
      <c r="AI46" s="488">
        <f t="shared" si="27"/>
        <v>1.1845575253641822</v>
      </c>
      <c r="AJ46" s="488">
        <f t="shared" si="28"/>
        <v>1.2005261341803146</v>
      </c>
      <c r="AK46" s="488">
        <f t="shared" si="29"/>
        <v>1.216370872625945</v>
      </c>
      <c r="AL46" s="488">
        <f t="shared" si="30"/>
        <v>1.23184986920407</v>
      </c>
      <c r="AM46" s="488">
        <f t="shared" si="31"/>
        <v>1.2468708366718013</v>
      </c>
      <c r="AN46" s="488">
        <f t="shared" si="32"/>
        <v>1.261260620247185</v>
      </c>
      <c r="AO46" s="488">
        <f t="shared" si="34"/>
        <v>1.2749681005197699</v>
      </c>
      <c r="AP46" s="488">
        <f t="shared" si="35"/>
        <v>1.2878810501308902</v>
      </c>
      <c r="AQ46" s="488">
        <f t="shared" si="36"/>
        <v>1.2999845246269541</v>
      </c>
      <c r="AR46" s="488">
        <f t="shared" si="37"/>
        <v>1.3110920291927199</v>
      </c>
      <c r="AS46" s="488">
        <f t="shared" si="38"/>
        <v>1.3213154411013328</v>
      </c>
      <c r="AT46" s="488">
        <f t="shared" ref="AT46:AT51" si="39">V46/V22</f>
        <v>1.3309926417336031</v>
      </c>
      <c r="AU46" s="488"/>
      <c r="AV46" s="488"/>
      <c r="AW46" s="488"/>
      <c r="AX46" s="488"/>
      <c r="AY46" s="488"/>
    </row>
    <row r="47" spans="3:51">
      <c r="C47" s="481">
        <v>26</v>
      </c>
      <c r="D47" s="495">
        <f>'Swap and Yield Curves'!D92</f>
        <v>1.1716200000000001</v>
      </c>
      <c r="E47" s="492">
        <f t="shared" si="0"/>
        <v>1</v>
      </c>
      <c r="F47" s="492">
        <f t="shared" si="1"/>
        <v>0</v>
      </c>
      <c r="G47" s="492">
        <f t="shared" si="2"/>
        <v>0</v>
      </c>
      <c r="H47" s="492">
        <f t="shared" si="3"/>
        <v>1.1716200000000001</v>
      </c>
      <c r="I47" s="459">
        <f t="shared" si="12"/>
        <v>26</v>
      </c>
      <c r="J47" s="482">
        <f t="shared" si="4"/>
        <v>1.1750517335610056E-2</v>
      </c>
      <c r="K47" s="491">
        <f t="shared" si="13"/>
        <v>1.1879966272529741E-2</v>
      </c>
      <c r="L47" s="494">
        <f t="shared" si="5"/>
        <v>1.1879966272529741E-2</v>
      </c>
      <c r="M47" s="483">
        <f>'All Curves'!U40</f>
        <v>1.5093610019433589E-2</v>
      </c>
      <c r="N47" s="483">
        <f t="shared" si="6"/>
        <v>-3.2136437469038482E-3</v>
      </c>
      <c r="O47" s="492">
        <f t="shared" si="7"/>
        <v>1</v>
      </c>
      <c r="P47" s="492">
        <f t="shared" si="8"/>
        <v>0</v>
      </c>
      <c r="Q47" s="492">
        <f t="shared" si="33"/>
        <v>0</v>
      </c>
      <c r="R47" s="505">
        <f t="shared" si="9"/>
        <v>-3.2136437469038482E-3</v>
      </c>
      <c r="S47" s="483">
        <f t="shared" si="14"/>
        <v>1.1879966272529741E-2</v>
      </c>
      <c r="T47" s="483">
        <f t="shared" si="10"/>
        <v>-1.2944893691968495E-4</v>
      </c>
      <c r="U47" s="489">
        <f>((1+J47)/(V46-J47*(1+W46+X46+Y46+Z46+AA46+AB46+AC46+AD46+AE46+AF46+AG46+AH46+AI46+AJ46+AK46+AL46+AM46+AN46+AO46+AP46+AQ46+AR46+AS46+AT46)))-1</f>
        <v>1.3059986674076596E-2</v>
      </c>
      <c r="V47" s="488">
        <f t="shared" si="15"/>
        <v>1.3594208848864806</v>
      </c>
      <c r="W47" s="488">
        <f t="shared" si="11"/>
        <v>1.0130599866740766</v>
      </c>
      <c r="X47" s="488">
        <f t="shared" si="16"/>
        <v>1.024497588722183</v>
      </c>
      <c r="Y47" s="488">
        <f t="shared" si="17"/>
        <v>1.0360993067767159</v>
      </c>
      <c r="Z47" s="488">
        <f t="shared" si="18"/>
        <v>1.0478675758133005</v>
      </c>
      <c r="AA47" s="488">
        <f t="shared" si="19"/>
        <v>1.0613076238361447</v>
      </c>
      <c r="AB47" s="488">
        <f t="shared" si="20"/>
        <v>1.0778062442069598</v>
      </c>
      <c r="AC47" s="488">
        <f t="shared" si="21"/>
        <v>1.0919607025421401</v>
      </c>
      <c r="AD47" s="488">
        <f t="shared" si="22"/>
        <v>1.106672212268625</v>
      </c>
      <c r="AE47" s="488">
        <f t="shared" si="23"/>
        <v>1.1215891200629335</v>
      </c>
      <c r="AF47" s="488">
        <f t="shared" si="24"/>
        <v>1.1367492144259292</v>
      </c>
      <c r="AG47" s="488">
        <f t="shared" si="25"/>
        <v>1.1522072683281692</v>
      </c>
      <c r="AH47" s="488">
        <f t="shared" si="26"/>
        <v>1.1679789970975794</v>
      </c>
      <c r="AI47" s="488">
        <f t="shared" si="27"/>
        <v>1.1841096989877498</v>
      </c>
      <c r="AJ47" s="488">
        <f t="shared" si="28"/>
        <v>1.2000278308601156</v>
      </c>
      <c r="AK47" s="488">
        <f t="shared" si="29"/>
        <v>1.2162049894945901</v>
      </c>
      <c r="AL47" s="488">
        <f t="shared" si="30"/>
        <v>1.2322566600131746</v>
      </c>
      <c r="AM47" s="488">
        <f t="shared" si="31"/>
        <v>1.2479378120803382</v>
      </c>
      <c r="AN47" s="488">
        <f t="shared" si="32"/>
        <v>1.2631549531830299</v>
      </c>
      <c r="AO47" s="488">
        <f t="shared" si="34"/>
        <v>1.2777326671401508</v>
      </c>
      <c r="AP47" s="488">
        <f t="shared" si="35"/>
        <v>1.2916191669224308</v>
      </c>
      <c r="AQ47" s="488">
        <f t="shared" si="36"/>
        <v>1.3047007594833955</v>
      </c>
      <c r="AR47" s="488">
        <f t="shared" si="37"/>
        <v>1.3169623051950881</v>
      </c>
      <c r="AS47" s="488">
        <f t="shared" si="38"/>
        <v>1.3282148736224648</v>
      </c>
      <c r="AT47" s="488">
        <f t="shared" si="39"/>
        <v>1.3385718031543679</v>
      </c>
      <c r="AU47" s="488">
        <f>V47/V22</f>
        <v>1.3483753878979379</v>
      </c>
      <c r="AV47" s="488"/>
      <c r="AW47" s="488"/>
      <c r="AX47" s="488"/>
      <c r="AY47" s="488"/>
    </row>
    <row r="48" spans="3:51">
      <c r="C48" s="481">
        <v>27</v>
      </c>
      <c r="D48" s="495"/>
      <c r="E48" s="492" t="str">
        <f t="shared" si="0"/>
        <v/>
      </c>
      <c r="F48" s="492">
        <f t="shared" si="1"/>
        <v>1</v>
      </c>
      <c r="G48" s="492">
        <f t="shared" si="2"/>
        <v>1.1716200000000001</v>
      </c>
      <c r="H48" s="492">
        <f t="shared" si="3"/>
        <v>1.1716200000000001</v>
      </c>
      <c r="I48" s="459">
        <f t="shared" si="12"/>
        <v>27</v>
      </c>
      <c r="J48" s="482">
        <f t="shared" si="4"/>
        <v>1.1750517335610056E-2</v>
      </c>
      <c r="K48" s="491">
        <f t="shared" si="13"/>
        <v>1.1875171572120147E-2</v>
      </c>
      <c r="L48" s="494" t="str">
        <f t="shared" si="5"/>
        <v/>
      </c>
      <c r="M48" s="483">
        <f>'All Curves'!U41</f>
        <v>1.5201537267229242E-2</v>
      </c>
      <c r="N48" s="483" t="str">
        <f t="shared" si="6"/>
        <v/>
      </c>
      <c r="O48" s="492" t="str">
        <f t="shared" si="7"/>
        <v/>
      </c>
      <c r="P48" s="492">
        <f t="shared" si="8"/>
        <v>1</v>
      </c>
      <c r="Q48" s="492">
        <f t="shared" si="33"/>
        <v>-3.2136437469038482E-3</v>
      </c>
      <c r="R48" s="505">
        <f t="shared" si="9"/>
        <v>-3.2891262924377184E-3</v>
      </c>
      <c r="S48" s="483">
        <f t="shared" si="14"/>
        <v>1.1912410974791524E-2</v>
      </c>
      <c r="T48" s="483">
        <f t="shared" si="10"/>
        <v>-1.2465423651009111E-4</v>
      </c>
      <c r="U48" s="489">
        <f>((1+J48)/(V47-J48*(1+W47+X47+Y47+Z47+AA47+AB47+AC47+AD47+AE47+AF47+AG47+AH47+AI47+AJ47+AK47+AL47+AM47+AN47+AO47+AP47+AQ47+AR47+AS47+AT47+AU47)))-1</f>
        <v>1.1750517335610056E-2</v>
      </c>
      <c r="V48" s="488">
        <f t="shared" si="15"/>
        <v>1.3753947835607296</v>
      </c>
      <c r="W48" s="488">
        <f t="shared" si="11"/>
        <v>1.0117505173356101</v>
      </c>
      <c r="X48" s="488">
        <f t="shared" si="16"/>
        <v>1.0249639656095033</v>
      </c>
      <c r="Y48" s="488">
        <f t="shared" si="17"/>
        <v>1.0365359653987538</v>
      </c>
      <c r="Z48" s="488">
        <f t="shared" si="18"/>
        <v>1.0482740096424092</v>
      </c>
      <c r="AA48" s="488">
        <f t="shared" si="19"/>
        <v>1.0601805619283184</v>
      </c>
      <c r="AB48" s="488">
        <f t="shared" si="20"/>
        <v>1.0737785374684465</v>
      </c>
      <c r="AC48" s="488">
        <f t="shared" si="21"/>
        <v>1.0904710251639427</v>
      </c>
      <c r="AD48" s="488">
        <f t="shared" si="22"/>
        <v>1.1047918057071664</v>
      </c>
      <c r="AE48" s="488">
        <f t="shared" si="23"/>
        <v>1.1196761832837254</v>
      </c>
      <c r="AF48" s="488">
        <f t="shared" si="24"/>
        <v>1.1347683724616648</v>
      </c>
      <c r="AG48" s="488">
        <f t="shared" si="25"/>
        <v>1.1501066057762823</v>
      </c>
      <c r="AH48" s="488">
        <f t="shared" si="26"/>
        <v>1.1657462998088755</v>
      </c>
      <c r="AI48" s="488">
        <f t="shared" si="27"/>
        <v>1.181703354550603</v>
      </c>
      <c r="AJ48" s="488">
        <f t="shared" si="28"/>
        <v>1.1980236005329694</v>
      </c>
      <c r="AK48" s="488">
        <f t="shared" si="29"/>
        <v>1.214128778689852</v>
      </c>
      <c r="AL48" s="488">
        <f t="shared" si="30"/>
        <v>1.2304960273073018</v>
      </c>
      <c r="AM48" s="488">
        <f t="shared" si="31"/>
        <v>1.2467363132585805</v>
      </c>
      <c r="AN48" s="488">
        <f t="shared" si="32"/>
        <v>1.2626017269749514</v>
      </c>
      <c r="AO48" s="488">
        <f t="shared" si="34"/>
        <v>1.2779976773579689</v>
      </c>
      <c r="AP48" s="488">
        <f t="shared" si="35"/>
        <v>1.2927466869956563</v>
      </c>
      <c r="AQ48" s="488">
        <f t="shared" si="36"/>
        <v>1.3067963603343593</v>
      </c>
      <c r="AR48" s="488">
        <f t="shared" si="37"/>
        <v>1.3200316683754887</v>
      </c>
      <c r="AS48" s="488">
        <f t="shared" si="38"/>
        <v>1.3324372935926279</v>
      </c>
      <c r="AT48" s="488">
        <f t="shared" si="39"/>
        <v>1.3438220855203808</v>
      </c>
      <c r="AU48" s="488">
        <f>V48/V23</f>
        <v>1.354300714332292</v>
      </c>
      <c r="AV48" s="488">
        <f>V48/V22</f>
        <v>1.3642194962683425</v>
      </c>
      <c r="AW48" s="488"/>
      <c r="AX48" s="488"/>
      <c r="AY48" s="488"/>
    </row>
    <row r="49" spans="3:51">
      <c r="C49" s="481">
        <v>28</v>
      </c>
      <c r="D49" s="495"/>
      <c r="E49" s="492" t="str">
        <f t="shared" si="0"/>
        <v/>
      </c>
      <c r="F49" s="492">
        <f t="shared" si="1"/>
        <v>2</v>
      </c>
      <c r="G49" s="492">
        <f t="shared" si="2"/>
        <v>1.1716200000000001</v>
      </c>
      <c r="H49" s="492">
        <f t="shared" si="3"/>
        <v>1.1716200000000001</v>
      </c>
      <c r="I49" s="459">
        <f t="shared" si="12"/>
        <v>28</v>
      </c>
      <c r="J49" s="482">
        <f t="shared" si="4"/>
        <v>1.1750517335610056E-2</v>
      </c>
      <c r="K49" s="491">
        <f t="shared" si="13"/>
        <v>1.1870719370654204E-2</v>
      </c>
      <c r="L49" s="494" t="str">
        <f t="shared" si="5"/>
        <v/>
      </c>
      <c r="M49" s="483">
        <f>'All Curves'!U42</f>
        <v>1.5283640460084414E-2</v>
      </c>
      <c r="N49" s="483" t="str">
        <f t="shared" si="6"/>
        <v/>
      </c>
      <c r="O49" s="492" t="str">
        <f t="shared" si="7"/>
        <v/>
      </c>
      <c r="P49" s="492">
        <f t="shared" si="8"/>
        <v>2</v>
      </c>
      <c r="Q49" s="492">
        <f t="shared" si="33"/>
        <v>-3.2136437469038482E-3</v>
      </c>
      <c r="R49" s="505">
        <f t="shared" si="9"/>
        <v>-3.3646088379715887E-3</v>
      </c>
      <c r="S49" s="483">
        <f t="shared" si="14"/>
        <v>1.1919031622112827E-2</v>
      </c>
      <c r="T49" s="483">
        <f t="shared" si="10"/>
        <v>-1.2020203504414795E-4</v>
      </c>
      <c r="U49" s="489">
        <f>((1+J49)/(V48-J49*(1+W48+X48+Y48+Z48+AA48+AB48+AC48+AD48+AE48+AF48+AG48+AH48+AI48+AJ48+AK48+AL48+AM48+AN48+AO48+AP48+AQ48+AR48+AS48+AT48+AU48+AV48)))-1</f>
        <v>1.1750517335610056E-2</v>
      </c>
      <c r="V49" s="488">
        <f t="shared" si="15"/>
        <v>1.3915563838082676</v>
      </c>
      <c r="W49" s="488">
        <f t="shared" si="11"/>
        <v>1.0117505173356101</v>
      </c>
      <c r="X49" s="488">
        <f t="shared" si="16"/>
        <v>1.0236391093288746</v>
      </c>
      <c r="Y49" s="488">
        <f t="shared" si="17"/>
        <v>1.0370078224557733</v>
      </c>
      <c r="Z49" s="488">
        <f t="shared" si="18"/>
        <v>1.0487157992291551</v>
      </c>
      <c r="AA49" s="488">
        <f t="shared" si="19"/>
        <v>1.060591771565182</v>
      </c>
      <c r="AB49" s="488">
        <f t="shared" si="20"/>
        <v>1.072638232000134</v>
      </c>
      <c r="AC49" s="488">
        <f t="shared" si="21"/>
        <v>1.0863959907875755</v>
      </c>
      <c r="AD49" s="488">
        <f t="shared" si="22"/>
        <v>1.1032846238491121</v>
      </c>
      <c r="AE49" s="488">
        <f t="shared" si="23"/>
        <v>1.1177736809723684</v>
      </c>
      <c r="AF49" s="488">
        <f t="shared" si="24"/>
        <v>1.1328329576856706</v>
      </c>
      <c r="AG49" s="488">
        <f t="shared" si="25"/>
        <v>1.1481024878941777</v>
      </c>
      <c r="AH49" s="488">
        <f t="shared" si="26"/>
        <v>1.1636209533852562</v>
      </c>
      <c r="AI49" s="488">
        <f t="shared" si="27"/>
        <v>1.1794444219137028</v>
      </c>
      <c r="AJ49" s="488">
        <f t="shared" si="28"/>
        <v>1.1955889803037985</v>
      </c>
      <c r="AK49" s="488">
        <f t="shared" si="29"/>
        <v>1.2121009976195019</v>
      </c>
      <c r="AL49" s="488">
        <f t="shared" si="30"/>
        <v>1.2283954199515101</v>
      </c>
      <c r="AM49" s="488">
        <f t="shared" si="31"/>
        <v>1.2449549922075756</v>
      </c>
      <c r="AN49" s="488">
        <f t="shared" si="32"/>
        <v>1.26138610992046</v>
      </c>
      <c r="AO49" s="488">
        <f t="shared" si="34"/>
        <v>1.2774379504557418</v>
      </c>
      <c r="AP49" s="488">
        <f t="shared" si="35"/>
        <v>1.293014811220633</v>
      </c>
      <c r="AQ49" s="488">
        <f t="shared" si="36"/>
        <v>1.3079371293517512</v>
      </c>
      <c r="AR49" s="488">
        <f t="shared" si="37"/>
        <v>1.3221518936205803</v>
      </c>
      <c r="AS49" s="488">
        <f t="shared" si="38"/>
        <v>1.3355427233782893</v>
      </c>
      <c r="AT49" s="488">
        <f t="shared" si="39"/>
        <v>1.3480941211096014</v>
      </c>
      <c r="AU49" s="488">
        <f>V49/V24</f>
        <v>1.3596126902322638</v>
      </c>
      <c r="AV49" s="488">
        <f>V49/V23</f>
        <v>1.3702144483536827</v>
      </c>
      <c r="AW49" s="488">
        <f>V49/V22</f>
        <v>1.380249781108821</v>
      </c>
      <c r="AX49" s="488"/>
      <c r="AY49" s="488"/>
    </row>
    <row r="50" spans="3:51">
      <c r="C50" s="481">
        <v>29</v>
      </c>
      <c r="D50" s="495"/>
      <c r="E50" s="492" t="str">
        <f t="shared" si="0"/>
        <v/>
      </c>
      <c r="F50" s="492">
        <f t="shared" si="1"/>
        <v>3</v>
      </c>
      <c r="G50" s="492">
        <f t="shared" si="2"/>
        <v>1.1716200000000001</v>
      </c>
      <c r="H50" s="492">
        <f t="shared" si="3"/>
        <v>1.1716200000000001</v>
      </c>
      <c r="I50" s="459">
        <f t="shared" si="12"/>
        <v>29</v>
      </c>
      <c r="J50" s="482">
        <f t="shared" si="4"/>
        <v>1.1750517335610056E-2</v>
      </c>
      <c r="K50" s="491">
        <f t="shared" si="13"/>
        <v>1.1866574235174676E-2</v>
      </c>
      <c r="L50" s="494" t="str">
        <f t="shared" si="5"/>
        <v/>
      </c>
      <c r="M50" s="483">
        <f>'All Curves'!U43</f>
        <v>1.5341925439965065E-2</v>
      </c>
      <c r="N50" s="483" t="str">
        <f t="shared" si="6"/>
        <v/>
      </c>
      <c r="O50" s="492" t="str">
        <f t="shared" si="7"/>
        <v/>
      </c>
      <c r="P50" s="492">
        <f t="shared" si="8"/>
        <v>3</v>
      </c>
      <c r="Q50" s="492">
        <f t="shared" si="33"/>
        <v>-3.2136437469038482E-3</v>
      </c>
      <c r="R50" s="505">
        <f t="shared" si="9"/>
        <v>-3.4400913835054589E-3</v>
      </c>
      <c r="S50" s="483">
        <f t="shared" si="14"/>
        <v>1.1901834056459606E-2</v>
      </c>
      <c r="T50" s="483">
        <f t="shared" si="10"/>
        <v>-1.1605689956462051E-4</v>
      </c>
      <c r="U50" s="489">
        <f>((1+J50)/(V49-J50*(1+W49+X49+Y49+Z49+AA49+AB49+AC49+AD49+AE49+AF49+AG49+AH49+AI49+AJ49+AK49+AL49+AM49+AN49+AO49+AP49+AQ49+AR49+AS49+AT49+AU49+AV49+AW49)))-1</f>
        <v>1.1750517335610056E-2</v>
      </c>
      <c r="V50" s="488">
        <f t="shared" si="15"/>
        <v>1.4079078912196856</v>
      </c>
      <c r="W50" s="488">
        <f t="shared" si="11"/>
        <v>1.0117505173356101</v>
      </c>
      <c r="X50" s="488">
        <f t="shared" si="16"/>
        <v>1.0236391093288746</v>
      </c>
      <c r="Y50" s="488">
        <f t="shared" si="17"/>
        <v>1.0356673984284521</v>
      </c>
      <c r="Z50" s="488">
        <f t="shared" si="18"/>
        <v>1.0491932008507032</v>
      </c>
      <c r="AA50" s="488">
        <f t="shared" si="19"/>
        <v>1.0610387524081255</v>
      </c>
      <c r="AB50" s="488">
        <f t="shared" si="20"/>
        <v>1.073054273562964</v>
      </c>
      <c r="AC50" s="488">
        <f t="shared" si="21"/>
        <v>1.0852422861400897</v>
      </c>
      <c r="AD50" s="488">
        <f t="shared" si="22"/>
        <v>1.0991617057106624</v>
      </c>
      <c r="AE50" s="488">
        <f t="shared" si="23"/>
        <v>1.116248788947763</v>
      </c>
      <c r="AF50" s="488">
        <f t="shared" si="24"/>
        <v>1.1309080999879231</v>
      </c>
      <c r="AG50" s="488">
        <f t="shared" si="25"/>
        <v>1.1461443309933066</v>
      </c>
      <c r="AH50" s="488">
        <f t="shared" si="26"/>
        <v>1.1615932860812352</v>
      </c>
      <c r="AI50" s="488">
        <f t="shared" si="27"/>
        <v>1.1772941015700888</v>
      </c>
      <c r="AJ50" s="488">
        <f t="shared" si="28"/>
        <v>1.1933035040397886</v>
      </c>
      <c r="AK50" s="488">
        <f t="shared" si="29"/>
        <v>1.2096377693431226</v>
      </c>
      <c r="AL50" s="488">
        <f t="shared" si="30"/>
        <v>1.2263438114045402</v>
      </c>
      <c r="AM50" s="488">
        <f t="shared" si="31"/>
        <v>1.2428297016286345</v>
      </c>
      <c r="AN50" s="488">
        <f t="shared" si="32"/>
        <v>1.2595838574255651</v>
      </c>
      <c r="AO50" s="488">
        <f t="shared" si="34"/>
        <v>1.2762080492719783</v>
      </c>
      <c r="AP50" s="488">
        <f t="shared" si="35"/>
        <v>1.2924485072377383</v>
      </c>
      <c r="AQ50" s="488">
        <f t="shared" si="36"/>
        <v>1.3082084041750817</v>
      </c>
      <c r="AR50" s="488">
        <f t="shared" si="37"/>
        <v>1.3233060672640873</v>
      </c>
      <c r="AS50" s="488">
        <f t="shared" si="38"/>
        <v>1.3376878623668786</v>
      </c>
      <c r="AT50" s="488">
        <f t="shared" si="39"/>
        <v>1.3512360413017936</v>
      </c>
      <c r="AU50" s="488">
        <f>V50/V25</f>
        <v>1.3639349244497339</v>
      </c>
      <c r="AV50" s="488">
        <f>V50/V24</f>
        <v>1.3755888427185534</v>
      </c>
      <c r="AW50" s="488">
        <f>V50/V23</f>
        <v>1.3863151769825661</v>
      </c>
      <c r="AX50" s="488">
        <f>V50/V22</f>
        <v>1.3964684300892123</v>
      </c>
      <c r="AY50" s="488"/>
    </row>
    <row r="51" spans="3:51" ht="13.5" thickBot="1">
      <c r="C51" s="485">
        <v>30</v>
      </c>
      <c r="D51" s="493">
        <f>'Swap and Yield Curves'!D92</f>
        <v>1.1716200000000001</v>
      </c>
      <c r="E51" s="492">
        <f t="shared" si="0"/>
        <v>1</v>
      </c>
      <c r="F51" s="492">
        <f t="shared" si="1"/>
        <v>0</v>
      </c>
      <c r="G51" s="492">
        <f t="shared" si="2"/>
        <v>0</v>
      </c>
      <c r="H51" s="492">
        <f t="shared" si="3"/>
        <v>1.1716200000000001</v>
      </c>
      <c r="I51" s="459">
        <f t="shared" si="12"/>
        <v>30</v>
      </c>
      <c r="J51" s="482">
        <f t="shared" si="4"/>
        <v>1.1750517335610056E-2</v>
      </c>
      <c r="K51" s="491">
        <f t="shared" si="13"/>
        <v>1.1862705457380773E-2</v>
      </c>
      <c r="L51" s="490">
        <f t="shared" si="5"/>
        <v>1.1862705457380773E-2</v>
      </c>
      <c r="M51" s="483">
        <f>'All Curves'!U44</f>
        <v>1.5378279386420102E-2</v>
      </c>
      <c r="N51" s="483">
        <f t="shared" si="6"/>
        <v>-3.5155739290393291E-3</v>
      </c>
      <c r="O51" s="492">
        <f t="shared" si="7"/>
        <v>1</v>
      </c>
      <c r="P51" s="492">
        <f t="shared" si="8"/>
        <v>0</v>
      </c>
      <c r="Q51" s="492">
        <f t="shared" si="33"/>
        <v>0</v>
      </c>
      <c r="R51" s="505">
        <f t="shared" si="9"/>
        <v>-3.5155739290393291E-3</v>
      </c>
      <c r="S51" s="483">
        <f t="shared" si="14"/>
        <v>1.1862705457380773E-2</v>
      </c>
      <c r="T51" s="483">
        <f t="shared" si="10"/>
        <v>-1.1218812177071769E-4</v>
      </c>
      <c r="U51" s="489">
        <f>((1+J51)/(V50-J51*(1+W50+X50+Y50+Z50+AA50+AB50+AC50+AD50+AE50+AF50+AG50+AH50+AI50+AJ50+AK50+AL50+AM50+AN50+AO50+AP50+AQ50+AR50+AS50+AT50+AU50+AV50+AW50+AX50)))-1</f>
        <v>1.1750517335610056E-2</v>
      </c>
      <c r="V51" s="488">
        <f t="shared" si="15"/>
        <v>1.4244515373024047</v>
      </c>
      <c r="W51" s="488">
        <f t="shared" si="11"/>
        <v>1.0117505173356101</v>
      </c>
      <c r="X51" s="488">
        <f t="shared" si="16"/>
        <v>1.0236391093288746</v>
      </c>
      <c r="Y51" s="488">
        <f t="shared" si="17"/>
        <v>1.0356673984284519</v>
      </c>
      <c r="Z51" s="488">
        <f t="shared" si="18"/>
        <v>1.0478370261476118</v>
      </c>
      <c r="AA51" s="488">
        <f t="shared" si="19"/>
        <v>1.0615217637457035</v>
      </c>
      <c r="AB51" s="488">
        <f t="shared" si="20"/>
        <v>1.0735065066620513</v>
      </c>
      <c r="AC51" s="488">
        <f t="shared" si="21"/>
        <v>1.0856632164065161</v>
      </c>
      <c r="AD51" s="488">
        <f t="shared" si="22"/>
        <v>1.097994444436716</v>
      </c>
      <c r="AE51" s="488">
        <f t="shared" si="23"/>
        <v>1.1120774243882543</v>
      </c>
      <c r="AF51" s="488">
        <f t="shared" si="24"/>
        <v>1.1293652896931474</v>
      </c>
      <c r="AG51" s="488">
        <f t="shared" si="25"/>
        <v>1.1441968552218129</v>
      </c>
      <c r="AH51" s="488">
        <f t="shared" si="26"/>
        <v>1.1596121198237546</v>
      </c>
      <c r="AI51" s="488">
        <f t="shared" si="27"/>
        <v>1.175242608126261</v>
      </c>
      <c r="AJ51" s="488">
        <f t="shared" si="28"/>
        <v>1.1911279163196995</v>
      </c>
      <c r="AK51" s="488">
        <f t="shared" si="29"/>
        <v>1.2073254375506521</v>
      </c>
      <c r="AL51" s="488">
        <f t="shared" si="30"/>
        <v>1.2238516389215977</v>
      </c>
      <c r="AM51" s="488">
        <f t="shared" si="31"/>
        <v>1.2407539856198675</v>
      </c>
      <c r="AN51" s="488">
        <f t="shared" si="32"/>
        <v>1.2574335935828327</v>
      </c>
      <c r="AO51" s="488">
        <f t="shared" si="34"/>
        <v>1.2743846193778987</v>
      </c>
      <c r="AP51" s="488">
        <f t="shared" si="35"/>
        <v>1.2912041540787935</v>
      </c>
      <c r="AQ51" s="488">
        <f t="shared" si="36"/>
        <v>1.3076354458274186</v>
      </c>
      <c r="AR51" s="488">
        <f t="shared" si="37"/>
        <v>1.3235805297069319</v>
      </c>
      <c r="AS51" s="488">
        <f t="shared" si="38"/>
        <v>1.3388555981477919</v>
      </c>
      <c r="AT51" s="488">
        <f t="shared" si="39"/>
        <v>1.3534063867832558</v>
      </c>
      <c r="AU51" s="488">
        <f>V51/V26</f>
        <v>1.3671137638296116</v>
      </c>
      <c r="AV51" s="488">
        <f>V51/V25</f>
        <v>1.3799618654241244</v>
      </c>
      <c r="AW51" s="488">
        <f>V51/V24</f>
        <v>1.3917527232615896</v>
      </c>
      <c r="AX51" s="488">
        <f>V51/V23</f>
        <v>1.4026050975023192</v>
      </c>
      <c r="AY51" s="488">
        <f>V51/V22</f>
        <v>1.4128776565856076</v>
      </c>
    </row>
  </sheetData>
  <pageMargins left="0.75" right="0.75" top="1" bottom="1" header="0.5" footer="0.5"/>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FF9900"/>
  </sheetPr>
  <dimension ref="C1:BI51"/>
  <sheetViews>
    <sheetView showGridLines="0" topLeftCell="A13" workbookViewId="0">
      <selection activeCell="Q22" sqref="Q22:Q51"/>
    </sheetView>
  </sheetViews>
  <sheetFormatPr defaultColWidth="8.85546875" defaultRowHeight="12.75"/>
  <cols>
    <col min="1" max="1" width="8.85546875" style="459"/>
    <col min="2" max="2" width="3.7109375" style="459" customWidth="1"/>
    <col min="3" max="3" width="24" style="459" customWidth="1"/>
    <col min="4" max="4" width="17.42578125" style="459" customWidth="1"/>
    <col min="5" max="5" width="6.140625" style="459" customWidth="1"/>
    <col min="6" max="6" width="6.7109375" style="459" bestFit="1" customWidth="1"/>
    <col min="7" max="7" width="5.5703125" style="459" customWidth="1"/>
    <col min="8" max="8" width="10" style="459" customWidth="1"/>
    <col min="9" max="9" width="5" style="459" customWidth="1"/>
    <col min="10" max="10" width="16.7109375" style="459" bestFit="1" customWidth="1"/>
    <col min="11" max="11" width="12.85546875" style="459" bestFit="1" customWidth="1"/>
    <col min="12" max="12" width="12.42578125" style="459" bestFit="1" customWidth="1"/>
    <col min="13" max="14" width="12.42578125" style="459" customWidth="1"/>
    <col min="15" max="17" width="5.7109375" style="459" bestFit="1" customWidth="1"/>
    <col min="18" max="18" width="12.42578125" style="459" customWidth="1"/>
    <col min="19" max="19" width="8" style="459" customWidth="1"/>
    <col min="20" max="20" width="8.85546875" style="459"/>
    <col min="21" max="36" width="8.85546875" style="460"/>
    <col min="37" max="37" width="8.42578125" style="460" customWidth="1"/>
    <col min="38" max="61" width="8.85546875" style="460"/>
    <col min="62" max="16384" width="8.85546875" style="459"/>
  </cols>
  <sheetData>
    <row r="1" spans="3:35" hidden="1"/>
    <row r="2" spans="3:35" hidden="1"/>
    <row r="3" spans="3:35" hidden="1"/>
    <row r="4" spans="3:35" hidden="1"/>
    <row r="5" spans="3:35" hidden="1"/>
    <row r="6" spans="3:35" hidden="1"/>
    <row r="7" spans="3:35" hidden="1"/>
    <row r="8" spans="3:35" hidden="1"/>
    <row r="9" spans="3:35" hidden="1"/>
    <row r="10" spans="3:35" hidden="1"/>
    <row r="11" spans="3:35" hidden="1"/>
    <row r="12" spans="3:35" hidden="1"/>
    <row r="14" spans="3:35">
      <c r="C14" s="461"/>
      <c r="U14" s="462" t="s">
        <v>460</v>
      </c>
      <c r="V14" s="462"/>
      <c r="W14" s="462"/>
      <c r="X14" s="462"/>
      <c r="Y14" s="462"/>
      <c r="Z14" s="462"/>
      <c r="AA14" s="462"/>
      <c r="AB14" s="462"/>
      <c r="AC14" s="462"/>
      <c r="AD14" s="462"/>
      <c r="AE14" s="462"/>
      <c r="AF14" s="462"/>
      <c r="AG14" s="462"/>
      <c r="AH14" s="462"/>
      <c r="AI14" s="462"/>
    </row>
    <row r="15" spans="3:35">
      <c r="U15" s="462" t="s">
        <v>461</v>
      </c>
      <c r="V15" s="462"/>
      <c r="W15" s="462"/>
      <c r="X15" s="462"/>
      <c r="Y15" s="462"/>
      <c r="Z15" s="462"/>
      <c r="AA15" s="462"/>
      <c r="AB15" s="462"/>
      <c r="AC15" s="462"/>
      <c r="AD15" s="462"/>
      <c r="AE15" s="462"/>
      <c r="AF15" s="462"/>
      <c r="AG15" s="462"/>
      <c r="AH15" s="462"/>
      <c r="AI15" s="462"/>
    </row>
    <row r="16" spans="3:35" ht="13.5" thickBot="1">
      <c r="C16" s="459" t="s">
        <v>462</v>
      </c>
      <c r="D16" s="463" t="s">
        <v>448</v>
      </c>
      <c r="E16" s="463"/>
      <c r="F16" s="463"/>
      <c r="G16" s="463"/>
      <c r="N16" s="463"/>
      <c r="O16" s="463"/>
      <c r="P16" s="463"/>
      <c r="Q16" s="463"/>
      <c r="U16" s="462"/>
      <c r="V16" s="462" t="s">
        <v>463</v>
      </c>
      <c r="W16" s="462"/>
      <c r="X16" s="462"/>
      <c r="Y16" s="462"/>
      <c r="Z16" s="462"/>
      <c r="AA16" s="462"/>
      <c r="AB16" s="462"/>
      <c r="AC16" s="462"/>
      <c r="AD16" s="462"/>
      <c r="AE16" s="462"/>
      <c r="AF16" s="462"/>
      <c r="AG16" s="462"/>
      <c r="AH16" s="462"/>
      <c r="AI16" s="462"/>
    </row>
    <row r="17" spans="3:51">
      <c r="C17" s="459" t="s">
        <v>464</v>
      </c>
      <c r="D17" s="464">
        <v>42004</v>
      </c>
      <c r="E17" s="464"/>
      <c r="F17" s="464"/>
      <c r="G17" s="464"/>
      <c r="L17" s="465"/>
      <c r="M17" s="502"/>
      <c r="N17" s="502"/>
      <c r="O17" s="464"/>
      <c r="P17" s="464"/>
      <c r="Q17" s="464"/>
      <c r="U17" s="462"/>
      <c r="V17" s="462" t="s">
        <v>465</v>
      </c>
      <c r="W17" s="462"/>
      <c r="X17" s="462"/>
      <c r="Y17" s="462"/>
      <c r="Z17" s="462"/>
      <c r="AA17" s="462"/>
      <c r="AB17" s="462"/>
      <c r="AC17" s="462"/>
      <c r="AD17" s="462"/>
      <c r="AE17" s="462"/>
      <c r="AF17" s="462"/>
      <c r="AG17" s="462"/>
      <c r="AH17" s="462"/>
      <c r="AI17" s="462"/>
    </row>
    <row r="18" spans="3:51" ht="39" thickBot="1">
      <c r="H18" s="463" t="s">
        <v>466</v>
      </c>
      <c r="L18" s="466"/>
      <c r="M18" s="459" t="s">
        <v>470</v>
      </c>
      <c r="N18" s="501" t="s">
        <v>515</v>
      </c>
      <c r="R18" s="503" t="s">
        <v>516</v>
      </c>
      <c r="U18" s="462"/>
      <c r="V18" s="462" t="s">
        <v>467</v>
      </c>
      <c r="W18" s="462"/>
      <c r="X18" s="462"/>
      <c r="Y18" s="462"/>
      <c r="Z18" s="462"/>
      <c r="AA18" s="462"/>
      <c r="AB18" s="462"/>
      <c r="AC18" s="462"/>
      <c r="AD18" s="462"/>
      <c r="AE18" s="462"/>
      <c r="AF18" s="462"/>
      <c r="AG18" s="462"/>
      <c r="AH18" s="462"/>
      <c r="AI18" s="462"/>
    </row>
    <row r="19" spans="3:51">
      <c r="C19" s="467"/>
      <c r="D19" s="468" t="s">
        <v>466</v>
      </c>
      <c r="E19" s="469"/>
      <c r="F19" s="469"/>
      <c r="G19" s="469"/>
      <c r="H19" s="463" t="s">
        <v>468</v>
      </c>
      <c r="J19" s="463" t="s">
        <v>469</v>
      </c>
      <c r="K19" s="459" t="s">
        <v>470</v>
      </c>
      <c r="L19" s="466"/>
      <c r="M19" s="469" t="s">
        <v>475</v>
      </c>
      <c r="N19" s="469"/>
      <c r="O19" s="469"/>
      <c r="P19" s="469"/>
      <c r="Q19" s="469"/>
      <c r="R19" s="503" t="s">
        <v>468</v>
      </c>
    </row>
    <row r="20" spans="3:51" ht="13.5" thickBot="1">
      <c r="C20" s="470" t="s">
        <v>471</v>
      </c>
      <c r="D20" s="471" t="s">
        <v>472</v>
      </c>
      <c r="E20" s="472"/>
      <c r="F20" s="472"/>
      <c r="G20" s="472"/>
      <c r="H20" s="473" t="s">
        <v>473</v>
      </c>
      <c r="J20" s="472" t="s">
        <v>474</v>
      </c>
      <c r="K20" s="469" t="s">
        <v>475</v>
      </c>
      <c r="L20" s="466"/>
      <c r="M20" s="477" t="s">
        <v>514</v>
      </c>
      <c r="N20" s="463"/>
      <c r="O20" s="472"/>
      <c r="P20" s="472"/>
      <c r="Q20" s="472"/>
      <c r="R20" s="504" t="s">
        <v>473</v>
      </c>
    </row>
    <row r="21" spans="3:51" ht="13.5" thickBot="1">
      <c r="C21" s="474" t="s">
        <v>476</v>
      </c>
      <c r="D21" s="499"/>
      <c r="E21" s="498"/>
      <c r="F21" s="498"/>
      <c r="G21" s="498"/>
      <c r="H21" s="463" t="s">
        <v>477</v>
      </c>
      <c r="I21" s="475" t="s">
        <v>478</v>
      </c>
      <c r="J21" s="476" t="s">
        <v>479</v>
      </c>
      <c r="K21" s="477" t="s">
        <v>480</v>
      </c>
      <c r="L21" s="478"/>
      <c r="M21" s="502"/>
      <c r="N21" s="502"/>
      <c r="O21" s="498"/>
      <c r="P21" s="498"/>
      <c r="Q21" s="498"/>
      <c r="R21" s="503" t="s">
        <v>477</v>
      </c>
      <c r="T21" s="459" t="s">
        <v>512</v>
      </c>
      <c r="U21" s="462" t="s">
        <v>481</v>
      </c>
      <c r="V21" s="479" t="s">
        <v>482</v>
      </c>
      <c r="W21" s="479" t="s">
        <v>483</v>
      </c>
      <c r="X21" s="479" t="s">
        <v>484</v>
      </c>
      <c r="Y21" s="479" t="s">
        <v>485</v>
      </c>
      <c r="Z21" s="480" t="s">
        <v>486</v>
      </c>
      <c r="AA21" s="479" t="s">
        <v>487</v>
      </c>
      <c r="AB21" s="480" t="s">
        <v>488</v>
      </c>
      <c r="AC21" s="480" t="s">
        <v>489</v>
      </c>
      <c r="AD21" s="480" t="s">
        <v>490</v>
      </c>
      <c r="AE21" s="480" t="s">
        <v>491</v>
      </c>
      <c r="AF21" s="480" t="s">
        <v>492</v>
      </c>
      <c r="AG21" s="480" t="s">
        <v>493</v>
      </c>
      <c r="AH21" s="480" t="s">
        <v>494</v>
      </c>
      <c r="AI21" s="480" t="s">
        <v>495</v>
      </c>
      <c r="AJ21" s="480" t="s">
        <v>496</v>
      </c>
      <c r="AK21" s="480" t="s">
        <v>497</v>
      </c>
      <c r="AL21" s="480" t="s">
        <v>498</v>
      </c>
      <c r="AM21" s="480" t="s">
        <v>499</v>
      </c>
      <c r="AN21" s="480" t="s">
        <v>500</v>
      </c>
      <c r="AO21" s="480" t="s">
        <v>501</v>
      </c>
      <c r="AP21" s="480" t="s">
        <v>502</v>
      </c>
      <c r="AQ21" s="480" t="s">
        <v>503</v>
      </c>
      <c r="AR21" s="480" t="s">
        <v>504</v>
      </c>
      <c r="AS21" s="480" t="s">
        <v>505</v>
      </c>
      <c r="AT21" s="480" t="s">
        <v>506</v>
      </c>
      <c r="AU21" s="480" t="s">
        <v>507</v>
      </c>
      <c r="AV21" s="480" t="s">
        <v>508</v>
      </c>
      <c r="AW21" s="480" t="s">
        <v>509</v>
      </c>
      <c r="AX21" s="480" t="s">
        <v>510</v>
      </c>
      <c r="AY21" s="480" t="s">
        <v>511</v>
      </c>
    </row>
    <row r="22" spans="3:51">
      <c r="C22" s="486">
        <v>1</v>
      </c>
      <c r="D22" s="509">
        <f>'Swap and Yield Curves'!D99</f>
        <v>-0.85489999999999999</v>
      </c>
      <c r="E22" s="492">
        <f t="shared" ref="E22:E51" si="0">IF(ISNUMBER(D22),1,"")</f>
        <v>1</v>
      </c>
      <c r="F22" s="492">
        <f t="shared" ref="F22:F51" si="1">IF(ISNUMBER(E22),0,1+F21)</f>
        <v>0</v>
      </c>
      <c r="G22" s="492">
        <f t="shared" ref="G22:G51" si="2">IF(F22=1,D21,IF(F22=2,D20,IF(F22=3,D19,IF(F22=4,D18,IF(F22=5,D17,IF(F22=6,D16,IF(F22=7,D15,IF(F22=8,D14,IF(F22=9,D13,IF(F22=10,D12,IF(F22=11,D11,IF(F22=21,D10,IF(F22=13,D9,IF(F22=14,D8,IF(F22=15,D7,IF(F22=16,D6,IF(F22=17,D5,IF(F22=18,D4,IF(F22=71,D3,0)))))))))))))))))))</f>
        <v>0</v>
      </c>
      <c r="H22" s="492">
        <f t="shared" ref="H22:H51" si="3">IF(G22=0,D22,IF(G23=0,((F22*D23+G22)/(1+F22)),2*H23-H24))</f>
        <v>-0.85489999999999999</v>
      </c>
      <c r="I22" s="459">
        <v>1</v>
      </c>
      <c r="J22" s="482">
        <f t="shared" ref="J22:J51" si="4">(1+H22/200)^2-1</f>
        <v>-8.530728649749908E-3</v>
      </c>
      <c r="K22" s="483">
        <f>U22</f>
        <v>-8.530728649749908E-3</v>
      </c>
      <c r="L22" s="497">
        <f t="shared" ref="L22:L51" si="5">IF(ISNUMBER(D22),K22,"")</f>
        <v>-8.530728649749908E-3</v>
      </c>
      <c r="M22" s="517">
        <f>'All Curves'!AD15</f>
        <v>-1.3095338176329841E-2</v>
      </c>
      <c r="N22" s="483">
        <f t="shared" ref="N22:N51" si="6">IF(ISNUMBER(L22),L22-M22,"")</f>
        <v>4.5646095265799332E-3</v>
      </c>
      <c r="O22" s="492">
        <f t="shared" ref="O22:O51" si="7">IF(ISNUMBER(N22),1,"")</f>
        <v>1</v>
      </c>
      <c r="P22" s="492">
        <f t="shared" ref="P22:P51" si="8">IF(ISNUMBER(O22),0,1+P21)</f>
        <v>0</v>
      </c>
      <c r="Q22" s="492">
        <f>IF(P22=1,#REF!,IF(P22=2,#REF!,IF(P22=3,#REF!,IF(P22=4,#REF!,IF(P22=5,#REF!,IF(P22=6,N16,IF(P22=7,N15,IF(P22=8,N14,IF(P22=9,N13,IF(P22=10,#REF!,IF(P22=11,#REF!,IF(P22=12,#REF!,IF(P22=13,#REF!,IF(P22=14,#REF!,IF(P22=15,#REF!,IF(P22=16,#REF!,IF(P22=17,#REF!,IF(P22=18,#REF!,IF(P22=19,#REF!,0)))))))))))))))))))</f>
        <v>0</v>
      </c>
      <c r="R22" s="505">
        <f t="shared" ref="R22:R51" si="9">IF(Q22=0,N22,IF(Q23=0,((P22*N23+Q22)/(1+P22)),2*R23-R24))</f>
        <v>4.5646095265799332E-3</v>
      </c>
      <c r="S22" s="483">
        <f>R22+M22</f>
        <v>-8.530728649749908E-3</v>
      </c>
      <c r="T22" s="483">
        <f t="shared" ref="T22:T51" si="10">J22-K22</f>
        <v>0</v>
      </c>
      <c r="U22" s="489">
        <f>J22</f>
        <v>-8.530728649749908E-3</v>
      </c>
      <c r="V22" s="488">
        <f>W22</f>
        <v>0.99146927135025009</v>
      </c>
      <c r="W22" s="488">
        <f t="shared" ref="W22:W51" si="11">(1+U22)</f>
        <v>0.99146927135025009</v>
      </c>
      <c r="X22" s="488"/>
      <c r="Y22" s="488"/>
      <c r="Z22" s="488"/>
      <c r="AA22" s="488"/>
      <c r="AB22" s="488"/>
      <c r="AC22" s="488"/>
      <c r="AD22" s="488"/>
      <c r="AE22" s="488"/>
      <c r="AF22" s="488"/>
      <c r="AG22" s="488"/>
      <c r="AH22" s="488"/>
      <c r="AI22" s="488"/>
      <c r="AJ22" s="488"/>
      <c r="AK22" s="488"/>
      <c r="AL22" s="488"/>
      <c r="AM22" s="488"/>
      <c r="AN22" s="488"/>
      <c r="AO22" s="488"/>
      <c r="AP22" s="488"/>
      <c r="AQ22" s="488"/>
      <c r="AR22" s="488"/>
      <c r="AS22" s="488"/>
      <c r="AT22" s="488"/>
      <c r="AU22" s="488"/>
      <c r="AV22" s="488"/>
      <c r="AW22" s="488"/>
      <c r="AX22" s="488"/>
      <c r="AY22" s="488"/>
    </row>
    <row r="23" spans="3:51">
      <c r="C23" s="486">
        <v>2</v>
      </c>
      <c r="D23" s="509">
        <f>'Swap and Yield Curves'!D100</f>
        <v>-0.89</v>
      </c>
      <c r="E23" s="492">
        <f t="shared" si="0"/>
        <v>1</v>
      </c>
      <c r="F23" s="492">
        <f t="shared" si="1"/>
        <v>0</v>
      </c>
      <c r="G23" s="492">
        <f t="shared" si="2"/>
        <v>0</v>
      </c>
      <c r="H23" s="492">
        <f t="shared" si="3"/>
        <v>-0.89</v>
      </c>
      <c r="I23" s="459">
        <f t="shared" ref="I23:I51" si="12">I22+1</f>
        <v>2</v>
      </c>
      <c r="J23" s="482">
        <f t="shared" si="4"/>
        <v>-8.8801974999999089E-3</v>
      </c>
      <c r="K23" s="491">
        <f t="shared" ref="K23:K51" si="13">(((1+K22)^I22)*(1+U23))^(1/I23)-1</f>
        <v>-8.8786463670816884E-3</v>
      </c>
      <c r="L23" s="494">
        <f t="shared" si="5"/>
        <v>-8.8786463670816884E-3</v>
      </c>
      <c r="M23" s="483">
        <f>'All Curves'!AD16</f>
        <v>-1.1970454759777493E-2</v>
      </c>
      <c r="N23" s="483">
        <f t="shared" si="6"/>
        <v>3.0918083926958044E-3</v>
      </c>
      <c r="O23" s="492">
        <f t="shared" si="7"/>
        <v>1</v>
      </c>
      <c r="P23" s="492">
        <f t="shared" si="8"/>
        <v>0</v>
      </c>
      <c r="Q23" s="492">
        <f>IF(P23=1,N22,IF(P23=2,#REF!,IF(P23=3,#REF!,IF(P23=4,#REF!,IF(P23=5,#REF!,IF(P23=6,#REF!,IF(P23=7,N16,IF(P23=8,N15,IF(P23=9,N14,IF(P23=10,N13,IF(P23=11,#REF!,IF(P23=12,#REF!,IF(P23=13,#REF!,IF(P23=14,#REF!,IF(P23=15,#REF!,IF(P23=16,#REF!,IF(P23=17,#REF!,IF(P23=18,#REF!,IF(P23=19,#REF!,0)))))))))))))))))))</f>
        <v>0</v>
      </c>
      <c r="R23" s="505">
        <f t="shared" si="9"/>
        <v>3.0918083926958044E-3</v>
      </c>
      <c r="S23" s="483">
        <f t="shared" ref="S23:S51" si="14">R23+M23</f>
        <v>-8.8786463670816884E-3</v>
      </c>
      <c r="T23" s="483">
        <f t="shared" si="10"/>
        <v>-1.5511329182205102E-6</v>
      </c>
      <c r="U23" s="489">
        <f>(1+J23)/(V22-J23)-1</f>
        <v>-9.2264419961737287E-3</v>
      </c>
      <c r="V23" s="488">
        <f t="shared" ref="V23:V51" si="15">V22*W23</f>
        <v>0.98232153762714836</v>
      </c>
      <c r="W23" s="488">
        <f t="shared" si="11"/>
        <v>0.99077355800382627</v>
      </c>
      <c r="X23" s="488"/>
      <c r="Y23" s="488"/>
      <c r="Z23" s="488"/>
      <c r="AA23" s="488"/>
      <c r="AB23" s="488"/>
      <c r="AC23" s="488"/>
      <c r="AD23" s="488"/>
      <c r="AE23" s="488"/>
      <c r="AF23" s="488"/>
      <c r="AG23" s="488"/>
      <c r="AH23" s="488"/>
      <c r="AI23" s="488"/>
      <c r="AJ23" s="488"/>
      <c r="AK23" s="488"/>
      <c r="AL23" s="488"/>
      <c r="AM23" s="488"/>
      <c r="AN23" s="488"/>
      <c r="AO23" s="488"/>
      <c r="AP23" s="488"/>
      <c r="AQ23" s="488"/>
      <c r="AR23" s="488"/>
      <c r="AS23" s="488"/>
      <c r="AT23" s="488"/>
      <c r="AU23" s="488"/>
      <c r="AV23" s="488"/>
      <c r="AW23" s="488"/>
      <c r="AX23" s="488"/>
      <c r="AY23" s="488"/>
    </row>
    <row r="24" spans="3:51">
      <c r="C24" s="481">
        <v>3</v>
      </c>
      <c r="D24" s="509">
        <f>'Swap and Yield Curves'!D101</f>
        <v>-0.85499999999999998</v>
      </c>
      <c r="E24" s="492">
        <f t="shared" si="0"/>
        <v>1</v>
      </c>
      <c r="F24" s="492">
        <f t="shared" si="1"/>
        <v>0</v>
      </c>
      <c r="G24" s="492">
        <f t="shared" si="2"/>
        <v>0</v>
      </c>
      <c r="H24" s="492">
        <f t="shared" si="3"/>
        <v>-0.85499999999999998</v>
      </c>
      <c r="I24" s="459">
        <f t="shared" si="12"/>
        <v>3</v>
      </c>
      <c r="J24" s="482">
        <f t="shared" si="4"/>
        <v>-8.5317243750000493E-3</v>
      </c>
      <c r="K24" s="491">
        <f t="shared" si="13"/>
        <v>-8.5336958242694383E-3</v>
      </c>
      <c r="L24" s="494">
        <f t="shared" si="5"/>
        <v>-8.5336958242694383E-3</v>
      </c>
      <c r="M24" s="483">
        <f>'All Curves'!AD17</f>
        <v>-1.0907187190712453E-2</v>
      </c>
      <c r="N24" s="483">
        <f t="shared" si="6"/>
        <v>2.373491366443015E-3</v>
      </c>
      <c r="O24" s="492">
        <f t="shared" si="7"/>
        <v>1</v>
      </c>
      <c r="P24" s="492">
        <f t="shared" si="8"/>
        <v>0</v>
      </c>
      <c r="Q24" s="492">
        <f>IF(P24=1,N23,IF(P24=2,N22,IF(P24=3,#REF!,IF(P24=4,#REF!,IF(P24=5,#REF!,IF(P24=6,#REF!,IF(P24=7,#REF!,IF(P24=8,N16,IF(P24=9,N15,IF(P24=10,N14,IF(P24=11,N13,IF(P24=12,#REF!,IF(P24=13,#REF!,IF(P24=14,#REF!,IF(P24=15,#REF!,IF(P24=16,#REF!,IF(P24=17,#REF!,IF(P24=18,#REF!,IF(P24=19,#REF!,0)))))))))))))))))))</f>
        <v>0</v>
      </c>
      <c r="R24" s="505">
        <f t="shared" si="9"/>
        <v>2.373491366443015E-3</v>
      </c>
      <c r="S24" s="483">
        <f t="shared" si="14"/>
        <v>-8.5336958242694383E-3</v>
      </c>
      <c r="T24" s="483">
        <f t="shared" si="10"/>
        <v>1.9714492693889696E-6</v>
      </c>
      <c r="U24" s="489">
        <f>((1+J24)/(V23-J24*(1+W23)))-1</f>
        <v>-7.8434345264031258E-3</v>
      </c>
      <c r="V24" s="488">
        <f t="shared" si="15"/>
        <v>0.97461676296289412</v>
      </c>
      <c r="W24" s="488">
        <f t="shared" si="11"/>
        <v>0.99215656547359687</v>
      </c>
      <c r="X24" s="488">
        <f t="shared" ref="X24:X51" si="16">V24/V22</f>
        <v>0.98300249047113175</v>
      </c>
      <c r="Y24" s="488"/>
      <c r="Z24" s="488"/>
      <c r="AA24" s="488"/>
      <c r="AB24" s="488"/>
      <c r="AC24" s="488"/>
      <c r="AD24" s="488"/>
      <c r="AE24" s="488"/>
      <c r="AF24" s="488"/>
      <c r="AG24" s="488"/>
      <c r="AH24" s="488"/>
      <c r="AI24" s="488"/>
      <c r="AJ24" s="488"/>
      <c r="AK24" s="488"/>
      <c r="AL24" s="488"/>
      <c r="AM24" s="488"/>
      <c r="AN24" s="488"/>
      <c r="AO24" s="488"/>
      <c r="AP24" s="488"/>
      <c r="AQ24" s="488"/>
      <c r="AR24" s="488"/>
      <c r="AS24" s="488"/>
      <c r="AT24" s="488"/>
      <c r="AU24" s="488"/>
      <c r="AV24" s="488"/>
      <c r="AW24" s="488"/>
      <c r="AX24" s="488"/>
      <c r="AY24" s="488"/>
    </row>
    <row r="25" spans="3:51">
      <c r="C25" s="481">
        <v>4</v>
      </c>
      <c r="D25" s="509">
        <f>'Swap and Yield Curves'!D102</f>
        <v>-0.8</v>
      </c>
      <c r="E25" s="492">
        <f t="shared" si="0"/>
        <v>1</v>
      </c>
      <c r="F25" s="492">
        <f t="shared" si="1"/>
        <v>0</v>
      </c>
      <c r="G25" s="492">
        <f t="shared" si="2"/>
        <v>0</v>
      </c>
      <c r="H25" s="492">
        <f t="shared" si="3"/>
        <v>-0.8</v>
      </c>
      <c r="I25" s="459">
        <f t="shared" si="12"/>
        <v>4</v>
      </c>
      <c r="J25" s="482">
        <f t="shared" si="4"/>
        <v>-7.9839999999999911E-3</v>
      </c>
      <c r="K25" s="491">
        <f t="shared" si="13"/>
        <v>-7.9919172911182557E-3</v>
      </c>
      <c r="L25" s="494">
        <f t="shared" si="5"/>
        <v>-7.9919172911182557E-3</v>
      </c>
      <c r="M25" s="483">
        <f>'All Curves'!AD18</f>
        <v>-9.9035031694555253E-3</v>
      </c>
      <c r="N25" s="483">
        <f t="shared" si="6"/>
        <v>1.9115858783372696E-3</v>
      </c>
      <c r="O25" s="492">
        <f t="shared" si="7"/>
        <v>1</v>
      </c>
      <c r="P25" s="492">
        <f t="shared" si="8"/>
        <v>0</v>
      </c>
      <c r="Q25" s="492">
        <f>IF(P25=1,N24,IF(P25=2,N23,IF(P25=3,N22,IF(P25=4,#REF!,IF(P25=5,#REF!,IF(P25=6,#REF!,IF(P25=7,#REF!,IF(P25=8,#REF!,IF(P25=9,N16,IF(P25=10,N15,IF(P25=11,N14,IF(P25=12,N13,IF(P25=13,#REF!,IF(P25=14,#REF!,IF(P25=15,#REF!,IF(P25=16,#REF!,IF(P25=17,#REF!,IF(P25=18,#REF!,IF(P25=19,#REF!,0)))))))))))))))))))</f>
        <v>0</v>
      </c>
      <c r="R25" s="505">
        <f t="shared" si="9"/>
        <v>1.9115858783372696E-3</v>
      </c>
      <c r="S25" s="483">
        <f t="shared" si="14"/>
        <v>-7.9919172911182557E-3</v>
      </c>
      <c r="T25" s="483">
        <f t="shared" si="10"/>
        <v>7.9172911182645578E-6</v>
      </c>
      <c r="U25" s="489">
        <f>((1+J25)/(V24-J25*(1+W24+X24)))-1</f>
        <v>-6.3648047421818177E-3</v>
      </c>
      <c r="V25" s="488">
        <f t="shared" si="15"/>
        <v>0.96841351756817795</v>
      </c>
      <c r="W25" s="488">
        <f t="shared" si="11"/>
        <v>0.99363519525781818</v>
      </c>
      <c r="X25" s="488">
        <f t="shared" si="16"/>
        <v>0.98584168266068362</v>
      </c>
      <c r="Y25" s="488">
        <f t="shared" ref="Y25:Y51" si="17">V25/V22</f>
        <v>0.97674587155820447</v>
      </c>
      <c r="Z25" s="488"/>
      <c r="AA25" s="488"/>
      <c r="AB25" s="488"/>
      <c r="AC25" s="488"/>
      <c r="AD25" s="488"/>
      <c r="AE25" s="488"/>
      <c r="AF25" s="488"/>
      <c r="AG25" s="488"/>
      <c r="AH25" s="488"/>
      <c r="AI25" s="488"/>
      <c r="AJ25" s="488"/>
      <c r="AK25" s="488"/>
      <c r="AL25" s="488"/>
      <c r="AM25" s="488"/>
      <c r="AN25" s="488"/>
      <c r="AO25" s="488"/>
      <c r="AP25" s="488"/>
      <c r="AQ25" s="488"/>
      <c r="AR25" s="488"/>
      <c r="AS25" s="488"/>
      <c r="AT25" s="488"/>
      <c r="AU25" s="488"/>
      <c r="AV25" s="488"/>
      <c r="AW25" s="488"/>
      <c r="AX25" s="488"/>
      <c r="AY25" s="488"/>
    </row>
    <row r="26" spans="3:51">
      <c r="C26" s="481">
        <v>5</v>
      </c>
      <c r="D26" s="509">
        <f>'Swap and Yield Curves'!D103</f>
        <v>-0.72850000000000004</v>
      </c>
      <c r="E26" s="492">
        <f t="shared" si="0"/>
        <v>1</v>
      </c>
      <c r="F26" s="492">
        <f t="shared" si="1"/>
        <v>0</v>
      </c>
      <c r="G26" s="492">
        <f t="shared" si="2"/>
        <v>0</v>
      </c>
      <c r="H26" s="492">
        <f t="shared" si="3"/>
        <v>-0.72850000000000004</v>
      </c>
      <c r="I26" s="459">
        <f t="shared" si="12"/>
        <v>5</v>
      </c>
      <c r="J26" s="482">
        <f t="shared" si="4"/>
        <v>-7.2717321937499912E-3</v>
      </c>
      <c r="K26" s="491">
        <f t="shared" si="13"/>
        <v>-7.2878196370866899E-3</v>
      </c>
      <c r="L26" s="494">
        <f t="shared" si="5"/>
        <v>-7.2878196370866899E-3</v>
      </c>
      <c r="M26" s="483">
        <f>'All Curves'!AD19</f>
        <v>-8.9574269210911366E-3</v>
      </c>
      <c r="N26" s="483">
        <f t="shared" si="6"/>
        <v>1.6696072840044467E-3</v>
      </c>
      <c r="O26" s="492">
        <f t="shared" si="7"/>
        <v>1</v>
      </c>
      <c r="P26" s="492">
        <f t="shared" si="8"/>
        <v>0</v>
      </c>
      <c r="Q26" s="492">
        <f>IF(P26=1,N25,IF(P26=2,N24,IF(P26=3,N23,IF(P26=4,N22,IF(P26=5,#REF!,IF(P26=6,#REF!,IF(P26=7,#REF!,IF(P26=8,#REF!,IF(P26=9,#REF!,IF(P26=10,N16,IF(P26=11,N15,IF(P26=12,N14,IF(P26=13,N13,IF(P26=14,#REF!,IF(P26=15,#REF!,IF(P26=16,#REF!,IF(P26=17,#REF!,IF(P26=18,#REF!,IF(P26=19,#REF!,0)))))))))))))))))))</f>
        <v>0</v>
      </c>
      <c r="R26" s="505">
        <f t="shared" si="9"/>
        <v>1.6696072840044467E-3</v>
      </c>
      <c r="S26" s="483">
        <f t="shared" si="14"/>
        <v>-7.2878196370866899E-3</v>
      </c>
      <c r="T26" s="483">
        <f t="shared" si="10"/>
        <v>1.6087443336698648E-5</v>
      </c>
      <c r="U26" s="489">
        <f>((1+J26)/(V25-J26*(1+W25+X25+Y25)))-1</f>
        <v>-4.4664279981768695E-3</v>
      </c>
      <c r="V26" s="488">
        <f t="shared" si="15"/>
        <v>0.96408816831949851</v>
      </c>
      <c r="W26" s="488">
        <f t="shared" si="11"/>
        <v>0.99553357200182313</v>
      </c>
      <c r="X26" s="488">
        <f t="shared" si="16"/>
        <v>0.98919719520174465</v>
      </c>
      <c r="Y26" s="488">
        <f t="shared" si="17"/>
        <v>0.98143849176747811</v>
      </c>
      <c r="Z26" s="488">
        <f t="shared" ref="Z26:Z51" si="18">V26/V22</f>
        <v>0.9723833064503733</v>
      </c>
      <c r="AA26" s="488"/>
      <c r="AB26" s="488"/>
      <c r="AC26" s="488"/>
      <c r="AD26" s="488"/>
      <c r="AE26" s="488"/>
      <c r="AF26" s="488"/>
      <c r="AG26" s="488"/>
      <c r="AH26" s="488"/>
      <c r="AI26" s="488"/>
      <c r="AJ26" s="488"/>
      <c r="AK26" s="488"/>
      <c r="AL26" s="488"/>
      <c r="AM26" s="488"/>
      <c r="AN26" s="488"/>
      <c r="AO26" s="488"/>
      <c r="AP26" s="488"/>
      <c r="AQ26" s="488"/>
      <c r="AR26" s="488"/>
      <c r="AS26" s="488"/>
      <c r="AT26" s="488"/>
      <c r="AU26" s="488"/>
      <c r="AV26" s="488"/>
      <c r="AW26" s="488"/>
      <c r="AX26" s="488"/>
      <c r="AY26" s="488"/>
    </row>
    <row r="27" spans="3:51">
      <c r="C27" s="481">
        <v>6</v>
      </c>
      <c r="D27" s="509">
        <f>'Swap and Yield Curves'!D104</f>
        <v>-0.65</v>
      </c>
      <c r="E27" s="492">
        <f t="shared" si="0"/>
        <v>1</v>
      </c>
      <c r="F27" s="492">
        <f t="shared" si="1"/>
        <v>0</v>
      </c>
      <c r="G27" s="492">
        <f t="shared" si="2"/>
        <v>0</v>
      </c>
      <c r="H27" s="492">
        <f t="shared" si="3"/>
        <v>-0.65</v>
      </c>
      <c r="I27" s="459">
        <f t="shared" si="12"/>
        <v>6</v>
      </c>
      <c r="J27" s="482">
        <f t="shared" si="4"/>
        <v>-6.4894374999999727E-3</v>
      </c>
      <c r="K27" s="491">
        <f t="shared" si="13"/>
        <v>-6.5140621402294263E-3</v>
      </c>
      <c r="L27" s="494">
        <f t="shared" si="5"/>
        <v>-6.5140621402294263E-3</v>
      </c>
      <c r="M27" s="483">
        <f>'All Curves'!AD20</f>
        <v>-8.0670377304249228E-3</v>
      </c>
      <c r="N27" s="483">
        <f t="shared" si="6"/>
        <v>1.5529755901954965E-3</v>
      </c>
      <c r="O27" s="492">
        <f t="shared" si="7"/>
        <v>1</v>
      </c>
      <c r="P27" s="492">
        <f t="shared" si="8"/>
        <v>0</v>
      </c>
      <c r="Q27" s="492">
        <f>IF(P27=1,N26,IF(P27=2,N25,IF(P27=3,N24,IF(P27=4,N23,IF(P27=5,N22,IF(P27=6,#REF!,IF(P27=7,#REF!,IF(P27=8,#REF!,IF(P27=9,#REF!,IF(P27=10,#REF!,IF(P27=11,N16,IF(P27=12,N15,IF(P27=13,N14,IF(P27=14,N13,IF(P27=15,#REF!,IF(P27=16,#REF!,IF(P27=17,#REF!,IF(P27=18,#REF!,IF(P27=19,#REF!,0)))))))))))))))))))</f>
        <v>0</v>
      </c>
      <c r="R27" s="505">
        <f t="shared" si="9"/>
        <v>1.5529755901954965E-3</v>
      </c>
      <c r="S27" s="483">
        <f t="shared" si="14"/>
        <v>-6.5140621402294263E-3</v>
      </c>
      <c r="T27" s="483">
        <f t="shared" si="10"/>
        <v>2.4624640229453654E-5</v>
      </c>
      <c r="U27" s="489">
        <f>((1+J27)/(V26-J27*(1+W26+X26+Y26+Z26)))-1</f>
        <v>-2.6362188101555217E-3</v>
      </c>
      <c r="V27" s="488">
        <f t="shared" si="15"/>
        <v>0.96154662095552623</v>
      </c>
      <c r="W27" s="488">
        <f t="shared" si="11"/>
        <v>0.99736378118984448</v>
      </c>
      <c r="X27" s="488">
        <f t="shared" si="16"/>
        <v>0.99290912767317063</v>
      </c>
      <c r="Y27" s="488">
        <f t="shared" si="17"/>
        <v>0.98658945494880068</v>
      </c>
      <c r="Z27" s="488">
        <f t="shared" si="18"/>
        <v>0.97885120515446999</v>
      </c>
      <c r="AA27" s="488">
        <f t="shared" ref="AA27:AA51" si="19">V27/V22</f>
        <v>0.96981989128722756</v>
      </c>
      <c r="AB27" s="488"/>
      <c r="AC27" s="488"/>
      <c r="AD27" s="488"/>
      <c r="AE27" s="488"/>
      <c r="AF27" s="488"/>
      <c r="AG27" s="488"/>
      <c r="AH27" s="488"/>
      <c r="AI27" s="488"/>
      <c r="AJ27" s="488"/>
      <c r="AK27" s="488"/>
      <c r="AL27" s="488"/>
      <c r="AM27" s="488"/>
      <c r="AN27" s="488"/>
      <c r="AO27" s="488"/>
      <c r="AP27" s="488"/>
      <c r="AQ27" s="488"/>
      <c r="AR27" s="488"/>
      <c r="AS27" s="488"/>
      <c r="AT27" s="488"/>
      <c r="AU27" s="488"/>
      <c r="AV27" s="488"/>
      <c r="AW27" s="488"/>
      <c r="AX27" s="488"/>
      <c r="AY27" s="488"/>
    </row>
    <row r="28" spans="3:51">
      <c r="C28" s="481">
        <v>7</v>
      </c>
      <c r="D28" s="509">
        <f>'Swap and Yield Curves'!D105</f>
        <v>-0.56000000000000005</v>
      </c>
      <c r="E28" s="492">
        <f t="shared" si="0"/>
        <v>1</v>
      </c>
      <c r="F28" s="492">
        <f t="shared" si="1"/>
        <v>0</v>
      </c>
      <c r="G28" s="492">
        <f t="shared" si="2"/>
        <v>0</v>
      </c>
      <c r="H28" s="492">
        <f t="shared" si="3"/>
        <v>-0.56000000000000005</v>
      </c>
      <c r="I28" s="459">
        <f t="shared" si="12"/>
        <v>7</v>
      </c>
      <c r="J28" s="482">
        <f t="shared" si="4"/>
        <v>-5.5921600000000682E-3</v>
      </c>
      <c r="K28" s="491">
        <f t="shared" si="13"/>
        <v>-5.6254105694593104E-3</v>
      </c>
      <c r="L28" s="494">
        <f t="shared" si="5"/>
        <v>-5.6254105694593104E-3</v>
      </c>
      <c r="M28" s="483">
        <f>'All Curves'!AD21</f>
        <v>-7.2304685136704329E-3</v>
      </c>
      <c r="N28" s="483">
        <f t="shared" si="6"/>
        <v>1.6050579442111225E-3</v>
      </c>
      <c r="O28" s="492">
        <f t="shared" si="7"/>
        <v>1</v>
      </c>
      <c r="P28" s="492">
        <f t="shared" si="8"/>
        <v>0</v>
      </c>
      <c r="Q28" s="492">
        <f>IF(P28=1,N27,IF(P28=2,N26,IF(P28=3,N25,IF(P28=4,N24,IF(P28=5,N23,IF(P28=6,N22,IF(P28=7,#REF!,IF(P28=8,#REF!,IF(P28=9,#REF!,IF(P28=10,#REF!,IF(P28=11,#REF!,IF(P28=12,N16,IF(P28=13,N15,IF(P28=14,N14,IF(P28=15,N13,IF(P28=16,#REF!,IF(P28=17,#REF!,IF(P28=18,#REF!,IF(P28=19,#REF!,0)))))))))))))))))))</f>
        <v>0</v>
      </c>
      <c r="R28" s="505">
        <f t="shared" si="9"/>
        <v>1.6050579442111225E-3</v>
      </c>
      <c r="S28" s="483">
        <f t="shared" si="14"/>
        <v>-5.6254105694593104E-3</v>
      </c>
      <c r="T28" s="483">
        <f t="shared" si="10"/>
        <v>3.3250569459242207E-5</v>
      </c>
      <c r="U28" s="489">
        <f>((1+J28)/(V27-J28*(1+W27+X27+Y27+Z27+AA27)))-1</f>
        <v>-2.7678376779849412E-4</v>
      </c>
      <c r="V28" s="488">
        <f t="shared" si="15"/>
        <v>0.96128048045886427</v>
      </c>
      <c r="W28" s="488">
        <f t="shared" si="11"/>
        <v>0.99972321623220151</v>
      </c>
      <c r="X28" s="488">
        <f t="shared" si="16"/>
        <v>0.99708772708462101</v>
      </c>
      <c r="Y28" s="488">
        <f t="shared" si="17"/>
        <v>0.99263430654373175</v>
      </c>
      <c r="Z28" s="488">
        <f t="shared" si="18"/>
        <v>0.98631638300218971</v>
      </c>
      <c r="AA28" s="488">
        <f t="shared" si="19"/>
        <v>0.97858027502979328</v>
      </c>
      <c r="AB28" s="488">
        <f t="shared" ref="AB28:AB51" si="20">V28/V22</f>
        <v>0.96955146088363109</v>
      </c>
      <c r="AC28" s="488"/>
      <c r="AD28" s="488"/>
      <c r="AE28" s="488"/>
      <c r="AF28" s="488"/>
      <c r="AG28" s="488"/>
      <c r="AH28" s="488"/>
      <c r="AI28" s="488"/>
      <c r="AJ28" s="488"/>
      <c r="AK28" s="488"/>
      <c r="AL28" s="488"/>
      <c r="AM28" s="488"/>
      <c r="AN28" s="488"/>
      <c r="AO28" s="488"/>
      <c r="AP28" s="488"/>
      <c r="AQ28" s="488"/>
      <c r="AR28" s="488"/>
      <c r="AS28" s="488"/>
      <c r="AT28" s="488"/>
      <c r="AU28" s="488"/>
      <c r="AV28" s="488"/>
      <c r="AW28" s="488"/>
      <c r="AX28" s="488"/>
      <c r="AY28" s="488"/>
    </row>
    <row r="29" spans="3:51">
      <c r="C29" s="481">
        <v>8</v>
      </c>
      <c r="D29" s="509">
        <f>'Swap and Yield Curves'!D106</f>
        <v>-0.47499999999999998</v>
      </c>
      <c r="E29" s="492">
        <f t="shared" si="0"/>
        <v>1</v>
      </c>
      <c r="F29" s="492">
        <f t="shared" si="1"/>
        <v>0</v>
      </c>
      <c r="G29" s="492">
        <f t="shared" si="2"/>
        <v>0</v>
      </c>
      <c r="H29" s="492">
        <f t="shared" si="3"/>
        <v>-0.47499999999999998</v>
      </c>
      <c r="I29" s="459">
        <f t="shared" si="12"/>
        <v>8</v>
      </c>
      <c r="J29" s="482">
        <f t="shared" si="4"/>
        <v>-4.7443593750000623E-3</v>
      </c>
      <c r="K29" s="491">
        <f t="shared" si="13"/>
        <v>-4.7831891008137672E-3</v>
      </c>
      <c r="L29" s="494">
        <f t="shared" si="5"/>
        <v>-4.7831891008137672E-3</v>
      </c>
      <c r="M29" s="483">
        <f>'All Curves'!AD22</f>
        <v>-6.4459044259744039E-3</v>
      </c>
      <c r="N29" s="483">
        <f t="shared" si="6"/>
        <v>1.6627153251606366E-3</v>
      </c>
      <c r="O29" s="492">
        <f t="shared" si="7"/>
        <v>1</v>
      </c>
      <c r="P29" s="492">
        <f t="shared" si="8"/>
        <v>0</v>
      </c>
      <c r="Q29" s="492">
        <f>IF(P29=1,N28,IF(P29=2,N27,IF(P29=3,N26,IF(P29=4,N25,IF(P29=5,N24,IF(P29=6,N23,IF(P29=7,N22,IF(P29=8,#REF!,IF(P29=9,#REF!,IF(P29=10,#REF!,IF(P29=11,#REF!,IF(P29=12,#REF!,IF(P29=13,N16,IF(P29=14,N15,IF(P29=15,N14,IF(P29=16,N13,IF(P29=17,#REF!,IF(P29=18,#REF!,IF(P29=19,#REF!,0)))))))))))))))))))</f>
        <v>0</v>
      </c>
      <c r="R29" s="505">
        <f t="shared" si="9"/>
        <v>1.6627153251606366E-3</v>
      </c>
      <c r="S29" s="483">
        <f t="shared" si="14"/>
        <v>-4.7831891008137672E-3</v>
      </c>
      <c r="T29" s="483">
        <f t="shared" si="10"/>
        <v>3.8829725813704918E-5</v>
      </c>
      <c r="U29" s="489">
        <f>((1+J29)/(V28-J29*(1+W28+X28+Y28+Z28+AA28+AB28)))-1</f>
        <v>1.1323688474802474E-3</v>
      </c>
      <c r="V29" s="488">
        <f t="shared" si="15"/>
        <v>0.96236900452862673</v>
      </c>
      <c r="W29" s="488">
        <f t="shared" si="11"/>
        <v>1.0011323688474802</v>
      </c>
      <c r="X29" s="488">
        <f t="shared" si="16"/>
        <v>1.0008552716583656</v>
      </c>
      <c r="Y29" s="488">
        <f t="shared" si="17"/>
        <v>0.99821679816497655</v>
      </c>
      <c r="Z29" s="488">
        <f t="shared" si="18"/>
        <v>0.993758334709402</v>
      </c>
      <c r="AA29" s="488">
        <f t="shared" si="19"/>
        <v>0.98743325694806083</v>
      </c>
      <c r="AB29" s="488">
        <f t="shared" si="20"/>
        <v>0.97968838884799569</v>
      </c>
      <c r="AC29" s="488">
        <f t="shared" ref="AC29:AC51" si="21">V29/V22</f>
        <v>0.97064935075396475</v>
      </c>
      <c r="AD29" s="488"/>
      <c r="AE29" s="488"/>
      <c r="AF29" s="488"/>
      <c r="AG29" s="488"/>
      <c r="AH29" s="488"/>
      <c r="AI29" s="488"/>
      <c r="AJ29" s="488"/>
      <c r="AK29" s="488"/>
      <c r="AL29" s="488"/>
      <c r="AM29" s="488"/>
      <c r="AN29" s="488"/>
      <c r="AO29" s="488"/>
      <c r="AP29" s="488"/>
      <c r="AQ29" s="488"/>
      <c r="AR29" s="488"/>
      <c r="AS29" s="488"/>
      <c r="AT29" s="488"/>
      <c r="AU29" s="488"/>
      <c r="AV29" s="488"/>
      <c r="AW29" s="488"/>
      <c r="AX29" s="488"/>
      <c r="AY29" s="488"/>
    </row>
    <row r="30" spans="3:51">
      <c r="C30" s="481">
        <v>9</v>
      </c>
      <c r="D30" s="509">
        <f>'Swap and Yield Curves'!D107</f>
        <v>-0.39</v>
      </c>
      <c r="E30" s="492">
        <f t="shared" si="0"/>
        <v>1</v>
      </c>
      <c r="F30" s="492">
        <f t="shared" si="1"/>
        <v>0</v>
      </c>
      <c r="G30" s="492">
        <f t="shared" si="2"/>
        <v>0</v>
      </c>
      <c r="H30" s="492">
        <f t="shared" si="3"/>
        <v>-0.39</v>
      </c>
      <c r="I30" s="459">
        <f t="shared" si="12"/>
        <v>9</v>
      </c>
      <c r="J30" s="482">
        <f t="shared" si="4"/>
        <v>-3.8961975000000315E-3</v>
      </c>
      <c r="K30" s="491">
        <f t="shared" si="13"/>
        <v>-3.9378931520988036E-3</v>
      </c>
      <c r="L30" s="494">
        <f t="shared" si="5"/>
        <v>-3.9378931520988036E-3</v>
      </c>
      <c r="M30" s="483">
        <f>'All Curves'!AD23</f>
        <v>-5.7115815038911236E-3</v>
      </c>
      <c r="N30" s="483">
        <f t="shared" si="6"/>
        <v>1.7736883517923199E-3</v>
      </c>
      <c r="O30" s="492">
        <f t="shared" si="7"/>
        <v>1</v>
      </c>
      <c r="P30" s="492">
        <f t="shared" si="8"/>
        <v>0</v>
      </c>
      <c r="Q30" s="492">
        <f>IF(P30=1,N29,IF(P30=2,N28,IF(P30=3,N27,IF(P30=4,N26,IF(P30=5,N25,IF(P30=6,N24,IF(P30=7,N23,IF(P30=8,N22,IF(P30=9,#REF!,IF(P30=10,#REF!,IF(P30=11,#REF!,IF(P30=12,#REF!,IF(P30=13,#REF!,IF(P30=14,N16,IF(P30=15,N15,IF(P30=16,N14,IF(P30=17,N13,IF(P30=18,#REF!,IF(P30=19,#REF!,0)))))))))))))))))))</f>
        <v>0</v>
      </c>
      <c r="R30" s="505">
        <f t="shared" si="9"/>
        <v>1.7736883517923199E-3</v>
      </c>
      <c r="S30" s="483">
        <f t="shared" si="14"/>
        <v>-3.9378931520988036E-3</v>
      </c>
      <c r="T30" s="483">
        <f t="shared" si="10"/>
        <v>4.1695652098772129E-5</v>
      </c>
      <c r="U30" s="489">
        <f>((1+J30)/(V29-J30*(1+W29+X29+Y29+Z29+AA29+AB29+AC29)))-1</f>
        <v>2.8503722641035623E-3</v>
      </c>
      <c r="V30" s="488">
        <f t="shared" si="15"/>
        <v>0.96511211444696809</v>
      </c>
      <c r="W30" s="488">
        <f t="shared" si="11"/>
        <v>1.0028503722641036</v>
      </c>
      <c r="X30" s="488">
        <f t="shared" si="16"/>
        <v>1.0039859687843393</v>
      </c>
      <c r="Y30" s="488">
        <f t="shared" si="17"/>
        <v>1.0037080817650825</v>
      </c>
      <c r="Z30" s="488">
        <f t="shared" si="18"/>
        <v>1.0010620876400282</v>
      </c>
      <c r="AA30" s="488">
        <f t="shared" si="19"/>
        <v>0.99659091590387938</v>
      </c>
      <c r="AB30" s="488">
        <f t="shared" si="20"/>
        <v>0.99024780931631906</v>
      </c>
      <c r="AC30" s="488">
        <f t="shared" si="21"/>
        <v>0.98248086545903235</v>
      </c>
      <c r="AD30" s="488">
        <f t="shared" ref="AD30:AD51" si="22">V30/V22</f>
        <v>0.97341606274152392</v>
      </c>
      <c r="AE30" s="488"/>
      <c r="AF30" s="488"/>
      <c r="AG30" s="488"/>
      <c r="AH30" s="488"/>
      <c r="AI30" s="488"/>
      <c r="AJ30" s="488"/>
      <c r="AK30" s="488"/>
      <c r="AL30" s="488"/>
      <c r="AM30" s="488"/>
      <c r="AN30" s="488"/>
      <c r="AO30" s="488"/>
      <c r="AP30" s="488"/>
      <c r="AQ30" s="488"/>
      <c r="AR30" s="488"/>
      <c r="AS30" s="488"/>
      <c r="AT30" s="488"/>
      <c r="AU30" s="488"/>
      <c r="AV30" s="488"/>
      <c r="AW30" s="488"/>
      <c r="AX30" s="488"/>
      <c r="AY30" s="488"/>
    </row>
    <row r="31" spans="3:51">
      <c r="C31" s="481">
        <v>10</v>
      </c>
      <c r="D31" s="509">
        <f>'Swap and Yield Curves'!D108</f>
        <v>-0.31</v>
      </c>
      <c r="E31" s="492">
        <f t="shared" si="0"/>
        <v>1</v>
      </c>
      <c r="F31" s="492">
        <f t="shared" si="1"/>
        <v>0</v>
      </c>
      <c r="G31" s="492">
        <f t="shared" si="2"/>
        <v>0</v>
      </c>
      <c r="H31" s="492">
        <f t="shared" si="3"/>
        <v>-0.31</v>
      </c>
      <c r="I31" s="459">
        <f t="shared" si="12"/>
        <v>10</v>
      </c>
      <c r="J31" s="482">
        <f t="shared" si="4"/>
        <v>-3.0975975000000489E-3</v>
      </c>
      <c r="K31" s="491">
        <f t="shared" si="13"/>
        <v>-3.1387418630111075E-3</v>
      </c>
      <c r="L31" s="494">
        <f t="shared" si="5"/>
        <v>-3.1387418630111075E-3</v>
      </c>
      <c r="M31" s="483">
        <f>'All Curves'!AD24</f>
        <v>-5.0257853419485334E-3</v>
      </c>
      <c r="N31" s="483">
        <f t="shared" si="6"/>
        <v>1.8870434789374259E-3</v>
      </c>
      <c r="O31" s="492">
        <f t="shared" si="7"/>
        <v>1</v>
      </c>
      <c r="P31" s="492">
        <f t="shared" si="8"/>
        <v>0</v>
      </c>
      <c r="Q31" s="492">
        <f>IF(P31=1,N30,IF(P31=2,N29,IF(P31=3,N28,IF(P31=4,N27,IF(P31=5,N26,IF(P31=6,N25,IF(P31=7,N24,IF(P31=8,N23,IF(P31=9,N22,IF(P31=10,#REF!,IF(P31=11,#REF!,IF(P31=12,#REF!,IF(P31=13,#REF!,IF(P31=14,#REF!,IF(P31=15,N16,IF(P31=16,N15,IF(P31=17,N14,IF(P31=18,N13,IF(P31=19,#REF!,0)))))))))))))))))))</f>
        <v>0</v>
      </c>
      <c r="R31" s="505">
        <f t="shared" si="9"/>
        <v>1.8870434789374259E-3</v>
      </c>
      <c r="S31" s="483">
        <f t="shared" si="14"/>
        <v>-3.1387418630111075E-3</v>
      </c>
      <c r="T31" s="483">
        <f t="shared" si="10"/>
        <v>4.1144363011058616E-5</v>
      </c>
      <c r="U31" s="489">
        <f>((1+J31)/(V30-J31*(1+W30+X30+Y30+Z30+AA30+AB30+AC30+AD30)))-1</f>
        <v>4.0825340988732695E-3</v>
      </c>
      <c r="V31" s="488">
        <f t="shared" si="15"/>
        <v>0.96905221756343352</v>
      </c>
      <c r="W31" s="488">
        <f t="shared" si="11"/>
        <v>1.0040825340988733</v>
      </c>
      <c r="X31" s="488">
        <f t="shared" si="16"/>
        <v>1.0069445431049395</v>
      </c>
      <c r="Y31" s="488">
        <f t="shared" si="17"/>
        <v>1.0080847757366918</v>
      </c>
      <c r="Z31" s="488">
        <f t="shared" si="18"/>
        <v>1.0078057542342032</v>
      </c>
      <c r="AA31" s="488">
        <f t="shared" si="19"/>
        <v>1.0051489577479078</v>
      </c>
      <c r="AB31" s="488">
        <f t="shared" si="20"/>
        <v>1.0006595323006844</v>
      </c>
      <c r="AC31" s="488">
        <f t="shared" si="21"/>
        <v>0.99429052976418741</v>
      </c>
      <c r="AD31" s="488">
        <f t="shared" si="22"/>
        <v>0.9864918770937593</v>
      </c>
      <c r="AE31" s="488">
        <f t="shared" ref="AE31:AE51" si="23">V31/V22</f>
        <v>0.97739006701005715</v>
      </c>
      <c r="AF31" s="488"/>
      <c r="AG31" s="488"/>
      <c r="AH31" s="488"/>
      <c r="AI31" s="488"/>
      <c r="AJ31" s="488"/>
      <c r="AK31" s="488"/>
      <c r="AL31" s="488"/>
      <c r="AM31" s="488"/>
      <c r="AN31" s="488"/>
      <c r="AO31" s="488"/>
      <c r="AP31" s="488"/>
      <c r="AQ31" s="488"/>
      <c r="AR31" s="488"/>
      <c r="AS31" s="488"/>
      <c r="AT31" s="488"/>
      <c r="AU31" s="488"/>
      <c r="AV31" s="488"/>
      <c r="AW31" s="488"/>
      <c r="AX31" s="488"/>
      <c r="AY31" s="488"/>
    </row>
    <row r="32" spans="3:51">
      <c r="C32" s="481">
        <v>11</v>
      </c>
      <c r="D32" s="509">
        <f>'Swap and Yield Curves'!D109</f>
        <v>-0.23</v>
      </c>
      <c r="E32" s="492">
        <f t="shared" si="0"/>
        <v>1</v>
      </c>
      <c r="F32" s="492">
        <f t="shared" si="1"/>
        <v>0</v>
      </c>
      <c r="G32" s="492">
        <f t="shared" si="2"/>
        <v>0</v>
      </c>
      <c r="H32" s="492">
        <f t="shared" si="3"/>
        <v>-0.23</v>
      </c>
      <c r="I32" s="459">
        <f t="shared" si="12"/>
        <v>11</v>
      </c>
      <c r="J32" s="482">
        <f t="shared" si="4"/>
        <v>-2.2986775000000126E-3</v>
      </c>
      <c r="K32" s="491">
        <f t="shared" si="13"/>
        <v>-2.3358267148478884E-3</v>
      </c>
      <c r="L32" s="494">
        <f t="shared" si="5"/>
        <v>-2.3358267148478884E-3</v>
      </c>
      <c r="M32" s="483">
        <f>'All Curves'!AD25</f>
        <v>-4.3868498024570643E-3</v>
      </c>
      <c r="N32" s="483">
        <f t="shared" si="6"/>
        <v>2.0510230876091759E-3</v>
      </c>
      <c r="O32" s="492">
        <f t="shared" si="7"/>
        <v>1</v>
      </c>
      <c r="P32" s="492">
        <f t="shared" si="8"/>
        <v>0</v>
      </c>
      <c r="Q32" s="492">
        <f>IF(P32=1,N31,IF(P32=2,N30,IF(P32=3,N29,IF(P32=4,N28,IF(P32=5,N27,IF(P32=6,N26,IF(P32=7,N25,IF(P32=8,N24,IF(P32=9,N23,IF(P32=10,N22,IF(P32=11,#REF!,IF(P32=12,#REF!,IF(P32=13,#REF!,IF(P32=14,#REF!,IF(P32=15,#REF!,IF(P32=16,N16,IF(P32=17,N15,IF(P32=18,N14,IF(P32=19,N13,0)))))))))))))))))))</f>
        <v>0</v>
      </c>
      <c r="R32" s="505">
        <f t="shared" si="9"/>
        <v>2.0510230876091759E-3</v>
      </c>
      <c r="S32" s="483">
        <f t="shared" si="14"/>
        <v>-2.3358267148478884E-3</v>
      </c>
      <c r="T32" s="483">
        <f t="shared" si="10"/>
        <v>3.7149214847875811E-5</v>
      </c>
      <c r="U32" s="489">
        <f>((1+J32)/(V31-J32*(1+W31+X31+Y31+Z31+AA31+AB31+AC31+AD31+AE31)))-1</f>
        <v>5.7289794921691062E-3</v>
      </c>
      <c r="V32" s="488">
        <f t="shared" si="15"/>
        <v>0.97460389784469537</v>
      </c>
      <c r="W32" s="488">
        <f t="shared" si="11"/>
        <v>1.0057289794921691</v>
      </c>
      <c r="X32" s="488">
        <f t="shared" si="16"/>
        <v>1.0098349023451709</v>
      </c>
      <c r="Y32" s="488">
        <f t="shared" si="17"/>
        <v>1.0127133077421393</v>
      </c>
      <c r="Z32" s="488">
        <f t="shared" si="18"/>
        <v>1.0138600727432552</v>
      </c>
      <c r="AA32" s="488">
        <f t="shared" si="19"/>
        <v>1.0135794527323008</v>
      </c>
      <c r="AB32" s="488">
        <f t="shared" si="20"/>
        <v>1.0109074355134207</v>
      </c>
      <c r="AC32" s="488">
        <f t="shared" si="21"/>
        <v>1.0063922902398785</v>
      </c>
      <c r="AD32" s="488">
        <f t="shared" si="22"/>
        <v>0.99998679981846439</v>
      </c>
      <c r="AE32" s="488">
        <f t="shared" si="23"/>
        <v>0.99214346882682081</v>
      </c>
      <c r="AF32" s="488">
        <f t="shared" ref="AF32:AF51" si="24">V32/V22</f>
        <v>0.98298951465980755</v>
      </c>
      <c r="AG32" s="488"/>
      <c r="AH32" s="488"/>
      <c r="AI32" s="488"/>
      <c r="AJ32" s="488"/>
      <c r="AK32" s="488"/>
      <c r="AL32" s="488"/>
      <c r="AM32" s="488"/>
      <c r="AN32" s="488"/>
      <c r="AO32" s="488"/>
      <c r="AP32" s="488"/>
      <c r="AQ32" s="488"/>
      <c r="AR32" s="488"/>
      <c r="AS32" s="488"/>
      <c r="AT32" s="488"/>
      <c r="AU32" s="488"/>
      <c r="AV32" s="488"/>
      <c r="AW32" s="488"/>
      <c r="AX32" s="488"/>
      <c r="AY32" s="488"/>
    </row>
    <row r="33" spans="3:51">
      <c r="C33" s="481">
        <v>12</v>
      </c>
      <c r="D33" s="509">
        <f>'Swap and Yield Curves'!D110</f>
        <v>-0.1525</v>
      </c>
      <c r="E33" s="492">
        <f t="shared" si="0"/>
        <v>1</v>
      </c>
      <c r="F33" s="492">
        <f t="shared" si="1"/>
        <v>0</v>
      </c>
      <c r="G33" s="492">
        <f t="shared" si="2"/>
        <v>0</v>
      </c>
      <c r="H33" s="492">
        <f t="shared" si="3"/>
        <v>-0.1525</v>
      </c>
      <c r="I33" s="459">
        <f t="shared" si="12"/>
        <v>12</v>
      </c>
      <c r="J33" s="482">
        <f t="shared" si="4"/>
        <v>-1.5244185937499655E-3</v>
      </c>
      <c r="K33" s="491">
        <f t="shared" si="13"/>
        <v>-1.5536931443407287E-3</v>
      </c>
      <c r="L33" s="494">
        <f t="shared" si="5"/>
        <v>-1.5536931443407287E-3</v>
      </c>
      <c r="M33" s="483">
        <f>'All Curves'!AD26</f>
        <v>-3.793155757747399E-3</v>
      </c>
      <c r="N33" s="483">
        <f t="shared" si="6"/>
        <v>2.2394626134066703E-3</v>
      </c>
      <c r="O33" s="492">
        <f t="shared" si="7"/>
        <v>1</v>
      </c>
      <c r="P33" s="492">
        <f t="shared" si="8"/>
        <v>0</v>
      </c>
      <c r="Q33" s="492">
        <f>IF(P33=1,N32,IF(P33=2,N31,IF(P33=3,N30,IF(P33=4,N29,IF(P33=5,N28,IF(P33=6,N27,IF(P33=7,N26,IF(P33=8,N25,IF(P33=9,N24,IF(P33=10,N23,IF(P33=11,N22,IF(P33=12,#REF!,IF(P33=13,#REF!,IF(P33=14,#REF!,IF(P33=15,#REF!,IF(P33=16,#REF!,IF(P33=17,N16,IF(P33=18,N15,IF(P33=19,N14,0)))))))))))))))))))</f>
        <v>0</v>
      </c>
      <c r="R33" s="505">
        <f t="shared" si="9"/>
        <v>2.2394626134066703E-3</v>
      </c>
      <c r="S33" s="483">
        <f t="shared" si="14"/>
        <v>-1.5536931443407287E-3</v>
      </c>
      <c r="T33" s="483">
        <f t="shared" si="10"/>
        <v>2.9274550590763226E-5</v>
      </c>
      <c r="U33" s="489">
        <f>((1+J33)/(V32-J33*(1+W32+X32+Y32+Z32+AA32+AB32+AC32+AD32+AE32+AF32)))-1</f>
        <v>7.0903509731907732E-3</v>
      </c>
      <c r="V33" s="488">
        <f t="shared" si="15"/>
        <v>0.98151418154025405</v>
      </c>
      <c r="W33" s="488">
        <f t="shared" si="11"/>
        <v>1.0070903509731908</v>
      </c>
      <c r="X33" s="488">
        <f t="shared" si="16"/>
        <v>1.0128599509406775</v>
      </c>
      <c r="Y33" s="488">
        <f t="shared" si="17"/>
        <v>1.0169949862277761</v>
      </c>
      <c r="Z33" s="488">
        <f t="shared" si="18"/>
        <v>1.0198938005292519</v>
      </c>
      <c r="AA33" s="488">
        <f t="shared" si="19"/>
        <v>1.0210486964967096</v>
      </c>
      <c r="AB33" s="488">
        <f t="shared" si="20"/>
        <v>1.0207660867913875</v>
      </c>
      <c r="AC33" s="488">
        <f t="shared" si="21"/>
        <v>1.0180751240326191</v>
      </c>
      <c r="AD33" s="488">
        <f t="shared" si="22"/>
        <v>1.0135279647943924</v>
      </c>
      <c r="AE33" s="488">
        <f t="shared" si="23"/>
        <v>1.0070770571977352</v>
      </c>
      <c r="AF33" s="488">
        <f t="shared" si="24"/>
        <v>0.999178114236562</v>
      </c>
      <c r="AG33" s="488">
        <f t="shared" ref="AG33:AG51" si="25">V33/V22</f>
        <v>0.98995925532171203</v>
      </c>
      <c r="AH33" s="488"/>
      <c r="AI33" s="488"/>
      <c r="AJ33" s="488"/>
      <c r="AK33" s="488"/>
      <c r="AL33" s="488"/>
      <c r="AM33" s="488"/>
      <c r="AN33" s="488"/>
      <c r="AO33" s="488"/>
      <c r="AP33" s="488"/>
      <c r="AQ33" s="488"/>
      <c r="AR33" s="488"/>
      <c r="AS33" s="488"/>
      <c r="AT33" s="488"/>
      <c r="AU33" s="488"/>
      <c r="AV33" s="488"/>
      <c r="AW33" s="488"/>
      <c r="AX33" s="488"/>
      <c r="AY33" s="488"/>
    </row>
    <row r="34" spans="3:51">
      <c r="C34" s="481">
        <v>13</v>
      </c>
      <c r="D34" s="509" t="str">
        <f>'Swap and Yield Curves'!D111</f>
        <v>#N/A N/A</v>
      </c>
      <c r="E34" s="492" t="str">
        <f t="shared" si="0"/>
        <v/>
      </c>
      <c r="F34" s="492">
        <f t="shared" si="1"/>
        <v>1</v>
      </c>
      <c r="G34" s="492">
        <f t="shared" si="2"/>
        <v>-0.1525</v>
      </c>
      <c r="H34" s="492">
        <f t="shared" si="3"/>
        <v>-9.5833333333333326E-2</v>
      </c>
      <c r="I34" s="459">
        <f t="shared" si="12"/>
        <v>13</v>
      </c>
      <c r="J34" s="482">
        <f t="shared" si="4"/>
        <v>-9.5810373263893744E-4</v>
      </c>
      <c r="K34" s="491">
        <f t="shared" si="13"/>
        <v>-9.7846633229570212E-4</v>
      </c>
      <c r="L34" s="494" t="str">
        <f t="shared" si="5"/>
        <v/>
      </c>
      <c r="M34" s="483">
        <f>'All Curves'!AD27</f>
        <v>-3.2431298640321106E-3</v>
      </c>
      <c r="N34" s="483" t="str">
        <f t="shared" si="6"/>
        <v/>
      </c>
      <c r="O34" s="492" t="str">
        <f t="shared" si="7"/>
        <v/>
      </c>
      <c r="P34" s="492">
        <f t="shared" si="8"/>
        <v>1</v>
      </c>
      <c r="Q34" s="492">
        <f>IF(P34=1,N33,IF(P34=2,N32,IF(P34=3,N31,IF(P34=4,N30,IF(P34=5,N29,IF(P34=6,N28,IF(P34=7,N27,IF(P34=8,N26,IF(P34=9,N25,IF(P34=10,N24,IF(P34=11,N23,IF(P34=12,N22,IF(P34=13,#REF!,IF(P34=14,#REF!,IF(P34=15,#REF!,IF(P34=16,#REF!,IF(P34=17,#REF!,IF(P34=18,N16,IF(P34=19,N15,0)))))))))))))))))))</f>
        <v>2.2394626134066703E-3</v>
      </c>
      <c r="R34" s="505">
        <f t="shared" si="9"/>
        <v>2.3088418392209972E-3</v>
      </c>
      <c r="S34" s="483">
        <f t="shared" si="14"/>
        <v>-9.3428802481111337E-4</v>
      </c>
      <c r="T34" s="483">
        <f t="shared" si="10"/>
        <v>2.0362599656764679E-5</v>
      </c>
      <c r="U34" s="489">
        <f>((1+J34)/(V33-J34*(1+W33+X33+Y33+Z33+AA33+AB33+AC33+AD33+AE33+AF33+AG33)))-1</f>
        <v>5.9501593570421285E-3</v>
      </c>
      <c r="V34" s="488">
        <f t="shared" si="15"/>
        <v>0.98735434733161531</v>
      </c>
      <c r="W34" s="488">
        <f t="shared" si="11"/>
        <v>1.0059501593570421</v>
      </c>
      <c r="X34" s="488">
        <f t="shared" si="16"/>
        <v>1.0130826990484207</v>
      </c>
      <c r="Y34" s="488">
        <f t="shared" si="17"/>
        <v>1.0188866290551404</v>
      </c>
      <c r="Z34" s="488">
        <f t="shared" si="18"/>
        <v>1.0230462684611441</v>
      </c>
      <c r="AA34" s="488">
        <f t="shared" si="19"/>
        <v>1.0259623311696604</v>
      </c>
      <c r="AB34" s="488">
        <f t="shared" si="20"/>
        <v>1.0271240989521651</v>
      </c>
      <c r="AC34" s="488">
        <f t="shared" si="21"/>
        <v>1.0268398076740606</v>
      </c>
      <c r="AD34" s="488">
        <f t="shared" si="22"/>
        <v>1.0241328332580537</v>
      </c>
      <c r="AE34" s="488">
        <f t="shared" si="23"/>
        <v>1.0195586176977376</v>
      </c>
      <c r="AF34" s="488">
        <f t="shared" si="24"/>
        <v>1.0130693261728827</v>
      </c>
      <c r="AG34" s="488">
        <f t="shared" si="25"/>
        <v>1.0051233832423383</v>
      </c>
      <c r="AH34" s="488">
        <f t="shared" ref="AH34:AH51" si="26">V34/V22</f>
        <v>0.99584967064785501</v>
      </c>
      <c r="AI34" s="488"/>
      <c r="AJ34" s="488"/>
      <c r="AK34" s="488"/>
      <c r="AL34" s="488"/>
      <c r="AM34" s="488"/>
      <c r="AN34" s="488"/>
      <c r="AO34" s="488"/>
      <c r="AP34" s="488"/>
      <c r="AQ34" s="488"/>
      <c r="AR34" s="488"/>
      <c r="AS34" s="488"/>
      <c r="AT34" s="488"/>
      <c r="AU34" s="488"/>
      <c r="AV34" s="488"/>
      <c r="AW34" s="488"/>
      <c r="AX34" s="488"/>
      <c r="AY34" s="488"/>
    </row>
    <row r="35" spans="3:51">
      <c r="C35" s="481">
        <v>14</v>
      </c>
      <c r="D35" s="509" t="str">
        <f>'Swap and Yield Curves'!D112</f>
        <v>#N/A N/A</v>
      </c>
      <c r="E35" s="492" t="str">
        <f t="shared" si="0"/>
        <v/>
      </c>
      <c r="F35" s="492">
        <f t="shared" si="1"/>
        <v>2</v>
      </c>
      <c r="G35" s="492">
        <f t="shared" si="2"/>
        <v>-0.1525</v>
      </c>
      <c r="H35" s="492">
        <f t="shared" si="3"/>
        <v>-3.9166666666666662E-2</v>
      </c>
      <c r="I35" s="459">
        <f t="shared" si="12"/>
        <v>14</v>
      </c>
      <c r="J35" s="482">
        <f t="shared" si="4"/>
        <v>-3.9162831597217007E-4</v>
      </c>
      <c r="K35" s="491">
        <f t="shared" si="13"/>
        <v>-4.0086297679731153E-4</v>
      </c>
      <c r="L35" s="494" t="str">
        <f t="shared" si="5"/>
        <v/>
      </c>
      <c r="M35" s="483">
        <f>'All Curves'!AD28</f>
        <v>-2.7352433661130063E-3</v>
      </c>
      <c r="N35" s="483" t="str">
        <f t="shared" si="6"/>
        <v/>
      </c>
      <c r="O35" s="492" t="str">
        <f t="shared" si="7"/>
        <v/>
      </c>
      <c r="P35" s="492">
        <f t="shared" si="8"/>
        <v>2</v>
      </c>
      <c r="Q35" s="492">
        <f>IF(P35=1,N34,IF(P35=2,N33,IF(P35=3,N32,IF(P35=4,N31,IF(P35=5,N30,IF(P35=6,N29,IF(P35=7,N28,IF(P35=8,N27,IF(P35=9,N26,IF(P35=10,N25,IF(P35=11,N24,IF(P35=12,N23,IF(P35=13,N22,IF(P35=14,#REF!,IF(P35=15,#REF!,IF(P35=16,#REF!,IF(P35=17,#REF!,IF(P35=18,#REF!,IF(P35=19,N16,0)))))))))))))))))))</f>
        <v>2.2394626134066703E-3</v>
      </c>
      <c r="R35" s="505">
        <f t="shared" si="9"/>
        <v>2.3782210650353242E-3</v>
      </c>
      <c r="S35" s="483">
        <f t="shared" si="14"/>
        <v>-3.5702230107768212E-4</v>
      </c>
      <c r="T35" s="483">
        <f t="shared" si="10"/>
        <v>9.2346608251414608E-6</v>
      </c>
      <c r="U35" s="489">
        <f>((1+J35)/(V34-J35*(1+W34+X34+Y34+Z34+AA34+AB34+AC34+AD34+AE34+AF34+AG34+AH34)))-1</f>
        <v>7.1384407061900745E-3</v>
      </c>
      <c r="V35" s="488">
        <f t="shared" si="15"/>
        <v>0.99440251779604105</v>
      </c>
      <c r="W35" s="488">
        <f t="shared" si="11"/>
        <v>1.0071384407061901</v>
      </c>
      <c r="X35" s="488">
        <f t="shared" si="16"/>
        <v>1.0131310749229947</v>
      </c>
      <c r="Y35" s="488">
        <f t="shared" si="17"/>
        <v>1.020314529826045</v>
      </c>
      <c r="Z35" s="488">
        <f t="shared" si="18"/>
        <v>1.0261598908429803</v>
      </c>
      <c r="AA35" s="488">
        <f t="shared" si="19"/>
        <v>1.030349223588243</v>
      </c>
      <c r="AB35" s="488">
        <f t="shared" si="20"/>
        <v>1.0332861024374995</v>
      </c>
      <c r="AC35" s="488">
        <f t="shared" si="21"/>
        <v>1.0344561634304341</v>
      </c>
      <c r="AD35" s="488">
        <f t="shared" si="22"/>
        <v>1.0341698427558974</v>
      </c>
      <c r="AE35" s="488">
        <f t="shared" si="23"/>
        <v>1.0314435447635286</v>
      </c>
      <c r="AF35" s="488">
        <f t="shared" si="24"/>
        <v>1.0268366764366581</v>
      </c>
      <c r="AG35" s="488">
        <f t="shared" si="25"/>
        <v>1.0203010614890278</v>
      </c>
      <c r="AH35" s="488">
        <f t="shared" si="26"/>
        <v>1.0122983969160189</v>
      </c>
      <c r="AI35" s="488">
        <f t="shared" ref="AI35:AI51" si="27">V35/V22</f>
        <v>1.0029584844740536</v>
      </c>
      <c r="AJ35" s="488"/>
      <c r="AK35" s="488"/>
      <c r="AL35" s="488"/>
      <c r="AM35" s="488"/>
      <c r="AN35" s="488"/>
      <c r="AO35" s="488"/>
      <c r="AP35" s="488"/>
      <c r="AQ35" s="488"/>
      <c r="AR35" s="488"/>
      <c r="AS35" s="488"/>
      <c r="AT35" s="488"/>
      <c r="AU35" s="488"/>
      <c r="AV35" s="488"/>
      <c r="AW35" s="488"/>
      <c r="AX35" s="488"/>
      <c r="AY35" s="488"/>
    </row>
    <row r="36" spans="3:51">
      <c r="C36" s="481">
        <v>15</v>
      </c>
      <c r="D36" s="509">
        <f>'Swap and Yield Curves'!D113</f>
        <v>1.7500000000000002E-2</v>
      </c>
      <c r="E36" s="492">
        <f t="shared" si="0"/>
        <v>1</v>
      </c>
      <c r="F36" s="492">
        <f t="shared" si="1"/>
        <v>0</v>
      </c>
      <c r="G36" s="492">
        <f t="shared" si="2"/>
        <v>0</v>
      </c>
      <c r="H36" s="492">
        <f t="shared" si="3"/>
        <v>1.7500000000000002E-2</v>
      </c>
      <c r="I36" s="459">
        <f t="shared" si="12"/>
        <v>15</v>
      </c>
      <c r="J36" s="482">
        <f t="shared" si="4"/>
        <v>1.7500765625011461E-4</v>
      </c>
      <c r="K36" s="491">
        <f t="shared" si="13"/>
        <v>1.7958935867801173E-4</v>
      </c>
      <c r="L36" s="494">
        <f t="shared" si="5"/>
        <v>1.7958935867801173E-4</v>
      </c>
      <c r="M36" s="483">
        <f>'All Curves'!AD29</f>
        <v>-2.2680109321716393E-3</v>
      </c>
      <c r="N36" s="483">
        <f t="shared" si="6"/>
        <v>2.4476002908496511E-3</v>
      </c>
      <c r="O36" s="492">
        <f t="shared" si="7"/>
        <v>1</v>
      </c>
      <c r="P36" s="492">
        <f t="shared" si="8"/>
        <v>0</v>
      </c>
      <c r="Q36" s="492">
        <f>IF(P36=1,N35,IF(P36=2,N34,IF(P36=3,N33,IF(P36=4,N32,IF(P36=5,N31,IF(P36=6,N30,IF(P36=7,N29,IF(P36=8,N28,IF(P36=9,N27,IF(P36=10,N26,IF(P36=11,N25,IF(P36=12,N24,IF(P36=13,N23,IF(P36=14,N22,IF(P36=15,#REF!,IF(P36=16,#REF!,IF(P36=17,#REF!,IF(P36=18,#REF!,IF(P36=19,#REF!,0)))))))))))))))))))</f>
        <v>0</v>
      </c>
      <c r="R36" s="505">
        <f t="shared" si="9"/>
        <v>2.4476002908496511E-3</v>
      </c>
      <c r="S36" s="483">
        <f t="shared" si="14"/>
        <v>1.7958935867801173E-4</v>
      </c>
      <c r="T36" s="483">
        <f t="shared" si="10"/>
        <v>-4.5817024278971274E-6</v>
      </c>
      <c r="U36" s="489">
        <f>((1+J36)/(V35-J36*(1+W35+X35+Y35+Z35+AA35+AB35+AC35+AD35+AE35+AF35+AG35+AH35+AI35)))-1</f>
        <v>8.3414025688899329E-3</v>
      </c>
      <c r="V36" s="488">
        <f t="shared" si="15"/>
        <v>1.0026972295124956</v>
      </c>
      <c r="W36" s="488">
        <f t="shared" si="11"/>
        <v>1.0083414025688899</v>
      </c>
      <c r="X36" s="488">
        <f t="shared" si="16"/>
        <v>1.0155393878827246</v>
      </c>
      <c r="Y36" s="488">
        <f t="shared" si="17"/>
        <v>1.0215820090739798</v>
      </c>
      <c r="Z36" s="488">
        <f t="shared" si="18"/>
        <v>1.0288253840662116</v>
      </c>
      <c r="AA36" s="488">
        <f t="shared" si="19"/>
        <v>1.0347195035925498</v>
      </c>
      <c r="AB36" s="488">
        <f t="shared" si="20"/>
        <v>1.0389437812487357</v>
      </c>
      <c r="AC36" s="488">
        <f t="shared" si="21"/>
        <v>1.04190515778677</v>
      </c>
      <c r="AD36" s="488">
        <f t="shared" si="22"/>
        <v>1.0430849787294767</v>
      </c>
      <c r="AE36" s="488">
        <f t="shared" si="23"/>
        <v>1.0427962697389299</v>
      </c>
      <c r="AF36" s="488">
        <f t="shared" si="24"/>
        <v>1.0400472305974842</v>
      </c>
      <c r="AG36" s="488">
        <f t="shared" si="25"/>
        <v>1.0354019345273173</v>
      </c>
      <c r="AH36" s="488">
        <f t="shared" si="26"/>
        <v>1.0288118033843736</v>
      </c>
      <c r="AI36" s="488">
        <f t="shared" si="27"/>
        <v>1.0207423853645374</v>
      </c>
      <c r="AJ36" s="488">
        <f t="shared" ref="AJ36:AJ51" si="28">V36/V22</f>
        <v>1.0113245649529354</v>
      </c>
      <c r="AK36" s="488"/>
      <c r="AL36" s="488"/>
      <c r="AM36" s="488"/>
      <c r="AN36" s="488"/>
      <c r="AO36" s="488"/>
      <c r="AP36" s="488"/>
      <c r="AQ36" s="488"/>
      <c r="AR36" s="488"/>
      <c r="AS36" s="488"/>
      <c r="AT36" s="488"/>
      <c r="AU36" s="488"/>
      <c r="AV36" s="488"/>
      <c r="AW36" s="488"/>
      <c r="AX36" s="488"/>
      <c r="AY36" s="488"/>
    </row>
    <row r="37" spans="3:51">
      <c r="C37" s="481">
        <v>16</v>
      </c>
      <c r="D37" s="509" t="str">
        <f>'Swap and Yield Curves'!D114</f>
        <v>#N/A N/A</v>
      </c>
      <c r="E37" s="492" t="str">
        <f t="shared" si="0"/>
        <v/>
      </c>
      <c r="F37" s="492">
        <f t="shared" si="1"/>
        <v>1</v>
      </c>
      <c r="G37" s="492">
        <f t="shared" si="2"/>
        <v>1.7500000000000002E-2</v>
      </c>
      <c r="H37" s="492">
        <f t="shared" si="3"/>
        <v>4.9999999999999989E-2</v>
      </c>
      <c r="I37" s="459">
        <f t="shared" si="12"/>
        <v>16</v>
      </c>
      <c r="J37" s="482">
        <f t="shared" si="4"/>
        <v>5.0006250000023122E-4</v>
      </c>
      <c r="K37" s="491">
        <f t="shared" si="13"/>
        <v>5.1362521126008254E-4</v>
      </c>
      <c r="L37" s="494" t="str">
        <f t="shared" si="5"/>
        <v/>
      </c>
      <c r="M37" s="483">
        <f>'All Curves'!AD30</f>
        <v>-1.8399895178974821E-3</v>
      </c>
      <c r="N37" s="483" t="str">
        <f t="shared" si="6"/>
        <v/>
      </c>
      <c r="O37" s="492" t="str">
        <f t="shared" si="7"/>
        <v/>
      </c>
      <c r="P37" s="492">
        <f t="shared" si="8"/>
        <v>1</v>
      </c>
      <c r="Q37" s="492">
        <f>IF(P37=1,N36,IF(P37=2,N35,IF(P37=3,N34,IF(P37=4,N33,IF(P37=5,N32,IF(P37=6,N31,IF(P37=7,N30,IF(P37=8,N29,IF(P37=9,N28,IF(P37=10,N27,IF(P37=11,N26,IF(P37=12,N25,IF(P37=13,N24,IF(P37=14,N23,IF(P37=15,N22,IF(P37=16,#REF!,IF(P37=17,#REF!,IF(P37=18,#REF!,IF(P37=19,#REF!,0)))))))))))))))))))</f>
        <v>2.4476002908496511E-3</v>
      </c>
      <c r="R37" s="505">
        <f t="shared" si="9"/>
        <v>2.4286449517826499E-3</v>
      </c>
      <c r="S37" s="483">
        <f t="shared" si="14"/>
        <v>5.8865543388516781E-4</v>
      </c>
      <c r="T37" s="483">
        <f t="shared" si="10"/>
        <v>-1.3562711259851312E-5</v>
      </c>
      <c r="U37" s="489">
        <f>((1+J37)/(V36-J37*(1+W36+X36+Y36+Z36+AA36+AB36+AC36+AD36+AE36+AF36+AG36+AH36+AI36+AJ36)))-1</f>
        <v>5.5375710772180842E-3</v>
      </c>
      <c r="V37" s="488">
        <f t="shared" si="15"/>
        <v>1.0082497366898506</v>
      </c>
      <c r="W37" s="488">
        <f t="shared" si="11"/>
        <v>1.0055375710772181</v>
      </c>
      <c r="X37" s="488">
        <f t="shared" si="16"/>
        <v>1.0139251647557168</v>
      </c>
      <c r="Y37" s="488">
        <f t="shared" si="17"/>
        <v>1.0211630094248396</v>
      </c>
      <c r="Z37" s="488">
        <f t="shared" si="18"/>
        <v>1.0272390920604342</v>
      </c>
      <c r="AA37" s="488">
        <f t="shared" si="19"/>
        <v>1.0345225777565243</v>
      </c>
      <c r="AB37" s="488">
        <f t="shared" si="20"/>
        <v>1.0404493363886773</v>
      </c>
      <c r="AC37" s="488">
        <f t="shared" si="21"/>
        <v>1.0446970062826342</v>
      </c>
      <c r="AD37" s="488">
        <f t="shared" si="22"/>
        <v>1.0476747816537342</v>
      </c>
      <c r="AE37" s="488">
        <f t="shared" si="23"/>
        <v>1.0488611359387696</v>
      </c>
      <c r="AF37" s="488">
        <f t="shared" si="24"/>
        <v>1.048570828201667</v>
      </c>
      <c r="AG37" s="488">
        <f t="shared" si="25"/>
        <v>1.0458065660605815</v>
      </c>
      <c r="AH37" s="488">
        <f t="shared" si="26"/>
        <v>1.0411355463332512</v>
      </c>
      <c r="AI37" s="488">
        <f t="shared" si="27"/>
        <v>1.0345089218706953</v>
      </c>
      <c r="AJ37" s="488">
        <f t="shared" si="28"/>
        <v>1.0263948188750225</v>
      </c>
      <c r="AK37" s="496">
        <f t="shared" ref="AK37:AK51" si="29">V37/V22</f>
        <v>1.016924846613499</v>
      </c>
      <c r="AL37" s="488"/>
      <c r="AM37" s="488"/>
      <c r="AN37" s="488"/>
      <c r="AO37" s="488"/>
      <c r="AP37" s="488"/>
      <c r="AQ37" s="488"/>
      <c r="AR37" s="488"/>
      <c r="AS37" s="488"/>
      <c r="AT37" s="488"/>
      <c r="AU37" s="488"/>
      <c r="AV37" s="488"/>
      <c r="AW37" s="488"/>
      <c r="AX37" s="488"/>
      <c r="AY37" s="488"/>
    </row>
    <row r="38" spans="3:51">
      <c r="C38" s="481">
        <v>17</v>
      </c>
      <c r="D38" s="509" t="str">
        <f>'Swap and Yield Curves'!D115</f>
        <v>#N/A N/A</v>
      </c>
      <c r="E38" s="492" t="str">
        <f t="shared" si="0"/>
        <v/>
      </c>
      <c r="F38" s="492">
        <f t="shared" si="1"/>
        <v>2</v>
      </c>
      <c r="G38" s="492">
        <f t="shared" si="2"/>
        <v>1.7500000000000002E-2</v>
      </c>
      <c r="H38" s="492">
        <f t="shared" si="3"/>
        <v>8.249999999999999E-2</v>
      </c>
      <c r="I38" s="459">
        <f t="shared" si="12"/>
        <v>17</v>
      </c>
      <c r="J38" s="482">
        <f t="shared" si="4"/>
        <v>8.2517015624983259E-4</v>
      </c>
      <c r="K38" s="491">
        <f t="shared" si="13"/>
        <v>8.4851231537896865E-4</v>
      </c>
      <c r="L38" s="494" t="str">
        <f t="shared" si="5"/>
        <v/>
      </c>
      <c r="M38" s="483">
        <f>'All Curves'!AD31</f>
        <v>-1.4497772592302061E-3</v>
      </c>
      <c r="N38" s="483" t="str">
        <f t="shared" si="6"/>
        <v/>
      </c>
      <c r="O38" s="492" t="str">
        <f t="shared" si="7"/>
        <v/>
      </c>
      <c r="P38" s="492">
        <f t="shared" si="8"/>
        <v>2</v>
      </c>
      <c r="Q38" s="492">
        <f>IF(P38=1,N37,IF(P38=2,N36,IF(P38=3,N35,IF(P38=4,N34,IF(P38=5,N33,IF(P38=6,N32,IF(P38=7,N31,IF(P38=8,N30,IF(P38=9,N29,IF(P38=10,N28,IF(P38=11,N27,IF(P38=12,N26,IF(P38=13,N25,IF(P38=14,N24,IF(P38=15,N23,IF(P38=16,N22,IF(P38=17,#REF!,IF(P38=18,#REF!,IF(P38=19,#REF!,0)))))))))))))))))))</f>
        <v>2.4476002908496511E-3</v>
      </c>
      <c r="R38" s="505">
        <f t="shared" si="9"/>
        <v>2.4096896127156478E-3</v>
      </c>
      <c r="S38" s="483">
        <f t="shared" si="14"/>
        <v>9.599123534854417E-4</v>
      </c>
      <c r="T38" s="483">
        <f t="shared" si="10"/>
        <v>-2.3342159129136064E-5</v>
      </c>
      <c r="U38" s="489">
        <f>((1+J38)/(V37-J38*(1+W37+X37+Y37+Z37+AA37+AB37+AC37+AD37+AE37+AF37+AG37+AH37+AI37+AJ37+AK37)))-1</f>
        <v>6.2219760087069975E-3</v>
      </c>
      <c r="V38" s="488">
        <f t="shared" si="15"/>
        <v>1.0145230423623199</v>
      </c>
      <c r="W38" s="488">
        <f t="shared" si="11"/>
        <v>1.006221976008707</v>
      </c>
      <c r="X38" s="488">
        <f t="shared" si="16"/>
        <v>1.0117940017203138</v>
      </c>
      <c r="Y38" s="488">
        <f t="shared" si="17"/>
        <v>1.0202337828054511</v>
      </c>
      <c r="Z38" s="488">
        <f t="shared" si="18"/>
        <v>1.0275166611704598</v>
      </c>
      <c r="AA38" s="488">
        <f t="shared" si="19"/>
        <v>1.0336305490464399</v>
      </c>
      <c r="AB38" s="488">
        <f t="shared" si="20"/>
        <v>1.0409593524157912</v>
      </c>
      <c r="AC38" s="488">
        <f t="shared" si="21"/>
        <v>1.0469229871979628</v>
      </c>
      <c r="AD38" s="488">
        <f t="shared" si="22"/>
        <v>1.0511970859920927</v>
      </c>
      <c r="AE38" s="488">
        <f t="shared" si="23"/>
        <v>1.0541933890101112</v>
      </c>
      <c r="AF38" s="488">
        <f t="shared" si="24"/>
        <v>1.0553871247630457</v>
      </c>
      <c r="AG38" s="488">
        <f t="shared" si="25"/>
        <v>1.0550950107381678</v>
      </c>
      <c r="AH38" s="488">
        <f t="shared" si="26"/>
        <v>1.0523135494243585</v>
      </c>
      <c r="AI38" s="488">
        <f t="shared" si="27"/>
        <v>1.0476134667243489</v>
      </c>
      <c r="AJ38" s="488">
        <f t="shared" si="28"/>
        <v>1.040945611563368</v>
      </c>
      <c r="AK38" s="488">
        <f t="shared" si="29"/>
        <v>1.0327810228135241</v>
      </c>
      <c r="AL38" s="488">
        <f t="shared" ref="AL38:AL51" si="30">V38/V22</f>
        <v>1.0232521286117862</v>
      </c>
      <c r="AM38" s="488"/>
      <c r="AN38" s="488"/>
      <c r="AO38" s="488"/>
      <c r="AP38" s="488"/>
      <c r="AQ38" s="488"/>
      <c r="AR38" s="488"/>
      <c r="AS38" s="488"/>
      <c r="AT38" s="488"/>
      <c r="AU38" s="488"/>
      <c r="AV38" s="488"/>
      <c r="AW38" s="488"/>
      <c r="AX38" s="488"/>
      <c r="AY38" s="488"/>
    </row>
    <row r="39" spans="3:51">
      <c r="C39" s="481">
        <v>18</v>
      </c>
      <c r="D39" s="509" t="str">
        <f>'Swap and Yield Curves'!D116</f>
        <v>#N/A N/A</v>
      </c>
      <c r="E39" s="492" t="str">
        <f t="shared" si="0"/>
        <v/>
      </c>
      <c r="F39" s="492">
        <f t="shared" si="1"/>
        <v>3</v>
      </c>
      <c r="G39" s="492">
        <f t="shared" si="2"/>
        <v>1.7500000000000002E-2</v>
      </c>
      <c r="H39" s="492">
        <f t="shared" si="3"/>
        <v>0.11499999999999999</v>
      </c>
      <c r="I39" s="459">
        <f t="shared" si="12"/>
        <v>18</v>
      </c>
      <c r="J39" s="482">
        <f t="shared" si="4"/>
        <v>1.1503306250000289E-3</v>
      </c>
      <c r="K39" s="491">
        <f t="shared" si="13"/>
        <v>1.1844533433582605E-3</v>
      </c>
      <c r="L39" s="494" t="str">
        <f t="shared" si="5"/>
        <v/>
      </c>
      <c r="M39" s="483">
        <f>'All Curves'!AD32</f>
        <v>-1.0960123930102428E-3</v>
      </c>
      <c r="N39" s="483" t="str">
        <f t="shared" si="6"/>
        <v/>
      </c>
      <c r="O39" s="492" t="str">
        <f t="shared" si="7"/>
        <v/>
      </c>
      <c r="P39" s="492">
        <f t="shared" si="8"/>
        <v>3</v>
      </c>
      <c r="Q39" s="492">
        <f>IF(P39=1,N38,IF(P39=2,N37,IF(P39=3,N36,IF(P39=4,N35,IF(P39=5,N34,IF(P39=6,N33,IF(P39=7,N32,IF(P39=8,N31,IF(P39=9,N30,IF(P39=10,N29,IF(P39=11,N28,IF(P39=12,N27,IF(P39=13,N26,IF(P39=14,N25,IF(P39=15,N24,IF(P39=16,N23,IF(P39=17,N22,IF(P39=18,#REF!,IF(P39=19,#REF!,0)))))))))))))))))))</f>
        <v>2.4476002908496511E-3</v>
      </c>
      <c r="R39" s="505">
        <f t="shared" si="9"/>
        <v>2.3907342736486457E-3</v>
      </c>
      <c r="S39" s="483">
        <f t="shared" si="14"/>
        <v>1.2947218806384029E-3</v>
      </c>
      <c r="T39" s="483">
        <f t="shared" si="10"/>
        <v>-3.4122718358231552E-5</v>
      </c>
      <c r="U39" s="489">
        <f>((1+J39)/(V38-J39*(1+W38+X38+Y38+Z38+AA38+AB38+AC38+AD38+AE38+AF38+AG38+AH38+AI38+AJ38+AK38+AL38)))-1</f>
        <v>6.9127341289665356E-3</v>
      </c>
      <c r="V39" s="488">
        <f t="shared" si="15"/>
        <v>1.0215361704218808</v>
      </c>
      <c r="W39" s="488">
        <f t="shared" si="11"/>
        <v>1.0069127341289665</v>
      </c>
      <c r="X39" s="488">
        <f t="shared" si="16"/>
        <v>1.0131777210035784</v>
      </c>
      <c r="Y39" s="488">
        <f t="shared" si="17"/>
        <v>1.0187882646474895</v>
      </c>
      <c r="Z39" s="488">
        <f t="shared" si="18"/>
        <v>1.0272863876953751</v>
      </c>
      <c r="AA39" s="488">
        <f t="shared" si="19"/>
        <v>1.0346196106622145</v>
      </c>
      <c r="AB39" s="488">
        <f t="shared" si="20"/>
        <v>1.0407757622195757</v>
      </c>
      <c r="AC39" s="488">
        <f t="shared" si="21"/>
        <v>1.0481552276581025</v>
      </c>
      <c r="AD39" s="488">
        <f t="shared" si="22"/>
        <v>1.0541600874619657</v>
      </c>
      <c r="AE39" s="488">
        <f t="shared" si="23"/>
        <v>1.0584637319647003</v>
      </c>
      <c r="AF39" s="488">
        <f t="shared" si="24"/>
        <v>1.0614807476288521</v>
      </c>
      <c r="AG39" s="488">
        <f t="shared" si="25"/>
        <v>1.0626827353596671</v>
      </c>
      <c r="AH39" s="488">
        <f t="shared" si="26"/>
        <v>1.0623886020281998</v>
      </c>
      <c r="AI39" s="488">
        <f t="shared" si="27"/>
        <v>1.0595879132118382</v>
      </c>
      <c r="AJ39" s="488">
        <f t="shared" si="28"/>
        <v>1.0548553400897391</v>
      </c>
      <c r="AK39" s="488">
        <f t="shared" si="29"/>
        <v>1.04814139181882</v>
      </c>
      <c r="AL39" s="488">
        <f t="shared" si="30"/>
        <v>1.0399203634376759</v>
      </c>
      <c r="AM39" s="488">
        <f t="shared" ref="AM39:AM51" si="31">V39/V22</f>
        <v>1.0303255985237783</v>
      </c>
      <c r="AN39" s="488"/>
      <c r="AO39" s="488"/>
      <c r="AP39" s="488"/>
      <c r="AQ39" s="488"/>
      <c r="AR39" s="488"/>
      <c r="AS39" s="488"/>
      <c r="AT39" s="488"/>
      <c r="AU39" s="488"/>
      <c r="AV39" s="488"/>
      <c r="AW39" s="488"/>
      <c r="AX39" s="488"/>
      <c r="AY39" s="488"/>
    </row>
    <row r="40" spans="3:51">
      <c r="C40" s="481">
        <v>19</v>
      </c>
      <c r="D40" s="509" t="str">
        <f>'Swap and Yield Curves'!D117</f>
        <v>#N/A N/A</v>
      </c>
      <c r="E40" s="492" t="str">
        <f t="shared" si="0"/>
        <v/>
      </c>
      <c r="F40" s="492">
        <f t="shared" si="1"/>
        <v>4</v>
      </c>
      <c r="G40" s="492">
        <f t="shared" si="2"/>
        <v>1.7500000000000002E-2</v>
      </c>
      <c r="H40" s="492">
        <f t="shared" si="3"/>
        <v>0.14749999999999999</v>
      </c>
      <c r="I40" s="459">
        <f t="shared" si="12"/>
        <v>19</v>
      </c>
      <c r="J40" s="482">
        <f t="shared" si="4"/>
        <v>1.4755439062501541E-3</v>
      </c>
      <c r="K40" s="491">
        <f t="shared" si="13"/>
        <v>1.5216388175283146E-3</v>
      </c>
      <c r="L40" s="494" t="str">
        <f t="shared" si="5"/>
        <v/>
      </c>
      <c r="M40" s="483">
        <f>'All Curves'!AD33</f>
        <v>-7.7737220484540293E-4</v>
      </c>
      <c r="N40" s="483" t="str">
        <f t="shared" si="6"/>
        <v/>
      </c>
      <c r="O40" s="492" t="str">
        <f t="shared" si="7"/>
        <v/>
      </c>
      <c r="P40" s="492">
        <f t="shared" si="8"/>
        <v>4</v>
      </c>
      <c r="Q40" s="492">
        <f>IF(P40=1,N39,IF(P40=2,N38,IF(P40=3,N37,IF(P40=4,N36,IF(P40=5,N35,IF(P40=6,N34,IF(P40=7,N33,IF(P40=8,N32,IF(P40=9,N31,IF(P40=10,N30,IF(P40=11,N29,IF(P40=12,N28,IF(P40=13,N27,IF(P40=14,N26,IF(P40=15,N25,IF(P40=16,N24,IF(P40=17,N23,IF(P40=18,N22,IF(P40=19,#REF!,0)))))))))))))))))))</f>
        <v>2.4476002908496511E-3</v>
      </c>
      <c r="R40" s="505">
        <f t="shared" si="9"/>
        <v>2.3717789345816436E-3</v>
      </c>
      <c r="S40" s="483">
        <f t="shared" si="14"/>
        <v>1.5944067297362407E-3</v>
      </c>
      <c r="T40" s="483">
        <f t="shared" si="10"/>
        <v>-4.6094911278160566E-5</v>
      </c>
      <c r="U40" s="489">
        <f>((1+J40)/(V39-J40*(1+W39+X39+Y39+Z39+AA39+AB39+AC39+AD39+AE39+AF39+AG39+AH39+AI39+AJ39+AK39+AL39+AM39)))-1</f>
        <v>7.610433143287354E-3</v>
      </c>
      <c r="V40" s="488">
        <f t="shared" si="15"/>
        <v>1.0293105031503262</v>
      </c>
      <c r="W40" s="488">
        <f t="shared" si="11"/>
        <v>1.0076104331432874</v>
      </c>
      <c r="X40" s="488">
        <f t="shared" si="16"/>
        <v>1.0145757761731795</v>
      </c>
      <c r="Y40" s="488">
        <f t="shared" si="17"/>
        <v>1.0208884423115443</v>
      </c>
      <c r="Z40" s="488">
        <f t="shared" si="18"/>
        <v>1.0265416846227549</v>
      </c>
      <c r="AA40" s="488">
        <f t="shared" si="19"/>
        <v>1.0351044820679396</v>
      </c>
      <c r="AB40" s="488">
        <f t="shared" si="20"/>
        <v>1.0424935140378933</v>
      </c>
      <c r="AC40" s="488">
        <f t="shared" si="21"/>
        <v>1.0486965165751014</v>
      </c>
      <c r="AD40" s="488">
        <f t="shared" si="22"/>
        <v>1.0561321429419817</v>
      </c>
      <c r="AE40" s="488">
        <f t="shared" si="23"/>
        <v>1.0621827023299169</v>
      </c>
      <c r="AF40" s="488">
        <f t="shared" si="24"/>
        <v>1.066519099431412</v>
      </c>
      <c r="AG40" s="488">
        <f t="shared" si="25"/>
        <v>1.0695590758915681</v>
      </c>
      <c r="AH40" s="488">
        <f t="shared" si="26"/>
        <v>1.0707702112696473</v>
      </c>
      <c r="AI40" s="488">
        <f t="shared" si="27"/>
        <v>1.0704738394561257</v>
      </c>
      <c r="AJ40" s="488">
        <f t="shared" si="28"/>
        <v>1.0676518361847722</v>
      </c>
      <c r="AK40" s="488">
        <f t="shared" si="29"/>
        <v>1.0628832461313316</v>
      </c>
      <c r="AL40" s="488">
        <f t="shared" si="30"/>
        <v>1.0561182018059692</v>
      </c>
      <c r="AM40" s="488">
        <f t="shared" si="31"/>
        <v>1.0478346078379615</v>
      </c>
      <c r="AN40" s="488">
        <f t="shared" ref="AN40:AN51" si="32">V40/V22</f>
        <v>1.038166822607161</v>
      </c>
      <c r="AO40" s="488"/>
      <c r="AP40" s="488"/>
      <c r="AQ40" s="488"/>
      <c r="AR40" s="488"/>
      <c r="AS40" s="488"/>
      <c r="AT40" s="488"/>
      <c r="AU40" s="488"/>
      <c r="AV40" s="488"/>
      <c r="AW40" s="488"/>
      <c r="AX40" s="488"/>
      <c r="AY40" s="488"/>
    </row>
    <row r="41" spans="3:51">
      <c r="C41" s="481">
        <v>20</v>
      </c>
      <c r="D41" s="495">
        <f>'Swap and Yield Curves'!D118</f>
        <v>0.18</v>
      </c>
      <c r="E41" s="492">
        <f t="shared" si="0"/>
        <v>1</v>
      </c>
      <c r="F41" s="492">
        <f t="shared" si="1"/>
        <v>0</v>
      </c>
      <c r="G41" s="492">
        <f t="shared" si="2"/>
        <v>0</v>
      </c>
      <c r="H41" s="492">
        <f t="shared" si="3"/>
        <v>0.18</v>
      </c>
      <c r="I41" s="459">
        <f t="shared" si="12"/>
        <v>20</v>
      </c>
      <c r="J41" s="482">
        <f t="shared" si="4"/>
        <v>1.800809999999764E-3</v>
      </c>
      <c r="K41" s="491">
        <f t="shared" si="13"/>
        <v>1.860251591994766E-3</v>
      </c>
      <c r="L41" s="494">
        <f t="shared" si="5"/>
        <v>1.860251591994766E-3</v>
      </c>
      <c r="M41" s="483">
        <f>'All Curves'!AD34</f>
        <v>-4.9257200351987551E-4</v>
      </c>
      <c r="N41" s="483">
        <f t="shared" si="6"/>
        <v>2.3528235955146415E-3</v>
      </c>
      <c r="O41" s="492">
        <f t="shared" si="7"/>
        <v>1</v>
      </c>
      <c r="P41" s="492">
        <f t="shared" si="8"/>
        <v>0</v>
      </c>
      <c r="Q41" s="492">
        <f t="shared" ref="Q41:Q51" si="33">IF(P41=1,N40,IF(P41=2,N39,IF(P41=3,N38,IF(P41=4,N37,IF(P41=5,N36,IF(P41=6,N35,IF(P41=7,N34,IF(P41=8,N33,IF(P41=9,N32,IF(P41=10,N31,IF(P41=11,N30,IF(P41=12,N29,IF(P41=13,N28,IF(P41=14,N27,IF(P41=15,N26,IF(P41=16,N25,IF(P41=17,N24,IF(P41=18,N23,IF(P41=19,N22,0)))))))))))))))))))</f>
        <v>0</v>
      </c>
      <c r="R41" s="505">
        <f t="shared" si="9"/>
        <v>2.3528235955146415E-3</v>
      </c>
      <c r="S41" s="483">
        <f t="shared" si="14"/>
        <v>1.860251591994766E-3</v>
      </c>
      <c r="T41" s="483">
        <f t="shared" si="10"/>
        <v>-5.9441591995001986E-5</v>
      </c>
      <c r="U41" s="489">
        <f>((1+J41)/(V40-J41*(1+W40+X40+Y40+Z40+AA40+AB40+AC40+AD40+AE40+AF40+AG40+AH40+AI40+AJ40+AK40+AL40+AM40+AN40)))-1</f>
        <v>8.3156905336454479E-3</v>
      </c>
      <c r="V41" s="488">
        <f t="shared" si="15"/>
        <v>1.0378699307575552</v>
      </c>
      <c r="W41" s="488">
        <f t="shared" si="11"/>
        <v>1.0083156905336454</v>
      </c>
      <c r="X41" s="488">
        <f t="shared" si="16"/>
        <v>1.0159894096837792</v>
      </c>
      <c r="Y41" s="488">
        <f t="shared" si="17"/>
        <v>1.0230126743507688</v>
      </c>
      <c r="Z41" s="488">
        <f t="shared" si="18"/>
        <v>1.0293778346671822</v>
      </c>
      <c r="AA41" s="488">
        <f t="shared" si="19"/>
        <v>1.0350780875919645</v>
      </c>
      <c r="AB41" s="488">
        <f t="shared" si="20"/>
        <v>1.0437120906108059</v>
      </c>
      <c r="AC41" s="488">
        <f t="shared" si="21"/>
        <v>1.0511625674839649</v>
      </c>
      <c r="AD41" s="488">
        <f t="shared" si="22"/>
        <v>1.0574171522706519</v>
      </c>
      <c r="AE41" s="488">
        <f t="shared" si="23"/>
        <v>1.0649146110053229</v>
      </c>
      <c r="AF41" s="488">
        <f t="shared" si="24"/>
        <v>1.0710154849726836</v>
      </c>
      <c r="AG41" s="488">
        <f t="shared" si="25"/>
        <v>1.0753879422105057</v>
      </c>
      <c r="AH41" s="488">
        <f t="shared" si="26"/>
        <v>1.0784531981741341</v>
      </c>
      <c r="AI41" s="488">
        <f t="shared" si="27"/>
        <v>1.079674404979212</v>
      </c>
      <c r="AJ41" s="488">
        <f t="shared" si="28"/>
        <v>1.0793755686294062</v>
      </c>
      <c r="AK41" s="488">
        <f t="shared" si="29"/>
        <v>1.0765300984521629</v>
      </c>
      <c r="AL41" s="488">
        <f t="shared" si="30"/>
        <v>1.0717218542795561</v>
      </c>
      <c r="AM41" s="488">
        <f t="shared" si="31"/>
        <v>1.0649005539391376</v>
      </c>
      <c r="AN41" s="488">
        <f t="shared" si="32"/>
        <v>1.0565480761671855</v>
      </c>
      <c r="AO41" s="488">
        <f t="shared" ref="AO41:AO51" si="34">V41/V22</f>
        <v>1.0467998966262602</v>
      </c>
      <c r="AP41" s="488"/>
      <c r="AQ41" s="488"/>
      <c r="AR41" s="488"/>
      <c r="AS41" s="488"/>
      <c r="AT41" s="488"/>
      <c r="AU41" s="488"/>
      <c r="AV41" s="488"/>
      <c r="AW41" s="488"/>
      <c r="AX41" s="488"/>
      <c r="AY41" s="488"/>
    </row>
    <row r="42" spans="3:51">
      <c r="C42" s="481">
        <v>21</v>
      </c>
      <c r="D42" s="484"/>
      <c r="E42" s="492" t="str">
        <f t="shared" si="0"/>
        <v/>
      </c>
      <c r="F42" s="492">
        <f t="shared" si="1"/>
        <v>1</v>
      </c>
      <c r="G42" s="492">
        <f t="shared" si="2"/>
        <v>0.18</v>
      </c>
      <c r="H42" s="492">
        <f t="shared" si="3"/>
        <v>0.19199999999999995</v>
      </c>
      <c r="I42" s="459">
        <f t="shared" si="12"/>
        <v>21</v>
      </c>
      <c r="J42" s="482">
        <f t="shared" si="4"/>
        <v>1.920921600000236E-3</v>
      </c>
      <c r="K42" s="491">
        <f t="shared" si="13"/>
        <v>1.9838040487740738E-3</v>
      </c>
      <c r="L42" s="494" t="str">
        <f t="shared" si="5"/>
        <v/>
      </c>
      <c r="M42" s="483">
        <f>'All Curves'!AD35</f>
        <v>-2.4036412129106038E-4</v>
      </c>
      <c r="N42" s="483" t="str">
        <f t="shared" si="6"/>
        <v/>
      </c>
      <c r="O42" s="492" t="str">
        <f t="shared" si="7"/>
        <v/>
      </c>
      <c r="P42" s="492">
        <f t="shared" si="8"/>
        <v>1</v>
      </c>
      <c r="Q42" s="492">
        <f t="shared" si="33"/>
        <v>2.3528235955146415E-3</v>
      </c>
      <c r="R42" s="505">
        <f t="shared" si="9"/>
        <v>2.2851582733647204E-3</v>
      </c>
      <c r="S42" s="483">
        <f t="shared" si="14"/>
        <v>2.04479415207366E-3</v>
      </c>
      <c r="T42" s="483">
        <f t="shared" si="10"/>
        <v>-6.2882448773837751E-5</v>
      </c>
      <c r="U42" s="489">
        <f>((1+J42)/(V41-J42*(1+W41+X41+Y41+Z41+AA41+AB41+AC41+AD41+AE41+AF41+AG41+AH41+AI41+AJ41+AK41+AL41+AM41+AN41+AO41)))-1</f>
        <v>4.4580554265813976E-3</v>
      </c>
      <c r="V42" s="488">
        <f t="shared" si="15"/>
        <v>1.0424968124344545</v>
      </c>
      <c r="W42" s="488">
        <f t="shared" si="11"/>
        <v>1.0044580554265814</v>
      </c>
      <c r="X42" s="488">
        <f t="shared" si="16"/>
        <v>1.0128108177695361</v>
      </c>
      <c r="Y42" s="488">
        <f t="shared" si="17"/>
        <v>1.0205187467849692</v>
      </c>
      <c r="Z42" s="488">
        <f t="shared" si="18"/>
        <v>1.0275733215551197</v>
      </c>
      <c r="AA42" s="488">
        <f t="shared" si="19"/>
        <v>1.0339668581090229</v>
      </c>
      <c r="AB42" s="488">
        <f t="shared" si="20"/>
        <v>1.0396925230772893</v>
      </c>
      <c r="AC42" s="488">
        <f t="shared" si="21"/>
        <v>1.0483650169601419</v>
      </c>
      <c r="AD42" s="488">
        <f t="shared" si="22"/>
        <v>1.055848708472156</v>
      </c>
      <c r="AE42" s="488">
        <f t="shared" si="23"/>
        <v>1.0621311765444923</v>
      </c>
      <c r="AF42" s="488">
        <f t="shared" si="24"/>
        <v>1.0696620593657609</v>
      </c>
      <c r="AG42" s="488">
        <f t="shared" si="25"/>
        <v>1.0757901313674185</v>
      </c>
      <c r="AH42" s="488">
        <f t="shared" si="26"/>
        <v>1.0801820812619574</v>
      </c>
      <c r="AI42" s="488">
        <f t="shared" si="27"/>
        <v>1.0832610023065683</v>
      </c>
      <c r="AJ42" s="488">
        <f t="shared" si="28"/>
        <v>1.0844876533192704</v>
      </c>
      <c r="AK42" s="488">
        <f t="shared" si="29"/>
        <v>1.0841874847404538</v>
      </c>
      <c r="AL42" s="488">
        <f t="shared" si="30"/>
        <v>1.0813293292994457</v>
      </c>
      <c r="AM42" s="488">
        <f t="shared" si="31"/>
        <v>1.076499649707813</v>
      </c>
      <c r="AN42" s="488">
        <f t="shared" si="32"/>
        <v>1.0696479396323955</v>
      </c>
      <c r="AO42" s="488">
        <f t="shared" si="34"/>
        <v>1.0612582260515868</v>
      </c>
      <c r="AP42" s="488">
        <f t="shared" ref="AP42:AP51" si="35">V42/V22</f>
        <v>1.0514665885859595</v>
      </c>
      <c r="AQ42" s="488"/>
      <c r="AR42" s="488"/>
      <c r="AS42" s="488"/>
      <c r="AT42" s="488"/>
      <c r="AU42" s="488"/>
      <c r="AV42" s="488"/>
      <c r="AW42" s="488"/>
      <c r="AX42" s="488"/>
      <c r="AY42" s="488"/>
    </row>
    <row r="43" spans="3:51">
      <c r="C43" s="481">
        <v>22</v>
      </c>
      <c r="D43" s="484"/>
      <c r="E43" s="492" t="str">
        <f t="shared" si="0"/>
        <v/>
      </c>
      <c r="F43" s="492">
        <f t="shared" si="1"/>
        <v>2</v>
      </c>
      <c r="G43" s="492">
        <f t="shared" si="2"/>
        <v>0.18</v>
      </c>
      <c r="H43" s="492">
        <f t="shared" si="3"/>
        <v>0.20399999999999996</v>
      </c>
      <c r="I43" s="459">
        <f t="shared" si="12"/>
        <v>22</v>
      </c>
      <c r="J43" s="482">
        <f t="shared" si="4"/>
        <v>2.0410403999999716E-3</v>
      </c>
      <c r="K43" s="491">
        <f t="shared" si="13"/>
        <v>2.1076051229025339E-3</v>
      </c>
      <c r="L43" s="494" t="str">
        <f t="shared" si="5"/>
        <v/>
      </c>
      <c r="M43" s="483">
        <f>'All Curves'!AD36</f>
        <v>-1.9536939432136802E-5</v>
      </c>
      <c r="N43" s="483" t="str">
        <f t="shared" si="6"/>
        <v/>
      </c>
      <c r="O43" s="492" t="str">
        <f t="shared" si="7"/>
        <v/>
      </c>
      <c r="P43" s="492">
        <f t="shared" si="8"/>
        <v>2</v>
      </c>
      <c r="Q43" s="492">
        <f t="shared" si="33"/>
        <v>2.3528235955146415E-3</v>
      </c>
      <c r="R43" s="505">
        <f t="shared" si="9"/>
        <v>2.2174929512147998E-3</v>
      </c>
      <c r="S43" s="483">
        <f t="shared" si="14"/>
        <v>2.197956011782663E-3</v>
      </c>
      <c r="T43" s="483">
        <f t="shared" si="10"/>
        <v>-6.6564722902562323E-5</v>
      </c>
      <c r="U43" s="489">
        <f>((1+J43)/(V42-J43*(1+W42+X42+Y42+Z42+AA42+AB42+AC42+AD42+AE42+AF42+AG42+AH42+AI42+AJ42+AK42+AL42+AM42+AN42+AO42+AP42)))-1</f>
        <v>4.7109640512275064E-3</v>
      </c>
      <c r="V43" s="488">
        <f t="shared" si="15"/>
        <v>1.0474079774413525</v>
      </c>
      <c r="W43" s="488">
        <f t="shared" si="11"/>
        <v>1.0047109640512275</v>
      </c>
      <c r="X43" s="488">
        <f t="shared" si="16"/>
        <v>1.0091900212166618</v>
      </c>
      <c r="Y43" s="488">
        <f t="shared" si="17"/>
        <v>1.0175821331227426</v>
      </c>
      <c r="Z43" s="488">
        <f t="shared" si="18"/>
        <v>1.025326373914677</v>
      </c>
      <c r="AA43" s="488">
        <f t="shared" si="19"/>
        <v>1.0324141825329662</v>
      </c>
      <c r="AB43" s="488">
        <f t="shared" si="20"/>
        <v>1.0388378388077353</v>
      </c>
      <c r="AC43" s="488">
        <f t="shared" si="21"/>
        <v>1.0445904771778365</v>
      </c>
      <c r="AD43" s="488">
        <f t="shared" si="22"/>
        <v>1.0533038268676058</v>
      </c>
      <c r="AE43" s="488">
        <f t="shared" si="23"/>
        <v>1.0608227737813032</v>
      </c>
      <c r="AF43" s="488">
        <f t="shared" si="24"/>
        <v>1.0671348383348815</v>
      </c>
      <c r="AG43" s="488">
        <f t="shared" si="25"/>
        <v>1.0747011988743951</v>
      </c>
      <c r="AH43" s="488">
        <f t="shared" si="26"/>
        <v>1.080858140002956</v>
      </c>
      <c r="AI43" s="488">
        <f t="shared" si="27"/>
        <v>1.0852707802155628</v>
      </c>
      <c r="AJ43" s="488">
        <f t="shared" si="28"/>
        <v>1.0883642059465313</v>
      </c>
      <c r="AK43" s="488">
        <f t="shared" si="29"/>
        <v>1.0895966356680575</v>
      </c>
      <c r="AL43" s="488">
        <f t="shared" si="30"/>
        <v>1.0892950530058569</v>
      </c>
      <c r="AM43" s="488">
        <f t="shared" si="31"/>
        <v>1.0864234328973135</v>
      </c>
      <c r="AN43" s="488">
        <f t="shared" si="32"/>
        <v>1.0815710008587454</v>
      </c>
      <c r="AO43" s="488">
        <f t="shared" si="34"/>
        <v>1.0746870126234733</v>
      </c>
      <c r="AP43" s="488">
        <f t="shared" si="35"/>
        <v>1.0662577754035854</v>
      </c>
      <c r="AQ43" s="488">
        <f t="shared" ref="AQ43:AQ51" si="36">V43/V22</f>
        <v>1.0564200098858549</v>
      </c>
      <c r="AR43" s="488"/>
      <c r="AS43" s="488"/>
      <c r="AT43" s="488"/>
      <c r="AU43" s="488"/>
      <c r="AV43" s="488"/>
      <c r="AW43" s="488"/>
      <c r="AX43" s="488"/>
      <c r="AY43" s="488"/>
    </row>
    <row r="44" spans="3:51">
      <c r="C44" s="481">
        <v>23</v>
      </c>
      <c r="D44" s="484"/>
      <c r="E44" s="492" t="str">
        <f t="shared" si="0"/>
        <v/>
      </c>
      <c r="F44" s="492">
        <f t="shared" si="1"/>
        <v>3</v>
      </c>
      <c r="G44" s="492">
        <f t="shared" si="2"/>
        <v>0.18</v>
      </c>
      <c r="H44" s="492">
        <f t="shared" si="3"/>
        <v>0.21599999999999997</v>
      </c>
      <c r="I44" s="459">
        <f t="shared" si="12"/>
        <v>23</v>
      </c>
      <c r="J44" s="482">
        <f t="shared" si="4"/>
        <v>2.1611663999998587E-3</v>
      </c>
      <c r="K44" s="491">
        <f t="shared" si="13"/>
        <v>2.2316805558153519E-3</v>
      </c>
      <c r="L44" s="494" t="str">
        <f t="shared" si="5"/>
        <v/>
      </c>
      <c r="M44" s="483">
        <f>'All Curves'!AD37</f>
        <v>1.7108606160464584E-4</v>
      </c>
      <c r="N44" s="483" t="str">
        <f t="shared" si="6"/>
        <v/>
      </c>
      <c r="O44" s="492" t="str">
        <f t="shared" si="7"/>
        <v/>
      </c>
      <c r="P44" s="492">
        <f t="shared" si="8"/>
        <v>3</v>
      </c>
      <c r="Q44" s="492">
        <f t="shared" si="33"/>
        <v>2.3528235955146415E-3</v>
      </c>
      <c r="R44" s="505">
        <f t="shared" si="9"/>
        <v>2.1498276290648792E-3</v>
      </c>
      <c r="S44" s="483">
        <f t="shared" si="14"/>
        <v>2.320913690669525E-3</v>
      </c>
      <c r="T44" s="483">
        <f t="shared" si="10"/>
        <v>-7.051415581549314E-5</v>
      </c>
      <c r="U44" s="489">
        <f>((1+J44)/(V43-J44*(1+W43+X43+Y43+Z43+AA43+AB43+AC43+AD43+AE43+AF43+AG43+AH43+AI43+AJ43+AK43+AL43+AM43+AN43+AO43+AP43+AQ43)))-1</f>
        <v>4.9652301214020422E-3</v>
      </c>
      <c r="V44" s="488">
        <f t="shared" si="15"/>
        <v>1.0526085990803411</v>
      </c>
      <c r="W44" s="488">
        <f t="shared" si="11"/>
        <v>1.004965230121402</v>
      </c>
      <c r="X44" s="488">
        <f t="shared" si="16"/>
        <v>1.0096995851932375</v>
      </c>
      <c r="Y44" s="488">
        <f t="shared" si="17"/>
        <v>1.0142008819082251</v>
      </c>
      <c r="Z44" s="488">
        <f t="shared" si="18"/>
        <v>1.0226346625811242</v>
      </c>
      <c r="AA44" s="488">
        <f t="shared" si="19"/>
        <v>1.0304173553107061</v>
      </c>
      <c r="AB44" s="488">
        <f t="shared" si="20"/>
        <v>1.0375403565298418</v>
      </c>
      <c r="AC44" s="488">
        <f t="shared" si="21"/>
        <v>1.0439959077362355</v>
      </c>
      <c r="AD44" s="488">
        <f t="shared" si="22"/>
        <v>1.0497771092796497</v>
      </c>
      <c r="AE44" s="488">
        <f t="shared" si="23"/>
        <v>1.058533722755757</v>
      </c>
      <c r="AF44" s="488">
        <f t="shared" si="24"/>
        <v>1.0660900029711515</v>
      </c>
      <c r="AG44" s="488">
        <f t="shared" si="25"/>
        <v>1.0724334083777793</v>
      </c>
      <c r="AH44" s="488">
        <f t="shared" si="26"/>
        <v>1.080037337638553</v>
      </c>
      <c r="AI44" s="488">
        <f t="shared" si="27"/>
        <v>1.0862248493966611</v>
      </c>
      <c r="AJ44" s="488">
        <f t="shared" si="28"/>
        <v>1.0906593993833664</v>
      </c>
      <c r="AK44" s="488">
        <f t="shared" si="29"/>
        <v>1.0937681846849527</v>
      </c>
      <c r="AL44" s="488">
        <f t="shared" si="30"/>
        <v>1.0950067337036549</v>
      </c>
      <c r="AM44" s="488">
        <f t="shared" si="31"/>
        <v>1.0947036536141357</v>
      </c>
      <c r="AN44" s="488">
        <f t="shared" si="32"/>
        <v>1.0918177752509322</v>
      </c>
      <c r="AO44" s="488">
        <f t="shared" si="34"/>
        <v>1.0869412497706443</v>
      </c>
      <c r="AP44" s="488">
        <f t="shared" si="35"/>
        <v>1.080023080949631</v>
      </c>
      <c r="AQ44" s="488">
        <f t="shared" si="36"/>
        <v>1.0715519906271984</v>
      </c>
      <c r="AR44" s="488">
        <f t="shared" ref="AR44:AR51" si="37">V44/V22</f>
        <v>1.061665378339792</v>
      </c>
      <c r="AS44" s="488"/>
      <c r="AT44" s="488"/>
      <c r="AU44" s="488"/>
      <c r="AV44" s="488"/>
      <c r="AW44" s="488"/>
      <c r="AX44" s="488"/>
      <c r="AY44" s="488"/>
    </row>
    <row r="45" spans="3:51">
      <c r="C45" s="481">
        <v>24</v>
      </c>
      <c r="D45" s="484"/>
      <c r="E45" s="492" t="str">
        <f t="shared" si="0"/>
        <v/>
      </c>
      <c r="F45" s="492">
        <f t="shared" si="1"/>
        <v>4</v>
      </c>
      <c r="G45" s="492">
        <f t="shared" si="2"/>
        <v>0.18</v>
      </c>
      <c r="H45" s="492">
        <f t="shared" si="3"/>
        <v>0.22799999999999998</v>
      </c>
      <c r="I45" s="459">
        <f t="shared" si="12"/>
        <v>24</v>
      </c>
      <c r="J45" s="482">
        <f t="shared" si="4"/>
        <v>2.2812995999998975E-3</v>
      </c>
      <c r="K45" s="491">
        <f t="shared" si="13"/>
        <v>2.3560550609764697E-3</v>
      </c>
      <c r="L45" s="494" t="str">
        <f t="shared" si="5"/>
        <v/>
      </c>
      <c r="M45" s="483">
        <f>'All Curves'!AD38</f>
        <v>3.3264722801123331E-4</v>
      </c>
      <c r="N45" s="483" t="str">
        <f t="shared" si="6"/>
        <v/>
      </c>
      <c r="O45" s="492" t="str">
        <f t="shared" si="7"/>
        <v/>
      </c>
      <c r="P45" s="492">
        <f t="shared" si="8"/>
        <v>4</v>
      </c>
      <c r="Q45" s="492">
        <f t="shared" si="33"/>
        <v>2.3528235955146415E-3</v>
      </c>
      <c r="R45" s="505">
        <f t="shared" si="9"/>
        <v>2.0821623069149585E-3</v>
      </c>
      <c r="S45" s="483">
        <f t="shared" si="14"/>
        <v>2.4148095349261918E-3</v>
      </c>
      <c r="T45" s="483">
        <f t="shared" si="10"/>
        <v>-7.4755460976572152E-5</v>
      </c>
      <c r="U45" s="489">
        <f>((1+J45)/(V44-J45*(1+W44+X44+Y44+Z44+AA44+AB44+AC44+AD44+AE44+AF44+AG44+AH44+AI44+AJ44+AK44+AL44+AM44+AN44+AO44+AP44+AQ44+AR44)))-1</f>
        <v>5.2209325009728857E-3</v>
      </c>
      <c r="V45" s="488">
        <f t="shared" si="15"/>
        <v>1.0581041975260832</v>
      </c>
      <c r="W45" s="488">
        <f t="shared" si="11"/>
        <v>1.0052209325009729</v>
      </c>
      <c r="X45" s="488">
        <f t="shared" si="16"/>
        <v>1.0102120857536905</v>
      </c>
      <c r="Y45" s="488">
        <f t="shared" si="17"/>
        <v>1.0149711585737917</v>
      </c>
      <c r="Z45" s="488">
        <f t="shared" si="18"/>
        <v>1.0194959562550951</v>
      </c>
      <c r="AA45" s="488">
        <f t="shared" si="19"/>
        <v>1.0279737691276154</v>
      </c>
      <c r="AB45" s="488">
        <f t="shared" si="20"/>
        <v>1.0357970947706141</v>
      </c>
      <c r="AC45" s="488">
        <f t="shared" si="21"/>
        <v>1.0429572846983193</v>
      </c>
      <c r="AD45" s="488">
        <f t="shared" si="22"/>
        <v>1.0494465399018185</v>
      </c>
      <c r="AE45" s="488">
        <f t="shared" si="23"/>
        <v>1.0552579247082652</v>
      </c>
      <c r="AF45" s="488">
        <f t="shared" si="24"/>
        <v>1.0640602558722683</v>
      </c>
      <c r="AG45" s="488">
        <f t="shared" si="25"/>
        <v>1.0716559869166258</v>
      </c>
      <c r="AH45" s="488">
        <f t="shared" si="26"/>
        <v>1.078032510814708</v>
      </c>
      <c r="AI45" s="488">
        <f t="shared" si="27"/>
        <v>1.0856761396768944</v>
      </c>
      <c r="AJ45" s="488">
        <f t="shared" si="28"/>
        <v>1.0918959560162407</v>
      </c>
      <c r="AK45" s="488">
        <f t="shared" si="29"/>
        <v>1.0963536584890987</v>
      </c>
      <c r="AL45" s="488">
        <f t="shared" si="30"/>
        <v>1.0994786745489045</v>
      </c>
      <c r="AM45" s="488">
        <f t="shared" si="31"/>
        <v>1.1007236899484325</v>
      </c>
      <c r="AN45" s="488">
        <f t="shared" si="32"/>
        <v>1.1004190274982235</v>
      </c>
      <c r="AO45" s="488">
        <f t="shared" si="34"/>
        <v>1.0975180821588797</v>
      </c>
      <c r="AP45" s="488">
        <f t="shared" si="35"/>
        <v>1.0926160966682199</v>
      </c>
      <c r="AQ45" s="488">
        <f t="shared" si="36"/>
        <v>1.0856618085547618</v>
      </c>
      <c r="AR45" s="488">
        <f t="shared" si="37"/>
        <v>1.077146491241546</v>
      </c>
      <c r="AS45" s="488">
        <f t="shared" ref="AS45:AS51" si="38">V45/V22</f>
        <v>1.067208261618724</v>
      </c>
      <c r="AT45" s="488"/>
      <c r="AU45" s="488"/>
      <c r="AV45" s="488"/>
      <c r="AW45" s="488"/>
      <c r="AX45" s="488"/>
      <c r="AY45" s="488"/>
    </row>
    <row r="46" spans="3:51">
      <c r="C46" s="481">
        <v>25</v>
      </c>
      <c r="D46" s="495">
        <f>'Swap and Yield Curves'!D119</f>
        <v>0.24</v>
      </c>
      <c r="E46" s="492">
        <f t="shared" si="0"/>
        <v>1</v>
      </c>
      <c r="F46" s="492">
        <f t="shared" si="1"/>
        <v>0</v>
      </c>
      <c r="G46" s="492">
        <f t="shared" si="2"/>
        <v>0</v>
      </c>
      <c r="H46" s="492">
        <f t="shared" si="3"/>
        <v>0.24</v>
      </c>
      <c r="I46" s="459">
        <f t="shared" si="12"/>
        <v>25</v>
      </c>
      <c r="J46" s="482">
        <f t="shared" si="4"/>
        <v>2.4014400000000879E-3</v>
      </c>
      <c r="K46" s="491">
        <f t="shared" si="13"/>
        <v>2.4807526197989649E-3</v>
      </c>
      <c r="L46" s="494">
        <f t="shared" si="5"/>
        <v>2.4807526197989649E-3</v>
      </c>
      <c r="M46" s="483">
        <f>'All Curves'!AD39</f>
        <v>4.6625563503392697E-4</v>
      </c>
      <c r="N46" s="483">
        <f t="shared" si="6"/>
        <v>2.0144969847650379E-3</v>
      </c>
      <c r="O46" s="492">
        <f t="shared" si="7"/>
        <v>1</v>
      </c>
      <c r="P46" s="492">
        <f t="shared" si="8"/>
        <v>0</v>
      </c>
      <c r="Q46" s="492">
        <f t="shared" si="33"/>
        <v>0</v>
      </c>
      <c r="R46" s="505">
        <f t="shared" si="9"/>
        <v>2.0144969847650379E-3</v>
      </c>
      <c r="S46" s="483">
        <f t="shared" si="14"/>
        <v>2.4807526197989649E-3</v>
      </c>
      <c r="T46" s="483">
        <f t="shared" si="10"/>
        <v>-7.9312619798876938E-5</v>
      </c>
      <c r="U46" s="489">
        <f>((1+J46)/(V45-J46*(1+W45+X45+Y45+Z45+AA45+AB45+AC45+AD45+AE45+AF45+AG45+AH45+AI45+AJ45+AK45+AL45+AM45+AN45+AO45+AP45+AQ45+AR45+AS45)))-1</f>
        <v>5.4781523528504295E-3</v>
      </c>
      <c r="V46" s="488">
        <f t="shared" si="15"/>
        <v>1.0639006535253217</v>
      </c>
      <c r="W46" s="488">
        <f t="shared" si="11"/>
        <v>1.0054781523528504</v>
      </c>
      <c r="X46" s="488">
        <f t="shared" si="16"/>
        <v>1.0107276859174876</v>
      </c>
      <c r="Y46" s="488">
        <f t="shared" si="17"/>
        <v>1.0157461814681401</v>
      </c>
      <c r="Z46" s="488">
        <f t="shared" si="18"/>
        <v>1.0205313252142083</v>
      </c>
      <c r="AA46" s="488">
        <f t="shared" si="19"/>
        <v>1.0250809104265757</v>
      </c>
      <c r="AB46" s="488">
        <f t="shared" si="20"/>
        <v>1.0336051660496306</v>
      </c>
      <c r="AC46" s="488">
        <f t="shared" si="21"/>
        <v>1.0414713490624075</v>
      </c>
      <c r="AD46" s="488">
        <f t="shared" si="22"/>
        <v>1.0486707636014121</v>
      </c>
      <c r="AE46" s="488">
        <f t="shared" si="23"/>
        <v>1.0551955679335723</v>
      </c>
      <c r="AF46" s="488">
        <f t="shared" si="24"/>
        <v>1.0610387883913699</v>
      </c>
      <c r="AG46" s="488">
        <f t="shared" si="25"/>
        <v>1.0698893400665497</v>
      </c>
      <c r="AH46" s="488">
        <f t="shared" si="26"/>
        <v>1.0775266816827995</v>
      </c>
      <c r="AI46" s="488">
        <f t="shared" si="27"/>
        <v>1.083938137150277</v>
      </c>
      <c r="AJ46" s="488">
        <f t="shared" si="28"/>
        <v>1.0916236389758991</v>
      </c>
      <c r="AK46" s="488">
        <f t="shared" si="29"/>
        <v>1.097877528416759</v>
      </c>
      <c r="AL46" s="488">
        <f t="shared" si="30"/>
        <v>1.102359650862907</v>
      </c>
      <c r="AM46" s="488">
        <f t="shared" si="31"/>
        <v>1.1055017862367935</v>
      </c>
      <c r="AN46" s="488">
        <f t="shared" si="32"/>
        <v>1.1067536220203618</v>
      </c>
      <c r="AO46" s="488">
        <f t="shared" si="34"/>
        <v>1.1064472905828344</v>
      </c>
      <c r="AP46" s="488">
        <f t="shared" si="35"/>
        <v>1.1035304534229544</v>
      </c>
      <c r="AQ46" s="488">
        <f t="shared" si="36"/>
        <v>1.0986016141089452</v>
      </c>
      <c r="AR46" s="488">
        <f t="shared" si="37"/>
        <v>1.091609229345696</v>
      </c>
      <c r="AS46" s="488">
        <f t="shared" si="38"/>
        <v>1.0830472638269055</v>
      </c>
      <c r="AT46" s="488">
        <f t="shared" ref="AT46:AT51" si="39">V46/V22</f>
        <v>1.073054591068092</v>
      </c>
      <c r="AU46" s="488"/>
      <c r="AV46" s="488"/>
      <c r="AW46" s="488"/>
      <c r="AX46" s="488"/>
      <c r="AY46" s="488"/>
    </row>
    <row r="47" spans="3:51">
      <c r="C47" s="481">
        <v>26</v>
      </c>
      <c r="D47" s="484"/>
      <c r="E47" s="492" t="str">
        <f t="shared" si="0"/>
        <v/>
      </c>
      <c r="F47" s="492">
        <f t="shared" si="1"/>
        <v>1</v>
      </c>
      <c r="G47" s="492">
        <f t="shared" si="2"/>
        <v>0.24</v>
      </c>
      <c r="H47" s="492">
        <f t="shared" si="3"/>
        <v>0.24299999999999999</v>
      </c>
      <c r="I47" s="459">
        <f t="shared" si="12"/>
        <v>26</v>
      </c>
      <c r="J47" s="482">
        <f t="shared" si="4"/>
        <v>2.4314762249999511E-3</v>
      </c>
      <c r="K47" s="491">
        <f t="shared" si="13"/>
        <v>2.5096864450331324E-3</v>
      </c>
      <c r="L47" s="494" t="str">
        <f t="shared" si="5"/>
        <v/>
      </c>
      <c r="M47" s="483">
        <f>'All Curves'!AD40</f>
        <v>5.7298796654212808E-4</v>
      </c>
      <c r="N47" s="483" t="str">
        <f t="shared" si="6"/>
        <v/>
      </c>
      <c r="O47" s="492" t="str">
        <f t="shared" si="7"/>
        <v/>
      </c>
      <c r="P47" s="492">
        <f t="shared" si="8"/>
        <v>1</v>
      </c>
      <c r="Q47" s="492">
        <f t="shared" si="33"/>
        <v>2.0144969847650379E-3</v>
      </c>
      <c r="R47" s="505">
        <f t="shared" si="9"/>
        <v>1.9867011190506955E-3</v>
      </c>
      <c r="S47" s="483">
        <f t="shared" si="14"/>
        <v>2.5596890855928236E-3</v>
      </c>
      <c r="T47" s="483">
        <f t="shared" si="10"/>
        <v>-7.8210220033181344E-5</v>
      </c>
      <c r="U47" s="489">
        <f>((1+J47)/(V46-J47*(1+W46+X46+Y46+Z46+AA46+AB46+AC46+AD46+AE46+AF46+AG46+AH46+AI46+AJ46+AK46+AL46+AM46+AN46+AO46+AP46+AQ46+AR46+AS46+AT46)))-1</f>
        <v>3.2333035443021796E-3</v>
      </c>
      <c r="V47" s="488">
        <f t="shared" si="15"/>
        <v>1.0673405672791505</v>
      </c>
      <c r="W47" s="488">
        <f t="shared" si="11"/>
        <v>1.0032333035443022</v>
      </c>
      <c r="X47" s="488">
        <f t="shared" si="16"/>
        <v>1.0087291684265713</v>
      </c>
      <c r="Y47" s="488">
        <f t="shared" si="17"/>
        <v>1.013995675326689</v>
      </c>
      <c r="Z47" s="488">
        <f t="shared" si="18"/>
        <v>1.0190303971967924</v>
      </c>
      <c r="AA47" s="488">
        <f t="shared" si="19"/>
        <v>1.0238310127650947</v>
      </c>
      <c r="AB47" s="488">
        <f t="shared" si="20"/>
        <v>1.0283953081674544</v>
      </c>
      <c r="AC47" s="488">
        <f t="shared" si="21"/>
        <v>1.0369471252964277</v>
      </c>
      <c r="AD47" s="488">
        <f t="shared" si="22"/>
        <v>1.0448387420666201</v>
      </c>
      <c r="AE47" s="488">
        <f t="shared" si="23"/>
        <v>1.0520614344981705</v>
      </c>
      <c r="AF47" s="488">
        <f t="shared" si="24"/>
        <v>1.0586073355033039</v>
      </c>
      <c r="AG47" s="488">
        <f t="shared" si="25"/>
        <v>1.0644694488665178</v>
      </c>
      <c r="AH47" s="488">
        <f t="shared" si="26"/>
        <v>1.0733486170617978</v>
      </c>
      <c r="AI47" s="488">
        <f t="shared" si="27"/>
        <v>1.0810106525217646</v>
      </c>
      <c r="AJ47" s="488">
        <f t="shared" si="28"/>
        <v>1.0874428381709291</v>
      </c>
      <c r="AK47" s="488">
        <f t="shared" si="29"/>
        <v>1.0951531895568438</v>
      </c>
      <c r="AL47" s="488">
        <f t="shared" si="30"/>
        <v>1.1014272997205985</v>
      </c>
      <c r="AM47" s="488">
        <f t="shared" si="31"/>
        <v>1.1059239142291377</v>
      </c>
      <c r="AN47" s="488">
        <f t="shared" si="32"/>
        <v>1.1090762090804653</v>
      </c>
      <c r="AO47" s="488">
        <f t="shared" si="34"/>
        <v>1.1103320924291096</v>
      </c>
      <c r="AP47" s="488">
        <f t="shared" si="35"/>
        <v>1.1100247705290593</v>
      </c>
      <c r="AQ47" s="488">
        <f t="shared" si="36"/>
        <v>1.1070985023492521</v>
      </c>
      <c r="AR47" s="488">
        <f t="shared" si="37"/>
        <v>1.1021537266016197</v>
      </c>
      <c r="AS47" s="488">
        <f t="shared" si="38"/>
        <v>1.0951387333359324</v>
      </c>
      <c r="AT47" s="488">
        <f t="shared" si="39"/>
        <v>1.0865490843836838</v>
      </c>
      <c r="AU47" s="488">
        <f>V47/V22</f>
        <v>1.076524102280622</v>
      </c>
      <c r="AV47" s="488"/>
      <c r="AW47" s="488"/>
      <c r="AX47" s="488"/>
      <c r="AY47" s="488"/>
    </row>
    <row r="48" spans="3:51">
      <c r="C48" s="481">
        <v>27</v>
      </c>
      <c r="D48" s="484"/>
      <c r="E48" s="492" t="str">
        <f t="shared" si="0"/>
        <v/>
      </c>
      <c r="F48" s="492">
        <f t="shared" si="1"/>
        <v>2</v>
      </c>
      <c r="G48" s="492">
        <f t="shared" si="2"/>
        <v>0.24</v>
      </c>
      <c r="H48" s="492">
        <f t="shared" si="3"/>
        <v>0.246</v>
      </c>
      <c r="I48" s="459">
        <f t="shared" si="12"/>
        <v>27</v>
      </c>
      <c r="J48" s="482">
        <f t="shared" si="4"/>
        <v>2.4615129000000735E-3</v>
      </c>
      <c r="K48" s="491">
        <f t="shared" si="13"/>
        <v>2.5388030205308887E-3</v>
      </c>
      <c r="L48" s="494" t="str">
        <f t="shared" si="5"/>
        <v/>
      </c>
      <c r="M48" s="483">
        <f>'All Curves'!AD41</f>
        <v>6.5388937233092775E-4</v>
      </c>
      <c r="N48" s="483" t="str">
        <f t="shared" si="6"/>
        <v/>
      </c>
      <c r="O48" s="492" t="str">
        <f t="shared" si="7"/>
        <v/>
      </c>
      <c r="P48" s="492">
        <f t="shared" si="8"/>
        <v>2</v>
      </c>
      <c r="Q48" s="492">
        <f t="shared" si="33"/>
        <v>2.0144969847650379E-3</v>
      </c>
      <c r="R48" s="505">
        <f t="shared" si="9"/>
        <v>1.958905253336354E-3</v>
      </c>
      <c r="S48" s="483">
        <f t="shared" si="14"/>
        <v>2.6127946256672818E-3</v>
      </c>
      <c r="T48" s="483">
        <f t="shared" si="10"/>
        <v>-7.7290120530815187E-5</v>
      </c>
      <c r="U48" s="489">
        <f>((1+J48)/(V47-J48*(1+W47+X47+Y47+Z47+AA47+AB47+AC47+AD47+AE47+AF47+AG47+AH47+AI47+AJ47+AK47+AL47+AM47+AN47+AO47+AP47+AQ47+AR47+AS47+AT47+AU47)))-1</f>
        <v>3.2961308794088318E-3</v>
      </c>
      <c r="V48" s="488">
        <f t="shared" si="15"/>
        <v>1.070858661481805</v>
      </c>
      <c r="W48" s="488">
        <f t="shared" si="11"/>
        <v>1.0032961308794088</v>
      </c>
      <c r="X48" s="488">
        <f t="shared" si="16"/>
        <v>1.0065400918153657</v>
      </c>
      <c r="Y48" s="488">
        <f t="shared" si="17"/>
        <v>1.0120540717875826</v>
      </c>
      <c r="Z48" s="488">
        <f t="shared" si="18"/>
        <v>1.0173379377837202</v>
      </c>
      <c r="AA48" s="488">
        <f t="shared" si="19"/>
        <v>1.0223892547560489</v>
      </c>
      <c r="AB48" s="488">
        <f t="shared" si="20"/>
        <v>1.0272056937815661</v>
      </c>
      <c r="AC48" s="488">
        <f t="shared" si="21"/>
        <v>1.0317850336989443</v>
      </c>
      <c r="AD48" s="488">
        <f t="shared" si="22"/>
        <v>1.0403650387364316</v>
      </c>
      <c r="AE48" s="488">
        <f t="shared" si="23"/>
        <v>1.0482826673083485</v>
      </c>
      <c r="AF48" s="488">
        <f t="shared" si="24"/>
        <v>1.0555291666794551</v>
      </c>
      <c r="AG48" s="488">
        <f t="shared" si="25"/>
        <v>1.0620966438310249</v>
      </c>
      <c r="AH48" s="488">
        <f t="shared" si="26"/>
        <v>1.0679780794871139</v>
      </c>
      <c r="AI48" s="488">
        <f t="shared" si="27"/>
        <v>1.0768865145828659</v>
      </c>
      <c r="AJ48" s="488">
        <f t="shared" si="28"/>
        <v>1.0845738051145115</v>
      </c>
      <c r="AK48" s="488">
        <f t="shared" si="29"/>
        <v>1.0910271920894163</v>
      </c>
      <c r="AL48" s="488">
        <f t="shared" si="30"/>
        <v>1.098762957802625</v>
      </c>
      <c r="AM48" s="488">
        <f t="shared" si="31"/>
        <v>1.1050577482546313</v>
      </c>
      <c r="AN48" s="488">
        <f t="shared" si="32"/>
        <v>1.109569184193105</v>
      </c>
      <c r="AO48" s="488">
        <f t="shared" si="34"/>
        <v>1.112731869420833</v>
      </c>
      <c r="AP48" s="488">
        <f t="shared" si="35"/>
        <v>1.1139918923253636</v>
      </c>
      <c r="AQ48" s="488">
        <f t="shared" si="36"/>
        <v>1.1136835574521089</v>
      </c>
      <c r="AR48" s="488">
        <f t="shared" si="37"/>
        <v>1.1107476439093926</v>
      </c>
      <c r="AS48" s="488">
        <f t="shared" si="38"/>
        <v>1.1057865695337268</v>
      </c>
      <c r="AT48" s="488">
        <f t="shared" si="39"/>
        <v>1.0987484539321175</v>
      </c>
      <c r="AU48" s="488">
        <f>V48/V23</f>
        <v>1.0901304923727142</v>
      </c>
      <c r="AV48" s="488">
        <f>V48/V22</f>
        <v>1.0800724666165771</v>
      </c>
      <c r="AW48" s="488"/>
      <c r="AX48" s="488"/>
      <c r="AY48" s="488"/>
    </row>
    <row r="49" spans="3:51">
      <c r="C49" s="481">
        <v>28</v>
      </c>
      <c r="D49" s="484"/>
      <c r="E49" s="492" t="str">
        <f t="shared" si="0"/>
        <v/>
      </c>
      <c r="F49" s="492">
        <f t="shared" si="1"/>
        <v>3</v>
      </c>
      <c r="G49" s="492">
        <f t="shared" si="2"/>
        <v>0.24</v>
      </c>
      <c r="H49" s="492">
        <f t="shared" si="3"/>
        <v>0.249</v>
      </c>
      <c r="I49" s="459">
        <f t="shared" si="12"/>
        <v>28</v>
      </c>
      <c r="J49" s="482">
        <f t="shared" si="4"/>
        <v>2.4915500249997891E-3</v>
      </c>
      <c r="K49" s="491">
        <f t="shared" si="13"/>
        <v>2.5680885807670695E-3</v>
      </c>
      <c r="L49" s="494" t="str">
        <f t="shared" si="5"/>
        <v/>
      </c>
      <c r="M49" s="483">
        <f>'All Curves'!AD42</f>
        <v>7.0997430370111497E-4</v>
      </c>
      <c r="N49" s="483" t="str">
        <f t="shared" si="6"/>
        <v/>
      </c>
      <c r="O49" s="492" t="str">
        <f t="shared" si="7"/>
        <v/>
      </c>
      <c r="P49" s="492">
        <f t="shared" si="8"/>
        <v>3</v>
      </c>
      <c r="Q49" s="492">
        <f t="shared" si="33"/>
        <v>2.0144969847650379E-3</v>
      </c>
      <c r="R49" s="505">
        <f t="shared" si="9"/>
        <v>1.9311093876220125E-3</v>
      </c>
      <c r="S49" s="483">
        <f t="shared" si="14"/>
        <v>2.6410836913231274E-3</v>
      </c>
      <c r="T49" s="483">
        <f t="shared" si="10"/>
        <v>-7.6538555767280414E-5</v>
      </c>
      <c r="U49" s="489">
        <f>((1+J49)/(V48-J49*(1+W48+X48+Y48+Z48+AA48+AB48+AC48+AD48+AE48+AF48+AG48+AH48+AI48+AJ48+AK48+AL48+AM48+AN48+AO48+AP48+AQ48+AR48+AS48+AT48+AU48+AV48)))-1</f>
        <v>3.3591221575028918E-3</v>
      </c>
      <c r="V49" s="488">
        <f t="shared" si="15"/>
        <v>1.0744558065391423</v>
      </c>
      <c r="W49" s="488">
        <f t="shared" si="11"/>
        <v>1.0033591221575029</v>
      </c>
      <c r="X49" s="488">
        <f t="shared" si="16"/>
        <v>1.0066663251431827</v>
      </c>
      <c r="Y49" s="488">
        <f t="shared" si="17"/>
        <v>1.0099211829401977</v>
      </c>
      <c r="Z49" s="488">
        <f t="shared" si="18"/>
        <v>1.0154536850447151</v>
      </c>
      <c r="AA49" s="488">
        <f t="shared" si="19"/>
        <v>1.0207553001921978</v>
      </c>
      <c r="AB49" s="488">
        <f t="shared" si="20"/>
        <v>1.0258235851552928</v>
      </c>
      <c r="AC49" s="488">
        <f t="shared" si="21"/>
        <v>1.0306562031878608</v>
      </c>
      <c r="AD49" s="488">
        <f t="shared" si="22"/>
        <v>1.0352509256674221</v>
      </c>
      <c r="AE49" s="488">
        <f t="shared" si="23"/>
        <v>1.0438597519899424</v>
      </c>
      <c r="AF49" s="488">
        <f t="shared" si="24"/>
        <v>1.0518039768434302</v>
      </c>
      <c r="AG49" s="488">
        <f t="shared" si="25"/>
        <v>1.0590748180911385</v>
      </c>
      <c r="AH49" s="488">
        <f t="shared" si="26"/>
        <v>1.0656643562007271</v>
      </c>
      <c r="AI49" s="488">
        <f t="shared" si="27"/>
        <v>1.0715655483176463</v>
      </c>
      <c r="AJ49" s="488">
        <f t="shared" si="28"/>
        <v>1.0805039079351173</v>
      </c>
      <c r="AK49" s="488">
        <f t="shared" si="29"/>
        <v>1.0882170210147186</v>
      </c>
      <c r="AL49" s="488">
        <f t="shared" si="30"/>
        <v>1.0946920857048019</v>
      </c>
      <c r="AM49" s="488">
        <f t="shared" si="31"/>
        <v>1.1024538368000232</v>
      </c>
      <c r="AN49" s="488">
        <f t="shared" si="32"/>
        <v>1.1087697722221137</v>
      </c>
      <c r="AO49" s="488">
        <f t="shared" si="34"/>
        <v>1.1132963626250103</v>
      </c>
      <c r="AP49" s="488">
        <f t="shared" si="35"/>
        <v>1.1164696716987641</v>
      </c>
      <c r="AQ49" s="488">
        <f t="shared" si="36"/>
        <v>1.1177339271741522</v>
      </c>
      <c r="AR49" s="488">
        <f t="shared" si="37"/>
        <v>1.1174245565663927</v>
      </c>
      <c r="AS49" s="488">
        <f t="shared" si="38"/>
        <v>1.1144787809314427</v>
      </c>
      <c r="AT49" s="488">
        <f t="shared" si="39"/>
        <v>1.1095010417009166</v>
      </c>
      <c r="AU49" s="488">
        <f>V49/V24</f>
        <v>1.1024392842092428</v>
      </c>
      <c r="AV49" s="488">
        <f>V49/V23</f>
        <v>1.0937923738642128</v>
      </c>
      <c r="AW49" s="488">
        <f>V49/V22</f>
        <v>1.0837005619708975</v>
      </c>
      <c r="AX49" s="488"/>
      <c r="AY49" s="488"/>
    </row>
    <row r="50" spans="3:51">
      <c r="C50" s="481">
        <v>29</v>
      </c>
      <c r="D50" s="484"/>
      <c r="E50" s="492" t="str">
        <f t="shared" si="0"/>
        <v/>
      </c>
      <c r="F50" s="492">
        <f t="shared" si="1"/>
        <v>4</v>
      </c>
      <c r="G50" s="492">
        <f t="shared" si="2"/>
        <v>0.24</v>
      </c>
      <c r="H50" s="492">
        <f t="shared" si="3"/>
        <v>0.252</v>
      </c>
      <c r="I50" s="459">
        <f t="shared" si="12"/>
        <v>29</v>
      </c>
      <c r="J50" s="482">
        <f t="shared" si="4"/>
        <v>2.5215875999999859E-3</v>
      </c>
      <c r="K50" s="491">
        <f t="shared" si="13"/>
        <v>2.5975314255075599E-3</v>
      </c>
      <c r="L50" s="494" t="str">
        <f t="shared" si="5"/>
        <v/>
      </c>
      <c r="M50" s="483">
        <f>'All Curves'!AD43</f>
        <v>7.4222732786258933E-4</v>
      </c>
      <c r="N50" s="483" t="str">
        <f t="shared" si="6"/>
        <v/>
      </c>
      <c r="O50" s="492" t="str">
        <f t="shared" si="7"/>
        <v/>
      </c>
      <c r="P50" s="492">
        <f t="shared" si="8"/>
        <v>4</v>
      </c>
      <c r="Q50" s="492">
        <f t="shared" si="33"/>
        <v>2.0144969847650379E-3</v>
      </c>
      <c r="R50" s="505">
        <f t="shared" si="9"/>
        <v>1.9033135219076707E-3</v>
      </c>
      <c r="S50" s="483">
        <f t="shared" si="14"/>
        <v>2.6455408497702603E-3</v>
      </c>
      <c r="T50" s="483">
        <f t="shared" si="10"/>
        <v>-7.5943825507573948E-5</v>
      </c>
      <c r="U50" s="489">
        <f>((1+J50)/(V49-J50*(1+W49+X49+Y49+Z49+AA49+AB49+AC49+AD49+AE49+AF49+AG49+AH49+AI49+AJ49+AK49+AL49+AM49+AN49+AO49+AP49+AQ49+AR49+AS49+AT49+AU49+AV49+AW49)))-1</f>
        <v>3.4222822232412575E-3</v>
      </c>
      <c r="V50" s="488">
        <f t="shared" si="15"/>
        <v>1.0781328975455196</v>
      </c>
      <c r="W50" s="488">
        <f t="shared" si="11"/>
        <v>1.0034222822232413</v>
      </c>
      <c r="X50" s="488">
        <f t="shared" si="16"/>
        <v>1.0067929002447893</v>
      </c>
      <c r="Y50" s="488">
        <f t="shared" si="17"/>
        <v>1.0101114214124558</v>
      </c>
      <c r="Z50" s="488">
        <f t="shared" si="18"/>
        <v>1.0133774182514488</v>
      </c>
      <c r="AA50" s="488">
        <f t="shared" si="19"/>
        <v>1.0189288541395685</v>
      </c>
      <c r="AB50" s="488">
        <f t="shared" si="20"/>
        <v>1.0242486129103248</v>
      </c>
      <c r="AC50" s="488">
        <f t="shared" si="21"/>
        <v>1.0293342429749515</v>
      </c>
      <c r="AD50" s="488">
        <f t="shared" si="22"/>
        <v>1.034183399590304</v>
      </c>
      <c r="AE50" s="488">
        <f t="shared" si="23"/>
        <v>1.0387938465069277</v>
      </c>
      <c r="AF50" s="488">
        <f t="shared" si="24"/>
        <v>1.0474321346627344</v>
      </c>
      <c r="AG50" s="488">
        <f t="shared" si="25"/>
        <v>1.0554035468957159</v>
      </c>
      <c r="AH50" s="488">
        <f t="shared" si="26"/>
        <v>1.0626992710141743</v>
      </c>
      <c r="AI50" s="488">
        <f t="shared" si="27"/>
        <v>1.0693113603828948</v>
      </c>
      <c r="AJ50" s="488">
        <f t="shared" si="28"/>
        <v>1.0752327480446917</v>
      </c>
      <c r="AK50" s="488">
        <f t="shared" si="29"/>
        <v>1.0842016972513864</v>
      </c>
      <c r="AL50" s="488">
        <f t="shared" si="30"/>
        <v>1.0919412067807659</v>
      </c>
      <c r="AM50" s="488">
        <f t="shared" si="31"/>
        <v>1.0984384309696325</v>
      </c>
      <c r="AN50" s="488">
        <f t="shared" si="32"/>
        <v>1.1062267449676482</v>
      </c>
      <c r="AO50" s="488">
        <f t="shared" si="34"/>
        <v>1.1125642953032566</v>
      </c>
      <c r="AP50" s="488">
        <f t="shared" si="35"/>
        <v>1.117106376976021</v>
      </c>
      <c r="AQ50" s="488">
        <f t="shared" si="36"/>
        <v>1.1202905460090067</v>
      </c>
      <c r="AR50" s="488">
        <f t="shared" si="37"/>
        <v>1.1215591281234341</v>
      </c>
      <c r="AS50" s="488">
        <f t="shared" si="38"/>
        <v>1.1212486987621433</v>
      </c>
      <c r="AT50" s="488">
        <f t="shared" si="39"/>
        <v>1.118292841851604</v>
      </c>
      <c r="AU50" s="488">
        <f>V50/V25</f>
        <v>1.1132980673925972</v>
      </c>
      <c r="AV50" s="488">
        <f>V50/V24</f>
        <v>1.106212142573795</v>
      </c>
      <c r="AW50" s="488">
        <f>V50/V23</f>
        <v>1.0975356400612053</v>
      </c>
      <c r="AX50" s="488">
        <f>V50/V22</f>
        <v>1.0874092911394471</v>
      </c>
      <c r="AY50" s="488"/>
    </row>
    <row r="51" spans="3:51" ht="13.5" thickBot="1">
      <c r="C51" s="485">
        <v>30</v>
      </c>
      <c r="D51" s="493">
        <f>'Swap and Yield Curves'!D120</f>
        <v>0.255</v>
      </c>
      <c r="E51" s="492">
        <f t="shared" si="0"/>
        <v>1</v>
      </c>
      <c r="F51" s="492">
        <f t="shared" si="1"/>
        <v>0</v>
      </c>
      <c r="G51" s="492">
        <f t="shared" si="2"/>
        <v>0</v>
      </c>
      <c r="H51" s="492">
        <f t="shared" si="3"/>
        <v>0.255</v>
      </c>
      <c r="I51" s="459">
        <f t="shared" si="12"/>
        <v>30</v>
      </c>
      <c r="J51" s="482">
        <f t="shared" si="4"/>
        <v>2.551625624999776E-3</v>
      </c>
      <c r="K51" s="491">
        <f t="shared" si="13"/>
        <v>2.6271215778721491E-3</v>
      </c>
      <c r="L51" s="490">
        <f t="shared" si="5"/>
        <v>2.6271215778721491E-3</v>
      </c>
      <c r="M51" s="483">
        <f>'All Curves'!AD44</f>
        <v>7.5160392167882006E-4</v>
      </c>
      <c r="N51" s="483">
        <f t="shared" si="6"/>
        <v>1.875517656193329E-3</v>
      </c>
      <c r="O51" s="492">
        <f t="shared" si="7"/>
        <v>1</v>
      </c>
      <c r="P51" s="492">
        <f t="shared" si="8"/>
        <v>0</v>
      </c>
      <c r="Q51" s="492">
        <f t="shared" si="33"/>
        <v>0</v>
      </c>
      <c r="R51" s="505">
        <f t="shared" si="9"/>
        <v>1.875517656193329E-3</v>
      </c>
      <c r="S51" s="483">
        <f t="shared" si="14"/>
        <v>2.6271215778721491E-3</v>
      </c>
      <c r="T51" s="483">
        <f t="shared" si="10"/>
        <v>-7.5495952872373095E-5</v>
      </c>
      <c r="U51" s="489">
        <f>((1+J51)/(V50-J51*(1+W50+X50+Y50+Z50+AA50+AB50+AC50+AD50+AE50+AF50+AG50+AH50+AI50+AJ50+AK50+AL50+AM50+AN50+AO50+AP50+AQ50+AR50+AS50+AT50+AU50+AV50+AW50+AX50)))-1</f>
        <v>3.4856159903819961E-3</v>
      </c>
      <c r="V51" s="488">
        <f t="shared" si="15"/>
        <v>1.0818908548129611</v>
      </c>
      <c r="W51" s="488">
        <f t="shared" si="11"/>
        <v>1.003485615990382</v>
      </c>
      <c r="X51" s="488">
        <f t="shared" si="16"/>
        <v>1.0069198269752642</v>
      </c>
      <c r="Y51" s="488">
        <f t="shared" si="17"/>
        <v>1.0103021936768857</v>
      </c>
      <c r="Z51" s="488">
        <f t="shared" si="18"/>
        <v>1.0136322819349985</v>
      </c>
      <c r="AA51" s="488">
        <f t="shared" si="19"/>
        <v>1.016909662784798</v>
      </c>
      <c r="AB51" s="488">
        <f t="shared" si="20"/>
        <v>1.022480448846619</v>
      </c>
      <c r="AC51" s="488">
        <f t="shared" si="21"/>
        <v>1.0278187502536116</v>
      </c>
      <c r="AD51" s="488">
        <f t="shared" si="22"/>
        <v>1.0329221068717127</v>
      </c>
      <c r="AE51" s="488">
        <f t="shared" si="23"/>
        <v>1.0377881657849035</v>
      </c>
      <c r="AF51" s="488">
        <f t="shared" si="24"/>
        <v>1.0424146829490228</v>
      </c>
      <c r="AG51" s="488">
        <f t="shared" si="25"/>
        <v>1.051083080860155</v>
      </c>
      <c r="AH51" s="488">
        <f t="shared" si="26"/>
        <v>1.0590822783750815</v>
      </c>
      <c r="AI51" s="488">
        <f t="shared" si="27"/>
        <v>1.0664034325861884</v>
      </c>
      <c r="AJ51" s="488">
        <f t="shared" si="28"/>
        <v>1.0730385691593425</v>
      </c>
      <c r="AK51" s="488">
        <f t="shared" si="29"/>
        <v>1.0789805965046586</v>
      </c>
      <c r="AL51" s="488">
        <f t="shared" si="30"/>
        <v>1.0879808080241251</v>
      </c>
      <c r="AM51" s="488">
        <f t="shared" si="31"/>
        <v>1.095747294511678</v>
      </c>
      <c r="AN51" s="488">
        <f t="shared" si="32"/>
        <v>1.1022671655290703</v>
      </c>
      <c r="AO51" s="488">
        <f t="shared" si="34"/>
        <v>1.1100826265988954</v>
      </c>
      <c r="AP51" s="488">
        <f t="shared" si="35"/>
        <v>1.1164422672012937</v>
      </c>
      <c r="AQ51" s="488">
        <f t="shared" si="36"/>
        <v>1.1210001808265664</v>
      </c>
      <c r="AR51" s="488">
        <f t="shared" si="37"/>
        <v>1.1241954486500496</v>
      </c>
      <c r="AS51" s="488">
        <f t="shared" si="38"/>
        <v>1.1254684525545799</v>
      </c>
      <c r="AT51" s="488">
        <f t="shared" si="39"/>
        <v>1.1251569411557436</v>
      </c>
      <c r="AU51" s="488">
        <f>V51/V26</f>
        <v>1.1221907812630918</v>
      </c>
      <c r="AV51" s="488">
        <f>V51/V25</f>
        <v>1.1171785969383623</v>
      </c>
      <c r="AW51" s="488">
        <f>V51/V24</f>
        <v>1.1100679733067049</v>
      </c>
      <c r="AX51" s="488">
        <f>V51/V23</f>
        <v>1.1013612278382168</v>
      </c>
      <c r="AY51" s="488">
        <f>V51/V22</f>
        <v>1.0911995823527327</v>
      </c>
    </row>
  </sheetData>
  <pageMargins left="0.75" right="0.75" top="1" bottom="1" header="0.5" footer="0.5"/>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FF9900"/>
  </sheetPr>
  <dimension ref="C1:BI51"/>
  <sheetViews>
    <sheetView showGridLines="0" topLeftCell="C13" workbookViewId="0">
      <selection activeCell="Q51" sqref="Q22:Q51"/>
    </sheetView>
  </sheetViews>
  <sheetFormatPr defaultColWidth="8.85546875" defaultRowHeight="12.75"/>
  <cols>
    <col min="1" max="1" width="8.85546875" style="459"/>
    <col min="2" max="2" width="3.7109375" style="459" customWidth="1"/>
    <col min="3" max="3" width="24" style="459" customWidth="1"/>
    <col min="4" max="4" width="17.42578125" style="459" customWidth="1"/>
    <col min="5" max="5" width="6.140625" style="459" customWidth="1"/>
    <col min="6" max="6" width="6.7109375" style="459" bestFit="1" customWidth="1"/>
    <col min="7" max="7" width="5.5703125" style="459" customWidth="1"/>
    <col min="8" max="8" width="10" style="459" customWidth="1"/>
    <col min="9" max="9" width="5" style="459" customWidth="1"/>
    <col min="10" max="10" width="16.7109375" style="459" bestFit="1" customWidth="1"/>
    <col min="11" max="11" width="12.85546875" style="459" bestFit="1" customWidth="1"/>
    <col min="12" max="12" width="12.42578125" style="459" bestFit="1" customWidth="1"/>
    <col min="13" max="14" width="12.42578125" style="459" customWidth="1"/>
    <col min="15" max="17" width="5.7109375" style="459" bestFit="1" customWidth="1"/>
    <col min="18" max="18" width="12.42578125" style="459" customWidth="1"/>
    <col min="19" max="19" width="8" style="459" customWidth="1"/>
    <col min="20" max="20" width="8.85546875" style="459"/>
    <col min="21" max="36" width="8.85546875" style="460"/>
    <col min="37" max="37" width="8.42578125" style="460" customWidth="1"/>
    <col min="38" max="61" width="8.85546875" style="460"/>
    <col min="62" max="16384" width="8.85546875" style="459"/>
  </cols>
  <sheetData>
    <row r="1" spans="3:35" hidden="1"/>
    <row r="2" spans="3:35" hidden="1"/>
    <row r="3" spans="3:35" hidden="1"/>
    <row r="4" spans="3:35" hidden="1"/>
    <row r="5" spans="3:35" hidden="1"/>
    <row r="6" spans="3:35" hidden="1"/>
    <row r="7" spans="3:35" hidden="1"/>
    <row r="8" spans="3:35" hidden="1"/>
    <row r="9" spans="3:35" hidden="1"/>
    <row r="10" spans="3:35" hidden="1"/>
    <row r="11" spans="3:35" hidden="1"/>
    <row r="12" spans="3:35" hidden="1"/>
    <row r="14" spans="3:35">
      <c r="C14" s="461"/>
      <c r="U14" s="462" t="s">
        <v>460</v>
      </c>
      <c r="V14" s="462"/>
      <c r="W14" s="462"/>
      <c r="X14" s="462"/>
      <c r="Y14" s="462"/>
      <c r="Z14" s="462"/>
      <c r="AA14" s="462"/>
      <c r="AB14" s="462"/>
      <c r="AC14" s="462"/>
      <c r="AD14" s="462"/>
      <c r="AE14" s="462"/>
      <c r="AF14" s="462"/>
      <c r="AG14" s="462"/>
      <c r="AH14" s="462"/>
      <c r="AI14" s="462"/>
    </row>
    <row r="15" spans="3:35">
      <c r="U15" s="462" t="s">
        <v>461</v>
      </c>
      <c r="V15" s="462"/>
      <c r="W15" s="462"/>
      <c r="X15" s="462"/>
      <c r="Y15" s="462"/>
      <c r="Z15" s="462"/>
      <c r="AA15" s="462"/>
      <c r="AB15" s="462"/>
      <c r="AC15" s="462"/>
      <c r="AD15" s="462"/>
      <c r="AE15" s="462"/>
      <c r="AF15" s="462"/>
      <c r="AG15" s="462"/>
      <c r="AH15" s="462"/>
      <c r="AI15" s="462"/>
    </row>
    <row r="16" spans="3:35" ht="13.5" thickBot="1">
      <c r="C16" s="459" t="s">
        <v>462</v>
      </c>
      <c r="D16" s="463" t="s">
        <v>449</v>
      </c>
      <c r="E16" s="463"/>
      <c r="F16" s="463"/>
      <c r="G16" s="463"/>
      <c r="N16" s="463"/>
      <c r="O16" s="463"/>
      <c r="P16" s="463"/>
      <c r="Q16" s="463"/>
      <c r="U16" s="462"/>
      <c r="V16" s="462" t="s">
        <v>463</v>
      </c>
      <c r="W16" s="462"/>
      <c r="X16" s="462"/>
      <c r="Y16" s="462"/>
      <c r="Z16" s="462"/>
      <c r="AA16" s="462"/>
      <c r="AB16" s="462"/>
      <c r="AC16" s="462"/>
      <c r="AD16" s="462"/>
      <c r="AE16" s="462"/>
      <c r="AF16" s="462"/>
      <c r="AG16" s="462"/>
      <c r="AH16" s="462"/>
      <c r="AI16" s="462"/>
    </row>
    <row r="17" spans="3:51">
      <c r="C17" s="459" t="s">
        <v>464</v>
      </c>
      <c r="D17" s="464">
        <v>42004</v>
      </c>
      <c r="E17" s="464"/>
      <c r="F17" s="464"/>
      <c r="G17" s="464"/>
      <c r="L17" s="465"/>
      <c r="M17" s="502"/>
      <c r="N17" s="502"/>
      <c r="O17" s="464"/>
      <c r="P17" s="464"/>
      <c r="Q17" s="464"/>
      <c r="U17" s="462"/>
      <c r="V17" s="462" t="s">
        <v>465</v>
      </c>
      <c r="W17" s="462"/>
      <c r="X17" s="462"/>
      <c r="Y17" s="462"/>
      <c r="Z17" s="462"/>
      <c r="AA17" s="462"/>
      <c r="AB17" s="462"/>
      <c r="AC17" s="462"/>
      <c r="AD17" s="462"/>
      <c r="AE17" s="462"/>
      <c r="AF17" s="462"/>
      <c r="AG17" s="462"/>
      <c r="AH17" s="462"/>
      <c r="AI17" s="462"/>
    </row>
    <row r="18" spans="3:51" ht="39" thickBot="1">
      <c r="H18" s="463" t="s">
        <v>466</v>
      </c>
      <c r="L18" s="466"/>
      <c r="M18" s="459" t="s">
        <v>470</v>
      </c>
      <c r="N18" s="501" t="s">
        <v>515</v>
      </c>
      <c r="R18" s="503" t="s">
        <v>516</v>
      </c>
      <c r="U18" s="462"/>
      <c r="V18" s="462" t="s">
        <v>467</v>
      </c>
      <c r="W18" s="462"/>
      <c r="X18" s="462"/>
      <c r="Y18" s="462"/>
      <c r="Z18" s="462"/>
      <c r="AA18" s="462"/>
      <c r="AB18" s="462"/>
      <c r="AC18" s="462"/>
      <c r="AD18" s="462"/>
      <c r="AE18" s="462"/>
      <c r="AF18" s="462"/>
      <c r="AG18" s="462"/>
      <c r="AH18" s="462"/>
      <c r="AI18" s="462"/>
    </row>
    <row r="19" spans="3:51">
      <c r="C19" s="467"/>
      <c r="D19" s="468" t="s">
        <v>466</v>
      </c>
      <c r="E19" s="469"/>
      <c r="F19" s="469"/>
      <c r="G19" s="469"/>
      <c r="H19" s="463" t="s">
        <v>468</v>
      </c>
      <c r="J19" s="463" t="s">
        <v>469</v>
      </c>
      <c r="K19" s="459" t="s">
        <v>470</v>
      </c>
      <c r="L19" s="466"/>
      <c r="M19" s="469" t="s">
        <v>475</v>
      </c>
      <c r="N19" s="469"/>
      <c r="O19" s="469"/>
      <c r="P19" s="469"/>
      <c r="Q19" s="469"/>
      <c r="R19" s="503" t="s">
        <v>468</v>
      </c>
    </row>
    <row r="20" spans="3:51" ht="13.5" thickBot="1">
      <c r="C20" s="470" t="s">
        <v>471</v>
      </c>
      <c r="D20" s="471" t="s">
        <v>472</v>
      </c>
      <c r="E20" s="472"/>
      <c r="F20" s="472"/>
      <c r="G20" s="472"/>
      <c r="H20" s="473" t="s">
        <v>473</v>
      </c>
      <c r="J20" s="472" t="s">
        <v>474</v>
      </c>
      <c r="K20" s="469" t="s">
        <v>475</v>
      </c>
      <c r="L20" s="466"/>
      <c r="M20" s="477" t="s">
        <v>514</v>
      </c>
      <c r="N20" s="463"/>
      <c r="O20" s="472"/>
      <c r="P20" s="472"/>
      <c r="Q20" s="472"/>
      <c r="R20" s="504" t="s">
        <v>473</v>
      </c>
    </row>
    <row r="21" spans="3:51" ht="13.5" thickBot="1">
      <c r="C21" s="474" t="s">
        <v>476</v>
      </c>
      <c r="D21" s="499"/>
      <c r="E21" s="498"/>
      <c r="F21" s="498"/>
      <c r="G21" s="498"/>
      <c r="H21" s="463" t="s">
        <v>477</v>
      </c>
      <c r="I21" s="475" t="s">
        <v>478</v>
      </c>
      <c r="J21" s="476" t="s">
        <v>479</v>
      </c>
      <c r="K21" s="477" t="s">
        <v>480</v>
      </c>
      <c r="L21" s="478"/>
      <c r="M21" s="502"/>
      <c r="N21" s="502"/>
      <c r="O21" s="498"/>
      <c r="P21" s="498"/>
      <c r="Q21" s="498"/>
      <c r="R21" s="503" t="s">
        <v>477</v>
      </c>
      <c r="T21" s="459" t="s">
        <v>512</v>
      </c>
      <c r="U21" s="462" t="s">
        <v>481</v>
      </c>
      <c r="V21" s="479" t="s">
        <v>482</v>
      </c>
      <c r="W21" s="479" t="s">
        <v>483</v>
      </c>
      <c r="X21" s="479" t="s">
        <v>484</v>
      </c>
      <c r="Y21" s="479" t="s">
        <v>485</v>
      </c>
      <c r="Z21" s="480" t="s">
        <v>486</v>
      </c>
      <c r="AA21" s="479" t="s">
        <v>487</v>
      </c>
      <c r="AB21" s="480" t="s">
        <v>488</v>
      </c>
      <c r="AC21" s="480" t="s">
        <v>489</v>
      </c>
      <c r="AD21" s="480" t="s">
        <v>490</v>
      </c>
      <c r="AE21" s="480" t="s">
        <v>491</v>
      </c>
      <c r="AF21" s="480" t="s">
        <v>492</v>
      </c>
      <c r="AG21" s="480" t="s">
        <v>493</v>
      </c>
      <c r="AH21" s="480" t="s">
        <v>494</v>
      </c>
      <c r="AI21" s="480" t="s">
        <v>495</v>
      </c>
      <c r="AJ21" s="480" t="s">
        <v>496</v>
      </c>
      <c r="AK21" s="480" t="s">
        <v>497</v>
      </c>
      <c r="AL21" s="480" t="s">
        <v>498</v>
      </c>
      <c r="AM21" s="480" t="s">
        <v>499</v>
      </c>
      <c r="AN21" s="480" t="s">
        <v>500</v>
      </c>
      <c r="AO21" s="480" t="s">
        <v>501</v>
      </c>
      <c r="AP21" s="480" t="s">
        <v>502</v>
      </c>
      <c r="AQ21" s="480" t="s">
        <v>503</v>
      </c>
      <c r="AR21" s="480" t="s">
        <v>504</v>
      </c>
      <c r="AS21" s="480" t="s">
        <v>505</v>
      </c>
      <c r="AT21" s="480" t="s">
        <v>506</v>
      </c>
      <c r="AU21" s="480" t="s">
        <v>507</v>
      </c>
      <c r="AV21" s="480" t="s">
        <v>508</v>
      </c>
      <c r="AW21" s="480" t="s">
        <v>509</v>
      </c>
      <c r="AX21" s="480" t="s">
        <v>510</v>
      </c>
      <c r="AY21" s="480" t="s">
        <v>511</v>
      </c>
    </row>
    <row r="22" spans="3:51">
      <c r="C22" s="486">
        <v>1</v>
      </c>
      <c r="D22" s="509">
        <f>'Swap and Yield Curves'!D127</f>
        <v>1.923</v>
      </c>
      <c r="E22" s="492">
        <f t="shared" ref="E22:E51" si="0">IF(ISNUMBER(D22),1,"")</f>
        <v>1</v>
      </c>
      <c r="F22" s="492">
        <f t="shared" ref="F22:F51" si="1">IF(ISNUMBER(E22),0,1+F21)</f>
        <v>0</v>
      </c>
      <c r="G22" s="492">
        <f t="shared" ref="G22:G51" si="2">IF(F22=1,D21,IF(F22=2,D20,IF(F22=3,D19,IF(F22=4,D18,IF(F22=5,D17,IF(F22=6,D16,IF(F22=7,D15,IF(F22=8,D14,IF(F22=9,D13,IF(F22=10,D12,IF(F22=11,D11,IF(F22=21,D10,IF(F22=13,D9,IF(F22=14,D8,IF(F22=15,D7,IF(F22=16,D6,IF(F22=17,D5,IF(F22=18,D4,IF(F22=71,D3,0)))))))))))))))))))</f>
        <v>0</v>
      </c>
      <c r="H22" s="492">
        <f t="shared" ref="H22:H51" si="3">IF(G22=0,D22,IF(G23=0,((F22*D23+G22)/(1+F22)),2*H23-H24))</f>
        <v>1.923</v>
      </c>
      <c r="I22" s="459">
        <v>1</v>
      </c>
      <c r="J22" s="482">
        <f t="shared" ref="J22:J51" si="4">(1+H22/200)^2-1</f>
        <v>1.9322448224999844E-2</v>
      </c>
      <c r="K22" s="483">
        <f>U22</f>
        <v>1.9322448224999844E-2</v>
      </c>
      <c r="L22" s="497">
        <f t="shared" ref="L22:L51" si="5">IF(ISNUMBER(D22),K22,"")</f>
        <v>1.9322448224999844E-2</v>
      </c>
      <c r="M22" s="483">
        <f>'All Curves'!AM15</f>
        <v>1.3767056924019503E-2</v>
      </c>
      <c r="N22" s="483">
        <f t="shared" ref="N22:N51" si="6">IF(ISNUMBER(L22),L22-M22,"")</f>
        <v>5.5553913009803411E-3</v>
      </c>
      <c r="O22" s="492">
        <f t="shared" ref="O22:O51" si="7">IF(ISNUMBER(N22),1,"")</f>
        <v>1</v>
      </c>
      <c r="P22" s="492">
        <f t="shared" ref="P22:P51" si="8">IF(ISNUMBER(O22),0,1+P21)</f>
        <v>0</v>
      </c>
      <c r="Q22" s="492">
        <f>IF(P22=1,#REF!,IF(P22=2,#REF!,IF(P22=3,#REF!,IF(P22=4,#REF!,IF(P22=5,#REF!,IF(P22=6,N16,IF(P22=7,N15,IF(P22=8,N14,IF(P22=9,N13,IF(P22=10,#REF!,IF(P22=11,#REF!,IF(P22=12,#REF!,IF(P22=13,#REF!,IF(P22=14,#REF!,IF(P22=15,#REF!,IF(P22=16,#REF!,IF(P22=17,#REF!,IF(P22=18,#REF!,IF(P22=19,#REF!,0)))))))))))))))))))</f>
        <v>0</v>
      </c>
      <c r="R22" s="505">
        <f t="shared" ref="R22:R51" si="9">IF(Q22=0,N22,IF(Q23=0,((P22*N23+Q22)/(1+P22)),2*R23-R24))</f>
        <v>5.5553913009803411E-3</v>
      </c>
      <c r="S22" s="483">
        <f>R22+M22</f>
        <v>1.9322448224999844E-2</v>
      </c>
      <c r="T22" s="483">
        <f t="shared" ref="T22:T51" si="10">J22-K22</f>
        <v>0</v>
      </c>
      <c r="U22" s="489">
        <f>J22</f>
        <v>1.9322448224999844E-2</v>
      </c>
      <c r="V22" s="488">
        <f>W22</f>
        <v>1.0193224482249998</v>
      </c>
      <c r="W22" s="488">
        <f t="shared" ref="W22:W51" si="11">(1+U22)</f>
        <v>1.0193224482249998</v>
      </c>
      <c r="X22" s="488"/>
      <c r="Y22" s="488"/>
      <c r="Z22" s="488"/>
      <c r="AA22" s="488"/>
      <c r="AB22" s="488"/>
      <c r="AC22" s="488"/>
      <c r="AD22" s="488"/>
      <c r="AE22" s="488"/>
      <c r="AF22" s="488"/>
      <c r="AG22" s="488"/>
      <c r="AH22" s="488"/>
      <c r="AI22" s="488"/>
      <c r="AJ22" s="488"/>
      <c r="AK22" s="488"/>
      <c r="AL22" s="488"/>
      <c r="AM22" s="488"/>
      <c r="AN22" s="488"/>
      <c r="AO22" s="488"/>
      <c r="AP22" s="488"/>
      <c r="AQ22" s="488"/>
      <c r="AR22" s="488"/>
      <c r="AS22" s="488"/>
      <c r="AT22" s="488"/>
      <c r="AU22" s="488"/>
      <c r="AV22" s="488"/>
      <c r="AW22" s="488"/>
      <c r="AX22" s="488"/>
      <c r="AY22" s="488"/>
    </row>
    <row r="23" spans="3:51">
      <c r="C23" s="486">
        <v>2</v>
      </c>
      <c r="D23" s="509">
        <f>'Swap and Yield Curves'!D128</f>
        <v>1.7907999999999999</v>
      </c>
      <c r="E23" s="492">
        <f t="shared" si="0"/>
        <v>1</v>
      </c>
      <c r="F23" s="492">
        <f t="shared" si="1"/>
        <v>0</v>
      </c>
      <c r="G23" s="492">
        <f t="shared" si="2"/>
        <v>0</v>
      </c>
      <c r="H23" s="492">
        <f t="shared" si="3"/>
        <v>1.7907999999999999</v>
      </c>
      <c r="I23" s="459">
        <f t="shared" ref="I23:I51" si="12">I22+1</f>
        <v>2</v>
      </c>
      <c r="J23" s="482">
        <f t="shared" si="4"/>
        <v>1.7988174115999733E-2</v>
      </c>
      <c r="K23" s="491">
        <f t="shared" ref="K23:K51" si="13">(((1+K22)^I22)*(1+U23))^(1/I23)-1</f>
        <v>1.7976189458680958E-2</v>
      </c>
      <c r="L23" s="494">
        <f t="shared" si="5"/>
        <v>1.7976189458680958E-2</v>
      </c>
      <c r="M23" s="483">
        <f>'All Curves'!AM16</f>
        <v>1.3950501025597526E-2</v>
      </c>
      <c r="N23" s="483">
        <f t="shared" si="6"/>
        <v>4.0256884330834315E-3</v>
      </c>
      <c r="O23" s="492">
        <f t="shared" si="7"/>
        <v>1</v>
      </c>
      <c r="P23" s="492">
        <f t="shared" si="8"/>
        <v>0</v>
      </c>
      <c r="Q23" s="492">
        <f>IF(P23=1,N22,IF(P23=2,#REF!,IF(P23=3,#REF!,IF(P23=4,#REF!,IF(P23=5,#REF!,IF(P23=6,#REF!,IF(P23=7,N16,IF(P23=8,N15,IF(P23=9,N14,IF(P23=10,N13,IF(P23=11,#REF!,IF(P23=12,#REF!,IF(P23=13,#REF!,IF(P23=14,#REF!,IF(P23=15,#REF!,IF(P23=16,#REF!,IF(P23=17,#REF!,IF(P23=18,#REF!,IF(P23=19,#REF!,0)))))))))))))))))))</f>
        <v>0</v>
      </c>
      <c r="R23" s="505">
        <f t="shared" si="9"/>
        <v>4.0256884330834315E-3</v>
      </c>
      <c r="S23" s="483">
        <f t="shared" ref="S23:S51" si="14">R23+M23</f>
        <v>1.7976189458680958E-2</v>
      </c>
      <c r="T23" s="483">
        <f t="shared" si="10"/>
        <v>1.1984657318775405E-5</v>
      </c>
      <c r="U23" s="489">
        <f>(1+J23)/(V22-J23)-1</f>
        <v>1.6631708748627849E-2</v>
      </c>
      <c r="V23" s="488">
        <f t="shared" ref="V23:V51" si="15">V22*W23</f>
        <v>1.0362755223048163</v>
      </c>
      <c r="W23" s="488">
        <f t="shared" si="11"/>
        <v>1.0166317087486278</v>
      </c>
      <c r="X23" s="488"/>
      <c r="Y23" s="488"/>
      <c r="Z23" s="488"/>
      <c r="AA23" s="488"/>
      <c r="AB23" s="488"/>
      <c r="AC23" s="488"/>
      <c r="AD23" s="488"/>
      <c r="AE23" s="488"/>
      <c r="AF23" s="488"/>
      <c r="AG23" s="488"/>
      <c r="AH23" s="488"/>
      <c r="AI23" s="488"/>
      <c r="AJ23" s="488"/>
      <c r="AK23" s="488"/>
      <c r="AL23" s="488"/>
      <c r="AM23" s="488"/>
      <c r="AN23" s="488"/>
      <c r="AO23" s="488"/>
      <c r="AP23" s="488"/>
      <c r="AQ23" s="488"/>
      <c r="AR23" s="488"/>
      <c r="AS23" s="488"/>
      <c r="AT23" s="488"/>
      <c r="AU23" s="488"/>
      <c r="AV23" s="488"/>
      <c r="AW23" s="488"/>
      <c r="AX23" s="488"/>
      <c r="AY23" s="488"/>
    </row>
    <row r="24" spans="3:51">
      <c r="C24" s="481">
        <v>3</v>
      </c>
      <c r="D24" s="509">
        <f>'Swap and Yield Curves'!D129</f>
        <v>1.7466999999999999</v>
      </c>
      <c r="E24" s="492">
        <f t="shared" si="0"/>
        <v>1</v>
      </c>
      <c r="F24" s="492">
        <f t="shared" si="1"/>
        <v>0</v>
      </c>
      <c r="G24" s="492">
        <f t="shared" si="2"/>
        <v>0</v>
      </c>
      <c r="H24" s="492">
        <f t="shared" si="3"/>
        <v>1.7466999999999999</v>
      </c>
      <c r="I24" s="459">
        <f t="shared" si="12"/>
        <v>3</v>
      </c>
      <c r="J24" s="482">
        <f t="shared" si="4"/>
        <v>1.7543274022249866E-2</v>
      </c>
      <c r="K24" s="491">
        <f t="shared" si="13"/>
        <v>1.7527646337203162E-2</v>
      </c>
      <c r="L24" s="494">
        <f t="shared" si="5"/>
        <v>1.7527646337203162E-2</v>
      </c>
      <c r="M24" s="483">
        <f>'All Curves'!AM17</f>
        <v>1.4129067667065346E-2</v>
      </c>
      <c r="N24" s="483">
        <f t="shared" si="6"/>
        <v>3.3985786701378161E-3</v>
      </c>
      <c r="O24" s="492">
        <f t="shared" si="7"/>
        <v>1</v>
      </c>
      <c r="P24" s="492">
        <f t="shared" si="8"/>
        <v>0</v>
      </c>
      <c r="Q24" s="492">
        <f>IF(P24=1,N23,IF(P24=2,N22,IF(P24=3,#REF!,IF(P24=4,#REF!,IF(P24=5,#REF!,IF(P24=6,#REF!,IF(P24=7,#REF!,IF(P24=8,N16,IF(P24=9,N15,IF(P24=10,N14,IF(P24=11,N13,IF(P24=12,#REF!,IF(P24=13,#REF!,IF(P24=14,#REF!,IF(P24=15,#REF!,IF(P24=16,#REF!,IF(P24=17,#REF!,IF(P24=18,#REF!,IF(P24=19,#REF!,0)))))))))))))))))))</f>
        <v>0</v>
      </c>
      <c r="R24" s="505">
        <f t="shared" si="9"/>
        <v>3.3985786701378161E-3</v>
      </c>
      <c r="S24" s="483">
        <f t="shared" si="14"/>
        <v>1.7527646337203162E-2</v>
      </c>
      <c r="T24" s="483">
        <f t="shared" si="10"/>
        <v>1.5627685046704087E-5</v>
      </c>
      <c r="U24" s="489">
        <f>((1+J24)/(V23-J24*(1+W23)))-1</f>
        <v>1.6631152921616543E-2</v>
      </c>
      <c r="V24" s="488">
        <f t="shared" si="15"/>
        <v>1.0535099789851958</v>
      </c>
      <c r="W24" s="488">
        <f t="shared" si="11"/>
        <v>1.0166311529216165</v>
      </c>
      <c r="X24" s="488">
        <f t="shared" ref="X24:X51" si="16">V24/V22</f>
        <v>1.0335394661617907</v>
      </c>
      <c r="Y24" s="488"/>
      <c r="Z24" s="488"/>
      <c r="AA24" s="488"/>
      <c r="AB24" s="488"/>
      <c r="AC24" s="488"/>
      <c r="AD24" s="488"/>
      <c r="AE24" s="488"/>
      <c r="AF24" s="488"/>
      <c r="AG24" s="488"/>
      <c r="AH24" s="488"/>
      <c r="AI24" s="488"/>
      <c r="AJ24" s="488"/>
      <c r="AK24" s="488"/>
      <c r="AL24" s="488"/>
      <c r="AM24" s="488"/>
      <c r="AN24" s="488"/>
      <c r="AO24" s="488"/>
      <c r="AP24" s="488"/>
      <c r="AQ24" s="488"/>
      <c r="AR24" s="488"/>
      <c r="AS24" s="488"/>
      <c r="AT24" s="488"/>
      <c r="AU24" s="488"/>
      <c r="AV24" s="488"/>
      <c r="AW24" s="488"/>
      <c r="AX24" s="488"/>
      <c r="AY24" s="488"/>
    </row>
    <row r="25" spans="3:51">
      <c r="C25" s="481">
        <v>4</v>
      </c>
      <c r="D25" s="509">
        <f>'Swap and Yield Curves'!D130</f>
        <v>1.7273000000000001</v>
      </c>
      <c r="E25" s="492">
        <f t="shared" si="0"/>
        <v>1</v>
      </c>
      <c r="F25" s="492">
        <f t="shared" si="1"/>
        <v>0</v>
      </c>
      <c r="G25" s="492">
        <f t="shared" si="2"/>
        <v>0</v>
      </c>
      <c r="H25" s="492">
        <f t="shared" si="3"/>
        <v>1.7273000000000001</v>
      </c>
      <c r="I25" s="459">
        <f t="shared" si="12"/>
        <v>4</v>
      </c>
      <c r="J25" s="482">
        <f t="shared" si="4"/>
        <v>1.7347589132249874E-2</v>
      </c>
      <c r="K25" s="491">
        <f t="shared" si="13"/>
        <v>1.7330858861716258E-2</v>
      </c>
      <c r="L25" s="494">
        <f t="shared" si="5"/>
        <v>1.7330858861716258E-2</v>
      </c>
      <c r="M25" s="483">
        <f>'All Curves'!AM18</f>
        <v>1.4302870294352911E-2</v>
      </c>
      <c r="N25" s="483">
        <f t="shared" si="6"/>
        <v>3.0279885673633478E-3</v>
      </c>
      <c r="O25" s="492">
        <f t="shared" si="7"/>
        <v>1</v>
      </c>
      <c r="P25" s="492">
        <f t="shared" si="8"/>
        <v>0</v>
      </c>
      <c r="Q25" s="492">
        <f>IF(P25=1,N24,IF(P25=2,N23,IF(P25=3,N22,IF(P25=4,#REF!,IF(P25=5,#REF!,IF(P25=6,#REF!,IF(P25=7,#REF!,IF(P25=8,#REF!,IF(P25=9,N16,IF(P25=10,N15,IF(P25=11,N14,IF(P25=12,N13,IF(P25=13,#REF!,IF(P25=14,#REF!,IF(P25=15,#REF!,IF(P25=16,#REF!,IF(P25=17,#REF!,IF(P25=18,#REF!,IF(P25=19,#REF!,0)))))))))))))))))))</f>
        <v>0</v>
      </c>
      <c r="R25" s="505">
        <f t="shared" si="9"/>
        <v>3.0279885673633478E-3</v>
      </c>
      <c r="S25" s="483">
        <f t="shared" si="14"/>
        <v>1.7330858861716258E-2</v>
      </c>
      <c r="T25" s="483">
        <f t="shared" si="10"/>
        <v>1.6730270533615865E-5</v>
      </c>
      <c r="U25" s="489">
        <f>((1+J25)/(V24-J25*(1+W24+X24)))-1</f>
        <v>1.6740724755250236E-2</v>
      </c>
      <c r="V25" s="488">
        <f t="shared" si="15"/>
        <v>1.0711464995702964</v>
      </c>
      <c r="W25" s="488">
        <f t="shared" si="11"/>
        <v>1.0167407247552502</v>
      </c>
      <c r="X25" s="488">
        <f t="shared" si="16"/>
        <v>1.03365029523029</v>
      </c>
      <c r="Y25" s="488">
        <f t="shared" ref="Y25:Y51" si="17">V25/V22</f>
        <v>1.0508416658884934</v>
      </c>
      <c r="Z25" s="488"/>
      <c r="AA25" s="488"/>
      <c r="AB25" s="488"/>
      <c r="AC25" s="488"/>
      <c r="AD25" s="488"/>
      <c r="AE25" s="488"/>
      <c r="AF25" s="488"/>
      <c r="AG25" s="488"/>
      <c r="AH25" s="488"/>
      <c r="AI25" s="488"/>
      <c r="AJ25" s="488"/>
      <c r="AK25" s="488"/>
      <c r="AL25" s="488"/>
      <c r="AM25" s="488"/>
      <c r="AN25" s="488"/>
      <c r="AO25" s="488"/>
      <c r="AP25" s="488"/>
      <c r="AQ25" s="488"/>
      <c r="AR25" s="488"/>
      <c r="AS25" s="488"/>
      <c r="AT25" s="488"/>
      <c r="AU25" s="488"/>
      <c r="AV25" s="488"/>
      <c r="AW25" s="488"/>
      <c r="AX25" s="488"/>
      <c r="AY25" s="488"/>
    </row>
    <row r="26" spans="3:51">
      <c r="C26" s="481">
        <v>5</v>
      </c>
      <c r="D26" s="509">
        <f>'Swap and Yield Curves'!D131</f>
        <v>1.728</v>
      </c>
      <c r="E26" s="492">
        <f t="shared" si="0"/>
        <v>1</v>
      </c>
      <c r="F26" s="492">
        <f t="shared" si="1"/>
        <v>0</v>
      </c>
      <c r="G26" s="492">
        <f t="shared" si="2"/>
        <v>0</v>
      </c>
      <c r="H26" s="492">
        <f t="shared" si="3"/>
        <v>1.728</v>
      </c>
      <c r="I26" s="459">
        <f t="shared" si="12"/>
        <v>5</v>
      </c>
      <c r="J26" s="482">
        <f t="shared" si="4"/>
        <v>1.7354649599999883E-2</v>
      </c>
      <c r="K26" s="491">
        <f t="shared" si="13"/>
        <v>1.7341508787630966E-2</v>
      </c>
      <c r="L26" s="494">
        <f t="shared" si="5"/>
        <v>1.7341508787630966E-2</v>
      </c>
      <c r="M26" s="483">
        <f>'All Curves'!AM19</f>
        <v>1.4472020105455586E-2</v>
      </c>
      <c r="N26" s="483">
        <f t="shared" si="6"/>
        <v>2.8694886821753803E-3</v>
      </c>
      <c r="O26" s="492">
        <f t="shared" si="7"/>
        <v>1</v>
      </c>
      <c r="P26" s="492">
        <f t="shared" si="8"/>
        <v>0</v>
      </c>
      <c r="Q26" s="492">
        <f>IF(P26=1,N25,IF(P26=2,N24,IF(P26=3,N23,IF(P26=4,N22,IF(P26=5,#REF!,IF(P26=6,#REF!,IF(P26=7,#REF!,IF(P26=8,#REF!,IF(P26=9,#REF!,IF(P26=10,N16,IF(P26=11,N15,IF(P26=12,N14,IF(P26=13,N13,IF(P26=14,#REF!,IF(P26=15,#REF!,IF(P26=16,#REF!,IF(P26=17,#REF!,IF(P26=18,#REF!,IF(P26=19,#REF!,0)))))))))))))))))))</f>
        <v>0</v>
      </c>
      <c r="R26" s="505">
        <f t="shared" si="9"/>
        <v>2.8694886821753803E-3</v>
      </c>
      <c r="S26" s="483">
        <f t="shared" si="14"/>
        <v>1.7341508787630966E-2</v>
      </c>
      <c r="T26" s="483">
        <f t="shared" si="10"/>
        <v>1.3140812368916954E-5</v>
      </c>
      <c r="U26" s="489">
        <f>((1+J26)/(V25-J26*(1+W25+X25+Y25)))-1</f>
        <v>1.7384109606188858E-2</v>
      </c>
      <c r="V26" s="488">
        <f t="shared" si="15"/>
        <v>1.089767427723112</v>
      </c>
      <c r="W26" s="488">
        <f t="shared" si="11"/>
        <v>1.0173841096061889</v>
      </c>
      <c r="X26" s="488">
        <f t="shared" si="16"/>
        <v>1.0344158569554713</v>
      </c>
      <c r="Y26" s="488">
        <f t="shared" si="17"/>
        <v>1.0516193852570428</v>
      </c>
      <c r="Z26" s="488">
        <f t="shared" ref="Z26:Z51" si="18">V26/V22</f>
        <v>1.0691096125870492</v>
      </c>
      <c r="AA26" s="488"/>
      <c r="AB26" s="488"/>
      <c r="AC26" s="488"/>
      <c r="AD26" s="488"/>
      <c r="AE26" s="488"/>
      <c r="AF26" s="488"/>
      <c r="AG26" s="488"/>
      <c r="AH26" s="488"/>
      <c r="AI26" s="488"/>
      <c r="AJ26" s="488"/>
      <c r="AK26" s="488"/>
      <c r="AL26" s="488"/>
      <c r="AM26" s="488"/>
      <c r="AN26" s="488"/>
      <c r="AO26" s="488"/>
      <c r="AP26" s="488"/>
      <c r="AQ26" s="488"/>
      <c r="AR26" s="488"/>
      <c r="AS26" s="488"/>
      <c r="AT26" s="488"/>
      <c r="AU26" s="488"/>
      <c r="AV26" s="488"/>
      <c r="AW26" s="488"/>
      <c r="AX26" s="488"/>
      <c r="AY26" s="488"/>
    </row>
    <row r="27" spans="3:51">
      <c r="C27" s="481">
        <v>6</v>
      </c>
      <c r="D27" s="509">
        <f>'Swap and Yield Curves'!D132</f>
        <v>1.7454000000000001</v>
      </c>
      <c r="E27" s="492">
        <f t="shared" si="0"/>
        <v>1</v>
      </c>
      <c r="F27" s="492">
        <f t="shared" si="1"/>
        <v>0</v>
      </c>
      <c r="G27" s="492">
        <f t="shared" si="2"/>
        <v>0</v>
      </c>
      <c r="H27" s="492">
        <f t="shared" si="3"/>
        <v>1.7454000000000001</v>
      </c>
      <c r="I27" s="459">
        <f t="shared" si="12"/>
        <v>6</v>
      </c>
      <c r="J27" s="482">
        <f t="shared" si="4"/>
        <v>1.7530160528999916E-2</v>
      </c>
      <c r="K27" s="491">
        <f t="shared" si="13"/>
        <v>1.7526964411574086E-2</v>
      </c>
      <c r="L27" s="494">
        <f t="shared" si="5"/>
        <v>1.7526964411574086E-2</v>
      </c>
      <c r="M27" s="483">
        <f>'All Curves'!AM20</f>
        <v>1.463662609098601E-2</v>
      </c>
      <c r="N27" s="483">
        <f t="shared" si="6"/>
        <v>2.8903383205880762E-3</v>
      </c>
      <c r="O27" s="492">
        <f t="shared" si="7"/>
        <v>1</v>
      </c>
      <c r="P27" s="492">
        <f t="shared" si="8"/>
        <v>0</v>
      </c>
      <c r="Q27" s="492">
        <f>IF(P27=1,N26,IF(P27=2,N25,IF(P27=3,N24,IF(P27=4,N23,IF(P27=5,N22,IF(P27=6,#REF!,IF(P27=7,#REF!,IF(P27=8,#REF!,IF(P27=9,#REF!,IF(P27=10,#REF!,IF(P27=11,N16,IF(P27=12,N15,IF(P27=13,N14,IF(P27=14,N13,IF(P27=15,#REF!,IF(P27=16,#REF!,IF(P27=17,#REF!,IF(P27=18,#REF!,IF(P27=19,#REF!,0)))))))))))))))))))</f>
        <v>0</v>
      </c>
      <c r="R27" s="505">
        <f t="shared" si="9"/>
        <v>2.8903383205880762E-3</v>
      </c>
      <c r="S27" s="483">
        <f t="shared" si="14"/>
        <v>1.7526964411574086E-2</v>
      </c>
      <c r="T27" s="483">
        <f t="shared" si="10"/>
        <v>3.1961174258299252E-6</v>
      </c>
      <c r="U27" s="489">
        <f>((1+J27)/(V26-J27*(1+W26+X26+Y26+Z26)))-1</f>
        <v>1.8454749767291778E-2</v>
      </c>
      <c r="V27" s="488">
        <f t="shared" si="15"/>
        <v>1.1098788129062873</v>
      </c>
      <c r="W27" s="488">
        <f t="shared" si="11"/>
        <v>1.0184547497672918</v>
      </c>
      <c r="X27" s="488">
        <f t="shared" si="16"/>
        <v>1.0361596787661902</v>
      </c>
      <c r="Y27" s="488">
        <f t="shared" si="17"/>
        <v>1.0535057427509034</v>
      </c>
      <c r="Z27" s="488">
        <f t="shared" si="18"/>
        <v>1.0710267578623949</v>
      </c>
      <c r="AA27" s="488">
        <f t="shared" ref="AA27:AA51" si="19">V27/V22</f>
        <v>1.0888397629611495</v>
      </c>
      <c r="AB27" s="488"/>
      <c r="AC27" s="488"/>
      <c r="AD27" s="488"/>
      <c r="AE27" s="488"/>
      <c r="AF27" s="488"/>
      <c r="AG27" s="488"/>
      <c r="AH27" s="488"/>
      <c r="AI27" s="488"/>
      <c r="AJ27" s="488"/>
      <c r="AK27" s="488"/>
      <c r="AL27" s="488"/>
      <c r="AM27" s="488"/>
      <c r="AN27" s="488"/>
      <c r="AO27" s="488"/>
      <c r="AP27" s="488"/>
      <c r="AQ27" s="488"/>
      <c r="AR27" s="488"/>
      <c r="AS27" s="488"/>
      <c r="AT27" s="488"/>
      <c r="AU27" s="488"/>
      <c r="AV27" s="488"/>
      <c r="AW27" s="488"/>
      <c r="AX27" s="488"/>
      <c r="AY27" s="488"/>
    </row>
    <row r="28" spans="3:51">
      <c r="C28" s="481">
        <v>7</v>
      </c>
      <c r="D28" s="509">
        <f>'Swap and Yield Curves'!D133</f>
        <v>1.7704</v>
      </c>
      <c r="E28" s="492">
        <f t="shared" si="0"/>
        <v>1</v>
      </c>
      <c r="F28" s="492">
        <f t="shared" si="1"/>
        <v>0</v>
      </c>
      <c r="G28" s="492">
        <f t="shared" si="2"/>
        <v>0</v>
      </c>
      <c r="H28" s="492">
        <f t="shared" si="3"/>
        <v>1.7704</v>
      </c>
      <c r="I28" s="459">
        <f t="shared" si="12"/>
        <v>7</v>
      </c>
      <c r="J28" s="482">
        <f t="shared" si="4"/>
        <v>1.7782357904000179E-2</v>
      </c>
      <c r="K28" s="491">
        <f t="shared" si="13"/>
        <v>1.7793443583640434E-2</v>
      </c>
      <c r="L28" s="494">
        <f t="shared" si="5"/>
        <v>1.7793443583640434E-2</v>
      </c>
      <c r="M28" s="483">
        <f>'All Curves'!AM21</f>
        <v>1.4796795074036671E-2</v>
      </c>
      <c r="N28" s="483">
        <f t="shared" si="6"/>
        <v>2.996648509603763E-3</v>
      </c>
      <c r="O28" s="492">
        <f t="shared" si="7"/>
        <v>1</v>
      </c>
      <c r="P28" s="492">
        <f t="shared" si="8"/>
        <v>0</v>
      </c>
      <c r="Q28" s="492">
        <f>IF(P28=1,N27,IF(P28=2,N26,IF(P28=3,N25,IF(P28=4,N24,IF(P28=5,N23,IF(P28=6,N22,IF(P28=7,#REF!,IF(P28=8,#REF!,IF(P28=9,#REF!,IF(P28=10,#REF!,IF(P28=11,#REF!,IF(P28=12,N16,IF(P28=13,N15,IF(P28=14,N14,IF(P28=15,N13,IF(P28=16,#REF!,IF(P28=17,#REF!,IF(P28=18,#REF!,IF(P28=19,#REF!,0)))))))))))))))))))</f>
        <v>0</v>
      </c>
      <c r="R28" s="505">
        <f t="shared" si="9"/>
        <v>2.996648509603763E-3</v>
      </c>
      <c r="S28" s="483">
        <f t="shared" si="14"/>
        <v>1.7793443583640434E-2</v>
      </c>
      <c r="T28" s="483">
        <f t="shared" si="10"/>
        <v>-1.1085679640254753E-5</v>
      </c>
      <c r="U28" s="489">
        <f>((1+J28)/(V27-J28*(1+W27+X27+Y27+Z27+AA27)))-1</f>
        <v>1.9393784803422909E-2</v>
      </c>
      <c r="V28" s="488">
        <f t="shared" si="15"/>
        <v>1.1314035637616704</v>
      </c>
      <c r="W28" s="488">
        <f t="shared" si="11"/>
        <v>1.0193937848034229</v>
      </c>
      <c r="X28" s="488">
        <f t="shared" si="16"/>
        <v>1.0382064420163026</v>
      </c>
      <c r="Y28" s="488">
        <f t="shared" si="17"/>
        <v>1.0562547365981654</v>
      </c>
      <c r="Z28" s="488">
        <f t="shared" si="18"/>
        <v>1.0739372064149846</v>
      </c>
      <c r="AA28" s="488">
        <f t="shared" si="19"/>
        <v>1.0917980203230859</v>
      </c>
      <c r="AB28" s="488">
        <f t="shared" ref="AB28:AB51" si="20">V28/V22</f>
        <v>1.1099564870094281</v>
      </c>
      <c r="AC28" s="488"/>
      <c r="AD28" s="488"/>
      <c r="AE28" s="488"/>
      <c r="AF28" s="488"/>
      <c r="AG28" s="488"/>
      <c r="AH28" s="488"/>
      <c r="AI28" s="488"/>
      <c r="AJ28" s="488"/>
      <c r="AK28" s="488"/>
      <c r="AL28" s="488"/>
      <c r="AM28" s="488"/>
      <c r="AN28" s="488"/>
      <c r="AO28" s="488"/>
      <c r="AP28" s="488"/>
      <c r="AQ28" s="488"/>
      <c r="AR28" s="488"/>
      <c r="AS28" s="488"/>
      <c r="AT28" s="488"/>
      <c r="AU28" s="488"/>
      <c r="AV28" s="488"/>
      <c r="AW28" s="488"/>
      <c r="AX28" s="488"/>
      <c r="AY28" s="488"/>
    </row>
    <row r="29" spans="3:51">
      <c r="C29" s="481">
        <v>8</v>
      </c>
      <c r="D29" s="509">
        <f>'Swap and Yield Curves'!D134</f>
        <v>1.8003</v>
      </c>
      <c r="E29" s="492">
        <f t="shared" si="0"/>
        <v>1</v>
      </c>
      <c r="F29" s="492">
        <f t="shared" si="1"/>
        <v>0</v>
      </c>
      <c r="G29" s="492">
        <f t="shared" si="2"/>
        <v>0</v>
      </c>
      <c r="H29" s="492">
        <f t="shared" si="3"/>
        <v>1.8003</v>
      </c>
      <c r="I29" s="459">
        <f t="shared" si="12"/>
        <v>8</v>
      </c>
      <c r="J29" s="482">
        <f t="shared" si="4"/>
        <v>1.8084027002250203E-2</v>
      </c>
      <c r="K29" s="491">
        <f t="shared" si="13"/>
        <v>1.8113736166428085E-2</v>
      </c>
      <c r="L29" s="494">
        <f t="shared" si="5"/>
        <v>1.8113736166428085E-2</v>
      </c>
      <c r="M29" s="483">
        <f>'All Curves'!AM22</f>
        <v>1.4952631749361362E-2</v>
      </c>
      <c r="N29" s="483">
        <f t="shared" si="6"/>
        <v>3.1611044170667228E-3</v>
      </c>
      <c r="O29" s="492">
        <f t="shared" si="7"/>
        <v>1</v>
      </c>
      <c r="P29" s="492">
        <f t="shared" si="8"/>
        <v>0</v>
      </c>
      <c r="Q29" s="492">
        <f>IF(P29=1,N28,IF(P29=2,N27,IF(P29=3,N26,IF(P29=4,N25,IF(P29=5,N24,IF(P29=6,N23,IF(P29=7,N22,IF(P29=8,#REF!,IF(P29=9,#REF!,IF(P29=10,#REF!,IF(P29=11,#REF!,IF(P29=12,#REF!,IF(P29=13,N16,IF(P29=14,N15,IF(P29=15,N14,IF(P29=16,N13,IF(P29=17,#REF!,IF(P29=18,#REF!,IF(P29=19,#REF!,0)))))))))))))))))))</f>
        <v>0</v>
      </c>
      <c r="R29" s="505">
        <f t="shared" si="9"/>
        <v>3.1611044170667228E-3</v>
      </c>
      <c r="S29" s="483">
        <f t="shared" si="14"/>
        <v>1.8113736166428085E-2</v>
      </c>
      <c r="T29" s="483">
        <f t="shared" si="10"/>
        <v>-2.9709164177882386E-5</v>
      </c>
      <c r="U29" s="489">
        <f>((1+J29)/(V28-J29*(1+W28+X28+Y28+Z28+AA28+AB28)))-1</f>
        <v>2.0358608251232813E-2</v>
      </c>
      <c r="V29" s="488">
        <f t="shared" si="15"/>
        <v>1.1544373656903431</v>
      </c>
      <c r="W29" s="488">
        <f t="shared" si="11"/>
        <v>1.0203586082512328</v>
      </c>
      <c r="X29" s="488">
        <f t="shared" si="16"/>
        <v>1.0401472235219775</v>
      </c>
      <c r="Y29" s="488">
        <f t="shared" si="17"/>
        <v>1.059342880253219</v>
      </c>
      <c r="Z29" s="488">
        <f t="shared" si="18"/>
        <v>1.0777586129940768</v>
      </c>
      <c r="AA29" s="488">
        <f t="shared" si="19"/>
        <v>1.0958010732868109</v>
      </c>
      <c r="AB29" s="488">
        <f t="shared" si="20"/>
        <v>1.1140255085083153</v>
      </c>
      <c r="AC29" s="488">
        <f t="shared" ref="AC29:AC51" si="21">V29/V22</f>
        <v>1.1325536563043677</v>
      </c>
      <c r="AD29" s="488"/>
      <c r="AE29" s="488"/>
      <c r="AF29" s="488"/>
      <c r="AG29" s="488"/>
      <c r="AH29" s="488"/>
      <c r="AI29" s="488"/>
      <c r="AJ29" s="488"/>
      <c r="AK29" s="488"/>
      <c r="AL29" s="488"/>
      <c r="AM29" s="488"/>
      <c r="AN29" s="488"/>
      <c r="AO29" s="488"/>
      <c r="AP29" s="488"/>
      <c r="AQ29" s="488"/>
      <c r="AR29" s="488"/>
      <c r="AS29" s="488"/>
      <c r="AT29" s="488"/>
      <c r="AU29" s="488"/>
      <c r="AV29" s="488"/>
      <c r="AW29" s="488"/>
      <c r="AX29" s="488"/>
      <c r="AY29" s="488"/>
    </row>
    <row r="30" spans="3:51">
      <c r="C30" s="481">
        <v>9</v>
      </c>
      <c r="D30" s="509">
        <f>'Swap and Yield Curves'!D135</f>
        <v>1.8327</v>
      </c>
      <c r="E30" s="492">
        <f t="shared" si="0"/>
        <v>1</v>
      </c>
      <c r="F30" s="492">
        <f t="shared" si="1"/>
        <v>0</v>
      </c>
      <c r="G30" s="492">
        <f t="shared" si="2"/>
        <v>0</v>
      </c>
      <c r="H30" s="492">
        <f t="shared" si="3"/>
        <v>1.8327</v>
      </c>
      <c r="I30" s="459">
        <f t="shared" si="12"/>
        <v>9</v>
      </c>
      <c r="J30" s="482">
        <f t="shared" si="4"/>
        <v>1.8410969732250315E-2</v>
      </c>
      <c r="K30" s="491">
        <f t="shared" si="13"/>
        <v>1.8463110324792087E-2</v>
      </c>
      <c r="L30" s="494">
        <f t="shared" si="5"/>
        <v>1.8463110324792087E-2</v>
      </c>
      <c r="M30" s="483">
        <f>'All Curves'!AM23</f>
        <v>1.5104238721888711E-2</v>
      </c>
      <c r="N30" s="483">
        <f t="shared" si="6"/>
        <v>3.3588716029033759E-3</v>
      </c>
      <c r="O30" s="492">
        <f t="shared" si="7"/>
        <v>1</v>
      </c>
      <c r="P30" s="492">
        <f t="shared" si="8"/>
        <v>0</v>
      </c>
      <c r="Q30" s="492">
        <f>IF(P30=1,N29,IF(P30=2,N28,IF(P30=3,N27,IF(P30=4,N26,IF(P30=5,N25,IF(P30=6,N24,IF(P30=7,N23,IF(P30=8,N22,IF(P30=9,#REF!,IF(P30=10,#REF!,IF(P30=11,#REF!,IF(P30=12,#REF!,IF(P30=13,#REF!,IF(P30=14,N16,IF(P30=15,N15,IF(P30=16,N14,IF(P30=17,N13,IF(P30=18,#REF!,IF(P30=19,#REF!,0)))))))))))))))))))</f>
        <v>0</v>
      </c>
      <c r="R30" s="505">
        <f t="shared" si="9"/>
        <v>3.3588716029033759E-3</v>
      </c>
      <c r="S30" s="483">
        <f t="shared" si="14"/>
        <v>1.8463110324792087E-2</v>
      </c>
      <c r="T30" s="483">
        <f t="shared" si="10"/>
        <v>-5.2140592541771724E-5</v>
      </c>
      <c r="U30" s="489">
        <f>((1+J30)/(V29-J30*(1+W29+X29+Y29+Z29+AA29+AB29+AC29)))-1</f>
        <v>2.1262423112233142E-2</v>
      </c>
      <c r="V30" s="488">
        <f t="shared" si="15"/>
        <v>1.1789835014162229</v>
      </c>
      <c r="W30" s="488">
        <f t="shared" si="11"/>
        <v>1.0212624231122331</v>
      </c>
      <c r="X30" s="488">
        <f t="shared" si="16"/>
        <v>1.0420539047060799</v>
      </c>
      <c r="Y30" s="488">
        <f t="shared" si="17"/>
        <v>1.0622632738875162</v>
      </c>
      <c r="Z30" s="488">
        <f t="shared" si="18"/>
        <v>1.0818670767940946</v>
      </c>
      <c r="AA30" s="488">
        <f t="shared" si="19"/>
        <v>1.1006743726364103</v>
      </c>
      <c r="AB30" s="488">
        <f t="shared" si="20"/>
        <v>1.119100459353874</v>
      </c>
      <c r="AC30" s="488">
        <f t="shared" si="21"/>
        <v>1.1377123902280397</v>
      </c>
      <c r="AD30" s="488">
        <f t="shared" ref="AD30:AD51" si="22">V30/V22</f>
        <v>1.1566344913420177</v>
      </c>
      <c r="AE30" s="488"/>
      <c r="AF30" s="488"/>
      <c r="AG30" s="488"/>
      <c r="AH30" s="488"/>
      <c r="AI30" s="488"/>
      <c r="AJ30" s="488"/>
      <c r="AK30" s="488"/>
      <c r="AL30" s="488"/>
      <c r="AM30" s="488"/>
      <c r="AN30" s="488"/>
      <c r="AO30" s="488"/>
      <c r="AP30" s="488"/>
      <c r="AQ30" s="488"/>
      <c r="AR30" s="488"/>
      <c r="AS30" s="488"/>
      <c r="AT30" s="488"/>
      <c r="AU30" s="488"/>
      <c r="AV30" s="488"/>
      <c r="AW30" s="488"/>
      <c r="AX30" s="488"/>
      <c r="AY30" s="488"/>
    </row>
    <row r="31" spans="3:51">
      <c r="C31" s="481">
        <v>10</v>
      </c>
      <c r="D31" s="509">
        <f>'Swap and Yield Curves'!D136</f>
        <v>1.8654999999999999</v>
      </c>
      <c r="E31" s="492">
        <f t="shared" si="0"/>
        <v>1</v>
      </c>
      <c r="F31" s="492">
        <f t="shared" si="1"/>
        <v>0</v>
      </c>
      <c r="G31" s="492">
        <f t="shared" si="2"/>
        <v>0</v>
      </c>
      <c r="H31" s="492">
        <f t="shared" si="3"/>
        <v>1.8654999999999999</v>
      </c>
      <c r="I31" s="459">
        <f t="shared" si="12"/>
        <v>10</v>
      </c>
      <c r="J31" s="482">
        <f t="shared" si="4"/>
        <v>1.874200225624989E-2</v>
      </c>
      <c r="K31" s="491">
        <f t="shared" si="13"/>
        <v>1.8819343755398732E-2</v>
      </c>
      <c r="L31" s="494">
        <f t="shared" si="5"/>
        <v>1.8819343755398732E-2</v>
      </c>
      <c r="M31" s="483">
        <f>'All Curves'!AM24</f>
        <v>1.5251716544578568E-2</v>
      </c>
      <c r="N31" s="483">
        <f t="shared" si="6"/>
        <v>3.5676272108201637E-3</v>
      </c>
      <c r="O31" s="492">
        <f t="shared" si="7"/>
        <v>1</v>
      </c>
      <c r="P31" s="492">
        <f t="shared" si="8"/>
        <v>0</v>
      </c>
      <c r="Q31" s="492">
        <f>IF(P31=1,N30,IF(P31=2,N29,IF(P31=3,N28,IF(P31=4,N27,IF(P31=5,N26,IF(P31=6,N25,IF(P31=7,N24,IF(P31=8,N23,IF(P31=9,N22,IF(P31=10,#REF!,IF(P31=11,#REF!,IF(P31=12,#REF!,IF(P31=13,#REF!,IF(P31=14,#REF!,IF(P31=15,N16,IF(P31=16,N15,IF(P31=17,N14,IF(P31=18,N13,IF(P31=19,#REF!,0)))))))))))))))))))</f>
        <v>0</v>
      </c>
      <c r="R31" s="505">
        <f t="shared" si="9"/>
        <v>3.5676272108201637E-3</v>
      </c>
      <c r="S31" s="483">
        <f t="shared" si="14"/>
        <v>1.8819343755398732E-2</v>
      </c>
      <c r="T31" s="483">
        <f t="shared" si="10"/>
        <v>-7.7341499148841919E-5</v>
      </c>
      <c r="U31" s="489">
        <f>((1+J31)/(V30-J31*(1+W30+X30+Y30+Z30+AA30+AB30+AC30+AD30)))-1</f>
        <v>2.2031056941454796E-2</v>
      </c>
      <c r="V31" s="488">
        <f t="shared" si="15"/>
        <v>1.2049577540689593</v>
      </c>
      <c r="W31" s="488">
        <f t="shared" si="11"/>
        <v>1.0220310569414548</v>
      </c>
      <c r="X31" s="488">
        <f t="shared" si="16"/>
        <v>1.0437619137079868</v>
      </c>
      <c r="Y31" s="488">
        <f t="shared" si="17"/>
        <v>1.0650114536167248</v>
      </c>
      <c r="Z31" s="488">
        <f t="shared" si="18"/>
        <v>1.0856660565613483</v>
      </c>
      <c r="AA31" s="488">
        <f t="shared" si="19"/>
        <v>1.1057017519660304</v>
      </c>
      <c r="AB31" s="488">
        <f t="shared" si="20"/>
        <v>1.124923392413963</v>
      </c>
      <c r="AC31" s="488">
        <f t="shared" si="21"/>
        <v>1.1437554252971074</v>
      </c>
      <c r="AD31" s="488">
        <f t="shared" si="22"/>
        <v>1.1627773966801522</v>
      </c>
      <c r="AE31" s="488">
        <f t="shared" ref="AE31:AE51" si="23">V31/V22</f>
        <v>1.1821163716812242</v>
      </c>
      <c r="AF31" s="488"/>
      <c r="AG31" s="488"/>
      <c r="AH31" s="488"/>
      <c r="AI31" s="488"/>
      <c r="AJ31" s="488"/>
      <c r="AK31" s="488"/>
      <c r="AL31" s="488"/>
      <c r="AM31" s="488"/>
      <c r="AN31" s="488"/>
      <c r="AO31" s="488"/>
      <c r="AP31" s="488"/>
      <c r="AQ31" s="488"/>
      <c r="AR31" s="488"/>
      <c r="AS31" s="488"/>
      <c r="AT31" s="488"/>
      <c r="AU31" s="488"/>
      <c r="AV31" s="488"/>
      <c r="AW31" s="488"/>
      <c r="AX31" s="488"/>
      <c r="AY31" s="488"/>
    </row>
    <row r="32" spans="3:51">
      <c r="C32" s="481">
        <v>11</v>
      </c>
      <c r="D32" s="484"/>
      <c r="E32" s="492" t="str">
        <f t="shared" si="0"/>
        <v/>
      </c>
      <c r="F32" s="492">
        <f t="shared" si="1"/>
        <v>1</v>
      </c>
      <c r="G32" s="492">
        <f t="shared" si="2"/>
        <v>1.8654999999999999</v>
      </c>
      <c r="H32" s="492">
        <f t="shared" si="3"/>
        <v>1.9036999999999999</v>
      </c>
      <c r="I32" s="459">
        <f t="shared" si="12"/>
        <v>11</v>
      </c>
      <c r="J32" s="482">
        <f t="shared" si="4"/>
        <v>1.9127601842249931E-2</v>
      </c>
      <c r="K32" s="491">
        <f t="shared" si="13"/>
        <v>1.9238836597263331E-2</v>
      </c>
      <c r="L32" s="494" t="str">
        <f t="shared" si="5"/>
        <v/>
      </c>
      <c r="M32" s="483">
        <f>'All Curves'!AM25</f>
        <v>1.5395163755630721E-2</v>
      </c>
      <c r="N32" s="483" t="str">
        <f t="shared" si="6"/>
        <v/>
      </c>
      <c r="O32" s="492" t="str">
        <f t="shared" si="7"/>
        <v/>
      </c>
      <c r="P32" s="492">
        <f t="shared" si="8"/>
        <v>1</v>
      </c>
      <c r="Q32" s="492">
        <f>IF(P32=1,N31,IF(P32=2,N30,IF(P32=3,N29,IF(P32=4,N28,IF(P32=5,N27,IF(P32=6,N26,IF(P32=7,N25,IF(P32=8,N24,IF(P32=9,N23,IF(P32=10,N22,IF(P32=11,#REF!,IF(P32=12,#REF!,IF(P32=13,#REF!,IF(P32=14,#REF!,IF(P32=15,#REF!,IF(P32=16,N16,IF(P32=17,N15,IF(P32=18,N14,IF(P32=19,N13,0)))))))))))))))))))</f>
        <v>3.5676272108201637E-3</v>
      </c>
      <c r="R32" s="505">
        <f t="shared" si="9"/>
        <v>3.8475345554698937E-3</v>
      </c>
      <c r="S32" s="483">
        <f t="shared" si="14"/>
        <v>1.9242698311100613E-2</v>
      </c>
      <c r="T32" s="483">
        <f t="shared" si="10"/>
        <v>-1.1123475501340074E-4</v>
      </c>
      <c r="U32" s="489">
        <f>((1+J32)/(V31-J32*(1+W31+X31+Y31+Z31+AA31+AB31+AC31+AD31+AE31)))-1</f>
        <v>2.3443276563416937E-2</v>
      </c>
      <c r="V32" s="488">
        <f t="shared" si="15"/>
        <v>1.2332059119448318</v>
      </c>
      <c r="W32" s="488">
        <f t="shared" si="11"/>
        <v>1.0234432765634169</v>
      </c>
      <c r="X32" s="488">
        <f t="shared" si="16"/>
        <v>1.0459908136657345</v>
      </c>
      <c r="Y32" s="488">
        <f t="shared" si="17"/>
        <v>1.0682311129174045</v>
      </c>
      <c r="Z32" s="488">
        <f t="shared" si="18"/>
        <v>1.0899788116670683</v>
      </c>
      <c r="AA32" s="488">
        <f t="shared" si="19"/>
        <v>1.1111176261808302</v>
      </c>
      <c r="AB32" s="488">
        <f t="shared" si="20"/>
        <v>1.1316230239340248</v>
      </c>
      <c r="AC32" s="488">
        <f t="shared" si="21"/>
        <v>1.1512952826149807</v>
      </c>
      <c r="AD32" s="488">
        <f t="shared" si="22"/>
        <v>1.1705688000532561</v>
      </c>
      <c r="AE32" s="488">
        <f t="shared" si="23"/>
        <v>1.190036708772215</v>
      </c>
      <c r="AF32" s="488">
        <f t="shared" ref="AF32:AF51" si="24">V32/V22</f>
        <v>1.2098290527126903</v>
      </c>
      <c r="AG32" s="488"/>
      <c r="AH32" s="488"/>
      <c r="AI32" s="488"/>
      <c r="AJ32" s="488"/>
      <c r="AK32" s="488"/>
      <c r="AL32" s="488"/>
      <c r="AM32" s="488"/>
      <c r="AN32" s="488"/>
      <c r="AO32" s="488"/>
      <c r="AP32" s="488"/>
      <c r="AQ32" s="488"/>
      <c r="AR32" s="488"/>
      <c r="AS32" s="488"/>
      <c r="AT32" s="488"/>
      <c r="AU32" s="488"/>
      <c r="AV32" s="488"/>
      <c r="AW32" s="488"/>
      <c r="AX32" s="488"/>
      <c r="AY32" s="488"/>
    </row>
    <row r="33" spans="3:51">
      <c r="C33" s="481">
        <v>12</v>
      </c>
      <c r="D33" s="495">
        <f>'Swap and Yield Curves'!D137</f>
        <v>1.9419</v>
      </c>
      <c r="E33" s="492">
        <f t="shared" si="0"/>
        <v>1</v>
      </c>
      <c r="F33" s="492">
        <f t="shared" si="1"/>
        <v>0</v>
      </c>
      <c r="G33" s="492">
        <f t="shared" si="2"/>
        <v>0</v>
      </c>
      <c r="H33" s="492">
        <f t="shared" si="3"/>
        <v>1.9419</v>
      </c>
      <c r="I33" s="459">
        <f t="shared" si="12"/>
        <v>12</v>
      </c>
      <c r="J33" s="482">
        <f t="shared" si="4"/>
        <v>1.9513274390249968E-2</v>
      </c>
      <c r="K33" s="491">
        <f t="shared" si="13"/>
        <v>1.9662118815176877E-2</v>
      </c>
      <c r="L33" s="494">
        <f t="shared" si="5"/>
        <v>1.9662118815176877E-2</v>
      </c>
      <c r="M33" s="483">
        <f>'All Curves'!AM26</f>
        <v>1.5534676915057253E-2</v>
      </c>
      <c r="N33" s="483">
        <f t="shared" si="6"/>
        <v>4.1274419001196237E-3</v>
      </c>
      <c r="O33" s="492">
        <f t="shared" si="7"/>
        <v>1</v>
      </c>
      <c r="P33" s="492">
        <f t="shared" si="8"/>
        <v>0</v>
      </c>
      <c r="Q33" s="492">
        <f>IF(P33=1,N32,IF(P33=2,N31,IF(P33=3,N30,IF(P33=4,N29,IF(P33=5,N28,IF(P33=6,N27,IF(P33=7,N26,IF(P33=8,N25,IF(P33=9,N24,IF(P33=10,N23,IF(P33=11,N22,IF(P33=12,#REF!,IF(P33=13,#REF!,IF(P33=14,#REF!,IF(P33=15,#REF!,IF(P33=16,#REF!,IF(P33=17,N16,IF(P33=18,N15,IF(P33=19,N14,0)))))))))))))))))))</f>
        <v>0</v>
      </c>
      <c r="R33" s="505">
        <f t="shared" si="9"/>
        <v>4.1274419001196237E-3</v>
      </c>
      <c r="S33" s="483">
        <f t="shared" si="14"/>
        <v>1.9662118815176877E-2</v>
      </c>
      <c r="T33" s="483">
        <f t="shared" si="10"/>
        <v>-1.488444249269083E-4</v>
      </c>
      <c r="U33" s="489">
        <f>((1+J33)/(V32-J33*(1+W32+X32+Y32+Z32+AA32+AB32+AC32+AD32+AE32+AF32)))-1</f>
        <v>2.4329841158490906E-2</v>
      </c>
      <c r="V33" s="488">
        <f t="shared" si="15"/>
        <v>1.2632096158981614</v>
      </c>
      <c r="W33" s="488">
        <f t="shared" si="11"/>
        <v>1.0243298411584909</v>
      </c>
      <c r="X33" s="488">
        <f t="shared" si="16"/>
        <v>1.0483434889169303</v>
      </c>
      <c r="Y33" s="488">
        <f t="shared" si="17"/>
        <v>1.0714396040154626</v>
      </c>
      <c r="Z33" s="488">
        <f t="shared" si="18"/>
        <v>1.0942210062152429</v>
      </c>
      <c r="AA33" s="488">
        <f t="shared" si="19"/>
        <v>1.1164978230210487</v>
      </c>
      <c r="AB33" s="488">
        <f t="shared" si="20"/>
        <v>1.1381509415342093</v>
      </c>
      <c r="AC33" s="488">
        <f t="shared" si="21"/>
        <v>1.1591552323576306</v>
      </c>
      <c r="AD33" s="488">
        <f t="shared" si="22"/>
        <v>1.1793061139675232</v>
      </c>
      <c r="AE33" s="488">
        <f t="shared" si="23"/>
        <v>1.199048553023637</v>
      </c>
      <c r="AF33" s="488">
        <f t="shared" si="24"/>
        <v>1.2189901128694163</v>
      </c>
      <c r="AG33" s="488">
        <f t="shared" ref="AG33:AG51" si="25">V33/V22</f>
        <v>1.2392640013941174</v>
      </c>
      <c r="AH33" s="488"/>
      <c r="AI33" s="488"/>
      <c r="AJ33" s="488"/>
      <c r="AK33" s="488"/>
      <c r="AL33" s="488"/>
      <c r="AM33" s="488"/>
      <c r="AN33" s="488"/>
      <c r="AO33" s="488"/>
      <c r="AP33" s="488"/>
      <c r="AQ33" s="488"/>
      <c r="AR33" s="488"/>
      <c r="AS33" s="488"/>
      <c r="AT33" s="488"/>
      <c r="AU33" s="488"/>
      <c r="AV33" s="488"/>
      <c r="AW33" s="488"/>
      <c r="AX33" s="488"/>
      <c r="AY33" s="488"/>
    </row>
    <row r="34" spans="3:51">
      <c r="C34" s="481">
        <v>13</v>
      </c>
      <c r="D34" s="484"/>
      <c r="E34" s="492" t="str">
        <f t="shared" si="0"/>
        <v/>
      </c>
      <c r="F34" s="492">
        <f t="shared" si="1"/>
        <v>1</v>
      </c>
      <c r="G34" s="492">
        <f t="shared" si="2"/>
        <v>1.9419</v>
      </c>
      <c r="H34" s="492">
        <f t="shared" si="3"/>
        <v>1.9736000000000002</v>
      </c>
      <c r="I34" s="459">
        <f t="shared" si="12"/>
        <v>13</v>
      </c>
      <c r="J34" s="482">
        <f t="shared" si="4"/>
        <v>1.9833377424000043E-2</v>
      </c>
      <c r="K34" s="491">
        <f t="shared" si="13"/>
        <v>2.0014753795764673E-2</v>
      </c>
      <c r="L34" s="494" t="str">
        <f t="shared" si="5"/>
        <v/>
      </c>
      <c r="M34" s="483">
        <f>'All Curves'!AM27</f>
        <v>1.5670350640630125E-2</v>
      </c>
      <c r="N34" s="483" t="str">
        <f t="shared" si="6"/>
        <v/>
      </c>
      <c r="O34" s="492" t="str">
        <f t="shared" si="7"/>
        <v/>
      </c>
      <c r="P34" s="492">
        <f t="shared" si="8"/>
        <v>1</v>
      </c>
      <c r="Q34" s="492">
        <f>IF(P34=1,N33,IF(P34=2,N32,IF(P34=3,N31,IF(P34=4,N30,IF(P34=5,N29,IF(P34=6,N28,IF(P34=7,N27,IF(P34=8,N26,IF(P34=9,N25,IF(P34=10,N24,IF(P34=11,N23,IF(P34=12,N22,IF(P34=13,#REF!,IF(P34=14,#REF!,IF(P34=15,#REF!,IF(P34=16,#REF!,IF(P34=17,#REF!,IF(P34=18,N16,IF(P34=19,N15,0)))))))))))))))))))</f>
        <v>4.1274419001196237E-3</v>
      </c>
      <c r="R34" s="505">
        <f t="shared" si="9"/>
        <v>4.3519565962004698E-3</v>
      </c>
      <c r="S34" s="483">
        <f t="shared" si="14"/>
        <v>2.0022307236830593E-2</v>
      </c>
      <c r="T34" s="483">
        <f t="shared" si="10"/>
        <v>-1.8137637176462995E-4</v>
      </c>
      <c r="U34" s="489">
        <f>((1+J34)/(V33-J34*(1+W33+X33+Y33+Z33+AA33+AB33+AC33+AD33+AE33+AF33+AG33)))-1</f>
        <v>2.4255898013538335E-2</v>
      </c>
      <c r="V34" s="488">
        <f t="shared" si="15"/>
        <v>1.2938498995111081</v>
      </c>
      <c r="W34" s="488">
        <f t="shared" si="11"/>
        <v>1.0242558980135383</v>
      </c>
      <c r="X34" s="488">
        <f t="shared" si="16"/>
        <v>1.0491758813178551</v>
      </c>
      <c r="Y34" s="488">
        <f t="shared" si="17"/>
        <v>1.0737720016672563</v>
      </c>
      <c r="Z34" s="488">
        <f t="shared" si="18"/>
        <v>1.0974283337781274</v>
      </c>
      <c r="AA34" s="488">
        <f t="shared" si="19"/>
        <v>1.120762319346271</v>
      </c>
      <c r="AB34" s="488">
        <f t="shared" si="20"/>
        <v>1.1435794803485848</v>
      </c>
      <c r="AC34" s="488">
        <f t="shared" si="21"/>
        <v>1.1657578146960756</v>
      </c>
      <c r="AD34" s="488">
        <f t="shared" si="22"/>
        <v>1.1872715834555567</v>
      </c>
      <c r="AE34" s="488">
        <f t="shared" si="23"/>
        <v>1.2079112427946614</v>
      </c>
      <c r="AF34" s="488">
        <f t="shared" si="24"/>
        <v>1.2281325524390592</v>
      </c>
      <c r="AG34" s="488">
        <f t="shared" si="25"/>
        <v>1.2485578127266883</v>
      </c>
      <c r="AH34" s="488">
        <f t="shared" ref="AH34:AH51" si="26">V34/V22</f>
        <v>1.2693234626237826</v>
      </c>
      <c r="AI34" s="488"/>
      <c r="AJ34" s="488"/>
      <c r="AK34" s="488"/>
      <c r="AL34" s="488"/>
      <c r="AM34" s="488"/>
      <c r="AN34" s="488"/>
      <c r="AO34" s="488"/>
      <c r="AP34" s="488"/>
      <c r="AQ34" s="488"/>
      <c r="AR34" s="488"/>
      <c r="AS34" s="488"/>
      <c r="AT34" s="488"/>
      <c r="AU34" s="488"/>
      <c r="AV34" s="488"/>
      <c r="AW34" s="488"/>
      <c r="AX34" s="488"/>
      <c r="AY34" s="488"/>
    </row>
    <row r="35" spans="3:51">
      <c r="C35" s="481">
        <v>14</v>
      </c>
      <c r="D35" s="484"/>
      <c r="E35" s="492" t="str">
        <f t="shared" si="0"/>
        <v/>
      </c>
      <c r="F35" s="492">
        <f t="shared" si="1"/>
        <v>2</v>
      </c>
      <c r="G35" s="492">
        <f t="shared" si="2"/>
        <v>1.9419</v>
      </c>
      <c r="H35" s="492">
        <f t="shared" si="3"/>
        <v>2.0053000000000001</v>
      </c>
      <c r="I35" s="459">
        <f t="shared" si="12"/>
        <v>14</v>
      </c>
      <c r="J35" s="482">
        <f t="shared" si="4"/>
        <v>2.0153530702249789E-2</v>
      </c>
      <c r="K35" s="491">
        <f t="shared" si="13"/>
        <v>2.0371143484811061E-2</v>
      </c>
      <c r="L35" s="494" t="str">
        <f t="shared" si="5"/>
        <v/>
      </c>
      <c r="M35" s="483">
        <f>'All Curves'!AM28</f>
        <v>1.5802277643212917E-2</v>
      </c>
      <c r="N35" s="483" t="str">
        <f t="shared" si="6"/>
        <v/>
      </c>
      <c r="O35" s="492" t="str">
        <f t="shared" si="7"/>
        <v/>
      </c>
      <c r="P35" s="492">
        <f t="shared" si="8"/>
        <v>2</v>
      </c>
      <c r="Q35" s="492">
        <f>IF(P35=1,N34,IF(P35=2,N33,IF(P35=3,N32,IF(P35=4,N31,IF(P35=5,N30,IF(P35=6,N29,IF(P35=7,N28,IF(P35=8,N27,IF(P35=9,N26,IF(P35=10,N25,IF(P35=11,N24,IF(P35=12,N23,IF(P35=13,N22,IF(P35=14,#REF!,IF(P35=15,#REF!,IF(P35=16,#REF!,IF(P35=17,#REF!,IF(P35=18,#REF!,IF(P35=19,N16,0)))))))))))))))))))</f>
        <v>4.1274419001196237E-3</v>
      </c>
      <c r="R35" s="505">
        <f t="shared" si="9"/>
        <v>4.5764712922813167E-3</v>
      </c>
      <c r="S35" s="483">
        <f t="shared" si="14"/>
        <v>2.0378748935494233E-2</v>
      </c>
      <c r="T35" s="483">
        <f t="shared" si="10"/>
        <v>-2.176127825612717E-4</v>
      </c>
      <c r="U35" s="489">
        <f>((1+J35)/(V34-J35*(1+W34+X34+Y34+Z34+AA34+AB34+AC34+AD34+AE34+AF34+AG34+AH34)))-1</f>
        <v>2.5015556736830646E-2</v>
      </c>
      <c r="V35" s="488">
        <f t="shared" si="15"/>
        <v>1.3262162750812709</v>
      </c>
      <c r="W35" s="488">
        <f t="shared" si="11"/>
        <v>1.0250155567368306</v>
      </c>
      <c r="X35" s="488">
        <f t="shared" si="16"/>
        <v>1.0498782295433295</v>
      </c>
      <c r="Y35" s="488">
        <f t="shared" si="17"/>
        <v>1.0754216001038763</v>
      </c>
      <c r="Z35" s="488">
        <f t="shared" si="18"/>
        <v>1.1006330060973839</v>
      </c>
      <c r="AA35" s="488">
        <f t="shared" si="19"/>
        <v>1.1248811145263597</v>
      </c>
      <c r="AB35" s="488">
        <f t="shared" si="20"/>
        <v>1.1487988127343796</v>
      </c>
      <c r="AC35" s="488">
        <f t="shared" si="21"/>
        <v>1.1721867577223204</v>
      </c>
      <c r="AD35" s="488">
        <f t="shared" si="22"/>
        <v>1.1949198954510092</v>
      </c>
      <c r="AE35" s="488">
        <f t="shared" si="23"/>
        <v>1.2169718431135159</v>
      </c>
      <c r="AF35" s="488">
        <f t="shared" si="24"/>
        <v>1.2381278150218471</v>
      </c>
      <c r="AG35" s="488">
        <f t="shared" si="25"/>
        <v>1.2588549719849471</v>
      </c>
      <c r="AH35" s="488">
        <f t="shared" si="26"/>
        <v>1.2797911815301661</v>
      </c>
      <c r="AI35" s="488">
        <f t="shared" ref="AI35:AI51" si="27">V35/V22</f>
        <v>1.3010762957204383</v>
      </c>
      <c r="AJ35" s="488"/>
      <c r="AK35" s="488"/>
      <c r="AL35" s="488"/>
      <c r="AM35" s="488"/>
      <c r="AN35" s="488"/>
      <c r="AO35" s="488"/>
      <c r="AP35" s="488"/>
      <c r="AQ35" s="488"/>
      <c r="AR35" s="488"/>
      <c r="AS35" s="488"/>
      <c r="AT35" s="488"/>
      <c r="AU35" s="488"/>
      <c r="AV35" s="488"/>
      <c r="AW35" s="488"/>
      <c r="AX35" s="488"/>
      <c r="AY35" s="488"/>
    </row>
    <row r="36" spans="3:51">
      <c r="C36" s="481">
        <v>15</v>
      </c>
      <c r="D36" s="495">
        <f>'Swap and Yield Curves'!D138</f>
        <v>2.0369999999999999</v>
      </c>
      <c r="E36" s="492">
        <f t="shared" si="0"/>
        <v>1</v>
      </c>
      <c r="F36" s="492">
        <f t="shared" si="1"/>
        <v>0</v>
      </c>
      <c r="G36" s="492">
        <f t="shared" si="2"/>
        <v>0</v>
      </c>
      <c r="H36" s="492">
        <f t="shared" si="3"/>
        <v>2.0369999999999999</v>
      </c>
      <c r="I36" s="459">
        <f t="shared" si="12"/>
        <v>15</v>
      </c>
      <c r="J36" s="482">
        <f t="shared" si="4"/>
        <v>2.0473734224999873E-2</v>
      </c>
      <c r="K36" s="491">
        <f t="shared" si="13"/>
        <v>2.0731534749849345E-2</v>
      </c>
      <c r="L36" s="494">
        <f t="shared" si="5"/>
        <v>2.0731534749849345E-2</v>
      </c>
      <c r="M36" s="483">
        <f>'All Curves'!AM29</f>
        <v>1.5930548761487182E-2</v>
      </c>
      <c r="N36" s="483">
        <f t="shared" si="6"/>
        <v>4.8009859883621636E-3</v>
      </c>
      <c r="O36" s="492">
        <f t="shared" si="7"/>
        <v>1</v>
      </c>
      <c r="P36" s="492">
        <f t="shared" si="8"/>
        <v>0</v>
      </c>
      <c r="Q36" s="492">
        <f>IF(P36=1,N35,IF(P36=2,N34,IF(P36=3,N33,IF(P36=4,N32,IF(P36=5,N31,IF(P36=6,N30,IF(P36=7,N29,IF(P36=8,N28,IF(P36=9,N27,IF(P36=10,N26,IF(P36=11,N25,IF(P36=12,N24,IF(P36=13,N23,IF(P36=14,N22,IF(P36=15,#REF!,IF(P36=16,#REF!,IF(P36=17,#REF!,IF(P36=18,#REF!,IF(P36=19,#REF!,0)))))))))))))))))))</f>
        <v>0</v>
      </c>
      <c r="R36" s="505">
        <f t="shared" si="9"/>
        <v>4.8009859883621636E-3</v>
      </c>
      <c r="S36" s="483">
        <f t="shared" si="14"/>
        <v>2.0731534749849345E-2</v>
      </c>
      <c r="T36" s="483">
        <f t="shared" si="10"/>
        <v>-2.5780052484947191E-4</v>
      </c>
      <c r="U36" s="489">
        <f>((1+J36)/(V35-J36*(1+W35+X35+Y35+Z35+AA35+AB35+AC35+AD35+AE35+AF35+AG35+AH35+AI35)))-1</f>
        <v>2.579039826662588E-2</v>
      </c>
      <c r="V36" s="488">
        <f t="shared" si="15"/>
        <v>1.3604199210032979</v>
      </c>
      <c r="W36" s="488">
        <f t="shared" si="11"/>
        <v>1.0257903982666259</v>
      </c>
      <c r="X36" s="488">
        <f t="shared" si="16"/>
        <v>1.0514511161745608</v>
      </c>
      <c r="Y36" s="488">
        <f t="shared" si="17"/>
        <v>1.076955007214712</v>
      </c>
      <c r="Z36" s="488">
        <f t="shared" si="18"/>
        <v>1.1031571514750873</v>
      </c>
      <c r="AA36" s="488">
        <f t="shared" si="19"/>
        <v>1.1290187696700291</v>
      </c>
      <c r="AB36" s="488">
        <f t="shared" si="20"/>
        <v>1.1538922464726007</v>
      </c>
      <c r="AC36" s="488">
        <f t="shared" si="21"/>
        <v>1.1784267916430262</v>
      </c>
      <c r="AD36" s="488">
        <f t="shared" si="22"/>
        <v>1.2024179210468438</v>
      </c>
      <c r="AE36" s="488">
        <f t="shared" si="23"/>
        <v>1.2257373554514055</v>
      </c>
      <c r="AF36" s="488">
        <f t="shared" si="24"/>
        <v>1.2483580316266834</v>
      </c>
      <c r="AG36" s="488">
        <f t="shared" si="25"/>
        <v>1.2700596244762477</v>
      </c>
      <c r="AH36" s="488">
        <f t="shared" si="26"/>
        <v>1.2913213430723609</v>
      </c>
      <c r="AI36" s="488">
        <f t="shared" si="27"/>
        <v>1.3127975057999448</v>
      </c>
      <c r="AJ36" s="488">
        <f t="shared" ref="AJ36:AJ51" si="28">V36/V22</f>
        <v>1.3346315715623345</v>
      </c>
      <c r="AK36" s="488"/>
      <c r="AL36" s="488"/>
      <c r="AM36" s="488"/>
      <c r="AN36" s="488"/>
      <c r="AO36" s="488"/>
      <c r="AP36" s="488"/>
      <c r="AQ36" s="488"/>
      <c r="AR36" s="488"/>
      <c r="AS36" s="488"/>
      <c r="AT36" s="488"/>
      <c r="AU36" s="488"/>
      <c r="AV36" s="488"/>
      <c r="AW36" s="488"/>
      <c r="AX36" s="488"/>
      <c r="AY36" s="488"/>
    </row>
    <row r="37" spans="3:51">
      <c r="C37" s="481">
        <v>16</v>
      </c>
      <c r="D37" s="484"/>
      <c r="E37" s="492" t="str">
        <f t="shared" si="0"/>
        <v/>
      </c>
      <c r="F37" s="492">
        <f t="shared" si="1"/>
        <v>1</v>
      </c>
      <c r="G37" s="492">
        <f t="shared" si="2"/>
        <v>2.0369999999999999</v>
      </c>
      <c r="H37" s="492">
        <f t="shared" si="3"/>
        <v>2.0548800000000003</v>
      </c>
      <c r="I37" s="459">
        <f t="shared" si="12"/>
        <v>16</v>
      </c>
      <c r="J37" s="482">
        <f t="shared" si="4"/>
        <v>2.0654363295359746E-2</v>
      </c>
      <c r="K37" s="491">
        <f t="shared" si="13"/>
        <v>2.0929911265551659E-2</v>
      </c>
      <c r="L37" s="494" t="str">
        <f t="shared" si="5"/>
        <v/>
      </c>
      <c r="M37" s="483">
        <f>'All Curves'!AM30</f>
        <v>1.6055252996083805E-2</v>
      </c>
      <c r="N37" s="483" t="str">
        <f t="shared" si="6"/>
        <v/>
      </c>
      <c r="O37" s="492" t="str">
        <f t="shared" si="7"/>
        <v/>
      </c>
      <c r="P37" s="492">
        <f t="shared" si="8"/>
        <v>1</v>
      </c>
      <c r="Q37" s="492">
        <f>IF(P37=1,N36,IF(P37=2,N35,IF(P37=3,N34,IF(P37=4,N33,IF(P37=5,N32,IF(P37=6,N31,IF(P37=7,N30,IF(P37=8,N29,IF(P37=9,N28,IF(P37=10,N27,IF(P37=11,N26,IF(P37=12,N25,IF(P37=13,N24,IF(P37=14,N23,IF(P37=15,N22,IF(P37=16,#REF!,IF(P37=17,#REF!,IF(P37=18,#REF!,IF(P37=19,#REF!,0)))))))))))))))))))</f>
        <v>4.8009859883621636E-3</v>
      </c>
      <c r="R37" s="505">
        <f t="shared" si="9"/>
        <v>4.8870592080319485E-3</v>
      </c>
      <c r="S37" s="483">
        <f t="shared" si="14"/>
        <v>2.0942312204115753E-2</v>
      </c>
      <c r="T37" s="483">
        <f t="shared" si="10"/>
        <v>-2.755479701919139E-4</v>
      </c>
      <c r="U37" s="489">
        <f>((1+J37)/(V36-J37*(1+W36+X36+Y36+Z36+AA36+AB36+AC36+AD36+AE36+AF36+AG36+AH36+AI36+AJ36)))-1</f>
        <v>2.3910189674847926E-2</v>
      </c>
      <c r="V37" s="488">
        <f t="shared" si="15"/>
        <v>1.3929478193519285</v>
      </c>
      <c r="W37" s="488">
        <f t="shared" si="11"/>
        <v>1.0239101896748479</v>
      </c>
      <c r="X37" s="488">
        <f t="shared" si="16"/>
        <v>1.0503172412558186</v>
      </c>
      <c r="Y37" s="488">
        <f t="shared" si="17"/>
        <v>1.0765915117961251</v>
      </c>
      <c r="Z37" s="488">
        <f t="shared" si="18"/>
        <v>1.102705205708493</v>
      </c>
      <c r="AA37" s="488">
        <f t="shared" si="19"/>
        <v>1.1295338482080217</v>
      </c>
      <c r="AB37" s="488">
        <f t="shared" si="20"/>
        <v>1.1560138225993029</v>
      </c>
      <c r="AC37" s="488">
        <f t="shared" si="21"/>
        <v>1.1814820289500969</v>
      </c>
      <c r="AD37" s="488">
        <f t="shared" si="22"/>
        <v>1.2066031997491335</v>
      </c>
      <c r="AE37" s="488">
        <f t="shared" si="23"/>
        <v>1.2311679616075102</v>
      </c>
      <c r="AF37" s="488">
        <f t="shared" si="24"/>
        <v>1.2550449681117952</v>
      </c>
      <c r="AG37" s="488">
        <f t="shared" si="25"/>
        <v>1.2782065089449972</v>
      </c>
      <c r="AH37" s="488">
        <f t="shared" si="26"/>
        <v>1.300426990995841</v>
      </c>
      <c r="AI37" s="488">
        <f t="shared" si="27"/>
        <v>1.3221970813164006</v>
      </c>
      <c r="AJ37" s="488">
        <f t="shared" si="28"/>
        <v>1.3441867431682888</v>
      </c>
      <c r="AK37" s="496">
        <f t="shared" ref="AK37:AK51" si="29">V37/V22</f>
        <v>1.3665428655844303</v>
      </c>
      <c r="AL37" s="488"/>
      <c r="AM37" s="488"/>
      <c r="AN37" s="488"/>
      <c r="AO37" s="488"/>
      <c r="AP37" s="488"/>
      <c r="AQ37" s="488"/>
      <c r="AR37" s="488"/>
      <c r="AS37" s="488"/>
      <c r="AT37" s="488"/>
      <c r="AU37" s="488"/>
      <c r="AV37" s="488"/>
      <c r="AW37" s="488"/>
      <c r="AX37" s="488"/>
      <c r="AY37" s="488"/>
    </row>
    <row r="38" spans="3:51">
      <c r="C38" s="481">
        <v>17</v>
      </c>
      <c r="D38" s="484"/>
      <c r="E38" s="492" t="str">
        <f t="shared" si="0"/>
        <v/>
      </c>
      <c r="F38" s="492">
        <f t="shared" si="1"/>
        <v>2</v>
      </c>
      <c r="G38" s="492">
        <f t="shared" si="2"/>
        <v>2.0369999999999999</v>
      </c>
      <c r="H38" s="492">
        <f t="shared" si="3"/>
        <v>2.0727600000000002</v>
      </c>
      <c r="I38" s="459">
        <f t="shared" si="12"/>
        <v>17</v>
      </c>
      <c r="J38" s="482">
        <f t="shared" si="4"/>
        <v>2.0835008350439832E-2</v>
      </c>
      <c r="K38" s="491">
        <f t="shared" si="13"/>
        <v>2.1131097345802541E-2</v>
      </c>
      <c r="L38" s="494" t="str">
        <f t="shared" si="5"/>
        <v/>
      </c>
      <c r="M38" s="483">
        <f>'All Curves'!AM31</f>
        <v>1.6176477543128752E-2</v>
      </c>
      <c r="N38" s="483" t="str">
        <f t="shared" si="6"/>
        <v/>
      </c>
      <c r="O38" s="492" t="str">
        <f t="shared" si="7"/>
        <v/>
      </c>
      <c r="P38" s="492">
        <f t="shared" si="8"/>
        <v>2</v>
      </c>
      <c r="Q38" s="492">
        <f>IF(P38=1,N37,IF(P38=2,N36,IF(P38=3,N35,IF(P38=4,N34,IF(P38=5,N33,IF(P38=6,N32,IF(P38=7,N31,IF(P38=8,N30,IF(P38=9,N29,IF(P38=10,N28,IF(P38=11,N27,IF(P38=12,N26,IF(P38=13,N25,IF(P38=14,N24,IF(P38=15,N23,IF(P38=16,N22,IF(P38=17,#REF!,IF(P38=18,#REF!,IF(P38=19,#REF!,0)))))))))))))))))))</f>
        <v>4.8009859883621636E-3</v>
      </c>
      <c r="R38" s="505">
        <f t="shared" si="9"/>
        <v>4.9731324277017342E-3</v>
      </c>
      <c r="S38" s="483">
        <f t="shared" si="14"/>
        <v>2.1149609970830485E-2</v>
      </c>
      <c r="T38" s="483">
        <f t="shared" si="10"/>
        <v>-2.9608899536270883E-4</v>
      </c>
      <c r="U38" s="489">
        <f>((1+J38)/(V37-J38*(1+W37+X37+Y37+Z37+AA37+AB37+AC37+AD37+AE37+AF37+AG37+AH37+AI37+AJ37+AK37)))-1</f>
        <v>2.4355471809003548E-2</v>
      </c>
      <c r="V38" s="488">
        <f t="shared" si="15"/>
        <v>1.4268737206975672</v>
      </c>
      <c r="W38" s="488">
        <f t="shared" si="11"/>
        <v>1.0243554718090035</v>
      </c>
      <c r="X38" s="488">
        <f t="shared" si="16"/>
        <v>1.0488480054344251</v>
      </c>
      <c r="Y38" s="488">
        <f t="shared" si="17"/>
        <v>1.0758982132157351</v>
      </c>
      <c r="Z38" s="488">
        <f t="shared" si="18"/>
        <v>1.1028124060114881</v>
      </c>
      <c r="AA38" s="488">
        <f t="shared" si="19"/>
        <v>1.1295621112597676</v>
      </c>
      <c r="AB38" s="488">
        <f t="shared" si="20"/>
        <v>1.1570441780053673</v>
      </c>
      <c r="AC38" s="488">
        <f t="shared" si="21"/>
        <v>1.1841690846664386</v>
      </c>
      <c r="AD38" s="488">
        <f t="shared" si="22"/>
        <v>1.2102575811990353</v>
      </c>
      <c r="AE38" s="488">
        <f t="shared" si="23"/>
        <v>1.235990589965277</v>
      </c>
      <c r="AF38" s="488">
        <f t="shared" si="24"/>
        <v>1.2611536381885902</v>
      </c>
      <c r="AG38" s="488">
        <f t="shared" si="25"/>
        <v>1.2856121804516738</v>
      </c>
      <c r="AH38" s="488">
        <f t="shared" si="26"/>
        <v>1.3093378315396917</v>
      </c>
      <c r="AI38" s="488">
        <f t="shared" si="27"/>
        <v>1.3320995039147074</v>
      </c>
      <c r="AJ38" s="488">
        <f t="shared" si="28"/>
        <v>1.354399815056349</v>
      </c>
      <c r="AK38" s="488">
        <f t="shared" si="29"/>
        <v>1.3769250454975603</v>
      </c>
      <c r="AL38" s="488">
        <f t="shared" ref="AL38:AL51" si="30">V38/V22</f>
        <v>1.3998256618229667</v>
      </c>
      <c r="AM38" s="488"/>
      <c r="AN38" s="488"/>
      <c r="AO38" s="488"/>
      <c r="AP38" s="488"/>
      <c r="AQ38" s="488"/>
      <c r="AR38" s="488"/>
      <c r="AS38" s="488"/>
      <c r="AT38" s="488"/>
      <c r="AU38" s="488"/>
      <c r="AV38" s="488"/>
      <c r="AW38" s="488"/>
      <c r="AX38" s="488"/>
      <c r="AY38" s="488"/>
    </row>
    <row r="39" spans="3:51">
      <c r="C39" s="481">
        <v>18</v>
      </c>
      <c r="D39" s="484"/>
      <c r="E39" s="492" t="str">
        <f t="shared" si="0"/>
        <v/>
      </c>
      <c r="F39" s="492">
        <f t="shared" si="1"/>
        <v>3</v>
      </c>
      <c r="G39" s="492">
        <f t="shared" si="2"/>
        <v>2.0369999999999999</v>
      </c>
      <c r="H39" s="492">
        <f t="shared" si="3"/>
        <v>2.0906400000000001</v>
      </c>
      <c r="I39" s="459">
        <f t="shared" si="12"/>
        <v>18</v>
      </c>
      <c r="J39" s="482">
        <f t="shared" si="4"/>
        <v>2.1015669390239911E-2</v>
      </c>
      <c r="K39" s="491">
        <f t="shared" si="13"/>
        <v>2.1335074900239892E-2</v>
      </c>
      <c r="L39" s="494" t="str">
        <f t="shared" si="5"/>
        <v/>
      </c>
      <c r="M39" s="483">
        <f>'All Curves'!AM32</f>
        <v>1.6294307827212556E-2</v>
      </c>
      <c r="N39" s="483" t="str">
        <f t="shared" si="6"/>
        <v/>
      </c>
      <c r="O39" s="492" t="str">
        <f t="shared" si="7"/>
        <v/>
      </c>
      <c r="P39" s="492">
        <f t="shared" si="8"/>
        <v>3</v>
      </c>
      <c r="Q39" s="492">
        <f>IF(P39=1,N38,IF(P39=2,N37,IF(P39=3,N36,IF(P39=4,N35,IF(P39=5,N34,IF(P39=6,N33,IF(P39=7,N32,IF(P39=8,N31,IF(P39=9,N30,IF(P39=10,N29,IF(P39=11,N28,IF(P39=12,N27,IF(P39=13,N26,IF(P39=14,N25,IF(P39=15,N24,IF(P39=16,N23,IF(P39=17,N22,IF(P39=18,#REF!,IF(P39=19,#REF!,0)))))))))))))))))))</f>
        <v>4.8009859883621636E-3</v>
      </c>
      <c r="R39" s="505">
        <f t="shared" si="9"/>
        <v>5.0592056473715199E-3</v>
      </c>
      <c r="S39" s="483">
        <f t="shared" si="14"/>
        <v>2.1353513474584078E-2</v>
      </c>
      <c r="T39" s="483">
        <f t="shared" si="10"/>
        <v>-3.1940550999998152E-4</v>
      </c>
      <c r="U39" s="489">
        <f>((1+J39)/(V38-J39*(1+W38+X38+Y38+Z38+AA38+AB38+AC38+AD38+AE38+AF38+AG38+AH38+AI38+AJ38+AK38+AL38)))-1</f>
        <v>2.4808934085558176E-2</v>
      </c>
      <c r="V39" s="488">
        <f t="shared" si="15"/>
        <v>1.4622729367827683</v>
      </c>
      <c r="W39" s="488">
        <f t="shared" si="11"/>
        <v>1.0248089340855582</v>
      </c>
      <c r="X39" s="488">
        <f t="shared" si="16"/>
        <v>1.0497686391892938</v>
      </c>
      <c r="Y39" s="488">
        <f t="shared" si="17"/>
        <v>1.0748688064670169</v>
      </c>
      <c r="Z39" s="488">
        <f t="shared" si="18"/>
        <v>1.102590101070174</v>
      </c>
      <c r="AA39" s="488">
        <f t="shared" si="19"/>
        <v>1.1301720063009628</v>
      </c>
      <c r="AB39" s="488">
        <f t="shared" si="20"/>
        <v>1.157585343223555</v>
      </c>
      <c r="AC39" s="488">
        <f t="shared" si="21"/>
        <v>1.1857492107515812</v>
      </c>
      <c r="AD39" s="488">
        <f t="shared" si="22"/>
        <v>1.2135470574340841</v>
      </c>
      <c r="AE39" s="488">
        <f t="shared" si="23"/>
        <v>1.240282781757549</v>
      </c>
      <c r="AF39" s="488">
        <f t="shared" si="24"/>
        <v>1.2666541990420956</v>
      </c>
      <c r="AG39" s="488">
        <f t="shared" si="25"/>
        <v>1.2924415156701727</v>
      </c>
      <c r="AH39" s="488">
        <f t="shared" si="26"/>
        <v>1.3175068482960899</v>
      </c>
      <c r="AI39" s="488">
        <f t="shared" si="27"/>
        <v>1.3418211074980877</v>
      </c>
      <c r="AJ39" s="488">
        <f t="shared" si="28"/>
        <v>1.3651474727027322</v>
      </c>
      <c r="AK39" s="488">
        <f t="shared" si="29"/>
        <v>1.388001030793574</v>
      </c>
      <c r="AL39" s="488">
        <f t="shared" si="30"/>
        <v>1.4110850881920634</v>
      </c>
      <c r="AM39" s="488">
        <f t="shared" ref="AM39:AM51" si="31">V39/V22</f>
        <v>1.4345538443984056</v>
      </c>
      <c r="AN39" s="488"/>
      <c r="AO39" s="488"/>
      <c r="AP39" s="488"/>
      <c r="AQ39" s="488"/>
      <c r="AR39" s="488"/>
      <c r="AS39" s="488"/>
      <c r="AT39" s="488"/>
      <c r="AU39" s="488"/>
      <c r="AV39" s="488"/>
      <c r="AW39" s="488"/>
      <c r="AX39" s="488"/>
      <c r="AY39" s="488"/>
    </row>
    <row r="40" spans="3:51">
      <c r="C40" s="481">
        <v>19</v>
      </c>
      <c r="D40" s="484"/>
      <c r="E40" s="492" t="str">
        <f t="shared" si="0"/>
        <v/>
      </c>
      <c r="F40" s="492">
        <f t="shared" si="1"/>
        <v>4</v>
      </c>
      <c r="G40" s="492">
        <f t="shared" si="2"/>
        <v>2.0369999999999999</v>
      </c>
      <c r="H40" s="492">
        <f t="shared" si="3"/>
        <v>2.1085199999999999</v>
      </c>
      <c r="I40" s="459">
        <f t="shared" si="12"/>
        <v>19</v>
      </c>
      <c r="J40" s="482">
        <f t="shared" si="4"/>
        <v>2.1196346414759981E-2</v>
      </c>
      <c r="K40" s="491">
        <f t="shared" si="13"/>
        <v>2.154185468810299E-2</v>
      </c>
      <c r="L40" s="494" t="str">
        <f t="shared" si="5"/>
        <v/>
      </c>
      <c r="M40" s="483">
        <f>'All Curves'!AM33</f>
        <v>1.6408827533795127E-2</v>
      </c>
      <c r="N40" s="483" t="str">
        <f t="shared" si="6"/>
        <v/>
      </c>
      <c r="O40" s="492" t="str">
        <f t="shared" si="7"/>
        <v/>
      </c>
      <c r="P40" s="492">
        <f t="shared" si="8"/>
        <v>4</v>
      </c>
      <c r="Q40" s="492">
        <f>IF(P40=1,N39,IF(P40=2,N38,IF(P40=3,N37,IF(P40=4,N36,IF(P40=5,N35,IF(P40=6,N34,IF(P40=7,N33,IF(P40=8,N32,IF(P40=9,N31,IF(P40=10,N30,IF(P40=11,N29,IF(P40=12,N28,IF(P40=13,N27,IF(P40=14,N26,IF(P40=15,N25,IF(P40=16,N24,IF(P40=17,N23,IF(P40=18,N22,IF(P40=19,#REF!,0)))))))))))))))))))</f>
        <v>4.8009859883621636E-3</v>
      </c>
      <c r="R40" s="505">
        <f t="shared" si="9"/>
        <v>5.1452788670413056E-3</v>
      </c>
      <c r="S40" s="483">
        <f t="shared" si="14"/>
        <v>2.1554106400836433E-2</v>
      </c>
      <c r="T40" s="483">
        <f t="shared" si="10"/>
        <v>-3.4550827334300926E-4</v>
      </c>
      <c r="U40" s="489">
        <f>((1+J40)/(V39-J40*(1+W39+X39+Y39+Z39+AA39+AB39+AC39+AD39+AE39+AF39+AG39+AH39+AI39+AJ39+AK39+AL39+AM39)))-1</f>
        <v>2.5271057952201303E-2</v>
      </c>
      <c r="V40" s="488">
        <f t="shared" si="15"/>
        <v>1.4992261209101412</v>
      </c>
      <c r="W40" s="488">
        <f t="shared" si="11"/>
        <v>1.0252710579522013</v>
      </c>
      <c r="X40" s="488">
        <f t="shared" si="16"/>
        <v>1.0507069400487679</v>
      </c>
      <c r="Y40" s="488">
        <f t="shared" si="17"/>
        <v>1.0762974033066499</v>
      </c>
      <c r="Z40" s="488">
        <f t="shared" si="18"/>
        <v>1.1020318783662584</v>
      </c>
      <c r="AA40" s="488">
        <f t="shared" si="19"/>
        <v>1.1304537194118418</v>
      </c>
      <c r="AB40" s="488">
        <f t="shared" si="20"/>
        <v>1.1587326485681502</v>
      </c>
      <c r="AC40" s="488">
        <f t="shared" si="21"/>
        <v>1.1868387495167763</v>
      </c>
      <c r="AD40" s="488">
        <f t="shared" si="22"/>
        <v>1.2157143477732615</v>
      </c>
      <c r="AE40" s="488">
        <f t="shared" si="23"/>
        <v>1.2442146754502241</v>
      </c>
      <c r="AF40" s="488">
        <f t="shared" si="24"/>
        <v>1.2716260398124615</v>
      </c>
      <c r="AG40" s="488">
        <f t="shared" si="25"/>
        <v>1.2986638907114876</v>
      </c>
      <c r="AH40" s="488">
        <f t="shared" si="26"/>
        <v>1.3251028801125047</v>
      </c>
      <c r="AI40" s="488">
        <f t="shared" si="27"/>
        <v>1.3508016402118026</v>
      </c>
      <c r="AJ40" s="488">
        <f t="shared" si="28"/>
        <v>1.3757303464671586</v>
      </c>
      <c r="AK40" s="488">
        <f t="shared" si="29"/>
        <v>1.3996461935987039</v>
      </c>
      <c r="AL40" s="488">
        <f t="shared" si="30"/>
        <v>1.4230772852804736</v>
      </c>
      <c r="AM40" s="488">
        <f t="shared" si="31"/>
        <v>1.446744701231252</v>
      </c>
      <c r="AN40" s="488">
        <f t="shared" ref="AN40:AN51" si="32">V40/V22</f>
        <v>1.4708065377357509</v>
      </c>
      <c r="AO40" s="488"/>
      <c r="AP40" s="488"/>
      <c r="AQ40" s="488"/>
      <c r="AR40" s="488"/>
      <c r="AS40" s="488"/>
      <c r="AT40" s="488"/>
      <c r="AU40" s="488"/>
      <c r="AV40" s="488"/>
      <c r="AW40" s="488"/>
      <c r="AX40" s="488"/>
      <c r="AY40" s="488"/>
    </row>
    <row r="41" spans="3:51">
      <c r="C41" s="481">
        <v>20</v>
      </c>
      <c r="D41" s="495">
        <f>'Swap and Yield Curves'!D139</f>
        <v>2.1263999999999998</v>
      </c>
      <c r="E41" s="492">
        <f t="shared" si="0"/>
        <v>1</v>
      </c>
      <c r="F41" s="492">
        <f t="shared" si="1"/>
        <v>0</v>
      </c>
      <c r="G41" s="492">
        <f t="shared" si="2"/>
        <v>0</v>
      </c>
      <c r="H41" s="492">
        <f t="shared" si="3"/>
        <v>2.1263999999999998</v>
      </c>
      <c r="I41" s="459">
        <f t="shared" si="12"/>
        <v>20</v>
      </c>
      <c r="J41" s="482">
        <f t="shared" si="4"/>
        <v>2.1377039424000044E-2</v>
      </c>
      <c r="K41" s="491">
        <f t="shared" si="13"/>
        <v>2.1751470727762623E-2</v>
      </c>
      <c r="L41" s="494">
        <f t="shared" si="5"/>
        <v>2.1751470727762623E-2</v>
      </c>
      <c r="M41" s="483">
        <f>'All Curves'!AM34</f>
        <v>1.6520118641051532E-2</v>
      </c>
      <c r="N41" s="483">
        <f t="shared" si="6"/>
        <v>5.2313520867110913E-3</v>
      </c>
      <c r="O41" s="492">
        <f t="shared" si="7"/>
        <v>1</v>
      </c>
      <c r="P41" s="492">
        <f t="shared" si="8"/>
        <v>0</v>
      </c>
      <c r="Q41" s="492">
        <f t="shared" ref="Q41:Q51" si="33">IF(P41=1,N40,IF(P41=2,N39,IF(P41=3,N38,IF(P41=4,N37,IF(P41=5,N36,IF(P41=6,N35,IF(P41=7,N34,IF(P41=8,N33,IF(P41=9,N32,IF(P41=10,N31,IF(P41=11,N30,IF(P41=12,N29,IF(P41=13,N28,IF(P41=14,N27,IF(P41=15,N26,IF(P41=16,N25,IF(P41=17,N24,IF(P41=18,N23,IF(P41=19,N22,0)))))))))))))))))))</f>
        <v>0</v>
      </c>
      <c r="R41" s="505">
        <f t="shared" si="9"/>
        <v>5.2313520867110913E-3</v>
      </c>
      <c r="S41" s="483">
        <f t="shared" si="14"/>
        <v>2.1751470727762623E-2</v>
      </c>
      <c r="T41" s="483">
        <f t="shared" si="10"/>
        <v>-3.7443130376257905E-4</v>
      </c>
      <c r="U41" s="489">
        <f>((1+J41)/(V40-J41*(1+W40+X40+Y40+Z40+AA40+AB40+AC40+AD40+AE40+AF40+AG40+AH40+AI40+AJ40+AK40+AL40+AM40+AN40)))-1</f>
        <v>2.5742357892257095E-2</v>
      </c>
      <c r="V41" s="488">
        <f t="shared" si="15"/>
        <v>1.5378197362760304</v>
      </c>
      <c r="W41" s="488">
        <f t="shared" si="11"/>
        <v>1.0257423578922571</v>
      </c>
      <c r="X41" s="488">
        <f t="shared" si="16"/>
        <v>1.0516639524625799</v>
      </c>
      <c r="Y41" s="488">
        <f t="shared" si="17"/>
        <v>1.0777546141393817</v>
      </c>
      <c r="Z41" s="488">
        <f t="shared" si="18"/>
        <v>1.1040038362610769</v>
      </c>
      <c r="AA41" s="488">
        <f t="shared" si="19"/>
        <v>1.1304007773878391</v>
      </c>
      <c r="AB41" s="488">
        <f t="shared" si="20"/>
        <v>1.1595542636375749</v>
      </c>
      <c r="AC41" s="488">
        <f t="shared" si="21"/>
        <v>1.1885611591090346</v>
      </c>
      <c r="AD41" s="488">
        <f t="shared" si="22"/>
        <v>1.2173907773672361</v>
      </c>
      <c r="AE41" s="488">
        <f t="shared" si="23"/>
        <v>1.2470097016083928</v>
      </c>
      <c r="AF41" s="488">
        <f t="shared" si="24"/>
        <v>1.2762436949204623</v>
      </c>
      <c r="AG41" s="488">
        <f t="shared" si="25"/>
        <v>1.3043606924344275</v>
      </c>
      <c r="AH41" s="488">
        <f t="shared" si="26"/>
        <v>1.3320945613679338</v>
      </c>
      <c r="AI41" s="488">
        <f t="shared" si="27"/>
        <v>1.3592141526964214</v>
      </c>
      <c r="AJ41" s="488">
        <f t="shared" si="28"/>
        <v>1.3855744594755828</v>
      </c>
      <c r="AK41" s="488">
        <f t="shared" si="29"/>
        <v>1.4111448894091552</v>
      </c>
      <c r="AL41" s="488">
        <f t="shared" si="30"/>
        <v>1.4356763868368572</v>
      </c>
      <c r="AM41" s="488">
        <f t="shared" si="31"/>
        <v>1.4597106500665051</v>
      </c>
      <c r="AN41" s="488">
        <f t="shared" si="32"/>
        <v>1.4839873211090735</v>
      </c>
      <c r="AO41" s="488">
        <f t="shared" ref="AO41:AO51" si="34">V41/V22</f>
        <v>1.5086685660204162</v>
      </c>
      <c r="AP41" s="488"/>
      <c r="AQ41" s="488"/>
      <c r="AR41" s="488"/>
      <c r="AS41" s="488"/>
      <c r="AT41" s="488"/>
      <c r="AU41" s="488"/>
      <c r="AV41" s="488"/>
      <c r="AW41" s="488"/>
      <c r="AX41" s="488"/>
      <c r="AY41" s="488"/>
    </row>
    <row r="42" spans="3:51">
      <c r="C42" s="481">
        <v>21</v>
      </c>
      <c r="D42" s="484"/>
      <c r="E42" s="492" t="str">
        <f t="shared" si="0"/>
        <v/>
      </c>
      <c r="F42" s="492">
        <f t="shared" si="1"/>
        <v>1</v>
      </c>
      <c r="G42" s="492">
        <f t="shared" si="2"/>
        <v>2.1263999999999998</v>
      </c>
      <c r="H42" s="492">
        <f t="shared" si="3"/>
        <v>2.125760000000001</v>
      </c>
      <c r="I42" s="459">
        <f t="shared" si="12"/>
        <v>21</v>
      </c>
      <c r="J42" s="482">
        <f t="shared" si="4"/>
        <v>2.1370571389440318E-2</v>
      </c>
      <c r="K42" s="491">
        <f t="shared" si="13"/>
        <v>2.1725412769445285E-2</v>
      </c>
      <c r="L42" s="494" t="str">
        <f t="shared" si="5"/>
        <v/>
      </c>
      <c r="M42" s="483">
        <f>'All Curves'!AM35</f>
        <v>1.6628261451171168E-2</v>
      </c>
      <c r="N42" s="483" t="str">
        <f t="shared" si="6"/>
        <v/>
      </c>
      <c r="O42" s="492" t="str">
        <f t="shared" si="7"/>
        <v/>
      </c>
      <c r="P42" s="492">
        <f t="shared" si="8"/>
        <v>1</v>
      </c>
      <c r="Q42" s="492">
        <f t="shared" si="33"/>
        <v>5.2313520867110913E-3</v>
      </c>
      <c r="R42" s="505">
        <f t="shared" si="9"/>
        <v>5.1059631012506275E-3</v>
      </c>
      <c r="S42" s="483">
        <f t="shared" si="14"/>
        <v>2.1734224552421796E-2</v>
      </c>
      <c r="T42" s="483">
        <f t="shared" si="10"/>
        <v>-3.5484138000496657E-4</v>
      </c>
      <c r="U42" s="489">
        <f>((1+J42)/(V41-J42*(1+W41+X41+Y41+Z41+AA41+AB41+AC41+AD41+AE41+AF41+AG41+AH41+AI41+AJ41+AK41+AL41+AM41+AN41+AO41)))-1</f>
        <v>2.1204393138579247E-2</v>
      </c>
      <c r="V42" s="488">
        <f t="shared" si="15"/>
        <v>1.5704282705402937</v>
      </c>
      <c r="W42" s="488">
        <f t="shared" si="11"/>
        <v>1.0212043931385792</v>
      </c>
      <c r="X42" s="488">
        <f t="shared" si="16"/>
        <v>1.0474926021078979</v>
      </c>
      <c r="Y42" s="488">
        <f t="shared" si="17"/>
        <v>1.0739638483602687</v>
      </c>
      <c r="Z42" s="488">
        <f t="shared" si="18"/>
        <v>1.100607746684511</v>
      </c>
      <c r="AA42" s="488">
        <f t="shared" si="19"/>
        <v>1.1274135676316563</v>
      </c>
      <c r="AB42" s="488">
        <f t="shared" si="20"/>
        <v>1.1543702398757263</v>
      </c>
      <c r="AC42" s="488">
        <f t="shared" si="21"/>
        <v>1.1841419081092617</v>
      </c>
      <c r="AD42" s="488">
        <f t="shared" si="22"/>
        <v>1.213763877196028</v>
      </c>
      <c r="AE42" s="488">
        <f t="shared" si="23"/>
        <v>1.2432048100138116</v>
      </c>
      <c r="AF42" s="488">
        <f t="shared" si="24"/>
        <v>1.2734517855689194</v>
      </c>
      <c r="AG42" s="488">
        <f t="shared" si="25"/>
        <v>1.3033056679681889</v>
      </c>
      <c r="AH42" s="488">
        <f t="shared" si="26"/>
        <v>1.3320188693513166</v>
      </c>
      <c r="AI42" s="488">
        <f t="shared" si="27"/>
        <v>1.3603408181449428</v>
      </c>
      <c r="AJ42" s="488">
        <f t="shared" si="28"/>
        <v>1.3880354639497172</v>
      </c>
      <c r="AK42" s="488">
        <f t="shared" si="29"/>
        <v>1.4149547250370773</v>
      </c>
      <c r="AL42" s="488">
        <f t="shared" si="30"/>
        <v>1.441067360419684</v>
      </c>
      <c r="AM42" s="488">
        <f t="shared" si="31"/>
        <v>1.4661190333631211</v>
      </c>
      <c r="AN42" s="488">
        <f t="shared" si="32"/>
        <v>1.4906629285590864</v>
      </c>
      <c r="AO42" s="488">
        <f t="shared" si="34"/>
        <v>1.5154543716785374</v>
      </c>
      <c r="AP42" s="488">
        <f t="shared" ref="AP42:AP51" si="35">V42/V22</f>
        <v>1.5406589674101296</v>
      </c>
      <c r="AQ42" s="488"/>
      <c r="AR42" s="488"/>
      <c r="AS42" s="488"/>
      <c r="AT42" s="488"/>
      <c r="AU42" s="488"/>
      <c r="AV42" s="488"/>
      <c r="AW42" s="488"/>
      <c r="AX42" s="488"/>
      <c r="AY42" s="488"/>
    </row>
    <row r="43" spans="3:51">
      <c r="C43" s="481">
        <v>22</v>
      </c>
      <c r="D43" s="484"/>
      <c r="E43" s="492" t="str">
        <f t="shared" si="0"/>
        <v/>
      </c>
      <c r="F43" s="492">
        <f t="shared" si="1"/>
        <v>2</v>
      </c>
      <c r="G43" s="492">
        <f t="shared" si="2"/>
        <v>2.1263999999999998</v>
      </c>
      <c r="H43" s="492">
        <f t="shared" si="3"/>
        <v>2.1251200000000008</v>
      </c>
      <c r="I43" s="459">
        <f t="shared" si="12"/>
        <v>22</v>
      </c>
      <c r="J43" s="482">
        <f t="shared" si="4"/>
        <v>2.1364103375359988E-2</v>
      </c>
      <c r="K43" s="491">
        <f t="shared" si="13"/>
        <v>2.1700969670608083E-2</v>
      </c>
      <c r="L43" s="494" t="str">
        <f t="shared" si="5"/>
        <v/>
      </c>
      <c r="M43" s="483">
        <f>'All Curves'!AM36</f>
        <v>1.6733334621118891E-2</v>
      </c>
      <c r="N43" s="483" t="str">
        <f t="shared" si="6"/>
        <v/>
      </c>
      <c r="O43" s="492" t="str">
        <f t="shared" si="7"/>
        <v/>
      </c>
      <c r="P43" s="492">
        <f t="shared" si="8"/>
        <v>2</v>
      </c>
      <c r="Q43" s="492">
        <f t="shared" si="33"/>
        <v>5.2313520867110913E-3</v>
      </c>
      <c r="R43" s="505">
        <f t="shared" si="9"/>
        <v>4.9805741157901619E-3</v>
      </c>
      <c r="S43" s="483">
        <f t="shared" si="14"/>
        <v>2.1713908736909052E-2</v>
      </c>
      <c r="T43" s="483">
        <f t="shared" si="10"/>
        <v>-3.3686629524809497E-4</v>
      </c>
      <c r="U43" s="489">
        <f>((1+J43)/(V42-J43*(1+W42+X42+Y42+Z42+AA42+AB42+AC42+AD42+AE42+AF42+AG42+AH42+AI42+AJ42+AK42+AL42+AM42+AN42+AO42+AP42)))-1</f>
        <v>2.1187799653256345E-2</v>
      </c>
      <c r="V43" s="488">
        <f t="shared" si="15"/>
        <v>1.6037021901063113</v>
      </c>
      <c r="W43" s="488">
        <f t="shared" si="11"/>
        <v>1.0211877996532563</v>
      </c>
      <c r="X43" s="488">
        <f t="shared" si="16"/>
        <v>1.0428414672254247</v>
      </c>
      <c r="Y43" s="488">
        <f t="shared" si="17"/>
        <v>1.0696866654996282</v>
      </c>
      <c r="Z43" s="488">
        <f t="shared" si="18"/>
        <v>1.0967187792141662</v>
      </c>
      <c r="AA43" s="488">
        <f t="shared" si="19"/>
        <v>1.1239272031180843</v>
      </c>
      <c r="AB43" s="488">
        <f t="shared" si="20"/>
        <v>1.1513009804289989</v>
      </c>
      <c r="AC43" s="488">
        <f t="shared" si="21"/>
        <v>1.1788288052438947</v>
      </c>
      <c r="AD43" s="488">
        <f t="shared" si="22"/>
        <v>1.2092312696193055</v>
      </c>
      <c r="AE43" s="488">
        <f t="shared" si="23"/>
        <v>1.239480863052417</v>
      </c>
      <c r="AF43" s="488">
        <f t="shared" si="24"/>
        <v>1.269545584456349</v>
      </c>
      <c r="AG43" s="488">
        <f t="shared" si="25"/>
        <v>1.3004334268696354</v>
      </c>
      <c r="AH43" s="488">
        <f t="shared" si="26"/>
        <v>1.3309198473480524</v>
      </c>
      <c r="AI43" s="488">
        <f t="shared" si="27"/>
        <v>1.3602414182894895</v>
      </c>
      <c r="AJ43" s="488">
        <f t="shared" si="28"/>
        <v>1.3891634468599445</v>
      </c>
      <c r="AK43" s="488">
        <f t="shared" si="29"/>
        <v>1.4174448812714986</v>
      </c>
      <c r="AL43" s="488">
        <f t="shared" si="30"/>
        <v>1.4449345022695914</v>
      </c>
      <c r="AM43" s="488">
        <f t="shared" si="31"/>
        <v>1.4716004069391031</v>
      </c>
      <c r="AN43" s="488">
        <f t="shared" si="32"/>
        <v>1.4971828697098448</v>
      </c>
      <c r="AO43" s="488">
        <f t="shared" si="34"/>
        <v>1.5222467960399328</v>
      </c>
      <c r="AP43" s="488">
        <f t="shared" si="35"/>
        <v>1.5475635152893139</v>
      </c>
      <c r="AQ43" s="488">
        <f t="shared" ref="AQ43:AQ51" si="36">V43/V22</f>
        <v>1.5733021409456085</v>
      </c>
      <c r="AR43" s="488"/>
      <c r="AS43" s="488"/>
      <c r="AT43" s="488"/>
      <c r="AU43" s="488"/>
      <c r="AV43" s="488"/>
      <c r="AW43" s="488"/>
      <c r="AX43" s="488"/>
      <c r="AY43" s="488"/>
    </row>
    <row r="44" spans="3:51">
      <c r="C44" s="481">
        <v>23</v>
      </c>
      <c r="D44" s="484"/>
      <c r="E44" s="492" t="str">
        <f t="shared" si="0"/>
        <v/>
      </c>
      <c r="F44" s="492">
        <f t="shared" si="1"/>
        <v>3</v>
      </c>
      <c r="G44" s="492">
        <f t="shared" si="2"/>
        <v>2.1263999999999998</v>
      </c>
      <c r="H44" s="492">
        <f t="shared" si="3"/>
        <v>2.1244800000000006</v>
      </c>
      <c r="I44" s="459">
        <f t="shared" si="12"/>
        <v>23</v>
      </c>
      <c r="J44" s="482">
        <f t="shared" si="4"/>
        <v>2.1357635381759943E-2</v>
      </c>
      <c r="K44" s="491">
        <f t="shared" si="13"/>
        <v>2.1677921565582681E-2</v>
      </c>
      <c r="L44" s="494" t="str">
        <f t="shared" si="5"/>
        <v/>
      </c>
      <c r="M44" s="483">
        <f>'All Curves'!AM37</f>
        <v>1.6835415192864463E-2</v>
      </c>
      <c r="N44" s="483" t="str">
        <f t="shared" si="6"/>
        <v/>
      </c>
      <c r="O44" s="492" t="str">
        <f t="shared" si="7"/>
        <v/>
      </c>
      <c r="P44" s="492">
        <f t="shared" si="8"/>
        <v>3</v>
      </c>
      <c r="Q44" s="492">
        <f t="shared" si="33"/>
        <v>5.2313520867110913E-3</v>
      </c>
      <c r="R44" s="505">
        <f t="shared" si="9"/>
        <v>4.8551851303296964E-3</v>
      </c>
      <c r="S44" s="483">
        <f t="shared" si="14"/>
        <v>2.169060032319416E-2</v>
      </c>
      <c r="T44" s="483">
        <f t="shared" si="10"/>
        <v>-3.2028618382273777E-4</v>
      </c>
      <c r="U44" s="489">
        <f>((1+J44)/(V43-J44*(1+W43+X43+Y43+Z43+AA43+AB43+AC43+AD43+AE43+AF43+AG43+AH43+AI43+AJ43+AK43+AL43+AM43+AN43+AO43+AP43+AQ43)))-1</f>
        <v>2.1170994777083285E-2</v>
      </c>
      <c r="V44" s="488">
        <f t="shared" si="15"/>
        <v>1.637654160797049</v>
      </c>
      <c r="W44" s="488">
        <f t="shared" si="11"/>
        <v>1.0211709947770833</v>
      </c>
      <c r="X44" s="488">
        <f t="shared" si="16"/>
        <v>1.0428073612261366</v>
      </c>
      <c r="Y44" s="488">
        <f t="shared" si="17"/>
        <v>1.0649194584813799</v>
      </c>
      <c r="Z44" s="488">
        <f t="shared" si="18"/>
        <v>1.0923329963080364</v>
      </c>
      <c r="AA44" s="488">
        <f t="shared" si="19"/>
        <v>1.1199374067608385</v>
      </c>
      <c r="AB44" s="488">
        <f t="shared" si="20"/>
        <v>1.1477218600651189</v>
      </c>
      <c r="AC44" s="488">
        <f t="shared" si="21"/>
        <v>1.1756751674725121</v>
      </c>
      <c r="AD44" s="488">
        <f t="shared" si="22"/>
        <v>1.2037857837227885</v>
      </c>
      <c r="AE44" s="488">
        <f t="shared" si="23"/>
        <v>1.2348318985127016</v>
      </c>
      <c r="AF44" s="488">
        <f t="shared" si="24"/>
        <v>1.2657219059303944</v>
      </c>
      <c r="AG44" s="488">
        <f t="shared" si="25"/>
        <v>1.2964231273941433</v>
      </c>
      <c r="AH44" s="488">
        <f t="shared" si="26"/>
        <v>1.3279648961578367</v>
      </c>
      <c r="AI44" s="488">
        <f t="shared" si="27"/>
        <v>1.3590967444849744</v>
      </c>
      <c r="AJ44" s="488">
        <f t="shared" si="28"/>
        <v>1.3890390822516685</v>
      </c>
      <c r="AK44" s="488">
        <f t="shared" si="29"/>
        <v>1.4185734189379313</v>
      </c>
      <c r="AL44" s="488">
        <f t="shared" si="30"/>
        <v>1.4474535994497009</v>
      </c>
      <c r="AM44" s="488">
        <f t="shared" si="31"/>
        <v>1.4755252030703683</v>
      </c>
      <c r="AN44" s="488">
        <f t="shared" si="32"/>
        <v>1.5027556514683644</v>
      </c>
      <c r="AO44" s="488">
        <f t="shared" si="34"/>
        <v>1.5288797204248104</v>
      </c>
      <c r="AP44" s="488">
        <f t="shared" si="35"/>
        <v>1.554474275008326</v>
      </c>
      <c r="AQ44" s="488">
        <f t="shared" si="36"/>
        <v>1.5803269743887085</v>
      </c>
      <c r="AR44" s="488">
        <f t="shared" ref="AR44:AR51" si="37">V44/V22</f>
        <v>1.6066105123543417</v>
      </c>
      <c r="AS44" s="488"/>
      <c r="AT44" s="488"/>
      <c r="AU44" s="488"/>
      <c r="AV44" s="488"/>
      <c r="AW44" s="488"/>
      <c r="AX44" s="488"/>
      <c r="AY44" s="488"/>
    </row>
    <row r="45" spans="3:51">
      <c r="C45" s="481">
        <v>24</v>
      </c>
      <c r="D45" s="484"/>
      <c r="E45" s="492" t="str">
        <f t="shared" si="0"/>
        <v/>
      </c>
      <c r="F45" s="492">
        <f t="shared" si="1"/>
        <v>4</v>
      </c>
      <c r="G45" s="492">
        <f t="shared" si="2"/>
        <v>2.1263999999999998</v>
      </c>
      <c r="H45" s="492">
        <f t="shared" si="3"/>
        <v>2.1238400000000004</v>
      </c>
      <c r="I45" s="459">
        <f t="shared" si="12"/>
        <v>24</v>
      </c>
      <c r="J45" s="482">
        <f t="shared" si="4"/>
        <v>2.1351167408640181E-2</v>
      </c>
      <c r="K45" s="491">
        <f t="shared" si="13"/>
        <v>2.1656085068150199E-2</v>
      </c>
      <c r="L45" s="494" t="str">
        <f t="shared" si="5"/>
        <v/>
      </c>
      <c r="M45" s="483">
        <f>'All Curves'!AM38</f>
        <v>1.6934578623093017E-2</v>
      </c>
      <c r="N45" s="483" t="str">
        <f t="shared" si="6"/>
        <v/>
      </c>
      <c r="O45" s="492" t="str">
        <f t="shared" si="7"/>
        <v/>
      </c>
      <c r="P45" s="492">
        <f t="shared" si="8"/>
        <v>4</v>
      </c>
      <c r="Q45" s="492">
        <f t="shared" si="33"/>
        <v>5.2313520867110913E-3</v>
      </c>
      <c r="R45" s="505">
        <f t="shared" si="9"/>
        <v>4.7297961448692308E-3</v>
      </c>
      <c r="S45" s="483">
        <f t="shared" si="14"/>
        <v>2.1664374767962249E-2</v>
      </c>
      <c r="T45" s="483">
        <f t="shared" si="10"/>
        <v>-3.0491765951001781E-4</v>
      </c>
      <c r="U45" s="489">
        <f>((1+J45)/(V44-J45*(1+W44+X44+Y44+Z44+AA44+AB44+AC44+AD44+AE44+AF44+AG44+AH44+AI44+AJ44+AK44+AL44+AM44+AN44+AO44+AP44+AQ44+AR44)))-1</f>
        <v>2.1153974420409893E-2</v>
      </c>
      <c r="V45" s="488">
        <f t="shared" si="15"/>
        <v>1.6722970550240275</v>
      </c>
      <c r="W45" s="488">
        <f t="shared" si="11"/>
        <v>1.0211539744204099</v>
      </c>
      <c r="X45" s="488">
        <f t="shared" si="16"/>
        <v>1.0427728198794621</v>
      </c>
      <c r="Y45" s="488">
        <f t="shared" si="17"/>
        <v>1.0648668814709294</v>
      </c>
      <c r="Z45" s="488">
        <f t="shared" si="18"/>
        <v>1.0874467374658918</v>
      </c>
      <c r="AA45" s="488">
        <f t="shared" si="19"/>
        <v>1.1154401805705063</v>
      </c>
      <c r="AB45" s="488">
        <f t="shared" si="20"/>
        <v>1.1436285340159174</v>
      </c>
      <c r="AC45" s="488">
        <f t="shared" si="21"/>
        <v>1.1720007389346818</v>
      </c>
      <c r="AD45" s="488">
        <f t="shared" si="22"/>
        <v>1.2005453698919366</v>
      </c>
      <c r="AE45" s="488">
        <f t="shared" si="23"/>
        <v>1.2292506373993133</v>
      </c>
      <c r="AF45" s="488">
        <f t="shared" si="24"/>
        <v>1.2609535009073454</v>
      </c>
      <c r="AG45" s="488">
        <f t="shared" si="25"/>
        <v>1.2924969547517984</v>
      </c>
      <c r="AH45" s="488">
        <f t="shared" si="26"/>
        <v>1.3238476290690668</v>
      </c>
      <c r="AI45" s="488">
        <f t="shared" si="27"/>
        <v>1.3560566316023619</v>
      </c>
      <c r="AJ45" s="488">
        <f t="shared" si="28"/>
        <v>1.3878470422526719</v>
      </c>
      <c r="AK45" s="488">
        <f t="shared" si="29"/>
        <v>1.4184227794665698</v>
      </c>
      <c r="AL45" s="488">
        <f t="shared" si="30"/>
        <v>1.4485818847556178</v>
      </c>
      <c r="AM45" s="488">
        <f t="shared" si="31"/>
        <v>1.4780729958671901</v>
      </c>
      <c r="AN45" s="488">
        <f t="shared" si="32"/>
        <v>1.5067384254727889</v>
      </c>
      <c r="AO45" s="488">
        <f t="shared" si="34"/>
        <v>1.5345449060796525</v>
      </c>
      <c r="AP45" s="488">
        <f t="shared" si="35"/>
        <v>1.5612216029225601</v>
      </c>
      <c r="AQ45" s="488">
        <f t="shared" si="36"/>
        <v>1.5873575840590373</v>
      </c>
      <c r="AR45" s="488">
        <f t="shared" si="37"/>
        <v>1.6137571707808109</v>
      </c>
      <c r="AS45" s="488">
        <f t="shared" ref="AS45:AS51" si="38">V45/V22</f>
        <v>1.6405967100362471</v>
      </c>
      <c r="AT45" s="488"/>
      <c r="AU45" s="488"/>
      <c r="AV45" s="488"/>
      <c r="AW45" s="488"/>
      <c r="AX45" s="488"/>
      <c r="AY45" s="488"/>
    </row>
    <row r="46" spans="3:51">
      <c r="C46" s="481">
        <v>25</v>
      </c>
      <c r="D46" s="495">
        <f>'Swap and Yield Curves'!D140</f>
        <v>2.1232000000000002</v>
      </c>
      <c r="E46" s="492">
        <f t="shared" si="0"/>
        <v>1</v>
      </c>
      <c r="F46" s="492">
        <f t="shared" si="1"/>
        <v>0</v>
      </c>
      <c r="G46" s="492">
        <f t="shared" si="2"/>
        <v>0</v>
      </c>
      <c r="H46" s="492">
        <f t="shared" si="3"/>
        <v>2.1232000000000002</v>
      </c>
      <c r="I46" s="459">
        <f t="shared" si="12"/>
        <v>25</v>
      </c>
      <c r="J46" s="482">
        <f t="shared" si="4"/>
        <v>2.1344699455999816E-2</v>
      </c>
      <c r="K46" s="491">
        <f t="shared" si="13"/>
        <v>2.1635305971810848E-2</v>
      </c>
      <c r="L46" s="494">
        <f t="shared" si="5"/>
        <v>2.1635305971810848E-2</v>
      </c>
      <c r="M46" s="483">
        <f>'All Curves'!AM39</f>
        <v>1.7030898812402082E-2</v>
      </c>
      <c r="N46" s="483">
        <f t="shared" si="6"/>
        <v>4.6044071594087653E-3</v>
      </c>
      <c r="O46" s="492">
        <f t="shared" si="7"/>
        <v>1</v>
      </c>
      <c r="P46" s="492">
        <f t="shared" si="8"/>
        <v>0</v>
      </c>
      <c r="Q46" s="492">
        <f t="shared" si="33"/>
        <v>0</v>
      </c>
      <c r="R46" s="505">
        <f t="shared" si="9"/>
        <v>4.6044071594087653E-3</v>
      </c>
      <c r="S46" s="483">
        <f t="shared" si="14"/>
        <v>2.1635305971810848E-2</v>
      </c>
      <c r="T46" s="483">
        <f t="shared" si="10"/>
        <v>-2.9060651581103158E-4</v>
      </c>
      <c r="U46" s="489">
        <f>((1+J46)/(V45-J46*(1+W45+X45+Y45+Z45+AA45+AB45+AC45+AD45+AE45+AF45+AG45+AH45+AI45+AJ45+AK45+AL45+AM45+AN45+AO45+AP45+AQ45+AR45+AS45)))-1</f>
        <v>2.1136734425474035E-2</v>
      </c>
      <c r="V46" s="488">
        <f t="shared" si="15"/>
        <v>1.7076439537565726</v>
      </c>
      <c r="W46" s="488">
        <f t="shared" si="11"/>
        <v>1.021136734425474</v>
      </c>
      <c r="X46" s="488">
        <f t="shared" si="16"/>
        <v>1.0427378347852514</v>
      </c>
      <c r="Y46" s="488">
        <f t="shared" si="17"/>
        <v>1.0648136320393569</v>
      </c>
      <c r="Z46" s="488">
        <f t="shared" si="18"/>
        <v>1.0873746899430632</v>
      </c>
      <c r="AA46" s="488">
        <f t="shared" si="19"/>
        <v>1.1104318103575566</v>
      </c>
      <c r="AB46" s="488">
        <f t="shared" si="20"/>
        <v>1.1390169434347277</v>
      </c>
      <c r="AC46" s="488">
        <f t="shared" si="21"/>
        <v>1.1678011066208061</v>
      </c>
      <c r="AD46" s="488">
        <f t="shared" si="22"/>
        <v>1.1967730073000034</v>
      </c>
      <c r="AE46" s="488">
        <f t="shared" si="23"/>
        <v>1.225920978541075</v>
      </c>
      <c r="AF46" s="488">
        <f t="shared" si="24"/>
        <v>1.2552329816643673</v>
      </c>
      <c r="AG46" s="488">
        <f t="shared" si="25"/>
        <v>1.2876059401788955</v>
      </c>
      <c r="AH46" s="488">
        <f t="shared" si="26"/>
        <v>1.319816119630121</v>
      </c>
      <c r="AI46" s="488">
        <f t="shared" si="27"/>
        <v>1.351829444824493</v>
      </c>
      <c r="AJ46" s="488">
        <f t="shared" si="28"/>
        <v>1.3847192404904438</v>
      </c>
      <c r="AK46" s="488">
        <f t="shared" si="29"/>
        <v>1.4171815966079462</v>
      </c>
      <c r="AL46" s="488">
        <f t="shared" si="30"/>
        <v>1.4484036050591975</v>
      </c>
      <c r="AM46" s="488">
        <f t="shared" si="31"/>
        <v>1.4792001753472499</v>
      </c>
      <c r="AN46" s="488">
        <f t="shared" si="32"/>
        <v>1.5093146322422994</v>
      </c>
      <c r="AO46" s="488">
        <f t="shared" si="34"/>
        <v>1.5385859554206642</v>
      </c>
      <c r="AP46" s="488">
        <f t="shared" si="35"/>
        <v>1.5669801742234222</v>
      </c>
      <c r="AQ46" s="488">
        <f t="shared" si="36"/>
        <v>1.594220729322847</v>
      </c>
      <c r="AR46" s="488">
        <f t="shared" si="37"/>
        <v>1.6209091397515552</v>
      </c>
      <c r="AS46" s="488">
        <f t="shared" si="38"/>
        <v>1.6478667275268091</v>
      </c>
      <c r="AT46" s="488">
        <f t="shared" ref="AT46:AT51" si="39">V46/V22</f>
        <v>1.6752735669955896</v>
      </c>
      <c r="AU46" s="488"/>
      <c r="AV46" s="488"/>
      <c r="AW46" s="488"/>
      <c r="AX46" s="488"/>
      <c r="AY46" s="488"/>
    </row>
    <row r="47" spans="3:51">
      <c r="C47" s="481">
        <v>26</v>
      </c>
      <c r="D47" s="484"/>
      <c r="E47" s="492" t="str">
        <f t="shared" si="0"/>
        <v/>
      </c>
      <c r="F47" s="492">
        <f t="shared" si="1"/>
        <v>1</v>
      </c>
      <c r="G47" s="492">
        <f t="shared" si="2"/>
        <v>2.1232000000000002</v>
      </c>
      <c r="H47" s="492">
        <f t="shared" si="3"/>
        <v>2.1193600000000012</v>
      </c>
      <c r="I47" s="459">
        <f t="shared" si="12"/>
        <v>26</v>
      </c>
      <c r="J47" s="482">
        <f t="shared" si="4"/>
        <v>2.1305892170240037E-2</v>
      </c>
      <c r="K47" s="491">
        <f t="shared" si="13"/>
        <v>2.1572114027710976E-2</v>
      </c>
      <c r="L47" s="494" t="str">
        <f t="shared" si="5"/>
        <v/>
      </c>
      <c r="M47" s="483">
        <f>'All Curves'!AM40</f>
        <v>1.7124448133994552E-2</v>
      </c>
      <c r="N47" s="483" t="str">
        <f t="shared" si="6"/>
        <v/>
      </c>
      <c r="O47" s="492" t="str">
        <f t="shared" si="7"/>
        <v/>
      </c>
      <c r="P47" s="492">
        <f t="shared" si="8"/>
        <v>1</v>
      </c>
      <c r="Q47" s="492">
        <f t="shared" si="33"/>
        <v>4.6044071594087653E-3</v>
      </c>
      <c r="R47" s="505">
        <f t="shared" si="9"/>
        <v>4.4543081963696052E-3</v>
      </c>
      <c r="S47" s="483">
        <f t="shared" si="14"/>
        <v>2.1578756330364157E-2</v>
      </c>
      <c r="T47" s="483">
        <f t="shared" si="10"/>
        <v>-2.6622185747093852E-4</v>
      </c>
      <c r="U47" s="489">
        <f>((1+J47)/(V46-J47*(1+W46+X46+Y46+Z46+AA46+AB46+AC46+AD46+AE46+AF46+AG46+AH46+AI46+AJ46+AK46+AL46+AM46+AN46+AO46+AP46+AQ46+AR46+AS46+AT46)))-1</f>
        <v>1.9993585110311241E-2</v>
      </c>
      <c r="V47" s="488">
        <f t="shared" si="15"/>
        <v>1.7417858784841131</v>
      </c>
      <c r="W47" s="488">
        <f t="shared" si="11"/>
        <v>1.0199935851103112</v>
      </c>
      <c r="X47" s="488">
        <f t="shared" si="16"/>
        <v>1.041552918634475</v>
      </c>
      <c r="Y47" s="488">
        <f t="shared" si="17"/>
        <v>1.0635859024327721</v>
      </c>
      <c r="Z47" s="488">
        <f t="shared" si="18"/>
        <v>1.0861030740181554</v>
      </c>
      <c r="AA47" s="488">
        <f t="shared" si="19"/>
        <v>1.1091152083532381</v>
      </c>
      <c r="AB47" s="488">
        <f t="shared" si="20"/>
        <v>1.1326333232671375</v>
      </c>
      <c r="AC47" s="488">
        <f t="shared" si="21"/>
        <v>1.1617899756353767</v>
      </c>
      <c r="AD47" s="488">
        <f t="shared" si="22"/>
        <v>1.1911496374379447</v>
      </c>
      <c r="AE47" s="488">
        <f t="shared" si="23"/>
        <v>1.2207007902791791</v>
      </c>
      <c r="AF47" s="488">
        <f t="shared" si="24"/>
        <v>1.2504315339640519</v>
      </c>
      <c r="AG47" s="488">
        <f t="shared" si="25"/>
        <v>1.2803295891165436</v>
      </c>
      <c r="AH47" s="488">
        <f t="shared" si="26"/>
        <v>1.3133497991324048</v>
      </c>
      <c r="AI47" s="488">
        <f t="shared" si="27"/>
        <v>1.3462039755479065</v>
      </c>
      <c r="AJ47" s="488">
        <f t="shared" si="28"/>
        <v>1.3788573618842164</v>
      </c>
      <c r="AK47" s="488">
        <f t="shared" si="29"/>
        <v>1.4124047424790751</v>
      </c>
      <c r="AL47" s="488">
        <f t="shared" si="30"/>
        <v>1.445516137476494</v>
      </c>
      <c r="AM47" s="488">
        <f t="shared" si="31"/>
        <v>1.4773623858110303</v>
      </c>
      <c r="AN47" s="488">
        <f t="shared" si="32"/>
        <v>1.5087746899482424</v>
      </c>
      <c r="AO47" s="488">
        <f t="shared" si="34"/>
        <v>1.5394912428002741</v>
      </c>
      <c r="AP47" s="488">
        <f t="shared" si="35"/>
        <v>1.5693478046698968</v>
      </c>
      <c r="AQ47" s="488">
        <f t="shared" si="36"/>
        <v>1.5983097257029286</v>
      </c>
      <c r="AR47" s="488">
        <f t="shared" si="37"/>
        <v>1.6260949171591861</v>
      </c>
      <c r="AS47" s="488">
        <f t="shared" si="38"/>
        <v>1.6533169245932593</v>
      </c>
      <c r="AT47" s="488">
        <f t="shared" si="39"/>
        <v>1.6808134911940666</v>
      </c>
      <c r="AU47" s="488">
        <f>V47/V22</f>
        <v>1.7087682916403706</v>
      </c>
      <c r="AV47" s="488"/>
      <c r="AW47" s="488"/>
      <c r="AX47" s="488"/>
      <c r="AY47" s="488"/>
    </row>
    <row r="48" spans="3:51">
      <c r="C48" s="481">
        <v>27</v>
      </c>
      <c r="D48" s="484"/>
      <c r="E48" s="492" t="str">
        <f t="shared" si="0"/>
        <v/>
      </c>
      <c r="F48" s="492">
        <f t="shared" si="1"/>
        <v>2</v>
      </c>
      <c r="G48" s="492">
        <f t="shared" si="2"/>
        <v>2.1232000000000002</v>
      </c>
      <c r="H48" s="492">
        <f t="shared" si="3"/>
        <v>2.115520000000001</v>
      </c>
      <c r="I48" s="459">
        <f t="shared" si="12"/>
        <v>27</v>
      </c>
      <c r="J48" s="482">
        <f t="shared" si="4"/>
        <v>2.1267085621759829E-2</v>
      </c>
      <c r="K48" s="491">
        <f t="shared" si="13"/>
        <v>2.1509731602900262E-2</v>
      </c>
      <c r="L48" s="494" t="str">
        <f t="shared" si="5"/>
        <v/>
      </c>
      <c r="M48" s="483">
        <f>'All Curves'!AM41</f>
        <v>1.7215297461876809E-2</v>
      </c>
      <c r="N48" s="483" t="str">
        <f t="shared" si="6"/>
        <v/>
      </c>
      <c r="O48" s="492" t="str">
        <f t="shared" si="7"/>
        <v/>
      </c>
      <c r="P48" s="492">
        <f t="shared" si="8"/>
        <v>2</v>
      </c>
      <c r="Q48" s="492">
        <f t="shared" si="33"/>
        <v>4.6044071594087653E-3</v>
      </c>
      <c r="R48" s="505">
        <f t="shared" si="9"/>
        <v>4.3042092333304468E-3</v>
      </c>
      <c r="S48" s="483">
        <f t="shared" si="14"/>
        <v>2.1519506695207254E-2</v>
      </c>
      <c r="T48" s="483">
        <f t="shared" si="10"/>
        <v>-2.4264598114043245E-4</v>
      </c>
      <c r="U48" s="489">
        <f>((1+J48)/(V47-J48*(1+W47+X47+Y47+Z47+AA47+AB47+AC47+AD47+AE47+AF47+AG47+AH47+AI47+AJ47+AK47+AL47+AM47+AN47+AO47+AP47+AQ47+AR47+AS47+AT47+AU47)))-1</f>
        <v>1.9889124973656136E-2</v>
      </c>
      <c r="V48" s="488">
        <f t="shared" si="15"/>
        <v>1.776428475498633</v>
      </c>
      <c r="W48" s="488">
        <f t="shared" si="11"/>
        <v>1.0198891249736561</v>
      </c>
      <c r="X48" s="488">
        <f t="shared" si="16"/>
        <v>1.0402803649968977</v>
      </c>
      <c r="Y48" s="488">
        <f t="shared" si="17"/>
        <v>1.0622684947998724</v>
      </c>
      <c r="Z48" s="488">
        <f t="shared" si="18"/>
        <v>1.0847396953664761</v>
      </c>
      <c r="AA48" s="488">
        <f t="shared" si="19"/>
        <v>1.1077047137915748</v>
      </c>
      <c r="AB48" s="488">
        <f t="shared" si="20"/>
        <v>1.1311745393423582</v>
      </c>
      <c r="AC48" s="488">
        <f t="shared" si="21"/>
        <v>1.1551604089829248</v>
      </c>
      <c r="AD48" s="488">
        <f t="shared" si="22"/>
        <v>1.1848969616539295</v>
      </c>
      <c r="AE48" s="488">
        <f t="shared" si="23"/>
        <v>1.2148405614392732</v>
      </c>
      <c r="AF48" s="488">
        <f t="shared" si="24"/>
        <v>1.2449794608524825</v>
      </c>
      <c r="AG48" s="488">
        <f t="shared" si="25"/>
        <v>1.2753015230140636</v>
      </c>
      <c r="AH48" s="488">
        <f t="shared" si="26"/>
        <v>1.3057942243219522</v>
      </c>
      <c r="AI48" s="488">
        <f t="shared" si="27"/>
        <v>1.3394711774214751</v>
      </c>
      <c r="AJ48" s="488">
        <f t="shared" si="28"/>
        <v>1.3729787946576115</v>
      </c>
      <c r="AK48" s="488">
        <f t="shared" si="29"/>
        <v>1.4062816282755775</v>
      </c>
      <c r="AL48" s="488">
        <f t="shared" si="30"/>
        <v>1.440496236915626</v>
      </c>
      <c r="AM48" s="488">
        <f t="shared" si="31"/>
        <v>1.4742661885862005</v>
      </c>
      <c r="AN48" s="488">
        <f t="shared" si="32"/>
        <v>1.5067458309338044</v>
      </c>
      <c r="AO48" s="488">
        <f t="shared" si="34"/>
        <v>1.5387828983137122</v>
      </c>
      <c r="AP48" s="488">
        <f t="shared" si="35"/>
        <v>1.570110376524178</v>
      </c>
      <c r="AQ48" s="488">
        <f t="shared" si="36"/>
        <v>1.6005607592841091</v>
      </c>
      <c r="AR48" s="488">
        <f t="shared" si="37"/>
        <v>1.6300987075840441</v>
      </c>
      <c r="AS48" s="488">
        <f t="shared" si="38"/>
        <v>1.6584365221855919</v>
      </c>
      <c r="AT48" s="488">
        <f t="shared" si="39"/>
        <v>1.6861999515275554</v>
      </c>
      <c r="AU48" s="488">
        <f>V48/V23</f>
        <v>1.7142434007778324</v>
      </c>
      <c r="AV48" s="488">
        <f>V48/V22</f>
        <v>1.7427541977438268</v>
      </c>
      <c r="AW48" s="488"/>
      <c r="AX48" s="488"/>
      <c r="AY48" s="488"/>
    </row>
    <row r="49" spans="3:51">
      <c r="C49" s="481">
        <v>28</v>
      </c>
      <c r="D49" s="484"/>
      <c r="E49" s="492" t="str">
        <f t="shared" si="0"/>
        <v/>
      </c>
      <c r="F49" s="492">
        <f t="shared" si="1"/>
        <v>3</v>
      </c>
      <c r="G49" s="492">
        <f t="shared" si="2"/>
        <v>2.1232000000000002</v>
      </c>
      <c r="H49" s="492">
        <f t="shared" si="3"/>
        <v>2.1116800000000007</v>
      </c>
      <c r="I49" s="459">
        <f t="shared" si="12"/>
        <v>28</v>
      </c>
      <c r="J49" s="482">
        <f t="shared" si="4"/>
        <v>2.122827981056008E-2</v>
      </c>
      <c r="K49" s="491">
        <f t="shared" si="13"/>
        <v>2.1448030596405987E-2</v>
      </c>
      <c r="L49" s="494" t="str">
        <f t="shared" si="5"/>
        <v/>
      </c>
      <c r="M49" s="483">
        <f>'All Curves'!AM42</f>
        <v>1.7303516198569104E-2</v>
      </c>
      <c r="N49" s="483" t="str">
        <f t="shared" si="6"/>
        <v/>
      </c>
      <c r="O49" s="492" t="str">
        <f t="shared" si="7"/>
        <v/>
      </c>
      <c r="P49" s="492">
        <f t="shared" si="8"/>
        <v>3</v>
      </c>
      <c r="Q49" s="492">
        <f t="shared" si="33"/>
        <v>4.6044071594087653E-3</v>
      </c>
      <c r="R49" s="505">
        <f t="shared" si="9"/>
        <v>4.1541102702912884E-3</v>
      </c>
      <c r="S49" s="483">
        <f t="shared" si="14"/>
        <v>2.1457626468860392E-2</v>
      </c>
      <c r="T49" s="483">
        <f t="shared" si="10"/>
        <v>-2.197507858459069E-4</v>
      </c>
      <c r="U49" s="489">
        <f>((1+J49)/(V48-J49*(1+W48+X48+Y48+Z48+AA48+AB48+AC48+AD48+AE48+AF48+AG48+AH48+AI48+AJ48+AK48+AL48+AM48+AN48+AO48+AP48+AQ48+AR48+AS48+AT48+AU48+AV48)))-1</f>
        <v>1.9783511433427936E-2</v>
      </c>
      <c r="V49" s="488">
        <f t="shared" si="15"/>
        <v>1.8115724685543273</v>
      </c>
      <c r="W49" s="488">
        <f t="shared" si="11"/>
        <v>1.0197835114334279</v>
      </c>
      <c r="X49" s="488">
        <f t="shared" si="16"/>
        <v>1.0400661131384012</v>
      </c>
      <c r="Y49" s="488">
        <f t="shared" si="17"/>
        <v>1.0608607634917846</v>
      </c>
      <c r="Z49" s="488">
        <f t="shared" si="18"/>
        <v>1.083283895712116</v>
      </c>
      <c r="AA49" s="488">
        <f t="shared" si="19"/>
        <v>1.1061996555320521</v>
      </c>
      <c r="AB49" s="488">
        <f t="shared" si="20"/>
        <v>1.1296190026617323</v>
      </c>
      <c r="AC49" s="488">
        <f t="shared" si="21"/>
        <v>1.1535531437746405</v>
      </c>
      <c r="AD49" s="488">
        <f t="shared" si="22"/>
        <v>1.178013538141482</v>
      </c>
      <c r="AE49" s="488">
        <f t="shared" si="23"/>
        <v>1.2083383842422442</v>
      </c>
      <c r="AF49" s="488">
        <f t="shared" si="24"/>
        <v>1.238874373576299</v>
      </c>
      <c r="AG49" s="488">
        <f t="shared" si="25"/>
        <v>1.2696095262506406</v>
      </c>
      <c r="AH49" s="488">
        <f t="shared" si="26"/>
        <v>1.3005314652756803</v>
      </c>
      <c r="AI49" s="488">
        <f t="shared" si="27"/>
        <v>1.33162741928853</v>
      </c>
      <c r="AJ49" s="488">
        <f t="shared" si="28"/>
        <v>1.3659706207747402</v>
      </c>
      <c r="AK49" s="488">
        <f t="shared" si="29"/>
        <v>1.4001411363395746</v>
      </c>
      <c r="AL49" s="488">
        <f t="shared" si="30"/>
        <v>1.434102816947187</v>
      </c>
      <c r="AM49" s="488">
        <f t="shared" si="31"/>
        <v>1.4689943106884564</v>
      </c>
      <c r="AN49" s="488">
        <f t="shared" si="32"/>
        <v>1.5034323505840119</v>
      </c>
      <c r="AO49" s="488">
        <f t="shared" si="34"/>
        <v>1.5365545543073533</v>
      </c>
      <c r="AP49" s="488">
        <f t="shared" si="35"/>
        <v>1.5692254273760651</v>
      </c>
      <c r="AQ49" s="488">
        <f t="shared" si="36"/>
        <v>1.6011726731098879</v>
      </c>
      <c r="AR49" s="488">
        <f t="shared" si="37"/>
        <v>1.6322254713653026</v>
      </c>
      <c r="AS49" s="488">
        <f t="shared" si="38"/>
        <v>1.6623477840031493</v>
      </c>
      <c r="AT49" s="488">
        <f t="shared" si="39"/>
        <v>1.6912462200838652</v>
      </c>
      <c r="AU49" s="488">
        <f>V49/V24</f>
        <v>1.7195589075476465</v>
      </c>
      <c r="AV49" s="488">
        <f>V49/V23</f>
        <v>1.7481571546967993</v>
      </c>
      <c r="AW49" s="488">
        <f>V49/V22</f>
        <v>1.7772319953405464</v>
      </c>
      <c r="AX49" s="488"/>
      <c r="AY49" s="488"/>
    </row>
    <row r="50" spans="3:51">
      <c r="C50" s="481">
        <v>29</v>
      </c>
      <c r="D50" s="484"/>
      <c r="E50" s="492" t="str">
        <f t="shared" si="0"/>
        <v/>
      </c>
      <c r="F50" s="492">
        <f t="shared" si="1"/>
        <v>4</v>
      </c>
      <c r="G50" s="492">
        <f t="shared" si="2"/>
        <v>2.1232000000000002</v>
      </c>
      <c r="H50" s="492">
        <f t="shared" si="3"/>
        <v>2.1078400000000004</v>
      </c>
      <c r="I50" s="459">
        <f t="shared" si="12"/>
        <v>29</v>
      </c>
      <c r="J50" s="482">
        <f t="shared" si="4"/>
        <v>2.1189474736639902E-2</v>
      </c>
      <c r="K50" s="491">
        <f t="shared" si="13"/>
        <v>2.138690032969448E-2</v>
      </c>
      <c r="L50" s="494" t="str">
        <f t="shared" si="5"/>
        <v/>
      </c>
      <c r="M50" s="483">
        <f>'All Curves'!AM43</f>
        <v>1.7389172302336574E-2</v>
      </c>
      <c r="N50" s="483" t="str">
        <f t="shared" si="6"/>
        <v/>
      </c>
      <c r="O50" s="492" t="str">
        <f t="shared" si="7"/>
        <v/>
      </c>
      <c r="P50" s="492">
        <f t="shared" si="8"/>
        <v>4</v>
      </c>
      <c r="Q50" s="492">
        <f t="shared" si="33"/>
        <v>4.6044071594087653E-3</v>
      </c>
      <c r="R50" s="505">
        <f t="shared" si="9"/>
        <v>4.00401130725213E-3</v>
      </c>
      <c r="S50" s="483">
        <f t="shared" si="14"/>
        <v>2.1393183609588702E-2</v>
      </c>
      <c r="T50" s="483">
        <f t="shared" si="10"/>
        <v>-1.9742559305457874E-4</v>
      </c>
      <c r="U50" s="489">
        <f>((1+J50)/(V49-J50*(1+W49+X49+Y49+Z49+AA49+AB49+AC49+AD49+AE49+AF49+AG49+AH49+AI49+AJ49+AK49+AL49+AM49+AN49+AO49+AP49+AQ49+AR49+AS49+AT49+AU49+AV49+AW49)))-1</f>
        <v>1.9676737389958898E-2</v>
      </c>
      <c r="V50" s="488">
        <f t="shared" si="15"/>
        <v>1.8472183042809505</v>
      </c>
      <c r="W50" s="488">
        <f t="shared" si="11"/>
        <v>1.0196767373899589</v>
      </c>
      <c r="X50" s="488">
        <f t="shared" si="16"/>
        <v>1.0398495237825138</v>
      </c>
      <c r="Y50" s="488">
        <f t="shared" si="17"/>
        <v>1.060531220914821</v>
      </c>
      <c r="Z50" s="488">
        <f t="shared" si="18"/>
        <v>1.0817350421423237</v>
      </c>
      <c r="AA50" s="488">
        <f t="shared" si="19"/>
        <v>1.104599388446815</v>
      </c>
      <c r="AB50" s="488">
        <f t="shared" si="20"/>
        <v>1.1279660556548192</v>
      </c>
      <c r="AC50" s="488">
        <f t="shared" si="21"/>
        <v>1.1518462191278147</v>
      </c>
      <c r="AD50" s="488">
        <f t="shared" si="22"/>
        <v>1.1762513060500557</v>
      </c>
      <c r="AE50" s="488">
        <f t="shared" si="23"/>
        <v>1.2011930011733083</v>
      </c>
      <c r="AF50" s="488">
        <f t="shared" si="24"/>
        <v>1.2321145413071861</v>
      </c>
      <c r="AG50" s="488">
        <f t="shared" si="25"/>
        <v>1.2632513792843099</v>
      </c>
      <c r="AH50" s="488">
        <f t="shared" si="26"/>
        <v>1.2945912994864648</v>
      </c>
      <c r="AI50" s="488">
        <f t="shared" si="27"/>
        <v>1.3261216813852885</v>
      </c>
      <c r="AJ50" s="488">
        <f t="shared" si="28"/>
        <v>1.3578295023191391</v>
      </c>
      <c r="AK50" s="488">
        <f t="shared" si="29"/>
        <v>1.3928484659621241</v>
      </c>
      <c r="AL50" s="488">
        <f t="shared" si="30"/>
        <v>1.4276913457882072</v>
      </c>
      <c r="AM50" s="488">
        <f t="shared" si="31"/>
        <v>1.4623212814664572</v>
      </c>
      <c r="AN50" s="488">
        <f t="shared" si="32"/>
        <v>1.4978993259672169</v>
      </c>
      <c r="AO50" s="488">
        <f t="shared" si="34"/>
        <v>1.5330149941300222</v>
      </c>
      <c r="AP50" s="488">
        <f t="shared" si="35"/>
        <v>1.5667889347578046</v>
      </c>
      <c r="AQ50" s="488">
        <f t="shared" si="36"/>
        <v>1.6001026640161899</v>
      </c>
      <c r="AR50" s="488">
        <f t="shared" si="37"/>
        <v>1.6326785273146498</v>
      </c>
      <c r="AS50" s="488">
        <f t="shared" si="38"/>
        <v>1.6643423433265596</v>
      </c>
      <c r="AT50" s="488">
        <f t="shared" si="39"/>
        <v>1.6950573647997593</v>
      </c>
      <c r="AU50" s="488">
        <f>V50/V25</f>
        <v>1.7245244278182161</v>
      </c>
      <c r="AV50" s="488">
        <f>V50/V24</f>
        <v>1.7533942165980261</v>
      </c>
      <c r="AW50" s="488">
        <f>V50/V23</f>
        <v>1.782555183946146</v>
      </c>
      <c r="AX50" s="488">
        <f>V50/V22</f>
        <v>1.8122021225938951</v>
      </c>
      <c r="AY50" s="488"/>
    </row>
    <row r="51" spans="3:51" ht="13.5" thickBot="1">
      <c r="C51" s="485">
        <v>30</v>
      </c>
      <c r="D51" s="493">
        <f>'Swap and Yield Curves'!D141</f>
        <v>2.1040000000000001</v>
      </c>
      <c r="E51" s="492">
        <f t="shared" si="0"/>
        <v>1</v>
      </c>
      <c r="F51" s="492">
        <f t="shared" si="1"/>
        <v>0</v>
      </c>
      <c r="G51" s="492">
        <f t="shared" si="2"/>
        <v>0</v>
      </c>
      <c r="H51" s="492">
        <f t="shared" si="3"/>
        <v>2.1040000000000001</v>
      </c>
      <c r="I51" s="459">
        <f t="shared" si="12"/>
        <v>30</v>
      </c>
      <c r="J51" s="482">
        <f t="shared" si="4"/>
        <v>2.1150670400000182E-2</v>
      </c>
      <c r="K51" s="491">
        <f t="shared" si="13"/>
        <v>2.132624465816213E-2</v>
      </c>
      <c r="L51" s="490">
        <f t="shared" si="5"/>
        <v>2.132624465816213E-2</v>
      </c>
      <c r="M51" s="483">
        <f>'All Curves'!AM44</f>
        <v>1.7472332313949158E-2</v>
      </c>
      <c r="N51" s="483">
        <f t="shared" si="6"/>
        <v>3.8539123442129716E-3</v>
      </c>
      <c r="O51" s="492">
        <f t="shared" si="7"/>
        <v>1</v>
      </c>
      <c r="P51" s="492">
        <f t="shared" si="8"/>
        <v>0</v>
      </c>
      <c r="Q51" s="492">
        <f t="shared" si="33"/>
        <v>0</v>
      </c>
      <c r="R51" s="505">
        <f t="shared" si="9"/>
        <v>3.8539123442129716E-3</v>
      </c>
      <c r="S51" s="483">
        <f t="shared" si="14"/>
        <v>2.132624465816213E-2</v>
      </c>
      <c r="T51" s="483">
        <f t="shared" si="10"/>
        <v>-1.7557425816194794E-4</v>
      </c>
      <c r="U51" s="489">
        <f>((1+J51)/(V50-J51*(1+W50+X50+Y50+Z50+AA50+AB50+AC50+AD50+AE50+AF50+AG50+AH50+AI50+AJ50+AK50+AL50+AM50+AN50+AO50+AP50+AQ50+AR50+AS50+AT50+AU50+AV50+AW50+AX50)))-1</f>
        <v>1.9568796217478202E-2</v>
      </c>
      <c r="V51" s="488">
        <f t="shared" si="15"/>
        <v>1.88336614284662</v>
      </c>
      <c r="W51" s="488">
        <f t="shared" si="11"/>
        <v>1.0195687962174782</v>
      </c>
      <c r="X51" s="488">
        <f t="shared" si="16"/>
        <v>1.039630583671646</v>
      </c>
      <c r="Y51" s="488">
        <f t="shared" si="17"/>
        <v>1.0601981272102554</v>
      </c>
      <c r="Z51" s="488">
        <f t="shared" si="18"/>
        <v>1.0812845402591764</v>
      </c>
      <c r="AA51" s="488">
        <f t="shared" si="19"/>
        <v>1.1029032947433119</v>
      </c>
      <c r="AB51" s="488">
        <f t="shared" si="20"/>
        <v>1.1262150687812817</v>
      </c>
      <c r="AC51" s="488">
        <f t="shared" si="21"/>
        <v>1.150038993538161</v>
      </c>
      <c r="AD51" s="488">
        <f t="shared" si="22"/>
        <v>1.1743864630637995</v>
      </c>
      <c r="AE51" s="488">
        <f t="shared" si="23"/>
        <v>1.1992691281586916</v>
      </c>
      <c r="AF51" s="488">
        <f t="shared" si="24"/>
        <v>1.2246989022311299</v>
      </c>
      <c r="AG51" s="488">
        <f t="shared" si="25"/>
        <v>1.2562255396826181</v>
      </c>
      <c r="AH51" s="488">
        <f t="shared" si="26"/>
        <v>1.2879716880969727</v>
      </c>
      <c r="AI51" s="488">
        <f t="shared" si="27"/>
        <v>1.3199248928110356</v>
      </c>
      <c r="AJ51" s="488">
        <f t="shared" si="28"/>
        <v>1.3520722863278967</v>
      </c>
      <c r="AK51" s="488">
        <f t="shared" si="29"/>
        <v>1.3844005911481021</v>
      </c>
      <c r="AL51" s="488">
        <f t="shared" si="30"/>
        <v>1.4201048337543638</v>
      </c>
      <c r="AM51" s="488">
        <f t="shared" si="31"/>
        <v>1.4556295467953937</v>
      </c>
      <c r="AN51" s="488">
        <f t="shared" si="32"/>
        <v>1.4909371486279557</v>
      </c>
      <c r="AO51" s="488">
        <f t="shared" si="34"/>
        <v>1.5272114126313672</v>
      </c>
      <c r="AP51" s="488">
        <f t="shared" si="35"/>
        <v>1.5630142521484911</v>
      </c>
      <c r="AQ51" s="488">
        <f t="shared" si="36"/>
        <v>1.5974491081378799</v>
      </c>
      <c r="AR51" s="488">
        <f t="shared" si="37"/>
        <v>1.6314147469753668</v>
      </c>
      <c r="AS51" s="488">
        <f t="shared" si="38"/>
        <v>1.6646280807043226</v>
      </c>
      <c r="AT51" s="488">
        <f t="shared" si="39"/>
        <v>1.6969115194792372</v>
      </c>
      <c r="AU51" s="488">
        <f>V51/V26</f>
        <v>1.7282275969484615</v>
      </c>
      <c r="AV51" s="488">
        <f>V51/V25</f>
        <v>1.758271294918254</v>
      </c>
      <c r="AW51" s="488">
        <f>V51/V24</f>
        <v>1.7877060307115378</v>
      </c>
      <c r="AX51" s="488">
        <f>V51/V23</f>
        <v>1.8174376430871975</v>
      </c>
      <c r="AY51" s="488">
        <f>V51/V22</f>
        <v>1.8476647366358163</v>
      </c>
    </row>
  </sheetData>
  <pageMargins left="0.75" right="0.75" top="1" bottom="1" header="0.5" footer="0.5"/>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FF9900"/>
  </sheetPr>
  <dimension ref="C1:BI51"/>
  <sheetViews>
    <sheetView showGridLines="0" topLeftCell="A13" workbookViewId="0">
      <selection activeCell="D17" sqref="D17"/>
    </sheetView>
  </sheetViews>
  <sheetFormatPr defaultColWidth="8.85546875" defaultRowHeight="12.75"/>
  <cols>
    <col min="1" max="1" width="8.85546875" style="459"/>
    <col min="2" max="2" width="3.7109375" style="459" customWidth="1"/>
    <col min="3" max="3" width="24" style="459" customWidth="1"/>
    <col min="4" max="4" width="17.42578125" style="459" customWidth="1"/>
    <col min="5" max="5" width="6.140625" style="459" customWidth="1"/>
    <col min="6" max="6" width="6.7109375" style="459" bestFit="1" customWidth="1"/>
    <col min="7" max="7" width="5.5703125" style="459" customWidth="1"/>
    <col min="8" max="8" width="10" style="459" customWidth="1"/>
    <col min="9" max="9" width="5" style="459" customWidth="1"/>
    <col min="10" max="10" width="16.7109375" style="459" bestFit="1" customWidth="1"/>
    <col min="11" max="11" width="12.85546875" style="459" bestFit="1" customWidth="1"/>
    <col min="12" max="12" width="12.42578125" style="459" bestFit="1" customWidth="1"/>
    <col min="13" max="14" width="12.42578125" style="459" customWidth="1"/>
    <col min="15" max="17" width="5.7109375" style="459" bestFit="1" customWidth="1"/>
    <col min="18" max="18" width="12.42578125" style="459" customWidth="1"/>
    <col min="19" max="19" width="8" style="459" customWidth="1"/>
    <col min="20" max="20" width="8.85546875" style="459"/>
    <col min="21" max="36" width="8.85546875" style="460"/>
    <col min="37" max="37" width="8.42578125" style="460" customWidth="1"/>
    <col min="38" max="61" width="8.85546875" style="460"/>
    <col min="62" max="16384" width="8.85546875" style="459"/>
  </cols>
  <sheetData>
    <row r="1" spans="3:35" hidden="1"/>
    <row r="2" spans="3:35" hidden="1"/>
    <row r="3" spans="3:35" hidden="1"/>
    <row r="4" spans="3:35" hidden="1"/>
    <row r="5" spans="3:35" hidden="1"/>
    <row r="6" spans="3:35" hidden="1"/>
    <row r="7" spans="3:35" hidden="1"/>
    <row r="8" spans="3:35" hidden="1"/>
    <row r="9" spans="3:35" hidden="1"/>
    <row r="10" spans="3:35" hidden="1"/>
    <row r="11" spans="3:35" hidden="1"/>
    <row r="12" spans="3:35" hidden="1"/>
    <row r="14" spans="3:35">
      <c r="C14" s="461"/>
      <c r="U14" s="462" t="s">
        <v>460</v>
      </c>
      <c r="V14" s="462"/>
      <c r="W14" s="462"/>
      <c r="X14" s="462"/>
      <c r="Y14" s="462"/>
      <c r="Z14" s="462"/>
      <c r="AA14" s="462"/>
      <c r="AB14" s="462"/>
      <c r="AC14" s="462"/>
      <c r="AD14" s="462"/>
      <c r="AE14" s="462"/>
      <c r="AF14" s="462"/>
      <c r="AG14" s="462"/>
      <c r="AH14" s="462"/>
      <c r="AI14" s="462"/>
    </row>
    <row r="15" spans="3:35">
      <c r="U15" s="462" t="s">
        <v>461</v>
      </c>
      <c r="V15" s="462"/>
      <c r="W15" s="462"/>
      <c r="X15" s="462"/>
      <c r="Y15" s="462"/>
      <c r="Z15" s="462"/>
      <c r="AA15" s="462"/>
      <c r="AB15" s="462"/>
      <c r="AC15" s="462"/>
      <c r="AD15" s="462"/>
      <c r="AE15" s="462"/>
      <c r="AF15" s="462"/>
      <c r="AG15" s="462"/>
      <c r="AH15" s="462"/>
      <c r="AI15" s="462"/>
    </row>
    <row r="16" spans="3:35" ht="13.5" thickBot="1">
      <c r="C16" s="459" t="s">
        <v>462</v>
      </c>
      <c r="D16" s="463" t="s">
        <v>451</v>
      </c>
      <c r="E16" s="463"/>
      <c r="F16" s="463"/>
      <c r="G16" s="463"/>
      <c r="N16" s="463"/>
      <c r="O16" s="463"/>
      <c r="P16" s="463"/>
      <c r="Q16" s="463"/>
      <c r="U16" s="462"/>
      <c r="V16" s="462" t="s">
        <v>463</v>
      </c>
      <c r="W16" s="462"/>
      <c r="X16" s="462"/>
      <c r="Y16" s="462"/>
      <c r="Z16" s="462"/>
      <c r="AA16" s="462"/>
      <c r="AB16" s="462"/>
      <c r="AC16" s="462"/>
      <c r="AD16" s="462"/>
      <c r="AE16" s="462"/>
      <c r="AF16" s="462"/>
      <c r="AG16" s="462"/>
      <c r="AH16" s="462"/>
      <c r="AI16" s="462"/>
    </row>
    <row r="17" spans="3:51">
      <c r="C17" s="459" t="s">
        <v>464</v>
      </c>
      <c r="D17" s="464">
        <v>42004</v>
      </c>
      <c r="E17" s="464"/>
      <c r="F17" s="464"/>
      <c r="G17" s="464"/>
      <c r="L17" s="465"/>
      <c r="M17" s="502"/>
      <c r="N17" s="502"/>
      <c r="O17" s="464"/>
      <c r="P17" s="464"/>
      <c r="Q17" s="464"/>
      <c r="U17" s="462"/>
      <c r="V17" s="462" t="s">
        <v>465</v>
      </c>
      <c r="W17" s="462"/>
      <c r="X17" s="462"/>
      <c r="Y17" s="462"/>
      <c r="Z17" s="462"/>
      <c r="AA17" s="462"/>
      <c r="AB17" s="462"/>
      <c r="AC17" s="462"/>
      <c r="AD17" s="462"/>
      <c r="AE17" s="462"/>
      <c r="AF17" s="462"/>
      <c r="AG17" s="462"/>
      <c r="AH17" s="462"/>
      <c r="AI17" s="462"/>
    </row>
    <row r="18" spans="3:51" ht="39" thickBot="1">
      <c r="H18" s="463" t="s">
        <v>466</v>
      </c>
      <c r="L18" s="466"/>
      <c r="M18" s="459" t="s">
        <v>470</v>
      </c>
      <c r="N18" s="501" t="s">
        <v>515</v>
      </c>
      <c r="R18" s="503" t="s">
        <v>516</v>
      </c>
      <c r="U18" s="462"/>
      <c r="V18" s="462" t="s">
        <v>467</v>
      </c>
      <c r="W18" s="462"/>
      <c r="X18" s="462"/>
      <c r="Y18" s="462"/>
      <c r="Z18" s="462"/>
      <c r="AA18" s="462"/>
      <c r="AB18" s="462"/>
      <c r="AC18" s="462"/>
      <c r="AD18" s="462"/>
      <c r="AE18" s="462"/>
      <c r="AF18" s="462"/>
      <c r="AG18" s="462"/>
      <c r="AH18" s="462"/>
      <c r="AI18" s="462"/>
    </row>
    <row r="19" spans="3:51">
      <c r="C19" s="467"/>
      <c r="D19" s="468" t="s">
        <v>466</v>
      </c>
      <c r="E19" s="469"/>
      <c r="F19" s="469"/>
      <c r="G19" s="469"/>
      <c r="H19" s="463" t="s">
        <v>468</v>
      </c>
      <c r="J19" s="463" t="s">
        <v>469</v>
      </c>
      <c r="K19" s="459" t="s">
        <v>470</v>
      </c>
      <c r="L19" s="466"/>
      <c r="M19" s="469" t="s">
        <v>475</v>
      </c>
      <c r="N19" s="469"/>
      <c r="O19" s="469"/>
      <c r="P19" s="469"/>
      <c r="Q19" s="469"/>
      <c r="R19" s="503" t="s">
        <v>468</v>
      </c>
    </row>
    <row r="20" spans="3:51" ht="13.5" thickBot="1">
      <c r="C20" s="470" t="s">
        <v>471</v>
      </c>
      <c r="D20" s="471" t="s">
        <v>472</v>
      </c>
      <c r="E20" s="472"/>
      <c r="F20" s="472"/>
      <c r="G20" s="472"/>
      <c r="H20" s="473" t="s">
        <v>473</v>
      </c>
      <c r="J20" s="472" t="s">
        <v>474</v>
      </c>
      <c r="K20" s="469" t="s">
        <v>475</v>
      </c>
      <c r="L20" s="466"/>
      <c r="M20" s="477" t="s">
        <v>514</v>
      </c>
      <c r="N20" s="463"/>
      <c r="O20" s="472"/>
      <c r="P20" s="472"/>
      <c r="Q20" s="472"/>
      <c r="R20" s="504" t="s">
        <v>473</v>
      </c>
    </row>
    <row r="21" spans="3:51" ht="13.5" thickBot="1">
      <c r="C21" s="474" t="s">
        <v>476</v>
      </c>
      <c r="D21" s="499"/>
      <c r="E21" s="498"/>
      <c r="F21" s="498"/>
      <c r="G21" s="498"/>
      <c r="H21" s="463" t="s">
        <v>477</v>
      </c>
      <c r="I21" s="475" t="s">
        <v>478</v>
      </c>
      <c r="J21" s="476" t="s">
        <v>479</v>
      </c>
      <c r="K21" s="477" t="s">
        <v>480</v>
      </c>
      <c r="L21" s="478"/>
      <c r="M21" s="502"/>
      <c r="N21" s="502"/>
      <c r="O21" s="498"/>
      <c r="P21" s="498"/>
      <c r="Q21" s="498"/>
      <c r="R21" s="503" t="s">
        <v>477</v>
      </c>
      <c r="T21" s="459" t="s">
        <v>512</v>
      </c>
      <c r="U21" s="462" t="s">
        <v>481</v>
      </c>
      <c r="V21" s="479" t="s">
        <v>482</v>
      </c>
      <c r="W21" s="479" t="s">
        <v>483</v>
      </c>
      <c r="X21" s="479" t="s">
        <v>484</v>
      </c>
      <c r="Y21" s="479" t="s">
        <v>485</v>
      </c>
      <c r="Z21" s="480" t="s">
        <v>486</v>
      </c>
      <c r="AA21" s="479" t="s">
        <v>487</v>
      </c>
      <c r="AB21" s="480" t="s">
        <v>488</v>
      </c>
      <c r="AC21" s="480" t="s">
        <v>489</v>
      </c>
      <c r="AD21" s="480" t="s">
        <v>490</v>
      </c>
      <c r="AE21" s="480" t="s">
        <v>491</v>
      </c>
      <c r="AF21" s="480" t="s">
        <v>492</v>
      </c>
      <c r="AG21" s="480" t="s">
        <v>493</v>
      </c>
      <c r="AH21" s="480" t="s">
        <v>494</v>
      </c>
      <c r="AI21" s="480" t="s">
        <v>495</v>
      </c>
      <c r="AJ21" s="480" t="s">
        <v>496</v>
      </c>
      <c r="AK21" s="480" t="s">
        <v>497</v>
      </c>
      <c r="AL21" s="480" t="s">
        <v>498</v>
      </c>
      <c r="AM21" s="480" t="s">
        <v>499</v>
      </c>
      <c r="AN21" s="480" t="s">
        <v>500</v>
      </c>
      <c r="AO21" s="480" t="s">
        <v>501</v>
      </c>
      <c r="AP21" s="480" t="s">
        <v>502</v>
      </c>
      <c r="AQ21" s="480" t="s">
        <v>503</v>
      </c>
      <c r="AR21" s="480" t="s">
        <v>504</v>
      </c>
      <c r="AS21" s="480" t="s">
        <v>505</v>
      </c>
      <c r="AT21" s="480" t="s">
        <v>506</v>
      </c>
      <c r="AU21" s="480" t="s">
        <v>507</v>
      </c>
      <c r="AV21" s="480" t="s">
        <v>508</v>
      </c>
      <c r="AW21" s="480" t="s">
        <v>509</v>
      </c>
      <c r="AX21" s="480" t="s">
        <v>510</v>
      </c>
      <c r="AY21" s="480" t="s">
        <v>511</v>
      </c>
    </row>
    <row r="22" spans="3:51">
      <c r="C22" s="486">
        <v>1</v>
      </c>
      <c r="D22" s="509">
        <f>'Swap and Yield Curves'!D148</f>
        <v>-6.3750000000000001E-2</v>
      </c>
      <c r="E22" s="492">
        <f t="shared" ref="E22:E51" si="0">IF(ISNUMBER(D22),1,"")</f>
        <v>1</v>
      </c>
      <c r="F22" s="492">
        <f t="shared" ref="F22:F51" si="1">IF(ISNUMBER(E22),0,1+F21)</f>
        <v>0</v>
      </c>
      <c r="G22" s="492">
        <f t="shared" ref="G22:G51" si="2">IF(F22=1,D21,IF(F22=2,D20,IF(F22=3,D19,IF(F22=4,D18,IF(F22=5,D17,IF(F22=6,D16,IF(F22=7,D15,IF(F22=8,D14,IF(F22=9,D13,IF(F22=10,D12,IF(F22=11,D11,IF(F22=21,D10,IF(F22=13,D9,IF(F22=14,D8,IF(F22=15,D7,IF(F22=16,D6,IF(F22=17,D5,IF(F22=18,D4,IF(F22=71,D3,0)))))))))))))))))))</f>
        <v>0</v>
      </c>
      <c r="H22" s="492">
        <f t="shared" ref="H22:H51" si="3">IF(G22=0,D22,IF(G23=0,((F22*D23+G22)/(1+F22)),2*H23-H24))</f>
        <v>-6.3750000000000001E-2</v>
      </c>
      <c r="I22" s="459">
        <v>1</v>
      </c>
      <c r="J22" s="482">
        <f t="shared" ref="J22:J51" si="4">(1+H22/200)^2-1</f>
        <v>-6.3739839843757196E-4</v>
      </c>
      <c r="K22" s="483">
        <f>U22</f>
        <v>-6.3739839843757196E-4</v>
      </c>
      <c r="L22" s="497">
        <f t="shared" ref="L22:L51" si="5">IF(ISNUMBER(D22),K22,"")</f>
        <v>-6.3739839843757196E-4</v>
      </c>
      <c r="M22" s="483">
        <f>'All Curves'!AV15</f>
        <v>-1.7810627274724481E-3</v>
      </c>
      <c r="N22" s="483">
        <f t="shared" ref="N22:N51" si="6">IF(ISNUMBER(L22),L22-M22,"")</f>
        <v>1.1436643290348761E-3</v>
      </c>
      <c r="O22" s="492">
        <f t="shared" ref="O22:O51" si="7">IF(ISNUMBER(N22),1,"")</f>
        <v>1</v>
      </c>
      <c r="P22" s="492">
        <f t="shared" ref="P22:P51" si="8">IF(ISNUMBER(O22),0,1+P21)</f>
        <v>0</v>
      </c>
      <c r="Q22" s="492">
        <f>IF(P22=1,#REF!,IF(P22=2,#REF!,IF(P22=3,#REF!,IF(P22=4,#REF!,IF(P22=5,#REF!,IF(P22=6,N16,IF(P22=7,N15,IF(P22=8,N14,IF(P22=9,N13,IF(P22=10,#REF!,IF(P22=11,#REF!,IF(P22=12,#REF!,IF(P22=13,#REF!,IF(P22=14,#REF!,IF(P22=15,#REF!,IF(P22=16,#REF!,IF(P22=17,#REF!,IF(P22=18,#REF!,IF(P22=19,#REF!,0)))))))))))))))))))</f>
        <v>0</v>
      </c>
      <c r="R22" s="505">
        <f t="shared" ref="R22:R51" si="9">IF(Q22=0,N22,IF(Q23=0,((P22*N23+Q22)/(1+P22)),2*R23-R24))</f>
        <v>1.1436643290348761E-3</v>
      </c>
      <c r="S22" s="483">
        <f>R22+M22</f>
        <v>-6.3739839843757196E-4</v>
      </c>
      <c r="T22" s="483">
        <f t="shared" ref="T22:T51" si="10">J22-K22</f>
        <v>0</v>
      </c>
      <c r="U22" s="489">
        <f>J22</f>
        <v>-6.3739839843757196E-4</v>
      </c>
      <c r="V22" s="488">
        <f>W22</f>
        <v>0.99936260160156243</v>
      </c>
      <c r="W22" s="488">
        <f t="shared" ref="W22:W51" si="11">(1+U22)</f>
        <v>0.99936260160156243</v>
      </c>
      <c r="X22" s="488"/>
      <c r="Y22" s="488"/>
      <c r="Z22" s="488"/>
      <c r="AA22" s="488"/>
      <c r="AB22" s="488"/>
      <c r="AC22" s="488"/>
      <c r="AD22" s="488"/>
      <c r="AE22" s="488"/>
      <c r="AF22" s="488"/>
      <c r="AG22" s="488"/>
      <c r="AH22" s="488"/>
      <c r="AI22" s="488"/>
      <c r="AJ22" s="488"/>
      <c r="AK22" s="488"/>
      <c r="AL22" s="488"/>
      <c r="AM22" s="488"/>
      <c r="AN22" s="488"/>
      <c r="AO22" s="488"/>
      <c r="AP22" s="488"/>
      <c r="AQ22" s="488"/>
      <c r="AR22" s="488"/>
      <c r="AS22" s="488"/>
      <c r="AT22" s="488"/>
      <c r="AU22" s="488"/>
      <c r="AV22" s="488"/>
      <c r="AW22" s="488"/>
      <c r="AX22" s="488"/>
      <c r="AY22" s="488"/>
    </row>
    <row r="23" spans="3:51">
      <c r="C23" s="486">
        <v>2</v>
      </c>
      <c r="D23" s="509">
        <f>'Swap and Yield Curves'!D149</f>
        <v>-9.8750000000000004E-2</v>
      </c>
      <c r="E23" s="492">
        <f t="shared" si="0"/>
        <v>1</v>
      </c>
      <c r="F23" s="492">
        <f t="shared" si="1"/>
        <v>0</v>
      </c>
      <c r="G23" s="492">
        <f t="shared" si="2"/>
        <v>0</v>
      </c>
      <c r="H23" s="492">
        <f t="shared" si="3"/>
        <v>-9.8750000000000004E-2</v>
      </c>
      <c r="I23" s="459">
        <f t="shared" ref="I23:I51" si="12">I22+1</f>
        <v>2</v>
      </c>
      <c r="J23" s="482">
        <f t="shared" si="4"/>
        <v>-9.872562109374261E-4</v>
      </c>
      <c r="K23" s="491">
        <f t="shared" ref="K23:K51" si="13">(((1+K22)^I22)*(1+U23))^(1/I23)-1</f>
        <v>-9.8708357170240735E-4</v>
      </c>
      <c r="L23" s="494">
        <f t="shared" si="5"/>
        <v>-9.8708357170240735E-4</v>
      </c>
      <c r="M23" s="483">
        <f>'All Curves'!AV16</f>
        <v>-2.2184082915925061E-3</v>
      </c>
      <c r="N23" s="483">
        <f t="shared" si="6"/>
        <v>1.2313247198900987E-3</v>
      </c>
      <c r="O23" s="492">
        <f t="shared" si="7"/>
        <v>1</v>
      </c>
      <c r="P23" s="492">
        <f t="shared" si="8"/>
        <v>0</v>
      </c>
      <c r="Q23" s="492">
        <f>IF(P23=1,N22,IF(P23=2,#REF!,IF(P23=3,#REF!,IF(P23=4,#REF!,IF(P23=5,#REF!,IF(P23=6,#REF!,IF(P23=7,N16,IF(P23=8,N15,IF(P23=9,N14,IF(P23=10,N13,IF(P23=11,#REF!,IF(P23=12,#REF!,IF(P23=13,#REF!,IF(P23=14,#REF!,IF(P23=15,#REF!,IF(P23=16,#REF!,IF(P23=17,#REF!,IF(P23=18,#REF!,IF(P23=19,#REF!,0)))))))))))))))))))</f>
        <v>0</v>
      </c>
      <c r="R23" s="505">
        <f t="shared" si="9"/>
        <v>1.2313247198900987E-3</v>
      </c>
      <c r="S23" s="483">
        <f t="shared" ref="S23:S51" si="14">R23+M23</f>
        <v>-9.8708357170240735E-4</v>
      </c>
      <c r="T23" s="483">
        <f t="shared" si="10"/>
        <v>-1.7263923501875666E-7</v>
      </c>
      <c r="U23" s="489">
        <f>(1+J23)/(V22-J23)-1</f>
        <v>-1.3366463872561685E-3</v>
      </c>
      <c r="V23" s="488">
        <f t="shared" ref="V23:V51" si="15">V22*W23</f>
        <v>0.9980268071905728</v>
      </c>
      <c r="W23" s="488">
        <f t="shared" si="11"/>
        <v>0.99866335361274383</v>
      </c>
      <c r="X23" s="488"/>
      <c r="Y23" s="488"/>
      <c r="Z23" s="488"/>
      <c r="AA23" s="488"/>
      <c r="AB23" s="488"/>
      <c r="AC23" s="488"/>
      <c r="AD23" s="488"/>
      <c r="AE23" s="488"/>
      <c r="AF23" s="488"/>
      <c r="AG23" s="488"/>
      <c r="AH23" s="488"/>
      <c r="AI23" s="488"/>
      <c r="AJ23" s="488"/>
      <c r="AK23" s="488"/>
      <c r="AL23" s="488"/>
      <c r="AM23" s="488"/>
      <c r="AN23" s="488"/>
      <c r="AO23" s="488"/>
      <c r="AP23" s="488"/>
      <c r="AQ23" s="488"/>
      <c r="AR23" s="488"/>
      <c r="AS23" s="488"/>
      <c r="AT23" s="488"/>
      <c r="AU23" s="488"/>
      <c r="AV23" s="488"/>
      <c r="AW23" s="488"/>
      <c r="AX23" s="488"/>
      <c r="AY23" s="488"/>
    </row>
    <row r="24" spans="3:51">
      <c r="C24" s="481">
        <v>3</v>
      </c>
      <c r="D24" s="509">
        <f>'Swap and Yield Curves'!D150</f>
        <v>-0.115</v>
      </c>
      <c r="E24" s="492">
        <f t="shared" si="0"/>
        <v>1</v>
      </c>
      <c r="F24" s="492">
        <f t="shared" si="1"/>
        <v>0</v>
      </c>
      <c r="G24" s="492">
        <f t="shared" si="2"/>
        <v>0</v>
      </c>
      <c r="H24" s="492">
        <f t="shared" si="3"/>
        <v>-0.115</v>
      </c>
      <c r="I24" s="459">
        <f t="shared" si="12"/>
        <v>3</v>
      </c>
      <c r="J24" s="482">
        <f t="shared" si="4"/>
        <v>-1.1496693749999398E-3</v>
      </c>
      <c r="K24" s="491">
        <f t="shared" si="13"/>
        <v>-1.1493488040601463E-3</v>
      </c>
      <c r="L24" s="494">
        <f t="shared" si="5"/>
        <v>-1.1493488040601463E-3</v>
      </c>
      <c r="M24" s="483">
        <f>'All Curves'!AV17</f>
        <v>-2.484323844077577E-3</v>
      </c>
      <c r="N24" s="483">
        <f t="shared" si="6"/>
        <v>1.3349750400174307E-3</v>
      </c>
      <c r="O24" s="492">
        <f t="shared" si="7"/>
        <v>1</v>
      </c>
      <c r="P24" s="492">
        <f t="shared" si="8"/>
        <v>0</v>
      </c>
      <c r="Q24" s="492">
        <f>IF(P24=1,N23,IF(P24=2,N22,IF(P24=3,#REF!,IF(P24=4,#REF!,IF(P24=5,#REF!,IF(P24=6,#REF!,IF(P24=7,#REF!,IF(P24=8,N16,IF(P24=9,N15,IF(P24=10,N14,IF(P24=11,N13,IF(P24=12,#REF!,IF(P24=13,#REF!,IF(P24=14,#REF!,IF(P24=15,#REF!,IF(P24=16,#REF!,IF(P24=17,#REF!,IF(P24=18,#REF!,IF(P24=19,#REF!,0)))))))))))))))))))</f>
        <v>0</v>
      </c>
      <c r="R24" s="505">
        <f t="shared" si="9"/>
        <v>1.3349750400174307E-3</v>
      </c>
      <c r="S24" s="483">
        <f t="shared" si="14"/>
        <v>-1.1493488040601463E-3</v>
      </c>
      <c r="T24" s="483">
        <f t="shared" si="10"/>
        <v>-3.2057093979354079E-7</v>
      </c>
      <c r="U24" s="489">
        <f>((1+J24)/(V23-J24*(1+W23)))-1</f>
        <v>-1.4738002049927701E-3</v>
      </c>
      <c r="V24" s="488">
        <f t="shared" si="15"/>
        <v>0.99655591507754704</v>
      </c>
      <c r="W24" s="488">
        <f t="shared" si="11"/>
        <v>0.99852619979500723</v>
      </c>
      <c r="X24" s="488">
        <f t="shared" ref="X24:X51" si="16">V24/V22</f>
        <v>0.99719152335747063</v>
      </c>
      <c r="Y24" s="488"/>
      <c r="Z24" s="488"/>
      <c r="AA24" s="488"/>
      <c r="AB24" s="488"/>
      <c r="AC24" s="488"/>
      <c r="AD24" s="488"/>
      <c r="AE24" s="488"/>
      <c r="AF24" s="488"/>
      <c r="AG24" s="488"/>
      <c r="AH24" s="488"/>
      <c r="AI24" s="488"/>
      <c r="AJ24" s="488"/>
      <c r="AK24" s="488"/>
      <c r="AL24" s="488"/>
      <c r="AM24" s="488"/>
      <c r="AN24" s="488"/>
      <c r="AO24" s="488"/>
      <c r="AP24" s="488"/>
      <c r="AQ24" s="488"/>
      <c r="AR24" s="488"/>
      <c r="AS24" s="488"/>
      <c r="AT24" s="488"/>
      <c r="AU24" s="488"/>
      <c r="AV24" s="488"/>
      <c r="AW24" s="488"/>
      <c r="AX24" s="488"/>
      <c r="AY24" s="488"/>
    </row>
    <row r="25" spans="3:51">
      <c r="C25" s="481">
        <v>4</v>
      </c>
      <c r="D25" s="509">
        <f>'Swap and Yield Curves'!D151</f>
        <v>-0.115</v>
      </c>
      <c r="E25" s="492">
        <f t="shared" si="0"/>
        <v>1</v>
      </c>
      <c r="F25" s="492">
        <f t="shared" si="1"/>
        <v>0</v>
      </c>
      <c r="G25" s="492">
        <f t="shared" si="2"/>
        <v>0</v>
      </c>
      <c r="H25" s="492">
        <f t="shared" si="3"/>
        <v>-0.115</v>
      </c>
      <c r="I25" s="459">
        <f t="shared" si="12"/>
        <v>4</v>
      </c>
      <c r="J25" s="482">
        <f t="shared" si="4"/>
        <v>-1.1496693749999398E-3</v>
      </c>
      <c r="K25" s="491">
        <f t="shared" si="13"/>
        <v>-1.1494289468048091E-3</v>
      </c>
      <c r="L25" s="494">
        <f t="shared" si="5"/>
        <v>-1.1494289468048091E-3</v>
      </c>
      <c r="M25" s="483">
        <f>'All Curves'!AV18</f>
        <v>-2.6090023641163586E-3</v>
      </c>
      <c r="N25" s="483">
        <f t="shared" si="6"/>
        <v>1.4595734173115495E-3</v>
      </c>
      <c r="O25" s="492">
        <f t="shared" si="7"/>
        <v>1</v>
      </c>
      <c r="P25" s="492">
        <f t="shared" si="8"/>
        <v>0</v>
      </c>
      <c r="Q25" s="492">
        <f>IF(P25=1,N24,IF(P25=2,N23,IF(P25=3,N22,IF(P25=4,#REF!,IF(P25=5,#REF!,IF(P25=6,#REF!,IF(P25=7,#REF!,IF(P25=8,#REF!,IF(P25=9,N16,IF(P25=10,N15,IF(P25=11,N14,IF(P25=12,N13,IF(P25=13,#REF!,IF(P25=14,#REF!,IF(P25=15,#REF!,IF(P25=16,#REF!,IF(P25=17,#REF!,IF(P25=18,#REF!,IF(P25=19,#REF!,0)))))))))))))))))))</f>
        <v>0</v>
      </c>
      <c r="R25" s="505">
        <f t="shared" si="9"/>
        <v>1.4595734173115495E-3</v>
      </c>
      <c r="S25" s="483">
        <f t="shared" si="14"/>
        <v>-1.1494289468048091E-3</v>
      </c>
      <c r="T25" s="483">
        <f t="shared" si="10"/>
        <v>-2.4042819513070413E-7</v>
      </c>
      <c r="U25" s="489">
        <f>((1+J25)/(V24-J25*(1+W24+X24)))-1</f>
        <v>-1.1496693749999398E-3</v>
      </c>
      <c r="V25" s="488">
        <f t="shared" si="15"/>
        <v>0.99541020526150736</v>
      </c>
      <c r="W25" s="488">
        <f t="shared" si="11"/>
        <v>0.99885033062500006</v>
      </c>
      <c r="X25" s="488">
        <f t="shared" si="16"/>
        <v>0.99737822480296789</v>
      </c>
      <c r="Y25" s="488">
        <f t="shared" ref="Y25:Y51" si="17">V25/V22</f>
        <v>0.99604508280205706</v>
      </c>
      <c r="Z25" s="488"/>
      <c r="AA25" s="488"/>
      <c r="AB25" s="488"/>
      <c r="AC25" s="488"/>
      <c r="AD25" s="488"/>
      <c r="AE25" s="488"/>
      <c r="AF25" s="488"/>
      <c r="AG25" s="488"/>
      <c r="AH25" s="488"/>
      <c r="AI25" s="488"/>
      <c r="AJ25" s="488"/>
      <c r="AK25" s="488"/>
      <c r="AL25" s="488"/>
      <c r="AM25" s="488"/>
      <c r="AN25" s="488"/>
      <c r="AO25" s="488"/>
      <c r="AP25" s="488"/>
      <c r="AQ25" s="488"/>
      <c r="AR25" s="488"/>
      <c r="AS25" s="488"/>
      <c r="AT25" s="488"/>
      <c r="AU25" s="488"/>
      <c r="AV25" s="488"/>
      <c r="AW25" s="488"/>
      <c r="AX25" s="488"/>
      <c r="AY25" s="488"/>
    </row>
    <row r="26" spans="3:51">
      <c r="C26" s="481">
        <v>5</v>
      </c>
      <c r="D26" s="509">
        <f>'Swap and Yield Curves'!D152</f>
        <v>-0.10313</v>
      </c>
      <c r="E26" s="492">
        <f t="shared" si="0"/>
        <v>1</v>
      </c>
      <c r="F26" s="492">
        <f t="shared" si="1"/>
        <v>0</v>
      </c>
      <c r="G26" s="492">
        <f t="shared" si="2"/>
        <v>0</v>
      </c>
      <c r="H26" s="492">
        <f t="shared" si="3"/>
        <v>-0.10313</v>
      </c>
      <c r="I26" s="459">
        <f t="shared" si="12"/>
        <v>5</v>
      </c>
      <c r="J26" s="482">
        <f t="shared" si="4"/>
        <v>-1.031034105077433E-3</v>
      </c>
      <c r="K26" s="491">
        <f t="shared" si="13"/>
        <v>-1.0311059481188378E-3</v>
      </c>
      <c r="L26" s="494">
        <f t="shared" si="5"/>
        <v>-1.0311059481188378E-3</v>
      </c>
      <c r="M26" s="483">
        <f>'All Curves'!AV19</f>
        <v>-2.6173951214173608E-3</v>
      </c>
      <c r="N26" s="483">
        <f t="shared" si="6"/>
        <v>1.5862891732985229E-3</v>
      </c>
      <c r="O26" s="492">
        <f t="shared" si="7"/>
        <v>1</v>
      </c>
      <c r="P26" s="492">
        <f t="shared" si="8"/>
        <v>0</v>
      </c>
      <c r="Q26" s="492">
        <f>IF(P26=1,N25,IF(P26=2,N24,IF(P26=3,N23,IF(P26=4,N22,IF(P26=5,#REF!,IF(P26=6,#REF!,IF(P26=7,#REF!,IF(P26=8,#REF!,IF(P26=9,#REF!,IF(P26=10,N16,IF(P26=11,N15,IF(P26=12,N14,IF(P26=13,N13,IF(P26=14,#REF!,IF(P26=15,#REF!,IF(P26=16,#REF!,IF(P26=17,#REF!,IF(P26=18,#REF!,IF(P26=19,#REF!,0)))))))))))))))))))</f>
        <v>0</v>
      </c>
      <c r="R26" s="505">
        <f t="shared" si="9"/>
        <v>1.5862891732985229E-3</v>
      </c>
      <c r="S26" s="483">
        <f t="shared" si="14"/>
        <v>-1.0311059481188378E-3</v>
      </c>
      <c r="T26" s="483">
        <f t="shared" si="10"/>
        <v>7.184304140483988E-8</v>
      </c>
      <c r="U26" s="489">
        <f>((1+J26)/(V25-J26*(1+W25+X25+Y25)))-1</f>
        <v>-5.5767377234117177E-4</v>
      </c>
      <c r="V26" s="488">
        <f t="shared" si="15"/>
        <v>0.99485509109731229</v>
      </c>
      <c r="W26" s="488">
        <f t="shared" si="11"/>
        <v>0.99944232622765883</v>
      </c>
      <c r="X26" s="488">
        <f t="shared" si="16"/>
        <v>0.99829329799311628</v>
      </c>
      <c r="Y26" s="488">
        <f t="shared" si="17"/>
        <v>0.99682201312589103</v>
      </c>
      <c r="Z26" s="488">
        <f t="shared" ref="Z26:Z51" si="18">V26/V22</f>
        <v>0.99548961458330898</v>
      </c>
      <c r="AA26" s="488"/>
      <c r="AB26" s="488"/>
      <c r="AC26" s="488"/>
      <c r="AD26" s="488"/>
      <c r="AE26" s="488"/>
      <c r="AF26" s="488"/>
      <c r="AG26" s="488"/>
      <c r="AH26" s="488"/>
      <c r="AI26" s="488"/>
      <c r="AJ26" s="488"/>
      <c r="AK26" s="488"/>
      <c r="AL26" s="488"/>
      <c r="AM26" s="488"/>
      <c r="AN26" s="488"/>
      <c r="AO26" s="488"/>
      <c r="AP26" s="488"/>
      <c r="AQ26" s="488"/>
      <c r="AR26" s="488"/>
      <c r="AS26" s="488"/>
      <c r="AT26" s="488"/>
      <c r="AU26" s="488"/>
      <c r="AV26" s="488"/>
      <c r="AW26" s="488"/>
      <c r="AX26" s="488"/>
      <c r="AY26" s="488"/>
    </row>
    <row r="27" spans="3:51">
      <c r="C27" s="481">
        <v>6</v>
      </c>
      <c r="D27" s="509">
        <f>'Swap and Yield Curves'!D153</f>
        <v>-8.5000000000000006E-2</v>
      </c>
      <c r="E27" s="492">
        <f t="shared" si="0"/>
        <v>1</v>
      </c>
      <c r="F27" s="492">
        <f t="shared" si="1"/>
        <v>0</v>
      </c>
      <c r="G27" s="492">
        <f t="shared" si="2"/>
        <v>0</v>
      </c>
      <c r="H27" s="492">
        <f t="shared" si="3"/>
        <v>-8.5000000000000006E-2</v>
      </c>
      <c r="I27" s="459">
        <f t="shared" si="12"/>
        <v>6</v>
      </c>
      <c r="J27" s="482">
        <f t="shared" si="4"/>
        <v>-8.4981937500006044E-4</v>
      </c>
      <c r="K27" s="491">
        <f t="shared" si="13"/>
        <v>-8.5025350102418962E-4</v>
      </c>
      <c r="L27" s="494">
        <f t="shared" si="5"/>
        <v>-8.5025350102418962E-4</v>
      </c>
      <c r="M27" s="483">
        <f>'All Curves'!AV20</f>
        <v>-2.5301309240936608E-3</v>
      </c>
      <c r="N27" s="483">
        <f t="shared" si="6"/>
        <v>1.6798774230694711E-3</v>
      </c>
      <c r="O27" s="492">
        <f t="shared" si="7"/>
        <v>1</v>
      </c>
      <c r="P27" s="492">
        <f t="shared" si="8"/>
        <v>0</v>
      </c>
      <c r="Q27" s="492">
        <f>IF(P27=1,N26,IF(P27=2,N25,IF(P27=3,N24,IF(P27=4,N23,IF(P27=5,N22,IF(P27=6,#REF!,IF(P27=7,#REF!,IF(P27=8,#REF!,IF(P27=9,#REF!,IF(P27=10,#REF!,IF(P27=11,N16,IF(P27=12,N15,IF(P27=13,N14,IF(P27=14,N13,IF(P27=15,#REF!,IF(P27=16,#REF!,IF(P27=17,#REF!,IF(P27=18,#REF!,IF(P27=19,#REF!,0)))))))))))))))))))</f>
        <v>0</v>
      </c>
      <c r="R27" s="505">
        <f t="shared" si="9"/>
        <v>1.6798774230694711E-3</v>
      </c>
      <c r="S27" s="483">
        <f t="shared" si="14"/>
        <v>-8.5025350102418962E-4</v>
      </c>
      <c r="T27" s="483">
        <f t="shared" si="10"/>
        <v>4.3412602412917778E-7</v>
      </c>
      <c r="U27" s="489">
        <f>((1+J27)/(V26-J27*(1+W26+X26+Y26+Z26)))-1</f>
        <v>5.4499973526356271E-5</v>
      </c>
      <c r="V27" s="488">
        <f t="shared" si="15"/>
        <v>0.99490931067343968</v>
      </c>
      <c r="W27" s="488">
        <f t="shared" si="11"/>
        <v>1.0000544999735264</v>
      </c>
      <c r="X27" s="488">
        <f t="shared" si="16"/>
        <v>0.99949679580797934</v>
      </c>
      <c r="Y27" s="488">
        <f t="shared" si="17"/>
        <v>0.99834770495142844</v>
      </c>
      <c r="Z27" s="488">
        <f t="shared" si="18"/>
        <v>0.99687633989921698</v>
      </c>
      <c r="AA27" s="488">
        <f t="shared" ref="AA27:AA51" si="19">V27/V22</f>
        <v>0.99554386874094947</v>
      </c>
      <c r="AB27" s="488"/>
      <c r="AC27" s="488"/>
      <c r="AD27" s="488"/>
      <c r="AE27" s="488"/>
      <c r="AF27" s="488"/>
      <c r="AG27" s="488"/>
      <c r="AH27" s="488"/>
      <c r="AI27" s="488"/>
      <c r="AJ27" s="488"/>
      <c r="AK27" s="488"/>
      <c r="AL27" s="488"/>
      <c r="AM27" s="488"/>
      <c r="AN27" s="488"/>
      <c r="AO27" s="488"/>
      <c r="AP27" s="488"/>
      <c r="AQ27" s="488"/>
      <c r="AR27" s="488"/>
      <c r="AS27" s="488"/>
      <c r="AT27" s="488"/>
      <c r="AU27" s="488"/>
      <c r="AV27" s="488"/>
      <c r="AW27" s="488"/>
      <c r="AX27" s="488"/>
      <c r="AY27" s="488"/>
    </row>
    <row r="28" spans="3:51">
      <c r="C28" s="481">
        <v>7</v>
      </c>
      <c r="D28" s="509">
        <f>'Swap and Yield Curves'!D154</f>
        <v>-6.003E-2</v>
      </c>
      <c r="E28" s="492">
        <f t="shared" si="0"/>
        <v>1</v>
      </c>
      <c r="F28" s="492">
        <f t="shared" si="1"/>
        <v>0</v>
      </c>
      <c r="G28" s="492">
        <f t="shared" si="2"/>
        <v>0</v>
      </c>
      <c r="H28" s="492">
        <f t="shared" si="3"/>
        <v>-6.003E-2</v>
      </c>
      <c r="I28" s="459">
        <f t="shared" si="12"/>
        <v>7</v>
      </c>
      <c r="J28" s="482">
        <f t="shared" si="4"/>
        <v>-6.0020990997755597E-4</v>
      </c>
      <c r="K28" s="491">
        <f t="shared" si="13"/>
        <v>-6.0092248468301968E-4</v>
      </c>
      <c r="L28" s="494">
        <f t="shared" si="5"/>
        <v>-6.0092248468301968E-4</v>
      </c>
      <c r="M28" s="483">
        <f>'All Curves'!AV21</f>
        <v>-2.3642739790482336E-3</v>
      </c>
      <c r="N28" s="483">
        <f t="shared" si="6"/>
        <v>1.7633514943652139E-3</v>
      </c>
      <c r="O28" s="492">
        <f t="shared" si="7"/>
        <v>1</v>
      </c>
      <c r="P28" s="492">
        <f t="shared" si="8"/>
        <v>0</v>
      </c>
      <c r="Q28" s="492">
        <f>IF(P28=1,N27,IF(P28=2,N26,IF(P28=3,N25,IF(P28=4,N24,IF(P28=5,N23,IF(P28=6,N22,IF(P28=7,#REF!,IF(P28=8,#REF!,IF(P28=9,#REF!,IF(P28=10,#REF!,IF(P28=11,#REF!,IF(P28=12,N16,IF(P28=13,N15,IF(P28=14,N14,IF(P28=15,N13,IF(P28=16,#REF!,IF(P28=17,#REF!,IF(P28=18,#REF!,IF(P28=19,#REF!,0)))))))))))))))))))</f>
        <v>0</v>
      </c>
      <c r="R28" s="505">
        <f t="shared" si="9"/>
        <v>1.7633514943652139E-3</v>
      </c>
      <c r="S28" s="483">
        <f t="shared" si="14"/>
        <v>-6.0092248468301968E-4</v>
      </c>
      <c r="T28" s="483">
        <f t="shared" si="10"/>
        <v>7.1257470546370882E-7</v>
      </c>
      <c r="U28" s="489">
        <f>((1+J28)/(V27-J28*(1+W27+X27+Y27+Z27+AA27)))-1</f>
        <v>8.9637075292725577E-4</v>
      </c>
      <c r="V28" s="488">
        <f t="shared" si="15"/>
        <v>0.99580111828134232</v>
      </c>
      <c r="W28" s="488">
        <f t="shared" si="11"/>
        <v>1.0008963707529273</v>
      </c>
      <c r="X28" s="488">
        <f t="shared" si="16"/>
        <v>1.0009509195786359</v>
      </c>
      <c r="Y28" s="488">
        <f t="shared" si="17"/>
        <v>1.000392715503386</v>
      </c>
      <c r="Z28" s="488">
        <f t="shared" si="18"/>
        <v>0.99924259463539888</v>
      </c>
      <c r="AA28" s="488">
        <f t="shared" si="19"/>
        <v>0.99776991069458776</v>
      </c>
      <c r="AB28" s="488">
        <f t="shared" ref="AB28:AB51" si="20">V28/V22</f>
        <v>0.99643624514814488</v>
      </c>
      <c r="AC28" s="488"/>
      <c r="AD28" s="488"/>
      <c r="AE28" s="488"/>
      <c r="AF28" s="488"/>
      <c r="AG28" s="488"/>
      <c r="AH28" s="488"/>
      <c r="AI28" s="488"/>
      <c r="AJ28" s="488"/>
      <c r="AK28" s="488"/>
      <c r="AL28" s="488"/>
      <c r="AM28" s="488"/>
      <c r="AN28" s="488"/>
      <c r="AO28" s="488"/>
      <c r="AP28" s="488"/>
      <c r="AQ28" s="488"/>
      <c r="AR28" s="488"/>
      <c r="AS28" s="488"/>
      <c r="AT28" s="488"/>
      <c r="AU28" s="488"/>
      <c r="AV28" s="488"/>
      <c r="AW28" s="488"/>
      <c r="AX28" s="488"/>
      <c r="AY28" s="488"/>
    </row>
    <row r="29" spans="3:51">
      <c r="C29" s="481">
        <v>8</v>
      </c>
      <c r="D29" s="509">
        <f>'Swap and Yield Curves'!D155</f>
        <v>-3.125E-2</v>
      </c>
      <c r="E29" s="492">
        <f t="shared" si="0"/>
        <v>1</v>
      </c>
      <c r="F29" s="492">
        <f t="shared" si="1"/>
        <v>0</v>
      </c>
      <c r="G29" s="492">
        <f t="shared" si="2"/>
        <v>0</v>
      </c>
      <c r="H29" s="492">
        <f t="shared" si="3"/>
        <v>-3.125E-2</v>
      </c>
      <c r="I29" s="459">
        <f t="shared" si="12"/>
        <v>8</v>
      </c>
      <c r="J29" s="482">
        <f t="shared" si="4"/>
        <v>-3.1247558593738844E-4</v>
      </c>
      <c r="K29" s="491">
        <f t="shared" si="13"/>
        <v>-3.1311569559555608E-4</v>
      </c>
      <c r="L29" s="494">
        <f t="shared" si="5"/>
        <v>-3.1311569559555608E-4</v>
      </c>
      <c r="M29" s="483">
        <f>'All Curves'!AV22</f>
        <v>-2.1339486138659161E-3</v>
      </c>
      <c r="N29" s="483">
        <f t="shared" si="6"/>
        <v>1.82083291827036E-3</v>
      </c>
      <c r="O29" s="492">
        <f t="shared" si="7"/>
        <v>1</v>
      </c>
      <c r="P29" s="492">
        <f t="shared" si="8"/>
        <v>0</v>
      </c>
      <c r="Q29" s="492">
        <f>IF(P29=1,N28,IF(P29=2,N27,IF(P29=3,N26,IF(P29=4,N25,IF(P29=5,N24,IF(P29=6,N23,IF(P29=7,N22,IF(P29=8,#REF!,IF(P29=9,#REF!,IF(P29=10,#REF!,IF(P29=11,#REF!,IF(P29=12,#REF!,IF(P29=13,N16,IF(P29=14,N15,IF(P29=15,N14,IF(P29=16,N13,IF(P29=17,#REF!,IF(P29=18,#REF!,IF(P29=19,#REF!,0)))))))))))))))))))</f>
        <v>0</v>
      </c>
      <c r="R29" s="505">
        <f t="shared" si="9"/>
        <v>1.82083291827036E-3</v>
      </c>
      <c r="S29" s="483">
        <f t="shared" si="14"/>
        <v>-3.1311569559555608E-4</v>
      </c>
      <c r="T29" s="483">
        <f t="shared" si="10"/>
        <v>6.4010965816763132E-7</v>
      </c>
      <c r="U29" s="489">
        <f>((1+J29)/(V28-J29*(1+W28+X28+Y28+Z28+AA28+AB28)))-1</f>
        <v>1.7038538766414035E-3</v>
      </c>
      <c r="V29" s="488">
        <f t="shared" si="15"/>
        <v>0.9974978178770898</v>
      </c>
      <c r="W29" s="488">
        <f t="shared" si="11"/>
        <v>1.0017038538766414</v>
      </c>
      <c r="X29" s="488">
        <f t="shared" si="16"/>
        <v>1.0026017519143509</v>
      </c>
      <c r="Y29" s="488">
        <f t="shared" si="17"/>
        <v>1.0026563936832877</v>
      </c>
      <c r="Z29" s="488">
        <f t="shared" si="18"/>
        <v>1.0020972385098603</v>
      </c>
      <c r="AA29" s="488">
        <f t="shared" si="19"/>
        <v>1.0009451580039737</v>
      </c>
      <c r="AB29" s="488">
        <f t="shared" si="20"/>
        <v>0.99946996482492079</v>
      </c>
      <c r="AC29" s="488">
        <f t="shared" ref="AC29:AC51" si="21">V29/V22</f>
        <v>0.99813402690726649</v>
      </c>
      <c r="AD29" s="488"/>
      <c r="AE29" s="488"/>
      <c r="AF29" s="488"/>
      <c r="AG29" s="488"/>
      <c r="AH29" s="488"/>
      <c r="AI29" s="488"/>
      <c r="AJ29" s="488"/>
      <c r="AK29" s="488"/>
      <c r="AL29" s="488"/>
      <c r="AM29" s="488"/>
      <c r="AN29" s="488"/>
      <c r="AO29" s="488"/>
      <c r="AP29" s="488"/>
      <c r="AQ29" s="488"/>
      <c r="AR29" s="488"/>
      <c r="AS29" s="488"/>
      <c r="AT29" s="488"/>
      <c r="AU29" s="488"/>
      <c r="AV29" s="488"/>
      <c r="AW29" s="488"/>
      <c r="AX29" s="488"/>
      <c r="AY29" s="488"/>
    </row>
    <row r="30" spans="3:51">
      <c r="C30" s="481">
        <v>9</v>
      </c>
      <c r="D30" s="509">
        <f>'Swap and Yield Curves'!D156</f>
        <v>1.25E-3</v>
      </c>
      <c r="E30" s="492">
        <f t="shared" si="0"/>
        <v>1</v>
      </c>
      <c r="F30" s="492">
        <f t="shared" si="1"/>
        <v>0</v>
      </c>
      <c r="G30" s="492">
        <f t="shared" si="2"/>
        <v>0</v>
      </c>
      <c r="H30" s="492">
        <f t="shared" si="3"/>
        <v>1.25E-3</v>
      </c>
      <c r="I30" s="459">
        <f t="shared" si="12"/>
        <v>9</v>
      </c>
      <c r="J30" s="482">
        <f t="shared" si="4"/>
        <v>1.2500039062501855E-5</v>
      </c>
      <c r="K30" s="491">
        <f t="shared" si="13"/>
        <v>1.2539134042421907E-5</v>
      </c>
      <c r="L30" s="494">
        <f t="shared" si="5"/>
        <v>1.2539134042421907E-5</v>
      </c>
      <c r="M30" s="483">
        <f>'All Curves'!AV23</f>
        <v>-1.8508541823955395E-3</v>
      </c>
      <c r="N30" s="483">
        <f t="shared" si="6"/>
        <v>1.8633933164379614E-3</v>
      </c>
      <c r="O30" s="492">
        <f t="shared" si="7"/>
        <v>1</v>
      </c>
      <c r="P30" s="492">
        <f t="shared" si="8"/>
        <v>0</v>
      </c>
      <c r="Q30" s="492">
        <f>IF(P30=1,N29,IF(P30=2,N28,IF(P30=3,N27,IF(P30=4,N26,IF(P30=5,N25,IF(P30=6,N24,IF(P30=7,N23,IF(P30=8,N22,IF(P30=9,#REF!,IF(P30=10,#REF!,IF(P30=11,#REF!,IF(P30=12,#REF!,IF(P30=13,#REF!,IF(P30=14,N16,IF(P30=15,N15,IF(P30=16,N14,IF(P30=17,N13,IF(P30=18,#REF!,IF(P30=19,#REF!,0)))))))))))))))))))</f>
        <v>0</v>
      </c>
      <c r="R30" s="505">
        <f t="shared" si="9"/>
        <v>1.8633933164379614E-3</v>
      </c>
      <c r="S30" s="483">
        <f t="shared" si="14"/>
        <v>1.2539134042421907E-5</v>
      </c>
      <c r="T30" s="483">
        <f t="shared" si="10"/>
        <v>-3.9094979920051287E-8</v>
      </c>
      <c r="U30" s="489">
        <f>((1+J30)/(V29-J30*(1+W29+X29+Y29+Z29+AA29+AB29+AC29)))-1</f>
        <v>2.6215997096612487E-3</v>
      </c>
      <c r="V30" s="488">
        <f t="shared" si="15"/>
        <v>1.0001128578668241</v>
      </c>
      <c r="W30" s="488">
        <f t="shared" si="11"/>
        <v>1.0026215997096612</v>
      </c>
      <c r="X30" s="488">
        <f t="shared" si="16"/>
        <v>1.0043299204091309</v>
      </c>
      <c r="Y30" s="488">
        <f t="shared" si="17"/>
        <v>1.0052301723760755</v>
      </c>
      <c r="Z30" s="488">
        <f t="shared" si="18"/>
        <v>1.0052849573938578</v>
      </c>
      <c r="AA30" s="488">
        <f t="shared" si="19"/>
        <v>1.0047243363393901</v>
      </c>
      <c r="AB30" s="488">
        <f t="shared" si="20"/>
        <v>1.0035692355395835</v>
      </c>
      <c r="AC30" s="488">
        <f t="shared" si="21"/>
        <v>1.002090174994521</v>
      </c>
      <c r="AD30" s="488">
        <f t="shared" ref="AD30:AD51" si="22">V30/V22</f>
        <v>1.0007507347824096</v>
      </c>
      <c r="AE30" s="488"/>
      <c r="AF30" s="488"/>
      <c r="AG30" s="488"/>
      <c r="AH30" s="488"/>
      <c r="AI30" s="488"/>
      <c r="AJ30" s="488"/>
      <c r="AK30" s="488"/>
      <c r="AL30" s="488"/>
      <c r="AM30" s="488"/>
      <c r="AN30" s="488"/>
      <c r="AO30" s="488"/>
      <c r="AP30" s="488"/>
      <c r="AQ30" s="488"/>
      <c r="AR30" s="488"/>
      <c r="AS30" s="488"/>
      <c r="AT30" s="488"/>
      <c r="AU30" s="488"/>
      <c r="AV30" s="488"/>
      <c r="AW30" s="488"/>
      <c r="AX30" s="488"/>
      <c r="AY30" s="488"/>
    </row>
    <row r="31" spans="3:51">
      <c r="C31" s="481">
        <v>10</v>
      </c>
      <c r="D31" s="509">
        <f>'Swap and Yield Curves'!D157</f>
        <v>3.5000000000000003E-2</v>
      </c>
      <c r="E31" s="492">
        <f t="shared" si="0"/>
        <v>1</v>
      </c>
      <c r="F31" s="492">
        <f t="shared" si="1"/>
        <v>0</v>
      </c>
      <c r="G31" s="492">
        <f t="shared" si="2"/>
        <v>0</v>
      </c>
      <c r="H31" s="492">
        <f t="shared" si="3"/>
        <v>3.5000000000000003E-2</v>
      </c>
      <c r="I31" s="459">
        <f t="shared" si="12"/>
        <v>10</v>
      </c>
      <c r="J31" s="482">
        <f t="shared" si="4"/>
        <v>3.5003062500016391E-4</v>
      </c>
      <c r="K31" s="491">
        <f t="shared" si="13"/>
        <v>3.5155205741155271E-4</v>
      </c>
      <c r="L31" s="494">
        <f t="shared" si="5"/>
        <v>3.5155205741155271E-4</v>
      </c>
      <c r="M31" s="483">
        <f>'All Curves'!AV24</f>
        <v>-1.5246894059836144E-3</v>
      </c>
      <c r="N31" s="483">
        <f t="shared" si="6"/>
        <v>1.8762414633951671E-3</v>
      </c>
      <c r="O31" s="492">
        <f t="shared" si="7"/>
        <v>1</v>
      </c>
      <c r="P31" s="492">
        <f t="shared" si="8"/>
        <v>0</v>
      </c>
      <c r="Q31" s="492">
        <f>IF(P31=1,N30,IF(P31=2,N29,IF(P31=3,N28,IF(P31=4,N27,IF(P31=5,N26,IF(P31=6,N25,IF(P31=7,N24,IF(P31=8,N23,IF(P31=9,N22,IF(P31=10,#REF!,IF(P31=11,#REF!,IF(P31=12,#REF!,IF(P31=13,#REF!,IF(P31=14,#REF!,IF(P31=15,N16,IF(P31=16,N15,IF(P31=17,N14,IF(P31=18,N13,IF(P31=19,#REF!,0)))))))))))))))))))</f>
        <v>0</v>
      </c>
      <c r="R31" s="505">
        <f t="shared" si="9"/>
        <v>1.8762414633951671E-3</v>
      </c>
      <c r="S31" s="483">
        <f t="shared" si="14"/>
        <v>3.5155205741155271E-4</v>
      </c>
      <c r="T31" s="483">
        <f t="shared" si="10"/>
        <v>-1.5214324113888011E-6</v>
      </c>
      <c r="U31" s="489">
        <f>((1+J31)/(V30-J31*(1+W30+X30+Y30+Z30+AA30+AB30+AC30+AD30)))-1</f>
        <v>3.4078448203636036E-3</v>
      </c>
      <c r="V31" s="488">
        <f t="shared" si="15"/>
        <v>1.0035210872892846</v>
      </c>
      <c r="W31" s="488">
        <f t="shared" si="11"/>
        <v>1.0034078448203636</v>
      </c>
      <c r="X31" s="488">
        <f t="shared" si="16"/>
        <v>1.0060383785350164</v>
      </c>
      <c r="Y31" s="488">
        <f t="shared" si="17"/>
        <v>1.0077525209263334</v>
      </c>
      <c r="Z31" s="488">
        <f t="shared" si="18"/>
        <v>1.0086558408122803</v>
      </c>
      <c r="AA31" s="488">
        <f t="shared" si="19"/>
        <v>1.0087108125289019</v>
      </c>
      <c r="AB31" s="488">
        <f t="shared" si="20"/>
        <v>1.0081482809648776</v>
      </c>
      <c r="AC31" s="488">
        <f t="shared" si="21"/>
        <v>1.0069892437607935</v>
      </c>
      <c r="AD31" s="488">
        <f t="shared" si="22"/>
        <v>1.0055051428069133</v>
      </c>
      <c r="AE31" s="488">
        <f t="shared" ref="AE31:AE51" si="23">V31/V22</f>
        <v>1.004161137990413</v>
      </c>
      <c r="AF31" s="488"/>
      <c r="AG31" s="488"/>
      <c r="AH31" s="488"/>
      <c r="AI31" s="488"/>
      <c r="AJ31" s="488"/>
      <c r="AK31" s="488"/>
      <c r="AL31" s="488"/>
      <c r="AM31" s="488"/>
      <c r="AN31" s="488"/>
      <c r="AO31" s="488"/>
      <c r="AP31" s="488"/>
      <c r="AQ31" s="488"/>
      <c r="AR31" s="488"/>
      <c r="AS31" s="488"/>
      <c r="AT31" s="488"/>
      <c r="AU31" s="488"/>
      <c r="AV31" s="488"/>
      <c r="AW31" s="488"/>
      <c r="AX31" s="488"/>
      <c r="AY31" s="488"/>
    </row>
    <row r="32" spans="3:51">
      <c r="C32" s="481">
        <v>11</v>
      </c>
      <c r="D32" s="509">
        <f>'Swap and Yield Curves'!D158</f>
        <v>6.8750000000000006E-2</v>
      </c>
      <c r="E32" s="492">
        <f t="shared" si="0"/>
        <v>1</v>
      </c>
      <c r="F32" s="492">
        <f t="shared" si="1"/>
        <v>0</v>
      </c>
      <c r="G32" s="492">
        <f t="shared" si="2"/>
        <v>0</v>
      </c>
      <c r="H32" s="492">
        <f t="shared" si="3"/>
        <v>6.8750000000000006E-2</v>
      </c>
      <c r="I32" s="459">
        <f t="shared" si="12"/>
        <v>11</v>
      </c>
      <c r="J32" s="482">
        <f t="shared" si="4"/>
        <v>6.8761816406270881E-4</v>
      </c>
      <c r="K32" s="491">
        <f t="shared" si="13"/>
        <v>6.915100326698731E-4</v>
      </c>
      <c r="L32" s="494">
        <f t="shared" si="5"/>
        <v>6.915100326698731E-4</v>
      </c>
      <c r="M32" s="483">
        <f>'All Curves'!AV25</f>
        <v>-1.1635020401276602E-3</v>
      </c>
      <c r="N32" s="483">
        <f t="shared" si="6"/>
        <v>1.8550120727975333E-3</v>
      </c>
      <c r="O32" s="492">
        <f t="shared" si="7"/>
        <v>1</v>
      </c>
      <c r="P32" s="492">
        <f t="shared" si="8"/>
        <v>0</v>
      </c>
      <c r="Q32" s="492">
        <f>IF(P32=1,N31,IF(P32=2,N30,IF(P32=3,N29,IF(P32=4,N28,IF(P32=5,N27,IF(P32=6,N26,IF(P32=7,N25,IF(P32=8,N24,IF(P32=9,N23,IF(P32=10,N22,IF(P32=11,#REF!,IF(P32=12,#REF!,IF(P32=13,#REF!,IF(P32=14,#REF!,IF(P32=15,#REF!,IF(P32=16,N16,IF(P32=17,N15,IF(P32=18,N14,IF(P32=19,N13,0)))))))))))))))))))</f>
        <v>0</v>
      </c>
      <c r="R32" s="505">
        <f t="shared" si="9"/>
        <v>1.8550120727975333E-3</v>
      </c>
      <c r="S32" s="483">
        <f t="shared" si="14"/>
        <v>6.915100326698731E-4</v>
      </c>
      <c r="T32" s="483">
        <f t="shared" si="10"/>
        <v>-3.8918686071642838E-6</v>
      </c>
      <c r="U32" s="489">
        <f>((1+J32)/(V31-J32*(1+W31+X31+Y31+Z31+AA31+AB31+AC31+AD31+AE31)))-1</f>
        <v>4.0974504623989549E-3</v>
      </c>
      <c r="V32" s="488">
        <f t="shared" si="15"/>
        <v>1.0076329652324252</v>
      </c>
      <c r="W32" s="488">
        <f t="shared" si="11"/>
        <v>1.004097450462399</v>
      </c>
      <c r="X32" s="488">
        <f t="shared" si="16"/>
        <v>1.0075192587580974</v>
      </c>
      <c r="Y32" s="488">
        <f t="shared" si="17"/>
        <v>1.010160570954336</v>
      </c>
      <c r="Z32" s="488">
        <f t="shared" si="18"/>
        <v>1.0118817369591866</v>
      </c>
      <c r="AA32" s="488">
        <f t="shared" si="19"/>
        <v>1.0127887581536181</v>
      </c>
      <c r="AB32" s="488">
        <f t="shared" si="20"/>
        <v>1.0128439551141253</v>
      </c>
      <c r="AC32" s="488">
        <f t="shared" si="21"/>
        <v>1.0122791186048838</v>
      </c>
      <c r="AD32" s="488">
        <f t="shared" si="22"/>
        <v>1.011115332303272</v>
      </c>
      <c r="AE32" s="488">
        <f t="shared" si="23"/>
        <v>1.0096251503192519</v>
      </c>
      <c r="AF32" s="488">
        <f t="shared" ref="AF32:AF51" si="24">V32/V22</f>
        <v>1.0082756385095948</v>
      </c>
      <c r="AG32" s="488"/>
      <c r="AH32" s="488"/>
      <c r="AI32" s="488"/>
      <c r="AJ32" s="488"/>
      <c r="AK32" s="488"/>
      <c r="AL32" s="488"/>
      <c r="AM32" s="488"/>
      <c r="AN32" s="488"/>
      <c r="AO32" s="488"/>
      <c r="AP32" s="488"/>
      <c r="AQ32" s="488"/>
      <c r="AR32" s="488"/>
      <c r="AS32" s="488"/>
      <c r="AT32" s="488"/>
      <c r="AU32" s="488"/>
      <c r="AV32" s="488"/>
      <c r="AW32" s="488"/>
      <c r="AX32" s="488"/>
      <c r="AY32" s="488"/>
    </row>
    <row r="33" spans="3:51">
      <c r="C33" s="481">
        <v>12</v>
      </c>
      <c r="D33" s="509">
        <f>'Swap and Yield Curves'!D159</f>
        <v>0.10125000000000001</v>
      </c>
      <c r="E33" s="492">
        <f t="shared" si="0"/>
        <v>1</v>
      </c>
      <c r="F33" s="492">
        <f t="shared" si="1"/>
        <v>0</v>
      </c>
      <c r="G33" s="492">
        <f t="shared" si="2"/>
        <v>0</v>
      </c>
      <c r="H33" s="492">
        <f t="shared" si="3"/>
        <v>0.10125000000000001</v>
      </c>
      <c r="I33" s="459">
        <f t="shared" si="12"/>
        <v>12</v>
      </c>
      <c r="J33" s="482">
        <f t="shared" si="4"/>
        <v>1.0127562890622777E-3</v>
      </c>
      <c r="K33" s="491">
        <f t="shared" si="13"/>
        <v>1.0198512234675938E-3</v>
      </c>
      <c r="L33" s="494">
        <f t="shared" si="5"/>
        <v>1.0198512234675938E-3</v>
      </c>
      <c r="M33" s="483">
        <f>'All Curves'!AV26</f>
        <v>-7.7397697930933198E-4</v>
      </c>
      <c r="N33" s="483">
        <f t="shared" si="6"/>
        <v>1.7938282027769258E-3</v>
      </c>
      <c r="O33" s="492">
        <f t="shared" si="7"/>
        <v>1</v>
      </c>
      <c r="P33" s="492">
        <f t="shared" si="8"/>
        <v>0</v>
      </c>
      <c r="Q33" s="492">
        <f>IF(P33=1,N32,IF(P33=2,N31,IF(P33=3,N30,IF(P33=4,N29,IF(P33=5,N28,IF(P33=6,N27,IF(P33=7,N26,IF(P33=8,N25,IF(P33=9,N24,IF(P33=10,N23,IF(P33=11,N22,IF(P33=12,#REF!,IF(P33=13,#REF!,IF(P33=14,#REF!,IF(P33=15,#REF!,IF(P33=16,#REF!,IF(P33=17,N16,IF(P33=18,N15,IF(P33=19,N14,0)))))))))))))))))))</f>
        <v>0</v>
      </c>
      <c r="R33" s="505">
        <f t="shared" si="9"/>
        <v>1.7938282027769258E-3</v>
      </c>
      <c r="S33" s="483">
        <f t="shared" si="14"/>
        <v>1.0198512234675938E-3</v>
      </c>
      <c r="T33" s="483">
        <f t="shared" si="10"/>
        <v>-7.0949344053161667E-6</v>
      </c>
      <c r="U33" s="489">
        <f>((1+J33)/(V32-J33*(1+W32+X32+Y32+Z32+AA32+AB32+AC32+AD32+AE32+AF32)))-1</f>
        <v>4.6387225117034969E-3</v>
      </c>
      <c r="V33" s="488">
        <f t="shared" si="15"/>
        <v>1.0123070949517834</v>
      </c>
      <c r="W33" s="488">
        <f t="shared" si="11"/>
        <v>1.0046387225117035</v>
      </c>
      <c r="X33" s="488">
        <f t="shared" si="16"/>
        <v>1.0087551799098029</v>
      </c>
      <c r="Y33" s="488">
        <f t="shared" si="17"/>
        <v>1.0121928610246735</v>
      </c>
      <c r="Z33" s="488">
        <f t="shared" si="18"/>
        <v>1.0148464255352569</v>
      </c>
      <c r="AA33" s="488">
        <f t="shared" si="19"/>
        <v>1.0165755755516008</v>
      </c>
      <c r="AB33" s="488">
        <f t="shared" si="20"/>
        <v>1.0174868041656655</v>
      </c>
      <c r="AC33" s="488">
        <f t="shared" si="21"/>
        <v>1.017542257169556</v>
      </c>
      <c r="AD33" s="488">
        <f t="shared" si="22"/>
        <v>1.0169748005404837</v>
      </c>
      <c r="AE33" s="488">
        <f t="shared" si="23"/>
        <v>1.0158056157571556</v>
      </c>
      <c r="AF33" s="488">
        <f t="shared" si="24"/>
        <v>1.0143085212324199</v>
      </c>
      <c r="AG33" s="488">
        <f t="shared" ref="AG33:AG51" si="25">V33/V22</f>
        <v>1.0129527494119515</v>
      </c>
      <c r="AH33" s="488"/>
      <c r="AI33" s="488"/>
      <c r="AJ33" s="488"/>
      <c r="AK33" s="488"/>
      <c r="AL33" s="488"/>
      <c r="AM33" s="488"/>
      <c r="AN33" s="488"/>
      <c r="AO33" s="488"/>
      <c r="AP33" s="488"/>
      <c r="AQ33" s="488"/>
      <c r="AR33" s="488"/>
      <c r="AS33" s="488"/>
      <c r="AT33" s="488"/>
      <c r="AU33" s="488"/>
      <c r="AV33" s="488"/>
      <c r="AW33" s="488"/>
      <c r="AX33" s="488"/>
      <c r="AY33" s="488"/>
    </row>
    <row r="34" spans="3:51">
      <c r="C34" s="481">
        <v>13</v>
      </c>
      <c r="D34" s="509">
        <f>'Swap and Yield Curves'!D160</f>
        <v>0.13250000000000001</v>
      </c>
      <c r="E34" s="492">
        <f t="shared" si="0"/>
        <v>1</v>
      </c>
      <c r="F34" s="492">
        <f t="shared" si="1"/>
        <v>0</v>
      </c>
      <c r="G34" s="492">
        <f t="shared" si="2"/>
        <v>0</v>
      </c>
      <c r="H34" s="492">
        <f t="shared" si="3"/>
        <v>0.13250000000000001</v>
      </c>
      <c r="I34" s="459">
        <f t="shared" si="12"/>
        <v>13</v>
      </c>
      <c r="J34" s="482">
        <f t="shared" si="4"/>
        <v>1.3254389062500316E-3</v>
      </c>
      <c r="K34" s="491">
        <f t="shared" si="13"/>
        <v>1.3365478483016169E-3</v>
      </c>
      <c r="L34" s="494">
        <f t="shared" si="5"/>
        <v>1.3365478483016169E-3</v>
      </c>
      <c r="M34" s="483">
        <f>'All Curves'!AV27</f>
        <v>-3.6167361936428107E-4</v>
      </c>
      <c r="N34" s="483">
        <f t="shared" si="6"/>
        <v>1.698221467665898E-3</v>
      </c>
      <c r="O34" s="492">
        <f t="shared" si="7"/>
        <v>1</v>
      </c>
      <c r="P34" s="492">
        <f t="shared" si="8"/>
        <v>0</v>
      </c>
      <c r="Q34" s="492">
        <f>IF(P34=1,N33,IF(P34=2,N32,IF(P34=3,N31,IF(P34=4,N30,IF(P34=5,N29,IF(P34=6,N28,IF(P34=7,N27,IF(P34=8,N26,IF(P34=9,N25,IF(P34=10,N24,IF(P34=11,N23,IF(P34=12,N22,IF(P34=13,#REF!,IF(P34=14,#REF!,IF(P34=15,#REF!,IF(P34=16,#REF!,IF(P34=17,#REF!,IF(P34=18,N16,IF(P34=19,N15,0)))))))))))))))))))</f>
        <v>0</v>
      </c>
      <c r="R34" s="505">
        <f t="shared" si="9"/>
        <v>1.698221467665898E-3</v>
      </c>
      <c r="S34" s="483">
        <f t="shared" si="14"/>
        <v>1.3365478483016169E-3</v>
      </c>
      <c r="T34" s="483">
        <f t="shared" si="10"/>
        <v>-1.1108942051585302E-5</v>
      </c>
      <c r="U34" s="489">
        <f>((1+J34)/(V33-J34*(1+W33+X33+Y33+Z33+AA33+AB33+AC33+AD33+AE33+AF33+AG33)))-1</f>
        <v>5.1447315957373618E-3</v>
      </c>
      <c r="V34" s="488">
        <f t="shared" si="15"/>
        <v>1.0175151432477709</v>
      </c>
      <c r="W34" s="488">
        <f t="shared" si="11"/>
        <v>1.0051447315957374</v>
      </c>
      <c r="X34" s="488">
        <f t="shared" si="16"/>
        <v>1.0098073190897108</v>
      </c>
      <c r="Y34" s="488">
        <f t="shared" si="17"/>
        <v>1.0139449545562487</v>
      </c>
      <c r="Z34" s="488">
        <f t="shared" si="18"/>
        <v>1.0174003216177669</v>
      </c>
      <c r="AA34" s="488">
        <f t="shared" si="19"/>
        <v>1.0200675380055293</v>
      </c>
      <c r="AB34" s="488">
        <f t="shared" si="20"/>
        <v>1.0218055840345961</v>
      </c>
      <c r="AC34" s="488">
        <f t="shared" si="21"/>
        <v>1.0227215006753025</v>
      </c>
      <c r="AD34" s="488">
        <f t="shared" si="22"/>
        <v>1.022777238970014</v>
      </c>
      <c r="AE34" s="488">
        <f t="shared" si="23"/>
        <v>1.022206862928893</v>
      </c>
      <c r="AF34" s="488">
        <f t="shared" si="24"/>
        <v>1.0210316630036689</v>
      </c>
      <c r="AG34" s="488">
        <f t="shared" si="25"/>
        <v>1.0195268663294299</v>
      </c>
      <c r="AH34" s="488">
        <f t="shared" ref="AH34:AH51" si="26">V34/V22</f>
        <v>1.0181641194268403</v>
      </c>
      <c r="AI34" s="488"/>
      <c r="AJ34" s="488"/>
      <c r="AK34" s="488"/>
      <c r="AL34" s="488"/>
      <c r="AM34" s="488"/>
      <c r="AN34" s="488"/>
      <c r="AO34" s="488"/>
      <c r="AP34" s="488"/>
      <c r="AQ34" s="488"/>
      <c r="AR34" s="488"/>
      <c r="AS34" s="488"/>
      <c r="AT34" s="488"/>
      <c r="AU34" s="488"/>
      <c r="AV34" s="488"/>
      <c r="AW34" s="488"/>
      <c r="AX34" s="488"/>
      <c r="AY34" s="488"/>
    </row>
    <row r="35" spans="3:51">
      <c r="C35" s="481">
        <v>14</v>
      </c>
      <c r="D35" s="509">
        <f>'Swap and Yield Curves'!D161</f>
        <v>0.16500000000000001</v>
      </c>
      <c r="E35" s="492">
        <f t="shared" si="0"/>
        <v>1</v>
      </c>
      <c r="F35" s="492">
        <f t="shared" si="1"/>
        <v>0</v>
      </c>
      <c r="G35" s="492">
        <f t="shared" si="2"/>
        <v>0</v>
      </c>
      <c r="H35" s="492">
        <f t="shared" si="3"/>
        <v>0.16500000000000001</v>
      </c>
      <c r="I35" s="459">
        <f t="shared" si="12"/>
        <v>14</v>
      </c>
      <c r="J35" s="482">
        <f t="shared" si="4"/>
        <v>1.6506806250000672E-3</v>
      </c>
      <c r="K35" s="491">
        <f t="shared" si="13"/>
        <v>1.6671053815620063E-3</v>
      </c>
      <c r="L35" s="494">
        <f t="shared" si="5"/>
        <v>1.6671053815620063E-3</v>
      </c>
      <c r="M35" s="483">
        <f>'All Curves'!AV28</f>
        <v>6.877859702761422E-5</v>
      </c>
      <c r="N35" s="483">
        <f t="shared" si="6"/>
        <v>1.5983267845343921E-3</v>
      </c>
      <c r="O35" s="492">
        <f t="shared" si="7"/>
        <v>1</v>
      </c>
      <c r="P35" s="492">
        <f t="shared" si="8"/>
        <v>0</v>
      </c>
      <c r="Q35" s="492">
        <f>IF(P35=1,N34,IF(P35=2,N33,IF(P35=3,N32,IF(P35=4,N31,IF(P35=5,N30,IF(P35=6,N29,IF(P35=7,N28,IF(P35=8,N27,IF(P35=9,N26,IF(P35=10,N25,IF(P35=11,N24,IF(P35=12,N23,IF(P35=13,N22,IF(P35=14,#REF!,IF(P35=15,#REF!,IF(P35=16,#REF!,IF(P35=17,#REF!,IF(P35=18,#REF!,IF(P35=19,N16,0)))))))))))))))))))</f>
        <v>0</v>
      </c>
      <c r="R35" s="505">
        <f t="shared" si="9"/>
        <v>1.5983267845343921E-3</v>
      </c>
      <c r="S35" s="483">
        <f t="shared" si="14"/>
        <v>1.6671053815620063E-3</v>
      </c>
      <c r="T35" s="483">
        <f t="shared" si="10"/>
        <v>-1.6424756561939091E-5</v>
      </c>
      <c r="U35" s="489">
        <f>((1+J35)/(V34-J35*(1+W34+X34+Y34+Z34+AA34+AB34+AC34+AD34+AE34+AF34+AG34+AH34)))-1</f>
        <v>5.9742965798927905E-3</v>
      </c>
      <c r="V35" s="488">
        <f t="shared" si="15"/>
        <v>1.0235940804880652</v>
      </c>
      <c r="W35" s="488">
        <f t="shared" si="11"/>
        <v>1.0059742965798928</v>
      </c>
      <c r="X35" s="488">
        <f t="shared" si="16"/>
        <v>1.011149764328007</v>
      </c>
      <c r="Y35" s="488">
        <f t="shared" si="17"/>
        <v>1.015840207502499</v>
      </c>
      <c r="Z35" s="488">
        <f t="shared" si="18"/>
        <v>1.0200025624304536</v>
      </c>
      <c r="AA35" s="488">
        <f t="shared" si="19"/>
        <v>1.0234785728795899</v>
      </c>
      <c r="AB35" s="488">
        <f t="shared" si="20"/>
        <v>1.0261617240090954</v>
      </c>
      <c r="AC35" s="488">
        <f t="shared" si="21"/>
        <v>1.0279101536406094</v>
      </c>
      <c r="AD35" s="488">
        <f t="shared" si="22"/>
        <v>1.0288315422389698</v>
      </c>
      <c r="AE35" s="488">
        <f t="shared" si="23"/>
        <v>1.028887613530785</v>
      </c>
      <c r="AF35" s="488">
        <f t="shared" si="24"/>
        <v>1.028313829894032</v>
      </c>
      <c r="AG35" s="488">
        <f t="shared" si="25"/>
        <v>1.0271316089759139</v>
      </c>
      <c r="AH35" s="488">
        <f t="shared" si="26"/>
        <v>1.0256178222000507</v>
      </c>
      <c r="AI35" s="488">
        <f t="shared" ref="AI35:AI51" si="27">V35/V22</f>
        <v>1.0242469338433016</v>
      </c>
      <c r="AJ35" s="488"/>
      <c r="AK35" s="488"/>
      <c r="AL35" s="488"/>
      <c r="AM35" s="488"/>
      <c r="AN35" s="488"/>
      <c r="AO35" s="488"/>
      <c r="AP35" s="488"/>
      <c r="AQ35" s="488"/>
      <c r="AR35" s="488"/>
      <c r="AS35" s="488"/>
      <c r="AT35" s="488"/>
      <c r="AU35" s="488"/>
      <c r="AV35" s="488"/>
      <c r="AW35" s="488"/>
      <c r="AX35" s="488"/>
      <c r="AY35" s="488"/>
    </row>
    <row r="36" spans="3:51">
      <c r="C36" s="481">
        <v>15</v>
      </c>
      <c r="D36" s="509">
        <f>'Swap and Yield Curves'!D162</f>
        <v>0.19625000000000001</v>
      </c>
      <c r="E36" s="492">
        <f t="shared" si="0"/>
        <v>1</v>
      </c>
      <c r="F36" s="492">
        <f t="shared" si="1"/>
        <v>0</v>
      </c>
      <c r="G36" s="492">
        <f t="shared" si="2"/>
        <v>0</v>
      </c>
      <c r="H36" s="492">
        <f t="shared" si="3"/>
        <v>0.19625000000000001</v>
      </c>
      <c r="I36" s="459">
        <f t="shared" si="12"/>
        <v>15</v>
      </c>
      <c r="J36" s="482">
        <f t="shared" si="4"/>
        <v>1.9634628515623476E-3</v>
      </c>
      <c r="K36" s="491">
        <f t="shared" si="13"/>
        <v>1.9861278202282229E-3</v>
      </c>
      <c r="L36" s="494">
        <f t="shared" si="5"/>
        <v>1.9861278202282229E-3</v>
      </c>
      <c r="M36" s="483">
        <f>'All Curves'!AV29</f>
        <v>5.1351908972435559E-4</v>
      </c>
      <c r="N36" s="483">
        <f t="shared" si="6"/>
        <v>1.4726087305038673E-3</v>
      </c>
      <c r="O36" s="492">
        <f t="shared" si="7"/>
        <v>1</v>
      </c>
      <c r="P36" s="492">
        <f t="shared" si="8"/>
        <v>0</v>
      </c>
      <c r="Q36" s="492">
        <f>IF(P36=1,N35,IF(P36=2,N34,IF(P36=3,N33,IF(P36=4,N32,IF(P36=5,N31,IF(P36=6,N30,IF(P36=7,N29,IF(P36=8,N28,IF(P36=9,N27,IF(P36=10,N26,IF(P36=11,N25,IF(P36=12,N24,IF(P36=13,N23,IF(P36=14,N22,IF(P36=15,#REF!,IF(P36=16,#REF!,IF(P36=17,#REF!,IF(P36=18,#REF!,IF(P36=19,#REF!,0)))))))))))))))))))</f>
        <v>0</v>
      </c>
      <c r="R36" s="505">
        <f t="shared" si="9"/>
        <v>1.4726087305038673E-3</v>
      </c>
      <c r="S36" s="483">
        <f t="shared" si="14"/>
        <v>1.9861278202282229E-3</v>
      </c>
      <c r="T36" s="483">
        <f t="shared" si="10"/>
        <v>-2.2664968665875307E-5</v>
      </c>
      <c r="U36" s="489">
        <f>((1+J36)/(V35-J36*(1+W35+X35+Y35+Z35+AA35+AB35+AC35+AD35+AE35+AF35+AG35+AH35+AI35)))-1</f>
        <v>6.4631253222193763E-3</v>
      </c>
      <c r="V36" s="488">
        <f t="shared" si="15"/>
        <v>1.0302096973093415</v>
      </c>
      <c r="W36" s="488">
        <f t="shared" si="11"/>
        <v>1.0064631253222194</v>
      </c>
      <c r="X36" s="488">
        <f t="shared" si="16"/>
        <v>1.0124760345296202</v>
      </c>
      <c r="Y36" s="488">
        <f t="shared" si="17"/>
        <v>1.0176849519743916</v>
      </c>
      <c r="Z36" s="488">
        <f t="shared" si="18"/>
        <v>1.0224057100709372</v>
      </c>
      <c r="AA36" s="488">
        <f t="shared" si="19"/>
        <v>1.0265949668204266</v>
      </c>
      <c r="AB36" s="488">
        <f t="shared" si="20"/>
        <v>1.0300934431607169</v>
      </c>
      <c r="AC36" s="488">
        <f t="shared" si="21"/>
        <v>1.0327939358322311</v>
      </c>
      <c r="AD36" s="488">
        <f t="shared" si="22"/>
        <v>1.0345536657835706</v>
      </c>
      <c r="AE36" s="488">
        <f t="shared" si="23"/>
        <v>1.0354810094319125</v>
      </c>
      <c r="AF36" s="488">
        <f t="shared" si="24"/>
        <v>1.0355374431195137</v>
      </c>
      <c r="AG36" s="488">
        <f t="shared" si="25"/>
        <v>1.0349599510472085</v>
      </c>
      <c r="AH36" s="488">
        <f t="shared" si="26"/>
        <v>1.0337700892871382</v>
      </c>
      <c r="AI36" s="488">
        <f t="shared" si="27"/>
        <v>1.0322465187176315</v>
      </c>
      <c r="AJ36" s="488">
        <f t="shared" ref="AJ36:AJ51" si="28">V36/V22</f>
        <v>1.0308667701376297</v>
      </c>
      <c r="AK36" s="488"/>
      <c r="AL36" s="488"/>
      <c r="AM36" s="488"/>
      <c r="AN36" s="488"/>
      <c r="AO36" s="488"/>
      <c r="AP36" s="488"/>
      <c r="AQ36" s="488"/>
      <c r="AR36" s="488"/>
      <c r="AS36" s="488"/>
      <c r="AT36" s="488"/>
      <c r="AU36" s="488"/>
      <c r="AV36" s="488"/>
      <c r="AW36" s="488"/>
      <c r="AX36" s="488"/>
      <c r="AY36" s="488"/>
    </row>
    <row r="37" spans="3:51">
      <c r="C37" s="481">
        <v>16</v>
      </c>
      <c r="D37" s="509">
        <f>'Swap and Yield Curves'!D163</f>
        <v>0.21024999999999999</v>
      </c>
      <c r="E37" s="492">
        <f t="shared" si="0"/>
        <v>1</v>
      </c>
      <c r="F37" s="492">
        <f t="shared" si="1"/>
        <v>0</v>
      </c>
      <c r="G37" s="492">
        <f t="shared" si="2"/>
        <v>0</v>
      </c>
      <c r="H37" s="492">
        <f t="shared" si="3"/>
        <v>0.21024999999999999</v>
      </c>
      <c r="I37" s="459">
        <f t="shared" si="12"/>
        <v>16</v>
      </c>
      <c r="J37" s="482">
        <f t="shared" si="4"/>
        <v>2.1036051265623801E-3</v>
      </c>
      <c r="K37" s="491">
        <f t="shared" si="13"/>
        <v>2.1286569849212622E-3</v>
      </c>
      <c r="L37" s="494">
        <f t="shared" si="5"/>
        <v>2.1286569849212622E-3</v>
      </c>
      <c r="M37" s="483">
        <f>'All Curves'!AV30</f>
        <v>9.6932343414058656E-4</v>
      </c>
      <c r="N37" s="483">
        <f t="shared" si="6"/>
        <v>1.1593335507806756E-3</v>
      </c>
      <c r="O37" s="492">
        <f t="shared" si="7"/>
        <v>1</v>
      </c>
      <c r="P37" s="492">
        <f t="shared" si="8"/>
        <v>0</v>
      </c>
      <c r="Q37" s="492">
        <f>IF(P37=1,N36,IF(P37=2,N35,IF(P37=3,N34,IF(P37=4,N33,IF(P37=5,N32,IF(P37=6,N31,IF(P37=7,N30,IF(P37=8,N29,IF(P37=9,N28,IF(P37=10,N27,IF(P37=11,N26,IF(P37=12,N25,IF(P37=13,N24,IF(P37=14,N23,IF(P37=15,N22,IF(P37=16,#REF!,IF(P37=17,#REF!,IF(P37=18,#REF!,IF(P37=19,#REF!,0)))))))))))))))))))</f>
        <v>0</v>
      </c>
      <c r="R37" s="505">
        <f t="shared" si="9"/>
        <v>1.1593335507806756E-3</v>
      </c>
      <c r="S37" s="483">
        <f t="shared" si="14"/>
        <v>2.1286569849212622E-3</v>
      </c>
      <c r="T37" s="483">
        <f t="shared" si="10"/>
        <v>-2.5051858358882129E-5</v>
      </c>
      <c r="U37" s="489">
        <f>((1+J37)/(V36-J37*(1+W36+X36+Y36+Z36+AA36+AB36+AC36+AD36+AE36+AF36+AG36+AH36+AI36+AJ36)))-1</f>
        <v>4.269028986528145E-3</v>
      </c>
      <c r="V37" s="488">
        <f t="shared" si="15"/>
        <v>1.0346076923693575</v>
      </c>
      <c r="W37" s="488">
        <f t="shared" si="11"/>
        <v>1.0042690289865281</v>
      </c>
      <c r="X37" s="488">
        <f t="shared" si="16"/>
        <v>1.0107597455780917</v>
      </c>
      <c r="Y37" s="488">
        <f t="shared" si="17"/>
        <v>1.0167983240691922</v>
      </c>
      <c r="Z37" s="488">
        <f t="shared" si="18"/>
        <v>1.0220294785335238</v>
      </c>
      <c r="AA37" s="488">
        <f t="shared" si="19"/>
        <v>1.0267703896832219</v>
      </c>
      <c r="AB37" s="488">
        <f t="shared" si="20"/>
        <v>1.0309775304912068</v>
      </c>
      <c r="AC37" s="488">
        <f t="shared" si="21"/>
        <v>1.0344909419284025</v>
      </c>
      <c r="AD37" s="488">
        <f t="shared" si="22"/>
        <v>1.0372029630814092</v>
      </c>
      <c r="AE37" s="488">
        <f t="shared" si="23"/>
        <v>1.0389702053709193</v>
      </c>
      <c r="AF37" s="488">
        <f t="shared" si="24"/>
        <v>1.0399015078761766</v>
      </c>
      <c r="AG37" s="488">
        <f t="shared" si="25"/>
        <v>1.0399581824808259</v>
      </c>
      <c r="AH37" s="488">
        <f t="shared" si="26"/>
        <v>1.0393782250781249</v>
      </c>
      <c r="AI37" s="488">
        <f t="shared" si="27"/>
        <v>1.0381832837637108</v>
      </c>
      <c r="AJ37" s="488">
        <f t="shared" si="28"/>
        <v>1.0366532090272798</v>
      </c>
      <c r="AK37" s="496">
        <f t="shared" ref="AK37:AK51" si="29">V37/V22</f>
        <v>1.035267570260596</v>
      </c>
      <c r="AL37" s="488"/>
      <c r="AM37" s="488"/>
      <c r="AN37" s="488"/>
      <c r="AO37" s="488"/>
      <c r="AP37" s="488"/>
      <c r="AQ37" s="488"/>
      <c r="AR37" s="488"/>
      <c r="AS37" s="488"/>
      <c r="AT37" s="488"/>
      <c r="AU37" s="488"/>
      <c r="AV37" s="488"/>
      <c r="AW37" s="488"/>
      <c r="AX37" s="488"/>
      <c r="AY37" s="488"/>
    </row>
    <row r="38" spans="3:51">
      <c r="C38" s="481">
        <v>17</v>
      </c>
      <c r="D38" s="509"/>
      <c r="E38" s="492" t="str">
        <f t="shared" si="0"/>
        <v/>
      </c>
      <c r="F38" s="492">
        <f t="shared" si="1"/>
        <v>1</v>
      </c>
      <c r="G38" s="492">
        <f t="shared" si="2"/>
        <v>0.21024999999999999</v>
      </c>
      <c r="H38" s="492">
        <f t="shared" si="3"/>
        <v>0.23949999999999999</v>
      </c>
      <c r="I38" s="459">
        <f t="shared" si="12"/>
        <v>17</v>
      </c>
      <c r="J38" s="482">
        <f t="shared" si="4"/>
        <v>2.3964340062498923E-3</v>
      </c>
      <c r="K38" s="491">
        <f t="shared" si="13"/>
        <v>2.4291237341829142E-3</v>
      </c>
      <c r="L38" s="494" t="str">
        <f t="shared" si="5"/>
        <v/>
      </c>
      <c r="M38" s="483">
        <f>'All Curves'!AV31</f>
        <v>1.4334940320771968E-3</v>
      </c>
      <c r="N38" s="483" t="str">
        <f t="shared" si="6"/>
        <v/>
      </c>
      <c r="O38" s="492" t="str">
        <f t="shared" si="7"/>
        <v/>
      </c>
      <c r="P38" s="492">
        <f t="shared" si="8"/>
        <v>1</v>
      </c>
      <c r="Q38" s="492">
        <f>IF(P38=1,N37,IF(P38=2,N36,IF(P38=3,N35,IF(P38=4,N34,IF(P38=5,N33,IF(P38=6,N32,IF(P38=7,N31,IF(P38=8,N30,IF(P38=9,N29,IF(P38=10,N28,IF(P38=11,N27,IF(P38=12,N26,IF(P38=13,N25,IF(P38=14,N24,IF(P38=15,N23,IF(P38=16,N22,IF(P38=17,#REF!,IF(P38=18,#REF!,IF(P38=19,#REF!,0)))))))))))))))))))</f>
        <v>1.1593335507806756E-3</v>
      </c>
      <c r="R38" s="505">
        <f t="shared" si="9"/>
        <v>9.9325455402360656E-4</v>
      </c>
      <c r="S38" s="483">
        <f t="shared" si="14"/>
        <v>2.4267485861008036E-3</v>
      </c>
      <c r="T38" s="483">
        <f t="shared" si="10"/>
        <v>-3.2689727933021828E-5</v>
      </c>
      <c r="U38" s="489">
        <f>((1+J38)/(V37-J38*(1+W37+X37+Y37+Z37+AA37+AB37+AC37+AD37+AE37+AF37+AG37+AH37+AI37+AJ37+AK37)))-1</f>
        <v>7.2488621451951563E-3</v>
      </c>
      <c r="V38" s="488">
        <f t="shared" si="15"/>
        <v>1.0421074209057013</v>
      </c>
      <c r="W38" s="488">
        <f t="shared" si="11"/>
        <v>1.0072488621451952</v>
      </c>
      <c r="X38" s="488">
        <f t="shared" si="16"/>
        <v>1.0115488367343404</v>
      </c>
      <c r="Y38" s="488">
        <f t="shared" si="17"/>
        <v>1.0180866036356997</v>
      </c>
      <c r="Z38" s="488">
        <f t="shared" si="18"/>
        <v>1.0241689549498352</v>
      </c>
      <c r="AA38" s="488">
        <f t="shared" si="19"/>
        <v>1.0294380293317389</v>
      </c>
      <c r="AB38" s="488">
        <f t="shared" si="20"/>
        <v>1.0342133066928036</v>
      </c>
      <c r="AC38" s="488">
        <f t="shared" si="21"/>
        <v>1.0384509444845313</v>
      </c>
      <c r="AD38" s="488">
        <f t="shared" si="22"/>
        <v>1.0419898241568946</v>
      </c>
      <c r="AE38" s="488">
        <f t="shared" si="23"/>
        <v>1.0447215043773743</v>
      </c>
      <c r="AF38" s="488">
        <f t="shared" si="24"/>
        <v>1.0465015571626182</v>
      </c>
      <c r="AG38" s="488">
        <f t="shared" si="25"/>
        <v>1.0474396105513515</v>
      </c>
      <c r="AH38" s="488">
        <f t="shared" si="26"/>
        <v>1.047496695982397</v>
      </c>
      <c r="AI38" s="488">
        <f t="shared" si="27"/>
        <v>1.0469125345484336</v>
      </c>
      <c r="AJ38" s="488">
        <f t="shared" si="28"/>
        <v>1.0457089312691599</v>
      </c>
      <c r="AK38" s="488">
        <f t="shared" si="29"/>
        <v>1.0441677652318926</v>
      </c>
      <c r="AL38" s="488">
        <f t="shared" ref="AL38:AL51" si="30">V38/V22</f>
        <v>1.042772082160806</v>
      </c>
      <c r="AM38" s="488"/>
      <c r="AN38" s="488"/>
      <c r="AO38" s="488"/>
      <c r="AP38" s="488"/>
      <c r="AQ38" s="488"/>
      <c r="AR38" s="488"/>
      <c r="AS38" s="488"/>
      <c r="AT38" s="488"/>
      <c r="AU38" s="488"/>
      <c r="AV38" s="488"/>
      <c r="AW38" s="488"/>
      <c r="AX38" s="488"/>
      <c r="AY38" s="488"/>
    </row>
    <row r="39" spans="3:51">
      <c r="C39" s="481">
        <v>18</v>
      </c>
      <c r="D39" s="509">
        <f>'Swap and Yield Curves'!D165</f>
        <v>0.26874999999999999</v>
      </c>
      <c r="E39" s="492">
        <f t="shared" si="0"/>
        <v>1</v>
      </c>
      <c r="F39" s="492">
        <f t="shared" si="1"/>
        <v>0</v>
      </c>
      <c r="G39" s="492">
        <f t="shared" si="2"/>
        <v>0</v>
      </c>
      <c r="H39" s="492">
        <f t="shared" si="3"/>
        <v>0.26874999999999999</v>
      </c>
      <c r="I39" s="459">
        <f t="shared" si="12"/>
        <v>18</v>
      </c>
      <c r="J39" s="482">
        <f t="shared" si="4"/>
        <v>2.6893056640624469E-3</v>
      </c>
      <c r="K39" s="491">
        <f t="shared" si="13"/>
        <v>2.7309455910613512E-3</v>
      </c>
      <c r="L39" s="494">
        <f t="shared" si="5"/>
        <v>2.7309455910613512E-3</v>
      </c>
      <c r="M39" s="483">
        <f>'All Curves'!AV32</f>
        <v>1.9037700337948137E-3</v>
      </c>
      <c r="N39" s="483">
        <f t="shared" si="6"/>
        <v>8.2717555726653747E-4</v>
      </c>
      <c r="O39" s="492">
        <f t="shared" si="7"/>
        <v>1</v>
      </c>
      <c r="P39" s="492">
        <f t="shared" si="8"/>
        <v>0</v>
      </c>
      <c r="Q39" s="492">
        <f>IF(P39=1,N38,IF(P39=2,N37,IF(P39=3,N36,IF(P39=4,N35,IF(P39=5,N34,IF(P39=6,N33,IF(P39=7,N32,IF(P39=8,N31,IF(P39=9,N30,IF(P39=10,N29,IF(P39=11,N28,IF(P39=12,N27,IF(P39=13,N26,IF(P39=14,N25,IF(P39=15,N24,IF(P39=16,N23,IF(P39=17,N22,IF(P39=18,#REF!,IF(P39=19,#REF!,0)))))))))))))))))))</f>
        <v>0</v>
      </c>
      <c r="R39" s="505">
        <f t="shared" si="9"/>
        <v>8.2717555726653747E-4</v>
      </c>
      <c r="S39" s="483">
        <f t="shared" si="14"/>
        <v>2.7309455910613512E-3</v>
      </c>
      <c r="T39" s="483">
        <f t="shared" si="10"/>
        <v>-4.1639926998904286E-5</v>
      </c>
      <c r="U39" s="489">
        <f>((1+J39)/(V38-J39*(1+W38+X38+Y38+Z38+AA38+AB38+AC38+AD38+AE38+AF38+AG38+AH38+AI38+AJ38+AK38+AL38)))-1</f>
        <v>7.8758434902632679E-3</v>
      </c>
      <c r="V39" s="488">
        <f t="shared" si="15"/>
        <v>1.0503148958527966</v>
      </c>
      <c r="W39" s="488">
        <f t="shared" si="11"/>
        <v>1.0078758434902633</v>
      </c>
      <c r="X39" s="488">
        <f t="shared" si="16"/>
        <v>1.0151817965391965</v>
      </c>
      <c r="Y39" s="488">
        <f t="shared" si="17"/>
        <v>1.0195156370552179</v>
      </c>
      <c r="Z39" s="488">
        <f t="shared" si="18"/>
        <v>1.0261048943854683</v>
      </c>
      <c r="AA39" s="488">
        <f t="shared" si="19"/>
        <v>1.0322351493466067</v>
      </c>
      <c r="AB39" s="488">
        <f t="shared" si="20"/>
        <v>1.0375457221336808</v>
      </c>
      <c r="AC39" s="488">
        <f t="shared" si="21"/>
        <v>1.0423586088318639</v>
      </c>
      <c r="AD39" s="488">
        <f t="shared" si="22"/>
        <v>1.0466296215956075</v>
      </c>
      <c r="AE39" s="488">
        <f t="shared" si="23"/>
        <v>1.0501963729304011</v>
      </c>
      <c r="AF39" s="488">
        <f t="shared" si="24"/>
        <v>1.0529495674367628</v>
      </c>
      <c r="AG39" s="488">
        <f t="shared" si="25"/>
        <v>1.0547436396391479</v>
      </c>
      <c r="AH39" s="488">
        <f t="shared" si="26"/>
        <v>1.0556890809895565</v>
      </c>
      <c r="AI39" s="488">
        <f t="shared" si="27"/>
        <v>1.0557466160165223</v>
      </c>
      <c r="AJ39" s="488">
        <f t="shared" si="28"/>
        <v>1.055157853818532</v>
      </c>
      <c r="AK39" s="488">
        <f t="shared" si="29"/>
        <v>1.0539447711482062</v>
      </c>
      <c r="AL39" s="488">
        <f t="shared" si="30"/>
        <v>1.0523914671284369</v>
      </c>
      <c r="AM39" s="488">
        <f t="shared" ref="AM39:AM51" si="31">V39/V22</f>
        <v>1.0509847918759205</v>
      </c>
      <c r="AN39" s="488"/>
      <c r="AO39" s="488"/>
      <c r="AP39" s="488"/>
      <c r="AQ39" s="488"/>
      <c r="AR39" s="488"/>
      <c r="AS39" s="488"/>
      <c r="AT39" s="488"/>
      <c r="AU39" s="488"/>
      <c r="AV39" s="488"/>
      <c r="AW39" s="488"/>
      <c r="AX39" s="488"/>
      <c r="AY39" s="488"/>
    </row>
    <row r="40" spans="3:51">
      <c r="C40" s="481">
        <v>19</v>
      </c>
      <c r="D40" s="509">
        <f>'Swap and Yield Curves'!D166</f>
        <v>0.27975</v>
      </c>
      <c r="E40" s="492">
        <f t="shared" si="0"/>
        <v>1</v>
      </c>
      <c r="F40" s="492">
        <f t="shared" si="1"/>
        <v>0</v>
      </c>
      <c r="G40" s="492">
        <f t="shared" si="2"/>
        <v>0</v>
      </c>
      <c r="H40" s="492">
        <f t="shared" si="3"/>
        <v>0.27975</v>
      </c>
      <c r="I40" s="459">
        <f t="shared" si="12"/>
        <v>19</v>
      </c>
      <c r="J40" s="482">
        <f t="shared" si="4"/>
        <v>2.7994565015623252E-3</v>
      </c>
      <c r="K40" s="491">
        <f t="shared" si="13"/>
        <v>2.843431299095478E-3</v>
      </c>
      <c r="L40" s="494">
        <f t="shared" si="5"/>
        <v>2.843431299095478E-3</v>
      </c>
      <c r="M40" s="483">
        <f>'All Curves'!AV33</f>
        <v>2.378253110282098E-3</v>
      </c>
      <c r="N40" s="483">
        <f t="shared" si="6"/>
        <v>4.6517818881337998E-4</v>
      </c>
      <c r="O40" s="492">
        <f t="shared" si="7"/>
        <v>1</v>
      </c>
      <c r="P40" s="492">
        <f t="shared" si="8"/>
        <v>0</v>
      </c>
      <c r="Q40" s="492">
        <f>IF(P40=1,N39,IF(P40=2,N38,IF(P40=3,N37,IF(P40=4,N36,IF(P40=5,N35,IF(P40=6,N34,IF(P40=7,N33,IF(P40=8,N32,IF(P40=9,N31,IF(P40=10,N30,IF(P40=11,N29,IF(P40=12,N28,IF(P40=13,N27,IF(P40=14,N26,IF(P40=15,N25,IF(P40=16,N24,IF(P40=17,N23,IF(P40=18,N22,IF(P40=19,#REF!,0)))))))))))))))))))</f>
        <v>0</v>
      </c>
      <c r="R40" s="505">
        <f t="shared" si="9"/>
        <v>4.6517818881337998E-4</v>
      </c>
      <c r="S40" s="483">
        <f t="shared" si="14"/>
        <v>2.843431299095478E-3</v>
      </c>
      <c r="T40" s="483">
        <f t="shared" si="10"/>
        <v>-4.397479753315281E-5</v>
      </c>
      <c r="U40" s="489">
        <f>((1+J40)/(V39-J40*(1+W39+X39+Y39+Z39+AA39+AB39+AC39+AD39+AE39+AF39+AG39+AH39+AI39+AJ39+AK39+AL39+AM39)))-1</f>
        <v>4.8703331921180482E-3</v>
      </c>
      <c r="V40" s="488">
        <f t="shared" si="15"/>
        <v>1.0554302793522445</v>
      </c>
      <c r="W40" s="488">
        <f t="shared" si="11"/>
        <v>1.004870333192118</v>
      </c>
      <c r="X40" s="488">
        <f t="shared" si="16"/>
        <v>1.012784534664348</v>
      </c>
      <c r="Y40" s="488">
        <f t="shared" si="17"/>
        <v>1.0201260701389154</v>
      </c>
      <c r="Z40" s="488">
        <f t="shared" si="18"/>
        <v>1.0244810179022514</v>
      </c>
      <c r="AA40" s="488">
        <f t="shared" si="19"/>
        <v>1.0311023671111885</v>
      </c>
      <c r="AB40" s="488">
        <f t="shared" si="20"/>
        <v>1.0372624784565403</v>
      </c>
      <c r="AC40" s="488">
        <f t="shared" si="21"/>
        <v>1.0425989155025286</v>
      </c>
      <c r="AD40" s="488">
        <f t="shared" si="22"/>
        <v>1.0474352425625477</v>
      </c>
      <c r="AE40" s="488">
        <f t="shared" si="23"/>
        <v>1.0517270565815187</v>
      </c>
      <c r="AF40" s="488">
        <f t="shared" si="24"/>
        <v>1.0553111791837262</v>
      </c>
      <c r="AG40" s="488">
        <f t="shared" si="25"/>
        <v>1.0580777826646766</v>
      </c>
      <c r="AH40" s="488">
        <f t="shared" si="26"/>
        <v>1.0598805925964578</v>
      </c>
      <c r="AI40" s="488">
        <f t="shared" si="27"/>
        <v>1.0608306385612565</v>
      </c>
      <c r="AJ40" s="488">
        <f t="shared" si="28"/>
        <v>1.0608884538029741</v>
      </c>
      <c r="AK40" s="488">
        <f t="shared" si="29"/>
        <v>1.0602968241369086</v>
      </c>
      <c r="AL40" s="488">
        <f t="shared" si="30"/>
        <v>1.0590778333497888</v>
      </c>
      <c r="AM40" s="488">
        <f t="shared" si="31"/>
        <v>1.0575169642218945</v>
      </c>
      <c r="AN40" s="488">
        <f t="shared" ref="AN40:AN51" si="32">V40/V22</f>
        <v>1.0561034379922052</v>
      </c>
      <c r="AO40" s="488"/>
      <c r="AP40" s="488"/>
      <c r="AQ40" s="488"/>
      <c r="AR40" s="488"/>
      <c r="AS40" s="488"/>
      <c r="AT40" s="488"/>
      <c r="AU40" s="488"/>
      <c r="AV40" s="488"/>
      <c r="AW40" s="488"/>
      <c r="AX40" s="488"/>
      <c r="AY40" s="488"/>
    </row>
    <row r="41" spans="3:51">
      <c r="C41" s="481">
        <v>20</v>
      </c>
      <c r="D41" s="509">
        <f>'Swap and Yield Curves'!D167</f>
        <v>0.3175</v>
      </c>
      <c r="E41" s="492">
        <f t="shared" si="0"/>
        <v>1</v>
      </c>
      <c r="F41" s="492">
        <f t="shared" si="1"/>
        <v>0</v>
      </c>
      <c r="G41" s="492">
        <f t="shared" si="2"/>
        <v>0</v>
      </c>
      <c r="H41" s="492">
        <f t="shared" si="3"/>
        <v>0.3175</v>
      </c>
      <c r="I41" s="459">
        <f t="shared" si="12"/>
        <v>20</v>
      </c>
      <c r="J41" s="482">
        <f t="shared" si="4"/>
        <v>3.1775201562500577E-3</v>
      </c>
      <c r="K41" s="491">
        <f t="shared" si="13"/>
        <v>3.2369764368298526E-3</v>
      </c>
      <c r="L41" s="494">
        <f t="shared" si="5"/>
        <v>3.2369764368298526E-3</v>
      </c>
      <c r="M41" s="483">
        <f>'All Curves'!AV34</f>
        <v>2.8553462732254717E-3</v>
      </c>
      <c r="N41" s="483">
        <f t="shared" si="6"/>
        <v>3.816301636043809E-4</v>
      </c>
      <c r="O41" s="492">
        <f t="shared" si="7"/>
        <v>1</v>
      </c>
      <c r="P41" s="492">
        <f t="shared" si="8"/>
        <v>0</v>
      </c>
      <c r="Q41" s="492">
        <f t="shared" ref="Q41:Q51" si="33">IF(P41=1,N40,IF(P41=2,N39,IF(P41=3,N38,IF(P41=4,N37,IF(P41=5,N36,IF(P41=6,N35,IF(P41=7,N34,IF(P41=8,N33,IF(P41=9,N32,IF(P41=10,N31,IF(P41=11,N30,IF(P41=12,N29,IF(P41=13,N28,IF(P41=14,N27,IF(P41=15,N26,IF(P41=16,N25,IF(P41=17,N24,IF(P41=18,N23,IF(P41=19,N22,0)))))))))))))))))))</f>
        <v>0</v>
      </c>
      <c r="R41" s="505">
        <f t="shared" si="9"/>
        <v>3.816301636043809E-4</v>
      </c>
      <c r="S41" s="483">
        <f t="shared" si="14"/>
        <v>3.2369764368298526E-3</v>
      </c>
      <c r="T41" s="483">
        <f t="shared" si="10"/>
        <v>-5.9456280579794907E-5</v>
      </c>
      <c r="U41" s="489">
        <f>((1+J41)/(V40-J41*(1+W40+X40+Y40+Z40+AA40+AB40+AC40+AD40+AE40+AF40+AG40+AH40+AI40+AJ40+AK40+AL40+AM40+AN40)))-1</f>
        <v>1.0743746601836079E-2</v>
      </c>
      <c r="V41" s="488">
        <f t="shared" si="15"/>
        <v>1.0667695548295102</v>
      </c>
      <c r="W41" s="488">
        <f t="shared" si="11"/>
        <v>1.0107437466018361</v>
      </c>
      <c r="X41" s="488">
        <f t="shared" si="16"/>
        <v>1.0156664054196369</v>
      </c>
      <c r="Y41" s="488">
        <f t="shared" si="17"/>
        <v>1.0236656350670403</v>
      </c>
      <c r="Z41" s="488">
        <f t="shared" si="18"/>
        <v>1.0310860461384148</v>
      </c>
      <c r="AA41" s="488">
        <f t="shared" si="19"/>
        <v>1.0354877823569844</v>
      </c>
      <c r="AB41" s="488">
        <f t="shared" si="20"/>
        <v>1.0421802696639846</v>
      </c>
      <c r="AC41" s="488">
        <f t="shared" si="21"/>
        <v>1.04840656368467</v>
      </c>
      <c r="AD41" s="488">
        <f t="shared" si="22"/>
        <v>1.0538003340580369</v>
      </c>
      <c r="AE41" s="488">
        <f t="shared" si="23"/>
        <v>1.0586886213904725</v>
      </c>
      <c r="AF41" s="488">
        <f t="shared" si="24"/>
        <v>1.0630265455717256</v>
      </c>
      <c r="AG41" s="488">
        <f t="shared" si="25"/>
        <v>1.0666491750789611</v>
      </c>
      <c r="AH41" s="488">
        <f t="shared" si="26"/>
        <v>1.0694455022466585</v>
      </c>
      <c r="AI41" s="488">
        <f t="shared" si="27"/>
        <v>1.071267681111518</v>
      </c>
      <c r="AJ41" s="488">
        <f t="shared" si="28"/>
        <v>1.0722279341294227</v>
      </c>
      <c r="AK41" s="488">
        <f t="shared" si="29"/>
        <v>1.0722863705234469</v>
      </c>
      <c r="AL41" s="488">
        <f t="shared" si="30"/>
        <v>1.0716883845381671</v>
      </c>
      <c r="AM41" s="488">
        <f t="shared" si="31"/>
        <v>1.0704562972229206</v>
      </c>
      <c r="AN41" s="488">
        <f t="shared" si="32"/>
        <v>1.0688786585126375</v>
      </c>
      <c r="AO41" s="488">
        <f t="shared" ref="AO41:AO51" si="34">V41/V22</f>
        <v>1.0674499457153215</v>
      </c>
      <c r="AP41" s="488"/>
      <c r="AQ41" s="488"/>
      <c r="AR41" s="488"/>
      <c r="AS41" s="488"/>
      <c r="AT41" s="488"/>
      <c r="AU41" s="488"/>
      <c r="AV41" s="488"/>
      <c r="AW41" s="488"/>
      <c r="AX41" s="488"/>
      <c r="AY41" s="488"/>
    </row>
    <row r="42" spans="3:51">
      <c r="C42" s="481">
        <v>21</v>
      </c>
      <c r="D42" s="509"/>
      <c r="E42" s="492" t="str">
        <f t="shared" si="0"/>
        <v/>
      </c>
      <c r="F42" s="492">
        <f t="shared" si="1"/>
        <v>1</v>
      </c>
      <c r="G42" s="492">
        <f t="shared" si="2"/>
        <v>0.3175</v>
      </c>
      <c r="H42" s="492">
        <f t="shared" si="3"/>
        <v>0.33175000000000004</v>
      </c>
      <c r="I42" s="459">
        <f t="shared" si="12"/>
        <v>21</v>
      </c>
      <c r="J42" s="482">
        <f t="shared" si="4"/>
        <v>3.3202514515626724E-3</v>
      </c>
      <c r="K42" s="491">
        <f t="shared" si="13"/>
        <v>3.3844505379736489E-3</v>
      </c>
      <c r="L42" s="494" t="str">
        <f t="shared" si="5"/>
        <v/>
      </c>
      <c r="M42" s="483">
        <f>'All Curves'!AV35</f>
        <v>3.3337034339116132E-3</v>
      </c>
      <c r="N42" s="483" t="str">
        <f t="shared" si="6"/>
        <v/>
      </c>
      <c r="O42" s="492" t="str">
        <f t="shared" si="7"/>
        <v/>
      </c>
      <c r="P42" s="492">
        <f t="shared" si="8"/>
        <v>1</v>
      </c>
      <c r="Q42" s="492">
        <f t="shared" si="33"/>
        <v>3.816301636043809E-4</v>
      </c>
      <c r="R42" s="505">
        <f t="shared" si="9"/>
        <v>5.3350170233845869E-5</v>
      </c>
      <c r="S42" s="483">
        <f t="shared" si="14"/>
        <v>3.387053604145459E-3</v>
      </c>
      <c r="T42" s="483">
        <f t="shared" si="10"/>
        <v>-6.4199086410976491E-5</v>
      </c>
      <c r="U42" s="489">
        <f>((1+J42)/(V41-J42*(1+W41+X41+Y41+Z41+AA41+AB41+AC41+AD41+AE41+AF41+AG41+AH41+AI41+AJ41+AK41+AL41+AM41+AN41+AO41)))-1</f>
        <v>6.3384892739180021E-3</v>
      </c>
      <c r="V42" s="488">
        <f t="shared" si="15"/>
        <v>1.0735312622105393</v>
      </c>
      <c r="W42" s="488">
        <f t="shared" si="11"/>
        <v>1.006338489273918</v>
      </c>
      <c r="X42" s="488">
        <f t="shared" si="16"/>
        <v>1.0171503349983515</v>
      </c>
      <c r="Y42" s="488">
        <f t="shared" si="17"/>
        <v>1.022104196036268</v>
      </c>
      <c r="Z42" s="488">
        <f t="shared" si="18"/>
        <v>1.0301541287149911</v>
      </c>
      <c r="AA42" s="488">
        <f t="shared" si="19"/>
        <v>1.0376215739823496</v>
      </c>
      <c r="AB42" s="488">
        <f t="shared" si="20"/>
        <v>1.0420512105587272</v>
      </c>
      <c r="AC42" s="488">
        <f t="shared" si="21"/>
        <v>1.0487861181247387</v>
      </c>
      <c r="AD42" s="488">
        <f t="shared" si="22"/>
        <v>1.0550518774432904</v>
      </c>
      <c r="AE42" s="488">
        <f t="shared" si="23"/>
        <v>1.0604798361723149</v>
      </c>
      <c r="AF42" s="488">
        <f t="shared" si="24"/>
        <v>1.065399107861575</v>
      </c>
      <c r="AG42" s="488">
        <f t="shared" si="25"/>
        <v>1.069764527928722</v>
      </c>
      <c r="AH42" s="488">
        <f t="shared" si="26"/>
        <v>1.0734101194342325</v>
      </c>
      <c r="AI42" s="488">
        <f t="shared" si="27"/>
        <v>1.0762241710916887</v>
      </c>
      <c r="AJ42" s="488">
        <f t="shared" si="28"/>
        <v>1.0780578998177386</v>
      </c>
      <c r="AK42" s="488">
        <f t="shared" si="29"/>
        <v>1.0790242393890972</v>
      </c>
      <c r="AL42" s="488">
        <f t="shared" si="30"/>
        <v>1.0790830461815784</v>
      </c>
      <c r="AM42" s="488">
        <f t="shared" si="31"/>
        <v>1.0784812698685449</v>
      </c>
      <c r="AN42" s="488">
        <f t="shared" si="32"/>
        <v>1.0772413729810659</v>
      </c>
      <c r="AO42" s="488">
        <f t="shared" si="34"/>
        <v>1.0756537344247397</v>
      </c>
      <c r="AP42" s="488">
        <f t="shared" ref="AP42:AP51" si="35">V42/V22</f>
        <v>1.0742159657466823</v>
      </c>
      <c r="AQ42" s="488"/>
      <c r="AR42" s="488"/>
      <c r="AS42" s="488"/>
      <c r="AT42" s="488"/>
      <c r="AU42" s="488"/>
      <c r="AV42" s="488"/>
      <c r="AW42" s="488"/>
      <c r="AX42" s="488"/>
      <c r="AY42" s="488"/>
    </row>
    <row r="43" spans="3:51">
      <c r="C43" s="481">
        <v>22</v>
      </c>
      <c r="D43" s="509"/>
      <c r="E43" s="492" t="str">
        <f t="shared" si="0"/>
        <v/>
      </c>
      <c r="F43" s="492">
        <f t="shared" si="1"/>
        <v>2</v>
      </c>
      <c r="G43" s="492">
        <f t="shared" si="2"/>
        <v>0.3175</v>
      </c>
      <c r="H43" s="492">
        <f t="shared" si="3"/>
        <v>0.34600000000000003</v>
      </c>
      <c r="I43" s="459">
        <f t="shared" si="12"/>
        <v>22</v>
      </c>
      <c r="J43" s="482">
        <f t="shared" si="4"/>
        <v>3.4629929000000725E-3</v>
      </c>
      <c r="K43" s="491">
        <f t="shared" si="13"/>
        <v>3.5324367335454188E-3</v>
      </c>
      <c r="L43" s="494" t="str">
        <f t="shared" si="5"/>
        <v/>
      </c>
      <c r="M43" s="483">
        <f>'All Curves'!AV36</f>
        <v>3.8121877994715817E-3</v>
      </c>
      <c r="N43" s="483" t="str">
        <f t="shared" si="6"/>
        <v/>
      </c>
      <c r="O43" s="492" t="str">
        <f t="shared" si="7"/>
        <v/>
      </c>
      <c r="P43" s="492">
        <f t="shared" si="8"/>
        <v>2</v>
      </c>
      <c r="Q43" s="492">
        <f t="shared" si="33"/>
        <v>3.816301636043809E-4</v>
      </c>
      <c r="R43" s="505">
        <f t="shared" si="9"/>
        <v>-2.7492982313668916E-4</v>
      </c>
      <c r="S43" s="483">
        <f t="shared" si="14"/>
        <v>3.5372579763348925E-3</v>
      </c>
      <c r="T43" s="483">
        <f t="shared" si="10"/>
        <v>-6.9443833545346223E-5</v>
      </c>
      <c r="U43" s="489">
        <f>((1+J43)/(V42-J43*(1+W42+X42+Y42+Z42+AA42+AB42+AC42+AD42+AE42+AF42+AG42+AH42+AI42+AJ42+AK42+AL42+AM42+AN42+AO42+AP42)))-1</f>
        <v>6.6451936177520654E-3</v>
      </c>
      <c r="V43" s="488">
        <f t="shared" si="15"/>
        <v>1.0806650853026381</v>
      </c>
      <c r="W43" s="488">
        <f t="shared" si="11"/>
        <v>1.0066451936177521</v>
      </c>
      <c r="X43" s="488">
        <f t="shared" si="16"/>
        <v>1.0130258033801391</v>
      </c>
      <c r="Y43" s="488">
        <f t="shared" si="17"/>
        <v>1.023909495912777</v>
      </c>
      <c r="Z43" s="488">
        <f t="shared" si="18"/>
        <v>1.0288962763164458</v>
      </c>
      <c r="AA43" s="488">
        <f t="shared" si="19"/>
        <v>1.036999702356429</v>
      </c>
      <c r="AB43" s="488">
        <f t="shared" si="20"/>
        <v>1.044516770243419</v>
      </c>
      <c r="AC43" s="488">
        <f t="shared" si="21"/>
        <v>1.0489758426125029</v>
      </c>
      <c r="AD43" s="488">
        <f t="shared" si="22"/>
        <v>1.0557555049432881</v>
      </c>
      <c r="AE43" s="488">
        <f t="shared" si="23"/>
        <v>1.0620629014456739</v>
      </c>
      <c r="AF43" s="488">
        <f t="shared" si="24"/>
        <v>1.0675269300114019</v>
      </c>
      <c r="AG43" s="488">
        <f t="shared" si="25"/>
        <v>1.0724788912134955</v>
      </c>
      <c r="AH43" s="488">
        <f t="shared" si="26"/>
        <v>1.0768733203422114</v>
      </c>
      <c r="AI43" s="488">
        <f t="shared" si="27"/>
        <v>1.0805431375091272</v>
      </c>
      <c r="AJ43" s="488">
        <f t="shared" si="28"/>
        <v>1.0833758890846976</v>
      </c>
      <c r="AK43" s="488">
        <f t="shared" si="29"/>
        <v>1.0852218032931744</v>
      </c>
      <c r="AL43" s="488">
        <f t="shared" si="30"/>
        <v>1.0861945643780855</v>
      </c>
      <c r="AM43" s="488">
        <f t="shared" si="31"/>
        <v>1.0862537619530885</v>
      </c>
      <c r="AN43" s="488">
        <f t="shared" si="32"/>
        <v>1.0856479867199404</v>
      </c>
      <c r="AO43" s="488">
        <f t="shared" si="34"/>
        <v>1.084399850477578</v>
      </c>
      <c r="AP43" s="488">
        <f t="shared" si="35"/>
        <v>1.0828016617556502</v>
      </c>
      <c r="AQ43" s="488">
        <f t="shared" ref="AQ43:AQ51" si="36">V43/V22</f>
        <v>1.0813543388263496</v>
      </c>
      <c r="AR43" s="488"/>
      <c r="AS43" s="488"/>
      <c r="AT43" s="488"/>
      <c r="AU43" s="488"/>
      <c r="AV43" s="488"/>
      <c r="AW43" s="488"/>
      <c r="AX43" s="488"/>
      <c r="AY43" s="488"/>
    </row>
    <row r="44" spans="3:51">
      <c r="C44" s="481">
        <v>23</v>
      </c>
      <c r="D44" s="509"/>
      <c r="E44" s="492" t="str">
        <f t="shared" si="0"/>
        <v/>
      </c>
      <c r="F44" s="492">
        <f t="shared" si="1"/>
        <v>3</v>
      </c>
      <c r="G44" s="492">
        <f t="shared" si="2"/>
        <v>0.3175</v>
      </c>
      <c r="H44" s="492">
        <f t="shared" si="3"/>
        <v>0.36025000000000001</v>
      </c>
      <c r="I44" s="459">
        <f t="shared" si="12"/>
        <v>23</v>
      </c>
      <c r="J44" s="482">
        <f t="shared" si="4"/>
        <v>3.6057445015624801E-3</v>
      </c>
      <c r="K44" s="491">
        <f t="shared" si="13"/>
        <v>3.6809603322285334E-3</v>
      </c>
      <c r="L44" s="494" t="str">
        <f t="shared" si="5"/>
        <v/>
      </c>
      <c r="M44" s="483">
        <f>'All Curves'!AV37</f>
        <v>4.2898375406107293E-3</v>
      </c>
      <c r="N44" s="483" t="str">
        <f t="shared" si="6"/>
        <v/>
      </c>
      <c r="O44" s="492" t="str">
        <f t="shared" si="7"/>
        <v/>
      </c>
      <c r="P44" s="492">
        <f t="shared" si="8"/>
        <v>3</v>
      </c>
      <c r="Q44" s="492">
        <f t="shared" si="33"/>
        <v>3.816301636043809E-4</v>
      </c>
      <c r="R44" s="505">
        <f t="shared" si="9"/>
        <v>-6.032098165072242E-4</v>
      </c>
      <c r="S44" s="483">
        <f t="shared" si="14"/>
        <v>3.6866277241035051E-3</v>
      </c>
      <c r="T44" s="483">
        <f t="shared" si="10"/>
        <v>-7.5215830666053307E-5</v>
      </c>
      <c r="U44" s="489">
        <f>((1+J44)/(V43-J44*(1+W43+X43+Y43+Z43+AA43+AB43+AC43+AD43+AE43+AF43+AG43+AH43+AI43+AJ43+AK43+AL43+AM43+AN43+AO43+AP43+AQ43)))-1</f>
        <v>6.9540466166224668E-3</v>
      </c>
      <c r="V44" s="488">
        <f t="shared" si="15"/>
        <v>1.0881800806827888</v>
      </c>
      <c r="W44" s="488">
        <f t="shared" si="11"/>
        <v>1.0069540466166225</v>
      </c>
      <c r="X44" s="488">
        <f t="shared" si="16"/>
        <v>1.0136454512205688</v>
      </c>
      <c r="Y44" s="488">
        <f t="shared" si="17"/>
        <v>1.0200704320406861</v>
      </c>
      <c r="Z44" s="488">
        <f t="shared" si="18"/>
        <v>1.0310298102785567</v>
      </c>
      <c r="AA44" s="488">
        <f t="shared" si="19"/>
        <v>1.0360512689856196</v>
      </c>
      <c r="AB44" s="488">
        <f t="shared" si="20"/>
        <v>1.044211046628039</v>
      </c>
      <c r="AC44" s="488">
        <f t="shared" si="21"/>
        <v>1.0517803885555357</v>
      </c>
      <c r="AD44" s="488">
        <f t="shared" si="22"/>
        <v>1.0562704695217409</v>
      </c>
      <c r="AE44" s="488">
        <f t="shared" si="23"/>
        <v>1.0630972779404195</v>
      </c>
      <c r="AF44" s="488">
        <f t="shared" si="24"/>
        <v>1.0694485363721122</v>
      </c>
      <c r="AG44" s="488">
        <f t="shared" si="25"/>
        <v>1.0749505620472011</v>
      </c>
      <c r="AH44" s="488">
        <f t="shared" si="26"/>
        <v>1.0799369594183377</v>
      </c>
      <c r="AI44" s="488">
        <f t="shared" si="27"/>
        <v>1.0843619476120681</v>
      </c>
      <c r="AJ44" s="488">
        <f t="shared" si="28"/>
        <v>1.0880572848586372</v>
      </c>
      <c r="AK44" s="488">
        <f t="shared" si="29"/>
        <v>1.0909097355207173</v>
      </c>
      <c r="AL44" s="488">
        <f t="shared" si="30"/>
        <v>1.0927684863026503</v>
      </c>
      <c r="AM44" s="488">
        <f t="shared" si="31"/>
        <v>1.0937480120134924</v>
      </c>
      <c r="AN44" s="488">
        <f t="shared" si="32"/>
        <v>1.0938076212511918</v>
      </c>
      <c r="AO44" s="488">
        <f t="shared" si="34"/>
        <v>1.0931976334288331</v>
      </c>
      <c r="AP44" s="488">
        <f t="shared" si="35"/>
        <v>1.0919408175888576</v>
      </c>
      <c r="AQ44" s="488">
        <f t="shared" si="36"/>
        <v>1.090331514988055</v>
      </c>
      <c r="AR44" s="488">
        <f t="shared" ref="AR44:AR51" si="37">V44/V22</f>
        <v>1.0888741273076348</v>
      </c>
      <c r="AS44" s="488"/>
      <c r="AT44" s="488"/>
      <c r="AU44" s="488"/>
      <c r="AV44" s="488"/>
      <c r="AW44" s="488"/>
      <c r="AX44" s="488"/>
      <c r="AY44" s="488"/>
    </row>
    <row r="45" spans="3:51">
      <c r="C45" s="481">
        <v>24</v>
      </c>
      <c r="D45" s="509"/>
      <c r="E45" s="492" t="str">
        <f t="shared" si="0"/>
        <v/>
      </c>
      <c r="F45" s="492">
        <f t="shared" si="1"/>
        <v>4</v>
      </c>
      <c r="G45" s="492">
        <f t="shared" si="2"/>
        <v>0.3175</v>
      </c>
      <c r="H45" s="492">
        <f t="shared" si="3"/>
        <v>0.3745</v>
      </c>
      <c r="I45" s="459">
        <f t="shared" si="12"/>
        <v>24</v>
      </c>
      <c r="J45" s="482">
        <f t="shared" si="4"/>
        <v>3.748506256249895E-3</v>
      </c>
      <c r="K45" s="491">
        <f t="shared" si="13"/>
        <v>3.8300475836745562E-3</v>
      </c>
      <c r="L45" s="494" t="str">
        <f t="shared" si="5"/>
        <v/>
      </c>
      <c r="M45" s="483">
        <f>'All Curves'!AV38</f>
        <v>4.7658374417406633E-3</v>
      </c>
      <c r="N45" s="483" t="str">
        <f t="shared" si="6"/>
        <v/>
      </c>
      <c r="O45" s="492" t="str">
        <f t="shared" si="7"/>
        <v/>
      </c>
      <c r="P45" s="492">
        <f t="shared" si="8"/>
        <v>4</v>
      </c>
      <c r="Q45" s="492">
        <f t="shared" si="33"/>
        <v>3.816301636043809E-4</v>
      </c>
      <c r="R45" s="505">
        <f t="shared" si="9"/>
        <v>-9.3148980987775923E-4</v>
      </c>
      <c r="S45" s="483">
        <f t="shared" si="14"/>
        <v>3.8343476318629041E-3</v>
      </c>
      <c r="T45" s="483">
        <f t="shared" si="10"/>
        <v>-8.1541327424661247E-5</v>
      </c>
      <c r="U45" s="489">
        <f>((1+J45)/(V44-J45*(1+W44+X44+Y44+Z44+AA44+AB44+AC44+AD44+AE44+AF44+AG44+AH44+AI44+AJ44+AK44+AL44+AM44+AN44+AO44+AP44+AQ44+AR44)))-1</f>
        <v>7.2651731858355273E-3</v>
      </c>
      <c r="V45" s="488">
        <f t="shared" si="15"/>
        <v>1.0960858974263257</v>
      </c>
      <c r="W45" s="488">
        <f t="shared" si="11"/>
        <v>1.0072651731858355</v>
      </c>
      <c r="X45" s="488">
        <f t="shared" si="16"/>
        <v>1.0142697421554701</v>
      </c>
      <c r="Y45" s="488">
        <f t="shared" si="17"/>
        <v>1.0210097609727204</v>
      </c>
      <c r="Z45" s="488">
        <f t="shared" si="18"/>
        <v>1.0274814203912117</v>
      </c>
      <c r="AA45" s="488">
        <f t="shared" si="19"/>
        <v>1.0385204204099896</v>
      </c>
      <c r="AB45" s="488">
        <f t="shared" si="20"/>
        <v>1.0435783608842046</v>
      </c>
      <c r="AC45" s="488">
        <f t="shared" si="21"/>
        <v>1.0517974207243543</v>
      </c>
      <c r="AD45" s="488">
        <f t="shared" si="22"/>
        <v>1.0594217552318568</v>
      </c>
      <c r="AE45" s="488">
        <f t="shared" si="23"/>
        <v>1.0639444574139001</v>
      </c>
      <c r="AF45" s="488">
        <f t="shared" si="24"/>
        <v>1.070820863778047</v>
      </c>
      <c r="AG45" s="488">
        <f t="shared" si="25"/>
        <v>1.077218265202194</v>
      </c>
      <c r="AH45" s="488">
        <f t="shared" si="26"/>
        <v>1.0827602640466851</v>
      </c>
      <c r="AI45" s="488">
        <f t="shared" si="27"/>
        <v>1.0877828884582965</v>
      </c>
      <c r="AJ45" s="488">
        <f t="shared" si="28"/>
        <v>1.0922400249575996</v>
      </c>
      <c r="AK45" s="488">
        <f t="shared" si="29"/>
        <v>1.0959622094692452</v>
      </c>
      <c r="AL45" s="488">
        <f t="shared" si="30"/>
        <v>1.0988353836793894</v>
      </c>
      <c r="AM45" s="488">
        <f t="shared" si="31"/>
        <v>1.1007076386076622</v>
      </c>
      <c r="AN45" s="488">
        <f t="shared" si="32"/>
        <v>1.1016942807424337</v>
      </c>
      <c r="AO45" s="488">
        <f t="shared" si="34"/>
        <v>1.1017543230515683</v>
      </c>
      <c r="AP45" s="488">
        <f t="shared" si="35"/>
        <v>1.1011399035620391</v>
      </c>
      <c r="AQ45" s="488">
        <f t="shared" si="36"/>
        <v>1.0998739567373235</v>
      </c>
      <c r="AR45" s="488">
        <f t="shared" si="37"/>
        <v>1.0982529622744177</v>
      </c>
      <c r="AS45" s="488">
        <f t="shared" ref="AS45:AS51" si="38">V45/V22</f>
        <v>1.0967849864201002</v>
      </c>
      <c r="AT45" s="488"/>
      <c r="AU45" s="488"/>
      <c r="AV45" s="488"/>
      <c r="AW45" s="488"/>
      <c r="AX45" s="488"/>
      <c r="AY45" s="488"/>
    </row>
    <row r="46" spans="3:51">
      <c r="C46" s="481">
        <v>25</v>
      </c>
      <c r="D46" s="509">
        <f>'Swap and Yield Curves'!D172</f>
        <v>0.38874999999999998</v>
      </c>
      <c r="E46" s="492">
        <f t="shared" si="0"/>
        <v>1</v>
      </c>
      <c r="F46" s="492">
        <f t="shared" si="1"/>
        <v>0</v>
      </c>
      <c r="G46" s="492">
        <f t="shared" si="2"/>
        <v>0</v>
      </c>
      <c r="H46" s="492">
        <f t="shared" si="3"/>
        <v>0.38874999999999998</v>
      </c>
      <c r="I46" s="459">
        <f t="shared" si="12"/>
        <v>25</v>
      </c>
      <c r="J46" s="482">
        <f t="shared" si="4"/>
        <v>3.8912781640623173E-3</v>
      </c>
      <c r="K46" s="491">
        <f t="shared" si="13"/>
        <v>3.9797256692948313E-3</v>
      </c>
      <c r="L46" s="494">
        <f t="shared" si="5"/>
        <v>3.9797256692948313E-3</v>
      </c>
      <c r="M46" s="483">
        <f>'All Curves'!AV39</f>
        <v>5.2394954725431256E-3</v>
      </c>
      <c r="N46" s="483">
        <f t="shared" si="6"/>
        <v>-1.2597698032482943E-3</v>
      </c>
      <c r="O46" s="492">
        <f t="shared" si="7"/>
        <v>1</v>
      </c>
      <c r="P46" s="492">
        <f t="shared" si="8"/>
        <v>0</v>
      </c>
      <c r="Q46" s="492">
        <f t="shared" si="33"/>
        <v>0</v>
      </c>
      <c r="R46" s="505">
        <f t="shared" si="9"/>
        <v>-1.2597698032482943E-3</v>
      </c>
      <c r="S46" s="483">
        <f t="shared" si="14"/>
        <v>3.9797256692948313E-3</v>
      </c>
      <c r="T46" s="483">
        <f t="shared" si="10"/>
        <v>-8.844750523251399E-5</v>
      </c>
      <c r="U46" s="489">
        <f>((1+J46)/(V45-J46*(1+W45+X45+Y45+Z45+AA45+AB45+AC45+AD45+AE45+AF45+AG45+AH45+AI45+AJ45+AK45+AL45+AM45+AN45+AO45+AP45+AQ45+AR45+AS45)))-1</f>
        <v>7.5787027993894363E-3</v>
      </c>
      <c r="V46" s="488">
        <f t="shared" si="15"/>
        <v>1.1043928066855218</v>
      </c>
      <c r="W46" s="488">
        <f t="shared" si="11"/>
        <v>1.0075787027993894</v>
      </c>
      <c r="X46" s="488">
        <f t="shared" si="16"/>
        <v>1.0148989365735863</v>
      </c>
      <c r="Y46" s="488">
        <f t="shared" si="17"/>
        <v>1.0219565910896795</v>
      </c>
      <c r="Z46" s="488">
        <f t="shared" si="18"/>
        <v>1.0287476905064084</v>
      </c>
      <c r="AA46" s="488">
        <f t="shared" si="19"/>
        <v>1.035268396708251</v>
      </c>
      <c r="AB46" s="488">
        <f t="shared" si="20"/>
        <v>1.0463910580273736</v>
      </c>
      <c r="AC46" s="488">
        <f t="shared" si="21"/>
        <v>1.0514873311292201</v>
      </c>
      <c r="AD46" s="488">
        <f t="shared" si="22"/>
        <v>1.0597686807811884</v>
      </c>
      <c r="AE46" s="488">
        <f t="shared" si="23"/>
        <v>1.0674507978539665</v>
      </c>
      <c r="AF46" s="488">
        <f t="shared" si="24"/>
        <v>1.0720077762516977</v>
      </c>
      <c r="AG46" s="488">
        <f t="shared" si="25"/>
        <v>1.0789362968560061</v>
      </c>
      <c r="AH46" s="488">
        <f t="shared" si="26"/>
        <v>1.0853821822842351</v>
      </c>
      <c r="AI46" s="488">
        <f t="shared" si="27"/>
        <v>1.0909661822908832</v>
      </c>
      <c r="AJ46" s="488">
        <f t="shared" si="28"/>
        <v>1.0960268716801831</v>
      </c>
      <c r="AK46" s="488">
        <f t="shared" si="29"/>
        <v>1.1005177874923509</v>
      </c>
      <c r="AL46" s="488">
        <f t="shared" si="30"/>
        <v>1.1042681813341746</v>
      </c>
      <c r="AM46" s="488">
        <f t="shared" si="31"/>
        <v>1.1071631304777485</v>
      </c>
      <c r="AN46" s="488">
        <f t="shared" si="32"/>
        <v>1.1090495746696873</v>
      </c>
      <c r="AO46" s="488">
        <f t="shared" si="34"/>
        <v>1.1100436942719676</v>
      </c>
      <c r="AP46" s="488">
        <f t="shared" si="35"/>
        <v>1.1101041916239185</v>
      </c>
      <c r="AQ46" s="488">
        <f t="shared" si="36"/>
        <v>1.1094851156316841</v>
      </c>
      <c r="AR46" s="488">
        <f t="shared" si="37"/>
        <v>1.108209574572224</v>
      </c>
      <c r="AS46" s="488">
        <f t="shared" si="38"/>
        <v>1.1065762950740445</v>
      </c>
      <c r="AT46" s="488">
        <f t="shared" ref="AT46:AT51" si="39">V46/V22</f>
        <v>1.1050971938670104</v>
      </c>
      <c r="AU46" s="488"/>
      <c r="AV46" s="488"/>
      <c r="AW46" s="488"/>
      <c r="AX46" s="488"/>
      <c r="AY46" s="488"/>
    </row>
    <row r="47" spans="3:51">
      <c r="C47" s="481">
        <v>26</v>
      </c>
      <c r="D47" s="509"/>
      <c r="E47" s="492" t="str">
        <f t="shared" si="0"/>
        <v/>
      </c>
      <c r="F47" s="492">
        <f t="shared" si="1"/>
        <v>1</v>
      </c>
      <c r="G47" s="492">
        <f t="shared" si="2"/>
        <v>0.38874999999999998</v>
      </c>
      <c r="H47" s="492">
        <f t="shared" si="3"/>
        <v>0.39775000000000021</v>
      </c>
      <c r="I47" s="459">
        <f t="shared" si="12"/>
        <v>26</v>
      </c>
      <c r="J47" s="482">
        <f t="shared" si="4"/>
        <v>3.9814551265624498E-3</v>
      </c>
      <c r="K47" s="491">
        <f t="shared" si="13"/>
        <v>4.0733266392560807E-3</v>
      </c>
      <c r="L47" s="494" t="str">
        <f t="shared" si="5"/>
        <v/>
      </c>
      <c r="M47" s="483">
        <f>'All Curves'!AV40</f>
        <v>5.7102234079644482E-3</v>
      </c>
      <c r="N47" s="483" t="str">
        <f t="shared" si="6"/>
        <v/>
      </c>
      <c r="O47" s="492" t="str">
        <f t="shared" si="7"/>
        <v/>
      </c>
      <c r="P47" s="492">
        <f t="shared" si="8"/>
        <v>1</v>
      </c>
      <c r="Q47" s="492">
        <f t="shared" si="33"/>
        <v>-1.2597698032482943E-3</v>
      </c>
      <c r="R47" s="505">
        <f t="shared" si="9"/>
        <v>-1.6285134659058814E-3</v>
      </c>
      <c r="S47" s="483">
        <f t="shared" si="14"/>
        <v>4.0817099420585668E-3</v>
      </c>
      <c r="T47" s="483">
        <f t="shared" si="10"/>
        <v>-9.1871512693630919E-5</v>
      </c>
      <c r="U47" s="489">
        <f>((1+J47)/(V46-J47*(1+W46+X46+Y46+Z46+AA46+AB46+AC46+AD46+AE46+AF46+AG46+AH46+AI46+AJ46+AK46+AL46+AM46+AN46+AO46+AP46+AQ46+AR46+AS46+AT46)))-1</f>
        <v>6.4161890888629891E-3</v>
      </c>
      <c r="V47" s="488">
        <f t="shared" si="15"/>
        <v>1.1114787997615962</v>
      </c>
      <c r="W47" s="488">
        <f t="shared" si="11"/>
        <v>1.006416189088863</v>
      </c>
      <c r="X47" s="488">
        <f t="shared" si="16"/>
        <v>1.0140435182784615</v>
      </c>
      <c r="Y47" s="488">
        <f t="shared" si="17"/>
        <v>1.0214107200567284</v>
      </c>
      <c r="Z47" s="488">
        <f t="shared" si="18"/>
        <v>1.0285136578187208</v>
      </c>
      <c r="AA47" s="488">
        <f t="shared" si="19"/>
        <v>1.0353483302134285</v>
      </c>
      <c r="AB47" s="488">
        <f t="shared" si="20"/>
        <v>1.0419108744992553</v>
      </c>
      <c r="AC47" s="488">
        <f t="shared" si="21"/>
        <v>1.0531049009165727</v>
      </c>
      <c r="AD47" s="488">
        <f t="shared" si="22"/>
        <v>1.0582338726702891</v>
      </c>
      <c r="AE47" s="488">
        <f t="shared" si="23"/>
        <v>1.0665683570275355</v>
      </c>
      <c r="AF47" s="488">
        <f t="shared" si="24"/>
        <v>1.0742997640160552</v>
      </c>
      <c r="AG47" s="488">
        <f t="shared" si="25"/>
        <v>1.0788859808488602</v>
      </c>
      <c r="AH47" s="488">
        <f t="shared" si="26"/>
        <v>1.085858956151472</v>
      </c>
      <c r="AI47" s="488">
        <f t="shared" si="27"/>
        <v>1.0923461995994537</v>
      </c>
      <c r="AJ47" s="488">
        <f t="shared" si="28"/>
        <v>1.0979660276060166</v>
      </c>
      <c r="AK47" s="488">
        <f t="shared" si="29"/>
        <v>1.1030591873353583</v>
      </c>
      <c r="AL47" s="488">
        <f t="shared" si="30"/>
        <v>1.107578917712559</v>
      </c>
      <c r="AM47" s="488">
        <f t="shared" si="31"/>
        <v>1.1113533747904296</v>
      </c>
      <c r="AN47" s="488">
        <f t="shared" si="32"/>
        <v>1.1142668984751112</v>
      </c>
      <c r="AO47" s="488">
        <f t="shared" si="34"/>
        <v>1.1161654464496913</v>
      </c>
      <c r="AP47" s="488">
        <f t="shared" si="35"/>
        <v>1.1171659445113167</v>
      </c>
      <c r="AQ47" s="488">
        <f t="shared" si="36"/>
        <v>1.1172268300257171</v>
      </c>
      <c r="AR47" s="488">
        <f t="shared" si="37"/>
        <v>1.116603781924856</v>
      </c>
      <c r="AS47" s="488">
        <f t="shared" si="38"/>
        <v>1.1153200567527679</v>
      </c>
      <c r="AT47" s="488">
        <f t="shared" si="39"/>
        <v>1.113676297824493</v>
      </c>
      <c r="AU47" s="488">
        <f>V47/V22</f>
        <v>1.1121877064244332</v>
      </c>
      <c r="AV47" s="488"/>
      <c r="AW47" s="488"/>
      <c r="AX47" s="488"/>
      <c r="AY47" s="488"/>
    </row>
    <row r="48" spans="3:51">
      <c r="C48" s="481">
        <v>27</v>
      </c>
      <c r="D48" s="509"/>
      <c r="E48" s="492" t="str">
        <f t="shared" si="0"/>
        <v/>
      </c>
      <c r="F48" s="492">
        <f t="shared" si="1"/>
        <v>2</v>
      </c>
      <c r="G48" s="492">
        <f t="shared" si="2"/>
        <v>0.38874999999999998</v>
      </c>
      <c r="H48" s="492">
        <f t="shared" si="3"/>
        <v>0.40675000000000017</v>
      </c>
      <c r="I48" s="459">
        <f t="shared" si="12"/>
        <v>27</v>
      </c>
      <c r="J48" s="482">
        <f t="shared" si="4"/>
        <v>4.0716361390626954E-3</v>
      </c>
      <c r="K48" s="491">
        <f t="shared" si="13"/>
        <v>4.1672875290130751E-3</v>
      </c>
      <c r="L48" s="494" t="str">
        <f t="shared" si="5"/>
        <v/>
      </c>
      <c r="M48" s="483">
        <f>'All Curves'!AV41</f>
        <v>6.1775207784891773E-3</v>
      </c>
      <c r="N48" s="483" t="str">
        <f t="shared" si="6"/>
        <v/>
      </c>
      <c r="O48" s="492" t="str">
        <f t="shared" si="7"/>
        <v/>
      </c>
      <c r="P48" s="492">
        <f t="shared" si="8"/>
        <v>2</v>
      </c>
      <c r="Q48" s="492">
        <f t="shared" si="33"/>
        <v>-1.2597698032482943E-3</v>
      </c>
      <c r="R48" s="505">
        <f t="shared" si="9"/>
        <v>-1.9972571285634681E-3</v>
      </c>
      <c r="S48" s="483">
        <f t="shared" si="14"/>
        <v>4.1802636499257088E-3</v>
      </c>
      <c r="T48" s="483">
        <f t="shared" si="10"/>
        <v>-9.5651389950379695E-5</v>
      </c>
      <c r="U48" s="489">
        <f>((1+J48)/(V47-J48*(1+W47+X47+Y47+Z47+AA47+AB47+AC47+AD47+AE47+AF47+AG47+AH47+AI47+AJ47+AK47+AL47+AM47+AN47+AO47+AP47+AQ47+AR47+AS47+AT47+AU47)))-1</f>
        <v>6.6133593551165326E-3</v>
      </c>
      <c r="V48" s="488">
        <f t="shared" si="15"/>
        <v>1.1188294084800132</v>
      </c>
      <c r="W48" s="488">
        <f t="shared" si="11"/>
        <v>1.0066133593551165</v>
      </c>
      <c r="X48" s="488">
        <f t="shared" si="16"/>
        <v>1.0130719810081146</v>
      </c>
      <c r="Y48" s="488">
        <f t="shared" si="17"/>
        <v>1.0207497524665636</v>
      </c>
      <c r="Z48" s="488">
        <f t="shared" si="18"/>
        <v>1.0281656761976319</v>
      </c>
      <c r="AA48" s="488">
        <f t="shared" si="19"/>
        <v>1.0353155882395213</v>
      </c>
      <c r="AB48" s="488">
        <f t="shared" si="20"/>
        <v>1.0421954607788497</v>
      </c>
      <c r="AC48" s="488">
        <f t="shared" si="21"/>
        <v>1.0488014055283226</v>
      </c>
      <c r="AD48" s="488">
        <f t="shared" si="22"/>
        <v>1.0600694620649684</v>
      </c>
      <c r="AE48" s="488">
        <f t="shared" si="23"/>
        <v>1.0652323535520143</v>
      </c>
      <c r="AF48" s="488">
        <f t="shared" si="24"/>
        <v>1.0736219568493548</v>
      </c>
      <c r="AG48" s="488">
        <f t="shared" si="25"/>
        <v>1.0814044944106103</v>
      </c>
      <c r="AH48" s="488">
        <f t="shared" si="26"/>
        <v>1.0860210415434111</v>
      </c>
      <c r="AI48" s="488">
        <f t="shared" si="27"/>
        <v>1.0930401316374734</v>
      </c>
      <c r="AJ48" s="488">
        <f t="shared" si="28"/>
        <v>1.0995702775576006</v>
      </c>
      <c r="AK48" s="488">
        <f t="shared" si="29"/>
        <v>1.105227271506285</v>
      </c>
      <c r="AL48" s="488">
        <f t="shared" si="30"/>
        <v>1.1103541141311697</v>
      </c>
      <c r="AM48" s="488">
        <f t="shared" si="31"/>
        <v>1.1149037351095432</v>
      </c>
      <c r="AN48" s="488">
        <f t="shared" si="32"/>
        <v>1.1187031540284402</v>
      </c>
      <c r="AO48" s="488">
        <f t="shared" si="34"/>
        <v>1.1216359458922383</v>
      </c>
      <c r="AP48" s="488">
        <f t="shared" si="35"/>
        <v>1.1235470496468269</v>
      </c>
      <c r="AQ48" s="488">
        <f t="shared" si="36"/>
        <v>1.1245541643616681</v>
      </c>
      <c r="AR48" s="488">
        <f t="shared" si="37"/>
        <v>1.1246154525338548</v>
      </c>
      <c r="AS48" s="488">
        <f t="shared" si="38"/>
        <v>1.123988283992007</v>
      </c>
      <c r="AT48" s="488">
        <f t="shared" si="39"/>
        <v>1.1226960690840428</v>
      </c>
      <c r="AU48" s="488">
        <f>V48/V23</f>
        <v>1.1210414393872821</v>
      </c>
      <c r="AV48" s="488">
        <f>V48/V22</f>
        <v>1.1195430033973608</v>
      </c>
      <c r="AW48" s="488"/>
      <c r="AX48" s="488"/>
      <c r="AY48" s="488"/>
    </row>
    <row r="49" spans="3:51">
      <c r="C49" s="481">
        <v>28</v>
      </c>
      <c r="D49" s="509"/>
      <c r="E49" s="492" t="str">
        <f t="shared" si="0"/>
        <v/>
      </c>
      <c r="F49" s="492">
        <f t="shared" si="1"/>
        <v>3</v>
      </c>
      <c r="G49" s="492">
        <f t="shared" si="2"/>
        <v>0.38874999999999998</v>
      </c>
      <c r="H49" s="492">
        <f t="shared" si="3"/>
        <v>0.41575000000000012</v>
      </c>
      <c r="I49" s="459">
        <f t="shared" si="12"/>
        <v>28</v>
      </c>
      <c r="J49" s="482">
        <f t="shared" si="4"/>
        <v>4.1618212015623879E-3</v>
      </c>
      <c r="K49" s="491">
        <f t="shared" si="13"/>
        <v>4.2616137018149924E-3</v>
      </c>
      <c r="L49" s="494" t="str">
        <f t="shared" si="5"/>
        <v/>
      </c>
      <c r="M49" s="483">
        <f>'All Curves'!AV42</f>
        <v>6.6409615600787541E-3</v>
      </c>
      <c r="N49" s="483" t="str">
        <f t="shared" si="6"/>
        <v/>
      </c>
      <c r="O49" s="492" t="str">
        <f t="shared" si="7"/>
        <v/>
      </c>
      <c r="P49" s="492">
        <f t="shared" si="8"/>
        <v>3</v>
      </c>
      <c r="Q49" s="492">
        <f t="shared" si="33"/>
        <v>-1.2597698032482943E-3</v>
      </c>
      <c r="R49" s="505">
        <f t="shared" si="9"/>
        <v>-2.3660007912210549E-3</v>
      </c>
      <c r="S49" s="483">
        <f t="shared" si="14"/>
        <v>4.2749607688576993E-3</v>
      </c>
      <c r="T49" s="483">
        <f t="shared" si="10"/>
        <v>-9.9792500252604555E-5</v>
      </c>
      <c r="U49" s="489">
        <f>((1+J49)/(V48-J49*(1+W48+X48+Y48+Z48+AA48+AB48+AC48+AD48+AE48+AF48+AG48+AH48+AI48+AJ48+AK48+AL48+AM48+AN48+AO48+AP48+AQ48+AR48+AS48+AT48+AU48+AV48)))-1</f>
        <v>6.8117723656957452E-3</v>
      </c>
      <c r="V49" s="488">
        <f t="shared" si="15"/>
        <v>1.1264506197266251</v>
      </c>
      <c r="W49" s="488">
        <f t="shared" si="11"/>
        <v>1.0068117723656957</v>
      </c>
      <c r="X49" s="488">
        <f t="shared" si="16"/>
        <v>1.0134701804193118</v>
      </c>
      <c r="Y49" s="488">
        <f t="shared" si="17"/>
        <v>1.0199727967328063</v>
      </c>
      <c r="Z49" s="488">
        <f t="shared" si="18"/>
        <v>1.0277028674227062</v>
      </c>
      <c r="AA49" s="488">
        <f t="shared" si="19"/>
        <v>1.0351693067381118</v>
      </c>
      <c r="AB49" s="488">
        <f t="shared" si="20"/>
        <v>1.0423679223532654</v>
      </c>
      <c r="AC49" s="488">
        <f t="shared" si="21"/>
        <v>1.0492946590182366</v>
      </c>
      <c r="AD49" s="488">
        <f t="shared" si="22"/>
        <v>1.0559456019596032</v>
      </c>
      <c r="AE49" s="488">
        <f t="shared" si="23"/>
        <v>1.0672904139323804</v>
      </c>
      <c r="AF49" s="488">
        <f t="shared" si="24"/>
        <v>1.0724884738609848</v>
      </c>
      <c r="AG49" s="488">
        <f t="shared" si="25"/>
        <v>1.0809352252262254</v>
      </c>
      <c r="AH49" s="488">
        <f t="shared" si="26"/>
        <v>1.0887707756617757</v>
      </c>
      <c r="AI49" s="488">
        <f t="shared" si="27"/>
        <v>1.0934187696627604</v>
      </c>
      <c r="AJ49" s="488">
        <f t="shared" si="28"/>
        <v>1.1004856722007579</v>
      </c>
      <c r="AK49" s="488">
        <f t="shared" si="29"/>
        <v>1.1070602999884078</v>
      </c>
      <c r="AL49" s="488">
        <f t="shared" si="30"/>
        <v>1.1127558280921448</v>
      </c>
      <c r="AM49" s="488">
        <f t="shared" si="31"/>
        <v>1.117917593601945</v>
      </c>
      <c r="AN49" s="488">
        <f t="shared" si="32"/>
        <v>1.1224982055627732</v>
      </c>
      <c r="AO49" s="488">
        <f t="shared" si="34"/>
        <v>1.1263235052584677</v>
      </c>
      <c r="AP49" s="488">
        <f t="shared" si="35"/>
        <v>1.129276274632838</v>
      </c>
      <c r="AQ49" s="488">
        <f t="shared" si="36"/>
        <v>1.1312003963911703</v>
      </c>
      <c r="AR49" s="488">
        <f t="shared" si="37"/>
        <v>1.132214371342195</v>
      </c>
      <c r="AS49" s="488">
        <f t="shared" si="38"/>
        <v>1.1322760769954594</v>
      </c>
      <c r="AT49" s="488">
        <f t="shared" si="39"/>
        <v>1.1316446363242696</v>
      </c>
      <c r="AU49" s="488">
        <f>V49/V24</f>
        <v>1.1303436191425047</v>
      </c>
      <c r="AV49" s="488">
        <f>V49/V23</f>
        <v>1.1286777184849002</v>
      </c>
      <c r="AW49" s="488">
        <f>V49/V22</f>
        <v>1.1271690754901109</v>
      </c>
      <c r="AX49" s="488"/>
      <c r="AY49" s="488"/>
    </row>
    <row r="50" spans="3:51">
      <c r="C50" s="481">
        <v>29</v>
      </c>
      <c r="D50" s="509"/>
      <c r="E50" s="492" t="str">
        <f t="shared" si="0"/>
        <v/>
      </c>
      <c r="F50" s="492">
        <f t="shared" si="1"/>
        <v>4</v>
      </c>
      <c r="G50" s="492">
        <f t="shared" si="2"/>
        <v>0.38874999999999998</v>
      </c>
      <c r="H50" s="492">
        <f t="shared" si="3"/>
        <v>0.42475000000000007</v>
      </c>
      <c r="I50" s="459">
        <f t="shared" si="12"/>
        <v>29</v>
      </c>
      <c r="J50" s="482">
        <f t="shared" si="4"/>
        <v>4.2520103140624155E-3</v>
      </c>
      <c r="K50" s="491">
        <f t="shared" si="13"/>
        <v>4.3563116555171977E-3</v>
      </c>
      <c r="L50" s="494" t="str">
        <f t="shared" si="5"/>
        <v/>
      </c>
      <c r="M50" s="483">
        <f>'All Curves'!AV43</f>
        <v>7.100183118173134E-3</v>
      </c>
      <c r="N50" s="483" t="str">
        <f t="shared" si="6"/>
        <v/>
      </c>
      <c r="O50" s="492" t="str">
        <f t="shared" si="7"/>
        <v/>
      </c>
      <c r="P50" s="492">
        <f t="shared" si="8"/>
        <v>4</v>
      </c>
      <c r="Q50" s="492">
        <f t="shared" si="33"/>
        <v>-1.2597698032482943E-3</v>
      </c>
      <c r="R50" s="505">
        <f t="shared" si="9"/>
        <v>-2.7347444538786416E-3</v>
      </c>
      <c r="S50" s="483">
        <f t="shared" si="14"/>
        <v>4.3654386642944919E-3</v>
      </c>
      <c r="T50" s="483">
        <f t="shared" si="10"/>
        <v>-1.043013414547822E-4</v>
      </c>
      <c r="U50" s="489">
        <f>((1+J50)/(V49-J50*(1+W49+X49+Y49+Z49+AA49+AB49+AC49+AD49+AE49+AF49+AG49+AH49+AI49+AJ49+AK49+AL49+AM49+AN49+AO49+AP49+AQ49+AR49+AS49+AT49+AU49+AV49+AW49)))-1</f>
        <v>7.0114828748204516E-3</v>
      </c>
      <c r="V50" s="488">
        <f t="shared" si="15"/>
        <v>1.1343487089561692</v>
      </c>
      <c r="W50" s="488">
        <f t="shared" si="11"/>
        <v>1.0070114828748205</v>
      </c>
      <c r="X50" s="488">
        <f t="shared" si="16"/>
        <v>1.0138710158658055</v>
      </c>
      <c r="Y50" s="488">
        <f t="shared" si="17"/>
        <v>1.0205761092334631</v>
      </c>
      <c r="Z50" s="488">
        <f t="shared" si="18"/>
        <v>1.0271243185298811</v>
      </c>
      <c r="AA50" s="488">
        <f t="shared" si="19"/>
        <v>1.0349085884780445</v>
      </c>
      <c r="AB50" s="488">
        <f t="shared" si="20"/>
        <v>1.0424273786048459</v>
      </c>
      <c r="AC50" s="488">
        <f t="shared" si="21"/>
        <v>1.0496764671901075</v>
      </c>
      <c r="AD50" s="488">
        <f t="shared" si="22"/>
        <v>1.0566517705505836</v>
      </c>
      <c r="AE50" s="488">
        <f t="shared" si="23"/>
        <v>1.063349346464485</v>
      </c>
      <c r="AF50" s="488">
        <f t="shared" si="24"/>
        <v>1.0747737023921276</v>
      </c>
      <c r="AG50" s="488">
        <f t="shared" si="25"/>
        <v>1.0800082084289035</v>
      </c>
      <c r="AH50" s="488">
        <f t="shared" si="26"/>
        <v>1.0885141840466892</v>
      </c>
      <c r="AI50" s="488">
        <f t="shared" si="27"/>
        <v>1.0964046733099333</v>
      </c>
      <c r="AJ50" s="488">
        <f t="shared" si="28"/>
        <v>1.1010852566412581</v>
      </c>
      <c r="AK50" s="488">
        <f t="shared" si="29"/>
        <v>1.1082017086453788</v>
      </c>
      <c r="AL50" s="488">
        <f t="shared" si="30"/>
        <v>1.1148224343231703</v>
      </c>
      <c r="AM50" s="488">
        <f t="shared" si="31"/>
        <v>1.1205578965246694</v>
      </c>
      <c r="AN50" s="488">
        <f t="shared" si="32"/>
        <v>1.1257558536649457</v>
      </c>
      <c r="AO50" s="488">
        <f t="shared" si="34"/>
        <v>1.1303685825080934</v>
      </c>
      <c r="AP50" s="488">
        <f t="shared" si="35"/>
        <v>1.1342207032270952</v>
      </c>
      <c r="AQ50" s="488">
        <f t="shared" si="36"/>
        <v>1.1371941758933672</v>
      </c>
      <c r="AR50" s="488">
        <f t="shared" si="37"/>
        <v>1.1391317885984571</v>
      </c>
      <c r="AS50" s="488">
        <f t="shared" si="38"/>
        <v>1.1401528730174864</v>
      </c>
      <c r="AT50" s="488">
        <f t="shared" si="39"/>
        <v>1.1402150113188818</v>
      </c>
      <c r="AU50" s="488">
        <f>V50/V25</f>
        <v>1.1395791433122398</v>
      </c>
      <c r="AV50" s="488">
        <f>V50/V24</f>
        <v>1.138269004070785</v>
      </c>
      <c r="AW50" s="488">
        <f>V50/V23</f>
        <v>1.1365914229792484</v>
      </c>
      <c r="AX50" s="488">
        <f>V50/V22</f>
        <v>1.1350722021599371</v>
      </c>
      <c r="AY50" s="488"/>
    </row>
    <row r="51" spans="3:51" ht="13.5" thickBot="1">
      <c r="C51" s="485">
        <v>30</v>
      </c>
      <c r="D51" s="509">
        <f>'Swap and Yield Curves'!D177</f>
        <v>0.43375000000000002</v>
      </c>
      <c r="E51" s="492">
        <f t="shared" si="0"/>
        <v>1</v>
      </c>
      <c r="F51" s="492">
        <f t="shared" si="1"/>
        <v>0</v>
      </c>
      <c r="G51" s="492">
        <f t="shared" si="2"/>
        <v>0</v>
      </c>
      <c r="H51" s="492">
        <f t="shared" si="3"/>
        <v>0.43375000000000002</v>
      </c>
      <c r="I51" s="459">
        <f t="shared" si="12"/>
        <v>30</v>
      </c>
      <c r="J51" s="482">
        <f t="shared" si="4"/>
        <v>4.3422034765625561E-3</v>
      </c>
      <c r="K51" s="491">
        <f t="shared" si="13"/>
        <v>4.4513888900608034E-3</v>
      </c>
      <c r="L51" s="490">
        <f t="shared" si="5"/>
        <v>4.4513888900608034E-3</v>
      </c>
      <c r="M51" s="483">
        <f>'All Curves'!AV44</f>
        <v>7.5548770065970317E-3</v>
      </c>
      <c r="N51" s="483">
        <f t="shared" si="6"/>
        <v>-3.1034881165362283E-3</v>
      </c>
      <c r="O51" s="492">
        <f t="shared" si="7"/>
        <v>1</v>
      </c>
      <c r="P51" s="492">
        <f t="shared" si="8"/>
        <v>0</v>
      </c>
      <c r="Q51" s="492">
        <f t="shared" si="33"/>
        <v>0</v>
      </c>
      <c r="R51" s="505">
        <f t="shared" si="9"/>
        <v>-3.1034881165362283E-3</v>
      </c>
      <c r="S51" s="483">
        <f t="shared" si="14"/>
        <v>4.4513888900608034E-3</v>
      </c>
      <c r="T51" s="483">
        <f t="shared" si="10"/>
        <v>-1.0918541349824729E-4</v>
      </c>
      <c r="U51" s="489">
        <f>((1+J51)/(V50-J51*(1+W50+X50+Y50+Z50+AA50+AB50+AC50+AD50+AE50+AF50+AG50+AH50+AI50+AJ50+AK50+AL50+AM50+AN50+AO50+AP50+AQ50+AR50+AS50+AT50+AU50+AV50+AW50+AX50)))-1</f>
        <v>7.2125473584450095E-3</v>
      </c>
      <c r="V51" s="488">
        <f t="shared" si="15"/>
        <v>1.1425302527405066</v>
      </c>
      <c r="W51" s="488">
        <f t="shared" si="11"/>
        <v>1.007212547358445</v>
      </c>
      <c r="X51" s="488">
        <f t="shared" si="16"/>
        <v>1.014274600885553</v>
      </c>
      <c r="Y51" s="488">
        <f t="shared" si="17"/>
        <v>1.0211836085830923</v>
      </c>
      <c r="Z51" s="488">
        <f t="shared" si="18"/>
        <v>1.027937062754207</v>
      </c>
      <c r="AA51" s="488">
        <f t="shared" si="19"/>
        <v>1.0345325013202884</v>
      </c>
      <c r="AB51" s="488">
        <f t="shared" si="20"/>
        <v>1.0423729156841037</v>
      </c>
      <c r="AC51" s="488">
        <f t="shared" si="21"/>
        <v>1.049945935440773</v>
      </c>
      <c r="AD51" s="488">
        <f t="shared" si="22"/>
        <v>1.0572473084207614</v>
      </c>
      <c r="AE51" s="488">
        <f t="shared" si="23"/>
        <v>1.0642729214870645</v>
      </c>
      <c r="AF51" s="488">
        <f t="shared" si="24"/>
        <v>1.0710188039844317</v>
      </c>
      <c r="AG51" s="488">
        <f t="shared" si="25"/>
        <v>1.082525558620242</v>
      </c>
      <c r="AH51" s="488">
        <f t="shared" si="26"/>
        <v>1.0877978187797064</v>
      </c>
      <c r="AI51" s="488">
        <f t="shared" si="27"/>
        <v>1.0963651441494651</v>
      </c>
      <c r="AJ51" s="488">
        <f t="shared" si="28"/>
        <v>1.1043125439402015</v>
      </c>
      <c r="AK51" s="488">
        <f t="shared" si="29"/>
        <v>1.1090268862004689</v>
      </c>
      <c r="AL51" s="488">
        <f t="shared" si="30"/>
        <v>1.1161946659516933</v>
      </c>
      <c r="AM51" s="488">
        <f t="shared" si="31"/>
        <v>1.1228631439269829</v>
      </c>
      <c r="AN51" s="488">
        <f t="shared" si="32"/>
        <v>1.1286399734212331</v>
      </c>
      <c r="AO51" s="488">
        <f t="shared" si="34"/>
        <v>1.1338754210735507</v>
      </c>
      <c r="AP51" s="488">
        <f t="shared" si="35"/>
        <v>1.1385214194419313</v>
      </c>
      <c r="AQ51" s="488">
        <f t="shared" si="36"/>
        <v>1.1424013237640496</v>
      </c>
      <c r="AR51" s="488">
        <f t="shared" si="37"/>
        <v>1.145396242742746</v>
      </c>
      <c r="AS51" s="488">
        <f t="shared" si="38"/>
        <v>1.1473478305712337</v>
      </c>
      <c r="AT51" s="488">
        <f t="shared" si="39"/>
        <v>1.1483762796099921</v>
      </c>
      <c r="AU51" s="488">
        <f>V51/V26</f>
        <v>1.1484388660868292</v>
      </c>
      <c r="AV51" s="488">
        <f>V51/V25</f>
        <v>1.1477984118520754</v>
      </c>
      <c r="AW51" s="488">
        <f>V51/V24</f>
        <v>1.1464788231692955</v>
      </c>
      <c r="AX51" s="488">
        <f>V51/V23</f>
        <v>1.1447891424446888</v>
      </c>
      <c r="AY51" s="488">
        <f>V51/V22</f>
        <v>1.14325896417327</v>
      </c>
    </row>
  </sheetData>
  <pageMargins left="0.75" right="0.75" top="1" bottom="1" header="0.5" footer="0.5"/>
  <pageSetup paperSize="9"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FF9900"/>
  </sheetPr>
  <dimension ref="C1:BI51"/>
  <sheetViews>
    <sheetView showGridLines="0" topLeftCell="A13" workbookViewId="0">
      <selection activeCell="Q23" sqref="Q23"/>
    </sheetView>
  </sheetViews>
  <sheetFormatPr defaultColWidth="8.85546875" defaultRowHeight="12.75"/>
  <cols>
    <col min="1" max="1" width="8.85546875" style="459"/>
    <col min="2" max="2" width="3.7109375" style="459" customWidth="1"/>
    <col min="3" max="3" width="24" style="459" customWidth="1"/>
    <col min="4" max="4" width="17.42578125" style="459" customWidth="1"/>
    <col min="5" max="5" width="6.140625" style="459" customWidth="1"/>
    <col min="6" max="6" width="6.7109375" style="459" bestFit="1" customWidth="1"/>
    <col min="7" max="7" width="5.5703125" style="459" customWidth="1"/>
    <col min="8" max="8" width="10" style="459" customWidth="1"/>
    <col min="9" max="9" width="5" style="459" customWidth="1"/>
    <col min="10" max="10" width="16.7109375" style="459" bestFit="1" customWidth="1"/>
    <col min="11" max="11" width="12.85546875" style="459" bestFit="1" customWidth="1"/>
    <col min="12" max="12" width="12.42578125" style="459" bestFit="1" customWidth="1"/>
    <col min="13" max="14" width="12.42578125" style="459" customWidth="1"/>
    <col min="15" max="17" width="5.7109375" style="459" bestFit="1" customWidth="1"/>
    <col min="18" max="18" width="12.42578125" style="459" customWidth="1"/>
    <col min="19" max="19" width="8" style="459" customWidth="1"/>
    <col min="20" max="20" width="8.85546875" style="459"/>
    <col min="21" max="36" width="8.85546875" style="460"/>
    <col min="37" max="37" width="8.42578125" style="460" customWidth="1"/>
    <col min="38" max="61" width="8.85546875" style="460"/>
    <col min="62" max="16384" width="8.85546875" style="459"/>
  </cols>
  <sheetData>
    <row r="1" spans="3:35" hidden="1"/>
    <row r="2" spans="3:35" hidden="1"/>
    <row r="3" spans="3:35" hidden="1"/>
    <row r="4" spans="3:35" hidden="1"/>
    <row r="5" spans="3:35" hidden="1"/>
    <row r="6" spans="3:35" hidden="1"/>
    <row r="7" spans="3:35" hidden="1"/>
    <row r="8" spans="3:35" hidden="1"/>
    <row r="9" spans="3:35" hidden="1"/>
    <row r="10" spans="3:35" hidden="1"/>
    <row r="11" spans="3:35" hidden="1"/>
    <row r="12" spans="3:35" hidden="1"/>
    <row r="14" spans="3:35">
      <c r="C14" s="461"/>
      <c r="U14" s="462" t="s">
        <v>460</v>
      </c>
      <c r="V14" s="462"/>
      <c r="W14" s="462"/>
      <c r="X14" s="462"/>
      <c r="Y14" s="462"/>
      <c r="Z14" s="462"/>
      <c r="AA14" s="462"/>
      <c r="AB14" s="462"/>
      <c r="AC14" s="462"/>
      <c r="AD14" s="462"/>
      <c r="AE14" s="462"/>
      <c r="AF14" s="462"/>
      <c r="AG14" s="462"/>
      <c r="AH14" s="462"/>
      <c r="AI14" s="462"/>
    </row>
    <row r="15" spans="3:35">
      <c r="U15" s="462" t="s">
        <v>461</v>
      </c>
      <c r="V15" s="462"/>
      <c r="W15" s="462"/>
      <c r="X15" s="462"/>
      <c r="Y15" s="462"/>
      <c r="Z15" s="462"/>
      <c r="AA15" s="462"/>
      <c r="AB15" s="462"/>
      <c r="AC15" s="462"/>
      <c r="AD15" s="462"/>
      <c r="AE15" s="462"/>
      <c r="AF15" s="462"/>
      <c r="AG15" s="462"/>
      <c r="AH15" s="462"/>
      <c r="AI15" s="462"/>
    </row>
    <row r="16" spans="3:35" ht="13.5" thickBot="1">
      <c r="C16" s="459" t="s">
        <v>462</v>
      </c>
      <c r="D16" s="463" t="s">
        <v>452</v>
      </c>
      <c r="E16" s="463"/>
      <c r="F16" s="463"/>
      <c r="G16" s="463"/>
      <c r="N16" s="463"/>
      <c r="O16" s="463"/>
      <c r="P16" s="463"/>
      <c r="Q16" s="463"/>
      <c r="U16" s="462"/>
      <c r="V16" s="462" t="s">
        <v>463</v>
      </c>
      <c r="W16" s="462"/>
      <c r="X16" s="462"/>
      <c r="Y16" s="462"/>
      <c r="Z16" s="462"/>
      <c r="AA16" s="462"/>
      <c r="AB16" s="462"/>
      <c r="AC16" s="462"/>
      <c r="AD16" s="462"/>
      <c r="AE16" s="462"/>
      <c r="AF16" s="462"/>
      <c r="AG16" s="462"/>
      <c r="AH16" s="462"/>
      <c r="AI16" s="462"/>
    </row>
    <row r="17" spans="3:51">
      <c r="C17" s="459" t="s">
        <v>464</v>
      </c>
      <c r="D17" s="464">
        <v>42004</v>
      </c>
      <c r="E17" s="464"/>
      <c r="F17" s="464"/>
      <c r="G17" s="464"/>
      <c r="L17" s="465"/>
      <c r="M17" s="502"/>
      <c r="N17" s="502"/>
      <c r="O17" s="464"/>
      <c r="P17" s="464"/>
      <c r="Q17" s="464"/>
      <c r="U17" s="462"/>
      <c r="V17" s="462" t="s">
        <v>465</v>
      </c>
      <c r="W17" s="462"/>
      <c r="X17" s="462"/>
      <c r="Y17" s="462"/>
      <c r="Z17" s="462"/>
      <c r="AA17" s="462"/>
      <c r="AB17" s="462"/>
      <c r="AC17" s="462"/>
      <c r="AD17" s="462"/>
      <c r="AE17" s="462"/>
      <c r="AF17" s="462"/>
      <c r="AG17" s="462"/>
      <c r="AH17" s="462"/>
      <c r="AI17" s="462"/>
    </row>
    <row r="18" spans="3:51" ht="39" thickBot="1">
      <c r="H18" s="463" t="s">
        <v>466</v>
      </c>
      <c r="L18" s="466"/>
      <c r="M18" s="459" t="s">
        <v>470</v>
      </c>
      <c r="N18" s="501" t="s">
        <v>515</v>
      </c>
      <c r="R18" s="503" t="s">
        <v>516</v>
      </c>
      <c r="U18" s="462"/>
      <c r="V18" s="462" t="s">
        <v>467</v>
      </c>
      <c r="W18" s="462"/>
      <c r="X18" s="462"/>
      <c r="Y18" s="462"/>
      <c r="Z18" s="462"/>
      <c r="AA18" s="462"/>
      <c r="AB18" s="462"/>
      <c r="AC18" s="462"/>
      <c r="AD18" s="462"/>
      <c r="AE18" s="462"/>
      <c r="AF18" s="462"/>
      <c r="AG18" s="462"/>
      <c r="AH18" s="462"/>
      <c r="AI18" s="462"/>
    </row>
    <row r="19" spans="3:51">
      <c r="C19" s="467"/>
      <c r="D19" s="468" t="s">
        <v>466</v>
      </c>
      <c r="E19" s="469"/>
      <c r="F19" s="469"/>
      <c r="G19" s="469"/>
      <c r="H19" s="463" t="s">
        <v>468</v>
      </c>
      <c r="J19" s="463" t="s">
        <v>469</v>
      </c>
      <c r="K19" s="459" t="s">
        <v>470</v>
      </c>
      <c r="L19" s="466"/>
      <c r="M19" s="469" t="s">
        <v>475</v>
      </c>
      <c r="N19" s="469"/>
      <c r="O19" s="469"/>
      <c r="P19" s="469"/>
      <c r="Q19" s="469"/>
      <c r="R19" s="503" t="s">
        <v>468</v>
      </c>
    </row>
    <row r="20" spans="3:51" ht="13.5" thickBot="1">
      <c r="C20" s="470" t="s">
        <v>471</v>
      </c>
      <c r="D20" s="471" t="s">
        <v>472</v>
      </c>
      <c r="E20" s="472"/>
      <c r="F20" s="472"/>
      <c r="G20" s="472"/>
      <c r="H20" s="473" t="s">
        <v>473</v>
      </c>
      <c r="J20" s="472" t="s">
        <v>474</v>
      </c>
      <c r="K20" s="469" t="s">
        <v>475</v>
      </c>
      <c r="L20" s="466"/>
      <c r="M20" s="477" t="s">
        <v>514</v>
      </c>
      <c r="N20" s="463"/>
      <c r="O20" s="472"/>
      <c r="P20" s="472"/>
      <c r="Q20" s="472"/>
      <c r="R20" s="504" t="s">
        <v>473</v>
      </c>
    </row>
    <row r="21" spans="3:51" ht="13.5" thickBot="1">
      <c r="C21" s="474" t="s">
        <v>476</v>
      </c>
      <c r="D21" s="499"/>
      <c r="E21" s="498"/>
      <c r="F21" s="498"/>
      <c r="G21" s="498"/>
      <c r="H21" s="463" t="s">
        <v>477</v>
      </c>
      <c r="I21" s="475" t="s">
        <v>478</v>
      </c>
      <c r="J21" s="476" t="s">
        <v>479</v>
      </c>
      <c r="K21" s="477" t="s">
        <v>480</v>
      </c>
      <c r="L21" s="478"/>
      <c r="M21" s="502"/>
      <c r="N21" s="502"/>
      <c r="O21" s="498"/>
      <c r="P21" s="498"/>
      <c r="Q21" s="498"/>
      <c r="R21" s="503" t="s">
        <v>477</v>
      </c>
      <c r="T21" s="459" t="s">
        <v>512</v>
      </c>
      <c r="U21" s="462" t="s">
        <v>481</v>
      </c>
      <c r="V21" s="479" t="s">
        <v>482</v>
      </c>
      <c r="W21" s="479" t="s">
        <v>483</v>
      </c>
      <c r="X21" s="479" t="s">
        <v>484</v>
      </c>
      <c r="Y21" s="479" t="s">
        <v>485</v>
      </c>
      <c r="Z21" s="480" t="s">
        <v>486</v>
      </c>
      <c r="AA21" s="479" t="s">
        <v>487</v>
      </c>
      <c r="AB21" s="480" t="s">
        <v>488</v>
      </c>
      <c r="AC21" s="480" t="s">
        <v>489</v>
      </c>
      <c r="AD21" s="480" t="s">
        <v>490</v>
      </c>
      <c r="AE21" s="480" t="s">
        <v>491</v>
      </c>
      <c r="AF21" s="480" t="s">
        <v>492</v>
      </c>
      <c r="AG21" s="480" t="s">
        <v>493</v>
      </c>
      <c r="AH21" s="480" t="s">
        <v>494</v>
      </c>
      <c r="AI21" s="480" t="s">
        <v>495</v>
      </c>
      <c r="AJ21" s="480" t="s">
        <v>496</v>
      </c>
      <c r="AK21" s="480" t="s">
        <v>497</v>
      </c>
      <c r="AL21" s="480" t="s">
        <v>498</v>
      </c>
      <c r="AM21" s="480" t="s">
        <v>499</v>
      </c>
      <c r="AN21" s="480" t="s">
        <v>500</v>
      </c>
      <c r="AO21" s="480" t="s">
        <v>501</v>
      </c>
      <c r="AP21" s="480" t="s">
        <v>502</v>
      </c>
      <c r="AQ21" s="480" t="s">
        <v>503</v>
      </c>
      <c r="AR21" s="480" t="s">
        <v>504</v>
      </c>
      <c r="AS21" s="480" t="s">
        <v>505</v>
      </c>
      <c r="AT21" s="480" t="s">
        <v>506</v>
      </c>
      <c r="AU21" s="480" t="s">
        <v>507</v>
      </c>
      <c r="AV21" s="480" t="s">
        <v>508</v>
      </c>
      <c r="AW21" s="480" t="s">
        <v>509</v>
      </c>
      <c r="AX21" s="480" t="s">
        <v>510</v>
      </c>
      <c r="AY21" s="480" t="s">
        <v>511</v>
      </c>
    </row>
    <row r="22" spans="3:51">
      <c r="C22" s="486">
        <v>1</v>
      </c>
      <c r="D22" s="509">
        <f>'Swap and Yield Curves'!D184</f>
        <v>1.10917</v>
      </c>
      <c r="E22" s="492">
        <f t="shared" ref="E22:E51" si="0">IF(ISNUMBER(D22),1,"")</f>
        <v>1</v>
      </c>
      <c r="F22" s="492">
        <f t="shared" ref="F22:F51" si="1">IF(ISNUMBER(E22),0,1+F21)</f>
        <v>0</v>
      </c>
      <c r="G22" s="492">
        <f t="shared" ref="G22:G51" si="2">IF(F22=1,D21,IF(F22=2,D20,IF(F22=3,D19,IF(F22=4,D18,IF(F22=5,D17,IF(F22=6,D16,IF(F22=7,D15,IF(F22=8,D14,IF(F22=9,D13,IF(F22=10,D12,IF(F22=11,D11,IF(F22=21,D10,IF(F22=13,D9,IF(F22=14,D8,IF(F22=15,D7,IF(F22=16,D6,IF(F22=17,D5,IF(F22=18,D4,IF(F22=71,D3,0)))))))))))))))))))</f>
        <v>0</v>
      </c>
      <c r="H22" s="492">
        <f t="shared" ref="H22:H51" si="3">IF(G22=0,D22,IF(G23=0,((F22*D23+G22)/(1+F22)),2*H23-H24))</f>
        <v>1.10917</v>
      </c>
      <c r="I22" s="459">
        <v>1</v>
      </c>
      <c r="J22" s="482">
        <f t="shared" ref="J22:J51" si="4">(1+H22/200)^2-1</f>
        <v>1.112245645222254E-2</v>
      </c>
      <c r="K22" s="483">
        <f>U22</f>
        <v>1.112245645222254E-2</v>
      </c>
      <c r="L22" s="497">
        <f t="shared" ref="L22:L51" si="5">IF(ISNUMBER(D22),K22,"")</f>
        <v>1.112245645222254E-2</v>
      </c>
      <c r="M22" s="483">
        <f>'All Curves'!BE15</f>
        <v>9.6993031717871655E-3</v>
      </c>
      <c r="N22" s="483">
        <f t="shared" ref="N22:N51" si="6">IF(ISNUMBER(L22),L22-M22,"")</f>
        <v>1.4231532804353745E-3</v>
      </c>
      <c r="O22" s="492">
        <f t="shared" ref="O22:O51" si="7">IF(ISNUMBER(N22),1,"")</f>
        <v>1</v>
      </c>
      <c r="P22" s="492">
        <f t="shared" ref="P22:P51" si="8">IF(ISNUMBER(O22),0,1+P21)</f>
        <v>0</v>
      </c>
      <c r="Q22" s="492">
        <f>IF(P22=1,#REF!,IF(P22=2,#REF!,IF(P22=3,#REF!,IF(P22=4,#REF!,IF(P22=5,#REF!,IF(P22=6,N16,IF(P22=7,N15,IF(P22=8,N14,IF(P22=9,N13,IF(P22=10,#REF!,IF(P22=11,#REF!,IF(P22=12,#REF!,IF(P22=13,#REF!,IF(P22=14,#REF!,IF(P22=15,#REF!,IF(P22=16,#REF!,IF(P22=17,#REF!,IF(P22=18,#REF!,IF(P22=19,#REF!,0)))))))))))))))))))</f>
        <v>0</v>
      </c>
      <c r="R22" s="505">
        <f t="shared" ref="R22:R51" si="9">IF(Q22=0,N22,IF(Q23=0,((P22*N23+Q22)/(1+P22)),2*R23-R24))</f>
        <v>1.4231532804353745E-3</v>
      </c>
      <c r="S22" s="483">
        <f>R22+M22</f>
        <v>1.112245645222254E-2</v>
      </c>
      <c r="T22" s="483">
        <f t="shared" ref="T22:T51" si="10">J22-K22</f>
        <v>0</v>
      </c>
      <c r="U22" s="489">
        <f>J22</f>
        <v>1.112245645222254E-2</v>
      </c>
      <c r="V22" s="488">
        <f>W22</f>
        <v>1.0111224564522225</v>
      </c>
      <c r="W22" s="488">
        <f t="shared" ref="W22:W51" si="11">(1+U22)</f>
        <v>1.0111224564522225</v>
      </c>
      <c r="X22" s="488"/>
      <c r="Y22" s="488"/>
      <c r="Z22" s="488"/>
      <c r="AA22" s="488"/>
      <c r="AB22" s="488"/>
      <c r="AC22" s="488"/>
      <c r="AD22" s="488"/>
      <c r="AE22" s="488"/>
      <c r="AF22" s="488"/>
      <c r="AG22" s="488"/>
      <c r="AH22" s="488"/>
      <c r="AI22" s="488"/>
      <c r="AJ22" s="488"/>
      <c r="AK22" s="488"/>
      <c r="AL22" s="488"/>
      <c r="AM22" s="488"/>
      <c r="AN22" s="488"/>
      <c r="AO22" s="488"/>
      <c r="AP22" s="488"/>
      <c r="AQ22" s="488"/>
      <c r="AR22" s="488"/>
      <c r="AS22" s="488"/>
      <c r="AT22" s="488"/>
      <c r="AU22" s="488"/>
      <c r="AV22" s="488"/>
      <c r="AW22" s="488"/>
      <c r="AX22" s="488"/>
      <c r="AY22" s="488"/>
    </row>
    <row r="23" spans="3:51">
      <c r="C23" s="486">
        <v>2</v>
      </c>
      <c r="D23" s="509">
        <f>'Swap and Yield Curves'!D185</f>
        <v>1.0680499999999999</v>
      </c>
      <c r="E23" s="492">
        <f t="shared" si="0"/>
        <v>1</v>
      </c>
      <c r="F23" s="492">
        <f t="shared" si="1"/>
        <v>0</v>
      </c>
      <c r="G23" s="492">
        <f t="shared" si="2"/>
        <v>0</v>
      </c>
      <c r="H23" s="492">
        <f t="shared" si="3"/>
        <v>1.0680499999999999</v>
      </c>
      <c r="I23" s="459">
        <f t="shared" ref="I23:I51" si="12">I22+1</f>
        <v>2</v>
      </c>
      <c r="J23" s="482">
        <f t="shared" si="4"/>
        <v>1.0709018270062431E-2</v>
      </c>
      <c r="K23" s="491">
        <f t="shared" ref="K23:K51" si="13">(((1+K22)^I22)*(1+U23))^(1/I23)-1</f>
        <v>1.0706805423990939E-2</v>
      </c>
      <c r="L23" s="494">
        <f t="shared" si="5"/>
        <v>1.0706805423990939E-2</v>
      </c>
      <c r="M23" s="483">
        <f>'All Curves'!BE16</f>
        <v>9.3342324611000484E-3</v>
      </c>
      <c r="N23" s="483">
        <f t="shared" si="6"/>
        <v>1.372572962890891E-3</v>
      </c>
      <c r="O23" s="492">
        <f t="shared" si="7"/>
        <v>1</v>
      </c>
      <c r="P23" s="492">
        <f t="shared" si="8"/>
        <v>0</v>
      </c>
      <c r="Q23" s="492">
        <f>IF(P23=1,N22,IF(P23=2,#REF!,IF(P23=3,#REF!,IF(P23=4,#REF!,IF(P23=5,#REF!,IF(P23=6,#REF!,IF(P23=7,N16,IF(P23=8,N15,IF(P23=9,N14,IF(P23=10,N13,IF(P23=11,#REF!,IF(P23=12,#REF!,IF(P23=13,#REF!,IF(P23=14,#REF!,IF(P23=15,#REF!,IF(P23=16,#REF!,IF(P23=17,#REF!,IF(P23=18,#REF!,IF(P23=19,#REF!,0)))))))))))))))))))</f>
        <v>0</v>
      </c>
      <c r="R23" s="505">
        <f t="shared" si="9"/>
        <v>1.372572962890891E-3</v>
      </c>
      <c r="S23" s="483">
        <f t="shared" ref="S23:S51" si="14">R23+M23</f>
        <v>1.0706805423990939E-2</v>
      </c>
      <c r="T23" s="483">
        <f t="shared" si="10"/>
        <v>2.2128460714920806E-6</v>
      </c>
      <c r="U23" s="489">
        <f>(1+J23)/(V22-J23)-1</f>
        <v>1.0291325261094331E-2</v>
      </c>
      <c r="V23" s="488">
        <f t="shared" ref="V23:V51" si="15">V22*W23</f>
        <v>1.021528246530369</v>
      </c>
      <c r="W23" s="488">
        <f t="shared" si="11"/>
        <v>1.0102913252610943</v>
      </c>
      <c r="X23" s="488"/>
      <c r="Y23" s="488"/>
      <c r="Z23" s="488"/>
      <c r="AA23" s="488"/>
      <c r="AB23" s="488"/>
      <c r="AC23" s="488"/>
      <c r="AD23" s="488"/>
      <c r="AE23" s="488"/>
      <c r="AF23" s="488"/>
      <c r="AG23" s="488"/>
      <c r="AH23" s="488"/>
      <c r="AI23" s="488"/>
      <c r="AJ23" s="488"/>
      <c r="AK23" s="488"/>
      <c r="AL23" s="488"/>
      <c r="AM23" s="488"/>
      <c r="AN23" s="488"/>
      <c r="AO23" s="488"/>
      <c r="AP23" s="488"/>
      <c r="AQ23" s="488"/>
      <c r="AR23" s="488"/>
      <c r="AS23" s="488"/>
      <c r="AT23" s="488"/>
      <c r="AU23" s="488"/>
      <c r="AV23" s="488"/>
      <c r="AW23" s="488"/>
      <c r="AX23" s="488"/>
      <c r="AY23" s="488"/>
    </row>
    <row r="24" spans="3:51">
      <c r="C24" s="481">
        <v>3</v>
      </c>
      <c r="D24" s="509">
        <f>'Swap and Yield Curves'!D186</f>
        <v>1.0890599999999999</v>
      </c>
      <c r="E24" s="492">
        <f t="shared" si="0"/>
        <v>1</v>
      </c>
      <c r="F24" s="492">
        <f t="shared" si="1"/>
        <v>0</v>
      </c>
      <c r="G24" s="492">
        <f t="shared" si="2"/>
        <v>0</v>
      </c>
      <c r="H24" s="492">
        <f t="shared" si="3"/>
        <v>1.0890599999999999</v>
      </c>
      <c r="I24" s="459">
        <f t="shared" si="12"/>
        <v>3</v>
      </c>
      <c r="J24" s="482">
        <f t="shared" si="4"/>
        <v>1.0920251292090288E-2</v>
      </c>
      <c r="K24" s="491">
        <f t="shared" si="13"/>
        <v>1.0921061774648466E-2</v>
      </c>
      <c r="L24" s="494">
        <f t="shared" si="5"/>
        <v>1.0921061774648466E-2</v>
      </c>
      <c r="M24" s="483">
        <f>'All Curves'!BE17</f>
        <v>9.5543442815649703E-3</v>
      </c>
      <c r="N24" s="483">
        <f t="shared" si="6"/>
        <v>1.3667174930834958E-3</v>
      </c>
      <c r="O24" s="492">
        <f t="shared" si="7"/>
        <v>1</v>
      </c>
      <c r="P24" s="492">
        <f t="shared" si="8"/>
        <v>0</v>
      </c>
      <c r="Q24" s="492">
        <f>IF(P24=1,N23,IF(P24=2,N22,IF(P24=3,#REF!,IF(P24=4,#REF!,IF(P24=5,#REF!,IF(P24=6,#REF!,IF(P24=7,#REF!,IF(P24=8,N16,IF(P24=9,N15,IF(P24=10,N14,IF(P24=11,N13,IF(P24=12,#REF!,IF(P24=13,#REF!,IF(P24=14,#REF!,IF(P24=15,#REF!,IF(P24=16,#REF!,IF(P24=17,#REF!,IF(P24=18,#REF!,IF(P24=19,#REF!,0)))))))))))))))))))</f>
        <v>0</v>
      </c>
      <c r="R24" s="505">
        <f t="shared" si="9"/>
        <v>1.3667174930834958E-3</v>
      </c>
      <c r="S24" s="483">
        <f t="shared" si="14"/>
        <v>1.0921061774648466E-2</v>
      </c>
      <c r="T24" s="483">
        <f t="shared" si="10"/>
        <v>-8.1048255817783854E-7</v>
      </c>
      <c r="U24" s="489">
        <f>((1+J24)/(V23-J24*(1+W23)))-1</f>
        <v>1.1349710744050778E-2</v>
      </c>
      <c r="V24" s="488">
        <f t="shared" si="15"/>
        <v>1.0331222966453661</v>
      </c>
      <c r="W24" s="488">
        <f t="shared" si="11"/>
        <v>1.0113497107440508</v>
      </c>
      <c r="X24" s="488">
        <f t="shared" ref="X24:X51" si="16">V24/V22</f>
        <v>1.0217578395700315</v>
      </c>
      <c r="Y24" s="488"/>
      <c r="Z24" s="488"/>
      <c r="AA24" s="488"/>
      <c r="AB24" s="488"/>
      <c r="AC24" s="488"/>
      <c r="AD24" s="488"/>
      <c r="AE24" s="488"/>
      <c r="AF24" s="488"/>
      <c r="AG24" s="488"/>
      <c r="AH24" s="488"/>
      <c r="AI24" s="488"/>
      <c r="AJ24" s="488"/>
      <c r="AK24" s="488"/>
      <c r="AL24" s="488"/>
      <c r="AM24" s="488"/>
      <c r="AN24" s="488"/>
      <c r="AO24" s="488"/>
      <c r="AP24" s="488"/>
      <c r="AQ24" s="488"/>
      <c r="AR24" s="488"/>
      <c r="AS24" s="488"/>
      <c r="AT24" s="488"/>
      <c r="AU24" s="488"/>
      <c r="AV24" s="488"/>
      <c r="AW24" s="488"/>
      <c r="AX24" s="488"/>
      <c r="AY24" s="488"/>
    </row>
    <row r="25" spans="3:51">
      <c r="C25" s="481">
        <v>4</v>
      </c>
      <c r="D25" s="509">
        <f>'Swap and Yield Curves'!D187</f>
        <v>1.141</v>
      </c>
      <c r="E25" s="492">
        <f t="shared" si="0"/>
        <v>1</v>
      </c>
      <c r="F25" s="492">
        <f t="shared" si="1"/>
        <v>0</v>
      </c>
      <c r="G25" s="492">
        <f t="shared" si="2"/>
        <v>0</v>
      </c>
      <c r="H25" s="492">
        <f t="shared" si="3"/>
        <v>1.141</v>
      </c>
      <c r="I25" s="459">
        <f t="shared" si="12"/>
        <v>4</v>
      </c>
      <c r="J25" s="482">
        <f t="shared" si="4"/>
        <v>1.1442547025000138E-2</v>
      </c>
      <c r="K25" s="491">
        <f t="shared" si="13"/>
        <v>1.145222644431243E-2</v>
      </c>
      <c r="L25" s="494">
        <f t="shared" si="5"/>
        <v>1.145222644431243E-2</v>
      </c>
      <c r="M25" s="483">
        <f>'All Curves'!BE18</f>
        <v>1.0050002859864099E-2</v>
      </c>
      <c r="N25" s="483">
        <f t="shared" si="6"/>
        <v>1.4022235844483311E-3</v>
      </c>
      <c r="O25" s="492">
        <f t="shared" si="7"/>
        <v>1</v>
      </c>
      <c r="P25" s="492">
        <f t="shared" si="8"/>
        <v>0</v>
      </c>
      <c r="Q25" s="492">
        <f>IF(P25=1,N24,IF(P25=2,N23,IF(P25=3,N22,IF(P25=4,#REF!,IF(P25=5,#REF!,IF(P25=6,#REF!,IF(P25=7,#REF!,IF(P25=8,#REF!,IF(P25=9,N16,IF(P25=10,N15,IF(P25=11,N14,IF(P25=12,N13,IF(P25=13,#REF!,IF(P25=14,#REF!,IF(P25=15,#REF!,IF(P25=16,#REF!,IF(P25=17,#REF!,IF(P25=18,#REF!,IF(P25=19,#REF!,0)))))))))))))))))))</f>
        <v>0</v>
      </c>
      <c r="R25" s="505">
        <f t="shared" si="9"/>
        <v>1.4022235844483311E-3</v>
      </c>
      <c r="S25" s="483">
        <f t="shared" si="14"/>
        <v>1.145222644431243E-2</v>
      </c>
      <c r="T25" s="483">
        <f t="shared" si="10"/>
        <v>-9.6794193122917704E-6</v>
      </c>
      <c r="U25" s="489">
        <f>((1+J25)/(V24-J25*(1+W24+X24)))-1</f>
        <v>1.3047395567758135E-2</v>
      </c>
      <c r="V25" s="488">
        <f t="shared" si="15"/>
        <v>1.046601851919569</v>
      </c>
      <c r="W25" s="488">
        <f t="shared" si="11"/>
        <v>1.0130473955677581</v>
      </c>
      <c r="X25" s="488">
        <f t="shared" si="16"/>
        <v>1.0245451904774663</v>
      </c>
      <c r="Y25" s="488">
        <f t="shared" ref="Y25:Y51" si="17">V25/V22</f>
        <v>1.0350891182773596</v>
      </c>
      <c r="Z25" s="488"/>
      <c r="AA25" s="488"/>
      <c r="AB25" s="488"/>
      <c r="AC25" s="488"/>
      <c r="AD25" s="488"/>
      <c r="AE25" s="488"/>
      <c r="AF25" s="488"/>
      <c r="AG25" s="488"/>
      <c r="AH25" s="488"/>
      <c r="AI25" s="488"/>
      <c r="AJ25" s="488"/>
      <c r="AK25" s="488"/>
      <c r="AL25" s="488"/>
      <c r="AM25" s="488"/>
      <c r="AN25" s="488"/>
      <c r="AO25" s="488"/>
      <c r="AP25" s="488"/>
      <c r="AQ25" s="488"/>
      <c r="AR25" s="488"/>
      <c r="AS25" s="488"/>
      <c r="AT25" s="488"/>
      <c r="AU25" s="488"/>
      <c r="AV25" s="488"/>
      <c r="AW25" s="488"/>
      <c r="AX25" s="488"/>
      <c r="AY25" s="488"/>
    </row>
    <row r="26" spans="3:51">
      <c r="C26" s="481">
        <v>5</v>
      </c>
      <c r="D26" s="509">
        <f>'Swap and Yield Curves'!D188</f>
        <v>1.206</v>
      </c>
      <c r="E26" s="492">
        <f t="shared" si="0"/>
        <v>1</v>
      </c>
      <c r="F26" s="492">
        <f t="shared" si="1"/>
        <v>0</v>
      </c>
      <c r="G26" s="492">
        <f t="shared" si="2"/>
        <v>0</v>
      </c>
      <c r="H26" s="492">
        <f t="shared" si="3"/>
        <v>1.206</v>
      </c>
      <c r="I26" s="459">
        <f t="shared" si="12"/>
        <v>5</v>
      </c>
      <c r="J26" s="482">
        <f t="shared" si="4"/>
        <v>1.2096360899999992E-2</v>
      </c>
      <c r="K26" s="491">
        <f t="shared" si="13"/>
        <v>1.2120605607610635E-2</v>
      </c>
      <c r="L26" s="494">
        <f t="shared" si="5"/>
        <v>1.2120605607610635E-2</v>
      </c>
      <c r="M26" s="483">
        <f>'All Curves'!BE19</f>
        <v>1.0659873992707593E-2</v>
      </c>
      <c r="N26" s="483">
        <f t="shared" si="6"/>
        <v>1.4607316149030415E-3</v>
      </c>
      <c r="O26" s="492">
        <f t="shared" si="7"/>
        <v>1</v>
      </c>
      <c r="P26" s="492">
        <f t="shared" si="8"/>
        <v>0</v>
      </c>
      <c r="Q26" s="492">
        <f>IF(P26=1,N25,IF(P26=2,N24,IF(P26=3,N23,IF(P26=4,N22,IF(P26=5,#REF!,IF(P26=6,#REF!,IF(P26=7,#REF!,IF(P26=8,#REF!,IF(P26=9,#REF!,IF(P26=10,N16,IF(P26=11,N15,IF(P26=12,N14,IF(P26=13,N13,IF(P26=14,#REF!,IF(P26=15,#REF!,IF(P26=16,#REF!,IF(P26=17,#REF!,IF(P26=18,#REF!,IF(P26=19,#REF!,0)))))))))))))))))))</f>
        <v>0</v>
      </c>
      <c r="R26" s="505">
        <f t="shared" si="9"/>
        <v>1.4607316149030415E-3</v>
      </c>
      <c r="S26" s="483">
        <f t="shared" si="14"/>
        <v>1.2120605607610635E-2</v>
      </c>
      <c r="T26" s="483">
        <f t="shared" si="10"/>
        <v>-2.4244707610643346E-5</v>
      </c>
      <c r="U26" s="489">
        <f>((1+J26)/(V25-J26*(1+W25+X25+Y25)))-1</f>
        <v>1.4798541906106744E-2</v>
      </c>
      <c r="V26" s="488">
        <f t="shared" si="15"/>
        <v>1.0620900332842096</v>
      </c>
      <c r="W26" s="488">
        <f t="shared" si="11"/>
        <v>1.0147985419061067</v>
      </c>
      <c r="X26" s="488">
        <f t="shared" si="16"/>
        <v>1.0280390199039398</v>
      </c>
      <c r="Y26" s="488">
        <f t="shared" si="17"/>
        <v>1.039706965413447</v>
      </c>
      <c r="Z26" s="488">
        <f t="shared" ref="Z26:Z51" si="18">V26/V22</f>
        <v>1.0504069279707422</v>
      </c>
      <c r="AA26" s="488"/>
      <c r="AB26" s="488"/>
      <c r="AC26" s="488"/>
      <c r="AD26" s="488"/>
      <c r="AE26" s="488"/>
      <c r="AF26" s="488"/>
      <c r="AG26" s="488"/>
      <c r="AH26" s="488"/>
      <c r="AI26" s="488"/>
      <c r="AJ26" s="488"/>
      <c r="AK26" s="488"/>
      <c r="AL26" s="488"/>
      <c r="AM26" s="488"/>
      <c r="AN26" s="488"/>
      <c r="AO26" s="488"/>
      <c r="AP26" s="488"/>
      <c r="AQ26" s="488"/>
      <c r="AR26" s="488"/>
      <c r="AS26" s="488"/>
      <c r="AT26" s="488"/>
      <c r="AU26" s="488"/>
      <c r="AV26" s="488"/>
      <c r="AW26" s="488"/>
      <c r="AX26" s="488"/>
      <c r="AY26" s="488"/>
    </row>
    <row r="27" spans="3:51">
      <c r="C27" s="481">
        <v>6</v>
      </c>
      <c r="D27" s="509">
        <f>'Swap and Yield Curves'!D189</f>
        <v>1.2809999999999999</v>
      </c>
      <c r="E27" s="492">
        <f t="shared" si="0"/>
        <v>1</v>
      </c>
      <c r="F27" s="492">
        <f t="shared" si="1"/>
        <v>0</v>
      </c>
      <c r="G27" s="492">
        <f t="shared" si="2"/>
        <v>0</v>
      </c>
      <c r="H27" s="492">
        <f t="shared" si="3"/>
        <v>1.2809999999999999</v>
      </c>
      <c r="I27" s="459">
        <f t="shared" si="12"/>
        <v>6</v>
      </c>
      <c r="J27" s="482">
        <f t="shared" si="4"/>
        <v>1.2851024024999935E-2</v>
      </c>
      <c r="K27" s="491">
        <f t="shared" si="13"/>
        <v>1.2897298189564532E-2</v>
      </c>
      <c r="L27" s="494">
        <f t="shared" si="5"/>
        <v>1.2897298189564532E-2</v>
      </c>
      <c r="M27" s="483">
        <f>'All Curves'!BE20</f>
        <v>1.130250498648817E-2</v>
      </c>
      <c r="N27" s="483">
        <f t="shared" si="6"/>
        <v>1.5947932030763619E-3</v>
      </c>
      <c r="O27" s="492">
        <f t="shared" si="7"/>
        <v>1</v>
      </c>
      <c r="P27" s="492">
        <f t="shared" si="8"/>
        <v>0</v>
      </c>
      <c r="Q27" s="492">
        <f>IF(P27=1,N26,IF(P27=2,N25,IF(P27=3,N24,IF(P27=4,N23,IF(P27=5,N22,IF(P27=6,#REF!,IF(P27=7,#REF!,IF(P27=8,#REF!,IF(P27=9,#REF!,IF(P27=10,#REF!,IF(P27=11,N16,IF(P27=12,N15,IF(P27=13,N14,IF(P27=14,N13,IF(P27=15,#REF!,IF(P27=16,#REF!,IF(P27=17,#REF!,IF(P27=18,#REF!,IF(P27=19,#REF!,0)))))))))))))))))))</f>
        <v>0</v>
      </c>
      <c r="R27" s="505">
        <f t="shared" si="9"/>
        <v>1.5947932030763619E-3</v>
      </c>
      <c r="S27" s="483">
        <f t="shared" si="14"/>
        <v>1.2897298189564532E-2</v>
      </c>
      <c r="T27" s="483">
        <f t="shared" si="10"/>
        <v>-4.6274164564596987E-5</v>
      </c>
      <c r="U27" s="489">
        <f>((1+J27)/(V26-J27*(1+W26+X26+Y26+Z26)))-1</f>
        <v>1.678971065967394E-2</v>
      </c>
      <c r="V27" s="488">
        <f t="shared" si="15"/>
        <v>1.0799222176375749</v>
      </c>
      <c r="W27" s="488">
        <f t="shared" si="11"/>
        <v>1.0167897106596739</v>
      </c>
      <c r="X27" s="488">
        <f t="shared" si="16"/>
        <v>1.0318367158025692</v>
      </c>
      <c r="Y27" s="488">
        <f t="shared" si="17"/>
        <v>1.0452994975949816</v>
      </c>
      <c r="Z27" s="488">
        <f t="shared" si="18"/>
        <v>1.0571633445335864</v>
      </c>
      <c r="AA27" s="488">
        <f t="shared" ref="AA27:AA51" si="19">V27/V22</f>
        <v>1.0680429563662879</v>
      </c>
      <c r="AB27" s="488"/>
      <c r="AC27" s="488"/>
      <c r="AD27" s="488"/>
      <c r="AE27" s="488"/>
      <c r="AF27" s="488"/>
      <c r="AG27" s="488"/>
      <c r="AH27" s="488"/>
      <c r="AI27" s="488"/>
      <c r="AJ27" s="488"/>
      <c r="AK27" s="488"/>
      <c r="AL27" s="488"/>
      <c r="AM27" s="488"/>
      <c r="AN27" s="488"/>
      <c r="AO27" s="488"/>
      <c r="AP27" s="488"/>
      <c r="AQ27" s="488"/>
      <c r="AR27" s="488"/>
      <c r="AS27" s="488"/>
      <c r="AT27" s="488"/>
      <c r="AU27" s="488"/>
      <c r="AV27" s="488"/>
      <c r="AW27" s="488"/>
      <c r="AX27" s="488"/>
      <c r="AY27" s="488"/>
    </row>
    <row r="28" spans="3:51">
      <c r="C28" s="481">
        <v>7</v>
      </c>
      <c r="D28" s="509">
        <f>'Swap and Yield Curves'!D190</f>
        <v>1.36</v>
      </c>
      <c r="E28" s="492">
        <f t="shared" si="0"/>
        <v>1</v>
      </c>
      <c r="F28" s="492">
        <f t="shared" si="1"/>
        <v>0</v>
      </c>
      <c r="G28" s="492">
        <f t="shared" si="2"/>
        <v>0</v>
      </c>
      <c r="H28" s="492">
        <f t="shared" si="3"/>
        <v>1.36</v>
      </c>
      <c r="I28" s="459">
        <f t="shared" si="12"/>
        <v>7</v>
      </c>
      <c r="J28" s="482">
        <f t="shared" si="4"/>
        <v>1.3646239999999921E-2</v>
      </c>
      <c r="K28" s="491">
        <f t="shared" si="13"/>
        <v>1.3721980956654223E-2</v>
      </c>
      <c r="L28" s="494">
        <f t="shared" si="5"/>
        <v>1.3721980956654223E-2</v>
      </c>
      <c r="M28" s="483">
        <f>'All Curves'!BE21</f>
        <v>1.1938871979577241E-2</v>
      </c>
      <c r="N28" s="483">
        <f t="shared" si="6"/>
        <v>1.7831089770769821E-3</v>
      </c>
      <c r="O28" s="492">
        <f t="shared" si="7"/>
        <v>1</v>
      </c>
      <c r="P28" s="492">
        <f t="shared" si="8"/>
        <v>0</v>
      </c>
      <c r="Q28" s="492">
        <f>IF(P28=1,N27,IF(P28=2,N26,IF(P28=3,N25,IF(P28=4,N24,IF(P28=5,N23,IF(P28=6,N22,IF(P28=7,#REF!,IF(P28=8,#REF!,IF(P28=9,#REF!,IF(P28=10,#REF!,IF(P28=11,#REF!,IF(P28=12,N16,IF(P28=13,N15,IF(P28=14,N14,IF(P28=15,N13,IF(P28=16,#REF!,IF(P28=17,#REF!,IF(P28=18,#REF!,IF(P28=19,#REF!,0)))))))))))))))))))</f>
        <v>0</v>
      </c>
      <c r="R28" s="505">
        <f t="shared" si="9"/>
        <v>1.7831089770769821E-3</v>
      </c>
      <c r="S28" s="483">
        <f t="shared" si="14"/>
        <v>1.3721980956654223E-2</v>
      </c>
      <c r="T28" s="483">
        <f t="shared" si="10"/>
        <v>-7.5740956654302138E-5</v>
      </c>
      <c r="U28" s="489">
        <f>((1+J28)/(V27-J28*(1+W27+X27+Y27+Z27+AA27)))-1</f>
        <v>1.8684196987918344E-2</v>
      </c>
      <c r="V28" s="488">
        <f t="shared" si="15"/>
        <v>1.100099697083545</v>
      </c>
      <c r="W28" s="488">
        <f t="shared" si="11"/>
        <v>1.0186841969879183</v>
      </c>
      <c r="X28" s="488">
        <f t="shared" si="16"/>
        <v>1.0357876099089278</v>
      </c>
      <c r="Y28" s="488">
        <f t="shared" si="17"/>
        <v>1.0511157562599911</v>
      </c>
      <c r="Z28" s="488">
        <f t="shared" si="18"/>
        <v>1.0648300793194185</v>
      </c>
      <c r="AA28" s="488">
        <f t="shared" si="19"/>
        <v>1.0769155927112586</v>
      </c>
      <c r="AB28" s="488">
        <f t="shared" ref="AB28:AB51" si="20">V28/V22</f>
        <v>1.0879984813545942</v>
      </c>
      <c r="AC28" s="488"/>
      <c r="AD28" s="488"/>
      <c r="AE28" s="488"/>
      <c r="AF28" s="488"/>
      <c r="AG28" s="488"/>
      <c r="AH28" s="488"/>
      <c r="AI28" s="488"/>
      <c r="AJ28" s="488"/>
      <c r="AK28" s="488"/>
      <c r="AL28" s="488"/>
      <c r="AM28" s="488"/>
      <c r="AN28" s="488"/>
      <c r="AO28" s="488"/>
      <c r="AP28" s="488"/>
      <c r="AQ28" s="488"/>
      <c r="AR28" s="488"/>
      <c r="AS28" s="488"/>
      <c r="AT28" s="488"/>
      <c r="AU28" s="488"/>
      <c r="AV28" s="488"/>
      <c r="AW28" s="488"/>
      <c r="AX28" s="488"/>
      <c r="AY28" s="488"/>
    </row>
    <row r="29" spans="3:51">
      <c r="C29" s="481">
        <v>8</v>
      </c>
      <c r="D29" s="509">
        <f>'Swap and Yield Curves'!D191</f>
        <v>1.4359999999999999</v>
      </c>
      <c r="E29" s="492">
        <f t="shared" si="0"/>
        <v>1</v>
      </c>
      <c r="F29" s="492">
        <f t="shared" si="1"/>
        <v>0</v>
      </c>
      <c r="G29" s="492">
        <f t="shared" si="2"/>
        <v>0</v>
      </c>
      <c r="H29" s="492">
        <f t="shared" si="3"/>
        <v>1.4359999999999999</v>
      </c>
      <c r="I29" s="459">
        <f t="shared" si="12"/>
        <v>8</v>
      </c>
      <c r="J29" s="482">
        <f t="shared" si="4"/>
        <v>1.4411552399999916E-2</v>
      </c>
      <c r="K29" s="491">
        <f t="shared" si="13"/>
        <v>1.4521824312864862E-2</v>
      </c>
      <c r="L29" s="494">
        <f t="shared" si="5"/>
        <v>1.4521824312864862E-2</v>
      </c>
      <c r="M29" s="483">
        <f>'All Curves'!BE22</f>
        <v>1.255203450207204E-2</v>
      </c>
      <c r="N29" s="483">
        <f t="shared" si="6"/>
        <v>1.9697898107928213E-3</v>
      </c>
      <c r="O29" s="492">
        <f t="shared" si="7"/>
        <v>1</v>
      </c>
      <c r="P29" s="492">
        <f t="shared" si="8"/>
        <v>0</v>
      </c>
      <c r="Q29" s="492">
        <f>IF(P29=1,N28,IF(P29=2,N27,IF(P29=3,N26,IF(P29=4,N25,IF(P29=5,N24,IF(P29=6,N23,IF(P29=7,N22,IF(P29=8,#REF!,IF(P29=9,#REF!,IF(P29=10,#REF!,IF(P29=11,#REF!,IF(P29=12,#REF!,IF(P29=13,N16,IF(P29=14,N15,IF(P29=15,N14,IF(P29=16,N13,IF(P29=17,#REF!,IF(P29=18,#REF!,IF(P29=19,#REF!,0)))))))))))))))))))</f>
        <v>0</v>
      </c>
      <c r="R29" s="505">
        <f t="shared" si="9"/>
        <v>1.9697898107928213E-3</v>
      </c>
      <c r="S29" s="483">
        <f t="shared" si="14"/>
        <v>1.4521824312864862E-2</v>
      </c>
      <c r="T29" s="483">
        <f t="shared" si="10"/>
        <v>-1.1027191286494542E-4</v>
      </c>
      <c r="U29" s="489">
        <f>((1+J29)/(V28-J29*(1+W28+X28+Y28+Z28+AA28+AB28)))-1</f>
        <v>2.0138426227165329E-2</v>
      </c>
      <c r="V29" s="488">
        <f t="shared" si="15"/>
        <v>1.1222539736757891</v>
      </c>
      <c r="W29" s="488">
        <f t="shared" si="11"/>
        <v>1.0201384262271653</v>
      </c>
      <c r="X29" s="488">
        <f t="shared" si="16"/>
        <v>1.0391988935377388</v>
      </c>
      <c r="Y29" s="488">
        <f t="shared" si="17"/>
        <v>1.0566467422780907</v>
      </c>
      <c r="Z29" s="488">
        <f t="shared" si="18"/>
        <v>1.0722835733736442</v>
      </c>
      <c r="AA29" s="488">
        <f t="shared" si="19"/>
        <v>1.0862740813162592</v>
      </c>
      <c r="AB29" s="488">
        <f t="shared" si="20"/>
        <v>1.0986029779279585</v>
      </c>
      <c r="AC29" s="488">
        <f t="shared" ref="AC29:AC51" si="21">V29/V22</f>
        <v>1.1099090585066218</v>
      </c>
      <c r="AD29" s="488"/>
      <c r="AE29" s="488"/>
      <c r="AF29" s="488"/>
      <c r="AG29" s="488"/>
      <c r="AH29" s="488"/>
      <c r="AI29" s="488"/>
      <c r="AJ29" s="488"/>
      <c r="AK29" s="488"/>
      <c r="AL29" s="488"/>
      <c r="AM29" s="488"/>
      <c r="AN29" s="488"/>
      <c r="AO29" s="488"/>
      <c r="AP29" s="488"/>
      <c r="AQ29" s="488"/>
      <c r="AR29" s="488"/>
      <c r="AS29" s="488"/>
      <c r="AT29" s="488"/>
      <c r="AU29" s="488"/>
      <c r="AV29" s="488"/>
      <c r="AW29" s="488"/>
      <c r="AX29" s="488"/>
      <c r="AY29" s="488"/>
    </row>
    <row r="30" spans="3:51">
      <c r="C30" s="481">
        <v>9</v>
      </c>
      <c r="D30" s="509">
        <f>'Swap and Yield Curves'!D192</f>
        <v>1.5049999999999999</v>
      </c>
      <c r="E30" s="492">
        <f t="shared" si="0"/>
        <v>1</v>
      </c>
      <c r="F30" s="492">
        <f t="shared" si="1"/>
        <v>0</v>
      </c>
      <c r="G30" s="492">
        <f t="shared" si="2"/>
        <v>0</v>
      </c>
      <c r="H30" s="492">
        <f t="shared" si="3"/>
        <v>1.5049999999999999</v>
      </c>
      <c r="I30" s="459">
        <f t="shared" si="12"/>
        <v>9</v>
      </c>
      <c r="J30" s="482">
        <f t="shared" si="4"/>
        <v>1.5106625625000092E-2</v>
      </c>
      <c r="K30" s="491">
        <f t="shared" si="13"/>
        <v>1.5253677882861361E-2</v>
      </c>
      <c r="L30" s="494">
        <f t="shared" si="5"/>
        <v>1.5253677882861361E-2</v>
      </c>
      <c r="M30" s="483">
        <f>'All Curves'!BE23</f>
        <v>1.313619659363275E-2</v>
      </c>
      <c r="N30" s="483">
        <f t="shared" si="6"/>
        <v>2.1174812892286107E-3</v>
      </c>
      <c r="O30" s="492">
        <f t="shared" si="7"/>
        <v>1</v>
      </c>
      <c r="P30" s="492">
        <f t="shared" si="8"/>
        <v>0</v>
      </c>
      <c r="Q30" s="492">
        <f>IF(P30=1,N29,IF(P30=2,N28,IF(P30=3,N27,IF(P30=4,N26,IF(P30=5,N25,IF(P30=6,N24,IF(P30=7,N23,IF(P30=8,N22,IF(P30=9,#REF!,IF(P30=10,#REF!,IF(P30=11,#REF!,IF(P30=12,#REF!,IF(P30=13,#REF!,IF(P30=14,N16,IF(P30=15,N15,IF(P30=16,N14,IF(P30=17,N13,IF(P30=18,#REF!,IF(P30=19,#REF!,0)))))))))))))))))))</f>
        <v>0</v>
      </c>
      <c r="R30" s="505">
        <f t="shared" si="9"/>
        <v>2.1174812892286107E-3</v>
      </c>
      <c r="S30" s="483">
        <f t="shared" si="14"/>
        <v>1.5253677882861361E-2</v>
      </c>
      <c r="T30" s="483">
        <f t="shared" si="10"/>
        <v>-1.4705225786126874E-4</v>
      </c>
      <c r="U30" s="489">
        <f>((1+J30)/(V29-J30*(1+W29+X29+Y29+Z29+AA29+AB29+AC29)))-1</f>
        <v>2.112754441488085E-2</v>
      </c>
      <c r="V30" s="488">
        <f t="shared" si="15"/>
        <v>1.1459644443494008</v>
      </c>
      <c r="W30" s="488">
        <f t="shared" si="11"/>
        <v>1.0211275444148808</v>
      </c>
      <c r="X30" s="488">
        <f t="shared" si="16"/>
        <v>1.0416914461366065</v>
      </c>
      <c r="Y30" s="488">
        <f t="shared" si="17"/>
        <v>1.0611546143168524</v>
      </c>
      <c r="Z30" s="488">
        <f t="shared" si="18"/>
        <v>1.0789710932564103</v>
      </c>
      <c r="AA30" s="488">
        <f t="shared" si="19"/>
        <v>1.0949382921954429</v>
      </c>
      <c r="AB30" s="488">
        <f t="shared" si="20"/>
        <v>1.1092243852160024</v>
      </c>
      <c r="AC30" s="488">
        <f t="shared" si="21"/>
        <v>1.1218137611384518</v>
      </c>
      <c r="AD30" s="488">
        <f t="shared" ref="AD30:AD51" si="22">V30/V22</f>
        <v>1.133358711436699</v>
      </c>
      <c r="AE30" s="488"/>
      <c r="AF30" s="488"/>
      <c r="AG30" s="488"/>
      <c r="AH30" s="488"/>
      <c r="AI30" s="488"/>
      <c r="AJ30" s="488"/>
      <c r="AK30" s="488"/>
      <c r="AL30" s="488"/>
      <c r="AM30" s="488"/>
      <c r="AN30" s="488"/>
      <c r="AO30" s="488"/>
      <c r="AP30" s="488"/>
      <c r="AQ30" s="488"/>
      <c r="AR30" s="488"/>
      <c r="AS30" s="488"/>
      <c r="AT30" s="488"/>
      <c r="AU30" s="488"/>
      <c r="AV30" s="488"/>
      <c r="AW30" s="488"/>
      <c r="AX30" s="488"/>
      <c r="AY30" s="488"/>
    </row>
    <row r="31" spans="3:51">
      <c r="C31" s="481">
        <v>10</v>
      </c>
      <c r="D31" s="509">
        <f>'Swap and Yield Curves'!D193</f>
        <v>1.5674999999999999</v>
      </c>
      <c r="E31" s="492">
        <f t="shared" si="0"/>
        <v>1</v>
      </c>
      <c r="F31" s="492">
        <f t="shared" si="1"/>
        <v>0</v>
      </c>
      <c r="G31" s="492">
        <f t="shared" si="2"/>
        <v>0</v>
      </c>
      <c r="H31" s="492">
        <f t="shared" si="3"/>
        <v>1.5674999999999999</v>
      </c>
      <c r="I31" s="459">
        <f t="shared" si="12"/>
        <v>10</v>
      </c>
      <c r="J31" s="482">
        <f t="shared" si="4"/>
        <v>1.5736426406249837E-2</v>
      </c>
      <c r="K31" s="491">
        <f t="shared" si="13"/>
        <v>1.5921861978618113E-2</v>
      </c>
      <c r="L31" s="494">
        <f t="shared" si="5"/>
        <v>1.5921861978618113E-2</v>
      </c>
      <c r="M31" s="483">
        <f>'All Curves'!BE24</f>
        <v>1.369090910883131E-2</v>
      </c>
      <c r="N31" s="483">
        <f t="shared" si="6"/>
        <v>2.2309528697868029E-3</v>
      </c>
      <c r="O31" s="492">
        <f t="shared" si="7"/>
        <v>1</v>
      </c>
      <c r="P31" s="492">
        <f t="shared" si="8"/>
        <v>0</v>
      </c>
      <c r="Q31" s="492">
        <f>IF(P31=1,N30,IF(P31=2,N29,IF(P31=3,N28,IF(P31=4,N27,IF(P31=5,N26,IF(P31=6,N25,IF(P31=7,N24,IF(P31=8,N23,IF(P31=9,N22,IF(P31=10,#REF!,IF(P31=11,#REF!,IF(P31=12,#REF!,IF(P31=13,#REF!,IF(P31=14,#REF!,IF(P31=15,N16,IF(P31=16,N15,IF(P31=17,N14,IF(P31=18,N13,IF(P31=19,#REF!,0)))))))))))))))))))</f>
        <v>0</v>
      </c>
      <c r="R31" s="505">
        <f t="shared" si="9"/>
        <v>2.2309528697868029E-3</v>
      </c>
      <c r="S31" s="483">
        <f t="shared" si="14"/>
        <v>1.5921861978618113E-2</v>
      </c>
      <c r="T31" s="483">
        <f t="shared" si="10"/>
        <v>-1.8543557236827546E-4</v>
      </c>
      <c r="U31" s="489">
        <f>((1+J31)/(V30-J31*(1+W30+X30+Y30+Z30+AA30+AB30+AC30+AD30)))-1</f>
        <v>2.1955342901628372E-2</v>
      </c>
      <c r="V31" s="488">
        <f t="shared" si="15"/>
        <v>1.1711244866781658</v>
      </c>
      <c r="W31" s="488">
        <f t="shared" si="11"/>
        <v>1.0219553429016284</v>
      </c>
      <c r="X31" s="488">
        <f t="shared" si="16"/>
        <v>1.0435467497988071</v>
      </c>
      <c r="Y31" s="488">
        <f t="shared" si="17"/>
        <v>1.0645621390342288</v>
      </c>
      <c r="Z31" s="488">
        <f t="shared" si="18"/>
        <v>1.0844526277458242</v>
      </c>
      <c r="AA31" s="488">
        <f t="shared" si="19"/>
        <v>1.1026602735897995</v>
      </c>
      <c r="AB31" s="488">
        <f t="shared" si="20"/>
        <v>1.1189780378567171</v>
      </c>
      <c r="AC31" s="488">
        <f t="shared" si="21"/>
        <v>1.1335777869482677</v>
      </c>
      <c r="AD31" s="488">
        <f t="shared" si="22"/>
        <v>1.1464435669360118</v>
      </c>
      <c r="AE31" s="488">
        <f t="shared" ref="AE31:AE51" si="23">V31/V22</f>
        <v>1.1582419905768393</v>
      </c>
      <c r="AF31" s="488"/>
      <c r="AG31" s="488"/>
      <c r="AH31" s="488"/>
      <c r="AI31" s="488"/>
      <c r="AJ31" s="488"/>
      <c r="AK31" s="488"/>
      <c r="AL31" s="488"/>
      <c r="AM31" s="488"/>
      <c r="AN31" s="488"/>
      <c r="AO31" s="488"/>
      <c r="AP31" s="488"/>
      <c r="AQ31" s="488"/>
      <c r="AR31" s="488"/>
      <c r="AS31" s="488"/>
      <c r="AT31" s="488"/>
      <c r="AU31" s="488"/>
      <c r="AV31" s="488"/>
      <c r="AW31" s="488"/>
      <c r="AX31" s="488"/>
      <c r="AY31" s="488"/>
    </row>
    <row r="32" spans="3:51">
      <c r="C32" s="481">
        <v>11</v>
      </c>
      <c r="D32" s="484"/>
      <c r="E32" s="492" t="str">
        <f t="shared" si="0"/>
        <v/>
      </c>
      <c r="F32" s="492">
        <f t="shared" si="1"/>
        <v>1</v>
      </c>
      <c r="G32" s="492">
        <f t="shared" si="2"/>
        <v>1.5674999999999999</v>
      </c>
      <c r="H32" s="492">
        <f t="shared" si="3"/>
        <v>1.62625</v>
      </c>
      <c r="I32" s="459">
        <f t="shared" si="12"/>
        <v>11</v>
      </c>
      <c r="J32" s="482">
        <f t="shared" si="4"/>
        <v>1.6328617226562425E-2</v>
      </c>
      <c r="K32" s="491">
        <f t="shared" si="13"/>
        <v>1.655570446726462E-2</v>
      </c>
      <c r="L32" s="494" t="str">
        <f t="shared" si="5"/>
        <v/>
      </c>
      <c r="M32" s="483">
        <f>'All Curves'!BE25</f>
        <v>1.421805972089521E-2</v>
      </c>
      <c r="N32" s="483" t="str">
        <f t="shared" si="6"/>
        <v/>
      </c>
      <c r="O32" s="492" t="str">
        <f t="shared" si="7"/>
        <v/>
      </c>
      <c r="P32" s="492">
        <f t="shared" si="8"/>
        <v>1</v>
      </c>
      <c r="Q32" s="492">
        <f>IF(P32=1,N31,IF(P32=2,N30,IF(P32=3,N29,IF(P32=4,N28,IF(P32=5,N27,IF(P32=6,N26,IF(P32=7,N25,IF(P32=8,N24,IF(P32=9,N23,IF(P32=10,N22,IF(P32=11,#REF!,IF(P32=12,#REF!,IF(P32=13,#REF!,IF(P32=14,#REF!,IF(P32=15,#REF!,IF(P32=16,N16,IF(P32=17,N15,IF(P32=18,N14,IF(P32=19,N13,0)))))))))))))))))))</f>
        <v>2.2309528697868029E-3</v>
      </c>
      <c r="R32" s="505">
        <f t="shared" si="9"/>
        <v>2.3537519493682501E-3</v>
      </c>
      <c r="S32" s="483">
        <f t="shared" si="14"/>
        <v>1.6571811670263462E-2</v>
      </c>
      <c r="T32" s="483">
        <f t="shared" si="10"/>
        <v>-2.270872407021951E-4</v>
      </c>
      <c r="U32" s="489">
        <f>((1+J32)/(V31-J32*(1+W31+X31+Y31+Z31+AA31+AB31+AC31+AD31+AE31)))-1</f>
        <v>2.2915920406547219E-2</v>
      </c>
      <c r="V32" s="488">
        <f t="shared" si="15"/>
        <v>1.1979618822010412</v>
      </c>
      <c r="W32" s="488">
        <f t="shared" si="11"/>
        <v>1.0229159204065472</v>
      </c>
      <c r="X32" s="488">
        <f t="shared" si="16"/>
        <v>1.0453743901986077</v>
      </c>
      <c r="Y32" s="488">
        <f t="shared" si="17"/>
        <v>1.0674605840577078</v>
      </c>
      <c r="Z32" s="488">
        <f t="shared" si="18"/>
        <v>1.0889575602801609</v>
      </c>
      <c r="AA32" s="488">
        <f t="shared" si="19"/>
        <v>1.1093038578479184</v>
      </c>
      <c r="AB32" s="488">
        <f t="shared" si="20"/>
        <v>1.127928748654845</v>
      </c>
      <c r="AC32" s="488">
        <f t="shared" si="21"/>
        <v>1.1446204495089161</v>
      </c>
      <c r="AD32" s="488">
        <f t="shared" si="22"/>
        <v>1.159554765288604</v>
      </c>
      <c r="AE32" s="488">
        <f t="shared" si="23"/>
        <v>1.1727153764665155</v>
      </c>
      <c r="AF32" s="488">
        <f t="shared" ref="AF32:AF51" si="24">V32/V22</f>
        <v>1.184784171844419</v>
      </c>
      <c r="AG32" s="488"/>
      <c r="AH32" s="488"/>
      <c r="AI32" s="488"/>
      <c r="AJ32" s="488"/>
      <c r="AK32" s="488"/>
      <c r="AL32" s="488"/>
      <c r="AM32" s="488"/>
      <c r="AN32" s="488"/>
      <c r="AO32" s="488"/>
      <c r="AP32" s="488"/>
      <c r="AQ32" s="488"/>
      <c r="AR32" s="488"/>
      <c r="AS32" s="488"/>
      <c r="AT32" s="488"/>
      <c r="AU32" s="488"/>
      <c r="AV32" s="488"/>
      <c r="AW32" s="488"/>
      <c r="AX32" s="488"/>
      <c r="AY32" s="488"/>
    </row>
    <row r="33" spans="3:51">
      <c r="C33" s="481">
        <v>12</v>
      </c>
      <c r="D33" s="495">
        <f>'Swap and Yield Curves'!D194</f>
        <v>1.6850000000000001</v>
      </c>
      <c r="E33" s="492">
        <f t="shared" si="0"/>
        <v>1</v>
      </c>
      <c r="F33" s="492">
        <f t="shared" si="1"/>
        <v>0</v>
      </c>
      <c r="G33" s="492">
        <f t="shared" si="2"/>
        <v>0</v>
      </c>
      <c r="H33" s="492">
        <f t="shared" si="3"/>
        <v>1.6850000000000001</v>
      </c>
      <c r="I33" s="459">
        <f t="shared" si="12"/>
        <v>12</v>
      </c>
      <c r="J33" s="482">
        <f t="shared" si="4"/>
        <v>1.6920980624999915E-2</v>
      </c>
      <c r="K33" s="491">
        <f t="shared" si="13"/>
        <v>1.7196909418531803E-2</v>
      </c>
      <c r="L33" s="494">
        <f t="shared" si="5"/>
        <v>1.7196909418531803E-2</v>
      </c>
      <c r="M33" s="483">
        <f>'All Curves'!BE26</f>
        <v>1.4720358389582106E-2</v>
      </c>
      <c r="N33" s="483">
        <f t="shared" si="6"/>
        <v>2.4765510289496973E-3</v>
      </c>
      <c r="O33" s="492">
        <f t="shared" si="7"/>
        <v>1</v>
      </c>
      <c r="P33" s="492">
        <f t="shared" si="8"/>
        <v>0</v>
      </c>
      <c r="Q33" s="492">
        <f>IF(P33=1,N32,IF(P33=2,N31,IF(P33=3,N30,IF(P33=4,N29,IF(P33=5,N28,IF(P33=6,N27,IF(P33=7,N26,IF(P33=8,N25,IF(P33=9,N24,IF(P33=10,N23,IF(P33=11,N22,IF(P33=12,#REF!,IF(P33=13,#REF!,IF(P33=14,#REF!,IF(P33=15,#REF!,IF(P33=16,#REF!,IF(P33=17,N16,IF(P33=18,N15,IF(P33=19,N14,0)))))))))))))))))))</f>
        <v>0</v>
      </c>
      <c r="R33" s="505">
        <f t="shared" si="9"/>
        <v>2.4765510289496973E-3</v>
      </c>
      <c r="S33" s="483">
        <f t="shared" si="14"/>
        <v>1.7196909418531803E-2</v>
      </c>
      <c r="T33" s="483">
        <f t="shared" si="10"/>
        <v>-2.7592879353188771E-4</v>
      </c>
      <c r="U33" s="489">
        <f>((1+J33)/(V32-J33*(1+W32+X32+Y32+Z32+AA32+AB32+AC32+AD32+AE32+AF32)))-1</f>
        <v>2.4276913645929765E-2</v>
      </c>
      <c r="V33" s="488">
        <f t="shared" si="15"/>
        <v>1.2270446993663513</v>
      </c>
      <c r="W33" s="488">
        <f t="shared" si="11"/>
        <v>1.0242769136459298</v>
      </c>
      <c r="X33" s="488">
        <f t="shared" si="16"/>
        <v>1.0477491618733037</v>
      </c>
      <c r="Y33" s="488">
        <f t="shared" si="17"/>
        <v>1.0707528539971258</v>
      </c>
      <c r="Z33" s="488">
        <f t="shared" si="18"/>
        <v>1.0933752324773105</v>
      </c>
      <c r="AA33" s="488">
        <f t="shared" si="19"/>
        <v>1.1153940889351646</v>
      </c>
      <c r="AB33" s="488">
        <f t="shared" si="20"/>
        <v>1.136234331811989</v>
      </c>
      <c r="AC33" s="488">
        <f t="shared" si="21"/>
        <v>1.1553113774847001</v>
      </c>
      <c r="AD33" s="488">
        <f t="shared" si="22"/>
        <v>1.1724083013190094</v>
      </c>
      <c r="AE33" s="488">
        <f t="shared" si="23"/>
        <v>1.1877051761932418</v>
      </c>
      <c r="AF33" s="488">
        <f t="shared" si="24"/>
        <v>1.2011852863922472</v>
      </c>
      <c r="AG33" s="488">
        <f t="shared" ref="AG33:AG51" si="25">V33/V22</f>
        <v>1.2135470748733503</v>
      </c>
      <c r="AH33" s="488"/>
      <c r="AI33" s="488"/>
      <c r="AJ33" s="488"/>
      <c r="AK33" s="488"/>
      <c r="AL33" s="488"/>
      <c r="AM33" s="488"/>
      <c r="AN33" s="488"/>
      <c r="AO33" s="488"/>
      <c r="AP33" s="488"/>
      <c r="AQ33" s="488"/>
      <c r="AR33" s="488"/>
      <c r="AS33" s="488"/>
      <c r="AT33" s="488"/>
      <c r="AU33" s="488"/>
      <c r="AV33" s="488"/>
      <c r="AW33" s="488"/>
      <c r="AX33" s="488"/>
      <c r="AY33" s="488"/>
    </row>
    <row r="34" spans="3:51">
      <c r="C34" s="481">
        <v>13</v>
      </c>
      <c r="D34" s="484"/>
      <c r="E34" s="492" t="str">
        <f t="shared" si="0"/>
        <v/>
      </c>
      <c r="F34" s="492">
        <f t="shared" si="1"/>
        <v>1</v>
      </c>
      <c r="G34" s="492">
        <f t="shared" si="2"/>
        <v>1.6850000000000001</v>
      </c>
      <c r="H34" s="492">
        <f t="shared" si="3"/>
        <v>1.7304999999999997</v>
      </c>
      <c r="I34" s="459">
        <f t="shared" si="12"/>
        <v>13</v>
      </c>
      <c r="J34" s="482">
        <f t="shared" si="4"/>
        <v>1.7379865756249835E-2</v>
      </c>
      <c r="K34" s="491">
        <f t="shared" si="13"/>
        <v>1.7694375715377353E-2</v>
      </c>
      <c r="L34" s="494" t="str">
        <f t="shared" si="5"/>
        <v/>
      </c>
      <c r="M34" s="483">
        <f>'All Curves'!BE27</f>
        <v>1.5200613238419539E-2</v>
      </c>
      <c r="N34" s="483" t="str">
        <f t="shared" si="6"/>
        <v/>
      </c>
      <c r="O34" s="492" t="str">
        <f t="shared" si="7"/>
        <v/>
      </c>
      <c r="P34" s="492">
        <f t="shared" si="8"/>
        <v>1</v>
      </c>
      <c r="Q34" s="492">
        <f>IF(P34=1,N33,IF(P34=2,N32,IF(P34=3,N31,IF(P34=4,N30,IF(P34=5,N29,IF(P34=6,N28,IF(P34=7,N27,IF(P34=8,N26,IF(P34=9,N25,IF(P34=10,N24,IF(P34=11,N23,IF(P34=12,N22,IF(P34=13,#REF!,IF(P34=14,#REF!,IF(P34=15,#REF!,IF(P34=16,#REF!,IF(P34=17,#REF!,IF(P34=18,N16,IF(P34=19,N15,0)))))))))))))))))))</f>
        <v>2.4765510289496973E-3</v>
      </c>
      <c r="R34" s="505">
        <f t="shared" si="9"/>
        <v>2.5188712831037E-3</v>
      </c>
      <c r="S34" s="483">
        <f t="shared" si="14"/>
        <v>1.7719484521523238E-2</v>
      </c>
      <c r="T34" s="483">
        <f t="shared" si="10"/>
        <v>-3.14509959127518E-4</v>
      </c>
      <c r="U34" s="489">
        <f>((1+J34)/(V33-J34*(1+W33+X33+Y33+Z33+AA33+AB33+AC33+AD33+AE33+AF33+AG33)))-1</f>
        <v>2.3682981882138687E-2</v>
      </c>
      <c r="V34" s="488">
        <f t="shared" si="15"/>
        <v>1.2561047767500189</v>
      </c>
      <c r="W34" s="488">
        <f t="shared" si="11"/>
        <v>1.0236829818821387</v>
      </c>
      <c r="X34" s="488">
        <f t="shared" si="16"/>
        <v>1.0485348452340992</v>
      </c>
      <c r="Y34" s="488">
        <f t="shared" si="17"/>
        <v>1.0725629862909751</v>
      </c>
      <c r="Z34" s="488">
        <f t="shared" si="18"/>
        <v>1.096111474438588</v>
      </c>
      <c r="AA34" s="488">
        <f t="shared" si="19"/>
        <v>1.1192696182984496</v>
      </c>
      <c r="AB34" s="488">
        <f t="shared" si="20"/>
        <v>1.1418099469348606</v>
      </c>
      <c r="AC34" s="488">
        <f t="shared" si="21"/>
        <v>1.1631437489061562</v>
      </c>
      <c r="AD34" s="488">
        <f t="shared" si="22"/>
        <v>1.182672595905899</v>
      </c>
      <c r="AE34" s="488">
        <f t="shared" si="23"/>
        <v>1.2001744258776164</v>
      </c>
      <c r="AF34" s="488">
        <f t="shared" si="24"/>
        <v>1.2158335763623487</v>
      </c>
      <c r="AG34" s="488">
        <f t="shared" si="25"/>
        <v>1.2296329357669662</v>
      </c>
      <c r="AH34" s="488">
        <f t="shared" ref="AH34:AH51" si="26">V34/V22</f>
        <v>1.2422874882606982</v>
      </c>
      <c r="AI34" s="488"/>
      <c r="AJ34" s="488"/>
      <c r="AK34" s="488"/>
      <c r="AL34" s="488"/>
      <c r="AM34" s="488"/>
      <c r="AN34" s="488"/>
      <c r="AO34" s="488"/>
      <c r="AP34" s="488"/>
      <c r="AQ34" s="488"/>
      <c r="AR34" s="488"/>
      <c r="AS34" s="488"/>
      <c r="AT34" s="488"/>
      <c r="AU34" s="488"/>
      <c r="AV34" s="488"/>
      <c r="AW34" s="488"/>
      <c r="AX34" s="488"/>
      <c r="AY34" s="488"/>
    </row>
    <row r="35" spans="3:51">
      <c r="C35" s="481">
        <v>14</v>
      </c>
      <c r="D35" s="484"/>
      <c r="E35" s="492" t="str">
        <f t="shared" si="0"/>
        <v/>
      </c>
      <c r="F35" s="492">
        <f t="shared" si="1"/>
        <v>2</v>
      </c>
      <c r="G35" s="492">
        <f t="shared" si="2"/>
        <v>1.6850000000000001</v>
      </c>
      <c r="H35" s="492">
        <f t="shared" si="3"/>
        <v>1.7759999999999998</v>
      </c>
      <c r="I35" s="459">
        <f t="shared" si="12"/>
        <v>14</v>
      </c>
      <c r="J35" s="482">
        <f t="shared" si="4"/>
        <v>1.7838854400000104E-2</v>
      </c>
      <c r="K35" s="491">
        <f t="shared" si="13"/>
        <v>1.8198147093304584E-2</v>
      </c>
      <c r="L35" s="494" t="str">
        <f t="shared" si="5"/>
        <v/>
      </c>
      <c r="M35" s="483">
        <f>'All Curves'!BE28</f>
        <v>1.5661415348514531E-2</v>
      </c>
      <c r="N35" s="483" t="str">
        <f t="shared" si="6"/>
        <v/>
      </c>
      <c r="O35" s="492" t="str">
        <f t="shared" si="7"/>
        <v/>
      </c>
      <c r="P35" s="492">
        <f t="shared" si="8"/>
        <v>2</v>
      </c>
      <c r="Q35" s="492">
        <f>IF(P35=1,N34,IF(P35=2,N33,IF(P35=3,N32,IF(P35=4,N31,IF(P35=5,N30,IF(P35=6,N29,IF(P35=7,N28,IF(P35=8,N27,IF(P35=9,N26,IF(P35=10,N25,IF(P35=11,N24,IF(P35=12,N23,IF(P35=13,N22,IF(P35=14,#REF!,IF(P35=15,#REF!,IF(P35=16,#REF!,IF(P35=17,#REF!,IF(P35=18,#REF!,IF(P35=19,N16,0)))))))))))))))))))</f>
        <v>2.4765510289496973E-3</v>
      </c>
      <c r="R35" s="505">
        <f t="shared" si="9"/>
        <v>2.5611915372577032E-3</v>
      </c>
      <c r="S35" s="483">
        <f t="shared" si="14"/>
        <v>1.8222606885772236E-2</v>
      </c>
      <c r="T35" s="483">
        <f t="shared" si="10"/>
        <v>-3.5929269330448044E-4</v>
      </c>
      <c r="U35" s="489">
        <f>((1+J35)/(V34-J35*(1+W34+X34+Y34+Z34+AA34+AB34+AC34+AD34+AE34+AF34+AG34+AH34)))-1</f>
        <v>2.476991295285047E-2</v>
      </c>
      <c r="V35" s="488">
        <f t="shared" si="15"/>
        <v>1.2872183827297765</v>
      </c>
      <c r="W35" s="488">
        <f t="shared" si="11"/>
        <v>1.0247699129528505</v>
      </c>
      <c r="X35" s="488">
        <f t="shared" si="16"/>
        <v>1.0490395202346736</v>
      </c>
      <c r="Y35" s="488">
        <f t="shared" si="17"/>
        <v>1.0745069620785783</v>
      </c>
      <c r="Z35" s="488">
        <f t="shared" si="18"/>
        <v>1.099130278097852</v>
      </c>
      <c r="AA35" s="488">
        <f t="shared" si="19"/>
        <v>1.1232620602470524</v>
      </c>
      <c r="AB35" s="488">
        <f t="shared" si="20"/>
        <v>1.1469938293144726</v>
      </c>
      <c r="AC35" s="488">
        <f t="shared" si="21"/>
        <v>1.1700924799291359</v>
      </c>
      <c r="AD35" s="488">
        <f t="shared" si="22"/>
        <v>1.191954718318214</v>
      </c>
      <c r="AE35" s="488">
        <f t="shared" si="23"/>
        <v>1.2119672931582099</v>
      </c>
      <c r="AF35" s="488">
        <f t="shared" si="24"/>
        <v>1.2299026419348422</v>
      </c>
      <c r="AG35" s="488">
        <f t="shared" si="25"/>
        <v>1.245949668213997</v>
      </c>
      <c r="AH35" s="488">
        <f t="shared" si="26"/>
        <v>1.260090836549872</v>
      </c>
      <c r="AI35" s="488">
        <f t="shared" ref="AI35:AI51" si="27">V35/V22</f>
        <v>1.2730588412073311</v>
      </c>
      <c r="AJ35" s="488"/>
      <c r="AK35" s="488"/>
      <c r="AL35" s="488"/>
      <c r="AM35" s="488"/>
      <c r="AN35" s="488"/>
      <c r="AO35" s="488"/>
      <c r="AP35" s="488"/>
      <c r="AQ35" s="488"/>
      <c r="AR35" s="488"/>
      <c r="AS35" s="488"/>
      <c r="AT35" s="488"/>
      <c r="AU35" s="488"/>
      <c r="AV35" s="488"/>
      <c r="AW35" s="488"/>
      <c r="AX35" s="488"/>
      <c r="AY35" s="488"/>
    </row>
    <row r="36" spans="3:51">
      <c r="C36" s="481">
        <v>15</v>
      </c>
      <c r="D36" s="495">
        <f>'Swap and Yield Curves'!D195</f>
        <v>1.8214999999999999</v>
      </c>
      <c r="E36" s="492">
        <f t="shared" si="0"/>
        <v>1</v>
      </c>
      <c r="F36" s="492">
        <f t="shared" si="1"/>
        <v>0</v>
      </c>
      <c r="G36" s="492">
        <f t="shared" si="2"/>
        <v>0</v>
      </c>
      <c r="H36" s="492">
        <f t="shared" si="3"/>
        <v>1.8214999999999999</v>
      </c>
      <c r="I36" s="459">
        <f t="shared" si="12"/>
        <v>15</v>
      </c>
      <c r="J36" s="482">
        <f t="shared" si="4"/>
        <v>1.8297946556250055E-2</v>
      </c>
      <c r="K36" s="491">
        <f t="shared" si="13"/>
        <v>1.8708540145973451E-2</v>
      </c>
      <c r="L36" s="494">
        <f t="shared" si="5"/>
        <v>1.8708540145973451E-2</v>
      </c>
      <c r="M36" s="483">
        <f>'All Curves'!BE29</f>
        <v>1.6105028354561745E-2</v>
      </c>
      <c r="N36" s="483">
        <f t="shared" si="6"/>
        <v>2.6035117914117063E-3</v>
      </c>
      <c r="O36" s="492">
        <f t="shared" si="7"/>
        <v>1</v>
      </c>
      <c r="P36" s="492">
        <f t="shared" si="8"/>
        <v>0</v>
      </c>
      <c r="Q36" s="492">
        <f>IF(P36=1,N35,IF(P36=2,N34,IF(P36=3,N33,IF(P36=4,N32,IF(P36=5,N31,IF(P36=6,N30,IF(P36=7,N29,IF(P36=8,N28,IF(P36=9,N27,IF(P36=10,N26,IF(P36=11,N25,IF(P36=12,N24,IF(P36=13,N23,IF(P36=14,N22,IF(P36=15,#REF!,IF(P36=16,#REF!,IF(P36=17,#REF!,IF(P36=18,#REF!,IF(P36=19,#REF!,0)))))))))))))))))))</f>
        <v>0</v>
      </c>
      <c r="R36" s="505">
        <f t="shared" si="9"/>
        <v>2.6035117914117063E-3</v>
      </c>
      <c r="S36" s="483">
        <f t="shared" si="14"/>
        <v>1.8708540145973451E-2</v>
      </c>
      <c r="T36" s="483">
        <f t="shared" si="10"/>
        <v>-4.1059358972339588E-4</v>
      </c>
      <c r="U36" s="489">
        <f>((1+J36)/(V35-J36*(1+W35+X35+Y35+Z35+AA35+AB35+AC35+AD35+AE35+AF35+AG35+AH35+AI35)))-1</f>
        <v>2.5880965065735451E-2</v>
      </c>
      <c r="V36" s="488">
        <f t="shared" si="15"/>
        <v>1.3205328367251783</v>
      </c>
      <c r="W36" s="488">
        <f t="shared" si="11"/>
        <v>1.0258809650657355</v>
      </c>
      <c r="X36" s="488">
        <f t="shared" si="16"/>
        <v>1.0512919472703999</v>
      </c>
      <c r="Y36" s="488">
        <f t="shared" si="17"/>
        <v>1.076189675410443</v>
      </c>
      <c r="Z36" s="488">
        <f t="shared" si="18"/>
        <v>1.1023162392270236</v>
      </c>
      <c r="AA36" s="488">
        <f t="shared" si="19"/>
        <v>1.1275768304279945</v>
      </c>
      <c r="AB36" s="488">
        <f t="shared" si="20"/>
        <v>1.1523331663879723</v>
      </c>
      <c r="AC36" s="488">
        <f t="shared" si="21"/>
        <v>1.1766791365415745</v>
      </c>
      <c r="AD36" s="488">
        <f t="shared" si="22"/>
        <v>1.2003756025258616</v>
      </c>
      <c r="AE36" s="488">
        <f t="shared" si="23"/>
        <v>1.2228036567429461</v>
      </c>
      <c r="AF36" s="488">
        <f t="shared" si="24"/>
        <v>1.2433341763332515</v>
      </c>
      <c r="AG36" s="488">
        <f t="shared" si="25"/>
        <v>1.2617337092450136</v>
      </c>
      <c r="AH36" s="488">
        <f t="shared" si="26"/>
        <v>1.278196048050708</v>
      </c>
      <c r="AI36" s="488">
        <f t="shared" si="27"/>
        <v>1.2927032034702726</v>
      </c>
      <c r="AJ36" s="488">
        <f t="shared" ref="AJ36:AJ51" si="28">V36/V22</f>
        <v>1.3060068326032437</v>
      </c>
      <c r="AK36" s="488"/>
      <c r="AL36" s="488"/>
      <c r="AM36" s="488"/>
      <c r="AN36" s="488"/>
      <c r="AO36" s="488"/>
      <c r="AP36" s="488"/>
      <c r="AQ36" s="488"/>
      <c r="AR36" s="488"/>
      <c r="AS36" s="488"/>
      <c r="AT36" s="488"/>
      <c r="AU36" s="488"/>
      <c r="AV36" s="488"/>
      <c r="AW36" s="488"/>
      <c r="AX36" s="488"/>
      <c r="AY36" s="488"/>
    </row>
    <row r="37" spans="3:51">
      <c r="C37" s="481">
        <v>16</v>
      </c>
      <c r="D37" s="484"/>
      <c r="E37" s="492" t="str">
        <f t="shared" si="0"/>
        <v/>
      </c>
      <c r="F37" s="492">
        <f t="shared" si="1"/>
        <v>1</v>
      </c>
      <c r="G37" s="492">
        <f t="shared" si="2"/>
        <v>1.8214999999999999</v>
      </c>
      <c r="H37" s="492">
        <f t="shared" si="3"/>
        <v>1.8452000000000006</v>
      </c>
      <c r="I37" s="459">
        <f t="shared" si="12"/>
        <v>16</v>
      </c>
      <c r="J37" s="482">
        <f t="shared" si="4"/>
        <v>1.8537119075999975E-2</v>
      </c>
      <c r="K37" s="491">
        <f t="shared" si="13"/>
        <v>1.8965172413377918E-2</v>
      </c>
      <c r="L37" s="494" t="str">
        <f t="shared" si="5"/>
        <v/>
      </c>
      <c r="M37" s="483">
        <f>'All Curves'!BE30</f>
        <v>1.6533375321693407E-2</v>
      </c>
      <c r="N37" s="483" t="str">
        <f t="shared" si="6"/>
        <v/>
      </c>
      <c r="O37" s="492" t="str">
        <f t="shared" si="7"/>
        <v/>
      </c>
      <c r="P37" s="492">
        <f t="shared" si="8"/>
        <v>1</v>
      </c>
      <c r="Q37" s="492">
        <f>IF(P37=1,N36,IF(P37=2,N35,IF(P37=3,N34,IF(P37=4,N33,IF(P37=5,N32,IF(P37=6,N31,IF(P37=7,N30,IF(P37=8,N29,IF(P37=9,N28,IF(P37=10,N27,IF(P37=11,N26,IF(P37=12,N25,IF(P37=13,N24,IF(P37=14,N23,IF(P37=15,N22,IF(P37=16,#REF!,IF(P37=17,#REF!,IF(P37=18,#REF!,IF(P37=19,#REF!,0)))))))))))))))))))</f>
        <v>2.6035117914117063E-3</v>
      </c>
      <c r="R37" s="505">
        <f t="shared" si="9"/>
        <v>2.4647944208144625E-3</v>
      </c>
      <c r="S37" s="483">
        <f t="shared" si="14"/>
        <v>1.899816974250787E-2</v>
      </c>
      <c r="T37" s="483">
        <f t="shared" si="10"/>
        <v>-4.2805333737794271E-4</v>
      </c>
      <c r="U37" s="489">
        <f>((1+J37)/(V36-J37*(1+W36+X36+Y36+Z36+AA36+AB36+AC36+AD36+AE36+AF36+AG36+AH36+AI36+AJ36)))-1</f>
        <v>2.2822423624757837E-2</v>
      </c>
      <c r="V37" s="488">
        <f t="shared" si="15"/>
        <v>1.3506705965353234</v>
      </c>
      <c r="W37" s="488">
        <f t="shared" si="11"/>
        <v>1.0228224236247578</v>
      </c>
      <c r="X37" s="488">
        <f t="shared" si="16"/>
        <v>1.0492940550390411</v>
      </c>
      <c r="Y37" s="488">
        <f t="shared" si="17"/>
        <v>1.0752849774443014</v>
      </c>
      <c r="Z37" s="488">
        <f t="shared" si="18"/>
        <v>1.1007509320832507</v>
      </c>
      <c r="AA37" s="488">
        <f t="shared" si="19"/>
        <v>1.1274737674071125</v>
      </c>
      <c r="AB37" s="488">
        <f t="shared" si="20"/>
        <v>1.153310866521484</v>
      </c>
      <c r="AC37" s="488">
        <f t="shared" si="21"/>
        <v>1.178632202068137</v>
      </c>
      <c r="AD37" s="488">
        <f t="shared" si="22"/>
        <v>1.2035338062661405</v>
      </c>
      <c r="AE37" s="488">
        <f t="shared" si="23"/>
        <v>1.2277710830355308</v>
      </c>
      <c r="AF37" s="488">
        <f t="shared" si="24"/>
        <v>1.2507109998070365</v>
      </c>
      <c r="AG37" s="488">
        <f t="shared" si="25"/>
        <v>1.2717100756126682</v>
      </c>
      <c r="AH37" s="488">
        <f t="shared" si="26"/>
        <v>1.2905295304590403</v>
      </c>
      <c r="AI37" s="488">
        <f t="shared" si="27"/>
        <v>1.3073675797348125</v>
      </c>
      <c r="AJ37" s="488">
        <f t="shared" si="28"/>
        <v>1.3222058236009524</v>
      </c>
      <c r="AK37" s="496">
        <f t="shared" ref="AK37:AK51" si="29">V37/V22</f>
        <v>1.335813073793743</v>
      </c>
      <c r="AL37" s="488"/>
      <c r="AM37" s="488"/>
      <c r="AN37" s="488"/>
      <c r="AO37" s="488"/>
      <c r="AP37" s="488"/>
      <c r="AQ37" s="488"/>
      <c r="AR37" s="488"/>
      <c r="AS37" s="488"/>
      <c r="AT37" s="488"/>
      <c r="AU37" s="488"/>
      <c r="AV37" s="488"/>
      <c r="AW37" s="488"/>
      <c r="AX37" s="488"/>
      <c r="AY37" s="488"/>
    </row>
    <row r="38" spans="3:51">
      <c r="C38" s="481">
        <v>17</v>
      </c>
      <c r="D38" s="484"/>
      <c r="E38" s="492" t="str">
        <f t="shared" si="0"/>
        <v/>
      </c>
      <c r="F38" s="492">
        <f t="shared" si="1"/>
        <v>2</v>
      </c>
      <c r="G38" s="492">
        <f t="shared" si="2"/>
        <v>1.8214999999999999</v>
      </c>
      <c r="H38" s="492">
        <f t="shared" si="3"/>
        <v>1.8689000000000004</v>
      </c>
      <c r="I38" s="459">
        <f t="shared" si="12"/>
        <v>17</v>
      </c>
      <c r="J38" s="482">
        <f t="shared" si="4"/>
        <v>1.8776319680250175E-2</v>
      </c>
      <c r="K38" s="491">
        <f t="shared" si="13"/>
        <v>1.9225936318882253E-2</v>
      </c>
      <c r="L38" s="494" t="str">
        <f t="shared" si="5"/>
        <v/>
      </c>
      <c r="M38" s="483">
        <f>'All Curves'!BE31</f>
        <v>1.6948067522016757E-2</v>
      </c>
      <c r="N38" s="483" t="str">
        <f t="shared" si="6"/>
        <v/>
      </c>
      <c r="O38" s="492" t="str">
        <f t="shared" si="7"/>
        <v/>
      </c>
      <c r="P38" s="492">
        <f t="shared" si="8"/>
        <v>2</v>
      </c>
      <c r="Q38" s="492">
        <f>IF(P38=1,N37,IF(P38=2,N36,IF(P38=3,N35,IF(P38=4,N34,IF(P38=5,N33,IF(P38=6,N32,IF(P38=7,N31,IF(P38=8,N30,IF(P38=9,N29,IF(P38=10,N28,IF(P38=11,N27,IF(P38=12,N26,IF(P38=13,N25,IF(P38=14,N24,IF(P38=15,N23,IF(P38=16,N22,IF(P38=17,#REF!,IF(P38=18,#REF!,IF(P38=19,#REF!,0)))))))))))))))))))</f>
        <v>2.6035117914117063E-3</v>
      </c>
      <c r="R38" s="505">
        <f t="shared" si="9"/>
        <v>2.3260770502172177E-3</v>
      </c>
      <c r="S38" s="483">
        <f t="shared" si="14"/>
        <v>1.9274144572233975E-2</v>
      </c>
      <c r="T38" s="483">
        <f t="shared" si="10"/>
        <v>-4.4961663863207768E-4</v>
      </c>
      <c r="U38" s="489">
        <f>((1+J38)/(V37-J38*(1+W37+X37+Y37+Z37+AA37+AB37+AC37+AD37+AE37+AF37+AG37+AH37+AI37+AJ37+AK37)))-1</f>
        <v>2.3407246012814964E-2</v>
      </c>
      <c r="V38" s="488">
        <f t="shared" si="15"/>
        <v>1.3822860754707011</v>
      </c>
      <c r="W38" s="488">
        <f t="shared" si="11"/>
        <v>1.023407246012815</v>
      </c>
      <c r="X38" s="488">
        <f t="shared" si="16"/>
        <v>1.0467638797219661</v>
      </c>
      <c r="Y38" s="488">
        <f t="shared" si="17"/>
        <v>1.0738551391251239</v>
      </c>
      <c r="Z38" s="488">
        <f t="shared" si="18"/>
        <v>1.1004544374452243</v>
      </c>
      <c r="AA38" s="488">
        <f t="shared" si="19"/>
        <v>1.1265164799493588</v>
      </c>
      <c r="AB38" s="488">
        <f t="shared" si="20"/>
        <v>1.153864823253806</v>
      </c>
      <c r="AC38" s="488">
        <f t="shared" si="21"/>
        <v>1.1803066977034049</v>
      </c>
      <c r="AD38" s="488">
        <f t="shared" si="22"/>
        <v>1.2062207359805717</v>
      </c>
      <c r="AE38" s="488">
        <f t="shared" si="23"/>
        <v>1.2317052181541515</v>
      </c>
      <c r="AF38" s="488">
        <f t="shared" si="24"/>
        <v>1.2565098228235636</v>
      </c>
      <c r="AG38" s="488">
        <f t="shared" si="25"/>
        <v>1.2799866998704534</v>
      </c>
      <c r="AH38" s="488">
        <f t="shared" si="26"/>
        <v>1.3014773062095093</v>
      </c>
      <c r="AI38" s="488">
        <f t="shared" si="27"/>
        <v>1.3207372726652975</v>
      </c>
      <c r="AJ38" s="488">
        <f t="shared" si="28"/>
        <v>1.3379694543028438</v>
      </c>
      <c r="AK38" s="488">
        <f t="shared" si="29"/>
        <v>1.3531550205935565</v>
      </c>
      <c r="AL38" s="488">
        <f t="shared" ref="AL38:AL51" si="30">V38/V22</f>
        <v>1.3670807790391675</v>
      </c>
      <c r="AM38" s="488"/>
      <c r="AN38" s="488"/>
      <c r="AO38" s="488"/>
      <c r="AP38" s="488"/>
      <c r="AQ38" s="488"/>
      <c r="AR38" s="488"/>
      <c r="AS38" s="488"/>
      <c r="AT38" s="488"/>
      <c r="AU38" s="488"/>
      <c r="AV38" s="488"/>
      <c r="AW38" s="488"/>
      <c r="AX38" s="488"/>
      <c r="AY38" s="488"/>
    </row>
    <row r="39" spans="3:51">
      <c r="C39" s="481">
        <v>18</v>
      </c>
      <c r="D39" s="484"/>
      <c r="E39" s="492" t="str">
        <f t="shared" si="0"/>
        <v/>
      </c>
      <c r="F39" s="492">
        <f t="shared" si="1"/>
        <v>3</v>
      </c>
      <c r="G39" s="492">
        <f t="shared" si="2"/>
        <v>1.8214999999999999</v>
      </c>
      <c r="H39" s="492">
        <f t="shared" si="3"/>
        <v>1.8926000000000003</v>
      </c>
      <c r="I39" s="459">
        <f t="shared" si="12"/>
        <v>18</v>
      </c>
      <c r="J39" s="482">
        <f t="shared" si="4"/>
        <v>1.901554836899999E-2</v>
      </c>
      <c r="K39" s="491">
        <f t="shared" si="13"/>
        <v>1.9490751944288176E-2</v>
      </c>
      <c r="L39" s="494" t="str">
        <f t="shared" si="5"/>
        <v/>
      </c>
      <c r="M39" s="483">
        <f>'All Curves'!BE32</f>
        <v>1.7350447542822361E-2</v>
      </c>
      <c r="N39" s="483" t="str">
        <f t="shared" si="6"/>
        <v/>
      </c>
      <c r="O39" s="492" t="str">
        <f t="shared" si="7"/>
        <v/>
      </c>
      <c r="P39" s="492">
        <f t="shared" si="8"/>
        <v>3</v>
      </c>
      <c r="Q39" s="492">
        <f>IF(P39=1,N38,IF(P39=2,N37,IF(P39=3,N36,IF(P39=4,N35,IF(P39=5,N34,IF(P39=6,N33,IF(P39=7,N32,IF(P39=8,N31,IF(P39=9,N30,IF(P39=10,N29,IF(P39=11,N28,IF(P39=12,N27,IF(P39=13,N26,IF(P39=14,N25,IF(P39=15,N24,IF(P39=16,N23,IF(P39=17,N22,IF(P39=18,#REF!,IF(P39=19,#REF!,0)))))))))))))))))))</f>
        <v>2.6035117914117063E-3</v>
      </c>
      <c r="R39" s="505">
        <f t="shared" si="9"/>
        <v>2.187359679619973E-3</v>
      </c>
      <c r="S39" s="483">
        <f t="shared" si="14"/>
        <v>1.9537807222442333E-2</v>
      </c>
      <c r="T39" s="483">
        <f t="shared" si="10"/>
        <v>-4.7520357528818558E-4</v>
      </c>
      <c r="U39" s="489">
        <f>((1+J39)/(V38-J39*(1+W38+X38+Y38+Z38+AA38+AB38+AC38+AD38+AE38+AF38+AG38+AH38+AI38+AJ38+AK38+AL38)))-1</f>
        <v>2.4003159264060381E-2</v>
      </c>
      <c r="V39" s="488">
        <f t="shared" si="15"/>
        <v>1.4154653082887174</v>
      </c>
      <c r="W39" s="488">
        <f t="shared" si="11"/>
        <v>1.0240031592640604</v>
      </c>
      <c r="X39" s="488">
        <f t="shared" si="16"/>
        <v>1.047972253130854</v>
      </c>
      <c r="Y39" s="488">
        <f t="shared" si="17"/>
        <v>1.0718895198387981</v>
      </c>
      <c r="Z39" s="488">
        <f t="shared" si="18"/>
        <v>1.0996310550560739</v>
      </c>
      <c r="AA39" s="488">
        <f t="shared" si="19"/>
        <v>1.1268688205700641</v>
      </c>
      <c r="AB39" s="488">
        <f t="shared" si="20"/>
        <v>1.153556434431172</v>
      </c>
      <c r="AC39" s="488">
        <f t="shared" si="21"/>
        <v>1.181561224375564</v>
      </c>
      <c r="AD39" s="488">
        <f t="shared" si="22"/>
        <v>1.208637787348817</v>
      </c>
      <c r="AE39" s="488">
        <f t="shared" si="23"/>
        <v>1.2351738444139255</v>
      </c>
      <c r="AF39" s="488">
        <f t="shared" si="24"/>
        <v>1.2612700346718799</v>
      </c>
      <c r="AG39" s="488">
        <f t="shared" si="25"/>
        <v>1.286670028217654</v>
      </c>
      <c r="AH39" s="488">
        <f t="shared" si="26"/>
        <v>1.310710424483323</v>
      </c>
      <c r="AI39" s="488">
        <f t="shared" si="27"/>
        <v>1.3327168732690164</v>
      </c>
      <c r="AJ39" s="488">
        <f t="shared" si="28"/>
        <v>1.3524391397670634</v>
      </c>
      <c r="AK39" s="488">
        <f t="shared" si="29"/>
        <v>1.3700849482049229</v>
      </c>
      <c r="AL39" s="488">
        <f t="shared" si="30"/>
        <v>1.3856350160618267</v>
      </c>
      <c r="AM39" s="488">
        <f t="shared" ref="AM39:AM51" si="31">V39/V22</f>
        <v>1.3998950367052805</v>
      </c>
      <c r="AN39" s="488"/>
      <c r="AO39" s="488"/>
      <c r="AP39" s="488"/>
      <c r="AQ39" s="488"/>
      <c r="AR39" s="488"/>
      <c r="AS39" s="488"/>
      <c r="AT39" s="488"/>
      <c r="AU39" s="488"/>
      <c r="AV39" s="488"/>
      <c r="AW39" s="488"/>
      <c r="AX39" s="488"/>
      <c r="AY39" s="488"/>
    </row>
    <row r="40" spans="3:51">
      <c r="C40" s="481">
        <v>19</v>
      </c>
      <c r="D40" s="484"/>
      <c r="E40" s="492" t="str">
        <f t="shared" si="0"/>
        <v/>
      </c>
      <c r="F40" s="492">
        <f t="shared" si="1"/>
        <v>4</v>
      </c>
      <c r="G40" s="492">
        <f t="shared" si="2"/>
        <v>1.8214999999999999</v>
      </c>
      <c r="H40" s="492">
        <f t="shared" si="3"/>
        <v>1.9163000000000001</v>
      </c>
      <c r="I40" s="459">
        <f t="shared" si="12"/>
        <v>19</v>
      </c>
      <c r="J40" s="482">
        <f t="shared" si="4"/>
        <v>1.9254805142249865E-2</v>
      </c>
      <c r="K40" s="491">
        <f t="shared" si="13"/>
        <v>1.9759594977607708E-2</v>
      </c>
      <c r="L40" s="494" t="str">
        <f t="shared" si="5"/>
        <v/>
      </c>
      <c r="M40" s="483">
        <f>'All Curves'!BE33</f>
        <v>1.7741633752284706E-2</v>
      </c>
      <c r="N40" s="483" t="str">
        <f t="shared" si="6"/>
        <v/>
      </c>
      <c r="O40" s="492" t="str">
        <f t="shared" si="7"/>
        <v/>
      </c>
      <c r="P40" s="492">
        <f t="shared" si="8"/>
        <v>4</v>
      </c>
      <c r="Q40" s="492">
        <f>IF(P40=1,N39,IF(P40=2,N38,IF(P40=3,N37,IF(P40=4,N36,IF(P40=5,N35,IF(P40=6,N34,IF(P40=7,N33,IF(P40=8,N32,IF(P40=9,N31,IF(P40=10,N30,IF(P40=11,N29,IF(P40=12,N28,IF(P40=13,N27,IF(P40=14,N26,IF(P40=15,N25,IF(P40=16,N24,IF(P40=17,N23,IF(P40=18,N22,IF(P40=19,#REF!,0)))))))))))))))))))</f>
        <v>2.6035117914117063E-3</v>
      </c>
      <c r="R40" s="505">
        <f t="shared" si="9"/>
        <v>2.0486423090227282E-3</v>
      </c>
      <c r="S40" s="483">
        <f t="shared" si="14"/>
        <v>1.9790276061307434E-2</v>
      </c>
      <c r="T40" s="483">
        <f t="shared" si="10"/>
        <v>-5.0478983535784394E-4</v>
      </c>
      <c r="U40" s="489">
        <f>((1+J40)/(V39-J40*(1+W39+X39+Y39+Z39+AA39+AB39+AC39+AD39+AE39+AF39+AG39+AH39+AI39+AJ39+AK39+AL39+AM39)))-1</f>
        <v>2.4610910720167523E-2</v>
      </c>
      <c r="V40" s="488">
        <f t="shared" si="15"/>
        <v>1.4503011986185055</v>
      </c>
      <c r="W40" s="488">
        <f t="shared" si="11"/>
        <v>1.0246109107201675</v>
      </c>
      <c r="X40" s="488">
        <f t="shared" si="16"/>
        <v>1.0492048095938777</v>
      </c>
      <c r="Y40" s="488">
        <f t="shared" si="17"/>
        <v>1.0737638046898703</v>
      </c>
      <c r="Z40" s="488">
        <f t="shared" si="18"/>
        <v>1.098269697113434</v>
      </c>
      <c r="AA40" s="488">
        <f t="shared" si="19"/>
        <v>1.1266939767771826</v>
      </c>
      <c r="AB40" s="488">
        <f t="shared" si="20"/>
        <v>1.1546020885064545</v>
      </c>
      <c r="AC40" s="488">
        <f t="shared" si="21"/>
        <v>1.1819465088496321</v>
      </c>
      <c r="AD40" s="488">
        <f t="shared" si="22"/>
        <v>1.2106405221790828</v>
      </c>
      <c r="AE40" s="488">
        <f t="shared" si="23"/>
        <v>1.2383834640262796</v>
      </c>
      <c r="AF40" s="488">
        <f t="shared" si="24"/>
        <v>1.2655725976226828</v>
      </c>
      <c r="AG40" s="488">
        <f t="shared" si="25"/>
        <v>1.2923110388892121</v>
      </c>
      <c r="AH40" s="488">
        <f t="shared" si="26"/>
        <v>1.318336149408434</v>
      </c>
      <c r="AI40" s="488">
        <f t="shared" si="27"/>
        <v>1.3429682017202751</v>
      </c>
      <c r="AJ40" s="488">
        <f t="shared" si="28"/>
        <v>1.365516249252301</v>
      </c>
      <c r="AK40" s="488">
        <f t="shared" si="29"/>
        <v>1.3857238986903309</v>
      </c>
      <c r="AL40" s="488">
        <f t="shared" si="30"/>
        <v>1.4038039865442395</v>
      </c>
      <c r="AM40" s="488">
        <f t="shared" si="31"/>
        <v>1.4197367557328622</v>
      </c>
      <c r="AN40" s="488">
        <f t="shared" ref="AN40:AN51" si="32">V40/V22</f>
        <v>1.4343477284712398</v>
      </c>
      <c r="AO40" s="488"/>
      <c r="AP40" s="488"/>
      <c r="AQ40" s="488"/>
      <c r="AR40" s="488"/>
      <c r="AS40" s="488"/>
      <c r="AT40" s="488"/>
      <c r="AU40" s="488"/>
      <c r="AV40" s="488"/>
      <c r="AW40" s="488"/>
      <c r="AX40" s="488"/>
      <c r="AY40" s="488"/>
    </row>
    <row r="41" spans="3:51">
      <c r="C41" s="481">
        <v>20</v>
      </c>
      <c r="D41" s="495">
        <f>'Swap and Yield Curves'!D196</f>
        <v>1.94</v>
      </c>
      <c r="E41" s="492">
        <f t="shared" si="0"/>
        <v>1</v>
      </c>
      <c r="F41" s="492">
        <f t="shared" si="1"/>
        <v>0</v>
      </c>
      <c r="G41" s="492">
        <f t="shared" si="2"/>
        <v>0</v>
      </c>
      <c r="H41" s="492">
        <f t="shared" si="3"/>
        <v>1.94</v>
      </c>
      <c r="I41" s="459">
        <f t="shared" si="12"/>
        <v>20</v>
      </c>
      <c r="J41" s="482">
        <f t="shared" si="4"/>
        <v>1.9494090000000019E-2</v>
      </c>
      <c r="K41" s="491">
        <f t="shared" si="13"/>
        <v>2.0032485564082103E-2</v>
      </c>
      <c r="L41" s="494">
        <f t="shared" si="5"/>
        <v>2.0032485564082103E-2</v>
      </c>
      <c r="M41" s="483">
        <f>'All Curves'!BE34</f>
        <v>1.812256062565662E-2</v>
      </c>
      <c r="N41" s="483">
        <f t="shared" si="6"/>
        <v>1.9099249384254835E-3</v>
      </c>
      <c r="O41" s="492">
        <f t="shared" si="7"/>
        <v>1</v>
      </c>
      <c r="P41" s="492">
        <f t="shared" si="8"/>
        <v>0</v>
      </c>
      <c r="Q41" s="492">
        <f t="shared" ref="Q41:Q51" si="33">IF(P41=1,N40,IF(P41=2,N39,IF(P41=3,N38,IF(P41=4,N37,IF(P41=5,N36,IF(P41=6,N35,IF(P41=7,N34,IF(P41=8,N33,IF(P41=9,N32,IF(P41=10,N31,IF(P41=11,N30,IF(P41=12,N29,IF(P41=13,N28,IF(P41=14,N27,IF(P41=15,N26,IF(P41=16,N25,IF(P41=17,N24,IF(P41=18,N23,IF(P41=19,N22,0)))))))))))))))))))</f>
        <v>0</v>
      </c>
      <c r="R41" s="505">
        <f t="shared" si="9"/>
        <v>1.9099249384254835E-3</v>
      </c>
      <c r="S41" s="483">
        <f t="shared" si="14"/>
        <v>2.0032485564082103E-2</v>
      </c>
      <c r="T41" s="483">
        <f t="shared" si="10"/>
        <v>-5.3839556408208367E-4</v>
      </c>
      <c r="U41" s="489">
        <f>((1+J41)/(V40-J41*(1+W40+X40+Y40+Z40+AA40+AB40+AC40+AD40+AE40+AF40+AG40+AH40+AI40+AJ40+AK40+AL40+AM40+AN40)))-1</f>
        <v>2.5231304007776956E-2</v>
      </c>
      <c r="V41" s="488">
        <f t="shared" si="15"/>
        <v>1.4868941890636922</v>
      </c>
      <c r="W41" s="488">
        <f t="shared" si="11"/>
        <v>1.025231304007777</v>
      </c>
      <c r="X41" s="488">
        <f t="shared" si="16"/>
        <v>1.0504631800982331</v>
      </c>
      <c r="Y41" s="488">
        <f t="shared" si="17"/>
        <v>1.0756776151111624</v>
      </c>
      <c r="Z41" s="488">
        <f t="shared" si="18"/>
        <v>1.1008562656785474</v>
      </c>
      <c r="AA41" s="488">
        <f t="shared" si="19"/>
        <v>1.1259804737238321</v>
      </c>
      <c r="AB41" s="488">
        <f t="shared" si="20"/>
        <v>1.155121935028979</v>
      </c>
      <c r="AC41" s="488">
        <f t="shared" si="21"/>
        <v>1.1837342048095749</v>
      </c>
      <c r="AD41" s="488">
        <f t="shared" si="22"/>
        <v>1.2117685605353479</v>
      </c>
      <c r="AE41" s="488">
        <f t="shared" si="23"/>
        <v>1.2411865612383171</v>
      </c>
      <c r="AF41" s="488">
        <f t="shared" si="24"/>
        <v>1.2696294936853305</v>
      </c>
      <c r="AG41" s="488">
        <f t="shared" si="25"/>
        <v>1.2975046445772125</v>
      </c>
      <c r="AH41" s="488">
        <f t="shared" si="26"/>
        <v>1.3249177315840319</v>
      </c>
      <c r="AI41" s="488">
        <f t="shared" si="27"/>
        <v>1.3515994895786003</v>
      </c>
      <c r="AJ41" s="488">
        <f t="shared" si="28"/>
        <v>1.3768530406906567</v>
      </c>
      <c r="AK41" s="488">
        <f t="shared" si="29"/>
        <v>1.3999700048647452</v>
      </c>
      <c r="AL41" s="488">
        <f t="shared" si="30"/>
        <v>1.4206875196490283</v>
      </c>
      <c r="AM41" s="488">
        <f t="shared" si="31"/>
        <v>1.4392237916960664</v>
      </c>
      <c r="AN41" s="488">
        <f t="shared" si="32"/>
        <v>1.455558565427773</v>
      </c>
      <c r="AO41" s="488">
        <f t="shared" ref="AO41:AO51" si="34">V41/V22</f>
        <v>1.4705381920611618</v>
      </c>
      <c r="AP41" s="488"/>
      <c r="AQ41" s="488"/>
      <c r="AR41" s="488"/>
      <c r="AS41" s="488"/>
      <c r="AT41" s="488"/>
      <c r="AU41" s="488"/>
      <c r="AV41" s="488"/>
      <c r="AW41" s="488"/>
      <c r="AX41" s="488"/>
      <c r="AY41" s="488"/>
    </row>
    <row r="42" spans="3:51">
      <c r="C42" s="481">
        <v>21</v>
      </c>
      <c r="D42" s="484"/>
      <c r="E42" s="492" t="str">
        <f t="shared" si="0"/>
        <v/>
      </c>
      <c r="F42" s="492">
        <f t="shared" si="1"/>
        <v>1</v>
      </c>
      <c r="G42" s="492">
        <f t="shared" si="2"/>
        <v>1.94</v>
      </c>
      <c r="H42" s="492">
        <f t="shared" si="3"/>
        <v>1.9512500000000002</v>
      </c>
      <c r="I42" s="459">
        <f t="shared" si="12"/>
        <v>21</v>
      </c>
      <c r="J42" s="482">
        <f t="shared" si="4"/>
        <v>1.9607684414062243E-2</v>
      </c>
      <c r="K42" s="491">
        <f t="shared" si="13"/>
        <v>2.0150266209761458E-2</v>
      </c>
      <c r="L42" s="494" t="str">
        <f t="shared" si="5"/>
        <v/>
      </c>
      <c r="M42" s="483">
        <f>'All Curves'!BE35</f>
        <v>1.8494013128853484E-2</v>
      </c>
      <c r="N42" s="483" t="str">
        <f t="shared" si="6"/>
        <v/>
      </c>
      <c r="O42" s="492" t="str">
        <f t="shared" si="7"/>
        <v/>
      </c>
      <c r="P42" s="492">
        <f t="shared" si="8"/>
        <v>1</v>
      </c>
      <c r="Q42" s="492">
        <f t="shared" si="33"/>
        <v>1.9099249384254835E-3</v>
      </c>
      <c r="R42" s="505">
        <f t="shared" si="9"/>
        <v>1.6780484212096207E-3</v>
      </c>
      <c r="S42" s="483">
        <f t="shared" si="14"/>
        <v>2.0172061550063104E-2</v>
      </c>
      <c r="T42" s="483">
        <f t="shared" si="10"/>
        <v>-5.4258179569921516E-4</v>
      </c>
      <c r="U42" s="489">
        <f>((1+J42)/(V41-J42*(1+W41+X41+Y41+Z41+AA41+AB41+AC41+AD41+AE41+AF41+AG41+AH41+AI41+AJ41+AK41+AL41+AM41+AN41+AO41)))-1</f>
        <v>2.2508737179776528E-2</v>
      </c>
      <c r="V42" s="488">
        <f t="shared" si="15"/>
        <v>1.5203622995794639</v>
      </c>
      <c r="W42" s="488">
        <f t="shared" si="11"/>
        <v>1.0225087371797765</v>
      </c>
      <c r="X42" s="488">
        <f t="shared" si="16"/>
        <v>1.0483079659781676</v>
      </c>
      <c r="Y42" s="488">
        <f t="shared" si="17"/>
        <v>1.0741077797360967</v>
      </c>
      <c r="Z42" s="488">
        <f t="shared" si="18"/>
        <v>1.0998897598398685</v>
      </c>
      <c r="AA42" s="488">
        <f t="shared" si="19"/>
        <v>1.1256351500354163</v>
      </c>
      <c r="AB42" s="488">
        <f t="shared" si="20"/>
        <v>1.1513248722764422</v>
      </c>
      <c r="AC42" s="488">
        <f t="shared" si="21"/>
        <v>1.1811222710751412</v>
      </c>
      <c r="AD42" s="488">
        <f t="shared" si="22"/>
        <v>1.2103785669163454</v>
      </c>
      <c r="AE42" s="488">
        <f t="shared" si="23"/>
        <v>1.2390439405871543</v>
      </c>
      <c r="AF42" s="488">
        <f t="shared" si="24"/>
        <v>1.269124103336301</v>
      </c>
      <c r="AG42" s="488">
        <f t="shared" si="25"/>
        <v>1.2982072502743864</v>
      </c>
      <c r="AH42" s="488">
        <f t="shared" si="26"/>
        <v>1.3267098356115405</v>
      </c>
      <c r="AI42" s="488">
        <f t="shared" si="27"/>
        <v>1.3547399565890825</v>
      </c>
      <c r="AJ42" s="488">
        <f t="shared" si="28"/>
        <v>1.3820222872618451</v>
      </c>
      <c r="AK42" s="488">
        <f t="shared" si="29"/>
        <v>1.407844263918739</v>
      </c>
      <c r="AL42" s="488">
        <f t="shared" si="30"/>
        <v>1.4314815617638161</v>
      </c>
      <c r="AM42" s="488">
        <f t="shared" si="31"/>
        <v>1.4526654016433971</v>
      </c>
      <c r="AN42" s="488">
        <f t="shared" si="32"/>
        <v>1.4716189017662347</v>
      </c>
      <c r="AO42" s="488">
        <f t="shared" si="34"/>
        <v>1.4883213506267592</v>
      </c>
      <c r="AP42" s="488">
        <f t="shared" ref="AP42:AP51" si="35">V42/V22</f>
        <v>1.5036381497390905</v>
      </c>
      <c r="AQ42" s="488"/>
      <c r="AR42" s="488"/>
      <c r="AS42" s="488"/>
      <c r="AT42" s="488"/>
      <c r="AU42" s="488"/>
      <c r="AV42" s="488"/>
      <c r="AW42" s="488"/>
      <c r="AX42" s="488"/>
      <c r="AY42" s="488"/>
    </row>
    <row r="43" spans="3:51">
      <c r="C43" s="481">
        <v>22</v>
      </c>
      <c r="D43" s="484"/>
      <c r="E43" s="492" t="str">
        <f t="shared" si="0"/>
        <v/>
      </c>
      <c r="F43" s="492">
        <f t="shared" si="1"/>
        <v>2</v>
      </c>
      <c r="G43" s="492">
        <f t="shared" si="2"/>
        <v>1.94</v>
      </c>
      <c r="H43" s="492">
        <f t="shared" si="3"/>
        <v>1.9625000000000001</v>
      </c>
      <c r="I43" s="459">
        <f t="shared" si="12"/>
        <v>22</v>
      </c>
      <c r="J43" s="482">
        <f t="shared" si="4"/>
        <v>1.9721285156250046E-2</v>
      </c>
      <c r="K43" s="491">
        <f t="shared" si="13"/>
        <v>2.0270779629404378E-2</v>
      </c>
      <c r="L43" s="494" t="str">
        <f t="shared" si="5"/>
        <v/>
      </c>
      <c r="M43" s="483">
        <f>'All Curves'!BE36</f>
        <v>1.8856655074024897E-2</v>
      </c>
      <c r="N43" s="483" t="str">
        <f t="shared" si="6"/>
        <v/>
      </c>
      <c r="O43" s="492" t="str">
        <f t="shared" si="7"/>
        <v/>
      </c>
      <c r="P43" s="492">
        <f t="shared" si="8"/>
        <v>2</v>
      </c>
      <c r="Q43" s="492">
        <f t="shared" si="33"/>
        <v>1.9099249384254835E-3</v>
      </c>
      <c r="R43" s="505">
        <f t="shared" si="9"/>
        <v>1.4461719039937579E-3</v>
      </c>
      <c r="S43" s="483">
        <f t="shared" si="14"/>
        <v>2.0302826978018655E-2</v>
      </c>
      <c r="T43" s="483">
        <f t="shared" si="10"/>
        <v>-5.4949447315433275E-4</v>
      </c>
      <c r="U43" s="489">
        <f>((1+J43)/(V42-J43*(1+W42+X42+Y42+Z42+AA42+AB42+AC42+AD42+AE42+AF42+AG42+AH42+AI42+AJ42+AK42+AL42+AM42+AN42+AO42+AP42)))-1</f>
        <v>2.2804852690903488E-2</v>
      </c>
      <c r="V43" s="488">
        <f t="shared" si="15"/>
        <v>1.5550339378581768</v>
      </c>
      <c r="W43" s="488">
        <f t="shared" si="11"/>
        <v>1.0228048526909035</v>
      </c>
      <c r="X43" s="488">
        <f t="shared" si="16"/>
        <v>1.045826898306323</v>
      </c>
      <c r="Y43" s="488">
        <f t="shared" si="17"/>
        <v>1.0722144747170004</v>
      </c>
      <c r="Z43" s="488">
        <f t="shared" si="18"/>
        <v>1.0986026494271317</v>
      </c>
      <c r="AA43" s="488">
        <f t="shared" si="19"/>
        <v>1.1249725837892499</v>
      </c>
      <c r="AB43" s="488">
        <f t="shared" si="20"/>
        <v>1.1513050938156768</v>
      </c>
      <c r="AC43" s="488">
        <f t="shared" si="21"/>
        <v>1.1775806663880797</v>
      </c>
      <c r="AD43" s="488">
        <f t="shared" si="22"/>
        <v>1.208057590476955</v>
      </c>
      <c r="AE43" s="488">
        <f t="shared" si="23"/>
        <v>1.2379810718350996</v>
      </c>
      <c r="AF43" s="488">
        <f t="shared" si="24"/>
        <v>1.2673001551298009</v>
      </c>
      <c r="AG43" s="488">
        <f t="shared" si="25"/>
        <v>1.2980662915593604</v>
      </c>
      <c r="AH43" s="488">
        <f t="shared" si="26"/>
        <v>1.3278126753791566</v>
      </c>
      <c r="AI43" s="488">
        <f t="shared" si="27"/>
        <v>1.3569652579762344</v>
      </c>
      <c r="AJ43" s="488">
        <f t="shared" si="28"/>
        <v>1.3856346017335774</v>
      </c>
      <c r="AK43" s="488">
        <f t="shared" si="29"/>
        <v>1.4135391019383969</v>
      </c>
      <c r="AL43" s="488">
        <f t="shared" si="30"/>
        <v>1.4399499449691393</v>
      </c>
      <c r="AM43" s="488">
        <f t="shared" si="31"/>
        <v>1.4641262879095844</v>
      </c>
      <c r="AN43" s="488">
        <f t="shared" si="32"/>
        <v>1.4857932221370469</v>
      </c>
      <c r="AO43" s="488">
        <f t="shared" si="34"/>
        <v>1.5051789540381628</v>
      </c>
      <c r="AP43" s="488">
        <f t="shared" si="35"/>
        <v>1.522262299784529</v>
      </c>
      <c r="AQ43" s="488">
        <f t="shared" ref="AQ43:AQ51" si="36">V43/V22</f>
        <v>1.5379283962443129</v>
      </c>
      <c r="AR43" s="488"/>
      <c r="AS43" s="488"/>
      <c r="AT43" s="488"/>
      <c r="AU43" s="488"/>
      <c r="AV43" s="488"/>
      <c r="AW43" s="488"/>
      <c r="AX43" s="488"/>
      <c r="AY43" s="488"/>
    </row>
    <row r="44" spans="3:51">
      <c r="C44" s="481">
        <v>23</v>
      </c>
      <c r="D44" s="484"/>
      <c r="E44" s="492" t="str">
        <f t="shared" si="0"/>
        <v/>
      </c>
      <c r="F44" s="492">
        <f t="shared" si="1"/>
        <v>3</v>
      </c>
      <c r="G44" s="492">
        <f t="shared" si="2"/>
        <v>1.94</v>
      </c>
      <c r="H44" s="492">
        <f t="shared" si="3"/>
        <v>1.9737500000000001</v>
      </c>
      <c r="I44" s="459">
        <f t="shared" si="12"/>
        <v>23</v>
      </c>
      <c r="J44" s="482">
        <f t="shared" si="4"/>
        <v>1.9834892226562761E-2</v>
      </c>
      <c r="K44" s="491">
        <f t="shared" si="13"/>
        <v>2.0393891613358806E-2</v>
      </c>
      <c r="L44" s="494" t="str">
        <f t="shared" si="5"/>
        <v/>
      </c>
      <c r="M44" s="483">
        <f>'All Curves'!BE37</f>
        <v>1.9211052073189207E-2</v>
      </c>
      <c r="N44" s="483" t="str">
        <f t="shared" si="6"/>
        <v/>
      </c>
      <c r="O44" s="492" t="str">
        <f t="shared" si="7"/>
        <v/>
      </c>
      <c r="P44" s="492">
        <f t="shared" si="8"/>
        <v>3</v>
      </c>
      <c r="Q44" s="492">
        <f t="shared" si="33"/>
        <v>1.9099249384254835E-3</v>
      </c>
      <c r="R44" s="505">
        <f t="shared" si="9"/>
        <v>1.2142953867778951E-3</v>
      </c>
      <c r="S44" s="483">
        <f t="shared" si="14"/>
        <v>2.0425347459967103E-2</v>
      </c>
      <c r="T44" s="483">
        <f t="shared" si="10"/>
        <v>-5.5899938679604411E-4</v>
      </c>
      <c r="U44" s="489">
        <f>((1+J44)/(V43-J44*(1+W43+X43+Y43+Z43+AA43+AB43+AC43+AD43+AE43+AF43+AG43+AH43+AI43+AJ43+AK43+AL43+AM43+AN43+AO43+AP43+AQ43)))-1</f>
        <v>2.3106116860522441E-2</v>
      </c>
      <c r="V44" s="488">
        <f t="shared" si="15"/>
        <v>1.5909647337484063</v>
      </c>
      <c r="W44" s="488">
        <f t="shared" si="11"/>
        <v>1.0231061168605224</v>
      </c>
      <c r="X44" s="488">
        <f t="shared" si="16"/>
        <v>1.046437901142689</v>
      </c>
      <c r="Y44" s="488">
        <f t="shared" si="17"/>
        <v>1.0699918968344668</v>
      </c>
      <c r="Z44" s="488">
        <f t="shared" si="18"/>
        <v>1.0969891876693552</v>
      </c>
      <c r="AA44" s="488">
        <f t="shared" si="19"/>
        <v>1.1239870906280747</v>
      </c>
      <c r="AB44" s="488">
        <f t="shared" si="20"/>
        <v>1.1509663317751682</v>
      </c>
      <c r="AC44" s="488">
        <f t="shared" si="21"/>
        <v>1.1779072838554967</v>
      </c>
      <c r="AD44" s="488">
        <f t="shared" si="22"/>
        <v>1.2047899828783346</v>
      </c>
      <c r="AE44" s="488">
        <f t="shared" si="23"/>
        <v>1.2359711103367568</v>
      </c>
      <c r="AF44" s="488">
        <f t="shared" si="24"/>
        <v>1.2665860071520363</v>
      </c>
      <c r="AG44" s="488">
        <f t="shared" si="25"/>
        <v>1.2965825406115883</v>
      </c>
      <c r="AH44" s="488">
        <f t="shared" si="26"/>
        <v>1.328059562984836</v>
      </c>
      <c r="AI44" s="488">
        <f t="shared" si="27"/>
        <v>1.3584932702253505</v>
      </c>
      <c r="AJ44" s="488">
        <f t="shared" si="28"/>
        <v>1.3883194558027023</v>
      </c>
      <c r="AK44" s="488">
        <f t="shared" si="29"/>
        <v>1.4176512367672172</v>
      </c>
      <c r="AL44" s="488">
        <f t="shared" si="30"/>
        <v>1.4462005016147035</v>
      </c>
      <c r="AM44" s="488">
        <f t="shared" si="31"/>
        <v>1.473221596670899</v>
      </c>
      <c r="AN44" s="488">
        <f t="shared" si="32"/>
        <v>1.4979565610165864</v>
      </c>
      <c r="AO44" s="488">
        <f t="shared" si="34"/>
        <v>1.5201241339583178</v>
      </c>
      <c r="AP44" s="488">
        <f t="shared" si="35"/>
        <v>1.5399577948461676</v>
      </c>
      <c r="AQ44" s="488">
        <f t="shared" si="36"/>
        <v>1.5574358703757181</v>
      </c>
      <c r="AR44" s="488">
        <f t="shared" ref="AR44:AR51" si="37">V44/V22</f>
        <v>1.5734639494910501</v>
      </c>
      <c r="AS44" s="488"/>
      <c r="AT44" s="488"/>
      <c r="AU44" s="488"/>
      <c r="AV44" s="488"/>
      <c r="AW44" s="488"/>
      <c r="AX44" s="488"/>
      <c r="AY44" s="488"/>
    </row>
    <row r="45" spans="3:51">
      <c r="C45" s="481">
        <v>24</v>
      </c>
      <c r="D45" s="484"/>
      <c r="E45" s="492" t="str">
        <f t="shared" si="0"/>
        <v/>
      </c>
      <c r="F45" s="492">
        <f t="shared" si="1"/>
        <v>4</v>
      </c>
      <c r="G45" s="492">
        <f t="shared" si="2"/>
        <v>1.94</v>
      </c>
      <c r="H45" s="492">
        <f t="shared" si="3"/>
        <v>1.9850000000000001</v>
      </c>
      <c r="I45" s="459">
        <f t="shared" si="12"/>
        <v>24</v>
      </c>
      <c r="J45" s="482">
        <f t="shared" si="4"/>
        <v>1.9948505624999946E-2</v>
      </c>
      <c r="K45" s="491">
        <f t="shared" si="13"/>
        <v>2.0519500594302853E-2</v>
      </c>
      <c r="L45" s="494" t="str">
        <f t="shared" si="5"/>
        <v/>
      </c>
      <c r="M45" s="483">
        <f>'All Curves'!BE38</f>
        <v>1.95576899349231E-2</v>
      </c>
      <c r="N45" s="483" t="str">
        <f t="shared" si="6"/>
        <v/>
      </c>
      <c r="O45" s="492" t="str">
        <f t="shared" si="7"/>
        <v/>
      </c>
      <c r="P45" s="492">
        <f t="shared" si="8"/>
        <v>4</v>
      </c>
      <c r="Q45" s="492">
        <f t="shared" si="33"/>
        <v>1.9099249384254835E-3</v>
      </c>
      <c r="R45" s="505">
        <f t="shared" si="9"/>
        <v>9.8241886956203228E-4</v>
      </c>
      <c r="S45" s="483">
        <f t="shared" si="14"/>
        <v>2.0540108804485133E-2</v>
      </c>
      <c r="T45" s="483">
        <f t="shared" si="10"/>
        <v>-5.7099496930290705E-4</v>
      </c>
      <c r="U45" s="489">
        <f>((1+J45)/(V44-J45*(1+W44+X44+Y44+Z44+AA44+AB44+AC44+AD44+AE44+AF44+AG44+AH44+AI44+AJ44+AK44+AL44+AM44+AN44+AO44+AP44+AQ44+AR44)))-1</f>
        <v>2.3412778600243378E-2</v>
      </c>
      <c r="V45" s="488">
        <f t="shared" si="15"/>
        <v>1.6282136388204529</v>
      </c>
      <c r="W45" s="488">
        <f t="shared" si="11"/>
        <v>1.0234127786002434</v>
      </c>
      <c r="X45" s="488">
        <f t="shared" si="16"/>
        <v>1.0470598738591326</v>
      </c>
      <c r="Y45" s="488">
        <f t="shared" si="17"/>
        <v>1.070937920041046</v>
      </c>
      <c r="Z45" s="488">
        <f t="shared" si="18"/>
        <v>1.0950433802191066</v>
      </c>
      <c r="AA45" s="488">
        <f t="shared" si="19"/>
        <v>1.1226727526471185</v>
      </c>
      <c r="AB45" s="488">
        <f t="shared" si="20"/>
        <v>1.1503027515304816</v>
      </c>
      <c r="AC45" s="488">
        <f t="shared" si="21"/>
        <v>1.1779136516773545</v>
      </c>
      <c r="AD45" s="488">
        <f t="shared" si="22"/>
        <v>1.2054853663040195</v>
      </c>
      <c r="AE45" s="488">
        <f t="shared" si="23"/>
        <v>1.2329974640072561</v>
      </c>
      <c r="AF45" s="488">
        <f t="shared" si="24"/>
        <v>1.2649086282993682</v>
      </c>
      <c r="AG45" s="488">
        <f t="shared" si="25"/>
        <v>1.2962403049156532</v>
      </c>
      <c r="AH45" s="488">
        <f t="shared" si="26"/>
        <v>1.3269391405718685</v>
      </c>
      <c r="AI45" s="488">
        <f t="shared" si="27"/>
        <v>1.3591531275009359</v>
      </c>
      <c r="AJ45" s="488">
        <f t="shared" si="28"/>
        <v>1.3902993723910571</v>
      </c>
      <c r="AK45" s="488">
        <f t="shared" si="29"/>
        <v>1.4208238718478214</v>
      </c>
      <c r="AL45" s="488">
        <f t="shared" si="30"/>
        <v>1.4508423913060091</v>
      </c>
      <c r="AM45" s="488">
        <f t="shared" si="31"/>
        <v>1.4800600737705696</v>
      </c>
      <c r="AN45" s="488">
        <f t="shared" si="32"/>
        <v>1.507713807742852</v>
      </c>
      <c r="AO45" s="488">
        <f t="shared" si="34"/>
        <v>1.5330278863324496</v>
      </c>
      <c r="AP45" s="488">
        <f t="shared" si="35"/>
        <v>1.5557144637515705</v>
      </c>
      <c r="AQ45" s="488">
        <f t="shared" si="36"/>
        <v>1.5760124857506199</v>
      </c>
      <c r="AR45" s="488">
        <f t="shared" si="37"/>
        <v>1.593899771592902</v>
      </c>
      <c r="AS45" s="488">
        <f t="shared" ref="AS45:AS51" si="38">V45/V22</f>
        <v>1.6103031125759486</v>
      </c>
      <c r="AT45" s="488"/>
      <c r="AU45" s="488"/>
      <c r="AV45" s="488"/>
      <c r="AW45" s="488"/>
      <c r="AX45" s="488"/>
      <c r="AY45" s="488"/>
    </row>
    <row r="46" spans="3:51">
      <c r="C46" s="481">
        <v>25</v>
      </c>
      <c r="D46" s="495">
        <f>'Swap and Yield Curves'!D197</f>
        <v>1.9962500000000001</v>
      </c>
      <c r="E46" s="492">
        <f t="shared" si="0"/>
        <v>1</v>
      </c>
      <c r="F46" s="492">
        <f t="shared" si="1"/>
        <v>0</v>
      </c>
      <c r="G46" s="492">
        <f t="shared" si="2"/>
        <v>0</v>
      </c>
      <c r="H46" s="492">
        <f t="shared" si="3"/>
        <v>1.9962500000000001</v>
      </c>
      <c r="I46" s="459">
        <f t="shared" si="12"/>
        <v>25</v>
      </c>
      <c r="J46" s="482">
        <f t="shared" si="4"/>
        <v>2.006212535156271E-2</v>
      </c>
      <c r="K46" s="491">
        <f t="shared" si="13"/>
        <v>2.064753169473299E-2</v>
      </c>
      <c r="L46" s="494">
        <f t="shared" si="5"/>
        <v>2.064753169473299E-2</v>
      </c>
      <c r="M46" s="483">
        <f>'All Curves'!BE39</f>
        <v>1.9896989342386821E-2</v>
      </c>
      <c r="N46" s="483">
        <f t="shared" si="6"/>
        <v>7.5054235234616948E-4</v>
      </c>
      <c r="O46" s="492">
        <f t="shared" si="7"/>
        <v>1</v>
      </c>
      <c r="P46" s="492">
        <f t="shared" si="8"/>
        <v>0</v>
      </c>
      <c r="Q46" s="492">
        <f t="shared" si="33"/>
        <v>0</v>
      </c>
      <c r="R46" s="505">
        <f t="shared" si="9"/>
        <v>7.5054235234616948E-4</v>
      </c>
      <c r="S46" s="483">
        <f t="shared" si="14"/>
        <v>2.064753169473299E-2</v>
      </c>
      <c r="T46" s="483">
        <f t="shared" si="10"/>
        <v>-5.8540634317028051E-4</v>
      </c>
      <c r="U46" s="489">
        <f>((1+J46)/(V45-J46*(1+W45+X45+Y45+Z45+AA45+AB45+AC45+AD45+AE45+AF45+AG45+AH45+AI45+AJ45+AK45+AL45+AM45+AN45+AO45+AP45+AQ45+AR45+AS45)))-1</f>
        <v>2.3725101454320274E-2</v>
      </c>
      <c r="V46" s="488">
        <f t="shared" si="15"/>
        <v>1.6668431725907762</v>
      </c>
      <c r="W46" s="488">
        <f t="shared" si="11"/>
        <v>1.0237251014543203</v>
      </c>
      <c r="X46" s="488">
        <f t="shared" si="16"/>
        <v>1.0476933506021819</v>
      </c>
      <c r="Y46" s="488">
        <f t="shared" si="17"/>
        <v>1.0719014755951883</v>
      </c>
      <c r="Z46" s="488">
        <f t="shared" si="18"/>
        <v>1.0963460308452988</v>
      </c>
      <c r="AA46" s="488">
        <f t="shared" si="19"/>
        <v>1.1210233955116868</v>
      </c>
      <c r="AB46" s="488">
        <f t="shared" si="20"/>
        <v>1.1493082776036725</v>
      </c>
      <c r="AC46" s="488">
        <f t="shared" si="21"/>
        <v>1.1775938010137259</v>
      </c>
      <c r="AD46" s="488">
        <f t="shared" si="22"/>
        <v>1.2058597725678286</v>
      </c>
      <c r="AE46" s="488">
        <f t="shared" si="23"/>
        <v>1.2340856289212809</v>
      </c>
      <c r="AF46" s="488">
        <f t="shared" si="24"/>
        <v>1.262250453933748</v>
      </c>
      <c r="AG46" s="488">
        <f t="shared" si="25"/>
        <v>1.2949187138362159</v>
      </c>
      <c r="AH46" s="488">
        <f t="shared" si="26"/>
        <v>1.3269937376589562</v>
      </c>
      <c r="AI46" s="488">
        <f t="shared" si="27"/>
        <v>1.3584209063056447</v>
      </c>
      <c r="AJ46" s="488">
        <f t="shared" si="28"/>
        <v>1.3913991733428523</v>
      </c>
      <c r="AK46" s="488">
        <f t="shared" si="29"/>
        <v>1.4232843660529129</v>
      </c>
      <c r="AL46" s="488">
        <f t="shared" si="30"/>
        <v>1.4545330623561312</v>
      </c>
      <c r="AM46" s="488">
        <f t="shared" si="31"/>
        <v>1.4852637742339729</v>
      </c>
      <c r="AN46" s="488">
        <f t="shared" si="32"/>
        <v>1.515174649179265</v>
      </c>
      <c r="AO46" s="488">
        <f t="shared" si="34"/>
        <v>1.5434844707956308</v>
      </c>
      <c r="AP46" s="488">
        <f t="shared" si="35"/>
        <v>1.5693991284679891</v>
      </c>
      <c r="AQ46" s="488">
        <f t="shared" si="36"/>
        <v>1.5926239472380301</v>
      </c>
      <c r="AR46" s="488">
        <f t="shared" si="37"/>
        <v>1.613403541868329</v>
      </c>
      <c r="AS46" s="488">
        <f t="shared" si="38"/>
        <v>1.6317152053819617</v>
      </c>
      <c r="AT46" s="488">
        <f t="shared" ref="AT46:AT51" si="39">V46/V22</f>
        <v>1.6485077172940206</v>
      </c>
      <c r="AU46" s="488"/>
      <c r="AV46" s="488"/>
      <c r="AW46" s="488"/>
      <c r="AX46" s="488"/>
      <c r="AY46" s="488"/>
    </row>
    <row r="47" spans="3:51">
      <c r="C47" s="481">
        <v>26</v>
      </c>
      <c r="D47" s="484"/>
      <c r="E47" s="492" t="str">
        <f t="shared" si="0"/>
        <v/>
      </c>
      <c r="F47" s="492">
        <f t="shared" si="1"/>
        <v>1</v>
      </c>
      <c r="G47" s="492">
        <f t="shared" si="2"/>
        <v>1.9962500000000001</v>
      </c>
      <c r="H47" s="492">
        <f t="shared" si="3"/>
        <v>1.9959999999999996</v>
      </c>
      <c r="I47" s="459">
        <f t="shared" si="12"/>
        <v>26</v>
      </c>
      <c r="J47" s="482">
        <f t="shared" si="4"/>
        <v>2.005960040000021E-2</v>
      </c>
      <c r="K47" s="491">
        <f t="shared" si="13"/>
        <v>2.0621618307716805E-2</v>
      </c>
      <c r="L47" s="494" t="str">
        <f t="shared" si="5"/>
        <v/>
      </c>
      <c r="M47" s="483">
        <f>'All Curves'!BE40</f>
        <v>2.022931755355797E-2</v>
      </c>
      <c r="N47" s="483" t="str">
        <f t="shared" si="6"/>
        <v/>
      </c>
      <c r="O47" s="492" t="str">
        <f t="shared" si="7"/>
        <v/>
      </c>
      <c r="P47" s="492">
        <f t="shared" si="8"/>
        <v>1</v>
      </c>
      <c r="Q47" s="492">
        <f t="shared" si="33"/>
        <v>7.5054235234616948E-4</v>
      </c>
      <c r="R47" s="505">
        <f t="shared" si="9"/>
        <v>4.0804941171638121E-4</v>
      </c>
      <c r="S47" s="483">
        <f t="shared" si="14"/>
        <v>2.0637366965274351E-2</v>
      </c>
      <c r="T47" s="483">
        <f t="shared" si="10"/>
        <v>-5.6201790771659432E-4</v>
      </c>
      <c r="U47" s="489">
        <f>((1+J47)/(V46-J47*(1+W46+X46+Y46+Z46+AA46+AB46+AC46+AD46+AE46+AF46+AG46+AH46+AI46+AJ46+AK46+AL46+AM46+AN46+AO46+AP46+AQ46+AR46+AS46+AT46)))-1</f>
        <v>1.9973997412633393E-2</v>
      </c>
      <c r="V47" s="488">
        <f t="shared" si="15"/>
        <v>1.7001366938073701</v>
      </c>
      <c r="W47" s="488">
        <f t="shared" si="11"/>
        <v>1.0199739974126334</v>
      </c>
      <c r="X47" s="488">
        <f t="shared" si="16"/>
        <v>1.0441729839820169</v>
      </c>
      <c r="Y47" s="488">
        <f t="shared" si="17"/>
        <v>1.0686199748763432</v>
      </c>
      <c r="Z47" s="488">
        <f t="shared" si="18"/>
        <v>1.0933116328953247</v>
      </c>
      <c r="AA47" s="488">
        <f t="shared" si="19"/>
        <v>1.1182444436287537</v>
      </c>
      <c r="AB47" s="488">
        <f t="shared" si="20"/>
        <v>1.1434147139131388</v>
      </c>
      <c r="AC47" s="488">
        <f t="shared" si="21"/>
        <v>1.1722645581668465</v>
      </c>
      <c r="AD47" s="488">
        <f t="shared" si="22"/>
        <v>1.2011150565483073</v>
      </c>
      <c r="AE47" s="488">
        <f t="shared" si="23"/>
        <v>1.2299456125450974</v>
      </c>
      <c r="AF47" s="488">
        <f t="shared" si="24"/>
        <v>1.2587352520803228</v>
      </c>
      <c r="AG47" s="488">
        <f t="shared" si="25"/>
        <v>1.2874626412347161</v>
      </c>
      <c r="AH47" s="488">
        <f t="shared" si="26"/>
        <v>1.3207834168759511</v>
      </c>
      <c r="AI47" s="488">
        <f t="shared" si="27"/>
        <v>1.353499107141537</v>
      </c>
      <c r="AJ47" s="488">
        <f t="shared" si="28"/>
        <v>1.3855540019734607</v>
      </c>
      <c r="AK47" s="488">
        <f t="shared" si="29"/>
        <v>1.4191909768311428</v>
      </c>
      <c r="AL47" s="488">
        <f t="shared" si="30"/>
        <v>1.4517130442978954</v>
      </c>
      <c r="AM47" s="488">
        <f t="shared" si="31"/>
        <v>1.4835859019802222</v>
      </c>
      <c r="AN47" s="488">
        <f t="shared" si="32"/>
        <v>1.5149304290176004</v>
      </c>
      <c r="AO47" s="488">
        <f t="shared" si="34"/>
        <v>1.5454387437016595</v>
      </c>
      <c r="AP47" s="488">
        <f t="shared" si="35"/>
        <v>1.5743140256217425</v>
      </c>
      <c r="AQ47" s="488">
        <f t="shared" si="36"/>
        <v>1.600746302599398</v>
      </c>
      <c r="AR47" s="488">
        <f t="shared" si="37"/>
        <v>1.6244350138394605</v>
      </c>
      <c r="AS47" s="488">
        <f t="shared" si="38"/>
        <v>1.6456296600391407</v>
      </c>
      <c r="AT47" s="488">
        <f t="shared" si="39"/>
        <v>1.6643070806724156</v>
      </c>
      <c r="AU47" s="488">
        <f>V47/V22</f>
        <v>1.6814350061739578</v>
      </c>
      <c r="AV47" s="488"/>
      <c r="AW47" s="488"/>
      <c r="AX47" s="488"/>
      <c r="AY47" s="488"/>
    </row>
    <row r="48" spans="3:51">
      <c r="C48" s="481">
        <v>27</v>
      </c>
      <c r="D48" s="484"/>
      <c r="E48" s="492" t="str">
        <f t="shared" si="0"/>
        <v/>
      </c>
      <c r="F48" s="492">
        <f t="shared" si="1"/>
        <v>2</v>
      </c>
      <c r="G48" s="492">
        <f t="shared" si="2"/>
        <v>1.9962500000000001</v>
      </c>
      <c r="H48" s="492">
        <f t="shared" si="3"/>
        <v>1.9957499999999997</v>
      </c>
      <c r="I48" s="459">
        <f t="shared" si="12"/>
        <v>27</v>
      </c>
      <c r="J48" s="482">
        <f t="shared" si="4"/>
        <v>2.0057075451562323E-2</v>
      </c>
      <c r="K48" s="491">
        <f t="shared" si="13"/>
        <v>2.0597372660391189E-2</v>
      </c>
      <c r="L48" s="494" t="str">
        <f t="shared" si="5"/>
        <v/>
      </c>
      <c r="M48" s="483">
        <f>'All Curves'!BE41</f>
        <v>2.0554997741777457E-2</v>
      </c>
      <c r="N48" s="483" t="str">
        <f t="shared" si="6"/>
        <v/>
      </c>
      <c r="O48" s="492" t="str">
        <f t="shared" si="7"/>
        <v/>
      </c>
      <c r="P48" s="492">
        <f t="shared" si="8"/>
        <v>2</v>
      </c>
      <c r="Q48" s="492">
        <f t="shared" si="33"/>
        <v>7.5054235234616948E-4</v>
      </c>
      <c r="R48" s="505">
        <f t="shared" si="9"/>
        <v>6.5556471086592729E-5</v>
      </c>
      <c r="S48" s="483">
        <f t="shared" si="14"/>
        <v>2.0620554212864049E-2</v>
      </c>
      <c r="T48" s="483">
        <f t="shared" si="10"/>
        <v>-5.40297208828866E-4</v>
      </c>
      <c r="U48" s="489">
        <f>((1+J48)/(V47-J48*(1+W47+X47+Y47+Z47+AA47+AB47+AC47+AD47+AE47+AF47+AG47+AH47+AI47+AJ47+AK47+AL47+AM47+AN47+AO47+AP47+AQ47+AR47+AS47+AT47+AU47)))-1</f>
        <v>1.9967187956748012E-2</v>
      </c>
      <c r="V48" s="488">
        <f t="shared" si="15"/>
        <v>1.7340836427247861</v>
      </c>
      <c r="W48" s="488">
        <f t="shared" si="11"/>
        <v>1.019967187956748</v>
      </c>
      <c r="X48" s="488">
        <f t="shared" si="16"/>
        <v>1.0403400099299671</v>
      </c>
      <c r="Y48" s="488">
        <f t="shared" si="17"/>
        <v>1.0650221822125443</v>
      </c>
      <c r="Z48" s="488">
        <f t="shared" si="18"/>
        <v>1.0899573107690346</v>
      </c>
      <c r="AA48" s="488">
        <f t="shared" si="19"/>
        <v>1.1151419917646448</v>
      </c>
      <c r="AB48" s="488">
        <f t="shared" si="20"/>
        <v>1.1405726406162782</v>
      </c>
      <c r="AC48" s="488">
        <f t="shared" si="21"/>
        <v>1.1662454904183537</v>
      </c>
      <c r="AD48" s="488">
        <f t="shared" si="22"/>
        <v>1.195671384934798</v>
      </c>
      <c r="AE48" s="488">
        <f t="shared" si="23"/>
        <v>1.2250979466400875</v>
      </c>
      <c r="AF48" s="488">
        <f t="shared" si="24"/>
        <v>1.254504167767363</v>
      </c>
      <c r="AG48" s="488">
        <f t="shared" si="25"/>
        <v>1.2838686554463952</v>
      </c>
      <c r="AH48" s="488">
        <f t="shared" si="26"/>
        <v>1.3131696497795409</v>
      </c>
      <c r="AI48" s="488">
        <f t="shared" si="27"/>
        <v>1.3471557476108693</v>
      </c>
      <c r="AJ48" s="488">
        <f t="shared" si="28"/>
        <v>1.3805246782131226</v>
      </c>
      <c r="AK48" s="488">
        <f t="shared" si="29"/>
        <v>1.4132196191550894</v>
      </c>
      <c r="AL48" s="488">
        <f t="shared" si="30"/>
        <v>1.4475282298120511</v>
      </c>
      <c r="AM48" s="488">
        <f t="shared" si="31"/>
        <v>1.4806996715126544</v>
      </c>
      <c r="AN48" s="488">
        <f t="shared" si="32"/>
        <v>1.5132089405350431</v>
      </c>
      <c r="AO48" s="488">
        <f t="shared" si="34"/>
        <v>1.5451793296351919</v>
      </c>
      <c r="AP48" s="488">
        <f t="shared" si="35"/>
        <v>1.5762968095727912</v>
      </c>
      <c r="AQ48" s="488">
        <f t="shared" si="36"/>
        <v>1.6057486496742766</v>
      </c>
      <c r="AR48" s="488">
        <f t="shared" si="37"/>
        <v>1.6327087048944697</v>
      </c>
      <c r="AS48" s="488">
        <f t="shared" si="38"/>
        <v>1.6568704130843157</v>
      </c>
      <c r="AT48" s="488">
        <f t="shared" si="39"/>
        <v>1.6784882567683417</v>
      </c>
      <c r="AU48" s="488">
        <f>V48/V23</f>
        <v>1.6975386129699483</v>
      </c>
      <c r="AV48" s="488">
        <f>V48/V22</f>
        <v>1.715008534979289</v>
      </c>
      <c r="AW48" s="488"/>
      <c r="AX48" s="488"/>
      <c r="AY48" s="488"/>
    </row>
    <row r="49" spans="3:51">
      <c r="C49" s="481">
        <v>28</v>
      </c>
      <c r="D49" s="484"/>
      <c r="E49" s="492" t="str">
        <f t="shared" si="0"/>
        <v/>
      </c>
      <c r="F49" s="492">
        <f t="shared" si="1"/>
        <v>3</v>
      </c>
      <c r="G49" s="492">
        <f t="shared" si="2"/>
        <v>1.9962500000000001</v>
      </c>
      <c r="H49" s="492">
        <f t="shared" si="3"/>
        <v>1.9954999999999998</v>
      </c>
      <c r="I49" s="459">
        <f t="shared" si="12"/>
        <v>28</v>
      </c>
      <c r="J49" s="482">
        <f t="shared" si="4"/>
        <v>2.0054550506249935E-2</v>
      </c>
      <c r="K49" s="491">
        <f t="shared" si="13"/>
        <v>2.0574612986229868E-2</v>
      </c>
      <c r="L49" s="494" t="str">
        <f t="shared" si="5"/>
        <v/>
      </c>
      <c r="M49" s="483">
        <f>'All Curves'!BE42</f>
        <v>2.0874316475954734E-2</v>
      </c>
      <c r="N49" s="483" t="str">
        <f t="shared" si="6"/>
        <v/>
      </c>
      <c r="O49" s="492" t="str">
        <f t="shared" si="7"/>
        <v/>
      </c>
      <c r="P49" s="492">
        <f t="shared" si="8"/>
        <v>3</v>
      </c>
      <c r="Q49" s="492">
        <f t="shared" si="33"/>
        <v>7.5054235234616948E-4</v>
      </c>
      <c r="R49" s="505">
        <f t="shared" si="9"/>
        <v>-2.7693646954319575E-4</v>
      </c>
      <c r="S49" s="483">
        <f t="shared" si="14"/>
        <v>2.059738000641154E-2</v>
      </c>
      <c r="T49" s="483">
        <f t="shared" si="10"/>
        <v>-5.2006247997993249E-4</v>
      </c>
      <c r="U49" s="489">
        <f>((1+J49)/(V48-J49*(1+W48+X48+Y48+Z48+AA48+AB48+AC48+AD48+AE48+AF48+AG48+AH48+AI48+AJ48+AK48+AL48+AM48+AN48+AO48+AP48+AQ48+AR48+AS48+AT48+AU48+AV48)))-1</f>
        <v>1.9960293600173706E-2</v>
      </c>
      <c r="V49" s="488">
        <f t="shared" si="15"/>
        <v>1.7686964613608316</v>
      </c>
      <c r="W49" s="488">
        <f t="shared" si="11"/>
        <v>1.0199602936001737</v>
      </c>
      <c r="X49" s="488">
        <f t="shared" si="16"/>
        <v>1.0403260324909083</v>
      </c>
      <c r="Y49" s="488">
        <f t="shared" si="17"/>
        <v>1.0611055019721769</v>
      </c>
      <c r="Z49" s="488">
        <f t="shared" si="18"/>
        <v>1.0862803376602044</v>
      </c>
      <c r="AA49" s="488">
        <f t="shared" si="19"/>
        <v>1.1117131787036403</v>
      </c>
      <c r="AB49" s="488">
        <f t="shared" si="20"/>
        <v>1.1374005533261495</v>
      </c>
      <c r="AC49" s="488">
        <f t="shared" si="21"/>
        <v>1.1633388053953044</v>
      </c>
      <c r="AD49" s="488">
        <f t="shared" si="22"/>
        <v>1.1895240928169826</v>
      </c>
      <c r="AE49" s="488">
        <f t="shared" si="23"/>
        <v>1.2195373368274229</v>
      </c>
      <c r="AF49" s="488">
        <f t="shared" si="24"/>
        <v>1.2495512613439936</v>
      </c>
      <c r="AG49" s="488">
        <f t="shared" si="25"/>
        <v>1.279544439278641</v>
      </c>
      <c r="AH49" s="488">
        <f t="shared" si="26"/>
        <v>1.3094950507531655</v>
      </c>
      <c r="AI49" s="488">
        <f t="shared" si="27"/>
        <v>1.3393809015359779</v>
      </c>
      <c r="AJ49" s="488">
        <f t="shared" si="28"/>
        <v>1.3740453718583436</v>
      </c>
      <c r="AK49" s="488">
        <f t="shared" si="29"/>
        <v>1.4080803561125419</v>
      </c>
      <c r="AL49" s="488">
        <f t="shared" si="30"/>
        <v>1.4414278976749506</v>
      </c>
      <c r="AM49" s="488">
        <f t="shared" si="31"/>
        <v>1.4764213182736394</v>
      </c>
      <c r="AN49" s="488">
        <f t="shared" si="32"/>
        <v>1.5102548716897277</v>
      </c>
      <c r="AO49" s="488">
        <f t="shared" si="34"/>
        <v>1.5434130352665303</v>
      </c>
      <c r="AP49" s="488">
        <f t="shared" si="35"/>
        <v>1.5760215627196301</v>
      </c>
      <c r="AQ49" s="488">
        <f t="shared" si="36"/>
        <v>1.6077601566928812</v>
      </c>
      <c r="AR49" s="488">
        <f t="shared" si="37"/>
        <v>1.6377998641698577</v>
      </c>
      <c r="AS49" s="488">
        <f t="shared" si="38"/>
        <v>1.6652980500077228</v>
      </c>
      <c r="AT49" s="488">
        <f t="shared" si="39"/>
        <v>1.6899420329869197</v>
      </c>
      <c r="AU49" s="488">
        <f>V49/V24</f>
        <v>1.7119913751778815</v>
      </c>
      <c r="AV49" s="488">
        <f>V49/V23</f>
        <v>1.7314219820824603</v>
      </c>
      <c r="AW49" s="488">
        <f>V49/V22</f>
        <v>1.7492406088642793</v>
      </c>
      <c r="AX49" s="488"/>
      <c r="AY49" s="488"/>
    </row>
    <row r="50" spans="3:51">
      <c r="C50" s="481">
        <v>29</v>
      </c>
      <c r="D50" s="484"/>
      <c r="E50" s="492" t="str">
        <f t="shared" si="0"/>
        <v/>
      </c>
      <c r="F50" s="492">
        <f t="shared" si="1"/>
        <v>4</v>
      </c>
      <c r="G50" s="492">
        <f t="shared" si="2"/>
        <v>1.9962500000000001</v>
      </c>
      <c r="H50" s="492">
        <f t="shared" si="3"/>
        <v>1.99525</v>
      </c>
      <c r="I50" s="459">
        <f t="shared" si="12"/>
        <v>29</v>
      </c>
      <c r="J50" s="482">
        <f t="shared" si="4"/>
        <v>2.0052025564062603E-2</v>
      </c>
      <c r="K50" s="491">
        <f t="shared" si="13"/>
        <v>2.0553182540106851E-2</v>
      </c>
      <c r="L50" s="494" t="str">
        <f t="shared" si="5"/>
        <v/>
      </c>
      <c r="M50" s="483">
        <f>'All Curves'!BE43</f>
        <v>2.1187529736389106E-2</v>
      </c>
      <c r="N50" s="483" t="str">
        <f t="shared" si="6"/>
        <v/>
      </c>
      <c r="O50" s="492" t="str">
        <f t="shared" si="7"/>
        <v/>
      </c>
      <c r="P50" s="492">
        <f t="shared" si="8"/>
        <v>4</v>
      </c>
      <c r="Q50" s="492">
        <f t="shared" si="33"/>
        <v>7.5054235234616948E-4</v>
      </c>
      <c r="R50" s="505">
        <f t="shared" si="9"/>
        <v>-6.1942941017298424E-4</v>
      </c>
      <c r="S50" s="483">
        <f t="shared" si="14"/>
        <v>2.0568100326216122E-2</v>
      </c>
      <c r="T50" s="483">
        <f t="shared" si="10"/>
        <v>-5.0115697604424803E-4</v>
      </c>
      <c r="U50" s="489">
        <f>((1+J50)/(V49-J50*(1+W49+X49+Y49+Z49+AA49+AB49+AC49+AD49+AE49+AF49+AG49+AH49+AI49+AJ49+AK49+AL49+AM49+AN49+AO49+AP49+AQ49+AR49+AS49+AT49+AU49+AV49+AW49)))-1</f>
        <v>1.9953312716302296E-2</v>
      </c>
      <c r="V50" s="488">
        <f t="shared" si="15"/>
        <v>1.8039878149545816</v>
      </c>
      <c r="W50" s="488">
        <f t="shared" si="11"/>
        <v>1.0199533127163023</v>
      </c>
      <c r="X50" s="488">
        <f t="shared" si="16"/>
        <v>1.0403118802965896</v>
      </c>
      <c r="Y50" s="488">
        <f t="shared" si="17"/>
        <v>1.0610839831441095</v>
      </c>
      <c r="Z50" s="488">
        <f t="shared" si="18"/>
        <v>1.0822780718780167</v>
      </c>
      <c r="AA50" s="488">
        <f t="shared" si="19"/>
        <v>1.1079552289351089</v>
      </c>
      <c r="AB50" s="488">
        <f t="shared" si="20"/>
        <v>1.1338955394091486</v>
      </c>
      <c r="AC50" s="488">
        <f t="shared" si="21"/>
        <v>1.1600954622503616</v>
      </c>
      <c r="AD50" s="488">
        <f t="shared" si="22"/>
        <v>1.1865512683743666</v>
      </c>
      <c r="AE50" s="488">
        <f t="shared" si="23"/>
        <v>1.2132590390245357</v>
      </c>
      <c r="AF50" s="488">
        <f t="shared" si="24"/>
        <v>1.243871146678347</v>
      </c>
      <c r="AG50" s="488">
        <f t="shared" si="25"/>
        <v>1.2744839484166404</v>
      </c>
      <c r="AH50" s="488">
        <f t="shared" si="26"/>
        <v>1.3050755896099735</v>
      </c>
      <c r="AI50" s="488">
        <f t="shared" si="27"/>
        <v>1.3356238150012936</v>
      </c>
      <c r="AJ50" s="488">
        <f t="shared" si="28"/>
        <v>1.3661059875105681</v>
      </c>
      <c r="AK50" s="488">
        <f t="shared" si="29"/>
        <v>1.4014621288494211</v>
      </c>
      <c r="AL50" s="488">
        <f t="shared" si="30"/>
        <v>1.4361762237877378</v>
      </c>
      <c r="AM50" s="488">
        <f t="shared" si="31"/>
        <v>1.4701891592752612</v>
      </c>
      <c r="AN50" s="488">
        <f t="shared" si="32"/>
        <v>1.5058808145381688</v>
      </c>
      <c r="AO50" s="488">
        <f t="shared" si="34"/>
        <v>1.540389459425872</v>
      </c>
      <c r="AP50" s="488">
        <f t="shared" si="35"/>
        <v>1.5742092382096207</v>
      </c>
      <c r="AQ50" s="488">
        <f t="shared" si="36"/>
        <v>1.6074684138082103</v>
      </c>
      <c r="AR50" s="488">
        <f t="shared" si="37"/>
        <v>1.6398402978721855</v>
      </c>
      <c r="AS50" s="488">
        <f t="shared" si="38"/>
        <v>1.6704793970263563</v>
      </c>
      <c r="AT50" s="488">
        <f t="shared" si="39"/>
        <v>1.6985262627653752</v>
      </c>
      <c r="AU50" s="488">
        <f>V50/V25</f>
        <v>1.7236619748435316</v>
      </c>
      <c r="AV50" s="488">
        <f>V50/V24</f>
        <v>1.7461512744544183</v>
      </c>
      <c r="AW50" s="488">
        <f>V50/V23</f>
        <v>1.7659695863348317</v>
      </c>
      <c r="AX50" s="488">
        <f>V50/V22</f>
        <v>1.7841437537490035</v>
      </c>
      <c r="AY50" s="488"/>
    </row>
    <row r="51" spans="3:51" ht="13.5" thickBot="1">
      <c r="C51" s="485">
        <v>30</v>
      </c>
      <c r="D51" s="493">
        <f>'Swap and Yield Curves'!D198</f>
        <v>1.9950000000000001</v>
      </c>
      <c r="E51" s="492">
        <f t="shared" si="0"/>
        <v>1</v>
      </c>
      <c r="F51" s="492">
        <f t="shared" si="1"/>
        <v>0</v>
      </c>
      <c r="G51" s="492">
        <f t="shared" si="2"/>
        <v>0</v>
      </c>
      <c r="H51" s="492">
        <f t="shared" si="3"/>
        <v>1.9950000000000001</v>
      </c>
      <c r="I51" s="459">
        <f t="shared" si="12"/>
        <v>30</v>
      </c>
      <c r="J51" s="482">
        <f t="shared" si="4"/>
        <v>2.0049500625000105E-2</v>
      </c>
      <c r="K51" s="491">
        <f t="shared" si="13"/>
        <v>2.0532945426072979E-2</v>
      </c>
      <c r="L51" s="490">
        <f t="shared" si="5"/>
        <v>2.0532945426072979E-2</v>
      </c>
      <c r="M51" s="483">
        <f>'All Curves'!BE44</f>
        <v>2.1494867776875752E-2</v>
      </c>
      <c r="N51" s="483">
        <f t="shared" si="6"/>
        <v>-9.6192235080277272E-4</v>
      </c>
      <c r="O51" s="492">
        <f t="shared" si="7"/>
        <v>1</v>
      </c>
      <c r="P51" s="492">
        <f t="shared" si="8"/>
        <v>0</v>
      </c>
      <c r="Q51" s="492">
        <f t="shared" si="33"/>
        <v>0</v>
      </c>
      <c r="R51" s="505">
        <f t="shared" si="9"/>
        <v>-9.6192235080277272E-4</v>
      </c>
      <c r="S51" s="483">
        <f t="shared" si="14"/>
        <v>2.0532945426072979E-2</v>
      </c>
      <c r="T51" s="483">
        <f t="shared" si="10"/>
        <v>-4.8344480107287424E-4</v>
      </c>
      <c r="U51" s="489">
        <f>((1+J51)/(V50-J51*(1+W50+X50+Y50+Z50+AA50+AB50+AC50+AD50+AE50+AF50+AG50+AH50+AI50+AJ50+AK50+AL50+AM50+AN50+AO50+AP50+AQ50+AR50+AS50+AT50+AU50+AV50+AW50+AX50)))-1</f>
        <v>1.9946243649217266E-2</v>
      </c>
      <c r="V51" s="488">
        <f t="shared" si="15"/>
        <v>1.8399705954518848</v>
      </c>
      <c r="W51" s="488">
        <f t="shared" si="11"/>
        <v>1.0199462436492173</v>
      </c>
      <c r="X51" s="488">
        <f t="shared" si="16"/>
        <v>1.040297550002568</v>
      </c>
      <c r="Y51" s="488">
        <f t="shared" si="17"/>
        <v>1.0610621945321608</v>
      </c>
      <c r="Z51" s="488">
        <f t="shared" si="18"/>
        <v>1.0822486228041839</v>
      </c>
      <c r="AA51" s="488">
        <f t="shared" si="19"/>
        <v>1.1038654539959007</v>
      </c>
      <c r="AB51" s="488">
        <f t="shared" si="20"/>
        <v>1.1300547738838729</v>
      </c>
      <c r="AC51" s="488">
        <f t="shared" si="21"/>
        <v>1.1565124961109641</v>
      </c>
      <c r="AD51" s="488">
        <f t="shared" si="22"/>
        <v>1.1832350089967587</v>
      </c>
      <c r="AE51" s="488">
        <f t="shared" si="23"/>
        <v>1.2102185090756494</v>
      </c>
      <c r="AF51" s="488">
        <f t="shared" si="24"/>
        <v>1.2374589994265344</v>
      </c>
      <c r="AG51" s="488">
        <f t="shared" si="25"/>
        <v>1.2686817036382247</v>
      </c>
      <c r="AH51" s="488">
        <f t="shared" si="26"/>
        <v>1.2999051157787751</v>
      </c>
      <c r="AI51" s="488">
        <f t="shared" si="27"/>
        <v>1.3311069453009798</v>
      </c>
      <c r="AJ51" s="488">
        <f t="shared" si="28"/>
        <v>1.3622644930390064</v>
      </c>
      <c r="AK51" s="488">
        <f t="shared" si="29"/>
        <v>1.3933546703881086</v>
      </c>
      <c r="AL51" s="488">
        <f t="shared" si="30"/>
        <v>1.4294160339366024</v>
      </c>
      <c r="AM51" s="488">
        <f t="shared" si="31"/>
        <v>1.4648225446706209</v>
      </c>
      <c r="AN51" s="488">
        <f t="shared" si="32"/>
        <v>1.4995139104566035</v>
      </c>
      <c r="AO51" s="488">
        <f t="shared" si="34"/>
        <v>1.5359174801716289</v>
      </c>
      <c r="AP51" s="488">
        <f t="shared" si="35"/>
        <v>1.5711144428982664</v>
      </c>
      <c r="AQ51" s="488">
        <f t="shared" si="36"/>
        <v>1.6056087992297985</v>
      </c>
      <c r="AR51" s="488">
        <f t="shared" si="37"/>
        <v>1.6395313704484498</v>
      </c>
      <c r="AS51" s="488">
        <f t="shared" si="38"/>
        <v>1.6725489519993493</v>
      </c>
      <c r="AT51" s="488">
        <f t="shared" si="39"/>
        <v>1.7037991860904416</v>
      </c>
      <c r="AU51" s="488">
        <f>V51/V26</f>
        <v>1.7324054814470879</v>
      </c>
      <c r="AV51" s="488">
        <f>V51/V25</f>
        <v>1.7580425565626516</v>
      </c>
      <c r="AW51" s="488">
        <f>V51/V24</f>
        <v>1.7809804332230774</v>
      </c>
      <c r="AX51" s="488">
        <f>V51/V23</f>
        <v>1.8011940459809737</v>
      </c>
      <c r="AY51" s="488">
        <f>V51/V22</f>
        <v>1.8197307197665102</v>
      </c>
    </row>
  </sheetData>
  <pageMargins left="0.75" right="0.75" top="1" bottom="1" header="0.5" footer="0.5"/>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tabColor rgb="FFFF9900"/>
  </sheetPr>
  <dimension ref="C1:BI87"/>
  <sheetViews>
    <sheetView showGridLines="0" topLeftCell="A13" workbookViewId="0">
      <selection activeCell="P22" sqref="P22"/>
    </sheetView>
  </sheetViews>
  <sheetFormatPr defaultColWidth="8.85546875" defaultRowHeight="12.75"/>
  <cols>
    <col min="1" max="1" width="8.85546875" style="459"/>
    <col min="2" max="2" width="3.7109375" style="459" customWidth="1"/>
    <col min="3" max="3" width="24" style="459" customWidth="1"/>
    <col min="4" max="4" width="17.42578125" style="459" customWidth="1"/>
    <col min="5" max="5" width="6.140625" style="459" customWidth="1"/>
    <col min="6" max="6" width="6.7109375" style="459" bestFit="1" customWidth="1"/>
    <col min="7" max="7" width="5.5703125" style="459" customWidth="1"/>
    <col min="8" max="8" width="10" style="459" customWidth="1"/>
    <col min="9" max="9" width="7" style="459" bestFit="1" customWidth="1"/>
    <col min="10" max="10" width="16.7109375" style="459" bestFit="1" customWidth="1"/>
    <col min="11" max="11" width="13.7109375" style="459" bestFit="1" customWidth="1"/>
    <col min="12" max="12" width="12.42578125" style="459" bestFit="1" customWidth="1"/>
    <col min="13" max="14" width="12.42578125" style="459" customWidth="1"/>
    <col min="15" max="17" width="5.7109375" style="459" bestFit="1" customWidth="1"/>
    <col min="18" max="18" width="12.42578125" style="459" customWidth="1"/>
    <col min="19" max="19" width="8" style="459" customWidth="1"/>
    <col min="20" max="20" width="8.85546875" style="459"/>
    <col min="21" max="36" width="8.85546875" style="460"/>
    <col min="37" max="37" width="8.42578125" style="460" customWidth="1"/>
    <col min="38" max="61" width="8.85546875" style="460"/>
    <col min="62" max="16384" width="8.85546875" style="459"/>
  </cols>
  <sheetData>
    <row r="1" spans="3:35" hidden="1"/>
    <row r="2" spans="3:35" hidden="1"/>
    <row r="3" spans="3:35" hidden="1"/>
    <row r="4" spans="3:35" hidden="1"/>
    <row r="5" spans="3:35" hidden="1"/>
    <row r="6" spans="3:35" hidden="1"/>
    <row r="7" spans="3:35" hidden="1"/>
    <row r="8" spans="3:35" hidden="1"/>
    <row r="9" spans="3:35" hidden="1"/>
    <row r="10" spans="3:35" hidden="1"/>
    <row r="11" spans="3:35" hidden="1"/>
    <row r="12" spans="3:35" hidden="1"/>
    <row r="14" spans="3:35">
      <c r="C14" s="461"/>
      <c r="U14" s="462" t="s">
        <v>460</v>
      </c>
      <c r="V14" s="462"/>
      <c r="W14" s="462"/>
      <c r="X14" s="462"/>
      <c r="Y14" s="462"/>
      <c r="Z14" s="462"/>
      <c r="AA14" s="462"/>
      <c r="AB14" s="462"/>
      <c r="AC14" s="462"/>
      <c r="AD14" s="462"/>
      <c r="AE14" s="462"/>
      <c r="AF14" s="462"/>
      <c r="AG14" s="462"/>
      <c r="AH14" s="462"/>
      <c r="AI14" s="462"/>
    </row>
    <row r="15" spans="3:35">
      <c r="U15" s="462" t="s">
        <v>461</v>
      </c>
      <c r="V15" s="462"/>
      <c r="W15" s="462"/>
      <c r="X15" s="462"/>
      <c r="Y15" s="462"/>
      <c r="Z15" s="462"/>
      <c r="AA15" s="462"/>
      <c r="AB15" s="462"/>
      <c r="AC15" s="462"/>
      <c r="AD15" s="462"/>
      <c r="AE15" s="462"/>
      <c r="AF15" s="462"/>
      <c r="AG15" s="462"/>
      <c r="AH15" s="462"/>
      <c r="AI15" s="462"/>
    </row>
    <row r="16" spans="3:35" ht="13.5" thickBot="1">
      <c r="C16" s="459" t="s">
        <v>462</v>
      </c>
      <c r="D16" s="463" t="s">
        <v>453</v>
      </c>
      <c r="E16" s="463"/>
      <c r="F16" s="463"/>
      <c r="G16" s="463"/>
      <c r="N16" s="463"/>
      <c r="O16" s="463"/>
      <c r="P16" s="463"/>
      <c r="Q16" s="463"/>
      <c r="U16" s="462"/>
      <c r="V16" s="462" t="s">
        <v>463</v>
      </c>
      <c r="W16" s="462"/>
      <c r="X16" s="462"/>
      <c r="Y16" s="462"/>
      <c r="Z16" s="462"/>
      <c r="AA16" s="462"/>
      <c r="AB16" s="462"/>
      <c r="AC16" s="462"/>
      <c r="AD16" s="462"/>
      <c r="AE16" s="462"/>
      <c r="AF16" s="462"/>
      <c r="AG16" s="462"/>
      <c r="AH16" s="462"/>
      <c r="AI16" s="462"/>
    </row>
    <row r="17" spans="3:51">
      <c r="C17" s="459" t="s">
        <v>464</v>
      </c>
      <c r="D17" s="464">
        <v>42004</v>
      </c>
      <c r="E17" s="464"/>
      <c r="F17" s="464"/>
      <c r="G17" s="464"/>
      <c r="L17" s="465"/>
      <c r="M17" s="502"/>
      <c r="N17" s="502"/>
      <c r="O17" s="464"/>
      <c r="P17" s="464"/>
      <c r="Q17" s="464"/>
      <c r="U17" s="462"/>
      <c r="V17" s="462" t="s">
        <v>465</v>
      </c>
      <c r="W17" s="462"/>
      <c r="X17" s="462"/>
      <c r="Y17" s="462"/>
      <c r="Z17" s="462"/>
      <c r="AA17" s="462"/>
      <c r="AB17" s="462"/>
      <c r="AC17" s="462"/>
      <c r="AD17" s="462"/>
      <c r="AE17" s="462"/>
      <c r="AF17" s="462"/>
      <c r="AG17" s="462"/>
      <c r="AH17" s="462"/>
      <c r="AI17" s="462"/>
    </row>
    <row r="18" spans="3:51" ht="39" thickBot="1">
      <c r="H18" s="463" t="s">
        <v>466</v>
      </c>
      <c r="L18" s="466"/>
      <c r="M18" s="459" t="s">
        <v>470</v>
      </c>
      <c r="N18" s="501" t="s">
        <v>515</v>
      </c>
      <c r="R18" s="503" t="s">
        <v>516</v>
      </c>
      <c r="U18" s="462"/>
      <c r="V18" s="462" t="s">
        <v>467</v>
      </c>
      <c r="W18" s="462"/>
      <c r="X18" s="462"/>
      <c r="Y18" s="462"/>
      <c r="Z18" s="462"/>
      <c r="AA18" s="462"/>
      <c r="AB18" s="462"/>
      <c r="AC18" s="462"/>
      <c r="AD18" s="462"/>
      <c r="AE18" s="462"/>
      <c r="AF18" s="462"/>
      <c r="AG18" s="462"/>
      <c r="AH18" s="462"/>
      <c r="AI18" s="462"/>
    </row>
    <row r="19" spans="3:51">
      <c r="C19" s="467"/>
      <c r="D19" s="468" t="s">
        <v>466</v>
      </c>
      <c r="E19" s="469"/>
      <c r="F19" s="469"/>
      <c r="G19" s="469"/>
      <c r="H19" s="463" t="s">
        <v>468</v>
      </c>
      <c r="J19" s="463" t="s">
        <v>469</v>
      </c>
      <c r="K19" s="459" t="s">
        <v>470</v>
      </c>
      <c r="L19" s="466"/>
      <c r="M19" s="469" t="s">
        <v>475</v>
      </c>
      <c r="N19" s="469"/>
      <c r="O19" s="469"/>
      <c r="P19" s="469"/>
      <c r="Q19" s="469"/>
      <c r="R19" s="503" t="s">
        <v>468</v>
      </c>
    </row>
    <row r="20" spans="3:51" ht="13.5" thickBot="1">
      <c r="C20" s="470" t="s">
        <v>471</v>
      </c>
      <c r="D20" s="471" t="s">
        <v>472</v>
      </c>
      <c r="E20" s="472"/>
      <c r="F20" s="472"/>
      <c r="G20" s="472"/>
      <c r="H20" s="473" t="s">
        <v>473</v>
      </c>
      <c r="J20" s="472" t="s">
        <v>474</v>
      </c>
      <c r="K20" s="469" t="s">
        <v>475</v>
      </c>
      <c r="L20" s="466"/>
      <c r="M20" s="477" t="s">
        <v>514</v>
      </c>
      <c r="N20" s="463"/>
      <c r="O20" s="472"/>
      <c r="P20" s="472"/>
      <c r="Q20" s="472"/>
      <c r="R20" s="504" t="s">
        <v>473</v>
      </c>
    </row>
    <row r="21" spans="3:51" ht="13.5" thickBot="1">
      <c r="C21" s="474" t="s">
        <v>476</v>
      </c>
      <c r="D21" s="499"/>
      <c r="E21" s="498"/>
      <c r="F21" s="498"/>
      <c r="G21" s="498"/>
      <c r="H21" s="463" t="s">
        <v>477</v>
      </c>
      <c r="I21" s="475" t="s">
        <v>478</v>
      </c>
      <c r="J21" s="476" t="s">
        <v>479</v>
      </c>
      <c r="K21" s="477" t="s">
        <v>480</v>
      </c>
      <c r="L21" s="478"/>
      <c r="M21" s="502"/>
      <c r="N21" s="502"/>
      <c r="O21" s="498"/>
      <c r="P21" s="498"/>
      <c r="Q21" s="498"/>
      <c r="R21" s="503" t="s">
        <v>477</v>
      </c>
      <c r="T21" s="459" t="s">
        <v>512</v>
      </c>
      <c r="U21" s="462" t="s">
        <v>481</v>
      </c>
      <c r="V21" s="479" t="s">
        <v>482</v>
      </c>
      <c r="W21" s="479" t="s">
        <v>483</v>
      </c>
      <c r="X21" s="479" t="s">
        <v>484</v>
      </c>
      <c r="Y21" s="479" t="s">
        <v>485</v>
      </c>
      <c r="Z21" s="480" t="s">
        <v>486</v>
      </c>
      <c r="AA21" s="479" t="s">
        <v>487</v>
      </c>
      <c r="AB21" s="480" t="s">
        <v>488</v>
      </c>
      <c r="AC21" s="480" t="s">
        <v>489</v>
      </c>
      <c r="AD21" s="480" t="s">
        <v>490</v>
      </c>
      <c r="AE21" s="480" t="s">
        <v>491</v>
      </c>
      <c r="AF21" s="480" t="s">
        <v>492</v>
      </c>
      <c r="AG21" s="480" t="s">
        <v>493</v>
      </c>
      <c r="AH21" s="480" t="s">
        <v>494</v>
      </c>
      <c r="AI21" s="480" t="s">
        <v>495</v>
      </c>
      <c r="AJ21" s="480" t="s">
        <v>496</v>
      </c>
      <c r="AK21" s="480" t="s">
        <v>497</v>
      </c>
      <c r="AL21" s="480" t="s">
        <v>498</v>
      </c>
      <c r="AM21" s="480" t="s">
        <v>499</v>
      </c>
      <c r="AN21" s="480" t="s">
        <v>500</v>
      </c>
      <c r="AO21" s="480" t="s">
        <v>501</v>
      </c>
      <c r="AP21" s="480" t="s">
        <v>502</v>
      </c>
      <c r="AQ21" s="480" t="s">
        <v>503</v>
      </c>
      <c r="AR21" s="480" t="s">
        <v>504</v>
      </c>
      <c r="AS21" s="480" t="s">
        <v>505</v>
      </c>
      <c r="AT21" s="480" t="s">
        <v>506</v>
      </c>
      <c r="AU21" s="480" t="s">
        <v>507</v>
      </c>
      <c r="AV21" s="480" t="s">
        <v>508</v>
      </c>
      <c r="AW21" s="480" t="s">
        <v>509</v>
      </c>
      <c r="AX21" s="480" t="s">
        <v>510</v>
      </c>
      <c r="AY21" s="480" t="s">
        <v>511</v>
      </c>
    </row>
    <row r="22" spans="3:51">
      <c r="C22" s="486">
        <v>1</v>
      </c>
      <c r="D22" s="509">
        <f>'Swap and Yield Curves'!D205</f>
        <v>1.4013</v>
      </c>
      <c r="E22" s="492">
        <f t="shared" ref="E22:E51" si="0">IF(ISNUMBER(D22),1,"")</f>
        <v>1</v>
      </c>
      <c r="F22" s="492">
        <f t="shared" ref="F22:F51" si="1">IF(ISNUMBER(E22),0,1+F21)</f>
        <v>0</v>
      </c>
      <c r="G22" s="492">
        <f t="shared" ref="G22:G51" si="2">IF(F22=1,D21,IF(F22=2,D20,IF(F22=3,D19,IF(F22=4,D18,IF(F22=5,D17,IF(F22=6,D16,IF(F22=7,D15,IF(F22=8,D14,IF(F22=9,D13,IF(F22=10,D12,IF(F22=11,D11,IF(F22=21,D10,IF(F22=13,D9,IF(F22=14,D8,IF(F22=15,D7,IF(F22=16,D6,IF(F22=17,D5,IF(F22=18,D4,IF(F22=71,D3,0)))))))))))))))))))</f>
        <v>0</v>
      </c>
      <c r="H22" s="492">
        <f t="shared" ref="H22:H51" si="3">IF(G22=0,D22,IF(G23=0,((F22*D23+G22)/(1+F22)),2*H23-H24))</f>
        <v>1.4013</v>
      </c>
      <c r="I22" s="459">
        <v>1</v>
      </c>
      <c r="J22" s="482">
        <f t="shared" ref="J22:J51" si="4">(1+H22/200)^2-1</f>
        <v>1.4062091042249758E-2</v>
      </c>
      <c r="K22" s="483">
        <f>U22</f>
        <v>1.4062091042249758E-2</v>
      </c>
      <c r="L22" s="497">
        <f t="shared" ref="L22:L51" si="5">IF(ISNUMBER(D22),K22,"")</f>
        <v>1.4062091042249758E-2</v>
      </c>
      <c r="M22" s="483">
        <f>'All Curves'!BN15</f>
        <v>-4.9839907786870807E-3</v>
      </c>
      <c r="N22" s="483">
        <f t="shared" ref="N22:N51" si="6">IF(ISNUMBER(L22),L22-M22,"")</f>
        <v>1.9046081820936839E-2</v>
      </c>
      <c r="O22" s="492">
        <f t="shared" ref="O22:O51" si="7">IF(ISNUMBER(N22),1,"")</f>
        <v>1</v>
      </c>
      <c r="P22" s="492">
        <f t="shared" ref="P22:P51" si="8">IF(ISNUMBER(O22),0,1+P21)</f>
        <v>0</v>
      </c>
      <c r="Q22" s="492">
        <f>IF(P22=1,#REF!,IF(P22=2,#REF!,IF(P22=3,#REF!,IF(P22=4,#REF!,IF(P22=5,#REF!,IF(P22=6,N16,IF(P22=7,N15,IF(P22=8,N14,IF(P22=9,N13,IF(P22=10,#REF!,IF(P22=11,#REF!,IF(P22=12,#REF!,IF(P22=13,#REF!,IF(P22=14,#REF!,IF(P22=15,#REF!,IF(P22=16,#REF!,IF(P22=17,#REF!,IF(P22=18,#REF!,IF(P22=19,#REF!,0)))))))))))))))))))</f>
        <v>0</v>
      </c>
      <c r="R22" s="505">
        <f t="shared" ref="R22:R51" si="9">IF(Q22=0,N22,IF(Q23=0,((P22*N23+Q22)/(1+P22)),2*R23-R24))</f>
        <v>1.9046081820936839E-2</v>
      </c>
      <c r="S22" s="483">
        <f>R22+M22</f>
        <v>1.4062091042249758E-2</v>
      </c>
      <c r="T22" s="483">
        <f t="shared" ref="T22:T51" si="10">J22-K22</f>
        <v>0</v>
      </c>
      <c r="U22" s="489">
        <f>J22</f>
        <v>1.4062091042249758E-2</v>
      </c>
      <c r="V22" s="488">
        <f>W22</f>
        <v>1.0140620910422498</v>
      </c>
      <c r="W22" s="488">
        <f t="shared" ref="W22:W51" si="11">(1+U22)</f>
        <v>1.0140620910422498</v>
      </c>
      <c r="X22" s="488"/>
      <c r="Y22" s="488"/>
      <c r="Z22" s="488"/>
      <c r="AA22" s="488"/>
      <c r="AB22" s="488"/>
      <c r="AC22" s="488"/>
      <c r="AD22" s="488"/>
      <c r="AE22" s="488"/>
      <c r="AF22" s="488"/>
      <c r="AG22" s="488"/>
      <c r="AH22" s="488"/>
      <c r="AI22" s="488"/>
      <c r="AJ22" s="488"/>
      <c r="AK22" s="488"/>
      <c r="AL22" s="488"/>
      <c r="AM22" s="488"/>
      <c r="AN22" s="488"/>
      <c r="AO22" s="488"/>
      <c r="AP22" s="488"/>
      <c r="AQ22" s="488"/>
      <c r="AR22" s="488"/>
      <c r="AS22" s="488"/>
      <c r="AT22" s="488"/>
      <c r="AU22" s="488"/>
      <c r="AV22" s="488"/>
      <c r="AW22" s="488"/>
      <c r="AX22" s="488"/>
      <c r="AY22" s="488"/>
    </row>
    <row r="23" spans="3:51">
      <c r="C23" s="486">
        <v>2</v>
      </c>
      <c r="D23" s="509">
        <f>'Swap and Yield Curves'!D206</f>
        <v>1.3325</v>
      </c>
      <c r="E23" s="492">
        <f t="shared" si="0"/>
        <v>1</v>
      </c>
      <c r="F23" s="492">
        <f t="shared" si="1"/>
        <v>0</v>
      </c>
      <c r="G23" s="492">
        <f t="shared" si="2"/>
        <v>0</v>
      </c>
      <c r="H23" s="492">
        <f t="shared" si="3"/>
        <v>1.3325</v>
      </c>
      <c r="I23" s="459">
        <f t="shared" ref="I23:I51" si="12">I22+1</f>
        <v>2</v>
      </c>
      <c r="J23" s="482">
        <f t="shared" si="4"/>
        <v>1.3369388906250057E-2</v>
      </c>
      <c r="K23" s="491">
        <f t="shared" ref="K23:K51" si="13">(((1+K22)^I22)*(1+U23))^(1/I23)-1</f>
        <v>1.3364761598897434E-2</v>
      </c>
      <c r="L23" s="494">
        <f t="shared" si="5"/>
        <v>1.3364761598897434E-2</v>
      </c>
      <c r="M23" s="483">
        <f>'All Curves'!BN16</f>
        <v>-2.6769839830502393E-2</v>
      </c>
      <c r="N23" s="483">
        <f t="shared" si="6"/>
        <v>4.0134601429399827E-2</v>
      </c>
      <c r="O23" s="492">
        <f t="shared" si="7"/>
        <v>1</v>
      </c>
      <c r="P23" s="492">
        <f t="shared" si="8"/>
        <v>0</v>
      </c>
      <c r="Q23" s="492">
        <f>IF(P23=1,N22,IF(P23=2,#REF!,IF(P23=3,#REF!,IF(P23=4,#REF!,IF(P23=5,#REF!,IF(P23=6,#REF!,IF(P23=7,N16,IF(P23=8,N15,IF(P23=9,N14,IF(P23=10,N13,IF(P23=11,#REF!,IF(P23=12,#REF!,IF(P23=13,#REF!,IF(P23=14,#REF!,IF(P23=15,#REF!,IF(P23=16,#REF!,IF(P23=17,#REF!,IF(P23=18,#REF!,IF(P23=19,#REF!,0)))))))))))))))))))</f>
        <v>0</v>
      </c>
      <c r="R23" s="505">
        <f t="shared" si="9"/>
        <v>4.0134601429399827E-2</v>
      </c>
      <c r="S23" s="483">
        <f t="shared" ref="S23:S51" si="14">R23+M23</f>
        <v>1.3364761598897434E-2</v>
      </c>
      <c r="T23" s="483">
        <f t="shared" si="10"/>
        <v>4.6273073526226227E-6</v>
      </c>
      <c r="U23" s="489">
        <f>(1+J23)/(V22-J23)-1</f>
        <v>1.2667911680770416E-2</v>
      </c>
      <c r="V23" s="488">
        <f t="shared" ref="V23:V51" si="15">V22*W23</f>
        <v>1.0269081400503903</v>
      </c>
      <c r="W23" s="488">
        <f t="shared" si="11"/>
        <v>1.0126679116807704</v>
      </c>
      <c r="X23" s="488"/>
      <c r="Y23" s="488"/>
      <c r="Z23" s="488"/>
      <c r="AA23" s="488"/>
      <c r="AB23" s="488"/>
      <c r="AC23" s="488"/>
      <c r="AD23" s="488"/>
      <c r="AE23" s="488"/>
      <c r="AF23" s="488"/>
      <c r="AG23" s="488"/>
      <c r="AH23" s="488"/>
      <c r="AI23" s="488"/>
      <c r="AJ23" s="488"/>
      <c r="AK23" s="488"/>
      <c r="AL23" s="488"/>
      <c r="AM23" s="488"/>
      <c r="AN23" s="488"/>
      <c r="AO23" s="488"/>
      <c r="AP23" s="488"/>
      <c r="AQ23" s="488"/>
      <c r="AR23" s="488"/>
      <c r="AS23" s="488"/>
      <c r="AT23" s="488"/>
      <c r="AU23" s="488"/>
      <c r="AV23" s="488"/>
      <c r="AW23" s="488"/>
      <c r="AX23" s="488"/>
      <c r="AY23" s="488"/>
    </row>
    <row r="24" spans="3:51">
      <c r="C24" s="481">
        <v>3</v>
      </c>
      <c r="D24" s="509">
        <f>'Swap and Yield Curves'!D207</f>
        <v>1.3404</v>
      </c>
      <c r="E24" s="492">
        <f t="shared" si="0"/>
        <v>1</v>
      </c>
      <c r="F24" s="492">
        <f t="shared" si="1"/>
        <v>0</v>
      </c>
      <c r="G24" s="492">
        <f t="shared" si="2"/>
        <v>0</v>
      </c>
      <c r="H24" s="492">
        <f t="shared" si="3"/>
        <v>1.3404</v>
      </c>
      <c r="I24" s="459">
        <f t="shared" si="12"/>
        <v>3</v>
      </c>
      <c r="J24" s="482">
        <f t="shared" si="4"/>
        <v>1.3448916803999955E-2</v>
      </c>
      <c r="K24" s="491">
        <f t="shared" si="13"/>
        <v>1.3446887309455535E-2</v>
      </c>
      <c r="L24" s="494">
        <f t="shared" si="5"/>
        <v>1.3446887309455535E-2</v>
      </c>
      <c r="M24" s="483">
        <f>'All Curves'!BN17</f>
        <v>-1.7878336290357344E-2</v>
      </c>
      <c r="N24" s="483">
        <f t="shared" si="6"/>
        <v>3.1325223599812879E-2</v>
      </c>
      <c r="O24" s="492">
        <f t="shared" si="7"/>
        <v>1</v>
      </c>
      <c r="P24" s="492">
        <f t="shared" si="8"/>
        <v>0</v>
      </c>
      <c r="Q24" s="492">
        <f>IF(P24=1,N23,IF(P24=2,N22,IF(P24=3,#REF!,IF(P24=4,#REF!,IF(P24=5,#REF!,IF(P24=6,#REF!,IF(P24=7,#REF!,IF(P24=8,N16,IF(P24=9,N15,IF(P24=10,N14,IF(P24=11,N13,IF(P24=12,#REF!,IF(P24=13,#REF!,IF(P24=14,#REF!,IF(P24=15,#REF!,IF(P24=16,#REF!,IF(P24=17,#REF!,IF(P24=18,#REF!,IF(P24=19,#REF!,0)))))))))))))))))))</f>
        <v>0</v>
      </c>
      <c r="R24" s="505">
        <f t="shared" si="9"/>
        <v>3.1325223599812879E-2</v>
      </c>
      <c r="S24" s="483">
        <f t="shared" si="14"/>
        <v>1.3446887309455535E-2</v>
      </c>
      <c r="T24" s="483">
        <f t="shared" si="10"/>
        <v>2.0294945444199186E-6</v>
      </c>
      <c r="U24" s="489">
        <f>((1+J24)/(V23-J24*(1+W23)))-1</f>
        <v>1.3611158698153325E-2</v>
      </c>
      <c r="V24" s="488">
        <f t="shared" si="15"/>
        <v>1.0408855497130416</v>
      </c>
      <c r="W24" s="488">
        <f t="shared" si="11"/>
        <v>1.0136111586981533</v>
      </c>
      <c r="X24" s="488">
        <f t="shared" ref="X24:X51" si="16">V24/V22</f>
        <v>1.0264514953351849</v>
      </c>
      <c r="Y24" s="488"/>
      <c r="Z24" s="488"/>
      <c r="AA24" s="488"/>
      <c r="AB24" s="488"/>
      <c r="AC24" s="488"/>
      <c r="AD24" s="488"/>
      <c r="AE24" s="488"/>
      <c r="AF24" s="488"/>
      <c r="AG24" s="488"/>
      <c r="AH24" s="488"/>
      <c r="AI24" s="488"/>
      <c r="AJ24" s="488"/>
      <c r="AK24" s="488"/>
      <c r="AL24" s="488"/>
      <c r="AM24" s="488"/>
      <c r="AN24" s="488"/>
      <c r="AO24" s="488"/>
      <c r="AP24" s="488"/>
      <c r="AQ24" s="488"/>
      <c r="AR24" s="488"/>
      <c r="AS24" s="488"/>
      <c r="AT24" s="488"/>
      <c r="AU24" s="488"/>
      <c r="AV24" s="488"/>
      <c r="AW24" s="488"/>
      <c r="AX24" s="488"/>
      <c r="AY24" s="488"/>
    </row>
    <row r="25" spans="3:51">
      <c r="C25" s="481">
        <v>4</v>
      </c>
      <c r="D25" s="509">
        <f>'Swap and Yield Curves'!D208</f>
        <v>1.3733</v>
      </c>
      <c r="E25" s="492">
        <f t="shared" si="0"/>
        <v>1</v>
      </c>
      <c r="F25" s="492">
        <f t="shared" si="1"/>
        <v>0</v>
      </c>
      <c r="G25" s="492">
        <f t="shared" si="2"/>
        <v>0</v>
      </c>
      <c r="H25" s="492">
        <f t="shared" si="3"/>
        <v>1.3733</v>
      </c>
      <c r="I25" s="459">
        <f t="shared" si="12"/>
        <v>4</v>
      </c>
      <c r="J25" s="482">
        <f t="shared" si="4"/>
        <v>1.3780148822250204E-2</v>
      </c>
      <c r="K25" s="491">
        <f t="shared" si="13"/>
        <v>1.378550074846463E-2</v>
      </c>
      <c r="L25" s="494">
        <f t="shared" si="5"/>
        <v>1.378550074846463E-2</v>
      </c>
      <c r="M25" s="483">
        <f>'All Curves'!BN18</f>
        <v>-5.4068711080230009E-3</v>
      </c>
      <c r="N25" s="483">
        <f t="shared" si="6"/>
        <v>1.9192371856487631E-2</v>
      </c>
      <c r="O25" s="492">
        <f t="shared" si="7"/>
        <v>1</v>
      </c>
      <c r="P25" s="492">
        <f t="shared" si="8"/>
        <v>0</v>
      </c>
      <c r="Q25" s="492">
        <f>IF(P25=1,N24,IF(P25=2,N23,IF(P25=3,N22,IF(P25=4,#REF!,IF(P25=5,#REF!,IF(P25=6,#REF!,IF(P25=7,#REF!,IF(P25=8,#REF!,IF(P25=9,N16,IF(P25=10,N15,IF(P25=11,N14,IF(P25=12,N13,IF(P25=13,#REF!,IF(P25=14,#REF!,IF(P25=15,#REF!,IF(P25=16,#REF!,IF(P25=17,#REF!,IF(P25=18,#REF!,IF(P25=19,#REF!,0)))))))))))))))))))</f>
        <v>0</v>
      </c>
      <c r="R25" s="505">
        <f t="shared" si="9"/>
        <v>1.9192371856487631E-2</v>
      </c>
      <c r="S25" s="483">
        <f t="shared" si="14"/>
        <v>1.378550074846463E-2</v>
      </c>
      <c r="T25" s="483">
        <f t="shared" si="10"/>
        <v>-5.3519262144252622E-6</v>
      </c>
      <c r="U25" s="489">
        <f>((1+J25)/(V24-J25*(1+W24+X24)))-1</f>
        <v>1.4802020042977482E-2</v>
      </c>
      <c r="V25" s="488">
        <f t="shared" si="15"/>
        <v>1.0562927584823396</v>
      </c>
      <c r="W25" s="488">
        <f t="shared" si="11"/>
        <v>1.0148020200429775</v>
      </c>
      <c r="X25" s="488">
        <f t="shared" si="16"/>
        <v>1.028614651384989</v>
      </c>
      <c r="Y25" s="488">
        <f t="shared" ref="Y25:Y51" si="17">V25/V22</f>
        <v>1.0416450509422803</v>
      </c>
      <c r="Z25" s="488"/>
      <c r="AA25" s="488"/>
      <c r="AB25" s="488"/>
      <c r="AC25" s="488"/>
      <c r="AD25" s="488"/>
      <c r="AE25" s="488"/>
      <c r="AF25" s="488"/>
      <c r="AG25" s="488"/>
      <c r="AH25" s="488"/>
      <c r="AI25" s="488"/>
      <c r="AJ25" s="488"/>
      <c r="AK25" s="488"/>
      <c r="AL25" s="488"/>
      <c r="AM25" s="488"/>
      <c r="AN25" s="488"/>
      <c r="AO25" s="488"/>
      <c r="AP25" s="488"/>
      <c r="AQ25" s="488"/>
      <c r="AR25" s="488"/>
      <c r="AS25" s="488"/>
      <c r="AT25" s="488"/>
      <c r="AU25" s="488"/>
      <c r="AV25" s="488"/>
      <c r="AW25" s="488"/>
      <c r="AX25" s="488"/>
      <c r="AY25" s="488"/>
    </row>
    <row r="26" spans="3:51">
      <c r="C26" s="481">
        <v>5</v>
      </c>
      <c r="D26" s="509">
        <f>'Swap and Yield Curves'!D209</f>
        <v>1.4275</v>
      </c>
      <c r="E26" s="492">
        <f t="shared" si="0"/>
        <v>1</v>
      </c>
      <c r="F26" s="492">
        <f t="shared" si="1"/>
        <v>0</v>
      </c>
      <c r="G26" s="492">
        <f t="shared" si="2"/>
        <v>0</v>
      </c>
      <c r="H26" s="492">
        <f t="shared" si="3"/>
        <v>1.4275</v>
      </c>
      <c r="I26" s="459">
        <f t="shared" si="12"/>
        <v>5</v>
      </c>
      <c r="J26" s="482">
        <f t="shared" si="4"/>
        <v>1.4325943906249972E-2</v>
      </c>
      <c r="K26" s="491">
        <f t="shared" si="13"/>
        <v>1.4346288913652527E-2</v>
      </c>
      <c r="L26" s="494">
        <f t="shared" si="5"/>
        <v>1.4346288913652527E-2</v>
      </c>
      <c r="M26" s="483">
        <f>'All Curves'!BN19</f>
        <v>4.3618141484182693E-3</v>
      </c>
      <c r="N26" s="483">
        <f t="shared" si="6"/>
        <v>9.984474765234258E-3</v>
      </c>
      <c r="O26" s="492">
        <f t="shared" si="7"/>
        <v>1</v>
      </c>
      <c r="P26" s="492">
        <f t="shared" si="8"/>
        <v>0</v>
      </c>
      <c r="Q26" s="492">
        <f>IF(P26=1,N25,IF(P26=2,N24,IF(P26=3,N23,IF(P26=4,N22,IF(P26=5,#REF!,IF(P26=6,#REF!,IF(P26=7,#REF!,IF(P26=8,#REF!,IF(P26=9,#REF!,IF(P26=10,N16,IF(P26=11,N15,IF(P26=12,N14,IF(P26=13,N13,IF(P26=14,#REF!,IF(P26=15,#REF!,IF(P26=16,#REF!,IF(P26=17,#REF!,IF(P26=18,#REF!,IF(P26=19,#REF!,0)))))))))))))))))))</f>
        <v>0</v>
      </c>
      <c r="R26" s="505">
        <f t="shared" si="9"/>
        <v>9.984474765234258E-3</v>
      </c>
      <c r="S26" s="483">
        <f t="shared" si="14"/>
        <v>1.4346288913652527E-2</v>
      </c>
      <c r="T26" s="483">
        <f t="shared" si="10"/>
        <v>-2.0345007402555737E-5</v>
      </c>
      <c r="U26" s="489">
        <f>((1+J26)/(V25-J26*(1+W25+X25+Y25)))-1</f>
        <v>1.6592545360900823E-2</v>
      </c>
      <c r="V26" s="488">
        <f t="shared" si="15"/>
        <v>1.0738193439918489</v>
      </c>
      <c r="W26" s="488">
        <f t="shared" si="11"/>
        <v>1.0165925453609008</v>
      </c>
      <c r="X26" s="488">
        <f t="shared" si="16"/>
        <v>1.0316401685928742</v>
      </c>
      <c r="Y26" s="488">
        <f t="shared" si="17"/>
        <v>1.0456819866469815</v>
      </c>
      <c r="Z26" s="488">
        <f t="shared" ref="Z26:Z51" si="18">V26/V22</f>
        <v>1.0589285936999979</v>
      </c>
      <c r="AA26" s="488"/>
      <c r="AB26" s="488"/>
      <c r="AC26" s="488"/>
      <c r="AD26" s="488"/>
      <c r="AE26" s="488"/>
      <c r="AF26" s="488"/>
      <c r="AG26" s="488"/>
      <c r="AH26" s="488"/>
      <c r="AI26" s="488"/>
      <c r="AJ26" s="488"/>
      <c r="AK26" s="488"/>
      <c r="AL26" s="488"/>
      <c r="AM26" s="488"/>
      <c r="AN26" s="488"/>
      <c r="AO26" s="488"/>
      <c r="AP26" s="488"/>
      <c r="AQ26" s="488"/>
      <c r="AR26" s="488"/>
      <c r="AS26" s="488"/>
      <c r="AT26" s="488"/>
      <c r="AU26" s="488"/>
      <c r="AV26" s="488"/>
      <c r="AW26" s="488"/>
      <c r="AX26" s="488"/>
      <c r="AY26" s="488"/>
    </row>
    <row r="27" spans="3:51">
      <c r="C27" s="481">
        <v>6</v>
      </c>
      <c r="D27" s="509">
        <f>'Swap and Yield Curves'!D210</f>
        <v>1.4972000000000001</v>
      </c>
      <c r="E27" s="492">
        <f t="shared" si="0"/>
        <v>1</v>
      </c>
      <c r="F27" s="492">
        <f t="shared" si="1"/>
        <v>0</v>
      </c>
      <c r="G27" s="492">
        <f t="shared" si="2"/>
        <v>0</v>
      </c>
      <c r="H27" s="492">
        <f t="shared" si="3"/>
        <v>1.4972000000000001</v>
      </c>
      <c r="I27" s="459">
        <f t="shared" si="12"/>
        <v>6</v>
      </c>
      <c r="J27" s="482">
        <f t="shared" si="4"/>
        <v>1.5028040196000125E-2</v>
      </c>
      <c r="K27" s="491">
        <f t="shared" si="13"/>
        <v>1.5072860755984685E-2</v>
      </c>
      <c r="L27" s="494">
        <f t="shared" si="5"/>
        <v>1.5072860755984685E-2</v>
      </c>
      <c r="M27" s="483">
        <f>'All Curves'!BN20</f>
        <v>1.0893013842751598E-2</v>
      </c>
      <c r="N27" s="483">
        <f t="shared" si="6"/>
        <v>4.1798469132330873E-3</v>
      </c>
      <c r="O27" s="492">
        <f t="shared" si="7"/>
        <v>1</v>
      </c>
      <c r="P27" s="492">
        <f t="shared" si="8"/>
        <v>0</v>
      </c>
      <c r="Q27" s="492">
        <f>IF(P27=1,N26,IF(P27=2,N25,IF(P27=3,N24,IF(P27=4,N23,IF(P27=5,N22,IF(P27=6,#REF!,IF(P27=7,#REF!,IF(P27=8,#REF!,IF(P27=9,#REF!,IF(P27=10,#REF!,IF(P27=11,N16,IF(P27=12,N15,IF(P27=13,N14,IF(P27=14,N13,IF(P27=15,#REF!,IF(P27=16,#REF!,IF(P27=17,#REF!,IF(P27=18,#REF!,IF(P27=19,#REF!,0)))))))))))))))))))</f>
        <v>0</v>
      </c>
      <c r="R27" s="505">
        <f t="shared" si="9"/>
        <v>4.1798469132330873E-3</v>
      </c>
      <c r="S27" s="483">
        <f t="shared" si="14"/>
        <v>1.5072860755984685E-2</v>
      </c>
      <c r="T27" s="483">
        <f t="shared" si="10"/>
        <v>-4.4820559984559694E-5</v>
      </c>
      <c r="U27" s="489">
        <f>((1+J27)/(V26-J27*(1+W26+X26+Y26+Z26)))-1</f>
        <v>1.8713534031270518E-2</v>
      </c>
      <c r="V27" s="488">
        <f t="shared" si="15"/>
        <v>1.0939142988290769</v>
      </c>
      <c r="W27" s="488">
        <f t="shared" si="11"/>
        <v>1.0187135340312705</v>
      </c>
      <c r="X27" s="488">
        <f t="shared" si="16"/>
        <v>1.0356165845544478</v>
      </c>
      <c r="Y27" s="488">
        <f t="shared" si="17"/>
        <v>1.0509458019958626</v>
      </c>
      <c r="Z27" s="488">
        <f t="shared" si="18"/>
        <v>1.0652503920899863</v>
      </c>
      <c r="AA27" s="488">
        <f t="shared" ref="AA27:AA51" si="19">V27/V22</f>
        <v>1.0787448899748884</v>
      </c>
      <c r="AB27" s="488"/>
      <c r="AC27" s="488"/>
      <c r="AD27" s="488"/>
      <c r="AE27" s="488"/>
      <c r="AF27" s="488"/>
      <c r="AG27" s="488"/>
      <c r="AH27" s="488"/>
      <c r="AI27" s="488"/>
      <c r="AJ27" s="488"/>
      <c r="AK27" s="488"/>
      <c r="AL27" s="488"/>
      <c r="AM27" s="488"/>
      <c r="AN27" s="488"/>
      <c r="AO27" s="488"/>
      <c r="AP27" s="488"/>
      <c r="AQ27" s="488"/>
      <c r="AR27" s="488"/>
      <c r="AS27" s="488"/>
      <c r="AT27" s="488"/>
      <c r="AU27" s="488"/>
      <c r="AV27" s="488"/>
      <c r="AW27" s="488"/>
      <c r="AX27" s="488"/>
      <c r="AY27" s="488"/>
    </row>
    <row r="28" spans="3:51">
      <c r="C28" s="481">
        <v>7</v>
      </c>
      <c r="D28" s="509">
        <f>'Swap and Yield Curves'!D211</f>
        <v>1.5725</v>
      </c>
      <c r="E28" s="492">
        <f t="shared" si="0"/>
        <v>1</v>
      </c>
      <c r="F28" s="492">
        <f t="shared" si="1"/>
        <v>0</v>
      </c>
      <c r="G28" s="492">
        <f t="shared" si="2"/>
        <v>0</v>
      </c>
      <c r="H28" s="492">
        <f t="shared" si="3"/>
        <v>1.5725</v>
      </c>
      <c r="I28" s="459">
        <f t="shared" si="12"/>
        <v>7</v>
      </c>
      <c r="J28" s="482">
        <f t="shared" si="4"/>
        <v>1.5786818906250222E-2</v>
      </c>
      <c r="K28" s="491">
        <f t="shared" si="13"/>
        <v>1.5864375175729251E-2</v>
      </c>
      <c r="L28" s="494">
        <f t="shared" si="5"/>
        <v>1.5864375175729251E-2</v>
      </c>
      <c r="M28" s="483">
        <f>'All Curves'!BN21</f>
        <v>1.4917148715085427E-2</v>
      </c>
      <c r="N28" s="483">
        <f t="shared" si="6"/>
        <v>9.472264606438241E-4</v>
      </c>
      <c r="O28" s="492">
        <f t="shared" si="7"/>
        <v>1</v>
      </c>
      <c r="P28" s="492">
        <f t="shared" si="8"/>
        <v>0</v>
      </c>
      <c r="Q28" s="492">
        <f>IF(P28=1,N27,IF(P28=2,N26,IF(P28=3,N25,IF(P28=4,N24,IF(P28=5,N23,IF(P28=6,N22,IF(P28=7,#REF!,IF(P28=8,#REF!,IF(P28=9,#REF!,IF(P28=10,#REF!,IF(P28=11,#REF!,IF(P28=12,N16,IF(P28=13,N15,IF(P28=14,N14,IF(P28=15,N13,IF(P28=16,#REF!,IF(P28=17,#REF!,IF(P28=18,#REF!,IF(P28=19,#REF!,0)))))))))))))))))))</f>
        <v>0</v>
      </c>
      <c r="R28" s="505">
        <f t="shared" si="9"/>
        <v>9.472264606438241E-4</v>
      </c>
      <c r="S28" s="483">
        <f t="shared" si="14"/>
        <v>1.5864375175729251E-2</v>
      </c>
      <c r="T28" s="483">
        <f t="shared" si="10"/>
        <v>-7.7556269479028828E-5</v>
      </c>
      <c r="U28" s="489">
        <f>((1+J28)/(V27-J28*(1+W27+X27+Y27+Z27+AA27)))-1</f>
        <v>2.0626439588234513E-2</v>
      </c>
      <c r="V28" s="488">
        <f t="shared" si="15"/>
        <v>1.1164778560285809</v>
      </c>
      <c r="W28" s="488">
        <f t="shared" si="11"/>
        <v>1.0206264395882345</v>
      </c>
      <c r="X28" s="488">
        <f t="shared" si="16"/>
        <v>1.0397259671986834</v>
      </c>
      <c r="Y28" s="488">
        <f t="shared" si="17"/>
        <v>1.0569776674723341</v>
      </c>
      <c r="Z28" s="488">
        <f t="shared" si="18"/>
        <v>1.0726230720912391</v>
      </c>
      <c r="AA28" s="488">
        <f t="shared" si="19"/>
        <v>1.0872227149487736</v>
      </c>
      <c r="AB28" s="488">
        <f t="shared" ref="AB28:AB51" si="20">V28/V22</f>
        <v>1.1009955562790721</v>
      </c>
      <c r="AC28" s="488"/>
      <c r="AD28" s="488"/>
      <c r="AE28" s="488"/>
      <c r="AF28" s="488"/>
      <c r="AG28" s="488"/>
      <c r="AH28" s="488"/>
      <c r="AI28" s="488"/>
      <c r="AJ28" s="488"/>
      <c r="AK28" s="488"/>
      <c r="AL28" s="488"/>
      <c r="AM28" s="488"/>
      <c r="AN28" s="488"/>
      <c r="AO28" s="488"/>
      <c r="AP28" s="488"/>
      <c r="AQ28" s="488"/>
      <c r="AR28" s="488"/>
      <c r="AS28" s="488"/>
      <c r="AT28" s="488"/>
      <c r="AU28" s="488"/>
      <c r="AV28" s="488"/>
      <c r="AW28" s="488"/>
      <c r="AX28" s="488"/>
      <c r="AY28" s="488"/>
    </row>
    <row r="29" spans="3:51">
      <c r="C29" s="481">
        <v>8</v>
      </c>
      <c r="D29" s="509">
        <f>'Swap and Yield Curves'!D212</f>
        <v>1.6465000000000001</v>
      </c>
      <c r="E29" s="492">
        <f t="shared" si="0"/>
        <v>1</v>
      </c>
      <c r="F29" s="492">
        <f t="shared" si="1"/>
        <v>0</v>
      </c>
      <c r="G29" s="492">
        <f t="shared" si="2"/>
        <v>0</v>
      </c>
      <c r="H29" s="492">
        <f t="shared" si="3"/>
        <v>1.6465000000000001</v>
      </c>
      <c r="I29" s="459">
        <f t="shared" si="12"/>
        <v>8</v>
      </c>
      <c r="J29" s="482">
        <f t="shared" si="4"/>
        <v>1.6532774056250199E-2</v>
      </c>
      <c r="K29" s="491">
        <f t="shared" si="13"/>
        <v>1.6649018164173635E-2</v>
      </c>
      <c r="L29" s="494">
        <f t="shared" si="5"/>
        <v>1.6649018164173635E-2</v>
      </c>
      <c r="M29" s="483">
        <f>'All Curves'!BN22</f>
        <v>1.7221941350646787E-2</v>
      </c>
      <c r="N29" s="483">
        <f t="shared" si="6"/>
        <v>-5.7292318647315238E-4</v>
      </c>
      <c r="O29" s="492">
        <f t="shared" si="7"/>
        <v>1</v>
      </c>
      <c r="P29" s="492">
        <f t="shared" si="8"/>
        <v>0</v>
      </c>
      <c r="Q29" s="492">
        <f>IF(P29=1,N28,IF(P29=2,N27,IF(P29=3,N26,IF(P29=4,N25,IF(P29=5,N24,IF(P29=6,N23,IF(P29=7,N22,IF(P29=8,#REF!,IF(P29=9,#REF!,IF(P29=10,#REF!,IF(P29=11,#REF!,IF(P29=12,#REF!,IF(P29=13,N16,IF(P29=14,N15,IF(P29=15,N14,IF(P29=16,N13,IF(P29=17,#REF!,IF(P29=18,#REF!,IF(P29=19,#REF!,0)))))))))))))))))))</f>
        <v>0</v>
      </c>
      <c r="R29" s="505">
        <f t="shared" si="9"/>
        <v>-5.7292318647315238E-4</v>
      </c>
      <c r="S29" s="483">
        <f t="shared" si="14"/>
        <v>1.6649018164173635E-2</v>
      </c>
      <c r="T29" s="483">
        <f t="shared" si="10"/>
        <v>-1.1624410792343554E-4</v>
      </c>
      <c r="U29" s="489">
        <f>((1+J29)/(V28-J29*(1+W28+X28+Y28+Z28+AA28+AB28)))-1</f>
        <v>2.2158514722988132E-2</v>
      </c>
      <c r="V29" s="488">
        <f t="shared" si="15"/>
        <v>1.1412173470392803</v>
      </c>
      <c r="W29" s="488">
        <f t="shared" si="11"/>
        <v>1.0221585147229881</v>
      </c>
      <c r="X29" s="488">
        <f t="shared" si="16"/>
        <v>1.0432420055765215</v>
      </c>
      <c r="Y29" s="488">
        <f t="shared" si="17"/>
        <v>1.0627647503507285</v>
      </c>
      <c r="Z29" s="488">
        <f t="shared" si="18"/>
        <v>1.0803987226788894</v>
      </c>
      <c r="AA29" s="488">
        <f t="shared" si="19"/>
        <v>1.0963908062263896</v>
      </c>
      <c r="AB29" s="488">
        <f t="shared" si="20"/>
        <v>1.1113139554851332</v>
      </c>
      <c r="AC29" s="488">
        <f t="shared" ref="AC29:AC51" si="21">V29/V22</f>
        <v>1.1253919825228265</v>
      </c>
      <c r="AD29" s="488"/>
      <c r="AE29" s="488"/>
      <c r="AF29" s="488"/>
      <c r="AG29" s="488"/>
      <c r="AH29" s="488"/>
      <c r="AI29" s="488"/>
      <c r="AJ29" s="488"/>
      <c r="AK29" s="488"/>
      <c r="AL29" s="488"/>
      <c r="AM29" s="488"/>
      <c r="AN29" s="488"/>
      <c r="AO29" s="488"/>
      <c r="AP29" s="488"/>
      <c r="AQ29" s="488"/>
      <c r="AR29" s="488"/>
      <c r="AS29" s="488"/>
      <c r="AT29" s="488"/>
      <c r="AU29" s="488"/>
      <c r="AV29" s="488"/>
      <c r="AW29" s="488"/>
      <c r="AX29" s="488"/>
      <c r="AY29" s="488"/>
    </row>
    <row r="30" spans="3:51">
      <c r="C30" s="481">
        <v>9</v>
      </c>
      <c r="D30" s="509">
        <f>'Swap and Yield Curves'!D213</f>
        <v>1.7163999999999999</v>
      </c>
      <c r="E30" s="492">
        <f t="shared" si="0"/>
        <v>1</v>
      </c>
      <c r="F30" s="492">
        <f t="shared" si="1"/>
        <v>0</v>
      </c>
      <c r="G30" s="492">
        <f t="shared" si="2"/>
        <v>0</v>
      </c>
      <c r="H30" s="492">
        <f t="shared" si="3"/>
        <v>1.7163999999999999</v>
      </c>
      <c r="I30" s="459">
        <f t="shared" si="12"/>
        <v>9</v>
      </c>
      <c r="J30" s="482">
        <f t="shared" si="4"/>
        <v>1.7237650724000186E-2</v>
      </c>
      <c r="K30" s="491">
        <f t="shared" si="13"/>
        <v>1.7396851016971082E-2</v>
      </c>
      <c r="L30" s="494">
        <f t="shared" si="5"/>
        <v>1.7396851016971082E-2</v>
      </c>
      <c r="M30" s="483">
        <f>'All Curves'!BN23</f>
        <v>1.8404596267986878E-2</v>
      </c>
      <c r="N30" s="483">
        <f t="shared" si="6"/>
        <v>-1.0077452510157958E-3</v>
      </c>
      <c r="O30" s="492">
        <f t="shared" si="7"/>
        <v>1</v>
      </c>
      <c r="P30" s="492">
        <f t="shared" si="8"/>
        <v>0</v>
      </c>
      <c r="Q30" s="492">
        <f>IF(P30=1,N29,IF(P30=2,N28,IF(P30=3,N27,IF(P30=4,N26,IF(P30=5,N25,IF(P30=6,N24,IF(P30=7,N23,IF(P30=8,N22,IF(P30=9,#REF!,IF(P30=10,#REF!,IF(P30=11,#REF!,IF(P30=12,#REF!,IF(P30=13,#REF!,IF(P30=14,N16,IF(P30=15,N15,IF(P30=16,N14,IF(P30=17,N13,IF(P30=18,#REF!,IF(P30=19,#REF!,0)))))))))))))))))))</f>
        <v>0</v>
      </c>
      <c r="R30" s="505">
        <f t="shared" si="9"/>
        <v>-1.0077452510157958E-3</v>
      </c>
      <c r="S30" s="483">
        <f t="shared" si="14"/>
        <v>1.7396851016971082E-2</v>
      </c>
      <c r="T30" s="483">
        <f t="shared" si="10"/>
        <v>-1.5920029297089577E-4</v>
      </c>
      <c r="U30" s="489">
        <f>((1+J30)/(V29-J30*(1+W29+X29+Y29+Z29+AA29+AB29+AC29)))-1</f>
        <v>2.3399351302225257E-2</v>
      </c>
      <c r="V30" s="488">
        <f t="shared" si="15"/>
        <v>1.167921092654846</v>
      </c>
      <c r="W30" s="488">
        <f t="shared" si="11"/>
        <v>1.0233993513022253</v>
      </c>
      <c r="X30" s="488">
        <f t="shared" si="16"/>
        <v>1.0460763608955521</v>
      </c>
      <c r="Y30" s="488">
        <f t="shared" si="17"/>
        <v>1.0676531917582446</v>
      </c>
      <c r="Z30" s="488">
        <f t="shared" si="18"/>
        <v>1.087632756095807</v>
      </c>
      <c r="AA30" s="488">
        <f t="shared" si="19"/>
        <v>1.1056793519373282</v>
      </c>
      <c r="AB30" s="488">
        <f t="shared" si="20"/>
        <v>1.1220456398658107</v>
      </c>
      <c r="AC30" s="488">
        <f t="shared" si="21"/>
        <v>1.1373179811365952</v>
      </c>
      <c r="AD30" s="488">
        <f t="shared" ref="AD30:AD51" si="22">V30/V22</f>
        <v>1.1517254248745858</v>
      </c>
      <c r="AE30" s="488"/>
      <c r="AF30" s="488"/>
      <c r="AG30" s="488"/>
      <c r="AH30" s="488"/>
      <c r="AI30" s="488"/>
      <c r="AJ30" s="488"/>
      <c r="AK30" s="488"/>
      <c r="AL30" s="488"/>
      <c r="AM30" s="488"/>
      <c r="AN30" s="488"/>
      <c r="AO30" s="488"/>
      <c r="AP30" s="488"/>
      <c r="AQ30" s="488"/>
      <c r="AR30" s="488"/>
      <c r="AS30" s="488"/>
      <c r="AT30" s="488"/>
      <c r="AU30" s="488"/>
      <c r="AV30" s="488"/>
      <c r="AW30" s="488"/>
      <c r="AX30" s="488"/>
      <c r="AY30" s="488"/>
    </row>
    <row r="31" spans="3:51">
      <c r="C31" s="481">
        <v>10</v>
      </c>
      <c r="D31" s="509">
        <f>'Swap and Yield Curves'!D214</f>
        <v>1.7825</v>
      </c>
      <c r="E31" s="492">
        <f t="shared" si="0"/>
        <v>1</v>
      </c>
      <c r="F31" s="492">
        <f t="shared" si="1"/>
        <v>0</v>
      </c>
      <c r="G31" s="492">
        <f t="shared" si="2"/>
        <v>0</v>
      </c>
      <c r="H31" s="492">
        <f t="shared" si="3"/>
        <v>1.7825</v>
      </c>
      <c r="I31" s="459">
        <f t="shared" si="12"/>
        <v>10</v>
      </c>
      <c r="J31" s="482">
        <f t="shared" si="4"/>
        <v>1.7904432656250302E-2</v>
      </c>
      <c r="K31" s="491">
        <f t="shared" si="13"/>
        <v>1.8110850251665811E-2</v>
      </c>
      <c r="L31" s="494">
        <f t="shared" si="5"/>
        <v>1.8110850251665811E-2</v>
      </c>
      <c r="M31" s="483">
        <f>'All Curves'!BN24</f>
        <v>1.8874739031672069E-2</v>
      </c>
      <c r="N31" s="483">
        <f t="shared" si="6"/>
        <v>-7.6388878000625826E-4</v>
      </c>
      <c r="O31" s="492">
        <f t="shared" si="7"/>
        <v>1</v>
      </c>
      <c r="P31" s="492">
        <f t="shared" si="8"/>
        <v>0</v>
      </c>
      <c r="Q31" s="492">
        <f>IF(P31=1,N30,IF(P31=2,N29,IF(P31=3,N28,IF(P31=4,N27,IF(P31=5,N26,IF(P31=6,N25,IF(P31=7,N24,IF(P31=8,N23,IF(P31=9,N22,IF(P31=10,#REF!,IF(P31=11,#REF!,IF(P31=12,#REF!,IF(P31=13,#REF!,IF(P31=14,#REF!,IF(P31=15,N16,IF(P31=16,N15,IF(P31=17,N14,IF(P31=18,N13,IF(P31=19,#REF!,0)))))))))))))))))))</f>
        <v>0</v>
      </c>
      <c r="R31" s="505">
        <f t="shared" si="9"/>
        <v>-7.6388878000625826E-4</v>
      </c>
      <c r="S31" s="483">
        <f t="shared" si="14"/>
        <v>1.8110850251665811E-2</v>
      </c>
      <c r="T31" s="483">
        <f t="shared" si="10"/>
        <v>-2.0641759541550897E-4</v>
      </c>
      <c r="U31" s="489">
        <f>((1+J31)/(V30-J31*(1+W30+X30+Y30+Z30+AA30+AB30+AC30+AD30)))-1</f>
        <v>2.4559434111927514E-2</v>
      </c>
      <c r="V31" s="488">
        <f t="shared" si="15"/>
        <v>1.196604573777833</v>
      </c>
      <c r="W31" s="488">
        <f t="shared" si="11"/>
        <v>1.0245594341119275</v>
      </c>
      <c r="X31" s="488">
        <f t="shared" si="16"/>
        <v>1.0485334602407215</v>
      </c>
      <c r="Y31" s="488">
        <f t="shared" si="17"/>
        <v>1.0717674043570113</v>
      </c>
      <c r="Z31" s="488">
        <f t="shared" si="18"/>
        <v>1.0938741499756202</v>
      </c>
      <c r="AA31" s="488">
        <f t="shared" si="19"/>
        <v>1.114344401107116</v>
      </c>
      <c r="AB31" s="488">
        <f t="shared" si="20"/>
        <v>1.1328342111301517</v>
      </c>
      <c r="AC31" s="488">
        <f t="shared" si="21"/>
        <v>1.1496024458286707</v>
      </c>
      <c r="AD31" s="488">
        <f t="shared" si="22"/>
        <v>1.16524986715863</v>
      </c>
      <c r="AE31" s="488">
        <f t="shared" ref="AE31:AE51" si="23">V31/V22</f>
        <v>1.1800111495618248</v>
      </c>
      <c r="AF31" s="488"/>
      <c r="AG31" s="488"/>
      <c r="AH31" s="488"/>
      <c r="AI31" s="488"/>
      <c r="AJ31" s="488"/>
      <c r="AK31" s="488"/>
      <c r="AL31" s="488"/>
      <c r="AM31" s="488"/>
      <c r="AN31" s="488"/>
      <c r="AO31" s="488"/>
      <c r="AP31" s="488"/>
      <c r="AQ31" s="488"/>
      <c r="AR31" s="488"/>
      <c r="AS31" s="488"/>
      <c r="AT31" s="488"/>
      <c r="AU31" s="488"/>
      <c r="AV31" s="488"/>
      <c r="AW31" s="488"/>
      <c r="AX31" s="488"/>
      <c r="AY31" s="488"/>
    </row>
    <row r="32" spans="3:51">
      <c r="C32" s="481">
        <v>11</v>
      </c>
      <c r="D32" s="484"/>
      <c r="E32" s="492" t="str">
        <f t="shared" si="0"/>
        <v/>
      </c>
      <c r="F32" s="492">
        <f t="shared" si="1"/>
        <v>1</v>
      </c>
      <c r="G32" s="492">
        <f t="shared" si="2"/>
        <v>1.7825</v>
      </c>
      <c r="H32" s="492">
        <f t="shared" si="3"/>
        <v>1.84375</v>
      </c>
      <c r="I32" s="459">
        <f t="shared" si="12"/>
        <v>11</v>
      </c>
      <c r="J32" s="482">
        <f t="shared" si="4"/>
        <v>1.8522485351562645E-2</v>
      </c>
      <c r="K32" s="491">
        <f t="shared" si="13"/>
        <v>1.8778770762049701E-2</v>
      </c>
      <c r="L32" s="494" t="str">
        <f t="shared" si="5"/>
        <v/>
      </c>
      <c r="M32" s="483">
        <f>'All Curves'!BN25</f>
        <v>1.8903924426844534E-2</v>
      </c>
      <c r="N32" s="483" t="str">
        <f t="shared" si="6"/>
        <v/>
      </c>
      <c r="O32" s="492" t="str">
        <f t="shared" si="7"/>
        <v/>
      </c>
      <c r="P32" s="492">
        <f t="shared" si="8"/>
        <v>1</v>
      </c>
      <c r="Q32" s="492">
        <f>IF(P32=1,N31,IF(P32=2,N30,IF(P32=3,N29,IF(P32=4,N28,IF(P32=5,N27,IF(P32=6,N26,IF(P32=7,N25,IF(P32=8,N24,IF(P32=9,N23,IF(P32=10,N22,IF(P32=11,#REF!,IF(P32=12,#REF!,IF(P32=13,#REF!,IF(P32=14,#REF!,IF(P32=15,#REF!,IF(P32=16,N16,IF(P32=17,N15,IF(P32=18,N14,IF(P32=19,N13,0)))))))))))))))))))</f>
        <v>-7.6388878000625826E-4</v>
      </c>
      <c r="R32" s="505">
        <f t="shared" si="9"/>
        <v>1.0398582324936539E-5</v>
      </c>
      <c r="S32" s="483">
        <f t="shared" si="14"/>
        <v>1.8914323009169471E-2</v>
      </c>
      <c r="T32" s="483">
        <f t="shared" si="10"/>
        <v>-2.56285410487056E-4</v>
      </c>
      <c r="U32" s="489">
        <f>((1+J32)/(V31-J32*(1+W31+X31+Y31+Z31+AA31+AB31+AC31+AD31+AE31)))-1</f>
        <v>2.5482123367639442E-2</v>
      </c>
      <c r="V32" s="488">
        <f t="shared" si="15"/>
        <v>1.2270965991491214</v>
      </c>
      <c r="W32" s="488">
        <f t="shared" si="11"/>
        <v>1.0254821233676394</v>
      </c>
      <c r="X32" s="488">
        <f t="shared" si="16"/>
        <v>1.0506673840094465</v>
      </c>
      <c r="Y32" s="488">
        <f t="shared" si="17"/>
        <v>1.0752523192296735</v>
      </c>
      <c r="Z32" s="488">
        <f t="shared" si="18"/>
        <v>1.0990783135762514</v>
      </c>
      <c r="AA32" s="488">
        <f t="shared" si="19"/>
        <v>1.1217483860139708</v>
      </c>
      <c r="AB32" s="488">
        <f t="shared" si="20"/>
        <v>1.1427402626101659</v>
      </c>
      <c r="AC32" s="488">
        <f t="shared" si="21"/>
        <v>1.1617012322532527</v>
      </c>
      <c r="AD32" s="488">
        <f t="shared" si="22"/>
        <v>1.178896757177017</v>
      </c>
      <c r="AE32" s="488">
        <f t="shared" si="23"/>
        <v>1.1949429080276917</v>
      </c>
      <c r="AF32" s="488">
        <f t="shared" ref="AF32:AF51" si="24">V32/V22</f>
        <v>1.2100803392501494</v>
      </c>
      <c r="AG32" s="488"/>
      <c r="AH32" s="488"/>
      <c r="AI32" s="488"/>
      <c r="AJ32" s="488"/>
      <c r="AK32" s="488"/>
      <c r="AL32" s="488"/>
      <c r="AM32" s="488"/>
      <c r="AN32" s="488"/>
      <c r="AO32" s="488"/>
      <c r="AP32" s="488"/>
      <c r="AQ32" s="488"/>
      <c r="AR32" s="488"/>
      <c r="AS32" s="488"/>
      <c r="AT32" s="488"/>
      <c r="AU32" s="488"/>
      <c r="AV32" s="488"/>
      <c r="AW32" s="488"/>
      <c r="AX32" s="488"/>
      <c r="AY32" s="488"/>
    </row>
    <row r="33" spans="3:51">
      <c r="C33" s="481">
        <v>12</v>
      </c>
      <c r="D33" s="495">
        <f>'Swap and Yield Curves'!D215</f>
        <v>1.905</v>
      </c>
      <c r="E33" s="492">
        <f t="shared" si="0"/>
        <v>1</v>
      </c>
      <c r="F33" s="492">
        <f t="shared" si="1"/>
        <v>0</v>
      </c>
      <c r="G33" s="492">
        <f t="shared" si="2"/>
        <v>0</v>
      </c>
      <c r="H33" s="492">
        <f t="shared" si="3"/>
        <v>1.905</v>
      </c>
      <c r="I33" s="459">
        <f t="shared" si="12"/>
        <v>12</v>
      </c>
      <c r="J33" s="482">
        <f t="shared" si="4"/>
        <v>1.9140725625000021E-2</v>
      </c>
      <c r="K33" s="491">
        <f t="shared" si="13"/>
        <v>1.9455131875959486E-2</v>
      </c>
      <c r="L33" s="494">
        <f t="shared" si="5"/>
        <v>1.9455131875959486E-2</v>
      </c>
      <c r="M33" s="483">
        <f>'All Curves'!BN26</f>
        <v>1.8670445931303355E-2</v>
      </c>
      <c r="N33" s="483">
        <f t="shared" si="6"/>
        <v>7.8468594465613134E-4</v>
      </c>
      <c r="O33" s="492">
        <f t="shared" si="7"/>
        <v>1</v>
      </c>
      <c r="P33" s="492">
        <f t="shared" si="8"/>
        <v>0</v>
      </c>
      <c r="Q33" s="492">
        <f>IF(P33=1,N32,IF(P33=2,N31,IF(P33=3,N30,IF(P33=4,N29,IF(P33=5,N28,IF(P33=6,N27,IF(P33=7,N26,IF(P33=8,N25,IF(P33=9,N24,IF(P33=10,N23,IF(P33=11,N22,IF(P33=12,#REF!,IF(P33=13,#REF!,IF(P33=14,#REF!,IF(P33=15,#REF!,IF(P33=16,#REF!,IF(P33=17,N16,IF(P33=18,N15,IF(P33=19,N14,0)))))))))))))))))))</f>
        <v>0</v>
      </c>
      <c r="R33" s="505">
        <f t="shared" si="9"/>
        <v>7.8468594465613134E-4</v>
      </c>
      <c r="S33" s="483">
        <f t="shared" si="14"/>
        <v>1.9455131875959486E-2</v>
      </c>
      <c r="T33" s="483">
        <f t="shared" si="10"/>
        <v>-3.1440625095946473E-4</v>
      </c>
      <c r="U33" s="489">
        <f>((1+J33)/(V32-J33*(1+W32+X32+Y32+Z32+AA32+AB32+AC32+AD32+AE32+AF32)))-1</f>
        <v>2.6924805928837614E-2</v>
      </c>
      <c r="V33" s="488">
        <f t="shared" si="15"/>
        <v>1.2601359369371481</v>
      </c>
      <c r="W33" s="488">
        <f t="shared" si="11"/>
        <v>1.0269248059288376</v>
      </c>
      <c r="X33" s="488">
        <f t="shared" si="16"/>
        <v>1.0530930305228055</v>
      </c>
      <c r="Y33" s="488">
        <f t="shared" si="17"/>
        <v>1.0789563994196603</v>
      </c>
      <c r="Z33" s="488">
        <f t="shared" si="18"/>
        <v>1.1042032792494649</v>
      </c>
      <c r="AA33" s="488">
        <f t="shared" si="19"/>
        <v>1.128670783869886</v>
      </c>
      <c r="AB33" s="488">
        <f t="shared" si="20"/>
        <v>1.1519512436083836</v>
      </c>
      <c r="AC33" s="488">
        <f t="shared" si="21"/>
        <v>1.1735083224080134</v>
      </c>
      <c r="AD33" s="488">
        <f t="shared" si="22"/>
        <v>1.192979812478963</v>
      </c>
      <c r="AE33" s="488">
        <f t="shared" si="23"/>
        <v>1.210638323574144</v>
      </c>
      <c r="AF33" s="488">
        <f t="shared" si="24"/>
        <v>1.2271165139223781</v>
      </c>
      <c r="AG33" s="488">
        <f t="shared" ref="AG33:AG51" si="25">V33/V22</f>
        <v>1.2426615175427616</v>
      </c>
      <c r="AH33" s="488"/>
      <c r="AI33" s="488"/>
      <c r="AJ33" s="488"/>
      <c r="AK33" s="488"/>
      <c r="AL33" s="488"/>
      <c r="AM33" s="488"/>
      <c r="AN33" s="488"/>
      <c r="AO33" s="488"/>
      <c r="AP33" s="488"/>
      <c r="AQ33" s="488"/>
      <c r="AR33" s="488"/>
      <c r="AS33" s="488"/>
      <c r="AT33" s="488"/>
      <c r="AU33" s="488"/>
      <c r="AV33" s="488"/>
      <c r="AW33" s="488"/>
      <c r="AX33" s="488"/>
      <c r="AY33" s="488"/>
    </row>
    <row r="34" spans="3:51">
      <c r="C34" s="481">
        <v>13</v>
      </c>
      <c r="D34" s="484"/>
      <c r="E34" s="492" t="str">
        <f t="shared" si="0"/>
        <v/>
      </c>
      <c r="F34" s="492">
        <f t="shared" si="1"/>
        <v>1</v>
      </c>
      <c r="G34" s="492">
        <f t="shared" si="2"/>
        <v>1.905</v>
      </c>
      <c r="H34" s="492">
        <f t="shared" si="3"/>
        <v>1.9508333333333336</v>
      </c>
      <c r="I34" s="459">
        <f t="shared" si="12"/>
        <v>13</v>
      </c>
      <c r="J34" s="482">
        <f t="shared" si="4"/>
        <v>1.9603477100694544E-2</v>
      </c>
      <c r="K34" s="491">
        <f t="shared" si="13"/>
        <v>1.9961415596082555E-2</v>
      </c>
      <c r="L34" s="494" t="str">
        <f t="shared" si="5"/>
        <v/>
      </c>
      <c r="M34" s="483">
        <f>'All Curves'!BN27</f>
        <v>1.8291254521485438E-2</v>
      </c>
      <c r="N34" s="483" t="str">
        <f t="shared" si="6"/>
        <v/>
      </c>
      <c r="O34" s="492" t="str">
        <f t="shared" si="7"/>
        <v/>
      </c>
      <c r="P34" s="492">
        <f t="shared" si="8"/>
        <v>1</v>
      </c>
      <c r="Q34" s="492">
        <f>IF(P34=1,N33,IF(P34=2,N32,IF(P34=3,N31,IF(P34=4,N30,IF(P34=5,N29,IF(P34=6,N28,IF(P34=7,N27,IF(P34=8,N26,IF(P34=9,N25,IF(P34=10,N24,IF(P34=11,N23,IF(P34=12,N22,IF(P34=13,#REF!,IF(P34=14,#REF!,IF(P34=15,#REF!,IF(P34=16,#REF!,IF(P34=17,#REF!,IF(P34=18,N16,IF(P34=19,N15,0)))))))))))))))))))</f>
        <v>7.8468594465613134E-4</v>
      </c>
      <c r="R34" s="505">
        <f t="shared" si="9"/>
        <v>1.7296022669262973E-3</v>
      </c>
      <c r="S34" s="483">
        <f t="shared" si="14"/>
        <v>2.0020856788411735E-2</v>
      </c>
      <c r="T34" s="483">
        <f t="shared" si="10"/>
        <v>-3.5793849538801048E-4</v>
      </c>
      <c r="U34" s="489">
        <f>((1+J34)/(V33-J34*(1+W33+X33+Y33+Z33+AA33+AB33+AC33+AD33+AE33+AF33+AG33)))-1</f>
        <v>2.6056467656262461E-2</v>
      </c>
      <c r="V34" s="488">
        <f t="shared" si="15"/>
        <v>1.292970628220445</v>
      </c>
      <c r="W34" s="488">
        <f t="shared" si="11"/>
        <v>1.0260564676562625</v>
      </c>
      <c r="X34" s="488">
        <f t="shared" si="16"/>
        <v>1.053682838919936</v>
      </c>
      <c r="Y34" s="488">
        <f t="shared" si="17"/>
        <v>1.0805329150116585</v>
      </c>
      <c r="Z34" s="488">
        <f t="shared" si="18"/>
        <v>1.1070701919436561</v>
      </c>
      <c r="AA34" s="488">
        <f t="shared" si="19"/>
        <v>1.1329749162811678</v>
      </c>
      <c r="AB34" s="488">
        <f t="shared" si="20"/>
        <v>1.1580799576443601</v>
      </c>
      <c r="AC34" s="488">
        <f t="shared" si="21"/>
        <v>1.1819670239290569</v>
      </c>
      <c r="AD34" s="488">
        <f t="shared" si="22"/>
        <v>1.2040858040551927</v>
      </c>
      <c r="AE34" s="488">
        <f t="shared" si="23"/>
        <v>1.2240646523773953</v>
      </c>
      <c r="AF34" s="488">
        <f t="shared" si="24"/>
        <v>1.2421832818957856</v>
      </c>
      <c r="AG34" s="488">
        <f t="shared" si="25"/>
        <v>1.2590908356778621</v>
      </c>
      <c r="AH34" s="488">
        <f t="shared" ref="AH34:AH51" si="26">V34/V22</f>
        <v>1.2750408871822967</v>
      </c>
      <c r="AI34" s="488"/>
      <c r="AJ34" s="488"/>
      <c r="AK34" s="488"/>
      <c r="AL34" s="488"/>
      <c r="AM34" s="488"/>
      <c r="AN34" s="488"/>
      <c r="AO34" s="488"/>
      <c r="AP34" s="488"/>
      <c r="AQ34" s="488"/>
      <c r="AR34" s="488"/>
      <c r="AS34" s="488"/>
      <c r="AT34" s="488"/>
      <c r="AU34" s="488"/>
      <c r="AV34" s="488"/>
      <c r="AW34" s="488"/>
      <c r="AX34" s="488"/>
      <c r="AY34" s="488"/>
    </row>
    <row r="35" spans="3:51">
      <c r="C35" s="481">
        <v>14</v>
      </c>
      <c r="D35" s="484"/>
      <c r="E35" s="492" t="str">
        <f t="shared" si="0"/>
        <v/>
      </c>
      <c r="F35" s="492">
        <f t="shared" si="1"/>
        <v>2</v>
      </c>
      <c r="G35" s="492">
        <f t="shared" si="2"/>
        <v>1.905</v>
      </c>
      <c r="H35" s="492">
        <f t="shared" si="3"/>
        <v>1.9966666666666668</v>
      </c>
      <c r="I35" s="459">
        <f t="shared" si="12"/>
        <v>14</v>
      </c>
      <c r="J35" s="482">
        <f t="shared" si="4"/>
        <v>2.0066333611110876E-2</v>
      </c>
      <c r="K35" s="491">
        <f t="shared" si="13"/>
        <v>2.0474746085459072E-2</v>
      </c>
      <c r="L35" s="494" t="str">
        <f t="shared" si="5"/>
        <v/>
      </c>
      <c r="M35" s="483">
        <f>'All Curves'!BN28</f>
        <v>1.7843067911703751E-2</v>
      </c>
      <c r="N35" s="483" t="str">
        <f t="shared" si="6"/>
        <v/>
      </c>
      <c r="O35" s="492" t="str">
        <f t="shared" si="7"/>
        <v/>
      </c>
      <c r="P35" s="492">
        <f t="shared" si="8"/>
        <v>2</v>
      </c>
      <c r="Q35" s="492">
        <f>IF(P35=1,N34,IF(P35=2,N33,IF(P35=3,N32,IF(P35=4,N31,IF(P35=5,N30,IF(P35=6,N29,IF(P35=7,N28,IF(P35=8,N27,IF(P35=9,N26,IF(P35=10,N25,IF(P35=11,N24,IF(P35=12,N23,IF(P35=13,N22,IF(P35=14,#REF!,IF(P35=15,#REF!,IF(P35=16,#REF!,IF(P35=17,#REF!,IF(P35=18,#REF!,IF(P35=19,N16,0)))))))))))))))))))</f>
        <v>7.8468594465613134E-4</v>
      </c>
      <c r="R35" s="505">
        <f t="shared" si="9"/>
        <v>2.6745185891964632E-3</v>
      </c>
      <c r="S35" s="483">
        <f t="shared" si="14"/>
        <v>2.0517586500900215E-2</v>
      </c>
      <c r="T35" s="483">
        <f t="shared" si="10"/>
        <v>-4.084124743481965E-4</v>
      </c>
      <c r="U35" s="489">
        <f>((1+J35)/(V34-J35*(1+W34+X34+Y34+Z34+AA34+AB34+AC34+AD34+AE34+AF34+AG34+AH34)))-1</f>
        <v>2.7171599795138279E-2</v>
      </c>
      <c r="V35" s="488">
        <f t="shared" si="15"/>
        <v>1.3281027086773194</v>
      </c>
      <c r="W35" s="488">
        <f t="shared" si="11"/>
        <v>1.0271715997951383</v>
      </c>
      <c r="X35" s="488">
        <f t="shared" si="16"/>
        <v>1.0539360633626318</v>
      </c>
      <c r="Y35" s="488">
        <f t="shared" si="17"/>
        <v>1.0823130873300737</v>
      </c>
      <c r="Z35" s="488">
        <f t="shared" si="18"/>
        <v>1.1098927229438293</v>
      </c>
      <c r="AA35" s="488">
        <f t="shared" si="19"/>
        <v>1.137151060144276</v>
      </c>
      <c r="AB35" s="488">
        <f t="shared" si="20"/>
        <v>1.1637596572842899</v>
      </c>
      <c r="AC35" s="488">
        <f t="shared" si="21"/>
        <v>1.1895468427842435</v>
      </c>
      <c r="AD35" s="488">
        <f t="shared" si="22"/>
        <v>1.2140829588743078</v>
      </c>
      <c r="AE35" s="488">
        <f t="shared" si="23"/>
        <v>1.2368027416419878</v>
      </c>
      <c r="AF35" s="488">
        <f t="shared" si="24"/>
        <v>1.2573244472351688</v>
      </c>
      <c r="AG35" s="488">
        <f t="shared" si="25"/>
        <v>1.2759353889036693</v>
      </c>
      <c r="AH35" s="488">
        <f t="shared" si="26"/>
        <v>1.2933023479706272</v>
      </c>
      <c r="AI35" s="488">
        <f t="shared" ref="AI35:AI51" si="27">V35/V22</f>
        <v>1.309685787891252</v>
      </c>
      <c r="AJ35" s="488"/>
      <c r="AK35" s="488"/>
      <c r="AL35" s="488"/>
      <c r="AM35" s="488"/>
      <c r="AN35" s="488"/>
      <c r="AO35" s="488"/>
      <c r="AP35" s="488"/>
      <c r="AQ35" s="488"/>
      <c r="AR35" s="488"/>
      <c r="AS35" s="488"/>
      <c r="AT35" s="488"/>
      <c r="AU35" s="488"/>
      <c r="AV35" s="488"/>
      <c r="AW35" s="488"/>
      <c r="AX35" s="488"/>
      <c r="AY35" s="488"/>
    </row>
    <row r="36" spans="3:51">
      <c r="C36" s="481">
        <v>15</v>
      </c>
      <c r="D36" s="495">
        <f>'Swap and Yield Curves'!D216</f>
        <v>2.0425</v>
      </c>
      <c r="E36" s="492">
        <f t="shared" si="0"/>
        <v>1</v>
      </c>
      <c r="F36" s="492">
        <f t="shared" si="1"/>
        <v>0</v>
      </c>
      <c r="G36" s="492">
        <f t="shared" si="2"/>
        <v>0</v>
      </c>
      <c r="H36" s="492">
        <f t="shared" si="3"/>
        <v>2.0425</v>
      </c>
      <c r="I36" s="459">
        <f t="shared" si="12"/>
        <v>15</v>
      </c>
      <c r="J36" s="482">
        <f t="shared" si="4"/>
        <v>2.0529295156249905E-2</v>
      </c>
      <c r="K36" s="491">
        <f t="shared" si="13"/>
        <v>2.0995463195579323E-2</v>
      </c>
      <c r="L36" s="494">
        <f t="shared" si="5"/>
        <v>2.0995463195579323E-2</v>
      </c>
      <c r="M36" s="483">
        <f>'All Curves'!BN29</f>
        <v>1.7376028284112693E-2</v>
      </c>
      <c r="N36" s="483">
        <f t="shared" si="6"/>
        <v>3.6194349114666291E-3</v>
      </c>
      <c r="O36" s="492">
        <f t="shared" si="7"/>
        <v>1</v>
      </c>
      <c r="P36" s="492">
        <f t="shared" si="8"/>
        <v>0</v>
      </c>
      <c r="Q36" s="492">
        <f>IF(P36=1,N35,IF(P36=2,N34,IF(P36=3,N33,IF(P36=4,N32,IF(P36=5,N31,IF(P36=6,N30,IF(P36=7,N29,IF(P36=8,N28,IF(P36=9,N27,IF(P36=10,N26,IF(P36=11,N25,IF(P36=12,N24,IF(P36=13,N23,IF(P36=14,N22,IF(P36=15,#REF!,IF(P36=16,#REF!,IF(P36=17,#REF!,IF(P36=18,#REF!,IF(P36=19,#REF!,0)))))))))))))))))))</f>
        <v>0</v>
      </c>
      <c r="R36" s="505">
        <f t="shared" si="9"/>
        <v>3.6194349114666291E-3</v>
      </c>
      <c r="S36" s="483">
        <f t="shared" si="14"/>
        <v>2.0995463195579323E-2</v>
      </c>
      <c r="T36" s="483">
        <f t="shared" si="10"/>
        <v>-4.6616803932941764E-4</v>
      </c>
      <c r="U36" s="489">
        <f>((1+J36)/(V35-J36*(1+W35+X35+Y35+Z35+AA35+AB35+AC35+AD35+AE35+AF35+AG35+AH35+AI35)))-1</f>
        <v>2.8313463656193472E-2</v>
      </c>
      <c r="V36" s="488">
        <f t="shared" si="15"/>
        <v>1.3657058964511468</v>
      </c>
      <c r="W36" s="488">
        <f t="shared" si="11"/>
        <v>1.0283134636561935</v>
      </c>
      <c r="X36" s="488">
        <f t="shared" si="16"/>
        <v>1.056254385554612</v>
      </c>
      <c r="Y36" s="488">
        <f t="shared" si="17"/>
        <v>1.0837766437886012</v>
      </c>
      <c r="Z36" s="488">
        <f t="shared" si="18"/>
        <v>1.1129571195928163</v>
      </c>
      <c r="AA36" s="488">
        <f t="shared" si="19"/>
        <v>1.141317630217173</v>
      </c>
      <c r="AB36" s="488">
        <f t="shared" si="20"/>
        <v>1.1693477453572729</v>
      </c>
      <c r="AC36" s="488">
        <f t="shared" si="21"/>
        <v>1.1967097240453528</v>
      </c>
      <c r="AD36" s="488">
        <f t="shared" si="22"/>
        <v>1.2232270340847549</v>
      </c>
      <c r="AE36" s="488">
        <f t="shared" si="23"/>
        <v>1.2484578526059993</v>
      </c>
      <c r="AF36" s="488">
        <f t="shared" si="24"/>
        <v>1.2718209111173486</v>
      </c>
      <c r="AG36" s="488">
        <f t="shared" si="25"/>
        <v>1.2929236572760054</v>
      </c>
      <c r="AH36" s="488">
        <f t="shared" si="26"/>
        <v>1.3120615391650445</v>
      </c>
      <c r="AI36" s="488">
        <f t="shared" si="27"/>
        <v>1.3299202169963631</v>
      </c>
      <c r="AJ36" s="488">
        <f t="shared" ref="AJ36:AJ51" si="28">V36/V22</f>
        <v>1.3467675288477441</v>
      </c>
      <c r="AK36" s="488"/>
      <c r="AL36" s="488"/>
      <c r="AM36" s="488"/>
      <c r="AN36" s="488"/>
      <c r="AO36" s="488"/>
      <c r="AP36" s="488"/>
      <c r="AQ36" s="488"/>
      <c r="AR36" s="488"/>
      <c r="AS36" s="488"/>
      <c r="AT36" s="488"/>
      <c r="AU36" s="488"/>
      <c r="AV36" s="488"/>
      <c r="AW36" s="488"/>
      <c r="AX36" s="488"/>
      <c r="AY36" s="488"/>
    </row>
    <row r="37" spans="3:51">
      <c r="C37" s="481">
        <v>16</v>
      </c>
      <c r="D37" s="484"/>
      <c r="E37" s="492" t="str">
        <f t="shared" si="0"/>
        <v/>
      </c>
      <c r="F37" s="492">
        <f t="shared" si="1"/>
        <v>1</v>
      </c>
      <c r="G37" s="492">
        <f t="shared" si="2"/>
        <v>2.0425</v>
      </c>
      <c r="H37" s="492">
        <f t="shared" si="3"/>
        <v>2.0745</v>
      </c>
      <c r="I37" s="459">
        <f t="shared" si="12"/>
        <v>16</v>
      </c>
      <c r="J37" s="482">
        <f t="shared" si="4"/>
        <v>2.0852588756249846E-2</v>
      </c>
      <c r="K37" s="491">
        <f t="shared" si="13"/>
        <v>2.1355159868031937E-2</v>
      </c>
      <c r="L37" s="494" t="str">
        <f t="shared" si="5"/>
        <v/>
      </c>
      <c r="M37" s="483">
        <f>'All Curves'!BN30</f>
        <v>1.6922540859293077E-2</v>
      </c>
      <c r="N37" s="483" t="str">
        <f t="shared" si="6"/>
        <v/>
      </c>
      <c r="O37" s="492" t="str">
        <f t="shared" si="7"/>
        <v/>
      </c>
      <c r="P37" s="492">
        <f t="shared" si="8"/>
        <v>1</v>
      </c>
      <c r="Q37" s="492">
        <f>IF(P37=1,N36,IF(P37=2,N35,IF(P37=3,N34,IF(P37=4,N33,IF(P37=5,N32,IF(P37=6,N31,IF(P37=7,N30,IF(P37=8,N29,IF(P37=9,N28,IF(P37=10,N27,IF(P37=11,N26,IF(P37=12,N25,IF(P37=13,N24,IF(P37=14,N23,IF(P37=15,N22,IF(P37=16,#REF!,IF(P37=17,#REF!,IF(P37=18,#REF!,IF(P37=19,#REF!,0)))))))))))))))))))</f>
        <v>3.6194349114666291E-3</v>
      </c>
      <c r="R37" s="505">
        <f t="shared" si="9"/>
        <v>4.3569493281266636E-3</v>
      </c>
      <c r="S37" s="483">
        <f t="shared" si="14"/>
        <v>2.1279490187419741E-2</v>
      </c>
      <c r="T37" s="483">
        <f t="shared" si="10"/>
        <v>-5.025711117820908E-4</v>
      </c>
      <c r="U37" s="489">
        <f>((1+J37)/(V36-J37*(1+W36+X36+Y36+Z36+AA36+AB36+AC36+AD36+AE36+AF36+AG36+AH36+AI36+AJ36)))-1</f>
        <v>2.676584151931416E-2</v>
      </c>
      <c r="V37" s="488">
        <f t="shared" si="15"/>
        <v>1.4022601640375512</v>
      </c>
      <c r="W37" s="488">
        <f t="shared" si="11"/>
        <v>1.0267658415193142</v>
      </c>
      <c r="X37" s="488">
        <f t="shared" si="16"/>
        <v>1.0558371388565924</v>
      </c>
      <c r="Y37" s="488">
        <f t="shared" si="17"/>
        <v>1.0845259230424473</v>
      </c>
      <c r="Z37" s="488">
        <f t="shared" si="18"/>
        <v>1.1127848376785812</v>
      </c>
      <c r="AA37" s="488">
        <f t="shared" si="19"/>
        <v>1.14274635347363</v>
      </c>
      <c r="AB37" s="488">
        <f t="shared" si="20"/>
        <v>1.1718659570307652</v>
      </c>
      <c r="AC37" s="488">
        <f t="shared" si="21"/>
        <v>1.200646321790473</v>
      </c>
      <c r="AD37" s="488">
        <f t="shared" si="22"/>
        <v>1.228740666863773</v>
      </c>
      <c r="AE37" s="488">
        <f t="shared" si="23"/>
        <v>1.2559677350212082</v>
      </c>
      <c r="AF37" s="488">
        <f t="shared" si="24"/>
        <v>1.2818738776323948</v>
      </c>
      <c r="AG37" s="488">
        <f t="shared" si="25"/>
        <v>1.3058622680652654</v>
      </c>
      <c r="AH37" s="488">
        <f t="shared" si="26"/>
        <v>1.3275298469832271</v>
      </c>
      <c r="AI37" s="488">
        <f t="shared" si="27"/>
        <v>1.3471799703859235</v>
      </c>
      <c r="AJ37" s="488">
        <f t="shared" si="28"/>
        <v>1.3655166507578198</v>
      </c>
      <c r="AK37" s="496">
        <f t="shared" ref="AK37:AK51" si="29">V37/V22</f>
        <v>1.3828148950882413</v>
      </c>
      <c r="AL37" s="488"/>
      <c r="AM37" s="488"/>
      <c r="AN37" s="488"/>
      <c r="AO37" s="488"/>
      <c r="AP37" s="488"/>
      <c r="AQ37" s="488"/>
      <c r="AR37" s="488"/>
      <c r="AS37" s="488"/>
      <c r="AT37" s="488"/>
      <c r="AU37" s="488"/>
      <c r="AV37" s="488"/>
      <c r="AW37" s="488"/>
      <c r="AX37" s="488"/>
      <c r="AY37" s="488"/>
    </row>
    <row r="38" spans="3:51">
      <c r="C38" s="481">
        <v>17</v>
      </c>
      <c r="D38" s="484"/>
      <c r="E38" s="492" t="str">
        <f t="shared" si="0"/>
        <v/>
      </c>
      <c r="F38" s="492">
        <f t="shared" si="1"/>
        <v>2</v>
      </c>
      <c r="G38" s="492">
        <f t="shared" si="2"/>
        <v>2.0425</v>
      </c>
      <c r="H38" s="492">
        <f t="shared" si="3"/>
        <v>2.1065</v>
      </c>
      <c r="I38" s="459">
        <f t="shared" si="12"/>
        <v>17</v>
      </c>
      <c r="J38" s="482">
        <f t="shared" si="4"/>
        <v>2.1175933556250026E-2</v>
      </c>
      <c r="K38" s="491">
        <f t="shared" si="13"/>
        <v>2.1720604489924966E-2</v>
      </c>
      <c r="L38" s="494" t="str">
        <f t="shared" si="5"/>
        <v/>
      </c>
      <c r="M38" s="483">
        <f>'All Curves'!BN31</f>
        <v>1.6503052407408743E-2</v>
      </c>
      <c r="N38" s="483" t="str">
        <f t="shared" si="6"/>
        <v/>
      </c>
      <c r="O38" s="492" t="str">
        <f t="shared" si="7"/>
        <v/>
      </c>
      <c r="P38" s="492">
        <f t="shared" si="8"/>
        <v>2</v>
      </c>
      <c r="Q38" s="492">
        <f>IF(P38=1,N37,IF(P38=2,N36,IF(P38=3,N35,IF(P38=4,N34,IF(P38=5,N33,IF(P38=6,N32,IF(P38=7,N31,IF(P38=8,N30,IF(P38=9,N29,IF(P38=10,N28,IF(P38=11,N27,IF(P38=12,N26,IF(P38=13,N25,IF(P38=14,N24,IF(P38=15,N23,IF(P38=16,N22,IF(P38=17,#REF!,IF(P38=18,#REF!,IF(P38=19,#REF!,0)))))))))))))))))))</f>
        <v>3.6194349114666291E-3</v>
      </c>
      <c r="R38" s="505">
        <f t="shared" si="9"/>
        <v>5.0944637447866972E-3</v>
      </c>
      <c r="S38" s="483">
        <f t="shared" si="14"/>
        <v>2.1597516152195441E-2</v>
      </c>
      <c r="T38" s="483">
        <f t="shared" si="10"/>
        <v>-5.4467093367494002E-4</v>
      </c>
      <c r="U38" s="489">
        <f>((1+J38)/(V37-J38*(1+W37+X37+Y37+Z37+AA37+AB37+AC37+AD37+AE37+AF37+AG37+AH37+AI37+AJ37+AK37)))-1</f>
        <v>2.7585533304151033E-2</v>
      </c>
      <c r="V38" s="488">
        <f t="shared" si="15"/>
        <v>1.4409422584936933</v>
      </c>
      <c r="W38" s="488">
        <f t="shared" si="11"/>
        <v>1.027585533304151</v>
      </c>
      <c r="X38" s="488">
        <f t="shared" si="16"/>
        <v>1.05508972483611</v>
      </c>
      <c r="Y38" s="488">
        <f t="shared" si="17"/>
        <v>1.0849629694142804</v>
      </c>
      <c r="Z38" s="488">
        <f t="shared" si="18"/>
        <v>1.1144431490117499</v>
      </c>
      <c r="AA38" s="488">
        <f t="shared" si="19"/>
        <v>1.1434816008787179</v>
      </c>
      <c r="AB38" s="488">
        <f t="shared" si="20"/>
        <v>1.1742696210655739</v>
      </c>
      <c r="AC38" s="488">
        <f t="shared" si="21"/>
        <v>1.2041925044164381</v>
      </c>
      <c r="AD38" s="488">
        <f t="shared" si="22"/>
        <v>1.2337667908867307</v>
      </c>
      <c r="AE38" s="488">
        <f t="shared" si="23"/>
        <v>1.2626361334517082</v>
      </c>
      <c r="AF38" s="488">
        <f t="shared" si="24"/>
        <v>1.2906142748045748</v>
      </c>
      <c r="AG38" s="488">
        <f t="shared" si="25"/>
        <v>1.3172350521755445</v>
      </c>
      <c r="AH38" s="488">
        <f t="shared" si="26"/>
        <v>1.3418851751516139</v>
      </c>
      <c r="AI38" s="488">
        <f t="shared" si="27"/>
        <v>1.3641504657894374</v>
      </c>
      <c r="AJ38" s="488">
        <f t="shared" si="28"/>
        <v>1.3843426483256895</v>
      </c>
      <c r="AK38" s="488">
        <f t="shared" si="29"/>
        <v>1.4031851558046724</v>
      </c>
      <c r="AL38" s="488">
        <f t="shared" ref="AL38:AL51" si="30">V38/V22</f>
        <v>1.420960581430174</v>
      </c>
      <c r="AM38" s="488"/>
      <c r="AN38" s="488"/>
      <c r="AO38" s="488"/>
      <c r="AP38" s="488"/>
      <c r="AQ38" s="488"/>
      <c r="AR38" s="488"/>
      <c r="AS38" s="488"/>
      <c r="AT38" s="488"/>
      <c r="AU38" s="488"/>
      <c r="AV38" s="488"/>
      <c r="AW38" s="488"/>
      <c r="AX38" s="488"/>
      <c r="AY38" s="488"/>
    </row>
    <row r="39" spans="3:51">
      <c r="C39" s="481">
        <v>18</v>
      </c>
      <c r="D39" s="484"/>
      <c r="E39" s="492" t="str">
        <f t="shared" si="0"/>
        <v/>
      </c>
      <c r="F39" s="492">
        <f t="shared" si="1"/>
        <v>3</v>
      </c>
      <c r="G39" s="492">
        <f t="shared" si="2"/>
        <v>2.0425</v>
      </c>
      <c r="H39" s="492">
        <f t="shared" si="3"/>
        <v>2.1385000000000001</v>
      </c>
      <c r="I39" s="459">
        <f t="shared" si="12"/>
        <v>18</v>
      </c>
      <c r="J39" s="482">
        <f t="shared" si="4"/>
        <v>2.1499329556250002E-2</v>
      </c>
      <c r="K39" s="491">
        <f t="shared" si="13"/>
        <v>2.2091907997882076E-2</v>
      </c>
      <c r="L39" s="494" t="str">
        <f t="shared" si="5"/>
        <v/>
      </c>
      <c r="M39" s="483">
        <f>'All Curves'!BN32</f>
        <v>1.6129883122892579E-2</v>
      </c>
      <c r="N39" s="483" t="str">
        <f t="shared" si="6"/>
        <v/>
      </c>
      <c r="O39" s="492" t="str">
        <f t="shared" si="7"/>
        <v/>
      </c>
      <c r="P39" s="492">
        <f t="shared" si="8"/>
        <v>3</v>
      </c>
      <c r="Q39" s="492">
        <f>IF(P39=1,N38,IF(P39=2,N37,IF(P39=3,N36,IF(P39=4,N35,IF(P39=5,N34,IF(P39=6,N33,IF(P39=7,N32,IF(P39=8,N31,IF(P39=9,N30,IF(P39=10,N29,IF(P39=11,N28,IF(P39=12,N27,IF(P39=13,N26,IF(P39=14,N25,IF(P39=15,N24,IF(P39=16,N23,IF(P39=17,N22,IF(P39=18,#REF!,IF(P39=19,#REF!,0)))))))))))))))))))</f>
        <v>3.6194349114666291E-3</v>
      </c>
      <c r="R39" s="505">
        <f t="shared" si="9"/>
        <v>5.8319781614467308E-3</v>
      </c>
      <c r="S39" s="483">
        <f t="shared" si="14"/>
        <v>2.1961861284339308E-2</v>
      </c>
      <c r="T39" s="483">
        <f t="shared" si="10"/>
        <v>-5.9257844163207452E-4</v>
      </c>
      <c r="U39" s="489">
        <f>((1+J39)/(V38-J39*(1+W38+X38+Y38+Z38+AA38+AB38+AC38+AD38+AE38+AF38+AG38+AH38+AI38+AJ38+AK38+AL38)))-1</f>
        <v>2.8424752820514376E-2</v>
      </c>
      <c r="V39" s="488">
        <f t="shared" si="15"/>
        <v>1.4819006860200103</v>
      </c>
      <c r="W39" s="488">
        <f t="shared" si="11"/>
        <v>1.0284247528205144</v>
      </c>
      <c r="X39" s="488">
        <f t="shared" si="16"/>
        <v>1.0567943980902581</v>
      </c>
      <c r="Y39" s="488">
        <f t="shared" si="17"/>
        <v>1.085080389468041</v>
      </c>
      <c r="Z39" s="488">
        <f t="shared" si="18"/>
        <v>1.1158027736392926</v>
      </c>
      <c r="AA39" s="488">
        <f t="shared" si="19"/>
        <v>1.1461209200549247</v>
      </c>
      <c r="AB39" s="488">
        <f t="shared" si="20"/>
        <v>1.1759847827385017</v>
      </c>
      <c r="AC39" s="488">
        <f t="shared" si="21"/>
        <v>1.2076479447890021</v>
      </c>
      <c r="AD39" s="488">
        <f t="shared" si="22"/>
        <v>1.2384213787027916</v>
      </c>
      <c r="AE39" s="488">
        <f t="shared" si="23"/>
        <v>1.2688363069558453</v>
      </c>
      <c r="AF39" s="488">
        <f t="shared" si="24"/>
        <v>1.2985262534473232</v>
      </c>
      <c r="AG39" s="488">
        <f t="shared" si="25"/>
        <v>1.3272996665525223</v>
      </c>
      <c r="AH39" s="488">
        <f t="shared" si="26"/>
        <v>1.3546771329401519</v>
      </c>
      <c r="AI39" s="488">
        <f t="shared" si="27"/>
        <v>1.3800279295688114</v>
      </c>
      <c r="AJ39" s="488">
        <f t="shared" si="28"/>
        <v>1.4029261055894917</v>
      </c>
      <c r="AK39" s="488">
        <f t="shared" si="29"/>
        <v>1.4236922459232437</v>
      </c>
      <c r="AL39" s="488">
        <f t="shared" si="30"/>
        <v>1.4430703470198352</v>
      </c>
      <c r="AM39" s="488">
        <f t="shared" ref="AM39:AM51" si="31">V39/V22</f>
        <v>1.4613510347250211</v>
      </c>
      <c r="AN39" s="488"/>
      <c r="AO39" s="488"/>
      <c r="AP39" s="488"/>
      <c r="AQ39" s="488"/>
      <c r="AR39" s="488"/>
      <c r="AS39" s="488"/>
      <c r="AT39" s="488"/>
      <c r="AU39" s="488"/>
      <c r="AV39" s="488"/>
      <c r="AW39" s="488"/>
      <c r="AX39" s="488"/>
      <c r="AY39" s="488"/>
    </row>
    <row r="40" spans="3:51">
      <c r="C40" s="481">
        <v>19</v>
      </c>
      <c r="D40" s="484"/>
      <c r="E40" s="492" t="str">
        <f t="shared" si="0"/>
        <v/>
      </c>
      <c r="F40" s="492">
        <f t="shared" si="1"/>
        <v>4</v>
      </c>
      <c r="G40" s="492">
        <f t="shared" si="2"/>
        <v>2.0425</v>
      </c>
      <c r="H40" s="492">
        <f t="shared" si="3"/>
        <v>2.1705000000000001</v>
      </c>
      <c r="I40" s="459">
        <f t="shared" si="12"/>
        <v>19</v>
      </c>
      <c r="J40" s="482">
        <f t="shared" si="4"/>
        <v>2.1822776756249773E-2</v>
      </c>
      <c r="K40" s="491">
        <f t="shared" si="13"/>
        <v>2.2469238576747763E-2</v>
      </c>
      <c r="L40" s="494" t="str">
        <f t="shared" si="5"/>
        <v/>
      </c>
      <c r="M40" s="483">
        <f>'All Curves'!BN33</f>
        <v>1.5809805955891355E-2</v>
      </c>
      <c r="N40" s="483" t="str">
        <f t="shared" si="6"/>
        <v/>
      </c>
      <c r="O40" s="492" t="str">
        <f t="shared" si="7"/>
        <v/>
      </c>
      <c r="P40" s="492">
        <f t="shared" si="8"/>
        <v>4</v>
      </c>
      <c r="Q40" s="492">
        <f>IF(P40=1,N39,IF(P40=2,N38,IF(P40=3,N37,IF(P40=4,N36,IF(P40=5,N35,IF(P40=6,N34,IF(P40=7,N33,IF(P40=8,N32,IF(P40=9,N31,IF(P40=10,N30,IF(P40=11,N29,IF(P40=12,N28,IF(P40=13,N27,IF(P40=14,N26,IF(P40=15,N25,IF(P40=16,N24,IF(P40=17,N23,IF(P40=18,N22,IF(P40=19,#REF!,0)))))))))))))))))))</f>
        <v>3.6194349114666291E-3</v>
      </c>
      <c r="R40" s="505">
        <f t="shared" si="9"/>
        <v>6.5694925781067644E-3</v>
      </c>
      <c r="S40" s="483">
        <f t="shared" si="14"/>
        <v>2.2379298533998119E-2</v>
      </c>
      <c r="T40" s="483">
        <f t="shared" si="10"/>
        <v>-6.4646182049798995E-4</v>
      </c>
      <c r="U40" s="489">
        <f>((1+J40)/(V39-J40*(1+W39+X39+Y39+Z39+AA39+AB39+AC39+AD39+AE39+AF39+AG39+AH39+AI39+AJ39+AK39+AL39+AM39)))-1</f>
        <v>2.9285059363283183E-2</v>
      </c>
      <c r="V40" s="488">
        <f t="shared" si="15"/>
        <v>1.5252982355805964</v>
      </c>
      <c r="W40" s="488">
        <f t="shared" si="11"/>
        <v>1.0292850593632832</v>
      </c>
      <c r="X40" s="488">
        <f t="shared" si="16"/>
        <v>1.0585422327575331</v>
      </c>
      <c r="Y40" s="488">
        <f t="shared" si="17"/>
        <v>1.0877426847731164</v>
      </c>
      <c r="Z40" s="488">
        <f t="shared" si="18"/>
        <v>1.1168570330875469</v>
      </c>
      <c r="AA40" s="488">
        <f t="shared" si="19"/>
        <v>1.1484791241030352</v>
      </c>
      <c r="AB40" s="488">
        <f t="shared" si="20"/>
        <v>1.179685139236234</v>
      </c>
      <c r="AC40" s="488">
        <f t="shared" si="21"/>
        <v>1.2104235669113164</v>
      </c>
      <c r="AD40" s="488">
        <f t="shared" si="22"/>
        <v>1.2430139865420948</v>
      </c>
      <c r="AE40" s="488">
        <f t="shared" si="23"/>
        <v>1.2746886222948619</v>
      </c>
      <c r="AF40" s="488">
        <f t="shared" si="24"/>
        <v>1.3059942535273361</v>
      </c>
      <c r="AG40" s="488">
        <f t="shared" si="25"/>
        <v>1.3365536718643098</v>
      </c>
      <c r="AH40" s="488">
        <f t="shared" si="26"/>
        <v>1.366169716080379</v>
      </c>
      <c r="AI40" s="488">
        <f t="shared" si="27"/>
        <v>1.3943489331963865</v>
      </c>
      <c r="AJ40" s="488">
        <f t="shared" si="28"/>
        <v>1.4204421294092227</v>
      </c>
      <c r="AK40" s="488">
        <f t="shared" si="29"/>
        <v>1.4440108798739797</v>
      </c>
      <c r="AL40" s="488">
        <f t="shared" si="30"/>
        <v>1.4653851578601518</v>
      </c>
      <c r="AM40" s="488">
        <f t="shared" si="31"/>
        <v>1.4853307477977047</v>
      </c>
      <c r="AN40" s="488">
        <f t="shared" ref="AN40:AN51" si="32">V40/V22</f>
        <v>1.5041467865275386</v>
      </c>
      <c r="AO40" s="488"/>
      <c r="AP40" s="488"/>
      <c r="AQ40" s="488"/>
      <c r="AR40" s="488"/>
      <c r="AS40" s="488"/>
      <c r="AT40" s="488"/>
      <c r="AU40" s="488"/>
      <c r="AV40" s="488"/>
      <c r="AW40" s="488"/>
      <c r="AX40" s="488"/>
      <c r="AY40" s="488"/>
    </row>
    <row r="41" spans="3:51">
      <c r="C41" s="481">
        <v>20</v>
      </c>
      <c r="D41" s="495">
        <f>'Swap and Yield Curves'!D217</f>
        <v>2.2025000000000001</v>
      </c>
      <c r="E41" s="492">
        <f t="shared" si="0"/>
        <v>1</v>
      </c>
      <c r="F41" s="492">
        <f t="shared" si="1"/>
        <v>0</v>
      </c>
      <c r="G41" s="492">
        <f t="shared" si="2"/>
        <v>0</v>
      </c>
      <c r="H41" s="492">
        <f t="shared" si="3"/>
        <v>2.2025000000000001</v>
      </c>
      <c r="I41" s="459">
        <f t="shared" si="12"/>
        <v>20</v>
      </c>
      <c r="J41" s="482">
        <f t="shared" si="4"/>
        <v>2.2146275156250228E-2</v>
      </c>
      <c r="K41" s="491">
        <f t="shared" si="13"/>
        <v>2.2852814328210291E-2</v>
      </c>
      <c r="L41" s="494">
        <f t="shared" si="5"/>
        <v>2.2852814328210291E-2</v>
      </c>
      <c r="M41" s="483">
        <f>'All Curves'!BN34</f>
        <v>1.5545807333443493E-2</v>
      </c>
      <c r="N41" s="483">
        <f t="shared" si="6"/>
        <v>7.307006994766798E-3</v>
      </c>
      <c r="O41" s="492">
        <f t="shared" si="7"/>
        <v>1</v>
      </c>
      <c r="P41" s="492">
        <f t="shared" si="8"/>
        <v>0</v>
      </c>
      <c r="Q41" s="492">
        <f t="shared" ref="Q41:Q51" si="33">IF(P41=1,N40,IF(P41=2,N39,IF(P41=3,N38,IF(P41=4,N37,IF(P41=5,N36,IF(P41=6,N35,IF(P41=7,N34,IF(P41=8,N33,IF(P41=9,N32,IF(P41=10,N31,IF(P41=11,N30,IF(P41=12,N29,IF(P41=13,N28,IF(P41=14,N27,IF(P41=15,N26,IF(P41=16,N25,IF(P41=17,N24,IF(P41=18,N23,IF(P41=19,N22,0)))))))))))))))))))</f>
        <v>0</v>
      </c>
      <c r="R41" s="505">
        <f t="shared" si="9"/>
        <v>7.307006994766798E-3</v>
      </c>
      <c r="S41" s="483">
        <f t="shared" si="14"/>
        <v>2.2852814328210291E-2</v>
      </c>
      <c r="T41" s="483">
        <f t="shared" si="10"/>
        <v>-7.0653917196006333E-4</v>
      </c>
      <c r="U41" s="489">
        <f>((1+J41)/(V40-J41*(1+W40+X40+Y40+Z40+AA40+AB40+AC40+AD40+AE40+AF40+AG40+AH40+AI40+AJ40+AK40+AL40+AM40+AN40)))-1</f>
        <v>3.0168155693059973E-2</v>
      </c>
      <c r="V41" s="488">
        <f t="shared" si="15"/>
        <v>1.5713136702299415</v>
      </c>
      <c r="W41" s="488">
        <f t="shared" si="11"/>
        <v>1.03016815569306</v>
      </c>
      <c r="X41" s="488">
        <f t="shared" si="16"/>
        <v>1.0603366912866952</v>
      </c>
      <c r="Y41" s="488">
        <f t="shared" si="17"/>
        <v>1.0904764996430416</v>
      </c>
      <c r="Z41" s="488">
        <f t="shared" si="18"/>
        <v>1.1205578754413388</v>
      </c>
      <c r="AA41" s="488">
        <f t="shared" si="19"/>
        <v>1.150550549948621</v>
      </c>
      <c r="AB41" s="488">
        <f t="shared" si="20"/>
        <v>1.1831266211292049</v>
      </c>
      <c r="AC41" s="488">
        <f t="shared" si="21"/>
        <v>1.2152740641855018</v>
      </c>
      <c r="AD41" s="488">
        <f t="shared" si="22"/>
        <v>1.2469398135324459</v>
      </c>
      <c r="AE41" s="488">
        <f t="shared" si="23"/>
        <v>1.2805134260167479</v>
      </c>
      <c r="AF41" s="488">
        <f t="shared" si="24"/>
        <v>1.3131436271124255</v>
      </c>
      <c r="AG41" s="488">
        <f t="shared" si="25"/>
        <v>1.3453936915019904</v>
      </c>
      <c r="AH41" s="488">
        <f t="shared" si="26"/>
        <v>1.3768750311292433</v>
      </c>
      <c r="AI41" s="488">
        <f t="shared" si="27"/>
        <v>1.4073845367782352</v>
      </c>
      <c r="AJ41" s="488">
        <f t="shared" si="28"/>
        <v>1.4364138689035071</v>
      </c>
      <c r="AK41" s="488">
        <f t="shared" si="29"/>
        <v>1.4632942487222218</v>
      </c>
      <c r="AL41" s="488">
        <f t="shared" si="30"/>
        <v>1.4875740249204905</v>
      </c>
      <c r="AM41" s="488">
        <f t="shared" si="31"/>
        <v>1.5095931254527761</v>
      </c>
      <c r="AN41" s="488">
        <f t="shared" si="32"/>
        <v>1.5301404370529552</v>
      </c>
      <c r="AO41" s="488">
        <f t="shared" ref="AO41:AO51" si="34">V41/V22</f>
        <v>1.5495241209687174</v>
      </c>
      <c r="AP41" s="488"/>
      <c r="AQ41" s="488"/>
      <c r="AR41" s="488"/>
      <c r="AS41" s="488"/>
      <c r="AT41" s="488"/>
      <c r="AU41" s="488"/>
      <c r="AV41" s="488"/>
      <c r="AW41" s="488"/>
      <c r="AX41" s="488"/>
      <c r="AY41" s="488"/>
    </row>
    <row r="42" spans="3:51">
      <c r="C42" s="481">
        <v>21</v>
      </c>
      <c r="D42" s="484"/>
      <c r="E42" s="492" t="str">
        <f t="shared" si="0"/>
        <v/>
      </c>
      <c r="F42" s="492">
        <f t="shared" si="1"/>
        <v>1</v>
      </c>
      <c r="G42" s="492">
        <f t="shared" si="2"/>
        <v>2.2025000000000001</v>
      </c>
      <c r="H42" s="492">
        <f t="shared" si="3"/>
        <v>2.2215000000000011</v>
      </c>
      <c r="I42" s="459">
        <f t="shared" si="12"/>
        <v>21</v>
      </c>
      <c r="J42" s="482">
        <f t="shared" si="4"/>
        <v>2.233837655625015E-2</v>
      </c>
      <c r="K42" s="491">
        <f t="shared" si="13"/>
        <v>2.3070312676340521E-2</v>
      </c>
      <c r="L42" s="494" t="str">
        <f t="shared" si="5"/>
        <v/>
      </c>
      <c r="M42" s="483">
        <f>'All Curves'!BN35</f>
        <v>1.5338303775743859E-2</v>
      </c>
      <c r="N42" s="483" t="str">
        <f t="shared" si="6"/>
        <v/>
      </c>
      <c r="O42" s="492" t="str">
        <f t="shared" si="7"/>
        <v/>
      </c>
      <c r="P42" s="492">
        <f t="shared" si="8"/>
        <v>1</v>
      </c>
      <c r="Q42" s="492">
        <f t="shared" si="33"/>
        <v>7.307006994766798E-3</v>
      </c>
      <c r="R42" s="505">
        <f t="shared" si="9"/>
        <v>7.6358487032459274E-3</v>
      </c>
      <c r="S42" s="483">
        <f t="shared" si="14"/>
        <v>2.2974152478989786E-2</v>
      </c>
      <c r="T42" s="483">
        <f t="shared" si="10"/>
        <v>-7.3193612009037068E-4</v>
      </c>
      <c r="U42" s="489">
        <f>((1+J42)/(V41-J42*(1+W41+X41+Y41+Z41+AA41+AB41+AC41+AD41+AE41+AF41+AG41+AH41+AI41+AJ41+AK41+AL41+AM41+AN41+AO41)))-1</f>
        <v>2.7430004941298103E-2</v>
      </c>
      <c r="V42" s="488">
        <f t="shared" si="15"/>
        <v>1.6144148119686781</v>
      </c>
      <c r="W42" s="488">
        <f t="shared" si="11"/>
        <v>1.0274300049412981</v>
      </c>
      <c r="X42" s="488">
        <f t="shared" si="16"/>
        <v>1.0584256732940887</v>
      </c>
      <c r="Y42" s="488">
        <f t="shared" si="17"/>
        <v>1.089421731968129</v>
      </c>
      <c r="Z42" s="488">
        <f t="shared" si="18"/>
        <v>1.1203882754166197</v>
      </c>
      <c r="AA42" s="488">
        <f t="shared" si="19"/>
        <v>1.1512947835017051</v>
      </c>
      <c r="AB42" s="488">
        <f t="shared" si="20"/>
        <v>1.182110157218925</v>
      </c>
      <c r="AC42" s="488">
        <f t="shared" si="21"/>
        <v>1.2155797901929601</v>
      </c>
      <c r="AD42" s="488">
        <f t="shared" si="22"/>
        <v>1.2486090377711414</v>
      </c>
      <c r="AE42" s="488">
        <f t="shared" si="23"/>
        <v>1.2811433787791422</v>
      </c>
      <c r="AF42" s="488">
        <f t="shared" si="24"/>
        <v>1.3156379156197859</v>
      </c>
      <c r="AG42" s="488">
        <f t="shared" si="25"/>
        <v>1.3491631632927534</v>
      </c>
      <c r="AH42" s="488">
        <f t="shared" si="26"/>
        <v>1.3822978471078813</v>
      </c>
      <c r="AI42" s="488">
        <f t="shared" si="27"/>
        <v>1.4146427200366685</v>
      </c>
      <c r="AJ42" s="488">
        <f t="shared" si="28"/>
        <v>1.4459891015763688</v>
      </c>
      <c r="AK42" s="488">
        <f t="shared" si="29"/>
        <v>1.4758147084252795</v>
      </c>
      <c r="AL42" s="488">
        <f t="shared" si="30"/>
        <v>1.5034324171952453</v>
      </c>
      <c r="AM42" s="488">
        <f t="shared" si="31"/>
        <v>1.5283781877746063</v>
      </c>
      <c r="AN42" s="488">
        <f t="shared" si="32"/>
        <v>1.5510012723432955</v>
      </c>
      <c r="AO42" s="488">
        <f t="shared" si="34"/>
        <v>1.5721121968021978</v>
      </c>
      <c r="AP42" s="488">
        <f t="shared" ref="AP42:AP51" si="35">V42/V22</f>
        <v>1.59202757526355</v>
      </c>
      <c r="AQ42" s="488"/>
      <c r="AR42" s="488"/>
      <c r="AS42" s="488"/>
      <c r="AT42" s="488"/>
      <c r="AU42" s="488"/>
      <c r="AV42" s="488"/>
      <c r="AW42" s="488"/>
      <c r="AX42" s="488"/>
      <c r="AY42" s="488"/>
    </row>
    <row r="43" spans="3:51">
      <c r="C43" s="481">
        <v>22</v>
      </c>
      <c r="D43" s="484"/>
      <c r="E43" s="492" t="str">
        <f t="shared" si="0"/>
        <v/>
      </c>
      <c r="F43" s="492">
        <f t="shared" si="1"/>
        <v>2</v>
      </c>
      <c r="G43" s="492">
        <f t="shared" si="2"/>
        <v>2.2025000000000001</v>
      </c>
      <c r="H43" s="492">
        <f t="shared" si="3"/>
        <v>2.2405000000000008</v>
      </c>
      <c r="I43" s="459">
        <f t="shared" si="12"/>
        <v>22</v>
      </c>
      <c r="J43" s="482">
        <f t="shared" si="4"/>
        <v>2.2530496006250011E-2</v>
      </c>
      <c r="K43" s="491">
        <f t="shared" si="13"/>
        <v>2.3292178093795135E-2</v>
      </c>
      <c r="L43" s="494" t="str">
        <f t="shared" si="5"/>
        <v/>
      </c>
      <c r="M43" s="483">
        <f>'All Curves'!BN36</f>
        <v>1.5185990851896803E-2</v>
      </c>
      <c r="N43" s="483" t="str">
        <f t="shared" si="6"/>
        <v/>
      </c>
      <c r="O43" s="492" t="str">
        <f t="shared" si="7"/>
        <v/>
      </c>
      <c r="P43" s="492">
        <f t="shared" si="8"/>
        <v>2</v>
      </c>
      <c r="Q43" s="492">
        <f t="shared" si="33"/>
        <v>7.307006994766798E-3</v>
      </c>
      <c r="R43" s="505">
        <f t="shared" si="9"/>
        <v>7.9646904117250499E-3</v>
      </c>
      <c r="S43" s="483">
        <f t="shared" si="14"/>
        <v>2.3150681263621853E-2</v>
      </c>
      <c r="T43" s="483">
        <f t="shared" si="10"/>
        <v>-7.6168208754512357E-4</v>
      </c>
      <c r="U43" s="489">
        <f>((1+J43)/(V42-J43*(1+W42+X42+Y42+Z42+AA42+AB42+AC42+AD42+AE42+AF42+AG42+AH42+AI42+AJ42+AK42+AL42+AM42+AN42+AO42+AP42)))-1</f>
        <v>2.7962482337882788E-2</v>
      </c>
      <c r="V43" s="488">
        <f t="shared" si="15"/>
        <v>1.6595578576343686</v>
      </c>
      <c r="W43" s="488">
        <f t="shared" si="11"/>
        <v>1.0279624823378828</v>
      </c>
      <c r="X43" s="488">
        <f t="shared" si="16"/>
        <v>1.0561594983078799</v>
      </c>
      <c r="Y43" s="488">
        <f t="shared" si="17"/>
        <v>1.0880218824895362</v>
      </c>
      <c r="Z43" s="488">
        <f t="shared" si="18"/>
        <v>1.1198846679067933</v>
      </c>
      <c r="AA43" s="488">
        <f t="shared" si="19"/>
        <v>1.1517171127795278</v>
      </c>
      <c r="AB43" s="488">
        <f t="shared" si="20"/>
        <v>1.1834878435510683</v>
      </c>
      <c r="AC43" s="488">
        <f t="shared" si="21"/>
        <v>1.2151648916115911</v>
      </c>
      <c r="AD43" s="488">
        <f t="shared" si="22"/>
        <v>1.2495704186065182</v>
      </c>
      <c r="AE43" s="488">
        <f t="shared" si="23"/>
        <v>1.2835232459367378</v>
      </c>
      <c r="AF43" s="488">
        <f t="shared" si="24"/>
        <v>1.3169673278805496</v>
      </c>
      <c r="AG43" s="488">
        <f t="shared" si="25"/>
        <v>1.3524264175983531</v>
      </c>
      <c r="AH43" s="488">
        <f t="shared" si="26"/>
        <v>1.386889114417249</v>
      </c>
      <c r="AI43" s="488">
        <f t="shared" si="27"/>
        <v>1.420950326243329</v>
      </c>
      <c r="AJ43" s="488">
        <f t="shared" si="28"/>
        <v>1.4541996421101082</v>
      </c>
      <c r="AK43" s="488">
        <f t="shared" si="29"/>
        <v>1.4864225462899689</v>
      </c>
      <c r="AL43" s="488">
        <f t="shared" si="30"/>
        <v>1.517082151143609</v>
      </c>
      <c r="AM43" s="488">
        <f t="shared" si="31"/>
        <v>1.5454721196072678</v>
      </c>
      <c r="AN43" s="488">
        <f t="shared" si="32"/>
        <v>1.571115435855859</v>
      </c>
      <c r="AO43" s="488">
        <f t="shared" si="34"/>
        <v>1.5943711180272286</v>
      </c>
      <c r="AP43" s="488">
        <f t="shared" si="35"/>
        <v>1.6160723563384494</v>
      </c>
      <c r="AQ43" s="488">
        <f t="shared" ref="AQ43:AQ51" si="36">V43/V22</f>
        <v>1.6365446182182792</v>
      </c>
      <c r="AR43" s="488"/>
      <c r="AS43" s="488"/>
      <c r="AT43" s="488"/>
      <c r="AU43" s="488"/>
      <c r="AV43" s="488"/>
      <c r="AW43" s="488"/>
      <c r="AX43" s="488"/>
      <c r="AY43" s="488"/>
    </row>
    <row r="44" spans="3:51">
      <c r="C44" s="481">
        <v>23</v>
      </c>
      <c r="D44" s="484"/>
      <c r="E44" s="492" t="str">
        <f t="shared" si="0"/>
        <v/>
      </c>
      <c r="F44" s="492">
        <f t="shared" si="1"/>
        <v>3</v>
      </c>
      <c r="G44" s="492">
        <f t="shared" si="2"/>
        <v>2.2025000000000001</v>
      </c>
      <c r="H44" s="492">
        <f t="shared" si="3"/>
        <v>2.2595000000000005</v>
      </c>
      <c r="I44" s="459">
        <f t="shared" si="12"/>
        <v>23</v>
      </c>
      <c r="J44" s="482">
        <f t="shared" si="4"/>
        <v>2.2722633506249812E-2</v>
      </c>
      <c r="K44" s="491">
        <f t="shared" si="13"/>
        <v>2.3518385208364023E-2</v>
      </c>
      <c r="L44" s="494" t="str">
        <f t="shared" si="5"/>
        <v/>
      </c>
      <c r="M44" s="483">
        <f>'All Curves'!BN37</f>
        <v>1.5086439883461547E-2</v>
      </c>
      <c r="N44" s="483" t="str">
        <f t="shared" si="6"/>
        <v/>
      </c>
      <c r="O44" s="492" t="str">
        <f t="shared" si="7"/>
        <v/>
      </c>
      <c r="P44" s="492">
        <f t="shared" si="8"/>
        <v>3</v>
      </c>
      <c r="Q44" s="492">
        <f t="shared" si="33"/>
        <v>7.307006994766798E-3</v>
      </c>
      <c r="R44" s="505">
        <f t="shared" si="9"/>
        <v>8.2935321202041723E-3</v>
      </c>
      <c r="S44" s="483">
        <f t="shared" si="14"/>
        <v>2.3379972003665719E-2</v>
      </c>
      <c r="T44" s="483">
        <f t="shared" si="10"/>
        <v>-7.9575170211421131E-4</v>
      </c>
      <c r="U44" s="489">
        <f>((1+J44)/(V43-J44*(1+W43+X43+Y43+Z43+AA43+AB43+AC43+AD43+AE43+AF43+AG43+AH43+AI43+AJ43+AK43+AL43+AM43+AN43+AO43+AP43+AQ43)))-1</f>
        <v>2.8507612575684904E-2</v>
      </c>
      <c r="V44" s="488">
        <f t="shared" si="15"/>
        <v>1.7068678900867429</v>
      </c>
      <c r="W44" s="488">
        <f t="shared" si="11"/>
        <v>1.0285076125756849</v>
      </c>
      <c r="X44" s="488">
        <f t="shared" si="16"/>
        <v>1.0572672385267106</v>
      </c>
      <c r="Y44" s="488">
        <f t="shared" si="17"/>
        <v>1.0862680841037708</v>
      </c>
      <c r="Z44" s="488">
        <f t="shared" si="18"/>
        <v>1.1190387887894153</v>
      </c>
      <c r="AA44" s="488">
        <f t="shared" si="19"/>
        <v>1.1518099061489298</v>
      </c>
      <c r="AB44" s="488">
        <f t="shared" si="20"/>
        <v>1.1845498180274332</v>
      </c>
      <c r="AC44" s="488">
        <f t="shared" si="21"/>
        <v>1.2172262564830549</v>
      </c>
      <c r="AD44" s="488">
        <f t="shared" si="22"/>
        <v>1.2498063415572285</v>
      </c>
      <c r="AE44" s="488">
        <f t="shared" si="23"/>
        <v>1.2851926879861892</v>
      </c>
      <c r="AF44" s="488">
        <f t="shared" si="24"/>
        <v>1.3201134293637879</v>
      </c>
      <c r="AG44" s="488">
        <f t="shared" si="25"/>
        <v>1.3545109222386034</v>
      </c>
      <c r="AH44" s="488">
        <f t="shared" si="26"/>
        <v>1.3909808659483685</v>
      </c>
      <c r="AI44" s="488">
        <f t="shared" si="27"/>
        <v>1.4264260119764909</v>
      </c>
      <c r="AJ44" s="488">
        <f t="shared" si="28"/>
        <v>1.4614582276331669</v>
      </c>
      <c r="AK44" s="488">
        <f t="shared" si="29"/>
        <v>1.4956554021150827</v>
      </c>
      <c r="AL44" s="488">
        <f t="shared" si="30"/>
        <v>1.5287969043633667</v>
      </c>
      <c r="AM44" s="488">
        <f t="shared" si="31"/>
        <v>1.5603305413538977</v>
      </c>
      <c r="AN44" s="488">
        <f t="shared" si="32"/>
        <v>1.5895298400395546</v>
      </c>
      <c r="AO44" s="488">
        <f t="shared" si="34"/>
        <v>1.6159041860129162</v>
      </c>
      <c r="AP44" s="488">
        <f t="shared" si="35"/>
        <v>1.6398228321618105</v>
      </c>
      <c r="AQ44" s="488">
        <f t="shared" si="36"/>
        <v>1.6621427209672202</v>
      </c>
      <c r="AR44" s="488">
        <f t="shared" ref="AR44:AR51" si="37">V44/V22</f>
        <v>1.6831985981572681</v>
      </c>
      <c r="AS44" s="488"/>
      <c r="AT44" s="488"/>
      <c r="AU44" s="488"/>
      <c r="AV44" s="488"/>
      <c r="AW44" s="488"/>
      <c r="AX44" s="488"/>
      <c r="AY44" s="488"/>
    </row>
    <row r="45" spans="3:51">
      <c r="C45" s="481">
        <v>24</v>
      </c>
      <c r="D45" s="484"/>
      <c r="E45" s="492" t="str">
        <f t="shared" si="0"/>
        <v/>
      </c>
      <c r="F45" s="492">
        <f t="shared" si="1"/>
        <v>4</v>
      </c>
      <c r="G45" s="492">
        <f t="shared" si="2"/>
        <v>2.2025000000000001</v>
      </c>
      <c r="H45" s="492">
        <f t="shared" si="3"/>
        <v>2.2785000000000002</v>
      </c>
      <c r="I45" s="459">
        <f t="shared" si="12"/>
        <v>24</v>
      </c>
      <c r="J45" s="482">
        <f t="shared" si="4"/>
        <v>2.2914789056249774E-2</v>
      </c>
      <c r="K45" s="491">
        <f t="shared" si="13"/>
        <v>2.3748946544677185E-2</v>
      </c>
      <c r="L45" s="494" t="str">
        <f t="shared" si="5"/>
        <v/>
      </c>
      <c r="M45" s="483">
        <f>'All Curves'!BN38</f>
        <v>1.5036519206715247E-2</v>
      </c>
      <c r="N45" s="483" t="str">
        <f t="shared" si="6"/>
        <v/>
      </c>
      <c r="O45" s="492" t="str">
        <f t="shared" si="7"/>
        <v/>
      </c>
      <c r="P45" s="492">
        <f t="shared" si="8"/>
        <v>4</v>
      </c>
      <c r="Q45" s="492">
        <f t="shared" si="33"/>
        <v>7.307006994766798E-3</v>
      </c>
      <c r="R45" s="505">
        <f t="shared" si="9"/>
        <v>8.6223738286832947E-3</v>
      </c>
      <c r="S45" s="483">
        <f t="shared" si="14"/>
        <v>2.3658893035398542E-2</v>
      </c>
      <c r="T45" s="483">
        <f t="shared" si="10"/>
        <v>-8.3415748842741166E-4</v>
      </c>
      <c r="U45" s="489">
        <f>((1+J45)/(V44-J45*(1+W44+X44+Y44+Z44+AA44+AB44+AC44+AD44+AE44+AF44+AG44+AH44+AI44+AJ44+AK44+AL44+AM44+AN44+AO44+AP44+AQ44+AR44)))-1</f>
        <v>2.9066215614692359E-2</v>
      </c>
      <c r="V45" s="488">
        <f t="shared" si="15"/>
        <v>1.7564800802057992</v>
      </c>
      <c r="W45" s="488">
        <f t="shared" si="11"/>
        <v>1.0290662156146924</v>
      </c>
      <c r="X45" s="488">
        <f t="shared" si="16"/>
        <v>1.0584024366041622</v>
      </c>
      <c r="Y45" s="488">
        <f t="shared" si="17"/>
        <v>1.0879979960440782</v>
      </c>
      <c r="Z45" s="488">
        <f t="shared" si="18"/>
        <v>1.1178417864516899</v>
      </c>
      <c r="AA45" s="488">
        <f t="shared" si="19"/>
        <v>1.1515650115055727</v>
      </c>
      <c r="AB45" s="488">
        <f t="shared" si="20"/>
        <v>1.1852886612281932</v>
      </c>
      <c r="AC45" s="488">
        <f t="shared" si="21"/>
        <v>1.2189801984445632</v>
      </c>
      <c r="AD45" s="488">
        <f t="shared" si="22"/>
        <v>1.2526064173058562</v>
      </c>
      <c r="AE45" s="488">
        <f t="shared" si="23"/>
        <v>1.2861334821575408</v>
      </c>
      <c r="AF45" s="488">
        <f t="shared" si="24"/>
        <v>1.3225483757616219</v>
      </c>
      <c r="AG45" s="488">
        <f t="shared" si="25"/>
        <v>1.3584841309375268</v>
      </c>
      <c r="AH45" s="488">
        <f t="shared" si="26"/>
        <v>1.3938814287568464</v>
      </c>
      <c r="AI45" s="488">
        <f t="shared" si="27"/>
        <v>1.4314114157139353</v>
      </c>
      <c r="AJ45" s="488">
        <f t="shared" si="28"/>
        <v>1.4678868179990052</v>
      </c>
      <c r="AK45" s="488">
        <f t="shared" si="29"/>
        <v>1.5039372875894186</v>
      </c>
      <c r="AL45" s="488">
        <f t="shared" si="30"/>
        <v>1.5391284445182392</v>
      </c>
      <c r="AM45" s="488">
        <f t="shared" si="31"/>
        <v>1.5732332448166664</v>
      </c>
      <c r="AN45" s="488">
        <f t="shared" si="32"/>
        <v>1.6056834452990796</v>
      </c>
      <c r="AO45" s="488">
        <f t="shared" si="34"/>
        <v>1.6357314570961317</v>
      </c>
      <c r="AP45" s="488">
        <f t="shared" si="35"/>
        <v>1.6628724054962516</v>
      </c>
      <c r="AQ45" s="488">
        <f t="shared" si="36"/>
        <v>1.6874862761713212</v>
      </c>
      <c r="AR45" s="488">
        <f t="shared" si="37"/>
        <v>1.7104549196772447</v>
      </c>
      <c r="AS45" s="488">
        <f t="shared" ref="AS45:AS51" si="38">V45/V22</f>
        <v>1.7321228115336553</v>
      </c>
      <c r="AT45" s="488"/>
      <c r="AU45" s="488"/>
      <c r="AV45" s="488"/>
      <c r="AW45" s="488"/>
      <c r="AX45" s="488"/>
      <c r="AY45" s="488"/>
    </row>
    <row r="46" spans="3:51">
      <c r="C46" s="481">
        <v>25</v>
      </c>
      <c r="D46" s="495">
        <f>'Swap and Yield Curves'!D218</f>
        <v>2.2974999999999999</v>
      </c>
      <c r="E46" s="492">
        <f t="shared" si="0"/>
        <v>1</v>
      </c>
      <c r="F46" s="492">
        <f t="shared" si="1"/>
        <v>0</v>
      </c>
      <c r="G46" s="492">
        <f t="shared" si="2"/>
        <v>0</v>
      </c>
      <c r="H46" s="492">
        <f t="shared" si="3"/>
        <v>2.2974999999999999</v>
      </c>
      <c r="I46" s="459">
        <f t="shared" si="12"/>
        <v>25</v>
      </c>
      <c r="J46" s="482">
        <f t="shared" si="4"/>
        <v>2.3106962656250118E-2</v>
      </c>
      <c r="K46" s="491">
        <f t="shared" si="13"/>
        <v>2.3983907505515711E-2</v>
      </c>
      <c r="L46" s="494">
        <f t="shared" si="5"/>
        <v>2.3983907505515711E-2</v>
      </c>
      <c r="M46" s="483">
        <f>'All Curves'!BN39</f>
        <v>1.5032691968353294E-2</v>
      </c>
      <c r="N46" s="483">
        <f t="shared" si="6"/>
        <v>8.9512155371624172E-3</v>
      </c>
      <c r="O46" s="492">
        <f t="shared" si="7"/>
        <v>1</v>
      </c>
      <c r="P46" s="492">
        <f t="shared" si="8"/>
        <v>0</v>
      </c>
      <c r="Q46" s="492">
        <f t="shared" si="33"/>
        <v>0</v>
      </c>
      <c r="R46" s="505">
        <f t="shared" si="9"/>
        <v>8.9512155371624172E-3</v>
      </c>
      <c r="S46" s="483">
        <f t="shared" si="14"/>
        <v>2.3983907505515711E-2</v>
      </c>
      <c r="T46" s="483">
        <f t="shared" si="10"/>
        <v>-8.7694484926559291E-4</v>
      </c>
      <c r="U46" s="489">
        <f>((1+J46)/(V45-J46*(1+W45+X45+Y45+Z45+AA45+AB45+AC45+AD45+AE45+AF45+AG45+AH45+AI45+AJ45+AK45+AL45+AM45+AN45+AO45+AP45+AQ45+AR45+AS45)))-1</f>
        <v>2.9639176858167193E-2</v>
      </c>
      <c r="V46" s="488">
        <f t="shared" si="15"/>
        <v>1.8085407039508665</v>
      </c>
      <c r="W46" s="488">
        <f t="shared" si="11"/>
        <v>1.0296391768581672</v>
      </c>
      <c r="X46" s="488">
        <f t="shared" si="16"/>
        <v>1.0595668911780611</v>
      </c>
      <c r="Y46" s="488">
        <f t="shared" si="17"/>
        <v>1.0897726136097881</v>
      </c>
      <c r="Z46" s="488">
        <f t="shared" si="18"/>
        <v>1.1202453610701602</v>
      </c>
      <c r="AA46" s="488">
        <f t="shared" si="19"/>
        <v>1.150973696859781</v>
      </c>
      <c r="AB46" s="488">
        <f t="shared" si="20"/>
        <v>1.1856964505452636</v>
      </c>
      <c r="AC46" s="488">
        <f t="shared" si="21"/>
        <v>1.2204196414863158</v>
      </c>
      <c r="AD46" s="488">
        <f t="shared" si="22"/>
        <v>1.2551097681328651</v>
      </c>
      <c r="AE46" s="488">
        <f t="shared" si="23"/>
        <v>1.2897326404420597</v>
      </c>
      <c r="AF46" s="488">
        <f t="shared" si="24"/>
        <v>1.3242534198984184</v>
      </c>
      <c r="AG46" s="488">
        <f t="shared" si="25"/>
        <v>1.3617476209743022</v>
      </c>
      <c r="AH46" s="488">
        <f t="shared" si="26"/>
        <v>1.3987484823533975</v>
      </c>
      <c r="AI46" s="488">
        <f t="shared" si="27"/>
        <v>1.4351949269430853</v>
      </c>
      <c r="AJ46" s="488">
        <f t="shared" si="28"/>
        <v>1.4738372718210802</v>
      </c>
      <c r="AK46" s="488">
        <f t="shared" si="29"/>
        <v>1.51139377500545</v>
      </c>
      <c r="AL46" s="488">
        <f t="shared" si="30"/>
        <v>1.5485127508398737</v>
      </c>
      <c r="AM46" s="488">
        <f t="shared" si="31"/>
        <v>1.5847469446927511</v>
      </c>
      <c r="AN46" s="488">
        <f t="shared" si="32"/>
        <v>1.6198625831989357</v>
      </c>
      <c r="AO46" s="488">
        <f t="shared" si="34"/>
        <v>1.6532745809125304</v>
      </c>
      <c r="AP46" s="488">
        <f t="shared" si="35"/>
        <v>1.6842131910454714</v>
      </c>
      <c r="AQ46" s="488">
        <f t="shared" si="36"/>
        <v>1.712158574815321</v>
      </c>
      <c r="AR46" s="488">
        <f t="shared" si="37"/>
        <v>1.7375019803564928</v>
      </c>
      <c r="AS46" s="488">
        <f t="shared" si="38"/>
        <v>1.7611513955494806</v>
      </c>
      <c r="AT46" s="488">
        <f t="shared" ref="AT46:AT51" si="39">V46/V22</f>
        <v>1.7834615058847672</v>
      </c>
      <c r="AU46" s="488"/>
      <c r="AV46" s="488"/>
      <c r="AW46" s="488"/>
      <c r="AX46" s="488"/>
      <c r="AY46" s="488"/>
    </row>
    <row r="47" spans="3:51">
      <c r="C47" s="481">
        <v>26</v>
      </c>
      <c r="D47" s="484"/>
      <c r="E47" s="492" t="str">
        <f t="shared" si="0"/>
        <v/>
      </c>
      <c r="F47" s="492">
        <f t="shared" si="1"/>
        <v>1</v>
      </c>
      <c r="G47" s="492">
        <f t="shared" si="2"/>
        <v>2.2974999999999999</v>
      </c>
      <c r="H47" s="492">
        <f t="shared" si="3"/>
        <v>2.3094999999999999</v>
      </c>
      <c r="I47" s="459">
        <f t="shared" si="12"/>
        <v>26</v>
      </c>
      <c r="J47" s="482">
        <f t="shared" si="4"/>
        <v>2.3228344756250019E-2</v>
      </c>
      <c r="K47" s="491">
        <f t="shared" si="13"/>
        <v>2.412247822486191E-2</v>
      </c>
      <c r="L47" s="494" t="str">
        <f t="shared" si="5"/>
        <v/>
      </c>
      <c r="M47" s="483">
        <f>'All Curves'!BN40</f>
        <v>1.507122616490018E-2</v>
      </c>
      <c r="N47" s="483" t="str">
        <f t="shared" si="6"/>
        <v/>
      </c>
      <c r="O47" s="492" t="str">
        <f t="shared" si="7"/>
        <v/>
      </c>
      <c r="P47" s="492">
        <f t="shared" si="8"/>
        <v>1</v>
      </c>
      <c r="Q47" s="492">
        <f t="shared" si="33"/>
        <v>8.9512155371624172E-3</v>
      </c>
      <c r="R47" s="505">
        <f t="shared" si="9"/>
        <v>8.9880375534817907E-3</v>
      </c>
      <c r="S47" s="483">
        <f t="shared" si="14"/>
        <v>2.4059263718381969E-2</v>
      </c>
      <c r="T47" s="483">
        <f t="shared" si="10"/>
        <v>-8.9413346861189069E-4</v>
      </c>
      <c r="U47" s="489">
        <f>((1+J47)/(V46-J47*(1+W46+X46+Y46+Z46+AA46+AB46+AC46+AD46+AE46+AF46+AG46+AH46+AI46+AJ46+AK46+AL46+AM46+AN46+AO46+AP46+AQ46+AR46+AS46+AT46)))-1</f>
        <v>2.7592847242601248E-2</v>
      </c>
      <c r="V47" s="488">
        <f t="shared" si="15"/>
        <v>1.8584434913270094</v>
      </c>
      <c r="W47" s="488">
        <f t="shared" si="11"/>
        <v>1.0275928472426012</v>
      </c>
      <c r="X47" s="488">
        <f t="shared" si="16"/>
        <v>1.0580498533802123</v>
      </c>
      <c r="Y47" s="488">
        <f t="shared" si="17"/>
        <v>1.0888033585496553</v>
      </c>
      <c r="Z47" s="488">
        <f t="shared" si="18"/>
        <v>1.1198425428662933</v>
      </c>
      <c r="AA47" s="488">
        <f t="shared" si="19"/>
        <v>1.1511561201924019</v>
      </c>
      <c r="AB47" s="488">
        <f t="shared" si="20"/>
        <v>1.182732338257485</v>
      </c>
      <c r="AC47" s="488">
        <f t="shared" si="21"/>
        <v>1.2184131915812537</v>
      </c>
      <c r="AD47" s="488">
        <f t="shared" si="22"/>
        <v>1.2540944942257179</v>
      </c>
      <c r="AE47" s="488">
        <f t="shared" si="23"/>
        <v>1.289741820237652</v>
      </c>
      <c r="AF47" s="488">
        <f t="shared" si="24"/>
        <v>1.3253200361735742</v>
      </c>
      <c r="AG47" s="488">
        <f t="shared" si="25"/>
        <v>1.3607933422241678</v>
      </c>
      <c r="AH47" s="488">
        <f t="shared" si="26"/>
        <v>1.3993221150628219</v>
      </c>
      <c r="AI47" s="488">
        <f t="shared" si="27"/>
        <v>1.4373439355577953</v>
      </c>
      <c r="AJ47" s="488">
        <f t="shared" si="28"/>
        <v>1.4747960413255821</v>
      </c>
      <c r="AK47" s="488">
        <f t="shared" si="29"/>
        <v>1.5145046385228913</v>
      </c>
      <c r="AL47" s="488">
        <f t="shared" si="30"/>
        <v>1.5530974325625939</v>
      </c>
      <c r="AM47" s="488">
        <f t="shared" si="31"/>
        <v>1.5912406266270185</v>
      </c>
      <c r="AN47" s="488">
        <f t="shared" si="32"/>
        <v>1.6284746250558373</v>
      </c>
      <c r="AO47" s="488">
        <f t="shared" si="34"/>
        <v>1.6645592040111497</v>
      </c>
      <c r="AP47" s="488">
        <f t="shared" si="35"/>
        <v>1.6988931338737254</v>
      </c>
      <c r="AQ47" s="488">
        <f t="shared" si="36"/>
        <v>1.7306854283499631</v>
      </c>
      <c r="AR47" s="488">
        <f t="shared" si="37"/>
        <v>1.75940190482531</v>
      </c>
      <c r="AS47" s="488">
        <f t="shared" si="38"/>
        <v>1.7854446070841867</v>
      </c>
      <c r="AT47" s="488">
        <f t="shared" si="39"/>
        <v>1.8097465769779717</v>
      </c>
      <c r="AU47" s="488">
        <f>V47/V22</f>
        <v>1.8326722867797052</v>
      </c>
      <c r="AV47" s="488"/>
      <c r="AW47" s="488"/>
      <c r="AX47" s="488"/>
      <c r="AY47" s="488"/>
    </row>
    <row r="48" spans="3:51">
      <c r="C48" s="481">
        <v>27</v>
      </c>
      <c r="D48" s="484"/>
      <c r="E48" s="492" t="str">
        <f t="shared" si="0"/>
        <v/>
      </c>
      <c r="F48" s="492">
        <f t="shared" si="1"/>
        <v>2</v>
      </c>
      <c r="G48" s="492">
        <f t="shared" si="2"/>
        <v>2.2974999999999999</v>
      </c>
      <c r="H48" s="492">
        <f t="shared" si="3"/>
        <v>2.3214999999999999</v>
      </c>
      <c r="I48" s="459">
        <f t="shared" si="12"/>
        <v>27</v>
      </c>
      <c r="J48" s="482">
        <f t="shared" si="4"/>
        <v>2.3349734056250071E-2</v>
      </c>
      <c r="K48" s="491">
        <f t="shared" si="13"/>
        <v>2.4264401699930049E-2</v>
      </c>
      <c r="L48" s="494" t="str">
        <f t="shared" si="5"/>
        <v/>
      </c>
      <c r="M48" s="483">
        <f>'All Curves'!BN41</f>
        <v>1.514834180302017E-2</v>
      </c>
      <c r="N48" s="483" t="str">
        <f t="shared" si="6"/>
        <v/>
      </c>
      <c r="O48" s="492" t="str">
        <f t="shared" si="7"/>
        <v/>
      </c>
      <c r="P48" s="492">
        <f t="shared" si="8"/>
        <v>2</v>
      </c>
      <c r="Q48" s="492">
        <f t="shared" si="33"/>
        <v>8.9512155371624172E-3</v>
      </c>
      <c r="R48" s="505">
        <f t="shared" si="9"/>
        <v>9.0248595698011677E-3</v>
      </c>
      <c r="S48" s="483">
        <f t="shared" si="14"/>
        <v>2.4173201372821338E-2</v>
      </c>
      <c r="T48" s="483">
        <f t="shared" si="10"/>
        <v>-9.1466764367997833E-4</v>
      </c>
      <c r="U48" s="489">
        <f>((1+J48)/(V47-J48*(1+W47+X47+Y47+Z47+AA47+AB47+AC47+AD47+AE47+AF47+AG47+AH47+AI47+AJ47+AK47+AL47+AM47+AN47+AO47+AP47+AQ47+AR47+AS47+AT47+AU47)))-1</f>
        <v>2.7961323441031416E-2</v>
      </c>
      <c r="V48" s="488">
        <f t="shared" si="15"/>
        <v>1.9104080308848836</v>
      </c>
      <c r="W48" s="488">
        <f t="shared" si="11"/>
        <v>1.0279613234410314</v>
      </c>
      <c r="X48" s="488">
        <f t="shared" si="16"/>
        <v>1.0563257032100422</v>
      </c>
      <c r="Y48" s="488">
        <f t="shared" si="17"/>
        <v>1.0876343275473124</v>
      </c>
      <c r="Z48" s="488">
        <f t="shared" si="18"/>
        <v>1.1192477414217434</v>
      </c>
      <c r="AA48" s="488">
        <f t="shared" si="19"/>
        <v>1.1511548224104049</v>
      </c>
      <c r="AB48" s="488">
        <f t="shared" si="20"/>
        <v>1.1833439688002245</v>
      </c>
      <c r="AC48" s="488">
        <f t="shared" si="21"/>
        <v>1.21580309971167</v>
      </c>
      <c r="AD48" s="488">
        <f t="shared" si="22"/>
        <v>1.2524816369158764</v>
      </c>
      <c r="AE48" s="488">
        <f t="shared" si="23"/>
        <v>1.2891606360043801</v>
      </c>
      <c r="AF48" s="488">
        <f t="shared" si="24"/>
        <v>1.3258047084287417</v>
      </c>
      <c r="AG48" s="488">
        <f t="shared" si="25"/>
        <v>1.362377738367903</v>
      </c>
      <c r="AH48" s="488">
        <f t="shared" si="26"/>
        <v>1.3988429250025001</v>
      </c>
      <c r="AI48" s="488">
        <f t="shared" si="27"/>
        <v>1.4384490133202816</v>
      </c>
      <c r="AJ48" s="488">
        <f t="shared" si="28"/>
        <v>1.4775339742359319</v>
      </c>
      <c r="AK48" s="488">
        <f t="shared" si="29"/>
        <v>1.5160332904466396</v>
      </c>
      <c r="AL48" s="488">
        <f t="shared" si="30"/>
        <v>1.5568521925735723</v>
      </c>
      <c r="AM48" s="488">
        <f t="shared" si="31"/>
        <v>1.596524092209912</v>
      </c>
      <c r="AN48" s="488">
        <f t="shared" si="32"/>
        <v>1.6357338204606462</v>
      </c>
      <c r="AO48" s="488">
        <f t="shared" si="34"/>
        <v>1.6740089307625359</v>
      </c>
      <c r="AP48" s="488">
        <f t="shared" si="35"/>
        <v>1.7111024823012513</v>
      </c>
      <c r="AQ48" s="488">
        <f t="shared" si="36"/>
        <v>1.7463964342817162</v>
      </c>
      <c r="AR48" s="488">
        <f t="shared" si="37"/>
        <v>1.7790776833867366</v>
      </c>
      <c r="AS48" s="488">
        <f t="shared" si="38"/>
        <v>1.8085971105488974</v>
      </c>
      <c r="AT48" s="488">
        <f t="shared" si="39"/>
        <v>1.8353680012289131</v>
      </c>
      <c r="AU48" s="488">
        <f>V48/V23</f>
        <v>1.8603494863631522</v>
      </c>
      <c r="AV48" s="488">
        <f>V48/V22</f>
        <v>1.8839162293517673</v>
      </c>
      <c r="AW48" s="488"/>
      <c r="AX48" s="488"/>
      <c r="AY48" s="488"/>
    </row>
    <row r="49" spans="3:51">
      <c r="C49" s="481">
        <v>28</v>
      </c>
      <c r="D49" s="484"/>
      <c r="E49" s="492" t="str">
        <f t="shared" si="0"/>
        <v/>
      </c>
      <c r="F49" s="492">
        <f t="shared" si="1"/>
        <v>3</v>
      </c>
      <c r="G49" s="492">
        <f t="shared" si="2"/>
        <v>2.2974999999999999</v>
      </c>
      <c r="H49" s="492">
        <f t="shared" si="3"/>
        <v>2.3334999999999999</v>
      </c>
      <c r="I49" s="459">
        <f t="shared" si="12"/>
        <v>28</v>
      </c>
      <c r="J49" s="482">
        <f t="shared" si="4"/>
        <v>2.3471130556249831E-2</v>
      </c>
      <c r="K49" s="491">
        <f t="shared" si="13"/>
        <v>2.4409627731807992E-2</v>
      </c>
      <c r="L49" s="494" t="str">
        <f t="shared" si="5"/>
        <v/>
      </c>
      <c r="M49" s="483">
        <f>'All Curves'!BN42</f>
        <v>1.5260312726606981E-2</v>
      </c>
      <c r="N49" s="483" t="str">
        <f t="shared" si="6"/>
        <v/>
      </c>
      <c r="O49" s="492" t="str">
        <f t="shared" si="7"/>
        <v/>
      </c>
      <c r="P49" s="492">
        <f t="shared" si="8"/>
        <v>3</v>
      </c>
      <c r="Q49" s="492">
        <f t="shared" si="33"/>
        <v>8.9512155371624172E-3</v>
      </c>
      <c r="R49" s="505">
        <f t="shared" si="9"/>
        <v>9.0616815861205447E-3</v>
      </c>
      <c r="S49" s="483">
        <f t="shared" si="14"/>
        <v>2.4321994312727524E-2</v>
      </c>
      <c r="T49" s="483">
        <f t="shared" si="10"/>
        <v>-9.384971755581617E-4</v>
      </c>
      <c r="U49" s="489">
        <f>((1+J49)/(V48-J49*(1+W48+X48+Y48+Z48+AA48+AB48+AC48+AD48+AE48+AF48+AG48+AH48+AI48+AJ48+AK48+AL48+AM48+AN48+AO48+AP48+AQ48+AR48+AS48+AT48+AU48+AV48)))-1</f>
        <v>2.8338523552973172E-2</v>
      </c>
      <c r="V49" s="488">
        <f t="shared" si="15"/>
        <v>1.9645461738639041</v>
      </c>
      <c r="W49" s="488">
        <f t="shared" si="11"/>
        <v>1.0283385235529732</v>
      </c>
      <c r="X49" s="488">
        <f t="shared" si="16"/>
        <v>1.0570922296169107</v>
      </c>
      <c r="Y49" s="488">
        <f t="shared" si="17"/>
        <v>1.0862604140300709</v>
      </c>
      <c r="Z49" s="488">
        <f t="shared" si="18"/>
        <v>1.1184562785555341</v>
      </c>
      <c r="AA49" s="488">
        <f t="shared" si="19"/>
        <v>1.1509655699036356</v>
      </c>
      <c r="AB49" s="488">
        <f t="shared" si="20"/>
        <v>1.183776850458401</v>
      </c>
      <c r="AC49" s="488">
        <f t="shared" si="21"/>
        <v>1.2168781897313383</v>
      </c>
      <c r="AD49" s="488">
        <f t="shared" si="22"/>
        <v>1.2502571644886269</v>
      </c>
      <c r="AE49" s="488">
        <f t="shared" si="23"/>
        <v>1.2879751172832836</v>
      </c>
      <c r="AF49" s="488">
        <f t="shared" si="24"/>
        <v>1.3256935450513561</v>
      </c>
      <c r="AG49" s="488">
        <f t="shared" si="25"/>
        <v>1.3633760563851924</v>
      </c>
      <c r="AH49" s="488">
        <f t="shared" si="26"/>
        <v>1.4009855119946881</v>
      </c>
      <c r="AI49" s="488">
        <f t="shared" si="27"/>
        <v>1.4384840681795934</v>
      </c>
      <c r="AJ49" s="488">
        <f t="shared" si="28"/>
        <v>1.4792125345640097</v>
      </c>
      <c r="AK49" s="488">
        <f t="shared" si="29"/>
        <v>1.519405105565135</v>
      </c>
      <c r="AL49" s="488">
        <f t="shared" si="30"/>
        <v>1.558995435555053</v>
      </c>
      <c r="AM49" s="488">
        <f t="shared" si="31"/>
        <v>1.6009710851013166</v>
      </c>
      <c r="AN49" s="488">
        <f t="shared" si="32"/>
        <v>1.6417672277998918</v>
      </c>
      <c r="AO49" s="488">
        <f t="shared" si="34"/>
        <v>1.682088101858165</v>
      </c>
      <c r="AP49" s="488">
        <f t="shared" si="35"/>
        <v>1.7214478722748376</v>
      </c>
      <c r="AQ49" s="488">
        <f t="shared" si="36"/>
        <v>1.7595926002974962</v>
      </c>
      <c r="AR49" s="488">
        <f t="shared" si="37"/>
        <v>1.7958867307674371</v>
      </c>
      <c r="AS49" s="488">
        <f t="shared" si="38"/>
        <v>1.8294941182199607</v>
      </c>
      <c r="AT49" s="488">
        <f t="shared" si="39"/>
        <v>1.8598500823640265</v>
      </c>
      <c r="AU49" s="488">
        <f>V49/V24</f>
        <v>1.8873796205601121</v>
      </c>
      <c r="AV49" s="488">
        <f>V49/V23</f>
        <v>1.913069044099216</v>
      </c>
      <c r="AW49" s="488">
        <f>V49/V22</f>
        <v>1.9373036337890808</v>
      </c>
      <c r="AX49" s="488"/>
      <c r="AY49" s="488"/>
    </row>
    <row r="50" spans="3:51">
      <c r="C50" s="481">
        <v>29</v>
      </c>
      <c r="D50" s="484"/>
      <c r="E50" s="492" t="str">
        <f t="shared" si="0"/>
        <v/>
      </c>
      <c r="F50" s="492">
        <f t="shared" si="1"/>
        <v>4</v>
      </c>
      <c r="G50" s="492">
        <f t="shared" si="2"/>
        <v>2.2974999999999999</v>
      </c>
      <c r="H50" s="492">
        <f t="shared" si="3"/>
        <v>2.3454999999999999</v>
      </c>
      <c r="I50" s="459">
        <f t="shared" si="12"/>
        <v>29</v>
      </c>
      <c r="J50" s="482">
        <f t="shared" si="4"/>
        <v>2.3592534256249742E-2</v>
      </c>
      <c r="K50" s="491">
        <f t="shared" si="13"/>
        <v>2.4558129508984283E-2</v>
      </c>
      <c r="L50" s="494" t="str">
        <f t="shared" si="5"/>
        <v/>
      </c>
      <c r="M50" s="483">
        <f>'All Curves'!BN43</f>
        <v>1.5403535621408438E-2</v>
      </c>
      <c r="N50" s="483" t="str">
        <f t="shared" si="6"/>
        <v/>
      </c>
      <c r="O50" s="492" t="str">
        <f t="shared" si="7"/>
        <v/>
      </c>
      <c r="P50" s="492">
        <f t="shared" si="8"/>
        <v>4</v>
      </c>
      <c r="Q50" s="492">
        <f t="shared" si="33"/>
        <v>8.9512155371624172E-3</v>
      </c>
      <c r="R50" s="505">
        <f t="shared" si="9"/>
        <v>9.0985036024399217E-3</v>
      </c>
      <c r="S50" s="483">
        <f t="shared" si="14"/>
        <v>2.450203922384836E-2</v>
      </c>
      <c r="T50" s="483">
        <f t="shared" si="10"/>
        <v>-9.6559525273454128E-4</v>
      </c>
      <c r="U50" s="489">
        <f>((1+J50)/(V49-J50*(1+W49+X49+Y49+Z49+AA49+AB49+AC49+AD49+AE49+AF49+AG49+AH49+AI49+AJ49+AK49+AL49+AM49+AN49+AO49+AP49+AQ49+AR49+AS49+AT49+AU49+AV49+AW49)))-1</f>
        <v>2.8724930769161938E-2</v>
      </c>
      <c r="V50" s="488">
        <f t="shared" si="15"/>
        <v>2.0209776267009665</v>
      </c>
      <c r="W50" s="488">
        <f t="shared" si="11"/>
        <v>1.0287249307691619</v>
      </c>
      <c r="X50" s="488">
        <f t="shared" si="16"/>
        <v>1.0578774764492944</v>
      </c>
      <c r="Y50" s="488">
        <f t="shared" si="17"/>
        <v>1.0874571307292753</v>
      </c>
      <c r="Z50" s="488">
        <f t="shared" si="18"/>
        <v>1.1174631692203658</v>
      </c>
      <c r="AA50" s="488">
        <f t="shared" si="19"/>
        <v>1.1505838577253762</v>
      </c>
      <c r="AB50" s="488">
        <f t="shared" si="20"/>
        <v>1.1840269762168065</v>
      </c>
      <c r="AC50" s="488">
        <f t="shared" si="21"/>
        <v>1.2177807585339548</v>
      </c>
      <c r="AD50" s="488">
        <f t="shared" si="22"/>
        <v>1.251832931485874</v>
      </c>
      <c r="AE50" s="488">
        <f t="shared" si="23"/>
        <v>1.2861707149822112</v>
      </c>
      <c r="AF50" s="488">
        <f t="shared" si="24"/>
        <v>1.3249721133596488</v>
      </c>
      <c r="AG50" s="488">
        <f t="shared" si="25"/>
        <v>1.363774000354081</v>
      </c>
      <c r="AH50" s="488">
        <f t="shared" si="26"/>
        <v>1.4025389392171899</v>
      </c>
      <c r="AI50" s="488">
        <f t="shared" si="27"/>
        <v>1.4412287238353343</v>
      </c>
      <c r="AJ50" s="488">
        <f t="shared" si="28"/>
        <v>1.4798044234505945</v>
      </c>
      <c r="AK50" s="488">
        <f t="shared" si="29"/>
        <v>1.5217028122122371</v>
      </c>
      <c r="AL50" s="488">
        <f t="shared" si="30"/>
        <v>1.5630499120328045</v>
      </c>
      <c r="AM50" s="488">
        <f t="shared" si="31"/>
        <v>1.6037774715108113</v>
      </c>
      <c r="AN50" s="488">
        <f t="shared" si="32"/>
        <v>1.6469588686842818</v>
      </c>
      <c r="AO50" s="488">
        <f t="shared" si="34"/>
        <v>1.6889268777575224</v>
      </c>
      <c r="AP50" s="488">
        <f t="shared" si="35"/>
        <v>1.7304059661316717</v>
      </c>
      <c r="AQ50" s="488">
        <f t="shared" si="36"/>
        <v>1.7708963432286533</v>
      </c>
      <c r="AR50" s="488">
        <f t="shared" si="37"/>
        <v>1.8101367759229712</v>
      </c>
      <c r="AS50" s="488">
        <f t="shared" si="38"/>
        <v>1.8474734527779881</v>
      </c>
      <c r="AT50" s="488">
        <f t="shared" si="39"/>
        <v>1.8820462101084177</v>
      </c>
      <c r="AU50" s="488">
        <f>V50/V25</f>
        <v>1.9132741472209531</v>
      </c>
      <c r="AV50" s="488">
        <f>V50/V24</f>
        <v>1.9415944694958283</v>
      </c>
      <c r="AW50" s="488">
        <f>V50/V23</f>
        <v>1.9680218199475925</v>
      </c>
      <c r="AX50" s="488">
        <f>V50/V22</f>
        <v>1.9929525465485178</v>
      </c>
      <c r="AY50" s="488"/>
    </row>
    <row r="51" spans="3:51" ht="13.5" thickBot="1">
      <c r="C51" s="485">
        <v>30</v>
      </c>
      <c r="D51" s="493">
        <f>'Swap and Yield Curves'!D219</f>
        <v>2.3574999999999999</v>
      </c>
      <c r="E51" s="492">
        <f t="shared" si="0"/>
        <v>1</v>
      </c>
      <c r="F51" s="492">
        <f t="shared" si="1"/>
        <v>0</v>
      </c>
      <c r="G51" s="492">
        <f t="shared" si="2"/>
        <v>0</v>
      </c>
      <c r="H51" s="492">
        <f t="shared" si="3"/>
        <v>2.3574999999999999</v>
      </c>
      <c r="I51" s="459">
        <f t="shared" si="12"/>
        <v>30</v>
      </c>
      <c r="J51" s="482">
        <f t="shared" si="4"/>
        <v>2.3713945156250027E-2</v>
      </c>
      <c r="K51" s="491">
        <f t="shared" si="13"/>
        <v>2.4709900821614728E-2</v>
      </c>
      <c r="L51" s="490">
        <f t="shared" si="5"/>
        <v>2.4709900821614728E-2</v>
      </c>
      <c r="M51" s="483">
        <f>'All Curves'!BN44</f>
        <v>1.5574575202855429E-2</v>
      </c>
      <c r="N51" s="483">
        <f t="shared" si="6"/>
        <v>9.1353256187592987E-3</v>
      </c>
      <c r="O51" s="492">
        <f t="shared" si="7"/>
        <v>1</v>
      </c>
      <c r="P51" s="492">
        <f t="shared" si="8"/>
        <v>0</v>
      </c>
      <c r="Q51" s="492">
        <f t="shared" si="33"/>
        <v>0</v>
      </c>
      <c r="R51" s="505">
        <f t="shared" si="9"/>
        <v>9.1353256187592987E-3</v>
      </c>
      <c r="S51" s="483">
        <f t="shared" si="14"/>
        <v>2.4709900821614728E-2</v>
      </c>
      <c r="T51" s="483">
        <f t="shared" si="10"/>
        <v>-9.9595566536470059E-4</v>
      </c>
      <c r="U51" s="489">
        <f>((1+J51)/(V50-J51*(1+W50+X50+Y50+Z50+AA50+AB50+AC50+AD50+AE50+AF50+AG50+AH50+AI50+AJ50+AK50+AL50+AM50+AN50+AO50+AP50+AQ50+AR50+AS50+AT50+AU50+AV50+AW50+AX50)))-1</f>
        <v>2.9121062269232834E-2</v>
      </c>
      <c r="V51" s="488">
        <f t="shared" si="15"/>
        <v>2.0798306420128516</v>
      </c>
      <c r="W51" s="488">
        <f t="shared" si="11"/>
        <v>1.0291210622692328</v>
      </c>
      <c r="X51" s="488">
        <f t="shared" si="16"/>
        <v>1.0586824935360029</v>
      </c>
      <c r="Y51" s="488">
        <f t="shared" si="17"/>
        <v>1.0886839923141931</v>
      </c>
      <c r="Z51" s="488">
        <f t="shared" si="18"/>
        <v>1.1191250375483637</v>
      </c>
      <c r="AA51" s="488">
        <f t="shared" si="19"/>
        <v>1.1500048837548063</v>
      </c>
      <c r="AB51" s="488">
        <f t="shared" si="20"/>
        <v>1.1840900818921709</v>
      </c>
      <c r="AC51" s="488">
        <f t="shared" si="21"/>
        <v>1.2185070995196674</v>
      </c>
      <c r="AD51" s="488">
        <f t="shared" si="22"/>
        <v>1.2532438278334956</v>
      </c>
      <c r="AE51" s="488">
        <f t="shared" si="23"/>
        <v>1.2882876362343505</v>
      </c>
      <c r="AF51" s="488">
        <f t="shared" si="24"/>
        <v>1.3236253724620719</v>
      </c>
      <c r="AG51" s="488">
        <f t="shared" si="25"/>
        <v>1.3635567087777922</v>
      </c>
      <c r="AH51" s="488">
        <f t="shared" si="26"/>
        <v>1.4034885479395529</v>
      </c>
      <c r="AI51" s="488">
        <f t="shared" si="27"/>
        <v>1.4433823630011575</v>
      </c>
      <c r="AJ51" s="488">
        <f t="shared" si="28"/>
        <v>1.4831988352463501</v>
      </c>
      <c r="AK51" s="488">
        <f t="shared" si="29"/>
        <v>1.5228979002121852</v>
      </c>
      <c r="AL51" s="488">
        <f t="shared" si="30"/>
        <v>1.5660164145619364</v>
      </c>
      <c r="AM51" s="488">
        <f t="shared" si="31"/>
        <v>1.6085675858510307</v>
      </c>
      <c r="AN51" s="488">
        <f t="shared" si="32"/>
        <v>1.6504811751246704</v>
      </c>
      <c r="AO51" s="488">
        <f t="shared" si="34"/>
        <v>1.6949200604541019</v>
      </c>
      <c r="AP51" s="488">
        <f t="shared" si="35"/>
        <v>1.7381102225328802</v>
      </c>
      <c r="AQ51" s="488">
        <f t="shared" si="36"/>
        <v>1.7807972260224441</v>
      </c>
      <c r="AR51" s="488">
        <f t="shared" si="37"/>
        <v>1.8224667259121714</v>
      </c>
      <c r="AS51" s="488">
        <f t="shared" si="38"/>
        <v>1.8628498816904522</v>
      </c>
      <c r="AT51" s="488">
        <f t="shared" si="39"/>
        <v>1.9012738422370903</v>
      </c>
      <c r="AU51" s="488">
        <f>V51/V26</f>
        <v>1.9368533949865585</v>
      </c>
      <c r="AV51" s="488">
        <f>V51/V25</f>
        <v>1.9689907228002876</v>
      </c>
      <c r="AW51" s="488">
        <f>V51/V24</f>
        <v>1.9981357629436143</v>
      </c>
      <c r="AX51" s="488">
        <f>V51/V23</f>
        <v>2.0253327059134953</v>
      </c>
      <c r="AY51" s="488">
        <f>V51/V22</f>
        <v>2.0509894417561831</v>
      </c>
    </row>
    <row r="52" spans="3:51">
      <c r="J52" s="459" t="s">
        <v>749</v>
      </c>
      <c r="K52" s="459">
        <v>1.9933575674707376</v>
      </c>
    </row>
    <row r="53" spans="3:51">
      <c r="J53" s="459" t="s">
        <v>750</v>
      </c>
      <c r="K53" s="459">
        <v>0.10638956356609756</v>
      </c>
    </row>
    <row r="54" spans="3:51">
      <c r="J54" s="459" t="s">
        <v>751</v>
      </c>
      <c r="K54" s="459">
        <v>-1.0687475650772251E-3</v>
      </c>
    </row>
    <row r="55" spans="3:51">
      <c r="J55" s="459" t="s">
        <v>751</v>
      </c>
      <c r="K55" s="459">
        <v>-2.3714128007098604E-5</v>
      </c>
    </row>
    <row r="57" spans="3:51">
      <c r="H57" s="459">
        <v>1</v>
      </c>
      <c r="I57" s="459">
        <v>2.1869999999999998</v>
      </c>
      <c r="J57" s="632">
        <f>$K$52+$K$53*H57+$K$54*H57^2+$K$55*H57^3</f>
        <v>2.0986546693437509</v>
      </c>
      <c r="K57" s="631">
        <f>(J57-I57)^2</f>
        <v>7.8048974487619598E-3</v>
      </c>
      <c r="L57" s="459">
        <v>1</v>
      </c>
      <c r="M57" s="632">
        <f>$K$52+$K$53*L57+$K$54*L57^2+$K$55*L57^3</f>
        <v>2.0986546693437509</v>
      </c>
    </row>
    <row r="58" spans="3:51">
      <c r="H58" s="459">
        <v>2</v>
      </c>
      <c r="I58" s="459">
        <v>2.177</v>
      </c>
      <c r="J58" s="632">
        <f t="shared" ref="J58:J71" si="40">$K$52+$K$53*H58+$K$54*H58^2+$K$55*H58^3</f>
        <v>2.2016719913185669</v>
      </c>
      <c r="K58" s="631">
        <f t="shared" ref="K58:K70" si="41">(J58-I58)^2</f>
        <v>6.0870715562344046E-4</v>
      </c>
      <c r="L58" s="459">
        <f>L57+1</f>
        <v>2</v>
      </c>
      <c r="M58" s="632">
        <f t="shared" ref="M58:M87" si="42">$K$52+$K$53*L58+$K$54*L58^2+$K$55*L58^3</f>
        <v>2.2016719913185669</v>
      </c>
    </row>
    <row r="59" spans="3:51">
      <c r="H59" s="459">
        <v>3</v>
      </c>
      <c r="I59" s="459">
        <v>2.2450000000000001</v>
      </c>
      <c r="J59" s="632">
        <f t="shared" si="40"/>
        <v>2.3022672486271434</v>
      </c>
      <c r="K59" s="631">
        <f t="shared" si="41"/>
        <v>3.2795377653230431E-3</v>
      </c>
      <c r="L59" s="459">
        <f t="shared" ref="L59:L87" si="43">L58+1</f>
        <v>3</v>
      </c>
      <c r="M59" s="632">
        <f t="shared" si="42"/>
        <v>2.3022672486271434</v>
      </c>
    </row>
    <row r="60" spans="3:51">
      <c r="H60" s="459">
        <v>4</v>
      </c>
      <c r="I60" s="459">
        <v>2.3450000000000002</v>
      </c>
      <c r="J60" s="632">
        <f t="shared" si="40"/>
        <v>2.4002981565014379</v>
      </c>
      <c r="K60" s="631">
        <f t="shared" si="41"/>
        <v>3.0578861124574918E-3</v>
      </c>
      <c r="L60" s="459">
        <f t="shared" si="43"/>
        <v>4</v>
      </c>
      <c r="M60" s="632">
        <f t="shared" si="42"/>
        <v>2.4002981565014379</v>
      </c>
    </row>
    <row r="61" spans="3:51">
      <c r="H61" s="459">
        <v>5</v>
      </c>
      <c r="I61" s="459">
        <v>2.4649999999999999</v>
      </c>
      <c r="J61" s="632">
        <f t="shared" si="40"/>
        <v>2.4956224301734076</v>
      </c>
      <c r="K61" s="631">
        <f t="shared" si="41"/>
        <v>9.3773322972523097E-4</v>
      </c>
      <c r="L61" s="459">
        <f t="shared" si="43"/>
        <v>5</v>
      </c>
      <c r="M61" s="632">
        <f t="shared" si="42"/>
        <v>2.4956224301734076</v>
      </c>
    </row>
    <row r="62" spans="3:51">
      <c r="H62" s="459">
        <v>6</v>
      </c>
      <c r="I62" s="459">
        <v>2.5825</v>
      </c>
      <c r="J62" s="632">
        <f t="shared" si="40"/>
        <v>2.5880977848750097</v>
      </c>
      <c r="K62" s="631">
        <f t="shared" si="41"/>
        <v>3.1335195506887654E-5</v>
      </c>
      <c r="L62" s="459">
        <f t="shared" si="43"/>
        <v>6</v>
      </c>
      <c r="M62" s="632">
        <f t="shared" si="42"/>
        <v>2.5880977848750097</v>
      </c>
    </row>
    <row r="63" spans="3:51">
      <c r="H63" s="459">
        <v>7</v>
      </c>
      <c r="I63" s="459">
        <v>2.7130000000000001</v>
      </c>
      <c r="J63" s="632">
        <f t="shared" si="40"/>
        <v>2.677581935838202</v>
      </c>
      <c r="K63" s="631">
        <f t="shared" si="41"/>
        <v>1.2544392689692431E-3</v>
      </c>
      <c r="L63" s="459">
        <f t="shared" si="43"/>
        <v>7</v>
      </c>
      <c r="M63" s="632">
        <f t="shared" si="42"/>
        <v>2.677581935838202</v>
      </c>
    </row>
    <row r="64" spans="3:51">
      <c r="H64" s="459">
        <v>8</v>
      </c>
      <c r="I64" s="459">
        <v>2.7825000000000002</v>
      </c>
      <c r="J64" s="632">
        <f t="shared" si="40"/>
        <v>2.7639325982949416</v>
      </c>
      <c r="K64" s="631">
        <f t="shared" si="41"/>
        <v>3.4474840607701118E-4</v>
      </c>
      <c r="L64" s="459">
        <f t="shared" si="43"/>
        <v>8</v>
      </c>
      <c r="M64" s="632">
        <f t="shared" si="42"/>
        <v>2.7639325982949416</v>
      </c>
    </row>
    <row r="65" spans="8:13">
      <c r="H65" s="459">
        <v>9</v>
      </c>
      <c r="I65" s="459">
        <v>2.87</v>
      </c>
      <c r="J65" s="632">
        <f t="shared" si="40"/>
        <v>2.8470074874771854</v>
      </c>
      <c r="K65" s="631">
        <f t="shared" si="41"/>
        <v>5.2865563211179341E-4</v>
      </c>
      <c r="L65" s="459">
        <f t="shared" si="43"/>
        <v>9</v>
      </c>
      <c r="M65" s="632">
        <f t="shared" si="42"/>
        <v>2.8470074874771854</v>
      </c>
    </row>
    <row r="66" spans="8:13">
      <c r="H66" s="459">
        <v>10</v>
      </c>
      <c r="I66" s="459">
        <v>2.9449999999999998</v>
      </c>
      <c r="J66" s="632">
        <f t="shared" si="40"/>
        <v>2.9266643186168921</v>
      </c>
      <c r="K66" s="631">
        <f t="shared" si="41"/>
        <v>3.3619721178284245E-4</v>
      </c>
      <c r="L66" s="459">
        <f t="shared" si="43"/>
        <v>10</v>
      </c>
      <c r="M66" s="632">
        <f t="shared" si="42"/>
        <v>2.9266643186168921</v>
      </c>
    </row>
    <row r="67" spans="8:13">
      <c r="H67" s="459">
        <v>12</v>
      </c>
      <c r="I67" s="459">
        <v>3.09</v>
      </c>
      <c r="J67" s="632">
        <f t="shared" si="40"/>
        <v>3.0751546676965216</v>
      </c>
      <c r="K67" s="631">
        <f t="shared" si="41"/>
        <v>2.2038389120069594E-4</v>
      </c>
      <c r="L67" s="459">
        <f t="shared" si="43"/>
        <v>11</v>
      </c>
      <c r="M67" s="632">
        <f t="shared" si="42"/>
        <v>3.0027608069460188</v>
      </c>
    </row>
    <row r="68" spans="8:13">
      <c r="H68" s="459">
        <v>15</v>
      </c>
      <c r="I68" s="459">
        <v>3.2725</v>
      </c>
      <c r="J68" s="632">
        <f t="shared" si="40"/>
        <v>3.2686976367958676</v>
      </c>
      <c r="K68" s="631">
        <f t="shared" si="41"/>
        <v>1.4457965936140075E-5</v>
      </c>
      <c r="L68" s="459">
        <f t="shared" si="43"/>
        <v>12</v>
      </c>
      <c r="M68" s="632">
        <f t="shared" si="42"/>
        <v>3.0751546676965216</v>
      </c>
    </row>
    <row r="69" spans="8:13">
      <c r="H69" s="459">
        <v>20</v>
      </c>
      <c r="I69" s="459">
        <v>3.456</v>
      </c>
      <c r="J69" s="632">
        <f t="shared" si="40"/>
        <v>3.5039367887050097</v>
      </c>
      <c r="K69" s="631">
        <f t="shared" si="41"/>
        <v>2.2979357113487478E-3</v>
      </c>
      <c r="L69" s="459">
        <f t="shared" si="43"/>
        <v>13</v>
      </c>
      <c r="M69" s="632">
        <f t="shared" si="42"/>
        <v>3.1437036161003595</v>
      </c>
    </row>
    <row r="70" spans="8:13">
      <c r="H70" s="459">
        <v>25</v>
      </c>
      <c r="I70" s="633">
        <f>D46</f>
        <v>2.2974999999999999</v>
      </c>
      <c r="J70" s="632">
        <f t="shared" ref="J70" si="44">$K$52+$K$53*H70+$K$54*H70^2+$K$55*H70^3</f>
        <v>3.6145961783389957</v>
      </c>
      <c r="K70" s="631">
        <f t="shared" si="41"/>
        <v>1.734742342995188</v>
      </c>
      <c r="L70" s="459">
        <f t="shared" si="43"/>
        <v>14</v>
      </c>
      <c r="M70" s="632">
        <f t="shared" si="42"/>
        <v>3.2082653673894885</v>
      </c>
    </row>
    <row r="71" spans="8:13">
      <c r="H71" s="459">
        <v>30</v>
      </c>
      <c r="I71" s="459">
        <f>N57+N58*H71</f>
        <v>0</v>
      </c>
      <c r="J71" s="632">
        <f t="shared" si="40"/>
        <v>3.5828902096924997</v>
      </c>
      <c r="K71" s="631">
        <f>SUM(K57:K70)</f>
        <v>1.7554592579900126</v>
      </c>
      <c r="L71" s="459">
        <f t="shared" si="43"/>
        <v>15</v>
      </c>
      <c r="M71" s="632">
        <f t="shared" si="42"/>
        <v>3.2686976367958676</v>
      </c>
    </row>
    <row r="72" spans="8:13">
      <c r="H72" s="459">
        <f>H71+1</f>
        <v>31</v>
      </c>
      <c r="J72" s="632"/>
      <c r="L72" s="459">
        <f t="shared" si="43"/>
        <v>16</v>
      </c>
      <c r="M72" s="632">
        <f t="shared" si="42"/>
        <v>3.3248581395514534</v>
      </c>
    </row>
    <row r="73" spans="8:13">
      <c r="H73" s="459">
        <f t="shared" ref="H73:H81" si="45">H72+1</f>
        <v>32</v>
      </c>
      <c r="J73" s="632"/>
      <c r="L73" s="459">
        <f t="shared" si="43"/>
        <v>17</v>
      </c>
      <c r="M73" s="632">
        <f t="shared" si="42"/>
        <v>3.3766045908882028</v>
      </c>
    </row>
    <row r="74" spans="8:13">
      <c r="H74" s="459">
        <f t="shared" si="45"/>
        <v>33</v>
      </c>
      <c r="J74" s="632"/>
      <c r="L74" s="459">
        <f t="shared" si="43"/>
        <v>18</v>
      </c>
      <c r="M74" s="632">
        <f t="shared" si="42"/>
        <v>3.4237947060380738</v>
      </c>
    </row>
    <row r="75" spans="8:13">
      <c r="H75" s="459">
        <f t="shared" si="45"/>
        <v>34</v>
      </c>
      <c r="J75" s="632"/>
      <c r="L75" s="459">
        <f t="shared" si="43"/>
        <v>19</v>
      </c>
      <c r="M75" s="632">
        <f t="shared" si="42"/>
        <v>3.4662862002330241</v>
      </c>
    </row>
    <row r="76" spans="8:13">
      <c r="H76" s="459">
        <f t="shared" si="45"/>
        <v>35</v>
      </c>
      <c r="J76" s="632"/>
      <c r="L76" s="459">
        <f t="shared" si="43"/>
        <v>20</v>
      </c>
      <c r="M76" s="632">
        <f t="shared" si="42"/>
        <v>3.5039367887050097</v>
      </c>
    </row>
    <row r="77" spans="8:13">
      <c r="H77" s="459">
        <f t="shared" si="45"/>
        <v>36</v>
      </c>
      <c r="J77" s="632"/>
      <c r="L77" s="459">
        <f t="shared" si="43"/>
        <v>21</v>
      </c>
      <c r="M77" s="632">
        <f t="shared" si="42"/>
        <v>3.5366041866859899</v>
      </c>
    </row>
    <row r="78" spans="8:13">
      <c r="H78" s="459">
        <f t="shared" si="45"/>
        <v>37</v>
      </c>
      <c r="J78" s="632"/>
      <c r="L78" s="459">
        <f t="shared" si="43"/>
        <v>22</v>
      </c>
      <c r="M78" s="632">
        <f t="shared" si="42"/>
        <v>3.564146109407921</v>
      </c>
    </row>
    <row r="79" spans="8:13">
      <c r="H79" s="459">
        <f t="shared" si="45"/>
        <v>38</v>
      </c>
      <c r="J79" s="632"/>
      <c r="L79" s="459">
        <f t="shared" si="43"/>
        <v>23</v>
      </c>
      <c r="M79" s="632">
        <f t="shared" si="42"/>
        <v>3.5864202721027603</v>
      </c>
    </row>
    <row r="80" spans="8:13">
      <c r="H80" s="459">
        <f t="shared" si="45"/>
        <v>39</v>
      </c>
      <c r="J80" s="632"/>
      <c r="L80" s="459">
        <f t="shared" si="43"/>
        <v>24</v>
      </c>
      <c r="M80" s="632">
        <f t="shared" si="42"/>
        <v>3.6032843900024663</v>
      </c>
    </row>
    <row r="81" spans="8:13">
      <c r="H81" s="459">
        <f t="shared" si="45"/>
        <v>40</v>
      </c>
      <c r="J81" s="632"/>
      <c r="L81" s="459">
        <f t="shared" si="43"/>
        <v>25</v>
      </c>
      <c r="M81" s="632">
        <f t="shared" si="42"/>
        <v>3.6145961783389957</v>
      </c>
    </row>
    <row r="82" spans="8:13">
      <c r="L82" s="459">
        <f>L81+1</f>
        <v>26</v>
      </c>
      <c r="M82" s="632">
        <f t="shared" si="42"/>
        <v>3.6202133523443045</v>
      </c>
    </row>
    <row r="83" spans="8:13">
      <c r="L83" s="459">
        <f t="shared" si="43"/>
        <v>27</v>
      </c>
      <c r="M83" s="632">
        <f t="shared" si="42"/>
        <v>3.619993627250353</v>
      </c>
    </row>
    <row r="84" spans="8:13">
      <c r="L84" s="459">
        <f t="shared" si="43"/>
        <v>28</v>
      </c>
      <c r="M84" s="632">
        <f t="shared" si="42"/>
        <v>3.6137947182890962</v>
      </c>
    </row>
    <row r="85" spans="8:13">
      <c r="L85" s="459">
        <f>L84+1</f>
        <v>29</v>
      </c>
      <c r="M85" s="632">
        <f t="shared" si="42"/>
        <v>3.6014743406924925</v>
      </c>
    </row>
    <row r="86" spans="8:13">
      <c r="L86" s="459">
        <f t="shared" si="43"/>
        <v>30</v>
      </c>
      <c r="M86" s="632">
        <f t="shared" si="42"/>
        <v>3.5828902096924997</v>
      </c>
    </row>
    <row r="87" spans="8:13">
      <c r="L87" s="459">
        <f t="shared" si="43"/>
        <v>31</v>
      </c>
      <c r="M87" s="632">
        <f t="shared" si="42"/>
        <v>3.557900040521075</v>
      </c>
    </row>
  </sheetData>
  <pageMargins left="0.75" right="0.75" top="1" bottom="1" header="0.5" footer="0.5"/>
  <pageSetup paperSize="9" orientation="portrait" r:id="rId1"/>
  <headerFooter alignWithMargins="0"/>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tabColor rgb="FFFF9900"/>
  </sheetPr>
  <dimension ref="C1:BI87"/>
  <sheetViews>
    <sheetView showGridLines="0" topLeftCell="A13" workbookViewId="0">
      <selection activeCell="D51" sqref="D51"/>
    </sheetView>
  </sheetViews>
  <sheetFormatPr defaultColWidth="8.85546875" defaultRowHeight="12.75"/>
  <cols>
    <col min="1" max="1" width="8.85546875" style="459"/>
    <col min="2" max="2" width="3.7109375" style="459" customWidth="1"/>
    <col min="3" max="3" width="24" style="459" customWidth="1"/>
    <col min="4" max="4" width="17.42578125" style="459" customWidth="1"/>
    <col min="5" max="5" width="6.140625" style="459" customWidth="1"/>
    <col min="6" max="6" width="6.7109375" style="459" bestFit="1" customWidth="1"/>
    <col min="7" max="7" width="5.5703125" style="459" customWidth="1"/>
    <col min="8" max="8" width="10" style="459" customWidth="1"/>
    <col min="9" max="9" width="7" style="459" bestFit="1" customWidth="1"/>
    <col min="10" max="10" width="16.7109375" style="459" bestFit="1" customWidth="1"/>
    <col min="11" max="11" width="13.7109375" style="459" bestFit="1" customWidth="1"/>
    <col min="12" max="12" width="12.42578125" style="459" bestFit="1" customWidth="1"/>
    <col min="13" max="14" width="12.42578125" style="459" customWidth="1"/>
    <col min="15" max="15" width="5.7109375" style="459" bestFit="1" customWidth="1"/>
    <col min="16" max="16" width="6.7109375" style="459" bestFit="1" customWidth="1"/>
    <col min="17" max="17" width="6.140625" style="459" bestFit="1" customWidth="1"/>
    <col min="18" max="18" width="12.42578125" style="459" customWidth="1"/>
    <col min="19" max="19" width="8" style="459" customWidth="1"/>
    <col min="20" max="20" width="8.85546875" style="459"/>
    <col min="21" max="36" width="8.85546875" style="460"/>
    <col min="37" max="37" width="8.42578125" style="460" customWidth="1"/>
    <col min="38" max="61" width="8.85546875" style="460"/>
    <col min="62" max="16384" width="8.85546875" style="459"/>
  </cols>
  <sheetData>
    <row r="1" spans="3:35" hidden="1"/>
    <row r="2" spans="3:35" hidden="1"/>
    <row r="3" spans="3:35" hidden="1"/>
    <row r="4" spans="3:35" hidden="1"/>
    <row r="5" spans="3:35" hidden="1"/>
    <row r="6" spans="3:35" hidden="1"/>
    <row r="7" spans="3:35" hidden="1"/>
    <row r="8" spans="3:35" hidden="1"/>
    <row r="9" spans="3:35" hidden="1"/>
    <row r="10" spans="3:35" hidden="1"/>
    <row r="11" spans="3:35" hidden="1"/>
    <row r="12" spans="3:35" hidden="1"/>
    <row r="14" spans="3:35">
      <c r="C14" s="461"/>
      <c r="U14" s="462" t="s">
        <v>460</v>
      </c>
      <c r="V14" s="462"/>
      <c r="W14" s="462"/>
      <c r="X14" s="462"/>
      <c r="Y14" s="462"/>
      <c r="Z14" s="462"/>
      <c r="AA14" s="462"/>
      <c r="AB14" s="462"/>
      <c r="AC14" s="462"/>
      <c r="AD14" s="462"/>
      <c r="AE14" s="462"/>
      <c r="AF14" s="462"/>
      <c r="AG14" s="462"/>
      <c r="AH14" s="462"/>
      <c r="AI14" s="462"/>
    </row>
    <row r="15" spans="3:35">
      <c r="U15" s="462" t="s">
        <v>461</v>
      </c>
      <c r="V15" s="462"/>
      <c r="W15" s="462"/>
      <c r="X15" s="462"/>
      <c r="Y15" s="462"/>
      <c r="Z15" s="462"/>
      <c r="AA15" s="462"/>
      <c r="AB15" s="462"/>
      <c r="AC15" s="462"/>
      <c r="AD15" s="462"/>
      <c r="AE15" s="462"/>
      <c r="AF15" s="462"/>
      <c r="AG15" s="462"/>
      <c r="AH15" s="462"/>
      <c r="AI15" s="462"/>
    </row>
    <row r="16" spans="3:35" ht="13.5" thickBot="1">
      <c r="C16" s="459" t="s">
        <v>462</v>
      </c>
      <c r="D16" s="463" t="s">
        <v>827</v>
      </c>
      <c r="E16" s="463"/>
      <c r="F16" s="463"/>
      <c r="G16" s="463"/>
      <c r="N16" s="463"/>
      <c r="O16" s="463"/>
      <c r="P16" s="463"/>
      <c r="Q16" s="463"/>
      <c r="U16" s="462"/>
      <c r="V16" s="462" t="s">
        <v>463</v>
      </c>
      <c r="W16" s="462"/>
      <c r="X16" s="462"/>
      <c r="Y16" s="462"/>
      <c r="Z16" s="462"/>
      <c r="AA16" s="462"/>
      <c r="AB16" s="462"/>
      <c r="AC16" s="462"/>
      <c r="AD16" s="462"/>
      <c r="AE16" s="462"/>
      <c r="AF16" s="462"/>
      <c r="AG16" s="462"/>
      <c r="AH16" s="462"/>
      <c r="AI16" s="462"/>
    </row>
    <row r="17" spans="3:51">
      <c r="C17" s="459" t="s">
        <v>464</v>
      </c>
      <c r="D17" s="464">
        <v>42004</v>
      </c>
      <c r="E17" s="464"/>
      <c r="F17" s="464"/>
      <c r="G17" s="464"/>
      <c r="L17" s="465"/>
      <c r="M17" s="502"/>
      <c r="N17" s="502"/>
      <c r="O17" s="464"/>
      <c r="P17" s="464"/>
      <c r="Q17" s="464"/>
      <c r="U17" s="462"/>
      <c r="V17" s="462" t="s">
        <v>465</v>
      </c>
      <c r="W17" s="462"/>
      <c r="X17" s="462"/>
      <c r="Y17" s="462"/>
      <c r="Z17" s="462"/>
      <c r="AA17" s="462"/>
      <c r="AB17" s="462"/>
      <c r="AC17" s="462"/>
      <c r="AD17" s="462"/>
      <c r="AE17" s="462"/>
      <c r="AF17" s="462"/>
      <c r="AG17" s="462"/>
      <c r="AH17" s="462"/>
      <c r="AI17" s="462"/>
    </row>
    <row r="18" spans="3:51" ht="39" thickBot="1">
      <c r="H18" s="463" t="s">
        <v>466</v>
      </c>
      <c r="L18" s="466"/>
      <c r="M18" s="459" t="s">
        <v>470</v>
      </c>
      <c r="N18" s="501" t="s">
        <v>515</v>
      </c>
      <c r="R18" s="503" t="s">
        <v>516</v>
      </c>
      <c r="U18" s="462"/>
      <c r="V18" s="462" t="s">
        <v>467</v>
      </c>
      <c r="W18" s="462"/>
      <c r="X18" s="462"/>
      <c r="Y18" s="462"/>
      <c r="Z18" s="462"/>
      <c r="AA18" s="462"/>
      <c r="AB18" s="462"/>
      <c r="AC18" s="462"/>
      <c r="AD18" s="462"/>
      <c r="AE18" s="462"/>
      <c r="AF18" s="462"/>
      <c r="AG18" s="462"/>
      <c r="AH18" s="462"/>
      <c r="AI18" s="462"/>
    </row>
    <row r="19" spans="3:51">
      <c r="C19" s="467"/>
      <c r="D19" s="468" t="s">
        <v>466</v>
      </c>
      <c r="E19" s="469"/>
      <c r="F19" s="469"/>
      <c r="G19" s="469"/>
      <c r="H19" s="463" t="s">
        <v>468</v>
      </c>
      <c r="J19" s="463" t="s">
        <v>469</v>
      </c>
      <c r="K19" s="459" t="s">
        <v>470</v>
      </c>
      <c r="L19" s="466"/>
      <c r="M19" s="469" t="s">
        <v>475</v>
      </c>
      <c r="N19" s="469"/>
      <c r="O19" s="469"/>
      <c r="P19" s="469"/>
      <c r="Q19" s="469"/>
      <c r="R19" s="503" t="s">
        <v>468</v>
      </c>
    </row>
    <row r="20" spans="3:51" ht="13.5" thickBot="1">
      <c r="C20" s="470" t="s">
        <v>471</v>
      </c>
      <c r="D20" s="471" t="s">
        <v>472</v>
      </c>
      <c r="E20" s="472"/>
      <c r="F20" s="472"/>
      <c r="G20" s="472"/>
      <c r="H20" s="473" t="s">
        <v>473</v>
      </c>
      <c r="J20" s="472" t="s">
        <v>474</v>
      </c>
      <c r="K20" s="469" t="s">
        <v>475</v>
      </c>
      <c r="L20" s="466"/>
      <c r="M20" s="477" t="s">
        <v>514</v>
      </c>
      <c r="N20" s="463"/>
      <c r="O20" s="472"/>
      <c r="P20" s="472"/>
      <c r="Q20" s="472"/>
      <c r="R20" s="504" t="s">
        <v>473</v>
      </c>
    </row>
    <row r="21" spans="3:51" ht="13.5" thickBot="1">
      <c r="C21" s="474" t="s">
        <v>476</v>
      </c>
      <c r="D21" s="499"/>
      <c r="E21" s="498"/>
      <c r="F21" s="498"/>
      <c r="G21" s="498"/>
      <c r="H21" s="463" t="s">
        <v>477</v>
      </c>
      <c r="I21" s="475" t="s">
        <v>478</v>
      </c>
      <c r="J21" s="476" t="s">
        <v>479</v>
      </c>
      <c r="K21" s="477" t="s">
        <v>480</v>
      </c>
      <c r="L21" s="478"/>
      <c r="M21" s="502"/>
      <c r="N21" s="502"/>
      <c r="O21" s="498"/>
      <c r="P21" s="498"/>
      <c r="Q21" s="498"/>
      <c r="R21" s="503" t="s">
        <v>477</v>
      </c>
      <c r="T21" s="459" t="s">
        <v>512</v>
      </c>
      <c r="U21" s="462" t="s">
        <v>481</v>
      </c>
      <c r="V21" s="479" t="s">
        <v>482</v>
      </c>
      <c r="W21" s="479" t="s">
        <v>483</v>
      </c>
      <c r="X21" s="479" t="s">
        <v>484</v>
      </c>
      <c r="Y21" s="479" t="s">
        <v>485</v>
      </c>
      <c r="Z21" s="480" t="s">
        <v>486</v>
      </c>
      <c r="AA21" s="479" t="s">
        <v>487</v>
      </c>
      <c r="AB21" s="480" t="s">
        <v>488</v>
      </c>
      <c r="AC21" s="480" t="s">
        <v>489</v>
      </c>
      <c r="AD21" s="480" t="s">
        <v>490</v>
      </c>
      <c r="AE21" s="480" t="s">
        <v>491</v>
      </c>
      <c r="AF21" s="480" t="s">
        <v>492</v>
      </c>
      <c r="AG21" s="480" t="s">
        <v>493</v>
      </c>
      <c r="AH21" s="480" t="s">
        <v>494</v>
      </c>
      <c r="AI21" s="480" t="s">
        <v>495</v>
      </c>
      <c r="AJ21" s="480" t="s">
        <v>496</v>
      </c>
      <c r="AK21" s="480" t="s">
        <v>497</v>
      </c>
      <c r="AL21" s="480" t="s">
        <v>498</v>
      </c>
      <c r="AM21" s="480" t="s">
        <v>499</v>
      </c>
      <c r="AN21" s="480" t="s">
        <v>500</v>
      </c>
      <c r="AO21" s="480" t="s">
        <v>501</v>
      </c>
      <c r="AP21" s="480" t="s">
        <v>502</v>
      </c>
      <c r="AQ21" s="480" t="s">
        <v>503</v>
      </c>
      <c r="AR21" s="480" t="s">
        <v>504</v>
      </c>
      <c r="AS21" s="480" t="s">
        <v>505</v>
      </c>
      <c r="AT21" s="480" t="s">
        <v>506</v>
      </c>
      <c r="AU21" s="480" t="s">
        <v>507</v>
      </c>
      <c r="AV21" s="480" t="s">
        <v>508</v>
      </c>
      <c r="AW21" s="480" t="s">
        <v>509</v>
      </c>
      <c r="AX21" s="480" t="s">
        <v>510</v>
      </c>
      <c r="AY21" s="480" t="s">
        <v>511</v>
      </c>
    </row>
    <row r="22" spans="3:51">
      <c r="C22" s="486">
        <v>1</v>
      </c>
      <c r="D22" s="509">
        <f>'Swap and Yield Curves'!D223</f>
        <v>2.0550000000000002</v>
      </c>
      <c r="E22" s="492">
        <f t="shared" ref="E22:E51" si="0">IF(ISNUMBER(D22),1,"")</f>
        <v>1</v>
      </c>
      <c r="F22" s="492">
        <f t="shared" ref="F22:F51" si="1">IF(ISNUMBER(E22),0,1+F21)</f>
        <v>0</v>
      </c>
      <c r="G22" s="492">
        <f t="shared" ref="G22:G51" si="2">IF(F22=1,D21,IF(F22=2,D20,IF(F22=3,D19,IF(F22=4,D18,IF(F22=5,D17,IF(F22=6,D16,IF(F22=7,D15,IF(F22=8,D14,IF(F22=9,D13,IF(F22=10,D12,IF(F22=11,D11,IF(F22=21,D10,IF(F22=13,D9,IF(F22=14,D8,IF(F22=15,D7,IF(F22=16,D6,IF(F22=17,D5,IF(F22=18,D4,IF(F22=71,D3,0)))))))))))))))))))</f>
        <v>0</v>
      </c>
      <c r="H22" s="492">
        <f t="shared" ref="H22:H51" si="3">IF(G22=0,D22,IF(G23=0,((F22*D23+G22)/(1+F22)),2*H23-H24))</f>
        <v>2.0550000000000002</v>
      </c>
      <c r="I22" s="459">
        <v>1</v>
      </c>
      <c r="J22" s="482">
        <f t="shared" ref="J22:J51" si="4">(1+H22/200)^2-1</f>
        <v>2.0655575624999978E-2</v>
      </c>
      <c r="K22" s="483">
        <f>U22</f>
        <v>2.0655575624999978E-2</v>
      </c>
      <c r="L22" s="497">
        <f t="shared" ref="L22:L51" si="5">IF(ISNUMBER(D22),K22,"")</f>
        <v>2.0655575624999978E-2</v>
      </c>
      <c r="M22" s="483">
        <f>'All Curves'!BW15</f>
        <v>1.7833009495308937E-2</v>
      </c>
      <c r="N22" s="483">
        <f t="shared" ref="N22:N51" si="6">IF(ISNUMBER(L22),L22-M22,"")</f>
        <v>2.8225661296910412E-3</v>
      </c>
      <c r="O22" s="492">
        <f t="shared" ref="O22:O51" si="7">IF(ISNUMBER(N22),1,"")</f>
        <v>1</v>
      </c>
      <c r="P22" s="492">
        <f t="shared" ref="P22:P51" si="8">IF(ISNUMBER(O22),0,1+P21)</f>
        <v>0</v>
      </c>
      <c r="Q22" s="492">
        <f>IF(P22=1,#REF!,IF(P22=2,#REF!,IF(P22=3,#REF!,IF(P22=4,#REF!,IF(P22=5,#REF!,IF(P22=6,N16,IF(P22=7,N15,IF(P22=8,N14,IF(P22=9,N13,IF(P22=10,#REF!,IF(P22=11,#REF!,IF(P22=12,#REF!,IF(P22=13,#REF!,IF(P22=14,#REF!,IF(P22=15,#REF!,IF(P22=16,#REF!,IF(P22=17,#REF!,IF(P22=18,#REF!,IF(P22=19,#REF!,0)))))))))))))))))))</f>
        <v>0</v>
      </c>
      <c r="R22" s="505">
        <f t="shared" ref="R22:R51" si="9">IF(Q22=0,N22,IF(Q23=0,((P22*N23+Q22)/(1+P22)),2*R23-R24))</f>
        <v>2.8225661296910412E-3</v>
      </c>
      <c r="S22" s="483">
        <f>R22+M22</f>
        <v>2.0655575624999978E-2</v>
      </c>
      <c r="T22" s="483">
        <f t="shared" ref="T22:T51" si="10">J22-K22</f>
        <v>0</v>
      </c>
      <c r="U22" s="489">
        <f>J22</f>
        <v>2.0655575624999978E-2</v>
      </c>
      <c r="V22" s="488">
        <f>W22</f>
        <v>1.020655575625</v>
      </c>
      <c r="W22" s="488">
        <f t="shared" ref="W22:W51" si="11">(1+U22)</f>
        <v>1.020655575625</v>
      </c>
      <c r="X22" s="488"/>
      <c r="Y22" s="488"/>
      <c r="Z22" s="488"/>
      <c r="AA22" s="488"/>
      <c r="AB22" s="488"/>
      <c r="AC22" s="488"/>
      <c r="AD22" s="488"/>
      <c r="AE22" s="488"/>
      <c r="AF22" s="488"/>
      <c r="AG22" s="488"/>
      <c r="AH22" s="488"/>
      <c r="AI22" s="488"/>
      <c r="AJ22" s="488"/>
      <c r="AK22" s="488"/>
      <c r="AL22" s="488"/>
      <c r="AM22" s="488"/>
      <c r="AN22" s="488"/>
      <c r="AO22" s="488"/>
      <c r="AP22" s="488"/>
      <c r="AQ22" s="488"/>
      <c r="AR22" s="488"/>
      <c r="AS22" s="488"/>
      <c r="AT22" s="488"/>
      <c r="AU22" s="488"/>
      <c r="AV22" s="488"/>
      <c r="AW22" s="488"/>
      <c r="AX22" s="488"/>
      <c r="AY22" s="488"/>
    </row>
    <row r="23" spans="3:51">
      <c r="C23" s="486">
        <v>2</v>
      </c>
      <c r="D23" s="509">
        <f>'Swap and Yield Curves'!D224</f>
        <v>1.8174999999999999</v>
      </c>
      <c r="E23" s="492">
        <f t="shared" si="0"/>
        <v>1</v>
      </c>
      <c r="F23" s="492">
        <f t="shared" si="1"/>
        <v>0</v>
      </c>
      <c r="G23" s="492">
        <f t="shared" si="2"/>
        <v>0</v>
      </c>
      <c r="H23" s="492">
        <f t="shared" si="3"/>
        <v>1.8174999999999999</v>
      </c>
      <c r="I23" s="459">
        <f t="shared" ref="I23:I51" si="12">I22+1</f>
        <v>2</v>
      </c>
      <c r="J23" s="482">
        <f t="shared" si="4"/>
        <v>1.8257582656249882E-2</v>
      </c>
      <c r="K23" s="491">
        <f t="shared" ref="K23:K51" si="13">(((1+K22)^I22)*(1+U23))^(1/I23)-1</f>
        <v>1.8235744012995658E-2</v>
      </c>
      <c r="L23" s="494">
        <f t="shared" si="5"/>
        <v>1.8235744012995658E-2</v>
      </c>
      <c r="M23" s="483">
        <f>'All Curves'!BW16</f>
        <v>1.6421687634901136E-2</v>
      </c>
      <c r="N23" s="483">
        <f t="shared" si="6"/>
        <v>1.8140563780945224E-3</v>
      </c>
      <c r="O23" s="492">
        <f t="shared" si="7"/>
        <v>1</v>
      </c>
      <c r="P23" s="492">
        <f t="shared" si="8"/>
        <v>0</v>
      </c>
      <c r="Q23" s="492">
        <f>IF(P23=1,N22,IF(P23=2,#REF!,IF(P23=3,#REF!,IF(P23=4,#REF!,IF(P23=5,#REF!,IF(P23=6,#REF!,IF(P23=7,N16,IF(P23=8,N15,IF(P23=9,N14,IF(P23=10,N13,IF(P23=11,#REF!,IF(P23=12,#REF!,IF(P23=13,#REF!,IF(P23=14,#REF!,IF(P23=15,#REF!,IF(P23=16,#REF!,IF(P23=17,#REF!,IF(P23=18,#REF!,IF(P23=19,#REF!,0)))))))))))))))))))</f>
        <v>0</v>
      </c>
      <c r="R23" s="505">
        <f t="shared" si="9"/>
        <v>1.8140563780945224E-3</v>
      </c>
      <c r="S23" s="483">
        <f t="shared" ref="S23:S51" si="14">R23+M23</f>
        <v>1.8235744012995658E-2</v>
      </c>
      <c r="T23" s="483">
        <f t="shared" si="10"/>
        <v>2.1838643254223911E-5</v>
      </c>
      <c r="U23" s="489">
        <f>(1+J23)/(V22-J23)-1</f>
        <v>1.5821649483284794E-2</v>
      </c>
      <c r="V23" s="488">
        <f t="shared" ref="V23:V51" si="15">V22*W23</f>
        <v>1.0368040303856989</v>
      </c>
      <c r="W23" s="488">
        <f t="shared" si="11"/>
        <v>1.0158216494832848</v>
      </c>
      <c r="X23" s="488"/>
      <c r="Y23" s="488"/>
      <c r="Z23" s="488"/>
      <c r="AA23" s="488"/>
      <c r="AB23" s="488"/>
      <c r="AC23" s="488"/>
      <c r="AD23" s="488"/>
      <c r="AE23" s="488"/>
      <c r="AF23" s="488"/>
      <c r="AG23" s="488"/>
      <c r="AH23" s="488"/>
      <c r="AI23" s="488"/>
      <c r="AJ23" s="488"/>
      <c r="AK23" s="488"/>
      <c r="AL23" s="488"/>
      <c r="AM23" s="488"/>
      <c r="AN23" s="488"/>
      <c r="AO23" s="488"/>
      <c r="AP23" s="488"/>
      <c r="AQ23" s="488"/>
      <c r="AR23" s="488"/>
      <c r="AS23" s="488"/>
      <c r="AT23" s="488"/>
      <c r="AU23" s="488"/>
      <c r="AV23" s="488"/>
      <c r="AW23" s="488"/>
      <c r="AX23" s="488"/>
      <c r="AY23" s="488"/>
    </row>
    <row r="24" spans="3:51">
      <c r="C24" s="481">
        <v>3</v>
      </c>
      <c r="D24" s="509">
        <f>'Swap and Yield Curves'!D225</f>
        <v>1.74</v>
      </c>
      <c r="E24" s="492">
        <f t="shared" si="0"/>
        <v>1</v>
      </c>
      <c r="F24" s="492">
        <f t="shared" si="1"/>
        <v>0</v>
      </c>
      <c r="G24" s="492">
        <f t="shared" si="2"/>
        <v>0</v>
      </c>
      <c r="H24" s="492">
        <f t="shared" si="3"/>
        <v>1.74</v>
      </c>
      <c r="I24" s="459">
        <f t="shared" si="12"/>
        <v>3</v>
      </c>
      <c r="J24" s="482">
        <f t="shared" si="4"/>
        <v>1.7475689999999933E-2</v>
      </c>
      <c r="K24" s="491">
        <f t="shared" si="13"/>
        <v>1.7448057876241929E-2</v>
      </c>
      <c r="L24" s="494">
        <f t="shared" si="5"/>
        <v>1.7448057876241929E-2</v>
      </c>
      <c r="M24" s="483">
        <f>'All Curves'!BW17</f>
        <v>1.5392439461825752E-2</v>
      </c>
      <c r="N24" s="483">
        <f t="shared" si="6"/>
        <v>2.0556184144161771E-3</v>
      </c>
      <c r="O24" s="492">
        <f t="shared" si="7"/>
        <v>1</v>
      </c>
      <c r="P24" s="492">
        <f t="shared" si="8"/>
        <v>0</v>
      </c>
      <c r="Q24" s="492">
        <f>IF(P24=1,N23,IF(P24=2,N22,IF(P24=3,#REF!,IF(P24=4,#REF!,IF(P24=5,#REF!,IF(P24=6,#REF!,IF(P24=7,#REF!,IF(P24=8,N16,IF(P24=9,N15,IF(P24=10,N14,IF(P24=11,N13,IF(P24=12,#REF!,IF(P24=13,#REF!,IF(P24=14,#REF!,IF(P24=15,#REF!,IF(P24=16,#REF!,IF(P24=17,#REF!,IF(P24=18,#REF!,IF(P24=19,#REF!,0)))))))))))))))))))</f>
        <v>0</v>
      </c>
      <c r="R24" s="505">
        <f t="shared" si="9"/>
        <v>2.0556184144161771E-3</v>
      </c>
      <c r="S24" s="483">
        <f t="shared" si="14"/>
        <v>1.7448057876241929E-2</v>
      </c>
      <c r="T24" s="483">
        <f t="shared" si="10"/>
        <v>2.7632123758003502E-5</v>
      </c>
      <c r="U24" s="489">
        <f>((1+J24)/(V23-J24*(1+W23)))-1</f>
        <v>1.5874513144533031E-2</v>
      </c>
      <c r="V24" s="488">
        <f t="shared" si="15"/>
        <v>1.0532627895943616</v>
      </c>
      <c r="W24" s="488">
        <f t="shared" si="11"/>
        <v>1.015874513144533</v>
      </c>
      <c r="X24" s="488">
        <f t="shared" ref="X24:X51" si="16">V24/V22</f>
        <v>1.0319473236105083</v>
      </c>
      <c r="Y24" s="488"/>
      <c r="Z24" s="488"/>
      <c r="AA24" s="488"/>
      <c r="AB24" s="488"/>
      <c r="AC24" s="488"/>
      <c r="AD24" s="488"/>
      <c r="AE24" s="488"/>
      <c r="AF24" s="488"/>
      <c r="AG24" s="488"/>
      <c r="AH24" s="488"/>
      <c r="AI24" s="488"/>
      <c r="AJ24" s="488"/>
      <c r="AK24" s="488"/>
      <c r="AL24" s="488"/>
      <c r="AM24" s="488"/>
      <c r="AN24" s="488"/>
      <c r="AO24" s="488"/>
      <c r="AP24" s="488"/>
      <c r="AQ24" s="488"/>
      <c r="AR24" s="488"/>
      <c r="AS24" s="488"/>
      <c r="AT24" s="488"/>
      <c r="AU24" s="488"/>
      <c r="AV24" s="488"/>
      <c r="AW24" s="488"/>
      <c r="AX24" s="488"/>
      <c r="AY24" s="488"/>
    </row>
    <row r="25" spans="3:51">
      <c r="C25" s="481">
        <v>4</v>
      </c>
      <c r="D25" s="509">
        <f>'Swap and Yield Curves'!D226</f>
        <v>1.7250000000000001</v>
      </c>
      <c r="E25" s="492">
        <f t="shared" si="0"/>
        <v>1</v>
      </c>
      <c r="F25" s="492">
        <f t="shared" si="1"/>
        <v>0</v>
      </c>
      <c r="G25" s="492">
        <f t="shared" si="2"/>
        <v>0</v>
      </c>
      <c r="H25" s="492">
        <f t="shared" si="3"/>
        <v>1.7250000000000001</v>
      </c>
      <c r="I25" s="459">
        <f t="shared" si="12"/>
        <v>4</v>
      </c>
      <c r="J25" s="482">
        <f t="shared" si="4"/>
        <v>1.7324390625000241E-2</v>
      </c>
      <c r="K25" s="491">
        <f t="shared" si="13"/>
        <v>1.7299882155236146E-2</v>
      </c>
      <c r="L25" s="494">
        <f t="shared" si="5"/>
        <v>1.7299882155236146E-2</v>
      </c>
      <c r="M25" s="483">
        <f>'All Curves'!BW18</f>
        <v>1.4691122957921542E-2</v>
      </c>
      <c r="N25" s="483">
        <f t="shared" si="6"/>
        <v>2.6087591973146043E-3</v>
      </c>
      <c r="O25" s="492">
        <f t="shared" si="7"/>
        <v>1</v>
      </c>
      <c r="P25" s="492">
        <f t="shared" si="8"/>
        <v>0</v>
      </c>
      <c r="Q25" s="492">
        <f>IF(P25=1,N24,IF(P25=2,N23,IF(P25=3,N22,IF(P25=4,#REF!,IF(P25=5,#REF!,IF(P25=6,#REF!,IF(P25=7,#REF!,IF(P25=8,#REF!,IF(P25=9,N16,IF(P25=10,N15,IF(P25=11,N14,IF(P25=12,N13,IF(P25=13,#REF!,IF(P25=14,#REF!,IF(P25=15,#REF!,IF(P25=16,#REF!,IF(P25=17,#REF!,IF(P25=18,#REF!,IF(P25=19,#REF!,0)))))))))))))))))))</f>
        <v>0</v>
      </c>
      <c r="R25" s="505">
        <f t="shared" si="9"/>
        <v>2.6087591973146043E-3</v>
      </c>
      <c r="S25" s="483">
        <f t="shared" si="14"/>
        <v>1.7299882155236146E-2</v>
      </c>
      <c r="T25" s="483">
        <f t="shared" si="10"/>
        <v>2.4508469764095153E-5</v>
      </c>
      <c r="U25" s="489">
        <f>((1+J25)/(V24-J25*(1+W24+X24)))-1</f>
        <v>1.6855484456789416E-2</v>
      </c>
      <c r="V25" s="488">
        <f t="shared" si="15"/>
        <v>1.0710160441732841</v>
      </c>
      <c r="W25" s="488">
        <f t="shared" si="11"/>
        <v>1.0168554844567894</v>
      </c>
      <c r="X25" s="488">
        <f t="shared" si="16"/>
        <v>1.0329975702108893</v>
      </c>
      <c r="Y25" s="488">
        <f t="shared" ref="Y25:Y51" si="17">V25/V22</f>
        <v>1.0493412956838508</v>
      </c>
      <c r="Z25" s="488"/>
      <c r="AA25" s="488"/>
      <c r="AB25" s="488"/>
      <c r="AC25" s="488"/>
      <c r="AD25" s="488"/>
      <c r="AE25" s="488"/>
      <c r="AF25" s="488"/>
      <c r="AG25" s="488"/>
      <c r="AH25" s="488"/>
      <c r="AI25" s="488"/>
      <c r="AJ25" s="488"/>
      <c r="AK25" s="488"/>
      <c r="AL25" s="488"/>
      <c r="AM25" s="488"/>
      <c r="AN25" s="488"/>
      <c r="AO25" s="488"/>
      <c r="AP25" s="488"/>
      <c r="AQ25" s="488"/>
      <c r="AR25" s="488"/>
      <c r="AS25" s="488"/>
      <c r="AT25" s="488"/>
      <c r="AU25" s="488"/>
      <c r="AV25" s="488"/>
      <c r="AW25" s="488"/>
      <c r="AX25" s="488"/>
      <c r="AY25" s="488"/>
    </row>
    <row r="26" spans="3:51">
      <c r="C26" s="481">
        <v>5</v>
      </c>
      <c r="D26" s="509">
        <f>'Swap and Yield Curves'!D227</f>
        <v>1.73</v>
      </c>
      <c r="E26" s="492">
        <f t="shared" si="0"/>
        <v>1</v>
      </c>
      <c r="F26" s="492">
        <f t="shared" si="1"/>
        <v>0</v>
      </c>
      <c r="G26" s="492">
        <f t="shared" si="2"/>
        <v>0</v>
      </c>
      <c r="H26" s="492">
        <f t="shared" si="3"/>
        <v>1.73</v>
      </c>
      <c r="I26" s="459">
        <f t="shared" si="12"/>
        <v>5</v>
      </c>
      <c r="J26" s="482">
        <f t="shared" si="4"/>
        <v>1.7374822500000109E-2</v>
      </c>
      <c r="K26" s="491">
        <f t="shared" si="13"/>
        <v>1.7356936912851451E-2</v>
      </c>
      <c r="L26" s="494">
        <f t="shared" si="5"/>
        <v>1.7356936912851451E-2</v>
      </c>
      <c r="M26" s="483">
        <f>'All Curves'!BW19</f>
        <v>1.4270029195432993E-2</v>
      </c>
      <c r="N26" s="483">
        <f t="shared" si="6"/>
        <v>3.0869077174184578E-3</v>
      </c>
      <c r="O26" s="492">
        <f t="shared" si="7"/>
        <v>1</v>
      </c>
      <c r="P26" s="492">
        <f t="shared" si="8"/>
        <v>0</v>
      </c>
      <c r="Q26" s="492">
        <f>IF(P26=1,N25,IF(P26=2,N24,IF(P26=3,N23,IF(P26=4,N22,IF(P26=5,#REF!,IF(P26=6,#REF!,IF(P26=7,#REF!,IF(P26=8,#REF!,IF(P26=9,#REF!,IF(P26=10,N16,IF(P26=11,N15,IF(P26=12,N14,IF(P26=13,N13,IF(P26=14,#REF!,IF(P26=15,#REF!,IF(P26=16,#REF!,IF(P26=17,#REF!,IF(P26=18,#REF!,IF(P26=19,#REF!,0)))))))))))))))))))</f>
        <v>0</v>
      </c>
      <c r="R26" s="505">
        <f t="shared" si="9"/>
        <v>3.0869077174184578E-3</v>
      </c>
      <c r="S26" s="483">
        <f t="shared" si="14"/>
        <v>1.7356936912851451E-2</v>
      </c>
      <c r="T26" s="483">
        <f t="shared" si="10"/>
        <v>1.7885587148658288E-5</v>
      </c>
      <c r="U26" s="489">
        <f>((1+J26)/(V25-J26*(1+W25+X25+Y25)))-1</f>
        <v>1.7585187943984337E-2</v>
      </c>
      <c r="V26" s="488">
        <f t="shared" si="15"/>
        <v>1.0898500626010938</v>
      </c>
      <c r="W26" s="488">
        <f t="shared" si="11"/>
        <v>1.0175851879439843</v>
      </c>
      <c r="X26" s="488">
        <f t="shared" si="16"/>
        <v>1.0347370792628332</v>
      </c>
      <c r="Y26" s="488">
        <f t="shared" si="17"/>
        <v>1.0511630266287268</v>
      </c>
      <c r="Z26" s="488">
        <f t="shared" ref="Z26:Z51" si="18">V26/V22</f>
        <v>1.0677941595858353</v>
      </c>
      <c r="AA26" s="488"/>
      <c r="AB26" s="488"/>
      <c r="AC26" s="488"/>
      <c r="AD26" s="488"/>
      <c r="AE26" s="488"/>
      <c r="AF26" s="488"/>
      <c r="AG26" s="488"/>
      <c r="AH26" s="488"/>
      <c r="AI26" s="488"/>
      <c r="AJ26" s="488"/>
      <c r="AK26" s="488"/>
      <c r="AL26" s="488"/>
      <c r="AM26" s="488"/>
      <c r="AN26" s="488"/>
      <c r="AO26" s="488"/>
      <c r="AP26" s="488"/>
      <c r="AQ26" s="488"/>
      <c r="AR26" s="488"/>
      <c r="AS26" s="488"/>
      <c r="AT26" s="488"/>
      <c r="AU26" s="488"/>
      <c r="AV26" s="488"/>
      <c r="AW26" s="488"/>
      <c r="AX26" s="488"/>
      <c r="AY26" s="488"/>
    </row>
    <row r="27" spans="3:51">
      <c r="C27" s="481"/>
      <c r="D27" s="509"/>
      <c r="E27" s="492" t="str">
        <f t="shared" si="0"/>
        <v/>
      </c>
      <c r="F27" s="492">
        <f t="shared" si="1"/>
        <v>1</v>
      </c>
      <c r="G27" s="492">
        <f t="shared" si="2"/>
        <v>1.73</v>
      </c>
      <c r="H27" s="492">
        <f t="shared" si="3"/>
        <v>1.75125</v>
      </c>
      <c r="I27" s="459">
        <f t="shared" si="12"/>
        <v>6</v>
      </c>
      <c r="J27" s="482">
        <f t="shared" si="4"/>
        <v>1.7589171914062618E-2</v>
      </c>
      <c r="K27" s="491">
        <f t="shared" si="13"/>
        <v>1.7583717880234051E-2</v>
      </c>
      <c r="L27" s="494" t="str">
        <f t="shared" si="5"/>
        <v/>
      </c>
      <c r="M27" s="483">
        <f>'All Curves'!BW20</f>
        <v>1.4087179242891851E-2</v>
      </c>
      <c r="N27" s="483" t="str">
        <f t="shared" si="6"/>
        <v/>
      </c>
      <c r="O27" s="492" t="str">
        <f t="shared" si="7"/>
        <v/>
      </c>
      <c r="P27" s="492">
        <f t="shared" si="8"/>
        <v>1</v>
      </c>
      <c r="Q27" s="492">
        <f>IF(P27=1,N26,IF(P27=2,N25,IF(P27=3,N24,IF(P27=4,N23,IF(P27=5,N22,IF(P27=6,#REF!,IF(P27=7,#REF!,IF(P27=8,#REF!,IF(P27=9,#REF!,IF(P27=10,#REF!,IF(P27=11,N16,IF(P27=12,N15,IF(P27=13,N14,IF(P27=14,N13,IF(P27=15,#REF!,IF(P27=16,#REF!,IF(P27=17,#REF!,IF(P27=18,#REF!,IF(P27=19,#REF!,0)))))))))))))))))))</f>
        <v>3.0869077174184578E-3</v>
      </c>
      <c r="R27" s="505">
        <f t="shared" si="9"/>
        <v>3.3959104050002714E-3</v>
      </c>
      <c r="S27" s="483">
        <f t="shared" si="14"/>
        <v>1.7483089647892122E-2</v>
      </c>
      <c r="T27" s="483">
        <f t="shared" si="10"/>
        <v>5.4540338285669065E-6</v>
      </c>
      <c r="U27" s="489">
        <f>((1+J27)/(V26-J27*(1+W26+X26+Y26+Z26)))-1</f>
        <v>1.8718381225202085E-2</v>
      </c>
      <c r="V27" s="488">
        <f t="shared" si="15"/>
        <v>1.1102502915511714</v>
      </c>
      <c r="W27" s="488">
        <f t="shared" si="11"/>
        <v>1.0187183812252021</v>
      </c>
      <c r="X27" s="488">
        <f t="shared" si="16"/>
        <v>1.0366327354210385</v>
      </c>
      <c r="Y27" s="488">
        <f t="shared" si="17"/>
        <v>1.054105682380327</v>
      </c>
      <c r="Z27" s="488">
        <f t="shared" si="18"/>
        <v>1.0708390968910007</v>
      </c>
      <c r="AA27" s="488">
        <f t="shared" ref="AA27:AA51" si="19">V27/V22</f>
        <v>1.0877815377350071</v>
      </c>
      <c r="AB27" s="488"/>
      <c r="AC27" s="488"/>
      <c r="AD27" s="488"/>
      <c r="AE27" s="488"/>
      <c r="AF27" s="488"/>
      <c r="AG27" s="488"/>
      <c r="AH27" s="488"/>
      <c r="AI27" s="488"/>
      <c r="AJ27" s="488"/>
      <c r="AK27" s="488"/>
      <c r="AL27" s="488"/>
      <c r="AM27" s="488"/>
      <c r="AN27" s="488"/>
      <c r="AO27" s="488"/>
      <c r="AP27" s="488"/>
      <c r="AQ27" s="488"/>
      <c r="AR27" s="488"/>
      <c r="AS27" s="488"/>
      <c r="AT27" s="488"/>
      <c r="AU27" s="488"/>
      <c r="AV27" s="488"/>
      <c r="AW27" s="488"/>
      <c r="AX27" s="488"/>
      <c r="AY27" s="488"/>
    </row>
    <row r="28" spans="3:51">
      <c r="C28" s="481">
        <v>7</v>
      </c>
      <c r="D28" s="509">
        <f>'Swap and Yield Curves'!D228</f>
        <v>1.7725</v>
      </c>
      <c r="E28" s="492">
        <f t="shared" si="0"/>
        <v>1</v>
      </c>
      <c r="F28" s="492">
        <f t="shared" si="1"/>
        <v>0</v>
      </c>
      <c r="G28" s="492">
        <f t="shared" si="2"/>
        <v>0</v>
      </c>
      <c r="H28" s="492">
        <f t="shared" si="3"/>
        <v>1.7725</v>
      </c>
      <c r="I28" s="459">
        <f t="shared" si="12"/>
        <v>7</v>
      </c>
      <c r="J28" s="482">
        <f t="shared" si="4"/>
        <v>1.7803543906250052E-2</v>
      </c>
      <c r="K28" s="491">
        <f t="shared" si="13"/>
        <v>1.7810607348371699E-2</v>
      </c>
      <c r="L28" s="494">
        <f t="shared" si="5"/>
        <v>1.7810607348371699E-2</v>
      </c>
      <c r="M28" s="483">
        <f>'All Curves'!BW21</f>
        <v>1.4105694255789614E-2</v>
      </c>
      <c r="N28" s="483">
        <f t="shared" si="6"/>
        <v>3.704913092582085E-3</v>
      </c>
      <c r="O28" s="492">
        <f t="shared" si="7"/>
        <v>1</v>
      </c>
      <c r="P28" s="492">
        <f t="shared" si="8"/>
        <v>0</v>
      </c>
      <c r="Q28" s="492">
        <f>IF(P28=1,N27,IF(P28=2,N26,IF(P28=3,N25,IF(P28=4,N24,IF(P28=5,N23,IF(P28=6,N22,IF(P28=7,#REF!,IF(P28=8,#REF!,IF(P28=9,#REF!,IF(P28=10,#REF!,IF(P28=11,#REF!,IF(P28=12,N16,IF(P28=13,N15,IF(P28=14,N14,IF(P28=15,N13,IF(P28=16,#REF!,IF(P28=17,#REF!,IF(P28=18,#REF!,IF(P28=19,#REF!,0)))))))))))))))))))</f>
        <v>0</v>
      </c>
      <c r="R28" s="505">
        <f t="shared" si="9"/>
        <v>3.704913092582085E-3</v>
      </c>
      <c r="S28" s="483">
        <f t="shared" si="14"/>
        <v>1.7810607348371699E-2</v>
      </c>
      <c r="T28" s="483">
        <f t="shared" si="10"/>
        <v>-7.063442121646446E-6</v>
      </c>
      <c r="U28" s="489">
        <f>((1+J28)/(V27-J28*(1+W27+X27+Y27+Z27+AA27)))-1</f>
        <v>1.9173006927024172E-2</v>
      </c>
      <c r="V28" s="488">
        <f t="shared" si="15"/>
        <v>1.1315371280818125</v>
      </c>
      <c r="W28" s="488">
        <f t="shared" si="11"/>
        <v>1.0191730069270242</v>
      </c>
      <c r="X28" s="488">
        <f t="shared" si="16"/>
        <v>1.0382502758051195</v>
      </c>
      <c r="Y28" s="488">
        <f t="shared" si="17"/>
        <v>1.056508102038046</v>
      </c>
      <c r="Z28" s="488">
        <f t="shared" si="18"/>
        <v>1.0743160579304205</v>
      </c>
      <c r="AA28" s="488">
        <f t="shared" si="19"/>
        <v>1.09137030231342</v>
      </c>
      <c r="AB28" s="488">
        <f t="shared" ref="AB28:AB51" si="20">V28/V22</f>
        <v>1.1086375806930895</v>
      </c>
      <c r="AC28" s="488"/>
      <c r="AD28" s="488"/>
      <c r="AE28" s="488"/>
      <c r="AF28" s="488"/>
      <c r="AG28" s="488"/>
      <c r="AH28" s="488"/>
      <c r="AI28" s="488"/>
      <c r="AJ28" s="488"/>
      <c r="AK28" s="488"/>
      <c r="AL28" s="488"/>
      <c r="AM28" s="488"/>
      <c r="AN28" s="488"/>
      <c r="AO28" s="488"/>
      <c r="AP28" s="488"/>
      <c r="AQ28" s="488"/>
      <c r="AR28" s="488"/>
      <c r="AS28" s="488"/>
      <c r="AT28" s="488"/>
      <c r="AU28" s="488"/>
      <c r="AV28" s="488"/>
      <c r="AW28" s="488"/>
      <c r="AX28" s="488"/>
      <c r="AY28" s="488"/>
    </row>
    <row r="29" spans="3:51">
      <c r="C29" s="481"/>
      <c r="D29" s="509"/>
      <c r="E29" s="492" t="str">
        <f t="shared" si="0"/>
        <v/>
      </c>
      <c r="F29" s="492">
        <f t="shared" si="1"/>
        <v>1</v>
      </c>
      <c r="G29" s="492">
        <f t="shared" si="2"/>
        <v>1.7725</v>
      </c>
      <c r="H29" s="492">
        <f t="shared" si="3"/>
        <v>1.8066666666666666</v>
      </c>
      <c r="I29" s="459">
        <f t="shared" si="12"/>
        <v>8</v>
      </c>
      <c r="J29" s="482">
        <f t="shared" si="4"/>
        <v>1.814826777777756E-2</v>
      </c>
      <c r="K29" s="491">
        <f t="shared" si="13"/>
        <v>1.8177321038121308E-2</v>
      </c>
      <c r="L29" s="494" t="str">
        <f t="shared" si="5"/>
        <v/>
      </c>
      <c r="M29" s="483">
        <f>'All Curves'!BW22</f>
        <v>1.4293231373208537E-2</v>
      </c>
      <c r="N29" s="483" t="str">
        <f t="shared" si="6"/>
        <v/>
      </c>
      <c r="O29" s="492" t="str">
        <f t="shared" si="7"/>
        <v/>
      </c>
      <c r="P29" s="492">
        <f t="shared" si="8"/>
        <v>1</v>
      </c>
      <c r="Q29" s="492">
        <f>IF(P29=1,N28,IF(P29=2,N27,IF(P29=3,N26,IF(P29=4,N25,IF(P29=5,N24,IF(P29=6,N23,IF(P29=7,N22,IF(P29=8,#REF!,IF(P29=9,#REF!,IF(P29=10,#REF!,IF(P29=11,#REF!,IF(P29=12,#REF!,IF(P29=13,N16,IF(P29=14,N15,IF(P29=15,N14,IF(P29=16,N13,IF(P29=17,#REF!,IF(P29=18,#REF!,IF(P29=19,#REF!,0)))))))))))))))))))</f>
        <v>3.704913092582085E-3</v>
      </c>
      <c r="R29" s="505">
        <f t="shared" si="9"/>
        <v>3.7538810314285131E-3</v>
      </c>
      <c r="S29" s="483">
        <f t="shared" si="14"/>
        <v>1.804711240463705E-2</v>
      </c>
      <c r="T29" s="483">
        <f t="shared" si="10"/>
        <v>-2.9053260343747667E-5</v>
      </c>
      <c r="U29" s="489">
        <f>((1+J29)/(V28-J29*(1+W28+X28+Y28+Z28+AA28+AB28)))-1</f>
        <v>2.0748019052777789E-2</v>
      </c>
      <c r="V29" s="488">
        <f t="shared" si="15"/>
        <v>1.1550142819741793</v>
      </c>
      <c r="W29" s="488">
        <f t="shared" si="11"/>
        <v>1.0207480190527778</v>
      </c>
      <c r="X29" s="488">
        <f t="shared" si="16"/>
        <v>1.0403188278928228</v>
      </c>
      <c r="Y29" s="488">
        <f t="shared" si="17"/>
        <v>1.059791912309076</v>
      </c>
      <c r="Z29" s="488">
        <f t="shared" si="18"/>
        <v>1.0784285522685455</v>
      </c>
      <c r="AA29" s="488">
        <f t="shared" si="19"/>
        <v>1.0966059879690659</v>
      </c>
      <c r="AB29" s="488">
        <f t="shared" si="20"/>
        <v>1.1140140741394546</v>
      </c>
      <c r="AC29" s="488">
        <f t="shared" ref="AC29:AC51" si="21">V29/V22</f>
        <v>1.131639614339935</v>
      </c>
      <c r="AD29" s="488"/>
      <c r="AE29" s="488"/>
      <c r="AF29" s="488"/>
      <c r="AG29" s="488"/>
      <c r="AH29" s="488"/>
      <c r="AI29" s="488"/>
      <c r="AJ29" s="488"/>
      <c r="AK29" s="488"/>
      <c r="AL29" s="488"/>
      <c r="AM29" s="488"/>
      <c r="AN29" s="488"/>
      <c r="AO29" s="488"/>
      <c r="AP29" s="488"/>
      <c r="AQ29" s="488"/>
      <c r="AR29" s="488"/>
      <c r="AS29" s="488"/>
      <c r="AT29" s="488"/>
      <c r="AU29" s="488"/>
      <c r="AV29" s="488"/>
      <c r="AW29" s="488"/>
      <c r="AX29" s="488"/>
      <c r="AY29" s="488"/>
    </row>
    <row r="30" spans="3:51">
      <c r="C30" s="481"/>
      <c r="D30" s="509"/>
      <c r="E30" s="492" t="str">
        <f t="shared" si="0"/>
        <v/>
      </c>
      <c r="F30" s="492">
        <f t="shared" si="1"/>
        <v>2</v>
      </c>
      <c r="G30" s="492">
        <f t="shared" si="2"/>
        <v>1.7725</v>
      </c>
      <c r="H30" s="492">
        <f t="shared" si="3"/>
        <v>1.8408333333333333</v>
      </c>
      <c r="I30" s="459">
        <f t="shared" si="12"/>
        <v>9</v>
      </c>
      <c r="J30" s="482">
        <f t="shared" si="4"/>
        <v>1.8493050017361234E-2</v>
      </c>
      <c r="K30" s="491">
        <f t="shared" si="13"/>
        <v>1.8546122194665449E-2</v>
      </c>
      <c r="L30" s="494" t="str">
        <f t="shared" si="5"/>
        <v/>
      </c>
      <c r="M30" s="483">
        <f>'All Curves'!BW23</f>
        <v>1.4621478769102955E-2</v>
      </c>
      <c r="N30" s="483" t="str">
        <f t="shared" si="6"/>
        <v/>
      </c>
      <c r="O30" s="492" t="str">
        <f t="shared" si="7"/>
        <v/>
      </c>
      <c r="P30" s="492">
        <f t="shared" si="8"/>
        <v>2</v>
      </c>
      <c r="Q30" s="492">
        <f>IF(P30=1,N29,IF(P30=2,N28,IF(P30=3,N27,IF(P30=4,N26,IF(P30=5,N25,IF(P30=6,N24,IF(P30=7,N23,IF(P30=8,N22,IF(P30=9,#REF!,IF(P30=10,#REF!,IF(P30=11,#REF!,IF(P30=12,#REF!,IF(P30=13,#REF!,IF(P30=14,N16,IF(P30=15,N15,IF(P30=16,N14,IF(P30=17,N13,IF(P30=18,#REF!,IF(P30=19,#REF!,0)))))))))))))))))))</f>
        <v>3.704913092582085E-3</v>
      </c>
      <c r="R30" s="505">
        <f t="shared" si="9"/>
        <v>3.8028489702749413E-3</v>
      </c>
      <c r="S30" s="483">
        <f t="shared" si="14"/>
        <v>1.8424327739377896E-2</v>
      </c>
      <c r="T30" s="483">
        <f t="shared" si="10"/>
        <v>-5.3072177304214208E-5</v>
      </c>
      <c r="U30" s="489">
        <f>((1+J30)/(V29-J30*(1+W29+X29+Y29+Z29+AA29+AB29+AC29)))-1</f>
        <v>2.1501344611780215E-2</v>
      </c>
      <c r="V30" s="488">
        <f t="shared" si="15"/>
        <v>1.1798486420824341</v>
      </c>
      <c r="W30" s="488">
        <f t="shared" si="11"/>
        <v>1.0215013446117802</v>
      </c>
      <c r="X30" s="488">
        <f t="shared" si="16"/>
        <v>1.0426954739722236</v>
      </c>
      <c r="Y30" s="488">
        <f t="shared" si="17"/>
        <v>1.0626870815174696</v>
      </c>
      <c r="Z30" s="488">
        <f t="shared" si="18"/>
        <v>1.0825788634324109</v>
      </c>
      <c r="AA30" s="488">
        <f t="shared" si="19"/>
        <v>1.1016162162100547</v>
      </c>
      <c r="AB30" s="488">
        <f t="shared" si="20"/>
        <v>1.1201844912197305</v>
      </c>
      <c r="AC30" s="488">
        <f t="shared" si="21"/>
        <v>1.1379668746499003</v>
      </c>
      <c r="AD30" s="488">
        <f t="shared" ref="AD30:AD51" si="22">V30/V22</f>
        <v>1.1559713876642002</v>
      </c>
      <c r="AE30" s="488"/>
      <c r="AF30" s="488"/>
      <c r="AG30" s="488"/>
      <c r="AH30" s="488"/>
      <c r="AI30" s="488"/>
      <c r="AJ30" s="488"/>
      <c r="AK30" s="488"/>
      <c r="AL30" s="488"/>
      <c r="AM30" s="488"/>
      <c r="AN30" s="488"/>
      <c r="AO30" s="488"/>
      <c r="AP30" s="488"/>
      <c r="AQ30" s="488"/>
      <c r="AR30" s="488"/>
      <c r="AS30" s="488"/>
      <c r="AT30" s="488"/>
      <c r="AU30" s="488"/>
      <c r="AV30" s="488"/>
      <c r="AW30" s="488"/>
      <c r="AX30" s="488"/>
      <c r="AY30" s="488"/>
    </row>
    <row r="31" spans="3:51">
      <c r="C31" s="481">
        <v>10</v>
      </c>
      <c r="D31" s="509">
        <f>'Swap and Yield Curves'!D229</f>
        <v>1.875</v>
      </c>
      <c r="E31" s="492">
        <f t="shared" si="0"/>
        <v>1</v>
      </c>
      <c r="F31" s="492">
        <f t="shared" si="1"/>
        <v>0</v>
      </c>
      <c r="G31" s="492">
        <f t="shared" si="2"/>
        <v>0</v>
      </c>
      <c r="H31" s="492">
        <f t="shared" si="3"/>
        <v>1.875</v>
      </c>
      <c r="I31" s="459">
        <f t="shared" si="12"/>
        <v>10</v>
      </c>
      <c r="J31" s="482">
        <f t="shared" si="4"/>
        <v>1.8837890624999742E-2</v>
      </c>
      <c r="K31" s="491">
        <f t="shared" si="13"/>
        <v>1.8917520773014784E-2</v>
      </c>
      <c r="L31" s="494">
        <f t="shared" si="5"/>
        <v>1.8917520773014784E-2</v>
      </c>
      <c r="M31" s="483">
        <f>'All Curves'!BW24</f>
        <v>1.5065703863893415E-2</v>
      </c>
      <c r="N31" s="483">
        <f t="shared" si="6"/>
        <v>3.8518169091213694E-3</v>
      </c>
      <c r="O31" s="492">
        <f t="shared" si="7"/>
        <v>1</v>
      </c>
      <c r="P31" s="492">
        <f t="shared" si="8"/>
        <v>0</v>
      </c>
      <c r="Q31" s="492">
        <f>IF(P31=1,N30,IF(P31=2,N29,IF(P31=3,N28,IF(P31=4,N27,IF(P31=5,N26,IF(P31=6,N25,IF(P31=7,N24,IF(P31=8,N23,IF(P31=9,N22,IF(P31=10,#REF!,IF(P31=11,#REF!,IF(P31=12,#REF!,IF(P31=13,#REF!,IF(P31=14,#REF!,IF(P31=15,N16,IF(P31=16,N15,IF(P31=17,N14,IF(P31=18,N13,IF(P31=19,#REF!,0)))))))))))))))))))</f>
        <v>0</v>
      </c>
      <c r="R31" s="505">
        <f t="shared" si="9"/>
        <v>3.8518169091213694E-3</v>
      </c>
      <c r="S31" s="483">
        <f t="shared" si="14"/>
        <v>1.8917520773014784E-2</v>
      </c>
      <c r="T31" s="483">
        <f t="shared" si="10"/>
        <v>-7.9630148015041868E-5</v>
      </c>
      <c r="U31" s="489">
        <f>((1+J31)/(V30-J31*(1+W30+X30+Y30+Z30+AA30+AB30+AC30+AD30)))-1</f>
        <v>2.2266208045704339E-2</v>
      </c>
      <c r="V31" s="488">
        <f t="shared" si="15"/>
        <v>1.2061193974094833</v>
      </c>
      <c r="W31" s="488">
        <f t="shared" si="11"/>
        <v>1.0222662080457043</v>
      </c>
      <c r="X31" s="488">
        <f t="shared" si="16"/>
        <v>1.0442463060698728</v>
      </c>
      <c r="Y31" s="488">
        <f t="shared" si="17"/>
        <v>1.0659123483240034</v>
      </c>
      <c r="Z31" s="488">
        <f t="shared" si="18"/>
        <v>1.0863490931620199</v>
      </c>
      <c r="AA31" s="488">
        <f t="shared" si="19"/>
        <v>1.1066837896314792</v>
      </c>
      <c r="AB31" s="488">
        <f t="shared" si="20"/>
        <v>1.1261450320667095</v>
      </c>
      <c r="AC31" s="488">
        <f t="shared" si="21"/>
        <v>1.1451267521508006</v>
      </c>
      <c r="AD31" s="488">
        <f t="shared" si="22"/>
        <v>1.1633050818299748</v>
      </c>
      <c r="AE31" s="488">
        <f t="shared" ref="AE31:AE51" si="23">V31/V22</f>
        <v>1.1817104870768127</v>
      </c>
      <c r="AF31" s="488"/>
      <c r="AG31" s="488"/>
      <c r="AH31" s="488"/>
      <c r="AI31" s="488"/>
      <c r="AJ31" s="488"/>
      <c r="AK31" s="488"/>
      <c r="AL31" s="488"/>
      <c r="AM31" s="488"/>
      <c r="AN31" s="488"/>
      <c r="AO31" s="488"/>
      <c r="AP31" s="488"/>
      <c r="AQ31" s="488"/>
      <c r="AR31" s="488"/>
      <c r="AS31" s="488"/>
      <c r="AT31" s="488"/>
      <c r="AU31" s="488"/>
      <c r="AV31" s="488"/>
      <c r="AW31" s="488"/>
      <c r="AX31" s="488"/>
      <c r="AY31" s="488"/>
    </row>
    <row r="32" spans="3:51">
      <c r="C32" s="481"/>
      <c r="D32" s="484"/>
      <c r="E32" s="492" t="str">
        <f t="shared" si="0"/>
        <v/>
      </c>
      <c r="F32" s="492">
        <f t="shared" si="1"/>
        <v>1</v>
      </c>
      <c r="G32" s="492">
        <f t="shared" si="2"/>
        <v>1.875</v>
      </c>
      <c r="H32" s="492">
        <f t="shared" si="3"/>
        <v>1.9024999999999999</v>
      </c>
      <c r="I32" s="459">
        <f t="shared" si="12"/>
        <v>11</v>
      </c>
      <c r="J32" s="482">
        <f t="shared" si="4"/>
        <v>1.9115487656250041E-2</v>
      </c>
      <c r="K32" s="491">
        <f t="shared" si="13"/>
        <v>1.9217338811857498E-2</v>
      </c>
      <c r="L32" s="494" t="str">
        <f t="shared" si="5"/>
        <v/>
      </c>
      <c r="M32" s="483">
        <f>'All Curves'!BW25</f>
        <v>1.560434929519694E-2</v>
      </c>
      <c r="N32" s="483" t="str">
        <f t="shared" si="6"/>
        <v/>
      </c>
      <c r="O32" s="492" t="str">
        <f t="shared" si="7"/>
        <v/>
      </c>
      <c r="P32" s="492">
        <f t="shared" si="8"/>
        <v>1</v>
      </c>
      <c r="Q32" s="492">
        <f>IF(P32=1,N31,IF(P32=2,N30,IF(P32=3,N29,IF(P32=4,N28,IF(P32=5,N27,IF(P32=6,N26,IF(P32=7,N25,IF(P32=8,N24,IF(P32=9,N23,IF(P32=10,N22,IF(P32=11,#REF!,IF(P32=12,#REF!,IF(P32=13,#REF!,IF(P32=14,#REF!,IF(P32=15,#REF!,IF(P32=16,N16,IF(P32=17,N15,IF(P32=18,N14,IF(P32=19,N13,0)))))))))))))))))))</f>
        <v>3.8518169091213694E-3</v>
      </c>
      <c r="R32" s="505">
        <f t="shared" si="9"/>
        <v>3.5764965310721639E-3</v>
      </c>
      <c r="S32" s="483">
        <f t="shared" si="14"/>
        <v>1.9180845826269104E-2</v>
      </c>
      <c r="T32" s="483">
        <f t="shared" si="10"/>
        <v>-1.018511556074575E-4</v>
      </c>
      <c r="U32" s="489">
        <f>((1+J32)/(V31-J32*(1+W31+X31+Y31+Z31+AA31+AB31+AC31+AD31+AE31)))-1</f>
        <v>2.2220375691517802E-2</v>
      </c>
      <c r="V32" s="488">
        <f t="shared" si="15"/>
        <v>1.2329198235487491</v>
      </c>
      <c r="W32" s="488">
        <f t="shared" si="11"/>
        <v>1.0222203756915178</v>
      </c>
      <c r="X32" s="488">
        <f t="shared" si="16"/>
        <v>1.0449813472452232</v>
      </c>
      <c r="Y32" s="488">
        <f t="shared" si="17"/>
        <v>1.0674498513052251</v>
      </c>
      <c r="Z32" s="488">
        <f t="shared" si="18"/>
        <v>1.0895973211579906</v>
      </c>
      <c r="AA32" s="488">
        <f t="shared" si="19"/>
        <v>1.1104881781442197</v>
      </c>
      <c r="AB32" s="488">
        <f t="shared" si="20"/>
        <v>1.1312747192088033</v>
      </c>
      <c r="AC32" s="488">
        <f t="shared" si="21"/>
        <v>1.1511683977623681</v>
      </c>
      <c r="AD32" s="488">
        <f t="shared" si="22"/>
        <v>1.1705718987979989</v>
      </c>
      <c r="AE32" s="488">
        <f t="shared" si="23"/>
        <v>1.1891541577920888</v>
      </c>
      <c r="AF32" s="488">
        <f t="shared" ref="AF32:AF51" si="24">V32/V22</f>
        <v>1.2079685380582659</v>
      </c>
      <c r="AG32" s="488"/>
      <c r="AH32" s="488"/>
      <c r="AI32" s="488"/>
      <c r="AJ32" s="488"/>
      <c r="AK32" s="488"/>
      <c r="AL32" s="488"/>
      <c r="AM32" s="488"/>
      <c r="AN32" s="488"/>
      <c r="AO32" s="488"/>
      <c r="AP32" s="488"/>
      <c r="AQ32" s="488"/>
      <c r="AR32" s="488"/>
      <c r="AS32" s="488"/>
      <c r="AT32" s="488"/>
      <c r="AU32" s="488"/>
      <c r="AV32" s="488"/>
      <c r="AW32" s="488"/>
      <c r="AX32" s="488"/>
      <c r="AY32" s="488"/>
    </row>
    <row r="33" spans="3:51">
      <c r="C33" s="481">
        <v>12</v>
      </c>
      <c r="D33" s="495">
        <f>'Swap and Yield Curves'!D230</f>
        <v>1.93</v>
      </c>
      <c r="E33" s="492">
        <f t="shared" si="0"/>
        <v>1</v>
      </c>
      <c r="F33" s="492">
        <f t="shared" si="1"/>
        <v>0</v>
      </c>
      <c r="G33" s="492">
        <f t="shared" si="2"/>
        <v>0</v>
      </c>
      <c r="H33" s="492">
        <f t="shared" si="3"/>
        <v>1.93</v>
      </c>
      <c r="I33" s="459">
        <f t="shared" si="12"/>
        <v>12</v>
      </c>
      <c r="J33" s="482">
        <f t="shared" si="4"/>
        <v>1.9393122499999915E-2</v>
      </c>
      <c r="K33" s="491">
        <f t="shared" si="13"/>
        <v>1.9519847935018042E-2</v>
      </c>
      <c r="L33" s="494">
        <f t="shared" si="5"/>
        <v>1.9519847935018042E-2</v>
      </c>
      <c r="M33" s="483">
        <f>'All Curves'!BW26</f>
        <v>1.6218671781995084E-2</v>
      </c>
      <c r="N33" s="483">
        <f t="shared" si="6"/>
        <v>3.3011761530229583E-3</v>
      </c>
      <c r="O33" s="492">
        <f t="shared" si="7"/>
        <v>1</v>
      </c>
      <c r="P33" s="492">
        <f t="shared" si="8"/>
        <v>0</v>
      </c>
      <c r="Q33" s="492">
        <f>IF(P33=1,N32,IF(P33=2,N31,IF(P33=3,N30,IF(P33=4,N29,IF(P33=5,N28,IF(P33=6,N27,IF(P33=7,N26,IF(P33=8,N25,IF(P33=9,N24,IF(P33=10,N23,IF(P33=11,N22,IF(P33=12,#REF!,IF(P33=13,#REF!,IF(P33=14,#REF!,IF(P33=15,#REF!,IF(P33=16,#REF!,IF(P33=17,N16,IF(P33=18,N15,IF(P33=19,N14,0)))))))))))))))))))</f>
        <v>0</v>
      </c>
      <c r="R33" s="505">
        <f t="shared" si="9"/>
        <v>3.3011761530229583E-3</v>
      </c>
      <c r="S33" s="483">
        <f t="shared" si="14"/>
        <v>1.9519847935018042E-2</v>
      </c>
      <c r="T33" s="483">
        <f t="shared" si="10"/>
        <v>-1.2672543501812683E-4</v>
      </c>
      <c r="U33" s="489">
        <f>((1+J33)/(V32-J33*(1+W32+X32+Y32+Z32+AA32+AB32+AC32+AD32+AE32+AF32)))-1</f>
        <v>2.2853380053319938E-2</v>
      </c>
      <c r="V33" s="488">
        <f t="shared" si="15"/>
        <v>1.2610962088515807</v>
      </c>
      <c r="W33" s="488">
        <f t="shared" si="11"/>
        <v>1.0228533800533199</v>
      </c>
      <c r="X33" s="488">
        <f t="shared" si="16"/>
        <v>1.0455815664354435</v>
      </c>
      <c r="Y33" s="488">
        <f t="shared" si="17"/>
        <v>1.0688627031224485</v>
      </c>
      <c r="Z33" s="488">
        <f t="shared" si="18"/>
        <v>1.0918446884449633</v>
      </c>
      <c r="AA33" s="488">
        <f t="shared" si="19"/>
        <v>1.1144983028434934</v>
      </c>
      <c r="AB33" s="488">
        <f t="shared" si="20"/>
        <v>1.1358665865240682</v>
      </c>
      <c r="AC33" s="488">
        <f t="shared" si="21"/>
        <v>1.1571281703115948</v>
      </c>
      <c r="AD33" s="488">
        <f t="shared" si="22"/>
        <v>1.1774764866618028</v>
      </c>
      <c r="AE33" s="488">
        <f t="shared" si="23"/>
        <v>1.197323423280966</v>
      </c>
      <c r="AF33" s="488">
        <f t="shared" si="24"/>
        <v>1.216330349702097</v>
      </c>
      <c r="AG33" s="488">
        <f t="shared" ref="AG33:AG51" si="25">V33/V22</f>
        <v>1.2355747021509647</v>
      </c>
      <c r="AH33" s="488"/>
      <c r="AI33" s="488"/>
      <c r="AJ33" s="488"/>
      <c r="AK33" s="488"/>
      <c r="AL33" s="488"/>
      <c r="AM33" s="488"/>
      <c r="AN33" s="488"/>
      <c r="AO33" s="488"/>
      <c r="AP33" s="488"/>
      <c r="AQ33" s="488"/>
      <c r="AR33" s="488"/>
      <c r="AS33" s="488"/>
      <c r="AT33" s="488"/>
      <c r="AU33" s="488"/>
      <c r="AV33" s="488"/>
      <c r="AW33" s="488"/>
      <c r="AX33" s="488"/>
      <c r="AY33" s="488"/>
    </row>
    <row r="34" spans="3:51">
      <c r="C34" s="481"/>
      <c r="D34" s="484"/>
      <c r="E34" s="492" t="str">
        <f t="shared" si="0"/>
        <v/>
      </c>
      <c r="F34" s="492">
        <f t="shared" si="1"/>
        <v>1</v>
      </c>
      <c r="G34" s="492">
        <f t="shared" si="2"/>
        <v>1.93</v>
      </c>
      <c r="H34" s="492">
        <f t="shared" si="3"/>
        <v>1.9558333333333331</v>
      </c>
      <c r="I34" s="459">
        <f t="shared" si="12"/>
        <v>13</v>
      </c>
      <c r="J34" s="482">
        <f t="shared" si="4"/>
        <v>1.9653965434027754E-2</v>
      </c>
      <c r="K34" s="491">
        <f t="shared" si="13"/>
        <v>1.9806101773127249E-2</v>
      </c>
      <c r="L34" s="494" t="str">
        <f t="shared" si="5"/>
        <v/>
      </c>
      <c r="M34" s="483">
        <f>'All Curves'!BW27</f>
        <v>1.6892419499870553E-2</v>
      </c>
      <c r="N34" s="483" t="str">
        <f t="shared" si="6"/>
        <v/>
      </c>
      <c r="O34" s="492" t="str">
        <f t="shared" si="7"/>
        <v/>
      </c>
      <c r="P34" s="492">
        <f t="shared" si="8"/>
        <v>1</v>
      </c>
      <c r="Q34" s="492">
        <f>IF(P34=1,N33,IF(P34=2,N32,IF(P34=3,N31,IF(P34=4,N30,IF(P34=5,N29,IF(P34=6,N28,IF(P34=7,N27,IF(P34=8,N26,IF(P34=9,N25,IF(P34=10,N24,IF(P34=11,N23,IF(P34=12,N22,IF(P34=13,#REF!,IF(P34=14,#REF!,IF(P34=15,#REF!,IF(P34=16,#REF!,IF(P34=17,#REF!,IF(P34=18,N16,IF(P34=19,N15,0)))))))))))))))))))</f>
        <v>3.3011761530229583E-3</v>
      </c>
      <c r="R34" s="505">
        <f t="shared" si="9"/>
        <v>2.8752843402726075E-3</v>
      </c>
      <c r="S34" s="483">
        <f t="shared" si="14"/>
        <v>1.9767703840143161E-2</v>
      </c>
      <c r="T34" s="483">
        <f t="shared" si="10"/>
        <v>-1.5213633909949564E-4</v>
      </c>
      <c r="U34" s="489">
        <f>((1+J34)/(V33-J34*(1+W33+X33+Y33+Z33+AA33+AB33+AC33+AD33+AE33+AF33+AG33)))-1</f>
        <v>2.3247423336379525E-2</v>
      </c>
      <c r="V34" s="488">
        <f t="shared" si="15"/>
        <v>1.2904134462866568</v>
      </c>
      <c r="W34" s="488">
        <f t="shared" si="11"/>
        <v>1.0232474233363795</v>
      </c>
      <c r="X34" s="488">
        <f t="shared" si="16"/>
        <v>1.0466320855904661</v>
      </c>
      <c r="Y34" s="488">
        <f t="shared" si="17"/>
        <v>1.0698886437430832</v>
      </c>
      <c r="Z34" s="488">
        <f t="shared" si="18"/>
        <v>1.093711006870403</v>
      </c>
      <c r="AA34" s="488">
        <f t="shared" si="19"/>
        <v>1.1172272641348207</v>
      </c>
      <c r="AB34" s="488">
        <f t="shared" si="20"/>
        <v>1.1404075166973726</v>
      </c>
      <c r="AC34" s="488">
        <f t="shared" si="21"/>
        <v>1.1622725579146418</v>
      </c>
      <c r="AD34" s="488">
        <f t="shared" si="22"/>
        <v>1.1840284187412786</v>
      </c>
      <c r="AE34" s="488">
        <f t="shared" si="23"/>
        <v>1.2048497810158625</v>
      </c>
      <c r="AF34" s="488">
        <f t="shared" si="24"/>
        <v>1.2251581077725417</v>
      </c>
      <c r="AG34" s="488">
        <f t="shared" si="25"/>
        <v>1.2446068962585082</v>
      </c>
      <c r="AH34" s="488">
        <f t="shared" ref="AH34:AH51" si="26">V34/V22</f>
        <v>1.2642986303155892</v>
      </c>
      <c r="AI34" s="488"/>
      <c r="AJ34" s="488"/>
      <c r="AK34" s="488"/>
      <c r="AL34" s="488"/>
      <c r="AM34" s="488"/>
      <c r="AN34" s="488"/>
      <c r="AO34" s="488"/>
      <c r="AP34" s="488"/>
      <c r="AQ34" s="488"/>
      <c r="AR34" s="488"/>
      <c r="AS34" s="488"/>
      <c r="AT34" s="488"/>
      <c r="AU34" s="488"/>
      <c r="AV34" s="488"/>
      <c r="AW34" s="488"/>
      <c r="AX34" s="488"/>
      <c r="AY34" s="488"/>
    </row>
    <row r="35" spans="3:51">
      <c r="C35" s="481"/>
      <c r="D35" s="484"/>
      <c r="E35" s="492" t="str">
        <f t="shared" si="0"/>
        <v/>
      </c>
      <c r="F35" s="492">
        <f t="shared" si="1"/>
        <v>2</v>
      </c>
      <c r="G35" s="492">
        <f t="shared" si="2"/>
        <v>1.93</v>
      </c>
      <c r="H35" s="492">
        <f t="shared" si="3"/>
        <v>1.9816666666666665</v>
      </c>
      <c r="I35" s="459">
        <f t="shared" si="12"/>
        <v>14</v>
      </c>
      <c r="J35" s="482">
        <f t="shared" si="4"/>
        <v>1.9914841736111244E-2</v>
      </c>
      <c r="K35" s="491">
        <f t="shared" si="13"/>
        <v>2.0095247963388463E-2</v>
      </c>
      <c r="L35" s="494" t="str">
        <f t="shared" si="5"/>
        <v/>
      </c>
      <c r="M35" s="483">
        <f>'All Curves'!BW28</f>
        <v>1.7611544021132713E-2</v>
      </c>
      <c r="N35" s="483" t="str">
        <f t="shared" si="6"/>
        <v/>
      </c>
      <c r="O35" s="492" t="str">
        <f t="shared" si="7"/>
        <v/>
      </c>
      <c r="P35" s="492">
        <f t="shared" si="8"/>
        <v>2</v>
      </c>
      <c r="Q35" s="492">
        <f>IF(P35=1,N34,IF(P35=2,N33,IF(P35=3,N32,IF(P35=4,N31,IF(P35=5,N30,IF(P35=6,N29,IF(P35=7,N28,IF(P35=8,N27,IF(P35=9,N26,IF(P35=10,N25,IF(P35=11,N24,IF(P35=12,N23,IF(P35=13,N22,IF(P35=14,#REF!,IF(P35=15,#REF!,IF(P35=16,#REF!,IF(P35=17,#REF!,IF(P35=18,#REF!,IF(P35=19,N16,0)))))))))))))))))))</f>
        <v>3.3011761530229583E-3</v>
      </c>
      <c r="R35" s="505">
        <f t="shared" si="9"/>
        <v>2.4493925275222567E-3</v>
      </c>
      <c r="S35" s="483">
        <f t="shared" si="14"/>
        <v>2.006093654865497E-2</v>
      </c>
      <c r="T35" s="483">
        <f t="shared" si="10"/>
        <v>-1.8040622727721889E-4</v>
      </c>
      <c r="U35" s="489">
        <f>((1+J35)/(V34-J35*(1+W34+X34+Y34+Z34+AA34+AB34+AC34+AD34+AE34+AF34+AG34+AH34)))-1</f>
        <v>2.386161724629221E-2</v>
      </c>
      <c r="V35" s="488">
        <f t="shared" si="15"/>
        <v>1.3212047980314179</v>
      </c>
      <c r="W35" s="488">
        <f t="shared" si="11"/>
        <v>1.0238616172462922</v>
      </c>
      <c r="X35" s="488">
        <f t="shared" si="16"/>
        <v>1.0476637617002871</v>
      </c>
      <c r="Y35" s="488">
        <f t="shared" si="17"/>
        <v>1.0716064198145145</v>
      </c>
      <c r="Z35" s="488">
        <f t="shared" si="18"/>
        <v>1.0954179170562353</v>
      </c>
      <c r="AA35" s="488">
        <f t="shared" si="19"/>
        <v>1.1198087202944016</v>
      </c>
      <c r="AB35" s="488">
        <f t="shared" si="20"/>
        <v>1.1438861134887282</v>
      </c>
      <c r="AC35" s="488">
        <f t="shared" si="21"/>
        <v>1.1676194843656</v>
      </c>
      <c r="AD35" s="488">
        <f t="shared" si="22"/>
        <v>1.19000626082747</v>
      </c>
      <c r="AE35" s="488">
        <f t="shared" si="23"/>
        <v>1.2122812516780157</v>
      </c>
      <c r="AF35" s="488">
        <f t="shared" si="24"/>
        <v>1.2335994453297421</v>
      </c>
      <c r="AG35" s="488">
        <f t="shared" si="25"/>
        <v>1.2543923616064017</v>
      </c>
      <c r="AH35" s="488">
        <f t="shared" si="26"/>
        <v>1.2743052296391246</v>
      </c>
      <c r="AI35" s="488">
        <f t="shared" ref="AI35:AI51" si="27">V35/V22</f>
        <v>1.2944668403171913</v>
      </c>
      <c r="AJ35" s="488"/>
      <c r="AK35" s="488"/>
      <c r="AL35" s="488"/>
      <c r="AM35" s="488"/>
      <c r="AN35" s="488"/>
      <c r="AO35" s="488"/>
      <c r="AP35" s="488"/>
      <c r="AQ35" s="488"/>
      <c r="AR35" s="488"/>
      <c r="AS35" s="488"/>
      <c r="AT35" s="488"/>
      <c r="AU35" s="488"/>
      <c r="AV35" s="488"/>
      <c r="AW35" s="488"/>
      <c r="AX35" s="488"/>
      <c r="AY35" s="488"/>
    </row>
    <row r="36" spans="3:51">
      <c r="C36" s="481">
        <v>15</v>
      </c>
      <c r="D36" s="495">
        <f>'Swap and Yield Curves'!D231</f>
        <v>2.0074999999999998</v>
      </c>
      <c r="E36" s="492">
        <f t="shared" si="0"/>
        <v>1</v>
      </c>
      <c r="F36" s="492">
        <f t="shared" si="1"/>
        <v>0</v>
      </c>
      <c r="G36" s="492">
        <f t="shared" si="2"/>
        <v>0</v>
      </c>
      <c r="H36" s="492">
        <f t="shared" si="3"/>
        <v>2.0074999999999998</v>
      </c>
      <c r="I36" s="459">
        <f t="shared" si="12"/>
        <v>15</v>
      </c>
      <c r="J36" s="482">
        <f t="shared" si="4"/>
        <v>2.0175751406249942E-2</v>
      </c>
      <c r="K36" s="491">
        <f t="shared" si="13"/>
        <v>2.0387443982008646E-2</v>
      </c>
      <c r="L36" s="494">
        <f t="shared" si="5"/>
        <v>2.0387443982008646E-2</v>
      </c>
      <c r="M36" s="483">
        <f>'All Curves'!BW29</f>
        <v>1.836394326723674E-2</v>
      </c>
      <c r="N36" s="483">
        <f t="shared" si="6"/>
        <v>2.0235007147719059E-3</v>
      </c>
      <c r="O36" s="492">
        <f t="shared" si="7"/>
        <v>1</v>
      </c>
      <c r="P36" s="492">
        <f t="shared" si="8"/>
        <v>0</v>
      </c>
      <c r="Q36" s="492">
        <f>IF(P36=1,N35,IF(P36=2,N34,IF(P36=3,N33,IF(P36=4,N32,IF(P36=5,N31,IF(P36=6,N30,IF(P36=7,N29,IF(P36=8,N28,IF(P36=9,N27,IF(P36=10,N26,IF(P36=11,N25,IF(P36=12,N24,IF(P36=13,N23,IF(P36=14,N22,IF(P36=15,#REF!,IF(P36=16,#REF!,IF(P36=17,#REF!,IF(P36=18,#REF!,IF(P36=19,#REF!,0)))))))))))))))))))</f>
        <v>0</v>
      </c>
      <c r="R36" s="505">
        <f t="shared" si="9"/>
        <v>2.0235007147719059E-3</v>
      </c>
      <c r="S36" s="483">
        <f t="shared" si="14"/>
        <v>2.0387443982008646E-2</v>
      </c>
      <c r="T36" s="483">
        <f t="shared" si="10"/>
        <v>-2.1169257575870404E-4</v>
      </c>
      <c r="U36" s="489">
        <f>((1+J36)/(V35-J36*(1+W35+X35+Y35+Z35+AA35+AB35+AC35+AD35+AE35+AF35+AG35+AH35+AI35)))-1</f>
        <v>2.448698730422727E-2</v>
      </c>
      <c r="V36" s="488">
        <f t="shared" si="15"/>
        <v>1.3535571231470973</v>
      </c>
      <c r="W36" s="488">
        <f t="shared" si="11"/>
        <v>1.0244869873042273</v>
      </c>
      <c r="X36" s="488">
        <f t="shared" si="16"/>
        <v>1.0489329036690878</v>
      </c>
      <c r="Y36" s="488">
        <f t="shared" si="17"/>
        <v>1.073317890932141</v>
      </c>
      <c r="Z36" s="488">
        <f t="shared" si="18"/>
        <v>1.0978468326116408</v>
      </c>
      <c r="AA36" s="488">
        <f t="shared" si="19"/>
        <v>1.1222414016840143</v>
      </c>
      <c r="AB36" s="488">
        <f t="shared" si="20"/>
        <v>1.1472294622114134</v>
      </c>
      <c r="AC36" s="488">
        <f t="shared" si="21"/>
        <v>1.1718964382272083</v>
      </c>
      <c r="AD36" s="488">
        <f t="shared" si="22"/>
        <v>1.1962109678554289</v>
      </c>
      <c r="AE36" s="488">
        <f t="shared" si="23"/>
        <v>1.2191459290283031</v>
      </c>
      <c r="AF36" s="488">
        <f t="shared" si="24"/>
        <v>1.241966367297008</v>
      </c>
      <c r="AG36" s="488">
        <f t="shared" si="25"/>
        <v>1.2638065792860333</v>
      </c>
      <c r="AH36" s="488">
        <f t="shared" si="26"/>
        <v>1.2851086514395773</v>
      </c>
      <c r="AI36" s="488">
        <f t="shared" si="27"/>
        <v>1.3055091256190081</v>
      </c>
      <c r="AJ36" s="488">
        <f t="shared" ref="AJ36:AJ51" si="28">V36/V22</f>
        <v>1.3261644334017815</v>
      </c>
      <c r="AK36" s="488"/>
      <c r="AL36" s="488"/>
      <c r="AM36" s="488"/>
      <c r="AN36" s="488"/>
      <c r="AO36" s="488"/>
      <c r="AP36" s="488"/>
      <c r="AQ36" s="488"/>
      <c r="AR36" s="488"/>
      <c r="AS36" s="488"/>
      <c r="AT36" s="488"/>
      <c r="AU36" s="488"/>
      <c r="AV36" s="488"/>
      <c r="AW36" s="488"/>
      <c r="AX36" s="488"/>
      <c r="AY36" s="488"/>
    </row>
    <row r="37" spans="3:51">
      <c r="C37" s="481">
        <v>16</v>
      </c>
      <c r="D37" s="484"/>
      <c r="E37" s="492" t="str">
        <f t="shared" si="0"/>
        <v/>
      </c>
      <c r="F37" s="492">
        <f t="shared" si="1"/>
        <v>1</v>
      </c>
      <c r="G37" s="492">
        <f t="shared" si="2"/>
        <v>2.0074999999999998</v>
      </c>
      <c r="H37" s="492">
        <f t="shared" si="3"/>
        <v>1.8402083333333343</v>
      </c>
      <c r="I37" s="459">
        <f t="shared" si="12"/>
        <v>16</v>
      </c>
      <c r="J37" s="482">
        <f t="shared" si="4"/>
        <v>1.8486742501084841E-2</v>
      </c>
      <c r="K37" s="491">
        <f t="shared" si="13"/>
        <v>1.841026569941917E-2</v>
      </c>
      <c r="L37" s="494" t="str">
        <f t="shared" si="5"/>
        <v/>
      </c>
      <c r="M37" s="483">
        <f>'All Curves'!BW30</f>
        <v>1.9139232275985713E-2</v>
      </c>
      <c r="N37" s="483" t="str">
        <f t="shared" si="6"/>
        <v/>
      </c>
      <c r="O37" s="492" t="str">
        <f t="shared" si="7"/>
        <v/>
      </c>
      <c r="P37" s="492">
        <f t="shared" si="8"/>
        <v>1</v>
      </c>
      <c r="Q37" s="492">
        <f>IF(P37=1,N36,IF(P37=2,N35,IF(P37=3,N34,IF(P37=4,N33,IF(P37=5,N32,IF(P37=6,N31,IF(P37=7,N30,IF(P37=8,N29,IF(P37=9,N28,IF(P37=10,N27,IF(P37=11,N26,IF(P37=12,N25,IF(P37=13,N24,IF(P37=14,N23,IF(P37=15,N22,IF(P37=16,#REF!,IF(P37=17,#REF!,IF(P37=18,#REF!,IF(P37=19,#REF!,0)))))))))))))))))))</f>
        <v>2.0235007147719059E-3</v>
      </c>
      <c r="R37" s="505">
        <f t="shared" si="9"/>
        <v>1.8970319200986617E-3</v>
      </c>
      <c r="S37" s="483">
        <f t="shared" si="14"/>
        <v>2.1036264196084373E-2</v>
      </c>
      <c r="T37" s="483">
        <f t="shared" si="10"/>
        <v>7.647680166567028E-5</v>
      </c>
      <c r="U37" s="489">
        <f>((1+J37)/(V36-J37*(1+W36+X36+Y36+Z36+AA36+AB36+AC36+AD36+AE36+AF36+AG36+AH36+AI36+AJ36)))-1</f>
        <v>-1.0791804378955883E-2</v>
      </c>
      <c r="V37" s="488">
        <f t="shared" si="15"/>
        <v>1.3389497994583515</v>
      </c>
      <c r="W37" s="488">
        <f t="shared" si="11"/>
        <v>0.98920819562104412</v>
      </c>
      <c r="X37" s="488">
        <f t="shared" si="16"/>
        <v>1.013430924148454</v>
      </c>
      <c r="Y37" s="488">
        <f t="shared" si="17"/>
        <v>1.0376130249660407</v>
      </c>
      <c r="Z37" s="488">
        <f t="shared" si="18"/>
        <v>1.0617348542167677</v>
      </c>
      <c r="AA37" s="488">
        <f t="shared" si="19"/>
        <v>1.0859990843560396</v>
      </c>
      <c r="AB37" s="488">
        <f t="shared" si="20"/>
        <v>1.1101303920110752</v>
      </c>
      <c r="AC37" s="488">
        <f t="shared" si="21"/>
        <v>1.134848786277453</v>
      </c>
      <c r="AD37" s="488">
        <f t="shared" si="22"/>
        <v>1.1592495611134652</v>
      </c>
      <c r="AE37" s="488">
        <f t="shared" si="23"/>
        <v>1.1833016930943716</v>
      </c>
      <c r="AF37" s="488">
        <f t="shared" si="24"/>
        <v>1.2059891446528292</v>
      </c>
      <c r="AG37" s="488">
        <f t="shared" si="25"/>
        <v>1.2285633092158961</v>
      </c>
      <c r="AH37" s="488">
        <f t="shared" si="26"/>
        <v>1.250167825909541</v>
      </c>
      <c r="AI37" s="488">
        <f t="shared" si="27"/>
        <v>1.2712400102675376</v>
      </c>
      <c r="AJ37" s="488">
        <f t="shared" si="28"/>
        <v>1.2914203265203861</v>
      </c>
      <c r="AK37" s="496">
        <f t="shared" ref="AK37:AK51" si="29">V37/V22</f>
        <v>1.3118527262621806</v>
      </c>
      <c r="AL37" s="488"/>
      <c r="AM37" s="488"/>
      <c r="AN37" s="488"/>
      <c r="AO37" s="488"/>
      <c r="AP37" s="488"/>
      <c r="AQ37" s="488"/>
      <c r="AR37" s="488"/>
      <c r="AS37" s="488"/>
      <c r="AT37" s="488"/>
      <c r="AU37" s="488"/>
      <c r="AV37" s="488"/>
      <c r="AW37" s="488"/>
      <c r="AX37" s="488"/>
      <c r="AY37" s="488"/>
    </row>
    <row r="38" spans="3:51">
      <c r="C38" s="481">
        <v>17</v>
      </c>
      <c r="D38" s="484"/>
      <c r="E38" s="492" t="str">
        <f t="shared" si="0"/>
        <v/>
      </c>
      <c r="F38" s="492">
        <f t="shared" si="1"/>
        <v>2</v>
      </c>
      <c r="G38" s="492">
        <f t="shared" si="2"/>
        <v>2.0074999999999998</v>
      </c>
      <c r="H38" s="492">
        <f t="shared" si="3"/>
        <v>1.6729166666666675</v>
      </c>
      <c r="I38" s="459">
        <f t="shared" si="12"/>
        <v>17</v>
      </c>
      <c r="J38" s="482">
        <f t="shared" si="4"/>
        <v>1.6799132921006654E-2</v>
      </c>
      <c r="K38" s="491">
        <f t="shared" si="13"/>
        <v>1.6491706212681034E-2</v>
      </c>
      <c r="L38" s="494" t="str">
        <f t="shared" si="5"/>
        <v/>
      </c>
      <c r="M38" s="483">
        <f>'All Curves'!BW31</f>
        <v>1.9928538906301183E-2</v>
      </c>
      <c r="N38" s="483" t="str">
        <f t="shared" si="6"/>
        <v/>
      </c>
      <c r="O38" s="492" t="str">
        <f t="shared" si="7"/>
        <v/>
      </c>
      <c r="P38" s="492">
        <f t="shared" si="8"/>
        <v>2</v>
      </c>
      <c r="Q38" s="492">
        <f>IF(P38=1,N37,IF(P38=2,N36,IF(P38=3,N35,IF(P38=4,N34,IF(P38=5,N33,IF(P38=6,N32,IF(P38=7,N31,IF(P38=8,N30,IF(P38=9,N29,IF(P38=10,N28,IF(P38=11,N27,IF(P38=12,N26,IF(P38=13,N25,IF(P38=14,N24,IF(P38=15,N23,IF(P38=16,N22,IF(P38=17,#REF!,IF(P38=18,#REF!,IF(P38=19,#REF!,0)))))))))))))))))))</f>
        <v>2.0235007147719059E-3</v>
      </c>
      <c r="R38" s="505">
        <f t="shared" si="9"/>
        <v>1.7705631254254176E-3</v>
      </c>
      <c r="S38" s="483">
        <f t="shared" si="14"/>
        <v>2.1699102031726598E-2</v>
      </c>
      <c r="T38" s="483">
        <f t="shared" si="10"/>
        <v>3.0742670832561991E-4</v>
      </c>
      <c r="U38" s="489">
        <f>((1+J38)/(V37-J38*(1+W37+X37+Y37+Z37+AA37+AB37+AC37+AD37+AE37+AF37+AG37+AH37+AI37+AJ37+AK37)))-1</f>
        <v>-1.3718296438901989E-2</v>
      </c>
      <c r="V38" s="488">
        <f t="shared" si="15"/>
        <v>1.3205816891925735</v>
      </c>
      <c r="W38" s="488">
        <f t="shared" si="11"/>
        <v>0.98628170356109801</v>
      </c>
      <c r="X38" s="488">
        <f t="shared" si="16"/>
        <v>0.97563794435372331</v>
      </c>
      <c r="Y38" s="488">
        <f t="shared" si="17"/>
        <v>0.99952837831063523</v>
      </c>
      <c r="Z38" s="488">
        <f t="shared" si="18"/>
        <v>1.0233787419006908</v>
      </c>
      <c r="AA38" s="488">
        <f t="shared" si="19"/>
        <v>1.0471696607471077</v>
      </c>
      <c r="AB38" s="488">
        <f t="shared" si="20"/>
        <v>1.0711010269844674</v>
      </c>
      <c r="AC38" s="488">
        <f t="shared" si="21"/>
        <v>1.0949012942076328</v>
      </c>
      <c r="AD38" s="488">
        <f t="shared" si="22"/>
        <v>1.1192805942139707</v>
      </c>
      <c r="AE38" s="488">
        <f t="shared" si="23"/>
        <v>1.1433466319874437</v>
      </c>
      <c r="AF38" s="488">
        <f t="shared" si="24"/>
        <v>1.1670688096918485</v>
      </c>
      <c r="AG38" s="488">
        <f t="shared" si="25"/>
        <v>1.189445028064384</v>
      </c>
      <c r="AH38" s="488">
        <f t="shared" si="26"/>
        <v>1.2117095135461142</v>
      </c>
      <c r="AI38" s="488">
        <f t="shared" si="27"/>
        <v>1.2330176530753363</v>
      </c>
      <c r="AJ38" s="488">
        <f t="shared" si="28"/>
        <v>1.2538007629616947</v>
      </c>
      <c r="AK38" s="488">
        <f t="shared" si="29"/>
        <v>1.2737042396539557</v>
      </c>
      <c r="AL38" s="488">
        <f t="shared" ref="AL38:AL51" si="30">V38/V22</f>
        <v>1.2938563416791342</v>
      </c>
      <c r="AM38" s="488"/>
      <c r="AN38" s="488"/>
      <c r="AO38" s="488"/>
      <c r="AP38" s="488"/>
      <c r="AQ38" s="488"/>
      <c r="AR38" s="488"/>
      <c r="AS38" s="488"/>
      <c r="AT38" s="488"/>
      <c r="AU38" s="488"/>
      <c r="AV38" s="488"/>
      <c r="AW38" s="488"/>
      <c r="AX38" s="488"/>
      <c r="AY38" s="488"/>
    </row>
    <row r="39" spans="3:51">
      <c r="C39" s="481">
        <v>18</v>
      </c>
      <c r="D39" s="484"/>
      <c r="E39" s="492" t="str">
        <f t="shared" si="0"/>
        <v/>
      </c>
      <c r="F39" s="492">
        <f t="shared" si="1"/>
        <v>3</v>
      </c>
      <c r="G39" s="492">
        <f t="shared" si="2"/>
        <v>2.0074999999999998</v>
      </c>
      <c r="H39" s="492">
        <f t="shared" si="3"/>
        <v>1.5056250000000007</v>
      </c>
      <c r="I39" s="459">
        <f t="shared" si="12"/>
        <v>18</v>
      </c>
      <c r="J39" s="482">
        <f t="shared" si="4"/>
        <v>1.5112922666015827E-2</v>
      </c>
      <c r="K39" s="491">
        <f t="shared" si="13"/>
        <v>1.4628222334931218E-2</v>
      </c>
      <c r="L39" s="494" t="str">
        <f t="shared" si="5"/>
        <v/>
      </c>
      <c r="M39" s="483">
        <f>'All Curves'!BW32</f>
        <v>2.0724321892206826E-2</v>
      </c>
      <c r="N39" s="483" t="str">
        <f t="shared" si="6"/>
        <v/>
      </c>
      <c r="O39" s="492" t="str">
        <f t="shared" si="7"/>
        <v/>
      </c>
      <c r="P39" s="492">
        <f t="shared" si="8"/>
        <v>3</v>
      </c>
      <c r="Q39" s="492">
        <f>IF(P39=1,N38,IF(P39=2,N37,IF(P39=3,N36,IF(P39=4,N35,IF(P39=5,N34,IF(P39=6,N33,IF(P39=7,N32,IF(P39=8,N31,IF(P39=9,N30,IF(P39=10,N29,IF(P39=11,N28,IF(P39=12,N27,IF(P39=13,N26,IF(P39=14,N25,IF(P39=15,N24,IF(P39=16,N23,IF(P39=17,N22,IF(P39=18,#REF!,IF(P39=19,#REF!,0)))))))))))))))))))</f>
        <v>2.0235007147719059E-3</v>
      </c>
      <c r="R39" s="505">
        <f t="shared" si="9"/>
        <v>1.6440943307521735E-3</v>
      </c>
      <c r="S39" s="483">
        <f t="shared" si="14"/>
        <v>2.2368416222959001E-2</v>
      </c>
      <c r="T39" s="483">
        <f t="shared" si="10"/>
        <v>4.8470033108460875E-4</v>
      </c>
      <c r="U39" s="489">
        <f>((1+J39)/(V38-J39*(1+W38+X38+Y38+Z38+AA38+AB38+AC38+AD38+AE38+AF38+AG38+AH38+AI38+AJ38+AK38+AL38)))-1</f>
        <v>-1.6533395490102687E-2</v>
      </c>
      <c r="V39" s="488">
        <f t="shared" si="15"/>
        <v>1.2987479898481649</v>
      </c>
      <c r="W39" s="488">
        <f t="shared" si="11"/>
        <v>0.98346660450989731</v>
      </c>
      <c r="X39" s="488">
        <f t="shared" si="16"/>
        <v>0.96997511809147019</v>
      </c>
      <c r="Y39" s="488">
        <f t="shared" si="17"/>
        <v>0.95950733636457242</v>
      </c>
      <c r="Z39" s="488">
        <f t="shared" si="18"/>
        <v>0.98300278032844457</v>
      </c>
      <c r="AA39" s="488">
        <f t="shared" si="19"/>
        <v>1.006458816424683</v>
      </c>
      <c r="AB39" s="488">
        <f t="shared" si="20"/>
        <v>1.0298563906007392</v>
      </c>
      <c r="AC39" s="488">
        <f t="shared" si="21"/>
        <v>1.0533920900954781</v>
      </c>
      <c r="AD39" s="488">
        <f t="shared" si="22"/>
        <v>1.0767988580878729</v>
      </c>
      <c r="AE39" s="488">
        <f t="shared" si="23"/>
        <v>1.1007750854854341</v>
      </c>
      <c r="AF39" s="488">
        <f t="shared" si="24"/>
        <v>1.1244432299385183</v>
      </c>
      <c r="AG39" s="488">
        <f t="shared" si="25"/>
        <v>1.1477731994970497</v>
      </c>
      <c r="AH39" s="488">
        <f t="shared" si="26"/>
        <v>1.1697794630016591</v>
      </c>
      <c r="AI39" s="488">
        <f t="shared" si="27"/>
        <v>1.1916758409395363</v>
      </c>
      <c r="AJ39" s="488">
        <f t="shared" si="28"/>
        <v>1.2126316845707636</v>
      </c>
      <c r="AK39" s="488">
        <f t="shared" si="29"/>
        <v>1.2330711790818565</v>
      </c>
      <c r="AL39" s="488">
        <f t="shared" si="30"/>
        <v>1.2526455837223365</v>
      </c>
      <c r="AM39" s="488">
        <f t="shared" ref="AM39:AM51" si="31">V39/V22</f>
        <v>1.2724645030747759</v>
      </c>
      <c r="AN39" s="488"/>
      <c r="AO39" s="488"/>
      <c r="AP39" s="488"/>
      <c r="AQ39" s="488"/>
      <c r="AR39" s="488"/>
      <c r="AS39" s="488"/>
      <c r="AT39" s="488"/>
      <c r="AU39" s="488"/>
      <c r="AV39" s="488"/>
      <c r="AW39" s="488"/>
      <c r="AX39" s="488"/>
      <c r="AY39" s="488"/>
    </row>
    <row r="40" spans="3:51">
      <c r="C40" s="481">
        <v>19</v>
      </c>
      <c r="D40" s="484"/>
      <c r="E40" s="492" t="str">
        <f t="shared" si="0"/>
        <v/>
      </c>
      <c r="F40" s="492">
        <f t="shared" si="1"/>
        <v>4</v>
      </c>
      <c r="G40" s="492">
        <f t="shared" si="2"/>
        <v>2.0074999999999998</v>
      </c>
      <c r="H40" s="492">
        <f t="shared" si="3"/>
        <v>1.3383333333333338</v>
      </c>
      <c r="I40" s="459">
        <f t="shared" si="12"/>
        <v>19</v>
      </c>
      <c r="J40" s="482">
        <f t="shared" si="4"/>
        <v>1.3428111736111248E-2</v>
      </c>
      <c r="K40" s="491">
        <f t="shared" si="13"/>
        <v>1.2817085509202686E-2</v>
      </c>
      <c r="L40" s="494" t="str">
        <f t="shared" si="5"/>
        <v/>
      </c>
      <c r="M40" s="483">
        <f>'All Curves'!BW33</f>
        <v>2.152020891814499E-2</v>
      </c>
      <c r="N40" s="483" t="str">
        <f t="shared" si="6"/>
        <v/>
      </c>
      <c r="O40" s="492" t="str">
        <f t="shared" si="7"/>
        <v/>
      </c>
      <c r="P40" s="492">
        <f t="shared" si="8"/>
        <v>4</v>
      </c>
      <c r="Q40" s="492">
        <f>IF(P40=1,N39,IF(P40=2,N38,IF(P40=3,N37,IF(P40=4,N36,IF(P40=5,N35,IF(P40=6,N34,IF(P40=7,N33,IF(P40=8,N32,IF(P40=9,N31,IF(P40=10,N30,IF(P40=11,N29,IF(P40=12,N28,IF(P40=13,N27,IF(P40=14,N26,IF(P40=15,N25,IF(P40=16,N24,IF(P40=17,N23,IF(P40=18,N22,IF(P40=19,#REF!,0)))))))))))))))))))</f>
        <v>2.0235007147719059E-3</v>
      </c>
      <c r="R40" s="505">
        <f t="shared" si="9"/>
        <v>1.5176255360789294E-3</v>
      </c>
      <c r="S40" s="483">
        <f t="shared" si="14"/>
        <v>2.3037834454223919E-2</v>
      </c>
      <c r="T40" s="483">
        <f t="shared" si="10"/>
        <v>6.1102622690856201E-4</v>
      </c>
      <c r="U40" s="489">
        <f>((1+J40)/(V39-J40*(1+W39+X39+Y39+Z39+AA39+AB39+AC39+AD39+AE39+AF39+AG39+AH39+AI39+AJ39+AK39+AL39+AM39)))-1</f>
        <v>-1.9236099477927482E-2</v>
      </c>
      <c r="V40" s="488">
        <f t="shared" si="15"/>
        <v>1.2737651443186873</v>
      </c>
      <c r="W40" s="488">
        <f t="shared" si="11"/>
        <v>0.98076390052207252</v>
      </c>
      <c r="X40" s="488">
        <f t="shared" si="16"/>
        <v>0.96454854307232551</v>
      </c>
      <c r="Y40" s="488">
        <f t="shared" si="17"/>
        <v>0.95131658022874832</v>
      </c>
      <c r="Z40" s="488">
        <f t="shared" si="18"/>
        <v>0.94105015779246226</v>
      </c>
      <c r="AA40" s="488">
        <f t="shared" si="19"/>
        <v>0.96409364105896733</v>
      </c>
      <c r="AB40" s="488">
        <f t="shared" si="20"/>
        <v>0.98709847451150068</v>
      </c>
      <c r="AC40" s="488">
        <f t="shared" si="21"/>
        <v>1.0100459706231641</v>
      </c>
      <c r="AD40" s="488">
        <f t="shared" si="22"/>
        <v>1.0331289350611397</v>
      </c>
      <c r="AE40" s="488">
        <f t="shared" si="23"/>
        <v>1.0560854481359758</v>
      </c>
      <c r="AF40" s="488">
        <f t="shared" si="24"/>
        <v>1.0796004664382124</v>
      </c>
      <c r="AG40" s="488">
        <f t="shared" si="25"/>
        <v>1.1028133281101391</v>
      </c>
      <c r="AH40" s="488">
        <f t="shared" si="26"/>
        <v>1.1256945200534254</v>
      </c>
      <c r="AI40" s="488">
        <f t="shared" si="27"/>
        <v>1.1472774688841227</v>
      </c>
      <c r="AJ40" s="488">
        <f t="shared" si="28"/>
        <v>1.1687526459177806</v>
      </c>
      <c r="AK40" s="488">
        <f t="shared" si="29"/>
        <v>1.1893053808562737</v>
      </c>
      <c r="AL40" s="488">
        <f t="shared" si="30"/>
        <v>1.2093516992176727</v>
      </c>
      <c r="AM40" s="488">
        <f t="shared" si="31"/>
        <v>1.228549568663267</v>
      </c>
      <c r="AN40" s="488">
        <f t="shared" ref="AN40:AN51" si="32">V40/V22</f>
        <v>1.2479872493114978</v>
      </c>
      <c r="AO40" s="488"/>
      <c r="AP40" s="488"/>
      <c r="AQ40" s="488"/>
      <c r="AR40" s="488"/>
      <c r="AS40" s="488"/>
      <c r="AT40" s="488"/>
      <c r="AU40" s="488"/>
      <c r="AV40" s="488"/>
      <c r="AW40" s="488"/>
      <c r="AX40" s="488"/>
      <c r="AY40" s="488"/>
    </row>
    <row r="41" spans="3:51">
      <c r="C41" s="481">
        <v>20</v>
      </c>
      <c r="D41" s="495"/>
      <c r="E41" s="492" t="str">
        <f t="shared" si="0"/>
        <v/>
      </c>
      <c r="F41" s="492">
        <f t="shared" si="1"/>
        <v>5</v>
      </c>
      <c r="G41" s="492">
        <f t="shared" si="2"/>
        <v>2.0074999999999998</v>
      </c>
      <c r="H41" s="492">
        <f t="shared" si="3"/>
        <v>1.171041666666667</v>
      </c>
      <c r="I41" s="459">
        <f t="shared" si="12"/>
        <v>20</v>
      </c>
      <c r="J41" s="482">
        <f t="shared" si="4"/>
        <v>1.1744700131293584E-2</v>
      </c>
      <c r="K41" s="491">
        <f t="shared" si="13"/>
        <v>1.1056110928136853E-2</v>
      </c>
      <c r="L41" s="494" t="str">
        <f t="shared" si="5"/>
        <v/>
      </c>
      <c r="M41" s="483">
        <f>'All Curves'!BW34</f>
        <v>2.231085262256316E-2</v>
      </c>
      <c r="N41" s="483" t="str">
        <f t="shared" si="6"/>
        <v/>
      </c>
      <c r="O41" s="492" t="str">
        <f t="shared" si="7"/>
        <v/>
      </c>
      <c r="P41" s="492">
        <f t="shared" si="8"/>
        <v>5</v>
      </c>
      <c r="Q41" s="492">
        <f t="shared" ref="Q41:Q51" si="33">IF(P41=1,N40,IF(P41=2,N39,IF(P41=3,N38,IF(P41=4,N37,IF(P41=5,N36,IF(P41=6,N35,IF(P41=7,N34,IF(P41=8,N33,IF(P41=9,N32,IF(P41=10,N31,IF(P41=11,N30,IF(P41=12,N29,IF(P41=13,N28,IF(P41=14,N27,IF(P41=15,N26,IF(P41=16,N25,IF(P41=17,N24,IF(P41=18,N23,IF(P41=19,N22,0)))))))))))))))))))</f>
        <v>2.0235007147719059E-3</v>
      </c>
      <c r="R41" s="505">
        <f t="shared" si="9"/>
        <v>1.3911567414056853E-3</v>
      </c>
      <c r="S41" s="483">
        <f t="shared" si="14"/>
        <v>2.3702009363968844E-2</v>
      </c>
      <c r="T41" s="483">
        <f t="shared" si="10"/>
        <v>6.8858920315673089E-4</v>
      </c>
      <c r="U41" s="489">
        <f>((1+J41)/(V40-J41*(1+W40+X40+Y40+Z40+AA40+AB40+AC40+AD40+AE40+AF40+AG40+AH40+AI40+AJ40+AK40+AL40+AM40+AN40)))-1</f>
        <v>-2.1826690533273352E-2</v>
      </c>
      <c r="V41" s="488">
        <f t="shared" si="15"/>
        <v>1.2459630667015731</v>
      </c>
      <c r="W41" s="488">
        <f t="shared" si="11"/>
        <v>0.97817330946672665</v>
      </c>
      <c r="X41" s="488">
        <f t="shared" si="16"/>
        <v>0.95935707037917128</v>
      </c>
      <c r="Y41" s="488">
        <f t="shared" si="17"/>
        <v>0.94349564051836621</v>
      </c>
      <c r="Z41" s="488">
        <f t="shared" si="18"/>
        <v>0.93055248763292353</v>
      </c>
      <c r="AA41" s="488">
        <f t="shared" si="19"/>
        <v>0.92051014722203828</v>
      </c>
      <c r="AB41" s="488">
        <f t="shared" si="20"/>
        <v>0.94305066751047661</v>
      </c>
      <c r="AC41" s="488">
        <f t="shared" si="21"/>
        <v>0.96555338158247206</v>
      </c>
      <c r="AD41" s="488">
        <f t="shared" si="22"/>
        <v>0.98800000979799263</v>
      </c>
      <c r="AE41" s="488">
        <f t="shared" si="23"/>
        <v>1.0105791495145899</v>
      </c>
      <c r="AF41" s="488">
        <f t="shared" si="24"/>
        <v>1.0330345978828186</v>
      </c>
      <c r="AG41" s="488">
        <f t="shared" si="25"/>
        <v>1.056036361157688</v>
      </c>
      <c r="AH41" s="488">
        <f t="shared" si="26"/>
        <v>1.0787425628815099</v>
      </c>
      <c r="AI41" s="488">
        <f t="shared" si="27"/>
        <v>1.1011243341292176</v>
      </c>
      <c r="AJ41" s="488">
        <f t="shared" si="28"/>
        <v>1.122236198614992</v>
      </c>
      <c r="AK41" s="488">
        <f t="shared" si="29"/>
        <v>1.1432426436053889</v>
      </c>
      <c r="AL41" s="488">
        <f t="shared" si="30"/>
        <v>1.1633467803587669</v>
      </c>
      <c r="AM41" s="488">
        <f t="shared" si="31"/>
        <v>1.1829555539329604</v>
      </c>
      <c r="AN41" s="488">
        <f t="shared" si="32"/>
        <v>1.2017343974232675</v>
      </c>
      <c r="AO41" s="488">
        <f t="shared" ref="AO41:AO51" si="34">V41/V22</f>
        <v>1.2207478178313049</v>
      </c>
      <c r="AP41" s="488"/>
      <c r="AQ41" s="488"/>
      <c r="AR41" s="488"/>
      <c r="AS41" s="488"/>
      <c r="AT41" s="488"/>
      <c r="AU41" s="488"/>
      <c r="AV41" s="488"/>
      <c r="AW41" s="488"/>
      <c r="AX41" s="488"/>
      <c r="AY41" s="488"/>
    </row>
    <row r="42" spans="3:51">
      <c r="C42" s="481">
        <v>21</v>
      </c>
      <c r="D42" s="484"/>
      <c r="E42" s="492" t="str">
        <f t="shared" si="0"/>
        <v/>
      </c>
      <c r="F42" s="492">
        <f t="shared" si="1"/>
        <v>6</v>
      </c>
      <c r="G42" s="492">
        <f t="shared" si="2"/>
        <v>2.0074999999999998</v>
      </c>
      <c r="H42" s="492">
        <f t="shared" si="3"/>
        <v>1.0037500000000001</v>
      </c>
      <c r="I42" s="459">
        <f t="shared" si="12"/>
        <v>21</v>
      </c>
      <c r="J42" s="482">
        <f t="shared" si="4"/>
        <v>1.0062687851562613E-2</v>
      </c>
      <c r="K42" s="491">
        <f t="shared" si="13"/>
        <v>9.3434706987736149E-3</v>
      </c>
      <c r="L42" s="494" t="str">
        <f t="shared" si="5"/>
        <v/>
      </c>
      <c r="M42" s="483">
        <f>'All Curves'!BW35</f>
        <v>2.3091802648374279E-2</v>
      </c>
      <c r="N42" s="483" t="str">
        <f t="shared" si="6"/>
        <v/>
      </c>
      <c r="O42" s="492" t="str">
        <f t="shared" si="7"/>
        <v/>
      </c>
      <c r="P42" s="492">
        <f t="shared" si="8"/>
        <v>6</v>
      </c>
      <c r="Q42" s="492">
        <f t="shared" si="33"/>
        <v>2.0235007147719059E-3</v>
      </c>
      <c r="R42" s="505">
        <f t="shared" si="9"/>
        <v>1.2646879467324412E-3</v>
      </c>
      <c r="S42" s="483">
        <f t="shared" si="14"/>
        <v>2.4356490595106722E-2</v>
      </c>
      <c r="T42" s="483">
        <f t="shared" si="10"/>
        <v>7.1921715278899789E-4</v>
      </c>
      <c r="U42" s="489">
        <f>((1+J42)/(V41-J42*(1+W41+X41+Y41+Z41+AA41+AB41+AC41+AD41+AE41+AF41+AG41+AH41+AI41+AJ41+AK41+AL41+AM41+AN41+AO41)))-1</f>
        <v>-2.4306597127064844E-2</v>
      </c>
      <c r="V42" s="488">
        <f t="shared" si="15"/>
        <v>1.2156779444040557</v>
      </c>
      <c r="W42" s="488">
        <f t="shared" si="11"/>
        <v>0.97569340287293516</v>
      </c>
      <c r="X42" s="488">
        <f t="shared" si="16"/>
        <v>0.95439724491307132</v>
      </c>
      <c r="Y42" s="488">
        <f t="shared" si="17"/>
        <v>0.93603836456846357</v>
      </c>
      <c r="Z42" s="488">
        <f t="shared" si="18"/>
        <v>0.92056247209314424</v>
      </c>
      <c r="AA42" s="488">
        <f t="shared" si="19"/>
        <v>0.90793392321044208</v>
      </c>
      <c r="AB42" s="488">
        <f t="shared" si="20"/>
        <v>0.898135677922137</v>
      </c>
      <c r="AC42" s="488">
        <f t="shared" si="21"/>
        <v>0.92012831486488988</v>
      </c>
      <c r="AD42" s="488">
        <f t="shared" si="22"/>
        <v>0.94208406453167182</v>
      </c>
      <c r="AE42" s="488">
        <f t="shared" si="23"/>
        <v>0.96398509159829671</v>
      </c>
      <c r="AF42" s="488">
        <f t="shared" si="24"/>
        <v>0.986015409262327</v>
      </c>
      <c r="AG42" s="488">
        <f t="shared" si="25"/>
        <v>1.0079250420937615</v>
      </c>
      <c r="AH42" s="488">
        <f t="shared" si="26"/>
        <v>1.0303677107754965</v>
      </c>
      <c r="AI42" s="488">
        <f t="shared" si="27"/>
        <v>1.0525220020017316</v>
      </c>
      <c r="AJ42" s="488">
        <f t="shared" si="28"/>
        <v>1.0743597485527312</v>
      </c>
      <c r="AK42" s="488">
        <f t="shared" si="29"/>
        <v>1.0949584554538487</v>
      </c>
      <c r="AL42" s="488">
        <f t="shared" si="30"/>
        <v>1.1154543052487922</v>
      </c>
      <c r="AM42" s="488">
        <f t="shared" si="31"/>
        <v>1.1350697788495185</v>
      </c>
      <c r="AN42" s="488">
        <f t="shared" si="32"/>
        <v>1.154201929864288</v>
      </c>
      <c r="AO42" s="488">
        <f t="shared" si="34"/>
        <v>1.1725243235713643</v>
      </c>
      <c r="AP42" s="488">
        <f t="shared" ref="AP42:AP51" si="35">V42/V22</f>
        <v>1.1910755924295358</v>
      </c>
      <c r="AQ42" s="488"/>
      <c r="AR42" s="488"/>
      <c r="AS42" s="488"/>
      <c r="AT42" s="488"/>
      <c r="AU42" s="488"/>
      <c r="AV42" s="488"/>
      <c r="AW42" s="488"/>
      <c r="AX42" s="488"/>
      <c r="AY42" s="488"/>
    </row>
    <row r="43" spans="3:51">
      <c r="C43" s="481">
        <v>22</v>
      </c>
      <c r="D43" s="484"/>
      <c r="E43" s="492" t="str">
        <f t="shared" si="0"/>
        <v/>
      </c>
      <c r="F43" s="492">
        <f t="shared" si="1"/>
        <v>7</v>
      </c>
      <c r="G43" s="492">
        <f t="shared" si="2"/>
        <v>2.0074999999999998</v>
      </c>
      <c r="H43" s="492">
        <f t="shared" si="3"/>
        <v>0.83645833333333341</v>
      </c>
      <c r="I43" s="459">
        <f t="shared" si="12"/>
        <v>22</v>
      </c>
      <c r="J43" s="482">
        <f t="shared" si="4"/>
        <v>8.3820748969185566E-3</v>
      </c>
      <c r="K43" s="491">
        <f t="shared" si="13"/>
        <v>7.6775648897442483E-3</v>
      </c>
      <c r="L43" s="494" t="str">
        <f t="shared" si="5"/>
        <v/>
      </c>
      <c r="M43" s="483">
        <f>'All Curves'!BW36</f>
        <v>2.3859392049639799E-2</v>
      </c>
      <c r="N43" s="483" t="str">
        <f t="shared" si="6"/>
        <v/>
      </c>
      <c r="O43" s="492" t="str">
        <f t="shared" si="7"/>
        <v/>
      </c>
      <c r="P43" s="492">
        <f t="shared" si="8"/>
        <v>7</v>
      </c>
      <c r="Q43" s="492">
        <f t="shared" si="33"/>
        <v>2.0235007147719059E-3</v>
      </c>
      <c r="R43" s="505">
        <f t="shared" si="9"/>
        <v>1.138219152059197E-3</v>
      </c>
      <c r="S43" s="483">
        <f t="shared" si="14"/>
        <v>2.4997611201698997E-2</v>
      </c>
      <c r="T43" s="483">
        <f t="shared" si="10"/>
        <v>7.0451000717430823E-4</v>
      </c>
      <c r="U43" s="489">
        <f>((1+J43)/(V42-J43*(1+W42+X42+Y42+Z42+AA42+AB42+AC42+AD42+AE42+AF42+AG42+AH42+AI42+AJ42+AK42+AL42+AM42+AN42+AO42+AP42)))-1</f>
        <v>-2.6678244829466569E-2</v>
      </c>
      <c r="V43" s="488">
        <f t="shared" si="15"/>
        <v>1.1832457905694618</v>
      </c>
      <c r="W43" s="488">
        <f t="shared" si="11"/>
        <v>0.97332175517053343</v>
      </c>
      <c r="X43" s="488">
        <f t="shared" si="16"/>
        <v>0.94966361539259569</v>
      </c>
      <c r="Y43" s="488">
        <f t="shared" si="17"/>
        <v>0.92893560154871202</v>
      </c>
      <c r="Z43" s="488">
        <f t="shared" si="18"/>
        <v>0.91106650390873267</v>
      </c>
      <c r="AA43" s="488">
        <f t="shared" si="19"/>
        <v>0.89600348108182448</v>
      </c>
      <c r="AB43" s="488">
        <f t="shared" si="20"/>
        <v>0.88371183971805589</v>
      </c>
      <c r="AC43" s="488">
        <f t="shared" si="21"/>
        <v>0.87417499441645141</v>
      </c>
      <c r="AD43" s="488">
        <f t="shared" si="22"/>
        <v>0.89558090640639998</v>
      </c>
      <c r="AE43" s="488">
        <f t="shared" si="23"/>
        <v>0.91695091520815697</v>
      </c>
      <c r="AF43" s="488">
        <f t="shared" si="24"/>
        <v>0.93826766131268169</v>
      </c>
      <c r="AG43" s="488">
        <f t="shared" si="25"/>
        <v>0.95971024876839994</v>
      </c>
      <c r="AH43" s="488">
        <f t="shared" si="26"/>
        <v>0.98103537105103389</v>
      </c>
      <c r="AI43" s="488">
        <f t="shared" si="27"/>
        <v>1.0028793087230508</v>
      </c>
      <c r="AJ43" s="488">
        <f t="shared" si="28"/>
        <v>1.0244425623439291</v>
      </c>
      <c r="AK43" s="488">
        <f t="shared" si="29"/>
        <v>1.0456977161459173</v>
      </c>
      <c r="AL43" s="488">
        <f t="shared" si="30"/>
        <v>1.0657468857011563</v>
      </c>
      <c r="AM43" s="488">
        <f t="shared" si="31"/>
        <v>1.0856959421972825</v>
      </c>
      <c r="AN43" s="488">
        <f t="shared" si="32"/>
        <v>1.1047881093908427</v>
      </c>
      <c r="AO43" s="488">
        <f t="shared" si="34"/>
        <v>1.1234098481967258</v>
      </c>
      <c r="AP43" s="488">
        <f t="shared" si="35"/>
        <v>1.1412434325986227</v>
      </c>
      <c r="AQ43" s="488">
        <f t="shared" ref="AQ43:AQ51" si="36">V43/V22</f>
        <v>1.1592997861642989</v>
      </c>
      <c r="AR43" s="488"/>
      <c r="AS43" s="488"/>
      <c r="AT43" s="488"/>
      <c r="AU43" s="488"/>
      <c r="AV43" s="488"/>
      <c r="AW43" s="488"/>
      <c r="AX43" s="488"/>
      <c r="AY43" s="488"/>
    </row>
    <row r="44" spans="3:51">
      <c r="C44" s="481">
        <v>23</v>
      </c>
      <c r="D44" s="484"/>
      <c r="E44" s="492" t="str">
        <f t="shared" si="0"/>
        <v/>
      </c>
      <c r="F44" s="492">
        <f t="shared" si="1"/>
        <v>8</v>
      </c>
      <c r="G44" s="492">
        <f t="shared" si="2"/>
        <v>2.0074999999999998</v>
      </c>
      <c r="H44" s="492">
        <f t="shared" si="3"/>
        <v>0.66916666666666669</v>
      </c>
      <c r="I44" s="459">
        <f t="shared" si="12"/>
        <v>23</v>
      </c>
      <c r="J44" s="482">
        <f t="shared" si="4"/>
        <v>6.7028612673611931E-3</v>
      </c>
      <c r="K44" s="491">
        <f t="shared" si="13"/>
        <v>6.0569330886726114E-3</v>
      </c>
      <c r="L44" s="494" t="str">
        <f t="shared" si="5"/>
        <v/>
      </c>
      <c r="M44" s="483">
        <f>'All Curves'!BW37</f>
        <v>2.4610636535689637E-2</v>
      </c>
      <c r="N44" s="483" t="str">
        <f t="shared" si="6"/>
        <v/>
      </c>
      <c r="O44" s="492" t="str">
        <f t="shared" si="7"/>
        <v/>
      </c>
      <c r="P44" s="492">
        <f t="shared" si="8"/>
        <v>8</v>
      </c>
      <c r="Q44" s="492">
        <f t="shared" si="33"/>
        <v>2.0235007147719059E-3</v>
      </c>
      <c r="R44" s="505">
        <f t="shared" si="9"/>
        <v>1.0117503573859529E-3</v>
      </c>
      <c r="S44" s="483">
        <f t="shared" si="14"/>
        <v>2.562238689307559E-2</v>
      </c>
      <c r="T44" s="483">
        <f t="shared" si="10"/>
        <v>6.4592817868858177E-4</v>
      </c>
      <c r="U44" s="489">
        <f>((1+J44)/(V43-J44*(1+W43+X43+Y43+Z43+AA43+AB43+AC43+AD43+AE43+AF43+AG43+AH43+AI43+AJ43+AK43+AL43+AM43+AN43+AO43+AP43+AQ43)))-1</f>
        <v>-2.8944902640552383E-2</v>
      </c>
      <c r="V44" s="488">
        <f t="shared" si="15"/>
        <v>1.1489968563615853</v>
      </c>
      <c r="W44" s="488">
        <f t="shared" si="11"/>
        <v>0.97105509735944762</v>
      </c>
      <c r="X44" s="488">
        <f t="shared" si="16"/>
        <v>0.94514905172919084</v>
      </c>
      <c r="Y44" s="488">
        <f t="shared" si="17"/>
        <v>0.92217569450378212</v>
      </c>
      <c r="Z44" s="488">
        <f t="shared" si="18"/>
        <v>0.90204765100254169</v>
      </c>
      <c r="AA44" s="488">
        <f t="shared" si="19"/>
        <v>0.88469577265402599</v>
      </c>
      <c r="AB44" s="488">
        <f t="shared" si="20"/>
        <v>0.87006874755631503</v>
      </c>
      <c r="AC44" s="488">
        <f t="shared" si="21"/>
        <v>0.85813288655511333</v>
      </c>
      <c r="AD44" s="488">
        <f t="shared" si="22"/>
        <v>0.8488720843122618</v>
      </c>
      <c r="AE44" s="488">
        <f t="shared" si="23"/>
        <v>0.86965840426372909</v>
      </c>
      <c r="AF44" s="488">
        <f t="shared" si="24"/>
        <v>0.89040986024129143</v>
      </c>
      <c r="AG44" s="488">
        <f t="shared" si="25"/>
        <v>0.9111095952052074</v>
      </c>
      <c r="AH44" s="488">
        <f t="shared" si="26"/>
        <v>0.93193152905465837</v>
      </c>
      <c r="AI44" s="488">
        <f t="shared" si="27"/>
        <v>0.95263939774902351</v>
      </c>
      <c r="AJ44" s="488">
        <f t="shared" si="28"/>
        <v>0.97385106477183769</v>
      </c>
      <c r="AK44" s="488">
        <f t="shared" si="29"/>
        <v>0.99479017211604615</v>
      </c>
      <c r="AL44" s="488">
        <f t="shared" si="30"/>
        <v>1.0154300975606259</v>
      </c>
      <c r="AM44" s="488">
        <f t="shared" si="31"/>
        <v>1.0348989458550646</v>
      </c>
      <c r="AN44" s="488">
        <f t="shared" si="32"/>
        <v>1.0542705788531392</v>
      </c>
      <c r="AO44" s="488">
        <f t="shared" si="34"/>
        <v>1.0728101251260849</v>
      </c>
      <c r="AP44" s="488">
        <f t="shared" si="35"/>
        <v>1.0908928595152341</v>
      </c>
      <c r="AQ44" s="488">
        <f t="shared" si="36"/>
        <v>1.1082102525528859</v>
      </c>
      <c r="AR44" s="488">
        <f t="shared" ref="AR44:AR51" si="37">V44/V22</f>
        <v>1.1257439667225599</v>
      </c>
      <c r="AS44" s="488"/>
      <c r="AT44" s="488"/>
      <c r="AU44" s="488"/>
      <c r="AV44" s="488"/>
      <c r="AW44" s="488"/>
      <c r="AX44" s="488"/>
      <c r="AY44" s="488"/>
    </row>
    <row r="45" spans="3:51">
      <c r="C45" s="481">
        <v>24</v>
      </c>
      <c r="D45" s="484"/>
      <c r="E45" s="492" t="str">
        <f t="shared" si="0"/>
        <v/>
      </c>
      <c r="F45" s="492">
        <f t="shared" si="1"/>
        <v>9</v>
      </c>
      <c r="G45" s="492">
        <f t="shared" si="2"/>
        <v>2.0074999999999998</v>
      </c>
      <c r="H45" s="492">
        <f t="shared" si="3"/>
        <v>0.50187499999999996</v>
      </c>
      <c r="I45" s="459">
        <f t="shared" si="12"/>
        <v>24</v>
      </c>
      <c r="J45" s="482">
        <f t="shared" si="4"/>
        <v>5.0250469628907446E-3</v>
      </c>
      <c r="K45" s="491">
        <f t="shared" si="13"/>
        <v>4.4801946298875794E-3</v>
      </c>
      <c r="L45" s="494" t="str">
        <f t="shared" si="5"/>
        <v/>
      </c>
      <c r="M45" s="483">
        <f>'All Curves'!BW38</f>
        <v>2.5343145188714181E-2</v>
      </c>
      <c r="N45" s="483" t="str">
        <f t="shared" si="6"/>
        <v/>
      </c>
      <c r="O45" s="492" t="str">
        <f t="shared" si="7"/>
        <v/>
      </c>
      <c r="P45" s="492">
        <f t="shared" si="8"/>
        <v>9</v>
      </c>
      <c r="Q45" s="492">
        <f t="shared" si="33"/>
        <v>2.0235007147719059E-3</v>
      </c>
      <c r="R45" s="505">
        <f t="shared" si="9"/>
        <v>8.8528156271270881E-4</v>
      </c>
      <c r="S45" s="483">
        <f t="shared" si="14"/>
        <v>2.6228426751426889E-2</v>
      </c>
      <c r="T45" s="483">
        <f t="shared" si="10"/>
        <v>5.4485233300316516E-4</v>
      </c>
      <c r="U45" s="489">
        <f>((1+J45)/(V44-J45*(1+W44+X44+Y44+Z44+AA44+AB44+AC44+AD44+AE44+AF44+AG44+AH44+AI44+AJ44+AK44+AL44+AM44+AN44+AO44+AP44+AQ44+AR44)))-1</f>
        <v>-3.1110530815660176E-2</v>
      </c>
      <c r="V45" s="488">
        <f t="shared" si="15"/>
        <v>1.1132509542546516</v>
      </c>
      <c r="W45" s="488">
        <f t="shared" si="11"/>
        <v>0.96888946918433982</v>
      </c>
      <c r="X45" s="488">
        <f t="shared" si="16"/>
        <v>0.94084505782934269</v>
      </c>
      <c r="Y45" s="488">
        <f t="shared" si="17"/>
        <v>0.91574496302997788</v>
      </c>
      <c r="Z45" s="488">
        <f t="shared" si="18"/>
        <v>0.89348631914246934</v>
      </c>
      <c r="AA45" s="488">
        <f t="shared" si="19"/>
        <v>0.87398446975883326</v>
      </c>
      <c r="AB45" s="488">
        <f t="shared" si="20"/>
        <v>0.85717241755638862</v>
      </c>
      <c r="AC45" s="488">
        <f t="shared" si="21"/>
        <v>0.84300044697372145</v>
      </c>
      <c r="AD45" s="488">
        <f t="shared" si="22"/>
        <v>0.83143591694400909</v>
      </c>
      <c r="AE45" s="488">
        <f t="shared" si="23"/>
        <v>0.82246322317471154</v>
      </c>
      <c r="AF45" s="488">
        <f t="shared" si="24"/>
        <v>0.84260286967878451</v>
      </c>
      <c r="AG45" s="488">
        <f t="shared" si="25"/>
        <v>0.86270873684568716</v>
      </c>
      <c r="AH45" s="488">
        <f t="shared" si="26"/>
        <v>0.88276449206713214</v>
      </c>
      <c r="AI45" s="488">
        <f t="shared" si="27"/>
        <v>0.90293864450191819</v>
      </c>
      <c r="AJ45" s="488">
        <f t="shared" si="28"/>
        <v>0.92300228040914067</v>
      </c>
      <c r="AK45" s="488">
        <f t="shared" si="29"/>
        <v>0.94355404121138997</v>
      </c>
      <c r="AL45" s="488">
        <f t="shared" si="30"/>
        <v>0.963841721811314</v>
      </c>
      <c r="AM45" s="488">
        <f t="shared" si="31"/>
        <v>0.98383952821931731</v>
      </c>
      <c r="AN45" s="488">
        <f t="shared" si="32"/>
        <v>1.0027026903089464</v>
      </c>
      <c r="AO45" s="488">
        <f t="shared" si="34"/>
        <v>1.0214716615216848</v>
      </c>
      <c r="AP45" s="488">
        <f t="shared" si="35"/>
        <v>1.0394344326689975</v>
      </c>
      <c r="AQ45" s="488">
        <f t="shared" si="36"/>
        <v>1.0569546035927018</v>
      </c>
      <c r="AR45" s="488">
        <f t="shared" si="37"/>
        <v>1.0737332433406088</v>
      </c>
      <c r="AS45" s="488">
        <f t="shared" ref="AS45:AS51" si="38">V45/V22</f>
        <v>1.0907214743552944</v>
      </c>
      <c r="AT45" s="488"/>
      <c r="AU45" s="488"/>
      <c r="AV45" s="488"/>
      <c r="AW45" s="488"/>
      <c r="AX45" s="488"/>
      <c r="AY45" s="488"/>
    </row>
    <row r="46" spans="3:51">
      <c r="C46" s="481">
        <v>25</v>
      </c>
      <c r="D46" s="495"/>
      <c r="E46" s="492" t="str">
        <f t="shared" si="0"/>
        <v/>
      </c>
      <c r="F46" s="492">
        <f t="shared" si="1"/>
        <v>10</v>
      </c>
      <c r="G46" s="492">
        <f t="shared" si="2"/>
        <v>2.0074999999999998</v>
      </c>
      <c r="H46" s="492">
        <f t="shared" si="3"/>
        <v>0.33458333333333329</v>
      </c>
      <c r="I46" s="459">
        <f t="shared" si="12"/>
        <v>25</v>
      </c>
      <c r="J46" s="482">
        <f t="shared" si="4"/>
        <v>3.3486319835069889E-3</v>
      </c>
      <c r="K46" s="491">
        <f t="shared" si="13"/>
        <v>2.9460092380413361E-3</v>
      </c>
      <c r="L46" s="494" t="str">
        <f t="shared" si="5"/>
        <v/>
      </c>
      <c r="M46" s="483">
        <f>'All Curves'!BW39</f>
        <v>2.6055041430295064E-2</v>
      </c>
      <c r="N46" s="483" t="str">
        <f t="shared" si="6"/>
        <v/>
      </c>
      <c r="O46" s="492" t="str">
        <f t="shared" si="7"/>
        <v/>
      </c>
      <c r="P46" s="492">
        <f t="shared" si="8"/>
        <v>10</v>
      </c>
      <c r="Q46" s="492">
        <f t="shared" si="33"/>
        <v>2.0235007147719059E-3</v>
      </c>
      <c r="R46" s="505">
        <f t="shared" si="9"/>
        <v>7.5881276803946469E-4</v>
      </c>
      <c r="S46" s="483">
        <f t="shared" si="14"/>
        <v>2.6813854198334527E-2</v>
      </c>
      <c r="T46" s="483">
        <f t="shared" si="10"/>
        <v>4.026227454656528E-4</v>
      </c>
      <c r="U46" s="489">
        <f>((1+J46)/(V45-J46*(1+W45+X45+Y45+Z45+AA45+AB45+AC45+AD45+AE45+AF45+AG45+AH45+AI45+AJ45+AK45+AL45+AM45+AN45+AO45+AP45+AQ45+AR45+AS45)))-1</f>
        <v>-3.3179634941354452E-2</v>
      </c>
      <c r="V46" s="488">
        <f t="shared" si="15"/>
        <v>1.0763136939943678</v>
      </c>
      <c r="W46" s="488">
        <f t="shared" si="11"/>
        <v>0.96682036505864555</v>
      </c>
      <c r="X46" s="488">
        <f t="shared" si="16"/>
        <v>0.93674207029828083</v>
      </c>
      <c r="Y46" s="488">
        <f t="shared" si="17"/>
        <v>0.90962816227418763</v>
      </c>
      <c r="Z46" s="488">
        <f t="shared" si="18"/>
        <v>0.88536087945725916</v>
      </c>
      <c r="AA46" s="488">
        <f t="shared" si="19"/>
        <v>0.86384076924822772</v>
      </c>
      <c r="AB46" s="488">
        <f t="shared" si="20"/>
        <v>0.844985984107822</v>
      </c>
      <c r="AC46" s="488">
        <f t="shared" si="21"/>
        <v>0.82873174966006946</v>
      </c>
      <c r="AD46" s="488">
        <f t="shared" si="22"/>
        <v>0.81502999988773484</v>
      </c>
      <c r="AE46" s="488">
        <f t="shared" si="23"/>
        <v>0.80384917674267664</v>
      </c>
      <c r="AF46" s="488">
        <f t="shared" si="24"/>
        <v>0.79517419367708486</v>
      </c>
      <c r="AG46" s="488">
        <f t="shared" si="25"/>
        <v>0.81464561406230485</v>
      </c>
      <c r="AH46" s="488">
        <f t="shared" si="26"/>
        <v>0.83408437589643025</v>
      </c>
      <c r="AI46" s="488">
        <f t="shared" si="27"/>
        <v>0.85347468848115449</v>
      </c>
      <c r="AJ46" s="488">
        <f t="shared" si="28"/>
        <v>0.87297946990290309</v>
      </c>
      <c r="AK46" s="488">
        <f t="shared" si="29"/>
        <v>0.89237740169512769</v>
      </c>
      <c r="AL46" s="488">
        <f t="shared" si="30"/>
        <v>0.91224726257655642</v>
      </c>
      <c r="AM46" s="488">
        <f t="shared" si="31"/>
        <v>0.93186180534036822</v>
      </c>
      <c r="AN46" s="488">
        <f t="shared" si="32"/>
        <v>0.95119609183212595</v>
      </c>
      <c r="AO46" s="488">
        <f t="shared" si="34"/>
        <v>0.96943338108978161</v>
      </c>
      <c r="AP46" s="488">
        <f t="shared" si="35"/>
        <v>0.9875796046894566</v>
      </c>
      <c r="AQ46" s="488">
        <f t="shared" si="36"/>
        <v>1.0049463776475664</v>
      </c>
      <c r="AR46" s="488">
        <f t="shared" si="37"/>
        <v>1.0218852356959118</v>
      </c>
      <c r="AS46" s="488">
        <f t="shared" si="38"/>
        <v>1.038107166302171</v>
      </c>
      <c r="AT46" s="488">
        <f t="shared" ref="AT46:AT51" si="39">V46/V22</f>
        <v>1.0545317340134899</v>
      </c>
      <c r="AU46" s="488"/>
      <c r="AV46" s="488"/>
      <c r="AW46" s="488"/>
      <c r="AX46" s="488"/>
      <c r="AY46" s="488"/>
    </row>
    <row r="47" spans="3:51">
      <c r="C47" s="481">
        <v>26</v>
      </c>
      <c r="D47" s="484"/>
      <c r="E47" s="492" t="str">
        <f t="shared" si="0"/>
        <v/>
      </c>
      <c r="F47" s="492">
        <f t="shared" si="1"/>
        <v>11</v>
      </c>
      <c r="G47" s="492">
        <f t="shared" si="2"/>
        <v>2.0074999999999998</v>
      </c>
      <c r="H47" s="492">
        <f t="shared" si="3"/>
        <v>0.16729166666666664</v>
      </c>
      <c r="I47" s="459">
        <f t="shared" si="12"/>
        <v>26</v>
      </c>
      <c r="J47" s="482">
        <f t="shared" si="4"/>
        <v>1.673616329210148E-3</v>
      </c>
      <c r="K47" s="491">
        <f t="shared" si="13"/>
        <v>1.4530522233147103E-3</v>
      </c>
      <c r="L47" s="494" t="str">
        <f t="shared" si="5"/>
        <v/>
      </c>
      <c r="M47" s="483">
        <f>'All Curves'!BW40</f>
        <v>2.6744893137894507E-2</v>
      </c>
      <c r="N47" s="483" t="str">
        <f t="shared" si="6"/>
        <v/>
      </c>
      <c r="O47" s="492" t="str">
        <f t="shared" si="7"/>
        <v/>
      </c>
      <c r="P47" s="492">
        <f t="shared" si="8"/>
        <v>11</v>
      </c>
      <c r="Q47" s="492">
        <f t="shared" si="33"/>
        <v>2.0235007147719059E-3</v>
      </c>
      <c r="R47" s="505">
        <f t="shared" si="9"/>
        <v>6.3234397336622058E-4</v>
      </c>
      <c r="S47" s="483">
        <f t="shared" si="14"/>
        <v>2.7377237111260729E-2</v>
      </c>
      <c r="T47" s="483">
        <f t="shared" si="10"/>
        <v>2.2056410589543773E-4</v>
      </c>
      <c r="U47" s="489">
        <f>((1+J47)/(V46-J47*(1+W46+X46+Y46+Z46+AA46+AB46+AC46+AD46+AE46+AF46+AG46+AH46+AI46+AJ46+AK46+AL46+AM46+AN46+AO46+AP46+AQ46+AR46+AS46+AT46)))-1</f>
        <v>-3.5157129833721101E-2</v>
      </c>
      <c r="V47" s="488">
        <f t="shared" si="15"/>
        <v>1.0384735937127958</v>
      </c>
      <c r="W47" s="488">
        <f t="shared" si="11"/>
        <v>0.9648428701662789</v>
      </c>
      <c r="X47" s="488">
        <f t="shared" si="16"/>
        <v>0.93282973595839314</v>
      </c>
      <c r="Y47" s="488">
        <f t="shared" si="17"/>
        <v>0.90380890771209543</v>
      </c>
      <c r="Z47" s="488">
        <f t="shared" si="18"/>
        <v>0.87764824687270482</v>
      </c>
      <c r="AA47" s="488">
        <f t="shared" si="19"/>
        <v>0.85423413206848275</v>
      </c>
      <c r="AB47" s="488">
        <f t="shared" si="20"/>
        <v>0.83347060716810628</v>
      </c>
      <c r="AC47" s="488">
        <f t="shared" si="21"/>
        <v>0.8152787021568686</v>
      </c>
      <c r="AD47" s="488">
        <f t="shared" si="22"/>
        <v>0.7995959199399435</v>
      </c>
      <c r="AE47" s="488">
        <f t="shared" si="23"/>
        <v>0.78637588436330397</v>
      </c>
      <c r="AF47" s="488">
        <f t="shared" si="24"/>
        <v>0.77558814686920452</v>
      </c>
      <c r="AG47" s="488">
        <f t="shared" si="25"/>
        <v>0.76721815130955506</v>
      </c>
      <c r="AH47" s="488">
        <f t="shared" si="26"/>
        <v>0.7860050124402449</v>
      </c>
      <c r="AI47" s="488">
        <f t="shared" si="27"/>
        <v>0.80476036320076116</v>
      </c>
      <c r="AJ47" s="488">
        <f t="shared" si="28"/>
        <v>0.82346896804842784</v>
      </c>
      <c r="AK47" s="488">
        <f t="shared" si="29"/>
        <v>0.8422880173373537</v>
      </c>
      <c r="AL47" s="488">
        <f t="shared" si="30"/>
        <v>0.86100397352305336</v>
      </c>
      <c r="AM47" s="488">
        <f t="shared" si="31"/>
        <v>0.88017526712569572</v>
      </c>
      <c r="AN47" s="488">
        <f t="shared" si="32"/>
        <v>0.89910021886293101</v>
      </c>
      <c r="AO47" s="488">
        <f t="shared" si="34"/>
        <v>0.91775476733425576</v>
      </c>
      <c r="AP47" s="488">
        <f t="shared" si="35"/>
        <v>0.93535088584566484</v>
      </c>
      <c r="AQ47" s="488">
        <f t="shared" si="36"/>
        <v>0.9528591403062544</v>
      </c>
      <c r="AR47" s="488">
        <f t="shared" si="37"/>
        <v>0.96961534737268307</v>
      </c>
      <c r="AS47" s="488">
        <f t="shared" si="38"/>
        <v>0.98595868378938789</v>
      </c>
      <c r="AT47" s="488">
        <f t="shared" si="39"/>
        <v>1.0016102978751691</v>
      </c>
      <c r="AU47" s="488">
        <f>V47/V22</f>
        <v>1.0174574249269985</v>
      </c>
      <c r="AV47" s="488"/>
      <c r="AW47" s="488"/>
      <c r="AX47" s="488"/>
      <c r="AY47" s="488"/>
    </row>
    <row r="48" spans="3:51">
      <c r="C48" s="481">
        <v>27</v>
      </c>
      <c r="D48" s="484"/>
      <c r="E48" s="492" t="str">
        <f t="shared" si="0"/>
        <v/>
      </c>
      <c r="F48" s="492">
        <f t="shared" si="1"/>
        <v>12</v>
      </c>
      <c r="G48" s="492">
        <f t="shared" si="2"/>
        <v>0</v>
      </c>
      <c r="H48" s="492">
        <f t="shared" si="3"/>
        <v>0</v>
      </c>
      <c r="I48" s="459">
        <f t="shared" si="12"/>
        <v>27</v>
      </c>
      <c r="J48" s="482">
        <f t="shared" si="4"/>
        <v>0</v>
      </c>
      <c r="K48" s="491">
        <f t="shared" si="13"/>
        <v>0</v>
      </c>
      <c r="L48" s="494" t="str">
        <f t="shared" si="5"/>
        <v/>
      </c>
      <c r="M48" s="483">
        <f>'All Curves'!BW41</f>
        <v>2.7411650925343159E-2</v>
      </c>
      <c r="N48" s="483" t="str">
        <f t="shared" si="6"/>
        <v/>
      </c>
      <c r="O48" s="492" t="str">
        <f t="shared" si="7"/>
        <v/>
      </c>
      <c r="P48" s="492">
        <f t="shared" si="8"/>
        <v>12</v>
      </c>
      <c r="Q48" s="492">
        <f t="shared" si="33"/>
        <v>2.0235007147719059E-3</v>
      </c>
      <c r="R48" s="505">
        <f t="shared" si="9"/>
        <v>5.0587517869297646E-4</v>
      </c>
      <c r="S48" s="483">
        <f t="shared" si="14"/>
        <v>2.7917526104036135E-2</v>
      </c>
      <c r="T48" s="483">
        <f t="shared" si="10"/>
        <v>0</v>
      </c>
      <c r="U48" s="489">
        <f>((1+J48)/(V47-J48*(1+W47+X47+Y47+Z47+AA47+AB47+AC47+AD47+AE47+AF47+AG47+AH47+AI47+AJ47+AK47+AL47+AM47+AN47+AO47+AP47+AQ47+AR47+AS47+AT47+AU47)))-1</f>
        <v>-3.7048215713645027E-2</v>
      </c>
      <c r="V48" s="488">
        <f t="shared" si="15"/>
        <v>1</v>
      </c>
      <c r="W48" s="488">
        <f t="shared" si="11"/>
        <v>0.96295178428635497</v>
      </c>
      <c r="X48" s="488">
        <f t="shared" si="16"/>
        <v>0.92909716338258619</v>
      </c>
      <c r="Y48" s="488">
        <f t="shared" si="17"/>
        <v>0.898270058676504</v>
      </c>
      <c r="Z48" s="488">
        <f t="shared" si="18"/>
        <v>0.87032440033526381</v>
      </c>
      <c r="AA48" s="488">
        <f t="shared" si="19"/>
        <v>0.84513294530186256</v>
      </c>
      <c r="AB48" s="488">
        <f t="shared" si="20"/>
        <v>0.82258628167365133</v>
      </c>
      <c r="AC48" s="488">
        <f t="shared" si="21"/>
        <v>0.80259200832275956</v>
      </c>
      <c r="AD48" s="488">
        <f t="shared" si="22"/>
        <v>0.78507408093262043</v>
      </c>
      <c r="AE48" s="488">
        <f t="shared" si="23"/>
        <v>0.76997231781425801</v>
      </c>
      <c r="AF48" s="488">
        <f t="shared" si="24"/>
        <v>0.75724206096740398</v>
      </c>
      <c r="AG48" s="488">
        <f t="shared" si="25"/>
        <v>0.74685398989904805</v>
      </c>
      <c r="AH48" s="488">
        <f t="shared" si="26"/>
        <v>0.73879408774041477</v>
      </c>
      <c r="AI48" s="488">
        <f t="shared" si="27"/>
        <v>0.7568849291873524</v>
      </c>
      <c r="AJ48" s="488">
        <f t="shared" si="28"/>
        <v>0.77494542766710806</v>
      </c>
      <c r="AK48" s="488">
        <f t="shared" si="29"/>
        <v>0.79296091208667707</v>
      </c>
      <c r="AL48" s="488">
        <f t="shared" si="30"/>
        <v>0.81108274917802103</v>
      </c>
      <c r="AM48" s="488">
        <f t="shared" si="31"/>
        <v>0.82910531258166575</v>
      </c>
      <c r="AN48" s="488">
        <f t="shared" si="32"/>
        <v>0.8475663439634078</v>
      </c>
      <c r="AO48" s="488">
        <f t="shared" si="34"/>
        <v>0.8657901600063117</v>
      </c>
      <c r="AP48" s="488">
        <f t="shared" si="35"/>
        <v>0.88375359074183013</v>
      </c>
      <c r="AQ48" s="488">
        <f t="shared" si="36"/>
        <v>0.90069780445890568</v>
      </c>
      <c r="AR48" s="488">
        <f t="shared" si="37"/>
        <v>0.9175574093314699</v>
      </c>
      <c r="AS48" s="488">
        <f t="shared" si="38"/>
        <v>0.9336928288239591</v>
      </c>
      <c r="AT48" s="488">
        <f t="shared" si="39"/>
        <v>0.94943067378761714</v>
      </c>
      <c r="AU48" s="488">
        <f>V48/V23</f>
        <v>0.9645024234984817</v>
      </c>
      <c r="AV48" s="488">
        <f>V48/V22</f>
        <v>0.97976244276885327</v>
      </c>
      <c r="AW48" s="488"/>
      <c r="AX48" s="488"/>
      <c r="AY48" s="488"/>
    </row>
    <row r="49" spans="3:51">
      <c r="C49" s="481">
        <v>28</v>
      </c>
      <c r="D49" s="484"/>
      <c r="E49" s="492" t="str">
        <f t="shared" si="0"/>
        <v/>
      </c>
      <c r="F49" s="492">
        <f t="shared" si="1"/>
        <v>13</v>
      </c>
      <c r="G49" s="492">
        <f t="shared" si="2"/>
        <v>2.0074999999999998</v>
      </c>
      <c r="H49" s="492">
        <f t="shared" si="3"/>
        <v>0.37640624999999994</v>
      </c>
      <c r="I49" s="459">
        <f t="shared" si="12"/>
        <v>28</v>
      </c>
      <c r="J49" s="482">
        <f t="shared" si="4"/>
        <v>3.7676045416261683E-3</v>
      </c>
      <c r="K49" s="491">
        <f t="shared" si="13"/>
        <v>3.3973922756416197E-3</v>
      </c>
      <c r="L49" s="494" t="str">
        <f t="shared" si="5"/>
        <v/>
      </c>
      <c r="M49" s="483">
        <f>'All Curves'!BW42</f>
        <v>2.8054593703088757E-2</v>
      </c>
      <c r="N49" s="483" t="str">
        <f t="shared" si="6"/>
        <v/>
      </c>
      <c r="O49" s="492" t="str">
        <f t="shared" si="7"/>
        <v/>
      </c>
      <c r="P49" s="492">
        <f t="shared" si="8"/>
        <v>13</v>
      </c>
      <c r="Q49" s="492">
        <f t="shared" si="33"/>
        <v>2.0235007147719059E-3</v>
      </c>
      <c r="R49" s="505">
        <f t="shared" si="9"/>
        <v>3.7940638401973235E-4</v>
      </c>
      <c r="S49" s="483">
        <f t="shared" si="14"/>
        <v>2.8434000087108488E-2</v>
      </c>
      <c r="T49" s="483">
        <f t="shared" si="10"/>
        <v>3.7021226598454859E-4</v>
      </c>
      <c r="U49" s="489">
        <f>((1+J49)/(V48-J49*(1+W48+X48+Y48+Z48+AA48+AB48+AC48+AD48+AE48+AF48+AG48+AH48+AI48+AJ48+AK48+AL48+AM48+AN48+AO48+AP48+AQ48+AR48+AS48+AT48+AU48+AV48)))-1</f>
        <v>9.9621200088853001E-2</v>
      </c>
      <c r="V49" s="488">
        <f t="shared" si="15"/>
        <v>1.099621200088853</v>
      </c>
      <c r="W49" s="488">
        <f t="shared" si="11"/>
        <v>1.099621200088853</v>
      </c>
      <c r="X49" s="488">
        <f t="shared" si="16"/>
        <v>1.058882196664664</v>
      </c>
      <c r="Y49" s="488">
        <f t="shared" si="17"/>
        <v>1.0216549377979085</v>
      </c>
      <c r="Z49" s="488">
        <f t="shared" si="18"/>
        <v>0.98775679992574172</v>
      </c>
      <c r="AA49" s="488">
        <f t="shared" si="19"/>
        <v>0.95702716156327416</v>
      </c>
      <c r="AB49" s="488">
        <f t="shared" si="20"/>
        <v>0.92932610354746104</v>
      </c>
      <c r="AC49" s="488">
        <f t="shared" si="21"/>
        <v>0.90453331423060768</v>
      </c>
      <c r="AD49" s="488">
        <f t="shared" si="22"/>
        <v>0.88254718737359561</v>
      </c>
      <c r="AE49" s="488">
        <f t="shared" si="23"/>
        <v>0.86328410303378134</v>
      </c>
      <c r="AF49" s="488">
        <f t="shared" si="24"/>
        <v>0.84667788415011014</v>
      </c>
      <c r="AG49" s="488">
        <f t="shared" si="25"/>
        <v>0.83267942383873317</v>
      </c>
      <c r="AH49" s="488">
        <f t="shared" si="26"/>
        <v>0.8212564806639393</v>
      </c>
      <c r="AI49" s="488">
        <f t="shared" si="27"/>
        <v>0.81239364137966419</v>
      </c>
      <c r="AJ49" s="488">
        <f t="shared" si="28"/>
        <v>0.83228671416216304</v>
      </c>
      <c r="AK49" s="488">
        <f t="shared" si="29"/>
        <v>0.85214642117467476</v>
      </c>
      <c r="AL49" s="488">
        <f t="shared" si="30"/>
        <v>0.87195662977230326</v>
      </c>
      <c r="AM49" s="488">
        <f t="shared" si="31"/>
        <v>0.89188378602250162</v>
      </c>
      <c r="AN49" s="488">
        <f t="shared" si="32"/>
        <v>0.91170177882109493</v>
      </c>
      <c r="AO49" s="488">
        <f t="shared" si="34"/>
        <v>0.93200192030396412</v>
      </c>
      <c r="AP49" s="488">
        <f t="shared" si="35"/>
        <v>0.95204121477126058</v>
      </c>
      <c r="AQ49" s="488">
        <f t="shared" si="36"/>
        <v>0.97179418403436435</v>
      </c>
      <c r="AR49" s="488">
        <f t="shared" si="37"/>
        <v>0.9904264006564969</v>
      </c>
      <c r="AS49" s="488">
        <f t="shared" si="38"/>
        <v>1.0089655795994898</v>
      </c>
      <c r="AT49" s="488">
        <f t="shared" si="39"/>
        <v>1.026708428945758</v>
      </c>
      <c r="AU49" s="488">
        <f>V49/V24</f>
        <v>1.0440140969115079</v>
      </c>
      <c r="AV49" s="488">
        <f>V49/V23</f>
        <v>1.0605873124160075</v>
      </c>
      <c r="AW49" s="488">
        <f>V49/V22</f>
        <v>1.0773675531194726</v>
      </c>
      <c r="AX49" s="488"/>
      <c r="AY49" s="488"/>
    </row>
    <row r="50" spans="3:51">
      <c r="C50" s="481">
        <v>29</v>
      </c>
      <c r="D50" s="484"/>
      <c r="E50" s="492" t="str">
        <f t="shared" si="0"/>
        <v/>
      </c>
      <c r="F50" s="492">
        <f t="shared" si="1"/>
        <v>14</v>
      </c>
      <c r="G50" s="492">
        <f t="shared" si="2"/>
        <v>2.0074999999999998</v>
      </c>
      <c r="H50" s="492">
        <f t="shared" si="3"/>
        <v>0.25093749999999998</v>
      </c>
      <c r="I50" s="459">
        <f t="shared" si="12"/>
        <v>29</v>
      </c>
      <c r="J50" s="482">
        <f t="shared" si="4"/>
        <v>2.510949240722482E-3</v>
      </c>
      <c r="K50" s="491">
        <f t="shared" si="13"/>
        <v>2.2364901053713027E-3</v>
      </c>
      <c r="L50" s="494" t="str">
        <f t="shared" si="5"/>
        <v/>
      </c>
      <c r="M50" s="483">
        <f>'All Curves'!BW43</f>
        <v>2.8673280725493605E-2</v>
      </c>
      <c r="N50" s="483" t="str">
        <f t="shared" si="6"/>
        <v/>
      </c>
      <c r="O50" s="492" t="str">
        <f t="shared" si="7"/>
        <v/>
      </c>
      <c r="P50" s="492">
        <f t="shared" si="8"/>
        <v>14</v>
      </c>
      <c r="Q50" s="492">
        <f t="shared" si="33"/>
        <v>2.0235007147719059E-3</v>
      </c>
      <c r="R50" s="505">
        <f t="shared" si="9"/>
        <v>2.5293758934648823E-4</v>
      </c>
      <c r="S50" s="483">
        <f t="shared" si="14"/>
        <v>2.8926218314840095E-2</v>
      </c>
      <c r="T50" s="483">
        <f t="shared" si="10"/>
        <v>2.7445913535117938E-4</v>
      </c>
      <c r="U50" s="489">
        <f>((1+J50)/(V49-J50*(1+W49+X49+Y49+Z49+AA49+AB49+AC49+AD49+AE49+AF49+AG49+AH49+AI49+AJ49+AK49+AL49+AM49+AN49+AO49+AP49+AQ49+AR49+AS49+AT49+AU49+AV49+AW49)))-1</f>
        <v>-2.9729095323477339E-2</v>
      </c>
      <c r="V50" s="488">
        <f t="shared" si="15"/>
        <v>1.0669304566116948</v>
      </c>
      <c r="W50" s="488">
        <f t="shared" si="11"/>
        <v>0.97027090467652266</v>
      </c>
      <c r="X50" s="488">
        <f t="shared" si="16"/>
        <v>1.0669304566116948</v>
      </c>
      <c r="Y50" s="488">
        <f t="shared" si="17"/>
        <v>1.0274025869036869</v>
      </c>
      <c r="Z50" s="488">
        <f t="shared" si="18"/>
        <v>0.99128206076441305</v>
      </c>
      <c r="AA50" s="488">
        <f t="shared" si="19"/>
        <v>0.95839168386433637</v>
      </c>
      <c r="AB50" s="488">
        <f t="shared" si="20"/>
        <v>0.92857560985000254</v>
      </c>
      <c r="AC50" s="488">
        <f t="shared" si="21"/>
        <v>0.90169807922850265</v>
      </c>
      <c r="AD50" s="488">
        <f t="shared" si="22"/>
        <v>0.87764235710858496</v>
      </c>
      <c r="AE50" s="488">
        <f t="shared" si="23"/>
        <v>0.85630985791269909</v>
      </c>
      <c r="AF50" s="488">
        <f t="shared" si="24"/>
        <v>0.83761944764344731</v>
      </c>
      <c r="AG50" s="488">
        <f t="shared" si="25"/>
        <v>0.82150691662393138</v>
      </c>
      <c r="AH50" s="488">
        <f t="shared" si="26"/>
        <v>0.8079246178735332</v>
      </c>
      <c r="AI50" s="488">
        <f t="shared" si="27"/>
        <v>0.79684126846525738</v>
      </c>
      <c r="AJ50" s="488">
        <f t="shared" si="28"/>
        <v>0.78824191337490124</v>
      </c>
      <c r="AK50" s="488">
        <f t="shared" si="29"/>
        <v>0.80754358310037222</v>
      </c>
      <c r="AL50" s="488">
        <f t="shared" si="30"/>
        <v>0.82681287899001277</v>
      </c>
      <c r="AM50" s="488">
        <f t="shared" si="31"/>
        <v>0.84603414800786436</v>
      </c>
      <c r="AN50" s="488">
        <f t="shared" si="32"/>
        <v>0.8653688879303747</v>
      </c>
      <c r="AO50" s="488">
        <f t="shared" si="34"/>
        <v>0.88459770973193863</v>
      </c>
      <c r="AP50" s="488">
        <f t="shared" si="35"/>
        <v>0.90429434637358352</v>
      </c>
      <c r="AQ50" s="488">
        <f t="shared" si="36"/>
        <v>0.92373789074544654</v>
      </c>
      <c r="AR50" s="488">
        <f t="shared" si="37"/>
        <v>0.94290362210240575</v>
      </c>
      <c r="AS50" s="488">
        <f t="shared" si="38"/>
        <v>0.9609819197804913</v>
      </c>
      <c r="AT50" s="488">
        <f t="shared" si="39"/>
        <v>0.97896994570546902</v>
      </c>
      <c r="AU50" s="488">
        <f>V50/V25</f>
        <v>0.99618531619221173</v>
      </c>
      <c r="AV50" s="488">
        <f>V50/V24</f>
        <v>1.0129765023053714</v>
      </c>
      <c r="AW50" s="488">
        <f>V50/V23</f>
        <v>1.0290570111063213</v>
      </c>
      <c r="AX50" s="488">
        <f>V50/V22</f>
        <v>1.0453383904343621</v>
      </c>
      <c r="AY50" s="488"/>
    </row>
    <row r="51" spans="3:51" ht="13.5" thickBot="1">
      <c r="C51" s="485">
        <v>30</v>
      </c>
      <c r="D51" s="493"/>
      <c r="E51" s="492" t="str">
        <f t="shared" si="0"/>
        <v/>
      </c>
      <c r="F51" s="492">
        <f t="shared" si="1"/>
        <v>15</v>
      </c>
      <c r="G51" s="492">
        <f t="shared" si="2"/>
        <v>2.0074999999999998</v>
      </c>
      <c r="H51" s="492">
        <f t="shared" si="3"/>
        <v>0.12546874999999999</v>
      </c>
      <c r="I51" s="459">
        <f t="shared" si="12"/>
        <v>30</v>
      </c>
      <c r="J51" s="482">
        <f t="shared" si="4"/>
        <v>1.255081060180574E-3</v>
      </c>
      <c r="K51" s="491">
        <f t="shared" si="13"/>
        <v>1.1043587554953049E-3</v>
      </c>
      <c r="L51" s="490" t="str">
        <f t="shared" si="5"/>
        <v/>
      </c>
      <c r="M51" s="483">
        <f>'All Curves'!BW44</f>
        <v>2.9267509414802884E-2</v>
      </c>
      <c r="N51" s="483" t="str">
        <f t="shared" si="6"/>
        <v/>
      </c>
      <c r="O51" s="492" t="str">
        <f t="shared" si="7"/>
        <v/>
      </c>
      <c r="P51" s="492">
        <f t="shared" si="8"/>
        <v>15</v>
      </c>
      <c r="Q51" s="492">
        <f t="shared" si="33"/>
        <v>2.0235007147719059E-3</v>
      </c>
      <c r="R51" s="505">
        <f t="shared" si="9"/>
        <v>1.2646879467324412E-4</v>
      </c>
      <c r="S51" s="483">
        <f t="shared" si="14"/>
        <v>2.9393978209476129E-2</v>
      </c>
      <c r="T51" s="483">
        <f t="shared" si="10"/>
        <v>1.5072230468526904E-4</v>
      </c>
      <c r="U51" s="489">
        <f>((1+J51)/(V50-J51*(1+W50+X50+Y50+Z50+AA50+AB50+AC50+AD50+AE50+AF50+AG50+AH50+AI50+AJ50+AK50+AL50+AM50+AN50+AO50+AP50+AQ50+AR50+AS50+AT50+AU50+AV50+AW50+AX50)))-1</f>
        <v>-3.1176966404231732E-2</v>
      </c>
      <c r="V51" s="488">
        <f t="shared" si="15"/>
        <v>1.0336668016102604</v>
      </c>
      <c r="W51" s="488">
        <f t="shared" si="11"/>
        <v>0.96882303359576827</v>
      </c>
      <c r="X51" s="488">
        <f t="shared" si="16"/>
        <v>0.94002080127841903</v>
      </c>
      <c r="Y51" s="488">
        <f t="shared" si="17"/>
        <v>1.0336668016102604</v>
      </c>
      <c r="Z51" s="488">
        <f t="shared" si="18"/>
        <v>0.9953712909681699</v>
      </c>
      <c r="AA51" s="488">
        <f t="shared" si="19"/>
        <v>0.96037689325884334</v>
      </c>
      <c r="AB51" s="488">
        <f t="shared" si="20"/>
        <v>0.92851193853440284</v>
      </c>
      <c r="AC51" s="488">
        <f t="shared" si="21"/>
        <v>0.89962543925791993</v>
      </c>
      <c r="AD51" s="488">
        <f t="shared" si="22"/>
        <v>0.87358586850563535</v>
      </c>
      <c r="AE51" s="488">
        <f t="shared" si="23"/>
        <v>0.85028013082607989</v>
      </c>
      <c r="AF51" s="488">
        <f t="shared" si="24"/>
        <v>0.82961271424094241</v>
      </c>
      <c r="AG51" s="488">
        <f t="shared" si="25"/>
        <v>0.81150501426473642</v>
      </c>
      <c r="AH51" s="488">
        <f t="shared" si="26"/>
        <v>0.79589482308350301</v>
      </c>
      <c r="AI51" s="488">
        <f t="shared" si="27"/>
        <v>0.7827359792049382</v>
      </c>
      <c r="AJ51" s="488">
        <f t="shared" si="28"/>
        <v>0.77199817500881063</v>
      </c>
      <c r="AK51" s="488">
        <f t="shared" si="29"/>
        <v>0.76366692172320461</v>
      </c>
      <c r="AL51" s="488">
        <f t="shared" si="30"/>
        <v>0.78236682394009904</v>
      </c>
      <c r="AM51" s="488">
        <f t="shared" si="31"/>
        <v>0.80103536163915501</v>
      </c>
      <c r="AN51" s="488">
        <f t="shared" si="32"/>
        <v>0.81965736979859027</v>
      </c>
      <c r="AO51" s="488">
        <f t="shared" si="34"/>
        <v>0.83838931118410209</v>
      </c>
      <c r="AP51" s="488">
        <f t="shared" si="35"/>
        <v>0.85701863665436562</v>
      </c>
      <c r="AQ51" s="488">
        <f t="shared" si="36"/>
        <v>0.87610119191715752</v>
      </c>
      <c r="AR51" s="488">
        <f t="shared" si="37"/>
        <v>0.89493854555935981</v>
      </c>
      <c r="AS51" s="488">
        <f t="shared" si="38"/>
        <v>0.91350674755369066</v>
      </c>
      <c r="AT51" s="488">
        <f t="shared" si="39"/>
        <v>0.93102141875242073</v>
      </c>
      <c r="AU51" s="488">
        <f>V51/V26</f>
        <v>0.94844863259745704</v>
      </c>
      <c r="AV51" s="488">
        <f>V51/V25</f>
        <v>0.96512728005689818</v>
      </c>
      <c r="AW51" s="488">
        <f>V51/V24</f>
        <v>0.9813949679247207</v>
      </c>
      <c r="AX51" s="488">
        <f>V51/V23</f>
        <v>0.99697413524302037</v>
      </c>
      <c r="AY51" s="488">
        <f>V51/V22</f>
        <v>1.0127479105547363</v>
      </c>
    </row>
    <row r="52" spans="3:51">
      <c r="J52" s="459" t="s">
        <v>749</v>
      </c>
      <c r="K52" s="459">
        <v>1.9933575674707376</v>
      </c>
    </row>
    <row r="53" spans="3:51">
      <c r="J53" s="459" t="s">
        <v>750</v>
      </c>
      <c r="K53" s="459">
        <v>0.10638956356609756</v>
      </c>
    </row>
    <row r="54" spans="3:51">
      <c r="J54" s="459" t="s">
        <v>751</v>
      </c>
      <c r="K54" s="459">
        <v>-1.0687475650772251E-3</v>
      </c>
    </row>
    <row r="55" spans="3:51">
      <c r="J55" s="459" t="s">
        <v>751</v>
      </c>
      <c r="K55" s="459">
        <v>-2.3714128007098604E-5</v>
      </c>
    </row>
    <row r="57" spans="3:51">
      <c r="H57" s="459">
        <v>1</v>
      </c>
      <c r="I57" s="459">
        <v>2.1869999999999998</v>
      </c>
      <c r="J57" s="632">
        <f>$K$52+$K$53*H57+$K$54*H57^2+$K$55*H57^3</f>
        <v>2.0986546693437509</v>
      </c>
      <c r="K57" s="631">
        <f>(J57-I57)^2</f>
        <v>7.8048974487619598E-3</v>
      </c>
      <c r="L57" s="459">
        <v>1</v>
      </c>
      <c r="M57" s="632">
        <f>$K$52+$K$53*L57+$K$54*L57^2+$K$55*L57^3</f>
        <v>2.0986546693437509</v>
      </c>
    </row>
    <row r="58" spans="3:51">
      <c r="H58" s="459">
        <v>2</v>
      </c>
      <c r="I58" s="459">
        <v>2.177</v>
      </c>
      <c r="J58" s="632">
        <f t="shared" ref="J58:J71" si="40">$K$52+$K$53*H58+$K$54*H58^2+$K$55*H58^3</f>
        <v>2.2016719913185669</v>
      </c>
      <c r="K58" s="631">
        <f t="shared" ref="K58:K70" si="41">(J58-I58)^2</f>
        <v>6.0870715562344046E-4</v>
      </c>
      <c r="L58" s="459">
        <f>L57+1</f>
        <v>2</v>
      </c>
      <c r="M58" s="632">
        <f t="shared" ref="M58:M87" si="42">$K$52+$K$53*L58+$K$54*L58^2+$K$55*L58^3</f>
        <v>2.2016719913185669</v>
      </c>
    </row>
    <row r="59" spans="3:51">
      <c r="H59" s="459">
        <v>3</v>
      </c>
      <c r="I59" s="459">
        <v>2.2450000000000001</v>
      </c>
      <c r="J59" s="632">
        <f t="shared" si="40"/>
        <v>2.3022672486271434</v>
      </c>
      <c r="K59" s="631">
        <f t="shared" si="41"/>
        <v>3.2795377653230431E-3</v>
      </c>
      <c r="L59" s="459">
        <f t="shared" ref="L59:L87" si="43">L58+1</f>
        <v>3</v>
      </c>
      <c r="M59" s="632">
        <f t="shared" si="42"/>
        <v>2.3022672486271434</v>
      </c>
    </row>
    <row r="60" spans="3:51">
      <c r="H60" s="459">
        <v>4</v>
      </c>
      <c r="I60" s="459">
        <v>2.3450000000000002</v>
      </c>
      <c r="J60" s="632">
        <f t="shared" si="40"/>
        <v>2.4002981565014379</v>
      </c>
      <c r="K60" s="631">
        <f t="shared" si="41"/>
        <v>3.0578861124574918E-3</v>
      </c>
      <c r="L60" s="459">
        <f t="shared" si="43"/>
        <v>4</v>
      </c>
      <c r="M60" s="632">
        <f t="shared" si="42"/>
        <v>2.4002981565014379</v>
      </c>
    </row>
    <row r="61" spans="3:51">
      <c r="H61" s="459">
        <v>5</v>
      </c>
      <c r="I61" s="459">
        <v>2.4649999999999999</v>
      </c>
      <c r="J61" s="632">
        <f t="shared" si="40"/>
        <v>2.4956224301734076</v>
      </c>
      <c r="K61" s="631">
        <f t="shared" si="41"/>
        <v>9.3773322972523097E-4</v>
      </c>
      <c r="L61" s="459">
        <f t="shared" si="43"/>
        <v>5</v>
      </c>
      <c r="M61" s="632">
        <f t="shared" si="42"/>
        <v>2.4956224301734076</v>
      </c>
    </row>
    <row r="62" spans="3:51">
      <c r="H62" s="459">
        <v>6</v>
      </c>
      <c r="I62" s="459">
        <v>2.5825</v>
      </c>
      <c r="J62" s="632">
        <f t="shared" si="40"/>
        <v>2.5880977848750097</v>
      </c>
      <c r="K62" s="631">
        <f t="shared" si="41"/>
        <v>3.1335195506887654E-5</v>
      </c>
      <c r="L62" s="459">
        <f t="shared" si="43"/>
        <v>6</v>
      </c>
      <c r="M62" s="632">
        <f t="shared" si="42"/>
        <v>2.5880977848750097</v>
      </c>
    </row>
    <row r="63" spans="3:51">
      <c r="H63" s="459">
        <v>7</v>
      </c>
      <c r="I63" s="459">
        <v>2.7130000000000001</v>
      </c>
      <c r="J63" s="632">
        <f t="shared" si="40"/>
        <v>2.677581935838202</v>
      </c>
      <c r="K63" s="631">
        <f t="shared" si="41"/>
        <v>1.2544392689692431E-3</v>
      </c>
      <c r="L63" s="459">
        <f t="shared" si="43"/>
        <v>7</v>
      </c>
      <c r="M63" s="632">
        <f t="shared" si="42"/>
        <v>2.677581935838202</v>
      </c>
    </row>
    <row r="64" spans="3:51">
      <c r="H64" s="459">
        <v>8</v>
      </c>
      <c r="I64" s="459">
        <v>2.7825000000000002</v>
      </c>
      <c r="J64" s="632">
        <f t="shared" si="40"/>
        <v>2.7639325982949416</v>
      </c>
      <c r="K64" s="631">
        <f t="shared" si="41"/>
        <v>3.4474840607701118E-4</v>
      </c>
      <c r="L64" s="459">
        <f t="shared" si="43"/>
        <v>8</v>
      </c>
      <c r="M64" s="632">
        <f t="shared" si="42"/>
        <v>2.7639325982949416</v>
      </c>
    </row>
    <row r="65" spans="8:13">
      <c r="H65" s="459">
        <v>9</v>
      </c>
      <c r="I65" s="459">
        <v>2.87</v>
      </c>
      <c r="J65" s="632">
        <f t="shared" si="40"/>
        <v>2.8470074874771854</v>
      </c>
      <c r="K65" s="631">
        <f t="shared" si="41"/>
        <v>5.2865563211179341E-4</v>
      </c>
      <c r="L65" s="459">
        <f t="shared" si="43"/>
        <v>9</v>
      </c>
      <c r="M65" s="632">
        <f t="shared" si="42"/>
        <v>2.8470074874771854</v>
      </c>
    </row>
    <row r="66" spans="8:13">
      <c r="H66" s="459">
        <v>10</v>
      </c>
      <c r="I66" s="459">
        <v>2.9449999999999998</v>
      </c>
      <c r="J66" s="632">
        <f t="shared" si="40"/>
        <v>2.9266643186168921</v>
      </c>
      <c r="K66" s="631">
        <f t="shared" si="41"/>
        <v>3.3619721178284245E-4</v>
      </c>
      <c r="L66" s="459">
        <f t="shared" si="43"/>
        <v>10</v>
      </c>
      <c r="M66" s="632">
        <f t="shared" si="42"/>
        <v>2.9266643186168921</v>
      </c>
    </row>
    <row r="67" spans="8:13">
      <c r="H67" s="459">
        <v>12</v>
      </c>
      <c r="I67" s="459">
        <v>3.09</v>
      </c>
      <c r="J67" s="632">
        <f t="shared" si="40"/>
        <v>3.0751546676965216</v>
      </c>
      <c r="K67" s="631">
        <f t="shared" si="41"/>
        <v>2.2038389120069594E-4</v>
      </c>
      <c r="L67" s="459">
        <f t="shared" si="43"/>
        <v>11</v>
      </c>
      <c r="M67" s="632">
        <f t="shared" si="42"/>
        <v>3.0027608069460188</v>
      </c>
    </row>
    <row r="68" spans="8:13">
      <c r="H68" s="459">
        <v>15</v>
      </c>
      <c r="I68" s="459">
        <v>3.2725</v>
      </c>
      <c r="J68" s="632">
        <f t="shared" si="40"/>
        <v>3.2686976367958676</v>
      </c>
      <c r="K68" s="631">
        <f t="shared" si="41"/>
        <v>1.4457965936140075E-5</v>
      </c>
      <c r="L68" s="459">
        <f t="shared" si="43"/>
        <v>12</v>
      </c>
      <c r="M68" s="632">
        <f t="shared" si="42"/>
        <v>3.0751546676965216</v>
      </c>
    </row>
    <row r="69" spans="8:13">
      <c r="H69" s="459">
        <v>20</v>
      </c>
      <c r="I69" s="459">
        <v>3.456</v>
      </c>
      <c r="J69" s="632">
        <f t="shared" si="40"/>
        <v>3.5039367887050097</v>
      </c>
      <c r="K69" s="631">
        <f t="shared" si="41"/>
        <v>2.2979357113487478E-3</v>
      </c>
      <c r="L69" s="459">
        <f t="shared" si="43"/>
        <v>13</v>
      </c>
      <c r="M69" s="632">
        <f t="shared" si="42"/>
        <v>3.1437036161003595</v>
      </c>
    </row>
    <row r="70" spans="8:13">
      <c r="H70" s="459">
        <v>25</v>
      </c>
      <c r="I70" s="633">
        <f>D46</f>
        <v>0</v>
      </c>
      <c r="J70" s="632">
        <f t="shared" si="40"/>
        <v>3.6145961783389957</v>
      </c>
      <c r="K70" s="631">
        <f t="shared" si="41"/>
        <v>13.065305532462872</v>
      </c>
      <c r="L70" s="459">
        <f t="shared" si="43"/>
        <v>14</v>
      </c>
      <c r="M70" s="632">
        <f t="shared" si="42"/>
        <v>3.2082653673894885</v>
      </c>
    </row>
    <row r="71" spans="8:13">
      <c r="H71" s="459">
        <v>30</v>
      </c>
      <c r="I71" s="459">
        <f>N57+N58*H71</f>
        <v>0</v>
      </c>
      <c r="J71" s="632">
        <f t="shared" si="40"/>
        <v>3.5828902096924997</v>
      </c>
      <c r="K71" s="631">
        <f>SUM(K57:K70)</f>
        <v>13.086022447457697</v>
      </c>
      <c r="L71" s="459">
        <f t="shared" si="43"/>
        <v>15</v>
      </c>
      <c r="M71" s="632">
        <f t="shared" si="42"/>
        <v>3.2686976367958676</v>
      </c>
    </row>
    <row r="72" spans="8:13">
      <c r="H72" s="459">
        <f>H71+1</f>
        <v>31</v>
      </c>
      <c r="J72" s="632"/>
      <c r="L72" s="459">
        <f t="shared" si="43"/>
        <v>16</v>
      </c>
      <c r="M72" s="632">
        <f t="shared" si="42"/>
        <v>3.3248581395514534</v>
      </c>
    </row>
    <row r="73" spans="8:13">
      <c r="H73" s="459">
        <f t="shared" ref="H73:H81" si="44">H72+1</f>
        <v>32</v>
      </c>
      <c r="J73" s="632"/>
      <c r="L73" s="459">
        <f t="shared" si="43"/>
        <v>17</v>
      </c>
      <c r="M73" s="632">
        <f t="shared" si="42"/>
        <v>3.3766045908882028</v>
      </c>
    </row>
    <row r="74" spans="8:13">
      <c r="H74" s="459">
        <f t="shared" si="44"/>
        <v>33</v>
      </c>
      <c r="J74" s="632"/>
      <c r="L74" s="459">
        <f t="shared" si="43"/>
        <v>18</v>
      </c>
      <c r="M74" s="632">
        <f t="shared" si="42"/>
        <v>3.4237947060380738</v>
      </c>
    </row>
    <row r="75" spans="8:13">
      <c r="H75" s="459">
        <f t="shared" si="44"/>
        <v>34</v>
      </c>
      <c r="J75" s="632"/>
      <c r="L75" s="459">
        <f t="shared" si="43"/>
        <v>19</v>
      </c>
      <c r="M75" s="632">
        <f t="shared" si="42"/>
        <v>3.4662862002330241</v>
      </c>
    </row>
    <row r="76" spans="8:13">
      <c r="H76" s="459">
        <f t="shared" si="44"/>
        <v>35</v>
      </c>
      <c r="J76" s="632"/>
      <c r="L76" s="459">
        <f t="shared" si="43"/>
        <v>20</v>
      </c>
      <c r="M76" s="632">
        <f t="shared" si="42"/>
        <v>3.5039367887050097</v>
      </c>
    </row>
    <row r="77" spans="8:13">
      <c r="H77" s="459">
        <f t="shared" si="44"/>
        <v>36</v>
      </c>
      <c r="J77" s="632"/>
      <c r="L77" s="459">
        <f t="shared" si="43"/>
        <v>21</v>
      </c>
      <c r="M77" s="632">
        <f t="shared" si="42"/>
        <v>3.5366041866859899</v>
      </c>
    </row>
    <row r="78" spans="8:13">
      <c r="H78" s="459">
        <f t="shared" si="44"/>
        <v>37</v>
      </c>
      <c r="J78" s="632"/>
      <c r="L78" s="459">
        <f t="shared" si="43"/>
        <v>22</v>
      </c>
      <c r="M78" s="632">
        <f t="shared" si="42"/>
        <v>3.564146109407921</v>
      </c>
    </row>
    <row r="79" spans="8:13">
      <c r="H79" s="459">
        <f t="shared" si="44"/>
        <v>38</v>
      </c>
      <c r="J79" s="632"/>
      <c r="L79" s="459">
        <f t="shared" si="43"/>
        <v>23</v>
      </c>
      <c r="M79" s="632">
        <f t="shared" si="42"/>
        <v>3.5864202721027603</v>
      </c>
    </row>
    <row r="80" spans="8:13">
      <c r="H80" s="459">
        <f t="shared" si="44"/>
        <v>39</v>
      </c>
      <c r="J80" s="632"/>
      <c r="L80" s="459">
        <f t="shared" si="43"/>
        <v>24</v>
      </c>
      <c r="M80" s="632">
        <f t="shared" si="42"/>
        <v>3.6032843900024663</v>
      </c>
    </row>
    <row r="81" spans="8:13">
      <c r="H81" s="459">
        <f t="shared" si="44"/>
        <v>40</v>
      </c>
      <c r="J81" s="632"/>
      <c r="L81" s="459">
        <f t="shared" si="43"/>
        <v>25</v>
      </c>
      <c r="M81" s="632">
        <f t="shared" si="42"/>
        <v>3.6145961783389957</v>
      </c>
    </row>
    <row r="82" spans="8:13">
      <c r="L82" s="459">
        <f>L81+1</f>
        <v>26</v>
      </c>
      <c r="M82" s="632">
        <f t="shared" si="42"/>
        <v>3.6202133523443045</v>
      </c>
    </row>
    <row r="83" spans="8:13">
      <c r="L83" s="459">
        <f t="shared" si="43"/>
        <v>27</v>
      </c>
      <c r="M83" s="632">
        <f t="shared" si="42"/>
        <v>3.619993627250353</v>
      </c>
    </row>
    <row r="84" spans="8:13">
      <c r="L84" s="459">
        <f t="shared" si="43"/>
        <v>28</v>
      </c>
      <c r="M84" s="632">
        <f t="shared" si="42"/>
        <v>3.6137947182890962</v>
      </c>
    </row>
    <row r="85" spans="8:13">
      <c r="L85" s="459">
        <f>L84+1</f>
        <v>29</v>
      </c>
      <c r="M85" s="632">
        <f t="shared" si="42"/>
        <v>3.6014743406924925</v>
      </c>
    </row>
    <row r="86" spans="8:13">
      <c r="L86" s="459">
        <f t="shared" si="43"/>
        <v>30</v>
      </c>
      <c r="M86" s="632">
        <f t="shared" si="42"/>
        <v>3.5828902096924997</v>
      </c>
    </row>
    <row r="87" spans="8:13">
      <c r="L87" s="459">
        <f t="shared" si="43"/>
        <v>31</v>
      </c>
      <c r="M87" s="632">
        <f t="shared" si="42"/>
        <v>3.557900040521075</v>
      </c>
    </row>
  </sheetData>
  <pageMargins left="0.75" right="0.75" top="1" bottom="1" header="0.5" footer="0.5"/>
  <pageSetup paperSize="9" orientation="portrait" r:id="rId1"/>
  <headerFooter alignWithMargins="0"/>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tabColor rgb="FF92D050"/>
    <pageSetUpPr autoPageBreaks="0"/>
  </sheetPr>
  <dimension ref="A1:GU407"/>
  <sheetViews>
    <sheetView topLeftCell="A233" zoomScaleNormal="100" workbookViewId="0">
      <selection activeCell="D17" sqref="D17"/>
    </sheetView>
  </sheetViews>
  <sheetFormatPr defaultRowHeight="12.75"/>
  <cols>
    <col min="1" max="1" width="29" style="300" bestFit="1" customWidth="1"/>
    <col min="2" max="2" width="14.5703125" style="300" bestFit="1" customWidth="1"/>
    <col min="3" max="4" width="18" style="300" bestFit="1" customWidth="1"/>
    <col min="5" max="5" width="12.7109375" style="300" bestFit="1" customWidth="1"/>
    <col min="6" max="6" width="12.140625" style="300" bestFit="1" customWidth="1"/>
    <col min="7" max="7" width="16.7109375" style="300" customWidth="1"/>
    <col min="8" max="11" width="12.140625" style="300" bestFit="1" customWidth="1"/>
    <col min="12" max="12" width="14.85546875" style="300" bestFit="1" customWidth="1"/>
    <col min="13" max="13" width="16.7109375" style="300" bestFit="1" customWidth="1"/>
    <col min="14" max="14" width="12.140625" style="300" bestFit="1" customWidth="1"/>
    <col min="15" max="15" width="25.28515625" style="300" bestFit="1" customWidth="1"/>
    <col min="16" max="16" width="22" style="300" bestFit="1" customWidth="1"/>
    <col min="17" max="17" width="15.42578125" style="300" bestFit="1" customWidth="1"/>
    <col min="18" max="27" width="12.140625" style="300" bestFit="1" customWidth="1"/>
    <col min="28" max="28" width="18.7109375" style="300" customWidth="1"/>
    <col min="29" max="80" width="12.140625" style="300" bestFit="1" customWidth="1"/>
    <col min="81" max="82" width="18" style="300" bestFit="1" customWidth="1"/>
    <col min="83" max="83" width="17.85546875" style="300" customWidth="1"/>
    <col min="84" max="84" width="24.140625" style="300" customWidth="1"/>
    <col min="85" max="85" width="24.7109375" style="300" customWidth="1"/>
    <col min="86" max="87" width="15.85546875" style="300" bestFit="1" customWidth="1"/>
    <col min="88" max="88" width="12.140625" style="300" bestFit="1" customWidth="1"/>
    <col min="89" max="92" width="15.85546875" style="300" bestFit="1" customWidth="1"/>
    <col min="93" max="93" width="12.140625" style="300" bestFit="1" customWidth="1"/>
    <col min="94" max="102" width="15.85546875" style="300" bestFit="1" customWidth="1"/>
    <col min="103" max="103" width="20.85546875" style="300" customWidth="1"/>
    <col min="104" max="104" width="13.85546875" style="300" customWidth="1"/>
    <col min="105" max="142" width="12.140625" style="300" bestFit="1" customWidth="1"/>
    <col min="143" max="143" width="13.28515625" style="300" customWidth="1"/>
    <col min="144" max="176" width="12.140625" style="300" bestFit="1" customWidth="1"/>
    <col min="177" max="201" width="11.5703125" style="300" bestFit="1" customWidth="1"/>
    <col min="202" max="16384" width="9.140625" style="300"/>
  </cols>
  <sheetData>
    <row r="1" spans="1:152">
      <c r="C1" s="301"/>
      <c r="D1" s="300" t="s">
        <v>109</v>
      </c>
      <c r="E1" s="300" t="s">
        <v>108</v>
      </c>
      <c r="F1" s="302" t="s">
        <v>3</v>
      </c>
      <c r="G1" s="300" t="s">
        <v>107</v>
      </c>
      <c r="H1" s="302" t="s">
        <v>0</v>
      </c>
      <c r="I1" s="302" t="s">
        <v>1</v>
      </c>
      <c r="J1" s="302" t="s">
        <v>2</v>
      </c>
      <c r="K1" s="303" t="s">
        <v>4</v>
      </c>
      <c r="L1" s="303" t="s">
        <v>6</v>
      </c>
      <c r="M1" s="303" t="s">
        <v>7</v>
      </c>
      <c r="N1" s="303" t="s">
        <v>5</v>
      </c>
      <c r="O1" s="303" t="s">
        <v>9</v>
      </c>
      <c r="P1" s="303" t="s">
        <v>10</v>
      </c>
      <c r="Q1" s="303"/>
      <c r="R1" s="303"/>
      <c r="S1" s="303"/>
      <c r="T1" s="303"/>
      <c r="U1" s="303"/>
      <c r="V1" s="303"/>
      <c r="W1" s="303"/>
      <c r="X1" s="303"/>
      <c r="Y1" s="303"/>
      <c r="Z1" s="303"/>
      <c r="AA1" s="303"/>
      <c r="AB1" s="303"/>
      <c r="AC1" s="303"/>
      <c r="AD1" s="303"/>
      <c r="AE1" s="303"/>
      <c r="AF1" s="303"/>
      <c r="AG1" s="303"/>
      <c r="AH1" s="303"/>
      <c r="AI1" s="303"/>
      <c r="AJ1" s="303"/>
      <c r="AK1" s="303"/>
      <c r="AL1" s="303"/>
      <c r="AM1" s="303"/>
      <c r="AN1" s="303"/>
      <c r="AO1" s="303"/>
      <c r="AP1" s="303"/>
      <c r="AQ1" s="303"/>
      <c r="AR1" s="303"/>
      <c r="AS1" s="303"/>
      <c r="AT1" s="303"/>
      <c r="AU1" s="303"/>
      <c r="AV1" s="303"/>
      <c r="AW1" s="303"/>
      <c r="AX1" s="303"/>
      <c r="AY1" s="303"/>
      <c r="AZ1" s="303"/>
      <c r="BA1" s="303"/>
      <c r="BB1" s="303"/>
      <c r="BC1" s="303"/>
      <c r="BD1" s="303"/>
      <c r="BE1" s="303"/>
      <c r="BF1" s="303"/>
      <c r="BG1" s="303"/>
      <c r="BH1" s="303"/>
      <c r="BI1" s="303"/>
      <c r="BJ1" s="303"/>
      <c r="BK1" s="303"/>
      <c r="BL1" s="303"/>
      <c r="BM1" s="303"/>
      <c r="BN1" s="303"/>
      <c r="BO1" s="304"/>
      <c r="BP1" s="303"/>
      <c r="BQ1" s="303"/>
      <c r="BR1" s="303"/>
      <c r="BS1" s="303"/>
      <c r="BT1" s="303"/>
      <c r="BU1" s="303"/>
      <c r="BV1" s="303"/>
      <c r="BW1" s="303"/>
      <c r="BX1" s="303"/>
      <c r="BY1" s="303"/>
      <c r="BZ1" s="303"/>
      <c r="CA1" s="303"/>
      <c r="CB1" s="303"/>
      <c r="CC1" s="303"/>
      <c r="CD1" s="303"/>
      <c r="CE1" s="303"/>
      <c r="CF1" s="303"/>
      <c r="CG1" s="303"/>
      <c r="CH1" s="303"/>
      <c r="CI1" s="303"/>
      <c r="CJ1" s="303"/>
      <c r="CK1" s="303"/>
      <c r="CL1" s="303"/>
      <c r="CM1" s="303"/>
      <c r="CN1" s="303"/>
      <c r="CO1" s="303"/>
      <c r="CP1" s="303"/>
      <c r="CQ1" s="303"/>
      <c r="CR1" s="303"/>
      <c r="CS1" s="303"/>
      <c r="CT1" s="303"/>
      <c r="CU1" s="303"/>
      <c r="CV1" s="303"/>
      <c r="CW1" s="303"/>
      <c r="CX1" s="303"/>
      <c r="CY1" s="303"/>
      <c r="CZ1" s="303"/>
      <c r="DA1" s="303"/>
      <c r="DB1" s="303"/>
      <c r="DC1" s="303"/>
      <c r="DD1" s="303"/>
      <c r="DE1" s="303"/>
      <c r="DF1" s="303"/>
      <c r="DG1" s="303"/>
      <c r="DH1" s="303"/>
      <c r="DI1" s="303"/>
      <c r="DJ1" s="303"/>
      <c r="DK1" s="303"/>
      <c r="DL1" s="303"/>
      <c r="DM1" s="303"/>
      <c r="DN1" s="303"/>
      <c r="DO1" s="303"/>
      <c r="DP1" s="303"/>
      <c r="DQ1" s="303"/>
      <c r="DR1" s="303"/>
      <c r="DS1" s="303"/>
      <c r="DT1" s="303"/>
      <c r="DU1" s="303"/>
      <c r="DV1" s="303"/>
      <c r="DW1" s="303"/>
      <c r="DX1" s="303"/>
      <c r="DY1" s="303"/>
      <c r="DZ1" s="303"/>
      <c r="EA1" s="303"/>
      <c r="EB1" s="303"/>
      <c r="EC1" s="303"/>
      <c r="ED1" s="303"/>
      <c r="EE1" s="303"/>
      <c r="EF1" s="303"/>
      <c r="EG1" s="303"/>
      <c r="EH1" s="303"/>
      <c r="EI1" s="303"/>
      <c r="EJ1" s="303"/>
      <c r="EK1" s="303"/>
      <c r="EL1" s="303"/>
      <c r="EM1" s="303"/>
      <c r="EN1" s="303"/>
      <c r="EO1" s="303"/>
      <c r="EP1" s="303"/>
      <c r="EQ1" s="303"/>
      <c r="ER1" s="303"/>
      <c r="ES1" s="303"/>
      <c r="ET1" s="303"/>
      <c r="EU1" s="303"/>
      <c r="EV1" s="303"/>
    </row>
    <row r="2" spans="1:152">
      <c r="A2" s="305" t="s">
        <v>20</v>
      </c>
      <c r="B2" s="305"/>
      <c r="C2" s="302"/>
      <c r="D2" s="306" t="str">
        <f>'Bond Data'!B3</f>
        <v>CB3 Govt</v>
      </c>
      <c r="E2" s="542"/>
      <c r="F2" s="542" t="str">
        <f>'Bond Data'!D3</f>
        <v>10/3/2019</v>
      </c>
      <c r="G2" s="306"/>
      <c r="H2" s="526">
        <f>100*(1-90/360*'Bond Data'!F3/100)</f>
        <v>99.471324999999993</v>
      </c>
      <c r="I2" s="306">
        <f>'Bond Data'!G3</f>
        <v>0</v>
      </c>
      <c r="J2" s="306"/>
      <c r="K2" s="306">
        <f>H2</f>
        <v>99.471324999999993</v>
      </c>
      <c r="L2" s="300">
        <f>YIELD($B$3,F2,J2,H2,100,1,0)</f>
        <v>2.102577339209652E-2</v>
      </c>
      <c r="M2" s="300">
        <f t="shared" ref="M2:M4" si="0">MDURATION($B$3,F2,J2,L2,1,0)</f>
        <v>0.24757237707916857</v>
      </c>
      <c r="N2" s="300">
        <f t="shared" ref="N2:N4" si="1">DURATION($B$3,F2,J2,L2,1,0)</f>
        <v>0.25277777777777782</v>
      </c>
      <c r="O2" s="300">
        <f>1/M2</f>
        <v>4.0392228397929086</v>
      </c>
      <c r="P2" s="300">
        <f t="shared" ref="P2:P27" si="2">O2/$O$28</f>
        <v>0.38767402895409286</v>
      </c>
      <c r="BO2" s="304"/>
    </row>
    <row r="3" spans="1:152">
      <c r="A3" s="305" t="s">
        <v>21</v>
      </c>
      <c r="B3" s="229">
        <f>'Instructions &amp; Dashboard'!$D$45</f>
        <v>43648</v>
      </c>
      <c r="C3" s="302"/>
      <c r="D3" s="306" t="str">
        <f>'Bond Data'!B4</f>
        <v>CB6 Govt</v>
      </c>
      <c r="E3" s="542"/>
      <c r="F3" s="542" t="str">
        <f>'Bond Data'!D4</f>
        <v>1/2/2020</v>
      </c>
      <c r="G3" s="306"/>
      <c r="H3" s="526">
        <f>100*(1-180/360*'Bond Data'!F4/100)</f>
        <v>98.9893</v>
      </c>
      <c r="I3" s="306">
        <f>'Bond Data'!G4</f>
        <v>0</v>
      </c>
      <c r="J3" s="306"/>
      <c r="K3" s="306">
        <f t="shared" ref="K3:K4" si="3">H3</f>
        <v>98.9893</v>
      </c>
      <c r="L3" s="300">
        <f t="shared" ref="L3:L4" si="4">YIELD($B$3,F3,J3,H3,100,1,0)</f>
        <v>2.0420388870312198E-2</v>
      </c>
      <c r="M3" s="300">
        <f t="shared" si="0"/>
        <v>0.48999412933481301</v>
      </c>
      <c r="N3" s="300">
        <f t="shared" si="1"/>
        <v>0.5</v>
      </c>
      <c r="O3" s="300">
        <f t="shared" ref="O3:O8" si="5">1/M3</f>
        <v>2.0408407777406246</v>
      </c>
      <c r="P3" s="300">
        <f t="shared" si="2"/>
        <v>0.19587455264069464</v>
      </c>
      <c r="BO3" s="304"/>
    </row>
    <row r="4" spans="1:152">
      <c r="A4" s="305" t="s">
        <v>46</v>
      </c>
      <c r="B4" s="305"/>
      <c r="C4" s="302"/>
      <c r="D4" s="306" t="str">
        <f>'Bond Data'!B5</f>
        <v>CB12 Govt</v>
      </c>
      <c r="E4" s="542"/>
      <c r="F4" s="542" t="str">
        <f>'Bond Data'!D5</f>
        <v>6/18/2020</v>
      </c>
      <c r="G4" s="306"/>
      <c r="H4" s="526">
        <f>100*(1-360/360*'Bond Data'!F5/100)</f>
        <v>98.125050000000002</v>
      </c>
      <c r="I4" s="306">
        <f>'Bond Data'!G5</f>
        <v>0</v>
      </c>
      <c r="J4" s="306"/>
      <c r="K4" s="306">
        <f t="shared" si="3"/>
        <v>98.125050000000002</v>
      </c>
      <c r="L4" s="300">
        <f t="shared" si="4"/>
        <v>1.9880907361593512E-2</v>
      </c>
      <c r="M4" s="300">
        <f t="shared" si="0"/>
        <v>0.94237582464160619</v>
      </c>
      <c r="N4" s="300">
        <f t="shared" si="1"/>
        <v>0.96111111111111125</v>
      </c>
      <c r="O4" s="300">
        <f>1/M4</f>
        <v>1.0611477648848948</v>
      </c>
      <c r="P4" s="300">
        <f t="shared" si="2"/>
        <v>0.10184618320034283</v>
      </c>
      <c r="BO4" s="304"/>
    </row>
    <row r="5" spans="1:152">
      <c r="A5" s="305" t="s">
        <v>50</v>
      </c>
      <c r="B5" s="451">
        <f>'Instructions &amp; Dashboard'!$D$40/100</f>
        <v>4.2000000000000003E-2</v>
      </c>
      <c r="C5" s="302"/>
      <c r="D5" s="306" t="str">
        <f>'Bond Data'!B6</f>
        <v>CT2 Govt</v>
      </c>
      <c r="E5" s="542" t="str">
        <f>'Bond Data'!C6</f>
        <v>12/31/2019</v>
      </c>
      <c r="F5" s="542" t="str">
        <f>'Bond Data'!D6</f>
        <v>6/30/2021</v>
      </c>
      <c r="G5" s="306">
        <f>'Bond Data'!E6</f>
        <v>2</v>
      </c>
      <c r="H5" s="306">
        <f>'Bond Data'!F6</f>
        <v>99.720703125</v>
      </c>
      <c r="I5" s="306">
        <f>'Bond Data'!G6</f>
        <v>1.3247282608695652E-2</v>
      </c>
      <c r="J5" s="306">
        <f>'Bond Data'!H6/100</f>
        <v>1.6250000000000001E-2</v>
      </c>
      <c r="K5" s="306">
        <f>'Bond Data'!I6</f>
        <v>99.733950407608702</v>
      </c>
      <c r="L5" s="300">
        <f>YIELD($B$3,F5,J5,H5,100,G5,0)</f>
        <v>1.7681190215367338E-2</v>
      </c>
      <c r="M5" s="300">
        <f>MDURATION($B$3,F5,J5,L5,G5,0)</f>
        <v>1.9530899600000187</v>
      </c>
      <c r="N5" s="300">
        <f>DURATION($B$3,F5,J5,L5,G5,0)</f>
        <v>1.9703564375452611</v>
      </c>
      <c r="O5" s="300">
        <f t="shared" si="5"/>
        <v>0.51200918569055076</v>
      </c>
      <c r="P5" s="300">
        <f t="shared" si="2"/>
        <v>4.9141300629092506E-2</v>
      </c>
      <c r="BO5" s="304"/>
    </row>
    <row r="6" spans="1:152">
      <c r="A6" s="305" t="s">
        <v>11</v>
      </c>
      <c r="B6" s="305">
        <v>-2.4525442007552144E-2</v>
      </c>
      <c r="C6" s="302"/>
      <c r="D6" s="306" t="str">
        <f>'Bond Data'!B7</f>
        <v>CT3 Govt</v>
      </c>
      <c r="E6" s="542" t="str">
        <f>'Bond Data'!C7</f>
        <v>12/15/2019</v>
      </c>
      <c r="F6" s="542" t="str">
        <f>'Bond Data'!D7</f>
        <v>6/15/2022</v>
      </c>
      <c r="G6" s="306">
        <f>'Bond Data'!E7</f>
        <v>2</v>
      </c>
      <c r="H6" s="306">
        <f>'Bond Data'!F7</f>
        <v>100.09375</v>
      </c>
      <c r="I6" s="306">
        <f>'Bond Data'!G7</f>
        <v>8.6065573770491802E-2</v>
      </c>
      <c r="J6" s="306">
        <f>'Bond Data'!H7/100</f>
        <v>1.7500000000000002E-2</v>
      </c>
      <c r="K6" s="306">
        <f>'Bond Data'!I7</f>
        <v>100.1798155737705</v>
      </c>
      <c r="L6" s="300">
        <f t="shared" ref="L6:L27" si="6">YIELD($B$3,F6,J6,H6,100,G6,0)</f>
        <v>1.7171909815564237E-2</v>
      </c>
      <c r="M6" s="300">
        <f t="shared" ref="M6:M27" si="7">MDURATION($B$3,F6,J6,L6,G6,0)</f>
        <v>2.8639172076105415</v>
      </c>
      <c r="N6" s="300">
        <f t="shared" ref="N6:N27" si="8">DURATION($B$3,F6,J6,L6,G6,0)</f>
        <v>2.8885066716147065</v>
      </c>
      <c r="O6" s="300">
        <f t="shared" si="5"/>
        <v>0.34917210502545648</v>
      </c>
      <c r="P6" s="300">
        <f t="shared" si="2"/>
        <v>3.351262411670769E-2</v>
      </c>
      <c r="BO6" s="304"/>
    </row>
    <row r="7" spans="1:152">
      <c r="A7" s="305" t="s">
        <v>12</v>
      </c>
      <c r="B7" s="305">
        <v>-1.0393981879277385</v>
      </c>
      <c r="C7" s="302"/>
      <c r="D7" s="306" t="str">
        <f>'Bond Data'!B8</f>
        <v>CT4 Govt</v>
      </c>
      <c r="E7" s="542" t="str">
        <f>'Bond Data'!C8</f>
        <v>12/31/2019</v>
      </c>
      <c r="F7" s="542" t="str">
        <f>'Bond Data'!D8</f>
        <v>6/30/2023</v>
      </c>
      <c r="G7" s="306">
        <f>'Bond Data'!E8</f>
        <v>2</v>
      </c>
      <c r="H7" s="306">
        <f>'Bond Data'!F8</f>
        <v>103.37890625</v>
      </c>
      <c r="I7" s="306">
        <f>'Bond Data'!G8</f>
        <v>2.1399456521739128E-2</v>
      </c>
      <c r="J7" s="306">
        <f>'Bond Data'!H8/100</f>
        <v>2.6249999999999999E-2</v>
      </c>
      <c r="K7" s="306">
        <f>'Bond Data'!I8</f>
        <v>103.40030570652173</v>
      </c>
      <c r="L7" s="300">
        <f t="shared" si="6"/>
        <v>1.7455645071600315E-2</v>
      </c>
      <c r="M7" s="300">
        <f t="shared" si="7"/>
        <v>3.788199555924006</v>
      </c>
      <c r="N7" s="300">
        <f t="shared" si="8"/>
        <v>3.8212622893783075</v>
      </c>
      <c r="O7" s="300">
        <f t="shared" si="5"/>
        <v>0.26397764564334919</v>
      </c>
      <c r="P7" s="300">
        <f t="shared" si="2"/>
        <v>2.5335883039723516E-2</v>
      </c>
      <c r="BO7" s="304"/>
    </row>
    <row r="8" spans="1:152">
      <c r="A8" s="305" t="s">
        <v>51</v>
      </c>
      <c r="B8" s="305">
        <v>1.0123545567755907</v>
      </c>
      <c r="C8" s="302"/>
      <c r="D8" s="306" t="str">
        <f>'Bond Data'!B9</f>
        <v>CT5 Govt</v>
      </c>
      <c r="E8" s="542" t="str">
        <f>'Bond Data'!C9</f>
        <v>12/31/2019</v>
      </c>
      <c r="F8" s="542" t="str">
        <f>'Bond Data'!D9</f>
        <v>6/30/2024</v>
      </c>
      <c r="G8" s="306">
        <f>'Bond Data'!E9</f>
        <v>2</v>
      </c>
      <c r="H8" s="306">
        <f>'Bond Data'!F9</f>
        <v>99.8984375</v>
      </c>
      <c r="I8" s="306">
        <f>'Bond Data'!G9</f>
        <v>1.4266304347826086E-2</v>
      </c>
      <c r="J8" s="306">
        <f>'Bond Data'!H9/100</f>
        <v>1.7500000000000002E-2</v>
      </c>
      <c r="K8" s="306">
        <f>'Bond Data'!I9</f>
        <v>99.912703804347828</v>
      </c>
      <c r="L8" s="300">
        <f t="shared" si="6"/>
        <v>1.7713288257118428E-2</v>
      </c>
      <c r="M8" s="300">
        <f t="shared" si="7"/>
        <v>4.7614325324915923</v>
      </c>
      <c r="N8" s="300">
        <f t="shared" si="8"/>
        <v>4.8036028459740141</v>
      </c>
      <c r="O8" s="300">
        <f t="shared" si="5"/>
        <v>0.21002082738253433</v>
      </c>
      <c r="P8" s="300">
        <f t="shared" si="2"/>
        <v>2.0157248942431101E-2</v>
      </c>
      <c r="BO8" s="304"/>
    </row>
    <row r="9" spans="1:152">
      <c r="A9" s="305" t="s">
        <v>53</v>
      </c>
      <c r="B9" s="305">
        <v>8.9829027485211501</v>
      </c>
      <c r="C9" s="302"/>
      <c r="D9" s="306" t="str">
        <f>'Bond Data'!B10</f>
        <v>CT7 Govt</v>
      </c>
      <c r="E9" s="542" t="str">
        <f>'Bond Data'!C10</f>
        <v>12/31/2019</v>
      </c>
      <c r="F9" s="542" t="str">
        <f>'Bond Data'!D10</f>
        <v>6/30/2026</v>
      </c>
      <c r="G9" s="306">
        <f>'Bond Data'!E10</f>
        <v>2</v>
      </c>
      <c r="H9" s="306">
        <f>'Bond Data'!F10</f>
        <v>99.9765625</v>
      </c>
      <c r="I9" s="306">
        <f>'Bond Data'!G10</f>
        <v>1.5285326086956522E-2</v>
      </c>
      <c r="J9" s="306">
        <f>'Bond Data'!H10/100</f>
        <v>1.8749999999999999E-2</v>
      </c>
      <c r="K9" s="306">
        <f>'Bond Data'!I10</f>
        <v>99.991847826086953</v>
      </c>
      <c r="L9" s="300">
        <f t="shared" si="6"/>
        <v>1.8785841627101306E-2</v>
      </c>
      <c r="M9" s="300">
        <f t="shared" si="7"/>
        <v>6.5257943561910272</v>
      </c>
      <c r="N9" s="300">
        <f t="shared" si="8"/>
        <v>6.5870906258242448</v>
      </c>
      <c r="O9" s="300">
        <f t="shared" ref="O9:O27" si="9">1/M9</f>
        <v>0.15323804971747218</v>
      </c>
      <c r="P9" s="300">
        <f t="shared" si="2"/>
        <v>1.4707386663045757E-2</v>
      </c>
      <c r="BO9" s="304"/>
    </row>
    <row r="10" spans="1:152">
      <c r="A10" s="305" t="s">
        <v>52</v>
      </c>
      <c r="B10" s="305">
        <v>8.9542274432135009</v>
      </c>
      <c r="C10" s="302"/>
      <c r="D10" s="306" t="str">
        <f>'Bond Data'!B11</f>
        <v>CT10 Govt</v>
      </c>
      <c r="E10" s="542" t="str">
        <f>'Bond Data'!C11</f>
        <v>11/15/2019</v>
      </c>
      <c r="F10" s="542" t="str">
        <f>'Bond Data'!D11</f>
        <v>5/15/2029</v>
      </c>
      <c r="G10" s="547">
        <f>'Bond Data'!E11</f>
        <v>2</v>
      </c>
      <c r="H10" s="306">
        <f>'Bond Data'!F11</f>
        <v>103.2421875</v>
      </c>
      <c r="I10" s="306">
        <f>'Bond Data'!G11</f>
        <v>0.31623641304347827</v>
      </c>
      <c r="J10" s="306">
        <f>'Bond Data'!H11/100</f>
        <v>2.375E-2</v>
      </c>
      <c r="K10" s="306">
        <f>'Bond Data'!I11</f>
        <v>103.55842391304348</v>
      </c>
      <c r="L10" s="300">
        <f t="shared" si="6"/>
        <v>2.0110418181135594E-2</v>
      </c>
      <c r="M10" s="300">
        <f t="shared" si="7"/>
        <v>8.7618849295927284</v>
      </c>
      <c r="N10" s="300">
        <f t="shared" si="8"/>
        <v>8.8499875145872782</v>
      </c>
      <c r="O10" s="300">
        <f t="shared" si="9"/>
        <v>0.11413069311405373</v>
      </c>
      <c r="P10" s="300">
        <f t="shared" si="2"/>
        <v>1.0953965003108574E-2</v>
      </c>
      <c r="BO10" s="304"/>
    </row>
    <row r="11" spans="1:152">
      <c r="A11" s="305"/>
      <c r="B11" s="305"/>
      <c r="C11" s="302"/>
      <c r="D11" s="306" t="str">
        <f>'Bond Data'!B12</f>
        <v>912810EV Govt</v>
      </c>
      <c r="E11" s="542" t="str">
        <f>'Bond Data'!C12</f>
        <v>8/15/2019</v>
      </c>
      <c r="F11" s="542" t="str">
        <f>'Bond Data'!D12</f>
        <v>8/15/2025</v>
      </c>
      <c r="G11" s="306">
        <f>'Bond Data'!E12</f>
        <v>2</v>
      </c>
      <c r="H11" s="306">
        <f>'Bond Data'!F12</f>
        <v>128.9375</v>
      </c>
      <c r="I11" s="306">
        <f>'Bond Data'!G12</f>
        <v>2.6208563535911602</v>
      </c>
      <c r="J11" s="306">
        <f>'Bond Data'!H12/100</f>
        <v>6.8750000000000006E-2</v>
      </c>
      <c r="K11" s="306">
        <f>'Bond Data'!I12</f>
        <v>131.55835635359117</v>
      </c>
      <c r="L11" s="300">
        <f t="shared" si="6"/>
        <v>1.8510205186143287E-2</v>
      </c>
      <c r="M11" s="300">
        <f t="shared" si="7"/>
        <v>5.0889354931788713</v>
      </c>
      <c r="N11" s="300">
        <f t="shared" si="8"/>
        <v>5.1360341132577654</v>
      </c>
      <c r="O11" s="300">
        <f t="shared" si="9"/>
        <v>0.19650475061835312</v>
      </c>
      <c r="P11" s="300">
        <f t="shared" si="2"/>
        <v>1.8860011294831648E-2</v>
      </c>
      <c r="BO11" s="304"/>
    </row>
    <row r="12" spans="1:152">
      <c r="C12" s="302"/>
      <c r="D12" s="306" t="str">
        <f>'Bond Data'!B13</f>
        <v>912810EY Govt</v>
      </c>
      <c r="E12" s="542" t="str">
        <f>'Bond Data'!C13</f>
        <v>11/15/2019</v>
      </c>
      <c r="F12" s="542" t="str">
        <f>'Bond Data'!D13</f>
        <v>11/15/2026</v>
      </c>
      <c r="G12" s="306">
        <f>'Bond Data'!E13</f>
        <v>2</v>
      </c>
      <c r="H12" s="306">
        <f>'Bond Data'!F13</f>
        <v>131.5078125</v>
      </c>
      <c r="I12" s="306">
        <f>'Bond Data'!G13</f>
        <v>0.86548913043478271</v>
      </c>
      <c r="J12" s="306">
        <f>'Bond Data'!H13/100</f>
        <v>6.5000000000000002E-2</v>
      </c>
      <c r="K12" s="306">
        <f>'Bond Data'!I13</f>
        <v>132.37330163043478</v>
      </c>
      <c r="L12" s="300">
        <f t="shared" si="6"/>
        <v>1.8979163928446872E-2</v>
      </c>
      <c r="M12" s="300">
        <f t="shared" si="7"/>
        <v>6.0822655775979877</v>
      </c>
      <c r="N12" s="300">
        <f t="shared" si="8"/>
        <v>6.1399837353247779</v>
      </c>
      <c r="O12" s="300">
        <f t="shared" si="9"/>
        <v>0.16441241955681268</v>
      </c>
      <c r="P12" s="300">
        <f t="shared" si="2"/>
        <v>1.5779873413210382E-2</v>
      </c>
      <c r="BO12" s="304"/>
    </row>
    <row r="13" spans="1:152">
      <c r="B13" s="307"/>
      <c r="C13" s="302"/>
      <c r="D13" s="306" t="str">
        <f>'Bond Data'!B14</f>
        <v>912810FA Govt</v>
      </c>
      <c r="E13" s="542" t="str">
        <f>'Bond Data'!C14</f>
        <v>8/15/2019</v>
      </c>
      <c r="F13" s="542" t="str">
        <f>'Bond Data'!D14</f>
        <v>8/15/2027</v>
      </c>
      <c r="G13" s="306">
        <f>'Bond Data'!E14</f>
        <v>2</v>
      </c>
      <c r="H13" s="306">
        <f>'Bond Data'!F14</f>
        <v>133.25</v>
      </c>
      <c r="I13" s="306">
        <f>'Bond Data'!G14</f>
        <v>2.4302486187845305</v>
      </c>
      <c r="J13" s="306">
        <f>'Bond Data'!H14/100</f>
        <v>6.3750000000000001E-2</v>
      </c>
      <c r="K13" s="306">
        <f>'Bond Data'!I14</f>
        <v>135.68024861878453</v>
      </c>
      <c r="L13" s="300">
        <f t="shared" si="6"/>
        <v>1.930500822169496E-2</v>
      </c>
      <c r="M13" s="300">
        <f t="shared" si="7"/>
        <v>6.5361632451688259</v>
      </c>
      <c r="N13" s="300">
        <f t="shared" si="8"/>
        <v>6.5992535877619884</v>
      </c>
      <c r="O13" s="300">
        <f t="shared" si="9"/>
        <v>0.15299495476021735</v>
      </c>
      <c r="P13" s="300">
        <f t="shared" si="2"/>
        <v>1.4684055045743296E-2</v>
      </c>
      <c r="BO13" s="304"/>
    </row>
    <row r="14" spans="1:152">
      <c r="B14" s="307"/>
      <c r="C14" s="302"/>
      <c r="D14" s="306" t="str">
        <f>'Bond Data'!B15</f>
        <v>912810FF Govt</v>
      </c>
      <c r="E14" s="542" t="str">
        <f>'Bond Data'!C15</f>
        <v>11/15/2019</v>
      </c>
      <c r="F14" s="542" t="str">
        <f>'Bond Data'!D15</f>
        <v>11/15/2028</v>
      </c>
      <c r="G14" s="306">
        <f>'Bond Data'!E15</f>
        <v>2</v>
      </c>
      <c r="H14" s="306">
        <f>'Bond Data'!F15</f>
        <v>127.8046875</v>
      </c>
      <c r="I14" s="306">
        <f>'Bond Data'!G15</f>
        <v>0.69904891304347827</v>
      </c>
      <c r="J14" s="306">
        <f>'Bond Data'!H15/100</f>
        <v>5.2499999999999998E-2</v>
      </c>
      <c r="K14" s="306">
        <f>'Bond Data'!I15</f>
        <v>128.50373641304347</v>
      </c>
      <c r="L14" s="300">
        <f t="shared" si="6"/>
        <v>1.983219684957177E-2</v>
      </c>
      <c r="M14" s="300">
        <f t="shared" si="7"/>
        <v>7.6523231545725023</v>
      </c>
      <c r="N14" s="300">
        <f t="shared" si="8"/>
        <v>7.7282043441515116</v>
      </c>
      <c r="O14" s="300">
        <f t="shared" si="9"/>
        <v>0.13067926952385286</v>
      </c>
      <c r="P14" s="300">
        <f t="shared" si="2"/>
        <v>1.2542254024214031E-2</v>
      </c>
      <c r="BO14" s="304"/>
    </row>
    <row r="15" spans="1:152">
      <c r="B15" s="307"/>
      <c r="C15" s="302"/>
      <c r="D15" s="306" t="str">
        <f>'Bond Data'!B16</f>
        <v>912810FG Govt</v>
      </c>
      <c r="E15" s="542" t="str">
        <f>'Bond Data'!C16</f>
        <v>8/15/2019</v>
      </c>
      <c r="F15" s="542" t="str">
        <f>'Bond Data'!D16</f>
        <v>2/15/2029</v>
      </c>
      <c r="G15" s="306">
        <f>'Bond Data'!E16</f>
        <v>2</v>
      </c>
      <c r="H15" s="306">
        <f>'Bond Data'!F16</f>
        <v>128.3828125</v>
      </c>
      <c r="I15" s="306">
        <f>'Bond Data'!G16</f>
        <v>2.0013812154696136</v>
      </c>
      <c r="J15" s="306">
        <f>'Bond Data'!H16/100</f>
        <v>5.2499999999999998E-2</v>
      </c>
      <c r="K15" s="306">
        <f>'Bond Data'!I16</f>
        <v>130.38419371546962</v>
      </c>
      <c r="L15" s="300">
        <f t="shared" si="6"/>
        <v>1.9927088832362098E-2</v>
      </c>
      <c r="M15" s="300">
        <f t="shared" si="7"/>
        <v>7.7425147573447832</v>
      </c>
      <c r="N15" s="300">
        <f t="shared" si="8"/>
        <v>7.8196576470225247</v>
      </c>
      <c r="O15" s="300">
        <f t="shared" si="9"/>
        <v>0.12915700277501826</v>
      </c>
      <c r="P15" s="300">
        <f t="shared" si="2"/>
        <v>1.2396150848660139E-2</v>
      </c>
      <c r="BO15" s="304"/>
    </row>
    <row r="16" spans="1:152">
      <c r="B16" s="305">
        <v>-2.5302293748193917E-2</v>
      </c>
      <c r="C16" s="302"/>
      <c r="D16" s="306" t="str">
        <f>'Bond Data'!B17</f>
        <v>912810FM Govt</v>
      </c>
      <c r="E16" s="542" t="str">
        <f>'Bond Data'!C17</f>
        <v>11/15/2019</v>
      </c>
      <c r="F16" s="542" t="str">
        <f>'Bond Data'!D17</f>
        <v>5/15/2030</v>
      </c>
      <c r="G16" s="306">
        <f>'Bond Data'!E17</f>
        <v>2</v>
      </c>
      <c r="H16" s="306">
        <f>'Bond Data'!F17</f>
        <v>140.9609375</v>
      </c>
      <c r="I16" s="306">
        <f>'Bond Data'!G17</f>
        <v>0.83220108695652184</v>
      </c>
      <c r="J16" s="306">
        <f>'Bond Data'!H17/100</f>
        <v>6.25E-2</v>
      </c>
      <c r="K16" s="306">
        <f>'Bond Data'!I17</f>
        <v>141.79313858695653</v>
      </c>
      <c r="L16" s="300">
        <f t="shared" si="6"/>
        <v>2.0309699547011721E-2</v>
      </c>
      <c r="M16" s="300">
        <f t="shared" si="7"/>
        <v>8.4186219831382427</v>
      </c>
      <c r="N16" s="300">
        <f t="shared" si="8"/>
        <v>8.5041118246769454</v>
      </c>
      <c r="O16" s="300">
        <f t="shared" si="9"/>
        <v>0.11878428583714909</v>
      </c>
      <c r="P16" s="300">
        <f t="shared" si="2"/>
        <v>1.1400604644353602E-2</v>
      </c>
      <c r="BO16" s="304"/>
    </row>
    <row r="17" spans="1:201">
      <c r="B17" s="305">
        <v>-3.3997215873750996E-3</v>
      </c>
      <c r="C17" s="302"/>
      <c r="D17" s="306" t="str">
        <f>'Bond Data'!B18</f>
        <v>912810FP Govt</v>
      </c>
      <c r="E17" s="542" t="str">
        <f>'Bond Data'!C18</f>
        <v>8/15/2019</v>
      </c>
      <c r="F17" s="542" t="str">
        <f>'Bond Data'!D18</f>
        <v>2/15/2031</v>
      </c>
      <c r="G17" s="306">
        <f>'Bond Data'!E18</f>
        <v>2</v>
      </c>
      <c r="H17" s="306">
        <f>'Bond Data'!F18</f>
        <v>134.171875</v>
      </c>
      <c r="I17" s="306">
        <f>'Bond Data'!G18</f>
        <v>2.049033149171271</v>
      </c>
      <c r="J17" s="306">
        <f>'Bond Data'!H18/100</f>
        <v>5.3749999999999999E-2</v>
      </c>
      <c r="K17" s="306">
        <f>'Bond Data'!I18</f>
        <v>136.22090814917127</v>
      </c>
      <c r="L17" s="300">
        <f t="shared" si="6"/>
        <v>2.0539489244294516E-2</v>
      </c>
      <c r="M17" s="300">
        <f t="shared" si="7"/>
        <v>9.0030416797371924</v>
      </c>
      <c r="N17" s="300">
        <f t="shared" si="8"/>
        <v>9.0955006186106413</v>
      </c>
      <c r="O17" s="300">
        <f t="shared" si="9"/>
        <v>0.11107357219623479</v>
      </c>
      <c r="P17" s="300">
        <f t="shared" si="2"/>
        <v>1.066055054438278E-2</v>
      </c>
      <c r="BO17" s="304"/>
    </row>
    <row r="18" spans="1:201">
      <c r="B18" s="305">
        <v>-3.4086186513090699E-2</v>
      </c>
      <c r="C18" s="302"/>
      <c r="D18" s="306" t="str">
        <f>'Bond Data'!B19</f>
        <v>CT20 Govt</v>
      </c>
      <c r="E18" s="542" t="str">
        <f>'Bond Data'!C19</f>
        <v>11/15/2019</v>
      </c>
      <c r="F18" s="542" t="str">
        <f>'Bond Data'!D19</f>
        <v>5/15/2039</v>
      </c>
      <c r="G18" s="306">
        <f>'Bond Data'!E19</f>
        <v>2</v>
      </c>
      <c r="H18" s="306">
        <f>'Bond Data'!F19</f>
        <v>130.5859375</v>
      </c>
      <c r="I18" s="306">
        <f>'Bond Data'!G19</f>
        <v>0.56589673913043481</v>
      </c>
      <c r="J18" s="306">
        <f>'Bond Data'!H19/100</f>
        <v>4.2500000000000003E-2</v>
      </c>
      <c r="K18" s="306">
        <f>'Bond Data'!I19</f>
        <v>131.15183423913044</v>
      </c>
      <c r="L18" s="300">
        <f t="shared" si="6"/>
        <v>2.3198223952599711E-2</v>
      </c>
      <c r="M18" s="300">
        <f t="shared" si="7"/>
        <v>14.259118053093539</v>
      </c>
      <c r="N18" s="300">
        <f t="shared" si="8"/>
        <v>14.424511160074651</v>
      </c>
      <c r="O18" s="300">
        <f t="shared" si="9"/>
        <v>7.0130564616725954E-2</v>
      </c>
      <c r="P18" s="300">
        <f t="shared" si="2"/>
        <v>6.7309479115505834E-3</v>
      </c>
      <c r="BO18" s="304"/>
    </row>
    <row r="19" spans="1:201">
      <c r="B19" s="305">
        <v>1.9849612445089837</v>
      </c>
      <c r="C19" s="302"/>
      <c r="D19" s="306" t="str">
        <f>'Bond Data'!B20</f>
        <v>912810FT Govt</v>
      </c>
      <c r="E19" s="542" t="str">
        <f>'Bond Data'!C20</f>
        <v>8/15/2019</v>
      </c>
      <c r="F19" s="542" t="str">
        <f>'Bond Data'!D20</f>
        <v>2/15/2036</v>
      </c>
      <c r="G19" s="306">
        <f>'Bond Data'!E20</f>
        <v>2</v>
      </c>
      <c r="H19" s="306">
        <f>'Bond Data'!F20</f>
        <v>131.75</v>
      </c>
      <c r="I19" s="306">
        <f>'Bond Data'!G20</f>
        <v>1.7154696132596685</v>
      </c>
      <c r="J19" s="306">
        <f>'Bond Data'!H20/100</f>
        <v>4.4999999999999998E-2</v>
      </c>
      <c r="K19" s="306">
        <f>'Bond Data'!I20</f>
        <v>133.46546961325967</v>
      </c>
      <c r="L19" s="300">
        <f t="shared" si="6"/>
        <v>2.20724384951567E-2</v>
      </c>
      <c r="M19" s="300">
        <f t="shared" si="7"/>
        <v>12.273114592066191</v>
      </c>
      <c r="N19" s="300">
        <f t="shared" si="8"/>
        <v>12.408563375554888</v>
      </c>
      <c r="O19" s="300">
        <f t="shared" si="9"/>
        <v>8.1478910059752732E-2</v>
      </c>
      <c r="P19" s="300">
        <f t="shared" si="2"/>
        <v>7.8201323844940395E-3</v>
      </c>
      <c r="BO19" s="304"/>
    </row>
    <row r="20" spans="1:201">
      <c r="B20" s="305">
        <v>10.635911182569904</v>
      </c>
      <c r="C20" s="302"/>
      <c r="D20" s="306" t="str">
        <f>'Bond Data'!B21</f>
        <v>912810PT Govt</v>
      </c>
      <c r="E20" s="542" t="str">
        <f>'Bond Data'!C21</f>
        <v>8/15/2019</v>
      </c>
      <c r="F20" s="542" t="str">
        <f>'Bond Data'!D21</f>
        <v>2/15/2037</v>
      </c>
      <c r="G20" s="306">
        <f>'Bond Data'!E21</f>
        <v>2</v>
      </c>
      <c r="H20" s="306">
        <f>'Bond Data'!F21</f>
        <v>136.7265625</v>
      </c>
      <c r="I20" s="306">
        <f>'Bond Data'!G21</f>
        <v>1.8107734806629836</v>
      </c>
      <c r="J20" s="306">
        <f>'Bond Data'!H21/100</f>
        <v>4.7500000000000001E-2</v>
      </c>
      <c r="K20" s="306">
        <f>'Bond Data'!I21</f>
        <v>138.53733598066299</v>
      </c>
      <c r="L20" s="300">
        <f t="shared" si="6"/>
        <v>2.2198566885050106E-2</v>
      </c>
      <c r="M20" s="300">
        <f t="shared" si="7"/>
        <v>12.70578293645829</v>
      </c>
      <c r="N20" s="300">
        <f t="shared" si="8"/>
        <v>12.846808022629238</v>
      </c>
      <c r="O20" s="300">
        <f t="shared" si="9"/>
        <v>7.8704319521355523E-2</v>
      </c>
      <c r="P20" s="300">
        <f t="shared" si="2"/>
        <v>7.5538344516041826E-3</v>
      </c>
      <c r="BO20" s="304"/>
    </row>
    <row r="21" spans="1:201">
      <c r="C21" s="302"/>
      <c r="D21" s="306" t="str">
        <f>'Bond Data'!B22</f>
        <v>912810PW Govt</v>
      </c>
      <c r="E21" s="542" t="str">
        <f>'Bond Data'!C22</f>
        <v>8/15/2019</v>
      </c>
      <c r="F21" s="542" t="str">
        <f>'Bond Data'!D22</f>
        <v>2/15/2038</v>
      </c>
      <c r="G21" s="306">
        <f>'Bond Data'!E22</f>
        <v>2</v>
      </c>
      <c r="H21" s="306">
        <f>'Bond Data'!F22</f>
        <v>131.9921875</v>
      </c>
      <c r="I21" s="306">
        <f>'Bond Data'!G22</f>
        <v>1.6678176795580111</v>
      </c>
      <c r="J21" s="306">
        <f>'Bond Data'!H22/100</f>
        <v>4.3749999999999997E-2</v>
      </c>
      <c r="K21" s="306">
        <f>'Bond Data'!I22</f>
        <v>133.660005179558</v>
      </c>
      <c r="L21" s="300">
        <f t="shared" si="6"/>
        <v>2.2602514341813831E-2</v>
      </c>
      <c r="M21" s="300">
        <f t="shared" si="7"/>
        <v>13.429802383976693</v>
      </c>
      <c r="N21" s="300">
        <f t="shared" si="8"/>
        <v>13.581576034472473</v>
      </c>
      <c r="O21" s="300">
        <f t="shared" si="9"/>
        <v>7.4461259474161406E-2</v>
      </c>
      <c r="P21" s="300">
        <f t="shared" si="2"/>
        <v>7.1465966613578243E-3</v>
      </c>
      <c r="BO21" s="304"/>
    </row>
    <row r="22" spans="1:201">
      <c r="C22" s="302"/>
      <c r="D22" s="306" t="str">
        <f>'Bond Data'!B23</f>
        <v>912810QA Govt</v>
      </c>
      <c r="E22" s="542" t="str">
        <f>'Bond Data'!C23</f>
        <v>8/15/2019</v>
      </c>
      <c r="F22" s="542" t="str">
        <f>'Bond Data'!D23</f>
        <v>2/15/2039</v>
      </c>
      <c r="G22" s="306">
        <f>'Bond Data'!E23</f>
        <v>2</v>
      </c>
      <c r="H22" s="306">
        <f>'Bond Data'!F23</f>
        <v>118.578125</v>
      </c>
      <c r="I22" s="306">
        <f>'Bond Data'!G23</f>
        <v>1.334254143646409</v>
      </c>
      <c r="J22" s="306">
        <f>'Bond Data'!H23/100</f>
        <v>3.5000000000000003E-2</v>
      </c>
      <c r="K22" s="306">
        <f>'Bond Data'!I23</f>
        <v>119.9123791436464</v>
      </c>
      <c r="L22" s="300">
        <f t="shared" si="6"/>
        <v>2.3161877810865109E-2</v>
      </c>
      <c r="M22" s="300">
        <f t="shared" si="7"/>
        <v>14.517858476562282</v>
      </c>
      <c r="N22" s="300">
        <f t="shared" si="8"/>
        <v>14.685988908617068</v>
      </c>
      <c r="O22" s="300">
        <f t="shared" si="9"/>
        <v>6.8880682479058875E-2</v>
      </c>
      <c r="P22" s="300">
        <f t="shared" si="2"/>
        <v>6.6109874975685727E-3</v>
      </c>
      <c r="BO22" s="304"/>
    </row>
    <row r="23" spans="1:201">
      <c r="C23" s="302"/>
      <c r="D23" s="306" t="str">
        <f>'Bond Data'!B24</f>
        <v>912810QK Govt</v>
      </c>
      <c r="E23" s="542" t="str">
        <f>'Bond Data'!C24</f>
        <v>8/15/2019</v>
      </c>
      <c r="F23" s="542" t="str">
        <f>'Bond Data'!D24</f>
        <v>8/15/2040</v>
      </c>
      <c r="G23" s="306">
        <f>'Bond Data'!E24</f>
        <v>2</v>
      </c>
      <c r="H23" s="306">
        <f>'Bond Data'!F24</f>
        <v>124.6640625</v>
      </c>
      <c r="I23" s="306">
        <f>'Bond Data'!G24</f>
        <v>1.4772099447513813</v>
      </c>
      <c r="J23" s="306">
        <f>'Bond Data'!H24/100</f>
        <v>3.875E-2</v>
      </c>
      <c r="K23" s="306">
        <f>'Bond Data'!I24</f>
        <v>126.14127244475138</v>
      </c>
      <c r="L23" s="300">
        <f t="shared" si="6"/>
        <v>2.3819694898109641E-2</v>
      </c>
      <c r="M23" s="300">
        <f t="shared" si="7"/>
        <v>15.017723970632202</v>
      </c>
      <c r="N23" s="300">
        <f t="shared" si="8"/>
        <v>15.196582772154446</v>
      </c>
      <c r="O23" s="300">
        <f t="shared" si="9"/>
        <v>6.6587986432267807E-2</v>
      </c>
      <c r="P23" s="300">
        <f t="shared" si="2"/>
        <v>6.3909405358435834E-3</v>
      </c>
    </row>
    <row r="24" spans="1:201">
      <c r="C24" s="302"/>
      <c r="D24" s="306" t="str">
        <f>'Bond Data'!B25</f>
        <v>912810QQ Govt</v>
      </c>
      <c r="E24" s="542" t="str">
        <f>'Bond Data'!C25</f>
        <v>11/15/2019</v>
      </c>
      <c r="F24" s="542" t="str">
        <f>'Bond Data'!D25</f>
        <v>5/15/2041</v>
      </c>
      <c r="G24" s="306">
        <f>'Bond Data'!E25</f>
        <v>2</v>
      </c>
      <c r="H24" s="306">
        <f>'Bond Data'!F25</f>
        <v>133.2734375</v>
      </c>
      <c r="I24" s="306">
        <f>'Bond Data'!G25</f>
        <v>0.5825407608695653</v>
      </c>
      <c r="J24" s="306">
        <f>'Bond Data'!H25/100</f>
        <v>4.3749999999999997E-2</v>
      </c>
      <c r="K24" s="306">
        <f>'Bond Data'!I25</f>
        <v>133.85597826086956</v>
      </c>
      <c r="L24" s="300">
        <f t="shared" si="6"/>
        <v>2.4087065485897476E-2</v>
      </c>
      <c r="M24" s="300">
        <f t="shared" si="7"/>
        <v>15.159060937652116</v>
      </c>
      <c r="N24" s="300">
        <f t="shared" si="8"/>
        <v>15.341629584407084</v>
      </c>
      <c r="O24" s="300">
        <f t="shared" si="9"/>
        <v>6.5967146917141631E-2</v>
      </c>
      <c r="P24" s="300">
        <f t="shared" si="2"/>
        <v>6.3313539852349497E-3</v>
      </c>
    </row>
    <row r="25" spans="1:201">
      <c r="C25" s="302"/>
      <c r="D25" s="306" t="str">
        <f>'Bond Data'!B26</f>
        <v>912810QX Govt</v>
      </c>
      <c r="E25" s="542" t="str">
        <f>'Bond Data'!C26</f>
        <v>8/15/2019</v>
      </c>
      <c r="F25" s="542" t="str">
        <f>'Bond Data'!D26</f>
        <v>8/15/2042</v>
      </c>
      <c r="G25" s="306">
        <f>'Bond Data'!E26</f>
        <v>2</v>
      </c>
      <c r="H25" s="306">
        <f>'Bond Data'!F26</f>
        <v>104.6953125</v>
      </c>
      <c r="I25" s="306">
        <f>'Bond Data'!G26</f>
        <v>1.0483425414364642</v>
      </c>
      <c r="J25" s="306">
        <f>'Bond Data'!H26/100</f>
        <v>2.75E-2</v>
      </c>
      <c r="K25" s="306">
        <f>'Bond Data'!I26</f>
        <v>105.74365504143647</v>
      </c>
      <c r="L25" s="300">
        <f t="shared" si="6"/>
        <v>2.4817934055678312E-2</v>
      </c>
      <c r="M25" s="300">
        <f t="shared" si="7"/>
        <v>17.031967295812031</v>
      </c>
      <c r="N25" s="300">
        <f t="shared" si="8"/>
        <v>17.243316416404998</v>
      </c>
      <c r="O25" s="300">
        <f t="shared" si="9"/>
        <v>5.8713123541864053E-2</v>
      </c>
      <c r="P25" s="300">
        <f t="shared" si="2"/>
        <v>5.6351318208333421E-3</v>
      </c>
    </row>
    <row r="26" spans="1:201">
      <c r="C26" s="302"/>
      <c r="D26" s="306" t="str">
        <f>'Bond Data'!B27</f>
        <v>912810RB Govt</v>
      </c>
      <c r="E26" s="542" t="str">
        <f>'Bond Data'!C27</f>
        <v>11/15/2019</v>
      </c>
      <c r="F26" s="542" t="str">
        <f>'Bond Data'!D27</f>
        <v>5/15/2043</v>
      </c>
      <c r="G26" s="306">
        <f>'Bond Data'!E27</f>
        <v>2</v>
      </c>
      <c r="H26" s="306">
        <f>'Bond Data'!F27</f>
        <v>106.7109375</v>
      </c>
      <c r="I26" s="306">
        <f>'Bond Data'!G27</f>
        <v>0.3828125</v>
      </c>
      <c r="J26" s="306">
        <f>'Bond Data'!H27/100</f>
        <v>2.8750000000000001E-2</v>
      </c>
      <c r="K26" s="306">
        <f>'Bond Data'!I27</f>
        <v>107.09375</v>
      </c>
      <c r="L26" s="300">
        <f t="shared" si="6"/>
        <v>2.4998737650714142E-2</v>
      </c>
      <c r="M26" s="300">
        <f t="shared" si="7"/>
        <v>17.392693908307358</v>
      </c>
      <c r="N26" s="300">
        <f t="shared" si="8"/>
        <v>17.610091604333832</v>
      </c>
      <c r="O26" s="300">
        <f t="shared" si="9"/>
        <v>5.7495406132707545E-2</v>
      </c>
      <c r="P26" s="300">
        <f t="shared" si="2"/>
        <v>5.5182584932504924E-3</v>
      </c>
    </row>
    <row r="27" spans="1:201">
      <c r="C27" s="302"/>
      <c r="D27" s="306" t="str">
        <f>'Bond Data'!B28</f>
        <v>CT30 Govt</v>
      </c>
      <c r="E27" s="542" t="str">
        <f>'Bond Data'!C28</f>
        <v>11/15/2019</v>
      </c>
      <c r="F27" s="542" t="str">
        <f>'Bond Data'!D28</f>
        <v>5/15/2049</v>
      </c>
      <c r="G27" s="306">
        <f>'Bond Data'!E28</f>
        <v>2</v>
      </c>
      <c r="H27" s="306">
        <f>'Bond Data'!F28</f>
        <v>106.8984375</v>
      </c>
      <c r="I27" s="306">
        <f>'Bond Data'!G28</f>
        <v>0.3828125</v>
      </c>
      <c r="J27" s="306">
        <f>'Bond Data'!H28/100</f>
        <v>2.8750000000000001E-2</v>
      </c>
      <c r="K27" s="306">
        <f>'Bond Data'!I28</f>
        <v>107.28125</v>
      </c>
      <c r="L27" s="300">
        <f t="shared" si="6"/>
        <v>2.5438176552422545E-2</v>
      </c>
      <c r="M27" s="300">
        <f t="shared" si="7"/>
        <v>20.269160981877803</v>
      </c>
      <c r="N27" s="300">
        <f t="shared" si="8"/>
        <v>20.526966229691045</v>
      </c>
      <c r="O27" s="300">
        <f t="shared" si="9"/>
        <v>4.9336033242524308E-2</v>
      </c>
      <c r="P27" s="300">
        <f t="shared" si="2"/>
        <v>4.7351432536272406E-3</v>
      </c>
    </row>
    <row r="28" spans="1:201">
      <c r="C28" s="308"/>
      <c r="D28" s="306"/>
      <c r="E28" s="309"/>
      <c r="F28" s="309"/>
      <c r="J28" s="307"/>
      <c r="N28" s="323" t="s">
        <v>48</v>
      </c>
      <c r="O28" s="527">
        <f>SUM(O2:O27)</f>
        <v>10.419121576677041</v>
      </c>
    </row>
    <row r="29" spans="1:201">
      <c r="A29" s="320"/>
      <c r="B29" s="321"/>
      <c r="C29" s="321"/>
      <c r="D29" s="322"/>
      <c r="E29" s="322"/>
      <c r="F29" s="322"/>
      <c r="G29" s="322"/>
      <c r="H29" s="322"/>
      <c r="I29" s="322"/>
      <c r="J29" s="322"/>
      <c r="K29" s="322"/>
      <c r="L29" s="322"/>
      <c r="M29" s="322"/>
      <c r="P29" s="322"/>
      <c r="Q29" s="322"/>
      <c r="R29" s="322"/>
      <c r="S29" s="322"/>
      <c r="T29" s="322"/>
      <c r="U29" s="322"/>
      <c r="V29" s="322"/>
      <c r="W29" s="322"/>
      <c r="X29" s="322"/>
      <c r="Y29" s="322"/>
      <c r="Z29" s="322"/>
      <c r="AA29" s="322"/>
      <c r="AB29" s="322"/>
      <c r="AC29" s="322"/>
      <c r="AD29" s="322"/>
      <c r="AE29" s="322"/>
      <c r="AF29" s="322"/>
      <c r="AG29" s="322"/>
      <c r="AH29" s="322"/>
      <c r="AI29" s="322"/>
      <c r="AJ29" s="322"/>
      <c r="AK29" s="322"/>
      <c r="AL29" s="322"/>
      <c r="AM29" s="322"/>
      <c r="AN29" s="322"/>
      <c r="AO29" s="322"/>
      <c r="AP29" s="322"/>
      <c r="AQ29" s="322"/>
      <c r="AR29" s="322"/>
      <c r="AS29" s="322"/>
      <c r="AT29" s="322"/>
      <c r="AU29" s="322"/>
      <c r="AV29" s="322"/>
      <c r="AW29" s="322"/>
      <c r="AX29" s="322"/>
      <c r="AY29" s="322"/>
      <c r="AZ29" s="322"/>
      <c r="BA29" s="322"/>
      <c r="BB29" s="322"/>
      <c r="BC29" s="322"/>
      <c r="BD29" s="322"/>
      <c r="BE29" s="322"/>
      <c r="BF29" s="322"/>
      <c r="BG29" s="322"/>
      <c r="BH29" s="322"/>
      <c r="BI29" s="322"/>
      <c r="BJ29" s="322"/>
      <c r="BK29" s="322"/>
      <c r="BL29" s="322"/>
      <c r="BM29" s="322"/>
      <c r="BN29" s="322"/>
      <c r="BO29" s="322"/>
      <c r="BP29" s="322"/>
      <c r="BQ29" s="322"/>
      <c r="BR29" s="322"/>
      <c r="BS29" s="322"/>
      <c r="BT29" s="322"/>
      <c r="BU29" s="322"/>
      <c r="BV29" s="322"/>
      <c r="BW29" s="322"/>
      <c r="BX29" s="322"/>
      <c r="BY29" s="322"/>
      <c r="BZ29" s="322"/>
      <c r="CA29" s="322"/>
      <c r="CB29" s="322"/>
      <c r="CC29" s="322"/>
      <c r="CD29" s="322"/>
      <c r="CE29" s="322"/>
      <c r="CF29" s="321"/>
      <c r="CG29" s="321"/>
      <c r="CH29" s="321"/>
      <c r="CI29" s="321"/>
      <c r="CJ29" s="321"/>
      <c r="CK29" s="321"/>
      <c r="CL29" s="321"/>
      <c r="CM29" s="321"/>
      <c r="CN29" s="321"/>
      <c r="CO29" s="321"/>
      <c r="CP29" s="321"/>
      <c r="CQ29" s="321"/>
      <c r="CR29" s="321"/>
      <c r="CS29" s="321"/>
      <c r="CT29" s="321"/>
      <c r="CU29" s="321"/>
      <c r="CV29" s="321"/>
      <c r="CW29" s="321"/>
      <c r="CX29" s="321"/>
      <c r="CY29" s="321"/>
      <c r="CZ29" s="321"/>
      <c r="DA29" s="321"/>
      <c r="DB29" s="321"/>
      <c r="DC29" s="321"/>
      <c r="DD29" s="321"/>
      <c r="DE29" s="321"/>
      <c r="DF29" s="321"/>
      <c r="DG29" s="321"/>
      <c r="DH29" s="321"/>
      <c r="DI29" s="321"/>
      <c r="DJ29" s="321"/>
      <c r="DK29" s="321"/>
      <c r="DL29" s="321"/>
      <c r="DM29" s="321"/>
      <c r="DN29" s="321"/>
      <c r="DO29" s="321"/>
      <c r="DP29" s="321"/>
      <c r="DQ29" s="321"/>
      <c r="DR29" s="321"/>
      <c r="DS29" s="321"/>
      <c r="DT29" s="321"/>
      <c r="DU29" s="321"/>
      <c r="DV29" s="321"/>
      <c r="DW29" s="321"/>
      <c r="DX29" s="321"/>
      <c r="DY29" s="321"/>
      <c r="DZ29" s="321"/>
      <c r="EA29" s="321"/>
      <c r="EB29" s="321"/>
      <c r="EC29" s="321"/>
      <c r="ED29" s="321"/>
      <c r="EE29" s="321"/>
      <c r="EF29" s="321"/>
      <c r="EG29" s="321"/>
      <c r="EH29" s="321"/>
      <c r="EI29" s="321"/>
      <c r="EJ29" s="321"/>
      <c r="EK29" s="321"/>
      <c r="EL29" s="321"/>
      <c r="EM29" s="321"/>
      <c r="EN29" s="321"/>
      <c r="EO29" s="321"/>
      <c r="EP29" s="321"/>
      <c r="EQ29" s="321"/>
      <c r="ER29" s="321"/>
      <c r="ES29" s="321"/>
      <c r="ET29" s="321"/>
      <c r="EU29" s="321"/>
      <c r="EV29" s="321"/>
      <c r="EW29" s="321"/>
      <c r="EX29" s="321"/>
      <c r="EY29" s="321"/>
      <c r="EZ29" s="321"/>
      <c r="FA29" s="321"/>
      <c r="FB29" s="321"/>
      <c r="FC29" s="321"/>
      <c r="FD29" s="321"/>
      <c r="FE29" s="321"/>
      <c r="FF29" s="321"/>
      <c r="FG29" s="321"/>
      <c r="FH29" s="321"/>
      <c r="FI29" s="321"/>
      <c r="FJ29" s="321"/>
      <c r="FK29" s="321"/>
      <c r="FL29" s="321"/>
      <c r="FM29" s="321"/>
      <c r="FN29" s="321"/>
      <c r="FO29" s="321"/>
      <c r="FP29" s="321"/>
      <c r="FQ29" s="321"/>
      <c r="FR29" s="321"/>
      <c r="FS29" s="321"/>
      <c r="FT29" s="321"/>
      <c r="FU29" s="321"/>
      <c r="FV29" s="321"/>
      <c r="FW29" s="321"/>
      <c r="FX29" s="321"/>
      <c r="FY29" s="321"/>
      <c r="FZ29" s="321"/>
      <c r="GA29" s="321"/>
      <c r="GB29" s="321"/>
      <c r="GC29" s="321"/>
      <c r="GD29" s="321"/>
      <c r="GE29" s="321"/>
      <c r="GF29" s="321"/>
      <c r="GG29" s="321"/>
      <c r="GH29" s="321"/>
      <c r="GI29" s="321"/>
      <c r="GJ29" s="321"/>
      <c r="GK29" s="321"/>
      <c r="GL29" s="321"/>
      <c r="GM29" s="321"/>
      <c r="GN29" s="321"/>
      <c r="GO29" s="321"/>
      <c r="GP29" s="321"/>
      <c r="GQ29" s="321"/>
      <c r="GR29" s="321"/>
      <c r="GS29" s="321"/>
    </row>
    <row r="30" spans="1:201" s="22" customFormat="1">
      <c r="A30" s="433" t="s">
        <v>49</v>
      </c>
      <c r="B30" s="142" t="str">
        <f>IF(E2=0,F2,E2)</f>
        <v>10/3/2019</v>
      </c>
      <c r="C30" s="24">
        <f t="shared" ref="C30:AH30" si="10">B30+IF($G2=1,365,182.5)</f>
        <v>43923.5</v>
      </c>
      <c r="D30" s="24">
        <f t="shared" si="10"/>
        <v>44106</v>
      </c>
      <c r="E30" s="24">
        <f t="shared" si="10"/>
        <v>44288.5</v>
      </c>
      <c r="F30" s="24">
        <f t="shared" si="10"/>
        <v>44471</v>
      </c>
      <c r="G30" s="24">
        <f t="shared" si="10"/>
        <v>44653.5</v>
      </c>
      <c r="H30" s="24">
        <f t="shared" si="10"/>
        <v>44836</v>
      </c>
      <c r="I30" s="24">
        <f t="shared" si="10"/>
        <v>45018.5</v>
      </c>
      <c r="J30" s="24">
        <f t="shared" si="10"/>
        <v>45201</v>
      </c>
      <c r="K30" s="24">
        <f t="shared" si="10"/>
        <v>45383.5</v>
      </c>
      <c r="L30" s="24">
        <f t="shared" si="10"/>
        <v>45566</v>
      </c>
      <c r="M30" s="24">
        <f t="shared" si="10"/>
        <v>45748.5</v>
      </c>
      <c r="N30" s="24">
        <f t="shared" si="10"/>
        <v>45931</v>
      </c>
      <c r="O30" s="24">
        <f t="shared" si="10"/>
        <v>46113.5</v>
      </c>
      <c r="P30" s="24">
        <f t="shared" si="10"/>
        <v>46296</v>
      </c>
      <c r="Q30" s="24">
        <f t="shared" si="10"/>
        <v>46478.5</v>
      </c>
      <c r="R30" s="24">
        <f t="shared" si="10"/>
        <v>46661</v>
      </c>
      <c r="S30" s="24">
        <f t="shared" si="10"/>
        <v>46843.5</v>
      </c>
      <c r="T30" s="24">
        <f t="shared" si="10"/>
        <v>47026</v>
      </c>
      <c r="U30" s="24">
        <f t="shared" si="10"/>
        <v>47208.5</v>
      </c>
      <c r="V30" s="24">
        <f t="shared" si="10"/>
        <v>47391</v>
      </c>
      <c r="W30" s="24">
        <f t="shared" si="10"/>
        <v>47573.5</v>
      </c>
      <c r="X30" s="24">
        <f t="shared" si="10"/>
        <v>47756</v>
      </c>
      <c r="Y30" s="24">
        <f t="shared" si="10"/>
        <v>47938.5</v>
      </c>
      <c r="Z30" s="24">
        <f t="shared" si="10"/>
        <v>48121</v>
      </c>
      <c r="AA30" s="24">
        <f t="shared" si="10"/>
        <v>48303.5</v>
      </c>
      <c r="AB30" s="24">
        <f t="shared" si="10"/>
        <v>48486</v>
      </c>
      <c r="AC30" s="24">
        <f t="shared" si="10"/>
        <v>48668.5</v>
      </c>
      <c r="AD30" s="24">
        <f t="shared" si="10"/>
        <v>48851</v>
      </c>
      <c r="AE30" s="24">
        <f t="shared" si="10"/>
        <v>49033.5</v>
      </c>
      <c r="AF30" s="24">
        <f t="shared" si="10"/>
        <v>49216</v>
      </c>
      <c r="AG30" s="24">
        <f t="shared" si="10"/>
        <v>49398.5</v>
      </c>
      <c r="AH30" s="24">
        <f t="shared" si="10"/>
        <v>49581</v>
      </c>
      <c r="AI30" s="24">
        <f t="shared" ref="AI30:BN30" si="11">AH30+IF($G2=1,365,182.5)</f>
        <v>49763.5</v>
      </c>
      <c r="AJ30" s="24">
        <f t="shared" si="11"/>
        <v>49946</v>
      </c>
      <c r="AK30" s="24">
        <f t="shared" si="11"/>
        <v>50128.5</v>
      </c>
      <c r="AL30" s="24">
        <f t="shared" si="11"/>
        <v>50311</v>
      </c>
      <c r="AM30" s="24">
        <f t="shared" si="11"/>
        <v>50493.5</v>
      </c>
      <c r="AN30" s="24">
        <f t="shared" si="11"/>
        <v>50676</v>
      </c>
      <c r="AO30" s="24">
        <f t="shared" si="11"/>
        <v>50858.5</v>
      </c>
      <c r="AP30" s="24">
        <f t="shared" si="11"/>
        <v>51041</v>
      </c>
      <c r="AQ30" s="24">
        <f t="shared" si="11"/>
        <v>51223.5</v>
      </c>
      <c r="AR30" s="24">
        <f t="shared" si="11"/>
        <v>51406</v>
      </c>
      <c r="AS30" s="24">
        <f t="shared" si="11"/>
        <v>51588.5</v>
      </c>
      <c r="AT30" s="24">
        <f t="shared" si="11"/>
        <v>51771</v>
      </c>
      <c r="AU30" s="24">
        <f t="shared" si="11"/>
        <v>51953.5</v>
      </c>
      <c r="AV30" s="24">
        <f t="shared" si="11"/>
        <v>52136</v>
      </c>
      <c r="AW30" s="24">
        <f t="shared" si="11"/>
        <v>52318.5</v>
      </c>
      <c r="AX30" s="24">
        <f t="shared" si="11"/>
        <v>52501</v>
      </c>
      <c r="AY30" s="24">
        <f t="shared" si="11"/>
        <v>52683.5</v>
      </c>
      <c r="AZ30" s="24">
        <f t="shared" si="11"/>
        <v>52866</v>
      </c>
      <c r="BA30" s="24">
        <f t="shared" si="11"/>
        <v>53048.5</v>
      </c>
      <c r="BB30" s="24">
        <f t="shared" si="11"/>
        <v>53231</v>
      </c>
      <c r="BC30" s="24">
        <f t="shared" si="11"/>
        <v>53413.5</v>
      </c>
      <c r="BD30" s="24">
        <f t="shared" si="11"/>
        <v>53596</v>
      </c>
      <c r="BE30" s="24">
        <f t="shared" si="11"/>
        <v>53778.5</v>
      </c>
      <c r="BF30" s="24">
        <f t="shared" si="11"/>
        <v>53961</v>
      </c>
      <c r="BG30" s="24">
        <f t="shared" si="11"/>
        <v>54143.5</v>
      </c>
      <c r="BH30" s="24">
        <f t="shared" si="11"/>
        <v>54326</v>
      </c>
      <c r="BI30" s="24">
        <f t="shared" si="11"/>
        <v>54508.5</v>
      </c>
      <c r="BJ30" s="24">
        <f t="shared" si="11"/>
        <v>54691</v>
      </c>
      <c r="BK30" s="24">
        <f t="shared" si="11"/>
        <v>54873.5</v>
      </c>
      <c r="BL30" s="24">
        <f t="shared" si="11"/>
        <v>55056</v>
      </c>
      <c r="BM30" s="24">
        <f t="shared" si="11"/>
        <v>55238.5</v>
      </c>
      <c r="BN30" s="24">
        <f t="shared" si="11"/>
        <v>55421</v>
      </c>
      <c r="BO30" s="24">
        <f t="shared" ref="BO30:CB30" si="12">BN30+IF($G2=1,365,182.5)</f>
        <v>55603.5</v>
      </c>
      <c r="BP30" s="24">
        <f t="shared" si="12"/>
        <v>55786</v>
      </c>
      <c r="BQ30" s="24">
        <f t="shared" si="12"/>
        <v>55968.5</v>
      </c>
      <c r="BR30" s="24">
        <f t="shared" si="12"/>
        <v>56151</v>
      </c>
      <c r="BS30" s="24">
        <f t="shared" si="12"/>
        <v>56333.5</v>
      </c>
      <c r="BT30" s="24">
        <f t="shared" si="12"/>
        <v>56516</v>
      </c>
      <c r="BU30" s="24">
        <f t="shared" si="12"/>
        <v>56698.5</v>
      </c>
      <c r="BV30" s="24">
        <f t="shared" si="12"/>
        <v>56881</v>
      </c>
      <c r="BW30" s="24">
        <f t="shared" si="12"/>
        <v>57063.5</v>
      </c>
      <c r="BX30" s="24">
        <f t="shared" si="12"/>
        <v>57246</v>
      </c>
      <c r="BY30" s="24">
        <f t="shared" si="12"/>
        <v>57428.5</v>
      </c>
      <c r="BZ30" s="24">
        <f t="shared" si="12"/>
        <v>57611</v>
      </c>
      <c r="CA30" s="24">
        <f t="shared" si="12"/>
        <v>57793.5</v>
      </c>
      <c r="CB30" s="25">
        <f t="shared" si="12"/>
        <v>57976</v>
      </c>
    </row>
    <row r="31" spans="1:201">
      <c r="A31" s="324" t="s">
        <v>22</v>
      </c>
      <c r="B31" s="325">
        <f>(IF(B30=F2,100,0)+IF(G2=1,1,0.5)*J2*100)*IF(ISBLANK(F2)=TRUE,0,1)</f>
        <v>100</v>
      </c>
      <c r="C31" s="326">
        <f>IF(C30&gt;$F2+1,0,1)*(IF(D31=0,100,0)+IF($G2=1,1,0.5)*$J2*100)</f>
        <v>0</v>
      </c>
      <c r="D31" s="326">
        <f t="shared" ref="D31:BO31" si="13">IF(D30&gt;$F2+1,0,1)*(IF(E31=0,100,0)+IF($G2=1,1,0.5)*$J2*100)</f>
        <v>0</v>
      </c>
      <c r="E31" s="326">
        <f t="shared" si="13"/>
        <v>0</v>
      </c>
      <c r="F31" s="326">
        <f t="shared" si="13"/>
        <v>0</v>
      </c>
      <c r="G31" s="326">
        <f t="shared" si="13"/>
        <v>0</v>
      </c>
      <c r="H31" s="326">
        <f t="shared" si="13"/>
        <v>0</v>
      </c>
      <c r="I31" s="326">
        <f t="shared" si="13"/>
        <v>0</v>
      </c>
      <c r="J31" s="326">
        <f t="shared" si="13"/>
        <v>0</v>
      </c>
      <c r="K31" s="326">
        <f t="shared" si="13"/>
        <v>0</v>
      </c>
      <c r="L31" s="326">
        <f t="shared" si="13"/>
        <v>0</v>
      </c>
      <c r="M31" s="326">
        <f t="shared" si="13"/>
        <v>0</v>
      </c>
      <c r="N31" s="326">
        <f t="shared" si="13"/>
        <v>0</v>
      </c>
      <c r="O31" s="326">
        <f t="shared" si="13"/>
        <v>0</v>
      </c>
      <c r="P31" s="326">
        <f t="shared" si="13"/>
        <v>0</v>
      </c>
      <c r="Q31" s="326">
        <f t="shared" si="13"/>
        <v>0</v>
      </c>
      <c r="R31" s="326">
        <f t="shared" si="13"/>
        <v>0</v>
      </c>
      <c r="S31" s="326">
        <f t="shared" si="13"/>
        <v>0</v>
      </c>
      <c r="T31" s="326">
        <f t="shared" si="13"/>
        <v>0</v>
      </c>
      <c r="U31" s="326">
        <f t="shared" si="13"/>
        <v>0</v>
      </c>
      <c r="V31" s="326">
        <f t="shared" si="13"/>
        <v>0</v>
      </c>
      <c r="W31" s="326">
        <f t="shared" si="13"/>
        <v>0</v>
      </c>
      <c r="X31" s="326">
        <f t="shared" si="13"/>
        <v>0</v>
      </c>
      <c r="Y31" s="326">
        <f t="shared" si="13"/>
        <v>0</v>
      </c>
      <c r="Z31" s="326">
        <f t="shared" si="13"/>
        <v>0</v>
      </c>
      <c r="AA31" s="326">
        <f t="shared" si="13"/>
        <v>0</v>
      </c>
      <c r="AB31" s="326">
        <f t="shared" si="13"/>
        <v>0</v>
      </c>
      <c r="AC31" s="326">
        <f t="shared" si="13"/>
        <v>0</v>
      </c>
      <c r="AD31" s="326">
        <f t="shared" si="13"/>
        <v>0</v>
      </c>
      <c r="AE31" s="326">
        <f t="shared" si="13"/>
        <v>0</v>
      </c>
      <c r="AF31" s="326">
        <f t="shared" si="13"/>
        <v>0</v>
      </c>
      <c r="AG31" s="326">
        <f t="shared" si="13"/>
        <v>0</v>
      </c>
      <c r="AH31" s="326">
        <f t="shared" si="13"/>
        <v>0</v>
      </c>
      <c r="AI31" s="326">
        <f t="shared" si="13"/>
        <v>0</v>
      </c>
      <c r="AJ31" s="326">
        <f t="shared" si="13"/>
        <v>0</v>
      </c>
      <c r="AK31" s="326">
        <f t="shared" si="13"/>
        <v>0</v>
      </c>
      <c r="AL31" s="326">
        <f t="shared" si="13"/>
        <v>0</v>
      </c>
      <c r="AM31" s="326">
        <f t="shared" si="13"/>
        <v>0</v>
      </c>
      <c r="AN31" s="326">
        <f t="shared" si="13"/>
        <v>0</v>
      </c>
      <c r="AO31" s="326">
        <f t="shared" si="13"/>
        <v>0</v>
      </c>
      <c r="AP31" s="326">
        <f t="shared" si="13"/>
        <v>0</v>
      </c>
      <c r="AQ31" s="326">
        <f t="shared" si="13"/>
        <v>0</v>
      </c>
      <c r="AR31" s="326">
        <f t="shared" si="13"/>
        <v>0</v>
      </c>
      <c r="AS31" s="326">
        <f t="shared" si="13"/>
        <v>0</v>
      </c>
      <c r="AT31" s="326">
        <f t="shared" si="13"/>
        <v>0</v>
      </c>
      <c r="AU31" s="326">
        <f t="shared" si="13"/>
        <v>0</v>
      </c>
      <c r="AV31" s="326">
        <f t="shared" si="13"/>
        <v>0</v>
      </c>
      <c r="AW31" s="326">
        <f t="shared" si="13"/>
        <v>0</v>
      </c>
      <c r="AX31" s="326">
        <f t="shared" si="13"/>
        <v>0</v>
      </c>
      <c r="AY31" s="326">
        <f t="shared" si="13"/>
        <v>0</v>
      </c>
      <c r="AZ31" s="326">
        <f t="shared" si="13"/>
        <v>0</v>
      </c>
      <c r="BA31" s="326">
        <f t="shared" si="13"/>
        <v>0</v>
      </c>
      <c r="BB31" s="326">
        <f t="shared" si="13"/>
        <v>0</v>
      </c>
      <c r="BC31" s="326">
        <f t="shared" si="13"/>
        <v>0</v>
      </c>
      <c r="BD31" s="326">
        <f t="shared" si="13"/>
        <v>0</v>
      </c>
      <c r="BE31" s="326">
        <f t="shared" si="13"/>
        <v>0</v>
      </c>
      <c r="BF31" s="326">
        <f t="shared" si="13"/>
        <v>0</v>
      </c>
      <c r="BG31" s="326">
        <f t="shared" si="13"/>
        <v>0</v>
      </c>
      <c r="BH31" s="326">
        <f t="shared" si="13"/>
        <v>0</v>
      </c>
      <c r="BI31" s="326">
        <f t="shared" si="13"/>
        <v>0</v>
      </c>
      <c r="BJ31" s="326">
        <f t="shared" si="13"/>
        <v>0</v>
      </c>
      <c r="BK31" s="326">
        <f t="shared" si="13"/>
        <v>0</v>
      </c>
      <c r="BL31" s="326">
        <f t="shared" si="13"/>
        <v>0</v>
      </c>
      <c r="BM31" s="326">
        <f t="shared" si="13"/>
        <v>0</v>
      </c>
      <c r="BN31" s="326">
        <f t="shared" si="13"/>
        <v>0</v>
      </c>
      <c r="BO31" s="326">
        <f t="shared" si="13"/>
        <v>0</v>
      </c>
      <c r="BP31" s="326">
        <f t="shared" ref="BP31:CA31" si="14">IF(BP30&gt;$F2+1,0,1)*(IF(BQ31=0,100,0)+IF($G2=1,1,0.5)*$J2*100)</f>
        <v>0</v>
      </c>
      <c r="BQ31" s="326">
        <f t="shared" si="14"/>
        <v>0</v>
      </c>
      <c r="BR31" s="326">
        <f t="shared" si="14"/>
        <v>0</v>
      </c>
      <c r="BS31" s="326">
        <f t="shared" si="14"/>
        <v>0</v>
      </c>
      <c r="BT31" s="326">
        <f t="shared" si="14"/>
        <v>0</v>
      </c>
      <c r="BU31" s="326">
        <f t="shared" si="14"/>
        <v>0</v>
      </c>
      <c r="BV31" s="326">
        <f t="shared" si="14"/>
        <v>0</v>
      </c>
      <c r="BW31" s="326">
        <f t="shared" si="14"/>
        <v>0</v>
      </c>
      <c r="BX31" s="326">
        <f t="shared" si="14"/>
        <v>0</v>
      </c>
      <c r="BY31" s="326">
        <f t="shared" si="14"/>
        <v>0</v>
      </c>
      <c r="BZ31" s="326">
        <f t="shared" si="14"/>
        <v>0</v>
      </c>
      <c r="CA31" s="326">
        <f t="shared" si="14"/>
        <v>0</v>
      </c>
      <c r="CB31" s="327">
        <f>IF(CB30&gt;$F2+1,0,1)*(IF(CC31=0,100,0)+IF($G2=1,1,0.5)*$J2*100)</f>
        <v>0</v>
      </c>
      <c r="CC31" s="321"/>
      <c r="CD31" s="321"/>
      <c r="CE31" s="321"/>
      <c r="CF31" s="321"/>
      <c r="CG31" s="321"/>
      <c r="CH31" s="321"/>
      <c r="CI31" s="321"/>
      <c r="CJ31" s="321"/>
      <c r="CK31" s="321"/>
      <c r="CL31" s="321"/>
      <c r="CM31" s="321"/>
      <c r="CN31" s="321"/>
      <c r="CO31" s="321"/>
      <c r="CP31" s="321"/>
      <c r="CQ31" s="321"/>
      <c r="CR31" s="321"/>
      <c r="CS31" s="321"/>
      <c r="CT31" s="321"/>
      <c r="CU31" s="321"/>
      <c r="CV31" s="321"/>
      <c r="CW31" s="321"/>
      <c r="CX31" s="321"/>
      <c r="CY31" s="321"/>
      <c r="CZ31" s="321"/>
      <c r="DA31" s="321"/>
      <c r="DB31" s="321"/>
      <c r="DC31" s="321"/>
      <c r="DD31" s="321"/>
      <c r="DE31" s="321"/>
      <c r="DF31" s="321"/>
      <c r="DG31" s="321"/>
      <c r="DH31" s="321"/>
      <c r="DI31" s="321"/>
      <c r="DJ31" s="321"/>
      <c r="DK31" s="321"/>
      <c r="DL31" s="321"/>
      <c r="DM31" s="321"/>
      <c r="DN31" s="321"/>
      <c r="DO31" s="321"/>
      <c r="DP31" s="321"/>
      <c r="DQ31" s="321"/>
      <c r="DR31" s="321"/>
      <c r="DS31" s="321"/>
      <c r="DT31" s="321"/>
      <c r="DU31" s="321"/>
      <c r="DV31" s="321"/>
      <c r="DW31" s="321"/>
      <c r="DX31" s="321"/>
      <c r="DY31" s="321"/>
      <c r="DZ31" s="321"/>
      <c r="EA31" s="321"/>
      <c r="EB31" s="321"/>
      <c r="EC31" s="321"/>
      <c r="ED31" s="321"/>
      <c r="EE31" s="321"/>
      <c r="EF31" s="321"/>
      <c r="EG31" s="321"/>
      <c r="EH31" s="321"/>
      <c r="EI31" s="321"/>
      <c r="EJ31" s="321"/>
      <c r="EK31" s="321"/>
      <c r="EL31" s="321"/>
      <c r="EM31" s="321"/>
      <c r="EN31" s="321"/>
      <c r="EO31" s="321"/>
      <c r="EP31" s="321"/>
      <c r="EQ31" s="321"/>
      <c r="ER31" s="321"/>
      <c r="ES31" s="321"/>
      <c r="ET31" s="321"/>
      <c r="EU31" s="321"/>
      <c r="EV31" s="321"/>
      <c r="EW31" s="321"/>
      <c r="EX31" s="321"/>
      <c r="EY31" s="321"/>
      <c r="EZ31" s="321"/>
      <c r="FA31" s="321"/>
      <c r="FB31" s="321"/>
      <c r="FC31" s="321"/>
      <c r="FD31" s="321"/>
      <c r="FE31" s="321"/>
      <c r="FF31" s="321"/>
      <c r="FG31" s="321"/>
      <c r="FH31" s="321"/>
      <c r="FI31" s="321"/>
      <c r="FJ31" s="321"/>
      <c r="FK31" s="321"/>
      <c r="FL31" s="321"/>
      <c r="FM31" s="321"/>
      <c r="FN31" s="321"/>
      <c r="FO31" s="321"/>
      <c r="FP31" s="321"/>
      <c r="FQ31" s="321"/>
      <c r="FR31" s="321"/>
      <c r="FS31" s="321"/>
      <c r="FT31" s="321"/>
      <c r="FU31" s="321"/>
      <c r="FV31" s="321"/>
      <c r="FW31" s="321"/>
      <c r="FX31" s="321"/>
      <c r="FY31" s="321"/>
      <c r="FZ31" s="321"/>
      <c r="GA31" s="321"/>
      <c r="GB31" s="321"/>
      <c r="GC31" s="321"/>
      <c r="GD31" s="321"/>
      <c r="GE31" s="321"/>
      <c r="GF31" s="321"/>
      <c r="GG31" s="321"/>
      <c r="GH31" s="321"/>
      <c r="GI31" s="321"/>
      <c r="GJ31" s="321"/>
      <c r="GK31" s="321"/>
      <c r="GL31" s="321"/>
      <c r="GM31" s="321"/>
      <c r="GN31" s="321"/>
      <c r="GO31" s="321"/>
      <c r="GP31" s="321"/>
      <c r="GQ31" s="321"/>
      <c r="GR31" s="321"/>
      <c r="GS31" s="321"/>
    </row>
    <row r="32" spans="1:201" s="22" customFormat="1">
      <c r="A32" s="434" t="s">
        <v>49</v>
      </c>
      <c r="B32" s="142" t="str">
        <f>IF(E3=0,F3,E3)</f>
        <v>1/2/2020</v>
      </c>
      <c r="C32" s="28">
        <f t="shared" ref="C32:AH32" si="15">B32+IF($G3=1,365,182.5)</f>
        <v>44014.5</v>
      </c>
      <c r="D32" s="28">
        <f t="shared" si="15"/>
        <v>44197</v>
      </c>
      <c r="E32" s="28">
        <f t="shared" si="15"/>
        <v>44379.5</v>
      </c>
      <c r="F32" s="28">
        <f t="shared" si="15"/>
        <v>44562</v>
      </c>
      <c r="G32" s="28">
        <f t="shared" si="15"/>
        <v>44744.5</v>
      </c>
      <c r="H32" s="28">
        <f t="shared" si="15"/>
        <v>44927</v>
      </c>
      <c r="I32" s="28">
        <f t="shared" si="15"/>
        <v>45109.5</v>
      </c>
      <c r="J32" s="28">
        <f t="shared" si="15"/>
        <v>45292</v>
      </c>
      <c r="K32" s="28">
        <f t="shared" si="15"/>
        <v>45474.5</v>
      </c>
      <c r="L32" s="28">
        <f t="shared" si="15"/>
        <v>45657</v>
      </c>
      <c r="M32" s="28">
        <f t="shared" si="15"/>
        <v>45839.5</v>
      </c>
      <c r="N32" s="28">
        <f t="shared" si="15"/>
        <v>46022</v>
      </c>
      <c r="O32" s="28">
        <f t="shared" si="15"/>
        <v>46204.5</v>
      </c>
      <c r="P32" s="28">
        <f t="shared" si="15"/>
        <v>46387</v>
      </c>
      <c r="Q32" s="28">
        <f t="shared" si="15"/>
        <v>46569.5</v>
      </c>
      <c r="R32" s="28">
        <f t="shared" si="15"/>
        <v>46752</v>
      </c>
      <c r="S32" s="28">
        <f t="shared" si="15"/>
        <v>46934.5</v>
      </c>
      <c r="T32" s="28">
        <f t="shared" si="15"/>
        <v>47117</v>
      </c>
      <c r="U32" s="28">
        <f t="shared" si="15"/>
        <v>47299.5</v>
      </c>
      <c r="V32" s="28">
        <f t="shared" si="15"/>
        <v>47482</v>
      </c>
      <c r="W32" s="28">
        <f t="shared" si="15"/>
        <v>47664.5</v>
      </c>
      <c r="X32" s="28">
        <f t="shared" si="15"/>
        <v>47847</v>
      </c>
      <c r="Y32" s="28">
        <f t="shared" si="15"/>
        <v>48029.5</v>
      </c>
      <c r="Z32" s="28">
        <f t="shared" si="15"/>
        <v>48212</v>
      </c>
      <c r="AA32" s="28">
        <f t="shared" si="15"/>
        <v>48394.5</v>
      </c>
      <c r="AB32" s="28">
        <f t="shared" si="15"/>
        <v>48577</v>
      </c>
      <c r="AC32" s="28">
        <f t="shared" si="15"/>
        <v>48759.5</v>
      </c>
      <c r="AD32" s="28">
        <f t="shared" si="15"/>
        <v>48942</v>
      </c>
      <c r="AE32" s="28">
        <f t="shared" si="15"/>
        <v>49124.5</v>
      </c>
      <c r="AF32" s="28">
        <f t="shared" si="15"/>
        <v>49307</v>
      </c>
      <c r="AG32" s="28">
        <f t="shared" si="15"/>
        <v>49489.5</v>
      </c>
      <c r="AH32" s="28">
        <f t="shared" si="15"/>
        <v>49672</v>
      </c>
      <c r="AI32" s="28">
        <f t="shared" ref="AI32:BN32" si="16">AH32+IF($G3=1,365,182.5)</f>
        <v>49854.5</v>
      </c>
      <c r="AJ32" s="28">
        <f t="shared" si="16"/>
        <v>50037</v>
      </c>
      <c r="AK32" s="28">
        <f t="shared" si="16"/>
        <v>50219.5</v>
      </c>
      <c r="AL32" s="28">
        <f t="shared" si="16"/>
        <v>50402</v>
      </c>
      <c r="AM32" s="28">
        <f t="shared" si="16"/>
        <v>50584.5</v>
      </c>
      <c r="AN32" s="28">
        <f t="shared" si="16"/>
        <v>50767</v>
      </c>
      <c r="AO32" s="28">
        <f t="shared" si="16"/>
        <v>50949.5</v>
      </c>
      <c r="AP32" s="28">
        <f t="shared" si="16"/>
        <v>51132</v>
      </c>
      <c r="AQ32" s="28">
        <f t="shared" si="16"/>
        <v>51314.5</v>
      </c>
      <c r="AR32" s="28">
        <f t="shared" si="16"/>
        <v>51497</v>
      </c>
      <c r="AS32" s="28">
        <f t="shared" si="16"/>
        <v>51679.5</v>
      </c>
      <c r="AT32" s="28">
        <f t="shared" si="16"/>
        <v>51862</v>
      </c>
      <c r="AU32" s="28">
        <f t="shared" si="16"/>
        <v>52044.5</v>
      </c>
      <c r="AV32" s="28">
        <f t="shared" si="16"/>
        <v>52227</v>
      </c>
      <c r="AW32" s="28">
        <f t="shared" si="16"/>
        <v>52409.5</v>
      </c>
      <c r="AX32" s="28">
        <f t="shared" si="16"/>
        <v>52592</v>
      </c>
      <c r="AY32" s="28">
        <f t="shared" si="16"/>
        <v>52774.5</v>
      </c>
      <c r="AZ32" s="28">
        <f t="shared" si="16"/>
        <v>52957</v>
      </c>
      <c r="BA32" s="28">
        <f t="shared" si="16"/>
        <v>53139.5</v>
      </c>
      <c r="BB32" s="28">
        <f t="shared" si="16"/>
        <v>53322</v>
      </c>
      <c r="BC32" s="28">
        <f t="shared" si="16"/>
        <v>53504.5</v>
      </c>
      <c r="BD32" s="28">
        <f t="shared" si="16"/>
        <v>53687</v>
      </c>
      <c r="BE32" s="28">
        <f t="shared" si="16"/>
        <v>53869.5</v>
      </c>
      <c r="BF32" s="28">
        <f t="shared" si="16"/>
        <v>54052</v>
      </c>
      <c r="BG32" s="28">
        <f t="shared" si="16"/>
        <v>54234.5</v>
      </c>
      <c r="BH32" s="28">
        <f t="shared" si="16"/>
        <v>54417</v>
      </c>
      <c r="BI32" s="28">
        <f t="shared" si="16"/>
        <v>54599.5</v>
      </c>
      <c r="BJ32" s="28">
        <f t="shared" si="16"/>
        <v>54782</v>
      </c>
      <c r="BK32" s="28">
        <f t="shared" si="16"/>
        <v>54964.5</v>
      </c>
      <c r="BL32" s="28">
        <f t="shared" si="16"/>
        <v>55147</v>
      </c>
      <c r="BM32" s="28">
        <f t="shared" si="16"/>
        <v>55329.5</v>
      </c>
      <c r="BN32" s="28">
        <f t="shared" si="16"/>
        <v>55512</v>
      </c>
      <c r="BO32" s="28">
        <f t="shared" ref="BO32:CB32" si="17">BN32+IF($G3=1,365,182.5)</f>
        <v>55694.5</v>
      </c>
      <c r="BP32" s="28">
        <f t="shared" si="17"/>
        <v>55877</v>
      </c>
      <c r="BQ32" s="28">
        <f t="shared" si="17"/>
        <v>56059.5</v>
      </c>
      <c r="BR32" s="28">
        <f t="shared" si="17"/>
        <v>56242</v>
      </c>
      <c r="BS32" s="28">
        <f t="shared" si="17"/>
        <v>56424.5</v>
      </c>
      <c r="BT32" s="28">
        <f t="shared" si="17"/>
        <v>56607</v>
      </c>
      <c r="BU32" s="28">
        <f t="shared" si="17"/>
        <v>56789.5</v>
      </c>
      <c r="BV32" s="28">
        <f t="shared" si="17"/>
        <v>56972</v>
      </c>
      <c r="BW32" s="28">
        <f t="shared" si="17"/>
        <v>57154.5</v>
      </c>
      <c r="BX32" s="28">
        <f t="shared" si="17"/>
        <v>57337</v>
      </c>
      <c r="BY32" s="28">
        <f t="shared" si="17"/>
        <v>57519.5</v>
      </c>
      <c r="BZ32" s="28">
        <f t="shared" si="17"/>
        <v>57702</v>
      </c>
      <c r="CA32" s="28">
        <f t="shared" si="17"/>
        <v>57884.5</v>
      </c>
      <c r="CB32" s="29">
        <f t="shared" si="17"/>
        <v>58067</v>
      </c>
    </row>
    <row r="33" spans="1:201">
      <c r="A33" s="328" t="s">
        <v>23</v>
      </c>
      <c r="B33" s="329">
        <f>(IF(B32=F3,100,0)+IF(G3=1,1,0.5)*J3*100)*IF(ISBLANK(F3)=TRUE,0,1)</f>
        <v>100</v>
      </c>
      <c r="C33" s="330">
        <f>IF(C32&gt;$F3+1,0,1)*(IF(D33=0,100,0)+IF($G3=1,1,0.5)*$J3*100)</f>
        <v>0</v>
      </c>
      <c r="D33" s="330">
        <f t="shared" ref="D33:BO33" si="18">IF(D32&gt;$F3+1,0,1)*(IF(E33=0,100,0)+IF($G3=1,1,0.5)*$J3*100)</f>
        <v>0</v>
      </c>
      <c r="E33" s="330">
        <f t="shared" si="18"/>
        <v>0</v>
      </c>
      <c r="F33" s="330">
        <f t="shared" si="18"/>
        <v>0</v>
      </c>
      <c r="G33" s="330">
        <f t="shared" si="18"/>
        <v>0</v>
      </c>
      <c r="H33" s="330">
        <f t="shared" si="18"/>
        <v>0</v>
      </c>
      <c r="I33" s="330">
        <f t="shared" si="18"/>
        <v>0</v>
      </c>
      <c r="J33" s="330">
        <f t="shared" si="18"/>
        <v>0</v>
      </c>
      <c r="K33" s="330">
        <f t="shared" si="18"/>
        <v>0</v>
      </c>
      <c r="L33" s="330">
        <f t="shared" si="18"/>
        <v>0</v>
      </c>
      <c r="M33" s="330">
        <f t="shared" si="18"/>
        <v>0</v>
      </c>
      <c r="N33" s="330">
        <f t="shared" si="18"/>
        <v>0</v>
      </c>
      <c r="O33" s="330">
        <f t="shared" si="18"/>
        <v>0</v>
      </c>
      <c r="P33" s="330">
        <f t="shared" si="18"/>
        <v>0</v>
      </c>
      <c r="Q33" s="330">
        <f t="shared" si="18"/>
        <v>0</v>
      </c>
      <c r="R33" s="330">
        <f t="shared" si="18"/>
        <v>0</v>
      </c>
      <c r="S33" s="330">
        <f t="shared" si="18"/>
        <v>0</v>
      </c>
      <c r="T33" s="330">
        <f t="shared" si="18"/>
        <v>0</v>
      </c>
      <c r="U33" s="330">
        <f t="shared" si="18"/>
        <v>0</v>
      </c>
      <c r="V33" s="330">
        <f t="shared" si="18"/>
        <v>0</v>
      </c>
      <c r="W33" s="330">
        <f t="shared" si="18"/>
        <v>0</v>
      </c>
      <c r="X33" s="330">
        <f t="shared" si="18"/>
        <v>0</v>
      </c>
      <c r="Y33" s="330">
        <f t="shared" si="18"/>
        <v>0</v>
      </c>
      <c r="Z33" s="330">
        <f t="shared" si="18"/>
        <v>0</v>
      </c>
      <c r="AA33" s="330">
        <f t="shared" si="18"/>
        <v>0</v>
      </c>
      <c r="AB33" s="330">
        <f t="shared" si="18"/>
        <v>0</v>
      </c>
      <c r="AC33" s="330">
        <f t="shared" si="18"/>
        <v>0</v>
      </c>
      <c r="AD33" s="330">
        <f t="shared" si="18"/>
        <v>0</v>
      </c>
      <c r="AE33" s="330">
        <f t="shared" si="18"/>
        <v>0</v>
      </c>
      <c r="AF33" s="330">
        <f t="shared" si="18"/>
        <v>0</v>
      </c>
      <c r="AG33" s="330">
        <f t="shared" si="18"/>
        <v>0</v>
      </c>
      <c r="AH33" s="330">
        <f t="shared" si="18"/>
        <v>0</v>
      </c>
      <c r="AI33" s="330">
        <f t="shared" si="18"/>
        <v>0</v>
      </c>
      <c r="AJ33" s="330">
        <f t="shared" si="18"/>
        <v>0</v>
      </c>
      <c r="AK33" s="330">
        <f t="shared" si="18"/>
        <v>0</v>
      </c>
      <c r="AL33" s="330">
        <f t="shared" si="18"/>
        <v>0</v>
      </c>
      <c r="AM33" s="330">
        <f t="shared" si="18"/>
        <v>0</v>
      </c>
      <c r="AN33" s="330">
        <f t="shared" si="18"/>
        <v>0</v>
      </c>
      <c r="AO33" s="330">
        <f t="shared" si="18"/>
        <v>0</v>
      </c>
      <c r="AP33" s="330">
        <f t="shared" si="18"/>
        <v>0</v>
      </c>
      <c r="AQ33" s="330">
        <f t="shared" si="18"/>
        <v>0</v>
      </c>
      <c r="AR33" s="330">
        <f t="shared" si="18"/>
        <v>0</v>
      </c>
      <c r="AS33" s="330">
        <f t="shared" si="18"/>
        <v>0</v>
      </c>
      <c r="AT33" s="330">
        <f t="shared" si="18"/>
        <v>0</v>
      </c>
      <c r="AU33" s="330">
        <f t="shared" si="18"/>
        <v>0</v>
      </c>
      <c r="AV33" s="330">
        <f t="shared" si="18"/>
        <v>0</v>
      </c>
      <c r="AW33" s="330">
        <f t="shared" si="18"/>
        <v>0</v>
      </c>
      <c r="AX33" s="330">
        <f t="shared" si="18"/>
        <v>0</v>
      </c>
      <c r="AY33" s="330">
        <f t="shared" si="18"/>
        <v>0</v>
      </c>
      <c r="AZ33" s="330">
        <f t="shared" si="18"/>
        <v>0</v>
      </c>
      <c r="BA33" s="330">
        <f t="shared" si="18"/>
        <v>0</v>
      </c>
      <c r="BB33" s="330">
        <f t="shared" si="18"/>
        <v>0</v>
      </c>
      <c r="BC33" s="330">
        <f t="shared" si="18"/>
        <v>0</v>
      </c>
      <c r="BD33" s="330">
        <f t="shared" si="18"/>
        <v>0</v>
      </c>
      <c r="BE33" s="330">
        <f t="shared" si="18"/>
        <v>0</v>
      </c>
      <c r="BF33" s="330">
        <f t="shared" si="18"/>
        <v>0</v>
      </c>
      <c r="BG33" s="330">
        <f t="shared" si="18"/>
        <v>0</v>
      </c>
      <c r="BH33" s="330">
        <f t="shared" si="18"/>
        <v>0</v>
      </c>
      <c r="BI33" s="330">
        <f t="shared" si="18"/>
        <v>0</v>
      </c>
      <c r="BJ33" s="330">
        <f t="shared" si="18"/>
        <v>0</v>
      </c>
      <c r="BK33" s="330">
        <f t="shared" si="18"/>
        <v>0</v>
      </c>
      <c r="BL33" s="330">
        <f t="shared" si="18"/>
        <v>0</v>
      </c>
      <c r="BM33" s="330">
        <f t="shared" si="18"/>
        <v>0</v>
      </c>
      <c r="BN33" s="330">
        <f t="shared" si="18"/>
        <v>0</v>
      </c>
      <c r="BO33" s="330">
        <f t="shared" si="18"/>
        <v>0</v>
      </c>
      <c r="BP33" s="330">
        <f t="shared" ref="BP33:CA33" si="19">IF(BP32&gt;$F3+1,0,1)*(IF(BQ33=0,100,0)+IF($G3=1,1,0.5)*$J3*100)</f>
        <v>0</v>
      </c>
      <c r="BQ33" s="330">
        <f t="shared" si="19"/>
        <v>0</v>
      </c>
      <c r="BR33" s="330">
        <f t="shared" si="19"/>
        <v>0</v>
      </c>
      <c r="BS33" s="330">
        <f t="shared" si="19"/>
        <v>0</v>
      </c>
      <c r="BT33" s="330">
        <f t="shared" si="19"/>
        <v>0</v>
      </c>
      <c r="BU33" s="330">
        <f t="shared" si="19"/>
        <v>0</v>
      </c>
      <c r="BV33" s="330">
        <f t="shared" si="19"/>
        <v>0</v>
      </c>
      <c r="BW33" s="330">
        <f t="shared" si="19"/>
        <v>0</v>
      </c>
      <c r="BX33" s="330">
        <f t="shared" si="19"/>
        <v>0</v>
      </c>
      <c r="BY33" s="330">
        <f t="shared" si="19"/>
        <v>0</v>
      </c>
      <c r="BZ33" s="330">
        <f t="shared" si="19"/>
        <v>0</v>
      </c>
      <c r="CA33" s="330">
        <f t="shared" si="19"/>
        <v>0</v>
      </c>
      <c r="CB33" s="331">
        <f>IF(CB32&gt;$F3+1,0,1)*(IF(CC33=0,100,0)+IF($G3=1,1,0.5)*$J3*100)</f>
        <v>0</v>
      </c>
      <c r="CC33" s="321"/>
      <c r="CD33" s="321"/>
      <c r="CE33" s="321"/>
      <c r="CF33" s="321"/>
      <c r="CG33" s="321"/>
      <c r="CH33" s="321"/>
      <c r="CI33" s="321"/>
      <c r="CJ33" s="321"/>
      <c r="CK33" s="321"/>
      <c r="CL33" s="321"/>
      <c r="CM33" s="321"/>
      <c r="CN33" s="321"/>
      <c r="CO33" s="321"/>
      <c r="CP33" s="321"/>
      <c r="CQ33" s="321"/>
      <c r="CR33" s="321"/>
      <c r="CS33" s="321"/>
      <c r="CT33" s="321"/>
      <c r="CU33" s="321"/>
      <c r="CV33" s="321"/>
      <c r="CW33" s="321"/>
      <c r="CX33" s="321"/>
      <c r="CY33" s="321"/>
      <c r="CZ33" s="321"/>
      <c r="DA33" s="321"/>
      <c r="DB33" s="321"/>
      <c r="DC33" s="321"/>
      <c r="DD33" s="321"/>
      <c r="DE33" s="321"/>
      <c r="DF33" s="321"/>
      <c r="DG33" s="321"/>
      <c r="DH33" s="321"/>
      <c r="DI33" s="321"/>
      <c r="DJ33" s="321"/>
      <c r="DK33" s="321"/>
      <c r="DL33" s="321"/>
      <c r="DM33" s="321"/>
      <c r="DN33" s="321"/>
      <c r="DO33" s="321"/>
      <c r="DP33" s="321"/>
      <c r="DQ33" s="321"/>
      <c r="DR33" s="321"/>
      <c r="DS33" s="321"/>
      <c r="DT33" s="321"/>
      <c r="DU33" s="321"/>
      <c r="DV33" s="321"/>
      <c r="DW33" s="321"/>
      <c r="DX33" s="321"/>
      <c r="DY33" s="321"/>
      <c r="DZ33" s="321"/>
      <c r="EA33" s="321"/>
      <c r="EB33" s="321"/>
      <c r="EC33" s="321"/>
      <c r="ED33" s="321"/>
      <c r="EE33" s="321"/>
      <c r="EF33" s="321"/>
      <c r="EG33" s="321"/>
      <c r="EH33" s="321"/>
      <c r="EI33" s="321"/>
      <c r="EJ33" s="321"/>
      <c r="EK33" s="321"/>
      <c r="EL33" s="321"/>
      <c r="EM33" s="321"/>
      <c r="EN33" s="321"/>
      <c r="EO33" s="321"/>
      <c r="EP33" s="321"/>
      <c r="EQ33" s="321"/>
      <c r="ER33" s="321"/>
      <c r="ES33" s="321"/>
      <c r="ET33" s="321"/>
      <c r="EU33" s="321"/>
      <c r="EV33" s="321"/>
      <c r="EW33" s="321"/>
      <c r="EX33" s="321"/>
      <c r="EY33" s="321"/>
      <c r="EZ33" s="321"/>
      <c r="FA33" s="321"/>
      <c r="FB33" s="321"/>
      <c r="FC33" s="321"/>
      <c r="FD33" s="321"/>
      <c r="FE33" s="321"/>
      <c r="FF33" s="321"/>
      <c r="FG33" s="321"/>
      <c r="FH33" s="321"/>
      <c r="FI33" s="321"/>
      <c r="FJ33" s="321"/>
      <c r="FK33" s="321"/>
      <c r="FL33" s="321"/>
      <c r="FM33" s="321"/>
      <c r="FN33" s="321"/>
      <c r="FO33" s="321"/>
      <c r="FP33" s="321"/>
      <c r="FQ33" s="321"/>
      <c r="FR33" s="321"/>
      <c r="FS33" s="321"/>
      <c r="FT33" s="321"/>
      <c r="FU33" s="321"/>
      <c r="FV33" s="321"/>
      <c r="FW33" s="321"/>
      <c r="FX33" s="321"/>
      <c r="FY33" s="321"/>
      <c r="FZ33" s="321"/>
      <c r="GA33" s="321"/>
      <c r="GB33" s="321"/>
      <c r="GC33" s="321"/>
      <c r="GD33" s="321"/>
      <c r="GE33" s="321"/>
      <c r="GF33" s="321"/>
      <c r="GG33" s="321"/>
      <c r="GH33" s="321"/>
      <c r="GI33" s="321"/>
      <c r="GJ33" s="321"/>
      <c r="GK33" s="321"/>
      <c r="GL33" s="321"/>
      <c r="GM33" s="321"/>
      <c r="GN33" s="321"/>
      <c r="GO33" s="321"/>
      <c r="GP33" s="321"/>
      <c r="GQ33" s="321"/>
      <c r="GR33" s="321"/>
      <c r="GS33" s="321"/>
    </row>
    <row r="34" spans="1:201" s="22" customFormat="1">
      <c r="A34" s="435" t="s">
        <v>49</v>
      </c>
      <c r="B34" s="142" t="str">
        <f>IF(E4=0,F4,E4)</f>
        <v>6/18/2020</v>
      </c>
      <c r="C34" s="33">
        <f t="shared" ref="C34:AH34" si="20">B34+IF($G4=1,365,182.5)</f>
        <v>44182.5</v>
      </c>
      <c r="D34" s="33">
        <f t="shared" si="20"/>
        <v>44365</v>
      </c>
      <c r="E34" s="33">
        <f t="shared" si="20"/>
        <v>44547.5</v>
      </c>
      <c r="F34" s="33">
        <f t="shared" si="20"/>
        <v>44730</v>
      </c>
      <c r="G34" s="33">
        <f t="shared" si="20"/>
        <v>44912.5</v>
      </c>
      <c r="H34" s="33">
        <f t="shared" si="20"/>
        <v>45095</v>
      </c>
      <c r="I34" s="33">
        <f t="shared" si="20"/>
        <v>45277.5</v>
      </c>
      <c r="J34" s="33">
        <f t="shared" si="20"/>
        <v>45460</v>
      </c>
      <c r="K34" s="33">
        <f t="shared" si="20"/>
        <v>45642.5</v>
      </c>
      <c r="L34" s="33">
        <f t="shared" si="20"/>
        <v>45825</v>
      </c>
      <c r="M34" s="33">
        <f t="shared" si="20"/>
        <v>46007.5</v>
      </c>
      <c r="N34" s="33">
        <f t="shared" si="20"/>
        <v>46190</v>
      </c>
      <c r="O34" s="33">
        <f t="shared" si="20"/>
        <v>46372.5</v>
      </c>
      <c r="P34" s="33">
        <f t="shared" si="20"/>
        <v>46555</v>
      </c>
      <c r="Q34" s="33">
        <f t="shared" si="20"/>
        <v>46737.5</v>
      </c>
      <c r="R34" s="33">
        <f t="shared" si="20"/>
        <v>46920</v>
      </c>
      <c r="S34" s="33">
        <f t="shared" si="20"/>
        <v>47102.5</v>
      </c>
      <c r="T34" s="33">
        <f t="shared" si="20"/>
        <v>47285</v>
      </c>
      <c r="U34" s="33">
        <f t="shared" si="20"/>
        <v>47467.5</v>
      </c>
      <c r="V34" s="33">
        <f t="shared" si="20"/>
        <v>47650</v>
      </c>
      <c r="W34" s="33">
        <f t="shared" si="20"/>
        <v>47832.5</v>
      </c>
      <c r="X34" s="33">
        <f t="shared" si="20"/>
        <v>48015</v>
      </c>
      <c r="Y34" s="33">
        <f t="shared" si="20"/>
        <v>48197.5</v>
      </c>
      <c r="Z34" s="33">
        <f t="shared" si="20"/>
        <v>48380</v>
      </c>
      <c r="AA34" s="33">
        <f t="shared" si="20"/>
        <v>48562.5</v>
      </c>
      <c r="AB34" s="33">
        <f t="shared" si="20"/>
        <v>48745</v>
      </c>
      <c r="AC34" s="33">
        <f t="shared" si="20"/>
        <v>48927.5</v>
      </c>
      <c r="AD34" s="33">
        <f t="shared" si="20"/>
        <v>49110</v>
      </c>
      <c r="AE34" s="33">
        <f t="shared" si="20"/>
        <v>49292.5</v>
      </c>
      <c r="AF34" s="33">
        <f t="shared" si="20"/>
        <v>49475</v>
      </c>
      <c r="AG34" s="33">
        <f t="shared" si="20"/>
        <v>49657.5</v>
      </c>
      <c r="AH34" s="33">
        <f t="shared" si="20"/>
        <v>49840</v>
      </c>
      <c r="AI34" s="33">
        <f t="shared" ref="AI34:BN34" si="21">AH34+IF($G4=1,365,182.5)</f>
        <v>50022.5</v>
      </c>
      <c r="AJ34" s="33">
        <f t="shared" si="21"/>
        <v>50205</v>
      </c>
      <c r="AK34" s="33">
        <f t="shared" si="21"/>
        <v>50387.5</v>
      </c>
      <c r="AL34" s="33">
        <f t="shared" si="21"/>
        <v>50570</v>
      </c>
      <c r="AM34" s="33">
        <f t="shared" si="21"/>
        <v>50752.5</v>
      </c>
      <c r="AN34" s="33">
        <f t="shared" si="21"/>
        <v>50935</v>
      </c>
      <c r="AO34" s="33">
        <f t="shared" si="21"/>
        <v>51117.5</v>
      </c>
      <c r="AP34" s="33">
        <f t="shared" si="21"/>
        <v>51300</v>
      </c>
      <c r="AQ34" s="33">
        <f t="shared" si="21"/>
        <v>51482.5</v>
      </c>
      <c r="AR34" s="33">
        <f t="shared" si="21"/>
        <v>51665</v>
      </c>
      <c r="AS34" s="33">
        <f t="shared" si="21"/>
        <v>51847.5</v>
      </c>
      <c r="AT34" s="33">
        <f t="shared" si="21"/>
        <v>52030</v>
      </c>
      <c r="AU34" s="33">
        <f t="shared" si="21"/>
        <v>52212.5</v>
      </c>
      <c r="AV34" s="33">
        <f t="shared" si="21"/>
        <v>52395</v>
      </c>
      <c r="AW34" s="33">
        <f t="shared" si="21"/>
        <v>52577.5</v>
      </c>
      <c r="AX34" s="33">
        <f t="shared" si="21"/>
        <v>52760</v>
      </c>
      <c r="AY34" s="33">
        <f t="shared" si="21"/>
        <v>52942.5</v>
      </c>
      <c r="AZ34" s="33">
        <f t="shared" si="21"/>
        <v>53125</v>
      </c>
      <c r="BA34" s="33">
        <f t="shared" si="21"/>
        <v>53307.5</v>
      </c>
      <c r="BB34" s="33">
        <f t="shared" si="21"/>
        <v>53490</v>
      </c>
      <c r="BC34" s="33">
        <f t="shared" si="21"/>
        <v>53672.5</v>
      </c>
      <c r="BD34" s="33">
        <f t="shared" si="21"/>
        <v>53855</v>
      </c>
      <c r="BE34" s="33">
        <f t="shared" si="21"/>
        <v>54037.5</v>
      </c>
      <c r="BF34" s="33">
        <f t="shared" si="21"/>
        <v>54220</v>
      </c>
      <c r="BG34" s="33">
        <f t="shared" si="21"/>
        <v>54402.5</v>
      </c>
      <c r="BH34" s="33">
        <f t="shared" si="21"/>
        <v>54585</v>
      </c>
      <c r="BI34" s="33">
        <f t="shared" si="21"/>
        <v>54767.5</v>
      </c>
      <c r="BJ34" s="33">
        <f t="shared" si="21"/>
        <v>54950</v>
      </c>
      <c r="BK34" s="33">
        <f t="shared" si="21"/>
        <v>55132.5</v>
      </c>
      <c r="BL34" s="33">
        <f t="shared" si="21"/>
        <v>55315</v>
      </c>
      <c r="BM34" s="33">
        <f t="shared" si="21"/>
        <v>55497.5</v>
      </c>
      <c r="BN34" s="33">
        <f t="shared" si="21"/>
        <v>55680</v>
      </c>
      <c r="BO34" s="33">
        <f t="shared" ref="BO34:CB34" si="22">BN34+IF($G4=1,365,182.5)</f>
        <v>55862.5</v>
      </c>
      <c r="BP34" s="33">
        <f t="shared" si="22"/>
        <v>56045</v>
      </c>
      <c r="BQ34" s="33">
        <f t="shared" si="22"/>
        <v>56227.5</v>
      </c>
      <c r="BR34" s="33">
        <f t="shared" si="22"/>
        <v>56410</v>
      </c>
      <c r="BS34" s="33">
        <f t="shared" si="22"/>
        <v>56592.5</v>
      </c>
      <c r="BT34" s="33">
        <f t="shared" si="22"/>
        <v>56775</v>
      </c>
      <c r="BU34" s="33">
        <f t="shared" si="22"/>
        <v>56957.5</v>
      </c>
      <c r="BV34" s="33">
        <f t="shared" si="22"/>
        <v>57140</v>
      </c>
      <c r="BW34" s="33">
        <f t="shared" si="22"/>
        <v>57322.5</v>
      </c>
      <c r="BX34" s="33">
        <f t="shared" si="22"/>
        <v>57505</v>
      </c>
      <c r="BY34" s="33">
        <f t="shared" si="22"/>
        <v>57687.5</v>
      </c>
      <c r="BZ34" s="33">
        <f t="shared" si="22"/>
        <v>57870</v>
      </c>
      <c r="CA34" s="33">
        <f t="shared" si="22"/>
        <v>58052.5</v>
      </c>
      <c r="CB34" s="34">
        <f t="shared" si="22"/>
        <v>58235</v>
      </c>
    </row>
    <row r="35" spans="1:201">
      <c r="A35" s="332" t="s">
        <v>19</v>
      </c>
      <c r="B35" s="333">
        <f>(IF(B34=F4,100,0)+IF(G4=1,1,0.5)*J4*100)*IF(ISBLANK(F4)=TRUE,0,1)</f>
        <v>100</v>
      </c>
      <c r="C35" s="334">
        <f>IF(C34&gt;$F4+1,0,1)*(IF(D35=0,100,0)+IF($G4=1,1,0.5)*$J4*100)</f>
        <v>0</v>
      </c>
      <c r="D35" s="334">
        <f t="shared" ref="D35:BO35" si="23">IF(D34&gt;$F4+1,0,1)*(IF(E35=0,100,0)+IF($G4=1,1,0.5)*$J4*100)</f>
        <v>0</v>
      </c>
      <c r="E35" s="334">
        <f t="shared" si="23"/>
        <v>0</v>
      </c>
      <c r="F35" s="334">
        <f t="shared" si="23"/>
        <v>0</v>
      </c>
      <c r="G35" s="334">
        <f t="shared" si="23"/>
        <v>0</v>
      </c>
      <c r="H35" s="334">
        <f t="shared" si="23"/>
        <v>0</v>
      </c>
      <c r="I35" s="334">
        <f t="shared" si="23"/>
        <v>0</v>
      </c>
      <c r="J35" s="334">
        <f t="shared" si="23"/>
        <v>0</v>
      </c>
      <c r="K35" s="334">
        <f t="shared" si="23"/>
        <v>0</v>
      </c>
      <c r="L35" s="334">
        <f t="shared" si="23"/>
        <v>0</v>
      </c>
      <c r="M35" s="334">
        <f t="shared" si="23"/>
        <v>0</v>
      </c>
      <c r="N35" s="334">
        <f t="shared" si="23"/>
        <v>0</v>
      </c>
      <c r="O35" s="334">
        <f t="shared" si="23"/>
        <v>0</v>
      </c>
      <c r="P35" s="334">
        <f t="shared" si="23"/>
        <v>0</v>
      </c>
      <c r="Q35" s="334">
        <f t="shared" si="23"/>
        <v>0</v>
      </c>
      <c r="R35" s="334">
        <f t="shared" si="23"/>
        <v>0</v>
      </c>
      <c r="S35" s="334">
        <f t="shared" si="23"/>
        <v>0</v>
      </c>
      <c r="T35" s="334">
        <f t="shared" si="23"/>
        <v>0</v>
      </c>
      <c r="U35" s="334">
        <f t="shared" si="23"/>
        <v>0</v>
      </c>
      <c r="V35" s="334">
        <f t="shared" si="23"/>
        <v>0</v>
      </c>
      <c r="W35" s="334">
        <f t="shared" si="23"/>
        <v>0</v>
      </c>
      <c r="X35" s="334">
        <f t="shared" si="23"/>
        <v>0</v>
      </c>
      <c r="Y35" s="334">
        <f t="shared" si="23"/>
        <v>0</v>
      </c>
      <c r="Z35" s="334">
        <f t="shared" si="23"/>
        <v>0</v>
      </c>
      <c r="AA35" s="334">
        <f t="shared" si="23"/>
        <v>0</v>
      </c>
      <c r="AB35" s="334">
        <f t="shared" si="23"/>
        <v>0</v>
      </c>
      <c r="AC35" s="334">
        <f t="shared" si="23"/>
        <v>0</v>
      </c>
      <c r="AD35" s="334">
        <f t="shared" si="23"/>
        <v>0</v>
      </c>
      <c r="AE35" s="334">
        <f t="shared" si="23"/>
        <v>0</v>
      </c>
      <c r="AF35" s="334">
        <f t="shared" si="23"/>
        <v>0</v>
      </c>
      <c r="AG35" s="334">
        <f t="shared" si="23"/>
        <v>0</v>
      </c>
      <c r="AH35" s="334">
        <f t="shared" si="23"/>
        <v>0</v>
      </c>
      <c r="AI35" s="334">
        <f t="shared" si="23"/>
        <v>0</v>
      </c>
      <c r="AJ35" s="334">
        <f t="shared" si="23"/>
        <v>0</v>
      </c>
      <c r="AK35" s="334">
        <f t="shared" si="23"/>
        <v>0</v>
      </c>
      <c r="AL35" s="334">
        <f t="shared" si="23"/>
        <v>0</v>
      </c>
      <c r="AM35" s="334">
        <f t="shared" si="23"/>
        <v>0</v>
      </c>
      <c r="AN35" s="334">
        <f t="shared" si="23"/>
        <v>0</v>
      </c>
      <c r="AO35" s="334">
        <f t="shared" si="23"/>
        <v>0</v>
      </c>
      <c r="AP35" s="334">
        <f t="shared" si="23"/>
        <v>0</v>
      </c>
      <c r="AQ35" s="334">
        <f t="shared" si="23"/>
        <v>0</v>
      </c>
      <c r="AR35" s="334">
        <f t="shared" si="23"/>
        <v>0</v>
      </c>
      <c r="AS35" s="334">
        <f t="shared" si="23"/>
        <v>0</v>
      </c>
      <c r="AT35" s="334">
        <f t="shared" si="23"/>
        <v>0</v>
      </c>
      <c r="AU35" s="334">
        <f t="shared" si="23"/>
        <v>0</v>
      </c>
      <c r="AV35" s="334">
        <f t="shared" si="23"/>
        <v>0</v>
      </c>
      <c r="AW35" s="334">
        <f t="shared" si="23"/>
        <v>0</v>
      </c>
      <c r="AX35" s="334">
        <f t="shared" si="23"/>
        <v>0</v>
      </c>
      <c r="AY35" s="334">
        <f t="shared" si="23"/>
        <v>0</v>
      </c>
      <c r="AZ35" s="334">
        <f t="shared" si="23"/>
        <v>0</v>
      </c>
      <c r="BA35" s="334">
        <f t="shared" si="23"/>
        <v>0</v>
      </c>
      <c r="BB35" s="334">
        <f t="shared" si="23"/>
        <v>0</v>
      </c>
      <c r="BC35" s="334">
        <f t="shared" si="23"/>
        <v>0</v>
      </c>
      <c r="BD35" s="334">
        <f t="shared" si="23"/>
        <v>0</v>
      </c>
      <c r="BE35" s="334">
        <f t="shared" si="23"/>
        <v>0</v>
      </c>
      <c r="BF35" s="334">
        <f t="shared" si="23"/>
        <v>0</v>
      </c>
      <c r="BG35" s="334">
        <f t="shared" si="23"/>
        <v>0</v>
      </c>
      <c r="BH35" s="334">
        <f t="shared" si="23"/>
        <v>0</v>
      </c>
      <c r="BI35" s="334">
        <f t="shared" si="23"/>
        <v>0</v>
      </c>
      <c r="BJ35" s="334">
        <f t="shared" si="23"/>
        <v>0</v>
      </c>
      <c r="BK35" s="334">
        <f t="shared" si="23"/>
        <v>0</v>
      </c>
      <c r="BL35" s="334">
        <f t="shared" si="23"/>
        <v>0</v>
      </c>
      <c r="BM35" s="334">
        <f t="shared" si="23"/>
        <v>0</v>
      </c>
      <c r="BN35" s="334">
        <f t="shared" si="23"/>
        <v>0</v>
      </c>
      <c r="BO35" s="334">
        <f t="shared" si="23"/>
        <v>0</v>
      </c>
      <c r="BP35" s="334">
        <f t="shared" ref="BP35:CA35" si="24">IF(BP34&gt;$F4+1,0,1)*(IF(BQ35=0,100,0)+IF($G4=1,1,0.5)*$J4*100)</f>
        <v>0</v>
      </c>
      <c r="BQ35" s="334">
        <f t="shared" si="24"/>
        <v>0</v>
      </c>
      <c r="BR35" s="334">
        <f t="shared" si="24"/>
        <v>0</v>
      </c>
      <c r="BS35" s="334">
        <f t="shared" si="24"/>
        <v>0</v>
      </c>
      <c r="BT35" s="334">
        <f t="shared" si="24"/>
        <v>0</v>
      </c>
      <c r="BU35" s="334">
        <f t="shared" si="24"/>
        <v>0</v>
      </c>
      <c r="BV35" s="334">
        <f t="shared" si="24"/>
        <v>0</v>
      </c>
      <c r="BW35" s="334">
        <f t="shared" si="24"/>
        <v>0</v>
      </c>
      <c r="BX35" s="334">
        <f t="shared" si="24"/>
        <v>0</v>
      </c>
      <c r="BY35" s="334">
        <f t="shared" si="24"/>
        <v>0</v>
      </c>
      <c r="BZ35" s="334">
        <f t="shared" si="24"/>
        <v>0</v>
      </c>
      <c r="CA35" s="334">
        <f t="shared" si="24"/>
        <v>0</v>
      </c>
      <c r="CB35" s="335">
        <f>IF(CB34&gt;$F4+1,0,1)*(IF(CC35=0,100,0)+IF($G4=1,1,0.5)*$J4*100)</f>
        <v>0</v>
      </c>
      <c r="CC35" s="321"/>
      <c r="CD35" s="321"/>
      <c r="CE35" s="321"/>
      <c r="CF35" s="321"/>
      <c r="CG35" s="321"/>
      <c r="CH35" s="321"/>
      <c r="CI35" s="321"/>
      <c r="CJ35" s="321"/>
      <c r="CK35" s="321"/>
      <c r="CL35" s="321"/>
      <c r="CM35" s="321"/>
      <c r="CN35" s="321"/>
      <c r="CO35" s="321"/>
      <c r="CP35" s="321"/>
      <c r="CQ35" s="321"/>
      <c r="CR35" s="321"/>
      <c r="CS35" s="321"/>
      <c r="CT35" s="321"/>
      <c r="CU35" s="321"/>
      <c r="CV35" s="321"/>
      <c r="CW35" s="321"/>
      <c r="CX35" s="321"/>
      <c r="CY35" s="321"/>
      <c r="CZ35" s="321"/>
      <c r="DA35" s="321"/>
      <c r="DB35" s="321"/>
      <c r="DC35" s="321"/>
      <c r="DD35" s="321"/>
      <c r="DE35" s="321"/>
      <c r="DF35" s="321"/>
      <c r="DG35" s="321"/>
      <c r="DH35" s="321"/>
      <c r="DI35" s="321"/>
      <c r="DJ35" s="321"/>
      <c r="DK35" s="321"/>
      <c r="DL35" s="321"/>
      <c r="DM35" s="321"/>
      <c r="DN35" s="321"/>
      <c r="DO35" s="321"/>
      <c r="DP35" s="321"/>
      <c r="DQ35" s="321"/>
      <c r="DR35" s="321"/>
      <c r="DS35" s="321"/>
      <c r="DT35" s="321"/>
      <c r="DU35" s="321"/>
      <c r="DV35" s="321"/>
      <c r="DW35" s="321"/>
      <c r="DX35" s="321"/>
      <c r="DY35" s="321"/>
      <c r="DZ35" s="321"/>
      <c r="EA35" s="321"/>
      <c r="EB35" s="321"/>
      <c r="EC35" s="321"/>
      <c r="ED35" s="321"/>
      <c r="EE35" s="321"/>
      <c r="EF35" s="321"/>
      <c r="EG35" s="321"/>
      <c r="EH35" s="321"/>
      <c r="EI35" s="321"/>
      <c r="EJ35" s="321"/>
      <c r="EK35" s="321"/>
      <c r="EL35" s="321"/>
      <c r="EM35" s="321"/>
      <c r="EN35" s="321"/>
      <c r="EO35" s="321"/>
      <c r="EP35" s="321"/>
      <c r="EQ35" s="321"/>
      <c r="ER35" s="321"/>
      <c r="ES35" s="321"/>
      <c r="ET35" s="321"/>
      <c r="EU35" s="321"/>
      <c r="EV35" s="321"/>
      <c r="EW35" s="321"/>
      <c r="EX35" s="321"/>
      <c r="EY35" s="321"/>
      <c r="EZ35" s="321"/>
      <c r="FA35" s="321"/>
      <c r="FB35" s="321"/>
      <c r="FC35" s="321"/>
      <c r="FD35" s="321"/>
      <c r="FE35" s="321"/>
      <c r="FF35" s="321"/>
      <c r="FG35" s="321"/>
      <c r="FH35" s="321"/>
      <c r="FI35" s="321"/>
      <c r="FJ35" s="321"/>
      <c r="FK35" s="321"/>
      <c r="FL35" s="321"/>
      <c r="FM35" s="321"/>
      <c r="FN35" s="321"/>
      <c r="FO35" s="321"/>
      <c r="FP35" s="321"/>
      <c r="FQ35" s="321"/>
      <c r="FR35" s="321"/>
      <c r="FS35" s="321"/>
      <c r="FT35" s="321"/>
      <c r="FU35" s="321"/>
      <c r="FV35" s="321"/>
      <c r="FW35" s="321"/>
      <c r="FX35" s="321"/>
      <c r="FY35" s="321"/>
      <c r="FZ35" s="321"/>
      <c r="GA35" s="321"/>
      <c r="GB35" s="321"/>
      <c r="GC35" s="321"/>
      <c r="GD35" s="321"/>
      <c r="GE35" s="321"/>
      <c r="GF35" s="321"/>
      <c r="GG35" s="321"/>
      <c r="GH35" s="321"/>
      <c r="GI35" s="321"/>
      <c r="GJ35" s="321"/>
      <c r="GK35" s="321"/>
      <c r="GL35" s="321"/>
      <c r="GM35" s="321"/>
      <c r="GN35" s="321"/>
      <c r="GO35" s="321"/>
      <c r="GP35" s="321"/>
      <c r="GQ35" s="321"/>
      <c r="GR35" s="321"/>
      <c r="GS35" s="321"/>
    </row>
    <row r="36" spans="1:201" s="437" customFormat="1">
      <c r="A36" s="436" t="s">
        <v>49</v>
      </c>
      <c r="B36" s="144" t="str">
        <f>IF(E5=0,F5,E5)</f>
        <v>12/31/2019</v>
      </c>
      <c r="C36" s="145">
        <f>B36+IF($G5=1,365,182.5)</f>
        <v>44012.5</v>
      </c>
      <c r="D36" s="145">
        <f t="shared" ref="D36:E36" si="25">C36+IF($G5=1,365,182.5)</f>
        <v>44195</v>
      </c>
      <c r="E36" s="141">
        <f t="shared" si="25"/>
        <v>44377.5</v>
      </c>
      <c r="F36" s="145">
        <f t="shared" ref="F36" si="26">E36+IF($G5=1,365,182.5)</f>
        <v>44560</v>
      </c>
      <c r="G36" s="145">
        <f t="shared" ref="G36:AL36" si="27">F36+IF($G5=1,365,182.5)</f>
        <v>44742.5</v>
      </c>
      <c r="H36" s="145">
        <f t="shared" si="27"/>
        <v>44925</v>
      </c>
      <c r="I36" s="145">
        <f t="shared" si="27"/>
        <v>45107.5</v>
      </c>
      <c r="J36" s="145">
        <f t="shared" si="27"/>
        <v>45290</v>
      </c>
      <c r="K36" s="145">
        <f t="shared" si="27"/>
        <v>45472.5</v>
      </c>
      <c r="L36" s="145">
        <f t="shared" si="27"/>
        <v>45655</v>
      </c>
      <c r="M36" s="145">
        <f t="shared" si="27"/>
        <v>45837.5</v>
      </c>
      <c r="N36" s="145">
        <f t="shared" si="27"/>
        <v>46020</v>
      </c>
      <c r="O36" s="145">
        <f t="shared" si="27"/>
        <v>46202.5</v>
      </c>
      <c r="P36" s="145">
        <f t="shared" si="27"/>
        <v>46385</v>
      </c>
      <c r="Q36" s="145">
        <f t="shared" si="27"/>
        <v>46567.5</v>
      </c>
      <c r="R36" s="145">
        <f t="shared" si="27"/>
        <v>46750</v>
      </c>
      <c r="S36" s="145">
        <f t="shared" si="27"/>
        <v>46932.5</v>
      </c>
      <c r="T36" s="145">
        <f t="shared" si="27"/>
        <v>47115</v>
      </c>
      <c r="U36" s="145">
        <f t="shared" si="27"/>
        <v>47297.5</v>
      </c>
      <c r="V36" s="145">
        <f t="shared" si="27"/>
        <v>47480</v>
      </c>
      <c r="W36" s="145">
        <f t="shared" si="27"/>
        <v>47662.5</v>
      </c>
      <c r="X36" s="145">
        <f t="shared" si="27"/>
        <v>47845</v>
      </c>
      <c r="Y36" s="145">
        <f t="shared" si="27"/>
        <v>48027.5</v>
      </c>
      <c r="Z36" s="145">
        <f t="shared" si="27"/>
        <v>48210</v>
      </c>
      <c r="AA36" s="145">
        <f t="shared" si="27"/>
        <v>48392.5</v>
      </c>
      <c r="AB36" s="145">
        <f t="shared" si="27"/>
        <v>48575</v>
      </c>
      <c r="AC36" s="145">
        <f t="shared" si="27"/>
        <v>48757.5</v>
      </c>
      <c r="AD36" s="145">
        <f t="shared" si="27"/>
        <v>48940</v>
      </c>
      <c r="AE36" s="145">
        <f t="shared" si="27"/>
        <v>49122.5</v>
      </c>
      <c r="AF36" s="145">
        <f t="shared" si="27"/>
        <v>49305</v>
      </c>
      <c r="AG36" s="145">
        <f t="shared" si="27"/>
        <v>49487.5</v>
      </c>
      <c r="AH36" s="145">
        <f t="shared" si="27"/>
        <v>49670</v>
      </c>
      <c r="AI36" s="145">
        <f t="shared" si="27"/>
        <v>49852.5</v>
      </c>
      <c r="AJ36" s="145">
        <f t="shared" si="27"/>
        <v>50035</v>
      </c>
      <c r="AK36" s="145">
        <f t="shared" si="27"/>
        <v>50217.5</v>
      </c>
      <c r="AL36" s="145">
        <f t="shared" si="27"/>
        <v>50400</v>
      </c>
      <c r="AM36" s="145">
        <f t="shared" ref="AM36:BR36" si="28">AL36+IF($G5=1,365,182.5)</f>
        <v>50582.5</v>
      </c>
      <c r="AN36" s="145">
        <f t="shared" si="28"/>
        <v>50765</v>
      </c>
      <c r="AO36" s="145">
        <f t="shared" si="28"/>
        <v>50947.5</v>
      </c>
      <c r="AP36" s="145">
        <f t="shared" si="28"/>
        <v>51130</v>
      </c>
      <c r="AQ36" s="145">
        <f t="shared" si="28"/>
        <v>51312.5</v>
      </c>
      <c r="AR36" s="145">
        <f t="shared" si="28"/>
        <v>51495</v>
      </c>
      <c r="AS36" s="145">
        <f t="shared" si="28"/>
        <v>51677.5</v>
      </c>
      <c r="AT36" s="145">
        <f t="shared" si="28"/>
        <v>51860</v>
      </c>
      <c r="AU36" s="145">
        <f t="shared" si="28"/>
        <v>52042.5</v>
      </c>
      <c r="AV36" s="145">
        <f t="shared" si="28"/>
        <v>52225</v>
      </c>
      <c r="AW36" s="145">
        <f t="shared" si="28"/>
        <v>52407.5</v>
      </c>
      <c r="AX36" s="145">
        <f t="shared" si="28"/>
        <v>52590</v>
      </c>
      <c r="AY36" s="145">
        <f t="shared" si="28"/>
        <v>52772.5</v>
      </c>
      <c r="AZ36" s="145">
        <f t="shared" si="28"/>
        <v>52955</v>
      </c>
      <c r="BA36" s="145">
        <f t="shared" si="28"/>
        <v>53137.5</v>
      </c>
      <c r="BB36" s="145">
        <f t="shared" si="28"/>
        <v>53320</v>
      </c>
      <c r="BC36" s="145">
        <f t="shared" si="28"/>
        <v>53502.5</v>
      </c>
      <c r="BD36" s="145">
        <f t="shared" si="28"/>
        <v>53685</v>
      </c>
      <c r="BE36" s="145">
        <f t="shared" si="28"/>
        <v>53867.5</v>
      </c>
      <c r="BF36" s="145">
        <f t="shared" si="28"/>
        <v>54050</v>
      </c>
      <c r="BG36" s="145">
        <f t="shared" si="28"/>
        <v>54232.5</v>
      </c>
      <c r="BH36" s="145">
        <f t="shared" si="28"/>
        <v>54415</v>
      </c>
      <c r="BI36" s="145">
        <f t="shared" si="28"/>
        <v>54597.5</v>
      </c>
      <c r="BJ36" s="145">
        <f t="shared" si="28"/>
        <v>54780</v>
      </c>
      <c r="BK36" s="145">
        <f t="shared" si="28"/>
        <v>54962.5</v>
      </c>
      <c r="BL36" s="145">
        <f t="shared" si="28"/>
        <v>55145</v>
      </c>
      <c r="BM36" s="145">
        <f t="shared" si="28"/>
        <v>55327.5</v>
      </c>
      <c r="BN36" s="145">
        <f t="shared" si="28"/>
        <v>55510</v>
      </c>
      <c r="BO36" s="145">
        <f t="shared" si="28"/>
        <v>55692.5</v>
      </c>
      <c r="BP36" s="145">
        <f t="shared" si="28"/>
        <v>55875</v>
      </c>
      <c r="BQ36" s="145">
        <f t="shared" si="28"/>
        <v>56057.5</v>
      </c>
      <c r="BR36" s="145">
        <f t="shared" si="28"/>
        <v>56240</v>
      </c>
      <c r="BS36" s="145">
        <f t="shared" ref="BS36:CB36" si="29">BR36+IF($G5=1,365,182.5)</f>
        <v>56422.5</v>
      </c>
      <c r="BT36" s="145">
        <f t="shared" si="29"/>
        <v>56605</v>
      </c>
      <c r="BU36" s="145">
        <f t="shared" si="29"/>
        <v>56787.5</v>
      </c>
      <c r="BV36" s="145">
        <f t="shared" si="29"/>
        <v>56970</v>
      </c>
      <c r="BW36" s="145">
        <f t="shared" si="29"/>
        <v>57152.5</v>
      </c>
      <c r="BX36" s="145">
        <f t="shared" si="29"/>
        <v>57335</v>
      </c>
      <c r="BY36" s="145">
        <f t="shared" si="29"/>
        <v>57517.5</v>
      </c>
      <c r="BZ36" s="145">
        <f t="shared" si="29"/>
        <v>57700</v>
      </c>
      <c r="CA36" s="145">
        <f t="shared" si="29"/>
        <v>57882.5</v>
      </c>
      <c r="CB36" s="146">
        <f t="shared" si="29"/>
        <v>58065</v>
      </c>
    </row>
    <row r="37" spans="1:201">
      <c r="A37" s="337" t="s">
        <v>24</v>
      </c>
      <c r="B37" s="338">
        <f>(IF(B36=F5,100,0)+IF(G5=1,1,0.5)*J5*100)*IF(ISBLANK(F5)=TRUE,0,1)</f>
        <v>0.8125</v>
      </c>
      <c r="C37" s="339">
        <f>IF(C36&gt;$F5+1,0,1)*(IF(D37=0,100,0)+IF($G5=1,1,0.5)*$J5*100)</f>
        <v>0.8125</v>
      </c>
      <c r="D37" s="339">
        <f t="shared" ref="D37:G37" si="30">IF(D36&gt;$F5+1,0,1)*(IF(E37=0,100,0)+IF($G5=1,1,0.5)*$J5*100)</f>
        <v>0.8125</v>
      </c>
      <c r="E37" s="339">
        <f t="shared" si="30"/>
        <v>100.8125</v>
      </c>
      <c r="F37" s="339">
        <f t="shared" si="30"/>
        <v>0</v>
      </c>
      <c r="G37" s="339">
        <f t="shared" si="30"/>
        <v>0</v>
      </c>
      <c r="H37" s="339">
        <f t="shared" ref="H37" si="31">IF(H36&gt;$F5+1,0,1)*(IF(I37=0,100,0)+IF($G5=1,1,0.5)*$J5*100)</f>
        <v>0</v>
      </c>
      <c r="I37" s="339">
        <f t="shared" ref="I37" si="32">IF(I36&gt;$F5+1,0,1)*(IF(J37=0,100,0)+IF($G5=1,1,0.5)*$J5*100)</f>
        <v>0</v>
      </c>
      <c r="J37" s="339">
        <f t="shared" ref="J37:K37" si="33">IF(J36&gt;$F5+1,0,1)*(IF(K37=0,100,0)+IF($G5=1,1,0.5)*$J5*100)</f>
        <v>0</v>
      </c>
      <c r="K37" s="339">
        <f t="shared" si="33"/>
        <v>0</v>
      </c>
      <c r="L37" s="339">
        <f t="shared" ref="L37" si="34">IF(L36&gt;$F5+1,0,1)*(IF(M37=0,100,0)+IF($G5=1,1,0.5)*$J5*100)</f>
        <v>0</v>
      </c>
      <c r="M37" s="339">
        <f t="shared" ref="M37" si="35">IF(M36&gt;$F5+1,0,1)*(IF(N37=0,100,0)+IF($G5=1,1,0.5)*$J5*100)</f>
        <v>0</v>
      </c>
      <c r="N37" s="339">
        <f t="shared" ref="N37:O37" si="36">IF(N36&gt;$F5+1,0,1)*(IF(O37=0,100,0)+IF($G5=1,1,0.5)*$J5*100)</f>
        <v>0</v>
      </c>
      <c r="O37" s="339">
        <f t="shared" si="36"/>
        <v>0</v>
      </c>
      <c r="P37" s="339">
        <f t="shared" ref="P37" si="37">IF(P36&gt;$F5+1,0,1)*(IF(Q37=0,100,0)+IF($G5=1,1,0.5)*$J5*100)</f>
        <v>0</v>
      </c>
      <c r="Q37" s="339">
        <f t="shared" ref="Q37" si="38">IF(Q36&gt;$F5+1,0,1)*(IF(R37=0,100,0)+IF($G5=1,1,0.5)*$J5*100)</f>
        <v>0</v>
      </c>
      <c r="R37" s="339">
        <f t="shared" ref="R37:S37" si="39">IF(R36&gt;$F5+1,0,1)*(IF(S37=0,100,0)+IF($G5=1,1,0.5)*$J5*100)</f>
        <v>0</v>
      </c>
      <c r="S37" s="339">
        <f t="shared" si="39"/>
        <v>0</v>
      </c>
      <c r="T37" s="339">
        <f t="shared" ref="T37" si="40">IF(T36&gt;$F5+1,0,1)*(IF(U37=0,100,0)+IF($G5=1,1,0.5)*$J5*100)</f>
        <v>0</v>
      </c>
      <c r="U37" s="339">
        <f t="shared" ref="U37" si="41">IF(U36&gt;$F5+1,0,1)*(IF(V37=0,100,0)+IF($G5=1,1,0.5)*$J5*100)</f>
        <v>0</v>
      </c>
      <c r="V37" s="339">
        <f t="shared" ref="V37:W37" si="42">IF(V36&gt;$F5+1,0,1)*(IF(W37=0,100,0)+IF($G5=1,1,0.5)*$J5*100)</f>
        <v>0</v>
      </c>
      <c r="W37" s="339">
        <f t="shared" si="42"/>
        <v>0</v>
      </c>
      <c r="X37" s="339">
        <f t="shared" ref="X37" si="43">IF(X36&gt;$F5+1,0,1)*(IF(Y37=0,100,0)+IF($G5=1,1,0.5)*$J5*100)</f>
        <v>0</v>
      </c>
      <c r="Y37" s="339">
        <f t="shared" ref="Y37" si="44">IF(Y36&gt;$F5+1,0,1)*(IF(Z37=0,100,0)+IF($G5=1,1,0.5)*$J5*100)</f>
        <v>0</v>
      </c>
      <c r="Z37" s="339">
        <f t="shared" ref="Z37:AA37" si="45">IF(Z36&gt;$F5+1,0,1)*(IF(AA37=0,100,0)+IF($G5=1,1,0.5)*$J5*100)</f>
        <v>0</v>
      </c>
      <c r="AA37" s="339">
        <f t="shared" si="45"/>
        <v>0</v>
      </c>
      <c r="AB37" s="339">
        <f t="shared" ref="AB37" si="46">IF(AB36&gt;$F5+1,0,1)*(IF(AC37=0,100,0)+IF($G5=1,1,0.5)*$J5*100)</f>
        <v>0</v>
      </c>
      <c r="AC37" s="339">
        <f t="shared" ref="AC37" si="47">IF(AC36&gt;$F5+1,0,1)*(IF(AD37=0,100,0)+IF($G5=1,1,0.5)*$J5*100)</f>
        <v>0</v>
      </c>
      <c r="AD37" s="339">
        <f t="shared" ref="AD37:AE37" si="48">IF(AD36&gt;$F5+1,0,1)*(IF(AE37=0,100,0)+IF($G5=1,1,0.5)*$J5*100)</f>
        <v>0</v>
      </c>
      <c r="AE37" s="339">
        <f t="shared" si="48"/>
        <v>0</v>
      </c>
      <c r="AF37" s="339">
        <f t="shared" ref="AF37" si="49">IF(AF36&gt;$F5+1,0,1)*(IF(AG37=0,100,0)+IF($G5=1,1,0.5)*$J5*100)</f>
        <v>0</v>
      </c>
      <c r="AG37" s="339">
        <f t="shared" ref="AG37" si="50">IF(AG36&gt;$F5+1,0,1)*(IF(AH37=0,100,0)+IF($G5=1,1,0.5)*$J5*100)</f>
        <v>0</v>
      </c>
      <c r="AH37" s="339">
        <f t="shared" ref="AH37:AI37" si="51">IF(AH36&gt;$F5+1,0,1)*(IF(AI37=0,100,0)+IF($G5=1,1,0.5)*$J5*100)</f>
        <v>0</v>
      </c>
      <c r="AI37" s="339">
        <f t="shared" si="51"/>
        <v>0</v>
      </c>
      <c r="AJ37" s="339">
        <f t="shared" ref="AJ37" si="52">IF(AJ36&gt;$F5+1,0,1)*(IF(AK37=0,100,0)+IF($G5=1,1,0.5)*$J5*100)</f>
        <v>0</v>
      </c>
      <c r="AK37" s="339">
        <f t="shared" ref="AK37" si="53">IF(AK36&gt;$F5+1,0,1)*(IF(AL37=0,100,0)+IF($G5=1,1,0.5)*$J5*100)</f>
        <v>0</v>
      </c>
      <c r="AL37" s="339">
        <f t="shared" ref="AL37:AM37" si="54">IF(AL36&gt;$F5+1,0,1)*(IF(AM37=0,100,0)+IF($G5=1,1,0.5)*$J5*100)</f>
        <v>0</v>
      </c>
      <c r="AM37" s="339">
        <f t="shared" si="54"/>
        <v>0</v>
      </c>
      <c r="AN37" s="339">
        <f t="shared" ref="AN37" si="55">IF(AN36&gt;$F5+1,0,1)*(IF(AO37=0,100,0)+IF($G5=1,1,0.5)*$J5*100)</f>
        <v>0</v>
      </c>
      <c r="AO37" s="339">
        <f t="shared" ref="AO37" si="56">IF(AO36&gt;$F5+1,0,1)*(IF(AP37=0,100,0)+IF($G5=1,1,0.5)*$J5*100)</f>
        <v>0</v>
      </c>
      <c r="AP37" s="339">
        <f t="shared" ref="AP37:AQ37" si="57">IF(AP36&gt;$F5+1,0,1)*(IF(AQ37=0,100,0)+IF($G5=1,1,0.5)*$J5*100)</f>
        <v>0</v>
      </c>
      <c r="AQ37" s="339">
        <f t="shared" si="57"/>
        <v>0</v>
      </c>
      <c r="AR37" s="339">
        <f t="shared" ref="AR37" si="58">IF(AR36&gt;$F5+1,0,1)*(IF(AS37=0,100,0)+IF($G5=1,1,0.5)*$J5*100)</f>
        <v>0</v>
      </c>
      <c r="AS37" s="339">
        <f t="shared" ref="AS37" si="59">IF(AS36&gt;$F5+1,0,1)*(IF(AT37=0,100,0)+IF($G5=1,1,0.5)*$J5*100)</f>
        <v>0</v>
      </c>
      <c r="AT37" s="339">
        <f t="shared" ref="AT37:AU37" si="60">IF(AT36&gt;$F5+1,0,1)*(IF(AU37=0,100,0)+IF($G5=1,1,0.5)*$J5*100)</f>
        <v>0</v>
      </c>
      <c r="AU37" s="339">
        <f t="shared" si="60"/>
        <v>0</v>
      </c>
      <c r="AV37" s="339">
        <f t="shared" ref="AV37" si="61">IF(AV36&gt;$F5+1,0,1)*(IF(AW37=0,100,0)+IF($G5=1,1,0.5)*$J5*100)</f>
        <v>0</v>
      </c>
      <c r="AW37" s="339">
        <f t="shared" ref="AW37" si="62">IF(AW36&gt;$F5+1,0,1)*(IF(AX37=0,100,0)+IF($G5=1,1,0.5)*$J5*100)</f>
        <v>0</v>
      </c>
      <c r="AX37" s="339">
        <f t="shared" ref="AX37:AY37" si="63">IF(AX36&gt;$F5+1,0,1)*(IF(AY37=0,100,0)+IF($G5=1,1,0.5)*$J5*100)</f>
        <v>0</v>
      </c>
      <c r="AY37" s="339">
        <f t="shared" si="63"/>
        <v>0</v>
      </c>
      <c r="AZ37" s="339">
        <f t="shared" ref="AZ37" si="64">IF(AZ36&gt;$F5+1,0,1)*(IF(BA37=0,100,0)+IF($G5=1,1,0.5)*$J5*100)</f>
        <v>0</v>
      </c>
      <c r="BA37" s="339">
        <f t="shared" ref="BA37" si="65">IF(BA36&gt;$F5+1,0,1)*(IF(BB37=0,100,0)+IF($G5=1,1,0.5)*$J5*100)</f>
        <v>0</v>
      </c>
      <c r="BB37" s="339">
        <f t="shared" ref="BB37:BC37" si="66">IF(BB36&gt;$F5+1,0,1)*(IF(BC37=0,100,0)+IF($G5=1,1,0.5)*$J5*100)</f>
        <v>0</v>
      </c>
      <c r="BC37" s="339">
        <f t="shared" si="66"/>
        <v>0</v>
      </c>
      <c r="BD37" s="339">
        <f t="shared" ref="BD37" si="67">IF(BD36&gt;$F5+1,0,1)*(IF(BE37=0,100,0)+IF($G5=1,1,0.5)*$J5*100)</f>
        <v>0</v>
      </c>
      <c r="BE37" s="339">
        <f t="shared" ref="BE37" si="68">IF(BE36&gt;$F5+1,0,1)*(IF(BF37=0,100,0)+IF($G5=1,1,0.5)*$J5*100)</f>
        <v>0</v>
      </c>
      <c r="BF37" s="339">
        <f t="shared" ref="BF37:BG37" si="69">IF(BF36&gt;$F5+1,0,1)*(IF(BG37=0,100,0)+IF($G5=1,1,0.5)*$J5*100)</f>
        <v>0</v>
      </c>
      <c r="BG37" s="339">
        <f t="shared" si="69"/>
        <v>0</v>
      </c>
      <c r="BH37" s="339">
        <f t="shared" ref="BH37" si="70">IF(BH36&gt;$F5+1,0,1)*(IF(BI37=0,100,0)+IF($G5=1,1,0.5)*$J5*100)</f>
        <v>0</v>
      </c>
      <c r="BI37" s="339">
        <f t="shared" ref="BI37" si="71">IF(BI36&gt;$F5+1,0,1)*(IF(BJ37=0,100,0)+IF($G5=1,1,0.5)*$J5*100)</f>
        <v>0</v>
      </c>
      <c r="BJ37" s="339">
        <f t="shared" ref="BJ37:BK37" si="72">IF(BJ36&gt;$F5+1,0,1)*(IF(BK37=0,100,0)+IF($G5=1,1,0.5)*$J5*100)</f>
        <v>0</v>
      </c>
      <c r="BK37" s="339">
        <f t="shared" si="72"/>
        <v>0</v>
      </c>
      <c r="BL37" s="339">
        <f t="shared" ref="BL37" si="73">IF(BL36&gt;$F5+1,0,1)*(IF(BM37=0,100,0)+IF($G5=1,1,0.5)*$J5*100)</f>
        <v>0</v>
      </c>
      <c r="BM37" s="339">
        <f t="shared" ref="BM37" si="74">IF(BM36&gt;$F5+1,0,1)*(IF(BN37=0,100,0)+IF($G5=1,1,0.5)*$J5*100)</f>
        <v>0</v>
      </c>
      <c r="BN37" s="339">
        <f t="shared" ref="BN37:BO37" si="75">IF(BN36&gt;$F5+1,0,1)*(IF(BO37=0,100,0)+IF($G5=1,1,0.5)*$J5*100)</f>
        <v>0</v>
      </c>
      <c r="BO37" s="339">
        <f t="shared" si="75"/>
        <v>0</v>
      </c>
      <c r="BP37" s="339">
        <f t="shared" ref="BP37" si="76">IF(BP36&gt;$F5+1,0,1)*(IF(BQ37=0,100,0)+IF($G5=1,1,0.5)*$J5*100)</f>
        <v>0</v>
      </c>
      <c r="BQ37" s="339">
        <f t="shared" ref="BQ37" si="77">IF(BQ36&gt;$F5+1,0,1)*(IF(BR37=0,100,0)+IF($G5=1,1,0.5)*$J5*100)</f>
        <v>0</v>
      </c>
      <c r="BR37" s="339">
        <f t="shared" ref="BR37:BS37" si="78">IF(BR36&gt;$F5+1,0,1)*(IF(BS37=0,100,0)+IF($G5=1,1,0.5)*$J5*100)</f>
        <v>0</v>
      </c>
      <c r="BS37" s="339">
        <f t="shared" si="78"/>
        <v>0</v>
      </c>
      <c r="BT37" s="339">
        <f t="shared" ref="BT37" si="79">IF(BT36&gt;$F5+1,0,1)*(IF(BU37=0,100,0)+IF($G5=1,1,0.5)*$J5*100)</f>
        <v>0</v>
      </c>
      <c r="BU37" s="339">
        <f t="shared" ref="BU37" si="80">IF(BU36&gt;$F5+1,0,1)*(IF(BV37=0,100,0)+IF($G5=1,1,0.5)*$J5*100)</f>
        <v>0</v>
      </c>
      <c r="BV37" s="339">
        <f t="shared" ref="BV37:BW37" si="81">IF(BV36&gt;$F5+1,0,1)*(IF(BW37=0,100,0)+IF($G5=1,1,0.5)*$J5*100)</f>
        <v>0</v>
      </c>
      <c r="BW37" s="339">
        <f t="shared" si="81"/>
        <v>0</v>
      </c>
      <c r="BX37" s="339">
        <f t="shared" ref="BX37" si="82">IF(BX36&gt;$F5+1,0,1)*(IF(BY37=0,100,0)+IF($G5=1,1,0.5)*$J5*100)</f>
        <v>0</v>
      </c>
      <c r="BY37" s="339">
        <f t="shared" ref="BY37" si="83">IF(BY36&gt;$F5+1,0,1)*(IF(BZ37=0,100,0)+IF($G5=1,1,0.5)*$J5*100)</f>
        <v>0</v>
      </c>
      <c r="BZ37" s="339">
        <f t="shared" ref="BZ37:CA37" si="84">IF(BZ36&gt;$F5+1,0,1)*(IF(CA37=0,100,0)+IF($G5=1,1,0.5)*$J5*100)</f>
        <v>0</v>
      </c>
      <c r="CA37" s="339">
        <f t="shared" si="84"/>
        <v>0</v>
      </c>
      <c r="CB37" s="340">
        <f>IF(CB36&gt;$F5+1,0,1)*(IF(CC37=0,100,0)+IF($G5=1,1,0.5)*$J5*100)</f>
        <v>0</v>
      </c>
      <c r="CC37" s="321"/>
      <c r="CD37" s="321"/>
      <c r="CE37" s="321"/>
      <c r="CF37" s="321"/>
      <c r="CG37" s="321"/>
      <c r="CH37" s="321"/>
      <c r="CI37" s="321"/>
      <c r="CJ37" s="321"/>
      <c r="CK37" s="321"/>
      <c r="CL37" s="321"/>
      <c r="CM37" s="321"/>
      <c r="CN37" s="321"/>
      <c r="CO37" s="321"/>
      <c r="CP37" s="321"/>
      <c r="CQ37" s="321"/>
      <c r="CR37" s="321"/>
      <c r="CS37" s="321"/>
      <c r="CT37" s="321"/>
      <c r="CU37" s="321"/>
      <c r="CV37" s="321"/>
      <c r="CW37" s="321"/>
      <c r="CX37" s="321"/>
      <c r="CY37" s="321"/>
      <c r="CZ37" s="321"/>
      <c r="DA37" s="321"/>
      <c r="DB37" s="321"/>
      <c r="DC37" s="321"/>
      <c r="DD37" s="321"/>
      <c r="DE37" s="321"/>
      <c r="DF37" s="321"/>
      <c r="DG37" s="321"/>
      <c r="DH37" s="321"/>
      <c r="DI37" s="321"/>
      <c r="DJ37" s="321"/>
      <c r="DK37" s="321"/>
      <c r="DL37" s="321"/>
      <c r="DM37" s="321"/>
      <c r="DN37" s="321"/>
      <c r="DO37" s="321"/>
      <c r="DP37" s="321"/>
      <c r="DQ37" s="321"/>
      <c r="DR37" s="321"/>
      <c r="DS37" s="321"/>
      <c r="DT37" s="321"/>
      <c r="DU37" s="321"/>
      <c r="DV37" s="321"/>
      <c r="DW37" s="321"/>
      <c r="DX37" s="321"/>
      <c r="DY37" s="321"/>
      <c r="DZ37" s="321"/>
      <c r="EA37" s="321"/>
      <c r="EB37" s="321"/>
      <c r="EC37" s="321"/>
      <c r="ED37" s="321"/>
      <c r="EE37" s="321"/>
      <c r="EF37" s="321"/>
      <c r="EG37" s="321"/>
      <c r="EH37" s="321"/>
      <c r="EI37" s="321"/>
      <c r="EJ37" s="321"/>
      <c r="EK37" s="321"/>
      <c r="EL37" s="321"/>
      <c r="EM37" s="321"/>
      <c r="EN37" s="321"/>
      <c r="EO37" s="321"/>
      <c r="EP37" s="321"/>
      <c r="EQ37" s="321"/>
      <c r="ER37" s="321"/>
      <c r="ES37" s="321"/>
      <c r="ET37" s="321"/>
      <c r="EU37" s="321"/>
      <c r="EV37" s="321"/>
      <c r="EW37" s="321"/>
      <c r="EX37" s="321"/>
      <c r="EY37" s="321"/>
      <c r="EZ37" s="321"/>
      <c r="FA37" s="321"/>
      <c r="FB37" s="321"/>
      <c r="FC37" s="321"/>
      <c r="FD37" s="321"/>
      <c r="FE37" s="321"/>
      <c r="FF37" s="321"/>
      <c r="FG37" s="321"/>
      <c r="FH37" s="321"/>
      <c r="FI37" s="321"/>
      <c r="FJ37" s="321"/>
      <c r="FK37" s="321"/>
      <c r="FL37" s="321"/>
      <c r="FM37" s="321"/>
      <c r="FN37" s="321"/>
      <c r="FO37" s="321"/>
      <c r="FP37" s="321"/>
      <c r="FQ37" s="321"/>
      <c r="FR37" s="321"/>
      <c r="FS37" s="321"/>
      <c r="FT37" s="321"/>
      <c r="FU37" s="321"/>
      <c r="FV37" s="321"/>
      <c r="FW37" s="321"/>
      <c r="FX37" s="321"/>
      <c r="FY37" s="321"/>
      <c r="FZ37" s="321"/>
      <c r="GA37" s="321"/>
      <c r="GB37" s="321"/>
      <c r="GC37" s="321"/>
      <c r="GD37" s="321"/>
      <c r="GE37" s="321"/>
      <c r="GF37" s="321"/>
      <c r="GG37" s="321"/>
      <c r="GH37" s="321"/>
      <c r="GI37" s="321"/>
      <c r="GJ37" s="321"/>
      <c r="GK37" s="321"/>
      <c r="GL37" s="321"/>
      <c r="GM37" s="321"/>
      <c r="GN37" s="321"/>
      <c r="GO37" s="321"/>
      <c r="GP37" s="321"/>
      <c r="GQ37" s="321"/>
      <c r="GR37" s="321"/>
      <c r="GS37" s="321"/>
    </row>
    <row r="38" spans="1:201" s="437" customFormat="1">
      <c r="A38" s="438" t="s">
        <v>49</v>
      </c>
      <c r="B38" s="37" t="str">
        <f>IF(E6=0,F6,E6)</f>
        <v>12/15/2019</v>
      </c>
      <c r="C38" s="38">
        <f>B38+IF($G6=1,365,182.5)</f>
        <v>43996.5</v>
      </c>
      <c r="D38" s="38">
        <f t="shared" ref="D38:H38" si="85">C38+IF($G6=1,365,182.5)</f>
        <v>44179</v>
      </c>
      <c r="E38" s="38">
        <f t="shared" si="85"/>
        <v>44361.5</v>
      </c>
      <c r="F38" s="38">
        <f t="shared" si="85"/>
        <v>44544</v>
      </c>
      <c r="G38" s="141">
        <f t="shared" si="85"/>
        <v>44726.5</v>
      </c>
      <c r="H38" s="38">
        <f t="shared" si="85"/>
        <v>44909</v>
      </c>
      <c r="I38" s="38">
        <f t="shared" ref="I38:AM38" si="86">H38+IF($G6=1,365,182.5)</f>
        <v>45091.5</v>
      </c>
      <c r="J38" s="38">
        <f t="shared" si="86"/>
        <v>45274</v>
      </c>
      <c r="K38" s="38">
        <f t="shared" si="86"/>
        <v>45456.5</v>
      </c>
      <c r="L38" s="38">
        <f t="shared" si="86"/>
        <v>45639</v>
      </c>
      <c r="M38" s="38">
        <f t="shared" si="86"/>
        <v>45821.5</v>
      </c>
      <c r="N38" s="38">
        <f t="shared" si="86"/>
        <v>46004</v>
      </c>
      <c r="O38" s="38">
        <f t="shared" si="86"/>
        <v>46186.5</v>
      </c>
      <c r="P38" s="38">
        <f t="shared" si="86"/>
        <v>46369</v>
      </c>
      <c r="Q38" s="38">
        <f t="shared" si="86"/>
        <v>46551.5</v>
      </c>
      <c r="R38" s="38">
        <f t="shared" si="86"/>
        <v>46734</v>
      </c>
      <c r="S38" s="38">
        <f t="shared" si="86"/>
        <v>46916.5</v>
      </c>
      <c r="T38" s="38">
        <f t="shared" si="86"/>
        <v>47099</v>
      </c>
      <c r="U38" s="38">
        <f t="shared" si="86"/>
        <v>47281.5</v>
      </c>
      <c r="V38" s="38">
        <f t="shared" si="86"/>
        <v>47464</v>
      </c>
      <c r="W38" s="38">
        <f t="shared" si="86"/>
        <v>47646.5</v>
      </c>
      <c r="X38" s="38">
        <f t="shared" si="86"/>
        <v>47829</v>
      </c>
      <c r="Y38" s="38">
        <f t="shared" si="86"/>
        <v>48011.5</v>
      </c>
      <c r="Z38" s="38">
        <f t="shared" si="86"/>
        <v>48194</v>
      </c>
      <c r="AA38" s="38">
        <f t="shared" si="86"/>
        <v>48376.5</v>
      </c>
      <c r="AB38" s="38">
        <f t="shared" si="86"/>
        <v>48559</v>
      </c>
      <c r="AC38" s="38">
        <f t="shared" si="86"/>
        <v>48741.5</v>
      </c>
      <c r="AD38" s="38">
        <f t="shared" si="86"/>
        <v>48924</v>
      </c>
      <c r="AE38" s="38">
        <f t="shared" si="86"/>
        <v>49106.5</v>
      </c>
      <c r="AF38" s="38">
        <f t="shared" si="86"/>
        <v>49289</v>
      </c>
      <c r="AG38" s="38">
        <f t="shared" si="86"/>
        <v>49471.5</v>
      </c>
      <c r="AH38" s="38">
        <f t="shared" si="86"/>
        <v>49654</v>
      </c>
      <c r="AI38" s="38">
        <f t="shared" si="86"/>
        <v>49836.5</v>
      </c>
      <c r="AJ38" s="38">
        <f t="shared" si="86"/>
        <v>50019</v>
      </c>
      <c r="AK38" s="38">
        <f t="shared" si="86"/>
        <v>50201.5</v>
      </c>
      <c r="AL38" s="38">
        <f t="shared" si="86"/>
        <v>50384</v>
      </c>
      <c r="AM38" s="38">
        <f t="shared" si="86"/>
        <v>50566.5</v>
      </c>
      <c r="AN38" s="38">
        <f t="shared" ref="AN38:BS38" si="87">AM38+IF($G6=1,365,182.5)</f>
        <v>50749</v>
      </c>
      <c r="AO38" s="38">
        <f t="shared" si="87"/>
        <v>50931.5</v>
      </c>
      <c r="AP38" s="38">
        <f t="shared" si="87"/>
        <v>51114</v>
      </c>
      <c r="AQ38" s="38">
        <f t="shared" si="87"/>
        <v>51296.5</v>
      </c>
      <c r="AR38" s="38">
        <f t="shared" si="87"/>
        <v>51479</v>
      </c>
      <c r="AS38" s="38">
        <f t="shared" si="87"/>
        <v>51661.5</v>
      </c>
      <c r="AT38" s="38">
        <f t="shared" si="87"/>
        <v>51844</v>
      </c>
      <c r="AU38" s="38">
        <f t="shared" si="87"/>
        <v>52026.5</v>
      </c>
      <c r="AV38" s="38">
        <f t="shared" si="87"/>
        <v>52209</v>
      </c>
      <c r="AW38" s="38">
        <f t="shared" si="87"/>
        <v>52391.5</v>
      </c>
      <c r="AX38" s="38">
        <f t="shared" si="87"/>
        <v>52574</v>
      </c>
      <c r="AY38" s="38">
        <f t="shared" si="87"/>
        <v>52756.5</v>
      </c>
      <c r="AZ38" s="38">
        <f t="shared" si="87"/>
        <v>52939</v>
      </c>
      <c r="BA38" s="38">
        <f t="shared" si="87"/>
        <v>53121.5</v>
      </c>
      <c r="BB38" s="38">
        <f t="shared" si="87"/>
        <v>53304</v>
      </c>
      <c r="BC38" s="38">
        <f t="shared" si="87"/>
        <v>53486.5</v>
      </c>
      <c r="BD38" s="38">
        <f t="shared" si="87"/>
        <v>53669</v>
      </c>
      <c r="BE38" s="38">
        <f t="shared" si="87"/>
        <v>53851.5</v>
      </c>
      <c r="BF38" s="38">
        <f t="shared" si="87"/>
        <v>54034</v>
      </c>
      <c r="BG38" s="38">
        <f t="shared" si="87"/>
        <v>54216.5</v>
      </c>
      <c r="BH38" s="38">
        <f t="shared" si="87"/>
        <v>54399</v>
      </c>
      <c r="BI38" s="38">
        <f t="shared" si="87"/>
        <v>54581.5</v>
      </c>
      <c r="BJ38" s="38">
        <f t="shared" si="87"/>
        <v>54764</v>
      </c>
      <c r="BK38" s="38">
        <f t="shared" si="87"/>
        <v>54946.5</v>
      </c>
      <c r="BL38" s="38">
        <f t="shared" si="87"/>
        <v>55129</v>
      </c>
      <c r="BM38" s="38">
        <f t="shared" si="87"/>
        <v>55311.5</v>
      </c>
      <c r="BN38" s="38">
        <f t="shared" si="87"/>
        <v>55494</v>
      </c>
      <c r="BO38" s="38">
        <f t="shared" si="87"/>
        <v>55676.5</v>
      </c>
      <c r="BP38" s="38">
        <f t="shared" si="87"/>
        <v>55859</v>
      </c>
      <c r="BQ38" s="38">
        <f t="shared" si="87"/>
        <v>56041.5</v>
      </c>
      <c r="BR38" s="38">
        <f t="shared" si="87"/>
        <v>56224</v>
      </c>
      <c r="BS38" s="38">
        <f t="shared" si="87"/>
        <v>56406.5</v>
      </c>
      <c r="BT38" s="38">
        <f t="shared" ref="BT38:CB38" si="88">BS38+IF($G6=1,365,182.5)</f>
        <v>56589</v>
      </c>
      <c r="BU38" s="38">
        <f t="shared" si="88"/>
        <v>56771.5</v>
      </c>
      <c r="BV38" s="38">
        <f t="shared" si="88"/>
        <v>56954</v>
      </c>
      <c r="BW38" s="38">
        <f t="shared" si="88"/>
        <v>57136.5</v>
      </c>
      <c r="BX38" s="38">
        <f t="shared" si="88"/>
        <v>57319</v>
      </c>
      <c r="BY38" s="38">
        <f t="shared" si="88"/>
        <v>57501.5</v>
      </c>
      <c r="BZ38" s="38">
        <f t="shared" si="88"/>
        <v>57684</v>
      </c>
      <c r="CA38" s="38">
        <f t="shared" si="88"/>
        <v>57866.5</v>
      </c>
      <c r="CB38" s="39">
        <f t="shared" si="88"/>
        <v>58049</v>
      </c>
    </row>
    <row r="39" spans="1:201">
      <c r="A39" s="342" t="s">
        <v>25</v>
      </c>
      <c r="B39" s="343">
        <f>(IF(B38=F6,100,0)+IF(G6=1,1,0.5)*J6*100)*IF(ISBLANK(F6)=TRUE,0,1)</f>
        <v>0.87500000000000011</v>
      </c>
      <c r="C39" s="344">
        <f>IF(C38&gt;$F6+1,0,1)*(IF(D39=0,100,0)+IF($G6=1,1,0.5)*$J6*100)</f>
        <v>0.87500000000000011</v>
      </c>
      <c r="D39" s="344">
        <f t="shared" ref="D39:I39" si="89">IF(D38&gt;$F6+1,0,1)*(IF(E39=0,100,0)+IF($G6=1,1,0.5)*$J6*100)</f>
        <v>0.87500000000000011</v>
      </c>
      <c r="E39" s="344">
        <f t="shared" si="89"/>
        <v>0.87500000000000011</v>
      </c>
      <c r="F39" s="344">
        <f t="shared" si="89"/>
        <v>0.87500000000000011</v>
      </c>
      <c r="G39" s="344">
        <f t="shared" si="89"/>
        <v>100.875</v>
      </c>
      <c r="H39" s="344">
        <f t="shared" si="89"/>
        <v>0</v>
      </c>
      <c r="I39" s="344">
        <f t="shared" si="89"/>
        <v>0</v>
      </c>
      <c r="J39" s="344">
        <f t="shared" ref="J39" si="90">IF(J38&gt;$F6+1,0,1)*(IF(K39=0,100,0)+IF($G6=1,1,0.5)*$J6*100)</f>
        <v>0</v>
      </c>
      <c r="K39" s="344">
        <f t="shared" ref="K39" si="91">IF(K38&gt;$F6+1,0,1)*(IF(L39=0,100,0)+IF($G6=1,1,0.5)*$J6*100)</f>
        <v>0</v>
      </c>
      <c r="L39" s="344">
        <f t="shared" ref="L39" si="92">IF(L38&gt;$F6+1,0,1)*(IF(M39=0,100,0)+IF($G6=1,1,0.5)*$J6*100)</f>
        <v>0</v>
      </c>
      <c r="M39" s="344">
        <f t="shared" ref="M39" si="93">IF(M38&gt;$F6+1,0,1)*(IF(N39=0,100,0)+IF($G6=1,1,0.5)*$J6*100)</f>
        <v>0</v>
      </c>
      <c r="N39" s="344">
        <f t="shared" ref="N39:O39" si="94">IF(N38&gt;$F6+1,0,1)*(IF(O39=0,100,0)+IF($G6=1,1,0.5)*$J6*100)</f>
        <v>0</v>
      </c>
      <c r="O39" s="344">
        <f t="shared" si="94"/>
        <v>0</v>
      </c>
      <c r="P39" s="344">
        <f t="shared" ref="P39" si="95">IF(P38&gt;$F6+1,0,1)*(IF(Q39=0,100,0)+IF($G6=1,1,0.5)*$J6*100)</f>
        <v>0</v>
      </c>
      <c r="Q39" s="344">
        <f t="shared" ref="Q39" si="96">IF(Q38&gt;$F6+1,0,1)*(IF(R39=0,100,0)+IF($G6=1,1,0.5)*$J6*100)</f>
        <v>0</v>
      </c>
      <c r="R39" s="344">
        <f t="shared" ref="R39" si="97">IF(R38&gt;$F6+1,0,1)*(IF(S39=0,100,0)+IF($G6=1,1,0.5)*$J6*100)</f>
        <v>0</v>
      </c>
      <c r="S39" s="344">
        <f t="shared" ref="S39" si="98">IF(S38&gt;$F6+1,0,1)*(IF(T39=0,100,0)+IF($G6=1,1,0.5)*$J6*100)</f>
        <v>0</v>
      </c>
      <c r="T39" s="344">
        <f t="shared" ref="T39:U39" si="99">IF(T38&gt;$F6+1,0,1)*(IF(U39=0,100,0)+IF($G6=1,1,0.5)*$J6*100)</f>
        <v>0</v>
      </c>
      <c r="U39" s="344">
        <f t="shared" si="99"/>
        <v>0</v>
      </c>
      <c r="V39" s="344">
        <f t="shared" ref="V39" si="100">IF(V38&gt;$F6+1,0,1)*(IF(W39=0,100,0)+IF($G6=1,1,0.5)*$J6*100)</f>
        <v>0</v>
      </c>
      <c r="W39" s="344">
        <f t="shared" ref="W39" si="101">IF(W38&gt;$F6+1,0,1)*(IF(X39=0,100,0)+IF($G6=1,1,0.5)*$J6*100)</f>
        <v>0</v>
      </c>
      <c r="X39" s="344">
        <f t="shared" ref="X39" si="102">IF(X38&gt;$F6+1,0,1)*(IF(Y39=0,100,0)+IF($G6=1,1,0.5)*$J6*100)</f>
        <v>0</v>
      </c>
      <c r="Y39" s="344">
        <f t="shared" ref="Y39" si="103">IF(Y38&gt;$F6+1,0,1)*(IF(Z39=0,100,0)+IF($G6=1,1,0.5)*$J6*100)</f>
        <v>0</v>
      </c>
      <c r="Z39" s="344">
        <f t="shared" ref="Z39:AA39" si="104">IF(Z38&gt;$F6+1,0,1)*(IF(AA39=0,100,0)+IF($G6=1,1,0.5)*$J6*100)</f>
        <v>0</v>
      </c>
      <c r="AA39" s="344">
        <f t="shared" si="104"/>
        <v>0</v>
      </c>
      <c r="AB39" s="344">
        <f t="shared" ref="AB39" si="105">IF(AB38&gt;$F6+1,0,1)*(IF(AC39=0,100,0)+IF($G6=1,1,0.5)*$J6*100)</f>
        <v>0</v>
      </c>
      <c r="AC39" s="344">
        <f t="shared" ref="AC39" si="106">IF(AC38&gt;$F6+1,0,1)*(IF(AD39=0,100,0)+IF($G6=1,1,0.5)*$J6*100)</f>
        <v>0</v>
      </c>
      <c r="AD39" s="344">
        <f t="shared" ref="AD39" si="107">IF(AD38&gt;$F6+1,0,1)*(IF(AE39=0,100,0)+IF($G6=1,1,0.5)*$J6*100)</f>
        <v>0</v>
      </c>
      <c r="AE39" s="344">
        <f t="shared" ref="AE39" si="108">IF(AE38&gt;$F6+1,0,1)*(IF(AF39=0,100,0)+IF($G6=1,1,0.5)*$J6*100)</f>
        <v>0</v>
      </c>
      <c r="AF39" s="344">
        <f t="shared" ref="AF39:AG39" si="109">IF(AF38&gt;$F6+1,0,1)*(IF(AG39=0,100,0)+IF($G6=1,1,0.5)*$J6*100)</f>
        <v>0</v>
      </c>
      <c r="AG39" s="344">
        <f t="shared" si="109"/>
        <v>0</v>
      </c>
      <c r="AH39" s="344">
        <f t="shared" ref="AH39" si="110">IF(AH38&gt;$F6+1,0,1)*(IF(AI39=0,100,0)+IF($G6=1,1,0.5)*$J6*100)</f>
        <v>0</v>
      </c>
      <c r="AI39" s="344">
        <f t="shared" ref="AI39" si="111">IF(AI38&gt;$F6+1,0,1)*(IF(AJ39=0,100,0)+IF($G6=1,1,0.5)*$J6*100)</f>
        <v>0</v>
      </c>
      <c r="AJ39" s="344">
        <f t="shared" ref="AJ39" si="112">IF(AJ38&gt;$F6+1,0,1)*(IF(AK39=0,100,0)+IF($G6=1,1,0.5)*$J6*100)</f>
        <v>0</v>
      </c>
      <c r="AK39" s="344">
        <f t="shared" ref="AK39" si="113">IF(AK38&gt;$F6+1,0,1)*(IF(AL39=0,100,0)+IF($G6=1,1,0.5)*$J6*100)</f>
        <v>0</v>
      </c>
      <c r="AL39" s="344">
        <f t="shared" ref="AL39:AM39" si="114">IF(AL38&gt;$F6+1,0,1)*(IF(AM39=0,100,0)+IF($G6=1,1,0.5)*$J6*100)</f>
        <v>0</v>
      </c>
      <c r="AM39" s="344">
        <f t="shared" si="114"/>
        <v>0</v>
      </c>
      <c r="AN39" s="344">
        <f t="shared" ref="AN39" si="115">IF(AN38&gt;$F6+1,0,1)*(IF(AO39=0,100,0)+IF($G6=1,1,0.5)*$J6*100)</f>
        <v>0</v>
      </c>
      <c r="AO39" s="344">
        <f t="shared" ref="AO39" si="116">IF(AO38&gt;$F6+1,0,1)*(IF(AP39=0,100,0)+IF($G6=1,1,0.5)*$J6*100)</f>
        <v>0</v>
      </c>
      <c r="AP39" s="344">
        <f t="shared" ref="AP39" si="117">IF(AP38&gt;$F6+1,0,1)*(IF(AQ39=0,100,0)+IF($G6=1,1,0.5)*$J6*100)</f>
        <v>0</v>
      </c>
      <c r="AQ39" s="344">
        <f t="shared" ref="AQ39" si="118">IF(AQ38&gt;$F6+1,0,1)*(IF(AR39=0,100,0)+IF($G6=1,1,0.5)*$J6*100)</f>
        <v>0</v>
      </c>
      <c r="AR39" s="344">
        <f t="shared" ref="AR39:AS39" si="119">IF(AR38&gt;$F6+1,0,1)*(IF(AS39=0,100,0)+IF($G6=1,1,0.5)*$J6*100)</f>
        <v>0</v>
      </c>
      <c r="AS39" s="344">
        <f t="shared" si="119"/>
        <v>0</v>
      </c>
      <c r="AT39" s="344">
        <f t="shared" ref="AT39" si="120">IF(AT38&gt;$F6+1,0,1)*(IF(AU39=0,100,0)+IF($G6=1,1,0.5)*$J6*100)</f>
        <v>0</v>
      </c>
      <c r="AU39" s="344">
        <f t="shared" ref="AU39" si="121">IF(AU38&gt;$F6+1,0,1)*(IF(AV39=0,100,0)+IF($G6=1,1,0.5)*$J6*100)</f>
        <v>0</v>
      </c>
      <c r="AV39" s="344">
        <f t="shared" ref="AV39" si="122">IF(AV38&gt;$F6+1,0,1)*(IF(AW39=0,100,0)+IF($G6=1,1,0.5)*$J6*100)</f>
        <v>0</v>
      </c>
      <c r="AW39" s="344">
        <f t="shared" ref="AW39" si="123">IF(AW38&gt;$F6+1,0,1)*(IF(AX39=0,100,0)+IF($G6=1,1,0.5)*$J6*100)</f>
        <v>0</v>
      </c>
      <c r="AX39" s="344">
        <f t="shared" ref="AX39:AY39" si="124">IF(AX38&gt;$F6+1,0,1)*(IF(AY39=0,100,0)+IF($G6=1,1,0.5)*$J6*100)</f>
        <v>0</v>
      </c>
      <c r="AY39" s="344">
        <f t="shared" si="124"/>
        <v>0</v>
      </c>
      <c r="AZ39" s="344">
        <f t="shared" ref="AZ39" si="125">IF(AZ38&gt;$F6+1,0,1)*(IF(BA39=0,100,0)+IF($G6=1,1,0.5)*$J6*100)</f>
        <v>0</v>
      </c>
      <c r="BA39" s="344">
        <f t="shared" ref="BA39" si="126">IF(BA38&gt;$F6+1,0,1)*(IF(BB39=0,100,0)+IF($G6=1,1,0.5)*$J6*100)</f>
        <v>0</v>
      </c>
      <c r="BB39" s="344">
        <f t="shared" ref="BB39" si="127">IF(BB38&gt;$F6+1,0,1)*(IF(BC39=0,100,0)+IF($G6=1,1,0.5)*$J6*100)</f>
        <v>0</v>
      </c>
      <c r="BC39" s="344">
        <f t="shared" ref="BC39" si="128">IF(BC38&gt;$F6+1,0,1)*(IF(BD39=0,100,0)+IF($G6=1,1,0.5)*$J6*100)</f>
        <v>0</v>
      </c>
      <c r="BD39" s="344">
        <f t="shared" ref="BD39:BE39" si="129">IF(BD38&gt;$F6+1,0,1)*(IF(BE39=0,100,0)+IF($G6=1,1,0.5)*$J6*100)</f>
        <v>0</v>
      </c>
      <c r="BE39" s="344">
        <f t="shared" si="129"/>
        <v>0</v>
      </c>
      <c r="BF39" s="344">
        <f t="shared" ref="BF39" si="130">IF(BF38&gt;$F6+1,0,1)*(IF(BG39=0,100,0)+IF($G6=1,1,0.5)*$J6*100)</f>
        <v>0</v>
      </c>
      <c r="BG39" s="344">
        <f t="shared" ref="BG39" si="131">IF(BG38&gt;$F6+1,0,1)*(IF(BH39=0,100,0)+IF($G6=1,1,0.5)*$J6*100)</f>
        <v>0</v>
      </c>
      <c r="BH39" s="344">
        <f t="shared" ref="BH39" si="132">IF(BH38&gt;$F6+1,0,1)*(IF(BI39=0,100,0)+IF($G6=1,1,0.5)*$J6*100)</f>
        <v>0</v>
      </c>
      <c r="BI39" s="344">
        <f t="shared" ref="BI39" si="133">IF(BI38&gt;$F6+1,0,1)*(IF(BJ39=0,100,0)+IF($G6=1,1,0.5)*$J6*100)</f>
        <v>0</v>
      </c>
      <c r="BJ39" s="344">
        <f t="shared" ref="BJ39:BK39" si="134">IF(BJ38&gt;$F6+1,0,1)*(IF(BK39=0,100,0)+IF($G6=1,1,0.5)*$J6*100)</f>
        <v>0</v>
      </c>
      <c r="BK39" s="344">
        <f t="shared" si="134"/>
        <v>0</v>
      </c>
      <c r="BL39" s="344">
        <f t="shared" ref="BL39" si="135">IF(BL38&gt;$F6+1,0,1)*(IF(BM39=0,100,0)+IF($G6=1,1,0.5)*$J6*100)</f>
        <v>0</v>
      </c>
      <c r="BM39" s="344">
        <f t="shared" ref="BM39" si="136">IF(BM38&gt;$F6+1,0,1)*(IF(BN39=0,100,0)+IF($G6=1,1,0.5)*$J6*100)</f>
        <v>0</v>
      </c>
      <c r="BN39" s="344">
        <f t="shared" ref="BN39" si="137">IF(BN38&gt;$F6+1,0,1)*(IF(BO39=0,100,0)+IF($G6=1,1,0.5)*$J6*100)</f>
        <v>0</v>
      </c>
      <c r="BO39" s="344">
        <f t="shared" ref="BO39" si="138">IF(BO38&gt;$F6+1,0,1)*(IF(BP39=0,100,0)+IF($G6=1,1,0.5)*$J6*100)</f>
        <v>0</v>
      </c>
      <c r="BP39" s="344">
        <f t="shared" ref="BP39:BQ39" si="139">IF(BP38&gt;$F6+1,0,1)*(IF(BQ39=0,100,0)+IF($G6=1,1,0.5)*$J6*100)</f>
        <v>0</v>
      </c>
      <c r="BQ39" s="344">
        <f t="shared" si="139"/>
        <v>0</v>
      </c>
      <c r="BR39" s="344">
        <f t="shared" ref="BR39" si="140">IF(BR38&gt;$F6+1,0,1)*(IF(BS39=0,100,0)+IF($G6=1,1,0.5)*$J6*100)</f>
        <v>0</v>
      </c>
      <c r="BS39" s="344">
        <f t="shared" ref="BS39" si="141">IF(BS38&gt;$F6+1,0,1)*(IF(BT39=0,100,0)+IF($G6=1,1,0.5)*$J6*100)</f>
        <v>0</v>
      </c>
      <c r="BT39" s="344">
        <f t="shared" ref="BT39" si="142">IF(BT38&gt;$F6+1,0,1)*(IF(BU39=0,100,0)+IF($G6=1,1,0.5)*$J6*100)</f>
        <v>0</v>
      </c>
      <c r="BU39" s="344">
        <f t="shared" ref="BU39" si="143">IF(BU38&gt;$F6+1,0,1)*(IF(BV39=0,100,0)+IF($G6=1,1,0.5)*$J6*100)</f>
        <v>0</v>
      </c>
      <c r="BV39" s="344">
        <f t="shared" ref="BV39:BW39" si="144">IF(BV38&gt;$F6+1,0,1)*(IF(BW39=0,100,0)+IF($G6=1,1,0.5)*$J6*100)</f>
        <v>0</v>
      </c>
      <c r="BW39" s="344">
        <f t="shared" si="144"/>
        <v>0</v>
      </c>
      <c r="BX39" s="344">
        <f t="shared" ref="BX39" si="145">IF(BX38&gt;$F6+1,0,1)*(IF(BY39=0,100,0)+IF($G6=1,1,0.5)*$J6*100)</f>
        <v>0</v>
      </c>
      <c r="BY39" s="344">
        <f t="shared" ref="BY39" si="146">IF(BY38&gt;$F6+1,0,1)*(IF(BZ39=0,100,0)+IF($G6=1,1,0.5)*$J6*100)</f>
        <v>0</v>
      </c>
      <c r="BZ39" s="344">
        <f t="shared" ref="BZ39" si="147">IF(BZ38&gt;$F6+1,0,1)*(IF(CA39=0,100,0)+IF($G6=1,1,0.5)*$J6*100)</f>
        <v>0</v>
      </c>
      <c r="CA39" s="344">
        <f t="shared" ref="CA39" si="148">IF(CA38&gt;$F6+1,0,1)*(IF(CB39=0,100,0)+IF($G6=1,1,0.5)*$J6*100)</f>
        <v>0</v>
      </c>
      <c r="CB39" s="345">
        <f>IF(CB38&gt;$F6+1,0,1)*(IF(CC39=0,100,0)+IF($G6=1,1,0.5)*$J6*100)</f>
        <v>0</v>
      </c>
      <c r="CC39" s="321"/>
      <c r="CD39" s="321"/>
      <c r="CE39" s="321"/>
      <c r="CF39" s="321"/>
      <c r="CG39" s="321"/>
      <c r="CH39" s="321"/>
      <c r="CI39" s="321"/>
      <c r="CJ39" s="321"/>
      <c r="CK39" s="321"/>
      <c r="CL39" s="321"/>
      <c r="CM39" s="321"/>
      <c r="CN39" s="321"/>
      <c r="CO39" s="321"/>
      <c r="CP39" s="321"/>
      <c r="CQ39" s="321"/>
      <c r="CR39" s="321"/>
      <c r="CS39" s="321"/>
      <c r="CT39" s="321"/>
      <c r="CU39" s="321"/>
      <c r="CV39" s="321"/>
      <c r="CW39" s="321"/>
      <c r="CX39" s="321"/>
      <c r="CY39" s="321"/>
      <c r="CZ39" s="321"/>
      <c r="DA39" s="321"/>
      <c r="DB39" s="321"/>
      <c r="DC39" s="321"/>
      <c r="DD39" s="321"/>
      <c r="DE39" s="321"/>
      <c r="DF39" s="321"/>
      <c r="DG39" s="321"/>
      <c r="DH39" s="321"/>
      <c r="DI39" s="321"/>
      <c r="DJ39" s="321"/>
      <c r="DK39" s="321"/>
      <c r="DL39" s="321"/>
      <c r="DM39" s="321"/>
      <c r="DN39" s="321"/>
      <c r="DO39" s="321"/>
      <c r="DP39" s="321"/>
      <c r="DQ39" s="321"/>
      <c r="DR39" s="321"/>
      <c r="DS39" s="321"/>
      <c r="DT39" s="321"/>
      <c r="DU39" s="321"/>
      <c r="DV39" s="321"/>
      <c r="DW39" s="321"/>
      <c r="DX39" s="321"/>
      <c r="DY39" s="321"/>
      <c r="DZ39" s="321"/>
      <c r="EA39" s="321"/>
      <c r="EB39" s="321"/>
      <c r="EC39" s="321"/>
      <c r="ED39" s="321"/>
      <c r="EE39" s="321"/>
      <c r="EF39" s="321"/>
      <c r="EG39" s="321"/>
      <c r="EH39" s="321"/>
      <c r="EI39" s="321"/>
      <c r="EJ39" s="321"/>
      <c r="EK39" s="321"/>
      <c r="EL39" s="321"/>
      <c r="EM39" s="321"/>
      <c r="EN39" s="321"/>
      <c r="EO39" s="321"/>
      <c r="EP39" s="321"/>
      <c r="EQ39" s="321"/>
      <c r="ER39" s="321"/>
      <c r="ES39" s="321"/>
      <c r="ET39" s="321"/>
      <c r="EU39" s="321"/>
      <c r="EV39" s="321"/>
      <c r="EW39" s="321"/>
      <c r="EX39" s="321"/>
      <c r="EY39" s="321"/>
      <c r="EZ39" s="321"/>
      <c r="FA39" s="321"/>
      <c r="FB39" s="321"/>
      <c r="FC39" s="321"/>
      <c r="FD39" s="321"/>
      <c r="FE39" s="321"/>
      <c r="FF39" s="321"/>
      <c r="FG39" s="321"/>
      <c r="FH39" s="321"/>
      <c r="FI39" s="321"/>
      <c r="FJ39" s="321"/>
      <c r="FK39" s="321"/>
      <c r="FL39" s="321"/>
      <c r="FM39" s="321"/>
      <c r="FN39" s="321"/>
      <c r="FO39" s="321"/>
      <c r="FP39" s="321"/>
      <c r="FQ39" s="321"/>
      <c r="FR39" s="321"/>
      <c r="FS39" s="321"/>
      <c r="FT39" s="321"/>
      <c r="FU39" s="321"/>
      <c r="FV39" s="321"/>
      <c r="FW39" s="321"/>
      <c r="FX39" s="321"/>
      <c r="FY39" s="321"/>
      <c r="FZ39" s="321"/>
      <c r="GA39" s="321"/>
      <c r="GB39" s="321"/>
      <c r="GC39" s="321"/>
      <c r="GD39" s="321"/>
      <c r="GE39" s="321"/>
      <c r="GF39" s="321"/>
      <c r="GG39" s="321"/>
      <c r="GH39" s="321"/>
      <c r="GI39" s="321"/>
      <c r="GJ39" s="321"/>
      <c r="GK39" s="321"/>
      <c r="GL39" s="321"/>
      <c r="GM39" s="321"/>
      <c r="GN39" s="321"/>
      <c r="GO39" s="321"/>
      <c r="GP39" s="321"/>
      <c r="GQ39" s="321"/>
      <c r="GR39" s="321"/>
      <c r="GS39" s="321"/>
    </row>
    <row r="40" spans="1:201" s="437" customFormat="1">
      <c r="A40" s="439" t="s">
        <v>49</v>
      </c>
      <c r="B40" s="42" t="str">
        <f>IF(E7=0,F7,E7)</f>
        <v>12/31/2019</v>
      </c>
      <c r="C40" s="43">
        <f t="shared" ref="C40:AH40" si="149">B40+IF($G7=1,365,182.5)</f>
        <v>44012.5</v>
      </c>
      <c r="D40" s="43">
        <f t="shared" si="149"/>
        <v>44195</v>
      </c>
      <c r="E40" s="43">
        <f t="shared" si="149"/>
        <v>44377.5</v>
      </c>
      <c r="F40" s="43">
        <f t="shared" si="149"/>
        <v>44560</v>
      </c>
      <c r="G40" s="43">
        <f t="shared" si="149"/>
        <v>44742.5</v>
      </c>
      <c r="H40" s="43">
        <f t="shared" si="149"/>
        <v>44925</v>
      </c>
      <c r="I40" s="43">
        <f t="shared" si="149"/>
        <v>45107.5</v>
      </c>
      <c r="J40" s="43">
        <f t="shared" si="149"/>
        <v>45290</v>
      </c>
      <c r="K40" s="100">
        <f t="shared" si="149"/>
        <v>45472.5</v>
      </c>
      <c r="L40" s="43">
        <f t="shared" si="149"/>
        <v>45655</v>
      </c>
      <c r="M40" s="43">
        <f t="shared" si="149"/>
        <v>45837.5</v>
      </c>
      <c r="N40" s="43">
        <f t="shared" si="149"/>
        <v>46020</v>
      </c>
      <c r="O40" s="43">
        <f t="shared" si="149"/>
        <v>46202.5</v>
      </c>
      <c r="P40" s="43">
        <f t="shared" si="149"/>
        <v>46385</v>
      </c>
      <c r="Q40" s="43">
        <f t="shared" si="149"/>
        <v>46567.5</v>
      </c>
      <c r="R40" s="43">
        <f t="shared" si="149"/>
        <v>46750</v>
      </c>
      <c r="S40" s="43">
        <f t="shared" si="149"/>
        <v>46932.5</v>
      </c>
      <c r="T40" s="43">
        <f t="shared" si="149"/>
        <v>47115</v>
      </c>
      <c r="U40" s="43">
        <f t="shared" si="149"/>
        <v>47297.5</v>
      </c>
      <c r="V40" s="43">
        <f t="shared" si="149"/>
        <v>47480</v>
      </c>
      <c r="W40" s="43">
        <f t="shared" si="149"/>
        <v>47662.5</v>
      </c>
      <c r="X40" s="43">
        <f t="shared" si="149"/>
        <v>47845</v>
      </c>
      <c r="Y40" s="43">
        <f t="shared" si="149"/>
        <v>48027.5</v>
      </c>
      <c r="Z40" s="43">
        <f t="shared" si="149"/>
        <v>48210</v>
      </c>
      <c r="AA40" s="43">
        <f t="shared" si="149"/>
        <v>48392.5</v>
      </c>
      <c r="AB40" s="43">
        <f t="shared" si="149"/>
        <v>48575</v>
      </c>
      <c r="AC40" s="43">
        <f t="shared" si="149"/>
        <v>48757.5</v>
      </c>
      <c r="AD40" s="43">
        <f t="shared" si="149"/>
        <v>48940</v>
      </c>
      <c r="AE40" s="43">
        <f t="shared" si="149"/>
        <v>49122.5</v>
      </c>
      <c r="AF40" s="43">
        <f t="shared" si="149"/>
        <v>49305</v>
      </c>
      <c r="AG40" s="43">
        <f t="shared" si="149"/>
        <v>49487.5</v>
      </c>
      <c r="AH40" s="43">
        <f t="shared" si="149"/>
        <v>49670</v>
      </c>
      <c r="AI40" s="43">
        <f t="shared" ref="AI40:BN40" si="150">AH40+IF($G7=1,365,182.5)</f>
        <v>49852.5</v>
      </c>
      <c r="AJ40" s="43">
        <f t="shared" si="150"/>
        <v>50035</v>
      </c>
      <c r="AK40" s="43">
        <f t="shared" si="150"/>
        <v>50217.5</v>
      </c>
      <c r="AL40" s="43">
        <f t="shared" si="150"/>
        <v>50400</v>
      </c>
      <c r="AM40" s="43">
        <f t="shared" si="150"/>
        <v>50582.5</v>
      </c>
      <c r="AN40" s="43">
        <f t="shared" si="150"/>
        <v>50765</v>
      </c>
      <c r="AO40" s="43">
        <f t="shared" si="150"/>
        <v>50947.5</v>
      </c>
      <c r="AP40" s="43">
        <f t="shared" si="150"/>
        <v>51130</v>
      </c>
      <c r="AQ40" s="43">
        <f t="shared" si="150"/>
        <v>51312.5</v>
      </c>
      <c r="AR40" s="43">
        <f t="shared" si="150"/>
        <v>51495</v>
      </c>
      <c r="AS40" s="43">
        <f t="shared" si="150"/>
        <v>51677.5</v>
      </c>
      <c r="AT40" s="43">
        <f t="shared" si="150"/>
        <v>51860</v>
      </c>
      <c r="AU40" s="43">
        <f t="shared" si="150"/>
        <v>52042.5</v>
      </c>
      <c r="AV40" s="43">
        <f t="shared" si="150"/>
        <v>52225</v>
      </c>
      <c r="AW40" s="43">
        <f t="shared" si="150"/>
        <v>52407.5</v>
      </c>
      <c r="AX40" s="43">
        <f t="shared" si="150"/>
        <v>52590</v>
      </c>
      <c r="AY40" s="43">
        <f t="shared" si="150"/>
        <v>52772.5</v>
      </c>
      <c r="AZ40" s="43">
        <f t="shared" si="150"/>
        <v>52955</v>
      </c>
      <c r="BA40" s="43">
        <f t="shared" si="150"/>
        <v>53137.5</v>
      </c>
      <c r="BB40" s="43">
        <f t="shared" si="150"/>
        <v>53320</v>
      </c>
      <c r="BC40" s="43">
        <f t="shared" si="150"/>
        <v>53502.5</v>
      </c>
      <c r="BD40" s="43">
        <f t="shared" si="150"/>
        <v>53685</v>
      </c>
      <c r="BE40" s="43">
        <f t="shared" si="150"/>
        <v>53867.5</v>
      </c>
      <c r="BF40" s="43">
        <f t="shared" si="150"/>
        <v>54050</v>
      </c>
      <c r="BG40" s="43">
        <f t="shared" si="150"/>
        <v>54232.5</v>
      </c>
      <c r="BH40" s="43">
        <f t="shared" si="150"/>
        <v>54415</v>
      </c>
      <c r="BI40" s="43">
        <f t="shared" si="150"/>
        <v>54597.5</v>
      </c>
      <c r="BJ40" s="43">
        <f t="shared" si="150"/>
        <v>54780</v>
      </c>
      <c r="BK40" s="43">
        <f t="shared" si="150"/>
        <v>54962.5</v>
      </c>
      <c r="BL40" s="43">
        <f t="shared" si="150"/>
        <v>55145</v>
      </c>
      <c r="BM40" s="43">
        <f t="shared" si="150"/>
        <v>55327.5</v>
      </c>
      <c r="BN40" s="43">
        <f t="shared" si="150"/>
        <v>55510</v>
      </c>
      <c r="BO40" s="43">
        <f t="shared" ref="BO40:CB40" si="151">BN40+IF($G7=1,365,182.5)</f>
        <v>55692.5</v>
      </c>
      <c r="BP40" s="43">
        <f t="shared" si="151"/>
        <v>55875</v>
      </c>
      <c r="BQ40" s="43">
        <f t="shared" si="151"/>
        <v>56057.5</v>
      </c>
      <c r="BR40" s="43">
        <f t="shared" si="151"/>
        <v>56240</v>
      </c>
      <c r="BS40" s="43">
        <f t="shared" si="151"/>
        <v>56422.5</v>
      </c>
      <c r="BT40" s="43">
        <f t="shared" si="151"/>
        <v>56605</v>
      </c>
      <c r="BU40" s="43">
        <f t="shared" si="151"/>
        <v>56787.5</v>
      </c>
      <c r="BV40" s="43">
        <f t="shared" si="151"/>
        <v>56970</v>
      </c>
      <c r="BW40" s="43">
        <f t="shared" si="151"/>
        <v>57152.5</v>
      </c>
      <c r="BX40" s="43">
        <f t="shared" si="151"/>
        <v>57335</v>
      </c>
      <c r="BY40" s="43">
        <f t="shared" si="151"/>
        <v>57517.5</v>
      </c>
      <c r="BZ40" s="43">
        <f t="shared" si="151"/>
        <v>57700</v>
      </c>
      <c r="CA40" s="43">
        <f t="shared" si="151"/>
        <v>57882.5</v>
      </c>
      <c r="CB40" s="44">
        <f t="shared" si="151"/>
        <v>58065</v>
      </c>
    </row>
    <row r="41" spans="1:201">
      <c r="A41" s="347" t="s">
        <v>16</v>
      </c>
      <c r="B41" s="348">
        <f>(IF(B40=F7,100,0)+IF(G7=1,1,0.5)*J7*100)*IF(ISBLANK(F7)=TRUE,0,1)</f>
        <v>1.3125</v>
      </c>
      <c r="C41" s="349">
        <f>IF(C40&gt;$F7+1,0,1)*(IF(D41=0,100,0)+IF($G7=1,1,0.5)*$J7*100)</f>
        <v>1.3125</v>
      </c>
      <c r="D41" s="349">
        <f t="shared" ref="D41:BO41" si="152">IF(D40&gt;$F7+1,0,1)*(IF(E41=0,100,0)+IF($G7=1,1,0.5)*$J7*100)</f>
        <v>1.3125</v>
      </c>
      <c r="E41" s="349">
        <f t="shared" si="152"/>
        <v>1.3125</v>
      </c>
      <c r="F41" s="349">
        <f t="shared" si="152"/>
        <v>1.3125</v>
      </c>
      <c r="G41" s="349">
        <f t="shared" si="152"/>
        <v>1.3125</v>
      </c>
      <c r="H41" s="349">
        <f t="shared" si="152"/>
        <v>1.3125</v>
      </c>
      <c r="I41" s="349">
        <f t="shared" si="152"/>
        <v>101.3125</v>
      </c>
      <c r="J41" s="349">
        <f t="shared" si="152"/>
        <v>0</v>
      </c>
      <c r="K41" s="349">
        <f t="shared" si="152"/>
        <v>0</v>
      </c>
      <c r="L41" s="349">
        <f t="shared" si="152"/>
        <v>0</v>
      </c>
      <c r="M41" s="349">
        <f t="shared" si="152"/>
        <v>0</v>
      </c>
      <c r="N41" s="349">
        <f t="shared" si="152"/>
        <v>0</v>
      </c>
      <c r="O41" s="349">
        <f t="shared" si="152"/>
        <v>0</v>
      </c>
      <c r="P41" s="349">
        <f t="shared" si="152"/>
        <v>0</v>
      </c>
      <c r="Q41" s="349">
        <f t="shared" si="152"/>
        <v>0</v>
      </c>
      <c r="R41" s="349">
        <f t="shared" si="152"/>
        <v>0</v>
      </c>
      <c r="S41" s="349">
        <f t="shared" si="152"/>
        <v>0</v>
      </c>
      <c r="T41" s="349">
        <f t="shared" si="152"/>
        <v>0</v>
      </c>
      <c r="U41" s="349">
        <f t="shared" si="152"/>
        <v>0</v>
      </c>
      <c r="V41" s="349">
        <f t="shared" si="152"/>
        <v>0</v>
      </c>
      <c r="W41" s="349">
        <f t="shared" si="152"/>
        <v>0</v>
      </c>
      <c r="X41" s="349">
        <f t="shared" si="152"/>
        <v>0</v>
      </c>
      <c r="Y41" s="349">
        <f t="shared" si="152"/>
        <v>0</v>
      </c>
      <c r="Z41" s="349">
        <f t="shared" si="152"/>
        <v>0</v>
      </c>
      <c r="AA41" s="349">
        <f t="shared" si="152"/>
        <v>0</v>
      </c>
      <c r="AB41" s="349">
        <f t="shared" si="152"/>
        <v>0</v>
      </c>
      <c r="AC41" s="349">
        <f t="shared" si="152"/>
        <v>0</v>
      </c>
      <c r="AD41" s="349">
        <f t="shared" si="152"/>
        <v>0</v>
      </c>
      <c r="AE41" s="349">
        <f t="shared" si="152"/>
        <v>0</v>
      </c>
      <c r="AF41" s="349">
        <f t="shared" si="152"/>
        <v>0</v>
      </c>
      <c r="AG41" s="349">
        <f t="shared" si="152"/>
        <v>0</v>
      </c>
      <c r="AH41" s="349">
        <f t="shared" si="152"/>
        <v>0</v>
      </c>
      <c r="AI41" s="349">
        <f t="shared" si="152"/>
        <v>0</v>
      </c>
      <c r="AJ41" s="349">
        <f t="shared" si="152"/>
        <v>0</v>
      </c>
      <c r="AK41" s="349">
        <f t="shared" si="152"/>
        <v>0</v>
      </c>
      <c r="AL41" s="349">
        <f t="shared" si="152"/>
        <v>0</v>
      </c>
      <c r="AM41" s="349">
        <f t="shared" si="152"/>
        <v>0</v>
      </c>
      <c r="AN41" s="349">
        <f t="shared" si="152"/>
        <v>0</v>
      </c>
      <c r="AO41" s="349">
        <f t="shared" si="152"/>
        <v>0</v>
      </c>
      <c r="AP41" s="349">
        <f t="shared" si="152"/>
        <v>0</v>
      </c>
      <c r="AQ41" s="349">
        <f t="shared" si="152"/>
        <v>0</v>
      </c>
      <c r="AR41" s="349">
        <f t="shared" si="152"/>
        <v>0</v>
      </c>
      <c r="AS41" s="349">
        <f t="shared" si="152"/>
        <v>0</v>
      </c>
      <c r="AT41" s="349">
        <f t="shared" si="152"/>
        <v>0</v>
      </c>
      <c r="AU41" s="349">
        <f t="shared" si="152"/>
        <v>0</v>
      </c>
      <c r="AV41" s="349">
        <f t="shared" si="152"/>
        <v>0</v>
      </c>
      <c r="AW41" s="349">
        <f t="shared" si="152"/>
        <v>0</v>
      </c>
      <c r="AX41" s="349">
        <f t="shared" si="152"/>
        <v>0</v>
      </c>
      <c r="AY41" s="349">
        <f t="shared" si="152"/>
        <v>0</v>
      </c>
      <c r="AZ41" s="349">
        <f t="shared" si="152"/>
        <v>0</v>
      </c>
      <c r="BA41" s="349">
        <f t="shared" si="152"/>
        <v>0</v>
      </c>
      <c r="BB41" s="349">
        <f t="shared" si="152"/>
        <v>0</v>
      </c>
      <c r="BC41" s="349">
        <f t="shared" si="152"/>
        <v>0</v>
      </c>
      <c r="BD41" s="349">
        <f t="shared" si="152"/>
        <v>0</v>
      </c>
      <c r="BE41" s="349">
        <f t="shared" si="152"/>
        <v>0</v>
      </c>
      <c r="BF41" s="349">
        <f t="shared" si="152"/>
        <v>0</v>
      </c>
      <c r="BG41" s="349">
        <f t="shared" si="152"/>
        <v>0</v>
      </c>
      <c r="BH41" s="349">
        <f t="shared" si="152"/>
        <v>0</v>
      </c>
      <c r="BI41" s="349">
        <f t="shared" si="152"/>
        <v>0</v>
      </c>
      <c r="BJ41" s="349">
        <f t="shared" si="152"/>
        <v>0</v>
      </c>
      <c r="BK41" s="349">
        <f t="shared" si="152"/>
        <v>0</v>
      </c>
      <c r="BL41" s="349">
        <f t="shared" si="152"/>
        <v>0</v>
      </c>
      <c r="BM41" s="349">
        <f t="shared" si="152"/>
        <v>0</v>
      </c>
      <c r="BN41" s="349">
        <f t="shared" si="152"/>
        <v>0</v>
      </c>
      <c r="BO41" s="349">
        <f t="shared" si="152"/>
        <v>0</v>
      </c>
      <c r="BP41" s="349">
        <f t="shared" ref="BP41:CA41" si="153">IF(BP40&gt;$F7+1,0,1)*(IF(BQ41=0,100,0)+IF($G7=1,1,0.5)*$J7*100)</f>
        <v>0</v>
      </c>
      <c r="BQ41" s="349">
        <f t="shared" si="153"/>
        <v>0</v>
      </c>
      <c r="BR41" s="349">
        <f t="shared" si="153"/>
        <v>0</v>
      </c>
      <c r="BS41" s="349">
        <f t="shared" si="153"/>
        <v>0</v>
      </c>
      <c r="BT41" s="349">
        <f t="shared" si="153"/>
        <v>0</v>
      </c>
      <c r="BU41" s="349">
        <f t="shared" si="153"/>
        <v>0</v>
      </c>
      <c r="BV41" s="349">
        <f t="shared" si="153"/>
        <v>0</v>
      </c>
      <c r="BW41" s="349">
        <f t="shared" si="153"/>
        <v>0</v>
      </c>
      <c r="BX41" s="349">
        <f t="shared" si="153"/>
        <v>0</v>
      </c>
      <c r="BY41" s="349">
        <f t="shared" si="153"/>
        <v>0</v>
      </c>
      <c r="BZ41" s="349">
        <f t="shared" si="153"/>
        <v>0</v>
      </c>
      <c r="CA41" s="349">
        <f t="shared" si="153"/>
        <v>0</v>
      </c>
      <c r="CB41" s="350">
        <f>IF(CB40&gt;$F7+1,0,1)*(IF(CC41=0,100,0)+IF($G7=1,1,0.5)*$J7*100)</f>
        <v>0</v>
      </c>
      <c r="CC41" s="321"/>
      <c r="CD41" s="321"/>
      <c r="CE41" s="321"/>
      <c r="CF41" s="321"/>
      <c r="CG41" s="321"/>
      <c r="CH41" s="321"/>
      <c r="CI41" s="321"/>
      <c r="CJ41" s="321"/>
      <c r="CK41" s="321"/>
      <c r="CL41" s="321"/>
      <c r="CM41" s="321"/>
      <c r="CN41" s="321"/>
      <c r="CO41" s="321"/>
      <c r="CP41" s="321"/>
      <c r="CQ41" s="321"/>
      <c r="CR41" s="321"/>
      <c r="CS41" s="321"/>
      <c r="CT41" s="321"/>
      <c r="CU41" s="321"/>
      <c r="CV41" s="321"/>
      <c r="CW41" s="321"/>
      <c r="CX41" s="321"/>
      <c r="CY41" s="321"/>
      <c r="CZ41" s="321"/>
      <c r="DA41" s="321"/>
      <c r="DB41" s="321"/>
      <c r="DC41" s="321"/>
      <c r="DD41" s="321"/>
      <c r="DE41" s="321"/>
      <c r="DF41" s="321"/>
      <c r="DG41" s="321"/>
      <c r="DH41" s="321"/>
      <c r="DI41" s="321"/>
      <c r="DJ41" s="321"/>
      <c r="DK41" s="321"/>
      <c r="DL41" s="321"/>
      <c r="DM41" s="321"/>
      <c r="DN41" s="321"/>
      <c r="DO41" s="321"/>
      <c r="DP41" s="321"/>
      <c r="DQ41" s="321"/>
      <c r="DR41" s="321"/>
      <c r="DS41" s="321"/>
      <c r="DT41" s="321"/>
      <c r="DU41" s="321"/>
      <c r="DV41" s="321"/>
      <c r="DW41" s="321"/>
      <c r="DX41" s="321"/>
      <c r="DY41" s="321"/>
      <c r="DZ41" s="321"/>
      <c r="EA41" s="321"/>
      <c r="EB41" s="321"/>
      <c r="EC41" s="321"/>
      <c r="ED41" s="321"/>
      <c r="EE41" s="321"/>
      <c r="EF41" s="321"/>
      <c r="EG41" s="321"/>
      <c r="EH41" s="321"/>
      <c r="EI41" s="321"/>
      <c r="EJ41" s="321"/>
      <c r="EK41" s="321"/>
      <c r="EL41" s="321"/>
      <c r="EM41" s="321"/>
      <c r="EN41" s="321"/>
      <c r="EO41" s="321"/>
      <c r="EP41" s="321"/>
      <c r="EQ41" s="321"/>
      <c r="ER41" s="321"/>
      <c r="ES41" s="321"/>
      <c r="ET41" s="321"/>
      <c r="EU41" s="321"/>
      <c r="EV41" s="321"/>
      <c r="EW41" s="321"/>
      <c r="EX41" s="321"/>
      <c r="EY41" s="321"/>
      <c r="EZ41" s="321"/>
      <c r="FA41" s="321"/>
      <c r="FB41" s="321"/>
      <c r="FC41" s="321"/>
      <c r="FD41" s="321"/>
      <c r="FE41" s="321"/>
      <c r="FF41" s="321"/>
      <c r="FG41" s="321"/>
      <c r="FH41" s="321"/>
      <c r="FI41" s="321"/>
      <c r="FJ41" s="321"/>
      <c r="FK41" s="321"/>
      <c r="FL41" s="321"/>
      <c r="FM41" s="321"/>
      <c r="FN41" s="321"/>
      <c r="FO41" s="321"/>
      <c r="FP41" s="321"/>
      <c r="FQ41" s="321"/>
      <c r="FR41" s="321"/>
      <c r="FS41" s="321"/>
      <c r="FT41" s="321"/>
      <c r="FU41" s="321"/>
      <c r="FV41" s="321"/>
      <c r="FW41" s="321"/>
      <c r="FX41" s="321"/>
      <c r="FY41" s="321"/>
      <c r="FZ41" s="321"/>
      <c r="GA41" s="321"/>
      <c r="GB41" s="321"/>
      <c r="GC41" s="321"/>
      <c r="GD41" s="321"/>
      <c r="GE41" s="321"/>
      <c r="GF41" s="321"/>
      <c r="GG41" s="321"/>
      <c r="GH41" s="321"/>
      <c r="GI41" s="321"/>
      <c r="GJ41" s="321"/>
      <c r="GK41" s="321"/>
      <c r="GL41" s="321"/>
      <c r="GM41" s="321"/>
      <c r="GN41" s="321"/>
      <c r="GO41" s="321"/>
      <c r="GP41" s="321"/>
      <c r="GQ41" s="321"/>
      <c r="GR41" s="321"/>
      <c r="GS41" s="321"/>
    </row>
    <row r="42" spans="1:201" s="437" customFormat="1">
      <c r="A42" s="440" t="s">
        <v>49</v>
      </c>
      <c r="B42" s="47" t="str">
        <f>IF(E8=0,F8,E8)</f>
        <v>12/31/2019</v>
      </c>
      <c r="C42" s="48">
        <f t="shared" ref="C42:AH42" si="154">B42+IF($G8=1,365,182.5)</f>
        <v>44012.5</v>
      </c>
      <c r="D42" s="48">
        <f t="shared" si="154"/>
        <v>44195</v>
      </c>
      <c r="E42" s="48">
        <f t="shared" si="154"/>
        <v>44377.5</v>
      </c>
      <c r="F42" s="48">
        <f t="shared" si="154"/>
        <v>44560</v>
      </c>
      <c r="G42" s="48">
        <f t="shared" si="154"/>
        <v>44742.5</v>
      </c>
      <c r="H42" s="48">
        <f t="shared" si="154"/>
        <v>44925</v>
      </c>
      <c r="I42" s="48">
        <f t="shared" si="154"/>
        <v>45107.5</v>
      </c>
      <c r="J42" s="48">
        <f t="shared" si="154"/>
        <v>45290</v>
      </c>
      <c r="K42" s="141">
        <f t="shared" si="154"/>
        <v>45472.5</v>
      </c>
      <c r="L42" s="48">
        <f t="shared" si="154"/>
        <v>45655</v>
      </c>
      <c r="M42" s="48">
        <f t="shared" si="154"/>
        <v>45837.5</v>
      </c>
      <c r="N42" s="48">
        <f t="shared" si="154"/>
        <v>46020</v>
      </c>
      <c r="O42" s="48">
        <f t="shared" si="154"/>
        <v>46202.5</v>
      </c>
      <c r="P42" s="48">
        <f t="shared" si="154"/>
        <v>46385</v>
      </c>
      <c r="Q42" s="48">
        <f t="shared" si="154"/>
        <v>46567.5</v>
      </c>
      <c r="R42" s="48">
        <f t="shared" si="154"/>
        <v>46750</v>
      </c>
      <c r="S42" s="48">
        <f t="shared" si="154"/>
        <v>46932.5</v>
      </c>
      <c r="T42" s="48">
        <f t="shared" si="154"/>
        <v>47115</v>
      </c>
      <c r="U42" s="48">
        <f t="shared" si="154"/>
        <v>47297.5</v>
      </c>
      <c r="V42" s="48">
        <f t="shared" si="154"/>
        <v>47480</v>
      </c>
      <c r="W42" s="48">
        <f t="shared" si="154"/>
        <v>47662.5</v>
      </c>
      <c r="X42" s="48">
        <f t="shared" si="154"/>
        <v>47845</v>
      </c>
      <c r="Y42" s="48">
        <f t="shared" si="154"/>
        <v>48027.5</v>
      </c>
      <c r="Z42" s="48">
        <f t="shared" si="154"/>
        <v>48210</v>
      </c>
      <c r="AA42" s="48">
        <f t="shared" si="154"/>
        <v>48392.5</v>
      </c>
      <c r="AB42" s="48">
        <f t="shared" si="154"/>
        <v>48575</v>
      </c>
      <c r="AC42" s="48">
        <f t="shared" si="154"/>
        <v>48757.5</v>
      </c>
      <c r="AD42" s="48">
        <f t="shared" si="154"/>
        <v>48940</v>
      </c>
      <c r="AE42" s="48">
        <f t="shared" si="154"/>
        <v>49122.5</v>
      </c>
      <c r="AF42" s="48">
        <f t="shared" si="154"/>
        <v>49305</v>
      </c>
      <c r="AG42" s="48">
        <f t="shared" si="154"/>
        <v>49487.5</v>
      </c>
      <c r="AH42" s="48">
        <f t="shared" si="154"/>
        <v>49670</v>
      </c>
      <c r="AI42" s="48">
        <f t="shared" ref="AI42:BN42" si="155">AH42+IF($G8=1,365,182.5)</f>
        <v>49852.5</v>
      </c>
      <c r="AJ42" s="48">
        <f t="shared" si="155"/>
        <v>50035</v>
      </c>
      <c r="AK42" s="48">
        <f t="shared" si="155"/>
        <v>50217.5</v>
      </c>
      <c r="AL42" s="48">
        <f t="shared" si="155"/>
        <v>50400</v>
      </c>
      <c r="AM42" s="48">
        <f t="shared" si="155"/>
        <v>50582.5</v>
      </c>
      <c r="AN42" s="48">
        <f t="shared" si="155"/>
        <v>50765</v>
      </c>
      <c r="AO42" s="48">
        <f t="shared" si="155"/>
        <v>50947.5</v>
      </c>
      <c r="AP42" s="48">
        <f t="shared" si="155"/>
        <v>51130</v>
      </c>
      <c r="AQ42" s="48">
        <f t="shared" si="155"/>
        <v>51312.5</v>
      </c>
      <c r="AR42" s="48">
        <f t="shared" si="155"/>
        <v>51495</v>
      </c>
      <c r="AS42" s="48">
        <f t="shared" si="155"/>
        <v>51677.5</v>
      </c>
      <c r="AT42" s="48">
        <f t="shared" si="155"/>
        <v>51860</v>
      </c>
      <c r="AU42" s="48">
        <f t="shared" si="155"/>
        <v>52042.5</v>
      </c>
      <c r="AV42" s="48">
        <f t="shared" si="155"/>
        <v>52225</v>
      </c>
      <c r="AW42" s="48">
        <f t="shared" si="155"/>
        <v>52407.5</v>
      </c>
      <c r="AX42" s="48">
        <f t="shared" si="155"/>
        <v>52590</v>
      </c>
      <c r="AY42" s="48">
        <f t="shared" si="155"/>
        <v>52772.5</v>
      </c>
      <c r="AZ42" s="48">
        <f t="shared" si="155"/>
        <v>52955</v>
      </c>
      <c r="BA42" s="48">
        <f t="shared" si="155"/>
        <v>53137.5</v>
      </c>
      <c r="BB42" s="48">
        <f t="shared" si="155"/>
        <v>53320</v>
      </c>
      <c r="BC42" s="48">
        <f t="shared" si="155"/>
        <v>53502.5</v>
      </c>
      <c r="BD42" s="48">
        <f t="shared" si="155"/>
        <v>53685</v>
      </c>
      <c r="BE42" s="48">
        <f t="shared" si="155"/>
        <v>53867.5</v>
      </c>
      <c r="BF42" s="48">
        <f t="shared" si="155"/>
        <v>54050</v>
      </c>
      <c r="BG42" s="48">
        <f t="shared" si="155"/>
        <v>54232.5</v>
      </c>
      <c r="BH42" s="48">
        <f t="shared" si="155"/>
        <v>54415</v>
      </c>
      <c r="BI42" s="48">
        <f t="shared" si="155"/>
        <v>54597.5</v>
      </c>
      <c r="BJ42" s="48">
        <f t="shared" si="155"/>
        <v>54780</v>
      </c>
      <c r="BK42" s="48">
        <f t="shared" si="155"/>
        <v>54962.5</v>
      </c>
      <c r="BL42" s="48">
        <f t="shared" si="155"/>
        <v>55145</v>
      </c>
      <c r="BM42" s="48">
        <f t="shared" si="155"/>
        <v>55327.5</v>
      </c>
      <c r="BN42" s="48">
        <f t="shared" si="155"/>
        <v>55510</v>
      </c>
      <c r="BO42" s="48">
        <f t="shared" ref="BO42:CB42" si="156">BN42+IF($G8=1,365,182.5)</f>
        <v>55692.5</v>
      </c>
      <c r="BP42" s="48">
        <f t="shared" si="156"/>
        <v>55875</v>
      </c>
      <c r="BQ42" s="48">
        <f t="shared" si="156"/>
        <v>56057.5</v>
      </c>
      <c r="BR42" s="48">
        <f t="shared" si="156"/>
        <v>56240</v>
      </c>
      <c r="BS42" s="48">
        <f t="shared" si="156"/>
        <v>56422.5</v>
      </c>
      <c r="BT42" s="48">
        <f t="shared" si="156"/>
        <v>56605</v>
      </c>
      <c r="BU42" s="48">
        <f t="shared" si="156"/>
        <v>56787.5</v>
      </c>
      <c r="BV42" s="48">
        <f t="shared" si="156"/>
        <v>56970</v>
      </c>
      <c r="BW42" s="48">
        <f t="shared" si="156"/>
        <v>57152.5</v>
      </c>
      <c r="BX42" s="48">
        <f t="shared" si="156"/>
        <v>57335</v>
      </c>
      <c r="BY42" s="48">
        <f t="shared" si="156"/>
        <v>57517.5</v>
      </c>
      <c r="BZ42" s="48">
        <f t="shared" si="156"/>
        <v>57700</v>
      </c>
      <c r="CA42" s="48">
        <f t="shared" si="156"/>
        <v>57882.5</v>
      </c>
      <c r="CB42" s="49">
        <f t="shared" si="156"/>
        <v>58065</v>
      </c>
    </row>
    <row r="43" spans="1:201">
      <c r="A43" s="351" t="s">
        <v>26</v>
      </c>
      <c r="B43" s="352">
        <f>(IF(B42=F8,100,0)+IF(G8=1,1,0.5)*J8*100)*IF(ISBLANK(F8)=TRUE,0,1)</f>
        <v>0.87500000000000011</v>
      </c>
      <c r="C43" s="353">
        <f>IF(C42&gt;$F8+1,0,1)*(IF(D43=0,100,0)+IF($G8=1,1,0.5)*$J8*100)</f>
        <v>0.87500000000000011</v>
      </c>
      <c r="D43" s="353">
        <f t="shared" ref="D43:BO43" si="157">IF(D42&gt;$F8+1,0,1)*(IF(E43=0,100,0)+IF($G8=1,1,0.5)*$J8*100)</f>
        <v>0.87500000000000011</v>
      </c>
      <c r="E43" s="353">
        <f t="shared" si="157"/>
        <v>0.87500000000000011</v>
      </c>
      <c r="F43" s="353">
        <f t="shared" si="157"/>
        <v>0.87500000000000011</v>
      </c>
      <c r="G43" s="353">
        <f t="shared" si="157"/>
        <v>0.87500000000000011</v>
      </c>
      <c r="H43" s="353">
        <f t="shared" si="157"/>
        <v>0.87500000000000011</v>
      </c>
      <c r="I43" s="353">
        <f t="shared" si="157"/>
        <v>0.87500000000000011</v>
      </c>
      <c r="J43" s="353">
        <f t="shared" si="157"/>
        <v>0.87500000000000011</v>
      </c>
      <c r="K43" s="353">
        <f t="shared" si="157"/>
        <v>100.875</v>
      </c>
      <c r="L43" s="353">
        <f t="shared" si="157"/>
        <v>0</v>
      </c>
      <c r="M43" s="353">
        <f t="shared" si="157"/>
        <v>0</v>
      </c>
      <c r="N43" s="353">
        <f t="shared" si="157"/>
        <v>0</v>
      </c>
      <c r="O43" s="353">
        <f t="shared" si="157"/>
        <v>0</v>
      </c>
      <c r="P43" s="353">
        <f t="shared" si="157"/>
        <v>0</v>
      </c>
      <c r="Q43" s="353">
        <f t="shared" si="157"/>
        <v>0</v>
      </c>
      <c r="R43" s="353">
        <f t="shared" si="157"/>
        <v>0</v>
      </c>
      <c r="S43" s="353">
        <f t="shared" si="157"/>
        <v>0</v>
      </c>
      <c r="T43" s="353">
        <f t="shared" si="157"/>
        <v>0</v>
      </c>
      <c r="U43" s="353">
        <f t="shared" si="157"/>
        <v>0</v>
      </c>
      <c r="V43" s="353">
        <f t="shared" si="157"/>
        <v>0</v>
      </c>
      <c r="W43" s="353">
        <f t="shared" si="157"/>
        <v>0</v>
      </c>
      <c r="X43" s="353">
        <f t="shared" si="157"/>
        <v>0</v>
      </c>
      <c r="Y43" s="353">
        <f t="shared" si="157"/>
        <v>0</v>
      </c>
      <c r="Z43" s="353">
        <f t="shared" si="157"/>
        <v>0</v>
      </c>
      <c r="AA43" s="353">
        <f t="shared" si="157"/>
        <v>0</v>
      </c>
      <c r="AB43" s="353">
        <f t="shared" si="157"/>
        <v>0</v>
      </c>
      <c r="AC43" s="353">
        <f t="shared" si="157"/>
        <v>0</v>
      </c>
      <c r="AD43" s="353">
        <f t="shared" si="157"/>
        <v>0</v>
      </c>
      <c r="AE43" s="353">
        <f t="shared" si="157"/>
        <v>0</v>
      </c>
      <c r="AF43" s="353">
        <f t="shared" si="157"/>
        <v>0</v>
      </c>
      <c r="AG43" s="353">
        <f t="shared" si="157"/>
        <v>0</v>
      </c>
      <c r="AH43" s="353">
        <f t="shared" si="157"/>
        <v>0</v>
      </c>
      <c r="AI43" s="353">
        <f t="shared" si="157"/>
        <v>0</v>
      </c>
      <c r="AJ43" s="353">
        <f t="shared" si="157"/>
        <v>0</v>
      </c>
      <c r="AK43" s="353">
        <f t="shared" si="157"/>
        <v>0</v>
      </c>
      <c r="AL43" s="353">
        <f t="shared" si="157"/>
        <v>0</v>
      </c>
      <c r="AM43" s="353">
        <f t="shared" si="157"/>
        <v>0</v>
      </c>
      <c r="AN43" s="353">
        <f t="shared" si="157"/>
        <v>0</v>
      </c>
      <c r="AO43" s="353">
        <f t="shared" si="157"/>
        <v>0</v>
      </c>
      <c r="AP43" s="353">
        <f t="shared" si="157"/>
        <v>0</v>
      </c>
      <c r="AQ43" s="353">
        <f t="shared" si="157"/>
        <v>0</v>
      </c>
      <c r="AR43" s="353">
        <f t="shared" si="157"/>
        <v>0</v>
      </c>
      <c r="AS43" s="353">
        <f t="shared" si="157"/>
        <v>0</v>
      </c>
      <c r="AT43" s="353">
        <f t="shared" si="157"/>
        <v>0</v>
      </c>
      <c r="AU43" s="353">
        <f t="shared" si="157"/>
        <v>0</v>
      </c>
      <c r="AV43" s="353">
        <f t="shared" si="157"/>
        <v>0</v>
      </c>
      <c r="AW43" s="353">
        <f t="shared" si="157"/>
        <v>0</v>
      </c>
      <c r="AX43" s="353">
        <f t="shared" si="157"/>
        <v>0</v>
      </c>
      <c r="AY43" s="353">
        <f t="shared" si="157"/>
        <v>0</v>
      </c>
      <c r="AZ43" s="353">
        <f t="shared" si="157"/>
        <v>0</v>
      </c>
      <c r="BA43" s="353">
        <f t="shared" si="157"/>
        <v>0</v>
      </c>
      <c r="BB43" s="353">
        <f t="shared" si="157"/>
        <v>0</v>
      </c>
      <c r="BC43" s="353">
        <f t="shared" si="157"/>
        <v>0</v>
      </c>
      <c r="BD43" s="353">
        <f t="shared" si="157"/>
        <v>0</v>
      </c>
      <c r="BE43" s="353">
        <f t="shared" si="157"/>
        <v>0</v>
      </c>
      <c r="BF43" s="353">
        <f t="shared" si="157"/>
        <v>0</v>
      </c>
      <c r="BG43" s="353">
        <f t="shared" si="157"/>
        <v>0</v>
      </c>
      <c r="BH43" s="353">
        <f t="shared" si="157"/>
        <v>0</v>
      </c>
      <c r="BI43" s="353">
        <f t="shared" si="157"/>
        <v>0</v>
      </c>
      <c r="BJ43" s="353">
        <f t="shared" si="157"/>
        <v>0</v>
      </c>
      <c r="BK43" s="353">
        <f t="shared" si="157"/>
        <v>0</v>
      </c>
      <c r="BL43" s="353">
        <f t="shared" si="157"/>
        <v>0</v>
      </c>
      <c r="BM43" s="353">
        <f t="shared" si="157"/>
        <v>0</v>
      </c>
      <c r="BN43" s="353">
        <f t="shared" si="157"/>
        <v>0</v>
      </c>
      <c r="BO43" s="353">
        <f t="shared" si="157"/>
        <v>0</v>
      </c>
      <c r="BP43" s="353">
        <f t="shared" ref="BP43:CA43" si="158">IF(BP42&gt;$F8+1,0,1)*(IF(BQ43=0,100,0)+IF($G8=1,1,0.5)*$J8*100)</f>
        <v>0</v>
      </c>
      <c r="BQ43" s="353">
        <f t="shared" si="158"/>
        <v>0</v>
      </c>
      <c r="BR43" s="353">
        <f t="shared" si="158"/>
        <v>0</v>
      </c>
      <c r="BS43" s="353">
        <f t="shared" si="158"/>
        <v>0</v>
      </c>
      <c r="BT43" s="353">
        <f t="shared" si="158"/>
        <v>0</v>
      </c>
      <c r="BU43" s="353">
        <f t="shared" si="158"/>
        <v>0</v>
      </c>
      <c r="BV43" s="353">
        <f t="shared" si="158"/>
        <v>0</v>
      </c>
      <c r="BW43" s="353">
        <f t="shared" si="158"/>
        <v>0</v>
      </c>
      <c r="BX43" s="353">
        <f t="shared" si="158"/>
        <v>0</v>
      </c>
      <c r="BY43" s="353">
        <f t="shared" si="158"/>
        <v>0</v>
      </c>
      <c r="BZ43" s="353">
        <f t="shared" si="158"/>
        <v>0</v>
      </c>
      <c r="CA43" s="353">
        <f t="shared" si="158"/>
        <v>0</v>
      </c>
      <c r="CB43" s="354">
        <f>IF(CB42&gt;$F8+1,0,1)*(IF(CC43=0,100,0)+IF($G8=1,1,0.5)*$J8*100)</f>
        <v>0</v>
      </c>
      <c r="CC43" s="321"/>
      <c r="CD43" s="321"/>
      <c r="CE43" s="321"/>
      <c r="CF43" s="321"/>
      <c r="CG43" s="321"/>
      <c r="CH43" s="321"/>
      <c r="CI43" s="321"/>
      <c r="CJ43" s="321"/>
      <c r="CK43" s="321"/>
      <c r="CL43" s="321"/>
      <c r="CM43" s="321"/>
      <c r="CN43" s="321"/>
      <c r="CO43" s="321"/>
      <c r="CP43" s="321"/>
      <c r="CQ43" s="321"/>
      <c r="CR43" s="321"/>
      <c r="CS43" s="321"/>
      <c r="CT43" s="321"/>
      <c r="CU43" s="321"/>
      <c r="CV43" s="321"/>
      <c r="CW43" s="321"/>
      <c r="CX43" s="321"/>
      <c r="CY43" s="321"/>
      <c r="CZ43" s="321"/>
      <c r="DA43" s="321"/>
      <c r="DB43" s="321"/>
      <c r="DC43" s="321"/>
      <c r="DD43" s="321"/>
      <c r="DE43" s="321"/>
      <c r="DF43" s="321"/>
      <c r="DG43" s="321"/>
      <c r="DH43" s="321"/>
      <c r="DI43" s="321"/>
      <c r="DJ43" s="321"/>
      <c r="DK43" s="321"/>
      <c r="DL43" s="321"/>
      <c r="DM43" s="321"/>
      <c r="DN43" s="321"/>
      <c r="DO43" s="321"/>
      <c r="DP43" s="321"/>
      <c r="DQ43" s="321"/>
      <c r="DR43" s="321"/>
      <c r="DS43" s="321"/>
      <c r="DT43" s="321"/>
      <c r="DU43" s="321"/>
      <c r="DV43" s="321"/>
      <c r="DW43" s="321"/>
      <c r="DX43" s="321"/>
      <c r="DY43" s="321"/>
      <c r="DZ43" s="321"/>
      <c r="EA43" s="321"/>
      <c r="EB43" s="321"/>
      <c r="EC43" s="321"/>
      <c r="ED43" s="321"/>
      <c r="EE43" s="321"/>
      <c r="EF43" s="321"/>
      <c r="EG43" s="321"/>
      <c r="EH43" s="321"/>
      <c r="EI43" s="321"/>
      <c r="EJ43" s="321"/>
      <c r="EK43" s="321"/>
      <c r="EL43" s="321"/>
      <c r="EM43" s="321"/>
      <c r="EN43" s="321"/>
      <c r="EO43" s="321"/>
      <c r="EP43" s="321"/>
      <c r="EQ43" s="321"/>
      <c r="ER43" s="321"/>
      <c r="ES43" s="321"/>
      <c r="ET43" s="321"/>
      <c r="EU43" s="321"/>
      <c r="EV43" s="321"/>
      <c r="EW43" s="321"/>
      <c r="EX43" s="321"/>
      <c r="EY43" s="321"/>
      <c r="EZ43" s="321"/>
      <c r="FA43" s="321"/>
      <c r="FB43" s="321"/>
      <c r="FC43" s="321"/>
      <c r="FD43" s="321"/>
      <c r="FE43" s="321"/>
      <c r="FF43" s="321"/>
      <c r="FG43" s="321"/>
      <c r="FH43" s="321"/>
      <c r="FI43" s="321"/>
      <c r="FJ43" s="321"/>
      <c r="FK43" s="321"/>
      <c r="FL43" s="321"/>
      <c r="FM43" s="321"/>
      <c r="FN43" s="321"/>
      <c r="FO43" s="321"/>
      <c r="FP43" s="321"/>
      <c r="FQ43" s="321"/>
      <c r="FR43" s="321"/>
      <c r="FS43" s="321"/>
      <c r="FT43" s="321"/>
      <c r="FU43" s="321"/>
      <c r="FV43" s="321"/>
      <c r="FW43" s="321"/>
      <c r="FX43" s="321"/>
      <c r="FY43" s="321"/>
      <c r="FZ43" s="321"/>
      <c r="GA43" s="321"/>
      <c r="GB43" s="321"/>
      <c r="GC43" s="321"/>
      <c r="GD43" s="321"/>
      <c r="GE43" s="321"/>
      <c r="GF43" s="321"/>
      <c r="GG43" s="321"/>
      <c r="GH43" s="321"/>
      <c r="GI43" s="321"/>
      <c r="GJ43" s="321"/>
      <c r="GK43" s="321"/>
      <c r="GL43" s="321"/>
      <c r="GM43" s="321"/>
      <c r="GN43" s="321"/>
      <c r="GO43" s="321"/>
      <c r="GP43" s="321"/>
      <c r="GQ43" s="321"/>
      <c r="GR43" s="321"/>
      <c r="GS43" s="321"/>
    </row>
    <row r="44" spans="1:201" s="437" customFormat="1">
      <c r="A44" s="441" t="s">
        <v>49</v>
      </c>
      <c r="B44" s="52" t="str">
        <f>IF(E9=0,F9,E9)</f>
        <v>12/31/2019</v>
      </c>
      <c r="C44" s="53">
        <f t="shared" ref="C44:AH44" si="159">B44+IF($G9=1,365,182.5)</f>
        <v>44012.5</v>
      </c>
      <c r="D44" s="53">
        <f t="shared" si="159"/>
        <v>44195</v>
      </c>
      <c r="E44" s="53">
        <f t="shared" si="159"/>
        <v>44377.5</v>
      </c>
      <c r="F44" s="53">
        <f t="shared" si="159"/>
        <v>44560</v>
      </c>
      <c r="G44" s="53">
        <f t="shared" si="159"/>
        <v>44742.5</v>
      </c>
      <c r="H44" s="53">
        <f t="shared" si="159"/>
        <v>44925</v>
      </c>
      <c r="I44" s="53">
        <f t="shared" si="159"/>
        <v>45107.5</v>
      </c>
      <c r="J44" s="53">
        <f t="shared" si="159"/>
        <v>45290</v>
      </c>
      <c r="K44" s="53">
        <f t="shared" si="159"/>
        <v>45472.5</v>
      </c>
      <c r="L44" s="53">
        <f t="shared" si="159"/>
        <v>45655</v>
      </c>
      <c r="M44" s="53">
        <f t="shared" si="159"/>
        <v>45837.5</v>
      </c>
      <c r="N44" s="53">
        <f t="shared" si="159"/>
        <v>46020</v>
      </c>
      <c r="O44" s="53">
        <f t="shared" si="159"/>
        <v>46202.5</v>
      </c>
      <c r="P44" s="53">
        <f t="shared" si="159"/>
        <v>46385</v>
      </c>
      <c r="Q44" s="53">
        <f t="shared" si="159"/>
        <v>46567.5</v>
      </c>
      <c r="R44" s="53">
        <f t="shared" si="159"/>
        <v>46750</v>
      </c>
      <c r="S44" s="53">
        <f t="shared" si="159"/>
        <v>46932.5</v>
      </c>
      <c r="T44" s="53">
        <f t="shared" si="159"/>
        <v>47115</v>
      </c>
      <c r="U44" s="53">
        <f t="shared" si="159"/>
        <v>47297.5</v>
      </c>
      <c r="V44" s="53">
        <f t="shared" si="159"/>
        <v>47480</v>
      </c>
      <c r="W44" s="53">
        <f t="shared" si="159"/>
        <v>47662.5</v>
      </c>
      <c r="X44" s="53">
        <f t="shared" si="159"/>
        <v>47845</v>
      </c>
      <c r="Y44" s="53">
        <f t="shared" si="159"/>
        <v>48027.5</v>
      </c>
      <c r="Z44" s="53">
        <f t="shared" si="159"/>
        <v>48210</v>
      </c>
      <c r="AA44" s="53">
        <f t="shared" si="159"/>
        <v>48392.5</v>
      </c>
      <c r="AB44" s="53">
        <f t="shared" si="159"/>
        <v>48575</v>
      </c>
      <c r="AC44" s="53">
        <f t="shared" si="159"/>
        <v>48757.5</v>
      </c>
      <c r="AD44" s="53">
        <f t="shared" si="159"/>
        <v>48940</v>
      </c>
      <c r="AE44" s="53">
        <f t="shared" si="159"/>
        <v>49122.5</v>
      </c>
      <c r="AF44" s="53">
        <f t="shared" si="159"/>
        <v>49305</v>
      </c>
      <c r="AG44" s="53">
        <f t="shared" si="159"/>
        <v>49487.5</v>
      </c>
      <c r="AH44" s="53">
        <f t="shared" si="159"/>
        <v>49670</v>
      </c>
      <c r="AI44" s="53">
        <f t="shared" ref="AI44:BN44" si="160">AH44+IF($G9=1,365,182.5)</f>
        <v>49852.5</v>
      </c>
      <c r="AJ44" s="53">
        <f t="shared" si="160"/>
        <v>50035</v>
      </c>
      <c r="AK44" s="53">
        <f t="shared" si="160"/>
        <v>50217.5</v>
      </c>
      <c r="AL44" s="53">
        <f t="shared" si="160"/>
        <v>50400</v>
      </c>
      <c r="AM44" s="53">
        <f t="shared" si="160"/>
        <v>50582.5</v>
      </c>
      <c r="AN44" s="53">
        <f t="shared" si="160"/>
        <v>50765</v>
      </c>
      <c r="AO44" s="53">
        <f t="shared" si="160"/>
        <v>50947.5</v>
      </c>
      <c r="AP44" s="53">
        <f t="shared" si="160"/>
        <v>51130</v>
      </c>
      <c r="AQ44" s="53">
        <f t="shared" si="160"/>
        <v>51312.5</v>
      </c>
      <c r="AR44" s="53">
        <f t="shared" si="160"/>
        <v>51495</v>
      </c>
      <c r="AS44" s="53">
        <f t="shared" si="160"/>
        <v>51677.5</v>
      </c>
      <c r="AT44" s="53">
        <f t="shared" si="160"/>
        <v>51860</v>
      </c>
      <c r="AU44" s="53">
        <f t="shared" si="160"/>
        <v>52042.5</v>
      </c>
      <c r="AV44" s="53">
        <f t="shared" si="160"/>
        <v>52225</v>
      </c>
      <c r="AW44" s="53">
        <f t="shared" si="160"/>
        <v>52407.5</v>
      </c>
      <c r="AX44" s="53">
        <f t="shared" si="160"/>
        <v>52590</v>
      </c>
      <c r="AY44" s="53">
        <f t="shared" si="160"/>
        <v>52772.5</v>
      </c>
      <c r="AZ44" s="53">
        <f t="shared" si="160"/>
        <v>52955</v>
      </c>
      <c r="BA44" s="53">
        <f t="shared" si="160"/>
        <v>53137.5</v>
      </c>
      <c r="BB44" s="53">
        <f t="shared" si="160"/>
        <v>53320</v>
      </c>
      <c r="BC44" s="53">
        <f t="shared" si="160"/>
        <v>53502.5</v>
      </c>
      <c r="BD44" s="53">
        <f t="shared" si="160"/>
        <v>53685</v>
      </c>
      <c r="BE44" s="53">
        <f t="shared" si="160"/>
        <v>53867.5</v>
      </c>
      <c r="BF44" s="53">
        <f t="shared" si="160"/>
        <v>54050</v>
      </c>
      <c r="BG44" s="53">
        <f t="shared" si="160"/>
        <v>54232.5</v>
      </c>
      <c r="BH44" s="53">
        <f t="shared" si="160"/>
        <v>54415</v>
      </c>
      <c r="BI44" s="53">
        <f t="shared" si="160"/>
        <v>54597.5</v>
      </c>
      <c r="BJ44" s="53">
        <f t="shared" si="160"/>
        <v>54780</v>
      </c>
      <c r="BK44" s="53">
        <f t="shared" si="160"/>
        <v>54962.5</v>
      </c>
      <c r="BL44" s="53">
        <f t="shared" si="160"/>
        <v>55145</v>
      </c>
      <c r="BM44" s="53">
        <f t="shared" si="160"/>
        <v>55327.5</v>
      </c>
      <c r="BN44" s="53">
        <f t="shared" si="160"/>
        <v>55510</v>
      </c>
      <c r="BO44" s="53">
        <f t="shared" ref="BO44:CB44" si="161">BN44+IF($G9=1,365,182.5)</f>
        <v>55692.5</v>
      </c>
      <c r="BP44" s="53">
        <f t="shared" si="161"/>
        <v>55875</v>
      </c>
      <c r="BQ44" s="53">
        <f t="shared" si="161"/>
        <v>56057.5</v>
      </c>
      <c r="BR44" s="53">
        <f t="shared" si="161"/>
        <v>56240</v>
      </c>
      <c r="BS44" s="53">
        <f t="shared" si="161"/>
        <v>56422.5</v>
      </c>
      <c r="BT44" s="53">
        <f t="shared" si="161"/>
        <v>56605</v>
      </c>
      <c r="BU44" s="53">
        <f t="shared" si="161"/>
        <v>56787.5</v>
      </c>
      <c r="BV44" s="53">
        <f t="shared" si="161"/>
        <v>56970</v>
      </c>
      <c r="BW44" s="53">
        <f t="shared" si="161"/>
        <v>57152.5</v>
      </c>
      <c r="BX44" s="53">
        <f t="shared" si="161"/>
        <v>57335</v>
      </c>
      <c r="BY44" s="53">
        <f t="shared" si="161"/>
        <v>57517.5</v>
      </c>
      <c r="BZ44" s="53">
        <f t="shared" si="161"/>
        <v>57700</v>
      </c>
      <c r="CA44" s="53">
        <f t="shared" si="161"/>
        <v>57882.5</v>
      </c>
      <c r="CB44" s="54">
        <f t="shared" si="161"/>
        <v>58065</v>
      </c>
    </row>
    <row r="45" spans="1:201">
      <c r="A45" s="355" t="s">
        <v>27</v>
      </c>
      <c r="B45" s="356">
        <f>(IF(B44=F9,100,0)+IF(G9=1,1,0.5)*J9*100)*IF(ISBLANK(F9)=TRUE,0,1)</f>
        <v>0.9375</v>
      </c>
      <c r="C45" s="357">
        <f>IF(C44&gt;$F9+1,0,1)*(IF(D45=0,100,0)+IF($G9=1,1,0.5)*$J9*100)</f>
        <v>0.9375</v>
      </c>
      <c r="D45" s="357">
        <f t="shared" ref="D45:BO45" si="162">IF(D44&gt;$F9+1,0,1)*(IF(E45=0,100,0)+IF($G9=1,1,0.5)*$J9*100)</f>
        <v>0.9375</v>
      </c>
      <c r="E45" s="357">
        <f t="shared" si="162"/>
        <v>0.9375</v>
      </c>
      <c r="F45" s="357">
        <f t="shared" si="162"/>
        <v>0.9375</v>
      </c>
      <c r="G45" s="357">
        <f t="shared" si="162"/>
        <v>0.9375</v>
      </c>
      <c r="H45" s="357">
        <f t="shared" si="162"/>
        <v>0.9375</v>
      </c>
      <c r="I45" s="357">
        <f t="shared" si="162"/>
        <v>0.9375</v>
      </c>
      <c r="J45" s="357">
        <f t="shared" si="162"/>
        <v>0.9375</v>
      </c>
      <c r="K45" s="357">
        <f t="shared" si="162"/>
        <v>0.9375</v>
      </c>
      <c r="L45" s="357">
        <f t="shared" si="162"/>
        <v>0.9375</v>
      </c>
      <c r="M45" s="357">
        <f t="shared" si="162"/>
        <v>0.9375</v>
      </c>
      <c r="N45" s="357">
        <f t="shared" si="162"/>
        <v>0.9375</v>
      </c>
      <c r="O45" s="357">
        <f t="shared" si="162"/>
        <v>100.9375</v>
      </c>
      <c r="P45" s="357">
        <f t="shared" si="162"/>
        <v>0</v>
      </c>
      <c r="Q45" s="357">
        <f t="shared" si="162"/>
        <v>0</v>
      </c>
      <c r="R45" s="357">
        <f t="shared" si="162"/>
        <v>0</v>
      </c>
      <c r="S45" s="357">
        <f t="shared" si="162"/>
        <v>0</v>
      </c>
      <c r="T45" s="357">
        <f t="shared" si="162"/>
        <v>0</v>
      </c>
      <c r="U45" s="357">
        <f t="shared" si="162"/>
        <v>0</v>
      </c>
      <c r="V45" s="357">
        <f t="shared" si="162"/>
        <v>0</v>
      </c>
      <c r="W45" s="357">
        <f t="shared" si="162"/>
        <v>0</v>
      </c>
      <c r="X45" s="357">
        <f t="shared" si="162"/>
        <v>0</v>
      </c>
      <c r="Y45" s="357">
        <f t="shared" si="162"/>
        <v>0</v>
      </c>
      <c r="Z45" s="357">
        <f t="shared" si="162"/>
        <v>0</v>
      </c>
      <c r="AA45" s="357">
        <f t="shared" si="162"/>
        <v>0</v>
      </c>
      <c r="AB45" s="357">
        <f t="shared" si="162"/>
        <v>0</v>
      </c>
      <c r="AC45" s="357">
        <f t="shared" si="162"/>
        <v>0</v>
      </c>
      <c r="AD45" s="357">
        <f t="shared" si="162"/>
        <v>0</v>
      </c>
      <c r="AE45" s="357">
        <f t="shared" si="162"/>
        <v>0</v>
      </c>
      <c r="AF45" s="357">
        <f t="shared" si="162"/>
        <v>0</v>
      </c>
      <c r="AG45" s="357">
        <f t="shared" si="162"/>
        <v>0</v>
      </c>
      <c r="AH45" s="357">
        <f t="shared" si="162"/>
        <v>0</v>
      </c>
      <c r="AI45" s="357">
        <f t="shared" si="162"/>
        <v>0</v>
      </c>
      <c r="AJ45" s="357">
        <f t="shared" si="162"/>
        <v>0</v>
      </c>
      <c r="AK45" s="357">
        <f t="shared" si="162"/>
        <v>0</v>
      </c>
      <c r="AL45" s="357">
        <f t="shared" si="162"/>
        <v>0</v>
      </c>
      <c r="AM45" s="357">
        <f t="shared" si="162"/>
        <v>0</v>
      </c>
      <c r="AN45" s="357">
        <f t="shared" si="162"/>
        <v>0</v>
      </c>
      <c r="AO45" s="357">
        <f t="shared" si="162"/>
        <v>0</v>
      </c>
      <c r="AP45" s="357">
        <f t="shared" si="162"/>
        <v>0</v>
      </c>
      <c r="AQ45" s="357">
        <f t="shared" si="162"/>
        <v>0</v>
      </c>
      <c r="AR45" s="357">
        <f t="shared" si="162"/>
        <v>0</v>
      </c>
      <c r="AS45" s="357">
        <f t="shared" si="162"/>
        <v>0</v>
      </c>
      <c r="AT45" s="357">
        <f t="shared" si="162"/>
        <v>0</v>
      </c>
      <c r="AU45" s="357">
        <f t="shared" si="162"/>
        <v>0</v>
      </c>
      <c r="AV45" s="357">
        <f t="shared" si="162"/>
        <v>0</v>
      </c>
      <c r="AW45" s="357">
        <f t="shared" si="162"/>
        <v>0</v>
      </c>
      <c r="AX45" s="357">
        <f t="shared" si="162"/>
        <v>0</v>
      </c>
      <c r="AY45" s="357">
        <f t="shared" si="162"/>
        <v>0</v>
      </c>
      <c r="AZ45" s="357">
        <f t="shared" si="162"/>
        <v>0</v>
      </c>
      <c r="BA45" s="357">
        <f t="shared" si="162"/>
        <v>0</v>
      </c>
      <c r="BB45" s="357">
        <f t="shared" si="162"/>
        <v>0</v>
      </c>
      <c r="BC45" s="357">
        <f t="shared" si="162"/>
        <v>0</v>
      </c>
      <c r="BD45" s="357">
        <f t="shared" si="162"/>
        <v>0</v>
      </c>
      <c r="BE45" s="357">
        <f t="shared" si="162"/>
        <v>0</v>
      </c>
      <c r="BF45" s="357">
        <f t="shared" si="162"/>
        <v>0</v>
      </c>
      <c r="BG45" s="357">
        <f t="shared" si="162"/>
        <v>0</v>
      </c>
      <c r="BH45" s="357">
        <f t="shared" si="162"/>
        <v>0</v>
      </c>
      <c r="BI45" s="357">
        <f t="shared" si="162"/>
        <v>0</v>
      </c>
      <c r="BJ45" s="357">
        <f t="shared" si="162"/>
        <v>0</v>
      </c>
      <c r="BK45" s="357">
        <f t="shared" si="162"/>
        <v>0</v>
      </c>
      <c r="BL45" s="357">
        <f t="shared" si="162"/>
        <v>0</v>
      </c>
      <c r="BM45" s="357">
        <f t="shared" si="162"/>
        <v>0</v>
      </c>
      <c r="BN45" s="357">
        <f t="shared" si="162"/>
        <v>0</v>
      </c>
      <c r="BO45" s="357">
        <f t="shared" si="162"/>
        <v>0</v>
      </c>
      <c r="BP45" s="357">
        <f t="shared" ref="BP45:CA45" si="163">IF(BP44&gt;$F9+1,0,1)*(IF(BQ45=0,100,0)+IF($G9=1,1,0.5)*$J9*100)</f>
        <v>0</v>
      </c>
      <c r="BQ45" s="357">
        <f t="shared" si="163"/>
        <v>0</v>
      </c>
      <c r="BR45" s="357">
        <f t="shared" si="163"/>
        <v>0</v>
      </c>
      <c r="BS45" s="357">
        <f t="shared" si="163"/>
        <v>0</v>
      </c>
      <c r="BT45" s="357">
        <f t="shared" si="163"/>
        <v>0</v>
      </c>
      <c r="BU45" s="357">
        <f t="shared" si="163"/>
        <v>0</v>
      </c>
      <c r="BV45" s="357">
        <f t="shared" si="163"/>
        <v>0</v>
      </c>
      <c r="BW45" s="357">
        <f t="shared" si="163"/>
        <v>0</v>
      </c>
      <c r="BX45" s="357">
        <f t="shared" si="163"/>
        <v>0</v>
      </c>
      <c r="BY45" s="357">
        <f t="shared" si="163"/>
        <v>0</v>
      </c>
      <c r="BZ45" s="357">
        <f t="shared" si="163"/>
        <v>0</v>
      </c>
      <c r="CA45" s="357">
        <f t="shared" si="163"/>
        <v>0</v>
      </c>
      <c r="CB45" s="358">
        <f>IF(CB44&gt;$F9+1,0,1)*(IF(CC45=0,100,0)+IF($G9=1,1,0.5)*$J9*100)</f>
        <v>0</v>
      </c>
      <c r="CC45" s="321"/>
      <c r="CD45" s="321"/>
      <c r="CE45" s="321"/>
      <c r="CF45" s="321"/>
      <c r="CG45" s="321"/>
      <c r="CH45" s="321"/>
      <c r="CI45" s="321"/>
      <c r="CJ45" s="321"/>
      <c r="CK45" s="321"/>
      <c r="CL45" s="321"/>
      <c r="CM45" s="321"/>
      <c r="CN45" s="321"/>
      <c r="CO45" s="321"/>
      <c r="CP45" s="321"/>
      <c r="CQ45" s="321"/>
      <c r="CR45" s="321"/>
      <c r="CS45" s="321"/>
      <c r="CT45" s="321"/>
      <c r="CU45" s="321"/>
      <c r="CV45" s="321"/>
      <c r="CW45" s="321"/>
      <c r="CX45" s="321"/>
      <c r="CY45" s="321"/>
      <c r="CZ45" s="321"/>
      <c r="DA45" s="321"/>
      <c r="DB45" s="321"/>
      <c r="DC45" s="321"/>
      <c r="DD45" s="321"/>
      <c r="DE45" s="321"/>
      <c r="DF45" s="321"/>
      <c r="DG45" s="321"/>
      <c r="DH45" s="321"/>
      <c r="DI45" s="321"/>
      <c r="DJ45" s="321"/>
      <c r="DK45" s="321"/>
      <c r="DL45" s="321"/>
      <c r="DM45" s="321"/>
      <c r="DN45" s="321"/>
      <c r="DO45" s="321"/>
      <c r="DP45" s="321"/>
      <c r="DQ45" s="321"/>
      <c r="DR45" s="321"/>
      <c r="DS45" s="321"/>
      <c r="DT45" s="321"/>
      <c r="DU45" s="321"/>
      <c r="DV45" s="321"/>
      <c r="DW45" s="321"/>
      <c r="DX45" s="321"/>
      <c r="DY45" s="321"/>
      <c r="DZ45" s="321"/>
      <c r="EA45" s="321"/>
      <c r="EB45" s="321"/>
      <c r="EC45" s="321"/>
      <c r="ED45" s="321"/>
      <c r="EE45" s="321"/>
      <c r="EF45" s="321"/>
      <c r="EG45" s="321"/>
      <c r="EH45" s="321"/>
      <c r="EI45" s="321"/>
      <c r="EJ45" s="321"/>
      <c r="EK45" s="321"/>
      <c r="EL45" s="321"/>
      <c r="EM45" s="321"/>
      <c r="EN45" s="321"/>
      <c r="EO45" s="321"/>
      <c r="EP45" s="321"/>
      <c r="EQ45" s="321"/>
      <c r="ER45" s="321"/>
      <c r="ES45" s="321"/>
      <c r="ET45" s="321"/>
      <c r="EU45" s="321"/>
      <c r="EV45" s="321"/>
      <c r="EW45" s="321"/>
      <c r="EX45" s="321"/>
      <c r="EY45" s="321"/>
      <c r="EZ45" s="321"/>
      <c r="FA45" s="321"/>
      <c r="FB45" s="321"/>
      <c r="FC45" s="321"/>
      <c r="FD45" s="321"/>
      <c r="FE45" s="321"/>
      <c r="FF45" s="321"/>
      <c r="FG45" s="321"/>
      <c r="FH45" s="321"/>
      <c r="FI45" s="321"/>
      <c r="FJ45" s="321"/>
      <c r="FK45" s="321"/>
      <c r="FL45" s="321"/>
      <c r="FM45" s="321"/>
      <c r="FN45" s="321"/>
      <c r="FO45" s="321"/>
      <c r="FP45" s="321"/>
      <c r="FQ45" s="321"/>
      <c r="FR45" s="321"/>
      <c r="FS45" s="321"/>
      <c r="FT45" s="321"/>
      <c r="FU45" s="321"/>
      <c r="FV45" s="321"/>
      <c r="FW45" s="321"/>
      <c r="FX45" s="321"/>
      <c r="FY45" s="321"/>
      <c r="FZ45" s="321"/>
      <c r="GA45" s="321"/>
      <c r="GB45" s="321"/>
      <c r="GC45" s="321"/>
      <c r="GD45" s="321"/>
      <c r="GE45" s="321"/>
      <c r="GF45" s="321"/>
      <c r="GG45" s="321"/>
      <c r="GH45" s="321"/>
      <c r="GI45" s="321"/>
      <c r="GJ45" s="321"/>
      <c r="GK45" s="321"/>
      <c r="GL45" s="321"/>
      <c r="GM45" s="321"/>
      <c r="GN45" s="321"/>
      <c r="GO45" s="321"/>
      <c r="GP45" s="321"/>
      <c r="GQ45" s="321"/>
      <c r="GR45" s="321"/>
      <c r="GS45" s="321"/>
    </row>
    <row r="46" spans="1:201" s="437" customFormat="1">
      <c r="A46" s="442" t="s">
        <v>49</v>
      </c>
      <c r="B46" s="149" t="str">
        <f>IF(E10=0,F10,E10)</f>
        <v>11/15/2019</v>
      </c>
      <c r="C46" s="150">
        <f t="shared" ref="C46:AH46" si="164">B46+IF($G10=1,365,182.5)</f>
        <v>43966.5</v>
      </c>
      <c r="D46" s="150">
        <f t="shared" si="164"/>
        <v>44149</v>
      </c>
      <c r="E46" s="150">
        <f t="shared" si="164"/>
        <v>44331.5</v>
      </c>
      <c r="F46" s="150">
        <f t="shared" si="164"/>
        <v>44514</v>
      </c>
      <c r="G46" s="150">
        <f t="shared" si="164"/>
        <v>44696.5</v>
      </c>
      <c r="H46" s="150">
        <f t="shared" si="164"/>
        <v>44879</v>
      </c>
      <c r="I46" s="150">
        <f t="shared" si="164"/>
        <v>45061.5</v>
      </c>
      <c r="J46" s="150">
        <f t="shared" si="164"/>
        <v>45244</v>
      </c>
      <c r="K46" s="150">
        <f t="shared" si="164"/>
        <v>45426.5</v>
      </c>
      <c r="L46" s="150">
        <f t="shared" si="164"/>
        <v>45609</v>
      </c>
      <c r="M46" s="150">
        <f t="shared" si="164"/>
        <v>45791.5</v>
      </c>
      <c r="N46" s="150">
        <f t="shared" si="164"/>
        <v>45974</v>
      </c>
      <c r="O46" s="150">
        <f t="shared" si="164"/>
        <v>46156.5</v>
      </c>
      <c r="P46" s="150">
        <f t="shared" si="164"/>
        <v>46339</v>
      </c>
      <c r="Q46" s="150">
        <f t="shared" si="164"/>
        <v>46521.5</v>
      </c>
      <c r="R46" s="150">
        <f t="shared" si="164"/>
        <v>46704</v>
      </c>
      <c r="S46" s="150">
        <f t="shared" si="164"/>
        <v>46886.5</v>
      </c>
      <c r="T46" s="150">
        <f t="shared" si="164"/>
        <v>47069</v>
      </c>
      <c r="U46" s="150">
        <f t="shared" si="164"/>
        <v>47251.5</v>
      </c>
      <c r="V46" s="150">
        <f t="shared" si="164"/>
        <v>47434</v>
      </c>
      <c r="W46" s="150">
        <f t="shared" si="164"/>
        <v>47616.5</v>
      </c>
      <c r="X46" s="150">
        <f t="shared" si="164"/>
        <v>47799</v>
      </c>
      <c r="Y46" s="150">
        <f t="shared" si="164"/>
        <v>47981.5</v>
      </c>
      <c r="Z46" s="150">
        <f t="shared" si="164"/>
        <v>48164</v>
      </c>
      <c r="AA46" s="150">
        <f t="shared" si="164"/>
        <v>48346.5</v>
      </c>
      <c r="AB46" s="150">
        <f t="shared" si="164"/>
        <v>48529</v>
      </c>
      <c r="AC46" s="150">
        <f t="shared" si="164"/>
        <v>48711.5</v>
      </c>
      <c r="AD46" s="150">
        <f t="shared" si="164"/>
        <v>48894</v>
      </c>
      <c r="AE46" s="150">
        <f t="shared" si="164"/>
        <v>49076.5</v>
      </c>
      <c r="AF46" s="150">
        <f t="shared" si="164"/>
        <v>49259</v>
      </c>
      <c r="AG46" s="150">
        <f t="shared" si="164"/>
        <v>49441.5</v>
      </c>
      <c r="AH46" s="150">
        <f t="shared" si="164"/>
        <v>49624</v>
      </c>
      <c r="AI46" s="150">
        <f t="shared" ref="AI46:BN46" si="165">AH46+IF($G10=1,365,182.5)</f>
        <v>49806.5</v>
      </c>
      <c r="AJ46" s="150">
        <f t="shared" si="165"/>
        <v>49989</v>
      </c>
      <c r="AK46" s="150">
        <f t="shared" si="165"/>
        <v>50171.5</v>
      </c>
      <c r="AL46" s="150">
        <f t="shared" si="165"/>
        <v>50354</v>
      </c>
      <c r="AM46" s="150">
        <f t="shared" si="165"/>
        <v>50536.5</v>
      </c>
      <c r="AN46" s="150">
        <f t="shared" si="165"/>
        <v>50719</v>
      </c>
      <c r="AO46" s="150">
        <f t="shared" si="165"/>
        <v>50901.5</v>
      </c>
      <c r="AP46" s="150">
        <f t="shared" si="165"/>
        <v>51084</v>
      </c>
      <c r="AQ46" s="150">
        <f t="shared" si="165"/>
        <v>51266.5</v>
      </c>
      <c r="AR46" s="150">
        <f t="shared" si="165"/>
        <v>51449</v>
      </c>
      <c r="AS46" s="150">
        <f t="shared" si="165"/>
        <v>51631.5</v>
      </c>
      <c r="AT46" s="150">
        <f t="shared" si="165"/>
        <v>51814</v>
      </c>
      <c r="AU46" s="150">
        <f t="shared" si="165"/>
        <v>51996.5</v>
      </c>
      <c r="AV46" s="150">
        <f t="shared" si="165"/>
        <v>52179</v>
      </c>
      <c r="AW46" s="150">
        <f t="shared" si="165"/>
        <v>52361.5</v>
      </c>
      <c r="AX46" s="150">
        <f t="shared" si="165"/>
        <v>52544</v>
      </c>
      <c r="AY46" s="150">
        <f t="shared" si="165"/>
        <v>52726.5</v>
      </c>
      <c r="AZ46" s="150">
        <f t="shared" si="165"/>
        <v>52909</v>
      </c>
      <c r="BA46" s="150">
        <f t="shared" si="165"/>
        <v>53091.5</v>
      </c>
      <c r="BB46" s="150">
        <f t="shared" si="165"/>
        <v>53274</v>
      </c>
      <c r="BC46" s="150">
        <f t="shared" si="165"/>
        <v>53456.5</v>
      </c>
      <c r="BD46" s="150">
        <f t="shared" si="165"/>
        <v>53639</v>
      </c>
      <c r="BE46" s="150">
        <f t="shared" si="165"/>
        <v>53821.5</v>
      </c>
      <c r="BF46" s="150">
        <f t="shared" si="165"/>
        <v>54004</v>
      </c>
      <c r="BG46" s="150">
        <f t="shared" si="165"/>
        <v>54186.5</v>
      </c>
      <c r="BH46" s="150">
        <f t="shared" si="165"/>
        <v>54369</v>
      </c>
      <c r="BI46" s="150">
        <f t="shared" si="165"/>
        <v>54551.5</v>
      </c>
      <c r="BJ46" s="150">
        <f t="shared" si="165"/>
        <v>54734</v>
      </c>
      <c r="BK46" s="150">
        <f t="shared" si="165"/>
        <v>54916.5</v>
      </c>
      <c r="BL46" s="150">
        <f t="shared" si="165"/>
        <v>55099</v>
      </c>
      <c r="BM46" s="150">
        <f t="shared" si="165"/>
        <v>55281.5</v>
      </c>
      <c r="BN46" s="150">
        <f t="shared" si="165"/>
        <v>55464</v>
      </c>
      <c r="BO46" s="150">
        <f t="shared" ref="BO46:CB46" si="166">BN46+IF($G10=1,365,182.5)</f>
        <v>55646.5</v>
      </c>
      <c r="BP46" s="150">
        <f t="shared" si="166"/>
        <v>55829</v>
      </c>
      <c r="BQ46" s="150">
        <f t="shared" si="166"/>
        <v>56011.5</v>
      </c>
      <c r="BR46" s="150">
        <f t="shared" si="166"/>
        <v>56194</v>
      </c>
      <c r="BS46" s="150">
        <f t="shared" si="166"/>
        <v>56376.5</v>
      </c>
      <c r="BT46" s="150">
        <f t="shared" si="166"/>
        <v>56559</v>
      </c>
      <c r="BU46" s="150">
        <f t="shared" si="166"/>
        <v>56741.5</v>
      </c>
      <c r="BV46" s="150">
        <f t="shared" si="166"/>
        <v>56924</v>
      </c>
      <c r="BW46" s="150">
        <f t="shared" si="166"/>
        <v>57106.5</v>
      </c>
      <c r="BX46" s="150">
        <f t="shared" si="166"/>
        <v>57289</v>
      </c>
      <c r="BY46" s="150">
        <f t="shared" si="166"/>
        <v>57471.5</v>
      </c>
      <c r="BZ46" s="150">
        <f t="shared" si="166"/>
        <v>57654</v>
      </c>
      <c r="CA46" s="150">
        <f t="shared" si="166"/>
        <v>57836.5</v>
      </c>
      <c r="CB46" s="151">
        <f t="shared" si="166"/>
        <v>58019</v>
      </c>
    </row>
    <row r="47" spans="1:201">
      <c r="A47" s="359" t="s">
        <v>17</v>
      </c>
      <c r="B47" s="360">
        <f>(IF(B46=F10,100,0)+IF(G10=1,1,0.5)*J10*100)*IF(ISBLANK(F10)=TRUE,0,1)</f>
        <v>1.1875</v>
      </c>
      <c r="C47" s="361">
        <f>IF(C46&gt;$F10+1,0,1)*(IF(D47=0,100,0)+IF($G10=1,1,0.5)*$J10*100)</f>
        <v>1.1875</v>
      </c>
      <c r="D47" s="361">
        <f t="shared" ref="D47:BO47" si="167">IF(D46&gt;$F10+1,0,1)*(IF(E47=0,100,0)+IF($G10=1,1,0.5)*$J10*100)</f>
        <v>1.1875</v>
      </c>
      <c r="E47" s="361">
        <f t="shared" si="167"/>
        <v>1.1875</v>
      </c>
      <c r="F47" s="361">
        <f t="shared" si="167"/>
        <v>1.1875</v>
      </c>
      <c r="G47" s="361">
        <f t="shared" si="167"/>
        <v>1.1875</v>
      </c>
      <c r="H47" s="361">
        <f t="shared" si="167"/>
        <v>1.1875</v>
      </c>
      <c r="I47" s="361">
        <f t="shared" si="167"/>
        <v>1.1875</v>
      </c>
      <c r="J47" s="361">
        <f t="shared" si="167"/>
        <v>1.1875</v>
      </c>
      <c r="K47" s="361">
        <f t="shared" si="167"/>
        <v>1.1875</v>
      </c>
      <c r="L47" s="361">
        <f t="shared" si="167"/>
        <v>1.1875</v>
      </c>
      <c r="M47" s="361">
        <f t="shared" si="167"/>
        <v>1.1875</v>
      </c>
      <c r="N47" s="361">
        <f t="shared" si="167"/>
        <v>1.1875</v>
      </c>
      <c r="O47" s="361">
        <f t="shared" si="167"/>
        <v>1.1875</v>
      </c>
      <c r="P47" s="361">
        <f t="shared" si="167"/>
        <v>1.1875</v>
      </c>
      <c r="Q47" s="361">
        <f t="shared" si="167"/>
        <v>1.1875</v>
      </c>
      <c r="R47" s="361">
        <f t="shared" si="167"/>
        <v>1.1875</v>
      </c>
      <c r="S47" s="361">
        <f t="shared" si="167"/>
        <v>1.1875</v>
      </c>
      <c r="T47" s="361">
        <f t="shared" si="167"/>
        <v>1.1875</v>
      </c>
      <c r="U47" s="361">
        <f t="shared" si="167"/>
        <v>101.1875</v>
      </c>
      <c r="V47" s="361">
        <f t="shared" si="167"/>
        <v>0</v>
      </c>
      <c r="W47" s="361">
        <f t="shared" si="167"/>
        <v>0</v>
      </c>
      <c r="X47" s="361">
        <f t="shared" si="167"/>
        <v>0</v>
      </c>
      <c r="Y47" s="361">
        <f t="shared" si="167"/>
        <v>0</v>
      </c>
      <c r="Z47" s="361">
        <f t="shared" si="167"/>
        <v>0</v>
      </c>
      <c r="AA47" s="361">
        <f t="shared" si="167"/>
        <v>0</v>
      </c>
      <c r="AB47" s="361">
        <f t="shared" si="167"/>
        <v>0</v>
      </c>
      <c r="AC47" s="361">
        <f t="shared" si="167"/>
        <v>0</v>
      </c>
      <c r="AD47" s="361">
        <f t="shared" si="167"/>
        <v>0</v>
      </c>
      <c r="AE47" s="361">
        <f t="shared" si="167"/>
        <v>0</v>
      </c>
      <c r="AF47" s="361">
        <f t="shared" si="167"/>
        <v>0</v>
      </c>
      <c r="AG47" s="361">
        <f t="shared" si="167"/>
        <v>0</v>
      </c>
      <c r="AH47" s="361">
        <f t="shared" si="167"/>
        <v>0</v>
      </c>
      <c r="AI47" s="361">
        <f t="shared" si="167"/>
        <v>0</v>
      </c>
      <c r="AJ47" s="361">
        <f t="shared" si="167"/>
        <v>0</v>
      </c>
      <c r="AK47" s="361">
        <f t="shared" si="167"/>
        <v>0</v>
      </c>
      <c r="AL47" s="361">
        <f t="shared" si="167"/>
        <v>0</v>
      </c>
      <c r="AM47" s="361">
        <f t="shared" si="167"/>
        <v>0</v>
      </c>
      <c r="AN47" s="361">
        <f t="shared" si="167"/>
        <v>0</v>
      </c>
      <c r="AO47" s="361">
        <f t="shared" si="167"/>
        <v>0</v>
      </c>
      <c r="AP47" s="361">
        <f t="shared" si="167"/>
        <v>0</v>
      </c>
      <c r="AQ47" s="361">
        <f t="shared" si="167"/>
        <v>0</v>
      </c>
      <c r="AR47" s="361">
        <f t="shared" si="167"/>
        <v>0</v>
      </c>
      <c r="AS47" s="361">
        <f t="shared" si="167"/>
        <v>0</v>
      </c>
      <c r="AT47" s="361">
        <f t="shared" si="167"/>
        <v>0</v>
      </c>
      <c r="AU47" s="361">
        <f t="shared" si="167"/>
        <v>0</v>
      </c>
      <c r="AV47" s="361">
        <f t="shared" si="167"/>
        <v>0</v>
      </c>
      <c r="AW47" s="361">
        <f t="shared" si="167"/>
        <v>0</v>
      </c>
      <c r="AX47" s="361">
        <f t="shared" si="167"/>
        <v>0</v>
      </c>
      <c r="AY47" s="361">
        <f t="shared" si="167"/>
        <v>0</v>
      </c>
      <c r="AZ47" s="361">
        <f t="shared" si="167"/>
        <v>0</v>
      </c>
      <c r="BA47" s="361">
        <f t="shared" si="167"/>
        <v>0</v>
      </c>
      <c r="BB47" s="361">
        <f t="shared" si="167"/>
        <v>0</v>
      </c>
      <c r="BC47" s="361">
        <f t="shared" si="167"/>
        <v>0</v>
      </c>
      <c r="BD47" s="361">
        <f t="shared" si="167"/>
        <v>0</v>
      </c>
      <c r="BE47" s="361">
        <f t="shared" si="167"/>
        <v>0</v>
      </c>
      <c r="BF47" s="361">
        <f t="shared" si="167"/>
        <v>0</v>
      </c>
      <c r="BG47" s="361">
        <f t="shared" si="167"/>
        <v>0</v>
      </c>
      <c r="BH47" s="361">
        <f t="shared" si="167"/>
        <v>0</v>
      </c>
      <c r="BI47" s="361">
        <f t="shared" si="167"/>
        <v>0</v>
      </c>
      <c r="BJ47" s="361">
        <f t="shared" si="167"/>
        <v>0</v>
      </c>
      <c r="BK47" s="361">
        <f t="shared" si="167"/>
        <v>0</v>
      </c>
      <c r="BL47" s="361">
        <f t="shared" si="167"/>
        <v>0</v>
      </c>
      <c r="BM47" s="361">
        <f t="shared" si="167"/>
        <v>0</v>
      </c>
      <c r="BN47" s="361">
        <f t="shared" si="167"/>
        <v>0</v>
      </c>
      <c r="BO47" s="361">
        <f t="shared" si="167"/>
        <v>0</v>
      </c>
      <c r="BP47" s="361">
        <f t="shared" ref="BP47:CA47" si="168">IF(BP46&gt;$F10+1,0,1)*(IF(BQ47=0,100,0)+IF($G10=1,1,0.5)*$J10*100)</f>
        <v>0</v>
      </c>
      <c r="BQ47" s="361">
        <f t="shared" si="168"/>
        <v>0</v>
      </c>
      <c r="BR47" s="361">
        <f t="shared" si="168"/>
        <v>0</v>
      </c>
      <c r="BS47" s="361">
        <f t="shared" si="168"/>
        <v>0</v>
      </c>
      <c r="BT47" s="361">
        <f t="shared" si="168"/>
        <v>0</v>
      </c>
      <c r="BU47" s="361">
        <f t="shared" si="168"/>
        <v>0</v>
      </c>
      <c r="BV47" s="361">
        <f t="shared" si="168"/>
        <v>0</v>
      </c>
      <c r="BW47" s="361">
        <f t="shared" si="168"/>
        <v>0</v>
      </c>
      <c r="BX47" s="361">
        <f t="shared" si="168"/>
        <v>0</v>
      </c>
      <c r="BY47" s="361">
        <f t="shared" si="168"/>
        <v>0</v>
      </c>
      <c r="BZ47" s="361">
        <f t="shared" si="168"/>
        <v>0</v>
      </c>
      <c r="CA47" s="361">
        <f t="shared" si="168"/>
        <v>0</v>
      </c>
      <c r="CB47" s="362">
        <f>IF(CB46&gt;$F10+1,0,1)*(IF(CC47=0,100,0)+IF($G10=1,1,0.5)*$J10*100)</f>
        <v>0</v>
      </c>
      <c r="CC47" s="321"/>
      <c r="CD47" s="321"/>
      <c r="CE47" s="321"/>
      <c r="CF47" s="321"/>
      <c r="CG47" s="321"/>
      <c r="CH47" s="321"/>
      <c r="CI47" s="321"/>
      <c r="CJ47" s="321"/>
      <c r="CK47" s="321"/>
      <c r="CL47" s="321"/>
      <c r="CM47" s="321"/>
      <c r="CN47" s="321"/>
      <c r="CO47" s="321"/>
      <c r="CP47" s="321"/>
      <c r="CQ47" s="321"/>
      <c r="CR47" s="321"/>
      <c r="CS47" s="321"/>
      <c r="CT47" s="321"/>
      <c r="CU47" s="321"/>
      <c r="CV47" s="321"/>
      <c r="CW47" s="321"/>
      <c r="CX47" s="321"/>
      <c r="CY47" s="321"/>
      <c r="CZ47" s="321"/>
      <c r="DA47" s="321"/>
      <c r="DB47" s="321"/>
      <c r="DC47" s="321"/>
      <c r="DD47" s="321"/>
      <c r="DE47" s="321"/>
      <c r="DF47" s="321"/>
      <c r="DG47" s="321"/>
      <c r="DH47" s="321"/>
      <c r="DI47" s="321"/>
      <c r="DJ47" s="321"/>
      <c r="DK47" s="321"/>
      <c r="DL47" s="321"/>
      <c r="DM47" s="321"/>
      <c r="DN47" s="321"/>
      <c r="DO47" s="321"/>
      <c r="DP47" s="321"/>
      <c r="DQ47" s="321"/>
      <c r="DR47" s="321"/>
      <c r="DS47" s="321"/>
      <c r="DT47" s="321"/>
      <c r="DU47" s="321"/>
      <c r="DV47" s="321"/>
      <c r="DW47" s="321"/>
      <c r="DX47" s="321"/>
      <c r="DY47" s="321"/>
      <c r="DZ47" s="321"/>
      <c r="EA47" s="321"/>
      <c r="EB47" s="321"/>
      <c r="EC47" s="321"/>
      <c r="ED47" s="321"/>
      <c r="EE47" s="321"/>
      <c r="EF47" s="321"/>
      <c r="EG47" s="321"/>
      <c r="EH47" s="321"/>
      <c r="EI47" s="321"/>
      <c r="EJ47" s="321"/>
      <c r="EK47" s="321"/>
      <c r="EL47" s="321"/>
      <c r="EM47" s="321"/>
      <c r="EN47" s="321"/>
      <c r="EO47" s="321"/>
      <c r="EP47" s="321"/>
      <c r="EQ47" s="321"/>
      <c r="ER47" s="321"/>
      <c r="ES47" s="321"/>
      <c r="ET47" s="321"/>
      <c r="EU47" s="321"/>
      <c r="EV47" s="321"/>
      <c r="EW47" s="321"/>
      <c r="EX47" s="321"/>
      <c r="EY47" s="321"/>
      <c r="EZ47" s="321"/>
      <c r="FA47" s="321"/>
      <c r="FB47" s="321"/>
      <c r="FC47" s="321"/>
      <c r="FD47" s="321"/>
      <c r="FE47" s="321"/>
      <c r="FF47" s="321"/>
      <c r="FG47" s="321"/>
      <c r="FH47" s="321"/>
      <c r="FI47" s="321"/>
      <c r="FJ47" s="321"/>
      <c r="FK47" s="321"/>
      <c r="FL47" s="321"/>
      <c r="FM47" s="321"/>
      <c r="FN47" s="321"/>
      <c r="FO47" s="321"/>
      <c r="FP47" s="321"/>
      <c r="FQ47" s="321"/>
      <c r="FR47" s="321"/>
      <c r="FS47" s="321"/>
      <c r="FT47" s="321"/>
      <c r="FU47" s="321"/>
      <c r="FV47" s="321"/>
      <c r="FW47" s="321"/>
      <c r="FX47" s="321"/>
      <c r="FY47" s="321"/>
      <c r="FZ47" s="321"/>
      <c r="GA47" s="321"/>
      <c r="GB47" s="321"/>
      <c r="GC47" s="321"/>
      <c r="GD47" s="321"/>
      <c r="GE47" s="321"/>
      <c r="GF47" s="321"/>
      <c r="GG47" s="321"/>
      <c r="GH47" s="321"/>
      <c r="GI47" s="321"/>
      <c r="GJ47" s="321"/>
      <c r="GK47" s="321"/>
      <c r="GL47" s="321"/>
      <c r="GM47" s="321"/>
      <c r="GN47" s="321"/>
      <c r="GO47" s="321"/>
      <c r="GP47" s="321"/>
      <c r="GQ47" s="321"/>
      <c r="GR47" s="321"/>
      <c r="GS47" s="321"/>
    </row>
    <row r="48" spans="1:201" s="437" customFormat="1">
      <c r="A48" s="443" t="s">
        <v>49</v>
      </c>
      <c r="B48" s="57" t="str">
        <f>IF(E11=0,F11,E11)</f>
        <v>8/15/2019</v>
      </c>
      <c r="C48" s="58">
        <f t="shared" ref="C48:AH48" si="169">B48+IF($G11=1,365,182.5)</f>
        <v>43874.5</v>
      </c>
      <c r="D48" s="58">
        <f t="shared" si="169"/>
        <v>44057</v>
      </c>
      <c r="E48" s="58">
        <f t="shared" si="169"/>
        <v>44239.5</v>
      </c>
      <c r="F48" s="58">
        <f t="shared" si="169"/>
        <v>44422</v>
      </c>
      <c r="G48" s="58">
        <f t="shared" si="169"/>
        <v>44604.5</v>
      </c>
      <c r="H48" s="58">
        <f t="shared" si="169"/>
        <v>44787</v>
      </c>
      <c r="I48" s="58">
        <f t="shared" si="169"/>
        <v>44969.5</v>
      </c>
      <c r="J48" s="58">
        <f t="shared" si="169"/>
        <v>45152</v>
      </c>
      <c r="K48" s="58">
        <f t="shared" si="169"/>
        <v>45334.5</v>
      </c>
      <c r="L48" s="58">
        <f t="shared" si="169"/>
        <v>45517</v>
      </c>
      <c r="M48" s="58">
        <f t="shared" si="169"/>
        <v>45699.5</v>
      </c>
      <c r="N48" s="58">
        <f t="shared" si="169"/>
        <v>45882</v>
      </c>
      <c r="O48" s="58">
        <f t="shared" si="169"/>
        <v>46064.5</v>
      </c>
      <c r="P48" s="58">
        <f t="shared" si="169"/>
        <v>46247</v>
      </c>
      <c r="Q48" s="58">
        <f t="shared" si="169"/>
        <v>46429.5</v>
      </c>
      <c r="R48" s="58">
        <f t="shared" si="169"/>
        <v>46612</v>
      </c>
      <c r="S48" s="58">
        <f t="shared" si="169"/>
        <v>46794.5</v>
      </c>
      <c r="T48" s="58">
        <f t="shared" si="169"/>
        <v>46977</v>
      </c>
      <c r="U48" s="58">
        <f t="shared" si="169"/>
        <v>47159.5</v>
      </c>
      <c r="V48" s="58">
        <f t="shared" si="169"/>
        <v>47342</v>
      </c>
      <c r="W48" s="58">
        <f t="shared" si="169"/>
        <v>47524.5</v>
      </c>
      <c r="X48" s="58">
        <f t="shared" si="169"/>
        <v>47707</v>
      </c>
      <c r="Y48" s="58">
        <f t="shared" si="169"/>
        <v>47889.5</v>
      </c>
      <c r="Z48" s="58">
        <f t="shared" si="169"/>
        <v>48072</v>
      </c>
      <c r="AA48" s="58">
        <f t="shared" si="169"/>
        <v>48254.5</v>
      </c>
      <c r="AB48" s="58">
        <f t="shared" si="169"/>
        <v>48437</v>
      </c>
      <c r="AC48" s="58">
        <f t="shared" si="169"/>
        <v>48619.5</v>
      </c>
      <c r="AD48" s="58">
        <f t="shared" si="169"/>
        <v>48802</v>
      </c>
      <c r="AE48" s="58">
        <f t="shared" si="169"/>
        <v>48984.5</v>
      </c>
      <c r="AF48" s="58">
        <f t="shared" si="169"/>
        <v>49167</v>
      </c>
      <c r="AG48" s="58">
        <f t="shared" si="169"/>
        <v>49349.5</v>
      </c>
      <c r="AH48" s="58">
        <f t="shared" si="169"/>
        <v>49532</v>
      </c>
      <c r="AI48" s="58">
        <f t="shared" ref="AI48:BN48" si="170">AH48+IF($G11=1,365,182.5)</f>
        <v>49714.5</v>
      </c>
      <c r="AJ48" s="58">
        <f t="shared" si="170"/>
        <v>49897</v>
      </c>
      <c r="AK48" s="58">
        <f t="shared" si="170"/>
        <v>50079.5</v>
      </c>
      <c r="AL48" s="58">
        <f t="shared" si="170"/>
        <v>50262</v>
      </c>
      <c r="AM48" s="58">
        <f t="shared" si="170"/>
        <v>50444.5</v>
      </c>
      <c r="AN48" s="58">
        <f t="shared" si="170"/>
        <v>50627</v>
      </c>
      <c r="AO48" s="58">
        <f t="shared" si="170"/>
        <v>50809.5</v>
      </c>
      <c r="AP48" s="58">
        <f t="shared" si="170"/>
        <v>50992</v>
      </c>
      <c r="AQ48" s="58">
        <f t="shared" si="170"/>
        <v>51174.5</v>
      </c>
      <c r="AR48" s="58">
        <f t="shared" si="170"/>
        <v>51357</v>
      </c>
      <c r="AS48" s="58">
        <f t="shared" si="170"/>
        <v>51539.5</v>
      </c>
      <c r="AT48" s="58">
        <f t="shared" si="170"/>
        <v>51722</v>
      </c>
      <c r="AU48" s="58">
        <f t="shared" si="170"/>
        <v>51904.5</v>
      </c>
      <c r="AV48" s="58">
        <f t="shared" si="170"/>
        <v>52087</v>
      </c>
      <c r="AW48" s="58">
        <f t="shared" si="170"/>
        <v>52269.5</v>
      </c>
      <c r="AX48" s="58">
        <f t="shared" si="170"/>
        <v>52452</v>
      </c>
      <c r="AY48" s="58">
        <f t="shared" si="170"/>
        <v>52634.5</v>
      </c>
      <c r="AZ48" s="58">
        <f t="shared" si="170"/>
        <v>52817</v>
      </c>
      <c r="BA48" s="58">
        <f t="shared" si="170"/>
        <v>52999.5</v>
      </c>
      <c r="BB48" s="58">
        <f t="shared" si="170"/>
        <v>53182</v>
      </c>
      <c r="BC48" s="58">
        <f t="shared" si="170"/>
        <v>53364.5</v>
      </c>
      <c r="BD48" s="58">
        <f t="shared" si="170"/>
        <v>53547</v>
      </c>
      <c r="BE48" s="58">
        <f t="shared" si="170"/>
        <v>53729.5</v>
      </c>
      <c r="BF48" s="58">
        <f t="shared" si="170"/>
        <v>53912</v>
      </c>
      <c r="BG48" s="58">
        <f t="shared" si="170"/>
        <v>54094.5</v>
      </c>
      <c r="BH48" s="58">
        <f t="shared" si="170"/>
        <v>54277</v>
      </c>
      <c r="BI48" s="58">
        <f t="shared" si="170"/>
        <v>54459.5</v>
      </c>
      <c r="BJ48" s="58">
        <f t="shared" si="170"/>
        <v>54642</v>
      </c>
      <c r="BK48" s="58">
        <f t="shared" si="170"/>
        <v>54824.5</v>
      </c>
      <c r="BL48" s="58">
        <f t="shared" si="170"/>
        <v>55007</v>
      </c>
      <c r="BM48" s="58">
        <f t="shared" si="170"/>
        <v>55189.5</v>
      </c>
      <c r="BN48" s="58">
        <f t="shared" si="170"/>
        <v>55372</v>
      </c>
      <c r="BO48" s="58">
        <f t="shared" ref="BO48:CB48" si="171">BN48+IF($G11=1,365,182.5)</f>
        <v>55554.5</v>
      </c>
      <c r="BP48" s="58">
        <f t="shared" si="171"/>
        <v>55737</v>
      </c>
      <c r="BQ48" s="58">
        <f t="shared" si="171"/>
        <v>55919.5</v>
      </c>
      <c r="BR48" s="58">
        <f t="shared" si="171"/>
        <v>56102</v>
      </c>
      <c r="BS48" s="58">
        <f t="shared" si="171"/>
        <v>56284.5</v>
      </c>
      <c r="BT48" s="58">
        <f t="shared" si="171"/>
        <v>56467</v>
      </c>
      <c r="BU48" s="58">
        <f t="shared" si="171"/>
        <v>56649.5</v>
      </c>
      <c r="BV48" s="58">
        <f t="shared" si="171"/>
        <v>56832</v>
      </c>
      <c r="BW48" s="58">
        <f t="shared" si="171"/>
        <v>57014.5</v>
      </c>
      <c r="BX48" s="58">
        <f t="shared" si="171"/>
        <v>57197</v>
      </c>
      <c r="BY48" s="58">
        <f t="shared" si="171"/>
        <v>57379.5</v>
      </c>
      <c r="BZ48" s="58">
        <f t="shared" si="171"/>
        <v>57562</v>
      </c>
      <c r="CA48" s="58">
        <f t="shared" si="171"/>
        <v>57744.5</v>
      </c>
      <c r="CB48" s="59">
        <f t="shared" si="171"/>
        <v>57927</v>
      </c>
    </row>
    <row r="49" spans="1:201">
      <c r="A49" s="363" t="s">
        <v>28</v>
      </c>
      <c r="B49" s="364">
        <f>(IF(B48=F11,100,0)+IF(G11=1,1,0.5)*J11*100)*IF(ISBLANK(F11)=TRUE,0,1)</f>
        <v>3.4375000000000004</v>
      </c>
      <c r="C49" s="365">
        <f>IF(C48&gt;$F11+1,0,1)*(IF(D49=0,100,0)+IF($G11=1,1,0.5)*$J11*100)</f>
        <v>3.4375000000000004</v>
      </c>
      <c r="D49" s="365">
        <f t="shared" ref="D49:BO49" si="172">IF(D48&gt;$F11+1,0,1)*(IF(E49=0,100,0)+IF($G11=1,1,0.5)*$J11*100)</f>
        <v>3.4375000000000004</v>
      </c>
      <c r="E49" s="365">
        <f t="shared" si="172"/>
        <v>3.4375000000000004</v>
      </c>
      <c r="F49" s="365">
        <f t="shared" si="172"/>
        <v>3.4375000000000004</v>
      </c>
      <c r="G49" s="365">
        <f t="shared" si="172"/>
        <v>3.4375000000000004</v>
      </c>
      <c r="H49" s="365">
        <f t="shared" si="172"/>
        <v>3.4375000000000004</v>
      </c>
      <c r="I49" s="365">
        <f t="shared" si="172"/>
        <v>3.4375000000000004</v>
      </c>
      <c r="J49" s="365">
        <f t="shared" si="172"/>
        <v>3.4375000000000004</v>
      </c>
      <c r="K49" s="365">
        <f t="shared" si="172"/>
        <v>3.4375000000000004</v>
      </c>
      <c r="L49" s="365">
        <f t="shared" si="172"/>
        <v>3.4375000000000004</v>
      </c>
      <c r="M49" s="365">
        <f t="shared" si="172"/>
        <v>3.4375000000000004</v>
      </c>
      <c r="N49" s="365">
        <f t="shared" si="172"/>
        <v>103.4375</v>
      </c>
      <c r="O49" s="365">
        <f t="shared" si="172"/>
        <v>0</v>
      </c>
      <c r="P49" s="365">
        <f t="shared" si="172"/>
        <v>0</v>
      </c>
      <c r="Q49" s="365">
        <f t="shared" si="172"/>
        <v>0</v>
      </c>
      <c r="R49" s="365">
        <f t="shared" si="172"/>
        <v>0</v>
      </c>
      <c r="S49" s="365">
        <f t="shared" si="172"/>
        <v>0</v>
      </c>
      <c r="T49" s="365">
        <f t="shared" si="172"/>
        <v>0</v>
      </c>
      <c r="U49" s="365">
        <f t="shared" si="172"/>
        <v>0</v>
      </c>
      <c r="V49" s="365">
        <f t="shared" si="172"/>
        <v>0</v>
      </c>
      <c r="W49" s="365">
        <f t="shared" si="172"/>
        <v>0</v>
      </c>
      <c r="X49" s="365">
        <f t="shared" si="172"/>
        <v>0</v>
      </c>
      <c r="Y49" s="365">
        <f t="shared" si="172"/>
        <v>0</v>
      </c>
      <c r="Z49" s="365">
        <f t="shared" si="172"/>
        <v>0</v>
      </c>
      <c r="AA49" s="365">
        <f t="shared" si="172"/>
        <v>0</v>
      </c>
      <c r="AB49" s="365">
        <f t="shared" si="172"/>
        <v>0</v>
      </c>
      <c r="AC49" s="365">
        <f t="shared" si="172"/>
        <v>0</v>
      </c>
      <c r="AD49" s="365">
        <f t="shared" si="172"/>
        <v>0</v>
      </c>
      <c r="AE49" s="365">
        <f t="shared" si="172"/>
        <v>0</v>
      </c>
      <c r="AF49" s="365">
        <f t="shared" si="172"/>
        <v>0</v>
      </c>
      <c r="AG49" s="365">
        <f t="shared" si="172"/>
        <v>0</v>
      </c>
      <c r="AH49" s="365">
        <f t="shared" si="172"/>
        <v>0</v>
      </c>
      <c r="AI49" s="365">
        <f t="shared" si="172"/>
        <v>0</v>
      </c>
      <c r="AJ49" s="365">
        <f t="shared" si="172"/>
        <v>0</v>
      </c>
      <c r="AK49" s="365">
        <f t="shared" si="172"/>
        <v>0</v>
      </c>
      <c r="AL49" s="365">
        <f t="shared" si="172"/>
        <v>0</v>
      </c>
      <c r="AM49" s="365">
        <f t="shared" si="172"/>
        <v>0</v>
      </c>
      <c r="AN49" s="365">
        <f t="shared" si="172"/>
        <v>0</v>
      </c>
      <c r="AO49" s="365">
        <f t="shared" si="172"/>
        <v>0</v>
      </c>
      <c r="AP49" s="365">
        <f t="shared" si="172"/>
        <v>0</v>
      </c>
      <c r="AQ49" s="365">
        <f t="shared" si="172"/>
        <v>0</v>
      </c>
      <c r="AR49" s="365">
        <f t="shared" si="172"/>
        <v>0</v>
      </c>
      <c r="AS49" s="365">
        <f t="shared" si="172"/>
        <v>0</v>
      </c>
      <c r="AT49" s="365">
        <f t="shared" si="172"/>
        <v>0</v>
      </c>
      <c r="AU49" s="365">
        <f t="shared" si="172"/>
        <v>0</v>
      </c>
      <c r="AV49" s="365">
        <f t="shared" si="172"/>
        <v>0</v>
      </c>
      <c r="AW49" s="365">
        <f t="shared" si="172"/>
        <v>0</v>
      </c>
      <c r="AX49" s="365">
        <f t="shared" si="172"/>
        <v>0</v>
      </c>
      <c r="AY49" s="365">
        <f t="shared" si="172"/>
        <v>0</v>
      </c>
      <c r="AZ49" s="365">
        <f t="shared" si="172"/>
        <v>0</v>
      </c>
      <c r="BA49" s="365">
        <f t="shared" si="172"/>
        <v>0</v>
      </c>
      <c r="BB49" s="365">
        <f t="shared" si="172"/>
        <v>0</v>
      </c>
      <c r="BC49" s="365">
        <f t="shared" si="172"/>
        <v>0</v>
      </c>
      <c r="BD49" s="365">
        <f t="shared" si="172"/>
        <v>0</v>
      </c>
      <c r="BE49" s="365">
        <f t="shared" si="172"/>
        <v>0</v>
      </c>
      <c r="BF49" s="365">
        <f t="shared" si="172"/>
        <v>0</v>
      </c>
      <c r="BG49" s="365">
        <f t="shared" si="172"/>
        <v>0</v>
      </c>
      <c r="BH49" s="365">
        <f t="shared" si="172"/>
        <v>0</v>
      </c>
      <c r="BI49" s="365">
        <f t="shared" si="172"/>
        <v>0</v>
      </c>
      <c r="BJ49" s="365">
        <f t="shared" si="172"/>
        <v>0</v>
      </c>
      <c r="BK49" s="365">
        <f t="shared" si="172"/>
        <v>0</v>
      </c>
      <c r="BL49" s="365">
        <f t="shared" si="172"/>
        <v>0</v>
      </c>
      <c r="BM49" s="365">
        <f t="shared" si="172"/>
        <v>0</v>
      </c>
      <c r="BN49" s="365">
        <f t="shared" si="172"/>
        <v>0</v>
      </c>
      <c r="BO49" s="365">
        <f t="shared" si="172"/>
        <v>0</v>
      </c>
      <c r="BP49" s="365">
        <f t="shared" ref="BP49:CA49" si="173">IF(BP48&gt;$F11+1,0,1)*(IF(BQ49=0,100,0)+IF($G11=1,1,0.5)*$J11*100)</f>
        <v>0</v>
      </c>
      <c r="BQ49" s="365">
        <f t="shared" si="173"/>
        <v>0</v>
      </c>
      <c r="BR49" s="365">
        <f t="shared" si="173"/>
        <v>0</v>
      </c>
      <c r="BS49" s="365">
        <f t="shared" si="173"/>
        <v>0</v>
      </c>
      <c r="BT49" s="365">
        <f t="shared" si="173"/>
        <v>0</v>
      </c>
      <c r="BU49" s="365">
        <f t="shared" si="173"/>
        <v>0</v>
      </c>
      <c r="BV49" s="365">
        <f t="shared" si="173"/>
        <v>0</v>
      </c>
      <c r="BW49" s="365">
        <f t="shared" si="173"/>
        <v>0</v>
      </c>
      <c r="BX49" s="365">
        <f t="shared" si="173"/>
        <v>0</v>
      </c>
      <c r="BY49" s="365">
        <f t="shared" si="173"/>
        <v>0</v>
      </c>
      <c r="BZ49" s="365">
        <f t="shared" si="173"/>
        <v>0</v>
      </c>
      <c r="CA49" s="365">
        <f t="shared" si="173"/>
        <v>0</v>
      </c>
      <c r="CB49" s="366">
        <f>IF(CB48&gt;$F11+1,0,1)*(IF(CC49=0,100,0)+IF($G11=1,1,0.5)*$J11*100)</f>
        <v>0</v>
      </c>
      <c r="CC49" s="321"/>
      <c r="CD49" s="321"/>
      <c r="CE49" s="321"/>
      <c r="CF49" s="321"/>
      <c r="CG49" s="321"/>
      <c r="CH49" s="321"/>
      <c r="CI49" s="321"/>
      <c r="CJ49" s="321"/>
      <c r="CK49" s="321"/>
      <c r="CL49" s="321"/>
      <c r="CM49" s="321"/>
      <c r="CN49" s="321"/>
      <c r="CO49" s="321"/>
      <c r="CP49" s="321"/>
      <c r="CQ49" s="321"/>
      <c r="CR49" s="321"/>
      <c r="CS49" s="321"/>
      <c r="CT49" s="321"/>
      <c r="CU49" s="321"/>
      <c r="CV49" s="321"/>
      <c r="CW49" s="321"/>
      <c r="CX49" s="321"/>
      <c r="CY49" s="321"/>
      <c r="CZ49" s="321"/>
      <c r="DA49" s="321"/>
      <c r="DB49" s="321"/>
      <c r="DC49" s="321"/>
      <c r="DD49" s="321"/>
      <c r="DE49" s="321"/>
      <c r="DF49" s="321"/>
      <c r="DG49" s="321"/>
      <c r="DH49" s="321"/>
      <c r="DI49" s="321"/>
      <c r="DJ49" s="321"/>
      <c r="DK49" s="321"/>
      <c r="DL49" s="321"/>
      <c r="DM49" s="321"/>
      <c r="DN49" s="321"/>
      <c r="DO49" s="321"/>
      <c r="DP49" s="321"/>
      <c r="DQ49" s="321"/>
      <c r="DR49" s="321"/>
      <c r="DS49" s="321"/>
      <c r="DT49" s="321"/>
      <c r="DU49" s="321"/>
      <c r="DV49" s="321"/>
      <c r="DW49" s="321"/>
      <c r="DX49" s="321"/>
      <c r="DY49" s="321"/>
      <c r="DZ49" s="321"/>
      <c r="EA49" s="321"/>
      <c r="EB49" s="321"/>
      <c r="EC49" s="321"/>
      <c r="ED49" s="321"/>
      <c r="EE49" s="321"/>
      <c r="EF49" s="321"/>
      <c r="EG49" s="321"/>
      <c r="EH49" s="321"/>
      <c r="EI49" s="321"/>
      <c r="EJ49" s="321"/>
      <c r="EK49" s="321"/>
      <c r="EL49" s="321"/>
      <c r="EM49" s="321"/>
      <c r="EN49" s="321"/>
      <c r="EO49" s="321"/>
      <c r="EP49" s="321"/>
      <c r="EQ49" s="321"/>
      <c r="ER49" s="321"/>
      <c r="ES49" s="321"/>
      <c r="ET49" s="321"/>
      <c r="EU49" s="321"/>
      <c r="EV49" s="321"/>
      <c r="EW49" s="321"/>
      <c r="EX49" s="321"/>
      <c r="EY49" s="321"/>
      <c r="EZ49" s="321"/>
      <c r="FA49" s="321"/>
      <c r="FB49" s="321"/>
      <c r="FC49" s="321"/>
      <c r="FD49" s="321"/>
      <c r="FE49" s="321"/>
      <c r="FF49" s="321"/>
      <c r="FG49" s="321"/>
      <c r="FH49" s="321"/>
      <c r="FI49" s="321"/>
      <c r="FJ49" s="321"/>
      <c r="FK49" s="321"/>
      <c r="FL49" s="321"/>
      <c r="FM49" s="321"/>
      <c r="FN49" s="321"/>
      <c r="FO49" s="321"/>
      <c r="FP49" s="321"/>
      <c r="FQ49" s="321"/>
      <c r="FR49" s="321"/>
      <c r="FS49" s="321"/>
      <c r="FT49" s="321"/>
      <c r="FU49" s="321"/>
      <c r="FV49" s="321"/>
      <c r="FW49" s="321"/>
      <c r="FX49" s="321"/>
      <c r="FY49" s="321"/>
      <c r="FZ49" s="321"/>
      <c r="GA49" s="321"/>
      <c r="GB49" s="321"/>
      <c r="GC49" s="321"/>
      <c r="GD49" s="321"/>
      <c r="GE49" s="321"/>
      <c r="GF49" s="321"/>
      <c r="GG49" s="321"/>
      <c r="GH49" s="321"/>
      <c r="GI49" s="321"/>
      <c r="GJ49" s="321"/>
      <c r="GK49" s="321"/>
      <c r="GL49" s="321"/>
      <c r="GM49" s="321"/>
      <c r="GN49" s="321"/>
      <c r="GO49" s="321"/>
      <c r="GP49" s="321"/>
      <c r="GQ49" s="321"/>
      <c r="GR49" s="321"/>
      <c r="GS49" s="321"/>
    </row>
    <row r="50" spans="1:201" s="437" customFormat="1">
      <c r="A50" s="444" t="s">
        <v>49</v>
      </c>
      <c r="B50" s="62" t="str">
        <f>IF(E12=0,F12,E12)</f>
        <v>11/15/2019</v>
      </c>
      <c r="C50" s="63">
        <f t="shared" ref="C50:AH50" si="174">B50+IF($G12=1,365,182.5)</f>
        <v>43966.5</v>
      </c>
      <c r="D50" s="63">
        <f t="shared" si="174"/>
        <v>44149</v>
      </c>
      <c r="E50" s="63">
        <f t="shared" si="174"/>
        <v>44331.5</v>
      </c>
      <c r="F50" s="63">
        <f t="shared" si="174"/>
        <v>44514</v>
      </c>
      <c r="G50" s="63">
        <f t="shared" si="174"/>
        <v>44696.5</v>
      </c>
      <c r="H50" s="63">
        <f t="shared" si="174"/>
        <v>44879</v>
      </c>
      <c r="I50" s="63">
        <f t="shared" si="174"/>
        <v>45061.5</v>
      </c>
      <c r="J50" s="63">
        <f t="shared" si="174"/>
        <v>45244</v>
      </c>
      <c r="K50" s="63">
        <f t="shared" si="174"/>
        <v>45426.5</v>
      </c>
      <c r="L50" s="63">
        <f t="shared" si="174"/>
        <v>45609</v>
      </c>
      <c r="M50" s="63">
        <f t="shared" si="174"/>
        <v>45791.5</v>
      </c>
      <c r="N50" s="63">
        <f t="shared" si="174"/>
        <v>45974</v>
      </c>
      <c r="O50" s="63">
        <f t="shared" si="174"/>
        <v>46156.5</v>
      </c>
      <c r="P50" s="63">
        <f t="shared" si="174"/>
        <v>46339</v>
      </c>
      <c r="Q50" s="63">
        <f t="shared" si="174"/>
        <v>46521.5</v>
      </c>
      <c r="R50" s="63">
        <f t="shared" si="174"/>
        <v>46704</v>
      </c>
      <c r="S50" s="63">
        <f t="shared" si="174"/>
        <v>46886.5</v>
      </c>
      <c r="T50" s="63">
        <f t="shared" si="174"/>
        <v>47069</v>
      </c>
      <c r="U50" s="63">
        <f t="shared" si="174"/>
        <v>47251.5</v>
      </c>
      <c r="V50" s="63">
        <f t="shared" si="174"/>
        <v>47434</v>
      </c>
      <c r="W50" s="63">
        <f t="shared" si="174"/>
        <v>47616.5</v>
      </c>
      <c r="X50" s="63">
        <f t="shared" si="174"/>
        <v>47799</v>
      </c>
      <c r="Y50" s="63">
        <f t="shared" si="174"/>
        <v>47981.5</v>
      </c>
      <c r="Z50" s="63">
        <f t="shared" si="174"/>
        <v>48164</v>
      </c>
      <c r="AA50" s="63">
        <f t="shared" si="174"/>
        <v>48346.5</v>
      </c>
      <c r="AB50" s="63">
        <f t="shared" si="174"/>
        <v>48529</v>
      </c>
      <c r="AC50" s="63">
        <f t="shared" si="174"/>
        <v>48711.5</v>
      </c>
      <c r="AD50" s="63">
        <f t="shared" si="174"/>
        <v>48894</v>
      </c>
      <c r="AE50" s="63">
        <f t="shared" si="174"/>
        <v>49076.5</v>
      </c>
      <c r="AF50" s="63">
        <f t="shared" si="174"/>
        <v>49259</v>
      </c>
      <c r="AG50" s="63">
        <f t="shared" si="174"/>
        <v>49441.5</v>
      </c>
      <c r="AH50" s="63">
        <f t="shared" si="174"/>
        <v>49624</v>
      </c>
      <c r="AI50" s="63">
        <f t="shared" ref="AI50:BN50" si="175">AH50+IF($G12=1,365,182.5)</f>
        <v>49806.5</v>
      </c>
      <c r="AJ50" s="63">
        <f t="shared" si="175"/>
        <v>49989</v>
      </c>
      <c r="AK50" s="63">
        <f t="shared" si="175"/>
        <v>50171.5</v>
      </c>
      <c r="AL50" s="63">
        <f t="shared" si="175"/>
        <v>50354</v>
      </c>
      <c r="AM50" s="63">
        <f t="shared" si="175"/>
        <v>50536.5</v>
      </c>
      <c r="AN50" s="63">
        <f t="shared" si="175"/>
        <v>50719</v>
      </c>
      <c r="AO50" s="63">
        <f t="shared" si="175"/>
        <v>50901.5</v>
      </c>
      <c r="AP50" s="63">
        <f t="shared" si="175"/>
        <v>51084</v>
      </c>
      <c r="AQ50" s="63">
        <f t="shared" si="175"/>
        <v>51266.5</v>
      </c>
      <c r="AR50" s="63">
        <f t="shared" si="175"/>
        <v>51449</v>
      </c>
      <c r="AS50" s="63">
        <f t="shared" si="175"/>
        <v>51631.5</v>
      </c>
      <c r="AT50" s="63">
        <f t="shared" si="175"/>
        <v>51814</v>
      </c>
      <c r="AU50" s="63">
        <f t="shared" si="175"/>
        <v>51996.5</v>
      </c>
      <c r="AV50" s="63">
        <f t="shared" si="175"/>
        <v>52179</v>
      </c>
      <c r="AW50" s="63">
        <f t="shared" si="175"/>
        <v>52361.5</v>
      </c>
      <c r="AX50" s="63">
        <f t="shared" si="175"/>
        <v>52544</v>
      </c>
      <c r="AY50" s="63">
        <f t="shared" si="175"/>
        <v>52726.5</v>
      </c>
      <c r="AZ50" s="63">
        <f t="shared" si="175"/>
        <v>52909</v>
      </c>
      <c r="BA50" s="63">
        <f t="shared" si="175"/>
        <v>53091.5</v>
      </c>
      <c r="BB50" s="63">
        <f t="shared" si="175"/>
        <v>53274</v>
      </c>
      <c r="BC50" s="63">
        <f t="shared" si="175"/>
        <v>53456.5</v>
      </c>
      <c r="BD50" s="63">
        <f t="shared" si="175"/>
        <v>53639</v>
      </c>
      <c r="BE50" s="63">
        <f t="shared" si="175"/>
        <v>53821.5</v>
      </c>
      <c r="BF50" s="63">
        <f t="shared" si="175"/>
        <v>54004</v>
      </c>
      <c r="BG50" s="63">
        <f t="shared" si="175"/>
        <v>54186.5</v>
      </c>
      <c r="BH50" s="63">
        <f t="shared" si="175"/>
        <v>54369</v>
      </c>
      <c r="BI50" s="63">
        <f t="shared" si="175"/>
        <v>54551.5</v>
      </c>
      <c r="BJ50" s="63">
        <f t="shared" si="175"/>
        <v>54734</v>
      </c>
      <c r="BK50" s="63">
        <f t="shared" si="175"/>
        <v>54916.5</v>
      </c>
      <c r="BL50" s="63">
        <f t="shared" si="175"/>
        <v>55099</v>
      </c>
      <c r="BM50" s="63">
        <f t="shared" si="175"/>
        <v>55281.5</v>
      </c>
      <c r="BN50" s="63">
        <f t="shared" si="175"/>
        <v>55464</v>
      </c>
      <c r="BO50" s="63">
        <f t="shared" ref="BO50:CB50" si="176">BN50+IF($G12=1,365,182.5)</f>
        <v>55646.5</v>
      </c>
      <c r="BP50" s="63">
        <f t="shared" si="176"/>
        <v>55829</v>
      </c>
      <c r="BQ50" s="63">
        <f t="shared" si="176"/>
        <v>56011.5</v>
      </c>
      <c r="BR50" s="63">
        <f t="shared" si="176"/>
        <v>56194</v>
      </c>
      <c r="BS50" s="63">
        <f t="shared" si="176"/>
        <v>56376.5</v>
      </c>
      <c r="BT50" s="63">
        <f t="shared" si="176"/>
        <v>56559</v>
      </c>
      <c r="BU50" s="63">
        <f t="shared" si="176"/>
        <v>56741.5</v>
      </c>
      <c r="BV50" s="63">
        <f t="shared" si="176"/>
        <v>56924</v>
      </c>
      <c r="BW50" s="63">
        <f t="shared" si="176"/>
        <v>57106.5</v>
      </c>
      <c r="BX50" s="63">
        <f t="shared" si="176"/>
        <v>57289</v>
      </c>
      <c r="BY50" s="63">
        <f t="shared" si="176"/>
        <v>57471.5</v>
      </c>
      <c r="BZ50" s="63">
        <f t="shared" si="176"/>
        <v>57654</v>
      </c>
      <c r="CA50" s="63">
        <f t="shared" si="176"/>
        <v>57836.5</v>
      </c>
      <c r="CB50" s="64">
        <f t="shared" si="176"/>
        <v>58019</v>
      </c>
    </row>
    <row r="51" spans="1:201">
      <c r="A51" s="367" t="s">
        <v>29</v>
      </c>
      <c r="B51" s="368">
        <f>(IF(B50=F12,100,0)+IF(G12=1,1,0.5)*J12*100)*IF(ISBLANK(F12)=TRUE,0,1)</f>
        <v>3.25</v>
      </c>
      <c r="C51" s="369">
        <f>IF(C50&gt;$F12+1,0,1)*(IF(D51=0,100,0)+IF($G12=1,1,0.5)*$J12*100)</f>
        <v>3.25</v>
      </c>
      <c r="D51" s="369">
        <f t="shared" ref="D51:BO51" si="177">IF(D50&gt;$F12+1,0,1)*(IF(E51=0,100,0)+IF($G12=1,1,0.5)*$J12*100)</f>
        <v>3.25</v>
      </c>
      <c r="E51" s="369">
        <f t="shared" si="177"/>
        <v>3.25</v>
      </c>
      <c r="F51" s="369">
        <f t="shared" si="177"/>
        <v>3.25</v>
      </c>
      <c r="G51" s="369">
        <f t="shared" si="177"/>
        <v>3.25</v>
      </c>
      <c r="H51" s="369">
        <f t="shared" si="177"/>
        <v>3.25</v>
      </c>
      <c r="I51" s="369">
        <f t="shared" si="177"/>
        <v>3.25</v>
      </c>
      <c r="J51" s="369">
        <f t="shared" si="177"/>
        <v>3.25</v>
      </c>
      <c r="K51" s="369">
        <f t="shared" si="177"/>
        <v>3.25</v>
      </c>
      <c r="L51" s="369">
        <f t="shared" si="177"/>
        <v>3.25</v>
      </c>
      <c r="M51" s="369">
        <f t="shared" si="177"/>
        <v>3.25</v>
      </c>
      <c r="N51" s="369">
        <f t="shared" si="177"/>
        <v>3.25</v>
      </c>
      <c r="O51" s="369">
        <f t="shared" si="177"/>
        <v>3.25</v>
      </c>
      <c r="P51" s="369">
        <f t="shared" si="177"/>
        <v>103.25</v>
      </c>
      <c r="Q51" s="369">
        <f t="shared" si="177"/>
        <v>0</v>
      </c>
      <c r="R51" s="369">
        <f t="shared" si="177"/>
        <v>0</v>
      </c>
      <c r="S51" s="369">
        <f t="shared" si="177"/>
        <v>0</v>
      </c>
      <c r="T51" s="369">
        <f t="shared" si="177"/>
        <v>0</v>
      </c>
      <c r="U51" s="369">
        <f t="shared" si="177"/>
        <v>0</v>
      </c>
      <c r="V51" s="369">
        <f t="shared" si="177"/>
        <v>0</v>
      </c>
      <c r="W51" s="369">
        <f t="shared" si="177"/>
        <v>0</v>
      </c>
      <c r="X51" s="369">
        <f t="shared" si="177"/>
        <v>0</v>
      </c>
      <c r="Y51" s="369">
        <f t="shared" si="177"/>
        <v>0</v>
      </c>
      <c r="Z51" s="369">
        <f t="shared" si="177"/>
        <v>0</v>
      </c>
      <c r="AA51" s="369">
        <f t="shared" si="177"/>
        <v>0</v>
      </c>
      <c r="AB51" s="369">
        <f t="shared" si="177"/>
        <v>0</v>
      </c>
      <c r="AC51" s="369">
        <f t="shared" si="177"/>
        <v>0</v>
      </c>
      <c r="AD51" s="369">
        <f t="shared" si="177"/>
        <v>0</v>
      </c>
      <c r="AE51" s="369">
        <f t="shared" si="177"/>
        <v>0</v>
      </c>
      <c r="AF51" s="369">
        <f t="shared" si="177"/>
        <v>0</v>
      </c>
      <c r="AG51" s="369">
        <f t="shared" si="177"/>
        <v>0</v>
      </c>
      <c r="AH51" s="369">
        <f t="shared" si="177"/>
        <v>0</v>
      </c>
      <c r="AI51" s="369">
        <f t="shared" si="177"/>
        <v>0</v>
      </c>
      <c r="AJ51" s="369">
        <f t="shared" si="177"/>
        <v>0</v>
      </c>
      <c r="AK51" s="369">
        <f t="shared" si="177"/>
        <v>0</v>
      </c>
      <c r="AL51" s="369">
        <f t="shared" si="177"/>
        <v>0</v>
      </c>
      <c r="AM51" s="369">
        <f t="shared" si="177"/>
        <v>0</v>
      </c>
      <c r="AN51" s="369">
        <f t="shared" si="177"/>
        <v>0</v>
      </c>
      <c r="AO51" s="369">
        <f t="shared" si="177"/>
        <v>0</v>
      </c>
      <c r="AP51" s="369">
        <f t="shared" si="177"/>
        <v>0</v>
      </c>
      <c r="AQ51" s="369">
        <f t="shared" si="177"/>
        <v>0</v>
      </c>
      <c r="AR51" s="369">
        <f t="shared" si="177"/>
        <v>0</v>
      </c>
      <c r="AS51" s="369">
        <f t="shared" si="177"/>
        <v>0</v>
      </c>
      <c r="AT51" s="369">
        <f t="shared" si="177"/>
        <v>0</v>
      </c>
      <c r="AU51" s="369">
        <f t="shared" si="177"/>
        <v>0</v>
      </c>
      <c r="AV51" s="369">
        <f t="shared" si="177"/>
        <v>0</v>
      </c>
      <c r="AW51" s="369">
        <f t="shared" si="177"/>
        <v>0</v>
      </c>
      <c r="AX51" s="369">
        <f t="shared" si="177"/>
        <v>0</v>
      </c>
      <c r="AY51" s="369">
        <f t="shared" si="177"/>
        <v>0</v>
      </c>
      <c r="AZ51" s="369">
        <f t="shared" si="177"/>
        <v>0</v>
      </c>
      <c r="BA51" s="369">
        <f t="shared" si="177"/>
        <v>0</v>
      </c>
      <c r="BB51" s="369">
        <f t="shared" si="177"/>
        <v>0</v>
      </c>
      <c r="BC51" s="369">
        <f t="shared" si="177"/>
        <v>0</v>
      </c>
      <c r="BD51" s="369">
        <f t="shared" si="177"/>
        <v>0</v>
      </c>
      <c r="BE51" s="369">
        <f t="shared" si="177"/>
        <v>0</v>
      </c>
      <c r="BF51" s="369">
        <f t="shared" si="177"/>
        <v>0</v>
      </c>
      <c r="BG51" s="369">
        <f t="shared" si="177"/>
        <v>0</v>
      </c>
      <c r="BH51" s="369">
        <f t="shared" si="177"/>
        <v>0</v>
      </c>
      <c r="BI51" s="369">
        <f t="shared" si="177"/>
        <v>0</v>
      </c>
      <c r="BJ51" s="369">
        <f t="shared" si="177"/>
        <v>0</v>
      </c>
      <c r="BK51" s="369">
        <f t="shared" si="177"/>
        <v>0</v>
      </c>
      <c r="BL51" s="369">
        <f t="shared" si="177"/>
        <v>0</v>
      </c>
      <c r="BM51" s="369">
        <f t="shared" si="177"/>
        <v>0</v>
      </c>
      <c r="BN51" s="369">
        <f t="shared" si="177"/>
        <v>0</v>
      </c>
      <c r="BO51" s="369">
        <f t="shared" si="177"/>
        <v>0</v>
      </c>
      <c r="BP51" s="369">
        <f t="shared" ref="BP51:CA51" si="178">IF(BP50&gt;$F12+1,0,1)*(IF(BQ51=0,100,0)+IF($G12=1,1,0.5)*$J12*100)</f>
        <v>0</v>
      </c>
      <c r="BQ51" s="369">
        <f t="shared" si="178"/>
        <v>0</v>
      </c>
      <c r="BR51" s="369">
        <f t="shared" si="178"/>
        <v>0</v>
      </c>
      <c r="BS51" s="369">
        <f t="shared" si="178"/>
        <v>0</v>
      </c>
      <c r="BT51" s="369">
        <f t="shared" si="178"/>
        <v>0</v>
      </c>
      <c r="BU51" s="369">
        <f t="shared" si="178"/>
        <v>0</v>
      </c>
      <c r="BV51" s="369">
        <f t="shared" si="178"/>
        <v>0</v>
      </c>
      <c r="BW51" s="369">
        <f t="shared" si="178"/>
        <v>0</v>
      </c>
      <c r="BX51" s="369">
        <f t="shared" si="178"/>
        <v>0</v>
      </c>
      <c r="BY51" s="369">
        <f t="shared" si="178"/>
        <v>0</v>
      </c>
      <c r="BZ51" s="369">
        <f t="shared" si="178"/>
        <v>0</v>
      </c>
      <c r="CA51" s="369">
        <f t="shared" si="178"/>
        <v>0</v>
      </c>
      <c r="CB51" s="370">
        <f>IF(CB50&gt;$F12+1,0,1)*(IF(CC51=0,100,0)+IF($G12=1,1,0.5)*$J12*100)</f>
        <v>0</v>
      </c>
      <c r="CC51" s="321"/>
      <c r="CD51" s="321"/>
      <c r="CE51" s="321"/>
      <c r="CF51" s="321"/>
      <c r="CG51" s="321"/>
      <c r="CH51" s="321"/>
      <c r="CI51" s="321"/>
      <c r="CJ51" s="321"/>
      <c r="CK51" s="321"/>
      <c r="CL51" s="321"/>
      <c r="CM51" s="321"/>
      <c r="CN51" s="321"/>
      <c r="CO51" s="321"/>
      <c r="CP51" s="321"/>
      <c r="CQ51" s="321"/>
      <c r="CR51" s="321"/>
      <c r="CS51" s="321"/>
      <c r="CT51" s="321"/>
      <c r="CU51" s="321"/>
      <c r="CV51" s="321"/>
      <c r="CW51" s="321"/>
      <c r="CX51" s="321"/>
      <c r="CY51" s="321"/>
      <c r="CZ51" s="321"/>
      <c r="DA51" s="321"/>
      <c r="DB51" s="321"/>
      <c r="DC51" s="321"/>
      <c r="DD51" s="321"/>
      <c r="DE51" s="321"/>
      <c r="DF51" s="321"/>
      <c r="DG51" s="321"/>
      <c r="DH51" s="321"/>
      <c r="DI51" s="321"/>
      <c r="DJ51" s="321"/>
      <c r="DK51" s="321"/>
      <c r="DL51" s="321"/>
      <c r="DM51" s="321"/>
      <c r="DN51" s="321"/>
      <c r="DO51" s="321"/>
      <c r="DP51" s="321"/>
      <c r="DQ51" s="321"/>
      <c r="DR51" s="321"/>
      <c r="DS51" s="321"/>
      <c r="DT51" s="321"/>
      <c r="DU51" s="321"/>
      <c r="DV51" s="321"/>
      <c r="DW51" s="321"/>
      <c r="DX51" s="321"/>
      <c r="DY51" s="321"/>
      <c r="DZ51" s="321"/>
      <c r="EA51" s="321"/>
      <c r="EB51" s="321"/>
      <c r="EC51" s="321"/>
      <c r="ED51" s="321"/>
      <c r="EE51" s="321"/>
      <c r="EF51" s="321"/>
      <c r="EG51" s="321"/>
      <c r="EH51" s="321"/>
      <c r="EI51" s="321"/>
      <c r="EJ51" s="321"/>
      <c r="EK51" s="321"/>
      <c r="EL51" s="321"/>
      <c r="EM51" s="321"/>
      <c r="EN51" s="321"/>
      <c r="EO51" s="321"/>
      <c r="EP51" s="321"/>
      <c r="EQ51" s="321"/>
      <c r="ER51" s="321"/>
      <c r="ES51" s="321"/>
      <c r="ET51" s="321"/>
      <c r="EU51" s="321"/>
      <c r="EV51" s="321"/>
      <c r="EW51" s="321"/>
      <c r="EX51" s="321"/>
      <c r="EY51" s="321"/>
      <c r="EZ51" s="321"/>
      <c r="FA51" s="321"/>
      <c r="FB51" s="321"/>
      <c r="FC51" s="321"/>
      <c r="FD51" s="321"/>
      <c r="FE51" s="321"/>
      <c r="FF51" s="321"/>
      <c r="FG51" s="321"/>
      <c r="FH51" s="321"/>
      <c r="FI51" s="321"/>
      <c r="FJ51" s="321"/>
      <c r="FK51" s="321"/>
      <c r="FL51" s="321"/>
      <c r="FM51" s="321"/>
      <c r="FN51" s="321"/>
      <c r="FO51" s="321"/>
      <c r="FP51" s="321"/>
      <c r="FQ51" s="321"/>
      <c r="FR51" s="321"/>
      <c r="FS51" s="321"/>
      <c r="FT51" s="321"/>
      <c r="FU51" s="321"/>
      <c r="FV51" s="321"/>
      <c r="FW51" s="321"/>
      <c r="FX51" s="321"/>
      <c r="FY51" s="321"/>
      <c r="FZ51" s="321"/>
      <c r="GA51" s="321"/>
      <c r="GB51" s="321"/>
      <c r="GC51" s="321"/>
      <c r="GD51" s="321"/>
      <c r="GE51" s="321"/>
      <c r="GF51" s="321"/>
      <c r="GG51" s="321"/>
      <c r="GH51" s="321"/>
      <c r="GI51" s="321"/>
      <c r="GJ51" s="321"/>
      <c r="GK51" s="321"/>
      <c r="GL51" s="321"/>
      <c r="GM51" s="321"/>
      <c r="GN51" s="321"/>
      <c r="GO51" s="321"/>
      <c r="GP51" s="321"/>
      <c r="GQ51" s="321"/>
      <c r="GR51" s="321"/>
      <c r="GS51" s="321"/>
    </row>
    <row r="52" spans="1:201" s="437" customFormat="1">
      <c r="A52" s="445" t="s">
        <v>49</v>
      </c>
      <c r="B52" s="65" t="str">
        <f>IF(E13=0,F13,E13)</f>
        <v>8/15/2019</v>
      </c>
      <c r="C52" s="66">
        <f t="shared" ref="C52:AH52" si="179">B52+IF($G13=1,365,182.5)</f>
        <v>43874.5</v>
      </c>
      <c r="D52" s="66">
        <f t="shared" si="179"/>
        <v>44057</v>
      </c>
      <c r="E52" s="66">
        <f t="shared" si="179"/>
        <v>44239.5</v>
      </c>
      <c r="F52" s="66">
        <f t="shared" si="179"/>
        <v>44422</v>
      </c>
      <c r="G52" s="66">
        <f t="shared" si="179"/>
        <v>44604.5</v>
      </c>
      <c r="H52" s="66">
        <f t="shared" si="179"/>
        <v>44787</v>
      </c>
      <c r="I52" s="66">
        <f t="shared" si="179"/>
        <v>44969.5</v>
      </c>
      <c r="J52" s="66">
        <f t="shared" si="179"/>
        <v>45152</v>
      </c>
      <c r="K52" s="66">
        <f t="shared" si="179"/>
        <v>45334.5</v>
      </c>
      <c r="L52" s="66">
        <f t="shared" si="179"/>
        <v>45517</v>
      </c>
      <c r="M52" s="66">
        <f t="shared" si="179"/>
        <v>45699.5</v>
      </c>
      <c r="N52" s="66">
        <f t="shared" si="179"/>
        <v>45882</v>
      </c>
      <c r="O52" s="66">
        <f t="shared" si="179"/>
        <v>46064.5</v>
      </c>
      <c r="P52" s="66">
        <f t="shared" si="179"/>
        <v>46247</v>
      </c>
      <c r="Q52" s="66">
        <f t="shared" si="179"/>
        <v>46429.5</v>
      </c>
      <c r="R52" s="66">
        <f t="shared" si="179"/>
        <v>46612</v>
      </c>
      <c r="S52" s="66">
        <f t="shared" si="179"/>
        <v>46794.5</v>
      </c>
      <c r="T52" s="66">
        <f t="shared" si="179"/>
        <v>46977</v>
      </c>
      <c r="U52" s="66">
        <f t="shared" si="179"/>
        <v>47159.5</v>
      </c>
      <c r="V52" s="66">
        <f t="shared" si="179"/>
        <v>47342</v>
      </c>
      <c r="W52" s="66">
        <f t="shared" si="179"/>
        <v>47524.5</v>
      </c>
      <c r="X52" s="66">
        <f t="shared" si="179"/>
        <v>47707</v>
      </c>
      <c r="Y52" s="66">
        <f t="shared" si="179"/>
        <v>47889.5</v>
      </c>
      <c r="Z52" s="66">
        <f t="shared" si="179"/>
        <v>48072</v>
      </c>
      <c r="AA52" s="66">
        <f t="shared" si="179"/>
        <v>48254.5</v>
      </c>
      <c r="AB52" s="66">
        <f t="shared" si="179"/>
        <v>48437</v>
      </c>
      <c r="AC52" s="66">
        <f t="shared" si="179"/>
        <v>48619.5</v>
      </c>
      <c r="AD52" s="66">
        <f t="shared" si="179"/>
        <v>48802</v>
      </c>
      <c r="AE52" s="66">
        <f t="shared" si="179"/>
        <v>48984.5</v>
      </c>
      <c r="AF52" s="66">
        <f t="shared" si="179"/>
        <v>49167</v>
      </c>
      <c r="AG52" s="66">
        <f t="shared" si="179"/>
        <v>49349.5</v>
      </c>
      <c r="AH52" s="66">
        <f t="shared" si="179"/>
        <v>49532</v>
      </c>
      <c r="AI52" s="66">
        <f t="shared" ref="AI52:BN52" si="180">AH52+IF($G13=1,365,182.5)</f>
        <v>49714.5</v>
      </c>
      <c r="AJ52" s="66">
        <f t="shared" si="180"/>
        <v>49897</v>
      </c>
      <c r="AK52" s="66">
        <f t="shared" si="180"/>
        <v>50079.5</v>
      </c>
      <c r="AL52" s="66">
        <f t="shared" si="180"/>
        <v>50262</v>
      </c>
      <c r="AM52" s="66">
        <f t="shared" si="180"/>
        <v>50444.5</v>
      </c>
      <c r="AN52" s="66">
        <f t="shared" si="180"/>
        <v>50627</v>
      </c>
      <c r="AO52" s="66">
        <f t="shared" si="180"/>
        <v>50809.5</v>
      </c>
      <c r="AP52" s="66">
        <f t="shared" si="180"/>
        <v>50992</v>
      </c>
      <c r="AQ52" s="66">
        <f t="shared" si="180"/>
        <v>51174.5</v>
      </c>
      <c r="AR52" s="66">
        <f t="shared" si="180"/>
        <v>51357</v>
      </c>
      <c r="AS52" s="66">
        <f t="shared" si="180"/>
        <v>51539.5</v>
      </c>
      <c r="AT52" s="66">
        <f t="shared" si="180"/>
        <v>51722</v>
      </c>
      <c r="AU52" s="66">
        <f t="shared" si="180"/>
        <v>51904.5</v>
      </c>
      <c r="AV52" s="66">
        <f t="shared" si="180"/>
        <v>52087</v>
      </c>
      <c r="AW52" s="66">
        <f t="shared" si="180"/>
        <v>52269.5</v>
      </c>
      <c r="AX52" s="66">
        <f t="shared" si="180"/>
        <v>52452</v>
      </c>
      <c r="AY52" s="66">
        <f t="shared" si="180"/>
        <v>52634.5</v>
      </c>
      <c r="AZ52" s="66">
        <f t="shared" si="180"/>
        <v>52817</v>
      </c>
      <c r="BA52" s="66">
        <f t="shared" si="180"/>
        <v>52999.5</v>
      </c>
      <c r="BB52" s="66">
        <f t="shared" si="180"/>
        <v>53182</v>
      </c>
      <c r="BC52" s="66">
        <f t="shared" si="180"/>
        <v>53364.5</v>
      </c>
      <c r="BD52" s="66">
        <f t="shared" si="180"/>
        <v>53547</v>
      </c>
      <c r="BE52" s="66">
        <f t="shared" si="180"/>
        <v>53729.5</v>
      </c>
      <c r="BF52" s="66">
        <f t="shared" si="180"/>
        <v>53912</v>
      </c>
      <c r="BG52" s="66">
        <f t="shared" si="180"/>
        <v>54094.5</v>
      </c>
      <c r="BH52" s="66">
        <f t="shared" si="180"/>
        <v>54277</v>
      </c>
      <c r="BI52" s="66">
        <f t="shared" si="180"/>
        <v>54459.5</v>
      </c>
      <c r="BJ52" s="66">
        <f t="shared" si="180"/>
        <v>54642</v>
      </c>
      <c r="BK52" s="66">
        <f t="shared" si="180"/>
        <v>54824.5</v>
      </c>
      <c r="BL52" s="66">
        <f t="shared" si="180"/>
        <v>55007</v>
      </c>
      <c r="BM52" s="66">
        <f t="shared" si="180"/>
        <v>55189.5</v>
      </c>
      <c r="BN52" s="66">
        <f t="shared" si="180"/>
        <v>55372</v>
      </c>
      <c r="BO52" s="66">
        <f t="shared" ref="BO52:CB52" si="181">BN52+IF($G13=1,365,182.5)</f>
        <v>55554.5</v>
      </c>
      <c r="BP52" s="66">
        <f t="shared" si="181"/>
        <v>55737</v>
      </c>
      <c r="BQ52" s="66">
        <f t="shared" si="181"/>
        <v>55919.5</v>
      </c>
      <c r="BR52" s="66">
        <f t="shared" si="181"/>
        <v>56102</v>
      </c>
      <c r="BS52" s="66">
        <f t="shared" si="181"/>
        <v>56284.5</v>
      </c>
      <c r="BT52" s="66">
        <f t="shared" si="181"/>
        <v>56467</v>
      </c>
      <c r="BU52" s="66">
        <f t="shared" si="181"/>
        <v>56649.5</v>
      </c>
      <c r="BV52" s="66">
        <f t="shared" si="181"/>
        <v>56832</v>
      </c>
      <c r="BW52" s="66">
        <f t="shared" si="181"/>
        <v>57014.5</v>
      </c>
      <c r="BX52" s="66">
        <f t="shared" si="181"/>
        <v>57197</v>
      </c>
      <c r="BY52" s="66">
        <f t="shared" si="181"/>
        <v>57379.5</v>
      </c>
      <c r="BZ52" s="66">
        <f t="shared" si="181"/>
        <v>57562</v>
      </c>
      <c r="CA52" s="66">
        <f t="shared" si="181"/>
        <v>57744.5</v>
      </c>
      <c r="CB52" s="67">
        <f t="shared" si="181"/>
        <v>57927</v>
      </c>
    </row>
    <row r="53" spans="1:201">
      <c r="A53" s="371" t="s">
        <v>30</v>
      </c>
      <c r="B53" s="372">
        <f>(IF(B52=F13,100,0)+IF(G13=1,1,0.5)*J13*100)*IF(ISBLANK(F13)=TRUE,0,1)</f>
        <v>3.1875</v>
      </c>
      <c r="C53" s="373">
        <f>IF(C52&gt;$F13+1,0,1)*(IF(D53=0,100,0)+IF($G13=1,1,0.5)*$J13*100)</f>
        <v>3.1875</v>
      </c>
      <c r="D53" s="373">
        <f t="shared" ref="D53:BO53" si="182">IF(D52&gt;$F13+1,0,1)*(IF(E53=0,100,0)+IF($G13=1,1,0.5)*$J13*100)</f>
        <v>3.1875</v>
      </c>
      <c r="E53" s="373">
        <f t="shared" si="182"/>
        <v>3.1875</v>
      </c>
      <c r="F53" s="373">
        <f t="shared" si="182"/>
        <v>3.1875</v>
      </c>
      <c r="G53" s="373">
        <f t="shared" si="182"/>
        <v>3.1875</v>
      </c>
      <c r="H53" s="373">
        <f t="shared" si="182"/>
        <v>3.1875</v>
      </c>
      <c r="I53" s="373">
        <f t="shared" si="182"/>
        <v>3.1875</v>
      </c>
      <c r="J53" s="373">
        <f t="shared" si="182"/>
        <v>3.1875</v>
      </c>
      <c r="K53" s="373">
        <f t="shared" si="182"/>
        <v>3.1875</v>
      </c>
      <c r="L53" s="373">
        <f t="shared" si="182"/>
        <v>3.1875</v>
      </c>
      <c r="M53" s="373">
        <f t="shared" si="182"/>
        <v>3.1875</v>
      </c>
      <c r="N53" s="373">
        <f t="shared" si="182"/>
        <v>3.1875</v>
      </c>
      <c r="O53" s="373">
        <f t="shared" si="182"/>
        <v>3.1875</v>
      </c>
      <c r="P53" s="373">
        <f t="shared" si="182"/>
        <v>3.1875</v>
      </c>
      <c r="Q53" s="373">
        <f t="shared" si="182"/>
        <v>3.1875</v>
      </c>
      <c r="R53" s="373">
        <f t="shared" si="182"/>
        <v>103.1875</v>
      </c>
      <c r="S53" s="373">
        <f t="shared" si="182"/>
        <v>0</v>
      </c>
      <c r="T53" s="373">
        <f t="shared" si="182"/>
        <v>0</v>
      </c>
      <c r="U53" s="373">
        <f t="shared" si="182"/>
        <v>0</v>
      </c>
      <c r="V53" s="373">
        <f t="shared" si="182"/>
        <v>0</v>
      </c>
      <c r="W53" s="373">
        <f t="shared" si="182"/>
        <v>0</v>
      </c>
      <c r="X53" s="373">
        <f t="shared" si="182"/>
        <v>0</v>
      </c>
      <c r="Y53" s="373">
        <f t="shared" si="182"/>
        <v>0</v>
      </c>
      <c r="Z53" s="373">
        <f t="shared" si="182"/>
        <v>0</v>
      </c>
      <c r="AA53" s="373">
        <f t="shared" si="182"/>
        <v>0</v>
      </c>
      <c r="AB53" s="373">
        <f t="shared" si="182"/>
        <v>0</v>
      </c>
      <c r="AC53" s="373">
        <f t="shared" si="182"/>
        <v>0</v>
      </c>
      <c r="AD53" s="373">
        <f t="shared" si="182"/>
        <v>0</v>
      </c>
      <c r="AE53" s="373">
        <f t="shared" si="182"/>
        <v>0</v>
      </c>
      <c r="AF53" s="373">
        <f t="shared" si="182"/>
        <v>0</v>
      </c>
      <c r="AG53" s="373">
        <f t="shared" si="182"/>
        <v>0</v>
      </c>
      <c r="AH53" s="373">
        <f t="shared" si="182"/>
        <v>0</v>
      </c>
      <c r="AI53" s="373">
        <f t="shared" si="182"/>
        <v>0</v>
      </c>
      <c r="AJ53" s="373">
        <f t="shared" si="182"/>
        <v>0</v>
      </c>
      <c r="AK53" s="373">
        <f t="shared" si="182"/>
        <v>0</v>
      </c>
      <c r="AL53" s="373">
        <f t="shared" si="182"/>
        <v>0</v>
      </c>
      <c r="AM53" s="373">
        <f t="shared" si="182"/>
        <v>0</v>
      </c>
      <c r="AN53" s="373">
        <f t="shared" si="182"/>
        <v>0</v>
      </c>
      <c r="AO53" s="373">
        <f t="shared" si="182"/>
        <v>0</v>
      </c>
      <c r="AP53" s="373">
        <f t="shared" si="182"/>
        <v>0</v>
      </c>
      <c r="AQ53" s="373">
        <f t="shared" si="182"/>
        <v>0</v>
      </c>
      <c r="AR53" s="373">
        <f t="shared" si="182"/>
        <v>0</v>
      </c>
      <c r="AS53" s="373">
        <f t="shared" si="182"/>
        <v>0</v>
      </c>
      <c r="AT53" s="373">
        <f t="shared" si="182"/>
        <v>0</v>
      </c>
      <c r="AU53" s="373">
        <f t="shared" si="182"/>
        <v>0</v>
      </c>
      <c r="AV53" s="373">
        <f t="shared" si="182"/>
        <v>0</v>
      </c>
      <c r="AW53" s="373">
        <f t="shared" si="182"/>
        <v>0</v>
      </c>
      <c r="AX53" s="373">
        <f t="shared" si="182"/>
        <v>0</v>
      </c>
      <c r="AY53" s="373">
        <f t="shared" si="182"/>
        <v>0</v>
      </c>
      <c r="AZ53" s="373">
        <f t="shared" si="182"/>
        <v>0</v>
      </c>
      <c r="BA53" s="373">
        <f t="shared" si="182"/>
        <v>0</v>
      </c>
      <c r="BB53" s="373">
        <f t="shared" si="182"/>
        <v>0</v>
      </c>
      <c r="BC53" s="373">
        <f t="shared" si="182"/>
        <v>0</v>
      </c>
      <c r="BD53" s="373">
        <f t="shared" si="182"/>
        <v>0</v>
      </c>
      <c r="BE53" s="373">
        <f t="shared" si="182"/>
        <v>0</v>
      </c>
      <c r="BF53" s="373">
        <f t="shared" si="182"/>
        <v>0</v>
      </c>
      <c r="BG53" s="373">
        <f t="shared" si="182"/>
        <v>0</v>
      </c>
      <c r="BH53" s="373">
        <f t="shared" si="182"/>
        <v>0</v>
      </c>
      <c r="BI53" s="373">
        <f t="shared" si="182"/>
        <v>0</v>
      </c>
      <c r="BJ53" s="373">
        <f t="shared" si="182"/>
        <v>0</v>
      </c>
      <c r="BK53" s="373">
        <f t="shared" si="182"/>
        <v>0</v>
      </c>
      <c r="BL53" s="373">
        <f t="shared" si="182"/>
        <v>0</v>
      </c>
      <c r="BM53" s="373">
        <f t="shared" si="182"/>
        <v>0</v>
      </c>
      <c r="BN53" s="373">
        <f t="shared" si="182"/>
        <v>0</v>
      </c>
      <c r="BO53" s="373">
        <f t="shared" si="182"/>
        <v>0</v>
      </c>
      <c r="BP53" s="373">
        <f t="shared" ref="BP53:CA53" si="183">IF(BP52&gt;$F13+1,0,1)*(IF(BQ53=0,100,0)+IF($G13=1,1,0.5)*$J13*100)</f>
        <v>0</v>
      </c>
      <c r="BQ53" s="373">
        <f t="shared" si="183"/>
        <v>0</v>
      </c>
      <c r="BR53" s="373">
        <f t="shared" si="183"/>
        <v>0</v>
      </c>
      <c r="BS53" s="373">
        <f t="shared" si="183"/>
        <v>0</v>
      </c>
      <c r="BT53" s="373">
        <f t="shared" si="183"/>
        <v>0</v>
      </c>
      <c r="BU53" s="373">
        <f t="shared" si="183"/>
        <v>0</v>
      </c>
      <c r="BV53" s="373">
        <f t="shared" si="183"/>
        <v>0</v>
      </c>
      <c r="BW53" s="373">
        <f t="shared" si="183"/>
        <v>0</v>
      </c>
      <c r="BX53" s="373">
        <f t="shared" si="183"/>
        <v>0</v>
      </c>
      <c r="BY53" s="373">
        <f t="shared" si="183"/>
        <v>0</v>
      </c>
      <c r="BZ53" s="373">
        <f t="shared" si="183"/>
        <v>0</v>
      </c>
      <c r="CA53" s="373">
        <f t="shared" si="183"/>
        <v>0</v>
      </c>
      <c r="CB53" s="374">
        <f>IF(CB52&gt;$F13+1,0,1)*(IF(CC53=0,100,0)+IF($G13=1,1,0.5)*$J13*100)</f>
        <v>0</v>
      </c>
      <c r="CC53" s="321"/>
      <c r="CD53" s="321"/>
      <c r="CE53" s="321"/>
      <c r="CF53" s="321"/>
      <c r="CG53" s="321"/>
      <c r="CH53" s="321"/>
      <c r="CI53" s="321"/>
      <c r="CJ53" s="321"/>
      <c r="CK53" s="321"/>
      <c r="CL53" s="321"/>
      <c r="CM53" s="321"/>
      <c r="CN53" s="321"/>
      <c r="CO53" s="321"/>
      <c r="CP53" s="321"/>
      <c r="CQ53" s="321"/>
      <c r="CR53" s="321"/>
      <c r="CS53" s="321"/>
      <c r="CT53" s="321"/>
      <c r="CU53" s="321"/>
      <c r="CV53" s="321"/>
      <c r="CW53" s="321"/>
      <c r="CX53" s="321"/>
      <c r="CY53" s="321"/>
      <c r="CZ53" s="321"/>
      <c r="DA53" s="321"/>
      <c r="DB53" s="321"/>
      <c r="DC53" s="321"/>
      <c r="DD53" s="321"/>
      <c r="DE53" s="321"/>
      <c r="DF53" s="321"/>
      <c r="DG53" s="321"/>
      <c r="DH53" s="321"/>
      <c r="DI53" s="321"/>
      <c r="DJ53" s="321"/>
      <c r="DK53" s="321"/>
      <c r="DL53" s="321"/>
      <c r="DM53" s="321"/>
      <c r="DN53" s="321"/>
      <c r="DO53" s="321"/>
      <c r="DP53" s="321"/>
      <c r="DQ53" s="321"/>
      <c r="DR53" s="321"/>
      <c r="DS53" s="321"/>
      <c r="DT53" s="321"/>
      <c r="DU53" s="321"/>
      <c r="DV53" s="321"/>
      <c r="DW53" s="321"/>
      <c r="DX53" s="321"/>
      <c r="DY53" s="321"/>
      <c r="DZ53" s="321"/>
      <c r="EA53" s="321"/>
      <c r="EB53" s="321"/>
      <c r="EC53" s="321"/>
      <c r="ED53" s="321"/>
      <c r="EE53" s="321"/>
      <c r="EF53" s="321"/>
      <c r="EG53" s="321"/>
      <c r="EH53" s="321"/>
      <c r="EI53" s="321"/>
      <c r="EJ53" s="321"/>
      <c r="EK53" s="321"/>
      <c r="EL53" s="321"/>
      <c r="EM53" s="321"/>
      <c r="EN53" s="321"/>
      <c r="EO53" s="321"/>
      <c r="EP53" s="321"/>
      <c r="EQ53" s="321"/>
      <c r="ER53" s="321"/>
      <c r="ES53" s="321"/>
      <c r="ET53" s="321"/>
      <c r="EU53" s="321"/>
      <c r="EV53" s="321"/>
      <c r="EW53" s="321"/>
      <c r="EX53" s="321"/>
      <c r="EY53" s="321"/>
      <c r="EZ53" s="321"/>
      <c r="FA53" s="321"/>
      <c r="FB53" s="321"/>
      <c r="FC53" s="321"/>
      <c r="FD53" s="321"/>
      <c r="FE53" s="321"/>
      <c r="FF53" s="321"/>
      <c r="FG53" s="321"/>
      <c r="FH53" s="321"/>
      <c r="FI53" s="321"/>
      <c r="FJ53" s="321"/>
      <c r="FK53" s="321"/>
      <c r="FL53" s="321"/>
      <c r="FM53" s="321"/>
      <c r="FN53" s="321"/>
      <c r="FO53" s="321"/>
      <c r="FP53" s="321"/>
      <c r="FQ53" s="321"/>
      <c r="FR53" s="321"/>
      <c r="FS53" s="321"/>
      <c r="FT53" s="321"/>
      <c r="FU53" s="321"/>
      <c r="FV53" s="321"/>
      <c r="FW53" s="321"/>
      <c r="FX53" s="321"/>
      <c r="FY53" s="321"/>
      <c r="FZ53" s="321"/>
      <c r="GA53" s="321"/>
      <c r="GB53" s="321"/>
      <c r="GC53" s="321"/>
      <c r="GD53" s="321"/>
      <c r="GE53" s="321"/>
      <c r="GF53" s="321"/>
      <c r="GG53" s="321"/>
      <c r="GH53" s="321"/>
      <c r="GI53" s="321"/>
      <c r="GJ53" s="321"/>
      <c r="GK53" s="321"/>
      <c r="GL53" s="321"/>
      <c r="GM53" s="321"/>
      <c r="GN53" s="321"/>
      <c r="GO53" s="321"/>
      <c r="GP53" s="321"/>
      <c r="GQ53" s="321"/>
      <c r="GR53" s="321"/>
      <c r="GS53" s="321"/>
    </row>
    <row r="54" spans="1:201" s="437" customFormat="1">
      <c r="A54" s="446" t="s">
        <v>49</v>
      </c>
      <c r="B54" s="138" t="str">
        <f>IF(E14=0,F14,E14)</f>
        <v>11/15/2019</v>
      </c>
      <c r="C54" s="70">
        <f t="shared" ref="C54:AH54" si="184">B54+IF($G14=1,365,182.5)</f>
        <v>43966.5</v>
      </c>
      <c r="D54" s="70">
        <f t="shared" si="184"/>
        <v>44149</v>
      </c>
      <c r="E54" s="70">
        <f t="shared" si="184"/>
        <v>44331.5</v>
      </c>
      <c r="F54" s="70">
        <f t="shared" si="184"/>
        <v>44514</v>
      </c>
      <c r="G54" s="70">
        <f t="shared" si="184"/>
        <v>44696.5</v>
      </c>
      <c r="H54" s="70">
        <f t="shared" si="184"/>
        <v>44879</v>
      </c>
      <c r="I54" s="70">
        <f t="shared" si="184"/>
        <v>45061.5</v>
      </c>
      <c r="J54" s="70">
        <f t="shared" si="184"/>
        <v>45244</v>
      </c>
      <c r="K54" s="70">
        <f t="shared" si="184"/>
        <v>45426.5</v>
      </c>
      <c r="L54" s="70">
        <f t="shared" si="184"/>
        <v>45609</v>
      </c>
      <c r="M54" s="70">
        <f t="shared" si="184"/>
        <v>45791.5</v>
      </c>
      <c r="N54" s="70">
        <f t="shared" si="184"/>
        <v>45974</v>
      </c>
      <c r="O54" s="70">
        <f t="shared" si="184"/>
        <v>46156.5</v>
      </c>
      <c r="P54" s="70">
        <f t="shared" si="184"/>
        <v>46339</v>
      </c>
      <c r="Q54" s="70">
        <f t="shared" si="184"/>
        <v>46521.5</v>
      </c>
      <c r="R54" s="70">
        <f t="shared" si="184"/>
        <v>46704</v>
      </c>
      <c r="S54" s="70">
        <f t="shared" si="184"/>
        <v>46886.5</v>
      </c>
      <c r="T54" s="70">
        <f t="shared" si="184"/>
        <v>47069</v>
      </c>
      <c r="U54" s="70">
        <f t="shared" si="184"/>
        <v>47251.5</v>
      </c>
      <c r="V54" s="70">
        <f t="shared" si="184"/>
        <v>47434</v>
      </c>
      <c r="W54" s="70">
        <f t="shared" si="184"/>
        <v>47616.5</v>
      </c>
      <c r="X54" s="70">
        <f t="shared" si="184"/>
        <v>47799</v>
      </c>
      <c r="Y54" s="70">
        <f t="shared" si="184"/>
        <v>47981.5</v>
      </c>
      <c r="Z54" s="70">
        <f t="shared" si="184"/>
        <v>48164</v>
      </c>
      <c r="AA54" s="70">
        <f t="shared" si="184"/>
        <v>48346.5</v>
      </c>
      <c r="AB54" s="70">
        <f t="shared" si="184"/>
        <v>48529</v>
      </c>
      <c r="AC54" s="70">
        <f t="shared" si="184"/>
        <v>48711.5</v>
      </c>
      <c r="AD54" s="70">
        <f t="shared" si="184"/>
        <v>48894</v>
      </c>
      <c r="AE54" s="70">
        <f t="shared" si="184"/>
        <v>49076.5</v>
      </c>
      <c r="AF54" s="70">
        <f t="shared" si="184"/>
        <v>49259</v>
      </c>
      <c r="AG54" s="70">
        <f t="shared" si="184"/>
        <v>49441.5</v>
      </c>
      <c r="AH54" s="70">
        <f t="shared" si="184"/>
        <v>49624</v>
      </c>
      <c r="AI54" s="70">
        <f t="shared" ref="AI54:BN54" si="185">AH54+IF($G14=1,365,182.5)</f>
        <v>49806.5</v>
      </c>
      <c r="AJ54" s="70">
        <f t="shared" si="185"/>
        <v>49989</v>
      </c>
      <c r="AK54" s="70">
        <f t="shared" si="185"/>
        <v>50171.5</v>
      </c>
      <c r="AL54" s="70">
        <f t="shared" si="185"/>
        <v>50354</v>
      </c>
      <c r="AM54" s="70">
        <f t="shared" si="185"/>
        <v>50536.5</v>
      </c>
      <c r="AN54" s="70">
        <f t="shared" si="185"/>
        <v>50719</v>
      </c>
      <c r="AO54" s="70">
        <f t="shared" si="185"/>
        <v>50901.5</v>
      </c>
      <c r="AP54" s="70">
        <f t="shared" si="185"/>
        <v>51084</v>
      </c>
      <c r="AQ54" s="70">
        <f t="shared" si="185"/>
        <v>51266.5</v>
      </c>
      <c r="AR54" s="70">
        <f t="shared" si="185"/>
        <v>51449</v>
      </c>
      <c r="AS54" s="70">
        <f t="shared" si="185"/>
        <v>51631.5</v>
      </c>
      <c r="AT54" s="70">
        <f t="shared" si="185"/>
        <v>51814</v>
      </c>
      <c r="AU54" s="70">
        <f t="shared" si="185"/>
        <v>51996.5</v>
      </c>
      <c r="AV54" s="70">
        <f t="shared" si="185"/>
        <v>52179</v>
      </c>
      <c r="AW54" s="70">
        <f t="shared" si="185"/>
        <v>52361.5</v>
      </c>
      <c r="AX54" s="70">
        <f t="shared" si="185"/>
        <v>52544</v>
      </c>
      <c r="AY54" s="70">
        <f t="shared" si="185"/>
        <v>52726.5</v>
      </c>
      <c r="AZ54" s="70">
        <f t="shared" si="185"/>
        <v>52909</v>
      </c>
      <c r="BA54" s="70">
        <f t="shared" si="185"/>
        <v>53091.5</v>
      </c>
      <c r="BB54" s="70">
        <f t="shared" si="185"/>
        <v>53274</v>
      </c>
      <c r="BC54" s="70">
        <f t="shared" si="185"/>
        <v>53456.5</v>
      </c>
      <c r="BD54" s="70">
        <f t="shared" si="185"/>
        <v>53639</v>
      </c>
      <c r="BE54" s="70">
        <f t="shared" si="185"/>
        <v>53821.5</v>
      </c>
      <c r="BF54" s="70">
        <f t="shared" si="185"/>
        <v>54004</v>
      </c>
      <c r="BG54" s="70">
        <f t="shared" si="185"/>
        <v>54186.5</v>
      </c>
      <c r="BH54" s="70">
        <f t="shared" si="185"/>
        <v>54369</v>
      </c>
      <c r="BI54" s="70">
        <f t="shared" si="185"/>
        <v>54551.5</v>
      </c>
      <c r="BJ54" s="70">
        <f t="shared" si="185"/>
        <v>54734</v>
      </c>
      <c r="BK54" s="70">
        <f t="shared" si="185"/>
        <v>54916.5</v>
      </c>
      <c r="BL54" s="70">
        <f t="shared" si="185"/>
        <v>55099</v>
      </c>
      <c r="BM54" s="70">
        <f t="shared" si="185"/>
        <v>55281.5</v>
      </c>
      <c r="BN54" s="70">
        <f t="shared" si="185"/>
        <v>55464</v>
      </c>
      <c r="BO54" s="70">
        <f t="shared" ref="BO54:CB54" si="186">BN54+IF($G14=1,365,182.5)</f>
        <v>55646.5</v>
      </c>
      <c r="BP54" s="70">
        <f t="shared" si="186"/>
        <v>55829</v>
      </c>
      <c r="BQ54" s="70">
        <f t="shared" si="186"/>
        <v>56011.5</v>
      </c>
      <c r="BR54" s="70">
        <f t="shared" si="186"/>
        <v>56194</v>
      </c>
      <c r="BS54" s="70">
        <f t="shared" si="186"/>
        <v>56376.5</v>
      </c>
      <c r="BT54" s="70">
        <f t="shared" si="186"/>
        <v>56559</v>
      </c>
      <c r="BU54" s="70">
        <f t="shared" si="186"/>
        <v>56741.5</v>
      </c>
      <c r="BV54" s="70">
        <f t="shared" si="186"/>
        <v>56924</v>
      </c>
      <c r="BW54" s="70">
        <f t="shared" si="186"/>
        <v>57106.5</v>
      </c>
      <c r="BX54" s="70">
        <f t="shared" si="186"/>
        <v>57289</v>
      </c>
      <c r="BY54" s="70">
        <f t="shared" si="186"/>
        <v>57471.5</v>
      </c>
      <c r="BZ54" s="70">
        <f t="shared" si="186"/>
        <v>57654</v>
      </c>
      <c r="CA54" s="70">
        <f t="shared" si="186"/>
        <v>57836.5</v>
      </c>
      <c r="CB54" s="231">
        <f t="shared" si="186"/>
        <v>58019</v>
      </c>
    </row>
    <row r="55" spans="1:201">
      <c r="A55" s="375" t="s">
        <v>31</v>
      </c>
      <c r="B55" s="376">
        <f>(IF(B54=F14,100,0)+IF(G14=1,1,0.5)*J14*100)*IF(ISBLANK(F14)=TRUE,0,1)</f>
        <v>2.625</v>
      </c>
      <c r="C55" s="377">
        <f>IF(C54&gt;$F14+1,0,1)*(IF(D55=0,100,0)+IF($G14=1,1,0.5)*$J14*100)</f>
        <v>2.625</v>
      </c>
      <c r="D55" s="377">
        <f t="shared" ref="D55:BO55" si="187">IF(D54&gt;$F14+1,0,1)*(IF(E55=0,100,0)+IF($G14=1,1,0.5)*$J14*100)</f>
        <v>2.625</v>
      </c>
      <c r="E55" s="377">
        <f t="shared" si="187"/>
        <v>2.625</v>
      </c>
      <c r="F55" s="377">
        <f t="shared" si="187"/>
        <v>2.625</v>
      </c>
      <c r="G55" s="377">
        <f t="shared" si="187"/>
        <v>2.625</v>
      </c>
      <c r="H55" s="377">
        <f t="shared" si="187"/>
        <v>2.625</v>
      </c>
      <c r="I55" s="377">
        <f t="shared" si="187"/>
        <v>2.625</v>
      </c>
      <c r="J55" s="377">
        <f t="shared" si="187"/>
        <v>2.625</v>
      </c>
      <c r="K55" s="377">
        <f t="shared" si="187"/>
        <v>2.625</v>
      </c>
      <c r="L55" s="377">
        <f t="shared" si="187"/>
        <v>2.625</v>
      </c>
      <c r="M55" s="377">
        <f t="shared" si="187"/>
        <v>2.625</v>
      </c>
      <c r="N55" s="377">
        <f t="shared" si="187"/>
        <v>2.625</v>
      </c>
      <c r="O55" s="377">
        <f t="shared" si="187"/>
        <v>2.625</v>
      </c>
      <c r="P55" s="377">
        <f t="shared" si="187"/>
        <v>2.625</v>
      </c>
      <c r="Q55" s="377">
        <f t="shared" si="187"/>
        <v>2.625</v>
      </c>
      <c r="R55" s="377">
        <f t="shared" si="187"/>
        <v>2.625</v>
      </c>
      <c r="S55" s="377">
        <f t="shared" si="187"/>
        <v>2.625</v>
      </c>
      <c r="T55" s="377">
        <f t="shared" si="187"/>
        <v>102.625</v>
      </c>
      <c r="U55" s="377">
        <f t="shared" si="187"/>
        <v>0</v>
      </c>
      <c r="V55" s="377">
        <f t="shared" si="187"/>
        <v>0</v>
      </c>
      <c r="W55" s="377">
        <f t="shared" si="187"/>
        <v>0</v>
      </c>
      <c r="X55" s="377">
        <f t="shared" si="187"/>
        <v>0</v>
      </c>
      <c r="Y55" s="377">
        <f t="shared" si="187"/>
        <v>0</v>
      </c>
      <c r="Z55" s="377">
        <f t="shared" si="187"/>
        <v>0</v>
      </c>
      <c r="AA55" s="377">
        <f t="shared" si="187"/>
        <v>0</v>
      </c>
      <c r="AB55" s="377">
        <f t="shared" si="187"/>
        <v>0</v>
      </c>
      <c r="AC55" s="377">
        <f t="shared" si="187"/>
        <v>0</v>
      </c>
      <c r="AD55" s="377">
        <f t="shared" si="187"/>
        <v>0</v>
      </c>
      <c r="AE55" s="377">
        <f t="shared" si="187"/>
        <v>0</v>
      </c>
      <c r="AF55" s="377">
        <f t="shared" si="187"/>
        <v>0</v>
      </c>
      <c r="AG55" s="377">
        <f t="shared" si="187"/>
        <v>0</v>
      </c>
      <c r="AH55" s="377">
        <f t="shared" si="187"/>
        <v>0</v>
      </c>
      <c r="AI55" s="377">
        <f t="shared" si="187"/>
        <v>0</v>
      </c>
      <c r="AJ55" s="377">
        <f t="shared" si="187"/>
        <v>0</v>
      </c>
      <c r="AK55" s="377">
        <f t="shared" si="187"/>
        <v>0</v>
      </c>
      <c r="AL55" s="377">
        <f t="shared" si="187"/>
        <v>0</v>
      </c>
      <c r="AM55" s="377">
        <f t="shared" si="187"/>
        <v>0</v>
      </c>
      <c r="AN55" s="377">
        <f t="shared" si="187"/>
        <v>0</v>
      </c>
      <c r="AO55" s="377">
        <f t="shared" si="187"/>
        <v>0</v>
      </c>
      <c r="AP55" s="377">
        <f t="shared" si="187"/>
        <v>0</v>
      </c>
      <c r="AQ55" s="377">
        <f t="shared" si="187"/>
        <v>0</v>
      </c>
      <c r="AR55" s="377">
        <f t="shared" si="187"/>
        <v>0</v>
      </c>
      <c r="AS55" s="377">
        <f t="shared" si="187"/>
        <v>0</v>
      </c>
      <c r="AT55" s="377">
        <f t="shared" si="187"/>
        <v>0</v>
      </c>
      <c r="AU55" s="377">
        <f t="shared" si="187"/>
        <v>0</v>
      </c>
      <c r="AV55" s="377">
        <f t="shared" si="187"/>
        <v>0</v>
      </c>
      <c r="AW55" s="377">
        <f t="shared" si="187"/>
        <v>0</v>
      </c>
      <c r="AX55" s="377">
        <f t="shared" si="187"/>
        <v>0</v>
      </c>
      <c r="AY55" s="377">
        <f t="shared" si="187"/>
        <v>0</v>
      </c>
      <c r="AZ55" s="377">
        <f t="shared" si="187"/>
        <v>0</v>
      </c>
      <c r="BA55" s="377">
        <f t="shared" si="187"/>
        <v>0</v>
      </c>
      <c r="BB55" s="377">
        <f t="shared" si="187"/>
        <v>0</v>
      </c>
      <c r="BC55" s="377">
        <f t="shared" si="187"/>
        <v>0</v>
      </c>
      <c r="BD55" s="377">
        <f t="shared" si="187"/>
        <v>0</v>
      </c>
      <c r="BE55" s="377">
        <f t="shared" si="187"/>
        <v>0</v>
      </c>
      <c r="BF55" s="377">
        <f t="shared" si="187"/>
        <v>0</v>
      </c>
      <c r="BG55" s="377">
        <f t="shared" si="187"/>
        <v>0</v>
      </c>
      <c r="BH55" s="377">
        <f t="shared" si="187"/>
        <v>0</v>
      </c>
      <c r="BI55" s="377">
        <f t="shared" si="187"/>
        <v>0</v>
      </c>
      <c r="BJ55" s="377">
        <f t="shared" si="187"/>
        <v>0</v>
      </c>
      <c r="BK55" s="377">
        <f t="shared" si="187"/>
        <v>0</v>
      </c>
      <c r="BL55" s="377">
        <f t="shared" si="187"/>
        <v>0</v>
      </c>
      <c r="BM55" s="377">
        <f t="shared" si="187"/>
        <v>0</v>
      </c>
      <c r="BN55" s="377">
        <f t="shared" si="187"/>
        <v>0</v>
      </c>
      <c r="BO55" s="377">
        <f t="shared" si="187"/>
        <v>0</v>
      </c>
      <c r="BP55" s="377">
        <f t="shared" ref="BP55:CA55" si="188">IF(BP54&gt;$F14+1,0,1)*(IF(BQ55=0,100,0)+IF($G14=1,1,0.5)*$J14*100)</f>
        <v>0</v>
      </c>
      <c r="BQ55" s="377">
        <f t="shared" si="188"/>
        <v>0</v>
      </c>
      <c r="BR55" s="377">
        <f t="shared" si="188"/>
        <v>0</v>
      </c>
      <c r="BS55" s="377">
        <f t="shared" si="188"/>
        <v>0</v>
      </c>
      <c r="BT55" s="377">
        <f t="shared" si="188"/>
        <v>0</v>
      </c>
      <c r="BU55" s="377">
        <f t="shared" si="188"/>
        <v>0</v>
      </c>
      <c r="BV55" s="377">
        <f t="shared" si="188"/>
        <v>0</v>
      </c>
      <c r="BW55" s="377">
        <f t="shared" si="188"/>
        <v>0</v>
      </c>
      <c r="BX55" s="377">
        <f t="shared" si="188"/>
        <v>0</v>
      </c>
      <c r="BY55" s="377">
        <f t="shared" si="188"/>
        <v>0</v>
      </c>
      <c r="BZ55" s="377">
        <f t="shared" si="188"/>
        <v>0</v>
      </c>
      <c r="CA55" s="377">
        <f t="shared" si="188"/>
        <v>0</v>
      </c>
      <c r="CB55" s="378">
        <f>IF(CB54&gt;$F14+1,0,1)*(IF(CC55=0,100,0)+IF($G14=1,1,0.5)*$J14*100)</f>
        <v>0</v>
      </c>
      <c r="CC55" s="321"/>
      <c r="CD55" s="321"/>
      <c r="CE55" s="321"/>
      <c r="CF55" s="321"/>
      <c r="CG55" s="321"/>
      <c r="CH55" s="321"/>
      <c r="CI55" s="321"/>
      <c r="CJ55" s="321"/>
      <c r="CK55" s="321"/>
      <c r="CL55" s="321"/>
      <c r="CM55" s="321"/>
      <c r="CN55" s="321"/>
      <c r="CO55" s="321"/>
      <c r="CP55" s="321"/>
      <c r="CQ55" s="321"/>
      <c r="CR55" s="321"/>
      <c r="CS55" s="321"/>
      <c r="CT55" s="321"/>
      <c r="CU55" s="321"/>
      <c r="CV55" s="321"/>
      <c r="CW55" s="321"/>
      <c r="CX55" s="321"/>
      <c r="CY55" s="321"/>
      <c r="CZ55" s="321"/>
      <c r="DA55" s="321"/>
      <c r="DB55" s="321"/>
      <c r="DC55" s="321"/>
      <c r="DD55" s="321"/>
      <c r="DE55" s="321"/>
      <c r="DF55" s="321"/>
      <c r="DG55" s="321"/>
      <c r="DH55" s="321"/>
      <c r="DI55" s="321"/>
      <c r="DJ55" s="321"/>
      <c r="DK55" s="321"/>
      <c r="DL55" s="321"/>
      <c r="DM55" s="321"/>
      <c r="DN55" s="321"/>
      <c r="DO55" s="321"/>
      <c r="DP55" s="321"/>
      <c r="DQ55" s="321"/>
      <c r="DR55" s="321"/>
      <c r="DS55" s="321"/>
      <c r="DT55" s="321"/>
      <c r="DU55" s="321"/>
      <c r="DV55" s="321"/>
      <c r="DW55" s="321"/>
      <c r="DX55" s="321"/>
      <c r="DY55" s="321"/>
      <c r="DZ55" s="321"/>
      <c r="EA55" s="321"/>
      <c r="EB55" s="321"/>
      <c r="EC55" s="321"/>
      <c r="ED55" s="321"/>
      <c r="EE55" s="321"/>
      <c r="EF55" s="321"/>
      <c r="EG55" s="321"/>
      <c r="EH55" s="321"/>
      <c r="EI55" s="321"/>
      <c r="EJ55" s="321"/>
      <c r="EK55" s="321"/>
      <c r="EL55" s="321"/>
      <c r="EM55" s="321"/>
      <c r="EN55" s="321"/>
      <c r="EO55" s="321"/>
      <c r="EP55" s="321"/>
      <c r="EQ55" s="321"/>
      <c r="ER55" s="321"/>
      <c r="ES55" s="321"/>
      <c r="ET55" s="321"/>
      <c r="EU55" s="321"/>
      <c r="EV55" s="321"/>
      <c r="EW55" s="321"/>
      <c r="EX55" s="321"/>
      <c r="EY55" s="321"/>
      <c r="EZ55" s="321"/>
      <c r="FA55" s="321"/>
      <c r="FB55" s="321"/>
      <c r="FC55" s="321"/>
      <c r="FD55" s="321"/>
      <c r="FE55" s="321"/>
      <c r="FF55" s="321"/>
      <c r="FG55" s="321"/>
      <c r="FH55" s="321"/>
      <c r="FI55" s="321"/>
      <c r="FJ55" s="321"/>
      <c r="FK55" s="321"/>
      <c r="FL55" s="321"/>
      <c r="FM55" s="321"/>
      <c r="FN55" s="321"/>
      <c r="FO55" s="321"/>
      <c r="FP55" s="321"/>
      <c r="FQ55" s="321"/>
      <c r="FR55" s="321"/>
      <c r="FS55" s="321"/>
      <c r="FT55" s="321"/>
      <c r="FU55" s="321"/>
      <c r="FV55" s="321"/>
      <c r="FW55" s="321"/>
      <c r="FX55" s="321"/>
      <c r="FY55" s="321"/>
      <c r="FZ55" s="321"/>
      <c r="GA55" s="321"/>
      <c r="GB55" s="321"/>
      <c r="GC55" s="321"/>
      <c r="GD55" s="321"/>
      <c r="GE55" s="321"/>
      <c r="GF55" s="321"/>
      <c r="GG55" s="321"/>
      <c r="GH55" s="321"/>
      <c r="GI55" s="321"/>
      <c r="GJ55" s="321"/>
      <c r="GK55" s="321"/>
      <c r="GL55" s="321"/>
      <c r="GM55" s="321"/>
      <c r="GN55" s="321"/>
      <c r="GO55" s="321"/>
      <c r="GP55" s="321"/>
      <c r="GQ55" s="321"/>
      <c r="GR55" s="321"/>
      <c r="GS55" s="321"/>
    </row>
    <row r="56" spans="1:201" s="437" customFormat="1">
      <c r="A56" s="447" t="s">
        <v>49</v>
      </c>
      <c r="B56" s="74" t="str">
        <f>IF(E15=0,F15,E15)</f>
        <v>8/15/2019</v>
      </c>
      <c r="C56" s="75">
        <f t="shared" ref="C56:AH56" si="189">B56+IF($G15=1,365,182.5)</f>
        <v>43874.5</v>
      </c>
      <c r="D56" s="75">
        <f t="shared" si="189"/>
        <v>44057</v>
      </c>
      <c r="E56" s="75">
        <f t="shared" si="189"/>
        <v>44239.5</v>
      </c>
      <c r="F56" s="75">
        <f t="shared" si="189"/>
        <v>44422</v>
      </c>
      <c r="G56" s="75">
        <f t="shared" si="189"/>
        <v>44604.5</v>
      </c>
      <c r="H56" s="75">
        <f t="shared" si="189"/>
        <v>44787</v>
      </c>
      <c r="I56" s="75">
        <f t="shared" si="189"/>
        <v>44969.5</v>
      </c>
      <c r="J56" s="75">
        <f t="shared" si="189"/>
        <v>45152</v>
      </c>
      <c r="K56" s="75">
        <f t="shared" si="189"/>
        <v>45334.5</v>
      </c>
      <c r="L56" s="75">
        <f t="shared" si="189"/>
        <v>45517</v>
      </c>
      <c r="M56" s="75">
        <f t="shared" si="189"/>
        <v>45699.5</v>
      </c>
      <c r="N56" s="75">
        <f t="shared" si="189"/>
        <v>45882</v>
      </c>
      <c r="O56" s="75">
        <f t="shared" si="189"/>
        <v>46064.5</v>
      </c>
      <c r="P56" s="75">
        <f t="shared" si="189"/>
        <v>46247</v>
      </c>
      <c r="Q56" s="75">
        <f t="shared" si="189"/>
        <v>46429.5</v>
      </c>
      <c r="R56" s="75">
        <f t="shared" si="189"/>
        <v>46612</v>
      </c>
      <c r="S56" s="75">
        <f t="shared" si="189"/>
        <v>46794.5</v>
      </c>
      <c r="T56" s="75">
        <f t="shared" si="189"/>
        <v>46977</v>
      </c>
      <c r="U56" s="75">
        <f t="shared" si="189"/>
        <v>47159.5</v>
      </c>
      <c r="V56" s="75">
        <f t="shared" si="189"/>
        <v>47342</v>
      </c>
      <c r="W56" s="75">
        <f t="shared" si="189"/>
        <v>47524.5</v>
      </c>
      <c r="X56" s="75">
        <f t="shared" si="189"/>
        <v>47707</v>
      </c>
      <c r="Y56" s="75">
        <f t="shared" si="189"/>
        <v>47889.5</v>
      </c>
      <c r="Z56" s="75">
        <f t="shared" si="189"/>
        <v>48072</v>
      </c>
      <c r="AA56" s="75">
        <f t="shared" si="189"/>
        <v>48254.5</v>
      </c>
      <c r="AB56" s="75">
        <f t="shared" si="189"/>
        <v>48437</v>
      </c>
      <c r="AC56" s="75">
        <f t="shared" si="189"/>
        <v>48619.5</v>
      </c>
      <c r="AD56" s="75">
        <f t="shared" si="189"/>
        <v>48802</v>
      </c>
      <c r="AE56" s="75">
        <f t="shared" si="189"/>
        <v>48984.5</v>
      </c>
      <c r="AF56" s="75">
        <f t="shared" si="189"/>
        <v>49167</v>
      </c>
      <c r="AG56" s="75">
        <f t="shared" si="189"/>
        <v>49349.5</v>
      </c>
      <c r="AH56" s="75">
        <f t="shared" si="189"/>
        <v>49532</v>
      </c>
      <c r="AI56" s="75">
        <f t="shared" ref="AI56:BN56" si="190">AH56+IF($G15=1,365,182.5)</f>
        <v>49714.5</v>
      </c>
      <c r="AJ56" s="75">
        <f t="shared" si="190"/>
        <v>49897</v>
      </c>
      <c r="AK56" s="75">
        <f t="shared" si="190"/>
        <v>50079.5</v>
      </c>
      <c r="AL56" s="75">
        <f t="shared" si="190"/>
        <v>50262</v>
      </c>
      <c r="AM56" s="75">
        <f t="shared" si="190"/>
        <v>50444.5</v>
      </c>
      <c r="AN56" s="75">
        <f t="shared" si="190"/>
        <v>50627</v>
      </c>
      <c r="AO56" s="75">
        <f t="shared" si="190"/>
        <v>50809.5</v>
      </c>
      <c r="AP56" s="75">
        <f t="shared" si="190"/>
        <v>50992</v>
      </c>
      <c r="AQ56" s="75">
        <f t="shared" si="190"/>
        <v>51174.5</v>
      </c>
      <c r="AR56" s="75">
        <f t="shared" si="190"/>
        <v>51357</v>
      </c>
      <c r="AS56" s="75">
        <f t="shared" si="190"/>
        <v>51539.5</v>
      </c>
      <c r="AT56" s="75">
        <f t="shared" si="190"/>
        <v>51722</v>
      </c>
      <c r="AU56" s="75">
        <f t="shared" si="190"/>
        <v>51904.5</v>
      </c>
      <c r="AV56" s="75">
        <f t="shared" si="190"/>
        <v>52087</v>
      </c>
      <c r="AW56" s="75">
        <f t="shared" si="190"/>
        <v>52269.5</v>
      </c>
      <c r="AX56" s="75">
        <f t="shared" si="190"/>
        <v>52452</v>
      </c>
      <c r="AY56" s="75">
        <f t="shared" si="190"/>
        <v>52634.5</v>
      </c>
      <c r="AZ56" s="75">
        <f t="shared" si="190"/>
        <v>52817</v>
      </c>
      <c r="BA56" s="75">
        <f t="shared" si="190"/>
        <v>52999.5</v>
      </c>
      <c r="BB56" s="75">
        <f t="shared" si="190"/>
        <v>53182</v>
      </c>
      <c r="BC56" s="75">
        <f t="shared" si="190"/>
        <v>53364.5</v>
      </c>
      <c r="BD56" s="75">
        <f t="shared" si="190"/>
        <v>53547</v>
      </c>
      <c r="BE56" s="75">
        <f t="shared" si="190"/>
        <v>53729.5</v>
      </c>
      <c r="BF56" s="75">
        <f t="shared" si="190"/>
        <v>53912</v>
      </c>
      <c r="BG56" s="75">
        <f t="shared" si="190"/>
        <v>54094.5</v>
      </c>
      <c r="BH56" s="75">
        <f t="shared" si="190"/>
        <v>54277</v>
      </c>
      <c r="BI56" s="75">
        <f t="shared" si="190"/>
        <v>54459.5</v>
      </c>
      <c r="BJ56" s="75">
        <f t="shared" si="190"/>
        <v>54642</v>
      </c>
      <c r="BK56" s="75">
        <f t="shared" si="190"/>
        <v>54824.5</v>
      </c>
      <c r="BL56" s="75">
        <f t="shared" si="190"/>
        <v>55007</v>
      </c>
      <c r="BM56" s="75">
        <f t="shared" si="190"/>
        <v>55189.5</v>
      </c>
      <c r="BN56" s="75">
        <f t="shared" si="190"/>
        <v>55372</v>
      </c>
      <c r="BO56" s="75">
        <f t="shared" ref="BO56:CB56" si="191">BN56+IF($G15=1,365,182.5)</f>
        <v>55554.5</v>
      </c>
      <c r="BP56" s="75">
        <f t="shared" si="191"/>
        <v>55737</v>
      </c>
      <c r="BQ56" s="75">
        <f t="shared" si="191"/>
        <v>55919.5</v>
      </c>
      <c r="BR56" s="75">
        <f t="shared" si="191"/>
        <v>56102</v>
      </c>
      <c r="BS56" s="75">
        <f t="shared" si="191"/>
        <v>56284.5</v>
      </c>
      <c r="BT56" s="75">
        <f t="shared" si="191"/>
        <v>56467</v>
      </c>
      <c r="BU56" s="75">
        <f t="shared" si="191"/>
        <v>56649.5</v>
      </c>
      <c r="BV56" s="75">
        <f t="shared" si="191"/>
        <v>56832</v>
      </c>
      <c r="BW56" s="75">
        <f t="shared" si="191"/>
        <v>57014.5</v>
      </c>
      <c r="BX56" s="75">
        <f t="shared" si="191"/>
        <v>57197</v>
      </c>
      <c r="BY56" s="75">
        <f t="shared" si="191"/>
        <v>57379.5</v>
      </c>
      <c r="BZ56" s="75">
        <f t="shared" si="191"/>
        <v>57562</v>
      </c>
      <c r="CA56" s="75">
        <f t="shared" si="191"/>
        <v>57744.5</v>
      </c>
      <c r="CB56" s="76">
        <f t="shared" si="191"/>
        <v>57927</v>
      </c>
    </row>
    <row r="57" spans="1:201">
      <c r="A57" s="379" t="s">
        <v>32</v>
      </c>
      <c r="B57" s="380">
        <f>(IF(B56=F15,100,0)+IF(G15=1,1,0.5)*J15*100)*IF(ISBLANK(F15)=TRUE,0,1)</f>
        <v>2.625</v>
      </c>
      <c r="C57" s="381">
        <f>IF(C56&gt;$F15+1,0,1)*(IF(D57=0,100,0)+IF($G15=1,1,0.5)*$J15*100)</f>
        <v>2.625</v>
      </c>
      <c r="D57" s="381">
        <f t="shared" ref="D57:BO57" si="192">IF(D56&gt;$F15+1,0,1)*(IF(E57=0,100,0)+IF($G15=1,1,0.5)*$J15*100)</f>
        <v>2.625</v>
      </c>
      <c r="E57" s="381">
        <f t="shared" si="192"/>
        <v>2.625</v>
      </c>
      <c r="F57" s="381">
        <f t="shared" si="192"/>
        <v>2.625</v>
      </c>
      <c r="G57" s="381">
        <f t="shared" si="192"/>
        <v>2.625</v>
      </c>
      <c r="H57" s="381">
        <f t="shared" si="192"/>
        <v>2.625</v>
      </c>
      <c r="I57" s="381">
        <f t="shared" si="192"/>
        <v>2.625</v>
      </c>
      <c r="J57" s="381">
        <f t="shared" si="192"/>
        <v>2.625</v>
      </c>
      <c r="K57" s="381">
        <f t="shared" si="192"/>
        <v>2.625</v>
      </c>
      <c r="L57" s="381">
        <f t="shared" si="192"/>
        <v>2.625</v>
      </c>
      <c r="M57" s="381">
        <f t="shared" si="192"/>
        <v>2.625</v>
      </c>
      <c r="N57" s="381">
        <f t="shared" si="192"/>
        <v>2.625</v>
      </c>
      <c r="O57" s="381">
        <f t="shared" si="192"/>
        <v>2.625</v>
      </c>
      <c r="P57" s="381">
        <f t="shared" si="192"/>
        <v>2.625</v>
      </c>
      <c r="Q57" s="381">
        <f t="shared" si="192"/>
        <v>2.625</v>
      </c>
      <c r="R57" s="381">
        <f t="shared" si="192"/>
        <v>2.625</v>
      </c>
      <c r="S57" s="381">
        <f t="shared" si="192"/>
        <v>2.625</v>
      </c>
      <c r="T57" s="381">
        <f t="shared" si="192"/>
        <v>2.625</v>
      </c>
      <c r="U57" s="381">
        <f t="shared" si="192"/>
        <v>102.625</v>
      </c>
      <c r="V57" s="381">
        <f t="shared" si="192"/>
        <v>0</v>
      </c>
      <c r="W57" s="381">
        <f t="shared" si="192"/>
        <v>0</v>
      </c>
      <c r="X57" s="381">
        <f t="shared" si="192"/>
        <v>0</v>
      </c>
      <c r="Y57" s="381">
        <f t="shared" si="192"/>
        <v>0</v>
      </c>
      <c r="Z57" s="381">
        <f t="shared" si="192"/>
        <v>0</v>
      </c>
      <c r="AA57" s="381">
        <f t="shared" si="192"/>
        <v>0</v>
      </c>
      <c r="AB57" s="381">
        <f t="shared" si="192"/>
        <v>0</v>
      </c>
      <c r="AC57" s="381">
        <f t="shared" si="192"/>
        <v>0</v>
      </c>
      <c r="AD57" s="381">
        <f t="shared" si="192"/>
        <v>0</v>
      </c>
      <c r="AE57" s="381">
        <f t="shared" si="192"/>
        <v>0</v>
      </c>
      <c r="AF57" s="381">
        <f t="shared" si="192"/>
        <v>0</v>
      </c>
      <c r="AG57" s="381">
        <f t="shared" si="192"/>
        <v>0</v>
      </c>
      <c r="AH57" s="381">
        <f t="shared" si="192"/>
        <v>0</v>
      </c>
      <c r="AI57" s="381">
        <f t="shared" si="192"/>
        <v>0</v>
      </c>
      <c r="AJ57" s="381">
        <f t="shared" si="192"/>
        <v>0</v>
      </c>
      <c r="AK57" s="381">
        <f t="shared" si="192"/>
        <v>0</v>
      </c>
      <c r="AL57" s="381">
        <f t="shared" si="192"/>
        <v>0</v>
      </c>
      <c r="AM57" s="381">
        <f t="shared" si="192"/>
        <v>0</v>
      </c>
      <c r="AN57" s="381">
        <f t="shared" si="192"/>
        <v>0</v>
      </c>
      <c r="AO57" s="381">
        <f t="shared" si="192"/>
        <v>0</v>
      </c>
      <c r="AP57" s="381">
        <f t="shared" si="192"/>
        <v>0</v>
      </c>
      <c r="AQ57" s="381">
        <f t="shared" si="192"/>
        <v>0</v>
      </c>
      <c r="AR57" s="381">
        <f t="shared" si="192"/>
        <v>0</v>
      </c>
      <c r="AS57" s="381">
        <f t="shared" si="192"/>
        <v>0</v>
      </c>
      <c r="AT57" s="381">
        <f t="shared" si="192"/>
        <v>0</v>
      </c>
      <c r="AU57" s="381">
        <f t="shared" si="192"/>
        <v>0</v>
      </c>
      <c r="AV57" s="381">
        <f t="shared" si="192"/>
        <v>0</v>
      </c>
      <c r="AW57" s="381">
        <f t="shared" si="192"/>
        <v>0</v>
      </c>
      <c r="AX57" s="381">
        <f t="shared" si="192"/>
        <v>0</v>
      </c>
      <c r="AY57" s="381">
        <f t="shared" si="192"/>
        <v>0</v>
      </c>
      <c r="AZ57" s="381">
        <f t="shared" si="192"/>
        <v>0</v>
      </c>
      <c r="BA57" s="381">
        <f t="shared" si="192"/>
        <v>0</v>
      </c>
      <c r="BB57" s="381">
        <f t="shared" si="192"/>
        <v>0</v>
      </c>
      <c r="BC57" s="381">
        <f t="shared" si="192"/>
        <v>0</v>
      </c>
      <c r="BD57" s="381">
        <f t="shared" si="192"/>
        <v>0</v>
      </c>
      <c r="BE57" s="381">
        <f t="shared" si="192"/>
        <v>0</v>
      </c>
      <c r="BF57" s="381">
        <f t="shared" si="192"/>
        <v>0</v>
      </c>
      <c r="BG57" s="381">
        <f t="shared" si="192"/>
        <v>0</v>
      </c>
      <c r="BH57" s="381">
        <f t="shared" si="192"/>
        <v>0</v>
      </c>
      <c r="BI57" s="381">
        <f t="shared" si="192"/>
        <v>0</v>
      </c>
      <c r="BJ57" s="381">
        <f t="shared" si="192"/>
        <v>0</v>
      </c>
      <c r="BK57" s="381">
        <f t="shared" si="192"/>
        <v>0</v>
      </c>
      <c r="BL57" s="381">
        <f t="shared" si="192"/>
        <v>0</v>
      </c>
      <c r="BM57" s="381">
        <f t="shared" si="192"/>
        <v>0</v>
      </c>
      <c r="BN57" s="381">
        <f t="shared" si="192"/>
        <v>0</v>
      </c>
      <c r="BO57" s="381">
        <f t="shared" si="192"/>
        <v>0</v>
      </c>
      <c r="BP57" s="381">
        <f t="shared" ref="BP57:CA57" si="193">IF(BP56&gt;$F15+1,0,1)*(IF(BQ57=0,100,0)+IF($G15=1,1,0.5)*$J15*100)</f>
        <v>0</v>
      </c>
      <c r="BQ57" s="381">
        <f t="shared" si="193"/>
        <v>0</v>
      </c>
      <c r="BR57" s="381">
        <f t="shared" si="193"/>
        <v>0</v>
      </c>
      <c r="BS57" s="381">
        <f t="shared" si="193"/>
        <v>0</v>
      </c>
      <c r="BT57" s="381">
        <f t="shared" si="193"/>
        <v>0</v>
      </c>
      <c r="BU57" s="381">
        <f t="shared" si="193"/>
        <v>0</v>
      </c>
      <c r="BV57" s="381">
        <f t="shared" si="193"/>
        <v>0</v>
      </c>
      <c r="BW57" s="381">
        <f t="shared" si="193"/>
        <v>0</v>
      </c>
      <c r="BX57" s="381">
        <f t="shared" si="193"/>
        <v>0</v>
      </c>
      <c r="BY57" s="381">
        <f t="shared" si="193"/>
        <v>0</v>
      </c>
      <c r="BZ57" s="381">
        <f t="shared" si="193"/>
        <v>0</v>
      </c>
      <c r="CA57" s="381">
        <f t="shared" si="193"/>
        <v>0</v>
      </c>
      <c r="CB57" s="382">
        <f>IF(CB56&gt;$F15+1,0,1)*(IF(CC57=0,100,0)+IF($G15=1,1,0.5)*$J15*100)</f>
        <v>0</v>
      </c>
      <c r="CC57" s="321"/>
      <c r="CD57" s="321"/>
      <c r="CE57" s="321"/>
      <c r="CF57" s="321"/>
      <c r="CG57" s="321"/>
      <c r="CH57" s="321"/>
      <c r="CI57" s="321"/>
      <c r="CJ57" s="321"/>
      <c r="CK57" s="321"/>
      <c r="CL57" s="321"/>
      <c r="CM57" s="321"/>
      <c r="CN57" s="321"/>
      <c r="CO57" s="321"/>
      <c r="CP57" s="321"/>
      <c r="CQ57" s="321"/>
      <c r="CR57" s="321"/>
      <c r="CS57" s="321"/>
      <c r="CT57" s="321"/>
      <c r="CU57" s="321"/>
      <c r="CV57" s="321"/>
      <c r="CW57" s="321"/>
      <c r="CX57" s="321"/>
      <c r="CY57" s="321"/>
      <c r="CZ57" s="321"/>
      <c r="DA57" s="321"/>
      <c r="DB57" s="321"/>
      <c r="DC57" s="321"/>
      <c r="DD57" s="321"/>
      <c r="DE57" s="321"/>
      <c r="DF57" s="321"/>
      <c r="DG57" s="321"/>
      <c r="DH57" s="321"/>
      <c r="DI57" s="321"/>
      <c r="DJ57" s="321"/>
      <c r="DK57" s="321"/>
      <c r="DL57" s="321"/>
      <c r="DM57" s="321"/>
      <c r="DN57" s="321"/>
      <c r="DO57" s="321"/>
      <c r="DP57" s="321"/>
      <c r="DQ57" s="321"/>
      <c r="DR57" s="321"/>
      <c r="DS57" s="321"/>
      <c r="DT57" s="321"/>
      <c r="DU57" s="321"/>
      <c r="DV57" s="321"/>
      <c r="DW57" s="321"/>
      <c r="DX57" s="321"/>
      <c r="DY57" s="321"/>
      <c r="DZ57" s="321"/>
      <c r="EA57" s="321"/>
      <c r="EB57" s="321"/>
      <c r="EC57" s="321"/>
      <c r="ED57" s="321"/>
      <c r="EE57" s="321"/>
      <c r="EF57" s="321"/>
      <c r="EG57" s="321"/>
      <c r="EH57" s="321"/>
      <c r="EI57" s="321"/>
      <c r="EJ57" s="321"/>
      <c r="EK57" s="321"/>
      <c r="EL57" s="321"/>
      <c r="EM57" s="321"/>
      <c r="EN57" s="321"/>
      <c r="EO57" s="321"/>
      <c r="EP57" s="321"/>
      <c r="EQ57" s="321"/>
      <c r="ER57" s="321"/>
      <c r="ES57" s="321"/>
      <c r="ET57" s="321"/>
      <c r="EU57" s="321"/>
      <c r="EV57" s="321"/>
      <c r="EW57" s="321"/>
      <c r="EX57" s="321"/>
      <c r="EY57" s="321"/>
      <c r="EZ57" s="321"/>
      <c r="FA57" s="321"/>
      <c r="FB57" s="321"/>
      <c r="FC57" s="321"/>
      <c r="FD57" s="321"/>
      <c r="FE57" s="321"/>
      <c r="FF57" s="321"/>
      <c r="FG57" s="321"/>
      <c r="FH57" s="321"/>
      <c r="FI57" s="321"/>
      <c r="FJ57" s="321"/>
      <c r="FK57" s="321"/>
      <c r="FL57" s="321"/>
      <c r="FM57" s="321"/>
      <c r="FN57" s="321"/>
      <c r="FO57" s="321"/>
      <c r="FP57" s="321"/>
      <c r="FQ57" s="321"/>
      <c r="FR57" s="321"/>
      <c r="FS57" s="321"/>
      <c r="FT57" s="321"/>
      <c r="FU57" s="321"/>
      <c r="FV57" s="321"/>
      <c r="FW57" s="321"/>
      <c r="FX57" s="321"/>
      <c r="FY57" s="321"/>
      <c r="FZ57" s="321"/>
      <c r="GA57" s="321"/>
      <c r="GB57" s="321"/>
      <c r="GC57" s="321"/>
      <c r="GD57" s="321"/>
      <c r="GE57" s="321"/>
      <c r="GF57" s="321"/>
      <c r="GG57" s="321"/>
      <c r="GH57" s="321"/>
      <c r="GI57" s="321"/>
      <c r="GJ57" s="321"/>
      <c r="GK57" s="321"/>
      <c r="GL57" s="321"/>
      <c r="GM57" s="321"/>
      <c r="GN57" s="321"/>
      <c r="GO57" s="321"/>
      <c r="GP57" s="321"/>
      <c r="GQ57" s="321"/>
      <c r="GR57" s="321"/>
      <c r="GS57" s="321"/>
    </row>
    <row r="58" spans="1:201" s="437" customFormat="1">
      <c r="A58" s="440" t="s">
        <v>49</v>
      </c>
      <c r="B58" s="47" t="str">
        <f>IF(E16=0,F16,E16)</f>
        <v>11/15/2019</v>
      </c>
      <c r="C58" s="48">
        <f t="shared" ref="C58:AH58" si="194">B58+IF($G16=1,365,182.5)</f>
        <v>43966.5</v>
      </c>
      <c r="D58" s="48">
        <f t="shared" si="194"/>
        <v>44149</v>
      </c>
      <c r="E58" s="48">
        <f t="shared" si="194"/>
        <v>44331.5</v>
      </c>
      <c r="F58" s="48">
        <f t="shared" si="194"/>
        <v>44514</v>
      </c>
      <c r="G58" s="48">
        <f t="shared" si="194"/>
        <v>44696.5</v>
      </c>
      <c r="H58" s="48">
        <f t="shared" si="194"/>
        <v>44879</v>
      </c>
      <c r="I58" s="48">
        <f t="shared" si="194"/>
        <v>45061.5</v>
      </c>
      <c r="J58" s="48">
        <f t="shared" si="194"/>
        <v>45244</v>
      </c>
      <c r="K58" s="48">
        <f t="shared" si="194"/>
        <v>45426.5</v>
      </c>
      <c r="L58" s="48">
        <f t="shared" si="194"/>
        <v>45609</v>
      </c>
      <c r="M58" s="48">
        <f t="shared" si="194"/>
        <v>45791.5</v>
      </c>
      <c r="N58" s="48">
        <f t="shared" si="194"/>
        <v>45974</v>
      </c>
      <c r="O58" s="48">
        <f t="shared" si="194"/>
        <v>46156.5</v>
      </c>
      <c r="P58" s="48">
        <f t="shared" si="194"/>
        <v>46339</v>
      </c>
      <c r="Q58" s="48">
        <f t="shared" si="194"/>
        <v>46521.5</v>
      </c>
      <c r="R58" s="48">
        <f t="shared" si="194"/>
        <v>46704</v>
      </c>
      <c r="S58" s="48">
        <f t="shared" si="194"/>
        <v>46886.5</v>
      </c>
      <c r="T58" s="48">
        <f t="shared" si="194"/>
        <v>47069</v>
      </c>
      <c r="U58" s="48">
        <f t="shared" si="194"/>
        <v>47251.5</v>
      </c>
      <c r="V58" s="48">
        <f t="shared" si="194"/>
        <v>47434</v>
      </c>
      <c r="W58" s="48">
        <f t="shared" si="194"/>
        <v>47616.5</v>
      </c>
      <c r="X58" s="48">
        <f t="shared" si="194"/>
        <v>47799</v>
      </c>
      <c r="Y58" s="48">
        <f t="shared" si="194"/>
        <v>47981.5</v>
      </c>
      <c r="Z58" s="48">
        <f t="shared" si="194"/>
        <v>48164</v>
      </c>
      <c r="AA58" s="48">
        <f t="shared" si="194"/>
        <v>48346.5</v>
      </c>
      <c r="AB58" s="48">
        <f t="shared" si="194"/>
        <v>48529</v>
      </c>
      <c r="AC58" s="48">
        <f t="shared" si="194"/>
        <v>48711.5</v>
      </c>
      <c r="AD58" s="48">
        <f t="shared" si="194"/>
        <v>48894</v>
      </c>
      <c r="AE58" s="48">
        <f t="shared" si="194"/>
        <v>49076.5</v>
      </c>
      <c r="AF58" s="48">
        <f t="shared" si="194"/>
        <v>49259</v>
      </c>
      <c r="AG58" s="48">
        <f t="shared" si="194"/>
        <v>49441.5</v>
      </c>
      <c r="AH58" s="48">
        <f t="shared" si="194"/>
        <v>49624</v>
      </c>
      <c r="AI58" s="48">
        <f t="shared" ref="AI58:BN58" si="195">AH58+IF($G16=1,365,182.5)</f>
        <v>49806.5</v>
      </c>
      <c r="AJ58" s="48">
        <f t="shared" si="195"/>
        <v>49989</v>
      </c>
      <c r="AK58" s="48">
        <f t="shared" si="195"/>
        <v>50171.5</v>
      </c>
      <c r="AL58" s="48">
        <f t="shared" si="195"/>
        <v>50354</v>
      </c>
      <c r="AM58" s="48">
        <f t="shared" si="195"/>
        <v>50536.5</v>
      </c>
      <c r="AN58" s="48">
        <f t="shared" si="195"/>
        <v>50719</v>
      </c>
      <c r="AO58" s="48">
        <f t="shared" si="195"/>
        <v>50901.5</v>
      </c>
      <c r="AP58" s="48">
        <f t="shared" si="195"/>
        <v>51084</v>
      </c>
      <c r="AQ58" s="48">
        <f t="shared" si="195"/>
        <v>51266.5</v>
      </c>
      <c r="AR58" s="48">
        <f t="shared" si="195"/>
        <v>51449</v>
      </c>
      <c r="AS58" s="48">
        <f t="shared" si="195"/>
        <v>51631.5</v>
      </c>
      <c r="AT58" s="48">
        <f t="shared" si="195"/>
        <v>51814</v>
      </c>
      <c r="AU58" s="48">
        <f t="shared" si="195"/>
        <v>51996.5</v>
      </c>
      <c r="AV58" s="48">
        <f t="shared" si="195"/>
        <v>52179</v>
      </c>
      <c r="AW58" s="48">
        <f t="shared" si="195"/>
        <v>52361.5</v>
      </c>
      <c r="AX58" s="48">
        <f t="shared" si="195"/>
        <v>52544</v>
      </c>
      <c r="AY58" s="48">
        <f t="shared" si="195"/>
        <v>52726.5</v>
      </c>
      <c r="AZ58" s="48">
        <f t="shared" si="195"/>
        <v>52909</v>
      </c>
      <c r="BA58" s="48">
        <f t="shared" si="195"/>
        <v>53091.5</v>
      </c>
      <c r="BB58" s="48">
        <f t="shared" si="195"/>
        <v>53274</v>
      </c>
      <c r="BC58" s="48">
        <f t="shared" si="195"/>
        <v>53456.5</v>
      </c>
      <c r="BD58" s="48">
        <f t="shared" si="195"/>
        <v>53639</v>
      </c>
      <c r="BE58" s="48">
        <f t="shared" si="195"/>
        <v>53821.5</v>
      </c>
      <c r="BF58" s="48">
        <f t="shared" si="195"/>
        <v>54004</v>
      </c>
      <c r="BG58" s="48">
        <f t="shared" si="195"/>
        <v>54186.5</v>
      </c>
      <c r="BH58" s="48">
        <f t="shared" si="195"/>
        <v>54369</v>
      </c>
      <c r="BI58" s="48">
        <f t="shared" si="195"/>
        <v>54551.5</v>
      </c>
      <c r="BJ58" s="48">
        <f t="shared" si="195"/>
        <v>54734</v>
      </c>
      <c r="BK58" s="48">
        <f t="shared" si="195"/>
        <v>54916.5</v>
      </c>
      <c r="BL58" s="48">
        <f t="shared" si="195"/>
        <v>55099</v>
      </c>
      <c r="BM58" s="48">
        <f t="shared" si="195"/>
        <v>55281.5</v>
      </c>
      <c r="BN58" s="48">
        <f t="shared" si="195"/>
        <v>55464</v>
      </c>
      <c r="BO58" s="48">
        <f t="shared" ref="BO58:CB58" si="196">BN58+IF($G16=1,365,182.5)</f>
        <v>55646.5</v>
      </c>
      <c r="BP58" s="48">
        <f t="shared" si="196"/>
        <v>55829</v>
      </c>
      <c r="BQ58" s="48">
        <f t="shared" si="196"/>
        <v>56011.5</v>
      </c>
      <c r="BR58" s="48">
        <f t="shared" si="196"/>
        <v>56194</v>
      </c>
      <c r="BS58" s="48">
        <f t="shared" si="196"/>
        <v>56376.5</v>
      </c>
      <c r="BT58" s="48">
        <f t="shared" si="196"/>
        <v>56559</v>
      </c>
      <c r="BU58" s="48">
        <f t="shared" si="196"/>
        <v>56741.5</v>
      </c>
      <c r="BV58" s="48">
        <f t="shared" si="196"/>
        <v>56924</v>
      </c>
      <c r="BW58" s="48">
        <f t="shared" si="196"/>
        <v>57106.5</v>
      </c>
      <c r="BX58" s="48">
        <f t="shared" si="196"/>
        <v>57289</v>
      </c>
      <c r="BY58" s="48">
        <f t="shared" si="196"/>
        <v>57471.5</v>
      </c>
      <c r="BZ58" s="48">
        <f t="shared" si="196"/>
        <v>57654</v>
      </c>
      <c r="CA58" s="48">
        <f t="shared" si="196"/>
        <v>57836.5</v>
      </c>
      <c r="CB58" s="49">
        <f t="shared" si="196"/>
        <v>58019</v>
      </c>
    </row>
    <row r="59" spans="1:201">
      <c r="A59" s="351" t="s">
        <v>18</v>
      </c>
      <c r="B59" s="352">
        <f>(IF(B58=F16,100,0)+IF(G16=1,1,0.5)*J16*100)*IF(ISBLANK(F16)=TRUE,0,1)</f>
        <v>3.125</v>
      </c>
      <c r="C59" s="353">
        <f>IF(C58&gt;$F16+1,0,1)*(IF(D59=0,100,0)+IF($G16=1,1,0.5)*$J16*100)</f>
        <v>3.125</v>
      </c>
      <c r="D59" s="353">
        <f t="shared" ref="D59:BO59" si="197">IF(D58&gt;$F16+1,0,1)*(IF(E59=0,100,0)+IF($G16=1,1,0.5)*$J16*100)</f>
        <v>3.125</v>
      </c>
      <c r="E59" s="353">
        <f t="shared" si="197"/>
        <v>3.125</v>
      </c>
      <c r="F59" s="353">
        <f t="shared" si="197"/>
        <v>3.125</v>
      </c>
      <c r="G59" s="353">
        <f t="shared" si="197"/>
        <v>3.125</v>
      </c>
      <c r="H59" s="353">
        <f t="shared" si="197"/>
        <v>3.125</v>
      </c>
      <c r="I59" s="353">
        <f t="shared" si="197"/>
        <v>3.125</v>
      </c>
      <c r="J59" s="353">
        <f t="shared" si="197"/>
        <v>3.125</v>
      </c>
      <c r="K59" s="353">
        <f t="shared" si="197"/>
        <v>3.125</v>
      </c>
      <c r="L59" s="353">
        <f t="shared" si="197"/>
        <v>3.125</v>
      </c>
      <c r="M59" s="353">
        <f t="shared" si="197"/>
        <v>3.125</v>
      </c>
      <c r="N59" s="353">
        <f t="shared" si="197"/>
        <v>3.125</v>
      </c>
      <c r="O59" s="353">
        <f t="shared" si="197"/>
        <v>3.125</v>
      </c>
      <c r="P59" s="353">
        <f t="shared" si="197"/>
        <v>3.125</v>
      </c>
      <c r="Q59" s="353">
        <f t="shared" si="197"/>
        <v>3.125</v>
      </c>
      <c r="R59" s="353">
        <f t="shared" si="197"/>
        <v>3.125</v>
      </c>
      <c r="S59" s="353">
        <f t="shared" si="197"/>
        <v>3.125</v>
      </c>
      <c r="T59" s="353">
        <f t="shared" si="197"/>
        <v>3.125</v>
      </c>
      <c r="U59" s="353">
        <f t="shared" si="197"/>
        <v>3.125</v>
      </c>
      <c r="V59" s="353">
        <f t="shared" si="197"/>
        <v>3.125</v>
      </c>
      <c r="W59" s="353">
        <f t="shared" si="197"/>
        <v>103.125</v>
      </c>
      <c r="X59" s="353">
        <f t="shared" si="197"/>
        <v>0</v>
      </c>
      <c r="Y59" s="353">
        <f t="shared" si="197"/>
        <v>0</v>
      </c>
      <c r="Z59" s="353">
        <f t="shared" si="197"/>
        <v>0</v>
      </c>
      <c r="AA59" s="353">
        <f t="shared" si="197"/>
        <v>0</v>
      </c>
      <c r="AB59" s="353">
        <f t="shared" si="197"/>
        <v>0</v>
      </c>
      <c r="AC59" s="353">
        <f t="shared" si="197"/>
        <v>0</v>
      </c>
      <c r="AD59" s="353">
        <f t="shared" si="197"/>
        <v>0</v>
      </c>
      <c r="AE59" s="353">
        <f t="shared" si="197"/>
        <v>0</v>
      </c>
      <c r="AF59" s="353">
        <f t="shared" si="197"/>
        <v>0</v>
      </c>
      <c r="AG59" s="353">
        <f t="shared" si="197"/>
        <v>0</v>
      </c>
      <c r="AH59" s="353">
        <f t="shared" si="197"/>
        <v>0</v>
      </c>
      <c r="AI59" s="353">
        <f t="shared" si="197"/>
        <v>0</v>
      </c>
      <c r="AJ59" s="353">
        <f t="shared" si="197"/>
        <v>0</v>
      </c>
      <c r="AK59" s="353">
        <f t="shared" si="197"/>
        <v>0</v>
      </c>
      <c r="AL59" s="353">
        <f t="shared" si="197"/>
        <v>0</v>
      </c>
      <c r="AM59" s="353">
        <f t="shared" si="197"/>
        <v>0</v>
      </c>
      <c r="AN59" s="353">
        <f t="shared" si="197"/>
        <v>0</v>
      </c>
      <c r="AO59" s="353">
        <f t="shared" si="197"/>
        <v>0</v>
      </c>
      <c r="AP59" s="353">
        <f t="shared" si="197"/>
        <v>0</v>
      </c>
      <c r="AQ59" s="353">
        <f t="shared" si="197"/>
        <v>0</v>
      </c>
      <c r="AR59" s="353">
        <f t="shared" si="197"/>
        <v>0</v>
      </c>
      <c r="AS59" s="353">
        <f t="shared" si="197"/>
        <v>0</v>
      </c>
      <c r="AT59" s="353">
        <f t="shared" si="197"/>
        <v>0</v>
      </c>
      <c r="AU59" s="353">
        <f t="shared" si="197"/>
        <v>0</v>
      </c>
      <c r="AV59" s="353">
        <f t="shared" si="197"/>
        <v>0</v>
      </c>
      <c r="AW59" s="353">
        <f t="shared" si="197"/>
        <v>0</v>
      </c>
      <c r="AX59" s="353">
        <f t="shared" si="197"/>
        <v>0</v>
      </c>
      <c r="AY59" s="353">
        <f t="shared" si="197"/>
        <v>0</v>
      </c>
      <c r="AZ59" s="353">
        <f t="shared" si="197"/>
        <v>0</v>
      </c>
      <c r="BA59" s="353">
        <f t="shared" si="197"/>
        <v>0</v>
      </c>
      <c r="BB59" s="353">
        <f t="shared" si="197"/>
        <v>0</v>
      </c>
      <c r="BC59" s="353">
        <f t="shared" si="197"/>
        <v>0</v>
      </c>
      <c r="BD59" s="353">
        <f t="shared" si="197"/>
        <v>0</v>
      </c>
      <c r="BE59" s="353">
        <f t="shared" si="197"/>
        <v>0</v>
      </c>
      <c r="BF59" s="353">
        <f t="shared" si="197"/>
        <v>0</v>
      </c>
      <c r="BG59" s="353">
        <f t="shared" si="197"/>
        <v>0</v>
      </c>
      <c r="BH59" s="353">
        <f t="shared" si="197"/>
        <v>0</v>
      </c>
      <c r="BI59" s="353">
        <f t="shared" si="197"/>
        <v>0</v>
      </c>
      <c r="BJ59" s="353">
        <f t="shared" si="197"/>
        <v>0</v>
      </c>
      <c r="BK59" s="353">
        <f t="shared" si="197"/>
        <v>0</v>
      </c>
      <c r="BL59" s="353">
        <f t="shared" si="197"/>
        <v>0</v>
      </c>
      <c r="BM59" s="353">
        <f t="shared" si="197"/>
        <v>0</v>
      </c>
      <c r="BN59" s="353">
        <f t="shared" si="197"/>
        <v>0</v>
      </c>
      <c r="BO59" s="353">
        <f t="shared" si="197"/>
        <v>0</v>
      </c>
      <c r="BP59" s="353">
        <f t="shared" ref="BP59:CA59" si="198">IF(BP58&gt;$F16+1,0,1)*(IF(BQ59=0,100,0)+IF($G16=1,1,0.5)*$J16*100)</f>
        <v>0</v>
      </c>
      <c r="BQ59" s="353">
        <f t="shared" si="198"/>
        <v>0</v>
      </c>
      <c r="BR59" s="353">
        <f t="shared" si="198"/>
        <v>0</v>
      </c>
      <c r="BS59" s="353">
        <f t="shared" si="198"/>
        <v>0</v>
      </c>
      <c r="BT59" s="353">
        <f t="shared" si="198"/>
        <v>0</v>
      </c>
      <c r="BU59" s="353">
        <f t="shared" si="198"/>
        <v>0</v>
      </c>
      <c r="BV59" s="353">
        <f t="shared" si="198"/>
        <v>0</v>
      </c>
      <c r="BW59" s="353">
        <f t="shared" si="198"/>
        <v>0</v>
      </c>
      <c r="BX59" s="353">
        <f t="shared" si="198"/>
        <v>0</v>
      </c>
      <c r="BY59" s="353">
        <f t="shared" si="198"/>
        <v>0</v>
      </c>
      <c r="BZ59" s="353">
        <f t="shared" si="198"/>
        <v>0</v>
      </c>
      <c r="CA59" s="353">
        <f t="shared" si="198"/>
        <v>0</v>
      </c>
      <c r="CB59" s="354">
        <f>IF(CB58&gt;$F16+1,0,1)*(IF(CC59=0,100,0)+IF($G16=1,1,0.5)*$J16*100)</f>
        <v>0</v>
      </c>
      <c r="CC59" s="321"/>
      <c r="CD59" s="321"/>
      <c r="CE59" s="321"/>
      <c r="CF59" s="321"/>
      <c r="CG59" s="321"/>
      <c r="CH59" s="321"/>
      <c r="CI59" s="321"/>
      <c r="CJ59" s="321"/>
      <c r="CK59" s="321"/>
      <c r="CL59" s="321"/>
      <c r="CM59" s="321"/>
      <c r="CN59" s="321"/>
      <c r="CO59" s="321"/>
      <c r="CP59" s="321"/>
      <c r="CQ59" s="321"/>
      <c r="CR59" s="321"/>
      <c r="CS59" s="321"/>
      <c r="CT59" s="321"/>
      <c r="CU59" s="321"/>
      <c r="CV59" s="321"/>
      <c r="CW59" s="321"/>
      <c r="CX59" s="321"/>
      <c r="CY59" s="321"/>
      <c r="CZ59" s="321"/>
      <c r="DA59" s="321"/>
      <c r="DB59" s="321"/>
      <c r="DC59" s="321"/>
      <c r="DD59" s="321"/>
      <c r="DE59" s="321"/>
      <c r="DF59" s="321"/>
      <c r="DG59" s="321"/>
      <c r="DH59" s="321"/>
      <c r="DI59" s="321"/>
      <c r="DJ59" s="321"/>
      <c r="DK59" s="321"/>
      <c r="DL59" s="321"/>
      <c r="DM59" s="321"/>
      <c r="DN59" s="321"/>
      <c r="DO59" s="321"/>
      <c r="DP59" s="321"/>
      <c r="DQ59" s="321"/>
      <c r="DR59" s="321"/>
      <c r="DS59" s="321"/>
      <c r="DT59" s="321"/>
      <c r="DU59" s="321"/>
      <c r="DV59" s="321"/>
      <c r="DW59" s="321"/>
      <c r="DX59" s="321"/>
      <c r="DY59" s="321"/>
      <c r="DZ59" s="321"/>
      <c r="EA59" s="321"/>
      <c r="EB59" s="321"/>
      <c r="EC59" s="321"/>
      <c r="ED59" s="321"/>
      <c r="EE59" s="321"/>
      <c r="EF59" s="321"/>
      <c r="EG59" s="321"/>
      <c r="EH59" s="321"/>
      <c r="EI59" s="321"/>
      <c r="EJ59" s="321"/>
      <c r="EK59" s="321"/>
      <c r="EL59" s="321"/>
      <c r="EM59" s="321"/>
      <c r="EN59" s="321"/>
      <c r="EO59" s="321"/>
      <c r="EP59" s="321"/>
      <c r="EQ59" s="321"/>
      <c r="ER59" s="321"/>
      <c r="ES59" s="321"/>
      <c r="ET59" s="321"/>
      <c r="EU59" s="321"/>
      <c r="EV59" s="321"/>
      <c r="EW59" s="321"/>
      <c r="EX59" s="321"/>
      <c r="EY59" s="321"/>
      <c r="EZ59" s="321"/>
      <c r="FA59" s="321"/>
      <c r="FB59" s="321"/>
      <c r="FC59" s="321"/>
      <c r="FD59" s="321"/>
      <c r="FE59" s="321"/>
      <c r="FF59" s="321"/>
      <c r="FG59" s="321"/>
      <c r="FH59" s="321"/>
      <c r="FI59" s="321"/>
      <c r="FJ59" s="321"/>
      <c r="FK59" s="321"/>
      <c r="FL59" s="321"/>
      <c r="FM59" s="321"/>
      <c r="FN59" s="321"/>
      <c r="FO59" s="321"/>
      <c r="FP59" s="321"/>
      <c r="FQ59" s="321"/>
      <c r="FR59" s="321"/>
      <c r="FS59" s="321"/>
      <c r="FT59" s="321"/>
      <c r="FU59" s="321"/>
      <c r="FV59" s="321"/>
      <c r="FW59" s="321"/>
      <c r="FX59" s="321"/>
      <c r="FY59" s="321"/>
      <c r="FZ59" s="321"/>
      <c r="GA59" s="321"/>
      <c r="GB59" s="321"/>
      <c r="GC59" s="321"/>
      <c r="GD59" s="321"/>
      <c r="GE59" s="321"/>
      <c r="GF59" s="321"/>
      <c r="GG59" s="321"/>
      <c r="GH59" s="321"/>
      <c r="GI59" s="321"/>
      <c r="GJ59" s="321"/>
      <c r="GK59" s="321"/>
      <c r="GL59" s="321"/>
      <c r="GM59" s="321"/>
      <c r="GN59" s="321"/>
      <c r="GO59" s="321"/>
      <c r="GP59" s="321"/>
      <c r="GQ59" s="321"/>
      <c r="GR59" s="321"/>
      <c r="GS59" s="321"/>
    </row>
    <row r="60" spans="1:201" s="437" customFormat="1">
      <c r="A60" s="448" t="s">
        <v>49</v>
      </c>
      <c r="B60" s="79" t="str">
        <f>IF(E17=0,F17,E17)</f>
        <v>8/15/2019</v>
      </c>
      <c r="C60" s="80">
        <f t="shared" ref="C60:AH60" si="199">B60+IF($G17=1,365,182.5)</f>
        <v>43874.5</v>
      </c>
      <c r="D60" s="80">
        <f t="shared" si="199"/>
        <v>44057</v>
      </c>
      <c r="E60" s="80">
        <f t="shared" si="199"/>
        <v>44239.5</v>
      </c>
      <c r="F60" s="80">
        <f t="shared" si="199"/>
        <v>44422</v>
      </c>
      <c r="G60" s="80">
        <f t="shared" si="199"/>
        <v>44604.5</v>
      </c>
      <c r="H60" s="80">
        <f t="shared" si="199"/>
        <v>44787</v>
      </c>
      <c r="I60" s="80">
        <f t="shared" si="199"/>
        <v>44969.5</v>
      </c>
      <c r="J60" s="80">
        <f t="shared" si="199"/>
        <v>45152</v>
      </c>
      <c r="K60" s="80">
        <f t="shared" si="199"/>
        <v>45334.5</v>
      </c>
      <c r="L60" s="80">
        <f t="shared" si="199"/>
        <v>45517</v>
      </c>
      <c r="M60" s="80">
        <f t="shared" si="199"/>
        <v>45699.5</v>
      </c>
      <c r="N60" s="80">
        <f t="shared" si="199"/>
        <v>45882</v>
      </c>
      <c r="O60" s="80">
        <f t="shared" si="199"/>
        <v>46064.5</v>
      </c>
      <c r="P60" s="80">
        <f t="shared" si="199"/>
        <v>46247</v>
      </c>
      <c r="Q60" s="80">
        <f t="shared" si="199"/>
        <v>46429.5</v>
      </c>
      <c r="R60" s="80">
        <f t="shared" si="199"/>
        <v>46612</v>
      </c>
      <c r="S60" s="80">
        <f t="shared" si="199"/>
        <v>46794.5</v>
      </c>
      <c r="T60" s="80">
        <f t="shared" si="199"/>
        <v>46977</v>
      </c>
      <c r="U60" s="80">
        <f t="shared" si="199"/>
        <v>47159.5</v>
      </c>
      <c r="V60" s="80">
        <f t="shared" si="199"/>
        <v>47342</v>
      </c>
      <c r="W60" s="80">
        <f t="shared" si="199"/>
        <v>47524.5</v>
      </c>
      <c r="X60" s="80">
        <f t="shared" si="199"/>
        <v>47707</v>
      </c>
      <c r="Y60" s="80">
        <f t="shared" si="199"/>
        <v>47889.5</v>
      </c>
      <c r="Z60" s="80">
        <f t="shared" si="199"/>
        <v>48072</v>
      </c>
      <c r="AA60" s="80">
        <f t="shared" si="199"/>
        <v>48254.5</v>
      </c>
      <c r="AB60" s="80">
        <f t="shared" si="199"/>
        <v>48437</v>
      </c>
      <c r="AC60" s="80">
        <f t="shared" si="199"/>
        <v>48619.5</v>
      </c>
      <c r="AD60" s="80">
        <f t="shared" si="199"/>
        <v>48802</v>
      </c>
      <c r="AE60" s="80">
        <f t="shared" si="199"/>
        <v>48984.5</v>
      </c>
      <c r="AF60" s="80">
        <f t="shared" si="199"/>
        <v>49167</v>
      </c>
      <c r="AG60" s="80">
        <f t="shared" si="199"/>
        <v>49349.5</v>
      </c>
      <c r="AH60" s="80">
        <f t="shared" si="199"/>
        <v>49532</v>
      </c>
      <c r="AI60" s="80">
        <f t="shared" ref="AI60:BN60" si="200">AH60+IF($G17=1,365,182.5)</f>
        <v>49714.5</v>
      </c>
      <c r="AJ60" s="80">
        <f t="shared" si="200"/>
        <v>49897</v>
      </c>
      <c r="AK60" s="80">
        <f t="shared" si="200"/>
        <v>50079.5</v>
      </c>
      <c r="AL60" s="80">
        <f t="shared" si="200"/>
        <v>50262</v>
      </c>
      <c r="AM60" s="80">
        <f t="shared" si="200"/>
        <v>50444.5</v>
      </c>
      <c r="AN60" s="80">
        <f t="shared" si="200"/>
        <v>50627</v>
      </c>
      <c r="AO60" s="80">
        <f t="shared" si="200"/>
        <v>50809.5</v>
      </c>
      <c r="AP60" s="80">
        <f t="shared" si="200"/>
        <v>50992</v>
      </c>
      <c r="AQ60" s="80">
        <f t="shared" si="200"/>
        <v>51174.5</v>
      </c>
      <c r="AR60" s="80">
        <f t="shared" si="200"/>
        <v>51357</v>
      </c>
      <c r="AS60" s="80">
        <f t="shared" si="200"/>
        <v>51539.5</v>
      </c>
      <c r="AT60" s="80">
        <f t="shared" si="200"/>
        <v>51722</v>
      </c>
      <c r="AU60" s="80">
        <f t="shared" si="200"/>
        <v>51904.5</v>
      </c>
      <c r="AV60" s="80">
        <f t="shared" si="200"/>
        <v>52087</v>
      </c>
      <c r="AW60" s="80">
        <f t="shared" si="200"/>
        <v>52269.5</v>
      </c>
      <c r="AX60" s="80">
        <f t="shared" si="200"/>
        <v>52452</v>
      </c>
      <c r="AY60" s="80">
        <f t="shared" si="200"/>
        <v>52634.5</v>
      </c>
      <c r="AZ60" s="80">
        <f t="shared" si="200"/>
        <v>52817</v>
      </c>
      <c r="BA60" s="80">
        <f t="shared" si="200"/>
        <v>52999.5</v>
      </c>
      <c r="BB60" s="80">
        <f t="shared" si="200"/>
        <v>53182</v>
      </c>
      <c r="BC60" s="80">
        <f t="shared" si="200"/>
        <v>53364.5</v>
      </c>
      <c r="BD60" s="80">
        <f t="shared" si="200"/>
        <v>53547</v>
      </c>
      <c r="BE60" s="80">
        <f t="shared" si="200"/>
        <v>53729.5</v>
      </c>
      <c r="BF60" s="80">
        <f t="shared" si="200"/>
        <v>53912</v>
      </c>
      <c r="BG60" s="80">
        <f t="shared" si="200"/>
        <v>54094.5</v>
      </c>
      <c r="BH60" s="80">
        <f t="shared" si="200"/>
        <v>54277</v>
      </c>
      <c r="BI60" s="80">
        <f t="shared" si="200"/>
        <v>54459.5</v>
      </c>
      <c r="BJ60" s="80">
        <f t="shared" si="200"/>
        <v>54642</v>
      </c>
      <c r="BK60" s="80">
        <f t="shared" si="200"/>
        <v>54824.5</v>
      </c>
      <c r="BL60" s="80">
        <f t="shared" si="200"/>
        <v>55007</v>
      </c>
      <c r="BM60" s="80">
        <f t="shared" si="200"/>
        <v>55189.5</v>
      </c>
      <c r="BN60" s="80">
        <f t="shared" si="200"/>
        <v>55372</v>
      </c>
      <c r="BO60" s="80">
        <f t="shared" ref="BO60:CB60" si="201">BN60+IF($G17=1,365,182.5)</f>
        <v>55554.5</v>
      </c>
      <c r="BP60" s="80">
        <f t="shared" si="201"/>
        <v>55737</v>
      </c>
      <c r="BQ60" s="80">
        <f t="shared" si="201"/>
        <v>55919.5</v>
      </c>
      <c r="BR60" s="80">
        <f t="shared" si="201"/>
        <v>56102</v>
      </c>
      <c r="BS60" s="80">
        <f t="shared" si="201"/>
        <v>56284.5</v>
      </c>
      <c r="BT60" s="80">
        <f t="shared" si="201"/>
        <v>56467</v>
      </c>
      <c r="BU60" s="80">
        <f t="shared" si="201"/>
        <v>56649.5</v>
      </c>
      <c r="BV60" s="80">
        <f t="shared" si="201"/>
        <v>56832</v>
      </c>
      <c r="BW60" s="80">
        <f t="shared" si="201"/>
        <v>57014.5</v>
      </c>
      <c r="BX60" s="80">
        <f t="shared" si="201"/>
        <v>57197</v>
      </c>
      <c r="BY60" s="80">
        <f t="shared" si="201"/>
        <v>57379.5</v>
      </c>
      <c r="BZ60" s="80">
        <f t="shared" si="201"/>
        <v>57562</v>
      </c>
      <c r="CA60" s="80">
        <f t="shared" si="201"/>
        <v>57744.5</v>
      </c>
      <c r="CB60" s="81">
        <f t="shared" si="201"/>
        <v>57927</v>
      </c>
    </row>
    <row r="61" spans="1:201">
      <c r="A61" s="384" t="s">
        <v>33</v>
      </c>
      <c r="B61" s="385">
        <f>(IF(B60=F17,100,0)+IF(G17=1,1,0.5)*J17*100)*IF(ISBLANK(F17)=TRUE,0,1)</f>
        <v>2.6875</v>
      </c>
      <c r="C61" s="386">
        <f>IF(C60&gt;$F17+1,0,1)*(IF(D61=0,100,0)+IF($G17=1,1,0.5)*$J17*100)</f>
        <v>2.6875</v>
      </c>
      <c r="D61" s="386">
        <f t="shared" ref="D61:BO61" si="202">IF(D60&gt;$F17+1,0,1)*(IF(E61=0,100,0)+IF($G17=1,1,0.5)*$J17*100)</f>
        <v>2.6875</v>
      </c>
      <c r="E61" s="386">
        <f t="shared" si="202"/>
        <v>2.6875</v>
      </c>
      <c r="F61" s="386">
        <f t="shared" si="202"/>
        <v>2.6875</v>
      </c>
      <c r="G61" s="386">
        <f t="shared" si="202"/>
        <v>2.6875</v>
      </c>
      <c r="H61" s="386">
        <f t="shared" si="202"/>
        <v>2.6875</v>
      </c>
      <c r="I61" s="386">
        <f t="shared" si="202"/>
        <v>2.6875</v>
      </c>
      <c r="J61" s="386">
        <f t="shared" si="202"/>
        <v>2.6875</v>
      </c>
      <c r="K61" s="386">
        <f t="shared" si="202"/>
        <v>2.6875</v>
      </c>
      <c r="L61" s="386">
        <f t="shared" si="202"/>
        <v>2.6875</v>
      </c>
      <c r="M61" s="386">
        <f t="shared" si="202"/>
        <v>2.6875</v>
      </c>
      <c r="N61" s="386">
        <f t="shared" si="202"/>
        <v>2.6875</v>
      </c>
      <c r="O61" s="386">
        <f t="shared" si="202"/>
        <v>2.6875</v>
      </c>
      <c r="P61" s="386">
        <f t="shared" si="202"/>
        <v>2.6875</v>
      </c>
      <c r="Q61" s="386">
        <f t="shared" si="202"/>
        <v>2.6875</v>
      </c>
      <c r="R61" s="386">
        <f t="shared" si="202"/>
        <v>2.6875</v>
      </c>
      <c r="S61" s="386">
        <f t="shared" si="202"/>
        <v>2.6875</v>
      </c>
      <c r="T61" s="386">
        <f t="shared" si="202"/>
        <v>2.6875</v>
      </c>
      <c r="U61" s="386">
        <f t="shared" si="202"/>
        <v>2.6875</v>
      </c>
      <c r="V61" s="386">
        <f t="shared" si="202"/>
        <v>2.6875</v>
      </c>
      <c r="W61" s="386">
        <f t="shared" si="202"/>
        <v>2.6875</v>
      </c>
      <c r="X61" s="386">
        <f t="shared" si="202"/>
        <v>2.6875</v>
      </c>
      <c r="Y61" s="386">
        <f t="shared" si="202"/>
        <v>102.6875</v>
      </c>
      <c r="Z61" s="386">
        <f t="shared" si="202"/>
        <v>0</v>
      </c>
      <c r="AA61" s="386">
        <f t="shared" si="202"/>
        <v>0</v>
      </c>
      <c r="AB61" s="386">
        <f t="shared" si="202"/>
        <v>0</v>
      </c>
      <c r="AC61" s="386">
        <f t="shared" si="202"/>
        <v>0</v>
      </c>
      <c r="AD61" s="386">
        <f t="shared" si="202"/>
        <v>0</v>
      </c>
      <c r="AE61" s="386">
        <f t="shared" si="202"/>
        <v>0</v>
      </c>
      <c r="AF61" s="386">
        <f t="shared" si="202"/>
        <v>0</v>
      </c>
      <c r="AG61" s="386">
        <f t="shared" si="202"/>
        <v>0</v>
      </c>
      <c r="AH61" s="386">
        <f t="shared" si="202"/>
        <v>0</v>
      </c>
      <c r="AI61" s="386">
        <f t="shared" si="202"/>
        <v>0</v>
      </c>
      <c r="AJ61" s="386">
        <f t="shared" si="202"/>
        <v>0</v>
      </c>
      <c r="AK61" s="386">
        <f t="shared" si="202"/>
        <v>0</v>
      </c>
      <c r="AL61" s="386">
        <f t="shared" si="202"/>
        <v>0</v>
      </c>
      <c r="AM61" s="386">
        <f t="shared" si="202"/>
        <v>0</v>
      </c>
      <c r="AN61" s="386">
        <f t="shared" si="202"/>
        <v>0</v>
      </c>
      <c r="AO61" s="386">
        <f t="shared" si="202"/>
        <v>0</v>
      </c>
      <c r="AP61" s="386">
        <f t="shared" si="202"/>
        <v>0</v>
      </c>
      <c r="AQ61" s="386">
        <f t="shared" si="202"/>
        <v>0</v>
      </c>
      <c r="AR61" s="386">
        <f t="shared" si="202"/>
        <v>0</v>
      </c>
      <c r="AS61" s="386">
        <f t="shared" si="202"/>
        <v>0</v>
      </c>
      <c r="AT61" s="386">
        <f t="shared" si="202"/>
        <v>0</v>
      </c>
      <c r="AU61" s="386">
        <f t="shared" si="202"/>
        <v>0</v>
      </c>
      <c r="AV61" s="386">
        <f t="shared" si="202"/>
        <v>0</v>
      </c>
      <c r="AW61" s="386">
        <f t="shared" si="202"/>
        <v>0</v>
      </c>
      <c r="AX61" s="386">
        <f t="shared" si="202"/>
        <v>0</v>
      </c>
      <c r="AY61" s="386">
        <f t="shared" si="202"/>
        <v>0</v>
      </c>
      <c r="AZ61" s="386">
        <f t="shared" si="202"/>
        <v>0</v>
      </c>
      <c r="BA61" s="386">
        <f t="shared" si="202"/>
        <v>0</v>
      </c>
      <c r="BB61" s="386">
        <f t="shared" si="202"/>
        <v>0</v>
      </c>
      <c r="BC61" s="386">
        <f t="shared" si="202"/>
        <v>0</v>
      </c>
      <c r="BD61" s="386">
        <f t="shared" si="202"/>
        <v>0</v>
      </c>
      <c r="BE61" s="386">
        <f t="shared" si="202"/>
        <v>0</v>
      </c>
      <c r="BF61" s="386">
        <f t="shared" si="202"/>
        <v>0</v>
      </c>
      <c r="BG61" s="386">
        <f t="shared" si="202"/>
        <v>0</v>
      </c>
      <c r="BH61" s="386">
        <f t="shared" si="202"/>
        <v>0</v>
      </c>
      <c r="BI61" s="386">
        <f t="shared" si="202"/>
        <v>0</v>
      </c>
      <c r="BJ61" s="386">
        <f t="shared" si="202"/>
        <v>0</v>
      </c>
      <c r="BK61" s="386">
        <f t="shared" si="202"/>
        <v>0</v>
      </c>
      <c r="BL61" s="386">
        <f t="shared" si="202"/>
        <v>0</v>
      </c>
      <c r="BM61" s="386">
        <f t="shared" si="202"/>
        <v>0</v>
      </c>
      <c r="BN61" s="386">
        <f t="shared" si="202"/>
        <v>0</v>
      </c>
      <c r="BO61" s="386">
        <f t="shared" si="202"/>
        <v>0</v>
      </c>
      <c r="BP61" s="386">
        <f t="shared" ref="BP61:CA61" si="203">IF(BP60&gt;$F17+1,0,1)*(IF(BQ61=0,100,0)+IF($G17=1,1,0.5)*$J17*100)</f>
        <v>0</v>
      </c>
      <c r="BQ61" s="386">
        <f t="shared" si="203"/>
        <v>0</v>
      </c>
      <c r="BR61" s="386">
        <f t="shared" si="203"/>
        <v>0</v>
      </c>
      <c r="BS61" s="386">
        <f t="shared" si="203"/>
        <v>0</v>
      </c>
      <c r="BT61" s="386">
        <f t="shared" si="203"/>
        <v>0</v>
      </c>
      <c r="BU61" s="386">
        <f t="shared" si="203"/>
        <v>0</v>
      </c>
      <c r="BV61" s="386">
        <f t="shared" si="203"/>
        <v>0</v>
      </c>
      <c r="BW61" s="386">
        <f t="shared" si="203"/>
        <v>0</v>
      </c>
      <c r="BX61" s="386">
        <f t="shared" si="203"/>
        <v>0</v>
      </c>
      <c r="BY61" s="386">
        <f t="shared" si="203"/>
        <v>0</v>
      </c>
      <c r="BZ61" s="386">
        <f t="shared" si="203"/>
        <v>0</v>
      </c>
      <c r="CA61" s="386">
        <f t="shared" si="203"/>
        <v>0</v>
      </c>
      <c r="CB61" s="387">
        <f>IF(CB60&gt;$F17+1,0,1)*(IF(CC61=0,100,0)+IF($G17=1,1,0.5)*$J17*100)</f>
        <v>0</v>
      </c>
      <c r="CC61" s="321"/>
      <c r="CD61" s="321"/>
      <c r="CE61" s="321"/>
      <c r="CF61" s="321"/>
      <c r="CG61" s="321"/>
      <c r="CH61" s="321"/>
      <c r="CI61" s="321"/>
      <c r="CJ61" s="321"/>
      <c r="CK61" s="321"/>
      <c r="CL61" s="321"/>
      <c r="CM61" s="321"/>
      <c r="CN61" s="321"/>
      <c r="CO61" s="321"/>
      <c r="CP61" s="321"/>
      <c r="CQ61" s="321"/>
      <c r="CR61" s="321"/>
      <c r="CS61" s="321"/>
      <c r="CT61" s="321"/>
      <c r="CU61" s="321"/>
      <c r="CV61" s="321"/>
      <c r="CW61" s="321"/>
      <c r="CX61" s="321"/>
      <c r="CY61" s="321"/>
      <c r="CZ61" s="321"/>
      <c r="DA61" s="321"/>
      <c r="DB61" s="321"/>
      <c r="DC61" s="321"/>
      <c r="DD61" s="321"/>
      <c r="DE61" s="321"/>
      <c r="DF61" s="321"/>
      <c r="DG61" s="321"/>
      <c r="DH61" s="321"/>
      <c r="DI61" s="321"/>
      <c r="DJ61" s="321"/>
      <c r="DK61" s="321"/>
      <c r="DL61" s="321"/>
      <c r="DM61" s="321"/>
      <c r="DN61" s="321"/>
      <c r="DO61" s="321"/>
      <c r="DP61" s="321"/>
      <c r="DQ61" s="321"/>
      <c r="DR61" s="321"/>
      <c r="DS61" s="321"/>
      <c r="DT61" s="321"/>
      <c r="DU61" s="321"/>
      <c r="DV61" s="321"/>
      <c r="DW61" s="321"/>
      <c r="DX61" s="321"/>
      <c r="DY61" s="321"/>
      <c r="DZ61" s="321"/>
      <c r="EA61" s="321"/>
      <c r="EB61" s="321"/>
      <c r="EC61" s="321"/>
      <c r="ED61" s="321"/>
      <c r="EE61" s="321"/>
      <c r="EF61" s="321"/>
      <c r="EG61" s="321"/>
      <c r="EH61" s="321"/>
      <c r="EI61" s="321"/>
      <c r="EJ61" s="321"/>
      <c r="EK61" s="321"/>
      <c r="EL61" s="321"/>
      <c r="EM61" s="321"/>
      <c r="EN61" s="321"/>
      <c r="EO61" s="321"/>
      <c r="EP61" s="321"/>
      <c r="EQ61" s="321"/>
      <c r="ER61" s="321"/>
      <c r="ES61" s="321"/>
      <c r="ET61" s="321"/>
      <c r="EU61" s="321"/>
      <c r="EV61" s="321"/>
      <c r="EW61" s="321"/>
      <c r="EX61" s="321"/>
      <c r="EY61" s="321"/>
      <c r="EZ61" s="321"/>
      <c r="FA61" s="321"/>
      <c r="FB61" s="321"/>
      <c r="FC61" s="321"/>
      <c r="FD61" s="321"/>
      <c r="FE61" s="321"/>
      <c r="FF61" s="321"/>
      <c r="FG61" s="321"/>
      <c r="FH61" s="321"/>
      <c r="FI61" s="321"/>
      <c r="FJ61" s="321"/>
      <c r="FK61" s="321"/>
      <c r="FL61" s="321"/>
      <c r="FM61" s="321"/>
      <c r="FN61" s="321"/>
      <c r="FO61" s="321"/>
      <c r="FP61" s="321"/>
      <c r="FQ61" s="321"/>
      <c r="FR61" s="321"/>
      <c r="FS61" s="321"/>
      <c r="FT61" s="321"/>
      <c r="FU61" s="321"/>
      <c r="FV61" s="321"/>
      <c r="FW61" s="321"/>
      <c r="FX61" s="321"/>
      <c r="FY61" s="321"/>
      <c r="FZ61" s="321"/>
      <c r="GA61" s="321"/>
      <c r="GB61" s="321"/>
      <c r="GC61" s="321"/>
      <c r="GD61" s="321"/>
      <c r="GE61" s="321"/>
      <c r="GF61" s="321"/>
      <c r="GG61" s="321"/>
      <c r="GH61" s="321"/>
      <c r="GI61" s="321"/>
      <c r="GJ61" s="321"/>
      <c r="GK61" s="321"/>
      <c r="GL61" s="321"/>
      <c r="GM61" s="321"/>
      <c r="GN61" s="321"/>
      <c r="GO61" s="321"/>
      <c r="GP61" s="321"/>
      <c r="GQ61" s="321"/>
      <c r="GR61" s="321"/>
      <c r="GS61" s="321"/>
    </row>
    <row r="62" spans="1:201" s="437" customFormat="1">
      <c r="A62" s="449" t="s">
        <v>49</v>
      </c>
      <c r="B62" s="84" t="str">
        <f>IF(E18=0,F18,E18)</f>
        <v>11/15/2019</v>
      </c>
      <c r="C62" s="85">
        <f t="shared" ref="C62:AH62" si="204">B62+IF($G18=1,365,182.5)</f>
        <v>43966.5</v>
      </c>
      <c r="D62" s="85">
        <f t="shared" si="204"/>
        <v>44149</v>
      </c>
      <c r="E62" s="85">
        <f t="shared" si="204"/>
        <v>44331.5</v>
      </c>
      <c r="F62" s="85">
        <f t="shared" si="204"/>
        <v>44514</v>
      </c>
      <c r="G62" s="85">
        <f t="shared" si="204"/>
        <v>44696.5</v>
      </c>
      <c r="H62" s="85">
        <f t="shared" si="204"/>
        <v>44879</v>
      </c>
      <c r="I62" s="85">
        <f t="shared" si="204"/>
        <v>45061.5</v>
      </c>
      <c r="J62" s="85">
        <f t="shared" si="204"/>
        <v>45244</v>
      </c>
      <c r="K62" s="85">
        <f t="shared" si="204"/>
        <v>45426.5</v>
      </c>
      <c r="L62" s="85">
        <f t="shared" si="204"/>
        <v>45609</v>
      </c>
      <c r="M62" s="85">
        <f t="shared" si="204"/>
        <v>45791.5</v>
      </c>
      <c r="N62" s="85">
        <f t="shared" si="204"/>
        <v>45974</v>
      </c>
      <c r="O62" s="85">
        <f t="shared" si="204"/>
        <v>46156.5</v>
      </c>
      <c r="P62" s="85">
        <f t="shared" si="204"/>
        <v>46339</v>
      </c>
      <c r="Q62" s="85">
        <f t="shared" si="204"/>
        <v>46521.5</v>
      </c>
      <c r="R62" s="85">
        <f t="shared" si="204"/>
        <v>46704</v>
      </c>
      <c r="S62" s="85">
        <f t="shared" si="204"/>
        <v>46886.5</v>
      </c>
      <c r="T62" s="85">
        <f t="shared" si="204"/>
        <v>47069</v>
      </c>
      <c r="U62" s="85">
        <f t="shared" si="204"/>
        <v>47251.5</v>
      </c>
      <c r="V62" s="85">
        <f t="shared" si="204"/>
        <v>47434</v>
      </c>
      <c r="W62" s="85">
        <f t="shared" si="204"/>
        <v>47616.5</v>
      </c>
      <c r="X62" s="85">
        <f t="shared" si="204"/>
        <v>47799</v>
      </c>
      <c r="Y62" s="85">
        <f t="shared" si="204"/>
        <v>47981.5</v>
      </c>
      <c r="Z62" s="85">
        <f t="shared" si="204"/>
        <v>48164</v>
      </c>
      <c r="AA62" s="85">
        <f t="shared" si="204"/>
        <v>48346.5</v>
      </c>
      <c r="AB62" s="85">
        <f t="shared" si="204"/>
        <v>48529</v>
      </c>
      <c r="AC62" s="85">
        <f t="shared" si="204"/>
        <v>48711.5</v>
      </c>
      <c r="AD62" s="85">
        <f t="shared" si="204"/>
        <v>48894</v>
      </c>
      <c r="AE62" s="85">
        <f t="shared" si="204"/>
        <v>49076.5</v>
      </c>
      <c r="AF62" s="85">
        <f t="shared" si="204"/>
        <v>49259</v>
      </c>
      <c r="AG62" s="85">
        <f t="shared" si="204"/>
        <v>49441.5</v>
      </c>
      <c r="AH62" s="85">
        <f t="shared" si="204"/>
        <v>49624</v>
      </c>
      <c r="AI62" s="85">
        <f t="shared" ref="AI62:BN62" si="205">AH62+IF($G18=1,365,182.5)</f>
        <v>49806.5</v>
      </c>
      <c r="AJ62" s="85">
        <f t="shared" si="205"/>
        <v>49989</v>
      </c>
      <c r="AK62" s="85">
        <f t="shared" si="205"/>
        <v>50171.5</v>
      </c>
      <c r="AL62" s="85">
        <f t="shared" si="205"/>
        <v>50354</v>
      </c>
      <c r="AM62" s="85">
        <f t="shared" si="205"/>
        <v>50536.5</v>
      </c>
      <c r="AN62" s="85">
        <f t="shared" si="205"/>
        <v>50719</v>
      </c>
      <c r="AO62" s="85">
        <f t="shared" si="205"/>
        <v>50901.5</v>
      </c>
      <c r="AP62" s="85">
        <f t="shared" si="205"/>
        <v>51084</v>
      </c>
      <c r="AQ62" s="85">
        <f t="shared" si="205"/>
        <v>51266.5</v>
      </c>
      <c r="AR62" s="85">
        <f t="shared" si="205"/>
        <v>51449</v>
      </c>
      <c r="AS62" s="85">
        <f t="shared" si="205"/>
        <v>51631.5</v>
      </c>
      <c r="AT62" s="85">
        <f t="shared" si="205"/>
        <v>51814</v>
      </c>
      <c r="AU62" s="85">
        <f t="shared" si="205"/>
        <v>51996.5</v>
      </c>
      <c r="AV62" s="85">
        <f t="shared" si="205"/>
        <v>52179</v>
      </c>
      <c r="AW62" s="85">
        <f t="shared" si="205"/>
        <v>52361.5</v>
      </c>
      <c r="AX62" s="85">
        <f t="shared" si="205"/>
        <v>52544</v>
      </c>
      <c r="AY62" s="85">
        <f t="shared" si="205"/>
        <v>52726.5</v>
      </c>
      <c r="AZ62" s="85">
        <f t="shared" si="205"/>
        <v>52909</v>
      </c>
      <c r="BA62" s="85">
        <f t="shared" si="205"/>
        <v>53091.5</v>
      </c>
      <c r="BB62" s="85">
        <f t="shared" si="205"/>
        <v>53274</v>
      </c>
      <c r="BC62" s="85">
        <f t="shared" si="205"/>
        <v>53456.5</v>
      </c>
      <c r="BD62" s="85">
        <f t="shared" si="205"/>
        <v>53639</v>
      </c>
      <c r="BE62" s="85">
        <f t="shared" si="205"/>
        <v>53821.5</v>
      </c>
      <c r="BF62" s="85">
        <f t="shared" si="205"/>
        <v>54004</v>
      </c>
      <c r="BG62" s="85">
        <f t="shared" si="205"/>
        <v>54186.5</v>
      </c>
      <c r="BH62" s="85">
        <f t="shared" si="205"/>
        <v>54369</v>
      </c>
      <c r="BI62" s="85">
        <f t="shared" si="205"/>
        <v>54551.5</v>
      </c>
      <c r="BJ62" s="85">
        <f t="shared" si="205"/>
        <v>54734</v>
      </c>
      <c r="BK62" s="85">
        <f t="shared" si="205"/>
        <v>54916.5</v>
      </c>
      <c r="BL62" s="85">
        <f t="shared" si="205"/>
        <v>55099</v>
      </c>
      <c r="BM62" s="85">
        <f t="shared" si="205"/>
        <v>55281.5</v>
      </c>
      <c r="BN62" s="85">
        <f t="shared" si="205"/>
        <v>55464</v>
      </c>
      <c r="BO62" s="85">
        <f t="shared" ref="BO62:CB62" si="206">BN62+IF($G18=1,365,182.5)</f>
        <v>55646.5</v>
      </c>
      <c r="BP62" s="85">
        <f t="shared" si="206"/>
        <v>55829</v>
      </c>
      <c r="BQ62" s="85">
        <f t="shared" si="206"/>
        <v>56011.5</v>
      </c>
      <c r="BR62" s="85">
        <f t="shared" si="206"/>
        <v>56194</v>
      </c>
      <c r="BS62" s="85">
        <f t="shared" si="206"/>
        <v>56376.5</v>
      </c>
      <c r="BT62" s="85">
        <f t="shared" si="206"/>
        <v>56559</v>
      </c>
      <c r="BU62" s="85">
        <f t="shared" si="206"/>
        <v>56741.5</v>
      </c>
      <c r="BV62" s="85">
        <f t="shared" si="206"/>
        <v>56924</v>
      </c>
      <c r="BW62" s="85">
        <f t="shared" si="206"/>
        <v>57106.5</v>
      </c>
      <c r="BX62" s="85">
        <f t="shared" si="206"/>
        <v>57289</v>
      </c>
      <c r="BY62" s="85">
        <f t="shared" si="206"/>
        <v>57471.5</v>
      </c>
      <c r="BZ62" s="85">
        <f t="shared" si="206"/>
        <v>57654</v>
      </c>
      <c r="CA62" s="85">
        <f t="shared" si="206"/>
        <v>57836.5</v>
      </c>
      <c r="CB62" s="86">
        <f t="shared" si="206"/>
        <v>58019</v>
      </c>
    </row>
    <row r="63" spans="1:201">
      <c r="A63" s="388" t="s">
        <v>34</v>
      </c>
      <c r="B63" s="389">
        <f>(IF(B62=F18,100,0)+IF(G18=1,1,0.5)*J18*100)*IF(ISBLANK(F18)=TRUE,0,1)</f>
        <v>2.125</v>
      </c>
      <c r="C63" s="390">
        <f>IF(C62&gt;$F18+1,0,1)*(IF(D63=0,100,0)+IF($G18=1,1,0.5)*$J18*100)</f>
        <v>2.125</v>
      </c>
      <c r="D63" s="390">
        <f t="shared" ref="D63:BO63" si="207">IF(D62&gt;$F18+1,0,1)*(IF(E63=0,100,0)+IF($G18=1,1,0.5)*$J18*100)</f>
        <v>2.125</v>
      </c>
      <c r="E63" s="390">
        <f t="shared" si="207"/>
        <v>2.125</v>
      </c>
      <c r="F63" s="390">
        <f t="shared" si="207"/>
        <v>2.125</v>
      </c>
      <c r="G63" s="390">
        <f t="shared" si="207"/>
        <v>2.125</v>
      </c>
      <c r="H63" s="390">
        <f t="shared" si="207"/>
        <v>2.125</v>
      </c>
      <c r="I63" s="390">
        <f t="shared" si="207"/>
        <v>2.125</v>
      </c>
      <c r="J63" s="390">
        <f t="shared" si="207"/>
        <v>2.125</v>
      </c>
      <c r="K63" s="390">
        <f t="shared" si="207"/>
        <v>2.125</v>
      </c>
      <c r="L63" s="390">
        <f t="shared" si="207"/>
        <v>2.125</v>
      </c>
      <c r="M63" s="390">
        <f t="shared" si="207"/>
        <v>2.125</v>
      </c>
      <c r="N63" s="390">
        <f t="shared" si="207"/>
        <v>2.125</v>
      </c>
      <c r="O63" s="390">
        <f t="shared" si="207"/>
        <v>2.125</v>
      </c>
      <c r="P63" s="390">
        <f t="shared" si="207"/>
        <v>2.125</v>
      </c>
      <c r="Q63" s="390">
        <f t="shared" si="207"/>
        <v>2.125</v>
      </c>
      <c r="R63" s="390">
        <f t="shared" si="207"/>
        <v>2.125</v>
      </c>
      <c r="S63" s="390">
        <f t="shared" si="207"/>
        <v>2.125</v>
      </c>
      <c r="T63" s="390">
        <f t="shared" si="207"/>
        <v>2.125</v>
      </c>
      <c r="U63" s="390">
        <f t="shared" si="207"/>
        <v>2.125</v>
      </c>
      <c r="V63" s="390">
        <f t="shared" si="207"/>
        <v>2.125</v>
      </c>
      <c r="W63" s="390">
        <f t="shared" si="207"/>
        <v>2.125</v>
      </c>
      <c r="X63" s="390">
        <f t="shared" si="207"/>
        <v>2.125</v>
      </c>
      <c r="Y63" s="390">
        <f t="shared" si="207"/>
        <v>2.125</v>
      </c>
      <c r="Z63" s="390">
        <f t="shared" si="207"/>
        <v>2.125</v>
      </c>
      <c r="AA63" s="390">
        <f t="shared" si="207"/>
        <v>2.125</v>
      </c>
      <c r="AB63" s="390">
        <f t="shared" si="207"/>
        <v>2.125</v>
      </c>
      <c r="AC63" s="390">
        <f t="shared" si="207"/>
        <v>2.125</v>
      </c>
      <c r="AD63" s="390">
        <f t="shared" si="207"/>
        <v>2.125</v>
      </c>
      <c r="AE63" s="390">
        <f t="shared" si="207"/>
        <v>2.125</v>
      </c>
      <c r="AF63" s="390">
        <f t="shared" si="207"/>
        <v>2.125</v>
      </c>
      <c r="AG63" s="390">
        <f t="shared" si="207"/>
        <v>2.125</v>
      </c>
      <c r="AH63" s="390">
        <f t="shared" si="207"/>
        <v>2.125</v>
      </c>
      <c r="AI63" s="390">
        <f t="shared" si="207"/>
        <v>2.125</v>
      </c>
      <c r="AJ63" s="390">
        <f t="shared" si="207"/>
        <v>2.125</v>
      </c>
      <c r="AK63" s="390">
        <f t="shared" si="207"/>
        <v>2.125</v>
      </c>
      <c r="AL63" s="390">
        <f t="shared" si="207"/>
        <v>2.125</v>
      </c>
      <c r="AM63" s="390">
        <f t="shared" si="207"/>
        <v>2.125</v>
      </c>
      <c r="AN63" s="390">
        <f t="shared" si="207"/>
        <v>2.125</v>
      </c>
      <c r="AO63" s="390">
        <f t="shared" si="207"/>
        <v>102.125</v>
      </c>
      <c r="AP63" s="390">
        <f t="shared" si="207"/>
        <v>0</v>
      </c>
      <c r="AQ63" s="390">
        <f t="shared" si="207"/>
        <v>0</v>
      </c>
      <c r="AR63" s="390">
        <f t="shared" si="207"/>
        <v>0</v>
      </c>
      <c r="AS63" s="390">
        <f t="shared" si="207"/>
        <v>0</v>
      </c>
      <c r="AT63" s="390">
        <f t="shared" si="207"/>
        <v>0</v>
      </c>
      <c r="AU63" s="390">
        <f t="shared" si="207"/>
        <v>0</v>
      </c>
      <c r="AV63" s="390">
        <f t="shared" si="207"/>
        <v>0</v>
      </c>
      <c r="AW63" s="390">
        <f t="shared" si="207"/>
        <v>0</v>
      </c>
      <c r="AX63" s="390">
        <f t="shared" si="207"/>
        <v>0</v>
      </c>
      <c r="AY63" s="390">
        <f t="shared" si="207"/>
        <v>0</v>
      </c>
      <c r="AZ63" s="390">
        <f t="shared" si="207"/>
        <v>0</v>
      </c>
      <c r="BA63" s="390">
        <f t="shared" si="207"/>
        <v>0</v>
      </c>
      <c r="BB63" s="390">
        <f t="shared" si="207"/>
        <v>0</v>
      </c>
      <c r="BC63" s="390">
        <f t="shared" si="207"/>
        <v>0</v>
      </c>
      <c r="BD63" s="390">
        <f t="shared" si="207"/>
        <v>0</v>
      </c>
      <c r="BE63" s="390">
        <f t="shared" si="207"/>
        <v>0</v>
      </c>
      <c r="BF63" s="390">
        <f t="shared" si="207"/>
        <v>0</v>
      </c>
      <c r="BG63" s="390">
        <f t="shared" si="207"/>
        <v>0</v>
      </c>
      <c r="BH63" s="390">
        <f t="shared" si="207"/>
        <v>0</v>
      </c>
      <c r="BI63" s="390">
        <f t="shared" si="207"/>
        <v>0</v>
      </c>
      <c r="BJ63" s="390">
        <f t="shared" si="207"/>
        <v>0</v>
      </c>
      <c r="BK63" s="390">
        <f t="shared" si="207"/>
        <v>0</v>
      </c>
      <c r="BL63" s="390">
        <f t="shared" si="207"/>
        <v>0</v>
      </c>
      <c r="BM63" s="390">
        <f t="shared" si="207"/>
        <v>0</v>
      </c>
      <c r="BN63" s="390">
        <f t="shared" si="207"/>
        <v>0</v>
      </c>
      <c r="BO63" s="390">
        <f t="shared" si="207"/>
        <v>0</v>
      </c>
      <c r="BP63" s="390">
        <f t="shared" ref="BP63:CA63" si="208">IF(BP62&gt;$F18+1,0,1)*(IF(BQ63=0,100,0)+IF($G18=1,1,0.5)*$J18*100)</f>
        <v>0</v>
      </c>
      <c r="BQ63" s="390">
        <f t="shared" si="208"/>
        <v>0</v>
      </c>
      <c r="BR63" s="390">
        <f t="shared" si="208"/>
        <v>0</v>
      </c>
      <c r="BS63" s="390">
        <f t="shared" si="208"/>
        <v>0</v>
      </c>
      <c r="BT63" s="390">
        <f t="shared" si="208"/>
        <v>0</v>
      </c>
      <c r="BU63" s="390">
        <f t="shared" si="208"/>
        <v>0</v>
      </c>
      <c r="BV63" s="390">
        <f t="shared" si="208"/>
        <v>0</v>
      </c>
      <c r="BW63" s="390">
        <f t="shared" si="208"/>
        <v>0</v>
      </c>
      <c r="BX63" s="390">
        <f t="shared" si="208"/>
        <v>0</v>
      </c>
      <c r="BY63" s="390">
        <f t="shared" si="208"/>
        <v>0</v>
      </c>
      <c r="BZ63" s="390">
        <f t="shared" si="208"/>
        <v>0</v>
      </c>
      <c r="CA63" s="390">
        <f t="shared" si="208"/>
        <v>0</v>
      </c>
      <c r="CB63" s="391">
        <f>IF(CB62&gt;$F18+1,0,1)*(IF(CC63=0,100,0)+IF($G18=1,1,0.5)*$J18*100)</f>
        <v>0</v>
      </c>
      <c r="CC63" s="321"/>
      <c r="CD63" s="321"/>
      <c r="CE63" s="321"/>
      <c r="CF63" s="321"/>
      <c r="CG63" s="321"/>
      <c r="CH63" s="321"/>
      <c r="CI63" s="321"/>
      <c r="CJ63" s="321"/>
      <c r="CK63" s="321"/>
      <c r="CL63" s="321"/>
      <c r="CM63" s="321"/>
      <c r="CN63" s="321"/>
      <c r="CO63" s="321"/>
      <c r="CP63" s="321"/>
      <c r="CQ63" s="321"/>
      <c r="CR63" s="321"/>
      <c r="CS63" s="321"/>
      <c r="CT63" s="321"/>
      <c r="CU63" s="321"/>
      <c r="CV63" s="321"/>
      <c r="CW63" s="321"/>
      <c r="CX63" s="321"/>
      <c r="CY63" s="321"/>
      <c r="CZ63" s="321"/>
      <c r="DA63" s="321"/>
      <c r="DB63" s="321"/>
      <c r="DC63" s="321"/>
      <c r="DD63" s="321"/>
      <c r="DE63" s="321"/>
      <c r="DF63" s="321"/>
      <c r="DG63" s="321"/>
      <c r="DH63" s="321"/>
      <c r="DI63" s="321"/>
      <c r="DJ63" s="321"/>
      <c r="DK63" s="321"/>
      <c r="DL63" s="321"/>
      <c r="DM63" s="321"/>
      <c r="DN63" s="321"/>
      <c r="DO63" s="321"/>
      <c r="DP63" s="321"/>
      <c r="DQ63" s="321"/>
      <c r="DR63" s="321"/>
      <c r="DS63" s="321"/>
      <c r="DT63" s="321"/>
      <c r="DU63" s="321"/>
      <c r="DV63" s="321"/>
      <c r="DW63" s="321"/>
      <c r="DX63" s="321"/>
      <c r="DY63" s="321"/>
      <c r="DZ63" s="321"/>
      <c r="EA63" s="321"/>
      <c r="EB63" s="321"/>
      <c r="EC63" s="321"/>
      <c r="ED63" s="321"/>
      <c r="EE63" s="321"/>
      <c r="EF63" s="321"/>
      <c r="EG63" s="321"/>
      <c r="EH63" s="321"/>
      <c r="EI63" s="321"/>
      <c r="EJ63" s="321"/>
      <c r="EK63" s="321"/>
      <c r="EL63" s="321"/>
      <c r="EM63" s="321"/>
      <c r="EN63" s="321"/>
      <c r="EO63" s="321"/>
      <c r="EP63" s="321"/>
      <c r="EQ63" s="321"/>
      <c r="ER63" s="321"/>
      <c r="ES63" s="321"/>
      <c r="ET63" s="321"/>
      <c r="EU63" s="321"/>
      <c r="EV63" s="321"/>
      <c r="EW63" s="321"/>
      <c r="EX63" s="321"/>
      <c r="EY63" s="321"/>
      <c r="EZ63" s="321"/>
      <c r="FA63" s="321"/>
      <c r="FB63" s="321"/>
      <c r="FC63" s="321"/>
      <c r="FD63" s="321"/>
      <c r="FE63" s="321"/>
      <c r="FF63" s="321"/>
      <c r="FG63" s="321"/>
      <c r="FH63" s="321"/>
      <c r="FI63" s="321"/>
      <c r="FJ63" s="321"/>
      <c r="FK63" s="321"/>
      <c r="FL63" s="321"/>
      <c r="FM63" s="321"/>
      <c r="FN63" s="321"/>
      <c r="FO63" s="321"/>
      <c r="FP63" s="321"/>
      <c r="FQ63" s="321"/>
      <c r="FR63" s="321"/>
      <c r="FS63" s="321"/>
      <c r="FT63" s="321"/>
      <c r="FU63" s="321"/>
      <c r="FV63" s="321"/>
      <c r="FW63" s="321"/>
      <c r="FX63" s="321"/>
      <c r="FY63" s="321"/>
      <c r="FZ63" s="321"/>
      <c r="GA63" s="321"/>
      <c r="GB63" s="321"/>
      <c r="GC63" s="321"/>
      <c r="GD63" s="321"/>
      <c r="GE63" s="321"/>
      <c r="GF63" s="321"/>
      <c r="GG63" s="321"/>
      <c r="GH63" s="321"/>
      <c r="GI63" s="321"/>
      <c r="GJ63" s="321"/>
      <c r="GK63" s="321"/>
      <c r="GL63" s="321"/>
      <c r="GM63" s="321"/>
      <c r="GN63" s="321"/>
      <c r="GO63" s="321"/>
      <c r="GP63" s="321"/>
      <c r="GQ63" s="321"/>
      <c r="GR63" s="321"/>
      <c r="GS63" s="321"/>
    </row>
    <row r="64" spans="1:201" s="437" customFormat="1">
      <c r="A64" s="450" t="s">
        <v>49</v>
      </c>
      <c r="B64" s="118" t="str">
        <f>IF(E19=0,F19,E19)</f>
        <v>8/15/2019</v>
      </c>
      <c r="C64" s="119">
        <f t="shared" ref="C64:AH64" si="209">B64+IF($G19=1,365,182.5)</f>
        <v>43874.5</v>
      </c>
      <c r="D64" s="119">
        <f t="shared" si="209"/>
        <v>44057</v>
      </c>
      <c r="E64" s="119">
        <f t="shared" si="209"/>
        <v>44239.5</v>
      </c>
      <c r="F64" s="119">
        <f t="shared" si="209"/>
        <v>44422</v>
      </c>
      <c r="G64" s="119">
        <f t="shared" si="209"/>
        <v>44604.5</v>
      </c>
      <c r="H64" s="119">
        <f t="shared" si="209"/>
        <v>44787</v>
      </c>
      <c r="I64" s="119">
        <f t="shared" si="209"/>
        <v>44969.5</v>
      </c>
      <c r="J64" s="119">
        <f t="shared" si="209"/>
        <v>45152</v>
      </c>
      <c r="K64" s="119">
        <f t="shared" si="209"/>
        <v>45334.5</v>
      </c>
      <c r="L64" s="119">
        <f t="shared" si="209"/>
        <v>45517</v>
      </c>
      <c r="M64" s="119">
        <f t="shared" si="209"/>
        <v>45699.5</v>
      </c>
      <c r="N64" s="119">
        <f t="shared" si="209"/>
        <v>45882</v>
      </c>
      <c r="O64" s="119">
        <f t="shared" si="209"/>
        <v>46064.5</v>
      </c>
      <c r="P64" s="119">
        <f t="shared" si="209"/>
        <v>46247</v>
      </c>
      <c r="Q64" s="119">
        <f t="shared" si="209"/>
        <v>46429.5</v>
      </c>
      <c r="R64" s="119">
        <f t="shared" si="209"/>
        <v>46612</v>
      </c>
      <c r="S64" s="119">
        <f t="shared" si="209"/>
        <v>46794.5</v>
      </c>
      <c r="T64" s="119">
        <f t="shared" si="209"/>
        <v>46977</v>
      </c>
      <c r="U64" s="119">
        <f t="shared" si="209"/>
        <v>47159.5</v>
      </c>
      <c r="V64" s="119">
        <f t="shared" si="209"/>
        <v>47342</v>
      </c>
      <c r="W64" s="119">
        <f t="shared" si="209"/>
        <v>47524.5</v>
      </c>
      <c r="X64" s="119">
        <f t="shared" si="209"/>
        <v>47707</v>
      </c>
      <c r="Y64" s="119">
        <f t="shared" si="209"/>
        <v>47889.5</v>
      </c>
      <c r="Z64" s="119">
        <f t="shared" si="209"/>
        <v>48072</v>
      </c>
      <c r="AA64" s="119">
        <f t="shared" si="209"/>
        <v>48254.5</v>
      </c>
      <c r="AB64" s="119">
        <f t="shared" si="209"/>
        <v>48437</v>
      </c>
      <c r="AC64" s="119">
        <f t="shared" si="209"/>
        <v>48619.5</v>
      </c>
      <c r="AD64" s="119">
        <f t="shared" si="209"/>
        <v>48802</v>
      </c>
      <c r="AE64" s="119">
        <f t="shared" si="209"/>
        <v>48984.5</v>
      </c>
      <c r="AF64" s="119">
        <f t="shared" si="209"/>
        <v>49167</v>
      </c>
      <c r="AG64" s="119">
        <f t="shared" si="209"/>
        <v>49349.5</v>
      </c>
      <c r="AH64" s="119">
        <f t="shared" si="209"/>
        <v>49532</v>
      </c>
      <c r="AI64" s="119">
        <f t="shared" ref="AI64:BN64" si="210">AH64+IF($G19=1,365,182.5)</f>
        <v>49714.5</v>
      </c>
      <c r="AJ64" s="119">
        <f t="shared" si="210"/>
        <v>49897</v>
      </c>
      <c r="AK64" s="119">
        <f t="shared" si="210"/>
        <v>50079.5</v>
      </c>
      <c r="AL64" s="119">
        <f t="shared" si="210"/>
        <v>50262</v>
      </c>
      <c r="AM64" s="119">
        <f t="shared" si="210"/>
        <v>50444.5</v>
      </c>
      <c r="AN64" s="119">
        <f t="shared" si="210"/>
        <v>50627</v>
      </c>
      <c r="AO64" s="119">
        <f t="shared" si="210"/>
        <v>50809.5</v>
      </c>
      <c r="AP64" s="119">
        <f t="shared" si="210"/>
        <v>50992</v>
      </c>
      <c r="AQ64" s="119">
        <f t="shared" si="210"/>
        <v>51174.5</v>
      </c>
      <c r="AR64" s="119">
        <f t="shared" si="210"/>
        <v>51357</v>
      </c>
      <c r="AS64" s="119">
        <f t="shared" si="210"/>
        <v>51539.5</v>
      </c>
      <c r="AT64" s="119">
        <f t="shared" si="210"/>
        <v>51722</v>
      </c>
      <c r="AU64" s="119">
        <f t="shared" si="210"/>
        <v>51904.5</v>
      </c>
      <c r="AV64" s="119">
        <f t="shared" si="210"/>
        <v>52087</v>
      </c>
      <c r="AW64" s="119">
        <f t="shared" si="210"/>
        <v>52269.5</v>
      </c>
      <c r="AX64" s="119">
        <f t="shared" si="210"/>
        <v>52452</v>
      </c>
      <c r="AY64" s="119">
        <f t="shared" si="210"/>
        <v>52634.5</v>
      </c>
      <c r="AZ64" s="119">
        <f t="shared" si="210"/>
        <v>52817</v>
      </c>
      <c r="BA64" s="119">
        <f t="shared" si="210"/>
        <v>52999.5</v>
      </c>
      <c r="BB64" s="119">
        <f t="shared" si="210"/>
        <v>53182</v>
      </c>
      <c r="BC64" s="119">
        <f t="shared" si="210"/>
        <v>53364.5</v>
      </c>
      <c r="BD64" s="119">
        <f t="shared" si="210"/>
        <v>53547</v>
      </c>
      <c r="BE64" s="119">
        <f t="shared" si="210"/>
        <v>53729.5</v>
      </c>
      <c r="BF64" s="119">
        <f t="shared" si="210"/>
        <v>53912</v>
      </c>
      <c r="BG64" s="119">
        <f t="shared" si="210"/>
        <v>54094.5</v>
      </c>
      <c r="BH64" s="119">
        <f t="shared" si="210"/>
        <v>54277</v>
      </c>
      <c r="BI64" s="119">
        <f t="shared" si="210"/>
        <v>54459.5</v>
      </c>
      <c r="BJ64" s="119">
        <f t="shared" si="210"/>
        <v>54642</v>
      </c>
      <c r="BK64" s="119">
        <f t="shared" si="210"/>
        <v>54824.5</v>
      </c>
      <c r="BL64" s="119">
        <f t="shared" si="210"/>
        <v>55007</v>
      </c>
      <c r="BM64" s="119">
        <f t="shared" si="210"/>
        <v>55189.5</v>
      </c>
      <c r="BN64" s="119">
        <f t="shared" si="210"/>
        <v>55372</v>
      </c>
      <c r="BO64" s="119">
        <f t="shared" ref="BO64:CB64" si="211">BN64+IF($G19=1,365,182.5)</f>
        <v>55554.5</v>
      </c>
      <c r="BP64" s="119">
        <f t="shared" si="211"/>
        <v>55737</v>
      </c>
      <c r="BQ64" s="119">
        <f t="shared" si="211"/>
        <v>55919.5</v>
      </c>
      <c r="BR64" s="119">
        <f t="shared" si="211"/>
        <v>56102</v>
      </c>
      <c r="BS64" s="119">
        <f t="shared" si="211"/>
        <v>56284.5</v>
      </c>
      <c r="BT64" s="119">
        <f t="shared" si="211"/>
        <v>56467</v>
      </c>
      <c r="BU64" s="119">
        <f t="shared" si="211"/>
        <v>56649.5</v>
      </c>
      <c r="BV64" s="119">
        <f t="shared" si="211"/>
        <v>56832</v>
      </c>
      <c r="BW64" s="119">
        <f t="shared" si="211"/>
        <v>57014.5</v>
      </c>
      <c r="BX64" s="119">
        <f t="shared" si="211"/>
        <v>57197</v>
      </c>
      <c r="BY64" s="119">
        <f t="shared" si="211"/>
        <v>57379.5</v>
      </c>
      <c r="BZ64" s="119">
        <f t="shared" si="211"/>
        <v>57562</v>
      </c>
      <c r="CA64" s="119">
        <f t="shared" si="211"/>
        <v>57744.5</v>
      </c>
      <c r="CB64" s="120">
        <f t="shared" si="211"/>
        <v>57927</v>
      </c>
    </row>
    <row r="65" spans="1:201">
      <c r="A65" s="392" t="s">
        <v>35</v>
      </c>
      <c r="B65" s="393">
        <f>(IF(B64=F19,100,0)+IF(G19=1,1,0.5)*J19*100)*IF(ISBLANK(F19)=TRUE,0,1)</f>
        <v>2.25</v>
      </c>
      <c r="C65" s="394">
        <f>IF(C64&gt;$F19+1,0,1)*(IF(D65=0,100,0)+IF($G19=1,1,0.5)*$J19*100)</f>
        <v>2.25</v>
      </c>
      <c r="D65" s="394">
        <f t="shared" ref="D65:BO65" si="212">IF(D64&gt;$F19+1,0,1)*(IF(E65=0,100,0)+IF($G19=1,1,0.5)*$J19*100)</f>
        <v>2.25</v>
      </c>
      <c r="E65" s="394">
        <f t="shared" si="212"/>
        <v>2.25</v>
      </c>
      <c r="F65" s="394">
        <f t="shared" si="212"/>
        <v>2.25</v>
      </c>
      <c r="G65" s="394">
        <f t="shared" si="212"/>
        <v>2.25</v>
      </c>
      <c r="H65" s="394">
        <f t="shared" si="212"/>
        <v>2.25</v>
      </c>
      <c r="I65" s="394">
        <f t="shared" si="212"/>
        <v>2.25</v>
      </c>
      <c r="J65" s="394">
        <f t="shared" si="212"/>
        <v>2.25</v>
      </c>
      <c r="K65" s="394">
        <f t="shared" si="212"/>
        <v>2.25</v>
      </c>
      <c r="L65" s="394">
        <f t="shared" si="212"/>
        <v>2.25</v>
      </c>
      <c r="M65" s="394">
        <f t="shared" si="212"/>
        <v>2.25</v>
      </c>
      <c r="N65" s="394">
        <f t="shared" si="212"/>
        <v>2.25</v>
      </c>
      <c r="O65" s="394">
        <f t="shared" si="212"/>
        <v>2.25</v>
      </c>
      <c r="P65" s="394">
        <f t="shared" si="212"/>
        <v>2.25</v>
      </c>
      <c r="Q65" s="394">
        <f t="shared" si="212"/>
        <v>2.25</v>
      </c>
      <c r="R65" s="394">
        <f t="shared" si="212"/>
        <v>2.25</v>
      </c>
      <c r="S65" s="394">
        <f t="shared" si="212"/>
        <v>2.25</v>
      </c>
      <c r="T65" s="394">
        <f t="shared" si="212"/>
        <v>2.25</v>
      </c>
      <c r="U65" s="394">
        <f t="shared" si="212"/>
        <v>2.25</v>
      </c>
      <c r="V65" s="394">
        <f t="shared" si="212"/>
        <v>2.25</v>
      </c>
      <c r="W65" s="394">
        <f t="shared" si="212"/>
        <v>2.25</v>
      </c>
      <c r="X65" s="394">
        <f t="shared" si="212"/>
        <v>2.25</v>
      </c>
      <c r="Y65" s="394">
        <f t="shared" si="212"/>
        <v>2.25</v>
      </c>
      <c r="Z65" s="394">
        <f t="shared" si="212"/>
        <v>2.25</v>
      </c>
      <c r="AA65" s="394">
        <f t="shared" si="212"/>
        <v>2.25</v>
      </c>
      <c r="AB65" s="394">
        <f t="shared" si="212"/>
        <v>2.25</v>
      </c>
      <c r="AC65" s="394">
        <f t="shared" si="212"/>
        <v>2.25</v>
      </c>
      <c r="AD65" s="394">
        <f t="shared" si="212"/>
        <v>2.25</v>
      </c>
      <c r="AE65" s="394">
        <f t="shared" si="212"/>
        <v>2.25</v>
      </c>
      <c r="AF65" s="394">
        <f t="shared" si="212"/>
        <v>2.25</v>
      </c>
      <c r="AG65" s="394">
        <f t="shared" si="212"/>
        <v>2.25</v>
      </c>
      <c r="AH65" s="394">
        <f t="shared" si="212"/>
        <v>2.25</v>
      </c>
      <c r="AI65" s="394">
        <f t="shared" si="212"/>
        <v>102.25</v>
      </c>
      <c r="AJ65" s="394">
        <f t="shared" si="212"/>
        <v>0</v>
      </c>
      <c r="AK65" s="394">
        <f t="shared" si="212"/>
        <v>0</v>
      </c>
      <c r="AL65" s="394">
        <f t="shared" si="212"/>
        <v>0</v>
      </c>
      <c r="AM65" s="394">
        <f t="shared" si="212"/>
        <v>0</v>
      </c>
      <c r="AN65" s="394">
        <f t="shared" si="212"/>
        <v>0</v>
      </c>
      <c r="AO65" s="394">
        <f t="shared" si="212"/>
        <v>0</v>
      </c>
      <c r="AP65" s="394">
        <f t="shared" si="212"/>
        <v>0</v>
      </c>
      <c r="AQ65" s="394">
        <f t="shared" si="212"/>
        <v>0</v>
      </c>
      <c r="AR65" s="394">
        <f t="shared" si="212"/>
        <v>0</v>
      </c>
      <c r="AS65" s="394">
        <f t="shared" si="212"/>
        <v>0</v>
      </c>
      <c r="AT65" s="394">
        <f t="shared" si="212"/>
        <v>0</v>
      </c>
      <c r="AU65" s="394">
        <f t="shared" si="212"/>
        <v>0</v>
      </c>
      <c r="AV65" s="394">
        <f t="shared" si="212"/>
        <v>0</v>
      </c>
      <c r="AW65" s="394">
        <f t="shared" si="212"/>
        <v>0</v>
      </c>
      <c r="AX65" s="394">
        <f t="shared" si="212"/>
        <v>0</v>
      </c>
      <c r="AY65" s="394">
        <f t="shared" si="212"/>
        <v>0</v>
      </c>
      <c r="AZ65" s="394">
        <f t="shared" si="212"/>
        <v>0</v>
      </c>
      <c r="BA65" s="394">
        <f t="shared" si="212"/>
        <v>0</v>
      </c>
      <c r="BB65" s="394">
        <f t="shared" si="212"/>
        <v>0</v>
      </c>
      <c r="BC65" s="394">
        <f t="shared" si="212"/>
        <v>0</v>
      </c>
      <c r="BD65" s="394">
        <f t="shared" si="212"/>
        <v>0</v>
      </c>
      <c r="BE65" s="394">
        <f t="shared" si="212"/>
        <v>0</v>
      </c>
      <c r="BF65" s="394">
        <f t="shared" si="212"/>
        <v>0</v>
      </c>
      <c r="BG65" s="394">
        <f t="shared" si="212"/>
        <v>0</v>
      </c>
      <c r="BH65" s="394">
        <f t="shared" si="212"/>
        <v>0</v>
      </c>
      <c r="BI65" s="394">
        <f t="shared" si="212"/>
        <v>0</v>
      </c>
      <c r="BJ65" s="394">
        <f t="shared" si="212"/>
        <v>0</v>
      </c>
      <c r="BK65" s="394">
        <f t="shared" si="212"/>
        <v>0</v>
      </c>
      <c r="BL65" s="394">
        <f t="shared" si="212"/>
        <v>0</v>
      </c>
      <c r="BM65" s="394">
        <f t="shared" si="212"/>
        <v>0</v>
      </c>
      <c r="BN65" s="394">
        <f t="shared" si="212"/>
        <v>0</v>
      </c>
      <c r="BO65" s="394">
        <f t="shared" si="212"/>
        <v>0</v>
      </c>
      <c r="BP65" s="394">
        <f t="shared" ref="BP65:CA65" si="213">IF(BP64&gt;$F19+1,0,1)*(IF(BQ65=0,100,0)+IF($G19=1,1,0.5)*$J19*100)</f>
        <v>0</v>
      </c>
      <c r="BQ65" s="394">
        <f t="shared" si="213"/>
        <v>0</v>
      </c>
      <c r="BR65" s="394">
        <f t="shared" si="213"/>
        <v>0</v>
      </c>
      <c r="BS65" s="394">
        <f t="shared" si="213"/>
        <v>0</v>
      </c>
      <c r="BT65" s="394">
        <f t="shared" si="213"/>
        <v>0</v>
      </c>
      <c r="BU65" s="394">
        <f t="shared" si="213"/>
        <v>0</v>
      </c>
      <c r="BV65" s="394">
        <f t="shared" si="213"/>
        <v>0</v>
      </c>
      <c r="BW65" s="394">
        <f t="shared" si="213"/>
        <v>0</v>
      </c>
      <c r="BX65" s="394">
        <f t="shared" si="213"/>
        <v>0</v>
      </c>
      <c r="BY65" s="394">
        <f t="shared" si="213"/>
        <v>0</v>
      </c>
      <c r="BZ65" s="394">
        <f t="shared" si="213"/>
        <v>0</v>
      </c>
      <c r="CA65" s="394">
        <f t="shared" si="213"/>
        <v>0</v>
      </c>
      <c r="CB65" s="395">
        <f>IF(CB64&gt;$F19+1,0,1)*(IF(CC65=0,100,0)+IF($G19=1,1,0.5)*$J19*100)</f>
        <v>0</v>
      </c>
      <c r="CC65" s="321"/>
      <c r="CD65" s="321"/>
      <c r="CE65" s="321"/>
      <c r="CF65" s="321"/>
      <c r="CG65" s="321"/>
      <c r="CH65" s="321"/>
      <c r="CI65" s="321"/>
      <c r="CJ65" s="321"/>
      <c r="CK65" s="321"/>
      <c r="CL65" s="321"/>
      <c r="CM65" s="321"/>
      <c r="CN65" s="321"/>
      <c r="CO65" s="321"/>
      <c r="CP65" s="321"/>
      <c r="CQ65" s="321"/>
      <c r="CR65" s="321"/>
      <c r="CS65" s="321"/>
      <c r="CT65" s="321"/>
      <c r="CU65" s="321"/>
      <c r="CV65" s="321"/>
      <c r="CW65" s="321"/>
      <c r="CX65" s="321"/>
      <c r="CY65" s="321"/>
      <c r="CZ65" s="321"/>
      <c r="DA65" s="321"/>
      <c r="DB65" s="321"/>
      <c r="DC65" s="321"/>
      <c r="DD65" s="321"/>
      <c r="DE65" s="321"/>
      <c r="DF65" s="321"/>
      <c r="DG65" s="321"/>
      <c r="DH65" s="321"/>
      <c r="DI65" s="321"/>
      <c r="DJ65" s="321"/>
      <c r="DK65" s="321"/>
      <c r="DL65" s="321"/>
      <c r="DM65" s="321"/>
      <c r="DN65" s="321"/>
      <c r="DO65" s="321"/>
      <c r="DP65" s="321"/>
      <c r="DQ65" s="321"/>
      <c r="DR65" s="321"/>
      <c r="DS65" s="321"/>
      <c r="DT65" s="321"/>
      <c r="DU65" s="321"/>
      <c r="DV65" s="321"/>
      <c r="DW65" s="321"/>
      <c r="DX65" s="321"/>
      <c r="DY65" s="321"/>
      <c r="DZ65" s="321"/>
      <c r="EA65" s="321"/>
      <c r="EB65" s="321"/>
      <c r="EC65" s="321"/>
      <c r="ED65" s="321"/>
      <c r="EE65" s="321"/>
      <c r="EF65" s="321"/>
      <c r="EG65" s="321"/>
      <c r="EH65" s="321"/>
      <c r="EI65" s="321"/>
      <c r="EJ65" s="321"/>
      <c r="EK65" s="321"/>
      <c r="EL65" s="321"/>
      <c r="EM65" s="321"/>
      <c r="EN65" s="321"/>
      <c r="EO65" s="321"/>
      <c r="EP65" s="321"/>
      <c r="EQ65" s="321"/>
      <c r="ER65" s="321"/>
      <c r="ES65" s="321"/>
      <c r="ET65" s="321"/>
      <c r="EU65" s="321"/>
      <c r="EV65" s="321"/>
      <c r="EW65" s="321"/>
      <c r="EX65" s="321"/>
      <c r="EY65" s="321"/>
      <c r="EZ65" s="321"/>
      <c r="FA65" s="321"/>
      <c r="FB65" s="321"/>
      <c r="FC65" s="321"/>
      <c r="FD65" s="321"/>
      <c r="FE65" s="321"/>
      <c r="FF65" s="321"/>
      <c r="FG65" s="321"/>
      <c r="FH65" s="321"/>
      <c r="FI65" s="321"/>
      <c r="FJ65" s="321"/>
      <c r="FK65" s="321"/>
      <c r="FL65" s="321"/>
      <c r="FM65" s="321"/>
      <c r="FN65" s="321"/>
      <c r="FO65" s="321"/>
      <c r="FP65" s="321"/>
      <c r="FQ65" s="321"/>
      <c r="FR65" s="321"/>
      <c r="FS65" s="321"/>
      <c r="FT65" s="321"/>
      <c r="FU65" s="321"/>
      <c r="FV65" s="321"/>
      <c r="FW65" s="321"/>
      <c r="FX65" s="321"/>
      <c r="FY65" s="321"/>
      <c r="FZ65" s="321"/>
      <c r="GA65" s="321"/>
      <c r="GB65" s="321"/>
      <c r="GC65" s="321"/>
      <c r="GD65" s="321"/>
      <c r="GE65" s="321"/>
      <c r="GF65" s="321"/>
      <c r="GG65" s="321"/>
      <c r="GH65" s="321"/>
      <c r="GI65" s="321"/>
      <c r="GJ65" s="321"/>
      <c r="GK65" s="321"/>
      <c r="GL65" s="321"/>
      <c r="GM65" s="321"/>
      <c r="GN65" s="321"/>
      <c r="GO65" s="321"/>
      <c r="GP65" s="321"/>
      <c r="GQ65" s="321"/>
      <c r="GR65" s="321"/>
      <c r="GS65" s="321"/>
    </row>
    <row r="66" spans="1:201">
      <c r="A66" s="396" t="s">
        <v>49</v>
      </c>
      <c r="B66" s="397" t="str">
        <f>IF(E20=0,F20,E20)</f>
        <v>8/15/2019</v>
      </c>
      <c r="C66" s="90">
        <f t="shared" ref="C66" si="214">B66+IF($G20=1,365,182.5)</f>
        <v>43874.5</v>
      </c>
      <c r="D66" s="90">
        <f t="shared" ref="D66" si="215">C66+IF($G20=1,365,182.5)</f>
        <v>44057</v>
      </c>
      <c r="E66" s="90">
        <f t="shared" ref="E66" si="216">D66+IF($G20=1,365,182.5)</f>
        <v>44239.5</v>
      </c>
      <c r="F66" s="90">
        <f t="shared" ref="F66" si="217">E66+IF($G20=1,365,182.5)</f>
        <v>44422</v>
      </c>
      <c r="G66" s="90">
        <f t="shared" ref="G66" si="218">F66+IF($G20=1,365,182.5)</f>
        <v>44604.5</v>
      </c>
      <c r="H66" s="90">
        <f t="shared" ref="H66" si="219">G66+IF($G20=1,365,182.5)</f>
        <v>44787</v>
      </c>
      <c r="I66" s="90">
        <f t="shared" ref="I66" si="220">H66+IF($G20=1,365,182.5)</f>
        <v>44969.5</v>
      </c>
      <c r="J66" s="90">
        <f t="shared" ref="J66" si="221">I66+IF($G20=1,365,182.5)</f>
        <v>45152</v>
      </c>
      <c r="K66" s="90">
        <f t="shared" ref="K66" si="222">J66+IF($G20=1,365,182.5)</f>
        <v>45334.5</v>
      </c>
      <c r="L66" s="90">
        <f t="shared" ref="L66" si="223">K66+IF($G20=1,365,182.5)</f>
        <v>45517</v>
      </c>
      <c r="M66" s="90">
        <f t="shared" ref="M66" si="224">L66+IF($G20=1,365,182.5)</f>
        <v>45699.5</v>
      </c>
      <c r="N66" s="90">
        <f t="shared" ref="N66" si="225">M66+IF($G20=1,365,182.5)</f>
        <v>45882</v>
      </c>
      <c r="O66" s="90">
        <f t="shared" ref="O66" si="226">N66+IF($G20=1,365,182.5)</f>
        <v>46064.5</v>
      </c>
      <c r="P66" s="90">
        <f t="shared" ref="P66" si="227">O66+IF($G20=1,365,182.5)</f>
        <v>46247</v>
      </c>
      <c r="Q66" s="90">
        <f t="shared" ref="Q66" si="228">P66+IF($G20=1,365,182.5)</f>
        <v>46429.5</v>
      </c>
      <c r="R66" s="90">
        <f t="shared" ref="R66" si="229">Q66+IF($G20=1,365,182.5)</f>
        <v>46612</v>
      </c>
      <c r="S66" s="90">
        <f t="shared" ref="S66" si="230">R66+IF($G20=1,365,182.5)</f>
        <v>46794.5</v>
      </c>
      <c r="T66" s="90">
        <f t="shared" ref="T66" si="231">S66+IF($G20=1,365,182.5)</f>
        <v>46977</v>
      </c>
      <c r="U66" s="90">
        <f t="shared" ref="U66" si="232">T66+IF($G20=1,365,182.5)</f>
        <v>47159.5</v>
      </c>
      <c r="V66" s="90">
        <f t="shared" ref="V66" si="233">U66+IF($G20=1,365,182.5)</f>
        <v>47342</v>
      </c>
      <c r="W66" s="90">
        <f t="shared" ref="W66" si="234">V66+IF($G20=1,365,182.5)</f>
        <v>47524.5</v>
      </c>
      <c r="X66" s="90">
        <f t="shared" ref="X66" si="235">W66+IF($G20=1,365,182.5)</f>
        <v>47707</v>
      </c>
      <c r="Y66" s="90">
        <f t="shared" ref="Y66" si="236">X66+IF($G20=1,365,182.5)</f>
        <v>47889.5</v>
      </c>
      <c r="Z66" s="90">
        <f t="shared" ref="Z66" si="237">Y66+IF($G20=1,365,182.5)</f>
        <v>48072</v>
      </c>
      <c r="AA66" s="90">
        <f t="shared" ref="AA66" si="238">Z66+IF($G20=1,365,182.5)</f>
        <v>48254.5</v>
      </c>
      <c r="AB66" s="90">
        <f t="shared" ref="AB66" si="239">AA66+IF($G20=1,365,182.5)</f>
        <v>48437</v>
      </c>
      <c r="AC66" s="90">
        <f t="shared" ref="AC66" si="240">AB66+IF($G20=1,365,182.5)</f>
        <v>48619.5</v>
      </c>
      <c r="AD66" s="90">
        <f t="shared" ref="AD66" si="241">AC66+IF($G20=1,365,182.5)</f>
        <v>48802</v>
      </c>
      <c r="AE66" s="90">
        <f t="shared" ref="AE66" si="242">AD66+IF($G20=1,365,182.5)</f>
        <v>48984.5</v>
      </c>
      <c r="AF66" s="90">
        <f t="shared" ref="AF66" si="243">AE66+IF($G20=1,365,182.5)</f>
        <v>49167</v>
      </c>
      <c r="AG66" s="90">
        <f t="shared" ref="AG66" si="244">AF66+IF($G20=1,365,182.5)</f>
        <v>49349.5</v>
      </c>
      <c r="AH66" s="90">
        <f t="shared" ref="AH66" si="245">AG66+IF($G20=1,365,182.5)</f>
        <v>49532</v>
      </c>
      <c r="AI66" s="90">
        <f t="shared" ref="AI66" si="246">AH66+IF($G20=1,365,182.5)</f>
        <v>49714.5</v>
      </c>
      <c r="AJ66" s="90">
        <f t="shared" ref="AJ66" si="247">AI66+IF($G20=1,365,182.5)</f>
        <v>49897</v>
      </c>
      <c r="AK66" s="90">
        <f t="shared" ref="AK66" si="248">AJ66+IF($G20=1,365,182.5)</f>
        <v>50079.5</v>
      </c>
      <c r="AL66" s="90">
        <f t="shared" ref="AL66" si="249">AK66+IF($G20=1,365,182.5)</f>
        <v>50262</v>
      </c>
      <c r="AM66" s="90">
        <f t="shared" ref="AM66" si="250">AL66+IF($G20=1,365,182.5)</f>
        <v>50444.5</v>
      </c>
      <c r="AN66" s="90">
        <f t="shared" ref="AN66" si="251">AM66+IF($G20=1,365,182.5)</f>
        <v>50627</v>
      </c>
      <c r="AO66" s="90">
        <f t="shared" ref="AO66" si="252">AN66+IF($G20=1,365,182.5)</f>
        <v>50809.5</v>
      </c>
      <c r="AP66" s="90">
        <f t="shared" ref="AP66" si="253">AO66+IF($G20=1,365,182.5)</f>
        <v>50992</v>
      </c>
      <c r="AQ66" s="90">
        <f t="shared" ref="AQ66" si="254">AP66+IF($G20=1,365,182.5)</f>
        <v>51174.5</v>
      </c>
      <c r="AR66" s="90">
        <f t="shared" ref="AR66" si="255">AQ66+IF($G20=1,365,182.5)</f>
        <v>51357</v>
      </c>
      <c r="AS66" s="90">
        <f t="shared" ref="AS66" si="256">AR66+IF($G20=1,365,182.5)</f>
        <v>51539.5</v>
      </c>
      <c r="AT66" s="90">
        <f t="shared" ref="AT66" si="257">AS66+IF($G20=1,365,182.5)</f>
        <v>51722</v>
      </c>
      <c r="AU66" s="90">
        <f t="shared" ref="AU66" si="258">AT66+IF($G20=1,365,182.5)</f>
        <v>51904.5</v>
      </c>
      <c r="AV66" s="90">
        <f t="shared" ref="AV66" si="259">AU66+IF($G20=1,365,182.5)</f>
        <v>52087</v>
      </c>
      <c r="AW66" s="90">
        <f t="shared" ref="AW66" si="260">AV66+IF($G20=1,365,182.5)</f>
        <v>52269.5</v>
      </c>
      <c r="AX66" s="90">
        <f t="shared" ref="AX66" si="261">AW66+IF($G20=1,365,182.5)</f>
        <v>52452</v>
      </c>
      <c r="AY66" s="90">
        <f t="shared" ref="AY66" si="262">AX66+IF($G20=1,365,182.5)</f>
        <v>52634.5</v>
      </c>
      <c r="AZ66" s="90">
        <f t="shared" ref="AZ66" si="263">AY66+IF($G20=1,365,182.5)</f>
        <v>52817</v>
      </c>
      <c r="BA66" s="90">
        <f t="shared" ref="BA66" si="264">AZ66+IF($G20=1,365,182.5)</f>
        <v>52999.5</v>
      </c>
      <c r="BB66" s="90">
        <f t="shared" ref="BB66" si="265">BA66+IF($G20=1,365,182.5)</f>
        <v>53182</v>
      </c>
      <c r="BC66" s="90">
        <f t="shared" ref="BC66" si="266">BB66+IF($G20=1,365,182.5)</f>
        <v>53364.5</v>
      </c>
      <c r="BD66" s="90">
        <f t="shared" ref="BD66" si="267">BC66+IF($G20=1,365,182.5)</f>
        <v>53547</v>
      </c>
      <c r="BE66" s="90">
        <f t="shared" ref="BE66" si="268">BD66+IF($G20=1,365,182.5)</f>
        <v>53729.5</v>
      </c>
      <c r="BF66" s="90">
        <f t="shared" ref="BF66" si="269">BE66+IF($G20=1,365,182.5)</f>
        <v>53912</v>
      </c>
      <c r="BG66" s="90">
        <f t="shared" ref="BG66" si="270">BF66+IF($G20=1,365,182.5)</f>
        <v>54094.5</v>
      </c>
      <c r="BH66" s="90">
        <f t="shared" ref="BH66" si="271">BG66+IF($G20=1,365,182.5)</f>
        <v>54277</v>
      </c>
      <c r="BI66" s="90">
        <f t="shared" ref="BI66" si="272">BH66+IF($G20=1,365,182.5)</f>
        <v>54459.5</v>
      </c>
      <c r="BJ66" s="90">
        <f t="shared" ref="BJ66" si="273">BI66+IF($G20=1,365,182.5)</f>
        <v>54642</v>
      </c>
      <c r="BK66" s="90">
        <f t="shared" ref="BK66" si="274">BJ66+IF($G20=1,365,182.5)</f>
        <v>54824.5</v>
      </c>
      <c r="BL66" s="90">
        <f t="shared" ref="BL66" si="275">BK66+IF($G20=1,365,182.5)</f>
        <v>55007</v>
      </c>
      <c r="BM66" s="90">
        <f t="shared" ref="BM66" si="276">BL66+IF($G20=1,365,182.5)</f>
        <v>55189.5</v>
      </c>
      <c r="BN66" s="90">
        <f t="shared" ref="BN66" si="277">BM66+IF($G20=1,365,182.5)</f>
        <v>55372</v>
      </c>
      <c r="BO66" s="90">
        <f t="shared" ref="BO66" si="278">BN66+IF($G20=1,365,182.5)</f>
        <v>55554.5</v>
      </c>
      <c r="BP66" s="90">
        <f t="shared" ref="BP66" si="279">BO66+IF($G20=1,365,182.5)</f>
        <v>55737</v>
      </c>
      <c r="BQ66" s="90">
        <f t="shared" ref="BQ66" si="280">BP66+IF($G20=1,365,182.5)</f>
        <v>55919.5</v>
      </c>
      <c r="BR66" s="90">
        <f t="shared" ref="BR66" si="281">BQ66+IF($G20=1,365,182.5)</f>
        <v>56102</v>
      </c>
      <c r="BS66" s="90">
        <f t="shared" ref="BS66" si="282">BR66+IF($G20=1,365,182.5)</f>
        <v>56284.5</v>
      </c>
      <c r="BT66" s="90">
        <f t="shared" ref="BT66" si="283">BS66+IF($G20=1,365,182.5)</f>
        <v>56467</v>
      </c>
      <c r="BU66" s="90">
        <f t="shared" ref="BU66" si="284">BT66+IF($G20=1,365,182.5)</f>
        <v>56649.5</v>
      </c>
      <c r="BV66" s="90">
        <f t="shared" ref="BV66" si="285">BU66+IF($G20=1,365,182.5)</f>
        <v>56832</v>
      </c>
      <c r="BW66" s="90">
        <f t="shared" ref="BW66" si="286">BV66+IF($G20=1,365,182.5)</f>
        <v>57014.5</v>
      </c>
      <c r="BX66" s="90">
        <f t="shared" ref="BX66" si="287">BW66+IF($G20=1,365,182.5)</f>
        <v>57197</v>
      </c>
      <c r="BY66" s="90">
        <f t="shared" ref="BY66" si="288">BX66+IF($G20=1,365,182.5)</f>
        <v>57379.5</v>
      </c>
      <c r="BZ66" s="90">
        <f t="shared" ref="BZ66" si="289">BY66+IF($G20=1,365,182.5)</f>
        <v>57562</v>
      </c>
      <c r="CA66" s="90">
        <f t="shared" ref="CA66" si="290">BZ66+IF($G20=1,365,182.5)</f>
        <v>57744.5</v>
      </c>
      <c r="CB66" s="91">
        <f t="shared" ref="CB66" si="291">CA66+IF($G20=1,365,182.5)</f>
        <v>57927</v>
      </c>
      <c r="CC66" s="321"/>
      <c r="CD66" s="321"/>
      <c r="CE66" s="321"/>
      <c r="CF66" s="321"/>
      <c r="CG66" s="321"/>
      <c r="CH66" s="321"/>
      <c r="CI66" s="321"/>
      <c r="CJ66" s="321"/>
      <c r="CK66" s="321"/>
      <c r="CL66" s="321"/>
      <c r="CM66" s="321"/>
      <c r="CN66" s="321"/>
      <c r="CO66" s="321"/>
      <c r="CP66" s="321"/>
      <c r="CQ66" s="321"/>
      <c r="CR66" s="321"/>
      <c r="CS66" s="321"/>
      <c r="CT66" s="321"/>
      <c r="CU66" s="321"/>
      <c r="CV66" s="321"/>
      <c r="CW66" s="321"/>
      <c r="CX66" s="321"/>
      <c r="CY66" s="321"/>
      <c r="CZ66" s="321"/>
      <c r="DA66" s="321"/>
      <c r="DB66" s="321"/>
      <c r="DC66" s="321"/>
      <c r="DD66" s="321"/>
      <c r="DE66" s="321"/>
      <c r="DF66" s="321"/>
      <c r="DG66" s="321"/>
      <c r="DH66" s="321"/>
      <c r="DI66" s="321"/>
      <c r="DJ66" s="321"/>
      <c r="DK66" s="321"/>
      <c r="DL66" s="321"/>
      <c r="DM66" s="321"/>
      <c r="DN66" s="321"/>
      <c r="DO66" s="321"/>
      <c r="DP66" s="321"/>
      <c r="DQ66" s="321"/>
      <c r="DR66" s="321"/>
      <c r="DS66" s="321"/>
      <c r="DT66" s="321"/>
      <c r="DU66" s="321"/>
      <c r="DV66" s="321"/>
      <c r="DW66" s="321"/>
      <c r="DX66" s="321"/>
      <c r="DY66" s="321"/>
      <c r="DZ66" s="321"/>
      <c r="EA66" s="321"/>
      <c r="EB66" s="321"/>
      <c r="EC66" s="321"/>
      <c r="ED66" s="321"/>
      <c r="EE66" s="321"/>
      <c r="EF66" s="321"/>
      <c r="EG66" s="321"/>
      <c r="EH66" s="321"/>
      <c r="EI66" s="321"/>
      <c r="EJ66" s="321"/>
      <c r="EK66" s="321"/>
      <c r="EL66" s="321"/>
      <c r="EM66" s="321"/>
      <c r="EN66" s="321"/>
      <c r="EO66" s="321"/>
      <c r="EP66" s="321"/>
      <c r="EQ66" s="321"/>
      <c r="ER66" s="321"/>
      <c r="ES66" s="321"/>
      <c r="ET66" s="321"/>
      <c r="EU66" s="321"/>
      <c r="EV66" s="321"/>
      <c r="EW66" s="321"/>
      <c r="EX66" s="321"/>
      <c r="EY66" s="321"/>
      <c r="EZ66" s="321"/>
      <c r="FA66" s="321"/>
      <c r="FB66" s="321"/>
      <c r="FC66" s="321"/>
      <c r="FD66" s="321"/>
      <c r="FE66" s="321"/>
      <c r="FF66" s="321"/>
      <c r="FG66" s="321"/>
      <c r="FH66" s="321"/>
      <c r="FI66" s="321"/>
      <c r="FJ66" s="321"/>
      <c r="FK66" s="321"/>
      <c r="FL66" s="321"/>
      <c r="FM66" s="321"/>
      <c r="FN66" s="321"/>
      <c r="FO66" s="321"/>
      <c r="FP66" s="321"/>
      <c r="FQ66" s="321"/>
      <c r="FR66" s="321"/>
      <c r="FS66" s="321"/>
      <c r="FT66" s="321"/>
      <c r="FU66" s="321"/>
      <c r="FV66" s="321"/>
      <c r="FW66" s="321"/>
      <c r="FX66" s="321"/>
      <c r="FY66" s="321"/>
      <c r="FZ66" s="321"/>
      <c r="GA66" s="321"/>
      <c r="GB66" s="321"/>
      <c r="GC66" s="321"/>
      <c r="GD66" s="321"/>
      <c r="GE66" s="321"/>
      <c r="GF66" s="321"/>
      <c r="GG66" s="321"/>
      <c r="GH66" s="321"/>
      <c r="GI66" s="321"/>
      <c r="GJ66" s="321"/>
      <c r="GK66" s="321"/>
      <c r="GL66" s="321"/>
      <c r="GM66" s="321"/>
      <c r="GN66" s="321"/>
      <c r="GO66" s="321"/>
      <c r="GP66" s="321"/>
      <c r="GQ66" s="321"/>
      <c r="GR66" s="321"/>
      <c r="GS66" s="321"/>
    </row>
    <row r="67" spans="1:201">
      <c r="A67" s="398" t="s">
        <v>36</v>
      </c>
      <c r="B67" s="399">
        <f>(IF(B66=F20,100,0)+IF(G20=1,1,0.5)*J20*100)*IF(ISBLANK(F20)=TRUE,0,1)</f>
        <v>2.375</v>
      </c>
      <c r="C67" s="400">
        <f>IF(C66&gt;$F20+1,0,1)*(IF(D67=0,100,0)+IF($G20=1,1,0.5)*$J20*100)</f>
        <v>2.375</v>
      </c>
      <c r="D67" s="400">
        <f t="shared" ref="D67:BO67" si="292">IF(D66&gt;$F20+1,0,1)*(IF(E67=0,100,0)+IF($G20=1,1,0.5)*$J20*100)</f>
        <v>2.375</v>
      </c>
      <c r="E67" s="400">
        <f t="shared" si="292"/>
        <v>2.375</v>
      </c>
      <c r="F67" s="400">
        <f t="shared" si="292"/>
        <v>2.375</v>
      </c>
      <c r="G67" s="400">
        <f t="shared" si="292"/>
        <v>2.375</v>
      </c>
      <c r="H67" s="400">
        <f t="shared" si="292"/>
        <v>2.375</v>
      </c>
      <c r="I67" s="400">
        <f t="shared" si="292"/>
        <v>2.375</v>
      </c>
      <c r="J67" s="400">
        <f t="shared" si="292"/>
        <v>2.375</v>
      </c>
      <c r="K67" s="400">
        <f t="shared" si="292"/>
        <v>2.375</v>
      </c>
      <c r="L67" s="400">
        <f t="shared" si="292"/>
        <v>2.375</v>
      </c>
      <c r="M67" s="400">
        <f t="shared" si="292"/>
        <v>2.375</v>
      </c>
      <c r="N67" s="400">
        <f t="shared" si="292"/>
        <v>2.375</v>
      </c>
      <c r="O67" s="400">
        <f t="shared" si="292"/>
        <v>2.375</v>
      </c>
      <c r="P67" s="400">
        <f t="shared" si="292"/>
        <v>2.375</v>
      </c>
      <c r="Q67" s="400">
        <f t="shared" si="292"/>
        <v>2.375</v>
      </c>
      <c r="R67" s="400">
        <f t="shared" si="292"/>
        <v>2.375</v>
      </c>
      <c r="S67" s="400">
        <f t="shared" si="292"/>
        <v>2.375</v>
      </c>
      <c r="T67" s="400">
        <f t="shared" si="292"/>
        <v>2.375</v>
      </c>
      <c r="U67" s="400">
        <f t="shared" si="292"/>
        <v>2.375</v>
      </c>
      <c r="V67" s="400">
        <f t="shared" si="292"/>
        <v>2.375</v>
      </c>
      <c r="W67" s="400">
        <f t="shared" si="292"/>
        <v>2.375</v>
      </c>
      <c r="X67" s="400">
        <f t="shared" si="292"/>
        <v>2.375</v>
      </c>
      <c r="Y67" s="400">
        <f t="shared" si="292"/>
        <v>2.375</v>
      </c>
      <c r="Z67" s="400">
        <f t="shared" si="292"/>
        <v>2.375</v>
      </c>
      <c r="AA67" s="400">
        <f t="shared" si="292"/>
        <v>2.375</v>
      </c>
      <c r="AB67" s="400">
        <f t="shared" si="292"/>
        <v>2.375</v>
      </c>
      <c r="AC67" s="400">
        <f t="shared" si="292"/>
        <v>2.375</v>
      </c>
      <c r="AD67" s="400">
        <f t="shared" si="292"/>
        <v>2.375</v>
      </c>
      <c r="AE67" s="400">
        <f t="shared" si="292"/>
        <v>2.375</v>
      </c>
      <c r="AF67" s="400">
        <f t="shared" si="292"/>
        <v>2.375</v>
      </c>
      <c r="AG67" s="400">
        <f t="shared" si="292"/>
        <v>2.375</v>
      </c>
      <c r="AH67" s="400">
        <f t="shared" si="292"/>
        <v>2.375</v>
      </c>
      <c r="AI67" s="400">
        <f t="shared" si="292"/>
        <v>2.375</v>
      </c>
      <c r="AJ67" s="400">
        <f t="shared" si="292"/>
        <v>2.375</v>
      </c>
      <c r="AK67" s="400">
        <f t="shared" si="292"/>
        <v>102.375</v>
      </c>
      <c r="AL67" s="400">
        <f t="shared" si="292"/>
        <v>0</v>
      </c>
      <c r="AM67" s="400">
        <f t="shared" si="292"/>
        <v>0</v>
      </c>
      <c r="AN67" s="400">
        <f t="shared" si="292"/>
        <v>0</v>
      </c>
      <c r="AO67" s="400">
        <f t="shared" si="292"/>
        <v>0</v>
      </c>
      <c r="AP67" s="400">
        <f t="shared" si="292"/>
        <v>0</v>
      </c>
      <c r="AQ67" s="400">
        <f t="shared" si="292"/>
        <v>0</v>
      </c>
      <c r="AR67" s="400">
        <f t="shared" si="292"/>
        <v>0</v>
      </c>
      <c r="AS67" s="400">
        <f t="shared" si="292"/>
        <v>0</v>
      </c>
      <c r="AT67" s="400">
        <f t="shared" si="292"/>
        <v>0</v>
      </c>
      <c r="AU67" s="400">
        <f t="shared" si="292"/>
        <v>0</v>
      </c>
      <c r="AV67" s="400">
        <f t="shared" si="292"/>
        <v>0</v>
      </c>
      <c r="AW67" s="400">
        <f t="shared" si="292"/>
        <v>0</v>
      </c>
      <c r="AX67" s="400">
        <f t="shared" si="292"/>
        <v>0</v>
      </c>
      <c r="AY67" s="400">
        <f t="shared" si="292"/>
        <v>0</v>
      </c>
      <c r="AZ67" s="400">
        <f t="shared" si="292"/>
        <v>0</v>
      </c>
      <c r="BA67" s="400">
        <f t="shared" si="292"/>
        <v>0</v>
      </c>
      <c r="BB67" s="400">
        <f t="shared" si="292"/>
        <v>0</v>
      </c>
      <c r="BC67" s="400">
        <f t="shared" si="292"/>
        <v>0</v>
      </c>
      <c r="BD67" s="400">
        <f t="shared" si="292"/>
        <v>0</v>
      </c>
      <c r="BE67" s="400">
        <f t="shared" si="292"/>
        <v>0</v>
      </c>
      <c r="BF67" s="400">
        <f t="shared" si="292"/>
        <v>0</v>
      </c>
      <c r="BG67" s="400">
        <f t="shared" si="292"/>
        <v>0</v>
      </c>
      <c r="BH67" s="400">
        <f t="shared" si="292"/>
        <v>0</v>
      </c>
      <c r="BI67" s="400">
        <f t="shared" si="292"/>
        <v>0</v>
      </c>
      <c r="BJ67" s="400">
        <f t="shared" si="292"/>
        <v>0</v>
      </c>
      <c r="BK67" s="400">
        <f t="shared" si="292"/>
        <v>0</v>
      </c>
      <c r="BL67" s="400">
        <f t="shared" si="292"/>
        <v>0</v>
      </c>
      <c r="BM67" s="400">
        <f t="shared" si="292"/>
        <v>0</v>
      </c>
      <c r="BN67" s="400">
        <f t="shared" si="292"/>
        <v>0</v>
      </c>
      <c r="BO67" s="400">
        <f t="shared" si="292"/>
        <v>0</v>
      </c>
      <c r="BP67" s="400">
        <f t="shared" ref="BP67:CA67" si="293">IF(BP66&gt;$F20+1,0,1)*(IF(BQ67=0,100,0)+IF($G20=1,1,0.5)*$J20*100)</f>
        <v>0</v>
      </c>
      <c r="BQ67" s="400">
        <f t="shared" si="293"/>
        <v>0</v>
      </c>
      <c r="BR67" s="400">
        <f t="shared" si="293"/>
        <v>0</v>
      </c>
      <c r="BS67" s="400">
        <f t="shared" si="293"/>
        <v>0</v>
      </c>
      <c r="BT67" s="400">
        <f t="shared" si="293"/>
        <v>0</v>
      </c>
      <c r="BU67" s="400">
        <f t="shared" si="293"/>
        <v>0</v>
      </c>
      <c r="BV67" s="400">
        <f t="shared" si="293"/>
        <v>0</v>
      </c>
      <c r="BW67" s="400">
        <f t="shared" si="293"/>
        <v>0</v>
      </c>
      <c r="BX67" s="400">
        <f t="shared" si="293"/>
        <v>0</v>
      </c>
      <c r="BY67" s="400">
        <f t="shared" si="293"/>
        <v>0</v>
      </c>
      <c r="BZ67" s="400">
        <f t="shared" si="293"/>
        <v>0</v>
      </c>
      <c r="CA67" s="400">
        <f t="shared" si="293"/>
        <v>0</v>
      </c>
      <c r="CB67" s="401">
        <f>IF(CB66&gt;$F20+1,0,1)*(IF(CC67=0,100,0)+IF($G20=1,1,0.5)*$J20*100)</f>
        <v>0</v>
      </c>
      <c r="CC67" s="321"/>
      <c r="CD67" s="321"/>
      <c r="CE67" s="321"/>
      <c r="CF67" s="321"/>
      <c r="CG67" s="321"/>
      <c r="CH67" s="321"/>
      <c r="CI67" s="321"/>
      <c r="CJ67" s="321"/>
      <c r="CK67" s="321"/>
      <c r="CL67" s="321"/>
      <c r="CM67" s="321"/>
      <c r="CN67" s="321"/>
      <c r="CO67" s="321"/>
      <c r="CP67" s="321"/>
      <c r="CQ67" s="321"/>
      <c r="CR67" s="321"/>
      <c r="CS67" s="321"/>
      <c r="CT67" s="321"/>
      <c r="CU67" s="321"/>
      <c r="CV67" s="321"/>
      <c r="CW67" s="321"/>
      <c r="CX67" s="321"/>
      <c r="CY67" s="321"/>
      <c r="CZ67" s="321"/>
      <c r="DA67" s="321"/>
      <c r="DB67" s="321"/>
      <c r="DC67" s="321"/>
      <c r="DD67" s="321"/>
      <c r="DE67" s="321"/>
      <c r="DF67" s="321"/>
      <c r="DG67" s="321"/>
      <c r="DH67" s="321"/>
      <c r="DI67" s="321"/>
      <c r="DJ67" s="321"/>
      <c r="DK67" s="321"/>
      <c r="DL67" s="321"/>
      <c r="DM67" s="321"/>
      <c r="DN67" s="321"/>
      <c r="DO67" s="321"/>
      <c r="DP67" s="321"/>
      <c r="DQ67" s="321"/>
      <c r="DR67" s="321"/>
      <c r="DS67" s="321"/>
      <c r="DT67" s="321"/>
      <c r="DU67" s="321"/>
      <c r="DV67" s="321"/>
      <c r="DW67" s="321"/>
      <c r="DX67" s="321"/>
      <c r="DY67" s="321"/>
      <c r="DZ67" s="321"/>
      <c r="EA67" s="321"/>
      <c r="EB67" s="321"/>
      <c r="EC67" s="321"/>
      <c r="ED67" s="321"/>
      <c r="EE67" s="321"/>
      <c r="EF67" s="321"/>
      <c r="EG67" s="321"/>
      <c r="EH67" s="321"/>
      <c r="EI67" s="321"/>
      <c r="EJ67" s="321"/>
      <c r="EK67" s="321"/>
      <c r="EL67" s="321"/>
      <c r="EM67" s="321"/>
      <c r="EN67" s="321"/>
      <c r="EO67" s="321"/>
      <c r="EP67" s="321"/>
      <c r="EQ67" s="321"/>
      <c r="ER67" s="321"/>
      <c r="ES67" s="321"/>
      <c r="ET67" s="321"/>
      <c r="EU67" s="321"/>
      <c r="EV67" s="321"/>
      <c r="EW67" s="321"/>
      <c r="EX67" s="321"/>
      <c r="EY67" s="321"/>
      <c r="EZ67" s="321"/>
      <c r="FA67" s="321"/>
      <c r="FB67" s="321"/>
      <c r="FC67" s="321"/>
      <c r="FD67" s="321"/>
      <c r="FE67" s="321"/>
      <c r="FF67" s="321"/>
      <c r="FG67" s="321"/>
      <c r="FH67" s="321"/>
      <c r="FI67" s="321"/>
      <c r="FJ67" s="321"/>
      <c r="FK67" s="321"/>
      <c r="FL67" s="321"/>
      <c r="FM67" s="321"/>
      <c r="FN67" s="321"/>
      <c r="FO67" s="321"/>
      <c r="FP67" s="321"/>
      <c r="FQ67" s="321"/>
      <c r="FR67" s="321"/>
      <c r="FS67" s="321"/>
      <c r="FT67" s="321"/>
      <c r="FU67" s="321"/>
      <c r="FV67" s="321"/>
      <c r="FW67" s="321"/>
      <c r="FX67" s="321"/>
      <c r="FY67" s="321"/>
      <c r="FZ67" s="321"/>
      <c r="GA67" s="321"/>
      <c r="GB67" s="321"/>
      <c r="GC67" s="321"/>
      <c r="GD67" s="321"/>
      <c r="GE67" s="321"/>
      <c r="GF67" s="321"/>
      <c r="GG67" s="321"/>
      <c r="GH67" s="321"/>
      <c r="GI67" s="321"/>
      <c r="GJ67" s="321"/>
      <c r="GK67" s="321"/>
      <c r="GL67" s="321"/>
      <c r="GM67" s="321"/>
      <c r="GN67" s="321"/>
      <c r="GO67" s="321"/>
      <c r="GP67" s="321"/>
      <c r="GQ67" s="321"/>
      <c r="GR67" s="321"/>
      <c r="GS67" s="321"/>
    </row>
    <row r="68" spans="1:201">
      <c r="A68" s="402" t="s">
        <v>49</v>
      </c>
      <c r="B68" s="403" t="str">
        <f>IF(E21=0,F21,E21)</f>
        <v>8/15/2019</v>
      </c>
      <c r="C68" s="125">
        <f t="shared" ref="C68:D68" si="294">B68+IF($G21=1,365,182.5)</f>
        <v>43874.5</v>
      </c>
      <c r="D68" s="125">
        <f t="shared" si="294"/>
        <v>44057</v>
      </c>
      <c r="E68" s="125">
        <f t="shared" ref="E68" si="295">D68+IF($G21=1,365,182.5)</f>
        <v>44239.5</v>
      </c>
      <c r="F68" s="125">
        <f t="shared" ref="F68" si="296">E68+IF($G21=1,365,182.5)</f>
        <v>44422</v>
      </c>
      <c r="G68" s="125">
        <f t="shared" ref="G68" si="297">F68+IF($G21=1,365,182.5)</f>
        <v>44604.5</v>
      </c>
      <c r="H68" s="125">
        <f t="shared" ref="H68" si="298">G68+IF($G21=1,365,182.5)</f>
        <v>44787</v>
      </c>
      <c r="I68" s="125">
        <f t="shared" ref="I68" si="299">H68+IF($G21=1,365,182.5)</f>
        <v>44969.5</v>
      </c>
      <c r="J68" s="125">
        <f t="shared" ref="J68" si="300">I68+IF($G21=1,365,182.5)</f>
        <v>45152</v>
      </c>
      <c r="K68" s="125">
        <f t="shared" ref="K68" si="301">J68+IF($G21=1,365,182.5)</f>
        <v>45334.5</v>
      </c>
      <c r="L68" s="125">
        <f t="shared" ref="L68" si="302">K68+IF($G21=1,365,182.5)</f>
        <v>45517</v>
      </c>
      <c r="M68" s="125">
        <f t="shared" ref="M68" si="303">L68+IF($G21=1,365,182.5)</f>
        <v>45699.5</v>
      </c>
      <c r="N68" s="125">
        <f t="shared" ref="N68" si="304">M68+IF($G21=1,365,182.5)</f>
        <v>45882</v>
      </c>
      <c r="O68" s="125">
        <f t="shared" ref="O68" si="305">N68+IF($G21=1,365,182.5)</f>
        <v>46064.5</v>
      </c>
      <c r="P68" s="125">
        <f t="shared" ref="P68" si="306">O68+IF($G21=1,365,182.5)</f>
        <v>46247</v>
      </c>
      <c r="Q68" s="125">
        <f t="shared" ref="Q68" si="307">P68+IF($G21=1,365,182.5)</f>
        <v>46429.5</v>
      </c>
      <c r="R68" s="125">
        <f t="shared" ref="R68" si="308">Q68+IF($G21=1,365,182.5)</f>
        <v>46612</v>
      </c>
      <c r="S68" s="125">
        <f t="shared" ref="S68" si="309">R68+IF($G21=1,365,182.5)</f>
        <v>46794.5</v>
      </c>
      <c r="T68" s="125">
        <f t="shared" ref="T68" si="310">S68+IF($G21=1,365,182.5)</f>
        <v>46977</v>
      </c>
      <c r="U68" s="125">
        <f t="shared" ref="U68" si="311">T68+IF($G21=1,365,182.5)</f>
        <v>47159.5</v>
      </c>
      <c r="V68" s="125">
        <f t="shared" ref="V68" si="312">U68+IF($G21=1,365,182.5)</f>
        <v>47342</v>
      </c>
      <c r="W68" s="125">
        <f t="shared" ref="W68" si="313">V68+IF($G21=1,365,182.5)</f>
        <v>47524.5</v>
      </c>
      <c r="X68" s="125">
        <f t="shared" ref="X68" si="314">W68+IF($G21=1,365,182.5)</f>
        <v>47707</v>
      </c>
      <c r="Y68" s="125">
        <f t="shared" ref="Y68" si="315">X68+IF($G21=1,365,182.5)</f>
        <v>47889.5</v>
      </c>
      <c r="Z68" s="125">
        <f t="shared" ref="Z68" si="316">Y68+IF($G21=1,365,182.5)</f>
        <v>48072</v>
      </c>
      <c r="AA68" s="125">
        <f t="shared" ref="AA68" si="317">Z68+IF($G21=1,365,182.5)</f>
        <v>48254.5</v>
      </c>
      <c r="AB68" s="125">
        <f t="shared" ref="AB68" si="318">AA68+IF($G21=1,365,182.5)</f>
        <v>48437</v>
      </c>
      <c r="AC68" s="125">
        <f t="shared" ref="AC68" si="319">AB68+IF($G21=1,365,182.5)</f>
        <v>48619.5</v>
      </c>
      <c r="AD68" s="125">
        <f t="shared" ref="AD68" si="320">AC68+IF($G21=1,365,182.5)</f>
        <v>48802</v>
      </c>
      <c r="AE68" s="125">
        <f t="shared" ref="AE68" si="321">AD68+IF($G21=1,365,182.5)</f>
        <v>48984.5</v>
      </c>
      <c r="AF68" s="125">
        <f t="shared" ref="AF68" si="322">AE68+IF($G21=1,365,182.5)</f>
        <v>49167</v>
      </c>
      <c r="AG68" s="125">
        <f t="shared" ref="AG68" si="323">AF68+IF($G21=1,365,182.5)</f>
        <v>49349.5</v>
      </c>
      <c r="AH68" s="125">
        <f t="shared" ref="AH68" si="324">AG68+IF($G21=1,365,182.5)</f>
        <v>49532</v>
      </c>
      <c r="AI68" s="125">
        <f t="shared" ref="AI68" si="325">AH68+IF($G21=1,365,182.5)</f>
        <v>49714.5</v>
      </c>
      <c r="AJ68" s="125">
        <f t="shared" ref="AJ68" si="326">AI68+IF($G21=1,365,182.5)</f>
        <v>49897</v>
      </c>
      <c r="AK68" s="125">
        <f t="shared" ref="AK68" si="327">AJ68+IF($G21=1,365,182.5)</f>
        <v>50079.5</v>
      </c>
      <c r="AL68" s="125">
        <f t="shared" ref="AL68" si="328">AK68+IF($G21=1,365,182.5)</f>
        <v>50262</v>
      </c>
      <c r="AM68" s="125">
        <f t="shared" ref="AM68" si="329">AL68+IF($G21=1,365,182.5)</f>
        <v>50444.5</v>
      </c>
      <c r="AN68" s="125">
        <f t="shared" ref="AN68" si="330">AM68+IF($G21=1,365,182.5)</f>
        <v>50627</v>
      </c>
      <c r="AO68" s="125">
        <f t="shared" ref="AO68" si="331">AN68+IF($G21=1,365,182.5)</f>
        <v>50809.5</v>
      </c>
      <c r="AP68" s="125">
        <f t="shared" ref="AP68" si="332">AO68+IF($G21=1,365,182.5)</f>
        <v>50992</v>
      </c>
      <c r="AQ68" s="125">
        <f t="shared" ref="AQ68" si="333">AP68+IF($G21=1,365,182.5)</f>
        <v>51174.5</v>
      </c>
      <c r="AR68" s="125">
        <f t="shared" ref="AR68" si="334">AQ68+IF($G21=1,365,182.5)</f>
        <v>51357</v>
      </c>
      <c r="AS68" s="125">
        <f t="shared" ref="AS68" si="335">AR68+IF($G21=1,365,182.5)</f>
        <v>51539.5</v>
      </c>
      <c r="AT68" s="125">
        <f t="shared" ref="AT68" si="336">AS68+IF($G21=1,365,182.5)</f>
        <v>51722</v>
      </c>
      <c r="AU68" s="125">
        <f t="shared" ref="AU68" si="337">AT68+IF($G21=1,365,182.5)</f>
        <v>51904.5</v>
      </c>
      <c r="AV68" s="125">
        <f t="shared" ref="AV68" si="338">AU68+IF($G21=1,365,182.5)</f>
        <v>52087</v>
      </c>
      <c r="AW68" s="125">
        <f t="shared" ref="AW68" si="339">AV68+IF($G21=1,365,182.5)</f>
        <v>52269.5</v>
      </c>
      <c r="AX68" s="125">
        <f t="shared" ref="AX68" si="340">AW68+IF($G21=1,365,182.5)</f>
        <v>52452</v>
      </c>
      <c r="AY68" s="125">
        <f t="shared" ref="AY68" si="341">AX68+IF($G21=1,365,182.5)</f>
        <v>52634.5</v>
      </c>
      <c r="AZ68" s="125">
        <f t="shared" ref="AZ68" si="342">AY68+IF($G21=1,365,182.5)</f>
        <v>52817</v>
      </c>
      <c r="BA68" s="125">
        <f t="shared" ref="BA68" si="343">AZ68+IF($G21=1,365,182.5)</f>
        <v>52999.5</v>
      </c>
      <c r="BB68" s="125">
        <f t="shared" ref="BB68" si="344">BA68+IF($G21=1,365,182.5)</f>
        <v>53182</v>
      </c>
      <c r="BC68" s="125">
        <f t="shared" ref="BC68" si="345">BB68+IF($G21=1,365,182.5)</f>
        <v>53364.5</v>
      </c>
      <c r="BD68" s="125">
        <f t="shared" ref="BD68" si="346">BC68+IF($G21=1,365,182.5)</f>
        <v>53547</v>
      </c>
      <c r="BE68" s="125">
        <f t="shared" ref="BE68" si="347">BD68+IF($G21=1,365,182.5)</f>
        <v>53729.5</v>
      </c>
      <c r="BF68" s="125">
        <f t="shared" ref="BF68" si="348">BE68+IF($G21=1,365,182.5)</f>
        <v>53912</v>
      </c>
      <c r="BG68" s="125">
        <f t="shared" ref="BG68" si="349">BF68+IF($G21=1,365,182.5)</f>
        <v>54094.5</v>
      </c>
      <c r="BH68" s="125">
        <f t="shared" ref="BH68" si="350">BG68+IF($G21=1,365,182.5)</f>
        <v>54277</v>
      </c>
      <c r="BI68" s="125">
        <f t="shared" ref="BI68" si="351">BH68+IF($G21=1,365,182.5)</f>
        <v>54459.5</v>
      </c>
      <c r="BJ68" s="125">
        <f t="shared" ref="BJ68" si="352">BI68+IF($G21=1,365,182.5)</f>
        <v>54642</v>
      </c>
      <c r="BK68" s="125">
        <f t="shared" ref="BK68" si="353">BJ68+IF($G21=1,365,182.5)</f>
        <v>54824.5</v>
      </c>
      <c r="BL68" s="125">
        <f t="shared" ref="BL68" si="354">BK68+IF($G21=1,365,182.5)</f>
        <v>55007</v>
      </c>
      <c r="BM68" s="125">
        <f t="shared" ref="BM68" si="355">BL68+IF($G21=1,365,182.5)</f>
        <v>55189.5</v>
      </c>
      <c r="BN68" s="125">
        <f t="shared" ref="BN68" si="356">BM68+IF($G21=1,365,182.5)</f>
        <v>55372</v>
      </c>
      <c r="BO68" s="125">
        <f t="shared" ref="BO68" si="357">BN68+IF($G21=1,365,182.5)</f>
        <v>55554.5</v>
      </c>
      <c r="BP68" s="125">
        <f t="shared" ref="BP68" si="358">BO68+IF($G21=1,365,182.5)</f>
        <v>55737</v>
      </c>
      <c r="BQ68" s="125">
        <f t="shared" ref="BQ68" si="359">BP68+IF($G21=1,365,182.5)</f>
        <v>55919.5</v>
      </c>
      <c r="BR68" s="125">
        <f t="shared" ref="BR68" si="360">BQ68+IF($G21=1,365,182.5)</f>
        <v>56102</v>
      </c>
      <c r="BS68" s="125">
        <f t="shared" ref="BS68" si="361">BR68+IF($G21=1,365,182.5)</f>
        <v>56284.5</v>
      </c>
      <c r="BT68" s="125">
        <f t="shared" ref="BT68" si="362">BS68+IF($G21=1,365,182.5)</f>
        <v>56467</v>
      </c>
      <c r="BU68" s="125">
        <f t="shared" ref="BU68" si="363">BT68+IF($G21=1,365,182.5)</f>
        <v>56649.5</v>
      </c>
      <c r="BV68" s="125">
        <f t="shared" ref="BV68" si="364">BU68+IF($G21=1,365,182.5)</f>
        <v>56832</v>
      </c>
      <c r="BW68" s="125">
        <f t="shared" ref="BW68" si="365">BV68+IF($G21=1,365,182.5)</f>
        <v>57014.5</v>
      </c>
      <c r="BX68" s="125">
        <f t="shared" ref="BX68" si="366">BW68+IF($G21=1,365,182.5)</f>
        <v>57197</v>
      </c>
      <c r="BY68" s="125">
        <f t="shared" ref="BY68" si="367">BX68+IF($G21=1,365,182.5)</f>
        <v>57379.5</v>
      </c>
      <c r="BZ68" s="125">
        <f t="shared" ref="BZ68" si="368">BY68+IF($G21=1,365,182.5)</f>
        <v>57562</v>
      </c>
      <c r="CA68" s="125">
        <f t="shared" ref="CA68" si="369">BZ68+IF($G21=1,365,182.5)</f>
        <v>57744.5</v>
      </c>
      <c r="CB68" s="126">
        <f t="shared" ref="CB68" si="370">CA68+IF($G21=1,365,182.5)</f>
        <v>57927</v>
      </c>
      <c r="CC68" s="321"/>
      <c r="CD68" s="321"/>
      <c r="CE68" s="321"/>
      <c r="CF68" s="321"/>
      <c r="CG68" s="321"/>
      <c r="CH68" s="321"/>
      <c r="CI68" s="321"/>
      <c r="CJ68" s="321"/>
      <c r="CK68" s="321"/>
      <c r="CL68" s="321"/>
      <c r="CM68" s="321"/>
      <c r="CN68" s="321"/>
      <c r="CO68" s="321"/>
      <c r="CP68" s="321"/>
      <c r="CQ68" s="321"/>
      <c r="CR68" s="321"/>
      <c r="CS68" s="321"/>
      <c r="CT68" s="321"/>
      <c r="CU68" s="321"/>
      <c r="CV68" s="321"/>
      <c r="CW68" s="321"/>
      <c r="CX68" s="321"/>
      <c r="CY68" s="321"/>
      <c r="CZ68" s="321"/>
      <c r="DA68" s="321"/>
      <c r="DB68" s="321"/>
      <c r="DC68" s="321"/>
      <c r="DD68" s="321"/>
      <c r="DE68" s="321"/>
      <c r="DF68" s="321"/>
      <c r="DG68" s="321"/>
      <c r="DH68" s="321"/>
      <c r="DI68" s="321"/>
      <c r="DJ68" s="321"/>
      <c r="DK68" s="321"/>
      <c r="DL68" s="321"/>
      <c r="DM68" s="321"/>
      <c r="DN68" s="321"/>
      <c r="DO68" s="321"/>
      <c r="DP68" s="321"/>
      <c r="DQ68" s="321"/>
      <c r="DR68" s="321"/>
      <c r="DS68" s="321"/>
      <c r="DT68" s="321"/>
      <c r="DU68" s="321"/>
      <c r="DV68" s="321"/>
      <c r="DW68" s="321"/>
      <c r="DX68" s="321"/>
      <c r="DY68" s="321"/>
      <c r="DZ68" s="321"/>
      <c r="EA68" s="321"/>
      <c r="EB68" s="321"/>
      <c r="EC68" s="321"/>
      <c r="ED68" s="321"/>
      <c r="EE68" s="321"/>
      <c r="EF68" s="321"/>
      <c r="EG68" s="321"/>
      <c r="EH68" s="321"/>
      <c r="EI68" s="321"/>
      <c r="EJ68" s="321"/>
      <c r="EK68" s="321"/>
      <c r="EL68" s="321"/>
      <c r="EM68" s="321"/>
      <c r="EN68" s="321"/>
      <c r="EO68" s="321"/>
      <c r="EP68" s="321"/>
      <c r="EQ68" s="321"/>
      <c r="ER68" s="321"/>
      <c r="ES68" s="321"/>
      <c r="ET68" s="321"/>
      <c r="EU68" s="321"/>
      <c r="EV68" s="321"/>
      <c r="EW68" s="321"/>
      <c r="EX68" s="321"/>
      <c r="EY68" s="321"/>
      <c r="EZ68" s="321"/>
      <c r="FA68" s="321"/>
      <c r="FB68" s="321"/>
      <c r="FC68" s="321"/>
      <c r="FD68" s="321"/>
      <c r="FE68" s="321"/>
      <c r="FF68" s="321"/>
      <c r="FG68" s="321"/>
      <c r="FH68" s="321"/>
      <c r="FI68" s="321"/>
      <c r="FJ68" s="321"/>
      <c r="FK68" s="321"/>
      <c r="FL68" s="321"/>
      <c r="FM68" s="321"/>
      <c r="FN68" s="321"/>
      <c r="FO68" s="321"/>
      <c r="FP68" s="321"/>
      <c r="FQ68" s="321"/>
      <c r="FR68" s="321"/>
      <c r="FS68" s="321"/>
      <c r="FT68" s="321"/>
      <c r="FU68" s="321"/>
      <c r="FV68" s="321"/>
      <c r="FW68" s="321"/>
      <c r="FX68" s="321"/>
      <c r="FY68" s="321"/>
      <c r="FZ68" s="321"/>
      <c r="GA68" s="321"/>
      <c r="GB68" s="321"/>
      <c r="GC68" s="321"/>
      <c r="GD68" s="321"/>
      <c r="GE68" s="321"/>
      <c r="GF68" s="321"/>
      <c r="GG68" s="321"/>
      <c r="GH68" s="321"/>
      <c r="GI68" s="321"/>
      <c r="GJ68" s="321"/>
      <c r="GK68" s="321"/>
      <c r="GL68" s="321"/>
      <c r="GM68" s="321"/>
      <c r="GN68" s="321"/>
      <c r="GO68" s="321"/>
      <c r="GP68" s="321"/>
      <c r="GQ68" s="321"/>
      <c r="GR68" s="321"/>
      <c r="GS68" s="321"/>
    </row>
    <row r="69" spans="1:201">
      <c r="A69" s="406" t="s">
        <v>37</v>
      </c>
      <c r="B69" s="403">
        <f>(IF(B68=F21,100,0)+IF(G21=1,1,0.5)*J21*100)*IF(ISBLANK(F21)=TRUE,0,1)</f>
        <v>2.1875</v>
      </c>
      <c r="C69" s="404">
        <f>IF(C68&gt;$F21+1,0,1)*(IF(D69=0,100,0)+IF($G21=1,1,0.5)*$J21*100)</f>
        <v>2.1875</v>
      </c>
      <c r="D69" s="404">
        <f t="shared" ref="D69:BO69" si="371">IF(D68&gt;$F21+1,0,1)*(IF(E69=0,100,0)+IF($G21=1,1,0.5)*$J21*100)</f>
        <v>2.1875</v>
      </c>
      <c r="E69" s="404">
        <f t="shared" si="371"/>
        <v>2.1875</v>
      </c>
      <c r="F69" s="404">
        <f t="shared" si="371"/>
        <v>2.1875</v>
      </c>
      <c r="G69" s="404">
        <f t="shared" si="371"/>
        <v>2.1875</v>
      </c>
      <c r="H69" s="404">
        <f t="shared" si="371"/>
        <v>2.1875</v>
      </c>
      <c r="I69" s="404">
        <f t="shared" si="371"/>
        <v>2.1875</v>
      </c>
      <c r="J69" s="404">
        <f t="shared" si="371"/>
        <v>2.1875</v>
      </c>
      <c r="K69" s="404">
        <f t="shared" si="371"/>
        <v>2.1875</v>
      </c>
      <c r="L69" s="404">
        <f t="shared" si="371"/>
        <v>2.1875</v>
      </c>
      <c r="M69" s="404">
        <f t="shared" si="371"/>
        <v>2.1875</v>
      </c>
      <c r="N69" s="404">
        <f t="shared" si="371"/>
        <v>2.1875</v>
      </c>
      <c r="O69" s="404">
        <f t="shared" si="371"/>
        <v>2.1875</v>
      </c>
      <c r="P69" s="404">
        <f t="shared" si="371"/>
        <v>2.1875</v>
      </c>
      <c r="Q69" s="404">
        <f t="shared" si="371"/>
        <v>2.1875</v>
      </c>
      <c r="R69" s="404">
        <f t="shared" si="371"/>
        <v>2.1875</v>
      </c>
      <c r="S69" s="404">
        <f t="shared" si="371"/>
        <v>2.1875</v>
      </c>
      <c r="T69" s="404">
        <f t="shared" si="371"/>
        <v>2.1875</v>
      </c>
      <c r="U69" s="404">
        <f t="shared" si="371"/>
        <v>2.1875</v>
      </c>
      <c r="V69" s="404">
        <f t="shared" si="371"/>
        <v>2.1875</v>
      </c>
      <c r="W69" s="404">
        <f t="shared" si="371"/>
        <v>2.1875</v>
      </c>
      <c r="X69" s="404">
        <f t="shared" si="371"/>
        <v>2.1875</v>
      </c>
      <c r="Y69" s="404">
        <f t="shared" si="371"/>
        <v>2.1875</v>
      </c>
      <c r="Z69" s="404">
        <f t="shared" si="371"/>
        <v>2.1875</v>
      </c>
      <c r="AA69" s="404">
        <f t="shared" si="371"/>
        <v>2.1875</v>
      </c>
      <c r="AB69" s="404">
        <f t="shared" si="371"/>
        <v>2.1875</v>
      </c>
      <c r="AC69" s="404">
        <f t="shared" si="371"/>
        <v>2.1875</v>
      </c>
      <c r="AD69" s="404">
        <f t="shared" si="371"/>
        <v>2.1875</v>
      </c>
      <c r="AE69" s="404">
        <f t="shared" si="371"/>
        <v>2.1875</v>
      </c>
      <c r="AF69" s="404">
        <f t="shared" si="371"/>
        <v>2.1875</v>
      </c>
      <c r="AG69" s="404">
        <f t="shared" si="371"/>
        <v>2.1875</v>
      </c>
      <c r="AH69" s="404">
        <f t="shared" si="371"/>
        <v>2.1875</v>
      </c>
      <c r="AI69" s="404">
        <f t="shared" si="371"/>
        <v>2.1875</v>
      </c>
      <c r="AJ69" s="404">
        <f t="shared" si="371"/>
        <v>2.1875</v>
      </c>
      <c r="AK69" s="404">
        <f t="shared" si="371"/>
        <v>2.1875</v>
      </c>
      <c r="AL69" s="404">
        <f t="shared" si="371"/>
        <v>2.1875</v>
      </c>
      <c r="AM69" s="404">
        <f t="shared" si="371"/>
        <v>102.1875</v>
      </c>
      <c r="AN69" s="404">
        <f t="shared" si="371"/>
        <v>0</v>
      </c>
      <c r="AO69" s="404">
        <f t="shared" si="371"/>
        <v>0</v>
      </c>
      <c r="AP69" s="404">
        <f t="shared" si="371"/>
        <v>0</v>
      </c>
      <c r="AQ69" s="404">
        <f t="shared" si="371"/>
        <v>0</v>
      </c>
      <c r="AR69" s="404">
        <f t="shared" si="371"/>
        <v>0</v>
      </c>
      <c r="AS69" s="404">
        <f t="shared" si="371"/>
        <v>0</v>
      </c>
      <c r="AT69" s="404">
        <f t="shared" si="371"/>
        <v>0</v>
      </c>
      <c r="AU69" s="404">
        <f t="shared" si="371"/>
        <v>0</v>
      </c>
      <c r="AV69" s="404">
        <f t="shared" si="371"/>
        <v>0</v>
      </c>
      <c r="AW69" s="404">
        <f t="shared" si="371"/>
        <v>0</v>
      </c>
      <c r="AX69" s="404">
        <f t="shared" si="371"/>
        <v>0</v>
      </c>
      <c r="AY69" s="404">
        <f t="shared" si="371"/>
        <v>0</v>
      </c>
      <c r="AZ69" s="404">
        <f t="shared" si="371"/>
        <v>0</v>
      </c>
      <c r="BA69" s="404">
        <f t="shared" si="371"/>
        <v>0</v>
      </c>
      <c r="BB69" s="404">
        <f t="shared" si="371"/>
        <v>0</v>
      </c>
      <c r="BC69" s="404">
        <f t="shared" si="371"/>
        <v>0</v>
      </c>
      <c r="BD69" s="404">
        <f t="shared" si="371"/>
        <v>0</v>
      </c>
      <c r="BE69" s="404">
        <f t="shared" si="371"/>
        <v>0</v>
      </c>
      <c r="BF69" s="404">
        <f t="shared" si="371"/>
        <v>0</v>
      </c>
      <c r="BG69" s="404">
        <f t="shared" si="371"/>
        <v>0</v>
      </c>
      <c r="BH69" s="404">
        <f t="shared" si="371"/>
        <v>0</v>
      </c>
      <c r="BI69" s="404">
        <f t="shared" si="371"/>
        <v>0</v>
      </c>
      <c r="BJ69" s="404">
        <f t="shared" si="371"/>
        <v>0</v>
      </c>
      <c r="BK69" s="404">
        <f t="shared" si="371"/>
        <v>0</v>
      </c>
      <c r="BL69" s="404">
        <f t="shared" si="371"/>
        <v>0</v>
      </c>
      <c r="BM69" s="404">
        <f t="shared" si="371"/>
        <v>0</v>
      </c>
      <c r="BN69" s="404">
        <f t="shared" si="371"/>
        <v>0</v>
      </c>
      <c r="BO69" s="404">
        <f t="shared" si="371"/>
        <v>0</v>
      </c>
      <c r="BP69" s="404">
        <f t="shared" ref="BP69:CA69" si="372">IF(BP68&gt;$F21+1,0,1)*(IF(BQ69=0,100,0)+IF($G21=1,1,0.5)*$J21*100)</f>
        <v>0</v>
      </c>
      <c r="BQ69" s="404">
        <f t="shared" si="372"/>
        <v>0</v>
      </c>
      <c r="BR69" s="404">
        <f t="shared" si="372"/>
        <v>0</v>
      </c>
      <c r="BS69" s="404">
        <f t="shared" si="372"/>
        <v>0</v>
      </c>
      <c r="BT69" s="404">
        <f t="shared" si="372"/>
        <v>0</v>
      </c>
      <c r="BU69" s="404">
        <f t="shared" si="372"/>
        <v>0</v>
      </c>
      <c r="BV69" s="404">
        <f t="shared" si="372"/>
        <v>0</v>
      </c>
      <c r="BW69" s="404">
        <f t="shared" si="372"/>
        <v>0</v>
      </c>
      <c r="BX69" s="404">
        <f t="shared" si="372"/>
        <v>0</v>
      </c>
      <c r="BY69" s="404">
        <f t="shared" si="372"/>
        <v>0</v>
      </c>
      <c r="BZ69" s="404">
        <f t="shared" si="372"/>
        <v>0</v>
      </c>
      <c r="CA69" s="404">
        <f t="shared" si="372"/>
        <v>0</v>
      </c>
      <c r="CB69" s="405">
        <f>IF(CB68&gt;$F21+1,0,1)*(IF(CC69=0,100,0)+IF($G21=1,1,0.5)*$J21*100)</f>
        <v>0</v>
      </c>
      <c r="CC69" s="321"/>
      <c r="CD69" s="321"/>
      <c r="CE69" s="321"/>
      <c r="CF69" s="321"/>
      <c r="CG69" s="321"/>
      <c r="CH69" s="321"/>
      <c r="CI69" s="321"/>
      <c r="CJ69" s="321"/>
      <c r="CK69" s="321"/>
      <c r="CL69" s="321"/>
      <c r="CM69" s="321"/>
      <c r="CN69" s="321"/>
      <c r="CO69" s="321"/>
      <c r="CP69" s="321"/>
      <c r="CQ69" s="321"/>
      <c r="CR69" s="321"/>
      <c r="CS69" s="321"/>
      <c r="CT69" s="321"/>
      <c r="CU69" s="321"/>
      <c r="CV69" s="321"/>
      <c r="CW69" s="321"/>
      <c r="CX69" s="321"/>
      <c r="CY69" s="321"/>
      <c r="CZ69" s="321"/>
      <c r="DA69" s="321"/>
      <c r="DB69" s="321"/>
      <c r="DC69" s="321"/>
      <c r="DD69" s="321"/>
      <c r="DE69" s="321"/>
      <c r="DF69" s="321"/>
      <c r="DG69" s="321"/>
      <c r="DH69" s="321"/>
      <c r="DI69" s="321"/>
      <c r="DJ69" s="321"/>
      <c r="DK69" s="321"/>
      <c r="DL69" s="321"/>
      <c r="DM69" s="321"/>
      <c r="DN69" s="321"/>
      <c r="DO69" s="321"/>
      <c r="DP69" s="321"/>
      <c r="DQ69" s="321"/>
      <c r="DR69" s="321"/>
      <c r="DS69" s="321"/>
      <c r="DT69" s="321"/>
      <c r="DU69" s="321"/>
      <c r="DV69" s="321"/>
      <c r="DW69" s="321"/>
      <c r="DX69" s="321"/>
      <c r="DY69" s="321"/>
      <c r="DZ69" s="321"/>
      <c r="EA69" s="321"/>
      <c r="EB69" s="321"/>
      <c r="EC69" s="321"/>
      <c r="ED69" s="321"/>
      <c r="EE69" s="321"/>
      <c r="EF69" s="321"/>
      <c r="EG69" s="321"/>
      <c r="EH69" s="321"/>
      <c r="EI69" s="321"/>
      <c r="EJ69" s="321"/>
      <c r="EK69" s="321"/>
      <c r="EL69" s="321"/>
      <c r="EM69" s="321"/>
      <c r="EN69" s="321"/>
      <c r="EO69" s="321"/>
      <c r="EP69" s="321"/>
      <c r="EQ69" s="321"/>
      <c r="ER69" s="321"/>
      <c r="ES69" s="321"/>
      <c r="ET69" s="321"/>
      <c r="EU69" s="321"/>
      <c r="EV69" s="321"/>
      <c r="EW69" s="321"/>
      <c r="EX69" s="321"/>
      <c r="EY69" s="321"/>
      <c r="EZ69" s="321"/>
      <c r="FA69" s="321"/>
      <c r="FB69" s="321"/>
      <c r="FC69" s="321"/>
      <c r="FD69" s="321"/>
      <c r="FE69" s="321"/>
      <c r="FF69" s="321"/>
      <c r="FG69" s="321"/>
      <c r="FH69" s="321"/>
      <c r="FI69" s="321"/>
      <c r="FJ69" s="321"/>
      <c r="FK69" s="321"/>
      <c r="FL69" s="321"/>
      <c r="FM69" s="321"/>
      <c r="FN69" s="321"/>
      <c r="FO69" s="321"/>
      <c r="FP69" s="321"/>
      <c r="FQ69" s="321"/>
      <c r="FR69" s="321"/>
      <c r="FS69" s="321"/>
      <c r="FT69" s="321"/>
      <c r="FU69" s="321"/>
      <c r="FV69" s="321"/>
      <c r="FW69" s="321"/>
      <c r="FX69" s="321"/>
      <c r="FY69" s="321"/>
      <c r="FZ69" s="321"/>
      <c r="GA69" s="321"/>
      <c r="GB69" s="321"/>
      <c r="GC69" s="321"/>
      <c r="GD69" s="321"/>
      <c r="GE69" s="321"/>
      <c r="GF69" s="321"/>
      <c r="GG69" s="321"/>
      <c r="GH69" s="321"/>
      <c r="GI69" s="321"/>
      <c r="GJ69" s="321"/>
      <c r="GK69" s="321"/>
      <c r="GL69" s="321"/>
      <c r="GM69" s="321"/>
      <c r="GN69" s="321"/>
      <c r="GO69" s="321"/>
      <c r="GP69" s="321"/>
      <c r="GQ69" s="321"/>
      <c r="GR69" s="321"/>
      <c r="GS69" s="321"/>
    </row>
    <row r="70" spans="1:201">
      <c r="A70" s="407" t="s">
        <v>49</v>
      </c>
      <c r="B70" s="408" t="str">
        <f>IF(E22=0,F22,E22)</f>
        <v>8/15/2019</v>
      </c>
      <c r="C70" s="95">
        <f t="shared" ref="C70" si="373">B70+IF($G22=1,365,182.5)</f>
        <v>43874.5</v>
      </c>
      <c r="D70" s="95">
        <f t="shared" ref="D70" si="374">C70+IF($G22=1,365,182.5)</f>
        <v>44057</v>
      </c>
      <c r="E70" s="95">
        <f t="shared" ref="E70" si="375">D70+IF($G22=1,365,182.5)</f>
        <v>44239.5</v>
      </c>
      <c r="F70" s="95">
        <f t="shared" ref="F70" si="376">E70+IF($G22=1,365,182.5)</f>
        <v>44422</v>
      </c>
      <c r="G70" s="95">
        <f t="shared" ref="G70" si="377">F70+IF($G22=1,365,182.5)</f>
        <v>44604.5</v>
      </c>
      <c r="H70" s="95">
        <f t="shared" ref="H70" si="378">G70+IF($G22=1,365,182.5)</f>
        <v>44787</v>
      </c>
      <c r="I70" s="95">
        <f t="shared" ref="I70" si="379">H70+IF($G22=1,365,182.5)</f>
        <v>44969.5</v>
      </c>
      <c r="J70" s="95">
        <f t="shared" ref="J70" si="380">I70+IF($G22=1,365,182.5)</f>
        <v>45152</v>
      </c>
      <c r="K70" s="95">
        <f t="shared" ref="K70" si="381">J70+IF($G22=1,365,182.5)</f>
        <v>45334.5</v>
      </c>
      <c r="L70" s="95">
        <f t="shared" ref="L70" si="382">K70+IF($G22=1,365,182.5)</f>
        <v>45517</v>
      </c>
      <c r="M70" s="95">
        <f t="shared" ref="M70" si="383">L70+IF($G22=1,365,182.5)</f>
        <v>45699.5</v>
      </c>
      <c r="N70" s="95">
        <f t="shared" ref="N70" si="384">M70+IF($G22=1,365,182.5)</f>
        <v>45882</v>
      </c>
      <c r="O70" s="95">
        <f t="shared" ref="O70" si="385">N70+IF($G22=1,365,182.5)</f>
        <v>46064.5</v>
      </c>
      <c r="P70" s="95">
        <f t="shared" ref="P70" si="386">O70+IF($G22=1,365,182.5)</f>
        <v>46247</v>
      </c>
      <c r="Q70" s="95">
        <f t="shared" ref="Q70" si="387">P70+IF($G22=1,365,182.5)</f>
        <v>46429.5</v>
      </c>
      <c r="R70" s="95">
        <f t="shared" ref="R70" si="388">Q70+IF($G22=1,365,182.5)</f>
        <v>46612</v>
      </c>
      <c r="S70" s="95">
        <f t="shared" ref="S70" si="389">R70+IF($G22=1,365,182.5)</f>
        <v>46794.5</v>
      </c>
      <c r="T70" s="95">
        <f t="shared" ref="T70" si="390">S70+IF($G22=1,365,182.5)</f>
        <v>46977</v>
      </c>
      <c r="U70" s="95">
        <f t="shared" ref="U70" si="391">T70+IF($G22=1,365,182.5)</f>
        <v>47159.5</v>
      </c>
      <c r="V70" s="95">
        <f t="shared" ref="V70" si="392">U70+IF($G22=1,365,182.5)</f>
        <v>47342</v>
      </c>
      <c r="W70" s="95">
        <f t="shared" ref="W70" si="393">V70+IF($G22=1,365,182.5)</f>
        <v>47524.5</v>
      </c>
      <c r="X70" s="95">
        <f t="shared" ref="X70" si="394">W70+IF($G22=1,365,182.5)</f>
        <v>47707</v>
      </c>
      <c r="Y70" s="95">
        <f t="shared" ref="Y70" si="395">X70+IF($G22=1,365,182.5)</f>
        <v>47889.5</v>
      </c>
      <c r="Z70" s="95">
        <f t="shared" ref="Z70" si="396">Y70+IF($G22=1,365,182.5)</f>
        <v>48072</v>
      </c>
      <c r="AA70" s="95">
        <f t="shared" ref="AA70" si="397">Z70+IF($G22=1,365,182.5)</f>
        <v>48254.5</v>
      </c>
      <c r="AB70" s="95">
        <f t="shared" ref="AB70" si="398">AA70+IF($G22=1,365,182.5)</f>
        <v>48437</v>
      </c>
      <c r="AC70" s="95">
        <f t="shared" ref="AC70" si="399">AB70+IF($G22=1,365,182.5)</f>
        <v>48619.5</v>
      </c>
      <c r="AD70" s="95">
        <f t="shared" ref="AD70" si="400">AC70+IF($G22=1,365,182.5)</f>
        <v>48802</v>
      </c>
      <c r="AE70" s="95">
        <f t="shared" ref="AE70" si="401">AD70+IF($G22=1,365,182.5)</f>
        <v>48984.5</v>
      </c>
      <c r="AF70" s="95">
        <f t="shared" ref="AF70" si="402">AE70+IF($G22=1,365,182.5)</f>
        <v>49167</v>
      </c>
      <c r="AG70" s="95">
        <f t="shared" ref="AG70" si="403">AF70+IF($G22=1,365,182.5)</f>
        <v>49349.5</v>
      </c>
      <c r="AH70" s="95">
        <f t="shared" ref="AH70" si="404">AG70+IF($G22=1,365,182.5)</f>
        <v>49532</v>
      </c>
      <c r="AI70" s="95">
        <f t="shared" ref="AI70" si="405">AH70+IF($G22=1,365,182.5)</f>
        <v>49714.5</v>
      </c>
      <c r="AJ70" s="95">
        <f t="shared" ref="AJ70" si="406">AI70+IF($G22=1,365,182.5)</f>
        <v>49897</v>
      </c>
      <c r="AK70" s="95">
        <f t="shared" ref="AK70" si="407">AJ70+IF($G22=1,365,182.5)</f>
        <v>50079.5</v>
      </c>
      <c r="AL70" s="95">
        <f t="shared" ref="AL70" si="408">AK70+IF($G22=1,365,182.5)</f>
        <v>50262</v>
      </c>
      <c r="AM70" s="95">
        <f t="shared" ref="AM70" si="409">AL70+IF($G22=1,365,182.5)</f>
        <v>50444.5</v>
      </c>
      <c r="AN70" s="95">
        <f t="shared" ref="AN70" si="410">AM70+IF($G22=1,365,182.5)</f>
        <v>50627</v>
      </c>
      <c r="AO70" s="95">
        <f t="shared" ref="AO70" si="411">AN70+IF($G22=1,365,182.5)</f>
        <v>50809.5</v>
      </c>
      <c r="AP70" s="95">
        <f t="shared" ref="AP70" si="412">AO70+IF($G22=1,365,182.5)</f>
        <v>50992</v>
      </c>
      <c r="AQ70" s="95">
        <f t="shared" ref="AQ70" si="413">AP70+IF($G22=1,365,182.5)</f>
        <v>51174.5</v>
      </c>
      <c r="AR70" s="95">
        <f t="shared" ref="AR70" si="414">AQ70+IF($G22=1,365,182.5)</f>
        <v>51357</v>
      </c>
      <c r="AS70" s="95">
        <f t="shared" ref="AS70" si="415">AR70+IF($G22=1,365,182.5)</f>
        <v>51539.5</v>
      </c>
      <c r="AT70" s="95">
        <f t="shared" ref="AT70" si="416">AS70+IF($G22=1,365,182.5)</f>
        <v>51722</v>
      </c>
      <c r="AU70" s="95">
        <f t="shared" ref="AU70" si="417">AT70+IF($G22=1,365,182.5)</f>
        <v>51904.5</v>
      </c>
      <c r="AV70" s="95">
        <f t="shared" ref="AV70" si="418">AU70+IF($G22=1,365,182.5)</f>
        <v>52087</v>
      </c>
      <c r="AW70" s="95">
        <f t="shared" ref="AW70" si="419">AV70+IF($G22=1,365,182.5)</f>
        <v>52269.5</v>
      </c>
      <c r="AX70" s="95">
        <f t="shared" ref="AX70" si="420">AW70+IF($G22=1,365,182.5)</f>
        <v>52452</v>
      </c>
      <c r="AY70" s="95">
        <f t="shared" ref="AY70" si="421">AX70+IF($G22=1,365,182.5)</f>
        <v>52634.5</v>
      </c>
      <c r="AZ70" s="95">
        <f t="shared" ref="AZ70" si="422">AY70+IF($G22=1,365,182.5)</f>
        <v>52817</v>
      </c>
      <c r="BA70" s="95">
        <f t="shared" ref="BA70" si="423">AZ70+IF($G22=1,365,182.5)</f>
        <v>52999.5</v>
      </c>
      <c r="BB70" s="95">
        <f t="shared" ref="BB70" si="424">BA70+IF($G22=1,365,182.5)</f>
        <v>53182</v>
      </c>
      <c r="BC70" s="95">
        <f t="shared" ref="BC70" si="425">BB70+IF($G22=1,365,182.5)</f>
        <v>53364.5</v>
      </c>
      <c r="BD70" s="95">
        <f t="shared" ref="BD70" si="426">BC70+IF($G22=1,365,182.5)</f>
        <v>53547</v>
      </c>
      <c r="BE70" s="95">
        <f t="shared" ref="BE70" si="427">BD70+IF($G22=1,365,182.5)</f>
        <v>53729.5</v>
      </c>
      <c r="BF70" s="95">
        <f t="shared" ref="BF70" si="428">BE70+IF($G22=1,365,182.5)</f>
        <v>53912</v>
      </c>
      <c r="BG70" s="95">
        <f t="shared" ref="BG70" si="429">BF70+IF($G22=1,365,182.5)</f>
        <v>54094.5</v>
      </c>
      <c r="BH70" s="95">
        <f t="shared" ref="BH70" si="430">BG70+IF($G22=1,365,182.5)</f>
        <v>54277</v>
      </c>
      <c r="BI70" s="95">
        <f t="shared" ref="BI70" si="431">BH70+IF($G22=1,365,182.5)</f>
        <v>54459.5</v>
      </c>
      <c r="BJ70" s="95">
        <f t="shared" ref="BJ70" si="432">BI70+IF($G22=1,365,182.5)</f>
        <v>54642</v>
      </c>
      <c r="BK70" s="95">
        <f t="shared" ref="BK70" si="433">BJ70+IF($G22=1,365,182.5)</f>
        <v>54824.5</v>
      </c>
      <c r="BL70" s="95">
        <f t="shared" ref="BL70" si="434">BK70+IF($G22=1,365,182.5)</f>
        <v>55007</v>
      </c>
      <c r="BM70" s="95">
        <f t="shared" ref="BM70" si="435">BL70+IF($G22=1,365,182.5)</f>
        <v>55189.5</v>
      </c>
      <c r="BN70" s="95">
        <f t="shared" ref="BN70" si="436">BM70+IF($G22=1,365,182.5)</f>
        <v>55372</v>
      </c>
      <c r="BO70" s="95">
        <f t="shared" ref="BO70" si="437">BN70+IF($G22=1,365,182.5)</f>
        <v>55554.5</v>
      </c>
      <c r="BP70" s="95">
        <f t="shared" ref="BP70" si="438">BO70+IF($G22=1,365,182.5)</f>
        <v>55737</v>
      </c>
      <c r="BQ70" s="95">
        <f t="shared" ref="BQ70" si="439">BP70+IF($G22=1,365,182.5)</f>
        <v>55919.5</v>
      </c>
      <c r="BR70" s="95">
        <f t="shared" ref="BR70" si="440">BQ70+IF($G22=1,365,182.5)</f>
        <v>56102</v>
      </c>
      <c r="BS70" s="95">
        <f t="shared" ref="BS70" si="441">BR70+IF($G22=1,365,182.5)</f>
        <v>56284.5</v>
      </c>
      <c r="BT70" s="95">
        <f t="shared" ref="BT70" si="442">BS70+IF($G22=1,365,182.5)</f>
        <v>56467</v>
      </c>
      <c r="BU70" s="95">
        <f t="shared" ref="BU70" si="443">BT70+IF($G22=1,365,182.5)</f>
        <v>56649.5</v>
      </c>
      <c r="BV70" s="95">
        <f t="shared" ref="BV70" si="444">BU70+IF($G22=1,365,182.5)</f>
        <v>56832</v>
      </c>
      <c r="BW70" s="95">
        <f t="shared" ref="BW70" si="445">BV70+IF($G22=1,365,182.5)</f>
        <v>57014.5</v>
      </c>
      <c r="BX70" s="95">
        <f t="shared" ref="BX70" si="446">BW70+IF($G22=1,365,182.5)</f>
        <v>57197</v>
      </c>
      <c r="BY70" s="95">
        <f t="shared" ref="BY70" si="447">BX70+IF($G22=1,365,182.5)</f>
        <v>57379.5</v>
      </c>
      <c r="BZ70" s="95">
        <f t="shared" ref="BZ70" si="448">BY70+IF($G22=1,365,182.5)</f>
        <v>57562</v>
      </c>
      <c r="CA70" s="95">
        <f t="shared" ref="CA70" si="449">BZ70+IF($G22=1,365,182.5)</f>
        <v>57744.5</v>
      </c>
      <c r="CB70" s="96">
        <f t="shared" ref="CB70" si="450">CA70+IF($G22=1,365,182.5)</f>
        <v>57927</v>
      </c>
      <c r="CC70" s="321"/>
      <c r="CD70" s="321"/>
      <c r="CE70" s="321"/>
      <c r="CF70" s="321"/>
      <c r="CG70" s="321"/>
      <c r="CH70" s="321"/>
      <c r="CI70" s="321"/>
      <c r="CJ70" s="321"/>
      <c r="CK70" s="321"/>
      <c r="CL70" s="321"/>
      <c r="CM70" s="321"/>
      <c r="CN70" s="321"/>
      <c r="CO70" s="321"/>
      <c r="CP70" s="321"/>
      <c r="CQ70" s="321"/>
      <c r="CR70" s="321"/>
      <c r="CS70" s="321"/>
      <c r="CT70" s="321"/>
      <c r="CU70" s="321"/>
      <c r="CV70" s="321"/>
      <c r="CW70" s="321"/>
      <c r="CX70" s="321"/>
      <c r="CY70" s="321"/>
      <c r="CZ70" s="321"/>
      <c r="DA70" s="321"/>
      <c r="DB70" s="321"/>
      <c r="DC70" s="321"/>
      <c r="DD70" s="321"/>
      <c r="DE70" s="321"/>
      <c r="DF70" s="321"/>
      <c r="DG70" s="321"/>
      <c r="DH70" s="321"/>
      <c r="DI70" s="321"/>
      <c r="DJ70" s="321"/>
      <c r="DK70" s="321"/>
      <c r="DL70" s="321"/>
      <c r="DM70" s="321"/>
      <c r="DN70" s="321"/>
      <c r="DO70" s="321"/>
      <c r="DP70" s="321"/>
      <c r="DQ70" s="321"/>
      <c r="DR70" s="321"/>
      <c r="DS70" s="321"/>
      <c r="DT70" s="321"/>
      <c r="DU70" s="321"/>
      <c r="DV70" s="321"/>
      <c r="DW70" s="321"/>
      <c r="DX70" s="321"/>
      <c r="DY70" s="321"/>
      <c r="DZ70" s="321"/>
      <c r="EA70" s="321"/>
      <c r="EB70" s="321"/>
      <c r="EC70" s="321"/>
      <c r="ED70" s="321"/>
      <c r="EE70" s="321"/>
      <c r="EF70" s="321"/>
      <c r="EG70" s="321"/>
      <c r="EH70" s="321"/>
      <c r="EI70" s="321"/>
      <c r="EJ70" s="321"/>
      <c r="EK70" s="321"/>
      <c r="EL70" s="321"/>
      <c r="EM70" s="321"/>
      <c r="EN70" s="321"/>
      <c r="EO70" s="321"/>
      <c r="EP70" s="321"/>
      <c r="EQ70" s="321"/>
      <c r="ER70" s="321"/>
      <c r="ES70" s="321"/>
      <c r="ET70" s="321"/>
      <c r="EU70" s="321"/>
      <c r="EV70" s="321"/>
      <c r="EW70" s="321"/>
      <c r="EX70" s="321"/>
      <c r="EY70" s="321"/>
      <c r="EZ70" s="321"/>
      <c r="FA70" s="321"/>
      <c r="FB70" s="321"/>
      <c r="FC70" s="321"/>
      <c r="FD70" s="321"/>
      <c r="FE70" s="321"/>
      <c r="FF70" s="321"/>
      <c r="FG70" s="321"/>
      <c r="FH70" s="321"/>
      <c r="FI70" s="321"/>
      <c r="FJ70" s="321"/>
      <c r="FK70" s="321"/>
      <c r="FL70" s="321"/>
      <c r="FM70" s="321"/>
      <c r="FN70" s="321"/>
      <c r="FO70" s="321"/>
      <c r="FP70" s="321"/>
      <c r="FQ70" s="321"/>
      <c r="FR70" s="321"/>
      <c r="FS70" s="321"/>
      <c r="FT70" s="321"/>
      <c r="FU70" s="321"/>
      <c r="FV70" s="321"/>
      <c r="FW70" s="321"/>
      <c r="FX70" s="321"/>
      <c r="FY70" s="321"/>
      <c r="FZ70" s="321"/>
      <c r="GA70" s="321"/>
      <c r="GB70" s="321"/>
      <c r="GC70" s="321"/>
      <c r="GD70" s="321"/>
      <c r="GE70" s="321"/>
      <c r="GF70" s="321"/>
      <c r="GG70" s="321"/>
      <c r="GH70" s="321"/>
      <c r="GI70" s="321"/>
      <c r="GJ70" s="321"/>
      <c r="GK70" s="321"/>
      <c r="GL70" s="321"/>
      <c r="GM70" s="321"/>
      <c r="GN70" s="321"/>
      <c r="GO70" s="321"/>
      <c r="GP70" s="321"/>
      <c r="GQ70" s="321"/>
      <c r="GR70" s="321"/>
      <c r="GS70" s="321"/>
    </row>
    <row r="71" spans="1:201">
      <c r="A71" s="409" t="s">
        <v>38</v>
      </c>
      <c r="B71" s="410">
        <f>(IF(B70=F22,100,0)+IF(G22=1,1,0.5)*J22*100)*IF(ISBLANK(F22)=TRUE,0,1)</f>
        <v>1.7500000000000002</v>
      </c>
      <c r="C71" s="411">
        <f>IF(C70&gt;$F22+1,0,1)*(  IF(D71=0,100,0)+IF($G22=1,1,0.5)*$J22*100)</f>
        <v>1.7500000000000002</v>
      </c>
      <c r="D71" s="411">
        <f t="shared" ref="D71:BO71" si="451">IF(D70&gt;$F22+1,0,1)*(  IF(E71=0,100,0)+IF($G22=1,1,0.5)*$J22*100)</f>
        <v>1.7500000000000002</v>
      </c>
      <c r="E71" s="411">
        <f t="shared" si="451"/>
        <v>1.7500000000000002</v>
      </c>
      <c r="F71" s="411">
        <f t="shared" si="451"/>
        <v>1.7500000000000002</v>
      </c>
      <c r="G71" s="411">
        <f t="shared" si="451"/>
        <v>1.7500000000000002</v>
      </c>
      <c r="H71" s="411">
        <f t="shared" si="451"/>
        <v>1.7500000000000002</v>
      </c>
      <c r="I71" s="411">
        <f t="shared" si="451"/>
        <v>1.7500000000000002</v>
      </c>
      <c r="J71" s="411">
        <f t="shared" si="451"/>
        <v>1.7500000000000002</v>
      </c>
      <c r="K71" s="411">
        <f t="shared" si="451"/>
        <v>1.7500000000000002</v>
      </c>
      <c r="L71" s="411">
        <f t="shared" si="451"/>
        <v>1.7500000000000002</v>
      </c>
      <c r="M71" s="411">
        <f t="shared" si="451"/>
        <v>1.7500000000000002</v>
      </c>
      <c r="N71" s="411">
        <f t="shared" si="451"/>
        <v>1.7500000000000002</v>
      </c>
      <c r="O71" s="411">
        <f t="shared" si="451"/>
        <v>1.7500000000000002</v>
      </c>
      <c r="P71" s="411">
        <f t="shared" si="451"/>
        <v>1.7500000000000002</v>
      </c>
      <c r="Q71" s="411">
        <f t="shared" si="451"/>
        <v>1.7500000000000002</v>
      </c>
      <c r="R71" s="411">
        <f t="shared" si="451"/>
        <v>1.7500000000000002</v>
      </c>
      <c r="S71" s="411">
        <f t="shared" si="451"/>
        <v>1.7500000000000002</v>
      </c>
      <c r="T71" s="411">
        <f t="shared" si="451"/>
        <v>1.7500000000000002</v>
      </c>
      <c r="U71" s="411">
        <f t="shared" si="451"/>
        <v>1.7500000000000002</v>
      </c>
      <c r="V71" s="411">
        <f t="shared" si="451"/>
        <v>1.7500000000000002</v>
      </c>
      <c r="W71" s="411">
        <f t="shared" si="451"/>
        <v>1.7500000000000002</v>
      </c>
      <c r="X71" s="411">
        <f t="shared" si="451"/>
        <v>1.7500000000000002</v>
      </c>
      <c r="Y71" s="411">
        <f t="shared" si="451"/>
        <v>1.7500000000000002</v>
      </c>
      <c r="Z71" s="411">
        <f t="shared" si="451"/>
        <v>1.7500000000000002</v>
      </c>
      <c r="AA71" s="411">
        <f t="shared" si="451"/>
        <v>1.7500000000000002</v>
      </c>
      <c r="AB71" s="411">
        <f t="shared" si="451"/>
        <v>1.7500000000000002</v>
      </c>
      <c r="AC71" s="411">
        <f t="shared" si="451"/>
        <v>1.7500000000000002</v>
      </c>
      <c r="AD71" s="411">
        <f t="shared" si="451"/>
        <v>1.7500000000000002</v>
      </c>
      <c r="AE71" s="411">
        <f t="shared" si="451"/>
        <v>1.7500000000000002</v>
      </c>
      <c r="AF71" s="411">
        <f t="shared" si="451"/>
        <v>1.7500000000000002</v>
      </c>
      <c r="AG71" s="411">
        <f t="shared" si="451"/>
        <v>1.7500000000000002</v>
      </c>
      <c r="AH71" s="411">
        <f t="shared" si="451"/>
        <v>1.7500000000000002</v>
      </c>
      <c r="AI71" s="411">
        <f t="shared" si="451"/>
        <v>1.7500000000000002</v>
      </c>
      <c r="AJ71" s="411">
        <f t="shared" si="451"/>
        <v>1.7500000000000002</v>
      </c>
      <c r="AK71" s="411">
        <f t="shared" si="451"/>
        <v>1.7500000000000002</v>
      </c>
      <c r="AL71" s="411">
        <f t="shared" si="451"/>
        <v>1.7500000000000002</v>
      </c>
      <c r="AM71" s="411">
        <f t="shared" si="451"/>
        <v>1.7500000000000002</v>
      </c>
      <c r="AN71" s="411">
        <f t="shared" si="451"/>
        <v>1.7500000000000002</v>
      </c>
      <c r="AO71" s="411">
        <f t="shared" si="451"/>
        <v>101.75</v>
      </c>
      <c r="AP71" s="411">
        <f t="shared" si="451"/>
        <v>0</v>
      </c>
      <c r="AQ71" s="411">
        <f t="shared" si="451"/>
        <v>0</v>
      </c>
      <c r="AR71" s="411">
        <f t="shared" si="451"/>
        <v>0</v>
      </c>
      <c r="AS71" s="411">
        <f t="shared" si="451"/>
        <v>0</v>
      </c>
      <c r="AT71" s="411">
        <f t="shared" si="451"/>
        <v>0</v>
      </c>
      <c r="AU71" s="411">
        <f t="shared" si="451"/>
        <v>0</v>
      </c>
      <c r="AV71" s="411">
        <f t="shared" si="451"/>
        <v>0</v>
      </c>
      <c r="AW71" s="411">
        <f t="shared" si="451"/>
        <v>0</v>
      </c>
      <c r="AX71" s="411">
        <f t="shared" si="451"/>
        <v>0</v>
      </c>
      <c r="AY71" s="411">
        <f t="shared" si="451"/>
        <v>0</v>
      </c>
      <c r="AZ71" s="411">
        <f t="shared" si="451"/>
        <v>0</v>
      </c>
      <c r="BA71" s="411">
        <f t="shared" si="451"/>
        <v>0</v>
      </c>
      <c r="BB71" s="411">
        <f t="shared" si="451"/>
        <v>0</v>
      </c>
      <c r="BC71" s="411">
        <f t="shared" si="451"/>
        <v>0</v>
      </c>
      <c r="BD71" s="411">
        <f t="shared" si="451"/>
        <v>0</v>
      </c>
      <c r="BE71" s="411">
        <f t="shared" si="451"/>
        <v>0</v>
      </c>
      <c r="BF71" s="411">
        <f t="shared" si="451"/>
        <v>0</v>
      </c>
      <c r="BG71" s="411">
        <f t="shared" si="451"/>
        <v>0</v>
      </c>
      <c r="BH71" s="411">
        <f t="shared" si="451"/>
        <v>0</v>
      </c>
      <c r="BI71" s="411">
        <f t="shared" si="451"/>
        <v>0</v>
      </c>
      <c r="BJ71" s="411">
        <f t="shared" si="451"/>
        <v>0</v>
      </c>
      <c r="BK71" s="411">
        <f t="shared" si="451"/>
        <v>0</v>
      </c>
      <c r="BL71" s="411">
        <f t="shared" si="451"/>
        <v>0</v>
      </c>
      <c r="BM71" s="411">
        <f t="shared" si="451"/>
        <v>0</v>
      </c>
      <c r="BN71" s="411">
        <f t="shared" si="451"/>
        <v>0</v>
      </c>
      <c r="BO71" s="411">
        <f t="shared" si="451"/>
        <v>0</v>
      </c>
      <c r="BP71" s="411">
        <f t="shared" ref="BP71:CA71" si="452">IF(BP70&gt;$F22+1,0,1)*(  IF(BQ71=0,100,0)+IF($G22=1,1,0.5)*$J22*100)</f>
        <v>0</v>
      </c>
      <c r="BQ71" s="411">
        <f t="shared" si="452"/>
        <v>0</v>
      </c>
      <c r="BR71" s="411">
        <f t="shared" si="452"/>
        <v>0</v>
      </c>
      <c r="BS71" s="411">
        <f t="shared" si="452"/>
        <v>0</v>
      </c>
      <c r="BT71" s="411">
        <f t="shared" si="452"/>
        <v>0</v>
      </c>
      <c r="BU71" s="411">
        <f t="shared" si="452"/>
        <v>0</v>
      </c>
      <c r="BV71" s="411">
        <f t="shared" si="452"/>
        <v>0</v>
      </c>
      <c r="BW71" s="411">
        <f t="shared" si="452"/>
        <v>0</v>
      </c>
      <c r="BX71" s="411">
        <f t="shared" si="452"/>
        <v>0</v>
      </c>
      <c r="BY71" s="411">
        <f t="shared" si="452"/>
        <v>0</v>
      </c>
      <c r="BZ71" s="411">
        <f t="shared" si="452"/>
        <v>0</v>
      </c>
      <c r="CA71" s="411">
        <f t="shared" si="452"/>
        <v>0</v>
      </c>
      <c r="CB71" s="412">
        <f>IF(CB70&gt;$F22+1,0,1)*(  IF(CC71=0,100,0)+IF($G22=1,1,0.5)*$J22*100)</f>
        <v>0</v>
      </c>
      <c r="CC71" s="321"/>
      <c r="CD71" s="321"/>
      <c r="CE71" s="321"/>
      <c r="CF71" s="321"/>
      <c r="CG71" s="321"/>
      <c r="CH71" s="321"/>
      <c r="CI71" s="321"/>
      <c r="CJ71" s="321"/>
      <c r="CK71" s="321"/>
      <c r="CL71" s="321"/>
      <c r="CM71" s="321"/>
      <c r="CN71" s="321"/>
      <c r="CO71" s="321"/>
      <c r="CP71" s="321"/>
      <c r="CQ71" s="321"/>
      <c r="CR71" s="321"/>
      <c r="CS71" s="321"/>
      <c r="CT71" s="321"/>
      <c r="CU71" s="321"/>
      <c r="CV71" s="321"/>
      <c r="CW71" s="321"/>
      <c r="CX71" s="321"/>
      <c r="CY71" s="321"/>
      <c r="CZ71" s="321"/>
      <c r="DA71" s="321"/>
      <c r="DB71" s="321"/>
      <c r="DC71" s="321"/>
      <c r="DD71" s="321"/>
      <c r="DE71" s="321"/>
      <c r="DF71" s="321"/>
      <c r="DG71" s="321"/>
      <c r="DH71" s="321"/>
      <c r="DI71" s="321"/>
      <c r="DJ71" s="321"/>
      <c r="DK71" s="321"/>
      <c r="DL71" s="321"/>
      <c r="DM71" s="321"/>
      <c r="DN71" s="321"/>
      <c r="DO71" s="321"/>
      <c r="DP71" s="321"/>
      <c r="DQ71" s="321"/>
      <c r="DR71" s="321"/>
      <c r="DS71" s="321"/>
      <c r="DT71" s="321"/>
      <c r="DU71" s="321"/>
      <c r="DV71" s="321"/>
      <c r="DW71" s="321"/>
      <c r="DX71" s="321"/>
      <c r="DY71" s="321"/>
      <c r="DZ71" s="321"/>
      <c r="EA71" s="321"/>
      <c r="EB71" s="321"/>
      <c r="EC71" s="321"/>
      <c r="ED71" s="321"/>
      <c r="EE71" s="321"/>
      <c r="EF71" s="321"/>
      <c r="EG71" s="321"/>
      <c r="EH71" s="321"/>
      <c r="EI71" s="321"/>
      <c r="EJ71" s="321"/>
      <c r="EK71" s="321"/>
      <c r="EL71" s="321"/>
      <c r="EM71" s="321"/>
      <c r="EN71" s="321"/>
      <c r="EO71" s="321"/>
      <c r="EP71" s="321"/>
      <c r="EQ71" s="321"/>
      <c r="ER71" s="321"/>
      <c r="ES71" s="321"/>
      <c r="ET71" s="321"/>
      <c r="EU71" s="321"/>
      <c r="EV71" s="321"/>
      <c r="EW71" s="321"/>
      <c r="EX71" s="321"/>
      <c r="EY71" s="321"/>
      <c r="EZ71" s="321"/>
      <c r="FA71" s="321"/>
      <c r="FB71" s="321"/>
      <c r="FC71" s="321"/>
      <c r="FD71" s="321"/>
      <c r="FE71" s="321"/>
      <c r="FF71" s="321"/>
      <c r="FG71" s="321"/>
      <c r="FH71" s="321"/>
      <c r="FI71" s="321"/>
      <c r="FJ71" s="321"/>
      <c r="FK71" s="321"/>
      <c r="FL71" s="321"/>
      <c r="FM71" s="321"/>
      <c r="FN71" s="321"/>
      <c r="FO71" s="321"/>
      <c r="FP71" s="321"/>
      <c r="FQ71" s="321"/>
      <c r="FR71" s="321"/>
      <c r="FS71" s="321"/>
      <c r="FT71" s="321"/>
      <c r="FU71" s="321"/>
      <c r="FV71" s="321"/>
      <c r="FW71" s="321"/>
      <c r="FX71" s="321"/>
      <c r="FY71" s="321"/>
      <c r="FZ71" s="321"/>
      <c r="GA71" s="321"/>
      <c r="GB71" s="321"/>
      <c r="GC71" s="321"/>
      <c r="GD71" s="321"/>
      <c r="GE71" s="321"/>
      <c r="GF71" s="321"/>
      <c r="GG71" s="321"/>
      <c r="GH71" s="321"/>
      <c r="GI71" s="321"/>
      <c r="GJ71" s="321"/>
      <c r="GK71" s="321"/>
      <c r="GL71" s="321"/>
      <c r="GM71" s="321"/>
      <c r="GN71" s="321"/>
      <c r="GO71" s="321"/>
      <c r="GP71" s="321"/>
      <c r="GQ71" s="321"/>
      <c r="GR71" s="321"/>
      <c r="GS71" s="321"/>
    </row>
    <row r="72" spans="1:201">
      <c r="A72" s="413" t="s">
        <v>49</v>
      </c>
      <c r="B72" s="414" t="str">
        <f>IF(E23=0,F23,E23)</f>
        <v>8/15/2019</v>
      </c>
      <c r="C72" s="100">
        <f t="shared" ref="C72" si="453">B72+IF($G23=1,365,182.5)</f>
        <v>43874.5</v>
      </c>
      <c r="D72" s="100">
        <f t="shared" ref="D72" si="454">C72+IF($G23=1,365,182.5)</f>
        <v>44057</v>
      </c>
      <c r="E72" s="100">
        <f t="shared" ref="E72" si="455">D72+IF($G23=1,365,182.5)</f>
        <v>44239.5</v>
      </c>
      <c r="F72" s="100">
        <f t="shared" ref="F72" si="456">E72+IF($G23=1,365,182.5)</f>
        <v>44422</v>
      </c>
      <c r="G72" s="100">
        <f t="shared" ref="G72" si="457">F72+IF($G23=1,365,182.5)</f>
        <v>44604.5</v>
      </c>
      <c r="H72" s="100">
        <f t="shared" ref="H72" si="458">G72+IF($G23=1,365,182.5)</f>
        <v>44787</v>
      </c>
      <c r="I72" s="100">
        <f t="shared" ref="I72" si="459">H72+IF($G23=1,365,182.5)</f>
        <v>44969.5</v>
      </c>
      <c r="J72" s="100">
        <f t="shared" ref="J72" si="460">I72+IF($G23=1,365,182.5)</f>
        <v>45152</v>
      </c>
      <c r="K72" s="100">
        <f t="shared" ref="K72" si="461">J72+IF($G23=1,365,182.5)</f>
        <v>45334.5</v>
      </c>
      <c r="L72" s="100">
        <f t="shared" ref="L72" si="462">K72+IF($G23=1,365,182.5)</f>
        <v>45517</v>
      </c>
      <c r="M72" s="100">
        <f t="shared" ref="M72" si="463">L72+IF($G23=1,365,182.5)</f>
        <v>45699.5</v>
      </c>
      <c r="N72" s="100">
        <f t="shared" ref="N72" si="464">M72+IF($G23=1,365,182.5)</f>
        <v>45882</v>
      </c>
      <c r="O72" s="100">
        <f t="shared" ref="O72" si="465">N72+IF($G23=1,365,182.5)</f>
        <v>46064.5</v>
      </c>
      <c r="P72" s="100">
        <f t="shared" ref="P72" si="466">O72+IF($G23=1,365,182.5)</f>
        <v>46247</v>
      </c>
      <c r="Q72" s="100">
        <f t="shared" ref="Q72" si="467">P72+IF($G23=1,365,182.5)</f>
        <v>46429.5</v>
      </c>
      <c r="R72" s="100">
        <f t="shared" ref="R72" si="468">Q72+IF($G23=1,365,182.5)</f>
        <v>46612</v>
      </c>
      <c r="S72" s="100">
        <f t="shared" ref="S72" si="469">R72+IF($G23=1,365,182.5)</f>
        <v>46794.5</v>
      </c>
      <c r="T72" s="100">
        <f t="shared" ref="T72" si="470">S72+IF($G23=1,365,182.5)</f>
        <v>46977</v>
      </c>
      <c r="U72" s="100">
        <f t="shared" ref="U72" si="471">T72+IF($G23=1,365,182.5)</f>
        <v>47159.5</v>
      </c>
      <c r="V72" s="100">
        <f t="shared" ref="V72" si="472">U72+IF($G23=1,365,182.5)</f>
        <v>47342</v>
      </c>
      <c r="W72" s="100">
        <f t="shared" ref="W72" si="473">V72+IF($G23=1,365,182.5)</f>
        <v>47524.5</v>
      </c>
      <c r="X72" s="100">
        <f t="shared" ref="X72" si="474">W72+IF($G23=1,365,182.5)</f>
        <v>47707</v>
      </c>
      <c r="Y72" s="100">
        <f t="shared" ref="Y72" si="475">X72+IF($G23=1,365,182.5)</f>
        <v>47889.5</v>
      </c>
      <c r="Z72" s="100">
        <f t="shared" ref="Z72" si="476">Y72+IF($G23=1,365,182.5)</f>
        <v>48072</v>
      </c>
      <c r="AA72" s="100">
        <f t="shared" ref="AA72" si="477">Z72+IF($G23=1,365,182.5)</f>
        <v>48254.5</v>
      </c>
      <c r="AB72" s="100">
        <f t="shared" ref="AB72" si="478">AA72+IF($G23=1,365,182.5)</f>
        <v>48437</v>
      </c>
      <c r="AC72" s="100">
        <f t="shared" ref="AC72" si="479">AB72+IF($G23=1,365,182.5)</f>
        <v>48619.5</v>
      </c>
      <c r="AD72" s="100">
        <f t="shared" ref="AD72" si="480">AC72+IF($G23=1,365,182.5)</f>
        <v>48802</v>
      </c>
      <c r="AE72" s="100">
        <f t="shared" ref="AE72" si="481">AD72+IF($G23=1,365,182.5)</f>
        <v>48984.5</v>
      </c>
      <c r="AF72" s="100">
        <f t="shared" ref="AF72" si="482">AE72+IF($G23=1,365,182.5)</f>
        <v>49167</v>
      </c>
      <c r="AG72" s="100">
        <f t="shared" ref="AG72" si="483">AF72+IF($G23=1,365,182.5)</f>
        <v>49349.5</v>
      </c>
      <c r="AH72" s="100">
        <f t="shared" ref="AH72" si="484">AG72+IF($G23=1,365,182.5)</f>
        <v>49532</v>
      </c>
      <c r="AI72" s="100">
        <f t="shared" ref="AI72" si="485">AH72+IF($G23=1,365,182.5)</f>
        <v>49714.5</v>
      </c>
      <c r="AJ72" s="100">
        <f t="shared" ref="AJ72" si="486">AI72+IF($G23=1,365,182.5)</f>
        <v>49897</v>
      </c>
      <c r="AK72" s="100">
        <f t="shared" ref="AK72" si="487">AJ72+IF($G23=1,365,182.5)</f>
        <v>50079.5</v>
      </c>
      <c r="AL72" s="100">
        <f t="shared" ref="AL72" si="488">AK72+IF($G23=1,365,182.5)</f>
        <v>50262</v>
      </c>
      <c r="AM72" s="100">
        <f t="shared" ref="AM72" si="489">AL72+IF($G23=1,365,182.5)</f>
        <v>50444.5</v>
      </c>
      <c r="AN72" s="100">
        <f t="shared" ref="AN72" si="490">AM72+IF($G23=1,365,182.5)</f>
        <v>50627</v>
      </c>
      <c r="AO72" s="100">
        <f t="shared" ref="AO72" si="491">AN72+IF($G23=1,365,182.5)</f>
        <v>50809.5</v>
      </c>
      <c r="AP72" s="100">
        <f t="shared" ref="AP72" si="492">AO72+IF($G23=1,365,182.5)</f>
        <v>50992</v>
      </c>
      <c r="AQ72" s="100">
        <f t="shared" ref="AQ72" si="493">AP72+IF($G23=1,365,182.5)</f>
        <v>51174.5</v>
      </c>
      <c r="AR72" s="100">
        <f t="shared" ref="AR72" si="494">AQ72+IF($G23=1,365,182.5)</f>
        <v>51357</v>
      </c>
      <c r="AS72" s="100">
        <f t="shared" ref="AS72" si="495">AR72+IF($G23=1,365,182.5)</f>
        <v>51539.5</v>
      </c>
      <c r="AT72" s="100">
        <f t="shared" ref="AT72" si="496">AS72+IF($G23=1,365,182.5)</f>
        <v>51722</v>
      </c>
      <c r="AU72" s="100">
        <f t="shared" ref="AU72" si="497">AT72+IF($G23=1,365,182.5)</f>
        <v>51904.5</v>
      </c>
      <c r="AV72" s="100">
        <f t="shared" ref="AV72" si="498">AU72+IF($G23=1,365,182.5)</f>
        <v>52087</v>
      </c>
      <c r="AW72" s="100">
        <f t="shared" ref="AW72" si="499">AV72+IF($G23=1,365,182.5)</f>
        <v>52269.5</v>
      </c>
      <c r="AX72" s="100">
        <f t="shared" ref="AX72" si="500">AW72+IF($G23=1,365,182.5)</f>
        <v>52452</v>
      </c>
      <c r="AY72" s="100">
        <f t="shared" ref="AY72" si="501">AX72+IF($G23=1,365,182.5)</f>
        <v>52634.5</v>
      </c>
      <c r="AZ72" s="100">
        <f t="shared" ref="AZ72" si="502">AY72+IF($G23=1,365,182.5)</f>
        <v>52817</v>
      </c>
      <c r="BA72" s="100">
        <f t="shared" ref="BA72" si="503">AZ72+IF($G23=1,365,182.5)</f>
        <v>52999.5</v>
      </c>
      <c r="BB72" s="100">
        <f t="shared" ref="BB72" si="504">BA72+IF($G23=1,365,182.5)</f>
        <v>53182</v>
      </c>
      <c r="BC72" s="100">
        <f t="shared" ref="BC72" si="505">BB72+IF($G23=1,365,182.5)</f>
        <v>53364.5</v>
      </c>
      <c r="BD72" s="100">
        <f t="shared" ref="BD72" si="506">BC72+IF($G23=1,365,182.5)</f>
        <v>53547</v>
      </c>
      <c r="BE72" s="100">
        <f t="shared" ref="BE72" si="507">BD72+IF($G23=1,365,182.5)</f>
        <v>53729.5</v>
      </c>
      <c r="BF72" s="100">
        <f t="shared" ref="BF72" si="508">BE72+IF($G23=1,365,182.5)</f>
        <v>53912</v>
      </c>
      <c r="BG72" s="100">
        <f t="shared" ref="BG72" si="509">BF72+IF($G23=1,365,182.5)</f>
        <v>54094.5</v>
      </c>
      <c r="BH72" s="100">
        <f t="shared" ref="BH72" si="510">BG72+IF($G23=1,365,182.5)</f>
        <v>54277</v>
      </c>
      <c r="BI72" s="100">
        <f t="shared" ref="BI72" si="511">BH72+IF($G23=1,365,182.5)</f>
        <v>54459.5</v>
      </c>
      <c r="BJ72" s="100">
        <f t="shared" ref="BJ72" si="512">BI72+IF($G23=1,365,182.5)</f>
        <v>54642</v>
      </c>
      <c r="BK72" s="100">
        <f t="shared" ref="BK72" si="513">BJ72+IF($G23=1,365,182.5)</f>
        <v>54824.5</v>
      </c>
      <c r="BL72" s="100">
        <f t="shared" ref="BL72" si="514">BK72+IF($G23=1,365,182.5)</f>
        <v>55007</v>
      </c>
      <c r="BM72" s="100">
        <f t="shared" ref="BM72" si="515">BL72+IF($G23=1,365,182.5)</f>
        <v>55189.5</v>
      </c>
      <c r="BN72" s="100">
        <f t="shared" ref="BN72" si="516">BM72+IF($G23=1,365,182.5)</f>
        <v>55372</v>
      </c>
      <c r="BO72" s="100">
        <f t="shared" ref="BO72" si="517">BN72+IF($G23=1,365,182.5)</f>
        <v>55554.5</v>
      </c>
      <c r="BP72" s="100">
        <f t="shared" ref="BP72" si="518">BO72+IF($G23=1,365,182.5)</f>
        <v>55737</v>
      </c>
      <c r="BQ72" s="100">
        <f t="shared" ref="BQ72" si="519">BP72+IF($G23=1,365,182.5)</f>
        <v>55919.5</v>
      </c>
      <c r="BR72" s="100">
        <f t="shared" ref="BR72" si="520">BQ72+IF($G23=1,365,182.5)</f>
        <v>56102</v>
      </c>
      <c r="BS72" s="100">
        <f t="shared" ref="BS72" si="521">BR72+IF($G23=1,365,182.5)</f>
        <v>56284.5</v>
      </c>
      <c r="BT72" s="100">
        <f t="shared" ref="BT72" si="522">BS72+IF($G23=1,365,182.5)</f>
        <v>56467</v>
      </c>
      <c r="BU72" s="100">
        <f t="shared" ref="BU72" si="523">BT72+IF($G23=1,365,182.5)</f>
        <v>56649.5</v>
      </c>
      <c r="BV72" s="100">
        <f t="shared" ref="BV72" si="524">BU72+IF($G23=1,365,182.5)</f>
        <v>56832</v>
      </c>
      <c r="BW72" s="100">
        <f t="shared" ref="BW72" si="525">BV72+IF($G23=1,365,182.5)</f>
        <v>57014.5</v>
      </c>
      <c r="BX72" s="100">
        <f t="shared" ref="BX72" si="526">BW72+IF($G23=1,365,182.5)</f>
        <v>57197</v>
      </c>
      <c r="BY72" s="100">
        <f t="shared" ref="BY72" si="527">BX72+IF($G23=1,365,182.5)</f>
        <v>57379.5</v>
      </c>
      <c r="BZ72" s="100">
        <f t="shared" ref="BZ72" si="528">BY72+IF($G23=1,365,182.5)</f>
        <v>57562</v>
      </c>
      <c r="CA72" s="100">
        <f t="shared" ref="CA72" si="529">BZ72+IF($G23=1,365,182.5)</f>
        <v>57744.5</v>
      </c>
      <c r="CB72" s="101">
        <f t="shared" ref="CB72" si="530">CA72+IF($G23=1,365,182.5)</f>
        <v>57927</v>
      </c>
      <c r="CC72" s="321"/>
      <c r="CD72" s="321"/>
      <c r="CE72" s="321"/>
      <c r="CF72" s="321"/>
      <c r="CG72" s="321"/>
      <c r="CH72" s="321"/>
      <c r="CI72" s="321"/>
      <c r="CJ72" s="321"/>
      <c r="CK72" s="321"/>
      <c r="CL72" s="321"/>
      <c r="CM72" s="321"/>
      <c r="CN72" s="321"/>
      <c r="CO72" s="321"/>
      <c r="CP72" s="321"/>
      <c r="CQ72" s="321"/>
      <c r="CR72" s="321"/>
      <c r="CS72" s="321"/>
      <c r="CT72" s="321"/>
      <c r="CU72" s="321"/>
      <c r="CV72" s="321"/>
      <c r="CW72" s="321"/>
      <c r="CX72" s="321"/>
      <c r="CY72" s="321"/>
      <c r="CZ72" s="321"/>
      <c r="DA72" s="321"/>
      <c r="DB72" s="321"/>
      <c r="DC72" s="321"/>
      <c r="DD72" s="321"/>
      <c r="DE72" s="321"/>
      <c r="DF72" s="321"/>
      <c r="DG72" s="321"/>
      <c r="DH72" s="321"/>
      <c r="DI72" s="321"/>
      <c r="DJ72" s="321"/>
      <c r="DK72" s="321"/>
      <c r="DL72" s="321"/>
      <c r="DM72" s="321"/>
      <c r="DN72" s="321"/>
      <c r="DO72" s="321"/>
      <c r="DP72" s="321"/>
      <c r="DQ72" s="321"/>
      <c r="DR72" s="321"/>
      <c r="DS72" s="321"/>
      <c r="DT72" s="321"/>
      <c r="DU72" s="321"/>
      <c r="DV72" s="321"/>
      <c r="DW72" s="321"/>
      <c r="DX72" s="321"/>
      <c r="DY72" s="321"/>
      <c r="DZ72" s="321"/>
      <c r="EA72" s="321"/>
      <c r="EB72" s="321"/>
      <c r="EC72" s="321"/>
      <c r="ED72" s="321"/>
      <c r="EE72" s="321"/>
      <c r="EF72" s="321"/>
      <c r="EG72" s="321"/>
      <c r="EH72" s="321"/>
      <c r="EI72" s="321"/>
      <c r="EJ72" s="321"/>
      <c r="EK72" s="321"/>
      <c r="EL72" s="321"/>
      <c r="EM72" s="321"/>
      <c r="EN72" s="321"/>
      <c r="EO72" s="321"/>
      <c r="EP72" s="321"/>
      <c r="EQ72" s="321"/>
      <c r="ER72" s="321"/>
      <c r="ES72" s="321"/>
      <c r="ET72" s="321"/>
      <c r="EU72" s="321"/>
      <c r="EV72" s="321"/>
      <c r="EW72" s="321"/>
      <c r="EX72" s="321"/>
      <c r="EY72" s="321"/>
      <c r="EZ72" s="321"/>
      <c r="FA72" s="321"/>
      <c r="FB72" s="321"/>
      <c r="FC72" s="321"/>
      <c r="FD72" s="321"/>
      <c r="FE72" s="321"/>
      <c r="FF72" s="321"/>
      <c r="FG72" s="321"/>
      <c r="FH72" s="321"/>
      <c r="FI72" s="321"/>
      <c r="FJ72" s="321"/>
      <c r="FK72" s="321"/>
      <c r="FL72" s="321"/>
      <c r="FM72" s="321"/>
      <c r="FN72" s="321"/>
      <c r="FO72" s="321"/>
      <c r="FP72" s="321"/>
      <c r="FQ72" s="321"/>
      <c r="FR72" s="321"/>
      <c r="FS72" s="321"/>
      <c r="FT72" s="321"/>
      <c r="FU72" s="321"/>
      <c r="FV72" s="321"/>
      <c r="FW72" s="321"/>
      <c r="FX72" s="321"/>
      <c r="FY72" s="321"/>
      <c r="FZ72" s="321"/>
      <c r="GA72" s="321"/>
      <c r="GB72" s="321"/>
      <c r="GC72" s="321"/>
      <c r="GD72" s="321"/>
      <c r="GE72" s="321"/>
      <c r="GF72" s="321"/>
      <c r="GG72" s="321"/>
      <c r="GH72" s="321"/>
      <c r="GI72" s="321"/>
      <c r="GJ72" s="321"/>
      <c r="GK72" s="321"/>
      <c r="GL72" s="321"/>
      <c r="GM72" s="321"/>
      <c r="GN72" s="321"/>
      <c r="GO72" s="321"/>
      <c r="GP72" s="321"/>
      <c r="GQ72" s="321"/>
      <c r="GR72" s="321"/>
      <c r="GS72" s="321"/>
    </row>
    <row r="73" spans="1:201">
      <c r="A73" s="415" t="s">
        <v>39</v>
      </c>
      <c r="B73" s="416">
        <f>(IF(B72=F23,100,0)+IF(G23=1,1,0.5)*J23*100)*IF(ISBLANK(F23)=TRUE,0,1)</f>
        <v>1.9375</v>
      </c>
      <c r="C73" s="417">
        <f>IF(C72&gt;$F23+1,0,1)*(IF(D73=0,100,0)+IF($G23=1,1,0.5)*$J23*100)</f>
        <v>1.9375</v>
      </c>
      <c r="D73" s="417">
        <f t="shared" ref="D73:BO73" si="531">IF(D72&gt;$F23+1,0,1)*(IF(E73=0,100,0)+IF($G23=1,1,0.5)*$J23*100)</f>
        <v>1.9375</v>
      </c>
      <c r="E73" s="417">
        <f t="shared" si="531"/>
        <v>1.9375</v>
      </c>
      <c r="F73" s="417">
        <f t="shared" si="531"/>
        <v>1.9375</v>
      </c>
      <c r="G73" s="417">
        <f t="shared" si="531"/>
        <v>1.9375</v>
      </c>
      <c r="H73" s="417">
        <f t="shared" si="531"/>
        <v>1.9375</v>
      </c>
      <c r="I73" s="417">
        <f t="shared" si="531"/>
        <v>1.9375</v>
      </c>
      <c r="J73" s="417">
        <f t="shared" si="531"/>
        <v>1.9375</v>
      </c>
      <c r="K73" s="417">
        <f t="shared" si="531"/>
        <v>1.9375</v>
      </c>
      <c r="L73" s="417">
        <f t="shared" si="531"/>
        <v>1.9375</v>
      </c>
      <c r="M73" s="417">
        <f t="shared" si="531"/>
        <v>1.9375</v>
      </c>
      <c r="N73" s="417">
        <f t="shared" si="531"/>
        <v>1.9375</v>
      </c>
      <c r="O73" s="417">
        <f t="shared" si="531"/>
        <v>1.9375</v>
      </c>
      <c r="P73" s="417">
        <f t="shared" si="531"/>
        <v>1.9375</v>
      </c>
      <c r="Q73" s="417">
        <f t="shared" si="531"/>
        <v>1.9375</v>
      </c>
      <c r="R73" s="417">
        <f t="shared" si="531"/>
        <v>1.9375</v>
      </c>
      <c r="S73" s="417">
        <f t="shared" si="531"/>
        <v>1.9375</v>
      </c>
      <c r="T73" s="417">
        <f t="shared" si="531"/>
        <v>1.9375</v>
      </c>
      <c r="U73" s="417">
        <f t="shared" si="531"/>
        <v>1.9375</v>
      </c>
      <c r="V73" s="417">
        <f t="shared" si="531"/>
        <v>1.9375</v>
      </c>
      <c r="W73" s="417">
        <f t="shared" si="531"/>
        <v>1.9375</v>
      </c>
      <c r="X73" s="417">
        <f t="shared" si="531"/>
        <v>1.9375</v>
      </c>
      <c r="Y73" s="417">
        <f t="shared" si="531"/>
        <v>1.9375</v>
      </c>
      <c r="Z73" s="417">
        <f t="shared" si="531"/>
        <v>1.9375</v>
      </c>
      <c r="AA73" s="417">
        <f t="shared" si="531"/>
        <v>1.9375</v>
      </c>
      <c r="AB73" s="417">
        <f t="shared" si="531"/>
        <v>1.9375</v>
      </c>
      <c r="AC73" s="417">
        <f t="shared" si="531"/>
        <v>1.9375</v>
      </c>
      <c r="AD73" s="417">
        <f t="shared" si="531"/>
        <v>1.9375</v>
      </c>
      <c r="AE73" s="417">
        <f t="shared" si="531"/>
        <v>1.9375</v>
      </c>
      <c r="AF73" s="417">
        <f t="shared" si="531"/>
        <v>1.9375</v>
      </c>
      <c r="AG73" s="417">
        <f t="shared" si="531"/>
        <v>1.9375</v>
      </c>
      <c r="AH73" s="417">
        <f t="shared" si="531"/>
        <v>1.9375</v>
      </c>
      <c r="AI73" s="417">
        <f t="shared" si="531"/>
        <v>1.9375</v>
      </c>
      <c r="AJ73" s="417">
        <f t="shared" si="531"/>
        <v>1.9375</v>
      </c>
      <c r="AK73" s="417">
        <f t="shared" si="531"/>
        <v>1.9375</v>
      </c>
      <c r="AL73" s="417">
        <f t="shared" si="531"/>
        <v>1.9375</v>
      </c>
      <c r="AM73" s="417">
        <f t="shared" si="531"/>
        <v>1.9375</v>
      </c>
      <c r="AN73" s="417">
        <f t="shared" si="531"/>
        <v>1.9375</v>
      </c>
      <c r="AO73" s="417">
        <f t="shared" si="531"/>
        <v>1.9375</v>
      </c>
      <c r="AP73" s="417">
        <f t="shared" si="531"/>
        <v>1.9375</v>
      </c>
      <c r="AQ73" s="417">
        <f t="shared" si="531"/>
        <v>1.9375</v>
      </c>
      <c r="AR73" s="417">
        <f t="shared" si="531"/>
        <v>101.9375</v>
      </c>
      <c r="AS73" s="417">
        <f t="shared" si="531"/>
        <v>0</v>
      </c>
      <c r="AT73" s="417">
        <f t="shared" si="531"/>
        <v>0</v>
      </c>
      <c r="AU73" s="417">
        <f t="shared" si="531"/>
        <v>0</v>
      </c>
      <c r="AV73" s="417">
        <f t="shared" si="531"/>
        <v>0</v>
      </c>
      <c r="AW73" s="417">
        <f t="shared" si="531"/>
        <v>0</v>
      </c>
      <c r="AX73" s="417">
        <f t="shared" si="531"/>
        <v>0</v>
      </c>
      <c r="AY73" s="417">
        <f t="shared" si="531"/>
        <v>0</v>
      </c>
      <c r="AZ73" s="417">
        <f t="shared" si="531"/>
        <v>0</v>
      </c>
      <c r="BA73" s="417">
        <f t="shared" si="531"/>
        <v>0</v>
      </c>
      <c r="BB73" s="417">
        <f t="shared" si="531"/>
        <v>0</v>
      </c>
      <c r="BC73" s="417">
        <f t="shared" si="531"/>
        <v>0</v>
      </c>
      <c r="BD73" s="417">
        <f t="shared" si="531"/>
        <v>0</v>
      </c>
      <c r="BE73" s="417">
        <f t="shared" si="531"/>
        <v>0</v>
      </c>
      <c r="BF73" s="417">
        <f t="shared" si="531"/>
        <v>0</v>
      </c>
      <c r="BG73" s="417">
        <f t="shared" si="531"/>
        <v>0</v>
      </c>
      <c r="BH73" s="417">
        <f t="shared" si="531"/>
        <v>0</v>
      </c>
      <c r="BI73" s="417">
        <f t="shared" si="531"/>
        <v>0</v>
      </c>
      <c r="BJ73" s="417">
        <f t="shared" si="531"/>
        <v>0</v>
      </c>
      <c r="BK73" s="417">
        <f t="shared" si="531"/>
        <v>0</v>
      </c>
      <c r="BL73" s="417">
        <f t="shared" si="531"/>
        <v>0</v>
      </c>
      <c r="BM73" s="417">
        <f t="shared" si="531"/>
        <v>0</v>
      </c>
      <c r="BN73" s="417">
        <f t="shared" si="531"/>
        <v>0</v>
      </c>
      <c r="BO73" s="417">
        <f t="shared" si="531"/>
        <v>0</v>
      </c>
      <c r="BP73" s="417">
        <f t="shared" ref="BP73:CA73" si="532">IF(BP72&gt;$F23+1,0,1)*(IF(BQ73=0,100,0)+IF($G23=1,1,0.5)*$J23*100)</f>
        <v>0</v>
      </c>
      <c r="BQ73" s="417">
        <f t="shared" si="532"/>
        <v>0</v>
      </c>
      <c r="BR73" s="417">
        <f t="shared" si="532"/>
        <v>0</v>
      </c>
      <c r="BS73" s="417">
        <f t="shared" si="532"/>
        <v>0</v>
      </c>
      <c r="BT73" s="417">
        <f t="shared" si="532"/>
        <v>0</v>
      </c>
      <c r="BU73" s="417">
        <f t="shared" si="532"/>
        <v>0</v>
      </c>
      <c r="BV73" s="417">
        <f t="shared" si="532"/>
        <v>0</v>
      </c>
      <c r="BW73" s="417">
        <f t="shared" si="532"/>
        <v>0</v>
      </c>
      <c r="BX73" s="417">
        <f t="shared" si="532"/>
        <v>0</v>
      </c>
      <c r="BY73" s="417">
        <f t="shared" si="532"/>
        <v>0</v>
      </c>
      <c r="BZ73" s="417">
        <f t="shared" si="532"/>
        <v>0</v>
      </c>
      <c r="CA73" s="417">
        <f t="shared" si="532"/>
        <v>0</v>
      </c>
      <c r="CB73" s="418">
        <f>IF(CB72&gt;$F23+1,0,1)*(IF(CC73=0,100,0)+IF($G23=1,1,0.5)*$J23*100)</f>
        <v>0</v>
      </c>
      <c r="CC73" s="321"/>
      <c r="CD73" s="321"/>
      <c r="CE73" s="321"/>
      <c r="CF73" s="322"/>
      <c r="CG73" s="322"/>
      <c r="CH73" s="322"/>
      <c r="CI73" s="322"/>
      <c r="CJ73" s="322"/>
      <c r="CK73" s="322"/>
      <c r="CL73" s="322"/>
      <c r="CM73" s="322"/>
      <c r="CN73" s="322"/>
      <c r="CO73" s="322"/>
      <c r="CP73" s="322"/>
      <c r="CQ73" s="322"/>
      <c r="CR73" s="322"/>
      <c r="CS73" s="322"/>
      <c r="CT73" s="322"/>
      <c r="CU73" s="322"/>
      <c r="CV73" s="322"/>
      <c r="CW73" s="322"/>
      <c r="CX73" s="322"/>
      <c r="CY73" s="322"/>
      <c r="CZ73" s="322"/>
      <c r="DA73" s="322"/>
      <c r="DB73" s="322"/>
      <c r="DC73" s="322"/>
      <c r="DD73" s="322"/>
      <c r="DE73" s="322"/>
      <c r="DF73" s="322"/>
      <c r="DG73" s="322"/>
      <c r="DH73" s="322"/>
      <c r="DI73" s="322"/>
      <c r="DJ73" s="322"/>
      <c r="DK73" s="322"/>
      <c r="DL73" s="321"/>
      <c r="DM73" s="321"/>
      <c r="DN73" s="321"/>
      <c r="DO73" s="321"/>
      <c r="DP73" s="321"/>
      <c r="DQ73" s="321"/>
      <c r="DR73" s="321"/>
      <c r="DS73" s="321"/>
      <c r="DT73" s="321"/>
      <c r="DU73" s="321"/>
      <c r="DV73" s="321"/>
      <c r="DW73" s="321"/>
      <c r="DX73" s="321"/>
      <c r="DY73" s="321"/>
      <c r="DZ73" s="321"/>
      <c r="EA73" s="321"/>
      <c r="EB73" s="321"/>
      <c r="EC73" s="321"/>
      <c r="ED73" s="321"/>
      <c r="EE73" s="321"/>
      <c r="EF73" s="321"/>
      <c r="EG73" s="321"/>
      <c r="EH73" s="321"/>
      <c r="EI73" s="321"/>
      <c r="EJ73" s="321"/>
      <c r="EK73" s="321"/>
      <c r="EL73" s="321"/>
      <c r="EM73" s="321"/>
      <c r="EN73" s="321"/>
      <c r="EO73" s="321"/>
      <c r="EP73" s="321"/>
      <c r="EQ73" s="321"/>
      <c r="ER73" s="321"/>
      <c r="ES73" s="321"/>
      <c r="ET73" s="321"/>
      <c r="EU73" s="321"/>
      <c r="EV73" s="321"/>
      <c r="EW73" s="321"/>
      <c r="EX73" s="321"/>
      <c r="EY73" s="321"/>
      <c r="EZ73" s="321"/>
      <c r="FA73" s="321"/>
      <c r="FB73" s="321"/>
      <c r="FC73" s="321"/>
      <c r="FD73" s="321"/>
      <c r="FE73" s="321"/>
      <c r="FF73" s="321"/>
      <c r="FG73" s="321"/>
      <c r="FH73" s="321"/>
      <c r="FI73" s="321"/>
      <c r="FJ73" s="321"/>
      <c r="FK73" s="321"/>
      <c r="FL73" s="321"/>
      <c r="FM73" s="321"/>
      <c r="FN73" s="321"/>
      <c r="FO73" s="321"/>
      <c r="FP73" s="321"/>
      <c r="FQ73" s="321"/>
      <c r="FR73" s="321"/>
      <c r="FS73" s="321"/>
      <c r="FT73" s="321"/>
      <c r="FU73" s="321"/>
      <c r="FV73" s="321"/>
      <c r="FW73" s="321"/>
      <c r="FX73" s="321"/>
      <c r="FY73" s="321"/>
      <c r="FZ73" s="321"/>
      <c r="GA73" s="321"/>
      <c r="GB73" s="321"/>
      <c r="GC73" s="321"/>
      <c r="GD73" s="321"/>
      <c r="GE73" s="321"/>
      <c r="GF73" s="321"/>
      <c r="GG73" s="321"/>
      <c r="GH73" s="321"/>
      <c r="GI73" s="321"/>
      <c r="GJ73" s="321"/>
      <c r="GK73" s="321"/>
      <c r="GL73" s="321"/>
      <c r="GM73" s="321"/>
      <c r="GN73" s="321"/>
      <c r="GO73" s="321"/>
      <c r="GP73" s="321"/>
      <c r="GQ73" s="321"/>
      <c r="GR73" s="321"/>
      <c r="GS73" s="321"/>
    </row>
    <row r="74" spans="1:201">
      <c r="A74" s="419" t="s">
        <v>49</v>
      </c>
      <c r="B74" s="420" t="str">
        <f>IF(E24=0,F24,E24)</f>
        <v>11/15/2019</v>
      </c>
      <c r="C74" s="188">
        <f>B74+IF($G24=1,365,182.5)</f>
        <v>43966.5</v>
      </c>
      <c r="D74" s="188">
        <f t="shared" ref="D74:BO74" si="533">C74+IF($G24=1,365,182.5)</f>
        <v>44149</v>
      </c>
      <c r="E74" s="188">
        <f t="shared" si="533"/>
        <v>44331.5</v>
      </c>
      <c r="F74" s="188">
        <f t="shared" si="533"/>
        <v>44514</v>
      </c>
      <c r="G74" s="188">
        <f t="shared" si="533"/>
        <v>44696.5</v>
      </c>
      <c r="H74" s="188">
        <f t="shared" si="533"/>
        <v>44879</v>
      </c>
      <c r="I74" s="188">
        <f t="shared" si="533"/>
        <v>45061.5</v>
      </c>
      <c r="J74" s="188">
        <f t="shared" si="533"/>
        <v>45244</v>
      </c>
      <c r="K74" s="188">
        <f t="shared" si="533"/>
        <v>45426.5</v>
      </c>
      <c r="L74" s="188">
        <f t="shared" si="533"/>
        <v>45609</v>
      </c>
      <c r="M74" s="188">
        <f t="shared" si="533"/>
        <v>45791.5</v>
      </c>
      <c r="N74" s="188">
        <f t="shared" si="533"/>
        <v>45974</v>
      </c>
      <c r="O74" s="188">
        <f t="shared" si="533"/>
        <v>46156.5</v>
      </c>
      <c r="P74" s="188">
        <f t="shared" si="533"/>
        <v>46339</v>
      </c>
      <c r="Q74" s="188">
        <f t="shared" si="533"/>
        <v>46521.5</v>
      </c>
      <c r="R74" s="188">
        <f t="shared" si="533"/>
        <v>46704</v>
      </c>
      <c r="S74" s="188">
        <f t="shared" si="533"/>
        <v>46886.5</v>
      </c>
      <c r="T74" s="188">
        <f t="shared" si="533"/>
        <v>47069</v>
      </c>
      <c r="U74" s="188">
        <f t="shared" si="533"/>
        <v>47251.5</v>
      </c>
      <c r="V74" s="188">
        <f t="shared" si="533"/>
        <v>47434</v>
      </c>
      <c r="W74" s="188">
        <f t="shared" si="533"/>
        <v>47616.5</v>
      </c>
      <c r="X74" s="188">
        <f t="shared" si="533"/>
        <v>47799</v>
      </c>
      <c r="Y74" s="188">
        <f t="shared" si="533"/>
        <v>47981.5</v>
      </c>
      <c r="Z74" s="188">
        <f t="shared" si="533"/>
        <v>48164</v>
      </c>
      <c r="AA74" s="188">
        <f t="shared" si="533"/>
        <v>48346.5</v>
      </c>
      <c r="AB74" s="188">
        <f t="shared" si="533"/>
        <v>48529</v>
      </c>
      <c r="AC74" s="188">
        <f t="shared" si="533"/>
        <v>48711.5</v>
      </c>
      <c r="AD74" s="188">
        <f t="shared" si="533"/>
        <v>48894</v>
      </c>
      <c r="AE74" s="188">
        <f t="shared" si="533"/>
        <v>49076.5</v>
      </c>
      <c r="AF74" s="188">
        <f t="shared" si="533"/>
        <v>49259</v>
      </c>
      <c r="AG74" s="188">
        <f t="shared" si="533"/>
        <v>49441.5</v>
      </c>
      <c r="AH74" s="188">
        <f t="shared" si="533"/>
        <v>49624</v>
      </c>
      <c r="AI74" s="188">
        <f t="shared" si="533"/>
        <v>49806.5</v>
      </c>
      <c r="AJ74" s="188">
        <f t="shared" si="533"/>
        <v>49989</v>
      </c>
      <c r="AK74" s="188">
        <f t="shared" si="533"/>
        <v>50171.5</v>
      </c>
      <c r="AL74" s="188">
        <f t="shared" si="533"/>
        <v>50354</v>
      </c>
      <c r="AM74" s="188">
        <f t="shared" si="533"/>
        <v>50536.5</v>
      </c>
      <c r="AN74" s="188">
        <f t="shared" si="533"/>
        <v>50719</v>
      </c>
      <c r="AO74" s="188">
        <f t="shared" si="533"/>
        <v>50901.5</v>
      </c>
      <c r="AP74" s="188">
        <f t="shared" si="533"/>
        <v>51084</v>
      </c>
      <c r="AQ74" s="188">
        <f t="shared" si="533"/>
        <v>51266.5</v>
      </c>
      <c r="AR74" s="188">
        <f t="shared" si="533"/>
        <v>51449</v>
      </c>
      <c r="AS74" s="188">
        <f t="shared" si="533"/>
        <v>51631.5</v>
      </c>
      <c r="AT74" s="188">
        <f t="shared" si="533"/>
        <v>51814</v>
      </c>
      <c r="AU74" s="188">
        <f t="shared" si="533"/>
        <v>51996.5</v>
      </c>
      <c r="AV74" s="188">
        <f t="shared" si="533"/>
        <v>52179</v>
      </c>
      <c r="AW74" s="188">
        <f t="shared" si="533"/>
        <v>52361.5</v>
      </c>
      <c r="AX74" s="188">
        <f t="shared" si="533"/>
        <v>52544</v>
      </c>
      <c r="AY74" s="188">
        <f t="shared" si="533"/>
        <v>52726.5</v>
      </c>
      <c r="AZ74" s="188">
        <f t="shared" si="533"/>
        <v>52909</v>
      </c>
      <c r="BA74" s="188">
        <f t="shared" si="533"/>
        <v>53091.5</v>
      </c>
      <c r="BB74" s="188">
        <f t="shared" si="533"/>
        <v>53274</v>
      </c>
      <c r="BC74" s="188">
        <f t="shared" si="533"/>
        <v>53456.5</v>
      </c>
      <c r="BD74" s="188">
        <f t="shared" si="533"/>
        <v>53639</v>
      </c>
      <c r="BE74" s="188">
        <f t="shared" si="533"/>
        <v>53821.5</v>
      </c>
      <c r="BF74" s="188">
        <f t="shared" si="533"/>
        <v>54004</v>
      </c>
      <c r="BG74" s="188">
        <f t="shared" si="533"/>
        <v>54186.5</v>
      </c>
      <c r="BH74" s="188">
        <f t="shared" si="533"/>
        <v>54369</v>
      </c>
      <c r="BI74" s="188">
        <f t="shared" si="533"/>
        <v>54551.5</v>
      </c>
      <c r="BJ74" s="188">
        <f t="shared" si="533"/>
        <v>54734</v>
      </c>
      <c r="BK74" s="188">
        <f t="shared" si="533"/>
        <v>54916.5</v>
      </c>
      <c r="BL74" s="188">
        <f t="shared" si="533"/>
        <v>55099</v>
      </c>
      <c r="BM74" s="188">
        <f t="shared" si="533"/>
        <v>55281.5</v>
      </c>
      <c r="BN74" s="188">
        <f t="shared" si="533"/>
        <v>55464</v>
      </c>
      <c r="BO74" s="188">
        <f t="shared" si="533"/>
        <v>55646.5</v>
      </c>
      <c r="BP74" s="188">
        <f t="shared" ref="BP74:CB74" si="534">BO74+IF($G24=1,365,182.5)</f>
        <v>55829</v>
      </c>
      <c r="BQ74" s="188">
        <f t="shared" si="534"/>
        <v>56011.5</v>
      </c>
      <c r="BR74" s="188">
        <f t="shared" si="534"/>
        <v>56194</v>
      </c>
      <c r="BS74" s="188">
        <f t="shared" si="534"/>
        <v>56376.5</v>
      </c>
      <c r="BT74" s="188">
        <f t="shared" si="534"/>
        <v>56559</v>
      </c>
      <c r="BU74" s="188">
        <f t="shared" si="534"/>
        <v>56741.5</v>
      </c>
      <c r="BV74" s="188">
        <f t="shared" si="534"/>
        <v>56924</v>
      </c>
      <c r="BW74" s="188">
        <f t="shared" si="534"/>
        <v>57106.5</v>
      </c>
      <c r="BX74" s="188">
        <f t="shared" si="534"/>
        <v>57289</v>
      </c>
      <c r="BY74" s="188">
        <f t="shared" si="534"/>
        <v>57471.5</v>
      </c>
      <c r="BZ74" s="188">
        <f t="shared" si="534"/>
        <v>57654</v>
      </c>
      <c r="CA74" s="188">
        <f t="shared" si="534"/>
        <v>57836.5</v>
      </c>
      <c r="CB74" s="189">
        <f t="shared" si="534"/>
        <v>58019</v>
      </c>
      <c r="CC74" s="321"/>
      <c r="CD74" s="321"/>
      <c r="CE74" s="321"/>
      <c r="CF74" s="322"/>
      <c r="CG74" s="322"/>
      <c r="CH74" s="322"/>
      <c r="CI74" s="322"/>
      <c r="CJ74" s="322"/>
      <c r="CK74" s="322"/>
      <c r="CL74" s="322"/>
      <c r="CM74" s="322"/>
      <c r="CN74" s="322"/>
      <c r="CO74" s="322"/>
      <c r="CP74" s="322"/>
      <c r="CQ74" s="322"/>
      <c r="CR74" s="322"/>
      <c r="CS74" s="322"/>
      <c r="CT74" s="322"/>
      <c r="CU74" s="322"/>
      <c r="CV74" s="322"/>
      <c r="CW74" s="322"/>
      <c r="CX74" s="322"/>
      <c r="CY74" s="322"/>
      <c r="CZ74" s="322"/>
      <c r="DA74" s="322"/>
      <c r="DB74" s="322"/>
      <c r="DC74" s="322"/>
      <c r="DD74" s="322"/>
      <c r="DE74" s="322"/>
      <c r="DF74" s="322"/>
      <c r="DG74" s="322"/>
      <c r="DH74" s="322"/>
      <c r="DI74" s="322"/>
      <c r="DJ74" s="322"/>
      <c r="DK74" s="322"/>
      <c r="DL74" s="321"/>
      <c r="DM74" s="321"/>
      <c r="DN74" s="321"/>
      <c r="DO74" s="321"/>
      <c r="DP74" s="321"/>
      <c r="DQ74" s="321"/>
      <c r="DR74" s="321"/>
      <c r="DS74" s="321"/>
      <c r="DT74" s="321"/>
      <c r="DU74" s="321"/>
      <c r="DV74" s="321"/>
      <c r="DW74" s="321"/>
      <c r="DX74" s="321"/>
      <c r="DY74" s="321"/>
      <c r="DZ74" s="321"/>
      <c r="EA74" s="321"/>
      <c r="EB74" s="321"/>
      <c r="EC74" s="321"/>
      <c r="ED74" s="321"/>
      <c r="EE74" s="321"/>
      <c r="EF74" s="321"/>
      <c r="EG74" s="321"/>
      <c r="EH74" s="321"/>
      <c r="EI74" s="321"/>
      <c r="EJ74" s="321"/>
      <c r="EK74" s="321"/>
      <c r="EL74" s="321"/>
      <c r="EM74" s="321"/>
      <c r="EN74" s="321"/>
      <c r="EO74" s="321"/>
      <c r="EP74" s="321"/>
      <c r="EQ74" s="321"/>
      <c r="ER74" s="321"/>
      <c r="ES74" s="321"/>
      <c r="ET74" s="321"/>
      <c r="EU74" s="321"/>
      <c r="EV74" s="321"/>
      <c r="EW74" s="321"/>
      <c r="EX74" s="321"/>
      <c r="EY74" s="321"/>
      <c r="EZ74" s="321"/>
      <c r="FA74" s="321"/>
      <c r="FB74" s="321"/>
      <c r="FC74" s="321"/>
      <c r="FD74" s="321"/>
      <c r="FE74" s="321"/>
      <c r="FF74" s="321"/>
      <c r="FG74" s="321"/>
      <c r="FH74" s="321"/>
      <c r="FI74" s="321"/>
      <c r="FJ74" s="321"/>
      <c r="FK74" s="321"/>
      <c r="FL74" s="321"/>
      <c r="FM74" s="321"/>
      <c r="FN74" s="321"/>
      <c r="FO74" s="321"/>
      <c r="FP74" s="321"/>
      <c r="FQ74" s="321"/>
      <c r="FR74" s="321"/>
      <c r="FS74" s="321"/>
      <c r="FT74" s="321"/>
      <c r="FU74" s="321"/>
      <c r="FV74" s="321"/>
      <c r="FW74" s="321"/>
      <c r="FX74" s="321"/>
      <c r="FY74" s="321"/>
      <c r="FZ74" s="321"/>
      <c r="GA74" s="321"/>
      <c r="GB74" s="321"/>
      <c r="GC74" s="321"/>
      <c r="GD74" s="321"/>
      <c r="GE74" s="321"/>
      <c r="GF74" s="321"/>
      <c r="GG74" s="321"/>
      <c r="GH74" s="321"/>
      <c r="GI74" s="321"/>
      <c r="GJ74" s="321"/>
      <c r="GK74" s="321"/>
      <c r="GL74" s="321"/>
      <c r="GM74" s="321"/>
      <c r="GN74" s="321"/>
      <c r="GO74" s="321"/>
      <c r="GP74" s="321"/>
      <c r="GQ74" s="321"/>
      <c r="GR74" s="321"/>
      <c r="GS74" s="321"/>
    </row>
    <row r="75" spans="1:201">
      <c r="A75" s="423" t="s">
        <v>127</v>
      </c>
      <c r="B75" s="424">
        <f>(IF(B74=F24,100,0)+IF(G24=1,1,0.5)*J24*100)*IF(ISBLANK(F24)=TRUE,0,1)</f>
        <v>2.1875</v>
      </c>
      <c r="C75" s="421">
        <f>IF(C74&gt;$F24+1,0,1)*(IF(D75=0,100,0)+IF($G24=1,1,0.5)*$J24*100)</f>
        <v>2.1875</v>
      </c>
      <c r="D75" s="421">
        <f t="shared" ref="D75:F75" si="535">IF(D74&gt;$F24+1,0,1)*(IF(E75=0,100,0)+IF($G24=1,1,0.5)*$J24*100)</f>
        <v>2.1875</v>
      </c>
      <c r="E75" s="421">
        <f t="shared" si="535"/>
        <v>2.1875</v>
      </c>
      <c r="F75" s="421">
        <f t="shared" si="535"/>
        <v>2.1875</v>
      </c>
      <c r="G75" s="421">
        <f>IF(G74&gt;$F24+1,0,1)*(IF(H75=0,100,0)+IF($G24=1,1,0.5)*$J24*100)</f>
        <v>2.1875</v>
      </c>
      <c r="H75" s="421">
        <f t="shared" ref="H75" si="536">IF(H74&gt;$F24+1,0,1)*(IF(I75=0,100,0)+IF($G24=1,1,0.5)*$J24*100)</f>
        <v>2.1875</v>
      </c>
      <c r="I75" s="421">
        <f t="shared" ref="I75:J75" si="537">IF(I74&gt;$F24+1,0,1)*(IF(J75=0,100,0)+IF($G24=1,1,0.5)*$J24*100)</f>
        <v>2.1875</v>
      </c>
      <c r="J75" s="421">
        <f t="shared" si="537"/>
        <v>2.1875</v>
      </c>
      <c r="K75" s="421">
        <f t="shared" ref="K75" si="538">IF(K74&gt;$F24+1,0,1)*(IF(L75=0,100,0)+IF($G24=1,1,0.5)*$J24*100)</f>
        <v>2.1875</v>
      </c>
      <c r="L75" s="421">
        <f t="shared" ref="L75" si="539">IF(L74&gt;$F24+1,0,1)*(IF(M75=0,100,0)+IF($G24=1,1,0.5)*$J24*100)</f>
        <v>2.1875</v>
      </c>
      <c r="M75" s="421">
        <f t="shared" ref="M75:N75" si="540">IF(M74&gt;$F24+1,0,1)*(IF(N75=0,100,0)+IF($G24=1,1,0.5)*$J24*100)</f>
        <v>2.1875</v>
      </c>
      <c r="N75" s="421">
        <f t="shared" si="540"/>
        <v>2.1875</v>
      </c>
      <c r="O75" s="421">
        <f t="shared" ref="O75" si="541">IF(O74&gt;$F24+1,0,1)*(IF(P75=0,100,0)+IF($G24=1,1,0.5)*$J24*100)</f>
        <v>2.1875</v>
      </c>
      <c r="P75" s="421">
        <f t="shared" ref="P75:R75" si="542">IF(P74&gt;$F24+1,0,1)*(IF(Q75=0,100,0)+IF($G24=1,1,0.5)*$J24*100)</f>
        <v>2.1875</v>
      </c>
      <c r="Q75" s="421">
        <f t="shared" si="542"/>
        <v>2.1875</v>
      </c>
      <c r="R75" s="421">
        <f t="shared" si="542"/>
        <v>2.1875</v>
      </c>
      <c r="S75" s="421">
        <f t="shared" ref="S75" si="543">IF(S74&gt;$F24+1,0,1)*(IF(T75=0,100,0)+IF($G24=1,1,0.5)*$J24*100)</f>
        <v>2.1875</v>
      </c>
      <c r="T75" s="421">
        <f t="shared" ref="T75" si="544">IF(T74&gt;$F24+1,0,1)*(IF(U75=0,100,0)+IF($G24=1,1,0.5)*$J24*100)</f>
        <v>2.1875</v>
      </c>
      <c r="U75" s="421">
        <f t="shared" ref="U75:V75" si="545">IF(U74&gt;$F24+1,0,1)*(IF(V75=0,100,0)+IF($G24=1,1,0.5)*$J24*100)</f>
        <v>2.1875</v>
      </c>
      <c r="V75" s="421">
        <f t="shared" si="545"/>
        <v>2.1875</v>
      </c>
      <c r="W75" s="421">
        <f t="shared" ref="W75" si="546">IF(W74&gt;$F24+1,0,1)*(IF(X75=0,100,0)+IF($G24=1,1,0.5)*$J24*100)</f>
        <v>2.1875</v>
      </c>
      <c r="X75" s="421">
        <f t="shared" ref="X75" si="547">IF(X74&gt;$F24+1,0,1)*(IF(Y75=0,100,0)+IF($G24=1,1,0.5)*$J24*100)</f>
        <v>2.1875</v>
      </c>
      <c r="Y75" s="421">
        <f t="shared" ref="Y75" si="548">IF(Y74&gt;$F24+1,0,1)*(IF(Z75=0,100,0)+IF($G24=1,1,0.5)*$J24*100)</f>
        <v>2.1875</v>
      </c>
      <c r="Z75" s="421">
        <f t="shared" ref="Z75" si="549">IF(Z74&gt;$F24+1,0,1)*(IF(AA75=0,100,0)+IF($G24=1,1,0.5)*$J24*100)</f>
        <v>2.1875</v>
      </c>
      <c r="AA75" s="421">
        <f t="shared" ref="AA75" si="550">IF(AA74&gt;$F24+1,0,1)*(IF(AB75=0,100,0)+IF($G24=1,1,0.5)*$J24*100)</f>
        <v>2.1875</v>
      </c>
      <c r="AB75" s="421">
        <f t="shared" ref="AB75" si="551">IF(AB74&gt;$F24+1,0,1)*(IF(AC75=0,100,0)+IF($G24=1,1,0.5)*$J24*100)</f>
        <v>2.1875</v>
      </c>
      <c r="AC75" s="421">
        <f t="shared" ref="AC75" si="552">IF(AC74&gt;$F24+1,0,1)*(IF(AD75=0,100,0)+IF($G24=1,1,0.5)*$J24*100)</f>
        <v>2.1875</v>
      </c>
      <c r="AD75" s="421">
        <f t="shared" ref="AD75" si="553">IF(AD74&gt;$F24+1,0,1)*(IF(AE75=0,100,0)+IF($G24=1,1,0.5)*$J24*100)</f>
        <v>2.1875</v>
      </c>
      <c r="AE75" s="421">
        <f t="shared" ref="AE75" si="554">IF(AE74&gt;$F24+1,0,1)*(IF(AF75=0,100,0)+IF($G24=1,1,0.5)*$J24*100)</f>
        <v>2.1875</v>
      </c>
      <c r="AF75" s="421">
        <f t="shared" ref="AF75:AG75" si="555">IF(AF74&gt;$F24+1,0,1)*(IF(AG75=0,100,0)+IF($G24=1,1,0.5)*$J24*100)</f>
        <v>2.1875</v>
      </c>
      <c r="AG75" s="421">
        <f t="shared" si="555"/>
        <v>2.1875</v>
      </c>
      <c r="AH75" s="421">
        <f t="shared" ref="AH75" si="556">IF(AH74&gt;$F24+1,0,1)*(IF(AI75=0,100,0)+IF($G24=1,1,0.5)*$J24*100)</f>
        <v>2.1875</v>
      </c>
      <c r="AI75" s="421">
        <f t="shared" ref="AI75" si="557">IF(AI74&gt;$F24+1,0,1)*(IF(AJ75=0,100,0)+IF($G24=1,1,0.5)*$J24*100)</f>
        <v>2.1875</v>
      </c>
      <c r="AJ75" s="421">
        <f t="shared" ref="AJ75:AK75" si="558">IF(AJ74&gt;$F24+1,0,1)*(IF(AK75=0,100,0)+IF($G24=1,1,0.5)*$J24*100)</f>
        <v>2.1875</v>
      </c>
      <c r="AK75" s="421">
        <f t="shared" si="558"/>
        <v>2.1875</v>
      </c>
      <c r="AL75" s="421">
        <f t="shared" ref="AL75" si="559">IF(AL74&gt;$F24+1,0,1)*(IF(AM75=0,100,0)+IF($G24=1,1,0.5)*$J24*100)</f>
        <v>2.1875</v>
      </c>
      <c r="AM75" s="421">
        <f t="shared" ref="AM75" si="560">IF(AM74&gt;$F24+1,0,1)*(IF(AN75=0,100,0)+IF($G24=1,1,0.5)*$J24*100)</f>
        <v>2.1875</v>
      </c>
      <c r="AN75" s="421">
        <f>IF(AN74&gt;$F24+1,0,1)*(IF(AO75=0,100,0)+IF($G24=1,1,0.5)*$J24*100)</f>
        <v>2.1875</v>
      </c>
      <c r="AO75" s="421">
        <f t="shared" ref="AO75" si="561">IF(AO74&gt;$F24+1,0,1)*(IF(AP75=0,100,0)+IF($G24=1,1,0.5)*$J24*100)</f>
        <v>2.1875</v>
      </c>
      <c r="AP75" s="421">
        <f t="shared" ref="AP75" si="562">IF(AP74&gt;$F24+1,0,1)*(IF(AQ75=0,100,0)+IF($G24=1,1,0.5)*$J24*100)</f>
        <v>2.1875</v>
      </c>
      <c r="AQ75" s="421">
        <f t="shared" ref="AQ75" si="563">IF(AQ74&gt;$F24+1,0,1)*(IF(AR75=0,100,0)+IF($G24=1,1,0.5)*$J24*100)</f>
        <v>2.1875</v>
      </c>
      <c r="AR75" s="421">
        <f>IF(AR74&gt;$F24+1,0,1)*(IF(AS75=0,100,0)+IF($G24=1,1,0.5)*$J24*100)</f>
        <v>2.1875</v>
      </c>
      <c r="AS75" s="421">
        <f t="shared" ref="AS75" si="564">IF(AS74&gt;$F24+1,0,1)*(IF(AT75=0,100,0)+IF($G24=1,1,0.5)*$J24*100)</f>
        <v>102.1875</v>
      </c>
      <c r="AT75" s="421">
        <f>IF(AT74&gt;$F24+1,0,1)*(IF(AU75=0,100,0)+IF($G24=1,1,0.5)*$J24*100)</f>
        <v>0</v>
      </c>
      <c r="AU75" s="421">
        <f t="shared" ref="AU75" si="565">IF(AU74&gt;$F24+1,0,1)*(IF(AV75=0,100,0)+IF($G24=1,1,0.5)*$J24*100)</f>
        <v>0</v>
      </c>
      <c r="AV75" s="421">
        <f t="shared" ref="AV75" si="566">IF(AV74&gt;$F24+1,0,1)*(IF(AW75=0,100,0)+IF($G24=1,1,0.5)*$J24*100)</f>
        <v>0</v>
      </c>
      <c r="AW75" s="421">
        <f t="shared" ref="AW75" si="567">IF(AW74&gt;$F24+1,0,1)*(IF(AX75=0,100,0)+IF($G24=1,1,0.5)*$J24*100)</f>
        <v>0</v>
      </c>
      <c r="AX75" s="421">
        <f>IF(AX74&gt;$F24+1,0,1)*(IF(AY75=0,100,0)+IF($G24=1,1,0.5)*$J24*100)</f>
        <v>0</v>
      </c>
      <c r="AY75" s="421">
        <f t="shared" ref="AY75" si="568">IF(AY74&gt;$F24+1,0,1)*(IF(AZ75=0,100,0)+IF($G24=1,1,0.5)*$J24*100)</f>
        <v>0</v>
      </c>
      <c r="AZ75" s="421">
        <f t="shared" ref="AZ75" si="569">IF(AZ74&gt;$F24+1,0,1)*(IF(BA75=0,100,0)+IF($G24=1,1,0.5)*$J24*100)</f>
        <v>0</v>
      </c>
      <c r="BA75" s="421">
        <f t="shared" ref="BA75" si="570">IF(BA74&gt;$F24+1,0,1)*(IF(BB75=0,100,0)+IF($G24=1,1,0.5)*$J24*100)</f>
        <v>0</v>
      </c>
      <c r="BB75" s="421">
        <f t="shared" ref="BB75" si="571">IF(BB74&gt;$F24+1,0,1)*(IF(BC75=0,100,0)+IF($G24=1,1,0.5)*$J24*100)</f>
        <v>0</v>
      </c>
      <c r="BC75" s="421">
        <f t="shared" ref="BC75" si="572">IF(BC74&gt;$F24+1,0,1)*(IF(BD75=0,100,0)+IF($G24=1,1,0.5)*$J24*100)</f>
        <v>0</v>
      </c>
      <c r="BD75" s="346">
        <f t="shared" ref="BD75" si="573">IF(BD74&gt;$F24+1,0,1)*(IF(BE75=0,100,0)+IF($G24=1,1,0.5)*$J24*100)</f>
        <v>0</v>
      </c>
      <c r="BE75" s="421">
        <f t="shared" ref="BE75" si="574">IF(BE74&gt;$F24+1,0,1)*(IF(BF75=0,100,0)+IF($G24=1,1,0.5)*$J24*100)</f>
        <v>0</v>
      </c>
      <c r="BF75" s="421">
        <f t="shared" ref="BF75" si="575">IF(BF74&gt;$F24+1,0,1)*(IF(BG75=0,100,0)+IF($G24=1,1,0.5)*$J24*100)</f>
        <v>0</v>
      </c>
      <c r="BG75" s="421">
        <f t="shared" ref="BG75" si="576">IF(BG74&gt;$F24+1,0,1)*(IF(BH75=0,100,0)+IF($G24=1,1,0.5)*$J24*100)</f>
        <v>0</v>
      </c>
      <c r="BH75" s="421">
        <f>IF(BH74&gt;$F24+1,0,1)*(IF(BI75=0,100,0)+IF($G24=1,1,0.5)*$J24*100)</f>
        <v>0</v>
      </c>
      <c r="BI75" s="421">
        <f t="shared" ref="BI75" si="577">IF(BI74&gt;$F24+1,0,1)*(IF(BJ75=0,100,0)+IF($G24=1,1,0.5)*$J24*100)</f>
        <v>0</v>
      </c>
      <c r="BJ75" s="421">
        <f t="shared" ref="BJ75" si="578">IF(BJ74&gt;$F24+1,0,1)*(IF(BK75=0,100,0)+IF($G24=1,1,0.5)*$J24*100)</f>
        <v>0</v>
      </c>
      <c r="BK75" s="421">
        <f t="shared" ref="BK75" si="579">IF(BK74&gt;$F24+1,0,1)*(IF(BL75=0,100,0)+IF($G24=1,1,0.5)*$J24*100)</f>
        <v>0</v>
      </c>
      <c r="BL75" s="421">
        <f>IF(BL74&gt;$F24+1,0,1)*(IF(BM75=0,100,0)+IF($G24=1,1,0.5)*$J24*100)</f>
        <v>0</v>
      </c>
      <c r="BM75" s="421">
        <f t="shared" ref="BM75" si="580">IF(BM74&gt;$F24+1,0,1)*(IF(BN75=0,100,0)+IF($G24=1,1,0.5)*$J24*100)</f>
        <v>0</v>
      </c>
      <c r="BN75" s="421">
        <f t="shared" ref="BN75" si="581">IF(BN74&gt;$F24+1,0,1)*(IF(BO75=0,100,0)+IF($G24=1,1,0.5)*$J24*100)</f>
        <v>0</v>
      </c>
      <c r="BO75" s="421">
        <f t="shared" ref="BO75" si="582">IF(BO74&gt;$F24+1,0,1)*(IF(BP75=0,100,0)+IF($G24=1,1,0.5)*$J24*100)</f>
        <v>0</v>
      </c>
      <c r="BP75" s="421">
        <f t="shared" ref="BP75" si="583">IF(BP74&gt;$F24+1,0,1)*(IF(BQ75=0,100,0)+IF($G24=1,1,0.5)*$J24*100)</f>
        <v>0</v>
      </c>
      <c r="BQ75" s="421">
        <f t="shared" ref="BQ75" si="584">IF(BQ74&gt;$F24+1,0,1)*(IF(BR75=0,100,0)+IF($G24=1,1,0.5)*$J24*100)</f>
        <v>0</v>
      </c>
      <c r="BR75" s="421">
        <f t="shared" ref="BR75" si="585">IF(BR74&gt;$F24+1,0,1)*(IF(BS75=0,100,0)+IF($G24=1,1,0.5)*$J24*100)</f>
        <v>0</v>
      </c>
      <c r="BS75" s="421">
        <f t="shared" ref="BS75" si="586">IF(BS74&gt;$F24+1,0,1)*(IF(BT75=0,100,0)+IF($G24=1,1,0.5)*$J24*100)</f>
        <v>0</v>
      </c>
      <c r="BT75" s="421">
        <f t="shared" ref="BT75" si="587">IF(BT74&gt;$F24+1,0,1)*(IF(BU75=0,100,0)+IF($G24=1,1,0.5)*$J24*100)</f>
        <v>0</v>
      </c>
      <c r="BU75" s="421">
        <f t="shared" ref="BU75" si="588">IF(BU74&gt;$F24+1,0,1)*(IF(BV75=0,100,0)+IF($G24=1,1,0.5)*$J24*100)</f>
        <v>0</v>
      </c>
      <c r="BV75" s="421">
        <f t="shared" ref="BV75" si="589">IF(BV74&gt;$F24+1,0,1)*(IF(BW75=0,100,0)+IF($G24=1,1,0.5)*$J24*100)</f>
        <v>0</v>
      </c>
      <c r="BW75" s="421">
        <f t="shared" ref="BW75" si="590">IF(BW74&gt;$F24+1,0,1)*(IF(BX75=0,100,0)+IF($G24=1,1,0.5)*$J24*100)</f>
        <v>0</v>
      </c>
      <c r="BX75" s="421">
        <f t="shared" ref="BX75" si="591">IF(BX74&gt;$F24+1,0,1)*(IF(BY75=0,100,0)+IF($G24=1,1,0.5)*$J24*100)</f>
        <v>0</v>
      </c>
      <c r="BY75" s="421">
        <f t="shared" ref="BY75" si="592">IF(BY74&gt;$F24+1,0,1)*(IF(BZ75=0,100,0)+IF($G24=1,1,0.5)*$J24*100)</f>
        <v>0</v>
      </c>
      <c r="BZ75" s="421">
        <f t="shared" ref="BZ75" si="593">IF(BZ74&gt;$F24+1,0,1)*(IF(CA75=0,100,0)+IF($G24=1,1,0.5)*$J24*100)</f>
        <v>0</v>
      </c>
      <c r="CA75" s="421">
        <f t="shared" ref="CA75" si="594">IF(CA74&gt;$F24+1,0,1)*(IF(CB75=0,100,0)+IF($G24=1,1,0.5)*$J24*100)</f>
        <v>0</v>
      </c>
      <c r="CB75" s="422">
        <f>IF(CB74&gt;$F24+1,0,1)*(IF(CC75=0,100,0)+IF($G24=1,1,0.5)*$J24*100)</f>
        <v>0</v>
      </c>
      <c r="CC75" s="321"/>
      <c r="CD75" s="321"/>
      <c r="CE75" s="321"/>
      <c r="CF75" s="322"/>
      <c r="CG75" s="322"/>
      <c r="CH75" s="322"/>
      <c r="CI75" s="322"/>
      <c r="CJ75" s="322"/>
      <c r="CK75" s="322"/>
      <c r="CL75" s="322"/>
      <c r="CM75" s="322"/>
      <c r="CN75" s="322"/>
      <c r="CO75" s="322"/>
      <c r="CP75" s="322"/>
      <c r="CQ75" s="322"/>
      <c r="CR75" s="322"/>
      <c r="CS75" s="322"/>
      <c r="CT75" s="322"/>
      <c r="CU75" s="322"/>
      <c r="CV75" s="322"/>
      <c r="CW75" s="322"/>
      <c r="CX75" s="322"/>
      <c r="CY75" s="322"/>
      <c r="CZ75" s="322"/>
      <c r="DA75" s="322"/>
      <c r="DB75" s="322"/>
      <c r="DC75" s="322"/>
      <c r="DD75" s="322"/>
      <c r="DE75" s="322"/>
      <c r="DF75" s="322"/>
      <c r="DG75" s="322"/>
      <c r="DH75" s="322"/>
      <c r="DI75" s="322"/>
      <c r="DJ75" s="322"/>
      <c r="DK75" s="322"/>
      <c r="DL75" s="321"/>
      <c r="DM75" s="321"/>
      <c r="DN75" s="321"/>
      <c r="DO75" s="321"/>
      <c r="DP75" s="321"/>
      <c r="DQ75" s="321"/>
      <c r="DR75" s="321"/>
      <c r="DS75" s="321"/>
      <c r="DT75" s="321"/>
      <c r="DU75" s="321"/>
      <c r="DV75" s="321"/>
      <c r="DW75" s="321"/>
      <c r="DX75" s="321"/>
      <c r="DY75" s="321"/>
      <c r="DZ75" s="321"/>
      <c r="EA75" s="321"/>
      <c r="EB75" s="321"/>
      <c r="EC75" s="321"/>
      <c r="ED75" s="321"/>
      <c r="EE75" s="321"/>
      <c r="EF75" s="321"/>
      <c r="EG75" s="321"/>
      <c r="EH75" s="321"/>
      <c r="EI75" s="321"/>
      <c r="EJ75" s="321"/>
      <c r="EK75" s="321"/>
      <c r="EL75" s="321"/>
      <c r="EM75" s="321"/>
      <c r="EN75" s="321"/>
      <c r="EO75" s="321"/>
      <c r="EP75" s="321"/>
      <c r="EQ75" s="321"/>
      <c r="ER75" s="321"/>
      <c r="ES75" s="321"/>
      <c r="ET75" s="321"/>
      <c r="EU75" s="321"/>
      <c r="EV75" s="321"/>
      <c r="EW75" s="321"/>
      <c r="EX75" s="321"/>
      <c r="EY75" s="321"/>
      <c r="EZ75" s="321"/>
      <c r="FA75" s="321"/>
      <c r="FB75" s="321"/>
      <c r="FC75" s="321"/>
      <c r="FD75" s="321"/>
      <c r="FE75" s="321"/>
      <c r="FF75" s="321"/>
      <c r="FG75" s="321"/>
      <c r="FH75" s="321"/>
      <c r="FI75" s="321"/>
      <c r="FJ75" s="321"/>
      <c r="FK75" s="321"/>
      <c r="FL75" s="321"/>
      <c r="FM75" s="321"/>
      <c r="FN75" s="321"/>
      <c r="FO75" s="321"/>
      <c r="FP75" s="321"/>
      <c r="FQ75" s="321"/>
      <c r="FR75" s="321"/>
      <c r="FS75" s="321"/>
      <c r="FT75" s="321"/>
      <c r="FU75" s="321"/>
      <c r="FV75" s="321"/>
      <c r="FW75" s="321"/>
      <c r="FX75" s="321"/>
      <c r="FY75" s="321"/>
      <c r="FZ75" s="321"/>
      <c r="GA75" s="321"/>
      <c r="GB75" s="321"/>
      <c r="GC75" s="321"/>
      <c r="GD75" s="321"/>
      <c r="GE75" s="321"/>
      <c r="GF75" s="321"/>
      <c r="GG75" s="321"/>
      <c r="GH75" s="321"/>
      <c r="GI75" s="321"/>
      <c r="GJ75" s="321"/>
      <c r="GK75" s="321"/>
      <c r="GL75" s="321"/>
      <c r="GM75" s="321"/>
      <c r="GN75" s="321"/>
      <c r="GO75" s="321"/>
      <c r="GP75" s="321"/>
      <c r="GQ75" s="321"/>
      <c r="GR75" s="321"/>
      <c r="GS75" s="321"/>
    </row>
    <row r="76" spans="1:201">
      <c r="A76" s="425" t="s">
        <v>49</v>
      </c>
      <c r="B76" s="336" t="str">
        <f>IF(E25=0,F25,E25)</f>
        <v>8/15/2019</v>
      </c>
      <c r="C76" s="145">
        <f>B76+IF($G25=1,365,182.5)</f>
        <v>43874.5</v>
      </c>
      <c r="D76" s="145">
        <f t="shared" ref="D76:BO76" si="595">C76+IF($G25=1,365,182.5)</f>
        <v>44057</v>
      </c>
      <c r="E76" s="145">
        <f t="shared" si="595"/>
        <v>44239.5</v>
      </c>
      <c r="F76" s="145">
        <f t="shared" si="595"/>
        <v>44422</v>
      </c>
      <c r="G76" s="145">
        <f t="shared" si="595"/>
        <v>44604.5</v>
      </c>
      <c r="H76" s="145">
        <f t="shared" si="595"/>
        <v>44787</v>
      </c>
      <c r="I76" s="145">
        <f t="shared" si="595"/>
        <v>44969.5</v>
      </c>
      <c r="J76" s="145">
        <f t="shared" si="595"/>
        <v>45152</v>
      </c>
      <c r="K76" s="145">
        <f t="shared" si="595"/>
        <v>45334.5</v>
      </c>
      <c r="L76" s="145">
        <f t="shared" si="595"/>
        <v>45517</v>
      </c>
      <c r="M76" s="145">
        <f t="shared" si="595"/>
        <v>45699.5</v>
      </c>
      <c r="N76" s="145">
        <f t="shared" si="595"/>
        <v>45882</v>
      </c>
      <c r="O76" s="145">
        <f t="shared" si="595"/>
        <v>46064.5</v>
      </c>
      <c r="P76" s="145">
        <f t="shared" si="595"/>
        <v>46247</v>
      </c>
      <c r="Q76" s="145">
        <f t="shared" si="595"/>
        <v>46429.5</v>
      </c>
      <c r="R76" s="145">
        <f t="shared" si="595"/>
        <v>46612</v>
      </c>
      <c r="S76" s="145">
        <f t="shared" si="595"/>
        <v>46794.5</v>
      </c>
      <c r="T76" s="145">
        <f t="shared" si="595"/>
        <v>46977</v>
      </c>
      <c r="U76" s="145">
        <f t="shared" si="595"/>
        <v>47159.5</v>
      </c>
      <c r="V76" s="145">
        <f t="shared" si="595"/>
        <v>47342</v>
      </c>
      <c r="W76" s="145">
        <f t="shared" si="595"/>
        <v>47524.5</v>
      </c>
      <c r="X76" s="145">
        <f t="shared" si="595"/>
        <v>47707</v>
      </c>
      <c r="Y76" s="145">
        <f t="shared" si="595"/>
        <v>47889.5</v>
      </c>
      <c r="Z76" s="145">
        <f t="shared" si="595"/>
        <v>48072</v>
      </c>
      <c r="AA76" s="145">
        <f t="shared" si="595"/>
        <v>48254.5</v>
      </c>
      <c r="AB76" s="145">
        <f t="shared" si="595"/>
        <v>48437</v>
      </c>
      <c r="AC76" s="145">
        <f t="shared" si="595"/>
        <v>48619.5</v>
      </c>
      <c r="AD76" s="145">
        <f t="shared" si="595"/>
        <v>48802</v>
      </c>
      <c r="AE76" s="145">
        <f t="shared" si="595"/>
        <v>48984.5</v>
      </c>
      <c r="AF76" s="145">
        <f t="shared" si="595"/>
        <v>49167</v>
      </c>
      <c r="AG76" s="145">
        <f t="shared" si="595"/>
        <v>49349.5</v>
      </c>
      <c r="AH76" s="145">
        <f t="shared" si="595"/>
        <v>49532</v>
      </c>
      <c r="AI76" s="145">
        <f t="shared" si="595"/>
        <v>49714.5</v>
      </c>
      <c r="AJ76" s="145">
        <f t="shared" si="595"/>
        <v>49897</v>
      </c>
      <c r="AK76" s="145">
        <f t="shared" si="595"/>
        <v>50079.5</v>
      </c>
      <c r="AL76" s="145">
        <f t="shared" si="595"/>
        <v>50262</v>
      </c>
      <c r="AM76" s="145">
        <f t="shared" si="595"/>
        <v>50444.5</v>
      </c>
      <c r="AN76" s="145">
        <f t="shared" si="595"/>
        <v>50627</v>
      </c>
      <c r="AO76" s="145">
        <f t="shared" si="595"/>
        <v>50809.5</v>
      </c>
      <c r="AP76" s="145">
        <f t="shared" si="595"/>
        <v>50992</v>
      </c>
      <c r="AQ76" s="145">
        <f t="shared" si="595"/>
        <v>51174.5</v>
      </c>
      <c r="AR76" s="145">
        <f t="shared" si="595"/>
        <v>51357</v>
      </c>
      <c r="AS76" s="145">
        <f t="shared" si="595"/>
        <v>51539.5</v>
      </c>
      <c r="AT76" s="145">
        <f t="shared" si="595"/>
        <v>51722</v>
      </c>
      <c r="AU76" s="145">
        <f t="shared" si="595"/>
        <v>51904.5</v>
      </c>
      <c r="AV76" s="145">
        <f t="shared" si="595"/>
        <v>52087</v>
      </c>
      <c r="AW76" s="145">
        <f t="shared" si="595"/>
        <v>52269.5</v>
      </c>
      <c r="AX76" s="145">
        <f t="shared" si="595"/>
        <v>52452</v>
      </c>
      <c r="AY76" s="145">
        <f t="shared" si="595"/>
        <v>52634.5</v>
      </c>
      <c r="AZ76" s="145">
        <f t="shared" si="595"/>
        <v>52817</v>
      </c>
      <c r="BA76" s="145">
        <f t="shared" si="595"/>
        <v>52999.5</v>
      </c>
      <c r="BB76" s="145">
        <f t="shared" si="595"/>
        <v>53182</v>
      </c>
      <c r="BC76" s="145">
        <f t="shared" si="595"/>
        <v>53364.5</v>
      </c>
      <c r="BD76" s="145">
        <f t="shared" si="595"/>
        <v>53547</v>
      </c>
      <c r="BE76" s="145">
        <f t="shared" si="595"/>
        <v>53729.5</v>
      </c>
      <c r="BF76" s="145">
        <f t="shared" si="595"/>
        <v>53912</v>
      </c>
      <c r="BG76" s="145">
        <f t="shared" si="595"/>
        <v>54094.5</v>
      </c>
      <c r="BH76" s="145">
        <f t="shared" si="595"/>
        <v>54277</v>
      </c>
      <c r="BI76" s="145">
        <f t="shared" si="595"/>
        <v>54459.5</v>
      </c>
      <c r="BJ76" s="145">
        <f t="shared" si="595"/>
        <v>54642</v>
      </c>
      <c r="BK76" s="145">
        <f t="shared" si="595"/>
        <v>54824.5</v>
      </c>
      <c r="BL76" s="145">
        <f t="shared" si="595"/>
        <v>55007</v>
      </c>
      <c r="BM76" s="145">
        <f t="shared" si="595"/>
        <v>55189.5</v>
      </c>
      <c r="BN76" s="145">
        <f t="shared" si="595"/>
        <v>55372</v>
      </c>
      <c r="BO76" s="145">
        <f t="shared" si="595"/>
        <v>55554.5</v>
      </c>
      <c r="BP76" s="145">
        <f t="shared" ref="BP76:CB76" si="596">BO76+IF($G25=1,365,182.5)</f>
        <v>55737</v>
      </c>
      <c r="BQ76" s="145">
        <f t="shared" si="596"/>
        <v>55919.5</v>
      </c>
      <c r="BR76" s="145">
        <f t="shared" si="596"/>
        <v>56102</v>
      </c>
      <c r="BS76" s="145">
        <f t="shared" si="596"/>
        <v>56284.5</v>
      </c>
      <c r="BT76" s="145">
        <f t="shared" si="596"/>
        <v>56467</v>
      </c>
      <c r="BU76" s="145">
        <f t="shared" si="596"/>
        <v>56649.5</v>
      </c>
      <c r="BV76" s="145">
        <f t="shared" si="596"/>
        <v>56832</v>
      </c>
      <c r="BW76" s="145">
        <f t="shared" si="596"/>
        <v>57014.5</v>
      </c>
      <c r="BX76" s="145">
        <f t="shared" si="596"/>
        <v>57197</v>
      </c>
      <c r="BY76" s="145">
        <f t="shared" si="596"/>
        <v>57379.5</v>
      </c>
      <c r="BZ76" s="145">
        <f t="shared" si="596"/>
        <v>57562</v>
      </c>
      <c r="CA76" s="145">
        <f t="shared" si="596"/>
        <v>57744.5</v>
      </c>
      <c r="CB76" s="146">
        <f t="shared" si="596"/>
        <v>57927</v>
      </c>
      <c r="CC76" s="321"/>
      <c r="CD76" s="321"/>
      <c r="CE76" s="321"/>
      <c r="CF76" s="322"/>
      <c r="CG76" s="322"/>
      <c r="CH76" s="322"/>
      <c r="CI76" s="322"/>
      <c r="CJ76" s="322"/>
      <c r="CK76" s="322"/>
      <c r="CL76" s="322"/>
      <c r="CM76" s="322"/>
      <c r="CN76" s="322"/>
      <c r="CO76" s="322"/>
      <c r="CP76" s="322"/>
      <c r="CQ76" s="322"/>
      <c r="CR76" s="322"/>
      <c r="CS76" s="322"/>
      <c r="CT76" s="322"/>
      <c r="CU76" s="322"/>
      <c r="CV76" s="322"/>
      <c r="CW76" s="322"/>
      <c r="CX76" s="322"/>
      <c r="CY76" s="322"/>
      <c r="CZ76" s="322"/>
      <c r="DA76" s="322"/>
      <c r="DB76" s="322"/>
      <c r="DC76" s="322"/>
      <c r="DD76" s="322"/>
      <c r="DE76" s="322"/>
      <c r="DF76" s="322"/>
      <c r="DG76" s="322"/>
      <c r="DH76" s="322"/>
      <c r="DI76" s="322"/>
      <c r="DJ76" s="322"/>
      <c r="DK76" s="322"/>
      <c r="DL76" s="321"/>
      <c r="DM76" s="321"/>
      <c r="DN76" s="321"/>
      <c r="DO76" s="321"/>
      <c r="DP76" s="321"/>
      <c r="DQ76" s="321"/>
      <c r="DR76" s="321"/>
      <c r="DS76" s="321"/>
      <c r="DT76" s="321"/>
      <c r="DU76" s="321"/>
      <c r="DV76" s="321"/>
      <c r="DW76" s="321"/>
      <c r="DX76" s="321"/>
      <c r="DY76" s="321"/>
      <c r="DZ76" s="321"/>
      <c r="EA76" s="321"/>
      <c r="EB76" s="321"/>
      <c r="EC76" s="321"/>
      <c r="ED76" s="321"/>
      <c r="EE76" s="321"/>
      <c r="EF76" s="321"/>
      <c r="EG76" s="321"/>
      <c r="EH76" s="321"/>
      <c r="EI76" s="321"/>
      <c r="EJ76" s="321"/>
      <c r="EK76" s="321"/>
      <c r="EL76" s="321"/>
      <c r="EM76" s="321"/>
      <c r="EN76" s="321"/>
      <c r="EO76" s="321"/>
      <c r="EP76" s="321"/>
      <c r="EQ76" s="321"/>
      <c r="ER76" s="321"/>
      <c r="ES76" s="321"/>
      <c r="ET76" s="321"/>
      <c r="EU76" s="321"/>
      <c r="EV76" s="321"/>
      <c r="EW76" s="321"/>
      <c r="EX76" s="321"/>
      <c r="EY76" s="321"/>
      <c r="EZ76" s="321"/>
      <c r="FA76" s="321"/>
      <c r="FB76" s="321"/>
      <c r="FC76" s="321"/>
      <c r="FD76" s="321"/>
      <c r="FE76" s="321"/>
      <c r="FF76" s="321"/>
      <c r="FG76" s="321"/>
      <c r="FH76" s="321"/>
      <c r="FI76" s="321"/>
      <c r="FJ76" s="321"/>
      <c r="FK76" s="321"/>
      <c r="FL76" s="321"/>
      <c r="FM76" s="321"/>
      <c r="FN76" s="321"/>
      <c r="FO76" s="321"/>
      <c r="FP76" s="321"/>
      <c r="FQ76" s="321"/>
      <c r="FR76" s="321"/>
      <c r="FS76" s="321"/>
      <c r="FT76" s="321"/>
      <c r="FU76" s="321"/>
      <c r="FV76" s="321"/>
      <c r="FW76" s="321"/>
      <c r="FX76" s="321"/>
      <c r="FY76" s="321"/>
      <c r="FZ76" s="321"/>
      <c r="GA76" s="321"/>
      <c r="GB76" s="321"/>
      <c r="GC76" s="321"/>
      <c r="GD76" s="321"/>
      <c r="GE76" s="321"/>
      <c r="GF76" s="321"/>
      <c r="GG76" s="321"/>
      <c r="GH76" s="321"/>
      <c r="GI76" s="321"/>
      <c r="GJ76" s="321"/>
      <c r="GK76" s="321"/>
      <c r="GL76" s="321"/>
      <c r="GM76" s="321"/>
      <c r="GN76" s="321"/>
      <c r="GO76" s="321"/>
      <c r="GP76" s="321"/>
      <c r="GQ76" s="321"/>
      <c r="GR76" s="321"/>
      <c r="GS76" s="321"/>
    </row>
    <row r="77" spans="1:201">
      <c r="A77" s="426" t="s">
        <v>128</v>
      </c>
      <c r="B77" s="338">
        <f>(IF(B76=F25,100,0)+IF(G25=1,1,0.5)*J25*100)*IF(ISBLANK(F25)=TRUE,0,1)</f>
        <v>1.375</v>
      </c>
      <c r="C77" s="339">
        <f>IF(C76&gt;$F25+1,0,1)*(IF(D77=0,100,0)+IF($G25=1,1,0.5)*$J25*100)</f>
        <v>1.375</v>
      </c>
      <c r="D77" s="339">
        <f t="shared" ref="D77:BO77" si="597">IF(D76&gt;$F25+1,0,1)*(IF(E77=0,100,0)+IF($G25=1,1,0.5)*$J25*100)</f>
        <v>1.375</v>
      </c>
      <c r="E77" s="339">
        <f t="shared" si="597"/>
        <v>1.375</v>
      </c>
      <c r="F77" s="339">
        <f t="shared" si="597"/>
        <v>1.375</v>
      </c>
      <c r="G77" s="339">
        <f t="shared" si="597"/>
        <v>1.375</v>
      </c>
      <c r="H77" s="339">
        <f t="shared" si="597"/>
        <v>1.375</v>
      </c>
      <c r="I77" s="339">
        <f t="shared" si="597"/>
        <v>1.375</v>
      </c>
      <c r="J77" s="339">
        <f t="shared" si="597"/>
        <v>1.375</v>
      </c>
      <c r="K77" s="339">
        <f t="shared" si="597"/>
        <v>1.375</v>
      </c>
      <c r="L77" s="339">
        <f t="shared" si="597"/>
        <v>1.375</v>
      </c>
      <c r="M77" s="339">
        <f t="shared" si="597"/>
        <v>1.375</v>
      </c>
      <c r="N77" s="339">
        <f t="shared" si="597"/>
        <v>1.375</v>
      </c>
      <c r="O77" s="339">
        <f t="shared" si="597"/>
        <v>1.375</v>
      </c>
      <c r="P77" s="339">
        <f t="shared" si="597"/>
        <v>1.375</v>
      </c>
      <c r="Q77" s="339">
        <f t="shared" si="597"/>
        <v>1.375</v>
      </c>
      <c r="R77" s="339">
        <f t="shared" si="597"/>
        <v>1.375</v>
      </c>
      <c r="S77" s="339">
        <f t="shared" si="597"/>
        <v>1.375</v>
      </c>
      <c r="T77" s="339">
        <f t="shared" si="597"/>
        <v>1.375</v>
      </c>
      <c r="U77" s="339">
        <f t="shared" si="597"/>
        <v>1.375</v>
      </c>
      <c r="V77" s="339">
        <f t="shared" si="597"/>
        <v>1.375</v>
      </c>
      <c r="W77" s="339">
        <f t="shared" si="597"/>
        <v>1.375</v>
      </c>
      <c r="X77" s="339">
        <f t="shared" si="597"/>
        <v>1.375</v>
      </c>
      <c r="Y77" s="339">
        <f t="shared" si="597"/>
        <v>1.375</v>
      </c>
      <c r="Z77" s="339">
        <f t="shared" si="597"/>
        <v>1.375</v>
      </c>
      <c r="AA77" s="339">
        <f t="shared" si="597"/>
        <v>1.375</v>
      </c>
      <c r="AB77" s="339">
        <f t="shared" si="597"/>
        <v>1.375</v>
      </c>
      <c r="AC77" s="339">
        <f t="shared" si="597"/>
        <v>1.375</v>
      </c>
      <c r="AD77" s="339">
        <f t="shared" si="597"/>
        <v>1.375</v>
      </c>
      <c r="AE77" s="339">
        <f t="shared" si="597"/>
        <v>1.375</v>
      </c>
      <c r="AF77" s="339">
        <f t="shared" si="597"/>
        <v>1.375</v>
      </c>
      <c r="AG77" s="339">
        <f t="shared" si="597"/>
        <v>1.375</v>
      </c>
      <c r="AH77" s="339">
        <f t="shared" si="597"/>
        <v>1.375</v>
      </c>
      <c r="AI77" s="339">
        <f t="shared" si="597"/>
        <v>1.375</v>
      </c>
      <c r="AJ77" s="339">
        <f t="shared" si="597"/>
        <v>1.375</v>
      </c>
      <c r="AK77" s="339">
        <f t="shared" si="597"/>
        <v>1.375</v>
      </c>
      <c r="AL77" s="339">
        <f t="shared" si="597"/>
        <v>1.375</v>
      </c>
      <c r="AM77" s="339">
        <f t="shared" si="597"/>
        <v>1.375</v>
      </c>
      <c r="AN77" s="339">
        <f t="shared" si="597"/>
        <v>1.375</v>
      </c>
      <c r="AO77" s="339">
        <f t="shared" si="597"/>
        <v>1.375</v>
      </c>
      <c r="AP77" s="339">
        <f t="shared" si="597"/>
        <v>1.375</v>
      </c>
      <c r="AQ77" s="339">
        <f t="shared" si="597"/>
        <v>1.375</v>
      </c>
      <c r="AR77" s="339">
        <f t="shared" si="597"/>
        <v>1.375</v>
      </c>
      <c r="AS77" s="339">
        <f t="shared" si="597"/>
        <v>1.375</v>
      </c>
      <c r="AT77" s="339">
        <f t="shared" si="597"/>
        <v>1.375</v>
      </c>
      <c r="AU77" s="339">
        <f t="shared" si="597"/>
        <v>1.375</v>
      </c>
      <c r="AV77" s="339">
        <f t="shared" si="597"/>
        <v>101.375</v>
      </c>
      <c r="AW77" s="339">
        <f t="shared" si="597"/>
        <v>0</v>
      </c>
      <c r="AX77" s="339">
        <f t="shared" si="597"/>
        <v>0</v>
      </c>
      <c r="AY77" s="339">
        <f t="shared" si="597"/>
        <v>0</v>
      </c>
      <c r="AZ77" s="339">
        <f t="shared" si="597"/>
        <v>0</v>
      </c>
      <c r="BA77" s="339">
        <f t="shared" si="597"/>
        <v>0</v>
      </c>
      <c r="BB77" s="339">
        <f t="shared" si="597"/>
        <v>0</v>
      </c>
      <c r="BC77" s="339">
        <f t="shared" si="597"/>
        <v>0</v>
      </c>
      <c r="BD77" s="339">
        <f t="shared" si="597"/>
        <v>0</v>
      </c>
      <c r="BE77" s="339">
        <f t="shared" si="597"/>
        <v>0</v>
      </c>
      <c r="BF77" s="339">
        <f t="shared" si="597"/>
        <v>0</v>
      </c>
      <c r="BG77" s="339">
        <f t="shared" si="597"/>
        <v>0</v>
      </c>
      <c r="BH77" s="339">
        <f t="shared" si="597"/>
        <v>0</v>
      </c>
      <c r="BI77" s="339">
        <f t="shared" si="597"/>
        <v>0</v>
      </c>
      <c r="BJ77" s="339">
        <f t="shared" si="597"/>
        <v>0</v>
      </c>
      <c r="BK77" s="339">
        <f t="shared" si="597"/>
        <v>0</v>
      </c>
      <c r="BL77" s="339">
        <f t="shared" si="597"/>
        <v>0</v>
      </c>
      <c r="BM77" s="339">
        <f t="shared" si="597"/>
        <v>0</v>
      </c>
      <c r="BN77" s="339">
        <f t="shared" si="597"/>
        <v>0</v>
      </c>
      <c r="BO77" s="339">
        <f t="shared" si="597"/>
        <v>0</v>
      </c>
      <c r="BP77" s="339">
        <f t="shared" ref="BP77:CA77" si="598">IF(BP76&gt;$F25+1,0,1)*(IF(BQ77=0,100,0)+IF($G25=1,1,0.5)*$J25*100)</f>
        <v>0</v>
      </c>
      <c r="BQ77" s="339">
        <f t="shared" si="598"/>
        <v>0</v>
      </c>
      <c r="BR77" s="339">
        <f t="shared" si="598"/>
        <v>0</v>
      </c>
      <c r="BS77" s="339">
        <f t="shared" si="598"/>
        <v>0</v>
      </c>
      <c r="BT77" s="339">
        <f t="shared" si="598"/>
        <v>0</v>
      </c>
      <c r="BU77" s="339">
        <f t="shared" si="598"/>
        <v>0</v>
      </c>
      <c r="BV77" s="339">
        <f t="shared" si="598"/>
        <v>0</v>
      </c>
      <c r="BW77" s="339">
        <f t="shared" si="598"/>
        <v>0</v>
      </c>
      <c r="BX77" s="339">
        <f t="shared" si="598"/>
        <v>0</v>
      </c>
      <c r="BY77" s="339">
        <f t="shared" si="598"/>
        <v>0</v>
      </c>
      <c r="BZ77" s="339">
        <f t="shared" si="598"/>
        <v>0</v>
      </c>
      <c r="CA77" s="339">
        <f t="shared" si="598"/>
        <v>0</v>
      </c>
      <c r="CB77" s="340">
        <f>IF(CB76&gt;$F25+1,0,1)*(IF(CC77=0,100,0)+IF($G25=1,1,0.5)*$J25*100)</f>
        <v>0</v>
      </c>
      <c r="CC77" s="321"/>
      <c r="CD77" s="321"/>
      <c r="CE77" s="321"/>
      <c r="CF77" s="322"/>
      <c r="CG77" s="322"/>
      <c r="CH77" s="322"/>
      <c r="CI77" s="322"/>
      <c r="CJ77" s="322"/>
      <c r="CK77" s="322"/>
      <c r="CL77" s="322"/>
      <c r="CM77" s="322"/>
      <c r="CN77" s="322"/>
      <c r="CO77" s="322"/>
      <c r="CP77" s="322"/>
      <c r="CQ77" s="322"/>
      <c r="CR77" s="322"/>
      <c r="CS77" s="322"/>
      <c r="CT77" s="322"/>
      <c r="CU77" s="322"/>
      <c r="CV77" s="322"/>
      <c r="CW77" s="322"/>
      <c r="CX77" s="322"/>
      <c r="CY77" s="322"/>
      <c r="CZ77" s="322"/>
      <c r="DA77" s="322"/>
      <c r="DB77" s="322"/>
      <c r="DC77" s="322"/>
      <c r="DD77" s="322"/>
      <c r="DE77" s="322"/>
      <c r="DF77" s="322"/>
      <c r="DG77" s="322"/>
      <c r="DH77" s="322"/>
      <c r="DI77" s="322"/>
      <c r="DJ77" s="322"/>
      <c r="DK77" s="322"/>
      <c r="DL77" s="321"/>
      <c r="DM77" s="321"/>
      <c r="DN77" s="321"/>
      <c r="DO77" s="321"/>
      <c r="DP77" s="321"/>
      <c r="DQ77" s="321"/>
      <c r="DR77" s="321"/>
      <c r="DS77" s="321"/>
      <c r="DT77" s="321"/>
      <c r="DU77" s="321"/>
      <c r="DV77" s="321"/>
      <c r="DW77" s="321"/>
      <c r="DX77" s="321"/>
      <c r="DY77" s="321"/>
      <c r="DZ77" s="321"/>
      <c r="EA77" s="321"/>
      <c r="EB77" s="321"/>
      <c r="EC77" s="321"/>
      <c r="ED77" s="321"/>
      <c r="EE77" s="321"/>
      <c r="EF77" s="321"/>
      <c r="EG77" s="321"/>
      <c r="EH77" s="321"/>
      <c r="EI77" s="321"/>
      <c r="EJ77" s="321"/>
      <c r="EK77" s="321"/>
      <c r="EL77" s="321"/>
      <c r="EM77" s="321"/>
      <c r="EN77" s="321"/>
      <c r="EO77" s="321"/>
      <c r="EP77" s="321"/>
      <c r="EQ77" s="321"/>
      <c r="ER77" s="321"/>
      <c r="ES77" s="321"/>
      <c r="ET77" s="321"/>
      <c r="EU77" s="321"/>
      <c r="EV77" s="321"/>
      <c r="EW77" s="321"/>
      <c r="EX77" s="321"/>
      <c r="EY77" s="321"/>
      <c r="EZ77" s="321"/>
      <c r="FA77" s="321"/>
      <c r="FB77" s="321"/>
      <c r="FC77" s="321"/>
      <c r="FD77" s="321"/>
      <c r="FE77" s="321"/>
      <c r="FF77" s="321"/>
      <c r="FG77" s="321"/>
      <c r="FH77" s="321"/>
      <c r="FI77" s="321"/>
      <c r="FJ77" s="321"/>
      <c r="FK77" s="321"/>
      <c r="FL77" s="321"/>
      <c r="FM77" s="321"/>
      <c r="FN77" s="321"/>
      <c r="FO77" s="321"/>
      <c r="FP77" s="321"/>
      <c r="FQ77" s="321"/>
      <c r="FR77" s="321"/>
      <c r="FS77" s="321"/>
      <c r="FT77" s="321"/>
      <c r="FU77" s="321"/>
      <c r="FV77" s="321"/>
      <c r="FW77" s="321"/>
      <c r="FX77" s="321"/>
      <c r="FY77" s="321"/>
      <c r="FZ77" s="321"/>
      <c r="GA77" s="321"/>
      <c r="GB77" s="321"/>
      <c r="GC77" s="321"/>
      <c r="GD77" s="321"/>
      <c r="GE77" s="321"/>
      <c r="GF77" s="321"/>
      <c r="GG77" s="321"/>
      <c r="GH77" s="321"/>
      <c r="GI77" s="321"/>
      <c r="GJ77" s="321"/>
      <c r="GK77" s="321"/>
      <c r="GL77" s="321"/>
      <c r="GM77" s="321"/>
      <c r="GN77" s="321"/>
      <c r="GO77" s="321"/>
      <c r="GP77" s="321"/>
      <c r="GQ77" s="321"/>
      <c r="GR77" s="321"/>
      <c r="GS77" s="321"/>
    </row>
    <row r="78" spans="1:201">
      <c r="A78" s="427" t="s">
        <v>49</v>
      </c>
      <c r="B78" s="341" t="str">
        <f>IF(E26=0,F26,E26)</f>
        <v>11/15/2019</v>
      </c>
      <c r="C78" s="38">
        <f>B78+IF($G26=1,365,182.5)</f>
        <v>43966.5</v>
      </c>
      <c r="D78" s="38">
        <f t="shared" ref="D78:BO78" si="599">C78+IF($G26=1,365,182.5)</f>
        <v>44149</v>
      </c>
      <c r="E78" s="38">
        <f t="shared" si="599"/>
        <v>44331.5</v>
      </c>
      <c r="F78" s="38">
        <f t="shared" si="599"/>
        <v>44514</v>
      </c>
      <c r="G78" s="38">
        <f t="shared" si="599"/>
        <v>44696.5</v>
      </c>
      <c r="H78" s="38">
        <f t="shared" si="599"/>
        <v>44879</v>
      </c>
      <c r="I78" s="38">
        <f t="shared" si="599"/>
        <v>45061.5</v>
      </c>
      <c r="J78" s="38">
        <f t="shared" si="599"/>
        <v>45244</v>
      </c>
      <c r="K78" s="38">
        <f t="shared" si="599"/>
        <v>45426.5</v>
      </c>
      <c r="L78" s="38">
        <f t="shared" si="599"/>
        <v>45609</v>
      </c>
      <c r="M78" s="38">
        <f t="shared" si="599"/>
        <v>45791.5</v>
      </c>
      <c r="N78" s="38">
        <f t="shared" si="599"/>
        <v>45974</v>
      </c>
      <c r="O78" s="38">
        <f t="shared" si="599"/>
        <v>46156.5</v>
      </c>
      <c r="P78" s="38">
        <f t="shared" si="599"/>
        <v>46339</v>
      </c>
      <c r="Q78" s="38">
        <f t="shared" si="599"/>
        <v>46521.5</v>
      </c>
      <c r="R78" s="38">
        <f t="shared" si="599"/>
        <v>46704</v>
      </c>
      <c r="S78" s="38">
        <f t="shared" si="599"/>
        <v>46886.5</v>
      </c>
      <c r="T78" s="38">
        <f t="shared" si="599"/>
        <v>47069</v>
      </c>
      <c r="U78" s="38">
        <f t="shared" si="599"/>
        <v>47251.5</v>
      </c>
      <c r="V78" s="38">
        <f t="shared" si="599"/>
        <v>47434</v>
      </c>
      <c r="W78" s="38">
        <f t="shared" si="599"/>
        <v>47616.5</v>
      </c>
      <c r="X78" s="38">
        <f t="shared" si="599"/>
        <v>47799</v>
      </c>
      <c r="Y78" s="38">
        <f t="shared" si="599"/>
        <v>47981.5</v>
      </c>
      <c r="Z78" s="38">
        <f t="shared" si="599"/>
        <v>48164</v>
      </c>
      <c r="AA78" s="38">
        <f t="shared" si="599"/>
        <v>48346.5</v>
      </c>
      <c r="AB78" s="38">
        <f t="shared" si="599"/>
        <v>48529</v>
      </c>
      <c r="AC78" s="38">
        <f t="shared" si="599"/>
        <v>48711.5</v>
      </c>
      <c r="AD78" s="38">
        <f t="shared" si="599"/>
        <v>48894</v>
      </c>
      <c r="AE78" s="38">
        <f t="shared" si="599"/>
        <v>49076.5</v>
      </c>
      <c r="AF78" s="38">
        <f t="shared" si="599"/>
        <v>49259</v>
      </c>
      <c r="AG78" s="38">
        <f t="shared" si="599"/>
        <v>49441.5</v>
      </c>
      <c r="AH78" s="38">
        <f t="shared" si="599"/>
        <v>49624</v>
      </c>
      <c r="AI78" s="38">
        <f t="shared" si="599"/>
        <v>49806.5</v>
      </c>
      <c r="AJ78" s="38">
        <f t="shared" si="599"/>
        <v>49989</v>
      </c>
      <c r="AK78" s="38">
        <f t="shared" si="599"/>
        <v>50171.5</v>
      </c>
      <c r="AL78" s="38">
        <f t="shared" si="599"/>
        <v>50354</v>
      </c>
      <c r="AM78" s="38">
        <f t="shared" si="599"/>
        <v>50536.5</v>
      </c>
      <c r="AN78" s="38">
        <f t="shared" si="599"/>
        <v>50719</v>
      </c>
      <c r="AO78" s="38">
        <f t="shared" si="599"/>
        <v>50901.5</v>
      </c>
      <c r="AP78" s="38">
        <f t="shared" si="599"/>
        <v>51084</v>
      </c>
      <c r="AQ78" s="38">
        <f t="shared" si="599"/>
        <v>51266.5</v>
      </c>
      <c r="AR78" s="38">
        <f t="shared" si="599"/>
        <v>51449</v>
      </c>
      <c r="AS78" s="38">
        <f t="shared" si="599"/>
        <v>51631.5</v>
      </c>
      <c r="AT78" s="38">
        <f t="shared" si="599"/>
        <v>51814</v>
      </c>
      <c r="AU78" s="38">
        <f t="shared" si="599"/>
        <v>51996.5</v>
      </c>
      <c r="AV78" s="38">
        <f t="shared" si="599"/>
        <v>52179</v>
      </c>
      <c r="AW78" s="38">
        <f t="shared" si="599"/>
        <v>52361.5</v>
      </c>
      <c r="AX78" s="38">
        <f t="shared" si="599"/>
        <v>52544</v>
      </c>
      <c r="AY78" s="38">
        <f t="shared" si="599"/>
        <v>52726.5</v>
      </c>
      <c r="AZ78" s="38">
        <f t="shared" si="599"/>
        <v>52909</v>
      </c>
      <c r="BA78" s="38">
        <f t="shared" si="599"/>
        <v>53091.5</v>
      </c>
      <c r="BB78" s="38">
        <f t="shared" si="599"/>
        <v>53274</v>
      </c>
      <c r="BC78" s="38">
        <f t="shared" si="599"/>
        <v>53456.5</v>
      </c>
      <c r="BD78" s="38">
        <f t="shared" si="599"/>
        <v>53639</v>
      </c>
      <c r="BE78" s="38">
        <f t="shared" si="599"/>
        <v>53821.5</v>
      </c>
      <c r="BF78" s="38">
        <f t="shared" si="599"/>
        <v>54004</v>
      </c>
      <c r="BG78" s="38">
        <f t="shared" si="599"/>
        <v>54186.5</v>
      </c>
      <c r="BH78" s="38">
        <f t="shared" si="599"/>
        <v>54369</v>
      </c>
      <c r="BI78" s="38">
        <f t="shared" si="599"/>
        <v>54551.5</v>
      </c>
      <c r="BJ78" s="38">
        <f t="shared" si="599"/>
        <v>54734</v>
      </c>
      <c r="BK78" s="38">
        <f t="shared" si="599"/>
        <v>54916.5</v>
      </c>
      <c r="BL78" s="38">
        <f t="shared" si="599"/>
        <v>55099</v>
      </c>
      <c r="BM78" s="38">
        <f t="shared" si="599"/>
        <v>55281.5</v>
      </c>
      <c r="BN78" s="38">
        <f t="shared" si="599"/>
        <v>55464</v>
      </c>
      <c r="BO78" s="38">
        <f t="shared" si="599"/>
        <v>55646.5</v>
      </c>
      <c r="BP78" s="38">
        <f t="shared" ref="BP78:CB78" si="600">BO78+IF($G26=1,365,182.5)</f>
        <v>55829</v>
      </c>
      <c r="BQ78" s="38">
        <f t="shared" si="600"/>
        <v>56011.5</v>
      </c>
      <c r="BR78" s="38">
        <f t="shared" si="600"/>
        <v>56194</v>
      </c>
      <c r="BS78" s="38">
        <f t="shared" si="600"/>
        <v>56376.5</v>
      </c>
      <c r="BT78" s="38">
        <f t="shared" si="600"/>
        <v>56559</v>
      </c>
      <c r="BU78" s="38">
        <f t="shared" si="600"/>
        <v>56741.5</v>
      </c>
      <c r="BV78" s="38">
        <f t="shared" si="600"/>
        <v>56924</v>
      </c>
      <c r="BW78" s="38">
        <f t="shared" si="600"/>
        <v>57106.5</v>
      </c>
      <c r="BX78" s="38">
        <f t="shared" si="600"/>
        <v>57289</v>
      </c>
      <c r="BY78" s="38">
        <f t="shared" si="600"/>
        <v>57471.5</v>
      </c>
      <c r="BZ78" s="38">
        <f t="shared" si="600"/>
        <v>57654</v>
      </c>
      <c r="CA78" s="38">
        <f t="shared" si="600"/>
        <v>57836.5</v>
      </c>
      <c r="CB78" s="39">
        <f t="shared" si="600"/>
        <v>58019</v>
      </c>
      <c r="CC78" s="321"/>
      <c r="CD78" s="321"/>
      <c r="CE78" s="321"/>
      <c r="CF78" s="322"/>
      <c r="CG78" s="322"/>
      <c r="CH78" s="322"/>
      <c r="CI78" s="322"/>
      <c r="CJ78" s="322"/>
      <c r="CK78" s="322"/>
      <c r="CL78" s="322"/>
      <c r="CM78" s="322"/>
      <c r="CN78" s="322"/>
      <c r="CO78" s="322"/>
      <c r="CP78" s="322"/>
      <c r="CQ78" s="322"/>
      <c r="CR78" s="322"/>
      <c r="CS78" s="322"/>
      <c r="CT78" s="322"/>
      <c r="CU78" s="322"/>
      <c r="CV78" s="322"/>
      <c r="CW78" s="322"/>
      <c r="CX78" s="322"/>
      <c r="CY78" s="322"/>
      <c r="CZ78" s="322"/>
      <c r="DA78" s="322"/>
      <c r="DB78" s="322"/>
      <c r="DC78" s="322"/>
      <c r="DD78" s="322"/>
      <c r="DE78" s="322"/>
      <c r="DF78" s="322"/>
      <c r="DG78" s="322"/>
      <c r="DH78" s="322"/>
      <c r="DI78" s="322"/>
      <c r="DJ78" s="322"/>
      <c r="DK78" s="322"/>
      <c r="DL78" s="321"/>
      <c r="DM78" s="321"/>
      <c r="DN78" s="321"/>
      <c r="DO78" s="321"/>
      <c r="DP78" s="321"/>
      <c r="DQ78" s="321"/>
      <c r="DR78" s="321"/>
      <c r="DS78" s="321"/>
      <c r="DT78" s="321"/>
      <c r="DU78" s="321"/>
      <c r="DV78" s="321"/>
      <c r="DW78" s="321"/>
      <c r="DX78" s="321"/>
      <c r="DY78" s="321"/>
      <c r="DZ78" s="321"/>
      <c r="EA78" s="321"/>
      <c r="EB78" s="321"/>
      <c r="EC78" s="321"/>
      <c r="ED78" s="321"/>
      <c r="EE78" s="321"/>
      <c r="EF78" s="321"/>
      <c r="EG78" s="321"/>
      <c r="EH78" s="321"/>
      <c r="EI78" s="321"/>
      <c r="EJ78" s="321"/>
      <c r="EK78" s="321"/>
      <c r="EL78" s="321"/>
      <c r="EM78" s="321"/>
      <c r="EN78" s="321"/>
      <c r="EO78" s="321"/>
      <c r="EP78" s="321"/>
      <c r="EQ78" s="321"/>
      <c r="ER78" s="321"/>
      <c r="ES78" s="321"/>
      <c r="ET78" s="321"/>
      <c r="EU78" s="321"/>
      <c r="EV78" s="321"/>
      <c r="EW78" s="321"/>
      <c r="EX78" s="321"/>
      <c r="EY78" s="321"/>
      <c r="EZ78" s="321"/>
      <c r="FA78" s="321"/>
      <c r="FB78" s="321"/>
      <c r="FC78" s="321"/>
      <c r="FD78" s="321"/>
      <c r="FE78" s="321"/>
      <c r="FF78" s="321"/>
      <c r="FG78" s="321"/>
      <c r="FH78" s="321"/>
      <c r="FI78" s="321"/>
      <c r="FJ78" s="321"/>
      <c r="FK78" s="321"/>
      <c r="FL78" s="321"/>
      <c r="FM78" s="321"/>
      <c r="FN78" s="321"/>
      <c r="FO78" s="321"/>
      <c r="FP78" s="321"/>
      <c r="FQ78" s="321"/>
      <c r="FR78" s="321"/>
      <c r="FS78" s="321"/>
      <c r="FT78" s="321"/>
      <c r="FU78" s="321"/>
      <c r="FV78" s="321"/>
      <c r="FW78" s="321"/>
      <c r="FX78" s="321"/>
      <c r="FY78" s="321"/>
      <c r="FZ78" s="321"/>
      <c r="GA78" s="321"/>
      <c r="GB78" s="321"/>
      <c r="GC78" s="321"/>
      <c r="GD78" s="321"/>
      <c r="GE78" s="321"/>
      <c r="GF78" s="321"/>
      <c r="GG78" s="321"/>
      <c r="GH78" s="321"/>
      <c r="GI78" s="321"/>
      <c r="GJ78" s="321"/>
      <c r="GK78" s="321"/>
      <c r="GL78" s="321"/>
      <c r="GM78" s="321"/>
      <c r="GN78" s="321"/>
      <c r="GO78" s="321"/>
      <c r="GP78" s="321"/>
      <c r="GQ78" s="321"/>
      <c r="GR78" s="321"/>
      <c r="GS78" s="321"/>
    </row>
    <row r="79" spans="1:201">
      <c r="A79" s="428" t="s">
        <v>129</v>
      </c>
      <c r="B79" s="343">
        <f>(IF(B78=F26,100,0)+IF(G26=1,1,0.5)*J26*100)*IF(ISBLANK(F26)=TRUE,0,1)</f>
        <v>1.4375</v>
      </c>
      <c r="C79" s="344">
        <f>IF(C78&gt;$F26+1,0,1)*(IF(D79=0,100,0)+IF($G26=1,1,0.5)*$J26*100)</f>
        <v>1.4375</v>
      </c>
      <c r="D79" s="344">
        <f t="shared" ref="D79:BO79" si="601">IF(D78&gt;$F26+1,0,1)*(IF(E79=0,100,0)+IF($G26=1,1,0.5)*$J26*100)</f>
        <v>1.4375</v>
      </c>
      <c r="E79" s="344">
        <f t="shared" si="601"/>
        <v>1.4375</v>
      </c>
      <c r="F79" s="344">
        <f t="shared" si="601"/>
        <v>1.4375</v>
      </c>
      <c r="G79" s="344">
        <f t="shared" si="601"/>
        <v>1.4375</v>
      </c>
      <c r="H79" s="344">
        <f t="shared" si="601"/>
        <v>1.4375</v>
      </c>
      <c r="I79" s="344">
        <f t="shared" si="601"/>
        <v>1.4375</v>
      </c>
      <c r="J79" s="344">
        <f t="shared" si="601"/>
        <v>1.4375</v>
      </c>
      <c r="K79" s="344">
        <f t="shared" si="601"/>
        <v>1.4375</v>
      </c>
      <c r="L79" s="344">
        <f t="shared" si="601"/>
        <v>1.4375</v>
      </c>
      <c r="M79" s="344">
        <f t="shared" si="601"/>
        <v>1.4375</v>
      </c>
      <c r="N79" s="344">
        <f t="shared" si="601"/>
        <v>1.4375</v>
      </c>
      <c r="O79" s="344">
        <f t="shared" si="601"/>
        <v>1.4375</v>
      </c>
      <c r="P79" s="344">
        <f t="shared" si="601"/>
        <v>1.4375</v>
      </c>
      <c r="Q79" s="344">
        <f t="shared" si="601"/>
        <v>1.4375</v>
      </c>
      <c r="R79" s="344">
        <f t="shared" si="601"/>
        <v>1.4375</v>
      </c>
      <c r="S79" s="344">
        <f t="shared" si="601"/>
        <v>1.4375</v>
      </c>
      <c r="T79" s="344">
        <f t="shared" si="601"/>
        <v>1.4375</v>
      </c>
      <c r="U79" s="344">
        <f t="shared" si="601"/>
        <v>1.4375</v>
      </c>
      <c r="V79" s="344">
        <f t="shared" si="601"/>
        <v>1.4375</v>
      </c>
      <c r="W79" s="344">
        <f t="shared" si="601"/>
        <v>1.4375</v>
      </c>
      <c r="X79" s="344">
        <f t="shared" si="601"/>
        <v>1.4375</v>
      </c>
      <c r="Y79" s="344">
        <f t="shared" si="601"/>
        <v>1.4375</v>
      </c>
      <c r="Z79" s="344">
        <f t="shared" si="601"/>
        <v>1.4375</v>
      </c>
      <c r="AA79" s="344">
        <f t="shared" si="601"/>
        <v>1.4375</v>
      </c>
      <c r="AB79" s="344">
        <f t="shared" si="601"/>
        <v>1.4375</v>
      </c>
      <c r="AC79" s="344">
        <f t="shared" si="601"/>
        <v>1.4375</v>
      </c>
      <c r="AD79" s="344">
        <f t="shared" si="601"/>
        <v>1.4375</v>
      </c>
      <c r="AE79" s="344">
        <f t="shared" si="601"/>
        <v>1.4375</v>
      </c>
      <c r="AF79" s="344">
        <f t="shared" si="601"/>
        <v>1.4375</v>
      </c>
      <c r="AG79" s="344">
        <f t="shared" si="601"/>
        <v>1.4375</v>
      </c>
      <c r="AH79" s="344">
        <f t="shared" si="601"/>
        <v>1.4375</v>
      </c>
      <c r="AI79" s="344">
        <f t="shared" si="601"/>
        <v>1.4375</v>
      </c>
      <c r="AJ79" s="344">
        <f t="shared" si="601"/>
        <v>1.4375</v>
      </c>
      <c r="AK79" s="344">
        <f t="shared" si="601"/>
        <v>1.4375</v>
      </c>
      <c r="AL79" s="344">
        <f t="shared" si="601"/>
        <v>1.4375</v>
      </c>
      <c r="AM79" s="344">
        <f t="shared" si="601"/>
        <v>1.4375</v>
      </c>
      <c r="AN79" s="344">
        <f t="shared" si="601"/>
        <v>1.4375</v>
      </c>
      <c r="AO79" s="344">
        <f t="shared" si="601"/>
        <v>1.4375</v>
      </c>
      <c r="AP79" s="344">
        <f t="shared" si="601"/>
        <v>1.4375</v>
      </c>
      <c r="AQ79" s="344">
        <f t="shared" si="601"/>
        <v>1.4375</v>
      </c>
      <c r="AR79" s="344">
        <f t="shared" si="601"/>
        <v>1.4375</v>
      </c>
      <c r="AS79" s="344">
        <f t="shared" si="601"/>
        <v>1.4375</v>
      </c>
      <c r="AT79" s="344">
        <f t="shared" si="601"/>
        <v>1.4375</v>
      </c>
      <c r="AU79" s="344">
        <f t="shared" si="601"/>
        <v>1.4375</v>
      </c>
      <c r="AV79" s="344">
        <f t="shared" si="601"/>
        <v>1.4375</v>
      </c>
      <c r="AW79" s="344">
        <f t="shared" si="601"/>
        <v>101.4375</v>
      </c>
      <c r="AX79" s="344">
        <f t="shared" si="601"/>
        <v>0</v>
      </c>
      <c r="AY79" s="344">
        <f t="shared" si="601"/>
        <v>0</v>
      </c>
      <c r="AZ79" s="344">
        <f t="shared" si="601"/>
        <v>0</v>
      </c>
      <c r="BA79" s="344">
        <f t="shared" si="601"/>
        <v>0</v>
      </c>
      <c r="BB79" s="344">
        <f t="shared" si="601"/>
        <v>0</v>
      </c>
      <c r="BC79" s="344">
        <f t="shared" si="601"/>
        <v>0</v>
      </c>
      <c r="BD79" s="344">
        <f t="shared" si="601"/>
        <v>0</v>
      </c>
      <c r="BE79" s="344">
        <f t="shared" si="601"/>
        <v>0</v>
      </c>
      <c r="BF79" s="344">
        <f t="shared" si="601"/>
        <v>0</v>
      </c>
      <c r="BG79" s="344">
        <f t="shared" si="601"/>
        <v>0</v>
      </c>
      <c r="BH79" s="344">
        <f t="shared" si="601"/>
        <v>0</v>
      </c>
      <c r="BI79" s="344">
        <f t="shared" si="601"/>
        <v>0</v>
      </c>
      <c r="BJ79" s="344">
        <f t="shared" si="601"/>
        <v>0</v>
      </c>
      <c r="BK79" s="344">
        <f t="shared" si="601"/>
        <v>0</v>
      </c>
      <c r="BL79" s="344">
        <f t="shared" si="601"/>
        <v>0</v>
      </c>
      <c r="BM79" s="344">
        <f t="shared" si="601"/>
        <v>0</v>
      </c>
      <c r="BN79" s="344">
        <f t="shared" si="601"/>
        <v>0</v>
      </c>
      <c r="BO79" s="344">
        <f t="shared" si="601"/>
        <v>0</v>
      </c>
      <c r="BP79" s="344">
        <f t="shared" ref="BP79:CA79" si="602">IF(BP78&gt;$F26+1,0,1)*(IF(BQ79=0,100,0)+IF($G26=1,1,0.5)*$J26*100)</f>
        <v>0</v>
      </c>
      <c r="BQ79" s="344">
        <f t="shared" si="602"/>
        <v>0</v>
      </c>
      <c r="BR79" s="344">
        <f t="shared" si="602"/>
        <v>0</v>
      </c>
      <c r="BS79" s="344">
        <f t="shared" si="602"/>
        <v>0</v>
      </c>
      <c r="BT79" s="344">
        <f t="shared" si="602"/>
        <v>0</v>
      </c>
      <c r="BU79" s="344">
        <f t="shared" si="602"/>
        <v>0</v>
      </c>
      <c r="BV79" s="344">
        <f t="shared" si="602"/>
        <v>0</v>
      </c>
      <c r="BW79" s="344">
        <f t="shared" si="602"/>
        <v>0</v>
      </c>
      <c r="BX79" s="344">
        <f t="shared" si="602"/>
        <v>0</v>
      </c>
      <c r="BY79" s="344">
        <f t="shared" si="602"/>
        <v>0</v>
      </c>
      <c r="BZ79" s="344">
        <f t="shared" si="602"/>
        <v>0</v>
      </c>
      <c r="CA79" s="344">
        <f t="shared" si="602"/>
        <v>0</v>
      </c>
      <c r="CB79" s="345">
        <f>IF(CB78&gt;$F26+1,0,1)*(IF(CC79=0,100,0)+IF($G26=1,1,0.5)*$J26*100)</f>
        <v>0</v>
      </c>
      <c r="CC79" s="321"/>
      <c r="CD79" s="321"/>
      <c r="CE79" s="321"/>
      <c r="CF79" s="322"/>
      <c r="CG79" s="322"/>
      <c r="CH79" s="322"/>
      <c r="CI79" s="322"/>
      <c r="CJ79" s="322"/>
      <c r="CK79" s="322"/>
      <c r="CL79" s="322"/>
      <c r="CM79" s="322"/>
      <c r="CN79" s="322"/>
      <c r="CO79" s="322"/>
      <c r="CP79" s="322"/>
      <c r="CQ79" s="322"/>
      <c r="CR79" s="322"/>
      <c r="CS79" s="322"/>
      <c r="CT79" s="322"/>
      <c r="CU79" s="322"/>
      <c r="CV79" s="322"/>
      <c r="CW79" s="322"/>
      <c r="CX79" s="322"/>
      <c r="CY79" s="322"/>
      <c r="CZ79" s="322"/>
      <c r="DA79" s="322"/>
      <c r="DB79" s="322"/>
      <c r="DC79" s="322"/>
      <c r="DD79" s="322"/>
      <c r="DE79" s="322"/>
      <c r="DF79" s="322"/>
      <c r="DG79" s="322"/>
      <c r="DH79" s="322"/>
      <c r="DI79" s="322"/>
      <c r="DJ79" s="322"/>
      <c r="DK79" s="322"/>
      <c r="DL79" s="321"/>
      <c r="DM79" s="321"/>
      <c r="DN79" s="321"/>
      <c r="DO79" s="321"/>
      <c r="DP79" s="321"/>
      <c r="DQ79" s="321"/>
      <c r="DR79" s="321"/>
      <c r="DS79" s="321"/>
      <c r="DT79" s="321"/>
      <c r="DU79" s="321"/>
      <c r="DV79" s="321"/>
      <c r="DW79" s="321"/>
      <c r="DX79" s="321"/>
      <c r="DY79" s="321"/>
      <c r="DZ79" s="321"/>
      <c r="EA79" s="321"/>
      <c r="EB79" s="321"/>
      <c r="EC79" s="321"/>
      <c r="ED79" s="321"/>
      <c r="EE79" s="321"/>
      <c r="EF79" s="321"/>
      <c r="EG79" s="321"/>
      <c r="EH79" s="321"/>
      <c r="EI79" s="321"/>
      <c r="EJ79" s="321"/>
      <c r="EK79" s="321"/>
      <c r="EL79" s="321"/>
      <c r="EM79" s="321"/>
      <c r="EN79" s="321"/>
      <c r="EO79" s="321"/>
      <c r="EP79" s="321"/>
      <c r="EQ79" s="321"/>
      <c r="ER79" s="321"/>
      <c r="ES79" s="321"/>
      <c r="ET79" s="321"/>
      <c r="EU79" s="321"/>
      <c r="EV79" s="321"/>
      <c r="EW79" s="321"/>
      <c r="EX79" s="321"/>
      <c r="EY79" s="321"/>
      <c r="EZ79" s="321"/>
      <c r="FA79" s="321"/>
      <c r="FB79" s="321"/>
      <c r="FC79" s="321"/>
      <c r="FD79" s="321"/>
      <c r="FE79" s="321"/>
      <c r="FF79" s="321"/>
      <c r="FG79" s="321"/>
      <c r="FH79" s="321"/>
      <c r="FI79" s="321"/>
      <c r="FJ79" s="321"/>
      <c r="FK79" s="321"/>
      <c r="FL79" s="321"/>
      <c r="FM79" s="321"/>
      <c r="FN79" s="321"/>
      <c r="FO79" s="321"/>
      <c r="FP79" s="321"/>
      <c r="FQ79" s="321"/>
      <c r="FR79" s="321"/>
      <c r="FS79" s="321"/>
      <c r="FT79" s="321"/>
      <c r="FU79" s="321"/>
      <c r="FV79" s="321"/>
      <c r="FW79" s="321"/>
      <c r="FX79" s="321"/>
      <c r="FY79" s="321"/>
      <c r="FZ79" s="321"/>
      <c r="GA79" s="321"/>
      <c r="GB79" s="321"/>
      <c r="GC79" s="321"/>
      <c r="GD79" s="321"/>
      <c r="GE79" s="321"/>
      <c r="GF79" s="321"/>
      <c r="GG79" s="321"/>
      <c r="GH79" s="321"/>
      <c r="GI79" s="321"/>
      <c r="GJ79" s="321"/>
      <c r="GK79" s="321"/>
      <c r="GL79" s="321"/>
      <c r="GM79" s="321"/>
      <c r="GN79" s="321"/>
      <c r="GO79" s="321"/>
      <c r="GP79" s="321"/>
      <c r="GQ79" s="321"/>
      <c r="GR79" s="321"/>
      <c r="GS79" s="321"/>
    </row>
    <row r="80" spans="1:201">
      <c r="A80" s="429" t="s">
        <v>49</v>
      </c>
      <c r="B80" s="383" t="str">
        <f>IF(E27=0,F27,E27)</f>
        <v>11/15/2019</v>
      </c>
      <c r="C80" s="80">
        <f>B80+IF($G27=1,365,182.5)</f>
        <v>43966.5</v>
      </c>
      <c r="D80" s="80">
        <f t="shared" ref="D80:BO80" si="603">C80+IF($G27=1,365,182.5)</f>
        <v>44149</v>
      </c>
      <c r="E80" s="80">
        <f t="shared" si="603"/>
        <v>44331.5</v>
      </c>
      <c r="F80" s="80">
        <f t="shared" si="603"/>
        <v>44514</v>
      </c>
      <c r="G80" s="80">
        <f t="shared" si="603"/>
        <v>44696.5</v>
      </c>
      <c r="H80" s="80">
        <f t="shared" si="603"/>
        <v>44879</v>
      </c>
      <c r="I80" s="80">
        <f t="shared" si="603"/>
        <v>45061.5</v>
      </c>
      <c r="J80" s="80">
        <f t="shared" si="603"/>
        <v>45244</v>
      </c>
      <c r="K80" s="80">
        <f t="shared" si="603"/>
        <v>45426.5</v>
      </c>
      <c r="L80" s="80">
        <f t="shared" si="603"/>
        <v>45609</v>
      </c>
      <c r="M80" s="80">
        <f t="shared" si="603"/>
        <v>45791.5</v>
      </c>
      <c r="N80" s="80">
        <f t="shared" si="603"/>
        <v>45974</v>
      </c>
      <c r="O80" s="80">
        <f t="shared" si="603"/>
        <v>46156.5</v>
      </c>
      <c r="P80" s="80">
        <f t="shared" si="603"/>
        <v>46339</v>
      </c>
      <c r="Q80" s="80">
        <f t="shared" si="603"/>
        <v>46521.5</v>
      </c>
      <c r="R80" s="80">
        <f t="shared" si="603"/>
        <v>46704</v>
      </c>
      <c r="S80" s="80">
        <f t="shared" si="603"/>
        <v>46886.5</v>
      </c>
      <c r="T80" s="80">
        <f t="shared" si="603"/>
        <v>47069</v>
      </c>
      <c r="U80" s="80">
        <f t="shared" si="603"/>
        <v>47251.5</v>
      </c>
      <c r="V80" s="80">
        <f t="shared" si="603"/>
        <v>47434</v>
      </c>
      <c r="W80" s="80">
        <f t="shared" si="603"/>
        <v>47616.5</v>
      </c>
      <c r="X80" s="80">
        <f t="shared" si="603"/>
        <v>47799</v>
      </c>
      <c r="Y80" s="80">
        <f t="shared" si="603"/>
        <v>47981.5</v>
      </c>
      <c r="Z80" s="80">
        <f t="shared" si="603"/>
        <v>48164</v>
      </c>
      <c r="AA80" s="80">
        <f t="shared" si="603"/>
        <v>48346.5</v>
      </c>
      <c r="AB80" s="80">
        <f t="shared" si="603"/>
        <v>48529</v>
      </c>
      <c r="AC80" s="80">
        <f t="shared" si="603"/>
        <v>48711.5</v>
      </c>
      <c r="AD80" s="80">
        <f t="shared" si="603"/>
        <v>48894</v>
      </c>
      <c r="AE80" s="80">
        <f t="shared" si="603"/>
        <v>49076.5</v>
      </c>
      <c r="AF80" s="80">
        <f t="shared" si="603"/>
        <v>49259</v>
      </c>
      <c r="AG80" s="80">
        <f t="shared" si="603"/>
        <v>49441.5</v>
      </c>
      <c r="AH80" s="80">
        <f t="shared" si="603"/>
        <v>49624</v>
      </c>
      <c r="AI80" s="80">
        <f t="shared" si="603"/>
        <v>49806.5</v>
      </c>
      <c r="AJ80" s="80">
        <f t="shared" si="603"/>
        <v>49989</v>
      </c>
      <c r="AK80" s="80">
        <f t="shared" si="603"/>
        <v>50171.5</v>
      </c>
      <c r="AL80" s="80">
        <f t="shared" si="603"/>
        <v>50354</v>
      </c>
      <c r="AM80" s="80">
        <f t="shared" si="603"/>
        <v>50536.5</v>
      </c>
      <c r="AN80" s="80">
        <f t="shared" si="603"/>
        <v>50719</v>
      </c>
      <c r="AO80" s="80">
        <f t="shared" si="603"/>
        <v>50901.5</v>
      </c>
      <c r="AP80" s="80">
        <f t="shared" si="603"/>
        <v>51084</v>
      </c>
      <c r="AQ80" s="80">
        <f t="shared" si="603"/>
        <v>51266.5</v>
      </c>
      <c r="AR80" s="80">
        <f t="shared" si="603"/>
        <v>51449</v>
      </c>
      <c r="AS80" s="80">
        <f t="shared" si="603"/>
        <v>51631.5</v>
      </c>
      <c r="AT80" s="80">
        <f t="shared" si="603"/>
        <v>51814</v>
      </c>
      <c r="AU80" s="80">
        <f t="shared" si="603"/>
        <v>51996.5</v>
      </c>
      <c r="AV80" s="80">
        <f t="shared" si="603"/>
        <v>52179</v>
      </c>
      <c r="AW80" s="80">
        <f t="shared" si="603"/>
        <v>52361.5</v>
      </c>
      <c r="AX80" s="80">
        <f t="shared" si="603"/>
        <v>52544</v>
      </c>
      <c r="AY80" s="80">
        <f t="shared" si="603"/>
        <v>52726.5</v>
      </c>
      <c r="AZ80" s="80">
        <f t="shared" si="603"/>
        <v>52909</v>
      </c>
      <c r="BA80" s="80">
        <f t="shared" si="603"/>
        <v>53091.5</v>
      </c>
      <c r="BB80" s="80">
        <f t="shared" si="603"/>
        <v>53274</v>
      </c>
      <c r="BC80" s="80">
        <f t="shared" si="603"/>
        <v>53456.5</v>
      </c>
      <c r="BD80" s="80">
        <f t="shared" si="603"/>
        <v>53639</v>
      </c>
      <c r="BE80" s="80">
        <f t="shared" si="603"/>
        <v>53821.5</v>
      </c>
      <c r="BF80" s="80">
        <f t="shared" si="603"/>
        <v>54004</v>
      </c>
      <c r="BG80" s="80">
        <f t="shared" si="603"/>
        <v>54186.5</v>
      </c>
      <c r="BH80" s="80">
        <f t="shared" si="603"/>
        <v>54369</v>
      </c>
      <c r="BI80" s="80">
        <f t="shared" si="603"/>
        <v>54551.5</v>
      </c>
      <c r="BJ80" s="80">
        <f t="shared" si="603"/>
        <v>54734</v>
      </c>
      <c r="BK80" s="80">
        <f t="shared" si="603"/>
        <v>54916.5</v>
      </c>
      <c r="BL80" s="80">
        <f t="shared" si="603"/>
        <v>55099</v>
      </c>
      <c r="BM80" s="80">
        <f t="shared" si="603"/>
        <v>55281.5</v>
      </c>
      <c r="BN80" s="80">
        <f t="shared" si="603"/>
        <v>55464</v>
      </c>
      <c r="BO80" s="80">
        <f t="shared" si="603"/>
        <v>55646.5</v>
      </c>
      <c r="BP80" s="80">
        <f t="shared" ref="BP80:CB80" si="604">BO80+IF($G27=1,365,182.5)</f>
        <v>55829</v>
      </c>
      <c r="BQ80" s="80">
        <f t="shared" si="604"/>
        <v>56011.5</v>
      </c>
      <c r="BR80" s="80">
        <f t="shared" si="604"/>
        <v>56194</v>
      </c>
      <c r="BS80" s="80">
        <f t="shared" si="604"/>
        <v>56376.5</v>
      </c>
      <c r="BT80" s="80">
        <f t="shared" si="604"/>
        <v>56559</v>
      </c>
      <c r="BU80" s="80">
        <f t="shared" si="604"/>
        <v>56741.5</v>
      </c>
      <c r="BV80" s="80">
        <f t="shared" si="604"/>
        <v>56924</v>
      </c>
      <c r="BW80" s="80">
        <f t="shared" si="604"/>
        <v>57106.5</v>
      </c>
      <c r="BX80" s="80">
        <f t="shared" si="604"/>
        <v>57289</v>
      </c>
      <c r="BY80" s="80">
        <f t="shared" si="604"/>
        <v>57471.5</v>
      </c>
      <c r="BZ80" s="80">
        <f t="shared" si="604"/>
        <v>57654</v>
      </c>
      <c r="CA80" s="80">
        <f t="shared" si="604"/>
        <v>57836.5</v>
      </c>
      <c r="CB80" s="81">
        <f t="shared" si="604"/>
        <v>58019</v>
      </c>
      <c r="CC80" s="321"/>
      <c r="CD80" s="321"/>
      <c r="CE80" s="321"/>
      <c r="CF80" s="322"/>
      <c r="CG80" s="322"/>
      <c r="CH80" s="322"/>
      <c r="CI80" s="322"/>
      <c r="CJ80" s="322"/>
      <c r="CK80" s="322"/>
      <c r="CL80" s="322"/>
      <c r="CM80" s="322"/>
      <c r="CN80" s="322"/>
      <c r="CO80" s="322"/>
      <c r="CP80" s="322"/>
      <c r="CQ80" s="322"/>
      <c r="CR80" s="322"/>
      <c r="CS80" s="322"/>
      <c r="CT80" s="322"/>
      <c r="CU80" s="322"/>
      <c r="CV80" s="322"/>
      <c r="CW80" s="322"/>
      <c r="CX80" s="322"/>
      <c r="CY80" s="322"/>
      <c r="CZ80" s="322"/>
      <c r="DA80" s="322"/>
      <c r="DB80" s="322"/>
      <c r="DC80" s="322"/>
      <c r="DD80" s="322"/>
      <c r="DE80" s="322"/>
      <c r="DF80" s="322"/>
      <c r="DG80" s="322"/>
      <c r="DH80" s="322"/>
      <c r="DI80" s="322"/>
      <c r="DJ80" s="322"/>
      <c r="DK80" s="322"/>
      <c r="DL80" s="321"/>
      <c r="DM80" s="321"/>
      <c r="DN80" s="321"/>
      <c r="DO80" s="321"/>
      <c r="DP80" s="321"/>
      <c r="DQ80" s="321"/>
      <c r="DR80" s="321"/>
      <c r="DS80" s="321"/>
      <c r="DT80" s="321"/>
      <c r="DU80" s="321"/>
      <c r="DV80" s="321"/>
      <c r="DW80" s="321"/>
      <c r="DX80" s="321"/>
      <c r="DY80" s="321"/>
      <c r="DZ80" s="321"/>
      <c r="EA80" s="321"/>
      <c r="EB80" s="321"/>
      <c r="EC80" s="321"/>
      <c r="ED80" s="321"/>
      <c r="EE80" s="321"/>
      <c r="EF80" s="321"/>
      <c r="EG80" s="321"/>
      <c r="EH80" s="321"/>
      <c r="EI80" s="321"/>
      <c r="EJ80" s="321"/>
      <c r="EK80" s="321"/>
      <c r="EL80" s="321"/>
      <c r="EM80" s="321"/>
      <c r="EN80" s="321"/>
      <c r="EO80" s="321"/>
      <c r="EP80" s="321"/>
      <c r="EQ80" s="321"/>
      <c r="ER80" s="321"/>
      <c r="ES80" s="321"/>
      <c r="ET80" s="321"/>
      <c r="EU80" s="321"/>
      <c r="EV80" s="321"/>
      <c r="EW80" s="321"/>
      <c r="EX80" s="321"/>
      <c r="EY80" s="321"/>
      <c r="EZ80" s="321"/>
      <c r="FA80" s="321"/>
      <c r="FB80" s="321"/>
      <c r="FC80" s="321"/>
      <c r="FD80" s="321"/>
      <c r="FE80" s="321"/>
      <c r="FF80" s="321"/>
      <c r="FG80" s="321"/>
      <c r="FH80" s="321"/>
      <c r="FI80" s="321"/>
      <c r="FJ80" s="321"/>
      <c r="FK80" s="321"/>
      <c r="FL80" s="321"/>
      <c r="FM80" s="321"/>
      <c r="FN80" s="321"/>
      <c r="FO80" s="321"/>
      <c r="FP80" s="321"/>
      <c r="FQ80" s="321"/>
      <c r="FR80" s="321"/>
      <c r="FS80" s="321"/>
      <c r="FT80" s="321"/>
      <c r="FU80" s="321"/>
      <c r="FV80" s="321"/>
      <c r="FW80" s="321"/>
      <c r="FX80" s="321"/>
      <c r="FY80" s="321"/>
      <c r="FZ80" s="321"/>
      <c r="GA80" s="321"/>
      <c r="GB80" s="321"/>
      <c r="GC80" s="321"/>
      <c r="GD80" s="321"/>
      <c r="GE80" s="321"/>
      <c r="GF80" s="321"/>
      <c r="GG80" s="321"/>
      <c r="GH80" s="321"/>
      <c r="GI80" s="321"/>
      <c r="GJ80" s="321"/>
      <c r="GK80" s="321"/>
      <c r="GL80" s="321"/>
      <c r="GM80" s="321"/>
      <c r="GN80" s="321"/>
      <c r="GO80" s="321"/>
      <c r="GP80" s="321"/>
      <c r="GQ80" s="321"/>
      <c r="GR80" s="321"/>
      <c r="GS80" s="321"/>
    </row>
    <row r="81" spans="1:203">
      <c r="A81" s="430" t="s">
        <v>130</v>
      </c>
      <c r="B81" s="385">
        <f>(IF(B80=F27,100,0)+IF(G27=1,1,0.5)*J27*100)*IF(ISBLANK(F27)=TRUE,0,1)</f>
        <v>1.4375</v>
      </c>
      <c r="C81" s="431">
        <f>IF(C80&gt;$F27+1,0,1)*(IF(D81=0,100,0)+IF($G27=1,1,0.5)*$J27*100)</f>
        <v>1.4375</v>
      </c>
      <c r="D81" s="386">
        <f t="shared" ref="D81:J81" si="605">IF(D80&gt;$F27+1,0,1)*(IF(E81=0,100,0)+IF($G27=1,1,0.5)*$J27*100)</f>
        <v>1.4375</v>
      </c>
      <c r="E81" s="386">
        <f t="shared" si="605"/>
        <v>1.4375</v>
      </c>
      <c r="F81" s="386">
        <f t="shared" si="605"/>
        <v>1.4375</v>
      </c>
      <c r="G81" s="386">
        <f t="shared" si="605"/>
        <v>1.4375</v>
      </c>
      <c r="H81" s="386">
        <f t="shared" si="605"/>
        <v>1.4375</v>
      </c>
      <c r="I81" s="386">
        <f t="shared" si="605"/>
        <v>1.4375</v>
      </c>
      <c r="J81" s="386">
        <f t="shared" si="605"/>
        <v>1.4375</v>
      </c>
      <c r="K81" s="386">
        <f t="shared" ref="K81" si="606">IF(K80&gt;$F27+1,0,1)*(IF(L81=0,100,0)+IF($G27=1,1,0.5)*$J27*100)</f>
        <v>1.4375</v>
      </c>
      <c r="L81" s="386">
        <f t="shared" ref="L81" si="607">IF(L80&gt;$F27+1,0,1)*(IF(M81=0,100,0)+IF($G27=1,1,0.5)*$J27*100)</f>
        <v>1.4375</v>
      </c>
      <c r="M81" s="386">
        <f t="shared" ref="M81" si="608">IF(M80&gt;$F27+1,0,1)*(IF(N81=0,100,0)+IF($G27=1,1,0.5)*$J27*100)</f>
        <v>1.4375</v>
      </c>
      <c r="N81" s="386">
        <f t="shared" ref="N81" si="609">IF(N80&gt;$F27+1,0,1)*(IF(O81=0,100,0)+IF($G27=1,1,0.5)*$J27*100)</f>
        <v>1.4375</v>
      </c>
      <c r="O81" s="386">
        <f t="shared" ref="O81" si="610">IF(O80&gt;$F27+1,0,1)*(IF(P81=0,100,0)+IF($G27=1,1,0.5)*$J27*100)</f>
        <v>1.4375</v>
      </c>
      <c r="P81" s="386">
        <f t="shared" ref="P81:Q81" si="611">IF(P80&gt;$F27+1,0,1)*(IF(Q81=0,100,0)+IF($G27=1,1,0.5)*$J27*100)</f>
        <v>1.4375</v>
      </c>
      <c r="Q81" s="386">
        <f t="shared" si="611"/>
        <v>1.4375</v>
      </c>
      <c r="R81" s="386">
        <f t="shared" ref="R81" si="612">IF(R80&gt;$F27+1,0,1)*(IF(S81=0,100,0)+IF($G27=1,1,0.5)*$J27*100)</f>
        <v>1.4375</v>
      </c>
      <c r="S81" s="386">
        <f t="shared" ref="S81" si="613">IF(S80&gt;$F27+1,0,1)*(IF(T81=0,100,0)+IF($G27=1,1,0.5)*$J27*100)</f>
        <v>1.4375</v>
      </c>
      <c r="T81" s="386">
        <f t="shared" ref="T81" si="614">IF(T80&gt;$F27+1,0,1)*(IF(U81=0,100,0)+IF($G27=1,1,0.5)*$J27*100)</f>
        <v>1.4375</v>
      </c>
      <c r="U81" s="386">
        <f t="shared" ref="U81" si="615">IF(U80&gt;$F27+1,0,1)*(IF(V81=0,100,0)+IF($G27=1,1,0.5)*$J27*100)</f>
        <v>1.4375</v>
      </c>
      <c r="V81" s="386">
        <f t="shared" ref="V81" si="616">IF(V80&gt;$F27+1,0,1)*(IF(W81=0,100,0)+IF($G27=1,1,0.5)*$J27*100)</f>
        <v>1.4375</v>
      </c>
      <c r="W81" s="386">
        <f t="shared" ref="W81:X81" si="617">IF(W80&gt;$F27+1,0,1)*(IF(X81=0,100,0)+IF($G27=1,1,0.5)*$J27*100)</f>
        <v>1.4375</v>
      </c>
      <c r="X81" s="386">
        <f t="shared" si="617"/>
        <v>1.4375</v>
      </c>
      <c r="Y81" s="386">
        <f t="shared" ref="Y81" si="618">IF(Y80&gt;$F27+1,0,1)*(IF(Z81=0,100,0)+IF($G27=1,1,0.5)*$J27*100)</f>
        <v>1.4375</v>
      </c>
      <c r="Z81" s="386">
        <f t="shared" ref="Z81" si="619">IF(Z80&gt;$F27+1,0,1)*(IF(AA81=0,100,0)+IF($G27=1,1,0.5)*$J27*100)</f>
        <v>1.4375</v>
      </c>
      <c r="AA81" s="386">
        <f t="shared" ref="AA81" si="620">IF(AA80&gt;$F27+1,0,1)*(IF(AB81=0,100,0)+IF($G27=1,1,0.5)*$J27*100)</f>
        <v>1.4375</v>
      </c>
      <c r="AB81" s="386">
        <f t="shared" ref="AB81" si="621">IF(AB80&gt;$F27+1,0,1)*(IF(AC81=0,100,0)+IF($G27=1,1,0.5)*$J27*100)</f>
        <v>1.4375</v>
      </c>
      <c r="AC81" s="386">
        <f t="shared" ref="AC81" si="622">IF(AC80&gt;$F27+1,0,1)*(IF(AD81=0,100,0)+IF($G27=1,1,0.5)*$J27*100)</f>
        <v>1.4375</v>
      </c>
      <c r="AD81" s="386">
        <f t="shared" ref="AD81:AE81" si="623">IF(AD80&gt;$F27+1,0,1)*(IF(AE81=0,100,0)+IF($G27=1,1,0.5)*$J27*100)</f>
        <v>1.4375</v>
      </c>
      <c r="AE81" s="386">
        <f t="shared" si="623"/>
        <v>1.4375</v>
      </c>
      <c r="AF81" s="386">
        <f t="shared" ref="AF81" si="624">IF(AF80&gt;$F27+1,0,1)*(IF(AG81=0,100,0)+IF($G27=1,1,0.5)*$J27*100)</f>
        <v>1.4375</v>
      </c>
      <c r="AG81" s="386">
        <f t="shared" ref="AG81" si="625">IF(AG80&gt;$F27+1,0,1)*(IF(AH81=0,100,0)+IF($G27=1,1,0.5)*$J27*100)</f>
        <v>1.4375</v>
      </c>
      <c r="AH81" s="386">
        <f t="shared" ref="AH81" si="626">IF(AH80&gt;$F27+1,0,1)*(IF(AI81=0,100,0)+IF($G27=1,1,0.5)*$J27*100)</f>
        <v>1.4375</v>
      </c>
      <c r="AI81" s="386">
        <f t="shared" ref="AI81" si="627">IF(AI80&gt;$F27+1,0,1)*(IF(AJ81=0,100,0)+IF($G27=1,1,0.5)*$J27*100)</f>
        <v>1.4375</v>
      </c>
      <c r="AJ81" s="386">
        <f t="shared" ref="AJ81" si="628">IF(AJ80&gt;$F27+1,0,1)*(IF(AK81=0,100,0)+IF($G27=1,1,0.5)*$J27*100)</f>
        <v>1.4375</v>
      </c>
      <c r="AK81" s="386">
        <f t="shared" ref="AK81:AL81" si="629">IF(AK80&gt;$F27+1,0,1)*(IF(AL81=0,100,0)+IF($G27=1,1,0.5)*$J27*100)</f>
        <v>1.4375</v>
      </c>
      <c r="AL81" s="386">
        <f t="shared" si="629"/>
        <v>1.4375</v>
      </c>
      <c r="AM81" s="386">
        <f t="shared" ref="AM81" si="630">IF(AM80&gt;$F27+1,0,1)*(IF(AN81=0,100,0)+IF($G27=1,1,0.5)*$J27*100)</f>
        <v>1.4375</v>
      </c>
      <c r="AN81" s="386">
        <f t="shared" ref="AN81" si="631">IF(AN80&gt;$F27+1,0,1)*(IF(AO81=0,100,0)+IF($G27=1,1,0.5)*$J27*100)</f>
        <v>1.4375</v>
      </c>
      <c r="AO81" s="386">
        <f t="shared" ref="AO81" si="632">IF(AO80&gt;$F27+1,0,1)*(IF(AP81=0,100,0)+IF($G27=1,1,0.5)*$J27*100)</f>
        <v>1.4375</v>
      </c>
      <c r="AP81" s="386">
        <f t="shared" ref="AP81" si="633">IF(AP80&gt;$F27+1,0,1)*(IF(AQ81=0,100,0)+IF($G27=1,1,0.5)*$J27*100)</f>
        <v>1.4375</v>
      </c>
      <c r="AQ81" s="386">
        <f t="shared" ref="AQ81" si="634">IF(AQ80&gt;$F27+1,0,1)*(IF(AR81=0,100,0)+IF($G27=1,1,0.5)*$J27*100)</f>
        <v>1.4375</v>
      </c>
      <c r="AR81" s="386">
        <f t="shared" ref="AR81:AS81" si="635">IF(AR80&gt;$F27+1,0,1)*(IF(AS81=0,100,0)+IF($G27=1,1,0.5)*$J27*100)</f>
        <v>1.4375</v>
      </c>
      <c r="AS81" s="386">
        <f t="shared" si="635"/>
        <v>1.4375</v>
      </c>
      <c r="AT81" s="386">
        <f t="shared" ref="AT81" si="636">IF(AT80&gt;$F27+1,0,1)*(IF(AU81=0,100,0)+IF($G27=1,1,0.5)*$J27*100)</f>
        <v>1.4375</v>
      </c>
      <c r="AU81" s="386">
        <f t="shared" ref="AU81" si="637">IF(AU80&gt;$F27+1,0,1)*(IF(AV81=0,100,0)+IF($G27=1,1,0.5)*$J27*100)</f>
        <v>1.4375</v>
      </c>
      <c r="AV81" s="386">
        <f t="shared" ref="AV81" si="638">IF(AV80&gt;$F27+1,0,1)*(IF(AW81=0,100,0)+IF($G27=1,1,0.5)*$J27*100)</f>
        <v>1.4375</v>
      </c>
      <c r="AW81" s="386">
        <f t="shared" ref="AW81" si="639">IF(AW80&gt;$F27+1,0,1)*(IF(AX81=0,100,0)+IF($G27=1,1,0.5)*$J27*100)</f>
        <v>1.4375</v>
      </c>
      <c r="AX81" s="386">
        <f t="shared" ref="AX81" si="640">IF(AX80&gt;$F27+1,0,1)*(IF(AY81=0,100,0)+IF($G27=1,1,0.5)*$J27*100)</f>
        <v>1.4375</v>
      </c>
      <c r="AY81" s="386">
        <f t="shared" ref="AY81:AZ81" si="641">IF(AY80&gt;$F27+1,0,1)*(IF(AZ81=0,100,0)+IF($G27=1,1,0.5)*$J27*100)</f>
        <v>1.4375</v>
      </c>
      <c r="AZ81" s="386">
        <f t="shared" si="641"/>
        <v>1.4375</v>
      </c>
      <c r="BA81" s="386">
        <f t="shared" ref="BA81" si="642">IF(BA80&gt;$F27+1,0,1)*(IF(BB81=0,100,0)+IF($G27=1,1,0.5)*$J27*100)</f>
        <v>1.4375</v>
      </c>
      <c r="BB81" s="386">
        <f t="shared" ref="BB81" si="643">IF(BB80&gt;$F27+1,0,1)*(IF(BC81=0,100,0)+IF($G27=1,1,0.5)*$J27*100)</f>
        <v>1.4375</v>
      </c>
      <c r="BC81" s="386">
        <f t="shared" ref="BC81" si="644">IF(BC80&gt;$F27+1,0,1)*(IF(BD81=0,100,0)+IF($G27=1,1,0.5)*$J27*100)</f>
        <v>1.4375</v>
      </c>
      <c r="BD81" s="386">
        <f t="shared" ref="BD81" si="645">IF(BD80&gt;$F27+1,0,1)*(IF(BE81=0,100,0)+IF($G27=1,1,0.5)*$J27*100)</f>
        <v>1.4375</v>
      </c>
      <c r="BE81" s="386">
        <f t="shared" ref="BE81" si="646">IF(BE80&gt;$F27+1,0,1)*(IF(BF81=0,100,0)+IF($G27=1,1,0.5)*$J27*100)</f>
        <v>1.4375</v>
      </c>
      <c r="BF81" s="386">
        <f t="shared" ref="BF81:BG81" si="647">IF(BF80&gt;$F27+1,0,1)*(IF(BG81=0,100,0)+IF($G27=1,1,0.5)*$J27*100)</f>
        <v>1.4375</v>
      </c>
      <c r="BG81" s="386">
        <f t="shared" si="647"/>
        <v>1.4375</v>
      </c>
      <c r="BH81" s="386">
        <f t="shared" ref="BH81" si="648">IF(BH80&gt;$F27+1,0,1)*(IF(BI81=0,100,0)+IF($G27=1,1,0.5)*$J27*100)</f>
        <v>1.4375</v>
      </c>
      <c r="BI81" s="386">
        <f t="shared" ref="BI81" si="649">IF(BI80&gt;$F27+1,0,1)*(IF(BJ81=0,100,0)+IF($G27=1,1,0.5)*$J27*100)</f>
        <v>101.4375</v>
      </c>
      <c r="BJ81" s="386">
        <f t="shared" ref="BJ81" si="650">IF(BJ80&gt;$F27+1,0,1)*(IF(BK81=0,100,0)+IF($G27=1,1,0.5)*$J27*100)</f>
        <v>0</v>
      </c>
      <c r="BK81" s="386">
        <f t="shared" ref="BK81" si="651">IF(BK80&gt;$F27+1,0,1)*(IF(BL81=0,100,0)+IF($G27=1,1,0.5)*$J27*100)</f>
        <v>0</v>
      </c>
      <c r="BL81" s="386">
        <f t="shared" ref="BL81" si="652">IF(BL80&gt;$F27+1,0,1)*(IF(BM81=0,100,0)+IF($G27=1,1,0.5)*$J27*100)</f>
        <v>0</v>
      </c>
      <c r="BM81" s="386">
        <f t="shared" ref="BM81:BN81" si="653">IF(BM80&gt;$F27+1,0,1)*(IF(BN81=0,100,0)+IF($G27=1,1,0.5)*$J27*100)</f>
        <v>0</v>
      </c>
      <c r="BN81" s="386">
        <f t="shared" si="653"/>
        <v>0</v>
      </c>
      <c r="BO81" s="386">
        <f t="shared" ref="BO81" si="654">IF(BO80&gt;$F27+1,0,1)*(IF(BP81=0,100,0)+IF($G27=1,1,0.5)*$J27*100)</f>
        <v>0</v>
      </c>
      <c r="BP81" s="386">
        <f t="shared" ref="BP81" si="655">IF(BP80&gt;$F27+1,0,1)*(IF(BQ81=0,100,0)+IF($G27=1,1,0.5)*$J27*100)</f>
        <v>0</v>
      </c>
      <c r="BQ81" s="386">
        <f t="shared" ref="BQ81" si="656">IF(BQ80&gt;$F27+1,0,1)*(IF(BR81=0,100,0)+IF($G27=1,1,0.5)*$J27*100)</f>
        <v>0</v>
      </c>
      <c r="BR81" s="386">
        <f t="shared" ref="BR81" si="657">IF(BR80&gt;$F27+1,0,1)*(IF(BS81=0,100,0)+IF($G27=1,1,0.5)*$J27*100)</f>
        <v>0</v>
      </c>
      <c r="BS81" s="386">
        <f t="shared" ref="BS81" si="658">IF(BS80&gt;$F27+1,0,1)*(IF(BT81=0,100,0)+IF($G27=1,1,0.5)*$J27*100)</f>
        <v>0</v>
      </c>
      <c r="BT81" s="386">
        <f t="shared" ref="BT81:BU81" si="659">IF(BT80&gt;$F27+1,0,1)*(IF(BU81=0,100,0)+IF($G27=1,1,0.5)*$J27*100)</f>
        <v>0</v>
      </c>
      <c r="BU81" s="386">
        <f t="shared" si="659"/>
        <v>0</v>
      </c>
      <c r="BV81" s="386">
        <f t="shared" ref="BV81" si="660">IF(BV80&gt;$F27+1,0,1)*(IF(BW81=0,100,0)+IF($G27=1,1,0.5)*$J27*100)</f>
        <v>0</v>
      </c>
      <c r="BW81" s="386">
        <f t="shared" ref="BW81" si="661">IF(BW80&gt;$F27+1,0,1)*(IF(BX81=0,100,0)+IF($G27=1,1,0.5)*$J27*100)</f>
        <v>0</v>
      </c>
      <c r="BX81" s="386">
        <f t="shared" ref="BX81" si="662">IF(BX80&gt;$F27+1,0,1)*(IF(BY81=0,100,0)+IF($G27=1,1,0.5)*$J27*100)</f>
        <v>0</v>
      </c>
      <c r="BY81" s="386">
        <f t="shared" ref="BY81" si="663">IF(BY80&gt;$F27+1,0,1)*(IF(BZ81=0,100,0)+IF($G27=1,1,0.5)*$J27*100)</f>
        <v>0</v>
      </c>
      <c r="BZ81" s="386">
        <f t="shared" ref="BZ81" si="664">IF(BZ80&gt;$F27+1,0,1)*(IF(CA81=0,100,0)+IF($G27=1,1,0.5)*$J27*100)</f>
        <v>0</v>
      </c>
      <c r="CA81" s="386">
        <f t="shared" ref="CA81" si="665">IF(CA80&gt;$F27+1,0,1)*(IF(CB81=0,100,0)+IF($G27=1,1,0.5)*$J27*100)</f>
        <v>0</v>
      </c>
      <c r="CB81" s="387">
        <f>IF(CB80&gt;$F27+1,0,1)*(IF(CC81=0,100,0)+IF($G27=1,1,0.5)*$J27*100)</f>
        <v>0</v>
      </c>
      <c r="CC81" s="321"/>
      <c r="CD81" s="321"/>
      <c r="CE81" s="321"/>
      <c r="CF81" s="322"/>
      <c r="CG81" s="322"/>
      <c r="CH81" s="322"/>
      <c r="CI81" s="322"/>
      <c r="CJ81" s="322"/>
      <c r="CK81" s="322"/>
      <c r="CL81" s="322"/>
      <c r="CM81" s="322"/>
      <c r="CN81" s="322"/>
      <c r="CO81" s="322"/>
      <c r="CP81" s="322"/>
      <c r="CQ81" s="322"/>
      <c r="CR81" s="322"/>
      <c r="CS81" s="322"/>
      <c r="CT81" s="322"/>
      <c r="CU81" s="322"/>
      <c r="CV81" s="322"/>
      <c r="CW81" s="322"/>
      <c r="CX81" s="322"/>
      <c r="CY81" s="322"/>
      <c r="CZ81" s="322"/>
      <c r="DA81" s="322"/>
      <c r="DB81" s="322"/>
      <c r="DC81" s="322"/>
      <c r="DD81" s="322"/>
      <c r="DE81" s="322"/>
      <c r="DF81" s="322"/>
      <c r="DG81" s="322"/>
      <c r="DH81" s="322"/>
      <c r="DI81" s="322"/>
      <c r="DJ81" s="322"/>
      <c r="DK81" s="322"/>
      <c r="DL81" s="321"/>
      <c r="DM81" s="321"/>
      <c r="DN81" s="321"/>
      <c r="DO81" s="321"/>
      <c r="DP81" s="321"/>
      <c r="DQ81" s="321"/>
      <c r="DR81" s="321"/>
      <c r="DS81" s="321"/>
      <c r="DT81" s="321"/>
      <c r="DU81" s="321"/>
      <c r="DV81" s="321"/>
      <c r="DW81" s="321"/>
      <c r="DX81" s="321"/>
      <c r="DY81" s="321"/>
      <c r="DZ81" s="321"/>
      <c r="EA81" s="321"/>
      <c r="EB81" s="321"/>
      <c r="EC81" s="321"/>
      <c r="ED81" s="321"/>
      <c r="EE81" s="321"/>
      <c r="EF81" s="321"/>
      <c r="EG81" s="321"/>
      <c r="EH81" s="321"/>
      <c r="EI81" s="321"/>
      <c r="EJ81" s="321"/>
      <c r="EK81" s="321"/>
      <c r="EL81" s="321"/>
      <c r="EM81" s="321"/>
      <c r="EN81" s="321"/>
      <c r="EO81" s="321"/>
      <c r="EP81" s="321"/>
      <c r="EQ81" s="321"/>
      <c r="ER81" s="321"/>
      <c r="ES81" s="321"/>
      <c r="ET81" s="321"/>
      <c r="EU81" s="321"/>
      <c r="EV81" s="321"/>
      <c r="EW81" s="321"/>
      <c r="EX81" s="321"/>
      <c r="EY81" s="321"/>
      <c r="EZ81" s="321"/>
      <c r="FA81" s="321"/>
      <c r="FB81" s="321"/>
      <c r="FC81" s="321"/>
      <c r="FD81" s="321"/>
      <c r="FE81" s="321"/>
      <c r="FF81" s="321"/>
      <c r="FG81" s="321"/>
      <c r="FH81" s="321"/>
      <c r="FI81" s="321"/>
      <c r="FJ81" s="321"/>
      <c r="FK81" s="321"/>
      <c r="FL81" s="321"/>
      <c r="FM81" s="321"/>
      <c r="FN81" s="321"/>
      <c r="FO81" s="321"/>
      <c r="FP81" s="321"/>
      <c r="FQ81" s="321"/>
      <c r="FR81" s="321"/>
      <c r="FS81" s="321"/>
      <c r="FT81" s="321"/>
      <c r="FU81" s="321"/>
      <c r="FV81" s="321"/>
      <c r="FW81" s="321"/>
      <c r="FX81" s="321"/>
      <c r="FY81" s="321"/>
      <c r="FZ81" s="321"/>
      <c r="GA81" s="321"/>
      <c r="GB81" s="321"/>
      <c r="GC81" s="321"/>
      <c r="GD81" s="321"/>
      <c r="GE81" s="321"/>
      <c r="GF81" s="321"/>
      <c r="GG81" s="321"/>
      <c r="GH81" s="321"/>
      <c r="GI81" s="321"/>
      <c r="GJ81" s="321"/>
      <c r="GK81" s="321"/>
      <c r="GL81" s="321"/>
      <c r="GM81" s="321"/>
      <c r="GN81" s="321"/>
      <c r="GO81" s="321"/>
      <c r="GP81" s="321"/>
      <c r="GQ81" s="321"/>
      <c r="GR81" s="321"/>
      <c r="GS81" s="321"/>
    </row>
    <row r="82" spans="1:203" s="307" customFormat="1">
      <c r="A82" s="425" t="s">
        <v>49</v>
      </c>
      <c r="B82" s="144">
        <f>IF(E28=0,F28,E28)</f>
        <v>0</v>
      </c>
      <c r="C82" s="145">
        <f>B82+IF($G27=1,365,182.5)</f>
        <v>182.5</v>
      </c>
      <c r="D82" s="145">
        <f t="shared" ref="D82:BO82" si="666">C82+IF($G27=1,365,182.5)</f>
        <v>365</v>
      </c>
      <c r="E82" s="145">
        <f t="shared" si="666"/>
        <v>547.5</v>
      </c>
      <c r="F82" s="145">
        <f t="shared" si="666"/>
        <v>730</v>
      </c>
      <c r="G82" s="145">
        <f t="shared" si="666"/>
        <v>912.5</v>
      </c>
      <c r="H82" s="145">
        <f t="shared" si="666"/>
        <v>1095</v>
      </c>
      <c r="I82" s="145">
        <f t="shared" si="666"/>
        <v>1277.5</v>
      </c>
      <c r="J82" s="145">
        <f t="shared" si="666"/>
        <v>1460</v>
      </c>
      <c r="K82" s="145">
        <f t="shared" si="666"/>
        <v>1642.5</v>
      </c>
      <c r="L82" s="145">
        <f t="shared" si="666"/>
        <v>1825</v>
      </c>
      <c r="M82" s="145">
        <f t="shared" si="666"/>
        <v>2007.5</v>
      </c>
      <c r="N82" s="145">
        <f t="shared" si="666"/>
        <v>2190</v>
      </c>
      <c r="O82" s="145">
        <f t="shared" si="666"/>
        <v>2372.5</v>
      </c>
      <c r="P82" s="145">
        <f t="shared" si="666"/>
        <v>2555</v>
      </c>
      <c r="Q82" s="145">
        <f t="shared" si="666"/>
        <v>2737.5</v>
      </c>
      <c r="R82" s="145">
        <f t="shared" si="666"/>
        <v>2920</v>
      </c>
      <c r="S82" s="145">
        <f t="shared" si="666"/>
        <v>3102.5</v>
      </c>
      <c r="T82" s="145">
        <f t="shared" si="666"/>
        <v>3285</v>
      </c>
      <c r="U82" s="145">
        <f t="shared" si="666"/>
        <v>3467.5</v>
      </c>
      <c r="V82" s="145">
        <f t="shared" si="666"/>
        <v>3650</v>
      </c>
      <c r="W82" s="145">
        <f t="shared" si="666"/>
        <v>3832.5</v>
      </c>
      <c r="X82" s="145">
        <f t="shared" si="666"/>
        <v>4015</v>
      </c>
      <c r="Y82" s="145">
        <f t="shared" si="666"/>
        <v>4197.5</v>
      </c>
      <c r="Z82" s="145">
        <f t="shared" si="666"/>
        <v>4380</v>
      </c>
      <c r="AA82" s="145">
        <f t="shared" si="666"/>
        <v>4562.5</v>
      </c>
      <c r="AB82" s="145">
        <f t="shared" si="666"/>
        <v>4745</v>
      </c>
      <c r="AC82" s="145">
        <f t="shared" si="666"/>
        <v>4927.5</v>
      </c>
      <c r="AD82" s="145">
        <f t="shared" si="666"/>
        <v>5110</v>
      </c>
      <c r="AE82" s="145">
        <f t="shared" si="666"/>
        <v>5292.5</v>
      </c>
      <c r="AF82" s="145">
        <f t="shared" si="666"/>
        <v>5475</v>
      </c>
      <c r="AG82" s="145">
        <f t="shared" si="666"/>
        <v>5657.5</v>
      </c>
      <c r="AH82" s="145">
        <f t="shared" si="666"/>
        <v>5840</v>
      </c>
      <c r="AI82" s="145">
        <f t="shared" si="666"/>
        <v>6022.5</v>
      </c>
      <c r="AJ82" s="145">
        <f t="shared" si="666"/>
        <v>6205</v>
      </c>
      <c r="AK82" s="145">
        <f t="shared" si="666"/>
        <v>6387.5</v>
      </c>
      <c r="AL82" s="145">
        <f t="shared" si="666"/>
        <v>6570</v>
      </c>
      <c r="AM82" s="145">
        <f t="shared" si="666"/>
        <v>6752.5</v>
      </c>
      <c r="AN82" s="145">
        <f t="shared" si="666"/>
        <v>6935</v>
      </c>
      <c r="AO82" s="145">
        <f t="shared" si="666"/>
        <v>7117.5</v>
      </c>
      <c r="AP82" s="145">
        <f t="shared" si="666"/>
        <v>7300</v>
      </c>
      <c r="AQ82" s="145">
        <f t="shared" si="666"/>
        <v>7482.5</v>
      </c>
      <c r="AR82" s="145">
        <f t="shared" si="666"/>
        <v>7665</v>
      </c>
      <c r="AS82" s="145">
        <f t="shared" si="666"/>
        <v>7847.5</v>
      </c>
      <c r="AT82" s="145">
        <f t="shared" si="666"/>
        <v>8030</v>
      </c>
      <c r="AU82" s="145">
        <f t="shared" si="666"/>
        <v>8212.5</v>
      </c>
      <c r="AV82" s="145">
        <f t="shared" si="666"/>
        <v>8395</v>
      </c>
      <c r="AW82" s="145">
        <f t="shared" si="666"/>
        <v>8577.5</v>
      </c>
      <c r="AX82" s="145">
        <f t="shared" si="666"/>
        <v>8760</v>
      </c>
      <c r="AY82" s="145">
        <f t="shared" si="666"/>
        <v>8942.5</v>
      </c>
      <c r="AZ82" s="145">
        <f t="shared" si="666"/>
        <v>9125</v>
      </c>
      <c r="BA82" s="145">
        <f t="shared" si="666"/>
        <v>9307.5</v>
      </c>
      <c r="BB82" s="145">
        <f t="shared" si="666"/>
        <v>9490</v>
      </c>
      <c r="BC82" s="145">
        <f t="shared" si="666"/>
        <v>9672.5</v>
      </c>
      <c r="BD82" s="145">
        <f t="shared" si="666"/>
        <v>9855</v>
      </c>
      <c r="BE82" s="145">
        <f t="shared" si="666"/>
        <v>10037.5</v>
      </c>
      <c r="BF82" s="145">
        <f t="shared" si="666"/>
        <v>10220</v>
      </c>
      <c r="BG82" s="145">
        <f t="shared" si="666"/>
        <v>10402.5</v>
      </c>
      <c r="BH82" s="145">
        <f t="shared" si="666"/>
        <v>10585</v>
      </c>
      <c r="BI82" s="145">
        <f t="shared" si="666"/>
        <v>10767.5</v>
      </c>
      <c r="BJ82" s="145">
        <f t="shared" si="666"/>
        <v>10950</v>
      </c>
      <c r="BK82" s="145">
        <f t="shared" si="666"/>
        <v>11132.5</v>
      </c>
      <c r="BL82" s="145">
        <f t="shared" si="666"/>
        <v>11315</v>
      </c>
      <c r="BM82" s="145">
        <f t="shared" si="666"/>
        <v>11497.5</v>
      </c>
      <c r="BN82" s="145">
        <f t="shared" si="666"/>
        <v>11680</v>
      </c>
      <c r="BO82" s="145">
        <f t="shared" si="666"/>
        <v>11862.5</v>
      </c>
      <c r="BP82" s="145">
        <f t="shared" ref="BP82:CB82" si="667">BO82+IF($G27=1,365,182.5)</f>
        <v>12045</v>
      </c>
      <c r="BQ82" s="145">
        <f t="shared" si="667"/>
        <v>12227.5</v>
      </c>
      <c r="BR82" s="145">
        <f t="shared" si="667"/>
        <v>12410</v>
      </c>
      <c r="BS82" s="145">
        <f t="shared" si="667"/>
        <v>12592.5</v>
      </c>
      <c r="BT82" s="145">
        <f t="shared" si="667"/>
        <v>12775</v>
      </c>
      <c r="BU82" s="145">
        <f t="shared" si="667"/>
        <v>12957.5</v>
      </c>
      <c r="BV82" s="145">
        <f t="shared" si="667"/>
        <v>13140</v>
      </c>
      <c r="BW82" s="145">
        <f t="shared" si="667"/>
        <v>13322.5</v>
      </c>
      <c r="BX82" s="145">
        <f t="shared" si="667"/>
        <v>13505</v>
      </c>
      <c r="BY82" s="145">
        <f t="shared" si="667"/>
        <v>13687.5</v>
      </c>
      <c r="BZ82" s="145">
        <f t="shared" si="667"/>
        <v>13870</v>
      </c>
      <c r="CA82" s="145">
        <f t="shared" si="667"/>
        <v>14052.5</v>
      </c>
      <c r="CB82" s="146">
        <f t="shared" si="667"/>
        <v>14235</v>
      </c>
      <c r="CC82" s="524"/>
      <c r="CD82" s="524"/>
      <c r="CE82" s="524"/>
      <c r="CF82" s="524"/>
      <c r="CG82" s="524"/>
      <c r="CH82" s="524"/>
      <c r="CI82" s="524"/>
      <c r="CJ82" s="524"/>
      <c r="CK82" s="524"/>
      <c r="CL82" s="524"/>
      <c r="CM82" s="524"/>
      <c r="CN82" s="524"/>
      <c r="CO82" s="524"/>
      <c r="CP82" s="524"/>
      <c r="CQ82" s="524"/>
      <c r="CR82" s="524"/>
      <c r="CS82" s="524"/>
      <c r="CT82" s="524"/>
      <c r="CU82" s="524"/>
      <c r="CV82" s="524"/>
      <c r="CW82" s="524"/>
      <c r="CX82" s="524"/>
      <c r="CY82" s="524"/>
      <c r="CZ82" s="524"/>
      <c r="DA82" s="524"/>
      <c r="DB82" s="524"/>
      <c r="DC82" s="524"/>
      <c r="DD82" s="524"/>
      <c r="DE82" s="524"/>
      <c r="DF82" s="524"/>
      <c r="DG82" s="524"/>
      <c r="DH82" s="524"/>
      <c r="DI82" s="524"/>
      <c r="DJ82" s="524"/>
      <c r="DK82" s="524"/>
      <c r="DL82" s="524"/>
      <c r="DM82" s="524"/>
      <c r="DN82" s="524"/>
      <c r="DO82" s="524"/>
      <c r="DP82" s="524"/>
      <c r="DQ82" s="524"/>
      <c r="DR82" s="524"/>
      <c r="DS82" s="524"/>
      <c r="DT82" s="524"/>
      <c r="DU82" s="524"/>
      <c r="DV82" s="524"/>
      <c r="DW82" s="524"/>
      <c r="DX82" s="524"/>
      <c r="DY82" s="524"/>
      <c r="DZ82" s="524"/>
      <c r="EA82" s="524"/>
      <c r="EB82" s="524"/>
      <c r="EC82" s="524"/>
      <c r="ED82" s="524"/>
      <c r="EE82" s="524"/>
      <c r="EF82" s="524"/>
      <c r="EG82" s="524"/>
      <c r="EH82" s="524"/>
      <c r="EI82" s="524"/>
      <c r="EJ82" s="524"/>
      <c r="EK82" s="524"/>
      <c r="EL82" s="524"/>
      <c r="EM82" s="524"/>
      <c r="EN82" s="524"/>
      <c r="EO82" s="524"/>
      <c r="EP82" s="524"/>
      <c r="EQ82" s="524"/>
      <c r="ER82" s="524"/>
      <c r="ES82" s="524"/>
      <c r="ET82" s="524"/>
      <c r="EU82" s="524"/>
      <c r="EV82" s="524"/>
      <c r="EW82" s="524"/>
      <c r="EX82" s="524"/>
      <c r="EY82" s="524"/>
      <c r="EZ82" s="524"/>
      <c r="FA82" s="524"/>
      <c r="FB82" s="524"/>
      <c r="FC82" s="524"/>
      <c r="FD82" s="524"/>
      <c r="FE82" s="524"/>
      <c r="FF82" s="524"/>
      <c r="FG82" s="524"/>
      <c r="FH82" s="524"/>
      <c r="FI82" s="524"/>
      <c r="FJ82" s="524"/>
      <c r="FK82" s="524"/>
      <c r="FL82" s="524"/>
      <c r="FM82" s="524"/>
      <c r="FN82" s="524"/>
      <c r="FO82" s="524"/>
      <c r="FP82" s="524"/>
      <c r="FQ82" s="524"/>
      <c r="FR82" s="524"/>
      <c r="FS82" s="524"/>
      <c r="FT82" s="524"/>
      <c r="FU82" s="524"/>
      <c r="FV82" s="524"/>
      <c r="FW82" s="524"/>
      <c r="FX82" s="524"/>
      <c r="FY82" s="524"/>
      <c r="FZ82" s="524"/>
      <c r="GA82" s="524"/>
      <c r="GB82" s="524"/>
      <c r="GC82" s="524"/>
      <c r="GD82" s="524"/>
      <c r="GE82" s="524"/>
      <c r="GF82" s="524"/>
      <c r="GG82" s="524"/>
      <c r="GH82" s="524"/>
      <c r="GI82" s="524"/>
      <c r="GJ82" s="524"/>
      <c r="GK82" s="524"/>
      <c r="GL82" s="524"/>
      <c r="GM82" s="524"/>
      <c r="GN82" s="524"/>
      <c r="GO82" s="524"/>
      <c r="GP82" s="524"/>
      <c r="GQ82" s="524"/>
      <c r="GR82" s="524"/>
      <c r="GS82" s="524"/>
      <c r="GT82" s="525"/>
      <c r="GU82" s="525"/>
    </row>
    <row r="83" spans="1:203" s="307" customFormat="1">
      <c r="A83" s="432" t="s">
        <v>225</v>
      </c>
      <c r="B83" s="338">
        <f>(IF(B82=F28,100,0)+IF(G28=1,1,0.5)*J28*100)*IF(ISBLANK(F28)=TRUE,0,1)</f>
        <v>0</v>
      </c>
      <c r="C83" s="339">
        <f>IF(C82&gt;$F28+1,0,1)*(IF(D83=0,100,0)+IF($G28=1,1,0.5)*$J28*100)</f>
        <v>0</v>
      </c>
      <c r="D83" s="339">
        <f>IF(D82&gt;$F28+1,0,1)*(IF(E83=0,100,0)+IF($G28=1,1,0.5)*$J28*100)</f>
        <v>0</v>
      </c>
      <c r="E83" s="339">
        <f t="shared" ref="E83:BP83" si="668">IF(E82&gt;$F28+1,0,1)*(IF(F83=0,100,0)+IF($G28=1,1,0.5)*$J28*100)</f>
        <v>0</v>
      </c>
      <c r="F83" s="339">
        <f t="shared" si="668"/>
        <v>0</v>
      </c>
      <c r="G83" s="339">
        <f t="shared" si="668"/>
        <v>0</v>
      </c>
      <c r="H83" s="339">
        <f t="shared" si="668"/>
        <v>0</v>
      </c>
      <c r="I83" s="339">
        <f t="shared" si="668"/>
        <v>0</v>
      </c>
      <c r="J83" s="339">
        <f t="shared" si="668"/>
        <v>0</v>
      </c>
      <c r="K83" s="339">
        <f t="shared" si="668"/>
        <v>0</v>
      </c>
      <c r="L83" s="339">
        <f t="shared" si="668"/>
        <v>0</v>
      </c>
      <c r="M83" s="339">
        <f t="shared" si="668"/>
        <v>0</v>
      </c>
      <c r="N83" s="339">
        <f t="shared" si="668"/>
        <v>0</v>
      </c>
      <c r="O83" s="339">
        <f t="shared" si="668"/>
        <v>0</v>
      </c>
      <c r="P83" s="339">
        <f t="shared" si="668"/>
        <v>0</v>
      </c>
      <c r="Q83" s="339">
        <f t="shared" si="668"/>
        <v>0</v>
      </c>
      <c r="R83" s="339">
        <f t="shared" si="668"/>
        <v>0</v>
      </c>
      <c r="S83" s="339">
        <f t="shared" si="668"/>
        <v>0</v>
      </c>
      <c r="T83" s="339">
        <f t="shared" si="668"/>
        <v>0</v>
      </c>
      <c r="U83" s="339">
        <f t="shared" si="668"/>
        <v>0</v>
      </c>
      <c r="V83" s="339">
        <f t="shared" si="668"/>
        <v>0</v>
      </c>
      <c r="W83" s="339">
        <f t="shared" si="668"/>
        <v>0</v>
      </c>
      <c r="X83" s="339">
        <f t="shared" si="668"/>
        <v>0</v>
      </c>
      <c r="Y83" s="339">
        <f t="shared" si="668"/>
        <v>0</v>
      </c>
      <c r="Z83" s="339">
        <f t="shared" si="668"/>
        <v>0</v>
      </c>
      <c r="AA83" s="339">
        <f t="shared" si="668"/>
        <v>0</v>
      </c>
      <c r="AB83" s="339">
        <f t="shared" si="668"/>
        <v>0</v>
      </c>
      <c r="AC83" s="339">
        <f t="shared" si="668"/>
        <v>0</v>
      </c>
      <c r="AD83" s="339">
        <f t="shared" si="668"/>
        <v>0</v>
      </c>
      <c r="AE83" s="339">
        <f t="shared" si="668"/>
        <v>0</v>
      </c>
      <c r="AF83" s="339">
        <f t="shared" si="668"/>
        <v>0</v>
      </c>
      <c r="AG83" s="339">
        <f t="shared" si="668"/>
        <v>0</v>
      </c>
      <c r="AH83" s="339">
        <f t="shared" si="668"/>
        <v>0</v>
      </c>
      <c r="AI83" s="339">
        <f t="shared" si="668"/>
        <v>0</v>
      </c>
      <c r="AJ83" s="339">
        <f t="shared" si="668"/>
        <v>0</v>
      </c>
      <c r="AK83" s="339">
        <f t="shared" si="668"/>
        <v>0</v>
      </c>
      <c r="AL83" s="339">
        <f t="shared" si="668"/>
        <v>0</v>
      </c>
      <c r="AM83" s="339">
        <f t="shared" si="668"/>
        <v>0</v>
      </c>
      <c r="AN83" s="339">
        <f t="shared" si="668"/>
        <v>0</v>
      </c>
      <c r="AO83" s="339">
        <f t="shared" si="668"/>
        <v>0</v>
      </c>
      <c r="AP83" s="339">
        <f t="shared" si="668"/>
        <v>0</v>
      </c>
      <c r="AQ83" s="339">
        <f t="shared" si="668"/>
        <v>0</v>
      </c>
      <c r="AR83" s="339">
        <f t="shared" si="668"/>
        <v>0</v>
      </c>
      <c r="AS83" s="339">
        <f t="shared" si="668"/>
        <v>0</v>
      </c>
      <c r="AT83" s="339">
        <f t="shared" si="668"/>
        <v>0</v>
      </c>
      <c r="AU83" s="339">
        <f t="shared" si="668"/>
        <v>0</v>
      </c>
      <c r="AV83" s="339">
        <f t="shared" si="668"/>
        <v>0</v>
      </c>
      <c r="AW83" s="339">
        <f t="shared" si="668"/>
        <v>0</v>
      </c>
      <c r="AX83" s="339">
        <f t="shared" si="668"/>
        <v>0</v>
      </c>
      <c r="AY83" s="339">
        <f t="shared" si="668"/>
        <v>0</v>
      </c>
      <c r="AZ83" s="339">
        <f t="shared" si="668"/>
        <v>0</v>
      </c>
      <c r="BA83" s="339">
        <f t="shared" si="668"/>
        <v>0</v>
      </c>
      <c r="BB83" s="339">
        <f t="shared" si="668"/>
        <v>0</v>
      </c>
      <c r="BC83" s="339">
        <f t="shared" si="668"/>
        <v>0</v>
      </c>
      <c r="BD83" s="339">
        <f t="shared" si="668"/>
        <v>0</v>
      </c>
      <c r="BE83" s="339">
        <f t="shared" si="668"/>
        <v>0</v>
      </c>
      <c r="BF83" s="339">
        <f t="shared" si="668"/>
        <v>0</v>
      </c>
      <c r="BG83" s="339">
        <f t="shared" si="668"/>
        <v>0</v>
      </c>
      <c r="BH83" s="339">
        <f t="shared" si="668"/>
        <v>0</v>
      </c>
      <c r="BI83" s="339">
        <f t="shared" si="668"/>
        <v>0</v>
      </c>
      <c r="BJ83" s="339">
        <f t="shared" si="668"/>
        <v>0</v>
      </c>
      <c r="BK83" s="339">
        <f t="shared" si="668"/>
        <v>0</v>
      </c>
      <c r="BL83" s="339">
        <f t="shared" si="668"/>
        <v>0</v>
      </c>
      <c r="BM83" s="339">
        <f t="shared" si="668"/>
        <v>0</v>
      </c>
      <c r="BN83" s="339">
        <f t="shared" si="668"/>
        <v>0</v>
      </c>
      <c r="BO83" s="339">
        <f t="shared" si="668"/>
        <v>0</v>
      </c>
      <c r="BP83" s="339">
        <f t="shared" si="668"/>
        <v>0</v>
      </c>
      <c r="BQ83" s="339">
        <f t="shared" ref="BQ83:CA83" si="669">IF(BQ82&gt;$F28+1,0,1)*(IF(BR83=0,100,0)+IF($G28=1,1,0.5)*$J28*100)</f>
        <v>0</v>
      </c>
      <c r="BR83" s="339">
        <f t="shared" si="669"/>
        <v>0</v>
      </c>
      <c r="BS83" s="339">
        <f t="shared" si="669"/>
        <v>0</v>
      </c>
      <c r="BT83" s="339">
        <f t="shared" si="669"/>
        <v>0</v>
      </c>
      <c r="BU83" s="339">
        <f t="shared" si="669"/>
        <v>0</v>
      </c>
      <c r="BV83" s="339">
        <f t="shared" si="669"/>
        <v>0</v>
      </c>
      <c r="BW83" s="339">
        <f t="shared" si="669"/>
        <v>0</v>
      </c>
      <c r="BX83" s="339">
        <f t="shared" si="669"/>
        <v>0</v>
      </c>
      <c r="BY83" s="339">
        <f t="shared" si="669"/>
        <v>0</v>
      </c>
      <c r="BZ83" s="339">
        <f t="shared" si="669"/>
        <v>0</v>
      </c>
      <c r="CA83" s="339">
        <f t="shared" si="669"/>
        <v>0</v>
      </c>
      <c r="CB83" s="340">
        <f>IF(CB82&gt;$F28+1,0,1)*(IF(CC83=0,100,0)+IF($G28=1,1,0.5)*$J28*100)</f>
        <v>0</v>
      </c>
      <c r="CC83" s="524"/>
      <c r="CD83" s="524"/>
      <c r="CE83" s="524"/>
      <c r="CF83" s="524"/>
      <c r="CG83" s="524"/>
      <c r="CH83" s="524"/>
      <c r="CI83" s="524"/>
      <c r="CJ83" s="524"/>
      <c r="CK83" s="524"/>
      <c r="CL83" s="524"/>
      <c r="CM83" s="524"/>
      <c r="CN83" s="524"/>
      <c r="CO83" s="524"/>
      <c r="CP83" s="524"/>
      <c r="CQ83" s="524"/>
      <c r="CR83" s="524"/>
      <c r="CS83" s="524"/>
      <c r="CT83" s="524"/>
      <c r="CU83" s="524"/>
      <c r="CV83" s="524"/>
      <c r="CW83" s="524"/>
      <c r="CX83" s="524"/>
      <c r="CY83" s="524"/>
      <c r="CZ83" s="524"/>
      <c r="DA83" s="524"/>
      <c r="DB83" s="524"/>
      <c r="DC83" s="524"/>
      <c r="DD83" s="524"/>
      <c r="DE83" s="524"/>
      <c r="DF83" s="524"/>
      <c r="DG83" s="524"/>
      <c r="DH83" s="524"/>
      <c r="DI83" s="524"/>
      <c r="DJ83" s="524"/>
      <c r="DK83" s="524"/>
      <c r="DL83" s="524"/>
      <c r="DM83" s="524"/>
      <c r="DN83" s="524"/>
      <c r="DO83" s="524"/>
      <c r="DP83" s="524"/>
      <c r="DQ83" s="524"/>
      <c r="DR83" s="524"/>
      <c r="DS83" s="524"/>
      <c r="DT83" s="524"/>
      <c r="DU83" s="524"/>
      <c r="DV83" s="524"/>
      <c r="DW83" s="524"/>
      <c r="DX83" s="524"/>
      <c r="DY83" s="524"/>
      <c r="DZ83" s="524"/>
      <c r="EA83" s="524"/>
      <c r="EB83" s="524"/>
      <c r="EC83" s="524"/>
      <c r="ED83" s="524"/>
      <c r="EE83" s="524"/>
      <c r="EF83" s="524"/>
      <c r="EG83" s="524"/>
      <c r="EH83" s="524"/>
      <c r="EI83" s="524"/>
      <c r="EJ83" s="524"/>
      <c r="EK83" s="524"/>
      <c r="EL83" s="524"/>
      <c r="EM83" s="524"/>
      <c r="EN83" s="524"/>
      <c r="EO83" s="524"/>
      <c r="EP83" s="524"/>
      <c r="EQ83" s="524"/>
      <c r="ER83" s="524"/>
      <c r="ES83" s="524"/>
      <c r="ET83" s="524"/>
      <c r="EU83" s="524"/>
      <c r="EV83" s="524"/>
      <c r="EW83" s="524"/>
      <c r="EX83" s="524"/>
      <c r="EY83" s="524"/>
      <c r="EZ83" s="524"/>
      <c r="FA83" s="524"/>
      <c r="FB83" s="524"/>
      <c r="FC83" s="524"/>
      <c r="FD83" s="524"/>
      <c r="FE83" s="524"/>
      <c r="FF83" s="524"/>
      <c r="FG83" s="524"/>
      <c r="FH83" s="524"/>
      <c r="FI83" s="524"/>
      <c r="FJ83" s="524"/>
      <c r="FK83" s="524"/>
      <c r="FL83" s="524"/>
      <c r="FM83" s="524"/>
      <c r="FN83" s="524"/>
      <c r="FO83" s="524"/>
      <c r="FP83" s="524"/>
      <c r="FQ83" s="524"/>
      <c r="FR83" s="524"/>
      <c r="FS83" s="524"/>
      <c r="FT83" s="524"/>
      <c r="FU83" s="524"/>
      <c r="FV83" s="524"/>
      <c r="FW83" s="524"/>
      <c r="FX83" s="524"/>
      <c r="FY83" s="524"/>
      <c r="FZ83" s="524"/>
      <c r="GA83" s="524"/>
      <c r="GB83" s="524"/>
      <c r="GC83" s="524"/>
      <c r="GD83" s="524"/>
      <c r="GE83" s="524"/>
      <c r="GF83" s="524"/>
      <c r="GG83" s="524"/>
      <c r="GH83" s="524"/>
      <c r="GI83" s="524"/>
      <c r="GJ83" s="524"/>
      <c r="GK83" s="524"/>
      <c r="GL83" s="524"/>
      <c r="GM83" s="524"/>
      <c r="GN83" s="524"/>
      <c r="GO83" s="524"/>
      <c r="GP83" s="524"/>
      <c r="GQ83" s="524"/>
      <c r="GR83" s="524"/>
      <c r="GS83" s="524"/>
      <c r="GT83" s="525"/>
    </row>
    <row r="84" spans="1:203" s="307" customFormat="1">
      <c r="A84" s="304"/>
      <c r="B84" s="304"/>
      <c r="C84" s="304"/>
      <c r="D84" s="304"/>
      <c r="E84" s="304"/>
      <c r="F84" s="304"/>
      <c r="G84" s="304"/>
      <c r="H84" s="304"/>
      <c r="I84" s="304"/>
      <c r="J84" s="304"/>
      <c r="K84" s="304"/>
      <c r="L84" s="304"/>
      <c r="M84" s="304"/>
      <c r="N84" s="304"/>
      <c r="O84" s="304"/>
      <c r="P84" s="304"/>
      <c r="Q84" s="304"/>
      <c r="R84" s="304"/>
      <c r="S84" s="304"/>
      <c r="T84" s="304"/>
      <c r="U84" s="304"/>
      <c r="V84" s="304"/>
      <c r="W84" s="304"/>
      <c r="X84" s="304"/>
      <c r="Y84" s="304"/>
      <c r="Z84" s="304"/>
      <c r="AA84" s="304"/>
      <c r="AB84" s="304"/>
      <c r="AC84" s="304"/>
      <c r="AD84" s="304"/>
      <c r="AE84" s="304"/>
      <c r="AF84" s="304"/>
      <c r="AG84" s="304"/>
      <c r="AH84" s="304"/>
      <c r="AI84" s="304"/>
      <c r="AJ84" s="304"/>
      <c r="AK84" s="304"/>
      <c r="AL84" s="304"/>
      <c r="AM84" s="304"/>
      <c r="AN84" s="304"/>
      <c r="AO84" s="304"/>
      <c r="AP84" s="304"/>
      <c r="AQ84" s="304"/>
      <c r="AR84" s="304"/>
      <c r="AS84" s="304"/>
      <c r="AT84" s="304"/>
      <c r="AU84" s="304"/>
      <c r="AV84" s="304"/>
      <c r="AW84" s="304"/>
      <c r="AX84" s="304"/>
      <c r="AY84" s="304"/>
      <c r="AZ84" s="304"/>
      <c r="BA84" s="304"/>
      <c r="BB84" s="304"/>
      <c r="BC84" s="304"/>
      <c r="BD84" s="304"/>
      <c r="BE84" s="304"/>
      <c r="BF84" s="304"/>
      <c r="BG84" s="304"/>
      <c r="BH84" s="304"/>
      <c r="BI84" s="304"/>
      <c r="BJ84" s="304"/>
      <c r="BK84" s="304"/>
      <c r="BL84" s="304"/>
      <c r="BM84" s="304"/>
      <c r="BN84" s="304"/>
      <c r="BO84" s="304"/>
      <c r="BP84" s="304"/>
      <c r="BQ84" s="304"/>
      <c r="BR84" s="304"/>
      <c r="BS84" s="304"/>
      <c r="BT84" s="304"/>
      <c r="BU84" s="304"/>
      <c r="BV84" s="304"/>
      <c r="BW84" s="304"/>
      <c r="BX84" s="304"/>
      <c r="BY84" s="304"/>
      <c r="BZ84" s="304"/>
      <c r="CA84" s="304"/>
      <c r="CB84" s="304"/>
      <c r="CF84" s="304"/>
      <c r="CG84" s="304"/>
      <c r="CH84" s="304"/>
      <c r="CI84" s="304"/>
      <c r="CJ84" s="304"/>
      <c r="CK84" s="304"/>
      <c r="CL84" s="304"/>
      <c r="CM84" s="304"/>
      <c r="CN84" s="304"/>
      <c r="CO84" s="304"/>
      <c r="CP84" s="304"/>
      <c r="CQ84" s="304"/>
      <c r="CR84" s="304"/>
      <c r="CS84" s="304"/>
      <c r="CT84" s="304"/>
      <c r="CU84" s="304"/>
      <c r="CV84" s="304"/>
      <c r="CW84" s="304"/>
      <c r="CX84" s="304"/>
      <c r="CY84" s="304"/>
      <c r="CZ84" s="304"/>
      <c r="DA84" s="304"/>
      <c r="DB84" s="304"/>
      <c r="DC84" s="304"/>
      <c r="DD84" s="304"/>
      <c r="DE84" s="304"/>
      <c r="DF84" s="304"/>
      <c r="DG84" s="304"/>
      <c r="DH84" s="304"/>
      <c r="DI84" s="304"/>
      <c r="DJ84" s="304"/>
      <c r="DK84" s="304"/>
    </row>
    <row r="85" spans="1:203">
      <c r="A85" s="311" t="s">
        <v>42</v>
      </c>
      <c r="B85" s="311"/>
      <c r="C85" s="311"/>
      <c r="D85" s="311"/>
      <c r="E85" s="311"/>
      <c r="F85" s="311"/>
      <c r="G85" s="311"/>
      <c r="H85" s="311"/>
      <c r="I85" s="311"/>
      <c r="J85" s="311"/>
      <c r="K85" s="311"/>
      <c r="L85" s="311"/>
      <c r="M85" s="311"/>
      <c r="N85" s="311"/>
      <c r="O85" s="311"/>
      <c r="P85" s="311"/>
      <c r="Q85" s="311"/>
      <c r="R85" s="311"/>
      <c r="S85" s="311"/>
      <c r="T85" s="311"/>
      <c r="U85" s="311"/>
      <c r="V85" s="311"/>
      <c r="W85" s="311"/>
      <c r="X85" s="311"/>
      <c r="Y85" s="311"/>
      <c r="Z85" s="311"/>
      <c r="AA85" s="311"/>
      <c r="AB85" s="311"/>
      <c r="AC85" s="311"/>
      <c r="AD85" s="311"/>
      <c r="AE85" s="311"/>
      <c r="AF85" s="311"/>
      <c r="AG85" s="311"/>
      <c r="AH85" s="311"/>
      <c r="AI85" s="311"/>
      <c r="AJ85" s="311"/>
      <c r="AK85" s="311"/>
      <c r="AL85" s="311"/>
      <c r="AM85" s="311"/>
      <c r="AN85" s="311"/>
      <c r="AO85" s="311"/>
      <c r="AP85" s="311"/>
      <c r="AQ85" s="311"/>
      <c r="AR85" s="311"/>
      <c r="AS85" s="311"/>
      <c r="AT85" s="311"/>
      <c r="AU85" s="311"/>
      <c r="AV85" s="311"/>
      <c r="AW85" s="311"/>
      <c r="AX85" s="311"/>
      <c r="AY85" s="311"/>
      <c r="AZ85" s="311"/>
      <c r="BA85" s="311"/>
      <c r="BB85" s="311"/>
      <c r="BC85" s="311"/>
      <c r="BD85" s="311"/>
      <c r="BE85" s="311"/>
      <c r="BF85" s="311"/>
      <c r="BG85" s="311"/>
      <c r="BH85" s="311"/>
      <c r="BI85" s="311"/>
      <c r="BJ85" s="311"/>
      <c r="BK85" s="311"/>
      <c r="BL85" s="311"/>
      <c r="BM85" s="311"/>
      <c r="BN85" s="311"/>
      <c r="BO85" s="311"/>
      <c r="BP85" s="311"/>
      <c r="BQ85" s="311"/>
      <c r="BR85" s="311"/>
      <c r="BS85" s="311"/>
      <c r="BT85" s="311"/>
      <c r="BU85" s="311"/>
      <c r="BV85" s="311"/>
      <c r="BW85" s="311"/>
      <c r="BX85" s="311"/>
      <c r="BY85" s="311"/>
      <c r="BZ85" s="311"/>
      <c r="CA85" s="311"/>
      <c r="CB85" s="311"/>
      <c r="CF85" s="310"/>
      <c r="CG85" s="310"/>
      <c r="CH85" s="310"/>
      <c r="CI85" s="310"/>
      <c r="CJ85" s="310"/>
      <c r="CK85" s="310"/>
      <c r="CL85" s="310"/>
      <c r="CM85" s="310"/>
      <c r="CN85" s="310"/>
      <c r="CO85" s="310"/>
      <c r="CP85" s="310"/>
      <c r="CQ85" s="310"/>
      <c r="CR85" s="310"/>
      <c r="CS85" s="310"/>
      <c r="CT85" s="310"/>
      <c r="CU85" s="310"/>
      <c r="CV85" s="310"/>
      <c r="CW85" s="310"/>
      <c r="CX85" s="310"/>
      <c r="CY85" s="310"/>
      <c r="CZ85" s="310"/>
      <c r="DA85" s="310"/>
      <c r="DB85" s="310"/>
      <c r="DC85" s="310"/>
      <c r="DD85" s="310"/>
      <c r="DE85" s="310"/>
      <c r="DF85" s="310"/>
      <c r="DG85" s="310"/>
      <c r="DH85" s="310"/>
      <c r="DI85" s="310"/>
      <c r="DJ85" s="310"/>
      <c r="DK85" s="310"/>
    </row>
    <row r="86" spans="1:203">
      <c r="A86" s="311" t="s">
        <v>40</v>
      </c>
      <c r="B86" s="312">
        <f t="shared" ref="B86:AG86" si="670">DAYS360($B$3,B30)</f>
        <v>91</v>
      </c>
      <c r="C86" s="312">
        <f t="shared" si="670"/>
        <v>270</v>
      </c>
      <c r="D86" s="312">
        <f t="shared" si="670"/>
        <v>450</v>
      </c>
      <c r="E86" s="312">
        <f t="shared" si="670"/>
        <v>630</v>
      </c>
      <c r="F86" s="312">
        <f t="shared" si="670"/>
        <v>810</v>
      </c>
      <c r="G86" s="312">
        <f t="shared" si="670"/>
        <v>990</v>
      </c>
      <c r="H86" s="312">
        <f t="shared" si="670"/>
        <v>1170</v>
      </c>
      <c r="I86" s="312">
        <f t="shared" si="670"/>
        <v>1350</v>
      </c>
      <c r="J86" s="312">
        <f t="shared" si="670"/>
        <v>1530</v>
      </c>
      <c r="K86" s="312">
        <f t="shared" si="670"/>
        <v>1709</v>
      </c>
      <c r="L86" s="312">
        <f t="shared" si="670"/>
        <v>1889</v>
      </c>
      <c r="M86" s="312">
        <f t="shared" si="670"/>
        <v>2069</v>
      </c>
      <c r="N86" s="312">
        <f t="shared" si="670"/>
        <v>2249</v>
      </c>
      <c r="O86" s="312">
        <f t="shared" si="670"/>
        <v>2429</v>
      </c>
      <c r="P86" s="312">
        <f t="shared" si="670"/>
        <v>2609</v>
      </c>
      <c r="Q86" s="312">
        <f t="shared" si="670"/>
        <v>2789</v>
      </c>
      <c r="R86" s="312">
        <f t="shared" si="670"/>
        <v>2969</v>
      </c>
      <c r="S86" s="312">
        <f t="shared" si="670"/>
        <v>3149</v>
      </c>
      <c r="T86" s="312">
        <f t="shared" si="670"/>
        <v>3328</v>
      </c>
      <c r="U86" s="312">
        <f t="shared" si="670"/>
        <v>3509</v>
      </c>
      <c r="V86" s="312">
        <f t="shared" si="670"/>
        <v>3688</v>
      </c>
      <c r="W86" s="312">
        <f t="shared" si="670"/>
        <v>3869</v>
      </c>
      <c r="X86" s="312">
        <f t="shared" si="670"/>
        <v>4048</v>
      </c>
      <c r="Y86" s="312">
        <f t="shared" si="670"/>
        <v>4229</v>
      </c>
      <c r="Z86" s="312">
        <f t="shared" si="670"/>
        <v>4408</v>
      </c>
      <c r="AA86" s="312">
        <f t="shared" si="670"/>
        <v>4588</v>
      </c>
      <c r="AB86" s="312">
        <f t="shared" si="670"/>
        <v>4767</v>
      </c>
      <c r="AC86" s="312">
        <f t="shared" si="670"/>
        <v>4948</v>
      </c>
      <c r="AD86" s="312">
        <f t="shared" si="670"/>
        <v>5127</v>
      </c>
      <c r="AE86" s="312">
        <f t="shared" si="670"/>
        <v>5308</v>
      </c>
      <c r="AF86" s="312">
        <f t="shared" si="670"/>
        <v>5487</v>
      </c>
      <c r="AG86" s="312">
        <f t="shared" si="670"/>
        <v>5668</v>
      </c>
      <c r="AH86" s="312">
        <f t="shared" ref="AH86:BM86" si="671">DAYS360($B$3,AH30)</f>
        <v>5847</v>
      </c>
      <c r="AI86" s="312">
        <f t="shared" si="671"/>
        <v>6027</v>
      </c>
      <c r="AJ86" s="312">
        <f t="shared" si="671"/>
        <v>6206</v>
      </c>
      <c r="AK86" s="312">
        <f t="shared" si="671"/>
        <v>6387</v>
      </c>
      <c r="AL86" s="312">
        <f t="shared" si="671"/>
        <v>6566</v>
      </c>
      <c r="AM86" s="312">
        <f t="shared" si="671"/>
        <v>6747</v>
      </c>
      <c r="AN86" s="312">
        <f t="shared" si="671"/>
        <v>6926</v>
      </c>
      <c r="AO86" s="312">
        <f t="shared" si="671"/>
        <v>7107</v>
      </c>
      <c r="AP86" s="312">
        <f t="shared" si="671"/>
        <v>7286</v>
      </c>
      <c r="AQ86" s="312">
        <f t="shared" si="671"/>
        <v>7466</v>
      </c>
      <c r="AR86" s="312">
        <f t="shared" si="671"/>
        <v>7645</v>
      </c>
      <c r="AS86" s="312">
        <f t="shared" si="671"/>
        <v>7826</v>
      </c>
      <c r="AT86" s="312">
        <f t="shared" si="671"/>
        <v>8005</v>
      </c>
      <c r="AU86" s="312">
        <f t="shared" si="671"/>
        <v>8186</v>
      </c>
      <c r="AV86" s="312">
        <f t="shared" si="671"/>
        <v>8365</v>
      </c>
      <c r="AW86" s="312">
        <f t="shared" si="671"/>
        <v>8546</v>
      </c>
      <c r="AX86" s="312">
        <f t="shared" si="671"/>
        <v>8725</v>
      </c>
      <c r="AY86" s="312">
        <f t="shared" si="671"/>
        <v>8905</v>
      </c>
      <c r="AZ86" s="312">
        <f t="shared" si="671"/>
        <v>9084</v>
      </c>
      <c r="BA86" s="312">
        <f t="shared" si="671"/>
        <v>9265</v>
      </c>
      <c r="BB86" s="312">
        <f t="shared" si="671"/>
        <v>9444</v>
      </c>
      <c r="BC86" s="312">
        <f t="shared" si="671"/>
        <v>9625</v>
      </c>
      <c r="BD86" s="312">
        <f t="shared" si="671"/>
        <v>9804</v>
      </c>
      <c r="BE86" s="312">
        <f t="shared" si="671"/>
        <v>9985</v>
      </c>
      <c r="BF86" s="312">
        <f t="shared" si="671"/>
        <v>10164</v>
      </c>
      <c r="BG86" s="312">
        <f t="shared" si="671"/>
        <v>10344</v>
      </c>
      <c r="BH86" s="312">
        <f t="shared" si="671"/>
        <v>10523</v>
      </c>
      <c r="BI86" s="312">
        <f t="shared" si="671"/>
        <v>10704</v>
      </c>
      <c r="BJ86" s="312">
        <f t="shared" si="671"/>
        <v>10883</v>
      </c>
      <c r="BK86" s="312">
        <f t="shared" si="671"/>
        <v>11064</v>
      </c>
      <c r="BL86" s="312">
        <f t="shared" si="671"/>
        <v>11243</v>
      </c>
      <c r="BM86" s="312">
        <f t="shared" si="671"/>
        <v>11424</v>
      </c>
      <c r="BN86" s="312">
        <f t="shared" ref="BN86:CB86" si="672">DAYS360($B$3,BN30)</f>
        <v>11603</v>
      </c>
      <c r="BO86" s="312">
        <f t="shared" si="672"/>
        <v>11783</v>
      </c>
      <c r="BP86" s="312">
        <f t="shared" si="672"/>
        <v>11962</v>
      </c>
      <c r="BQ86" s="312">
        <f t="shared" si="672"/>
        <v>12143</v>
      </c>
      <c r="BR86" s="312">
        <f t="shared" si="672"/>
        <v>12322</v>
      </c>
      <c r="BS86" s="312">
        <f t="shared" si="672"/>
        <v>12503</v>
      </c>
      <c r="BT86" s="312">
        <f t="shared" si="672"/>
        <v>12682</v>
      </c>
      <c r="BU86" s="312">
        <f t="shared" si="672"/>
        <v>12863</v>
      </c>
      <c r="BV86" s="312">
        <f t="shared" si="672"/>
        <v>13042</v>
      </c>
      <c r="BW86" s="312">
        <f t="shared" si="672"/>
        <v>13222</v>
      </c>
      <c r="BX86" s="312">
        <f t="shared" si="672"/>
        <v>13401</v>
      </c>
      <c r="BY86" s="312">
        <f t="shared" si="672"/>
        <v>13582</v>
      </c>
      <c r="BZ86" s="312">
        <f t="shared" si="672"/>
        <v>13761</v>
      </c>
      <c r="CA86" s="312">
        <f t="shared" si="672"/>
        <v>13942</v>
      </c>
      <c r="CB86" s="312">
        <f t="shared" si="672"/>
        <v>14121</v>
      </c>
    </row>
    <row r="87" spans="1:203">
      <c r="A87" s="311" t="s">
        <v>41</v>
      </c>
      <c r="B87" s="312">
        <f>B86/360</f>
        <v>0.25277777777777777</v>
      </c>
      <c r="C87" s="312">
        <f t="shared" ref="C87:BN87" si="673">C86/360</f>
        <v>0.75</v>
      </c>
      <c r="D87" s="312">
        <f t="shared" si="673"/>
        <v>1.25</v>
      </c>
      <c r="E87" s="312">
        <f t="shared" si="673"/>
        <v>1.75</v>
      </c>
      <c r="F87" s="312">
        <f t="shared" si="673"/>
        <v>2.25</v>
      </c>
      <c r="G87" s="312">
        <f t="shared" si="673"/>
        <v>2.75</v>
      </c>
      <c r="H87" s="312">
        <f t="shared" si="673"/>
        <v>3.25</v>
      </c>
      <c r="I87" s="312">
        <f t="shared" si="673"/>
        <v>3.75</v>
      </c>
      <c r="J87" s="312">
        <f t="shared" si="673"/>
        <v>4.25</v>
      </c>
      <c r="K87" s="312">
        <f t="shared" si="673"/>
        <v>4.7472222222222218</v>
      </c>
      <c r="L87" s="312">
        <f t="shared" si="673"/>
        <v>5.2472222222222218</v>
      </c>
      <c r="M87" s="312">
        <f t="shared" si="673"/>
        <v>5.7472222222222218</v>
      </c>
      <c r="N87" s="312">
        <f t="shared" si="673"/>
        <v>6.2472222222222218</v>
      </c>
      <c r="O87" s="312">
        <f t="shared" si="673"/>
        <v>6.7472222222222218</v>
      </c>
      <c r="P87" s="312">
        <f t="shared" si="673"/>
        <v>7.2472222222222218</v>
      </c>
      <c r="Q87" s="312">
        <f t="shared" si="673"/>
        <v>7.7472222222222218</v>
      </c>
      <c r="R87" s="312">
        <f t="shared" si="673"/>
        <v>8.2472222222222218</v>
      </c>
      <c r="S87" s="312">
        <f t="shared" si="673"/>
        <v>8.7472222222222218</v>
      </c>
      <c r="T87" s="312">
        <f t="shared" si="673"/>
        <v>9.2444444444444436</v>
      </c>
      <c r="U87" s="312">
        <f t="shared" si="673"/>
        <v>9.7472222222222218</v>
      </c>
      <c r="V87" s="312">
        <f t="shared" si="673"/>
        <v>10.244444444444444</v>
      </c>
      <c r="W87" s="312">
        <f t="shared" si="673"/>
        <v>10.747222222222222</v>
      </c>
      <c r="X87" s="312">
        <f t="shared" si="673"/>
        <v>11.244444444444444</v>
      </c>
      <c r="Y87" s="312">
        <f t="shared" si="673"/>
        <v>11.747222222222222</v>
      </c>
      <c r="Z87" s="312">
        <f t="shared" si="673"/>
        <v>12.244444444444444</v>
      </c>
      <c r="AA87" s="312">
        <f t="shared" si="673"/>
        <v>12.744444444444444</v>
      </c>
      <c r="AB87" s="312">
        <f t="shared" si="673"/>
        <v>13.241666666666667</v>
      </c>
      <c r="AC87" s="312">
        <f t="shared" si="673"/>
        <v>13.744444444444444</v>
      </c>
      <c r="AD87" s="312">
        <f t="shared" si="673"/>
        <v>14.241666666666667</v>
      </c>
      <c r="AE87" s="312">
        <f t="shared" si="673"/>
        <v>14.744444444444444</v>
      </c>
      <c r="AF87" s="312">
        <f t="shared" si="673"/>
        <v>15.241666666666667</v>
      </c>
      <c r="AG87" s="312">
        <f t="shared" si="673"/>
        <v>15.744444444444444</v>
      </c>
      <c r="AH87" s="312">
        <f t="shared" si="673"/>
        <v>16.241666666666667</v>
      </c>
      <c r="AI87" s="312">
        <f t="shared" si="673"/>
        <v>16.741666666666667</v>
      </c>
      <c r="AJ87" s="312">
        <f t="shared" si="673"/>
        <v>17.238888888888887</v>
      </c>
      <c r="AK87" s="312">
        <f t="shared" si="673"/>
        <v>17.741666666666667</v>
      </c>
      <c r="AL87" s="312">
        <f t="shared" si="673"/>
        <v>18.238888888888887</v>
      </c>
      <c r="AM87" s="312">
        <f t="shared" si="673"/>
        <v>18.741666666666667</v>
      </c>
      <c r="AN87" s="312">
        <f t="shared" si="673"/>
        <v>19.238888888888887</v>
      </c>
      <c r="AO87" s="312">
        <f t="shared" si="673"/>
        <v>19.741666666666667</v>
      </c>
      <c r="AP87" s="312">
        <f t="shared" si="673"/>
        <v>20.238888888888887</v>
      </c>
      <c r="AQ87" s="312">
        <f t="shared" si="673"/>
        <v>20.738888888888887</v>
      </c>
      <c r="AR87" s="312">
        <f t="shared" si="673"/>
        <v>21.236111111111111</v>
      </c>
      <c r="AS87" s="312">
        <f t="shared" si="673"/>
        <v>21.738888888888887</v>
      </c>
      <c r="AT87" s="312">
        <f t="shared" si="673"/>
        <v>22.236111111111111</v>
      </c>
      <c r="AU87" s="312">
        <f t="shared" si="673"/>
        <v>22.738888888888887</v>
      </c>
      <c r="AV87" s="312">
        <f t="shared" si="673"/>
        <v>23.236111111111111</v>
      </c>
      <c r="AW87" s="312">
        <f t="shared" si="673"/>
        <v>23.738888888888887</v>
      </c>
      <c r="AX87" s="312">
        <f t="shared" si="673"/>
        <v>24.236111111111111</v>
      </c>
      <c r="AY87" s="312">
        <f t="shared" si="673"/>
        <v>24.736111111111111</v>
      </c>
      <c r="AZ87" s="312">
        <f t="shared" si="673"/>
        <v>25.233333333333334</v>
      </c>
      <c r="BA87" s="312">
        <f t="shared" si="673"/>
        <v>25.736111111111111</v>
      </c>
      <c r="BB87" s="312">
        <f t="shared" si="673"/>
        <v>26.233333333333334</v>
      </c>
      <c r="BC87" s="312">
        <f t="shared" si="673"/>
        <v>26.736111111111111</v>
      </c>
      <c r="BD87" s="312">
        <f t="shared" si="673"/>
        <v>27.233333333333334</v>
      </c>
      <c r="BE87" s="312">
        <f t="shared" si="673"/>
        <v>27.736111111111111</v>
      </c>
      <c r="BF87" s="312">
        <f t="shared" si="673"/>
        <v>28.233333333333334</v>
      </c>
      <c r="BG87" s="312">
        <f t="shared" si="673"/>
        <v>28.733333333333334</v>
      </c>
      <c r="BH87" s="312">
        <f t="shared" si="673"/>
        <v>29.230555555555554</v>
      </c>
      <c r="BI87" s="312">
        <f t="shared" si="673"/>
        <v>29.733333333333334</v>
      </c>
      <c r="BJ87" s="312">
        <f t="shared" si="673"/>
        <v>30.230555555555554</v>
      </c>
      <c r="BK87" s="312">
        <f t="shared" si="673"/>
        <v>30.733333333333334</v>
      </c>
      <c r="BL87" s="312">
        <f t="shared" si="673"/>
        <v>31.230555555555554</v>
      </c>
      <c r="BM87" s="312">
        <f t="shared" si="673"/>
        <v>31.733333333333334</v>
      </c>
      <c r="BN87" s="312">
        <f t="shared" si="673"/>
        <v>32.230555555555554</v>
      </c>
      <c r="BO87" s="312">
        <f t="shared" ref="BO87:CB87" si="674">BO86/360</f>
        <v>32.730555555555554</v>
      </c>
      <c r="BP87" s="312">
        <f t="shared" si="674"/>
        <v>33.227777777777774</v>
      </c>
      <c r="BQ87" s="312">
        <f t="shared" si="674"/>
        <v>33.730555555555554</v>
      </c>
      <c r="BR87" s="312">
        <f t="shared" si="674"/>
        <v>34.227777777777774</v>
      </c>
      <c r="BS87" s="312">
        <f t="shared" si="674"/>
        <v>34.730555555555554</v>
      </c>
      <c r="BT87" s="312">
        <f t="shared" si="674"/>
        <v>35.227777777777774</v>
      </c>
      <c r="BU87" s="312">
        <f t="shared" si="674"/>
        <v>35.730555555555554</v>
      </c>
      <c r="BV87" s="312">
        <f t="shared" si="674"/>
        <v>36.227777777777774</v>
      </c>
      <c r="BW87" s="312">
        <f t="shared" si="674"/>
        <v>36.727777777777774</v>
      </c>
      <c r="BX87" s="312">
        <f t="shared" si="674"/>
        <v>37.225000000000001</v>
      </c>
      <c r="BY87" s="312">
        <f t="shared" si="674"/>
        <v>37.727777777777774</v>
      </c>
      <c r="BZ87" s="312">
        <f t="shared" si="674"/>
        <v>38.225000000000001</v>
      </c>
      <c r="CA87" s="312">
        <f t="shared" si="674"/>
        <v>38.727777777777774</v>
      </c>
      <c r="CB87" s="312">
        <f t="shared" si="674"/>
        <v>39.225000000000001</v>
      </c>
    </row>
    <row r="88" spans="1:203">
      <c r="A88" s="311" t="s">
        <v>43</v>
      </c>
      <c r="B88" s="312">
        <f>IF(B86&lt;0,0,$B$5+$B$6*((1-EXP(-B87/$B$9))/(B87/$B$9))+$B$7*((1-EXP(-B87/$B$9))/(B87/$B$9)-EXP(-B87/$B$9))+$B$8*((1-EXP(-B87/$B$10))/(B87/$B$10)-EXP(-B87/$B$10)))</f>
        <v>1.7486903944644156E-2</v>
      </c>
      <c r="C88" s="312">
        <f t="shared" ref="C88:BN88" si="675">IF(C86&lt;0,0,$B$5+$B$6*((1-EXP(-C87/$B$9))/(C87/$B$9))+$B$7*((1-EXP(-C87/$B$9))/(C87/$B$9)-EXP(-C87/$B$9))+$B$8*((1-EXP(-C87/$B$10))/(C87/$B$10)-EXP(-C87/$B$10)))</f>
        <v>1.7523378662369745E-2</v>
      </c>
      <c r="D88" s="312">
        <f t="shared" si="675"/>
        <v>1.7575431465626901E-2</v>
      </c>
      <c r="E88" s="312">
        <f t="shared" si="675"/>
        <v>1.7641840703643288E-2</v>
      </c>
      <c r="F88" s="312">
        <f t="shared" si="675"/>
        <v>1.7721597942928338E-2</v>
      </c>
      <c r="G88" s="312">
        <f t="shared" si="675"/>
        <v>1.7813746727007473E-2</v>
      </c>
      <c r="H88" s="312">
        <f t="shared" si="675"/>
        <v>1.7917380315256165E-2</v>
      </c>
      <c r="I88" s="312">
        <f t="shared" si="675"/>
        <v>1.803163950142031E-2</v>
      </c>
      <c r="J88" s="312">
        <f t="shared" si="675"/>
        <v>1.8155710510263295E-2</v>
      </c>
      <c r="K88" s="312">
        <f t="shared" si="675"/>
        <v>1.8288059838647647E-2</v>
      </c>
      <c r="L88" s="312">
        <f t="shared" si="675"/>
        <v>1.8429440590910617E-2</v>
      </c>
      <c r="M88" s="312">
        <f t="shared" si="675"/>
        <v>1.8578448253398577E-2</v>
      </c>
      <c r="N88" s="312">
        <f t="shared" si="675"/>
        <v>1.8734431040172472E-2</v>
      </c>
      <c r="O88" s="312">
        <f t="shared" si="675"/>
        <v>1.8896773201312805E-2</v>
      </c>
      <c r="P88" s="312">
        <f t="shared" si="675"/>
        <v>1.906489335152256E-2</v>
      </c>
      <c r="Q88" s="312">
        <f t="shared" si="675"/>
        <v>1.9238242864370342E-2</v>
      </c>
      <c r="R88" s="312">
        <f t="shared" si="675"/>
        <v>1.9416304330284184E-2</v>
      </c>
      <c r="S88" s="312">
        <f t="shared" si="675"/>
        <v>1.9598590076417788E-2</v>
      </c>
      <c r="T88" s="312">
        <f t="shared" si="675"/>
        <v>1.9783597537814057E-2</v>
      </c>
      <c r="U88" s="312">
        <f t="shared" si="675"/>
        <v>1.9974023938862384E-2</v>
      </c>
      <c r="V88" s="312">
        <f t="shared" si="675"/>
        <v>2.016525714861428E-2</v>
      </c>
      <c r="W88" s="312">
        <f t="shared" si="675"/>
        <v>2.0361185276456917E-2</v>
      </c>
      <c r="X88" s="312">
        <f t="shared" si="675"/>
        <v>2.0557121857257332E-2</v>
      </c>
      <c r="Y88" s="312">
        <f t="shared" si="675"/>
        <v>2.0757105695758504E-2</v>
      </c>
      <c r="Z88" s="312">
        <f t="shared" si="675"/>
        <v>2.095640338931104E-2</v>
      </c>
      <c r="AA88" s="312">
        <f t="shared" si="675"/>
        <v>2.115804684563849E-2</v>
      </c>
      <c r="AB88" s="312">
        <f t="shared" si="675"/>
        <v>2.1359521451106755E-2</v>
      </c>
      <c r="AC88" s="312">
        <f t="shared" si="675"/>
        <v>2.1563950884499195E-2</v>
      </c>
      <c r="AD88" s="312">
        <f t="shared" si="675"/>
        <v>2.1766576617250732E-2</v>
      </c>
      <c r="AE88" s="312">
        <f t="shared" si="675"/>
        <v>2.1971698517541716E-2</v>
      </c>
      <c r="AF88" s="312">
        <f t="shared" si="675"/>
        <v>2.2174573969560629E-2</v>
      </c>
      <c r="AG88" s="312">
        <f t="shared" si="675"/>
        <v>2.2379538450925052E-2</v>
      </c>
      <c r="AH88" s="312">
        <f t="shared" si="675"/>
        <v>2.2581880857456882E-2</v>
      </c>
      <c r="AI88" s="312">
        <f t="shared" si="675"/>
        <v>2.2784826004166092E-2</v>
      </c>
      <c r="AJ88" s="312">
        <f t="shared" si="675"/>
        <v>2.2985963266866138E-2</v>
      </c>
      <c r="AK88" s="312">
        <f t="shared" si="675"/>
        <v>2.3188511198801609E-2</v>
      </c>
      <c r="AL88" s="312">
        <f t="shared" si="675"/>
        <v>2.3387859669334488E-2</v>
      </c>
      <c r="AM88" s="312">
        <f t="shared" si="675"/>
        <v>2.3588337952265448E-2</v>
      </c>
      <c r="AN88" s="312">
        <f t="shared" si="675"/>
        <v>2.378540175953453E-2</v>
      </c>
      <c r="AO88" s="312">
        <f t="shared" si="675"/>
        <v>2.398334858450335E-2</v>
      </c>
      <c r="AP88" s="312">
        <f t="shared" si="675"/>
        <v>2.4177708011657195E-2</v>
      </c>
      <c r="AQ88" s="312">
        <f t="shared" si="675"/>
        <v>2.4371661088071261E-2</v>
      </c>
      <c r="AR88" s="312">
        <f t="shared" si="675"/>
        <v>2.4562973185695336E-2</v>
      </c>
      <c r="AS88" s="312">
        <f t="shared" si="675"/>
        <v>2.4754763891110365E-2</v>
      </c>
      <c r="AT88" s="312">
        <f t="shared" si="675"/>
        <v>2.4942728927035307E-2</v>
      </c>
      <c r="AU88" s="312">
        <f t="shared" si="675"/>
        <v>2.5131008407733191E-2</v>
      </c>
      <c r="AV88" s="312">
        <f t="shared" si="675"/>
        <v>2.5315388214197931E-2</v>
      </c>
      <c r="AW88" s="312">
        <f t="shared" si="675"/>
        <v>2.5499940334835436E-2</v>
      </c>
      <c r="AX88" s="312">
        <f t="shared" si="675"/>
        <v>2.5680544127814342E-2</v>
      </c>
      <c r="AY88" s="312">
        <f t="shared" si="675"/>
        <v>2.586020519973381E-2</v>
      </c>
      <c r="AZ88" s="312">
        <f t="shared" si="675"/>
        <v>2.6036895101906599E-2</v>
      </c>
      <c r="BA88" s="312">
        <f t="shared" si="675"/>
        <v>2.6213530246947503E-2</v>
      </c>
      <c r="BB88" s="312">
        <f t="shared" si="675"/>
        <v>2.6386183328042073E-2</v>
      </c>
      <c r="BC88" s="312">
        <f t="shared" si="675"/>
        <v>2.6558692348600088E-2</v>
      </c>
      <c r="BD88" s="312">
        <f t="shared" si="675"/>
        <v>2.6727228731458913E-2</v>
      </c>
      <c r="BE88" s="312">
        <f t="shared" si="675"/>
        <v>2.6895545645458097E-2</v>
      </c>
      <c r="BF88" s="312">
        <f t="shared" si="675"/>
        <v>2.7059913744735986E-2</v>
      </c>
      <c r="BG88" s="312">
        <f t="shared" si="675"/>
        <v>2.7223098603557233E-2</v>
      </c>
      <c r="BH88" s="312">
        <f t="shared" si="675"/>
        <v>2.7383283162741884E-2</v>
      </c>
      <c r="BI88" s="312">
        <f t="shared" si="675"/>
        <v>2.7543133124644015E-2</v>
      </c>
      <c r="BJ88" s="312">
        <f t="shared" si="675"/>
        <v>2.769911693759522E-2</v>
      </c>
      <c r="BK88" s="312">
        <f t="shared" si="675"/>
        <v>2.7854723585634206E-2</v>
      </c>
      <c r="BL88" s="312">
        <f t="shared" si="675"/>
        <v>2.8006519568621907E-2</v>
      </c>
      <c r="BM88" s="312">
        <f t="shared" si="675"/>
        <v>2.8157904308037524E-2</v>
      </c>
      <c r="BN88" s="312">
        <f t="shared" si="675"/>
        <v>2.8305541268680595E-2</v>
      </c>
      <c r="BO88" s="312">
        <f t="shared" ref="BO88:CB88" si="676">IF(BO86&lt;0,0,$B$5+$B$6*((1-EXP(-BO87/$B$9))/(BO87/$B$9))+$B$7*((1-EXP(-BO87/$B$9))/(BO87/$B$9)-EXP(-BO87/$B$9))+$B$8*((1-EXP(-BO87/$B$10))/(BO87/$B$10)-EXP(-BO87/$B$10)))</f>
        <v>2.8451932855091205E-2</v>
      </c>
      <c r="BP88" s="312">
        <f t="shared" si="676"/>
        <v>2.8595464534359377E-2</v>
      </c>
      <c r="BQ88" s="312">
        <f t="shared" si="676"/>
        <v>2.8738538309691725E-2</v>
      </c>
      <c r="BR88" s="312">
        <f t="shared" si="676"/>
        <v>2.8878007052943605E-2</v>
      </c>
      <c r="BS88" s="312">
        <f t="shared" si="676"/>
        <v>2.9017003494451354E-2</v>
      </c>
      <c r="BT88" s="312">
        <f t="shared" si="676"/>
        <v>2.9152472811793645E-2</v>
      </c>
      <c r="BU88" s="312">
        <f t="shared" si="676"/>
        <v>2.928746039413202E-2</v>
      </c>
      <c r="BV88" s="312">
        <f t="shared" si="676"/>
        <v>2.9419001828569963E-2</v>
      </c>
      <c r="BW88" s="312">
        <f t="shared" si="676"/>
        <v>2.9549337705534917E-2</v>
      </c>
      <c r="BX88" s="312">
        <f t="shared" si="676"/>
        <v>2.9677039968710656E-2</v>
      </c>
      <c r="BY88" s="312">
        <f t="shared" si="676"/>
        <v>2.9804253942517428E-2</v>
      </c>
      <c r="BZ88" s="312">
        <f t="shared" si="676"/>
        <v>2.9928189659604226E-2</v>
      </c>
      <c r="CA88" s="312">
        <f t="shared" si="676"/>
        <v>3.0051638839946437E-2</v>
      </c>
      <c r="CB88" s="312">
        <f t="shared" si="676"/>
        <v>3.0171895632568779E-2</v>
      </c>
    </row>
    <row r="89" spans="1:203">
      <c r="A89" s="311" t="s">
        <v>44</v>
      </c>
      <c r="B89" s="312">
        <f>EXP(-B88*B87)</f>
        <v>0.99558945443102498</v>
      </c>
      <c r="C89" s="312">
        <f t="shared" ref="C89:D89" si="677">EXP(-C88*C87)</f>
        <v>0.98694345199966249</v>
      </c>
      <c r="D89" s="312">
        <f t="shared" si="677"/>
        <v>0.97827027792357601</v>
      </c>
      <c r="E89" s="312">
        <f t="shared" ref="E89:BN89" si="678">EXP(-E88*E87)</f>
        <v>0.96959848978684182</v>
      </c>
      <c r="F89" s="312">
        <f t="shared" si="678"/>
        <v>0.96091089506049343</v>
      </c>
      <c r="G89" s="312">
        <f t="shared" si="678"/>
        <v>0.95219274304716872</v>
      </c>
      <c r="H89" s="312">
        <f t="shared" si="678"/>
        <v>0.94343153094302712</v>
      </c>
      <c r="I89" s="312">
        <f t="shared" si="678"/>
        <v>0.93461682349861031</v>
      </c>
      <c r="J89" s="312">
        <f t="shared" si="678"/>
        <v>0.9257400848260493</v>
      </c>
      <c r="K89" s="312">
        <f t="shared" si="678"/>
        <v>0.91684441907732628</v>
      </c>
      <c r="L89" s="312">
        <f t="shared" si="678"/>
        <v>0.90782525421072247</v>
      </c>
      <c r="M89" s="312">
        <f t="shared" si="678"/>
        <v>0.89872833974838995</v>
      </c>
      <c r="N89" s="312">
        <f t="shared" si="678"/>
        <v>0.88955125265318069</v>
      </c>
      <c r="O89" s="312">
        <f t="shared" si="678"/>
        <v>0.88029277491729829</v>
      </c>
      <c r="P89" s="312">
        <f t="shared" si="678"/>
        <v>0.87095277859379194</v>
      </c>
      <c r="Q89" s="312">
        <f t="shared" si="678"/>
        <v>0.86153211764500692</v>
      </c>
      <c r="R89" s="312">
        <f t="shared" si="678"/>
        <v>0.85203252623773507</v>
      </c>
      <c r="S89" s="312">
        <f t="shared" si="678"/>
        <v>0.84245652316368924</v>
      </c>
      <c r="T89" s="312">
        <f t="shared" si="678"/>
        <v>0.832861124209757</v>
      </c>
      <c r="U89" s="312">
        <f t="shared" si="678"/>
        <v>0.82308874747637295</v>
      </c>
      <c r="V89" s="312">
        <f t="shared" si="678"/>
        <v>0.81335967990086555</v>
      </c>
      <c r="W89" s="312">
        <f t="shared" si="678"/>
        <v>0.80346136136183122</v>
      </c>
      <c r="X89" s="312">
        <f t="shared" si="678"/>
        <v>0.79361770410393029</v>
      </c>
      <c r="Y89" s="312">
        <f t="shared" si="678"/>
        <v>0.78361430836378776</v>
      </c>
      <c r="Z89" s="312">
        <f t="shared" si="678"/>
        <v>0.77367799657188396</v>
      </c>
      <c r="AA89" s="312">
        <f t="shared" si="678"/>
        <v>0.7636485928910165</v>
      </c>
      <c r="AB89" s="312">
        <f t="shared" si="678"/>
        <v>0.75364362905458693</v>
      </c>
      <c r="AC89" s="312">
        <f t="shared" si="678"/>
        <v>0.74350147818891221</v>
      </c>
      <c r="AD89" s="312">
        <f t="shared" si="678"/>
        <v>0.73345258276879066</v>
      </c>
      <c r="AE89" s="312">
        <f t="shared" si="678"/>
        <v>0.72327881990530685</v>
      </c>
      <c r="AF89" s="312">
        <f t="shared" si="678"/>
        <v>0.71321135999268037</v>
      </c>
      <c r="AG89" s="312">
        <f t="shared" si="678"/>
        <v>0.70303162681041542</v>
      </c>
      <c r="AH89" s="312">
        <f t="shared" si="678"/>
        <v>0.69297082406611754</v>
      </c>
      <c r="AI89" s="312">
        <f t="shared" si="678"/>
        <v>0.68286645745551677</v>
      </c>
      <c r="AJ89" s="312">
        <f t="shared" si="678"/>
        <v>0.67283680556307568</v>
      </c>
      <c r="AK89" s="312">
        <f t="shared" si="678"/>
        <v>0.66271991026076782</v>
      </c>
      <c r="AL89" s="312">
        <f t="shared" si="678"/>
        <v>0.65274510279085729</v>
      </c>
      <c r="AM89" s="312">
        <f t="shared" si="678"/>
        <v>0.64269515372790265</v>
      </c>
      <c r="AN89" s="312">
        <f t="shared" si="678"/>
        <v>0.63279757062181996</v>
      </c>
      <c r="AO89" s="312">
        <f t="shared" si="678"/>
        <v>0.62283647579637669</v>
      </c>
      <c r="AP89" s="312">
        <f t="shared" si="678"/>
        <v>0.61303702448520103</v>
      </c>
      <c r="AQ89" s="312">
        <f t="shared" si="678"/>
        <v>0.60323938478388006</v>
      </c>
      <c r="AR89" s="312">
        <f t="shared" si="678"/>
        <v>0.59355700078067808</v>
      </c>
      <c r="AS89" s="312">
        <f>EXP(-AS88*AS87)</f>
        <v>0.58383255293153213</v>
      </c>
      <c r="AT89" s="312">
        <f t="shared" si="678"/>
        <v>0.5742851139211389</v>
      </c>
      <c r="AU89" s="312">
        <f t="shared" si="678"/>
        <v>0.56470533895550745</v>
      </c>
      <c r="AV89" s="312">
        <f t="shared" si="678"/>
        <v>0.55530866128630763</v>
      </c>
      <c r="AW89" s="312">
        <f t="shared" si="678"/>
        <v>0.54588865626808003</v>
      </c>
      <c r="AX89" s="312">
        <f t="shared" si="678"/>
        <v>0.53665678607827128</v>
      </c>
      <c r="AY89" s="312">
        <f t="shared" si="678"/>
        <v>0.52746070506376741</v>
      </c>
      <c r="AZ89" s="312">
        <f t="shared" si="678"/>
        <v>0.51840543331284372</v>
      </c>
      <c r="BA89" s="312">
        <f t="shared" si="678"/>
        <v>0.50934263938343805</v>
      </c>
      <c r="BB89" s="312">
        <f t="shared" si="678"/>
        <v>0.50047504448491587</v>
      </c>
      <c r="BC89" s="312">
        <f t="shared" si="678"/>
        <v>0.49160676037840256</v>
      </c>
      <c r="BD89" s="312">
        <f t="shared" si="678"/>
        <v>0.48293581173471484</v>
      </c>
      <c r="BE89" s="312">
        <f t="shared" si="678"/>
        <v>0.47427031149567966</v>
      </c>
      <c r="BF89" s="312">
        <f t="shared" si="678"/>
        <v>0.465803426812615</v>
      </c>
      <c r="BG89" s="312">
        <f t="shared" si="678"/>
        <v>0.45739388499223582</v>
      </c>
      <c r="BH89" s="312">
        <f t="shared" si="678"/>
        <v>0.44913643206833676</v>
      </c>
      <c r="BI89" s="312">
        <f t="shared" si="678"/>
        <v>0.44089472174382072</v>
      </c>
      <c r="BJ89" s="312">
        <f t="shared" si="678"/>
        <v>0.43285187766346084</v>
      </c>
      <c r="BK89" s="312">
        <f t="shared" si="678"/>
        <v>0.42482901661056016</v>
      </c>
      <c r="BL89" s="312">
        <f t="shared" si="678"/>
        <v>0.41700412493341726</v>
      </c>
      <c r="BM89" s="312">
        <f t="shared" si="678"/>
        <v>0.409202897772176</v>
      </c>
      <c r="BN89" s="312">
        <f t="shared" si="678"/>
        <v>0.40159814871434485</v>
      </c>
      <c r="BO89" s="312">
        <f t="shared" ref="BO89:CA89" si="679">EXP(-BO88*BO87)</f>
        <v>0.39406178432262162</v>
      </c>
      <c r="BP89" s="312">
        <f t="shared" si="679"/>
        <v>0.38667770327676848</v>
      </c>
      <c r="BQ89" s="312">
        <f t="shared" si="679"/>
        <v>0.3793231255816425</v>
      </c>
      <c r="BR89" s="312">
        <f t="shared" si="679"/>
        <v>0.37216052161185154</v>
      </c>
      <c r="BS89" s="312">
        <f t="shared" si="679"/>
        <v>0.36502966602566067</v>
      </c>
      <c r="BT89" s="312">
        <f t="shared" si="679"/>
        <v>0.35808788499838773</v>
      </c>
      <c r="BU89" s="312">
        <f t="shared" si="679"/>
        <v>0.35117969649537467</v>
      </c>
      <c r="BV89" s="312">
        <f t="shared" si="679"/>
        <v>0.34445732868346807</v>
      </c>
      <c r="BW89" s="312">
        <f t="shared" si="679"/>
        <v>0.33780667697992811</v>
      </c>
      <c r="BX89" s="312">
        <f t="shared" si="679"/>
        <v>0.33130104586308495</v>
      </c>
      <c r="BY89" s="312">
        <f t="shared" si="679"/>
        <v>0.32483163742414078</v>
      </c>
      <c r="BZ89" s="312">
        <f t="shared" si="679"/>
        <v>0.31854069232200066</v>
      </c>
      <c r="CA89" s="312">
        <f t="shared" si="679"/>
        <v>0.31228682866349899</v>
      </c>
      <c r="CB89" s="312">
        <f>EXP(-CB88*CB87)</f>
        <v>0.30620740693623838</v>
      </c>
    </row>
    <row r="90" spans="1:203" s="307" customFormat="1">
      <c r="A90" s="304"/>
    </row>
    <row r="91" spans="1:203">
      <c r="A91" s="311" t="s">
        <v>40</v>
      </c>
      <c r="B91" s="312">
        <f t="shared" ref="B91:AG91" si="680">DAYS360($B$3,B32)</f>
        <v>180</v>
      </c>
      <c r="C91" s="312">
        <f t="shared" si="680"/>
        <v>360</v>
      </c>
      <c r="D91" s="312">
        <f t="shared" si="680"/>
        <v>539</v>
      </c>
      <c r="E91" s="312">
        <f t="shared" si="680"/>
        <v>720</v>
      </c>
      <c r="F91" s="312">
        <f t="shared" si="680"/>
        <v>899</v>
      </c>
      <c r="G91" s="312">
        <f t="shared" si="680"/>
        <v>1080</v>
      </c>
      <c r="H91" s="312">
        <f t="shared" si="680"/>
        <v>1259</v>
      </c>
      <c r="I91" s="312">
        <f t="shared" si="680"/>
        <v>1440</v>
      </c>
      <c r="J91" s="312">
        <f t="shared" si="680"/>
        <v>1619</v>
      </c>
      <c r="K91" s="312">
        <f t="shared" si="680"/>
        <v>1799</v>
      </c>
      <c r="L91" s="312">
        <f t="shared" si="680"/>
        <v>1979</v>
      </c>
      <c r="M91" s="312">
        <f t="shared" si="680"/>
        <v>2159</v>
      </c>
      <c r="N91" s="312">
        <f t="shared" si="680"/>
        <v>2339</v>
      </c>
      <c r="O91" s="312">
        <f t="shared" si="680"/>
        <v>2519</v>
      </c>
      <c r="P91" s="312">
        <f t="shared" si="680"/>
        <v>2699</v>
      </c>
      <c r="Q91" s="312">
        <f t="shared" si="680"/>
        <v>2879</v>
      </c>
      <c r="R91" s="312">
        <f t="shared" si="680"/>
        <v>3059</v>
      </c>
      <c r="S91" s="312">
        <f t="shared" si="680"/>
        <v>3238</v>
      </c>
      <c r="T91" s="312">
        <f t="shared" si="680"/>
        <v>3418</v>
      </c>
      <c r="U91" s="312">
        <f t="shared" si="680"/>
        <v>3598</v>
      </c>
      <c r="V91" s="312">
        <f t="shared" si="680"/>
        <v>3778</v>
      </c>
      <c r="W91" s="312">
        <f t="shared" si="680"/>
        <v>3958</v>
      </c>
      <c r="X91" s="312">
        <f t="shared" si="680"/>
        <v>4138</v>
      </c>
      <c r="Y91" s="312">
        <f t="shared" si="680"/>
        <v>4318</v>
      </c>
      <c r="Z91" s="312">
        <f t="shared" si="680"/>
        <v>4498</v>
      </c>
      <c r="AA91" s="312">
        <f t="shared" si="680"/>
        <v>4677</v>
      </c>
      <c r="AB91" s="312">
        <f t="shared" si="680"/>
        <v>4857</v>
      </c>
      <c r="AC91" s="312">
        <f t="shared" si="680"/>
        <v>5037</v>
      </c>
      <c r="AD91" s="312">
        <f t="shared" si="680"/>
        <v>5217</v>
      </c>
      <c r="AE91" s="312">
        <f t="shared" si="680"/>
        <v>5397</v>
      </c>
      <c r="AF91" s="312">
        <f t="shared" si="680"/>
        <v>5577</v>
      </c>
      <c r="AG91" s="312">
        <f t="shared" si="680"/>
        <v>5757</v>
      </c>
      <c r="AH91" s="312">
        <f t="shared" ref="AH91:BM91" si="681">DAYS360($B$3,AH32)</f>
        <v>5937</v>
      </c>
      <c r="AI91" s="312">
        <f t="shared" si="681"/>
        <v>6116</v>
      </c>
      <c r="AJ91" s="312">
        <f t="shared" si="681"/>
        <v>6296</v>
      </c>
      <c r="AK91" s="312">
        <f t="shared" si="681"/>
        <v>6476</v>
      </c>
      <c r="AL91" s="312">
        <f t="shared" si="681"/>
        <v>6656</v>
      </c>
      <c r="AM91" s="312">
        <f t="shared" si="681"/>
        <v>6836</v>
      </c>
      <c r="AN91" s="312">
        <f t="shared" si="681"/>
        <v>7016</v>
      </c>
      <c r="AO91" s="312">
        <f t="shared" si="681"/>
        <v>7196</v>
      </c>
      <c r="AP91" s="312">
        <f t="shared" si="681"/>
        <v>7376</v>
      </c>
      <c r="AQ91" s="312">
        <f t="shared" si="681"/>
        <v>7555</v>
      </c>
      <c r="AR91" s="312">
        <f t="shared" si="681"/>
        <v>7735</v>
      </c>
      <c r="AS91" s="312">
        <f t="shared" si="681"/>
        <v>7915</v>
      </c>
      <c r="AT91" s="312">
        <f t="shared" si="681"/>
        <v>8095</v>
      </c>
      <c r="AU91" s="312">
        <f t="shared" si="681"/>
        <v>8275</v>
      </c>
      <c r="AV91" s="312">
        <f t="shared" si="681"/>
        <v>8455</v>
      </c>
      <c r="AW91" s="312">
        <f t="shared" si="681"/>
        <v>8635</v>
      </c>
      <c r="AX91" s="312">
        <f t="shared" si="681"/>
        <v>8815</v>
      </c>
      <c r="AY91" s="312">
        <f t="shared" si="681"/>
        <v>8994</v>
      </c>
      <c r="AZ91" s="312">
        <f t="shared" si="681"/>
        <v>9174</v>
      </c>
      <c r="BA91" s="312">
        <f t="shared" si="681"/>
        <v>9354</v>
      </c>
      <c r="BB91" s="312">
        <f t="shared" si="681"/>
        <v>9534</v>
      </c>
      <c r="BC91" s="312">
        <f t="shared" si="681"/>
        <v>9714</v>
      </c>
      <c r="BD91" s="312">
        <f t="shared" si="681"/>
        <v>9894</v>
      </c>
      <c r="BE91" s="312">
        <f t="shared" si="681"/>
        <v>10074</v>
      </c>
      <c r="BF91" s="312">
        <f t="shared" si="681"/>
        <v>10254</v>
      </c>
      <c r="BG91" s="312">
        <f t="shared" si="681"/>
        <v>10433</v>
      </c>
      <c r="BH91" s="312">
        <f t="shared" si="681"/>
        <v>10613</v>
      </c>
      <c r="BI91" s="312">
        <f t="shared" si="681"/>
        <v>10793</v>
      </c>
      <c r="BJ91" s="312">
        <f t="shared" si="681"/>
        <v>10973</v>
      </c>
      <c r="BK91" s="312">
        <f t="shared" si="681"/>
        <v>11153</v>
      </c>
      <c r="BL91" s="312">
        <f t="shared" si="681"/>
        <v>11333</v>
      </c>
      <c r="BM91" s="312">
        <f t="shared" si="681"/>
        <v>11513</v>
      </c>
      <c r="BN91" s="312">
        <f t="shared" ref="BN91:CB91" si="682">DAYS360($B$3,BN32)</f>
        <v>11693</v>
      </c>
      <c r="BO91" s="312">
        <f t="shared" si="682"/>
        <v>11872</v>
      </c>
      <c r="BP91" s="312">
        <f t="shared" si="682"/>
        <v>12052</v>
      </c>
      <c r="BQ91" s="312">
        <f t="shared" si="682"/>
        <v>12232</v>
      </c>
      <c r="BR91" s="312">
        <f t="shared" si="682"/>
        <v>12412</v>
      </c>
      <c r="BS91" s="312">
        <f t="shared" si="682"/>
        <v>12592</v>
      </c>
      <c r="BT91" s="312">
        <f t="shared" si="682"/>
        <v>12772</v>
      </c>
      <c r="BU91" s="312">
        <f t="shared" si="682"/>
        <v>12952</v>
      </c>
      <c r="BV91" s="312">
        <f t="shared" si="682"/>
        <v>13132</v>
      </c>
      <c r="BW91" s="312">
        <f t="shared" si="682"/>
        <v>13311</v>
      </c>
      <c r="BX91" s="312">
        <f t="shared" si="682"/>
        <v>13491</v>
      </c>
      <c r="BY91" s="312">
        <f t="shared" si="682"/>
        <v>13671</v>
      </c>
      <c r="BZ91" s="312">
        <f t="shared" si="682"/>
        <v>13851</v>
      </c>
      <c r="CA91" s="312">
        <f t="shared" si="682"/>
        <v>14031</v>
      </c>
      <c r="CB91" s="312">
        <f t="shared" si="682"/>
        <v>14211</v>
      </c>
    </row>
    <row r="92" spans="1:203">
      <c r="A92" s="311" t="s">
        <v>41</v>
      </c>
      <c r="B92" s="312">
        <f>B91/360</f>
        <v>0.5</v>
      </c>
      <c r="C92" s="312">
        <f t="shared" ref="C92:BN92" si="683">C91/360</f>
        <v>1</v>
      </c>
      <c r="D92" s="312">
        <f t="shared" si="683"/>
        <v>1.4972222222222222</v>
      </c>
      <c r="E92" s="312">
        <f t="shared" si="683"/>
        <v>2</v>
      </c>
      <c r="F92" s="312">
        <f t="shared" si="683"/>
        <v>2.4972222222222222</v>
      </c>
      <c r="G92" s="312">
        <f t="shared" si="683"/>
        <v>3</v>
      </c>
      <c r="H92" s="312">
        <f t="shared" si="683"/>
        <v>3.4972222222222222</v>
      </c>
      <c r="I92" s="312">
        <f t="shared" si="683"/>
        <v>4</v>
      </c>
      <c r="J92" s="312">
        <f t="shared" si="683"/>
        <v>4.4972222222222218</v>
      </c>
      <c r="K92" s="312">
        <f t="shared" si="683"/>
        <v>4.9972222222222218</v>
      </c>
      <c r="L92" s="312">
        <f t="shared" si="683"/>
        <v>5.4972222222222218</v>
      </c>
      <c r="M92" s="312">
        <f t="shared" si="683"/>
        <v>5.9972222222222218</v>
      </c>
      <c r="N92" s="312">
        <f t="shared" si="683"/>
        <v>6.4972222222222218</v>
      </c>
      <c r="O92" s="312">
        <f t="shared" si="683"/>
        <v>6.9972222222222218</v>
      </c>
      <c r="P92" s="312">
        <f t="shared" si="683"/>
        <v>7.4972222222222218</v>
      </c>
      <c r="Q92" s="312">
        <f t="shared" si="683"/>
        <v>7.9972222222222218</v>
      </c>
      <c r="R92" s="312">
        <f t="shared" si="683"/>
        <v>8.4972222222222218</v>
      </c>
      <c r="S92" s="312">
        <f t="shared" si="683"/>
        <v>8.9944444444444436</v>
      </c>
      <c r="T92" s="312">
        <f t="shared" si="683"/>
        <v>9.4944444444444436</v>
      </c>
      <c r="U92" s="312">
        <f t="shared" si="683"/>
        <v>9.9944444444444436</v>
      </c>
      <c r="V92" s="312">
        <f t="shared" si="683"/>
        <v>10.494444444444444</v>
      </c>
      <c r="W92" s="312">
        <f t="shared" si="683"/>
        <v>10.994444444444444</v>
      </c>
      <c r="X92" s="312">
        <f t="shared" si="683"/>
        <v>11.494444444444444</v>
      </c>
      <c r="Y92" s="312">
        <f t="shared" si="683"/>
        <v>11.994444444444444</v>
      </c>
      <c r="Z92" s="312">
        <f t="shared" si="683"/>
        <v>12.494444444444444</v>
      </c>
      <c r="AA92" s="312">
        <f t="shared" si="683"/>
        <v>12.991666666666667</v>
      </c>
      <c r="AB92" s="312">
        <f t="shared" si="683"/>
        <v>13.491666666666667</v>
      </c>
      <c r="AC92" s="312">
        <f t="shared" si="683"/>
        <v>13.991666666666667</v>
      </c>
      <c r="AD92" s="312">
        <f t="shared" si="683"/>
        <v>14.491666666666667</v>
      </c>
      <c r="AE92" s="312">
        <f t="shared" si="683"/>
        <v>14.991666666666667</v>
      </c>
      <c r="AF92" s="312">
        <f t="shared" si="683"/>
        <v>15.491666666666667</v>
      </c>
      <c r="AG92" s="312">
        <f t="shared" si="683"/>
        <v>15.991666666666667</v>
      </c>
      <c r="AH92" s="312">
        <f t="shared" si="683"/>
        <v>16.491666666666667</v>
      </c>
      <c r="AI92" s="312">
        <f t="shared" si="683"/>
        <v>16.988888888888887</v>
      </c>
      <c r="AJ92" s="312">
        <f t="shared" si="683"/>
        <v>17.488888888888887</v>
      </c>
      <c r="AK92" s="312">
        <f t="shared" si="683"/>
        <v>17.988888888888887</v>
      </c>
      <c r="AL92" s="312">
        <f t="shared" si="683"/>
        <v>18.488888888888887</v>
      </c>
      <c r="AM92" s="312">
        <f t="shared" si="683"/>
        <v>18.988888888888887</v>
      </c>
      <c r="AN92" s="312">
        <f t="shared" si="683"/>
        <v>19.488888888888887</v>
      </c>
      <c r="AO92" s="312">
        <f t="shared" si="683"/>
        <v>19.988888888888887</v>
      </c>
      <c r="AP92" s="312">
        <f t="shared" si="683"/>
        <v>20.488888888888887</v>
      </c>
      <c r="AQ92" s="312">
        <f t="shared" si="683"/>
        <v>20.986111111111111</v>
      </c>
      <c r="AR92" s="312">
        <f t="shared" si="683"/>
        <v>21.486111111111111</v>
      </c>
      <c r="AS92" s="312">
        <f t="shared" si="683"/>
        <v>21.986111111111111</v>
      </c>
      <c r="AT92" s="312">
        <f t="shared" si="683"/>
        <v>22.486111111111111</v>
      </c>
      <c r="AU92" s="312">
        <f t="shared" si="683"/>
        <v>22.986111111111111</v>
      </c>
      <c r="AV92" s="312">
        <f t="shared" si="683"/>
        <v>23.486111111111111</v>
      </c>
      <c r="AW92" s="312">
        <f t="shared" si="683"/>
        <v>23.986111111111111</v>
      </c>
      <c r="AX92" s="312">
        <f t="shared" si="683"/>
        <v>24.486111111111111</v>
      </c>
      <c r="AY92" s="312">
        <f t="shared" si="683"/>
        <v>24.983333333333334</v>
      </c>
      <c r="AZ92" s="312">
        <f t="shared" si="683"/>
        <v>25.483333333333334</v>
      </c>
      <c r="BA92" s="312">
        <f t="shared" si="683"/>
        <v>25.983333333333334</v>
      </c>
      <c r="BB92" s="312">
        <f t="shared" si="683"/>
        <v>26.483333333333334</v>
      </c>
      <c r="BC92" s="312">
        <f t="shared" si="683"/>
        <v>26.983333333333334</v>
      </c>
      <c r="BD92" s="312">
        <f t="shared" si="683"/>
        <v>27.483333333333334</v>
      </c>
      <c r="BE92" s="312">
        <f t="shared" si="683"/>
        <v>27.983333333333334</v>
      </c>
      <c r="BF92" s="312">
        <f t="shared" si="683"/>
        <v>28.483333333333334</v>
      </c>
      <c r="BG92" s="312">
        <f t="shared" si="683"/>
        <v>28.980555555555554</v>
      </c>
      <c r="BH92" s="312">
        <f t="shared" si="683"/>
        <v>29.480555555555554</v>
      </c>
      <c r="BI92" s="312">
        <f t="shared" si="683"/>
        <v>29.980555555555554</v>
      </c>
      <c r="BJ92" s="312">
        <f t="shared" si="683"/>
        <v>30.480555555555554</v>
      </c>
      <c r="BK92" s="312">
        <f t="shared" si="683"/>
        <v>30.980555555555554</v>
      </c>
      <c r="BL92" s="312">
        <f t="shared" si="683"/>
        <v>31.480555555555554</v>
      </c>
      <c r="BM92" s="312">
        <f t="shared" si="683"/>
        <v>31.980555555555554</v>
      </c>
      <c r="BN92" s="312">
        <f t="shared" si="683"/>
        <v>32.480555555555554</v>
      </c>
      <c r="BO92" s="312">
        <f t="shared" ref="BO92:CB92" si="684">BO91/360</f>
        <v>32.977777777777774</v>
      </c>
      <c r="BP92" s="312">
        <f t="shared" si="684"/>
        <v>33.477777777777774</v>
      </c>
      <c r="BQ92" s="312">
        <f t="shared" si="684"/>
        <v>33.977777777777774</v>
      </c>
      <c r="BR92" s="312">
        <f t="shared" si="684"/>
        <v>34.477777777777774</v>
      </c>
      <c r="BS92" s="312">
        <f t="shared" si="684"/>
        <v>34.977777777777774</v>
      </c>
      <c r="BT92" s="312">
        <f t="shared" si="684"/>
        <v>35.477777777777774</v>
      </c>
      <c r="BU92" s="312">
        <f t="shared" si="684"/>
        <v>35.977777777777774</v>
      </c>
      <c r="BV92" s="312">
        <f t="shared" si="684"/>
        <v>36.477777777777774</v>
      </c>
      <c r="BW92" s="312">
        <f t="shared" si="684"/>
        <v>36.975000000000001</v>
      </c>
      <c r="BX92" s="312">
        <f t="shared" si="684"/>
        <v>37.475000000000001</v>
      </c>
      <c r="BY92" s="312">
        <f t="shared" si="684"/>
        <v>37.975000000000001</v>
      </c>
      <c r="BZ92" s="312">
        <f t="shared" si="684"/>
        <v>38.475000000000001</v>
      </c>
      <c r="CA92" s="312">
        <f t="shared" si="684"/>
        <v>38.975000000000001</v>
      </c>
      <c r="CB92" s="312">
        <f t="shared" si="684"/>
        <v>39.475000000000001</v>
      </c>
    </row>
    <row r="93" spans="1:203">
      <c r="A93" s="311" t="s">
        <v>43</v>
      </c>
      <c r="B93" s="312">
        <f>IF(B91&lt;0,0,$B$5+$B$6*((1-EXP(-B92/$B$9))/(B92/$B$9))+$B$7*((1-EXP(-B92/$B$9))/(B92/$B$9)-EXP(-B92/$B$9))+$B$8*((1-EXP(-B92/$B$10))/(B92/$B$10)-EXP(-B92/$B$10)))</f>
        <v>1.7503065846450689E-2</v>
      </c>
      <c r="C93" s="312">
        <f t="shared" ref="C93:BN93" si="685">IF(C91&lt;0,0,$B$5+$B$6*((1-EXP(-C92/$B$9))/(C92/$B$9))+$B$7*((1-EXP(-C92/$B$9))/(C92/$B$9)-EXP(-C92/$B$9))+$B$8*((1-EXP(-C92/$B$10))/(C92/$B$10)-EXP(-C92/$B$10)))</f>
        <v>1.7547545388720366E-2</v>
      </c>
      <c r="D93" s="312">
        <f t="shared" si="685"/>
        <v>1.7606536842687454E-2</v>
      </c>
      <c r="E93" s="312">
        <f t="shared" si="685"/>
        <v>1.7680111792976946E-2</v>
      </c>
      <c r="F93" s="312">
        <f t="shared" si="685"/>
        <v>1.7765669238997153E-2</v>
      </c>
      <c r="G93" s="312">
        <f t="shared" si="685"/>
        <v>1.7864182710062071E-2</v>
      </c>
      <c r="H93" s="312">
        <f t="shared" si="685"/>
        <v>1.7972598806218099E-2</v>
      </c>
      <c r="I93" s="312">
        <f t="shared" si="685"/>
        <v>1.8092497670247482E-2</v>
      </c>
      <c r="J93" s="312">
        <f t="shared" si="685"/>
        <v>1.8220443517074913E-2</v>
      </c>
      <c r="K93" s="312">
        <f t="shared" si="685"/>
        <v>1.8357754659644565E-2</v>
      </c>
      <c r="L93" s="312">
        <f t="shared" si="685"/>
        <v>1.850303265963521E-2</v>
      </c>
      <c r="M93" s="312">
        <f t="shared" si="685"/>
        <v>1.8655607065302005E-2</v>
      </c>
      <c r="N93" s="312">
        <f t="shared" si="685"/>
        <v>1.8814844321815433E-2</v>
      </c>
      <c r="O93" s="312">
        <f t="shared" si="685"/>
        <v>1.8980146066345072E-2</v>
      </c>
      <c r="P93" s="312">
        <f t="shared" si="685"/>
        <v>1.9150947489717296E-2</v>
      </c>
      <c r="Q93" s="312">
        <f t="shared" si="685"/>
        <v>1.9326715762770647E-2</v>
      </c>
      <c r="R93" s="312">
        <f t="shared" si="685"/>
        <v>1.9506948525519291E-2</v>
      </c>
      <c r="S93" s="312">
        <f t="shared" si="685"/>
        <v>1.9690138777049115E-2</v>
      </c>
      <c r="T93" s="312">
        <f t="shared" si="685"/>
        <v>1.987788961092668E-2</v>
      </c>
      <c r="U93" s="312">
        <f t="shared" si="685"/>
        <v>2.0068768723827901E-2</v>
      </c>
      <c r="V93" s="312">
        <f t="shared" si="685"/>
        <v>2.0262381579192967E-2</v>
      </c>
      <c r="W93" s="312">
        <f t="shared" si="685"/>
        <v>2.0458357438868868E-2</v>
      </c>
      <c r="X93" s="312">
        <f t="shared" si="685"/>
        <v>2.065634818982709E-2</v>
      </c>
      <c r="Y93" s="312">
        <f t="shared" si="685"/>
        <v>2.0856027220870932E-2</v>
      </c>
      <c r="Z93" s="312">
        <f t="shared" si="685"/>
        <v>2.105708834759823E-2</v>
      </c>
      <c r="AA93" s="312">
        <f t="shared" si="685"/>
        <v>2.12581191680698E-2</v>
      </c>
      <c r="AB93" s="312">
        <f t="shared" si="685"/>
        <v>2.1461098657326483E-2</v>
      </c>
      <c r="AC93" s="312">
        <f t="shared" si="685"/>
        <v>2.1664655535065025E-2</v>
      </c>
      <c r="AD93" s="312">
        <f t="shared" si="685"/>
        <v>2.1868555390290201E-2</v>
      </c>
      <c r="AE93" s="312">
        <f t="shared" si="685"/>
        <v>2.2072579533783443E-2</v>
      </c>
      <c r="AF93" s="312">
        <f t="shared" si="685"/>
        <v>2.2276524177908097E-2</v>
      </c>
      <c r="AG93" s="312">
        <f t="shared" si="685"/>
        <v>2.2480199653536925E-2</v>
      </c>
      <c r="AH93" s="312">
        <f t="shared" si="685"/>
        <v>2.2683429662666954E-2</v>
      </c>
      <c r="AI93" s="312">
        <f t="shared" si="685"/>
        <v>2.2884926860072985E-2</v>
      </c>
      <c r="AJ93" s="312">
        <f t="shared" si="685"/>
        <v>2.3086791618496694E-2</v>
      </c>
      <c r="AK93" s="312">
        <f t="shared" si="685"/>
        <v>2.3287756025062278E-2</v>
      </c>
      <c r="AL93" s="312">
        <f t="shared" si="685"/>
        <v>2.3487690400300132E-2</v>
      </c>
      <c r="AM93" s="312">
        <f t="shared" si="685"/>
        <v>2.3686475190005996E-2</v>
      </c>
      <c r="AN93" s="312">
        <f t="shared" si="685"/>
        <v>2.3884000403932792E-2</v>
      </c>
      <c r="AO93" s="312">
        <f t="shared" si="685"/>
        <v>2.4080165081249494E-2</v>
      </c>
      <c r="AP93" s="312">
        <f t="shared" si="685"/>
        <v>2.4274876781651633E-2</v>
      </c>
      <c r="AQ93" s="312">
        <f t="shared" si="685"/>
        <v>2.4466982301623363E-2</v>
      </c>
      <c r="AR93" s="312">
        <f t="shared" si="685"/>
        <v>2.4658551578084054E-2</v>
      </c>
      <c r="AS93" s="312">
        <f t="shared" si="685"/>
        <v>2.4848437321572103E-2</v>
      </c>
      <c r="AT93" s="312">
        <f t="shared" si="685"/>
        <v>2.5036576524787191E-2</v>
      </c>
      <c r="AU93" s="312">
        <f t="shared" si="685"/>
        <v>2.5222912506924322E-2</v>
      </c>
      <c r="AV93" s="312">
        <f t="shared" si="685"/>
        <v>2.5407394537192207E-2</v>
      </c>
      <c r="AW93" s="312">
        <f t="shared" si="685"/>
        <v>2.558997747718561E-2</v>
      </c>
      <c r="AX93" s="312">
        <f t="shared" si="685"/>
        <v>2.5770621441279173E-2</v>
      </c>
      <c r="AY93" s="312">
        <f t="shared" si="685"/>
        <v>2.5948304373377307E-2</v>
      </c>
      <c r="AZ93" s="312">
        <f t="shared" si="685"/>
        <v>2.6124981354891497E-2</v>
      </c>
      <c r="BA93" s="312">
        <f t="shared" si="685"/>
        <v>2.6299628210853215E-2</v>
      </c>
      <c r="BB93" s="312">
        <f t="shared" si="685"/>
        <v>2.6472222981802046E-2</v>
      </c>
      <c r="BC93" s="312">
        <f t="shared" si="685"/>
        <v>2.6642747507683473E-2</v>
      </c>
      <c r="BD93" s="312">
        <f t="shared" si="685"/>
        <v>2.6811187180470014E-2</v>
      </c>
      <c r="BE93" s="312">
        <f t="shared" si="685"/>
        <v>2.6977530709798553E-2</v>
      </c>
      <c r="BF93" s="312">
        <f t="shared" si="685"/>
        <v>2.7141769901021018E-2</v>
      </c>
      <c r="BG93" s="312">
        <f t="shared" si="685"/>
        <v>2.7303004558974941E-2</v>
      </c>
      <c r="BH93" s="312">
        <f t="shared" si="685"/>
        <v>2.7463033570986617E-2</v>
      </c>
      <c r="BI93" s="312">
        <f t="shared" si="685"/>
        <v>2.7620950184011145E-2</v>
      </c>
      <c r="BJ93" s="312">
        <f t="shared" si="685"/>
        <v>2.7776756582757495E-2</v>
      </c>
      <c r="BK93" s="312">
        <f t="shared" si="685"/>
        <v>2.7930457105486223E-2</v>
      </c>
      <c r="BL93" s="312">
        <f t="shared" si="685"/>
        <v>2.8082058085097256E-2</v>
      </c>
      <c r="BM93" s="312">
        <f t="shared" si="685"/>
        <v>2.8231567699043086E-2</v>
      </c>
      <c r="BN93" s="312">
        <f t="shared" si="685"/>
        <v>2.8378995827637948E-2</v>
      </c>
      <c r="BO93" s="312">
        <f t="shared" ref="BO93:CB93" si="686">IF(BO91&lt;0,0,$B$5+$B$6*((1-EXP(-BO92/$B$9))/(BO92/$B$9))+$B$7*((1-EXP(-BO92/$B$9))/(BO92/$B$9)-EXP(-BO92/$B$9))+$B$8*((1-EXP(-BO92/$B$10))/(BO92/$B$10)-EXP(-BO92/$B$10)))</f>
        <v>2.8523552070502223E-2</v>
      </c>
      <c r="BP93" s="312">
        <f t="shared" si="686"/>
        <v>2.8666864410321347E-2</v>
      </c>
      <c r="BQ93" s="312">
        <f t="shared" si="686"/>
        <v>2.8808133740997971E-2</v>
      </c>
      <c r="BR93" s="312">
        <f t="shared" si="686"/>
        <v>2.8947375484861593E-2</v>
      </c>
      <c r="BS93" s="312">
        <f t="shared" si="686"/>
        <v>2.9084606171397437E-2</v>
      </c>
      <c r="BT93" s="312">
        <f t="shared" si="686"/>
        <v>2.9219843337878387E-2</v>
      </c>
      <c r="BU93" s="312">
        <f t="shared" si="686"/>
        <v>2.9353105435876464E-2</v>
      </c>
      <c r="BV93" s="312">
        <f t="shared" si="686"/>
        <v>2.9484411743351341E-2</v>
      </c>
      <c r="BW93" s="312">
        <f t="shared" si="686"/>
        <v>2.9613068866376879E-2</v>
      </c>
      <c r="BX93" s="312">
        <f t="shared" si="686"/>
        <v>2.9740534905246696E-2</v>
      </c>
      <c r="BY93" s="312">
        <f t="shared" si="686"/>
        <v>2.9866107024749261E-2</v>
      </c>
      <c r="BZ93" s="312">
        <f t="shared" si="686"/>
        <v>2.9989807028436288E-2</v>
      </c>
      <c r="CA93" s="312">
        <f t="shared" si="686"/>
        <v>3.0111657181200818E-2</v>
      </c>
      <c r="CB93" s="312">
        <f t="shared" si="686"/>
        <v>3.0231680149276546E-2</v>
      </c>
    </row>
    <row r="94" spans="1:203">
      <c r="A94" s="311" t="s">
        <v>44</v>
      </c>
      <c r="B94" s="312">
        <f>EXP(-B93*B92)</f>
        <v>0.99128665027267582</v>
      </c>
      <c r="C94" s="312">
        <f t="shared" ref="C94" si="687">EXP(-C93*C92)</f>
        <v>0.98260551619320802</v>
      </c>
      <c r="D94" s="312">
        <f t="shared" ref="D94:AR94" si="688">EXP(-D93*D92)</f>
        <v>0.97398351725664289</v>
      </c>
      <c r="E94" s="312">
        <f t="shared" si="688"/>
        <v>0.96525764505336142</v>
      </c>
      <c r="F94" s="312">
        <f t="shared" si="688"/>
        <v>0.95660490136279008</v>
      </c>
      <c r="G94" s="312">
        <f t="shared" si="688"/>
        <v>0.94781821814072698</v>
      </c>
      <c r="H94" s="312">
        <f t="shared" si="688"/>
        <v>0.93908040798211667</v>
      </c>
      <c r="I94" s="312">
        <f t="shared" si="688"/>
        <v>0.93018667173515934</v>
      </c>
      <c r="J94" s="312">
        <f t="shared" si="688"/>
        <v>0.92132596203182915</v>
      </c>
      <c r="K94" s="312">
        <f t="shared" si="688"/>
        <v>0.91234435354199916</v>
      </c>
      <c r="L94" s="312">
        <f t="shared" si="688"/>
        <v>0.90328669675740925</v>
      </c>
      <c r="M94" s="312">
        <f t="shared" si="688"/>
        <v>0.89414992076670452</v>
      </c>
      <c r="N94" s="312">
        <f t="shared" si="688"/>
        <v>0.88493221986058412</v>
      </c>
      <c r="O94" s="312">
        <f t="shared" si="688"/>
        <v>0.87563293499734829</v>
      </c>
      <c r="P94" s="312">
        <f t="shared" si="688"/>
        <v>0.86625244229267129</v>
      </c>
      <c r="Q94" s="312">
        <f t="shared" si="688"/>
        <v>0.8567920481343595</v>
      </c>
      <c r="R94" s="312">
        <f t="shared" si="688"/>
        <v>0.84725389057770373</v>
      </c>
      <c r="S94" s="312">
        <f t="shared" si="688"/>
        <v>0.83769445317843505</v>
      </c>
      <c r="T94" s="312">
        <f t="shared" si="688"/>
        <v>0.8280104378446651</v>
      </c>
      <c r="U94" s="312">
        <f t="shared" si="688"/>
        <v>0.81825914114905529</v>
      </c>
      <c r="V94" s="312">
        <f t="shared" si="688"/>
        <v>0.80844515497475011</v>
      </c>
      <c r="W94" s="312">
        <f t="shared" si="688"/>
        <v>0.79857349495918772</v>
      </c>
      <c r="X94" s="312">
        <f t="shared" si="688"/>
        <v>0.78864953418842043</v>
      </c>
      <c r="Y94" s="312">
        <f t="shared" si="688"/>
        <v>0.77867894156318951</v>
      </c>
      <c r="Z94" s="312">
        <f t="shared" si="688"/>
        <v>0.76866762465685146</v>
      </c>
      <c r="AA94" s="312">
        <f t="shared" si="688"/>
        <v>0.75867757198068853</v>
      </c>
      <c r="AB94" s="312">
        <f t="shared" si="688"/>
        <v>0.74860336431081642</v>
      </c>
      <c r="AC94" s="312">
        <f t="shared" si="688"/>
        <v>0.73850704407989953</v>
      </c>
      <c r="AD94" s="312">
        <f t="shared" si="688"/>
        <v>0.72839498566144512</v>
      </c>
      <c r="AE94" s="312">
        <f t="shared" si="688"/>
        <v>0.71827357786170976</v>
      </c>
      <c r="AF94" s="312">
        <f t="shared" si="688"/>
        <v>0.70814919006497523</v>
      </c>
      <c r="AG94" s="312">
        <f t="shared" si="688"/>
        <v>0.69802814166596661</v>
      </c>
      <c r="AH94" s="312">
        <f t="shared" si="688"/>
        <v>0.68791667462065254</v>
      </c>
      <c r="AI94" s="312">
        <f t="shared" si="688"/>
        <v>0.67787696188479163</v>
      </c>
      <c r="AJ94" s="312">
        <f t="shared" si="688"/>
        <v>0.66780281682357923</v>
      </c>
      <c r="AK94" s="312">
        <f t="shared" si="688"/>
        <v>0.65775625092745049</v>
      </c>
      <c r="AL94" s="312">
        <f t="shared" si="688"/>
        <v>0.6477429793816295</v>
      </c>
      <c r="AM94" s="312">
        <f t="shared" si="688"/>
        <v>0.63776854374864622</v>
      </c>
      <c r="AN94" s="312">
        <f t="shared" si="688"/>
        <v>0.62783829978067363</v>
      </c>
      <c r="AO94" s="312">
        <f t="shared" si="688"/>
        <v>0.61795740723257675</v>
      </c>
      <c r="AP94" s="312">
        <f t="shared" si="688"/>
        <v>0.60813082153012543</v>
      </c>
      <c r="AQ94" s="312">
        <f t="shared" si="688"/>
        <v>0.59841737969512898</v>
      </c>
      <c r="AR94" s="312">
        <f t="shared" si="688"/>
        <v>0.58871305980804989</v>
      </c>
      <c r="AS94" s="312">
        <f>EXP(-AS93*AS92)</f>
        <v>0.57907660533107119</v>
      </c>
      <c r="AT94" s="312">
        <f t="shared" ref="AT94:CA94" si="689">EXP(-AT93*AT92)</f>
        <v>0.56951210457589829</v>
      </c>
      <c r="AU94" s="312">
        <f t="shared" si="689"/>
        <v>0.56002342295068819</v>
      </c>
      <c r="AV94" s="312">
        <f t="shared" si="689"/>
        <v>0.55061420298137365</v>
      </c>
      <c r="AW94" s="312">
        <f t="shared" si="689"/>
        <v>0.54128786531624651</v>
      </c>
      <c r="AX94" s="312">
        <f t="shared" si="689"/>
        <v>0.53204761061183281</v>
      </c>
      <c r="AY94" s="312">
        <f t="shared" si="689"/>
        <v>0.52294701092412554</v>
      </c>
      <c r="AZ94" s="312">
        <f t="shared" si="689"/>
        <v>0.51388714073334107</v>
      </c>
      <c r="BA94" s="312">
        <f t="shared" si="689"/>
        <v>0.50492165197579297</v>
      </c>
      <c r="BB94" s="312">
        <f t="shared" si="689"/>
        <v>0.4960528997108325</v>
      </c>
      <c r="BC94" s="312">
        <f t="shared" si="689"/>
        <v>0.48728303846255111</v>
      </c>
      <c r="BD94" s="312">
        <f t="shared" si="689"/>
        <v>0.47861402757175109</v>
      </c>
      <c r="BE94" s="312">
        <f t="shared" si="689"/>
        <v>0.47004763687424234</v>
      </c>
      <c r="BF94" s="312">
        <f t="shared" si="689"/>
        <v>0.4615854526471232</v>
      </c>
      <c r="BG94" s="312">
        <f t="shared" si="689"/>
        <v>0.45327501505566747</v>
      </c>
      <c r="BH94" s="312">
        <f t="shared" si="689"/>
        <v>0.4450247025921536</v>
      </c>
      <c r="BI94" s="312">
        <f t="shared" si="689"/>
        <v>0.43688231094808083</v>
      </c>
      <c r="BJ94" s="312">
        <f t="shared" si="689"/>
        <v>0.42884875606741052</v>
      </c>
      <c r="BK94" s="312">
        <f t="shared" si="689"/>
        <v>0.42092480232932938</v>
      </c>
      <c r="BL94" s="312">
        <f t="shared" si="689"/>
        <v>0.41311106912858298</v>
      </c>
      <c r="BM94" s="312">
        <f t="shared" si="689"/>
        <v>0.40540803743651938</v>
      </c>
      <c r="BN94" s="312">
        <f t="shared" si="689"/>
        <v>0.39781605631640876</v>
      </c>
      <c r="BO94" s="312">
        <f t="shared" si="689"/>
        <v>0.39037660122979545</v>
      </c>
      <c r="BP94" s="312">
        <f t="shared" si="689"/>
        <v>0.38300665410334883</v>
      </c>
      <c r="BQ94" s="312">
        <f t="shared" si="689"/>
        <v>0.37574807763219203</v>
      </c>
      <c r="BR94" s="312">
        <f t="shared" si="689"/>
        <v>0.36860075730033837</v>
      </c>
      <c r="BS94" s="312">
        <f t="shared" si="689"/>
        <v>0.3615644778162152</v>
      </c>
      <c r="BT94" s="312">
        <f t="shared" si="689"/>
        <v>0.35463892895427862</v>
      </c>
      <c r="BU94" s="312">
        <f t="shared" si="689"/>
        <v>0.34782371123930278</v>
      </c>
      <c r="BV94" s="312">
        <f t="shared" si="689"/>
        <v>0.34111834146571141</v>
      </c>
      <c r="BW94" s="312">
        <f t="shared" si="689"/>
        <v>0.33455860220037636</v>
      </c>
      <c r="BX94" s="312">
        <f t="shared" si="689"/>
        <v>0.32807056859809397</v>
      </c>
      <c r="BY94" s="312">
        <f t="shared" si="689"/>
        <v>0.32169048762357888</v>
      </c>
      <c r="BZ94" s="312">
        <f t="shared" si="689"/>
        <v>0.31541759319802037</v>
      </c>
      <c r="CA94" s="312">
        <f t="shared" si="689"/>
        <v>0.30925106044240769</v>
      </c>
      <c r="CB94" s="312">
        <f>EXP(-CB93*CB92)</f>
        <v>0.30319001012517405</v>
      </c>
    </row>
    <row r="95" spans="1:203" s="307" customFormat="1">
      <c r="A95" s="304"/>
    </row>
    <row r="96" spans="1:203">
      <c r="A96" s="311" t="s">
        <v>40</v>
      </c>
      <c r="B96" s="312">
        <f t="shared" ref="B96:AG96" si="690">DAYS360($B$3,B34)</f>
        <v>346</v>
      </c>
      <c r="C96" s="312">
        <f t="shared" si="690"/>
        <v>525</v>
      </c>
      <c r="D96" s="312">
        <f t="shared" si="690"/>
        <v>706</v>
      </c>
      <c r="E96" s="312">
        <f t="shared" si="690"/>
        <v>885</v>
      </c>
      <c r="F96" s="312">
        <f t="shared" si="690"/>
        <v>1066</v>
      </c>
      <c r="G96" s="312">
        <f t="shared" si="690"/>
        <v>1245</v>
      </c>
      <c r="H96" s="312">
        <f t="shared" si="690"/>
        <v>1426</v>
      </c>
      <c r="I96" s="312">
        <f t="shared" si="690"/>
        <v>1605</v>
      </c>
      <c r="J96" s="312">
        <f t="shared" si="690"/>
        <v>1785</v>
      </c>
      <c r="K96" s="312">
        <f t="shared" si="690"/>
        <v>1964</v>
      </c>
      <c r="L96" s="312">
        <f t="shared" si="690"/>
        <v>2145</v>
      </c>
      <c r="M96" s="312">
        <f t="shared" si="690"/>
        <v>2324</v>
      </c>
      <c r="N96" s="312">
        <f t="shared" si="690"/>
        <v>2505</v>
      </c>
      <c r="O96" s="312">
        <f t="shared" si="690"/>
        <v>2684</v>
      </c>
      <c r="P96" s="312">
        <f t="shared" si="690"/>
        <v>2865</v>
      </c>
      <c r="Q96" s="312">
        <f t="shared" si="690"/>
        <v>3044</v>
      </c>
      <c r="R96" s="312">
        <f t="shared" si="690"/>
        <v>3224</v>
      </c>
      <c r="S96" s="312">
        <f t="shared" si="690"/>
        <v>3403</v>
      </c>
      <c r="T96" s="312">
        <f t="shared" si="690"/>
        <v>3584</v>
      </c>
      <c r="U96" s="312">
        <f t="shared" si="690"/>
        <v>3763</v>
      </c>
      <c r="V96" s="312">
        <f t="shared" si="690"/>
        <v>3944</v>
      </c>
      <c r="W96" s="312">
        <f t="shared" si="690"/>
        <v>4123</v>
      </c>
      <c r="X96" s="312">
        <f t="shared" si="690"/>
        <v>4304</v>
      </c>
      <c r="Y96" s="312">
        <f t="shared" si="690"/>
        <v>4483</v>
      </c>
      <c r="Z96" s="312">
        <f t="shared" si="690"/>
        <v>4663</v>
      </c>
      <c r="AA96" s="312">
        <f t="shared" si="690"/>
        <v>4842</v>
      </c>
      <c r="AB96" s="312">
        <f t="shared" si="690"/>
        <v>5023</v>
      </c>
      <c r="AC96" s="312">
        <f t="shared" si="690"/>
        <v>5202</v>
      </c>
      <c r="AD96" s="312">
        <f t="shared" si="690"/>
        <v>5383</v>
      </c>
      <c r="AE96" s="312">
        <f t="shared" si="690"/>
        <v>5562</v>
      </c>
      <c r="AF96" s="312">
        <f t="shared" si="690"/>
        <v>5743</v>
      </c>
      <c r="AG96" s="312">
        <f t="shared" si="690"/>
        <v>5922</v>
      </c>
      <c r="AH96" s="312">
        <f t="shared" ref="AH96:BM96" si="691">DAYS360($B$3,AH34)</f>
        <v>6102</v>
      </c>
      <c r="AI96" s="312">
        <f t="shared" si="691"/>
        <v>6281</v>
      </c>
      <c r="AJ96" s="312">
        <f t="shared" si="691"/>
        <v>6462</v>
      </c>
      <c r="AK96" s="312">
        <f t="shared" si="691"/>
        <v>6641</v>
      </c>
      <c r="AL96" s="312">
        <f t="shared" si="691"/>
        <v>6822</v>
      </c>
      <c r="AM96" s="312">
        <f t="shared" si="691"/>
        <v>7001</v>
      </c>
      <c r="AN96" s="312">
        <f t="shared" si="691"/>
        <v>7182</v>
      </c>
      <c r="AO96" s="312">
        <f t="shared" si="691"/>
        <v>7361</v>
      </c>
      <c r="AP96" s="312">
        <f t="shared" si="691"/>
        <v>7541</v>
      </c>
      <c r="AQ96" s="312">
        <f t="shared" si="691"/>
        <v>7720</v>
      </c>
      <c r="AR96" s="312">
        <f t="shared" si="691"/>
        <v>7901</v>
      </c>
      <c r="AS96" s="312">
        <f t="shared" si="691"/>
        <v>8080</v>
      </c>
      <c r="AT96" s="312">
        <f t="shared" si="691"/>
        <v>8261</v>
      </c>
      <c r="AU96" s="312">
        <f t="shared" si="691"/>
        <v>8440</v>
      </c>
      <c r="AV96" s="312">
        <f t="shared" si="691"/>
        <v>8621</v>
      </c>
      <c r="AW96" s="312">
        <f t="shared" si="691"/>
        <v>8800</v>
      </c>
      <c r="AX96" s="312">
        <f t="shared" si="691"/>
        <v>8980</v>
      </c>
      <c r="AY96" s="312">
        <f t="shared" si="691"/>
        <v>9159</v>
      </c>
      <c r="AZ96" s="312">
        <f t="shared" si="691"/>
        <v>9340</v>
      </c>
      <c r="BA96" s="312">
        <f t="shared" si="691"/>
        <v>9519</v>
      </c>
      <c r="BB96" s="312">
        <f t="shared" si="691"/>
        <v>9700</v>
      </c>
      <c r="BC96" s="312">
        <f t="shared" si="691"/>
        <v>9879</v>
      </c>
      <c r="BD96" s="312">
        <f t="shared" si="691"/>
        <v>10060</v>
      </c>
      <c r="BE96" s="312">
        <f t="shared" si="691"/>
        <v>10239</v>
      </c>
      <c r="BF96" s="312">
        <f t="shared" si="691"/>
        <v>10419</v>
      </c>
      <c r="BG96" s="312">
        <f t="shared" si="691"/>
        <v>10598</v>
      </c>
      <c r="BH96" s="312">
        <f t="shared" si="691"/>
        <v>10779</v>
      </c>
      <c r="BI96" s="312">
        <f t="shared" si="691"/>
        <v>10958</v>
      </c>
      <c r="BJ96" s="312">
        <f t="shared" si="691"/>
        <v>11139</v>
      </c>
      <c r="BK96" s="312">
        <f t="shared" si="691"/>
        <v>11318</v>
      </c>
      <c r="BL96" s="312">
        <f t="shared" si="691"/>
        <v>11499</v>
      </c>
      <c r="BM96" s="312">
        <f t="shared" si="691"/>
        <v>11678</v>
      </c>
      <c r="BN96" s="312">
        <f t="shared" ref="BN96:CB96" si="692">DAYS360($B$3,BN34)</f>
        <v>11858</v>
      </c>
      <c r="BO96" s="312">
        <f t="shared" si="692"/>
        <v>12037</v>
      </c>
      <c r="BP96" s="312">
        <f t="shared" si="692"/>
        <v>12218</v>
      </c>
      <c r="BQ96" s="312">
        <f t="shared" si="692"/>
        <v>12397</v>
      </c>
      <c r="BR96" s="312">
        <f t="shared" si="692"/>
        <v>12578</v>
      </c>
      <c r="BS96" s="312">
        <f t="shared" si="692"/>
        <v>12757</v>
      </c>
      <c r="BT96" s="312">
        <f t="shared" si="692"/>
        <v>12938</v>
      </c>
      <c r="BU96" s="312">
        <f t="shared" si="692"/>
        <v>13117</v>
      </c>
      <c r="BV96" s="312">
        <f t="shared" si="692"/>
        <v>13297</v>
      </c>
      <c r="BW96" s="312">
        <f t="shared" si="692"/>
        <v>13476</v>
      </c>
      <c r="BX96" s="312">
        <f t="shared" si="692"/>
        <v>13657</v>
      </c>
      <c r="BY96" s="312">
        <f t="shared" si="692"/>
        <v>13836</v>
      </c>
      <c r="BZ96" s="312">
        <f t="shared" si="692"/>
        <v>14017</v>
      </c>
      <c r="CA96" s="312">
        <f t="shared" si="692"/>
        <v>14196</v>
      </c>
      <c r="CB96" s="312">
        <f t="shared" si="692"/>
        <v>14377</v>
      </c>
    </row>
    <row r="97" spans="1:80">
      <c r="A97" s="311" t="s">
        <v>41</v>
      </c>
      <c r="B97" s="312">
        <f>B96/360</f>
        <v>0.96111111111111114</v>
      </c>
      <c r="C97" s="312">
        <f t="shared" ref="C97:BN97" si="693">C96/360</f>
        <v>1.4583333333333333</v>
      </c>
      <c r="D97" s="312">
        <f t="shared" si="693"/>
        <v>1.961111111111111</v>
      </c>
      <c r="E97" s="312">
        <f t="shared" si="693"/>
        <v>2.4583333333333335</v>
      </c>
      <c r="F97" s="312">
        <f t="shared" si="693"/>
        <v>2.9611111111111112</v>
      </c>
      <c r="G97" s="312">
        <f t="shared" si="693"/>
        <v>3.4583333333333335</v>
      </c>
      <c r="H97" s="312">
        <f t="shared" si="693"/>
        <v>3.9611111111111112</v>
      </c>
      <c r="I97" s="312">
        <f t="shared" si="693"/>
        <v>4.458333333333333</v>
      </c>
      <c r="J97" s="312">
        <f t="shared" si="693"/>
        <v>4.958333333333333</v>
      </c>
      <c r="K97" s="312">
        <f t="shared" si="693"/>
        <v>5.4555555555555557</v>
      </c>
      <c r="L97" s="312">
        <f t="shared" si="693"/>
        <v>5.958333333333333</v>
      </c>
      <c r="M97" s="312">
        <f t="shared" si="693"/>
        <v>6.4555555555555557</v>
      </c>
      <c r="N97" s="312">
        <f t="shared" si="693"/>
        <v>6.958333333333333</v>
      </c>
      <c r="O97" s="312">
        <f t="shared" si="693"/>
        <v>7.4555555555555557</v>
      </c>
      <c r="P97" s="312">
        <f t="shared" si="693"/>
        <v>7.958333333333333</v>
      </c>
      <c r="Q97" s="312">
        <f t="shared" si="693"/>
        <v>8.4555555555555557</v>
      </c>
      <c r="R97" s="312">
        <f t="shared" si="693"/>
        <v>8.9555555555555557</v>
      </c>
      <c r="S97" s="312">
        <f t="shared" si="693"/>
        <v>9.4527777777777775</v>
      </c>
      <c r="T97" s="312">
        <f t="shared" si="693"/>
        <v>9.9555555555555557</v>
      </c>
      <c r="U97" s="312">
        <f t="shared" si="693"/>
        <v>10.452777777777778</v>
      </c>
      <c r="V97" s="312">
        <f t="shared" si="693"/>
        <v>10.955555555555556</v>
      </c>
      <c r="W97" s="312">
        <f t="shared" si="693"/>
        <v>11.452777777777778</v>
      </c>
      <c r="X97" s="312">
        <f t="shared" si="693"/>
        <v>11.955555555555556</v>
      </c>
      <c r="Y97" s="312">
        <f t="shared" si="693"/>
        <v>12.452777777777778</v>
      </c>
      <c r="Z97" s="312">
        <f t="shared" si="693"/>
        <v>12.952777777777778</v>
      </c>
      <c r="AA97" s="312">
        <f t="shared" si="693"/>
        <v>13.45</v>
      </c>
      <c r="AB97" s="312">
        <f t="shared" si="693"/>
        <v>13.952777777777778</v>
      </c>
      <c r="AC97" s="312">
        <f t="shared" si="693"/>
        <v>14.45</v>
      </c>
      <c r="AD97" s="312">
        <f t="shared" si="693"/>
        <v>14.952777777777778</v>
      </c>
      <c r="AE97" s="312">
        <f t="shared" si="693"/>
        <v>15.45</v>
      </c>
      <c r="AF97" s="312">
        <f t="shared" si="693"/>
        <v>15.952777777777778</v>
      </c>
      <c r="AG97" s="312">
        <f t="shared" si="693"/>
        <v>16.45</v>
      </c>
      <c r="AH97" s="312">
        <f t="shared" si="693"/>
        <v>16.95</v>
      </c>
      <c r="AI97" s="312">
        <f t="shared" si="693"/>
        <v>17.447222222222223</v>
      </c>
      <c r="AJ97" s="312">
        <f t="shared" si="693"/>
        <v>17.95</v>
      </c>
      <c r="AK97" s="312">
        <f t="shared" si="693"/>
        <v>18.447222222222223</v>
      </c>
      <c r="AL97" s="312">
        <f t="shared" si="693"/>
        <v>18.95</v>
      </c>
      <c r="AM97" s="312">
        <f t="shared" si="693"/>
        <v>19.447222222222223</v>
      </c>
      <c r="AN97" s="312">
        <f t="shared" si="693"/>
        <v>19.95</v>
      </c>
      <c r="AO97" s="312">
        <f t="shared" si="693"/>
        <v>20.447222222222223</v>
      </c>
      <c r="AP97" s="312">
        <f t="shared" si="693"/>
        <v>20.947222222222223</v>
      </c>
      <c r="AQ97" s="312">
        <f t="shared" si="693"/>
        <v>21.444444444444443</v>
      </c>
      <c r="AR97" s="312">
        <f t="shared" si="693"/>
        <v>21.947222222222223</v>
      </c>
      <c r="AS97" s="312">
        <f t="shared" si="693"/>
        <v>22.444444444444443</v>
      </c>
      <c r="AT97" s="312">
        <f t="shared" si="693"/>
        <v>22.947222222222223</v>
      </c>
      <c r="AU97" s="312">
        <f t="shared" si="693"/>
        <v>23.444444444444443</v>
      </c>
      <c r="AV97" s="312">
        <f t="shared" si="693"/>
        <v>23.947222222222223</v>
      </c>
      <c r="AW97" s="312">
        <f t="shared" si="693"/>
        <v>24.444444444444443</v>
      </c>
      <c r="AX97" s="312">
        <f t="shared" si="693"/>
        <v>24.944444444444443</v>
      </c>
      <c r="AY97" s="312">
        <f t="shared" si="693"/>
        <v>25.441666666666666</v>
      </c>
      <c r="AZ97" s="312">
        <f t="shared" si="693"/>
        <v>25.944444444444443</v>
      </c>
      <c r="BA97" s="312">
        <f t="shared" si="693"/>
        <v>26.441666666666666</v>
      </c>
      <c r="BB97" s="312">
        <f t="shared" si="693"/>
        <v>26.944444444444443</v>
      </c>
      <c r="BC97" s="312">
        <f t="shared" si="693"/>
        <v>27.441666666666666</v>
      </c>
      <c r="BD97" s="312">
        <f t="shared" si="693"/>
        <v>27.944444444444443</v>
      </c>
      <c r="BE97" s="312">
        <f t="shared" si="693"/>
        <v>28.441666666666666</v>
      </c>
      <c r="BF97" s="312">
        <f t="shared" si="693"/>
        <v>28.941666666666666</v>
      </c>
      <c r="BG97" s="312">
        <f t="shared" si="693"/>
        <v>29.43888888888889</v>
      </c>
      <c r="BH97" s="312">
        <f t="shared" si="693"/>
        <v>29.941666666666666</v>
      </c>
      <c r="BI97" s="312">
        <f t="shared" si="693"/>
        <v>30.43888888888889</v>
      </c>
      <c r="BJ97" s="312">
        <f t="shared" si="693"/>
        <v>30.941666666666666</v>
      </c>
      <c r="BK97" s="312">
        <f t="shared" si="693"/>
        <v>31.43888888888889</v>
      </c>
      <c r="BL97" s="312">
        <f t="shared" si="693"/>
        <v>31.941666666666666</v>
      </c>
      <c r="BM97" s="312">
        <f t="shared" si="693"/>
        <v>32.43888888888889</v>
      </c>
      <c r="BN97" s="312">
        <f t="shared" si="693"/>
        <v>32.93888888888889</v>
      </c>
      <c r="BO97" s="312">
        <f t="shared" ref="BO97:CB97" si="694">BO96/360</f>
        <v>33.43611111111111</v>
      </c>
      <c r="BP97" s="312">
        <f t="shared" si="694"/>
        <v>33.93888888888889</v>
      </c>
      <c r="BQ97" s="312">
        <f t="shared" si="694"/>
        <v>34.43611111111111</v>
      </c>
      <c r="BR97" s="312">
        <f t="shared" si="694"/>
        <v>34.93888888888889</v>
      </c>
      <c r="BS97" s="312">
        <f t="shared" si="694"/>
        <v>35.43611111111111</v>
      </c>
      <c r="BT97" s="312">
        <f t="shared" si="694"/>
        <v>35.93888888888889</v>
      </c>
      <c r="BU97" s="312">
        <f t="shared" si="694"/>
        <v>36.43611111111111</v>
      </c>
      <c r="BV97" s="312">
        <f t="shared" si="694"/>
        <v>36.93611111111111</v>
      </c>
      <c r="BW97" s="312">
        <f t="shared" si="694"/>
        <v>37.43333333333333</v>
      </c>
      <c r="BX97" s="312">
        <f t="shared" si="694"/>
        <v>37.93611111111111</v>
      </c>
      <c r="BY97" s="312">
        <f t="shared" si="694"/>
        <v>38.43333333333333</v>
      </c>
      <c r="BZ97" s="312">
        <f t="shared" si="694"/>
        <v>38.93611111111111</v>
      </c>
      <c r="CA97" s="312">
        <f t="shared" si="694"/>
        <v>39.43333333333333</v>
      </c>
      <c r="CB97" s="312">
        <f t="shared" si="694"/>
        <v>39.93611111111111</v>
      </c>
    </row>
    <row r="98" spans="1:80">
      <c r="A98" s="311" t="s">
        <v>43</v>
      </c>
      <c r="B98" s="312">
        <f>IF(B96&lt;0,0,$B$5+$B$6*((1-EXP(-B97/$B$9))/(B97/$B$9))+$B$7*((1-EXP(-B97/$B$9))/(B97/$B$9)-EXP(-B97/$B$9))+$B$8*((1-EXP(-B97/$B$10))/(B97/$B$10)-EXP(-B97/$B$10)))</f>
        <v>1.754353847358596E-2</v>
      </c>
      <c r="C98" s="312">
        <f t="shared" ref="C98:BN98" si="695">IF(C96&lt;0,0,$B$5+$B$6*((1-EXP(-C97/$B$9))/(C97/$B$9))+$B$7*((1-EXP(-C97/$B$9))/(C97/$B$9)-EXP(-C97/$B$9))+$B$8*((1-EXP(-C97/$B$10))/(C97/$B$10)-EXP(-C97/$B$10)))</f>
        <v>1.7601416355773572E-2</v>
      </c>
      <c r="D98" s="312">
        <f t="shared" si="695"/>
        <v>1.7673944323461241E-2</v>
      </c>
      <c r="E98" s="312">
        <f t="shared" si="695"/>
        <v>1.7758540493889918E-2</v>
      </c>
      <c r="F98" s="312">
        <f t="shared" si="695"/>
        <v>1.7856153012885054E-2</v>
      </c>
      <c r="G98" s="312">
        <f t="shared" si="695"/>
        <v>1.796374471462292E-2</v>
      </c>
      <c r="H98" s="312">
        <f t="shared" si="695"/>
        <v>1.8082873753430484E-2</v>
      </c>
      <c r="I98" s="312">
        <f t="shared" si="695"/>
        <v>1.8210117999873765E-2</v>
      </c>
      <c r="J98" s="312">
        <f t="shared" si="695"/>
        <v>1.8346780286539438E-2</v>
      </c>
      <c r="K98" s="312">
        <f t="shared" si="695"/>
        <v>1.8490638478948357E-2</v>
      </c>
      <c r="L98" s="312">
        <f t="shared" si="695"/>
        <v>1.8643493268420769E-2</v>
      </c>
      <c r="M98" s="312">
        <f t="shared" si="695"/>
        <v>1.8801334893982002E-2</v>
      </c>
      <c r="N98" s="312">
        <f t="shared" si="695"/>
        <v>1.8967084947096285E-2</v>
      </c>
      <c r="O98" s="312">
        <f t="shared" si="695"/>
        <v>1.9136517188136914E-2</v>
      </c>
      <c r="P98" s="312">
        <f t="shared" si="695"/>
        <v>1.9312878492404012E-2</v>
      </c>
      <c r="Q98" s="312">
        <f t="shared" si="695"/>
        <v>1.9491770346728193E-2</v>
      </c>
      <c r="R98" s="312">
        <f t="shared" si="695"/>
        <v>1.9675679058537815E-2</v>
      </c>
      <c r="S98" s="312">
        <f t="shared" si="695"/>
        <v>1.9862118607293644E-2</v>
      </c>
      <c r="T98" s="312">
        <f t="shared" si="695"/>
        <v>2.0053819594138156E-2</v>
      </c>
      <c r="U98" s="312">
        <f t="shared" si="695"/>
        <v>2.0246151960248704E-2</v>
      </c>
      <c r="V98" s="312">
        <f t="shared" si="695"/>
        <v>2.0443038260230806E-2</v>
      </c>
      <c r="W98" s="312">
        <f t="shared" si="695"/>
        <v>2.0639780110791039E-2</v>
      </c>
      <c r="X98" s="312">
        <f t="shared" si="695"/>
        <v>2.0840443239466655E-2</v>
      </c>
      <c r="Y98" s="312">
        <f t="shared" si="695"/>
        <v>2.1040287587833717E-2</v>
      </c>
      <c r="Z98" s="312">
        <f t="shared" si="695"/>
        <v>2.1242363246302742E-2</v>
      </c>
      <c r="AA98" s="312">
        <f t="shared" si="695"/>
        <v>2.1444158297070248E-2</v>
      </c>
      <c r="AB98" s="312">
        <f t="shared" si="695"/>
        <v>2.1648808112077367E-2</v>
      </c>
      <c r="AC98" s="312">
        <f t="shared" si="695"/>
        <v>2.1851556072999878E-2</v>
      </c>
      <c r="AD98" s="312">
        <f t="shared" si="695"/>
        <v>2.2056711304147048E-2</v>
      </c>
      <c r="AE98" s="312">
        <f t="shared" si="695"/>
        <v>2.2259536546018588E-2</v>
      </c>
      <c r="AF98" s="312">
        <f t="shared" si="695"/>
        <v>2.2464372012601652E-2</v>
      </c>
      <c r="AG98" s="312">
        <f t="shared" si="695"/>
        <v>2.2666514917051794E-2</v>
      </c>
      <c r="AH98" s="312">
        <f t="shared" si="695"/>
        <v>2.2869192532064708E-2</v>
      </c>
      <c r="AI98" s="312">
        <f t="shared" si="695"/>
        <v>2.3070002079832341E-2</v>
      </c>
      <c r="AJ98" s="312">
        <f t="shared" si="695"/>
        <v>2.3272160794666708E-2</v>
      </c>
      <c r="AK98" s="312">
        <f t="shared" si="695"/>
        <v>2.3471071525916543E-2</v>
      </c>
      <c r="AL98" s="312">
        <f t="shared" si="695"/>
        <v>2.3671057964557318E-2</v>
      </c>
      <c r="AM98" s="312">
        <f t="shared" si="695"/>
        <v>2.3867590599561783E-2</v>
      </c>
      <c r="AN98" s="312">
        <f t="shared" si="695"/>
        <v>2.4064958798343361E-2</v>
      </c>
      <c r="AO98" s="312">
        <f t="shared" si="695"/>
        <v>2.425870841319655E-2</v>
      </c>
      <c r="AP98" s="312">
        <f t="shared" si="695"/>
        <v>2.4452013883627111E-2</v>
      </c>
      <c r="AQ98" s="312">
        <f t="shared" si="695"/>
        <v>2.4642650857121418E-2</v>
      </c>
      <c r="AR98" s="312">
        <f t="shared" si="695"/>
        <v>2.4833730297023238E-2</v>
      </c>
      <c r="AS98" s="312">
        <f t="shared" si="695"/>
        <v>2.5020966389447286E-2</v>
      </c>
      <c r="AT98" s="312">
        <f t="shared" si="695"/>
        <v>2.5208485580690332E-2</v>
      </c>
      <c r="AU98" s="312">
        <f t="shared" si="695"/>
        <v>2.5392092982425729E-2</v>
      </c>
      <c r="AV98" s="312">
        <f t="shared" si="695"/>
        <v>2.5575845639095485E-2</v>
      </c>
      <c r="AW98" s="312">
        <f t="shared" si="695"/>
        <v>2.5755642720073302E-2</v>
      </c>
      <c r="AX98" s="312">
        <f t="shared" si="695"/>
        <v>2.5934478467582178E-2</v>
      </c>
      <c r="AY98" s="312">
        <f t="shared" si="695"/>
        <v>2.6110335481312086E-2</v>
      </c>
      <c r="AZ98" s="312">
        <f t="shared" si="695"/>
        <v>2.6286117904124384E-2</v>
      </c>
      <c r="BA98" s="312">
        <f t="shared" si="695"/>
        <v>2.6457918929750024E-2</v>
      </c>
      <c r="BB98" s="312">
        <f t="shared" si="695"/>
        <v>2.6629559093498512E-2</v>
      </c>
      <c r="BC98" s="312">
        <f t="shared" si="695"/>
        <v>2.6797230467438593E-2</v>
      </c>
      <c r="BD98" s="312">
        <f t="shared" si="695"/>
        <v>2.6964668262945968E-2</v>
      </c>
      <c r="BE98" s="312">
        <f t="shared" si="695"/>
        <v>2.7128163823618129E-2</v>
      </c>
      <c r="BF98" s="312">
        <f t="shared" si="695"/>
        <v>2.7290469307555326E-2</v>
      </c>
      <c r="BG98" s="312">
        <f t="shared" si="695"/>
        <v>2.7449778515822143E-2</v>
      </c>
      <c r="BH98" s="312">
        <f t="shared" si="695"/>
        <v>2.7608743503821642E-2</v>
      </c>
      <c r="BI98" s="312">
        <f t="shared" si="695"/>
        <v>2.7763853222402907E-2</v>
      </c>
      <c r="BJ98" s="312">
        <f t="shared" si="695"/>
        <v>2.7918578012207068E-2</v>
      </c>
      <c r="BK98" s="312">
        <f t="shared" si="695"/>
        <v>2.8069504673099599E-2</v>
      </c>
      <c r="BL98" s="312">
        <f t="shared" si="695"/>
        <v>2.8220013961669177E-2</v>
      </c>
      <c r="BM98" s="312">
        <f t="shared" si="695"/>
        <v>2.8366789381915808E-2</v>
      </c>
      <c r="BN98" s="312">
        <f t="shared" si="695"/>
        <v>2.8512319504294531E-2</v>
      </c>
      <c r="BO98" s="312">
        <f t="shared" ref="BO98:CB98" si="696">IF(BO96&lt;0,0,$B$5+$B$6*((1-EXP(-BO97/$B$9))/(BO97/$B$9))+$B$7*((1-EXP(-BO97/$B$9))/(BO97/$B$9)-EXP(-BO97/$B$9))+$B$8*((1-EXP(-BO97/$B$10))/(BO97/$B$10)-EXP(-BO97/$B$10)))</f>
        <v>2.8654999951235272E-2</v>
      </c>
      <c r="BP98" s="312">
        <f t="shared" si="696"/>
        <v>2.8797219049992301E-2</v>
      </c>
      <c r="BQ98" s="312">
        <f t="shared" si="696"/>
        <v>2.8935849052331569E-2</v>
      </c>
      <c r="BR98" s="312">
        <f t="shared" si="696"/>
        <v>2.9074004401407005E-2</v>
      </c>
      <c r="BS98" s="312">
        <f t="shared" si="696"/>
        <v>2.9208649270836912E-2</v>
      </c>
      <c r="BT98" s="312">
        <f t="shared" si="696"/>
        <v>2.9342811002088937E-2</v>
      </c>
      <c r="BU98" s="312">
        <f t="shared" si="696"/>
        <v>2.9473543767433608E-2</v>
      </c>
      <c r="BV98" s="312">
        <f t="shared" si="696"/>
        <v>2.9603074838713717E-2</v>
      </c>
      <c r="BW98" s="312">
        <f t="shared" si="696"/>
        <v>2.9729985369671169E-2</v>
      </c>
      <c r="BX98" s="312">
        <f t="shared" si="696"/>
        <v>2.9856407730219914E-2</v>
      </c>
      <c r="BY98" s="312">
        <f t="shared" si="696"/>
        <v>2.9979569658723587E-2</v>
      </c>
      <c r="BZ98" s="312">
        <f t="shared" si="696"/>
        <v>3.0102245771930713E-2</v>
      </c>
      <c r="CA98" s="312">
        <f t="shared" si="696"/>
        <v>3.0221747464123622E-2</v>
      </c>
      <c r="CB98" s="312">
        <f t="shared" si="696"/>
        <v>3.0340768320264888E-2</v>
      </c>
    </row>
    <row r="99" spans="1:80">
      <c r="A99" s="311" t="s">
        <v>44</v>
      </c>
      <c r="B99" s="312">
        <f>EXP(-B98*B97)</f>
        <v>0.9832800661946508</v>
      </c>
      <c r="C99" s="312">
        <f t="shared" ref="C99" si="697">EXP(-C98*C97)</f>
        <v>0.97465790893134518</v>
      </c>
      <c r="D99" s="312">
        <f t="shared" ref="D99:AR99" si="698">EXP(-D98*D97)</f>
        <v>0.96593322869737996</v>
      </c>
      <c r="E99" s="312">
        <f t="shared" si="698"/>
        <v>0.95728281181591135</v>
      </c>
      <c r="F99" s="312">
        <f t="shared" si="698"/>
        <v>0.94849946553834064</v>
      </c>
      <c r="G99" s="312">
        <f t="shared" si="698"/>
        <v>0.93976576857323535</v>
      </c>
      <c r="H99" s="312">
        <f t="shared" si="698"/>
        <v>0.93087686436371087</v>
      </c>
      <c r="I99" s="312">
        <f t="shared" si="698"/>
        <v>0.92202146380386707</v>
      </c>
      <c r="J99" s="312">
        <f t="shared" si="698"/>
        <v>0.91304560195831075</v>
      </c>
      <c r="K99" s="312">
        <f t="shared" si="698"/>
        <v>0.90404448974649998</v>
      </c>
      <c r="L99" s="312">
        <f t="shared" si="698"/>
        <v>0.89486344533654238</v>
      </c>
      <c r="M99" s="312">
        <f t="shared" si="698"/>
        <v>0.88570347570609365</v>
      </c>
      <c r="N99" s="312">
        <f t="shared" si="698"/>
        <v>0.87635913603090609</v>
      </c>
      <c r="O99" s="312">
        <f t="shared" si="698"/>
        <v>0.8670372255877099</v>
      </c>
      <c r="P99" s="312">
        <f t="shared" si="698"/>
        <v>0.85753067784562864</v>
      </c>
      <c r="Q99" s="312">
        <f t="shared" si="698"/>
        <v>0.84805164150531553</v>
      </c>
      <c r="R99" s="312">
        <f t="shared" si="698"/>
        <v>0.83844471181778346</v>
      </c>
      <c r="S99" s="312">
        <f t="shared" si="698"/>
        <v>0.82882006887770465</v>
      </c>
      <c r="T99" s="312">
        <f t="shared" si="698"/>
        <v>0.81901988560935246</v>
      </c>
      <c r="U99" s="312">
        <f t="shared" si="698"/>
        <v>0.80926526169269741</v>
      </c>
      <c r="V99" s="312">
        <f t="shared" si="698"/>
        <v>0.79934323767702631</v>
      </c>
      <c r="W99" s="312">
        <f t="shared" si="698"/>
        <v>0.78947839191388591</v>
      </c>
      <c r="X99" s="312">
        <f t="shared" si="698"/>
        <v>0.77945597004211276</v>
      </c>
      <c r="Y99" s="312">
        <f t="shared" si="698"/>
        <v>0.76950330885047613</v>
      </c>
      <c r="Z99" s="312">
        <f t="shared" si="698"/>
        <v>0.75946001059964041</v>
      </c>
      <c r="AA99" s="312">
        <f t="shared" si="698"/>
        <v>0.74944381384784375</v>
      </c>
      <c r="AB99" s="312">
        <f t="shared" si="698"/>
        <v>0.73929296018050406</v>
      </c>
      <c r="AC99" s="312">
        <f t="shared" si="698"/>
        <v>0.72923810236832509</v>
      </c>
      <c r="AD99" s="312">
        <f t="shared" si="698"/>
        <v>0.71906098717530387</v>
      </c>
      <c r="AE99" s="312">
        <f t="shared" si="698"/>
        <v>0.70899284822121256</v>
      </c>
      <c r="AF99" s="312">
        <f t="shared" si="698"/>
        <v>0.69881507054470993</v>
      </c>
      <c r="AG99" s="312">
        <f t="shared" si="698"/>
        <v>0.6887587803301668</v>
      </c>
      <c r="AH99" s="312">
        <f t="shared" si="698"/>
        <v>0.6786614929126813</v>
      </c>
      <c r="AI99" s="312">
        <f t="shared" si="698"/>
        <v>0.66864135555434778</v>
      </c>
      <c r="AJ99" s="312">
        <f t="shared" si="698"/>
        <v>0.65853652901864157</v>
      </c>
      <c r="AK99" s="312">
        <f t="shared" si="698"/>
        <v>0.64857601059545689</v>
      </c>
      <c r="AL99" s="312">
        <f t="shared" si="698"/>
        <v>0.63854281610483732</v>
      </c>
      <c r="AM99" s="312">
        <f t="shared" si="698"/>
        <v>0.62866400499705433</v>
      </c>
      <c r="AN99" s="312">
        <f t="shared" si="698"/>
        <v>0.61872403598324444</v>
      </c>
      <c r="AO99" s="312">
        <f t="shared" si="698"/>
        <v>0.60894751226182675</v>
      </c>
      <c r="AP99" s="312">
        <f t="shared" si="698"/>
        <v>0.59917488097073535</v>
      </c>
      <c r="AQ99" s="312">
        <f t="shared" si="698"/>
        <v>0.58951921903626225</v>
      </c>
      <c r="AR99" s="312">
        <f t="shared" si="698"/>
        <v>0.57982357808065355</v>
      </c>
      <c r="AS99" s="312">
        <f>EXP(-AS98*AS97)</f>
        <v>0.57030630227491408</v>
      </c>
      <c r="AT99" s="312">
        <f t="shared" ref="AT99:CA99" si="699">EXP(-AT98*AT97)</f>
        <v>0.56075862724775116</v>
      </c>
      <c r="AU99" s="312">
        <f t="shared" si="699"/>
        <v>0.55139518472080473</v>
      </c>
      <c r="AV99" s="312">
        <f t="shared" si="699"/>
        <v>0.54201019972395681</v>
      </c>
      <c r="AW99" s="312">
        <f t="shared" si="699"/>
        <v>0.53281426972282564</v>
      </c>
      <c r="AX99" s="312">
        <f t="shared" si="699"/>
        <v>0.52365555042236889</v>
      </c>
      <c r="AY99" s="312">
        <f t="shared" si="699"/>
        <v>0.51463855901465461</v>
      </c>
      <c r="AZ99" s="312">
        <f t="shared" si="699"/>
        <v>0.50561552748028082</v>
      </c>
      <c r="BA99" s="312">
        <f t="shared" si="699"/>
        <v>0.49678821372312532</v>
      </c>
      <c r="BB99" s="312">
        <f t="shared" si="699"/>
        <v>0.48796154592159202</v>
      </c>
      <c r="BC99" s="312">
        <f t="shared" si="699"/>
        <v>0.47933254880525522</v>
      </c>
      <c r="BD99" s="312">
        <f t="shared" si="699"/>
        <v>0.47071019374880418</v>
      </c>
      <c r="BE99" s="312">
        <f t="shared" si="699"/>
        <v>0.46228661903012963</v>
      </c>
      <c r="BF99" s="312">
        <f t="shared" si="699"/>
        <v>0.45392119927884683</v>
      </c>
      <c r="BG99" s="312">
        <f t="shared" si="699"/>
        <v>0.44570812040605773</v>
      </c>
      <c r="BH99" s="312">
        <f t="shared" si="699"/>
        <v>0.43751171557890928</v>
      </c>
      <c r="BI99" s="312">
        <f t="shared" si="699"/>
        <v>0.42951404238573876</v>
      </c>
      <c r="BJ99" s="312">
        <f t="shared" si="699"/>
        <v>0.42153716397786906</v>
      </c>
      <c r="BK99" s="312">
        <f t="shared" si="699"/>
        <v>0.41375799112349748</v>
      </c>
      <c r="BL99" s="312">
        <f t="shared" si="699"/>
        <v>0.40600318308824163</v>
      </c>
      <c r="BM99" s="312">
        <f t="shared" si="699"/>
        <v>0.39844447363400665</v>
      </c>
      <c r="BN99" s="312">
        <f t="shared" si="699"/>
        <v>0.39095448824715473</v>
      </c>
      <c r="BO99" s="312">
        <f t="shared" si="699"/>
        <v>0.38361656179438441</v>
      </c>
      <c r="BP99" s="312">
        <f t="shared" si="699"/>
        <v>0.37630864135309877</v>
      </c>
      <c r="BQ99" s="312">
        <f t="shared" si="699"/>
        <v>0.3691921225718191</v>
      </c>
      <c r="BR99" s="312">
        <f t="shared" si="699"/>
        <v>0.36210776816925899</v>
      </c>
      <c r="BS99" s="312">
        <f t="shared" si="699"/>
        <v>0.35521183791116989</v>
      </c>
      <c r="BT99" s="312">
        <f t="shared" si="699"/>
        <v>0.3483498373952284</v>
      </c>
      <c r="BU99" s="312">
        <f t="shared" si="699"/>
        <v>0.34167293990511122</v>
      </c>
      <c r="BV99" s="312">
        <f t="shared" si="699"/>
        <v>0.33506777255855213</v>
      </c>
      <c r="BW99" s="312">
        <f t="shared" si="699"/>
        <v>0.32860710475086047</v>
      </c>
      <c r="BX99" s="312">
        <f t="shared" si="699"/>
        <v>0.32218286173791666</v>
      </c>
      <c r="BY99" s="312">
        <f t="shared" si="699"/>
        <v>0.31593626022695059</v>
      </c>
      <c r="BZ99" s="312">
        <f t="shared" si="699"/>
        <v>0.3097268849643548</v>
      </c>
      <c r="CA99" s="312">
        <f t="shared" si="699"/>
        <v>0.30369109117068621</v>
      </c>
      <c r="CB99" s="312">
        <f>EXP(-CB98*CB97)</f>
        <v>0.29769306847135568</v>
      </c>
    </row>
    <row r="100" spans="1:80" s="307" customFormat="1">
      <c r="A100" s="304"/>
    </row>
    <row r="101" spans="1:80">
      <c r="A101" s="311" t="s">
        <v>40</v>
      </c>
      <c r="B101" s="312">
        <f t="shared" ref="B101:AG101" si="700">DAYS360($B$3,B36)</f>
        <v>179</v>
      </c>
      <c r="C101" s="312">
        <f t="shared" si="700"/>
        <v>358</v>
      </c>
      <c r="D101" s="312">
        <f t="shared" si="700"/>
        <v>538</v>
      </c>
      <c r="E101" s="312">
        <f t="shared" si="700"/>
        <v>718</v>
      </c>
      <c r="F101" s="312">
        <f t="shared" si="700"/>
        <v>898</v>
      </c>
      <c r="G101" s="312">
        <f t="shared" si="700"/>
        <v>1078</v>
      </c>
      <c r="H101" s="312">
        <f t="shared" si="700"/>
        <v>1258</v>
      </c>
      <c r="I101" s="312">
        <f t="shared" si="700"/>
        <v>1438</v>
      </c>
      <c r="J101" s="312">
        <f t="shared" si="700"/>
        <v>1618</v>
      </c>
      <c r="K101" s="312">
        <f t="shared" si="700"/>
        <v>1797</v>
      </c>
      <c r="L101" s="312">
        <f t="shared" si="700"/>
        <v>1977</v>
      </c>
      <c r="M101" s="312">
        <f t="shared" si="700"/>
        <v>2157</v>
      </c>
      <c r="N101" s="312">
        <f t="shared" si="700"/>
        <v>2337</v>
      </c>
      <c r="O101" s="312">
        <f t="shared" si="700"/>
        <v>2517</v>
      </c>
      <c r="P101" s="312">
        <f t="shared" si="700"/>
        <v>2697</v>
      </c>
      <c r="Q101" s="312">
        <f t="shared" si="700"/>
        <v>2877</v>
      </c>
      <c r="R101" s="312">
        <f t="shared" si="700"/>
        <v>3057</v>
      </c>
      <c r="S101" s="312">
        <f t="shared" si="700"/>
        <v>3236</v>
      </c>
      <c r="T101" s="312">
        <f t="shared" si="700"/>
        <v>3416</v>
      </c>
      <c r="U101" s="312">
        <f t="shared" si="700"/>
        <v>3596</v>
      </c>
      <c r="V101" s="312">
        <f t="shared" si="700"/>
        <v>3776</v>
      </c>
      <c r="W101" s="312">
        <f t="shared" si="700"/>
        <v>3956</v>
      </c>
      <c r="X101" s="312">
        <f t="shared" si="700"/>
        <v>4136</v>
      </c>
      <c r="Y101" s="312">
        <f t="shared" si="700"/>
        <v>4316</v>
      </c>
      <c r="Z101" s="312">
        <f t="shared" si="700"/>
        <v>4496</v>
      </c>
      <c r="AA101" s="312">
        <f t="shared" si="700"/>
        <v>4675</v>
      </c>
      <c r="AB101" s="312">
        <f t="shared" si="700"/>
        <v>4855</v>
      </c>
      <c r="AC101" s="312">
        <f t="shared" si="700"/>
        <v>5035</v>
      </c>
      <c r="AD101" s="312">
        <f t="shared" si="700"/>
        <v>5215</v>
      </c>
      <c r="AE101" s="312">
        <f t="shared" si="700"/>
        <v>5395</v>
      </c>
      <c r="AF101" s="312">
        <f t="shared" si="700"/>
        <v>5575</v>
      </c>
      <c r="AG101" s="312">
        <f t="shared" si="700"/>
        <v>5755</v>
      </c>
      <c r="AH101" s="312">
        <f t="shared" ref="AH101:BM101" si="701">DAYS360($B$3,AH36)</f>
        <v>5935</v>
      </c>
      <c r="AI101" s="312">
        <f t="shared" si="701"/>
        <v>6114</v>
      </c>
      <c r="AJ101" s="312">
        <f t="shared" si="701"/>
        <v>6294</v>
      </c>
      <c r="AK101" s="312">
        <f t="shared" si="701"/>
        <v>6474</v>
      </c>
      <c r="AL101" s="312">
        <f t="shared" si="701"/>
        <v>6654</v>
      </c>
      <c r="AM101" s="312">
        <f t="shared" si="701"/>
        <v>6834</v>
      </c>
      <c r="AN101" s="312">
        <f t="shared" si="701"/>
        <v>7014</v>
      </c>
      <c r="AO101" s="312">
        <f t="shared" si="701"/>
        <v>7194</v>
      </c>
      <c r="AP101" s="312">
        <f t="shared" si="701"/>
        <v>7374</v>
      </c>
      <c r="AQ101" s="312">
        <f t="shared" si="701"/>
        <v>7553</v>
      </c>
      <c r="AR101" s="312">
        <f t="shared" si="701"/>
        <v>7733</v>
      </c>
      <c r="AS101" s="312">
        <f t="shared" si="701"/>
        <v>7913</v>
      </c>
      <c r="AT101" s="312">
        <f t="shared" si="701"/>
        <v>8093</v>
      </c>
      <c r="AU101" s="312">
        <f t="shared" si="701"/>
        <v>8273</v>
      </c>
      <c r="AV101" s="312">
        <f t="shared" si="701"/>
        <v>8453</v>
      </c>
      <c r="AW101" s="312">
        <f t="shared" si="701"/>
        <v>8633</v>
      </c>
      <c r="AX101" s="312">
        <f t="shared" si="701"/>
        <v>8813</v>
      </c>
      <c r="AY101" s="312">
        <f t="shared" si="701"/>
        <v>8992</v>
      </c>
      <c r="AZ101" s="312">
        <f t="shared" si="701"/>
        <v>9172</v>
      </c>
      <c r="BA101" s="312">
        <f t="shared" si="701"/>
        <v>9352</v>
      </c>
      <c r="BB101" s="312">
        <f t="shared" si="701"/>
        <v>9532</v>
      </c>
      <c r="BC101" s="312">
        <f t="shared" si="701"/>
        <v>9712</v>
      </c>
      <c r="BD101" s="312">
        <f t="shared" si="701"/>
        <v>9892</v>
      </c>
      <c r="BE101" s="312">
        <f t="shared" si="701"/>
        <v>10072</v>
      </c>
      <c r="BF101" s="312">
        <f t="shared" si="701"/>
        <v>10252</v>
      </c>
      <c r="BG101" s="312">
        <f t="shared" si="701"/>
        <v>10431</v>
      </c>
      <c r="BH101" s="312">
        <f t="shared" si="701"/>
        <v>10611</v>
      </c>
      <c r="BI101" s="312">
        <f t="shared" si="701"/>
        <v>10791</v>
      </c>
      <c r="BJ101" s="312">
        <f t="shared" si="701"/>
        <v>10971</v>
      </c>
      <c r="BK101" s="312">
        <f t="shared" si="701"/>
        <v>11151</v>
      </c>
      <c r="BL101" s="312">
        <f t="shared" si="701"/>
        <v>11331</v>
      </c>
      <c r="BM101" s="312">
        <f t="shared" si="701"/>
        <v>11511</v>
      </c>
      <c r="BN101" s="312">
        <f t="shared" ref="BN101:CB101" si="702">DAYS360($B$3,BN36)</f>
        <v>11691</v>
      </c>
      <c r="BO101" s="312">
        <f t="shared" si="702"/>
        <v>11870</v>
      </c>
      <c r="BP101" s="312">
        <f t="shared" si="702"/>
        <v>12050</v>
      </c>
      <c r="BQ101" s="312">
        <f t="shared" si="702"/>
        <v>12230</v>
      </c>
      <c r="BR101" s="312">
        <f t="shared" si="702"/>
        <v>12410</v>
      </c>
      <c r="BS101" s="312">
        <f t="shared" si="702"/>
        <v>12590</v>
      </c>
      <c r="BT101" s="312">
        <f t="shared" si="702"/>
        <v>12770</v>
      </c>
      <c r="BU101" s="312">
        <f t="shared" si="702"/>
        <v>12950</v>
      </c>
      <c r="BV101" s="312">
        <f t="shared" si="702"/>
        <v>13130</v>
      </c>
      <c r="BW101" s="312">
        <f t="shared" si="702"/>
        <v>13309</v>
      </c>
      <c r="BX101" s="312">
        <f t="shared" si="702"/>
        <v>13489</v>
      </c>
      <c r="BY101" s="312">
        <f t="shared" si="702"/>
        <v>13669</v>
      </c>
      <c r="BZ101" s="312">
        <f t="shared" si="702"/>
        <v>13849</v>
      </c>
      <c r="CA101" s="312">
        <f t="shared" si="702"/>
        <v>14029</v>
      </c>
      <c r="CB101" s="312">
        <f t="shared" si="702"/>
        <v>14209</v>
      </c>
    </row>
    <row r="102" spans="1:80">
      <c r="A102" s="311" t="s">
        <v>41</v>
      </c>
      <c r="B102" s="312">
        <f>B101/360</f>
        <v>0.49722222222222223</v>
      </c>
      <c r="C102" s="312">
        <f t="shared" ref="C102:BN102" si="703">C101/360</f>
        <v>0.99444444444444446</v>
      </c>
      <c r="D102" s="312">
        <f t="shared" si="703"/>
        <v>1.4944444444444445</v>
      </c>
      <c r="E102" s="312">
        <f t="shared" si="703"/>
        <v>1.9944444444444445</v>
      </c>
      <c r="F102" s="312">
        <f t="shared" si="703"/>
        <v>2.4944444444444445</v>
      </c>
      <c r="G102" s="312">
        <f t="shared" si="703"/>
        <v>2.9944444444444445</v>
      </c>
      <c r="H102" s="312">
        <f t="shared" si="703"/>
        <v>3.4944444444444445</v>
      </c>
      <c r="I102" s="312">
        <f t="shared" si="703"/>
        <v>3.9944444444444445</v>
      </c>
      <c r="J102" s="312">
        <f t="shared" si="703"/>
        <v>4.4944444444444445</v>
      </c>
      <c r="K102" s="312">
        <f t="shared" si="703"/>
        <v>4.9916666666666663</v>
      </c>
      <c r="L102" s="312">
        <f t="shared" si="703"/>
        <v>5.4916666666666663</v>
      </c>
      <c r="M102" s="312">
        <f t="shared" si="703"/>
        <v>5.9916666666666663</v>
      </c>
      <c r="N102" s="312">
        <f t="shared" si="703"/>
        <v>6.4916666666666663</v>
      </c>
      <c r="O102" s="312">
        <f t="shared" si="703"/>
        <v>6.9916666666666663</v>
      </c>
      <c r="P102" s="312">
        <f t="shared" si="703"/>
        <v>7.4916666666666663</v>
      </c>
      <c r="Q102" s="312">
        <f t="shared" si="703"/>
        <v>7.9916666666666663</v>
      </c>
      <c r="R102" s="312">
        <f t="shared" si="703"/>
        <v>8.4916666666666671</v>
      </c>
      <c r="S102" s="312">
        <f t="shared" si="703"/>
        <v>8.9888888888888889</v>
      </c>
      <c r="T102" s="312">
        <f t="shared" si="703"/>
        <v>9.4888888888888889</v>
      </c>
      <c r="U102" s="312">
        <f t="shared" si="703"/>
        <v>9.9888888888888889</v>
      </c>
      <c r="V102" s="312">
        <f t="shared" si="703"/>
        <v>10.488888888888889</v>
      </c>
      <c r="W102" s="312">
        <f t="shared" si="703"/>
        <v>10.988888888888889</v>
      </c>
      <c r="X102" s="312">
        <f t="shared" si="703"/>
        <v>11.488888888888889</v>
      </c>
      <c r="Y102" s="312">
        <f t="shared" si="703"/>
        <v>11.988888888888889</v>
      </c>
      <c r="Z102" s="312">
        <f t="shared" si="703"/>
        <v>12.488888888888889</v>
      </c>
      <c r="AA102" s="312">
        <f t="shared" si="703"/>
        <v>12.986111111111111</v>
      </c>
      <c r="AB102" s="312">
        <f t="shared" si="703"/>
        <v>13.486111111111111</v>
      </c>
      <c r="AC102" s="312">
        <f t="shared" si="703"/>
        <v>13.986111111111111</v>
      </c>
      <c r="AD102" s="312">
        <f t="shared" si="703"/>
        <v>14.486111111111111</v>
      </c>
      <c r="AE102" s="312">
        <f t="shared" si="703"/>
        <v>14.986111111111111</v>
      </c>
      <c r="AF102" s="312">
        <f t="shared" si="703"/>
        <v>15.486111111111111</v>
      </c>
      <c r="AG102" s="312">
        <f t="shared" si="703"/>
        <v>15.986111111111111</v>
      </c>
      <c r="AH102" s="312">
        <f t="shared" si="703"/>
        <v>16.486111111111111</v>
      </c>
      <c r="AI102" s="312">
        <f t="shared" si="703"/>
        <v>16.983333333333334</v>
      </c>
      <c r="AJ102" s="312">
        <f t="shared" si="703"/>
        <v>17.483333333333334</v>
      </c>
      <c r="AK102" s="312">
        <f t="shared" si="703"/>
        <v>17.983333333333334</v>
      </c>
      <c r="AL102" s="312">
        <f t="shared" si="703"/>
        <v>18.483333333333334</v>
      </c>
      <c r="AM102" s="312">
        <f t="shared" si="703"/>
        <v>18.983333333333334</v>
      </c>
      <c r="AN102" s="312">
        <f t="shared" si="703"/>
        <v>19.483333333333334</v>
      </c>
      <c r="AO102" s="312">
        <f t="shared" si="703"/>
        <v>19.983333333333334</v>
      </c>
      <c r="AP102" s="312">
        <f t="shared" si="703"/>
        <v>20.483333333333334</v>
      </c>
      <c r="AQ102" s="312">
        <f t="shared" si="703"/>
        <v>20.980555555555554</v>
      </c>
      <c r="AR102" s="312">
        <f t="shared" si="703"/>
        <v>21.480555555555554</v>
      </c>
      <c r="AS102" s="312">
        <f t="shared" si="703"/>
        <v>21.980555555555554</v>
      </c>
      <c r="AT102" s="312">
        <f t="shared" si="703"/>
        <v>22.480555555555554</v>
      </c>
      <c r="AU102" s="312">
        <f t="shared" si="703"/>
        <v>22.980555555555554</v>
      </c>
      <c r="AV102" s="312">
        <f t="shared" si="703"/>
        <v>23.480555555555554</v>
      </c>
      <c r="AW102" s="312">
        <f t="shared" si="703"/>
        <v>23.980555555555554</v>
      </c>
      <c r="AX102" s="312">
        <f t="shared" si="703"/>
        <v>24.480555555555554</v>
      </c>
      <c r="AY102" s="312">
        <f t="shared" si="703"/>
        <v>24.977777777777778</v>
      </c>
      <c r="AZ102" s="312">
        <f t="shared" si="703"/>
        <v>25.477777777777778</v>
      </c>
      <c r="BA102" s="312">
        <f t="shared" si="703"/>
        <v>25.977777777777778</v>
      </c>
      <c r="BB102" s="312">
        <f t="shared" si="703"/>
        <v>26.477777777777778</v>
      </c>
      <c r="BC102" s="312">
        <f t="shared" si="703"/>
        <v>26.977777777777778</v>
      </c>
      <c r="BD102" s="312">
        <f t="shared" si="703"/>
        <v>27.477777777777778</v>
      </c>
      <c r="BE102" s="312">
        <f t="shared" si="703"/>
        <v>27.977777777777778</v>
      </c>
      <c r="BF102" s="312">
        <f t="shared" si="703"/>
        <v>28.477777777777778</v>
      </c>
      <c r="BG102" s="312">
        <f t="shared" si="703"/>
        <v>28.975000000000001</v>
      </c>
      <c r="BH102" s="312">
        <f t="shared" si="703"/>
        <v>29.475000000000001</v>
      </c>
      <c r="BI102" s="312">
        <f t="shared" si="703"/>
        <v>29.975000000000001</v>
      </c>
      <c r="BJ102" s="312">
        <f t="shared" si="703"/>
        <v>30.475000000000001</v>
      </c>
      <c r="BK102" s="312">
        <f t="shared" si="703"/>
        <v>30.975000000000001</v>
      </c>
      <c r="BL102" s="312">
        <f t="shared" si="703"/>
        <v>31.475000000000001</v>
      </c>
      <c r="BM102" s="312">
        <f t="shared" si="703"/>
        <v>31.975000000000001</v>
      </c>
      <c r="BN102" s="312">
        <f t="shared" si="703"/>
        <v>32.475000000000001</v>
      </c>
      <c r="BO102" s="312">
        <f t="shared" ref="BO102:CB102" si="704">BO101/360</f>
        <v>32.972222222222221</v>
      </c>
      <c r="BP102" s="312">
        <f t="shared" si="704"/>
        <v>33.472222222222221</v>
      </c>
      <c r="BQ102" s="312">
        <f t="shared" si="704"/>
        <v>33.972222222222221</v>
      </c>
      <c r="BR102" s="312">
        <f t="shared" si="704"/>
        <v>34.472222222222221</v>
      </c>
      <c r="BS102" s="312">
        <f t="shared" si="704"/>
        <v>34.972222222222221</v>
      </c>
      <c r="BT102" s="312">
        <f t="shared" si="704"/>
        <v>35.472222222222221</v>
      </c>
      <c r="BU102" s="312">
        <f t="shared" si="704"/>
        <v>35.972222222222221</v>
      </c>
      <c r="BV102" s="312">
        <f t="shared" si="704"/>
        <v>36.472222222222221</v>
      </c>
      <c r="BW102" s="312">
        <f t="shared" si="704"/>
        <v>36.969444444444441</v>
      </c>
      <c r="BX102" s="312">
        <f t="shared" si="704"/>
        <v>37.469444444444441</v>
      </c>
      <c r="BY102" s="312">
        <f t="shared" si="704"/>
        <v>37.969444444444441</v>
      </c>
      <c r="BZ102" s="312">
        <f t="shared" si="704"/>
        <v>38.469444444444441</v>
      </c>
      <c r="CA102" s="312">
        <f t="shared" si="704"/>
        <v>38.969444444444441</v>
      </c>
      <c r="CB102" s="312">
        <f t="shared" si="704"/>
        <v>39.469444444444441</v>
      </c>
    </row>
    <row r="103" spans="1:80">
      <c r="A103" s="311" t="s">
        <v>43</v>
      </c>
      <c r="B103" s="312">
        <f>IF(B101&lt;0,0,$B$5+$B$6*((1-EXP(-B102/$B$9))/(B102/$B$9))+$B$7*((1-EXP(-B102/$B$9))/(B102/$B$9)-EXP(-B102/$B$9))+$B$8*((1-EXP(-B102/$B$10))/(B102/$B$10)-EXP(-B102/$B$10)))</f>
        <v>1.7502862313720696E-2</v>
      </c>
      <c r="C103" s="312">
        <f t="shared" ref="C103:BN103" si="705">IF(C101&lt;0,0,$B$5+$B$6*((1-EXP(-C102/$B$9))/(C102/$B$9))+$B$7*((1-EXP(-C102/$B$9))/(C102/$B$9)-EXP(-C102/$B$9))+$B$8*((1-EXP(-C102/$B$10))/(C102/$B$10)-EXP(-C102/$B$10)))</f>
        <v>1.7546967450880857E-2</v>
      </c>
      <c r="D103" s="312">
        <f t="shared" si="705"/>
        <v>1.7606168310098716E-2</v>
      </c>
      <c r="E103" s="312">
        <f t="shared" si="705"/>
        <v>1.76792259527392E-2</v>
      </c>
      <c r="F103" s="312">
        <f t="shared" si="705"/>
        <v>1.7765157643877205E-2</v>
      </c>
      <c r="G103" s="312">
        <f t="shared" si="705"/>
        <v>1.7863031510095551E-2</v>
      </c>
      <c r="H103" s="312">
        <f t="shared" si="705"/>
        <v>1.797196431746359E-2</v>
      </c>
      <c r="I103" s="312">
        <f t="shared" si="705"/>
        <v>1.8091119328452671E-2</v>
      </c>
      <c r="J103" s="312">
        <f t="shared" si="705"/>
        <v>1.821970423619132E-2</v>
      </c>
      <c r="K103" s="312">
        <f t="shared" si="705"/>
        <v>1.8356183934990222E-2</v>
      </c>
      <c r="L103" s="312">
        <f t="shared" si="705"/>
        <v>1.8501377167633337E-2</v>
      </c>
      <c r="M103" s="312">
        <f t="shared" si="705"/>
        <v>1.865387404949112E-2</v>
      </c>
      <c r="N103" s="312">
        <f t="shared" si="705"/>
        <v>1.8813040625260291E-2</v>
      </c>
      <c r="O103" s="312">
        <f t="shared" si="705"/>
        <v>1.8978278150209832E-2</v>
      </c>
      <c r="P103" s="312">
        <f t="shared" si="705"/>
        <v>1.9149021451111803E-2</v>
      </c>
      <c r="Q103" s="312">
        <f t="shared" si="705"/>
        <v>1.9324737351885779E-2</v>
      </c>
      <c r="R103" s="312">
        <f t="shared" si="705"/>
        <v>1.9504923162076193E-2</v>
      </c>
      <c r="S103" s="312">
        <f t="shared" si="705"/>
        <v>1.9688071785022576E-2</v>
      </c>
      <c r="T103" s="312">
        <f t="shared" si="705"/>
        <v>1.9875785550960645E-2</v>
      </c>
      <c r="U103" s="312">
        <f t="shared" si="705"/>
        <v>2.0066632117908378E-2</v>
      </c>
      <c r="V103" s="312">
        <f t="shared" si="705"/>
        <v>2.0260216678095133E-2</v>
      </c>
      <c r="W103" s="312">
        <f t="shared" si="705"/>
        <v>2.0456168235481353E-2</v>
      </c>
      <c r="X103" s="312">
        <f t="shared" si="705"/>
        <v>2.0654138431910052E-2</v>
      </c>
      <c r="Y103" s="312">
        <f t="shared" si="705"/>
        <v>2.0853800423269342E-2</v>
      </c>
      <c r="Z103" s="312">
        <f t="shared" si="705"/>
        <v>2.105484780392769E-2</v>
      </c>
      <c r="AA103" s="312">
        <f t="shared" si="705"/>
        <v>2.1255868012983292E-2</v>
      </c>
      <c r="AB103" s="312">
        <f t="shared" si="705"/>
        <v>2.1458839708444366E-2</v>
      </c>
      <c r="AC103" s="312">
        <f t="shared" si="705"/>
        <v>2.1662391488464439E-2</v>
      </c>
      <c r="AD103" s="312">
        <f t="shared" si="705"/>
        <v>2.1866288762611041E-2</v>
      </c>
      <c r="AE103" s="312">
        <f t="shared" si="705"/>
        <v>2.2070312671555348E-2</v>
      </c>
      <c r="AF103" s="312">
        <f t="shared" si="705"/>
        <v>2.2274259266456931E-2</v>
      </c>
      <c r="AG103" s="312">
        <f t="shared" si="705"/>
        <v>2.2477938725486757E-2</v>
      </c>
      <c r="AH103" s="312">
        <f t="shared" si="705"/>
        <v>2.2681174606053955E-2</v>
      </c>
      <c r="AI103" s="312">
        <f t="shared" si="705"/>
        <v>2.2882679379141013E-2</v>
      </c>
      <c r="AJ103" s="312">
        <f t="shared" si="705"/>
        <v>2.3084553373245054E-2</v>
      </c>
      <c r="AK103" s="312">
        <f t="shared" si="705"/>
        <v>2.3285528515443132E-2</v>
      </c>
      <c r="AL103" s="312">
        <f t="shared" si="705"/>
        <v>2.3485475010504797E-2</v>
      </c>
      <c r="AM103" s="312">
        <f t="shared" si="705"/>
        <v>2.3684273194857663E-2</v>
      </c>
      <c r="AN103" s="312">
        <f t="shared" si="705"/>
        <v>2.3881812974973604E-2</v>
      </c>
      <c r="AO103" s="312">
        <f t="shared" si="705"/>
        <v>2.4077993292536792E-2</v>
      </c>
      <c r="AP103" s="312">
        <f t="shared" si="705"/>
        <v>2.427272161527555E-2</v>
      </c>
      <c r="AQ103" s="312">
        <f t="shared" si="705"/>
        <v>2.4464844553315712E-2</v>
      </c>
      <c r="AR103" s="312">
        <f t="shared" si="705"/>
        <v>2.4656432156833219E-2</v>
      </c>
      <c r="AS103" s="312">
        <f t="shared" si="705"/>
        <v>2.4846336964470084E-2</v>
      </c>
      <c r="AT103" s="312">
        <f t="shared" si="705"/>
        <v>2.5034495896443298E-2</v>
      </c>
      <c r="AU103" s="312">
        <f t="shared" si="705"/>
        <v>2.5220852203757416E-2</v>
      </c>
      <c r="AV103" s="312">
        <f t="shared" si="705"/>
        <v>2.5405355091508819E-2</v>
      </c>
      <c r="AW103" s="312">
        <f t="shared" si="705"/>
        <v>2.5587959361053125E-2</v>
      </c>
      <c r="AX103" s="312">
        <f t="shared" si="705"/>
        <v>2.5768625070203111E-2</v>
      </c>
      <c r="AY103" s="312">
        <f t="shared" si="705"/>
        <v>2.5946329986063554E-2</v>
      </c>
      <c r="AZ103" s="312">
        <f t="shared" si="705"/>
        <v>2.6123029386136587E-2</v>
      </c>
      <c r="BA103" s="312">
        <f t="shared" si="705"/>
        <v>2.6297698926963264E-2</v>
      </c>
      <c r="BB103" s="312">
        <f t="shared" si="705"/>
        <v>2.647031660542723E-2</v>
      </c>
      <c r="BC103" s="312">
        <f t="shared" si="705"/>
        <v>2.6640864220642213E-2</v>
      </c>
      <c r="BD103" s="312">
        <f t="shared" si="705"/>
        <v>2.680932712642467E-2</v>
      </c>
      <c r="BE103" s="312">
        <f t="shared" si="705"/>
        <v>2.697569399679034E-2</v>
      </c>
      <c r="BF103" s="312">
        <f t="shared" si="705"/>
        <v>2.7139956603870308E-2</v>
      </c>
      <c r="BG103" s="312">
        <f t="shared" si="705"/>
        <v>2.7301214591153228E-2</v>
      </c>
      <c r="BH103" s="312">
        <f t="shared" si="705"/>
        <v>2.7461267077955875E-2</v>
      </c>
      <c r="BI103" s="312">
        <f t="shared" si="705"/>
        <v>2.7619207154218534E-2</v>
      </c>
      <c r="BJ103" s="312">
        <f t="shared" si="705"/>
        <v>2.7775036979794332E-2</v>
      </c>
      <c r="BK103" s="312">
        <f t="shared" si="705"/>
        <v>2.79287608699057E-2</v>
      </c>
      <c r="BL103" s="312">
        <f t="shared" si="705"/>
        <v>2.8080385136130009E-2</v>
      </c>
      <c r="BM103" s="312">
        <f t="shared" si="705"/>
        <v>2.8229917936218513E-2</v>
      </c>
      <c r="BN103" s="312">
        <f t="shared" si="705"/>
        <v>2.8377369132313479E-2</v>
      </c>
      <c r="BO103" s="312">
        <f t="shared" ref="BO103:CB103" si="706">IF(BO101&lt;0,0,$B$5+$B$6*((1-EXP(-BO102/$B$9))/(BO102/$B$9))+$B$7*((1-EXP(-BO102/$B$9))/(BO102/$B$9)-EXP(-BO102/$B$9))+$B$8*((1-EXP(-BO102/$B$10))/(BO102/$B$10)-EXP(-BO102/$B$10)))</f>
        <v>2.8521948180309314E-2</v>
      </c>
      <c r="BP103" s="312">
        <f t="shared" si="706"/>
        <v>2.866528330239676E-2</v>
      </c>
      <c r="BQ103" s="312">
        <f t="shared" si="706"/>
        <v>2.8806575250593269E-2</v>
      </c>
      <c r="BR103" s="312">
        <f t="shared" si="706"/>
        <v>2.8945839434345422E-2</v>
      </c>
      <c r="BS103" s="312">
        <f t="shared" si="706"/>
        <v>2.9083092371393837E-2</v>
      </c>
      <c r="BT103" s="312">
        <f t="shared" si="706"/>
        <v>2.9218351588337882E-2</v>
      </c>
      <c r="BU103" s="312">
        <f t="shared" si="706"/>
        <v>2.9351635527083697E-2</v>
      </c>
      <c r="BV103" s="312">
        <f t="shared" si="706"/>
        <v>2.9482963456872346E-2</v>
      </c>
      <c r="BW103" s="312">
        <f t="shared" si="706"/>
        <v>2.9611641857720333E-2</v>
      </c>
      <c r="BX103" s="312">
        <f t="shared" si="706"/>
        <v>2.9739129060698921E-2</v>
      </c>
      <c r="BY103" s="312">
        <f t="shared" si="706"/>
        <v>2.9864722104877395E-2</v>
      </c>
      <c r="BZ103" s="312">
        <f t="shared" si="706"/>
        <v>2.9988442788329267E-2</v>
      </c>
      <c r="CA103" s="312">
        <f t="shared" si="706"/>
        <v>3.0110313371158659E-2</v>
      </c>
      <c r="CB103" s="312">
        <f t="shared" si="706"/>
        <v>3.0230356515455165E-2</v>
      </c>
    </row>
    <row r="104" spans="1:80">
      <c r="A104" s="311" t="s">
        <v>44</v>
      </c>
      <c r="B104" s="312">
        <f>EXP(-B103*B102)</f>
        <v>0.99133494775594411</v>
      </c>
      <c r="C104" s="312">
        <f t="shared" ref="C104" si="707">EXP(-C103*C102)</f>
        <v>0.98270187628601502</v>
      </c>
      <c r="D104" s="312">
        <f t="shared" ref="D104:AR104" si="708">EXP(-D103*D102)</f>
        <v>0.9740316895281903</v>
      </c>
      <c r="E104" s="312">
        <f t="shared" si="708"/>
        <v>0.96535416560698328</v>
      </c>
      <c r="F104" s="312">
        <f t="shared" si="708"/>
        <v>0.95665333092877125</v>
      </c>
      <c r="G104" s="312">
        <f t="shared" si="708"/>
        <v>0.94791555711630204</v>
      </c>
      <c r="H104" s="312">
        <f t="shared" si="708"/>
        <v>0.93912937391716023</v>
      </c>
      <c r="I104" s="312">
        <f t="shared" si="708"/>
        <v>0.93028529496859791</v>
      </c>
      <c r="J104" s="312">
        <f t="shared" si="708"/>
        <v>0.92137565508764274</v>
      </c>
      <c r="K104" s="312">
        <f t="shared" si="708"/>
        <v>0.91244456005484864</v>
      </c>
      <c r="L104" s="312">
        <f t="shared" si="708"/>
        <v>0.90338776757950023</v>
      </c>
      <c r="M104" s="312">
        <f t="shared" si="708"/>
        <v>0.89425188284220547</v>
      </c>
      <c r="N104" s="312">
        <f t="shared" si="708"/>
        <v>0.88503508674048181</v>
      </c>
      <c r="O104" s="312">
        <f t="shared" si="708"/>
        <v>0.87573670811711612</v>
      </c>
      <c r="P104" s="312">
        <f t="shared" si="708"/>
        <v>0.86635711217418332</v>
      </c>
      <c r="Q104" s="312">
        <f t="shared" si="708"/>
        <v>0.85689759551618949</v>
      </c>
      <c r="R104" s="312">
        <f t="shared" si="708"/>
        <v>0.84736028747735637</v>
      </c>
      <c r="S104" s="312">
        <f t="shared" si="708"/>
        <v>0.83780165947999741</v>
      </c>
      <c r="T104" s="312">
        <f t="shared" si="708"/>
        <v>0.82811841571618106</v>
      </c>
      <c r="U104" s="312">
        <f t="shared" si="708"/>
        <v>0.81836784221329473</v>
      </c>
      <c r="V104" s="312">
        <f t="shared" si="708"/>
        <v>0.80855452575553166</v>
      </c>
      <c r="W104" s="312">
        <f t="shared" si="708"/>
        <v>0.79868347764503977</v>
      </c>
      <c r="X104" s="312">
        <f t="shared" si="708"/>
        <v>0.78876006734331217</v>
      </c>
      <c r="Y104" s="312">
        <f t="shared" si="708"/>
        <v>0.778789960786341</v>
      </c>
      <c r="Z104" s="312">
        <f t="shared" si="708"/>
        <v>0.76877906319361389</v>
      </c>
      <c r="AA104" s="312">
        <f t="shared" si="708"/>
        <v>0.75878935952962412</v>
      </c>
      <c r="AB104" s="312">
        <f t="shared" si="708"/>
        <v>0.74871543320342449</v>
      </c>
      <c r="AC104" s="312">
        <f t="shared" si="708"/>
        <v>0.73861932370807293</v>
      </c>
      <c r="AD104" s="312">
        <f t="shared" si="708"/>
        <v>0.72850740505367828</v>
      </c>
      <c r="AE104" s="312">
        <f t="shared" si="708"/>
        <v>0.71838606607836908</v>
      </c>
      <c r="AF104" s="312">
        <f t="shared" si="708"/>
        <v>0.70826167655609173</v>
      </c>
      <c r="AG104" s="312">
        <f t="shared" si="708"/>
        <v>0.6981405565934341</v>
      </c>
      <c r="AH104" s="312">
        <f t="shared" si="708"/>
        <v>0.68802894914669188</v>
      </c>
      <c r="AI104" s="312">
        <f t="shared" si="708"/>
        <v>0.67798902976805742</v>
      </c>
      <c r="AJ104" s="312">
        <f t="shared" si="708"/>
        <v>0.66791461098992122</v>
      </c>
      <c r="AK104" s="312">
        <f t="shared" si="708"/>
        <v>0.65786770695142249</v>
      </c>
      <c r="AL104" s="312">
        <f t="shared" si="708"/>
        <v>0.64785403469051761</v>
      </c>
      <c r="AM104" s="312">
        <f t="shared" si="708"/>
        <v>0.63787913776967164</v>
      </c>
      <c r="AN104" s="312">
        <f t="shared" si="708"/>
        <v>0.62794837406515169</v>
      </c>
      <c r="AO104" s="312">
        <f t="shared" si="708"/>
        <v>0.61806690555865029</v>
      </c>
      <c r="AP104" s="312">
        <f t="shared" si="708"/>
        <v>0.60823968998566269</v>
      </c>
      <c r="AQ104" s="312">
        <f t="shared" si="708"/>
        <v>0.59852557066586265</v>
      </c>
      <c r="AR104" s="312">
        <f t="shared" si="708"/>
        <v>0.58882052052088008</v>
      </c>
      <c r="AS104" s="312">
        <f>EXP(-AS103*AS102)</f>
        <v>0.57918328911114891</v>
      </c>
      <c r="AT104" s="312">
        <f t="shared" ref="AT104:CA104" si="709">EXP(-AT103*AT102)</f>
        <v>0.56961796722119606</v>
      </c>
      <c r="AU104" s="312">
        <f t="shared" si="709"/>
        <v>0.56012842273768781</v>
      </c>
      <c r="AV104" s="312">
        <f t="shared" si="709"/>
        <v>0.55071830065923066</v>
      </c>
      <c r="AW104" s="312">
        <f t="shared" si="709"/>
        <v>0.54139102409060236</v>
      </c>
      <c r="AX104" s="312">
        <f t="shared" si="709"/>
        <v>0.53214979611937574</v>
      </c>
      <c r="AY104" s="312">
        <f t="shared" si="709"/>
        <v>0.5230481968675168</v>
      </c>
      <c r="AZ104" s="312">
        <f t="shared" si="709"/>
        <v>0.51398729199263482</v>
      </c>
      <c r="BA104" s="312">
        <f t="shared" si="709"/>
        <v>0.50502074123811425</v>
      </c>
      <c r="BB104" s="312">
        <f t="shared" si="709"/>
        <v>0.496150901920133</v>
      </c>
      <c r="BC104" s="312">
        <f t="shared" si="709"/>
        <v>0.48737993076220898</v>
      </c>
      <c r="BD104" s="312">
        <f t="shared" si="709"/>
        <v>0.47870978924320318</v>
      </c>
      <c r="BE104" s="312">
        <f t="shared" si="709"/>
        <v>0.47014224927231391</v>
      </c>
      <c r="BF104" s="312">
        <f t="shared" si="709"/>
        <v>0.46167889913268167</v>
      </c>
      <c r="BG104" s="312">
        <f t="shared" si="709"/>
        <v>0.45336728752230915</v>
      </c>
      <c r="BH104" s="312">
        <f t="shared" si="709"/>
        <v>0.44511578167308097</v>
      </c>
      <c r="BI104" s="312">
        <f t="shared" si="709"/>
        <v>0.43697218558998668</v>
      </c>
      <c r="BJ104" s="312">
        <f t="shared" si="709"/>
        <v>0.42893741693799892</v>
      </c>
      <c r="BK104" s="312">
        <f t="shared" si="709"/>
        <v>0.4210122417441915</v>
      </c>
      <c r="BL104" s="312">
        <f t="shared" si="709"/>
        <v>0.41319728097814667</v>
      </c>
      <c r="BM104" s="312">
        <f t="shared" si="709"/>
        <v>0.40549301711334629</v>
      </c>
      <c r="BN104" s="312">
        <f t="shared" si="709"/>
        <v>0.39789980064314701</v>
      </c>
      <c r="BO104" s="312">
        <f t="shared" si="709"/>
        <v>0.39045911526378552</v>
      </c>
      <c r="BP104" s="312">
        <f t="shared" si="709"/>
        <v>0.38308793043873168</v>
      </c>
      <c r="BQ104" s="312">
        <f t="shared" si="709"/>
        <v>0.37582811695285945</v>
      </c>
      <c r="BR104" s="312">
        <f t="shared" si="709"/>
        <v>0.36867956144329156</v>
      </c>
      <c r="BS104" s="312">
        <f t="shared" si="709"/>
        <v>0.36164204970580749</v>
      </c>
      <c r="BT104" s="312">
        <f t="shared" si="709"/>
        <v>0.35471527253815899</v>
      </c>
      <c r="BU104" s="312">
        <f t="shared" si="709"/>
        <v>0.3478988314261498</v>
      </c>
      <c r="BV104" s="312">
        <f t="shared" si="709"/>
        <v>0.3411922440648365</v>
      </c>
      <c r="BW104" s="312">
        <f t="shared" si="709"/>
        <v>0.33463130057083745</v>
      </c>
      <c r="BX104" s="312">
        <f t="shared" si="709"/>
        <v>0.32814206342607616</v>
      </c>
      <c r="BY104" s="312">
        <f t="shared" si="709"/>
        <v>0.32176078707350481</v>
      </c>
      <c r="BZ104" s="312">
        <f t="shared" si="709"/>
        <v>0.3154867061133213</v>
      </c>
      <c r="CA104" s="312">
        <f t="shared" si="709"/>
        <v>0.30931899629507537</v>
      </c>
      <c r="CB104" s="312">
        <f>EXP(-CB103*CB102)</f>
        <v>0.30325677896735026</v>
      </c>
    </row>
    <row r="106" spans="1:80">
      <c r="A106" s="311" t="s">
        <v>40</v>
      </c>
      <c r="B106" s="312">
        <f t="shared" ref="B106:AG106" si="710">DAYS360($B$3,B38)</f>
        <v>163</v>
      </c>
      <c r="C106" s="312">
        <f t="shared" si="710"/>
        <v>342</v>
      </c>
      <c r="D106" s="312">
        <f t="shared" si="710"/>
        <v>522</v>
      </c>
      <c r="E106" s="312">
        <f t="shared" si="710"/>
        <v>702</v>
      </c>
      <c r="F106" s="312">
        <f t="shared" si="710"/>
        <v>882</v>
      </c>
      <c r="G106" s="312">
        <f t="shared" si="710"/>
        <v>1062</v>
      </c>
      <c r="H106" s="312">
        <f t="shared" si="710"/>
        <v>1242</v>
      </c>
      <c r="I106" s="312">
        <f t="shared" si="710"/>
        <v>1422</v>
      </c>
      <c r="J106" s="312">
        <f t="shared" si="710"/>
        <v>1602</v>
      </c>
      <c r="K106" s="312">
        <f t="shared" si="710"/>
        <v>1781</v>
      </c>
      <c r="L106" s="312">
        <f t="shared" si="710"/>
        <v>1961</v>
      </c>
      <c r="M106" s="312">
        <f t="shared" si="710"/>
        <v>2141</v>
      </c>
      <c r="N106" s="312">
        <f t="shared" si="710"/>
        <v>2321</v>
      </c>
      <c r="O106" s="312">
        <f t="shared" si="710"/>
        <v>2501</v>
      </c>
      <c r="P106" s="312">
        <f t="shared" si="710"/>
        <v>2681</v>
      </c>
      <c r="Q106" s="312">
        <f t="shared" si="710"/>
        <v>2861</v>
      </c>
      <c r="R106" s="312">
        <f t="shared" si="710"/>
        <v>3041</v>
      </c>
      <c r="S106" s="312">
        <f t="shared" si="710"/>
        <v>3220</v>
      </c>
      <c r="T106" s="312">
        <f t="shared" si="710"/>
        <v>3400</v>
      </c>
      <c r="U106" s="312">
        <f t="shared" si="710"/>
        <v>3580</v>
      </c>
      <c r="V106" s="312">
        <f t="shared" si="710"/>
        <v>3760</v>
      </c>
      <c r="W106" s="312">
        <f t="shared" si="710"/>
        <v>3940</v>
      </c>
      <c r="X106" s="312">
        <f t="shared" si="710"/>
        <v>4120</v>
      </c>
      <c r="Y106" s="312">
        <f t="shared" si="710"/>
        <v>4300</v>
      </c>
      <c r="Z106" s="312">
        <f t="shared" si="710"/>
        <v>4480</v>
      </c>
      <c r="AA106" s="312">
        <f t="shared" si="710"/>
        <v>4659</v>
      </c>
      <c r="AB106" s="312">
        <f t="shared" si="710"/>
        <v>4839</v>
      </c>
      <c r="AC106" s="312">
        <f t="shared" si="710"/>
        <v>5019</v>
      </c>
      <c r="AD106" s="312">
        <f t="shared" si="710"/>
        <v>5199</v>
      </c>
      <c r="AE106" s="312">
        <f t="shared" si="710"/>
        <v>5379</v>
      </c>
      <c r="AF106" s="312">
        <f t="shared" si="710"/>
        <v>5559</v>
      </c>
      <c r="AG106" s="312">
        <f t="shared" si="710"/>
        <v>5739</v>
      </c>
      <c r="AH106" s="312">
        <f t="shared" ref="AH106:BM106" si="711">DAYS360($B$3,AH38)</f>
        <v>5919</v>
      </c>
      <c r="AI106" s="312">
        <f t="shared" si="711"/>
        <v>6098</v>
      </c>
      <c r="AJ106" s="312">
        <f t="shared" si="711"/>
        <v>6278</v>
      </c>
      <c r="AK106" s="312">
        <f t="shared" si="711"/>
        <v>6458</v>
      </c>
      <c r="AL106" s="312">
        <f t="shared" si="711"/>
        <v>6638</v>
      </c>
      <c r="AM106" s="312">
        <f t="shared" si="711"/>
        <v>6818</v>
      </c>
      <c r="AN106" s="312">
        <f t="shared" si="711"/>
        <v>6998</v>
      </c>
      <c r="AO106" s="312">
        <f t="shared" si="711"/>
        <v>7178</v>
      </c>
      <c r="AP106" s="312">
        <f t="shared" si="711"/>
        <v>7358</v>
      </c>
      <c r="AQ106" s="312">
        <f t="shared" si="711"/>
        <v>7537</v>
      </c>
      <c r="AR106" s="312">
        <f t="shared" si="711"/>
        <v>7717</v>
      </c>
      <c r="AS106" s="312">
        <f t="shared" si="711"/>
        <v>7897</v>
      </c>
      <c r="AT106" s="312">
        <f t="shared" si="711"/>
        <v>8077</v>
      </c>
      <c r="AU106" s="312">
        <f t="shared" si="711"/>
        <v>8257</v>
      </c>
      <c r="AV106" s="312">
        <f t="shared" si="711"/>
        <v>8437</v>
      </c>
      <c r="AW106" s="312">
        <f t="shared" si="711"/>
        <v>8617</v>
      </c>
      <c r="AX106" s="312">
        <f t="shared" si="711"/>
        <v>8797</v>
      </c>
      <c r="AY106" s="312">
        <f t="shared" si="711"/>
        <v>8976</v>
      </c>
      <c r="AZ106" s="312">
        <f t="shared" si="711"/>
        <v>9156</v>
      </c>
      <c r="BA106" s="312">
        <f t="shared" si="711"/>
        <v>9336</v>
      </c>
      <c r="BB106" s="312">
        <f t="shared" si="711"/>
        <v>9516</v>
      </c>
      <c r="BC106" s="312">
        <f t="shared" si="711"/>
        <v>9696</v>
      </c>
      <c r="BD106" s="312">
        <f t="shared" si="711"/>
        <v>9876</v>
      </c>
      <c r="BE106" s="312">
        <f t="shared" si="711"/>
        <v>10056</v>
      </c>
      <c r="BF106" s="312">
        <f t="shared" si="711"/>
        <v>10236</v>
      </c>
      <c r="BG106" s="312">
        <f t="shared" si="711"/>
        <v>10415</v>
      </c>
      <c r="BH106" s="312">
        <f t="shared" si="711"/>
        <v>10595</v>
      </c>
      <c r="BI106" s="312">
        <f t="shared" si="711"/>
        <v>10775</v>
      </c>
      <c r="BJ106" s="312">
        <f t="shared" si="711"/>
        <v>10955</v>
      </c>
      <c r="BK106" s="312">
        <f t="shared" si="711"/>
        <v>11135</v>
      </c>
      <c r="BL106" s="312">
        <f t="shared" si="711"/>
        <v>11315</v>
      </c>
      <c r="BM106" s="312">
        <f t="shared" si="711"/>
        <v>11495</v>
      </c>
      <c r="BN106" s="312">
        <f t="shared" ref="BN106:CB106" si="712">DAYS360($B$3,BN38)</f>
        <v>11675</v>
      </c>
      <c r="BO106" s="312">
        <f t="shared" si="712"/>
        <v>11854</v>
      </c>
      <c r="BP106" s="312">
        <f t="shared" si="712"/>
        <v>12034</v>
      </c>
      <c r="BQ106" s="312">
        <f t="shared" si="712"/>
        <v>12214</v>
      </c>
      <c r="BR106" s="312">
        <f t="shared" si="712"/>
        <v>12394</v>
      </c>
      <c r="BS106" s="312">
        <f t="shared" si="712"/>
        <v>12574</v>
      </c>
      <c r="BT106" s="312">
        <f t="shared" si="712"/>
        <v>12754</v>
      </c>
      <c r="BU106" s="312">
        <f t="shared" si="712"/>
        <v>12934</v>
      </c>
      <c r="BV106" s="312">
        <f t="shared" si="712"/>
        <v>13114</v>
      </c>
      <c r="BW106" s="312">
        <f t="shared" si="712"/>
        <v>13293</v>
      </c>
      <c r="BX106" s="312">
        <f t="shared" si="712"/>
        <v>13473</v>
      </c>
      <c r="BY106" s="312">
        <f t="shared" si="712"/>
        <v>13653</v>
      </c>
      <c r="BZ106" s="312">
        <f t="shared" si="712"/>
        <v>13833</v>
      </c>
      <c r="CA106" s="312">
        <f t="shared" si="712"/>
        <v>14013</v>
      </c>
      <c r="CB106" s="312">
        <f t="shared" si="712"/>
        <v>14193</v>
      </c>
    </row>
    <row r="107" spans="1:80">
      <c r="A107" s="311" t="s">
        <v>41</v>
      </c>
      <c r="B107" s="312">
        <f>B106/360</f>
        <v>0.45277777777777778</v>
      </c>
      <c r="C107" s="312">
        <f t="shared" ref="C107:BN107" si="713">C106/360</f>
        <v>0.95</v>
      </c>
      <c r="D107" s="312">
        <f t="shared" si="713"/>
        <v>1.45</v>
      </c>
      <c r="E107" s="312">
        <f t="shared" si="713"/>
        <v>1.95</v>
      </c>
      <c r="F107" s="312">
        <f t="shared" si="713"/>
        <v>2.4500000000000002</v>
      </c>
      <c r="G107" s="312">
        <f t="shared" si="713"/>
        <v>2.95</v>
      </c>
      <c r="H107" s="312">
        <f t="shared" si="713"/>
        <v>3.45</v>
      </c>
      <c r="I107" s="312">
        <f t="shared" si="713"/>
        <v>3.95</v>
      </c>
      <c r="J107" s="312">
        <f t="shared" si="713"/>
        <v>4.45</v>
      </c>
      <c r="K107" s="312">
        <f t="shared" si="713"/>
        <v>4.947222222222222</v>
      </c>
      <c r="L107" s="312">
        <f t="shared" si="713"/>
        <v>5.447222222222222</v>
      </c>
      <c r="M107" s="312">
        <f t="shared" si="713"/>
        <v>5.947222222222222</v>
      </c>
      <c r="N107" s="312">
        <f t="shared" si="713"/>
        <v>6.447222222222222</v>
      </c>
      <c r="O107" s="312">
        <f t="shared" si="713"/>
        <v>6.947222222222222</v>
      </c>
      <c r="P107" s="312">
        <f t="shared" si="713"/>
        <v>7.447222222222222</v>
      </c>
      <c r="Q107" s="312">
        <f t="shared" si="713"/>
        <v>7.947222222222222</v>
      </c>
      <c r="R107" s="312">
        <f t="shared" si="713"/>
        <v>8.4472222222222229</v>
      </c>
      <c r="S107" s="312">
        <f t="shared" si="713"/>
        <v>8.9444444444444446</v>
      </c>
      <c r="T107" s="312">
        <f t="shared" si="713"/>
        <v>9.4444444444444446</v>
      </c>
      <c r="U107" s="312">
        <f t="shared" si="713"/>
        <v>9.9444444444444446</v>
      </c>
      <c r="V107" s="312">
        <f t="shared" si="713"/>
        <v>10.444444444444445</v>
      </c>
      <c r="W107" s="312">
        <f t="shared" si="713"/>
        <v>10.944444444444445</v>
      </c>
      <c r="X107" s="312">
        <f t="shared" si="713"/>
        <v>11.444444444444445</v>
      </c>
      <c r="Y107" s="312">
        <f t="shared" si="713"/>
        <v>11.944444444444445</v>
      </c>
      <c r="Z107" s="312">
        <f t="shared" si="713"/>
        <v>12.444444444444445</v>
      </c>
      <c r="AA107" s="312">
        <f t="shared" si="713"/>
        <v>12.941666666666666</v>
      </c>
      <c r="AB107" s="312">
        <f t="shared" si="713"/>
        <v>13.441666666666666</v>
      </c>
      <c r="AC107" s="312">
        <f t="shared" si="713"/>
        <v>13.941666666666666</v>
      </c>
      <c r="AD107" s="312">
        <f t="shared" si="713"/>
        <v>14.441666666666666</v>
      </c>
      <c r="AE107" s="312">
        <f t="shared" si="713"/>
        <v>14.941666666666666</v>
      </c>
      <c r="AF107" s="312">
        <f t="shared" si="713"/>
        <v>15.441666666666666</v>
      </c>
      <c r="AG107" s="312">
        <f t="shared" si="713"/>
        <v>15.941666666666666</v>
      </c>
      <c r="AH107" s="312">
        <f t="shared" si="713"/>
        <v>16.441666666666666</v>
      </c>
      <c r="AI107" s="312">
        <f t="shared" si="713"/>
        <v>16.93888888888889</v>
      </c>
      <c r="AJ107" s="312">
        <f t="shared" si="713"/>
        <v>17.43888888888889</v>
      </c>
      <c r="AK107" s="312">
        <f t="shared" si="713"/>
        <v>17.93888888888889</v>
      </c>
      <c r="AL107" s="312">
        <f t="shared" si="713"/>
        <v>18.43888888888889</v>
      </c>
      <c r="AM107" s="312">
        <f t="shared" si="713"/>
        <v>18.93888888888889</v>
      </c>
      <c r="AN107" s="312">
        <f t="shared" si="713"/>
        <v>19.43888888888889</v>
      </c>
      <c r="AO107" s="312">
        <f t="shared" si="713"/>
        <v>19.93888888888889</v>
      </c>
      <c r="AP107" s="312">
        <f t="shared" si="713"/>
        <v>20.43888888888889</v>
      </c>
      <c r="AQ107" s="312">
        <f t="shared" si="713"/>
        <v>20.93611111111111</v>
      </c>
      <c r="AR107" s="312">
        <f t="shared" si="713"/>
        <v>21.43611111111111</v>
      </c>
      <c r="AS107" s="312">
        <f t="shared" si="713"/>
        <v>21.93611111111111</v>
      </c>
      <c r="AT107" s="312">
        <f t="shared" si="713"/>
        <v>22.43611111111111</v>
      </c>
      <c r="AU107" s="312">
        <f t="shared" si="713"/>
        <v>22.93611111111111</v>
      </c>
      <c r="AV107" s="312">
        <f t="shared" si="713"/>
        <v>23.43611111111111</v>
      </c>
      <c r="AW107" s="312">
        <f t="shared" si="713"/>
        <v>23.93611111111111</v>
      </c>
      <c r="AX107" s="312">
        <f t="shared" si="713"/>
        <v>24.43611111111111</v>
      </c>
      <c r="AY107" s="312">
        <f t="shared" si="713"/>
        <v>24.933333333333334</v>
      </c>
      <c r="AZ107" s="312">
        <f t="shared" si="713"/>
        <v>25.433333333333334</v>
      </c>
      <c r="BA107" s="312">
        <f t="shared" si="713"/>
        <v>25.933333333333334</v>
      </c>
      <c r="BB107" s="312">
        <f t="shared" si="713"/>
        <v>26.433333333333334</v>
      </c>
      <c r="BC107" s="312">
        <f t="shared" si="713"/>
        <v>26.933333333333334</v>
      </c>
      <c r="BD107" s="312">
        <f t="shared" si="713"/>
        <v>27.433333333333334</v>
      </c>
      <c r="BE107" s="312">
        <f t="shared" si="713"/>
        <v>27.933333333333334</v>
      </c>
      <c r="BF107" s="312">
        <f t="shared" si="713"/>
        <v>28.433333333333334</v>
      </c>
      <c r="BG107" s="312">
        <f t="shared" si="713"/>
        <v>28.930555555555557</v>
      </c>
      <c r="BH107" s="312">
        <f t="shared" si="713"/>
        <v>29.430555555555557</v>
      </c>
      <c r="BI107" s="312">
        <f t="shared" si="713"/>
        <v>29.930555555555557</v>
      </c>
      <c r="BJ107" s="312">
        <f t="shared" si="713"/>
        <v>30.430555555555557</v>
      </c>
      <c r="BK107" s="312">
        <f t="shared" si="713"/>
        <v>30.930555555555557</v>
      </c>
      <c r="BL107" s="312">
        <f t="shared" si="713"/>
        <v>31.430555555555557</v>
      </c>
      <c r="BM107" s="312">
        <f t="shared" si="713"/>
        <v>31.930555555555557</v>
      </c>
      <c r="BN107" s="312">
        <f t="shared" si="713"/>
        <v>32.430555555555557</v>
      </c>
      <c r="BO107" s="312">
        <f t="shared" ref="BO107:CB107" si="714">BO106/360</f>
        <v>32.927777777777777</v>
      </c>
      <c r="BP107" s="312">
        <f t="shared" si="714"/>
        <v>33.427777777777777</v>
      </c>
      <c r="BQ107" s="312">
        <f t="shared" si="714"/>
        <v>33.927777777777777</v>
      </c>
      <c r="BR107" s="312">
        <f t="shared" si="714"/>
        <v>34.427777777777777</v>
      </c>
      <c r="BS107" s="312">
        <f t="shared" si="714"/>
        <v>34.927777777777777</v>
      </c>
      <c r="BT107" s="312">
        <f t="shared" si="714"/>
        <v>35.427777777777777</v>
      </c>
      <c r="BU107" s="312">
        <f t="shared" si="714"/>
        <v>35.927777777777777</v>
      </c>
      <c r="BV107" s="312">
        <f t="shared" si="714"/>
        <v>36.427777777777777</v>
      </c>
      <c r="BW107" s="312">
        <f t="shared" si="714"/>
        <v>36.924999999999997</v>
      </c>
      <c r="BX107" s="312">
        <f t="shared" si="714"/>
        <v>37.424999999999997</v>
      </c>
      <c r="BY107" s="312">
        <f t="shared" si="714"/>
        <v>37.924999999999997</v>
      </c>
      <c r="BZ107" s="312">
        <f t="shared" si="714"/>
        <v>38.424999999999997</v>
      </c>
      <c r="CA107" s="312">
        <f t="shared" si="714"/>
        <v>38.924999999999997</v>
      </c>
      <c r="CB107" s="312">
        <f t="shared" si="714"/>
        <v>39.424999999999997</v>
      </c>
    </row>
    <row r="108" spans="1:80">
      <c r="A108" s="311" t="s">
        <v>43</v>
      </c>
      <c r="B108" s="312">
        <f>IF(B106&lt;0,0,$B$5+$B$6*((1-EXP(-B107/$B$9))/(B107/$B$9))+$B$7*((1-EXP(-B107/$B$9))/(B107/$B$9)-EXP(-B107/$B$9))+$B$8*((1-EXP(-B107/$B$10))/(B107/$B$10)-EXP(-B107/$B$10)))</f>
        <v>1.7499672968193922E-2</v>
      </c>
      <c r="C108" s="312">
        <f t="shared" ref="C108:BN108" si="715">IF(C106&lt;0,0,$B$5+$B$6*((1-EXP(-C107/$B$9))/(C107/$B$9))+$B$7*((1-EXP(-C107/$B$9))/(C107/$B$9)-EXP(-C107/$B$9))+$B$8*((1-EXP(-C107/$B$10))/(C107/$B$10)-EXP(-C107/$B$10)))</f>
        <v>1.7542410239930244E-2</v>
      </c>
      <c r="D108" s="312">
        <f t="shared" si="715"/>
        <v>1.7600330052125329E-2</v>
      </c>
      <c r="E108" s="312">
        <f t="shared" si="715"/>
        <v>1.7672196540365379E-2</v>
      </c>
      <c r="F108" s="312">
        <f t="shared" si="715"/>
        <v>1.7757022338471526E-2</v>
      </c>
      <c r="G108" s="312">
        <f t="shared" si="715"/>
        <v>1.7853871143150957E-2</v>
      </c>
      <c r="H108" s="312">
        <f t="shared" si="715"/>
        <v>1.7961855484894901E-2</v>
      </c>
      <c r="I108" s="312">
        <f t="shared" si="715"/>
        <v>1.8080134577936169E-2</v>
      </c>
      <c r="J108" s="312">
        <f t="shared" si="715"/>
        <v>1.8207912247698105E-2</v>
      </c>
      <c r="K108" s="312">
        <f t="shared" si="715"/>
        <v>1.8343653645323948E-2</v>
      </c>
      <c r="L108" s="312">
        <f t="shared" si="715"/>
        <v>1.8488165753833885E-2</v>
      </c>
      <c r="M108" s="312">
        <f t="shared" si="715"/>
        <v>1.8640039624114646E-2</v>
      </c>
      <c r="N108" s="312">
        <f t="shared" si="715"/>
        <v>1.8798638089482372E-2</v>
      </c>
      <c r="O108" s="312">
        <f t="shared" si="715"/>
        <v>1.8963359342714953E-2</v>
      </c>
      <c r="P108" s="312">
        <f t="shared" si="715"/>
        <v>1.9133635291140427E-2</v>
      </c>
      <c r="Q108" s="312">
        <f t="shared" si="715"/>
        <v>1.9308929976605438E-2</v>
      </c>
      <c r="R108" s="312">
        <f t="shared" si="715"/>
        <v>1.9488738058442368E-2</v>
      </c>
      <c r="S108" s="312">
        <f t="shared" si="715"/>
        <v>1.9671551678528187E-2</v>
      </c>
      <c r="T108" s="312">
        <f t="shared" si="715"/>
        <v>1.9858967032486297E-2</v>
      </c>
      <c r="U108" s="312">
        <f t="shared" si="715"/>
        <v>2.0049551474742466E-2</v>
      </c>
      <c r="V108" s="312">
        <f t="shared" si="715"/>
        <v>2.0242908022388817E-2</v>
      </c>
      <c r="W108" s="312">
        <f t="shared" si="715"/>
        <v>2.0438663611068886E-2</v>
      </c>
      <c r="X108" s="312">
        <f t="shared" si="715"/>
        <v>2.0636467916601231E-2</v>
      </c>
      <c r="Y108" s="312">
        <f t="shared" si="715"/>
        <v>2.083599222676541E-2</v>
      </c>
      <c r="Z108" s="312">
        <f t="shared" si="715"/>
        <v>2.1036928361516549E-2</v>
      </c>
      <c r="AA108" s="312">
        <f t="shared" si="715"/>
        <v>2.1237862490298576E-2</v>
      </c>
      <c r="AB108" s="312">
        <f t="shared" si="715"/>
        <v>2.1440770717402691E-2</v>
      </c>
      <c r="AC108" s="312">
        <f t="shared" si="715"/>
        <v>2.1644280671506699E-2</v>
      </c>
      <c r="AD108" s="312">
        <f t="shared" si="715"/>
        <v>2.1848156322854362E-2</v>
      </c>
      <c r="AE108" s="312">
        <f t="shared" si="715"/>
        <v>2.2052177447583365E-2</v>
      </c>
      <c r="AF108" s="312">
        <f t="shared" si="715"/>
        <v>2.2256138803738224E-2</v>
      </c>
      <c r="AG108" s="312">
        <f t="shared" si="715"/>
        <v>2.2459849344550697E-2</v>
      </c>
      <c r="AH108" s="312">
        <f t="shared" si="715"/>
        <v>2.2663131467549724E-2</v>
      </c>
      <c r="AI108" s="312">
        <f t="shared" si="715"/>
        <v>2.2864696173961696E-2</v>
      </c>
      <c r="AJ108" s="312">
        <f t="shared" si="715"/>
        <v>2.3066643427950451E-2</v>
      </c>
      <c r="AK108" s="312">
        <f t="shared" si="715"/>
        <v>2.3267703877355328E-2</v>
      </c>
      <c r="AL108" s="312">
        <f t="shared" si="715"/>
        <v>2.3467746798242817E-2</v>
      </c>
      <c r="AM108" s="312">
        <f t="shared" si="715"/>
        <v>2.3666651649592418E-2</v>
      </c>
      <c r="AN108" s="312">
        <f t="shared" si="715"/>
        <v>2.3864307509248839E-2</v>
      </c>
      <c r="AO108" s="312">
        <f t="shared" si="715"/>
        <v>2.40606125367539E-2</v>
      </c>
      <c r="AP108" s="312">
        <f t="shared" si="715"/>
        <v>2.4255473461941846E-2</v>
      </c>
      <c r="AQ108" s="312">
        <f t="shared" si="715"/>
        <v>2.4447735403830828E-2</v>
      </c>
      <c r="AR108" s="312">
        <f t="shared" si="715"/>
        <v>2.4639469312904616E-2</v>
      </c>
      <c r="AS108" s="312">
        <f t="shared" si="715"/>
        <v>2.4829526352771414E-2</v>
      </c>
      <c r="AT108" s="312">
        <f t="shared" si="715"/>
        <v>2.5017842862022799E-2</v>
      </c>
      <c r="AU108" s="312">
        <f t="shared" si="715"/>
        <v>2.5204361544464871E-2</v>
      </c>
      <c r="AV108" s="312">
        <f t="shared" si="715"/>
        <v>2.5389031090702618E-2</v>
      </c>
      <c r="AW108" s="312">
        <f t="shared" si="715"/>
        <v>2.5571805818665305E-2</v>
      </c>
      <c r="AX108" s="312">
        <f t="shared" si="715"/>
        <v>2.5752645332235202E-2</v>
      </c>
      <c r="AY108" s="312">
        <f t="shared" si="715"/>
        <v>2.5930525983459185E-2</v>
      </c>
      <c r="AZ108" s="312">
        <f t="shared" si="715"/>
        <v>2.6107404615768381E-2</v>
      </c>
      <c r="BA108" s="312">
        <f t="shared" si="715"/>
        <v>2.6282255537366489E-2</v>
      </c>
      <c r="BB108" s="312">
        <f t="shared" si="715"/>
        <v>2.6455056394726423E-2</v>
      </c>
      <c r="BC108" s="312">
        <f t="shared" si="715"/>
        <v>2.6625788659205646E-2</v>
      </c>
      <c r="BD108" s="312">
        <f t="shared" si="715"/>
        <v>2.6794437378330066E-2</v>
      </c>
      <c r="BE108" s="312">
        <f t="shared" si="715"/>
        <v>2.6960990940157914E-2</v>
      </c>
      <c r="BF108" s="312">
        <f t="shared" si="715"/>
        <v>2.7125440850115951E-2</v>
      </c>
      <c r="BG108" s="312">
        <f t="shared" si="715"/>
        <v>2.7286885460054505E-2</v>
      </c>
      <c r="BH108" s="312">
        <f t="shared" si="715"/>
        <v>2.7447125744245293E-2</v>
      </c>
      <c r="BI108" s="312">
        <f t="shared" si="715"/>
        <v>2.7605253535815943E-2</v>
      </c>
      <c r="BJ108" s="312">
        <f t="shared" si="715"/>
        <v>2.7761270795026716E-2</v>
      </c>
      <c r="BK108" s="312">
        <f t="shared" si="715"/>
        <v>2.7915181652083482E-2</v>
      </c>
      <c r="BL108" s="312">
        <f t="shared" si="715"/>
        <v>2.8066992247318623E-2</v>
      </c>
      <c r="BM108" s="312">
        <f t="shared" si="715"/>
        <v>2.8216710580240528E-2</v>
      </c>
      <c r="BN108" s="312">
        <f t="shared" si="715"/>
        <v>2.8364346367022536E-2</v>
      </c>
      <c r="BO108" s="312">
        <f t="shared" ref="BO108:CB108" si="716">IF(BO106&lt;0,0,$B$5+$B$6*((1-EXP(-BO107/$B$9))/(BO107/$B$9))+$B$7*((1-EXP(-BO107/$B$9))/(BO107/$B$9)-EXP(-BO107/$B$9))+$B$8*((1-EXP(-BO107/$B$10))/(BO107/$B$10)-EXP(-BO107/$B$10)))</f>
        <v>2.8509107912851606E-2</v>
      </c>
      <c r="BP108" s="312">
        <f t="shared" si="716"/>
        <v>2.8652625356072464E-2</v>
      </c>
      <c r="BQ108" s="312">
        <f t="shared" si="716"/>
        <v>2.8794098312819982E-2</v>
      </c>
      <c r="BR108" s="312">
        <f t="shared" si="716"/>
        <v>2.8933542089007558E-2</v>
      </c>
      <c r="BS108" s="312">
        <f t="shared" si="716"/>
        <v>2.9070973107975739E-2</v>
      </c>
      <c r="BT108" s="312">
        <f t="shared" si="716"/>
        <v>2.9206408810520557E-2</v>
      </c>
      <c r="BU108" s="312">
        <f t="shared" si="716"/>
        <v>2.9339867560829597E-2</v>
      </c>
      <c r="BV108" s="312">
        <f t="shared" si="716"/>
        <v>2.9471368558026817E-2</v>
      </c>
      <c r="BW108" s="312">
        <f t="shared" si="716"/>
        <v>2.9600217272805068E-2</v>
      </c>
      <c r="BX108" s="312">
        <f t="shared" si="716"/>
        <v>2.9727873883156536E-2</v>
      </c>
      <c r="BY108" s="312">
        <f t="shared" si="716"/>
        <v>2.9853634421589337E-2</v>
      </c>
      <c r="BZ108" s="312">
        <f t="shared" si="716"/>
        <v>2.9977520642066602E-2</v>
      </c>
      <c r="CA108" s="312">
        <f t="shared" si="716"/>
        <v>3.0099554766112563E-2</v>
      </c>
      <c r="CB108" s="312">
        <f t="shared" si="716"/>
        <v>3.021975942241556E-2</v>
      </c>
    </row>
    <row r="109" spans="1:80">
      <c r="A109" s="311" t="s">
        <v>44</v>
      </c>
      <c r="B109" s="312">
        <f>EXP(-B108*B107)</f>
        <v>0.99210784485134484</v>
      </c>
      <c r="C109" s="312">
        <f t="shared" ref="C109" si="717">EXP(-C108*C107)</f>
        <v>0.98347280800248726</v>
      </c>
      <c r="D109" s="312">
        <f t="shared" ref="D109:AR109" si="718">EXP(-D108*D107)</f>
        <v>0.97480241619637997</v>
      </c>
      <c r="E109" s="312">
        <f t="shared" si="718"/>
        <v>0.9661262272707094</v>
      </c>
      <c r="F109" s="312">
        <f t="shared" si="718"/>
        <v>0.9574280496406159</v>
      </c>
      <c r="G109" s="312">
        <f t="shared" si="718"/>
        <v>0.94869405424156761</v>
      </c>
      <c r="H109" s="312">
        <f t="shared" si="718"/>
        <v>0.93991258622219143</v>
      </c>
      <c r="I109" s="312">
        <f t="shared" si="718"/>
        <v>0.93107398962373211</v>
      </c>
      <c r="J109" s="312">
        <f t="shared" si="718"/>
        <v>0.92217044369369594</v>
      </c>
      <c r="K109" s="312">
        <f t="shared" si="718"/>
        <v>0.91324587427080006</v>
      </c>
      <c r="L109" s="312">
        <f t="shared" si="718"/>
        <v>0.90419598244869659</v>
      </c>
      <c r="M109" s="312">
        <f t="shared" si="718"/>
        <v>0.89506721955847968</v>
      </c>
      <c r="N109" s="312">
        <f t="shared" si="718"/>
        <v>0.88585765882438605</v>
      </c>
      <c r="O109" s="312">
        <f t="shared" si="718"/>
        <v>0.87656653166849063</v>
      </c>
      <c r="P109" s="312">
        <f t="shared" si="718"/>
        <v>0.86719411551701464</v>
      </c>
      <c r="Q109" s="312">
        <f t="shared" si="718"/>
        <v>0.85774162826890399</v>
      </c>
      <c r="R109" s="312">
        <f t="shared" si="718"/>
        <v>0.84821112907730301</v>
      </c>
      <c r="S109" s="312">
        <f t="shared" si="718"/>
        <v>0.83865899181596437</v>
      </c>
      <c r="T109" s="312">
        <f t="shared" si="718"/>
        <v>0.82898193876087778</v>
      </c>
      <c r="U109" s="312">
        <f t="shared" si="718"/>
        <v>0.81923717115879424</v>
      </c>
      <c r="V109" s="312">
        <f t="shared" si="718"/>
        <v>0.8094292346852584</v>
      </c>
      <c r="W109" s="312">
        <f t="shared" si="718"/>
        <v>0.79956310566470667</v>
      </c>
      <c r="X109" s="312">
        <f t="shared" si="718"/>
        <v>0.7896441242875144</v>
      </c>
      <c r="Y109" s="312">
        <f t="shared" si="718"/>
        <v>0.77967793251707151</v>
      </c>
      <c r="Z109" s="312">
        <f t="shared" si="718"/>
        <v>0.7696704165065027</v>
      </c>
      <c r="AA109" s="312">
        <f t="shared" si="718"/>
        <v>0.75968353247382769</v>
      </c>
      <c r="AB109" s="312">
        <f t="shared" si="718"/>
        <v>0.74961188500084641</v>
      </c>
      <c r="AC109" s="312">
        <f t="shared" si="718"/>
        <v>0.73951748972891107</v>
      </c>
      <c r="AD109" s="312">
        <f t="shared" si="718"/>
        <v>0.72940671759462472</v>
      </c>
      <c r="AE109" s="312">
        <f t="shared" si="718"/>
        <v>0.71928595754013724</v>
      </c>
      <c r="AF109" s="312">
        <f t="shared" si="718"/>
        <v>0.70916158232038096</v>
      </c>
      <c r="AG109" s="312">
        <f t="shared" si="718"/>
        <v>0.69903991761438855</v>
      </c>
      <c r="AH109" s="312">
        <f t="shared" si="718"/>
        <v>0.68892721427180992</v>
      </c>
      <c r="AI109" s="312">
        <f t="shared" si="718"/>
        <v>0.67888566837240183</v>
      </c>
      <c r="AJ109" s="312">
        <f t="shared" si="718"/>
        <v>0.66880908599863886</v>
      </c>
      <c r="AK109" s="312">
        <f t="shared" si="718"/>
        <v>0.6587595022547571</v>
      </c>
      <c r="AL109" s="312">
        <f t="shared" si="718"/>
        <v>0.64874264893645728</v>
      </c>
      <c r="AM109" s="312">
        <f t="shared" si="718"/>
        <v>0.6387640855512815</v>
      </c>
      <c r="AN109" s="312">
        <f t="shared" si="718"/>
        <v>0.62882918692270262</v>
      </c>
      <c r="AO109" s="312">
        <f t="shared" si="718"/>
        <v>0.61894313280974089</v>
      </c>
      <c r="AP109" s="312">
        <f t="shared" si="718"/>
        <v>0.609110899396066</v>
      </c>
      <c r="AQ109" s="312">
        <f t="shared" si="718"/>
        <v>0.5993913802523736</v>
      </c>
      <c r="AR109" s="312">
        <f t="shared" si="718"/>
        <v>0.58968050723756904</v>
      </c>
      <c r="AS109" s="312">
        <f>EXP(-AS108*AS107)</f>
        <v>0.58003707857312947</v>
      </c>
      <c r="AT109" s="312">
        <f t="shared" ref="AT109:CA109" si="719">EXP(-AT108*AT107)</f>
        <v>0.57046520482125429</v>
      </c>
      <c r="AU109" s="312">
        <f t="shared" si="719"/>
        <v>0.56096877369662823</v>
      </c>
      <c r="AV109" s="312">
        <f t="shared" si="719"/>
        <v>0.55155144998360628</v>
      </c>
      <c r="AW109" s="312">
        <f t="shared" si="719"/>
        <v>0.54221667644715044</v>
      </c>
      <c r="AX109" s="312">
        <f t="shared" si="719"/>
        <v>0.53296767563499181</v>
      </c>
      <c r="AY109" s="312">
        <f t="shared" si="719"/>
        <v>0.52385809214575252</v>
      </c>
      <c r="AZ109" s="312">
        <f t="shared" si="719"/>
        <v>0.51478892121092112</v>
      </c>
      <c r="BA109" s="312">
        <f t="shared" si="719"/>
        <v>0.50581388497916369</v>
      </c>
      <c r="BB109" s="312">
        <f t="shared" si="719"/>
        <v>0.49693535884329776</v>
      </c>
      <c r="BC109" s="312">
        <f t="shared" si="719"/>
        <v>0.48815551714601296</v>
      </c>
      <c r="BD109" s="312">
        <f t="shared" si="719"/>
        <v>0.47947633849583088</v>
      </c>
      <c r="BE109" s="312">
        <f t="shared" si="719"/>
        <v>0.47089961141546616</v>
      </c>
      <c r="BF109" s="312">
        <f t="shared" si="719"/>
        <v>0.46242694026379211</v>
      </c>
      <c r="BG109" s="312">
        <f t="shared" si="719"/>
        <v>0.45410594200006149</v>
      </c>
      <c r="BH109" s="312">
        <f t="shared" si="719"/>
        <v>0.44584489386297133</v>
      </c>
      <c r="BI109" s="312">
        <f t="shared" si="719"/>
        <v>0.4376916663616558</v>
      </c>
      <c r="BJ109" s="312">
        <f t="shared" si="719"/>
        <v>0.4296471909583518</v>
      </c>
      <c r="BK109" s="312">
        <f t="shared" si="719"/>
        <v>0.42171224689253634</v>
      </c>
      <c r="BL109" s="312">
        <f t="shared" si="719"/>
        <v>0.41388746776161262</v>
      </c>
      <c r="BM109" s="312">
        <f t="shared" si="719"/>
        <v>0.406173348085134</v>
      </c>
      <c r="BN109" s="312">
        <f t="shared" si="719"/>
        <v>0.39857024982579031</v>
      </c>
      <c r="BO109" s="312">
        <f t="shared" si="719"/>
        <v>0.39111972258442529</v>
      </c>
      <c r="BP109" s="312">
        <f t="shared" si="719"/>
        <v>0.38373863615188736</v>
      </c>
      <c r="BQ109" s="312">
        <f t="shared" si="719"/>
        <v>0.37646892605420967</v>
      </c>
      <c r="BR109" s="312">
        <f t="shared" si="719"/>
        <v>0.36931048818003492</v>
      </c>
      <c r="BS109" s="312">
        <f t="shared" si="719"/>
        <v>0.36226311704996045</v>
      </c>
      <c r="BT109" s="312">
        <f t="shared" si="719"/>
        <v>0.35532651167338114</v>
      </c>
      <c r="BU109" s="312">
        <f t="shared" si="719"/>
        <v>0.3485002812488982</v>
      </c>
      <c r="BV109" s="312">
        <f t="shared" si="719"/>
        <v>0.34178395070043438</v>
      </c>
      <c r="BW109" s="312">
        <f t="shared" si="719"/>
        <v>0.33521337058209394</v>
      </c>
      <c r="BX109" s="312">
        <f t="shared" si="719"/>
        <v>0.32871450198368724</v>
      </c>
      <c r="BY109" s="312">
        <f t="shared" si="719"/>
        <v>0.32232365921022899</v>
      </c>
      <c r="BZ109" s="312">
        <f t="shared" si="719"/>
        <v>0.31604008231458675</v>
      </c>
      <c r="CA109" s="312">
        <f t="shared" si="719"/>
        <v>0.30986295209461101</v>
      </c>
      <c r="CB109" s="312">
        <f>EXP(-CB108*CB107)</f>
        <v>0.30379139455904913</v>
      </c>
    </row>
    <row r="111" spans="1:80">
      <c r="A111" s="311" t="s">
        <v>40</v>
      </c>
      <c r="B111" s="312">
        <f t="shared" ref="B111:AG111" si="720">DAYS360($B$3,B40)</f>
        <v>179</v>
      </c>
      <c r="C111" s="312">
        <f t="shared" si="720"/>
        <v>358</v>
      </c>
      <c r="D111" s="312">
        <f t="shared" si="720"/>
        <v>538</v>
      </c>
      <c r="E111" s="312">
        <f t="shared" si="720"/>
        <v>718</v>
      </c>
      <c r="F111" s="312">
        <f t="shared" si="720"/>
        <v>898</v>
      </c>
      <c r="G111" s="312">
        <f t="shared" si="720"/>
        <v>1078</v>
      </c>
      <c r="H111" s="312">
        <f t="shared" si="720"/>
        <v>1258</v>
      </c>
      <c r="I111" s="312">
        <f t="shared" si="720"/>
        <v>1438</v>
      </c>
      <c r="J111" s="312">
        <f t="shared" si="720"/>
        <v>1618</v>
      </c>
      <c r="K111" s="312">
        <f t="shared" si="720"/>
        <v>1797</v>
      </c>
      <c r="L111" s="312">
        <f t="shared" si="720"/>
        <v>1977</v>
      </c>
      <c r="M111" s="312">
        <f t="shared" si="720"/>
        <v>2157</v>
      </c>
      <c r="N111" s="312">
        <f t="shared" si="720"/>
        <v>2337</v>
      </c>
      <c r="O111" s="312">
        <f t="shared" si="720"/>
        <v>2517</v>
      </c>
      <c r="P111" s="312">
        <f t="shared" si="720"/>
        <v>2697</v>
      </c>
      <c r="Q111" s="312">
        <f t="shared" si="720"/>
        <v>2877</v>
      </c>
      <c r="R111" s="312">
        <f t="shared" si="720"/>
        <v>3057</v>
      </c>
      <c r="S111" s="312">
        <f t="shared" si="720"/>
        <v>3236</v>
      </c>
      <c r="T111" s="312">
        <f t="shared" si="720"/>
        <v>3416</v>
      </c>
      <c r="U111" s="312">
        <f t="shared" si="720"/>
        <v>3596</v>
      </c>
      <c r="V111" s="312">
        <f t="shared" si="720"/>
        <v>3776</v>
      </c>
      <c r="W111" s="312">
        <f t="shared" si="720"/>
        <v>3956</v>
      </c>
      <c r="X111" s="312">
        <f t="shared" si="720"/>
        <v>4136</v>
      </c>
      <c r="Y111" s="312">
        <f t="shared" si="720"/>
        <v>4316</v>
      </c>
      <c r="Z111" s="312">
        <f t="shared" si="720"/>
        <v>4496</v>
      </c>
      <c r="AA111" s="312">
        <f t="shared" si="720"/>
        <v>4675</v>
      </c>
      <c r="AB111" s="312">
        <f t="shared" si="720"/>
        <v>4855</v>
      </c>
      <c r="AC111" s="312">
        <f t="shared" si="720"/>
        <v>5035</v>
      </c>
      <c r="AD111" s="312">
        <f t="shared" si="720"/>
        <v>5215</v>
      </c>
      <c r="AE111" s="312">
        <f t="shared" si="720"/>
        <v>5395</v>
      </c>
      <c r="AF111" s="312">
        <f t="shared" si="720"/>
        <v>5575</v>
      </c>
      <c r="AG111" s="312">
        <f t="shared" si="720"/>
        <v>5755</v>
      </c>
      <c r="AH111" s="312">
        <f t="shared" ref="AH111:BM111" si="721">DAYS360($B$3,AH40)</f>
        <v>5935</v>
      </c>
      <c r="AI111" s="312">
        <f t="shared" si="721"/>
        <v>6114</v>
      </c>
      <c r="AJ111" s="312">
        <f t="shared" si="721"/>
        <v>6294</v>
      </c>
      <c r="AK111" s="312">
        <f t="shared" si="721"/>
        <v>6474</v>
      </c>
      <c r="AL111" s="312">
        <f t="shared" si="721"/>
        <v>6654</v>
      </c>
      <c r="AM111" s="312">
        <f t="shared" si="721"/>
        <v>6834</v>
      </c>
      <c r="AN111" s="312">
        <f t="shared" si="721"/>
        <v>7014</v>
      </c>
      <c r="AO111" s="312">
        <f t="shared" si="721"/>
        <v>7194</v>
      </c>
      <c r="AP111" s="312">
        <f t="shared" si="721"/>
        <v>7374</v>
      </c>
      <c r="AQ111" s="312">
        <f t="shared" si="721"/>
        <v>7553</v>
      </c>
      <c r="AR111" s="312">
        <f t="shared" si="721"/>
        <v>7733</v>
      </c>
      <c r="AS111" s="312">
        <f t="shared" si="721"/>
        <v>7913</v>
      </c>
      <c r="AT111" s="312">
        <f t="shared" si="721"/>
        <v>8093</v>
      </c>
      <c r="AU111" s="312">
        <f t="shared" si="721"/>
        <v>8273</v>
      </c>
      <c r="AV111" s="312">
        <f t="shared" si="721"/>
        <v>8453</v>
      </c>
      <c r="AW111" s="312">
        <f t="shared" si="721"/>
        <v>8633</v>
      </c>
      <c r="AX111" s="312">
        <f t="shared" si="721"/>
        <v>8813</v>
      </c>
      <c r="AY111" s="312">
        <f t="shared" si="721"/>
        <v>8992</v>
      </c>
      <c r="AZ111" s="312">
        <f t="shared" si="721"/>
        <v>9172</v>
      </c>
      <c r="BA111" s="312">
        <f t="shared" si="721"/>
        <v>9352</v>
      </c>
      <c r="BB111" s="312">
        <f t="shared" si="721"/>
        <v>9532</v>
      </c>
      <c r="BC111" s="312">
        <f t="shared" si="721"/>
        <v>9712</v>
      </c>
      <c r="BD111" s="312">
        <f t="shared" si="721"/>
        <v>9892</v>
      </c>
      <c r="BE111" s="312">
        <f t="shared" si="721"/>
        <v>10072</v>
      </c>
      <c r="BF111" s="312">
        <f t="shared" si="721"/>
        <v>10252</v>
      </c>
      <c r="BG111" s="312">
        <f t="shared" si="721"/>
        <v>10431</v>
      </c>
      <c r="BH111" s="312">
        <f t="shared" si="721"/>
        <v>10611</v>
      </c>
      <c r="BI111" s="312">
        <f t="shared" si="721"/>
        <v>10791</v>
      </c>
      <c r="BJ111" s="312">
        <f t="shared" si="721"/>
        <v>10971</v>
      </c>
      <c r="BK111" s="312">
        <f t="shared" si="721"/>
        <v>11151</v>
      </c>
      <c r="BL111" s="312">
        <f t="shared" si="721"/>
        <v>11331</v>
      </c>
      <c r="BM111" s="312">
        <f t="shared" si="721"/>
        <v>11511</v>
      </c>
      <c r="BN111" s="312">
        <f t="shared" ref="BN111:CB111" si="722">DAYS360($B$3,BN40)</f>
        <v>11691</v>
      </c>
      <c r="BO111" s="312">
        <f t="shared" si="722"/>
        <v>11870</v>
      </c>
      <c r="BP111" s="312">
        <f t="shared" si="722"/>
        <v>12050</v>
      </c>
      <c r="BQ111" s="312">
        <f t="shared" si="722"/>
        <v>12230</v>
      </c>
      <c r="BR111" s="312">
        <f t="shared" si="722"/>
        <v>12410</v>
      </c>
      <c r="BS111" s="312">
        <f t="shared" si="722"/>
        <v>12590</v>
      </c>
      <c r="BT111" s="312">
        <f t="shared" si="722"/>
        <v>12770</v>
      </c>
      <c r="BU111" s="312">
        <f t="shared" si="722"/>
        <v>12950</v>
      </c>
      <c r="BV111" s="312">
        <f t="shared" si="722"/>
        <v>13130</v>
      </c>
      <c r="BW111" s="312">
        <f t="shared" si="722"/>
        <v>13309</v>
      </c>
      <c r="BX111" s="312">
        <f t="shared" si="722"/>
        <v>13489</v>
      </c>
      <c r="BY111" s="312">
        <f t="shared" si="722"/>
        <v>13669</v>
      </c>
      <c r="BZ111" s="312">
        <f t="shared" si="722"/>
        <v>13849</v>
      </c>
      <c r="CA111" s="312">
        <f t="shared" si="722"/>
        <v>14029</v>
      </c>
      <c r="CB111" s="312">
        <f t="shared" si="722"/>
        <v>14209</v>
      </c>
    </row>
    <row r="112" spans="1:80">
      <c r="A112" s="311" t="s">
        <v>41</v>
      </c>
      <c r="B112" s="312">
        <f>B111/360</f>
        <v>0.49722222222222223</v>
      </c>
      <c r="C112" s="312">
        <f t="shared" ref="C112:BN112" si="723">C111/360</f>
        <v>0.99444444444444446</v>
      </c>
      <c r="D112" s="312">
        <f t="shared" si="723"/>
        <v>1.4944444444444445</v>
      </c>
      <c r="E112" s="312">
        <f t="shared" si="723"/>
        <v>1.9944444444444445</v>
      </c>
      <c r="F112" s="312">
        <f t="shared" si="723"/>
        <v>2.4944444444444445</v>
      </c>
      <c r="G112" s="312">
        <f t="shared" si="723"/>
        <v>2.9944444444444445</v>
      </c>
      <c r="H112" s="312">
        <f t="shared" si="723"/>
        <v>3.4944444444444445</v>
      </c>
      <c r="I112" s="312">
        <f t="shared" si="723"/>
        <v>3.9944444444444445</v>
      </c>
      <c r="J112" s="312">
        <f t="shared" si="723"/>
        <v>4.4944444444444445</v>
      </c>
      <c r="K112" s="312">
        <f t="shared" si="723"/>
        <v>4.9916666666666663</v>
      </c>
      <c r="L112" s="312">
        <f t="shared" si="723"/>
        <v>5.4916666666666663</v>
      </c>
      <c r="M112" s="312">
        <f t="shared" si="723"/>
        <v>5.9916666666666663</v>
      </c>
      <c r="N112" s="312">
        <f t="shared" si="723"/>
        <v>6.4916666666666663</v>
      </c>
      <c r="O112" s="312">
        <f t="shared" si="723"/>
        <v>6.9916666666666663</v>
      </c>
      <c r="P112" s="312">
        <f t="shared" si="723"/>
        <v>7.4916666666666663</v>
      </c>
      <c r="Q112" s="312">
        <f t="shared" si="723"/>
        <v>7.9916666666666663</v>
      </c>
      <c r="R112" s="312">
        <f t="shared" si="723"/>
        <v>8.4916666666666671</v>
      </c>
      <c r="S112" s="312">
        <f t="shared" si="723"/>
        <v>8.9888888888888889</v>
      </c>
      <c r="T112" s="312">
        <f t="shared" si="723"/>
        <v>9.4888888888888889</v>
      </c>
      <c r="U112" s="312">
        <f t="shared" si="723"/>
        <v>9.9888888888888889</v>
      </c>
      <c r="V112" s="312">
        <f t="shared" si="723"/>
        <v>10.488888888888889</v>
      </c>
      <c r="W112" s="312">
        <f t="shared" si="723"/>
        <v>10.988888888888889</v>
      </c>
      <c r="X112" s="312">
        <f t="shared" si="723"/>
        <v>11.488888888888889</v>
      </c>
      <c r="Y112" s="312">
        <f t="shared" si="723"/>
        <v>11.988888888888889</v>
      </c>
      <c r="Z112" s="312">
        <f t="shared" si="723"/>
        <v>12.488888888888889</v>
      </c>
      <c r="AA112" s="312">
        <f t="shared" si="723"/>
        <v>12.986111111111111</v>
      </c>
      <c r="AB112" s="312">
        <f t="shared" si="723"/>
        <v>13.486111111111111</v>
      </c>
      <c r="AC112" s="312">
        <f t="shared" si="723"/>
        <v>13.986111111111111</v>
      </c>
      <c r="AD112" s="312">
        <f t="shared" si="723"/>
        <v>14.486111111111111</v>
      </c>
      <c r="AE112" s="312">
        <f t="shared" si="723"/>
        <v>14.986111111111111</v>
      </c>
      <c r="AF112" s="312">
        <f t="shared" si="723"/>
        <v>15.486111111111111</v>
      </c>
      <c r="AG112" s="312">
        <f t="shared" si="723"/>
        <v>15.986111111111111</v>
      </c>
      <c r="AH112" s="312">
        <f t="shared" si="723"/>
        <v>16.486111111111111</v>
      </c>
      <c r="AI112" s="312">
        <f t="shared" si="723"/>
        <v>16.983333333333334</v>
      </c>
      <c r="AJ112" s="312">
        <f t="shared" si="723"/>
        <v>17.483333333333334</v>
      </c>
      <c r="AK112" s="312">
        <f t="shared" si="723"/>
        <v>17.983333333333334</v>
      </c>
      <c r="AL112" s="312">
        <f t="shared" si="723"/>
        <v>18.483333333333334</v>
      </c>
      <c r="AM112" s="312">
        <f t="shared" si="723"/>
        <v>18.983333333333334</v>
      </c>
      <c r="AN112" s="312">
        <f t="shared" si="723"/>
        <v>19.483333333333334</v>
      </c>
      <c r="AO112" s="312">
        <f t="shared" si="723"/>
        <v>19.983333333333334</v>
      </c>
      <c r="AP112" s="312">
        <f t="shared" si="723"/>
        <v>20.483333333333334</v>
      </c>
      <c r="AQ112" s="312">
        <f t="shared" si="723"/>
        <v>20.980555555555554</v>
      </c>
      <c r="AR112" s="312">
        <f t="shared" si="723"/>
        <v>21.480555555555554</v>
      </c>
      <c r="AS112" s="312">
        <f t="shared" si="723"/>
        <v>21.980555555555554</v>
      </c>
      <c r="AT112" s="312">
        <f t="shared" si="723"/>
        <v>22.480555555555554</v>
      </c>
      <c r="AU112" s="312">
        <f t="shared" si="723"/>
        <v>22.980555555555554</v>
      </c>
      <c r="AV112" s="312">
        <f t="shared" si="723"/>
        <v>23.480555555555554</v>
      </c>
      <c r="AW112" s="312">
        <f t="shared" si="723"/>
        <v>23.980555555555554</v>
      </c>
      <c r="AX112" s="312">
        <f t="shared" si="723"/>
        <v>24.480555555555554</v>
      </c>
      <c r="AY112" s="312">
        <f t="shared" si="723"/>
        <v>24.977777777777778</v>
      </c>
      <c r="AZ112" s="312">
        <f t="shared" si="723"/>
        <v>25.477777777777778</v>
      </c>
      <c r="BA112" s="312">
        <f t="shared" si="723"/>
        <v>25.977777777777778</v>
      </c>
      <c r="BB112" s="312">
        <f t="shared" si="723"/>
        <v>26.477777777777778</v>
      </c>
      <c r="BC112" s="312">
        <f t="shared" si="723"/>
        <v>26.977777777777778</v>
      </c>
      <c r="BD112" s="312">
        <f t="shared" si="723"/>
        <v>27.477777777777778</v>
      </c>
      <c r="BE112" s="312">
        <f t="shared" si="723"/>
        <v>27.977777777777778</v>
      </c>
      <c r="BF112" s="312">
        <f t="shared" si="723"/>
        <v>28.477777777777778</v>
      </c>
      <c r="BG112" s="312">
        <f t="shared" si="723"/>
        <v>28.975000000000001</v>
      </c>
      <c r="BH112" s="312">
        <f t="shared" si="723"/>
        <v>29.475000000000001</v>
      </c>
      <c r="BI112" s="312">
        <f t="shared" si="723"/>
        <v>29.975000000000001</v>
      </c>
      <c r="BJ112" s="312">
        <f t="shared" si="723"/>
        <v>30.475000000000001</v>
      </c>
      <c r="BK112" s="312">
        <f t="shared" si="723"/>
        <v>30.975000000000001</v>
      </c>
      <c r="BL112" s="312">
        <f t="shared" si="723"/>
        <v>31.475000000000001</v>
      </c>
      <c r="BM112" s="312">
        <f t="shared" si="723"/>
        <v>31.975000000000001</v>
      </c>
      <c r="BN112" s="312">
        <f t="shared" si="723"/>
        <v>32.475000000000001</v>
      </c>
      <c r="BO112" s="312">
        <f t="shared" ref="BO112:CB112" si="724">BO111/360</f>
        <v>32.972222222222221</v>
      </c>
      <c r="BP112" s="312">
        <f t="shared" si="724"/>
        <v>33.472222222222221</v>
      </c>
      <c r="BQ112" s="312">
        <f t="shared" si="724"/>
        <v>33.972222222222221</v>
      </c>
      <c r="BR112" s="312">
        <f t="shared" si="724"/>
        <v>34.472222222222221</v>
      </c>
      <c r="BS112" s="312">
        <f t="shared" si="724"/>
        <v>34.972222222222221</v>
      </c>
      <c r="BT112" s="312">
        <f t="shared" si="724"/>
        <v>35.472222222222221</v>
      </c>
      <c r="BU112" s="312">
        <f t="shared" si="724"/>
        <v>35.972222222222221</v>
      </c>
      <c r="BV112" s="312">
        <f t="shared" si="724"/>
        <v>36.472222222222221</v>
      </c>
      <c r="BW112" s="312">
        <f t="shared" si="724"/>
        <v>36.969444444444441</v>
      </c>
      <c r="BX112" s="312">
        <f t="shared" si="724"/>
        <v>37.469444444444441</v>
      </c>
      <c r="BY112" s="312">
        <f t="shared" si="724"/>
        <v>37.969444444444441</v>
      </c>
      <c r="BZ112" s="312">
        <f t="shared" si="724"/>
        <v>38.469444444444441</v>
      </c>
      <c r="CA112" s="312">
        <f t="shared" si="724"/>
        <v>38.969444444444441</v>
      </c>
      <c r="CB112" s="312">
        <f t="shared" si="724"/>
        <v>39.469444444444441</v>
      </c>
    </row>
    <row r="113" spans="1:80">
      <c r="A113" s="311" t="s">
        <v>43</v>
      </c>
      <c r="B113" s="312">
        <f>IF(B111&lt;0,0,$B$5+$B$6*((1-EXP(-B112/$B$9))/(B112/$B$9))+$B$7*((1-EXP(-B112/$B$9))/(B112/$B$9)-EXP(-B112/$B$9))+$B$8*((1-EXP(-B112/$B$10))/(B112/$B$10)-EXP(-B112/$B$10)))</f>
        <v>1.7502862313720696E-2</v>
      </c>
      <c r="C113" s="312">
        <f t="shared" ref="C113:BN113" si="725">IF(C111&lt;0,0,$B$5+$B$6*((1-EXP(-C112/$B$9))/(C112/$B$9))+$B$7*((1-EXP(-C112/$B$9))/(C112/$B$9)-EXP(-C112/$B$9))+$B$8*((1-EXP(-C112/$B$10))/(C112/$B$10)-EXP(-C112/$B$10)))</f>
        <v>1.7546967450880857E-2</v>
      </c>
      <c r="D113" s="312">
        <f t="shared" si="725"/>
        <v>1.7606168310098716E-2</v>
      </c>
      <c r="E113" s="312">
        <f t="shared" si="725"/>
        <v>1.76792259527392E-2</v>
      </c>
      <c r="F113" s="312">
        <f t="shared" si="725"/>
        <v>1.7765157643877205E-2</v>
      </c>
      <c r="G113" s="312">
        <f t="shared" si="725"/>
        <v>1.7863031510095551E-2</v>
      </c>
      <c r="H113" s="312">
        <f t="shared" si="725"/>
        <v>1.797196431746359E-2</v>
      </c>
      <c r="I113" s="312">
        <f t="shared" si="725"/>
        <v>1.8091119328452671E-2</v>
      </c>
      <c r="J113" s="312">
        <f t="shared" si="725"/>
        <v>1.821970423619132E-2</v>
      </c>
      <c r="K113" s="312">
        <f t="shared" si="725"/>
        <v>1.8356183934990222E-2</v>
      </c>
      <c r="L113" s="312">
        <f t="shared" si="725"/>
        <v>1.8501377167633337E-2</v>
      </c>
      <c r="M113" s="312">
        <f t="shared" si="725"/>
        <v>1.865387404949112E-2</v>
      </c>
      <c r="N113" s="312">
        <f t="shared" si="725"/>
        <v>1.8813040625260291E-2</v>
      </c>
      <c r="O113" s="312">
        <f t="shared" si="725"/>
        <v>1.8978278150209832E-2</v>
      </c>
      <c r="P113" s="312">
        <f t="shared" si="725"/>
        <v>1.9149021451111803E-2</v>
      </c>
      <c r="Q113" s="312">
        <f t="shared" si="725"/>
        <v>1.9324737351885779E-2</v>
      </c>
      <c r="R113" s="312">
        <f t="shared" si="725"/>
        <v>1.9504923162076193E-2</v>
      </c>
      <c r="S113" s="312">
        <f t="shared" si="725"/>
        <v>1.9688071785022576E-2</v>
      </c>
      <c r="T113" s="312">
        <f t="shared" si="725"/>
        <v>1.9875785550960645E-2</v>
      </c>
      <c r="U113" s="312">
        <f t="shared" si="725"/>
        <v>2.0066632117908378E-2</v>
      </c>
      <c r="V113" s="312">
        <f t="shared" si="725"/>
        <v>2.0260216678095133E-2</v>
      </c>
      <c r="W113" s="312">
        <f t="shared" si="725"/>
        <v>2.0456168235481353E-2</v>
      </c>
      <c r="X113" s="312">
        <f t="shared" si="725"/>
        <v>2.0654138431910052E-2</v>
      </c>
      <c r="Y113" s="312">
        <f t="shared" si="725"/>
        <v>2.0853800423269342E-2</v>
      </c>
      <c r="Z113" s="312">
        <f t="shared" si="725"/>
        <v>2.105484780392769E-2</v>
      </c>
      <c r="AA113" s="312">
        <f t="shared" si="725"/>
        <v>2.1255868012983292E-2</v>
      </c>
      <c r="AB113" s="312">
        <f t="shared" si="725"/>
        <v>2.1458839708444366E-2</v>
      </c>
      <c r="AC113" s="312">
        <f t="shared" si="725"/>
        <v>2.1662391488464439E-2</v>
      </c>
      <c r="AD113" s="312">
        <f t="shared" si="725"/>
        <v>2.1866288762611041E-2</v>
      </c>
      <c r="AE113" s="312">
        <f t="shared" si="725"/>
        <v>2.2070312671555348E-2</v>
      </c>
      <c r="AF113" s="312">
        <f t="shared" si="725"/>
        <v>2.2274259266456931E-2</v>
      </c>
      <c r="AG113" s="312">
        <f t="shared" si="725"/>
        <v>2.2477938725486757E-2</v>
      </c>
      <c r="AH113" s="312">
        <f t="shared" si="725"/>
        <v>2.2681174606053955E-2</v>
      </c>
      <c r="AI113" s="312">
        <f t="shared" si="725"/>
        <v>2.2882679379141013E-2</v>
      </c>
      <c r="AJ113" s="312">
        <f t="shared" si="725"/>
        <v>2.3084553373245054E-2</v>
      </c>
      <c r="AK113" s="312">
        <f t="shared" si="725"/>
        <v>2.3285528515443132E-2</v>
      </c>
      <c r="AL113" s="312">
        <f t="shared" si="725"/>
        <v>2.3485475010504797E-2</v>
      </c>
      <c r="AM113" s="312">
        <f t="shared" si="725"/>
        <v>2.3684273194857663E-2</v>
      </c>
      <c r="AN113" s="312">
        <f t="shared" si="725"/>
        <v>2.3881812974973604E-2</v>
      </c>
      <c r="AO113" s="312">
        <f t="shared" si="725"/>
        <v>2.4077993292536792E-2</v>
      </c>
      <c r="AP113" s="312">
        <f t="shared" si="725"/>
        <v>2.427272161527555E-2</v>
      </c>
      <c r="AQ113" s="312">
        <f t="shared" si="725"/>
        <v>2.4464844553315712E-2</v>
      </c>
      <c r="AR113" s="312">
        <f t="shared" si="725"/>
        <v>2.4656432156833219E-2</v>
      </c>
      <c r="AS113" s="312">
        <f t="shared" si="725"/>
        <v>2.4846336964470084E-2</v>
      </c>
      <c r="AT113" s="312">
        <f t="shared" si="725"/>
        <v>2.5034495896443298E-2</v>
      </c>
      <c r="AU113" s="312">
        <f t="shared" si="725"/>
        <v>2.5220852203757416E-2</v>
      </c>
      <c r="AV113" s="312">
        <f t="shared" si="725"/>
        <v>2.5405355091508819E-2</v>
      </c>
      <c r="AW113" s="312">
        <f t="shared" si="725"/>
        <v>2.5587959361053125E-2</v>
      </c>
      <c r="AX113" s="312">
        <f t="shared" si="725"/>
        <v>2.5768625070203111E-2</v>
      </c>
      <c r="AY113" s="312">
        <f t="shared" si="725"/>
        <v>2.5946329986063554E-2</v>
      </c>
      <c r="AZ113" s="312">
        <f t="shared" si="725"/>
        <v>2.6123029386136587E-2</v>
      </c>
      <c r="BA113" s="312">
        <f t="shared" si="725"/>
        <v>2.6297698926963264E-2</v>
      </c>
      <c r="BB113" s="312">
        <f t="shared" si="725"/>
        <v>2.647031660542723E-2</v>
      </c>
      <c r="BC113" s="312">
        <f t="shared" si="725"/>
        <v>2.6640864220642213E-2</v>
      </c>
      <c r="BD113" s="312">
        <f t="shared" si="725"/>
        <v>2.680932712642467E-2</v>
      </c>
      <c r="BE113" s="312">
        <f t="shared" si="725"/>
        <v>2.697569399679034E-2</v>
      </c>
      <c r="BF113" s="312">
        <f t="shared" si="725"/>
        <v>2.7139956603870308E-2</v>
      </c>
      <c r="BG113" s="312">
        <f t="shared" si="725"/>
        <v>2.7301214591153228E-2</v>
      </c>
      <c r="BH113" s="312">
        <f t="shared" si="725"/>
        <v>2.7461267077955875E-2</v>
      </c>
      <c r="BI113" s="312">
        <f t="shared" si="725"/>
        <v>2.7619207154218534E-2</v>
      </c>
      <c r="BJ113" s="312">
        <f t="shared" si="725"/>
        <v>2.7775036979794332E-2</v>
      </c>
      <c r="BK113" s="312">
        <f t="shared" si="725"/>
        <v>2.79287608699057E-2</v>
      </c>
      <c r="BL113" s="312">
        <f t="shared" si="725"/>
        <v>2.8080385136130009E-2</v>
      </c>
      <c r="BM113" s="312">
        <f t="shared" si="725"/>
        <v>2.8229917936218513E-2</v>
      </c>
      <c r="BN113" s="312">
        <f t="shared" si="725"/>
        <v>2.8377369132313479E-2</v>
      </c>
      <c r="BO113" s="312">
        <f t="shared" ref="BO113:CB113" si="726">IF(BO111&lt;0,0,$B$5+$B$6*((1-EXP(-BO112/$B$9))/(BO112/$B$9))+$B$7*((1-EXP(-BO112/$B$9))/(BO112/$B$9)-EXP(-BO112/$B$9))+$B$8*((1-EXP(-BO112/$B$10))/(BO112/$B$10)-EXP(-BO112/$B$10)))</f>
        <v>2.8521948180309314E-2</v>
      </c>
      <c r="BP113" s="312">
        <f t="shared" si="726"/>
        <v>2.866528330239676E-2</v>
      </c>
      <c r="BQ113" s="312">
        <f t="shared" si="726"/>
        <v>2.8806575250593269E-2</v>
      </c>
      <c r="BR113" s="312">
        <f t="shared" si="726"/>
        <v>2.8945839434345422E-2</v>
      </c>
      <c r="BS113" s="312">
        <f t="shared" si="726"/>
        <v>2.9083092371393837E-2</v>
      </c>
      <c r="BT113" s="312">
        <f t="shared" si="726"/>
        <v>2.9218351588337882E-2</v>
      </c>
      <c r="BU113" s="312">
        <f t="shared" si="726"/>
        <v>2.9351635527083697E-2</v>
      </c>
      <c r="BV113" s="312">
        <f t="shared" si="726"/>
        <v>2.9482963456872346E-2</v>
      </c>
      <c r="BW113" s="312">
        <f t="shared" si="726"/>
        <v>2.9611641857720333E-2</v>
      </c>
      <c r="BX113" s="312">
        <f t="shared" si="726"/>
        <v>2.9739129060698921E-2</v>
      </c>
      <c r="BY113" s="312">
        <f t="shared" si="726"/>
        <v>2.9864722104877395E-2</v>
      </c>
      <c r="BZ113" s="312">
        <f t="shared" si="726"/>
        <v>2.9988442788329267E-2</v>
      </c>
      <c r="CA113" s="312">
        <f t="shared" si="726"/>
        <v>3.0110313371158659E-2</v>
      </c>
      <c r="CB113" s="312">
        <f t="shared" si="726"/>
        <v>3.0230356515455165E-2</v>
      </c>
    </row>
    <row r="114" spans="1:80">
      <c r="A114" s="311" t="s">
        <v>44</v>
      </c>
      <c r="B114" s="312">
        <f>EXP(-B113*B112)</f>
        <v>0.99133494775594411</v>
      </c>
      <c r="C114" s="312">
        <f t="shared" ref="C114" si="727">EXP(-C113*C112)</f>
        <v>0.98270187628601502</v>
      </c>
      <c r="D114" s="312">
        <f t="shared" ref="D114:AR114" si="728">EXP(-D113*D112)</f>
        <v>0.9740316895281903</v>
      </c>
      <c r="E114" s="312">
        <f t="shared" si="728"/>
        <v>0.96535416560698328</v>
      </c>
      <c r="F114" s="312">
        <f t="shared" si="728"/>
        <v>0.95665333092877125</v>
      </c>
      <c r="G114" s="312">
        <f t="shared" si="728"/>
        <v>0.94791555711630204</v>
      </c>
      <c r="H114" s="312">
        <f t="shared" si="728"/>
        <v>0.93912937391716023</v>
      </c>
      <c r="I114" s="312">
        <f t="shared" si="728"/>
        <v>0.93028529496859791</v>
      </c>
      <c r="J114" s="312">
        <f t="shared" si="728"/>
        <v>0.92137565508764274</v>
      </c>
      <c r="K114" s="312">
        <f t="shared" si="728"/>
        <v>0.91244456005484864</v>
      </c>
      <c r="L114" s="312">
        <f t="shared" si="728"/>
        <v>0.90338776757950023</v>
      </c>
      <c r="M114" s="312">
        <f t="shared" si="728"/>
        <v>0.89425188284220547</v>
      </c>
      <c r="N114" s="312">
        <f t="shared" si="728"/>
        <v>0.88503508674048181</v>
      </c>
      <c r="O114" s="312">
        <f t="shared" si="728"/>
        <v>0.87573670811711612</v>
      </c>
      <c r="P114" s="312">
        <f t="shared" si="728"/>
        <v>0.86635711217418332</v>
      </c>
      <c r="Q114" s="312">
        <f t="shared" si="728"/>
        <v>0.85689759551618949</v>
      </c>
      <c r="R114" s="312">
        <f t="shared" si="728"/>
        <v>0.84736028747735637</v>
      </c>
      <c r="S114" s="312">
        <f t="shared" si="728"/>
        <v>0.83780165947999741</v>
      </c>
      <c r="T114" s="312">
        <f t="shared" si="728"/>
        <v>0.82811841571618106</v>
      </c>
      <c r="U114" s="312">
        <f t="shared" si="728"/>
        <v>0.81836784221329473</v>
      </c>
      <c r="V114" s="312">
        <f t="shared" si="728"/>
        <v>0.80855452575553166</v>
      </c>
      <c r="W114" s="312">
        <f t="shared" si="728"/>
        <v>0.79868347764503977</v>
      </c>
      <c r="X114" s="312">
        <f t="shared" si="728"/>
        <v>0.78876006734331217</v>
      </c>
      <c r="Y114" s="312">
        <f t="shared" si="728"/>
        <v>0.778789960786341</v>
      </c>
      <c r="Z114" s="312">
        <f t="shared" si="728"/>
        <v>0.76877906319361389</v>
      </c>
      <c r="AA114" s="312">
        <f t="shared" si="728"/>
        <v>0.75878935952962412</v>
      </c>
      <c r="AB114" s="312">
        <f t="shared" si="728"/>
        <v>0.74871543320342449</v>
      </c>
      <c r="AC114" s="312">
        <f t="shared" si="728"/>
        <v>0.73861932370807293</v>
      </c>
      <c r="AD114" s="312">
        <f t="shared" si="728"/>
        <v>0.72850740505367828</v>
      </c>
      <c r="AE114" s="312">
        <f t="shared" si="728"/>
        <v>0.71838606607836908</v>
      </c>
      <c r="AF114" s="312">
        <f t="shared" si="728"/>
        <v>0.70826167655609173</v>
      </c>
      <c r="AG114" s="312">
        <f t="shared" si="728"/>
        <v>0.6981405565934341</v>
      </c>
      <c r="AH114" s="312">
        <f t="shared" si="728"/>
        <v>0.68802894914669188</v>
      </c>
      <c r="AI114" s="312">
        <f t="shared" si="728"/>
        <v>0.67798902976805742</v>
      </c>
      <c r="AJ114" s="312">
        <f t="shared" si="728"/>
        <v>0.66791461098992122</v>
      </c>
      <c r="AK114" s="312">
        <f t="shared" si="728"/>
        <v>0.65786770695142249</v>
      </c>
      <c r="AL114" s="312">
        <f t="shared" si="728"/>
        <v>0.64785403469051761</v>
      </c>
      <c r="AM114" s="312">
        <f t="shared" si="728"/>
        <v>0.63787913776967164</v>
      </c>
      <c r="AN114" s="312">
        <f t="shared" si="728"/>
        <v>0.62794837406515169</v>
      </c>
      <c r="AO114" s="312">
        <f t="shared" si="728"/>
        <v>0.61806690555865029</v>
      </c>
      <c r="AP114" s="312">
        <f t="shared" si="728"/>
        <v>0.60823968998566269</v>
      </c>
      <c r="AQ114" s="312">
        <f t="shared" si="728"/>
        <v>0.59852557066586265</v>
      </c>
      <c r="AR114" s="312">
        <f t="shared" si="728"/>
        <v>0.58882052052088008</v>
      </c>
      <c r="AS114" s="312">
        <f>EXP(-AS113*AS112)</f>
        <v>0.57918328911114891</v>
      </c>
      <c r="AT114" s="312">
        <f t="shared" ref="AT114:CA114" si="729">EXP(-AT113*AT112)</f>
        <v>0.56961796722119606</v>
      </c>
      <c r="AU114" s="312">
        <f t="shared" si="729"/>
        <v>0.56012842273768781</v>
      </c>
      <c r="AV114" s="312">
        <f t="shared" si="729"/>
        <v>0.55071830065923066</v>
      </c>
      <c r="AW114" s="312">
        <f t="shared" si="729"/>
        <v>0.54139102409060236</v>
      </c>
      <c r="AX114" s="312">
        <f t="shared" si="729"/>
        <v>0.53214979611937574</v>
      </c>
      <c r="AY114" s="312">
        <f t="shared" si="729"/>
        <v>0.5230481968675168</v>
      </c>
      <c r="AZ114" s="312">
        <f t="shared" si="729"/>
        <v>0.51398729199263482</v>
      </c>
      <c r="BA114" s="312">
        <f t="shared" si="729"/>
        <v>0.50502074123811425</v>
      </c>
      <c r="BB114" s="312">
        <f t="shared" si="729"/>
        <v>0.496150901920133</v>
      </c>
      <c r="BC114" s="312">
        <f t="shared" si="729"/>
        <v>0.48737993076220898</v>
      </c>
      <c r="BD114" s="312">
        <f t="shared" si="729"/>
        <v>0.47870978924320318</v>
      </c>
      <c r="BE114" s="312">
        <f t="shared" si="729"/>
        <v>0.47014224927231391</v>
      </c>
      <c r="BF114" s="312">
        <f t="shared" si="729"/>
        <v>0.46167889913268167</v>
      </c>
      <c r="BG114" s="312">
        <f t="shared" si="729"/>
        <v>0.45336728752230915</v>
      </c>
      <c r="BH114" s="312">
        <f t="shared" si="729"/>
        <v>0.44511578167308097</v>
      </c>
      <c r="BI114" s="312">
        <f t="shared" si="729"/>
        <v>0.43697218558998668</v>
      </c>
      <c r="BJ114" s="312">
        <f t="shared" si="729"/>
        <v>0.42893741693799892</v>
      </c>
      <c r="BK114" s="312">
        <f t="shared" si="729"/>
        <v>0.4210122417441915</v>
      </c>
      <c r="BL114" s="312">
        <f t="shared" si="729"/>
        <v>0.41319728097814667</v>
      </c>
      <c r="BM114" s="312">
        <f t="shared" si="729"/>
        <v>0.40549301711334629</v>
      </c>
      <c r="BN114" s="312">
        <f t="shared" si="729"/>
        <v>0.39789980064314701</v>
      </c>
      <c r="BO114" s="312">
        <f t="shared" si="729"/>
        <v>0.39045911526378552</v>
      </c>
      <c r="BP114" s="312">
        <f t="shared" si="729"/>
        <v>0.38308793043873168</v>
      </c>
      <c r="BQ114" s="312">
        <f t="shared" si="729"/>
        <v>0.37582811695285945</v>
      </c>
      <c r="BR114" s="312">
        <f t="shared" si="729"/>
        <v>0.36867956144329156</v>
      </c>
      <c r="BS114" s="312">
        <f t="shared" si="729"/>
        <v>0.36164204970580749</v>
      </c>
      <c r="BT114" s="312">
        <f t="shared" si="729"/>
        <v>0.35471527253815899</v>
      </c>
      <c r="BU114" s="312">
        <f t="shared" si="729"/>
        <v>0.3478988314261498</v>
      </c>
      <c r="BV114" s="312">
        <f t="shared" si="729"/>
        <v>0.3411922440648365</v>
      </c>
      <c r="BW114" s="312">
        <f t="shared" si="729"/>
        <v>0.33463130057083745</v>
      </c>
      <c r="BX114" s="312">
        <f t="shared" si="729"/>
        <v>0.32814206342607616</v>
      </c>
      <c r="BY114" s="312">
        <f t="shared" si="729"/>
        <v>0.32176078707350481</v>
      </c>
      <c r="BZ114" s="312">
        <f t="shared" si="729"/>
        <v>0.3154867061133213</v>
      </c>
      <c r="CA114" s="312">
        <f t="shared" si="729"/>
        <v>0.30931899629507537</v>
      </c>
      <c r="CB114" s="312">
        <f>EXP(-CB113*CB112)</f>
        <v>0.30325677896735026</v>
      </c>
    </row>
    <row r="116" spans="1:80">
      <c r="A116" s="311" t="s">
        <v>40</v>
      </c>
      <c r="B116" s="312">
        <f t="shared" ref="B116:AG116" si="730">DAYS360($B$3,B42)</f>
        <v>179</v>
      </c>
      <c r="C116" s="312">
        <f t="shared" si="730"/>
        <v>358</v>
      </c>
      <c r="D116" s="312">
        <f t="shared" si="730"/>
        <v>538</v>
      </c>
      <c r="E116" s="312">
        <f t="shared" si="730"/>
        <v>718</v>
      </c>
      <c r="F116" s="312">
        <f t="shared" si="730"/>
        <v>898</v>
      </c>
      <c r="G116" s="312">
        <f t="shared" si="730"/>
        <v>1078</v>
      </c>
      <c r="H116" s="312">
        <f t="shared" si="730"/>
        <v>1258</v>
      </c>
      <c r="I116" s="312">
        <f t="shared" si="730"/>
        <v>1438</v>
      </c>
      <c r="J116" s="312">
        <f t="shared" si="730"/>
        <v>1618</v>
      </c>
      <c r="K116" s="312">
        <f t="shared" si="730"/>
        <v>1797</v>
      </c>
      <c r="L116" s="312">
        <f t="shared" si="730"/>
        <v>1977</v>
      </c>
      <c r="M116" s="312">
        <f t="shared" si="730"/>
        <v>2157</v>
      </c>
      <c r="N116" s="312">
        <f t="shared" si="730"/>
        <v>2337</v>
      </c>
      <c r="O116" s="312">
        <f t="shared" si="730"/>
        <v>2517</v>
      </c>
      <c r="P116" s="312">
        <f t="shared" si="730"/>
        <v>2697</v>
      </c>
      <c r="Q116" s="312">
        <f t="shared" si="730"/>
        <v>2877</v>
      </c>
      <c r="R116" s="312">
        <f t="shared" si="730"/>
        <v>3057</v>
      </c>
      <c r="S116" s="312">
        <f t="shared" si="730"/>
        <v>3236</v>
      </c>
      <c r="T116" s="312">
        <f t="shared" si="730"/>
        <v>3416</v>
      </c>
      <c r="U116" s="312">
        <f t="shared" si="730"/>
        <v>3596</v>
      </c>
      <c r="V116" s="312">
        <f t="shared" si="730"/>
        <v>3776</v>
      </c>
      <c r="W116" s="312">
        <f t="shared" si="730"/>
        <v>3956</v>
      </c>
      <c r="X116" s="312">
        <f t="shared" si="730"/>
        <v>4136</v>
      </c>
      <c r="Y116" s="312">
        <f t="shared" si="730"/>
        <v>4316</v>
      </c>
      <c r="Z116" s="312">
        <f t="shared" si="730"/>
        <v>4496</v>
      </c>
      <c r="AA116" s="312">
        <f t="shared" si="730"/>
        <v>4675</v>
      </c>
      <c r="AB116" s="312">
        <f t="shared" si="730"/>
        <v>4855</v>
      </c>
      <c r="AC116" s="312">
        <f t="shared" si="730"/>
        <v>5035</v>
      </c>
      <c r="AD116" s="312">
        <f t="shared" si="730"/>
        <v>5215</v>
      </c>
      <c r="AE116" s="312">
        <f t="shared" si="730"/>
        <v>5395</v>
      </c>
      <c r="AF116" s="312">
        <f t="shared" si="730"/>
        <v>5575</v>
      </c>
      <c r="AG116" s="312">
        <f t="shared" si="730"/>
        <v>5755</v>
      </c>
      <c r="AH116" s="312">
        <f t="shared" ref="AH116:BM116" si="731">DAYS360($B$3,AH42)</f>
        <v>5935</v>
      </c>
      <c r="AI116" s="312">
        <f t="shared" si="731"/>
        <v>6114</v>
      </c>
      <c r="AJ116" s="312">
        <f t="shared" si="731"/>
        <v>6294</v>
      </c>
      <c r="AK116" s="312">
        <f t="shared" si="731"/>
        <v>6474</v>
      </c>
      <c r="AL116" s="312">
        <f t="shared" si="731"/>
        <v>6654</v>
      </c>
      <c r="AM116" s="312">
        <f t="shared" si="731"/>
        <v>6834</v>
      </c>
      <c r="AN116" s="312">
        <f t="shared" si="731"/>
        <v>7014</v>
      </c>
      <c r="AO116" s="312">
        <f t="shared" si="731"/>
        <v>7194</v>
      </c>
      <c r="AP116" s="312">
        <f t="shared" si="731"/>
        <v>7374</v>
      </c>
      <c r="AQ116" s="312">
        <f t="shared" si="731"/>
        <v>7553</v>
      </c>
      <c r="AR116" s="312">
        <f t="shared" si="731"/>
        <v>7733</v>
      </c>
      <c r="AS116" s="312">
        <f t="shared" si="731"/>
        <v>7913</v>
      </c>
      <c r="AT116" s="312">
        <f t="shared" si="731"/>
        <v>8093</v>
      </c>
      <c r="AU116" s="312">
        <f t="shared" si="731"/>
        <v>8273</v>
      </c>
      <c r="AV116" s="312">
        <f t="shared" si="731"/>
        <v>8453</v>
      </c>
      <c r="AW116" s="312">
        <f t="shared" si="731"/>
        <v>8633</v>
      </c>
      <c r="AX116" s="312">
        <f t="shared" si="731"/>
        <v>8813</v>
      </c>
      <c r="AY116" s="312">
        <f t="shared" si="731"/>
        <v>8992</v>
      </c>
      <c r="AZ116" s="312">
        <f t="shared" si="731"/>
        <v>9172</v>
      </c>
      <c r="BA116" s="312">
        <f t="shared" si="731"/>
        <v>9352</v>
      </c>
      <c r="BB116" s="312">
        <f t="shared" si="731"/>
        <v>9532</v>
      </c>
      <c r="BC116" s="312">
        <f t="shared" si="731"/>
        <v>9712</v>
      </c>
      <c r="BD116" s="312">
        <f t="shared" si="731"/>
        <v>9892</v>
      </c>
      <c r="BE116" s="312">
        <f t="shared" si="731"/>
        <v>10072</v>
      </c>
      <c r="BF116" s="312">
        <f t="shared" si="731"/>
        <v>10252</v>
      </c>
      <c r="BG116" s="312">
        <f t="shared" si="731"/>
        <v>10431</v>
      </c>
      <c r="BH116" s="312">
        <f t="shared" si="731"/>
        <v>10611</v>
      </c>
      <c r="BI116" s="312">
        <f t="shared" si="731"/>
        <v>10791</v>
      </c>
      <c r="BJ116" s="312">
        <f t="shared" si="731"/>
        <v>10971</v>
      </c>
      <c r="BK116" s="312">
        <f t="shared" si="731"/>
        <v>11151</v>
      </c>
      <c r="BL116" s="312">
        <f t="shared" si="731"/>
        <v>11331</v>
      </c>
      <c r="BM116" s="312">
        <f t="shared" si="731"/>
        <v>11511</v>
      </c>
      <c r="BN116" s="312">
        <f t="shared" ref="BN116:CB116" si="732">DAYS360($B$3,BN42)</f>
        <v>11691</v>
      </c>
      <c r="BO116" s="312">
        <f t="shared" si="732"/>
        <v>11870</v>
      </c>
      <c r="BP116" s="312">
        <f t="shared" si="732"/>
        <v>12050</v>
      </c>
      <c r="BQ116" s="312">
        <f t="shared" si="732"/>
        <v>12230</v>
      </c>
      <c r="BR116" s="312">
        <f t="shared" si="732"/>
        <v>12410</v>
      </c>
      <c r="BS116" s="312">
        <f t="shared" si="732"/>
        <v>12590</v>
      </c>
      <c r="BT116" s="312">
        <f t="shared" si="732"/>
        <v>12770</v>
      </c>
      <c r="BU116" s="312">
        <f t="shared" si="732"/>
        <v>12950</v>
      </c>
      <c r="BV116" s="312">
        <f t="shared" si="732"/>
        <v>13130</v>
      </c>
      <c r="BW116" s="312">
        <f t="shared" si="732"/>
        <v>13309</v>
      </c>
      <c r="BX116" s="312">
        <f t="shared" si="732"/>
        <v>13489</v>
      </c>
      <c r="BY116" s="312">
        <f t="shared" si="732"/>
        <v>13669</v>
      </c>
      <c r="BZ116" s="312">
        <f t="shared" si="732"/>
        <v>13849</v>
      </c>
      <c r="CA116" s="312">
        <f t="shared" si="732"/>
        <v>14029</v>
      </c>
      <c r="CB116" s="312">
        <f t="shared" si="732"/>
        <v>14209</v>
      </c>
    </row>
    <row r="117" spans="1:80">
      <c r="A117" s="311" t="s">
        <v>41</v>
      </c>
      <c r="B117" s="312">
        <f>B116/360</f>
        <v>0.49722222222222223</v>
      </c>
      <c r="C117" s="312">
        <f t="shared" ref="C117:BN117" si="733">C116/360</f>
        <v>0.99444444444444446</v>
      </c>
      <c r="D117" s="312">
        <f t="shared" si="733"/>
        <v>1.4944444444444445</v>
      </c>
      <c r="E117" s="312">
        <f t="shared" si="733"/>
        <v>1.9944444444444445</v>
      </c>
      <c r="F117" s="312">
        <f t="shared" si="733"/>
        <v>2.4944444444444445</v>
      </c>
      <c r="G117" s="312">
        <f t="shared" si="733"/>
        <v>2.9944444444444445</v>
      </c>
      <c r="H117" s="312">
        <f t="shared" si="733"/>
        <v>3.4944444444444445</v>
      </c>
      <c r="I117" s="312">
        <f t="shared" si="733"/>
        <v>3.9944444444444445</v>
      </c>
      <c r="J117" s="312">
        <f t="shared" si="733"/>
        <v>4.4944444444444445</v>
      </c>
      <c r="K117" s="312">
        <f t="shared" si="733"/>
        <v>4.9916666666666663</v>
      </c>
      <c r="L117" s="312">
        <f t="shared" si="733"/>
        <v>5.4916666666666663</v>
      </c>
      <c r="M117" s="312">
        <f t="shared" si="733"/>
        <v>5.9916666666666663</v>
      </c>
      <c r="N117" s="312">
        <f t="shared" si="733"/>
        <v>6.4916666666666663</v>
      </c>
      <c r="O117" s="312">
        <f t="shared" si="733"/>
        <v>6.9916666666666663</v>
      </c>
      <c r="P117" s="312">
        <f t="shared" si="733"/>
        <v>7.4916666666666663</v>
      </c>
      <c r="Q117" s="312">
        <f t="shared" si="733"/>
        <v>7.9916666666666663</v>
      </c>
      <c r="R117" s="312">
        <f t="shared" si="733"/>
        <v>8.4916666666666671</v>
      </c>
      <c r="S117" s="312">
        <f t="shared" si="733"/>
        <v>8.9888888888888889</v>
      </c>
      <c r="T117" s="312">
        <f t="shared" si="733"/>
        <v>9.4888888888888889</v>
      </c>
      <c r="U117" s="312">
        <f t="shared" si="733"/>
        <v>9.9888888888888889</v>
      </c>
      <c r="V117" s="312">
        <f t="shared" si="733"/>
        <v>10.488888888888889</v>
      </c>
      <c r="W117" s="312">
        <f t="shared" si="733"/>
        <v>10.988888888888889</v>
      </c>
      <c r="X117" s="312">
        <f t="shared" si="733"/>
        <v>11.488888888888889</v>
      </c>
      <c r="Y117" s="312">
        <f t="shared" si="733"/>
        <v>11.988888888888889</v>
      </c>
      <c r="Z117" s="312">
        <f t="shared" si="733"/>
        <v>12.488888888888889</v>
      </c>
      <c r="AA117" s="312">
        <f t="shared" si="733"/>
        <v>12.986111111111111</v>
      </c>
      <c r="AB117" s="312">
        <f t="shared" si="733"/>
        <v>13.486111111111111</v>
      </c>
      <c r="AC117" s="312">
        <f t="shared" si="733"/>
        <v>13.986111111111111</v>
      </c>
      <c r="AD117" s="312">
        <f t="shared" si="733"/>
        <v>14.486111111111111</v>
      </c>
      <c r="AE117" s="312">
        <f t="shared" si="733"/>
        <v>14.986111111111111</v>
      </c>
      <c r="AF117" s="312">
        <f t="shared" si="733"/>
        <v>15.486111111111111</v>
      </c>
      <c r="AG117" s="312">
        <f t="shared" si="733"/>
        <v>15.986111111111111</v>
      </c>
      <c r="AH117" s="312">
        <f t="shared" si="733"/>
        <v>16.486111111111111</v>
      </c>
      <c r="AI117" s="312">
        <f t="shared" si="733"/>
        <v>16.983333333333334</v>
      </c>
      <c r="AJ117" s="312">
        <f t="shared" si="733"/>
        <v>17.483333333333334</v>
      </c>
      <c r="AK117" s="312">
        <f t="shared" si="733"/>
        <v>17.983333333333334</v>
      </c>
      <c r="AL117" s="312">
        <f t="shared" si="733"/>
        <v>18.483333333333334</v>
      </c>
      <c r="AM117" s="312">
        <f t="shared" si="733"/>
        <v>18.983333333333334</v>
      </c>
      <c r="AN117" s="312">
        <f t="shared" si="733"/>
        <v>19.483333333333334</v>
      </c>
      <c r="AO117" s="312">
        <f t="shared" si="733"/>
        <v>19.983333333333334</v>
      </c>
      <c r="AP117" s="312">
        <f t="shared" si="733"/>
        <v>20.483333333333334</v>
      </c>
      <c r="AQ117" s="312">
        <f t="shared" si="733"/>
        <v>20.980555555555554</v>
      </c>
      <c r="AR117" s="312">
        <f t="shared" si="733"/>
        <v>21.480555555555554</v>
      </c>
      <c r="AS117" s="312">
        <f t="shared" si="733"/>
        <v>21.980555555555554</v>
      </c>
      <c r="AT117" s="312">
        <f t="shared" si="733"/>
        <v>22.480555555555554</v>
      </c>
      <c r="AU117" s="312">
        <f t="shared" si="733"/>
        <v>22.980555555555554</v>
      </c>
      <c r="AV117" s="312">
        <f t="shared" si="733"/>
        <v>23.480555555555554</v>
      </c>
      <c r="AW117" s="312">
        <f t="shared" si="733"/>
        <v>23.980555555555554</v>
      </c>
      <c r="AX117" s="312">
        <f t="shared" si="733"/>
        <v>24.480555555555554</v>
      </c>
      <c r="AY117" s="312">
        <f t="shared" si="733"/>
        <v>24.977777777777778</v>
      </c>
      <c r="AZ117" s="312">
        <f t="shared" si="733"/>
        <v>25.477777777777778</v>
      </c>
      <c r="BA117" s="312">
        <f t="shared" si="733"/>
        <v>25.977777777777778</v>
      </c>
      <c r="BB117" s="312">
        <f t="shared" si="733"/>
        <v>26.477777777777778</v>
      </c>
      <c r="BC117" s="312">
        <f t="shared" si="733"/>
        <v>26.977777777777778</v>
      </c>
      <c r="BD117" s="312">
        <f t="shared" si="733"/>
        <v>27.477777777777778</v>
      </c>
      <c r="BE117" s="312">
        <f t="shared" si="733"/>
        <v>27.977777777777778</v>
      </c>
      <c r="BF117" s="312">
        <f t="shared" si="733"/>
        <v>28.477777777777778</v>
      </c>
      <c r="BG117" s="312">
        <f t="shared" si="733"/>
        <v>28.975000000000001</v>
      </c>
      <c r="BH117" s="312">
        <f t="shared" si="733"/>
        <v>29.475000000000001</v>
      </c>
      <c r="BI117" s="312">
        <f t="shared" si="733"/>
        <v>29.975000000000001</v>
      </c>
      <c r="BJ117" s="312">
        <f t="shared" si="733"/>
        <v>30.475000000000001</v>
      </c>
      <c r="BK117" s="312">
        <f t="shared" si="733"/>
        <v>30.975000000000001</v>
      </c>
      <c r="BL117" s="312">
        <f t="shared" si="733"/>
        <v>31.475000000000001</v>
      </c>
      <c r="BM117" s="312">
        <f t="shared" si="733"/>
        <v>31.975000000000001</v>
      </c>
      <c r="BN117" s="312">
        <f t="shared" si="733"/>
        <v>32.475000000000001</v>
      </c>
      <c r="BO117" s="312">
        <f t="shared" ref="BO117:CB117" si="734">BO116/360</f>
        <v>32.972222222222221</v>
      </c>
      <c r="BP117" s="312">
        <f t="shared" si="734"/>
        <v>33.472222222222221</v>
      </c>
      <c r="BQ117" s="312">
        <f t="shared" si="734"/>
        <v>33.972222222222221</v>
      </c>
      <c r="BR117" s="312">
        <f t="shared" si="734"/>
        <v>34.472222222222221</v>
      </c>
      <c r="BS117" s="312">
        <f t="shared" si="734"/>
        <v>34.972222222222221</v>
      </c>
      <c r="BT117" s="312">
        <f t="shared" si="734"/>
        <v>35.472222222222221</v>
      </c>
      <c r="BU117" s="312">
        <f t="shared" si="734"/>
        <v>35.972222222222221</v>
      </c>
      <c r="BV117" s="312">
        <f t="shared" si="734"/>
        <v>36.472222222222221</v>
      </c>
      <c r="BW117" s="312">
        <f t="shared" si="734"/>
        <v>36.969444444444441</v>
      </c>
      <c r="BX117" s="312">
        <f t="shared" si="734"/>
        <v>37.469444444444441</v>
      </c>
      <c r="BY117" s="312">
        <f t="shared" si="734"/>
        <v>37.969444444444441</v>
      </c>
      <c r="BZ117" s="312">
        <f t="shared" si="734"/>
        <v>38.469444444444441</v>
      </c>
      <c r="CA117" s="312">
        <f t="shared" si="734"/>
        <v>38.969444444444441</v>
      </c>
      <c r="CB117" s="312">
        <f t="shared" si="734"/>
        <v>39.469444444444441</v>
      </c>
    </row>
    <row r="118" spans="1:80">
      <c r="A118" s="311" t="s">
        <v>43</v>
      </c>
      <c r="B118" s="312">
        <f>IF(B116&lt;0,0,$B$5+$B$6*((1-EXP(-B117/$B$9))/(B117/$B$9))+$B$7*((1-EXP(-B117/$B$9))/(B117/$B$9)-EXP(-B117/$B$9))+$B$8*((1-EXP(-B117/$B$10))/(B117/$B$10)-EXP(-B117/$B$10)))</f>
        <v>1.7502862313720696E-2</v>
      </c>
      <c r="C118" s="312">
        <f t="shared" ref="C118:D118" si="735">IF(C116&lt;0,0,$B$5+$B$6*((1-EXP(-C117/$B$9))/(C117/$B$9))+$B$7*((1-EXP(-C117/$B$9))/(C117/$B$9)-EXP(-C117/$B$9))+$B$8*((1-EXP(-C117/$B$10))/(C117/$B$10)-EXP(-C117/$B$10)))</f>
        <v>1.7546967450880857E-2</v>
      </c>
      <c r="D118" s="312">
        <f t="shared" si="735"/>
        <v>1.7606168310098716E-2</v>
      </c>
      <c r="E118" s="312">
        <f t="shared" ref="E118" si="736">IF(E116&lt;0,0,$B$5+$B$6*((1-EXP(-E117/$B$9))/(E117/$B$9))+$B$7*((1-EXP(-E117/$B$9))/(E117/$B$9)-EXP(-E117/$B$9))+$B$8*((1-EXP(-E117/$B$10))/(E117/$B$10)-EXP(-E117/$B$10)))</f>
        <v>1.76792259527392E-2</v>
      </c>
      <c r="F118" s="312">
        <f t="shared" ref="F118" si="737">IF(F116&lt;0,0,$B$5+$B$6*((1-EXP(-F117/$B$9))/(F117/$B$9))+$B$7*((1-EXP(-F117/$B$9))/(F117/$B$9)-EXP(-F117/$B$9))+$B$8*((1-EXP(-F117/$B$10))/(F117/$B$10)-EXP(-F117/$B$10)))</f>
        <v>1.7765157643877205E-2</v>
      </c>
      <c r="G118" s="312">
        <f t="shared" ref="G118" si="738">IF(G116&lt;0,0,$B$5+$B$6*((1-EXP(-G117/$B$9))/(G117/$B$9))+$B$7*((1-EXP(-G117/$B$9))/(G117/$B$9)-EXP(-G117/$B$9))+$B$8*((1-EXP(-G117/$B$10))/(G117/$B$10)-EXP(-G117/$B$10)))</f>
        <v>1.7863031510095551E-2</v>
      </c>
      <c r="H118" s="312">
        <f t="shared" ref="H118" si="739">IF(H116&lt;0,0,$B$5+$B$6*((1-EXP(-H117/$B$9))/(H117/$B$9))+$B$7*((1-EXP(-H117/$B$9))/(H117/$B$9)-EXP(-H117/$B$9))+$B$8*((1-EXP(-H117/$B$10))/(H117/$B$10)-EXP(-H117/$B$10)))</f>
        <v>1.797196431746359E-2</v>
      </c>
      <c r="I118" s="312">
        <f t="shared" ref="I118" si="740">IF(I116&lt;0,0,$B$5+$B$6*((1-EXP(-I117/$B$9))/(I117/$B$9))+$B$7*((1-EXP(-I117/$B$9))/(I117/$B$9)-EXP(-I117/$B$9))+$B$8*((1-EXP(-I117/$B$10))/(I117/$B$10)-EXP(-I117/$B$10)))</f>
        <v>1.8091119328452671E-2</v>
      </c>
      <c r="J118" s="312">
        <f t="shared" ref="J118" si="741">IF(J116&lt;0,0,$B$5+$B$6*((1-EXP(-J117/$B$9))/(J117/$B$9))+$B$7*((1-EXP(-J117/$B$9))/(J117/$B$9)-EXP(-J117/$B$9))+$B$8*((1-EXP(-J117/$B$10))/(J117/$B$10)-EXP(-J117/$B$10)))</f>
        <v>1.821970423619132E-2</v>
      </c>
      <c r="K118" s="312">
        <f t="shared" ref="K118" si="742">IF(K116&lt;0,0,$B$5+$B$6*((1-EXP(-K117/$B$9))/(K117/$B$9))+$B$7*((1-EXP(-K117/$B$9))/(K117/$B$9)-EXP(-K117/$B$9))+$B$8*((1-EXP(-K117/$B$10))/(K117/$B$10)-EXP(-K117/$B$10)))</f>
        <v>1.8356183934990222E-2</v>
      </c>
      <c r="L118" s="312">
        <f t="shared" ref="L118" si="743">IF(L116&lt;0,0,$B$5+$B$6*((1-EXP(-L117/$B$9))/(L117/$B$9))+$B$7*((1-EXP(-L117/$B$9))/(L117/$B$9)-EXP(-L117/$B$9))+$B$8*((1-EXP(-L117/$B$10))/(L117/$B$10)-EXP(-L117/$B$10)))</f>
        <v>1.8501377167633337E-2</v>
      </c>
      <c r="M118" s="312">
        <f t="shared" ref="M118" si="744">IF(M116&lt;0,0,$B$5+$B$6*((1-EXP(-M117/$B$9))/(M117/$B$9))+$B$7*((1-EXP(-M117/$B$9))/(M117/$B$9)-EXP(-M117/$B$9))+$B$8*((1-EXP(-M117/$B$10))/(M117/$B$10)-EXP(-M117/$B$10)))</f>
        <v>1.865387404949112E-2</v>
      </c>
      <c r="N118" s="312">
        <f t="shared" ref="N118" si="745">IF(N116&lt;0,0,$B$5+$B$6*((1-EXP(-N117/$B$9))/(N117/$B$9))+$B$7*((1-EXP(-N117/$B$9))/(N117/$B$9)-EXP(-N117/$B$9))+$B$8*((1-EXP(-N117/$B$10))/(N117/$B$10)-EXP(-N117/$B$10)))</f>
        <v>1.8813040625260291E-2</v>
      </c>
      <c r="O118" s="312">
        <f t="shared" ref="O118" si="746">IF(O116&lt;0,0,$B$5+$B$6*((1-EXP(-O117/$B$9))/(O117/$B$9))+$B$7*((1-EXP(-O117/$B$9))/(O117/$B$9)-EXP(-O117/$B$9))+$B$8*((1-EXP(-O117/$B$10))/(O117/$B$10)-EXP(-O117/$B$10)))</f>
        <v>1.8978278150209832E-2</v>
      </c>
      <c r="P118" s="312">
        <f t="shared" ref="P118" si="747">IF(P116&lt;0,0,$B$5+$B$6*((1-EXP(-P117/$B$9))/(P117/$B$9))+$B$7*((1-EXP(-P117/$B$9))/(P117/$B$9)-EXP(-P117/$B$9))+$B$8*((1-EXP(-P117/$B$10))/(P117/$B$10)-EXP(-P117/$B$10)))</f>
        <v>1.9149021451111803E-2</v>
      </c>
      <c r="Q118" s="312">
        <f t="shared" ref="Q118" si="748">IF(Q116&lt;0,0,$B$5+$B$6*((1-EXP(-Q117/$B$9))/(Q117/$B$9))+$B$7*((1-EXP(-Q117/$B$9))/(Q117/$B$9)-EXP(-Q117/$B$9))+$B$8*((1-EXP(-Q117/$B$10))/(Q117/$B$10)-EXP(-Q117/$B$10)))</f>
        <v>1.9324737351885779E-2</v>
      </c>
      <c r="R118" s="312">
        <f t="shared" ref="R118" si="749">IF(R116&lt;0,0,$B$5+$B$6*((1-EXP(-R117/$B$9))/(R117/$B$9))+$B$7*((1-EXP(-R117/$B$9))/(R117/$B$9)-EXP(-R117/$B$9))+$B$8*((1-EXP(-R117/$B$10))/(R117/$B$10)-EXP(-R117/$B$10)))</f>
        <v>1.9504923162076193E-2</v>
      </c>
      <c r="S118" s="312">
        <f t="shared" ref="S118" si="750">IF(S116&lt;0,0,$B$5+$B$6*((1-EXP(-S117/$B$9))/(S117/$B$9))+$B$7*((1-EXP(-S117/$B$9))/(S117/$B$9)-EXP(-S117/$B$9))+$B$8*((1-EXP(-S117/$B$10))/(S117/$B$10)-EXP(-S117/$B$10)))</f>
        <v>1.9688071785022576E-2</v>
      </c>
      <c r="T118" s="312">
        <f t="shared" ref="T118" si="751">IF(T116&lt;0,0,$B$5+$B$6*((1-EXP(-T117/$B$9))/(T117/$B$9))+$B$7*((1-EXP(-T117/$B$9))/(T117/$B$9)-EXP(-T117/$B$9))+$B$8*((1-EXP(-T117/$B$10))/(T117/$B$10)-EXP(-T117/$B$10)))</f>
        <v>1.9875785550960645E-2</v>
      </c>
      <c r="U118" s="312">
        <f t="shared" ref="U118" si="752">IF(U116&lt;0,0,$B$5+$B$6*((1-EXP(-U117/$B$9))/(U117/$B$9))+$B$7*((1-EXP(-U117/$B$9))/(U117/$B$9)-EXP(-U117/$B$9))+$B$8*((1-EXP(-U117/$B$10))/(U117/$B$10)-EXP(-U117/$B$10)))</f>
        <v>2.0066632117908378E-2</v>
      </c>
      <c r="V118" s="312">
        <f t="shared" ref="V118" si="753">IF(V116&lt;0,0,$B$5+$B$6*((1-EXP(-V117/$B$9))/(V117/$B$9))+$B$7*((1-EXP(-V117/$B$9))/(V117/$B$9)-EXP(-V117/$B$9))+$B$8*((1-EXP(-V117/$B$10))/(V117/$B$10)-EXP(-V117/$B$10)))</f>
        <v>2.0260216678095133E-2</v>
      </c>
      <c r="W118" s="312">
        <f t="shared" ref="W118" si="754">IF(W116&lt;0,0,$B$5+$B$6*((1-EXP(-W117/$B$9))/(W117/$B$9))+$B$7*((1-EXP(-W117/$B$9))/(W117/$B$9)-EXP(-W117/$B$9))+$B$8*((1-EXP(-W117/$B$10))/(W117/$B$10)-EXP(-W117/$B$10)))</f>
        <v>2.0456168235481353E-2</v>
      </c>
      <c r="X118" s="312">
        <f t="shared" ref="X118" si="755">IF(X116&lt;0,0,$B$5+$B$6*((1-EXP(-X117/$B$9))/(X117/$B$9))+$B$7*((1-EXP(-X117/$B$9))/(X117/$B$9)-EXP(-X117/$B$9))+$B$8*((1-EXP(-X117/$B$10))/(X117/$B$10)-EXP(-X117/$B$10)))</f>
        <v>2.0654138431910052E-2</v>
      </c>
      <c r="Y118" s="312">
        <f t="shared" ref="Y118" si="756">IF(Y116&lt;0,0,$B$5+$B$6*((1-EXP(-Y117/$B$9))/(Y117/$B$9))+$B$7*((1-EXP(-Y117/$B$9))/(Y117/$B$9)-EXP(-Y117/$B$9))+$B$8*((1-EXP(-Y117/$B$10))/(Y117/$B$10)-EXP(-Y117/$B$10)))</f>
        <v>2.0853800423269342E-2</v>
      </c>
      <c r="Z118" s="312">
        <f t="shared" ref="Z118" si="757">IF(Z116&lt;0,0,$B$5+$B$6*((1-EXP(-Z117/$B$9))/(Z117/$B$9))+$B$7*((1-EXP(-Z117/$B$9))/(Z117/$B$9)-EXP(-Z117/$B$9))+$B$8*((1-EXP(-Z117/$B$10))/(Z117/$B$10)-EXP(-Z117/$B$10)))</f>
        <v>2.105484780392769E-2</v>
      </c>
      <c r="AA118" s="312">
        <f t="shared" ref="AA118" si="758">IF(AA116&lt;0,0,$B$5+$B$6*((1-EXP(-AA117/$B$9))/(AA117/$B$9))+$B$7*((1-EXP(-AA117/$B$9))/(AA117/$B$9)-EXP(-AA117/$B$9))+$B$8*((1-EXP(-AA117/$B$10))/(AA117/$B$10)-EXP(-AA117/$B$10)))</f>
        <v>2.1255868012983292E-2</v>
      </c>
      <c r="AB118" s="312">
        <f t="shared" ref="AB118" si="759">IF(AB116&lt;0,0,$B$5+$B$6*((1-EXP(-AB117/$B$9))/(AB117/$B$9))+$B$7*((1-EXP(-AB117/$B$9))/(AB117/$B$9)-EXP(-AB117/$B$9))+$B$8*((1-EXP(-AB117/$B$10))/(AB117/$B$10)-EXP(-AB117/$B$10)))</f>
        <v>2.1458839708444366E-2</v>
      </c>
      <c r="AC118" s="312">
        <f t="shared" ref="AC118" si="760">IF(AC116&lt;0,0,$B$5+$B$6*((1-EXP(-AC117/$B$9))/(AC117/$B$9))+$B$7*((1-EXP(-AC117/$B$9))/(AC117/$B$9)-EXP(-AC117/$B$9))+$B$8*((1-EXP(-AC117/$B$10))/(AC117/$B$10)-EXP(-AC117/$B$10)))</f>
        <v>2.1662391488464439E-2</v>
      </c>
      <c r="AD118" s="312">
        <f t="shared" ref="AD118" si="761">IF(AD116&lt;0,0,$B$5+$B$6*((1-EXP(-AD117/$B$9))/(AD117/$B$9))+$B$7*((1-EXP(-AD117/$B$9))/(AD117/$B$9)-EXP(-AD117/$B$9))+$B$8*((1-EXP(-AD117/$B$10))/(AD117/$B$10)-EXP(-AD117/$B$10)))</f>
        <v>2.1866288762611041E-2</v>
      </c>
      <c r="AE118" s="312">
        <f t="shared" ref="AE118" si="762">IF(AE116&lt;0,0,$B$5+$B$6*((1-EXP(-AE117/$B$9))/(AE117/$B$9))+$B$7*((1-EXP(-AE117/$B$9))/(AE117/$B$9)-EXP(-AE117/$B$9))+$B$8*((1-EXP(-AE117/$B$10))/(AE117/$B$10)-EXP(-AE117/$B$10)))</f>
        <v>2.2070312671555348E-2</v>
      </c>
      <c r="AF118" s="312">
        <f t="shared" ref="AF118" si="763">IF(AF116&lt;0,0,$B$5+$B$6*((1-EXP(-AF117/$B$9))/(AF117/$B$9))+$B$7*((1-EXP(-AF117/$B$9))/(AF117/$B$9)-EXP(-AF117/$B$9))+$B$8*((1-EXP(-AF117/$B$10))/(AF117/$B$10)-EXP(-AF117/$B$10)))</f>
        <v>2.2274259266456931E-2</v>
      </c>
      <c r="AG118" s="312">
        <f t="shared" ref="AG118" si="764">IF(AG116&lt;0,0,$B$5+$B$6*((1-EXP(-AG117/$B$9))/(AG117/$B$9))+$B$7*((1-EXP(-AG117/$B$9))/(AG117/$B$9)-EXP(-AG117/$B$9))+$B$8*((1-EXP(-AG117/$B$10))/(AG117/$B$10)-EXP(-AG117/$B$10)))</f>
        <v>2.2477938725486757E-2</v>
      </c>
      <c r="AH118" s="312">
        <f t="shared" ref="AH118" si="765">IF(AH116&lt;0,0,$B$5+$B$6*((1-EXP(-AH117/$B$9))/(AH117/$B$9))+$B$7*((1-EXP(-AH117/$B$9))/(AH117/$B$9)-EXP(-AH117/$B$9))+$B$8*((1-EXP(-AH117/$B$10))/(AH117/$B$10)-EXP(-AH117/$B$10)))</f>
        <v>2.2681174606053955E-2</v>
      </c>
      <c r="AI118" s="312">
        <f t="shared" ref="AI118" si="766">IF(AI116&lt;0,0,$B$5+$B$6*((1-EXP(-AI117/$B$9))/(AI117/$B$9))+$B$7*((1-EXP(-AI117/$B$9))/(AI117/$B$9)-EXP(-AI117/$B$9))+$B$8*((1-EXP(-AI117/$B$10))/(AI117/$B$10)-EXP(-AI117/$B$10)))</f>
        <v>2.2882679379141013E-2</v>
      </c>
      <c r="AJ118" s="312">
        <f t="shared" ref="AJ118" si="767">IF(AJ116&lt;0,0,$B$5+$B$6*((1-EXP(-AJ117/$B$9))/(AJ117/$B$9))+$B$7*((1-EXP(-AJ117/$B$9))/(AJ117/$B$9)-EXP(-AJ117/$B$9))+$B$8*((1-EXP(-AJ117/$B$10))/(AJ117/$B$10)-EXP(-AJ117/$B$10)))</f>
        <v>2.3084553373245054E-2</v>
      </c>
      <c r="AK118" s="312">
        <f t="shared" ref="AK118" si="768">IF(AK116&lt;0,0,$B$5+$B$6*((1-EXP(-AK117/$B$9))/(AK117/$B$9))+$B$7*((1-EXP(-AK117/$B$9))/(AK117/$B$9)-EXP(-AK117/$B$9))+$B$8*((1-EXP(-AK117/$B$10))/(AK117/$B$10)-EXP(-AK117/$B$10)))</f>
        <v>2.3285528515443132E-2</v>
      </c>
      <c r="AL118" s="312">
        <f t="shared" ref="AL118" si="769">IF(AL116&lt;0,0,$B$5+$B$6*((1-EXP(-AL117/$B$9))/(AL117/$B$9))+$B$7*((1-EXP(-AL117/$B$9))/(AL117/$B$9)-EXP(-AL117/$B$9))+$B$8*((1-EXP(-AL117/$B$10))/(AL117/$B$10)-EXP(-AL117/$B$10)))</f>
        <v>2.3485475010504797E-2</v>
      </c>
      <c r="AM118" s="312">
        <f t="shared" ref="AM118" si="770">IF(AM116&lt;0,0,$B$5+$B$6*((1-EXP(-AM117/$B$9))/(AM117/$B$9))+$B$7*((1-EXP(-AM117/$B$9))/(AM117/$B$9)-EXP(-AM117/$B$9))+$B$8*((1-EXP(-AM117/$B$10))/(AM117/$B$10)-EXP(-AM117/$B$10)))</f>
        <v>2.3684273194857663E-2</v>
      </c>
      <c r="AN118" s="312">
        <f t="shared" ref="AN118" si="771">IF(AN116&lt;0,0,$B$5+$B$6*((1-EXP(-AN117/$B$9))/(AN117/$B$9))+$B$7*((1-EXP(-AN117/$B$9))/(AN117/$B$9)-EXP(-AN117/$B$9))+$B$8*((1-EXP(-AN117/$B$10))/(AN117/$B$10)-EXP(-AN117/$B$10)))</f>
        <v>2.3881812974973604E-2</v>
      </c>
      <c r="AO118" s="312">
        <f t="shared" ref="AO118" si="772">IF(AO116&lt;0,0,$B$5+$B$6*((1-EXP(-AO117/$B$9))/(AO117/$B$9))+$B$7*((1-EXP(-AO117/$B$9))/(AO117/$B$9)-EXP(-AO117/$B$9))+$B$8*((1-EXP(-AO117/$B$10))/(AO117/$B$10)-EXP(-AO117/$B$10)))</f>
        <v>2.4077993292536792E-2</v>
      </c>
      <c r="AP118" s="312">
        <f t="shared" ref="AP118" si="773">IF(AP116&lt;0,0,$B$5+$B$6*((1-EXP(-AP117/$B$9))/(AP117/$B$9))+$B$7*((1-EXP(-AP117/$B$9))/(AP117/$B$9)-EXP(-AP117/$B$9))+$B$8*((1-EXP(-AP117/$B$10))/(AP117/$B$10)-EXP(-AP117/$B$10)))</f>
        <v>2.427272161527555E-2</v>
      </c>
      <c r="AQ118" s="312">
        <f t="shared" ref="AQ118" si="774">IF(AQ116&lt;0,0,$B$5+$B$6*((1-EXP(-AQ117/$B$9))/(AQ117/$B$9))+$B$7*((1-EXP(-AQ117/$B$9))/(AQ117/$B$9)-EXP(-AQ117/$B$9))+$B$8*((1-EXP(-AQ117/$B$10))/(AQ117/$B$10)-EXP(-AQ117/$B$10)))</f>
        <v>2.4464844553315712E-2</v>
      </c>
      <c r="AR118" s="312">
        <f t="shared" ref="AR118" si="775">IF(AR116&lt;0,0,$B$5+$B$6*((1-EXP(-AR117/$B$9))/(AR117/$B$9))+$B$7*((1-EXP(-AR117/$B$9))/(AR117/$B$9)-EXP(-AR117/$B$9))+$B$8*((1-EXP(-AR117/$B$10))/(AR117/$B$10)-EXP(-AR117/$B$10)))</f>
        <v>2.4656432156833219E-2</v>
      </c>
      <c r="AS118" s="312">
        <f t="shared" ref="AS118" si="776">IF(AS116&lt;0,0,$B$5+$B$6*((1-EXP(-AS117/$B$9))/(AS117/$B$9))+$B$7*((1-EXP(-AS117/$B$9))/(AS117/$B$9)-EXP(-AS117/$B$9))+$B$8*((1-EXP(-AS117/$B$10))/(AS117/$B$10)-EXP(-AS117/$B$10)))</f>
        <v>2.4846336964470084E-2</v>
      </c>
      <c r="AT118" s="312">
        <f t="shared" ref="AT118" si="777">IF(AT116&lt;0,0,$B$5+$B$6*((1-EXP(-AT117/$B$9))/(AT117/$B$9))+$B$7*((1-EXP(-AT117/$B$9))/(AT117/$B$9)-EXP(-AT117/$B$9))+$B$8*((1-EXP(-AT117/$B$10))/(AT117/$B$10)-EXP(-AT117/$B$10)))</f>
        <v>2.5034495896443298E-2</v>
      </c>
      <c r="AU118" s="312">
        <f t="shared" ref="AU118" si="778">IF(AU116&lt;0,0,$B$5+$B$6*((1-EXP(-AU117/$B$9))/(AU117/$B$9))+$B$7*((1-EXP(-AU117/$B$9))/(AU117/$B$9)-EXP(-AU117/$B$9))+$B$8*((1-EXP(-AU117/$B$10))/(AU117/$B$10)-EXP(-AU117/$B$10)))</f>
        <v>2.5220852203757416E-2</v>
      </c>
      <c r="AV118" s="312">
        <f t="shared" ref="AV118" si="779">IF(AV116&lt;0,0,$B$5+$B$6*((1-EXP(-AV117/$B$9))/(AV117/$B$9))+$B$7*((1-EXP(-AV117/$B$9))/(AV117/$B$9)-EXP(-AV117/$B$9))+$B$8*((1-EXP(-AV117/$B$10))/(AV117/$B$10)-EXP(-AV117/$B$10)))</f>
        <v>2.5405355091508819E-2</v>
      </c>
      <c r="AW118" s="312">
        <f t="shared" ref="AW118" si="780">IF(AW116&lt;0,0,$B$5+$B$6*((1-EXP(-AW117/$B$9))/(AW117/$B$9))+$B$7*((1-EXP(-AW117/$B$9))/(AW117/$B$9)-EXP(-AW117/$B$9))+$B$8*((1-EXP(-AW117/$B$10))/(AW117/$B$10)-EXP(-AW117/$B$10)))</f>
        <v>2.5587959361053125E-2</v>
      </c>
      <c r="AX118" s="312">
        <f t="shared" ref="AX118" si="781">IF(AX116&lt;0,0,$B$5+$B$6*((1-EXP(-AX117/$B$9))/(AX117/$B$9))+$B$7*((1-EXP(-AX117/$B$9))/(AX117/$B$9)-EXP(-AX117/$B$9))+$B$8*((1-EXP(-AX117/$B$10))/(AX117/$B$10)-EXP(-AX117/$B$10)))</f>
        <v>2.5768625070203111E-2</v>
      </c>
      <c r="AY118" s="312">
        <f t="shared" ref="AY118" si="782">IF(AY116&lt;0,0,$B$5+$B$6*((1-EXP(-AY117/$B$9))/(AY117/$B$9))+$B$7*((1-EXP(-AY117/$B$9))/(AY117/$B$9)-EXP(-AY117/$B$9))+$B$8*((1-EXP(-AY117/$B$10))/(AY117/$B$10)-EXP(-AY117/$B$10)))</f>
        <v>2.5946329986063554E-2</v>
      </c>
      <c r="AZ118" s="312">
        <f t="shared" ref="AZ118" si="783">IF(AZ116&lt;0,0,$B$5+$B$6*((1-EXP(-AZ117/$B$9))/(AZ117/$B$9))+$B$7*((1-EXP(-AZ117/$B$9))/(AZ117/$B$9)-EXP(-AZ117/$B$9))+$B$8*((1-EXP(-AZ117/$B$10))/(AZ117/$B$10)-EXP(-AZ117/$B$10)))</f>
        <v>2.6123029386136587E-2</v>
      </c>
      <c r="BA118" s="312">
        <f t="shared" ref="BA118" si="784">IF(BA116&lt;0,0,$B$5+$B$6*((1-EXP(-BA117/$B$9))/(BA117/$B$9))+$B$7*((1-EXP(-BA117/$B$9))/(BA117/$B$9)-EXP(-BA117/$B$9))+$B$8*((1-EXP(-BA117/$B$10))/(BA117/$B$10)-EXP(-BA117/$B$10)))</f>
        <v>2.6297698926963264E-2</v>
      </c>
      <c r="BB118" s="312">
        <f t="shared" ref="BB118" si="785">IF(BB116&lt;0,0,$B$5+$B$6*((1-EXP(-BB117/$B$9))/(BB117/$B$9))+$B$7*((1-EXP(-BB117/$B$9))/(BB117/$B$9)-EXP(-BB117/$B$9))+$B$8*((1-EXP(-BB117/$B$10))/(BB117/$B$10)-EXP(-BB117/$B$10)))</f>
        <v>2.647031660542723E-2</v>
      </c>
      <c r="BC118" s="312">
        <f t="shared" ref="BC118" si="786">IF(BC116&lt;0,0,$B$5+$B$6*((1-EXP(-BC117/$B$9))/(BC117/$B$9))+$B$7*((1-EXP(-BC117/$B$9))/(BC117/$B$9)-EXP(-BC117/$B$9))+$B$8*((1-EXP(-BC117/$B$10))/(BC117/$B$10)-EXP(-BC117/$B$10)))</f>
        <v>2.6640864220642213E-2</v>
      </c>
      <c r="BD118" s="312">
        <f t="shared" ref="BD118" si="787">IF(BD116&lt;0,0,$B$5+$B$6*((1-EXP(-BD117/$B$9))/(BD117/$B$9))+$B$7*((1-EXP(-BD117/$B$9))/(BD117/$B$9)-EXP(-BD117/$B$9))+$B$8*((1-EXP(-BD117/$B$10))/(BD117/$B$10)-EXP(-BD117/$B$10)))</f>
        <v>2.680932712642467E-2</v>
      </c>
      <c r="BE118" s="312">
        <f t="shared" ref="BE118" si="788">IF(BE116&lt;0,0,$B$5+$B$6*((1-EXP(-BE117/$B$9))/(BE117/$B$9))+$B$7*((1-EXP(-BE117/$B$9))/(BE117/$B$9)-EXP(-BE117/$B$9))+$B$8*((1-EXP(-BE117/$B$10))/(BE117/$B$10)-EXP(-BE117/$B$10)))</f>
        <v>2.697569399679034E-2</v>
      </c>
      <c r="BF118" s="312">
        <f t="shared" ref="BF118" si="789">IF(BF116&lt;0,0,$B$5+$B$6*((1-EXP(-BF117/$B$9))/(BF117/$B$9))+$B$7*((1-EXP(-BF117/$B$9))/(BF117/$B$9)-EXP(-BF117/$B$9))+$B$8*((1-EXP(-BF117/$B$10))/(BF117/$B$10)-EXP(-BF117/$B$10)))</f>
        <v>2.7139956603870308E-2</v>
      </c>
      <c r="BG118" s="312">
        <f t="shared" ref="BG118" si="790">IF(BG116&lt;0,0,$B$5+$B$6*((1-EXP(-BG117/$B$9))/(BG117/$B$9))+$B$7*((1-EXP(-BG117/$B$9))/(BG117/$B$9)-EXP(-BG117/$B$9))+$B$8*((1-EXP(-BG117/$B$10))/(BG117/$B$10)-EXP(-BG117/$B$10)))</f>
        <v>2.7301214591153228E-2</v>
      </c>
      <c r="BH118" s="312">
        <f t="shared" ref="BH118" si="791">IF(BH116&lt;0,0,$B$5+$B$6*((1-EXP(-BH117/$B$9))/(BH117/$B$9))+$B$7*((1-EXP(-BH117/$B$9))/(BH117/$B$9)-EXP(-BH117/$B$9))+$B$8*((1-EXP(-BH117/$B$10))/(BH117/$B$10)-EXP(-BH117/$B$10)))</f>
        <v>2.7461267077955875E-2</v>
      </c>
      <c r="BI118" s="312">
        <f t="shared" ref="BI118" si="792">IF(BI116&lt;0,0,$B$5+$B$6*((1-EXP(-BI117/$B$9))/(BI117/$B$9))+$B$7*((1-EXP(-BI117/$B$9))/(BI117/$B$9)-EXP(-BI117/$B$9))+$B$8*((1-EXP(-BI117/$B$10))/(BI117/$B$10)-EXP(-BI117/$B$10)))</f>
        <v>2.7619207154218534E-2</v>
      </c>
      <c r="BJ118" s="312">
        <f t="shared" ref="BJ118" si="793">IF(BJ116&lt;0,0,$B$5+$B$6*((1-EXP(-BJ117/$B$9))/(BJ117/$B$9))+$B$7*((1-EXP(-BJ117/$B$9))/(BJ117/$B$9)-EXP(-BJ117/$B$9))+$B$8*((1-EXP(-BJ117/$B$10))/(BJ117/$B$10)-EXP(-BJ117/$B$10)))</f>
        <v>2.7775036979794332E-2</v>
      </c>
      <c r="BK118" s="312">
        <f t="shared" ref="BK118" si="794">IF(BK116&lt;0,0,$B$5+$B$6*((1-EXP(-BK117/$B$9))/(BK117/$B$9))+$B$7*((1-EXP(-BK117/$B$9))/(BK117/$B$9)-EXP(-BK117/$B$9))+$B$8*((1-EXP(-BK117/$B$10))/(BK117/$B$10)-EXP(-BK117/$B$10)))</f>
        <v>2.79287608699057E-2</v>
      </c>
      <c r="BL118" s="312">
        <f t="shared" ref="BL118" si="795">IF(BL116&lt;0,0,$B$5+$B$6*((1-EXP(-BL117/$B$9))/(BL117/$B$9))+$B$7*((1-EXP(-BL117/$B$9))/(BL117/$B$9)-EXP(-BL117/$B$9))+$B$8*((1-EXP(-BL117/$B$10))/(BL117/$B$10)-EXP(-BL117/$B$10)))</f>
        <v>2.8080385136130009E-2</v>
      </c>
      <c r="BM118" s="312">
        <f t="shared" ref="BM118" si="796">IF(BM116&lt;0,0,$B$5+$B$6*((1-EXP(-BM117/$B$9))/(BM117/$B$9))+$B$7*((1-EXP(-BM117/$B$9))/(BM117/$B$9)-EXP(-BM117/$B$9))+$B$8*((1-EXP(-BM117/$B$10))/(BM117/$B$10)-EXP(-BM117/$B$10)))</f>
        <v>2.8229917936218513E-2</v>
      </c>
      <c r="BN118" s="312">
        <f t="shared" ref="BN118" si="797">IF(BN116&lt;0,0,$B$5+$B$6*((1-EXP(-BN117/$B$9))/(BN117/$B$9))+$B$7*((1-EXP(-BN117/$B$9))/(BN117/$B$9)-EXP(-BN117/$B$9))+$B$8*((1-EXP(-BN117/$B$10))/(BN117/$B$10)-EXP(-BN117/$B$10)))</f>
        <v>2.8377369132313479E-2</v>
      </c>
      <c r="BO118" s="312">
        <f t="shared" ref="BO118" si="798">IF(BO116&lt;0,0,$B$5+$B$6*((1-EXP(-BO117/$B$9))/(BO117/$B$9))+$B$7*((1-EXP(-BO117/$B$9))/(BO117/$B$9)-EXP(-BO117/$B$9))+$B$8*((1-EXP(-BO117/$B$10))/(BO117/$B$10)-EXP(-BO117/$B$10)))</f>
        <v>2.8521948180309314E-2</v>
      </c>
      <c r="BP118" s="312">
        <f t="shared" ref="BP118" si="799">IF(BP116&lt;0,0,$B$5+$B$6*((1-EXP(-BP117/$B$9))/(BP117/$B$9))+$B$7*((1-EXP(-BP117/$B$9))/(BP117/$B$9)-EXP(-BP117/$B$9))+$B$8*((1-EXP(-BP117/$B$10))/(BP117/$B$10)-EXP(-BP117/$B$10)))</f>
        <v>2.866528330239676E-2</v>
      </c>
      <c r="BQ118" s="312">
        <f t="shared" ref="BQ118" si="800">IF(BQ116&lt;0,0,$B$5+$B$6*((1-EXP(-BQ117/$B$9))/(BQ117/$B$9))+$B$7*((1-EXP(-BQ117/$B$9))/(BQ117/$B$9)-EXP(-BQ117/$B$9))+$B$8*((1-EXP(-BQ117/$B$10))/(BQ117/$B$10)-EXP(-BQ117/$B$10)))</f>
        <v>2.8806575250593269E-2</v>
      </c>
      <c r="BR118" s="312">
        <f t="shared" ref="BR118" si="801">IF(BR116&lt;0,0,$B$5+$B$6*((1-EXP(-BR117/$B$9))/(BR117/$B$9))+$B$7*((1-EXP(-BR117/$B$9))/(BR117/$B$9)-EXP(-BR117/$B$9))+$B$8*((1-EXP(-BR117/$B$10))/(BR117/$B$10)-EXP(-BR117/$B$10)))</f>
        <v>2.8945839434345422E-2</v>
      </c>
      <c r="BS118" s="312">
        <f t="shared" ref="BS118" si="802">IF(BS116&lt;0,0,$B$5+$B$6*((1-EXP(-BS117/$B$9))/(BS117/$B$9))+$B$7*((1-EXP(-BS117/$B$9))/(BS117/$B$9)-EXP(-BS117/$B$9))+$B$8*((1-EXP(-BS117/$B$10))/(BS117/$B$10)-EXP(-BS117/$B$10)))</f>
        <v>2.9083092371393837E-2</v>
      </c>
      <c r="BT118" s="312">
        <f t="shared" ref="BT118" si="803">IF(BT116&lt;0,0,$B$5+$B$6*((1-EXP(-BT117/$B$9))/(BT117/$B$9))+$B$7*((1-EXP(-BT117/$B$9))/(BT117/$B$9)-EXP(-BT117/$B$9))+$B$8*((1-EXP(-BT117/$B$10))/(BT117/$B$10)-EXP(-BT117/$B$10)))</f>
        <v>2.9218351588337882E-2</v>
      </c>
      <c r="BU118" s="312">
        <f t="shared" ref="BU118" si="804">IF(BU116&lt;0,0,$B$5+$B$6*((1-EXP(-BU117/$B$9))/(BU117/$B$9))+$B$7*((1-EXP(-BU117/$B$9))/(BU117/$B$9)-EXP(-BU117/$B$9))+$B$8*((1-EXP(-BU117/$B$10))/(BU117/$B$10)-EXP(-BU117/$B$10)))</f>
        <v>2.9351635527083697E-2</v>
      </c>
      <c r="BV118" s="312">
        <f t="shared" ref="BV118" si="805">IF(BV116&lt;0,0,$B$5+$B$6*((1-EXP(-BV117/$B$9))/(BV117/$B$9))+$B$7*((1-EXP(-BV117/$B$9))/(BV117/$B$9)-EXP(-BV117/$B$9))+$B$8*((1-EXP(-BV117/$B$10))/(BV117/$B$10)-EXP(-BV117/$B$10)))</f>
        <v>2.9482963456872346E-2</v>
      </c>
      <c r="BW118" s="312">
        <f t="shared" ref="BW118" si="806">IF(BW116&lt;0,0,$B$5+$B$6*((1-EXP(-BW117/$B$9))/(BW117/$B$9))+$B$7*((1-EXP(-BW117/$B$9))/(BW117/$B$9)-EXP(-BW117/$B$9))+$B$8*((1-EXP(-BW117/$B$10))/(BW117/$B$10)-EXP(-BW117/$B$10)))</f>
        <v>2.9611641857720333E-2</v>
      </c>
      <c r="BX118" s="312">
        <f t="shared" ref="BX118" si="807">IF(BX116&lt;0,0,$B$5+$B$6*((1-EXP(-BX117/$B$9))/(BX117/$B$9))+$B$7*((1-EXP(-BX117/$B$9))/(BX117/$B$9)-EXP(-BX117/$B$9))+$B$8*((1-EXP(-BX117/$B$10))/(BX117/$B$10)-EXP(-BX117/$B$10)))</f>
        <v>2.9739129060698921E-2</v>
      </c>
      <c r="BY118" s="312">
        <f t="shared" ref="BY118" si="808">IF(BY116&lt;0,0,$B$5+$B$6*((1-EXP(-BY117/$B$9))/(BY117/$B$9))+$B$7*((1-EXP(-BY117/$B$9))/(BY117/$B$9)-EXP(-BY117/$B$9))+$B$8*((1-EXP(-BY117/$B$10))/(BY117/$B$10)-EXP(-BY117/$B$10)))</f>
        <v>2.9864722104877395E-2</v>
      </c>
      <c r="BZ118" s="312">
        <f t="shared" ref="BZ118" si="809">IF(BZ116&lt;0,0,$B$5+$B$6*((1-EXP(-BZ117/$B$9))/(BZ117/$B$9))+$B$7*((1-EXP(-BZ117/$B$9))/(BZ117/$B$9)-EXP(-BZ117/$B$9))+$B$8*((1-EXP(-BZ117/$B$10))/(BZ117/$B$10)-EXP(-BZ117/$B$10)))</f>
        <v>2.9988442788329267E-2</v>
      </c>
      <c r="CA118" s="312">
        <f t="shared" ref="CA118" si="810">IF(CA116&lt;0,0,$B$5+$B$6*((1-EXP(-CA117/$B$9))/(CA117/$B$9))+$B$7*((1-EXP(-CA117/$B$9))/(CA117/$B$9)-EXP(-CA117/$B$9))+$B$8*((1-EXP(-CA117/$B$10))/(CA117/$B$10)-EXP(-CA117/$B$10)))</f>
        <v>3.0110313371158659E-2</v>
      </c>
      <c r="CB118" s="312">
        <f t="shared" ref="CB118" si="811">IF(CB116&lt;0,0,$B$5+$B$6*((1-EXP(-CB117/$B$9))/(CB117/$B$9))+$B$7*((1-EXP(-CB117/$B$9))/(CB117/$B$9)-EXP(-CB117/$B$9))+$B$8*((1-EXP(-CB117/$B$10))/(CB117/$B$10)-EXP(-CB117/$B$10)))</f>
        <v>3.0230356515455165E-2</v>
      </c>
    </row>
    <row r="119" spans="1:80">
      <c r="A119" s="311" t="s">
        <v>44</v>
      </c>
      <c r="B119" s="312">
        <f>EXP(-B118*B117)</f>
        <v>0.99133494775594411</v>
      </c>
      <c r="C119" s="312">
        <f t="shared" ref="C119" si="812">EXP(-C118*C117)</f>
        <v>0.98270187628601502</v>
      </c>
      <c r="D119" s="312">
        <f t="shared" ref="D119:AR119" si="813">EXP(-D118*D117)</f>
        <v>0.9740316895281903</v>
      </c>
      <c r="E119" s="312">
        <f t="shared" si="813"/>
        <v>0.96535416560698328</v>
      </c>
      <c r="F119" s="312">
        <f t="shared" si="813"/>
        <v>0.95665333092877125</v>
      </c>
      <c r="G119" s="312">
        <f t="shared" si="813"/>
        <v>0.94791555711630204</v>
      </c>
      <c r="H119" s="312">
        <f t="shared" si="813"/>
        <v>0.93912937391716023</v>
      </c>
      <c r="I119" s="312">
        <f t="shared" si="813"/>
        <v>0.93028529496859791</v>
      </c>
      <c r="J119" s="312">
        <f t="shared" si="813"/>
        <v>0.92137565508764274</v>
      </c>
      <c r="K119" s="312">
        <f t="shared" si="813"/>
        <v>0.91244456005484864</v>
      </c>
      <c r="L119" s="312">
        <f t="shared" si="813"/>
        <v>0.90338776757950023</v>
      </c>
      <c r="M119" s="312">
        <f t="shared" si="813"/>
        <v>0.89425188284220547</v>
      </c>
      <c r="N119" s="312">
        <f t="shared" si="813"/>
        <v>0.88503508674048181</v>
      </c>
      <c r="O119" s="312">
        <f t="shared" si="813"/>
        <v>0.87573670811711612</v>
      </c>
      <c r="P119" s="312">
        <f t="shared" si="813"/>
        <v>0.86635711217418332</v>
      </c>
      <c r="Q119" s="312">
        <f t="shared" si="813"/>
        <v>0.85689759551618949</v>
      </c>
      <c r="R119" s="312">
        <f t="shared" si="813"/>
        <v>0.84736028747735637</v>
      </c>
      <c r="S119" s="312">
        <f t="shared" si="813"/>
        <v>0.83780165947999741</v>
      </c>
      <c r="T119" s="312">
        <f t="shared" si="813"/>
        <v>0.82811841571618106</v>
      </c>
      <c r="U119" s="312">
        <f t="shared" si="813"/>
        <v>0.81836784221329473</v>
      </c>
      <c r="V119" s="312">
        <f t="shared" si="813"/>
        <v>0.80855452575553166</v>
      </c>
      <c r="W119" s="312">
        <f t="shared" si="813"/>
        <v>0.79868347764503977</v>
      </c>
      <c r="X119" s="312">
        <f t="shared" si="813"/>
        <v>0.78876006734331217</v>
      </c>
      <c r="Y119" s="312">
        <f t="shared" si="813"/>
        <v>0.778789960786341</v>
      </c>
      <c r="Z119" s="312">
        <f t="shared" si="813"/>
        <v>0.76877906319361389</v>
      </c>
      <c r="AA119" s="312">
        <f t="shared" si="813"/>
        <v>0.75878935952962412</v>
      </c>
      <c r="AB119" s="312">
        <f t="shared" si="813"/>
        <v>0.74871543320342449</v>
      </c>
      <c r="AC119" s="312">
        <f t="shared" si="813"/>
        <v>0.73861932370807293</v>
      </c>
      <c r="AD119" s="312">
        <f t="shared" si="813"/>
        <v>0.72850740505367828</v>
      </c>
      <c r="AE119" s="312">
        <f t="shared" si="813"/>
        <v>0.71838606607836908</v>
      </c>
      <c r="AF119" s="312">
        <f t="shared" si="813"/>
        <v>0.70826167655609173</v>
      </c>
      <c r="AG119" s="312">
        <f t="shared" si="813"/>
        <v>0.6981405565934341</v>
      </c>
      <c r="AH119" s="312">
        <f t="shared" si="813"/>
        <v>0.68802894914669188</v>
      </c>
      <c r="AI119" s="312">
        <f t="shared" si="813"/>
        <v>0.67798902976805742</v>
      </c>
      <c r="AJ119" s="312">
        <f t="shared" si="813"/>
        <v>0.66791461098992122</v>
      </c>
      <c r="AK119" s="312">
        <f t="shared" si="813"/>
        <v>0.65786770695142249</v>
      </c>
      <c r="AL119" s="312">
        <f t="shared" si="813"/>
        <v>0.64785403469051761</v>
      </c>
      <c r="AM119" s="312">
        <f t="shared" si="813"/>
        <v>0.63787913776967164</v>
      </c>
      <c r="AN119" s="312">
        <f t="shared" si="813"/>
        <v>0.62794837406515169</v>
      </c>
      <c r="AO119" s="312">
        <f t="shared" si="813"/>
        <v>0.61806690555865029</v>
      </c>
      <c r="AP119" s="312">
        <f t="shared" si="813"/>
        <v>0.60823968998566269</v>
      </c>
      <c r="AQ119" s="312">
        <f t="shared" si="813"/>
        <v>0.59852557066586265</v>
      </c>
      <c r="AR119" s="312">
        <f t="shared" si="813"/>
        <v>0.58882052052088008</v>
      </c>
      <c r="AS119" s="312">
        <f>EXP(-AS118*AS117)</f>
        <v>0.57918328911114891</v>
      </c>
      <c r="AT119" s="312">
        <f t="shared" ref="AT119:CA119" si="814">EXP(-AT118*AT117)</f>
        <v>0.56961796722119606</v>
      </c>
      <c r="AU119" s="312">
        <f t="shared" si="814"/>
        <v>0.56012842273768781</v>
      </c>
      <c r="AV119" s="312">
        <f t="shared" si="814"/>
        <v>0.55071830065923066</v>
      </c>
      <c r="AW119" s="312">
        <f t="shared" si="814"/>
        <v>0.54139102409060236</v>
      </c>
      <c r="AX119" s="312">
        <f t="shared" si="814"/>
        <v>0.53214979611937574</v>
      </c>
      <c r="AY119" s="312">
        <f t="shared" si="814"/>
        <v>0.5230481968675168</v>
      </c>
      <c r="AZ119" s="312">
        <f t="shared" si="814"/>
        <v>0.51398729199263482</v>
      </c>
      <c r="BA119" s="312">
        <f t="shared" si="814"/>
        <v>0.50502074123811425</v>
      </c>
      <c r="BB119" s="312">
        <f t="shared" si="814"/>
        <v>0.496150901920133</v>
      </c>
      <c r="BC119" s="312">
        <f t="shared" si="814"/>
        <v>0.48737993076220898</v>
      </c>
      <c r="BD119" s="312">
        <f t="shared" si="814"/>
        <v>0.47870978924320318</v>
      </c>
      <c r="BE119" s="312">
        <f t="shared" si="814"/>
        <v>0.47014224927231391</v>
      </c>
      <c r="BF119" s="312">
        <f t="shared" si="814"/>
        <v>0.46167889913268167</v>
      </c>
      <c r="BG119" s="312">
        <f t="shared" si="814"/>
        <v>0.45336728752230915</v>
      </c>
      <c r="BH119" s="312">
        <f t="shared" si="814"/>
        <v>0.44511578167308097</v>
      </c>
      <c r="BI119" s="312">
        <f t="shared" si="814"/>
        <v>0.43697218558998668</v>
      </c>
      <c r="BJ119" s="312">
        <f t="shared" si="814"/>
        <v>0.42893741693799892</v>
      </c>
      <c r="BK119" s="312">
        <f t="shared" si="814"/>
        <v>0.4210122417441915</v>
      </c>
      <c r="BL119" s="312">
        <f t="shared" si="814"/>
        <v>0.41319728097814667</v>
      </c>
      <c r="BM119" s="312">
        <f t="shared" si="814"/>
        <v>0.40549301711334629</v>
      </c>
      <c r="BN119" s="312">
        <f t="shared" si="814"/>
        <v>0.39789980064314701</v>
      </c>
      <c r="BO119" s="312">
        <f t="shared" si="814"/>
        <v>0.39045911526378552</v>
      </c>
      <c r="BP119" s="312">
        <f t="shared" si="814"/>
        <v>0.38308793043873168</v>
      </c>
      <c r="BQ119" s="312">
        <f t="shared" si="814"/>
        <v>0.37582811695285945</v>
      </c>
      <c r="BR119" s="312">
        <f t="shared" si="814"/>
        <v>0.36867956144329156</v>
      </c>
      <c r="BS119" s="312">
        <f t="shared" si="814"/>
        <v>0.36164204970580749</v>
      </c>
      <c r="BT119" s="312">
        <f t="shared" si="814"/>
        <v>0.35471527253815899</v>
      </c>
      <c r="BU119" s="312">
        <f t="shared" si="814"/>
        <v>0.3478988314261498</v>
      </c>
      <c r="BV119" s="312">
        <f t="shared" si="814"/>
        <v>0.3411922440648365</v>
      </c>
      <c r="BW119" s="312">
        <f t="shared" si="814"/>
        <v>0.33463130057083745</v>
      </c>
      <c r="BX119" s="312">
        <f t="shared" si="814"/>
        <v>0.32814206342607616</v>
      </c>
      <c r="BY119" s="312">
        <f t="shared" si="814"/>
        <v>0.32176078707350481</v>
      </c>
      <c r="BZ119" s="312">
        <f t="shared" si="814"/>
        <v>0.3154867061133213</v>
      </c>
      <c r="CA119" s="312">
        <f t="shared" si="814"/>
        <v>0.30931899629507537</v>
      </c>
      <c r="CB119" s="312">
        <f>EXP(-CB118*CB117)</f>
        <v>0.30325677896735026</v>
      </c>
    </row>
    <row r="121" spans="1:80">
      <c r="A121" s="311" t="s">
        <v>40</v>
      </c>
      <c r="B121" s="312">
        <f t="shared" ref="B121:AG121" si="815">DAYS360($B$3,B44)</f>
        <v>179</v>
      </c>
      <c r="C121" s="312">
        <f t="shared" si="815"/>
        <v>358</v>
      </c>
      <c r="D121" s="312">
        <f t="shared" si="815"/>
        <v>538</v>
      </c>
      <c r="E121" s="312">
        <f t="shared" si="815"/>
        <v>718</v>
      </c>
      <c r="F121" s="312">
        <f t="shared" si="815"/>
        <v>898</v>
      </c>
      <c r="G121" s="312">
        <f t="shared" si="815"/>
        <v>1078</v>
      </c>
      <c r="H121" s="312">
        <f t="shared" si="815"/>
        <v>1258</v>
      </c>
      <c r="I121" s="312">
        <f t="shared" si="815"/>
        <v>1438</v>
      </c>
      <c r="J121" s="312">
        <f t="shared" si="815"/>
        <v>1618</v>
      </c>
      <c r="K121" s="312">
        <f t="shared" si="815"/>
        <v>1797</v>
      </c>
      <c r="L121" s="312">
        <f t="shared" si="815"/>
        <v>1977</v>
      </c>
      <c r="M121" s="312">
        <f t="shared" si="815"/>
        <v>2157</v>
      </c>
      <c r="N121" s="312">
        <f t="shared" si="815"/>
        <v>2337</v>
      </c>
      <c r="O121" s="312">
        <f t="shared" si="815"/>
        <v>2517</v>
      </c>
      <c r="P121" s="312">
        <f t="shared" si="815"/>
        <v>2697</v>
      </c>
      <c r="Q121" s="312">
        <f t="shared" si="815"/>
        <v>2877</v>
      </c>
      <c r="R121" s="312">
        <f t="shared" si="815"/>
        <v>3057</v>
      </c>
      <c r="S121" s="312">
        <f t="shared" si="815"/>
        <v>3236</v>
      </c>
      <c r="T121" s="312">
        <f t="shared" si="815"/>
        <v>3416</v>
      </c>
      <c r="U121" s="312">
        <f t="shared" si="815"/>
        <v>3596</v>
      </c>
      <c r="V121" s="312">
        <f t="shared" si="815"/>
        <v>3776</v>
      </c>
      <c r="W121" s="312">
        <f t="shared" si="815"/>
        <v>3956</v>
      </c>
      <c r="X121" s="312">
        <f t="shared" si="815"/>
        <v>4136</v>
      </c>
      <c r="Y121" s="312">
        <f t="shared" si="815"/>
        <v>4316</v>
      </c>
      <c r="Z121" s="312">
        <f t="shared" si="815"/>
        <v>4496</v>
      </c>
      <c r="AA121" s="312">
        <f t="shared" si="815"/>
        <v>4675</v>
      </c>
      <c r="AB121" s="312">
        <f t="shared" si="815"/>
        <v>4855</v>
      </c>
      <c r="AC121" s="312">
        <f t="shared" si="815"/>
        <v>5035</v>
      </c>
      <c r="AD121" s="312">
        <f t="shared" si="815"/>
        <v>5215</v>
      </c>
      <c r="AE121" s="312">
        <f t="shared" si="815"/>
        <v>5395</v>
      </c>
      <c r="AF121" s="312">
        <f t="shared" si="815"/>
        <v>5575</v>
      </c>
      <c r="AG121" s="312">
        <f t="shared" si="815"/>
        <v>5755</v>
      </c>
      <c r="AH121" s="312">
        <f t="shared" ref="AH121:BM121" si="816">DAYS360($B$3,AH44)</f>
        <v>5935</v>
      </c>
      <c r="AI121" s="312">
        <f t="shared" si="816"/>
        <v>6114</v>
      </c>
      <c r="AJ121" s="312">
        <f t="shared" si="816"/>
        <v>6294</v>
      </c>
      <c r="AK121" s="312">
        <f t="shared" si="816"/>
        <v>6474</v>
      </c>
      <c r="AL121" s="312">
        <f t="shared" si="816"/>
        <v>6654</v>
      </c>
      <c r="AM121" s="312">
        <f t="shared" si="816"/>
        <v>6834</v>
      </c>
      <c r="AN121" s="312">
        <f t="shared" si="816"/>
        <v>7014</v>
      </c>
      <c r="AO121" s="312">
        <f t="shared" si="816"/>
        <v>7194</v>
      </c>
      <c r="AP121" s="312">
        <f t="shared" si="816"/>
        <v>7374</v>
      </c>
      <c r="AQ121" s="312">
        <f t="shared" si="816"/>
        <v>7553</v>
      </c>
      <c r="AR121" s="312">
        <f t="shared" si="816"/>
        <v>7733</v>
      </c>
      <c r="AS121" s="312">
        <f t="shared" si="816"/>
        <v>7913</v>
      </c>
      <c r="AT121" s="312">
        <f t="shared" si="816"/>
        <v>8093</v>
      </c>
      <c r="AU121" s="312">
        <f t="shared" si="816"/>
        <v>8273</v>
      </c>
      <c r="AV121" s="312">
        <f t="shared" si="816"/>
        <v>8453</v>
      </c>
      <c r="AW121" s="312">
        <f t="shared" si="816"/>
        <v>8633</v>
      </c>
      <c r="AX121" s="312">
        <f t="shared" si="816"/>
        <v>8813</v>
      </c>
      <c r="AY121" s="312">
        <f t="shared" si="816"/>
        <v>8992</v>
      </c>
      <c r="AZ121" s="312">
        <f t="shared" si="816"/>
        <v>9172</v>
      </c>
      <c r="BA121" s="312">
        <f t="shared" si="816"/>
        <v>9352</v>
      </c>
      <c r="BB121" s="312">
        <f t="shared" si="816"/>
        <v>9532</v>
      </c>
      <c r="BC121" s="312">
        <f t="shared" si="816"/>
        <v>9712</v>
      </c>
      <c r="BD121" s="312">
        <f t="shared" si="816"/>
        <v>9892</v>
      </c>
      <c r="BE121" s="312">
        <f t="shared" si="816"/>
        <v>10072</v>
      </c>
      <c r="BF121" s="312">
        <f t="shared" si="816"/>
        <v>10252</v>
      </c>
      <c r="BG121" s="312">
        <f t="shared" si="816"/>
        <v>10431</v>
      </c>
      <c r="BH121" s="312">
        <f t="shared" si="816"/>
        <v>10611</v>
      </c>
      <c r="BI121" s="312">
        <f t="shared" si="816"/>
        <v>10791</v>
      </c>
      <c r="BJ121" s="312">
        <f t="shared" si="816"/>
        <v>10971</v>
      </c>
      <c r="BK121" s="312">
        <f t="shared" si="816"/>
        <v>11151</v>
      </c>
      <c r="BL121" s="312">
        <f t="shared" si="816"/>
        <v>11331</v>
      </c>
      <c r="BM121" s="312">
        <f t="shared" si="816"/>
        <v>11511</v>
      </c>
      <c r="BN121" s="312">
        <f t="shared" ref="BN121:CB121" si="817">DAYS360($B$3,BN44)</f>
        <v>11691</v>
      </c>
      <c r="BO121" s="312">
        <f t="shared" si="817"/>
        <v>11870</v>
      </c>
      <c r="BP121" s="312">
        <f t="shared" si="817"/>
        <v>12050</v>
      </c>
      <c r="BQ121" s="312">
        <f t="shared" si="817"/>
        <v>12230</v>
      </c>
      <c r="BR121" s="312">
        <f t="shared" si="817"/>
        <v>12410</v>
      </c>
      <c r="BS121" s="312">
        <f t="shared" si="817"/>
        <v>12590</v>
      </c>
      <c r="BT121" s="312">
        <f t="shared" si="817"/>
        <v>12770</v>
      </c>
      <c r="BU121" s="312">
        <f t="shared" si="817"/>
        <v>12950</v>
      </c>
      <c r="BV121" s="312">
        <f t="shared" si="817"/>
        <v>13130</v>
      </c>
      <c r="BW121" s="312">
        <f t="shared" si="817"/>
        <v>13309</v>
      </c>
      <c r="BX121" s="312">
        <f t="shared" si="817"/>
        <v>13489</v>
      </c>
      <c r="BY121" s="312">
        <f t="shared" si="817"/>
        <v>13669</v>
      </c>
      <c r="BZ121" s="312">
        <f t="shared" si="817"/>
        <v>13849</v>
      </c>
      <c r="CA121" s="312">
        <f t="shared" si="817"/>
        <v>14029</v>
      </c>
      <c r="CB121" s="312">
        <f t="shared" si="817"/>
        <v>14209</v>
      </c>
    </row>
    <row r="122" spans="1:80">
      <c r="A122" s="311" t="s">
        <v>41</v>
      </c>
      <c r="B122" s="312">
        <f>B121/360</f>
        <v>0.49722222222222223</v>
      </c>
      <c r="C122" s="312">
        <f t="shared" ref="C122:BN122" si="818">C121/360</f>
        <v>0.99444444444444446</v>
      </c>
      <c r="D122" s="312">
        <f t="shared" si="818"/>
        <v>1.4944444444444445</v>
      </c>
      <c r="E122" s="312">
        <f t="shared" si="818"/>
        <v>1.9944444444444445</v>
      </c>
      <c r="F122" s="312">
        <f t="shared" si="818"/>
        <v>2.4944444444444445</v>
      </c>
      <c r="G122" s="312">
        <f t="shared" si="818"/>
        <v>2.9944444444444445</v>
      </c>
      <c r="H122" s="312">
        <f t="shared" si="818"/>
        <v>3.4944444444444445</v>
      </c>
      <c r="I122" s="312">
        <f t="shared" si="818"/>
        <v>3.9944444444444445</v>
      </c>
      <c r="J122" s="312">
        <f t="shared" si="818"/>
        <v>4.4944444444444445</v>
      </c>
      <c r="K122" s="312">
        <f t="shared" si="818"/>
        <v>4.9916666666666663</v>
      </c>
      <c r="L122" s="312">
        <f t="shared" si="818"/>
        <v>5.4916666666666663</v>
      </c>
      <c r="M122" s="312">
        <f t="shared" si="818"/>
        <v>5.9916666666666663</v>
      </c>
      <c r="N122" s="312">
        <f t="shared" si="818"/>
        <v>6.4916666666666663</v>
      </c>
      <c r="O122" s="312">
        <f t="shared" si="818"/>
        <v>6.9916666666666663</v>
      </c>
      <c r="P122" s="312">
        <f t="shared" si="818"/>
        <v>7.4916666666666663</v>
      </c>
      <c r="Q122" s="312">
        <f t="shared" si="818"/>
        <v>7.9916666666666663</v>
      </c>
      <c r="R122" s="312">
        <f t="shared" si="818"/>
        <v>8.4916666666666671</v>
      </c>
      <c r="S122" s="312">
        <f t="shared" si="818"/>
        <v>8.9888888888888889</v>
      </c>
      <c r="T122" s="312">
        <f t="shared" si="818"/>
        <v>9.4888888888888889</v>
      </c>
      <c r="U122" s="312">
        <f t="shared" si="818"/>
        <v>9.9888888888888889</v>
      </c>
      <c r="V122" s="312">
        <f t="shared" si="818"/>
        <v>10.488888888888889</v>
      </c>
      <c r="W122" s="312">
        <f t="shared" si="818"/>
        <v>10.988888888888889</v>
      </c>
      <c r="X122" s="312">
        <f t="shared" si="818"/>
        <v>11.488888888888889</v>
      </c>
      <c r="Y122" s="312">
        <f t="shared" si="818"/>
        <v>11.988888888888889</v>
      </c>
      <c r="Z122" s="312">
        <f t="shared" si="818"/>
        <v>12.488888888888889</v>
      </c>
      <c r="AA122" s="312">
        <f t="shared" si="818"/>
        <v>12.986111111111111</v>
      </c>
      <c r="AB122" s="312">
        <f t="shared" si="818"/>
        <v>13.486111111111111</v>
      </c>
      <c r="AC122" s="312">
        <f t="shared" si="818"/>
        <v>13.986111111111111</v>
      </c>
      <c r="AD122" s="312">
        <f t="shared" si="818"/>
        <v>14.486111111111111</v>
      </c>
      <c r="AE122" s="312">
        <f t="shared" si="818"/>
        <v>14.986111111111111</v>
      </c>
      <c r="AF122" s="312">
        <f t="shared" si="818"/>
        <v>15.486111111111111</v>
      </c>
      <c r="AG122" s="312">
        <f t="shared" si="818"/>
        <v>15.986111111111111</v>
      </c>
      <c r="AH122" s="312">
        <f t="shared" si="818"/>
        <v>16.486111111111111</v>
      </c>
      <c r="AI122" s="312">
        <f t="shared" si="818"/>
        <v>16.983333333333334</v>
      </c>
      <c r="AJ122" s="312">
        <f t="shared" si="818"/>
        <v>17.483333333333334</v>
      </c>
      <c r="AK122" s="312">
        <f t="shared" si="818"/>
        <v>17.983333333333334</v>
      </c>
      <c r="AL122" s="312">
        <f t="shared" si="818"/>
        <v>18.483333333333334</v>
      </c>
      <c r="AM122" s="312">
        <f t="shared" si="818"/>
        <v>18.983333333333334</v>
      </c>
      <c r="AN122" s="312">
        <f t="shared" si="818"/>
        <v>19.483333333333334</v>
      </c>
      <c r="AO122" s="312">
        <f t="shared" si="818"/>
        <v>19.983333333333334</v>
      </c>
      <c r="AP122" s="312">
        <f t="shared" si="818"/>
        <v>20.483333333333334</v>
      </c>
      <c r="AQ122" s="312">
        <f t="shared" si="818"/>
        <v>20.980555555555554</v>
      </c>
      <c r="AR122" s="312">
        <f t="shared" si="818"/>
        <v>21.480555555555554</v>
      </c>
      <c r="AS122" s="312">
        <f t="shared" si="818"/>
        <v>21.980555555555554</v>
      </c>
      <c r="AT122" s="312">
        <f t="shared" si="818"/>
        <v>22.480555555555554</v>
      </c>
      <c r="AU122" s="312">
        <f t="shared" si="818"/>
        <v>22.980555555555554</v>
      </c>
      <c r="AV122" s="312">
        <f t="shared" si="818"/>
        <v>23.480555555555554</v>
      </c>
      <c r="AW122" s="312">
        <f t="shared" si="818"/>
        <v>23.980555555555554</v>
      </c>
      <c r="AX122" s="312">
        <f t="shared" si="818"/>
        <v>24.480555555555554</v>
      </c>
      <c r="AY122" s="312">
        <f t="shared" si="818"/>
        <v>24.977777777777778</v>
      </c>
      <c r="AZ122" s="312">
        <f t="shared" si="818"/>
        <v>25.477777777777778</v>
      </c>
      <c r="BA122" s="312">
        <f t="shared" si="818"/>
        <v>25.977777777777778</v>
      </c>
      <c r="BB122" s="312">
        <f t="shared" si="818"/>
        <v>26.477777777777778</v>
      </c>
      <c r="BC122" s="312">
        <f t="shared" si="818"/>
        <v>26.977777777777778</v>
      </c>
      <c r="BD122" s="312">
        <f t="shared" si="818"/>
        <v>27.477777777777778</v>
      </c>
      <c r="BE122" s="312">
        <f t="shared" si="818"/>
        <v>27.977777777777778</v>
      </c>
      <c r="BF122" s="312">
        <f t="shared" si="818"/>
        <v>28.477777777777778</v>
      </c>
      <c r="BG122" s="312">
        <f t="shared" si="818"/>
        <v>28.975000000000001</v>
      </c>
      <c r="BH122" s="312">
        <f t="shared" si="818"/>
        <v>29.475000000000001</v>
      </c>
      <c r="BI122" s="312">
        <f t="shared" si="818"/>
        <v>29.975000000000001</v>
      </c>
      <c r="BJ122" s="312">
        <f t="shared" si="818"/>
        <v>30.475000000000001</v>
      </c>
      <c r="BK122" s="312">
        <f t="shared" si="818"/>
        <v>30.975000000000001</v>
      </c>
      <c r="BL122" s="312">
        <f t="shared" si="818"/>
        <v>31.475000000000001</v>
      </c>
      <c r="BM122" s="312">
        <f t="shared" si="818"/>
        <v>31.975000000000001</v>
      </c>
      <c r="BN122" s="312">
        <f t="shared" si="818"/>
        <v>32.475000000000001</v>
      </c>
      <c r="BO122" s="312">
        <f t="shared" ref="BO122:CB122" si="819">BO121/360</f>
        <v>32.972222222222221</v>
      </c>
      <c r="BP122" s="312">
        <f t="shared" si="819"/>
        <v>33.472222222222221</v>
      </c>
      <c r="BQ122" s="312">
        <f t="shared" si="819"/>
        <v>33.972222222222221</v>
      </c>
      <c r="BR122" s="312">
        <f t="shared" si="819"/>
        <v>34.472222222222221</v>
      </c>
      <c r="BS122" s="312">
        <f t="shared" si="819"/>
        <v>34.972222222222221</v>
      </c>
      <c r="BT122" s="312">
        <f t="shared" si="819"/>
        <v>35.472222222222221</v>
      </c>
      <c r="BU122" s="312">
        <f t="shared" si="819"/>
        <v>35.972222222222221</v>
      </c>
      <c r="BV122" s="312">
        <f t="shared" si="819"/>
        <v>36.472222222222221</v>
      </c>
      <c r="BW122" s="312">
        <f t="shared" si="819"/>
        <v>36.969444444444441</v>
      </c>
      <c r="BX122" s="312">
        <f t="shared" si="819"/>
        <v>37.469444444444441</v>
      </c>
      <c r="BY122" s="312">
        <f t="shared" si="819"/>
        <v>37.969444444444441</v>
      </c>
      <c r="BZ122" s="312">
        <f t="shared" si="819"/>
        <v>38.469444444444441</v>
      </c>
      <c r="CA122" s="312">
        <f t="shared" si="819"/>
        <v>38.969444444444441</v>
      </c>
      <c r="CB122" s="312">
        <f t="shared" si="819"/>
        <v>39.469444444444441</v>
      </c>
    </row>
    <row r="123" spans="1:80">
      <c r="A123" s="311" t="s">
        <v>43</v>
      </c>
      <c r="B123" s="312">
        <f>IF(B121&lt;0,0,$B$5+$B$6*((1-EXP(-B122/$B$9))/(B122/$B$9))+$B$7*((1-EXP(-B122/$B$9))/(B122/$B$9)-EXP(-B122/$B$9))+$B$8*((1-EXP(-B122/$B$10))/(B122/$B$10)-EXP(-B122/$B$10)))</f>
        <v>1.7502862313720696E-2</v>
      </c>
      <c r="C123" s="312">
        <f t="shared" ref="C123:BN123" si="820">IF(C121&lt;0,0,$B$5+$B$6*((1-EXP(-C122/$B$9))/(C122/$B$9))+$B$7*((1-EXP(-C122/$B$9))/(C122/$B$9)-EXP(-C122/$B$9))+$B$8*((1-EXP(-C122/$B$10))/(C122/$B$10)-EXP(-C122/$B$10)))</f>
        <v>1.7546967450880857E-2</v>
      </c>
      <c r="D123" s="312">
        <f t="shared" si="820"/>
        <v>1.7606168310098716E-2</v>
      </c>
      <c r="E123" s="312">
        <f t="shared" si="820"/>
        <v>1.76792259527392E-2</v>
      </c>
      <c r="F123" s="312">
        <f t="shared" si="820"/>
        <v>1.7765157643877205E-2</v>
      </c>
      <c r="G123" s="312">
        <f t="shared" si="820"/>
        <v>1.7863031510095551E-2</v>
      </c>
      <c r="H123" s="312">
        <f t="shared" si="820"/>
        <v>1.797196431746359E-2</v>
      </c>
      <c r="I123" s="312">
        <f t="shared" si="820"/>
        <v>1.8091119328452671E-2</v>
      </c>
      <c r="J123" s="312">
        <f t="shared" si="820"/>
        <v>1.821970423619132E-2</v>
      </c>
      <c r="K123" s="312">
        <f t="shared" si="820"/>
        <v>1.8356183934990222E-2</v>
      </c>
      <c r="L123" s="312">
        <f t="shared" si="820"/>
        <v>1.8501377167633337E-2</v>
      </c>
      <c r="M123" s="312">
        <f t="shared" si="820"/>
        <v>1.865387404949112E-2</v>
      </c>
      <c r="N123" s="312">
        <f t="shared" si="820"/>
        <v>1.8813040625260291E-2</v>
      </c>
      <c r="O123" s="312">
        <f t="shared" si="820"/>
        <v>1.8978278150209832E-2</v>
      </c>
      <c r="P123" s="312">
        <f t="shared" si="820"/>
        <v>1.9149021451111803E-2</v>
      </c>
      <c r="Q123" s="312">
        <f t="shared" si="820"/>
        <v>1.9324737351885779E-2</v>
      </c>
      <c r="R123" s="312">
        <f t="shared" si="820"/>
        <v>1.9504923162076193E-2</v>
      </c>
      <c r="S123" s="312">
        <f t="shared" si="820"/>
        <v>1.9688071785022576E-2</v>
      </c>
      <c r="T123" s="312">
        <f t="shared" si="820"/>
        <v>1.9875785550960645E-2</v>
      </c>
      <c r="U123" s="312">
        <f t="shared" si="820"/>
        <v>2.0066632117908378E-2</v>
      </c>
      <c r="V123" s="312">
        <f t="shared" si="820"/>
        <v>2.0260216678095133E-2</v>
      </c>
      <c r="W123" s="312">
        <f t="shared" si="820"/>
        <v>2.0456168235481353E-2</v>
      </c>
      <c r="X123" s="312">
        <f t="shared" si="820"/>
        <v>2.0654138431910052E-2</v>
      </c>
      <c r="Y123" s="312">
        <f t="shared" si="820"/>
        <v>2.0853800423269342E-2</v>
      </c>
      <c r="Z123" s="312">
        <f t="shared" si="820"/>
        <v>2.105484780392769E-2</v>
      </c>
      <c r="AA123" s="312">
        <f t="shared" si="820"/>
        <v>2.1255868012983292E-2</v>
      </c>
      <c r="AB123" s="312">
        <f t="shared" si="820"/>
        <v>2.1458839708444366E-2</v>
      </c>
      <c r="AC123" s="312">
        <f t="shared" si="820"/>
        <v>2.1662391488464439E-2</v>
      </c>
      <c r="AD123" s="312">
        <f t="shared" si="820"/>
        <v>2.1866288762611041E-2</v>
      </c>
      <c r="AE123" s="312">
        <f t="shared" si="820"/>
        <v>2.2070312671555348E-2</v>
      </c>
      <c r="AF123" s="312">
        <f t="shared" si="820"/>
        <v>2.2274259266456931E-2</v>
      </c>
      <c r="AG123" s="312">
        <f t="shared" si="820"/>
        <v>2.2477938725486757E-2</v>
      </c>
      <c r="AH123" s="312">
        <f t="shared" si="820"/>
        <v>2.2681174606053955E-2</v>
      </c>
      <c r="AI123" s="312">
        <f t="shared" si="820"/>
        <v>2.2882679379141013E-2</v>
      </c>
      <c r="AJ123" s="312">
        <f t="shared" si="820"/>
        <v>2.3084553373245054E-2</v>
      </c>
      <c r="AK123" s="312">
        <f t="shared" si="820"/>
        <v>2.3285528515443132E-2</v>
      </c>
      <c r="AL123" s="312">
        <f t="shared" si="820"/>
        <v>2.3485475010504797E-2</v>
      </c>
      <c r="AM123" s="312">
        <f t="shared" si="820"/>
        <v>2.3684273194857663E-2</v>
      </c>
      <c r="AN123" s="312">
        <f t="shared" si="820"/>
        <v>2.3881812974973604E-2</v>
      </c>
      <c r="AO123" s="312">
        <f t="shared" si="820"/>
        <v>2.4077993292536792E-2</v>
      </c>
      <c r="AP123" s="312">
        <f t="shared" si="820"/>
        <v>2.427272161527555E-2</v>
      </c>
      <c r="AQ123" s="312">
        <f t="shared" si="820"/>
        <v>2.4464844553315712E-2</v>
      </c>
      <c r="AR123" s="312">
        <f t="shared" si="820"/>
        <v>2.4656432156833219E-2</v>
      </c>
      <c r="AS123" s="312">
        <f t="shared" si="820"/>
        <v>2.4846336964470084E-2</v>
      </c>
      <c r="AT123" s="312">
        <f t="shared" si="820"/>
        <v>2.5034495896443298E-2</v>
      </c>
      <c r="AU123" s="312">
        <f t="shared" si="820"/>
        <v>2.5220852203757416E-2</v>
      </c>
      <c r="AV123" s="312">
        <f t="shared" si="820"/>
        <v>2.5405355091508819E-2</v>
      </c>
      <c r="AW123" s="312">
        <f t="shared" si="820"/>
        <v>2.5587959361053125E-2</v>
      </c>
      <c r="AX123" s="312">
        <f t="shared" si="820"/>
        <v>2.5768625070203111E-2</v>
      </c>
      <c r="AY123" s="312">
        <f t="shared" si="820"/>
        <v>2.5946329986063554E-2</v>
      </c>
      <c r="AZ123" s="312">
        <f t="shared" si="820"/>
        <v>2.6123029386136587E-2</v>
      </c>
      <c r="BA123" s="312">
        <f t="shared" si="820"/>
        <v>2.6297698926963264E-2</v>
      </c>
      <c r="BB123" s="312">
        <f t="shared" si="820"/>
        <v>2.647031660542723E-2</v>
      </c>
      <c r="BC123" s="312">
        <f t="shared" si="820"/>
        <v>2.6640864220642213E-2</v>
      </c>
      <c r="BD123" s="312">
        <f t="shared" si="820"/>
        <v>2.680932712642467E-2</v>
      </c>
      <c r="BE123" s="312">
        <f t="shared" si="820"/>
        <v>2.697569399679034E-2</v>
      </c>
      <c r="BF123" s="312">
        <f t="shared" si="820"/>
        <v>2.7139956603870308E-2</v>
      </c>
      <c r="BG123" s="312">
        <f t="shared" si="820"/>
        <v>2.7301214591153228E-2</v>
      </c>
      <c r="BH123" s="312">
        <f t="shared" si="820"/>
        <v>2.7461267077955875E-2</v>
      </c>
      <c r="BI123" s="312">
        <f t="shared" si="820"/>
        <v>2.7619207154218534E-2</v>
      </c>
      <c r="BJ123" s="312">
        <f t="shared" si="820"/>
        <v>2.7775036979794332E-2</v>
      </c>
      <c r="BK123" s="312">
        <f t="shared" si="820"/>
        <v>2.79287608699057E-2</v>
      </c>
      <c r="BL123" s="312">
        <f t="shared" si="820"/>
        <v>2.8080385136130009E-2</v>
      </c>
      <c r="BM123" s="312">
        <f t="shared" si="820"/>
        <v>2.8229917936218513E-2</v>
      </c>
      <c r="BN123" s="312">
        <f t="shared" si="820"/>
        <v>2.8377369132313479E-2</v>
      </c>
      <c r="BO123" s="312">
        <f t="shared" ref="BO123:CB123" si="821">IF(BO121&lt;0,0,$B$5+$B$6*((1-EXP(-BO122/$B$9))/(BO122/$B$9))+$B$7*((1-EXP(-BO122/$B$9))/(BO122/$B$9)-EXP(-BO122/$B$9))+$B$8*((1-EXP(-BO122/$B$10))/(BO122/$B$10)-EXP(-BO122/$B$10)))</f>
        <v>2.8521948180309314E-2</v>
      </c>
      <c r="BP123" s="312">
        <f t="shared" si="821"/>
        <v>2.866528330239676E-2</v>
      </c>
      <c r="BQ123" s="312">
        <f t="shared" si="821"/>
        <v>2.8806575250593269E-2</v>
      </c>
      <c r="BR123" s="312">
        <f t="shared" si="821"/>
        <v>2.8945839434345422E-2</v>
      </c>
      <c r="BS123" s="312">
        <f t="shared" si="821"/>
        <v>2.9083092371393837E-2</v>
      </c>
      <c r="BT123" s="312">
        <f t="shared" si="821"/>
        <v>2.9218351588337882E-2</v>
      </c>
      <c r="BU123" s="312">
        <f t="shared" si="821"/>
        <v>2.9351635527083697E-2</v>
      </c>
      <c r="BV123" s="312">
        <f t="shared" si="821"/>
        <v>2.9482963456872346E-2</v>
      </c>
      <c r="BW123" s="312">
        <f t="shared" si="821"/>
        <v>2.9611641857720333E-2</v>
      </c>
      <c r="BX123" s="312">
        <f t="shared" si="821"/>
        <v>2.9739129060698921E-2</v>
      </c>
      <c r="BY123" s="312">
        <f t="shared" si="821"/>
        <v>2.9864722104877395E-2</v>
      </c>
      <c r="BZ123" s="312">
        <f t="shared" si="821"/>
        <v>2.9988442788329267E-2</v>
      </c>
      <c r="CA123" s="312">
        <f t="shared" si="821"/>
        <v>3.0110313371158659E-2</v>
      </c>
      <c r="CB123" s="312">
        <f t="shared" si="821"/>
        <v>3.0230356515455165E-2</v>
      </c>
    </row>
    <row r="124" spans="1:80">
      <c r="A124" s="311" t="s">
        <v>44</v>
      </c>
      <c r="B124" s="312">
        <f>EXP(-B123*B122)</f>
        <v>0.99133494775594411</v>
      </c>
      <c r="C124" s="312">
        <f t="shared" ref="C124" si="822">EXP(-C123*C122)</f>
        <v>0.98270187628601502</v>
      </c>
      <c r="D124" s="312">
        <f t="shared" ref="D124:AR124" si="823">EXP(-D123*D122)</f>
        <v>0.9740316895281903</v>
      </c>
      <c r="E124" s="312">
        <f t="shared" si="823"/>
        <v>0.96535416560698328</v>
      </c>
      <c r="F124" s="312">
        <f t="shared" si="823"/>
        <v>0.95665333092877125</v>
      </c>
      <c r="G124" s="312">
        <f t="shared" si="823"/>
        <v>0.94791555711630204</v>
      </c>
      <c r="H124" s="312">
        <f t="shared" si="823"/>
        <v>0.93912937391716023</v>
      </c>
      <c r="I124" s="312">
        <f t="shared" si="823"/>
        <v>0.93028529496859791</v>
      </c>
      <c r="J124" s="312">
        <f t="shared" si="823"/>
        <v>0.92137565508764274</v>
      </c>
      <c r="K124" s="312">
        <f t="shared" si="823"/>
        <v>0.91244456005484864</v>
      </c>
      <c r="L124" s="312">
        <f t="shared" si="823"/>
        <v>0.90338776757950023</v>
      </c>
      <c r="M124" s="312">
        <f t="shared" si="823"/>
        <v>0.89425188284220547</v>
      </c>
      <c r="N124" s="312">
        <f t="shared" si="823"/>
        <v>0.88503508674048181</v>
      </c>
      <c r="O124" s="312">
        <f t="shared" si="823"/>
        <v>0.87573670811711612</v>
      </c>
      <c r="P124" s="312">
        <f t="shared" si="823"/>
        <v>0.86635711217418332</v>
      </c>
      <c r="Q124" s="312">
        <f t="shared" si="823"/>
        <v>0.85689759551618949</v>
      </c>
      <c r="R124" s="312">
        <f t="shared" si="823"/>
        <v>0.84736028747735637</v>
      </c>
      <c r="S124" s="312">
        <f t="shared" si="823"/>
        <v>0.83780165947999741</v>
      </c>
      <c r="T124" s="312">
        <f t="shared" si="823"/>
        <v>0.82811841571618106</v>
      </c>
      <c r="U124" s="312">
        <f t="shared" si="823"/>
        <v>0.81836784221329473</v>
      </c>
      <c r="V124" s="312">
        <f t="shared" si="823"/>
        <v>0.80855452575553166</v>
      </c>
      <c r="W124" s="312">
        <f t="shared" si="823"/>
        <v>0.79868347764503977</v>
      </c>
      <c r="X124" s="312">
        <f t="shared" si="823"/>
        <v>0.78876006734331217</v>
      </c>
      <c r="Y124" s="312">
        <f t="shared" si="823"/>
        <v>0.778789960786341</v>
      </c>
      <c r="Z124" s="312">
        <f t="shared" si="823"/>
        <v>0.76877906319361389</v>
      </c>
      <c r="AA124" s="312">
        <f t="shared" si="823"/>
        <v>0.75878935952962412</v>
      </c>
      <c r="AB124" s="312">
        <f t="shared" si="823"/>
        <v>0.74871543320342449</v>
      </c>
      <c r="AC124" s="312">
        <f t="shared" si="823"/>
        <v>0.73861932370807293</v>
      </c>
      <c r="AD124" s="312">
        <f t="shared" si="823"/>
        <v>0.72850740505367828</v>
      </c>
      <c r="AE124" s="312">
        <f t="shared" si="823"/>
        <v>0.71838606607836908</v>
      </c>
      <c r="AF124" s="312">
        <f t="shared" si="823"/>
        <v>0.70826167655609173</v>
      </c>
      <c r="AG124" s="312">
        <f t="shared" si="823"/>
        <v>0.6981405565934341</v>
      </c>
      <c r="AH124" s="312">
        <f t="shared" si="823"/>
        <v>0.68802894914669188</v>
      </c>
      <c r="AI124" s="312">
        <f t="shared" si="823"/>
        <v>0.67798902976805742</v>
      </c>
      <c r="AJ124" s="312">
        <f t="shared" si="823"/>
        <v>0.66791461098992122</v>
      </c>
      <c r="AK124" s="312">
        <f t="shared" si="823"/>
        <v>0.65786770695142249</v>
      </c>
      <c r="AL124" s="312">
        <f t="shared" si="823"/>
        <v>0.64785403469051761</v>
      </c>
      <c r="AM124" s="312">
        <f t="shared" si="823"/>
        <v>0.63787913776967164</v>
      </c>
      <c r="AN124" s="312">
        <f t="shared" si="823"/>
        <v>0.62794837406515169</v>
      </c>
      <c r="AO124" s="312">
        <f t="shared" si="823"/>
        <v>0.61806690555865029</v>
      </c>
      <c r="AP124" s="312">
        <f t="shared" si="823"/>
        <v>0.60823968998566269</v>
      </c>
      <c r="AQ124" s="312">
        <f t="shared" si="823"/>
        <v>0.59852557066586265</v>
      </c>
      <c r="AR124" s="312">
        <f t="shared" si="823"/>
        <v>0.58882052052088008</v>
      </c>
      <c r="AS124" s="312">
        <f>EXP(-AS123*AS122)</f>
        <v>0.57918328911114891</v>
      </c>
      <c r="AT124" s="312">
        <f t="shared" ref="AT124:CA124" si="824">EXP(-AT123*AT122)</f>
        <v>0.56961796722119606</v>
      </c>
      <c r="AU124" s="312">
        <f t="shared" si="824"/>
        <v>0.56012842273768781</v>
      </c>
      <c r="AV124" s="312">
        <f t="shared" si="824"/>
        <v>0.55071830065923066</v>
      </c>
      <c r="AW124" s="312">
        <f t="shared" si="824"/>
        <v>0.54139102409060236</v>
      </c>
      <c r="AX124" s="312">
        <f t="shared" si="824"/>
        <v>0.53214979611937574</v>
      </c>
      <c r="AY124" s="312">
        <f t="shared" si="824"/>
        <v>0.5230481968675168</v>
      </c>
      <c r="AZ124" s="312">
        <f t="shared" si="824"/>
        <v>0.51398729199263482</v>
      </c>
      <c r="BA124" s="312">
        <f t="shared" si="824"/>
        <v>0.50502074123811425</v>
      </c>
      <c r="BB124" s="312">
        <f t="shared" si="824"/>
        <v>0.496150901920133</v>
      </c>
      <c r="BC124" s="312">
        <f t="shared" si="824"/>
        <v>0.48737993076220898</v>
      </c>
      <c r="BD124" s="312">
        <f t="shared" si="824"/>
        <v>0.47870978924320318</v>
      </c>
      <c r="BE124" s="312">
        <f t="shared" si="824"/>
        <v>0.47014224927231391</v>
      </c>
      <c r="BF124" s="312">
        <f t="shared" si="824"/>
        <v>0.46167889913268167</v>
      </c>
      <c r="BG124" s="312">
        <f t="shared" si="824"/>
        <v>0.45336728752230915</v>
      </c>
      <c r="BH124" s="312">
        <f t="shared" si="824"/>
        <v>0.44511578167308097</v>
      </c>
      <c r="BI124" s="312">
        <f t="shared" si="824"/>
        <v>0.43697218558998668</v>
      </c>
      <c r="BJ124" s="312">
        <f t="shared" si="824"/>
        <v>0.42893741693799892</v>
      </c>
      <c r="BK124" s="312">
        <f t="shared" si="824"/>
        <v>0.4210122417441915</v>
      </c>
      <c r="BL124" s="312">
        <f t="shared" si="824"/>
        <v>0.41319728097814667</v>
      </c>
      <c r="BM124" s="312">
        <f t="shared" si="824"/>
        <v>0.40549301711334629</v>
      </c>
      <c r="BN124" s="312">
        <f t="shared" si="824"/>
        <v>0.39789980064314701</v>
      </c>
      <c r="BO124" s="312">
        <f t="shared" si="824"/>
        <v>0.39045911526378552</v>
      </c>
      <c r="BP124" s="312">
        <f t="shared" si="824"/>
        <v>0.38308793043873168</v>
      </c>
      <c r="BQ124" s="312">
        <f t="shared" si="824"/>
        <v>0.37582811695285945</v>
      </c>
      <c r="BR124" s="312">
        <f t="shared" si="824"/>
        <v>0.36867956144329156</v>
      </c>
      <c r="BS124" s="312">
        <f t="shared" si="824"/>
        <v>0.36164204970580749</v>
      </c>
      <c r="BT124" s="312">
        <f t="shared" si="824"/>
        <v>0.35471527253815899</v>
      </c>
      <c r="BU124" s="312">
        <f t="shared" si="824"/>
        <v>0.3478988314261498</v>
      </c>
      <c r="BV124" s="312">
        <f t="shared" si="824"/>
        <v>0.3411922440648365</v>
      </c>
      <c r="BW124" s="312">
        <f t="shared" si="824"/>
        <v>0.33463130057083745</v>
      </c>
      <c r="BX124" s="312">
        <f t="shared" si="824"/>
        <v>0.32814206342607616</v>
      </c>
      <c r="BY124" s="312">
        <f t="shared" si="824"/>
        <v>0.32176078707350481</v>
      </c>
      <c r="BZ124" s="312">
        <f t="shared" si="824"/>
        <v>0.3154867061133213</v>
      </c>
      <c r="CA124" s="312">
        <f t="shared" si="824"/>
        <v>0.30931899629507537</v>
      </c>
      <c r="CB124" s="312">
        <f>EXP(-CB123*CB122)</f>
        <v>0.30325677896735026</v>
      </c>
    </row>
    <row r="126" spans="1:80">
      <c r="A126" s="311" t="s">
        <v>40</v>
      </c>
      <c r="B126" s="312">
        <f t="shared" ref="B126:AG126" si="825">DAYS360($B$3,B46)</f>
        <v>133</v>
      </c>
      <c r="C126" s="312">
        <f t="shared" si="825"/>
        <v>313</v>
      </c>
      <c r="D126" s="312">
        <f t="shared" si="825"/>
        <v>492</v>
      </c>
      <c r="E126" s="312">
        <f t="shared" si="825"/>
        <v>673</v>
      </c>
      <c r="F126" s="312">
        <f t="shared" si="825"/>
        <v>852</v>
      </c>
      <c r="G126" s="312">
        <f t="shared" si="825"/>
        <v>1033</v>
      </c>
      <c r="H126" s="312">
        <f t="shared" si="825"/>
        <v>1212</v>
      </c>
      <c r="I126" s="312">
        <f t="shared" si="825"/>
        <v>1393</v>
      </c>
      <c r="J126" s="312">
        <f t="shared" si="825"/>
        <v>1572</v>
      </c>
      <c r="K126" s="312">
        <f t="shared" si="825"/>
        <v>1752</v>
      </c>
      <c r="L126" s="312">
        <f t="shared" si="825"/>
        <v>1931</v>
      </c>
      <c r="M126" s="312">
        <f t="shared" si="825"/>
        <v>2112</v>
      </c>
      <c r="N126" s="312">
        <f t="shared" si="825"/>
        <v>2291</v>
      </c>
      <c r="O126" s="312">
        <f t="shared" si="825"/>
        <v>2472</v>
      </c>
      <c r="P126" s="312">
        <f t="shared" si="825"/>
        <v>2651</v>
      </c>
      <c r="Q126" s="312">
        <f t="shared" si="825"/>
        <v>2832</v>
      </c>
      <c r="R126" s="312">
        <f t="shared" si="825"/>
        <v>3011</v>
      </c>
      <c r="S126" s="312">
        <f t="shared" si="825"/>
        <v>3191</v>
      </c>
      <c r="T126" s="312">
        <f t="shared" si="825"/>
        <v>3370</v>
      </c>
      <c r="U126" s="312">
        <f t="shared" si="825"/>
        <v>3551</v>
      </c>
      <c r="V126" s="312">
        <f t="shared" si="825"/>
        <v>3730</v>
      </c>
      <c r="W126" s="312">
        <f t="shared" si="825"/>
        <v>3911</v>
      </c>
      <c r="X126" s="312">
        <f t="shared" si="825"/>
        <v>4090</v>
      </c>
      <c r="Y126" s="312">
        <f t="shared" si="825"/>
        <v>4271</v>
      </c>
      <c r="Z126" s="312">
        <f t="shared" si="825"/>
        <v>4450</v>
      </c>
      <c r="AA126" s="312">
        <f t="shared" si="825"/>
        <v>4630</v>
      </c>
      <c r="AB126" s="312">
        <f t="shared" si="825"/>
        <v>4809</v>
      </c>
      <c r="AC126" s="312">
        <f t="shared" si="825"/>
        <v>4990</v>
      </c>
      <c r="AD126" s="312">
        <f t="shared" si="825"/>
        <v>5169</v>
      </c>
      <c r="AE126" s="312">
        <f t="shared" si="825"/>
        <v>5350</v>
      </c>
      <c r="AF126" s="312">
        <f t="shared" si="825"/>
        <v>5529</v>
      </c>
      <c r="AG126" s="312">
        <f t="shared" si="825"/>
        <v>5710</v>
      </c>
      <c r="AH126" s="312">
        <f t="shared" ref="AH126:BM126" si="826">DAYS360($B$3,AH46)</f>
        <v>5889</v>
      </c>
      <c r="AI126" s="312">
        <f t="shared" si="826"/>
        <v>6069</v>
      </c>
      <c r="AJ126" s="312">
        <f t="shared" si="826"/>
        <v>6248</v>
      </c>
      <c r="AK126" s="312">
        <f t="shared" si="826"/>
        <v>6429</v>
      </c>
      <c r="AL126" s="312">
        <f t="shared" si="826"/>
        <v>6608</v>
      </c>
      <c r="AM126" s="312">
        <f t="shared" si="826"/>
        <v>6789</v>
      </c>
      <c r="AN126" s="312">
        <f t="shared" si="826"/>
        <v>6968</v>
      </c>
      <c r="AO126" s="312">
        <f t="shared" si="826"/>
        <v>7149</v>
      </c>
      <c r="AP126" s="312">
        <f t="shared" si="826"/>
        <v>7328</v>
      </c>
      <c r="AQ126" s="312">
        <f t="shared" si="826"/>
        <v>7508</v>
      </c>
      <c r="AR126" s="312">
        <f t="shared" si="826"/>
        <v>7687</v>
      </c>
      <c r="AS126" s="312">
        <f t="shared" si="826"/>
        <v>7868</v>
      </c>
      <c r="AT126" s="312">
        <f t="shared" si="826"/>
        <v>8047</v>
      </c>
      <c r="AU126" s="312">
        <f t="shared" si="826"/>
        <v>8228</v>
      </c>
      <c r="AV126" s="312">
        <f t="shared" si="826"/>
        <v>8407</v>
      </c>
      <c r="AW126" s="312">
        <f t="shared" si="826"/>
        <v>8588</v>
      </c>
      <c r="AX126" s="312">
        <f t="shared" si="826"/>
        <v>8767</v>
      </c>
      <c r="AY126" s="312">
        <f t="shared" si="826"/>
        <v>8947</v>
      </c>
      <c r="AZ126" s="312">
        <f t="shared" si="826"/>
        <v>9126</v>
      </c>
      <c r="BA126" s="312">
        <f t="shared" si="826"/>
        <v>9307</v>
      </c>
      <c r="BB126" s="312">
        <f t="shared" si="826"/>
        <v>9486</v>
      </c>
      <c r="BC126" s="312">
        <f t="shared" si="826"/>
        <v>9667</v>
      </c>
      <c r="BD126" s="312">
        <f t="shared" si="826"/>
        <v>9846</v>
      </c>
      <c r="BE126" s="312">
        <f t="shared" si="826"/>
        <v>10027</v>
      </c>
      <c r="BF126" s="312">
        <f t="shared" si="826"/>
        <v>10206</v>
      </c>
      <c r="BG126" s="312">
        <f t="shared" si="826"/>
        <v>10386</v>
      </c>
      <c r="BH126" s="312">
        <f t="shared" si="826"/>
        <v>10565</v>
      </c>
      <c r="BI126" s="312">
        <f t="shared" si="826"/>
        <v>10746</v>
      </c>
      <c r="BJ126" s="312">
        <f t="shared" si="826"/>
        <v>10925</v>
      </c>
      <c r="BK126" s="312">
        <f t="shared" si="826"/>
        <v>11106</v>
      </c>
      <c r="BL126" s="312">
        <f t="shared" si="826"/>
        <v>11285</v>
      </c>
      <c r="BM126" s="312">
        <f t="shared" si="826"/>
        <v>11466</v>
      </c>
      <c r="BN126" s="312">
        <f t="shared" ref="BN126:CB126" si="827">DAYS360($B$3,BN46)</f>
        <v>11645</v>
      </c>
      <c r="BO126" s="312">
        <f t="shared" si="827"/>
        <v>11825</v>
      </c>
      <c r="BP126" s="312">
        <f t="shared" si="827"/>
        <v>12004</v>
      </c>
      <c r="BQ126" s="312">
        <f t="shared" si="827"/>
        <v>12185</v>
      </c>
      <c r="BR126" s="312">
        <f t="shared" si="827"/>
        <v>12364</v>
      </c>
      <c r="BS126" s="312">
        <f t="shared" si="827"/>
        <v>12545</v>
      </c>
      <c r="BT126" s="312">
        <f t="shared" si="827"/>
        <v>12724</v>
      </c>
      <c r="BU126" s="312">
        <f t="shared" si="827"/>
        <v>12905</v>
      </c>
      <c r="BV126" s="312">
        <f t="shared" si="827"/>
        <v>13084</v>
      </c>
      <c r="BW126" s="312">
        <f t="shared" si="827"/>
        <v>13264</v>
      </c>
      <c r="BX126" s="312">
        <f t="shared" si="827"/>
        <v>13443</v>
      </c>
      <c r="BY126" s="312">
        <f t="shared" si="827"/>
        <v>13624</v>
      </c>
      <c r="BZ126" s="312">
        <f t="shared" si="827"/>
        <v>13803</v>
      </c>
      <c r="CA126" s="312">
        <f t="shared" si="827"/>
        <v>13984</v>
      </c>
      <c r="CB126" s="312">
        <f t="shared" si="827"/>
        <v>14163</v>
      </c>
    </row>
    <row r="127" spans="1:80">
      <c r="A127" s="311" t="s">
        <v>41</v>
      </c>
      <c r="B127" s="312">
        <f>B126/360</f>
        <v>0.36944444444444446</v>
      </c>
      <c r="C127" s="312">
        <f t="shared" ref="C127:BN127" si="828">C126/360</f>
        <v>0.86944444444444446</v>
      </c>
      <c r="D127" s="312">
        <f t="shared" si="828"/>
        <v>1.3666666666666667</v>
      </c>
      <c r="E127" s="312">
        <f t="shared" si="828"/>
        <v>1.8694444444444445</v>
      </c>
      <c r="F127" s="312">
        <f t="shared" si="828"/>
        <v>2.3666666666666667</v>
      </c>
      <c r="G127" s="312">
        <f t="shared" si="828"/>
        <v>2.8694444444444445</v>
      </c>
      <c r="H127" s="312">
        <f t="shared" si="828"/>
        <v>3.3666666666666667</v>
      </c>
      <c r="I127" s="312">
        <f t="shared" si="828"/>
        <v>3.8694444444444445</v>
      </c>
      <c r="J127" s="312">
        <f t="shared" si="828"/>
        <v>4.3666666666666663</v>
      </c>
      <c r="K127" s="312">
        <f t="shared" si="828"/>
        <v>4.8666666666666663</v>
      </c>
      <c r="L127" s="312">
        <f t="shared" si="828"/>
        <v>5.3638888888888889</v>
      </c>
      <c r="M127" s="312">
        <f t="shared" si="828"/>
        <v>5.8666666666666663</v>
      </c>
      <c r="N127" s="312">
        <f t="shared" si="828"/>
        <v>6.3638888888888889</v>
      </c>
      <c r="O127" s="312">
        <f t="shared" si="828"/>
        <v>6.8666666666666663</v>
      </c>
      <c r="P127" s="312">
        <f t="shared" si="828"/>
        <v>7.3638888888888889</v>
      </c>
      <c r="Q127" s="312">
        <f t="shared" si="828"/>
        <v>7.8666666666666663</v>
      </c>
      <c r="R127" s="312">
        <f t="shared" si="828"/>
        <v>8.3638888888888889</v>
      </c>
      <c r="S127" s="312">
        <f t="shared" si="828"/>
        <v>8.8638888888888889</v>
      </c>
      <c r="T127" s="312">
        <f t="shared" si="828"/>
        <v>9.3611111111111107</v>
      </c>
      <c r="U127" s="312">
        <f t="shared" si="828"/>
        <v>9.8638888888888889</v>
      </c>
      <c r="V127" s="312">
        <f t="shared" si="828"/>
        <v>10.361111111111111</v>
      </c>
      <c r="W127" s="312">
        <f t="shared" si="828"/>
        <v>10.863888888888889</v>
      </c>
      <c r="X127" s="312">
        <f t="shared" si="828"/>
        <v>11.361111111111111</v>
      </c>
      <c r="Y127" s="312">
        <f t="shared" si="828"/>
        <v>11.863888888888889</v>
      </c>
      <c r="Z127" s="312">
        <f t="shared" si="828"/>
        <v>12.361111111111111</v>
      </c>
      <c r="AA127" s="312">
        <f t="shared" si="828"/>
        <v>12.861111111111111</v>
      </c>
      <c r="AB127" s="312">
        <f t="shared" si="828"/>
        <v>13.358333333333333</v>
      </c>
      <c r="AC127" s="312">
        <f t="shared" si="828"/>
        <v>13.861111111111111</v>
      </c>
      <c r="AD127" s="312">
        <f t="shared" si="828"/>
        <v>14.358333333333333</v>
      </c>
      <c r="AE127" s="312">
        <f t="shared" si="828"/>
        <v>14.861111111111111</v>
      </c>
      <c r="AF127" s="312">
        <f t="shared" si="828"/>
        <v>15.358333333333333</v>
      </c>
      <c r="AG127" s="312">
        <f t="shared" si="828"/>
        <v>15.861111111111111</v>
      </c>
      <c r="AH127" s="312">
        <f t="shared" si="828"/>
        <v>16.358333333333334</v>
      </c>
      <c r="AI127" s="312">
        <f t="shared" si="828"/>
        <v>16.858333333333334</v>
      </c>
      <c r="AJ127" s="312">
        <f t="shared" si="828"/>
        <v>17.355555555555554</v>
      </c>
      <c r="AK127" s="312">
        <f t="shared" si="828"/>
        <v>17.858333333333334</v>
      </c>
      <c r="AL127" s="312">
        <f t="shared" si="828"/>
        <v>18.355555555555554</v>
      </c>
      <c r="AM127" s="312">
        <f t="shared" si="828"/>
        <v>18.858333333333334</v>
      </c>
      <c r="AN127" s="312">
        <f t="shared" si="828"/>
        <v>19.355555555555554</v>
      </c>
      <c r="AO127" s="312">
        <f t="shared" si="828"/>
        <v>19.858333333333334</v>
      </c>
      <c r="AP127" s="312">
        <f t="shared" si="828"/>
        <v>20.355555555555554</v>
      </c>
      <c r="AQ127" s="312">
        <f t="shared" si="828"/>
        <v>20.855555555555554</v>
      </c>
      <c r="AR127" s="312">
        <f t="shared" si="828"/>
        <v>21.352777777777778</v>
      </c>
      <c r="AS127" s="312">
        <f t="shared" si="828"/>
        <v>21.855555555555554</v>
      </c>
      <c r="AT127" s="312">
        <f t="shared" si="828"/>
        <v>22.352777777777778</v>
      </c>
      <c r="AU127" s="312">
        <f t="shared" si="828"/>
        <v>22.855555555555554</v>
      </c>
      <c r="AV127" s="312">
        <f t="shared" si="828"/>
        <v>23.352777777777778</v>
      </c>
      <c r="AW127" s="312">
        <f t="shared" si="828"/>
        <v>23.855555555555554</v>
      </c>
      <c r="AX127" s="312">
        <f t="shared" si="828"/>
        <v>24.352777777777778</v>
      </c>
      <c r="AY127" s="312">
        <f t="shared" si="828"/>
        <v>24.852777777777778</v>
      </c>
      <c r="AZ127" s="312">
        <f t="shared" si="828"/>
        <v>25.35</v>
      </c>
      <c r="BA127" s="312">
        <f t="shared" si="828"/>
        <v>25.852777777777778</v>
      </c>
      <c r="BB127" s="312">
        <f t="shared" si="828"/>
        <v>26.35</v>
      </c>
      <c r="BC127" s="312">
        <f t="shared" si="828"/>
        <v>26.852777777777778</v>
      </c>
      <c r="BD127" s="312">
        <f t="shared" si="828"/>
        <v>27.35</v>
      </c>
      <c r="BE127" s="312">
        <f t="shared" si="828"/>
        <v>27.852777777777778</v>
      </c>
      <c r="BF127" s="312">
        <f t="shared" si="828"/>
        <v>28.35</v>
      </c>
      <c r="BG127" s="312">
        <f t="shared" si="828"/>
        <v>28.85</v>
      </c>
      <c r="BH127" s="312">
        <f t="shared" si="828"/>
        <v>29.347222222222221</v>
      </c>
      <c r="BI127" s="312">
        <f t="shared" si="828"/>
        <v>29.85</v>
      </c>
      <c r="BJ127" s="312">
        <f t="shared" si="828"/>
        <v>30.347222222222221</v>
      </c>
      <c r="BK127" s="312">
        <f t="shared" si="828"/>
        <v>30.85</v>
      </c>
      <c r="BL127" s="312">
        <f t="shared" si="828"/>
        <v>31.347222222222221</v>
      </c>
      <c r="BM127" s="312">
        <f t="shared" si="828"/>
        <v>31.85</v>
      </c>
      <c r="BN127" s="312">
        <f t="shared" si="828"/>
        <v>32.347222222222221</v>
      </c>
      <c r="BO127" s="312">
        <f t="shared" ref="BO127:CB127" si="829">BO126/360</f>
        <v>32.847222222222221</v>
      </c>
      <c r="BP127" s="312">
        <f t="shared" si="829"/>
        <v>33.344444444444441</v>
      </c>
      <c r="BQ127" s="312">
        <f t="shared" si="829"/>
        <v>33.847222222222221</v>
      </c>
      <c r="BR127" s="312">
        <f t="shared" si="829"/>
        <v>34.344444444444441</v>
      </c>
      <c r="BS127" s="312">
        <f t="shared" si="829"/>
        <v>34.847222222222221</v>
      </c>
      <c r="BT127" s="312">
        <f t="shared" si="829"/>
        <v>35.344444444444441</v>
      </c>
      <c r="BU127" s="312">
        <f t="shared" si="829"/>
        <v>35.847222222222221</v>
      </c>
      <c r="BV127" s="312">
        <f t="shared" si="829"/>
        <v>36.344444444444441</v>
      </c>
      <c r="BW127" s="312">
        <f t="shared" si="829"/>
        <v>36.844444444444441</v>
      </c>
      <c r="BX127" s="312">
        <f t="shared" si="829"/>
        <v>37.341666666666669</v>
      </c>
      <c r="BY127" s="312">
        <f t="shared" si="829"/>
        <v>37.844444444444441</v>
      </c>
      <c r="BZ127" s="312">
        <f t="shared" si="829"/>
        <v>38.341666666666669</v>
      </c>
      <c r="CA127" s="312">
        <f t="shared" si="829"/>
        <v>38.844444444444441</v>
      </c>
      <c r="CB127" s="312">
        <f t="shared" si="829"/>
        <v>39.341666666666669</v>
      </c>
    </row>
    <row r="128" spans="1:80">
      <c r="A128" s="311" t="s">
        <v>43</v>
      </c>
      <c r="B128" s="312">
        <f>IF(B126&lt;0,0,$B$5+$B$6*((1-EXP(-B127/$B$9))/(B127/$B$9))+$B$7*((1-EXP(-B127/$B$9))/(B127/$B$9)-EXP(-B127/$B$9))+$B$8*((1-EXP(-B127/$B$10))/(B127/$B$10)-EXP(-B127/$B$10)))</f>
        <v>1.7494035859913069E-2</v>
      </c>
      <c r="C128" s="312">
        <f t="shared" ref="C128:BN128" si="830">IF(C126&lt;0,0,$B$5+$B$6*((1-EXP(-C127/$B$9))/(C127/$B$9))+$B$7*((1-EXP(-C127/$B$9))/(C127/$B$9)-EXP(-C127/$B$9))+$B$8*((1-EXP(-C127/$B$10))/(C127/$B$10)-EXP(-C127/$B$10)))</f>
        <v>1.7534452551026574E-2</v>
      </c>
      <c r="D128" s="312">
        <f t="shared" si="830"/>
        <v>1.7589680797807102E-2</v>
      </c>
      <c r="E128" s="312">
        <f t="shared" si="830"/>
        <v>1.7659717098585284E-2</v>
      </c>
      <c r="F128" s="312">
        <f t="shared" si="830"/>
        <v>1.7742025104683146E-2</v>
      </c>
      <c r="G128" s="312">
        <f t="shared" si="830"/>
        <v>1.7837492577305103E-2</v>
      </c>
      <c r="H128" s="312">
        <f t="shared" si="830"/>
        <v>1.7943121038026116E-2</v>
      </c>
      <c r="I128" s="312">
        <f t="shared" si="830"/>
        <v>1.8060416313741751E-2</v>
      </c>
      <c r="J128" s="312">
        <f t="shared" si="830"/>
        <v>1.8185988839614364E-2</v>
      </c>
      <c r="K128" s="312">
        <f t="shared" si="830"/>
        <v>1.8321104603581745E-2</v>
      </c>
      <c r="L128" s="312">
        <f t="shared" si="830"/>
        <v>1.8463551428609309E-2</v>
      </c>
      <c r="M128" s="312">
        <f t="shared" si="830"/>
        <v>1.8615100395966366E-2</v>
      </c>
      <c r="N128" s="312">
        <f t="shared" si="830"/>
        <v>1.8771763991778823E-2</v>
      </c>
      <c r="O128" s="312">
        <f t="shared" si="830"/>
        <v>1.8936431084106975E-2</v>
      </c>
      <c r="P128" s="312">
        <f t="shared" si="830"/>
        <v>1.9104893355776725E-2</v>
      </c>
      <c r="Q128" s="312">
        <f t="shared" si="830"/>
        <v>1.9280370193487245E-2</v>
      </c>
      <c r="R128" s="312">
        <f t="shared" si="830"/>
        <v>1.9458477173729893E-2</v>
      </c>
      <c r="S128" s="312">
        <f t="shared" si="830"/>
        <v>1.9641681476117168E-2</v>
      </c>
      <c r="T128" s="312">
        <f t="shared" si="830"/>
        <v>1.982749998245753E-2</v>
      </c>
      <c r="U128" s="312">
        <f t="shared" si="830"/>
        <v>2.0018648783305837E-2</v>
      </c>
      <c r="V128" s="312">
        <f t="shared" si="830"/>
        <v>2.0210505543667434E-2</v>
      </c>
      <c r="W128" s="312">
        <f t="shared" si="830"/>
        <v>2.040697786712542E-2</v>
      </c>
      <c r="X128" s="312">
        <f t="shared" si="830"/>
        <v>2.0603372470135939E-2</v>
      </c>
      <c r="Y128" s="312">
        <f t="shared" si="830"/>
        <v>2.0803743415670262E-2</v>
      </c>
      <c r="Z128" s="312">
        <f t="shared" si="830"/>
        <v>2.1003353447785145E-2</v>
      </c>
      <c r="AA128" s="312">
        <f t="shared" si="830"/>
        <v>2.1205244785368949E-2</v>
      </c>
      <c r="AB128" s="312">
        <f t="shared" si="830"/>
        <v>2.1406904279599515E-2</v>
      </c>
      <c r="AC128" s="312">
        <f t="shared" si="830"/>
        <v>2.1611462265007764E-2</v>
      </c>
      <c r="AD128" s="312">
        <f t="shared" si="830"/>
        <v>2.181416118767493E-2</v>
      </c>
      <c r="AE128" s="312">
        <f t="shared" si="830"/>
        <v>2.2019306223084734E-2</v>
      </c>
      <c r="AF128" s="312">
        <f t="shared" si="830"/>
        <v>2.2222157673019105E-2</v>
      </c>
      <c r="AG128" s="312">
        <f t="shared" si="830"/>
        <v>2.2427053775746053E-2</v>
      </c>
      <c r="AH128" s="312">
        <f t="shared" si="830"/>
        <v>2.2629288014615889E-2</v>
      </c>
      <c r="AI128" s="312">
        <f t="shared" si="830"/>
        <v>2.2832086657489536E-2</v>
      </c>
      <c r="AJ128" s="312">
        <f t="shared" si="830"/>
        <v>2.3033043451220925E-2</v>
      </c>
      <c r="AK128" s="312">
        <f t="shared" si="830"/>
        <v>2.3235376273018304E-2</v>
      </c>
      <c r="AL128" s="312">
        <f t="shared" si="830"/>
        <v>2.3434482210699992E-2</v>
      </c>
      <c r="AM128" s="312">
        <f t="shared" si="830"/>
        <v>2.3634687482069483E-2</v>
      </c>
      <c r="AN128" s="312">
        <f t="shared" si="830"/>
        <v>2.3831456032201048E-2</v>
      </c>
      <c r="AO128" s="312">
        <f t="shared" si="830"/>
        <v>2.4029080864188257E-2</v>
      </c>
      <c r="AP128" s="312">
        <f t="shared" si="830"/>
        <v>2.4223100637882744E-2</v>
      </c>
      <c r="AQ128" s="312">
        <f t="shared" si="830"/>
        <v>2.4416692742404711E-2</v>
      </c>
      <c r="AR128" s="312">
        <f t="shared" si="830"/>
        <v>2.460762829464741E-2</v>
      </c>
      <c r="AS128" s="312">
        <f t="shared" si="830"/>
        <v>2.479902208552015E-2</v>
      </c>
      <c r="AT128" s="312">
        <f t="shared" si="830"/>
        <v>2.4986580154964966E-2</v>
      </c>
      <c r="AU128" s="312">
        <f t="shared" si="830"/>
        <v>2.5174434999163053E-2</v>
      </c>
      <c r="AV128" s="312">
        <f t="shared" si="830"/>
        <v>2.5358383251115835E-2</v>
      </c>
      <c r="AW128" s="312">
        <f t="shared" si="830"/>
        <v>2.5542488560203136E-2</v>
      </c>
      <c r="AX128" s="312">
        <f t="shared" si="830"/>
        <v>2.5722641366182575E-2</v>
      </c>
      <c r="AY128" s="312">
        <f t="shared" si="830"/>
        <v>2.5901840932052334E-2</v>
      </c>
      <c r="AZ128" s="312">
        <f t="shared" si="830"/>
        <v>2.6078064994934369E-2</v>
      </c>
      <c r="BA128" s="312">
        <f t="shared" si="830"/>
        <v>2.6254223111295327E-2</v>
      </c>
      <c r="BB128" s="312">
        <f t="shared" si="830"/>
        <v>2.6426399449294147E-2</v>
      </c>
      <c r="BC128" s="312">
        <f t="shared" si="830"/>
        <v>2.6598422244731523E-2</v>
      </c>
      <c r="BD128" s="312">
        <f t="shared" si="830"/>
        <v>2.6766474481668773E-2</v>
      </c>
      <c r="BE128" s="312">
        <f t="shared" si="830"/>
        <v>2.6934299283410179E-2</v>
      </c>
      <c r="BF128" s="312">
        <f t="shared" si="830"/>
        <v>2.7098178890431229E-2</v>
      </c>
      <c r="BG128" s="312">
        <f t="shared" si="830"/>
        <v>2.7260871370943823E-2</v>
      </c>
      <c r="BH128" s="312">
        <f t="shared" si="830"/>
        <v>2.7420565750746528E-2</v>
      </c>
      <c r="BI128" s="312">
        <f t="shared" si="830"/>
        <v>2.7579920093619675E-2</v>
      </c>
      <c r="BJ128" s="312">
        <f t="shared" si="830"/>
        <v>2.7735414333675212E-2</v>
      </c>
      <c r="BK128" s="312">
        <f t="shared" si="830"/>
        <v>2.7890527016338734E-2</v>
      </c>
      <c r="BL128" s="312">
        <f t="shared" si="830"/>
        <v>2.8041836015468419E-2</v>
      </c>
      <c r="BM128" s="312">
        <f t="shared" si="830"/>
        <v>2.8192730299653523E-2</v>
      </c>
      <c r="BN128" s="312">
        <f t="shared" si="830"/>
        <v>2.8339884563011508E-2</v>
      </c>
      <c r="BO128" s="312">
        <f t="shared" ref="BO128:CB128" si="831">IF(BO126&lt;0,0,$B$5+$B$6*((1-EXP(-BO127/$B$9))/(BO127/$B$9))+$B$7*((1-EXP(-BO127/$B$9))/(BO127/$B$9)-EXP(-BO127/$B$9))+$B$8*((1-EXP(-BO127/$B$10))/(BO127/$B$10)-EXP(-BO127/$B$10)))</f>
        <v>2.8485793462082049E-2</v>
      </c>
      <c r="BP128" s="312">
        <f t="shared" si="831"/>
        <v>2.8628848156471903E-2</v>
      </c>
      <c r="BQ128" s="312">
        <f t="shared" si="831"/>
        <v>2.8771442988122786E-2</v>
      </c>
      <c r="BR128" s="312">
        <f t="shared" si="831"/>
        <v>2.8910441691096161E-2</v>
      </c>
      <c r="BS128" s="312">
        <f t="shared" si="831"/>
        <v>2.9048966749366079E-2</v>
      </c>
      <c r="BT128" s="312">
        <f t="shared" si="831"/>
        <v>2.9183973988521211E-2</v>
      </c>
      <c r="BU128" s="312">
        <f t="shared" si="831"/>
        <v>2.9318498684285488E-2</v>
      </c>
      <c r="BV128" s="312">
        <f t="shared" si="831"/>
        <v>2.9449586842300507E-2</v>
      </c>
      <c r="BW128" s="312">
        <f t="shared" si="831"/>
        <v>2.9579471589338935E-2</v>
      </c>
      <c r="BX128" s="312">
        <f t="shared" si="831"/>
        <v>2.9706730033158574E-2</v>
      </c>
      <c r="BY128" s="312">
        <f t="shared" si="831"/>
        <v>2.9833500237512495E-2</v>
      </c>
      <c r="BZ128" s="312">
        <f t="shared" si="831"/>
        <v>2.9957002161933532E-2</v>
      </c>
      <c r="CA128" s="312">
        <f t="shared" si="831"/>
        <v>3.0080017939380144E-2</v>
      </c>
      <c r="CB128" s="312">
        <f t="shared" si="831"/>
        <v>3.0199851388160365E-2</v>
      </c>
    </row>
    <row r="129" spans="1:80">
      <c r="A129" s="311" t="s">
        <v>44</v>
      </c>
      <c r="B129" s="312">
        <f>EXP(-B128*B127)</f>
        <v>0.99355776638313631</v>
      </c>
      <c r="C129" s="312">
        <f t="shared" ref="C129:AR129" si="832">EXP(-C128*C127)</f>
        <v>0.9848703878996955</v>
      </c>
      <c r="D129" s="312">
        <f t="shared" si="832"/>
        <v>0.97624741040714758</v>
      </c>
      <c r="E129" s="312">
        <f t="shared" si="832"/>
        <v>0.96752514957777958</v>
      </c>
      <c r="F129" s="312">
        <f t="shared" si="832"/>
        <v>0.95887988767473709</v>
      </c>
      <c r="G129" s="312">
        <f t="shared" si="832"/>
        <v>0.95010412609437123</v>
      </c>
      <c r="H129" s="312">
        <f t="shared" si="832"/>
        <v>0.94137989428341584</v>
      </c>
      <c r="I129" s="312">
        <f t="shared" si="832"/>
        <v>0.93250219127929346</v>
      </c>
      <c r="J129" s="312">
        <f t="shared" si="832"/>
        <v>0.92365915869203385</v>
      </c>
      <c r="K129" s="312">
        <f t="shared" si="832"/>
        <v>0.91469673201054735</v>
      </c>
      <c r="L129" s="312">
        <f t="shared" si="832"/>
        <v>0.90570970484838431</v>
      </c>
      <c r="M129" s="312">
        <f t="shared" si="832"/>
        <v>0.89654338891317364</v>
      </c>
      <c r="N129" s="312">
        <f t="shared" si="832"/>
        <v>0.88739824272363232</v>
      </c>
      <c r="O129" s="312">
        <f t="shared" si="832"/>
        <v>0.87806894786438017</v>
      </c>
      <c r="P129" s="312">
        <f t="shared" si="832"/>
        <v>0.86876178918874192</v>
      </c>
      <c r="Q129" s="312">
        <f t="shared" si="832"/>
        <v>0.85926986413918938</v>
      </c>
      <c r="R129" s="312">
        <f t="shared" si="832"/>
        <v>0.84980485260416327</v>
      </c>
      <c r="S129" s="312">
        <f t="shared" si="832"/>
        <v>0.84021145876909653</v>
      </c>
      <c r="T129" s="312">
        <f t="shared" si="832"/>
        <v>0.83059959914767389</v>
      </c>
      <c r="U129" s="312">
        <f t="shared" si="832"/>
        <v>0.82081155469749645</v>
      </c>
      <c r="V129" s="312">
        <f t="shared" si="832"/>
        <v>0.81106807115474555</v>
      </c>
      <c r="W129" s="312">
        <f t="shared" si="832"/>
        <v>0.80115636389763678</v>
      </c>
      <c r="X129" s="312">
        <f t="shared" si="832"/>
        <v>0.79130072203797275</v>
      </c>
      <c r="Y129" s="312">
        <f t="shared" si="832"/>
        <v>0.7812865458352718</v>
      </c>
      <c r="Z129" s="312">
        <f t="shared" si="832"/>
        <v>0.77134094968797906</v>
      </c>
      <c r="AA129" s="312">
        <f t="shared" si="832"/>
        <v>0.76130363243516019</v>
      </c>
      <c r="AB129" s="312">
        <f t="shared" si="832"/>
        <v>0.75129224407364981</v>
      </c>
      <c r="AC129" s="312">
        <f t="shared" si="832"/>
        <v>0.74114508270352386</v>
      </c>
      <c r="AD129" s="312">
        <f t="shared" si="832"/>
        <v>0.73109271240459339</v>
      </c>
      <c r="AE129" s="312">
        <f t="shared" si="832"/>
        <v>0.7209169350055401</v>
      </c>
      <c r="AF129" s="312">
        <f t="shared" si="832"/>
        <v>0.71084896000752851</v>
      </c>
      <c r="AG129" s="312">
        <f t="shared" si="832"/>
        <v>0.70067018709206297</v>
      </c>
      <c r="AH129" s="312">
        <f t="shared" si="832"/>
        <v>0.69061178007015767</v>
      </c>
      <c r="AI129" s="312">
        <f t="shared" si="832"/>
        <v>0.68051124829733622</v>
      </c>
      <c r="AJ129" s="312">
        <f t="shared" si="832"/>
        <v>0.67048679867504868</v>
      </c>
      <c r="AK129" s="312">
        <f t="shared" si="832"/>
        <v>0.66037653794164752</v>
      </c>
      <c r="AL129" s="312">
        <f t="shared" si="832"/>
        <v>0.6504096133826216</v>
      </c>
      <c r="AM129" s="312">
        <f t="shared" si="832"/>
        <v>0.6403689305268131</v>
      </c>
      <c r="AN129" s="312">
        <f t="shared" si="832"/>
        <v>0.63048174878730701</v>
      </c>
      <c r="AO129" s="312">
        <f t="shared" si="832"/>
        <v>0.62053237657560589</v>
      </c>
      <c r="AP129" s="312">
        <f t="shared" si="832"/>
        <v>0.61074566251901541</v>
      </c>
      <c r="AQ129" s="312">
        <f t="shared" si="832"/>
        <v>0.60096192934319526</v>
      </c>
      <c r="AR129" s="312">
        <f t="shared" si="832"/>
        <v>0.59129441670070215</v>
      </c>
      <c r="AS129" s="312">
        <f>EXP(-AS128*AS127)</f>
        <v>0.58158601143737676</v>
      </c>
      <c r="AT129" s="312">
        <f t="shared" ref="AT129:CA129" si="833">EXP(-AT128*AT127)</f>
        <v>0.57205538027260416</v>
      </c>
      <c r="AU129" s="312">
        <f t="shared" si="833"/>
        <v>0.56249350158780109</v>
      </c>
      <c r="AV129" s="312">
        <f t="shared" si="833"/>
        <v>0.55311536152293361</v>
      </c>
      <c r="AW129" s="312">
        <f t="shared" si="833"/>
        <v>0.54371489755973423</v>
      </c>
      <c r="AX129" s="312">
        <f t="shared" si="833"/>
        <v>0.53450308913506384</v>
      </c>
      <c r="AY129" s="312">
        <f t="shared" si="833"/>
        <v>0.52532787016445281</v>
      </c>
      <c r="AZ129" s="312">
        <f t="shared" si="833"/>
        <v>0.51629397970601532</v>
      </c>
      <c r="BA129" s="312">
        <f t="shared" si="833"/>
        <v>0.50725340084452386</v>
      </c>
      <c r="BB129" s="312">
        <f t="shared" si="833"/>
        <v>0.49840831638174787</v>
      </c>
      <c r="BC129" s="312">
        <f t="shared" si="833"/>
        <v>0.48956329410891269</v>
      </c>
      <c r="BD129" s="312">
        <f t="shared" si="833"/>
        <v>0.4809157995677395</v>
      </c>
      <c r="BE129" s="312">
        <f t="shared" si="833"/>
        <v>0.4722744254297524</v>
      </c>
      <c r="BF129" s="312">
        <f t="shared" si="833"/>
        <v>0.46383176332536091</v>
      </c>
      <c r="BG129" s="312">
        <f t="shared" si="833"/>
        <v>0.45544690237647967</v>
      </c>
      <c r="BH129" s="312">
        <f t="shared" si="833"/>
        <v>0.44721427511793294</v>
      </c>
      <c r="BI129" s="312">
        <f t="shared" si="833"/>
        <v>0.43899791524330178</v>
      </c>
      <c r="BJ129" s="312">
        <f t="shared" si="833"/>
        <v>0.43098034972227744</v>
      </c>
      <c r="BK129" s="312">
        <f t="shared" si="833"/>
        <v>0.42298322477944761</v>
      </c>
      <c r="BL129" s="312">
        <f t="shared" si="833"/>
        <v>0.41518392461191095</v>
      </c>
      <c r="BM129" s="312">
        <f t="shared" si="833"/>
        <v>0.40740868388281198</v>
      </c>
      <c r="BN129" s="312">
        <f t="shared" si="833"/>
        <v>0.39982971152291635</v>
      </c>
      <c r="BO129" s="312">
        <f t="shared" si="833"/>
        <v>0.39231931644145562</v>
      </c>
      <c r="BP129" s="312">
        <f t="shared" si="833"/>
        <v>0.38496108148270108</v>
      </c>
      <c r="BQ129" s="312">
        <f t="shared" si="833"/>
        <v>0.37763263369187949</v>
      </c>
      <c r="BR129" s="312">
        <f t="shared" si="833"/>
        <v>0.37049584142826281</v>
      </c>
      <c r="BS129" s="312">
        <f t="shared" si="833"/>
        <v>0.36339103262655759</v>
      </c>
      <c r="BT129" s="312">
        <f t="shared" si="833"/>
        <v>0.35647493601579272</v>
      </c>
      <c r="BU129" s="312">
        <f t="shared" si="833"/>
        <v>0.349592622693918</v>
      </c>
      <c r="BV129" s="312">
        <f t="shared" si="833"/>
        <v>0.34289572975964877</v>
      </c>
      <c r="BW129" s="312">
        <f t="shared" si="833"/>
        <v>0.33627056244957387</v>
      </c>
      <c r="BX129" s="312">
        <f t="shared" si="833"/>
        <v>0.32979012534277874</v>
      </c>
      <c r="BY129" s="312">
        <f t="shared" si="833"/>
        <v>0.32334602565445208</v>
      </c>
      <c r="BZ129" s="312">
        <f t="shared" si="833"/>
        <v>0.31707993017509595</v>
      </c>
      <c r="CA129" s="312">
        <f t="shared" si="833"/>
        <v>0.31085099861737719</v>
      </c>
      <c r="CB129" s="312">
        <f>EXP(-CB128*CB127)</f>
        <v>0.3047960280166857</v>
      </c>
    </row>
    <row r="131" spans="1:80">
      <c r="A131" s="311" t="s">
        <v>40</v>
      </c>
      <c r="B131" s="312">
        <f t="shared" ref="B131:AG131" si="834">DAYS360($B$3,B48)</f>
        <v>43</v>
      </c>
      <c r="C131" s="312">
        <f t="shared" si="834"/>
        <v>221</v>
      </c>
      <c r="D131" s="312">
        <f t="shared" si="834"/>
        <v>402</v>
      </c>
      <c r="E131" s="312">
        <f t="shared" si="834"/>
        <v>580</v>
      </c>
      <c r="F131" s="312">
        <f t="shared" si="834"/>
        <v>762</v>
      </c>
      <c r="G131" s="312">
        <f t="shared" si="834"/>
        <v>940</v>
      </c>
      <c r="H131" s="312">
        <f t="shared" si="834"/>
        <v>1122</v>
      </c>
      <c r="I131" s="312">
        <f t="shared" si="834"/>
        <v>1300</v>
      </c>
      <c r="J131" s="312">
        <f t="shared" si="834"/>
        <v>1482</v>
      </c>
      <c r="K131" s="312">
        <f t="shared" si="834"/>
        <v>1660</v>
      </c>
      <c r="L131" s="312">
        <f t="shared" si="834"/>
        <v>1841</v>
      </c>
      <c r="M131" s="312">
        <f t="shared" si="834"/>
        <v>2019</v>
      </c>
      <c r="N131" s="312">
        <f t="shared" si="834"/>
        <v>2201</v>
      </c>
      <c r="O131" s="312">
        <f t="shared" si="834"/>
        <v>2379</v>
      </c>
      <c r="P131" s="312">
        <f t="shared" si="834"/>
        <v>2561</v>
      </c>
      <c r="Q131" s="312">
        <f t="shared" si="834"/>
        <v>2739</v>
      </c>
      <c r="R131" s="312">
        <f t="shared" si="834"/>
        <v>2921</v>
      </c>
      <c r="S131" s="312">
        <f t="shared" si="834"/>
        <v>3099</v>
      </c>
      <c r="T131" s="312">
        <f t="shared" si="834"/>
        <v>3280</v>
      </c>
      <c r="U131" s="312">
        <f t="shared" si="834"/>
        <v>3458</v>
      </c>
      <c r="V131" s="312">
        <f t="shared" si="834"/>
        <v>3640</v>
      </c>
      <c r="W131" s="312">
        <f t="shared" si="834"/>
        <v>3818</v>
      </c>
      <c r="X131" s="312">
        <f t="shared" si="834"/>
        <v>4000</v>
      </c>
      <c r="Y131" s="312">
        <f t="shared" si="834"/>
        <v>4178</v>
      </c>
      <c r="Z131" s="312">
        <f t="shared" si="834"/>
        <v>4360</v>
      </c>
      <c r="AA131" s="312">
        <f t="shared" si="834"/>
        <v>4538</v>
      </c>
      <c r="AB131" s="312">
        <f t="shared" si="834"/>
        <v>4719</v>
      </c>
      <c r="AC131" s="312">
        <f t="shared" si="834"/>
        <v>4897</v>
      </c>
      <c r="AD131" s="312">
        <f t="shared" si="834"/>
        <v>5079</v>
      </c>
      <c r="AE131" s="312">
        <f t="shared" si="834"/>
        <v>5257</v>
      </c>
      <c r="AF131" s="312">
        <f t="shared" si="834"/>
        <v>5439</v>
      </c>
      <c r="AG131" s="312">
        <f t="shared" si="834"/>
        <v>5617</v>
      </c>
      <c r="AH131" s="312">
        <f t="shared" ref="AH131:BM131" si="835">DAYS360($B$3,AH48)</f>
        <v>5799</v>
      </c>
      <c r="AI131" s="312">
        <f t="shared" si="835"/>
        <v>5977</v>
      </c>
      <c r="AJ131" s="312">
        <f t="shared" si="835"/>
        <v>6158</v>
      </c>
      <c r="AK131" s="312">
        <f t="shared" si="835"/>
        <v>6336</v>
      </c>
      <c r="AL131" s="312">
        <f t="shared" si="835"/>
        <v>6518</v>
      </c>
      <c r="AM131" s="312">
        <f t="shared" si="835"/>
        <v>6696</v>
      </c>
      <c r="AN131" s="312">
        <f t="shared" si="835"/>
        <v>6878</v>
      </c>
      <c r="AO131" s="312">
        <f t="shared" si="835"/>
        <v>7056</v>
      </c>
      <c r="AP131" s="312">
        <f t="shared" si="835"/>
        <v>7238</v>
      </c>
      <c r="AQ131" s="312">
        <f t="shared" si="835"/>
        <v>7416</v>
      </c>
      <c r="AR131" s="312">
        <f t="shared" si="835"/>
        <v>7597</v>
      </c>
      <c r="AS131" s="312">
        <f t="shared" si="835"/>
        <v>7775</v>
      </c>
      <c r="AT131" s="312">
        <f t="shared" si="835"/>
        <v>7957</v>
      </c>
      <c r="AU131" s="312">
        <f t="shared" si="835"/>
        <v>8135</v>
      </c>
      <c r="AV131" s="312">
        <f t="shared" si="835"/>
        <v>8317</v>
      </c>
      <c r="AW131" s="312">
        <f t="shared" si="835"/>
        <v>8495</v>
      </c>
      <c r="AX131" s="312">
        <f t="shared" si="835"/>
        <v>8677</v>
      </c>
      <c r="AY131" s="312">
        <f t="shared" si="835"/>
        <v>8855</v>
      </c>
      <c r="AZ131" s="312">
        <f t="shared" si="835"/>
        <v>9036</v>
      </c>
      <c r="BA131" s="312">
        <f t="shared" si="835"/>
        <v>9214</v>
      </c>
      <c r="BB131" s="312">
        <f t="shared" si="835"/>
        <v>9396</v>
      </c>
      <c r="BC131" s="312">
        <f t="shared" si="835"/>
        <v>9574</v>
      </c>
      <c r="BD131" s="312">
        <f t="shared" si="835"/>
        <v>9756</v>
      </c>
      <c r="BE131" s="312">
        <f t="shared" si="835"/>
        <v>9934</v>
      </c>
      <c r="BF131" s="312">
        <f t="shared" si="835"/>
        <v>10116</v>
      </c>
      <c r="BG131" s="312">
        <f t="shared" si="835"/>
        <v>10294</v>
      </c>
      <c r="BH131" s="312">
        <f t="shared" si="835"/>
        <v>10475</v>
      </c>
      <c r="BI131" s="312">
        <f t="shared" si="835"/>
        <v>10653</v>
      </c>
      <c r="BJ131" s="312">
        <f t="shared" si="835"/>
        <v>10835</v>
      </c>
      <c r="BK131" s="312">
        <f t="shared" si="835"/>
        <v>11013</v>
      </c>
      <c r="BL131" s="312">
        <f t="shared" si="835"/>
        <v>11195</v>
      </c>
      <c r="BM131" s="312">
        <f t="shared" si="835"/>
        <v>11373</v>
      </c>
      <c r="BN131" s="312">
        <f t="shared" ref="BN131:CB131" si="836">DAYS360($B$3,BN48)</f>
        <v>11555</v>
      </c>
      <c r="BO131" s="312">
        <f t="shared" si="836"/>
        <v>11733</v>
      </c>
      <c r="BP131" s="312">
        <f t="shared" si="836"/>
        <v>11914</v>
      </c>
      <c r="BQ131" s="312">
        <f t="shared" si="836"/>
        <v>12092</v>
      </c>
      <c r="BR131" s="312">
        <f t="shared" si="836"/>
        <v>12274</v>
      </c>
      <c r="BS131" s="312">
        <f t="shared" si="836"/>
        <v>12452</v>
      </c>
      <c r="BT131" s="312">
        <f t="shared" si="836"/>
        <v>12634</v>
      </c>
      <c r="BU131" s="312">
        <f t="shared" si="836"/>
        <v>12812</v>
      </c>
      <c r="BV131" s="312">
        <f t="shared" si="836"/>
        <v>12994</v>
      </c>
      <c r="BW131" s="312">
        <f t="shared" si="836"/>
        <v>13172</v>
      </c>
      <c r="BX131" s="312">
        <f t="shared" si="836"/>
        <v>13353</v>
      </c>
      <c r="BY131" s="312">
        <f t="shared" si="836"/>
        <v>13531</v>
      </c>
      <c r="BZ131" s="312">
        <f t="shared" si="836"/>
        <v>13713</v>
      </c>
      <c r="CA131" s="312">
        <f t="shared" si="836"/>
        <v>13891</v>
      </c>
      <c r="CB131" s="312">
        <f t="shared" si="836"/>
        <v>14073</v>
      </c>
    </row>
    <row r="132" spans="1:80">
      <c r="A132" s="311" t="s">
        <v>41</v>
      </c>
      <c r="B132" s="312">
        <f>B131/360</f>
        <v>0.11944444444444445</v>
      </c>
      <c r="C132" s="312">
        <f t="shared" ref="C132:BN132" si="837">C131/360</f>
        <v>0.61388888888888893</v>
      </c>
      <c r="D132" s="312">
        <f t="shared" si="837"/>
        <v>1.1166666666666667</v>
      </c>
      <c r="E132" s="312">
        <f t="shared" si="837"/>
        <v>1.6111111111111112</v>
      </c>
      <c r="F132" s="312">
        <f t="shared" si="837"/>
        <v>2.1166666666666667</v>
      </c>
      <c r="G132" s="312">
        <f t="shared" si="837"/>
        <v>2.6111111111111112</v>
      </c>
      <c r="H132" s="312">
        <f t="shared" si="837"/>
        <v>3.1166666666666667</v>
      </c>
      <c r="I132" s="312">
        <f t="shared" si="837"/>
        <v>3.6111111111111112</v>
      </c>
      <c r="J132" s="312">
        <f t="shared" si="837"/>
        <v>4.1166666666666663</v>
      </c>
      <c r="K132" s="312">
        <f t="shared" si="837"/>
        <v>4.6111111111111107</v>
      </c>
      <c r="L132" s="312">
        <f t="shared" si="837"/>
        <v>5.1138888888888889</v>
      </c>
      <c r="M132" s="312">
        <f t="shared" si="837"/>
        <v>5.6083333333333334</v>
      </c>
      <c r="N132" s="312">
        <f t="shared" si="837"/>
        <v>6.1138888888888889</v>
      </c>
      <c r="O132" s="312">
        <f t="shared" si="837"/>
        <v>6.6083333333333334</v>
      </c>
      <c r="P132" s="312">
        <f t="shared" si="837"/>
        <v>7.1138888888888889</v>
      </c>
      <c r="Q132" s="312">
        <f t="shared" si="837"/>
        <v>7.6083333333333334</v>
      </c>
      <c r="R132" s="312">
        <f t="shared" si="837"/>
        <v>8.1138888888888889</v>
      </c>
      <c r="S132" s="312">
        <f t="shared" si="837"/>
        <v>8.6083333333333325</v>
      </c>
      <c r="T132" s="312">
        <f t="shared" si="837"/>
        <v>9.1111111111111107</v>
      </c>
      <c r="U132" s="312">
        <f t="shared" si="837"/>
        <v>9.6055555555555561</v>
      </c>
      <c r="V132" s="312">
        <f t="shared" si="837"/>
        <v>10.111111111111111</v>
      </c>
      <c r="W132" s="312">
        <f t="shared" si="837"/>
        <v>10.605555555555556</v>
      </c>
      <c r="X132" s="312">
        <f t="shared" si="837"/>
        <v>11.111111111111111</v>
      </c>
      <c r="Y132" s="312">
        <f t="shared" si="837"/>
        <v>11.605555555555556</v>
      </c>
      <c r="Z132" s="312">
        <f t="shared" si="837"/>
        <v>12.111111111111111</v>
      </c>
      <c r="AA132" s="312">
        <f t="shared" si="837"/>
        <v>12.605555555555556</v>
      </c>
      <c r="AB132" s="312">
        <f t="shared" si="837"/>
        <v>13.108333333333333</v>
      </c>
      <c r="AC132" s="312">
        <f t="shared" si="837"/>
        <v>13.602777777777778</v>
      </c>
      <c r="AD132" s="312">
        <f t="shared" si="837"/>
        <v>14.108333333333333</v>
      </c>
      <c r="AE132" s="312">
        <f t="shared" si="837"/>
        <v>14.602777777777778</v>
      </c>
      <c r="AF132" s="312">
        <f t="shared" si="837"/>
        <v>15.108333333333333</v>
      </c>
      <c r="AG132" s="312">
        <f t="shared" si="837"/>
        <v>15.602777777777778</v>
      </c>
      <c r="AH132" s="312">
        <f t="shared" si="837"/>
        <v>16.108333333333334</v>
      </c>
      <c r="AI132" s="312">
        <f t="shared" si="837"/>
        <v>16.602777777777778</v>
      </c>
      <c r="AJ132" s="312">
        <f t="shared" si="837"/>
        <v>17.105555555555554</v>
      </c>
      <c r="AK132" s="312">
        <f t="shared" si="837"/>
        <v>17.600000000000001</v>
      </c>
      <c r="AL132" s="312">
        <f t="shared" si="837"/>
        <v>18.105555555555554</v>
      </c>
      <c r="AM132" s="312">
        <f t="shared" si="837"/>
        <v>18.600000000000001</v>
      </c>
      <c r="AN132" s="312">
        <f t="shared" si="837"/>
        <v>19.105555555555554</v>
      </c>
      <c r="AO132" s="312">
        <f t="shared" si="837"/>
        <v>19.600000000000001</v>
      </c>
      <c r="AP132" s="312">
        <f t="shared" si="837"/>
        <v>20.105555555555554</v>
      </c>
      <c r="AQ132" s="312">
        <f t="shared" si="837"/>
        <v>20.6</v>
      </c>
      <c r="AR132" s="312">
        <f t="shared" si="837"/>
        <v>21.102777777777778</v>
      </c>
      <c r="AS132" s="312">
        <f t="shared" si="837"/>
        <v>21.597222222222221</v>
      </c>
      <c r="AT132" s="312">
        <f t="shared" si="837"/>
        <v>22.102777777777778</v>
      </c>
      <c r="AU132" s="312">
        <f t="shared" si="837"/>
        <v>22.597222222222221</v>
      </c>
      <c r="AV132" s="312">
        <f t="shared" si="837"/>
        <v>23.102777777777778</v>
      </c>
      <c r="AW132" s="312">
        <f t="shared" si="837"/>
        <v>23.597222222222221</v>
      </c>
      <c r="AX132" s="312">
        <f t="shared" si="837"/>
        <v>24.102777777777778</v>
      </c>
      <c r="AY132" s="312">
        <f t="shared" si="837"/>
        <v>24.597222222222221</v>
      </c>
      <c r="AZ132" s="312">
        <f t="shared" si="837"/>
        <v>25.1</v>
      </c>
      <c r="BA132" s="312">
        <f t="shared" si="837"/>
        <v>25.594444444444445</v>
      </c>
      <c r="BB132" s="312">
        <f t="shared" si="837"/>
        <v>26.1</v>
      </c>
      <c r="BC132" s="312">
        <f t="shared" si="837"/>
        <v>26.594444444444445</v>
      </c>
      <c r="BD132" s="312">
        <f t="shared" si="837"/>
        <v>27.1</v>
      </c>
      <c r="BE132" s="312">
        <f t="shared" si="837"/>
        <v>27.594444444444445</v>
      </c>
      <c r="BF132" s="312">
        <f t="shared" si="837"/>
        <v>28.1</v>
      </c>
      <c r="BG132" s="312">
        <f t="shared" si="837"/>
        <v>28.594444444444445</v>
      </c>
      <c r="BH132" s="312">
        <f t="shared" si="837"/>
        <v>29.097222222222221</v>
      </c>
      <c r="BI132" s="312">
        <f t="shared" si="837"/>
        <v>29.591666666666665</v>
      </c>
      <c r="BJ132" s="312">
        <f t="shared" si="837"/>
        <v>30.097222222222221</v>
      </c>
      <c r="BK132" s="312">
        <f t="shared" si="837"/>
        <v>30.591666666666665</v>
      </c>
      <c r="BL132" s="312">
        <f t="shared" si="837"/>
        <v>31.097222222222221</v>
      </c>
      <c r="BM132" s="312">
        <f t="shared" si="837"/>
        <v>31.591666666666665</v>
      </c>
      <c r="BN132" s="312">
        <f t="shared" si="837"/>
        <v>32.097222222222221</v>
      </c>
      <c r="BO132" s="312">
        <f t="shared" ref="BO132:CB132" si="838">BO131/360</f>
        <v>32.591666666666669</v>
      </c>
      <c r="BP132" s="312">
        <f t="shared" si="838"/>
        <v>33.094444444444441</v>
      </c>
      <c r="BQ132" s="312">
        <f t="shared" si="838"/>
        <v>33.588888888888889</v>
      </c>
      <c r="BR132" s="312">
        <f t="shared" si="838"/>
        <v>34.094444444444441</v>
      </c>
      <c r="BS132" s="312">
        <f t="shared" si="838"/>
        <v>34.588888888888889</v>
      </c>
      <c r="BT132" s="312">
        <f t="shared" si="838"/>
        <v>35.094444444444441</v>
      </c>
      <c r="BU132" s="312">
        <f t="shared" si="838"/>
        <v>35.588888888888889</v>
      </c>
      <c r="BV132" s="312">
        <f t="shared" si="838"/>
        <v>36.094444444444441</v>
      </c>
      <c r="BW132" s="312">
        <f t="shared" si="838"/>
        <v>36.588888888888889</v>
      </c>
      <c r="BX132" s="312">
        <f t="shared" si="838"/>
        <v>37.091666666666669</v>
      </c>
      <c r="BY132" s="312">
        <f t="shared" si="838"/>
        <v>37.586111111111109</v>
      </c>
      <c r="BZ132" s="312">
        <f t="shared" si="838"/>
        <v>38.091666666666669</v>
      </c>
      <c r="CA132" s="312">
        <f t="shared" si="838"/>
        <v>38.586111111111109</v>
      </c>
      <c r="CB132" s="312">
        <f t="shared" si="838"/>
        <v>39.091666666666669</v>
      </c>
    </row>
    <row r="133" spans="1:80">
      <c r="A133" s="311" t="s">
        <v>43</v>
      </c>
      <c r="B133" s="312">
        <f>IF(B131&lt;0,0,$B$5+$B$6*((1-EXP(-B132/$B$9))/(B132/$B$9))+$B$7*((1-EXP(-B132/$B$9))/(B132/$B$9)-EXP(-B132/$B$9))+$B$8*((1-EXP(-B132/$B$10))/(B132/$B$10)-EXP(-B132/$B$10)))</f>
        <v>1.7479855880234312E-2</v>
      </c>
      <c r="C133" s="312">
        <f t="shared" ref="C133:BN133" si="839">IF(C131&lt;0,0,$B$5+$B$6*((1-EXP(-C132/$B$9))/(C132/$B$9))+$B$7*((1-EXP(-C132/$B$9))/(C132/$B$9)-EXP(-C132/$B$9))+$B$8*((1-EXP(-C132/$B$10))/(C132/$B$10)-EXP(-C132/$B$10)))</f>
        <v>1.7511832796269649E-2</v>
      </c>
      <c r="D133" s="312">
        <f t="shared" si="839"/>
        <v>1.7560104094283838E-2</v>
      </c>
      <c r="E133" s="312">
        <f t="shared" si="839"/>
        <v>1.7622012664277653E-2</v>
      </c>
      <c r="F133" s="312">
        <f t="shared" si="839"/>
        <v>1.7699079149213606E-2</v>
      </c>
      <c r="G133" s="312">
        <f t="shared" si="839"/>
        <v>1.7786959970177624E-2</v>
      </c>
      <c r="H133" s="312">
        <f t="shared" si="839"/>
        <v>1.7888671102463352E-2</v>
      </c>
      <c r="I133" s="312">
        <f t="shared" si="839"/>
        <v>1.7998882675334144E-2</v>
      </c>
      <c r="J133" s="312">
        <f t="shared" si="839"/>
        <v>1.8121709808022468E-2</v>
      </c>
      <c r="K133" s="312">
        <f t="shared" si="839"/>
        <v>1.8250983069438537E-2</v>
      </c>
      <c r="L133" s="312">
        <f t="shared" si="839"/>
        <v>1.8390965537032289E-2</v>
      </c>
      <c r="M133" s="312">
        <f t="shared" si="839"/>
        <v>1.8536330401057566E-2</v>
      </c>
      <c r="N133" s="312">
        <f t="shared" si="839"/>
        <v>1.8692189032365886E-2</v>
      </c>
      <c r="O133" s="312">
        <f t="shared" si="839"/>
        <v>1.8851074350991981E-2</v>
      </c>
      <c r="P133" s="312">
        <f t="shared" si="839"/>
        <v>1.9019527917276735E-2</v>
      </c>
      <c r="Q133" s="312">
        <f t="shared" si="839"/>
        <v>1.9189596025648181E-2</v>
      </c>
      <c r="R133" s="312">
        <f t="shared" si="839"/>
        <v>1.9368388616787857E-2</v>
      </c>
      <c r="S133" s="312">
        <f t="shared" si="839"/>
        <v>1.95475583739943E-2</v>
      </c>
      <c r="T133" s="312">
        <f t="shared" si="839"/>
        <v>1.9733645816066014E-2</v>
      </c>
      <c r="U133" s="312">
        <f t="shared" si="839"/>
        <v>1.9920051120210558E-2</v>
      </c>
      <c r="V133" s="312">
        <f t="shared" si="839"/>
        <v>2.0113714549130801E-2</v>
      </c>
      <c r="W133" s="312">
        <f t="shared" si="839"/>
        <v>2.0305740162430919E-2</v>
      </c>
      <c r="X133" s="312">
        <f t="shared" si="839"/>
        <v>2.0504387411195202E-2</v>
      </c>
      <c r="Y133" s="312">
        <f t="shared" si="839"/>
        <v>2.0700586499582396E-2</v>
      </c>
      <c r="Z133" s="312">
        <f t="shared" si="839"/>
        <v>2.090282871633925E-2</v>
      </c>
      <c r="AA133" s="312">
        <f t="shared" si="839"/>
        <v>2.110192707403874E-2</v>
      </c>
      <c r="AB133" s="312">
        <f t="shared" si="839"/>
        <v>2.1305416461488647E-2</v>
      </c>
      <c r="AC133" s="312">
        <f t="shared" si="839"/>
        <v>2.1506292127783211E-2</v>
      </c>
      <c r="AD133" s="312">
        <f t="shared" si="839"/>
        <v>2.1712209781331093E-2</v>
      </c>
      <c r="AE133" s="312">
        <f t="shared" si="839"/>
        <v>2.1913890750464404E-2</v>
      </c>
      <c r="AF133" s="312">
        <f t="shared" si="839"/>
        <v>2.2120180926384514E-2</v>
      </c>
      <c r="AG133" s="312">
        <f t="shared" si="839"/>
        <v>2.2321815067461892E-2</v>
      </c>
      <c r="AH133" s="312">
        <f t="shared" si="839"/>
        <v>2.2527666051342765E-2</v>
      </c>
      <c r="AI133" s="312">
        <f t="shared" si="839"/>
        <v>2.2728514691301216E-2</v>
      </c>
      <c r="AJ133" s="312">
        <f t="shared" si="839"/>
        <v>2.2932101953030359E-2</v>
      </c>
      <c r="AK133" s="312">
        <f t="shared" si="839"/>
        <v>2.3131532912928243E-2</v>
      </c>
      <c r="AL133" s="312">
        <f t="shared" si="839"/>
        <v>2.3334504066343298E-2</v>
      </c>
      <c r="AM133" s="312">
        <f t="shared" si="839"/>
        <v>2.3531968163307104E-2</v>
      </c>
      <c r="AN133" s="312">
        <f t="shared" si="839"/>
        <v>2.37326809240056E-2</v>
      </c>
      <c r="AO133" s="312">
        <f t="shared" si="839"/>
        <v>2.3927713516211757E-2</v>
      </c>
      <c r="AP133" s="312">
        <f t="shared" si="839"/>
        <v>2.4125731002824835E-2</v>
      </c>
      <c r="AQ133" s="312">
        <f t="shared" si="839"/>
        <v>2.4317940088679157E-2</v>
      </c>
      <c r="AR133" s="312">
        <f t="shared" si="839"/>
        <v>2.4511828822115667E-2</v>
      </c>
      <c r="AS133" s="312">
        <f t="shared" si="839"/>
        <v>2.4700896221214519E-2</v>
      </c>
      <c r="AT133" s="312">
        <f t="shared" si="839"/>
        <v>2.4892494871509241E-2</v>
      </c>
      <c r="AU133" s="312">
        <f t="shared" si="839"/>
        <v>2.5078142231429346E-2</v>
      </c>
      <c r="AV133" s="312">
        <f t="shared" si="839"/>
        <v>2.5266125887795587E-2</v>
      </c>
      <c r="AW133" s="312">
        <f t="shared" si="839"/>
        <v>2.5448134126964173E-2</v>
      </c>
      <c r="AX133" s="312">
        <f t="shared" si="839"/>
        <v>2.5632302529256523E-2</v>
      </c>
      <c r="AY133" s="312">
        <f t="shared" si="839"/>
        <v>2.5810497617872186E-2</v>
      </c>
      <c r="AZ133" s="312">
        <f t="shared" si="839"/>
        <v>2.5989709283677609E-2</v>
      </c>
      <c r="BA133" s="312">
        <f t="shared" si="839"/>
        <v>2.6163968045103569E-2</v>
      </c>
      <c r="BB133" s="312">
        <f t="shared" si="839"/>
        <v>2.6340084599319025E-2</v>
      </c>
      <c r="BC133" s="312">
        <f t="shared" si="839"/>
        <v>2.6510296799185651E-2</v>
      </c>
      <c r="BD133" s="312">
        <f t="shared" si="839"/>
        <v>2.6682237043922807E-2</v>
      </c>
      <c r="BE133" s="312">
        <f t="shared" si="839"/>
        <v>2.6848333892870585E-2</v>
      </c>
      <c r="BF133" s="312">
        <f t="shared" si="839"/>
        <v>2.7016041649710609E-2</v>
      </c>
      <c r="BG133" s="312">
        <f t="shared" si="839"/>
        <v>2.7177981136803836E-2</v>
      </c>
      <c r="BH133" s="312">
        <f t="shared" si="839"/>
        <v>2.734053363618616E-2</v>
      </c>
      <c r="BI133" s="312">
        <f t="shared" si="839"/>
        <v>2.7498308662868509E-2</v>
      </c>
      <c r="BJ133" s="312">
        <f t="shared" si="839"/>
        <v>2.765749363159653E-2</v>
      </c>
      <c r="BK133" s="312">
        <f t="shared" si="839"/>
        <v>2.7811094050932045E-2</v>
      </c>
      <c r="BL133" s="312">
        <f t="shared" si="839"/>
        <v>2.7966018188066877E-2</v>
      </c>
      <c r="BM133" s="312">
        <f t="shared" si="839"/>
        <v>2.8115462856881185E-2</v>
      </c>
      <c r="BN133" s="312">
        <f t="shared" si="839"/>
        <v>2.8266153376545394E-2</v>
      </c>
      <c r="BO133" s="312">
        <f t="shared" ref="BO133:CB133" si="840">IF(BO131&lt;0,0,$B$5+$B$6*((1-EXP(-BO132/$B$9))/(BO132/$B$9))+$B$7*((1-EXP(-BO132/$B$9))/(BO132/$B$9)-EXP(-BO132/$B$9))+$B$8*((1-EXP(-BO132/$B$10))/(BO132/$B$10)-EXP(-BO132/$B$10)))</f>
        <v>2.8411476085819259E-2</v>
      </c>
      <c r="BP133" s="312">
        <f t="shared" si="840"/>
        <v>2.8557175121418837E-2</v>
      </c>
      <c r="BQ133" s="312">
        <f t="shared" si="840"/>
        <v>2.8698433626493575E-2</v>
      </c>
      <c r="BR133" s="312">
        <f t="shared" si="840"/>
        <v>2.8840804247033142E-2</v>
      </c>
      <c r="BS133" s="312">
        <f t="shared" si="840"/>
        <v>2.8978044385706503E-2</v>
      </c>
      <c r="BT133" s="312">
        <f t="shared" si="840"/>
        <v>2.9116339155235843E-2</v>
      </c>
      <c r="BU133" s="312">
        <f t="shared" si="840"/>
        <v>2.9249627155964936E-2</v>
      </c>
      <c r="BV133" s="312">
        <f t="shared" si="840"/>
        <v>2.9383917784152974E-2</v>
      </c>
      <c r="BW133" s="312">
        <f t="shared" si="840"/>
        <v>2.951332732213055E-2</v>
      </c>
      <c r="BX133" s="312">
        <f t="shared" si="840"/>
        <v>2.9642981472591867E-2</v>
      </c>
      <c r="BY133" s="312">
        <f t="shared" si="840"/>
        <v>2.9768602732837823E-2</v>
      </c>
      <c r="BZ133" s="312">
        <f t="shared" si="840"/>
        <v>2.9895136997630217E-2</v>
      </c>
      <c r="CA133" s="312">
        <f t="shared" si="840"/>
        <v>3.0017043911665431E-2</v>
      </c>
      <c r="CB133" s="312">
        <f t="shared" si="840"/>
        <v>3.0139825130984371E-2</v>
      </c>
    </row>
    <row r="134" spans="1:80">
      <c r="A134" s="311" t="s">
        <v>44</v>
      </c>
      <c r="B134" s="312">
        <f>EXP(-B133*B132)</f>
        <v>0.99791430641336143</v>
      </c>
      <c r="C134" s="312">
        <f t="shared" ref="C134:AR134" si="841">EXP(-C133*C132)</f>
        <v>0.98930725859517343</v>
      </c>
      <c r="D134" s="312">
        <f t="shared" si="841"/>
        <v>0.98058221880385688</v>
      </c>
      <c r="E134" s="312">
        <f t="shared" si="841"/>
        <v>0.97200821743756716</v>
      </c>
      <c r="F134" s="312">
        <f t="shared" si="841"/>
        <v>0.96323000757809185</v>
      </c>
      <c r="G134" s="312">
        <f t="shared" si="841"/>
        <v>0.95461827656406961</v>
      </c>
      <c r="H134" s="312">
        <f t="shared" si="841"/>
        <v>0.94577268931873637</v>
      </c>
      <c r="I134" s="312">
        <f t="shared" si="841"/>
        <v>0.93707124424938515</v>
      </c>
      <c r="J134" s="312">
        <f t="shared" si="841"/>
        <v>0.92811369391126985</v>
      </c>
      <c r="K134" s="312">
        <f t="shared" si="841"/>
        <v>0.91928663098596664</v>
      </c>
      <c r="L134" s="312">
        <f t="shared" si="841"/>
        <v>0.91023783696651839</v>
      </c>
      <c r="M134" s="312">
        <f t="shared" si="841"/>
        <v>0.90126322208072707</v>
      </c>
      <c r="N134" s="312">
        <f t="shared" si="841"/>
        <v>0.89200640419776622</v>
      </c>
      <c r="O134" s="312">
        <f t="shared" si="841"/>
        <v>0.88287276478426491</v>
      </c>
      <c r="P134" s="312">
        <f t="shared" si="841"/>
        <v>0.87345138329108507</v>
      </c>
      <c r="Q134" s="312">
        <f t="shared" si="841"/>
        <v>0.86415697461779017</v>
      </c>
      <c r="R134" s="312">
        <f t="shared" si="841"/>
        <v>0.85457333909969935</v>
      </c>
      <c r="S134" s="312">
        <f t="shared" si="841"/>
        <v>0.84512401562868855</v>
      </c>
      <c r="T134" s="312">
        <f t="shared" si="841"/>
        <v>0.83544109204891148</v>
      </c>
      <c r="U134" s="312">
        <f t="shared" si="841"/>
        <v>0.82584914302444601</v>
      </c>
      <c r="V134" s="312">
        <f t="shared" si="841"/>
        <v>0.81597464021942656</v>
      </c>
      <c r="W134" s="312">
        <f t="shared" si="841"/>
        <v>0.80625625288226899</v>
      </c>
      <c r="X134" s="312">
        <f t="shared" si="841"/>
        <v>0.79626237804508226</v>
      </c>
      <c r="Y134" s="312">
        <f t="shared" si="841"/>
        <v>0.78643767221132144</v>
      </c>
      <c r="Z134" s="312">
        <f t="shared" si="841"/>
        <v>0.77634638876579443</v>
      </c>
      <c r="AA134" s="312">
        <f t="shared" si="841"/>
        <v>0.76643796706624656</v>
      </c>
      <c r="AB134" s="312">
        <f t="shared" si="841"/>
        <v>0.756329235596783</v>
      </c>
      <c r="AC134" s="312">
        <f t="shared" si="841"/>
        <v>0.74636142466443522</v>
      </c>
      <c r="AD134" s="312">
        <f t="shared" si="841"/>
        <v>0.736148736526551</v>
      </c>
      <c r="AE134" s="312">
        <f t="shared" si="841"/>
        <v>0.72614636711897274</v>
      </c>
      <c r="AF134" s="312">
        <f t="shared" si="841"/>
        <v>0.71591125385786414</v>
      </c>
      <c r="AG134" s="312">
        <f t="shared" si="841"/>
        <v>0.70589955845012387</v>
      </c>
      <c r="AH134" s="312">
        <f t="shared" si="841"/>
        <v>0.69566771475607325</v>
      </c>
      <c r="AI134" s="312">
        <f t="shared" si="841"/>
        <v>0.68567160304468922</v>
      </c>
      <c r="AJ134" s="312">
        <f t="shared" si="841"/>
        <v>0.67552416821374195</v>
      </c>
      <c r="AK134" s="312">
        <f t="shared" si="841"/>
        <v>0.66556765941989671</v>
      </c>
      <c r="AL134" s="312">
        <f t="shared" si="841"/>
        <v>0.65541663621813495</v>
      </c>
      <c r="AM134" s="312">
        <f t="shared" si="841"/>
        <v>0.64552289038964639</v>
      </c>
      <c r="AN134" s="312">
        <f t="shared" si="841"/>
        <v>0.63544734114181667</v>
      </c>
      <c r="AO134" s="312">
        <f t="shared" si="841"/>
        <v>0.62563810322402669</v>
      </c>
      <c r="AP134" s="312">
        <f t="shared" si="841"/>
        <v>0.61565950186001772</v>
      </c>
      <c r="AQ134" s="312">
        <f t="shared" si="841"/>
        <v>0.60595499228558303</v>
      </c>
      <c r="AR134" s="312">
        <f t="shared" si="841"/>
        <v>0.59614719164528696</v>
      </c>
      <c r="AS134" s="312">
        <f>EXP(-AS133*AS132)</f>
        <v>0.58656561314396949</v>
      </c>
      <c r="AT134" s="312">
        <f t="shared" ref="AT134:CA134" si="842">EXP(-AT133*AT132)</f>
        <v>0.57683830686680782</v>
      </c>
      <c r="AU134" s="312">
        <f t="shared" si="842"/>
        <v>0.56739682465877894</v>
      </c>
      <c r="AV134" s="312">
        <f t="shared" si="842"/>
        <v>0.55782070151220431</v>
      </c>
      <c r="AW134" s="312">
        <f t="shared" si="842"/>
        <v>0.54853440471685533</v>
      </c>
      <c r="AX134" s="312">
        <f t="shared" si="842"/>
        <v>0.53912399303334091</v>
      </c>
      <c r="AY134" s="312">
        <f t="shared" si="842"/>
        <v>0.53000621527384872</v>
      </c>
      <c r="AZ134" s="312">
        <f t="shared" si="842"/>
        <v>0.52082473081030556</v>
      </c>
      <c r="BA134" s="312">
        <f t="shared" si="842"/>
        <v>0.51188656737864158</v>
      </c>
      <c r="BB134" s="312">
        <f t="shared" si="842"/>
        <v>0.50284354146092802</v>
      </c>
      <c r="BC134" s="312">
        <f t="shared" si="842"/>
        <v>0.49409542351815</v>
      </c>
      <c r="BD134" s="312">
        <f t="shared" si="842"/>
        <v>0.48525118063541095</v>
      </c>
      <c r="BE134" s="312">
        <f t="shared" si="842"/>
        <v>0.47670145810294201</v>
      </c>
      <c r="BF134" s="312">
        <f t="shared" si="842"/>
        <v>0.46806375188897731</v>
      </c>
      <c r="BG134" s="312">
        <f t="shared" si="842"/>
        <v>0.45971926387535655</v>
      </c>
      <c r="BH134" s="312">
        <f t="shared" si="842"/>
        <v>0.45134034317745753</v>
      </c>
      <c r="BI134" s="312">
        <f t="shared" si="842"/>
        <v>0.4432059210587449</v>
      </c>
      <c r="BJ134" s="312">
        <f t="shared" si="842"/>
        <v>0.43499804944418757</v>
      </c>
      <c r="BK134" s="312">
        <f t="shared" si="842"/>
        <v>0.42707838172460116</v>
      </c>
      <c r="BL134" s="312">
        <f t="shared" si="842"/>
        <v>0.41909171941435414</v>
      </c>
      <c r="BM134" s="312">
        <f t="shared" si="842"/>
        <v>0.41138970320222656</v>
      </c>
      <c r="BN134" s="312">
        <f t="shared" si="842"/>
        <v>0.4036266321051048</v>
      </c>
      <c r="BO134" s="312">
        <f t="shared" si="842"/>
        <v>0.3961440552092883</v>
      </c>
      <c r="BP134" s="312">
        <f t="shared" si="842"/>
        <v>0.38864698321707103</v>
      </c>
      <c r="BQ134" s="312">
        <f t="shared" si="842"/>
        <v>0.38138401488856305</v>
      </c>
      <c r="BR134" s="312">
        <f t="shared" si="842"/>
        <v>0.37407042463401752</v>
      </c>
      <c r="BS134" s="312">
        <f t="shared" si="842"/>
        <v>0.36702755299151435</v>
      </c>
      <c r="BT134" s="312">
        <f t="shared" si="842"/>
        <v>0.35993862545657307</v>
      </c>
      <c r="BU134" s="312">
        <f t="shared" si="842"/>
        <v>0.353114917078515</v>
      </c>
      <c r="BV134" s="312">
        <f t="shared" si="842"/>
        <v>0.34624931908631784</v>
      </c>
      <c r="BW134" s="312">
        <f t="shared" si="842"/>
        <v>0.33964312189017309</v>
      </c>
      <c r="BX134" s="312">
        <f t="shared" si="842"/>
        <v>0.33303503384707789</v>
      </c>
      <c r="BY134" s="312">
        <f t="shared" si="842"/>
        <v>0.32664346959891011</v>
      </c>
      <c r="BZ134" s="312">
        <f t="shared" si="842"/>
        <v>0.32021725442632976</v>
      </c>
      <c r="CA134" s="312">
        <f t="shared" si="842"/>
        <v>0.3140380909721745</v>
      </c>
      <c r="CB134" s="312">
        <f>EXP(-CB133*CB132)</f>
        <v>0.30782741393960439</v>
      </c>
    </row>
    <row r="136" spans="1:80">
      <c r="A136" s="311" t="s">
        <v>40</v>
      </c>
      <c r="B136" s="312">
        <f t="shared" ref="B136:AG136" si="843">DAYS360($B$3,B50)</f>
        <v>133</v>
      </c>
      <c r="C136" s="312">
        <f t="shared" si="843"/>
        <v>313</v>
      </c>
      <c r="D136" s="312">
        <f t="shared" si="843"/>
        <v>492</v>
      </c>
      <c r="E136" s="312">
        <f t="shared" si="843"/>
        <v>673</v>
      </c>
      <c r="F136" s="312">
        <f t="shared" si="843"/>
        <v>852</v>
      </c>
      <c r="G136" s="312">
        <f t="shared" si="843"/>
        <v>1033</v>
      </c>
      <c r="H136" s="312">
        <f t="shared" si="843"/>
        <v>1212</v>
      </c>
      <c r="I136" s="312">
        <f t="shared" si="843"/>
        <v>1393</v>
      </c>
      <c r="J136" s="312">
        <f t="shared" si="843"/>
        <v>1572</v>
      </c>
      <c r="K136" s="312">
        <f t="shared" si="843"/>
        <v>1752</v>
      </c>
      <c r="L136" s="312">
        <f t="shared" si="843"/>
        <v>1931</v>
      </c>
      <c r="M136" s="312">
        <f t="shared" si="843"/>
        <v>2112</v>
      </c>
      <c r="N136" s="312">
        <f t="shared" si="843"/>
        <v>2291</v>
      </c>
      <c r="O136" s="312">
        <f t="shared" si="843"/>
        <v>2472</v>
      </c>
      <c r="P136" s="312">
        <f t="shared" si="843"/>
        <v>2651</v>
      </c>
      <c r="Q136" s="312">
        <f t="shared" si="843"/>
        <v>2832</v>
      </c>
      <c r="R136" s="312">
        <f t="shared" si="843"/>
        <v>3011</v>
      </c>
      <c r="S136" s="312">
        <f t="shared" si="843"/>
        <v>3191</v>
      </c>
      <c r="T136" s="312">
        <f t="shared" si="843"/>
        <v>3370</v>
      </c>
      <c r="U136" s="312">
        <f t="shared" si="843"/>
        <v>3551</v>
      </c>
      <c r="V136" s="312">
        <f t="shared" si="843"/>
        <v>3730</v>
      </c>
      <c r="W136" s="312">
        <f t="shared" si="843"/>
        <v>3911</v>
      </c>
      <c r="X136" s="312">
        <f t="shared" si="843"/>
        <v>4090</v>
      </c>
      <c r="Y136" s="312">
        <f t="shared" si="843"/>
        <v>4271</v>
      </c>
      <c r="Z136" s="312">
        <f t="shared" si="843"/>
        <v>4450</v>
      </c>
      <c r="AA136" s="312">
        <f t="shared" si="843"/>
        <v>4630</v>
      </c>
      <c r="AB136" s="312">
        <f t="shared" si="843"/>
        <v>4809</v>
      </c>
      <c r="AC136" s="312">
        <f t="shared" si="843"/>
        <v>4990</v>
      </c>
      <c r="AD136" s="312">
        <f t="shared" si="843"/>
        <v>5169</v>
      </c>
      <c r="AE136" s="312">
        <f t="shared" si="843"/>
        <v>5350</v>
      </c>
      <c r="AF136" s="312">
        <f t="shared" si="843"/>
        <v>5529</v>
      </c>
      <c r="AG136" s="312">
        <f t="shared" si="843"/>
        <v>5710</v>
      </c>
      <c r="AH136" s="312">
        <f t="shared" ref="AH136:BM136" si="844">DAYS360($B$3,AH50)</f>
        <v>5889</v>
      </c>
      <c r="AI136" s="312">
        <f t="shared" si="844"/>
        <v>6069</v>
      </c>
      <c r="AJ136" s="312">
        <f t="shared" si="844"/>
        <v>6248</v>
      </c>
      <c r="AK136" s="312">
        <f t="shared" si="844"/>
        <v>6429</v>
      </c>
      <c r="AL136" s="312">
        <f t="shared" si="844"/>
        <v>6608</v>
      </c>
      <c r="AM136" s="312">
        <f t="shared" si="844"/>
        <v>6789</v>
      </c>
      <c r="AN136" s="312">
        <f t="shared" si="844"/>
        <v>6968</v>
      </c>
      <c r="AO136" s="312">
        <f t="shared" si="844"/>
        <v>7149</v>
      </c>
      <c r="AP136" s="312">
        <f t="shared" si="844"/>
        <v>7328</v>
      </c>
      <c r="AQ136" s="312">
        <f t="shared" si="844"/>
        <v>7508</v>
      </c>
      <c r="AR136" s="312">
        <f t="shared" si="844"/>
        <v>7687</v>
      </c>
      <c r="AS136" s="312">
        <f t="shared" si="844"/>
        <v>7868</v>
      </c>
      <c r="AT136" s="312">
        <f t="shared" si="844"/>
        <v>8047</v>
      </c>
      <c r="AU136" s="312">
        <f t="shared" si="844"/>
        <v>8228</v>
      </c>
      <c r="AV136" s="312">
        <f t="shared" si="844"/>
        <v>8407</v>
      </c>
      <c r="AW136" s="312">
        <f t="shared" si="844"/>
        <v>8588</v>
      </c>
      <c r="AX136" s="312">
        <f t="shared" si="844"/>
        <v>8767</v>
      </c>
      <c r="AY136" s="312">
        <f t="shared" si="844"/>
        <v>8947</v>
      </c>
      <c r="AZ136" s="312">
        <f t="shared" si="844"/>
        <v>9126</v>
      </c>
      <c r="BA136" s="312">
        <f t="shared" si="844"/>
        <v>9307</v>
      </c>
      <c r="BB136" s="312">
        <f t="shared" si="844"/>
        <v>9486</v>
      </c>
      <c r="BC136" s="312">
        <f t="shared" si="844"/>
        <v>9667</v>
      </c>
      <c r="BD136" s="312">
        <f t="shared" si="844"/>
        <v>9846</v>
      </c>
      <c r="BE136" s="312">
        <f t="shared" si="844"/>
        <v>10027</v>
      </c>
      <c r="BF136" s="312">
        <f t="shared" si="844"/>
        <v>10206</v>
      </c>
      <c r="BG136" s="312">
        <f t="shared" si="844"/>
        <v>10386</v>
      </c>
      <c r="BH136" s="312">
        <f t="shared" si="844"/>
        <v>10565</v>
      </c>
      <c r="BI136" s="312">
        <f t="shared" si="844"/>
        <v>10746</v>
      </c>
      <c r="BJ136" s="312">
        <f t="shared" si="844"/>
        <v>10925</v>
      </c>
      <c r="BK136" s="312">
        <f t="shared" si="844"/>
        <v>11106</v>
      </c>
      <c r="BL136" s="312">
        <f t="shared" si="844"/>
        <v>11285</v>
      </c>
      <c r="BM136" s="312">
        <f t="shared" si="844"/>
        <v>11466</v>
      </c>
      <c r="BN136" s="312">
        <f t="shared" ref="BN136:CB136" si="845">DAYS360($B$3,BN50)</f>
        <v>11645</v>
      </c>
      <c r="BO136" s="312">
        <f t="shared" si="845"/>
        <v>11825</v>
      </c>
      <c r="BP136" s="312">
        <f t="shared" si="845"/>
        <v>12004</v>
      </c>
      <c r="BQ136" s="312">
        <f t="shared" si="845"/>
        <v>12185</v>
      </c>
      <c r="BR136" s="312">
        <f t="shared" si="845"/>
        <v>12364</v>
      </c>
      <c r="BS136" s="312">
        <f t="shared" si="845"/>
        <v>12545</v>
      </c>
      <c r="BT136" s="312">
        <f t="shared" si="845"/>
        <v>12724</v>
      </c>
      <c r="BU136" s="312">
        <f t="shared" si="845"/>
        <v>12905</v>
      </c>
      <c r="BV136" s="312">
        <f t="shared" si="845"/>
        <v>13084</v>
      </c>
      <c r="BW136" s="312">
        <f t="shared" si="845"/>
        <v>13264</v>
      </c>
      <c r="BX136" s="312">
        <f t="shared" si="845"/>
        <v>13443</v>
      </c>
      <c r="BY136" s="312">
        <f t="shared" si="845"/>
        <v>13624</v>
      </c>
      <c r="BZ136" s="312">
        <f t="shared" si="845"/>
        <v>13803</v>
      </c>
      <c r="CA136" s="312">
        <f t="shared" si="845"/>
        <v>13984</v>
      </c>
      <c r="CB136" s="312">
        <f t="shared" si="845"/>
        <v>14163</v>
      </c>
    </row>
    <row r="137" spans="1:80">
      <c r="A137" s="311" t="s">
        <v>41</v>
      </c>
      <c r="B137" s="312">
        <f>B136/360</f>
        <v>0.36944444444444446</v>
      </c>
      <c r="C137" s="312">
        <f t="shared" ref="C137:BN137" si="846">C136/360</f>
        <v>0.86944444444444446</v>
      </c>
      <c r="D137" s="312">
        <f t="shared" si="846"/>
        <v>1.3666666666666667</v>
      </c>
      <c r="E137" s="312">
        <f t="shared" si="846"/>
        <v>1.8694444444444445</v>
      </c>
      <c r="F137" s="312">
        <f t="shared" si="846"/>
        <v>2.3666666666666667</v>
      </c>
      <c r="G137" s="312">
        <f t="shared" si="846"/>
        <v>2.8694444444444445</v>
      </c>
      <c r="H137" s="312">
        <f t="shared" si="846"/>
        <v>3.3666666666666667</v>
      </c>
      <c r="I137" s="312">
        <f t="shared" si="846"/>
        <v>3.8694444444444445</v>
      </c>
      <c r="J137" s="312">
        <f t="shared" si="846"/>
        <v>4.3666666666666663</v>
      </c>
      <c r="K137" s="312">
        <f t="shared" si="846"/>
        <v>4.8666666666666663</v>
      </c>
      <c r="L137" s="312">
        <f t="shared" si="846"/>
        <v>5.3638888888888889</v>
      </c>
      <c r="M137" s="312">
        <f t="shared" si="846"/>
        <v>5.8666666666666663</v>
      </c>
      <c r="N137" s="312">
        <f t="shared" si="846"/>
        <v>6.3638888888888889</v>
      </c>
      <c r="O137" s="312">
        <f t="shared" si="846"/>
        <v>6.8666666666666663</v>
      </c>
      <c r="P137" s="312">
        <f t="shared" si="846"/>
        <v>7.3638888888888889</v>
      </c>
      <c r="Q137" s="312">
        <f t="shared" si="846"/>
        <v>7.8666666666666663</v>
      </c>
      <c r="R137" s="312">
        <f t="shared" si="846"/>
        <v>8.3638888888888889</v>
      </c>
      <c r="S137" s="312">
        <f t="shared" si="846"/>
        <v>8.8638888888888889</v>
      </c>
      <c r="T137" s="312">
        <f t="shared" si="846"/>
        <v>9.3611111111111107</v>
      </c>
      <c r="U137" s="312">
        <f t="shared" si="846"/>
        <v>9.8638888888888889</v>
      </c>
      <c r="V137" s="312">
        <f t="shared" si="846"/>
        <v>10.361111111111111</v>
      </c>
      <c r="W137" s="312">
        <f t="shared" si="846"/>
        <v>10.863888888888889</v>
      </c>
      <c r="X137" s="312">
        <f t="shared" si="846"/>
        <v>11.361111111111111</v>
      </c>
      <c r="Y137" s="312">
        <f t="shared" si="846"/>
        <v>11.863888888888889</v>
      </c>
      <c r="Z137" s="312">
        <f t="shared" si="846"/>
        <v>12.361111111111111</v>
      </c>
      <c r="AA137" s="312">
        <f t="shared" si="846"/>
        <v>12.861111111111111</v>
      </c>
      <c r="AB137" s="312">
        <f t="shared" si="846"/>
        <v>13.358333333333333</v>
      </c>
      <c r="AC137" s="312">
        <f t="shared" si="846"/>
        <v>13.861111111111111</v>
      </c>
      <c r="AD137" s="312">
        <f t="shared" si="846"/>
        <v>14.358333333333333</v>
      </c>
      <c r="AE137" s="312">
        <f t="shared" si="846"/>
        <v>14.861111111111111</v>
      </c>
      <c r="AF137" s="312">
        <f t="shared" si="846"/>
        <v>15.358333333333333</v>
      </c>
      <c r="AG137" s="312">
        <f t="shared" si="846"/>
        <v>15.861111111111111</v>
      </c>
      <c r="AH137" s="312">
        <f t="shared" si="846"/>
        <v>16.358333333333334</v>
      </c>
      <c r="AI137" s="312">
        <f t="shared" si="846"/>
        <v>16.858333333333334</v>
      </c>
      <c r="AJ137" s="312">
        <f t="shared" si="846"/>
        <v>17.355555555555554</v>
      </c>
      <c r="AK137" s="312">
        <f t="shared" si="846"/>
        <v>17.858333333333334</v>
      </c>
      <c r="AL137" s="312">
        <f t="shared" si="846"/>
        <v>18.355555555555554</v>
      </c>
      <c r="AM137" s="312">
        <f t="shared" si="846"/>
        <v>18.858333333333334</v>
      </c>
      <c r="AN137" s="312">
        <f t="shared" si="846"/>
        <v>19.355555555555554</v>
      </c>
      <c r="AO137" s="312">
        <f t="shared" si="846"/>
        <v>19.858333333333334</v>
      </c>
      <c r="AP137" s="312">
        <f t="shared" si="846"/>
        <v>20.355555555555554</v>
      </c>
      <c r="AQ137" s="312">
        <f t="shared" si="846"/>
        <v>20.855555555555554</v>
      </c>
      <c r="AR137" s="312">
        <f t="shared" si="846"/>
        <v>21.352777777777778</v>
      </c>
      <c r="AS137" s="312">
        <f t="shared" si="846"/>
        <v>21.855555555555554</v>
      </c>
      <c r="AT137" s="312">
        <f t="shared" si="846"/>
        <v>22.352777777777778</v>
      </c>
      <c r="AU137" s="312">
        <f t="shared" si="846"/>
        <v>22.855555555555554</v>
      </c>
      <c r="AV137" s="312">
        <f t="shared" si="846"/>
        <v>23.352777777777778</v>
      </c>
      <c r="AW137" s="312">
        <f t="shared" si="846"/>
        <v>23.855555555555554</v>
      </c>
      <c r="AX137" s="312">
        <f t="shared" si="846"/>
        <v>24.352777777777778</v>
      </c>
      <c r="AY137" s="312">
        <f t="shared" si="846"/>
        <v>24.852777777777778</v>
      </c>
      <c r="AZ137" s="312">
        <f t="shared" si="846"/>
        <v>25.35</v>
      </c>
      <c r="BA137" s="312">
        <f t="shared" si="846"/>
        <v>25.852777777777778</v>
      </c>
      <c r="BB137" s="312">
        <f t="shared" si="846"/>
        <v>26.35</v>
      </c>
      <c r="BC137" s="312">
        <f t="shared" si="846"/>
        <v>26.852777777777778</v>
      </c>
      <c r="BD137" s="312">
        <f t="shared" si="846"/>
        <v>27.35</v>
      </c>
      <c r="BE137" s="312">
        <f t="shared" si="846"/>
        <v>27.852777777777778</v>
      </c>
      <c r="BF137" s="312">
        <f t="shared" si="846"/>
        <v>28.35</v>
      </c>
      <c r="BG137" s="312">
        <f t="shared" si="846"/>
        <v>28.85</v>
      </c>
      <c r="BH137" s="312">
        <f t="shared" si="846"/>
        <v>29.347222222222221</v>
      </c>
      <c r="BI137" s="312">
        <f t="shared" si="846"/>
        <v>29.85</v>
      </c>
      <c r="BJ137" s="312">
        <f t="shared" si="846"/>
        <v>30.347222222222221</v>
      </c>
      <c r="BK137" s="312">
        <f t="shared" si="846"/>
        <v>30.85</v>
      </c>
      <c r="BL137" s="312">
        <f t="shared" si="846"/>
        <v>31.347222222222221</v>
      </c>
      <c r="BM137" s="312">
        <f t="shared" si="846"/>
        <v>31.85</v>
      </c>
      <c r="BN137" s="312">
        <f t="shared" si="846"/>
        <v>32.347222222222221</v>
      </c>
      <c r="BO137" s="312">
        <f t="shared" ref="BO137:CB137" si="847">BO136/360</f>
        <v>32.847222222222221</v>
      </c>
      <c r="BP137" s="312">
        <f t="shared" si="847"/>
        <v>33.344444444444441</v>
      </c>
      <c r="BQ137" s="312">
        <f t="shared" si="847"/>
        <v>33.847222222222221</v>
      </c>
      <c r="BR137" s="312">
        <f t="shared" si="847"/>
        <v>34.344444444444441</v>
      </c>
      <c r="BS137" s="312">
        <f t="shared" si="847"/>
        <v>34.847222222222221</v>
      </c>
      <c r="BT137" s="312">
        <f t="shared" si="847"/>
        <v>35.344444444444441</v>
      </c>
      <c r="BU137" s="312">
        <f t="shared" si="847"/>
        <v>35.847222222222221</v>
      </c>
      <c r="BV137" s="312">
        <f t="shared" si="847"/>
        <v>36.344444444444441</v>
      </c>
      <c r="BW137" s="312">
        <f t="shared" si="847"/>
        <v>36.844444444444441</v>
      </c>
      <c r="BX137" s="312">
        <f t="shared" si="847"/>
        <v>37.341666666666669</v>
      </c>
      <c r="BY137" s="312">
        <f t="shared" si="847"/>
        <v>37.844444444444441</v>
      </c>
      <c r="BZ137" s="312">
        <f t="shared" si="847"/>
        <v>38.341666666666669</v>
      </c>
      <c r="CA137" s="312">
        <f t="shared" si="847"/>
        <v>38.844444444444441</v>
      </c>
      <c r="CB137" s="312">
        <f t="shared" si="847"/>
        <v>39.341666666666669</v>
      </c>
    </row>
    <row r="138" spans="1:80">
      <c r="A138" s="311" t="s">
        <v>43</v>
      </c>
      <c r="B138" s="312">
        <f>IF(B136&lt;0,0,$B$5+$B$6*((1-EXP(-B137/$B$9))/(B137/$B$9))+$B$7*((1-EXP(-B137/$B$9))/(B137/$B$9)-EXP(-B137/$B$9))+$B$8*((1-EXP(-B137/$B$10))/(B137/$B$10)-EXP(-B137/$B$10)))</f>
        <v>1.7494035859913069E-2</v>
      </c>
      <c r="C138" s="312">
        <f t="shared" ref="C138:BN138" si="848">IF(C136&lt;0,0,$B$5+$B$6*((1-EXP(-C137/$B$9))/(C137/$B$9))+$B$7*((1-EXP(-C137/$B$9))/(C137/$B$9)-EXP(-C137/$B$9))+$B$8*((1-EXP(-C137/$B$10))/(C137/$B$10)-EXP(-C137/$B$10)))</f>
        <v>1.7534452551026574E-2</v>
      </c>
      <c r="D138" s="312">
        <f t="shared" si="848"/>
        <v>1.7589680797807102E-2</v>
      </c>
      <c r="E138" s="312">
        <f t="shared" si="848"/>
        <v>1.7659717098585284E-2</v>
      </c>
      <c r="F138" s="312">
        <f t="shared" si="848"/>
        <v>1.7742025104683146E-2</v>
      </c>
      <c r="G138" s="312">
        <f t="shared" si="848"/>
        <v>1.7837492577305103E-2</v>
      </c>
      <c r="H138" s="312">
        <f t="shared" si="848"/>
        <v>1.7943121038026116E-2</v>
      </c>
      <c r="I138" s="312">
        <f t="shared" si="848"/>
        <v>1.8060416313741751E-2</v>
      </c>
      <c r="J138" s="312">
        <f t="shared" si="848"/>
        <v>1.8185988839614364E-2</v>
      </c>
      <c r="K138" s="312">
        <f t="shared" si="848"/>
        <v>1.8321104603581745E-2</v>
      </c>
      <c r="L138" s="312">
        <f t="shared" si="848"/>
        <v>1.8463551428609309E-2</v>
      </c>
      <c r="M138" s="312">
        <f t="shared" si="848"/>
        <v>1.8615100395966366E-2</v>
      </c>
      <c r="N138" s="312">
        <f t="shared" si="848"/>
        <v>1.8771763991778823E-2</v>
      </c>
      <c r="O138" s="312">
        <f t="shared" si="848"/>
        <v>1.8936431084106975E-2</v>
      </c>
      <c r="P138" s="312">
        <f t="shared" si="848"/>
        <v>1.9104893355776725E-2</v>
      </c>
      <c r="Q138" s="312">
        <f t="shared" si="848"/>
        <v>1.9280370193487245E-2</v>
      </c>
      <c r="R138" s="312">
        <f t="shared" si="848"/>
        <v>1.9458477173729893E-2</v>
      </c>
      <c r="S138" s="312">
        <f t="shared" si="848"/>
        <v>1.9641681476117168E-2</v>
      </c>
      <c r="T138" s="312">
        <f t="shared" si="848"/>
        <v>1.982749998245753E-2</v>
      </c>
      <c r="U138" s="312">
        <f t="shared" si="848"/>
        <v>2.0018648783305837E-2</v>
      </c>
      <c r="V138" s="312">
        <f t="shared" si="848"/>
        <v>2.0210505543667434E-2</v>
      </c>
      <c r="W138" s="312">
        <f t="shared" si="848"/>
        <v>2.040697786712542E-2</v>
      </c>
      <c r="X138" s="312">
        <f t="shared" si="848"/>
        <v>2.0603372470135939E-2</v>
      </c>
      <c r="Y138" s="312">
        <f t="shared" si="848"/>
        <v>2.0803743415670262E-2</v>
      </c>
      <c r="Z138" s="312">
        <f t="shared" si="848"/>
        <v>2.1003353447785145E-2</v>
      </c>
      <c r="AA138" s="312">
        <f t="shared" si="848"/>
        <v>2.1205244785368949E-2</v>
      </c>
      <c r="AB138" s="312">
        <f t="shared" si="848"/>
        <v>2.1406904279599515E-2</v>
      </c>
      <c r="AC138" s="312">
        <f t="shared" si="848"/>
        <v>2.1611462265007764E-2</v>
      </c>
      <c r="AD138" s="312">
        <f t="shared" si="848"/>
        <v>2.181416118767493E-2</v>
      </c>
      <c r="AE138" s="312">
        <f t="shared" si="848"/>
        <v>2.2019306223084734E-2</v>
      </c>
      <c r="AF138" s="312">
        <f t="shared" si="848"/>
        <v>2.2222157673019105E-2</v>
      </c>
      <c r="AG138" s="312">
        <f t="shared" si="848"/>
        <v>2.2427053775746053E-2</v>
      </c>
      <c r="AH138" s="312">
        <f t="shared" si="848"/>
        <v>2.2629288014615889E-2</v>
      </c>
      <c r="AI138" s="312">
        <f t="shared" si="848"/>
        <v>2.2832086657489536E-2</v>
      </c>
      <c r="AJ138" s="312">
        <f t="shared" si="848"/>
        <v>2.3033043451220925E-2</v>
      </c>
      <c r="AK138" s="312">
        <f t="shared" si="848"/>
        <v>2.3235376273018304E-2</v>
      </c>
      <c r="AL138" s="312">
        <f t="shared" si="848"/>
        <v>2.3434482210699992E-2</v>
      </c>
      <c r="AM138" s="312">
        <f t="shared" si="848"/>
        <v>2.3634687482069483E-2</v>
      </c>
      <c r="AN138" s="312">
        <f t="shared" si="848"/>
        <v>2.3831456032201048E-2</v>
      </c>
      <c r="AO138" s="312">
        <f t="shared" si="848"/>
        <v>2.4029080864188257E-2</v>
      </c>
      <c r="AP138" s="312">
        <f t="shared" si="848"/>
        <v>2.4223100637882744E-2</v>
      </c>
      <c r="AQ138" s="312">
        <f t="shared" si="848"/>
        <v>2.4416692742404711E-2</v>
      </c>
      <c r="AR138" s="312">
        <f t="shared" si="848"/>
        <v>2.460762829464741E-2</v>
      </c>
      <c r="AS138" s="312">
        <f t="shared" si="848"/>
        <v>2.479902208552015E-2</v>
      </c>
      <c r="AT138" s="312">
        <f t="shared" si="848"/>
        <v>2.4986580154964966E-2</v>
      </c>
      <c r="AU138" s="312">
        <f t="shared" si="848"/>
        <v>2.5174434999163053E-2</v>
      </c>
      <c r="AV138" s="312">
        <f t="shared" si="848"/>
        <v>2.5358383251115835E-2</v>
      </c>
      <c r="AW138" s="312">
        <f t="shared" si="848"/>
        <v>2.5542488560203136E-2</v>
      </c>
      <c r="AX138" s="312">
        <f t="shared" si="848"/>
        <v>2.5722641366182575E-2</v>
      </c>
      <c r="AY138" s="312">
        <f t="shared" si="848"/>
        <v>2.5901840932052334E-2</v>
      </c>
      <c r="AZ138" s="312">
        <f t="shared" si="848"/>
        <v>2.6078064994934369E-2</v>
      </c>
      <c r="BA138" s="312">
        <f t="shared" si="848"/>
        <v>2.6254223111295327E-2</v>
      </c>
      <c r="BB138" s="312">
        <f t="shared" si="848"/>
        <v>2.6426399449294147E-2</v>
      </c>
      <c r="BC138" s="312">
        <f t="shared" si="848"/>
        <v>2.6598422244731523E-2</v>
      </c>
      <c r="BD138" s="312">
        <f t="shared" si="848"/>
        <v>2.6766474481668773E-2</v>
      </c>
      <c r="BE138" s="312">
        <f t="shared" si="848"/>
        <v>2.6934299283410179E-2</v>
      </c>
      <c r="BF138" s="312">
        <f t="shared" si="848"/>
        <v>2.7098178890431229E-2</v>
      </c>
      <c r="BG138" s="312">
        <f t="shared" si="848"/>
        <v>2.7260871370943823E-2</v>
      </c>
      <c r="BH138" s="312">
        <f t="shared" si="848"/>
        <v>2.7420565750746528E-2</v>
      </c>
      <c r="BI138" s="312">
        <f t="shared" si="848"/>
        <v>2.7579920093619675E-2</v>
      </c>
      <c r="BJ138" s="312">
        <f t="shared" si="848"/>
        <v>2.7735414333675212E-2</v>
      </c>
      <c r="BK138" s="312">
        <f t="shared" si="848"/>
        <v>2.7890527016338734E-2</v>
      </c>
      <c r="BL138" s="312">
        <f t="shared" si="848"/>
        <v>2.8041836015468419E-2</v>
      </c>
      <c r="BM138" s="312">
        <f t="shared" si="848"/>
        <v>2.8192730299653523E-2</v>
      </c>
      <c r="BN138" s="312">
        <f t="shared" si="848"/>
        <v>2.8339884563011508E-2</v>
      </c>
      <c r="BO138" s="312">
        <f t="shared" ref="BO138:CB138" si="849">IF(BO136&lt;0,0,$B$5+$B$6*((1-EXP(-BO137/$B$9))/(BO137/$B$9))+$B$7*((1-EXP(-BO137/$B$9))/(BO137/$B$9)-EXP(-BO137/$B$9))+$B$8*((1-EXP(-BO137/$B$10))/(BO137/$B$10)-EXP(-BO137/$B$10)))</f>
        <v>2.8485793462082049E-2</v>
      </c>
      <c r="BP138" s="312">
        <f t="shared" si="849"/>
        <v>2.8628848156471903E-2</v>
      </c>
      <c r="BQ138" s="312">
        <f t="shared" si="849"/>
        <v>2.8771442988122786E-2</v>
      </c>
      <c r="BR138" s="312">
        <f t="shared" si="849"/>
        <v>2.8910441691096161E-2</v>
      </c>
      <c r="BS138" s="312">
        <f t="shared" si="849"/>
        <v>2.9048966749366079E-2</v>
      </c>
      <c r="BT138" s="312">
        <f t="shared" si="849"/>
        <v>2.9183973988521211E-2</v>
      </c>
      <c r="BU138" s="312">
        <f t="shared" si="849"/>
        <v>2.9318498684285488E-2</v>
      </c>
      <c r="BV138" s="312">
        <f t="shared" si="849"/>
        <v>2.9449586842300507E-2</v>
      </c>
      <c r="BW138" s="312">
        <f t="shared" si="849"/>
        <v>2.9579471589338935E-2</v>
      </c>
      <c r="BX138" s="312">
        <f t="shared" si="849"/>
        <v>2.9706730033158574E-2</v>
      </c>
      <c r="BY138" s="312">
        <f t="shared" si="849"/>
        <v>2.9833500237512495E-2</v>
      </c>
      <c r="BZ138" s="312">
        <f t="shared" si="849"/>
        <v>2.9957002161933532E-2</v>
      </c>
      <c r="CA138" s="312">
        <f t="shared" si="849"/>
        <v>3.0080017939380144E-2</v>
      </c>
      <c r="CB138" s="312">
        <f t="shared" si="849"/>
        <v>3.0199851388160365E-2</v>
      </c>
    </row>
    <row r="139" spans="1:80">
      <c r="A139" s="311" t="s">
        <v>44</v>
      </c>
      <c r="B139" s="312">
        <f>EXP(-B138*B137)</f>
        <v>0.99355776638313631</v>
      </c>
      <c r="C139" s="312">
        <f t="shared" ref="C139:AR139" si="850">EXP(-C138*C137)</f>
        <v>0.9848703878996955</v>
      </c>
      <c r="D139" s="312">
        <f t="shared" si="850"/>
        <v>0.97624741040714758</v>
      </c>
      <c r="E139" s="312">
        <f t="shared" si="850"/>
        <v>0.96752514957777958</v>
      </c>
      <c r="F139" s="312">
        <f t="shared" si="850"/>
        <v>0.95887988767473709</v>
      </c>
      <c r="G139" s="312">
        <f t="shared" si="850"/>
        <v>0.95010412609437123</v>
      </c>
      <c r="H139" s="312">
        <f t="shared" si="850"/>
        <v>0.94137989428341584</v>
      </c>
      <c r="I139" s="312">
        <f t="shared" si="850"/>
        <v>0.93250219127929346</v>
      </c>
      <c r="J139" s="312">
        <f t="shared" si="850"/>
        <v>0.92365915869203385</v>
      </c>
      <c r="K139" s="312">
        <f t="shared" si="850"/>
        <v>0.91469673201054735</v>
      </c>
      <c r="L139" s="312">
        <f t="shared" si="850"/>
        <v>0.90570970484838431</v>
      </c>
      <c r="M139" s="312">
        <f t="shared" si="850"/>
        <v>0.89654338891317364</v>
      </c>
      <c r="N139" s="312">
        <f t="shared" si="850"/>
        <v>0.88739824272363232</v>
      </c>
      <c r="O139" s="312">
        <f t="shared" si="850"/>
        <v>0.87806894786438017</v>
      </c>
      <c r="P139" s="312">
        <f t="shared" si="850"/>
        <v>0.86876178918874192</v>
      </c>
      <c r="Q139" s="312">
        <f t="shared" si="850"/>
        <v>0.85926986413918938</v>
      </c>
      <c r="R139" s="312">
        <f t="shared" si="850"/>
        <v>0.84980485260416327</v>
      </c>
      <c r="S139" s="312">
        <f t="shared" si="850"/>
        <v>0.84021145876909653</v>
      </c>
      <c r="T139" s="312">
        <f t="shared" si="850"/>
        <v>0.83059959914767389</v>
      </c>
      <c r="U139" s="312">
        <f t="shared" si="850"/>
        <v>0.82081155469749645</v>
      </c>
      <c r="V139" s="312">
        <f t="shared" si="850"/>
        <v>0.81106807115474555</v>
      </c>
      <c r="W139" s="312">
        <f t="shared" si="850"/>
        <v>0.80115636389763678</v>
      </c>
      <c r="X139" s="312">
        <f t="shared" si="850"/>
        <v>0.79130072203797275</v>
      </c>
      <c r="Y139" s="312">
        <f t="shared" si="850"/>
        <v>0.7812865458352718</v>
      </c>
      <c r="Z139" s="312">
        <f t="shared" si="850"/>
        <v>0.77134094968797906</v>
      </c>
      <c r="AA139" s="312">
        <f t="shared" si="850"/>
        <v>0.76130363243516019</v>
      </c>
      <c r="AB139" s="312">
        <f t="shared" si="850"/>
        <v>0.75129224407364981</v>
      </c>
      <c r="AC139" s="312">
        <f t="shared" si="850"/>
        <v>0.74114508270352386</v>
      </c>
      <c r="AD139" s="312">
        <f t="shared" si="850"/>
        <v>0.73109271240459339</v>
      </c>
      <c r="AE139" s="312">
        <f t="shared" si="850"/>
        <v>0.7209169350055401</v>
      </c>
      <c r="AF139" s="312">
        <f t="shared" si="850"/>
        <v>0.71084896000752851</v>
      </c>
      <c r="AG139" s="312">
        <f t="shared" si="850"/>
        <v>0.70067018709206297</v>
      </c>
      <c r="AH139" s="312">
        <f t="shared" si="850"/>
        <v>0.69061178007015767</v>
      </c>
      <c r="AI139" s="312">
        <f t="shared" si="850"/>
        <v>0.68051124829733622</v>
      </c>
      <c r="AJ139" s="312">
        <f t="shared" si="850"/>
        <v>0.67048679867504868</v>
      </c>
      <c r="AK139" s="312">
        <f t="shared" si="850"/>
        <v>0.66037653794164752</v>
      </c>
      <c r="AL139" s="312">
        <f t="shared" si="850"/>
        <v>0.6504096133826216</v>
      </c>
      <c r="AM139" s="312">
        <f t="shared" si="850"/>
        <v>0.6403689305268131</v>
      </c>
      <c r="AN139" s="312">
        <f t="shared" si="850"/>
        <v>0.63048174878730701</v>
      </c>
      <c r="AO139" s="312">
        <f t="shared" si="850"/>
        <v>0.62053237657560589</v>
      </c>
      <c r="AP139" s="312">
        <f t="shared" si="850"/>
        <v>0.61074566251901541</v>
      </c>
      <c r="AQ139" s="312">
        <f t="shared" si="850"/>
        <v>0.60096192934319526</v>
      </c>
      <c r="AR139" s="312">
        <f t="shared" si="850"/>
        <v>0.59129441670070215</v>
      </c>
      <c r="AS139" s="312">
        <f>EXP(-AS138*AS137)</f>
        <v>0.58158601143737676</v>
      </c>
      <c r="AT139" s="312">
        <f t="shared" ref="AT139:CA139" si="851">EXP(-AT138*AT137)</f>
        <v>0.57205538027260416</v>
      </c>
      <c r="AU139" s="312">
        <f t="shared" si="851"/>
        <v>0.56249350158780109</v>
      </c>
      <c r="AV139" s="312">
        <f t="shared" si="851"/>
        <v>0.55311536152293361</v>
      </c>
      <c r="AW139" s="312">
        <f t="shared" si="851"/>
        <v>0.54371489755973423</v>
      </c>
      <c r="AX139" s="312">
        <f t="shared" si="851"/>
        <v>0.53450308913506384</v>
      </c>
      <c r="AY139" s="312">
        <f t="shared" si="851"/>
        <v>0.52532787016445281</v>
      </c>
      <c r="AZ139" s="312">
        <f t="shared" si="851"/>
        <v>0.51629397970601532</v>
      </c>
      <c r="BA139" s="312">
        <f t="shared" si="851"/>
        <v>0.50725340084452386</v>
      </c>
      <c r="BB139" s="312">
        <f t="shared" si="851"/>
        <v>0.49840831638174787</v>
      </c>
      <c r="BC139" s="312">
        <f t="shared" si="851"/>
        <v>0.48956329410891269</v>
      </c>
      <c r="BD139" s="312">
        <f t="shared" si="851"/>
        <v>0.4809157995677395</v>
      </c>
      <c r="BE139" s="312">
        <f t="shared" si="851"/>
        <v>0.4722744254297524</v>
      </c>
      <c r="BF139" s="312">
        <f t="shared" si="851"/>
        <v>0.46383176332536091</v>
      </c>
      <c r="BG139" s="312">
        <f t="shared" si="851"/>
        <v>0.45544690237647967</v>
      </c>
      <c r="BH139" s="312">
        <f t="shared" si="851"/>
        <v>0.44721427511793294</v>
      </c>
      <c r="BI139" s="312">
        <f t="shared" si="851"/>
        <v>0.43899791524330178</v>
      </c>
      <c r="BJ139" s="312">
        <f t="shared" si="851"/>
        <v>0.43098034972227744</v>
      </c>
      <c r="BK139" s="312">
        <f t="shared" si="851"/>
        <v>0.42298322477944761</v>
      </c>
      <c r="BL139" s="312">
        <f t="shared" si="851"/>
        <v>0.41518392461191095</v>
      </c>
      <c r="BM139" s="312">
        <f t="shared" si="851"/>
        <v>0.40740868388281198</v>
      </c>
      <c r="BN139" s="312">
        <f t="shared" si="851"/>
        <v>0.39982971152291635</v>
      </c>
      <c r="BO139" s="312">
        <f t="shared" si="851"/>
        <v>0.39231931644145562</v>
      </c>
      <c r="BP139" s="312">
        <f t="shared" si="851"/>
        <v>0.38496108148270108</v>
      </c>
      <c r="BQ139" s="312">
        <f t="shared" si="851"/>
        <v>0.37763263369187949</v>
      </c>
      <c r="BR139" s="312">
        <f t="shared" si="851"/>
        <v>0.37049584142826281</v>
      </c>
      <c r="BS139" s="312">
        <f t="shared" si="851"/>
        <v>0.36339103262655759</v>
      </c>
      <c r="BT139" s="312">
        <f t="shared" si="851"/>
        <v>0.35647493601579272</v>
      </c>
      <c r="BU139" s="312">
        <f t="shared" si="851"/>
        <v>0.349592622693918</v>
      </c>
      <c r="BV139" s="312">
        <f t="shared" si="851"/>
        <v>0.34289572975964877</v>
      </c>
      <c r="BW139" s="312">
        <f t="shared" si="851"/>
        <v>0.33627056244957387</v>
      </c>
      <c r="BX139" s="312">
        <f t="shared" si="851"/>
        <v>0.32979012534277874</v>
      </c>
      <c r="BY139" s="312">
        <f t="shared" si="851"/>
        <v>0.32334602565445208</v>
      </c>
      <c r="BZ139" s="312">
        <f t="shared" si="851"/>
        <v>0.31707993017509595</v>
      </c>
      <c r="CA139" s="312">
        <f t="shared" si="851"/>
        <v>0.31085099861737719</v>
      </c>
      <c r="CB139" s="312">
        <f>EXP(-CB138*CB137)</f>
        <v>0.3047960280166857</v>
      </c>
    </row>
    <row r="141" spans="1:80">
      <c r="A141" s="311" t="s">
        <v>40</v>
      </c>
      <c r="B141" s="312">
        <f t="shared" ref="B141:AG141" si="852">DAYS360($B$3,B52)</f>
        <v>43</v>
      </c>
      <c r="C141" s="312">
        <f t="shared" si="852"/>
        <v>221</v>
      </c>
      <c r="D141" s="312">
        <f t="shared" si="852"/>
        <v>402</v>
      </c>
      <c r="E141" s="312">
        <f t="shared" si="852"/>
        <v>580</v>
      </c>
      <c r="F141" s="312">
        <f t="shared" si="852"/>
        <v>762</v>
      </c>
      <c r="G141" s="312">
        <f t="shared" si="852"/>
        <v>940</v>
      </c>
      <c r="H141" s="312">
        <f t="shared" si="852"/>
        <v>1122</v>
      </c>
      <c r="I141" s="312">
        <f t="shared" si="852"/>
        <v>1300</v>
      </c>
      <c r="J141" s="312">
        <f t="shared" si="852"/>
        <v>1482</v>
      </c>
      <c r="K141" s="312">
        <f t="shared" si="852"/>
        <v>1660</v>
      </c>
      <c r="L141" s="312">
        <f t="shared" si="852"/>
        <v>1841</v>
      </c>
      <c r="M141" s="312">
        <f t="shared" si="852"/>
        <v>2019</v>
      </c>
      <c r="N141" s="312">
        <f t="shared" si="852"/>
        <v>2201</v>
      </c>
      <c r="O141" s="312">
        <f t="shared" si="852"/>
        <v>2379</v>
      </c>
      <c r="P141" s="312">
        <f t="shared" si="852"/>
        <v>2561</v>
      </c>
      <c r="Q141" s="312">
        <f t="shared" si="852"/>
        <v>2739</v>
      </c>
      <c r="R141" s="312">
        <f t="shared" si="852"/>
        <v>2921</v>
      </c>
      <c r="S141" s="312">
        <f t="shared" si="852"/>
        <v>3099</v>
      </c>
      <c r="T141" s="312">
        <f t="shared" si="852"/>
        <v>3280</v>
      </c>
      <c r="U141" s="312">
        <f t="shared" si="852"/>
        <v>3458</v>
      </c>
      <c r="V141" s="312">
        <f t="shared" si="852"/>
        <v>3640</v>
      </c>
      <c r="W141" s="312">
        <f t="shared" si="852"/>
        <v>3818</v>
      </c>
      <c r="X141" s="312">
        <f t="shared" si="852"/>
        <v>4000</v>
      </c>
      <c r="Y141" s="312">
        <f t="shared" si="852"/>
        <v>4178</v>
      </c>
      <c r="Z141" s="312">
        <f t="shared" si="852"/>
        <v>4360</v>
      </c>
      <c r="AA141" s="312">
        <f t="shared" si="852"/>
        <v>4538</v>
      </c>
      <c r="AB141" s="312">
        <f t="shared" si="852"/>
        <v>4719</v>
      </c>
      <c r="AC141" s="312">
        <f t="shared" si="852"/>
        <v>4897</v>
      </c>
      <c r="AD141" s="312">
        <f t="shared" si="852"/>
        <v>5079</v>
      </c>
      <c r="AE141" s="312">
        <f t="shared" si="852"/>
        <v>5257</v>
      </c>
      <c r="AF141" s="312">
        <f t="shared" si="852"/>
        <v>5439</v>
      </c>
      <c r="AG141" s="312">
        <f t="shared" si="852"/>
        <v>5617</v>
      </c>
      <c r="AH141" s="312">
        <f t="shared" ref="AH141:BM141" si="853">DAYS360($B$3,AH52)</f>
        <v>5799</v>
      </c>
      <c r="AI141" s="312">
        <f t="shared" si="853"/>
        <v>5977</v>
      </c>
      <c r="AJ141" s="312">
        <f t="shared" si="853"/>
        <v>6158</v>
      </c>
      <c r="AK141" s="312">
        <f t="shared" si="853"/>
        <v>6336</v>
      </c>
      <c r="AL141" s="312">
        <f t="shared" si="853"/>
        <v>6518</v>
      </c>
      <c r="AM141" s="312">
        <f t="shared" si="853"/>
        <v>6696</v>
      </c>
      <c r="AN141" s="312">
        <f t="shared" si="853"/>
        <v>6878</v>
      </c>
      <c r="AO141" s="312">
        <f t="shared" si="853"/>
        <v>7056</v>
      </c>
      <c r="AP141" s="312">
        <f t="shared" si="853"/>
        <v>7238</v>
      </c>
      <c r="AQ141" s="312">
        <f t="shared" si="853"/>
        <v>7416</v>
      </c>
      <c r="AR141" s="312">
        <f t="shared" si="853"/>
        <v>7597</v>
      </c>
      <c r="AS141" s="312">
        <f t="shared" si="853"/>
        <v>7775</v>
      </c>
      <c r="AT141" s="312">
        <f t="shared" si="853"/>
        <v>7957</v>
      </c>
      <c r="AU141" s="312">
        <f t="shared" si="853"/>
        <v>8135</v>
      </c>
      <c r="AV141" s="312">
        <f t="shared" si="853"/>
        <v>8317</v>
      </c>
      <c r="AW141" s="312">
        <f t="shared" si="853"/>
        <v>8495</v>
      </c>
      <c r="AX141" s="312">
        <f t="shared" si="853"/>
        <v>8677</v>
      </c>
      <c r="AY141" s="312">
        <f t="shared" si="853"/>
        <v>8855</v>
      </c>
      <c r="AZ141" s="312">
        <f t="shared" si="853"/>
        <v>9036</v>
      </c>
      <c r="BA141" s="312">
        <f t="shared" si="853"/>
        <v>9214</v>
      </c>
      <c r="BB141" s="312">
        <f t="shared" si="853"/>
        <v>9396</v>
      </c>
      <c r="BC141" s="312">
        <f t="shared" si="853"/>
        <v>9574</v>
      </c>
      <c r="BD141" s="312">
        <f t="shared" si="853"/>
        <v>9756</v>
      </c>
      <c r="BE141" s="312">
        <f t="shared" si="853"/>
        <v>9934</v>
      </c>
      <c r="BF141" s="312">
        <f t="shared" si="853"/>
        <v>10116</v>
      </c>
      <c r="BG141" s="312">
        <f t="shared" si="853"/>
        <v>10294</v>
      </c>
      <c r="BH141" s="312">
        <f t="shared" si="853"/>
        <v>10475</v>
      </c>
      <c r="BI141" s="312">
        <f t="shared" si="853"/>
        <v>10653</v>
      </c>
      <c r="BJ141" s="312">
        <f t="shared" si="853"/>
        <v>10835</v>
      </c>
      <c r="BK141" s="312">
        <f t="shared" si="853"/>
        <v>11013</v>
      </c>
      <c r="BL141" s="312">
        <f t="shared" si="853"/>
        <v>11195</v>
      </c>
      <c r="BM141" s="312">
        <f t="shared" si="853"/>
        <v>11373</v>
      </c>
      <c r="BN141" s="312">
        <f t="shared" ref="BN141:CB141" si="854">DAYS360($B$3,BN52)</f>
        <v>11555</v>
      </c>
      <c r="BO141" s="312">
        <f t="shared" si="854"/>
        <v>11733</v>
      </c>
      <c r="BP141" s="312">
        <f t="shared" si="854"/>
        <v>11914</v>
      </c>
      <c r="BQ141" s="312">
        <f t="shared" si="854"/>
        <v>12092</v>
      </c>
      <c r="BR141" s="312">
        <f t="shared" si="854"/>
        <v>12274</v>
      </c>
      <c r="BS141" s="312">
        <f t="shared" si="854"/>
        <v>12452</v>
      </c>
      <c r="BT141" s="312">
        <f t="shared" si="854"/>
        <v>12634</v>
      </c>
      <c r="BU141" s="312">
        <f t="shared" si="854"/>
        <v>12812</v>
      </c>
      <c r="BV141" s="312">
        <f t="shared" si="854"/>
        <v>12994</v>
      </c>
      <c r="BW141" s="312">
        <f t="shared" si="854"/>
        <v>13172</v>
      </c>
      <c r="BX141" s="312">
        <f t="shared" si="854"/>
        <v>13353</v>
      </c>
      <c r="BY141" s="312">
        <f t="shared" si="854"/>
        <v>13531</v>
      </c>
      <c r="BZ141" s="312">
        <f t="shared" si="854"/>
        <v>13713</v>
      </c>
      <c r="CA141" s="312">
        <f t="shared" si="854"/>
        <v>13891</v>
      </c>
      <c r="CB141" s="312">
        <f t="shared" si="854"/>
        <v>14073</v>
      </c>
    </row>
    <row r="142" spans="1:80">
      <c r="A142" s="311" t="s">
        <v>41</v>
      </c>
      <c r="B142" s="312">
        <f>B141/360</f>
        <v>0.11944444444444445</v>
      </c>
      <c r="C142" s="312">
        <f t="shared" ref="C142:BN142" si="855">C141/360</f>
        <v>0.61388888888888893</v>
      </c>
      <c r="D142" s="312">
        <f t="shared" si="855"/>
        <v>1.1166666666666667</v>
      </c>
      <c r="E142" s="312">
        <f t="shared" si="855"/>
        <v>1.6111111111111112</v>
      </c>
      <c r="F142" s="312">
        <f t="shared" si="855"/>
        <v>2.1166666666666667</v>
      </c>
      <c r="G142" s="312">
        <f t="shared" si="855"/>
        <v>2.6111111111111112</v>
      </c>
      <c r="H142" s="312">
        <f t="shared" si="855"/>
        <v>3.1166666666666667</v>
      </c>
      <c r="I142" s="312">
        <f t="shared" si="855"/>
        <v>3.6111111111111112</v>
      </c>
      <c r="J142" s="312">
        <f t="shared" si="855"/>
        <v>4.1166666666666663</v>
      </c>
      <c r="K142" s="312">
        <f t="shared" si="855"/>
        <v>4.6111111111111107</v>
      </c>
      <c r="L142" s="312">
        <f t="shared" si="855"/>
        <v>5.1138888888888889</v>
      </c>
      <c r="M142" s="312">
        <f t="shared" si="855"/>
        <v>5.6083333333333334</v>
      </c>
      <c r="N142" s="312">
        <f t="shared" si="855"/>
        <v>6.1138888888888889</v>
      </c>
      <c r="O142" s="312">
        <f t="shared" si="855"/>
        <v>6.6083333333333334</v>
      </c>
      <c r="P142" s="312">
        <f t="shared" si="855"/>
        <v>7.1138888888888889</v>
      </c>
      <c r="Q142" s="312">
        <f t="shared" si="855"/>
        <v>7.6083333333333334</v>
      </c>
      <c r="R142" s="312">
        <f t="shared" si="855"/>
        <v>8.1138888888888889</v>
      </c>
      <c r="S142" s="312">
        <f t="shared" si="855"/>
        <v>8.6083333333333325</v>
      </c>
      <c r="T142" s="312">
        <f t="shared" si="855"/>
        <v>9.1111111111111107</v>
      </c>
      <c r="U142" s="312">
        <f t="shared" si="855"/>
        <v>9.6055555555555561</v>
      </c>
      <c r="V142" s="312">
        <f t="shared" si="855"/>
        <v>10.111111111111111</v>
      </c>
      <c r="W142" s="312">
        <f t="shared" si="855"/>
        <v>10.605555555555556</v>
      </c>
      <c r="X142" s="312">
        <f t="shared" si="855"/>
        <v>11.111111111111111</v>
      </c>
      <c r="Y142" s="312">
        <f t="shared" si="855"/>
        <v>11.605555555555556</v>
      </c>
      <c r="Z142" s="312">
        <f t="shared" si="855"/>
        <v>12.111111111111111</v>
      </c>
      <c r="AA142" s="312">
        <f t="shared" si="855"/>
        <v>12.605555555555556</v>
      </c>
      <c r="AB142" s="312">
        <f t="shared" si="855"/>
        <v>13.108333333333333</v>
      </c>
      <c r="AC142" s="312">
        <f t="shared" si="855"/>
        <v>13.602777777777778</v>
      </c>
      <c r="AD142" s="312">
        <f t="shared" si="855"/>
        <v>14.108333333333333</v>
      </c>
      <c r="AE142" s="312">
        <f t="shared" si="855"/>
        <v>14.602777777777778</v>
      </c>
      <c r="AF142" s="312">
        <f t="shared" si="855"/>
        <v>15.108333333333333</v>
      </c>
      <c r="AG142" s="312">
        <f t="shared" si="855"/>
        <v>15.602777777777778</v>
      </c>
      <c r="AH142" s="312">
        <f t="shared" si="855"/>
        <v>16.108333333333334</v>
      </c>
      <c r="AI142" s="312">
        <f t="shared" si="855"/>
        <v>16.602777777777778</v>
      </c>
      <c r="AJ142" s="312">
        <f t="shared" si="855"/>
        <v>17.105555555555554</v>
      </c>
      <c r="AK142" s="312">
        <f t="shared" si="855"/>
        <v>17.600000000000001</v>
      </c>
      <c r="AL142" s="312">
        <f t="shared" si="855"/>
        <v>18.105555555555554</v>
      </c>
      <c r="AM142" s="312">
        <f t="shared" si="855"/>
        <v>18.600000000000001</v>
      </c>
      <c r="AN142" s="312">
        <f t="shared" si="855"/>
        <v>19.105555555555554</v>
      </c>
      <c r="AO142" s="312">
        <f t="shared" si="855"/>
        <v>19.600000000000001</v>
      </c>
      <c r="AP142" s="312">
        <f t="shared" si="855"/>
        <v>20.105555555555554</v>
      </c>
      <c r="AQ142" s="312">
        <f t="shared" si="855"/>
        <v>20.6</v>
      </c>
      <c r="AR142" s="312">
        <f t="shared" si="855"/>
        <v>21.102777777777778</v>
      </c>
      <c r="AS142" s="312">
        <f t="shared" si="855"/>
        <v>21.597222222222221</v>
      </c>
      <c r="AT142" s="312">
        <f t="shared" si="855"/>
        <v>22.102777777777778</v>
      </c>
      <c r="AU142" s="312">
        <f t="shared" si="855"/>
        <v>22.597222222222221</v>
      </c>
      <c r="AV142" s="312">
        <f t="shared" si="855"/>
        <v>23.102777777777778</v>
      </c>
      <c r="AW142" s="312">
        <f t="shared" si="855"/>
        <v>23.597222222222221</v>
      </c>
      <c r="AX142" s="312">
        <f t="shared" si="855"/>
        <v>24.102777777777778</v>
      </c>
      <c r="AY142" s="312">
        <f t="shared" si="855"/>
        <v>24.597222222222221</v>
      </c>
      <c r="AZ142" s="312">
        <f t="shared" si="855"/>
        <v>25.1</v>
      </c>
      <c r="BA142" s="312">
        <f t="shared" si="855"/>
        <v>25.594444444444445</v>
      </c>
      <c r="BB142" s="312">
        <f t="shared" si="855"/>
        <v>26.1</v>
      </c>
      <c r="BC142" s="312">
        <f t="shared" si="855"/>
        <v>26.594444444444445</v>
      </c>
      <c r="BD142" s="312">
        <f t="shared" si="855"/>
        <v>27.1</v>
      </c>
      <c r="BE142" s="312">
        <f t="shared" si="855"/>
        <v>27.594444444444445</v>
      </c>
      <c r="BF142" s="312">
        <f t="shared" si="855"/>
        <v>28.1</v>
      </c>
      <c r="BG142" s="312">
        <f t="shared" si="855"/>
        <v>28.594444444444445</v>
      </c>
      <c r="BH142" s="312">
        <f t="shared" si="855"/>
        <v>29.097222222222221</v>
      </c>
      <c r="BI142" s="312">
        <f t="shared" si="855"/>
        <v>29.591666666666665</v>
      </c>
      <c r="BJ142" s="312">
        <f t="shared" si="855"/>
        <v>30.097222222222221</v>
      </c>
      <c r="BK142" s="312">
        <f t="shared" si="855"/>
        <v>30.591666666666665</v>
      </c>
      <c r="BL142" s="312">
        <f t="shared" si="855"/>
        <v>31.097222222222221</v>
      </c>
      <c r="BM142" s="312">
        <f t="shared" si="855"/>
        <v>31.591666666666665</v>
      </c>
      <c r="BN142" s="312">
        <f t="shared" si="855"/>
        <v>32.097222222222221</v>
      </c>
      <c r="BO142" s="312">
        <f t="shared" ref="BO142:CB142" si="856">BO141/360</f>
        <v>32.591666666666669</v>
      </c>
      <c r="BP142" s="312">
        <f t="shared" si="856"/>
        <v>33.094444444444441</v>
      </c>
      <c r="BQ142" s="312">
        <f t="shared" si="856"/>
        <v>33.588888888888889</v>
      </c>
      <c r="BR142" s="312">
        <f t="shared" si="856"/>
        <v>34.094444444444441</v>
      </c>
      <c r="BS142" s="312">
        <f t="shared" si="856"/>
        <v>34.588888888888889</v>
      </c>
      <c r="BT142" s="312">
        <f t="shared" si="856"/>
        <v>35.094444444444441</v>
      </c>
      <c r="BU142" s="312">
        <f t="shared" si="856"/>
        <v>35.588888888888889</v>
      </c>
      <c r="BV142" s="312">
        <f t="shared" si="856"/>
        <v>36.094444444444441</v>
      </c>
      <c r="BW142" s="312">
        <f t="shared" si="856"/>
        <v>36.588888888888889</v>
      </c>
      <c r="BX142" s="312">
        <f t="shared" si="856"/>
        <v>37.091666666666669</v>
      </c>
      <c r="BY142" s="312">
        <f t="shared" si="856"/>
        <v>37.586111111111109</v>
      </c>
      <c r="BZ142" s="312">
        <f t="shared" si="856"/>
        <v>38.091666666666669</v>
      </c>
      <c r="CA142" s="312">
        <f t="shared" si="856"/>
        <v>38.586111111111109</v>
      </c>
      <c r="CB142" s="312">
        <f t="shared" si="856"/>
        <v>39.091666666666669</v>
      </c>
    </row>
    <row r="143" spans="1:80">
      <c r="A143" s="311" t="s">
        <v>43</v>
      </c>
      <c r="B143" s="312">
        <f>IF(B141&lt;0,0,$B$5+$B$6*((1-EXP(-B142/$B$9))/(B142/$B$9))+$B$7*((1-EXP(-B142/$B$9))/(B142/$B$9)-EXP(-B142/$B$9))+$B$8*((1-EXP(-B142/$B$10))/(B142/$B$10)-EXP(-B142/$B$10)))</f>
        <v>1.7479855880234312E-2</v>
      </c>
      <c r="C143" s="312">
        <f t="shared" ref="C143:BN143" si="857">IF(C141&lt;0,0,$B$5+$B$6*((1-EXP(-C142/$B$9))/(C142/$B$9))+$B$7*((1-EXP(-C142/$B$9))/(C142/$B$9)-EXP(-C142/$B$9))+$B$8*((1-EXP(-C142/$B$10))/(C142/$B$10)-EXP(-C142/$B$10)))</f>
        <v>1.7511832796269649E-2</v>
      </c>
      <c r="D143" s="312">
        <f t="shared" si="857"/>
        <v>1.7560104094283838E-2</v>
      </c>
      <c r="E143" s="312">
        <f t="shared" si="857"/>
        <v>1.7622012664277653E-2</v>
      </c>
      <c r="F143" s="312">
        <f t="shared" si="857"/>
        <v>1.7699079149213606E-2</v>
      </c>
      <c r="G143" s="312">
        <f t="shared" si="857"/>
        <v>1.7786959970177624E-2</v>
      </c>
      <c r="H143" s="312">
        <f t="shared" si="857"/>
        <v>1.7888671102463352E-2</v>
      </c>
      <c r="I143" s="312">
        <f t="shared" si="857"/>
        <v>1.7998882675334144E-2</v>
      </c>
      <c r="J143" s="312">
        <f t="shared" si="857"/>
        <v>1.8121709808022468E-2</v>
      </c>
      <c r="K143" s="312">
        <f t="shared" si="857"/>
        <v>1.8250983069438537E-2</v>
      </c>
      <c r="L143" s="312">
        <f t="shared" si="857"/>
        <v>1.8390965537032289E-2</v>
      </c>
      <c r="M143" s="312">
        <f t="shared" si="857"/>
        <v>1.8536330401057566E-2</v>
      </c>
      <c r="N143" s="312">
        <f t="shared" si="857"/>
        <v>1.8692189032365886E-2</v>
      </c>
      <c r="O143" s="312">
        <f t="shared" si="857"/>
        <v>1.8851074350991981E-2</v>
      </c>
      <c r="P143" s="312">
        <f t="shared" si="857"/>
        <v>1.9019527917276735E-2</v>
      </c>
      <c r="Q143" s="312">
        <f t="shared" si="857"/>
        <v>1.9189596025648181E-2</v>
      </c>
      <c r="R143" s="312">
        <f t="shared" si="857"/>
        <v>1.9368388616787857E-2</v>
      </c>
      <c r="S143" s="312">
        <f t="shared" si="857"/>
        <v>1.95475583739943E-2</v>
      </c>
      <c r="T143" s="312">
        <f t="shared" si="857"/>
        <v>1.9733645816066014E-2</v>
      </c>
      <c r="U143" s="312">
        <f t="shared" si="857"/>
        <v>1.9920051120210558E-2</v>
      </c>
      <c r="V143" s="312">
        <f t="shared" si="857"/>
        <v>2.0113714549130801E-2</v>
      </c>
      <c r="W143" s="312">
        <f t="shared" si="857"/>
        <v>2.0305740162430919E-2</v>
      </c>
      <c r="X143" s="312">
        <f t="shared" si="857"/>
        <v>2.0504387411195202E-2</v>
      </c>
      <c r="Y143" s="312">
        <f t="shared" si="857"/>
        <v>2.0700586499582396E-2</v>
      </c>
      <c r="Z143" s="312">
        <f t="shared" si="857"/>
        <v>2.090282871633925E-2</v>
      </c>
      <c r="AA143" s="312">
        <f t="shared" si="857"/>
        <v>2.110192707403874E-2</v>
      </c>
      <c r="AB143" s="312">
        <f t="shared" si="857"/>
        <v>2.1305416461488647E-2</v>
      </c>
      <c r="AC143" s="312">
        <f t="shared" si="857"/>
        <v>2.1506292127783211E-2</v>
      </c>
      <c r="AD143" s="312">
        <f t="shared" si="857"/>
        <v>2.1712209781331093E-2</v>
      </c>
      <c r="AE143" s="312">
        <f t="shared" si="857"/>
        <v>2.1913890750464404E-2</v>
      </c>
      <c r="AF143" s="312">
        <f t="shared" si="857"/>
        <v>2.2120180926384514E-2</v>
      </c>
      <c r="AG143" s="312">
        <f t="shared" si="857"/>
        <v>2.2321815067461892E-2</v>
      </c>
      <c r="AH143" s="312">
        <f t="shared" si="857"/>
        <v>2.2527666051342765E-2</v>
      </c>
      <c r="AI143" s="312">
        <f t="shared" si="857"/>
        <v>2.2728514691301216E-2</v>
      </c>
      <c r="AJ143" s="312">
        <f t="shared" si="857"/>
        <v>2.2932101953030359E-2</v>
      </c>
      <c r="AK143" s="312">
        <f t="shared" si="857"/>
        <v>2.3131532912928243E-2</v>
      </c>
      <c r="AL143" s="312">
        <f t="shared" si="857"/>
        <v>2.3334504066343298E-2</v>
      </c>
      <c r="AM143" s="312">
        <f t="shared" si="857"/>
        <v>2.3531968163307104E-2</v>
      </c>
      <c r="AN143" s="312">
        <f t="shared" si="857"/>
        <v>2.37326809240056E-2</v>
      </c>
      <c r="AO143" s="312">
        <f t="shared" si="857"/>
        <v>2.3927713516211757E-2</v>
      </c>
      <c r="AP143" s="312">
        <f t="shared" si="857"/>
        <v>2.4125731002824835E-2</v>
      </c>
      <c r="AQ143" s="312">
        <f t="shared" si="857"/>
        <v>2.4317940088679157E-2</v>
      </c>
      <c r="AR143" s="312">
        <f t="shared" si="857"/>
        <v>2.4511828822115667E-2</v>
      </c>
      <c r="AS143" s="312">
        <f t="shared" si="857"/>
        <v>2.4700896221214519E-2</v>
      </c>
      <c r="AT143" s="312">
        <f t="shared" si="857"/>
        <v>2.4892494871509241E-2</v>
      </c>
      <c r="AU143" s="312">
        <f t="shared" si="857"/>
        <v>2.5078142231429346E-2</v>
      </c>
      <c r="AV143" s="312">
        <f t="shared" si="857"/>
        <v>2.5266125887795587E-2</v>
      </c>
      <c r="AW143" s="312">
        <f t="shared" si="857"/>
        <v>2.5448134126964173E-2</v>
      </c>
      <c r="AX143" s="312">
        <f t="shared" si="857"/>
        <v>2.5632302529256523E-2</v>
      </c>
      <c r="AY143" s="312">
        <f t="shared" si="857"/>
        <v>2.5810497617872186E-2</v>
      </c>
      <c r="AZ143" s="312">
        <f t="shared" si="857"/>
        <v>2.5989709283677609E-2</v>
      </c>
      <c r="BA143" s="312">
        <f t="shared" si="857"/>
        <v>2.6163968045103569E-2</v>
      </c>
      <c r="BB143" s="312">
        <f t="shared" si="857"/>
        <v>2.6340084599319025E-2</v>
      </c>
      <c r="BC143" s="312">
        <f t="shared" si="857"/>
        <v>2.6510296799185651E-2</v>
      </c>
      <c r="BD143" s="312">
        <f t="shared" si="857"/>
        <v>2.6682237043922807E-2</v>
      </c>
      <c r="BE143" s="312">
        <f t="shared" si="857"/>
        <v>2.6848333892870585E-2</v>
      </c>
      <c r="BF143" s="312">
        <f t="shared" si="857"/>
        <v>2.7016041649710609E-2</v>
      </c>
      <c r="BG143" s="312">
        <f t="shared" si="857"/>
        <v>2.7177981136803836E-2</v>
      </c>
      <c r="BH143" s="312">
        <f t="shared" si="857"/>
        <v>2.734053363618616E-2</v>
      </c>
      <c r="BI143" s="312">
        <f t="shared" si="857"/>
        <v>2.7498308662868509E-2</v>
      </c>
      <c r="BJ143" s="312">
        <f t="shared" si="857"/>
        <v>2.765749363159653E-2</v>
      </c>
      <c r="BK143" s="312">
        <f t="shared" si="857"/>
        <v>2.7811094050932045E-2</v>
      </c>
      <c r="BL143" s="312">
        <f t="shared" si="857"/>
        <v>2.7966018188066877E-2</v>
      </c>
      <c r="BM143" s="312">
        <f t="shared" si="857"/>
        <v>2.8115462856881185E-2</v>
      </c>
      <c r="BN143" s="312">
        <f t="shared" si="857"/>
        <v>2.8266153376545394E-2</v>
      </c>
      <c r="BO143" s="312">
        <f t="shared" ref="BO143:CB143" si="858">IF(BO141&lt;0,0,$B$5+$B$6*((1-EXP(-BO142/$B$9))/(BO142/$B$9))+$B$7*((1-EXP(-BO142/$B$9))/(BO142/$B$9)-EXP(-BO142/$B$9))+$B$8*((1-EXP(-BO142/$B$10))/(BO142/$B$10)-EXP(-BO142/$B$10)))</f>
        <v>2.8411476085819259E-2</v>
      </c>
      <c r="BP143" s="312">
        <f t="shared" si="858"/>
        <v>2.8557175121418837E-2</v>
      </c>
      <c r="BQ143" s="312">
        <f t="shared" si="858"/>
        <v>2.8698433626493575E-2</v>
      </c>
      <c r="BR143" s="312">
        <f t="shared" si="858"/>
        <v>2.8840804247033142E-2</v>
      </c>
      <c r="BS143" s="312">
        <f t="shared" si="858"/>
        <v>2.8978044385706503E-2</v>
      </c>
      <c r="BT143" s="312">
        <f t="shared" si="858"/>
        <v>2.9116339155235843E-2</v>
      </c>
      <c r="BU143" s="312">
        <f t="shared" si="858"/>
        <v>2.9249627155964936E-2</v>
      </c>
      <c r="BV143" s="312">
        <f t="shared" si="858"/>
        <v>2.9383917784152974E-2</v>
      </c>
      <c r="BW143" s="312">
        <f t="shared" si="858"/>
        <v>2.951332732213055E-2</v>
      </c>
      <c r="BX143" s="312">
        <f t="shared" si="858"/>
        <v>2.9642981472591867E-2</v>
      </c>
      <c r="BY143" s="312">
        <f t="shared" si="858"/>
        <v>2.9768602732837823E-2</v>
      </c>
      <c r="BZ143" s="312">
        <f t="shared" si="858"/>
        <v>2.9895136997630217E-2</v>
      </c>
      <c r="CA143" s="312">
        <f t="shared" si="858"/>
        <v>3.0017043911665431E-2</v>
      </c>
      <c r="CB143" s="312">
        <f t="shared" si="858"/>
        <v>3.0139825130984371E-2</v>
      </c>
    </row>
    <row r="144" spans="1:80">
      <c r="A144" s="311" t="s">
        <v>44</v>
      </c>
      <c r="B144" s="312">
        <f>EXP(-B143*B142)</f>
        <v>0.99791430641336143</v>
      </c>
      <c r="C144" s="312">
        <f t="shared" ref="C144:AR144" si="859">EXP(-C143*C142)</f>
        <v>0.98930725859517343</v>
      </c>
      <c r="D144" s="312">
        <f t="shared" si="859"/>
        <v>0.98058221880385688</v>
      </c>
      <c r="E144" s="312">
        <f t="shared" si="859"/>
        <v>0.97200821743756716</v>
      </c>
      <c r="F144" s="312">
        <f t="shared" si="859"/>
        <v>0.96323000757809185</v>
      </c>
      <c r="G144" s="312">
        <f t="shared" si="859"/>
        <v>0.95461827656406961</v>
      </c>
      <c r="H144" s="312">
        <f t="shared" si="859"/>
        <v>0.94577268931873637</v>
      </c>
      <c r="I144" s="312">
        <f t="shared" si="859"/>
        <v>0.93707124424938515</v>
      </c>
      <c r="J144" s="312">
        <f t="shared" si="859"/>
        <v>0.92811369391126985</v>
      </c>
      <c r="K144" s="312">
        <f t="shared" si="859"/>
        <v>0.91928663098596664</v>
      </c>
      <c r="L144" s="312">
        <f t="shared" si="859"/>
        <v>0.91023783696651839</v>
      </c>
      <c r="M144" s="312">
        <f t="shared" si="859"/>
        <v>0.90126322208072707</v>
      </c>
      <c r="N144" s="312">
        <f t="shared" si="859"/>
        <v>0.89200640419776622</v>
      </c>
      <c r="O144" s="312">
        <f t="shared" si="859"/>
        <v>0.88287276478426491</v>
      </c>
      <c r="P144" s="312">
        <f t="shared" si="859"/>
        <v>0.87345138329108507</v>
      </c>
      <c r="Q144" s="312">
        <f t="shared" si="859"/>
        <v>0.86415697461779017</v>
      </c>
      <c r="R144" s="312">
        <f t="shared" si="859"/>
        <v>0.85457333909969935</v>
      </c>
      <c r="S144" s="312">
        <f t="shared" si="859"/>
        <v>0.84512401562868855</v>
      </c>
      <c r="T144" s="312">
        <f t="shared" si="859"/>
        <v>0.83544109204891148</v>
      </c>
      <c r="U144" s="312">
        <f t="shared" si="859"/>
        <v>0.82584914302444601</v>
      </c>
      <c r="V144" s="312">
        <f t="shared" si="859"/>
        <v>0.81597464021942656</v>
      </c>
      <c r="W144" s="312">
        <f t="shared" si="859"/>
        <v>0.80625625288226899</v>
      </c>
      <c r="X144" s="312">
        <f t="shared" si="859"/>
        <v>0.79626237804508226</v>
      </c>
      <c r="Y144" s="312">
        <f t="shared" si="859"/>
        <v>0.78643767221132144</v>
      </c>
      <c r="Z144" s="312">
        <f t="shared" si="859"/>
        <v>0.77634638876579443</v>
      </c>
      <c r="AA144" s="312">
        <f t="shared" si="859"/>
        <v>0.76643796706624656</v>
      </c>
      <c r="AB144" s="312">
        <f t="shared" si="859"/>
        <v>0.756329235596783</v>
      </c>
      <c r="AC144" s="312">
        <f t="shared" si="859"/>
        <v>0.74636142466443522</v>
      </c>
      <c r="AD144" s="312">
        <f t="shared" si="859"/>
        <v>0.736148736526551</v>
      </c>
      <c r="AE144" s="312">
        <f t="shared" si="859"/>
        <v>0.72614636711897274</v>
      </c>
      <c r="AF144" s="312">
        <f t="shared" si="859"/>
        <v>0.71591125385786414</v>
      </c>
      <c r="AG144" s="312">
        <f t="shared" si="859"/>
        <v>0.70589955845012387</v>
      </c>
      <c r="AH144" s="312">
        <f t="shared" si="859"/>
        <v>0.69566771475607325</v>
      </c>
      <c r="AI144" s="312">
        <f t="shared" si="859"/>
        <v>0.68567160304468922</v>
      </c>
      <c r="AJ144" s="312">
        <f t="shared" si="859"/>
        <v>0.67552416821374195</v>
      </c>
      <c r="AK144" s="312">
        <f t="shared" si="859"/>
        <v>0.66556765941989671</v>
      </c>
      <c r="AL144" s="312">
        <f t="shared" si="859"/>
        <v>0.65541663621813495</v>
      </c>
      <c r="AM144" s="312">
        <f t="shared" si="859"/>
        <v>0.64552289038964639</v>
      </c>
      <c r="AN144" s="312">
        <f t="shared" si="859"/>
        <v>0.63544734114181667</v>
      </c>
      <c r="AO144" s="312">
        <f t="shared" si="859"/>
        <v>0.62563810322402669</v>
      </c>
      <c r="AP144" s="312">
        <f t="shared" si="859"/>
        <v>0.61565950186001772</v>
      </c>
      <c r="AQ144" s="312">
        <f t="shared" si="859"/>
        <v>0.60595499228558303</v>
      </c>
      <c r="AR144" s="312">
        <f t="shared" si="859"/>
        <v>0.59614719164528696</v>
      </c>
      <c r="AS144" s="312">
        <f>EXP(-AS143*AS142)</f>
        <v>0.58656561314396949</v>
      </c>
      <c r="AT144" s="312">
        <f t="shared" ref="AT144:CA144" si="860">EXP(-AT143*AT142)</f>
        <v>0.57683830686680782</v>
      </c>
      <c r="AU144" s="312">
        <f t="shared" si="860"/>
        <v>0.56739682465877894</v>
      </c>
      <c r="AV144" s="312">
        <f t="shared" si="860"/>
        <v>0.55782070151220431</v>
      </c>
      <c r="AW144" s="312">
        <f t="shared" si="860"/>
        <v>0.54853440471685533</v>
      </c>
      <c r="AX144" s="312">
        <f t="shared" si="860"/>
        <v>0.53912399303334091</v>
      </c>
      <c r="AY144" s="312">
        <f t="shared" si="860"/>
        <v>0.53000621527384872</v>
      </c>
      <c r="AZ144" s="312">
        <f t="shared" si="860"/>
        <v>0.52082473081030556</v>
      </c>
      <c r="BA144" s="312">
        <f t="shared" si="860"/>
        <v>0.51188656737864158</v>
      </c>
      <c r="BB144" s="312">
        <f t="shared" si="860"/>
        <v>0.50284354146092802</v>
      </c>
      <c r="BC144" s="312">
        <f t="shared" si="860"/>
        <v>0.49409542351815</v>
      </c>
      <c r="BD144" s="312">
        <f t="shared" si="860"/>
        <v>0.48525118063541095</v>
      </c>
      <c r="BE144" s="312">
        <f t="shared" si="860"/>
        <v>0.47670145810294201</v>
      </c>
      <c r="BF144" s="312">
        <f t="shared" si="860"/>
        <v>0.46806375188897731</v>
      </c>
      <c r="BG144" s="312">
        <f t="shared" si="860"/>
        <v>0.45971926387535655</v>
      </c>
      <c r="BH144" s="312">
        <f t="shared" si="860"/>
        <v>0.45134034317745753</v>
      </c>
      <c r="BI144" s="312">
        <f t="shared" si="860"/>
        <v>0.4432059210587449</v>
      </c>
      <c r="BJ144" s="312">
        <f t="shared" si="860"/>
        <v>0.43499804944418757</v>
      </c>
      <c r="BK144" s="312">
        <f t="shared" si="860"/>
        <v>0.42707838172460116</v>
      </c>
      <c r="BL144" s="312">
        <f t="shared" si="860"/>
        <v>0.41909171941435414</v>
      </c>
      <c r="BM144" s="312">
        <f t="shared" si="860"/>
        <v>0.41138970320222656</v>
      </c>
      <c r="BN144" s="312">
        <f t="shared" si="860"/>
        <v>0.4036266321051048</v>
      </c>
      <c r="BO144" s="312">
        <f t="shared" si="860"/>
        <v>0.3961440552092883</v>
      </c>
      <c r="BP144" s="312">
        <f t="shared" si="860"/>
        <v>0.38864698321707103</v>
      </c>
      <c r="BQ144" s="312">
        <f t="shared" si="860"/>
        <v>0.38138401488856305</v>
      </c>
      <c r="BR144" s="312">
        <f t="shared" si="860"/>
        <v>0.37407042463401752</v>
      </c>
      <c r="BS144" s="312">
        <f t="shared" si="860"/>
        <v>0.36702755299151435</v>
      </c>
      <c r="BT144" s="312">
        <f t="shared" si="860"/>
        <v>0.35993862545657307</v>
      </c>
      <c r="BU144" s="312">
        <f t="shared" si="860"/>
        <v>0.353114917078515</v>
      </c>
      <c r="BV144" s="312">
        <f t="shared" si="860"/>
        <v>0.34624931908631784</v>
      </c>
      <c r="BW144" s="312">
        <f t="shared" si="860"/>
        <v>0.33964312189017309</v>
      </c>
      <c r="BX144" s="312">
        <f t="shared" si="860"/>
        <v>0.33303503384707789</v>
      </c>
      <c r="BY144" s="312">
        <f t="shared" si="860"/>
        <v>0.32664346959891011</v>
      </c>
      <c r="BZ144" s="312">
        <f t="shared" si="860"/>
        <v>0.32021725442632976</v>
      </c>
      <c r="CA144" s="312">
        <f t="shared" si="860"/>
        <v>0.3140380909721745</v>
      </c>
      <c r="CB144" s="312">
        <f>EXP(-CB143*CB142)</f>
        <v>0.30782741393960439</v>
      </c>
    </row>
    <row r="146" spans="1:80">
      <c r="A146" s="311" t="s">
        <v>40</v>
      </c>
      <c r="B146" s="312">
        <f t="shared" ref="B146:AG146" si="861">DAYS360($B$3,B54)</f>
        <v>133</v>
      </c>
      <c r="C146" s="312">
        <f t="shared" si="861"/>
        <v>313</v>
      </c>
      <c r="D146" s="312">
        <f t="shared" si="861"/>
        <v>492</v>
      </c>
      <c r="E146" s="312">
        <f t="shared" si="861"/>
        <v>673</v>
      </c>
      <c r="F146" s="312">
        <f t="shared" si="861"/>
        <v>852</v>
      </c>
      <c r="G146" s="312">
        <f t="shared" si="861"/>
        <v>1033</v>
      </c>
      <c r="H146" s="312">
        <f t="shared" si="861"/>
        <v>1212</v>
      </c>
      <c r="I146" s="312">
        <f t="shared" si="861"/>
        <v>1393</v>
      </c>
      <c r="J146" s="312">
        <f t="shared" si="861"/>
        <v>1572</v>
      </c>
      <c r="K146" s="312">
        <f t="shared" si="861"/>
        <v>1752</v>
      </c>
      <c r="L146" s="312">
        <f t="shared" si="861"/>
        <v>1931</v>
      </c>
      <c r="M146" s="312">
        <f t="shared" si="861"/>
        <v>2112</v>
      </c>
      <c r="N146" s="312">
        <f t="shared" si="861"/>
        <v>2291</v>
      </c>
      <c r="O146" s="312">
        <f t="shared" si="861"/>
        <v>2472</v>
      </c>
      <c r="P146" s="312">
        <f t="shared" si="861"/>
        <v>2651</v>
      </c>
      <c r="Q146" s="312">
        <f t="shared" si="861"/>
        <v>2832</v>
      </c>
      <c r="R146" s="312">
        <f t="shared" si="861"/>
        <v>3011</v>
      </c>
      <c r="S146" s="312">
        <f t="shared" si="861"/>
        <v>3191</v>
      </c>
      <c r="T146" s="312">
        <f t="shared" si="861"/>
        <v>3370</v>
      </c>
      <c r="U146" s="312">
        <f t="shared" si="861"/>
        <v>3551</v>
      </c>
      <c r="V146" s="312">
        <f t="shared" si="861"/>
        <v>3730</v>
      </c>
      <c r="W146" s="312">
        <f t="shared" si="861"/>
        <v>3911</v>
      </c>
      <c r="X146" s="312">
        <f t="shared" si="861"/>
        <v>4090</v>
      </c>
      <c r="Y146" s="312">
        <f t="shared" si="861"/>
        <v>4271</v>
      </c>
      <c r="Z146" s="312">
        <f t="shared" si="861"/>
        <v>4450</v>
      </c>
      <c r="AA146" s="312">
        <f t="shared" si="861"/>
        <v>4630</v>
      </c>
      <c r="AB146" s="312">
        <f t="shared" si="861"/>
        <v>4809</v>
      </c>
      <c r="AC146" s="312">
        <f t="shared" si="861"/>
        <v>4990</v>
      </c>
      <c r="AD146" s="312">
        <f t="shared" si="861"/>
        <v>5169</v>
      </c>
      <c r="AE146" s="312">
        <f t="shared" si="861"/>
        <v>5350</v>
      </c>
      <c r="AF146" s="312">
        <f t="shared" si="861"/>
        <v>5529</v>
      </c>
      <c r="AG146" s="312">
        <f t="shared" si="861"/>
        <v>5710</v>
      </c>
      <c r="AH146" s="312">
        <f t="shared" ref="AH146:BM146" si="862">DAYS360($B$3,AH54)</f>
        <v>5889</v>
      </c>
      <c r="AI146" s="312">
        <f t="shared" si="862"/>
        <v>6069</v>
      </c>
      <c r="AJ146" s="312">
        <f t="shared" si="862"/>
        <v>6248</v>
      </c>
      <c r="AK146" s="312">
        <f t="shared" si="862"/>
        <v>6429</v>
      </c>
      <c r="AL146" s="312">
        <f t="shared" si="862"/>
        <v>6608</v>
      </c>
      <c r="AM146" s="312">
        <f t="shared" si="862"/>
        <v>6789</v>
      </c>
      <c r="AN146" s="312">
        <f t="shared" si="862"/>
        <v>6968</v>
      </c>
      <c r="AO146" s="312">
        <f t="shared" si="862"/>
        <v>7149</v>
      </c>
      <c r="AP146" s="312">
        <f t="shared" si="862"/>
        <v>7328</v>
      </c>
      <c r="AQ146" s="312">
        <f t="shared" si="862"/>
        <v>7508</v>
      </c>
      <c r="AR146" s="312">
        <f t="shared" si="862"/>
        <v>7687</v>
      </c>
      <c r="AS146" s="312">
        <f t="shared" si="862"/>
        <v>7868</v>
      </c>
      <c r="AT146" s="312">
        <f t="shared" si="862"/>
        <v>8047</v>
      </c>
      <c r="AU146" s="312">
        <f t="shared" si="862"/>
        <v>8228</v>
      </c>
      <c r="AV146" s="312">
        <f t="shared" si="862"/>
        <v>8407</v>
      </c>
      <c r="AW146" s="312">
        <f t="shared" si="862"/>
        <v>8588</v>
      </c>
      <c r="AX146" s="312">
        <f t="shared" si="862"/>
        <v>8767</v>
      </c>
      <c r="AY146" s="312">
        <f t="shared" si="862"/>
        <v>8947</v>
      </c>
      <c r="AZ146" s="312">
        <f t="shared" si="862"/>
        <v>9126</v>
      </c>
      <c r="BA146" s="312">
        <f t="shared" si="862"/>
        <v>9307</v>
      </c>
      <c r="BB146" s="312">
        <f t="shared" si="862"/>
        <v>9486</v>
      </c>
      <c r="BC146" s="312">
        <f t="shared" si="862"/>
        <v>9667</v>
      </c>
      <c r="BD146" s="312">
        <f t="shared" si="862"/>
        <v>9846</v>
      </c>
      <c r="BE146" s="312">
        <f t="shared" si="862"/>
        <v>10027</v>
      </c>
      <c r="BF146" s="312">
        <f t="shared" si="862"/>
        <v>10206</v>
      </c>
      <c r="BG146" s="312">
        <f t="shared" si="862"/>
        <v>10386</v>
      </c>
      <c r="BH146" s="312">
        <f t="shared" si="862"/>
        <v>10565</v>
      </c>
      <c r="BI146" s="312">
        <f t="shared" si="862"/>
        <v>10746</v>
      </c>
      <c r="BJ146" s="312">
        <f t="shared" si="862"/>
        <v>10925</v>
      </c>
      <c r="BK146" s="312">
        <f t="shared" si="862"/>
        <v>11106</v>
      </c>
      <c r="BL146" s="312">
        <f t="shared" si="862"/>
        <v>11285</v>
      </c>
      <c r="BM146" s="312">
        <f t="shared" si="862"/>
        <v>11466</v>
      </c>
      <c r="BN146" s="312">
        <f t="shared" ref="BN146:CB146" si="863">DAYS360($B$3,BN54)</f>
        <v>11645</v>
      </c>
      <c r="BO146" s="312">
        <f t="shared" si="863"/>
        <v>11825</v>
      </c>
      <c r="BP146" s="312">
        <f t="shared" si="863"/>
        <v>12004</v>
      </c>
      <c r="BQ146" s="312">
        <f t="shared" si="863"/>
        <v>12185</v>
      </c>
      <c r="BR146" s="312">
        <f t="shared" si="863"/>
        <v>12364</v>
      </c>
      <c r="BS146" s="312">
        <f t="shared" si="863"/>
        <v>12545</v>
      </c>
      <c r="BT146" s="312">
        <f t="shared" si="863"/>
        <v>12724</v>
      </c>
      <c r="BU146" s="312">
        <f t="shared" si="863"/>
        <v>12905</v>
      </c>
      <c r="BV146" s="312">
        <f t="shared" si="863"/>
        <v>13084</v>
      </c>
      <c r="BW146" s="312">
        <f t="shared" si="863"/>
        <v>13264</v>
      </c>
      <c r="BX146" s="312">
        <f t="shared" si="863"/>
        <v>13443</v>
      </c>
      <c r="BY146" s="312">
        <f t="shared" si="863"/>
        <v>13624</v>
      </c>
      <c r="BZ146" s="312">
        <f t="shared" si="863"/>
        <v>13803</v>
      </c>
      <c r="CA146" s="312">
        <f t="shared" si="863"/>
        <v>13984</v>
      </c>
      <c r="CB146" s="312">
        <f t="shared" si="863"/>
        <v>14163</v>
      </c>
    </row>
    <row r="147" spans="1:80">
      <c r="A147" s="311" t="s">
        <v>41</v>
      </c>
      <c r="B147" s="312">
        <f>B146/360</f>
        <v>0.36944444444444446</v>
      </c>
      <c r="C147" s="312">
        <f t="shared" ref="C147:BN147" si="864">C146/360</f>
        <v>0.86944444444444446</v>
      </c>
      <c r="D147" s="312">
        <f t="shared" si="864"/>
        <v>1.3666666666666667</v>
      </c>
      <c r="E147" s="312">
        <f t="shared" si="864"/>
        <v>1.8694444444444445</v>
      </c>
      <c r="F147" s="312">
        <f t="shared" si="864"/>
        <v>2.3666666666666667</v>
      </c>
      <c r="G147" s="312">
        <f t="shared" si="864"/>
        <v>2.8694444444444445</v>
      </c>
      <c r="H147" s="312">
        <f t="shared" si="864"/>
        <v>3.3666666666666667</v>
      </c>
      <c r="I147" s="312">
        <f t="shared" si="864"/>
        <v>3.8694444444444445</v>
      </c>
      <c r="J147" s="312">
        <f t="shared" si="864"/>
        <v>4.3666666666666663</v>
      </c>
      <c r="K147" s="312">
        <f t="shared" si="864"/>
        <v>4.8666666666666663</v>
      </c>
      <c r="L147" s="312">
        <f t="shared" si="864"/>
        <v>5.3638888888888889</v>
      </c>
      <c r="M147" s="312">
        <f t="shared" si="864"/>
        <v>5.8666666666666663</v>
      </c>
      <c r="N147" s="312">
        <f t="shared" si="864"/>
        <v>6.3638888888888889</v>
      </c>
      <c r="O147" s="312">
        <f t="shared" si="864"/>
        <v>6.8666666666666663</v>
      </c>
      <c r="P147" s="312">
        <f t="shared" si="864"/>
        <v>7.3638888888888889</v>
      </c>
      <c r="Q147" s="312">
        <f t="shared" si="864"/>
        <v>7.8666666666666663</v>
      </c>
      <c r="R147" s="312">
        <f t="shared" si="864"/>
        <v>8.3638888888888889</v>
      </c>
      <c r="S147" s="312">
        <f t="shared" si="864"/>
        <v>8.8638888888888889</v>
      </c>
      <c r="T147" s="312">
        <f t="shared" si="864"/>
        <v>9.3611111111111107</v>
      </c>
      <c r="U147" s="312">
        <f t="shared" si="864"/>
        <v>9.8638888888888889</v>
      </c>
      <c r="V147" s="312">
        <f t="shared" si="864"/>
        <v>10.361111111111111</v>
      </c>
      <c r="W147" s="312">
        <f t="shared" si="864"/>
        <v>10.863888888888889</v>
      </c>
      <c r="X147" s="312">
        <f t="shared" si="864"/>
        <v>11.361111111111111</v>
      </c>
      <c r="Y147" s="312">
        <f t="shared" si="864"/>
        <v>11.863888888888889</v>
      </c>
      <c r="Z147" s="312">
        <f t="shared" si="864"/>
        <v>12.361111111111111</v>
      </c>
      <c r="AA147" s="312">
        <f t="shared" si="864"/>
        <v>12.861111111111111</v>
      </c>
      <c r="AB147" s="312">
        <f t="shared" si="864"/>
        <v>13.358333333333333</v>
      </c>
      <c r="AC147" s="312">
        <f t="shared" si="864"/>
        <v>13.861111111111111</v>
      </c>
      <c r="AD147" s="312">
        <f t="shared" si="864"/>
        <v>14.358333333333333</v>
      </c>
      <c r="AE147" s="312">
        <f t="shared" si="864"/>
        <v>14.861111111111111</v>
      </c>
      <c r="AF147" s="312">
        <f t="shared" si="864"/>
        <v>15.358333333333333</v>
      </c>
      <c r="AG147" s="312">
        <f t="shared" si="864"/>
        <v>15.861111111111111</v>
      </c>
      <c r="AH147" s="312">
        <f t="shared" si="864"/>
        <v>16.358333333333334</v>
      </c>
      <c r="AI147" s="312">
        <f t="shared" si="864"/>
        <v>16.858333333333334</v>
      </c>
      <c r="AJ147" s="312">
        <f t="shared" si="864"/>
        <v>17.355555555555554</v>
      </c>
      <c r="AK147" s="312">
        <f t="shared" si="864"/>
        <v>17.858333333333334</v>
      </c>
      <c r="AL147" s="312">
        <f t="shared" si="864"/>
        <v>18.355555555555554</v>
      </c>
      <c r="AM147" s="312">
        <f t="shared" si="864"/>
        <v>18.858333333333334</v>
      </c>
      <c r="AN147" s="312">
        <f t="shared" si="864"/>
        <v>19.355555555555554</v>
      </c>
      <c r="AO147" s="312">
        <f t="shared" si="864"/>
        <v>19.858333333333334</v>
      </c>
      <c r="AP147" s="312">
        <f t="shared" si="864"/>
        <v>20.355555555555554</v>
      </c>
      <c r="AQ147" s="312">
        <f t="shared" si="864"/>
        <v>20.855555555555554</v>
      </c>
      <c r="AR147" s="312">
        <f t="shared" si="864"/>
        <v>21.352777777777778</v>
      </c>
      <c r="AS147" s="312">
        <f t="shared" si="864"/>
        <v>21.855555555555554</v>
      </c>
      <c r="AT147" s="312">
        <f t="shared" si="864"/>
        <v>22.352777777777778</v>
      </c>
      <c r="AU147" s="312">
        <f t="shared" si="864"/>
        <v>22.855555555555554</v>
      </c>
      <c r="AV147" s="312">
        <f t="shared" si="864"/>
        <v>23.352777777777778</v>
      </c>
      <c r="AW147" s="312">
        <f t="shared" si="864"/>
        <v>23.855555555555554</v>
      </c>
      <c r="AX147" s="312">
        <f t="shared" si="864"/>
        <v>24.352777777777778</v>
      </c>
      <c r="AY147" s="312">
        <f t="shared" si="864"/>
        <v>24.852777777777778</v>
      </c>
      <c r="AZ147" s="312">
        <f t="shared" si="864"/>
        <v>25.35</v>
      </c>
      <c r="BA147" s="312">
        <f t="shared" si="864"/>
        <v>25.852777777777778</v>
      </c>
      <c r="BB147" s="312">
        <f t="shared" si="864"/>
        <v>26.35</v>
      </c>
      <c r="BC147" s="312">
        <f t="shared" si="864"/>
        <v>26.852777777777778</v>
      </c>
      <c r="BD147" s="312">
        <f t="shared" si="864"/>
        <v>27.35</v>
      </c>
      <c r="BE147" s="312">
        <f t="shared" si="864"/>
        <v>27.852777777777778</v>
      </c>
      <c r="BF147" s="312">
        <f t="shared" si="864"/>
        <v>28.35</v>
      </c>
      <c r="BG147" s="312">
        <f t="shared" si="864"/>
        <v>28.85</v>
      </c>
      <c r="BH147" s="312">
        <f t="shared" si="864"/>
        <v>29.347222222222221</v>
      </c>
      <c r="BI147" s="312">
        <f t="shared" si="864"/>
        <v>29.85</v>
      </c>
      <c r="BJ147" s="312">
        <f t="shared" si="864"/>
        <v>30.347222222222221</v>
      </c>
      <c r="BK147" s="312">
        <f t="shared" si="864"/>
        <v>30.85</v>
      </c>
      <c r="BL147" s="312">
        <f t="shared" si="864"/>
        <v>31.347222222222221</v>
      </c>
      <c r="BM147" s="312">
        <f t="shared" si="864"/>
        <v>31.85</v>
      </c>
      <c r="BN147" s="312">
        <f t="shared" si="864"/>
        <v>32.347222222222221</v>
      </c>
      <c r="BO147" s="312">
        <f t="shared" ref="BO147:CB147" si="865">BO146/360</f>
        <v>32.847222222222221</v>
      </c>
      <c r="BP147" s="312">
        <f t="shared" si="865"/>
        <v>33.344444444444441</v>
      </c>
      <c r="BQ147" s="312">
        <f t="shared" si="865"/>
        <v>33.847222222222221</v>
      </c>
      <c r="BR147" s="312">
        <f t="shared" si="865"/>
        <v>34.344444444444441</v>
      </c>
      <c r="BS147" s="312">
        <f t="shared" si="865"/>
        <v>34.847222222222221</v>
      </c>
      <c r="BT147" s="312">
        <f t="shared" si="865"/>
        <v>35.344444444444441</v>
      </c>
      <c r="BU147" s="312">
        <f t="shared" si="865"/>
        <v>35.847222222222221</v>
      </c>
      <c r="BV147" s="312">
        <f t="shared" si="865"/>
        <v>36.344444444444441</v>
      </c>
      <c r="BW147" s="312">
        <f t="shared" si="865"/>
        <v>36.844444444444441</v>
      </c>
      <c r="BX147" s="312">
        <f t="shared" si="865"/>
        <v>37.341666666666669</v>
      </c>
      <c r="BY147" s="312">
        <f t="shared" si="865"/>
        <v>37.844444444444441</v>
      </c>
      <c r="BZ147" s="312">
        <f t="shared" si="865"/>
        <v>38.341666666666669</v>
      </c>
      <c r="CA147" s="312">
        <f t="shared" si="865"/>
        <v>38.844444444444441</v>
      </c>
      <c r="CB147" s="312">
        <f t="shared" si="865"/>
        <v>39.341666666666669</v>
      </c>
    </row>
    <row r="148" spans="1:80">
      <c r="A148" s="311" t="s">
        <v>43</v>
      </c>
      <c r="B148" s="312">
        <f>IF(B146&lt;0,0,$B$5+$B$6*((1-EXP(-B147/$B$9))/(B147/$B$9))+$B$7*((1-EXP(-B147/$B$9))/(B147/$B$9)-EXP(-B147/$B$9))+$B$8*((1-EXP(-B147/$B$10))/(B147/$B$10)-EXP(-B147/$B$10)))</f>
        <v>1.7494035859913069E-2</v>
      </c>
      <c r="C148" s="312">
        <f t="shared" ref="C148:BN148" si="866">IF(C146&lt;0,0,$B$5+$B$6*((1-EXP(-C147/$B$9))/(C147/$B$9))+$B$7*((1-EXP(-C147/$B$9))/(C147/$B$9)-EXP(-C147/$B$9))+$B$8*((1-EXP(-C147/$B$10))/(C147/$B$10)-EXP(-C147/$B$10)))</f>
        <v>1.7534452551026574E-2</v>
      </c>
      <c r="D148" s="312">
        <f t="shared" si="866"/>
        <v>1.7589680797807102E-2</v>
      </c>
      <c r="E148" s="312">
        <f t="shared" si="866"/>
        <v>1.7659717098585284E-2</v>
      </c>
      <c r="F148" s="312">
        <f t="shared" si="866"/>
        <v>1.7742025104683146E-2</v>
      </c>
      <c r="G148" s="312">
        <f t="shared" si="866"/>
        <v>1.7837492577305103E-2</v>
      </c>
      <c r="H148" s="312">
        <f t="shared" si="866"/>
        <v>1.7943121038026116E-2</v>
      </c>
      <c r="I148" s="312">
        <f t="shared" si="866"/>
        <v>1.8060416313741751E-2</v>
      </c>
      <c r="J148" s="312">
        <f t="shared" si="866"/>
        <v>1.8185988839614364E-2</v>
      </c>
      <c r="K148" s="312">
        <f t="shared" si="866"/>
        <v>1.8321104603581745E-2</v>
      </c>
      <c r="L148" s="312">
        <f t="shared" si="866"/>
        <v>1.8463551428609309E-2</v>
      </c>
      <c r="M148" s="312">
        <f t="shared" si="866"/>
        <v>1.8615100395966366E-2</v>
      </c>
      <c r="N148" s="312">
        <f t="shared" si="866"/>
        <v>1.8771763991778823E-2</v>
      </c>
      <c r="O148" s="312">
        <f t="shared" si="866"/>
        <v>1.8936431084106975E-2</v>
      </c>
      <c r="P148" s="312">
        <f t="shared" si="866"/>
        <v>1.9104893355776725E-2</v>
      </c>
      <c r="Q148" s="312">
        <f t="shared" si="866"/>
        <v>1.9280370193487245E-2</v>
      </c>
      <c r="R148" s="312">
        <f t="shared" si="866"/>
        <v>1.9458477173729893E-2</v>
      </c>
      <c r="S148" s="312">
        <f t="shared" si="866"/>
        <v>1.9641681476117168E-2</v>
      </c>
      <c r="T148" s="312">
        <f t="shared" si="866"/>
        <v>1.982749998245753E-2</v>
      </c>
      <c r="U148" s="312">
        <f t="shared" si="866"/>
        <v>2.0018648783305837E-2</v>
      </c>
      <c r="V148" s="312">
        <f t="shared" si="866"/>
        <v>2.0210505543667434E-2</v>
      </c>
      <c r="W148" s="312">
        <f t="shared" si="866"/>
        <v>2.040697786712542E-2</v>
      </c>
      <c r="X148" s="312">
        <f t="shared" si="866"/>
        <v>2.0603372470135939E-2</v>
      </c>
      <c r="Y148" s="312">
        <f t="shared" si="866"/>
        <v>2.0803743415670262E-2</v>
      </c>
      <c r="Z148" s="312">
        <f t="shared" si="866"/>
        <v>2.1003353447785145E-2</v>
      </c>
      <c r="AA148" s="312">
        <f t="shared" si="866"/>
        <v>2.1205244785368949E-2</v>
      </c>
      <c r="AB148" s="312">
        <f t="shared" si="866"/>
        <v>2.1406904279599515E-2</v>
      </c>
      <c r="AC148" s="312">
        <f t="shared" si="866"/>
        <v>2.1611462265007764E-2</v>
      </c>
      <c r="AD148" s="312">
        <f t="shared" si="866"/>
        <v>2.181416118767493E-2</v>
      </c>
      <c r="AE148" s="312">
        <f t="shared" si="866"/>
        <v>2.2019306223084734E-2</v>
      </c>
      <c r="AF148" s="312">
        <f t="shared" si="866"/>
        <v>2.2222157673019105E-2</v>
      </c>
      <c r="AG148" s="312">
        <f t="shared" si="866"/>
        <v>2.2427053775746053E-2</v>
      </c>
      <c r="AH148" s="312">
        <f t="shared" si="866"/>
        <v>2.2629288014615889E-2</v>
      </c>
      <c r="AI148" s="312">
        <f t="shared" si="866"/>
        <v>2.2832086657489536E-2</v>
      </c>
      <c r="AJ148" s="312">
        <f t="shared" si="866"/>
        <v>2.3033043451220925E-2</v>
      </c>
      <c r="AK148" s="312">
        <f t="shared" si="866"/>
        <v>2.3235376273018304E-2</v>
      </c>
      <c r="AL148" s="312">
        <f t="shared" si="866"/>
        <v>2.3434482210699992E-2</v>
      </c>
      <c r="AM148" s="312">
        <f t="shared" si="866"/>
        <v>2.3634687482069483E-2</v>
      </c>
      <c r="AN148" s="312">
        <f t="shared" si="866"/>
        <v>2.3831456032201048E-2</v>
      </c>
      <c r="AO148" s="312">
        <f t="shared" si="866"/>
        <v>2.4029080864188257E-2</v>
      </c>
      <c r="AP148" s="312">
        <f t="shared" si="866"/>
        <v>2.4223100637882744E-2</v>
      </c>
      <c r="AQ148" s="312">
        <f t="shared" si="866"/>
        <v>2.4416692742404711E-2</v>
      </c>
      <c r="AR148" s="312">
        <f t="shared" si="866"/>
        <v>2.460762829464741E-2</v>
      </c>
      <c r="AS148" s="312">
        <f t="shared" si="866"/>
        <v>2.479902208552015E-2</v>
      </c>
      <c r="AT148" s="312">
        <f t="shared" si="866"/>
        <v>2.4986580154964966E-2</v>
      </c>
      <c r="AU148" s="312">
        <f t="shared" si="866"/>
        <v>2.5174434999163053E-2</v>
      </c>
      <c r="AV148" s="312">
        <f t="shared" si="866"/>
        <v>2.5358383251115835E-2</v>
      </c>
      <c r="AW148" s="312">
        <f t="shared" si="866"/>
        <v>2.5542488560203136E-2</v>
      </c>
      <c r="AX148" s="312">
        <f t="shared" si="866"/>
        <v>2.5722641366182575E-2</v>
      </c>
      <c r="AY148" s="312">
        <f t="shared" si="866"/>
        <v>2.5901840932052334E-2</v>
      </c>
      <c r="AZ148" s="312">
        <f t="shared" si="866"/>
        <v>2.6078064994934369E-2</v>
      </c>
      <c r="BA148" s="312">
        <f t="shared" si="866"/>
        <v>2.6254223111295327E-2</v>
      </c>
      <c r="BB148" s="312">
        <f t="shared" si="866"/>
        <v>2.6426399449294147E-2</v>
      </c>
      <c r="BC148" s="312">
        <f t="shared" si="866"/>
        <v>2.6598422244731523E-2</v>
      </c>
      <c r="BD148" s="312">
        <f t="shared" si="866"/>
        <v>2.6766474481668773E-2</v>
      </c>
      <c r="BE148" s="312">
        <f t="shared" si="866"/>
        <v>2.6934299283410179E-2</v>
      </c>
      <c r="BF148" s="312">
        <f t="shared" si="866"/>
        <v>2.7098178890431229E-2</v>
      </c>
      <c r="BG148" s="312">
        <f t="shared" si="866"/>
        <v>2.7260871370943823E-2</v>
      </c>
      <c r="BH148" s="312">
        <f t="shared" si="866"/>
        <v>2.7420565750746528E-2</v>
      </c>
      <c r="BI148" s="312">
        <f t="shared" si="866"/>
        <v>2.7579920093619675E-2</v>
      </c>
      <c r="BJ148" s="312">
        <f t="shared" si="866"/>
        <v>2.7735414333675212E-2</v>
      </c>
      <c r="BK148" s="312">
        <f t="shared" si="866"/>
        <v>2.7890527016338734E-2</v>
      </c>
      <c r="BL148" s="312">
        <f t="shared" si="866"/>
        <v>2.8041836015468419E-2</v>
      </c>
      <c r="BM148" s="312">
        <f t="shared" si="866"/>
        <v>2.8192730299653523E-2</v>
      </c>
      <c r="BN148" s="312">
        <f t="shared" si="866"/>
        <v>2.8339884563011508E-2</v>
      </c>
      <c r="BO148" s="312">
        <f t="shared" ref="BO148:CB148" si="867">IF(BO146&lt;0,0,$B$5+$B$6*((1-EXP(-BO147/$B$9))/(BO147/$B$9))+$B$7*((1-EXP(-BO147/$B$9))/(BO147/$B$9)-EXP(-BO147/$B$9))+$B$8*((1-EXP(-BO147/$B$10))/(BO147/$B$10)-EXP(-BO147/$B$10)))</f>
        <v>2.8485793462082049E-2</v>
      </c>
      <c r="BP148" s="312">
        <f t="shared" si="867"/>
        <v>2.8628848156471903E-2</v>
      </c>
      <c r="BQ148" s="312">
        <f t="shared" si="867"/>
        <v>2.8771442988122786E-2</v>
      </c>
      <c r="BR148" s="312">
        <f t="shared" si="867"/>
        <v>2.8910441691096161E-2</v>
      </c>
      <c r="BS148" s="312">
        <f t="shared" si="867"/>
        <v>2.9048966749366079E-2</v>
      </c>
      <c r="BT148" s="312">
        <f t="shared" si="867"/>
        <v>2.9183973988521211E-2</v>
      </c>
      <c r="BU148" s="312">
        <f t="shared" si="867"/>
        <v>2.9318498684285488E-2</v>
      </c>
      <c r="BV148" s="312">
        <f t="shared" si="867"/>
        <v>2.9449586842300507E-2</v>
      </c>
      <c r="BW148" s="312">
        <f t="shared" si="867"/>
        <v>2.9579471589338935E-2</v>
      </c>
      <c r="BX148" s="312">
        <f t="shared" si="867"/>
        <v>2.9706730033158574E-2</v>
      </c>
      <c r="BY148" s="312">
        <f t="shared" si="867"/>
        <v>2.9833500237512495E-2</v>
      </c>
      <c r="BZ148" s="312">
        <f t="shared" si="867"/>
        <v>2.9957002161933532E-2</v>
      </c>
      <c r="CA148" s="312">
        <f t="shared" si="867"/>
        <v>3.0080017939380144E-2</v>
      </c>
      <c r="CB148" s="312">
        <f t="shared" si="867"/>
        <v>3.0199851388160365E-2</v>
      </c>
    </row>
    <row r="149" spans="1:80">
      <c r="A149" s="311" t="s">
        <v>44</v>
      </c>
      <c r="B149" s="312">
        <f>EXP(-B148*B147)</f>
        <v>0.99355776638313631</v>
      </c>
      <c r="C149" s="312">
        <f t="shared" ref="C149:AR149" si="868">EXP(-C148*C147)</f>
        <v>0.9848703878996955</v>
      </c>
      <c r="D149" s="312">
        <f t="shared" si="868"/>
        <v>0.97624741040714758</v>
      </c>
      <c r="E149" s="312">
        <f t="shared" si="868"/>
        <v>0.96752514957777958</v>
      </c>
      <c r="F149" s="312">
        <f t="shared" si="868"/>
        <v>0.95887988767473709</v>
      </c>
      <c r="G149" s="312">
        <f t="shared" si="868"/>
        <v>0.95010412609437123</v>
      </c>
      <c r="H149" s="312">
        <f t="shared" si="868"/>
        <v>0.94137989428341584</v>
      </c>
      <c r="I149" s="312">
        <f t="shared" si="868"/>
        <v>0.93250219127929346</v>
      </c>
      <c r="J149" s="312">
        <f t="shared" si="868"/>
        <v>0.92365915869203385</v>
      </c>
      <c r="K149" s="312">
        <f t="shared" si="868"/>
        <v>0.91469673201054735</v>
      </c>
      <c r="L149" s="312">
        <f t="shared" si="868"/>
        <v>0.90570970484838431</v>
      </c>
      <c r="M149" s="312">
        <f t="shared" si="868"/>
        <v>0.89654338891317364</v>
      </c>
      <c r="N149" s="312">
        <f t="shared" si="868"/>
        <v>0.88739824272363232</v>
      </c>
      <c r="O149" s="312">
        <f t="shared" si="868"/>
        <v>0.87806894786438017</v>
      </c>
      <c r="P149" s="312">
        <f t="shared" si="868"/>
        <v>0.86876178918874192</v>
      </c>
      <c r="Q149" s="312">
        <f t="shared" si="868"/>
        <v>0.85926986413918938</v>
      </c>
      <c r="R149" s="312">
        <f t="shared" si="868"/>
        <v>0.84980485260416327</v>
      </c>
      <c r="S149" s="312">
        <f t="shared" si="868"/>
        <v>0.84021145876909653</v>
      </c>
      <c r="T149" s="312">
        <f t="shared" si="868"/>
        <v>0.83059959914767389</v>
      </c>
      <c r="U149" s="312">
        <f t="shared" si="868"/>
        <v>0.82081155469749645</v>
      </c>
      <c r="V149" s="312">
        <f t="shared" si="868"/>
        <v>0.81106807115474555</v>
      </c>
      <c r="W149" s="312">
        <f t="shared" si="868"/>
        <v>0.80115636389763678</v>
      </c>
      <c r="X149" s="312">
        <f t="shared" si="868"/>
        <v>0.79130072203797275</v>
      </c>
      <c r="Y149" s="312">
        <f t="shared" si="868"/>
        <v>0.7812865458352718</v>
      </c>
      <c r="Z149" s="312">
        <f t="shared" si="868"/>
        <v>0.77134094968797906</v>
      </c>
      <c r="AA149" s="312">
        <f t="shared" si="868"/>
        <v>0.76130363243516019</v>
      </c>
      <c r="AB149" s="312">
        <f t="shared" si="868"/>
        <v>0.75129224407364981</v>
      </c>
      <c r="AC149" s="312">
        <f t="shared" si="868"/>
        <v>0.74114508270352386</v>
      </c>
      <c r="AD149" s="312">
        <f t="shared" si="868"/>
        <v>0.73109271240459339</v>
      </c>
      <c r="AE149" s="312">
        <f t="shared" si="868"/>
        <v>0.7209169350055401</v>
      </c>
      <c r="AF149" s="312">
        <f t="shared" si="868"/>
        <v>0.71084896000752851</v>
      </c>
      <c r="AG149" s="312">
        <f t="shared" si="868"/>
        <v>0.70067018709206297</v>
      </c>
      <c r="AH149" s="312">
        <f t="shared" si="868"/>
        <v>0.69061178007015767</v>
      </c>
      <c r="AI149" s="312">
        <f t="shared" si="868"/>
        <v>0.68051124829733622</v>
      </c>
      <c r="AJ149" s="312">
        <f t="shared" si="868"/>
        <v>0.67048679867504868</v>
      </c>
      <c r="AK149" s="312">
        <f t="shared" si="868"/>
        <v>0.66037653794164752</v>
      </c>
      <c r="AL149" s="312">
        <f t="shared" si="868"/>
        <v>0.6504096133826216</v>
      </c>
      <c r="AM149" s="312">
        <f t="shared" si="868"/>
        <v>0.6403689305268131</v>
      </c>
      <c r="AN149" s="312">
        <f t="shared" si="868"/>
        <v>0.63048174878730701</v>
      </c>
      <c r="AO149" s="312">
        <f t="shared" si="868"/>
        <v>0.62053237657560589</v>
      </c>
      <c r="AP149" s="312">
        <f t="shared" si="868"/>
        <v>0.61074566251901541</v>
      </c>
      <c r="AQ149" s="312">
        <f t="shared" si="868"/>
        <v>0.60096192934319526</v>
      </c>
      <c r="AR149" s="312">
        <f t="shared" si="868"/>
        <v>0.59129441670070215</v>
      </c>
      <c r="AS149" s="312">
        <f>EXP(-AS148*AS147)</f>
        <v>0.58158601143737676</v>
      </c>
      <c r="AT149" s="312">
        <f t="shared" ref="AT149:CA149" si="869">EXP(-AT148*AT147)</f>
        <v>0.57205538027260416</v>
      </c>
      <c r="AU149" s="312">
        <f t="shared" si="869"/>
        <v>0.56249350158780109</v>
      </c>
      <c r="AV149" s="312">
        <f t="shared" si="869"/>
        <v>0.55311536152293361</v>
      </c>
      <c r="AW149" s="312">
        <f t="shared" si="869"/>
        <v>0.54371489755973423</v>
      </c>
      <c r="AX149" s="312">
        <f t="shared" si="869"/>
        <v>0.53450308913506384</v>
      </c>
      <c r="AY149" s="312">
        <f t="shared" si="869"/>
        <v>0.52532787016445281</v>
      </c>
      <c r="AZ149" s="312">
        <f t="shared" si="869"/>
        <v>0.51629397970601532</v>
      </c>
      <c r="BA149" s="312">
        <f t="shared" si="869"/>
        <v>0.50725340084452386</v>
      </c>
      <c r="BB149" s="312">
        <f t="shared" si="869"/>
        <v>0.49840831638174787</v>
      </c>
      <c r="BC149" s="312">
        <f t="shared" si="869"/>
        <v>0.48956329410891269</v>
      </c>
      <c r="BD149" s="312">
        <f t="shared" si="869"/>
        <v>0.4809157995677395</v>
      </c>
      <c r="BE149" s="312">
        <f t="shared" si="869"/>
        <v>0.4722744254297524</v>
      </c>
      <c r="BF149" s="312">
        <f t="shared" si="869"/>
        <v>0.46383176332536091</v>
      </c>
      <c r="BG149" s="312">
        <f t="shared" si="869"/>
        <v>0.45544690237647967</v>
      </c>
      <c r="BH149" s="312">
        <f t="shared" si="869"/>
        <v>0.44721427511793294</v>
      </c>
      <c r="BI149" s="312">
        <f t="shared" si="869"/>
        <v>0.43899791524330178</v>
      </c>
      <c r="BJ149" s="312">
        <f t="shared" si="869"/>
        <v>0.43098034972227744</v>
      </c>
      <c r="BK149" s="312">
        <f t="shared" si="869"/>
        <v>0.42298322477944761</v>
      </c>
      <c r="BL149" s="312">
        <f t="shared" si="869"/>
        <v>0.41518392461191095</v>
      </c>
      <c r="BM149" s="312">
        <f t="shared" si="869"/>
        <v>0.40740868388281198</v>
      </c>
      <c r="BN149" s="312">
        <f t="shared" si="869"/>
        <v>0.39982971152291635</v>
      </c>
      <c r="BO149" s="312">
        <f t="shared" si="869"/>
        <v>0.39231931644145562</v>
      </c>
      <c r="BP149" s="312">
        <f t="shared" si="869"/>
        <v>0.38496108148270108</v>
      </c>
      <c r="BQ149" s="312">
        <f t="shared" si="869"/>
        <v>0.37763263369187949</v>
      </c>
      <c r="BR149" s="312">
        <f t="shared" si="869"/>
        <v>0.37049584142826281</v>
      </c>
      <c r="BS149" s="312">
        <f t="shared" si="869"/>
        <v>0.36339103262655759</v>
      </c>
      <c r="BT149" s="312">
        <f t="shared" si="869"/>
        <v>0.35647493601579272</v>
      </c>
      <c r="BU149" s="312">
        <f t="shared" si="869"/>
        <v>0.349592622693918</v>
      </c>
      <c r="BV149" s="312">
        <f t="shared" si="869"/>
        <v>0.34289572975964877</v>
      </c>
      <c r="BW149" s="312">
        <f t="shared" si="869"/>
        <v>0.33627056244957387</v>
      </c>
      <c r="BX149" s="312">
        <f t="shared" si="869"/>
        <v>0.32979012534277874</v>
      </c>
      <c r="BY149" s="312">
        <f t="shared" si="869"/>
        <v>0.32334602565445208</v>
      </c>
      <c r="BZ149" s="312">
        <f t="shared" si="869"/>
        <v>0.31707993017509595</v>
      </c>
      <c r="CA149" s="312">
        <f t="shared" si="869"/>
        <v>0.31085099861737719</v>
      </c>
      <c r="CB149" s="312">
        <f>EXP(-CB148*CB147)</f>
        <v>0.3047960280166857</v>
      </c>
    </row>
    <row r="151" spans="1:80">
      <c r="A151" s="311" t="s">
        <v>40</v>
      </c>
      <c r="B151" s="312">
        <f t="shared" ref="B151:AG151" si="870">DAYS360($B$3,B56)</f>
        <v>43</v>
      </c>
      <c r="C151" s="312">
        <f t="shared" si="870"/>
        <v>221</v>
      </c>
      <c r="D151" s="312">
        <f t="shared" si="870"/>
        <v>402</v>
      </c>
      <c r="E151" s="312">
        <f t="shared" si="870"/>
        <v>580</v>
      </c>
      <c r="F151" s="312">
        <f t="shared" si="870"/>
        <v>762</v>
      </c>
      <c r="G151" s="312">
        <f t="shared" si="870"/>
        <v>940</v>
      </c>
      <c r="H151" s="312">
        <f t="shared" si="870"/>
        <v>1122</v>
      </c>
      <c r="I151" s="312">
        <f t="shared" si="870"/>
        <v>1300</v>
      </c>
      <c r="J151" s="312">
        <f t="shared" si="870"/>
        <v>1482</v>
      </c>
      <c r="K151" s="312">
        <f t="shared" si="870"/>
        <v>1660</v>
      </c>
      <c r="L151" s="312">
        <f t="shared" si="870"/>
        <v>1841</v>
      </c>
      <c r="M151" s="312">
        <f t="shared" si="870"/>
        <v>2019</v>
      </c>
      <c r="N151" s="312">
        <f t="shared" si="870"/>
        <v>2201</v>
      </c>
      <c r="O151" s="312">
        <f t="shared" si="870"/>
        <v>2379</v>
      </c>
      <c r="P151" s="312">
        <f t="shared" si="870"/>
        <v>2561</v>
      </c>
      <c r="Q151" s="312">
        <f t="shared" si="870"/>
        <v>2739</v>
      </c>
      <c r="R151" s="312">
        <f t="shared" si="870"/>
        <v>2921</v>
      </c>
      <c r="S151" s="312">
        <f t="shared" si="870"/>
        <v>3099</v>
      </c>
      <c r="T151" s="312">
        <f t="shared" si="870"/>
        <v>3280</v>
      </c>
      <c r="U151" s="312">
        <f t="shared" si="870"/>
        <v>3458</v>
      </c>
      <c r="V151" s="312">
        <f t="shared" si="870"/>
        <v>3640</v>
      </c>
      <c r="W151" s="312">
        <f t="shared" si="870"/>
        <v>3818</v>
      </c>
      <c r="X151" s="312">
        <f t="shared" si="870"/>
        <v>4000</v>
      </c>
      <c r="Y151" s="312">
        <f t="shared" si="870"/>
        <v>4178</v>
      </c>
      <c r="Z151" s="312">
        <f t="shared" si="870"/>
        <v>4360</v>
      </c>
      <c r="AA151" s="312">
        <f t="shared" si="870"/>
        <v>4538</v>
      </c>
      <c r="AB151" s="312">
        <f t="shared" si="870"/>
        <v>4719</v>
      </c>
      <c r="AC151" s="312">
        <f t="shared" si="870"/>
        <v>4897</v>
      </c>
      <c r="AD151" s="312">
        <f t="shared" si="870"/>
        <v>5079</v>
      </c>
      <c r="AE151" s="312">
        <f t="shared" si="870"/>
        <v>5257</v>
      </c>
      <c r="AF151" s="312">
        <f t="shared" si="870"/>
        <v>5439</v>
      </c>
      <c r="AG151" s="312">
        <f t="shared" si="870"/>
        <v>5617</v>
      </c>
      <c r="AH151" s="312">
        <f t="shared" ref="AH151:BM151" si="871">DAYS360($B$3,AH56)</f>
        <v>5799</v>
      </c>
      <c r="AI151" s="312">
        <f t="shared" si="871"/>
        <v>5977</v>
      </c>
      <c r="AJ151" s="312">
        <f t="shared" si="871"/>
        <v>6158</v>
      </c>
      <c r="AK151" s="312">
        <f t="shared" si="871"/>
        <v>6336</v>
      </c>
      <c r="AL151" s="312">
        <f t="shared" si="871"/>
        <v>6518</v>
      </c>
      <c r="AM151" s="312">
        <f t="shared" si="871"/>
        <v>6696</v>
      </c>
      <c r="AN151" s="312">
        <f t="shared" si="871"/>
        <v>6878</v>
      </c>
      <c r="AO151" s="312">
        <f t="shared" si="871"/>
        <v>7056</v>
      </c>
      <c r="AP151" s="312">
        <f t="shared" si="871"/>
        <v>7238</v>
      </c>
      <c r="AQ151" s="312">
        <f t="shared" si="871"/>
        <v>7416</v>
      </c>
      <c r="AR151" s="312">
        <f t="shared" si="871"/>
        <v>7597</v>
      </c>
      <c r="AS151" s="312">
        <f t="shared" si="871"/>
        <v>7775</v>
      </c>
      <c r="AT151" s="312">
        <f t="shared" si="871"/>
        <v>7957</v>
      </c>
      <c r="AU151" s="312">
        <f t="shared" si="871"/>
        <v>8135</v>
      </c>
      <c r="AV151" s="312">
        <f t="shared" si="871"/>
        <v>8317</v>
      </c>
      <c r="AW151" s="312">
        <f t="shared" si="871"/>
        <v>8495</v>
      </c>
      <c r="AX151" s="312">
        <f t="shared" si="871"/>
        <v>8677</v>
      </c>
      <c r="AY151" s="312">
        <f t="shared" si="871"/>
        <v>8855</v>
      </c>
      <c r="AZ151" s="312">
        <f t="shared" si="871"/>
        <v>9036</v>
      </c>
      <c r="BA151" s="312">
        <f t="shared" si="871"/>
        <v>9214</v>
      </c>
      <c r="BB151" s="312">
        <f t="shared" si="871"/>
        <v>9396</v>
      </c>
      <c r="BC151" s="312">
        <f t="shared" si="871"/>
        <v>9574</v>
      </c>
      <c r="BD151" s="312">
        <f t="shared" si="871"/>
        <v>9756</v>
      </c>
      <c r="BE151" s="312">
        <f t="shared" si="871"/>
        <v>9934</v>
      </c>
      <c r="BF151" s="312">
        <f t="shared" si="871"/>
        <v>10116</v>
      </c>
      <c r="BG151" s="312">
        <f t="shared" si="871"/>
        <v>10294</v>
      </c>
      <c r="BH151" s="312">
        <f t="shared" si="871"/>
        <v>10475</v>
      </c>
      <c r="BI151" s="312">
        <f t="shared" si="871"/>
        <v>10653</v>
      </c>
      <c r="BJ151" s="312">
        <f t="shared" si="871"/>
        <v>10835</v>
      </c>
      <c r="BK151" s="312">
        <f t="shared" si="871"/>
        <v>11013</v>
      </c>
      <c r="BL151" s="312">
        <f t="shared" si="871"/>
        <v>11195</v>
      </c>
      <c r="BM151" s="312">
        <f t="shared" si="871"/>
        <v>11373</v>
      </c>
      <c r="BN151" s="312">
        <f t="shared" ref="BN151:CB151" si="872">DAYS360($B$3,BN56)</f>
        <v>11555</v>
      </c>
      <c r="BO151" s="312">
        <f t="shared" si="872"/>
        <v>11733</v>
      </c>
      <c r="BP151" s="312">
        <f t="shared" si="872"/>
        <v>11914</v>
      </c>
      <c r="BQ151" s="312">
        <f t="shared" si="872"/>
        <v>12092</v>
      </c>
      <c r="BR151" s="312">
        <f t="shared" si="872"/>
        <v>12274</v>
      </c>
      <c r="BS151" s="312">
        <f t="shared" si="872"/>
        <v>12452</v>
      </c>
      <c r="BT151" s="312">
        <f t="shared" si="872"/>
        <v>12634</v>
      </c>
      <c r="BU151" s="312">
        <f t="shared" si="872"/>
        <v>12812</v>
      </c>
      <c r="BV151" s="312">
        <f t="shared" si="872"/>
        <v>12994</v>
      </c>
      <c r="BW151" s="312">
        <f t="shared" si="872"/>
        <v>13172</v>
      </c>
      <c r="BX151" s="312">
        <f t="shared" si="872"/>
        <v>13353</v>
      </c>
      <c r="BY151" s="312">
        <f t="shared" si="872"/>
        <v>13531</v>
      </c>
      <c r="BZ151" s="312">
        <f t="shared" si="872"/>
        <v>13713</v>
      </c>
      <c r="CA151" s="312">
        <f t="shared" si="872"/>
        <v>13891</v>
      </c>
      <c r="CB151" s="312">
        <f t="shared" si="872"/>
        <v>14073</v>
      </c>
    </row>
    <row r="152" spans="1:80">
      <c r="A152" s="311" t="s">
        <v>41</v>
      </c>
      <c r="B152" s="312">
        <f>B151/360</f>
        <v>0.11944444444444445</v>
      </c>
      <c r="C152" s="312">
        <f t="shared" ref="C152:BN152" si="873">C151/360</f>
        <v>0.61388888888888893</v>
      </c>
      <c r="D152" s="312">
        <f t="shared" si="873"/>
        <v>1.1166666666666667</v>
      </c>
      <c r="E152" s="312">
        <f t="shared" si="873"/>
        <v>1.6111111111111112</v>
      </c>
      <c r="F152" s="312">
        <f t="shared" si="873"/>
        <v>2.1166666666666667</v>
      </c>
      <c r="G152" s="312">
        <f t="shared" si="873"/>
        <v>2.6111111111111112</v>
      </c>
      <c r="H152" s="312">
        <f t="shared" si="873"/>
        <v>3.1166666666666667</v>
      </c>
      <c r="I152" s="312">
        <f t="shared" si="873"/>
        <v>3.6111111111111112</v>
      </c>
      <c r="J152" s="312">
        <f t="shared" si="873"/>
        <v>4.1166666666666663</v>
      </c>
      <c r="K152" s="312">
        <f t="shared" si="873"/>
        <v>4.6111111111111107</v>
      </c>
      <c r="L152" s="312">
        <f t="shared" si="873"/>
        <v>5.1138888888888889</v>
      </c>
      <c r="M152" s="312">
        <f t="shared" si="873"/>
        <v>5.6083333333333334</v>
      </c>
      <c r="N152" s="312">
        <f t="shared" si="873"/>
        <v>6.1138888888888889</v>
      </c>
      <c r="O152" s="312">
        <f t="shared" si="873"/>
        <v>6.6083333333333334</v>
      </c>
      <c r="P152" s="312">
        <f t="shared" si="873"/>
        <v>7.1138888888888889</v>
      </c>
      <c r="Q152" s="312">
        <f t="shared" si="873"/>
        <v>7.6083333333333334</v>
      </c>
      <c r="R152" s="312">
        <f t="shared" si="873"/>
        <v>8.1138888888888889</v>
      </c>
      <c r="S152" s="312">
        <f t="shared" si="873"/>
        <v>8.6083333333333325</v>
      </c>
      <c r="T152" s="312">
        <f t="shared" si="873"/>
        <v>9.1111111111111107</v>
      </c>
      <c r="U152" s="312">
        <f t="shared" si="873"/>
        <v>9.6055555555555561</v>
      </c>
      <c r="V152" s="312">
        <f t="shared" si="873"/>
        <v>10.111111111111111</v>
      </c>
      <c r="W152" s="312">
        <f t="shared" si="873"/>
        <v>10.605555555555556</v>
      </c>
      <c r="X152" s="312">
        <f t="shared" si="873"/>
        <v>11.111111111111111</v>
      </c>
      <c r="Y152" s="312">
        <f t="shared" si="873"/>
        <v>11.605555555555556</v>
      </c>
      <c r="Z152" s="312">
        <f t="shared" si="873"/>
        <v>12.111111111111111</v>
      </c>
      <c r="AA152" s="312">
        <f t="shared" si="873"/>
        <v>12.605555555555556</v>
      </c>
      <c r="AB152" s="312">
        <f t="shared" si="873"/>
        <v>13.108333333333333</v>
      </c>
      <c r="AC152" s="312">
        <f t="shared" si="873"/>
        <v>13.602777777777778</v>
      </c>
      <c r="AD152" s="312">
        <f t="shared" si="873"/>
        <v>14.108333333333333</v>
      </c>
      <c r="AE152" s="312">
        <f t="shared" si="873"/>
        <v>14.602777777777778</v>
      </c>
      <c r="AF152" s="312">
        <f t="shared" si="873"/>
        <v>15.108333333333333</v>
      </c>
      <c r="AG152" s="312">
        <f t="shared" si="873"/>
        <v>15.602777777777778</v>
      </c>
      <c r="AH152" s="312">
        <f t="shared" si="873"/>
        <v>16.108333333333334</v>
      </c>
      <c r="AI152" s="312">
        <f t="shared" si="873"/>
        <v>16.602777777777778</v>
      </c>
      <c r="AJ152" s="312">
        <f t="shared" si="873"/>
        <v>17.105555555555554</v>
      </c>
      <c r="AK152" s="312">
        <f t="shared" si="873"/>
        <v>17.600000000000001</v>
      </c>
      <c r="AL152" s="312">
        <f t="shared" si="873"/>
        <v>18.105555555555554</v>
      </c>
      <c r="AM152" s="312">
        <f t="shared" si="873"/>
        <v>18.600000000000001</v>
      </c>
      <c r="AN152" s="312">
        <f t="shared" si="873"/>
        <v>19.105555555555554</v>
      </c>
      <c r="AO152" s="312">
        <f t="shared" si="873"/>
        <v>19.600000000000001</v>
      </c>
      <c r="AP152" s="312">
        <f t="shared" si="873"/>
        <v>20.105555555555554</v>
      </c>
      <c r="AQ152" s="312">
        <f t="shared" si="873"/>
        <v>20.6</v>
      </c>
      <c r="AR152" s="312">
        <f t="shared" si="873"/>
        <v>21.102777777777778</v>
      </c>
      <c r="AS152" s="312">
        <f t="shared" si="873"/>
        <v>21.597222222222221</v>
      </c>
      <c r="AT152" s="312">
        <f t="shared" si="873"/>
        <v>22.102777777777778</v>
      </c>
      <c r="AU152" s="312">
        <f t="shared" si="873"/>
        <v>22.597222222222221</v>
      </c>
      <c r="AV152" s="312">
        <f t="shared" si="873"/>
        <v>23.102777777777778</v>
      </c>
      <c r="AW152" s="312">
        <f t="shared" si="873"/>
        <v>23.597222222222221</v>
      </c>
      <c r="AX152" s="312">
        <f t="shared" si="873"/>
        <v>24.102777777777778</v>
      </c>
      <c r="AY152" s="312">
        <f t="shared" si="873"/>
        <v>24.597222222222221</v>
      </c>
      <c r="AZ152" s="312">
        <f t="shared" si="873"/>
        <v>25.1</v>
      </c>
      <c r="BA152" s="312">
        <f t="shared" si="873"/>
        <v>25.594444444444445</v>
      </c>
      <c r="BB152" s="312">
        <f t="shared" si="873"/>
        <v>26.1</v>
      </c>
      <c r="BC152" s="312">
        <f t="shared" si="873"/>
        <v>26.594444444444445</v>
      </c>
      <c r="BD152" s="312">
        <f t="shared" si="873"/>
        <v>27.1</v>
      </c>
      <c r="BE152" s="312">
        <f t="shared" si="873"/>
        <v>27.594444444444445</v>
      </c>
      <c r="BF152" s="312">
        <f t="shared" si="873"/>
        <v>28.1</v>
      </c>
      <c r="BG152" s="312">
        <f t="shared" si="873"/>
        <v>28.594444444444445</v>
      </c>
      <c r="BH152" s="312">
        <f t="shared" si="873"/>
        <v>29.097222222222221</v>
      </c>
      <c r="BI152" s="312">
        <f t="shared" si="873"/>
        <v>29.591666666666665</v>
      </c>
      <c r="BJ152" s="312">
        <f t="shared" si="873"/>
        <v>30.097222222222221</v>
      </c>
      <c r="BK152" s="312">
        <f t="shared" si="873"/>
        <v>30.591666666666665</v>
      </c>
      <c r="BL152" s="312">
        <f t="shared" si="873"/>
        <v>31.097222222222221</v>
      </c>
      <c r="BM152" s="312">
        <f t="shared" si="873"/>
        <v>31.591666666666665</v>
      </c>
      <c r="BN152" s="312">
        <f t="shared" si="873"/>
        <v>32.097222222222221</v>
      </c>
      <c r="BO152" s="312">
        <f t="shared" ref="BO152:CB152" si="874">BO151/360</f>
        <v>32.591666666666669</v>
      </c>
      <c r="BP152" s="312">
        <f t="shared" si="874"/>
        <v>33.094444444444441</v>
      </c>
      <c r="BQ152" s="312">
        <f t="shared" si="874"/>
        <v>33.588888888888889</v>
      </c>
      <c r="BR152" s="312">
        <f t="shared" si="874"/>
        <v>34.094444444444441</v>
      </c>
      <c r="BS152" s="312">
        <f t="shared" si="874"/>
        <v>34.588888888888889</v>
      </c>
      <c r="BT152" s="312">
        <f t="shared" si="874"/>
        <v>35.094444444444441</v>
      </c>
      <c r="BU152" s="312">
        <f t="shared" si="874"/>
        <v>35.588888888888889</v>
      </c>
      <c r="BV152" s="312">
        <f t="shared" si="874"/>
        <v>36.094444444444441</v>
      </c>
      <c r="BW152" s="312">
        <f t="shared" si="874"/>
        <v>36.588888888888889</v>
      </c>
      <c r="BX152" s="312">
        <f t="shared" si="874"/>
        <v>37.091666666666669</v>
      </c>
      <c r="BY152" s="312">
        <f t="shared" si="874"/>
        <v>37.586111111111109</v>
      </c>
      <c r="BZ152" s="312">
        <f t="shared" si="874"/>
        <v>38.091666666666669</v>
      </c>
      <c r="CA152" s="312">
        <f t="shared" si="874"/>
        <v>38.586111111111109</v>
      </c>
      <c r="CB152" s="312">
        <f t="shared" si="874"/>
        <v>39.091666666666669</v>
      </c>
    </row>
    <row r="153" spans="1:80">
      <c r="A153" s="311" t="s">
        <v>43</v>
      </c>
      <c r="B153" s="312">
        <f>IF(B151&lt;0,0,$B$5+$B$6*((1-EXP(-B152/$B$9))/(B152/$B$9))+$B$7*((1-EXP(-B152/$B$9))/(B152/$B$9)-EXP(-B152/$B$9))+$B$8*((1-EXP(-B152/$B$10))/(B152/$B$10)-EXP(-B152/$B$10)))</f>
        <v>1.7479855880234312E-2</v>
      </c>
      <c r="C153" s="312">
        <f t="shared" ref="C153:BN153" si="875">IF(C151&lt;0,0,$B$5+$B$6*((1-EXP(-C152/$B$9))/(C152/$B$9))+$B$7*((1-EXP(-C152/$B$9))/(C152/$B$9)-EXP(-C152/$B$9))+$B$8*((1-EXP(-C152/$B$10))/(C152/$B$10)-EXP(-C152/$B$10)))</f>
        <v>1.7511832796269649E-2</v>
      </c>
      <c r="D153" s="312">
        <f t="shared" si="875"/>
        <v>1.7560104094283838E-2</v>
      </c>
      <c r="E153" s="312">
        <f t="shared" si="875"/>
        <v>1.7622012664277653E-2</v>
      </c>
      <c r="F153" s="312">
        <f t="shared" si="875"/>
        <v>1.7699079149213606E-2</v>
      </c>
      <c r="G153" s="312">
        <f t="shared" si="875"/>
        <v>1.7786959970177624E-2</v>
      </c>
      <c r="H153" s="312">
        <f t="shared" si="875"/>
        <v>1.7888671102463352E-2</v>
      </c>
      <c r="I153" s="312">
        <f t="shared" si="875"/>
        <v>1.7998882675334144E-2</v>
      </c>
      <c r="J153" s="312">
        <f t="shared" si="875"/>
        <v>1.8121709808022468E-2</v>
      </c>
      <c r="K153" s="312">
        <f t="shared" si="875"/>
        <v>1.8250983069438537E-2</v>
      </c>
      <c r="L153" s="312">
        <f t="shared" si="875"/>
        <v>1.8390965537032289E-2</v>
      </c>
      <c r="M153" s="312">
        <f t="shared" si="875"/>
        <v>1.8536330401057566E-2</v>
      </c>
      <c r="N153" s="312">
        <f t="shared" si="875"/>
        <v>1.8692189032365886E-2</v>
      </c>
      <c r="O153" s="312">
        <f t="shared" si="875"/>
        <v>1.8851074350991981E-2</v>
      </c>
      <c r="P153" s="312">
        <f t="shared" si="875"/>
        <v>1.9019527917276735E-2</v>
      </c>
      <c r="Q153" s="312">
        <f t="shared" si="875"/>
        <v>1.9189596025648181E-2</v>
      </c>
      <c r="R153" s="312">
        <f t="shared" si="875"/>
        <v>1.9368388616787857E-2</v>
      </c>
      <c r="S153" s="312">
        <f t="shared" si="875"/>
        <v>1.95475583739943E-2</v>
      </c>
      <c r="T153" s="312">
        <f t="shared" si="875"/>
        <v>1.9733645816066014E-2</v>
      </c>
      <c r="U153" s="312">
        <f t="shared" si="875"/>
        <v>1.9920051120210558E-2</v>
      </c>
      <c r="V153" s="312">
        <f t="shared" si="875"/>
        <v>2.0113714549130801E-2</v>
      </c>
      <c r="W153" s="312">
        <f t="shared" si="875"/>
        <v>2.0305740162430919E-2</v>
      </c>
      <c r="X153" s="312">
        <f t="shared" si="875"/>
        <v>2.0504387411195202E-2</v>
      </c>
      <c r="Y153" s="312">
        <f t="shared" si="875"/>
        <v>2.0700586499582396E-2</v>
      </c>
      <c r="Z153" s="312">
        <f t="shared" si="875"/>
        <v>2.090282871633925E-2</v>
      </c>
      <c r="AA153" s="312">
        <f t="shared" si="875"/>
        <v>2.110192707403874E-2</v>
      </c>
      <c r="AB153" s="312">
        <f t="shared" si="875"/>
        <v>2.1305416461488647E-2</v>
      </c>
      <c r="AC153" s="312">
        <f t="shared" si="875"/>
        <v>2.1506292127783211E-2</v>
      </c>
      <c r="AD153" s="312">
        <f t="shared" si="875"/>
        <v>2.1712209781331093E-2</v>
      </c>
      <c r="AE153" s="312">
        <f t="shared" si="875"/>
        <v>2.1913890750464404E-2</v>
      </c>
      <c r="AF153" s="312">
        <f t="shared" si="875"/>
        <v>2.2120180926384514E-2</v>
      </c>
      <c r="AG153" s="312">
        <f t="shared" si="875"/>
        <v>2.2321815067461892E-2</v>
      </c>
      <c r="AH153" s="312">
        <f t="shared" si="875"/>
        <v>2.2527666051342765E-2</v>
      </c>
      <c r="AI153" s="312">
        <f t="shared" si="875"/>
        <v>2.2728514691301216E-2</v>
      </c>
      <c r="AJ153" s="312">
        <f t="shared" si="875"/>
        <v>2.2932101953030359E-2</v>
      </c>
      <c r="AK153" s="312">
        <f t="shared" si="875"/>
        <v>2.3131532912928243E-2</v>
      </c>
      <c r="AL153" s="312">
        <f t="shared" si="875"/>
        <v>2.3334504066343298E-2</v>
      </c>
      <c r="AM153" s="312">
        <f t="shared" si="875"/>
        <v>2.3531968163307104E-2</v>
      </c>
      <c r="AN153" s="312">
        <f t="shared" si="875"/>
        <v>2.37326809240056E-2</v>
      </c>
      <c r="AO153" s="312">
        <f t="shared" si="875"/>
        <v>2.3927713516211757E-2</v>
      </c>
      <c r="AP153" s="312">
        <f t="shared" si="875"/>
        <v>2.4125731002824835E-2</v>
      </c>
      <c r="AQ153" s="312">
        <f t="shared" si="875"/>
        <v>2.4317940088679157E-2</v>
      </c>
      <c r="AR153" s="312">
        <f t="shared" si="875"/>
        <v>2.4511828822115667E-2</v>
      </c>
      <c r="AS153" s="312">
        <f t="shared" si="875"/>
        <v>2.4700896221214519E-2</v>
      </c>
      <c r="AT153" s="312">
        <f t="shared" si="875"/>
        <v>2.4892494871509241E-2</v>
      </c>
      <c r="AU153" s="312">
        <f t="shared" si="875"/>
        <v>2.5078142231429346E-2</v>
      </c>
      <c r="AV153" s="312">
        <f t="shared" si="875"/>
        <v>2.5266125887795587E-2</v>
      </c>
      <c r="AW153" s="312">
        <f t="shared" si="875"/>
        <v>2.5448134126964173E-2</v>
      </c>
      <c r="AX153" s="312">
        <f t="shared" si="875"/>
        <v>2.5632302529256523E-2</v>
      </c>
      <c r="AY153" s="312">
        <f t="shared" si="875"/>
        <v>2.5810497617872186E-2</v>
      </c>
      <c r="AZ153" s="312">
        <f t="shared" si="875"/>
        <v>2.5989709283677609E-2</v>
      </c>
      <c r="BA153" s="312">
        <f t="shared" si="875"/>
        <v>2.6163968045103569E-2</v>
      </c>
      <c r="BB153" s="312">
        <f t="shared" si="875"/>
        <v>2.6340084599319025E-2</v>
      </c>
      <c r="BC153" s="312">
        <f t="shared" si="875"/>
        <v>2.6510296799185651E-2</v>
      </c>
      <c r="BD153" s="312">
        <f t="shared" si="875"/>
        <v>2.6682237043922807E-2</v>
      </c>
      <c r="BE153" s="312">
        <f t="shared" si="875"/>
        <v>2.6848333892870585E-2</v>
      </c>
      <c r="BF153" s="312">
        <f t="shared" si="875"/>
        <v>2.7016041649710609E-2</v>
      </c>
      <c r="BG153" s="312">
        <f t="shared" si="875"/>
        <v>2.7177981136803836E-2</v>
      </c>
      <c r="BH153" s="312">
        <f t="shared" si="875"/>
        <v>2.734053363618616E-2</v>
      </c>
      <c r="BI153" s="312">
        <f t="shared" si="875"/>
        <v>2.7498308662868509E-2</v>
      </c>
      <c r="BJ153" s="312">
        <f t="shared" si="875"/>
        <v>2.765749363159653E-2</v>
      </c>
      <c r="BK153" s="312">
        <f t="shared" si="875"/>
        <v>2.7811094050932045E-2</v>
      </c>
      <c r="BL153" s="312">
        <f t="shared" si="875"/>
        <v>2.7966018188066877E-2</v>
      </c>
      <c r="BM153" s="312">
        <f t="shared" si="875"/>
        <v>2.8115462856881185E-2</v>
      </c>
      <c r="BN153" s="312">
        <f t="shared" si="875"/>
        <v>2.8266153376545394E-2</v>
      </c>
      <c r="BO153" s="312">
        <f t="shared" ref="BO153:CB153" si="876">IF(BO151&lt;0,0,$B$5+$B$6*((1-EXP(-BO152/$B$9))/(BO152/$B$9))+$B$7*((1-EXP(-BO152/$B$9))/(BO152/$B$9)-EXP(-BO152/$B$9))+$B$8*((1-EXP(-BO152/$B$10))/(BO152/$B$10)-EXP(-BO152/$B$10)))</f>
        <v>2.8411476085819259E-2</v>
      </c>
      <c r="BP153" s="312">
        <f t="shared" si="876"/>
        <v>2.8557175121418837E-2</v>
      </c>
      <c r="BQ153" s="312">
        <f t="shared" si="876"/>
        <v>2.8698433626493575E-2</v>
      </c>
      <c r="BR153" s="312">
        <f t="shared" si="876"/>
        <v>2.8840804247033142E-2</v>
      </c>
      <c r="BS153" s="312">
        <f t="shared" si="876"/>
        <v>2.8978044385706503E-2</v>
      </c>
      <c r="BT153" s="312">
        <f t="shared" si="876"/>
        <v>2.9116339155235843E-2</v>
      </c>
      <c r="BU153" s="312">
        <f t="shared" si="876"/>
        <v>2.9249627155964936E-2</v>
      </c>
      <c r="BV153" s="312">
        <f t="shared" si="876"/>
        <v>2.9383917784152974E-2</v>
      </c>
      <c r="BW153" s="312">
        <f t="shared" si="876"/>
        <v>2.951332732213055E-2</v>
      </c>
      <c r="BX153" s="312">
        <f t="shared" si="876"/>
        <v>2.9642981472591867E-2</v>
      </c>
      <c r="BY153" s="312">
        <f t="shared" si="876"/>
        <v>2.9768602732837823E-2</v>
      </c>
      <c r="BZ153" s="312">
        <f t="shared" si="876"/>
        <v>2.9895136997630217E-2</v>
      </c>
      <c r="CA153" s="312">
        <f t="shared" si="876"/>
        <v>3.0017043911665431E-2</v>
      </c>
      <c r="CB153" s="312">
        <f t="shared" si="876"/>
        <v>3.0139825130984371E-2</v>
      </c>
    </row>
    <row r="154" spans="1:80">
      <c r="A154" s="311" t="s">
        <v>44</v>
      </c>
      <c r="B154" s="312">
        <f>EXP(-B153*B152)</f>
        <v>0.99791430641336143</v>
      </c>
      <c r="C154" s="312">
        <f t="shared" ref="C154:AR154" si="877">EXP(-C153*C152)</f>
        <v>0.98930725859517343</v>
      </c>
      <c r="D154" s="312">
        <f t="shared" si="877"/>
        <v>0.98058221880385688</v>
      </c>
      <c r="E154" s="312">
        <f t="shared" si="877"/>
        <v>0.97200821743756716</v>
      </c>
      <c r="F154" s="312">
        <f t="shared" si="877"/>
        <v>0.96323000757809185</v>
      </c>
      <c r="G154" s="312">
        <f t="shared" si="877"/>
        <v>0.95461827656406961</v>
      </c>
      <c r="H154" s="312">
        <f t="shared" si="877"/>
        <v>0.94577268931873637</v>
      </c>
      <c r="I154" s="312">
        <f t="shared" si="877"/>
        <v>0.93707124424938515</v>
      </c>
      <c r="J154" s="312">
        <f t="shared" si="877"/>
        <v>0.92811369391126985</v>
      </c>
      <c r="K154" s="312">
        <f t="shared" si="877"/>
        <v>0.91928663098596664</v>
      </c>
      <c r="L154" s="312">
        <f t="shared" si="877"/>
        <v>0.91023783696651839</v>
      </c>
      <c r="M154" s="312">
        <f t="shared" si="877"/>
        <v>0.90126322208072707</v>
      </c>
      <c r="N154" s="312">
        <f t="shared" si="877"/>
        <v>0.89200640419776622</v>
      </c>
      <c r="O154" s="312">
        <f t="shared" si="877"/>
        <v>0.88287276478426491</v>
      </c>
      <c r="P154" s="312">
        <f t="shared" si="877"/>
        <v>0.87345138329108507</v>
      </c>
      <c r="Q154" s="312">
        <f t="shared" si="877"/>
        <v>0.86415697461779017</v>
      </c>
      <c r="R154" s="312">
        <f t="shared" si="877"/>
        <v>0.85457333909969935</v>
      </c>
      <c r="S154" s="312">
        <f t="shared" si="877"/>
        <v>0.84512401562868855</v>
      </c>
      <c r="T154" s="312">
        <f t="shared" si="877"/>
        <v>0.83544109204891148</v>
      </c>
      <c r="U154" s="312">
        <f t="shared" si="877"/>
        <v>0.82584914302444601</v>
      </c>
      <c r="V154" s="312">
        <f t="shared" si="877"/>
        <v>0.81597464021942656</v>
      </c>
      <c r="W154" s="312">
        <f t="shared" si="877"/>
        <v>0.80625625288226899</v>
      </c>
      <c r="X154" s="312">
        <f t="shared" si="877"/>
        <v>0.79626237804508226</v>
      </c>
      <c r="Y154" s="312">
        <f t="shared" si="877"/>
        <v>0.78643767221132144</v>
      </c>
      <c r="Z154" s="312">
        <f t="shared" si="877"/>
        <v>0.77634638876579443</v>
      </c>
      <c r="AA154" s="312">
        <f t="shared" si="877"/>
        <v>0.76643796706624656</v>
      </c>
      <c r="AB154" s="312">
        <f t="shared" si="877"/>
        <v>0.756329235596783</v>
      </c>
      <c r="AC154" s="312">
        <f t="shared" si="877"/>
        <v>0.74636142466443522</v>
      </c>
      <c r="AD154" s="312">
        <f t="shared" si="877"/>
        <v>0.736148736526551</v>
      </c>
      <c r="AE154" s="312">
        <f t="shared" si="877"/>
        <v>0.72614636711897274</v>
      </c>
      <c r="AF154" s="312">
        <f t="shared" si="877"/>
        <v>0.71591125385786414</v>
      </c>
      <c r="AG154" s="312">
        <f t="shared" si="877"/>
        <v>0.70589955845012387</v>
      </c>
      <c r="AH154" s="312">
        <f t="shared" si="877"/>
        <v>0.69566771475607325</v>
      </c>
      <c r="AI154" s="312">
        <f t="shared" si="877"/>
        <v>0.68567160304468922</v>
      </c>
      <c r="AJ154" s="312">
        <f t="shared" si="877"/>
        <v>0.67552416821374195</v>
      </c>
      <c r="AK154" s="312">
        <f t="shared" si="877"/>
        <v>0.66556765941989671</v>
      </c>
      <c r="AL154" s="312">
        <f t="shared" si="877"/>
        <v>0.65541663621813495</v>
      </c>
      <c r="AM154" s="312">
        <f t="shared" si="877"/>
        <v>0.64552289038964639</v>
      </c>
      <c r="AN154" s="312">
        <f t="shared" si="877"/>
        <v>0.63544734114181667</v>
      </c>
      <c r="AO154" s="312">
        <f t="shared" si="877"/>
        <v>0.62563810322402669</v>
      </c>
      <c r="AP154" s="312">
        <f t="shared" si="877"/>
        <v>0.61565950186001772</v>
      </c>
      <c r="AQ154" s="312">
        <f t="shared" si="877"/>
        <v>0.60595499228558303</v>
      </c>
      <c r="AR154" s="312">
        <f t="shared" si="877"/>
        <v>0.59614719164528696</v>
      </c>
      <c r="AS154" s="312">
        <f>EXP(-AS153*AS152)</f>
        <v>0.58656561314396949</v>
      </c>
      <c r="AT154" s="312">
        <f t="shared" ref="AT154:CA154" si="878">EXP(-AT153*AT152)</f>
        <v>0.57683830686680782</v>
      </c>
      <c r="AU154" s="312">
        <f t="shared" si="878"/>
        <v>0.56739682465877894</v>
      </c>
      <c r="AV154" s="312">
        <f t="shared" si="878"/>
        <v>0.55782070151220431</v>
      </c>
      <c r="AW154" s="312">
        <f t="shared" si="878"/>
        <v>0.54853440471685533</v>
      </c>
      <c r="AX154" s="312">
        <f t="shared" si="878"/>
        <v>0.53912399303334091</v>
      </c>
      <c r="AY154" s="312">
        <f t="shared" si="878"/>
        <v>0.53000621527384872</v>
      </c>
      <c r="AZ154" s="312">
        <f t="shared" si="878"/>
        <v>0.52082473081030556</v>
      </c>
      <c r="BA154" s="312">
        <f t="shared" si="878"/>
        <v>0.51188656737864158</v>
      </c>
      <c r="BB154" s="312">
        <f t="shared" si="878"/>
        <v>0.50284354146092802</v>
      </c>
      <c r="BC154" s="312">
        <f t="shared" si="878"/>
        <v>0.49409542351815</v>
      </c>
      <c r="BD154" s="312">
        <f t="shared" si="878"/>
        <v>0.48525118063541095</v>
      </c>
      <c r="BE154" s="312">
        <f t="shared" si="878"/>
        <v>0.47670145810294201</v>
      </c>
      <c r="BF154" s="312">
        <f t="shared" si="878"/>
        <v>0.46806375188897731</v>
      </c>
      <c r="BG154" s="312">
        <f t="shared" si="878"/>
        <v>0.45971926387535655</v>
      </c>
      <c r="BH154" s="312">
        <f t="shared" si="878"/>
        <v>0.45134034317745753</v>
      </c>
      <c r="BI154" s="312">
        <f t="shared" si="878"/>
        <v>0.4432059210587449</v>
      </c>
      <c r="BJ154" s="312">
        <f t="shared" si="878"/>
        <v>0.43499804944418757</v>
      </c>
      <c r="BK154" s="312">
        <f t="shared" si="878"/>
        <v>0.42707838172460116</v>
      </c>
      <c r="BL154" s="312">
        <f t="shared" si="878"/>
        <v>0.41909171941435414</v>
      </c>
      <c r="BM154" s="312">
        <f t="shared" si="878"/>
        <v>0.41138970320222656</v>
      </c>
      <c r="BN154" s="312">
        <f t="shared" si="878"/>
        <v>0.4036266321051048</v>
      </c>
      <c r="BO154" s="312">
        <f t="shared" si="878"/>
        <v>0.3961440552092883</v>
      </c>
      <c r="BP154" s="312">
        <f t="shared" si="878"/>
        <v>0.38864698321707103</v>
      </c>
      <c r="BQ154" s="312">
        <f t="shared" si="878"/>
        <v>0.38138401488856305</v>
      </c>
      <c r="BR154" s="312">
        <f t="shared" si="878"/>
        <v>0.37407042463401752</v>
      </c>
      <c r="BS154" s="312">
        <f t="shared" si="878"/>
        <v>0.36702755299151435</v>
      </c>
      <c r="BT154" s="312">
        <f t="shared" si="878"/>
        <v>0.35993862545657307</v>
      </c>
      <c r="BU154" s="312">
        <f t="shared" si="878"/>
        <v>0.353114917078515</v>
      </c>
      <c r="BV154" s="312">
        <f t="shared" si="878"/>
        <v>0.34624931908631784</v>
      </c>
      <c r="BW154" s="312">
        <f t="shared" si="878"/>
        <v>0.33964312189017309</v>
      </c>
      <c r="BX154" s="312">
        <f t="shared" si="878"/>
        <v>0.33303503384707789</v>
      </c>
      <c r="BY154" s="312">
        <f t="shared" si="878"/>
        <v>0.32664346959891011</v>
      </c>
      <c r="BZ154" s="312">
        <f t="shared" si="878"/>
        <v>0.32021725442632976</v>
      </c>
      <c r="CA154" s="312">
        <f t="shared" si="878"/>
        <v>0.3140380909721745</v>
      </c>
      <c r="CB154" s="312">
        <f>EXP(-CB153*CB152)</f>
        <v>0.30782741393960439</v>
      </c>
    </row>
    <row r="156" spans="1:80">
      <c r="A156" s="311" t="s">
        <v>40</v>
      </c>
      <c r="B156" s="312">
        <f t="shared" ref="B156:AG156" si="879">DAYS360($B$3,B58)</f>
        <v>133</v>
      </c>
      <c r="C156" s="312">
        <f t="shared" si="879"/>
        <v>313</v>
      </c>
      <c r="D156" s="312">
        <f t="shared" si="879"/>
        <v>492</v>
      </c>
      <c r="E156" s="312">
        <f t="shared" si="879"/>
        <v>673</v>
      </c>
      <c r="F156" s="312">
        <f t="shared" si="879"/>
        <v>852</v>
      </c>
      <c r="G156" s="312">
        <f t="shared" si="879"/>
        <v>1033</v>
      </c>
      <c r="H156" s="312">
        <f t="shared" si="879"/>
        <v>1212</v>
      </c>
      <c r="I156" s="312">
        <f t="shared" si="879"/>
        <v>1393</v>
      </c>
      <c r="J156" s="312">
        <f t="shared" si="879"/>
        <v>1572</v>
      </c>
      <c r="K156" s="312">
        <f t="shared" si="879"/>
        <v>1752</v>
      </c>
      <c r="L156" s="312">
        <f t="shared" si="879"/>
        <v>1931</v>
      </c>
      <c r="M156" s="312">
        <f t="shared" si="879"/>
        <v>2112</v>
      </c>
      <c r="N156" s="312">
        <f t="shared" si="879"/>
        <v>2291</v>
      </c>
      <c r="O156" s="312">
        <f t="shared" si="879"/>
        <v>2472</v>
      </c>
      <c r="P156" s="312">
        <f t="shared" si="879"/>
        <v>2651</v>
      </c>
      <c r="Q156" s="312">
        <f t="shared" si="879"/>
        <v>2832</v>
      </c>
      <c r="R156" s="312">
        <f t="shared" si="879"/>
        <v>3011</v>
      </c>
      <c r="S156" s="312">
        <f t="shared" si="879"/>
        <v>3191</v>
      </c>
      <c r="T156" s="312">
        <f t="shared" si="879"/>
        <v>3370</v>
      </c>
      <c r="U156" s="312">
        <f t="shared" si="879"/>
        <v>3551</v>
      </c>
      <c r="V156" s="312">
        <f t="shared" si="879"/>
        <v>3730</v>
      </c>
      <c r="W156" s="312">
        <f t="shared" si="879"/>
        <v>3911</v>
      </c>
      <c r="X156" s="312">
        <f t="shared" si="879"/>
        <v>4090</v>
      </c>
      <c r="Y156" s="312">
        <f t="shared" si="879"/>
        <v>4271</v>
      </c>
      <c r="Z156" s="312">
        <f t="shared" si="879"/>
        <v>4450</v>
      </c>
      <c r="AA156" s="312">
        <f t="shared" si="879"/>
        <v>4630</v>
      </c>
      <c r="AB156" s="312">
        <f t="shared" si="879"/>
        <v>4809</v>
      </c>
      <c r="AC156" s="312">
        <f t="shared" si="879"/>
        <v>4990</v>
      </c>
      <c r="AD156" s="312">
        <f t="shared" si="879"/>
        <v>5169</v>
      </c>
      <c r="AE156" s="312">
        <f t="shared" si="879"/>
        <v>5350</v>
      </c>
      <c r="AF156" s="312">
        <f t="shared" si="879"/>
        <v>5529</v>
      </c>
      <c r="AG156" s="312">
        <f t="shared" si="879"/>
        <v>5710</v>
      </c>
      <c r="AH156" s="312">
        <f t="shared" ref="AH156:BM156" si="880">DAYS360($B$3,AH58)</f>
        <v>5889</v>
      </c>
      <c r="AI156" s="312">
        <f t="shared" si="880"/>
        <v>6069</v>
      </c>
      <c r="AJ156" s="312">
        <f t="shared" si="880"/>
        <v>6248</v>
      </c>
      <c r="AK156" s="312">
        <f t="shared" si="880"/>
        <v>6429</v>
      </c>
      <c r="AL156" s="312">
        <f t="shared" si="880"/>
        <v>6608</v>
      </c>
      <c r="AM156" s="312">
        <f t="shared" si="880"/>
        <v>6789</v>
      </c>
      <c r="AN156" s="312">
        <f t="shared" si="880"/>
        <v>6968</v>
      </c>
      <c r="AO156" s="312">
        <f t="shared" si="880"/>
        <v>7149</v>
      </c>
      <c r="AP156" s="312">
        <f t="shared" si="880"/>
        <v>7328</v>
      </c>
      <c r="AQ156" s="312">
        <f t="shared" si="880"/>
        <v>7508</v>
      </c>
      <c r="AR156" s="312">
        <f t="shared" si="880"/>
        <v>7687</v>
      </c>
      <c r="AS156" s="312">
        <f t="shared" si="880"/>
        <v>7868</v>
      </c>
      <c r="AT156" s="312">
        <f t="shared" si="880"/>
        <v>8047</v>
      </c>
      <c r="AU156" s="312">
        <f t="shared" si="880"/>
        <v>8228</v>
      </c>
      <c r="AV156" s="312">
        <f t="shared" si="880"/>
        <v>8407</v>
      </c>
      <c r="AW156" s="312">
        <f t="shared" si="880"/>
        <v>8588</v>
      </c>
      <c r="AX156" s="312">
        <f t="shared" si="880"/>
        <v>8767</v>
      </c>
      <c r="AY156" s="312">
        <f t="shared" si="880"/>
        <v>8947</v>
      </c>
      <c r="AZ156" s="312">
        <f t="shared" si="880"/>
        <v>9126</v>
      </c>
      <c r="BA156" s="312">
        <f t="shared" si="880"/>
        <v>9307</v>
      </c>
      <c r="BB156" s="312">
        <f t="shared" si="880"/>
        <v>9486</v>
      </c>
      <c r="BC156" s="312">
        <f t="shared" si="880"/>
        <v>9667</v>
      </c>
      <c r="BD156" s="312">
        <f t="shared" si="880"/>
        <v>9846</v>
      </c>
      <c r="BE156" s="312">
        <f t="shared" si="880"/>
        <v>10027</v>
      </c>
      <c r="BF156" s="312">
        <f t="shared" si="880"/>
        <v>10206</v>
      </c>
      <c r="BG156" s="312">
        <f t="shared" si="880"/>
        <v>10386</v>
      </c>
      <c r="BH156" s="312">
        <f t="shared" si="880"/>
        <v>10565</v>
      </c>
      <c r="BI156" s="312">
        <f t="shared" si="880"/>
        <v>10746</v>
      </c>
      <c r="BJ156" s="312">
        <f t="shared" si="880"/>
        <v>10925</v>
      </c>
      <c r="BK156" s="312">
        <f t="shared" si="880"/>
        <v>11106</v>
      </c>
      <c r="BL156" s="312">
        <f t="shared" si="880"/>
        <v>11285</v>
      </c>
      <c r="BM156" s="312">
        <f t="shared" si="880"/>
        <v>11466</v>
      </c>
      <c r="BN156" s="312">
        <f t="shared" ref="BN156:CB156" si="881">DAYS360($B$3,BN58)</f>
        <v>11645</v>
      </c>
      <c r="BO156" s="312">
        <f t="shared" si="881"/>
        <v>11825</v>
      </c>
      <c r="BP156" s="312">
        <f t="shared" si="881"/>
        <v>12004</v>
      </c>
      <c r="BQ156" s="312">
        <f t="shared" si="881"/>
        <v>12185</v>
      </c>
      <c r="BR156" s="312">
        <f t="shared" si="881"/>
        <v>12364</v>
      </c>
      <c r="BS156" s="312">
        <f t="shared" si="881"/>
        <v>12545</v>
      </c>
      <c r="BT156" s="312">
        <f t="shared" si="881"/>
        <v>12724</v>
      </c>
      <c r="BU156" s="312">
        <f t="shared" si="881"/>
        <v>12905</v>
      </c>
      <c r="BV156" s="312">
        <f t="shared" si="881"/>
        <v>13084</v>
      </c>
      <c r="BW156" s="312">
        <f t="shared" si="881"/>
        <v>13264</v>
      </c>
      <c r="BX156" s="312">
        <f t="shared" si="881"/>
        <v>13443</v>
      </c>
      <c r="BY156" s="312">
        <f t="shared" si="881"/>
        <v>13624</v>
      </c>
      <c r="BZ156" s="312">
        <f t="shared" si="881"/>
        <v>13803</v>
      </c>
      <c r="CA156" s="312">
        <f t="shared" si="881"/>
        <v>13984</v>
      </c>
      <c r="CB156" s="312">
        <f t="shared" si="881"/>
        <v>14163</v>
      </c>
    </row>
    <row r="157" spans="1:80">
      <c r="A157" s="311" t="s">
        <v>41</v>
      </c>
      <c r="B157" s="312">
        <f>B156/360</f>
        <v>0.36944444444444446</v>
      </c>
      <c r="C157" s="312">
        <f t="shared" ref="C157:BN157" si="882">C156/360</f>
        <v>0.86944444444444446</v>
      </c>
      <c r="D157" s="312">
        <f t="shared" si="882"/>
        <v>1.3666666666666667</v>
      </c>
      <c r="E157" s="312">
        <f t="shared" si="882"/>
        <v>1.8694444444444445</v>
      </c>
      <c r="F157" s="312">
        <f t="shared" si="882"/>
        <v>2.3666666666666667</v>
      </c>
      <c r="G157" s="312">
        <f t="shared" si="882"/>
        <v>2.8694444444444445</v>
      </c>
      <c r="H157" s="312">
        <f t="shared" si="882"/>
        <v>3.3666666666666667</v>
      </c>
      <c r="I157" s="312">
        <f t="shared" si="882"/>
        <v>3.8694444444444445</v>
      </c>
      <c r="J157" s="312">
        <f t="shared" si="882"/>
        <v>4.3666666666666663</v>
      </c>
      <c r="K157" s="312">
        <f t="shared" si="882"/>
        <v>4.8666666666666663</v>
      </c>
      <c r="L157" s="312">
        <f t="shared" si="882"/>
        <v>5.3638888888888889</v>
      </c>
      <c r="M157" s="312">
        <f t="shared" si="882"/>
        <v>5.8666666666666663</v>
      </c>
      <c r="N157" s="312">
        <f t="shared" si="882"/>
        <v>6.3638888888888889</v>
      </c>
      <c r="O157" s="312">
        <f t="shared" si="882"/>
        <v>6.8666666666666663</v>
      </c>
      <c r="P157" s="312">
        <f t="shared" si="882"/>
        <v>7.3638888888888889</v>
      </c>
      <c r="Q157" s="312">
        <f t="shared" si="882"/>
        <v>7.8666666666666663</v>
      </c>
      <c r="R157" s="312">
        <f t="shared" si="882"/>
        <v>8.3638888888888889</v>
      </c>
      <c r="S157" s="312">
        <f t="shared" si="882"/>
        <v>8.8638888888888889</v>
      </c>
      <c r="T157" s="312">
        <f t="shared" si="882"/>
        <v>9.3611111111111107</v>
      </c>
      <c r="U157" s="312">
        <f t="shared" si="882"/>
        <v>9.8638888888888889</v>
      </c>
      <c r="V157" s="312">
        <f t="shared" si="882"/>
        <v>10.361111111111111</v>
      </c>
      <c r="W157" s="312">
        <f t="shared" si="882"/>
        <v>10.863888888888889</v>
      </c>
      <c r="X157" s="312">
        <f t="shared" si="882"/>
        <v>11.361111111111111</v>
      </c>
      <c r="Y157" s="312">
        <f t="shared" si="882"/>
        <v>11.863888888888889</v>
      </c>
      <c r="Z157" s="312">
        <f t="shared" si="882"/>
        <v>12.361111111111111</v>
      </c>
      <c r="AA157" s="312">
        <f t="shared" si="882"/>
        <v>12.861111111111111</v>
      </c>
      <c r="AB157" s="312">
        <f t="shared" si="882"/>
        <v>13.358333333333333</v>
      </c>
      <c r="AC157" s="312">
        <f t="shared" si="882"/>
        <v>13.861111111111111</v>
      </c>
      <c r="AD157" s="312">
        <f t="shared" si="882"/>
        <v>14.358333333333333</v>
      </c>
      <c r="AE157" s="312">
        <f t="shared" si="882"/>
        <v>14.861111111111111</v>
      </c>
      <c r="AF157" s="312">
        <f t="shared" si="882"/>
        <v>15.358333333333333</v>
      </c>
      <c r="AG157" s="312">
        <f t="shared" si="882"/>
        <v>15.861111111111111</v>
      </c>
      <c r="AH157" s="312">
        <f t="shared" si="882"/>
        <v>16.358333333333334</v>
      </c>
      <c r="AI157" s="312">
        <f t="shared" si="882"/>
        <v>16.858333333333334</v>
      </c>
      <c r="AJ157" s="312">
        <f t="shared" si="882"/>
        <v>17.355555555555554</v>
      </c>
      <c r="AK157" s="312">
        <f t="shared" si="882"/>
        <v>17.858333333333334</v>
      </c>
      <c r="AL157" s="312">
        <f t="shared" si="882"/>
        <v>18.355555555555554</v>
      </c>
      <c r="AM157" s="312">
        <f t="shared" si="882"/>
        <v>18.858333333333334</v>
      </c>
      <c r="AN157" s="312">
        <f t="shared" si="882"/>
        <v>19.355555555555554</v>
      </c>
      <c r="AO157" s="312">
        <f t="shared" si="882"/>
        <v>19.858333333333334</v>
      </c>
      <c r="AP157" s="312">
        <f t="shared" si="882"/>
        <v>20.355555555555554</v>
      </c>
      <c r="AQ157" s="312">
        <f t="shared" si="882"/>
        <v>20.855555555555554</v>
      </c>
      <c r="AR157" s="312">
        <f t="shared" si="882"/>
        <v>21.352777777777778</v>
      </c>
      <c r="AS157" s="312">
        <f t="shared" si="882"/>
        <v>21.855555555555554</v>
      </c>
      <c r="AT157" s="312">
        <f t="shared" si="882"/>
        <v>22.352777777777778</v>
      </c>
      <c r="AU157" s="312">
        <f t="shared" si="882"/>
        <v>22.855555555555554</v>
      </c>
      <c r="AV157" s="312">
        <f t="shared" si="882"/>
        <v>23.352777777777778</v>
      </c>
      <c r="AW157" s="312">
        <f t="shared" si="882"/>
        <v>23.855555555555554</v>
      </c>
      <c r="AX157" s="312">
        <f t="shared" si="882"/>
        <v>24.352777777777778</v>
      </c>
      <c r="AY157" s="312">
        <f t="shared" si="882"/>
        <v>24.852777777777778</v>
      </c>
      <c r="AZ157" s="312">
        <f t="shared" si="882"/>
        <v>25.35</v>
      </c>
      <c r="BA157" s="312">
        <f t="shared" si="882"/>
        <v>25.852777777777778</v>
      </c>
      <c r="BB157" s="312">
        <f t="shared" si="882"/>
        <v>26.35</v>
      </c>
      <c r="BC157" s="312">
        <f t="shared" si="882"/>
        <v>26.852777777777778</v>
      </c>
      <c r="BD157" s="312">
        <f t="shared" si="882"/>
        <v>27.35</v>
      </c>
      <c r="BE157" s="312">
        <f t="shared" si="882"/>
        <v>27.852777777777778</v>
      </c>
      <c r="BF157" s="312">
        <f t="shared" si="882"/>
        <v>28.35</v>
      </c>
      <c r="BG157" s="312">
        <f t="shared" si="882"/>
        <v>28.85</v>
      </c>
      <c r="BH157" s="312">
        <f t="shared" si="882"/>
        <v>29.347222222222221</v>
      </c>
      <c r="BI157" s="312">
        <f t="shared" si="882"/>
        <v>29.85</v>
      </c>
      <c r="BJ157" s="312">
        <f t="shared" si="882"/>
        <v>30.347222222222221</v>
      </c>
      <c r="BK157" s="312">
        <f t="shared" si="882"/>
        <v>30.85</v>
      </c>
      <c r="BL157" s="312">
        <f t="shared" si="882"/>
        <v>31.347222222222221</v>
      </c>
      <c r="BM157" s="312">
        <f t="shared" si="882"/>
        <v>31.85</v>
      </c>
      <c r="BN157" s="312">
        <f t="shared" si="882"/>
        <v>32.347222222222221</v>
      </c>
      <c r="BO157" s="312">
        <f t="shared" ref="BO157:CB157" si="883">BO156/360</f>
        <v>32.847222222222221</v>
      </c>
      <c r="BP157" s="312">
        <f t="shared" si="883"/>
        <v>33.344444444444441</v>
      </c>
      <c r="BQ157" s="312">
        <f t="shared" si="883"/>
        <v>33.847222222222221</v>
      </c>
      <c r="BR157" s="312">
        <f t="shared" si="883"/>
        <v>34.344444444444441</v>
      </c>
      <c r="BS157" s="312">
        <f t="shared" si="883"/>
        <v>34.847222222222221</v>
      </c>
      <c r="BT157" s="312">
        <f t="shared" si="883"/>
        <v>35.344444444444441</v>
      </c>
      <c r="BU157" s="312">
        <f t="shared" si="883"/>
        <v>35.847222222222221</v>
      </c>
      <c r="BV157" s="312">
        <f t="shared" si="883"/>
        <v>36.344444444444441</v>
      </c>
      <c r="BW157" s="312">
        <f t="shared" si="883"/>
        <v>36.844444444444441</v>
      </c>
      <c r="BX157" s="312">
        <f t="shared" si="883"/>
        <v>37.341666666666669</v>
      </c>
      <c r="BY157" s="312">
        <f t="shared" si="883"/>
        <v>37.844444444444441</v>
      </c>
      <c r="BZ157" s="312">
        <f t="shared" si="883"/>
        <v>38.341666666666669</v>
      </c>
      <c r="CA157" s="312">
        <f t="shared" si="883"/>
        <v>38.844444444444441</v>
      </c>
      <c r="CB157" s="312">
        <f t="shared" si="883"/>
        <v>39.341666666666669</v>
      </c>
    </row>
    <row r="158" spans="1:80">
      <c r="A158" s="311" t="s">
        <v>43</v>
      </c>
      <c r="B158" s="312">
        <f>IF(B156&lt;0,0,$B$5+$B$6*((1-EXP(-B157/$B$9))/(B157/$B$9))+$B$7*((1-EXP(-B157/$B$9))/(B157/$B$9)-EXP(-B157/$B$9))+$B$8*((1-EXP(-B157/$B$10))/(B157/$B$10)-EXP(-B157/$B$10)))</f>
        <v>1.7494035859913069E-2</v>
      </c>
      <c r="C158" s="312">
        <f t="shared" ref="C158:BN158" si="884">IF(C156&lt;0,0,$B$5+$B$6*((1-EXP(-C157/$B$9))/(C157/$B$9))+$B$7*((1-EXP(-C157/$B$9))/(C157/$B$9)-EXP(-C157/$B$9))+$B$8*((1-EXP(-C157/$B$10))/(C157/$B$10)-EXP(-C157/$B$10)))</f>
        <v>1.7534452551026574E-2</v>
      </c>
      <c r="D158" s="312">
        <f t="shared" si="884"/>
        <v>1.7589680797807102E-2</v>
      </c>
      <c r="E158" s="312">
        <f t="shared" si="884"/>
        <v>1.7659717098585284E-2</v>
      </c>
      <c r="F158" s="312">
        <f t="shared" si="884"/>
        <v>1.7742025104683146E-2</v>
      </c>
      <c r="G158" s="312">
        <f t="shared" si="884"/>
        <v>1.7837492577305103E-2</v>
      </c>
      <c r="H158" s="312">
        <f t="shared" si="884"/>
        <v>1.7943121038026116E-2</v>
      </c>
      <c r="I158" s="312">
        <f t="shared" si="884"/>
        <v>1.8060416313741751E-2</v>
      </c>
      <c r="J158" s="312">
        <f t="shared" si="884"/>
        <v>1.8185988839614364E-2</v>
      </c>
      <c r="K158" s="312">
        <f t="shared" si="884"/>
        <v>1.8321104603581745E-2</v>
      </c>
      <c r="L158" s="312">
        <f t="shared" si="884"/>
        <v>1.8463551428609309E-2</v>
      </c>
      <c r="M158" s="312">
        <f t="shared" si="884"/>
        <v>1.8615100395966366E-2</v>
      </c>
      <c r="N158" s="312">
        <f t="shared" si="884"/>
        <v>1.8771763991778823E-2</v>
      </c>
      <c r="O158" s="312">
        <f t="shared" si="884"/>
        <v>1.8936431084106975E-2</v>
      </c>
      <c r="P158" s="312">
        <f t="shared" si="884"/>
        <v>1.9104893355776725E-2</v>
      </c>
      <c r="Q158" s="312">
        <f t="shared" si="884"/>
        <v>1.9280370193487245E-2</v>
      </c>
      <c r="R158" s="312">
        <f t="shared" si="884"/>
        <v>1.9458477173729893E-2</v>
      </c>
      <c r="S158" s="312">
        <f t="shared" si="884"/>
        <v>1.9641681476117168E-2</v>
      </c>
      <c r="T158" s="312">
        <f t="shared" si="884"/>
        <v>1.982749998245753E-2</v>
      </c>
      <c r="U158" s="312">
        <f t="shared" si="884"/>
        <v>2.0018648783305837E-2</v>
      </c>
      <c r="V158" s="312">
        <f t="shared" si="884"/>
        <v>2.0210505543667434E-2</v>
      </c>
      <c r="W158" s="312">
        <f t="shared" si="884"/>
        <v>2.040697786712542E-2</v>
      </c>
      <c r="X158" s="312">
        <f t="shared" si="884"/>
        <v>2.0603372470135939E-2</v>
      </c>
      <c r="Y158" s="312">
        <f t="shared" si="884"/>
        <v>2.0803743415670262E-2</v>
      </c>
      <c r="Z158" s="312">
        <f t="shared" si="884"/>
        <v>2.1003353447785145E-2</v>
      </c>
      <c r="AA158" s="312">
        <f t="shared" si="884"/>
        <v>2.1205244785368949E-2</v>
      </c>
      <c r="AB158" s="312">
        <f t="shared" si="884"/>
        <v>2.1406904279599515E-2</v>
      </c>
      <c r="AC158" s="312">
        <f t="shared" si="884"/>
        <v>2.1611462265007764E-2</v>
      </c>
      <c r="AD158" s="312">
        <f t="shared" si="884"/>
        <v>2.181416118767493E-2</v>
      </c>
      <c r="AE158" s="312">
        <f t="shared" si="884"/>
        <v>2.2019306223084734E-2</v>
      </c>
      <c r="AF158" s="312">
        <f t="shared" si="884"/>
        <v>2.2222157673019105E-2</v>
      </c>
      <c r="AG158" s="312">
        <f t="shared" si="884"/>
        <v>2.2427053775746053E-2</v>
      </c>
      <c r="AH158" s="312">
        <f t="shared" si="884"/>
        <v>2.2629288014615889E-2</v>
      </c>
      <c r="AI158" s="312">
        <f t="shared" si="884"/>
        <v>2.2832086657489536E-2</v>
      </c>
      <c r="AJ158" s="312">
        <f t="shared" si="884"/>
        <v>2.3033043451220925E-2</v>
      </c>
      <c r="AK158" s="312">
        <f t="shared" si="884"/>
        <v>2.3235376273018304E-2</v>
      </c>
      <c r="AL158" s="312">
        <f t="shared" si="884"/>
        <v>2.3434482210699992E-2</v>
      </c>
      <c r="AM158" s="312">
        <f t="shared" si="884"/>
        <v>2.3634687482069483E-2</v>
      </c>
      <c r="AN158" s="312">
        <f t="shared" si="884"/>
        <v>2.3831456032201048E-2</v>
      </c>
      <c r="AO158" s="312">
        <f t="shared" si="884"/>
        <v>2.4029080864188257E-2</v>
      </c>
      <c r="AP158" s="312">
        <f t="shared" si="884"/>
        <v>2.4223100637882744E-2</v>
      </c>
      <c r="AQ158" s="312">
        <f t="shared" si="884"/>
        <v>2.4416692742404711E-2</v>
      </c>
      <c r="AR158" s="312">
        <f t="shared" si="884"/>
        <v>2.460762829464741E-2</v>
      </c>
      <c r="AS158" s="312">
        <f t="shared" si="884"/>
        <v>2.479902208552015E-2</v>
      </c>
      <c r="AT158" s="312">
        <f t="shared" si="884"/>
        <v>2.4986580154964966E-2</v>
      </c>
      <c r="AU158" s="312">
        <f t="shared" si="884"/>
        <v>2.5174434999163053E-2</v>
      </c>
      <c r="AV158" s="312">
        <f t="shared" si="884"/>
        <v>2.5358383251115835E-2</v>
      </c>
      <c r="AW158" s="312">
        <f t="shared" si="884"/>
        <v>2.5542488560203136E-2</v>
      </c>
      <c r="AX158" s="312">
        <f t="shared" si="884"/>
        <v>2.5722641366182575E-2</v>
      </c>
      <c r="AY158" s="312">
        <f t="shared" si="884"/>
        <v>2.5901840932052334E-2</v>
      </c>
      <c r="AZ158" s="312">
        <f t="shared" si="884"/>
        <v>2.6078064994934369E-2</v>
      </c>
      <c r="BA158" s="312">
        <f t="shared" si="884"/>
        <v>2.6254223111295327E-2</v>
      </c>
      <c r="BB158" s="312">
        <f t="shared" si="884"/>
        <v>2.6426399449294147E-2</v>
      </c>
      <c r="BC158" s="312">
        <f t="shared" si="884"/>
        <v>2.6598422244731523E-2</v>
      </c>
      <c r="BD158" s="312">
        <f t="shared" si="884"/>
        <v>2.6766474481668773E-2</v>
      </c>
      <c r="BE158" s="312">
        <f t="shared" si="884"/>
        <v>2.6934299283410179E-2</v>
      </c>
      <c r="BF158" s="312">
        <f t="shared" si="884"/>
        <v>2.7098178890431229E-2</v>
      </c>
      <c r="BG158" s="312">
        <f t="shared" si="884"/>
        <v>2.7260871370943823E-2</v>
      </c>
      <c r="BH158" s="312">
        <f t="shared" si="884"/>
        <v>2.7420565750746528E-2</v>
      </c>
      <c r="BI158" s="312">
        <f t="shared" si="884"/>
        <v>2.7579920093619675E-2</v>
      </c>
      <c r="BJ158" s="312">
        <f t="shared" si="884"/>
        <v>2.7735414333675212E-2</v>
      </c>
      <c r="BK158" s="312">
        <f t="shared" si="884"/>
        <v>2.7890527016338734E-2</v>
      </c>
      <c r="BL158" s="312">
        <f t="shared" si="884"/>
        <v>2.8041836015468419E-2</v>
      </c>
      <c r="BM158" s="312">
        <f t="shared" si="884"/>
        <v>2.8192730299653523E-2</v>
      </c>
      <c r="BN158" s="312">
        <f t="shared" si="884"/>
        <v>2.8339884563011508E-2</v>
      </c>
      <c r="BO158" s="312">
        <f t="shared" ref="BO158:CB158" si="885">IF(BO156&lt;0,0,$B$5+$B$6*((1-EXP(-BO157/$B$9))/(BO157/$B$9))+$B$7*((1-EXP(-BO157/$B$9))/(BO157/$B$9)-EXP(-BO157/$B$9))+$B$8*((1-EXP(-BO157/$B$10))/(BO157/$B$10)-EXP(-BO157/$B$10)))</f>
        <v>2.8485793462082049E-2</v>
      </c>
      <c r="BP158" s="312">
        <f t="shared" si="885"/>
        <v>2.8628848156471903E-2</v>
      </c>
      <c r="BQ158" s="312">
        <f t="shared" si="885"/>
        <v>2.8771442988122786E-2</v>
      </c>
      <c r="BR158" s="312">
        <f t="shared" si="885"/>
        <v>2.8910441691096161E-2</v>
      </c>
      <c r="BS158" s="312">
        <f t="shared" si="885"/>
        <v>2.9048966749366079E-2</v>
      </c>
      <c r="BT158" s="312">
        <f t="shared" si="885"/>
        <v>2.9183973988521211E-2</v>
      </c>
      <c r="BU158" s="312">
        <f t="shared" si="885"/>
        <v>2.9318498684285488E-2</v>
      </c>
      <c r="BV158" s="312">
        <f t="shared" si="885"/>
        <v>2.9449586842300507E-2</v>
      </c>
      <c r="BW158" s="312">
        <f t="shared" si="885"/>
        <v>2.9579471589338935E-2</v>
      </c>
      <c r="BX158" s="312">
        <f t="shared" si="885"/>
        <v>2.9706730033158574E-2</v>
      </c>
      <c r="BY158" s="312">
        <f t="shared" si="885"/>
        <v>2.9833500237512495E-2</v>
      </c>
      <c r="BZ158" s="312">
        <f t="shared" si="885"/>
        <v>2.9957002161933532E-2</v>
      </c>
      <c r="CA158" s="312">
        <f t="shared" si="885"/>
        <v>3.0080017939380144E-2</v>
      </c>
      <c r="CB158" s="312">
        <f t="shared" si="885"/>
        <v>3.0199851388160365E-2</v>
      </c>
    </row>
    <row r="159" spans="1:80">
      <c r="A159" s="311" t="s">
        <v>44</v>
      </c>
      <c r="B159" s="312">
        <f>EXP(-B158*B157)</f>
        <v>0.99355776638313631</v>
      </c>
      <c r="C159" s="312">
        <f t="shared" ref="C159:AR159" si="886">EXP(-C158*C157)</f>
        <v>0.9848703878996955</v>
      </c>
      <c r="D159" s="312">
        <f t="shared" si="886"/>
        <v>0.97624741040714758</v>
      </c>
      <c r="E159" s="312">
        <f t="shared" si="886"/>
        <v>0.96752514957777958</v>
      </c>
      <c r="F159" s="312">
        <f t="shared" si="886"/>
        <v>0.95887988767473709</v>
      </c>
      <c r="G159" s="312">
        <f t="shared" si="886"/>
        <v>0.95010412609437123</v>
      </c>
      <c r="H159" s="312">
        <f t="shared" si="886"/>
        <v>0.94137989428341584</v>
      </c>
      <c r="I159" s="312">
        <f t="shared" si="886"/>
        <v>0.93250219127929346</v>
      </c>
      <c r="J159" s="312">
        <f t="shared" si="886"/>
        <v>0.92365915869203385</v>
      </c>
      <c r="K159" s="312">
        <f t="shared" si="886"/>
        <v>0.91469673201054735</v>
      </c>
      <c r="L159" s="312">
        <f t="shared" si="886"/>
        <v>0.90570970484838431</v>
      </c>
      <c r="M159" s="312">
        <f t="shared" si="886"/>
        <v>0.89654338891317364</v>
      </c>
      <c r="N159" s="312">
        <f t="shared" si="886"/>
        <v>0.88739824272363232</v>
      </c>
      <c r="O159" s="312">
        <f t="shared" si="886"/>
        <v>0.87806894786438017</v>
      </c>
      <c r="P159" s="312">
        <f t="shared" si="886"/>
        <v>0.86876178918874192</v>
      </c>
      <c r="Q159" s="312">
        <f t="shared" si="886"/>
        <v>0.85926986413918938</v>
      </c>
      <c r="R159" s="312">
        <f t="shared" si="886"/>
        <v>0.84980485260416327</v>
      </c>
      <c r="S159" s="312">
        <f t="shared" si="886"/>
        <v>0.84021145876909653</v>
      </c>
      <c r="T159" s="312">
        <f t="shared" si="886"/>
        <v>0.83059959914767389</v>
      </c>
      <c r="U159" s="312">
        <f t="shared" si="886"/>
        <v>0.82081155469749645</v>
      </c>
      <c r="V159" s="312">
        <f t="shared" si="886"/>
        <v>0.81106807115474555</v>
      </c>
      <c r="W159" s="312">
        <f t="shared" si="886"/>
        <v>0.80115636389763678</v>
      </c>
      <c r="X159" s="312">
        <f t="shared" si="886"/>
        <v>0.79130072203797275</v>
      </c>
      <c r="Y159" s="312">
        <f t="shared" si="886"/>
        <v>0.7812865458352718</v>
      </c>
      <c r="Z159" s="312">
        <f t="shared" si="886"/>
        <v>0.77134094968797906</v>
      </c>
      <c r="AA159" s="312">
        <f t="shared" si="886"/>
        <v>0.76130363243516019</v>
      </c>
      <c r="AB159" s="312">
        <f t="shared" si="886"/>
        <v>0.75129224407364981</v>
      </c>
      <c r="AC159" s="312">
        <f t="shared" si="886"/>
        <v>0.74114508270352386</v>
      </c>
      <c r="AD159" s="312">
        <f t="shared" si="886"/>
        <v>0.73109271240459339</v>
      </c>
      <c r="AE159" s="312">
        <f t="shared" si="886"/>
        <v>0.7209169350055401</v>
      </c>
      <c r="AF159" s="312">
        <f t="shared" si="886"/>
        <v>0.71084896000752851</v>
      </c>
      <c r="AG159" s="312">
        <f t="shared" si="886"/>
        <v>0.70067018709206297</v>
      </c>
      <c r="AH159" s="312">
        <f t="shared" si="886"/>
        <v>0.69061178007015767</v>
      </c>
      <c r="AI159" s="312">
        <f t="shared" si="886"/>
        <v>0.68051124829733622</v>
      </c>
      <c r="AJ159" s="312">
        <f t="shared" si="886"/>
        <v>0.67048679867504868</v>
      </c>
      <c r="AK159" s="312">
        <f t="shared" si="886"/>
        <v>0.66037653794164752</v>
      </c>
      <c r="AL159" s="312">
        <f t="shared" si="886"/>
        <v>0.6504096133826216</v>
      </c>
      <c r="AM159" s="312">
        <f t="shared" si="886"/>
        <v>0.6403689305268131</v>
      </c>
      <c r="AN159" s="312">
        <f t="shared" si="886"/>
        <v>0.63048174878730701</v>
      </c>
      <c r="AO159" s="312">
        <f t="shared" si="886"/>
        <v>0.62053237657560589</v>
      </c>
      <c r="AP159" s="312">
        <f t="shared" si="886"/>
        <v>0.61074566251901541</v>
      </c>
      <c r="AQ159" s="312">
        <f t="shared" si="886"/>
        <v>0.60096192934319526</v>
      </c>
      <c r="AR159" s="312">
        <f t="shared" si="886"/>
        <v>0.59129441670070215</v>
      </c>
      <c r="AS159" s="312">
        <f>EXP(-AS158*AS157)</f>
        <v>0.58158601143737676</v>
      </c>
      <c r="AT159" s="312">
        <f t="shared" ref="AT159:CA159" si="887">EXP(-AT158*AT157)</f>
        <v>0.57205538027260416</v>
      </c>
      <c r="AU159" s="312">
        <f t="shared" si="887"/>
        <v>0.56249350158780109</v>
      </c>
      <c r="AV159" s="312">
        <f t="shared" si="887"/>
        <v>0.55311536152293361</v>
      </c>
      <c r="AW159" s="312">
        <f t="shared" si="887"/>
        <v>0.54371489755973423</v>
      </c>
      <c r="AX159" s="312">
        <f t="shared" si="887"/>
        <v>0.53450308913506384</v>
      </c>
      <c r="AY159" s="312">
        <f t="shared" si="887"/>
        <v>0.52532787016445281</v>
      </c>
      <c r="AZ159" s="312">
        <f t="shared" si="887"/>
        <v>0.51629397970601532</v>
      </c>
      <c r="BA159" s="312">
        <f t="shared" si="887"/>
        <v>0.50725340084452386</v>
      </c>
      <c r="BB159" s="312">
        <f t="shared" si="887"/>
        <v>0.49840831638174787</v>
      </c>
      <c r="BC159" s="312">
        <f t="shared" si="887"/>
        <v>0.48956329410891269</v>
      </c>
      <c r="BD159" s="312">
        <f t="shared" si="887"/>
        <v>0.4809157995677395</v>
      </c>
      <c r="BE159" s="312">
        <f t="shared" si="887"/>
        <v>0.4722744254297524</v>
      </c>
      <c r="BF159" s="312">
        <f t="shared" si="887"/>
        <v>0.46383176332536091</v>
      </c>
      <c r="BG159" s="312">
        <f t="shared" si="887"/>
        <v>0.45544690237647967</v>
      </c>
      <c r="BH159" s="312">
        <f t="shared" si="887"/>
        <v>0.44721427511793294</v>
      </c>
      <c r="BI159" s="312">
        <f t="shared" si="887"/>
        <v>0.43899791524330178</v>
      </c>
      <c r="BJ159" s="312">
        <f t="shared" si="887"/>
        <v>0.43098034972227744</v>
      </c>
      <c r="BK159" s="312">
        <f t="shared" si="887"/>
        <v>0.42298322477944761</v>
      </c>
      <c r="BL159" s="312">
        <f t="shared" si="887"/>
        <v>0.41518392461191095</v>
      </c>
      <c r="BM159" s="312">
        <f t="shared" si="887"/>
        <v>0.40740868388281198</v>
      </c>
      <c r="BN159" s="312">
        <f t="shared" si="887"/>
        <v>0.39982971152291635</v>
      </c>
      <c r="BO159" s="312">
        <f t="shared" si="887"/>
        <v>0.39231931644145562</v>
      </c>
      <c r="BP159" s="312">
        <f t="shared" si="887"/>
        <v>0.38496108148270108</v>
      </c>
      <c r="BQ159" s="312">
        <f t="shared" si="887"/>
        <v>0.37763263369187949</v>
      </c>
      <c r="BR159" s="312">
        <f t="shared" si="887"/>
        <v>0.37049584142826281</v>
      </c>
      <c r="BS159" s="312">
        <f t="shared" si="887"/>
        <v>0.36339103262655759</v>
      </c>
      <c r="BT159" s="312">
        <f t="shared" si="887"/>
        <v>0.35647493601579272</v>
      </c>
      <c r="BU159" s="312">
        <f t="shared" si="887"/>
        <v>0.349592622693918</v>
      </c>
      <c r="BV159" s="312">
        <f t="shared" si="887"/>
        <v>0.34289572975964877</v>
      </c>
      <c r="BW159" s="312">
        <f t="shared" si="887"/>
        <v>0.33627056244957387</v>
      </c>
      <c r="BX159" s="312">
        <f t="shared" si="887"/>
        <v>0.32979012534277874</v>
      </c>
      <c r="BY159" s="312">
        <f t="shared" si="887"/>
        <v>0.32334602565445208</v>
      </c>
      <c r="BZ159" s="312">
        <f t="shared" si="887"/>
        <v>0.31707993017509595</v>
      </c>
      <c r="CA159" s="312">
        <f t="shared" si="887"/>
        <v>0.31085099861737719</v>
      </c>
      <c r="CB159" s="312">
        <f>EXP(-CB158*CB157)</f>
        <v>0.3047960280166857</v>
      </c>
    </row>
    <row r="161" spans="1:80">
      <c r="A161" s="311" t="s">
        <v>40</v>
      </c>
      <c r="B161" s="312">
        <f t="shared" ref="B161:AG161" si="888">DAYS360($B$3,B60)</f>
        <v>43</v>
      </c>
      <c r="C161" s="312">
        <f t="shared" si="888"/>
        <v>221</v>
      </c>
      <c r="D161" s="312">
        <f t="shared" si="888"/>
        <v>402</v>
      </c>
      <c r="E161" s="312">
        <f t="shared" si="888"/>
        <v>580</v>
      </c>
      <c r="F161" s="312">
        <f t="shared" si="888"/>
        <v>762</v>
      </c>
      <c r="G161" s="312">
        <f t="shared" si="888"/>
        <v>940</v>
      </c>
      <c r="H161" s="312">
        <f t="shared" si="888"/>
        <v>1122</v>
      </c>
      <c r="I161" s="312">
        <f t="shared" si="888"/>
        <v>1300</v>
      </c>
      <c r="J161" s="312">
        <f t="shared" si="888"/>
        <v>1482</v>
      </c>
      <c r="K161" s="312">
        <f t="shared" si="888"/>
        <v>1660</v>
      </c>
      <c r="L161" s="312">
        <f t="shared" si="888"/>
        <v>1841</v>
      </c>
      <c r="M161" s="312">
        <f t="shared" si="888"/>
        <v>2019</v>
      </c>
      <c r="N161" s="312">
        <f t="shared" si="888"/>
        <v>2201</v>
      </c>
      <c r="O161" s="312">
        <f t="shared" si="888"/>
        <v>2379</v>
      </c>
      <c r="P161" s="312">
        <f t="shared" si="888"/>
        <v>2561</v>
      </c>
      <c r="Q161" s="312">
        <f t="shared" si="888"/>
        <v>2739</v>
      </c>
      <c r="R161" s="312">
        <f t="shared" si="888"/>
        <v>2921</v>
      </c>
      <c r="S161" s="312">
        <f t="shared" si="888"/>
        <v>3099</v>
      </c>
      <c r="T161" s="312">
        <f t="shared" si="888"/>
        <v>3280</v>
      </c>
      <c r="U161" s="312">
        <f t="shared" si="888"/>
        <v>3458</v>
      </c>
      <c r="V161" s="312">
        <f t="shared" si="888"/>
        <v>3640</v>
      </c>
      <c r="W161" s="312">
        <f t="shared" si="888"/>
        <v>3818</v>
      </c>
      <c r="X161" s="312">
        <f t="shared" si="888"/>
        <v>4000</v>
      </c>
      <c r="Y161" s="312">
        <f t="shared" si="888"/>
        <v>4178</v>
      </c>
      <c r="Z161" s="312">
        <f t="shared" si="888"/>
        <v>4360</v>
      </c>
      <c r="AA161" s="312">
        <f t="shared" si="888"/>
        <v>4538</v>
      </c>
      <c r="AB161" s="312">
        <f t="shared" si="888"/>
        <v>4719</v>
      </c>
      <c r="AC161" s="312">
        <f t="shared" si="888"/>
        <v>4897</v>
      </c>
      <c r="AD161" s="312">
        <f t="shared" si="888"/>
        <v>5079</v>
      </c>
      <c r="AE161" s="312">
        <f t="shared" si="888"/>
        <v>5257</v>
      </c>
      <c r="AF161" s="312">
        <f t="shared" si="888"/>
        <v>5439</v>
      </c>
      <c r="AG161" s="312">
        <f t="shared" si="888"/>
        <v>5617</v>
      </c>
      <c r="AH161" s="312">
        <f t="shared" ref="AH161:BM161" si="889">DAYS360($B$3,AH60)</f>
        <v>5799</v>
      </c>
      <c r="AI161" s="312">
        <f t="shared" si="889"/>
        <v>5977</v>
      </c>
      <c r="AJ161" s="312">
        <f t="shared" si="889"/>
        <v>6158</v>
      </c>
      <c r="AK161" s="312">
        <f t="shared" si="889"/>
        <v>6336</v>
      </c>
      <c r="AL161" s="312">
        <f t="shared" si="889"/>
        <v>6518</v>
      </c>
      <c r="AM161" s="312">
        <f t="shared" si="889"/>
        <v>6696</v>
      </c>
      <c r="AN161" s="312">
        <f t="shared" si="889"/>
        <v>6878</v>
      </c>
      <c r="AO161" s="312">
        <f t="shared" si="889"/>
        <v>7056</v>
      </c>
      <c r="AP161" s="312">
        <f t="shared" si="889"/>
        <v>7238</v>
      </c>
      <c r="AQ161" s="312">
        <f t="shared" si="889"/>
        <v>7416</v>
      </c>
      <c r="AR161" s="312">
        <f t="shared" si="889"/>
        <v>7597</v>
      </c>
      <c r="AS161" s="312">
        <f t="shared" si="889"/>
        <v>7775</v>
      </c>
      <c r="AT161" s="312">
        <f t="shared" si="889"/>
        <v>7957</v>
      </c>
      <c r="AU161" s="312">
        <f t="shared" si="889"/>
        <v>8135</v>
      </c>
      <c r="AV161" s="312">
        <f t="shared" si="889"/>
        <v>8317</v>
      </c>
      <c r="AW161" s="312">
        <f t="shared" si="889"/>
        <v>8495</v>
      </c>
      <c r="AX161" s="312">
        <f t="shared" si="889"/>
        <v>8677</v>
      </c>
      <c r="AY161" s="312">
        <f t="shared" si="889"/>
        <v>8855</v>
      </c>
      <c r="AZ161" s="312">
        <f t="shared" si="889"/>
        <v>9036</v>
      </c>
      <c r="BA161" s="312">
        <f t="shared" si="889"/>
        <v>9214</v>
      </c>
      <c r="BB161" s="312">
        <f t="shared" si="889"/>
        <v>9396</v>
      </c>
      <c r="BC161" s="312">
        <f t="shared" si="889"/>
        <v>9574</v>
      </c>
      <c r="BD161" s="312">
        <f t="shared" si="889"/>
        <v>9756</v>
      </c>
      <c r="BE161" s="312">
        <f t="shared" si="889"/>
        <v>9934</v>
      </c>
      <c r="BF161" s="312">
        <f t="shared" si="889"/>
        <v>10116</v>
      </c>
      <c r="BG161" s="312">
        <f t="shared" si="889"/>
        <v>10294</v>
      </c>
      <c r="BH161" s="312">
        <f t="shared" si="889"/>
        <v>10475</v>
      </c>
      <c r="BI161" s="312">
        <f t="shared" si="889"/>
        <v>10653</v>
      </c>
      <c r="BJ161" s="312">
        <f t="shared" si="889"/>
        <v>10835</v>
      </c>
      <c r="BK161" s="312">
        <f t="shared" si="889"/>
        <v>11013</v>
      </c>
      <c r="BL161" s="312">
        <f t="shared" si="889"/>
        <v>11195</v>
      </c>
      <c r="BM161" s="312">
        <f t="shared" si="889"/>
        <v>11373</v>
      </c>
      <c r="BN161" s="312">
        <f t="shared" ref="BN161:CB161" si="890">DAYS360($B$3,BN60)</f>
        <v>11555</v>
      </c>
      <c r="BO161" s="312">
        <f t="shared" si="890"/>
        <v>11733</v>
      </c>
      <c r="BP161" s="312">
        <f t="shared" si="890"/>
        <v>11914</v>
      </c>
      <c r="BQ161" s="312">
        <f t="shared" si="890"/>
        <v>12092</v>
      </c>
      <c r="BR161" s="312">
        <f t="shared" si="890"/>
        <v>12274</v>
      </c>
      <c r="BS161" s="312">
        <f t="shared" si="890"/>
        <v>12452</v>
      </c>
      <c r="BT161" s="312">
        <f t="shared" si="890"/>
        <v>12634</v>
      </c>
      <c r="BU161" s="312">
        <f t="shared" si="890"/>
        <v>12812</v>
      </c>
      <c r="BV161" s="312">
        <f t="shared" si="890"/>
        <v>12994</v>
      </c>
      <c r="BW161" s="312">
        <f t="shared" si="890"/>
        <v>13172</v>
      </c>
      <c r="BX161" s="312">
        <f t="shared" si="890"/>
        <v>13353</v>
      </c>
      <c r="BY161" s="312">
        <f t="shared" si="890"/>
        <v>13531</v>
      </c>
      <c r="BZ161" s="312">
        <f t="shared" si="890"/>
        <v>13713</v>
      </c>
      <c r="CA161" s="312">
        <f t="shared" si="890"/>
        <v>13891</v>
      </c>
      <c r="CB161" s="312">
        <f t="shared" si="890"/>
        <v>14073</v>
      </c>
    </row>
    <row r="162" spans="1:80">
      <c r="A162" s="311" t="s">
        <v>41</v>
      </c>
      <c r="B162" s="312">
        <f>B161/360</f>
        <v>0.11944444444444445</v>
      </c>
      <c r="C162" s="312">
        <f t="shared" ref="C162:BN162" si="891">C161/360</f>
        <v>0.61388888888888893</v>
      </c>
      <c r="D162" s="312">
        <f t="shared" si="891"/>
        <v>1.1166666666666667</v>
      </c>
      <c r="E162" s="312">
        <f t="shared" si="891"/>
        <v>1.6111111111111112</v>
      </c>
      <c r="F162" s="312">
        <f t="shared" si="891"/>
        <v>2.1166666666666667</v>
      </c>
      <c r="G162" s="312">
        <f t="shared" si="891"/>
        <v>2.6111111111111112</v>
      </c>
      <c r="H162" s="312">
        <f t="shared" si="891"/>
        <v>3.1166666666666667</v>
      </c>
      <c r="I162" s="312">
        <f t="shared" si="891"/>
        <v>3.6111111111111112</v>
      </c>
      <c r="J162" s="312">
        <f t="shared" si="891"/>
        <v>4.1166666666666663</v>
      </c>
      <c r="K162" s="312">
        <f t="shared" si="891"/>
        <v>4.6111111111111107</v>
      </c>
      <c r="L162" s="312">
        <f t="shared" si="891"/>
        <v>5.1138888888888889</v>
      </c>
      <c r="M162" s="312">
        <f t="shared" si="891"/>
        <v>5.6083333333333334</v>
      </c>
      <c r="N162" s="312">
        <f t="shared" si="891"/>
        <v>6.1138888888888889</v>
      </c>
      <c r="O162" s="312">
        <f t="shared" si="891"/>
        <v>6.6083333333333334</v>
      </c>
      <c r="P162" s="312">
        <f t="shared" si="891"/>
        <v>7.1138888888888889</v>
      </c>
      <c r="Q162" s="312">
        <f t="shared" si="891"/>
        <v>7.6083333333333334</v>
      </c>
      <c r="R162" s="312">
        <f t="shared" si="891"/>
        <v>8.1138888888888889</v>
      </c>
      <c r="S162" s="312">
        <f t="shared" si="891"/>
        <v>8.6083333333333325</v>
      </c>
      <c r="T162" s="312">
        <f t="shared" si="891"/>
        <v>9.1111111111111107</v>
      </c>
      <c r="U162" s="312">
        <f t="shared" si="891"/>
        <v>9.6055555555555561</v>
      </c>
      <c r="V162" s="312">
        <f t="shared" si="891"/>
        <v>10.111111111111111</v>
      </c>
      <c r="W162" s="312">
        <f t="shared" si="891"/>
        <v>10.605555555555556</v>
      </c>
      <c r="X162" s="312">
        <f t="shared" si="891"/>
        <v>11.111111111111111</v>
      </c>
      <c r="Y162" s="312">
        <f t="shared" si="891"/>
        <v>11.605555555555556</v>
      </c>
      <c r="Z162" s="312">
        <f t="shared" si="891"/>
        <v>12.111111111111111</v>
      </c>
      <c r="AA162" s="312">
        <f t="shared" si="891"/>
        <v>12.605555555555556</v>
      </c>
      <c r="AB162" s="312">
        <f t="shared" si="891"/>
        <v>13.108333333333333</v>
      </c>
      <c r="AC162" s="312">
        <f t="shared" si="891"/>
        <v>13.602777777777778</v>
      </c>
      <c r="AD162" s="312">
        <f t="shared" si="891"/>
        <v>14.108333333333333</v>
      </c>
      <c r="AE162" s="312">
        <f t="shared" si="891"/>
        <v>14.602777777777778</v>
      </c>
      <c r="AF162" s="312">
        <f t="shared" si="891"/>
        <v>15.108333333333333</v>
      </c>
      <c r="AG162" s="312">
        <f t="shared" si="891"/>
        <v>15.602777777777778</v>
      </c>
      <c r="AH162" s="312">
        <f t="shared" si="891"/>
        <v>16.108333333333334</v>
      </c>
      <c r="AI162" s="312">
        <f t="shared" si="891"/>
        <v>16.602777777777778</v>
      </c>
      <c r="AJ162" s="312">
        <f t="shared" si="891"/>
        <v>17.105555555555554</v>
      </c>
      <c r="AK162" s="312">
        <f t="shared" si="891"/>
        <v>17.600000000000001</v>
      </c>
      <c r="AL162" s="312">
        <f t="shared" si="891"/>
        <v>18.105555555555554</v>
      </c>
      <c r="AM162" s="312">
        <f t="shared" si="891"/>
        <v>18.600000000000001</v>
      </c>
      <c r="AN162" s="312">
        <f t="shared" si="891"/>
        <v>19.105555555555554</v>
      </c>
      <c r="AO162" s="312">
        <f t="shared" si="891"/>
        <v>19.600000000000001</v>
      </c>
      <c r="AP162" s="312">
        <f t="shared" si="891"/>
        <v>20.105555555555554</v>
      </c>
      <c r="AQ162" s="312">
        <f t="shared" si="891"/>
        <v>20.6</v>
      </c>
      <c r="AR162" s="312">
        <f t="shared" si="891"/>
        <v>21.102777777777778</v>
      </c>
      <c r="AS162" s="312">
        <f t="shared" si="891"/>
        <v>21.597222222222221</v>
      </c>
      <c r="AT162" s="312">
        <f t="shared" si="891"/>
        <v>22.102777777777778</v>
      </c>
      <c r="AU162" s="312">
        <f t="shared" si="891"/>
        <v>22.597222222222221</v>
      </c>
      <c r="AV162" s="312">
        <f t="shared" si="891"/>
        <v>23.102777777777778</v>
      </c>
      <c r="AW162" s="312">
        <f t="shared" si="891"/>
        <v>23.597222222222221</v>
      </c>
      <c r="AX162" s="312">
        <f t="shared" si="891"/>
        <v>24.102777777777778</v>
      </c>
      <c r="AY162" s="312">
        <f t="shared" si="891"/>
        <v>24.597222222222221</v>
      </c>
      <c r="AZ162" s="312">
        <f t="shared" si="891"/>
        <v>25.1</v>
      </c>
      <c r="BA162" s="312">
        <f t="shared" si="891"/>
        <v>25.594444444444445</v>
      </c>
      <c r="BB162" s="312">
        <f t="shared" si="891"/>
        <v>26.1</v>
      </c>
      <c r="BC162" s="312">
        <f t="shared" si="891"/>
        <v>26.594444444444445</v>
      </c>
      <c r="BD162" s="312">
        <f t="shared" si="891"/>
        <v>27.1</v>
      </c>
      <c r="BE162" s="312">
        <f t="shared" si="891"/>
        <v>27.594444444444445</v>
      </c>
      <c r="BF162" s="312">
        <f t="shared" si="891"/>
        <v>28.1</v>
      </c>
      <c r="BG162" s="312">
        <f t="shared" si="891"/>
        <v>28.594444444444445</v>
      </c>
      <c r="BH162" s="312">
        <f t="shared" si="891"/>
        <v>29.097222222222221</v>
      </c>
      <c r="BI162" s="312">
        <f t="shared" si="891"/>
        <v>29.591666666666665</v>
      </c>
      <c r="BJ162" s="312">
        <f t="shared" si="891"/>
        <v>30.097222222222221</v>
      </c>
      <c r="BK162" s="312">
        <f t="shared" si="891"/>
        <v>30.591666666666665</v>
      </c>
      <c r="BL162" s="312">
        <f t="shared" si="891"/>
        <v>31.097222222222221</v>
      </c>
      <c r="BM162" s="312">
        <f t="shared" si="891"/>
        <v>31.591666666666665</v>
      </c>
      <c r="BN162" s="312">
        <f t="shared" si="891"/>
        <v>32.097222222222221</v>
      </c>
      <c r="BO162" s="312">
        <f t="shared" ref="BO162:CB162" si="892">BO161/360</f>
        <v>32.591666666666669</v>
      </c>
      <c r="BP162" s="312">
        <f t="shared" si="892"/>
        <v>33.094444444444441</v>
      </c>
      <c r="BQ162" s="312">
        <f t="shared" si="892"/>
        <v>33.588888888888889</v>
      </c>
      <c r="BR162" s="312">
        <f t="shared" si="892"/>
        <v>34.094444444444441</v>
      </c>
      <c r="BS162" s="312">
        <f t="shared" si="892"/>
        <v>34.588888888888889</v>
      </c>
      <c r="BT162" s="312">
        <f t="shared" si="892"/>
        <v>35.094444444444441</v>
      </c>
      <c r="BU162" s="312">
        <f t="shared" si="892"/>
        <v>35.588888888888889</v>
      </c>
      <c r="BV162" s="312">
        <f t="shared" si="892"/>
        <v>36.094444444444441</v>
      </c>
      <c r="BW162" s="312">
        <f t="shared" si="892"/>
        <v>36.588888888888889</v>
      </c>
      <c r="BX162" s="312">
        <f t="shared" si="892"/>
        <v>37.091666666666669</v>
      </c>
      <c r="BY162" s="312">
        <f t="shared" si="892"/>
        <v>37.586111111111109</v>
      </c>
      <c r="BZ162" s="312">
        <f t="shared" si="892"/>
        <v>38.091666666666669</v>
      </c>
      <c r="CA162" s="312">
        <f t="shared" si="892"/>
        <v>38.586111111111109</v>
      </c>
      <c r="CB162" s="312">
        <f t="shared" si="892"/>
        <v>39.091666666666669</v>
      </c>
    </row>
    <row r="163" spans="1:80">
      <c r="A163" s="311" t="s">
        <v>43</v>
      </c>
      <c r="B163" s="312">
        <f>IF(B161&lt;0,0,$B$5+$B$6*((1-EXP(-B162/$B$9))/(B162/$B$9))+$B$7*((1-EXP(-B162/$B$9))/(B162/$B$9)-EXP(-B162/$B$9))+$B$8*((1-EXP(-B162/$B$10))/(B162/$B$10)-EXP(-B162/$B$10)))</f>
        <v>1.7479855880234312E-2</v>
      </c>
      <c r="C163" s="312">
        <f t="shared" ref="C163:BN163" si="893">IF(C161&lt;0,0,$B$5+$B$6*((1-EXP(-C162/$B$9))/(C162/$B$9))+$B$7*((1-EXP(-C162/$B$9))/(C162/$B$9)-EXP(-C162/$B$9))+$B$8*((1-EXP(-C162/$B$10))/(C162/$B$10)-EXP(-C162/$B$10)))</f>
        <v>1.7511832796269649E-2</v>
      </c>
      <c r="D163" s="312">
        <f t="shared" si="893"/>
        <v>1.7560104094283838E-2</v>
      </c>
      <c r="E163" s="312">
        <f t="shared" si="893"/>
        <v>1.7622012664277653E-2</v>
      </c>
      <c r="F163" s="312">
        <f t="shared" si="893"/>
        <v>1.7699079149213606E-2</v>
      </c>
      <c r="G163" s="312">
        <f t="shared" si="893"/>
        <v>1.7786959970177624E-2</v>
      </c>
      <c r="H163" s="312">
        <f t="shared" si="893"/>
        <v>1.7888671102463352E-2</v>
      </c>
      <c r="I163" s="312">
        <f t="shared" si="893"/>
        <v>1.7998882675334144E-2</v>
      </c>
      <c r="J163" s="312">
        <f t="shared" si="893"/>
        <v>1.8121709808022468E-2</v>
      </c>
      <c r="K163" s="312">
        <f t="shared" si="893"/>
        <v>1.8250983069438537E-2</v>
      </c>
      <c r="L163" s="312">
        <f t="shared" si="893"/>
        <v>1.8390965537032289E-2</v>
      </c>
      <c r="M163" s="312">
        <f t="shared" si="893"/>
        <v>1.8536330401057566E-2</v>
      </c>
      <c r="N163" s="312">
        <f t="shared" si="893"/>
        <v>1.8692189032365886E-2</v>
      </c>
      <c r="O163" s="312">
        <f t="shared" si="893"/>
        <v>1.8851074350991981E-2</v>
      </c>
      <c r="P163" s="312">
        <f t="shared" si="893"/>
        <v>1.9019527917276735E-2</v>
      </c>
      <c r="Q163" s="312">
        <f t="shared" si="893"/>
        <v>1.9189596025648181E-2</v>
      </c>
      <c r="R163" s="312">
        <f t="shared" si="893"/>
        <v>1.9368388616787857E-2</v>
      </c>
      <c r="S163" s="312">
        <f t="shared" si="893"/>
        <v>1.95475583739943E-2</v>
      </c>
      <c r="T163" s="312">
        <f t="shared" si="893"/>
        <v>1.9733645816066014E-2</v>
      </c>
      <c r="U163" s="312">
        <f t="shared" si="893"/>
        <v>1.9920051120210558E-2</v>
      </c>
      <c r="V163" s="312">
        <f t="shared" si="893"/>
        <v>2.0113714549130801E-2</v>
      </c>
      <c r="W163" s="312">
        <f t="shared" si="893"/>
        <v>2.0305740162430919E-2</v>
      </c>
      <c r="X163" s="312">
        <f t="shared" si="893"/>
        <v>2.0504387411195202E-2</v>
      </c>
      <c r="Y163" s="312">
        <f t="shared" si="893"/>
        <v>2.0700586499582396E-2</v>
      </c>
      <c r="Z163" s="312">
        <f t="shared" si="893"/>
        <v>2.090282871633925E-2</v>
      </c>
      <c r="AA163" s="312">
        <f t="shared" si="893"/>
        <v>2.110192707403874E-2</v>
      </c>
      <c r="AB163" s="312">
        <f t="shared" si="893"/>
        <v>2.1305416461488647E-2</v>
      </c>
      <c r="AC163" s="312">
        <f t="shared" si="893"/>
        <v>2.1506292127783211E-2</v>
      </c>
      <c r="AD163" s="312">
        <f t="shared" si="893"/>
        <v>2.1712209781331093E-2</v>
      </c>
      <c r="AE163" s="312">
        <f t="shared" si="893"/>
        <v>2.1913890750464404E-2</v>
      </c>
      <c r="AF163" s="312">
        <f t="shared" si="893"/>
        <v>2.2120180926384514E-2</v>
      </c>
      <c r="AG163" s="312">
        <f t="shared" si="893"/>
        <v>2.2321815067461892E-2</v>
      </c>
      <c r="AH163" s="312">
        <f t="shared" si="893"/>
        <v>2.2527666051342765E-2</v>
      </c>
      <c r="AI163" s="312">
        <f t="shared" si="893"/>
        <v>2.2728514691301216E-2</v>
      </c>
      <c r="AJ163" s="312">
        <f t="shared" si="893"/>
        <v>2.2932101953030359E-2</v>
      </c>
      <c r="AK163" s="312">
        <f t="shared" si="893"/>
        <v>2.3131532912928243E-2</v>
      </c>
      <c r="AL163" s="312">
        <f t="shared" si="893"/>
        <v>2.3334504066343298E-2</v>
      </c>
      <c r="AM163" s="312">
        <f t="shared" si="893"/>
        <v>2.3531968163307104E-2</v>
      </c>
      <c r="AN163" s="312">
        <f t="shared" si="893"/>
        <v>2.37326809240056E-2</v>
      </c>
      <c r="AO163" s="312">
        <f t="shared" si="893"/>
        <v>2.3927713516211757E-2</v>
      </c>
      <c r="AP163" s="312">
        <f t="shared" si="893"/>
        <v>2.4125731002824835E-2</v>
      </c>
      <c r="AQ163" s="312">
        <f t="shared" si="893"/>
        <v>2.4317940088679157E-2</v>
      </c>
      <c r="AR163" s="312">
        <f t="shared" si="893"/>
        <v>2.4511828822115667E-2</v>
      </c>
      <c r="AS163" s="312">
        <f t="shared" si="893"/>
        <v>2.4700896221214519E-2</v>
      </c>
      <c r="AT163" s="312">
        <f t="shared" si="893"/>
        <v>2.4892494871509241E-2</v>
      </c>
      <c r="AU163" s="312">
        <f t="shared" si="893"/>
        <v>2.5078142231429346E-2</v>
      </c>
      <c r="AV163" s="312">
        <f t="shared" si="893"/>
        <v>2.5266125887795587E-2</v>
      </c>
      <c r="AW163" s="312">
        <f t="shared" si="893"/>
        <v>2.5448134126964173E-2</v>
      </c>
      <c r="AX163" s="312">
        <f t="shared" si="893"/>
        <v>2.5632302529256523E-2</v>
      </c>
      <c r="AY163" s="312">
        <f t="shared" si="893"/>
        <v>2.5810497617872186E-2</v>
      </c>
      <c r="AZ163" s="312">
        <f t="shared" si="893"/>
        <v>2.5989709283677609E-2</v>
      </c>
      <c r="BA163" s="312">
        <f t="shared" si="893"/>
        <v>2.6163968045103569E-2</v>
      </c>
      <c r="BB163" s="312">
        <f t="shared" si="893"/>
        <v>2.6340084599319025E-2</v>
      </c>
      <c r="BC163" s="312">
        <f t="shared" si="893"/>
        <v>2.6510296799185651E-2</v>
      </c>
      <c r="BD163" s="312">
        <f t="shared" si="893"/>
        <v>2.6682237043922807E-2</v>
      </c>
      <c r="BE163" s="312">
        <f t="shared" si="893"/>
        <v>2.6848333892870585E-2</v>
      </c>
      <c r="BF163" s="312">
        <f t="shared" si="893"/>
        <v>2.7016041649710609E-2</v>
      </c>
      <c r="BG163" s="312">
        <f t="shared" si="893"/>
        <v>2.7177981136803836E-2</v>
      </c>
      <c r="BH163" s="312">
        <f t="shared" si="893"/>
        <v>2.734053363618616E-2</v>
      </c>
      <c r="BI163" s="312">
        <f t="shared" si="893"/>
        <v>2.7498308662868509E-2</v>
      </c>
      <c r="BJ163" s="312">
        <f t="shared" si="893"/>
        <v>2.765749363159653E-2</v>
      </c>
      <c r="BK163" s="312">
        <f t="shared" si="893"/>
        <v>2.7811094050932045E-2</v>
      </c>
      <c r="BL163" s="312">
        <f t="shared" si="893"/>
        <v>2.7966018188066877E-2</v>
      </c>
      <c r="BM163" s="312">
        <f t="shared" si="893"/>
        <v>2.8115462856881185E-2</v>
      </c>
      <c r="BN163" s="312">
        <f t="shared" si="893"/>
        <v>2.8266153376545394E-2</v>
      </c>
      <c r="BO163" s="312">
        <f t="shared" ref="BO163:CB163" si="894">IF(BO161&lt;0,0,$B$5+$B$6*((1-EXP(-BO162/$B$9))/(BO162/$B$9))+$B$7*((1-EXP(-BO162/$B$9))/(BO162/$B$9)-EXP(-BO162/$B$9))+$B$8*((1-EXP(-BO162/$B$10))/(BO162/$B$10)-EXP(-BO162/$B$10)))</f>
        <v>2.8411476085819259E-2</v>
      </c>
      <c r="BP163" s="312">
        <f t="shared" si="894"/>
        <v>2.8557175121418837E-2</v>
      </c>
      <c r="BQ163" s="312">
        <f t="shared" si="894"/>
        <v>2.8698433626493575E-2</v>
      </c>
      <c r="BR163" s="312">
        <f t="shared" si="894"/>
        <v>2.8840804247033142E-2</v>
      </c>
      <c r="BS163" s="312">
        <f t="shared" si="894"/>
        <v>2.8978044385706503E-2</v>
      </c>
      <c r="BT163" s="312">
        <f t="shared" si="894"/>
        <v>2.9116339155235843E-2</v>
      </c>
      <c r="BU163" s="312">
        <f t="shared" si="894"/>
        <v>2.9249627155964936E-2</v>
      </c>
      <c r="BV163" s="312">
        <f t="shared" si="894"/>
        <v>2.9383917784152974E-2</v>
      </c>
      <c r="BW163" s="312">
        <f t="shared" si="894"/>
        <v>2.951332732213055E-2</v>
      </c>
      <c r="BX163" s="312">
        <f t="shared" si="894"/>
        <v>2.9642981472591867E-2</v>
      </c>
      <c r="BY163" s="312">
        <f t="shared" si="894"/>
        <v>2.9768602732837823E-2</v>
      </c>
      <c r="BZ163" s="312">
        <f t="shared" si="894"/>
        <v>2.9895136997630217E-2</v>
      </c>
      <c r="CA163" s="312">
        <f t="shared" si="894"/>
        <v>3.0017043911665431E-2</v>
      </c>
      <c r="CB163" s="312">
        <f t="shared" si="894"/>
        <v>3.0139825130984371E-2</v>
      </c>
    </row>
    <row r="164" spans="1:80">
      <c r="A164" s="311" t="s">
        <v>44</v>
      </c>
      <c r="B164" s="312">
        <f>EXP(-B163*B162)</f>
        <v>0.99791430641336143</v>
      </c>
      <c r="C164" s="312">
        <f t="shared" ref="C164:AR164" si="895">EXP(-C163*C162)</f>
        <v>0.98930725859517343</v>
      </c>
      <c r="D164" s="312">
        <f t="shared" si="895"/>
        <v>0.98058221880385688</v>
      </c>
      <c r="E164" s="312">
        <f t="shared" si="895"/>
        <v>0.97200821743756716</v>
      </c>
      <c r="F164" s="312">
        <f t="shared" si="895"/>
        <v>0.96323000757809185</v>
      </c>
      <c r="G164" s="312">
        <f t="shared" si="895"/>
        <v>0.95461827656406961</v>
      </c>
      <c r="H164" s="312">
        <f t="shared" si="895"/>
        <v>0.94577268931873637</v>
      </c>
      <c r="I164" s="312">
        <f t="shared" si="895"/>
        <v>0.93707124424938515</v>
      </c>
      <c r="J164" s="312">
        <f t="shared" si="895"/>
        <v>0.92811369391126985</v>
      </c>
      <c r="K164" s="312">
        <f t="shared" si="895"/>
        <v>0.91928663098596664</v>
      </c>
      <c r="L164" s="312">
        <f t="shared" si="895"/>
        <v>0.91023783696651839</v>
      </c>
      <c r="M164" s="312">
        <f t="shared" si="895"/>
        <v>0.90126322208072707</v>
      </c>
      <c r="N164" s="312">
        <f t="shared" si="895"/>
        <v>0.89200640419776622</v>
      </c>
      <c r="O164" s="312">
        <f t="shared" si="895"/>
        <v>0.88287276478426491</v>
      </c>
      <c r="P164" s="312">
        <f t="shared" si="895"/>
        <v>0.87345138329108507</v>
      </c>
      <c r="Q164" s="312">
        <f t="shared" si="895"/>
        <v>0.86415697461779017</v>
      </c>
      <c r="R164" s="312">
        <f t="shared" si="895"/>
        <v>0.85457333909969935</v>
      </c>
      <c r="S164" s="312">
        <f t="shared" si="895"/>
        <v>0.84512401562868855</v>
      </c>
      <c r="T164" s="312">
        <f t="shared" si="895"/>
        <v>0.83544109204891148</v>
      </c>
      <c r="U164" s="312">
        <f t="shared" si="895"/>
        <v>0.82584914302444601</v>
      </c>
      <c r="V164" s="312">
        <f t="shared" si="895"/>
        <v>0.81597464021942656</v>
      </c>
      <c r="W164" s="312">
        <f t="shared" si="895"/>
        <v>0.80625625288226899</v>
      </c>
      <c r="X164" s="312">
        <f t="shared" si="895"/>
        <v>0.79626237804508226</v>
      </c>
      <c r="Y164" s="312">
        <f t="shared" si="895"/>
        <v>0.78643767221132144</v>
      </c>
      <c r="Z164" s="312">
        <f t="shared" si="895"/>
        <v>0.77634638876579443</v>
      </c>
      <c r="AA164" s="312">
        <f t="shared" si="895"/>
        <v>0.76643796706624656</v>
      </c>
      <c r="AB164" s="312">
        <f t="shared" si="895"/>
        <v>0.756329235596783</v>
      </c>
      <c r="AC164" s="312">
        <f t="shared" si="895"/>
        <v>0.74636142466443522</v>
      </c>
      <c r="AD164" s="312">
        <f t="shared" si="895"/>
        <v>0.736148736526551</v>
      </c>
      <c r="AE164" s="312">
        <f t="shared" si="895"/>
        <v>0.72614636711897274</v>
      </c>
      <c r="AF164" s="312">
        <f t="shared" si="895"/>
        <v>0.71591125385786414</v>
      </c>
      <c r="AG164" s="312">
        <f t="shared" si="895"/>
        <v>0.70589955845012387</v>
      </c>
      <c r="AH164" s="312">
        <f t="shared" si="895"/>
        <v>0.69566771475607325</v>
      </c>
      <c r="AI164" s="312">
        <f t="shared" si="895"/>
        <v>0.68567160304468922</v>
      </c>
      <c r="AJ164" s="312">
        <f t="shared" si="895"/>
        <v>0.67552416821374195</v>
      </c>
      <c r="AK164" s="312">
        <f t="shared" si="895"/>
        <v>0.66556765941989671</v>
      </c>
      <c r="AL164" s="312">
        <f t="shared" si="895"/>
        <v>0.65541663621813495</v>
      </c>
      <c r="AM164" s="312">
        <f t="shared" si="895"/>
        <v>0.64552289038964639</v>
      </c>
      <c r="AN164" s="312">
        <f t="shared" si="895"/>
        <v>0.63544734114181667</v>
      </c>
      <c r="AO164" s="312">
        <f t="shared" si="895"/>
        <v>0.62563810322402669</v>
      </c>
      <c r="AP164" s="312">
        <f t="shared" si="895"/>
        <v>0.61565950186001772</v>
      </c>
      <c r="AQ164" s="312">
        <f t="shared" si="895"/>
        <v>0.60595499228558303</v>
      </c>
      <c r="AR164" s="312">
        <f t="shared" si="895"/>
        <v>0.59614719164528696</v>
      </c>
      <c r="AS164" s="312">
        <f>EXP(-AS163*AS162)</f>
        <v>0.58656561314396949</v>
      </c>
      <c r="AT164" s="312">
        <f t="shared" ref="AT164:CA164" si="896">EXP(-AT163*AT162)</f>
        <v>0.57683830686680782</v>
      </c>
      <c r="AU164" s="312">
        <f t="shared" si="896"/>
        <v>0.56739682465877894</v>
      </c>
      <c r="AV164" s="312">
        <f t="shared" si="896"/>
        <v>0.55782070151220431</v>
      </c>
      <c r="AW164" s="312">
        <f t="shared" si="896"/>
        <v>0.54853440471685533</v>
      </c>
      <c r="AX164" s="312">
        <f t="shared" si="896"/>
        <v>0.53912399303334091</v>
      </c>
      <c r="AY164" s="312">
        <f t="shared" si="896"/>
        <v>0.53000621527384872</v>
      </c>
      <c r="AZ164" s="312">
        <f t="shared" si="896"/>
        <v>0.52082473081030556</v>
      </c>
      <c r="BA164" s="312">
        <f t="shared" si="896"/>
        <v>0.51188656737864158</v>
      </c>
      <c r="BB164" s="312">
        <f t="shared" si="896"/>
        <v>0.50284354146092802</v>
      </c>
      <c r="BC164" s="312">
        <f t="shared" si="896"/>
        <v>0.49409542351815</v>
      </c>
      <c r="BD164" s="312">
        <f t="shared" si="896"/>
        <v>0.48525118063541095</v>
      </c>
      <c r="BE164" s="312">
        <f t="shared" si="896"/>
        <v>0.47670145810294201</v>
      </c>
      <c r="BF164" s="312">
        <f t="shared" si="896"/>
        <v>0.46806375188897731</v>
      </c>
      <c r="BG164" s="312">
        <f t="shared" si="896"/>
        <v>0.45971926387535655</v>
      </c>
      <c r="BH164" s="312">
        <f t="shared" si="896"/>
        <v>0.45134034317745753</v>
      </c>
      <c r="BI164" s="312">
        <f t="shared" si="896"/>
        <v>0.4432059210587449</v>
      </c>
      <c r="BJ164" s="312">
        <f t="shared" si="896"/>
        <v>0.43499804944418757</v>
      </c>
      <c r="BK164" s="312">
        <f t="shared" si="896"/>
        <v>0.42707838172460116</v>
      </c>
      <c r="BL164" s="312">
        <f t="shared" si="896"/>
        <v>0.41909171941435414</v>
      </c>
      <c r="BM164" s="312">
        <f t="shared" si="896"/>
        <v>0.41138970320222656</v>
      </c>
      <c r="BN164" s="312">
        <f t="shared" si="896"/>
        <v>0.4036266321051048</v>
      </c>
      <c r="BO164" s="312">
        <f t="shared" si="896"/>
        <v>0.3961440552092883</v>
      </c>
      <c r="BP164" s="312">
        <f t="shared" si="896"/>
        <v>0.38864698321707103</v>
      </c>
      <c r="BQ164" s="312">
        <f t="shared" si="896"/>
        <v>0.38138401488856305</v>
      </c>
      <c r="BR164" s="312">
        <f t="shared" si="896"/>
        <v>0.37407042463401752</v>
      </c>
      <c r="BS164" s="312">
        <f t="shared" si="896"/>
        <v>0.36702755299151435</v>
      </c>
      <c r="BT164" s="312">
        <f t="shared" si="896"/>
        <v>0.35993862545657307</v>
      </c>
      <c r="BU164" s="312">
        <f t="shared" si="896"/>
        <v>0.353114917078515</v>
      </c>
      <c r="BV164" s="312">
        <f t="shared" si="896"/>
        <v>0.34624931908631784</v>
      </c>
      <c r="BW164" s="312">
        <f t="shared" si="896"/>
        <v>0.33964312189017309</v>
      </c>
      <c r="BX164" s="312">
        <f t="shared" si="896"/>
        <v>0.33303503384707789</v>
      </c>
      <c r="BY164" s="312">
        <f t="shared" si="896"/>
        <v>0.32664346959891011</v>
      </c>
      <c r="BZ164" s="312">
        <f t="shared" si="896"/>
        <v>0.32021725442632976</v>
      </c>
      <c r="CA164" s="312">
        <f t="shared" si="896"/>
        <v>0.3140380909721745</v>
      </c>
      <c r="CB164" s="312">
        <f>EXP(-CB163*CB162)</f>
        <v>0.30782741393960439</v>
      </c>
    </row>
    <row r="166" spans="1:80">
      <c r="A166" s="311" t="s">
        <v>40</v>
      </c>
      <c r="B166" s="312">
        <f t="shared" ref="B166:AG166" si="897">DAYS360($B$3,B62)</f>
        <v>133</v>
      </c>
      <c r="C166" s="312">
        <f t="shared" si="897"/>
        <v>313</v>
      </c>
      <c r="D166" s="312">
        <f t="shared" si="897"/>
        <v>492</v>
      </c>
      <c r="E166" s="312">
        <f t="shared" si="897"/>
        <v>673</v>
      </c>
      <c r="F166" s="312">
        <f t="shared" si="897"/>
        <v>852</v>
      </c>
      <c r="G166" s="312">
        <f t="shared" si="897"/>
        <v>1033</v>
      </c>
      <c r="H166" s="312">
        <f t="shared" si="897"/>
        <v>1212</v>
      </c>
      <c r="I166" s="312">
        <f t="shared" si="897"/>
        <v>1393</v>
      </c>
      <c r="J166" s="312">
        <f t="shared" si="897"/>
        <v>1572</v>
      </c>
      <c r="K166" s="312">
        <f t="shared" si="897"/>
        <v>1752</v>
      </c>
      <c r="L166" s="312">
        <f t="shared" si="897"/>
        <v>1931</v>
      </c>
      <c r="M166" s="312">
        <f t="shared" si="897"/>
        <v>2112</v>
      </c>
      <c r="N166" s="312">
        <f t="shared" si="897"/>
        <v>2291</v>
      </c>
      <c r="O166" s="312">
        <f t="shared" si="897"/>
        <v>2472</v>
      </c>
      <c r="P166" s="312">
        <f t="shared" si="897"/>
        <v>2651</v>
      </c>
      <c r="Q166" s="312">
        <f t="shared" si="897"/>
        <v>2832</v>
      </c>
      <c r="R166" s="312">
        <f t="shared" si="897"/>
        <v>3011</v>
      </c>
      <c r="S166" s="312">
        <f t="shared" si="897"/>
        <v>3191</v>
      </c>
      <c r="T166" s="312">
        <f t="shared" si="897"/>
        <v>3370</v>
      </c>
      <c r="U166" s="312">
        <f t="shared" si="897"/>
        <v>3551</v>
      </c>
      <c r="V166" s="312">
        <f t="shared" si="897"/>
        <v>3730</v>
      </c>
      <c r="W166" s="312">
        <f t="shared" si="897"/>
        <v>3911</v>
      </c>
      <c r="X166" s="312">
        <f t="shared" si="897"/>
        <v>4090</v>
      </c>
      <c r="Y166" s="312">
        <f t="shared" si="897"/>
        <v>4271</v>
      </c>
      <c r="Z166" s="312">
        <f t="shared" si="897"/>
        <v>4450</v>
      </c>
      <c r="AA166" s="312">
        <f t="shared" si="897"/>
        <v>4630</v>
      </c>
      <c r="AB166" s="312">
        <f t="shared" si="897"/>
        <v>4809</v>
      </c>
      <c r="AC166" s="312">
        <f t="shared" si="897"/>
        <v>4990</v>
      </c>
      <c r="AD166" s="312">
        <f t="shared" si="897"/>
        <v>5169</v>
      </c>
      <c r="AE166" s="312">
        <f t="shared" si="897"/>
        <v>5350</v>
      </c>
      <c r="AF166" s="312">
        <f t="shared" si="897"/>
        <v>5529</v>
      </c>
      <c r="AG166" s="312">
        <f t="shared" si="897"/>
        <v>5710</v>
      </c>
      <c r="AH166" s="312">
        <f t="shared" ref="AH166:BM166" si="898">DAYS360($B$3,AH62)</f>
        <v>5889</v>
      </c>
      <c r="AI166" s="312">
        <f t="shared" si="898"/>
        <v>6069</v>
      </c>
      <c r="AJ166" s="312">
        <f t="shared" si="898"/>
        <v>6248</v>
      </c>
      <c r="AK166" s="312">
        <f t="shared" si="898"/>
        <v>6429</v>
      </c>
      <c r="AL166" s="312">
        <f t="shared" si="898"/>
        <v>6608</v>
      </c>
      <c r="AM166" s="312">
        <f t="shared" si="898"/>
        <v>6789</v>
      </c>
      <c r="AN166" s="312">
        <f t="shared" si="898"/>
        <v>6968</v>
      </c>
      <c r="AO166" s="312">
        <f t="shared" si="898"/>
        <v>7149</v>
      </c>
      <c r="AP166" s="312">
        <f t="shared" si="898"/>
        <v>7328</v>
      </c>
      <c r="AQ166" s="312">
        <f t="shared" si="898"/>
        <v>7508</v>
      </c>
      <c r="AR166" s="312">
        <f t="shared" si="898"/>
        <v>7687</v>
      </c>
      <c r="AS166" s="312">
        <f t="shared" si="898"/>
        <v>7868</v>
      </c>
      <c r="AT166" s="312">
        <f t="shared" si="898"/>
        <v>8047</v>
      </c>
      <c r="AU166" s="312">
        <f t="shared" si="898"/>
        <v>8228</v>
      </c>
      <c r="AV166" s="312">
        <f t="shared" si="898"/>
        <v>8407</v>
      </c>
      <c r="AW166" s="312">
        <f t="shared" si="898"/>
        <v>8588</v>
      </c>
      <c r="AX166" s="312">
        <f t="shared" si="898"/>
        <v>8767</v>
      </c>
      <c r="AY166" s="312">
        <f t="shared" si="898"/>
        <v>8947</v>
      </c>
      <c r="AZ166" s="312">
        <f t="shared" si="898"/>
        <v>9126</v>
      </c>
      <c r="BA166" s="312">
        <f t="shared" si="898"/>
        <v>9307</v>
      </c>
      <c r="BB166" s="312">
        <f t="shared" si="898"/>
        <v>9486</v>
      </c>
      <c r="BC166" s="312">
        <f t="shared" si="898"/>
        <v>9667</v>
      </c>
      <c r="BD166" s="312">
        <f t="shared" si="898"/>
        <v>9846</v>
      </c>
      <c r="BE166" s="312">
        <f t="shared" si="898"/>
        <v>10027</v>
      </c>
      <c r="BF166" s="312">
        <f t="shared" si="898"/>
        <v>10206</v>
      </c>
      <c r="BG166" s="312">
        <f t="shared" si="898"/>
        <v>10386</v>
      </c>
      <c r="BH166" s="312">
        <f t="shared" si="898"/>
        <v>10565</v>
      </c>
      <c r="BI166" s="312">
        <f t="shared" si="898"/>
        <v>10746</v>
      </c>
      <c r="BJ166" s="312">
        <f t="shared" si="898"/>
        <v>10925</v>
      </c>
      <c r="BK166" s="312">
        <f t="shared" si="898"/>
        <v>11106</v>
      </c>
      <c r="BL166" s="312">
        <f t="shared" si="898"/>
        <v>11285</v>
      </c>
      <c r="BM166" s="312">
        <f t="shared" si="898"/>
        <v>11466</v>
      </c>
      <c r="BN166" s="312">
        <f t="shared" ref="BN166:CB166" si="899">DAYS360($B$3,BN62)</f>
        <v>11645</v>
      </c>
      <c r="BO166" s="312">
        <f t="shared" si="899"/>
        <v>11825</v>
      </c>
      <c r="BP166" s="312">
        <f t="shared" si="899"/>
        <v>12004</v>
      </c>
      <c r="BQ166" s="312">
        <f t="shared" si="899"/>
        <v>12185</v>
      </c>
      <c r="BR166" s="312">
        <f t="shared" si="899"/>
        <v>12364</v>
      </c>
      <c r="BS166" s="312">
        <f t="shared" si="899"/>
        <v>12545</v>
      </c>
      <c r="BT166" s="312">
        <f t="shared" si="899"/>
        <v>12724</v>
      </c>
      <c r="BU166" s="312">
        <f t="shared" si="899"/>
        <v>12905</v>
      </c>
      <c r="BV166" s="312">
        <f t="shared" si="899"/>
        <v>13084</v>
      </c>
      <c r="BW166" s="312">
        <f t="shared" si="899"/>
        <v>13264</v>
      </c>
      <c r="BX166" s="312">
        <f t="shared" si="899"/>
        <v>13443</v>
      </c>
      <c r="BY166" s="312">
        <f t="shared" si="899"/>
        <v>13624</v>
      </c>
      <c r="BZ166" s="312">
        <f t="shared" si="899"/>
        <v>13803</v>
      </c>
      <c r="CA166" s="312">
        <f t="shared" si="899"/>
        <v>13984</v>
      </c>
      <c r="CB166" s="312">
        <f t="shared" si="899"/>
        <v>14163</v>
      </c>
    </row>
    <row r="167" spans="1:80">
      <c r="A167" s="311" t="s">
        <v>41</v>
      </c>
      <c r="B167" s="312">
        <f>B166/360</f>
        <v>0.36944444444444446</v>
      </c>
      <c r="C167" s="312">
        <f t="shared" ref="C167:BN167" si="900">C166/360</f>
        <v>0.86944444444444446</v>
      </c>
      <c r="D167" s="312">
        <f t="shared" si="900"/>
        <v>1.3666666666666667</v>
      </c>
      <c r="E167" s="312">
        <f t="shared" si="900"/>
        <v>1.8694444444444445</v>
      </c>
      <c r="F167" s="312">
        <f t="shared" si="900"/>
        <v>2.3666666666666667</v>
      </c>
      <c r="G167" s="312">
        <f t="shared" si="900"/>
        <v>2.8694444444444445</v>
      </c>
      <c r="H167" s="312">
        <f t="shared" si="900"/>
        <v>3.3666666666666667</v>
      </c>
      <c r="I167" s="312">
        <f t="shared" si="900"/>
        <v>3.8694444444444445</v>
      </c>
      <c r="J167" s="312">
        <f t="shared" si="900"/>
        <v>4.3666666666666663</v>
      </c>
      <c r="K167" s="312">
        <f t="shared" si="900"/>
        <v>4.8666666666666663</v>
      </c>
      <c r="L167" s="312">
        <f t="shared" si="900"/>
        <v>5.3638888888888889</v>
      </c>
      <c r="M167" s="312">
        <f t="shared" si="900"/>
        <v>5.8666666666666663</v>
      </c>
      <c r="N167" s="312">
        <f t="shared" si="900"/>
        <v>6.3638888888888889</v>
      </c>
      <c r="O167" s="312">
        <f t="shared" si="900"/>
        <v>6.8666666666666663</v>
      </c>
      <c r="P167" s="312">
        <f t="shared" si="900"/>
        <v>7.3638888888888889</v>
      </c>
      <c r="Q167" s="312">
        <f t="shared" si="900"/>
        <v>7.8666666666666663</v>
      </c>
      <c r="R167" s="312">
        <f t="shared" si="900"/>
        <v>8.3638888888888889</v>
      </c>
      <c r="S167" s="312">
        <f t="shared" si="900"/>
        <v>8.8638888888888889</v>
      </c>
      <c r="T167" s="312">
        <f t="shared" si="900"/>
        <v>9.3611111111111107</v>
      </c>
      <c r="U167" s="312">
        <f t="shared" si="900"/>
        <v>9.8638888888888889</v>
      </c>
      <c r="V167" s="312">
        <f t="shared" si="900"/>
        <v>10.361111111111111</v>
      </c>
      <c r="W167" s="312">
        <f t="shared" si="900"/>
        <v>10.863888888888889</v>
      </c>
      <c r="X167" s="312">
        <f t="shared" si="900"/>
        <v>11.361111111111111</v>
      </c>
      <c r="Y167" s="312">
        <f t="shared" si="900"/>
        <v>11.863888888888889</v>
      </c>
      <c r="Z167" s="312">
        <f t="shared" si="900"/>
        <v>12.361111111111111</v>
      </c>
      <c r="AA167" s="312">
        <f t="shared" si="900"/>
        <v>12.861111111111111</v>
      </c>
      <c r="AB167" s="312">
        <f t="shared" si="900"/>
        <v>13.358333333333333</v>
      </c>
      <c r="AC167" s="312">
        <f t="shared" si="900"/>
        <v>13.861111111111111</v>
      </c>
      <c r="AD167" s="312">
        <f t="shared" si="900"/>
        <v>14.358333333333333</v>
      </c>
      <c r="AE167" s="312">
        <f t="shared" si="900"/>
        <v>14.861111111111111</v>
      </c>
      <c r="AF167" s="312">
        <f t="shared" si="900"/>
        <v>15.358333333333333</v>
      </c>
      <c r="AG167" s="312">
        <f t="shared" si="900"/>
        <v>15.861111111111111</v>
      </c>
      <c r="AH167" s="312">
        <f t="shared" si="900"/>
        <v>16.358333333333334</v>
      </c>
      <c r="AI167" s="312">
        <f t="shared" si="900"/>
        <v>16.858333333333334</v>
      </c>
      <c r="AJ167" s="312">
        <f t="shared" si="900"/>
        <v>17.355555555555554</v>
      </c>
      <c r="AK167" s="312">
        <f t="shared" si="900"/>
        <v>17.858333333333334</v>
      </c>
      <c r="AL167" s="312">
        <f t="shared" si="900"/>
        <v>18.355555555555554</v>
      </c>
      <c r="AM167" s="312">
        <f t="shared" si="900"/>
        <v>18.858333333333334</v>
      </c>
      <c r="AN167" s="312">
        <f t="shared" si="900"/>
        <v>19.355555555555554</v>
      </c>
      <c r="AO167" s="312">
        <f t="shared" si="900"/>
        <v>19.858333333333334</v>
      </c>
      <c r="AP167" s="312">
        <f t="shared" si="900"/>
        <v>20.355555555555554</v>
      </c>
      <c r="AQ167" s="312">
        <f t="shared" si="900"/>
        <v>20.855555555555554</v>
      </c>
      <c r="AR167" s="312">
        <f t="shared" si="900"/>
        <v>21.352777777777778</v>
      </c>
      <c r="AS167" s="312">
        <f t="shared" si="900"/>
        <v>21.855555555555554</v>
      </c>
      <c r="AT167" s="312">
        <f t="shared" si="900"/>
        <v>22.352777777777778</v>
      </c>
      <c r="AU167" s="312">
        <f t="shared" si="900"/>
        <v>22.855555555555554</v>
      </c>
      <c r="AV167" s="312">
        <f t="shared" si="900"/>
        <v>23.352777777777778</v>
      </c>
      <c r="AW167" s="312">
        <f t="shared" si="900"/>
        <v>23.855555555555554</v>
      </c>
      <c r="AX167" s="312">
        <f t="shared" si="900"/>
        <v>24.352777777777778</v>
      </c>
      <c r="AY167" s="312">
        <f t="shared" si="900"/>
        <v>24.852777777777778</v>
      </c>
      <c r="AZ167" s="312">
        <f t="shared" si="900"/>
        <v>25.35</v>
      </c>
      <c r="BA167" s="312">
        <f t="shared" si="900"/>
        <v>25.852777777777778</v>
      </c>
      <c r="BB167" s="312">
        <f t="shared" si="900"/>
        <v>26.35</v>
      </c>
      <c r="BC167" s="312">
        <f t="shared" si="900"/>
        <v>26.852777777777778</v>
      </c>
      <c r="BD167" s="312">
        <f t="shared" si="900"/>
        <v>27.35</v>
      </c>
      <c r="BE167" s="312">
        <f t="shared" si="900"/>
        <v>27.852777777777778</v>
      </c>
      <c r="BF167" s="312">
        <f t="shared" si="900"/>
        <v>28.35</v>
      </c>
      <c r="BG167" s="312">
        <f t="shared" si="900"/>
        <v>28.85</v>
      </c>
      <c r="BH167" s="312">
        <f t="shared" si="900"/>
        <v>29.347222222222221</v>
      </c>
      <c r="BI167" s="312">
        <f t="shared" si="900"/>
        <v>29.85</v>
      </c>
      <c r="BJ167" s="312">
        <f t="shared" si="900"/>
        <v>30.347222222222221</v>
      </c>
      <c r="BK167" s="312">
        <f t="shared" si="900"/>
        <v>30.85</v>
      </c>
      <c r="BL167" s="312">
        <f t="shared" si="900"/>
        <v>31.347222222222221</v>
      </c>
      <c r="BM167" s="312">
        <f t="shared" si="900"/>
        <v>31.85</v>
      </c>
      <c r="BN167" s="312">
        <f t="shared" si="900"/>
        <v>32.347222222222221</v>
      </c>
      <c r="BO167" s="312">
        <f t="shared" ref="BO167:CB167" si="901">BO166/360</f>
        <v>32.847222222222221</v>
      </c>
      <c r="BP167" s="312">
        <f t="shared" si="901"/>
        <v>33.344444444444441</v>
      </c>
      <c r="BQ167" s="312">
        <f t="shared" si="901"/>
        <v>33.847222222222221</v>
      </c>
      <c r="BR167" s="312">
        <f t="shared" si="901"/>
        <v>34.344444444444441</v>
      </c>
      <c r="BS167" s="312">
        <f t="shared" si="901"/>
        <v>34.847222222222221</v>
      </c>
      <c r="BT167" s="312">
        <f t="shared" si="901"/>
        <v>35.344444444444441</v>
      </c>
      <c r="BU167" s="312">
        <f t="shared" si="901"/>
        <v>35.847222222222221</v>
      </c>
      <c r="BV167" s="312">
        <f t="shared" si="901"/>
        <v>36.344444444444441</v>
      </c>
      <c r="BW167" s="312">
        <f t="shared" si="901"/>
        <v>36.844444444444441</v>
      </c>
      <c r="BX167" s="312">
        <f t="shared" si="901"/>
        <v>37.341666666666669</v>
      </c>
      <c r="BY167" s="312">
        <f t="shared" si="901"/>
        <v>37.844444444444441</v>
      </c>
      <c r="BZ167" s="312">
        <f t="shared" si="901"/>
        <v>38.341666666666669</v>
      </c>
      <c r="CA167" s="312">
        <f t="shared" si="901"/>
        <v>38.844444444444441</v>
      </c>
      <c r="CB167" s="312">
        <f t="shared" si="901"/>
        <v>39.341666666666669</v>
      </c>
    </row>
    <row r="168" spans="1:80">
      <c r="A168" s="311" t="s">
        <v>43</v>
      </c>
      <c r="B168" s="312">
        <f>IF(B166&lt;0,0,$B$5+$B$6*((1-EXP(-B167/$B$9))/(B167/$B$9))+$B$7*((1-EXP(-B167/$B$9))/(B167/$B$9)-EXP(-B167/$B$9))+$B$8*((1-EXP(-B167/$B$10))/(B167/$B$10)-EXP(-B167/$B$10)))</f>
        <v>1.7494035859913069E-2</v>
      </c>
      <c r="C168" s="312">
        <f t="shared" ref="C168:BN168" si="902">IF(C166&lt;0,0,$B$5+$B$6*((1-EXP(-C167/$B$9))/(C167/$B$9))+$B$7*((1-EXP(-C167/$B$9))/(C167/$B$9)-EXP(-C167/$B$9))+$B$8*((1-EXP(-C167/$B$10))/(C167/$B$10)-EXP(-C167/$B$10)))</f>
        <v>1.7534452551026574E-2</v>
      </c>
      <c r="D168" s="312">
        <f t="shared" si="902"/>
        <v>1.7589680797807102E-2</v>
      </c>
      <c r="E168" s="312">
        <f t="shared" si="902"/>
        <v>1.7659717098585284E-2</v>
      </c>
      <c r="F168" s="312">
        <f t="shared" si="902"/>
        <v>1.7742025104683146E-2</v>
      </c>
      <c r="G168" s="312">
        <f t="shared" si="902"/>
        <v>1.7837492577305103E-2</v>
      </c>
      <c r="H168" s="312">
        <f t="shared" si="902"/>
        <v>1.7943121038026116E-2</v>
      </c>
      <c r="I168" s="312">
        <f t="shared" si="902"/>
        <v>1.8060416313741751E-2</v>
      </c>
      <c r="J168" s="312">
        <f t="shared" si="902"/>
        <v>1.8185988839614364E-2</v>
      </c>
      <c r="K168" s="312">
        <f t="shared" si="902"/>
        <v>1.8321104603581745E-2</v>
      </c>
      <c r="L168" s="312">
        <f t="shared" si="902"/>
        <v>1.8463551428609309E-2</v>
      </c>
      <c r="M168" s="312">
        <f t="shared" si="902"/>
        <v>1.8615100395966366E-2</v>
      </c>
      <c r="N168" s="312">
        <f t="shared" si="902"/>
        <v>1.8771763991778823E-2</v>
      </c>
      <c r="O168" s="312">
        <f t="shared" si="902"/>
        <v>1.8936431084106975E-2</v>
      </c>
      <c r="P168" s="312">
        <f t="shared" si="902"/>
        <v>1.9104893355776725E-2</v>
      </c>
      <c r="Q168" s="312">
        <f t="shared" si="902"/>
        <v>1.9280370193487245E-2</v>
      </c>
      <c r="R168" s="312">
        <f t="shared" si="902"/>
        <v>1.9458477173729893E-2</v>
      </c>
      <c r="S168" s="312">
        <f t="shared" si="902"/>
        <v>1.9641681476117168E-2</v>
      </c>
      <c r="T168" s="312">
        <f t="shared" si="902"/>
        <v>1.982749998245753E-2</v>
      </c>
      <c r="U168" s="312">
        <f t="shared" si="902"/>
        <v>2.0018648783305837E-2</v>
      </c>
      <c r="V168" s="312">
        <f t="shared" si="902"/>
        <v>2.0210505543667434E-2</v>
      </c>
      <c r="W168" s="312">
        <f t="shared" si="902"/>
        <v>2.040697786712542E-2</v>
      </c>
      <c r="X168" s="312">
        <f t="shared" si="902"/>
        <v>2.0603372470135939E-2</v>
      </c>
      <c r="Y168" s="312">
        <f t="shared" si="902"/>
        <v>2.0803743415670262E-2</v>
      </c>
      <c r="Z168" s="312">
        <f t="shared" si="902"/>
        <v>2.1003353447785145E-2</v>
      </c>
      <c r="AA168" s="312">
        <f t="shared" si="902"/>
        <v>2.1205244785368949E-2</v>
      </c>
      <c r="AB168" s="312">
        <f t="shared" si="902"/>
        <v>2.1406904279599515E-2</v>
      </c>
      <c r="AC168" s="312">
        <f t="shared" si="902"/>
        <v>2.1611462265007764E-2</v>
      </c>
      <c r="AD168" s="312">
        <f t="shared" si="902"/>
        <v>2.181416118767493E-2</v>
      </c>
      <c r="AE168" s="312">
        <f t="shared" si="902"/>
        <v>2.2019306223084734E-2</v>
      </c>
      <c r="AF168" s="312">
        <f t="shared" si="902"/>
        <v>2.2222157673019105E-2</v>
      </c>
      <c r="AG168" s="312">
        <f t="shared" si="902"/>
        <v>2.2427053775746053E-2</v>
      </c>
      <c r="AH168" s="312">
        <f t="shared" si="902"/>
        <v>2.2629288014615889E-2</v>
      </c>
      <c r="AI168" s="312">
        <f t="shared" si="902"/>
        <v>2.2832086657489536E-2</v>
      </c>
      <c r="AJ168" s="312">
        <f t="shared" si="902"/>
        <v>2.3033043451220925E-2</v>
      </c>
      <c r="AK168" s="312">
        <f t="shared" si="902"/>
        <v>2.3235376273018304E-2</v>
      </c>
      <c r="AL168" s="312">
        <f t="shared" si="902"/>
        <v>2.3434482210699992E-2</v>
      </c>
      <c r="AM168" s="312">
        <f t="shared" si="902"/>
        <v>2.3634687482069483E-2</v>
      </c>
      <c r="AN168" s="312">
        <f t="shared" si="902"/>
        <v>2.3831456032201048E-2</v>
      </c>
      <c r="AO168" s="312">
        <f t="shared" si="902"/>
        <v>2.4029080864188257E-2</v>
      </c>
      <c r="AP168" s="312">
        <f t="shared" si="902"/>
        <v>2.4223100637882744E-2</v>
      </c>
      <c r="AQ168" s="312">
        <f t="shared" si="902"/>
        <v>2.4416692742404711E-2</v>
      </c>
      <c r="AR168" s="312">
        <f t="shared" si="902"/>
        <v>2.460762829464741E-2</v>
      </c>
      <c r="AS168" s="312">
        <f t="shared" si="902"/>
        <v>2.479902208552015E-2</v>
      </c>
      <c r="AT168" s="312">
        <f t="shared" si="902"/>
        <v>2.4986580154964966E-2</v>
      </c>
      <c r="AU168" s="312">
        <f t="shared" si="902"/>
        <v>2.5174434999163053E-2</v>
      </c>
      <c r="AV168" s="312">
        <f t="shared" si="902"/>
        <v>2.5358383251115835E-2</v>
      </c>
      <c r="AW168" s="312">
        <f t="shared" si="902"/>
        <v>2.5542488560203136E-2</v>
      </c>
      <c r="AX168" s="312">
        <f t="shared" si="902"/>
        <v>2.5722641366182575E-2</v>
      </c>
      <c r="AY168" s="312">
        <f t="shared" si="902"/>
        <v>2.5901840932052334E-2</v>
      </c>
      <c r="AZ168" s="312">
        <f t="shared" si="902"/>
        <v>2.6078064994934369E-2</v>
      </c>
      <c r="BA168" s="312">
        <f t="shared" si="902"/>
        <v>2.6254223111295327E-2</v>
      </c>
      <c r="BB168" s="312">
        <f t="shared" si="902"/>
        <v>2.6426399449294147E-2</v>
      </c>
      <c r="BC168" s="312">
        <f t="shared" si="902"/>
        <v>2.6598422244731523E-2</v>
      </c>
      <c r="BD168" s="312">
        <f t="shared" si="902"/>
        <v>2.6766474481668773E-2</v>
      </c>
      <c r="BE168" s="312">
        <f t="shared" si="902"/>
        <v>2.6934299283410179E-2</v>
      </c>
      <c r="BF168" s="312">
        <f t="shared" si="902"/>
        <v>2.7098178890431229E-2</v>
      </c>
      <c r="BG168" s="312">
        <f t="shared" si="902"/>
        <v>2.7260871370943823E-2</v>
      </c>
      <c r="BH168" s="312">
        <f t="shared" si="902"/>
        <v>2.7420565750746528E-2</v>
      </c>
      <c r="BI168" s="312">
        <f t="shared" si="902"/>
        <v>2.7579920093619675E-2</v>
      </c>
      <c r="BJ168" s="312">
        <f t="shared" si="902"/>
        <v>2.7735414333675212E-2</v>
      </c>
      <c r="BK168" s="312">
        <f t="shared" si="902"/>
        <v>2.7890527016338734E-2</v>
      </c>
      <c r="BL168" s="312">
        <f t="shared" si="902"/>
        <v>2.8041836015468419E-2</v>
      </c>
      <c r="BM168" s="312">
        <f t="shared" si="902"/>
        <v>2.8192730299653523E-2</v>
      </c>
      <c r="BN168" s="312">
        <f t="shared" si="902"/>
        <v>2.8339884563011508E-2</v>
      </c>
      <c r="BO168" s="312">
        <f t="shared" ref="BO168:CB168" si="903">IF(BO166&lt;0,0,$B$5+$B$6*((1-EXP(-BO167/$B$9))/(BO167/$B$9))+$B$7*((1-EXP(-BO167/$B$9))/(BO167/$B$9)-EXP(-BO167/$B$9))+$B$8*((1-EXP(-BO167/$B$10))/(BO167/$B$10)-EXP(-BO167/$B$10)))</f>
        <v>2.8485793462082049E-2</v>
      </c>
      <c r="BP168" s="312">
        <f t="shared" si="903"/>
        <v>2.8628848156471903E-2</v>
      </c>
      <c r="BQ168" s="312">
        <f t="shared" si="903"/>
        <v>2.8771442988122786E-2</v>
      </c>
      <c r="BR168" s="312">
        <f t="shared" si="903"/>
        <v>2.8910441691096161E-2</v>
      </c>
      <c r="BS168" s="312">
        <f t="shared" si="903"/>
        <v>2.9048966749366079E-2</v>
      </c>
      <c r="BT168" s="312">
        <f t="shared" si="903"/>
        <v>2.9183973988521211E-2</v>
      </c>
      <c r="BU168" s="312">
        <f t="shared" si="903"/>
        <v>2.9318498684285488E-2</v>
      </c>
      <c r="BV168" s="312">
        <f t="shared" si="903"/>
        <v>2.9449586842300507E-2</v>
      </c>
      <c r="BW168" s="312">
        <f t="shared" si="903"/>
        <v>2.9579471589338935E-2</v>
      </c>
      <c r="BX168" s="312">
        <f t="shared" si="903"/>
        <v>2.9706730033158574E-2</v>
      </c>
      <c r="BY168" s="312">
        <f t="shared" si="903"/>
        <v>2.9833500237512495E-2</v>
      </c>
      <c r="BZ168" s="312">
        <f t="shared" si="903"/>
        <v>2.9957002161933532E-2</v>
      </c>
      <c r="CA168" s="312">
        <f t="shared" si="903"/>
        <v>3.0080017939380144E-2</v>
      </c>
      <c r="CB168" s="312">
        <f t="shared" si="903"/>
        <v>3.0199851388160365E-2</v>
      </c>
    </row>
    <row r="169" spans="1:80">
      <c r="A169" s="311" t="s">
        <v>44</v>
      </c>
      <c r="B169" s="312">
        <f>EXP(-B168*B167)</f>
        <v>0.99355776638313631</v>
      </c>
      <c r="C169" s="312">
        <f t="shared" ref="C169:AR169" si="904">EXP(-C168*C167)</f>
        <v>0.9848703878996955</v>
      </c>
      <c r="D169" s="312">
        <f t="shared" si="904"/>
        <v>0.97624741040714758</v>
      </c>
      <c r="E169" s="312">
        <f t="shared" si="904"/>
        <v>0.96752514957777958</v>
      </c>
      <c r="F169" s="312">
        <f t="shared" si="904"/>
        <v>0.95887988767473709</v>
      </c>
      <c r="G169" s="312">
        <f t="shared" si="904"/>
        <v>0.95010412609437123</v>
      </c>
      <c r="H169" s="312">
        <f t="shared" si="904"/>
        <v>0.94137989428341584</v>
      </c>
      <c r="I169" s="312">
        <f t="shared" si="904"/>
        <v>0.93250219127929346</v>
      </c>
      <c r="J169" s="312">
        <f t="shared" si="904"/>
        <v>0.92365915869203385</v>
      </c>
      <c r="K169" s="312">
        <f t="shared" si="904"/>
        <v>0.91469673201054735</v>
      </c>
      <c r="L169" s="312">
        <f t="shared" si="904"/>
        <v>0.90570970484838431</v>
      </c>
      <c r="M169" s="312">
        <f t="shared" si="904"/>
        <v>0.89654338891317364</v>
      </c>
      <c r="N169" s="312">
        <f t="shared" si="904"/>
        <v>0.88739824272363232</v>
      </c>
      <c r="O169" s="312">
        <f t="shared" si="904"/>
        <v>0.87806894786438017</v>
      </c>
      <c r="P169" s="312">
        <f t="shared" si="904"/>
        <v>0.86876178918874192</v>
      </c>
      <c r="Q169" s="312">
        <f t="shared" si="904"/>
        <v>0.85926986413918938</v>
      </c>
      <c r="R169" s="312">
        <f t="shared" si="904"/>
        <v>0.84980485260416327</v>
      </c>
      <c r="S169" s="312">
        <f t="shared" si="904"/>
        <v>0.84021145876909653</v>
      </c>
      <c r="T169" s="312">
        <f t="shared" si="904"/>
        <v>0.83059959914767389</v>
      </c>
      <c r="U169" s="312">
        <f t="shared" si="904"/>
        <v>0.82081155469749645</v>
      </c>
      <c r="V169" s="312">
        <f t="shared" si="904"/>
        <v>0.81106807115474555</v>
      </c>
      <c r="W169" s="312">
        <f t="shared" si="904"/>
        <v>0.80115636389763678</v>
      </c>
      <c r="X169" s="312">
        <f t="shared" si="904"/>
        <v>0.79130072203797275</v>
      </c>
      <c r="Y169" s="312">
        <f t="shared" si="904"/>
        <v>0.7812865458352718</v>
      </c>
      <c r="Z169" s="312">
        <f t="shared" si="904"/>
        <v>0.77134094968797906</v>
      </c>
      <c r="AA169" s="312">
        <f t="shared" si="904"/>
        <v>0.76130363243516019</v>
      </c>
      <c r="AB169" s="312">
        <f t="shared" si="904"/>
        <v>0.75129224407364981</v>
      </c>
      <c r="AC169" s="312">
        <f t="shared" si="904"/>
        <v>0.74114508270352386</v>
      </c>
      <c r="AD169" s="312">
        <f t="shared" si="904"/>
        <v>0.73109271240459339</v>
      </c>
      <c r="AE169" s="312">
        <f t="shared" si="904"/>
        <v>0.7209169350055401</v>
      </c>
      <c r="AF169" s="312">
        <f t="shared" si="904"/>
        <v>0.71084896000752851</v>
      </c>
      <c r="AG169" s="312">
        <f t="shared" si="904"/>
        <v>0.70067018709206297</v>
      </c>
      <c r="AH169" s="312">
        <f t="shared" si="904"/>
        <v>0.69061178007015767</v>
      </c>
      <c r="AI169" s="312">
        <f t="shared" si="904"/>
        <v>0.68051124829733622</v>
      </c>
      <c r="AJ169" s="312">
        <f t="shared" si="904"/>
        <v>0.67048679867504868</v>
      </c>
      <c r="AK169" s="312">
        <f t="shared" si="904"/>
        <v>0.66037653794164752</v>
      </c>
      <c r="AL169" s="312">
        <f t="shared" si="904"/>
        <v>0.6504096133826216</v>
      </c>
      <c r="AM169" s="312">
        <f t="shared" si="904"/>
        <v>0.6403689305268131</v>
      </c>
      <c r="AN169" s="312">
        <f t="shared" si="904"/>
        <v>0.63048174878730701</v>
      </c>
      <c r="AO169" s="312">
        <f t="shared" si="904"/>
        <v>0.62053237657560589</v>
      </c>
      <c r="AP169" s="312">
        <f t="shared" si="904"/>
        <v>0.61074566251901541</v>
      </c>
      <c r="AQ169" s="312">
        <f t="shared" si="904"/>
        <v>0.60096192934319526</v>
      </c>
      <c r="AR169" s="312">
        <f t="shared" si="904"/>
        <v>0.59129441670070215</v>
      </c>
      <c r="AS169" s="312">
        <f>EXP(-AS168*AS167)</f>
        <v>0.58158601143737676</v>
      </c>
      <c r="AT169" s="312">
        <f t="shared" ref="AT169:CA169" si="905">EXP(-AT168*AT167)</f>
        <v>0.57205538027260416</v>
      </c>
      <c r="AU169" s="312">
        <f t="shared" si="905"/>
        <v>0.56249350158780109</v>
      </c>
      <c r="AV169" s="312">
        <f t="shared" si="905"/>
        <v>0.55311536152293361</v>
      </c>
      <c r="AW169" s="312">
        <f t="shared" si="905"/>
        <v>0.54371489755973423</v>
      </c>
      <c r="AX169" s="312">
        <f t="shared" si="905"/>
        <v>0.53450308913506384</v>
      </c>
      <c r="AY169" s="312">
        <f t="shared" si="905"/>
        <v>0.52532787016445281</v>
      </c>
      <c r="AZ169" s="312">
        <f t="shared" si="905"/>
        <v>0.51629397970601532</v>
      </c>
      <c r="BA169" s="312">
        <f t="shared" si="905"/>
        <v>0.50725340084452386</v>
      </c>
      <c r="BB169" s="312">
        <f t="shared" si="905"/>
        <v>0.49840831638174787</v>
      </c>
      <c r="BC169" s="312">
        <f t="shared" si="905"/>
        <v>0.48956329410891269</v>
      </c>
      <c r="BD169" s="312">
        <f t="shared" si="905"/>
        <v>0.4809157995677395</v>
      </c>
      <c r="BE169" s="312">
        <f t="shared" si="905"/>
        <v>0.4722744254297524</v>
      </c>
      <c r="BF169" s="312">
        <f t="shared" si="905"/>
        <v>0.46383176332536091</v>
      </c>
      <c r="BG169" s="312">
        <f t="shared" si="905"/>
        <v>0.45544690237647967</v>
      </c>
      <c r="BH169" s="312">
        <f t="shared" si="905"/>
        <v>0.44721427511793294</v>
      </c>
      <c r="BI169" s="312">
        <f t="shared" si="905"/>
        <v>0.43899791524330178</v>
      </c>
      <c r="BJ169" s="312">
        <f t="shared" si="905"/>
        <v>0.43098034972227744</v>
      </c>
      <c r="BK169" s="312">
        <f t="shared" si="905"/>
        <v>0.42298322477944761</v>
      </c>
      <c r="BL169" s="312">
        <f t="shared" si="905"/>
        <v>0.41518392461191095</v>
      </c>
      <c r="BM169" s="312">
        <f t="shared" si="905"/>
        <v>0.40740868388281198</v>
      </c>
      <c r="BN169" s="312">
        <f t="shared" si="905"/>
        <v>0.39982971152291635</v>
      </c>
      <c r="BO169" s="312">
        <f t="shared" si="905"/>
        <v>0.39231931644145562</v>
      </c>
      <c r="BP169" s="312">
        <f t="shared" si="905"/>
        <v>0.38496108148270108</v>
      </c>
      <c r="BQ169" s="312">
        <f t="shared" si="905"/>
        <v>0.37763263369187949</v>
      </c>
      <c r="BR169" s="312">
        <f t="shared" si="905"/>
        <v>0.37049584142826281</v>
      </c>
      <c r="BS169" s="312">
        <f t="shared" si="905"/>
        <v>0.36339103262655759</v>
      </c>
      <c r="BT169" s="312">
        <f t="shared" si="905"/>
        <v>0.35647493601579272</v>
      </c>
      <c r="BU169" s="312">
        <f t="shared" si="905"/>
        <v>0.349592622693918</v>
      </c>
      <c r="BV169" s="312">
        <f t="shared" si="905"/>
        <v>0.34289572975964877</v>
      </c>
      <c r="BW169" s="312">
        <f t="shared" si="905"/>
        <v>0.33627056244957387</v>
      </c>
      <c r="BX169" s="312">
        <f t="shared" si="905"/>
        <v>0.32979012534277874</v>
      </c>
      <c r="BY169" s="312">
        <f t="shared" si="905"/>
        <v>0.32334602565445208</v>
      </c>
      <c r="BZ169" s="312">
        <f t="shared" si="905"/>
        <v>0.31707993017509595</v>
      </c>
      <c r="CA169" s="312">
        <f t="shared" si="905"/>
        <v>0.31085099861737719</v>
      </c>
      <c r="CB169" s="312">
        <f>EXP(-CB168*CB167)</f>
        <v>0.3047960280166857</v>
      </c>
    </row>
    <row r="171" spans="1:80">
      <c r="A171" s="311" t="s">
        <v>40</v>
      </c>
      <c r="B171" s="312">
        <f t="shared" ref="B171:AG171" si="906">DAYS360($B$3,B64)</f>
        <v>43</v>
      </c>
      <c r="C171" s="312">
        <f t="shared" si="906"/>
        <v>221</v>
      </c>
      <c r="D171" s="312">
        <f t="shared" si="906"/>
        <v>402</v>
      </c>
      <c r="E171" s="312">
        <f t="shared" si="906"/>
        <v>580</v>
      </c>
      <c r="F171" s="312">
        <f t="shared" si="906"/>
        <v>762</v>
      </c>
      <c r="G171" s="312">
        <f t="shared" si="906"/>
        <v>940</v>
      </c>
      <c r="H171" s="312">
        <f t="shared" si="906"/>
        <v>1122</v>
      </c>
      <c r="I171" s="312">
        <f t="shared" si="906"/>
        <v>1300</v>
      </c>
      <c r="J171" s="312">
        <f t="shared" si="906"/>
        <v>1482</v>
      </c>
      <c r="K171" s="312">
        <f t="shared" si="906"/>
        <v>1660</v>
      </c>
      <c r="L171" s="312">
        <f t="shared" si="906"/>
        <v>1841</v>
      </c>
      <c r="M171" s="312">
        <f t="shared" si="906"/>
        <v>2019</v>
      </c>
      <c r="N171" s="312">
        <f t="shared" si="906"/>
        <v>2201</v>
      </c>
      <c r="O171" s="312">
        <f t="shared" si="906"/>
        <v>2379</v>
      </c>
      <c r="P171" s="312">
        <f t="shared" si="906"/>
        <v>2561</v>
      </c>
      <c r="Q171" s="312">
        <f t="shared" si="906"/>
        <v>2739</v>
      </c>
      <c r="R171" s="312">
        <f t="shared" si="906"/>
        <v>2921</v>
      </c>
      <c r="S171" s="312">
        <f t="shared" si="906"/>
        <v>3099</v>
      </c>
      <c r="T171" s="312">
        <f t="shared" si="906"/>
        <v>3280</v>
      </c>
      <c r="U171" s="312">
        <f t="shared" si="906"/>
        <v>3458</v>
      </c>
      <c r="V171" s="312">
        <f t="shared" si="906"/>
        <v>3640</v>
      </c>
      <c r="W171" s="312">
        <f t="shared" si="906"/>
        <v>3818</v>
      </c>
      <c r="X171" s="312">
        <f t="shared" si="906"/>
        <v>4000</v>
      </c>
      <c r="Y171" s="312">
        <f t="shared" si="906"/>
        <v>4178</v>
      </c>
      <c r="Z171" s="312">
        <f t="shared" si="906"/>
        <v>4360</v>
      </c>
      <c r="AA171" s="312">
        <f t="shared" si="906"/>
        <v>4538</v>
      </c>
      <c r="AB171" s="312">
        <f t="shared" si="906"/>
        <v>4719</v>
      </c>
      <c r="AC171" s="312">
        <f t="shared" si="906"/>
        <v>4897</v>
      </c>
      <c r="AD171" s="312">
        <f t="shared" si="906"/>
        <v>5079</v>
      </c>
      <c r="AE171" s="312">
        <f t="shared" si="906"/>
        <v>5257</v>
      </c>
      <c r="AF171" s="312">
        <f t="shared" si="906"/>
        <v>5439</v>
      </c>
      <c r="AG171" s="312">
        <f t="shared" si="906"/>
        <v>5617</v>
      </c>
      <c r="AH171" s="312">
        <f t="shared" ref="AH171:BM171" si="907">DAYS360($B$3,AH64)</f>
        <v>5799</v>
      </c>
      <c r="AI171" s="312">
        <f t="shared" si="907"/>
        <v>5977</v>
      </c>
      <c r="AJ171" s="312">
        <f t="shared" si="907"/>
        <v>6158</v>
      </c>
      <c r="AK171" s="312">
        <f t="shared" si="907"/>
        <v>6336</v>
      </c>
      <c r="AL171" s="312">
        <f t="shared" si="907"/>
        <v>6518</v>
      </c>
      <c r="AM171" s="312">
        <f t="shared" si="907"/>
        <v>6696</v>
      </c>
      <c r="AN171" s="312">
        <f t="shared" si="907"/>
        <v>6878</v>
      </c>
      <c r="AO171" s="312">
        <f t="shared" si="907"/>
        <v>7056</v>
      </c>
      <c r="AP171" s="312">
        <f t="shared" si="907"/>
        <v>7238</v>
      </c>
      <c r="AQ171" s="312">
        <f t="shared" si="907"/>
        <v>7416</v>
      </c>
      <c r="AR171" s="312">
        <f t="shared" si="907"/>
        <v>7597</v>
      </c>
      <c r="AS171" s="312">
        <f t="shared" si="907"/>
        <v>7775</v>
      </c>
      <c r="AT171" s="312">
        <f t="shared" si="907"/>
        <v>7957</v>
      </c>
      <c r="AU171" s="312">
        <f t="shared" si="907"/>
        <v>8135</v>
      </c>
      <c r="AV171" s="312">
        <f t="shared" si="907"/>
        <v>8317</v>
      </c>
      <c r="AW171" s="312">
        <f t="shared" si="907"/>
        <v>8495</v>
      </c>
      <c r="AX171" s="312">
        <f t="shared" si="907"/>
        <v>8677</v>
      </c>
      <c r="AY171" s="312">
        <f t="shared" si="907"/>
        <v>8855</v>
      </c>
      <c r="AZ171" s="312">
        <f t="shared" si="907"/>
        <v>9036</v>
      </c>
      <c r="BA171" s="312">
        <f t="shared" si="907"/>
        <v>9214</v>
      </c>
      <c r="BB171" s="312">
        <f t="shared" si="907"/>
        <v>9396</v>
      </c>
      <c r="BC171" s="312">
        <f t="shared" si="907"/>
        <v>9574</v>
      </c>
      <c r="BD171" s="312">
        <f t="shared" si="907"/>
        <v>9756</v>
      </c>
      <c r="BE171" s="312">
        <f t="shared" si="907"/>
        <v>9934</v>
      </c>
      <c r="BF171" s="312">
        <f t="shared" si="907"/>
        <v>10116</v>
      </c>
      <c r="BG171" s="312">
        <f t="shared" si="907"/>
        <v>10294</v>
      </c>
      <c r="BH171" s="312">
        <f t="shared" si="907"/>
        <v>10475</v>
      </c>
      <c r="BI171" s="312">
        <f t="shared" si="907"/>
        <v>10653</v>
      </c>
      <c r="BJ171" s="312">
        <f t="shared" si="907"/>
        <v>10835</v>
      </c>
      <c r="BK171" s="312">
        <f t="shared" si="907"/>
        <v>11013</v>
      </c>
      <c r="BL171" s="312">
        <f t="shared" si="907"/>
        <v>11195</v>
      </c>
      <c r="BM171" s="312">
        <f t="shared" si="907"/>
        <v>11373</v>
      </c>
      <c r="BN171" s="312">
        <f t="shared" ref="BN171:CB171" si="908">DAYS360($B$3,BN64)</f>
        <v>11555</v>
      </c>
      <c r="BO171" s="312">
        <f t="shared" si="908"/>
        <v>11733</v>
      </c>
      <c r="BP171" s="312">
        <f t="shared" si="908"/>
        <v>11914</v>
      </c>
      <c r="BQ171" s="312">
        <f t="shared" si="908"/>
        <v>12092</v>
      </c>
      <c r="BR171" s="312">
        <f t="shared" si="908"/>
        <v>12274</v>
      </c>
      <c r="BS171" s="312">
        <f t="shared" si="908"/>
        <v>12452</v>
      </c>
      <c r="BT171" s="312">
        <f t="shared" si="908"/>
        <v>12634</v>
      </c>
      <c r="BU171" s="312">
        <f t="shared" si="908"/>
        <v>12812</v>
      </c>
      <c r="BV171" s="312">
        <f t="shared" si="908"/>
        <v>12994</v>
      </c>
      <c r="BW171" s="312">
        <f t="shared" si="908"/>
        <v>13172</v>
      </c>
      <c r="BX171" s="312">
        <f t="shared" si="908"/>
        <v>13353</v>
      </c>
      <c r="BY171" s="312">
        <f t="shared" si="908"/>
        <v>13531</v>
      </c>
      <c r="BZ171" s="312">
        <f t="shared" si="908"/>
        <v>13713</v>
      </c>
      <c r="CA171" s="312">
        <f t="shared" si="908"/>
        <v>13891</v>
      </c>
      <c r="CB171" s="312">
        <f t="shared" si="908"/>
        <v>14073</v>
      </c>
    </row>
    <row r="172" spans="1:80">
      <c r="A172" s="311" t="s">
        <v>41</v>
      </c>
      <c r="B172" s="312">
        <f>B171/360</f>
        <v>0.11944444444444445</v>
      </c>
      <c r="C172" s="312">
        <f t="shared" ref="C172:BN172" si="909">C171/360</f>
        <v>0.61388888888888893</v>
      </c>
      <c r="D172" s="312">
        <f t="shared" si="909"/>
        <v>1.1166666666666667</v>
      </c>
      <c r="E172" s="312">
        <f t="shared" si="909"/>
        <v>1.6111111111111112</v>
      </c>
      <c r="F172" s="312">
        <f t="shared" si="909"/>
        <v>2.1166666666666667</v>
      </c>
      <c r="G172" s="312">
        <f t="shared" si="909"/>
        <v>2.6111111111111112</v>
      </c>
      <c r="H172" s="312">
        <f t="shared" si="909"/>
        <v>3.1166666666666667</v>
      </c>
      <c r="I172" s="312">
        <f t="shared" si="909"/>
        <v>3.6111111111111112</v>
      </c>
      <c r="J172" s="312">
        <f t="shared" si="909"/>
        <v>4.1166666666666663</v>
      </c>
      <c r="K172" s="312">
        <f t="shared" si="909"/>
        <v>4.6111111111111107</v>
      </c>
      <c r="L172" s="312">
        <f t="shared" si="909"/>
        <v>5.1138888888888889</v>
      </c>
      <c r="M172" s="312">
        <f t="shared" si="909"/>
        <v>5.6083333333333334</v>
      </c>
      <c r="N172" s="312">
        <f t="shared" si="909"/>
        <v>6.1138888888888889</v>
      </c>
      <c r="O172" s="312">
        <f t="shared" si="909"/>
        <v>6.6083333333333334</v>
      </c>
      <c r="P172" s="312">
        <f t="shared" si="909"/>
        <v>7.1138888888888889</v>
      </c>
      <c r="Q172" s="312">
        <f t="shared" si="909"/>
        <v>7.6083333333333334</v>
      </c>
      <c r="R172" s="312">
        <f t="shared" si="909"/>
        <v>8.1138888888888889</v>
      </c>
      <c r="S172" s="312">
        <f t="shared" si="909"/>
        <v>8.6083333333333325</v>
      </c>
      <c r="T172" s="312">
        <f t="shared" si="909"/>
        <v>9.1111111111111107</v>
      </c>
      <c r="U172" s="312">
        <f t="shared" si="909"/>
        <v>9.6055555555555561</v>
      </c>
      <c r="V172" s="312">
        <f t="shared" si="909"/>
        <v>10.111111111111111</v>
      </c>
      <c r="W172" s="312">
        <f t="shared" si="909"/>
        <v>10.605555555555556</v>
      </c>
      <c r="X172" s="312">
        <f t="shared" si="909"/>
        <v>11.111111111111111</v>
      </c>
      <c r="Y172" s="312">
        <f t="shared" si="909"/>
        <v>11.605555555555556</v>
      </c>
      <c r="Z172" s="312">
        <f t="shared" si="909"/>
        <v>12.111111111111111</v>
      </c>
      <c r="AA172" s="312">
        <f t="shared" si="909"/>
        <v>12.605555555555556</v>
      </c>
      <c r="AB172" s="312">
        <f t="shared" si="909"/>
        <v>13.108333333333333</v>
      </c>
      <c r="AC172" s="312">
        <f t="shared" si="909"/>
        <v>13.602777777777778</v>
      </c>
      <c r="AD172" s="312">
        <f t="shared" si="909"/>
        <v>14.108333333333333</v>
      </c>
      <c r="AE172" s="312">
        <f t="shared" si="909"/>
        <v>14.602777777777778</v>
      </c>
      <c r="AF172" s="312">
        <f t="shared" si="909"/>
        <v>15.108333333333333</v>
      </c>
      <c r="AG172" s="312">
        <f t="shared" si="909"/>
        <v>15.602777777777778</v>
      </c>
      <c r="AH172" s="312">
        <f t="shared" si="909"/>
        <v>16.108333333333334</v>
      </c>
      <c r="AI172" s="312">
        <f t="shared" si="909"/>
        <v>16.602777777777778</v>
      </c>
      <c r="AJ172" s="312">
        <f t="shared" si="909"/>
        <v>17.105555555555554</v>
      </c>
      <c r="AK172" s="312">
        <f t="shared" si="909"/>
        <v>17.600000000000001</v>
      </c>
      <c r="AL172" s="312">
        <f t="shared" si="909"/>
        <v>18.105555555555554</v>
      </c>
      <c r="AM172" s="312">
        <f t="shared" si="909"/>
        <v>18.600000000000001</v>
      </c>
      <c r="AN172" s="312">
        <f t="shared" si="909"/>
        <v>19.105555555555554</v>
      </c>
      <c r="AO172" s="312">
        <f t="shared" si="909"/>
        <v>19.600000000000001</v>
      </c>
      <c r="AP172" s="312">
        <f t="shared" si="909"/>
        <v>20.105555555555554</v>
      </c>
      <c r="AQ172" s="312">
        <f t="shared" si="909"/>
        <v>20.6</v>
      </c>
      <c r="AR172" s="312">
        <f t="shared" si="909"/>
        <v>21.102777777777778</v>
      </c>
      <c r="AS172" s="312">
        <f t="shared" si="909"/>
        <v>21.597222222222221</v>
      </c>
      <c r="AT172" s="312">
        <f t="shared" si="909"/>
        <v>22.102777777777778</v>
      </c>
      <c r="AU172" s="312">
        <f t="shared" si="909"/>
        <v>22.597222222222221</v>
      </c>
      <c r="AV172" s="312">
        <f t="shared" si="909"/>
        <v>23.102777777777778</v>
      </c>
      <c r="AW172" s="312">
        <f t="shared" si="909"/>
        <v>23.597222222222221</v>
      </c>
      <c r="AX172" s="312">
        <f t="shared" si="909"/>
        <v>24.102777777777778</v>
      </c>
      <c r="AY172" s="312">
        <f t="shared" si="909"/>
        <v>24.597222222222221</v>
      </c>
      <c r="AZ172" s="312">
        <f t="shared" si="909"/>
        <v>25.1</v>
      </c>
      <c r="BA172" s="312">
        <f t="shared" si="909"/>
        <v>25.594444444444445</v>
      </c>
      <c r="BB172" s="312">
        <f t="shared" si="909"/>
        <v>26.1</v>
      </c>
      <c r="BC172" s="312">
        <f t="shared" si="909"/>
        <v>26.594444444444445</v>
      </c>
      <c r="BD172" s="312">
        <f t="shared" si="909"/>
        <v>27.1</v>
      </c>
      <c r="BE172" s="312">
        <f t="shared" si="909"/>
        <v>27.594444444444445</v>
      </c>
      <c r="BF172" s="312">
        <f t="shared" si="909"/>
        <v>28.1</v>
      </c>
      <c r="BG172" s="312">
        <f t="shared" si="909"/>
        <v>28.594444444444445</v>
      </c>
      <c r="BH172" s="312">
        <f t="shared" si="909"/>
        <v>29.097222222222221</v>
      </c>
      <c r="BI172" s="312">
        <f t="shared" si="909"/>
        <v>29.591666666666665</v>
      </c>
      <c r="BJ172" s="312">
        <f t="shared" si="909"/>
        <v>30.097222222222221</v>
      </c>
      <c r="BK172" s="312">
        <f t="shared" si="909"/>
        <v>30.591666666666665</v>
      </c>
      <c r="BL172" s="312">
        <f t="shared" si="909"/>
        <v>31.097222222222221</v>
      </c>
      <c r="BM172" s="312">
        <f t="shared" si="909"/>
        <v>31.591666666666665</v>
      </c>
      <c r="BN172" s="312">
        <f t="shared" si="909"/>
        <v>32.097222222222221</v>
      </c>
      <c r="BO172" s="312">
        <f t="shared" ref="BO172:CB172" si="910">BO171/360</f>
        <v>32.591666666666669</v>
      </c>
      <c r="BP172" s="312">
        <f t="shared" si="910"/>
        <v>33.094444444444441</v>
      </c>
      <c r="BQ172" s="312">
        <f t="shared" si="910"/>
        <v>33.588888888888889</v>
      </c>
      <c r="BR172" s="312">
        <f t="shared" si="910"/>
        <v>34.094444444444441</v>
      </c>
      <c r="BS172" s="312">
        <f t="shared" si="910"/>
        <v>34.588888888888889</v>
      </c>
      <c r="BT172" s="312">
        <f t="shared" si="910"/>
        <v>35.094444444444441</v>
      </c>
      <c r="BU172" s="312">
        <f t="shared" si="910"/>
        <v>35.588888888888889</v>
      </c>
      <c r="BV172" s="312">
        <f t="shared" si="910"/>
        <v>36.094444444444441</v>
      </c>
      <c r="BW172" s="312">
        <f t="shared" si="910"/>
        <v>36.588888888888889</v>
      </c>
      <c r="BX172" s="312">
        <f t="shared" si="910"/>
        <v>37.091666666666669</v>
      </c>
      <c r="BY172" s="312">
        <f t="shared" si="910"/>
        <v>37.586111111111109</v>
      </c>
      <c r="BZ172" s="312">
        <f t="shared" si="910"/>
        <v>38.091666666666669</v>
      </c>
      <c r="CA172" s="312">
        <f t="shared" si="910"/>
        <v>38.586111111111109</v>
      </c>
      <c r="CB172" s="312">
        <f t="shared" si="910"/>
        <v>39.091666666666669</v>
      </c>
    </row>
    <row r="173" spans="1:80">
      <c r="A173" s="311" t="s">
        <v>43</v>
      </c>
      <c r="B173" s="312">
        <f>IF(B171&lt;0,0,$B$5+$B$6*((1-EXP(-B172/$B$9))/(B172/$B$9))+$B$7*((1-EXP(-B172/$B$9))/(B172/$B$9)-EXP(-B172/$B$9))+$B$8*((1-EXP(-B172/$B$10))/(B172/$B$10)-EXP(-B172/$B$10)))</f>
        <v>1.7479855880234312E-2</v>
      </c>
      <c r="C173" s="312">
        <f t="shared" ref="C173:BN173" si="911">IF(C171&lt;0,0,$B$5+$B$6*((1-EXP(-C172/$B$9))/(C172/$B$9))+$B$7*((1-EXP(-C172/$B$9))/(C172/$B$9)-EXP(-C172/$B$9))+$B$8*((1-EXP(-C172/$B$10))/(C172/$B$10)-EXP(-C172/$B$10)))</f>
        <v>1.7511832796269649E-2</v>
      </c>
      <c r="D173" s="312">
        <f t="shared" si="911"/>
        <v>1.7560104094283838E-2</v>
      </c>
      <c r="E173" s="312">
        <f t="shared" si="911"/>
        <v>1.7622012664277653E-2</v>
      </c>
      <c r="F173" s="312">
        <f t="shared" si="911"/>
        <v>1.7699079149213606E-2</v>
      </c>
      <c r="G173" s="312">
        <f t="shared" si="911"/>
        <v>1.7786959970177624E-2</v>
      </c>
      <c r="H173" s="312">
        <f t="shared" si="911"/>
        <v>1.7888671102463352E-2</v>
      </c>
      <c r="I173" s="312">
        <f t="shared" si="911"/>
        <v>1.7998882675334144E-2</v>
      </c>
      <c r="J173" s="312">
        <f t="shared" si="911"/>
        <v>1.8121709808022468E-2</v>
      </c>
      <c r="K173" s="312">
        <f t="shared" si="911"/>
        <v>1.8250983069438537E-2</v>
      </c>
      <c r="L173" s="312">
        <f t="shared" si="911"/>
        <v>1.8390965537032289E-2</v>
      </c>
      <c r="M173" s="312">
        <f t="shared" si="911"/>
        <v>1.8536330401057566E-2</v>
      </c>
      <c r="N173" s="312">
        <f t="shared" si="911"/>
        <v>1.8692189032365886E-2</v>
      </c>
      <c r="O173" s="312">
        <f t="shared" si="911"/>
        <v>1.8851074350991981E-2</v>
      </c>
      <c r="P173" s="312">
        <f t="shared" si="911"/>
        <v>1.9019527917276735E-2</v>
      </c>
      <c r="Q173" s="312">
        <f t="shared" si="911"/>
        <v>1.9189596025648181E-2</v>
      </c>
      <c r="R173" s="312">
        <f t="shared" si="911"/>
        <v>1.9368388616787857E-2</v>
      </c>
      <c r="S173" s="312">
        <f t="shared" si="911"/>
        <v>1.95475583739943E-2</v>
      </c>
      <c r="T173" s="312">
        <f t="shared" si="911"/>
        <v>1.9733645816066014E-2</v>
      </c>
      <c r="U173" s="312">
        <f t="shared" si="911"/>
        <v>1.9920051120210558E-2</v>
      </c>
      <c r="V173" s="312">
        <f t="shared" si="911"/>
        <v>2.0113714549130801E-2</v>
      </c>
      <c r="W173" s="312">
        <f t="shared" si="911"/>
        <v>2.0305740162430919E-2</v>
      </c>
      <c r="X173" s="312">
        <f t="shared" si="911"/>
        <v>2.0504387411195202E-2</v>
      </c>
      <c r="Y173" s="312">
        <f t="shared" si="911"/>
        <v>2.0700586499582396E-2</v>
      </c>
      <c r="Z173" s="312">
        <f t="shared" si="911"/>
        <v>2.090282871633925E-2</v>
      </c>
      <c r="AA173" s="312">
        <f t="shared" si="911"/>
        <v>2.110192707403874E-2</v>
      </c>
      <c r="AB173" s="312">
        <f t="shared" si="911"/>
        <v>2.1305416461488647E-2</v>
      </c>
      <c r="AC173" s="312">
        <f t="shared" si="911"/>
        <v>2.1506292127783211E-2</v>
      </c>
      <c r="AD173" s="312">
        <f t="shared" si="911"/>
        <v>2.1712209781331093E-2</v>
      </c>
      <c r="AE173" s="312">
        <f t="shared" si="911"/>
        <v>2.1913890750464404E-2</v>
      </c>
      <c r="AF173" s="312">
        <f t="shared" si="911"/>
        <v>2.2120180926384514E-2</v>
      </c>
      <c r="AG173" s="312">
        <f t="shared" si="911"/>
        <v>2.2321815067461892E-2</v>
      </c>
      <c r="AH173" s="312">
        <f t="shared" si="911"/>
        <v>2.2527666051342765E-2</v>
      </c>
      <c r="AI173" s="312">
        <f t="shared" si="911"/>
        <v>2.2728514691301216E-2</v>
      </c>
      <c r="AJ173" s="312">
        <f t="shared" si="911"/>
        <v>2.2932101953030359E-2</v>
      </c>
      <c r="AK173" s="312">
        <f t="shared" si="911"/>
        <v>2.3131532912928243E-2</v>
      </c>
      <c r="AL173" s="312">
        <f t="shared" si="911"/>
        <v>2.3334504066343298E-2</v>
      </c>
      <c r="AM173" s="312">
        <f t="shared" si="911"/>
        <v>2.3531968163307104E-2</v>
      </c>
      <c r="AN173" s="312">
        <f t="shared" si="911"/>
        <v>2.37326809240056E-2</v>
      </c>
      <c r="AO173" s="312">
        <f t="shared" si="911"/>
        <v>2.3927713516211757E-2</v>
      </c>
      <c r="AP173" s="312">
        <f t="shared" si="911"/>
        <v>2.4125731002824835E-2</v>
      </c>
      <c r="AQ173" s="312">
        <f t="shared" si="911"/>
        <v>2.4317940088679157E-2</v>
      </c>
      <c r="AR173" s="312">
        <f t="shared" si="911"/>
        <v>2.4511828822115667E-2</v>
      </c>
      <c r="AS173" s="312">
        <f t="shared" si="911"/>
        <v>2.4700896221214519E-2</v>
      </c>
      <c r="AT173" s="312">
        <f t="shared" si="911"/>
        <v>2.4892494871509241E-2</v>
      </c>
      <c r="AU173" s="312">
        <f t="shared" si="911"/>
        <v>2.5078142231429346E-2</v>
      </c>
      <c r="AV173" s="312">
        <f t="shared" si="911"/>
        <v>2.5266125887795587E-2</v>
      </c>
      <c r="AW173" s="312">
        <f t="shared" si="911"/>
        <v>2.5448134126964173E-2</v>
      </c>
      <c r="AX173" s="312">
        <f t="shared" si="911"/>
        <v>2.5632302529256523E-2</v>
      </c>
      <c r="AY173" s="312">
        <f t="shared" si="911"/>
        <v>2.5810497617872186E-2</v>
      </c>
      <c r="AZ173" s="312">
        <f t="shared" si="911"/>
        <v>2.5989709283677609E-2</v>
      </c>
      <c r="BA173" s="312">
        <f t="shared" si="911"/>
        <v>2.6163968045103569E-2</v>
      </c>
      <c r="BB173" s="312">
        <f t="shared" si="911"/>
        <v>2.6340084599319025E-2</v>
      </c>
      <c r="BC173" s="312">
        <f t="shared" si="911"/>
        <v>2.6510296799185651E-2</v>
      </c>
      <c r="BD173" s="312">
        <f t="shared" si="911"/>
        <v>2.6682237043922807E-2</v>
      </c>
      <c r="BE173" s="312">
        <f t="shared" si="911"/>
        <v>2.6848333892870585E-2</v>
      </c>
      <c r="BF173" s="312">
        <f t="shared" si="911"/>
        <v>2.7016041649710609E-2</v>
      </c>
      <c r="BG173" s="312">
        <f t="shared" si="911"/>
        <v>2.7177981136803836E-2</v>
      </c>
      <c r="BH173" s="312">
        <f t="shared" si="911"/>
        <v>2.734053363618616E-2</v>
      </c>
      <c r="BI173" s="312">
        <f t="shared" si="911"/>
        <v>2.7498308662868509E-2</v>
      </c>
      <c r="BJ173" s="312">
        <f t="shared" si="911"/>
        <v>2.765749363159653E-2</v>
      </c>
      <c r="BK173" s="312">
        <f t="shared" si="911"/>
        <v>2.7811094050932045E-2</v>
      </c>
      <c r="BL173" s="312">
        <f t="shared" si="911"/>
        <v>2.7966018188066877E-2</v>
      </c>
      <c r="BM173" s="312">
        <f t="shared" si="911"/>
        <v>2.8115462856881185E-2</v>
      </c>
      <c r="BN173" s="312">
        <f t="shared" si="911"/>
        <v>2.8266153376545394E-2</v>
      </c>
      <c r="BO173" s="312">
        <f t="shared" ref="BO173:CB173" si="912">IF(BO171&lt;0,0,$B$5+$B$6*((1-EXP(-BO172/$B$9))/(BO172/$B$9))+$B$7*((1-EXP(-BO172/$B$9))/(BO172/$B$9)-EXP(-BO172/$B$9))+$B$8*((1-EXP(-BO172/$B$10))/(BO172/$B$10)-EXP(-BO172/$B$10)))</f>
        <v>2.8411476085819259E-2</v>
      </c>
      <c r="BP173" s="312">
        <f t="shared" si="912"/>
        <v>2.8557175121418837E-2</v>
      </c>
      <c r="BQ173" s="312">
        <f t="shared" si="912"/>
        <v>2.8698433626493575E-2</v>
      </c>
      <c r="BR173" s="312">
        <f t="shared" si="912"/>
        <v>2.8840804247033142E-2</v>
      </c>
      <c r="BS173" s="312">
        <f t="shared" si="912"/>
        <v>2.8978044385706503E-2</v>
      </c>
      <c r="BT173" s="312">
        <f t="shared" si="912"/>
        <v>2.9116339155235843E-2</v>
      </c>
      <c r="BU173" s="312">
        <f t="shared" si="912"/>
        <v>2.9249627155964936E-2</v>
      </c>
      <c r="BV173" s="312">
        <f t="shared" si="912"/>
        <v>2.9383917784152974E-2</v>
      </c>
      <c r="BW173" s="312">
        <f t="shared" si="912"/>
        <v>2.951332732213055E-2</v>
      </c>
      <c r="BX173" s="312">
        <f t="shared" si="912"/>
        <v>2.9642981472591867E-2</v>
      </c>
      <c r="BY173" s="312">
        <f t="shared" si="912"/>
        <v>2.9768602732837823E-2</v>
      </c>
      <c r="BZ173" s="312">
        <f t="shared" si="912"/>
        <v>2.9895136997630217E-2</v>
      </c>
      <c r="CA173" s="312">
        <f t="shared" si="912"/>
        <v>3.0017043911665431E-2</v>
      </c>
      <c r="CB173" s="312">
        <f t="shared" si="912"/>
        <v>3.0139825130984371E-2</v>
      </c>
    </row>
    <row r="174" spans="1:80">
      <c r="A174" s="311" t="s">
        <v>44</v>
      </c>
      <c r="B174" s="312">
        <f>EXP(-B173*B172)</f>
        <v>0.99791430641336143</v>
      </c>
      <c r="C174" s="312">
        <f t="shared" ref="C174:AR174" si="913">EXP(-C173*C172)</f>
        <v>0.98930725859517343</v>
      </c>
      <c r="D174" s="312">
        <f t="shared" si="913"/>
        <v>0.98058221880385688</v>
      </c>
      <c r="E174" s="312">
        <f t="shared" si="913"/>
        <v>0.97200821743756716</v>
      </c>
      <c r="F174" s="312">
        <f t="shared" si="913"/>
        <v>0.96323000757809185</v>
      </c>
      <c r="G174" s="312">
        <f t="shared" si="913"/>
        <v>0.95461827656406961</v>
      </c>
      <c r="H174" s="312">
        <f t="shared" si="913"/>
        <v>0.94577268931873637</v>
      </c>
      <c r="I174" s="312">
        <f t="shared" si="913"/>
        <v>0.93707124424938515</v>
      </c>
      <c r="J174" s="312">
        <f t="shared" si="913"/>
        <v>0.92811369391126985</v>
      </c>
      <c r="K174" s="312">
        <f t="shared" si="913"/>
        <v>0.91928663098596664</v>
      </c>
      <c r="L174" s="312">
        <f t="shared" si="913"/>
        <v>0.91023783696651839</v>
      </c>
      <c r="M174" s="312">
        <f t="shared" si="913"/>
        <v>0.90126322208072707</v>
      </c>
      <c r="N174" s="312">
        <f t="shared" si="913"/>
        <v>0.89200640419776622</v>
      </c>
      <c r="O174" s="312">
        <f t="shared" si="913"/>
        <v>0.88287276478426491</v>
      </c>
      <c r="P174" s="312">
        <f t="shared" si="913"/>
        <v>0.87345138329108507</v>
      </c>
      <c r="Q174" s="312">
        <f t="shared" si="913"/>
        <v>0.86415697461779017</v>
      </c>
      <c r="R174" s="312">
        <f t="shared" si="913"/>
        <v>0.85457333909969935</v>
      </c>
      <c r="S174" s="312">
        <f t="shared" si="913"/>
        <v>0.84512401562868855</v>
      </c>
      <c r="T174" s="312">
        <f t="shared" si="913"/>
        <v>0.83544109204891148</v>
      </c>
      <c r="U174" s="312">
        <f t="shared" si="913"/>
        <v>0.82584914302444601</v>
      </c>
      <c r="V174" s="312">
        <f t="shared" si="913"/>
        <v>0.81597464021942656</v>
      </c>
      <c r="W174" s="312">
        <f t="shared" si="913"/>
        <v>0.80625625288226899</v>
      </c>
      <c r="X174" s="312">
        <f t="shared" si="913"/>
        <v>0.79626237804508226</v>
      </c>
      <c r="Y174" s="312">
        <f t="shared" si="913"/>
        <v>0.78643767221132144</v>
      </c>
      <c r="Z174" s="312">
        <f t="shared" si="913"/>
        <v>0.77634638876579443</v>
      </c>
      <c r="AA174" s="312">
        <f t="shared" si="913"/>
        <v>0.76643796706624656</v>
      </c>
      <c r="AB174" s="312">
        <f t="shared" si="913"/>
        <v>0.756329235596783</v>
      </c>
      <c r="AC174" s="312">
        <f t="shared" si="913"/>
        <v>0.74636142466443522</v>
      </c>
      <c r="AD174" s="312">
        <f t="shared" si="913"/>
        <v>0.736148736526551</v>
      </c>
      <c r="AE174" s="312">
        <f t="shared" si="913"/>
        <v>0.72614636711897274</v>
      </c>
      <c r="AF174" s="312">
        <f t="shared" si="913"/>
        <v>0.71591125385786414</v>
      </c>
      <c r="AG174" s="312">
        <f t="shared" si="913"/>
        <v>0.70589955845012387</v>
      </c>
      <c r="AH174" s="312">
        <f t="shared" si="913"/>
        <v>0.69566771475607325</v>
      </c>
      <c r="AI174" s="312">
        <f t="shared" si="913"/>
        <v>0.68567160304468922</v>
      </c>
      <c r="AJ174" s="312">
        <f t="shared" si="913"/>
        <v>0.67552416821374195</v>
      </c>
      <c r="AK174" s="312">
        <f t="shared" si="913"/>
        <v>0.66556765941989671</v>
      </c>
      <c r="AL174" s="312">
        <f t="shared" si="913"/>
        <v>0.65541663621813495</v>
      </c>
      <c r="AM174" s="312">
        <f t="shared" si="913"/>
        <v>0.64552289038964639</v>
      </c>
      <c r="AN174" s="312">
        <f t="shared" si="913"/>
        <v>0.63544734114181667</v>
      </c>
      <c r="AO174" s="312">
        <f t="shared" si="913"/>
        <v>0.62563810322402669</v>
      </c>
      <c r="AP174" s="312">
        <f t="shared" si="913"/>
        <v>0.61565950186001772</v>
      </c>
      <c r="AQ174" s="312">
        <f t="shared" si="913"/>
        <v>0.60595499228558303</v>
      </c>
      <c r="AR174" s="312">
        <f t="shared" si="913"/>
        <v>0.59614719164528696</v>
      </c>
      <c r="AS174" s="312">
        <f>EXP(-AS173*AS172)</f>
        <v>0.58656561314396949</v>
      </c>
      <c r="AT174" s="312">
        <f t="shared" ref="AT174:CA174" si="914">EXP(-AT173*AT172)</f>
        <v>0.57683830686680782</v>
      </c>
      <c r="AU174" s="312">
        <f t="shared" si="914"/>
        <v>0.56739682465877894</v>
      </c>
      <c r="AV174" s="312">
        <f t="shared" si="914"/>
        <v>0.55782070151220431</v>
      </c>
      <c r="AW174" s="312">
        <f t="shared" si="914"/>
        <v>0.54853440471685533</v>
      </c>
      <c r="AX174" s="312">
        <f t="shared" si="914"/>
        <v>0.53912399303334091</v>
      </c>
      <c r="AY174" s="312">
        <f t="shared" si="914"/>
        <v>0.53000621527384872</v>
      </c>
      <c r="AZ174" s="312">
        <f t="shared" si="914"/>
        <v>0.52082473081030556</v>
      </c>
      <c r="BA174" s="312">
        <f t="shared" si="914"/>
        <v>0.51188656737864158</v>
      </c>
      <c r="BB174" s="312">
        <f t="shared" si="914"/>
        <v>0.50284354146092802</v>
      </c>
      <c r="BC174" s="312">
        <f t="shared" si="914"/>
        <v>0.49409542351815</v>
      </c>
      <c r="BD174" s="312">
        <f t="shared" si="914"/>
        <v>0.48525118063541095</v>
      </c>
      <c r="BE174" s="312">
        <f t="shared" si="914"/>
        <v>0.47670145810294201</v>
      </c>
      <c r="BF174" s="312">
        <f t="shared" si="914"/>
        <v>0.46806375188897731</v>
      </c>
      <c r="BG174" s="312">
        <f t="shared" si="914"/>
        <v>0.45971926387535655</v>
      </c>
      <c r="BH174" s="312">
        <f t="shared" si="914"/>
        <v>0.45134034317745753</v>
      </c>
      <c r="BI174" s="312">
        <f t="shared" si="914"/>
        <v>0.4432059210587449</v>
      </c>
      <c r="BJ174" s="312">
        <f t="shared" si="914"/>
        <v>0.43499804944418757</v>
      </c>
      <c r="BK174" s="312">
        <f t="shared" si="914"/>
        <v>0.42707838172460116</v>
      </c>
      <c r="BL174" s="312">
        <f t="shared" si="914"/>
        <v>0.41909171941435414</v>
      </c>
      <c r="BM174" s="312">
        <f t="shared" si="914"/>
        <v>0.41138970320222656</v>
      </c>
      <c r="BN174" s="312">
        <f t="shared" si="914"/>
        <v>0.4036266321051048</v>
      </c>
      <c r="BO174" s="312">
        <f t="shared" si="914"/>
        <v>0.3961440552092883</v>
      </c>
      <c r="BP174" s="312">
        <f t="shared" si="914"/>
        <v>0.38864698321707103</v>
      </c>
      <c r="BQ174" s="312">
        <f t="shared" si="914"/>
        <v>0.38138401488856305</v>
      </c>
      <c r="BR174" s="312">
        <f t="shared" si="914"/>
        <v>0.37407042463401752</v>
      </c>
      <c r="BS174" s="312">
        <f t="shared" si="914"/>
        <v>0.36702755299151435</v>
      </c>
      <c r="BT174" s="312">
        <f t="shared" si="914"/>
        <v>0.35993862545657307</v>
      </c>
      <c r="BU174" s="312">
        <f t="shared" si="914"/>
        <v>0.353114917078515</v>
      </c>
      <c r="BV174" s="312">
        <f t="shared" si="914"/>
        <v>0.34624931908631784</v>
      </c>
      <c r="BW174" s="312">
        <f t="shared" si="914"/>
        <v>0.33964312189017309</v>
      </c>
      <c r="BX174" s="312">
        <f t="shared" si="914"/>
        <v>0.33303503384707789</v>
      </c>
      <c r="BY174" s="312">
        <f t="shared" si="914"/>
        <v>0.32664346959891011</v>
      </c>
      <c r="BZ174" s="312">
        <f t="shared" si="914"/>
        <v>0.32021725442632976</v>
      </c>
      <c r="CA174" s="312">
        <f t="shared" si="914"/>
        <v>0.3140380909721745</v>
      </c>
      <c r="CB174" s="312">
        <f>EXP(-CB173*CB172)</f>
        <v>0.30782741393960439</v>
      </c>
    </row>
    <row r="176" spans="1:80">
      <c r="A176" s="311" t="s">
        <v>40</v>
      </c>
      <c r="B176" s="312">
        <f t="shared" ref="B176:AG176" si="915">DAYS360($B$3,B66)</f>
        <v>43</v>
      </c>
      <c r="C176" s="312">
        <f t="shared" si="915"/>
        <v>221</v>
      </c>
      <c r="D176" s="312">
        <f t="shared" si="915"/>
        <v>402</v>
      </c>
      <c r="E176" s="312">
        <f t="shared" si="915"/>
        <v>580</v>
      </c>
      <c r="F176" s="312">
        <f t="shared" si="915"/>
        <v>762</v>
      </c>
      <c r="G176" s="312">
        <f t="shared" si="915"/>
        <v>940</v>
      </c>
      <c r="H176" s="312">
        <f t="shared" si="915"/>
        <v>1122</v>
      </c>
      <c r="I176" s="312">
        <f t="shared" si="915"/>
        <v>1300</v>
      </c>
      <c r="J176" s="312">
        <f t="shared" si="915"/>
        <v>1482</v>
      </c>
      <c r="K176" s="312">
        <f t="shared" si="915"/>
        <v>1660</v>
      </c>
      <c r="L176" s="312">
        <f t="shared" si="915"/>
        <v>1841</v>
      </c>
      <c r="M176" s="312">
        <f t="shared" si="915"/>
        <v>2019</v>
      </c>
      <c r="N176" s="312">
        <f t="shared" si="915"/>
        <v>2201</v>
      </c>
      <c r="O176" s="312">
        <f t="shared" si="915"/>
        <v>2379</v>
      </c>
      <c r="P176" s="312">
        <f t="shared" si="915"/>
        <v>2561</v>
      </c>
      <c r="Q176" s="312">
        <f t="shared" si="915"/>
        <v>2739</v>
      </c>
      <c r="R176" s="312">
        <f t="shared" si="915"/>
        <v>2921</v>
      </c>
      <c r="S176" s="312">
        <f t="shared" si="915"/>
        <v>3099</v>
      </c>
      <c r="T176" s="312">
        <f t="shared" si="915"/>
        <v>3280</v>
      </c>
      <c r="U176" s="312">
        <f t="shared" si="915"/>
        <v>3458</v>
      </c>
      <c r="V176" s="312">
        <f t="shared" si="915"/>
        <v>3640</v>
      </c>
      <c r="W176" s="312">
        <f t="shared" si="915"/>
        <v>3818</v>
      </c>
      <c r="X176" s="312">
        <f t="shared" si="915"/>
        <v>4000</v>
      </c>
      <c r="Y176" s="312">
        <f t="shared" si="915"/>
        <v>4178</v>
      </c>
      <c r="Z176" s="312">
        <f t="shared" si="915"/>
        <v>4360</v>
      </c>
      <c r="AA176" s="312">
        <f t="shared" si="915"/>
        <v>4538</v>
      </c>
      <c r="AB176" s="312">
        <f t="shared" si="915"/>
        <v>4719</v>
      </c>
      <c r="AC176" s="312">
        <f t="shared" si="915"/>
        <v>4897</v>
      </c>
      <c r="AD176" s="312">
        <f t="shared" si="915"/>
        <v>5079</v>
      </c>
      <c r="AE176" s="312">
        <f t="shared" si="915"/>
        <v>5257</v>
      </c>
      <c r="AF176" s="312">
        <f t="shared" si="915"/>
        <v>5439</v>
      </c>
      <c r="AG176" s="312">
        <f t="shared" si="915"/>
        <v>5617</v>
      </c>
      <c r="AH176" s="312">
        <f t="shared" ref="AH176:BM176" si="916">DAYS360($B$3,AH66)</f>
        <v>5799</v>
      </c>
      <c r="AI176" s="312">
        <f t="shared" si="916"/>
        <v>5977</v>
      </c>
      <c r="AJ176" s="312">
        <f t="shared" si="916"/>
        <v>6158</v>
      </c>
      <c r="AK176" s="312">
        <f t="shared" si="916"/>
        <v>6336</v>
      </c>
      <c r="AL176" s="312">
        <f t="shared" si="916"/>
        <v>6518</v>
      </c>
      <c r="AM176" s="312">
        <f t="shared" si="916"/>
        <v>6696</v>
      </c>
      <c r="AN176" s="312">
        <f t="shared" si="916"/>
        <v>6878</v>
      </c>
      <c r="AO176" s="312">
        <f t="shared" si="916"/>
        <v>7056</v>
      </c>
      <c r="AP176" s="312">
        <f t="shared" si="916"/>
        <v>7238</v>
      </c>
      <c r="AQ176" s="312">
        <f t="shared" si="916"/>
        <v>7416</v>
      </c>
      <c r="AR176" s="312">
        <f t="shared" si="916"/>
        <v>7597</v>
      </c>
      <c r="AS176" s="312">
        <f t="shared" si="916"/>
        <v>7775</v>
      </c>
      <c r="AT176" s="312">
        <f t="shared" si="916"/>
        <v>7957</v>
      </c>
      <c r="AU176" s="312">
        <f t="shared" si="916"/>
        <v>8135</v>
      </c>
      <c r="AV176" s="312">
        <f t="shared" si="916"/>
        <v>8317</v>
      </c>
      <c r="AW176" s="312">
        <f t="shared" si="916"/>
        <v>8495</v>
      </c>
      <c r="AX176" s="312">
        <f t="shared" si="916"/>
        <v>8677</v>
      </c>
      <c r="AY176" s="312">
        <f t="shared" si="916"/>
        <v>8855</v>
      </c>
      <c r="AZ176" s="312">
        <f t="shared" si="916"/>
        <v>9036</v>
      </c>
      <c r="BA176" s="312">
        <f t="shared" si="916"/>
        <v>9214</v>
      </c>
      <c r="BB176" s="312">
        <f t="shared" si="916"/>
        <v>9396</v>
      </c>
      <c r="BC176" s="312">
        <f t="shared" si="916"/>
        <v>9574</v>
      </c>
      <c r="BD176" s="312">
        <f t="shared" si="916"/>
        <v>9756</v>
      </c>
      <c r="BE176" s="312">
        <f t="shared" si="916"/>
        <v>9934</v>
      </c>
      <c r="BF176" s="312">
        <f t="shared" si="916"/>
        <v>10116</v>
      </c>
      <c r="BG176" s="312">
        <f t="shared" si="916"/>
        <v>10294</v>
      </c>
      <c r="BH176" s="312">
        <f t="shared" si="916"/>
        <v>10475</v>
      </c>
      <c r="BI176" s="312">
        <f t="shared" si="916"/>
        <v>10653</v>
      </c>
      <c r="BJ176" s="312">
        <f t="shared" si="916"/>
        <v>10835</v>
      </c>
      <c r="BK176" s="312">
        <f t="shared" si="916"/>
        <v>11013</v>
      </c>
      <c r="BL176" s="312">
        <f t="shared" si="916"/>
        <v>11195</v>
      </c>
      <c r="BM176" s="312">
        <f t="shared" si="916"/>
        <v>11373</v>
      </c>
      <c r="BN176" s="312">
        <f t="shared" ref="BN176:CB176" si="917">DAYS360($B$3,BN66)</f>
        <v>11555</v>
      </c>
      <c r="BO176" s="312">
        <f t="shared" si="917"/>
        <v>11733</v>
      </c>
      <c r="BP176" s="312">
        <f t="shared" si="917"/>
        <v>11914</v>
      </c>
      <c r="BQ176" s="312">
        <f t="shared" si="917"/>
        <v>12092</v>
      </c>
      <c r="BR176" s="312">
        <f t="shared" si="917"/>
        <v>12274</v>
      </c>
      <c r="BS176" s="312">
        <f t="shared" si="917"/>
        <v>12452</v>
      </c>
      <c r="BT176" s="312">
        <f t="shared" si="917"/>
        <v>12634</v>
      </c>
      <c r="BU176" s="312">
        <f t="shared" si="917"/>
        <v>12812</v>
      </c>
      <c r="BV176" s="312">
        <f t="shared" si="917"/>
        <v>12994</v>
      </c>
      <c r="BW176" s="312">
        <f t="shared" si="917"/>
        <v>13172</v>
      </c>
      <c r="BX176" s="312">
        <f t="shared" si="917"/>
        <v>13353</v>
      </c>
      <c r="BY176" s="312">
        <f t="shared" si="917"/>
        <v>13531</v>
      </c>
      <c r="BZ176" s="312">
        <f t="shared" si="917"/>
        <v>13713</v>
      </c>
      <c r="CA176" s="312">
        <f t="shared" si="917"/>
        <v>13891</v>
      </c>
      <c r="CB176" s="312">
        <f t="shared" si="917"/>
        <v>14073</v>
      </c>
    </row>
    <row r="177" spans="1:80">
      <c r="A177" s="311" t="s">
        <v>41</v>
      </c>
      <c r="B177" s="312">
        <f>B176/360</f>
        <v>0.11944444444444445</v>
      </c>
      <c r="C177" s="312">
        <f t="shared" ref="C177:BN177" si="918">C176/360</f>
        <v>0.61388888888888893</v>
      </c>
      <c r="D177" s="312">
        <f t="shared" si="918"/>
        <v>1.1166666666666667</v>
      </c>
      <c r="E177" s="312">
        <f t="shared" si="918"/>
        <v>1.6111111111111112</v>
      </c>
      <c r="F177" s="312">
        <f t="shared" si="918"/>
        <v>2.1166666666666667</v>
      </c>
      <c r="G177" s="312">
        <f t="shared" si="918"/>
        <v>2.6111111111111112</v>
      </c>
      <c r="H177" s="312">
        <f t="shared" si="918"/>
        <v>3.1166666666666667</v>
      </c>
      <c r="I177" s="312">
        <f t="shared" si="918"/>
        <v>3.6111111111111112</v>
      </c>
      <c r="J177" s="312">
        <f t="shared" si="918"/>
        <v>4.1166666666666663</v>
      </c>
      <c r="K177" s="312">
        <f t="shared" si="918"/>
        <v>4.6111111111111107</v>
      </c>
      <c r="L177" s="312">
        <f t="shared" si="918"/>
        <v>5.1138888888888889</v>
      </c>
      <c r="M177" s="312">
        <f t="shared" si="918"/>
        <v>5.6083333333333334</v>
      </c>
      <c r="N177" s="312">
        <f t="shared" si="918"/>
        <v>6.1138888888888889</v>
      </c>
      <c r="O177" s="312">
        <f t="shared" si="918"/>
        <v>6.6083333333333334</v>
      </c>
      <c r="P177" s="312">
        <f t="shared" si="918"/>
        <v>7.1138888888888889</v>
      </c>
      <c r="Q177" s="312">
        <f t="shared" si="918"/>
        <v>7.6083333333333334</v>
      </c>
      <c r="R177" s="312">
        <f t="shared" si="918"/>
        <v>8.1138888888888889</v>
      </c>
      <c r="S177" s="312">
        <f t="shared" si="918"/>
        <v>8.6083333333333325</v>
      </c>
      <c r="T177" s="312">
        <f t="shared" si="918"/>
        <v>9.1111111111111107</v>
      </c>
      <c r="U177" s="312">
        <f t="shared" si="918"/>
        <v>9.6055555555555561</v>
      </c>
      <c r="V177" s="312">
        <f t="shared" si="918"/>
        <v>10.111111111111111</v>
      </c>
      <c r="W177" s="312">
        <f t="shared" si="918"/>
        <v>10.605555555555556</v>
      </c>
      <c r="X177" s="312">
        <f t="shared" si="918"/>
        <v>11.111111111111111</v>
      </c>
      <c r="Y177" s="312">
        <f t="shared" si="918"/>
        <v>11.605555555555556</v>
      </c>
      <c r="Z177" s="312">
        <f t="shared" si="918"/>
        <v>12.111111111111111</v>
      </c>
      <c r="AA177" s="312">
        <f t="shared" si="918"/>
        <v>12.605555555555556</v>
      </c>
      <c r="AB177" s="312">
        <f t="shared" si="918"/>
        <v>13.108333333333333</v>
      </c>
      <c r="AC177" s="312">
        <f t="shared" si="918"/>
        <v>13.602777777777778</v>
      </c>
      <c r="AD177" s="312">
        <f t="shared" si="918"/>
        <v>14.108333333333333</v>
      </c>
      <c r="AE177" s="312">
        <f t="shared" si="918"/>
        <v>14.602777777777778</v>
      </c>
      <c r="AF177" s="312">
        <f t="shared" si="918"/>
        <v>15.108333333333333</v>
      </c>
      <c r="AG177" s="312">
        <f t="shared" si="918"/>
        <v>15.602777777777778</v>
      </c>
      <c r="AH177" s="312">
        <f t="shared" si="918"/>
        <v>16.108333333333334</v>
      </c>
      <c r="AI177" s="312">
        <f t="shared" si="918"/>
        <v>16.602777777777778</v>
      </c>
      <c r="AJ177" s="312">
        <f t="shared" si="918"/>
        <v>17.105555555555554</v>
      </c>
      <c r="AK177" s="312">
        <f t="shared" si="918"/>
        <v>17.600000000000001</v>
      </c>
      <c r="AL177" s="312">
        <f t="shared" si="918"/>
        <v>18.105555555555554</v>
      </c>
      <c r="AM177" s="312">
        <f t="shared" si="918"/>
        <v>18.600000000000001</v>
      </c>
      <c r="AN177" s="312">
        <f t="shared" si="918"/>
        <v>19.105555555555554</v>
      </c>
      <c r="AO177" s="312">
        <f t="shared" si="918"/>
        <v>19.600000000000001</v>
      </c>
      <c r="AP177" s="312">
        <f t="shared" si="918"/>
        <v>20.105555555555554</v>
      </c>
      <c r="AQ177" s="312">
        <f t="shared" si="918"/>
        <v>20.6</v>
      </c>
      <c r="AR177" s="312">
        <f t="shared" si="918"/>
        <v>21.102777777777778</v>
      </c>
      <c r="AS177" s="312">
        <f t="shared" si="918"/>
        <v>21.597222222222221</v>
      </c>
      <c r="AT177" s="312">
        <f t="shared" si="918"/>
        <v>22.102777777777778</v>
      </c>
      <c r="AU177" s="312">
        <f t="shared" si="918"/>
        <v>22.597222222222221</v>
      </c>
      <c r="AV177" s="312">
        <f t="shared" si="918"/>
        <v>23.102777777777778</v>
      </c>
      <c r="AW177" s="312">
        <f t="shared" si="918"/>
        <v>23.597222222222221</v>
      </c>
      <c r="AX177" s="312">
        <f t="shared" si="918"/>
        <v>24.102777777777778</v>
      </c>
      <c r="AY177" s="312">
        <f t="shared" si="918"/>
        <v>24.597222222222221</v>
      </c>
      <c r="AZ177" s="312">
        <f t="shared" si="918"/>
        <v>25.1</v>
      </c>
      <c r="BA177" s="312">
        <f t="shared" si="918"/>
        <v>25.594444444444445</v>
      </c>
      <c r="BB177" s="312">
        <f t="shared" si="918"/>
        <v>26.1</v>
      </c>
      <c r="BC177" s="312">
        <f t="shared" si="918"/>
        <v>26.594444444444445</v>
      </c>
      <c r="BD177" s="312">
        <f t="shared" si="918"/>
        <v>27.1</v>
      </c>
      <c r="BE177" s="312">
        <f t="shared" si="918"/>
        <v>27.594444444444445</v>
      </c>
      <c r="BF177" s="312">
        <f t="shared" si="918"/>
        <v>28.1</v>
      </c>
      <c r="BG177" s="312">
        <f t="shared" si="918"/>
        <v>28.594444444444445</v>
      </c>
      <c r="BH177" s="312">
        <f t="shared" si="918"/>
        <v>29.097222222222221</v>
      </c>
      <c r="BI177" s="312">
        <f t="shared" si="918"/>
        <v>29.591666666666665</v>
      </c>
      <c r="BJ177" s="312">
        <f t="shared" si="918"/>
        <v>30.097222222222221</v>
      </c>
      <c r="BK177" s="312">
        <f t="shared" si="918"/>
        <v>30.591666666666665</v>
      </c>
      <c r="BL177" s="312">
        <f t="shared" si="918"/>
        <v>31.097222222222221</v>
      </c>
      <c r="BM177" s="312">
        <f t="shared" si="918"/>
        <v>31.591666666666665</v>
      </c>
      <c r="BN177" s="312">
        <f t="shared" si="918"/>
        <v>32.097222222222221</v>
      </c>
      <c r="BO177" s="312">
        <f t="shared" ref="BO177:CB177" si="919">BO176/360</f>
        <v>32.591666666666669</v>
      </c>
      <c r="BP177" s="312">
        <f t="shared" si="919"/>
        <v>33.094444444444441</v>
      </c>
      <c r="BQ177" s="312">
        <f t="shared" si="919"/>
        <v>33.588888888888889</v>
      </c>
      <c r="BR177" s="312">
        <f t="shared" si="919"/>
        <v>34.094444444444441</v>
      </c>
      <c r="BS177" s="312">
        <f t="shared" si="919"/>
        <v>34.588888888888889</v>
      </c>
      <c r="BT177" s="312">
        <f t="shared" si="919"/>
        <v>35.094444444444441</v>
      </c>
      <c r="BU177" s="312">
        <f t="shared" si="919"/>
        <v>35.588888888888889</v>
      </c>
      <c r="BV177" s="312">
        <f t="shared" si="919"/>
        <v>36.094444444444441</v>
      </c>
      <c r="BW177" s="312">
        <f t="shared" si="919"/>
        <v>36.588888888888889</v>
      </c>
      <c r="BX177" s="312">
        <f t="shared" si="919"/>
        <v>37.091666666666669</v>
      </c>
      <c r="BY177" s="312">
        <f t="shared" si="919"/>
        <v>37.586111111111109</v>
      </c>
      <c r="BZ177" s="312">
        <f t="shared" si="919"/>
        <v>38.091666666666669</v>
      </c>
      <c r="CA177" s="312">
        <f t="shared" si="919"/>
        <v>38.586111111111109</v>
      </c>
      <c r="CB177" s="312">
        <f t="shared" si="919"/>
        <v>39.091666666666669</v>
      </c>
    </row>
    <row r="178" spans="1:80">
      <c r="A178" s="311" t="s">
        <v>43</v>
      </c>
      <c r="B178" s="312">
        <f>IF(B176&lt;0,0,$B$5+$B$6*((1-EXP(-B177/$B$9))/(B177/$B$9))+$B$7*((1-EXP(-B177/$B$9))/(B177/$B$9)-EXP(-B177/$B$9))+$B$8*((1-EXP(-B177/$B$10))/(B177/$B$10)-EXP(-B177/$B$10)))</f>
        <v>1.7479855880234312E-2</v>
      </c>
      <c r="C178" s="312">
        <f t="shared" ref="C178:BN178" si="920">IF(C176&lt;0,0,$B$5+$B$6*((1-EXP(-C177/$B$9))/(C177/$B$9))+$B$7*((1-EXP(-C177/$B$9))/(C177/$B$9)-EXP(-C177/$B$9))+$B$8*((1-EXP(-C177/$B$10))/(C177/$B$10)-EXP(-C177/$B$10)))</f>
        <v>1.7511832796269649E-2</v>
      </c>
      <c r="D178" s="312">
        <f t="shared" si="920"/>
        <v>1.7560104094283838E-2</v>
      </c>
      <c r="E178" s="312">
        <f t="shared" si="920"/>
        <v>1.7622012664277653E-2</v>
      </c>
      <c r="F178" s="312">
        <f t="shared" si="920"/>
        <v>1.7699079149213606E-2</v>
      </c>
      <c r="G178" s="312">
        <f t="shared" si="920"/>
        <v>1.7786959970177624E-2</v>
      </c>
      <c r="H178" s="312">
        <f t="shared" si="920"/>
        <v>1.7888671102463352E-2</v>
      </c>
      <c r="I178" s="312">
        <f t="shared" si="920"/>
        <v>1.7998882675334144E-2</v>
      </c>
      <c r="J178" s="312">
        <f t="shared" si="920"/>
        <v>1.8121709808022468E-2</v>
      </c>
      <c r="K178" s="312">
        <f t="shared" si="920"/>
        <v>1.8250983069438537E-2</v>
      </c>
      <c r="L178" s="312">
        <f t="shared" si="920"/>
        <v>1.8390965537032289E-2</v>
      </c>
      <c r="M178" s="312">
        <f t="shared" si="920"/>
        <v>1.8536330401057566E-2</v>
      </c>
      <c r="N178" s="312">
        <f t="shared" si="920"/>
        <v>1.8692189032365886E-2</v>
      </c>
      <c r="O178" s="312">
        <f t="shared" si="920"/>
        <v>1.8851074350991981E-2</v>
      </c>
      <c r="P178" s="312">
        <f t="shared" si="920"/>
        <v>1.9019527917276735E-2</v>
      </c>
      <c r="Q178" s="312">
        <f t="shared" si="920"/>
        <v>1.9189596025648181E-2</v>
      </c>
      <c r="R178" s="312">
        <f t="shared" si="920"/>
        <v>1.9368388616787857E-2</v>
      </c>
      <c r="S178" s="312">
        <f t="shared" si="920"/>
        <v>1.95475583739943E-2</v>
      </c>
      <c r="T178" s="312">
        <f t="shared" si="920"/>
        <v>1.9733645816066014E-2</v>
      </c>
      <c r="U178" s="312">
        <f t="shared" si="920"/>
        <v>1.9920051120210558E-2</v>
      </c>
      <c r="V178" s="312">
        <f t="shared" si="920"/>
        <v>2.0113714549130801E-2</v>
      </c>
      <c r="W178" s="312">
        <f t="shared" si="920"/>
        <v>2.0305740162430919E-2</v>
      </c>
      <c r="X178" s="312">
        <f t="shared" si="920"/>
        <v>2.0504387411195202E-2</v>
      </c>
      <c r="Y178" s="312">
        <f t="shared" si="920"/>
        <v>2.0700586499582396E-2</v>
      </c>
      <c r="Z178" s="312">
        <f t="shared" si="920"/>
        <v>2.090282871633925E-2</v>
      </c>
      <c r="AA178" s="312">
        <f t="shared" si="920"/>
        <v>2.110192707403874E-2</v>
      </c>
      <c r="AB178" s="312">
        <f t="shared" si="920"/>
        <v>2.1305416461488647E-2</v>
      </c>
      <c r="AC178" s="312">
        <f t="shared" si="920"/>
        <v>2.1506292127783211E-2</v>
      </c>
      <c r="AD178" s="312">
        <f t="shared" si="920"/>
        <v>2.1712209781331093E-2</v>
      </c>
      <c r="AE178" s="312">
        <f t="shared" si="920"/>
        <v>2.1913890750464404E-2</v>
      </c>
      <c r="AF178" s="312">
        <f t="shared" si="920"/>
        <v>2.2120180926384514E-2</v>
      </c>
      <c r="AG178" s="312">
        <f t="shared" si="920"/>
        <v>2.2321815067461892E-2</v>
      </c>
      <c r="AH178" s="312">
        <f t="shared" si="920"/>
        <v>2.2527666051342765E-2</v>
      </c>
      <c r="AI178" s="312">
        <f t="shared" si="920"/>
        <v>2.2728514691301216E-2</v>
      </c>
      <c r="AJ178" s="312">
        <f t="shared" si="920"/>
        <v>2.2932101953030359E-2</v>
      </c>
      <c r="AK178" s="312">
        <f t="shared" si="920"/>
        <v>2.3131532912928243E-2</v>
      </c>
      <c r="AL178" s="312">
        <f t="shared" si="920"/>
        <v>2.3334504066343298E-2</v>
      </c>
      <c r="AM178" s="312">
        <f t="shared" si="920"/>
        <v>2.3531968163307104E-2</v>
      </c>
      <c r="AN178" s="312">
        <f t="shared" si="920"/>
        <v>2.37326809240056E-2</v>
      </c>
      <c r="AO178" s="312">
        <f t="shared" si="920"/>
        <v>2.3927713516211757E-2</v>
      </c>
      <c r="AP178" s="312">
        <f t="shared" si="920"/>
        <v>2.4125731002824835E-2</v>
      </c>
      <c r="AQ178" s="312">
        <f t="shared" si="920"/>
        <v>2.4317940088679157E-2</v>
      </c>
      <c r="AR178" s="312">
        <f t="shared" si="920"/>
        <v>2.4511828822115667E-2</v>
      </c>
      <c r="AS178" s="312">
        <f t="shared" si="920"/>
        <v>2.4700896221214519E-2</v>
      </c>
      <c r="AT178" s="312">
        <f t="shared" si="920"/>
        <v>2.4892494871509241E-2</v>
      </c>
      <c r="AU178" s="312">
        <f t="shared" si="920"/>
        <v>2.5078142231429346E-2</v>
      </c>
      <c r="AV178" s="312">
        <f t="shared" si="920"/>
        <v>2.5266125887795587E-2</v>
      </c>
      <c r="AW178" s="312">
        <f t="shared" si="920"/>
        <v>2.5448134126964173E-2</v>
      </c>
      <c r="AX178" s="312">
        <f t="shared" si="920"/>
        <v>2.5632302529256523E-2</v>
      </c>
      <c r="AY178" s="312">
        <f t="shared" si="920"/>
        <v>2.5810497617872186E-2</v>
      </c>
      <c r="AZ178" s="312">
        <f t="shared" si="920"/>
        <v>2.5989709283677609E-2</v>
      </c>
      <c r="BA178" s="312">
        <f t="shared" si="920"/>
        <v>2.6163968045103569E-2</v>
      </c>
      <c r="BB178" s="312">
        <f t="shared" si="920"/>
        <v>2.6340084599319025E-2</v>
      </c>
      <c r="BC178" s="312">
        <f t="shared" si="920"/>
        <v>2.6510296799185651E-2</v>
      </c>
      <c r="BD178" s="312">
        <f t="shared" si="920"/>
        <v>2.6682237043922807E-2</v>
      </c>
      <c r="BE178" s="312">
        <f t="shared" si="920"/>
        <v>2.6848333892870585E-2</v>
      </c>
      <c r="BF178" s="312">
        <f t="shared" si="920"/>
        <v>2.7016041649710609E-2</v>
      </c>
      <c r="BG178" s="312">
        <f t="shared" si="920"/>
        <v>2.7177981136803836E-2</v>
      </c>
      <c r="BH178" s="312">
        <f t="shared" si="920"/>
        <v>2.734053363618616E-2</v>
      </c>
      <c r="BI178" s="312">
        <f t="shared" si="920"/>
        <v>2.7498308662868509E-2</v>
      </c>
      <c r="BJ178" s="312">
        <f t="shared" si="920"/>
        <v>2.765749363159653E-2</v>
      </c>
      <c r="BK178" s="312">
        <f t="shared" si="920"/>
        <v>2.7811094050932045E-2</v>
      </c>
      <c r="BL178" s="312">
        <f t="shared" si="920"/>
        <v>2.7966018188066877E-2</v>
      </c>
      <c r="BM178" s="312">
        <f t="shared" si="920"/>
        <v>2.8115462856881185E-2</v>
      </c>
      <c r="BN178" s="312">
        <f t="shared" si="920"/>
        <v>2.8266153376545394E-2</v>
      </c>
      <c r="BO178" s="312">
        <f t="shared" ref="BO178:CB178" si="921">IF(BO176&lt;0,0,$B$5+$B$6*((1-EXP(-BO177/$B$9))/(BO177/$B$9))+$B$7*((1-EXP(-BO177/$B$9))/(BO177/$B$9)-EXP(-BO177/$B$9))+$B$8*((1-EXP(-BO177/$B$10))/(BO177/$B$10)-EXP(-BO177/$B$10)))</f>
        <v>2.8411476085819259E-2</v>
      </c>
      <c r="BP178" s="312">
        <f t="shared" si="921"/>
        <v>2.8557175121418837E-2</v>
      </c>
      <c r="BQ178" s="312">
        <f t="shared" si="921"/>
        <v>2.8698433626493575E-2</v>
      </c>
      <c r="BR178" s="312">
        <f t="shared" si="921"/>
        <v>2.8840804247033142E-2</v>
      </c>
      <c r="BS178" s="312">
        <f t="shared" si="921"/>
        <v>2.8978044385706503E-2</v>
      </c>
      <c r="BT178" s="312">
        <f t="shared" si="921"/>
        <v>2.9116339155235843E-2</v>
      </c>
      <c r="BU178" s="312">
        <f t="shared" si="921"/>
        <v>2.9249627155964936E-2</v>
      </c>
      <c r="BV178" s="312">
        <f t="shared" si="921"/>
        <v>2.9383917784152974E-2</v>
      </c>
      <c r="BW178" s="312">
        <f t="shared" si="921"/>
        <v>2.951332732213055E-2</v>
      </c>
      <c r="BX178" s="312">
        <f t="shared" si="921"/>
        <v>2.9642981472591867E-2</v>
      </c>
      <c r="BY178" s="312">
        <f t="shared" si="921"/>
        <v>2.9768602732837823E-2</v>
      </c>
      <c r="BZ178" s="312">
        <f t="shared" si="921"/>
        <v>2.9895136997630217E-2</v>
      </c>
      <c r="CA178" s="312">
        <f t="shared" si="921"/>
        <v>3.0017043911665431E-2</v>
      </c>
      <c r="CB178" s="312">
        <f t="shared" si="921"/>
        <v>3.0139825130984371E-2</v>
      </c>
    </row>
    <row r="179" spans="1:80">
      <c r="A179" s="311" t="s">
        <v>44</v>
      </c>
      <c r="B179" s="312">
        <f>EXP(-B178*B177)</f>
        <v>0.99791430641336143</v>
      </c>
      <c r="C179" s="312">
        <f t="shared" ref="C179:AR179" si="922">EXP(-C178*C177)</f>
        <v>0.98930725859517343</v>
      </c>
      <c r="D179" s="312">
        <f t="shared" si="922"/>
        <v>0.98058221880385688</v>
      </c>
      <c r="E179" s="312">
        <f t="shared" si="922"/>
        <v>0.97200821743756716</v>
      </c>
      <c r="F179" s="312">
        <f t="shared" si="922"/>
        <v>0.96323000757809185</v>
      </c>
      <c r="G179" s="312">
        <f t="shared" si="922"/>
        <v>0.95461827656406961</v>
      </c>
      <c r="H179" s="312">
        <f t="shared" si="922"/>
        <v>0.94577268931873637</v>
      </c>
      <c r="I179" s="312">
        <f t="shared" si="922"/>
        <v>0.93707124424938515</v>
      </c>
      <c r="J179" s="312">
        <f t="shared" si="922"/>
        <v>0.92811369391126985</v>
      </c>
      <c r="K179" s="312">
        <f t="shared" si="922"/>
        <v>0.91928663098596664</v>
      </c>
      <c r="L179" s="312">
        <f t="shared" si="922"/>
        <v>0.91023783696651839</v>
      </c>
      <c r="M179" s="312">
        <f t="shared" si="922"/>
        <v>0.90126322208072707</v>
      </c>
      <c r="N179" s="312">
        <f t="shared" si="922"/>
        <v>0.89200640419776622</v>
      </c>
      <c r="O179" s="312">
        <f t="shared" si="922"/>
        <v>0.88287276478426491</v>
      </c>
      <c r="P179" s="312">
        <f t="shared" si="922"/>
        <v>0.87345138329108507</v>
      </c>
      <c r="Q179" s="312">
        <f t="shared" si="922"/>
        <v>0.86415697461779017</v>
      </c>
      <c r="R179" s="312">
        <f t="shared" si="922"/>
        <v>0.85457333909969935</v>
      </c>
      <c r="S179" s="312">
        <f t="shared" si="922"/>
        <v>0.84512401562868855</v>
      </c>
      <c r="T179" s="312">
        <f t="shared" si="922"/>
        <v>0.83544109204891148</v>
      </c>
      <c r="U179" s="312">
        <f t="shared" si="922"/>
        <v>0.82584914302444601</v>
      </c>
      <c r="V179" s="312">
        <f t="shared" si="922"/>
        <v>0.81597464021942656</v>
      </c>
      <c r="W179" s="312">
        <f t="shared" si="922"/>
        <v>0.80625625288226899</v>
      </c>
      <c r="X179" s="312">
        <f t="shared" si="922"/>
        <v>0.79626237804508226</v>
      </c>
      <c r="Y179" s="312">
        <f t="shared" si="922"/>
        <v>0.78643767221132144</v>
      </c>
      <c r="Z179" s="312">
        <f t="shared" si="922"/>
        <v>0.77634638876579443</v>
      </c>
      <c r="AA179" s="312">
        <f t="shared" si="922"/>
        <v>0.76643796706624656</v>
      </c>
      <c r="AB179" s="312">
        <f t="shared" si="922"/>
        <v>0.756329235596783</v>
      </c>
      <c r="AC179" s="312">
        <f t="shared" si="922"/>
        <v>0.74636142466443522</v>
      </c>
      <c r="AD179" s="312">
        <f t="shared" si="922"/>
        <v>0.736148736526551</v>
      </c>
      <c r="AE179" s="312">
        <f t="shared" si="922"/>
        <v>0.72614636711897274</v>
      </c>
      <c r="AF179" s="312">
        <f t="shared" si="922"/>
        <v>0.71591125385786414</v>
      </c>
      <c r="AG179" s="312">
        <f t="shared" si="922"/>
        <v>0.70589955845012387</v>
      </c>
      <c r="AH179" s="312">
        <f t="shared" si="922"/>
        <v>0.69566771475607325</v>
      </c>
      <c r="AI179" s="312">
        <f t="shared" si="922"/>
        <v>0.68567160304468922</v>
      </c>
      <c r="AJ179" s="312">
        <f t="shared" si="922"/>
        <v>0.67552416821374195</v>
      </c>
      <c r="AK179" s="312">
        <f t="shared" si="922"/>
        <v>0.66556765941989671</v>
      </c>
      <c r="AL179" s="312">
        <f t="shared" si="922"/>
        <v>0.65541663621813495</v>
      </c>
      <c r="AM179" s="312">
        <f t="shared" si="922"/>
        <v>0.64552289038964639</v>
      </c>
      <c r="AN179" s="312">
        <f t="shared" si="922"/>
        <v>0.63544734114181667</v>
      </c>
      <c r="AO179" s="312">
        <f t="shared" si="922"/>
        <v>0.62563810322402669</v>
      </c>
      <c r="AP179" s="312">
        <f t="shared" si="922"/>
        <v>0.61565950186001772</v>
      </c>
      <c r="AQ179" s="312">
        <f t="shared" si="922"/>
        <v>0.60595499228558303</v>
      </c>
      <c r="AR179" s="312">
        <f t="shared" si="922"/>
        <v>0.59614719164528696</v>
      </c>
      <c r="AS179" s="312">
        <f>EXP(-AS178*AS177)</f>
        <v>0.58656561314396949</v>
      </c>
      <c r="AT179" s="312">
        <f t="shared" ref="AT179:CA179" si="923">EXP(-AT178*AT177)</f>
        <v>0.57683830686680782</v>
      </c>
      <c r="AU179" s="312">
        <f t="shared" si="923"/>
        <v>0.56739682465877894</v>
      </c>
      <c r="AV179" s="312">
        <f t="shared" si="923"/>
        <v>0.55782070151220431</v>
      </c>
      <c r="AW179" s="312">
        <f t="shared" si="923"/>
        <v>0.54853440471685533</v>
      </c>
      <c r="AX179" s="312">
        <f t="shared" si="923"/>
        <v>0.53912399303334091</v>
      </c>
      <c r="AY179" s="312">
        <f t="shared" si="923"/>
        <v>0.53000621527384872</v>
      </c>
      <c r="AZ179" s="312">
        <f t="shared" si="923"/>
        <v>0.52082473081030556</v>
      </c>
      <c r="BA179" s="312">
        <f t="shared" si="923"/>
        <v>0.51188656737864158</v>
      </c>
      <c r="BB179" s="312">
        <f t="shared" si="923"/>
        <v>0.50284354146092802</v>
      </c>
      <c r="BC179" s="312">
        <f t="shared" si="923"/>
        <v>0.49409542351815</v>
      </c>
      <c r="BD179" s="312">
        <f t="shared" si="923"/>
        <v>0.48525118063541095</v>
      </c>
      <c r="BE179" s="312">
        <f t="shared" si="923"/>
        <v>0.47670145810294201</v>
      </c>
      <c r="BF179" s="312">
        <f t="shared" si="923"/>
        <v>0.46806375188897731</v>
      </c>
      <c r="BG179" s="312">
        <f t="shared" si="923"/>
        <v>0.45971926387535655</v>
      </c>
      <c r="BH179" s="312">
        <f t="shared" si="923"/>
        <v>0.45134034317745753</v>
      </c>
      <c r="BI179" s="312">
        <f t="shared" si="923"/>
        <v>0.4432059210587449</v>
      </c>
      <c r="BJ179" s="312">
        <f t="shared" si="923"/>
        <v>0.43499804944418757</v>
      </c>
      <c r="BK179" s="312">
        <f t="shared" si="923"/>
        <v>0.42707838172460116</v>
      </c>
      <c r="BL179" s="312">
        <f t="shared" si="923"/>
        <v>0.41909171941435414</v>
      </c>
      <c r="BM179" s="312">
        <f t="shared" si="923"/>
        <v>0.41138970320222656</v>
      </c>
      <c r="BN179" s="312">
        <f t="shared" si="923"/>
        <v>0.4036266321051048</v>
      </c>
      <c r="BO179" s="312">
        <f t="shared" si="923"/>
        <v>0.3961440552092883</v>
      </c>
      <c r="BP179" s="312">
        <f t="shared" si="923"/>
        <v>0.38864698321707103</v>
      </c>
      <c r="BQ179" s="312">
        <f t="shared" si="923"/>
        <v>0.38138401488856305</v>
      </c>
      <c r="BR179" s="312">
        <f t="shared" si="923"/>
        <v>0.37407042463401752</v>
      </c>
      <c r="BS179" s="312">
        <f t="shared" si="923"/>
        <v>0.36702755299151435</v>
      </c>
      <c r="BT179" s="312">
        <f t="shared" si="923"/>
        <v>0.35993862545657307</v>
      </c>
      <c r="BU179" s="312">
        <f t="shared" si="923"/>
        <v>0.353114917078515</v>
      </c>
      <c r="BV179" s="312">
        <f t="shared" si="923"/>
        <v>0.34624931908631784</v>
      </c>
      <c r="BW179" s="312">
        <f t="shared" si="923"/>
        <v>0.33964312189017309</v>
      </c>
      <c r="BX179" s="312">
        <f t="shared" si="923"/>
        <v>0.33303503384707789</v>
      </c>
      <c r="BY179" s="312">
        <f t="shared" si="923"/>
        <v>0.32664346959891011</v>
      </c>
      <c r="BZ179" s="312">
        <f t="shared" si="923"/>
        <v>0.32021725442632976</v>
      </c>
      <c r="CA179" s="312">
        <f t="shared" si="923"/>
        <v>0.3140380909721745</v>
      </c>
      <c r="CB179" s="312">
        <f>EXP(-CB178*CB177)</f>
        <v>0.30782741393960439</v>
      </c>
    </row>
    <row r="181" spans="1:80">
      <c r="A181" s="311" t="s">
        <v>40</v>
      </c>
      <c r="B181" s="312">
        <f t="shared" ref="B181:AG181" si="924">DAYS360($B$3,B68)</f>
        <v>43</v>
      </c>
      <c r="C181" s="312">
        <f t="shared" si="924"/>
        <v>221</v>
      </c>
      <c r="D181" s="312">
        <f t="shared" si="924"/>
        <v>402</v>
      </c>
      <c r="E181" s="312">
        <f t="shared" si="924"/>
        <v>580</v>
      </c>
      <c r="F181" s="312">
        <f t="shared" si="924"/>
        <v>762</v>
      </c>
      <c r="G181" s="312">
        <f t="shared" si="924"/>
        <v>940</v>
      </c>
      <c r="H181" s="312">
        <f t="shared" si="924"/>
        <v>1122</v>
      </c>
      <c r="I181" s="312">
        <f t="shared" si="924"/>
        <v>1300</v>
      </c>
      <c r="J181" s="312">
        <f t="shared" si="924"/>
        <v>1482</v>
      </c>
      <c r="K181" s="312">
        <f t="shared" si="924"/>
        <v>1660</v>
      </c>
      <c r="L181" s="312">
        <f t="shared" si="924"/>
        <v>1841</v>
      </c>
      <c r="M181" s="312">
        <f t="shared" si="924"/>
        <v>2019</v>
      </c>
      <c r="N181" s="312">
        <f t="shared" si="924"/>
        <v>2201</v>
      </c>
      <c r="O181" s="312">
        <f t="shared" si="924"/>
        <v>2379</v>
      </c>
      <c r="P181" s="312">
        <f t="shared" si="924"/>
        <v>2561</v>
      </c>
      <c r="Q181" s="312">
        <f t="shared" si="924"/>
        <v>2739</v>
      </c>
      <c r="R181" s="312">
        <f t="shared" si="924"/>
        <v>2921</v>
      </c>
      <c r="S181" s="312">
        <f t="shared" si="924"/>
        <v>3099</v>
      </c>
      <c r="T181" s="312">
        <f t="shared" si="924"/>
        <v>3280</v>
      </c>
      <c r="U181" s="312">
        <f t="shared" si="924"/>
        <v>3458</v>
      </c>
      <c r="V181" s="312">
        <f t="shared" si="924"/>
        <v>3640</v>
      </c>
      <c r="W181" s="312">
        <f t="shared" si="924"/>
        <v>3818</v>
      </c>
      <c r="X181" s="312">
        <f t="shared" si="924"/>
        <v>4000</v>
      </c>
      <c r="Y181" s="312">
        <f t="shared" si="924"/>
        <v>4178</v>
      </c>
      <c r="Z181" s="312">
        <f t="shared" si="924"/>
        <v>4360</v>
      </c>
      <c r="AA181" s="312">
        <f t="shared" si="924"/>
        <v>4538</v>
      </c>
      <c r="AB181" s="312">
        <f t="shared" si="924"/>
        <v>4719</v>
      </c>
      <c r="AC181" s="312">
        <f t="shared" si="924"/>
        <v>4897</v>
      </c>
      <c r="AD181" s="312">
        <f t="shared" si="924"/>
        <v>5079</v>
      </c>
      <c r="AE181" s="312">
        <f t="shared" si="924"/>
        <v>5257</v>
      </c>
      <c r="AF181" s="312">
        <f t="shared" si="924"/>
        <v>5439</v>
      </c>
      <c r="AG181" s="312">
        <f t="shared" si="924"/>
        <v>5617</v>
      </c>
      <c r="AH181" s="312">
        <f t="shared" ref="AH181:BM181" si="925">DAYS360($B$3,AH68)</f>
        <v>5799</v>
      </c>
      <c r="AI181" s="312">
        <f t="shared" si="925"/>
        <v>5977</v>
      </c>
      <c r="AJ181" s="312">
        <f t="shared" si="925"/>
        <v>6158</v>
      </c>
      <c r="AK181" s="312">
        <f t="shared" si="925"/>
        <v>6336</v>
      </c>
      <c r="AL181" s="312">
        <f t="shared" si="925"/>
        <v>6518</v>
      </c>
      <c r="AM181" s="312">
        <f t="shared" si="925"/>
        <v>6696</v>
      </c>
      <c r="AN181" s="312">
        <f t="shared" si="925"/>
        <v>6878</v>
      </c>
      <c r="AO181" s="312">
        <f t="shared" si="925"/>
        <v>7056</v>
      </c>
      <c r="AP181" s="312">
        <f t="shared" si="925"/>
        <v>7238</v>
      </c>
      <c r="AQ181" s="312">
        <f t="shared" si="925"/>
        <v>7416</v>
      </c>
      <c r="AR181" s="312">
        <f t="shared" si="925"/>
        <v>7597</v>
      </c>
      <c r="AS181" s="312">
        <f t="shared" si="925"/>
        <v>7775</v>
      </c>
      <c r="AT181" s="312">
        <f t="shared" si="925"/>
        <v>7957</v>
      </c>
      <c r="AU181" s="312">
        <f t="shared" si="925"/>
        <v>8135</v>
      </c>
      <c r="AV181" s="312">
        <f t="shared" si="925"/>
        <v>8317</v>
      </c>
      <c r="AW181" s="312">
        <f t="shared" si="925"/>
        <v>8495</v>
      </c>
      <c r="AX181" s="312">
        <f t="shared" si="925"/>
        <v>8677</v>
      </c>
      <c r="AY181" s="312">
        <f t="shared" si="925"/>
        <v>8855</v>
      </c>
      <c r="AZ181" s="312">
        <f t="shared" si="925"/>
        <v>9036</v>
      </c>
      <c r="BA181" s="312">
        <f t="shared" si="925"/>
        <v>9214</v>
      </c>
      <c r="BB181" s="312">
        <f t="shared" si="925"/>
        <v>9396</v>
      </c>
      <c r="BC181" s="312">
        <f t="shared" si="925"/>
        <v>9574</v>
      </c>
      <c r="BD181" s="312">
        <f t="shared" si="925"/>
        <v>9756</v>
      </c>
      <c r="BE181" s="312">
        <f t="shared" si="925"/>
        <v>9934</v>
      </c>
      <c r="BF181" s="312">
        <f t="shared" si="925"/>
        <v>10116</v>
      </c>
      <c r="BG181" s="312">
        <f t="shared" si="925"/>
        <v>10294</v>
      </c>
      <c r="BH181" s="312">
        <f t="shared" si="925"/>
        <v>10475</v>
      </c>
      <c r="BI181" s="312">
        <f t="shared" si="925"/>
        <v>10653</v>
      </c>
      <c r="BJ181" s="312">
        <f t="shared" si="925"/>
        <v>10835</v>
      </c>
      <c r="BK181" s="312">
        <f t="shared" si="925"/>
        <v>11013</v>
      </c>
      <c r="BL181" s="312">
        <f t="shared" si="925"/>
        <v>11195</v>
      </c>
      <c r="BM181" s="312">
        <f t="shared" si="925"/>
        <v>11373</v>
      </c>
      <c r="BN181" s="312">
        <f t="shared" ref="BN181:CB181" si="926">DAYS360($B$3,BN68)</f>
        <v>11555</v>
      </c>
      <c r="BO181" s="312">
        <f t="shared" si="926"/>
        <v>11733</v>
      </c>
      <c r="BP181" s="312">
        <f t="shared" si="926"/>
        <v>11914</v>
      </c>
      <c r="BQ181" s="312">
        <f t="shared" si="926"/>
        <v>12092</v>
      </c>
      <c r="BR181" s="312">
        <f t="shared" si="926"/>
        <v>12274</v>
      </c>
      <c r="BS181" s="312">
        <f t="shared" si="926"/>
        <v>12452</v>
      </c>
      <c r="BT181" s="312">
        <f t="shared" si="926"/>
        <v>12634</v>
      </c>
      <c r="BU181" s="312">
        <f t="shared" si="926"/>
        <v>12812</v>
      </c>
      <c r="BV181" s="312">
        <f t="shared" si="926"/>
        <v>12994</v>
      </c>
      <c r="BW181" s="312">
        <f t="shared" si="926"/>
        <v>13172</v>
      </c>
      <c r="BX181" s="312">
        <f t="shared" si="926"/>
        <v>13353</v>
      </c>
      <c r="BY181" s="312">
        <f t="shared" si="926"/>
        <v>13531</v>
      </c>
      <c r="BZ181" s="312">
        <f t="shared" si="926"/>
        <v>13713</v>
      </c>
      <c r="CA181" s="312">
        <f t="shared" si="926"/>
        <v>13891</v>
      </c>
      <c r="CB181" s="312">
        <f t="shared" si="926"/>
        <v>14073</v>
      </c>
    </row>
    <row r="182" spans="1:80">
      <c r="A182" s="311" t="s">
        <v>41</v>
      </c>
      <c r="B182" s="312">
        <f>B181/360</f>
        <v>0.11944444444444445</v>
      </c>
      <c r="C182" s="312">
        <f t="shared" ref="C182:BN182" si="927">C181/360</f>
        <v>0.61388888888888893</v>
      </c>
      <c r="D182" s="312">
        <f t="shared" si="927"/>
        <v>1.1166666666666667</v>
      </c>
      <c r="E182" s="312">
        <f t="shared" si="927"/>
        <v>1.6111111111111112</v>
      </c>
      <c r="F182" s="312">
        <f t="shared" si="927"/>
        <v>2.1166666666666667</v>
      </c>
      <c r="G182" s="312">
        <f t="shared" si="927"/>
        <v>2.6111111111111112</v>
      </c>
      <c r="H182" s="312">
        <f t="shared" si="927"/>
        <v>3.1166666666666667</v>
      </c>
      <c r="I182" s="312">
        <f t="shared" si="927"/>
        <v>3.6111111111111112</v>
      </c>
      <c r="J182" s="312">
        <f t="shared" si="927"/>
        <v>4.1166666666666663</v>
      </c>
      <c r="K182" s="312">
        <f t="shared" si="927"/>
        <v>4.6111111111111107</v>
      </c>
      <c r="L182" s="312">
        <f t="shared" si="927"/>
        <v>5.1138888888888889</v>
      </c>
      <c r="M182" s="312">
        <f t="shared" si="927"/>
        <v>5.6083333333333334</v>
      </c>
      <c r="N182" s="312">
        <f t="shared" si="927"/>
        <v>6.1138888888888889</v>
      </c>
      <c r="O182" s="312">
        <f t="shared" si="927"/>
        <v>6.6083333333333334</v>
      </c>
      <c r="P182" s="312">
        <f t="shared" si="927"/>
        <v>7.1138888888888889</v>
      </c>
      <c r="Q182" s="312">
        <f t="shared" si="927"/>
        <v>7.6083333333333334</v>
      </c>
      <c r="R182" s="312">
        <f t="shared" si="927"/>
        <v>8.1138888888888889</v>
      </c>
      <c r="S182" s="312">
        <f t="shared" si="927"/>
        <v>8.6083333333333325</v>
      </c>
      <c r="T182" s="312">
        <f t="shared" si="927"/>
        <v>9.1111111111111107</v>
      </c>
      <c r="U182" s="312">
        <f t="shared" si="927"/>
        <v>9.6055555555555561</v>
      </c>
      <c r="V182" s="312">
        <f t="shared" si="927"/>
        <v>10.111111111111111</v>
      </c>
      <c r="W182" s="312">
        <f t="shared" si="927"/>
        <v>10.605555555555556</v>
      </c>
      <c r="X182" s="312">
        <f t="shared" si="927"/>
        <v>11.111111111111111</v>
      </c>
      <c r="Y182" s="312">
        <f t="shared" si="927"/>
        <v>11.605555555555556</v>
      </c>
      <c r="Z182" s="312">
        <f t="shared" si="927"/>
        <v>12.111111111111111</v>
      </c>
      <c r="AA182" s="312">
        <f t="shared" si="927"/>
        <v>12.605555555555556</v>
      </c>
      <c r="AB182" s="312">
        <f t="shared" si="927"/>
        <v>13.108333333333333</v>
      </c>
      <c r="AC182" s="312">
        <f t="shared" si="927"/>
        <v>13.602777777777778</v>
      </c>
      <c r="AD182" s="312">
        <f t="shared" si="927"/>
        <v>14.108333333333333</v>
      </c>
      <c r="AE182" s="312">
        <f t="shared" si="927"/>
        <v>14.602777777777778</v>
      </c>
      <c r="AF182" s="312">
        <f t="shared" si="927"/>
        <v>15.108333333333333</v>
      </c>
      <c r="AG182" s="312">
        <f t="shared" si="927"/>
        <v>15.602777777777778</v>
      </c>
      <c r="AH182" s="312">
        <f t="shared" si="927"/>
        <v>16.108333333333334</v>
      </c>
      <c r="AI182" s="312">
        <f t="shared" si="927"/>
        <v>16.602777777777778</v>
      </c>
      <c r="AJ182" s="312">
        <f t="shared" si="927"/>
        <v>17.105555555555554</v>
      </c>
      <c r="AK182" s="312">
        <f t="shared" si="927"/>
        <v>17.600000000000001</v>
      </c>
      <c r="AL182" s="312">
        <f t="shared" si="927"/>
        <v>18.105555555555554</v>
      </c>
      <c r="AM182" s="312">
        <f t="shared" si="927"/>
        <v>18.600000000000001</v>
      </c>
      <c r="AN182" s="312">
        <f t="shared" si="927"/>
        <v>19.105555555555554</v>
      </c>
      <c r="AO182" s="312">
        <f t="shared" si="927"/>
        <v>19.600000000000001</v>
      </c>
      <c r="AP182" s="312">
        <f t="shared" si="927"/>
        <v>20.105555555555554</v>
      </c>
      <c r="AQ182" s="312">
        <f t="shared" si="927"/>
        <v>20.6</v>
      </c>
      <c r="AR182" s="312">
        <f t="shared" si="927"/>
        <v>21.102777777777778</v>
      </c>
      <c r="AS182" s="312">
        <f t="shared" si="927"/>
        <v>21.597222222222221</v>
      </c>
      <c r="AT182" s="312">
        <f t="shared" si="927"/>
        <v>22.102777777777778</v>
      </c>
      <c r="AU182" s="312">
        <f t="shared" si="927"/>
        <v>22.597222222222221</v>
      </c>
      <c r="AV182" s="312">
        <f t="shared" si="927"/>
        <v>23.102777777777778</v>
      </c>
      <c r="AW182" s="312">
        <f t="shared" si="927"/>
        <v>23.597222222222221</v>
      </c>
      <c r="AX182" s="312">
        <f t="shared" si="927"/>
        <v>24.102777777777778</v>
      </c>
      <c r="AY182" s="312">
        <f t="shared" si="927"/>
        <v>24.597222222222221</v>
      </c>
      <c r="AZ182" s="312">
        <f t="shared" si="927"/>
        <v>25.1</v>
      </c>
      <c r="BA182" s="312">
        <f t="shared" si="927"/>
        <v>25.594444444444445</v>
      </c>
      <c r="BB182" s="312">
        <f t="shared" si="927"/>
        <v>26.1</v>
      </c>
      <c r="BC182" s="312">
        <f t="shared" si="927"/>
        <v>26.594444444444445</v>
      </c>
      <c r="BD182" s="312">
        <f t="shared" si="927"/>
        <v>27.1</v>
      </c>
      <c r="BE182" s="312">
        <f t="shared" si="927"/>
        <v>27.594444444444445</v>
      </c>
      <c r="BF182" s="312">
        <f t="shared" si="927"/>
        <v>28.1</v>
      </c>
      <c r="BG182" s="312">
        <f t="shared" si="927"/>
        <v>28.594444444444445</v>
      </c>
      <c r="BH182" s="312">
        <f t="shared" si="927"/>
        <v>29.097222222222221</v>
      </c>
      <c r="BI182" s="312">
        <f t="shared" si="927"/>
        <v>29.591666666666665</v>
      </c>
      <c r="BJ182" s="312">
        <f t="shared" si="927"/>
        <v>30.097222222222221</v>
      </c>
      <c r="BK182" s="312">
        <f t="shared" si="927"/>
        <v>30.591666666666665</v>
      </c>
      <c r="BL182" s="312">
        <f t="shared" si="927"/>
        <v>31.097222222222221</v>
      </c>
      <c r="BM182" s="312">
        <f t="shared" si="927"/>
        <v>31.591666666666665</v>
      </c>
      <c r="BN182" s="312">
        <f t="shared" si="927"/>
        <v>32.097222222222221</v>
      </c>
      <c r="BO182" s="312">
        <f t="shared" ref="BO182:CB182" si="928">BO181/360</f>
        <v>32.591666666666669</v>
      </c>
      <c r="BP182" s="312">
        <f t="shared" si="928"/>
        <v>33.094444444444441</v>
      </c>
      <c r="BQ182" s="312">
        <f t="shared" si="928"/>
        <v>33.588888888888889</v>
      </c>
      <c r="BR182" s="312">
        <f t="shared" si="928"/>
        <v>34.094444444444441</v>
      </c>
      <c r="BS182" s="312">
        <f t="shared" si="928"/>
        <v>34.588888888888889</v>
      </c>
      <c r="BT182" s="312">
        <f t="shared" si="928"/>
        <v>35.094444444444441</v>
      </c>
      <c r="BU182" s="312">
        <f t="shared" si="928"/>
        <v>35.588888888888889</v>
      </c>
      <c r="BV182" s="312">
        <f t="shared" si="928"/>
        <v>36.094444444444441</v>
      </c>
      <c r="BW182" s="312">
        <f t="shared" si="928"/>
        <v>36.588888888888889</v>
      </c>
      <c r="BX182" s="312">
        <f t="shared" si="928"/>
        <v>37.091666666666669</v>
      </c>
      <c r="BY182" s="312">
        <f t="shared" si="928"/>
        <v>37.586111111111109</v>
      </c>
      <c r="BZ182" s="312">
        <f t="shared" si="928"/>
        <v>38.091666666666669</v>
      </c>
      <c r="CA182" s="312">
        <f t="shared" si="928"/>
        <v>38.586111111111109</v>
      </c>
      <c r="CB182" s="312">
        <f t="shared" si="928"/>
        <v>39.091666666666669</v>
      </c>
    </row>
    <row r="183" spans="1:80">
      <c r="A183" s="311" t="s">
        <v>43</v>
      </c>
      <c r="B183" s="312">
        <f>IF(B181&lt;0,0,$B$5+$B$6*((1-EXP(-B182/$B$9))/(B182/$B$9))+$B$7*((1-EXP(-B182/$B$9))/(B182/$B$9)-EXP(-B182/$B$9))+$B$8*((1-EXP(-B182/$B$10))/(B182/$B$10)-EXP(-B182/$B$10)))</f>
        <v>1.7479855880234312E-2</v>
      </c>
      <c r="C183" s="312">
        <f t="shared" ref="C183:BN183" si="929">IF(C181&lt;0,0,$B$5+$B$6*((1-EXP(-C182/$B$9))/(C182/$B$9))+$B$7*((1-EXP(-C182/$B$9))/(C182/$B$9)-EXP(-C182/$B$9))+$B$8*((1-EXP(-C182/$B$10))/(C182/$B$10)-EXP(-C182/$B$10)))</f>
        <v>1.7511832796269649E-2</v>
      </c>
      <c r="D183" s="312">
        <f t="shared" si="929"/>
        <v>1.7560104094283838E-2</v>
      </c>
      <c r="E183" s="312">
        <f t="shared" si="929"/>
        <v>1.7622012664277653E-2</v>
      </c>
      <c r="F183" s="312">
        <f t="shared" si="929"/>
        <v>1.7699079149213606E-2</v>
      </c>
      <c r="G183" s="312">
        <f t="shared" si="929"/>
        <v>1.7786959970177624E-2</v>
      </c>
      <c r="H183" s="312">
        <f t="shared" si="929"/>
        <v>1.7888671102463352E-2</v>
      </c>
      <c r="I183" s="312">
        <f t="shared" si="929"/>
        <v>1.7998882675334144E-2</v>
      </c>
      <c r="J183" s="312">
        <f t="shared" si="929"/>
        <v>1.8121709808022468E-2</v>
      </c>
      <c r="K183" s="312">
        <f t="shared" si="929"/>
        <v>1.8250983069438537E-2</v>
      </c>
      <c r="L183" s="312">
        <f t="shared" si="929"/>
        <v>1.8390965537032289E-2</v>
      </c>
      <c r="M183" s="312">
        <f t="shared" si="929"/>
        <v>1.8536330401057566E-2</v>
      </c>
      <c r="N183" s="312">
        <f t="shared" si="929"/>
        <v>1.8692189032365886E-2</v>
      </c>
      <c r="O183" s="312">
        <f t="shared" si="929"/>
        <v>1.8851074350991981E-2</v>
      </c>
      <c r="P183" s="312">
        <f t="shared" si="929"/>
        <v>1.9019527917276735E-2</v>
      </c>
      <c r="Q183" s="312">
        <f t="shared" si="929"/>
        <v>1.9189596025648181E-2</v>
      </c>
      <c r="R183" s="312">
        <f t="shared" si="929"/>
        <v>1.9368388616787857E-2</v>
      </c>
      <c r="S183" s="312">
        <f t="shared" si="929"/>
        <v>1.95475583739943E-2</v>
      </c>
      <c r="T183" s="312">
        <f t="shared" si="929"/>
        <v>1.9733645816066014E-2</v>
      </c>
      <c r="U183" s="312">
        <f t="shared" si="929"/>
        <v>1.9920051120210558E-2</v>
      </c>
      <c r="V183" s="312">
        <f t="shared" si="929"/>
        <v>2.0113714549130801E-2</v>
      </c>
      <c r="W183" s="312">
        <f t="shared" si="929"/>
        <v>2.0305740162430919E-2</v>
      </c>
      <c r="X183" s="312">
        <f t="shared" si="929"/>
        <v>2.0504387411195202E-2</v>
      </c>
      <c r="Y183" s="312">
        <f t="shared" si="929"/>
        <v>2.0700586499582396E-2</v>
      </c>
      <c r="Z183" s="312">
        <f t="shared" si="929"/>
        <v>2.090282871633925E-2</v>
      </c>
      <c r="AA183" s="312">
        <f t="shared" si="929"/>
        <v>2.110192707403874E-2</v>
      </c>
      <c r="AB183" s="312">
        <f t="shared" si="929"/>
        <v>2.1305416461488647E-2</v>
      </c>
      <c r="AC183" s="312">
        <f t="shared" si="929"/>
        <v>2.1506292127783211E-2</v>
      </c>
      <c r="AD183" s="312">
        <f t="shared" si="929"/>
        <v>2.1712209781331093E-2</v>
      </c>
      <c r="AE183" s="312">
        <f t="shared" si="929"/>
        <v>2.1913890750464404E-2</v>
      </c>
      <c r="AF183" s="312">
        <f t="shared" si="929"/>
        <v>2.2120180926384514E-2</v>
      </c>
      <c r="AG183" s="312">
        <f t="shared" si="929"/>
        <v>2.2321815067461892E-2</v>
      </c>
      <c r="AH183" s="312">
        <f t="shared" si="929"/>
        <v>2.2527666051342765E-2</v>
      </c>
      <c r="AI183" s="312">
        <f t="shared" si="929"/>
        <v>2.2728514691301216E-2</v>
      </c>
      <c r="AJ183" s="312">
        <f t="shared" si="929"/>
        <v>2.2932101953030359E-2</v>
      </c>
      <c r="AK183" s="312">
        <f t="shared" si="929"/>
        <v>2.3131532912928243E-2</v>
      </c>
      <c r="AL183" s="312">
        <f t="shared" si="929"/>
        <v>2.3334504066343298E-2</v>
      </c>
      <c r="AM183" s="312">
        <f t="shared" si="929"/>
        <v>2.3531968163307104E-2</v>
      </c>
      <c r="AN183" s="312">
        <f t="shared" si="929"/>
        <v>2.37326809240056E-2</v>
      </c>
      <c r="AO183" s="312">
        <f t="shared" si="929"/>
        <v>2.3927713516211757E-2</v>
      </c>
      <c r="AP183" s="312">
        <f t="shared" si="929"/>
        <v>2.4125731002824835E-2</v>
      </c>
      <c r="AQ183" s="312">
        <f t="shared" si="929"/>
        <v>2.4317940088679157E-2</v>
      </c>
      <c r="AR183" s="312">
        <f t="shared" si="929"/>
        <v>2.4511828822115667E-2</v>
      </c>
      <c r="AS183" s="312">
        <f t="shared" si="929"/>
        <v>2.4700896221214519E-2</v>
      </c>
      <c r="AT183" s="312">
        <f t="shared" si="929"/>
        <v>2.4892494871509241E-2</v>
      </c>
      <c r="AU183" s="312">
        <f t="shared" si="929"/>
        <v>2.5078142231429346E-2</v>
      </c>
      <c r="AV183" s="312">
        <f t="shared" si="929"/>
        <v>2.5266125887795587E-2</v>
      </c>
      <c r="AW183" s="312">
        <f t="shared" si="929"/>
        <v>2.5448134126964173E-2</v>
      </c>
      <c r="AX183" s="312">
        <f t="shared" si="929"/>
        <v>2.5632302529256523E-2</v>
      </c>
      <c r="AY183" s="312">
        <f t="shared" si="929"/>
        <v>2.5810497617872186E-2</v>
      </c>
      <c r="AZ183" s="312">
        <f t="shared" si="929"/>
        <v>2.5989709283677609E-2</v>
      </c>
      <c r="BA183" s="312">
        <f t="shared" si="929"/>
        <v>2.6163968045103569E-2</v>
      </c>
      <c r="BB183" s="312">
        <f t="shared" si="929"/>
        <v>2.6340084599319025E-2</v>
      </c>
      <c r="BC183" s="312">
        <f t="shared" si="929"/>
        <v>2.6510296799185651E-2</v>
      </c>
      <c r="BD183" s="312">
        <f t="shared" si="929"/>
        <v>2.6682237043922807E-2</v>
      </c>
      <c r="BE183" s="312">
        <f t="shared" si="929"/>
        <v>2.6848333892870585E-2</v>
      </c>
      <c r="BF183" s="312">
        <f t="shared" si="929"/>
        <v>2.7016041649710609E-2</v>
      </c>
      <c r="BG183" s="312">
        <f t="shared" si="929"/>
        <v>2.7177981136803836E-2</v>
      </c>
      <c r="BH183" s="312">
        <f t="shared" si="929"/>
        <v>2.734053363618616E-2</v>
      </c>
      <c r="BI183" s="312">
        <f t="shared" si="929"/>
        <v>2.7498308662868509E-2</v>
      </c>
      <c r="BJ183" s="312">
        <f t="shared" si="929"/>
        <v>2.765749363159653E-2</v>
      </c>
      <c r="BK183" s="312">
        <f t="shared" si="929"/>
        <v>2.7811094050932045E-2</v>
      </c>
      <c r="BL183" s="312">
        <f t="shared" si="929"/>
        <v>2.7966018188066877E-2</v>
      </c>
      <c r="BM183" s="312">
        <f t="shared" si="929"/>
        <v>2.8115462856881185E-2</v>
      </c>
      <c r="BN183" s="312">
        <f t="shared" si="929"/>
        <v>2.8266153376545394E-2</v>
      </c>
      <c r="BO183" s="312">
        <f t="shared" ref="BO183:CB183" si="930">IF(BO181&lt;0,0,$B$5+$B$6*((1-EXP(-BO182/$B$9))/(BO182/$B$9))+$B$7*((1-EXP(-BO182/$B$9))/(BO182/$B$9)-EXP(-BO182/$B$9))+$B$8*((1-EXP(-BO182/$B$10))/(BO182/$B$10)-EXP(-BO182/$B$10)))</f>
        <v>2.8411476085819259E-2</v>
      </c>
      <c r="BP183" s="312">
        <f t="shared" si="930"/>
        <v>2.8557175121418837E-2</v>
      </c>
      <c r="BQ183" s="312">
        <f t="shared" si="930"/>
        <v>2.8698433626493575E-2</v>
      </c>
      <c r="BR183" s="312">
        <f t="shared" si="930"/>
        <v>2.8840804247033142E-2</v>
      </c>
      <c r="BS183" s="312">
        <f t="shared" si="930"/>
        <v>2.8978044385706503E-2</v>
      </c>
      <c r="BT183" s="312">
        <f t="shared" si="930"/>
        <v>2.9116339155235843E-2</v>
      </c>
      <c r="BU183" s="312">
        <f t="shared" si="930"/>
        <v>2.9249627155964936E-2</v>
      </c>
      <c r="BV183" s="312">
        <f t="shared" si="930"/>
        <v>2.9383917784152974E-2</v>
      </c>
      <c r="BW183" s="312">
        <f t="shared" si="930"/>
        <v>2.951332732213055E-2</v>
      </c>
      <c r="BX183" s="312">
        <f t="shared" si="930"/>
        <v>2.9642981472591867E-2</v>
      </c>
      <c r="BY183" s="312">
        <f t="shared" si="930"/>
        <v>2.9768602732837823E-2</v>
      </c>
      <c r="BZ183" s="312">
        <f t="shared" si="930"/>
        <v>2.9895136997630217E-2</v>
      </c>
      <c r="CA183" s="312">
        <f t="shared" si="930"/>
        <v>3.0017043911665431E-2</v>
      </c>
      <c r="CB183" s="312">
        <f t="shared" si="930"/>
        <v>3.0139825130984371E-2</v>
      </c>
    </row>
    <row r="184" spans="1:80">
      <c r="A184" s="311" t="s">
        <v>44</v>
      </c>
      <c r="B184" s="312">
        <f>EXP(-B183*B182)</f>
        <v>0.99791430641336143</v>
      </c>
      <c r="C184" s="312">
        <f t="shared" ref="C184:AR184" si="931">EXP(-C183*C182)</f>
        <v>0.98930725859517343</v>
      </c>
      <c r="D184" s="312">
        <f t="shared" si="931"/>
        <v>0.98058221880385688</v>
      </c>
      <c r="E184" s="312">
        <f t="shared" si="931"/>
        <v>0.97200821743756716</v>
      </c>
      <c r="F184" s="312">
        <f t="shared" si="931"/>
        <v>0.96323000757809185</v>
      </c>
      <c r="G184" s="312">
        <f t="shared" si="931"/>
        <v>0.95461827656406961</v>
      </c>
      <c r="H184" s="312">
        <f t="shared" si="931"/>
        <v>0.94577268931873637</v>
      </c>
      <c r="I184" s="312">
        <f t="shared" si="931"/>
        <v>0.93707124424938515</v>
      </c>
      <c r="J184" s="312">
        <f t="shared" si="931"/>
        <v>0.92811369391126985</v>
      </c>
      <c r="K184" s="312">
        <f t="shared" si="931"/>
        <v>0.91928663098596664</v>
      </c>
      <c r="L184" s="312">
        <f t="shared" si="931"/>
        <v>0.91023783696651839</v>
      </c>
      <c r="M184" s="312">
        <f t="shared" si="931"/>
        <v>0.90126322208072707</v>
      </c>
      <c r="N184" s="312">
        <f t="shared" si="931"/>
        <v>0.89200640419776622</v>
      </c>
      <c r="O184" s="312">
        <f t="shared" si="931"/>
        <v>0.88287276478426491</v>
      </c>
      <c r="P184" s="312">
        <f t="shared" si="931"/>
        <v>0.87345138329108507</v>
      </c>
      <c r="Q184" s="312">
        <f t="shared" si="931"/>
        <v>0.86415697461779017</v>
      </c>
      <c r="R184" s="312">
        <f t="shared" si="931"/>
        <v>0.85457333909969935</v>
      </c>
      <c r="S184" s="312">
        <f t="shared" si="931"/>
        <v>0.84512401562868855</v>
      </c>
      <c r="T184" s="312">
        <f t="shared" si="931"/>
        <v>0.83544109204891148</v>
      </c>
      <c r="U184" s="312">
        <f t="shared" si="931"/>
        <v>0.82584914302444601</v>
      </c>
      <c r="V184" s="312">
        <f t="shared" si="931"/>
        <v>0.81597464021942656</v>
      </c>
      <c r="W184" s="312">
        <f t="shared" si="931"/>
        <v>0.80625625288226899</v>
      </c>
      <c r="X184" s="312">
        <f t="shared" si="931"/>
        <v>0.79626237804508226</v>
      </c>
      <c r="Y184" s="312">
        <f t="shared" si="931"/>
        <v>0.78643767221132144</v>
      </c>
      <c r="Z184" s="312">
        <f t="shared" si="931"/>
        <v>0.77634638876579443</v>
      </c>
      <c r="AA184" s="312">
        <f t="shared" si="931"/>
        <v>0.76643796706624656</v>
      </c>
      <c r="AB184" s="312">
        <f t="shared" si="931"/>
        <v>0.756329235596783</v>
      </c>
      <c r="AC184" s="312">
        <f t="shared" si="931"/>
        <v>0.74636142466443522</v>
      </c>
      <c r="AD184" s="312">
        <f t="shared" si="931"/>
        <v>0.736148736526551</v>
      </c>
      <c r="AE184" s="312">
        <f t="shared" si="931"/>
        <v>0.72614636711897274</v>
      </c>
      <c r="AF184" s="312">
        <f t="shared" si="931"/>
        <v>0.71591125385786414</v>
      </c>
      <c r="AG184" s="312">
        <f t="shared" si="931"/>
        <v>0.70589955845012387</v>
      </c>
      <c r="AH184" s="312">
        <f t="shared" si="931"/>
        <v>0.69566771475607325</v>
      </c>
      <c r="AI184" s="312">
        <f t="shared" si="931"/>
        <v>0.68567160304468922</v>
      </c>
      <c r="AJ184" s="312">
        <f t="shared" si="931"/>
        <v>0.67552416821374195</v>
      </c>
      <c r="AK184" s="312">
        <f t="shared" si="931"/>
        <v>0.66556765941989671</v>
      </c>
      <c r="AL184" s="312">
        <f t="shared" si="931"/>
        <v>0.65541663621813495</v>
      </c>
      <c r="AM184" s="312">
        <f t="shared" si="931"/>
        <v>0.64552289038964639</v>
      </c>
      <c r="AN184" s="312">
        <f t="shared" si="931"/>
        <v>0.63544734114181667</v>
      </c>
      <c r="AO184" s="312">
        <f t="shared" si="931"/>
        <v>0.62563810322402669</v>
      </c>
      <c r="AP184" s="312">
        <f t="shared" si="931"/>
        <v>0.61565950186001772</v>
      </c>
      <c r="AQ184" s="312">
        <f t="shared" si="931"/>
        <v>0.60595499228558303</v>
      </c>
      <c r="AR184" s="312">
        <f t="shared" si="931"/>
        <v>0.59614719164528696</v>
      </c>
      <c r="AS184" s="312">
        <f>EXP(-AS183*AS182)</f>
        <v>0.58656561314396949</v>
      </c>
      <c r="AT184" s="312">
        <f t="shared" ref="AT184:CA184" si="932">EXP(-AT183*AT182)</f>
        <v>0.57683830686680782</v>
      </c>
      <c r="AU184" s="312">
        <f t="shared" si="932"/>
        <v>0.56739682465877894</v>
      </c>
      <c r="AV184" s="312">
        <f t="shared" si="932"/>
        <v>0.55782070151220431</v>
      </c>
      <c r="AW184" s="312">
        <f t="shared" si="932"/>
        <v>0.54853440471685533</v>
      </c>
      <c r="AX184" s="312">
        <f t="shared" si="932"/>
        <v>0.53912399303334091</v>
      </c>
      <c r="AY184" s="312">
        <f t="shared" si="932"/>
        <v>0.53000621527384872</v>
      </c>
      <c r="AZ184" s="312">
        <f t="shared" si="932"/>
        <v>0.52082473081030556</v>
      </c>
      <c r="BA184" s="312">
        <f t="shared" si="932"/>
        <v>0.51188656737864158</v>
      </c>
      <c r="BB184" s="312">
        <f t="shared" si="932"/>
        <v>0.50284354146092802</v>
      </c>
      <c r="BC184" s="312">
        <f t="shared" si="932"/>
        <v>0.49409542351815</v>
      </c>
      <c r="BD184" s="312">
        <f t="shared" si="932"/>
        <v>0.48525118063541095</v>
      </c>
      <c r="BE184" s="312">
        <f t="shared" si="932"/>
        <v>0.47670145810294201</v>
      </c>
      <c r="BF184" s="312">
        <f t="shared" si="932"/>
        <v>0.46806375188897731</v>
      </c>
      <c r="BG184" s="312">
        <f t="shared" si="932"/>
        <v>0.45971926387535655</v>
      </c>
      <c r="BH184" s="312">
        <f t="shared" si="932"/>
        <v>0.45134034317745753</v>
      </c>
      <c r="BI184" s="312">
        <f t="shared" si="932"/>
        <v>0.4432059210587449</v>
      </c>
      <c r="BJ184" s="312">
        <f t="shared" si="932"/>
        <v>0.43499804944418757</v>
      </c>
      <c r="BK184" s="312">
        <f t="shared" si="932"/>
        <v>0.42707838172460116</v>
      </c>
      <c r="BL184" s="312">
        <f t="shared" si="932"/>
        <v>0.41909171941435414</v>
      </c>
      <c r="BM184" s="312">
        <f t="shared" si="932"/>
        <v>0.41138970320222656</v>
      </c>
      <c r="BN184" s="312">
        <f t="shared" si="932"/>
        <v>0.4036266321051048</v>
      </c>
      <c r="BO184" s="312">
        <f t="shared" si="932"/>
        <v>0.3961440552092883</v>
      </c>
      <c r="BP184" s="312">
        <f t="shared" si="932"/>
        <v>0.38864698321707103</v>
      </c>
      <c r="BQ184" s="312">
        <f t="shared" si="932"/>
        <v>0.38138401488856305</v>
      </c>
      <c r="BR184" s="312">
        <f t="shared" si="932"/>
        <v>0.37407042463401752</v>
      </c>
      <c r="BS184" s="312">
        <f t="shared" si="932"/>
        <v>0.36702755299151435</v>
      </c>
      <c r="BT184" s="312">
        <f t="shared" si="932"/>
        <v>0.35993862545657307</v>
      </c>
      <c r="BU184" s="312">
        <f t="shared" si="932"/>
        <v>0.353114917078515</v>
      </c>
      <c r="BV184" s="312">
        <f t="shared" si="932"/>
        <v>0.34624931908631784</v>
      </c>
      <c r="BW184" s="312">
        <f t="shared" si="932"/>
        <v>0.33964312189017309</v>
      </c>
      <c r="BX184" s="312">
        <f t="shared" si="932"/>
        <v>0.33303503384707789</v>
      </c>
      <c r="BY184" s="312">
        <f t="shared" si="932"/>
        <v>0.32664346959891011</v>
      </c>
      <c r="BZ184" s="312">
        <f t="shared" si="932"/>
        <v>0.32021725442632976</v>
      </c>
      <c r="CA184" s="312">
        <f t="shared" si="932"/>
        <v>0.3140380909721745</v>
      </c>
      <c r="CB184" s="312">
        <f>EXP(-CB183*CB182)</f>
        <v>0.30782741393960439</v>
      </c>
    </row>
    <row r="186" spans="1:80">
      <c r="A186" s="311" t="s">
        <v>40</v>
      </c>
      <c r="B186" s="312">
        <f t="shared" ref="B186:AG186" si="933">DAYS360($B$3,B70)</f>
        <v>43</v>
      </c>
      <c r="C186" s="312">
        <f t="shared" si="933"/>
        <v>221</v>
      </c>
      <c r="D186" s="312">
        <f t="shared" si="933"/>
        <v>402</v>
      </c>
      <c r="E186" s="312">
        <f t="shared" si="933"/>
        <v>580</v>
      </c>
      <c r="F186" s="312">
        <f t="shared" si="933"/>
        <v>762</v>
      </c>
      <c r="G186" s="312">
        <f t="shared" si="933"/>
        <v>940</v>
      </c>
      <c r="H186" s="312">
        <f t="shared" si="933"/>
        <v>1122</v>
      </c>
      <c r="I186" s="312">
        <f t="shared" si="933"/>
        <v>1300</v>
      </c>
      <c r="J186" s="312">
        <f t="shared" si="933"/>
        <v>1482</v>
      </c>
      <c r="K186" s="312">
        <f t="shared" si="933"/>
        <v>1660</v>
      </c>
      <c r="L186" s="312">
        <f t="shared" si="933"/>
        <v>1841</v>
      </c>
      <c r="M186" s="312">
        <f t="shared" si="933"/>
        <v>2019</v>
      </c>
      <c r="N186" s="312">
        <f t="shared" si="933"/>
        <v>2201</v>
      </c>
      <c r="O186" s="312">
        <f t="shared" si="933"/>
        <v>2379</v>
      </c>
      <c r="P186" s="312">
        <f t="shared" si="933"/>
        <v>2561</v>
      </c>
      <c r="Q186" s="312">
        <f t="shared" si="933"/>
        <v>2739</v>
      </c>
      <c r="R186" s="312">
        <f t="shared" si="933"/>
        <v>2921</v>
      </c>
      <c r="S186" s="312">
        <f t="shared" si="933"/>
        <v>3099</v>
      </c>
      <c r="T186" s="312">
        <f t="shared" si="933"/>
        <v>3280</v>
      </c>
      <c r="U186" s="312">
        <f t="shared" si="933"/>
        <v>3458</v>
      </c>
      <c r="V186" s="312">
        <f t="shared" si="933"/>
        <v>3640</v>
      </c>
      <c r="W186" s="312">
        <f t="shared" si="933"/>
        <v>3818</v>
      </c>
      <c r="X186" s="312">
        <f t="shared" si="933"/>
        <v>4000</v>
      </c>
      <c r="Y186" s="312">
        <f t="shared" si="933"/>
        <v>4178</v>
      </c>
      <c r="Z186" s="312">
        <f t="shared" si="933"/>
        <v>4360</v>
      </c>
      <c r="AA186" s="312">
        <f t="shared" si="933"/>
        <v>4538</v>
      </c>
      <c r="AB186" s="312">
        <f t="shared" si="933"/>
        <v>4719</v>
      </c>
      <c r="AC186" s="312">
        <f t="shared" si="933"/>
        <v>4897</v>
      </c>
      <c r="AD186" s="312">
        <f t="shared" si="933"/>
        <v>5079</v>
      </c>
      <c r="AE186" s="312">
        <f t="shared" si="933"/>
        <v>5257</v>
      </c>
      <c r="AF186" s="312">
        <f t="shared" si="933"/>
        <v>5439</v>
      </c>
      <c r="AG186" s="312">
        <f t="shared" si="933"/>
        <v>5617</v>
      </c>
      <c r="AH186" s="312">
        <f t="shared" ref="AH186:BM186" si="934">DAYS360($B$3,AH70)</f>
        <v>5799</v>
      </c>
      <c r="AI186" s="312">
        <f t="shared" si="934"/>
        <v>5977</v>
      </c>
      <c r="AJ186" s="312">
        <f t="shared" si="934"/>
        <v>6158</v>
      </c>
      <c r="AK186" s="312">
        <f t="shared" si="934"/>
        <v>6336</v>
      </c>
      <c r="AL186" s="312">
        <f t="shared" si="934"/>
        <v>6518</v>
      </c>
      <c r="AM186" s="312">
        <f t="shared" si="934"/>
        <v>6696</v>
      </c>
      <c r="AN186" s="312">
        <f t="shared" si="934"/>
        <v>6878</v>
      </c>
      <c r="AO186" s="312">
        <f t="shared" si="934"/>
        <v>7056</v>
      </c>
      <c r="AP186" s="312">
        <f t="shared" si="934"/>
        <v>7238</v>
      </c>
      <c r="AQ186" s="312">
        <f t="shared" si="934"/>
        <v>7416</v>
      </c>
      <c r="AR186" s="312">
        <f t="shared" si="934"/>
        <v>7597</v>
      </c>
      <c r="AS186" s="312">
        <f t="shared" si="934"/>
        <v>7775</v>
      </c>
      <c r="AT186" s="312">
        <f t="shared" si="934"/>
        <v>7957</v>
      </c>
      <c r="AU186" s="312">
        <f t="shared" si="934"/>
        <v>8135</v>
      </c>
      <c r="AV186" s="312">
        <f t="shared" si="934"/>
        <v>8317</v>
      </c>
      <c r="AW186" s="312">
        <f t="shared" si="934"/>
        <v>8495</v>
      </c>
      <c r="AX186" s="312">
        <f t="shared" si="934"/>
        <v>8677</v>
      </c>
      <c r="AY186" s="312">
        <f t="shared" si="934"/>
        <v>8855</v>
      </c>
      <c r="AZ186" s="312">
        <f t="shared" si="934"/>
        <v>9036</v>
      </c>
      <c r="BA186" s="312">
        <f t="shared" si="934"/>
        <v>9214</v>
      </c>
      <c r="BB186" s="312">
        <f t="shared" si="934"/>
        <v>9396</v>
      </c>
      <c r="BC186" s="312">
        <f t="shared" si="934"/>
        <v>9574</v>
      </c>
      <c r="BD186" s="312">
        <f t="shared" si="934"/>
        <v>9756</v>
      </c>
      <c r="BE186" s="312">
        <f t="shared" si="934"/>
        <v>9934</v>
      </c>
      <c r="BF186" s="312">
        <f t="shared" si="934"/>
        <v>10116</v>
      </c>
      <c r="BG186" s="312">
        <f t="shared" si="934"/>
        <v>10294</v>
      </c>
      <c r="BH186" s="312">
        <f t="shared" si="934"/>
        <v>10475</v>
      </c>
      <c r="BI186" s="312">
        <f t="shared" si="934"/>
        <v>10653</v>
      </c>
      <c r="BJ186" s="312">
        <f t="shared" si="934"/>
        <v>10835</v>
      </c>
      <c r="BK186" s="312">
        <f t="shared" si="934"/>
        <v>11013</v>
      </c>
      <c r="BL186" s="312">
        <f t="shared" si="934"/>
        <v>11195</v>
      </c>
      <c r="BM186" s="312">
        <f t="shared" si="934"/>
        <v>11373</v>
      </c>
      <c r="BN186" s="312">
        <f t="shared" ref="BN186:CB186" si="935">DAYS360($B$3,BN70)</f>
        <v>11555</v>
      </c>
      <c r="BO186" s="312">
        <f t="shared" si="935"/>
        <v>11733</v>
      </c>
      <c r="BP186" s="312">
        <f t="shared" si="935"/>
        <v>11914</v>
      </c>
      <c r="BQ186" s="312">
        <f t="shared" si="935"/>
        <v>12092</v>
      </c>
      <c r="BR186" s="312">
        <f t="shared" si="935"/>
        <v>12274</v>
      </c>
      <c r="BS186" s="312">
        <f t="shared" si="935"/>
        <v>12452</v>
      </c>
      <c r="BT186" s="312">
        <f t="shared" si="935"/>
        <v>12634</v>
      </c>
      <c r="BU186" s="312">
        <f t="shared" si="935"/>
        <v>12812</v>
      </c>
      <c r="BV186" s="312">
        <f t="shared" si="935"/>
        <v>12994</v>
      </c>
      <c r="BW186" s="312">
        <f t="shared" si="935"/>
        <v>13172</v>
      </c>
      <c r="BX186" s="312">
        <f t="shared" si="935"/>
        <v>13353</v>
      </c>
      <c r="BY186" s="312">
        <f t="shared" si="935"/>
        <v>13531</v>
      </c>
      <c r="BZ186" s="312">
        <f t="shared" si="935"/>
        <v>13713</v>
      </c>
      <c r="CA186" s="312">
        <f t="shared" si="935"/>
        <v>13891</v>
      </c>
      <c r="CB186" s="312">
        <f t="shared" si="935"/>
        <v>14073</v>
      </c>
    </row>
    <row r="187" spans="1:80">
      <c r="A187" s="311" t="s">
        <v>41</v>
      </c>
      <c r="B187" s="312">
        <f>B186/360</f>
        <v>0.11944444444444445</v>
      </c>
      <c r="C187" s="312">
        <f t="shared" ref="C187:BN187" si="936">C186/360</f>
        <v>0.61388888888888893</v>
      </c>
      <c r="D187" s="312">
        <f t="shared" si="936"/>
        <v>1.1166666666666667</v>
      </c>
      <c r="E187" s="312">
        <f t="shared" si="936"/>
        <v>1.6111111111111112</v>
      </c>
      <c r="F187" s="312">
        <f t="shared" si="936"/>
        <v>2.1166666666666667</v>
      </c>
      <c r="G187" s="312">
        <f t="shared" si="936"/>
        <v>2.6111111111111112</v>
      </c>
      <c r="H187" s="312">
        <f t="shared" si="936"/>
        <v>3.1166666666666667</v>
      </c>
      <c r="I187" s="312">
        <f t="shared" si="936"/>
        <v>3.6111111111111112</v>
      </c>
      <c r="J187" s="312">
        <f t="shared" si="936"/>
        <v>4.1166666666666663</v>
      </c>
      <c r="K187" s="312">
        <f t="shared" si="936"/>
        <v>4.6111111111111107</v>
      </c>
      <c r="L187" s="312">
        <f t="shared" si="936"/>
        <v>5.1138888888888889</v>
      </c>
      <c r="M187" s="312">
        <f t="shared" si="936"/>
        <v>5.6083333333333334</v>
      </c>
      <c r="N187" s="312">
        <f t="shared" si="936"/>
        <v>6.1138888888888889</v>
      </c>
      <c r="O187" s="312">
        <f t="shared" si="936"/>
        <v>6.6083333333333334</v>
      </c>
      <c r="P187" s="312">
        <f t="shared" si="936"/>
        <v>7.1138888888888889</v>
      </c>
      <c r="Q187" s="312">
        <f t="shared" si="936"/>
        <v>7.6083333333333334</v>
      </c>
      <c r="R187" s="312">
        <f t="shared" si="936"/>
        <v>8.1138888888888889</v>
      </c>
      <c r="S187" s="312">
        <f t="shared" si="936"/>
        <v>8.6083333333333325</v>
      </c>
      <c r="T187" s="312">
        <f t="shared" si="936"/>
        <v>9.1111111111111107</v>
      </c>
      <c r="U187" s="312">
        <f t="shared" si="936"/>
        <v>9.6055555555555561</v>
      </c>
      <c r="V187" s="312">
        <f t="shared" si="936"/>
        <v>10.111111111111111</v>
      </c>
      <c r="W187" s="312">
        <f t="shared" si="936"/>
        <v>10.605555555555556</v>
      </c>
      <c r="X187" s="312">
        <f t="shared" si="936"/>
        <v>11.111111111111111</v>
      </c>
      <c r="Y187" s="312">
        <f t="shared" si="936"/>
        <v>11.605555555555556</v>
      </c>
      <c r="Z187" s="312">
        <f t="shared" si="936"/>
        <v>12.111111111111111</v>
      </c>
      <c r="AA187" s="312">
        <f t="shared" si="936"/>
        <v>12.605555555555556</v>
      </c>
      <c r="AB187" s="312">
        <f t="shared" si="936"/>
        <v>13.108333333333333</v>
      </c>
      <c r="AC187" s="312">
        <f t="shared" si="936"/>
        <v>13.602777777777778</v>
      </c>
      <c r="AD187" s="312">
        <f t="shared" si="936"/>
        <v>14.108333333333333</v>
      </c>
      <c r="AE187" s="312">
        <f t="shared" si="936"/>
        <v>14.602777777777778</v>
      </c>
      <c r="AF187" s="312">
        <f t="shared" si="936"/>
        <v>15.108333333333333</v>
      </c>
      <c r="AG187" s="312">
        <f t="shared" si="936"/>
        <v>15.602777777777778</v>
      </c>
      <c r="AH187" s="312">
        <f t="shared" si="936"/>
        <v>16.108333333333334</v>
      </c>
      <c r="AI187" s="312">
        <f t="shared" si="936"/>
        <v>16.602777777777778</v>
      </c>
      <c r="AJ187" s="312">
        <f t="shared" si="936"/>
        <v>17.105555555555554</v>
      </c>
      <c r="AK187" s="312">
        <f t="shared" si="936"/>
        <v>17.600000000000001</v>
      </c>
      <c r="AL187" s="312">
        <f t="shared" si="936"/>
        <v>18.105555555555554</v>
      </c>
      <c r="AM187" s="312">
        <f t="shared" si="936"/>
        <v>18.600000000000001</v>
      </c>
      <c r="AN187" s="312">
        <f t="shared" si="936"/>
        <v>19.105555555555554</v>
      </c>
      <c r="AO187" s="312">
        <f t="shared" si="936"/>
        <v>19.600000000000001</v>
      </c>
      <c r="AP187" s="312">
        <f t="shared" si="936"/>
        <v>20.105555555555554</v>
      </c>
      <c r="AQ187" s="312">
        <f t="shared" si="936"/>
        <v>20.6</v>
      </c>
      <c r="AR187" s="312">
        <f t="shared" si="936"/>
        <v>21.102777777777778</v>
      </c>
      <c r="AS187" s="312">
        <f t="shared" si="936"/>
        <v>21.597222222222221</v>
      </c>
      <c r="AT187" s="312">
        <f t="shared" si="936"/>
        <v>22.102777777777778</v>
      </c>
      <c r="AU187" s="312">
        <f t="shared" si="936"/>
        <v>22.597222222222221</v>
      </c>
      <c r="AV187" s="312">
        <f t="shared" si="936"/>
        <v>23.102777777777778</v>
      </c>
      <c r="AW187" s="312">
        <f t="shared" si="936"/>
        <v>23.597222222222221</v>
      </c>
      <c r="AX187" s="312">
        <f t="shared" si="936"/>
        <v>24.102777777777778</v>
      </c>
      <c r="AY187" s="312">
        <f t="shared" si="936"/>
        <v>24.597222222222221</v>
      </c>
      <c r="AZ187" s="312">
        <f t="shared" si="936"/>
        <v>25.1</v>
      </c>
      <c r="BA187" s="312">
        <f t="shared" si="936"/>
        <v>25.594444444444445</v>
      </c>
      <c r="BB187" s="312">
        <f t="shared" si="936"/>
        <v>26.1</v>
      </c>
      <c r="BC187" s="312">
        <f t="shared" si="936"/>
        <v>26.594444444444445</v>
      </c>
      <c r="BD187" s="312">
        <f t="shared" si="936"/>
        <v>27.1</v>
      </c>
      <c r="BE187" s="312">
        <f t="shared" si="936"/>
        <v>27.594444444444445</v>
      </c>
      <c r="BF187" s="312">
        <f t="shared" si="936"/>
        <v>28.1</v>
      </c>
      <c r="BG187" s="312">
        <f t="shared" si="936"/>
        <v>28.594444444444445</v>
      </c>
      <c r="BH187" s="312">
        <f t="shared" si="936"/>
        <v>29.097222222222221</v>
      </c>
      <c r="BI187" s="312">
        <f t="shared" si="936"/>
        <v>29.591666666666665</v>
      </c>
      <c r="BJ187" s="312">
        <f t="shared" si="936"/>
        <v>30.097222222222221</v>
      </c>
      <c r="BK187" s="312">
        <f t="shared" si="936"/>
        <v>30.591666666666665</v>
      </c>
      <c r="BL187" s="312">
        <f t="shared" si="936"/>
        <v>31.097222222222221</v>
      </c>
      <c r="BM187" s="312">
        <f t="shared" si="936"/>
        <v>31.591666666666665</v>
      </c>
      <c r="BN187" s="312">
        <f t="shared" si="936"/>
        <v>32.097222222222221</v>
      </c>
      <c r="BO187" s="312">
        <f t="shared" ref="BO187:CB187" si="937">BO186/360</f>
        <v>32.591666666666669</v>
      </c>
      <c r="BP187" s="312">
        <f t="shared" si="937"/>
        <v>33.094444444444441</v>
      </c>
      <c r="BQ187" s="312">
        <f t="shared" si="937"/>
        <v>33.588888888888889</v>
      </c>
      <c r="BR187" s="312">
        <f t="shared" si="937"/>
        <v>34.094444444444441</v>
      </c>
      <c r="BS187" s="312">
        <f t="shared" si="937"/>
        <v>34.588888888888889</v>
      </c>
      <c r="BT187" s="312">
        <f t="shared" si="937"/>
        <v>35.094444444444441</v>
      </c>
      <c r="BU187" s="312">
        <f t="shared" si="937"/>
        <v>35.588888888888889</v>
      </c>
      <c r="BV187" s="312">
        <f t="shared" si="937"/>
        <v>36.094444444444441</v>
      </c>
      <c r="BW187" s="312">
        <f t="shared" si="937"/>
        <v>36.588888888888889</v>
      </c>
      <c r="BX187" s="312">
        <f t="shared" si="937"/>
        <v>37.091666666666669</v>
      </c>
      <c r="BY187" s="312">
        <f t="shared" si="937"/>
        <v>37.586111111111109</v>
      </c>
      <c r="BZ187" s="312">
        <f t="shared" si="937"/>
        <v>38.091666666666669</v>
      </c>
      <c r="CA187" s="312">
        <f t="shared" si="937"/>
        <v>38.586111111111109</v>
      </c>
      <c r="CB187" s="312">
        <f t="shared" si="937"/>
        <v>39.091666666666669</v>
      </c>
    </row>
    <row r="188" spans="1:80">
      <c r="A188" s="311" t="s">
        <v>43</v>
      </c>
      <c r="B188" s="312">
        <f>IF(B186&lt;0,0,$B$5+$B$6*((1-EXP(-B187/$B$9))/(B187/$B$9))+$B$7*((1-EXP(-B187/$B$9))/(B187/$B$9)-EXP(-B187/$B$9))+$B$8*((1-EXP(-B187/$B$10))/(B187/$B$10)-EXP(-B187/$B$10)))</f>
        <v>1.7479855880234312E-2</v>
      </c>
      <c r="C188" s="312">
        <f t="shared" ref="C188:BN188" si="938">IF(C186&lt;0,0,$B$5+$B$6*((1-EXP(-C187/$B$9))/(C187/$B$9))+$B$7*((1-EXP(-C187/$B$9))/(C187/$B$9)-EXP(-C187/$B$9))+$B$8*((1-EXP(-C187/$B$10))/(C187/$B$10)-EXP(-C187/$B$10)))</f>
        <v>1.7511832796269649E-2</v>
      </c>
      <c r="D188" s="312">
        <f t="shared" si="938"/>
        <v>1.7560104094283838E-2</v>
      </c>
      <c r="E188" s="312">
        <f t="shared" si="938"/>
        <v>1.7622012664277653E-2</v>
      </c>
      <c r="F188" s="312">
        <f t="shared" si="938"/>
        <v>1.7699079149213606E-2</v>
      </c>
      <c r="G188" s="312">
        <f t="shared" si="938"/>
        <v>1.7786959970177624E-2</v>
      </c>
      <c r="H188" s="312">
        <f t="shared" si="938"/>
        <v>1.7888671102463352E-2</v>
      </c>
      <c r="I188" s="312">
        <f t="shared" si="938"/>
        <v>1.7998882675334144E-2</v>
      </c>
      <c r="J188" s="312">
        <f t="shared" si="938"/>
        <v>1.8121709808022468E-2</v>
      </c>
      <c r="K188" s="312">
        <f t="shared" si="938"/>
        <v>1.8250983069438537E-2</v>
      </c>
      <c r="L188" s="312">
        <f t="shared" si="938"/>
        <v>1.8390965537032289E-2</v>
      </c>
      <c r="M188" s="312">
        <f t="shared" si="938"/>
        <v>1.8536330401057566E-2</v>
      </c>
      <c r="N188" s="312">
        <f t="shared" si="938"/>
        <v>1.8692189032365886E-2</v>
      </c>
      <c r="O188" s="312">
        <f t="shared" si="938"/>
        <v>1.8851074350991981E-2</v>
      </c>
      <c r="P188" s="312">
        <f t="shared" si="938"/>
        <v>1.9019527917276735E-2</v>
      </c>
      <c r="Q188" s="312">
        <f t="shared" si="938"/>
        <v>1.9189596025648181E-2</v>
      </c>
      <c r="R188" s="312">
        <f t="shared" si="938"/>
        <v>1.9368388616787857E-2</v>
      </c>
      <c r="S188" s="312">
        <f t="shared" si="938"/>
        <v>1.95475583739943E-2</v>
      </c>
      <c r="T188" s="312">
        <f t="shared" si="938"/>
        <v>1.9733645816066014E-2</v>
      </c>
      <c r="U188" s="312">
        <f t="shared" si="938"/>
        <v>1.9920051120210558E-2</v>
      </c>
      <c r="V188" s="312">
        <f t="shared" si="938"/>
        <v>2.0113714549130801E-2</v>
      </c>
      <c r="W188" s="312">
        <f t="shared" si="938"/>
        <v>2.0305740162430919E-2</v>
      </c>
      <c r="X188" s="312">
        <f t="shared" si="938"/>
        <v>2.0504387411195202E-2</v>
      </c>
      <c r="Y188" s="312">
        <f t="shared" si="938"/>
        <v>2.0700586499582396E-2</v>
      </c>
      <c r="Z188" s="312">
        <f t="shared" si="938"/>
        <v>2.090282871633925E-2</v>
      </c>
      <c r="AA188" s="312">
        <f t="shared" si="938"/>
        <v>2.110192707403874E-2</v>
      </c>
      <c r="AB188" s="312">
        <f t="shared" si="938"/>
        <v>2.1305416461488647E-2</v>
      </c>
      <c r="AC188" s="312">
        <f t="shared" si="938"/>
        <v>2.1506292127783211E-2</v>
      </c>
      <c r="AD188" s="312">
        <f t="shared" si="938"/>
        <v>2.1712209781331093E-2</v>
      </c>
      <c r="AE188" s="312">
        <f t="shared" si="938"/>
        <v>2.1913890750464404E-2</v>
      </c>
      <c r="AF188" s="312">
        <f t="shared" si="938"/>
        <v>2.2120180926384514E-2</v>
      </c>
      <c r="AG188" s="312">
        <f t="shared" si="938"/>
        <v>2.2321815067461892E-2</v>
      </c>
      <c r="AH188" s="312">
        <f t="shared" si="938"/>
        <v>2.2527666051342765E-2</v>
      </c>
      <c r="AI188" s="312">
        <f t="shared" si="938"/>
        <v>2.2728514691301216E-2</v>
      </c>
      <c r="AJ188" s="312">
        <f t="shared" si="938"/>
        <v>2.2932101953030359E-2</v>
      </c>
      <c r="AK188" s="312">
        <f t="shared" si="938"/>
        <v>2.3131532912928243E-2</v>
      </c>
      <c r="AL188" s="312">
        <f t="shared" si="938"/>
        <v>2.3334504066343298E-2</v>
      </c>
      <c r="AM188" s="312">
        <f t="shared" si="938"/>
        <v>2.3531968163307104E-2</v>
      </c>
      <c r="AN188" s="312">
        <f t="shared" si="938"/>
        <v>2.37326809240056E-2</v>
      </c>
      <c r="AO188" s="312">
        <f t="shared" si="938"/>
        <v>2.3927713516211757E-2</v>
      </c>
      <c r="AP188" s="312">
        <f t="shared" si="938"/>
        <v>2.4125731002824835E-2</v>
      </c>
      <c r="AQ188" s="312">
        <f t="shared" si="938"/>
        <v>2.4317940088679157E-2</v>
      </c>
      <c r="AR188" s="312">
        <f t="shared" si="938"/>
        <v>2.4511828822115667E-2</v>
      </c>
      <c r="AS188" s="312">
        <f t="shared" si="938"/>
        <v>2.4700896221214519E-2</v>
      </c>
      <c r="AT188" s="312">
        <f t="shared" si="938"/>
        <v>2.4892494871509241E-2</v>
      </c>
      <c r="AU188" s="312">
        <f t="shared" si="938"/>
        <v>2.5078142231429346E-2</v>
      </c>
      <c r="AV188" s="312">
        <f t="shared" si="938"/>
        <v>2.5266125887795587E-2</v>
      </c>
      <c r="AW188" s="312">
        <f t="shared" si="938"/>
        <v>2.5448134126964173E-2</v>
      </c>
      <c r="AX188" s="312">
        <f t="shared" si="938"/>
        <v>2.5632302529256523E-2</v>
      </c>
      <c r="AY188" s="312">
        <f t="shared" si="938"/>
        <v>2.5810497617872186E-2</v>
      </c>
      <c r="AZ188" s="312">
        <f t="shared" si="938"/>
        <v>2.5989709283677609E-2</v>
      </c>
      <c r="BA188" s="312">
        <f t="shared" si="938"/>
        <v>2.6163968045103569E-2</v>
      </c>
      <c r="BB188" s="312">
        <f t="shared" si="938"/>
        <v>2.6340084599319025E-2</v>
      </c>
      <c r="BC188" s="312">
        <f t="shared" si="938"/>
        <v>2.6510296799185651E-2</v>
      </c>
      <c r="BD188" s="312">
        <f t="shared" si="938"/>
        <v>2.6682237043922807E-2</v>
      </c>
      <c r="BE188" s="312">
        <f t="shared" si="938"/>
        <v>2.6848333892870585E-2</v>
      </c>
      <c r="BF188" s="312">
        <f t="shared" si="938"/>
        <v>2.7016041649710609E-2</v>
      </c>
      <c r="BG188" s="312">
        <f t="shared" si="938"/>
        <v>2.7177981136803836E-2</v>
      </c>
      <c r="BH188" s="312">
        <f t="shared" si="938"/>
        <v>2.734053363618616E-2</v>
      </c>
      <c r="BI188" s="312">
        <f t="shared" si="938"/>
        <v>2.7498308662868509E-2</v>
      </c>
      <c r="BJ188" s="312">
        <f t="shared" si="938"/>
        <v>2.765749363159653E-2</v>
      </c>
      <c r="BK188" s="312">
        <f t="shared" si="938"/>
        <v>2.7811094050932045E-2</v>
      </c>
      <c r="BL188" s="312">
        <f t="shared" si="938"/>
        <v>2.7966018188066877E-2</v>
      </c>
      <c r="BM188" s="312">
        <f t="shared" si="938"/>
        <v>2.8115462856881185E-2</v>
      </c>
      <c r="BN188" s="312">
        <f t="shared" si="938"/>
        <v>2.8266153376545394E-2</v>
      </c>
      <c r="BO188" s="312">
        <f t="shared" ref="BO188:CB188" si="939">IF(BO186&lt;0,0,$B$5+$B$6*((1-EXP(-BO187/$B$9))/(BO187/$B$9))+$B$7*((1-EXP(-BO187/$B$9))/(BO187/$B$9)-EXP(-BO187/$B$9))+$B$8*((1-EXP(-BO187/$B$10))/(BO187/$B$10)-EXP(-BO187/$B$10)))</f>
        <v>2.8411476085819259E-2</v>
      </c>
      <c r="BP188" s="312">
        <f t="shared" si="939"/>
        <v>2.8557175121418837E-2</v>
      </c>
      <c r="BQ188" s="312">
        <f t="shared" si="939"/>
        <v>2.8698433626493575E-2</v>
      </c>
      <c r="BR188" s="312">
        <f t="shared" si="939"/>
        <v>2.8840804247033142E-2</v>
      </c>
      <c r="BS188" s="312">
        <f t="shared" si="939"/>
        <v>2.8978044385706503E-2</v>
      </c>
      <c r="BT188" s="312">
        <f t="shared" si="939"/>
        <v>2.9116339155235843E-2</v>
      </c>
      <c r="BU188" s="312">
        <f t="shared" si="939"/>
        <v>2.9249627155964936E-2</v>
      </c>
      <c r="BV188" s="312">
        <f t="shared" si="939"/>
        <v>2.9383917784152974E-2</v>
      </c>
      <c r="BW188" s="312">
        <f t="shared" si="939"/>
        <v>2.951332732213055E-2</v>
      </c>
      <c r="BX188" s="312">
        <f t="shared" si="939"/>
        <v>2.9642981472591867E-2</v>
      </c>
      <c r="BY188" s="312">
        <f t="shared" si="939"/>
        <v>2.9768602732837823E-2</v>
      </c>
      <c r="BZ188" s="312">
        <f t="shared" si="939"/>
        <v>2.9895136997630217E-2</v>
      </c>
      <c r="CA188" s="312">
        <f t="shared" si="939"/>
        <v>3.0017043911665431E-2</v>
      </c>
      <c r="CB188" s="312">
        <f t="shared" si="939"/>
        <v>3.0139825130984371E-2</v>
      </c>
    </row>
    <row r="189" spans="1:80">
      <c r="A189" s="311" t="s">
        <v>44</v>
      </c>
      <c r="B189" s="312">
        <f>EXP(-B188*B187)</f>
        <v>0.99791430641336143</v>
      </c>
      <c r="C189" s="312">
        <f t="shared" ref="C189:AR189" si="940">EXP(-C188*C187)</f>
        <v>0.98930725859517343</v>
      </c>
      <c r="D189" s="312">
        <f t="shared" si="940"/>
        <v>0.98058221880385688</v>
      </c>
      <c r="E189" s="312">
        <f t="shared" si="940"/>
        <v>0.97200821743756716</v>
      </c>
      <c r="F189" s="312">
        <f t="shared" si="940"/>
        <v>0.96323000757809185</v>
      </c>
      <c r="G189" s="312">
        <f t="shared" si="940"/>
        <v>0.95461827656406961</v>
      </c>
      <c r="H189" s="312">
        <f t="shared" si="940"/>
        <v>0.94577268931873637</v>
      </c>
      <c r="I189" s="312">
        <f t="shared" si="940"/>
        <v>0.93707124424938515</v>
      </c>
      <c r="J189" s="312">
        <f t="shared" si="940"/>
        <v>0.92811369391126985</v>
      </c>
      <c r="K189" s="312">
        <f t="shared" si="940"/>
        <v>0.91928663098596664</v>
      </c>
      <c r="L189" s="312">
        <f t="shared" si="940"/>
        <v>0.91023783696651839</v>
      </c>
      <c r="M189" s="312">
        <f t="shared" si="940"/>
        <v>0.90126322208072707</v>
      </c>
      <c r="N189" s="312">
        <f t="shared" si="940"/>
        <v>0.89200640419776622</v>
      </c>
      <c r="O189" s="312">
        <f t="shared" si="940"/>
        <v>0.88287276478426491</v>
      </c>
      <c r="P189" s="312">
        <f t="shared" si="940"/>
        <v>0.87345138329108507</v>
      </c>
      <c r="Q189" s="312">
        <f t="shared" si="940"/>
        <v>0.86415697461779017</v>
      </c>
      <c r="R189" s="312">
        <f t="shared" si="940"/>
        <v>0.85457333909969935</v>
      </c>
      <c r="S189" s="312">
        <f t="shared" si="940"/>
        <v>0.84512401562868855</v>
      </c>
      <c r="T189" s="312">
        <f t="shared" si="940"/>
        <v>0.83544109204891148</v>
      </c>
      <c r="U189" s="312">
        <f t="shared" si="940"/>
        <v>0.82584914302444601</v>
      </c>
      <c r="V189" s="312">
        <f t="shared" si="940"/>
        <v>0.81597464021942656</v>
      </c>
      <c r="W189" s="312">
        <f t="shared" si="940"/>
        <v>0.80625625288226899</v>
      </c>
      <c r="X189" s="312">
        <f t="shared" si="940"/>
        <v>0.79626237804508226</v>
      </c>
      <c r="Y189" s="312">
        <f t="shared" si="940"/>
        <v>0.78643767221132144</v>
      </c>
      <c r="Z189" s="312">
        <f t="shared" si="940"/>
        <v>0.77634638876579443</v>
      </c>
      <c r="AA189" s="312">
        <f t="shared" si="940"/>
        <v>0.76643796706624656</v>
      </c>
      <c r="AB189" s="312">
        <f t="shared" si="940"/>
        <v>0.756329235596783</v>
      </c>
      <c r="AC189" s="312">
        <f t="shared" si="940"/>
        <v>0.74636142466443522</v>
      </c>
      <c r="AD189" s="312">
        <f t="shared" si="940"/>
        <v>0.736148736526551</v>
      </c>
      <c r="AE189" s="312">
        <f t="shared" si="940"/>
        <v>0.72614636711897274</v>
      </c>
      <c r="AF189" s="312">
        <f t="shared" si="940"/>
        <v>0.71591125385786414</v>
      </c>
      <c r="AG189" s="312">
        <f t="shared" si="940"/>
        <v>0.70589955845012387</v>
      </c>
      <c r="AH189" s="312">
        <f t="shared" si="940"/>
        <v>0.69566771475607325</v>
      </c>
      <c r="AI189" s="312">
        <f t="shared" si="940"/>
        <v>0.68567160304468922</v>
      </c>
      <c r="AJ189" s="312">
        <f t="shared" si="940"/>
        <v>0.67552416821374195</v>
      </c>
      <c r="AK189" s="312">
        <f t="shared" si="940"/>
        <v>0.66556765941989671</v>
      </c>
      <c r="AL189" s="312">
        <f t="shared" si="940"/>
        <v>0.65541663621813495</v>
      </c>
      <c r="AM189" s="312">
        <f t="shared" si="940"/>
        <v>0.64552289038964639</v>
      </c>
      <c r="AN189" s="312">
        <f t="shared" si="940"/>
        <v>0.63544734114181667</v>
      </c>
      <c r="AO189" s="312">
        <f t="shared" si="940"/>
        <v>0.62563810322402669</v>
      </c>
      <c r="AP189" s="312">
        <f t="shared" si="940"/>
        <v>0.61565950186001772</v>
      </c>
      <c r="AQ189" s="312">
        <f t="shared" si="940"/>
        <v>0.60595499228558303</v>
      </c>
      <c r="AR189" s="312">
        <f t="shared" si="940"/>
        <v>0.59614719164528696</v>
      </c>
      <c r="AS189" s="312">
        <f>EXP(-AS188*AS187)</f>
        <v>0.58656561314396949</v>
      </c>
      <c r="AT189" s="312">
        <f t="shared" ref="AT189:CA189" si="941">EXP(-AT188*AT187)</f>
        <v>0.57683830686680782</v>
      </c>
      <c r="AU189" s="312">
        <f t="shared" si="941"/>
        <v>0.56739682465877894</v>
      </c>
      <c r="AV189" s="312">
        <f t="shared" si="941"/>
        <v>0.55782070151220431</v>
      </c>
      <c r="AW189" s="312">
        <f t="shared" si="941"/>
        <v>0.54853440471685533</v>
      </c>
      <c r="AX189" s="312">
        <f t="shared" si="941"/>
        <v>0.53912399303334091</v>
      </c>
      <c r="AY189" s="312">
        <f t="shared" si="941"/>
        <v>0.53000621527384872</v>
      </c>
      <c r="AZ189" s="312">
        <f t="shared" si="941"/>
        <v>0.52082473081030556</v>
      </c>
      <c r="BA189" s="312">
        <f t="shared" si="941"/>
        <v>0.51188656737864158</v>
      </c>
      <c r="BB189" s="312">
        <f t="shared" si="941"/>
        <v>0.50284354146092802</v>
      </c>
      <c r="BC189" s="312">
        <f t="shared" si="941"/>
        <v>0.49409542351815</v>
      </c>
      <c r="BD189" s="312">
        <f t="shared" si="941"/>
        <v>0.48525118063541095</v>
      </c>
      <c r="BE189" s="312">
        <f t="shared" si="941"/>
        <v>0.47670145810294201</v>
      </c>
      <c r="BF189" s="312">
        <f t="shared" si="941"/>
        <v>0.46806375188897731</v>
      </c>
      <c r="BG189" s="312">
        <f t="shared" si="941"/>
        <v>0.45971926387535655</v>
      </c>
      <c r="BH189" s="312">
        <f t="shared" si="941"/>
        <v>0.45134034317745753</v>
      </c>
      <c r="BI189" s="312">
        <f t="shared" si="941"/>
        <v>0.4432059210587449</v>
      </c>
      <c r="BJ189" s="312">
        <f t="shared" si="941"/>
        <v>0.43499804944418757</v>
      </c>
      <c r="BK189" s="312">
        <f t="shared" si="941"/>
        <v>0.42707838172460116</v>
      </c>
      <c r="BL189" s="312">
        <f t="shared" si="941"/>
        <v>0.41909171941435414</v>
      </c>
      <c r="BM189" s="312">
        <f t="shared" si="941"/>
        <v>0.41138970320222656</v>
      </c>
      <c r="BN189" s="312">
        <f t="shared" si="941"/>
        <v>0.4036266321051048</v>
      </c>
      <c r="BO189" s="312">
        <f t="shared" si="941"/>
        <v>0.3961440552092883</v>
      </c>
      <c r="BP189" s="312">
        <f t="shared" si="941"/>
        <v>0.38864698321707103</v>
      </c>
      <c r="BQ189" s="312">
        <f t="shared" si="941"/>
        <v>0.38138401488856305</v>
      </c>
      <c r="BR189" s="312">
        <f t="shared" si="941"/>
        <v>0.37407042463401752</v>
      </c>
      <c r="BS189" s="312">
        <f t="shared" si="941"/>
        <v>0.36702755299151435</v>
      </c>
      <c r="BT189" s="312">
        <f t="shared" si="941"/>
        <v>0.35993862545657307</v>
      </c>
      <c r="BU189" s="312">
        <f t="shared" si="941"/>
        <v>0.353114917078515</v>
      </c>
      <c r="BV189" s="312">
        <f t="shared" si="941"/>
        <v>0.34624931908631784</v>
      </c>
      <c r="BW189" s="312">
        <f t="shared" si="941"/>
        <v>0.33964312189017309</v>
      </c>
      <c r="BX189" s="312">
        <f t="shared" si="941"/>
        <v>0.33303503384707789</v>
      </c>
      <c r="BY189" s="312">
        <f t="shared" si="941"/>
        <v>0.32664346959891011</v>
      </c>
      <c r="BZ189" s="312">
        <f t="shared" si="941"/>
        <v>0.32021725442632976</v>
      </c>
      <c r="CA189" s="312">
        <f t="shared" si="941"/>
        <v>0.3140380909721745</v>
      </c>
      <c r="CB189" s="312">
        <f>EXP(-CB188*CB187)</f>
        <v>0.30782741393960439</v>
      </c>
    </row>
    <row r="191" spans="1:80">
      <c r="A191" s="311" t="s">
        <v>40</v>
      </c>
      <c r="B191" s="312">
        <f t="shared" ref="B191:AG191" si="942">DAYS360($B$3,B72)</f>
        <v>43</v>
      </c>
      <c r="C191" s="312">
        <f t="shared" si="942"/>
        <v>221</v>
      </c>
      <c r="D191" s="312">
        <f t="shared" si="942"/>
        <v>402</v>
      </c>
      <c r="E191" s="312">
        <f t="shared" si="942"/>
        <v>580</v>
      </c>
      <c r="F191" s="312">
        <f t="shared" si="942"/>
        <v>762</v>
      </c>
      <c r="G191" s="312">
        <f t="shared" si="942"/>
        <v>940</v>
      </c>
      <c r="H191" s="312">
        <f t="shared" si="942"/>
        <v>1122</v>
      </c>
      <c r="I191" s="312">
        <f t="shared" si="942"/>
        <v>1300</v>
      </c>
      <c r="J191" s="312">
        <f t="shared" si="942"/>
        <v>1482</v>
      </c>
      <c r="K191" s="312">
        <f t="shared" si="942"/>
        <v>1660</v>
      </c>
      <c r="L191" s="312">
        <f t="shared" si="942"/>
        <v>1841</v>
      </c>
      <c r="M191" s="312">
        <f t="shared" si="942"/>
        <v>2019</v>
      </c>
      <c r="N191" s="312">
        <f t="shared" si="942"/>
        <v>2201</v>
      </c>
      <c r="O191" s="312">
        <f t="shared" si="942"/>
        <v>2379</v>
      </c>
      <c r="P191" s="312">
        <f t="shared" si="942"/>
        <v>2561</v>
      </c>
      <c r="Q191" s="312">
        <f t="shared" si="942"/>
        <v>2739</v>
      </c>
      <c r="R191" s="312">
        <f t="shared" si="942"/>
        <v>2921</v>
      </c>
      <c r="S191" s="312">
        <f t="shared" si="942"/>
        <v>3099</v>
      </c>
      <c r="T191" s="312">
        <f t="shared" si="942"/>
        <v>3280</v>
      </c>
      <c r="U191" s="312">
        <f t="shared" si="942"/>
        <v>3458</v>
      </c>
      <c r="V191" s="312">
        <f t="shared" si="942"/>
        <v>3640</v>
      </c>
      <c r="W191" s="312">
        <f t="shared" si="942"/>
        <v>3818</v>
      </c>
      <c r="X191" s="312">
        <f t="shared" si="942"/>
        <v>4000</v>
      </c>
      <c r="Y191" s="312">
        <f t="shared" si="942"/>
        <v>4178</v>
      </c>
      <c r="Z191" s="312">
        <f t="shared" si="942"/>
        <v>4360</v>
      </c>
      <c r="AA191" s="312">
        <f t="shared" si="942"/>
        <v>4538</v>
      </c>
      <c r="AB191" s="312">
        <f t="shared" si="942"/>
        <v>4719</v>
      </c>
      <c r="AC191" s="312">
        <f t="shared" si="942"/>
        <v>4897</v>
      </c>
      <c r="AD191" s="312">
        <f t="shared" si="942"/>
        <v>5079</v>
      </c>
      <c r="AE191" s="312">
        <f t="shared" si="942"/>
        <v>5257</v>
      </c>
      <c r="AF191" s="312">
        <f t="shared" si="942"/>
        <v>5439</v>
      </c>
      <c r="AG191" s="312">
        <f t="shared" si="942"/>
        <v>5617</v>
      </c>
      <c r="AH191" s="312">
        <f t="shared" ref="AH191:BM191" si="943">DAYS360($B$3,AH72)</f>
        <v>5799</v>
      </c>
      <c r="AI191" s="312">
        <f t="shared" si="943"/>
        <v>5977</v>
      </c>
      <c r="AJ191" s="312">
        <f t="shared" si="943"/>
        <v>6158</v>
      </c>
      <c r="AK191" s="312">
        <f t="shared" si="943"/>
        <v>6336</v>
      </c>
      <c r="AL191" s="312">
        <f t="shared" si="943"/>
        <v>6518</v>
      </c>
      <c r="AM191" s="312">
        <f t="shared" si="943"/>
        <v>6696</v>
      </c>
      <c r="AN191" s="312">
        <f t="shared" si="943"/>
        <v>6878</v>
      </c>
      <c r="AO191" s="312">
        <f t="shared" si="943"/>
        <v>7056</v>
      </c>
      <c r="AP191" s="312">
        <f t="shared" si="943"/>
        <v>7238</v>
      </c>
      <c r="AQ191" s="312">
        <f t="shared" si="943"/>
        <v>7416</v>
      </c>
      <c r="AR191" s="312">
        <f t="shared" si="943"/>
        <v>7597</v>
      </c>
      <c r="AS191" s="312">
        <f t="shared" si="943"/>
        <v>7775</v>
      </c>
      <c r="AT191" s="312">
        <f t="shared" si="943"/>
        <v>7957</v>
      </c>
      <c r="AU191" s="312">
        <f t="shared" si="943"/>
        <v>8135</v>
      </c>
      <c r="AV191" s="312">
        <f t="shared" si="943"/>
        <v>8317</v>
      </c>
      <c r="AW191" s="312">
        <f t="shared" si="943"/>
        <v>8495</v>
      </c>
      <c r="AX191" s="312">
        <f t="shared" si="943"/>
        <v>8677</v>
      </c>
      <c r="AY191" s="312">
        <f t="shared" si="943"/>
        <v>8855</v>
      </c>
      <c r="AZ191" s="312">
        <f t="shared" si="943"/>
        <v>9036</v>
      </c>
      <c r="BA191" s="312">
        <f t="shared" si="943"/>
        <v>9214</v>
      </c>
      <c r="BB191" s="312">
        <f t="shared" si="943"/>
        <v>9396</v>
      </c>
      <c r="BC191" s="312">
        <f t="shared" si="943"/>
        <v>9574</v>
      </c>
      <c r="BD191" s="312">
        <f t="shared" si="943"/>
        <v>9756</v>
      </c>
      <c r="BE191" s="312">
        <f t="shared" si="943"/>
        <v>9934</v>
      </c>
      <c r="BF191" s="312">
        <f t="shared" si="943"/>
        <v>10116</v>
      </c>
      <c r="BG191" s="312">
        <f t="shared" si="943"/>
        <v>10294</v>
      </c>
      <c r="BH191" s="312">
        <f t="shared" si="943"/>
        <v>10475</v>
      </c>
      <c r="BI191" s="312">
        <f t="shared" si="943"/>
        <v>10653</v>
      </c>
      <c r="BJ191" s="312">
        <f t="shared" si="943"/>
        <v>10835</v>
      </c>
      <c r="BK191" s="312">
        <f t="shared" si="943"/>
        <v>11013</v>
      </c>
      <c r="BL191" s="312">
        <f t="shared" si="943"/>
        <v>11195</v>
      </c>
      <c r="BM191" s="312">
        <f t="shared" si="943"/>
        <v>11373</v>
      </c>
      <c r="BN191" s="312">
        <f t="shared" ref="BN191:CB191" si="944">DAYS360($B$3,BN72)</f>
        <v>11555</v>
      </c>
      <c r="BO191" s="312">
        <f t="shared" si="944"/>
        <v>11733</v>
      </c>
      <c r="BP191" s="312">
        <f t="shared" si="944"/>
        <v>11914</v>
      </c>
      <c r="BQ191" s="312">
        <f t="shared" si="944"/>
        <v>12092</v>
      </c>
      <c r="BR191" s="312">
        <f t="shared" si="944"/>
        <v>12274</v>
      </c>
      <c r="BS191" s="312">
        <f t="shared" si="944"/>
        <v>12452</v>
      </c>
      <c r="BT191" s="312">
        <f t="shared" si="944"/>
        <v>12634</v>
      </c>
      <c r="BU191" s="312">
        <f t="shared" si="944"/>
        <v>12812</v>
      </c>
      <c r="BV191" s="312">
        <f t="shared" si="944"/>
        <v>12994</v>
      </c>
      <c r="BW191" s="312">
        <f t="shared" si="944"/>
        <v>13172</v>
      </c>
      <c r="BX191" s="312">
        <f t="shared" si="944"/>
        <v>13353</v>
      </c>
      <c r="BY191" s="312">
        <f t="shared" si="944"/>
        <v>13531</v>
      </c>
      <c r="BZ191" s="312">
        <f t="shared" si="944"/>
        <v>13713</v>
      </c>
      <c r="CA191" s="312">
        <f t="shared" si="944"/>
        <v>13891</v>
      </c>
      <c r="CB191" s="312">
        <f t="shared" si="944"/>
        <v>14073</v>
      </c>
    </row>
    <row r="192" spans="1:80">
      <c r="A192" s="311" t="s">
        <v>41</v>
      </c>
      <c r="B192" s="312">
        <f>B191/360</f>
        <v>0.11944444444444445</v>
      </c>
      <c r="C192" s="312">
        <f t="shared" ref="C192:BN192" si="945">C191/360</f>
        <v>0.61388888888888893</v>
      </c>
      <c r="D192" s="312">
        <f t="shared" si="945"/>
        <v>1.1166666666666667</v>
      </c>
      <c r="E192" s="312">
        <f t="shared" si="945"/>
        <v>1.6111111111111112</v>
      </c>
      <c r="F192" s="312">
        <f t="shared" si="945"/>
        <v>2.1166666666666667</v>
      </c>
      <c r="G192" s="312">
        <f t="shared" si="945"/>
        <v>2.6111111111111112</v>
      </c>
      <c r="H192" s="312">
        <f t="shared" si="945"/>
        <v>3.1166666666666667</v>
      </c>
      <c r="I192" s="312">
        <f t="shared" si="945"/>
        <v>3.6111111111111112</v>
      </c>
      <c r="J192" s="312">
        <f t="shared" si="945"/>
        <v>4.1166666666666663</v>
      </c>
      <c r="K192" s="312">
        <f t="shared" si="945"/>
        <v>4.6111111111111107</v>
      </c>
      <c r="L192" s="312">
        <f t="shared" si="945"/>
        <v>5.1138888888888889</v>
      </c>
      <c r="M192" s="312">
        <f t="shared" si="945"/>
        <v>5.6083333333333334</v>
      </c>
      <c r="N192" s="312">
        <f t="shared" si="945"/>
        <v>6.1138888888888889</v>
      </c>
      <c r="O192" s="312">
        <f t="shared" si="945"/>
        <v>6.6083333333333334</v>
      </c>
      <c r="P192" s="312">
        <f t="shared" si="945"/>
        <v>7.1138888888888889</v>
      </c>
      <c r="Q192" s="312">
        <f t="shared" si="945"/>
        <v>7.6083333333333334</v>
      </c>
      <c r="R192" s="312">
        <f t="shared" si="945"/>
        <v>8.1138888888888889</v>
      </c>
      <c r="S192" s="312">
        <f t="shared" si="945"/>
        <v>8.6083333333333325</v>
      </c>
      <c r="T192" s="312">
        <f t="shared" si="945"/>
        <v>9.1111111111111107</v>
      </c>
      <c r="U192" s="312">
        <f t="shared" si="945"/>
        <v>9.6055555555555561</v>
      </c>
      <c r="V192" s="312">
        <f t="shared" si="945"/>
        <v>10.111111111111111</v>
      </c>
      <c r="W192" s="312">
        <f t="shared" si="945"/>
        <v>10.605555555555556</v>
      </c>
      <c r="X192" s="312">
        <f t="shared" si="945"/>
        <v>11.111111111111111</v>
      </c>
      <c r="Y192" s="312">
        <f t="shared" si="945"/>
        <v>11.605555555555556</v>
      </c>
      <c r="Z192" s="312">
        <f t="shared" si="945"/>
        <v>12.111111111111111</v>
      </c>
      <c r="AA192" s="312">
        <f t="shared" si="945"/>
        <v>12.605555555555556</v>
      </c>
      <c r="AB192" s="312">
        <f t="shared" si="945"/>
        <v>13.108333333333333</v>
      </c>
      <c r="AC192" s="312">
        <f t="shared" si="945"/>
        <v>13.602777777777778</v>
      </c>
      <c r="AD192" s="312">
        <f t="shared" si="945"/>
        <v>14.108333333333333</v>
      </c>
      <c r="AE192" s="312">
        <f t="shared" si="945"/>
        <v>14.602777777777778</v>
      </c>
      <c r="AF192" s="312">
        <f t="shared" si="945"/>
        <v>15.108333333333333</v>
      </c>
      <c r="AG192" s="312">
        <f t="shared" si="945"/>
        <v>15.602777777777778</v>
      </c>
      <c r="AH192" s="312">
        <f t="shared" si="945"/>
        <v>16.108333333333334</v>
      </c>
      <c r="AI192" s="312">
        <f t="shared" si="945"/>
        <v>16.602777777777778</v>
      </c>
      <c r="AJ192" s="312">
        <f t="shared" si="945"/>
        <v>17.105555555555554</v>
      </c>
      <c r="AK192" s="312">
        <f t="shared" si="945"/>
        <v>17.600000000000001</v>
      </c>
      <c r="AL192" s="312">
        <f t="shared" si="945"/>
        <v>18.105555555555554</v>
      </c>
      <c r="AM192" s="312">
        <f t="shared" si="945"/>
        <v>18.600000000000001</v>
      </c>
      <c r="AN192" s="312">
        <f t="shared" si="945"/>
        <v>19.105555555555554</v>
      </c>
      <c r="AO192" s="312">
        <f t="shared" si="945"/>
        <v>19.600000000000001</v>
      </c>
      <c r="AP192" s="312">
        <f t="shared" si="945"/>
        <v>20.105555555555554</v>
      </c>
      <c r="AQ192" s="312">
        <f t="shared" si="945"/>
        <v>20.6</v>
      </c>
      <c r="AR192" s="312">
        <f t="shared" si="945"/>
        <v>21.102777777777778</v>
      </c>
      <c r="AS192" s="312">
        <f t="shared" si="945"/>
        <v>21.597222222222221</v>
      </c>
      <c r="AT192" s="312">
        <f t="shared" si="945"/>
        <v>22.102777777777778</v>
      </c>
      <c r="AU192" s="312">
        <f t="shared" si="945"/>
        <v>22.597222222222221</v>
      </c>
      <c r="AV192" s="312">
        <f t="shared" si="945"/>
        <v>23.102777777777778</v>
      </c>
      <c r="AW192" s="312">
        <f t="shared" si="945"/>
        <v>23.597222222222221</v>
      </c>
      <c r="AX192" s="312">
        <f t="shared" si="945"/>
        <v>24.102777777777778</v>
      </c>
      <c r="AY192" s="312">
        <f t="shared" si="945"/>
        <v>24.597222222222221</v>
      </c>
      <c r="AZ192" s="312">
        <f t="shared" si="945"/>
        <v>25.1</v>
      </c>
      <c r="BA192" s="312">
        <f t="shared" si="945"/>
        <v>25.594444444444445</v>
      </c>
      <c r="BB192" s="312">
        <f t="shared" si="945"/>
        <v>26.1</v>
      </c>
      <c r="BC192" s="312">
        <f t="shared" si="945"/>
        <v>26.594444444444445</v>
      </c>
      <c r="BD192" s="312">
        <f t="shared" si="945"/>
        <v>27.1</v>
      </c>
      <c r="BE192" s="312">
        <f t="shared" si="945"/>
        <v>27.594444444444445</v>
      </c>
      <c r="BF192" s="312">
        <f t="shared" si="945"/>
        <v>28.1</v>
      </c>
      <c r="BG192" s="312">
        <f t="shared" si="945"/>
        <v>28.594444444444445</v>
      </c>
      <c r="BH192" s="312">
        <f t="shared" si="945"/>
        <v>29.097222222222221</v>
      </c>
      <c r="BI192" s="312">
        <f t="shared" si="945"/>
        <v>29.591666666666665</v>
      </c>
      <c r="BJ192" s="312">
        <f t="shared" si="945"/>
        <v>30.097222222222221</v>
      </c>
      <c r="BK192" s="312">
        <f t="shared" si="945"/>
        <v>30.591666666666665</v>
      </c>
      <c r="BL192" s="312">
        <f t="shared" si="945"/>
        <v>31.097222222222221</v>
      </c>
      <c r="BM192" s="312">
        <f t="shared" si="945"/>
        <v>31.591666666666665</v>
      </c>
      <c r="BN192" s="312">
        <f t="shared" si="945"/>
        <v>32.097222222222221</v>
      </c>
      <c r="BO192" s="312">
        <f t="shared" ref="BO192:CB192" si="946">BO191/360</f>
        <v>32.591666666666669</v>
      </c>
      <c r="BP192" s="312">
        <f t="shared" si="946"/>
        <v>33.094444444444441</v>
      </c>
      <c r="BQ192" s="312">
        <f t="shared" si="946"/>
        <v>33.588888888888889</v>
      </c>
      <c r="BR192" s="312">
        <f t="shared" si="946"/>
        <v>34.094444444444441</v>
      </c>
      <c r="BS192" s="312">
        <f t="shared" si="946"/>
        <v>34.588888888888889</v>
      </c>
      <c r="BT192" s="312">
        <f t="shared" si="946"/>
        <v>35.094444444444441</v>
      </c>
      <c r="BU192" s="312">
        <f t="shared" si="946"/>
        <v>35.588888888888889</v>
      </c>
      <c r="BV192" s="312">
        <f t="shared" si="946"/>
        <v>36.094444444444441</v>
      </c>
      <c r="BW192" s="312">
        <f t="shared" si="946"/>
        <v>36.588888888888889</v>
      </c>
      <c r="BX192" s="312">
        <f t="shared" si="946"/>
        <v>37.091666666666669</v>
      </c>
      <c r="BY192" s="312">
        <f t="shared" si="946"/>
        <v>37.586111111111109</v>
      </c>
      <c r="BZ192" s="312">
        <f t="shared" si="946"/>
        <v>38.091666666666669</v>
      </c>
      <c r="CA192" s="312">
        <f t="shared" si="946"/>
        <v>38.586111111111109</v>
      </c>
      <c r="CB192" s="312">
        <f t="shared" si="946"/>
        <v>39.091666666666669</v>
      </c>
    </row>
    <row r="193" spans="1:80">
      <c r="A193" s="311" t="s">
        <v>43</v>
      </c>
      <c r="B193" s="312">
        <f>IF(B191&lt;0,0,$B$5+$B$6*((1-EXP(-B192/$B$9))/(B192/$B$9))+$B$7*((1-EXP(-B192/$B$9))/(B192/$B$9)-EXP(-B192/$B$9))+$B$8*((1-EXP(-B192/$B$10))/(B192/$B$10)-EXP(-B192/$B$10)))</f>
        <v>1.7479855880234312E-2</v>
      </c>
      <c r="C193" s="312">
        <f t="shared" ref="C193:BN193" si="947">IF(C191&lt;0,0,$B$5+$B$6*((1-EXP(-C192/$B$9))/(C192/$B$9))+$B$7*((1-EXP(-C192/$B$9))/(C192/$B$9)-EXP(-C192/$B$9))+$B$8*((1-EXP(-C192/$B$10))/(C192/$B$10)-EXP(-C192/$B$10)))</f>
        <v>1.7511832796269649E-2</v>
      </c>
      <c r="D193" s="312">
        <f t="shared" si="947"/>
        <v>1.7560104094283838E-2</v>
      </c>
      <c r="E193" s="312">
        <f t="shared" si="947"/>
        <v>1.7622012664277653E-2</v>
      </c>
      <c r="F193" s="312">
        <f t="shared" si="947"/>
        <v>1.7699079149213606E-2</v>
      </c>
      <c r="G193" s="312">
        <f t="shared" si="947"/>
        <v>1.7786959970177624E-2</v>
      </c>
      <c r="H193" s="312">
        <f t="shared" si="947"/>
        <v>1.7888671102463352E-2</v>
      </c>
      <c r="I193" s="312">
        <f t="shared" si="947"/>
        <v>1.7998882675334144E-2</v>
      </c>
      <c r="J193" s="312">
        <f t="shared" si="947"/>
        <v>1.8121709808022468E-2</v>
      </c>
      <c r="K193" s="312">
        <f t="shared" si="947"/>
        <v>1.8250983069438537E-2</v>
      </c>
      <c r="L193" s="312">
        <f t="shared" si="947"/>
        <v>1.8390965537032289E-2</v>
      </c>
      <c r="M193" s="312">
        <f t="shared" si="947"/>
        <v>1.8536330401057566E-2</v>
      </c>
      <c r="N193" s="312">
        <f t="shared" si="947"/>
        <v>1.8692189032365886E-2</v>
      </c>
      <c r="O193" s="312">
        <f t="shared" si="947"/>
        <v>1.8851074350991981E-2</v>
      </c>
      <c r="P193" s="312">
        <f t="shared" si="947"/>
        <v>1.9019527917276735E-2</v>
      </c>
      <c r="Q193" s="312">
        <f t="shared" si="947"/>
        <v>1.9189596025648181E-2</v>
      </c>
      <c r="R193" s="312">
        <f t="shared" si="947"/>
        <v>1.9368388616787857E-2</v>
      </c>
      <c r="S193" s="312">
        <f t="shared" si="947"/>
        <v>1.95475583739943E-2</v>
      </c>
      <c r="T193" s="312">
        <f t="shared" si="947"/>
        <v>1.9733645816066014E-2</v>
      </c>
      <c r="U193" s="312">
        <f t="shared" si="947"/>
        <v>1.9920051120210558E-2</v>
      </c>
      <c r="V193" s="312">
        <f t="shared" si="947"/>
        <v>2.0113714549130801E-2</v>
      </c>
      <c r="W193" s="312">
        <f t="shared" si="947"/>
        <v>2.0305740162430919E-2</v>
      </c>
      <c r="X193" s="312">
        <f t="shared" si="947"/>
        <v>2.0504387411195202E-2</v>
      </c>
      <c r="Y193" s="312">
        <f t="shared" si="947"/>
        <v>2.0700586499582396E-2</v>
      </c>
      <c r="Z193" s="312">
        <f t="shared" si="947"/>
        <v>2.090282871633925E-2</v>
      </c>
      <c r="AA193" s="312">
        <f t="shared" si="947"/>
        <v>2.110192707403874E-2</v>
      </c>
      <c r="AB193" s="312">
        <f t="shared" si="947"/>
        <v>2.1305416461488647E-2</v>
      </c>
      <c r="AC193" s="312">
        <f t="shared" si="947"/>
        <v>2.1506292127783211E-2</v>
      </c>
      <c r="AD193" s="312">
        <f t="shared" si="947"/>
        <v>2.1712209781331093E-2</v>
      </c>
      <c r="AE193" s="312">
        <f t="shared" si="947"/>
        <v>2.1913890750464404E-2</v>
      </c>
      <c r="AF193" s="312">
        <f t="shared" si="947"/>
        <v>2.2120180926384514E-2</v>
      </c>
      <c r="AG193" s="312">
        <f t="shared" si="947"/>
        <v>2.2321815067461892E-2</v>
      </c>
      <c r="AH193" s="312">
        <f t="shared" si="947"/>
        <v>2.2527666051342765E-2</v>
      </c>
      <c r="AI193" s="312">
        <f t="shared" si="947"/>
        <v>2.2728514691301216E-2</v>
      </c>
      <c r="AJ193" s="312">
        <f t="shared" si="947"/>
        <v>2.2932101953030359E-2</v>
      </c>
      <c r="AK193" s="312">
        <f t="shared" si="947"/>
        <v>2.3131532912928243E-2</v>
      </c>
      <c r="AL193" s="312">
        <f t="shared" si="947"/>
        <v>2.3334504066343298E-2</v>
      </c>
      <c r="AM193" s="312">
        <f t="shared" si="947"/>
        <v>2.3531968163307104E-2</v>
      </c>
      <c r="AN193" s="312">
        <f t="shared" si="947"/>
        <v>2.37326809240056E-2</v>
      </c>
      <c r="AO193" s="312">
        <f t="shared" si="947"/>
        <v>2.3927713516211757E-2</v>
      </c>
      <c r="AP193" s="312">
        <f t="shared" si="947"/>
        <v>2.4125731002824835E-2</v>
      </c>
      <c r="AQ193" s="312">
        <f t="shared" si="947"/>
        <v>2.4317940088679157E-2</v>
      </c>
      <c r="AR193" s="312">
        <f t="shared" si="947"/>
        <v>2.4511828822115667E-2</v>
      </c>
      <c r="AS193" s="312">
        <f t="shared" si="947"/>
        <v>2.4700896221214519E-2</v>
      </c>
      <c r="AT193" s="312">
        <f t="shared" si="947"/>
        <v>2.4892494871509241E-2</v>
      </c>
      <c r="AU193" s="312">
        <f t="shared" si="947"/>
        <v>2.5078142231429346E-2</v>
      </c>
      <c r="AV193" s="312">
        <f t="shared" si="947"/>
        <v>2.5266125887795587E-2</v>
      </c>
      <c r="AW193" s="312">
        <f t="shared" si="947"/>
        <v>2.5448134126964173E-2</v>
      </c>
      <c r="AX193" s="312">
        <f t="shared" si="947"/>
        <v>2.5632302529256523E-2</v>
      </c>
      <c r="AY193" s="312">
        <f t="shared" si="947"/>
        <v>2.5810497617872186E-2</v>
      </c>
      <c r="AZ193" s="312">
        <f t="shared" si="947"/>
        <v>2.5989709283677609E-2</v>
      </c>
      <c r="BA193" s="312">
        <f t="shared" si="947"/>
        <v>2.6163968045103569E-2</v>
      </c>
      <c r="BB193" s="312">
        <f t="shared" si="947"/>
        <v>2.6340084599319025E-2</v>
      </c>
      <c r="BC193" s="312">
        <f t="shared" si="947"/>
        <v>2.6510296799185651E-2</v>
      </c>
      <c r="BD193" s="312">
        <f t="shared" si="947"/>
        <v>2.6682237043922807E-2</v>
      </c>
      <c r="BE193" s="312">
        <f t="shared" si="947"/>
        <v>2.6848333892870585E-2</v>
      </c>
      <c r="BF193" s="312">
        <f t="shared" si="947"/>
        <v>2.7016041649710609E-2</v>
      </c>
      <c r="BG193" s="312">
        <f t="shared" si="947"/>
        <v>2.7177981136803836E-2</v>
      </c>
      <c r="BH193" s="312">
        <f t="shared" si="947"/>
        <v>2.734053363618616E-2</v>
      </c>
      <c r="BI193" s="312">
        <f t="shared" si="947"/>
        <v>2.7498308662868509E-2</v>
      </c>
      <c r="BJ193" s="312">
        <f t="shared" si="947"/>
        <v>2.765749363159653E-2</v>
      </c>
      <c r="BK193" s="312">
        <f t="shared" si="947"/>
        <v>2.7811094050932045E-2</v>
      </c>
      <c r="BL193" s="312">
        <f t="shared" si="947"/>
        <v>2.7966018188066877E-2</v>
      </c>
      <c r="BM193" s="312">
        <f t="shared" si="947"/>
        <v>2.8115462856881185E-2</v>
      </c>
      <c r="BN193" s="312">
        <f t="shared" si="947"/>
        <v>2.8266153376545394E-2</v>
      </c>
      <c r="BO193" s="312">
        <f t="shared" ref="BO193:CB193" si="948">IF(BO191&lt;0,0,$B$5+$B$6*((1-EXP(-BO192/$B$9))/(BO192/$B$9))+$B$7*((1-EXP(-BO192/$B$9))/(BO192/$B$9)-EXP(-BO192/$B$9))+$B$8*((1-EXP(-BO192/$B$10))/(BO192/$B$10)-EXP(-BO192/$B$10)))</f>
        <v>2.8411476085819259E-2</v>
      </c>
      <c r="BP193" s="312">
        <f t="shared" si="948"/>
        <v>2.8557175121418837E-2</v>
      </c>
      <c r="BQ193" s="312">
        <f t="shared" si="948"/>
        <v>2.8698433626493575E-2</v>
      </c>
      <c r="BR193" s="312">
        <f t="shared" si="948"/>
        <v>2.8840804247033142E-2</v>
      </c>
      <c r="BS193" s="312">
        <f t="shared" si="948"/>
        <v>2.8978044385706503E-2</v>
      </c>
      <c r="BT193" s="312">
        <f t="shared" si="948"/>
        <v>2.9116339155235843E-2</v>
      </c>
      <c r="BU193" s="312">
        <f t="shared" si="948"/>
        <v>2.9249627155964936E-2</v>
      </c>
      <c r="BV193" s="312">
        <f t="shared" si="948"/>
        <v>2.9383917784152974E-2</v>
      </c>
      <c r="BW193" s="312">
        <f t="shared" si="948"/>
        <v>2.951332732213055E-2</v>
      </c>
      <c r="BX193" s="312">
        <f t="shared" si="948"/>
        <v>2.9642981472591867E-2</v>
      </c>
      <c r="BY193" s="312">
        <f t="shared" si="948"/>
        <v>2.9768602732837823E-2</v>
      </c>
      <c r="BZ193" s="312">
        <f t="shared" si="948"/>
        <v>2.9895136997630217E-2</v>
      </c>
      <c r="CA193" s="312">
        <f t="shared" si="948"/>
        <v>3.0017043911665431E-2</v>
      </c>
      <c r="CB193" s="312">
        <f t="shared" si="948"/>
        <v>3.0139825130984371E-2</v>
      </c>
    </row>
    <row r="194" spans="1:80">
      <c r="A194" s="311" t="s">
        <v>44</v>
      </c>
      <c r="B194" s="312">
        <f>EXP(-B193*B192)</f>
        <v>0.99791430641336143</v>
      </c>
      <c r="C194" s="312">
        <f t="shared" ref="C194:AR194" si="949">EXP(-C193*C192)</f>
        <v>0.98930725859517343</v>
      </c>
      <c r="D194" s="312">
        <f t="shared" si="949"/>
        <v>0.98058221880385688</v>
      </c>
      <c r="E194" s="312">
        <f t="shared" si="949"/>
        <v>0.97200821743756716</v>
      </c>
      <c r="F194" s="312">
        <f t="shared" si="949"/>
        <v>0.96323000757809185</v>
      </c>
      <c r="G194" s="312">
        <f t="shared" si="949"/>
        <v>0.95461827656406961</v>
      </c>
      <c r="H194" s="312">
        <f t="shared" si="949"/>
        <v>0.94577268931873637</v>
      </c>
      <c r="I194" s="312">
        <f t="shared" si="949"/>
        <v>0.93707124424938515</v>
      </c>
      <c r="J194" s="312">
        <f t="shared" si="949"/>
        <v>0.92811369391126985</v>
      </c>
      <c r="K194" s="312">
        <f t="shared" si="949"/>
        <v>0.91928663098596664</v>
      </c>
      <c r="L194" s="312">
        <f t="shared" si="949"/>
        <v>0.91023783696651839</v>
      </c>
      <c r="M194" s="312">
        <f t="shared" si="949"/>
        <v>0.90126322208072707</v>
      </c>
      <c r="N194" s="312">
        <f t="shared" si="949"/>
        <v>0.89200640419776622</v>
      </c>
      <c r="O194" s="312">
        <f t="shared" si="949"/>
        <v>0.88287276478426491</v>
      </c>
      <c r="P194" s="312">
        <f t="shared" si="949"/>
        <v>0.87345138329108507</v>
      </c>
      <c r="Q194" s="312">
        <f t="shared" si="949"/>
        <v>0.86415697461779017</v>
      </c>
      <c r="R194" s="312">
        <f t="shared" si="949"/>
        <v>0.85457333909969935</v>
      </c>
      <c r="S194" s="312">
        <f t="shared" si="949"/>
        <v>0.84512401562868855</v>
      </c>
      <c r="T194" s="312">
        <f t="shared" si="949"/>
        <v>0.83544109204891148</v>
      </c>
      <c r="U194" s="312">
        <f t="shared" si="949"/>
        <v>0.82584914302444601</v>
      </c>
      <c r="V194" s="312">
        <f t="shared" si="949"/>
        <v>0.81597464021942656</v>
      </c>
      <c r="W194" s="312">
        <f t="shared" si="949"/>
        <v>0.80625625288226899</v>
      </c>
      <c r="X194" s="312">
        <f t="shared" si="949"/>
        <v>0.79626237804508226</v>
      </c>
      <c r="Y194" s="312">
        <f t="shared" si="949"/>
        <v>0.78643767221132144</v>
      </c>
      <c r="Z194" s="312">
        <f t="shared" si="949"/>
        <v>0.77634638876579443</v>
      </c>
      <c r="AA194" s="312">
        <f t="shared" si="949"/>
        <v>0.76643796706624656</v>
      </c>
      <c r="AB194" s="312">
        <f t="shared" si="949"/>
        <v>0.756329235596783</v>
      </c>
      <c r="AC194" s="312">
        <f t="shared" si="949"/>
        <v>0.74636142466443522</v>
      </c>
      <c r="AD194" s="312">
        <f t="shared" si="949"/>
        <v>0.736148736526551</v>
      </c>
      <c r="AE194" s="312">
        <f t="shared" si="949"/>
        <v>0.72614636711897274</v>
      </c>
      <c r="AF194" s="312">
        <f t="shared" si="949"/>
        <v>0.71591125385786414</v>
      </c>
      <c r="AG194" s="312">
        <f t="shared" si="949"/>
        <v>0.70589955845012387</v>
      </c>
      <c r="AH194" s="312">
        <f t="shared" si="949"/>
        <v>0.69566771475607325</v>
      </c>
      <c r="AI194" s="312">
        <f t="shared" si="949"/>
        <v>0.68567160304468922</v>
      </c>
      <c r="AJ194" s="312">
        <f t="shared" si="949"/>
        <v>0.67552416821374195</v>
      </c>
      <c r="AK194" s="312">
        <f t="shared" si="949"/>
        <v>0.66556765941989671</v>
      </c>
      <c r="AL194" s="312">
        <f t="shared" si="949"/>
        <v>0.65541663621813495</v>
      </c>
      <c r="AM194" s="312">
        <f t="shared" si="949"/>
        <v>0.64552289038964639</v>
      </c>
      <c r="AN194" s="312">
        <f t="shared" si="949"/>
        <v>0.63544734114181667</v>
      </c>
      <c r="AO194" s="312">
        <f t="shared" si="949"/>
        <v>0.62563810322402669</v>
      </c>
      <c r="AP194" s="312">
        <f t="shared" si="949"/>
        <v>0.61565950186001772</v>
      </c>
      <c r="AQ194" s="312">
        <f t="shared" si="949"/>
        <v>0.60595499228558303</v>
      </c>
      <c r="AR194" s="312">
        <f t="shared" si="949"/>
        <v>0.59614719164528696</v>
      </c>
      <c r="AS194" s="312">
        <f>EXP(-AS193*AS192)</f>
        <v>0.58656561314396949</v>
      </c>
      <c r="AT194" s="312">
        <f t="shared" ref="AT194:CA194" si="950">EXP(-AT193*AT192)</f>
        <v>0.57683830686680782</v>
      </c>
      <c r="AU194" s="312">
        <f t="shared" si="950"/>
        <v>0.56739682465877894</v>
      </c>
      <c r="AV194" s="312">
        <f t="shared" si="950"/>
        <v>0.55782070151220431</v>
      </c>
      <c r="AW194" s="312">
        <f t="shared" si="950"/>
        <v>0.54853440471685533</v>
      </c>
      <c r="AX194" s="312">
        <f t="shared" si="950"/>
        <v>0.53912399303334091</v>
      </c>
      <c r="AY194" s="312">
        <f t="shared" si="950"/>
        <v>0.53000621527384872</v>
      </c>
      <c r="AZ194" s="312">
        <f t="shared" si="950"/>
        <v>0.52082473081030556</v>
      </c>
      <c r="BA194" s="312">
        <f t="shared" si="950"/>
        <v>0.51188656737864158</v>
      </c>
      <c r="BB194" s="312">
        <f t="shared" si="950"/>
        <v>0.50284354146092802</v>
      </c>
      <c r="BC194" s="312">
        <f t="shared" si="950"/>
        <v>0.49409542351815</v>
      </c>
      <c r="BD194" s="312">
        <f t="shared" si="950"/>
        <v>0.48525118063541095</v>
      </c>
      <c r="BE194" s="312">
        <f t="shared" si="950"/>
        <v>0.47670145810294201</v>
      </c>
      <c r="BF194" s="312">
        <f t="shared" si="950"/>
        <v>0.46806375188897731</v>
      </c>
      <c r="BG194" s="312">
        <f t="shared" si="950"/>
        <v>0.45971926387535655</v>
      </c>
      <c r="BH194" s="312">
        <f t="shared" si="950"/>
        <v>0.45134034317745753</v>
      </c>
      <c r="BI194" s="312">
        <f t="shared" si="950"/>
        <v>0.4432059210587449</v>
      </c>
      <c r="BJ194" s="312">
        <f t="shared" si="950"/>
        <v>0.43499804944418757</v>
      </c>
      <c r="BK194" s="312">
        <f t="shared" si="950"/>
        <v>0.42707838172460116</v>
      </c>
      <c r="BL194" s="312">
        <f t="shared" si="950"/>
        <v>0.41909171941435414</v>
      </c>
      <c r="BM194" s="312">
        <f t="shared" si="950"/>
        <v>0.41138970320222656</v>
      </c>
      <c r="BN194" s="312">
        <f t="shared" si="950"/>
        <v>0.4036266321051048</v>
      </c>
      <c r="BO194" s="312">
        <f t="shared" si="950"/>
        <v>0.3961440552092883</v>
      </c>
      <c r="BP194" s="312">
        <f t="shared" si="950"/>
        <v>0.38864698321707103</v>
      </c>
      <c r="BQ194" s="312">
        <f t="shared" si="950"/>
        <v>0.38138401488856305</v>
      </c>
      <c r="BR194" s="312">
        <f t="shared" si="950"/>
        <v>0.37407042463401752</v>
      </c>
      <c r="BS194" s="312">
        <f t="shared" si="950"/>
        <v>0.36702755299151435</v>
      </c>
      <c r="BT194" s="312">
        <f t="shared" si="950"/>
        <v>0.35993862545657307</v>
      </c>
      <c r="BU194" s="312">
        <f t="shared" si="950"/>
        <v>0.353114917078515</v>
      </c>
      <c r="BV194" s="312">
        <f t="shared" si="950"/>
        <v>0.34624931908631784</v>
      </c>
      <c r="BW194" s="312">
        <f t="shared" si="950"/>
        <v>0.33964312189017309</v>
      </c>
      <c r="BX194" s="312">
        <f t="shared" si="950"/>
        <v>0.33303503384707789</v>
      </c>
      <c r="BY194" s="312">
        <f t="shared" si="950"/>
        <v>0.32664346959891011</v>
      </c>
      <c r="BZ194" s="312">
        <f t="shared" si="950"/>
        <v>0.32021725442632976</v>
      </c>
      <c r="CA194" s="312">
        <f t="shared" si="950"/>
        <v>0.3140380909721745</v>
      </c>
      <c r="CB194" s="312">
        <f>EXP(-CB193*CB192)</f>
        <v>0.30782741393960439</v>
      </c>
    </row>
    <row r="196" spans="1:80">
      <c r="A196" s="311" t="s">
        <v>40</v>
      </c>
      <c r="B196" s="312">
        <f t="shared" ref="B196:AG196" si="951">DAYS360($B$3,B74)</f>
        <v>133</v>
      </c>
      <c r="C196" s="312">
        <f t="shared" si="951"/>
        <v>313</v>
      </c>
      <c r="D196" s="312">
        <f t="shared" si="951"/>
        <v>492</v>
      </c>
      <c r="E196" s="312">
        <f t="shared" si="951"/>
        <v>673</v>
      </c>
      <c r="F196" s="312">
        <f t="shared" si="951"/>
        <v>852</v>
      </c>
      <c r="G196" s="312">
        <f t="shared" si="951"/>
        <v>1033</v>
      </c>
      <c r="H196" s="312">
        <f t="shared" si="951"/>
        <v>1212</v>
      </c>
      <c r="I196" s="312">
        <f t="shared" si="951"/>
        <v>1393</v>
      </c>
      <c r="J196" s="312">
        <f t="shared" si="951"/>
        <v>1572</v>
      </c>
      <c r="K196" s="312">
        <f t="shared" si="951"/>
        <v>1752</v>
      </c>
      <c r="L196" s="312">
        <f t="shared" si="951"/>
        <v>1931</v>
      </c>
      <c r="M196" s="312">
        <f t="shared" si="951"/>
        <v>2112</v>
      </c>
      <c r="N196" s="312">
        <f t="shared" si="951"/>
        <v>2291</v>
      </c>
      <c r="O196" s="312">
        <f t="shared" si="951"/>
        <v>2472</v>
      </c>
      <c r="P196" s="312">
        <f t="shared" si="951"/>
        <v>2651</v>
      </c>
      <c r="Q196" s="312">
        <f t="shared" si="951"/>
        <v>2832</v>
      </c>
      <c r="R196" s="312">
        <f t="shared" si="951"/>
        <v>3011</v>
      </c>
      <c r="S196" s="312">
        <f t="shared" si="951"/>
        <v>3191</v>
      </c>
      <c r="T196" s="312">
        <f t="shared" si="951"/>
        <v>3370</v>
      </c>
      <c r="U196" s="312">
        <f t="shared" si="951"/>
        <v>3551</v>
      </c>
      <c r="V196" s="312">
        <f t="shared" si="951"/>
        <v>3730</v>
      </c>
      <c r="W196" s="312">
        <f t="shared" si="951"/>
        <v>3911</v>
      </c>
      <c r="X196" s="312">
        <f t="shared" si="951"/>
        <v>4090</v>
      </c>
      <c r="Y196" s="312">
        <f t="shared" si="951"/>
        <v>4271</v>
      </c>
      <c r="Z196" s="312">
        <f t="shared" si="951"/>
        <v>4450</v>
      </c>
      <c r="AA196" s="312">
        <f t="shared" si="951"/>
        <v>4630</v>
      </c>
      <c r="AB196" s="312">
        <f t="shared" si="951"/>
        <v>4809</v>
      </c>
      <c r="AC196" s="312">
        <f t="shared" si="951"/>
        <v>4990</v>
      </c>
      <c r="AD196" s="312">
        <f t="shared" si="951"/>
        <v>5169</v>
      </c>
      <c r="AE196" s="312">
        <f t="shared" si="951"/>
        <v>5350</v>
      </c>
      <c r="AF196" s="312">
        <f t="shared" si="951"/>
        <v>5529</v>
      </c>
      <c r="AG196" s="312">
        <f t="shared" si="951"/>
        <v>5710</v>
      </c>
      <c r="AH196" s="312">
        <f t="shared" ref="AH196:BM196" si="952">DAYS360($B$3,AH74)</f>
        <v>5889</v>
      </c>
      <c r="AI196" s="312">
        <f t="shared" si="952"/>
        <v>6069</v>
      </c>
      <c r="AJ196" s="312">
        <f t="shared" si="952"/>
        <v>6248</v>
      </c>
      <c r="AK196" s="312">
        <f t="shared" si="952"/>
        <v>6429</v>
      </c>
      <c r="AL196" s="312">
        <f t="shared" si="952"/>
        <v>6608</v>
      </c>
      <c r="AM196" s="312">
        <f t="shared" si="952"/>
        <v>6789</v>
      </c>
      <c r="AN196" s="312">
        <f t="shared" si="952"/>
        <v>6968</v>
      </c>
      <c r="AO196" s="312">
        <f t="shared" si="952"/>
        <v>7149</v>
      </c>
      <c r="AP196" s="312">
        <f t="shared" si="952"/>
        <v>7328</v>
      </c>
      <c r="AQ196" s="312">
        <f t="shared" si="952"/>
        <v>7508</v>
      </c>
      <c r="AR196" s="312">
        <f t="shared" si="952"/>
        <v>7687</v>
      </c>
      <c r="AS196" s="312">
        <f t="shared" si="952"/>
        <v>7868</v>
      </c>
      <c r="AT196" s="312">
        <f t="shared" si="952"/>
        <v>8047</v>
      </c>
      <c r="AU196" s="312">
        <f t="shared" si="952"/>
        <v>8228</v>
      </c>
      <c r="AV196" s="312">
        <f t="shared" si="952"/>
        <v>8407</v>
      </c>
      <c r="AW196" s="312">
        <f t="shared" si="952"/>
        <v>8588</v>
      </c>
      <c r="AX196" s="312">
        <f t="shared" si="952"/>
        <v>8767</v>
      </c>
      <c r="AY196" s="312">
        <f t="shared" si="952"/>
        <v>8947</v>
      </c>
      <c r="AZ196" s="312">
        <f t="shared" si="952"/>
        <v>9126</v>
      </c>
      <c r="BA196" s="312">
        <f t="shared" si="952"/>
        <v>9307</v>
      </c>
      <c r="BB196" s="312">
        <f t="shared" si="952"/>
        <v>9486</v>
      </c>
      <c r="BC196" s="312">
        <f t="shared" si="952"/>
        <v>9667</v>
      </c>
      <c r="BD196" s="312">
        <f t="shared" si="952"/>
        <v>9846</v>
      </c>
      <c r="BE196" s="312">
        <f t="shared" si="952"/>
        <v>10027</v>
      </c>
      <c r="BF196" s="312">
        <f t="shared" si="952"/>
        <v>10206</v>
      </c>
      <c r="BG196" s="312">
        <f t="shared" si="952"/>
        <v>10386</v>
      </c>
      <c r="BH196" s="312">
        <f t="shared" si="952"/>
        <v>10565</v>
      </c>
      <c r="BI196" s="312">
        <f t="shared" si="952"/>
        <v>10746</v>
      </c>
      <c r="BJ196" s="312">
        <f t="shared" si="952"/>
        <v>10925</v>
      </c>
      <c r="BK196" s="312">
        <f t="shared" si="952"/>
        <v>11106</v>
      </c>
      <c r="BL196" s="312">
        <f t="shared" si="952"/>
        <v>11285</v>
      </c>
      <c r="BM196" s="312">
        <f t="shared" si="952"/>
        <v>11466</v>
      </c>
      <c r="BN196" s="312">
        <f t="shared" ref="BN196:CB196" si="953">DAYS360($B$3,BN74)</f>
        <v>11645</v>
      </c>
      <c r="BO196" s="312">
        <f t="shared" si="953"/>
        <v>11825</v>
      </c>
      <c r="BP196" s="312">
        <f t="shared" si="953"/>
        <v>12004</v>
      </c>
      <c r="BQ196" s="312">
        <f t="shared" si="953"/>
        <v>12185</v>
      </c>
      <c r="BR196" s="312">
        <f t="shared" si="953"/>
        <v>12364</v>
      </c>
      <c r="BS196" s="312">
        <f t="shared" si="953"/>
        <v>12545</v>
      </c>
      <c r="BT196" s="312">
        <f t="shared" si="953"/>
        <v>12724</v>
      </c>
      <c r="BU196" s="312">
        <f t="shared" si="953"/>
        <v>12905</v>
      </c>
      <c r="BV196" s="312">
        <f t="shared" si="953"/>
        <v>13084</v>
      </c>
      <c r="BW196" s="312">
        <f t="shared" si="953"/>
        <v>13264</v>
      </c>
      <c r="BX196" s="312">
        <f t="shared" si="953"/>
        <v>13443</v>
      </c>
      <c r="BY196" s="312">
        <f t="shared" si="953"/>
        <v>13624</v>
      </c>
      <c r="BZ196" s="312">
        <f t="shared" si="953"/>
        <v>13803</v>
      </c>
      <c r="CA196" s="312">
        <f t="shared" si="953"/>
        <v>13984</v>
      </c>
      <c r="CB196" s="312">
        <f t="shared" si="953"/>
        <v>14163</v>
      </c>
    </row>
    <row r="197" spans="1:80">
      <c r="A197" s="311" t="s">
        <v>41</v>
      </c>
      <c r="B197" s="312">
        <f>B196/360</f>
        <v>0.36944444444444446</v>
      </c>
      <c r="C197" s="312">
        <f t="shared" ref="C197:BN197" si="954">C196/360</f>
        <v>0.86944444444444446</v>
      </c>
      <c r="D197" s="312">
        <f t="shared" si="954"/>
        <v>1.3666666666666667</v>
      </c>
      <c r="E197" s="312">
        <f t="shared" si="954"/>
        <v>1.8694444444444445</v>
      </c>
      <c r="F197" s="312">
        <f t="shared" si="954"/>
        <v>2.3666666666666667</v>
      </c>
      <c r="G197" s="312">
        <f t="shared" si="954"/>
        <v>2.8694444444444445</v>
      </c>
      <c r="H197" s="312">
        <f t="shared" si="954"/>
        <v>3.3666666666666667</v>
      </c>
      <c r="I197" s="312">
        <f t="shared" si="954"/>
        <v>3.8694444444444445</v>
      </c>
      <c r="J197" s="312">
        <f t="shared" si="954"/>
        <v>4.3666666666666663</v>
      </c>
      <c r="K197" s="312">
        <f t="shared" si="954"/>
        <v>4.8666666666666663</v>
      </c>
      <c r="L197" s="312">
        <f t="shared" si="954"/>
        <v>5.3638888888888889</v>
      </c>
      <c r="M197" s="312">
        <f t="shared" si="954"/>
        <v>5.8666666666666663</v>
      </c>
      <c r="N197" s="312">
        <f t="shared" si="954"/>
        <v>6.3638888888888889</v>
      </c>
      <c r="O197" s="312">
        <f t="shared" si="954"/>
        <v>6.8666666666666663</v>
      </c>
      <c r="P197" s="312">
        <f t="shared" si="954"/>
        <v>7.3638888888888889</v>
      </c>
      <c r="Q197" s="312">
        <f t="shared" si="954"/>
        <v>7.8666666666666663</v>
      </c>
      <c r="R197" s="312">
        <f t="shared" si="954"/>
        <v>8.3638888888888889</v>
      </c>
      <c r="S197" s="312">
        <f t="shared" si="954"/>
        <v>8.8638888888888889</v>
      </c>
      <c r="T197" s="312">
        <f t="shared" si="954"/>
        <v>9.3611111111111107</v>
      </c>
      <c r="U197" s="312">
        <f t="shared" si="954"/>
        <v>9.8638888888888889</v>
      </c>
      <c r="V197" s="312">
        <f t="shared" si="954"/>
        <v>10.361111111111111</v>
      </c>
      <c r="W197" s="312">
        <f t="shared" si="954"/>
        <v>10.863888888888889</v>
      </c>
      <c r="X197" s="312">
        <f t="shared" si="954"/>
        <v>11.361111111111111</v>
      </c>
      <c r="Y197" s="312">
        <f t="shared" si="954"/>
        <v>11.863888888888889</v>
      </c>
      <c r="Z197" s="312">
        <f t="shared" si="954"/>
        <v>12.361111111111111</v>
      </c>
      <c r="AA197" s="312">
        <f t="shared" si="954"/>
        <v>12.861111111111111</v>
      </c>
      <c r="AB197" s="312">
        <f t="shared" si="954"/>
        <v>13.358333333333333</v>
      </c>
      <c r="AC197" s="312">
        <f t="shared" si="954"/>
        <v>13.861111111111111</v>
      </c>
      <c r="AD197" s="312">
        <f t="shared" si="954"/>
        <v>14.358333333333333</v>
      </c>
      <c r="AE197" s="312">
        <f t="shared" si="954"/>
        <v>14.861111111111111</v>
      </c>
      <c r="AF197" s="312">
        <f t="shared" si="954"/>
        <v>15.358333333333333</v>
      </c>
      <c r="AG197" s="312">
        <f t="shared" si="954"/>
        <v>15.861111111111111</v>
      </c>
      <c r="AH197" s="312">
        <f t="shared" si="954"/>
        <v>16.358333333333334</v>
      </c>
      <c r="AI197" s="312">
        <f t="shared" si="954"/>
        <v>16.858333333333334</v>
      </c>
      <c r="AJ197" s="312">
        <f t="shared" si="954"/>
        <v>17.355555555555554</v>
      </c>
      <c r="AK197" s="312">
        <f t="shared" si="954"/>
        <v>17.858333333333334</v>
      </c>
      <c r="AL197" s="312">
        <f t="shared" si="954"/>
        <v>18.355555555555554</v>
      </c>
      <c r="AM197" s="312">
        <f t="shared" si="954"/>
        <v>18.858333333333334</v>
      </c>
      <c r="AN197" s="312">
        <f t="shared" si="954"/>
        <v>19.355555555555554</v>
      </c>
      <c r="AO197" s="312">
        <f t="shared" si="954"/>
        <v>19.858333333333334</v>
      </c>
      <c r="AP197" s="312">
        <f t="shared" si="954"/>
        <v>20.355555555555554</v>
      </c>
      <c r="AQ197" s="312">
        <f t="shared" si="954"/>
        <v>20.855555555555554</v>
      </c>
      <c r="AR197" s="312">
        <f t="shared" si="954"/>
        <v>21.352777777777778</v>
      </c>
      <c r="AS197" s="312">
        <f t="shared" si="954"/>
        <v>21.855555555555554</v>
      </c>
      <c r="AT197" s="312">
        <f t="shared" si="954"/>
        <v>22.352777777777778</v>
      </c>
      <c r="AU197" s="312">
        <f t="shared" si="954"/>
        <v>22.855555555555554</v>
      </c>
      <c r="AV197" s="312">
        <f t="shared" si="954"/>
        <v>23.352777777777778</v>
      </c>
      <c r="AW197" s="312">
        <f t="shared" si="954"/>
        <v>23.855555555555554</v>
      </c>
      <c r="AX197" s="312">
        <f t="shared" si="954"/>
        <v>24.352777777777778</v>
      </c>
      <c r="AY197" s="312">
        <f t="shared" si="954"/>
        <v>24.852777777777778</v>
      </c>
      <c r="AZ197" s="312">
        <f t="shared" si="954"/>
        <v>25.35</v>
      </c>
      <c r="BA197" s="312">
        <f t="shared" si="954"/>
        <v>25.852777777777778</v>
      </c>
      <c r="BB197" s="312">
        <f t="shared" si="954"/>
        <v>26.35</v>
      </c>
      <c r="BC197" s="312">
        <f t="shared" si="954"/>
        <v>26.852777777777778</v>
      </c>
      <c r="BD197" s="312">
        <f t="shared" si="954"/>
        <v>27.35</v>
      </c>
      <c r="BE197" s="312">
        <f t="shared" si="954"/>
        <v>27.852777777777778</v>
      </c>
      <c r="BF197" s="312">
        <f t="shared" si="954"/>
        <v>28.35</v>
      </c>
      <c r="BG197" s="312">
        <f t="shared" si="954"/>
        <v>28.85</v>
      </c>
      <c r="BH197" s="312">
        <f t="shared" si="954"/>
        <v>29.347222222222221</v>
      </c>
      <c r="BI197" s="312">
        <f t="shared" si="954"/>
        <v>29.85</v>
      </c>
      <c r="BJ197" s="312">
        <f t="shared" si="954"/>
        <v>30.347222222222221</v>
      </c>
      <c r="BK197" s="312">
        <f t="shared" si="954"/>
        <v>30.85</v>
      </c>
      <c r="BL197" s="312">
        <f t="shared" si="954"/>
        <v>31.347222222222221</v>
      </c>
      <c r="BM197" s="312">
        <f t="shared" si="954"/>
        <v>31.85</v>
      </c>
      <c r="BN197" s="312">
        <f t="shared" si="954"/>
        <v>32.347222222222221</v>
      </c>
      <c r="BO197" s="312">
        <f t="shared" ref="BO197:CB197" si="955">BO196/360</f>
        <v>32.847222222222221</v>
      </c>
      <c r="BP197" s="312">
        <f t="shared" si="955"/>
        <v>33.344444444444441</v>
      </c>
      <c r="BQ197" s="312">
        <f t="shared" si="955"/>
        <v>33.847222222222221</v>
      </c>
      <c r="BR197" s="312">
        <f t="shared" si="955"/>
        <v>34.344444444444441</v>
      </c>
      <c r="BS197" s="312">
        <f t="shared" si="955"/>
        <v>34.847222222222221</v>
      </c>
      <c r="BT197" s="312">
        <f t="shared" si="955"/>
        <v>35.344444444444441</v>
      </c>
      <c r="BU197" s="312">
        <f t="shared" si="955"/>
        <v>35.847222222222221</v>
      </c>
      <c r="BV197" s="312">
        <f t="shared" si="955"/>
        <v>36.344444444444441</v>
      </c>
      <c r="BW197" s="312">
        <f t="shared" si="955"/>
        <v>36.844444444444441</v>
      </c>
      <c r="BX197" s="312">
        <f t="shared" si="955"/>
        <v>37.341666666666669</v>
      </c>
      <c r="BY197" s="312">
        <f t="shared" si="955"/>
        <v>37.844444444444441</v>
      </c>
      <c r="BZ197" s="312">
        <f t="shared" si="955"/>
        <v>38.341666666666669</v>
      </c>
      <c r="CA197" s="312">
        <f t="shared" si="955"/>
        <v>38.844444444444441</v>
      </c>
      <c r="CB197" s="312">
        <f t="shared" si="955"/>
        <v>39.341666666666669</v>
      </c>
    </row>
    <row r="198" spans="1:80">
      <c r="A198" s="311" t="s">
        <v>43</v>
      </c>
      <c r="B198" s="312">
        <f>IF(B196&lt;0,0,$B$5+$B$6*((1-EXP(-B197/$B$9))/(B197/$B$9))+$B$7*((1-EXP(-B197/$B$9))/(B197/$B$9)-EXP(-B197/$B$9))+$B$8*((1-EXP(-B197/$B$10))/(B197/$B$10)-EXP(-B197/$B$10)))</f>
        <v>1.7494035859913069E-2</v>
      </c>
      <c r="C198" s="312">
        <f t="shared" ref="C198:BN198" si="956">IF(C196&lt;0,0,$B$5+$B$6*((1-EXP(-C197/$B$9))/(C197/$B$9))+$B$7*((1-EXP(-C197/$B$9))/(C197/$B$9)-EXP(-C197/$B$9))+$B$8*((1-EXP(-C197/$B$10))/(C197/$B$10)-EXP(-C197/$B$10)))</f>
        <v>1.7534452551026574E-2</v>
      </c>
      <c r="D198" s="312">
        <f t="shared" si="956"/>
        <v>1.7589680797807102E-2</v>
      </c>
      <c r="E198" s="312">
        <f t="shared" si="956"/>
        <v>1.7659717098585284E-2</v>
      </c>
      <c r="F198" s="312">
        <f t="shared" si="956"/>
        <v>1.7742025104683146E-2</v>
      </c>
      <c r="G198" s="312">
        <f t="shared" si="956"/>
        <v>1.7837492577305103E-2</v>
      </c>
      <c r="H198" s="312">
        <f t="shared" si="956"/>
        <v>1.7943121038026116E-2</v>
      </c>
      <c r="I198" s="312">
        <f t="shared" si="956"/>
        <v>1.8060416313741751E-2</v>
      </c>
      <c r="J198" s="312">
        <f t="shared" si="956"/>
        <v>1.8185988839614364E-2</v>
      </c>
      <c r="K198" s="312">
        <f t="shared" si="956"/>
        <v>1.8321104603581745E-2</v>
      </c>
      <c r="L198" s="312">
        <f t="shared" si="956"/>
        <v>1.8463551428609309E-2</v>
      </c>
      <c r="M198" s="312">
        <f t="shared" si="956"/>
        <v>1.8615100395966366E-2</v>
      </c>
      <c r="N198" s="312">
        <f t="shared" si="956"/>
        <v>1.8771763991778823E-2</v>
      </c>
      <c r="O198" s="312">
        <f t="shared" si="956"/>
        <v>1.8936431084106975E-2</v>
      </c>
      <c r="P198" s="312">
        <f t="shared" si="956"/>
        <v>1.9104893355776725E-2</v>
      </c>
      <c r="Q198" s="312">
        <f t="shared" si="956"/>
        <v>1.9280370193487245E-2</v>
      </c>
      <c r="R198" s="312">
        <f t="shared" si="956"/>
        <v>1.9458477173729893E-2</v>
      </c>
      <c r="S198" s="312">
        <f t="shared" si="956"/>
        <v>1.9641681476117168E-2</v>
      </c>
      <c r="T198" s="312">
        <f t="shared" si="956"/>
        <v>1.982749998245753E-2</v>
      </c>
      <c r="U198" s="312">
        <f t="shared" si="956"/>
        <v>2.0018648783305837E-2</v>
      </c>
      <c r="V198" s="312">
        <f t="shared" si="956"/>
        <v>2.0210505543667434E-2</v>
      </c>
      <c r="W198" s="312">
        <f t="shared" si="956"/>
        <v>2.040697786712542E-2</v>
      </c>
      <c r="X198" s="312">
        <f t="shared" si="956"/>
        <v>2.0603372470135939E-2</v>
      </c>
      <c r="Y198" s="312">
        <f t="shared" si="956"/>
        <v>2.0803743415670262E-2</v>
      </c>
      <c r="Z198" s="312">
        <f t="shared" si="956"/>
        <v>2.1003353447785145E-2</v>
      </c>
      <c r="AA198" s="312">
        <f t="shared" si="956"/>
        <v>2.1205244785368949E-2</v>
      </c>
      <c r="AB198" s="312">
        <f t="shared" si="956"/>
        <v>2.1406904279599515E-2</v>
      </c>
      <c r="AC198" s="312">
        <f t="shared" si="956"/>
        <v>2.1611462265007764E-2</v>
      </c>
      <c r="AD198" s="312">
        <f t="shared" si="956"/>
        <v>2.181416118767493E-2</v>
      </c>
      <c r="AE198" s="312">
        <f t="shared" si="956"/>
        <v>2.2019306223084734E-2</v>
      </c>
      <c r="AF198" s="312">
        <f t="shared" si="956"/>
        <v>2.2222157673019105E-2</v>
      </c>
      <c r="AG198" s="312">
        <f t="shared" si="956"/>
        <v>2.2427053775746053E-2</v>
      </c>
      <c r="AH198" s="312">
        <f t="shared" si="956"/>
        <v>2.2629288014615889E-2</v>
      </c>
      <c r="AI198" s="312">
        <f t="shared" si="956"/>
        <v>2.2832086657489536E-2</v>
      </c>
      <c r="AJ198" s="312">
        <f t="shared" si="956"/>
        <v>2.3033043451220925E-2</v>
      </c>
      <c r="AK198" s="312">
        <f t="shared" si="956"/>
        <v>2.3235376273018304E-2</v>
      </c>
      <c r="AL198" s="312">
        <f t="shared" si="956"/>
        <v>2.3434482210699992E-2</v>
      </c>
      <c r="AM198" s="312">
        <f t="shared" si="956"/>
        <v>2.3634687482069483E-2</v>
      </c>
      <c r="AN198" s="312">
        <f t="shared" si="956"/>
        <v>2.3831456032201048E-2</v>
      </c>
      <c r="AO198" s="312">
        <f t="shared" si="956"/>
        <v>2.4029080864188257E-2</v>
      </c>
      <c r="AP198" s="312">
        <f t="shared" si="956"/>
        <v>2.4223100637882744E-2</v>
      </c>
      <c r="AQ198" s="312">
        <f t="shared" si="956"/>
        <v>2.4416692742404711E-2</v>
      </c>
      <c r="AR198" s="312">
        <f t="shared" si="956"/>
        <v>2.460762829464741E-2</v>
      </c>
      <c r="AS198" s="312">
        <f t="shared" si="956"/>
        <v>2.479902208552015E-2</v>
      </c>
      <c r="AT198" s="312">
        <f t="shared" si="956"/>
        <v>2.4986580154964966E-2</v>
      </c>
      <c r="AU198" s="312">
        <f t="shared" si="956"/>
        <v>2.5174434999163053E-2</v>
      </c>
      <c r="AV198" s="312">
        <f t="shared" si="956"/>
        <v>2.5358383251115835E-2</v>
      </c>
      <c r="AW198" s="312">
        <f t="shared" si="956"/>
        <v>2.5542488560203136E-2</v>
      </c>
      <c r="AX198" s="312">
        <f t="shared" si="956"/>
        <v>2.5722641366182575E-2</v>
      </c>
      <c r="AY198" s="312">
        <f t="shared" si="956"/>
        <v>2.5901840932052334E-2</v>
      </c>
      <c r="AZ198" s="312">
        <f t="shared" si="956"/>
        <v>2.6078064994934369E-2</v>
      </c>
      <c r="BA198" s="312">
        <f t="shared" si="956"/>
        <v>2.6254223111295327E-2</v>
      </c>
      <c r="BB198" s="312">
        <f t="shared" si="956"/>
        <v>2.6426399449294147E-2</v>
      </c>
      <c r="BC198" s="312">
        <f t="shared" si="956"/>
        <v>2.6598422244731523E-2</v>
      </c>
      <c r="BD198" s="312">
        <f t="shared" si="956"/>
        <v>2.6766474481668773E-2</v>
      </c>
      <c r="BE198" s="312">
        <f t="shared" si="956"/>
        <v>2.6934299283410179E-2</v>
      </c>
      <c r="BF198" s="312">
        <f t="shared" si="956"/>
        <v>2.7098178890431229E-2</v>
      </c>
      <c r="BG198" s="312">
        <f t="shared" si="956"/>
        <v>2.7260871370943823E-2</v>
      </c>
      <c r="BH198" s="312">
        <f t="shared" si="956"/>
        <v>2.7420565750746528E-2</v>
      </c>
      <c r="BI198" s="312">
        <f t="shared" si="956"/>
        <v>2.7579920093619675E-2</v>
      </c>
      <c r="BJ198" s="312">
        <f t="shared" si="956"/>
        <v>2.7735414333675212E-2</v>
      </c>
      <c r="BK198" s="312">
        <f t="shared" si="956"/>
        <v>2.7890527016338734E-2</v>
      </c>
      <c r="BL198" s="312">
        <f t="shared" si="956"/>
        <v>2.8041836015468419E-2</v>
      </c>
      <c r="BM198" s="312">
        <f t="shared" si="956"/>
        <v>2.8192730299653523E-2</v>
      </c>
      <c r="BN198" s="312">
        <f t="shared" si="956"/>
        <v>2.8339884563011508E-2</v>
      </c>
      <c r="BO198" s="312">
        <f t="shared" ref="BO198:CB198" si="957">IF(BO196&lt;0,0,$B$5+$B$6*((1-EXP(-BO197/$B$9))/(BO197/$B$9))+$B$7*((1-EXP(-BO197/$B$9))/(BO197/$B$9)-EXP(-BO197/$B$9))+$B$8*((1-EXP(-BO197/$B$10))/(BO197/$B$10)-EXP(-BO197/$B$10)))</f>
        <v>2.8485793462082049E-2</v>
      </c>
      <c r="BP198" s="312">
        <f t="shared" si="957"/>
        <v>2.8628848156471903E-2</v>
      </c>
      <c r="BQ198" s="312">
        <f t="shared" si="957"/>
        <v>2.8771442988122786E-2</v>
      </c>
      <c r="BR198" s="312">
        <f t="shared" si="957"/>
        <v>2.8910441691096161E-2</v>
      </c>
      <c r="BS198" s="312">
        <f t="shared" si="957"/>
        <v>2.9048966749366079E-2</v>
      </c>
      <c r="BT198" s="312">
        <f t="shared" si="957"/>
        <v>2.9183973988521211E-2</v>
      </c>
      <c r="BU198" s="312">
        <f t="shared" si="957"/>
        <v>2.9318498684285488E-2</v>
      </c>
      <c r="BV198" s="312">
        <f t="shared" si="957"/>
        <v>2.9449586842300507E-2</v>
      </c>
      <c r="BW198" s="312">
        <f t="shared" si="957"/>
        <v>2.9579471589338935E-2</v>
      </c>
      <c r="BX198" s="312">
        <f t="shared" si="957"/>
        <v>2.9706730033158574E-2</v>
      </c>
      <c r="BY198" s="312">
        <f t="shared" si="957"/>
        <v>2.9833500237512495E-2</v>
      </c>
      <c r="BZ198" s="312">
        <f t="shared" si="957"/>
        <v>2.9957002161933532E-2</v>
      </c>
      <c r="CA198" s="312">
        <f t="shared" si="957"/>
        <v>3.0080017939380144E-2</v>
      </c>
      <c r="CB198" s="312">
        <f t="shared" si="957"/>
        <v>3.0199851388160365E-2</v>
      </c>
    </row>
    <row r="199" spans="1:80">
      <c r="A199" s="311" t="s">
        <v>44</v>
      </c>
      <c r="B199" s="312">
        <f>EXP(-B198*B197)</f>
        <v>0.99355776638313631</v>
      </c>
      <c r="C199" s="312">
        <f t="shared" ref="C199:BN199" si="958">EXP(-C198*C197)</f>
        <v>0.9848703878996955</v>
      </c>
      <c r="D199" s="312">
        <f t="shared" si="958"/>
        <v>0.97624741040714758</v>
      </c>
      <c r="E199" s="312">
        <f t="shared" si="958"/>
        <v>0.96752514957777958</v>
      </c>
      <c r="F199" s="312">
        <f t="shared" si="958"/>
        <v>0.95887988767473709</v>
      </c>
      <c r="G199" s="312">
        <f t="shared" si="958"/>
        <v>0.95010412609437123</v>
      </c>
      <c r="H199" s="312">
        <f t="shared" si="958"/>
        <v>0.94137989428341584</v>
      </c>
      <c r="I199" s="312">
        <f t="shared" si="958"/>
        <v>0.93250219127929346</v>
      </c>
      <c r="J199" s="312">
        <f t="shared" si="958"/>
        <v>0.92365915869203385</v>
      </c>
      <c r="K199" s="312">
        <f t="shared" si="958"/>
        <v>0.91469673201054735</v>
      </c>
      <c r="L199" s="312">
        <f t="shared" si="958"/>
        <v>0.90570970484838431</v>
      </c>
      <c r="M199" s="312">
        <f t="shared" si="958"/>
        <v>0.89654338891317364</v>
      </c>
      <c r="N199" s="312">
        <f t="shared" si="958"/>
        <v>0.88739824272363232</v>
      </c>
      <c r="O199" s="312">
        <f t="shared" si="958"/>
        <v>0.87806894786438017</v>
      </c>
      <c r="P199" s="312">
        <f t="shared" si="958"/>
        <v>0.86876178918874192</v>
      </c>
      <c r="Q199" s="312">
        <f t="shared" si="958"/>
        <v>0.85926986413918938</v>
      </c>
      <c r="R199" s="312">
        <f t="shared" si="958"/>
        <v>0.84980485260416327</v>
      </c>
      <c r="S199" s="312">
        <f t="shared" si="958"/>
        <v>0.84021145876909653</v>
      </c>
      <c r="T199" s="312">
        <f t="shared" si="958"/>
        <v>0.83059959914767389</v>
      </c>
      <c r="U199" s="312">
        <f t="shared" si="958"/>
        <v>0.82081155469749645</v>
      </c>
      <c r="V199" s="312">
        <f t="shared" si="958"/>
        <v>0.81106807115474555</v>
      </c>
      <c r="W199" s="312">
        <f t="shared" si="958"/>
        <v>0.80115636389763678</v>
      </c>
      <c r="X199" s="312">
        <f t="shared" si="958"/>
        <v>0.79130072203797275</v>
      </c>
      <c r="Y199" s="312">
        <f t="shared" si="958"/>
        <v>0.7812865458352718</v>
      </c>
      <c r="Z199" s="312">
        <f t="shared" si="958"/>
        <v>0.77134094968797906</v>
      </c>
      <c r="AA199" s="312">
        <f t="shared" si="958"/>
        <v>0.76130363243516019</v>
      </c>
      <c r="AB199" s="312">
        <f t="shared" si="958"/>
        <v>0.75129224407364981</v>
      </c>
      <c r="AC199" s="312">
        <f t="shared" si="958"/>
        <v>0.74114508270352386</v>
      </c>
      <c r="AD199" s="312">
        <f t="shared" si="958"/>
        <v>0.73109271240459339</v>
      </c>
      <c r="AE199" s="312">
        <f t="shared" si="958"/>
        <v>0.7209169350055401</v>
      </c>
      <c r="AF199" s="312">
        <f t="shared" si="958"/>
        <v>0.71084896000752851</v>
      </c>
      <c r="AG199" s="312">
        <f t="shared" si="958"/>
        <v>0.70067018709206297</v>
      </c>
      <c r="AH199" s="312">
        <f t="shared" si="958"/>
        <v>0.69061178007015767</v>
      </c>
      <c r="AI199" s="312">
        <f t="shared" si="958"/>
        <v>0.68051124829733622</v>
      </c>
      <c r="AJ199" s="312">
        <f t="shared" si="958"/>
        <v>0.67048679867504868</v>
      </c>
      <c r="AK199" s="312">
        <f t="shared" si="958"/>
        <v>0.66037653794164752</v>
      </c>
      <c r="AL199" s="312">
        <f t="shared" si="958"/>
        <v>0.6504096133826216</v>
      </c>
      <c r="AM199" s="312">
        <f t="shared" si="958"/>
        <v>0.6403689305268131</v>
      </c>
      <c r="AN199" s="312">
        <f t="shared" si="958"/>
        <v>0.63048174878730701</v>
      </c>
      <c r="AO199" s="312">
        <f t="shared" si="958"/>
        <v>0.62053237657560589</v>
      </c>
      <c r="AP199" s="312">
        <f t="shared" si="958"/>
        <v>0.61074566251901541</v>
      </c>
      <c r="AQ199" s="312">
        <f t="shared" si="958"/>
        <v>0.60096192934319526</v>
      </c>
      <c r="AR199" s="312">
        <f t="shared" si="958"/>
        <v>0.59129441670070215</v>
      </c>
      <c r="AS199" s="312">
        <f t="shared" si="958"/>
        <v>0.58158601143737676</v>
      </c>
      <c r="AT199" s="312">
        <f t="shared" si="958"/>
        <v>0.57205538027260416</v>
      </c>
      <c r="AU199" s="312">
        <f t="shared" si="958"/>
        <v>0.56249350158780109</v>
      </c>
      <c r="AV199" s="312">
        <f t="shared" si="958"/>
        <v>0.55311536152293361</v>
      </c>
      <c r="AW199" s="312">
        <f t="shared" si="958"/>
        <v>0.54371489755973423</v>
      </c>
      <c r="AX199" s="312">
        <f t="shared" si="958"/>
        <v>0.53450308913506384</v>
      </c>
      <c r="AY199" s="312">
        <f t="shared" si="958"/>
        <v>0.52532787016445281</v>
      </c>
      <c r="AZ199" s="312">
        <f t="shared" si="958"/>
        <v>0.51629397970601532</v>
      </c>
      <c r="BA199" s="312">
        <f t="shared" si="958"/>
        <v>0.50725340084452386</v>
      </c>
      <c r="BB199" s="312">
        <f t="shared" si="958"/>
        <v>0.49840831638174787</v>
      </c>
      <c r="BC199" s="312">
        <f t="shared" si="958"/>
        <v>0.48956329410891269</v>
      </c>
      <c r="BD199" s="312">
        <f t="shared" si="958"/>
        <v>0.4809157995677395</v>
      </c>
      <c r="BE199" s="312">
        <f t="shared" si="958"/>
        <v>0.4722744254297524</v>
      </c>
      <c r="BF199" s="312">
        <f t="shared" si="958"/>
        <v>0.46383176332536091</v>
      </c>
      <c r="BG199" s="312">
        <f t="shared" si="958"/>
        <v>0.45544690237647967</v>
      </c>
      <c r="BH199" s="312">
        <f t="shared" si="958"/>
        <v>0.44721427511793294</v>
      </c>
      <c r="BI199" s="312">
        <f t="shared" si="958"/>
        <v>0.43899791524330178</v>
      </c>
      <c r="BJ199" s="312">
        <f t="shared" si="958"/>
        <v>0.43098034972227744</v>
      </c>
      <c r="BK199" s="312">
        <f t="shared" si="958"/>
        <v>0.42298322477944761</v>
      </c>
      <c r="BL199" s="312">
        <f t="shared" si="958"/>
        <v>0.41518392461191095</v>
      </c>
      <c r="BM199" s="312">
        <f t="shared" si="958"/>
        <v>0.40740868388281198</v>
      </c>
      <c r="BN199" s="312">
        <f t="shared" si="958"/>
        <v>0.39982971152291635</v>
      </c>
      <c r="BO199" s="312">
        <f t="shared" ref="BO199:CB199" si="959">EXP(-BO198*BO197)</f>
        <v>0.39231931644145562</v>
      </c>
      <c r="BP199" s="312">
        <f t="shared" si="959"/>
        <v>0.38496108148270108</v>
      </c>
      <c r="BQ199" s="312">
        <f t="shared" si="959"/>
        <v>0.37763263369187949</v>
      </c>
      <c r="BR199" s="312">
        <f t="shared" si="959"/>
        <v>0.37049584142826281</v>
      </c>
      <c r="BS199" s="312">
        <f t="shared" si="959"/>
        <v>0.36339103262655759</v>
      </c>
      <c r="BT199" s="312">
        <f t="shared" si="959"/>
        <v>0.35647493601579272</v>
      </c>
      <c r="BU199" s="312">
        <f t="shared" si="959"/>
        <v>0.349592622693918</v>
      </c>
      <c r="BV199" s="312">
        <f t="shared" si="959"/>
        <v>0.34289572975964877</v>
      </c>
      <c r="BW199" s="312">
        <f t="shared" si="959"/>
        <v>0.33627056244957387</v>
      </c>
      <c r="BX199" s="312">
        <f t="shared" si="959"/>
        <v>0.32979012534277874</v>
      </c>
      <c r="BY199" s="312">
        <f t="shared" si="959"/>
        <v>0.32334602565445208</v>
      </c>
      <c r="BZ199" s="312">
        <f t="shared" si="959"/>
        <v>0.31707993017509595</v>
      </c>
      <c r="CA199" s="312">
        <f t="shared" si="959"/>
        <v>0.31085099861737719</v>
      </c>
      <c r="CB199" s="312">
        <f t="shared" si="959"/>
        <v>0.3047960280166857</v>
      </c>
    </row>
    <row r="201" spans="1:80">
      <c r="A201" s="311" t="s">
        <v>40</v>
      </c>
      <c r="B201" s="312">
        <f t="shared" ref="B201:AG201" si="960">DAYS360($B$3,B76)</f>
        <v>43</v>
      </c>
      <c r="C201" s="312">
        <f t="shared" si="960"/>
        <v>221</v>
      </c>
      <c r="D201" s="312">
        <f t="shared" si="960"/>
        <v>402</v>
      </c>
      <c r="E201" s="312">
        <f t="shared" si="960"/>
        <v>580</v>
      </c>
      <c r="F201" s="312">
        <f t="shared" si="960"/>
        <v>762</v>
      </c>
      <c r="G201" s="312">
        <f t="shared" si="960"/>
        <v>940</v>
      </c>
      <c r="H201" s="312">
        <f t="shared" si="960"/>
        <v>1122</v>
      </c>
      <c r="I201" s="312">
        <f t="shared" si="960"/>
        <v>1300</v>
      </c>
      <c r="J201" s="312">
        <f t="shared" si="960"/>
        <v>1482</v>
      </c>
      <c r="K201" s="312">
        <f t="shared" si="960"/>
        <v>1660</v>
      </c>
      <c r="L201" s="312">
        <f t="shared" si="960"/>
        <v>1841</v>
      </c>
      <c r="M201" s="312">
        <f t="shared" si="960"/>
        <v>2019</v>
      </c>
      <c r="N201" s="312">
        <f t="shared" si="960"/>
        <v>2201</v>
      </c>
      <c r="O201" s="312">
        <f t="shared" si="960"/>
        <v>2379</v>
      </c>
      <c r="P201" s="312">
        <f t="shared" si="960"/>
        <v>2561</v>
      </c>
      <c r="Q201" s="312">
        <f t="shared" si="960"/>
        <v>2739</v>
      </c>
      <c r="R201" s="312">
        <f t="shared" si="960"/>
        <v>2921</v>
      </c>
      <c r="S201" s="312">
        <f t="shared" si="960"/>
        <v>3099</v>
      </c>
      <c r="T201" s="312">
        <f t="shared" si="960"/>
        <v>3280</v>
      </c>
      <c r="U201" s="312">
        <f t="shared" si="960"/>
        <v>3458</v>
      </c>
      <c r="V201" s="312">
        <f t="shared" si="960"/>
        <v>3640</v>
      </c>
      <c r="W201" s="312">
        <f t="shared" si="960"/>
        <v>3818</v>
      </c>
      <c r="X201" s="312">
        <f t="shared" si="960"/>
        <v>4000</v>
      </c>
      <c r="Y201" s="312">
        <f t="shared" si="960"/>
        <v>4178</v>
      </c>
      <c r="Z201" s="312">
        <f t="shared" si="960"/>
        <v>4360</v>
      </c>
      <c r="AA201" s="312">
        <f t="shared" si="960"/>
        <v>4538</v>
      </c>
      <c r="AB201" s="312">
        <f t="shared" si="960"/>
        <v>4719</v>
      </c>
      <c r="AC201" s="312">
        <f t="shared" si="960"/>
        <v>4897</v>
      </c>
      <c r="AD201" s="312">
        <f t="shared" si="960"/>
        <v>5079</v>
      </c>
      <c r="AE201" s="312">
        <f t="shared" si="960"/>
        <v>5257</v>
      </c>
      <c r="AF201" s="312">
        <f t="shared" si="960"/>
        <v>5439</v>
      </c>
      <c r="AG201" s="312">
        <f t="shared" si="960"/>
        <v>5617</v>
      </c>
      <c r="AH201" s="312">
        <f t="shared" ref="AH201:BM201" si="961">DAYS360($B$3,AH76)</f>
        <v>5799</v>
      </c>
      <c r="AI201" s="312">
        <f t="shared" si="961"/>
        <v>5977</v>
      </c>
      <c r="AJ201" s="312">
        <f t="shared" si="961"/>
        <v>6158</v>
      </c>
      <c r="AK201" s="312">
        <f t="shared" si="961"/>
        <v>6336</v>
      </c>
      <c r="AL201" s="312">
        <f t="shared" si="961"/>
        <v>6518</v>
      </c>
      <c r="AM201" s="312">
        <f t="shared" si="961"/>
        <v>6696</v>
      </c>
      <c r="AN201" s="312">
        <f t="shared" si="961"/>
        <v>6878</v>
      </c>
      <c r="AO201" s="312">
        <f t="shared" si="961"/>
        <v>7056</v>
      </c>
      <c r="AP201" s="312">
        <f t="shared" si="961"/>
        <v>7238</v>
      </c>
      <c r="AQ201" s="312">
        <f t="shared" si="961"/>
        <v>7416</v>
      </c>
      <c r="AR201" s="312">
        <f t="shared" si="961"/>
        <v>7597</v>
      </c>
      <c r="AS201" s="312">
        <f t="shared" si="961"/>
        <v>7775</v>
      </c>
      <c r="AT201" s="312">
        <f t="shared" si="961"/>
        <v>7957</v>
      </c>
      <c r="AU201" s="312">
        <f t="shared" si="961"/>
        <v>8135</v>
      </c>
      <c r="AV201" s="312">
        <f t="shared" si="961"/>
        <v>8317</v>
      </c>
      <c r="AW201" s="312">
        <f t="shared" si="961"/>
        <v>8495</v>
      </c>
      <c r="AX201" s="312">
        <f t="shared" si="961"/>
        <v>8677</v>
      </c>
      <c r="AY201" s="312">
        <f t="shared" si="961"/>
        <v>8855</v>
      </c>
      <c r="AZ201" s="312">
        <f t="shared" si="961"/>
        <v>9036</v>
      </c>
      <c r="BA201" s="312">
        <f t="shared" si="961"/>
        <v>9214</v>
      </c>
      <c r="BB201" s="312">
        <f t="shared" si="961"/>
        <v>9396</v>
      </c>
      <c r="BC201" s="312">
        <f t="shared" si="961"/>
        <v>9574</v>
      </c>
      <c r="BD201" s="312">
        <f t="shared" si="961"/>
        <v>9756</v>
      </c>
      <c r="BE201" s="312">
        <f t="shared" si="961"/>
        <v>9934</v>
      </c>
      <c r="BF201" s="312">
        <f t="shared" si="961"/>
        <v>10116</v>
      </c>
      <c r="BG201" s="312">
        <f t="shared" si="961"/>
        <v>10294</v>
      </c>
      <c r="BH201" s="312">
        <f t="shared" si="961"/>
        <v>10475</v>
      </c>
      <c r="BI201" s="312">
        <f t="shared" si="961"/>
        <v>10653</v>
      </c>
      <c r="BJ201" s="312">
        <f t="shared" si="961"/>
        <v>10835</v>
      </c>
      <c r="BK201" s="312">
        <f t="shared" si="961"/>
        <v>11013</v>
      </c>
      <c r="BL201" s="312">
        <f t="shared" si="961"/>
        <v>11195</v>
      </c>
      <c r="BM201" s="312">
        <f t="shared" si="961"/>
        <v>11373</v>
      </c>
      <c r="BN201" s="312">
        <f t="shared" ref="BN201:CB201" si="962">DAYS360($B$3,BN76)</f>
        <v>11555</v>
      </c>
      <c r="BO201" s="312">
        <f t="shared" si="962"/>
        <v>11733</v>
      </c>
      <c r="BP201" s="312">
        <f t="shared" si="962"/>
        <v>11914</v>
      </c>
      <c r="BQ201" s="312">
        <f t="shared" si="962"/>
        <v>12092</v>
      </c>
      <c r="BR201" s="312">
        <f t="shared" si="962"/>
        <v>12274</v>
      </c>
      <c r="BS201" s="312">
        <f t="shared" si="962"/>
        <v>12452</v>
      </c>
      <c r="BT201" s="312">
        <f t="shared" si="962"/>
        <v>12634</v>
      </c>
      <c r="BU201" s="312">
        <f t="shared" si="962"/>
        <v>12812</v>
      </c>
      <c r="BV201" s="312">
        <f t="shared" si="962"/>
        <v>12994</v>
      </c>
      <c r="BW201" s="312">
        <f t="shared" si="962"/>
        <v>13172</v>
      </c>
      <c r="BX201" s="312">
        <f t="shared" si="962"/>
        <v>13353</v>
      </c>
      <c r="BY201" s="312">
        <f t="shared" si="962"/>
        <v>13531</v>
      </c>
      <c r="BZ201" s="312">
        <f t="shared" si="962"/>
        <v>13713</v>
      </c>
      <c r="CA201" s="312">
        <f t="shared" si="962"/>
        <v>13891</v>
      </c>
      <c r="CB201" s="312">
        <f t="shared" si="962"/>
        <v>14073</v>
      </c>
    </row>
    <row r="202" spans="1:80">
      <c r="A202" s="311" t="s">
        <v>41</v>
      </c>
      <c r="B202" s="312">
        <f>B201/360</f>
        <v>0.11944444444444445</v>
      </c>
      <c r="C202" s="312">
        <f t="shared" ref="C202:BN202" si="963">C201/360</f>
        <v>0.61388888888888893</v>
      </c>
      <c r="D202" s="312">
        <f t="shared" si="963"/>
        <v>1.1166666666666667</v>
      </c>
      <c r="E202" s="312">
        <f t="shared" si="963"/>
        <v>1.6111111111111112</v>
      </c>
      <c r="F202" s="312">
        <f t="shared" si="963"/>
        <v>2.1166666666666667</v>
      </c>
      <c r="G202" s="312">
        <f t="shared" si="963"/>
        <v>2.6111111111111112</v>
      </c>
      <c r="H202" s="312">
        <f t="shared" si="963"/>
        <v>3.1166666666666667</v>
      </c>
      <c r="I202" s="312">
        <f t="shared" si="963"/>
        <v>3.6111111111111112</v>
      </c>
      <c r="J202" s="312">
        <f t="shared" si="963"/>
        <v>4.1166666666666663</v>
      </c>
      <c r="K202" s="312">
        <f t="shared" si="963"/>
        <v>4.6111111111111107</v>
      </c>
      <c r="L202" s="312">
        <f t="shared" si="963"/>
        <v>5.1138888888888889</v>
      </c>
      <c r="M202" s="312">
        <f t="shared" si="963"/>
        <v>5.6083333333333334</v>
      </c>
      <c r="N202" s="312">
        <f t="shared" si="963"/>
        <v>6.1138888888888889</v>
      </c>
      <c r="O202" s="312">
        <f t="shared" si="963"/>
        <v>6.6083333333333334</v>
      </c>
      <c r="P202" s="312">
        <f t="shared" si="963"/>
        <v>7.1138888888888889</v>
      </c>
      <c r="Q202" s="312">
        <f t="shared" si="963"/>
        <v>7.6083333333333334</v>
      </c>
      <c r="R202" s="312">
        <f t="shared" si="963"/>
        <v>8.1138888888888889</v>
      </c>
      <c r="S202" s="312">
        <f t="shared" si="963"/>
        <v>8.6083333333333325</v>
      </c>
      <c r="T202" s="312">
        <f t="shared" si="963"/>
        <v>9.1111111111111107</v>
      </c>
      <c r="U202" s="312">
        <f t="shared" si="963"/>
        <v>9.6055555555555561</v>
      </c>
      <c r="V202" s="312">
        <f t="shared" si="963"/>
        <v>10.111111111111111</v>
      </c>
      <c r="W202" s="312">
        <f t="shared" si="963"/>
        <v>10.605555555555556</v>
      </c>
      <c r="X202" s="312">
        <f t="shared" si="963"/>
        <v>11.111111111111111</v>
      </c>
      <c r="Y202" s="312">
        <f t="shared" si="963"/>
        <v>11.605555555555556</v>
      </c>
      <c r="Z202" s="312">
        <f t="shared" si="963"/>
        <v>12.111111111111111</v>
      </c>
      <c r="AA202" s="312">
        <f t="shared" si="963"/>
        <v>12.605555555555556</v>
      </c>
      <c r="AB202" s="312">
        <f t="shared" si="963"/>
        <v>13.108333333333333</v>
      </c>
      <c r="AC202" s="312">
        <f t="shared" si="963"/>
        <v>13.602777777777778</v>
      </c>
      <c r="AD202" s="312">
        <f t="shared" si="963"/>
        <v>14.108333333333333</v>
      </c>
      <c r="AE202" s="312">
        <f t="shared" si="963"/>
        <v>14.602777777777778</v>
      </c>
      <c r="AF202" s="312">
        <f t="shared" si="963"/>
        <v>15.108333333333333</v>
      </c>
      <c r="AG202" s="312">
        <f t="shared" si="963"/>
        <v>15.602777777777778</v>
      </c>
      <c r="AH202" s="312">
        <f t="shared" si="963"/>
        <v>16.108333333333334</v>
      </c>
      <c r="AI202" s="312">
        <f t="shared" si="963"/>
        <v>16.602777777777778</v>
      </c>
      <c r="AJ202" s="312">
        <f t="shared" si="963"/>
        <v>17.105555555555554</v>
      </c>
      <c r="AK202" s="312">
        <f t="shared" si="963"/>
        <v>17.600000000000001</v>
      </c>
      <c r="AL202" s="312">
        <f t="shared" si="963"/>
        <v>18.105555555555554</v>
      </c>
      <c r="AM202" s="312">
        <f t="shared" si="963"/>
        <v>18.600000000000001</v>
      </c>
      <c r="AN202" s="312">
        <f t="shared" si="963"/>
        <v>19.105555555555554</v>
      </c>
      <c r="AO202" s="312">
        <f t="shared" si="963"/>
        <v>19.600000000000001</v>
      </c>
      <c r="AP202" s="312">
        <f t="shared" si="963"/>
        <v>20.105555555555554</v>
      </c>
      <c r="AQ202" s="312">
        <f t="shared" si="963"/>
        <v>20.6</v>
      </c>
      <c r="AR202" s="312">
        <f t="shared" si="963"/>
        <v>21.102777777777778</v>
      </c>
      <c r="AS202" s="312">
        <f t="shared" si="963"/>
        <v>21.597222222222221</v>
      </c>
      <c r="AT202" s="312">
        <f t="shared" si="963"/>
        <v>22.102777777777778</v>
      </c>
      <c r="AU202" s="312">
        <f t="shared" si="963"/>
        <v>22.597222222222221</v>
      </c>
      <c r="AV202" s="312">
        <f t="shared" si="963"/>
        <v>23.102777777777778</v>
      </c>
      <c r="AW202" s="312">
        <f t="shared" si="963"/>
        <v>23.597222222222221</v>
      </c>
      <c r="AX202" s="312">
        <f t="shared" si="963"/>
        <v>24.102777777777778</v>
      </c>
      <c r="AY202" s="312">
        <f t="shared" si="963"/>
        <v>24.597222222222221</v>
      </c>
      <c r="AZ202" s="312">
        <f t="shared" si="963"/>
        <v>25.1</v>
      </c>
      <c r="BA202" s="312">
        <f t="shared" si="963"/>
        <v>25.594444444444445</v>
      </c>
      <c r="BB202" s="312">
        <f t="shared" si="963"/>
        <v>26.1</v>
      </c>
      <c r="BC202" s="312">
        <f t="shared" si="963"/>
        <v>26.594444444444445</v>
      </c>
      <c r="BD202" s="312">
        <f t="shared" si="963"/>
        <v>27.1</v>
      </c>
      <c r="BE202" s="312">
        <f t="shared" si="963"/>
        <v>27.594444444444445</v>
      </c>
      <c r="BF202" s="312">
        <f t="shared" si="963"/>
        <v>28.1</v>
      </c>
      <c r="BG202" s="312">
        <f t="shared" si="963"/>
        <v>28.594444444444445</v>
      </c>
      <c r="BH202" s="312">
        <f t="shared" si="963"/>
        <v>29.097222222222221</v>
      </c>
      <c r="BI202" s="312">
        <f t="shared" si="963"/>
        <v>29.591666666666665</v>
      </c>
      <c r="BJ202" s="312">
        <f t="shared" si="963"/>
        <v>30.097222222222221</v>
      </c>
      <c r="BK202" s="312">
        <f t="shared" si="963"/>
        <v>30.591666666666665</v>
      </c>
      <c r="BL202" s="312">
        <f t="shared" si="963"/>
        <v>31.097222222222221</v>
      </c>
      <c r="BM202" s="312">
        <f t="shared" si="963"/>
        <v>31.591666666666665</v>
      </c>
      <c r="BN202" s="312">
        <f t="shared" si="963"/>
        <v>32.097222222222221</v>
      </c>
      <c r="BO202" s="312">
        <f t="shared" ref="BO202:CB202" si="964">BO201/360</f>
        <v>32.591666666666669</v>
      </c>
      <c r="BP202" s="312">
        <f t="shared" si="964"/>
        <v>33.094444444444441</v>
      </c>
      <c r="BQ202" s="312">
        <f t="shared" si="964"/>
        <v>33.588888888888889</v>
      </c>
      <c r="BR202" s="312">
        <f t="shared" si="964"/>
        <v>34.094444444444441</v>
      </c>
      <c r="BS202" s="312">
        <f t="shared" si="964"/>
        <v>34.588888888888889</v>
      </c>
      <c r="BT202" s="312">
        <f t="shared" si="964"/>
        <v>35.094444444444441</v>
      </c>
      <c r="BU202" s="312">
        <f t="shared" si="964"/>
        <v>35.588888888888889</v>
      </c>
      <c r="BV202" s="312">
        <f t="shared" si="964"/>
        <v>36.094444444444441</v>
      </c>
      <c r="BW202" s="312">
        <f t="shared" si="964"/>
        <v>36.588888888888889</v>
      </c>
      <c r="BX202" s="312">
        <f t="shared" si="964"/>
        <v>37.091666666666669</v>
      </c>
      <c r="BY202" s="312">
        <f t="shared" si="964"/>
        <v>37.586111111111109</v>
      </c>
      <c r="BZ202" s="312">
        <f t="shared" si="964"/>
        <v>38.091666666666669</v>
      </c>
      <c r="CA202" s="312">
        <f t="shared" si="964"/>
        <v>38.586111111111109</v>
      </c>
      <c r="CB202" s="312">
        <f t="shared" si="964"/>
        <v>39.091666666666669</v>
      </c>
    </row>
    <row r="203" spans="1:80">
      <c r="A203" s="311" t="s">
        <v>43</v>
      </c>
      <c r="B203" s="312">
        <f>IF(B201&lt;0,0,$B$5+$B$6*((1-EXP(-B202/$B$9))/(B202/$B$9))+$B$7*((1-EXP(-B202/$B$9))/(B202/$B$9)-EXP(-B202/$B$9))+$B$8*((1-EXP(-B202/$B$10))/(B202/$B$10)-EXP(-B202/$B$10)))</f>
        <v>1.7479855880234312E-2</v>
      </c>
      <c r="C203" s="312">
        <f t="shared" ref="C203:BN203" si="965">IF(C201&lt;0,0,$B$5+$B$6*((1-EXP(-C202/$B$9))/(C202/$B$9))+$B$7*((1-EXP(-C202/$B$9))/(C202/$B$9)-EXP(-C202/$B$9))+$B$8*((1-EXP(-C202/$B$10))/(C202/$B$10)-EXP(-C202/$B$10)))</f>
        <v>1.7511832796269649E-2</v>
      </c>
      <c r="D203" s="312">
        <f t="shared" si="965"/>
        <v>1.7560104094283838E-2</v>
      </c>
      <c r="E203" s="312">
        <f t="shared" si="965"/>
        <v>1.7622012664277653E-2</v>
      </c>
      <c r="F203" s="312">
        <f t="shared" si="965"/>
        <v>1.7699079149213606E-2</v>
      </c>
      <c r="G203" s="312">
        <f t="shared" si="965"/>
        <v>1.7786959970177624E-2</v>
      </c>
      <c r="H203" s="312">
        <f t="shared" si="965"/>
        <v>1.7888671102463352E-2</v>
      </c>
      <c r="I203" s="312">
        <f t="shared" si="965"/>
        <v>1.7998882675334144E-2</v>
      </c>
      <c r="J203" s="312">
        <f t="shared" si="965"/>
        <v>1.8121709808022468E-2</v>
      </c>
      <c r="K203" s="312">
        <f t="shared" si="965"/>
        <v>1.8250983069438537E-2</v>
      </c>
      <c r="L203" s="312">
        <f t="shared" si="965"/>
        <v>1.8390965537032289E-2</v>
      </c>
      <c r="M203" s="312">
        <f t="shared" si="965"/>
        <v>1.8536330401057566E-2</v>
      </c>
      <c r="N203" s="312">
        <f t="shared" si="965"/>
        <v>1.8692189032365886E-2</v>
      </c>
      <c r="O203" s="312">
        <f t="shared" si="965"/>
        <v>1.8851074350991981E-2</v>
      </c>
      <c r="P203" s="312">
        <f t="shared" si="965"/>
        <v>1.9019527917276735E-2</v>
      </c>
      <c r="Q203" s="312">
        <f t="shared" si="965"/>
        <v>1.9189596025648181E-2</v>
      </c>
      <c r="R203" s="312">
        <f t="shared" si="965"/>
        <v>1.9368388616787857E-2</v>
      </c>
      <c r="S203" s="312">
        <f t="shared" si="965"/>
        <v>1.95475583739943E-2</v>
      </c>
      <c r="T203" s="312">
        <f t="shared" si="965"/>
        <v>1.9733645816066014E-2</v>
      </c>
      <c r="U203" s="312">
        <f t="shared" si="965"/>
        <v>1.9920051120210558E-2</v>
      </c>
      <c r="V203" s="312">
        <f t="shared" si="965"/>
        <v>2.0113714549130801E-2</v>
      </c>
      <c r="W203" s="312">
        <f t="shared" si="965"/>
        <v>2.0305740162430919E-2</v>
      </c>
      <c r="X203" s="312">
        <f t="shared" si="965"/>
        <v>2.0504387411195202E-2</v>
      </c>
      <c r="Y203" s="312">
        <f t="shared" si="965"/>
        <v>2.0700586499582396E-2</v>
      </c>
      <c r="Z203" s="312">
        <f t="shared" si="965"/>
        <v>2.090282871633925E-2</v>
      </c>
      <c r="AA203" s="312">
        <f t="shared" si="965"/>
        <v>2.110192707403874E-2</v>
      </c>
      <c r="AB203" s="312">
        <f t="shared" si="965"/>
        <v>2.1305416461488647E-2</v>
      </c>
      <c r="AC203" s="312">
        <f t="shared" si="965"/>
        <v>2.1506292127783211E-2</v>
      </c>
      <c r="AD203" s="312">
        <f t="shared" si="965"/>
        <v>2.1712209781331093E-2</v>
      </c>
      <c r="AE203" s="312">
        <f t="shared" si="965"/>
        <v>2.1913890750464404E-2</v>
      </c>
      <c r="AF203" s="312">
        <f t="shared" si="965"/>
        <v>2.2120180926384514E-2</v>
      </c>
      <c r="AG203" s="312">
        <f t="shared" si="965"/>
        <v>2.2321815067461892E-2</v>
      </c>
      <c r="AH203" s="312">
        <f t="shared" si="965"/>
        <v>2.2527666051342765E-2</v>
      </c>
      <c r="AI203" s="312">
        <f t="shared" si="965"/>
        <v>2.2728514691301216E-2</v>
      </c>
      <c r="AJ203" s="312">
        <f t="shared" si="965"/>
        <v>2.2932101953030359E-2</v>
      </c>
      <c r="AK203" s="312">
        <f t="shared" si="965"/>
        <v>2.3131532912928243E-2</v>
      </c>
      <c r="AL203" s="312">
        <f t="shared" si="965"/>
        <v>2.3334504066343298E-2</v>
      </c>
      <c r="AM203" s="312">
        <f t="shared" si="965"/>
        <v>2.3531968163307104E-2</v>
      </c>
      <c r="AN203" s="312">
        <f t="shared" si="965"/>
        <v>2.37326809240056E-2</v>
      </c>
      <c r="AO203" s="312">
        <f t="shared" si="965"/>
        <v>2.3927713516211757E-2</v>
      </c>
      <c r="AP203" s="312">
        <f t="shared" si="965"/>
        <v>2.4125731002824835E-2</v>
      </c>
      <c r="AQ203" s="312">
        <f t="shared" si="965"/>
        <v>2.4317940088679157E-2</v>
      </c>
      <c r="AR203" s="312">
        <f t="shared" si="965"/>
        <v>2.4511828822115667E-2</v>
      </c>
      <c r="AS203" s="312">
        <f t="shared" si="965"/>
        <v>2.4700896221214519E-2</v>
      </c>
      <c r="AT203" s="312">
        <f t="shared" si="965"/>
        <v>2.4892494871509241E-2</v>
      </c>
      <c r="AU203" s="312">
        <f t="shared" si="965"/>
        <v>2.5078142231429346E-2</v>
      </c>
      <c r="AV203" s="312">
        <f t="shared" si="965"/>
        <v>2.5266125887795587E-2</v>
      </c>
      <c r="AW203" s="312">
        <f t="shared" si="965"/>
        <v>2.5448134126964173E-2</v>
      </c>
      <c r="AX203" s="312">
        <f t="shared" si="965"/>
        <v>2.5632302529256523E-2</v>
      </c>
      <c r="AY203" s="312">
        <f t="shared" si="965"/>
        <v>2.5810497617872186E-2</v>
      </c>
      <c r="AZ203" s="312">
        <f t="shared" si="965"/>
        <v>2.5989709283677609E-2</v>
      </c>
      <c r="BA203" s="312">
        <f t="shared" si="965"/>
        <v>2.6163968045103569E-2</v>
      </c>
      <c r="BB203" s="312">
        <f t="shared" si="965"/>
        <v>2.6340084599319025E-2</v>
      </c>
      <c r="BC203" s="312">
        <f t="shared" si="965"/>
        <v>2.6510296799185651E-2</v>
      </c>
      <c r="BD203" s="312">
        <f t="shared" si="965"/>
        <v>2.6682237043922807E-2</v>
      </c>
      <c r="BE203" s="312">
        <f t="shared" si="965"/>
        <v>2.6848333892870585E-2</v>
      </c>
      <c r="BF203" s="312">
        <f t="shared" si="965"/>
        <v>2.7016041649710609E-2</v>
      </c>
      <c r="BG203" s="312">
        <f t="shared" si="965"/>
        <v>2.7177981136803836E-2</v>
      </c>
      <c r="BH203" s="312">
        <f t="shared" si="965"/>
        <v>2.734053363618616E-2</v>
      </c>
      <c r="BI203" s="312">
        <f t="shared" si="965"/>
        <v>2.7498308662868509E-2</v>
      </c>
      <c r="BJ203" s="312">
        <f t="shared" si="965"/>
        <v>2.765749363159653E-2</v>
      </c>
      <c r="BK203" s="312">
        <f t="shared" si="965"/>
        <v>2.7811094050932045E-2</v>
      </c>
      <c r="BL203" s="312">
        <f t="shared" si="965"/>
        <v>2.7966018188066877E-2</v>
      </c>
      <c r="BM203" s="312">
        <f t="shared" si="965"/>
        <v>2.8115462856881185E-2</v>
      </c>
      <c r="BN203" s="312">
        <f t="shared" si="965"/>
        <v>2.8266153376545394E-2</v>
      </c>
      <c r="BO203" s="312">
        <f t="shared" ref="BO203:CB203" si="966">IF(BO201&lt;0,0,$B$5+$B$6*((1-EXP(-BO202/$B$9))/(BO202/$B$9))+$B$7*((1-EXP(-BO202/$B$9))/(BO202/$B$9)-EXP(-BO202/$B$9))+$B$8*((1-EXP(-BO202/$B$10))/(BO202/$B$10)-EXP(-BO202/$B$10)))</f>
        <v>2.8411476085819259E-2</v>
      </c>
      <c r="BP203" s="312">
        <f t="shared" si="966"/>
        <v>2.8557175121418837E-2</v>
      </c>
      <c r="BQ203" s="312">
        <f t="shared" si="966"/>
        <v>2.8698433626493575E-2</v>
      </c>
      <c r="BR203" s="312">
        <f t="shared" si="966"/>
        <v>2.8840804247033142E-2</v>
      </c>
      <c r="BS203" s="312">
        <f t="shared" si="966"/>
        <v>2.8978044385706503E-2</v>
      </c>
      <c r="BT203" s="312">
        <f t="shared" si="966"/>
        <v>2.9116339155235843E-2</v>
      </c>
      <c r="BU203" s="312">
        <f t="shared" si="966"/>
        <v>2.9249627155964936E-2</v>
      </c>
      <c r="BV203" s="312">
        <f t="shared" si="966"/>
        <v>2.9383917784152974E-2</v>
      </c>
      <c r="BW203" s="312">
        <f t="shared" si="966"/>
        <v>2.951332732213055E-2</v>
      </c>
      <c r="BX203" s="312">
        <f t="shared" si="966"/>
        <v>2.9642981472591867E-2</v>
      </c>
      <c r="BY203" s="312">
        <f t="shared" si="966"/>
        <v>2.9768602732837823E-2</v>
      </c>
      <c r="BZ203" s="312">
        <f t="shared" si="966"/>
        <v>2.9895136997630217E-2</v>
      </c>
      <c r="CA203" s="312">
        <f t="shared" si="966"/>
        <v>3.0017043911665431E-2</v>
      </c>
      <c r="CB203" s="312">
        <f t="shared" si="966"/>
        <v>3.0139825130984371E-2</v>
      </c>
    </row>
    <row r="204" spans="1:80">
      <c r="A204" s="311" t="s">
        <v>44</v>
      </c>
      <c r="B204" s="312">
        <f>EXP(-B203*B202)</f>
        <v>0.99791430641336143</v>
      </c>
      <c r="C204" s="312">
        <f t="shared" ref="C204:BN204" si="967">EXP(-C203*C202)</f>
        <v>0.98930725859517343</v>
      </c>
      <c r="D204" s="312">
        <f t="shared" si="967"/>
        <v>0.98058221880385688</v>
      </c>
      <c r="E204" s="312">
        <f t="shared" si="967"/>
        <v>0.97200821743756716</v>
      </c>
      <c r="F204" s="312">
        <f t="shared" si="967"/>
        <v>0.96323000757809185</v>
      </c>
      <c r="G204" s="312">
        <f t="shared" si="967"/>
        <v>0.95461827656406961</v>
      </c>
      <c r="H204" s="312">
        <f t="shared" si="967"/>
        <v>0.94577268931873637</v>
      </c>
      <c r="I204" s="312">
        <f t="shared" si="967"/>
        <v>0.93707124424938515</v>
      </c>
      <c r="J204" s="312">
        <f t="shared" si="967"/>
        <v>0.92811369391126985</v>
      </c>
      <c r="K204" s="312">
        <f t="shared" si="967"/>
        <v>0.91928663098596664</v>
      </c>
      <c r="L204" s="312">
        <f t="shared" si="967"/>
        <v>0.91023783696651839</v>
      </c>
      <c r="M204" s="312">
        <f t="shared" si="967"/>
        <v>0.90126322208072707</v>
      </c>
      <c r="N204" s="312">
        <f t="shared" si="967"/>
        <v>0.89200640419776622</v>
      </c>
      <c r="O204" s="312">
        <f t="shared" si="967"/>
        <v>0.88287276478426491</v>
      </c>
      <c r="P204" s="312">
        <f t="shared" si="967"/>
        <v>0.87345138329108507</v>
      </c>
      <c r="Q204" s="312">
        <f t="shared" si="967"/>
        <v>0.86415697461779017</v>
      </c>
      <c r="R204" s="312">
        <f t="shared" si="967"/>
        <v>0.85457333909969935</v>
      </c>
      <c r="S204" s="312">
        <f t="shared" si="967"/>
        <v>0.84512401562868855</v>
      </c>
      <c r="T204" s="312">
        <f t="shared" si="967"/>
        <v>0.83544109204891148</v>
      </c>
      <c r="U204" s="312">
        <f t="shared" si="967"/>
        <v>0.82584914302444601</v>
      </c>
      <c r="V204" s="312">
        <f t="shared" si="967"/>
        <v>0.81597464021942656</v>
      </c>
      <c r="W204" s="312">
        <f t="shared" si="967"/>
        <v>0.80625625288226899</v>
      </c>
      <c r="X204" s="312">
        <f t="shared" si="967"/>
        <v>0.79626237804508226</v>
      </c>
      <c r="Y204" s="312">
        <f t="shared" si="967"/>
        <v>0.78643767221132144</v>
      </c>
      <c r="Z204" s="312">
        <f t="shared" si="967"/>
        <v>0.77634638876579443</v>
      </c>
      <c r="AA204" s="312">
        <f t="shared" si="967"/>
        <v>0.76643796706624656</v>
      </c>
      <c r="AB204" s="312">
        <f t="shared" si="967"/>
        <v>0.756329235596783</v>
      </c>
      <c r="AC204" s="312">
        <f t="shared" si="967"/>
        <v>0.74636142466443522</v>
      </c>
      <c r="AD204" s="312">
        <f t="shared" si="967"/>
        <v>0.736148736526551</v>
      </c>
      <c r="AE204" s="312">
        <f t="shared" si="967"/>
        <v>0.72614636711897274</v>
      </c>
      <c r="AF204" s="312">
        <f t="shared" si="967"/>
        <v>0.71591125385786414</v>
      </c>
      <c r="AG204" s="312">
        <f t="shared" si="967"/>
        <v>0.70589955845012387</v>
      </c>
      <c r="AH204" s="312">
        <f t="shared" si="967"/>
        <v>0.69566771475607325</v>
      </c>
      <c r="AI204" s="312">
        <f t="shared" si="967"/>
        <v>0.68567160304468922</v>
      </c>
      <c r="AJ204" s="312">
        <f t="shared" si="967"/>
        <v>0.67552416821374195</v>
      </c>
      <c r="AK204" s="312">
        <f t="shared" si="967"/>
        <v>0.66556765941989671</v>
      </c>
      <c r="AL204" s="312">
        <f t="shared" si="967"/>
        <v>0.65541663621813495</v>
      </c>
      <c r="AM204" s="312">
        <f t="shared" si="967"/>
        <v>0.64552289038964639</v>
      </c>
      <c r="AN204" s="312">
        <f t="shared" si="967"/>
        <v>0.63544734114181667</v>
      </c>
      <c r="AO204" s="312">
        <f t="shared" si="967"/>
        <v>0.62563810322402669</v>
      </c>
      <c r="AP204" s="312">
        <f t="shared" si="967"/>
        <v>0.61565950186001772</v>
      </c>
      <c r="AQ204" s="312">
        <f t="shared" si="967"/>
        <v>0.60595499228558303</v>
      </c>
      <c r="AR204" s="312">
        <f t="shared" si="967"/>
        <v>0.59614719164528696</v>
      </c>
      <c r="AS204" s="312">
        <f t="shared" si="967"/>
        <v>0.58656561314396949</v>
      </c>
      <c r="AT204" s="312">
        <f t="shared" si="967"/>
        <v>0.57683830686680782</v>
      </c>
      <c r="AU204" s="312">
        <f t="shared" si="967"/>
        <v>0.56739682465877894</v>
      </c>
      <c r="AV204" s="312">
        <f t="shared" si="967"/>
        <v>0.55782070151220431</v>
      </c>
      <c r="AW204" s="312">
        <f t="shared" si="967"/>
        <v>0.54853440471685533</v>
      </c>
      <c r="AX204" s="312">
        <f t="shared" si="967"/>
        <v>0.53912399303334091</v>
      </c>
      <c r="AY204" s="312">
        <f t="shared" si="967"/>
        <v>0.53000621527384872</v>
      </c>
      <c r="AZ204" s="312">
        <f t="shared" si="967"/>
        <v>0.52082473081030556</v>
      </c>
      <c r="BA204" s="312">
        <f t="shared" si="967"/>
        <v>0.51188656737864158</v>
      </c>
      <c r="BB204" s="312">
        <f t="shared" si="967"/>
        <v>0.50284354146092802</v>
      </c>
      <c r="BC204" s="312">
        <f t="shared" si="967"/>
        <v>0.49409542351815</v>
      </c>
      <c r="BD204" s="312">
        <f t="shared" si="967"/>
        <v>0.48525118063541095</v>
      </c>
      <c r="BE204" s="312">
        <f t="shared" si="967"/>
        <v>0.47670145810294201</v>
      </c>
      <c r="BF204" s="312">
        <f t="shared" si="967"/>
        <v>0.46806375188897731</v>
      </c>
      <c r="BG204" s="312">
        <f t="shared" si="967"/>
        <v>0.45971926387535655</v>
      </c>
      <c r="BH204" s="312">
        <f t="shared" si="967"/>
        <v>0.45134034317745753</v>
      </c>
      <c r="BI204" s="312">
        <f t="shared" si="967"/>
        <v>0.4432059210587449</v>
      </c>
      <c r="BJ204" s="312">
        <f t="shared" si="967"/>
        <v>0.43499804944418757</v>
      </c>
      <c r="BK204" s="312">
        <f t="shared" si="967"/>
        <v>0.42707838172460116</v>
      </c>
      <c r="BL204" s="312">
        <f t="shared" si="967"/>
        <v>0.41909171941435414</v>
      </c>
      <c r="BM204" s="312">
        <f t="shared" si="967"/>
        <v>0.41138970320222656</v>
      </c>
      <c r="BN204" s="312">
        <f t="shared" si="967"/>
        <v>0.4036266321051048</v>
      </c>
      <c r="BO204" s="312">
        <f t="shared" ref="BO204:CB204" si="968">EXP(-BO203*BO202)</f>
        <v>0.3961440552092883</v>
      </c>
      <c r="BP204" s="312">
        <f t="shared" si="968"/>
        <v>0.38864698321707103</v>
      </c>
      <c r="BQ204" s="312">
        <f t="shared" si="968"/>
        <v>0.38138401488856305</v>
      </c>
      <c r="BR204" s="312">
        <f t="shared" si="968"/>
        <v>0.37407042463401752</v>
      </c>
      <c r="BS204" s="312">
        <f t="shared" si="968"/>
        <v>0.36702755299151435</v>
      </c>
      <c r="BT204" s="312">
        <f t="shared" si="968"/>
        <v>0.35993862545657307</v>
      </c>
      <c r="BU204" s="312">
        <f t="shared" si="968"/>
        <v>0.353114917078515</v>
      </c>
      <c r="BV204" s="312">
        <f t="shared" si="968"/>
        <v>0.34624931908631784</v>
      </c>
      <c r="BW204" s="312">
        <f t="shared" si="968"/>
        <v>0.33964312189017309</v>
      </c>
      <c r="BX204" s="312">
        <f t="shared" si="968"/>
        <v>0.33303503384707789</v>
      </c>
      <c r="BY204" s="312">
        <f t="shared" si="968"/>
        <v>0.32664346959891011</v>
      </c>
      <c r="BZ204" s="312">
        <f t="shared" si="968"/>
        <v>0.32021725442632976</v>
      </c>
      <c r="CA204" s="312">
        <f t="shared" si="968"/>
        <v>0.3140380909721745</v>
      </c>
      <c r="CB204" s="312">
        <f t="shared" si="968"/>
        <v>0.30782741393960439</v>
      </c>
    </row>
    <row r="206" spans="1:80">
      <c r="A206" s="311" t="s">
        <v>40</v>
      </c>
      <c r="B206" s="312">
        <f t="shared" ref="B206:AG206" si="969">DAYS360($B$3,B78)</f>
        <v>133</v>
      </c>
      <c r="C206" s="312">
        <f t="shared" si="969"/>
        <v>313</v>
      </c>
      <c r="D206" s="312">
        <f t="shared" si="969"/>
        <v>492</v>
      </c>
      <c r="E206" s="312">
        <f t="shared" si="969"/>
        <v>673</v>
      </c>
      <c r="F206" s="312">
        <f t="shared" si="969"/>
        <v>852</v>
      </c>
      <c r="G206" s="312">
        <f t="shared" si="969"/>
        <v>1033</v>
      </c>
      <c r="H206" s="312">
        <f t="shared" si="969"/>
        <v>1212</v>
      </c>
      <c r="I206" s="312">
        <f t="shared" si="969"/>
        <v>1393</v>
      </c>
      <c r="J206" s="312">
        <f t="shared" si="969"/>
        <v>1572</v>
      </c>
      <c r="K206" s="312">
        <f t="shared" si="969"/>
        <v>1752</v>
      </c>
      <c r="L206" s="312">
        <f t="shared" si="969"/>
        <v>1931</v>
      </c>
      <c r="M206" s="312">
        <f t="shared" si="969"/>
        <v>2112</v>
      </c>
      <c r="N206" s="312">
        <f t="shared" si="969"/>
        <v>2291</v>
      </c>
      <c r="O206" s="312">
        <f t="shared" si="969"/>
        <v>2472</v>
      </c>
      <c r="P206" s="312">
        <f t="shared" si="969"/>
        <v>2651</v>
      </c>
      <c r="Q206" s="312">
        <f t="shared" si="969"/>
        <v>2832</v>
      </c>
      <c r="R206" s="312">
        <f t="shared" si="969"/>
        <v>3011</v>
      </c>
      <c r="S206" s="312">
        <f t="shared" si="969"/>
        <v>3191</v>
      </c>
      <c r="T206" s="312">
        <f t="shared" si="969"/>
        <v>3370</v>
      </c>
      <c r="U206" s="312">
        <f t="shared" si="969"/>
        <v>3551</v>
      </c>
      <c r="V206" s="312">
        <f t="shared" si="969"/>
        <v>3730</v>
      </c>
      <c r="W206" s="312">
        <f t="shared" si="969"/>
        <v>3911</v>
      </c>
      <c r="X206" s="312">
        <f t="shared" si="969"/>
        <v>4090</v>
      </c>
      <c r="Y206" s="312">
        <f t="shared" si="969"/>
        <v>4271</v>
      </c>
      <c r="Z206" s="312">
        <f t="shared" si="969"/>
        <v>4450</v>
      </c>
      <c r="AA206" s="312">
        <f t="shared" si="969"/>
        <v>4630</v>
      </c>
      <c r="AB206" s="312">
        <f t="shared" si="969"/>
        <v>4809</v>
      </c>
      <c r="AC206" s="312">
        <f t="shared" si="969"/>
        <v>4990</v>
      </c>
      <c r="AD206" s="312">
        <f t="shared" si="969"/>
        <v>5169</v>
      </c>
      <c r="AE206" s="312">
        <f t="shared" si="969"/>
        <v>5350</v>
      </c>
      <c r="AF206" s="312">
        <f t="shared" si="969"/>
        <v>5529</v>
      </c>
      <c r="AG206" s="312">
        <f t="shared" si="969"/>
        <v>5710</v>
      </c>
      <c r="AH206" s="312">
        <f t="shared" ref="AH206:BM206" si="970">DAYS360($B$3,AH78)</f>
        <v>5889</v>
      </c>
      <c r="AI206" s="312">
        <f t="shared" si="970"/>
        <v>6069</v>
      </c>
      <c r="AJ206" s="312">
        <f t="shared" si="970"/>
        <v>6248</v>
      </c>
      <c r="AK206" s="312">
        <f t="shared" si="970"/>
        <v>6429</v>
      </c>
      <c r="AL206" s="312">
        <f t="shared" si="970"/>
        <v>6608</v>
      </c>
      <c r="AM206" s="312">
        <f t="shared" si="970"/>
        <v>6789</v>
      </c>
      <c r="AN206" s="312">
        <f t="shared" si="970"/>
        <v>6968</v>
      </c>
      <c r="AO206" s="312">
        <f t="shared" si="970"/>
        <v>7149</v>
      </c>
      <c r="AP206" s="312">
        <f t="shared" si="970"/>
        <v>7328</v>
      </c>
      <c r="AQ206" s="312">
        <f t="shared" si="970"/>
        <v>7508</v>
      </c>
      <c r="AR206" s="312">
        <f t="shared" si="970"/>
        <v>7687</v>
      </c>
      <c r="AS206" s="312">
        <f t="shared" si="970"/>
        <v>7868</v>
      </c>
      <c r="AT206" s="312">
        <f t="shared" si="970"/>
        <v>8047</v>
      </c>
      <c r="AU206" s="312">
        <f t="shared" si="970"/>
        <v>8228</v>
      </c>
      <c r="AV206" s="312">
        <f t="shared" si="970"/>
        <v>8407</v>
      </c>
      <c r="AW206" s="312">
        <f t="shared" si="970"/>
        <v>8588</v>
      </c>
      <c r="AX206" s="312">
        <f t="shared" si="970"/>
        <v>8767</v>
      </c>
      <c r="AY206" s="312">
        <f t="shared" si="970"/>
        <v>8947</v>
      </c>
      <c r="AZ206" s="312">
        <f t="shared" si="970"/>
        <v>9126</v>
      </c>
      <c r="BA206" s="312">
        <f t="shared" si="970"/>
        <v>9307</v>
      </c>
      <c r="BB206" s="312">
        <f t="shared" si="970"/>
        <v>9486</v>
      </c>
      <c r="BC206" s="312">
        <f t="shared" si="970"/>
        <v>9667</v>
      </c>
      <c r="BD206" s="312">
        <f t="shared" si="970"/>
        <v>9846</v>
      </c>
      <c r="BE206" s="312">
        <f t="shared" si="970"/>
        <v>10027</v>
      </c>
      <c r="BF206" s="312">
        <f t="shared" si="970"/>
        <v>10206</v>
      </c>
      <c r="BG206" s="312">
        <f t="shared" si="970"/>
        <v>10386</v>
      </c>
      <c r="BH206" s="312">
        <f t="shared" si="970"/>
        <v>10565</v>
      </c>
      <c r="BI206" s="312">
        <f t="shared" si="970"/>
        <v>10746</v>
      </c>
      <c r="BJ206" s="312">
        <f t="shared" si="970"/>
        <v>10925</v>
      </c>
      <c r="BK206" s="312">
        <f t="shared" si="970"/>
        <v>11106</v>
      </c>
      <c r="BL206" s="312">
        <f t="shared" si="970"/>
        <v>11285</v>
      </c>
      <c r="BM206" s="312">
        <f t="shared" si="970"/>
        <v>11466</v>
      </c>
      <c r="BN206" s="312">
        <f t="shared" ref="BN206:CB206" si="971">DAYS360($B$3,BN78)</f>
        <v>11645</v>
      </c>
      <c r="BO206" s="312">
        <f t="shared" si="971"/>
        <v>11825</v>
      </c>
      <c r="BP206" s="312">
        <f t="shared" si="971"/>
        <v>12004</v>
      </c>
      <c r="BQ206" s="312">
        <f t="shared" si="971"/>
        <v>12185</v>
      </c>
      <c r="BR206" s="312">
        <f t="shared" si="971"/>
        <v>12364</v>
      </c>
      <c r="BS206" s="312">
        <f t="shared" si="971"/>
        <v>12545</v>
      </c>
      <c r="BT206" s="312">
        <f t="shared" si="971"/>
        <v>12724</v>
      </c>
      <c r="BU206" s="312">
        <f t="shared" si="971"/>
        <v>12905</v>
      </c>
      <c r="BV206" s="312">
        <f t="shared" si="971"/>
        <v>13084</v>
      </c>
      <c r="BW206" s="312">
        <f t="shared" si="971"/>
        <v>13264</v>
      </c>
      <c r="BX206" s="312">
        <f t="shared" si="971"/>
        <v>13443</v>
      </c>
      <c r="BY206" s="312">
        <f t="shared" si="971"/>
        <v>13624</v>
      </c>
      <c r="BZ206" s="312">
        <f t="shared" si="971"/>
        <v>13803</v>
      </c>
      <c r="CA206" s="312">
        <f t="shared" si="971"/>
        <v>13984</v>
      </c>
      <c r="CB206" s="312">
        <f t="shared" si="971"/>
        <v>14163</v>
      </c>
    </row>
    <row r="207" spans="1:80">
      <c r="A207" s="311" t="s">
        <v>41</v>
      </c>
      <c r="B207" s="312">
        <f>B206/360</f>
        <v>0.36944444444444446</v>
      </c>
      <c r="C207" s="312">
        <f t="shared" ref="C207:BN207" si="972">C206/360</f>
        <v>0.86944444444444446</v>
      </c>
      <c r="D207" s="312">
        <f t="shared" si="972"/>
        <v>1.3666666666666667</v>
      </c>
      <c r="E207" s="312">
        <f t="shared" si="972"/>
        <v>1.8694444444444445</v>
      </c>
      <c r="F207" s="312">
        <f t="shared" si="972"/>
        <v>2.3666666666666667</v>
      </c>
      <c r="G207" s="312">
        <f t="shared" si="972"/>
        <v>2.8694444444444445</v>
      </c>
      <c r="H207" s="312">
        <f t="shared" si="972"/>
        <v>3.3666666666666667</v>
      </c>
      <c r="I207" s="312">
        <f t="shared" si="972"/>
        <v>3.8694444444444445</v>
      </c>
      <c r="J207" s="312">
        <f t="shared" si="972"/>
        <v>4.3666666666666663</v>
      </c>
      <c r="K207" s="312">
        <f t="shared" si="972"/>
        <v>4.8666666666666663</v>
      </c>
      <c r="L207" s="312">
        <f t="shared" si="972"/>
        <v>5.3638888888888889</v>
      </c>
      <c r="M207" s="312">
        <f t="shared" si="972"/>
        <v>5.8666666666666663</v>
      </c>
      <c r="N207" s="312">
        <f t="shared" si="972"/>
        <v>6.3638888888888889</v>
      </c>
      <c r="O207" s="312">
        <f t="shared" si="972"/>
        <v>6.8666666666666663</v>
      </c>
      <c r="P207" s="312">
        <f t="shared" si="972"/>
        <v>7.3638888888888889</v>
      </c>
      <c r="Q207" s="312">
        <f t="shared" si="972"/>
        <v>7.8666666666666663</v>
      </c>
      <c r="R207" s="312">
        <f t="shared" si="972"/>
        <v>8.3638888888888889</v>
      </c>
      <c r="S207" s="312">
        <f t="shared" si="972"/>
        <v>8.8638888888888889</v>
      </c>
      <c r="T207" s="312">
        <f t="shared" si="972"/>
        <v>9.3611111111111107</v>
      </c>
      <c r="U207" s="312">
        <f t="shared" si="972"/>
        <v>9.8638888888888889</v>
      </c>
      <c r="V207" s="312">
        <f t="shared" si="972"/>
        <v>10.361111111111111</v>
      </c>
      <c r="W207" s="312">
        <f t="shared" si="972"/>
        <v>10.863888888888889</v>
      </c>
      <c r="X207" s="312">
        <f t="shared" si="972"/>
        <v>11.361111111111111</v>
      </c>
      <c r="Y207" s="312">
        <f t="shared" si="972"/>
        <v>11.863888888888889</v>
      </c>
      <c r="Z207" s="312">
        <f t="shared" si="972"/>
        <v>12.361111111111111</v>
      </c>
      <c r="AA207" s="312">
        <f t="shared" si="972"/>
        <v>12.861111111111111</v>
      </c>
      <c r="AB207" s="312">
        <f t="shared" si="972"/>
        <v>13.358333333333333</v>
      </c>
      <c r="AC207" s="312">
        <f t="shared" si="972"/>
        <v>13.861111111111111</v>
      </c>
      <c r="AD207" s="312">
        <f t="shared" si="972"/>
        <v>14.358333333333333</v>
      </c>
      <c r="AE207" s="312">
        <f t="shared" si="972"/>
        <v>14.861111111111111</v>
      </c>
      <c r="AF207" s="312">
        <f t="shared" si="972"/>
        <v>15.358333333333333</v>
      </c>
      <c r="AG207" s="312">
        <f t="shared" si="972"/>
        <v>15.861111111111111</v>
      </c>
      <c r="AH207" s="312">
        <f t="shared" si="972"/>
        <v>16.358333333333334</v>
      </c>
      <c r="AI207" s="312">
        <f t="shared" si="972"/>
        <v>16.858333333333334</v>
      </c>
      <c r="AJ207" s="312">
        <f t="shared" si="972"/>
        <v>17.355555555555554</v>
      </c>
      <c r="AK207" s="312">
        <f t="shared" si="972"/>
        <v>17.858333333333334</v>
      </c>
      <c r="AL207" s="312">
        <f t="shared" si="972"/>
        <v>18.355555555555554</v>
      </c>
      <c r="AM207" s="312">
        <f t="shared" si="972"/>
        <v>18.858333333333334</v>
      </c>
      <c r="AN207" s="312">
        <f t="shared" si="972"/>
        <v>19.355555555555554</v>
      </c>
      <c r="AO207" s="312">
        <f t="shared" si="972"/>
        <v>19.858333333333334</v>
      </c>
      <c r="AP207" s="312">
        <f t="shared" si="972"/>
        <v>20.355555555555554</v>
      </c>
      <c r="AQ207" s="312">
        <f t="shared" si="972"/>
        <v>20.855555555555554</v>
      </c>
      <c r="AR207" s="312">
        <f t="shared" si="972"/>
        <v>21.352777777777778</v>
      </c>
      <c r="AS207" s="312">
        <f t="shared" si="972"/>
        <v>21.855555555555554</v>
      </c>
      <c r="AT207" s="312">
        <f t="shared" si="972"/>
        <v>22.352777777777778</v>
      </c>
      <c r="AU207" s="312">
        <f t="shared" si="972"/>
        <v>22.855555555555554</v>
      </c>
      <c r="AV207" s="312">
        <f t="shared" si="972"/>
        <v>23.352777777777778</v>
      </c>
      <c r="AW207" s="312">
        <f t="shared" si="972"/>
        <v>23.855555555555554</v>
      </c>
      <c r="AX207" s="312">
        <f t="shared" si="972"/>
        <v>24.352777777777778</v>
      </c>
      <c r="AY207" s="312">
        <f t="shared" si="972"/>
        <v>24.852777777777778</v>
      </c>
      <c r="AZ207" s="312">
        <f t="shared" si="972"/>
        <v>25.35</v>
      </c>
      <c r="BA207" s="312">
        <f t="shared" si="972"/>
        <v>25.852777777777778</v>
      </c>
      <c r="BB207" s="312">
        <f t="shared" si="972"/>
        <v>26.35</v>
      </c>
      <c r="BC207" s="312">
        <f t="shared" si="972"/>
        <v>26.852777777777778</v>
      </c>
      <c r="BD207" s="312">
        <f t="shared" si="972"/>
        <v>27.35</v>
      </c>
      <c r="BE207" s="312">
        <f t="shared" si="972"/>
        <v>27.852777777777778</v>
      </c>
      <c r="BF207" s="312">
        <f t="shared" si="972"/>
        <v>28.35</v>
      </c>
      <c r="BG207" s="312">
        <f t="shared" si="972"/>
        <v>28.85</v>
      </c>
      <c r="BH207" s="312">
        <f t="shared" si="972"/>
        <v>29.347222222222221</v>
      </c>
      <c r="BI207" s="312">
        <f t="shared" si="972"/>
        <v>29.85</v>
      </c>
      <c r="BJ207" s="312">
        <f t="shared" si="972"/>
        <v>30.347222222222221</v>
      </c>
      <c r="BK207" s="312">
        <f t="shared" si="972"/>
        <v>30.85</v>
      </c>
      <c r="BL207" s="312">
        <f t="shared" si="972"/>
        <v>31.347222222222221</v>
      </c>
      <c r="BM207" s="312">
        <f t="shared" si="972"/>
        <v>31.85</v>
      </c>
      <c r="BN207" s="312">
        <f t="shared" si="972"/>
        <v>32.347222222222221</v>
      </c>
      <c r="BO207" s="312">
        <f t="shared" ref="BO207:CB207" si="973">BO206/360</f>
        <v>32.847222222222221</v>
      </c>
      <c r="BP207" s="312">
        <f t="shared" si="973"/>
        <v>33.344444444444441</v>
      </c>
      <c r="BQ207" s="312">
        <f t="shared" si="973"/>
        <v>33.847222222222221</v>
      </c>
      <c r="BR207" s="312">
        <f t="shared" si="973"/>
        <v>34.344444444444441</v>
      </c>
      <c r="BS207" s="312">
        <f t="shared" si="973"/>
        <v>34.847222222222221</v>
      </c>
      <c r="BT207" s="312">
        <f t="shared" si="973"/>
        <v>35.344444444444441</v>
      </c>
      <c r="BU207" s="312">
        <f t="shared" si="973"/>
        <v>35.847222222222221</v>
      </c>
      <c r="BV207" s="312">
        <f t="shared" si="973"/>
        <v>36.344444444444441</v>
      </c>
      <c r="BW207" s="312">
        <f t="shared" si="973"/>
        <v>36.844444444444441</v>
      </c>
      <c r="BX207" s="312">
        <f t="shared" si="973"/>
        <v>37.341666666666669</v>
      </c>
      <c r="BY207" s="312">
        <f t="shared" si="973"/>
        <v>37.844444444444441</v>
      </c>
      <c r="BZ207" s="312">
        <f t="shared" si="973"/>
        <v>38.341666666666669</v>
      </c>
      <c r="CA207" s="312">
        <f t="shared" si="973"/>
        <v>38.844444444444441</v>
      </c>
      <c r="CB207" s="312">
        <f t="shared" si="973"/>
        <v>39.341666666666669</v>
      </c>
    </row>
    <row r="208" spans="1:80">
      <c r="A208" s="311" t="s">
        <v>43</v>
      </c>
      <c r="B208" s="312">
        <f>IF(B206&lt;0,0,$B$5+$B$6*((1-EXP(-B207/$B$9))/(B207/$B$9))+$B$7*((1-EXP(-B207/$B$9))/(B207/$B$9)-EXP(-B207/$B$9))+$B$8*((1-EXP(-B207/$B$10))/(B207/$B$10)-EXP(-B207/$B$10)))</f>
        <v>1.7494035859913069E-2</v>
      </c>
      <c r="C208" s="312">
        <f t="shared" ref="C208:BN208" si="974">IF(C206&lt;0,0,$B$5+$B$6*((1-EXP(-C207/$B$9))/(C207/$B$9))+$B$7*((1-EXP(-C207/$B$9))/(C207/$B$9)-EXP(-C207/$B$9))+$B$8*((1-EXP(-C207/$B$10))/(C207/$B$10)-EXP(-C207/$B$10)))</f>
        <v>1.7534452551026574E-2</v>
      </c>
      <c r="D208" s="312">
        <f t="shared" si="974"/>
        <v>1.7589680797807102E-2</v>
      </c>
      <c r="E208" s="312">
        <f t="shared" si="974"/>
        <v>1.7659717098585284E-2</v>
      </c>
      <c r="F208" s="312">
        <f t="shared" si="974"/>
        <v>1.7742025104683146E-2</v>
      </c>
      <c r="G208" s="312">
        <f t="shared" si="974"/>
        <v>1.7837492577305103E-2</v>
      </c>
      <c r="H208" s="312">
        <f t="shared" si="974"/>
        <v>1.7943121038026116E-2</v>
      </c>
      <c r="I208" s="312">
        <f t="shared" si="974"/>
        <v>1.8060416313741751E-2</v>
      </c>
      <c r="J208" s="312">
        <f t="shared" si="974"/>
        <v>1.8185988839614364E-2</v>
      </c>
      <c r="K208" s="312">
        <f t="shared" si="974"/>
        <v>1.8321104603581745E-2</v>
      </c>
      <c r="L208" s="312">
        <f t="shared" si="974"/>
        <v>1.8463551428609309E-2</v>
      </c>
      <c r="M208" s="312">
        <f t="shared" si="974"/>
        <v>1.8615100395966366E-2</v>
      </c>
      <c r="N208" s="312">
        <f t="shared" si="974"/>
        <v>1.8771763991778823E-2</v>
      </c>
      <c r="O208" s="312">
        <f t="shared" si="974"/>
        <v>1.8936431084106975E-2</v>
      </c>
      <c r="P208" s="312">
        <f t="shared" si="974"/>
        <v>1.9104893355776725E-2</v>
      </c>
      <c r="Q208" s="312">
        <f t="shared" si="974"/>
        <v>1.9280370193487245E-2</v>
      </c>
      <c r="R208" s="312">
        <f t="shared" si="974"/>
        <v>1.9458477173729893E-2</v>
      </c>
      <c r="S208" s="312">
        <f t="shared" si="974"/>
        <v>1.9641681476117168E-2</v>
      </c>
      <c r="T208" s="312">
        <f t="shared" si="974"/>
        <v>1.982749998245753E-2</v>
      </c>
      <c r="U208" s="312">
        <f t="shared" si="974"/>
        <v>2.0018648783305837E-2</v>
      </c>
      <c r="V208" s="312">
        <f t="shared" si="974"/>
        <v>2.0210505543667434E-2</v>
      </c>
      <c r="W208" s="312">
        <f t="shared" si="974"/>
        <v>2.040697786712542E-2</v>
      </c>
      <c r="X208" s="312">
        <f t="shared" si="974"/>
        <v>2.0603372470135939E-2</v>
      </c>
      <c r="Y208" s="312">
        <f t="shared" si="974"/>
        <v>2.0803743415670262E-2</v>
      </c>
      <c r="Z208" s="312">
        <f t="shared" si="974"/>
        <v>2.1003353447785145E-2</v>
      </c>
      <c r="AA208" s="312">
        <f t="shared" si="974"/>
        <v>2.1205244785368949E-2</v>
      </c>
      <c r="AB208" s="312">
        <f t="shared" si="974"/>
        <v>2.1406904279599515E-2</v>
      </c>
      <c r="AC208" s="312">
        <f t="shared" si="974"/>
        <v>2.1611462265007764E-2</v>
      </c>
      <c r="AD208" s="312">
        <f t="shared" si="974"/>
        <v>2.181416118767493E-2</v>
      </c>
      <c r="AE208" s="312">
        <f t="shared" si="974"/>
        <v>2.2019306223084734E-2</v>
      </c>
      <c r="AF208" s="312">
        <f t="shared" si="974"/>
        <v>2.2222157673019105E-2</v>
      </c>
      <c r="AG208" s="312">
        <f t="shared" si="974"/>
        <v>2.2427053775746053E-2</v>
      </c>
      <c r="AH208" s="312">
        <f t="shared" si="974"/>
        <v>2.2629288014615889E-2</v>
      </c>
      <c r="AI208" s="312">
        <f t="shared" si="974"/>
        <v>2.2832086657489536E-2</v>
      </c>
      <c r="AJ208" s="312">
        <f t="shared" si="974"/>
        <v>2.3033043451220925E-2</v>
      </c>
      <c r="AK208" s="312">
        <f t="shared" si="974"/>
        <v>2.3235376273018304E-2</v>
      </c>
      <c r="AL208" s="312">
        <f t="shared" si="974"/>
        <v>2.3434482210699992E-2</v>
      </c>
      <c r="AM208" s="312">
        <f t="shared" si="974"/>
        <v>2.3634687482069483E-2</v>
      </c>
      <c r="AN208" s="312">
        <f t="shared" si="974"/>
        <v>2.3831456032201048E-2</v>
      </c>
      <c r="AO208" s="312">
        <f t="shared" si="974"/>
        <v>2.4029080864188257E-2</v>
      </c>
      <c r="AP208" s="312">
        <f t="shared" si="974"/>
        <v>2.4223100637882744E-2</v>
      </c>
      <c r="AQ208" s="312">
        <f t="shared" si="974"/>
        <v>2.4416692742404711E-2</v>
      </c>
      <c r="AR208" s="312">
        <f t="shared" si="974"/>
        <v>2.460762829464741E-2</v>
      </c>
      <c r="AS208" s="312">
        <f t="shared" si="974"/>
        <v>2.479902208552015E-2</v>
      </c>
      <c r="AT208" s="312">
        <f t="shared" si="974"/>
        <v>2.4986580154964966E-2</v>
      </c>
      <c r="AU208" s="312">
        <f t="shared" si="974"/>
        <v>2.5174434999163053E-2</v>
      </c>
      <c r="AV208" s="312">
        <f t="shared" si="974"/>
        <v>2.5358383251115835E-2</v>
      </c>
      <c r="AW208" s="312">
        <f t="shared" si="974"/>
        <v>2.5542488560203136E-2</v>
      </c>
      <c r="AX208" s="312">
        <f t="shared" si="974"/>
        <v>2.5722641366182575E-2</v>
      </c>
      <c r="AY208" s="312">
        <f t="shared" si="974"/>
        <v>2.5901840932052334E-2</v>
      </c>
      <c r="AZ208" s="312">
        <f t="shared" si="974"/>
        <v>2.6078064994934369E-2</v>
      </c>
      <c r="BA208" s="312">
        <f t="shared" si="974"/>
        <v>2.6254223111295327E-2</v>
      </c>
      <c r="BB208" s="312">
        <f t="shared" si="974"/>
        <v>2.6426399449294147E-2</v>
      </c>
      <c r="BC208" s="312">
        <f t="shared" si="974"/>
        <v>2.6598422244731523E-2</v>
      </c>
      <c r="BD208" s="312">
        <f t="shared" si="974"/>
        <v>2.6766474481668773E-2</v>
      </c>
      <c r="BE208" s="312">
        <f t="shared" si="974"/>
        <v>2.6934299283410179E-2</v>
      </c>
      <c r="BF208" s="312">
        <f t="shared" si="974"/>
        <v>2.7098178890431229E-2</v>
      </c>
      <c r="BG208" s="312">
        <f t="shared" si="974"/>
        <v>2.7260871370943823E-2</v>
      </c>
      <c r="BH208" s="312">
        <f t="shared" si="974"/>
        <v>2.7420565750746528E-2</v>
      </c>
      <c r="BI208" s="312">
        <f t="shared" si="974"/>
        <v>2.7579920093619675E-2</v>
      </c>
      <c r="BJ208" s="312">
        <f t="shared" si="974"/>
        <v>2.7735414333675212E-2</v>
      </c>
      <c r="BK208" s="312">
        <f t="shared" si="974"/>
        <v>2.7890527016338734E-2</v>
      </c>
      <c r="BL208" s="312">
        <f t="shared" si="974"/>
        <v>2.8041836015468419E-2</v>
      </c>
      <c r="BM208" s="312">
        <f t="shared" si="974"/>
        <v>2.8192730299653523E-2</v>
      </c>
      <c r="BN208" s="312">
        <f t="shared" si="974"/>
        <v>2.8339884563011508E-2</v>
      </c>
      <c r="BO208" s="312">
        <f t="shared" ref="BO208:CB208" si="975">IF(BO206&lt;0,0,$B$5+$B$6*((1-EXP(-BO207/$B$9))/(BO207/$B$9))+$B$7*((1-EXP(-BO207/$B$9))/(BO207/$B$9)-EXP(-BO207/$B$9))+$B$8*((1-EXP(-BO207/$B$10))/(BO207/$B$10)-EXP(-BO207/$B$10)))</f>
        <v>2.8485793462082049E-2</v>
      </c>
      <c r="BP208" s="312">
        <f t="shared" si="975"/>
        <v>2.8628848156471903E-2</v>
      </c>
      <c r="BQ208" s="312">
        <f t="shared" si="975"/>
        <v>2.8771442988122786E-2</v>
      </c>
      <c r="BR208" s="312">
        <f t="shared" si="975"/>
        <v>2.8910441691096161E-2</v>
      </c>
      <c r="BS208" s="312">
        <f t="shared" si="975"/>
        <v>2.9048966749366079E-2</v>
      </c>
      <c r="BT208" s="312">
        <f t="shared" si="975"/>
        <v>2.9183973988521211E-2</v>
      </c>
      <c r="BU208" s="312">
        <f t="shared" si="975"/>
        <v>2.9318498684285488E-2</v>
      </c>
      <c r="BV208" s="312">
        <f t="shared" si="975"/>
        <v>2.9449586842300507E-2</v>
      </c>
      <c r="BW208" s="312">
        <f t="shared" si="975"/>
        <v>2.9579471589338935E-2</v>
      </c>
      <c r="BX208" s="312">
        <f t="shared" si="975"/>
        <v>2.9706730033158574E-2</v>
      </c>
      <c r="BY208" s="312">
        <f t="shared" si="975"/>
        <v>2.9833500237512495E-2</v>
      </c>
      <c r="BZ208" s="312">
        <f t="shared" si="975"/>
        <v>2.9957002161933532E-2</v>
      </c>
      <c r="CA208" s="312">
        <f t="shared" si="975"/>
        <v>3.0080017939380144E-2</v>
      </c>
      <c r="CB208" s="312">
        <f t="shared" si="975"/>
        <v>3.0199851388160365E-2</v>
      </c>
    </row>
    <row r="209" spans="1:80">
      <c r="A209" s="311" t="s">
        <v>44</v>
      </c>
      <c r="B209" s="312">
        <f>EXP(-B208*B207)</f>
        <v>0.99355776638313631</v>
      </c>
      <c r="C209" s="312">
        <f t="shared" ref="C209:BN209" si="976">EXP(-C208*C207)</f>
        <v>0.9848703878996955</v>
      </c>
      <c r="D209" s="312">
        <f t="shared" si="976"/>
        <v>0.97624741040714758</v>
      </c>
      <c r="E209" s="312">
        <f t="shared" si="976"/>
        <v>0.96752514957777958</v>
      </c>
      <c r="F209" s="312">
        <f t="shared" si="976"/>
        <v>0.95887988767473709</v>
      </c>
      <c r="G209" s="312">
        <f t="shared" si="976"/>
        <v>0.95010412609437123</v>
      </c>
      <c r="H209" s="312">
        <f t="shared" si="976"/>
        <v>0.94137989428341584</v>
      </c>
      <c r="I209" s="312">
        <f t="shared" si="976"/>
        <v>0.93250219127929346</v>
      </c>
      <c r="J209" s="312">
        <f t="shared" si="976"/>
        <v>0.92365915869203385</v>
      </c>
      <c r="K209" s="312">
        <f t="shared" si="976"/>
        <v>0.91469673201054735</v>
      </c>
      <c r="L209" s="312">
        <f t="shared" si="976"/>
        <v>0.90570970484838431</v>
      </c>
      <c r="M209" s="312">
        <f t="shared" si="976"/>
        <v>0.89654338891317364</v>
      </c>
      <c r="N209" s="312">
        <f t="shared" si="976"/>
        <v>0.88739824272363232</v>
      </c>
      <c r="O209" s="312">
        <f t="shared" si="976"/>
        <v>0.87806894786438017</v>
      </c>
      <c r="P209" s="312">
        <f t="shared" si="976"/>
        <v>0.86876178918874192</v>
      </c>
      <c r="Q209" s="312">
        <f t="shared" si="976"/>
        <v>0.85926986413918938</v>
      </c>
      <c r="R209" s="312">
        <f t="shared" si="976"/>
        <v>0.84980485260416327</v>
      </c>
      <c r="S209" s="312">
        <f t="shared" si="976"/>
        <v>0.84021145876909653</v>
      </c>
      <c r="T209" s="312">
        <f t="shared" si="976"/>
        <v>0.83059959914767389</v>
      </c>
      <c r="U209" s="312">
        <f t="shared" si="976"/>
        <v>0.82081155469749645</v>
      </c>
      <c r="V209" s="312">
        <f t="shared" si="976"/>
        <v>0.81106807115474555</v>
      </c>
      <c r="W209" s="312">
        <f t="shared" si="976"/>
        <v>0.80115636389763678</v>
      </c>
      <c r="X209" s="312">
        <f t="shared" si="976"/>
        <v>0.79130072203797275</v>
      </c>
      <c r="Y209" s="312">
        <f t="shared" si="976"/>
        <v>0.7812865458352718</v>
      </c>
      <c r="Z209" s="312">
        <f t="shared" si="976"/>
        <v>0.77134094968797906</v>
      </c>
      <c r="AA209" s="312">
        <f t="shared" si="976"/>
        <v>0.76130363243516019</v>
      </c>
      <c r="AB209" s="312">
        <f t="shared" si="976"/>
        <v>0.75129224407364981</v>
      </c>
      <c r="AC209" s="312">
        <f t="shared" si="976"/>
        <v>0.74114508270352386</v>
      </c>
      <c r="AD209" s="312">
        <f t="shared" si="976"/>
        <v>0.73109271240459339</v>
      </c>
      <c r="AE209" s="312">
        <f t="shared" si="976"/>
        <v>0.7209169350055401</v>
      </c>
      <c r="AF209" s="312">
        <f t="shared" si="976"/>
        <v>0.71084896000752851</v>
      </c>
      <c r="AG209" s="312">
        <f t="shared" si="976"/>
        <v>0.70067018709206297</v>
      </c>
      <c r="AH209" s="312">
        <f t="shared" si="976"/>
        <v>0.69061178007015767</v>
      </c>
      <c r="AI209" s="312">
        <f t="shared" si="976"/>
        <v>0.68051124829733622</v>
      </c>
      <c r="AJ209" s="312">
        <f t="shared" si="976"/>
        <v>0.67048679867504868</v>
      </c>
      <c r="AK209" s="312">
        <f t="shared" si="976"/>
        <v>0.66037653794164752</v>
      </c>
      <c r="AL209" s="312">
        <f t="shared" si="976"/>
        <v>0.6504096133826216</v>
      </c>
      <c r="AM209" s="312">
        <f t="shared" si="976"/>
        <v>0.6403689305268131</v>
      </c>
      <c r="AN209" s="312">
        <f t="shared" si="976"/>
        <v>0.63048174878730701</v>
      </c>
      <c r="AO209" s="312">
        <f t="shared" si="976"/>
        <v>0.62053237657560589</v>
      </c>
      <c r="AP209" s="312">
        <f t="shared" si="976"/>
        <v>0.61074566251901541</v>
      </c>
      <c r="AQ209" s="312">
        <f t="shared" si="976"/>
        <v>0.60096192934319526</v>
      </c>
      <c r="AR209" s="312">
        <f t="shared" si="976"/>
        <v>0.59129441670070215</v>
      </c>
      <c r="AS209" s="312">
        <f t="shared" si="976"/>
        <v>0.58158601143737676</v>
      </c>
      <c r="AT209" s="312">
        <f t="shared" si="976"/>
        <v>0.57205538027260416</v>
      </c>
      <c r="AU209" s="312">
        <f t="shared" si="976"/>
        <v>0.56249350158780109</v>
      </c>
      <c r="AV209" s="312">
        <f t="shared" si="976"/>
        <v>0.55311536152293361</v>
      </c>
      <c r="AW209" s="312">
        <f t="shared" si="976"/>
        <v>0.54371489755973423</v>
      </c>
      <c r="AX209" s="312">
        <f t="shared" si="976"/>
        <v>0.53450308913506384</v>
      </c>
      <c r="AY209" s="312">
        <f t="shared" si="976"/>
        <v>0.52532787016445281</v>
      </c>
      <c r="AZ209" s="312">
        <f t="shared" si="976"/>
        <v>0.51629397970601532</v>
      </c>
      <c r="BA209" s="312">
        <f t="shared" si="976"/>
        <v>0.50725340084452386</v>
      </c>
      <c r="BB209" s="312">
        <f t="shared" si="976"/>
        <v>0.49840831638174787</v>
      </c>
      <c r="BC209" s="312">
        <f t="shared" si="976"/>
        <v>0.48956329410891269</v>
      </c>
      <c r="BD209" s="312">
        <f t="shared" si="976"/>
        <v>0.4809157995677395</v>
      </c>
      <c r="BE209" s="312">
        <f t="shared" si="976"/>
        <v>0.4722744254297524</v>
      </c>
      <c r="BF209" s="312">
        <f t="shared" si="976"/>
        <v>0.46383176332536091</v>
      </c>
      <c r="BG209" s="312">
        <f t="shared" si="976"/>
        <v>0.45544690237647967</v>
      </c>
      <c r="BH209" s="312">
        <f t="shared" si="976"/>
        <v>0.44721427511793294</v>
      </c>
      <c r="BI209" s="312">
        <f t="shared" si="976"/>
        <v>0.43899791524330178</v>
      </c>
      <c r="BJ209" s="312">
        <f t="shared" si="976"/>
        <v>0.43098034972227744</v>
      </c>
      <c r="BK209" s="312">
        <f t="shared" si="976"/>
        <v>0.42298322477944761</v>
      </c>
      <c r="BL209" s="312">
        <f t="shared" si="976"/>
        <v>0.41518392461191095</v>
      </c>
      <c r="BM209" s="312">
        <f t="shared" si="976"/>
        <v>0.40740868388281198</v>
      </c>
      <c r="BN209" s="312">
        <f t="shared" si="976"/>
        <v>0.39982971152291635</v>
      </c>
      <c r="BO209" s="312">
        <f t="shared" ref="BO209:CB209" si="977">EXP(-BO208*BO207)</f>
        <v>0.39231931644145562</v>
      </c>
      <c r="BP209" s="312">
        <f t="shared" si="977"/>
        <v>0.38496108148270108</v>
      </c>
      <c r="BQ209" s="312">
        <f t="shared" si="977"/>
        <v>0.37763263369187949</v>
      </c>
      <c r="BR209" s="312">
        <f t="shared" si="977"/>
        <v>0.37049584142826281</v>
      </c>
      <c r="BS209" s="312">
        <f t="shared" si="977"/>
        <v>0.36339103262655759</v>
      </c>
      <c r="BT209" s="312">
        <f t="shared" si="977"/>
        <v>0.35647493601579272</v>
      </c>
      <c r="BU209" s="312">
        <f t="shared" si="977"/>
        <v>0.349592622693918</v>
      </c>
      <c r="BV209" s="312">
        <f t="shared" si="977"/>
        <v>0.34289572975964877</v>
      </c>
      <c r="BW209" s="312">
        <f t="shared" si="977"/>
        <v>0.33627056244957387</v>
      </c>
      <c r="BX209" s="312">
        <f t="shared" si="977"/>
        <v>0.32979012534277874</v>
      </c>
      <c r="BY209" s="312">
        <f t="shared" si="977"/>
        <v>0.32334602565445208</v>
      </c>
      <c r="BZ209" s="312">
        <f t="shared" si="977"/>
        <v>0.31707993017509595</v>
      </c>
      <c r="CA209" s="312">
        <f t="shared" si="977"/>
        <v>0.31085099861737719</v>
      </c>
      <c r="CB209" s="312">
        <f t="shared" si="977"/>
        <v>0.3047960280166857</v>
      </c>
    </row>
    <row r="211" spans="1:80">
      <c r="A211" s="311" t="s">
        <v>40</v>
      </c>
      <c r="B211" s="312">
        <f t="shared" ref="B211:AG211" si="978">DAYS360($B$3,B80)</f>
        <v>133</v>
      </c>
      <c r="C211" s="312">
        <f t="shared" si="978"/>
        <v>313</v>
      </c>
      <c r="D211" s="312">
        <f t="shared" si="978"/>
        <v>492</v>
      </c>
      <c r="E211" s="312">
        <f t="shared" si="978"/>
        <v>673</v>
      </c>
      <c r="F211" s="312">
        <f t="shared" si="978"/>
        <v>852</v>
      </c>
      <c r="G211" s="312">
        <f t="shared" si="978"/>
        <v>1033</v>
      </c>
      <c r="H211" s="312">
        <f t="shared" si="978"/>
        <v>1212</v>
      </c>
      <c r="I211" s="312">
        <f t="shared" si="978"/>
        <v>1393</v>
      </c>
      <c r="J211" s="312">
        <f t="shared" si="978"/>
        <v>1572</v>
      </c>
      <c r="K211" s="312">
        <f t="shared" si="978"/>
        <v>1752</v>
      </c>
      <c r="L211" s="312">
        <f t="shared" si="978"/>
        <v>1931</v>
      </c>
      <c r="M211" s="312">
        <f t="shared" si="978"/>
        <v>2112</v>
      </c>
      <c r="N211" s="312">
        <f t="shared" si="978"/>
        <v>2291</v>
      </c>
      <c r="O211" s="312">
        <f t="shared" si="978"/>
        <v>2472</v>
      </c>
      <c r="P211" s="312">
        <f t="shared" si="978"/>
        <v>2651</v>
      </c>
      <c r="Q211" s="312">
        <f t="shared" si="978"/>
        <v>2832</v>
      </c>
      <c r="R211" s="312">
        <f t="shared" si="978"/>
        <v>3011</v>
      </c>
      <c r="S211" s="312">
        <f t="shared" si="978"/>
        <v>3191</v>
      </c>
      <c r="T211" s="312">
        <f t="shared" si="978"/>
        <v>3370</v>
      </c>
      <c r="U211" s="312">
        <f t="shared" si="978"/>
        <v>3551</v>
      </c>
      <c r="V211" s="312">
        <f t="shared" si="978"/>
        <v>3730</v>
      </c>
      <c r="W211" s="312">
        <f t="shared" si="978"/>
        <v>3911</v>
      </c>
      <c r="X211" s="312">
        <f t="shared" si="978"/>
        <v>4090</v>
      </c>
      <c r="Y211" s="312">
        <f t="shared" si="978"/>
        <v>4271</v>
      </c>
      <c r="Z211" s="312">
        <f t="shared" si="978"/>
        <v>4450</v>
      </c>
      <c r="AA211" s="312">
        <f t="shared" si="978"/>
        <v>4630</v>
      </c>
      <c r="AB211" s="312">
        <f t="shared" si="978"/>
        <v>4809</v>
      </c>
      <c r="AC211" s="312">
        <f t="shared" si="978"/>
        <v>4990</v>
      </c>
      <c r="AD211" s="312">
        <f t="shared" si="978"/>
        <v>5169</v>
      </c>
      <c r="AE211" s="312">
        <f t="shared" si="978"/>
        <v>5350</v>
      </c>
      <c r="AF211" s="312">
        <f t="shared" si="978"/>
        <v>5529</v>
      </c>
      <c r="AG211" s="312">
        <f t="shared" si="978"/>
        <v>5710</v>
      </c>
      <c r="AH211" s="312">
        <f t="shared" ref="AH211:BM211" si="979">DAYS360($B$3,AH80)</f>
        <v>5889</v>
      </c>
      <c r="AI211" s="312">
        <f t="shared" si="979"/>
        <v>6069</v>
      </c>
      <c r="AJ211" s="312">
        <f t="shared" si="979"/>
        <v>6248</v>
      </c>
      <c r="AK211" s="312">
        <f t="shared" si="979"/>
        <v>6429</v>
      </c>
      <c r="AL211" s="312">
        <f t="shared" si="979"/>
        <v>6608</v>
      </c>
      <c r="AM211" s="312">
        <f t="shared" si="979"/>
        <v>6789</v>
      </c>
      <c r="AN211" s="312">
        <f t="shared" si="979"/>
        <v>6968</v>
      </c>
      <c r="AO211" s="312">
        <f t="shared" si="979"/>
        <v>7149</v>
      </c>
      <c r="AP211" s="312">
        <f t="shared" si="979"/>
        <v>7328</v>
      </c>
      <c r="AQ211" s="312">
        <f t="shared" si="979"/>
        <v>7508</v>
      </c>
      <c r="AR211" s="312">
        <f t="shared" si="979"/>
        <v>7687</v>
      </c>
      <c r="AS211" s="312">
        <f t="shared" si="979"/>
        <v>7868</v>
      </c>
      <c r="AT211" s="312">
        <f t="shared" si="979"/>
        <v>8047</v>
      </c>
      <c r="AU211" s="312">
        <f t="shared" si="979"/>
        <v>8228</v>
      </c>
      <c r="AV211" s="312">
        <f t="shared" si="979"/>
        <v>8407</v>
      </c>
      <c r="AW211" s="312">
        <f t="shared" si="979"/>
        <v>8588</v>
      </c>
      <c r="AX211" s="312">
        <f t="shared" si="979"/>
        <v>8767</v>
      </c>
      <c r="AY211" s="312">
        <f t="shared" si="979"/>
        <v>8947</v>
      </c>
      <c r="AZ211" s="312">
        <f t="shared" si="979"/>
        <v>9126</v>
      </c>
      <c r="BA211" s="312">
        <f t="shared" si="979"/>
        <v>9307</v>
      </c>
      <c r="BB211" s="312">
        <f t="shared" si="979"/>
        <v>9486</v>
      </c>
      <c r="BC211" s="312">
        <f t="shared" si="979"/>
        <v>9667</v>
      </c>
      <c r="BD211" s="312">
        <f t="shared" si="979"/>
        <v>9846</v>
      </c>
      <c r="BE211" s="312">
        <f t="shared" si="979"/>
        <v>10027</v>
      </c>
      <c r="BF211" s="312">
        <f t="shared" si="979"/>
        <v>10206</v>
      </c>
      <c r="BG211" s="312">
        <f t="shared" si="979"/>
        <v>10386</v>
      </c>
      <c r="BH211" s="312">
        <f t="shared" si="979"/>
        <v>10565</v>
      </c>
      <c r="BI211" s="312">
        <f t="shared" si="979"/>
        <v>10746</v>
      </c>
      <c r="BJ211" s="312">
        <f t="shared" si="979"/>
        <v>10925</v>
      </c>
      <c r="BK211" s="312">
        <f t="shared" si="979"/>
        <v>11106</v>
      </c>
      <c r="BL211" s="312">
        <f t="shared" si="979"/>
        <v>11285</v>
      </c>
      <c r="BM211" s="312">
        <f t="shared" si="979"/>
        <v>11466</v>
      </c>
      <c r="BN211" s="312">
        <f t="shared" ref="BN211:CB211" si="980">DAYS360($B$3,BN80)</f>
        <v>11645</v>
      </c>
      <c r="BO211" s="312">
        <f t="shared" si="980"/>
        <v>11825</v>
      </c>
      <c r="BP211" s="312">
        <f t="shared" si="980"/>
        <v>12004</v>
      </c>
      <c r="BQ211" s="312">
        <f t="shared" si="980"/>
        <v>12185</v>
      </c>
      <c r="BR211" s="312">
        <f t="shared" si="980"/>
        <v>12364</v>
      </c>
      <c r="BS211" s="312">
        <f t="shared" si="980"/>
        <v>12545</v>
      </c>
      <c r="BT211" s="312">
        <f t="shared" si="980"/>
        <v>12724</v>
      </c>
      <c r="BU211" s="312">
        <f t="shared" si="980"/>
        <v>12905</v>
      </c>
      <c r="BV211" s="312">
        <f t="shared" si="980"/>
        <v>13084</v>
      </c>
      <c r="BW211" s="312">
        <f t="shared" si="980"/>
        <v>13264</v>
      </c>
      <c r="BX211" s="312">
        <f t="shared" si="980"/>
        <v>13443</v>
      </c>
      <c r="BY211" s="312">
        <f t="shared" si="980"/>
        <v>13624</v>
      </c>
      <c r="BZ211" s="312">
        <f t="shared" si="980"/>
        <v>13803</v>
      </c>
      <c r="CA211" s="312">
        <f t="shared" si="980"/>
        <v>13984</v>
      </c>
      <c r="CB211" s="312">
        <f t="shared" si="980"/>
        <v>14163</v>
      </c>
    </row>
    <row r="212" spans="1:80">
      <c r="A212" s="311" t="s">
        <v>41</v>
      </c>
      <c r="B212" s="312">
        <f>B211/360</f>
        <v>0.36944444444444446</v>
      </c>
      <c r="C212" s="312">
        <f t="shared" ref="C212:BN212" si="981">C211/360</f>
        <v>0.86944444444444446</v>
      </c>
      <c r="D212" s="312">
        <f t="shared" si="981"/>
        <v>1.3666666666666667</v>
      </c>
      <c r="E212" s="312">
        <f t="shared" si="981"/>
        <v>1.8694444444444445</v>
      </c>
      <c r="F212" s="312">
        <f t="shared" si="981"/>
        <v>2.3666666666666667</v>
      </c>
      <c r="G212" s="312">
        <f t="shared" si="981"/>
        <v>2.8694444444444445</v>
      </c>
      <c r="H212" s="312">
        <f t="shared" si="981"/>
        <v>3.3666666666666667</v>
      </c>
      <c r="I212" s="312">
        <f t="shared" si="981"/>
        <v>3.8694444444444445</v>
      </c>
      <c r="J212" s="312">
        <f t="shared" si="981"/>
        <v>4.3666666666666663</v>
      </c>
      <c r="K212" s="312">
        <f t="shared" si="981"/>
        <v>4.8666666666666663</v>
      </c>
      <c r="L212" s="312">
        <f t="shared" si="981"/>
        <v>5.3638888888888889</v>
      </c>
      <c r="M212" s="312">
        <f t="shared" si="981"/>
        <v>5.8666666666666663</v>
      </c>
      <c r="N212" s="312">
        <f t="shared" si="981"/>
        <v>6.3638888888888889</v>
      </c>
      <c r="O212" s="312">
        <f t="shared" si="981"/>
        <v>6.8666666666666663</v>
      </c>
      <c r="P212" s="312">
        <f t="shared" si="981"/>
        <v>7.3638888888888889</v>
      </c>
      <c r="Q212" s="312">
        <f t="shared" si="981"/>
        <v>7.8666666666666663</v>
      </c>
      <c r="R212" s="312">
        <f t="shared" si="981"/>
        <v>8.3638888888888889</v>
      </c>
      <c r="S212" s="312">
        <f t="shared" si="981"/>
        <v>8.8638888888888889</v>
      </c>
      <c r="T212" s="312">
        <f t="shared" si="981"/>
        <v>9.3611111111111107</v>
      </c>
      <c r="U212" s="312">
        <f t="shared" si="981"/>
        <v>9.8638888888888889</v>
      </c>
      <c r="V212" s="312">
        <f t="shared" si="981"/>
        <v>10.361111111111111</v>
      </c>
      <c r="W212" s="312">
        <f t="shared" si="981"/>
        <v>10.863888888888889</v>
      </c>
      <c r="X212" s="312">
        <f t="shared" si="981"/>
        <v>11.361111111111111</v>
      </c>
      <c r="Y212" s="312">
        <f t="shared" si="981"/>
        <v>11.863888888888889</v>
      </c>
      <c r="Z212" s="312">
        <f t="shared" si="981"/>
        <v>12.361111111111111</v>
      </c>
      <c r="AA212" s="312">
        <f t="shared" si="981"/>
        <v>12.861111111111111</v>
      </c>
      <c r="AB212" s="312">
        <f t="shared" si="981"/>
        <v>13.358333333333333</v>
      </c>
      <c r="AC212" s="312">
        <f t="shared" si="981"/>
        <v>13.861111111111111</v>
      </c>
      <c r="AD212" s="312">
        <f t="shared" si="981"/>
        <v>14.358333333333333</v>
      </c>
      <c r="AE212" s="312">
        <f t="shared" si="981"/>
        <v>14.861111111111111</v>
      </c>
      <c r="AF212" s="312">
        <f t="shared" si="981"/>
        <v>15.358333333333333</v>
      </c>
      <c r="AG212" s="312">
        <f t="shared" si="981"/>
        <v>15.861111111111111</v>
      </c>
      <c r="AH212" s="312">
        <f t="shared" si="981"/>
        <v>16.358333333333334</v>
      </c>
      <c r="AI212" s="312">
        <f t="shared" si="981"/>
        <v>16.858333333333334</v>
      </c>
      <c r="AJ212" s="312">
        <f t="shared" si="981"/>
        <v>17.355555555555554</v>
      </c>
      <c r="AK212" s="312">
        <f t="shared" si="981"/>
        <v>17.858333333333334</v>
      </c>
      <c r="AL212" s="312">
        <f t="shared" si="981"/>
        <v>18.355555555555554</v>
      </c>
      <c r="AM212" s="312">
        <f t="shared" si="981"/>
        <v>18.858333333333334</v>
      </c>
      <c r="AN212" s="312">
        <f t="shared" si="981"/>
        <v>19.355555555555554</v>
      </c>
      <c r="AO212" s="312">
        <f t="shared" si="981"/>
        <v>19.858333333333334</v>
      </c>
      <c r="AP212" s="312">
        <f t="shared" si="981"/>
        <v>20.355555555555554</v>
      </c>
      <c r="AQ212" s="312">
        <f t="shared" si="981"/>
        <v>20.855555555555554</v>
      </c>
      <c r="AR212" s="312">
        <f t="shared" si="981"/>
        <v>21.352777777777778</v>
      </c>
      <c r="AS212" s="312">
        <f t="shared" si="981"/>
        <v>21.855555555555554</v>
      </c>
      <c r="AT212" s="312">
        <f t="shared" si="981"/>
        <v>22.352777777777778</v>
      </c>
      <c r="AU212" s="312">
        <f t="shared" si="981"/>
        <v>22.855555555555554</v>
      </c>
      <c r="AV212" s="312">
        <f t="shared" si="981"/>
        <v>23.352777777777778</v>
      </c>
      <c r="AW212" s="312">
        <f t="shared" si="981"/>
        <v>23.855555555555554</v>
      </c>
      <c r="AX212" s="312">
        <f t="shared" si="981"/>
        <v>24.352777777777778</v>
      </c>
      <c r="AY212" s="312">
        <f t="shared" si="981"/>
        <v>24.852777777777778</v>
      </c>
      <c r="AZ212" s="312">
        <f t="shared" si="981"/>
        <v>25.35</v>
      </c>
      <c r="BA212" s="312">
        <f t="shared" si="981"/>
        <v>25.852777777777778</v>
      </c>
      <c r="BB212" s="312">
        <f t="shared" si="981"/>
        <v>26.35</v>
      </c>
      <c r="BC212" s="312">
        <f t="shared" si="981"/>
        <v>26.852777777777778</v>
      </c>
      <c r="BD212" s="312">
        <f t="shared" si="981"/>
        <v>27.35</v>
      </c>
      <c r="BE212" s="312">
        <f t="shared" si="981"/>
        <v>27.852777777777778</v>
      </c>
      <c r="BF212" s="312">
        <f t="shared" si="981"/>
        <v>28.35</v>
      </c>
      <c r="BG212" s="312">
        <f t="shared" si="981"/>
        <v>28.85</v>
      </c>
      <c r="BH212" s="312">
        <f t="shared" si="981"/>
        <v>29.347222222222221</v>
      </c>
      <c r="BI212" s="312">
        <f t="shared" si="981"/>
        <v>29.85</v>
      </c>
      <c r="BJ212" s="312">
        <f t="shared" si="981"/>
        <v>30.347222222222221</v>
      </c>
      <c r="BK212" s="312">
        <f t="shared" si="981"/>
        <v>30.85</v>
      </c>
      <c r="BL212" s="312">
        <f t="shared" si="981"/>
        <v>31.347222222222221</v>
      </c>
      <c r="BM212" s="312">
        <f t="shared" si="981"/>
        <v>31.85</v>
      </c>
      <c r="BN212" s="312">
        <f t="shared" si="981"/>
        <v>32.347222222222221</v>
      </c>
      <c r="BO212" s="312">
        <f t="shared" ref="BO212:CB212" si="982">BO211/360</f>
        <v>32.847222222222221</v>
      </c>
      <c r="BP212" s="312">
        <f t="shared" si="982"/>
        <v>33.344444444444441</v>
      </c>
      <c r="BQ212" s="312">
        <f t="shared" si="982"/>
        <v>33.847222222222221</v>
      </c>
      <c r="BR212" s="312">
        <f t="shared" si="982"/>
        <v>34.344444444444441</v>
      </c>
      <c r="BS212" s="312">
        <f t="shared" si="982"/>
        <v>34.847222222222221</v>
      </c>
      <c r="BT212" s="312">
        <f t="shared" si="982"/>
        <v>35.344444444444441</v>
      </c>
      <c r="BU212" s="312">
        <f t="shared" si="982"/>
        <v>35.847222222222221</v>
      </c>
      <c r="BV212" s="312">
        <f t="shared" si="982"/>
        <v>36.344444444444441</v>
      </c>
      <c r="BW212" s="312">
        <f t="shared" si="982"/>
        <v>36.844444444444441</v>
      </c>
      <c r="BX212" s="312">
        <f t="shared" si="982"/>
        <v>37.341666666666669</v>
      </c>
      <c r="BY212" s="312">
        <f t="shared" si="982"/>
        <v>37.844444444444441</v>
      </c>
      <c r="BZ212" s="312">
        <f t="shared" si="982"/>
        <v>38.341666666666669</v>
      </c>
      <c r="CA212" s="312">
        <f t="shared" si="982"/>
        <v>38.844444444444441</v>
      </c>
      <c r="CB212" s="312">
        <f t="shared" si="982"/>
        <v>39.341666666666669</v>
      </c>
    </row>
    <row r="213" spans="1:80">
      <c r="A213" s="311" t="s">
        <v>43</v>
      </c>
      <c r="B213" s="312">
        <f>IF(B211&lt;0,0,$B$5+$B$6*((1-EXP(-B212/$B$9))/(B212/$B$9))+$B$7*((1-EXP(-B212/$B$9))/(B212/$B$9)-EXP(-B212/$B$9))+$B$8*((1-EXP(-B212/$B$10))/(B212/$B$10)-EXP(-B212/$B$10)))</f>
        <v>1.7494035859913069E-2</v>
      </c>
      <c r="C213" s="312">
        <f t="shared" ref="C213:BN213" si="983">IF(C211&lt;0,0,$B$5+$B$6*((1-EXP(-C212/$B$9))/(C212/$B$9))+$B$7*((1-EXP(-C212/$B$9))/(C212/$B$9)-EXP(-C212/$B$9))+$B$8*((1-EXP(-C212/$B$10))/(C212/$B$10)-EXP(-C212/$B$10)))</f>
        <v>1.7534452551026574E-2</v>
      </c>
      <c r="D213" s="312">
        <f t="shared" si="983"/>
        <v>1.7589680797807102E-2</v>
      </c>
      <c r="E213" s="312">
        <f t="shared" si="983"/>
        <v>1.7659717098585284E-2</v>
      </c>
      <c r="F213" s="312">
        <f t="shared" si="983"/>
        <v>1.7742025104683146E-2</v>
      </c>
      <c r="G213" s="312">
        <f t="shared" si="983"/>
        <v>1.7837492577305103E-2</v>
      </c>
      <c r="H213" s="312">
        <f t="shared" si="983"/>
        <v>1.7943121038026116E-2</v>
      </c>
      <c r="I213" s="312">
        <f t="shared" si="983"/>
        <v>1.8060416313741751E-2</v>
      </c>
      <c r="J213" s="312">
        <f t="shared" si="983"/>
        <v>1.8185988839614364E-2</v>
      </c>
      <c r="K213" s="312">
        <f t="shared" si="983"/>
        <v>1.8321104603581745E-2</v>
      </c>
      <c r="L213" s="312">
        <f t="shared" si="983"/>
        <v>1.8463551428609309E-2</v>
      </c>
      <c r="M213" s="312">
        <f t="shared" si="983"/>
        <v>1.8615100395966366E-2</v>
      </c>
      <c r="N213" s="312">
        <f t="shared" si="983"/>
        <v>1.8771763991778823E-2</v>
      </c>
      <c r="O213" s="312">
        <f t="shared" si="983"/>
        <v>1.8936431084106975E-2</v>
      </c>
      <c r="P213" s="312">
        <f t="shared" si="983"/>
        <v>1.9104893355776725E-2</v>
      </c>
      <c r="Q213" s="312">
        <f t="shared" si="983"/>
        <v>1.9280370193487245E-2</v>
      </c>
      <c r="R213" s="312">
        <f t="shared" si="983"/>
        <v>1.9458477173729893E-2</v>
      </c>
      <c r="S213" s="312">
        <f t="shared" si="983"/>
        <v>1.9641681476117168E-2</v>
      </c>
      <c r="T213" s="312">
        <f t="shared" si="983"/>
        <v>1.982749998245753E-2</v>
      </c>
      <c r="U213" s="312">
        <f t="shared" si="983"/>
        <v>2.0018648783305837E-2</v>
      </c>
      <c r="V213" s="312">
        <f t="shared" si="983"/>
        <v>2.0210505543667434E-2</v>
      </c>
      <c r="W213" s="312">
        <f t="shared" si="983"/>
        <v>2.040697786712542E-2</v>
      </c>
      <c r="X213" s="312">
        <f t="shared" si="983"/>
        <v>2.0603372470135939E-2</v>
      </c>
      <c r="Y213" s="312">
        <f t="shared" si="983"/>
        <v>2.0803743415670262E-2</v>
      </c>
      <c r="Z213" s="312">
        <f t="shared" si="983"/>
        <v>2.1003353447785145E-2</v>
      </c>
      <c r="AA213" s="312">
        <f t="shared" si="983"/>
        <v>2.1205244785368949E-2</v>
      </c>
      <c r="AB213" s="312">
        <f t="shared" si="983"/>
        <v>2.1406904279599515E-2</v>
      </c>
      <c r="AC213" s="312">
        <f t="shared" si="983"/>
        <v>2.1611462265007764E-2</v>
      </c>
      <c r="AD213" s="312">
        <f t="shared" si="983"/>
        <v>2.181416118767493E-2</v>
      </c>
      <c r="AE213" s="312">
        <f t="shared" si="983"/>
        <v>2.2019306223084734E-2</v>
      </c>
      <c r="AF213" s="312">
        <f t="shared" si="983"/>
        <v>2.2222157673019105E-2</v>
      </c>
      <c r="AG213" s="312">
        <f t="shared" si="983"/>
        <v>2.2427053775746053E-2</v>
      </c>
      <c r="AH213" s="312">
        <f t="shared" si="983"/>
        <v>2.2629288014615889E-2</v>
      </c>
      <c r="AI213" s="312">
        <f t="shared" si="983"/>
        <v>2.2832086657489536E-2</v>
      </c>
      <c r="AJ213" s="312">
        <f t="shared" si="983"/>
        <v>2.3033043451220925E-2</v>
      </c>
      <c r="AK213" s="312">
        <f t="shared" si="983"/>
        <v>2.3235376273018304E-2</v>
      </c>
      <c r="AL213" s="312">
        <f t="shared" si="983"/>
        <v>2.3434482210699992E-2</v>
      </c>
      <c r="AM213" s="312">
        <f t="shared" si="983"/>
        <v>2.3634687482069483E-2</v>
      </c>
      <c r="AN213" s="312">
        <f t="shared" si="983"/>
        <v>2.3831456032201048E-2</v>
      </c>
      <c r="AO213" s="312">
        <f t="shared" si="983"/>
        <v>2.4029080864188257E-2</v>
      </c>
      <c r="AP213" s="312">
        <f t="shared" si="983"/>
        <v>2.4223100637882744E-2</v>
      </c>
      <c r="AQ213" s="312">
        <f t="shared" si="983"/>
        <v>2.4416692742404711E-2</v>
      </c>
      <c r="AR213" s="312">
        <f t="shared" si="983"/>
        <v>2.460762829464741E-2</v>
      </c>
      <c r="AS213" s="312">
        <f t="shared" si="983"/>
        <v>2.479902208552015E-2</v>
      </c>
      <c r="AT213" s="312">
        <f t="shared" si="983"/>
        <v>2.4986580154964966E-2</v>
      </c>
      <c r="AU213" s="312">
        <f t="shared" si="983"/>
        <v>2.5174434999163053E-2</v>
      </c>
      <c r="AV213" s="312">
        <f t="shared" si="983"/>
        <v>2.5358383251115835E-2</v>
      </c>
      <c r="AW213" s="312">
        <f t="shared" si="983"/>
        <v>2.5542488560203136E-2</v>
      </c>
      <c r="AX213" s="312">
        <f t="shared" si="983"/>
        <v>2.5722641366182575E-2</v>
      </c>
      <c r="AY213" s="312">
        <f t="shared" si="983"/>
        <v>2.5901840932052334E-2</v>
      </c>
      <c r="AZ213" s="312">
        <f t="shared" si="983"/>
        <v>2.6078064994934369E-2</v>
      </c>
      <c r="BA213" s="312">
        <f t="shared" si="983"/>
        <v>2.6254223111295327E-2</v>
      </c>
      <c r="BB213" s="312">
        <f t="shared" si="983"/>
        <v>2.6426399449294147E-2</v>
      </c>
      <c r="BC213" s="312">
        <f t="shared" si="983"/>
        <v>2.6598422244731523E-2</v>
      </c>
      <c r="BD213" s="312">
        <f t="shared" si="983"/>
        <v>2.6766474481668773E-2</v>
      </c>
      <c r="BE213" s="312">
        <f t="shared" si="983"/>
        <v>2.6934299283410179E-2</v>
      </c>
      <c r="BF213" s="312">
        <f t="shared" si="983"/>
        <v>2.7098178890431229E-2</v>
      </c>
      <c r="BG213" s="312">
        <f t="shared" si="983"/>
        <v>2.7260871370943823E-2</v>
      </c>
      <c r="BH213" s="312">
        <f t="shared" si="983"/>
        <v>2.7420565750746528E-2</v>
      </c>
      <c r="BI213" s="312">
        <f t="shared" si="983"/>
        <v>2.7579920093619675E-2</v>
      </c>
      <c r="BJ213" s="312">
        <f t="shared" si="983"/>
        <v>2.7735414333675212E-2</v>
      </c>
      <c r="BK213" s="312">
        <f t="shared" si="983"/>
        <v>2.7890527016338734E-2</v>
      </c>
      <c r="BL213" s="312">
        <f t="shared" si="983"/>
        <v>2.8041836015468419E-2</v>
      </c>
      <c r="BM213" s="312">
        <f t="shared" si="983"/>
        <v>2.8192730299653523E-2</v>
      </c>
      <c r="BN213" s="312">
        <f t="shared" si="983"/>
        <v>2.8339884563011508E-2</v>
      </c>
      <c r="BO213" s="312">
        <f t="shared" ref="BO213:CB213" si="984">IF(BO211&lt;0,0,$B$5+$B$6*((1-EXP(-BO212/$B$9))/(BO212/$B$9))+$B$7*((1-EXP(-BO212/$B$9))/(BO212/$B$9)-EXP(-BO212/$B$9))+$B$8*((1-EXP(-BO212/$B$10))/(BO212/$B$10)-EXP(-BO212/$B$10)))</f>
        <v>2.8485793462082049E-2</v>
      </c>
      <c r="BP213" s="312">
        <f t="shared" si="984"/>
        <v>2.8628848156471903E-2</v>
      </c>
      <c r="BQ213" s="312">
        <f t="shared" si="984"/>
        <v>2.8771442988122786E-2</v>
      </c>
      <c r="BR213" s="312">
        <f t="shared" si="984"/>
        <v>2.8910441691096161E-2</v>
      </c>
      <c r="BS213" s="312">
        <f t="shared" si="984"/>
        <v>2.9048966749366079E-2</v>
      </c>
      <c r="BT213" s="312">
        <f t="shared" si="984"/>
        <v>2.9183973988521211E-2</v>
      </c>
      <c r="BU213" s="312">
        <f t="shared" si="984"/>
        <v>2.9318498684285488E-2</v>
      </c>
      <c r="BV213" s="312">
        <f t="shared" si="984"/>
        <v>2.9449586842300507E-2</v>
      </c>
      <c r="BW213" s="312">
        <f t="shared" si="984"/>
        <v>2.9579471589338935E-2</v>
      </c>
      <c r="BX213" s="312">
        <f t="shared" si="984"/>
        <v>2.9706730033158574E-2</v>
      </c>
      <c r="BY213" s="312">
        <f t="shared" si="984"/>
        <v>2.9833500237512495E-2</v>
      </c>
      <c r="BZ213" s="312">
        <f t="shared" si="984"/>
        <v>2.9957002161933532E-2</v>
      </c>
      <c r="CA213" s="312">
        <f t="shared" si="984"/>
        <v>3.0080017939380144E-2</v>
      </c>
      <c r="CB213" s="312">
        <f t="shared" si="984"/>
        <v>3.0199851388160365E-2</v>
      </c>
    </row>
    <row r="214" spans="1:80">
      <c r="A214" s="311" t="s">
        <v>44</v>
      </c>
      <c r="B214" s="312">
        <f>EXP(-B213*B212)</f>
        <v>0.99355776638313631</v>
      </c>
      <c r="C214" s="312">
        <f t="shared" ref="C214:BN214" si="985">EXP(-C213*C212)</f>
        <v>0.9848703878996955</v>
      </c>
      <c r="D214" s="312">
        <f t="shared" si="985"/>
        <v>0.97624741040714758</v>
      </c>
      <c r="E214" s="312">
        <f t="shared" si="985"/>
        <v>0.96752514957777958</v>
      </c>
      <c r="F214" s="312">
        <f t="shared" si="985"/>
        <v>0.95887988767473709</v>
      </c>
      <c r="G214" s="312">
        <f t="shared" si="985"/>
        <v>0.95010412609437123</v>
      </c>
      <c r="H214" s="312">
        <f t="shared" si="985"/>
        <v>0.94137989428341584</v>
      </c>
      <c r="I214" s="312">
        <f t="shared" si="985"/>
        <v>0.93250219127929346</v>
      </c>
      <c r="J214" s="312">
        <f t="shared" si="985"/>
        <v>0.92365915869203385</v>
      </c>
      <c r="K214" s="312">
        <f t="shared" si="985"/>
        <v>0.91469673201054735</v>
      </c>
      <c r="L214" s="312">
        <f t="shared" si="985"/>
        <v>0.90570970484838431</v>
      </c>
      <c r="M214" s="312">
        <f t="shared" si="985"/>
        <v>0.89654338891317364</v>
      </c>
      <c r="N214" s="312">
        <f t="shared" si="985"/>
        <v>0.88739824272363232</v>
      </c>
      <c r="O214" s="312">
        <f t="shared" si="985"/>
        <v>0.87806894786438017</v>
      </c>
      <c r="P214" s="312">
        <f t="shared" si="985"/>
        <v>0.86876178918874192</v>
      </c>
      <c r="Q214" s="312">
        <f t="shared" si="985"/>
        <v>0.85926986413918938</v>
      </c>
      <c r="R214" s="312">
        <f t="shared" si="985"/>
        <v>0.84980485260416327</v>
      </c>
      <c r="S214" s="312">
        <f t="shared" si="985"/>
        <v>0.84021145876909653</v>
      </c>
      <c r="T214" s="312">
        <f t="shared" si="985"/>
        <v>0.83059959914767389</v>
      </c>
      <c r="U214" s="312">
        <f t="shared" si="985"/>
        <v>0.82081155469749645</v>
      </c>
      <c r="V214" s="312">
        <f t="shared" si="985"/>
        <v>0.81106807115474555</v>
      </c>
      <c r="W214" s="312">
        <f t="shared" si="985"/>
        <v>0.80115636389763678</v>
      </c>
      <c r="X214" s="312">
        <f t="shared" si="985"/>
        <v>0.79130072203797275</v>
      </c>
      <c r="Y214" s="312">
        <f t="shared" si="985"/>
        <v>0.7812865458352718</v>
      </c>
      <c r="Z214" s="312">
        <f t="shared" si="985"/>
        <v>0.77134094968797906</v>
      </c>
      <c r="AA214" s="312">
        <f t="shared" si="985"/>
        <v>0.76130363243516019</v>
      </c>
      <c r="AB214" s="312">
        <f t="shared" si="985"/>
        <v>0.75129224407364981</v>
      </c>
      <c r="AC214" s="312">
        <f t="shared" si="985"/>
        <v>0.74114508270352386</v>
      </c>
      <c r="AD214" s="312">
        <f t="shared" si="985"/>
        <v>0.73109271240459339</v>
      </c>
      <c r="AE214" s="312">
        <f t="shared" si="985"/>
        <v>0.7209169350055401</v>
      </c>
      <c r="AF214" s="312">
        <f t="shared" si="985"/>
        <v>0.71084896000752851</v>
      </c>
      <c r="AG214" s="312">
        <f t="shared" si="985"/>
        <v>0.70067018709206297</v>
      </c>
      <c r="AH214" s="312">
        <f t="shared" si="985"/>
        <v>0.69061178007015767</v>
      </c>
      <c r="AI214" s="312">
        <f t="shared" si="985"/>
        <v>0.68051124829733622</v>
      </c>
      <c r="AJ214" s="312">
        <f t="shared" si="985"/>
        <v>0.67048679867504868</v>
      </c>
      <c r="AK214" s="312">
        <f t="shared" si="985"/>
        <v>0.66037653794164752</v>
      </c>
      <c r="AL214" s="312">
        <f t="shared" si="985"/>
        <v>0.6504096133826216</v>
      </c>
      <c r="AM214" s="312">
        <f t="shared" si="985"/>
        <v>0.6403689305268131</v>
      </c>
      <c r="AN214" s="312">
        <f t="shared" si="985"/>
        <v>0.63048174878730701</v>
      </c>
      <c r="AO214" s="312">
        <f t="shared" si="985"/>
        <v>0.62053237657560589</v>
      </c>
      <c r="AP214" s="312">
        <f t="shared" si="985"/>
        <v>0.61074566251901541</v>
      </c>
      <c r="AQ214" s="312">
        <f t="shared" si="985"/>
        <v>0.60096192934319526</v>
      </c>
      <c r="AR214" s="312">
        <f t="shared" si="985"/>
        <v>0.59129441670070215</v>
      </c>
      <c r="AS214" s="312">
        <f t="shared" si="985"/>
        <v>0.58158601143737676</v>
      </c>
      <c r="AT214" s="312">
        <f t="shared" si="985"/>
        <v>0.57205538027260416</v>
      </c>
      <c r="AU214" s="312">
        <f t="shared" si="985"/>
        <v>0.56249350158780109</v>
      </c>
      <c r="AV214" s="312">
        <f t="shared" si="985"/>
        <v>0.55311536152293361</v>
      </c>
      <c r="AW214" s="312">
        <f t="shared" si="985"/>
        <v>0.54371489755973423</v>
      </c>
      <c r="AX214" s="312">
        <f t="shared" si="985"/>
        <v>0.53450308913506384</v>
      </c>
      <c r="AY214" s="312">
        <f t="shared" si="985"/>
        <v>0.52532787016445281</v>
      </c>
      <c r="AZ214" s="312">
        <f t="shared" si="985"/>
        <v>0.51629397970601532</v>
      </c>
      <c r="BA214" s="312">
        <f t="shared" si="985"/>
        <v>0.50725340084452386</v>
      </c>
      <c r="BB214" s="312">
        <f t="shared" si="985"/>
        <v>0.49840831638174787</v>
      </c>
      <c r="BC214" s="312">
        <f t="shared" si="985"/>
        <v>0.48956329410891269</v>
      </c>
      <c r="BD214" s="312">
        <f t="shared" si="985"/>
        <v>0.4809157995677395</v>
      </c>
      <c r="BE214" s="312">
        <f t="shared" si="985"/>
        <v>0.4722744254297524</v>
      </c>
      <c r="BF214" s="312">
        <f t="shared" si="985"/>
        <v>0.46383176332536091</v>
      </c>
      <c r="BG214" s="312">
        <f t="shared" si="985"/>
        <v>0.45544690237647967</v>
      </c>
      <c r="BH214" s="312">
        <f t="shared" si="985"/>
        <v>0.44721427511793294</v>
      </c>
      <c r="BI214" s="312">
        <f t="shared" si="985"/>
        <v>0.43899791524330178</v>
      </c>
      <c r="BJ214" s="312">
        <f t="shared" si="985"/>
        <v>0.43098034972227744</v>
      </c>
      <c r="BK214" s="312">
        <f t="shared" si="985"/>
        <v>0.42298322477944761</v>
      </c>
      <c r="BL214" s="312">
        <f t="shared" si="985"/>
        <v>0.41518392461191095</v>
      </c>
      <c r="BM214" s="312">
        <f t="shared" si="985"/>
        <v>0.40740868388281198</v>
      </c>
      <c r="BN214" s="312">
        <f t="shared" si="985"/>
        <v>0.39982971152291635</v>
      </c>
      <c r="BO214" s="312">
        <f t="shared" ref="BO214:CB214" si="986">EXP(-BO213*BO212)</f>
        <v>0.39231931644145562</v>
      </c>
      <c r="BP214" s="312">
        <f t="shared" si="986"/>
        <v>0.38496108148270108</v>
      </c>
      <c r="BQ214" s="312">
        <f t="shared" si="986"/>
        <v>0.37763263369187949</v>
      </c>
      <c r="BR214" s="312">
        <f t="shared" si="986"/>
        <v>0.37049584142826281</v>
      </c>
      <c r="BS214" s="312">
        <f t="shared" si="986"/>
        <v>0.36339103262655759</v>
      </c>
      <c r="BT214" s="312">
        <f t="shared" si="986"/>
        <v>0.35647493601579272</v>
      </c>
      <c r="BU214" s="312">
        <f t="shared" si="986"/>
        <v>0.349592622693918</v>
      </c>
      <c r="BV214" s="312">
        <f t="shared" si="986"/>
        <v>0.34289572975964877</v>
      </c>
      <c r="BW214" s="312">
        <f t="shared" si="986"/>
        <v>0.33627056244957387</v>
      </c>
      <c r="BX214" s="312">
        <f t="shared" si="986"/>
        <v>0.32979012534277874</v>
      </c>
      <c r="BY214" s="312">
        <f t="shared" si="986"/>
        <v>0.32334602565445208</v>
      </c>
      <c r="BZ214" s="312">
        <f t="shared" si="986"/>
        <v>0.31707993017509595</v>
      </c>
      <c r="CA214" s="312">
        <f t="shared" si="986"/>
        <v>0.31085099861737719</v>
      </c>
      <c r="CB214" s="312">
        <f t="shared" si="986"/>
        <v>0.3047960280166857</v>
      </c>
    </row>
    <row r="216" spans="1:80" s="307" customFormat="1">
      <c r="A216" s="311" t="s">
        <v>40</v>
      </c>
      <c r="B216" s="312">
        <f>DAYS360($B$3,B82)</f>
        <v>-43022</v>
      </c>
      <c r="C216" s="312">
        <f t="shared" ref="C216:BN216" si="987">DAYS360($B$3,C82)</f>
        <v>-42842</v>
      </c>
      <c r="D216" s="312">
        <f t="shared" si="987"/>
        <v>-42662</v>
      </c>
      <c r="E216" s="312">
        <f t="shared" si="987"/>
        <v>-42482</v>
      </c>
      <c r="F216" s="312">
        <f t="shared" si="987"/>
        <v>-42302</v>
      </c>
      <c r="G216" s="312">
        <f t="shared" si="987"/>
        <v>-42122</v>
      </c>
      <c r="H216" s="312">
        <f t="shared" si="987"/>
        <v>-41942</v>
      </c>
      <c r="I216" s="312">
        <f t="shared" si="987"/>
        <v>-41762</v>
      </c>
      <c r="J216" s="312">
        <f t="shared" si="987"/>
        <v>-41582</v>
      </c>
      <c r="K216" s="312">
        <f t="shared" si="987"/>
        <v>-41403</v>
      </c>
      <c r="L216" s="312">
        <f t="shared" si="987"/>
        <v>-41223</v>
      </c>
      <c r="M216" s="312">
        <f t="shared" si="987"/>
        <v>-41043</v>
      </c>
      <c r="N216" s="312">
        <f t="shared" si="987"/>
        <v>-40863</v>
      </c>
      <c r="O216" s="312">
        <f t="shared" si="987"/>
        <v>-40683</v>
      </c>
      <c r="P216" s="312">
        <f t="shared" si="987"/>
        <v>-40503</v>
      </c>
      <c r="Q216" s="312">
        <f t="shared" si="987"/>
        <v>-40323</v>
      </c>
      <c r="R216" s="312">
        <f t="shared" si="987"/>
        <v>-40143</v>
      </c>
      <c r="S216" s="312">
        <f t="shared" si="987"/>
        <v>-39964</v>
      </c>
      <c r="T216" s="312">
        <f t="shared" si="987"/>
        <v>-39784</v>
      </c>
      <c r="U216" s="312">
        <f t="shared" si="987"/>
        <v>-39604</v>
      </c>
      <c r="V216" s="312">
        <f t="shared" si="987"/>
        <v>-39424</v>
      </c>
      <c r="W216" s="312">
        <f t="shared" si="987"/>
        <v>-39244</v>
      </c>
      <c r="X216" s="312">
        <f t="shared" si="987"/>
        <v>-39064</v>
      </c>
      <c r="Y216" s="312">
        <f t="shared" si="987"/>
        <v>-38884</v>
      </c>
      <c r="Z216" s="312">
        <f t="shared" si="987"/>
        <v>-38704</v>
      </c>
      <c r="AA216" s="312">
        <f t="shared" si="987"/>
        <v>-38525</v>
      </c>
      <c r="AB216" s="312">
        <f t="shared" si="987"/>
        <v>-38345</v>
      </c>
      <c r="AC216" s="312">
        <f t="shared" si="987"/>
        <v>-38165</v>
      </c>
      <c r="AD216" s="312">
        <f t="shared" si="987"/>
        <v>-37985</v>
      </c>
      <c r="AE216" s="312">
        <f t="shared" si="987"/>
        <v>-37805</v>
      </c>
      <c r="AF216" s="312">
        <f t="shared" si="987"/>
        <v>-37625</v>
      </c>
      <c r="AG216" s="312">
        <f t="shared" si="987"/>
        <v>-37445</v>
      </c>
      <c r="AH216" s="312">
        <f t="shared" si="987"/>
        <v>-37265</v>
      </c>
      <c r="AI216" s="312">
        <f t="shared" si="987"/>
        <v>-37086</v>
      </c>
      <c r="AJ216" s="312">
        <f t="shared" si="987"/>
        <v>-36906</v>
      </c>
      <c r="AK216" s="312">
        <f t="shared" si="987"/>
        <v>-36726</v>
      </c>
      <c r="AL216" s="312">
        <f t="shared" si="987"/>
        <v>-36546</v>
      </c>
      <c r="AM216" s="312">
        <f t="shared" si="987"/>
        <v>-36366</v>
      </c>
      <c r="AN216" s="312">
        <f t="shared" si="987"/>
        <v>-36186</v>
      </c>
      <c r="AO216" s="312">
        <f t="shared" si="987"/>
        <v>-36006</v>
      </c>
      <c r="AP216" s="312">
        <f t="shared" si="987"/>
        <v>-35826</v>
      </c>
      <c r="AQ216" s="312">
        <f t="shared" si="987"/>
        <v>-35647</v>
      </c>
      <c r="AR216" s="312">
        <f t="shared" si="987"/>
        <v>-35467</v>
      </c>
      <c r="AS216" s="312">
        <f t="shared" si="987"/>
        <v>-35287</v>
      </c>
      <c r="AT216" s="312">
        <f t="shared" si="987"/>
        <v>-35107</v>
      </c>
      <c r="AU216" s="312">
        <f t="shared" si="987"/>
        <v>-34927</v>
      </c>
      <c r="AV216" s="312">
        <f t="shared" si="987"/>
        <v>-34747</v>
      </c>
      <c r="AW216" s="312">
        <f t="shared" si="987"/>
        <v>-34567</v>
      </c>
      <c r="AX216" s="312">
        <f t="shared" si="987"/>
        <v>-34387</v>
      </c>
      <c r="AY216" s="312">
        <f t="shared" si="987"/>
        <v>-34208</v>
      </c>
      <c r="AZ216" s="312">
        <f t="shared" si="987"/>
        <v>-34028</v>
      </c>
      <c r="BA216" s="312">
        <f t="shared" si="987"/>
        <v>-33848</v>
      </c>
      <c r="BB216" s="312">
        <f t="shared" si="987"/>
        <v>-33668</v>
      </c>
      <c r="BC216" s="312">
        <f t="shared" si="987"/>
        <v>-33488</v>
      </c>
      <c r="BD216" s="312">
        <f t="shared" si="987"/>
        <v>-33308</v>
      </c>
      <c r="BE216" s="312">
        <f t="shared" si="987"/>
        <v>-33128</v>
      </c>
      <c r="BF216" s="312">
        <f t="shared" si="987"/>
        <v>-32948</v>
      </c>
      <c r="BG216" s="312">
        <f t="shared" si="987"/>
        <v>-32769</v>
      </c>
      <c r="BH216" s="312">
        <f t="shared" si="987"/>
        <v>-32589</v>
      </c>
      <c r="BI216" s="312">
        <f t="shared" si="987"/>
        <v>-32409</v>
      </c>
      <c r="BJ216" s="312">
        <f t="shared" si="987"/>
        <v>-32229</v>
      </c>
      <c r="BK216" s="312">
        <f t="shared" si="987"/>
        <v>-32049</v>
      </c>
      <c r="BL216" s="312">
        <f t="shared" si="987"/>
        <v>-31869</v>
      </c>
      <c r="BM216" s="312">
        <f t="shared" si="987"/>
        <v>-31689</v>
      </c>
      <c r="BN216" s="312">
        <f t="shared" si="987"/>
        <v>-31509</v>
      </c>
      <c r="BO216" s="312">
        <f t="shared" ref="BO216:CB216" si="988">DAYS360($B$3,BO82)</f>
        <v>-31330</v>
      </c>
      <c r="BP216" s="312">
        <f t="shared" si="988"/>
        <v>-31150</v>
      </c>
      <c r="BQ216" s="312">
        <f t="shared" si="988"/>
        <v>-30970</v>
      </c>
      <c r="BR216" s="312">
        <f t="shared" si="988"/>
        <v>-30790</v>
      </c>
      <c r="BS216" s="312">
        <f t="shared" si="988"/>
        <v>-30610</v>
      </c>
      <c r="BT216" s="312">
        <f t="shared" si="988"/>
        <v>-30430</v>
      </c>
      <c r="BU216" s="312">
        <f t="shared" si="988"/>
        <v>-30250</v>
      </c>
      <c r="BV216" s="312">
        <f t="shared" si="988"/>
        <v>-30070</v>
      </c>
      <c r="BW216" s="312">
        <f t="shared" si="988"/>
        <v>-29891</v>
      </c>
      <c r="BX216" s="312">
        <f t="shared" si="988"/>
        <v>-29711</v>
      </c>
      <c r="BY216" s="312">
        <f t="shared" si="988"/>
        <v>-29531</v>
      </c>
      <c r="BZ216" s="312">
        <f t="shared" si="988"/>
        <v>-29351</v>
      </c>
      <c r="CA216" s="312">
        <f t="shared" si="988"/>
        <v>-29171</v>
      </c>
      <c r="CB216" s="312">
        <f t="shared" si="988"/>
        <v>-28991</v>
      </c>
    </row>
    <row r="217" spans="1:80" s="307" customFormat="1">
      <c r="A217" s="311" t="s">
        <v>41</v>
      </c>
      <c r="B217" s="312">
        <f>B216/360</f>
        <v>-119.50555555555556</v>
      </c>
      <c r="C217" s="312">
        <f t="shared" ref="C217:BN217" si="989">C216/360</f>
        <v>-119.00555555555556</v>
      </c>
      <c r="D217" s="312">
        <f t="shared" si="989"/>
        <v>-118.50555555555556</v>
      </c>
      <c r="E217" s="312">
        <f t="shared" si="989"/>
        <v>-118.00555555555556</v>
      </c>
      <c r="F217" s="312">
        <f t="shared" si="989"/>
        <v>-117.50555555555556</v>
      </c>
      <c r="G217" s="312">
        <f t="shared" si="989"/>
        <v>-117.00555555555556</v>
      </c>
      <c r="H217" s="312">
        <f t="shared" si="989"/>
        <v>-116.50555555555556</v>
      </c>
      <c r="I217" s="312">
        <f t="shared" si="989"/>
        <v>-116.00555555555556</v>
      </c>
      <c r="J217" s="312">
        <f t="shared" si="989"/>
        <v>-115.50555555555556</v>
      </c>
      <c r="K217" s="312">
        <f t="shared" si="989"/>
        <v>-115.00833333333334</v>
      </c>
      <c r="L217" s="312">
        <f t="shared" si="989"/>
        <v>-114.50833333333334</v>
      </c>
      <c r="M217" s="312">
        <f t="shared" si="989"/>
        <v>-114.00833333333334</v>
      </c>
      <c r="N217" s="312">
        <f t="shared" si="989"/>
        <v>-113.50833333333334</v>
      </c>
      <c r="O217" s="312">
        <f t="shared" si="989"/>
        <v>-113.00833333333334</v>
      </c>
      <c r="P217" s="312">
        <f t="shared" si="989"/>
        <v>-112.50833333333334</v>
      </c>
      <c r="Q217" s="312">
        <f t="shared" si="989"/>
        <v>-112.00833333333334</v>
      </c>
      <c r="R217" s="312">
        <f t="shared" si="989"/>
        <v>-111.50833333333334</v>
      </c>
      <c r="S217" s="312">
        <f t="shared" si="989"/>
        <v>-111.01111111111111</v>
      </c>
      <c r="T217" s="312">
        <f t="shared" si="989"/>
        <v>-110.51111111111111</v>
      </c>
      <c r="U217" s="312">
        <f t="shared" si="989"/>
        <v>-110.01111111111111</v>
      </c>
      <c r="V217" s="312">
        <f t="shared" si="989"/>
        <v>-109.51111111111111</v>
      </c>
      <c r="W217" s="312">
        <f t="shared" si="989"/>
        <v>-109.01111111111111</v>
      </c>
      <c r="X217" s="312">
        <f t="shared" si="989"/>
        <v>-108.51111111111111</v>
      </c>
      <c r="Y217" s="312">
        <f t="shared" si="989"/>
        <v>-108.01111111111111</v>
      </c>
      <c r="Z217" s="312">
        <f t="shared" si="989"/>
        <v>-107.51111111111111</v>
      </c>
      <c r="AA217" s="312">
        <f t="shared" si="989"/>
        <v>-107.01388888888889</v>
      </c>
      <c r="AB217" s="312">
        <f t="shared" si="989"/>
        <v>-106.51388888888889</v>
      </c>
      <c r="AC217" s="312">
        <f t="shared" si="989"/>
        <v>-106.01388888888889</v>
      </c>
      <c r="AD217" s="312">
        <f t="shared" si="989"/>
        <v>-105.51388888888889</v>
      </c>
      <c r="AE217" s="312">
        <f t="shared" si="989"/>
        <v>-105.01388888888889</v>
      </c>
      <c r="AF217" s="312">
        <f t="shared" si="989"/>
        <v>-104.51388888888889</v>
      </c>
      <c r="AG217" s="312">
        <f t="shared" si="989"/>
        <v>-104.01388888888889</v>
      </c>
      <c r="AH217" s="312">
        <f t="shared" si="989"/>
        <v>-103.51388888888889</v>
      </c>
      <c r="AI217" s="312">
        <f t="shared" si="989"/>
        <v>-103.01666666666667</v>
      </c>
      <c r="AJ217" s="312">
        <f t="shared" si="989"/>
        <v>-102.51666666666667</v>
      </c>
      <c r="AK217" s="312">
        <f t="shared" si="989"/>
        <v>-102.01666666666667</v>
      </c>
      <c r="AL217" s="312">
        <f t="shared" si="989"/>
        <v>-101.51666666666667</v>
      </c>
      <c r="AM217" s="312">
        <f t="shared" si="989"/>
        <v>-101.01666666666667</v>
      </c>
      <c r="AN217" s="312">
        <f t="shared" si="989"/>
        <v>-100.51666666666667</v>
      </c>
      <c r="AO217" s="312">
        <f t="shared" si="989"/>
        <v>-100.01666666666667</v>
      </c>
      <c r="AP217" s="312">
        <f t="shared" si="989"/>
        <v>-99.516666666666666</v>
      </c>
      <c r="AQ217" s="312">
        <f t="shared" si="989"/>
        <v>-99.019444444444446</v>
      </c>
      <c r="AR217" s="312">
        <f t="shared" si="989"/>
        <v>-98.519444444444446</v>
      </c>
      <c r="AS217" s="312">
        <f t="shared" si="989"/>
        <v>-98.019444444444446</v>
      </c>
      <c r="AT217" s="312">
        <f t="shared" si="989"/>
        <v>-97.519444444444446</v>
      </c>
      <c r="AU217" s="312">
        <f t="shared" si="989"/>
        <v>-97.019444444444446</v>
      </c>
      <c r="AV217" s="312">
        <f t="shared" si="989"/>
        <v>-96.519444444444446</v>
      </c>
      <c r="AW217" s="312">
        <f t="shared" si="989"/>
        <v>-96.019444444444446</v>
      </c>
      <c r="AX217" s="312">
        <f t="shared" si="989"/>
        <v>-95.519444444444446</v>
      </c>
      <c r="AY217" s="312">
        <f t="shared" si="989"/>
        <v>-95.022222222222226</v>
      </c>
      <c r="AZ217" s="312">
        <f t="shared" si="989"/>
        <v>-94.522222222222226</v>
      </c>
      <c r="BA217" s="312">
        <f t="shared" si="989"/>
        <v>-94.022222222222226</v>
      </c>
      <c r="BB217" s="312">
        <f t="shared" si="989"/>
        <v>-93.522222222222226</v>
      </c>
      <c r="BC217" s="312">
        <f t="shared" si="989"/>
        <v>-93.022222222222226</v>
      </c>
      <c r="BD217" s="312">
        <f t="shared" si="989"/>
        <v>-92.522222222222226</v>
      </c>
      <c r="BE217" s="312">
        <f t="shared" si="989"/>
        <v>-92.022222222222226</v>
      </c>
      <c r="BF217" s="312">
        <f t="shared" si="989"/>
        <v>-91.522222222222226</v>
      </c>
      <c r="BG217" s="312">
        <f t="shared" si="989"/>
        <v>-91.025000000000006</v>
      </c>
      <c r="BH217" s="312">
        <f t="shared" si="989"/>
        <v>-90.525000000000006</v>
      </c>
      <c r="BI217" s="312">
        <f t="shared" si="989"/>
        <v>-90.025000000000006</v>
      </c>
      <c r="BJ217" s="312">
        <f t="shared" si="989"/>
        <v>-89.525000000000006</v>
      </c>
      <c r="BK217" s="312">
        <f t="shared" si="989"/>
        <v>-89.025000000000006</v>
      </c>
      <c r="BL217" s="312">
        <f t="shared" si="989"/>
        <v>-88.525000000000006</v>
      </c>
      <c r="BM217" s="312">
        <f t="shared" si="989"/>
        <v>-88.025000000000006</v>
      </c>
      <c r="BN217" s="312">
        <f t="shared" si="989"/>
        <v>-87.525000000000006</v>
      </c>
      <c r="BO217" s="312">
        <f t="shared" ref="BO217:CB217" si="990">BO216/360</f>
        <v>-87.027777777777771</v>
      </c>
      <c r="BP217" s="312">
        <f t="shared" si="990"/>
        <v>-86.527777777777771</v>
      </c>
      <c r="BQ217" s="312">
        <f t="shared" si="990"/>
        <v>-86.027777777777771</v>
      </c>
      <c r="BR217" s="312">
        <f t="shared" si="990"/>
        <v>-85.527777777777771</v>
      </c>
      <c r="BS217" s="312">
        <f t="shared" si="990"/>
        <v>-85.027777777777771</v>
      </c>
      <c r="BT217" s="312">
        <f t="shared" si="990"/>
        <v>-84.527777777777771</v>
      </c>
      <c r="BU217" s="312">
        <f t="shared" si="990"/>
        <v>-84.027777777777771</v>
      </c>
      <c r="BV217" s="312">
        <f t="shared" si="990"/>
        <v>-83.527777777777771</v>
      </c>
      <c r="BW217" s="312">
        <f t="shared" si="990"/>
        <v>-83.030555555555551</v>
      </c>
      <c r="BX217" s="312">
        <f t="shared" si="990"/>
        <v>-82.530555555555551</v>
      </c>
      <c r="BY217" s="312">
        <f t="shared" si="990"/>
        <v>-82.030555555555551</v>
      </c>
      <c r="BZ217" s="312">
        <f t="shared" si="990"/>
        <v>-81.530555555555551</v>
      </c>
      <c r="CA217" s="312">
        <f t="shared" si="990"/>
        <v>-81.030555555555551</v>
      </c>
      <c r="CB217" s="312">
        <f t="shared" si="990"/>
        <v>-80.530555555555551</v>
      </c>
    </row>
    <row r="218" spans="1:80" s="307" customFormat="1">
      <c r="A218" s="311" t="s">
        <v>43</v>
      </c>
      <c r="B218" s="312">
        <f>IF(B216&lt;0,0,$B$5+$B$6*((1-EXP(-B217/$B$9))/(B217/$B$9))+$B$7*((1-EXP(-B217/$B$9))/(B217/$B$9)-EXP(-B217/$B$9))+$B$8*((1-EXP(-B217/$B$10))/(B217/$B$10)-EXP(-B217/$B$10)))</f>
        <v>0</v>
      </c>
      <c r="C218" s="312">
        <f t="shared" ref="C218:BN218" si="991">IF(C216&lt;0,0,$B$5+$B$6*((1-EXP(-C217/$B$9))/(C217/$B$9))+$B$7*((1-EXP(-C217/$B$9))/(C217/$B$9)-EXP(-C217/$B$9))+$B$8*((1-EXP(-C217/$B$10))/(C217/$B$10)-EXP(-C217/$B$10)))</f>
        <v>0</v>
      </c>
      <c r="D218" s="312">
        <f t="shared" si="991"/>
        <v>0</v>
      </c>
      <c r="E218" s="312">
        <f t="shared" si="991"/>
        <v>0</v>
      </c>
      <c r="F218" s="312">
        <f t="shared" si="991"/>
        <v>0</v>
      </c>
      <c r="G218" s="312">
        <f t="shared" si="991"/>
        <v>0</v>
      </c>
      <c r="H218" s="312">
        <f t="shared" si="991"/>
        <v>0</v>
      </c>
      <c r="I218" s="312">
        <f t="shared" si="991"/>
        <v>0</v>
      </c>
      <c r="J218" s="312">
        <f t="shared" si="991"/>
        <v>0</v>
      </c>
      <c r="K218" s="312">
        <f t="shared" si="991"/>
        <v>0</v>
      </c>
      <c r="L218" s="312">
        <f t="shared" si="991"/>
        <v>0</v>
      </c>
      <c r="M218" s="312">
        <f t="shared" si="991"/>
        <v>0</v>
      </c>
      <c r="N218" s="312">
        <f t="shared" si="991"/>
        <v>0</v>
      </c>
      <c r="O218" s="312">
        <f t="shared" si="991"/>
        <v>0</v>
      </c>
      <c r="P218" s="312">
        <f t="shared" si="991"/>
        <v>0</v>
      </c>
      <c r="Q218" s="312">
        <f t="shared" si="991"/>
        <v>0</v>
      </c>
      <c r="R218" s="312">
        <f t="shared" si="991"/>
        <v>0</v>
      </c>
      <c r="S218" s="312">
        <f t="shared" si="991"/>
        <v>0</v>
      </c>
      <c r="T218" s="312">
        <f t="shared" si="991"/>
        <v>0</v>
      </c>
      <c r="U218" s="312">
        <f t="shared" si="991"/>
        <v>0</v>
      </c>
      <c r="V218" s="312">
        <f t="shared" si="991"/>
        <v>0</v>
      </c>
      <c r="W218" s="312">
        <f t="shared" si="991"/>
        <v>0</v>
      </c>
      <c r="X218" s="312">
        <f t="shared" si="991"/>
        <v>0</v>
      </c>
      <c r="Y218" s="312">
        <f t="shared" si="991"/>
        <v>0</v>
      </c>
      <c r="Z218" s="312">
        <f t="shared" si="991"/>
        <v>0</v>
      </c>
      <c r="AA218" s="312">
        <f t="shared" si="991"/>
        <v>0</v>
      </c>
      <c r="AB218" s="312">
        <f t="shared" si="991"/>
        <v>0</v>
      </c>
      <c r="AC218" s="312">
        <f t="shared" si="991"/>
        <v>0</v>
      </c>
      <c r="AD218" s="312">
        <f t="shared" si="991"/>
        <v>0</v>
      </c>
      <c r="AE218" s="312">
        <f t="shared" si="991"/>
        <v>0</v>
      </c>
      <c r="AF218" s="312">
        <f t="shared" si="991"/>
        <v>0</v>
      </c>
      <c r="AG218" s="312">
        <f t="shared" si="991"/>
        <v>0</v>
      </c>
      <c r="AH218" s="312">
        <f t="shared" si="991"/>
        <v>0</v>
      </c>
      <c r="AI218" s="312">
        <f t="shared" si="991"/>
        <v>0</v>
      </c>
      <c r="AJ218" s="312">
        <f t="shared" si="991"/>
        <v>0</v>
      </c>
      <c r="AK218" s="312">
        <f t="shared" si="991"/>
        <v>0</v>
      </c>
      <c r="AL218" s="312">
        <f t="shared" si="991"/>
        <v>0</v>
      </c>
      <c r="AM218" s="312">
        <f t="shared" si="991"/>
        <v>0</v>
      </c>
      <c r="AN218" s="312">
        <f t="shared" si="991"/>
        <v>0</v>
      </c>
      <c r="AO218" s="312">
        <f t="shared" si="991"/>
        <v>0</v>
      </c>
      <c r="AP218" s="312">
        <f t="shared" si="991"/>
        <v>0</v>
      </c>
      <c r="AQ218" s="312">
        <f t="shared" si="991"/>
        <v>0</v>
      </c>
      <c r="AR218" s="312">
        <f t="shared" si="991"/>
        <v>0</v>
      </c>
      <c r="AS218" s="312">
        <f t="shared" si="991"/>
        <v>0</v>
      </c>
      <c r="AT218" s="312">
        <f t="shared" si="991"/>
        <v>0</v>
      </c>
      <c r="AU218" s="312">
        <f t="shared" si="991"/>
        <v>0</v>
      </c>
      <c r="AV218" s="312">
        <f t="shared" si="991"/>
        <v>0</v>
      </c>
      <c r="AW218" s="312">
        <f t="shared" si="991"/>
        <v>0</v>
      </c>
      <c r="AX218" s="312">
        <f t="shared" si="991"/>
        <v>0</v>
      </c>
      <c r="AY218" s="312">
        <f t="shared" si="991"/>
        <v>0</v>
      </c>
      <c r="AZ218" s="312">
        <f t="shared" si="991"/>
        <v>0</v>
      </c>
      <c r="BA218" s="312">
        <f t="shared" si="991"/>
        <v>0</v>
      </c>
      <c r="BB218" s="312">
        <f t="shared" si="991"/>
        <v>0</v>
      </c>
      <c r="BC218" s="312">
        <f t="shared" si="991"/>
        <v>0</v>
      </c>
      <c r="BD218" s="312">
        <f t="shared" si="991"/>
        <v>0</v>
      </c>
      <c r="BE218" s="312">
        <f t="shared" si="991"/>
        <v>0</v>
      </c>
      <c r="BF218" s="312">
        <f t="shared" si="991"/>
        <v>0</v>
      </c>
      <c r="BG218" s="312">
        <f t="shared" si="991"/>
        <v>0</v>
      </c>
      <c r="BH218" s="312">
        <f t="shared" si="991"/>
        <v>0</v>
      </c>
      <c r="BI218" s="312">
        <f t="shared" si="991"/>
        <v>0</v>
      </c>
      <c r="BJ218" s="312">
        <f t="shared" si="991"/>
        <v>0</v>
      </c>
      <c r="BK218" s="312">
        <f t="shared" si="991"/>
        <v>0</v>
      </c>
      <c r="BL218" s="312">
        <f t="shared" si="991"/>
        <v>0</v>
      </c>
      <c r="BM218" s="312">
        <f t="shared" si="991"/>
        <v>0</v>
      </c>
      <c r="BN218" s="312">
        <f t="shared" si="991"/>
        <v>0</v>
      </c>
      <c r="BO218" s="312">
        <f t="shared" ref="BO218:CB218" si="992">IF(BO216&lt;0,0,$B$5+$B$6*((1-EXP(-BO217/$B$9))/(BO217/$B$9))+$B$7*((1-EXP(-BO217/$B$9))/(BO217/$B$9)-EXP(-BO217/$B$9))+$B$8*((1-EXP(-BO217/$B$10))/(BO217/$B$10)-EXP(-BO217/$B$10)))</f>
        <v>0</v>
      </c>
      <c r="BP218" s="312">
        <f t="shared" si="992"/>
        <v>0</v>
      </c>
      <c r="BQ218" s="312">
        <f t="shared" si="992"/>
        <v>0</v>
      </c>
      <c r="BR218" s="312">
        <f t="shared" si="992"/>
        <v>0</v>
      </c>
      <c r="BS218" s="312">
        <f t="shared" si="992"/>
        <v>0</v>
      </c>
      <c r="BT218" s="312">
        <f t="shared" si="992"/>
        <v>0</v>
      </c>
      <c r="BU218" s="312">
        <f t="shared" si="992"/>
        <v>0</v>
      </c>
      <c r="BV218" s="312">
        <f t="shared" si="992"/>
        <v>0</v>
      </c>
      <c r="BW218" s="312">
        <f t="shared" si="992"/>
        <v>0</v>
      </c>
      <c r="BX218" s="312">
        <f t="shared" si="992"/>
        <v>0</v>
      </c>
      <c r="BY218" s="312">
        <f t="shared" si="992"/>
        <v>0</v>
      </c>
      <c r="BZ218" s="312">
        <f t="shared" si="992"/>
        <v>0</v>
      </c>
      <c r="CA218" s="312">
        <f t="shared" si="992"/>
        <v>0</v>
      </c>
      <c r="CB218" s="312">
        <f t="shared" si="992"/>
        <v>0</v>
      </c>
    </row>
    <row r="219" spans="1:80" s="307" customFormat="1">
      <c r="A219" s="311" t="s">
        <v>44</v>
      </c>
      <c r="B219" s="312">
        <f>EXP(-B218*B217)</f>
        <v>1</v>
      </c>
      <c r="C219" s="312">
        <f t="shared" ref="C219:BN219" si="993">EXP(-C218*C217)</f>
        <v>1</v>
      </c>
      <c r="D219" s="312">
        <f t="shared" si="993"/>
        <v>1</v>
      </c>
      <c r="E219" s="312">
        <f t="shared" si="993"/>
        <v>1</v>
      </c>
      <c r="F219" s="312">
        <f t="shared" si="993"/>
        <v>1</v>
      </c>
      <c r="G219" s="312">
        <f t="shared" si="993"/>
        <v>1</v>
      </c>
      <c r="H219" s="312">
        <f t="shared" si="993"/>
        <v>1</v>
      </c>
      <c r="I219" s="312">
        <f t="shared" si="993"/>
        <v>1</v>
      </c>
      <c r="J219" s="312">
        <f t="shared" si="993"/>
        <v>1</v>
      </c>
      <c r="K219" s="312">
        <f t="shared" si="993"/>
        <v>1</v>
      </c>
      <c r="L219" s="312">
        <f t="shared" si="993"/>
        <v>1</v>
      </c>
      <c r="M219" s="312">
        <f t="shared" si="993"/>
        <v>1</v>
      </c>
      <c r="N219" s="312">
        <f t="shared" si="993"/>
        <v>1</v>
      </c>
      <c r="O219" s="312">
        <f t="shared" si="993"/>
        <v>1</v>
      </c>
      <c r="P219" s="312">
        <f t="shared" si="993"/>
        <v>1</v>
      </c>
      <c r="Q219" s="312">
        <f t="shared" si="993"/>
        <v>1</v>
      </c>
      <c r="R219" s="312">
        <f t="shared" si="993"/>
        <v>1</v>
      </c>
      <c r="S219" s="312">
        <f t="shared" si="993"/>
        <v>1</v>
      </c>
      <c r="T219" s="312">
        <f t="shared" si="993"/>
        <v>1</v>
      </c>
      <c r="U219" s="312">
        <f t="shared" si="993"/>
        <v>1</v>
      </c>
      <c r="V219" s="312">
        <f t="shared" si="993"/>
        <v>1</v>
      </c>
      <c r="W219" s="312">
        <f t="shared" si="993"/>
        <v>1</v>
      </c>
      <c r="X219" s="312">
        <f t="shared" si="993"/>
        <v>1</v>
      </c>
      <c r="Y219" s="312">
        <f t="shared" si="993"/>
        <v>1</v>
      </c>
      <c r="Z219" s="312">
        <f t="shared" si="993"/>
        <v>1</v>
      </c>
      <c r="AA219" s="312">
        <f t="shared" si="993"/>
        <v>1</v>
      </c>
      <c r="AB219" s="312">
        <f t="shared" si="993"/>
        <v>1</v>
      </c>
      <c r="AC219" s="312">
        <f t="shared" si="993"/>
        <v>1</v>
      </c>
      <c r="AD219" s="312">
        <f t="shared" si="993"/>
        <v>1</v>
      </c>
      <c r="AE219" s="312">
        <f t="shared" si="993"/>
        <v>1</v>
      </c>
      <c r="AF219" s="312">
        <f t="shared" si="993"/>
        <v>1</v>
      </c>
      <c r="AG219" s="312">
        <f t="shared" si="993"/>
        <v>1</v>
      </c>
      <c r="AH219" s="312">
        <f t="shared" si="993"/>
        <v>1</v>
      </c>
      <c r="AI219" s="312">
        <f t="shared" si="993"/>
        <v>1</v>
      </c>
      <c r="AJ219" s="312">
        <f t="shared" si="993"/>
        <v>1</v>
      </c>
      <c r="AK219" s="312">
        <f t="shared" si="993"/>
        <v>1</v>
      </c>
      <c r="AL219" s="312">
        <f t="shared" si="993"/>
        <v>1</v>
      </c>
      <c r="AM219" s="312">
        <f t="shared" si="993"/>
        <v>1</v>
      </c>
      <c r="AN219" s="312">
        <f t="shared" si="993"/>
        <v>1</v>
      </c>
      <c r="AO219" s="312">
        <f t="shared" si="993"/>
        <v>1</v>
      </c>
      <c r="AP219" s="312">
        <f t="shared" si="993"/>
        <v>1</v>
      </c>
      <c r="AQ219" s="312">
        <f t="shared" si="993"/>
        <v>1</v>
      </c>
      <c r="AR219" s="312">
        <f t="shared" si="993"/>
        <v>1</v>
      </c>
      <c r="AS219" s="312">
        <f t="shared" si="993"/>
        <v>1</v>
      </c>
      <c r="AT219" s="312">
        <f t="shared" si="993"/>
        <v>1</v>
      </c>
      <c r="AU219" s="312">
        <f t="shared" si="993"/>
        <v>1</v>
      </c>
      <c r="AV219" s="312">
        <f t="shared" si="993"/>
        <v>1</v>
      </c>
      <c r="AW219" s="312">
        <f t="shared" si="993"/>
        <v>1</v>
      </c>
      <c r="AX219" s="312">
        <f t="shared" si="993"/>
        <v>1</v>
      </c>
      <c r="AY219" s="312">
        <f t="shared" si="993"/>
        <v>1</v>
      </c>
      <c r="AZ219" s="312">
        <f t="shared" si="993"/>
        <v>1</v>
      </c>
      <c r="BA219" s="312">
        <f t="shared" si="993"/>
        <v>1</v>
      </c>
      <c r="BB219" s="312">
        <f t="shared" si="993"/>
        <v>1</v>
      </c>
      <c r="BC219" s="312">
        <f t="shared" si="993"/>
        <v>1</v>
      </c>
      <c r="BD219" s="312">
        <f t="shared" si="993"/>
        <v>1</v>
      </c>
      <c r="BE219" s="312">
        <f t="shared" si="993"/>
        <v>1</v>
      </c>
      <c r="BF219" s="312">
        <f t="shared" si="993"/>
        <v>1</v>
      </c>
      <c r="BG219" s="312">
        <f t="shared" si="993"/>
        <v>1</v>
      </c>
      <c r="BH219" s="312">
        <f t="shared" si="993"/>
        <v>1</v>
      </c>
      <c r="BI219" s="312">
        <f t="shared" si="993"/>
        <v>1</v>
      </c>
      <c r="BJ219" s="312">
        <f t="shared" si="993"/>
        <v>1</v>
      </c>
      <c r="BK219" s="312">
        <f t="shared" si="993"/>
        <v>1</v>
      </c>
      <c r="BL219" s="312">
        <f t="shared" si="993"/>
        <v>1</v>
      </c>
      <c r="BM219" s="312">
        <f t="shared" si="993"/>
        <v>1</v>
      </c>
      <c r="BN219" s="312">
        <f t="shared" si="993"/>
        <v>1</v>
      </c>
      <c r="BO219" s="312">
        <f t="shared" ref="BO219:CB219" si="994">EXP(-BO218*BO217)</f>
        <v>1</v>
      </c>
      <c r="BP219" s="312">
        <f t="shared" si="994"/>
        <v>1</v>
      </c>
      <c r="BQ219" s="312">
        <f t="shared" si="994"/>
        <v>1</v>
      </c>
      <c r="BR219" s="312">
        <f t="shared" si="994"/>
        <v>1</v>
      </c>
      <c r="BS219" s="312">
        <f t="shared" si="994"/>
        <v>1</v>
      </c>
      <c r="BT219" s="312">
        <f t="shared" si="994"/>
        <v>1</v>
      </c>
      <c r="BU219" s="312">
        <f t="shared" si="994"/>
        <v>1</v>
      </c>
      <c r="BV219" s="312">
        <f t="shared" si="994"/>
        <v>1</v>
      </c>
      <c r="BW219" s="312">
        <f t="shared" si="994"/>
        <v>1</v>
      </c>
      <c r="BX219" s="312">
        <f t="shared" si="994"/>
        <v>1</v>
      </c>
      <c r="BY219" s="312">
        <f t="shared" si="994"/>
        <v>1</v>
      </c>
      <c r="BZ219" s="312">
        <f t="shared" si="994"/>
        <v>1</v>
      </c>
      <c r="CA219" s="312">
        <f t="shared" si="994"/>
        <v>1</v>
      </c>
      <c r="CB219" s="312">
        <f t="shared" si="994"/>
        <v>1</v>
      </c>
    </row>
    <row r="220" spans="1:80" s="307" customFormat="1">
      <c r="A220" s="304"/>
    </row>
    <row r="221" spans="1:80">
      <c r="A221" s="311" t="s">
        <v>45</v>
      </c>
      <c r="B221" s="312"/>
      <c r="C221" s="312"/>
      <c r="D221" s="312"/>
      <c r="E221" s="312"/>
      <c r="F221" s="312"/>
      <c r="G221" s="312"/>
      <c r="H221" s="312"/>
      <c r="I221" s="312"/>
      <c r="J221" s="312"/>
      <c r="K221" s="312"/>
      <c r="L221" s="312"/>
      <c r="M221" s="312"/>
      <c r="N221" s="312"/>
      <c r="O221" s="312"/>
      <c r="P221" s="312"/>
      <c r="Q221" s="312"/>
      <c r="R221" s="312"/>
      <c r="S221" s="312"/>
      <c r="T221" s="312"/>
      <c r="U221" s="312"/>
      <c r="V221" s="312"/>
      <c r="W221" s="312"/>
      <c r="X221" s="312"/>
      <c r="Y221" s="312"/>
      <c r="Z221" s="312"/>
      <c r="AA221" s="312"/>
      <c r="AB221" s="312"/>
      <c r="AC221" s="312"/>
      <c r="AD221" s="312"/>
      <c r="AE221" s="312"/>
      <c r="AF221" s="312"/>
      <c r="AG221" s="312"/>
      <c r="AH221" s="312"/>
      <c r="AI221" s="312"/>
      <c r="AJ221" s="312"/>
      <c r="AK221" s="312"/>
      <c r="AL221" s="312"/>
      <c r="AM221" s="312"/>
      <c r="AN221" s="312"/>
      <c r="AO221" s="312"/>
      <c r="AP221" s="312"/>
      <c r="AQ221" s="312"/>
      <c r="AR221" s="312"/>
      <c r="AS221" s="312"/>
      <c r="AT221" s="312"/>
      <c r="AU221" s="312"/>
      <c r="AV221" s="312"/>
      <c r="AW221" s="312"/>
      <c r="AX221" s="312"/>
      <c r="AY221" s="312"/>
      <c r="AZ221" s="312"/>
      <c r="BA221" s="312"/>
      <c r="BB221" s="312"/>
      <c r="BC221" s="312"/>
      <c r="BD221" s="312"/>
      <c r="BE221" s="312"/>
      <c r="BF221" s="312"/>
      <c r="BG221" s="312"/>
      <c r="BH221" s="312"/>
      <c r="BI221" s="312"/>
      <c r="BJ221" s="312"/>
      <c r="BK221" s="312"/>
      <c r="BL221" s="312"/>
      <c r="BM221" s="312"/>
      <c r="BN221" s="312"/>
      <c r="BO221" s="312"/>
      <c r="BP221" s="312"/>
      <c r="BQ221" s="312"/>
      <c r="BR221" s="312"/>
      <c r="BS221" s="312"/>
      <c r="BT221" s="312"/>
      <c r="BU221" s="312"/>
      <c r="BV221" s="312"/>
      <c r="BW221" s="312"/>
      <c r="BX221" s="312"/>
      <c r="BY221" s="312"/>
      <c r="BZ221" s="312"/>
      <c r="CA221" s="312"/>
      <c r="CB221" s="312"/>
    </row>
    <row r="222" spans="1:80">
      <c r="A222" s="312" t="str">
        <f>A31</f>
        <v>Bond 1</v>
      </c>
      <c r="B222" s="312">
        <f t="shared" ref="B222:AG222" si="995">B31*B89</f>
        <v>99.558945443102502</v>
      </c>
      <c r="C222" s="312">
        <f t="shared" si="995"/>
        <v>0</v>
      </c>
      <c r="D222" s="312">
        <f t="shared" si="995"/>
        <v>0</v>
      </c>
      <c r="E222" s="312">
        <f t="shared" si="995"/>
        <v>0</v>
      </c>
      <c r="F222" s="312">
        <f t="shared" si="995"/>
        <v>0</v>
      </c>
      <c r="G222" s="312">
        <f t="shared" si="995"/>
        <v>0</v>
      </c>
      <c r="H222" s="312">
        <f t="shared" si="995"/>
        <v>0</v>
      </c>
      <c r="I222" s="312">
        <f t="shared" si="995"/>
        <v>0</v>
      </c>
      <c r="J222" s="312">
        <f t="shared" si="995"/>
        <v>0</v>
      </c>
      <c r="K222" s="312">
        <f t="shared" si="995"/>
        <v>0</v>
      </c>
      <c r="L222" s="312">
        <f t="shared" si="995"/>
        <v>0</v>
      </c>
      <c r="M222" s="312">
        <f t="shared" si="995"/>
        <v>0</v>
      </c>
      <c r="N222" s="312">
        <f t="shared" si="995"/>
        <v>0</v>
      </c>
      <c r="O222" s="312">
        <f t="shared" si="995"/>
        <v>0</v>
      </c>
      <c r="P222" s="312">
        <f t="shared" si="995"/>
        <v>0</v>
      </c>
      <c r="Q222" s="312">
        <f t="shared" si="995"/>
        <v>0</v>
      </c>
      <c r="R222" s="312">
        <f t="shared" si="995"/>
        <v>0</v>
      </c>
      <c r="S222" s="312">
        <f t="shared" si="995"/>
        <v>0</v>
      </c>
      <c r="T222" s="312">
        <f t="shared" si="995"/>
        <v>0</v>
      </c>
      <c r="U222" s="312">
        <f t="shared" si="995"/>
        <v>0</v>
      </c>
      <c r="V222" s="312">
        <f t="shared" si="995"/>
        <v>0</v>
      </c>
      <c r="W222" s="312">
        <f t="shared" si="995"/>
        <v>0</v>
      </c>
      <c r="X222" s="312">
        <f t="shared" si="995"/>
        <v>0</v>
      </c>
      <c r="Y222" s="312">
        <f t="shared" si="995"/>
        <v>0</v>
      </c>
      <c r="Z222" s="312">
        <f t="shared" si="995"/>
        <v>0</v>
      </c>
      <c r="AA222" s="312">
        <f t="shared" si="995"/>
        <v>0</v>
      </c>
      <c r="AB222" s="312">
        <f t="shared" si="995"/>
        <v>0</v>
      </c>
      <c r="AC222" s="312">
        <f t="shared" si="995"/>
        <v>0</v>
      </c>
      <c r="AD222" s="312">
        <f t="shared" si="995"/>
        <v>0</v>
      </c>
      <c r="AE222" s="312">
        <f t="shared" si="995"/>
        <v>0</v>
      </c>
      <c r="AF222" s="312">
        <f t="shared" si="995"/>
        <v>0</v>
      </c>
      <c r="AG222" s="312">
        <f t="shared" si="995"/>
        <v>0</v>
      </c>
      <c r="AH222" s="312">
        <f t="shared" ref="AH222:BM222" si="996">AH31*AH89</f>
        <v>0</v>
      </c>
      <c r="AI222" s="312">
        <f t="shared" si="996"/>
        <v>0</v>
      </c>
      <c r="AJ222" s="312">
        <f t="shared" si="996"/>
        <v>0</v>
      </c>
      <c r="AK222" s="312">
        <f t="shared" si="996"/>
        <v>0</v>
      </c>
      <c r="AL222" s="312">
        <f t="shared" si="996"/>
        <v>0</v>
      </c>
      <c r="AM222" s="312">
        <f t="shared" si="996"/>
        <v>0</v>
      </c>
      <c r="AN222" s="312">
        <f t="shared" si="996"/>
        <v>0</v>
      </c>
      <c r="AO222" s="312">
        <f t="shared" si="996"/>
        <v>0</v>
      </c>
      <c r="AP222" s="312">
        <f t="shared" si="996"/>
        <v>0</v>
      </c>
      <c r="AQ222" s="312">
        <f t="shared" si="996"/>
        <v>0</v>
      </c>
      <c r="AR222" s="312">
        <f t="shared" si="996"/>
        <v>0</v>
      </c>
      <c r="AS222" s="312">
        <f t="shared" si="996"/>
        <v>0</v>
      </c>
      <c r="AT222" s="312">
        <f t="shared" si="996"/>
        <v>0</v>
      </c>
      <c r="AU222" s="312">
        <f t="shared" si="996"/>
        <v>0</v>
      </c>
      <c r="AV222" s="312">
        <f t="shared" si="996"/>
        <v>0</v>
      </c>
      <c r="AW222" s="312">
        <f t="shared" si="996"/>
        <v>0</v>
      </c>
      <c r="AX222" s="312">
        <f t="shared" si="996"/>
        <v>0</v>
      </c>
      <c r="AY222" s="312">
        <f t="shared" si="996"/>
        <v>0</v>
      </c>
      <c r="AZ222" s="312">
        <f t="shared" si="996"/>
        <v>0</v>
      </c>
      <c r="BA222" s="312">
        <f t="shared" si="996"/>
        <v>0</v>
      </c>
      <c r="BB222" s="312">
        <f t="shared" si="996"/>
        <v>0</v>
      </c>
      <c r="BC222" s="312">
        <f t="shared" si="996"/>
        <v>0</v>
      </c>
      <c r="BD222" s="312">
        <f t="shared" si="996"/>
        <v>0</v>
      </c>
      <c r="BE222" s="312">
        <f t="shared" si="996"/>
        <v>0</v>
      </c>
      <c r="BF222" s="312">
        <f t="shared" si="996"/>
        <v>0</v>
      </c>
      <c r="BG222" s="312">
        <f t="shared" si="996"/>
        <v>0</v>
      </c>
      <c r="BH222" s="312">
        <f t="shared" si="996"/>
        <v>0</v>
      </c>
      <c r="BI222" s="312">
        <f t="shared" si="996"/>
        <v>0</v>
      </c>
      <c r="BJ222" s="312">
        <f t="shared" si="996"/>
        <v>0</v>
      </c>
      <c r="BK222" s="312">
        <f t="shared" si="996"/>
        <v>0</v>
      </c>
      <c r="BL222" s="312">
        <f t="shared" si="996"/>
        <v>0</v>
      </c>
      <c r="BM222" s="312">
        <f t="shared" si="996"/>
        <v>0</v>
      </c>
      <c r="BN222" s="312">
        <f t="shared" ref="BN222:CB222" si="997">BN31*BN89</f>
        <v>0</v>
      </c>
      <c r="BO222" s="312">
        <f t="shared" si="997"/>
        <v>0</v>
      </c>
      <c r="BP222" s="312">
        <f t="shared" si="997"/>
        <v>0</v>
      </c>
      <c r="BQ222" s="312">
        <f t="shared" si="997"/>
        <v>0</v>
      </c>
      <c r="BR222" s="312">
        <f t="shared" si="997"/>
        <v>0</v>
      </c>
      <c r="BS222" s="312">
        <f t="shared" si="997"/>
        <v>0</v>
      </c>
      <c r="BT222" s="312">
        <f t="shared" si="997"/>
        <v>0</v>
      </c>
      <c r="BU222" s="312">
        <f t="shared" si="997"/>
        <v>0</v>
      </c>
      <c r="BV222" s="312">
        <f t="shared" si="997"/>
        <v>0</v>
      </c>
      <c r="BW222" s="312">
        <f t="shared" si="997"/>
        <v>0</v>
      </c>
      <c r="BX222" s="312">
        <f t="shared" si="997"/>
        <v>0</v>
      </c>
      <c r="BY222" s="312">
        <f t="shared" si="997"/>
        <v>0</v>
      </c>
      <c r="BZ222" s="312">
        <f t="shared" si="997"/>
        <v>0</v>
      </c>
      <c r="CA222" s="312">
        <f t="shared" si="997"/>
        <v>0</v>
      </c>
      <c r="CB222" s="312">
        <f t="shared" si="997"/>
        <v>0</v>
      </c>
    </row>
    <row r="223" spans="1:80">
      <c r="A223" s="312" t="str">
        <f>A33</f>
        <v>Bond 2</v>
      </c>
      <c r="B223" s="312">
        <f t="shared" ref="B223:AG223" si="998">B33*B94</f>
        <v>99.128665027267587</v>
      </c>
      <c r="C223" s="312">
        <f t="shared" si="998"/>
        <v>0</v>
      </c>
      <c r="D223" s="312">
        <f t="shared" si="998"/>
        <v>0</v>
      </c>
      <c r="E223" s="312">
        <f t="shared" si="998"/>
        <v>0</v>
      </c>
      <c r="F223" s="312">
        <f t="shared" si="998"/>
        <v>0</v>
      </c>
      <c r="G223" s="312">
        <f t="shared" si="998"/>
        <v>0</v>
      </c>
      <c r="H223" s="312">
        <f t="shared" si="998"/>
        <v>0</v>
      </c>
      <c r="I223" s="312">
        <f t="shared" si="998"/>
        <v>0</v>
      </c>
      <c r="J223" s="312">
        <f t="shared" si="998"/>
        <v>0</v>
      </c>
      <c r="K223" s="312">
        <f t="shared" si="998"/>
        <v>0</v>
      </c>
      <c r="L223" s="312">
        <f t="shared" si="998"/>
        <v>0</v>
      </c>
      <c r="M223" s="312">
        <f t="shared" si="998"/>
        <v>0</v>
      </c>
      <c r="N223" s="312">
        <f t="shared" si="998"/>
        <v>0</v>
      </c>
      <c r="O223" s="312">
        <f t="shared" si="998"/>
        <v>0</v>
      </c>
      <c r="P223" s="312">
        <f t="shared" si="998"/>
        <v>0</v>
      </c>
      <c r="Q223" s="312">
        <f t="shared" si="998"/>
        <v>0</v>
      </c>
      <c r="R223" s="312">
        <f t="shared" si="998"/>
        <v>0</v>
      </c>
      <c r="S223" s="312">
        <f t="shared" si="998"/>
        <v>0</v>
      </c>
      <c r="T223" s="312">
        <f t="shared" si="998"/>
        <v>0</v>
      </c>
      <c r="U223" s="312">
        <f t="shared" si="998"/>
        <v>0</v>
      </c>
      <c r="V223" s="312">
        <f t="shared" si="998"/>
        <v>0</v>
      </c>
      <c r="W223" s="312">
        <f t="shared" si="998"/>
        <v>0</v>
      </c>
      <c r="X223" s="312">
        <f t="shared" si="998"/>
        <v>0</v>
      </c>
      <c r="Y223" s="312">
        <f t="shared" si="998"/>
        <v>0</v>
      </c>
      <c r="Z223" s="312">
        <f t="shared" si="998"/>
        <v>0</v>
      </c>
      <c r="AA223" s="312">
        <f t="shared" si="998"/>
        <v>0</v>
      </c>
      <c r="AB223" s="312">
        <f t="shared" si="998"/>
        <v>0</v>
      </c>
      <c r="AC223" s="312">
        <f t="shared" si="998"/>
        <v>0</v>
      </c>
      <c r="AD223" s="312">
        <f t="shared" si="998"/>
        <v>0</v>
      </c>
      <c r="AE223" s="312">
        <f t="shared" si="998"/>
        <v>0</v>
      </c>
      <c r="AF223" s="312">
        <f t="shared" si="998"/>
        <v>0</v>
      </c>
      <c r="AG223" s="312">
        <f t="shared" si="998"/>
        <v>0</v>
      </c>
      <c r="AH223" s="312">
        <f t="shared" ref="AH223:BM223" si="999">AH33*AH94</f>
        <v>0</v>
      </c>
      <c r="AI223" s="312">
        <f t="shared" si="999"/>
        <v>0</v>
      </c>
      <c r="AJ223" s="312">
        <f t="shared" si="999"/>
        <v>0</v>
      </c>
      <c r="AK223" s="312">
        <f t="shared" si="999"/>
        <v>0</v>
      </c>
      <c r="AL223" s="312">
        <f t="shared" si="999"/>
        <v>0</v>
      </c>
      <c r="AM223" s="312">
        <f t="shared" si="999"/>
        <v>0</v>
      </c>
      <c r="AN223" s="312">
        <f t="shared" si="999"/>
        <v>0</v>
      </c>
      <c r="AO223" s="312">
        <f t="shared" si="999"/>
        <v>0</v>
      </c>
      <c r="AP223" s="312">
        <f t="shared" si="999"/>
        <v>0</v>
      </c>
      <c r="AQ223" s="312">
        <f t="shared" si="999"/>
        <v>0</v>
      </c>
      <c r="AR223" s="312">
        <f t="shared" si="999"/>
        <v>0</v>
      </c>
      <c r="AS223" s="312">
        <f t="shared" si="999"/>
        <v>0</v>
      </c>
      <c r="AT223" s="312">
        <f t="shared" si="999"/>
        <v>0</v>
      </c>
      <c r="AU223" s="312">
        <f t="shared" si="999"/>
        <v>0</v>
      </c>
      <c r="AV223" s="312">
        <f t="shared" si="999"/>
        <v>0</v>
      </c>
      <c r="AW223" s="312">
        <f t="shared" si="999"/>
        <v>0</v>
      </c>
      <c r="AX223" s="312">
        <f t="shared" si="999"/>
        <v>0</v>
      </c>
      <c r="AY223" s="312">
        <f t="shared" si="999"/>
        <v>0</v>
      </c>
      <c r="AZ223" s="312">
        <f t="shared" si="999"/>
        <v>0</v>
      </c>
      <c r="BA223" s="312">
        <f t="shared" si="999"/>
        <v>0</v>
      </c>
      <c r="BB223" s="312">
        <f t="shared" si="999"/>
        <v>0</v>
      </c>
      <c r="BC223" s="312">
        <f t="shared" si="999"/>
        <v>0</v>
      </c>
      <c r="BD223" s="312">
        <f t="shared" si="999"/>
        <v>0</v>
      </c>
      <c r="BE223" s="312">
        <f t="shared" si="999"/>
        <v>0</v>
      </c>
      <c r="BF223" s="312">
        <f t="shared" si="999"/>
        <v>0</v>
      </c>
      <c r="BG223" s="312">
        <f t="shared" si="999"/>
        <v>0</v>
      </c>
      <c r="BH223" s="312">
        <f t="shared" si="999"/>
        <v>0</v>
      </c>
      <c r="BI223" s="312">
        <f t="shared" si="999"/>
        <v>0</v>
      </c>
      <c r="BJ223" s="312">
        <f t="shared" si="999"/>
        <v>0</v>
      </c>
      <c r="BK223" s="312">
        <f t="shared" si="999"/>
        <v>0</v>
      </c>
      <c r="BL223" s="312">
        <f t="shared" si="999"/>
        <v>0</v>
      </c>
      <c r="BM223" s="312">
        <f t="shared" si="999"/>
        <v>0</v>
      </c>
      <c r="BN223" s="312">
        <f t="shared" ref="BN223:CB223" si="1000">BN33*BN94</f>
        <v>0</v>
      </c>
      <c r="BO223" s="312">
        <f t="shared" si="1000"/>
        <v>0</v>
      </c>
      <c r="BP223" s="312">
        <f t="shared" si="1000"/>
        <v>0</v>
      </c>
      <c r="BQ223" s="312">
        <f t="shared" si="1000"/>
        <v>0</v>
      </c>
      <c r="BR223" s="312">
        <f t="shared" si="1000"/>
        <v>0</v>
      </c>
      <c r="BS223" s="312">
        <f t="shared" si="1000"/>
        <v>0</v>
      </c>
      <c r="BT223" s="312">
        <f t="shared" si="1000"/>
        <v>0</v>
      </c>
      <c r="BU223" s="312">
        <f t="shared" si="1000"/>
        <v>0</v>
      </c>
      <c r="BV223" s="312">
        <f t="shared" si="1000"/>
        <v>0</v>
      </c>
      <c r="BW223" s="312">
        <f t="shared" si="1000"/>
        <v>0</v>
      </c>
      <c r="BX223" s="312">
        <f t="shared" si="1000"/>
        <v>0</v>
      </c>
      <c r="BY223" s="312">
        <f t="shared" si="1000"/>
        <v>0</v>
      </c>
      <c r="BZ223" s="312">
        <f t="shared" si="1000"/>
        <v>0</v>
      </c>
      <c r="CA223" s="312">
        <f t="shared" si="1000"/>
        <v>0</v>
      </c>
      <c r="CB223" s="312">
        <f t="shared" si="1000"/>
        <v>0</v>
      </c>
    </row>
    <row r="224" spans="1:80">
      <c r="A224" s="312" t="str">
        <f>A35</f>
        <v>Bond 3</v>
      </c>
      <c r="B224" s="312">
        <f t="shared" ref="B224:AG224" si="1001">B35*B99</f>
        <v>98.328006619465086</v>
      </c>
      <c r="C224" s="312">
        <f t="shared" si="1001"/>
        <v>0</v>
      </c>
      <c r="D224" s="312">
        <f t="shared" si="1001"/>
        <v>0</v>
      </c>
      <c r="E224" s="312">
        <f t="shared" si="1001"/>
        <v>0</v>
      </c>
      <c r="F224" s="312">
        <f t="shared" si="1001"/>
        <v>0</v>
      </c>
      <c r="G224" s="312">
        <f t="shared" si="1001"/>
        <v>0</v>
      </c>
      <c r="H224" s="312">
        <f t="shared" si="1001"/>
        <v>0</v>
      </c>
      <c r="I224" s="312">
        <f t="shared" si="1001"/>
        <v>0</v>
      </c>
      <c r="J224" s="312">
        <f t="shared" si="1001"/>
        <v>0</v>
      </c>
      <c r="K224" s="312">
        <f t="shared" si="1001"/>
        <v>0</v>
      </c>
      <c r="L224" s="312">
        <f t="shared" si="1001"/>
        <v>0</v>
      </c>
      <c r="M224" s="312">
        <f t="shared" si="1001"/>
        <v>0</v>
      </c>
      <c r="N224" s="312">
        <f t="shared" si="1001"/>
        <v>0</v>
      </c>
      <c r="O224" s="312">
        <f t="shared" si="1001"/>
        <v>0</v>
      </c>
      <c r="P224" s="312">
        <f t="shared" si="1001"/>
        <v>0</v>
      </c>
      <c r="Q224" s="312">
        <f t="shared" si="1001"/>
        <v>0</v>
      </c>
      <c r="R224" s="312">
        <f t="shared" si="1001"/>
        <v>0</v>
      </c>
      <c r="S224" s="312">
        <f t="shared" si="1001"/>
        <v>0</v>
      </c>
      <c r="T224" s="312">
        <f t="shared" si="1001"/>
        <v>0</v>
      </c>
      <c r="U224" s="312">
        <f t="shared" si="1001"/>
        <v>0</v>
      </c>
      <c r="V224" s="312">
        <f t="shared" si="1001"/>
        <v>0</v>
      </c>
      <c r="W224" s="312">
        <f t="shared" si="1001"/>
        <v>0</v>
      </c>
      <c r="X224" s="312">
        <f t="shared" si="1001"/>
        <v>0</v>
      </c>
      <c r="Y224" s="312">
        <f t="shared" si="1001"/>
        <v>0</v>
      </c>
      <c r="Z224" s="312">
        <f t="shared" si="1001"/>
        <v>0</v>
      </c>
      <c r="AA224" s="312">
        <f t="shared" si="1001"/>
        <v>0</v>
      </c>
      <c r="AB224" s="312">
        <f t="shared" si="1001"/>
        <v>0</v>
      </c>
      <c r="AC224" s="312">
        <f t="shared" si="1001"/>
        <v>0</v>
      </c>
      <c r="AD224" s="312">
        <f t="shared" si="1001"/>
        <v>0</v>
      </c>
      <c r="AE224" s="312">
        <f t="shared" si="1001"/>
        <v>0</v>
      </c>
      <c r="AF224" s="312">
        <f t="shared" si="1001"/>
        <v>0</v>
      </c>
      <c r="AG224" s="312">
        <f t="shared" si="1001"/>
        <v>0</v>
      </c>
      <c r="AH224" s="312">
        <f t="shared" ref="AH224:BM224" si="1002">AH35*AH99</f>
        <v>0</v>
      </c>
      <c r="AI224" s="312">
        <f t="shared" si="1002"/>
        <v>0</v>
      </c>
      <c r="AJ224" s="312">
        <f t="shared" si="1002"/>
        <v>0</v>
      </c>
      <c r="AK224" s="312">
        <f t="shared" si="1002"/>
        <v>0</v>
      </c>
      <c r="AL224" s="312">
        <f t="shared" si="1002"/>
        <v>0</v>
      </c>
      <c r="AM224" s="312">
        <f t="shared" si="1002"/>
        <v>0</v>
      </c>
      <c r="AN224" s="312">
        <f t="shared" si="1002"/>
        <v>0</v>
      </c>
      <c r="AO224" s="312">
        <f t="shared" si="1002"/>
        <v>0</v>
      </c>
      <c r="AP224" s="312">
        <f t="shared" si="1002"/>
        <v>0</v>
      </c>
      <c r="AQ224" s="312">
        <f t="shared" si="1002"/>
        <v>0</v>
      </c>
      <c r="AR224" s="312">
        <f t="shared" si="1002"/>
        <v>0</v>
      </c>
      <c r="AS224" s="312">
        <f t="shared" si="1002"/>
        <v>0</v>
      </c>
      <c r="AT224" s="312">
        <f t="shared" si="1002"/>
        <v>0</v>
      </c>
      <c r="AU224" s="312">
        <f t="shared" si="1002"/>
        <v>0</v>
      </c>
      <c r="AV224" s="312">
        <f t="shared" si="1002"/>
        <v>0</v>
      </c>
      <c r="AW224" s="312">
        <f t="shared" si="1002"/>
        <v>0</v>
      </c>
      <c r="AX224" s="312">
        <f t="shared" si="1002"/>
        <v>0</v>
      </c>
      <c r="AY224" s="312">
        <f t="shared" si="1002"/>
        <v>0</v>
      </c>
      <c r="AZ224" s="312">
        <f t="shared" si="1002"/>
        <v>0</v>
      </c>
      <c r="BA224" s="312">
        <f t="shared" si="1002"/>
        <v>0</v>
      </c>
      <c r="BB224" s="312">
        <f t="shared" si="1002"/>
        <v>0</v>
      </c>
      <c r="BC224" s="312">
        <f t="shared" si="1002"/>
        <v>0</v>
      </c>
      <c r="BD224" s="312">
        <f t="shared" si="1002"/>
        <v>0</v>
      </c>
      <c r="BE224" s="312">
        <f t="shared" si="1002"/>
        <v>0</v>
      </c>
      <c r="BF224" s="312">
        <f t="shared" si="1002"/>
        <v>0</v>
      </c>
      <c r="BG224" s="312">
        <f t="shared" si="1002"/>
        <v>0</v>
      </c>
      <c r="BH224" s="312">
        <f t="shared" si="1002"/>
        <v>0</v>
      </c>
      <c r="BI224" s="312">
        <f t="shared" si="1002"/>
        <v>0</v>
      </c>
      <c r="BJ224" s="312">
        <f t="shared" si="1002"/>
        <v>0</v>
      </c>
      <c r="BK224" s="312">
        <f t="shared" si="1002"/>
        <v>0</v>
      </c>
      <c r="BL224" s="312">
        <f t="shared" si="1002"/>
        <v>0</v>
      </c>
      <c r="BM224" s="312">
        <f t="shared" si="1002"/>
        <v>0</v>
      </c>
      <c r="BN224" s="312">
        <f t="shared" ref="BN224:CB224" si="1003">BN35*BN99</f>
        <v>0</v>
      </c>
      <c r="BO224" s="312">
        <f t="shared" si="1003"/>
        <v>0</v>
      </c>
      <c r="BP224" s="312">
        <f t="shared" si="1003"/>
        <v>0</v>
      </c>
      <c r="BQ224" s="312">
        <f t="shared" si="1003"/>
        <v>0</v>
      </c>
      <c r="BR224" s="312">
        <f t="shared" si="1003"/>
        <v>0</v>
      </c>
      <c r="BS224" s="312">
        <f t="shared" si="1003"/>
        <v>0</v>
      </c>
      <c r="BT224" s="312">
        <f t="shared" si="1003"/>
        <v>0</v>
      </c>
      <c r="BU224" s="312">
        <f t="shared" si="1003"/>
        <v>0</v>
      </c>
      <c r="BV224" s="312">
        <f t="shared" si="1003"/>
        <v>0</v>
      </c>
      <c r="BW224" s="312">
        <f t="shared" si="1003"/>
        <v>0</v>
      </c>
      <c r="BX224" s="312">
        <f t="shared" si="1003"/>
        <v>0</v>
      </c>
      <c r="BY224" s="312">
        <f t="shared" si="1003"/>
        <v>0</v>
      </c>
      <c r="BZ224" s="312">
        <f t="shared" si="1003"/>
        <v>0</v>
      </c>
      <c r="CA224" s="312">
        <f t="shared" si="1003"/>
        <v>0</v>
      </c>
      <c r="CB224" s="312">
        <f t="shared" si="1003"/>
        <v>0</v>
      </c>
    </row>
    <row r="225" spans="1:80">
      <c r="A225" s="312" t="str">
        <f>A37</f>
        <v>Bond 4</v>
      </c>
      <c r="B225" s="312">
        <f t="shared" ref="B225:AG225" si="1004">B37*B104</f>
        <v>0.80545964505170464</v>
      </c>
      <c r="C225" s="312">
        <f t="shared" si="1004"/>
        <v>0.79844527448238722</v>
      </c>
      <c r="D225" s="312">
        <f t="shared" si="1004"/>
        <v>0.79140074774165459</v>
      </c>
      <c r="E225" s="312">
        <f t="shared" si="1004"/>
        <v>97.319766820254003</v>
      </c>
      <c r="F225" s="312">
        <f t="shared" si="1004"/>
        <v>0</v>
      </c>
      <c r="G225" s="312">
        <f t="shared" si="1004"/>
        <v>0</v>
      </c>
      <c r="H225" s="312">
        <f t="shared" si="1004"/>
        <v>0</v>
      </c>
      <c r="I225" s="312">
        <f t="shared" si="1004"/>
        <v>0</v>
      </c>
      <c r="J225" s="312">
        <f t="shared" si="1004"/>
        <v>0</v>
      </c>
      <c r="K225" s="312">
        <f t="shared" si="1004"/>
        <v>0</v>
      </c>
      <c r="L225" s="312">
        <f t="shared" si="1004"/>
        <v>0</v>
      </c>
      <c r="M225" s="312">
        <f t="shared" si="1004"/>
        <v>0</v>
      </c>
      <c r="N225" s="312">
        <f t="shared" si="1004"/>
        <v>0</v>
      </c>
      <c r="O225" s="312">
        <f t="shared" si="1004"/>
        <v>0</v>
      </c>
      <c r="P225" s="312">
        <f t="shared" si="1004"/>
        <v>0</v>
      </c>
      <c r="Q225" s="312">
        <f t="shared" si="1004"/>
        <v>0</v>
      </c>
      <c r="R225" s="312">
        <f t="shared" si="1004"/>
        <v>0</v>
      </c>
      <c r="S225" s="312">
        <f t="shared" si="1004"/>
        <v>0</v>
      </c>
      <c r="T225" s="312">
        <f t="shared" si="1004"/>
        <v>0</v>
      </c>
      <c r="U225" s="312">
        <f t="shared" si="1004"/>
        <v>0</v>
      </c>
      <c r="V225" s="312">
        <f t="shared" si="1004"/>
        <v>0</v>
      </c>
      <c r="W225" s="312">
        <f t="shared" si="1004"/>
        <v>0</v>
      </c>
      <c r="X225" s="312">
        <f t="shared" si="1004"/>
        <v>0</v>
      </c>
      <c r="Y225" s="312">
        <f t="shared" si="1004"/>
        <v>0</v>
      </c>
      <c r="Z225" s="312">
        <f t="shared" si="1004"/>
        <v>0</v>
      </c>
      <c r="AA225" s="312">
        <f t="shared" si="1004"/>
        <v>0</v>
      </c>
      <c r="AB225" s="312">
        <f t="shared" si="1004"/>
        <v>0</v>
      </c>
      <c r="AC225" s="312">
        <f t="shared" si="1004"/>
        <v>0</v>
      </c>
      <c r="AD225" s="312">
        <f t="shared" si="1004"/>
        <v>0</v>
      </c>
      <c r="AE225" s="312">
        <f t="shared" si="1004"/>
        <v>0</v>
      </c>
      <c r="AF225" s="312">
        <f t="shared" si="1004"/>
        <v>0</v>
      </c>
      <c r="AG225" s="312">
        <f t="shared" si="1004"/>
        <v>0</v>
      </c>
      <c r="AH225" s="312">
        <f t="shared" ref="AH225:BM225" si="1005">AH37*AH104</f>
        <v>0</v>
      </c>
      <c r="AI225" s="312">
        <f t="shared" si="1005"/>
        <v>0</v>
      </c>
      <c r="AJ225" s="312">
        <f t="shared" si="1005"/>
        <v>0</v>
      </c>
      <c r="AK225" s="312">
        <f t="shared" si="1005"/>
        <v>0</v>
      </c>
      <c r="AL225" s="312">
        <f t="shared" si="1005"/>
        <v>0</v>
      </c>
      <c r="AM225" s="312">
        <f t="shared" si="1005"/>
        <v>0</v>
      </c>
      <c r="AN225" s="312">
        <f t="shared" si="1005"/>
        <v>0</v>
      </c>
      <c r="AO225" s="312">
        <f t="shared" si="1005"/>
        <v>0</v>
      </c>
      <c r="AP225" s="312">
        <f t="shared" si="1005"/>
        <v>0</v>
      </c>
      <c r="AQ225" s="312">
        <f t="shared" si="1005"/>
        <v>0</v>
      </c>
      <c r="AR225" s="312">
        <f t="shared" si="1005"/>
        <v>0</v>
      </c>
      <c r="AS225" s="312">
        <f t="shared" si="1005"/>
        <v>0</v>
      </c>
      <c r="AT225" s="312">
        <f t="shared" si="1005"/>
        <v>0</v>
      </c>
      <c r="AU225" s="312">
        <f t="shared" si="1005"/>
        <v>0</v>
      </c>
      <c r="AV225" s="312">
        <f t="shared" si="1005"/>
        <v>0</v>
      </c>
      <c r="AW225" s="312">
        <f t="shared" si="1005"/>
        <v>0</v>
      </c>
      <c r="AX225" s="312">
        <f t="shared" si="1005"/>
        <v>0</v>
      </c>
      <c r="AY225" s="312">
        <f t="shared" si="1005"/>
        <v>0</v>
      </c>
      <c r="AZ225" s="312">
        <f t="shared" si="1005"/>
        <v>0</v>
      </c>
      <c r="BA225" s="312">
        <f t="shared" si="1005"/>
        <v>0</v>
      </c>
      <c r="BB225" s="312">
        <f t="shared" si="1005"/>
        <v>0</v>
      </c>
      <c r="BC225" s="312">
        <f t="shared" si="1005"/>
        <v>0</v>
      </c>
      <c r="BD225" s="312">
        <f t="shared" si="1005"/>
        <v>0</v>
      </c>
      <c r="BE225" s="312">
        <f t="shared" si="1005"/>
        <v>0</v>
      </c>
      <c r="BF225" s="312">
        <f t="shared" si="1005"/>
        <v>0</v>
      </c>
      <c r="BG225" s="312">
        <f t="shared" si="1005"/>
        <v>0</v>
      </c>
      <c r="BH225" s="312">
        <f t="shared" si="1005"/>
        <v>0</v>
      </c>
      <c r="BI225" s="312">
        <f t="shared" si="1005"/>
        <v>0</v>
      </c>
      <c r="BJ225" s="312">
        <f t="shared" si="1005"/>
        <v>0</v>
      </c>
      <c r="BK225" s="312">
        <f t="shared" si="1005"/>
        <v>0</v>
      </c>
      <c r="BL225" s="312">
        <f t="shared" si="1005"/>
        <v>0</v>
      </c>
      <c r="BM225" s="312">
        <f t="shared" si="1005"/>
        <v>0</v>
      </c>
      <c r="BN225" s="312">
        <f t="shared" ref="BN225:CB225" si="1006">BN37*BN104</f>
        <v>0</v>
      </c>
      <c r="BO225" s="312">
        <f t="shared" si="1006"/>
        <v>0</v>
      </c>
      <c r="BP225" s="312">
        <f t="shared" si="1006"/>
        <v>0</v>
      </c>
      <c r="BQ225" s="312">
        <f t="shared" si="1006"/>
        <v>0</v>
      </c>
      <c r="BR225" s="312">
        <f t="shared" si="1006"/>
        <v>0</v>
      </c>
      <c r="BS225" s="312">
        <f t="shared" si="1006"/>
        <v>0</v>
      </c>
      <c r="BT225" s="312">
        <f t="shared" si="1006"/>
        <v>0</v>
      </c>
      <c r="BU225" s="312">
        <f t="shared" si="1006"/>
        <v>0</v>
      </c>
      <c r="BV225" s="312">
        <f t="shared" si="1006"/>
        <v>0</v>
      </c>
      <c r="BW225" s="312">
        <f t="shared" si="1006"/>
        <v>0</v>
      </c>
      <c r="BX225" s="312">
        <f t="shared" si="1006"/>
        <v>0</v>
      </c>
      <c r="BY225" s="312">
        <f t="shared" si="1006"/>
        <v>0</v>
      </c>
      <c r="BZ225" s="312">
        <f t="shared" si="1006"/>
        <v>0</v>
      </c>
      <c r="CA225" s="312">
        <f t="shared" si="1006"/>
        <v>0</v>
      </c>
      <c r="CB225" s="312">
        <f t="shared" si="1006"/>
        <v>0</v>
      </c>
    </row>
    <row r="226" spans="1:80">
      <c r="A226" s="312" t="str">
        <f>A39</f>
        <v>Bond 5</v>
      </c>
      <c r="B226" s="312">
        <f t="shared" ref="B226:AG226" si="1007">B39*B109</f>
        <v>0.86809436424492681</v>
      </c>
      <c r="C226" s="312">
        <f t="shared" si="1007"/>
        <v>0.8605387070021765</v>
      </c>
      <c r="D226" s="312">
        <f t="shared" si="1007"/>
        <v>0.85295211417183259</v>
      </c>
      <c r="E226" s="312">
        <f t="shared" si="1007"/>
        <v>0.84536044886187078</v>
      </c>
      <c r="F226" s="312">
        <f t="shared" si="1007"/>
        <v>0.83774954343553898</v>
      </c>
      <c r="G226" s="312">
        <f t="shared" si="1007"/>
        <v>95.699512721618134</v>
      </c>
      <c r="H226" s="312">
        <f t="shared" si="1007"/>
        <v>0</v>
      </c>
      <c r="I226" s="312">
        <f t="shared" si="1007"/>
        <v>0</v>
      </c>
      <c r="J226" s="312">
        <f t="shared" si="1007"/>
        <v>0</v>
      </c>
      <c r="K226" s="312">
        <f t="shared" si="1007"/>
        <v>0</v>
      </c>
      <c r="L226" s="312">
        <f t="shared" si="1007"/>
        <v>0</v>
      </c>
      <c r="M226" s="312">
        <f t="shared" si="1007"/>
        <v>0</v>
      </c>
      <c r="N226" s="312">
        <f t="shared" si="1007"/>
        <v>0</v>
      </c>
      <c r="O226" s="312">
        <f t="shared" si="1007"/>
        <v>0</v>
      </c>
      <c r="P226" s="312">
        <f t="shared" si="1007"/>
        <v>0</v>
      </c>
      <c r="Q226" s="312">
        <f t="shared" si="1007"/>
        <v>0</v>
      </c>
      <c r="R226" s="312">
        <f t="shared" si="1007"/>
        <v>0</v>
      </c>
      <c r="S226" s="312">
        <f t="shared" si="1007"/>
        <v>0</v>
      </c>
      <c r="T226" s="312">
        <f t="shared" si="1007"/>
        <v>0</v>
      </c>
      <c r="U226" s="312">
        <f t="shared" si="1007"/>
        <v>0</v>
      </c>
      <c r="V226" s="312">
        <f t="shared" si="1007"/>
        <v>0</v>
      </c>
      <c r="W226" s="312">
        <f t="shared" si="1007"/>
        <v>0</v>
      </c>
      <c r="X226" s="312">
        <f t="shared" si="1007"/>
        <v>0</v>
      </c>
      <c r="Y226" s="312">
        <f t="shared" si="1007"/>
        <v>0</v>
      </c>
      <c r="Z226" s="312">
        <f t="shared" si="1007"/>
        <v>0</v>
      </c>
      <c r="AA226" s="312">
        <f t="shared" si="1007"/>
        <v>0</v>
      </c>
      <c r="AB226" s="312">
        <f t="shared" si="1007"/>
        <v>0</v>
      </c>
      <c r="AC226" s="312">
        <f t="shared" si="1007"/>
        <v>0</v>
      </c>
      <c r="AD226" s="312">
        <f t="shared" si="1007"/>
        <v>0</v>
      </c>
      <c r="AE226" s="312">
        <f t="shared" si="1007"/>
        <v>0</v>
      </c>
      <c r="AF226" s="312">
        <f t="shared" si="1007"/>
        <v>0</v>
      </c>
      <c r="AG226" s="312">
        <f t="shared" si="1007"/>
        <v>0</v>
      </c>
      <c r="AH226" s="312">
        <f t="shared" ref="AH226:BM226" si="1008">AH39*AH109</f>
        <v>0</v>
      </c>
      <c r="AI226" s="312">
        <f t="shared" si="1008"/>
        <v>0</v>
      </c>
      <c r="AJ226" s="312">
        <f t="shared" si="1008"/>
        <v>0</v>
      </c>
      <c r="AK226" s="312">
        <f t="shared" si="1008"/>
        <v>0</v>
      </c>
      <c r="AL226" s="312">
        <f t="shared" si="1008"/>
        <v>0</v>
      </c>
      <c r="AM226" s="312">
        <f t="shared" si="1008"/>
        <v>0</v>
      </c>
      <c r="AN226" s="312">
        <f t="shared" si="1008"/>
        <v>0</v>
      </c>
      <c r="AO226" s="312">
        <f t="shared" si="1008"/>
        <v>0</v>
      </c>
      <c r="AP226" s="312">
        <f t="shared" si="1008"/>
        <v>0</v>
      </c>
      <c r="AQ226" s="312">
        <f t="shared" si="1008"/>
        <v>0</v>
      </c>
      <c r="AR226" s="312">
        <f t="shared" si="1008"/>
        <v>0</v>
      </c>
      <c r="AS226" s="312">
        <f t="shared" si="1008"/>
        <v>0</v>
      </c>
      <c r="AT226" s="312">
        <f t="shared" si="1008"/>
        <v>0</v>
      </c>
      <c r="AU226" s="312">
        <f t="shared" si="1008"/>
        <v>0</v>
      </c>
      <c r="AV226" s="312">
        <f t="shared" si="1008"/>
        <v>0</v>
      </c>
      <c r="AW226" s="312">
        <f t="shared" si="1008"/>
        <v>0</v>
      </c>
      <c r="AX226" s="312">
        <f t="shared" si="1008"/>
        <v>0</v>
      </c>
      <c r="AY226" s="312">
        <f t="shared" si="1008"/>
        <v>0</v>
      </c>
      <c r="AZ226" s="312">
        <f t="shared" si="1008"/>
        <v>0</v>
      </c>
      <c r="BA226" s="312">
        <f t="shared" si="1008"/>
        <v>0</v>
      </c>
      <c r="BB226" s="312">
        <f t="shared" si="1008"/>
        <v>0</v>
      </c>
      <c r="BC226" s="312">
        <f t="shared" si="1008"/>
        <v>0</v>
      </c>
      <c r="BD226" s="312">
        <f t="shared" si="1008"/>
        <v>0</v>
      </c>
      <c r="BE226" s="312">
        <f t="shared" si="1008"/>
        <v>0</v>
      </c>
      <c r="BF226" s="312">
        <f t="shared" si="1008"/>
        <v>0</v>
      </c>
      <c r="BG226" s="312">
        <f t="shared" si="1008"/>
        <v>0</v>
      </c>
      <c r="BH226" s="312">
        <f t="shared" si="1008"/>
        <v>0</v>
      </c>
      <c r="BI226" s="312">
        <f t="shared" si="1008"/>
        <v>0</v>
      </c>
      <c r="BJ226" s="312">
        <f t="shared" si="1008"/>
        <v>0</v>
      </c>
      <c r="BK226" s="312">
        <f t="shared" si="1008"/>
        <v>0</v>
      </c>
      <c r="BL226" s="312">
        <f t="shared" si="1008"/>
        <v>0</v>
      </c>
      <c r="BM226" s="312">
        <f t="shared" si="1008"/>
        <v>0</v>
      </c>
      <c r="BN226" s="312">
        <f t="shared" ref="BN226:CB226" si="1009">BN39*BN109</f>
        <v>0</v>
      </c>
      <c r="BO226" s="312">
        <f t="shared" si="1009"/>
        <v>0</v>
      </c>
      <c r="BP226" s="312">
        <f t="shared" si="1009"/>
        <v>0</v>
      </c>
      <c r="BQ226" s="312">
        <f t="shared" si="1009"/>
        <v>0</v>
      </c>
      <c r="BR226" s="312">
        <f t="shared" si="1009"/>
        <v>0</v>
      </c>
      <c r="BS226" s="312">
        <f t="shared" si="1009"/>
        <v>0</v>
      </c>
      <c r="BT226" s="312">
        <f t="shared" si="1009"/>
        <v>0</v>
      </c>
      <c r="BU226" s="312">
        <f t="shared" si="1009"/>
        <v>0</v>
      </c>
      <c r="BV226" s="312">
        <f t="shared" si="1009"/>
        <v>0</v>
      </c>
      <c r="BW226" s="312">
        <f t="shared" si="1009"/>
        <v>0</v>
      </c>
      <c r="BX226" s="312">
        <f t="shared" si="1009"/>
        <v>0</v>
      </c>
      <c r="BY226" s="312">
        <f t="shared" si="1009"/>
        <v>0</v>
      </c>
      <c r="BZ226" s="312">
        <f t="shared" si="1009"/>
        <v>0</v>
      </c>
      <c r="CA226" s="312">
        <f t="shared" si="1009"/>
        <v>0</v>
      </c>
      <c r="CB226" s="312">
        <f t="shared" si="1009"/>
        <v>0</v>
      </c>
    </row>
    <row r="227" spans="1:80">
      <c r="A227" s="312" t="str">
        <f>A41</f>
        <v>Bond 6</v>
      </c>
      <c r="B227" s="312">
        <f t="shared" ref="B227:AG227" si="1010">B41*B114</f>
        <v>1.3011271189296767</v>
      </c>
      <c r="C227" s="312">
        <f t="shared" si="1010"/>
        <v>1.2897962126253948</v>
      </c>
      <c r="D227" s="312">
        <f t="shared" si="1010"/>
        <v>1.2784165925057498</v>
      </c>
      <c r="E227" s="312">
        <f t="shared" si="1010"/>
        <v>1.2670273423591656</v>
      </c>
      <c r="F227" s="312">
        <f t="shared" si="1010"/>
        <v>1.2556074968440123</v>
      </c>
      <c r="G227" s="312">
        <f t="shared" si="1010"/>
        <v>1.2441391687151464</v>
      </c>
      <c r="H227" s="312">
        <f t="shared" si="1010"/>
        <v>1.2326073032662728</v>
      </c>
      <c r="I227" s="312">
        <f t="shared" si="1010"/>
        <v>94.249528946506075</v>
      </c>
      <c r="J227" s="312">
        <f t="shared" si="1010"/>
        <v>0</v>
      </c>
      <c r="K227" s="312">
        <f t="shared" si="1010"/>
        <v>0</v>
      </c>
      <c r="L227" s="312">
        <f t="shared" si="1010"/>
        <v>0</v>
      </c>
      <c r="M227" s="312">
        <f t="shared" si="1010"/>
        <v>0</v>
      </c>
      <c r="N227" s="312">
        <f t="shared" si="1010"/>
        <v>0</v>
      </c>
      <c r="O227" s="312">
        <f t="shared" si="1010"/>
        <v>0</v>
      </c>
      <c r="P227" s="312">
        <f t="shared" si="1010"/>
        <v>0</v>
      </c>
      <c r="Q227" s="312">
        <f t="shared" si="1010"/>
        <v>0</v>
      </c>
      <c r="R227" s="312">
        <f t="shared" si="1010"/>
        <v>0</v>
      </c>
      <c r="S227" s="312">
        <f t="shared" si="1010"/>
        <v>0</v>
      </c>
      <c r="T227" s="312">
        <f t="shared" si="1010"/>
        <v>0</v>
      </c>
      <c r="U227" s="312">
        <f t="shared" si="1010"/>
        <v>0</v>
      </c>
      <c r="V227" s="312">
        <f t="shared" si="1010"/>
        <v>0</v>
      </c>
      <c r="W227" s="312">
        <f t="shared" si="1010"/>
        <v>0</v>
      </c>
      <c r="X227" s="312">
        <f t="shared" si="1010"/>
        <v>0</v>
      </c>
      <c r="Y227" s="312">
        <f t="shared" si="1010"/>
        <v>0</v>
      </c>
      <c r="Z227" s="312">
        <f t="shared" si="1010"/>
        <v>0</v>
      </c>
      <c r="AA227" s="312">
        <f t="shared" si="1010"/>
        <v>0</v>
      </c>
      <c r="AB227" s="312">
        <f t="shared" si="1010"/>
        <v>0</v>
      </c>
      <c r="AC227" s="312">
        <f t="shared" si="1010"/>
        <v>0</v>
      </c>
      <c r="AD227" s="312">
        <f t="shared" si="1010"/>
        <v>0</v>
      </c>
      <c r="AE227" s="312">
        <f t="shared" si="1010"/>
        <v>0</v>
      </c>
      <c r="AF227" s="312">
        <f t="shared" si="1010"/>
        <v>0</v>
      </c>
      <c r="AG227" s="312">
        <f t="shared" si="1010"/>
        <v>0</v>
      </c>
      <c r="AH227" s="312">
        <f t="shared" ref="AH227:BM227" si="1011">AH41*AH114</f>
        <v>0</v>
      </c>
      <c r="AI227" s="312">
        <f t="shared" si="1011"/>
        <v>0</v>
      </c>
      <c r="AJ227" s="312">
        <f t="shared" si="1011"/>
        <v>0</v>
      </c>
      <c r="AK227" s="312">
        <f t="shared" si="1011"/>
        <v>0</v>
      </c>
      <c r="AL227" s="312">
        <f t="shared" si="1011"/>
        <v>0</v>
      </c>
      <c r="AM227" s="312">
        <f t="shared" si="1011"/>
        <v>0</v>
      </c>
      <c r="AN227" s="312">
        <f t="shared" si="1011"/>
        <v>0</v>
      </c>
      <c r="AO227" s="312">
        <f t="shared" si="1011"/>
        <v>0</v>
      </c>
      <c r="AP227" s="312">
        <f t="shared" si="1011"/>
        <v>0</v>
      </c>
      <c r="AQ227" s="312">
        <f t="shared" si="1011"/>
        <v>0</v>
      </c>
      <c r="AR227" s="312">
        <f t="shared" si="1011"/>
        <v>0</v>
      </c>
      <c r="AS227" s="312">
        <f t="shared" si="1011"/>
        <v>0</v>
      </c>
      <c r="AT227" s="312">
        <f t="shared" si="1011"/>
        <v>0</v>
      </c>
      <c r="AU227" s="312">
        <f t="shared" si="1011"/>
        <v>0</v>
      </c>
      <c r="AV227" s="312">
        <f t="shared" si="1011"/>
        <v>0</v>
      </c>
      <c r="AW227" s="312">
        <f t="shared" si="1011"/>
        <v>0</v>
      </c>
      <c r="AX227" s="312">
        <f t="shared" si="1011"/>
        <v>0</v>
      </c>
      <c r="AY227" s="312">
        <f t="shared" si="1011"/>
        <v>0</v>
      </c>
      <c r="AZ227" s="312">
        <f t="shared" si="1011"/>
        <v>0</v>
      </c>
      <c r="BA227" s="312">
        <f t="shared" si="1011"/>
        <v>0</v>
      </c>
      <c r="BB227" s="312">
        <f t="shared" si="1011"/>
        <v>0</v>
      </c>
      <c r="BC227" s="312">
        <f t="shared" si="1011"/>
        <v>0</v>
      </c>
      <c r="BD227" s="312">
        <f t="shared" si="1011"/>
        <v>0</v>
      </c>
      <c r="BE227" s="312">
        <f t="shared" si="1011"/>
        <v>0</v>
      </c>
      <c r="BF227" s="312">
        <f t="shared" si="1011"/>
        <v>0</v>
      </c>
      <c r="BG227" s="312">
        <f t="shared" si="1011"/>
        <v>0</v>
      </c>
      <c r="BH227" s="312">
        <f t="shared" si="1011"/>
        <v>0</v>
      </c>
      <c r="BI227" s="312">
        <f t="shared" si="1011"/>
        <v>0</v>
      </c>
      <c r="BJ227" s="312">
        <f t="shared" si="1011"/>
        <v>0</v>
      </c>
      <c r="BK227" s="312">
        <f t="shared" si="1011"/>
        <v>0</v>
      </c>
      <c r="BL227" s="312">
        <f t="shared" si="1011"/>
        <v>0</v>
      </c>
      <c r="BM227" s="312">
        <f t="shared" si="1011"/>
        <v>0</v>
      </c>
      <c r="BN227" s="312">
        <f t="shared" ref="BN227:CB227" si="1012">BN41*BN114</f>
        <v>0</v>
      </c>
      <c r="BO227" s="312">
        <f t="shared" si="1012"/>
        <v>0</v>
      </c>
      <c r="BP227" s="312">
        <f t="shared" si="1012"/>
        <v>0</v>
      </c>
      <c r="BQ227" s="312">
        <f t="shared" si="1012"/>
        <v>0</v>
      </c>
      <c r="BR227" s="312">
        <f t="shared" si="1012"/>
        <v>0</v>
      </c>
      <c r="BS227" s="312">
        <f t="shared" si="1012"/>
        <v>0</v>
      </c>
      <c r="BT227" s="312">
        <f t="shared" si="1012"/>
        <v>0</v>
      </c>
      <c r="BU227" s="312">
        <f t="shared" si="1012"/>
        <v>0</v>
      </c>
      <c r="BV227" s="312">
        <f t="shared" si="1012"/>
        <v>0</v>
      </c>
      <c r="BW227" s="312">
        <f t="shared" si="1012"/>
        <v>0</v>
      </c>
      <c r="BX227" s="312">
        <f t="shared" si="1012"/>
        <v>0</v>
      </c>
      <c r="BY227" s="312">
        <f t="shared" si="1012"/>
        <v>0</v>
      </c>
      <c r="BZ227" s="312">
        <f t="shared" si="1012"/>
        <v>0</v>
      </c>
      <c r="CA227" s="312">
        <f t="shared" si="1012"/>
        <v>0</v>
      </c>
      <c r="CB227" s="312">
        <f t="shared" si="1012"/>
        <v>0</v>
      </c>
    </row>
    <row r="228" spans="1:80">
      <c r="A228" s="312" t="str">
        <f>A43</f>
        <v>Bond 7</v>
      </c>
      <c r="B228" s="312">
        <f t="shared" ref="B228:AG228" si="1013">B43*B119</f>
        <v>0.8674180792864512</v>
      </c>
      <c r="C228" s="312">
        <f t="shared" si="1013"/>
        <v>0.85986414175026327</v>
      </c>
      <c r="D228" s="312">
        <f t="shared" si="1013"/>
        <v>0.85227772833716664</v>
      </c>
      <c r="E228" s="312">
        <f t="shared" si="1013"/>
        <v>0.84468489490611043</v>
      </c>
      <c r="F228" s="312">
        <f t="shared" si="1013"/>
        <v>0.8370716645626749</v>
      </c>
      <c r="G228" s="312">
        <f t="shared" si="1013"/>
        <v>0.82942611247676434</v>
      </c>
      <c r="H228" s="312">
        <f t="shared" si="1013"/>
        <v>0.82173820217751525</v>
      </c>
      <c r="I228" s="312">
        <f t="shared" si="1013"/>
        <v>0.81399963309752332</v>
      </c>
      <c r="J228" s="312">
        <f t="shared" si="1013"/>
        <v>0.80620369820168747</v>
      </c>
      <c r="K228" s="312">
        <f t="shared" si="1013"/>
        <v>92.04284499553286</v>
      </c>
      <c r="L228" s="312">
        <f t="shared" si="1013"/>
        <v>0</v>
      </c>
      <c r="M228" s="312">
        <f t="shared" si="1013"/>
        <v>0</v>
      </c>
      <c r="N228" s="312">
        <f t="shared" si="1013"/>
        <v>0</v>
      </c>
      <c r="O228" s="312">
        <f t="shared" si="1013"/>
        <v>0</v>
      </c>
      <c r="P228" s="312">
        <f t="shared" si="1013"/>
        <v>0</v>
      </c>
      <c r="Q228" s="312">
        <f t="shared" si="1013"/>
        <v>0</v>
      </c>
      <c r="R228" s="312">
        <f t="shared" si="1013"/>
        <v>0</v>
      </c>
      <c r="S228" s="312">
        <f t="shared" si="1013"/>
        <v>0</v>
      </c>
      <c r="T228" s="312">
        <f t="shared" si="1013"/>
        <v>0</v>
      </c>
      <c r="U228" s="312">
        <f t="shared" si="1013"/>
        <v>0</v>
      </c>
      <c r="V228" s="312">
        <f t="shared" si="1013"/>
        <v>0</v>
      </c>
      <c r="W228" s="312">
        <f t="shared" si="1013"/>
        <v>0</v>
      </c>
      <c r="X228" s="312">
        <f t="shared" si="1013"/>
        <v>0</v>
      </c>
      <c r="Y228" s="312">
        <f t="shared" si="1013"/>
        <v>0</v>
      </c>
      <c r="Z228" s="312">
        <f t="shared" si="1013"/>
        <v>0</v>
      </c>
      <c r="AA228" s="312">
        <f t="shared" si="1013"/>
        <v>0</v>
      </c>
      <c r="AB228" s="312">
        <f t="shared" si="1013"/>
        <v>0</v>
      </c>
      <c r="AC228" s="312">
        <f t="shared" si="1013"/>
        <v>0</v>
      </c>
      <c r="AD228" s="312">
        <f t="shared" si="1013"/>
        <v>0</v>
      </c>
      <c r="AE228" s="312">
        <f t="shared" si="1013"/>
        <v>0</v>
      </c>
      <c r="AF228" s="312">
        <f t="shared" si="1013"/>
        <v>0</v>
      </c>
      <c r="AG228" s="312">
        <f t="shared" si="1013"/>
        <v>0</v>
      </c>
      <c r="AH228" s="312">
        <f t="shared" ref="AH228:BM228" si="1014">AH43*AH119</f>
        <v>0</v>
      </c>
      <c r="AI228" s="312">
        <f t="shared" si="1014"/>
        <v>0</v>
      </c>
      <c r="AJ228" s="312">
        <f t="shared" si="1014"/>
        <v>0</v>
      </c>
      <c r="AK228" s="312">
        <f t="shared" si="1014"/>
        <v>0</v>
      </c>
      <c r="AL228" s="312">
        <f t="shared" si="1014"/>
        <v>0</v>
      </c>
      <c r="AM228" s="312">
        <f t="shared" si="1014"/>
        <v>0</v>
      </c>
      <c r="AN228" s="312">
        <f t="shared" si="1014"/>
        <v>0</v>
      </c>
      <c r="AO228" s="312">
        <f t="shared" si="1014"/>
        <v>0</v>
      </c>
      <c r="AP228" s="312">
        <f t="shared" si="1014"/>
        <v>0</v>
      </c>
      <c r="AQ228" s="312">
        <f t="shared" si="1014"/>
        <v>0</v>
      </c>
      <c r="AR228" s="312">
        <f t="shared" si="1014"/>
        <v>0</v>
      </c>
      <c r="AS228" s="312">
        <f t="shared" si="1014"/>
        <v>0</v>
      </c>
      <c r="AT228" s="312">
        <f t="shared" si="1014"/>
        <v>0</v>
      </c>
      <c r="AU228" s="312">
        <f t="shared" si="1014"/>
        <v>0</v>
      </c>
      <c r="AV228" s="312">
        <f t="shared" si="1014"/>
        <v>0</v>
      </c>
      <c r="AW228" s="312">
        <f t="shared" si="1014"/>
        <v>0</v>
      </c>
      <c r="AX228" s="312">
        <f t="shared" si="1014"/>
        <v>0</v>
      </c>
      <c r="AY228" s="312">
        <f t="shared" si="1014"/>
        <v>0</v>
      </c>
      <c r="AZ228" s="312">
        <f t="shared" si="1014"/>
        <v>0</v>
      </c>
      <c r="BA228" s="312">
        <f t="shared" si="1014"/>
        <v>0</v>
      </c>
      <c r="BB228" s="312">
        <f t="shared" si="1014"/>
        <v>0</v>
      </c>
      <c r="BC228" s="312">
        <f t="shared" si="1014"/>
        <v>0</v>
      </c>
      <c r="BD228" s="312">
        <f t="shared" si="1014"/>
        <v>0</v>
      </c>
      <c r="BE228" s="312">
        <f t="shared" si="1014"/>
        <v>0</v>
      </c>
      <c r="BF228" s="312">
        <f t="shared" si="1014"/>
        <v>0</v>
      </c>
      <c r="BG228" s="312">
        <f t="shared" si="1014"/>
        <v>0</v>
      </c>
      <c r="BH228" s="312">
        <f t="shared" si="1014"/>
        <v>0</v>
      </c>
      <c r="BI228" s="312">
        <f t="shared" si="1014"/>
        <v>0</v>
      </c>
      <c r="BJ228" s="312">
        <f t="shared" si="1014"/>
        <v>0</v>
      </c>
      <c r="BK228" s="312">
        <f t="shared" si="1014"/>
        <v>0</v>
      </c>
      <c r="BL228" s="312">
        <f t="shared" si="1014"/>
        <v>0</v>
      </c>
      <c r="BM228" s="312">
        <f t="shared" si="1014"/>
        <v>0</v>
      </c>
      <c r="BN228" s="312">
        <f t="shared" ref="BN228:CB228" si="1015">BN43*BN119</f>
        <v>0</v>
      </c>
      <c r="BO228" s="312">
        <f t="shared" si="1015"/>
        <v>0</v>
      </c>
      <c r="BP228" s="312">
        <f t="shared" si="1015"/>
        <v>0</v>
      </c>
      <c r="BQ228" s="312">
        <f t="shared" si="1015"/>
        <v>0</v>
      </c>
      <c r="BR228" s="312">
        <f t="shared" si="1015"/>
        <v>0</v>
      </c>
      <c r="BS228" s="312">
        <f t="shared" si="1015"/>
        <v>0</v>
      </c>
      <c r="BT228" s="312">
        <f t="shared" si="1015"/>
        <v>0</v>
      </c>
      <c r="BU228" s="312">
        <f t="shared" si="1015"/>
        <v>0</v>
      </c>
      <c r="BV228" s="312">
        <f t="shared" si="1015"/>
        <v>0</v>
      </c>
      <c r="BW228" s="312">
        <f t="shared" si="1015"/>
        <v>0</v>
      </c>
      <c r="BX228" s="312">
        <f t="shared" si="1015"/>
        <v>0</v>
      </c>
      <c r="BY228" s="312">
        <f t="shared" si="1015"/>
        <v>0</v>
      </c>
      <c r="BZ228" s="312">
        <f t="shared" si="1015"/>
        <v>0</v>
      </c>
      <c r="CA228" s="312">
        <f t="shared" si="1015"/>
        <v>0</v>
      </c>
      <c r="CB228" s="312">
        <f t="shared" si="1015"/>
        <v>0</v>
      </c>
    </row>
    <row r="229" spans="1:80">
      <c r="A229" s="312" t="str">
        <f>A45</f>
        <v>Bond 8</v>
      </c>
      <c r="B229" s="312">
        <f t="shared" ref="B229:AG229" si="1016">B45*B124</f>
        <v>0.92937651352119754</v>
      </c>
      <c r="C229" s="312">
        <f t="shared" si="1016"/>
        <v>0.92128300901813909</v>
      </c>
      <c r="D229" s="312">
        <f t="shared" si="1016"/>
        <v>0.91315470893267836</v>
      </c>
      <c r="E229" s="312">
        <f t="shared" si="1016"/>
        <v>0.9050195302565468</v>
      </c>
      <c r="F229" s="312">
        <f t="shared" si="1016"/>
        <v>0.89686249774572302</v>
      </c>
      <c r="G229" s="312">
        <f t="shared" si="1016"/>
        <v>0.88867083479653319</v>
      </c>
      <c r="H229" s="312">
        <f t="shared" si="1016"/>
        <v>0.88043378804733774</v>
      </c>
      <c r="I229" s="312">
        <f t="shared" si="1016"/>
        <v>0.8721424640330605</v>
      </c>
      <c r="J229" s="312">
        <f t="shared" si="1016"/>
        <v>0.86378967664466511</v>
      </c>
      <c r="K229" s="312">
        <f t="shared" si="1016"/>
        <v>0.85541677505142055</v>
      </c>
      <c r="L229" s="312">
        <f t="shared" si="1016"/>
        <v>0.84692603210578143</v>
      </c>
      <c r="M229" s="312">
        <f t="shared" si="1016"/>
        <v>0.83836114016456764</v>
      </c>
      <c r="N229" s="312">
        <f t="shared" si="1016"/>
        <v>0.82972039381920171</v>
      </c>
      <c r="O229" s="312">
        <f t="shared" si="1016"/>
        <v>88.394673975571408</v>
      </c>
      <c r="P229" s="312">
        <f t="shared" si="1016"/>
        <v>0</v>
      </c>
      <c r="Q229" s="312">
        <f t="shared" si="1016"/>
        <v>0</v>
      </c>
      <c r="R229" s="312">
        <f t="shared" si="1016"/>
        <v>0</v>
      </c>
      <c r="S229" s="312">
        <f t="shared" si="1016"/>
        <v>0</v>
      </c>
      <c r="T229" s="312">
        <f t="shared" si="1016"/>
        <v>0</v>
      </c>
      <c r="U229" s="312">
        <f t="shared" si="1016"/>
        <v>0</v>
      </c>
      <c r="V229" s="312">
        <f t="shared" si="1016"/>
        <v>0</v>
      </c>
      <c r="W229" s="312">
        <f t="shared" si="1016"/>
        <v>0</v>
      </c>
      <c r="X229" s="312">
        <f t="shared" si="1016"/>
        <v>0</v>
      </c>
      <c r="Y229" s="312">
        <f t="shared" si="1016"/>
        <v>0</v>
      </c>
      <c r="Z229" s="312">
        <f t="shared" si="1016"/>
        <v>0</v>
      </c>
      <c r="AA229" s="312">
        <f t="shared" si="1016"/>
        <v>0</v>
      </c>
      <c r="AB229" s="312">
        <f t="shared" si="1016"/>
        <v>0</v>
      </c>
      <c r="AC229" s="312">
        <f t="shared" si="1016"/>
        <v>0</v>
      </c>
      <c r="AD229" s="312">
        <f t="shared" si="1016"/>
        <v>0</v>
      </c>
      <c r="AE229" s="312">
        <f t="shared" si="1016"/>
        <v>0</v>
      </c>
      <c r="AF229" s="312">
        <f t="shared" si="1016"/>
        <v>0</v>
      </c>
      <c r="AG229" s="312">
        <f t="shared" si="1016"/>
        <v>0</v>
      </c>
      <c r="AH229" s="312">
        <f t="shared" ref="AH229:BM229" si="1017">AH45*AH124</f>
        <v>0</v>
      </c>
      <c r="AI229" s="312">
        <f t="shared" si="1017"/>
        <v>0</v>
      </c>
      <c r="AJ229" s="312">
        <f t="shared" si="1017"/>
        <v>0</v>
      </c>
      <c r="AK229" s="312">
        <f t="shared" si="1017"/>
        <v>0</v>
      </c>
      <c r="AL229" s="312">
        <f t="shared" si="1017"/>
        <v>0</v>
      </c>
      <c r="AM229" s="312">
        <f t="shared" si="1017"/>
        <v>0</v>
      </c>
      <c r="AN229" s="312">
        <f t="shared" si="1017"/>
        <v>0</v>
      </c>
      <c r="AO229" s="312">
        <f t="shared" si="1017"/>
        <v>0</v>
      </c>
      <c r="AP229" s="312">
        <f t="shared" si="1017"/>
        <v>0</v>
      </c>
      <c r="AQ229" s="312">
        <f t="shared" si="1017"/>
        <v>0</v>
      </c>
      <c r="AR229" s="312">
        <f t="shared" si="1017"/>
        <v>0</v>
      </c>
      <c r="AS229" s="312">
        <f t="shared" si="1017"/>
        <v>0</v>
      </c>
      <c r="AT229" s="312">
        <f t="shared" si="1017"/>
        <v>0</v>
      </c>
      <c r="AU229" s="312">
        <f t="shared" si="1017"/>
        <v>0</v>
      </c>
      <c r="AV229" s="312">
        <f t="shared" si="1017"/>
        <v>0</v>
      </c>
      <c r="AW229" s="312">
        <f t="shared" si="1017"/>
        <v>0</v>
      </c>
      <c r="AX229" s="312">
        <f t="shared" si="1017"/>
        <v>0</v>
      </c>
      <c r="AY229" s="312">
        <f t="shared" si="1017"/>
        <v>0</v>
      </c>
      <c r="AZ229" s="312">
        <f t="shared" si="1017"/>
        <v>0</v>
      </c>
      <c r="BA229" s="312">
        <f t="shared" si="1017"/>
        <v>0</v>
      </c>
      <c r="BB229" s="312">
        <f t="shared" si="1017"/>
        <v>0</v>
      </c>
      <c r="BC229" s="312">
        <f t="shared" si="1017"/>
        <v>0</v>
      </c>
      <c r="BD229" s="312">
        <f t="shared" si="1017"/>
        <v>0</v>
      </c>
      <c r="BE229" s="312">
        <f t="shared" si="1017"/>
        <v>0</v>
      </c>
      <c r="BF229" s="312">
        <f t="shared" si="1017"/>
        <v>0</v>
      </c>
      <c r="BG229" s="312">
        <f t="shared" si="1017"/>
        <v>0</v>
      </c>
      <c r="BH229" s="312">
        <f t="shared" si="1017"/>
        <v>0</v>
      </c>
      <c r="BI229" s="312">
        <f t="shared" si="1017"/>
        <v>0</v>
      </c>
      <c r="BJ229" s="312">
        <f t="shared" si="1017"/>
        <v>0</v>
      </c>
      <c r="BK229" s="312">
        <f t="shared" si="1017"/>
        <v>0</v>
      </c>
      <c r="BL229" s="312">
        <f t="shared" si="1017"/>
        <v>0</v>
      </c>
      <c r="BM229" s="312">
        <f t="shared" si="1017"/>
        <v>0</v>
      </c>
      <c r="BN229" s="312">
        <f t="shared" ref="BN229:CB229" si="1018">BN45*BN124</f>
        <v>0</v>
      </c>
      <c r="BO229" s="312">
        <f t="shared" si="1018"/>
        <v>0</v>
      </c>
      <c r="BP229" s="312">
        <f t="shared" si="1018"/>
        <v>0</v>
      </c>
      <c r="BQ229" s="312">
        <f t="shared" si="1018"/>
        <v>0</v>
      </c>
      <c r="BR229" s="312">
        <f t="shared" si="1018"/>
        <v>0</v>
      </c>
      <c r="BS229" s="312">
        <f t="shared" si="1018"/>
        <v>0</v>
      </c>
      <c r="BT229" s="312">
        <f t="shared" si="1018"/>
        <v>0</v>
      </c>
      <c r="BU229" s="312">
        <f t="shared" si="1018"/>
        <v>0</v>
      </c>
      <c r="BV229" s="312">
        <f t="shared" si="1018"/>
        <v>0</v>
      </c>
      <c r="BW229" s="312">
        <f t="shared" si="1018"/>
        <v>0</v>
      </c>
      <c r="BX229" s="312">
        <f t="shared" si="1018"/>
        <v>0</v>
      </c>
      <c r="BY229" s="312">
        <f t="shared" si="1018"/>
        <v>0</v>
      </c>
      <c r="BZ229" s="312">
        <f t="shared" si="1018"/>
        <v>0</v>
      </c>
      <c r="CA229" s="312">
        <f t="shared" si="1018"/>
        <v>0</v>
      </c>
      <c r="CB229" s="312">
        <f t="shared" si="1018"/>
        <v>0</v>
      </c>
    </row>
    <row r="230" spans="1:80">
      <c r="A230" s="312" t="str">
        <f>A47</f>
        <v>Bond 9</v>
      </c>
      <c r="B230" s="312">
        <f t="shared" ref="B230:AG230" si="1019">B47*B129</f>
        <v>1.1798498475799744</v>
      </c>
      <c r="C230" s="312">
        <f t="shared" si="1019"/>
        <v>1.1695335856308884</v>
      </c>
      <c r="D230" s="312">
        <f t="shared" si="1019"/>
        <v>1.1592937998584878</v>
      </c>
      <c r="E230" s="312">
        <f t="shared" si="1019"/>
        <v>1.1489361151236133</v>
      </c>
      <c r="F230" s="312">
        <f t="shared" si="1019"/>
        <v>1.1386698666137502</v>
      </c>
      <c r="G230" s="312">
        <f t="shared" si="1019"/>
        <v>1.1282486497370658</v>
      </c>
      <c r="H230" s="312">
        <f t="shared" si="1019"/>
        <v>1.1178886244615562</v>
      </c>
      <c r="I230" s="312">
        <f t="shared" si="1019"/>
        <v>1.1073463521441609</v>
      </c>
      <c r="J230" s="312">
        <f t="shared" si="1019"/>
        <v>1.0968452509467903</v>
      </c>
      <c r="K230" s="312">
        <f t="shared" si="1019"/>
        <v>1.0862023692625249</v>
      </c>
      <c r="L230" s="312">
        <f t="shared" si="1019"/>
        <v>1.0755302745074564</v>
      </c>
      <c r="M230" s="312">
        <f t="shared" si="1019"/>
        <v>1.0646452743343937</v>
      </c>
      <c r="N230" s="312">
        <f t="shared" si="1019"/>
        <v>1.0537854132343134</v>
      </c>
      <c r="O230" s="312">
        <f t="shared" si="1019"/>
        <v>1.0427068755889515</v>
      </c>
      <c r="P230" s="312">
        <f t="shared" si="1019"/>
        <v>1.0316546246616309</v>
      </c>
      <c r="Q230" s="312">
        <f t="shared" si="1019"/>
        <v>1.0203829636652875</v>
      </c>
      <c r="R230" s="312">
        <f t="shared" si="1019"/>
        <v>1.0091432624674439</v>
      </c>
      <c r="S230" s="312">
        <f t="shared" si="1019"/>
        <v>0.99775110728830207</v>
      </c>
      <c r="T230" s="312">
        <f t="shared" si="1019"/>
        <v>0.98633702398786272</v>
      </c>
      <c r="U230" s="312">
        <f t="shared" si="1019"/>
        <v>83.055869190952919</v>
      </c>
      <c r="V230" s="312">
        <f t="shared" si="1019"/>
        <v>0</v>
      </c>
      <c r="W230" s="312">
        <f t="shared" si="1019"/>
        <v>0</v>
      </c>
      <c r="X230" s="312">
        <f t="shared" si="1019"/>
        <v>0</v>
      </c>
      <c r="Y230" s="312">
        <f t="shared" si="1019"/>
        <v>0</v>
      </c>
      <c r="Z230" s="312">
        <f t="shared" si="1019"/>
        <v>0</v>
      </c>
      <c r="AA230" s="312">
        <f t="shared" si="1019"/>
        <v>0</v>
      </c>
      <c r="AB230" s="312">
        <f t="shared" si="1019"/>
        <v>0</v>
      </c>
      <c r="AC230" s="312">
        <f t="shared" si="1019"/>
        <v>0</v>
      </c>
      <c r="AD230" s="312">
        <f t="shared" si="1019"/>
        <v>0</v>
      </c>
      <c r="AE230" s="312">
        <f t="shared" si="1019"/>
        <v>0</v>
      </c>
      <c r="AF230" s="312">
        <f t="shared" si="1019"/>
        <v>0</v>
      </c>
      <c r="AG230" s="312">
        <f t="shared" si="1019"/>
        <v>0</v>
      </c>
      <c r="AH230" s="312">
        <f t="shared" ref="AH230:BM230" si="1020">AH47*AH129</f>
        <v>0</v>
      </c>
      <c r="AI230" s="312">
        <f t="shared" si="1020"/>
        <v>0</v>
      </c>
      <c r="AJ230" s="312">
        <f t="shared" si="1020"/>
        <v>0</v>
      </c>
      <c r="AK230" s="312">
        <f t="shared" si="1020"/>
        <v>0</v>
      </c>
      <c r="AL230" s="312">
        <f t="shared" si="1020"/>
        <v>0</v>
      </c>
      <c r="AM230" s="312">
        <f t="shared" si="1020"/>
        <v>0</v>
      </c>
      <c r="AN230" s="312">
        <f t="shared" si="1020"/>
        <v>0</v>
      </c>
      <c r="AO230" s="312">
        <f t="shared" si="1020"/>
        <v>0</v>
      </c>
      <c r="AP230" s="312">
        <f t="shared" si="1020"/>
        <v>0</v>
      </c>
      <c r="AQ230" s="312">
        <f t="shared" si="1020"/>
        <v>0</v>
      </c>
      <c r="AR230" s="312">
        <f t="shared" si="1020"/>
        <v>0</v>
      </c>
      <c r="AS230" s="312">
        <f t="shared" si="1020"/>
        <v>0</v>
      </c>
      <c r="AT230" s="312">
        <f t="shared" si="1020"/>
        <v>0</v>
      </c>
      <c r="AU230" s="312">
        <f t="shared" si="1020"/>
        <v>0</v>
      </c>
      <c r="AV230" s="312">
        <f t="shared" si="1020"/>
        <v>0</v>
      </c>
      <c r="AW230" s="312">
        <f t="shared" si="1020"/>
        <v>0</v>
      </c>
      <c r="AX230" s="312">
        <f t="shared" si="1020"/>
        <v>0</v>
      </c>
      <c r="AY230" s="312">
        <f t="shared" si="1020"/>
        <v>0</v>
      </c>
      <c r="AZ230" s="312">
        <f t="shared" si="1020"/>
        <v>0</v>
      </c>
      <c r="BA230" s="312">
        <f t="shared" si="1020"/>
        <v>0</v>
      </c>
      <c r="BB230" s="312">
        <f t="shared" si="1020"/>
        <v>0</v>
      </c>
      <c r="BC230" s="312">
        <f t="shared" si="1020"/>
        <v>0</v>
      </c>
      <c r="BD230" s="312">
        <f t="shared" si="1020"/>
        <v>0</v>
      </c>
      <c r="BE230" s="312">
        <f t="shared" si="1020"/>
        <v>0</v>
      </c>
      <c r="BF230" s="312">
        <f t="shared" si="1020"/>
        <v>0</v>
      </c>
      <c r="BG230" s="312">
        <f t="shared" si="1020"/>
        <v>0</v>
      </c>
      <c r="BH230" s="312">
        <f t="shared" si="1020"/>
        <v>0</v>
      </c>
      <c r="BI230" s="312">
        <f t="shared" si="1020"/>
        <v>0</v>
      </c>
      <c r="BJ230" s="312">
        <f t="shared" si="1020"/>
        <v>0</v>
      </c>
      <c r="BK230" s="312">
        <f t="shared" si="1020"/>
        <v>0</v>
      </c>
      <c r="BL230" s="312">
        <f t="shared" si="1020"/>
        <v>0</v>
      </c>
      <c r="BM230" s="312">
        <f t="shared" si="1020"/>
        <v>0</v>
      </c>
      <c r="BN230" s="312">
        <f t="shared" ref="BN230:CB230" si="1021">BN47*BN129</f>
        <v>0</v>
      </c>
      <c r="BO230" s="312">
        <f t="shared" si="1021"/>
        <v>0</v>
      </c>
      <c r="BP230" s="312">
        <f t="shared" si="1021"/>
        <v>0</v>
      </c>
      <c r="BQ230" s="312">
        <f t="shared" si="1021"/>
        <v>0</v>
      </c>
      <c r="BR230" s="312">
        <f t="shared" si="1021"/>
        <v>0</v>
      </c>
      <c r="BS230" s="312">
        <f t="shared" si="1021"/>
        <v>0</v>
      </c>
      <c r="BT230" s="312">
        <f t="shared" si="1021"/>
        <v>0</v>
      </c>
      <c r="BU230" s="312">
        <f t="shared" si="1021"/>
        <v>0</v>
      </c>
      <c r="BV230" s="312">
        <f t="shared" si="1021"/>
        <v>0</v>
      </c>
      <c r="BW230" s="312">
        <f t="shared" si="1021"/>
        <v>0</v>
      </c>
      <c r="BX230" s="312">
        <f t="shared" si="1021"/>
        <v>0</v>
      </c>
      <c r="BY230" s="312">
        <f t="shared" si="1021"/>
        <v>0</v>
      </c>
      <c r="BZ230" s="312">
        <f t="shared" si="1021"/>
        <v>0</v>
      </c>
      <c r="CA230" s="312">
        <f t="shared" si="1021"/>
        <v>0</v>
      </c>
      <c r="CB230" s="312">
        <f t="shared" si="1021"/>
        <v>0</v>
      </c>
    </row>
    <row r="231" spans="1:80">
      <c r="A231" s="312" t="str">
        <f>A49</f>
        <v>Bond 10</v>
      </c>
      <c r="B231" s="312">
        <f t="shared" ref="B231:AG231" si="1022">B49*B134</f>
        <v>3.4303304282959304</v>
      </c>
      <c r="C231" s="312">
        <f t="shared" si="1022"/>
        <v>3.4007437014209092</v>
      </c>
      <c r="D231" s="312">
        <f t="shared" si="1022"/>
        <v>3.3707513771382582</v>
      </c>
      <c r="E231" s="312">
        <f t="shared" si="1022"/>
        <v>3.3412782474416374</v>
      </c>
      <c r="F231" s="312">
        <f t="shared" si="1022"/>
        <v>3.3111031510496911</v>
      </c>
      <c r="G231" s="312">
        <f t="shared" si="1022"/>
        <v>3.2815003256889899</v>
      </c>
      <c r="H231" s="312">
        <f t="shared" si="1022"/>
        <v>3.2510936195331568</v>
      </c>
      <c r="I231" s="312">
        <f t="shared" si="1022"/>
        <v>3.2211824021072619</v>
      </c>
      <c r="J231" s="312">
        <f t="shared" si="1022"/>
        <v>3.1903908228199906</v>
      </c>
      <c r="K231" s="312">
        <f t="shared" si="1022"/>
        <v>3.1600477940142606</v>
      </c>
      <c r="L231" s="312">
        <f t="shared" si="1022"/>
        <v>3.1289425645724074</v>
      </c>
      <c r="M231" s="312">
        <f t="shared" si="1022"/>
        <v>3.0980923259024995</v>
      </c>
      <c r="N231" s="312">
        <f t="shared" si="1022"/>
        <v>92.266912434206446</v>
      </c>
      <c r="O231" s="312">
        <f t="shared" si="1022"/>
        <v>0</v>
      </c>
      <c r="P231" s="312">
        <f t="shared" si="1022"/>
        <v>0</v>
      </c>
      <c r="Q231" s="312">
        <f t="shared" si="1022"/>
        <v>0</v>
      </c>
      <c r="R231" s="312">
        <f t="shared" si="1022"/>
        <v>0</v>
      </c>
      <c r="S231" s="312">
        <f t="shared" si="1022"/>
        <v>0</v>
      </c>
      <c r="T231" s="312">
        <f t="shared" si="1022"/>
        <v>0</v>
      </c>
      <c r="U231" s="312">
        <f t="shared" si="1022"/>
        <v>0</v>
      </c>
      <c r="V231" s="312">
        <f t="shared" si="1022"/>
        <v>0</v>
      </c>
      <c r="W231" s="312">
        <f t="shared" si="1022"/>
        <v>0</v>
      </c>
      <c r="X231" s="312">
        <f t="shared" si="1022"/>
        <v>0</v>
      </c>
      <c r="Y231" s="312">
        <f t="shared" si="1022"/>
        <v>0</v>
      </c>
      <c r="Z231" s="312">
        <f t="shared" si="1022"/>
        <v>0</v>
      </c>
      <c r="AA231" s="312">
        <f t="shared" si="1022"/>
        <v>0</v>
      </c>
      <c r="AB231" s="312">
        <f t="shared" si="1022"/>
        <v>0</v>
      </c>
      <c r="AC231" s="312">
        <f t="shared" si="1022"/>
        <v>0</v>
      </c>
      <c r="AD231" s="312">
        <f t="shared" si="1022"/>
        <v>0</v>
      </c>
      <c r="AE231" s="312">
        <f t="shared" si="1022"/>
        <v>0</v>
      </c>
      <c r="AF231" s="312">
        <f t="shared" si="1022"/>
        <v>0</v>
      </c>
      <c r="AG231" s="312">
        <f t="shared" si="1022"/>
        <v>0</v>
      </c>
      <c r="AH231" s="312">
        <f t="shared" ref="AH231:BM231" si="1023">AH49*AH134</f>
        <v>0</v>
      </c>
      <c r="AI231" s="312">
        <f t="shared" si="1023"/>
        <v>0</v>
      </c>
      <c r="AJ231" s="312">
        <f t="shared" si="1023"/>
        <v>0</v>
      </c>
      <c r="AK231" s="312">
        <f t="shared" si="1023"/>
        <v>0</v>
      </c>
      <c r="AL231" s="312">
        <f t="shared" si="1023"/>
        <v>0</v>
      </c>
      <c r="AM231" s="312">
        <f t="shared" si="1023"/>
        <v>0</v>
      </c>
      <c r="AN231" s="312">
        <f t="shared" si="1023"/>
        <v>0</v>
      </c>
      <c r="AO231" s="312">
        <f t="shared" si="1023"/>
        <v>0</v>
      </c>
      <c r="AP231" s="312">
        <f t="shared" si="1023"/>
        <v>0</v>
      </c>
      <c r="AQ231" s="312">
        <f t="shared" si="1023"/>
        <v>0</v>
      </c>
      <c r="AR231" s="312">
        <f t="shared" si="1023"/>
        <v>0</v>
      </c>
      <c r="AS231" s="312">
        <f t="shared" si="1023"/>
        <v>0</v>
      </c>
      <c r="AT231" s="312">
        <f t="shared" si="1023"/>
        <v>0</v>
      </c>
      <c r="AU231" s="312">
        <f t="shared" si="1023"/>
        <v>0</v>
      </c>
      <c r="AV231" s="312">
        <f t="shared" si="1023"/>
        <v>0</v>
      </c>
      <c r="AW231" s="312">
        <f t="shared" si="1023"/>
        <v>0</v>
      </c>
      <c r="AX231" s="312">
        <f t="shared" si="1023"/>
        <v>0</v>
      </c>
      <c r="AY231" s="312">
        <f t="shared" si="1023"/>
        <v>0</v>
      </c>
      <c r="AZ231" s="312">
        <f t="shared" si="1023"/>
        <v>0</v>
      </c>
      <c r="BA231" s="312">
        <f t="shared" si="1023"/>
        <v>0</v>
      </c>
      <c r="BB231" s="312">
        <f t="shared" si="1023"/>
        <v>0</v>
      </c>
      <c r="BC231" s="312">
        <f t="shared" si="1023"/>
        <v>0</v>
      </c>
      <c r="BD231" s="312">
        <f t="shared" si="1023"/>
        <v>0</v>
      </c>
      <c r="BE231" s="312">
        <f t="shared" si="1023"/>
        <v>0</v>
      </c>
      <c r="BF231" s="312">
        <f t="shared" si="1023"/>
        <v>0</v>
      </c>
      <c r="BG231" s="312">
        <f t="shared" si="1023"/>
        <v>0</v>
      </c>
      <c r="BH231" s="312">
        <f t="shared" si="1023"/>
        <v>0</v>
      </c>
      <c r="BI231" s="312">
        <f t="shared" si="1023"/>
        <v>0</v>
      </c>
      <c r="BJ231" s="312">
        <f t="shared" si="1023"/>
        <v>0</v>
      </c>
      <c r="BK231" s="312">
        <f t="shared" si="1023"/>
        <v>0</v>
      </c>
      <c r="BL231" s="312">
        <f t="shared" si="1023"/>
        <v>0</v>
      </c>
      <c r="BM231" s="312">
        <f t="shared" si="1023"/>
        <v>0</v>
      </c>
      <c r="BN231" s="312">
        <f t="shared" ref="BN231:CB231" si="1024">BN49*BN134</f>
        <v>0</v>
      </c>
      <c r="BO231" s="312">
        <f t="shared" si="1024"/>
        <v>0</v>
      </c>
      <c r="BP231" s="312">
        <f t="shared" si="1024"/>
        <v>0</v>
      </c>
      <c r="BQ231" s="312">
        <f t="shared" si="1024"/>
        <v>0</v>
      </c>
      <c r="BR231" s="312">
        <f t="shared" si="1024"/>
        <v>0</v>
      </c>
      <c r="BS231" s="312">
        <f t="shared" si="1024"/>
        <v>0</v>
      </c>
      <c r="BT231" s="312">
        <f t="shared" si="1024"/>
        <v>0</v>
      </c>
      <c r="BU231" s="312">
        <f t="shared" si="1024"/>
        <v>0</v>
      </c>
      <c r="BV231" s="312">
        <f t="shared" si="1024"/>
        <v>0</v>
      </c>
      <c r="BW231" s="312">
        <f t="shared" si="1024"/>
        <v>0</v>
      </c>
      <c r="BX231" s="312">
        <f t="shared" si="1024"/>
        <v>0</v>
      </c>
      <c r="BY231" s="312">
        <f t="shared" si="1024"/>
        <v>0</v>
      </c>
      <c r="BZ231" s="312">
        <f t="shared" si="1024"/>
        <v>0</v>
      </c>
      <c r="CA231" s="312">
        <f t="shared" si="1024"/>
        <v>0</v>
      </c>
      <c r="CB231" s="312">
        <f t="shared" si="1024"/>
        <v>0</v>
      </c>
    </row>
    <row r="232" spans="1:80">
      <c r="A232" s="312" t="str">
        <f>A51</f>
        <v>Bond 11</v>
      </c>
      <c r="B232" s="312">
        <f t="shared" ref="B232:AG232" si="1025">B51*B139</f>
        <v>3.2290627407451931</v>
      </c>
      <c r="C232" s="312">
        <f t="shared" si="1025"/>
        <v>3.2008287606740105</v>
      </c>
      <c r="D232" s="312">
        <f t="shared" si="1025"/>
        <v>3.1728040838232294</v>
      </c>
      <c r="E232" s="312">
        <f t="shared" si="1025"/>
        <v>3.1444567361277835</v>
      </c>
      <c r="F232" s="312">
        <f t="shared" si="1025"/>
        <v>3.1163596349428957</v>
      </c>
      <c r="G232" s="312">
        <f t="shared" si="1025"/>
        <v>3.0878384098067064</v>
      </c>
      <c r="H232" s="312">
        <f t="shared" si="1025"/>
        <v>3.0594846564211013</v>
      </c>
      <c r="I232" s="312">
        <f t="shared" si="1025"/>
        <v>3.0306321216577037</v>
      </c>
      <c r="J232" s="312">
        <f t="shared" si="1025"/>
        <v>3.0018922657491101</v>
      </c>
      <c r="K232" s="312">
        <f t="shared" si="1025"/>
        <v>2.9727643790342788</v>
      </c>
      <c r="L232" s="312">
        <f t="shared" si="1025"/>
        <v>2.9435565407572488</v>
      </c>
      <c r="M232" s="312">
        <f t="shared" si="1025"/>
        <v>2.9137660139678143</v>
      </c>
      <c r="N232" s="312">
        <f t="shared" si="1025"/>
        <v>2.884044288851805</v>
      </c>
      <c r="O232" s="312">
        <f t="shared" si="1025"/>
        <v>2.8537240805592354</v>
      </c>
      <c r="P232" s="312">
        <f t="shared" si="1025"/>
        <v>89.699654733737603</v>
      </c>
      <c r="Q232" s="312">
        <f t="shared" si="1025"/>
        <v>0</v>
      </c>
      <c r="R232" s="312">
        <f t="shared" si="1025"/>
        <v>0</v>
      </c>
      <c r="S232" s="312">
        <f t="shared" si="1025"/>
        <v>0</v>
      </c>
      <c r="T232" s="312">
        <f t="shared" si="1025"/>
        <v>0</v>
      </c>
      <c r="U232" s="312">
        <f t="shared" si="1025"/>
        <v>0</v>
      </c>
      <c r="V232" s="312">
        <f t="shared" si="1025"/>
        <v>0</v>
      </c>
      <c r="W232" s="312">
        <f t="shared" si="1025"/>
        <v>0</v>
      </c>
      <c r="X232" s="312">
        <f t="shared" si="1025"/>
        <v>0</v>
      </c>
      <c r="Y232" s="312">
        <f t="shared" si="1025"/>
        <v>0</v>
      </c>
      <c r="Z232" s="312">
        <f t="shared" si="1025"/>
        <v>0</v>
      </c>
      <c r="AA232" s="312">
        <f t="shared" si="1025"/>
        <v>0</v>
      </c>
      <c r="AB232" s="312">
        <f t="shared" si="1025"/>
        <v>0</v>
      </c>
      <c r="AC232" s="312">
        <f t="shared" si="1025"/>
        <v>0</v>
      </c>
      <c r="AD232" s="312">
        <f t="shared" si="1025"/>
        <v>0</v>
      </c>
      <c r="AE232" s="312">
        <f t="shared" si="1025"/>
        <v>0</v>
      </c>
      <c r="AF232" s="312">
        <f t="shared" si="1025"/>
        <v>0</v>
      </c>
      <c r="AG232" s="312">
        <f t="shared" si="1025"/>
        <v>0</v>
      </c>
      <c r="AH232" s="312">
        <f t="shared" ref="AH232:BM232" si="1026">AH51*AH139</f>
        <v>0</v>
      </c>
      <c r="AI232" s="312">
        <f t="shared" si="1026"/>
        <v>0</v>
      </c>
      <c r="AJ232" s="312">
        <f t="shared" si="1026"/>
        <v>0</v>
      </c>
      <c r="AK232" s="312">
        <f t="shared" si="1026"/>
        <v>0</v>
      </c>
      <c r="AL232" s="312">
        <f t="shared" si="1026"/>
        <v>0</v>
      </c>
      <c r="AM232" s="312">
        <f t="shared" si="1026"/>
        <v>0</v>
      </c>
      <c r="AN232" s="312">
        <f t="shared" si="1026"/>
        <v>0</v>
      </c>
      <c r="AO232" s="312">
        <f t="shared" si="1026"/>
        <v>0</v>
      </c>
      <c r="AP232" s="312">
        <f t="shared" si="1026"/>
        <v>0</v>
      </c>
      <c r="AQ232" s="312">
        <f t="shared" si="1026"/>
        <v>0</v>
      </c>
      <c r="AR232" s="312">
        <f t="shared" si="1026"/>
        <v>0</v>
      </c>
      <c r="AS232" s="312">
        <f t="shared" si="1026"/>
        <v>0</v>
      </c>
      <c r="AT232" s="312">
        <f t="shared" si="1026"/>
        <v>0</v>
      </c>
      <c r="AU232" s="312">
        <f t="shared" si="1026"/>
        <v>0</v>
      </c>
      <c r="AV232" s="312">
        <f t="shared" si="1026"/>
        <v>0</v>
      </c>
      <c r="AW232" s="312">
        <f t="shared" si="1026"/>
        <v>0</v>
      </c>
      <c r="AX232" s="312">
        <f t="shared" si="1026"/>
        <v>0</v>
      </c>
      <c r="AY232" s="312">
        <f t="shared" si="1026"/>
        <v>0</v>
      </c>
      <c r="AZ232" s="312">
        <f t="shared" si="1026"/>
        <v>0</v>
      </c>
      <c r="BA232" s="312">
        <f t="shared" si="1026"/>
        <v>0</v>
      </c>
      <c r="BB232" s="312">
        <f t="shared" si="1026"/>
        <v>0</v>
      </c>
      <c r="BC232" s="312">
        <f t="shared" si="1026"/>
        <v>0</v>
      </c>
      <c r="BD232" s="312">
        <f t="shared" si="1026"/>
        <v>0</v>
      </c>
      <c r="BE232" s="312">
        <f t="shared" si="1026"/>
        <v>0</v>
      </c>
      <c r="BF232" s="312">
        <f t="shared" si="1026"/>
        <v>0</v>
      </c>
      <c r="BG232" s="312">
        <f t="shared" si="1026"/>
        <v>0</v>
      </c>
      <c r="BH232" s="312">
        <f t="shared" si="1026"/>
        <v>0</v>
      </c>
      <c r="BI232" s="312">
        <f t="shared" si="1026"/>
        <v>0</v>
      </c>
      <c r="BJ232" s="312">
        <f t="shared" si="1026"/>
        <v>0</v>
      </c>
      <c r="BK232" s="312">
        <f t="shared" si="1026"/>
        <v>0</v>
      </c>
      <c r="BL232" s="312">
        <f t="shared" si="1026"/>
        <v>0</v>
      </c>
      <c r="BM232" s="312">
        <f t="shared" si="1026"/>
        <v>0</v>
      </c>
      <c r="BN232" s="312">
        <f t="shared" ref="BN232:CB232" si="1027">BN51*BN139</f>
        <v>0</v>
      </c>
      <c r="BO232" s="312">
        <f t="shared" si="1027"/>
        <v>0</v>
      </c>
      <c r="BP232" s="312">
        <f t="shared" si="1027"/>
        <v>0</v>
      </c>
      <c r="BQ232" s="312">
        <f t="shared" si="1027"/>
        <v>0</v>
      </c>
      <c r="BR232" s="312">
        <f t="shared" si="1027"/>
        <v>0</v>
      </c>
      <c r="BS232" s="312">
        <f t="shared" si="1027"/>
        <v>0</v>
      </c>
      <c r="BT232" s="312">
        <f t="shared" si="1027"/>
        <v>0</v>
      </c>
      <c r="BU232" s="312">
        <f t="shared" si="1027"/>
        <v>0</v>
      </c>
      <c r="BV232" s="312">
        <f t="shared" si="1027"/>
        <v>0</v>
      </c>
      <c r="BW232" s="312">
        <f t="shared" si="1027"/>
        <v>0</v>
      </c>
      <c r="BX232" s="312">
        <f t="shared" si="1027"/>
        <v>0</v>
      </c>
      <c r="BY232" s="312">
        <f t="shared" si="1027"/>
        <v>0</v>
      </c>
      <c r="BZ232" s="312">
        <f t="shared" si="1027"/>
        <v>0</v>
      </c>
      <c r="CA232" s="312">
        <f t="shared" si="1027"/>
        <v>0</v>
      </c>
      <c r="CB232" s="312">
        <f t="shared" si="1027"/>
        <v>0</v>
      </c>
    </row>
    <row r="233" spans="1:80">
      <c r="A233" s="312" t="str">
        <f>A53</f>
        <v>Bond 12</v>
      </c>
      <c r="B233" s="312">
        <f t="shared" ref="B233:AG233" si="1028">B53*B144</f>
        <v>3.1808518516925894</v>
      </c>
      <c r="C233" s="312">
        <f t="shared" si="1028"/>
        <v>3.1534168867721153</v>
      </c>
      <c r="D233" s="312">
        <f t="shared" si="1028"/>
        <v>3.1256058224372936</v>
      </c>
      <c r="E233" s="312">
        <f t="shared" si="1028"/>
        <v>3.0982761930822451</v>
      </c>
      <c r="F233" s="312">
        <f t="shared" si="1028"/>
        <v>3.0702956491551676</v>
      </c>
      <c r="G233" s="312">
        <f t="shared" si="1028"/>
        <v>3.0428457565479721</v>
      </c>
      <c r="H233" s="312">
        <f t="shared" si="1028"/>
        <v>3.0146504472034721</v>
      </c>
      <c r="I233" s="312">
        <f t="shared" si="1028"/>
        <v>2.9869145910449153</v>
      </c>
      <c r="J233" s="312">
        <f t="shared" si="1028"/>
        <v>2.9583623993421728</v>
      </c>
      <c r="K233" s="312">
        <f t="shared" si="1028"/>
        <v>2.9302261362677688</v>
      </c>
      <c r="L233" s="312">
        <f t="shared" si="1028"/>
        <v>2.9013831053307775</v>
      </c>
      <c r="M233" s="312">
        <f t="shared" si="1028"/>
        <v>2.8727765203823177</v>
      </c>
      <c r="N233" s="312">
        <f t="shared" si="1028"/>
        <v>2.8432704133803797</v>
      </c>
      <c r="O233" s="312">
        <f t="shared" si="1028"/>
        <v>2.8141569377498445</v>
      </c>
      <c r="P233" s="312">
        <f t="shared" si="1028"/>
        <v>2.7841262842403336</v>
      </c>
      <c r="Q233" s="312">
        <f t="shared" si="1028"/>
        <v>2.7545003565942063</v>
      </c>
      <c r="R233" s="312">
        <f t="shared" si="1028"/>
        <v>88.181286428350219</v>
      </c>
      <c r="S233" s="312">
        <f t="shared" si="1028"/>
        <v>0</v>
      </c>
      <c r="T233" s="312">
        <f t="shared" si="1028"/>
        <v>0</v>
      </c>
      <c r="U233" s="312">
        <f t="shared" si="1028"/>
        <v>0</v>
      </c>
      <c r="V233" s="312">
        <f t="shared" si="1028"/>
        <v>0</v>
      </c>
      <c r="W233" s="312">
        <f t="shared" si="1028"/>
        <v>0</v>
      </c>
      <c r="X233" s="312">
        <f t="shared" si="1028"/>
        <v>0</v>
      </c>
      <c r="Y233" s="312">
        <f t="shared" si="1028"/>
        <v>0</v>
      </c>
      <c r="Z233" s="312">
        <f t="shared" si="1028"/>
        <v>0</v>
      </c>
      <c r="AA233" s="312">
        <f t="shared" si="1028"/>
        <v>0</v>
      </c>
      <c r="AB233" s="312">
        <f t="shared" si="1028"/>
        <v>0</v>
      </c>
      <c r="AC233" s="312">
        <f t="shared" si="1028"/>
        <v>0</v>
      </c>
      <c r="AD233" s="312">
        <f t="shared" si="1028"/>
        <v>0</v>
      </c>
      <c r="AE233" s="312">
        <f t="shared" si="1028"/>
        <v>0</v>
      </c>
      <c r="AF233" s="312">
        <f t="shared" si="1028"/>
        <v>0</v>
      </c>
      <c r="AG233" s="312">
        <f t="shared" si="1028"/>
        <v>0</v>
      </c>
      <c r="AH233" s="312">
        <f t="shared" ref="AH233:BM233" si="1029">AH53*AH144</f>
        <v>0</v>
      </c>
      <c r="AI233" s="312">
        <f t="shared" si="1029"/>
        <v>0</v>
      </c>
      <c r="AJ233" s="312">
        <f t="shared" si="1029"/>
        <v>0</v>
      </c>
      <c r="AK233" s="312">
        <f t="shared" si="1029"/>
        <v>0</v>
      </c>
      <c r="AL233" s="312">
        <f t="shared" si="1029"/>
        <v>0</v>
      </c>
      <c r="AM233" s="312">
        <f t="shared" si="1029"/>
        <v>0</v>
      </c>
      <c r="AN233" s="312">
        <f t="shared" si="1029"/>
        <v>0</v>
      </c>
      <c r="AO233" s="312">
        <f t="shared" si="1029"/>
        <v>0</v>
      </c>
      <c r="AP233" s="312">
        <f t="shared" si="1029"/>
        <v>0</v>
      </c>
      <c r="AQ233" s="312">
        <f t="shared" si="1029"/>
        <v>0</v>
      </c>
      <c r="AR233" s="312">
        <f t="shared" si="1029"/>
        <v>0</v>
      </c>
      <c r="AS233" s="312">
        <f t="shared" si="1029"/>
        <v>0</v>
      </c>
      <c r="AT233" s="312">
        <f t="shared" si="1029"/>
        <v>0</v>
      </c>
      <c r="AU233" s="312">
        <f t="shared" si="1029"/>
        <v>0</v>
      </c>
      <c r="AV233" s="312">
        <f t="shared" si="1029"/>
        <v>0</v>
      </c>
      <c r="AW233" s="312">
        <f t="shared" si="1029"/>
        <v>0</v>
      </c>
      <c r="AX233" s="312">
        <f t="shared" si="1029"/>
        <v>0</v>
      </c>
      <c r="AY233" s="312">
        <f t="shared" si="1029"/>
        <v>0</v>
      </c>
      <c r="AZ233" s="312">
        <f t="shared" si="1029"/>
        <v>0</v>
      </c>
      <c r="BA233" s="312">
        <f t="shared" si="1029"/>
        <v>0</v>
      </c>
      <c r="BB233" s="312">
        <f t="shared" si="1029"/>
        <v>0</v>
      </c>
      <c r="BC233" s="312">
        <f t="shared" si="1029"/>
        <v>0</v>
      </c>
      <c r="BD233" s="312">
        <f t="shared" si="1029"/>
        <v>0</v>
      </c>
      <c r="BE233" s="312">
        <f t="shared" si="1029"/>
        <v>0</v>
      </c>
      <c r="BF233" s="312">
        <f t="shared" si="1029"/>
        <v>0</v>
      </c>
      <c r="BG233" s="312">
        <f t="shared" si="1029"/>
        <v>0</v>
      </c>
      <c r="BH233" s="312">
        <f t="shared" si="1029"/>
        <v>0</v>
      </c>
      <c r="BI233" s="312">
        <f t="shared" si="1029"/>
        <v>0</v>
      </c>
      <c r="BJ233" s="312">
        <f t="shared" si="1029"/>
        <v>0</v>
      </c>
      <c r="BK233" s="312">
        <f t="shared" si="1029"/>
        <v>0</v>
      </c>
      <c r="BL233" s="312">
        <f t="shared" si="1029"/>
        <v>0</v>
      </c>
      <c r="BM233" s="312">
        <f t="shared" si="1029"/>
        <v>0</v>
      </c>
      <c r="BN233" s="312">
        <f t="shared" ref="BN233:CB233" si="1030">BN53*BN144</f>
        <v>0</v>
      </c>
      <c r="BO233" s="312">
        <f t="shared" si="1030"/>
        <v>0</v>
      </c>
      <c r="BP233" s="312">
        <f t="shared" si="1030"/>
        <v>0</v>
      </c>
      <c r="BQ233" s="312">
        <f t="shared" si="1030"/>
        <v>0</v>
      </c>
      <c r="BR233" s="312">
        <f t="shared" si="1030"/>
        <v>0</v>
      </c>
      <c r="BS233" s="312">
        <f t="shared" si="1030"/>
        <v>0</v>
      </c>
      <c r="BT233" s="312">
        <f t="shared" si="1030"/>
        <v>0</v>
      </c>
      <c r="BU233" s="312">
        <f t="shared" si="1030"/>
        <v>0</v>
      </c>
      <c r="BV233" s="312">
        <f t="shared" si="1030"/>
        <v>0</v>
      </c>
      <c r="BW233" s="312">
        <f t="shared" si="1030"/>
        <v>0</v>
      </c>
      <c r="BX233" s="312">
        <f t="shared" si="1030"/>
        <v>0</v>
      </c>
      <c r="BY233" s="312">
        <f t="shared" si="1030"/>
        <v>0</v>
      </c>
      <c r="BZ233" s="312">
        <f t="shared" si="1030"/>
        <v>0</v>
      </c>
      <c r="CA233" s="312">
        <f t="shared" si="1030"/>
        <v>0</v>
      </c>
      <c r="CB233" s="312">
        <f t="shared" si="1030"/>
        <v>0</v>
      </c>
    </row>
    <row r="234" spans="1:80">
      <c r="A234" s="312" t="str">
        <f>A55</f>
        <v>Bond 13</v>
      </c>
      <c r="B234" s="312">
        <f t="shared" ref="B234:AG234" si="1031">B55*B149</f>
        <v>2.6080891367557326</v>
      </c>
      <c r="C234" s="312">
        <f t="shared" si="1031"/>
        <v>2.5852847682367006</v>
      </c>
      <c r="D234" s="312">
        <f t="shared" si="1031"/>
        <v>2.5626494523187624</v>
      </c>
      <c r="E234" s="312">
        <f t="shared" si="1031"/>
        <v>2.5397535176416715</v>
      </c>
      <c r="F234" s="312">
        <f t="shared" si="1031"/>
        <v>2.5170597051461847</v>
      </c>
      <c r="G234" s="312">
        <f t="shared" si="1031"/>
        <v>2.4940233309977247</v>
      </c>
      <c r="H234" s="312">
        <f t="shared" si="1031"/>
        <v>2.4711222224939666</v>
      </c>
      <c r="I234" s="312">
        <f t="shared" si="1031"/>
        <v>2.4478182521081453</v>
      </c>
      <c r="J234" s="312">
        <f t="shared" si="1031"/>
        <v>2.4246052915665888</v>
      </c>
      <c r="K234" s="312">
        <f t="shared" si="1031"/>
        <v>2.4010789215276866</v>
      </c>
      <c r="L234" s="312">
        <f t="shared" si="1031"/>
        <v>2.3774879752270088</v>
      </c>
      <c r="M234" s="312">
        <f t="shared" si="1031"/>
        <v>2.3534263958970807</v>
      </c>
      <c r="N234" s="312">
        <f t="shared" si="1031"/>
        <v>2.3294203871495349</v>
      </c>
      <c r="O234" s="312">
        <f t="shared" si="1031"/>
        <v>2.3049309881439979</v>
      </c>
      <c r="P234" s="312">
        <f t="shared" si="1031"/>
        <v>2.2804996966204474</v>
      </c>
      <c r="Q234" s="312">
        <f t="shared" si="1031"/>
        <v>2.2555833933653719</v>
      </c>
      <c r="R234" s="312">
        <f t="shared" si="1031"/>
        <v>2.2307377380859288</v>
      </c>
      <c r="S234" s="312">
        <f t="shared" si="1031"/>
        <v>2.2055550792688785</v>
      </c>
      <c r="T234" s="312">
        <f t="shared" si="1031"/>
        <v>85.240283862530035</v>
      </c>
      <c r="U234" s="312">
        <f t="shared" si="1031"/>
        <v>0</v>
      </c>
      <c r="V234" s="312">
        <f t="shared" si="1031"/>
        <v>0</v>
      </c>
      <c r="W234" s="312">
        <f t="shared" si="1031"/>
        <v>0</v>
      </c>
      <c r="X234" s="312">
        <f t="shared" si="1031"/>
        <v>0</v>
      </c>
      <c r="Y234" s="312">
        <f t="shared" si="1031"/>
        <v>0</v>
      </c>
      <c r="Z234" s="312">
        <f t="shared" si="1031"/>
        <v>0</v>
      </c>
      <c r="AA234" s="312">
        <f t="shared" si="1031"/>
        <v>0</v>
      </c>
      <c r="AB234" s="312">
        <f t="shared" si="1031"/>
        <v>0</v>
      </c>
      <c r="AC234" s="312">
        <f t="shared" si="1031"/>
        <v>0</v>
      </c>
      <c r="AD234" s="312">
        <f t="shared" si="1031"/>
        <v>0</v>
      </c>
      <c r="AE234" s="312">
        <f t="shared" si="1031"/>
        <v>0</v>
      </c>
      <c r="AF234" s="312">
        <f t="shared" si="1031"/>
        <v>0</v>
      </c>
      <c r="AG234" s="312">
        <f t="shared" si="1031"/>
        <v>0</v>
      </c>
      <c r="AH234" s="312">
        <f t="shared" ref="AH234:BM234" si="1032">AH55*AH149</f>
        <v>0</v>
      </c>
      <c r="AI234" s="312">
        <f t="shared" si="1032"/>
        <v>0</v>
      </c>
      <c r="AJ234" s="312">
        <f t="shared" si="1032"/>
        <v>0</v>
      </c>
      <c r="AK234" s="312">
        <f t="shared" si="1032"/>
        <v>0</v>
      </c>
      <c r="AL234" s="312">
        <f t="shared" si="1032"/>
        <v>0</v>
      </c>
      <c r="AM234" s="312">
        <f t="shared" si="1032"/>
        <v>0</v>
      </c>
      <c r="AN234" s="312">
        <f t="shared" si="1032"/>
        <v>0</v>
      </c>
      <c r="AO234" s="312">
        <f t="shared" si="1032"/>
        <v>0</v>
      </c>
      <c r="AP234" s="312">
        <f t="shared" si="1032"/>
        <v>0</v>
      </c>
      <c r="AQ234" s="312">
        <f t="shared" si="1032"/>
        <v>0</v>
      </c>
      <c r="AR234" s="312">
        <f t="shared" si="1032"/>
        <v>0</v>
      </c>
      <c r="AS234" s="312">
        <f t="shared" si="1032"/>
        <v>0</v>
      </c>
      <c r="AT234" s="312">
        <f t="shared" si="1032"/>
        <v>0</v>
      </c>
      <c r="AU234" s="312">
        <f t="shared" si="1032"/>
        <v>0</v>
      </c>
      <c r="AV234" s="312">
        <f t="shared" si="1032"/>
        <v>0</v>
      </c>
      <c r="AW234" s="312">
        <f t="shared" si="1032"/>
        <v>0</v>
      </c>
      <c r="AX234" s="312">
        <f t="shared" si="1032"/>
        <v>0</v>
      </c>
      <c r="AY234" s="312">
        <f t="shared" si="1032"/>
        <v>0</v>
      </c>
      <c r="AZ234" s="312">
        <f t="shared" si="1032"/>
        <v>0</v>
      </c>
      <c r="BA234" s="312">
        <f t="shared" si="1032"/>
        <v>0</v>
      </c>
      <c r="BB234" s="312">
        <f t="shared" si="1032"/>
        <v>0</v>
      </c>
      <c r="BC234" s="312">
        <f t="shared" si="1032"/>
        <v>0</v>
      </c>
      <c r="BD234" s="312">
        <f t="shared" si="1032"/>
        <v>0</v>
      </c>
      <c r="BE234" s="312">
        <f t="shared" si="1032"/>
        <v>0</v>
      </c>
      <c r="BF234" s="312">
        <f t="shared" si="1032"/>
        <v>0</v>
      </c>
      <c r="BG234" s="312">
        <f t="shared" si="1032"/>
        <v>0</v>
      </c>
      <c r="BH234" s="312">
        <f t="shared" si="1032"/>
        <v>0</v>
      </c>
      <c r="BI234" s="312">
        <f t="shared" si="1032"/>
        <v>0</v>
      </c>
      <c r="BJ234" s="312">
        <f t="shared" si="1032"/>
        <v>0</v>
      </c>
      <c r="BK234" s="312">
        <f t="shared" si="1032"/>
        <v>0</v>
      </c>
      <c r="BL234" s="312">
        <f t="shared" si="1032"/>
        <v>0</v>
      </c>
      <c r="BM234" s="312">
        <f t="shared" si="1032"/>
        <v>0</v>
      </c>
      <c r="BN234" s="312">
        <f t="shared" ref="BN234:CB234" si="1033">BN55*BN149</f>
        <v>0</v>
      </c>
      <c r="BO234" s="312">
        <f t="shared" si="1033"/>
        <v>0</v>
      </c>
      <c r="BP234" s="312">
        <f t="shared" si="1033"/>
        <v>0</v>
      </c>
      <c r="BQ234" s="312">
        <f t="shared" si="1033"/>
        <v>0</v>
      </c>
      <c r="BR234" s="312">
        <f t="shared" si="1033"/>
        <v>0</v>
      </c>
      <c r="BS234" s="312">
        <f t="shared" si="1033"/>
        <v>0</v>
      </c>
      <c r="BT234" s="312">
        <f t="shared" si="1033"/>
        <v>0</v>
      </c>
      <c r="BU234" s="312">
        <f t="shared" si="1033"/>
        <v>0</v>
      </c>
      <c r="BV234" s="312">
        <f t="shared" si="1033"/>
        <v>0</v>
      </c>
      <c r="BW234" s="312">
        <f t="shared" si="1033"/>
        <v>0</v>
      </c>
      <c r="BX234" s="312">
        <f t="shared" si="1033"/>
        <v>0</v>
      </c>
      <c r="BY234" s="312">
        <f t="shared" si="1033"/>
        <v>0</v>
      </c>
      <c r="BZ234" s="312">
        <f t="shared" si="1033"/>
        <v>0</v>
      </c>
      <c r="CA234" s="312">
        <f t="shared" si="1033"/>
        <v>0</v>
      </c>
      <c r="CB234" s="312">
        <f t="shared" si="1033"/>
        <v>0</v>
      </c>
    </row>
    <row r="235" spans="1:80">
      <c r="A235" s="312" t="str">
        <f>A57</f>
        <v>Bond 14</v>
      </c>
      <c r="B235" s="312">
        <f t="shared" ref="B235:AG235" si="1034">B57*B154</f>
        <v>2.6195250543350737</v>
      </c>
      <c r="C235" s="312">
        <f t="shared" si="1034"/>
        <v>2.5969315538123303</v>
      </c>
      <c r="D235" s="312">
        <f t="shared" si="1034"/>
        <v>2.5740283243601243</v>
      </c>
      <c r="E235" s="312">
        <f t="shared" si="1034"/>
        <v>2.5515215707736139</v>
      </c>
      <c r="F235" s="312">
        <f t="shared" si="1034"/>
        <v>2.5284787698924913</v>
      </c>
      <c r="G235" s="312">
        <f t="shared" si="1034"/>
        <v>2.5058729759806826</v>
      </c>
      <c r="H235" s="312">
        <f t="shared" si="1034"/>
        <v>2.4826533094616829</v>
      </c>
      <c r="I235" s="312">
        <f t="shared" si="1034"/>
        <v>2.4598120161546362</v>
      </c>
      <c r="J235" s="312">
        <f t="shared" si="1034"/>
        <v>2.4362984465170832</v>
      </c>
      <c r="K235" s="312">
        <f t="shared" si="1034"/>
        <v>2.4131274063381625</v>
      </c>
      <c r="L235" s="312">
        <f t="shared" si="1034"/>
        <v>2.3893743220371109</v>
      </c>
      <c r="M235" s="312">
        <f t="shared" si="1034"/>
        <v>2.3658159579619085</v>
      </c>
      <c r="N235" s="312">
        <f t="shared" si="1034"/>
        <v>2.3415168110191362</v>
      </c>
      <c r="O235" s="312">
        <f t="shared" si="1034"/>
        <v>2.3175410075586953</v>
      </c>
      <c r="P235" s="312">
        <f t="shared" si="1034"/>
        <v>2.2928098811390982</v>
      </c>
      <c r="Q235" s="312">
        <f t="shared" si="1034"/>
        <v>2.2684120583716991</v>
      </c>
      <c r="R235" s="312">
        <f t="shared" si="1034"/>
        <v>2.243255015136711</v>
      </c>
      <c r="S235" s="312">
        <f t="shared" si="1034"/>
        <v>2.2184505410253075</v>
      </c>
      <c r="T235" s="312">
        <f t="shared" si="1034"/>
        <v>2.1930328666283927</v>
      </c>
      <c r="U235" s="312">
        <f t="shared" si="1034"/>
        <v>84.752768302883766</v>
      </c>
      <c r="V235" s="312">
        <f t="shared" si="1034"/>
        <v>0</v>
      </c>
      <c r="W235" s="312">
        <f t="shared" si="1034"/>
        <v>0</v>
      </c>
      <c r="X235" s="312">
        <f t="shared" si="1034"/>
        <v>0</v>
      </c>
      <c r="Y235" s="312">
        <f t="shared" si="1034"/>
        <v>0</v>
      </c>
      <c r="Z235" s="312">
        <f t="shared" si="1034"/>
        <v>0</v>
      </c>
      <c r="AA235" s="312">
        <f t="shared" si="1034"/>
        <v>0</v>
      </c>
      <c r="AB235" s="312">
        <f t="shared" si="1034"/>
        <v>0</v>
      </c>
      <c r="AC235" s="312">
        <f t="shared" si="1034"/>
        <v>0</v>
      </c>
      <c r="AD235" s="312">
        <f t="shared" si="1034"/>
        <v>0</v>
      </c>
      <c r="AE235" s="312">
        <f t="shared" si="1034"/>
        <v>0</v>
      </c>
      <c r="AF235" s="312">
        <f t="shared" si="1034"/>
        <v>0</v>
      </c>
      <c r="AG235" s="312">
        <f t="shared" si="1034"/>
        <v>0</v>
      </c>
      <c r="AH235" s="312">
        <f t="shared" ref="AH235:BM235" si="1035">AH57*AH154</f>
        <v>0</v>
      </c>
      <c r="AI235" s="312">
        <f t="shared" si="1035"/>
        <v>0</v>
      </c>
      <c r="AJ235" s="312">
        <f t="shared" si="1035"/>
        <v>0</v>
      </c>
      <c r="AK235" s="312">
        <f t="shared" si="1035"/>
        <v>0</v>
      </c>
      <c r="AL235" s="312">
        <f t="shared" si="1035"/>
        <v>0</v>
      </c>
      <c r="AM235" s="312">
        <f t="shared" si="1035"/>
        <v>0</v>
      </c>
      <c r="AN235" s="312">
        <f t="shared" si="1035"/>
        <v>0</v>
      </c>
      <c r="AO235" s="312">
        <f t="shared" si="1035"/>
        <v>0</v>
      </c>
      <c r="AP235" s="312">
        <f t="shared" si="1035"/>
        <v>0</v>
      </c>
      <c r="AQ235" s="312">
        <f t="shared" si="1035"/>
        <v>0</v>
      </c>
      <c r="AR235" s="312">
        <f t="shared" si="1035"/>
        <v>0</v>
      </c>
      <c r="AS235" s="312">
        <f t="shared" si="1035"/>
        <v>0</v>
      </c>
      <c r="AT235" s="312">
        <f t="shared" si="1035"/>
        <v>0</v>
      </c>
      <c r="AU235" s="312">
        <f t="shared" si="1035"/>
        <v>0</v>
      </c>
      <c r="AV235" s="312">
        <f t="shared" si="1035"/>
        <v>0</v>
      </c>
      <c r="AW235" s="312">
        <f t="shared" si="1035"/>
        <v>0</v>
      </c>
      <c r="AX235" s="312">
        <f t="shared" si="1035"/>
        <v>0</v>
      </c>
      <c r="AY235" s="312">
        <f t="shared" si="1035"/>
        <v>0</v>
      </c>
      <c r="AZ235" s="312">
        <f t="shared" si="1035"/>
        <v>0</v>
      </c>
      <c r="BA235" s="312">
        <f t="shared" si="1035"/>
        <v>0</v>
      </c>
      <c r="BB235" s="312">
        <f t="shared" si="1035"/>
        <v>0</v>
      </c>
      <c r="BC235" s="312">
        <f t="shared" si="1035"/>
        <v>0</v>
      </c>
      <c r="BD235" s="312">
        <f t="shared" si="1035"/>
        <v>0</v>
      </c>
      <c r="BE235" s="312">
        <f t="shared" si="1035"/>
        <v>0</v>
      </c>
      <c r="BF235" s="312">
        <f t="shared" si="1035"/>
        <v>0</v>
      </c>
      <c r="BG235" s="312">
        <f t="shared" si="1035"/>
        <v>0</v>
      </c>
      <c r="BH235" s="312">
        <f t="shared" si="1035"/>
        <v>0</v>
      </c>
      <c r="BI235" s="312">
        <f t="shared" si="1035"/>
        <v>0</v>
      </c>
      <c r="BJ235" s="312">
        <f t="shared" si="1035"/>
        <v>0</v>
      </c>
      <c r="BK235" s="312">
        <f t="shared" si="1035"/>
        <v>0</v>
      </c>
      <c r="BL235" s="312">
        <f t="shared" si="1035"/>
        <v>0</v>
      </c>
      <c r="BM235" s="312">
        <f t="shared" si="1035"/>
        <v>0</v>
      </c>
      <c r="BN235" s="312">
        <f t="shared" ref="BN235:CB235" si="1036">BN57*BN154</f>
        <v>0</v>
      </c>
      <c r="BO235" s="312">
        <f t="shared" si="1036"/>
        <v>0</v>
      </c>
      <c r="BP235" s="312">
        <f t="shared" si="1036"/>
        <v>0</v>
      </c>
      <c r="BQ235" s="312">
        <f t="shared" si="1036"/>
        <v>0</v>
      </c>
      <c r="BR235" s="312">
        <f t="shared" si="1036"/>
        <v>0</v>
      </c>
      <c r="BS235" s="312">
        <f t="shared" si="1036"/>
        <v>0</v>
      </c>
      <c r="BT235" s="312">
        <f t="shared" si="1036"/>
        <v>0</v>
      </c>
      <c r="BU235" s="312">
        <f t="shared" si="1036"/>
        <v>0</v>
      </c>
      <c r="BV235" s="312">
        <f t="shared" si="1036"/>
        <v>0</v>
      </c>
      <c r="BW235" s="312">
        <f t="shared" si="1036"/>
        <v>0</v>
      </c>
      <c r="BX235" s="312">
        <f t="shared" si="1036"/>
        <v>0</v>
      </c>
      <c r="BY235" s="312">
        <f t="shared" si="1036"/>
        <v>0</v>
      </c>
      <c r="BZ235" s="312">
        <f t="shared" si="1036"/>
        <v>0</v>
      </c>
      <c r="CA235" s="312">
        <f t="shared" si="1036"/>
        <v>0</v>
      </c>
      <c r="CB235" s="312">
        <f t="shared" si="1036"/>
        <v>0</v>
      </c>
    </row>
    <row r="236" spans="1:80">
      <c r="A236" s="312" t="str">
        <f>A59</f>
        <v>Bond 15</v>
      </c>
      <c r="B236" s="312">
        <f t="shared" ref="B236:AG236" si="1037">B59*B159</f>
        <v>3.1048680199473009</v>
      </c>
      <c r="C236" s="312">
        <f t="shared" si="1037"/>
        <v>3.0777199621865483</v>
      </c>
      <c r="D236" s="312">
        <f t="shared" si="1037"/>
        <v>3.050773157522336</v>
      </c>
      <c r="E236" s="312">
        <f t="shared" si="1037"/>
        <v>3.0235160924305613</v>
      </c>
      <c r="F236" s="312">
        <f t="shared" si="1037"/>
        <v>2.9964996489835536</v>
      </c>
      <c r="G236" s="312">
        <f t="shared" si="1037"/>
        <v>2.9690753940449102</v>
      </c>
      <c r="H236" s="312">
        <f t="shared" si="1037"/>
        <v>2.9418121696356745</v>
      </c>
      <c r="I236" s="312">
        <f t="shared" si="1037"/>
        <v>2.9140693477477919</v>
      </c>
      <c r="J236" s="312">
        <f t="shared" si="1037"/>
        <v>2.886434870912606</v>
      </c>
      <c r="K236" s="312">
        <f t="shared" si="1037"/>
        <v>2.8584272875329604</v>
      </c>
      <c r="L236" s="312">
        <f t="shared" si="1037"/>
        <v>2.8303428276512008</v>
      </c>
      <c r="M236" s="312">
        <f t="shared" si="1037"/>
        <v>2.8016980903536677</v>
      </c>
      <c r="N236" s="312">
        <f t="shared" si="1037"/>
        <v>2.7731195085113511</v>
      </c>
      <c r="O236" s="312">
        <f t="shared" si="1037"/>
        <v>2.7439654620761882</v>
      </c>
      <c r="P236" s="312">
        <f t="shared" si="1037"/>
        <v>2.7148805912148184</v>
      </c>
      <c r="Q236" s="312">
        <f t="shared" si="1037"/>
        <v>2.6852183254349669</v>
      </c>
      <c r="R236" s="312">
        <f t="shared" si="1037"/>
        <v>2.6556401643880103</v>
      </c>
      <c r="S236" s="312">
        <f t="shared" si="1037"/>
        <v>2.6256608086534268</v>
      </c>
      <c r="T236" s="312">
        <f t="shared" si="1037"/>
        <v>2.5956237473364809</v>
      </c>
      <c r="U236" s="312">
        <f t="shared" si="1037"/>
        <v>2.5650361084296764</v>
      </c>
      <c r="V236" s="312">
        <f t="shared" si="1037"/>
        <v>2.5345877223585798</v>
      </c>
      <c r="W236" s="312">
        <f t="shared" si="1037"/>
        <v>82.619250026943789</v>
      </c>
      <c r="X236" s="312">
        <f t="shared" si="1037"/>
        <v>0</v>
      </c>
      <c r="Y236" s="312">
        <f t="shared" si="1037"/>
        <v>0</v>
      </c>
      <c r="Z236" s="312">
        <f t="shared" si="1037"/>
        <v>0</v>
      </c>
      <c r="AA236" s="312">
        <f t="shared" si="1037"/>
        <v>0</v>
      </c>
      <c r="AB236" s="312">
        <f t="shared" si="1037"/>
        <v>0</v>
      </c>
      <c r="AC236" s="312">
        <f t="shared" si="1037"/>
        <v>0</v>
      </c>
      <c r="AD236" s="312">
        <f t="shared" si="1037"/>
        <v>0</v>
      </c>
      <c r="AE236" s="312">
        <f t="shared" si="1037"/>
        <v>0</v>
      </c>
      <c r="AF236" s="312">
        <f t="shared" si="1037"/>
        <v>0</v>
      </c>
      <c r="AG236" s="312">
        <f t="shared" si="1037"/>
        <v>0</v>
      </c>
      <c r="AH236" s="312">
        <f t="shared" ref="AH236:BM236" si="1038">AH59*AH159</f>
        <v>0</v>
      </c>
      <c r="AI236" s="312">
        <f t="shared" si="1038"/>
        <v>0</v>
      </c>
      <c r="AJ236" s="312">
        <f t="shared" si="1038"/>
        <v>0</v>
      </c>
      <c r="AK236" s="312">
        <f t="shared" si="1038"/>
        <v>0</v>
      </c>
      <c r="AL236" s="312">
        <f t="shared" si="1038"/>
        <v>0</v>
      </c>
      <c r="AM236" s="312">
        <f t="shared" si="1038"/>
        <v>0</v>
      </c>
      <c r="AN236" s="312">
        <f t="shared" si="1038"/>
        <v>0</v>
      </c>
      <c r="AO236" s="312">
        <f t="shared" si="1038"/>
        <v>0</v>
      </c>
      <c r="AP236" s="312">
        <f t="shared" si="1038"/>
        <v>0</v>
      </c>
      <c r="AQ236" s="312">
        <f t="shared" si="1038"/>
        <v>0</v>
      </c>
      <c r="AR236" s="312">
        <f t="shared" si="1038"/>
        <v>0</v>
      </c>
      <c r="AS236" s="312">
        <f t="shared" si="1038"/>
        <v>0</v>
      </c>
      <c r="AT236" s="312">
        <f t="shared" si="1038"/>
        <v>0</v>
      </c>
      <c r="AU236" s="312">
        <f t="shared" si="1038"/>
        <v>0</v>
      </c>
      <c r="AV236" s="312">
        <f t="shared" si="1038"/>
        <v>0</v>
      </c>
      <c r="AW236" s="312">
        <f t="shared" si="1038"/>
        <v>0</v>
      </c>
      <c r="AX236" s="312">
        <f t="shared" si="1038"/>
        <v>0</v>
      </c>
      <c r="AY236" s="312">
        <f t="shared" si="1038"/>
        <v>0</v>
      </c>
      <c r="AZ236" s="312">
        <f t="shared" si="1038"/>
        <v>0</v>
      </c>
      <c r="BA236" s="312">
        <f t="shared" si="1038"/>
        <v>0</v>
      </c>
      <c r="BB236" s="312">
        <f t="shared" si="1038"/>
        <v>0</v>
      </c>
      <c r="BC236" s="312">
        <f t="shared" si="1038"/>
        <v>0</v>
      </c>
      <c r="BD236" s="312">
        <f t="shared" si="1038"/>
        <v>0</v>
      </c>
      <c r="BE236" s="312">
        <f t="shared" si="1038"/>
        <v>0</v>
      </c>
      <c r="BF236" s="312">
        <f t="shared" si="1038"/>
        <v>0</v>
      </c>
      <c r="BG236" s="312">
        <f t="shared" si="1038"/>
        <v>0</v>
      </c>
      <c r="BH236" s="312">
        <f t="shared" si="1038"/>
        <v>0</v>
      </c>
      <c r="BI236" s="312">
        <f t="shared" si="1038"/>
        <v>0</v>
      </c>
      <c r="BJ236" s="312">
        <f t="shared" si="1038"/>
        <v>0</v>
      </c>
      <c r="BK236" s="312">
        <f t="shared" si="1038"/>
        <v>0</v>
      </c>
      <c r="BL236" s="312">
        <f t="shared" si="1038"/>
        <v>0</v>
      </c>
      <c r="BM236" s="312">
        <f t="shared" si="1038"/>
        <v>0</v>
      </c>
      <c r="BN236" s="312">
        <f t="shared" ref="BN236:CB236" si="1039">BN59*BN159</f>
        <v>0</v>
      </c>
      <c r="BO236" s="312">
        <f t="shared" si="1039"/>
        <v>0</v>
      </c>
      <c r="BP236" s="312">
        <f t="shared" si="1039"/>
        <v>0</v>
      </c>
      <c r="BQ236" s="312">
        <f t="shared" si="1039"/>
        <v>0</v>
      </c>
      <c r="BR236" s="312">
        <f t="shared" si="1039"/>
        <v>0</v>
      </c>
      <c r="BS236" s="312">
        <f t="shared" si="1039"/>
        <v>0</v>
      </c>
      <c r="BT236" s="312">
        <f t="shared" si="1039"/>
        <v>0</v>
      </c>
      <c r="BU236" s="312">
        <f t="shared" si="1039"/>
        <v>0</v>
      </c>
      <c r="BV236" s="312">
        <f t="shared" si="1039"/>
        <v>0</v>
      </c>
      <c r="BW236" s="312">
        <f t="shared" si="1039"/>
        <v>0</v>
      </c>
      <c r="BX236" s="312">
        <f t="shared" si="1039"/>
        <v>0</v>
      </c>
      <c r="BY236" s="312">
        <f t="shared" si="1039"/>
        <v>0</v>
      </c>
      <c r="BZ236" s="312">
        <f t="shared" si="1039"/>
        <v>0</v>
      </c>
      <c r="CA236" s="312">
        <f t="shared" si="1039"/>
        <v>0</v>
      </c>
      <c r="CB236" s="312">
        <f t="shared" si="1039"/>
        <v>0</v>
      </c>
    </row>
    <row r="237" spans="1:80">
      <c r="A237" s="312" t="str">
        <f>A61</f>
        <v>Bond 16</v>
      </c>
      <c r="B237" s="312">
        <f t="shared" ref="B237:AG237" si="1040">B61*B164</f>
        <v>2.6818946984859089</v>
      </c>
      <c r="C237" s="312">
        <f t="shared" si="1040"/>
        <v>2.6587632574745288</v>
      </c>
      <c r="D237" s="312">
        <f t="shared" si="1040"/>
        <v>2.6353147130353651</v>
      </c>
      <c r="E237" s="312">
        <f t="shared" si="1040"/>
        <v>2.6122720843634619</v>
      </c>
      <c r="F237" s="312">
        <f t="shared" si="1040"/>
        <v>2.588680645366122</v>
      </c>
      <c r="G237" s="312">
        <f t="shared" si="1040"/>
        <v>2.5655366182659369</v>
      </c>
      <c r="H237" s="312">
        <f t="shared" si="1040"/>
        <v>2.541764102544104</v>
      </c>
      <c r="I237" s="312">
        <f t="shared" si="1040"/>
        <v>2.5183789689202225</v>
      </c>
      <c r="J237" s="312">
        <f t="shared" si="1040"/>
        <v>2.4943055523865376</v>
      </c>
      <c r="K237" s="312">
        <f t="shared" si="1040"/>
        <v>2.4705828207747853</v>
      </c>
      <c r="L237" s="312">
        <f t="shared" si="1040"/>
        <v>2.4462641868475181</v>
      </c>
      <c r="M237" s="312">
        <f t="shared" si="1040"/>
        <v>2.422144909341954</v>
      </c>
      <c r="N237" s="312">
        <f t="shared" si="1040"/>
        <v>2.3972672112814966</v>
      </c>
      <c r="O237" s="312">
        <f t="shared" si="1040"/>
        <v>2.372720555357712</v>
      </c>
      <c r="P237" s="312">
        <f t="shared" si="1040"/>
        <v>2.3474005925947909</v>
      </c>
      <c r="Q237" s="312">
        <f t="shared" si="1040"/>
        <v>2.3224218692853111</v>
      </c>
      <c r="R237" s="312">
        <f t="shared" si="1040"/>
        <v>2.2966658488304419</v>
      </c>
      <c r="S237" s="312">
        <f t="shared" si="1040"/>
        <v>2.2712707920021007</v>
      </c>
      <c r="T237" s="312">
        <f t="shared" si="1040"/>
        <v>2.2452479348814496</v>
      </c>
      <c r="U237" s="312">
        <f t="shared" si="1040"/>
        <v>2.2194695718781987</v>
      </c>
      <c r="V237" s="312">
        <f t="shared" si="1040"/>
        <v>2.1929318455897091</v>
      </c>
      <c r="W237" s="312">
        <f t="shared" si="1040"/>
        <v>2.1668136796210979</v>
      </c>
      <c r="X237" s="312">
        <f t="shared" si="1040"/>
        <v>2.1399551409961588</v>
      </c>
      <c r="Y237" s="312">
        <f t="shared" si="1040"/>
        <v>80.757318465200072</v>
      </c>
      <c r="Z237" s="312">
        <f t="shared" si="1040"/>
        <v>0</v>
      </c>
      <c r="AA237" s="312">
        <f t="shared" si="1040"/>
        <v>0</v>
      </c>
      <c r="AB237" s="312">
        <f t="shared" si="1040"/>
        <v>0</v>
      </c>
      <c r="AC237" s="312">
        <f t="shared" si="1040"/>
        <v>0</v>
      </c>
      <c r="AD237" s="312">
        <f t="shared" si="1040"/>
        <v>0</v>
      </c>
      <c r="AE237" s="312">
        <f t="shared" si="1040"/>
        <v>0</v>
      </c>
      <c r="AF237" s="312">
        <f t="shared" si="1040"/>
        <v>0</v>
      </c>
      <c r="AG237" s="312">
        <f t="shared" si="1040"/>
        <v>0</v>
      </c>
      <c r="AH237" s="312">
        <f t="shared" ref="AH237:BM237" si="1041">AH61*AH164</f>
        <v>0</v>
      </c>
      <c r="AI237" s="312">
        <f t="shared" si="1041"/>
        <v>0</v>
      </c>
      <c r="AJ237" s="312">
        <f t="shared" si="1041"/>
        <v>0</v>
      </c>
      <c r="AK237" s="312">
        <f t="shared" si="1041"/>
        <v>0</v>
      </c>
      <c r="AL237" s="312">
        <f t="shared" si="1041"/>
        <v>0</v>
      </c>
      <c r="AM237" s="312">
        <f t="shared" si="1041"/>
        <v>0</v>
      </c>
      <c r="AN237" s="312">
        <f t="shared" si="1041"/>
        <v>0</v>
      </c>
      <c r="AO237" s="312">
        <f t="shared" si="1041"/>
        <v>0</v>
      </c>
      <c r="AP237" s="312">
        <f t="shared" si="1041"/>
        <v>0</v>
      </c>
      <c r="AQ237" s="312">
        <f t="shared" si="1041"/>
        <v>0</v>
      </c>
      <c r="AR237" s="312">
        <f t="shared" si="1041"/>
        <v>0</v>
      </c>
      <c r="AS237" s="312">
        <f t="shared" si="1041"/>
        <v>0</v>
      </c>
      <c r="AT237" s="312">
        <f t="shared" si="1041"/>
        <v>0</v>
      </c>
      <c r="AU237" s="312">
        <f t="shared" si="1041"/>
        <v>0</v>
      </c>
      <c r="AV237" s="312">
        <f t="shared" si="1041"/>
        <v>0</v>
      </c>
      <c r="AW237" s="312">
        <f t="shared" si="1041"/>
        <v>0</v>
      </c>
      <c r="AX237" s="312">
        <f t="shared" si="1041"/>
        <v>0</v>
      </c>
      <c r="AY237" s="312">
        <f t="shared" si="1041"/>
        <v>0</v>
      </c>
      <c r="AZ237" s="312">
        <f t="shared" si="1041"/>
        <v>0</v>
      </c>
      <c r="BA237" s="312">
        <f t="shared" si="1041"/>
        <v>0</v>
      </c>
      <c r="BB237" s="312">
        <f t="shared" si="1041"/>
        <v>0</v>
      </c>
      <c r="BC237" s="312">
        <f t="shared" si="1041"/>
        <v>0</v>
      </c>
      <c r="BD237" s="312">
        <f t="shared" si="1041"/>
        <v>0</v>
      </c>
      <c r="BE237" s="312">
        <f t="shared" si="1041"/>
        <v>0</v>
      </c>
      <c r="BF237" s="312">
        <f t="shared" si="1041"/>
        <v>0</v>
      </c>
      <c r="BG237" s="312">
        <f t="shared" si="1041"/>
        <v>0</v>
      </c>
      <c r="BH237" s="312">
        <f t="shared" si="1041"/>
        <v>0</v>
      </c>
      <c r="BI237" s="312">
        <f t="shared" si="1041"/>
        <v>0</v>
      </c>
      <c r="BJ237" s="312">
        <f t="shared" si="1041"/>
        <v>0</v>
      </c>
      <c r="BK237" s="312">
        <f t="shared" si="1041"/>
        <v>0</v>
      </c>
      <c r="BL237" s="312">
        <f t="shared" si="1041"/>
        <v>0</v>
      </c>
      <c r="BM237" s="312">
        <f t="shared" si="1041"/>
        <v>0</v>
      </c>
      <c r="BN237" s="312">
        <f t="shared" ref="BN237:CB237" si="1042">BN61*BN164</f>
        <v>0</v>
      </c>
      <c r="BO237" s="312">
        <f t="shared" si="1042"/>
        <v>0</v>
      </c>
      <c r="BP237" s="312">
        <f t="shared" si="1042"/>
        <v>0</v>
      </c>
      <c r="BQ237" s="312">
        <f t="shared" si="1042"/>
        <v>0</v>
      </c>
      <c r="BR237" s="312">
        <f t="shared" si="1042"/>
        <v>0</v>
      </c>
      <c r="BS237" s="312">
        <f t="shared" si="1042"/>
        <v>0</v>
      </c>
      <c r="BT237" s="312">
        <f t="shared" si="1042"/>
        <v>0</v>
      </c>
      <c r="BU237" s="312">
        <f t="shared" si="1042"/>
        <v>0</v>
      </c>
      <c r="BV237" s="312">
        <f t="shared" si="1042"/>
        <v>0</v>
      </c>
      <c r="BW237" s="312">
        <f t="shared" si="1042"/>
        <v>0</v>
      </c>
      <c r="BX237" s="312">
        <f t="shared" si="1042"/>
        <v>0</v>
      </c>
      <c r="BY237" s="312">
        <f t="shared" si="1042"/>
        <v>0</v>
      </c>
      <c r="BZ237" s="312">
        <f t="shared" si="1042"/>
        <v>0</v>
      </c>
      <c r="CA237" s="312">
        <f t="shared" si="1042"/>
        <v>0</v>
      </c>
      <c r="CB237" s="312">
        <f t="shared" si="1042"/>
        <v>0</v>
      </c>
    </row>
    <row r="238" spans="1:80">
      <c r="A238" s="312" t="str">
        <f>A63</f>
        <v>Bond 17</v>
      </c>
      <c r="B238" s="312">
        <f t="shared" ref="B238:AG238" si="1043">B63*B169</f>
        <v>2.1113102535641648</v>
      </c>
      <c r="C238" s="312">
        <f t="shared" si="1043"/>
        <v>2.0928495742868529</v>
      </c>
      <c r="D238" s="312">
        <f t="shared" si="1043"/>
        <v>2.0745257471151888</v>
      </c>
      <c r="E238" s="312">
        <f t="shared" si="1043"/>
        <v>2.0559909428527816</v>
      </c>
      <c r="F238" s="312">
        <f t="shared" si="1043"/>
        <v>2.0376197613088163</v>
      </c>
      <c r="G238" s="312">
        <f t="shared" si="1043"/>
        <v>2.0189712679505387</v>
      </c>
      <c r="H238" s="312">
        <f t="shared" si="1043"/>
        <v>2.0004322753522588</v>
      </c>
      <c r="I238" s="312">
        <f t="shared" si="1043"/>
        <v>1.9815671564684987</v>
      </c>
      <c r="J238" s="312">
        <f t="shared" si="1043"/>
        <v>1.962775712220572</v>
      </c>
      <c r="K238" s="312">
        <f t="shared" si="1043"/>
        <v>1.9437305555224131</v>
      </c>
      <c r="L238" s="312">
        <f t="shared" si="1043"/>
        <v>1.9246331228028166</v>
      </c>
      <c r="M238" s="312">
        <f t="shared" si="1043"/>
        <v>1.9051547014404939</v>
      </c>
      <c r="N238" s="312">
        <f t="shared" si="1043"/>
        <v>1.8857212657877187</v>
      </c>
      <c r="O238" s="312">
        <f t="shared" si="1043"/>
        <v>1.8658965142118078</v>
      </c>
      <c r="P238" s="312">
        <f t="shared" si="1043"/>
        <v>1.8461188020260766</v>
      </c>
      <c r="Q238" s="312">
        <f t="shared" si="1043"/>
        <v>1.8259484612957775</v>
      </c>
      <c r="R238" s="312">
        <f t="shared" si="1043"/>
        <v>1.805835311783847</v>
      </c>
      <c r="S238" s="312">
        <f t="shared" si="1043"/>
        <v>1.7854493498843302</v>
      </c>
      <c r="T238" s="312">
        <f t="shared" si="1043"/>
        <v>1.7650241481888069</v>
      </c>
      <c r="U238" s="312">
        <f t="shared" si="1043"/>
        <v>1.7442245537321799</v>
      </c>
      <c r="V238" s="312">
        <f t="shared" si="1043"/>
        <v>1.7235196512038342</v>
      </c>
      <c r="W238" s="312">
        <f t="shared" si="1043"/>
        <v>1.7024572732824781</v>
      </c>
      <c r="X238" s="312">
        <f t="shared" si="1043"/>
        <v>1.681514034330692</v>
      </c>
      <c r="Y238" s="312">
        <f t="shared" si="1043"/>
        <v>1.6602339098999526</v>
      </c>
      <c r="Z238" s="312">
        <f t="shared" si="1043"/>
        <v>1.6390995180869554</v>
      </c>
      <c r="AA238" s="312">
        <f t="shared" si="1043"/>
        <v>1.6177702189247154</v>
      </c>
      <c r="AB238" s="312">
        <f t="shared" si="1043"/>
        <v>1.5964960186565058</v>
      </c>
      <c r="AC238" s="312">
        <f t="shared" si="1043"/>
        <v>1.5749333007449882</v>
      </c>
      <c r="AD238" s="312">
        <f t="shared" si="1043"/>
        <v>1.5535720138597608</v>
      </c>
      <c r="AE238" s="312">
        <f t="shared" si="1043"/>
        <v>1.5319484868867728</v>
      </c>
      <c r="AF238" s="312">
        <f t="shared" si="1043"/>
        <v>1.510554040015998</v>
      </c>
      <c r="AG238" s="312">
        <f t="shared" si="1043"/>
        <v>1.4889241475706338</v>
      </c>
      <c r="AH238" s="312">
        <f t="shared" ref="AH238:BM238" si="1044">AH63*AH169</f>
        <v>1.4675500326490851</v>
      </c>
      <c r="AI238" s="312">
        <f t="shared" si="1044"/>
        <v>1.4460864026318394</v>
      </c>
      <c r="AJ238" s="312">
        <f t="shared" si="1044"/>
        <v>1.4247844471844784</v>
      </c>
      <c r="AK238" s="312">
        <f t="shared" si="1044"/>
        <v>1.403300143126001</v>
      </c>
      <c r="AL238" s="312">
        <f t="shared" si="1044"/>
        <v>1.3821204284380708</v>
      </c>
      <c r="AM238" s="312">
        <f t="shared" si="1044"/>
        <v>1.3607839773694779</v>
      </c>
      <c r="AN238" s="312">
        <f t="shared" si="1044"/>
        <v>1.3397737161730274</v>
      </c>
      <c r="AO238" s="312">
        <f t="shared" si="1044"/>
        <v>63.371868957783754</v>
      </c>
      <c r="AP238" s="312">
        <f t="shared" si="1044"/>
        <v>0</v>
      </c>
      <c r="AQ238" s="312">
        <f t="shared" si="1044"/>
        <v>0</v>
      </c>
      <c r="AR238" s="312">
        <f t="shared" si="1044"/>
        <v>0</v>
      </c>
      <c r="AS238" s="312">
        <f t="shared" si="1044"/>
        <v>0</v>
      </c>
      <c r="AT238" s="312">
        <f t="shared" si="1044"/>
        <v>0</v>
      </c>
      <c r="AU238" s="312">
        <f t="shared" si="1044"/>
        <v>0</v>
      </c>
      <c r="AV238" s="312">
        <f t="shared" si="1044"/>
        <v>0</v>
      </c>
      <c r="AW238" s="312">
        <f t="shared" si="1044"/>
        <v>0</v>
      </c>
      <c r="AX238" s="312">
        <f t="shared" si="1044"/>
        <v>0</v>
      </c>
      <c r="AY238" s="312">
        <f t="shared" si="1044"/>
        <v>0</v>
      </c>
      <c r="AZ238" s="312">
        <f t="shared" si="1044"/>
        <v>0</v>
      </c>
      <c r="BA238" s="312">
        <f t="shared" si="1044"/>
        <v>0</v>
      </c>
      <c r="BB238" s="312">
        <f t="shared" si="1044"/>
        <v>0</v>
      </c>
      <c r="BC238" s="312">
        <f t="shared" si="1044"/>
        <v>0</v>
      </c>
      <c r="BD238" s="312">
        <f t="shared" si="1044"/>
        <v>0</v>
      </c>
      <c r="BE238" s="312">
        <f t="shared" si="1044"/>
        <v>0</v>
      </c>
      <c r="BF238" s="312">
        <f t="shared" si="1044"/>
        <v>0</v>
      </c>
      <c r="BG238" s="312">
        <f t="shared" si="1044"/>
        <v>0</v>
      </c>
      <c r="BH238" s="312">
        <f t="shared" si="1044"/>
        <v>0</v>
      </c>
      <c r="BI238" s="312">
        <f t="shared" si="1044"/>
        <v>0</v>
      </c>
      <c r="BJ238" s="312">
        <f t="shared" si="1044"/>
        <v>0</v>
      </c>
      <c r="BK238" s="312">
        <f t="shared" si="1044"/>
        <v>0</v>
      </c>
      <c r="BL238" s="312">
        <f t="shared" si="1044"/>
        <v>0</v>
      </c>
      <c r="BM238" s="312">
        <f t="shared" si="1044"/>
        <v>0</v>
      </c>
      <c r="BN238" s="312">
        <f t="shared" ref="BN238:CB238" si="1045">BN63*BN169</f>
        <v>0</v>
      </c>
      <c r="BO238" s="312">
        <f t="shared" si="1045"/>
        <v>0</v>
      </c>
      <c r="BP238" s="312">
        <f t="shared" si="1045"/>
        <v>0</v>
      </c>
      <c r="BQ238" s="312">
        <f t="shared" si="1045"/>
        <v>0</v>
      </c>
      <c r="BR238" s="312">
        <f t="shared" si="1045"/>
        <v>0</v>
      </c>
      <c r="BS238" s="312">
        <f t="shared" si="1045"/>
        <v>0</v>
      </c>
      <c r="BT238" s="312">
        <f t="shared" si="1045"/>
        <v>0</v>
      </c>
      <c r="BU238" s="312">
        <f t="shared" si="1045"/>
        <v>0</v>
      </c>
      <c r="BV238" s="312">
        <f t="shared" si="1045"/>
        <v>0</v>
      </c>
      <c r="BW238" s="312">
        <f t="shared" si="1045"/>
        <v>0</v>
      </c>
      <c r="BX238" s="312">
        <f t="shared" si="1045"/>
        <v>0</v>
      </c>
      <c r="BY238" s="312">
        <f t="shared" si="1045"/>
        <v>0</v>
      </c>
      <c r="BZ238" s="312">
        <f t="shared" si="1045"/>
        <v>0</v>
      </c>
      <c r="CA238" s="312">
        <f t="shared" si="1045"/>
        <v>0</v>
      </c>
      <c r="CB238" s="312">
        <f t="shared" si="1045"/>
        <v>0</v>
      </c>
    </row>
    <row r="239" spans="1:80">
      <c r="A239" s="312" t="str">
        <f>A65</f>
        <v>Bond 18</v>
      </c>
      <c r="B239" s="312">
        <f t="shared" ref="B239:AG239" si="1046">B65*B174</f>
        <v>2.2453071894300631</v>
      </c>
      <c r="C239" s="312">
        <f t="shared" si="1046"/>
        <v>2.2259413318391403</v>
      </c>
      <c r="D239" s="312">
        <f t="shared" si="1046"/>
        <v>2.206309992308678</v>
      </c>
      <c r="E239" s="312">
        <f t="shared" si="1046"/>
        <v>2.1870184892345259</v>
      </c>
      <c r="F239" s="312">
        <f t="shared" si="1046"/>
        <v>2.1672675170507065</v>
      </c>
      <c r="G239" s="312">
        <f t="shared" si="1046"/>
        <v>2.1478911222691566</v>
      </c>
      <c r="H239" s="312">
        <f t="shared" si="1046"/>
        <v>2.127988550967157</v>
      </c>
      <c r="I239" s="312">
        <f t="shared" si="1046"/>
        <v>2.1084102995611165</v>
      </c>
      <c r="J239" s="312">
        <f t="shared" si="1046"/>
        <v>2.0882558113003573</v>
      </c>
      <c r="K239" s="312">
        <f t="shared" si="1046"/>
        <v>2.068394919718425</v>
      </c>
      <c r="L239" s="312">
        <f t="shared" si="1046"/>
        <v>2.0480351331746665</v>
      </c>
      <c r="M239" s="312">
        <f t="shared" si="1046"/>
        <v>2.027842249681636</v>
      </c>
      <c r="N239" s="312">
        <f t="shared" si="1046"/>
        <v>2.0070144094449738</v>
      </c>
      <c r="O239" s="312">
        <f t="shared" si="1046"/>
        <v>1.9864637207645961</v>
      </c>
      <c r="P239" s="312">
        <f t="shared" si="1046"/>
        <v>1.9652656124049415</v>
      </c>
      <c r="Q239" s="312">
        <f t="shared" si="1046"/>
        <v>1.9443531928900279</v>
      </c>
      <c r="R239" s="312">
        <f t="shared" si="1046"/>
        <v>1.9227900129743236</v>
      </c>
      <c r="S239" s="312">
        <f t="shared" si="1046"/>
        <v>1.9015290351645493</v>
      </c>
      <c r="T239" s="312">
        <f t="shared" si="1046"/>
        <v>1.8797424571100509</v>
      </c>
      <c r="U239" s="312">
        <f t="shared" si="1046"/>
        <v>1.8581605718050036</v>
      </c>
      <c r="V239" s="312">
        <f t="shared" si="1046"/>
        <v>1.8359429404937098</v>
      </c>
      <c r="W239" s="312">
        <f t="shared" si="1046"/>
        <v>1.8140765689851053</v>
      </c>
      <c r="X239" s="312">
        <f t="shared" si="1046"/>
        <v>1.791590350601435</v>
      </c>
      <c r="Y239" s="312">
        <f t="shared" si="1046"/>
        <v>1.7694847624754733</v>
      </c>
      <c r="Z239" s="312">
        <f t="shared" si="1046"/>
        <v>1.7467793747230376</v>
      </c>
      <c r="AA239" s="312">
        <f t="shared" si="1046"/>
        <v>1.7244854258990547</v>
      </c>
      <c r="AB239" s="312">
        <f t="shared" si="1046"/>
        <v>1.7017407800927618</v>
      </c>
      <c r="AC239" s="312">
        <f t="shared" si="1046"/>
        <v>1.6793132054949793</v>
      </c>
      <c r="AD239" s="312">
        <f t="shared" si="1046"/>
        <v>1.6563346571847397</v>
      </c>
      <c r="AE239" s="312">
        <f t="shared" si="1046"/>
        <v>1.6338293260176886</v>
      </c>
      <c r="AF239" s="312">
        <f t="shared" si="1046"/>
        <v>1.6108003211801942</v>
      </c>
      <c r="AG239" s="312">
        <f t="shared" si="1046"/>
        <v>1.5882740065127787</v>
      </c>
      <c r="AH239" s="312">
        <f t="shared" ref="AH239:BM239" si="1047">AH65*AH174</f>
        <v>1.5652523582011648</v>
      </c>
      <c r="AI239" s="312">
        <f t="shared" si="1047"/>
        <v>70.109921411319476</v>
      </c>
      <c r="AJ239" s="312">
        <f t="shared" si="1047"/>
        <v>0</v>
      </c>
      <c r="AK239" s="312">
        <f t="shared" si="1047"/>
        <v>0</v>
      </c>
      <c r="AL239" s="312">
        <f t="shared" si="1047"/>
        <v>0</v>
      </c>
      <c r="AM239" s="312">
        <f t="shared" si="1047"/>
        <v>0</v>
      </c>
      <c r="AN239" s="312">
        <f t="shared" si="1047"/>
        <v>0</v>
      </c>
      <c r="AO239" s="312">
        <f t="shared" si="1047"/>
        <v>0</v>
      </c>
      <c r="AP239" s="312">
        <f t="shared" si="1047"/>
        <v>0</v>
      </c>
      <c r="AQ239" s="312">
        <f t="shared" si="1047"/>
        <v>0</v>
      </c>
      <c r="AR239" s="312">
        <f t="shared" si="1047"/>
        <v>0</v>
      </c>
      <c r="AS239" s="312">
        <f t="shared" si="1047"/>
        <v>0</v>
      </c>
      <c r="AT239" s="312">
        <f t="shared" si="1047"/>
        <v>0</v>
      </c>
      <c r="AU239" s="312">
        <f t="shared" si="1047"/>
        <v>0</v>
      </c>
      <c r="AV239" s="312">
        <f t="shared" si="1047"/>
        <v>0</v>
      </c>
      <c r="AW239" s="312">
        <f t="shared" si="1047"/>
        <v>0</v>
      </c>
      <c r="AX239" s="312">
        <f t="shared" si="1047"/>
        <v>0</v>
      </c>
      <c r="AY239" s="312">
        <f t="shared" si="1047"/>
        <v>0</v>
      </c>
      <c r="AZ239" s="312">
        <f t="shared" si="1047"/>
        <v>0</v>
      </c>
      <c r="BA239" s="312">
        <f t="shared" si="1047"/>
        <v>0</v>
      </c>
      <c r="BB239" s="312">
        <f t="shared" si="1047"/>
        <v>0</v>
      </c>
      <c r="BC239" s="312">
        <f t="shared" si="1047"/>
        <v>0</v>
      </c>
      <c r="BD239" s="312">
        <f t="shared" si="1047"/>
        <v>0</v>
      </c>
      <c r="BE239" s="312">
        <f t="shared" si="1047"/>
        <v>0</v>
      </c>
      <c r="BF239" s="312">
        <f t="shared" si="1047"/>
        <v>0</v>
      </c>
      <c r="BG239" s="312">
        <f t="shared" si="1047"/>
        <v>0</v>
      </c>
      <c r="BH239" s="312">
        <f t="shared" si="1047"/>
        <v>0</v>
      </c>
      <c r="BI239" s="312">
        <f t="shared" si="1047"/>
        <v>0</v>
      </c>
      <c r="BJ239" s="312">
        <f t="shared" si="1047"/>
        <v>0</v>
      </c>
      <c r="BK239" s="312">
        <f t="shared" si="1047"/>
        <v>0</v>
      </c>
      <c r="BL239" s="312">
        <f t="shared" si="1047"/>
        <v>0</v>
      </c>
      <c r="BM239" s="312">
        <f t="shared" si="1047"/>
        <v>0</v>
      </c>
      <c r="BN239" s="312">
        <f t="shared" ref="BN239:CB239" si="1048">BN65*BN174</f>
        <v>0</v>
      </c>
      <c r="BO239" s="312">
        <f t="shared" si="1048"/>
        <v>0</v>
      </c>
      <c r="BP239" s="312">
        <f t="shared" si="1048"/>
        <v>0</v>
      </c>
      <c r="BQ239" s="312">
        <f t="shared" si="1048"/>
        <v>0</v>
      </c>
      <c r="BR239" s="312">
        <f t="shared" si="1048"/>
        <v>0</v>
      </c>
      <c r="BS239" s="312">
        <f t="shared" si="1048"/>
        <v>0</v>
      </c>
      <c r="BT239" s="312">
        <f t="shared" si="1048"/>
        <v>0</v>
      </c>
      <c r="BU239" s="312">
        <f t="shared" si="1048"/>
        <v>0</v>
      </c>
      <c r="BV239" s="312">
        <f t="shared" si="1048"/>
        <v>0</v>
      </c>
      <c r="BW239" s="312">
        <f t="shared" si="1048"/>
        <v>0</v>
      </c>
      <c r="BX239" s="312">
        <f t="shared" si="1048"/>
        <v>0</v>
      </c>
      <c r="BY239" s="312">
        <f t="shared" si="1048"/>
        <v>0</v>
      </c>
      <c r="BZ239" s="312">
        <f t="shared" si="1048"/>
        <v>0</v>
      </c>
      <c r="CA239" s="312">
        <f t="shared" si="1048"/>
        <v>0</v>
      </c>
      <c r="CB239" s="312">
        <f t="shared" si="1048"/>
        <v>0</v>
      </c>
    </row>
    <row r="240" spans="1:80">
      <c r="A240" s="312" t="str">
        <f>A67</f>
        <v>Bond 19</v>
      </c>
      <c r="B240" s="312">
        <f t="shared" ref="B240:AG240" si="1049">B67*B179</f>
        <v>2.3700464777317336</v>
      </c>
      <c r="C240" s="312">
        <f t="shared" si="1049"/>
        <v>2.3496047391635368</v>
      </c>
      <c r="D240" s="312">
        <f t="shared" si="1049"/>
        <v>2.3288827696591601</v>
      </c>
      <c r="E240" s="312">
        <f t="shared" si="1049"/>
        <v>2.308519516414222</v>
      </c>
      <c r="F240" s="312">
        <f t="shared" si="1049"/>
        <v>2.2876712679979683</v>
      </c>
      <c r="G240" s="312">
        <f t="shared" si="1049"/>
        <v>2.2672184068396652</v>
      </c>
      <c r="H240" s="312">
        <f t="shared" si="1049"/>
        <v>2.2462101371319987</v>
      </c>
      <c r="I240" s="312">
        <f t="shared" si="1049"/>
        <v>2.2255442050922896</v>
      </c>
      <c r="J240" s="312">
        <f t="shared" si="1049"/>
        <v>2.2042700230392658</v>
      </c>
      <c r="K240" s="312">
        <f t="shared" si="1049"/>
        <v>2.1833057485916707</v>
      </c>
      <c r="L240" s="312">
        <f t="shared" si="1049"/>
        <v>2.161814862795481</v>
      </c>
      <c r="M240" s="312">
        <f t="shared" si="1049"/>
        <v>2.1405001524417266</v>
      </c>
      <c r="N240" s="312">
        <f t="shared" si="1049"/>
        <v>2.1185152099696949</v>
      </c>
      <c r="O240" s="312">
        <f t="shared" si="1049"/>
        <v>2.096822816362629</v>
      </c>
      <c r="P240" s="312">
        <f t="shared" si="1049"/>
        <v>2.0744470353163269</v>
      </c>
      <c r="Q240" s="312">
        <f t="shared" si="1049"/>
        <v>2.0523728147172515</v>
      </c>
      <c r="R240" s="312">
        <f t="shared" si="1049"/>
        <v>2.0296116803617861</v>
      </c>
      <c r="S240" s="312">
        <f t="shared" si="1049"/>
        <v>2.0071695371181355</v>
      </c>
      <c r="T240" s="312">
        <f t="shared" si="1049"/>
        <v>1.9841725936161647</v>
      </c>
      <c r="U240" s="312">
        <f t="shared" si="1049"/>
        <v>1.9613917146830593</v>
      </c>
      <c r="V240" s="312">
        <f t="shared" si="1049"/>
        <v>1.9379397705211381</v>
      </c>
      <c r="W240" s="312">
        <f t="shared" si="1049"/>
        <v>1.9148586005953889</v>
      </c>
      <c r="X240" s="312">
        <f t="shared" si="1049"/>
        <v>1.8911231478570705</v>
      </c>
      <c r="Y240" s="312">
        <f t="shared" si="1049"/>
        <v>1.8677894715018883</v>
      </c>
      <c r="Z240" s="312">
        <f t="shared" si="1049"/>
        <v>1.8438226733187617</v>
      </c>
      <c r="AA240" s="312">
        <f t="shared" si="1049"/>
        <v>1.8202901717823357</v>
      </c>
      <c r="AB240" s="312">
        <f t="shared" si="1049"/>
        <v>1.7962819345423595</v>
      </c>
      <c r="AC240" s="312">
        <f t="shared" si="1049"/>
        <v>1.7726083835780337</v>
      </c>
      <c r="AD240" s="312">
        <f t="shared" si="1049"/>
        <v>1.7483532492505587</v>
      </c>
      <c r="AE240" s="312">
        <f t="shared" si="1049"/>
        <v>1.7245976219075603</v>
      </c>
      <c r="AF240" s="312">
        <f t="shared" si="1049"/>
        <v>1.7002892279124273</v>
      </c>
      <c r="AG240" s="312">
        <f t="shared" si="1049"/>
        <v>1.6765114513190442</v>
      </c>
      <c r="AH240" s="312">
        <f t="shared" ref="AH240:BM240" si="1050">AH67*AH179</f>
        <v>1.652210822545674</v>
      </c>
      <c r="AI240" s="312">
        <f t="shared" si="1050"/>
        <v>1.6284700572311368</v>
      </c>
      <c r="AJ240" s="312">
        <f t="shared" si="1050"/>
        <v>1.6043698995076372</v>
      </c>
      <c r="AK240" s="312">
        <f t="shared" si="1050"/>
        <v>68.137489133111927</v>
      </c>
      <c r="AL240" s="312">
        <f t="shared" si="1050"/>
        <v>0</v>
      </c>
      <c r="AM240" s="312">
        <f t="shared" si="1050"/>
        <v>0</v>
      </c>
      <c r="AN240" s="312">
        <f t="shared" si="1050"/>
        <v>0</v>
      </c>
      <c r="AO240" s="312">
        <f t="shared" si="1050"/>
        <v>0</v>
      </c>
      <c r="AP240" s="312">
        <f t="shared" si="1050"/>
        <v>0</v>
      </c>
      <c r="AQ240" s="312">
        <f t="shared" si="1050"/>
        <v>0</v>
      </c>
      <c r="AR240" s="312">
        <f t="shared" si="1050"/>
        <v>0</v>
      </c>
      <c r="AS240" s="312">
        <f t="shared" si="1050"/>
        <v>0</v>
      </c>
      <c r="AT240" s="312">
        <f t="shared" si="1050"/>
        <v>0</v>
      </c>
      <c r="AU240" s="312">
        <f t="shared" si="1050"/>
        <v>0</v>
      </c>
      <c r="AV240" s="312">
        <f t="shared" si="1050"/>
        <v>0</v>
      </c>
      <c r="AW240" s="312">
        <f t="shared" si="1050"/>
        <v>0</v>
      </c>
      <c r="AX240" s="312">
        <f t="shared" si="1050"/>
        <v>0</v>
      </c>
      <c r="AY240" s="312">
        <f t="shared" si="1050"/>
        <v>0</v>
      </c>
      <c r="AZ240" s="312">
        <f t="shared" si="1050"/>
        <v>0</v>
      </c>
      <c r="BA240" s="312">
        <f t="shared" si="1050"/>
        <v>0</v>
      </c>
      <c r="BB240" s="312">
        <f t="shared" si="1050"/>
        <v>0</v>
      </c>
      <c r="BC240" s="312">
        <f t="shared" si="1050"/>
        <v>0</v>
      </c>
      <c r="BD240" s="312">
        <f t="shared" si="1050"/>
        <v>0</v>
      </c>
      <c r="BE240" s="312">
        <f t="shared" si="1050"/>
        <v>0</v>
      </c>
      <c r="BF240" s="312">
        <f t="shared" si="1050"/>
        <v>0</v>
      </c>
      <c r="BG240" s="312">
        <f t="shared" si="1050"/>
        <v>0</v>
      </c>
      <c r="BH240" s="312">
        <f t="shared" si="1050"/>
        <v>0</v>
      </c>
      <c r="BI240" s="312">
        <f t="shared" si="1050"/>
        <v>0</v>
      </c>
      <c r="BJ240" s="312">
        <f t="shared" si="1050"/>
        <v>0</v>
      </c>
      <c r="BK240" s="312">
        <f t="shared" si="1050"/>
        <v>0</v>
      </c>
      <c r="BL240" s="312">
        <f t="shared" si="1050"/>
        <v>0</v>
      </c>
      <c r="BM240" s="312">
        <f t="shared" si="1050"/>
        <v>0</v>
      </c>
      <c r="BN240" s="312">
        <f t="shared" ref="BN240:CB240" si="1051">BN67*BN179</f>
        <v>0</v>
      </c>
      <c r="BO240" s="312">
        <f t="shared" si="1051"/>
        <v>0</v>
      </c>
      <c r="BP240" s="312">
        <f t="shared" si="1051"/>
        <v>0</v>
      </c>
      <c r="BQ240" s="312">
        <f t="shared" si="1051"/>
        <v>0</v>
      </c>
      <c r="BR240" s="312">
        <f t="shared" si="1051"/>
        <v>0</v>
      </c>
      <c r="BS240" s="312">
        <f t="shared" si="1051"/>
        <v>0</v>
      </c>
      <c r="BT240" s="312">
        <f t="shared" si="1051"/>
        <v>0</v>
      </c>
      <c r="BU240" s="312">
        <f t="shared" si="1051"/>
        <v>0</v>
      </c>
      <c r="BV240" s="312">
        <f t="shared" si="1051"/>
        <v>0</v>
      </c>
      <c r="BW240" s="312">
        <f t="shared" si="1051"/>
        <v>0</v>
      </c>
      <c r="BX240" s="312">
        <f t="shared" si="1051"/>
        <v>0</v>
      </c>
      <c r="BY240" s="312">
        <f t="shared" si="1051"/>
        <v>0</v>
      </c>
      <c r="BZ240" s="312">
        <f t="shared" si="1051"/>
        <v>0</v>
      </c>
      <c r="CA240" s="312">
        <f t="shared" si="1051"/>
        <v>0</v>
      </c>
      <c r="CB240" s="312">
        <f t="shared" si="1051"/>
        <v>0</v>
      </c>
    </row>
    <row r="241" spans="1:201">
      <c r="A241" s="312" t="str">
        <f>A69</f>
        <v>Bond 20</v>
      </c>
      <c r="B241" s="312">
        <f t="shared" ref="B241:AG241" si="1052">B69*B184</f>
        <v>2.1829375452792283</v>
      </c>
      <c r="C241" s="312">
        <f t="shared" si="1052"/>
        <v>2.1641096281769419</v>
      </c>
      <c r="D241" s="312">
        <f t="shared" si="1052"/>
        <v>2.1450236036334367</v>
      </c>
      <c r="E241" s="312">
        <f t="shared" si="1052"/>
        <v>2.1262679756446783</v>
      </c>
      <c r="F241" s="312">
        <f t="shared" si="1052"/>
        <v>2.1070656415770759</v>
      </c>
      <c r="G241" s="312">
        <f t="shared" si="1052"/>
        <v>2.0882274799839022</v>
      </c>
      <c r="H241" s="312">
        <f t="shared" si="1052"/>
        <v>2.0688777578847359</v>
      </c>
      <c r="I241" s="312">
        <f t="shared" si="1052"/>
        <v>2.0498433467955302</v>
      </c>
      <c r="J241" s="312">
        <f t="shared" si="1052"/>
        <v>2.0302487054309029</v>
      </c>
      <c r="K241" s="312">
        <f t="shared" si="1052"/>
        <v>2.0109395052818022</v>
      </c>
      <c r="L241" s="312">
        <f t="shared" si="1052"/>
        <v>1.991145268364259</v>
      </c>
      <c r="M241" s="312">
        <f t="shared" si="1052"/>
        <v>1.9715132983015904</v>
      </c>
      <c r="N241" s="312">
        <f t="shared" si="1052"/>
        <v>1.9512640091826137</v>
      </c>
      <c r="O241" s="312">
        <f t="shared" si="1052"/>
        <v>1.9312841729655794</v>
      </c>
      <c r="P241" s="312">
        <f t="shared" si="1052"/>
        <v>1.9106749009492485</v>
      </c>
      <c r="Q241" s="312">
        <f t="shared" si="1052"/>
        <v>1.8903433819764159</v>
      </c>
      <c r="R241" s="312">
        <f t="shared" si="1052"/>
        <v>1.8693791792805923</v>
      </c>
      <c r="S241" s="312">
        <f t="shared" si="1052"/>
        <v>1.8487087841877563</v>
      </c>
      <c r="T241" s="312">
        <f t="shared" si="1052"/>
        <v>1.8275273888569938</v>
      </c>
      <c r="U241" s="312">
        <f t="shared" si="1052"/>
        <v>1.8065450003659755</v>
      </c>
      <c r="V241" s="312">
        <f t="shared" si="1052"/>
        <v>1.7849445254799956</v>
      </c>
      <c r="W241" s="312">
        <f t="shared" si="1052"/>
        <v>1.7636855531799633</v>
      </c>
      <c r="X241" s="312">
        <f t="shared" si="1052"/>
        <v>1.7418239519736174</v>
      </c>
      <c r="Y241" s="312">
        <f t="shared" si="1052"/>
        <v>1.7203324079622657</v>
      </c>
      <c r="Z241" s="312">
        <f t="shared" si="1052"/>
        <v>1.6982577254251754</v>
      </c>
      <c r="AA241" s="312">
        <f t="shared" si="1052"/>
        <v>1.6765830529574144</v>
      </c>
      <c r="AB241" s="312">
        <f t="shared" si="1052"/>
        <v>1.6544702028679628</v>
      </c>
      <c r="AC241" s="312">
        <f t="shared" si="1052"/>
        <v>1.6326656164534521</v>
      </c>
      <c r="AD241" s="312">
        <f t="shared" si="1052"/>
        <v>1.6103253611518302</v>
      </c>
      <c r="AE241" s="312">
        <f t="shared" si="1052"/>
        <v>1.5884451780727529</v>
      </c>
      <c r="AF241" s="312">
        <f t="shared" si="1052"/>
        <v>1.5660558678140779</v>
      </c>
      <c r="AG241" s="312">
        <f t="shared" si="1052"/>
        <v>1.544155284109646</v>
      </c>
      <c r="AH241" s="312">
        <f t="shared" ref="AH241:BM241" si="1053">AH69*AH184</f>
        <v>1.5217731260289102</v>
      </c>
      <c r="AI241" s="312">
        <f t="shared" si="1053"/>
        <v>1.4999066316602576</v>
      </c>
      <c r="AJ241" s="312">
        <f t="shared" si="1053"/>
        <v>1.4777091179675605</v>
      </c>
      <c r="AK241" s="312">
        <f t="shared" si="1053"/>
        <v>1.4559292549810241</v>
      </c>
      <c r="AL241" s="312">
        <f t="shared" si="1053"/>
        <v>1.4337238917271702</v>
      </c>
      <c r="AM241" s="312">
        <f t="shared" si="1053"/>
        <v>65.964370361691991</v>
      </c>
      <c r="AN241" s="312">
        <f t="shared" si="1053"/>
        <v>0</v>
      </c>
      <c r="AO241" s="312">
        <f t="shared" si="1053"/>
        <v>0</v>
      </c>
      <c r="AP241" s="312">
        <f t="shared" si="1053"/>
        <v>0</v>
      </c>
      <c r="AQ241" s="312">
        <f t="shared" si="1053"/>
        <v>0</v>
      </c>
      <c r="AR241" s="312">
        <f t="shared" si="1053"/>
        <v>0</v>
      </c>
      <c r="AS241" s="312">
        <f t="shared" si="1053"/>
        <v>0</v>
      </c>
      <c r="AT241" s="312">
        <f t="shared" si="1053"/>
        <v>0</v>
      </c>
      <c r="AU241" s="312">
        <f t="shared" si="1053"/>
        <v>0</v>
      </c>
      <c r="AV241" s="312">
        <f t="shared" si="1053"/>
        <v>0</v>
      </c>
      <c r="AW241" s="312">
        <f t="shared" si="1053"/>
        <v>0</v>
      </c>
      <c r="AX241" s="312">
        <f t="shared" si="1053"/>
        <v>0</v>
      </c>
      <c r="AY241" s="312">
        <f t="shared" si="1053"/>
        <v>0</v>
      </c>
      <c r="AZ241" s="312">
        <f t="shared" si="1053"/>
        <v>0</v>
      </c>
      <c r="BA241" s="312">
        <f t="shared" si="1053"/>
        <v>0</v>
      </c>
      <c r="BB241" s="312">
        <f t="shared" si="1053"/>
        <v>0</v>
      </c>
      <c r="BC241" s="312">
        <f t="shared" si="1053"/>
        <v>0</v>
      </c>
      <c r="BD241" s="312">
        <f t="shared" si="1053"/>
        <v>0</v>
      </c>
      <c r="BE241" s="312">
        <f t="shared" si="1053"/>
        <v>0</v>
      </c>
      <c r="BF241" s="312">
        <f t="shared" si="1053"/>
        <v>0</v>
      </c>
      <c r="BG241" s="312">
        <f t="shared" si="1053"/>
        <v>0</v>
      </c>
      <c r="BH241" s="312">
        <f t="shared" si="1053"/>
        <v>0</v>
      </c>
      <c r="BI241" s="312">
        <f t="shared" si="1053"/>
        <v>0</v>
      </c>
      <c r="BJ241" s="312">
        <f t="shared" si="1053"/>
        <v>0</v>
      </c>
      <c r="BK241" s="312">
        <f t="shared" si="1053"/>
        <v>0</v>
      </c>
      <c r="BL241" s="312">
        <f t="shared" si="1053"/>
        <v>0</v>
      </c>
      <c r="BM241" s="312">
        <f t="shared" si="1053"/>
        <v>0</v>
      </c>
      <c r="BN241" s="312">
        <f t="shared" ref="BN241:CB241" si="1054">BN69*BN184</f>
        <v>0</v>
      </c>
      <c r="BO241" s="312">
        <f t="shared" si="1054"/>
        <v>0</v>
      </c>
      <c r="BP241" s="312">
        <f t="shared" si="1054"/>
        <v>0</v>
      </c>
      <c r="BQ241" s="312">
        <f t="shared" si="1054"/>
        <v>0</v>
      </c>
      <c r="BR241" s="312">
        <f t="shared" si="1054"/>
        <v>0</v>
      </c>
      <c r="BS241" s="312">
        <f t="shared" si="1054"/>
        <v>0</v>
      </c>
      <c r="BT241" s="312">
        <f t="shared" si="1054"/>
        <v>0</v>
      </c>
      <c r="BU241" s="312">
        <f t="shared" si="1054"/>
        <v>0</v>
      </c>
      <c r="BV241" s="312">
        <f t="shared" si="1054"/>
        <v>0</v>
      </c>
      <c r="BW241" s="312">
        <f t="shared" si="1054"/>
        <v>0</v>
      </c>
      <c r="BX241" s="312">
        <f t="shared" si="1054"/>
        <v>0</v>
      </c>
      <c r="BY241" s="312">
        <f t="shared" si="1054"/>
        <v>0</v>
      </c>
      <c r="BZ241" s="312">
        <f t="shared" si="1054"/>
        <v>0</v>
      </c>
      <c r="CA241" s="312">
        <f t="shared" si="1054"/>
        <v>0</v>
      </c>
      <c r="CB241" s="312">
        <f t="shared" si="1054"/>
        <v>0</v>
      </c>
    </row>
    <row r="242" spans="1:201">
      <c r="A242" s="312" t="str">
        <f>A71</f>
        <v>Bond 21</v>
      </c>
      <c r="B242" s="312">
        <f t="shared" ref="B242:AG242" si="1055">B71*B189</f>
        <v>1.7463500362233828</v>
      </c>
      <c r="C242" s="312">
        <f t="shared" si="1055"/>
        <v>1.7312877025415536</v>
      </c>
      <c r="D242" s="312">
        <f t="shared" si="1055"/>
        <v>1.7160188829067498</v>
      </c>
      <c r="E242" s="312">
        <f t="shared" si="1055"/>
        <v>1.7010143805157427</v>
      </c>
      <c r="F242" s="312">
        <f t="shared" si="1055"/>
        <v>1.6856525132616609</v>
      </c>
      <c r="G242" s="312">
        <f t="shared" si="1055"/>
        <v>1.6705819839871221</v>
      </c>
      <c r="H242" s="312">
        <f t="shared" si="1055"/>
        <v>1.6551022063077889</v>
      </c>
      <c r="I242" s="312">
        <f t="shared" si="1055"/>
        <v>1.6398746774364241</v>
      </c>
      <c r="J242" s="312">
        <f t="shared" si="1055"/>
        <v>1.6241989643447226</v>
      </c>
      <c r="K242" s="312">
        <f t="shared" si="1055"/>
        <v>1.6087516042254417</v>
      </c>
      <c r="L242" s="312">
        <f t="shared" si="1055"/>
        <v>1.5929162146914073</v>
      </c>
      <c r="M242" s="312">
        <f t="shared" si="1055"/>
        <v>1.5772106386412725</v>
      </c>
      <c r="N242" s="312">
        <f t="shared" si="1055"/>
        <v>1.5610112073460911</v>
      </c>
      <c r="O242" s="312">
        <f t="shared" si="1055"/>
        <v>1.5450273383724638</v>
      </c>
      <c r="P242" s="312">
        <f t="shared" si="1055"/>
        <v>1.528539920759399</v>
      </c>
      <c r="Q242" s="312">
        <f t="shared" si="1055"/>
        <v>1.512274705581133</v>
      </c>
      <c r="R242" s="312">
        <f t="shared" si="1055"/>
        <v>1.495503343424474</v>
      </c>
      <c r="S242" s="312">
        <f t="shared" si="1055"/>
        <v>1.4789670273502051</v>
      </c>
      <c r="T242" s="312">
        <f t="shared" si="1055"/>
        <v>1.4620219110855952</v>
      </c>
      <c r="U242" s="312">
        <f t="shared" si="1055"/>
        <v>1.4452360002927807</v>
      </c>
      <c r="V242" s="312">
        <f t="shared" si="1055"/>
        <v>1.4279556203839967</v>
      </c>
      <c r="W242" s="312">
        <f t="shared" si="1055"/>
        <v>1.4109484425439709</v>
      </c>
      <c r="X242" s="312">
        <f t="shared" si="1055"/>
        <v>1.393459161578894</v>
      </c>
      <c r="Y242" s="312">
        <f t="shared" si="1055"/>
        <v>1.3762659263698127</v>
      </c>
      <c r="Z242" s="312">
        <f t="shared" si="1055"/>
        <v>1.3586061803401404</v>
      </c>
      <c r="AA242" s="312">
        <f t="shared" si="1055"/>
        <v>1.3412664423659317</v>
      </c>
      <c r="AB242" s="312">
        <f t="shared" si="1055"/>
        <v>1.3235761622943705</v>
      </c>
      <c r="AC242" s="312">
        <f t="shared" si="1055"/>
        <v>1.3061324931627618</v>
      </c>
      <c r="AD242" s="312">
        <f t="shared" si="1055"/>
        <v>1.2882602889214645</v>
      </c>
      <c r="AE242" s="312">
        <f t="shared" si="1055"/>
        <v>1.2707561424582023</v>
      </c>
      <c r="AF242" s="312">
        <f t="shared" si="1055"/>
        <v>1.2528446942512623</v>
      </c>
      <c r="AG242" s="312">
        <f t="shared" si="1055"/>
        <v>1.235324227287717</v>
      </c>
      <c r="AH242" s="312">
        <f t="shared" ref="AH242:BM242" si="1056">AH71*AH189</f>
        <v>1.2174185008231284</v>
      </c>
      <c r="AI242" s="312">
        <f t="shared" si="1056"/>
        <v>1.1999253053282062</v>
      </c>
      <c r="AJ242" s="312">
        <f t="shared" si="1056"/>
        <v>1.1821672943740487</v>
      </c>
      <c r="AK242" s="312">
        <f t="shared" si="1056"/>
        <v>1.1647434039848195</v>
      </c>
      <c r="AL242" s="312">
        <f t="shared" si="1056"/>
        <v>1.1469791133817364</v>
      </c>
      <c r="AM242" s="312">
        <f t="shared" si="1056"/>
        <v>1.1296650581818812</v>
      </c>
      <c r="AN242" s="312">
        <f t="shared" si="1056"/>
        <v>1.1120328469981793</v>
      </c>
      <c r="AO242" s="312">
        <f t="shared" si="1056"/>
        <v>63.658677003044716</v>
      </c>
      <c r="AP242" s="312">
        <f t="shared" si="1056"/>
        <v>0</v>
      </c>
      <c r="AQ242" s="312">
        <f t="shared" si="1056"/>
        <v>0</v>
      </c>
      <c r="AR242" s="312">
        <f t="shared" si="1056"/>
        <v>0</v>
      </c>
      <c r="AS242" s="312">
        <f t="shared" si="1056"/>
        <v>0</v>
      </c>
      <c r="AT242" s="312">
        <f t="shared" si="1056"/>
        <v>0</v>
      </c>
      <c r="AU242" s="312">
        <f t="shared" si="1056"/>
        <v>0</v>
      </c>
      <c r="AV242" s="312">
        <f t="shared" si="1056"/>
        <v>0</v>
      </c>
      <c r="AW242" s="312">
        <f t="shared" si="1056"/>
        <v>0</v>
      </c>
      <c r="AX242" s="312">
        <f t="shared" si="1056"/>
        <v>0</v>
      </c>
      <c r="AY242" s="312">
        <f t="shared" si="1056"/>
        <v>0</v>
      </c>
      <c r="AZ242" s="312">
        <f t="shared" si="1056"/>
        <v>0</v>
      </c>
      <c r="BA242" s="312">
        <f t="shared" si="1056"/>
        <v>0</v>
      </c>
      <c r="BB242" s="312">
        <f t="shared" si="1056"/>
        <v>0</v>
      </c>
      <c r="BC242" s="312">
        <f t="shared" si="1056"/>
        <v>0</v>
      </c>
      <c r="BD242" s="312">
        <f t="shared" si="1056"/>
        <v>0</v>
      </c>
      <c r="BE242" s="312">
        <f t="shared" si="1056"/>
        <v>0</v>
      </c>
      <c r="BF242" s="312">
        <f t="shared" si="1056"/>
        <v>0</v>
      </c>
      <c r="BG242" s="312">
        <f t="shared" si="1056"/>
        <v>0</v>
      </c>
      <c r="BH242" s="312">
        <f t="shared" si="1056"/>
        <v>0</v>
      </c>
      <c r="BI242" s="312">
        <f t="shared" si="1056"/>
        <v>0</v>
      </c>
      <c r="BJ242" s="312">
        <f t="shared" si="1056"/>
        <v>0</v>
      </c>
      <c r="BK242" s="312">
        <f t="shared" si="1056"/>
        <v>0</v>
      </c>
      <c r="BL242" s="312">
        <f t="shared" si="1056"/>
        <v>0</v>
      </c>
      <c r="BM242" s="312">
        <f t="shared" si="1056"/>
        <v>0</v>
      </c>
      <c r="BN242" s="312">
        <f t="shared" ref="BN242:CB242" si="1057">BN71*BN189</f>
        <v>0</v>
      </c>
      <c r="BO242" s="312">
        <f t="shared" si="1057"/>
        <v>0</v>
      </c>
      <c r="BP242" s="312">
        <f t="shared" si="1057"/>
        <v>0</v>
      </c>
      <c r="BQ242" s="312">
        <f t="shared" si="1057"/>
        <v>0</v>
      </c>
      <c r="BR242" s="312">
        <f t="shared" si="1057"/>
        <v>0</v>
      </c>
      <c r="BS242" s="312">
        <f t="shared" si="1057"/>
        <v>0</v>
      </c>
      <c r="BT242" s="312">
        <f t="shared" si="1057"/>
        <v>0</v>
      </c>
      <c r="BU242" s="312">
        <f t="shared" si="1057"/>
        <v>0</v>
      </c>
      <c r="BV242" s="312">
        <f t="shared" si="1057"/>
        <v>0</v>
      </c>
      <c r="BW242" s="312">
        <f t="shared" si="1057"/>
        <v>0</v>
      </c>
      <c r="BX242" s="312">
        <f t="shared" si="1057"/>
        <v>0</v>
      </c>
      <c r="BY242" s="312">
        <f t="shared" si="1057"/>
        <v>0</v>
      </c>
      <c r="BZ242" s="312">
        <f t="shared" si="1057"/>
        <v>0</v>
      </c>
      <c r="CA242" s="312">
        <f t="shared" si="1057"/>
        <v>0</v>
      </c>
      <c r="CB242" s="312">
        <f t="shared" si="1057"/>
        <v>0</v>
      </c>
    </row>
    <row r="243" spans="1:201">
      <c r="A243" s="312" t="str">
        <f>A73</f>
        <v>Bond 22</v>
      </c>
      <c r="B243" s="312">
        <f t="shared" ref="B243:AG243" si="1058">B73*B194</f>
        <v>1.9334589686758878</v>
      </c>
      <c r="C243" s="312">
        <f t="shared" si="1058"/>
        <v>1.9167828135281486</v>
      </c>
      <c r="D243" s="312">
        <f t="shared" si="1058"/>
        <v>1.8998780489324727</v>
      </c>
      <c r="E243" s="312">
        <f t="shared" si="1058"/>
        <v>1.8832659212852865</v>
      </c>
      <c r="F243" s="312">
        <f t="shared" si="1058"/>
        <v>1.8662581396825531</v>
      </c>
      <c r="G243" s="312">
        <f t="shared" si="1058"/>
        <v>1.8495729108428849</v>
      </c>
      <c r="H243" s="312">
        <f t="shared" si="1058"/>
        <v>1.8324345855550517</v>
      </c>
      <c r="I243" s="312">
        <f t="shared" si="1058"/>
        <v>1.8155755357331838</v>
      </c>
      <c r="J243" s="312">
        <f t="shared" si="1058"/>
        <v>1.7982202819530853</v>
      </c>
      <c r="K243" s="312">
        <f t="shared" si="1058"/>
        <v>1.7811178475353104</v>
      </c>
      <c r="L243" s="312">
        <f t="shared" si="1058"/>
        <v>1.7635858091226293</v>
      </c>
      <c r="M243" s="312">
        <f t="shared" si="1058"/>
        <v>1.7461974927814088</v>
      </c>
      <c r="N243" s="312">
        <f t="shared" si="1058"/>
        <v>1.7282624081331721</v>
      </c>
      <c r="O243" s="312">
        <f t="shared" si="1058"/>
        <v>1.7105659817695134</v>
      </c>
      <c r="P243" s="312">
        <f t="shared" si="1058"/>
        <v>1.6923120551264774</v>
      </c>
      <c r="Q243" s="312">
        <f t="shared" si="1058"/>
        <v>1.6743041383219686</v>
      </c>
      <c r="R243" s="312">
        <f t="shared" si="1058"/>
        <v>1.6557358445056676</v>
      </c>
      <c r="S243" s="312">
        <f t="shared" si="1058"/>
        <v>1.6374277802805841</v>
      </c>
      <c r="T243" s="312">
        <f t="shared" si="1058"/>
        <v>1.6186671158447661</v>
      </c>
      <c r="U243" s="312">
        <f t="shared" si="1058"/>
        <v>1.6000827146098642</v>
      </c>
      <c r="V243" s="312">
        <f t="shared" si="1058"/>
        <v>1.580950865425139</v>
      </c>
      <c r="W243" s="312">
        <f t="shared" si="1058"/>
        <v>1.5621214899593963</v>
      </c>
      <c r="X243" s="312">
        <f t="shared" si="1058"/>
        <v>1.5427583574623469</v>
      </c>
      <c r="Y243" s="312">
        <f t="shared" si="1058"/>
        <v>1.5237229899094353</v>
      </c>
      <c r="Z243" s="312">
        <f t="shared" si="1058"/>
        <v>1.5041711282337267</v>
      </c>
      <c r="AA243" s="312">
        <f t="shared" si="1058"/>
        <v>1.4849735611908528</v>
      </c>
      <c r="AB243" s="312">
        <f t="shared" si="1058"/>
        <v>1.465387893968767</v>
      </c>
      <c r="AC243" s="312">
        <f t="shared" si="1058"/>
        <v>1.4460752602873432</v>
      </c>
      <c r="AD243" s="312">
        <f t="shared" si="1058"/>
        <v>1.4262881770201925</v>
      </c>
      <c r="AE243" s="312">
        <f t="shared" si="1058"/>
        <v>1.4069085862930097</v>
      </c>
      <c r="AF243" s="312">
        <f t="shared" si="1058"/>
        <v>1.3870780543496117</v>
      </c>
      <c r="AG243" s="312">
        <f t="shared" si="1058"/>
        <v>1.367680394497115</v>
      </c>
      <c r="AH243" s="312">
        <f t="shared" ref="AH243:BM243" si="1059">AH73*AH194</f>
        <v>1.3478561973398919</v>
      </c>
      <c r="AI243" s="312">
        <f t="shared" si="1059"/>
        <v>1.3284887308990854</v>
      </c>
      <c r="AJ243" s="312">
        <f t="shared" si="1059"/>
        <v>1.3088280759141251</v>
      </c>
      <c r="AK243" s="312">
        <f t="shared" si="1059"/>
        <v>1.2895373401260499</v>
      </c>
      <c r="AL243" s="312">
        <f t="shared" si="1059"/>
        <v>1.2698697326726365</v>
      </c>
      <c r="AM243" s="312">
        <f t="shared" si="1059"/>
        <v>1.2507006001299399</v>
      </c>
      <c r="AN243" s="312">
        <f t="shared" si="1059"/>
        <v>1.2311792234622698</v>
      </c>
      <c r="AO243" s="312">
        <f t="shared" si="1059"/>
        <v>1.2121738249965517</v>
      </c>
      <c r="AP243" s="312">
        <f t="shared" si="1059"/>
        <v>1.1928402848537842</v>
      </c>
      <c r="AQ243" s="312">
        <f t="shared" si="1059"/>
        <v>1.1740377975533172</v>
      </c>
      <c r="AR243" s="312">
        <f t="shared" si="1059"/>
        <v>60.769754348341436</v>
      </c>
      <c r="AS243" s="312">
        <f t="shared" si="1059"/>
        <v>0</v>
      </c>
      <c r="AT243" s="312">
        <f t="shared" si="1059"/>
        <v>0</v>
      </c>
      <c r="AU243" s="312">
        <f t="shared" si="1059"/>
        <v>0</v>
      </c>
      <c r="AV243" s="312">
        <f t="shared" si="1059"/>
        <v>0</v>
      </c>
      <c r="AW243" s="312">
        <f t="shared" si="1059"/>
        <v>0</v>
      </c>
      <c r="AX243" s="312">
        <f t="shared" si="1059"/>
        <v>0</v>
      </c>
      <c r="AY243" s="312">
        <f t="shared" si="1059"/>
        <v>0</v>
      </c>
      <c r="AZ243" s="312">
        <f t="shared" si="1059"/>
        <v>0</v>
      </c>
      <c r="BA243" s="312">
        <f t="shared" si="1059"/>
        <v>0</v>
      </c>
      <c r="BB243" s="312">
        <f t="shared" si="1059"/>
        <v>0</v>
      </c>
      <c r="BC243" s="312">
        <f t="shared" si="1059"/>
        <v>0</v>
      </c>
      <c r="BD243" s="312">
        <f t="shared" si="1059"/>
        <v>0</v>
      </c>
      <c r="BE243" s="312">
        <f t="shared" si="1059"/>
        <v>0</v>
      </c>
      <c r="BF243" s="312">
        <f t="shared" si="1059"/>
        <v>0</v>
      </c>
      <c r="BG243" s="312">
        <f t="shared" si="1059"/>
        <v>0</v>
      </c>
      <c r="BH243" s="312">
        <f t="shared" si="1059"/>
        <v>0</v>
      </c>
      <c r="BI243" s="312">
        <f t="shared" si="1059"/>
        <v>0</v>
      </c>
      <c r="BJ243" s="312">
        <f t="shared" si="1059"/>
        <v>0</v>
      </c>
      <c r="BK243" s="312">
        <f t="shared" si="1059"/>
        <v>0</v>
      </c>
      <c r="BL243" s="312">
        <f t="shared" si="1059"/>
        <v>0</v>
      </c>
      <c r="BM243" s="312">
        <f t="shared" si="1059"/>
        <v>0</v>
      </c>
      <c r="BN243" s="312">
        <f t="shared" ref="BN243:CB243" si="1060">BN73*BN194</f>
        <v>0</v>
      </c>
      <c r="BO243" s="312">
        <f t="shared" si="1060"/>
        <v>0</v>
      </c>
      <c r="BP243" s="312">
        <f t="shared" si="1060"/>
        <v>0</v>
      </c>
      <c r="BQ243" s="312">
        <f t="shared" si="1060"/>
        <v>0</v>
      </c>
      <c r="BR243" s="312">
        <f t="shared" si="1060"/>
        <v>0</v>
      </c>
      <c r="BS243" s="312">
        <f t="shared" si="1060"/>
        <v>0</v>
      </c>
      <c r="BT243" s="312">
        <f t="shared" si="1060"/>
        <v>0</v>
      </c>
      <c r="BU243" s="312">
        <f t="shared" si="1060"/>
        <v>0</v>
      </c>
      <c r="BV243" s="312">
        <f t="shared" si="1060"/>
        <v>0</v>
      </c>
      <c r="BW243" s="312">
        <f t="shared" si="1060"/>
        <v>0</v>
      </c>
      <c r="BX243" s="312">
        <f t="shared" si="1060"/>
        <v>0</v>
      </c>
      <c r="BY243" s="312">
        <f t="shared" si="1060"/>
        <v>0</v>
      </c>
      <c r="BZ243" s="312">
        <f t="shared" si="1060"/>
        <v>0</v>
      </c>
      <c r="CA243" s="312">
        <f t="shared" si="1060"/>
        <v>0</v>
      </c>
      <c r="CB243" s="312">
        <f t="shared" si="1060"/>
        <v>0</v>
      </c>
    </row>
    <row r="244" spans="1:201">
      <c r="A244" s="312" t="str">
        <f>A75</f>
        <v>Bond 23</v>
      </c>
      <c r="B244" s="312">
        <f t="shared" ref="B244:AG244" si="1061">B75*B199</f>
        <v>2.1734076139631107</v>
      </c>
      <c r="C244" s="312">
        <f t="shared" si="1061"/>
        <v>2.154403973530584</v>
      </c>
      <c r="D244" s="312">
        <f t="shared" si="1061"/>
        <v>2.1355412102656355</v>
      </c>
      <c r="E244" s="312">
        <f t="shared" si="1061"/>
        <v>2.116461264701393</v>
      </c>
      <c r="F244" s="312">
        <f t="shared" si="1061"/>
        <v>2.0975497542884876</v>
      </c>
      <c r="G244" s="312">
        <f t="shared" si="1061"/>
        <v>2.0783527758314371</v>
      </c>
      <c r="H244" s="312">
        <f t="shared" si="1061"/>
        <v>2.0592685187449722</v>
      </c>
      <c r="I244" s="312">
        <f t="shared" si="1061"/>
        <v>2.0398485434234543</v>
      </c>
      <c r="J244" s="312">
        <f t="shared" si="1061"/>
        <v>2.0205044096388241</v>
      </c>
      <c r="K244" s="312">
        <f t="shared" si="1061"/>
        <v>2.0008991012730721</v>
      </c>
      <c r="L244" s="312">
        <f t="shared" si="1061"/>
        <v>1.9812399793558406</v>
      </c>
      <c r="M244" s="312">
        <f t="shared" si="1061"/>
        <v>1.9611886632475672</v>
      </c>
      <c r="N244" s="312">
        <f t="shared" si="1061"/>
        <v>1.9411836559579456</v>
      </c>
      <c r="O244" s="312">
        <f t="shared" si="1061"/>
        <v>1.9207758234533316</v>
      </c>
      <c r="P244" s="312">
        <f t="shared" si="1061"/>
        <v>1.900416413850373</v>
      </c>
      <c r="Q244" s="312">
        <f t="shared" si="1061"/>
        <v>1.8796528278044768</v>
      </c>
      <c r="R244" s="312">
        <f t="shared" si="1061"/>
        <v>1.8589481150716072</v>
      </c>
      <c r="S244" s="312">
        <f t="shared" si="1061"/>
        <v>1.8379625660573986</v>
      </c>
      <c r="T244" s="312">
        <f t="shared" si="1061"/>
        <v>1.8169366231355366</v>
      </c>
      <c r="U244" s="312">
        <f t="shared" si="1061"/>
        <v>1.7955252759007734</v>
      </c>
      <c r="V244" s="312">
        <f t="shared" si="1061"/>
        <v>1.7742114056510059</v>
      </c>
      <c r="W244" s="312">
        <f t="shared" si="1061"/>
        <v>1.7525295460260804</v>
      </c>
      <c r="X244" s="312">
        <f t="shared" si="1061"/>
        <v>1.7309703294580654</v>
      </c>
      <c r="Y244" s="312">
        <f t="shared" si="1061"/>
        <v>1.7090643190146571</v>
      </c>
      <c r="Z244" s="312">
        <f t="shared" si="1061"/>
        <v>1.6873083274424543</v>
      </c>
      <c r="AA244" s="312">
        <f t="shared" si="1061"/>
        <v>1.665351695951913</v>
      </c>
      <c r="AB244" s="312">
        <f t="shared" si="1061"/>
        <v>1.6434517839111089</v>
      </c>
      <c r="AC244" s="312">
        <f t="shared" si="1061"/>
        <v>1.6212548684139585</v>
      </c>
      <c r="AD244" s="312">
        <f t="shared" si="1061"/>
        <v>1.5992653083850481</v>
      </c>
      <c r="AE244" s="312">
        <f t="shared" si="1061"/>
        <v>1.577005795324619</v>
      </c>
      <c r="AF244" s="312">
        <f t="shared" si="1061"/>
        <v>1.5549821000164685</v>
      </c>
      <c r="AG244" s="312">
        <f t="shared" si="1061"/>
        <v>1.5327160342638877</v>
      </c>
      <c r="AH244" s="312">
        <f t="shared" ref="AH244:BM244" si="1062">AH75*AH199</f>
        <v>1.5107132689034699</v>
      </c>
      <c r="AI244" s="312">
        <f t="shared" si="1062"/>
        <v>1.4886183556504229</v>
      </c>
      <c r="AJ244" s="312">
        <f t="shared" si="1062"/>
        <v>1.466689872101669</v>
      </c>
      <c r="AK244" s="312">
        <f t="shared" si="1062"/>
        <v>1.444573676747354</v>
      </c>
      <c r="AL244" s="312">
        <f t="shared" si="1062"/>
        <v>1.4227710292744848</v>
      </c>
      <c r="AM244" s="312">
        <f t="shared" si="1062"/>
        <v>1.4008070355274036</v>
      </c>
      <c r="AN244" s="312">
        <f t="shared" si="1062"/>
        <v>1.3791788254722341</v>
      </c>
      <c r="AO244" s="312">
        <f t="shared" si="1062"/>
        <v>1.3574145737591379</v>
      </c>
      <c r="AP244" s="312">
        <f t="shared" si="1062"/>
        <v>1.3360061367603462</v>
      </c>
      <c r="AQ244" s="312">
        <f t="shared" si="1062"/>
        <v>1.3146042204382395</v>
      </c>
      <c r="AR244" s="312">
        <f t="shared" si="1062"/>
        <v>1.2934565365327859</v>
      </c>
      <c r="AS244" s="312">
        <f t="shared" si="1062"/>
        <v>59.430820543756937</v>
      </c>
      <c r="AT244" s="312">
        <f t="shared" si="1062"/>
        <v>0</v>
      </c>
      <c r="AU244" s="312">
        <f t="shared" si="1062"/>
        <v>0</v>
      </c>
      <c r="AV244" s="312">
        <f t="shared" si="1062"/>
        <v>0</v>
      </c>
      <c r="AW244" s="312">
        <f t="shared" si="1062"/>
        <v>0</v>
      </c>
      <c r="AX244" s="312">
        <f t="shared" si="1062"/>
        <v>0</v>
      </c>
      <c r="AY244" s="312">
        <f t="shared" si="1062"/>
        <v>0</v>
      </c>
      <c r="AZ244" s="312">
        <f t="shared" si="1062"/>
        <v>0</v>
      </c>
      <c r="BA244" s="312">
        <f t="shared" si="1062"/>
        <v>0</v>
      </c>
      <c r="BB244" s="312">
        <f t="shared" si="1062"/>
        <v>0</v>
      </c>
      <c r="BC244" s="312">
        <f t="shared" si="1062"/>
        <v>0</v>
      </c>
      <c r="BD244" s="312">
        <f t="shared" si="1062"/>
        <v>0</v>
      </c>
      <c r="BE244" s="312">
        <f t="shared" si="1062"/>
        <v>0</v>
      </c>
      <c r="BF244" s="312">
        <f t="shared" si="1062"/>
        <v>0</v>
      </c>
      <c r="BG244" s="312">
        <f t="shared" si="1062"/>
        <v>0</v>
      </c>
      <c r="BH244" s="312">
        <f t="shared" si="1062"/>
        <v>0</v>
      </c>
      <c r="BI244" s="312">
        <f t="shared" si="1062"/>
        <v>0</v>
      </c>
      <c r="BJ244" s="312">
        <f t="shared" si="1062"/>
        <v>0</v>
      </c>
      <c r="BK244" s="312">
        <f t="shared" si="1062"/>
        <v>0</v>
      </c>
      <c r="BL244" s="312">
        <f t="shared" si="1062"/>
        <v>0</v>
      </c>
      <c r="BM244" s="312">
        <f t="shared" si="1062"/>
        <v>0</v>
      </c>
      <c r="BN244" s="312">
        <f t="shared" ref="BN244:CB244" si="1063">BN75*BN199</f>
        <v>0</v>
      </c>
      <c r="BO244" s="312">
        <f t="shared" si="1063"/>
        <v>0</v>
      </c>
      <c r="BP244" s="312">
        <f t="shared" si="1063"/>
        <v>0</v>
      </c>
      <c r="BQ244" s="312">
        <f t="shared" si="1063"/>
        <v>0</v>
      </c>
      <c r="BR244" s="312">
        <f t="shared" si="1063"/>
        <v>0</v>
      </c>
      <c r="BS244" s="312">
        <f t="shared" si="1063"/>
        <v>0</v>
      </c>
      <c r="BT244" s="312">
        <f t="shared" si="1063"/>
        <v>0</v>
      </c>
      <c r="BU244" s="312">
        <f t="shared" si="1063"/>
        <v>0</v>
      </c>
      <c r="BV244" s="312">
        <f t="shared" si="1063"/>
        <v>0</v>
      </c>
      <c r="BW244" s="312">
        <f t="shared" si="1063"/>
        <v>0</v>
      </c>
      <c r="BX244" s="312">
        <f t="shared" si="1063"/>
        <v>0</v>
      </c>
      <c r="BY244" s="312">
        <f t="shared" si="1063"/>
        <v>0</v>
      </c>
      <c r="BZ244" s="312">
        <f t="shared" si="1063"/>
        <v>0</v>
      </c>
      <c r="CA244" s="312">
        <f t="shared" si="1063"/>
        <v>0</v>
      </c>
      <c r="CB244" s="312">
        <f t="shared" si="1063"/>
        <v>0</v>
      </c>
    </row>
    <row r="245" spans="1:201">
      <c r="A245" s="312" t="str">
        <f>A77</f>
        <v>Bond 24</v>
      </c>
      <c r="B245" s="312">
        <f t="shared" ref="B245:AG245" si="1064">B77*B204</f>
        <v>1.3721321713183721</v>
      </c>
      <c r="C245" s="312">
        <f t="shared" si="1064"/>
        <v>1.3602974805683634</v>
      </c>
      <c r="D245" s="312">
        <f t="shared" si="1064"/>
        <v>1.3483005508553032</v>
      </c>
      <c r="E245" s="312">
        <f t="shared" si="1064"/>
        <v>1.3365112989766548</v>
      </c>
      <c r="F245" s="312">
        <f t="shared" si="1064"/>
        <v>1.3244412604198763</v>
      </c>
      <c r="G245" s="312">
        <f t="shared" si="1064"/>
        <v>1.3126001302755956</v>
      </c>
      <c r="H245" s="312">
        <f t="shared" si="1064"/>
        <v>1.3004374478132625</v>
      </c>
      <c r="I245" s="312">
        <f t="shared" si="1064"/>
        <v>1.2884729608429046</v>
      </c>
      <c r="J245" s="312">
        <f t="shared" si="1064"/>
        <v>1.276156329127996</v>
      </c>
      <c r="K245" s="312">
        <f t="shared" si="1064"/>
        <v>1.2640191176057041</v>
      </c>
      <c r="L245" s="312">
        <f t="shared" si="1064"/>
        <v>1.2515770258289627</v>
      </c>
      <c r="M245" s="312">
        <f t="shared" si="1064"/>
        <v>1.2392369303609998</v>
      </c>
      <c r="N245" s="312">
        <f t="shared" si="1064"/>
        <v>1.2265088057719287</v>
      </c>
      <c r="O245" s="312">
        <f t="shared" si="1064"/>
        <v>1.2139500515783643</v>
      </c>
      <c r="P245" s="312">
        <f t="shared" si="1064"/>
        <v>1.2009956520252421</v>
      </c>
      <c r="Q245" s="312">
        <f t="shared" si="1064"/>
        <v>1.1882158400994616</v>
      </c>
      <c r="R245" s="312">
        <f t="shared" si="1064"/>
        <v>1.1750383412620866</v>
      </c>
      <c r="S245" s="312">
        <f t="shared" si="1064"/>
        <v>1.1620455214894467</v>
      </c>
      <c r="T245" s="312">
        <f t="shared" si="1064"/>
        <v>1.1487315015672532</v>
      </c>
      <c r="U245" s="312">
        <f t="shared" si="1064"/>
        <v>1.1355425716586132</v>
      </c>
      <c r="V245" s="312">
        <f t="shared" si="1064"/>
        <v>1.1219651303017115</v>
      </c>
      <c r="W245" s="312">
        <f t="shared" si="1064"/>
        <v>1.1086023477131199</v>
      </c>
      <c r="X245" s="312">
        <f t="shared" si="1064"/>
        <v>1.0948607698119881</v>
      </c>
      <c r="Y245" s="312">
        <f t="shared" si="1064"/>
        <v>1.081351799290567</v>
      </c>
      <c r="Z245" s="312">
        <f t="shared" si="1064"/>
        <v>1.0674762845529673</v>
      </c>
      <c r="AA245" s="312">
        <f t="shared" si="1064"/>
        <v>1.053852204716089</v>
      </c>
      <c r="AB245" s="312">
        <f t="shared" si="1064"/>
        <v>1.0399526989455765</v>
      </c>
      <c r="AC245" s="312">
        <f t="shared" si="1064"/>
        <v>1.0262469589135985</v>
      </c>
      <c r="AD245" s="312">
        <f t="shared" si="1064"/>
        <v>1.0122045127240076</v>
      </c>
      <c r="AE245" s="312">
        <f t="shared" si="1064"/>
        <v>0.99845125478858754</v>
      </c>
      <c r="AF245" s="312">
        <f t="shared" si="1064"/>
        <v>0.98437797405456318</v>
      </c>
      <c r="AG245" s="312">
        <f t="shared" si="1064"/>
        <v>0.97061189286892036</v>
      </c>
      <c r="AH245" s="312">
        <f t="shared" ref="AH245:BM245" si="1065">AH77*AH204</f>
        <v>0.95654310778960072</v>
      </c>
      <c r="AI245" s="312">
        <f t="shared" si="1065"/>
        <v>0.9427984541864477</v>
      </c>
      <c r="AJ245" s="312">
        <f t="shared" si="1065"/>
        <v>0.92884573129389514</v>
      </c>
      <c r="AK245" s="312">
        <f t="shared" si="1065"/>
        <v>0.91515553170235797</v>
      </c>
      <c r="AL245" s="312">
        <f t="shared" si="1065"/>
        <v>0.90119787479993552</v>
      </c>
      <c r="AM245" s="312">
        <f t="shared" si="1065"/>
        <v>0.88759397428576381</v>
      </c>
      <c r="AN245" s="312">
        <f t="shared" si="1065"/>
        <v>0.87374009406999797</v>
      </c>
      <c r="AO245" s="312">
        <f t="shared" si="1065"/>
        <v>0.86025239193303671</v>
      </c>
      <c r="AP245" s="312">
        <f t="shared" si="1065"/>
        <v>0.84653181505752439</v>
      </c>
      <c r="AQ245" s="312">
        <f t="shared" si="1065"/>
        <v>0.8331881143926767</v>
      </c>
      <c r="AR245" s="312">
        <f t="shared" si="1065"/>
        <v>0.81970238851226962</v>
      </c>
      <c r="AS245" s="312">
        <f t="shared" si="1065"/>
        <v>0.80652771807295809</v>
      </c>
      <c r="AT245" s="312">
        <f t="shared" si="1065"/>
        <v>0.79315267194186079</v>
      </c>
      <c r="AU245" s="312">
        <f t="shared" si="1065"/>
        <v>0.78017063390582109</v>
      </c>
      <c r="AV245" s="312">
        <f t="shared" si="1065"/>
        <v>56.549073615799713</v>
      </c>
      <c r="AW245" s="312">
        <f t="shared" si="1065"/>
        <v>0</v>
      </c>
      <c r="AX245" s="312">
        <f t="shared" si="1065"/>
        <v>0</v>
      </c>
      <c r="AY245" s="312">
        <f t="shared" si="1065"/>
        <v>0</v>
      </c>
      <c r="AZ245" s="312">
        <f t="shared" si="1065"/>
        <v>0</v>
      </c>
      <c r="BA245" s="312">
        <f t="shared" si="1065"/>
        <v>0</v>
      </c>
      <c r="BB245" s="312">
        <f t="shared" si="1065"/>
        <v>0</v>
      </c>
      <c r="BC245" s="312">
        <f t="shared" si="1065"/>
        <v>0</v>
      </c>
      <c r="BD245" s="312">
        <f t="shared" si="1065"/>
        <v>0</v>
      </c>
      <c r="BE245" s="312">
        <f t="shared" si="1065"/>
        <v>0</v>
      </c>
      <c r="BF245" s="312">
        <f t="shared" si="1065"/>
        <v>0</v>
      </c>
      <c r="BG245" s="312">
        <f t="shared" si="1065"/>
        <v>0</v>
      </c>
      <c r="BH245" s="312">
        <f t="shared" si="1065"/>
        <v>0</v>
      </c>
      <c r="BI245" s="312">
        <f t="shared" si="1065"/>
        <v>0</v>
      </c>
      <c r="BJ245" s="312">
        <f t="shared" si="1065"/>
        <v>0</v>
      </c>
      <c r="BK245" s="312">
        <f t="shared" si="1065"/>
        <v>0</v>
      </c>
      <c r="BL245" s="312">
        <f t="shared" si="1065"/>
        <v>0</v>
      </c>
      <c r="BM245" s="312">
        <f t="shared" si="1065"/>
        <v>0</v>
      </c>
      <c r="BN245" s="312">
        <f t="shared" ref="BN245:CB245" si="1066">BN77*BN204</f>
        <v>0</v>
      </c>
      <c r="BO245" s="312">
        <f t="shared" si="1066"/>
        <v>0</v>
      </c>
      <c r="BP245" s="312">
        <f t="shared" si="1066"/>
        <v>0</v>
      </c>
      <c r="BQ245" s="312">
        <f t="shared" si="1066"/>
        <v>0</v>
      </c>
      <c r="BR245" s="312">
        <f t="shared" si="1066"/>
        <v>0</v>
      </c>
      <c r="BS245" s="312">
        <f t="shared" si="1066"/>
        <v>0</v>
      </c>
      <c r="BT245" s="312">
        <f t="shared" si="1066"/>
        <v>0</v>
      </c>
      <c r="BU245" s="312">
        <f t="shared" si="1066"/>
        <v>0</v>
      </c>
      <c r="BV245" s="312">
        <f t="shared" si="1066"/>
        <v>0</v>
      </c>
      <c r="BW245" s="312">
        <f t="shared" si="1066"/>
        <v>0</v>
      </c>
      <c r="BX245" s="312">
        <f t="shared" si="1066"/>
        <v>0</v>
      </c>
      <c r="BY245" s="312">
        <f t="shared" si="1066"/>
        <v>0</v>
      </c>
      <c r="BZ245" s="312">
        <f t="shared" si="1066"/>
        <v>0</v>
      </c>
      <c r="CA245" s="312">
        <f t="shared" si="1066"/>
        <v>0</v>
      </c>
      <c r="CB245" s="312">
        <f t="shared" si="1066"/>
        <v>0</v>
      </c>
    </row>
    <row r="246" spans="1:201">
      <c r="A246" s="312" t="str">
        <f>A79</f>
        <v>Bond 25</v>
      </c>
      <c r="B246" s="312">
        <f t="shared" ref="B246:AG246" si="1067">B79*B209</f>
        <v>1.4282392891757585</v>
      </c>
      <c r="C246" s="312">
        <f t="shared" si="1067"/>
        <v>1.4157511826058122</v>
      </c>
      <c r="D246" s="312">
        <f t="shared" si="1067"/>
        <v>1.4033556524602746</v>
      </c>
      <c r="E246" s="312">
        <f t="shared" si="1067"/>
        <v>1.3908174025180582</v>
      </c>
      <c r="F246" s="312">
        <f t="shared" si="1067"/>
        <v>1.3783898385324345</v>
      </c>
      <c r="G246" s="312">
        <f t="shared" si="1067"/>
        <v>1.3657746812606586</v>
      </c>
      <c r="H246" s="312">
        <f t="shared" si="1067"/>
        <v>1.3532335980324102</v>
      </c>
      <c r="I246" s="312">
        <f t="shared" si="1067"/>
        <v>1.3404718999639844</v>
      </c>
      <c r="J246" s="312">
        <f t="shared" si="1067"/>
        <v>1.3277600406197987</v>
      </c>
      <c r="K246" s="312">
        <f t="shared" si="1067"/>
        <v>1.3148765522651618</v>
      </c>
      <c r="L246" s="312">
        <f t="shared" si="1067"/>
        <v>1.3019577007195524</v>
      </c>
      <c r="M246" s="312">
        <f t="shared" si="1067"/>
        <v>1.2887811215626872</v>
      </c>
      <c r="N246" s="312">
        <f t="shared" si="1067"/>
        <v>1.2756349739152215</v>
      </c>
      <c r="O246" s="312">
        <f t="shared" si="1067"/>
        <v>1.2622241125550464</v>
      </c>
      <c r="P246" s="312">
        <f t="shared" si="1067"/>
        <v>1.2488450719588164</v>
      </c>
      <c r="Q246" s="312">
        <f t="shared" si="1067"/>
        <v>1.2352004297000847</v>
      </c>
      <c r="R246" s="312">
        <f t="shared" si="1067"/>
        <v>1.2215944756184847</v>
      </c>
      <c r="S246" s="312">
        <f t="shared" si="1067"/>
        <v>1.2078039719805762</v>
      </c>
      <c r="T246" s="312">
        <f t="shared" si="1067"/>
        <v>1.1939869237747813</v>
      </c>
      <c r="U246" s="312">
        <f t="shared" si="1067"/>
        <v>1.1799166098776512</v>
      </c>
      <c r="V246" s="312">
        <f t="shared" si="1067"/>
        <v>1.1659103522849468</v>
      </c>
      <c r="W246" s="312">
        <f t="shared" si="1067"/>
        <v>1.151662273102853</v>
      </c>
      <c r="X246" s="312">
        <f t="shared" si="1067"/>
        <v>1.1374947879295858</v>
      </c>
      <c r="Y246" s="312">
        <f t="shared" si="1067"/>
        <v>1.1230994096382032</v>
      </c>
      <c r="Z246" s="312">
        <f t="shared" si="1067"/>
        <v>1.1088026151764698</v>
      </c>
      <c r="AA246" s="312">
        <f t="shared" si="1067"/>
        <v>1.0943739716255427</v>
      </c>
      <c r="AB246" s="312">
        <f t="shared" si="1067"/>
        <v>1.0799826008558715</v>
      </c>
      <c r="AC246" s="312">
        <f t="shared" si="1067"/>
        <v>1.0653960563863156</v>
      </c>
      <c r="AD246" s="312">
        <f t="shared" si="1067"/>
        <v>1.0509457740816031</v>
      </c>
      <c r="AE246" s="312">
        <f t="shared" si="1067"/>
        <v>1.0363180940704639</v>
      </c>
      <c r="AF246" s="312">
        <f t="shared" si="1067"/>
        <v>1.0218453800108223</v>
      </c>
      <c r="AG246" s="312">
        <f t="shared" si="1067"/>
        <v>1.0072133939448404</v>
      </c>
      <c r="AH246" s="312">
        <f t="shared" ref="AH246:BM246" si="1068">AH79*AH209</f>
        <v>0.9927544338508516</v>
      </c>
      <c r="AI246" s="312">
        <f t="shared" si="1068"/>
        <v>0.9782349194274208</v>
      </c>
      <c r="AJ246" s="312">
        <f t="shared" si="1068"/>
        <v>0.9638247730953825</v>
      </c>
      <c r="AK246" s="312">
        <f t="shared" si="1068"/>
        <v>0.94929127329111829</v>
      </c>
      <c r="AL246" s="312">
        <f t="shared" si="1068"/>
        <v>0.93496381923751859</v>
      </c>
      <c r="AM246" s="312">
        <f t="shared" si="1068"/>
        <v>0.92053033763229386</v>
      </c>
      <c r="AN246" s="312">
        <f t="shared" si="1068"/>
        <v>0.90631751388175386</v>
      </c>
      <c r="AO246" s="312">
        <f t="shared" si="1068"/>
        <v>0.89201529132743351</v>
      </c>
      <c r="AP246" s="312">
        <f t="shared" si="1068"/>
        <v>0.8779468898710846</v>
      </c>
      <c r="AQ246" s="312">
        <f t="shared" si="1068"/>
        <v>0.86388277343084319</v>
      </c>
      <c r="AR246" s="312">
        <f t="shared" si="1068"/>
        <v>0.84998572400725936</v>
      </c>
      <c r="AS246" s="312">
        <f t="shared" si="1068"/>
        <v>0.83602989144122908</v>
      </c>
      <c r="AT246" s="312">
        <f t="shared" si="1068"/>
        <v>0.82232960914186848</v>
      </c>
      <c r="AU246" s="312">
        <f t="shared" si="1068"/>
        <v>0.80858440853246405</v>
      </c>
      <c r="AV246" s="312">
        <f t="shared" si="1068"/>
        <v>0.79510333218921703</v>
      </c>
      <c r="AW246" s="312">
        <f t="shared" si="1068"/>
        <v>55.153079921215543</v>
      </c>
      <c r="AX246" s="312">
        <f t="shared" si="1068"/>
        <v>0</v>
      </c>
      <c r="AY246" s="312">
        <f t="shared" si="1068"/>
        <v>0</v>
      </c>
      <c r="AZ246" s="312">
        <f t="shared" si="1068"/>
        <v>0</v>
      </c>
      <c r="BA246" s="312">
        <f t="shared" si="1068"/>
        <v>0</v>
      </c>
      <c r="BB246" s="312">
        <f t="shared" si="1068"/>
        <v>0</v>
      </c>
      <c r="BC246" s="312">
        <f t="shared" si="1068"/>
        <v>0</v>
      </c>
      <c r="BD246" s="312">
        <f t="shared" si="1068"/>
        <v>0</v>
      </c>
      <c r="BE246" s="312">
        <f t="shared" si="1068"/>
        <v>0</v>
      </c>
      <c r="BF246" s="312">
        <f t="shared" si="1068"/>
        <v>0</v>
      </c>
      <c r="BG246" s="312">
        <f t="shared" si="1068"/>
        <v>0</v>
      </c>
      <c r="BH246" s="312">
        <f t="shared" si="1068"/>
        <v>0</v>
      </c>
      <c r="BI246" s="312">
        <f t="shared" si="1068"/>
        <v>0</v>
      </c>
      <c r="BJ246" s="312">
        <f t="shared" si="1068"/>
        <v>0</v>
      </c>
      <c r="BK246" s="312">
        <f t="shared" si="1068"/>
        <v>0</v>
      </c>
      <c r="BL246" s="312">
        <f t="shared" si="1068"/>
        <v>0</v>
      </c>
      <c r="BM246" s="312">
        <f t="shared" si="1068"/>
        <v>0</v>
      </c>
      <c r="BN246" s="312">
        <f t="shared" ref="BN246:CB246" si="1069">BN79*BN209</f>
        <v>0</v>
      </c>
      <c r="BO246" s="312">
        <f t="shared" si="1069"/>
        <v>0</v>
      </c>
      <c r="BP246" s="312">
        <f t="shared" si="1069"/>
        <v>0</v>
      </c>
      <c r="BQ246" s="312">
        <f t="shared" si="1069"/>
        <v>0</v>
      </c>
      <c r="BR246" s="312">
        <f t="shared" si="1069"/>
        <v>0</v>
      </c>
      <c r="BS246" s="312">
        <f t="shared" si="1069"/>
        <v>0</v>
      </c>
      <c r="BT246" s="312">
        <f t="shared" si="1069"/>
        <v>0</v>
      </c>
      <c r="BU246" s="312">
        <f t="shared" si="1069"/>
        <v>0</v>
      </c>
      <c r="BV246" s="312">
        <f t="shared" si="1069"/>
        <v>0</v>
      </c>
      <c r="BW246" s="312">
        <f t="shared" si="1069"/>
        <v>0</v>
      </c>
      <c r="BX246" s="312">
        <f t="shared" si="1069"/>
        <v>0</v>
      </c>
      <c r="BY246" s="312">
        <f t="shared" si="1069"/>
        <v>0</v>
      </c>
      <c r="BZ246" s="312">
        <f t="shared" si="1069"/>
        <v>0</v>
      </c>
      <c r="CA246" s="312">
        <f t="shared" si="1069"/>
        <v>0</v>
      </c>
      <c r="CB246" s="312">
        <f t="shared" si="1069"/>
        <v>0</v>
      </c>
    </row>
    <row r="247" spans="1:201">
      <c r="A247" s="312" t="str">
        <f>A81</f>
        <v>Bond 26</v>
      </c>
      <c r="B247" s="312">
        <f t="shared" ref="B247:AG247" si="1070">B81*B214</f>
        <v>1.4282392891757585</v>
      </c>
      <c r="C247" s="312">
        <f t="shared" si="1070"/>
        <v>1.4157511826058122</v>
      </c>
      <c r="D247" s="312">
        <f t="shared" si="1070"/>
        <v>1.4033556524602746</v>
      </c>
      <c r="E247" s="312">
        <f t="shared" si="1070"/>
        <v>1.3908174025180582</v>
      </c>
      <c r="F247" s="312">
        <f t="shared" si="1070"/>
        <v>1.3783898385324345</v>
      </c>
      <c r="G247" s="312">
        <f t="shared" si="1070"/>
        <v>1.3657746812606586</v>
      </c>
      <c r="H247" s="312">
        <f t="shared" si="1070"/>
        <v>1.3532335980324102</v>
      </c>
      <c r="I247" s="312">
        <f t="shared" si="1070"/>
        <v>1.3404718999639844</v>
      </c>
      <c r="J247" s="312">
        <f t="shared" si="1070"/>
        <v>1.3277600406197987</v>
      </c>
      <c r="K247" s="312">
        <f t="shared" si="1070"/>
        <v>1.3148765522651618</v>
      </c>
      <c r="L247" s="312">
        <f t="shared" si="1070"/>
        <v>1.3019577007195524</v>
      </c>
      <c r="M247" s="312">
        <f t="shared" si="1070"/>
        <v>1.2887811215626872</v>
      </c>
      <c r="N247" s="312">
        <f t="shared" si="1070"/>
        <v>1.2756349739152215</v>
      </c>
      <c r="O247" s="312">
        <f t="shared" si="1070"/>
        <v>1.2622241125550464</v>
      </c>
      <c r="P247" s="312">
        <f t="shared" si="1070"/>
        <v>1.2488450719588164</v>
      </c>
      <c r="Q247" s="312">
        <f t="shared" si="1070"/>
        <v>1.2352004297000847</v>
      </c>
      <c r="R247" s="312">
        <f t="shared" si="1070"/>
        <v>1.2215944756184847</v>
      </c>
      <c r="S247" s="312">
        <f t="shared" si="1070"/>
        <v>1.2078039719805762</v>
      </c>
      <c r="T247" s="312">
        <f t="shared" si="1070"/>
        <v>1.1939869237747813</v>
      </c>
      <c r="U247" s="312">
        <f t="shared" si="1070"/>
        <v>1.1799166098776512</v>
      </c>
      <c r="V247" s="312">
        <f t="shared" si="1070"/>
        <v>1.1659103522849468</v>
      </c>
      <c r="W247" s="312">
        <f t="shared" si="1070"/>
        <v>1.151662273102853</v>
      </c>
      <c r="X247" s="312">
        <f t="shared" si="1070"/>
        <v>1.1374947879295858</v>
      </c>
      <c r="Y247" s="312">
        <f t="shared" si="1070"/>
        <v>1.1230994096382032</v>
      </c>
      <c r="Z247" s="312">
        <f t="shared" si="1070"/>
        <v>1.1088026151764698</v>
      </c>
      <c r="AA247" s="312">
        <f t="shared" si="1070"/>
        <v>1.0943739716255427</v>
      </c>
      <c r="AB247" s="312">
        <f t="shared" si="1070"/>
        <v>1.0799826008558715</v>
      </c>
      <c r="AC247" s="312">
        <f t="shared" si="1070"/>
        <v>1.0653960563863156</v>
      </c>
      <c r="AD247" s="312">
        <f t="shared" si="1070"/>
        <v>1.0509457740816031</v>
      </c>
      <c r="AE247" s="312">
        <f t="shared" si="1070"/>
        <v>1.0363180940704639</v>
      </c>
      <c r="AF247" s="312">
        <f t="shared" si="1070"/>
        <v>1.0218453800108223</v>
      </c>
      <c r="AG247" s="312">
        <f t="shared" si="1070"/>
        <v>1.0072133939448404</v>
      </c>
      <c r="AH247" s="312">
        <f t="shared" ref="AH247:BM247" si="1071">AH81*AH214</f>
        <v>0.9927544338508516</v>
      </c>
      <c r="AI247" s="312">
        <f t="shared" si="1071"/>
        <v>0.9782349194274208</v>
      </c>
      <c r="AJ247" s="312">
        <f t="shared" si="1071"/>
        <v>0.9638247730953825</v>
      </c>
      <c r="AK247" s="312">
        <f t="shared" si="1071"/>
        <v>0.94929127329111829</v>
      </c>
      <c r="AL247" s="312">
        <f t="shared" si="1071"/>
        <v>0.93496381923751859</v>
      </c>
      <c r="AM247" s="312">
        <f t="shared" si="1071"/>
        <v>0.92053033763229386</v>
      </c>
      <c r="AN247" s="312">
        <f t="shared" si="1071"/>
        <v>0.90631751388175386</v>
      </c>
      <c r="AO247" s="312">
        <f t="shared" si="1071"/>
        <v>0.89201529132743351</v>
      </c>
      <c r="AP247" s="312">
        <f t="shared" si="1071"/>
        <v>0.8779468898710846</v>
      </c>
      <c r="AQ247" s="312">
        <f t="shared" si="1071"/>
        <v>0.86388277343084319</v>
      </c>
      <c r="AR247" s="312">
        <f t="shared" si="1071"/>
        <v>0.84998572400725936</v>
      </c>
      <c r="AS247" s="312">
        <f t="shared" si="1071"/>
        <v>0.83602989144122908</v>
      </c>
      <c r="AT247" s="312">
        <f t="shared" si="1071"/>
        <v>0.82232960914186848</v>
      </c>
      <c r="AU247" s="312">
        <f t="shared" si="1071"/>
        <v>0.80858440853246405</v>
      </c>
      <c r="AV247" s="312">
        <f t="shared" si="1071"/>
        <v>0.79510333218921703</v>
      </c>
      <c r="AW247" s="312">
        <f t="shared" si="1071"/>
        <v>0.781590165242118</v>
      </c>
      <c r="AX247" s="312">
        <f t="shared" si="1071"/>
        <v>0.76834819063165427</v>
      </c>
      <c r="AY247" s="312">
        <f t="shared" si="1071"/>
        <v>0.75515881336140089</v>
      </c>
      <c r="AZ247" s="312">
        <f t="shared" si="1071"/>
        <v>0.74217259582739703</v>
      </c>
      <c r="BA247" s="312">
        <f t="shared" si="1071"/>
        <v>0.72917676371400308</v>
      </c>
      <c r="BB247" s="312">
        <f t="shared" si="1071"/>
        <v>0.71646195479876251</v>
      </c>
      <c r="BC247" s="312">
        <f t="shared" si="1071"/>
        <v>0.70374723528156202</v>
      </c>
      <c r="BD247" s="312">
        <f t="shared" si="1071"/>
        <v>0.6913164618786255</v>
      </c>
      <c r="BE247" s="312">
        <f t="shared" si="1071"/>
        <v>0.67889448655526907</v>
      </c>
      <c r="BF247" s="312">
        <f t="shared" si="1071"/>
        <v>0.66675815978020636</v>
      </c>
      <c r="BG247" s="312">
        <f t="shared" si="1071"/>
        <v>0.65470492216618947</v>
      </c>
      <c r="BH247" s="312">
        <f t="shared" si="1071"/>
        <v>0.64287052048202864</v>
      </c>
      <c r="BI247" s="312">
        <f t="shared" si="1071"/>
        <v>44.530851027492425</v>
      </c>
      <c r="BJ247" s="312">
        <f t="shared" si="1071"/>
        <v>0</v>
      </c>
      <c r="BK247" s="312">
        <f t="shared" si="1071"/>
        <v>0</v>
      </c>
      <c r="BL247" s="312">
        <f t="shared" si="1071"/>
        <v>0</v>
      </c>
      <c r="BM247" s="312">
        <f t="shared" si="1071"/>
        <v>0</v>
      </c>
      <c r="BN247" s="312">
        <f t="shared" ref="BN247:CB247" si="1072">BN81*BN214</f>
        <v>0</v>
      </c>
      <c r="BO247" s="312">
        <f t="shared" si="1072"/>
        <v>0</v>
      </c>
      <c r="BP247" s="312">
        <f t="shared" si="1072"/>
        <v>0</v>
      </c>
      <c r="BQ247" s="312">
        <f t="shared" si="1072"/>
        <v>0</v>
      </c>
      <c r="BR247" s="312">
        <f t="shared" si="1072"/>
        <v>0</v>
      </c>
      <c r="BS247" s="312">
        <f t="shared" si="1072"/>
        <v>0</v>
      </c>
      <c r="BT247" s="312">
        <f t="shared" si="1072"/>
        <v>0</v>
      </c>
      <c r="BU247" s="312">
        <f t="shared" si="1072"/>
        <v>0</v>
      </c>
      <c r="BV247" s="312">
        <f t="shared" si="1072"/>
        <v>0</v>
      </c>
      <c r="BW247" s="312">
        <f t="shared" si="1072"/>
        <v>0</v>
      </c>
      <c r="BX247" s="312">
        <f t="shared" si="1072"/>
        <v>0</v>
      </c>
      <c r="BY247" s="312">
        <f t="shared" si="1072"/>
        <v>0</v>
      </c>
      <c r="BZ247" s="312">
        <f t="shared" si="1072"/>
        <v>0</v>
      </c>
      <c r="CA247" s="312">
        <f t="shared" si="1072"/>
        <v>0</v>
      </c>
      <c r="CB247" s="312">
        <f t="shared" si="1072"/>
        <v>0</v>
      </c>
    </row>
    <row r="248" spans="1:201">
      <c r="A248" s="312" t="s">
        <v>225</v>
      </c>
      <c r="B248" s="312">
        <f>B219*B83</f>
        <v>0</v>
      </c>
      <c r="C248" s="312">
        <f t="shared" ref="C248:BN248" si="1073">C219*C83</f>
        <v>0</v>
      </c>
      <c r="D248" s="312">
        <f t="shared" si="1073"/>
        <v>0</v>
      </c>
      <c r="E248" s="312">
        <f t="shared" si="1073"/>
        <v>0</v>
      </c>
      <c r="F248" s="312">
        <f t="shared" si="1073"/>
        <v>0</v>
      </c>
      <c r="G248" s="312">
        <f t="shared" si="1073"/>
        <v>0</v>
      </c>
      <c r="H248" s="312">
        <f t="shared" si="1073"/>
        <v>0</v>
      </c>
      <c r="I248" s="312">
        <f t="shared" si="1073"/>
        <v>0</v>
      </c>
      <c r="J248" s="312">
        <f t="shared" si="1073"/>
        <v>0</v>
      </c>
      <c r="K248" s="312">
        <f t="shared" si="1073"/>
        <v>0</v>
      </c>
      <c r="L248" s="312">
        <f t="shared" si="1073"/>
        <v>0</v>
      </c>
      <c r="M248" s="312">
        <f t="shared" si="1073"/>
        <v>0</v>
      </c>
      <c r="N248" s="312">
        <f t="shared" si="1073"/>
        <v>0</v>
      </c>
      <c r="O248" s="312">
        <f t="shared" si="1073"/>
        <v>0</v>
      </c>
      <c r="P248" s="312">
        <f t="shared" si="1073"/>
        <v>0</v>
      </c>
      <c r="Q248" s="312">
        <f t="shared" si="1073"/>
        <v>0</v>
      </c>
      <c r="R248" s="312">
        <f t="shared" si="1073"/>
        <v>0</v>
      </c>
      <c r="S248" s="312">
        <f t="shared" si="1073"/>
        <v>0</v>
      </c>
      <c r="T248" s="312">
        <f t="shared" si="1073"/>
        <v>0</v>
      </c>
      <c r="U248" s="312">
        <f t="shared" si="1073"/>
        <v>0</v>
      </c>
      <c r="V248" s="312">
        <f t="shared" si="1073"/>
        <v>0</v>
      </c>
      <c r="W248" s="312">
        <f t="shared" si="1073"/>
        <v>0</v>
      </c>
      <c r="X248" s="312">
        <f t="shared" si="1073"/>
        <v>0</v>
      </c>
      <c r="Y248" s="312">
        <f t="shared" si="1073"/>
        <v>0</v>
      </c>
      <c r="Z248" s="312">
        <f t="shared" si="1073"/>
        <v>0</v>
      </c>
      <c r="AA248" s="312">
        <f t="shared" si="1073"/>
        <v>0</v>
      </c>
      <c r="AB248" s="312">
        <f t="shared" si="1073"/>
        <v>0</v>
      </c>
      <c r="AC248" s="312">
        <f t="shared" si="1073"/>
        <v>0</v>
      </c>
      <c r="AD248" s="312">
        <f t="shared" si="1073"/>
        <v>0</v>
      </c>
      <c r="AE248" s="312">
        <f t="shared" si="1073"/>
        <v>0</v>
      </c>
      <c r="AF248" s="312">
        <f t="shared" si="1073"/>
        <v>0</v>
      </c>
      <c r="AG248" s="312">
        <f t="shared" si="1073"/>
        <v>0</v>
      </c>
      <c r="AH248" s="312">
        <f t="shared" si="1073"/>
        <v>0</v>
      </c>
      <c r="AI248" s="312">
        <f t="shared" si="1073"/>
        <v>0</v>
      </c>
      <c r="AJ248" s="312">
        <f t="shared" si="1073"/>
        <v>0</v>
      </c>
      <c r="AK248" s="312">
        <f t="shared" si="1073"/>
        <v>0</v>
      </c>
      <c r="AL248" s="312">
        <f t="shared" si="1073"/>
        <v>0</v>
      </c>
      <c r="AM248" s="312">
        <f t="shared" si="1073"/>
        <v>0</v>
      </c>
      <c r="AN248" s="312">
        <f t="shared" si="1073"/>
        <v>0</v>
      </c>
      <c r="AO248" s="312">
        <f t="shared" si="1073"/>
        <v>0</v>
      </c>
      <c r="AP248" s="312">
        <f t="shared" si="1073"/>
        <v>0</v>
      </c>
      <c r="AQ248" s="312">
        <f t="shared" si="1073"/>
        <v>0</v>
      </c>
      <c r="AR248" s="312">
        <f t="shared" si="1073"/>
        <v>0</v>
      </c>
      <c r="AS248" s="312">
        <f t="shared" si="1073"/>
        <v>0</v>
      </c>
      <c r="AT248" s="312">
        <f t="shared" si="1073"/>
        <v>0</v>
      </c>
      <c r="AU248" s="312">
        <f t="shared" si="1073"/>
        <v>0</v>
      </c>
      <c r="AV248" s="312">
        <f t="shared" si="1073"/>
        <v>0</v>
      </c>
      <c r="AW248" s="312">
        <f t="shared" si="1073"/>
        <v>0</v>
      </c>
      <c r="AX248" s="312">
        <f t="shared" si="1073"/>
        <v>0</v>
      </c>
      <c r="AY248" s="312">
        <f t="shared" si="1073"/>
        <v>0</v>
      </c>
      <c r="AZ248" s="312">
        <f t="shared" si="1073"/>
        <v>0</v>
      </c>
      <c r="BA248" s="312">
        <f t="shared" si="1073"/>
        <v>0</v>
      </c>
      <c r="BB248" s="312">
        <f t="shared" si="1073"/>
        <v>0</v>
      </c>
      <c r="BC248" s="312">
        <f t="shared" si="1073"/>
        <v>0</v>
      </c>
      <c r="BD248" s="312">
        <f t="shared" si="1073"/>
        <v>0</v>
      </c>
      <c r="BE248" s="312">
        <f t="shared" si="1073"/>
        <v>0</v>
      </c>
      <c r="BF248" s="312">
        <f t="shared" si="1073"/>
        <v>0</v>
      </c>
      <c r="BG248" s="312">
        <f t="shared" si="1073"/>
        <v>0</v>
      </c>
      <c r="BH248" s="312">
        <f t="shared" si="1073"/>
        <v>0</v>
      </c>
      <c r="BI248" s="312">
        <f t="shared" si="1073"/>
        <v>0</v>
      </c>
      <c r="BJ248" s="312">
        <f t="shared" si="1073"/>
        <v>0</v>
      </c>
      <c r="BK248" s="312">
        <f t="shared" si="1073"/>
        <v>0</v>
      </c>
      <c r="BL248" s="312">
        <f t="shared" si="1073"/>
        <v>0</v>
      </c>
      <c r="BM248" s="312">
        <f t="shared" si="1073"/>
        <v>0</v>
      </c>
      <c r="BN248" s="312">
        <f t="shared" si="1073"/>
        <v>0</v>
      </c>
      <c r="BO248" s="312">
        <f t="shared" ref="BO248:CB248" si="1074">BO219*BO83</f>
        <v>0</v>
      </c>
      <c r="BP248" s="312">
        <f t="shared" si="1074"/>
        <v>0</v>
      </c>
      <c r="BQ248" s="312">
        <f t="shared" si="1074"/>
        <v>0</v>
      </c>
      <c r="BR248" s="312">
        <f t="shared" si="1074"/>
        <v>0</v>
      </c>
      <c r="BS248" s="312">
        <f t="shared" si="1074"/>
        <v>0</v>
      </c>
      <c r="BT248" s="312">
        <f t="shared" si="1074"/>
        <v>0</v>
      </c>
      <c r="BU248" s="312">
        <f t="shared" si="1074"/>
        <v>0</v>
      </c>
      <c r="BV248" s="312">
        <f t="shared" si="1074"/>
        <v>0</v>
      </c>
      <c r="BW248" s="312">
        <f t="shared" si="1074"/>
        <v>0</v>
      </c>
      <c r="BX248" s="312">
        <f t="shared" si="1074"/>
        <v>0</v>
      </c>
      <c r="BY248" s="312">
        <f t="shared" si="1074"/>
        <v>0</v>
      </c>
      <c r="BZ248" s="312">
        <f t="shared" si="1074"/>
        <v>0</v>
      </c>
      <c r="CA248" s="312">
        <f t="shared" si="1074"/>
        <v>0</v>
      </c>
      <c r="CB248" s="312">
        <f t="shared" si="1074"/>
        <v>0</v>
      </c>
      <c r="CC248" s="307"/>
      <c r="CD248" s="307"/>
      <c r="CE248" s="307"/>
      <c r="CF248" s="307"/>
      <c r="CG248" s="307"/>
      <c r="CH248" s="307"/>
      <c r="CI248" s="307"/>
      <c r="CJ248" s="307"/>
      <c r="CK248" s="307"/>
      <c r="CL248" s="307"/>
      <c r="CM248" s="307"/>
      <c r="CN248" s="307"/>
      <c r="CO248" s="307"/>
      <c r="CP248" s="307"/>
      <c r="CQ248" s="307"/>
      <c r="CR248" s="307"/>
      <c r="CS248" s="307"/>
      <c r="CT248" s="307"/>
      <c r="CU248" s="307"/>
      <c r="CV248" s="307"/>
      <c r="CW248" s="307"/>
      <c r="CX248" s="307"/>
      <c r="CY248" s="307"/>
      <c r="CZ248" s="307"/>
      <c r="DA248" s="307"/>
      <c r="DB248" s="307"/>
      <c r="DC248" s="307"/>
      <c r="DD248" s="307"/>
      <c r="DE248" s="307"/>
      <c r="DF248" s="307"/>
      <c r="DG248" s="307"/>
      <c r="DH248" s="307"/>
      <c r="DI248" s="307"/>
      <c r="DJ248" s="307"/>
      <c r="DK248" s="307"/>
      <c r="DL248" s="307"/>
      <c r="DM248" s="307"/>
      <c r="DN248" s="307"/>
      <c r="DO248" s="307"/>
      <c r="DP248" s="307"/>
      <c r="DQ248" s="307"/>
      <c r="DR248" s="307"/>
      <c r="DS248" s="307"/>
      <c r="DT248" s="307"/>
      <c r="DU248" s="307"/>
      <c r="DV248" s="307"/>
      <c r="DW248" s="307"/>
      <c r="DX248" s="307"/>
      <c r="DY248" s="307"/>
      <c r="DZ248" s="307"/>
      <c r="EA248" s="307"/>
      <c r="EB248" s="307"/>
      <c r="EC248" s="307"/>
      <c r="ED248" s="307"/>
      <c r="EE248" s="307"/>
      <c r="EF248" s="307"/>
      <c r="EG248" s="307"/>
      <c r="EH248" s="307"/>
      <c r="EI248" s="307"/>
      <c r="EJ248" s="307"/>
      <c r="EK248" s="307"/>
      <c r="EL248" s="307"/>
      <c r="EM248" s="307"/>
      <c r="EN248" s="307"/>
      <c r="EO248" s="307"/>
      <c r="EP248" s="307"/>
      <c r="EQ248" s="307"/>
      <c r="ER248" s="307"/>
      <c r="ES248" s="307"/>
      <c r="ET248" s="307"/>
      <c r="EU248" s="307"/>
      <c r="EV248" s="307"/>
      <c r="EW248" s="307"/>
      <c r="EX248" s="307"/>
      <c r="EY248" s="307"/>
      <c r="EZ248" s="307"/>
      <c r="FA248" s="307"/>
      <c r="FB248" s="307"/>
      <c r="FC248" s="307"/>
      <c r="FD248" s="307"/>
      <c r="FE248" s="307"/>
      <c r="FF248" s="307"/>
      <c r="FG248" s="307"/>
      <c r="FH248" s="307"/>
      <c r="FI248" s="307"/>
      <c r="FJ248" s="307"/>
      <c r="FK248" s="307"/>
      <c r="FL248" s="307"/>
      <c r="FM248" s="307"/>
      <c r="FN248" s="307"/>
      <c r="FO248" s="307"/>
      <c r="FP248" s="307"/>
      <c r="FQ248" s="307"/>
      <c r="FR248" s="307"/>
      <c r="FS248" s="307"/>
      <c r="FT248" s="307"/>
      <c r="FU248" s="307"/>
      <c r="FV248" s="307"/>
      <c r="FW248" s="307"/>
      <c r="FX248" s="307"/>
      <c r="FY248" s="307"/>
      <c r="FZ248" s="307"/>
      <c r="GA248" s="307"/>
      <c r="GB248" s="307"/>
      <c r="GC248" s="307"/>
      <c r="GD248" s="307"/>
      <c r="GE248" s="307"/>
      <c r="GF248" s="307"/>
      <c r="GG248" s="307"/>
      <c r="GH248" s="307"/>
      <c r="GI248" s="307"/>
      <c r="GJ248" s="307"/>
      <c r="GK248" s="307"/>
      <c r="GL248" s="307"/>
      <c r="GM248" s="307"/>
      <c r="GN248" s="307"/>
      <c r="GO248" s="307"/>
      <c r="GP248" s="307"/>
      <c r="GQ248" s="307"/>
      <c r="GR248" s="307"/>
      <c r="GS248" s="307"/>
    </row>
    <row r="250" spans="1:201">
      <c r="A250" s="312"/>
      <c r="B250" s="312" t="s">
        <v>13</v>
      </c>
      <c r="C250" s="312" t="s">
        <v>47</v>
      </c>
      <c r="D250" s="312" t="s">
        <v>14</v>
      </c>
    </row>
    <row r="251" spans="1:201">
      <c r="A251" s="312" t="str">
        <f t="shared" ref="A251:A276" si="1075">A222</f>
        <v>Bond 1</v>
      </c>
      <c r="B251" s="312">
        <f t="shared" ref="B251:B276" si="1076">SUM(B222:CB222)</f>
        <v>99.558945443102502</v>
      </c>
      <c r="C251" s="312">
        <f t="shared" ref="C251:C276" si="1077">K2</f>
        <v>99.471324999999993</v>
      </c>
      <c r="D251" s="312">
        <f>P2*(B251-C251)^2</f>
        <v>2.9763061239805716E-3</v>
      </c>
      <c r="E251" s="307"/>
      <c r="F251" s="307"/>
      <c r="G251" s="307"/>
      <c r="H251" s="307"/>
      <c r="I251" s="307"/>
      <c r="J251" s="307"/>
      <c r="K251" s="307"/>
      <c r="L251" s="307"/>
      <c r="M251" s="307"/>
      <c r="N251" s="307"/>
      <c r="O251" s="307"/>
      <c r="P251" s="307"/>
      <c r="Q251" s="307"/>
      <c r="R251" s="307"/>
      <c r="S251" s="307"/>
      <c r="T251" s="307"/>
      <c r="U251" s="307"/>
      <c r="V251" s="307"/>
      <c r="W251" s="307"/>
      <c r="X251" s="307"/>
      <c r="Y251" s="307"/>
      <c r="Z251" s="307"/>
      <c r="AA251" s="307"/>
      <c r="AB251" s="307"/>
      <c r="AC251" s="307"/>
      <c r="AD251" s="307"/>
      <c r="AE251" s="307"/>
      <c r="AF251" s="307"/>
      <c r="AG251" s="307"/>
      <c r="AH251" s="307"/>
      <c r="AI251" s="307"/>
      <c r="AJ251" s="307"/>
      <c r="AK251" s="307"/>
      <c r="AL251" s="307"/>
      <c r="AM251" s="307"/>
      <c r="AN251" s="307"/>
      <c r="AO251" s="307"/>
      <c r="AP251" s="307"/>
      <c r="AQ251" s="307"/>
      <c r="AR251" s="307"/>
      <c r="AS251" s="307"/>
      <c r="AT251" s="307"/>
      <c r="AU251" s="307"/>
      <c r="AV251" s="307"/>
      <c r="AW251" s="307"/>
      <c r="AX251" s="307"/>
      <c r="AY251" s="307"/>
      <c r="AZ251" s="307"/>
      <c r="BA251" s="307"/>
      <c r="BB251" s="307"/>
      <c r="BC251" s="307"/>
      <c r="BD251" s="307"/>
      <c r="BE251" s="307"/>
      <c r="BF251" s="307"/>
      <c r="BG251" s="307"/>
      <c r="BH251" s="307"/>
      <c r="BI251" s="307"/>
      <c r="BJ251" s="307"/>
      <c r="BK251" s="307"/>
      <c r="BL251" s="307"/>
      <c r="BM251" s="307"/>
      <c r="BN251" s="307"/>
      <c r="BO251" s="307"/>
      <c r="BP251" s="307"/>
      <c r="BQ251" s="307"/>
      <c r="BR251" s="307"/>
      <c r="BS251" s="307"/>
      <c r="BT251" s="307"/>
      <c r="BU251" s="307"/>
      <c r="BV251" s="307"/>
      <c r="BW251" s="307"/>
      <c r="BX251" s="307"/>
      <c r="BY251" s="307"/>
      <c r="BZ251" s="307"/>
      <c r="CA251" s="307"/>
      <c r="CB251" s="307"/>
      <c r="CC251" s="307"/>
      <c r="CD251" s="307"/>
      <c r="CE251" s="307"/>
      <c r="CF251" s="307"/>
    </row>
    <row r="252" spans="1:201">
      <c r="A252" s="312" t="str">
        <f t="shared" si="1075"/>
        <v>Bond 2</v>
      </c>
      <c r="B252" s="312">
        <f t="shared" si="1076"/>
        <v>99.128665027267587</v>
      </c>
      <c r="C252" s="312">
        <f t="shared" si="1077"/>
        <v>98.9893</v>
      </c>
      <c r="D252" s="312">
        <f t="shared" ref="D252:D276" si="1078">P3*(B252-C252)^2</f>
        <v>3.8043952065190258E-3</v>
      </c>
      <c r="E252" s="307"/>
      <c r="F252" s="307"/>
      <c r="G252" s="307"/>
      <c r="H252" s="307"/>
      <c r="I252" s="307"/>
      <c r="J252" s="307"/>
      <c r="K252" s="307"/>
      <c r="L252" s="307"/>
      <c r="M252" s="307"/>
      <c r="N252" s="307"/>
      <c r="O252" s="307"/>
      <c r="P252" s="307"/>
      <c r="Q252" s="307"/>
      <c r="R252" s="307"/>
      <c r="S252" s="307"/>
      <c r="T252" s="307"/>
      <c r="U252" s="307"/>
      <c r="V252" s="307"/>
      <c r="W252" s="307"/>
      <c r="X252" s="307"/>
      <c r="Y252" s="307"/>
      <c r="Z252" s="307"/>
      <c r="AA252" s="307"/>
      <c r="AB252" s="307"/>
      <c r="AC252" s="307"/>
      <c r="AD252" s="307"/>
      <c r="AE252" s="307"/>
      <c r="AF252" s="307"/>
      <c r="AG252" s="307"/>
      <c r="AH252" s="307"/>
      <c r="AI252" s="307"/>
      <c r="AJ252" s="307"/>
      <c r="AK252" s="307"/>
      <c r="AL252" s="307"/>
      <c r="AM252" s="307"/>
      <c r="AN252" s="307"/>
      <c r="AO252" s="307"/>
      <c r="AP252" s="307"/>
      <c r="AQ252" s="307"/>
      <c r="AR252" s="307"/>
      <c r="AS252" s="307"/>
      <c r="AT252" s="307"/>
      <c r="AU252" s="307"/>
      <c r="AV252" s="307"/>
      <c r="AW252" s="307"/>
      <c r="AX252" s="307"/>
      <c r="AY252" s="307"/>
      <c r="AZ252" s="307"/>
      <c r="BA252" s="307"/>
      <c r="BB252" s="307"/>
      <c r="BC252" s="307"/>
      <c r="BD252" s="307"/>
      <c r="BE252" s="307"/>
      <c r="BF252" s="307"/>
      <c r="BG252" s="307"/>
      <c r="BH252" s="307"/>
      <c r="BI252" s="307"/>
      <c r="BJ252" s="307"/>
      <c r="BK252" s="307"/>
      <c r="BL252" s="307"/>
      <c r="BM252" s="307"/>
      <c r="BN252" s="307"/>
      <c r="BO252" s="307"/>
      <c r="BP252" s="307"/>
      <c r="BQ252" s="307"/>
      <c r="BR252" s="307"/>
      <c r="BS252" s="307"/>
      <c r="BT252" s="307"/>
      <c r="BU252" s="307"/>
      <c r="BV252" s="307"/>
      <c r="BW252" s="307"/>
      <c r="BX252" s="307"/>
      <c r="BY252" s="307"/>
      <c r="BZ252" s="307"/>
      <c r="CA252" s="307"/>
      <c r="CB252" s="307"/>
      <c r="CC252" s="307"/>
      <c r="CD252" s="307"/>
      <c r="CE252" s="307"/>
      <c r="CF252" s="307"/>
    </row>
    <row r="253" spans="1:201">
      <c r="A253" s="312" t="str">
        <f t="shared" si="1075"/>
        <v>Bond 3</v>
      </c>
      <c r="B253" s="312">
        <f t="shared" si="1076"/>
        <v>98.328006619465086</v>
      </c>
      <c r="C253" s="312">
        <f t="shared" si="1077"/>
        <v>98.125050000000002</v>
      </c>
      <c r="D253" s="312">
        <f t="shared" si="1078"/>
        <v>4.1951857895502964E-3</v>
      </c>
      <c r="E253" s="307"/>
      <c r="F253" s="307"/>
      <c r="G253" s="307"/>
      <c r="H253" s="307"/>
      <c r="I253" s="307"/>
      <c r="J253" s="307"/>
      <c r="K253" s="307"/>
      <c r="L253" s="307"/>
      <c r="M253" s="307"/>
      <c r="N253" s="307"/>
      <c r="O253" s="307"/>
      <c r="P253" s="307"/>
      <c r="Q253" s="307"/>
      <c r="R253" s="307"/>
      <c r="S253" s="307"/>
      <c r="T253" s="307"/>
      <c r="U253" s="307"/>
      <c r="V253" s="307"/>
      <c r="W253" s="307"/>
      <c r="X253" s="307"/>
      <c r="Y253" s="307"/>
      <c r="Z253" s="307"/>
      <c r="AA253" s="307"/>
      <c r="AB253" s="307"/>
      <c r="AC253" s="307"/>
      <c r="AD253" s="307"/>
      <c r="AE253" s="307"/>
      <c r="AF253" s="307"/>
      <c r="AG253" s="307"/>
      <c r="AH253" s="307"/>
      <c r="AI253" s="307"/>
      <c r="AJ253" s="307"/>
      <c r="AK253" s="307"/>
      <c r="AL253" s="307"/>
      <c r="AM253" s="307"/>
      <c r="AN253" s="307"/>
      <c r="AO253" s="307"/>
      <c r="AP253" s="307"/>
      <c r="AQ253" s="307"/>
      <c r="AR253" s="307"/>
      <c r="AS253" s="307"/>
      <c r="AT253" s="307"/>
      <c r="AU253" s="307"/>
      <c r="AV253" s="307"/>
      <c r="AW253" s="307"/>
      <c r="AX253" s="307"/>
      <c r="AY253" s="307"/>
      <c r="AZ253" s="307"/>
      <c r="BA253" s="307"/>
      <c r="BB253" s="307"/>
      <c r="BC253" s="307"/>
      <c r="BD253" s="307"/>
      <c r="BE253" s="307"/>
      <c r="BF253" s="307"/>
      <c r="BG253" s="307"/>
      <c r="BH253" s="307"/>
      <c r="BI253" s="307"/>
      <c r="BJ253" s="307"/>
      <c r="BK253" s="307"/>
      <c r="BL253" s="307"/>
      <c r="BM253" s="307"/>
      <c r="BN253" s="307"/>
      <c r="BO253" s="307"/>
      <c r="BP253" s="307"/>
      <c r="BQ253" s="307"/>
      <c r="BR253" s="307"/>
      <c r="BS253" s="307"/>
      <c r="BT253" s="307"/>
      <c r="BU253" s="307"/>
      <c r="BV253" s="307"/>
      <c r="BW253" s="307"/>
      <c r="BX253" s="307"/>
      <c r="BY253" s="307"/>
      <c r="BZ253" s="307"/>
      <c r="CA253" s="307"/>
      <c r="CB253" s="307"/>
      <c r="CC253" s="307"/>
      <c r="CD253" s="307"/>
      <c r="CE253" s="307"/>
      <c r="CF253" s="307"/>
    </row>
    <row r="254" spans="1:201">
      <c r="A254" s="312" t="str">
        <f t="shared" si="1075"/>
        <v>Bond 4</v>
      </c>
      <c r="B254" s="312">
        <f t="shared" si="1076"/>
        <v>99.715072487529753</v>
      </c>
      <c r="C254" s="312">
        <f t="shared" si="1077"/>
        <v>99.733950407608702</v>
      </c>
      <c r="D254" s="312">
        <f t="shared" si="1078"/>
        <v>1.7512773592984306E-5</v>
      </c>
      <c r="E254" s="307"/>
      <c r="F254" s="307"/>
      <c r="G254" s="307"/>
      <c r="H254" s="307"/>
      <c r="I254" s="307"/>
      <c r="J254" s="307"/>
      <c r="K254" s="307"/>
      <c r="L254" s="307"/>
      <c r="M254" s="307"/>
      <c r="N254" s="307"/>
      <c r="O254" s="307"/>
      <c r="P254" s="307"/>
      <c r="Q254" s="307"/>
      <c r="R254" s="307"/>
      <c r="S254" s="307"/>
      <c r="T254" s="307"/>
      <c r="U254" s="307"/>
      <c r="V254" s="307"/>
      <c r="W254" s="307"/>
      <c r="X254" s="307"/>
      <c r="Y254" s="307"/>
      <c r="Z254" s="307"/>
      <c r="AA254" s="307"/>
      <c r="AB254" s="307"/>
      <c r="AC254" s="307"/>
      <c r="AD254" s="307"/>
      <c r="AE254" s="307"/>
      <c r="AF254" s="307"/>
      <c r="AG254" s="307"/>
      <c r="AH254" s="307"/>
      <c r="AI254" s="307"/>
      <c r="AJ254" s="307"/>
      <c r="AK254" s="307"/>
      <c r="AL254" s="307"/>
      <c r="AM254" s="307"/>
      <c r="AN254" s="307"/>
      <c r="AO254" s="307"/>
      <c r="AP254" s="307"/>
      <c r="AQ254" s="307"/>
      <c r="AR254" s="307"/>
      <c r="AS254" s="307"/>
      <c r="AT254" s="307"/>
      <c r="AU254" s="307"/>
      <c r="AV254" s="307"/>
      <c r="AW254" s="307"/>
      <c r="AX254" s="307"/>
      <c r="AY254" s="307"/>
      <c r="AZ254" s="307"/>
      <c r="BA254" s="307"/>
      <c r="BB254" s="307"/>
      <c r="BC254" s="307"/>
      <c r="BD254" s="307"/>
      <c r="BE254" s="307"/>
      <c r="BF254" s="307"/>
      <c r="BG254" s="307"/>
      <c r="BH254" s="307"/>
      <c r="BI254" s="307"/>
      <c r="BJ254" s="307"/>
      <c r="BK254" s="307"/>
      <c r="BL254" s="307"/>
      <c r="BM254" s="307"/>
      <c r="BN254" s="307"/>
      <c r="BO254" s="307"/>
      <c r="BP254" s="307"/>
      <c r="BQ254" s="307"/>
      <c r="BR254" s="307"/>
      <c r="BS254" s="307"/>
      <c r="BT254" s="307"/>
      <c r="BU254" s="307"/>
      <c r="BV254" s="307"/>
      <c r="BW254" s="307"/>
      <c r="BX254" s="307"/>
      <c r="BY254" s="307"/>
      <c r="BZ254" s="307"/>
      <c r="CA254" s="307"/>
      <c r="CB254" s="307"/>
      <c r="CC254" s="307"/>
      <c r="CD254" s="307"/>
      <c r="CE254" s="307"/>
      <c r="CF254" s="307"/>
    </row>
    <row r="255" spans="1:201">
      <c r="A255" s="312" t="str">
        <f t="shared" si="1075"/>
        <v>Bond 5</v>
      </c>
      <c r="B255" s="312">
        <f t="shared" si="1076"/>
        <v>99.964207899334482</v>
      </c>
      <c r="C255" s="312">
        <f t="shared" si="1077"/>
        <v>100.1798155737705</v>
      </c>
      <c r="D255" s="312">
        <f t="shared" si="1078"/>
        <v>1.5578902738744593E-3</v>
      </c>
      <c r="E255" s="307"/>
      <c r="F255" s="307"/>
      <c r="G255" s="307"/>
      <c r="H255" s="307"/>
      <c r="I255" s="307"/>
      <c r="J255" s="307"/>
      <c r="K255" s="307"/>
      <c r="L255" s="307"/>
      <c r="M255" s="307"/>
      <c r="N255" s="307"/>
      <c r="O255" s="307"/>
      <c r="P255" s="307"/>
      <c r="Q255" s="307"/>
      <c r="R255" s="307"/>
      <c r="S255" s="307"/>
      <c r="T255" s="307"/>
      <c r="U255" s="307"/>
      <c r="V255" s="307"/>
      <c r="W255" s="307"/>
      <c r="X255" s="307"/>
      <c r="Y255" s="307"/>
      <c r="Z255" s="307"/>
      <c r="AA255" s="307"/>
      <c r="AB255" s="307"/>
      <c r="AC255" s="307"/>
      <c r="AD255" s="307"/>
      <c r="AE255" s="307"/>
      <c r="AF255" s="307"/>
      <c r="AG255" s="307"/>
      <c r="AH255" s="307"/>
      <c r="AI255" s="307"/>
      <c r="AJ255" s="307"/>
      <c r="AK255" s="307"/>
      <c r="AL255" s="307"/>
      <c r="AM255" s="307"/>
      <c r="AN255" s="307"/>
      <c r="AO255" s="307"/>
      <c r="AP255" s="307"/>
      <c r="AQ255" s="307"/>
      <c r="AR255" s="307"/>
      <c r="AS255" s="307"/>
      <c r="AT255" s="307"/>
      <c r="AU255" s="307"/>
      <c r="AV255" s="307"/>
      <c r="AW255" s="307"/>
      <c r="AX255" s="307"/>
      <c r="AY255" s="307"/>
      <c r="AZ255" s="307"/>
      <c r="BA255" s="307"/>
      <c r="BB255" s="307"/>
      <c r="BC255" s="307"/>
      <c r="BD255" s="307"/>
      <c r="BE255" s="307"/>
      <c r="BF255" s="307"/>
      <c r="BG255" s="307"/>
      <c r="BH255" s="307"/>
      <c r="BI255" s="307"/>
      <c r="BJ255" s="307"/>
      <c r="BK255" s="307"/>
      <c r="BL255" s="307"/>
      <c r="BM255" s="307"/>
      <c r="BN255" s="307"/>
      <c r="BO255" s="307"/>
      <c r="BP255" s="307"/>
      <c r="BQ255" s="307"/>
      <c r="BR255" s="307"/>
      <c r="BS255" s="307"/>
      <c r="BT255" s="307"/>
      <c r="BU255" s="307"/>
      <c r="BV255" s="307"/>
      <c r="BW255" s="307"/>
      <c r="BX255" s="307"/>
      <c r="BY255" s="307"/>
      <c r="BZ255" s="307"/>
      <c r="CA255" s="307"/>
      <c r="CB255" s="307"/>
      <c r="CC255" s="307"/>
      <c r="CD255" s="307"/>
      <c r="CE255" s="307"/>
      <c r="CF255" s="307"/>
    </row>
    <row r="256" spans="1:201">
      <c r="A256" s="312" t="str">
        <f t="shared" si="1075"/>
        <v>Bond 6</v>
      </c>
      <c r="B256" s="312">
        <f t="shared" si="1076"/>
        <v>103.11825018175149</v>
      </c>
      <c r="C256" s="312">
        <f t="shared" si="1077"/>
        <v>103.40030570652173</v>
      </c>
      <c r="D256" s="312">
        <f t="shared" si="1078"/>
        <v>2.015604258725265E-3</v>
      </c>
      <c r="E256" s="307"/>
      <c r="F256" s="307"/>
      <c r="G256" s="307"/>
      <c r="H256" s="307"/>
      <c r="I256" s="307"/>
      <c r="J256" s="307"/>
      <c r="K256" s="307"/>
      <c r="L256" s="307"/>
      <c r="M256" s="307"/>
      <c r="N256" s="307"/>
      <c r="O256" s="307"/>
      <c r="P256" s="307"/>
      <c r="Q256" s="307"/>
      <c r="R256" s="307"/>
      <c r="S256" s="307"/>
      <c r="T256" s="307"/>
      <c r="U256" s="307"/>
      <c r="V256" s="307"/>
      <c r="W256" s="307"/>
      <c r="X256" s="307"/>
      <c r="Y256" s="307"/>
      <c r="Z256" s="307"/>
      <c r="AA256" s="307"/>
      <c r="AB256" s="307"/>
      <c r="AC256" s="307"/>
      <c r="AD256" s="307"/>
      <c r="AE256" s="307"/>
      <c r="AF256" s="307"/>
      <c r="AG256" s="307"/>
      <c r="AH256" s="307"/>
      <c r="AI256" s="307"/>
      <c r="AJ256" s="307"/>
      <c r="AK256" s="307"/>
      <c r="AL256" s="307"/>
      <c r="AM256" s="307"/>
      <c r="AN256" s="307"/>
      <c r="AO256" s="307"/>
      <c r="AP256" s="307"/>
      <c r="AQ256" s="307"/>
      <c r="AR256" s="307"/>
      <c r="AS256" s="307"/>
      <c r="AT256" s="307"/>
      <c r="AU256" s="307"/>
      <c r="AV256" s="307"/>
      <c r="AW256" s="307"/>
      <c r="AX256" s="307"/>
      <c r="AY256" s="307"/>
      <c r="AZ256" s="307"/>
      <c r="BA256" s="307"/>
      <c r="BB256" s="307"/>
      <c r="BC256" s="307"/>
      <c r="BD256" s="307"/>
      <c r="BE256" s="307"/>
      <c r="BF256" s="307"/>
      <c r="BG256" s="307"/>
      <c r="BH256" s="307"/>
      <c r="BI256" s="307"/>
      <c r="BJ256" s="307"/>
      <c r="BK256" s="307"/>
      <c r="BL256" s="307"/>
      <c r="BM256" s="307"/>
      <c r="BN256" s="307"/>
      <c r="BO256" s="307"/>
      <c r="BP256" s="307"/>
      <c r="BQ256" s="307"/>
      <c r="BR256" s="307"/>
      <c r="BS256" s="307"/>
      <c r="BT256" s="307"/>
      <c r="BU256" s="307"/>
      <c r="BV256" s="307"/>
      <c r="BW256" s="307"/>
      <c r="BX256" s="307"/>
      <c r="BY256" s="307"/>
      <c r="BZ256" s="307"/>
      <c r="CA256" s="307"/>
      <c r="CB256" s="307"/>
      <c r="CC256" s="307"/>
      <c r="CD256" s="307"/>
      <c r="CE256" s="307"/>
      <c r="CF256" s="307"/>
    </row>
    <row r="257" spans="1:84">
      <c r="A257" s="312" t="str">
        <f t="shared" si="1075"/>
        <v>Bond 7</v>
      </c>
      <c r="B257" s="312">
        <f t="shared" si="1076"/>
        <v>99.575529150329018</v>
      </c>
      <c r="C257" s="312">
        <f t="shared" si="1077"/>
        <v>99.912703804347828</v>
      </c>
      <c r="D257" s="312">
        <f t="shared" si="1078"/>
        <v>2.291612067037437E-3</v>
      </c>
      <c r="E257" s="307"/>
      <c r="F257" s="307"/>
      <c r="G257" s="307"/>
      <c r="H257" s="307"/>
      <c r="I257" s="307"/>
      <c r="J257" s="307"/>
      <c r="K257" s="307"/>
      <c r="L257" s="307"/>
      <c r="M257" s="307"/>
      <c r="N257" s="307"/>
      <c r="O257" s="307"/>
      <c r="P257" s="307"/>
      <c r="Q257" s="307"/>
      <c r="R257" s="307"/>
      <c r="S257" s="307"/>
      <c r="T257" s="307"/>
      <c r="U257" s="307"/>
      <c r="V257" s="307"/>
      <c r="W257" s="307"/>
      <c r="X257" s="307"/>
      <c r="Y257" s="307"/>
      <c r="Z257" s="307"/>
      <c r="AA257" s="307"/>
      <c r="AB257" s="307"/>
      <c r="AC257" s="307"/>
      <c r="AD257" s="307"/>
      <c r="AE257" s="307"/>
      <c r="AF257" s="307"/>
      <c r="AG257" s="307"/>
      <c r="AH257" s="307"/>
      <c r="AI257" s="307"/>
      <c r="AJ257" s="307"/>
      <c r="AK257" s="307"/>
      <c r="AL257" s="307"/>
      <c r="AM257" s="307"/>
      <c r="AN257" s="307"/>
      <c r="AO257" s="307"/>
      <c r="AP257" s="307"/>
      <c r="AQ257" s="307"/>
      <c r="AR257" s="307"/>
      <c r="AS257" s="307"/>
      <c r="AT257" s="307"/>
      <c r="AU257" s="307"/>
      <c r="AV257" s="307"/>
      <c r="AW257" s="307"/>
      <c r="AX257" s="307"/>
      <c r="AY257" s="307"/>
      <c r="AZ257" s="307"/>
      <c r="BA257" s="307"/>
      <c r="BB257" s="307"/>
      <c r="BC257" s="307"/>
      <c r="BD257" s="307"/>
      <c r="BE257" s="307"/>
      <c r="BF257" s="307"/>
      <c r="BG257" s="307"/>
      <c r="BH257" s="307"/>
      <c r="BI257" s="307"/>
      <c r="BJ257" s="307"/>
      <c r="BK257" s="307"/>
      <c r="BL257" s="307"/>
      <c r="BM257" s="307"/>
      <c r="BN257" s="307"/>
      <c r="BO257" s="307"/>
      <c r="BP257" s="307"/>
      <c r="BQ257" s="307"/>
      <c r="BR257" s="307"/>
      <c r="BS257" s="307"/>
      <c r="BT257" s="307"/>
      <c r="BU257" s="307"/>
      <c r="BV257" s="307"/>
      <c r="BW257" s="307"/>
      <c r="BX257" s="307"/>
      <c r="BY257" s="307"/>
      <c r="BZ257" s="307"/>
      <c r="CA257" s="307"/>
      <c r="CB257" s="307"/>
      <c r="CC257" s="307"/>
      <c r="CD257" s="307"/>
      <c r="CE257" s="307"/>
      <c r="CF257" s="307"/>
    </row>
    <row r="258" spans="1:84">
      <c r="A258" s="312" t="str">
        <f t="shared" si="1075"/>
        <v>Bond 8</v>
      </c>
      <c r="B258" s="312">
        <f t="shared" si="1076"/>
        <v>99.835831339708264</v>
      </c>
      <c r="C258" s="312">
        <f t="shared" si="1077"/>
        <v>99.991847826086953</v>
      </c>
      <c r="D258" s="312">
        <f t="shared" si="1078"/>
        <v>3.5799461695172987E-4</v>
      </c>
      <c r="E258" s="307"/>
      <c r="F258" s="307"/>
      <c r="G258" s="307"/>
      <c r="H258" s="307"/>
      <c r="I258" s="307"/>
      <c r="J258" s="307"/>
      <c r="K258" s="307"/>
      <c r="L258" s="307"/>
      <c r="M258" s="307"/>
      <c r="N258" s="307"/>
      <c r="O258" s="307"/>
      <c r="P258" s="307"/>
      <c r="Q258" s="307"/>
      <c r="R258" s="307"/>
      <c r="S258" s="307"/>
      <c r="T258" s="307"/>
      <c r="U258" s="307"/>
      <c r="V258" s="307"/>
      <c r="W258" s="307"/>
      <c r="X258" s="307"/>
      <c r="Y258" s="307"/>
      <c r="Z258" s="307"/>
      <c r="AA258" s="307"/>
      <c r="AB258" s="307"/>
      <c r="AC258" s="307"/>
      <c r="AD258" s="307"/>
      <c r="AE258" s="307"/>
      <c r="AF258" s="307"/>
      <c r="AG258" s="307"/>
      <c r="AH258" s="307"/>
      <c r="AI258" s="307"/>
      <c r="AJ258" s="307"/>
      <c r="AK258" s="307"/>
      <c r="AL258" s="307"/>
      <c r="AM258" s="307"/>
      <c r="AN258" s="307"/>
      <c r="AO258" s="307"/>
      <c r="AP258" s="307"/>
      <c r="AQ258" s="307"/>
      <c r="AR258" s="307"/>
      <c r="AS258" s="307"/>
      <c r="AT258" s="307"/>
      <c r="AU258" s="307"/>
      <c r="AV258" s="307"/>
      <c r="AW258" s="307"/>
      <c r="AX258" s="307"/>
      <c r="AY258" s="307"/>
      <c r="AZ258" s="307"/>
      <c r="BA258" s="307"/>
      <c r="BB258" s="307"/>
      <c r="BC258" s="307"/>
      <c r="BD258" s="307"/>
      <c r="BE258" s="307"/>
      <c r="BF258" s="307"/>
      <c r="BG258" s="307"/>
      <c r="BH258" s="307"/>
      <c r="BI258" s="307"/>
      <c r="BJ258" s="307"/>
      <c r="BK258" s="307"/>
      <c r="BL258" s="307"/>
      <c r="BM258" s="307"/>
      <c r="BN258" s="307"/>
      <c r="BO258" s="307"/>
      <c r="BP258" s="307"/>
      <c r="BQ258" s="307"/>
      <c r="BR258" s="307"/>
      <c r="BS258" s="307"/>
      <c r="BT258" s="307"/>
      <c r="BU258" s="307"/>
      <c r="BV258" s="307"/>
      <c r="BW258" s="307"/>
      <c r="BX258" s="307"/>
      <c r="BY258" s="307"/>
      <c r="BZ258" s="307"/>
      <c r="CA258" s="307"/>
      <c r="CB258" s="307"/>
      <c r="CC258" s="307"/>
      <c r="CD258" s="307"/>
      <c r="CE258" s="307"/>
      <c r="CF258" s="307"/>
    </row>
    <row r="259" spans="1:84">
      <c r="A259" s="312" t="str">
        <f t="shared" si="1075"/>
        <v>Bond 9</v>
      </c>
      <c r="B259" s="312">
        <f t="shared" si="1076"/>
        <v>103.67062047204737</v>
      </c>
      <c r="C259" s="312">
        <f t="shared" si="1077"/>
        <v>103.55842391304348</v>
      </c>
      <c r="D259" s="312">
        <f t="shared" si="1078"/>
        <v>1.3788925471099956E-4</v>
      </c>
      <c r="E259" s="307"/>
      <c r="F259" s="307"/>
      <c r="G259" s="307"/>
      <c r="H259" s="307"/>
      <c r="I259" s="307"/>
      <c r="J259" s="307"/>
      <c r="K259" s="307"/>
      <c r="L259" s="307"/>
      <c r="M259" s="307"/>
      <c r="N259" s="307"/>
      <c r="O259" s="307"/>
      <c r="P259" s="307"/>
      <c r="Q259" s="307"/>
      <c r="R259" s="307"/>
      <c r="S259" s="307"/>
      <c r="T259" s="307"/>
      <c r="U259" s="307"/>
      <c r="V259" s="307"/>
      <c r="W259" s="307"/>
      <c r="X259" s="307"/>
      <c r="Y259" s="307"/>
      <c r="Z259" s="307"/>
      <c r="AA259" s="307"/>
      <c r="AB259" s="307"/>
      <c r="AC259" s="307"/>
      <c r="AD259" s="307"/>
      <c r="AE259" s="307"/>
      <c r="AF259" s="307"/>
      <c r="AG259" s="307"/>
      <c r="AH259" s="307"/>
      <c r="AI259" s="307"/>
      <c r="AJ259" s="307"/>
      <c r="AK259" s="307"/>
      <c r="AL259" s="307"/>
      <c r="AM259" s="307"/>
      <c r="AN259" s="307"/>
      <c r="AO259" s="307"/>
      <c r="AP259" s="307"/>
      <c r="AQ259" s="307"/>
      <c r="AR259" s="307"/>
      <c r="AS259" s="307"/>
      <c r="AT259" s="307"/>
      <c r="AU259" s="307"/>
      <c r="AV259" s="307"/>
      <c r="AW259" s="307"/>
      <c r="AX259" s="307"/>
      <c r="AY259" s="307"/>
      <c r="AZ259" s="307"/>
      <c r="BA259" s="307"/>
      <c r="BB259" s="307"/>
      <c r="BC259" s="307"/>
      <c r="BD259" s="307"/>
      <c r="BE259" s="307"/>
      <c r="BF259" s="307"/>
      <c r="BG259" s="307"/>
      <c r="BH259" s="307"/>
      <c r="BI259" s="307"/>
      <c r="BJ259" s="307"/>
      <c r="BK259" s="307"/>
      <c r="BL259" s="307"/>
      <c r="BM259" s="307"/>
      <c r="BN259" s="307"/>
      <c r="BO259" s="307"/>
      <c r="BP259" s="307"/>
      <c r="BQ259" s="307"/>
      <c r="BR259" s="307"/>
      <c r="BS259" s="307"/>
      <c r="BT259" s="307"/>
      <c r="BU259" s="307"/>
      <c r="BV259" s="307"/>
      <c r="BW259" s="307"/>
      <c r="BX259" s="307"/>
      <c r="BY259" s="307"/>
      <c r="BZ259" s="307"/>
      <c r="CA259" s="307"/>
      <c r="CB259" s="307"/>
      <c r="CC259" s="307"/>
      <c r="CD259" s="307"/>
      <c r="CE259" s="307"/>
      <c r="CF259" s="307"/>
    </row>
    <row r="260" spans="1:84">
      <c r="A260" s="312" t="str">
        <f t="shared" si="1075"/>
        <v>Bond 10</v>
      </c>
      <c r="B260" s="312">
        <f t="shared" si="1076"/>
        <v>131.45236919419145</v>
      </c>
      <c r="C260" s="312">
        <f t="shared" si="1077"/>
        <v>131.55835635359117</v>
      </c>
      <c r="D260" s="312">
        <f t="shared" si="1078"/>
        <v>2.1185974915871684E-4</v>
      </c>
      <c r="E260" s="307"/>
      <c r="F260" s="307"/>
      <c r="G260" s="307"/>
      <c r="H260" s="307"/>
      <c r="I260" s="307"/>
      <c r="J260" s="307"/>
      <c r="K260" s="307"/>
      <c r="L260" s="307"/>
      <c r="M260" s="307"/>
      <c r="N260" s="307"/>
      <c r="O260" s="307"/>
      <c r="P260" s="307"/>
      <c r="Q260" s="307"/>
      <c r="R260" s="307"/>
      <c r="S260" s="307"/>
      <c r="T260" s="307"/>
      <c r="U260" s="307"/>
      <c r="V260" s="307"/>
      <c r="W260" s="307"/>
      <c r="X260" s="307"/>
      <c r="Y260" s="307"/>
      <c r="Z260" s="307"/>
      <c r="AA260" s="307"/>
      <c r="AB260" s="307"/>
      <c r="AC260" s="307"/>
      <c r="AD260" s="307"/>
      <c r="AE260" s="307"/>
      <c r="AF260" s="307"/>
      <c r="AG260" s="307"/>
      <c r="AH260" s="307"/>
      <c r="AI260" s="307"/>
      <c r="AJ260" s="307"/>
      <c r="AK260" s="307"/>
      <c r="AL260" s="307"/>
      <c r="AM260" s="307"/>
      <c r="AN260" s="307"/>
      <c r="AO260" s="307"/>
      <c r="AP260" s="307"/>
      <c r="AQ260" s="307"/>
      <c r="AR260" s="307"/>
      <c r="AS260" s="307"/>
      <c r="AT260" s="307"/>
      <c r="AU260" s="307"/>
      <c r="AV260" s="307"/>
      <c r="AW260" s="307"/>
      <c r="AX260" s="307"/>
      <c r="AY260" s="307"/>
      <c r="AZ260" s="307"/>
      <c r="BA260" s="307"/>
      <c r="BB260" s="307"/>
      <c r="BC260" s="307"/>
      <c r="BD260" s="307"/>
      <c r="BE260" s="307"/>
      <c r="BF260" s="307"/>
      <c r="BG260" s="307"/>
      <c r="BH260" s="307"/>
      <c r="BI260" s="307"/>
      <c r="BJ260" s="307"/>
      <c r="BK260" s="307"/>
      <c r="BL260" s="307"/>
      <c r="BM260" s="307"/>
      <c r="BN260" s="307"/>
      <c r="BO260" s="307"/>
      <c r="BP260" s="307"/>
      <c r="BQ260" s="307"/>
      <c r="BR260" s="307"/>
      <c r="BS260" s="307"/>
      <c r="BT260" s="307"/>
      <c r="BU260" s="307"/>
      <c r="BV260" s="307"/>
      <c r="BW260" s="307"/>
      <c r="BX260" s="307"/>
      <c r="BY260" s="307"/>
      <c r="BZ260" s="307"/>
      <c r="CA260" s="307"/>
      <c r="CB260" s="307"/>
      <c r="CC260" s="307"/>
      <c r="CD260" s="307"/>
      <c r="CE260" s="307"/>
      <c r="CF260" s="307"/>
    </row>
    <row r="261" spans="1:84">
      <c r="A261" s="312" t="str">
        <f t="shared" si="1075"/>
        <v>Bond 11</v>
      </c>
      <c r="B261" s="312">
        <f t="shared" si="1076"/>
        <v>132.31086944685572</v>
      </c>
      <c r="C261" s="312">
        <f t="shared" si="1077"/>
        <v>132.37330163043478</v>
      </c>
      <c r="D261" s="312">
        <f t="shared" si="1078"/>
        <v>6.1506436275830868E-5</v>
      </c>
      <c r="E261" s="307"/>
      <c r="F261" s="307"/>
      <c r="G261" s="307"/>
      <c r="H261" s="307"/>
      <c r="I261" s="307"/>
      <c r="J261" s="307"/>
      <c r="K261" s="307"/>
      <c r="L261" s="307"/>
      <c r="M261" s="307"/>
      <c r="N261" s="307"/>
      <c r="O261" s="307"/>
      <c r="P261" s="307"/>
      <c r="Q261" s="307"/>
      <c r="R261" s="307"/>
      <c r="S261" s="307"/>
      <c r="T261" s="307"/>
      <c r="U261" s="307"/>
      <c r="V261" s="307"/>
      <c r="W261" s="307"/>
      <c r="X261" s="307"/>
      <c r="Y261" s="307"/>
      <c r="Z261" s="307"/>
      <c r="AA261" s="307"/>
      <c r="AB261" s="307"/>
      <c r="AC261" s="307"/>
      <c r="AD261" s="307"/>
      <c r="AE261" s="307"/>
      <c r="AF261" s="307"/>
      <c r="AG261" s="307"/>
      <c r="AH261" s="307"/>
      <c r="AI261" s="307"/>
      <c r="AJ261" s="307"/>
      <c r="AK261" s="307"/>
      <c r="AL261" s="307"/>
      <c r="AM261" s="307"/>
      <c r="AN261" s="307"/>
      <c r="AO261" s="307"/>
      <c r="AP261" s="307"/>
      <c r="AQ261" s="307"/>
      <c r="AR261" s="307"/>
      <c r="AS261" s="307"/>
      <c r="AT261" s="307"/>
      <c r="AU261" s="307"/>
      <c r="AV261" s="307"/>
      <c r="AW261" s="307"/>
      <c r="AX261" s="307"/>
      <c r="AY261" s="307"/>
      <c r="AZ261" s="307"/>
      <c r="BA261" s="307"/>
      <c r="BB261" s="307"/>
      <c r="BC261" s="307"/>
      <c r="BD261" s="307"/>
      <c r="BE261" s="307"/>
      <c r="BF261" s="307"/>
      <c r="BG261" s="307"/>
      <c r="BH261" s="307"/>
      <c r="BI261" s="307"/>
      <c r="BJ261" s="307"/>
      <c r="BK261" s="307"/>
      <c r="BL261" s="307"/>
      <c r="BM261" s="307"/>
      <c r="BN261" s="307"/>
      <c r="BO261" s="307"/>
      <c r="BP261" s="307"/>
      <c r="BQ261" s="307"/>
      <c r="BR261" s="307"/>
      <c r="BS261" s="307"/>
      <c r="BT261" s="307"/>
      <c r="BU261" s="307"/>
      <c r="BV261" s="307"/>
      <c r="BW261" s="307"/>
      <c r="BX261" s="307"/>
      <c r="BY261" s="307"/>
      <c r="BZ261" s="307"/>
      <c r="CA261" s="307"/>
      <c r="CB261" s="307"/>
      <c r="CC261" s="307"/>
      <c r="CD261" s="307"/>
      <c r="CE261" s="307"/>
      <c r="CF261" s="307"/>
    </row>
    <row r="262" spans="1:84">
      <c r="A262" s="312" t="str">
        <f t="shared" si="1075"/>
        <v>Bond 12</v>
      </c>
      <c r="B262" s="312">
        <f t="shared" si="1076"/>
        <v>135.7129457795738</v>
      </c>
      <c r="C262" s="312">
        <f t="shared" si="1077"/>
        <v>135.68024861878453</v>
      </c>
      <c r="D262" s="312">
        <f t="shared" si="1078"/>
        <v>1.5698786738548923E-5</v>
      </c>
      <c r="E262" s="307"/>
      <c r="F262" s="307"/>
      <c r="G262" s="307"/>
      <c r="H262" s="307"/>
      <c r="I262" s="307"/>
      <c r="J262" s="307"/>
      <c r="K262" s="307"/>
      <c r="L262" s="307"/>
      <c r="M262" s="307"/>
      <c r="N262" s="307"/>
      <c r="O262" s="307"/>
      <c r="P262" s="307"/>
      <c r="Q262" s="307"/>
      <c r="R262" s="307"/>
      <c r="S262" s="307"/>
      <c r="T262" s="307"/>
      <c r="U262" s="307"/>
      <c r="V262" s="307"/>
      <c r="W262" s="307"/>
      <c r="X262" s="307"/>
      <c r="Y262" s="307"/>
      <c r="Z262" s="307"/>
      <c r="AA262" s="307"/>
      <c r="AB262" s="307"/>
      <c r="AC262" s="307"/>
      <c r="AD262" s="307"/>
      <c r="AE262" s="307"/>
      <c r="AF262" s="307"/>
      <c r="AG262" s="307"/>
      <c r="AH262" s="307"/>
      <c r="AI262" s="307"/>
      <c r="AJ262" s="307"/>
      <c r="AK262" s="307"/>
      <c r="AL262" s="307"/>
      <c r="AM262" s="307"/>
      <c r="AN262" s="307"/>
      <c r="AO262" s="307"/>
      <c r="AP262" s="307"/>
      <c r="AQ262" s="307"/>
      <c r="AR262" s="307"/>
      <c r="AS262" s="307"/>
      <c r="AT262" s="307"/>
      <c r="AU262" s="307"/>
      <c r="AV262" s="307"/>
      <c r="AW262" s="307"/>
      <c r="AX262" s="307"/>
      <c r="AY262" s="307"/>
      <c r="AZ262" s="307"/>
      <c r="BA262" s="307"/>
      <c r="BB262" s="307"/>
      <c r="BC262" s="307"/>
      <c r="BD262" s="307"/>
      <c r="BE262" s="307"/>
      <c r="BF262" s="307"/>
      <c r="BG262" s="307"/>
      <c r="BH262" s="307"/>
      <c r="BI262" s="307"/>
      <c r="BJ262" s="307"/>
      <c r="BK262" s="307"/>
      <c r="BL262" s="307"/>
      <c r="BM262" s="307"/>
      <c r="BN262" s="307"/>
      <c r="BO262" s="307"/>
      <c r="BP262" s="307"/>
      <c r="BQ262" s="307"/>
      <c r="BR262" s="307"/>
      <c r="BS262" s="307"/>
      <c r="BT262" s="307"/>
      <c r="BU262" s="307"/>
      <c r="BV262" s="307"/>
      <c r="BW262" s="307"/>
      <c r="BX262" s="307"/>
      <c r="BY262" s="307"/>
      <c r="BZ262" s="307"/>
      <c r="CA262" s="307"/>
      <c r="CB262" s="307"/>
      <c r="CC262" s="307"/>
      <c r="CD262" s="307"/>
      <c r="CE262" s="307"/>
      <c r="CF262" s="307"/>
    </row>
    <row r="263" spans="1:84">
      <c r="A263" s="312" t="str">
        <f t="shared" si="1075"/>
        <v>Bond 13</v>
      </c>
      <c r="B263" s="312">
        <f t="shared" si="1076"/>
        <v>128.62941011508144</v>
      </c>
      <c r="C263" s="312">
        <f t="shared" si="1077"/>
        <v>128.50373641304347</v>
      </c>
      <c r="D263" s="312">
        <f t="shared" si="1078"/>
        <v>1.9809084726103308E-4</v>
      </c>
      <c r="E263" s="307"/>
      <c r="F263" s="307"/>
      <c r="G263" s="307"/>
      <c r="H263" s="307"/>
      <c r="I263" s="307"/>
      <c r="J263" s="307"/>
      <c r="K263" s="307"/>
      <c r="L263" s="307"/>
      <c r="M263" s="307"/>
      <c r="N263" s="307"/>
      <c r="O263" s="307"/>
      <c r="P263" s="307"/>
      <c r="Q263" s="307"/>
      <c r="R263" s="307"/>
      <c r="S263" s="307"/>
      <c r="T263" s="307"/>
      <c r="U263" s="307"/>
      <c r="V263" s="307"/>
      <c r="W263" s="307"/>
      <c r="X263" s="307"/>
      <c r="Y263" s="307"/>
      <c r="Z263" s="307"/>
      <c r="AA263" s="307"/>
      <c r="AB263" s="307"/>
      <c r="AC263" s="307"/>
      <c r="AD263" s="307"/>
      <c r="AE263" s="307"/>
      <c r="AF263" s="307"/>
      <c r="AG263" s="307"/>
      <c r="AH263" s="307"/>
      <c r="AI263" s="307"/>
      <c r="AJ263" s="307"/>
      <c r="AK263" s="307"/>
      <c r="AL263" s="307"/>
      <c r="AM263" s="307"/>
      <c r="AN263" s="307"/>
      <c r="AO263" s="307"/>
      <c r="AP263" s="307"/>
      <c r="AQ263" s="307"/>
      <c r="AR263" s="307"/>
      <c r="AS263" s="307"/>
      <c r="AT263" s="307"/>
      <c r="AU263" s="307"/>
      <c r="AV263" s="307"/>
      <c r="AW263" s="307"/>
      <c r="AX263" s="307"/>
      <c r="AY263" s="307"/>
      <c r="AZ263" s="307"/>
      <c r="BA263" s="307"/>
      <c r="BB263" s="307"/>
      <c r="BC263" s="307"/>
      <c r="BD263" s="307"/>
      <c r="BE263" s="307"/>
      <c r="BF263" s="307"/>
      <c r="BG263" s="307"/>
      <c r="BH263" s="307"/>
      <c r="BI263" s="307"/>
      <c r="BJ263" s="307"/>
      <c r="BK263" s="307"/>
      <c r="BL263" s="307"/>
      <c r="BM263" s="307"/>
      <c r="BN263" s="307"/>
      <c r="BO263" s="307"/>
      <c r="BP263" s="307"/>
      <c r="BQ263" s="307"/>
      <c r="BR263" s="307"/>
      <c r="BS263" s="307"/>
      <c r="BT263" s="307"/>
      <c r="BU263" s="307"/>
      <c r="BV263" s="307"/>
      <c r="BW263" s="307"/>
      <c r="BX263" s="307"/>
      <c r="BY263" s="307"/>
      <c r="BZ263" s="307"/>
      <c r="CA263" s="307"/>
      <c r="CB263" s="307"/>
      <c r="CC263" s="307"/>
      <c r="CD263" s="307"/>
      <c r="CE263" s="307"/>
      <c r="CF263" s="307"/>
    </row>
    <row r="264" spans="1:84">
      <c r="A264" s="312" t="str">
        <f t="shared" si="1075"/>
        <v>Bond 14</v>
      </c>
      <c r="B264" s="312">
        <f t="shared" si="1076"/>
        <v>130.55122619138771</v>
      </c>
      <c r="C264" s="312">
        <f t="shared" si="1077"/>
        <v>130.38419371546962</v>
      </c>
      <c r="D264" s="312">
        <f t="shared" si="1078"/>
        <v>3.4585072460311002E-4</v>
      </c>
      <c r="E264" s="307"/>
      <c r="F264" s="307"/>
      <c r="G264" s="307"/>
      <c r="H264" s="307"/>
      <c r="I264" s="307"/>
      <c r="J264" s="307"/>
      <c r="K264" s="307"/>
      <c r="L264" s="307"/>
      <c r="M264" s="307"/>
      <c r="N264" s="307"/>
      <c r="O264" s="307"/>
      <c r="P264" s="307"/>
      <c r="Q264" s="307"/>
      <c r="R264" s="307"/>
      <c r="S264" s="307"/>
      <c r="T264" s="307"/>
      <c r="U264" s="307"/>
      <c r="V264" s="307"/>
      <c r="W264" s="307"/>
      <c r="X264" s="307"/>
      <c r="Y264" s="307"/>
      <c r="Z264" s="307"/>
      <c r="AA264" s="307"/>
      <c r="AB264" s="307"/>
      <c r="AC264" s="307"/>
      <c r="AD264" s="307"/>
      <c r="AE264" s="307"/>
      <c r="AF264" s="307"/>
      <c r="AG264" s="307"/>
      <c r="AH264" s="307"/>
      <c r="AI264" s="307"/>
      <c r="AJ264" s="307"/>
      <c r="AK264" s="307"/>
      <c r="AL264" s="307"/>
      <c r="AM264" s="307"/>
      <c r="AN264" s="307"/>
      <c r="AO264" s="307"/>
      <c r="AP264" s="307"/>
      <c r="AQ264" s="307"/>
      <c r="AR264" s="307"/>
      <c r="AS264" s="307"/>
      <c r="AT264" s="307"/>
      <c r="AU264" s="307"/>
      <c r="AV264" s="307"/>
      <c r="AW264" s="307"/>
      <c r="AX264" s="307"/>
      <c r="AY264" s="307"/>
      <c r="AZ264" s="307"/>
      <c r="BA264" s="307"/>
      <c r="BB264" s="307"/>
      <c r="BC264" s="307"/>
      <c r="BD264" s="307"/>
      <c r="BE264" s="307"/>
      <c r="BF264" s="307"/>
      <c r="BG264" s="307"/>
      <c r="BH264" s="307"/>
      <c r="BI264" s="307"/>
      <c r="BJ264" s="307"/>
      <c r="BK264" s="307"/>
      <c r="BL264" s="307"/>
      <c r="BM264" s="307"/>
      <c r="BN264" s="307"/>
      <c r="BO264" s="307"/>
      <c r="BP264" s="307"/>
      <c r="BQ264" s="307"/>
      <c r="BR264" s="307"/>
      <c r="BS264" s="307"/>
      <c r="BT264" s="307"/>
      <c r="BU264" s="307"/>
      <c r="BV264" s="307"/>
      <c r="BW264" s="307"/>
      <c r="BX264" s="307"/>
      <c r="BY264" s="307"/>
      <c r="BZ264" s="307"/>
      <c r="CA264" s="307"/>
      <c r="CB264" s="307"/>
      <c r="CC264" s="307"/>
      <c r="CD264" s="307"/>
      <c r="CE264" s="307"/>
      <c r="CF264" s="307"/>
    </row>
    <row r="265" spans="1:84">
      <c r="A265" s="312" t="str">
        <f t="shared" si="1075"/>
        <v>Bond 15</v>
      </c>
      <c r="B265" s="312">
        <f t="shared" si="1076"/>
        <v>141.96821933429641</v>
      </c>
      <c r="C265" s="312">
        <f t="shared" si="1077"/>
        <v>141.79313858695653</v>
      </c>
      <c r="D265" s="312">
        <f t="shared" si="1078"/>
        <v>3.4946579054109198E-4</v>
      </c>
      <c r="E265" s="307"/>
      <c r="F265" s="307"/>
      <c r="G265" s="307"/>
      <c r="H265" s="307"/>
      <c r="I265" s="307"/>
      <c r="J265" s="307"/>
      <c r="K265" s="307"/>
      <c r="L265" s="307"/>
      <c r="M265" s="307"/>
      <c r="N265" s="307"/>
      <c r="O265" s="307"/>
      <c r="P265" s="307"/>
      <c r="Q265" s="307"/>
      <c r="R265" s="307"/>
      <c r="S265" s="307"/>
      <c r="T265" s="307"/>
      <c r="U265" s="307"/>
      <c r="V265" s="307"/>
      <c r="W265" s="307"/>
      <c r="X265" s="307"/>
      <c r="Y265" s="307"/>
      <c r="Z265" s="307"/>
      <c r="AA265" s="307"/>
      <c r="AB265" s="307"/>
      <c r="AC265" s="307"/>
      <c r="AD265" s="307"/>
      <c r="AE265" s="307"/>
      <c r="AF265" s="307"/>
      <c r="AG265" s="307"/>
      <c r="AH265" s="307"/>
      <c r="AI265" s="307"/>
      <c r="AJ265" s="307"/>
      <c r="AK265" s="307"/>
      <c r="AL265" s="307"/>
      <c r="AM265" s="307"/>
      <c r="AN265" s="307"/>
      <c r="AO265" s="307"/>
      <c r="AP265" s="307"/>
      <c r="AQ265" s="307"/>
      <c r="AR265" s="307"/>
      <c r="AS265" s="307"/>
      <c r="AT265" s="307"/>
      <c r="AU265" s="307"/>
      <c r="AV265" s="307"/>
      <c r="AW265" s="307"/>
      <c r="AX265" s="307"/>
      <c r="AY265" s="307"/>
      <c r="AZ265" s="307"/>
      <c r="BA265" s="307"/>
      <c r="BB265" s="307"/>
      <c r="BC265" s="307"/>
      <c r="BD265" s="307"/>
      <c r="BE265" s="307"/>
      <c r="BF265" s="307"/>
      <c r="BG265" s="307"/>
      <c r="BH265" s="307"/>
      <c r="BI265" s="307"/>
      <c r="BJ265" s="307"/>
      <c r="BK265" s="307"/>
      <c r="BL265" s="307"/>
      <c r="BM265" s="307"/>
      <c r="BN265" s="307"/>
      <c r="BO265" s="307"/>
      <c r="BP265" s="307"/>
      <c r="BQ265" s="307"/>
      <c r="BR265" s="307"/>
      <c r="BS265" s="307"/>
      <c r="BT265" s="307"/>
      <c r="BU265" s="307"/>
      <c r="BV265" s="307"/>
      <c r="BW265" s="307"/>
      <c r="BX265" s="307"/>
      <c r="BY265" s="307"/>
      <c r="BZ265" s="307"/>
      <c r="CA265" s="307"/>
      <c r="CB265" s="307"/>
      <c r="CC265" s="307"/>
      <c r="CD265" s="307"/>
      <c r="CE265" s="307"/>
      <c r="CF265" s="307"/>
    </row>
    <row r="266" spans="1:84">
      <c r="A266" s="312" t="str">
        <f t="shared" si="1075"/>
        <v>Bond 16</v>
      </c>
      <c r="B266" s="312">
        <f t="shared" si="1076"/>
        <v>136.36538606532497</v>
      </c>
      <c r="C266" s="312">
        <f t="shared" si="1077"/>
        <v>136.22090814917127</v>
      </c>
      <c r="D266" s="312">
        <f t="shared" si="1078"/>
        <v>2.2252692760112017E-4</v>
      </c>
      <c r="E266" s="307"/>
      <c r="F266" s="307"/>
      <c r="G266" s="307"/>
      <c r="H266" s="307"/>
      <c r="I266" s="307"/>
      <c r="J266" s="307"/>
      <c r="K266" s="307"/>
      <c r="L266" s="307"/>
      <c r="M266" s="307"/>
      <c r="N266" s="307"/>
      <c r="O266" s="307"/>
      <c r="P266" s="307"/>
      <c r="Q266" s="307"/>
      <c r="R266" s="307"/>
      <c r="S266" s="307"/>
      <c r="T266" s="307"/>
      <c r="U266" s="307"/>
      <c r="V266" s="307"/>
      <c r="W266" s="307"/>
      <c r="X266" s="307"/>
      <c r="Y266" s="307"/>
      <c r="Z266" s="307"/>
      <c r="AA266" s="307"/>
      <c r="AB266" s="307"/>
      <c r="AC266" s="307"/>
      <c r="AD266" s="307"/>
      <c r="AE266" s="307"/>
      <c r="AF266" s="307"/>
      <c r="AG266" s="307"/>
      <c r="AH266" s="307"/>
      <c r="AI266" s="307"/>
      <c r="AJ266" s="307"/>
      <c r="AK266" s="307"/>
      <c r="AL266" s="307"/>
      <c r="AM266" s="307"/>
      <c r="AN266" s="307"/>
      <c r="AO266" s="307"/>
      <c r="AP266" s="307"/>
      <c r="AQ266" s="307"/>
      <c r="AR266" s="307"/>
      <c r="AS266" s="307"/>
      <c r="AT266" s="307"/>
      <c r="AU266" s="307"/>
      <c r="AV266" s="307"/>
      <c r="AW266" s="307"/>
      <c r="AX266" s="307"/>
      <c r="AY266" s="307"/>
      <c r="AZ266" s="307"/>
      <c r="BA266" s="307"/>
      <c r="BB266" s="307"/>
      <c r="BC266" s="307"/>
      <c r="BD266" s="307"/>
      <c r="BE266" s="307"/>
      <c r="BF266" s="307"/>
      <c r="BG266" s="307"/>
      <c r="BH266" s="307"/>
      <c r="BI266" s="307"/>
      <c r="BJ266" s="307"/>
      <c r="BK266" s="307"/>
      <c r="BL266" s="307"/>
      <c r="BM266" s="307"/>
      <c r="BN266" s="307"/>
      <c r="BO266" s="307"/>
      <c r="BP266" s="307"/>
      <c r="BQ266" s="307"/>
      <c r="BR266" s="307"/>
      <c r="BS266" s="307"/>
      <c r="BT266" s="307"/>
      <c r="BU266" s="307"/>
      <c r="BV266" s="307"/>
      <c r="BW266" s="307"/>
      <c r="BX266" s="307"/>
      <c r="BY266" s="307"/>
      <c r="BZ266" s="307"/>
      <c r="CA266" s="307"/>
      <c r="CB266" s="307"/>
      <c r="CC266" s="307"/>
      <c r="CD266" s="307"/>
      <c r="CE266" s="307"/>
      <c r="CF266" s="307"/>
    </row>
    <row r="267" spans="1:84">
      <c r="A267" s="312" t="str">
        <f t="shared" si="1075"/>
        <v>Bond 17</v>
      </c>
      <c r="B267" s="312">
        <f t="shared" si="1076"/>
        <v>131.11107019661497</v>
      </c>
      <c r="C267" s="312">
        <f t="shared" si="1077"/>
        <v>131.15183423913044</v>
      </c>
      <c r="D267" s="312">
        <f t="shared" si="1078"/>
        <v>1.1184864353035125E-5</v>
      </c>
      <c r="E267" s="307"/>
      <c r="F267" s="307"/>
      <c r="G267" s="307"/>
      <c r="H267" s="307"/>
      <c r="I267" s="307"/>
      <c r="J267" s="307"/>
      <c r="K267" s="307"/>
      <c r="L267" s="307"/>
      <c r="M267" s="307"/>
      <c r="N267" s="307"/>
      <c r="O267" s="307"/>
      <c r="P267" s="307"/>
      <c r="Q267" s="307"/>
      <c r="R267" s="307"/>
      <c r="S267" s="307"/>
      <c r="T267" s="307"/>
      <c r="U267" s="307"/>
      <c r="V267" s="307"/>
      <c r="W267" s="307"/>
      <c r="X267" s="307"/>
      <c r="Y267" s="307"/>
      <c r="Z267" s="307"/>
      <c r="AA267" s="307"/>
      <c r="AB267" s="307"/>
      <c r="AC267" s="307"/>
      <c r="AD267" s="307"/>
      <c r="AE267" s="307"/>
      <c r="AF267" s="307"/>
      <c r="AG267" s="307"/>
      <c r="AH267" s="307"/>
      <c r="AI267" s="307"/>
      <c r="AJ267" s="307"/>
      <c r="AK267" s="307"/>
      <c r="AL267" s="307"/>
      <c r="AM267" s="307"/>
      <c r="AN267" s="307"/>
      <c r="AO267" s="307"/>
      <c r="AP267" s="307"/>
      <c r="AQ267" s="307"/>
      <c r="AR267" s="307"/>
      <c r="AS267" s="307"/>
      <c r="AT267" s="307"/>
      <c r="AU267" s="307"/>
      <c r="AV267" s="307"/>
      <c r="AW267" s="307"/>
      <c r="AX267" s="307"/>
      <c r="AY267" s="307"/>
      <c r="AZ267" s="307"/>
      <c r="BA267" s="307"/>
      <c r="BB267" s="307"/>
      <c r="BC267" s="307"/>
      <c r="BD267" s="307"/>
      <c r="BE267" s="307"/>
      <c r="BF267" s="307"/>
      <c r="BG267" s="307"/>
      <c r="BH267" s="307"/>
      <c r="BI267" s="307"/>
      <c r="BJ267" s="307"/>
      <c r="BK267" s="307"/>
      <c r="BL267" s="307"/>
      <c r="BM267" s="307"/>
      <c r="BN267" s="307"/>
      <c r="BO267" s="307"/>
      <c r="BP267" s="307"/>
      <c r="BQ267" s="307"/>
      <c r="BR267" s="307"/>
      <c r="BS267" s="307"/>
      <c r="BT267" s="307"/>
      <c r="BU267" s="307"/>
      <c r="BV267" s="307"/>
      <c r="BW267" s="307"/>
      <c r="BX267" s="307"/>
      <c r="BY267" s="307"/>
      <c r="BZ267" s="307"/>
      <c r="CA267" s="307"/>
      <c r="CB267" s="307"/>
      <c r="CC267" s="307"/>
      <c r="CD267" s="307"/>
      <c r="CE267" s="307"/>
      <c r="CF267" s="307"/>
    </row>
    <row r="268" spans="1:84">
      <c r="A268" s="312" t="str">
        <f t="shared" si="1075"/>
        <v>Bond 18</v>
      </c>
      <c r="B268" s="312">
        <f t="shared" si="1076"/>
        <v>133.3418071082757</v>
      </c>
      <c r="C268" s="312">
        <f t="shared" si="1077"/>
        <v>133.46546961325967</v>
      </c>
      <c r="D268" s="312">
        <f t="shared" si="1078"/>
        <v>1.1958871086491787E-4</v>
      </c>
      <c r="E268" s="307"/>
      <c r="F268" s="307"/>
      <c r="G268" s="307"/>
      <c r="H268" s="307"/>
      <c r="I268" s="307"/>
      <c r="J268" s="307"/>
      <c r="K268" s="307"/>
      <c r="L268" s="307"/>
      <c r="M268" s="307"/>
      <c r="N268" s="307"/>
      <c r="O268" s="307"/>
      <c r="P268" s="307"/>
      <c r="Q268" s="307"/>
      <c r="R268" s="307"/>
      <c r="S268" s="307"/>
      <c r="T268" s="307"/>
      <c r="U268" s="307"/>
      <c r="V268" s="307"/>
      <c r="W268" s="307"/>
      <c r="X268" s="307"/>
      <c r="Y268" s="307"/>
      <c r="Z268" s="307"/>
      <c r="AA268" s="307"/>
      <c r="AB268" s="307"/>
      <c r="AC268" s="307"/>
      <c r="AD268" s="307"/>
      <c r="AE268" s="307"/>
      <c r="AF268" s="307"/>
      <c r="AG268" s="307"/>
      <c r="AH268" s="307"/>
      <c r="AI268" s="307"/>
      <c r="AJ268" s="307"/>
      <c r="AK268" s="307"/>
      <c r="AL268" s="307"/>
      <c r="AM268" s="307"/>
      <c r="AN268" s="307"/>
      <c r="AO268" s="307"/>
      <c r="AP268" s="307"/>
      <c r="AQ268" s="307"/>
      <c r="AR268" s="307"/>
      <c r="AS268" s="307"/>
      <c r="AT268" s="307"/>
      <c r="AU268" s="307"/>
      <c r="AV268" s="307"/>
      <c r="AW268" s="307"/>
      <c r="AX268" s="307"/>
      <c r="AY268" s="307"/>
      <c r="AZ268" s="307"/>
      <c r="BA268" s="307"/>
      <c r="BB268" s="307"/>
      <c r="BC268" s="307"/>
      <c r="BD268" s="307"/>
      <c r="BE268" s="307"/>
      <c r="BF268" s="307"/>
      <c r="BG268" s="307"/>
      <c r="BH268" s="307"/>
      <c r="BI268" s="307"/>
      <c r="BJ268" s="307"/>
      <c r="BK268" s="307"/>
      <c r="BL268" s="307"/>
      <c r="BM268" s="307"/>
      <c r="BN268" s="307"/>
      <c r="BO268" s="307"/>
      <c r="BP268" s="307"/>
      <c r="BQ268" s="307"/>
      <c r="BR268" s="307"/>
      <c r="BS268" s="307"/>
      <c r="BT268" s="307"/>
      <c r="BU268" s="307"/>
      <c r="BV268" s="307"/>
      <c r="BW268" s="307"/>
      <c r="BX268" s="307"/>
      <c r="BY268" s="307"/>
      <c r="BZ268" s="307"/>
      <c r="CA268" s="307"/>
      <c r="CB268" s="307"/>
      <c r="CC268" s="307"/>
      <c r="CD268" s="307"/>
      <c r="CE268" s="307"/>
      <c r="CF268" s="307"/>
    </row>
    <row r="269" spans="1:84">
      <c r="A269" s="312" t="str">
        <f t="shared" si="1075"/>
        <v>Bond 19</v>
      </c>
      <c r="B269" s="312">
        <f t="shared" si="1076"/>
        <v>138.1150973255267</v>
      </c>
      <c r="C269" s="312">
        <f t="shared" si="1077"/>
        <v>138.53733598066299</v>
      </c>
      <c r="D269" s="312">
        <f t="shared" si="1078"/>
        <v>1.3467390153313332E-3</v>
      </c>
      <c r="E269" s="307"/>
      <c r="F269" s="307"/>
      <c r="G269" s="307"/>
      <c r="H269" s="307"/>
      <c r="I269" s="307"/>
      <c r="J269" s="307"/>
      <c r="K269" s="307"/>
      <c r="L269" s="307"/>
      <c r="M269" s="307"/>
      <c r="N269" s="307"/>
      <c r="O269" s="307"/>
      <c r="P269" s="307"/>
      <c r="Q269" s="307"/>
      <c r="R269" s="307"/>
      <c r="S269" s="307"/>
      <c r="T269" s="307"/>
      <c r="U269" s="307"/>
      <c r="V269" s="307"/>
      <c r="W269" s="307"/>
      <c r="X269" s="307"/>
      <c r="Y269" s="307"/>
      <c r="Z269" s="307"/>
      <c r="AA269" s="307"/>
      <c r="AB269" s="307"/>
      <c r="AC269" s="307"/>
      <c r="AD269" s="307"/>
      <c r="AE269" s="307"/>
      <c r="AF269" s="307"/>
      <c r="AG269" s="307"/>
      <c r="AH269" s="307"/>
      <c r="AI269" s="307"/>
      <c r="AJ269" s="307"/>
      <c r="AK269" s="307"/>
      <c r="AL269" s="307"/>
      <c r="AM269" s="307"/>
      <c r="AN269" s="307"/>
      <c r="AO269" s="307"/>
      <c r="AP269" s="307"/>
      <c r="AQ269" s="307"/>
      <c r="AR269" s="307"/>
      <c r="AS269" s="307"/>
      <c r="AT269" s="307"/>
      <c r="AU269" s="307"/>
      <c r="AV269" s="307"/>
      <c r="AW269" s="307"/>
      <c r="AX269" s="307"/>
      <c r="AY269" s="307"/>
      <c r="AZ269" s="307"/>
      <c r="BA269" s="307"/>
      <c r="BB269" s="307"/>
      <c r="BC269" s="307"/>
      <c r="BD269" s="307"/>
      <c r="BE269" s="307"/>
      <c r="BF269" s="307"/>
      <c r="BG269" s="307"/>
      <c r="BH269" s="307"/>
      <c r="BI269" s="307"/>
      <c r="BJ269" s="307"/>
      <c r="BK269" s="307"/>
      <c r="BL269" s="307"/>
      <c r="BM269" s="307"/>
      <c r="BN269" s="307"/>
      <c r="BO269" s="307"/>
      <c r="BP269" s="307"/>
      <c r="BQ269" s="307"/>
      <c r="BR269" s="307"/>
      <c r="BS269" s="307"/>
      <c r="BT269" s="307"/>
      <c r="BU269" s="307"/>
      <c r="BV269" s="307"/>
      <c r="BW269" s="307"/>
      <c r="BX269" s="307"/>
      <c r="BY269" s="307"/>
      <c r="BZ269" s="307"/>
      <c r="CA269" s="307"/>
      <c r="CB269" s="307"/>
      <c r="CC269" s="307"/>
      <c r="CD269" s="307"/>
      <c r="CE269" s="307"/>
      <c r="CF269" s="307"/>
    </row>
    <row r="270" spans="1:84">
      <c r="A270" s="312" t="str">
        <f t="shared" si="1075"/>
        <v>Bond 20</v>
      </c>
      <c r="B270" s="312">
        <f t="shared" si="1076"/>
        <v>133.30708368562432</v>
      </c>
      <c r="C270" s="312">
        <f t="shared" si="1077"/>
        <v>133.660005179558</v>
      </c>
      <c r="D270" s="312">
        <f t="shared" si="1078"/>
        <v>8.9013420527988022E-4</v>
      </c>
      <c r="E270" s="307"/>
      <c r="F270" s="307"/>
      <c r="G270" s="307"/>
      <c r="H270" s="307"/>
      <c r="I270" s="307"/>
      <c r="J270" s="307"/>
      <c r="K270" s="307"/>
      <c r="L270" s="307"/>
      <c r="M270" s="307"/>
      <c r="N270" s="307"/>
      <c r="O270" s="307"/>
      <c r="P270" s="307"/>
      <c r="Q270" s="307"/>
      <c r="R270" s="307"/>
      <c r="S270" s="307"/>
      <c r="T270" s="307"/>
      <c r="U270" s="307"/>
      <c r="V270" s="307"/>
      <c r="W270" s="307"/>
      <c r="X270" s="307"/>
      <c r="Y270" s="307"/>
      <c r="Z270" s="307"/>
      <c r="AA270" s="307"/>
      <c r="AB270" s="307"/>
      <c r="AC270" s="307"/>
      <c r="AD270" s="307"/>
      <c r="AE270" s="307"/>
      <c r="AF270" s="307"/>
      <c r="AG270" s="307"/>
      <c r="AH270" s="307"/>
      <c r="AI270" s="307"/>
      <c r="AJ270" s="307"/>
      <c r="AK270" s="307"/>
      <c r="AL270" s="307"/>
      <c r="AM270" s="307"/>
      <c r="AN270" s="307"/>
      <c r="AO270" s="307"/>
      <c r="AP270" s="307"/>
      <c r="AQ270" s="307"/>
      <c r="AR270" s="307"/>
      <c r="AS270" s="307"/>
      <c r="AT270" s="307"/>
      <c r="AU270" s="307"/>
      <c r="AV270" s="307"/>
      <c r="AW270" s="307"/>
      <c r="AX270" s="307"/>
      <c r="AY270" s="307"/>
      <c r="AZ270" s="307"/>
      <c r="BA270" s="307"/>
      <c r="BB270" s="307"/>
      <c r="BC270" s="307"/>
      <c r="BD270" s="307"/>
      <c r="BE270" s="307"/>
      <c r="BF270" s="307"/>
      <c r="BG270" s="307"/>
      <c r="BH270" s="307"/>
      <c r="BI270" s="307"/>
      <c r="BJ270" s="307"/>
      <c r="BK270" s="307"/>
      <c r="BL270" s="307"/>
      <c r="BM270" s="307"/>
      <c r="BN270" s="307"/>
      <c r="BO270" s="307"/>
      <c r="BP270" s="307"/>
      <c r="BQ270" s="307"/>
      <c r="BR270" s="307"/>
      <c r="BS270" s="307"/>
      <c r="BT270" s="307"/>
      <c r="BU270" s="307"/>
      <c r="BV270" s="307"/>
      <c r="BW270" s="307"/>
      <c r="BX270" s="307"/>
      <c r="BY270" s="307"/>
      <c r="BZ270" s="307"/>
      <c r="CA270" s="307"/>
      <c r="CB270" s="307"/>
      <c r="CC270" s="307"/>
      <c r="CD270" s="307"/>
      <c r="CE270" s="307"/>
      <c r="CF270" s="307"/>
    </row>
    <row r="271" spans="1:84">
      <c r="A271" s="312" t="str">
        <f t="shared" si="1075"/>
        <v>Bond 21</v>
      </c>
      <c r="B271" s="312">
        <f t="shared" si="1076"/>
        <v>119.77454556737067</v>
      </c>
      <c r="C271" s="312">
        <f t="shared" si="1077"/>
        <v>119.9123791436464</v>
      </c>
      <c r="D271" s="312">
        <f t="shared" si="1078"/>
        <v>1.2559616686299706E-4</v>
      </c>
      <c r="E271" s="303"/>
      <c r="F271" s="307"/>
      <c r="G271" s="307"/>
      <c r="H271" s="307"/>
      <c r="I271" s="307"/>
      <c r="J271" s="307"/>
      <c r="K271" s="307"/>
      <c r="L271" s="307"/>
      <c r="M271" s="307"/>
      <c r="N271" s="307"/>
      <c r="O271" s="307"/>
      <c r="P271" s="307"/>
      <c r="Q271" s="307"/>
      <c r="R271" s="307"/>
      <c r="S271" s="307"/>
      <c r="T271" s="307"/>
      <c r="U271" s="307"/>
      <c r="V271" s="307"/>
      <c r="W271" s="307"/>
      <c r="X271" s="307"/>
      <c r="Y271" s="307"/>
      <c r="Z271" s="307"/>
      <c r="AA271" s="307"/>
      <c r="AB271" s="307"/>
      <c r="AC271" s="307"/>
      <c r="AD271" s="307"/>
      <c r="AE271" s="307"/>
      <c r="AF271" s="307"/>
      <c r="AG271" s="307"/>
      <c r="AH271" s="307"/>
      <c r="AI271" s="307"/>
      <c r="AJ271" s="307"/>
      <c r="AK271" s="307"/>
      <c r="AL271" s="307"/>
      <c r="AM271" s="307"/>
      <c r="AN271" s="307"/>
      <c r="AO271" s="307"/>
      <c r="AP271" s="307"/>
      <c r="AQ271" s="307"/>
      <c r="AR271" s="307"/>
      <c r="AS271" s="307"/>
      <c r="AT271" s="307"/>
      <c r="AU271" s="307"/>
      <c r="AV271" s="307"/>
      <c r="AW271" s="307"/>
      <c r="AX271" s="307"/>
      <c r="AY271" s="307"/>
      <c r="AZ271" s="307"/>
      <c r="BA271" s="307"/>
      <c r="BB271" s="307"/>
      <c r="BC271" s="307"/>
      <c r="BD271" s="307"/>
      <c r="BE271" s="307"/>
      <c r="BF271" s="307"/>
      <c r="BG271" s="307"/>
      <c r="BH271" s="307"/>
      <c r="BI271" s="307"/>
      <c r="BJ271" s="307"/>
      <c r="BK271" s="307"/>
      <c r="BL271" s="307"/>
      <c r="BM271" s="307"/>
      <c r="BN271" s="307"/>
      <c r="BO271" s="307"/>
      <c r="BP271" s="307"/>
      <c r="BQ271" s="307"/>
      <c r="BR271" s="307"/>
      <c r="BS271" s="307"/>
      <c r="BT271" s="307"/>
      <c r="BU271" s="307"/>
      <c r="BV271" s="307"/>
      <c r="BW271" s="307"/>
      <c r="BX271" s="307"/>
      <c r="BY271" s="307"/>
      <c r="BZ271" s="307"/>
      <c r="CA271" s="307"/>
      <c r="CB271" s="307"/>
      <c r="CC271" s="307"/>
      <c r="CD271" s="307"/>
      <c r="CE271" s="307"/>
      <c r="CF271" s="307"/>
    </row>
    <row r="272" spans="1:84">
      <c r="A272" s="312" t="str">
        <f t="shared" si="1075"/>
        <v>Bond 22</v>
      </c>
      <c r="B272" s="312">
        <f t="shared" si="1076"/>
        <v>126.47708930910593</v>
      </c>
      <c r="C272" s="312">
        <f t="shared" si="1077"/>
        <v>126.14127244475138</v>
      </c>
      <c r="D272" s="312">
        <f t="shared" si="1078"/>
        <v>7.2072532221674837E-4</v>
      </c>
      <c r="E272" s="303"/>
      <c r="F272" s="307"/>
      <c r="G272" s="307"/>
      <c r="H272" s="307"/>
      <c r="I272" s="307"/>
      <c r="J272" s="307"/>
      <c r="K272" s="307"/>
      <c r="L272" s="307"/>
      <c r="M272" s="307"/>
      <c r="N272" s="307"/>
      <c r="O272" s="307"/>
      <c r="P272" s="307"/>
      <c r="Q272" s="307"/>
      <c r="R272" s="307"/>
      <c r="S272" s="307"/>
      <c r="T272" s="307"/>
      <c r="U272" s="307"/>
      <c r="V272" s="307"/>
      <c r="W272" s="307"/>
      <c r="X272" s="307"/>
      <c r="Y272" s="307"/>
      <c r="Z272" s="307"/>
      <c r="AA272" s="307"/>
      <c r="AB272" s="307"/>
      <c r="AC272" s="307"/>
      <c r="AD272" s="307"/>
      <c r="AE272" s="307"/>
      <c r="AF272" s="307"/>
      <c r="AG272" s="307"/>
      <c r="AH272" s="307"/>
      <c r="AI272" s="307"/>
      <c r="AJ272" s="307"/>
      <c r="AK272" s="307"/>
      <c r="AL272" s="307"/>
      <c r="AM272" s="307"/>
      <c r="AN272" s="307"/>
      <c r="AO272" s="307"/>
      <c r="AP272" s="307"/>
      <c r="AQ272" s="307"/>
      <c r="AR272" s="307"/>
      <c r="AS272" s="307"/>
      <c r="AT272" s="307"/>
      <c r="AU272" s="307"/>
      <c r="AV272" s="307"/>
      <c r="AW272" s="307"/>
      <c r="AX272" s="307"/>
      <c r="AY272" s="307"/>
      <c r="AZ272" s="307"/>
      <c r="BA272" s="307"/>
      <c r="BB272" s="307"/>
      <c r="BC272" s="307"/>
      <c r="BD272" s="307"/>
      <c r="BE272" s="307"/>
      <c r="BF272" s="307"/>
      <c r="BG272" s="307"/>
      <c r="BH272" s="307"/>
      <c r="BI272" s="307"/>
      <c r="BJ272" s="307"/>
      <c r="BK272" s="307"/>
      <c r="BL272" s="307"/>
      <c r="BM272" s="307"/>
      <c r="BN272" s="307"/>
      <c r="BO272" s="307"/>
      <c r="BP272" s="307"/>
      <c r="BQ272" s="307"/>
      <c r="BR272" s="307"/>
      <c r="BS272" s="307"/>
      <c r="BT272" s="307"/>
      <c r="BU272" s="307"/>
      <c r="BV272" s="307"/>
      <c r="BW272" s="307"/>
      <c r="BX272" s="307"/>
      <c r="BY272" s="307"/>
      <c r="BZ272" s="307"/>
      <c r="CA272" s="307"/>
      <c r="CB272" s="307"/>
      <c r="CC272" s="307"/>
      <c r="CD272" s="307"/>
      <c r="CE272" s="307"/>
      <c r="CF272" s="307"/>
    </row>
    <row r="273" spans="1:84">
      <c r="A273" s="312" t="str">
        <f t="shared" si="1075"/>
        <v>Bond 23</v>
      </c>
      <c r="B273" s="312">
        <f t="shared" si="1076"/>
        <v>134.46383269827959</v>
      </c>
      <c r="C273" s="312">
        <f t="shared" si="1077"/>
        <v>133.85597826086956</v>
      </c>
      <c r="D273" s="312">
        <f t="shared" si="1078"/>
        <v>2.3393530980760761E-3</v>
      </c>
      <c r="E273" s="303"/>
      <c r="F273" s="307"/>
      <c r="G273" s="307"/>
      <c r="H273" s="307"/>
      <c r="I273" s="307"/>
      <c r="J273" s="307"/>
      <c r="K273" s="307"/>
      <c r="L273" s="307"/>
      <c r="M273" s="307"/>
      <c r="N273" s="307"/>
      <c r="O273" s="307"/>
      <c r="P273" s="307"/>
      <c r="Q273" s="307"/>
      <c r="R273" s="307"/>
      <c r="S273" s="307"/>
      <c r="T273" s="307"/>
      <c r="U273" s="307"/>
      <c r="V273" s="307"/>
      <c r="W273" s="307"/>
      <c r="X273" s="307"/>
      <c r="Y273" s="307"/>
      <c r="Z273" s="307"/>
      <c r="AA273" s="307"/>
      <c r="AB273" s="307"/>
      <c r="AC273" s="307"/>
      <c r="AD273" s="307"/>
      <c r="AE273" s="307"/>
      <c r="AF273" s="307"/>
      <c r="AG273" s="307"/>
      <c r="AH273" s="307"/>
      <c r="AI273" s="307"/>
      <c r="AJ273" s="307"/>
      <c r="AK273" s="307"/>
      <c r="AL273" s="307"/>
      <c r="AM273" s="307"/>
      <c r="AN273" s="307"/>
      <c r="AO273" s="307"/>
      <c r="AP273" s="307"/>
      <c r="AQ273" s="307"/>
      <c r="AR273" s="307"/>
      <c r="AS273" s="307"/>
      <c r="AT273" s="307"/>
      <c r="AU273" s="307"/>
      <c r="AV273" s="307"/>
      <c r="AW273" s="307"/>
      <c r="AX273" s="307"/>
      <c r="AY273" s="307"/>
      <c r="AZ273" s="307"/>
      <c r="BA273" s="307"/>
      <c r="BB273" s="307"/>
      <c r="BC273" s="307"/>
      <c r="BD273" s="307"/>
      <c r="BE273" s="307"/>
      <c r="BF273" s="307"/>
      <c r="BG273" s="307"/>
      <c r="BH273" s="307"/>
      <c r="BI273" s="307"/>
      <c r="BJ273" s="307"/>
      <c r="BK273" s="307"/>
      <c r="BL273" s="307"/>
      <c r="BM273" s="307"/>
      <c r="BN273" s="307"/>
      <c r="BO273" s="307"/>
      <c r="BP273" s="307"/>
      <c r="BQ273" s="307"/>
      <c r="BR273" s="307"/>
      <c r="BS273" s="307"/>
      <c r="BT273" s="307"/>
      <c r="BU273" s="307"/>
      <c r="BV273" s="307"/>
      <c r="BW273" s="307"/>
      <c r="BX273" s="307"/>
      <c r="BY273" s="307"/>
      <c r="BZ273" s="307"/>
      <c r="CA273" s="307"/>
      <c r="CB273" s="307"/>
      <c r="CC273" s="307"/>
      <c r="CD273" s="307"/>
      <c r="CE273" s="307"/>
      <c r="CF273" s="307"/>
    </row>
    <row r="274" spans="1:84">
      <c r="A274" s="312" t="str">
        <f t="shared" si="1075"/>
        <v>Bond 24</v>
      </c>
      <c r="B274" s="312">
        <f t="shared" si="1076"/>
        <v>106.37963893587194</v>
      </c>
      <c r="C274" s="312">
        <f t="shared" si="1077"/>
        <v>105.74365504143647</v>
      </c>
      <c r="D274" s="312">
        <f t="shared" si="1078"/>
        <v>2.2792728395839789E-3</v>
      </c>
      <c r="E274" s="303"/>
      <c r="F274" s="307"/>
      <c r="G274" s="307"/>
      <c r="H274" s="307"/>
      <c r="I274" s="307"/>
      <c r="J274" s="307"/>
      <c r="K274" s="307"/>
      <c r="L274" s="307"/>
      <c r="M274" s="307"/>
      <c r="N274" s="307"/>
      <c r="O274" s="307"/>
      <c r="P274" s="307"/>
      <c r="Q274" s="307"/>
      <c r="R274" s="307"/>
      <c r="S274" s="307"/>
      <c r="T274" s="307"/>
      <c r="U274" s="307"/>
      <c r="V274" s="307"/>
      <c r="W274" s="307"/>
      <c r="X274" s="307"/>
      <c r="Y274" s="307"/>
      <c r="Z274" s="307"/>
      <c r="AA274" s="307"/>
      <c r="AB274" s="307"/>
      <c r="AC274" s="307"/>
      <c r="AD274" s="307"/>
      <c r="AE274" s="307"/>
      <c r="AF274" s="307"/>
      <c r="AG274" s="307"/>
      <c r="AH274" s="307"/>
      <c r="AI274" s="307"/>
      <c r="AJ274" s="307"/>
      <c r="AK274" s="307"/>
      <c r="AL274" s="307"/>
      <c r="AM274" s="307"/>
      <c r="AN274" s="307"/>
      <c r="AO274" s="307"/>
      <c r="AP274" s="307"/>
      <c r="AQ274" s="307"/>
      <c r="AR274" s="307"/>
      <c r="AS274" s="307"/>
      <c r="AT274" s="307"/>
      <c r="AU274" s="307"/>
      <c r="AV274" s="307"/>
      <c r="AW274" s="307"/>
      <c r="AX274" s="307"/>
      <c r="AY274" s="307"/>
      <c r="AZ274" s="307"/>
      <c r="BA274" s="307"/>
      <c r="BB274" s="307"/>
      <c r="BC274" s="307"/>
      <c r="BD274" s="307"/>
      <c r="BE274" s="307"/>
      <c r="BF274" s="307"/>
      <c r="BG274" s="307"/>
      <c r="BH274" s="307"/>
      <c r="BI274" s="307"/>
      <c r="BJ274" s="307"/>
      <c r="BK274" s="307"/>
      <c r="BL274" s="307"/>
      <c r="BM274" s="307"/>
      <c r="BN274" s="307"/>
      <c r="BO274" s="307"/>
      <c r="BP274" s="307"/>
      <c r="BQ274" s="307"/>
      <c r="BR274" s="307"/>
      <c r="BS274" s="307"/>
      <c r="BT274" s="307"/>
      <c r="BU274" s="307"/>
      <c r="BV274" s="307"/>
      <c r="BW274" s="307"/>
      <c r="BX274" s="307"/>
      <c r="BY274" s="307"/>
      <c r="BZ274" s="307"/>
      <c r="CA274" s="307"/>
      <c r="CB274" s="307"/>
      <c r="CC274" s="307"/>
      <c r="CD274" s="307"/>
      <c r="CE274" s="307"/>
      <c r="CF274" s="307"/>
    </row>
    <row r="275" spans="1:84">
      <c r="A275" s="312" t="str">
        <f t="shared" si="1075"/>
        <v>Bond 25</v>
      </c>
      <c r="B275" s="312">
        <f t="shared" si="1076"/>
        <v>107.72253514977804</v>
      </c>
      <c r="C275" s="312">
        <f t="shared" si="1077"/>
        <v>107.09375</v>
      </c>
      <c r="D275" s="312">
        <f t="shared" si="1078"/>
        <v>2.1817580796342048E-3</v>
      </c>
      <c r="E275" s="303"/>
      <c r="F275" s="307"/>
      <c r="G275" s="307"/>
      <c r="H275" s="307"/>
      <c r="I275" s="307"/>
      <c r="J275" s="307"/>
      <c r="K275" s="307"/>
      <c r="L275" s="307"/>
      <c r="M275" s="307"/>
      <c r="N275" s="307"/>
      <c r="O275" s="307"/>
      <c r="P275" s="307"/>
      <c r="Q275" s="307"/>
      <c r="R275" s="307"/>
      <c r="S275" s="307"/>
      <c r="T275" s="307"/>
      <c r="U275" s="307"/>
      <c r="V275" s="307"/>
      <c r="W275" s="307"/>
      <c r="X275" s="307"/>
      <c r="Y275" s="307"/>
      <c r="Z275" s="307"/>
      <c r="AA275" s="307"/>
      <c r="AB275" s="307"/>
      <c r="AC275" s="307"/>
      <c r="AD275" s="307"/>
      <c r="AE275" s="307"/>
      <c r="AF275" s="307"/>
      <c r="AG275" s="307"/>
      <c r="AH275" s="307"/>
      <c r="AI275" s="307"/>
      <c r="AJ275" s="307"/>
      <c r="AK275" s="307"/>
      <c r="AL275" s="307"/>
      <c r="AM275" s="307"/>
      <c r="AN275" s="307"/>
      <c r="AO275" s="307"/>
      <c r="AP275" s="307"/>
      <c r="AQ275" s="307"/>
      <c r="AR275" s="307"/>
      <c r="AS275" s="307"/>
      <c r="AT275" s="307"/>
      <c r="AU275" s="307"/>
      <c r="AV275" s="307"/>
      <c r="AW275" s="307"/>
      <c r="AX275" s="307"/>
      <c r="AY275" s="307"/>
      <c r="AZ275" s="307"/>
      <c r="BA275" s="307"/>
      <c r="BB275" s="307"/>
      <c r="BC275" s="307"/>
      <c r="BD275" s="307"/>
      <c r="BE275" s="307"/>
      <c r="BF275" s="307"/>
      <c r="BG275" s="307"/>
      <c r="BH275" s="307"/>
      <c r="BI275" s="307"/>
      <c r="BJ275" s="307"/>
      <c r="BK275" s="307"/>
      <c r="BL275" s="307"/>
      <c r="BM275" s="307"/>
      <c r="BN275" s="307"/>
      <c r="BO275" s="307"/>
      <c r="BP275" s="307"/>
      <c r="BQ275" s="307"/>
      <c r="BR275" s="307"/>
      <c r="BS275" s="307"/>
      <c r="BT275" s="307"/>
      <c r="BU275" s="307"/>
      <c r="BV275" s="307"/>
      <c r="BW275" s="307"/>
      <c r="BX275" s="307"/>
      <c r="BY275" s="307"/>
      <c r="BZ275" s="307"/>
      <c r="CA275" s="307"/>
      <c r="CB275" s="307"/>
      <c r="CC275" s="307"/>
      <c r="CD275" s="307"/>
      <c r="CE275" s="307"/>
      <c r="CF275" s="307"/>
    </row>
    <row r="276" spans="1:84">
      <c r="A276" s="312" t="str">
        <f t="shared" si="1075"/>
        <v>Bond 26</v>
      </c>
      <c r="B276" s="312">
        <f t="shared" si="1076"/>
        <v>105.63150652577414</v>
      </c>
      <c r="C276" s="312">
        <f t="shared" si="1077"/>
        <v>107.28125</v>
      </c>
      <c r="D276" s="312">
        <f t="shared" si="1078"/>
        <v>1.2887419354845425E-2</v>
      </c>
      <c r="E276" s="303"/>
      <c r="F276" s="307"/>
      <c r="G276" s="307"/>
      <c r="H276" s="307"/>
      <c r="I276" s="307"/>
      <c r="J276" s="307"/>
      <c r="K276" s="307"/>
      <c r="L276" s="307"/>
      <c r="M276" s="307"/>
      <c r="N276" s="307"/>
      <c r="O276" s="307"/>
      <c r="P276" s="307"/>
      <c r="Q276" s="307"/>
      <c r="R276" s="307"/>
      <c r="S276" s="307"/>
      <c r="T276" s="307"/>
      <c r="U276" s="307"/>
      <c r="V276" s="307"/>
      <c r="W276" s="307"/>
      <c r="X276" s="307"/>
      <c r="Y276" s="307"/>
      <c r="Z276" s="307"/>
      <c r="AA276" s="307"/>
      <c r="AB276" s="307"/>
      <c r="AC276" s="307"/>
      <c r="AD276" s="307"/>
      <c r="AE276" s="307"/>
      <c r="AF276" s="307"/>
      <c r="AG276" s="307"/>
      <c r="AH276" s="307"/>
      <c r="AI276" s="307"/>
      <c r="AJ276" s="307"/>
      <c r="AK276" s="307"/>
      <c r="AL276" s="307"/>
      <c r="AM276" s="307"/>
      <c r="AN276" s="307"/>
      <c r="AO276" s="307"/>
      <c r="AP276" s="307"/>
      <c r="AQ276" s="307"/>
      <c r="AR276" s="307"/>
      <c r="AS276" s="307"/>
      <c r="AT276" s="307"/>
      <c r="AU276" s="307"/>
      <c r="AV276" s="307"/>
      <c r="AW276" s="307"/>
      <c r="AX276" s="307"/>
      <c r="AY276" s="307"/>
      <c r="AZ276" s="307"/>
      <c r="BA276" s="307"/>
      <c r="BB276" s="307"/>
      <c r="BC276" s="307"/>
      <c r="BD276" s="307"/>
      <c r="BE276" s="307"/>
      <c r="BF276" s="307"/>
      <c r="BG276" s="307"/>
      <c r="BH276" s="307"/>
      <c r="BI276" s="307"/>
      <c r="BJ276" s="307"/>
      <c r="BK276" s="307"/>
      <c r="BL276" s="307"/>
      <c r="BM276" s="307"/>
      <c r="BN276" s="307"/>
      <c r="BO276" s="307"/>
      <c r="BP276" s="307"/>
      <c r="BQ276" s="307"/>
      <c r="BR276" s="307"/>
      <c r="BS276" s="307"/>
      <c r="BT276" s="307"/>
      <c r="BU276" s="307"/>
      <c r="BV276" s="307"/>
      <c r="BW276" s="307"/>
      <c r="BX276" s="307"/>
      <c r="BY276" s="307"/>
      <c r="BZ276" s="307"/>
      <c r="CA276" s="307"/>
      <c r="CB276" s="307"/>
      <c r="CC276" s="307"/>
      <c r="CD276" s="307"/>
      <c r="CE276" s="307"/>
      <c r="CF276" s="307"/>
    </row>
    <row r="277" spans="1:84">
      <c r="A277" s="312"/>
      <c r="B277" s="312"/>
      <c r="C277" s="312"/>
      <c r="D277" s="312"/>
      <c r="E277" s="303"/>
      <c r="F277" s="307"/>
      <c r="G277" s="307"/>
      <c r="H277" s="307"/>
      <c r="I277" s="307"/>
      <c r="J277" s="307"/>
      <c r="K277" s="307"/>
      <c r="L277" s="307"/>
      <c r="M277" s="307"/>
      <c r="N277" s="307"/>
      <c r="O277" s="307"/>
      <c r="P277" s="307"/>
      <c r="Q277" s="307"/>
      <c r="R277" s="307"/>
      <c r="S277" s="307"/>
      <c r="T277" s="307"/>
      <c r="U277" s="307"/>
      <c r="V277" s="307"/>
      <c r="W277" s="307"/>
      <c r="X277" s="307"/>
      <c r="Y277" s="307"/>
      <c r="Z277" s="307"/>
      <c r="AA277" s="307"/>
      <c r="AB277" s="307"/>
      <c r="AC277" s="307"/>
      <c r="AD277" s="307"/>
      <c r="AE277" s="307"/>
      <c r="AF277" s="307"/>
      <c r="AG277" s="307"/>
      <c r="AH277" s="307"/>
      <c r="AI277" s="307"/>
      <c r="AJ277" s="307"/>
      <c r="AK277" s="307"/>
      <c r="AL277" s="307"/>
      <c r="AM277" s="307"/>
      <c r="AN277" s="307"/>
      <c r="AO277" s="307"/>
      <c r="AP277" s="307"/>
      <c r="AQ277" s="307"/>
      <c r="AR277" s="307"/>
      <c r="AS277" s="307"/>
      <c r="AT277" s="307"/>
      <c r="AU277" s="307"/>
      <c r="AV277" s="307"/>
      <c r="AW277" s="307"/>
      <c r="AX277" s="307"/>
      <c r="AY277" s="307"/>
      <c r="AZ277" s="307"/>
      <c r="BA277" s="307"/>
      <c r="BB277" s="307"/>
      <c r="BC277" s="307"/>
      <c r="BD277" s="307"/>
      <c r="BE277" s="307"/>
      <c r="BF277" s="307"/>
      <c r="BG277" s="307"/>
      <c r="BH277" s="307"/>
      <c r="BI277" s="307"/>
      <c r="BJ277" s="307"/>
      <c r="BK277" s="307"/>
      <c r="BL277" s="307"/>
      <c r="BM277" s="307"/>
      <c r="BN277" s="307"/>
      <c r="BO277" s="307"/>
      <c r="BP277" s="307"/>
      <c r="BQ277" s="307"/>
      <c r="BR277" s="307"/>
      <c r="BS277" s="307"/>
      <c r="BT277" s="307"/>
      <c r="BU277" s="307"/>
      <c r="BV277" s="307"/>
      <c r="BW277" s="307"/>
      <c r="BX277" s="307"/>
      <c r="BY277" s="307"/>
      <c r="BZ277" s="307"/>
      <c r="CA277" s="307"/>
      <c r="CB277" s="307"/>
      <c r="CC277" s="307"/>
      <c r="CD277" s="307"/>
      <c r="CE277" s="307"/>
      <c r="CF277" s="307"/>
    </row>
    <row r="278" spans="1:84">
      <c r="C278" s="313" t="s">
        <v>15</v>
      </c>
      <c r="D278" s="313">
        <f>SUM(D251:D277)</f>
        <v>4.1661161284170814E-2</v>
      </c>
      <c r="E278" s="303"/>
      <c r="F278" s="307"/>
      <c r="G278" s="307"/>
      <c r="H278" s="307"/>
      <c r="I278" s="307"/>
      <c r="J278" s="307"/>
      <c r="K278" s="307"/>
      <c r="L278" s="307"/>
      <c r="M278" s="307"/>
      <c r="N278" s="307"/>
      <c r="O278" s="307"/>
      <c r="P278" s="307"/>
      <c r="Q278" s="307"/>
      <c r="R278" s="307"/>
      <c r="S278" s="307"/>
      <c r="T278" s="307"/>
      <c r="U278" s="307"/>
      <c r="V278" s="307"/>
      <c r="W278" s="307"/>
      <c r="X278" s="307"/>
      <c r="Y278" s="307"/>
      <c r="Z278" s="307"/>
      <c r="AA278" s="307"/>
      <c r="AB278" s="307"/>
      <c r="AC278" s="307"/>
      <c r="AD278" s="307"/>
      <c r="AE278" s="307"/>
      <c r="AF278" s="307"/>
      <c r="AG278" s="307"/>
      <c r="AH278" s="307"/>
      <c r="AI278" s="307"/>
      <c r="AJ278" s="307"/>
      <c r="AK278" s="307"/>
      <c r="AL278" s="307"/>
      <c r="AM278" s="307"/>
      <c r="AN278" s="307"/>
      <c r="AO278" s="307"/>
      <c r="AP278" s="307"/>
      <c r="AQ278" s="307"/>
      <c r="AR278" s="307"/>
      <c r="AS278" s="307"/>
      <c r="AT278" s="307"/>
      <c r="AU278" s="307"/>
      <c r="AV278" s="307"/>
      <c r="AW278" s="307"/>
      <c r="AX278" s="307"/>
      <c r="AY278" s="307"/>
      <c r="AZ278" s="307"/>
      <c r="BA278" s="307"/>
      <c r="BB278" s="307"/>
      <c r="BC278" s="307"/>
      <c r="BD278" s="307"/>
      <c r="BE278" s="307"/>
      <c r="BF278" s="307"/>
      <c r="BG278" s="307"/>
      <c r="BH278" s="307"/>
      <c r="BI278" s="307"/>
      <c r="BJ278" s="307"/>
      <c r="BK278" s="307"/>
      <c r="BL278" s="307"/>
      <c r="BM278" s="307"/>
      <c r="BN278" s="307"/>
      <c r="BO278" s="307"/>
      <c r="BP278" s="307"/>
      <c r="BQ278" s="307"/>
      <c r="BR278" s="307"/>
      <c r="BS278" s="307"/>
      <c r="BT278" s="307"/>
      <c r="BU278" s="307"/>
      <c r="BV278" s="307"/>
      <c r="BW278" s="307"/>
      <c r="BX278" s="307"/>
      <c r="BY278" s="307"/>
      <c r="BZ278" s="307"/>
      <c r="CA278" s="307"/>
      <c r="CB278" s="307"/>
      <c r="CC278" s="307"/>
      <c r="CD278" s="307"/>
      <c r="CE278" s="307"/>
      <c r="CF278" s="307"/>
    </row>
    <row r="279" spans="1:84">
      <c r="D279" s="307"/>
      <c r="E279" s="303"/>
      <c r="F279" s="307"/>
      <c r="G279" s="307"/>
      <c r="H279" s="307"/>
      <c r="I279" s="307"/>
      <c r="J279" s="307"/>
      <c r="K279" s="307"/>
      <c r="L279" s="307"/>
      <c r="M279" s="307"/>
      <c r="N279" s="307"/>
      <c r="O279" s="307"/>
      <c r="P279" s="307"/>
      <c r="Q279" s="307"/>
      <c r="R279" s="307"/>
      <c r="S279" s="307"/>
      <c r="T279" s="307"/>
      <c r="U279" s="307"/>
      <c r="V279" s="307"/>
      <c r="W279" s="307"/>
      <c r="X279" s="307"/>
      <c r="Y279" s="307"/>
      <c r="Z279" s="307"/>
      <c r="AA279" s="307"/>
      <c r="AB279" s="307"/>
      <c r="AC279" s="307"/>
      <c r="AD279" s="307"/>
      <c r="AE279" s="307"/>
      <c r="AF279" s="307"/>
      <c r="AG279" s="307"/>
      <c r="AH279" s="307"/>
      <c r="AI279" s="307"/>
      <c r="AJ279" s="307"/>
      <c r="AK279" s="307"/>
      <c r="AL279" s="307"/>
      <c r="AM279" s="307"/>
      <c r="AN279" s="307"/>
      <c r="AO279" s="307"/>
      <c r="AP279" s="307"/>
      <c r="AQ279" s="307"/>
      <c r="AR279" s="307"/>
      <c r="AS279" s="307"/>
      <c r="AT279" s="307"/>
      <c r="AU279" s="307"/>
      <c r="AV279" s="307"/>
      <c r="AW279" s="307"/>
      <c r="AX279" s="307"/>
      <c r="AY279" s="307"/>
      <c r="AZ279" s="307"/>
      <c r="BA279" s="307"/>
      <c r="BB279" s="307"/>
      <c r="BC279" s="307"/>
      <c r="BD279" s="307"/>
      <c r="BE279" s="307"/>
      <c r="BF279" s="307"/>
      <c r="BG279" s="307"/>
      <c r="BH279" s="307"/>
      <c r="BI279" s="307"/>
      <c r="BJ279" s="307"/>
      <c r="BK279" s="307"/>
      <c r="BL279" s="307"/>
      <c r="BM279" s="307"/>
      <c r="BN279" s="307"/>
      <c r="BO279" s="307"/>
      <c r="BP279" s="307"/>
      <c r="BQ279" s="307"/>
      <c r="BR279" s="307"/>
      <c r="BS279" s="307"/>
      <c r="BT279" s="307"/>
      <c r="BU279" s="307"/>
      <c r="BV279" s="307"/>
      <c r="BW279" s="307"/>
      <c r="BX279" s="307"/>
      <c r="BY279" s="307"/>
      <c r="BZ279" s="307"/>
      <c r="CA279" s="307"/>
      <c r="CB279" s="307"/>
      <c r="CC279" s="307"/>
      <c r="CD279" s="307"/>
      <c r="CE279" s="307"/>
      <c r="CF279" s="307"/>
    </row>
    <row r="280" spans="1:84">
      <c r="D280" s="307"/>
      <c r="E280" s="303"/>
      <c r="F280" s="307"/>
      <c r="G280" s="307"/>
      <c r="H280" s="307"/>
      <c r="I280" s="307"/>
      <c r="J280" s="307"/>
      <c r="K280" s="307"/>
      <c r="L280" s="307"/>
      <c r="M280" s="307"/>
      <c r="N280" s="307"/>
      <c r="O280" s="307"/>
      <c r="P280" s="307"/>
      <c r="Q280" s="307"/>
      <c r="R280" s="307"/>
      <c r="S280" s="307"/>
      <c r="T280" s="307"/>
      <c r="U280" s="307"/>
      <c r="V280" s="307"/>
      <c r="W280" s="307"/>
      <c r="X280" s="307"/>
      <c r="Y280" s="307"/>
      <c r="Z280" s="307"/>
      <c r="AA280" s="307"/>
      <c r="AB280" s="307"/>
      <c r="AC280" s="307"/>
      <c r="AD280" s="307"/>
      <c r="AE280" s="307"/>
      <c r="AF280" s="307"/>
      <c r="AG280" s="307"/>
      <c r="AH280" s="307"/>
      <c r="AI280" s="307"/>
      <c r="AJ280" s="307"/>
      <c r="AK280" s="307"/>
      <c r="AL280" s="307"/>
      <c r="AM280" s="307"/>
      <c r="AN280" s="307"/>
      <c r="AO280" s="307"/>
      <c r="AP280" s="307"/>
      <c r="AQ280" s="307"/>
      <c r="AR280" s="307"/>
      <c r="AS280" s="307"/>
      <c r="AT280" s="307"/>
      <c r="AU280" s="307"/>
      <c r="AV280" s="307"/>
      <c r="AW280" s="307"/>
      <c r="AX280" s="307"/>
      <c r="AY280" s="307"/>
      <c r="AZ280" s="307"/>
      <c r="BA280" s="307"/>
      <c r="BB280" s="307"/>
      <c r="BC280" s="307"/>
      <c r="BD280" s="307"/>
      <c r="BE280" s="307"/>
      <c r="BF280" s="307"/>
      <c r="BG280" s="307"/>
      <c r="BH280" s="307"/>
      <c r="BI280" s="307"/>
      <c r="BJ280" s="307"/>
      <c r="BK280" s="307"/>
      <c r="BL280" s="307"/>
      <c r="BM280" s="307"/>
      <c r="BN280" s="307"/>
      <c r="BO280" s="307"/>
      <c r="BP280" s="307"/>
      <c r="BQ280" s="307"/>
      <c r="BR280" s="307"/>
      <c r="BS280" s="307"/>
      <c r="BT280" s="307"/>
      <c r="BU280" s="307"/>
      <c r="BV280" s="307"/>
      <c r="BW280" s="307"/>
      <c r="BX280" s="307"/>
      <c r="BY280" s="307"/>
      <c r="BZ280" s="307"/>
      <c r="CA280" s="307"/>
      <c r="CB280" s="307"/>
      <c r="CC280" s="307"/>
      <c r="CD280" s="307"/>
      <c r="CE280" s="307"/>
      <c r="CF280" s="307"/>
    </row>
    <row r="281" spans="1:84">
      <c r="D281" s="307"/>
      <c r="E281" s="303"/>
      <c r="F281" s="307"/>
      <c r="G281" s="307"/>
      <c r="H281" s="307"/>
      <c r="I281" s="307"/>
      <c r="J281" s="307"/>
      <c r="K281" s="307"/>
      <c r="L281" s="307"/>
      <c r="M281" s="307"/>
      <c r="N281" s="307"/>
      <c r="O281" s="307"/>
      <c r="P281" s="307"/>
      <c r="Q281" s="307"/>
      <c r="R281" s="307"/>
      <c r="S281" s="307"/>
      <c r="T281" s="307"/>
      <c r="U281" s="307"/>
      <c r="V281" s="307"/>
      <c r="W281" s="307"/>
      <c r="X281" s="307"/>
      <c r="Y281" s="307"/>
      <c r="Z281" s="307"/>
      <c r="AA281" s="307"/>
      <c r="AB281" s="307"/>
      <c r="AC281" s="307"/>
      <c r="AD281" s="307"/>
      <c r="AE281" s="307"/>
      <c r="AF281" s="307"/>
      <c r="AG281" s="307"/>
      <c r="AH281" s="307"/>
      <c r="AI281" s="307"/>
      <c r="AJ281" s="307"/>
      <c r="AK281" s="307"/>
      <c r="AL281" s="307"/>
      <c r="AM281" s="307"/>
      <c r="AN281" s="307"/>
      <c r="AO281" s="307"/>
      <c r="AP281" s="307"/>
      <c r="AQ281" s="307"/>
      <c r="AR281" s="307"/>
      <c r="AS281" s="307"/>
      <c r="AT281" s="307"/>
      <c r="AU281" s="307"/>
      <c r="AV281" s="307"/>
      <c r="AW281" s="307"/>
      <c r="AX281" s="307"/>
      <c r="AY281" s="307"/>
      <c r="AZ281" s="307"/>
      <c r="BA281" s="307"/>
      <c r="BB281" s="307"/>
      <c r="BC281" s="307"/>
      <c r="BD281" s="307"/>
      <c r="BE281" s="307"/>
      <c r="BF281" s="307"/>
      <c r="BG281" s="307"/>
      <c r="BH281" s="307"/>
      <c r="BI281" s="307"/>
      <c r="BJ281" s="307"/>
      <c r="BK281" s="307"/>
      <c r="BL281" s="307"/>
      <c r="BM281" s="307"/>
      <c r="BN281" s="307"/>
      <c r="BO281" s="307"/>
      <c r="BP281" s="307"/>
      <c r="BQ281" s="307"/>
      <c r="BR281" s="307"/>
      <c r="BS281" s="307"/>
      <c r="BT281" s="307"/>
      <c r="BU281" s="307"/>
      <c r="BV281" s="307"/>
      <c r="BW281" s="307"/>
      <c r="BX281" s="307"/>
      <c r="BY281" s="307"/>
      <c r="BZ281" s="307"/>
      <c r="CA281" s="307"/>
      <c r="CB281" s="307"/>
      <c r="CC281" s="307"/>
      <c r="CD281" s="307"/>
      <c r="CE281" s="307"/>
      <c r="CF281" s="307"/>
    </row>
    <row r="282" spans="1:84">
      <c r="D282" s="307"/>
      <c r="E282" s="303"/>
      <c r="F282" s="307"/>
      <c r="G282" s="307"/>
      <c r="H282" s="307"/>
      <c r="I282" s="307"/>
      <c r="J282" s="307"/>
      <c r="K282" s="307"/>
      <c r="L282" s="307"/>
      <c r="M282" s="307"/>
      <c r="N282" s="307"/>
      <c r="O282" s="307"/>
      <c r="P282" s="307"/>
      <c r="Q282" s="307"/>
      <c r="R282" s="307"/>
      <c r="S282" s="307"/>
      <c r="T282" s="307"/>
      <c r="U282" s="307"/>
      <c r="V282" s="307"/>
      <c r="W282" s="307"/>
      <c r="X282" s="307"/>
      <c r="Y282" s="307"/>
      <c r="Z282" s="307"/>
      <c r="AA282" s="307"/>
      <c r="AB282" s="307"/>
      <c r="AC282" s="307"/>
      <c r="AD282" s="307"/>
      <c r="AE282" s="307"/>
      <c r="AF282" s="307"/>
      <c r="AG282" s="307"/>
      <c r="AH282" s="307"/>
      <c r="AI282" s="307"/>
      <c r="AJ282" s="307"/>
      <c r="AK282" s="307"/>
      <c r="AL282" s="307"/>
      <c r="AM282" s="307"/>
      <c r="AN282" s="307"/>
      <c r="AO282" s="307"/>
      <c r="AP282" s="307"/>
      <c r="AQ282" s="307"/>
      <c r="AR282" s="307"/>
      <c r="AS282" s="307"/>
      <c r="AT282" s="307"/>
      <c r="AU282" s="307"/>
      <c r="AV282" s="307"/>
      <c r="AW282" s="307"/>
      <c r="AX282" s="307"/>
      <c r="AY282" s="307"/>
      <c r="AZ282" s="307"/>
      <c r="BA282" s="307"/>
      <c r="BB282" s="307"/>
      <c r="BC282" s="307"/>
      <c r="BD282" s="307"/>
      <c r="BE282" s="307"/>
      <c r="BF282" s="307"/>
      <c r="BG282" s="307"/>
      <c r="BH282" s="307"/>
      <c r="BI282" s="307"/>
      <c r="BJ282" s="307"/>
      <c r="BK282" s="307"/>
      <c r="BL282" s="307"/>
      <c r="BM282" s="307"/>
      <c r="BN282" s="307"/>
      <c r="BO282" s="307"/>
      <c r="BP282" s="307"/>
      <c r="BQ282" s="307"/>
      <c r="BR282" s="307"/>
      <c r="BS282" s="307"/>
      <c r="BT282" s="307"/>
      <c r="BU282" s="307"/>
      <c r="BV282" s="307"/>
      <c r="BW282" s="307"/>
      <c r="BX282" s="307"/>
      <c r="BY282" s="307"/>
      <c r="BZ282" s="307"/>
      <c r="CA282" s="307"/>
      <c r="CB282" s="307"/>
      <c r="CC282" s="307"/>
      <c r="CD282" s="307"/>
      <c r="CE282" s="307"/>
      <c r="CF282" s="307"/>
    </row>
    <row r="283" spans="1:84">
      <c r="D283" s="307"/>
      <c r="E283" s="303"/>
      <c r="F283" s="307"/>
      <c r="G283" s="307"/>
      <c r="H283" s="307"/>
      <c r="I283" s="307"/>
      <c r="J283" s="307"/>
      <c r="K283" s="307"/>
      <c r="L283" s="307"/>
      <c r="M283" s="307"/>
      <c r="N283" s="307"/>
      <c r="O283" s="307"/>
      <c r="P283" s="307"/>
      <c r="Q283" s="307"/>
      <c r="R283" s="307"/>
      <c r="S283" s="307"/>
      <c r="T283" s="307"/>
      <c r="U283" s="307"/>
      <c r="V283" s="307"/>
      <c r="W283" s="307"/>
      <c r="X283" s="307"/>
      <c r="Y283" s="307"/>
      <c r="Z283" s="307"/>
      <c r="AA283" s="307"/>
      <c r="AB283" s="307"/>
      <c r="AC283" s="307"/>
      <c r="AD283" s="307"/>
      <c r="AE283" s="307"/>
      <c r="AF283" s="307"/>
      <c r="AG283" s="307"/>
      <c r="AH283" s="307"/>
      <c r="AI283" s="307"/>
      <c r="AJ283" s="307"/>
      <c r="AK283" s="307"/>
      <c r="AL283" s="307"/>
      <c r="AM283" s="307"/>
      <c r="AN283" s="307"/>
      <c r="AO283" s="307"/>
      <c r="AP283" s="307"/>
      <c r="AQ283" s="307"/>
      <c r="AR283" s="307"/>
      <c r="AS283" s="307"/>
      <c r="AT283" s="307"/>
      <c r="AU283" s="307"/>
      <c r="AV283" s="307"/>
      <c r="AW283" s="307"/>
      <c r="AX283" s="307"/>
      <c r="AY283" s="307"/>
      <c r="AZ283" s="307"/>
      <c r="BA283" s="307"/>
      <c r="BB283" s="307"/>
      <c r="BC283" s="307"/>
      <c r="BD283" s="307"/>
      <c r="BE283" s="307"/>
      <c r="BF283" s="307"/>
      <c r="BG283" s="307"/>
      <c r="BH283" s="307"/>
      <c r="BI283" s="307"/>
      <c r="BJ283" s="307"/>
      <c r="BK283" s="307"/>
      <c r="BL283" s="307"/>
      <c r="BM283" s="307"/>
      <c r="BN283" s="307"/>
      <c r="BO283" s="307"/>
      <c r="BP283" s="307"/>
      <c r="BQ283" s="307"/>
      <c r="BR283" s="307"/>
      <c r="BS283" s="307"/>
      <c r="BT283" s="307"/>
      <c r="BU283" s="307"/>
      <c r="BV283" s="307"/>
      <c r="BW283" s="307"/>
      <c r="BX283" s="307"/>
      <c r="BY283" s="307"/>
      <c r="BZ283" s="307"/>
      <c r="CA283" s="307"/>
      <c r="CB283" s="307"/>
      <c r="CC283" s="307"/>
      <c r="CD283" s="307"/>
      <c r="CE283" s="307"/>
      <c r="CF283" s="307"/>
    </row>
    <row r="284" spans="1:84">
      <c r="D284" s="307"/>
      <c r="E284" s="303"/>
      <c r="F284" s="307"/>
      <c r="G284" s="307"/>
      <c r="H284" s="307"/>
      <c r="I284" s="307"/>
      <c r="J284" s="307"/>
      <c r="K284" s="307"/>
      <c r="L284" s="307"/>
      <c r="M284" s="307"/>
      <c r="N284" s="307"/>
      <c r="O284" s="307"/>
      <c r="P284" s="307"/>
      <c r="Q284" s="307"/>
      <c r="R284" s="307"/>
      <c r="S284" s="307"/>
      <c r="T284" s="307"/>
      <c r="U284" s="307"/>
      <c r="V284" s="307"/>
      <c r="W284" s="307"/>
      <c r="X284" s="307"/>
      <c r="Y284" s="307"/>
      <c r="Z284" s="307"/>
      <c r="AA284" s="307"/>
      <c r="AB284" s="307"/>
      <c r="AC284" s="307"/>
      <c r="AD284" s="307"/>
      <c r="AE284" s="307"/>
      <c r="AF284" s="307"/>
      <c r="AG284" s="307"/>
      <c r="AH284" s="307"/>
      <c r="AI284" s="307"/>
      <c r="AJ284" s="307"/>
      <c r="AK284" s="307"/>
      <c r="AL284" s="307"/>
      <c r="AM284" s="307"/>
      <c r="AN284" s="307"/>
      <c r="AO284" s="307"/>
      <c r="AP284" s="307"/>
      <c r="AQ284" s="307"/>
      <c r="AR284" s="307"/>
      <c r="AS284" s="307"/>
      <c r="AT284" s="307"/>
      <c r="AU284" s="307"/>
      <c r="AV284" s="307"/>
      <c r="AW284" s="307"/>
      <c r="AX284" s="307"/>
      <c r="AY284" s="307"/>
      <c r="AZ284" s="307"/>
      <c r="BA284" s="307"/>
      <c r="BB284" s="307"/>
      <c r="BC284" s="307"/>
      <c r="BD284" s="307"/>
      <c r="BE284" s="307"/>
      <c r="BF284" s="307"/>
      <c r="BG284" s="307"/>
      <c r="BH284" s="307"/>
      <c r="BI284" s="307"/>
      <c r="BJ284" s="307"/>
      <c r="BK284" s="307"/>
      <c r="BL284" s="307"/>
      <c r="BM284" s="307"/>
      <c r="BN284" s="307"/>
      <c r="BO284" s="307"/>
      <c r="BP284" s="307"/>
      <c r="BQ284" s="307"/>
      <c r="BR284" s="307"/>
      <c r="BS284" s="307"/>
      <c r="BT284" s="307"/>
      <c r="BU284" s="307"/>
      <c r="BV284" s="307"/>
      <c r="BW284" s="307"/>
      <c r="BX284" s="307"/>
      <c r="BY284" s="307"/>
      <c r="BZ284" s="307"/>
      <c r="CA284" s="307"/>
      <c r="CB284" s="307"/>
      <c r="CC284" s="307"/>
      <c r="CD284" s="307"/>
      <c r="CE284" s="307"/>
      <c r="CF284" s="307"/>
    </row>
    <row r="285" spans="1:84">
      <c r="D285" s="307"/>
      <c r="E285" s="303"/>
      <c r="F285" s="307"/>
      <c r="G285" s="307"/>
      <c r="H285" s="307"/>
      <c r="I285" s="307"/>
      <c r="J285" s="307"/>
      <c r="K285" s="307"/>
      <c r="L285" s="307"/>
      <c r="M285" s="307"/>
      <c r="N285" s="307"/>
      <c r="O285" s="307"/>
      <c r="P285" s="307"/>
      <c r="Q285" s="307"/>
      <c r="R285" s="307"/>
      <c r="S285" s="307"/>
      <c r="T285" s="307"/>
      <c r="U285" s="307"/>
      <c r="V285" s="307"/>
      <c r="W285" s="307"/>
      <c r="X285" s="307"/>
      <c r="Y285" s="307"/>
      <c r="Z285" s="307"/>
      <c r="AA285" s="307"/>
      <c r="AB285" s="307"/>
      <c r="AC285" s="307"/>
      <c r="AD285" s="307"/>
      <c r="AE285" s="307"/>
      <c r="AF285" s="307"/>
      <c r="AG285" s="307"/>
      <c r="AH285" s="307"/>
      <c r="AI285" s="307"/>
      <c r="AJ285" s="307"/>
      <c r="AK285" s="307"/>
      <c r="AL285" s="307"/>
      <c r="AM285" s="307"/>
      <c r="AN285" s="307"/>
      <c r="AO285" s="307"/>
      <c r="AP285" s="307"/>
      <c r="AQ285" s="307"/>
      <c r="AR285" s="307"/>
      <c r="AS285" s="307"/>
      <c r="AT285" s="307"/>
      <c r="AU285" s="307"/>
      <c r="AV285" s="307"/>
      <c r="AW285" s="307"/>
      <c r="AX285" s="307"/>
      <c r="AY285" s="307"/>
      <c r="AZ285" s="307"/>
      <c r="BA285" s="307"/>
      <c r="BB285" s="307"/>
      <c r="BC285" s="307"/>
      <c r="BD285" s="307"/>
      <c r="BE285" s="307"/>
      <c r="BF285" s="307"/>
      <c r="BG285" s="307"/>
      <c r="BH285" s="307"/>
      <c r="BI285" s="307"/>
      <c r="BJ285" s="307"/>
      <c r="BK285" s="307"/>
      <c r="BL285" s="307"/>
      <c r="BM285" s="307"/>
      <c r="BN285" s="307"/>
      <c r="BO285" s="307"/>
      <c r="BP285" s="307"/>
      <c r="BQ285" s="307"/>
      <c r="BR285" s="307"/>
      <c r="BS285" s="307"/>
      <c r="BT285" s="307"/>
      <c r="BU285" s="307"/>
      <c r="BV285" s="307"/>
      <c r="BW285" s="307"/>
      <c r="BX285" s="307"/>
      <c r="BY285" s="307"/>
      <c r="BZ285" s="307"/>
      <c r="CA285" s="307"/>
      <c r="CB285" s="307"/>
      <c r="CC285" s="307"/>
      <c r="CD285" s="307"/>
      <c r="CE285" s="307"/>
      <c r="CF285" s="307"/>
    </row>
    <row r="286" spans="1:84">
      <c r="D286" s="307"/>
      <c r="E286" s="303"/>
      <c r="F286" s="307"/>
      <c r="G286" s="307"/>
      <c r="H286" s="307"/>
      <c r="I286" s="307"/>
      <c r="J286" s="307"/>
      <c r="K286" s="307"/>
      <c r="L286" s="307"/>
      <c r="M286" s="307"/>
      <c r="N286" s="307"/>
      <c r="O286" s="307"/>
      <c r="P286" s="307"/>
      <c r="Q286" s="307"/>
      <c r="R286" s="307"/>
      <c r="S286" s="307"/>
      <c r="T286" s="307"/>
      <c r="U286" s="307"/>
      <c r="V286" s="307"/>
      <c r="W286" s="307"/>
      <c r="X286" s="307"/>
      <c r="Y286" s="307"/>
      <c r="Z286" s="307"/>
      <c r="AA286" s="307"/>
      <c r="AB286" s="307"/>
      <c r="AC286" s="307"/>
      <c r="AD286" s="307"/>
      <c r="AE286" s="307"/>
      <c r="AF286" s="307"/>
      <c r="AG286" s="307"/>
      <c r="AH286" s="307"/>
      <c r="AI286" s="307"/>
      <c r="AJ286" s="307"/>
      <c r="AK286" s="307"/>
      <c r="AL286" s="307"/>
      <c r="AM286" s="307"/>
      <c r="AN286" s="307"/>
      <c r="AO286" s="307"/>
      <c r="AP286" s="307"/>
      <c r="AQ286" s="307"/>
      <c r="AR286" s="307"/>
      <c r="AS286" s="307"/>
      <c r="AT286" s="307"/>
      <c r="AU286" s="307"/>
      <c r="AV286" s="307"/>
      <c r="AW286" s="307"/>
      <c r="AX286" s="307"/>
      <c r="AY286" s="307"/>
      <c r="AZ286" s="307"/>
      <c r="BA286" s="307"/>
      <c r="BB286" s="307"/>
      <c r="BC286" s="307"/>
      <c r="BD286" s="307"/>
      <c r="BE286" s="307"/>
      <c r="BF286" s="307"/>
      <c r="BG286" s="307"/>
      <c r="BH286" s="307"/>
      <c r="BI286" s="307"/>
      <c r="BJ286" s="307"/>
      <c r="BK286" s="307"/>
      <c r="BL286" s="307"/>
      <c r="BM286" s="307"/>
      <c r="BN286" s="307"/>
      <c r="BO286" s="307"/>
      <c r="BP286" s="307"/>
      <c r="BQ286" s="307"/>
      <c r="BR286" s="307"/>
      <c r="BS286" s="307"/>
      <c r="BT286" s="307"/>
      <c r="BU286" s="307"/>
      <c r="BV286" s="307"/>
      <c r="BW286" s="307"/>
      <c r="BX286" s="307"/>
      <c r="BY286" s="307"/>
      <c r="BZ286" s="307"/>
      <c r="CA286" s="307"/>
      <c r="CB286" s="307"/>
      <c r="CC286" s="307"/>
      <c r="CD286" s="307"/>
      <c r="CE286" s="307"/>
      <c r="CF286" s="307"/>
    </row>
    <row r="287" spans="1:84">
      <c r="D287" s="307"/>
      <c r="E287" s="303"/>
      <c r="F287" s="307"/>
      <c r="G287" s="307"/>
      <c r="H287" s="307"/>
      <c r="I287" s="307"/>
      <c r="J287" s="307"/>
      <c r="K287" s="307"/>
      <c r="L287" s="307"/>
      <c r="M287" s="307"/>
      <c r="N287" s="307"/>
      <c r="O287" s="307"/>
      <c r="P287" s="307"/>
      <c r="Q287" s="307"/>
      <c r="R287" s="307"/>
      <c r="S287" s="307"/>
      <c r="T287" s="307"/>
      <c r="U287" s="307"/>
      <c r="V287" s="307"/>
      <c r="W287" s="307"/>
      <c r="X287" s="307"/>
      <c r="Y287" s="307"/>
      <c r="Z287" s="307"/>
      <c r="AA287" s="307"/>
      <c r="AB287" s="307"/>
      <c r="AC287" s="307"/>
      <c r="AD287" s="307"/>
      <c r="AE287" s="307"/>
      <c r="AF287" s="307"/>
      <c r="AG287" s="307"/>
      <c r="AH287" s="307"/>
      <c r="AI287" s="307"/>
      <c r="AJ287" s="307"/>
      <c r="AK287" s="307"/>
      <c r="AL287" s="307"/>
      <c r="AM287" s="307"/>
      <c r="AN287" s="307"/>
      <c r="AO287" s="307"/>
      <c r="AP287" s="307"/>
      <c r="AQ287" s="307"/>
      <c r="AR287" s="307"/>
      <c r="AS287" s="307"/>
      <c r="AT287" s="307"/>
      <c r="AU287" s="307"/>
      <c r="AV287" s="307"/>
      <c r="AW287" s="307"/>
      <c r="AX287" s="307"/>
      <c r="AY287" s="307"/>
      <c r="AZ287" s="307"/>
      <c r="BA287" s="307"/>
      <c r="BB287" s="307"/>
      <c r="BC287" s="307"/>
      <c r="BD287" s="307"/>
      <c r="BE287" s="307"/>
      <c r="BF287" s="307"/>
      <c r="BG287" s="307"/>
      <c r="BH287" s="307"/>
      <c r="BI287" s="307"/>
      <c r="BJ287" s="307"/>
      <c r="BK287" s="307"/>
      <c r="BL287" s="307"/>
      <c r="BM287" s="307"/>
      <c r="BN287" s="307"/>
      <c r="BO287" s="307"/>
      <c r="BP287" s="307"/>
      <c r="BQ287" s="307"/>
      <c r="BR287" s="307"/>
      <c r="BS287" s="307"/>
      <c r="BT287" s="307"/>
      <c r="BU287" s="307"/>
      <c r="BV287" s="307"/>
      <c r="BW287" s="307"/>
      <c r="BX287" s="307"/>
      <c r="BY287" s="307"/>
      <c r="BZ287" s="307"/>
      <c r="CA287" s="307"/>
      <c r="CB287" s="307"/>
      <c r="CC287" s="307"/>
      <c r="CD287" s="307"/>
      <c r="CE287" s="307"/>
      <c r="CF287" s="307"/>
    </row>
    <row r="288" spans="1:84">
      <c r="D288" s="307"/>
      <c r="E288" s="303"/>
      <c r="F288" s="307"/>
      <c r="G288" s="307"/>
      <c r="H288" s="307"/>
      <c r="I288" s="307"/>
      <c r="J288" s="307"/>
      <c r="K288" s="307"/>
      <c r="L288" s="307"/>
      <c r="M288" s="307"/>
      <c r="N288" s="307"/>
      <c r="O288" s="307"/>
      <c r="P288" s="307"/>
      <c r="Q288" s="307"/>
      <c r="R288" s="307"/>
      <c r="S288" s="307"/>
      <c r="T288" s="307"/>
      <c r="U288" s="307"/>
      <c r="V288" s="307"/>
      <c r="W288" s="307"/>
      <c r="X288" s="307"/>
      <c r="Y288" s="307"/>
      <c r="Z288" s="307"/>
      <c r="AA288" s="307"/>
      <c r="AB288" s="307"/>
      <c r="AC288" s="307"/>
      <c r="AD288" s="307"/>
      <c r="AE288" s="307"/>
      <c r="AF288" s="307"/>
      <c r="AG288" s="307"/>
      <c r="AH288" s="307"/>
      <c r="AI288" s="307"/>
      <c r="AJ288" s="307"/>
      <c r="AK288" s="307"/>
      <c r="AL288" s="307"/>
      <c r="AM288" s="307"/>
      <c r="AN288" s="307"/>
      <c r="AO288" s="307"/>
      <c r="AP288" s="307"/>
      <c r="AQ288" s="307"/>
      <c r="AR288" s="307"/>
      <c r="AS288" s="307"/>
      <c r="AT288" s="307"/>
      <c r="AU288" s="307"/>
      <c r="AV288" s="307"/>
      <c r="AW288" s="307"/>
      <c r="AX288" s="307"/>
      <c r="AY288" s="307"/>
      <c r="AZ288" s="307"/>
      <c r="BA288" s="307"/>
      <c r="BB288" s="307"/>
      <c r="BC288" s="307"/>
      <c r="BD288" s="307"/>
      <c r="BE288" s="307"/>
      <c r="BF288" s="307"/>
      <c r="BG288" s="307"/>
      <c r="BH288" s="307"/>
      <c r="BI288" s="307"/>
      <c r="BJ288" s="307"/>
      <c r="BK288" s="307"/>
      <c r="BL288" s="307"/>
      <c r="BM288" s="307"/>
      <c r="BN288" s="307"/>
      <c r="BO288" s="307"/>
      <c r="BP288" s="307"/>
      <c r="BQ288" s="307"/>
      <c r="BR288" s="307"/>
      <c r="BS288" s="307"/>
      <c r="BT288" s="307"/>
      <c r="BU288" s="307"/>
      <c r="BV288" s="307"/>
      <c r="BW288" s="307"/>
      <c r="BX288" s="307"/>
      <c r="BY288" s="307"/>
      <c r="BZ288" s="307"/>
      <c r="CA288" s="307"/>
      <c r="CB288" s="307"/>
      <c r="CC288" s="307"/>
      <c r="CD288" s="307"/>
      <c r="CE288" s="307"/>
      <c r="CF288" s="307"/>
    </row>
    <row r="289" spans="4:84">
      <c r="D289" s="307"/>
      <c r="E289" s="303"/>
      <c r="F289" s="307"/>
      <c r="G289" s="307"/>
      <c r="H289" s="307"/>
      <c r="I289" s="307"/>
      <c r="J289" s="307"/>
      <c r="K289" s="307"/>
      <c r="L289" s="307"/>
      <c r="M289" s="307"/>
      <c r="N289" s="307"/>
      <c r="O289" s="307"/>
      <c r="P289" s="307"/>
      <c r="Q289" s="307"/>
      <c r="R289" s="307"/>
      <c r="S289" s="307"/>
      <c r="T289" s="307"/>
      <c r="U289" s="307"/>
      <c r="V289" s="307"/>
      <c r="W289" s="307"/>
      <c r="X289" s="307"/>
      <c r="Y289" s="307"/>
      <c r="Z289" s="307"/>
      <c r="AA289" s="307"/>
      <c r="AB289" s="307"/>
      <c r="AC289" s="307"/>
      <c r="AD289" s="307"/>
      <c r="AE289" s="307"/>
      <c r="AF289" s="307"/>
      <c r="AG289" s="307"/>
      <c r="AH289" s="307"/>
      <c r="AI289" s="307"/>
      <c r="AJ289" s="307"/>
      <c r="AK289" s="307"/>
      <c r="AL289" s="307"/>
      <c r="AM289" s="307"/>
      <c r="AN289" s="307"/>
      <c r="AO289" s="307"/>
      <c r="AP289" s="307"/>
      <c r="AQ289" s="307"/>
      <c r="AR289" s="307"/>
      <c r="AS289" s="307"/>
      <c r="AT289" s="307"/>
      <c r="AU289" s="307"/>
      <c r="AV289" s="307"/>
      <c r="AW289" s="307"/>
      <c r="AX289" s="307"/>
      <c r="AY289" s="307"/>
      <c r="AZ289" s="307"/>
      <c r="BA289" s="307"/>
      <c r="BB289" s="307"/>
      <c r="BC289" s="307"/>
      <c r="BD289" s="307"/>
      <c r="BE289" s="307"/>
      <c r="BF289" s="307"/>
      <c r="BG289" s="307"/>
      <c r="BH289" s="307"/>
      <c r="BI289" s="307"/>
      <c r="BJ289" s="307"/>
      <c r="BK289" s="307"/>
      <c r="BL289" s="307"/>
      <c r="BM289" s="307"/>
      <c r="BN289" s="307"/>
      <c r="BO289" s="307"/>
      <c r="BP289" s="307"/>
      <c r="BQ289" s="307"/>
      <c r="BR289" s="307"/>
      <c r="BS289" s="307"/>
      <c r="BT289" s="307"/>
      <c r="BU289" s="307"/>
      <c r="BV289" s="307"/>
      <c r="BW289" s="307"/>
      <c r="BX289" s="307"/>
      <c r="BY289" s="307"/>
      <c r="BZ289" s="307"/>
      <c r="CA289" s="307"/>
      <c r="CB289" s="307"/>
      <c r="CC289" s="307"/>
      <c r="CD289" s="307"/>
      <c r="CE289" s="307"/>
      <c r="CF289" s="307"/>
    </row>
    <row r="290" spans="4:84">
      <c r="D290" s="307"/>
      <c r="E290" s="303"/>
      <c r="F290" s="307"/>
      <c r="G290" s="307"/>
      <c r="H290" s="307"/>
      <c r="I290" s="307"/>
      <c r="J290" s="307"/>
      <c r="K290" s="307"/>
      <c r="L290" s="307"/>
      <c r="M290" s="307"/>
      <c r="N290" s="307"/>
      <c r="O290" s="307"/>
      <c r="P290" s="307"/>
      <c r="Q290" s="307"/>
      <c r="R290" s="307"/>
      <c r="S290" s="307"/>
      <c r="T290" s="307"/>
      <c r="U290" s="307"/>
      <c r="V290" s="307"/>
      <c r="W290" s="307"/>
      <c r="X290" s="307"/>
      <c r="Y290" s="307"/>
      <c r="Z290" s="307"/>
      <c r="AA290" s="307"/>
      <c r="AB290" s="307"/>
      <c r="AC290" s="307"/>
      <c r="AD290" s="307"/>
      <c r="AE290" s="307"/>
      <c r="AF290" s="307"/>
      <c r="AG290" s="307"/>
      <c r="AH290" s="307"/>
      <c r="AI290" s="307"/>
      <c r="AJ290" s="307"/>
      <c r="AK290" s="307"/>
      <c r="AL290" s="307"/>
      <c r="AM290" s="307"/>
      <c r="AN290" s="307"/>
      <c r="AO290" s="307"/>
      <c r="AP290" s="307"/>
      <c r="AQ290" s="307"/>
      <c r="AR290" s="307"/>
      <c r="AS290" s="307"/>
      <c r="AT290" s="307"/>
      <c r="AU290" s="307"/>
      <c r="AV290" s="307"/>
      <c r="AW290" s="307"/>
      <c r="AX290" s="307"/>
      <c r="AY290" s="307"/>
      <c r="AZ290" s="307"/>
      <c r="BA290" s="307"/>
      <c r="BB290" s="307"/>
      <c r="BC290" s="307"/>
      <c r="BD290" s="307"/>
      <c r="BE290" s="307"/>
      <c r="BF290" s="307"/>
      <c r="BG290" s="307"/>
      <c r="BH290" s="307"/>
      <c r="BI290" s="307"/>
      <c r="BJ290" s="307"/>
      <c r="BK290" s="307"/>
      <c r="BL290" s="307"/>
      <c r="BM290" s="307"/>
      <c r="BN290" s="307"/>
      <c r="BO290" s="307"/>
      <c r="BP290" s="307"/>
      <c r="BQ290" s="307"/>
      <c r="BR290" s="307"/>
      <c r="BS290" s="307"/>
      <c r="BT290" s="307"/>
      <c r="BU290" s="307"/>
      <c r="BV290" s="307"/>
      <c r="BW290" s="307"/>
      <c r="BX290" s="307"/>
      <c r="BY290" s="307"/>
      <c r="BZ290" s="307"/>
      <c r="CA290" s="307"/>
      <c r="CB290" s="307"/>
      <c r="CC290" s="307"/>
      <c r="CD290" s="307"/>
      <c r="CE290" s="307"/>
      <c r="CF290" s="307"/>
    </row>
    <row r="291" spans="4:84">
      <c r="D291" s="307"/>
      <c r="E291" s="303"/>
      <c r="F291" s="307"/>
      <c r="G291" s="307"/>
      <c r="H291" s="307"/>
      <c r="I291" s="307"/>
      <c r="J291" s="307"/>
      <c r="K291" s="307"/>
      <c r="L291" s="307"/>
      <c r="M291" s="307"/>
      <c r="N291" s="307"/>
      <c r="O291" s="307"/>
      <c r="P291" s="307"/>
      <c r="Q291" s="307"/>
      <c r="R291" s="307"/>
      <c r="S291" s="307"/>
      <c r="T291" s="307"/>
      <c r="U291" s="307"/>
      <c r="V291" s="307"/>
      <c r="W291" s="307"/>
      <c r="X291" s="307"/>
      <c r="Y291" s="307"/>
      <c r="Z291" s="307"/>
      <c r="AA291" s="307"/>
      <c r="AB291" s="307"/>
      <c r="AC291" s="307"/>
      <c r="AD291" s="307"/>
      <c r="AE291" s="307"/>
      <c r="AF291" s="307"/>
      <c r="AG291" s="307"/>
      <c r="AH291" s="307"/>
      <c r="AI291" s="307"/>
      <c r="AJ291" s="307"/>
      <c r="AK291" s="307"/>
      <c r="AL291" s="307"/>
      <c r="AM291" s="307"/>
      <c r="AN291" s="307"/>
      <c r="AO291" s="307"/>
      <c r="AP291" s="307"/>
      <c r="AQ291" s="307"/>
      <c r="AR291" s="307"/>
      <c r="AS291" s="307"/>
      <c r="AT291" s="307"/>
      <c r="AU291" s="307"/>
      <c r="AV291" s="307"/>
      <c r="AW291" s="307"/>
      <c r="AX291" s="307"/>
      <c r="AY291" s="307"/>
      <c r="AZ291" s="307"/>
      <c r="BA291" s="307"/>
      <c r="BB291" s="307"/>
      <c r="BC291" s="307"/>
      <c r="BD291" s="307"/>
      <c r="BE291" s="307"/>
      <c r="BF291" s="307"/>
      <c r="BG291" s="307"/>
      <c r="BH291" s="307"/>
      <c r="BI291" s="307"/>
      <c r="BJ291" s="307"/>
      <c r="BK291" s="307"/>
      <c r="BL291" s="307"/>
      <c r="BM291" s="307"/>
      <c r="BN291" s="307"/>
      <c r="BO291" s="307"/>
      <c r="BP291" s="307"/>
      <c r="BQ291" s="307"/>
      <c r="BR291" s="307"/>
      <c r="BS291" s="307"/>
      <c r="BT291" s="307"/>
      <c r="BU291" s="307"/>
      <c r="BV291" s="307"/>
      <c r="BW291" s="307"/>
      <c r="BX291" s="307"/>
      <c r="BY291" s="307"/>
      <c r="BZ291" s="307"/>
      <c r="CA291" s="307"/>
      <c r="CB291" s="307"/>
      <c r="CC291" s="307"/>
      <c r="CD291" s="307"/>
      <c r="CE291" s="307"/>
      <c r="CF291" s="307"/>
    </row>
    <row r="292" spans="4:84">
      <c r="D292" s="307"/>
      <c r="E292" s="303"/>
      <c r="F292" s="307"/>
      <c r="G292" s="307"/>
      <c r="H292" s="307"/>
      <c r="I292" s="307"/>
      <c r="J292" s="307"/>
      <c r="K292" s="307"/>
      <c r="L292" s="307"/>
      <c r="M292" s="307"/>
      <c r="N292" s="307"/>
      <c r="O292" s="307"/>
      <c r="P292" s="307"/>
      <c r="Q292" s="307"/>
      <c r="R292" s="307"/>
      <c r="S292" s="307"/>
      <c r="T292" s="307"/>
      <c r="U292" s="307"/>
      <c r="V292" s="307"/>
      <c r="W292" s="307"/>
      <c r="X292" s="307"/>
      <c r="Y292" s="307"/>
      <c r="Z292" s="307"/>
      <c r="AA292" s="307"/>
      <c r="AB292" s="307"/>
      <c r="AC292" s="307"/>
      <c r="AD292" s="307"/>
      <c r="AE292" s="307"/>
      <c r="AF292" s="307"/>
      <c r="AG292" s="307"/>
      <c r="AH292" s="307"/>
      <c r="AI292" s="307"/>
      <c r="AJ292" s="307"/>
      <c r="AK292" s="307"/>
      <c r="AL292" s="307"/>
      <c r="AM292" s="307"/>
      <c r="AN292" s="307"/>
      <c r="AO292" s="307"/>
      <c r="AP292" s="307"/>
      <c r="AQ292" s="307"/>
      <c r="AR292" s="307"/>
      <c r="AS292" s="307"/>
      <c r="AT292" s="307"/>
      <c r="AU292" s="307"/>
      <c r="AV292" s="307"/>
      <c r="AW292" s="307"/>
      <c r="AX292" s="307"/>
      <c r="AY292" s="307"/>
      <c r="AZ292" s="307"/>
      <c r="BA292" s="307"/>
      <c r="BB292" s="307"/>
      <c r="BC292" s="307"/>
      <c r="BD292" s="307"/>
      <c r="BE292" s="307"/>
      <c r="BF292" s="307"/>
      <c r="BG292" s="307"/>
      <c r="BH292" s="307"/>
      <c r="BI292" s="307"/>
      <c r="BJ292" s="307"/>
      <c r="BK292" s="307"/>
      <c r="BL292" s="307"/>
      <c r="BM292" s="307"/>
      <c r="BN292" s="307"/>
      <c r="BO292" s="307"/>
      <c r="BP292" s="307"/>
      <c r="BQ292" s="307"/>
      <c r="BR292" s="307"/>
      <c r="BS292" s="307"/>
      <c r="BT292" s="307"/>
      <c r="BU292" s="307"/>
      <c r="BV292" s="307"/>
      <c r="BW292" s="307"/>
      <c r="BX292" s="307"/>
      <c r="BY292" s="307"/>
      <c r="BZ292" s="307"/>
      <c r="CA292" s="307"/>
      <c r="CB292" s="307"/>
      <c r="CC292" s="307"/>
      <c r="CD292" s="307"/>
      <c r="CE292" s="307"/>
      <c r="CF292" s="307"/>
    </row>
    <row r="293" spans="4:84">
      <c r="D293" s="307"/>
      <c r="E293" s="303"/>
      <c r="F293" s="307"/>
      <c r="G293" s="307"/>
      <c r="H293" s="307"/>
      <c r="I293" s="307"/>
      <c r="J293" s="307"/>
      <c r="K293" s="307"/>
      <c r="L293" s="307"/>
      <c r="M293" s="307"/>
      <c r="N293" s="307"/>
      <c r="O293" s="307"/>
      <c r="P293" s="307"/>
      <c r="Q293" s="307"/>
      <c r="R293" s="307"/>
      <c r="S293" s="307"/>
      <c r="T293" s="307"/>
      <c r="U293" s="307"/>
      <c r="V293" s="307"/>
      <c r="W293" s="307"/>
      <c r="X293" s="307"/>
      <c r="Y293" s="307"/>
      <c r="Z293" s="307"/>
      <c r="AA293" s="307"/>
      <c r="AB293" s="307"/>
      <c r="AC293" s="307"/>
      <c r="AD293" s="307"/>
      <c r="AE293" s="307"/>
      <c r="AF293" s="307"/>
      <c r="AG293" s="307"/>
      <c r="AH293" s="307"/>
      <c r="AI293" s="307"/>
      <c r="AJ293" s="307"/>
      <c r="AK293" s="307"/>
      <c r="AL293" s="307"/>
      <c r="AM293" s="307"/>
      <c r="AN293" s="307"/>
      <c r="AO293" s="307"/>
      <c r="AP293" s="307"/>
      <c r="AQ293" s="307"/>
      <c r="AR293" s="307"/>
      <c r="AS293" s="307"/>
      <c r="AT293" s="307"/>
      <c r="AU293" s="307"/>
      <c r="AV293" s="307"/>
      <c r="AW293" s="307"/>
      <c r="AX293" s="307"/>
      <c r="AY293" s="307"/>
      <c r="AZ293" s="307"/>
      <c r="BA293" s="307"/>
      <c r="BB293" s="307"/>
      <c r="BC293" s="307"/>
      <c r="BD293" s="307"/>
      <c r="BE293" s="307"/>
      <c r="BF293" s="307"/>
      <c r="BG293" s="307"/>
      <c r="BH293" s="307"/>
      <c r="BI293" s="307"/>
      <c r="BJ293" s="307"/>
      <c r="BK293" s="307"/>
      <c r="BL293" s="307"/>
      <c r="BM293" s="307"/>
      <c r="BN293" s="307"/>
      <c r="BO293" s="307"/>
      <c r="BP293" s="307"/>
      <c r="BQ293" s="307"/>
      <c r="BR293" s="307"/>
      <c r="BS293" s="307"/>
      <c r="BT293" s="307"/>
      <c r="BU293" s="307"/>
      <c r="BV293" s="307"/>
      <c r="BW293" s="307"/>
      <c r="BX293" s="307"/>
      <c r="BY293" s="307"/>
      <c r="BZ293" s="307"/>
      <c r="CA293" s="307"/>
      <c r="CB293" s="307"/>
      <c r="CC293" s="307"/>
      <c r="CD293" s="307"/>
      <c r="CE293" s="307"/>
      <c r="CF293" s="307"/>
    </row>
    <row r="294" spans="4:84">
      <c r="D294" s="307"/>
      <c r="E294" s="307"/>
      <c r="F294" s="307"/>
      <c r="G294" s="307"/>
      <c r="H294" s="307"/>
      <c r="I294" s="307"/>
      <c r="J294" s="307"/>
      <c r="K294" s="307"/>
      <c r="L294" s="307"/>
      <c r="M294" s="307"/>
      <c r="N294" s="307"/>
      <c r="O294" s="307"/>
      <c r="P294" s="307"/>
      <c r="Q294" s="307"/>
      <c r="R294" s="307"/>
      <c r="S294" s="307"/>
      <c r="T294" s="307"/>
      <c r="U294" s="307"/>
      <c r="V294" s="307"/>
      <c r="W294" s="307"/>
      <c r="X294" s="307"/>
      <c r="Y294" s="307"/>
      <c r="Z294" s="307"/>
      <c r="AA294" s="307"/>
      <c r="AB294" s="307"/>
      <c r="AC294" s="307"/>
      <c r="AD294" s="307"/>
      <c r="AE294" s="307"/>
      <c r="AF294" s="307"/>
      <c r="AG294" s="307"/>
      <c r="AH294" s="307"/>
      <c r="AI294" s="307"/>
      <c r="AJ294" s="307"/>
      <c r="AK294" s="307"/>
      <c r="AL294" s="307"/>
      <c r="AM294" s="307"/>
      <c r="AN294" s="307"/>
      <c r="AO294" s="307"/>
      <c r="AP294" s="307"/>
      <c r="AQ294" s="307"/>
      <c r="AR294" s="307"/>
      <c r="AS294" s="307"/>
      <c r="AT294" s="307"/>
      <c r="AU294" s="307"/>
      <c r="AV294" s="307"/>
      <c r="AW294" s="307"/>
      <c r="AX294" s="307"/>
      <c r="AY294" s="307"/>
      <c r="AZ294" s="307"/>
      <c r="BA294" s="307"/>
      <c r="BB294" s="307"/>
      <c r="BC294" s="307"/>
      <c r="BD294" s="307"/>
      <c r="BE294" s="307"/>
      <c r="BF294" s="307"/>
      <c r="BG294" s="307"/>
      <c r="BH294" s="307"/>
      <c r="BI294" s="307"/>
      <c r="BJ294" s="307"/>
      <c r="BK294" s="307"/>
      <c r="BL294" s="307"/>
      <c r="BM294" s="307"/>
      <c r="BN294" s="307"/>
      <c r="BO294" s="307"/>
      <c r="BP294" s="307"/>
      <c r="BQ294" s="307"/>
      <c r="BR294" s="307"/>
      <c r="BS294" s="307"/>
      <c r="BT294" s="307"/>
      <c r="BU294" s="307"/>
      <c r="BV294" s="307"/>
      <c r="BW294" s="307"/>
      <c r="BX294" s="307"/>
      <c r="BY294" s="307"/>
      <c r="BZ294" s="307"/>
      <c r="CA294" s="307"/>
      <c r="CB294" s="307"/>
      <c r="CC294" s="307"/>
      <c r="CD294" s="307"/>
      <c r="CE294" s="307"/>
      <c r="CF294" s="307"/>
    </row>
    <row r="295" spans="4:84">
      <c r="D295" s="307"/>
      <c r="E295" s="307"/>
      <c r="F295" s="307"/>
      <c r="G295" s="307"/>
      <c r="H295" s="307"/>
      <c r="I295" s="307"/>
      <c r="J295" s="307"/>
      <c r="K295" s="307"/>
      <c r="L295" s="307"/>
      <c r="M295" s="307"/>
      <c r="N295" s="307"/>
      <c r="O295" s="307"/>
      <c r="P295" s="307"/>
      <c r="Q295" s="307"/>
      <c r="R295" s="307"/>
      <c r="S295" s="307"/>
      <c r="T295" s="307"/>
      <c r="U295" s="307"/>
      <c r="V295" s="307"/>
      <c r="W295" s="307"/>
      <c r="X295" s="307"/>
      <c r="Y295" s="307"/>
      <c r="Z295" s="307"/>
      <c r="AA295" s="307"/>
      <c r="AB295" s="307"/>
      <c r="AC295" s="307"/>
      <c r="AD295" s="307"/>
      <c r="AE295" s="307"/>
      <c r="AF295" s="307"/>
      <c r="AG295" s="307"/>
      <c r="AH295" s="307"/>
      <c r="AI295" s="307"/>
      <c r="AJ295" s="307"/>
      <c r="AK295" s="307"/>
      <c r="AL295" s="307"/>
      <c r="AM295" s="307"/>
      <c r="AN295" s="307"/>
      <c r="AO295" s="307"/>
      <c r="AP295" s="307"/>
      <c r="AQ295" s="307"/>
      <c r="AR295" s="307"/>
      <c r="AS295" s="307"/>
      <c r="AT295" s="307"/>
      <c r="AU295" s="307"/>
      <c r="AV295" s="307"/>
      <c r="AW295" s="307"/>
      <c r="AX295" s="307"/>
      <c r="AY295" s="307"/>
      <c r="AZ295" s="307"/>
      <c r="BA295" s="307"/>
      <c r="BB295" s="307"/>
      <c r="BC295" s="307"/>
      <c r="BD295" s="307"/>
      <c r="BE295" s="307"/>
      <c r="BF295" s="307"/>
      <c r="BG295" s="307"/>
      <c r="BH295" s="307"/>
      <c r="BI295" s="307"/>
      <c r="BJ295" s="307"/>
      <c r="BK295" s="307"/>
      <c r="BL295" s="307"/>
      <c r="BM295" s="307"/>
      <c r="BN295" s="307"/>
      <c r="BO295" s="307"/>
      <c r="BP295" s="307"/>
      <c r="BQ295" s="307"/>
      <c r="BR295" s="307"/>
      <c r="BS295" s="307"/>
      <c r="BT295" s="307"/>
      <c r="BU295" s="307"/>
      <c r="BV295" s="307"/>
      <c r="BW295" s="307"/>
      <c r="BX295" s="307"/>
      <c r="BY295" s="307"/>
      <c r="BZ295" s="307"/>
      <c r="CA295" s="307"/>
      <c r="CB295" s="307"/>
      <c r="CC295" s="307"/>
      <c r="CD295" s="307"/>
      <c r="CE295" s="307"/>
      <c r="CF295" s="307"/>
    </row>
    <row r="296" spans="4:84">
      <c r="D296" s="307"/>
      <c r="E296" s="307"/>
      <c r="F296" s="307"/>
      <c r="G296" s="307"/>
      <c r="H296" s="307"/>
      <c r="I296" s="307"/>
      <c r="J296" s="307"/>
      <c r="K296" s="307"/>
      <c r="L296" s="307"/>
      <c r="M296" s="307"/>
      <c r="N296" s="307"/>
      <c r="O296" s="307"/>
      <c r="P296" s="307"/>
      <c r="Q296" s="307"/>
      <c r="R296" s="307"/>
      <c r="S296" s="307"/>
      <c r="T296" s="307"/>
      <c r="U296" s="307"/>
      <c r="V296" s="307"/>
      <c r="W296" s="307"/>
      <c r="X296" s="307"/>
      <c r="Y296" s="307"/>
      <c r="Z296" s="307"/>
      <c r="AA296" s="307"/>
      <c r="AB296" s="307"/>
      <c r="AC296" s="307"/>
      <c r="AD296" s="307"/>
      <c r="AE296" s="307"/>
      <c r="AF296" s="307"/>
      <c r="AG296" s="307"/>
      <c r="AH296" s="307"/>
      <c r="AI296" s="307"/>
      <c r="AJ296" s="307"/>
      <c r="AK296" s="307"/>
      <c r="AL296" s="307"/>
      <c r="AM296" s="307"/>
      <c r="AN296" s="307"/>
      <c r="AO296" s="307"/>
      <c r="AP296" s="307"/>
      <c r="AQ296" s="307"/>
      <c r="AR296" s="307"/>
      <c r="AS296" s="307"/>
      <c r="AT296" s="307"/>
      <c r="AU296" s="307"/>
      <c r="AV296" s="307"/>
      <c r="AW296" s="307"/>
      <c r="AX296" s="307"/>
      <c r="AY296" s="307"/>
      <c r="AZ296" s="307"/>
      <c r="BA296" s="307"/>
      <c r="BB296" s="307"/>
      <c r="BC296" s="307"/>
      <c r="BD296" s="307"/>
      <c r="BE296" s="307"/>
      <c r="BF296" s="307"/>
      <c r="BG296" s="307"/>
      <c r="BH296" s="307"/>
      <c r="BI296" s="307"/>
      <c r="BJ296" s="307"/>
      <c r="BK296" s="307"/>
      <c r="BL296" s="307"/>
      <c r="BM296" s="307"/>
      <c r="BN296" s="307"/>
      <c r="BO296" s="307"/>
      <c r="BP296" s="307"/>
      <c r="BQ296" s="307"/>
      <c r="BR296" s="307"/>
      <c r="BS296" s="307"/>
      <c r="BT296" s="307"/>
      <c r="BU296" s="307"/>
      <c r="BV296" s="307"/>
      <c r="BW296" s="307"/>
      <c r="BX296" s="307"/>
      <c r="BY296" s="307"/>
      <c r="BZ296" s="307"/>
      <c r="CA296" s="307"/>
      <c r="CB296" s="307"/>
      <c r="CC296" s="307"/>
      <c r="CD296" s="307"/>
      <c r="CE296" s="307"/>
      <c r="CF296" s="307"/>
    </row>
    <row r="297" spans="4:84">
      <c r="D297" s="307"/>
      <c r="E297" s="307"/>
      <c r="F297" s="307"/>
      <c r="G297" s="307"/>
      <c r="H297" s="307"/>
      <c r="I297" s="307"/>
      <c r="J297" s="307"/>
      <c r="K297" s="307"/>
      <c r="L297" s="307"/>
      <c r="M297" s="307"/>
      <c r="N297" s="307"/>
      <c r="O297" s="307"/>
      <c r="P297" s="307"/>
      <c r="Q297" s="307"/>
      <c r="R297" s="307"/>
      <c r="S297" s="307"/>
      <c r="T297" s="307"/>
      <c r="U297" s="307"/>
      <c r="V297" s="307"/>
      <c r="W297" s="307"/>
      <c r="X297" s="307"/>
      <c r="Y297" s="307"/>
      <c r="Z297" s="307"/>
      <c r="AA297" s="307"/>
      <c r="AB297" s="307"/>
      <c r="AC297" s="307"/>
      <c r="AD297" s="307"/>
      <c r="AE297" s="307"/>
      <c r="AF297" s="307"/>
      <c r="AG297" s="307"/>
      <c r="AH297" s="307"/>
      <c r="AI297" s="307"/>
      <c r="AJ297" s="307"/>
      <c r="AK297" s="307"/>
      <c r="AL297" s="307"/>
      <c r="AM297" s="307"/>
      <c r="AN297" s="307"/>
      <c r="AO297" s="307"/>
      <c r="AP297" s="307"/>
      <c r="AQ297" s="307"/>
      <c r="AR297" s="307"/>
      <c r="AS297" s="307"/>
      <c r="AT297" s="307"/>
      <c r="AU297" s="307"/>
      <c r="AV297" s="307"/>
      <c r="AW297" s="307"/>
      <c r="AX297" s="307"/>
      <c r="AY297" s="307"/>
      <c r="AZ297" s="307"/>
      <c r="BA297" s="307"/>
      <c r="BB297" s="307"/>
      <c r="BC297" s="307"/>
      <c r="BD297" s="307"/>
      <c r="BE297" s="307"/>
      <c r="BF297" s="307"/>
      <c r="BG297" s="307"/>
      <c r="BH297" s="307"/>
      <c r="BI297" s="307"/>
      <c r="BJ297" s="307"/>
      <c r="BK297" s="307"/>
      <c r="BL297" s="307"/>
      <c r="BM297" s="307"/>
      <c r="BN297" s="307"/>
      <c r="BO297" s="307"/>
      <c r="BP297" s="307"/>
      <c r="BQ297" s="307"/>
      <c r="BR297" s="307"/>
      <c r="BS297" s="307"/>
      <c r="BT297" s="307"/>
      <c r="BU297" s="307"/>
      <c r="BV297" s="307"/>
      <c r="BW297" s="307"/>
      <c r="BX297" s="307"/>
      <c r="BY297" s="307"/>
      <c r="BZ297" s="307"/>
      <c r="CA297" s="307"/>
      <c r="CB297" s="307"/>
      <c r="CC297" s="307"/>
      <c r="CD297" s="307"/>
      <c r="CE297" s="307"/>
      <c r="CF297" s="307"/>
    </row>
    <row r="298" spans="4:84">
      <c r="D298" s="307"/>
      <c r="E298" s="307"/>
      <c r="F298" s="307"/>
      <c r="G298" s="307"/>
      <c r="H298" s="307"/>
      <c r="I298" s="307"/>
      <c r="J298" s="307"/>
      <c r="K298" s="307"/>
      <c r="L298" s="307"/>
      <c r="M298" s="307"/>
      <c r="N298" s="307"/>
      <c r="O298" s="307"/>
      <c r="P298" s="307"/>
      <c r="Q298" s="307"/>
      <c r="R298" s="307"/>
      <c r="S298" s="307"/>
      <c r="T298" s="307"/>
      <c r="U298" s="307"/>
      <c r="V298" s="307"/>
      <c r="W298" s="307"/>
      <c r="X298" s="307"/>
      <c r="Y298" s="307"/>
      <c r="Z298" s="307"/>
      <c r="AA298" s="307"/>
      <c r="AB298" s="307"/>
      <c r="AC298" s="307"/>
      <c r="AD298" s="307"/>
      <c r="AE298" s="307"/>
      <c r="AF298" s="307"/>
      <c r="AG298" s="307"/>
      <c r="AH298" s="307"/>
      <c r="AI298" s="307"/>
      <c r="AJ298" s="307"/>
      <c r="AK298" s="307"/>
      <c r="AL298" s="307"/>
      <c r="AM298" s="307"/>
      <c r="AN298" s="307"/>
      <c r="AO298" s="307"/>
      <c r="AP298" s="307"/>
      <c r="AQ298" s="307"/>
      <c r="AR298" s="307"/>
      <c r="AS298" s="307"/>
      <c r="AT298" s="307"/>
      <c r="AU298" s="307"/>
      <c r="AV298" s="307"/>
      <c r="AW298" s="307"/>
      <c r="AX298" s="307"/>
      <c r="AY298" s="307"/>
      <c r="AZ298" s="307"/>
      <c r="BA298" s="307"/>
      <c r="BB298" s="307"/>
      <c r="BC298" s="307"/>
      <c r="BD298" s="307"/>
      <c r="BE298" s="307"/>
      <c r="BF298" s="307"/>
      <c r="BG298" s="307"/>
      <c r="BH298" s="307"/>
      <c r="BI298" s="307"/>
      <c r="BJ298" s="307"/>
      <c r="BK298" s="307"/>
      <c r="BL298" s="307"/>
      <c r="BM298" s="307"/>
      <c r="BN298" s="307"/>
      <c r="BO298" s="307"/>
      <c r="BP298" s="307"/>
      <c r="BQ298" s="307"/>
      <c r="BR298" s="307"/>
      <c r="BS298" s="307"/>
      <c r="BT298" s="307"/>
      <c r="BU298" s="307"/>
      <c r="BV298" s="307"/>
      <c r="BW298" s="307"/>
      <c r="BX298" s="307"/>
      <c r="BY298" s="307"/>
      <c r="BZ298" s="307"/>
      <c r="CA298" s="307"/>
      <c r="CB298" s="307"/>
      <c r="CC298" s="307"/>
      <c r="CD298" s="307"/>
      <c r="CE298" s="307"/>
      <c r="CF298" s="307"/>
    </row>
    <row r="299" spans="4:84">
      <c r="D299" s="307"/>
      <c r="E299" s="307"/>
      <c r="F299" s="307"/>
      <c r="G299" s="307"/>
      <c r="H299" s="307"/>
      <c r="I299" s="307"/>
      <c r="J299" s="307"/>
      <c r="K299" s="307"/>
      <c r="L299" s="307"/>
      <c r="M299" s="307"/>
      <c r="N299" s="307"/>
      <c r="O299" s="307"/>
      <c r="P299" s="307"/>
      <c r="Q299" s="307"/>
      <c r="R299" s="307"/>
      <c r="S299" s="307"/>
      <c r="T299" s="307"/>
      <c r="U299" s="307"/>
      <c r="V299" s="307"/>
      <c r="W299" s="307"/>
      <c r="X299" s="307"/>
      <c r="Y299" s="307"/>
      <c r="Z299" s="307"/>
      <c r="AA299" s="307"/>
      <c r="AB299" s="307"/>
      <c r="AC299" s="307"/>
      <c r="AD299" s="307"/>
      <c r="AE299" s="307"/>
      <c r="AF299" s="307"/>
      <c r="AG299" s="307"/>
      <c r="AH299" s="307"/>
      <c r="AI299" s="307"/>
      <c r="AJ299" s="307"/>
      <c r="AK299" s="307"/>
      <c r="AL299" s="307"/>
      <c r="AM299" s="307"/>
      <c r="AN299" s="307"/>
      <c r="AO299" s="307"/>
      <c r="AP299" s="307"/>
      <c r="AQ299" s="307"/>
      <c r="AR299" s="307"/>
      <c r="AS299" s="307"/>
      <c r="AT299" s="307"/>
      <c r="AU299" s="307"/>
      <c r="AV299" s="307"/>
      <c r="AW299" s="307"/>
      <c r="AX299" s="307"/>
      <c r="AY299" s="307"/>
      <c r="AZ299" s="307"/>
      <c r="BA299" s="307"/>
      <c r="BB299" s="307"/>
      <c r="BC299" s="307"/>
      <c r="BD299" s="307"/>
      <c r="BE299" s="307"/>
      <c r="BF299" s="307"/>
      <c r="BG299" s="307"/>
      <c r="BH299" s="307"/>
      <c r="BI299" s="307"/>
      <c r="BJ299" s="307"/>
      <c r="BK299" s="307"/>
      <c r="BL299" s="307"/>
      <c r="BM299" s="307"/>
      <c r="BN299" s="307"/>
      <c r="BO299" s="307"/>
      <c r="BP299" s="307"/>
      <c r="BQ299" s="307"/>
      <c r="BR299" s="307"/>
      <c r="BS299" s="307"/>
      <c r="BT299" s="307"/>
      <c r="BU299" s="307"/>
      <c r="BV299" s="307"/>
      <c r="BW299" s="307"/>
      <c r="BX299" s="307"/>
      <c r="BY299" s="307"/>
      <c r="BZ299" s="307"/>
      <c r="CA299" s="307"/>
      <c r="CB299" s="307"/>
      <c r="CC299" s="307"/>
      <c r="CD299" s="307"/>
      <c r="CE299" s="307"/>
      <c r="CF299" s="307"/>
    </row>
    <row r="300" spans="4:84">
      <c r="D300" s="307"/>
      <c r="E300" s="307"/>
      <c r="F300" s="307"/>
      <c r="G300" s="307"/>
      <c r="H300" s="307"/>
      <c r="I300" s="307"/>
      <c r="J300" s="307"/>
      <c r="K300" s="307"/>
      <c r="L300" s="307"/>
      <c r="M300" s="307"/>
      <c r="N300" s="307"/>
      <c r="O300" s="307"/>
      <c r="P300" s="307"/>
      <c r="Q300" s="307"/>
      <c r="R300" s="307"/>
      <c r="S300" s="307"/>
      <c r="T300" s="307"/>
      <c r="U300" s="307"/>
      <c r="V300" s="307"/>
      <c r="W300" s="307"/>
      <c r="X300" s="307"/>
      <c r="Y300" s="307"/>
      <c r="Z300" s="307"/>
      <c r="AA300" s="307"/>
      <c r="AB300" s="307"/>
      <c r="AC300" s="307"/>
      <c r="AD300" s="307"/>
      <c r="AE300" s="307"/>
      <c r="AF300" s="307"/>
      <c r="AG300" s="307"/>
      <c r="AH300" s="307"/>
      <c r="AI300" s="307"/>
      <c r="AJ300" s="307"/>
      <c r="AK300" s="307"/>
      <c r="AL300" s="307"/>
      <c r="AM300" s="307"/>
      <c r="AN300" s="307"/>
      <c r="AO300" s="307"/>
      <c r="AP300" s="307"/>
      <c r="AQ300" s="307"/>
      <c r="AR300" s="307"/>
      <c r="AS300" s="307"/>
      <c r="AT300" s="307"/>
      <c r="AU300" s="307"/>
      <c r="AV300" s="307"/>
      <c r="AW300" s="307"/>
      <c r="AX300" s="307"/>
      <c r="AY300" s="307"/>
      <c r="AZ300" s="307"/>
      <c r="BA300" s="307"/>
      <c r="BB300" s="307"/>
      <c r="BC300" s="307"/>
      <c r="BD300" s="307"/>
      <c r="BE300" s="307"/>
      <c r="BF300" s="307"/>
      <c r="BG300" s="307"/>
      <c r="BH300" s="307"/>
      <c r="BI300" s="307"/>
      <c r="BJ300" s="307"/>
      <c r="BK300" s="307"/>
      <c r="BL300" s="307"/>
      <c r="BM300" s="307"/>
      <c r="BN300" s="307"/>
      <c r="BO300" s="307"/>
      <c r="BP300" s="307"/>
      <c r="BQ300" s="307"/>
      <c r="BR300" s="307"/>
      <c r="BS300" s="307"/>
      <c r="BT300" s="307"/>
      <c r="BU300" s="307"/>
      <c r="BV300" s="307"/>
      <c r="BW300" s="307"/>
      <c r="BX300" s="307"/>
      <c r="BY300" s="307"/>
      <c r="BZ300" s="307"/>
      <c r="CA300" s="307"/>
      <c r="CB300" s="307"/>
      <c r="CC300" s="307"/>
      <c r="CD300" s="307"/>
      <c r="CE300" s="307"/>
      <c r="CF300" s="307"/>
    </row>
    <row r="301" spans="4:84">
      <c r="D301" s="307"/>
      <c r="E301" s="307"/>
      <c r="F301" s="307"/>
      <c r="G301" s="307"/>
      <c r="H301" s="307"/>
      <c r="I301" s="307"/>
      <c r="J301" s="307"/>
      <c r="K301" s="307"/>
      <c r="L301" s="307"/>
      <c r="M301" s="307"/>
      <c r="N301" s="307"/>
      <c r="O301" s="307"/>
      <c r="P301" s="307"/>
      <c r="Q301" s="307"/>
      <c r="R301" s="307"/>
      <c r="S301" s="307"/>
      <c r="T301" s="307"/>
      <c r="U301" s="307"/>
      <c r="V301" s="307"/>
      <c r="W301" s="307"/>
      <c r="X301" s="307"/>
      <c r="Y301" s="307"/>
      <c r="Z301" s="307"/>
      <c r="AA301" s="307"/>
      <c r="AB301" s="307"/>
      <c r="AC301" s="307"/>
      <c r="AD301" s="307"/>
      <c r="AE301" s="307"/>
      <c r="AF301" s="307"/>
      <c r="AG301" s="307"/>
      <c r="AH301" s="307"/>
      <c r="AI301" s="307"/>
      <c r="AJ301" s="307"/>
      <c r="AK301" s="307"/>
      <c r="AL301" s="307"/>
      <c r="AM301" s="307"/>
      <c r="AN301" s="307"/>
      <c r="AO301" s="307"/>
      <c r="AP301" s="307"/>
      <c r="AQ301" s="307"/>
      <c r="AR301" s="307"/>
      <c r="AS301" s="307"/>
      <c r="AT301" s="307"/>
      <c r="AU301" s="307"/>
      <c r="AV301" s="307"/>
      <c r="AW301" s="307"/>
      <c r="AX301" s="307"/>
      <c r="AY301" s="307"/>
      <c r="AZ301" s="307"/>
      <c r="BA301" s="307"/>
      <c r="BB301" s="307"/>
      <c r="BC301" s="307"/>
      <c r="BD301" s="307"/>
      <c r="BE301" s="307"/>
      <c r="BF301" s="307"/>
      <c r="BG301" s="307"/>
      <c r="BH301" s="307"/>
      <c r="BI301" s="307"/>
      <c r="BJ301" s="307"/>
      <c r="BK301" s="307"/>
      <c r="BL301" s="307"/>
      <c r="BM301" s="307"/>
      <c r="BN301" s="307"/>
      <c r="BO301" s="307"/>
      <c r="BP301" s="307"/>
      <c r="BQ301" s="307"/>
      <c r="BR301" s="307"/>
      <c r="BS301" s="307"/>
      <c r="BT301" s="307"/>
      <c r="BU301" s="307"/>
      <c r="BV301" s="307"/>
      <c r="BW301" s="307"/>
      <c r="BX301" s="307"/>
      <c r="BY301" s="307"/>
      <c r="BZ301" s="307"/>
      <c r="CA301" s="307"/>
      <c r="CB301" s="307"/>
      <c r="CC301" s="307"/>
      <c r="CD301" s="307"/>
      <c r="CE301" s="307"/>
      <c r="CF301" s="307"/>
    </row>
    <row r="302" spans="4:84">
      <c r="D302" s="307"/>
      <c r="E302" s="307"/>
      <c r="F302" s="307"/>
      <c r="G302" s="307"/>
      <c r="H302" s="307"/>
      <c r="I302" s="307"/>
      <c r="J302" s="307"/>
      <c r="K302" s="307"/>
      <c r="L302" s="307"/>
      <c r="M302" s="307"/>
      <c r="N302" s="307"/>
      <c r="O302" s="307"/>
      <c r="P302" s="307"/>
      <c r="Q302" s="307"/>
      <c r="R302" s="307"/>
      <c r="S302" s="307"/>
      <c r="T302" s="307"/>
      <c r="U302" s="307"/>
      <c r="V302" s="307"/>
      <c r="W302" s="307"/>
      <c r="X302" s="307"/>
      <c r="Y302" s="307"/>
      <c r="Z302" s="307"/>
      <c r="AA302" s="307"/>
      <c r="AB302" s="307"/>
      <c r="AC302" s="307"/>
      <c r="AD302" s="307"/>
      <c r="AE302" s="307"/>
      <c r="AF302" s="307"/>
      <c r="AG302" s="307"/>
      <c r="AH302" s="307"/>
      <c r="AI302" s="307"/>
      <c r="AJ302" s="307"/>
      <c r="AK302" s="307"/>
      <c r="AL302" s="307"/>
      <c r="AM302" s="307"/>
      <c r="AN302" s="307"/>
      <c r="AO302" s="307"/>
      <c r="AP302" s="307"/>
      <c r="AQ302" s="307"/>
      <c r="AR302" s="307"/>
      <c r="AS302" s="307"/>
      <c r="AT302" s="307"/>
      <c r="AU302" s="307"/>
      <c r="AV302" s="307"/>
      <c r="AW302" s="307"/>
      <c r="AX302" s="307"/>
      <c r="AY302" s="307"/>
      <c r="AZ302" s="307"/>
      <c r="BA302" s="307"/>
      <c r="BB302" s="307"/>
      <c r="BC302" s="307"/>
      <c r="BD302" s="307"/>
      <c r="BE302" s="307"/>
      <c r="BF302" s="307"/>
      <c r="BG302" s="307"/>
      <c r="BH302" s="307"/>
      <c r="BI302" s="307"/>
      <c r="BJ302" s="307"/>
      <c r="BK302" s="307"/>
      <c r="BL302" s="307"/>
      <c r="BM302" s="307"/>
      <c r="BN302" s="307"/>
      <c r="BO302" s="307"/>
      <c r="BP302" s="307"/>
      <c r="BQ302" s="307"/>
      <c r="BR302" s="307"/>
      <c r="BS302" s="307"/>
      <c r="BT302" s="307"/>
      <c r="BU302" s="307"/>
      <c r="BV302" s="307"/>
      <c r="BW302" s="307"/>
      <c r="BX302" s="307"/>
      <c r="BY302" s="307"/>
      <c r="BZ302" s="307"/>
      <c r="CA302" s="307"/>
      <c r="CB302" s="307"/>
      <c r="CC302" s="307"/>
      <c r="CD302" s="307"/>
      <c r="CE302" s="307"/>
      <c r="CF302" s="307"/>
    </row>
    <row r="303" spans="4:84">
      <c r="D303" s="307"/>
      <c r="E303" s="307"/>
      <c r="F303" s="307"/>
      <c r="G303" s="307"/>
      <c r="H303" s="307"/>
      <c r="I303" s="307"/>
      <c r="J303" s="307"/>
      <c r="K303" s="307"/>
      <c r="L303" s="307"/>
      <c r="M303" s="307"/>
      <c r="N303" s="307"/>
      <c r="O303" s="307"/>
      <c r="P303" s="307"/>
      <c r="Q303" s="307"/>
      <c r="R303" s="307"/>
      <c r="S303" s="307"/>
      <c r="T303" s="307"/>
      <c r="U303" s="307"/>
      <c r="V303" s="307"/>
      <c r="W303" s="307"/>
      <c r="X303" s="307"/>
      <c r="Y303" s="307"/>
      <c r="Z303" s="307"/>
      <c r="AA303" s="307"/>
      <c r="AB303" s="307"/>
      <c r="AC303" s="307"/>
      <c r="AD303" s="307"/>
      <c r="AE303" s="307"/>
      <c r="AF303" s="307"/>
      <c r="AG303" s="307"/>
      <c r="AH303" s="307"/>
      <c r="AI303" s="307"/>
      <c r="AJ303" s="307"/>
      <c r="AK303" s="307"/>
      <c r="AL303" s="307"/>
      <c r="AM303" s="307"/>
      <c r="AN303" s="307"/>
      <c r="AO303" s="307"/>
      <c r="AP303" s="307"/>
      <c r="AQ303" s="307"/>
      <c r="AR303" s="307"/>
      <c r="AS303" s="307"/>
      <c r="AT303" s="307"/>
      <c r="AU303" s="307"/>
      <c r="AV303" s="307"/>
      <c r="AW303" s="307"/>
      <c r="AX303" s="307"/>
      <c r="AY303" s="307"/>
      <c r="AZ303" s="307"/>
      <c r="BA303" s="307"/>
      <c r="BB303" s="307"/>
      <c r="BC303" s="307"/>
      <c r="BD303" s="307"/>
      <c r="BE303" s="307"/>
      <c r="BF303" s="307"/>
      <c r="BG303" s="307"/>
      <c r="BH303" s="307"/>
      <c r="BI303" s="307"/>
      <c r="BJ303" s="307"/>
      <c r="BK303" s="307"/>
      <c r="BL303" s="307"/>
      <c r="BM303" s="307"/>
      <c r="BN303" s="307"/>
      <c r="BO303" s="307"/>
      <c r="BP303" s="307"/>
      <c r="BQ303" s="307"/>
      <c r="BR303" s="307"/>
      <c r="BS303" s="307"/>
      <c r="BT303" s="307"/>
      <c r="BU303" s="307"/>
      <c r="BV303" s="307"/>
      <c r="BW303" s="307"/>
      <c r="BX303" s="307"/>
      <c r="BY303" s="307"/>
      <c r="BZ303" s="307"/>
      <c r="CA303" s="307"/>
      <c r="CB303" s="307"/>
      <c r="CC303" s="307"/>
      <c r="CD303" s="307"/>
      <c r="CE303" s="307"/>
      <c r="CF303" s="307"/>
    </row>
    <row r="304" spans="4:84">
      <c r="D304" s="307"/>
      <c r="E304" s="307"/>
      <c r="F304" s="307"/>
      <c r="G304" s="307"/>
      <c r="H304" s="307"/>
      <c r="I304" s="307"/>
      <c r="J304" s="307"/>
      <c r="K304" s="307"/>
      <c r="L304" s="307"/>
      <c r="M304" s="307"/>
      <c r="N304" s="307"/>
      <c r="O304" s="307"/>
      <c r="P304" s="307"/>
      <c r="Q304" s="307"/>
      <c r="R304" s="307"/>
      <c r="S304" s="307"/>
      <c r="T304" s="307"/>
      <c r="U304" s="307"/>
      <c r="V304" s="307"/>
      <c r="W304" s="307"/>
      <c r="X304" s="307"/>
      <c r="Y304" s="307"/>
      <c r="Z304" s="307"/>
      <c r="AA304" s="307"/>
      <c r="AB304" s="307"/>
      <c r="AC304" s="307"/>
      <c r="AD304" s="307"/>
      <c r="AE304" s="307"/>
      <c r="AF304" s="307"/>
      <c r="AG304" s="307"/>
      <c r="AH304" s="307"/>
      <c r="AI304" s="307"/>
      <c r="AJ304" s="307"/>
      <c r="AK304" s="307"/>
      <c r="AL304" s="307"/>
      <c r="AM304" s="307"/>
      <c r="AN304" s="307"/>
      <c r="AO304" s="307"/>
      <c r="AP304" s="307"/>
      <c r="AQ304" s="307"/>
      <c r="AR304" s="307"/>
      <c r="AS304" s="307"/>
      <c r="AT304" s="307"/>
      <c r="AU304" s="307"/>
      <c r="AV304" s="307"/>
      <c r="AW304" s="307"/>
      <c r="AX304" s="307"/>
      <c r="AY304" s="307"/>
      <c r="AZ304" s="307"/>
      <c r="BA304" s="307"/>
      <c r="BB304" s="307"/>
      <c r="BC304" s="307"/>
      <c r="BD304" s="307"/>
      <c r="BE304" s="307"/>
      <c r="BF304" s="307"/>
      <c r="BG304" s="307"/>
      <c r="BH304" s="307"/>
      <c r="BI304" s="307"/>
      <c r="BJ304" s="307"/>
      <c r="BK304" s="307"/>
      <c r="BL304" s="307"/>
      <c r="BM304" s="307"/>
      <c r="BN304" s="307"/>
      <c r="BO304" s="307"/>
      <c r="BP304" s="307"/>
      <c r="BQ304" s="307"/>
      <c r="BR304" s="307"/>
      <c r="BS304" s="307"/>
      <c r="BT304" s="307"/>
      <c r="BU304" s="307"/>
      <c r="BV304" s="307"/>
      <c r="BW304" s="307"/>
      <c r="BX304" s="307"/>
      <c r="BY304" s="307"/>
      <c r="BZ304" s="307"/>
      <c r="CA304" s="307"/>
      <c r="CB304" s="307"/>
      <c r="CC304" s="307"/>
      <c r="CD304" s="307"/>
      <c r="CE304" s="307"/>
      <c r="CF304" s="307"/>
    </row>
    <row r="305" spans="4:84">
      <c r="D305" s="307"/>
      <c r="E305" s="307"/>
      <c r="F305" s="307"/>
      <c r="G305" s="307"/>
      <c r="H305" s="307"/>
      <c r="I305" s="307"/>
      <c r="J305" s="307"/>
      <c r="K305" s="307"/>
      <c r="L305" s="307"/>
      <c r="M305" s="307"/>
      <c r="N305" s="307"/>
      <c r="O305" s="307"/>
      <c r="P305" s="307"/>
      <c r="Q305" s="307"/>
      <c r="R305" s="307"/>
      <c r="S305" s="307"/>
      <c r="T305" s="307"/>
      <c r="U305" s="307"/>
      <c r="V305" s="307"/>
      <c r="W305" s="307"/>
      <c r="X305" s="307"/>
      <c r="Y305" s="307"/>
      <c r="Z305" s="307"/>
      <c r="AA305" s="307"/>
      <c r="AB305" s="307"/>
      <c r="AC305" s="307"/>
      <c r="AD305" s="307"/>
      <c r="AE305" s="307"/>
      <c r="AF305" s="307"/>
      <c r="AG305" s="307"/>
      <c r="AH305" s="307"/>
      <c r="AI305" s="307"/>
      <c r="AJ305" s="307"/>
      <c r="AK305" s="307"/>
      <c r="AL305" s="307"/>
      <c r="AM305" s="307"/>
      <c r="AN305" s="307"/>
      <c r="AO305" s="307"/>
      <c r="AP305" s="307"/>
      <c r="AQ305" s="307"/>
      <c r="AR305" s="307"/>
      <c r="AS305" s="307"/>
      <c r="AT305" s="307"/>
      <c r="AU305" s="307"/>
      <c r="AV305" s="307"/>
      <c r="AW305" s="307"/>
      <c r="AX305" s="307"/>
      <c r="AY305" s="307"/>
      <c r="AZ305" s="307"/>
      <c r="BA305" s="307"/>
      <c r="BB305" s="307"/>
      <c r="BC305" s="307"/>
      <c r="BD305" s="307"/>
      <c r="BE305" s="307"/>
      <c r="BF305" s="307"/>
      <c r="BG305" s="307"/>
      <c r="BH305" s="307"/>
      <c r="BI305" s="307"/>
      <c r="BJ305" s="307"/>
      <c r="BK305" s="307"/>
      <c r="BL305" s="307"/>
      <c r="BM305" s="307"/>
      <c r="BN305" s="307"/>
      <c r="BO305" s="307"/>
      <c r="BP305" s="307"/>
      <c r="BQ305" s="307"/>
      <c r="BR305" s="307"/>
      <c r="BS305" s="307"/>
      <c r="BT305" s="307"/>
      <c r="BU305" s="307"/>
      <c r="BV305" s="307"/>
      <c r="BW305" s="307"/>
      <c r="BX305" s="307"/>
      <c r="BY305" s="307"/>
      <c r="BZ305" s="307"/>
      <c r="CA305" s="307"/>
      <c r="CB305" s="307"/>
      <c r="CC305" s="307"/>
      <c r="CD305" s="307"/>
      <c r="CE305" s="307"/>
      <c r="CF305" s="307"/>
    </row>
    <row r="306" spans="4:84">
      <c r="D306" s="307"/>
      <c r="E306" s="307"/>
      <c r="F306" s="307"/>
      <c r="G306" s="307"/>
      <c r="H306" s="307"/>
      <c r="I306" s="307"/>
      <c r="J306" s="307"/>
      <c r="K306" s="307"/>
      <c r="L306" s="307"/>
      <c r="M306" s="307"/>
      <c r="N306" s="307"/>
      <c r="O306" s="307"/>
      <c r="P306" s="307"/>
      <c r="Q306" s="307"/>
      <c r="R306" s="307"/>
      <c r="S306" s="307"/>
      <c r="T306" s="307"/>
      <c r="U306" s="307"/>
      <c r="V306" s="307"/>
      <c r="W306" s="307"/>
      <c r="X306" s="307"/>
      <c r="Y306" s="307"/>
      <c r="Z306" s="307"/>
      <c r="AA306" s="307"/>
      <c r="AB306" s="307"/>
      <c r="AC306" s="307"/>
      <c r="AD306" s="307"/>
      <c r="AE306" s="307"/>
      <c r="AF306" s="307"/>
      <c r="AG306" s="307"/>
      <c r="AH306" s="307"/>
      <c r="AI306" s="307"/>
      <c r="AJ306" s="307"/>
      <c r="AK306" s="307"/>
      <c r="AL306" s="307"/>
      <c r="AM306" s="307"/>
      <c r="AN306" s="307"/>
      <c r="AO306" s="307"/>
      <c r="AP306" s="307"/>
      <c r="AQ306" s="307"/>
      <c r="AR306" s="307"/>
      <c r="AS306" s="307"/>
      <c r="AT306" s="307"/>
      <c r="AU306" s="307"/>
      <c r="AV306" s="307"/>
      <c r="AW306" s="307"/>
      <c r="AX306" s="307"/>
      <c r="AY306" s="307"/>
      <c r="AZ306" s="307"/>
      <c r="BA306" s="307"/>
      <c r="BB306" s="307"/>
      <c r="BC306" s="307"/>
      <c r="BD306" s="307"/>
      <c r="BE306" s="307"/>
      <c r="BF306" s="307"/>
      <c r="BG306" s="307"/>
      <c r="BH306" s="307"/>
      <c r="BI306" s="307"/>
      <c r="BJ306" s="307"/>
      <c r="BK306" s="307"/>
      <c r="BL306" s="307"/>
      <c r="BM306" s="307"/>
      <c r="BN306" s="307"/>
      <c r="BO306" s="307"/>
      <c r="BP306" s="307"/>
      <c r="BQ306" s="307"/>
      <c r="BR306" s="307"/>
      <c r="BS306" s="307"/>
      <c r="BT306" s="307"/>
      <c r="BU306" s="307"/>
      <c r="BV306" s="307"/>
      <c r="BW306" s="307"/>
      <c r="BX306" s="307"/>
      <c r="BY306" s="307"/>
      <c r="BZ306" s="307"/>
      <c r="CA306" s="307"/>
      <c r="CB306" s="307"/>
      <c r="CC306" s="307"/>
      <c r="CD306" s="307"/>
      <c r="CE306" s="307"/>
      <c r="CF306" s="307"/>
    </row>
    <row r="307" spans="4:84">
      <c r="D307" s="307"/>
      <c r="E307" s="307"/>
      <c r="F307" s="307"/>
      <c r="G307" s="307"/>
      <c r="H307" s="307"/>
      <c r="I307" s="307"/>
      <c r="J307" s="307"/>
      <c r="K307" s="307"/>
      <c r="L307" s="307"/>
      <c r="M307" s="307"/>
      <c r="N307" s="307"/>
      <c r="O307" s="307"/>
      <c r="P307" s="307"/>
      <c r="Q307" s="307"/>
      <c r="R307" s="307"/>
      <c r="S307" s="307"/>
      <c r="T307" s="307"/>
      <c r="U307" s="307"/>
      <c r="V307" s="307"/>
      <c r="W307" s="307"/>
      <c r="X307" s="307"/>
      <c r="Y307" s="307"/>
      <c r="Z307" s="307"/>
      <c r="AA307" s="307"/>
      <c r="AB307" s="307"/>
      <c r="AC307" s="307"/>
      <c r="AD307" s="307"/>
      <c r="AE307" s="307"/>
      <c r="AF307" s="307"/>
      <c r="AG307" s="307"/>
      <c r="AH307" s="307"/>
      <c r="AI307" s="307"/>
      <c r="AJ307" s="307"/>
      <c r="AK307" s="307"/>
      <c r="AL307" s="307"/>
      <c r="AM307" s="307"/>
      <c r="AN307" s="307"/>
      <c r="AO307" s="307"/>
      <c r="AP307" s="307"/>
      <c r="AQ307" s="307"/>
      <c r="AR307" s="307"/>
      <c r="AS307" s="307"/>
      <c r="AT307" s="307"/>
      <c r="AU307" s="307"/>
      <c r="AV307" s="307"/>
      <c r="AW307" s="307"/>
      <c r="AX307" s="307"/>
      <c r="AY307" s="307"/>
      <c r="AZ307" s="307"/>
      <c r="BA307" s="307"/>
      <c r="BB307" s="307"/>
      <c r="BC307" s="307"/>
      <c r="BD307" s="307"/>
      <c r="BE307" s="307"/>
      <c r="BF307" s="307"/>
      <c r="BG307" s="307"/>
      <c r="BH307" s="307"/>
      <c r="BI307" s="307"/>
      <c r="BJ307" s="307"/>
      <c r="BK307" s="307"/>
      <c r="BL307" s="307"/>
      <c r="BM307" s="307"/>
      <c r="BN307" s="307"/>
      <c r="BO307" s="307"/>
      <c r="BP307" s="307"/>
      <c r="BQ307" s="307"/>
      <c r="BR307" s="307"/>
      <c r="BS307" s="307"/>
      <c r="BT307" s="307"/>
      <c r="BU307" s="307"/>
      <c r="BV307" s="307"/>
      <c r="BW307" s="307"/>
      <c r="BX307" s="307"/>
      <c r="BY307" s="307"/>
      <c r="BZ307" s="307"/>
      <c r="CA307" s="307"/>
      <c r="CB307" s="307"/>
      <c r="CC307" s="307"/>
      <c r="CD307" s="307"/>
      <c r="CE307" s="307"/>
      <c r="CF307" s="307"/>
    </row>
    <row r="308" spans="4:84">
      <c r="D308" s="307"/>
      <c r="E308" s="307"/>
      <c r="F308" s="307"/>
      <c r="G308" s="307"/>
      <c r="H308" s="307"/>
      <c r="I308" s="307"/>
      <c r="J308" s="307"/>
      <c r="K308" s="307"/>
      <c r="L308" s="307"/>
      <c r="M308" s="307"/>
      <c r="N308" s="307"/>
      <c r="O308" s="307"/>
      <c r="P308" s="307"/>
      <c r="Q308" s="307"/>
      <c r="R308" s="307"/>
      <c r="S308" s="307"/>
      <c r="T308" s="307"/>
      <c r="U308" s="307"/>
      <c r="V308" s="307"/>
      <c r="W308" s="307"/>
      <c r="X308" s="307"/>
      <c r="Y308" s="307"/>
      <c r="Z308" s="307"/>
      <c r="AA308" s="307"/>
      <c r="AB308" s="307"/>
      <c r="AC308" s="307"/>
      <c r="AD308" s="307"/>
      <c r="AE308" s="307"/>
      <c r="AF308" s="307"/>
      <c r="AG308" s="307"/>
      <c r="AH308" s="307"/>
      <c r="AI308" s="307"/>
      <c r="AJ308" s="307"/>
      <c r="AK308" s="307"/>
      <c r="AL308" s="307"/>
      <c r="AM308" s="307"/>
      <c r="AN308" s="307"/>
      <c r="AO308" s="307"/>
      <c r="AP308" s="307"/>
      <c r="AQ308" s="307"/>
      <c r="AR308" s="307"/>
      <c r="AS308" s="307"/>
      <c r="AT308" s="307"/>
      <c r="AU308" s="307"/>
      <c r="AV308" s="307"/>
      <c r="AW308" s="307"/>
      <c r="AX308" s="307"/>
      <c r="AY308" s="307"/>
      <c r="AZ308" s="307"/>
      <c r="BA308" s="307"/>
      <c r="BB308" s="307"/>
      <c r="BC308" s="307"/>
      <c r="BD308" s="307"/>
      <c r="BE308" s="307"/>
      <c r="BF308" s="307"/>
      <c r="BG308" s="307"/>
      <c r="BH308" s="307"/>
      <c r="BI308" s="307"/>
      <c r="BJ308" s="307"/>
      <c r="BK308" s="307"/>
      <c r="BL308" s="307"/>
      <c r="BM308" s="307"/>
      <c r="BN308" s="307"/>
      <c r="BO308" s="307"/>
      <c r="BP308" s="307"/>
      <c r="BQ308" s="307"/>
      <c r="BR308" s="307"/>
      <c r="BS308" s="307"/>
      <c r="BT308" s="307"/>
      <c r="BU308" s="307"/>
      <c r="BV308" s="307"/>
      <c r="BW308" s="307"/>
      <c r="BX308" s="307"/>
      <c r="BY308" s="307"/>
      <c r="BZ308" s="307"/>
      <c r="CA308" s="307"/>
      <c r="CB308" s="307"/>
      <c r="CC308" s="307"/>
      <c r="CD308" s="307"/>
      <c r="CE308" s="307"/>
      <c r="CF308" s="307"/>
    </row>
    <row r="309" spans="4:84">
      <c r="D309" s="307"/>
      <c r="E309" s="307"/>
      <c r="F309" s="307"/>
      <c r="G309" s="307"/>
      <c r="H309" s="307"/>
      <c r="I309" s="307"/>
      <c r="J309" s="307"/>
      <c r="K309" s="307"/>
      <c r="L309" s="307"/>
      <c r="M309" s="307"/>
      <c r="N309" s="307"/>
      <c r="O309" s="307"/>
      <c r="P309" s="307"/>
      <c r="Q309" s="307"/>
      <c r="R309" s="307"/>
      <c r="S309" s="307"/>
      <c r="T309" s="307"/>
      <c r="U309" s="307"/>
      <c r="V309" s="307"/>
      <c r="W309" s="307"/>
      <c r="X309" s="307"/>
      <c r="Y309" s="307"/>
      <c r="Z309" s="307"/>
      <c r="AA309" s="307"/>
      <c r="AB309" s="307"/>
      <c r="AC309" s="307"/>
      <c r="AD309" s="307"/>
      <c r="AE309" s="307"/>
      <c r="AF309" s="307"/>
      <c r="AG309" s="307"/>
      <c r="AH309" s="307"/>
      <c r="AI309" s="307"/>
      <c r="AJ309" s="307"/>
      <c r="AK309" s="307"/>
      <c r="AL309" s="307"/>
      <c r="AM309" s="307"/>
      <c r="AN309" s="307"/>
      <c r="AO309" s="307"/>
      <c r="AP309" s="307"/>
      <c r="AQ309" s="307"/>
      <c r="AR309" s="307"/>
      <c r="AS309" s="307"/>
      <c r="AT309" s="307"/>
      <c r="AU309" s="307"/>
      <c r="AV309" s="307"/>
      <c r="AW309" s="307"/>
      <c r="AX309" s="307"/>
      <c r="AY309" s="307"/>
      <c r="AZ309" s="307"/>
      <c r="BA309" s="307"/>
      <c r="BB309" s="307"/>
      <c r="BC309" s="307"/>
      <c r="BD309" s="307"/>
      <c r="BE309" s="307"/>
      <c r="BF309" s="307"/>
      <c r="BG309" s="307"/>
      <c r="BH309" s="307"/>
      <c r="BI309" s="307"/>
      <c r="BJ309" s="307"/>
      <c r="BK309" s="307"/>
      <c r="BL309" s="307"/>
      <c r="BM309" s="307"/>
      <c r="BN309" s="307"/>
      <c r="BO309" s="307"/>
      <c r="BP309" s="307"/>
      <c r="BQ309" s="307"/>
      <c r="BR309" s="307"/>
      <c r="BS309" s="307"/>
      <c r="BT309" s="307"/>
      <c r="BU309" s="307"/>
      <c r="BV309" s="307"/>
      <c r="BW309" s="307"/>
      <c r="BX309" s="307"/>
      <c r="BY309" s="307"/>
      <c r="BZ309" s="307"/>
      <c r="CA309" s="307"/>
      <c r="CB309" s="307"/>
      <c r="CC309" s="307"/>
      <c r="CD309" s="307"/>
      <c r="CE309" s="307"/>
      <c r="CF309" s="307"/>
    </row>
    <row r="310" spans="4:84">
      <c r="D310" s="307"/>
      <c r="E310" s="307"/>
      <c r="F310" s="307"/>
      <c r="G310" s="307"/>
      <c r="H310" s="307"/>
      <c r="I310" s="307"/>
      <c r="J310" s="307"/>
      <c r="K310" s="307"/>
      <c r="L310" s="307"/>
      <c r="M310" s="307"/>
      <c r="N310" s="307"/>
      <c r="O310" s="307"/>
      <c r="P310" s="307"/>
      <c r="Q310" s="307"/>
      <c r="R310" s="307"/>
      <c r="S310" s="307"/>
      <c r="T310" s="307"/>
      <c r="U310" s="307"/>
      <c r="V310" s="307"/>
      <c r="W310" s="307"/>
      <c r="X310" s="307"/>
      <c r="Y310" s="307"/>
      <c r="Z310" s="307"/>
      <c r="AA310" s="307"/>
      <c r="AB310" s="307"/>
      <c r="AC310" s="307"/>
      <c r="AD310" s="307"/>
      <c r="AE310" s="307"/>
      <c r="AF310" s="307"/>
      <c r="AG310" s="307"/>
      <c r="AH310" s="307"/>
      <c r="AI310" s="307"/>
      <c r="AJ310" s="307"/>
      <c r="AK310" s="307"/>
      <c r="AL310" s="307"/>
      <c r="AM310" s="307"/>
      <c r="AN310" s="307"/>
      <c r="AO310" s="307"/>
      <c r="AP310" s="307"/>
      <c r="AQ310" s="307"/>
      <c r="AR310" s="307"/>
      <c r="AS310" s="307"/>
      <c r="AT310" s="307"/>
      <c r="AU310" s="307"/>
      <c r="AV310" s="307"/>
      <c r="AW310" s="307"/>
      <c r="AX310" s="307"/>
      <c r="AY310" s="307"/>
      <c r="AZ310" s="307"/>
      <c r="BA310" s="307"/>
      <c r="BB310" s="307"/>
      <c r="BC310" s="307"/>
      <c r="BD310" s="307"/>
      <c r="BE310" s="307"/>
      <c r="BF310" s="307"/>
      <c r="BG310" s="307"/>
      <c r="BH310" s="307"/>
      <c r="BI310" s="307"/>
      <c r="BJ310" s="307"/>
      <c r="BK310" s="307"/>
      <c r="BL310" s="307"/>
      <c r="BM310" s="307"/>
      <c r="BN310" s="307"/>
      <c r="BO310" s="307"/>
      <c r="BP310" s="307"/>
      <c r="BQ310" s="307"/>
      <c r="BR310" s="307"/>
      <c r="BS310" s="307"/>
      <c r="BT310" s="307"/>
      <c r="BU310" s="307"/>
      <c r="BV310" s="307"/>
      <c r="BW310" s="307"/>
      <c r="BX310" s="307"/>
      <c r="BY310" s="307"/>
      <c r="BZ310" s="307"/>
      <c r="CA310" s="307"/>
      <c r="CB310" s="307"/>
      <c r="CC310" s="307"/>
      <c r="CD310" s="307"/>
      <c r="CE310" s="307"/>
      <c r="CF310" s="307"/>
    </row>
    <row r="311" spans="4:84">
      <c r="D311" s="307"/>
      <c r="E311" s="307"/>
      <c r="F311" s="307"/>
      <c r="G311" s="307"/>
      <c r="H311" s="307"/>
      <c r="I311" s="307"/>
      <c r="J311" s="307"/>
      <c r="K311" s="307"/>
      <c r="L311" s="307"/>
      <c r="M311" s="307"/>
      <c r="N311" s="307"/>
      <c r="O311" s="307"/>
      <c r="P311" s="307"/>
      <c r="Q311" s="307"/>
      <c r="R311" s="307"/>
      <c r="S311" s="307"/>
      <c r="T311" s="307"/>
      <c r="U311" s="307"/>
      <c r="V311" s="307"/>
      <c r="W311" s="307"/>
      <c r="X311" s="307"/>
      <c r="Y311" s="307"/>
      <c r="Z311" s="307"/>
      <c r="AA311" s="307"/>
      <c r="AB311" s="307"/>
      <c r="AC311" s="307"/>
      <c r="AD311" s="307"/>
      <c r="AE311" s="307"/>
      <c r="AF311" s="307"/>
      <c r="AG311" s="307"/>
      <c r="AH311" s="307"/>
      <c r="AI311" s="307"/>
      <c r="AJ311" s="307"/>
      <c r="AK311" s="307"/>
      <c r="AL311" s="307"/>
      <c r="AM311" s="307"/>
      <c r="AN311" s="307"/>
      <c r="AO311" s="307"/>
      <c r="AP311" s="307"/>
      <c r="AQ311" s="307"/>
      <c r="AR311" s="307"/>
      <c r="AS311" s="307"/>
      <c r="AT311" s="307"/>
      <c r="AU311" s="307"/>
      <c r="AV311" s="307"/>
      <c r="AW311" s="307"/>
      <c r="AX311" s="307"/>
      <c r="AY311" s="307"/>
      <c r="AZ311" s="307"/>
      <c r="BA311" s="307"/>
      <c r="BB311" s="307"/>
      <c r="BC311" s="307"/>
      <c r="BD311" s="307"/>
      <c r="BE311" s="307"/>
      <c r="BF311" s="307"/>
      <c r="BG311" s="307"/>
      <c r="BH311" s="307"/>
      <c r="BI311" s="307"/>
      <c r="BJ311" s="307"/>
      <c r="BK311" s="307"/>
      <c r="BL311" s="307"/>
      <c r="BM311" s="307"/>
      <c r="BN311" s="307"/>
      <c r="BO311" s="307"/>
      <c r="BP311" s="307"/>
      <c r="BQ311" s="307"/>
      <c r="BR311" s="307"/>
      <c r="BS311" s="307"/>
      <c r="BT311" s="307"/>
      <c r="BU311" s="307"/>
      <c r="BV311" s="307"/>
      <c r="BW311" s="307"/>
      <c r="BX311" s="307"/>
      <c r="BY311" s="307"/>
      <c r="BZ311" s="307"/>
      <c r="CA311" s="307"/>
      <c r="CB311" s="307"/>
      <c r="CC311" s="307"/>
      <c r="CD311" s="307"/>
      <c r="CE311" s="307"/>
      <c r="CF311" s="307"/>
    </row>
    <row r="312" spans="4:84">
      <c r="D312" s="307"/>
      <c r="E312" s="307"/>
      <c r="F312" s="307"/>
      <c r="G312" s="307"/>
      <c r="H312" s="307"/>
      <c r="I312" s="307"/>
      <c r="J312" s="307"/>
      <c r="K312" s="307"/>
      <c r="L312" s="307"/>
      <c r="M312" s="307"/>
      <c r="N312" s="307"/>
      <c r="O312" s="307"/>
      <c r="P312" s="307"/>
      <c r="Q312" s="307"/>
      <c r="R312" s="307"/>
      <c r="S312" s="307"/>
      <c r="T312" s="307"/>
      <c r="U312" s="307"/>
      <c r="V312" s="307"/>
      <c r="W312" s="307"/>
      <c r="X312" s="307"/>
      <c r="Y312" s="307"/>
      <c r="Z312" s="307"/>
      <c r="AA312" s="307"/>
      <c r="AB312" s="307"/>
      <c r="AC312" s="307"/>
      <c r="AD312" s="307"/>
      <c r="AE312" s="307"/>
      <c r="AF312" s="307"/>
      <c r="AG312" s="307"/>
      <c r="AH312" s="307"/>
      <c r="AI312" s="307"/>
      <c r="AJ312" s="307"/>
      <c r="AK312" s="307"/>
      <c r="AL312" s="307"/>
      <c r="AM312" s="307"/>
      <c r="AN312" s="307"/>
      <c r="AO312" s="307"/>
      <c r="AP312" s="307"/>
      <c r="AQ312" s="307"/>
      <c r="AR312" s="307"/>
      <c r="AS312" s="307"/>
      <c r="AT312" s="307"/>
      <c r="AU312" s="307"/>
      <c r="AV312" s="307"/>
      <c r="AW312" s="307"/>
      <c r="AX312" s="307"/>
      <c r="AY312" s="307"/>
      <c r="AZ312" s="307"/>
      <c r="BA312" s="307"/>
      <c r="BB312" s="307"/>
      <c r="BC312" s="307"/>
      <c r="BD312" s="307"/>
      <c r="BE312" s="307"/>
      <c r="BF312" s="307"/>
      <c r="BG312" s="307"/>
      <c r="BH312" s="307"/>
      <c r="BI312" s="307"/>
      <c r="BJ312" s="307"/>
      <c r="BK312" s="307"/>
      <c r="BL312" s="307"/>
      <c r="BM312" s="307"/>
      <c r="BN312" s="307"/>
      <c r="BO312" s="307"/>
      <c r="BP312" s="307"/>
      <c r="BQ312" s="307"/>
      <c r="BR312" s="307"/>
      <c r="BS312" s="307"/>
      <c r="BT312" s="307"/>
      <c r="BU312" s="307"/>
      <c r="BV312" s="307"/>
      <c r="BW312" s="307"/>
      <c r="BX312" s="307"/>
      <c r="BY312" s="307"/>
      <c r="BZ312" s="307"/>
      <c r="CA312" s="307"/>
      <c r="CB312" s="307"/>
      <c r="CC312" s="307"/>
      <c r="CD312" s="307"/>
      <c r="CE312" s="307"/>
      <c r="CF312" s="307"/>
    </row>
    <row r="313" spans="4:84">
      <c r="D313" s="307"/>
      <c r="E313" s="307"/>
      <c r="F313" s="307"/>
      <c r="G313" s="307"/>
      <c r="H313" s="307"/>
      <c r="I313" s="307"/>
      <c r="J313" s="307"/>
      <c r="K313" s="307"/>
      <c r="L313" s="307"/>
      <c r="M313" s="307"/>
      <c r="N313" s="307"/>
      <c r="O313" s="307"/>
      <c r="P313" s="307"/>
      <c r="Q313" s="307"/>
      <c r="R313" s="307"/>
      <c r="S313" s="307"/>
      <c r="T313" s="307"/>
      <c r="U313" s="307"/>
      <c r="V313" s="307"/>
      <c r="W313" s="307"/>
      <c r="X313" s="307"/>
      <c r="Y313" s="307"/>
      <c r="Z313" s="307"/>
      <c r="AA313" s="307"/>
      <c r="AB313" s="307"/>
      <c r="AC313" s="307"/>
      <c r="AD313" s="307"/>
      <c r="AE313" s="307"/>
      <c r="AF313" s="307"/>
      <c r="AG313" s="307"/>
      <c r="AH313" s="307"/>
      <c r="AI313" s="307"/>
      <c r="AJ313" s="307"/>
      <c r="AK313" s="307"/>
      <c r="AL313" s="307"/>
      <c r="AM313" s="307"/>
      <c r="AN313" s="307"/>
      <c r="AO313" s="307"/>
      <c r="AP313" s="307"/>
      <c r="AQ313" s="307"/>
      <c r="AR313" s="307"/>
      <c r="AS313" s="307"/>
      <c r="AT313" s="307"/>
      <c r="AU313" s="307"/>
      <c r="AV313" s="307"/>
      <c r="AW313" s="307"/>
      <c r="AX313" s="307"/>
      <c r="AY313" s="307"/>
      <c r="AZ313" s="307"/>
      <c r="BA313" s="307"/>
      <c r="BB313" s="307"/>
      <c r="BC313" s="307"/>
      <c r="BD313" s="307"/>
      <c r="BE313" s="307"/>
      <c r="BF313" s="307"/>
      <c r="BG313" s="307"/>
      <c r="BH313" s="307"/>
      <c r="BI313" s="307"/>
      <c r="BJ313" s="307"/>
      <c r="BK313" s="307"/>
      <c r="BL313" s="307"/>
      <c r="BM313" s="307"/>
      <c r="BN313" s="307"/>
      <c r="BO313" s="307"/>
      <c r="BP313" s="307"/>
      <c r="BQ313" s="307"/>
      <c r="BR313" s="307"/>
      <c r="BS313" s="307"/>
      <c r="BT313" s="307"/>
      <c r="BU313" s="307"/>
      <c r="BV313" s="307"/>
      <c r="BW313" s="307"/>
      <c r="BX313" s="307"/>
      <c r="BY313" s="307"/>
      <c r="BZ313" s="307"/>
      <c r="CA313" s="307"/>
      <c r="CB313" s="307"/>
      <c r="CC313" s="307"/>
      <c r="CD313" s="307"/>
      <c r="CE313" s="307"/>
      <c r="CF313" s="307"/>
    </row>
    <row r="314" spans="4:84">
      <c r="D314" s="307"/>
      <c r="E314" s="307"/>
      <c r="F314" s="307"/>
      <c r="G314" s="307"/>
      <c r="H314" s="307"/>
      <c r="I314" s="307"/>
      <c r="J314" s="307"/>
      <c r="K314" s="307"/>
      <c r="L314" s="307"/>
      <c r="M314" s="307"/>
      <c r="N314" s="307"/>
      <c r="O314" s="307"/>
      <c r="P314" s="307"/>
      <c r="Q314" s="307"/>
      <c r="R314" s="307"/>
      <c r="S314" s="307"/>
      <c r="T314" s="307"/>
      <c r="U314" s="307"/>
      <c r="V314" s="307"/>
      <c r="W314" s="307"/>
      <c r="X314" s="307"/>
      <c r="Y314" s="307"/>
      <c r="Z314" s="307"/>
      <c r="AA314" s="307"/>
      <c r="AB314" s="307"/>
      <c r="AC314" s="307"/>
      <c r="AD314" s="307"/>
      <c r="AE314" s="307"/>
      <c r="AF314" s="307"/>
      <c r="AG314" s="307"/>
      <c r="AH314" s="307"/>
      <c r="AI314" s="307"/>
      <c r="AJ314" s="307"/>
      <c r="AK314" s="307"/>
      <c r="AL314" s="307"/>
      <c r="AM314" s="307"/>
      <c r="AN314" s="307"/>
      <c r="AO314" s="307"/>
      <c r="AP314" s="307"/>
      <c r="AQ314" s="307"/>
      <c r="AR314" s="307"/>
      <c r="AS314" s="307"/>
      <c r="AT314" s="307"/>
      <c r="AU314" s="307"/>
      <c r="AV314" s="307"/>
      <c r="AW314" s="307"/>
      <c r="AX314" s="307"/>
      <c r="AY314" s="307"/>
      <c r="AZ314" s="307"/>
      <c r="BA314" s="307"/>
      <c r="BB314" s="307"/>
      <c r="BC314" s="307"/>
      <c r="BD314" s="307"/>
      <c r="BE314" s="307"/>
      <c r="BF314" s="307"/>
      <c r="BG314" s="307"/>
      <c r="BH314" s="307"/>
      <c r="BI314" s="307"/>
      <c r="BJ314" s="307"/>
      <c r="BK314" s="307"/>
      <c r="BL314" s="307"/>
      <c r="BM314" s="307"/>
      <c r="BN314" s="307"/>
      <c r="BO314" s="307"/>
      <c r="BP314" s="307"/>
      <c r="BQ314" s="307"/>
      <c r="BR314" s="307"/>
      <c r="BS314" s="307"/>
      <c r="BT314" s="307"/>
      <c r="BU314" s="307"/>
      <c r="BV314" s="307"/>
      <c r="BW314" s="307"/>
      <c r="BX314" s="307"/>
      <c r="BY314" s="307"/>
      <c r="BZ314" s="307"/>
      <c r="CA314" s="307"/>
      <c r="CB314" s="307"/>
      <c r="CC314" s="307"/>
      <c r="CD314" s="307"/>
      <c r="CE314" s="307"/>
      <c r="CF314" s="307"/>
    </row>
    <row r="315" spans="4:84">
      <c r="D315" s="307"/>
      <c r="E315" s="307"/>
      <c r="F315" s="307"/>
      <c r="G315" s="307"/>
      <c r="H315" s="307"/>
      <c r="I315" s="307"/>
      <c r="J315" s="307"/>
      <c r="K315" s="307"/>
      <c r="L315" s="307"/>
      <c r="M315" s="307"/>
      <c r="N315" s="307"/>
      <c r="O315" s="307"/>
      <c r="P315" s="307"/>
      <c r="Q315" s="307"/>
      <c r="R315" s="307"/>
      <c r="S315" s="307"/>
      <c r="T315" s="307"/>
      <c r="U315" s="307"/>
      <c r="V315" s="307"/>
      <c r="W315" s="307"/>
      <c r="X315" s="307"/>
      <c r="Y315" s="307"/>
      <c r="Z315" s="307"/>
      <c r="AA315" s="307"/>
      <c r="AB315" s="307"/>
      <c r="AC315" s="307"/>
      <c r="AD315" s="307"/>
      <c r="AE315" s="307"/>
      <c r="AF315" s="307"/>
      <c r="AG315" s="307"/>
      <c r="AH315" s="307"/>
      <c r="AI315" s="307"/>
      <c r="AJ315" s="307"/>
      <c r="AK315" s="307"/>
      <c r="AL315" s="307"/>
      <c r="AM315" s="307"/>
      <c r="AN315" s="307"/>
      <c r="AO315" s="307"/>
      <c r="AP315" s="307"/>
      <c r="AQ315" s="307"/>
      <c r="AR315" s="307"/>
      <c r="AS315" s="307"/>
      <c r="AT315" s="307"/>
      <c r="AU315" s="307"/>
      <c r="AV315" s="307"/>
      <c r="AW315" s="307"/>
      <c r="AX315" s="307"/>
      <c r="AY315" s="307"/>
      <c r="AZ315" s="307"/>
      <c r="BA315" s="307"/>
      <c r="BB315" s="307"/>
      <c r="BC315" s="307"/>
      <c r="BD315" s="307"/>
      <c r="BE315" s="307"/>
      <c r="BF315" s="307"/>
      <c r="BG315" s="307"/>
      <c r="BH315" s="307"/>
      <c r="BI315" s="307"/>
      <c r="BJ315" s="307"/>
      <c r="BK315" s="307"/>
      <c r="BL315" s="307"/>
      <c r="BM315" s="307"/>
      <c r="BN315" s="307"/>
      <c r="BO315" s="307"/>
      <c r="BP315" s="307"/>
      <c r="BQ315" s="307"/>
      <c r="BR315" s="307"/>
      <c r="BS315" s="307"/>
      <c r="BT315" s="307"/>
      <c r="BU315" s="307"/>
      <c r="BV315" s="307"/>
      <c r="BW315" s="307"/>
      <c r="BX315" s="307"/>
      <c r="BY315" s="307"/>
      <c r="BZ315" s="307"/>
      <c r="CA315" s="307"/>
      <c r="CB315" s="307"/>
      <c r="CC315" s="307"/>
      <c r="CD315" s="307"/>
      <c r="CE315" s="307"/>
      <c r="CF315" s="307"/>
    </row>
    <row r="316" spans="4:84">
      <c r="D316" s="307"/>
      <c r="E316" s="307"/>
      <c r="F316" s="307"/>
      <c r="G316" s="307"/>
      <c r="H316" s="307"/>
      <c r="I316" s="307"/>
      <c r="J316" s="307"/>
      <c r="K316" s="307"/>
      <c r="L316" s="307"/>
      <c r="M316" s="307"/>
      <c r="N316" s="307"/>
      <c r="O316" s="307"/>
      <c r="P316" s="307"/>
      <c r="Q316" s="307"/>
      <c r="R316" s="307"/>
      <c r="S316" s="307"/>
      <c r="T316" s="307"/>
      <c r="U316" s="307"/>
      <c r="V316" s="307"/>
      <c r="W316" s="307"/>
      <c r="X316" s="307"/>
      <c r="Y316" s="307"/>
      <c r="Z316" s="307"/>
      <c r="AA316" s="307"/>
      <c r="AB316" s="307"/>
      <c r="AC316" s="307"/>
      <c r="AD316" s="307"/>
      <c r="AE316" s="307"/>
      <c r="AF316" s="307"/>
      <c r="AG316" s="307"/>
      <c r="AH316" s="307"/>
      <c r="AI316" s="307"/>
      <c r="AJ316" s="307"/>
      <c r="AK316" s="307"/>
      <c r="AL316" s="307"/>
      <c r="AM316" s="307"/>
      <c r="AN316" s="307"/>
      <c r="AO316" s="307"/>
      <c r="AP316" s="307"/>
      <c r="AQ316" s="307"/>
      <c r="AR316" s="307"/>
      <c r="AS316" s="307"/>
      <c r="AT316" s="307"/>
      <c r="AU316" s="307"/>
      <c r="AV316" s="307"/>
      <c r="AW316" s="307"/>
      <c r="AX316" s="307"/>
      <c r="AY316" s="307"/>
      <c r="AZ316" s="307"/>
      <c r="BA316" s="307"/>
      <c r="BB316" s="307"/>
      <c r="BC316" s="307"/>
      <c r="BD316" s="307"/>
      <c r="BE316" s="307"/>
      <c r="BF316" s="307"/>
      <c r="BG316" s="307"/>
      <c r="BH316" s="307"/>
      <c r="BI316" s="307"/>
      <c r="BJ316" s="307"/>
      <c r="BK316" s="307"/>
      <c r="BL316" s="307"/>
      <c r="BM316" s="307"/>
      <c r="BN316" s="307"/>
      <c r="BO316" s="307"/>
      <c r="BP316" s="307"/>
      <c r="BQ316" s="307"/>
      <c r="BR316" s="307"/>
      <c r="BS316" s="307"/>
      <c r="BT316" s="307"/>
      <c r="BU316" s="307"/>
      <c r="BV316" s="307"/>
      <c r="BW316" s="307"/>
      <c r="BX316" s="307"/>
      <c r="BY316" s="307"/>
      <c r="BZ316" s="307"/>
      <c r="CA316" s="307"/>
      <c r="CB316" s="307"/>
      <c r="CC316" s="307"/>
      <c r="CD316" s="307"/>
      <c r="CE316" s="307"/>
      <c r="CF316" s="307"/>
    </row>
    <row r="317" spans="4:84">
      <c r="D317" s="307"/>
      <c r="E317" s="307"/>
      <c r="F317" s="307"/>
      <c r="G317" s="307"/>
      <c r="H317" s="307"/>
      <c r="I317" s="307"/>
      <c r="J317" s="307"/>
      <c r="K317" s="307"/>
      <c r="L317" s="307"/>
      <c r="M317" s="307"/>
      <c r="N317" s="307"/>
      <c r="O317" s="307"/>
      <c r="P317" s="307"/>
      <c r="Q317" s="307"/>
      <c r="R317" s="307"/>
      <c r="S317" s="307"/>
      <c r="T317" s="307"/>
      <c r="U317" s="307"/>
      <c r="V317" s="307"/>
      <c r="W317" s="307"/>
      <c r="X317" s="307"/>
      <c r="Y317" s="307"/>
      <c r="Z317" s="307"/>
      <c r="AA317" s="307"/>
      <c r="AB317" s="307"/>
      <c r="AC317" s="307"/>
      <c r="AD317" s="307"/>
      <c r="AE317" s="307"/>
      <c r="AF317" s="307"/>
      <c r="AG317" s="307"/>
      <c r="AH317" s="307"/>
      <c r="AI317" s="307"/>
      <c r="AJ317" s="307"/>
      <c r="AK317" s="307"/>
      <c r="AL317" s="307"/>
      <c r="AM317" s="307"/>
      <c r="AN317" s="307"/>
      <c r="AO317" s="307"/>
      <c r="AP317" s="307"/>
      <c r="AQ317" s="307"/>
      <c r="AR317" s="307"/>
      <c r="AS317" s="307"/>
      <c r="AT317" s="307"/>
      <c r="AU317" s="307"/>
      <c r="AV317" s="307"/>
      <c r="AW317" s="307"/>
      <c r="AX317" s="307"/>
      <c r="AY317" s="307"/>
      <c r="AZ317" s="307"/>
      <c r="BA317" s="307"/>
      <c r="BB317" s="307"/>
      <c r="BC317" s="307"/>
      <c r="BD317" s="307"/>
      <c r="BE317" s="307"/>
      <c r="BF317" s="307"/>
      <c r="BG317" s="307"/>
      <c r="BH317" s="307"/>
      <c r="BI317" s="307"/>
      <c r="BJ317" s="307"/>
      <c r="BK317" s="307"/>
      <c r="BL317" s="307"/>
      <c r="BM317" s="307"/>
      <c r="BN317" s="307"/>
      <c r="BO317" s="307"/>
      <c r="BP317" s="307"/>
      <c r="BQ317" s="307"/>
      <c r="BR317" s="307"/>
      <c r="BS317" s="307"/>
      <c r="BT317" s="307"/>
      <c r="BU317" s="307"/>
      <c r="BV317" s="307"/>
      <c r="BW317" s="307"/>
      <c r="BX317" s="307"/>
      <c r="BY317" s="307"/>
      <c r="BZ317" s="307"/>
      <c r="CA317" s="307"/>
      <c r="CB317" s="307"/>
      <c r="CC317" s="307"/>
      <c r="CD317" s="307"/>
      <c r="CE317" s="307"/>
      <c r="CF317" s="307"/>
    </row>
    <row r="318" spans="4:84">
      <c r="D318" s="307"/>
      <c r="E318" s="307"/>
      <c r="F318" s="307"/>
      <c r="G318" s="307"/>
      <c r="H318" s="307"/>
      <c r="I318" s="307"/>
      <c r="J318" s="307"/>
      <c r="K318" s="307"/>
      <c r="L318" s="307"/>
      <c r="M318" s="307"/>
      <c r="N318" s="307"/>
      <c r="O318" s="307"/>
      <c r="P318" s="307"/>
      <c r="Q318" s="307"/>
      <c r="R318" s="307"/>
      <c r="S318" s="307"/>
      <c r="T318" s="307"/>
      <c r="U318" s="307"/>
      <c r="V318" s="307"/>
      <c r="W318" s="307"/>
      <c r="X318" s="307"/>
      <c r="Y318" s="307"/>
      <c r="Z318" s="307"/>
      <c r="AA318" s="307"/>
      <c r="AB318" s="307"/>
      <c r="AC318" s="307"/>
      <c r="AD318" s="307"/>
      <c r="AE318" s="307"/>
      <c r="AF318" s="307"/>
      <c r="AG318" s="307"/>
      <c r="AH318" s="307"/>
      <c r="AI318" s="307"/>
      <c r="AJ318" s="307"/>
      <c r="AK318" s="307"/>
      <c r="AL318" s="307"/>
      <c r="AM318" s="307"/>
      <c r="AN318" s="307"/>
      <c r="AO318" s="307"/>
      <c r="AP318" s="307"/>
      <c r="AQ318" s="307"/>
      <c r="AR318" s="307"/>
      <c r="AS318" s="307"/>
      <c r="AT318" s="307"/>
      <c r="AU318" s="307"/>
      <c r="AV318" s="307"/>
      <c r="AW318" s="307"/>
      <c r="AX318" s="307"/>
      <c r="AY318" s="307"/>
      <c r="AZ318" s="307"/>
      <c r="BA318" s="307"/>
      <c r="BB318" s="307"/>
      <c r="BC318" s="307"/>
      <c r="BD318" s="307"/>
      <c r="BE318" s="307"/>
      <c r="BF318" s="307"/>
      <c r="BG318" s="307"/>
      <c r="BH318" s="307"/>
      <c r="BI318" s="307"/>
      <c r="BJ318" s="307"/>
      <c r="BK318" s="307"/>
      <c r="BL318" s="307"/>
      <c r="BM318" s="307"/>
      <c r="BN318" s="307"/>
      <c r="BO318" s="307"/>
      <c r="BP318" s="307"/>
      <c r="BQ318" s="307"/>
      <c r="BR318" s="307"/>
      <c r="BS318" s="307"/>
      <c r="BT318" s="307"/>
      <c r="BU318" s="307"/>
      <c r="BV318" s="307"/>
      <c r="BW318" s="307"/>
      <c r="BX318" s="307"/>
      <c r="BY318" s="307"/>
      <c r="BZ318" s="307"/>
      <c r="CA318" s="307"/>
      <c r="CB318" s="307"/>
      <c r="CC318" s="307"/>
      <c r="CD318" s="307"/>
      <c r="CE318" s="307"/>
      <c r="CF318" s="307"/>
    </row>
    <row r="319" spans="4:84">
      <c r="D319" s="307"/>
      <c r="E319" s="307"/>
      <c r="F319" s="307"/>
      <c r="G319" s="307"/>
      <c r="H319" s="307"/>
      <c r="I319" s="307"/>
      <c r="J319" s="307"/>
      <c r="K319" s="307"/>
      <c r="L319" s="307"/>
      <c r="M319" s="307"/>
      <c r="N319" s="307"/>
      <c r="O319" s="307"/>
      <c r="P319" s="307"/>
      <c r="Q319" s="307"/>
      <c r="R319" s="307"/>
      <c r="S319" s="307"/>
      <c r="T319" s="307"/>
      <c r="U319" s="307"/>
      <c r="V319" s="307"/>
      <c r="W319" s="307"/>
      <c r="X319" s="307"/>
      <c r="Y319" s="307"/>
      <c r="Z319" s="307"/>
      <c r="AA319" s="307"/>
      <c r="AB319" s="307"/>
      <c r="AC319" s="307"/>
      <c r="AD319" s="307"/>
      <c r="AE319" s="307"/>
      <c r="AF319" s="307"/>
      <c r="AG319" s="307"/>
      <c r="AH319" s="307"/>
      <c r="AI319" s="307"/>
      <c r="AJ319" s="307"/>
      <c r="AK319" s="307"/>
      <c r="AL319" s="307"/>
      <c r="AM319" s="307"/>
      <c r="AN319" s="307"/>
      <c r="AO319" s="307"/>
      <c r="AP319" s="307"/>
      <c r="AQ319" s="307"/>
      <c r="AR319" s="307"/>
      <c r="AS319" s="307"/>
      <c r="AT319" s="307"/>
      <c r="AU319" s="307"/>
      <c r="AV319" s="307"/>
      <c r="AW319" s="307"/>
      <c r="AX319" s="307"/>
      <c r="AY319" s="307"/>
      <c r="AZ319" s="307"/>
      <c r="BA319" s="307"/>
      <c r="BB319" s="307"/>
      <c r="BC319" s="307"/>
      <c r="BD319" s="307"/>
      <c r="BE319" s="307"/>
      <c r="BF319" s="307"/>
      <c r="BG319" s="307"/>
      <c r="BH319" s="307"/>
      <c r="BI319" s="307"/>
      <c r="BJ319" s="307"/>
      <c r="BK319" s="307"/>
      <c r="BL319" s="307"/>
      <c r="BM319" s="307"/>
      <c r="BN319" s="307"/>
      <c r="BO319" s="307"/>
      <c r="BP319" s="307"/>
      <c r="BQ319" s="307"/>
      <c r="BR319" s="307"/>
      <c r="BS319" s="307"/>
      <c r="BT319" s="307"/>
      <c r="BU319" s="307"/>
      <c r="BV319" s="307"/>
      <c r="BW319" s="307"/>
      <c r="BX319" s="307"/>
      <c r="BY319" s="307"/>
      <c r="BZ319" s="307"/>
      <c r="CA319" s="307"/>
      <c r="CB319" s="307"/>
      <c r="CC319" s="307"/>
      <c r="CD319" s="307"/>
      <c r="CE319" s="307"/>
      <c r="CF319" s="307"/>
    </row>
    <row r="320" spans="4:84">
      <c r="D320" s="307"/>
      <c r="E320" s="307"/>
      <c r="F320" s="307"/>
      <c r="G320" s="307"/>
      <c r="H320" s="307"/>
      <c r="I320" s="307"/>
      <c r="J320" s="307"/>
      <c r="K320" s="307"/>
      <c r="L320" s="307"/>
      <c r="M320" s="307"/>
      <c r="N320" s="307"/>
      <c r="O320" s="307"/>
      <c r="P320" s="307"/>
      <c r="Q320" s="307"/>
      <c r="R320" s="307"/>
      <c r="S320" s="307"/>
      <c r="T320" s="307"/>
      <c r="U320" s="307"/>
      <c r="V320" s="307"/>
      <c r="W320" s="307"/>
      <c r="X320" s="307"/>
      <c r="Y320" s="307"/>
      <c r="Z320" s="307"/>
      <c r="AA320" s="307"/>
      <c r="AB320" s="307"/>
      <c r="AC320" s="307"/>
      <c r="AD320" s="307"/>
      <c r="AE320" s="307"/>
      <c r="AF320" s="307"/>
      <c r="AG320" s="307"/>
      <c r="AH320" s="307"/>
      <c r="AI320" s="307"/>
      <c r="AJ320" s="307"/>
      <c r="AK320" s="307"/>
      <c r="AL320" s="307"/>
      <c r="AM320" s="307"/>
      <c r="AN320" s="307"/>
      <c r="AO320" s="307"/>
      <c r="AP320" s="307"/>
      <c r="AQ320" s="307"/>
      <c r="AR320" s="307"/>
      <c r="AS320" s="307"/>
      <c r="AT320" s="307"/>
      <c r="AU320" s="307"/>
      <c r="AV320" s="307"/>
      <c r="AW320" s="307"/>
      <c r="AX320" s="307"/>
      <c r="AY320" s="307"/>
      <c r="AZ320" s="307"/>
      <c r="BA320" s="307"/>
      <c r="BB320" s="307"/>
      <c r="BC320" s="307"/>
      <c r="BD320" s="307"/>
      <c r="BE320" s="307"/>
      <c r="BF320" s="307"/>
      <c r="BG320" s="307"/>
      <c r="BH320" s="307"/>
      <c r="BI320" s="307"/>
      <c r="BJ320" s="307"/>
      <c r="BK320" s="307"/>
      <c r="BL320" s="307"/>
      <c r="BM320" s="307"/>
      <c r="BN320" s="307"/>
      <c r="BO320" s="307"/>
      <c r="BP320" s="307"/>
      <c r="BQ320" s="307"/>
      <c r="BR320" s="307"/>
      <c r="BS320" s="307"/>
      <c r="BT320" s="307"/>
      <c r="BU320" s="307"/>
      <c r="BV320" s="307"/>
      <c r="BW320" s="307"/>
      <c r="BX320" s="307"/>
      <c r="BY320" s="307"/>
      <c r="BZ320" s="307"/>
      <c r="CA320" s="307"/>
      <c r="CB320" s="307"/>
      <c r="CC320" s="307"/>
      <c r="CD320" s="307"/>
      <c r="CE320" s="307"/>
      <c r="CF320" s="307"/>
    </row>
    <row r="321" spans="4:84">
      <c r="D321" s="307"/>
      <c r="E321" s="307"/>
      <c r="F321" s="307"/>
      <c r="G321" s="307"/>
      <c r="H321" s="307"/>
      <c r="I321" s="307"/>
      <c r="J321" s="307"/>
      <c r="K321" s="307"/>
      <c r="L321" s="307"/>
      <c r="M321" s="307"/>
      <c r="N321" s="307"/>
      <c r="O321" s="307"/>
      <c r="P321" s="307"/>
      <c r="Q321" s="307"/>
      <c r="R321" s="307"/>
      <c r="S321" s="307"/>
      <c r="T321" s="307"/>
      <c r="U321" s="307"/>
      <c r="V321" s="307"/>
      <c r="W321" s="307"/>
      <c r="X321" s="307"/>
      <c r="Y321" s="307"/>
      <c r="Z321" s="307"/>
      <c r="AA321" s="307"/>
      <c r="AB321" s="307"/>
      <c r="AC321" s="307"/>
      <c r="AD321" s="307"/>
      <c r="AE321" s="307"/>
      <c r="AF321" s="307"/>
      <c r="AG321" s="307"/>
      <c r="AH321" s="307"/>
      <c r="AI321" s="307"/>
      <c r="AJ321" s="307"/>
      <c r="AK321" s="307"/>
      <c r="AL321" s="307"/>
      <c r="AM321" s="307"/>
      <c r="AN321" s="307"/>
      <c r="AO321" s="307"/>
      <c r="AP321" s="307"/>
      <c r="AQ321" s="307"/>
      <c r="AR321" s="307"/>
      <c r="AS321" s="307"/>
      <c r="AT321" s="307"/>
      <c r="AU321" s="307"/>
      <c r="AV321" s="307"/>
      <c r="AW321" s="307"/>
      <c r="AX321" s="307"/>
      <c r="AY321" s="307"/>
      <c r="AZ321" s="307"/>
      <c r="BA321" s="307"/>
      <c r="BB321" s="307"/>
      <c r="BC321" s="307"/>
      <c r="BD321" s="307"/>
      <c r="BE321" s="307"/>
      <c r="BF321" s="307"/>
      <c r="BG321" s="307"/>
      <c r="BH321" s="307"/>
      <c r="BI321" s="307"/>
      <c r="BJ321" s="307"/>
      <c r="BK321" s="307"/>
      <c r="BL321" s="307"/>
      <c r="BM321" s="307"/>
      <c r="BN321" s="307"/>
      <c r="BO321" s="307"/>
      <c r="BP321" s="307"/>
      <c r="BQ321" s="307"/>
      <c r="BR321" s="307"/>
      <c r="BS321" s="307"/>
      <c r="BT321" s="307"/>
      <c r="BU321" s="307"/>
      <c r="BV321" s="307"/>
      <c r="BW321" s="307"/>
      <c r="BX321" s="307"/>
      <c r="BY321" s="307"/>
      <c r="BZ321" s="307"/>
      <c r="CA321" s="307"/>
      <c r="CB321" s="307"/>
      <c r="CC321" s="307"/>
      <c r="CD321" s="307"/>
      <c r="CE321" s="307"/>
      <c r="CF321" s="307"/>
    </row>
    <row r="322" spans="4:84">
      <c r="D322" s="307"/>
      <c r="E322" s="307"/>
      <c r="F322" s="307"/>
      <c r="G322" s="307"/>
      <c r="H322" s="307"/>
      <c r="I322" s="307"/>
      <c r="J322" s="307"/>
      <c r="K322" s="307"/>
      <c r="L322" s="307"/>
      <c r="M322" s="307"/>
      <c r="N322" s="307"/>
      <c r="O322" s="307"/>
      <c r="P322" s="307"/>
      <c r="Q322" s="307"/>
      <c r="R322" s="307"/>
      <c r="S322" s="307"/>
      <c r="T322" s="307"/>
      <c r="U322" s="307"/>
      <c r="V322" s="307"/>
      <c r="W322" s="307"/>
      <c r="X322" s="307"/>
      <c r="Y322" s="307"/>
      <c r="Z322" s="307"/>
      <c r="AA322" s="307"/>
      <c r="AB322" s="307"/>
      <c r="AC322" s="307"/>
      <c r="AD322" s="307"/>
      <c r="AE322" s="307"/>
      <c r="AF322" s="307"/>
      <c r="AG322" s="307"/>
      <c r="AH322" s="307"/>
      <c r="AI322" s="307"/>
      <c r="AJ322" s="307"/>
      <c r="AK322" s="307"/>
      <c r="AL322" s="307"/>
      <c r="AM322" s="307"/>
      <c r="AN322" s="307"/>
      <c r="AO322" s="307"/>
      <c r="AP322" s="307"/>
      <c r="AQ322" s="307"/>
      <c r="AR322" s="307"/>
      <c r="AS322" s="307"/>
      <c r="AT322" s="307"/>
      <c r="AU322" s="307"/>
      <c r="AV322" s="307"/>
      <c r="AW322" s="307"/>
      <c r="AX322" s="307"/>
      <c r="AY322" s="307"/>
      <c r="AZ322" s="307"/>
      <c r="BA322" s="307"/>
      <c r="BB322" s="307"/>
      <c r="BC322" s="307"/>
      <c r="BD322" s="307"/>
      <c r="BE322" s="307"/>
      <c r="BF322" s="307"/>
      <c r="BG322" s="307"/>
      <c r="BH322" s="307"/>
      <c r="BI322" s="307"/>
      <c r="BJ322" s="307"/>
      <c r="BK322" s="307"/>
      <c r="BL322" s="307"/>
      <c r="BM322" s="307"/>
      <c r="BN322" s="307"/>
      <c r="BO322" s="307"/>
      <c r="BP322" s="307"/>
      <c r="BQ322" s="307"/>
      <c r="BR322" s="307"/>
      <c r="BS322" s="307"/>
      <c r="BT322" s="307"/>
      <c r="BU322" s="307"/>
      <c r="BV322" s="307"/>
      <c r="BW322" s="307"/>
      <c r="BX322" s="307"/>
      <c r="BY322" s="307"/>
      <c r="BZ322" s="307"/>
      <c r="CA322" s="307"/>
      <c r="CB322" s="307"/>
      <c r="CC322" s="307"/>
      <c r="CD322" s="307"/>
      <c r="CE322" s="307"/>
      <c r="CF322" s="307"/>
    </row>
    <row r="323" spans="4:84">
      <c r="D323" s="307"/>
      <c r="E323" s="307"/>
      <c r="F323" s="307"/>
      <c r="G323" s="307"/>
      <c r="H323" s="307"/>
      <c r="I323" s="307"/>
      <c r="J323" s="307"/>
      <c r="K323" s="307"/>
      <c r="L323" s="307"/>
      <c r="M323" s="307"/>
      <c r="N323" s="307"/>
      <c r="O323" s="307"/>
      <c r="P323" s="307"/>
      <c r="Q323" s="307"/>
      <c r="R323" s="307"/>
      <c r="S323" s="307"/>
      <c r="T323" s="307"/>
      <c r="U323" s="307"/>
      <c r="V323" s="307"/>
      <c r="W323" s="307"/>
      <c r="X323" s="307"/>
      <c r="Y323" s="307"/>
      <c r="Z323" s="307"/>
      <c r="AA323" s="307"/>
      <c r="AB323" s="307"/>
      <c r="AC323" s="307"/>
      <c r="AD323" s="307"/>
      <c r="AE323" s="307"/>
      <c r="AF323" s="307"/>
      <c r="AG323" s="307"/>
      <c r="AH323" s="307"/>
      <c r="AI323" s="307"/>
      <c r="AJ323" s="307"/>
      <c r="AK323" s="307"/>
      <c r="AL323" s="307"/>
      <c r="AM323" s="307"/>
      <c r="AN323" s="307"/>
      <c r="AO323" s="307"/>
      <c r="AP323" s="307"/>
      <c r="AQ323" s="307"/>
      <c r="AR323" s="307"/>
      <c r="AS323" s="307"/>
      <c r="AT323" s="307"/>
      <c r="AU323" s="307"/>
      <c r="AV323" s="307"/>
      <c r="AW323" s="307"/>
      <c r="AX323" s="307"/>
      <c r="AY323" s="307"/>
      <c r="AZ323" s="307"/>
      <c r="BA323" s="307"/>
      <c r="BB323" s="307"/>
      <c r="BC323" s="307"/>
      <c r="BD323" s="307"/>
      <c r="BE323" s="307"/>
      <c r="BF323" s="307"/>
      <c r="BG323" s="307"/>
      <c r="BH323" s="307"/>
      <c r="BI323" s="307"/>
      <c r="BJ323" s="307"/>
      <c r="BK323" s="307"/>
      <c r="BL323" s="307"/>
      <c r="BM323" s="307"/>
      <c r="BN323" s="307"/>
      <c r="BO323" s="307"/>
      <c r="BP323" s="307"/>
      <c r="BQ323" s="307"/>
      <c r="BR323" s="307"/>
      <c r="BS323" s="307"/>
      <c r="BT323" s="307"/>
      <c r="BU323" s="307"/>
      <c r="BV323" s="307"/>
      <c r="BW323" s="307"/>
      <c r="BX323" s="307"/>
      <c r="BY323" s="307"/>
      <c r="BZ323" s="307"/>
      <c r="CA323" s="307"/>
      <c r="CB323" s="307"/>
      <c r="CC323" s="307"/>
      <c r="CD323" s="307"/>
      <c r="CE323" s="307"/>
      <c r="CF323" s="307"/>
    </row>
    <row r="324" spans="4:84">
      <c r="D324" s="307"/>
      <c r="E324" s="307"/>
      <c r="F324" s="307"/>
      <c r="G324" s="307"/>
      <c r="H324" s="307"/>
      <c r="I324" s="307"/>
      <c r="J324" s="307"/>
      <c r="K324" s="307"/>
      <c r="L324" s="307"/>
      <c r="M324" s="307"/>
      <c r="N324" s="307"/>
      <c r="O324" s="307"/>
      <c r="P324" s="307"/>
      <c r="Q324" s="307"/>
      <c r="R324" s="307"/>
      <c r="S324" s="307"/>
      <c r="T324" s="307"/>
      <c r="U324" s="307"/>
      <c r="V324" s="307"/>
      <c r="W324" s="307"/>
      <c r="X324" s="307"/>
      <c r="Y324" s="307"/>
      <c r="Z324" s="307"/>
      <c r="AA324" s="307"/>
      <c r="AB324" s="307"/>
      <c r="AC324" s="307"/>
      <c r="AD324" s="307"/>
      <c r="AE324" s="307"/>
      <c r="AF324" s="307"/>
      <c r="AG324" s="307"/>
      <c r="AH324" s="307"/>
      <c r="AI324" s="307"/>
      <c r="AJ324" s="307"/>
      <c r="AK324" s="307"/>
      <c r="AL324" s="307"/>
      <c r="AM324" s="307"/>
      <c r="AN324" s="307"/>
      <c r="AO324" s="307"/>
      <c r="AP324" s="307"/>
      <c r="AQ324" s="307"/>
      <c r="AR324" s="307"/>
      <c r="AS324" s="307"/>
      <c r="AT324" s="307"/>
      <c r="AU324" s="307"/>
      <c r="AV324" s="307"/>
      <c r="AW324" s="307"/>
      <c r="AX324" s="307"/>
      <c r="AY324" s="307"/>
      <c r="AZ324" s="307"/>
      <c r="BA324" s="307"/>
      <c r="BB324" s="307"/>
      <c r="BC324" s="307"/>
      <c r="BD324" s="307"/>
      <c r="BE324" s="307"/>
      <c r="BF324" s="307"/>
      <c r="BG324" s="307"/>
      <c r="BH324" s="307"/>
      <c r="BI324" s="307"/>
      <c r="BJ324" s="307"/>
      <c r="BK324" s="307"/>
      <c r="BL324" s="307"/>
      <c r="BM324" s="307"/>
      <c r="BN324" s="307"/>
      <c r="BO324" s="307"/>
      <c r="BP324" s="307"/>
      <c r="BQ324" s="307"/>
      <c r="BR324" s="307"/>
      <c r="BS324" s="307"/>
      <c r="BT324" s="307"/>
      <c r="BU324" s="307"/>
      <c r="BV324" s="307"/>
      <c r="BW324" s="307"/>
      <c r="BX324" s="307"/>
      <c r="BY324" s="307"/>
      <c r="BZ324" s="307"/>
      <c r="CA324" s="307"/>
      <c r="CB324" s="307"/>
      <c r="CC324" s="307"/>
      <c r="CD324" s="307"/>
      <c r="CE324" s="307"/>
      <c r="CF324" s="307"/>
    </row>
    <row r="325" spans="4:84">
      <c r="D325" s="307"/>
      <c r="E325" s="307"/>
      <c r="F325" s="307"/>
      <c r="G325" s="307"/>
      <c r="H325" s="307"/>
      <c r="I325" s="307"/>
      <c r="J325" s="307"/>
      <c r="K325" s="307"/>
      <c r="L325" s="307"/>
      <c r="M325" s="307"/>
      <c r="N325" s="307"/>
      <c r="O325" s="307"/>
      <c r="P325" s="307"/>
      <c r="Q325" s="307"/>
      <c r="R325" s="307"/>
      <c r="S325" s="307"/>
      <c r="T325" s="307"/>
      <c r="U325" s="307"/>
      <c r="V325" s="307"/>
      <c r="W325" s="307"/>
      <c r="X325" s="307"/>
      <c r="Y325" s="307"/>
      <c r="Z325" s="307"/>
      <c r="AA325" s="307"/>
      <c r="AB325" s="307"/>
      <c r="AC325" s="307"/>
      <c r="AD325" s="307"/>
      <c r="AE325" s="307"/>
      <c r="AF325" s="307"/>
      <c r="AG325" s="307"/>
      <c r="AH325" s="307"/>
      <c r="AI325" s="307"/>
      <c r="AJ325" s="307"/>
      <c r="AK325" s="307"/>
      <c r="AL325" s="307"/>
      <c r="AM325" s="307"/>
      <c r="AN325" s="307"/>
      <c r="AO325" s="307"/>
      <c r="AP325" s="307"/>
      <c r="AQ325" s="307"/>
      <c r="AR325" s="307"/>
      <c r="AS325" s="307"/>
      <c r="AT325" s="307"/>
      <c r="AU325" s="307"/>
      <c r="AV325" s="307"/>
      <c r="AW325" s="307"/>
      <c r="AX325" s="307"/>
      <c r="AY325" s="307"/>
      <c r="AZ325" s="307"/>
      <c r="BA325" s="307"/>
      <c r="BB325" s="307"/>
      <c r="BC325" s="307"/>
      <c r="BD325" s="307"/>
      <c r="BE325" s="307"/>
      <c r="BF325" s="307"/>
      <c r="BG325" s="307"/>
      <c r="BH325" s="307"/>
      <c r="BI325" s="307"/>
      <c r="BJ325" s="307"/>
      <c r="BK325" s="307"/>
      <c r="BL325" s="307"/>
      <c r="BM325" s="307"/>
      <c r="BN325" s="307"/>
      <c r="BO325" s="307"/>
      <c r="BP325" s="307"/>
      <c r="BQ325" s="307"/>
      <c r="BR325" s="307"/>
      <c r="BS325" s="307"/>
      <c r="BT325" s="307"/>
      <c r="BU325" s="307"/>
      <c r="BV325" s="307"/>
      <c r="BW325" s="307"/>
      <c r="BX325" s="307"/>
      <c r="BY325" s="307"/>
      <c r="BZ325" s="307"/>
      <c r="CA325" s="307"/>
      <c r="CB325" s="307"/>
      <c r="CC325" s="307"/>
      <c r="CD325" s="307"/>
      <c r="CE325" s="307"/>
      <c r="CF325" s="307"/>
    </row>
    <row r="326" spans="4:84">
      <c r="D326" s="307"/>
      <c r="E326" s="307"/>
      <c r="F326" s="307"/>
      <c r="G326" s="307"/>
      <c r="H326" s="307"/>
      <c r="I326" s="307"/>
      <c r="J326" s="307"/>
      <c r="K326" s="307"/>
      <c r="L326" s="307"/>
      <c r="M326" s="307"/>
      <c r="N326" s="307"/>
      <c r="O326" s="307"/>
      <c r="P326" s="307"/>
      <c r="Q326" s="307"/>
      <c r="R326" s="307"/>
      <c r="S326" s="307"/>
      <c r="T326" s="307"/>
      <c r="U326" s="307"/>
      <c r="V326" s="307"/>
      <c r="W326" s="307"/>
      <c r="X326" s="307"/>
      <c r="Y326" s="307"/>
      <c r="Z326" s="307"/>
      <c r="AA326" s="307"/>
      <c r="AB326" s="307"/>
      <c r="AC326" s="307"/>
      <c r="AD326" s="307"/>
      <c r="AE326" s="307"/>
      <c r="AF326" s="307"/>
      <c r="AG326" s="307"/>
      <c r="AH326" s="307"/>
      <c r="AI326" s="307"/>
      <c r="AJ326" s="307"/>
      <c r="AK326" s="307"/>
      <c r="AL326" s="307"/>
      <c r="AM326" s="307"/>
      <c r="AN326" s="307"/>
      <c r="AO326" s="307"/>
      <c r="AP326" s="307"/>
      <c r="AQ326" s="307"/>
      <c r="AR326" s="307"/>
      <c r="AS326" s="307"/>
      <c r="AT326" s="307"/>
      <c r="AU326" s="307"/>
      <c r="AV326" s="307"/>
      <c r="AW326" s="307"/>
      <c r="AX326" s="307"/>
      <c r="AY326" s="307"/>
      <c r="AZ326" s="307"/>
      <c r="BA326" s="307"/>
      <c r="BB326" s="307"/>
      <c r="BC326" s="307"/>
      <c r="BD326" s="307"/>
      <c r="BE326" s="307"/>
      <c r="BF326" s="307"/>
      <c r="BG326" s="307"/>
      <c r="BH326" s="307"/>
      <c r="BI326" s="307"/>
      <c r="BJ326" s="307"/>
      <c r="BK326" s="307"/>
      <c r="BL326" s="307"/>
      <c r="BM326" s="307"/>
      <c r="BN326" s="307"/>
      <c r="BO326" s="307"/>
      <c r="BP326" s="307"/>
      <c r="BQ326" s="307"/>
      <c r="BR326" s="307"/>
      <c r="BS326" s="307"/>
      <c r="BT326" s="307"/>
      <c r="BU326" s="307"/>
      <c r="BV326" s="307"/>
      <c r="BW326" s="307"/>
      <c r="BX326" s="307"/>
      <c r="BY326" s="307"/>
      <c r="BZ326" s="307"/>
      <c r="CA326" s="307"/>
      <c r="CB326" s="307"/>
      <c r="CC326" s="307"/>
      <c r="CD326" s="307"/>
      <c r="CE326" s="307"/>
      <c r="CF326" s="307"/>
    </row>
    <row r="327" spans="4:84">
      <c r="D327" s="307"/>
      <c r="E327" s="307"/>
      <c r="F327" s="307"/>
      <c r="G327" s="307"/>
      <c r="H327" s="307"/>
      <c r="I327" s="307"/>
      <c r="J327" s="307"/>
      <c r="K327" s="307"/>
      <c r="L327" s="307"/>
      <c r="M327" s="307"/>
      <c r="N327" s="307"/>
      <c r="O327" s="307"/>
      <c r="P327" s="307"/>
      <c r="Q327" s="307"/>
      <c r="R327" s="307"/>
      <c r="S327" s="307"/>
      <c r="T327" s="307"/>
      <c r="U327" s="307"/>
      <c r="V327" s="307"/>
      <c r="W327" s="307"/>
      <c r="X327" s="307"/>
      <c r="Y327" s="307"/>
      <c r="Z327" s="307"/>
      <c r="AA327" s="307"/>
      <c r="AB327" s="307"/>
      <c r="AC327" s="307"/>
      <c r="AD327" s="307"/>
      <c r="AE327" s="307"/>
      <c r="AF327" s="307"/>
      <c r="AG327" s="307"/>
      <c r="AH327" s="307"/>
      <c r="AI327" s="307"/>
      <c r="AJ327" s="307"/>
      <c r="AK327" s="307"/>
      <c r="AL327" s="307"/>
      <c r="AM327" s="307"/>
      <c r="AN327" s="307"/>
      <c r="AO327" s="307"/>
      <c r="AP327" s="307"/>
      <c r="AQ327" s="307"/>
      <c r="AR327" s="307"/>
      <c r="AS327" s="307"/>
      <c r="AT327" s="307"/>
      <c r="AU327" s="307"/>
      <c r="AV327" s="307"/>
      <c r="AW327" s="307"/>
      <c r="AX327" s="307"/>
      <c r="AY327" s="307"/>
      <c r="AZ327" s="307"/>
      <c r="BA327" s="307"/>
      <c r="BB327" s="307"/>
      <c r="BC327" s="307"/>
      <c r="BD327" s="307"/>
      <c r="BE327" s="307"/>
      <c r="BF327" s="307"/>
      <c r="BG327" s="307"/>
      <c r="BH327" s="307"/>
      <c r="BI327" s="307"/>
      <c r="BJ327" s="307"/>
      <c r="BK327" s="307"/>
      <c r="BL327" s="307"/>
      <c r="BM327" s="307"/>
      <c r="BN327" s="307"/>
      <c r="BO327" s="307"/>
      <c r="BP327" s="307"/>
      <c r="BQ327" s="307"/>
      <c r="BR327" s="307"/>
      <c r="BS327" s="307"/>
      <c r="BT327" s="307"/>
      <c r="BU327" s="307"/>
      <c r="BV327" s="307"/>
      <c r="BW327" s="307"/>
      <c r="BX327" s="307"/>
      <c r="BY327" s="307"/>
      <c r="BZ327" s="307"/>
      <c r="CA327" s="307"/>
      <c r="CB327" s="307"/>
      <c r="CC327" s="307"/>
      <c r="CD327" s="307"/>
      <c r="CE327" s="307"/>
      <c r="CF327" s="307"/>
    </row>
    <row r="328" spans="4:84">
      <c r="D328" s="307"/>
      <c r="E328" s="307"/>
      <c r="F328" s="307"/>
      <c r="G328" s="307"/>
      <c r="H328" s="307"/>
      <c r="I328" s="307"/>
      <c r="J328" s="307"/>
      <c r="K328" s="307"/>
      <c r="L328" s="307"/>
      <c r="M328" s="307"/>
      <c r="N328" s="307"/>
      <c r="O328" s="307"/>
      <c r="P328" s="307"/>
      <c r="Q328" s="307"/>
      <c r="R328" s="307"/>
      <c r="S328" s="307"/>
      <c r="T328" s="307"/>
      <c r="U328" s="307"/>
      <c r="V328" s="307"/>
      <c r="W328" s="307"/>
      <c r="X328" s="307"/>
      <c r="Y328" s="307"/>
      <c r="Z328" s="307"/>
      <c r="AA328" s="307"/>
      <c r="AB328" s="307"/>
      <c r="AC328" s="307"/>
      <c r="AD328" s="307"/>
      <c r="AE328" s="307"/>
      <c r="AF328" s="307"/>
      <c r="AG328" s="307"/>
      <c r="AH328" s="307"/>
      <c r="AI328" s="307"/>
      <c r="AJ328" s="307"/>
      <c r="AK328" s="307"/>
      <c r="AL328" s="307"/>
      <c r="AM328" s="307"/>
      <c r="AN328" s="307"/>
      <c r="AO328" s="307"/>
      <c r="AP328" s="307"/>
      <c r="AQ328" s="307"/>
      <c r="AR328" s="307"/>
      <c r="AS328" s="307"/>
      <c r="AT328" s="307"/>
      <c r="AU328" s="307"/>
      <c r="AV328" s="307"/>
      <c r="AW328" s="307"/>
      <c r="AX328" s="307"/>
      <c r="AY328" s="307"/>
      <c r="AZ328" s="307"/>
      <c r="BA328" s="307"/>
      <c r="BB328" s="307"/>
      <c r="BC328" s="307"/>
      <c r="BD328" s="307"/>
      <c r="BE328" s="307"/>
      <c r="BF328" s="307"/>
      <c r="BG328" s="307"/>
      <c r="BH328" s="307"/>
      <c r="BI328" s="307"/>
      <c r="BJ328" s="307"/>
      <c r="BK328" s="307"/>
      <c r="BL328" s="307"/>
      <c r="BM328" s="307"/>
      <c r="BN328" s="307"/>
      <c r="BO328" s="307"/>
      <c r="BP328" s="307"/>
      <c r="BQ328" s="307"/>
      <c r="BR328" s="307"/>
      <c r="BS328" s="307"/>
      <c r="BT328" s="307"/>
      <c r="BU328" s="307"/>
      <c r="BV328" s="307"/>
      <c r="BW328" s="307"/>
      <c r="BX328" s="307"/>
      <c r="BY328" s="307"/>
      <c r="BZ328" s="307"/>
      <c r="CA328" s="307"/>
      <c r="CB328" s="307"/>
      <c r="CC328" s="307"/>
      <c r="CD328" s="307"/>
      <c r="CE328" s="307"/>
      <c r="CF328" s="307"/>
    </row>
    <row r="329" spans="4:84">
      <c r="D329" s="307"/>
      <c r="E329" s="307"/>
      <c r="F329" s="307"/>
      <c r="G329" s="307"/>
      <c r="H329" s="307"/>
      <c r="I329" s="307"/>
      <c r="J329" s="307"/>
      <c r="K329" s="307"/>
      <c r="L329" s="307"/>
      <c r="M329" s="307"/>
      <c r="N329" s="307"/>
      <c r="O329" s="307"/>
      <c r="P329" s="307"/>
      <c r="Q329" s="307"/>
      <c r="R329" s="307"/>
      <c r="S329" s="307"/>
      <c r="T329" s="307"/>
      <c r="U329" s="307"/>
      <c r="V329" s="307"/>
      <c r="W329" s="307"/>
      <c r="X329" s="307"/>
      <c r="Y329" s="307"/>
      <c r="Z329" s="307"/>
      <c r="AA329" s="307"/>
      <c r="AB329" s="307"/>
      <c r="AC329" s="307"/>
      <c r="AD329" s="307"/>
      <c r="AE329" s="307"/>
      <c r="AF329" s="307"/>
      <c r="AG329" s="307"/>
      <c r="AH329" s="307"/>
      <c r="AI329" s="307"/>
      <c r="AJ329" s="307"/>
      <c r="AK329" s="307"/>
      <c r="AL329" s="307"/>
      <c r="AM329" s="307"/>
      <c r="AN329" s="307"/>
      <c r="AO329" s="307"/>
      <c r="AP329" s="307"/>
      <c r="AQ329" s="307"/>
      <c r="AR329" s="307"/>
      <c r="AS329" s="307"/>
      <c r="AT329" s="307"/>
      <c r="AU329" s="307"/>
      <c r="AV329" s="307"/>
      <c r="AW329" s="307"/>
      <c r="AX329" s="307"/>
      <c r="AY329" s="307"/>
      <c r="AZ329" s="307"/>
      <c r="BA329" s="307"/>
      <c r="BB329" s="307"/>
      <c r="BC329" s="307"/>
      <c r="BD329" s="307"/>
      <c r="BE329" s="307"/>
      <c r="BF329" s="307"/>
      <c r="BG329" s="307"/>
      <c r="BH329" s="307"/>
      <c r="BI329" s="307"/>
      <c r="BJ329" s="307"/>
      <c r="BK329" s="307"/>
      <c r="BL329" s="307"/>
      <c r="BM329" s="307"/>
      <c r="BN329" s="307"/>
      <c r="BO329" s="307"/>
      <c r="BP329" s="307"/>
      <c r="BQ329" s="307"/>
      <c r="BR329" s="307"/>
      <c r="BS329" s="307"/>
      <c r="BT329" s="307"/>
      <c r="BU329" s="307"/>
      <c r="BV329" s="307"/>
      <c r="BW329" s="307"/>
      <c r="BX329" s="307"/>
      <c r="BY329" s="307"/>
      <c r="BZ329" s="307"/>
      <c r="CA329" s="307"/>
      <c r="CB329" s="307"/>
      <c r="CC329" s="307"/>
      <c r="CD329" s="307"/>
      <c r="CE329" s="307"/>
      <c r="CF329" s="307"/>
    </row>
    <row r="330" spans="4:84">
      <c r="D330" s="307"/>
      <c r="E330" s="307"/>
      <c r="F330" s="307"/>
      <c r="G330" s="307"/>
      <c r="H330" s="307"/>
      <c r="I330" s="307"/>
      <c r="J330" s="307"/>
      <c r="K330" s="307"/>
      <c r="L330" s="307"/>
      <c r="M330" s="307"/>
      <c r="N330" s="307"/>
      <c r="O330" s="307"/>
      <c r="P330" s="307"/>
      <c r="Q330" s="307"/>
      <c r="R330" s="307"/>
      <c r="S330" s="307"/>
      <c r="T330" s="307"/>
      <c r="U330" s="307"/>
      <c r="V330" s="307"/>
      <c r="W330" s="307"/>
      <c r="X330" s="307"/>
      <c r="Y330" s="307"/>
      <c r="Z330" s="307"/>
      <c r="AA330" s="307"/>
      <c r="AB330" s="307"/>
      <c r="AC330" s="307"/>
      <c r="AD330" s="307"/>
      <c r="AE330" s="307"/>
      <c r="AF330" s="307"/>
      <c r="AG330" s="307"/>
      <c r="AH330" s="307"/>
      <c r="AI330" s="307"/>
      <c r="AJ330" s="307"/>
      <c r="AK330" s="307"/>
      <c r="AL330" s="307"/>
      <c r="AM330" s="307"/>
      <c r="AN330" s="307"/>
      <c r="AO330" s="307"/>
      <c r="AP330" s="307"/>
      <c r="AQ330" s="307"/>
      <c r="AR330" s="307"/>
      <c r="AS330" s="307"/>
      <c r="AT330" s="307"/>
      <c r="AU330" s="307"/>
      <c r="AV330" s="307"/>
      <c r="AW330" s="307"/>
      <c r="AX330" s="307"/>
      <c r="AY330" s="307"/>
      <c r="AZ330" s="307"/>
      <c r="BA330" s="307"/>
      <c r="BB330" s="307"/>
      <c r="BC330" s="307"/>
      <c r="BD330" s="307"/>
      <c r="BE330" s="307"/>
      <c r="BF330" s="307"/>
      <c r="BG330" s="307"/>
      <c r="BH330" s="307"/>
      <c r="BI330" s="307"/>
      <c r="BJ330" s="307"/>
      <c r="BK330" s="307"/>
      <c r="BL330" s="307"/>
      <c r="BM330" s="307"/>
      <c r="BN330" s="307"/>
      <c r="BO330" s="307"/>
      <c r="BP330" s="307"/>
      <c r="BQ330" s="307"/>
      <c r="BR330" s="307"/>
      <c r="BS330" s="307"/>
      <c r="BT330" s="307"/>
      <c r="BU330" s="307"/>
      <c r="BV330" s="307"/>
      <c r="BW330" s="307"/>
      <c r="BX330" s="307"/>
      <c r="BY330" s="307"/>
      <c r="BZ330" s="307"/>
      <c r="CA330" s="307"/>
      <c r="CB330" s="307"/>
      <c r="CC330" s="307"/>
      <c r="CD330" s="307"/>
      <c r="CE330" s="307"/>
      <c r="CF330" s="307"/>
    </row>
    <row r="331" spans="4:84">
      <c r="D331" s="307"/>
      <c r="E331" s="307"/>
      <c r="F331" s="307"/>
      <c r="G331" s="307"/>
      <c r="H331" s="307"/>
      <c r="I331" s="307"/>
      <c r="J331" s="307"/>
      <c r="K331" s="307"/>
      <c r="L331" s="307"/>
      <c r="M331" s="307"/>
      <c r="N331" s="307"/>
      <c r="O331" s="307"/>
      <c r="P331" s="307"/>
      <c r="Q331" s="307"/>
      <c r="R331" s="307"/>
      <c r="S331" s="307"/>
      <c r="T331" s="307"/>
      <c r="U331" s="307"/>
      <c r="V331" s="307"/>
      <c r="W331" s="307"/>
      <c r="X331" s="307"/>
      <c r="Y331" s="307"/>
      <c r="Z331" s="307"/>
      <c r="AA331" s="307"/>
      <c r="AB331" s="307"/>
      <c r="AC331" s="307"/>
      <c r="AD331" s="307"/>
      <c r="AE331" s="307"/>
      <c r="AF331" s="307"/>
      <c r="AG331" s="307"/>
      <c r="AH331" s="307"/>
      <c r="AI331" s="307"/>
      <c r="AJ331" s="307"/>
      <c r="AK331" s="307"/>
      <c r="AL331" s="307"/>
      <c r="AM331" s="307"/>
      <c r="AN331" s="307"/>
      <c r="AO331" s="307"/>
      <c r="AP331" s="307"/>
      <c r="AQ331" s="307"/>
      <c r="AR331" s="307"/>
      <c r="AS331" s="307"/>
      <c r="AT331" s="307"/>
      <c r="AU331" s="307"/>
      <c r="AV331" s="307"/>
      <c r="AW331" s="307"/>
      <c r="AX331" s="307"/>
      <c r="AY331" s="307"/>
      <c r="AZ331" s="307"/>
      <c r="BA331" s="307"/>
      <c r="BB331" s="307"/>
      <c r="BC331" s="307"/>
      <c r="BD331" s="307"/>
      <c r="BE331" s="307"/>
      <c r="BF331" s="307"/>
      <c r="BG331" s="307"/>
      <c r="BH331" s="307"/>
      <c r="BI331" s="307"/>
      <c r="BJ331" s="307"/>
      <c r="BK331" s="307"/>
      <c r="BL331" s="307"/>
      <c r="BM331" s="307"/>
      <c r="BN331" s="307"/>
      <c r="BO331" s="307"/>
      <c r="BP331" s="307"/>
      <c r="BQ331" s="307"/>
      <c r="BR331" s="307"/>
      <c r="BS331" s="307"/>
      <c r="BT331" s="307"/>
      <c r="BU331" s="307"/>
      <c r="BV331" s="307"/>
      <c r="BW331" s="307"/>
      <c r="BX331" s="307"/>
      <c r="BY331" s="307"/>
      <c r="BZ331" s="307"/>
      <c r="CA331" s="307"/>
      <c r="CB331" s="307"/>
      <c r="CC331" s="307"/>
      <c r="CD331" s="307"/>
      <c r="CE331" s="307"/>
      <c r="CF331" s="307"/>
    </row>
    <row r="332" spans="4:84">
      <c r="D332" s="307"/>
      <c r="E332" s="307"/>
      <c r="F332" s="307"/>
      <c r="G332" s="307"/>
      <c r="H332" s="307"/>
      <c r="I332" s="307"/>
      <c r="J332" s="307"/>
      <c r="K332" s="307"/>
      <c r="L332" s="307"/>
      <c r="M332" s="307"/>
      <c r="N332" s="307"/>
      <c r="O332" s="307"/>
      <c r="P332" s="307"/>
      <c r="Q332" s="307"/>
      <c r="R332" s="307"/>
      <c r="S332" s="307"/>
      <c r="T332" s="307"/>
      <c r="U332" s="307"/>
      <c r="V332" s="307"/>
      <c r="W332" s="307"/>
      <c r="X332" s="307"/>
      <c r="Y332" s="307"/>
      <c r="Z332" s="307"/>
      <c r="AA332" s="307"/>
      <c r="AB332" s="307"/>
      <c r="AC332" s="307"/>
      <c r="AD332" s="307"/>
      <c r="AE332" s="307"/>
      <c r="AF332" s="307"/>
      <c r="AG332" s="307"/>
      <c r="AH332" s="307"/>
      <c r="AI332" s="307"/>
      <c r="AJ332" s="307"/>
      <c r="AK332" s="307"/>
      <c r="AL332" s="307"/>
      <c r="AM332" s="307"/>
      <c r="AN332" s="307"/>
      <c r="AO332" s="307"/>
      <c r="AP332" s="307"/>
      <c r="AQ332" s="307"/>
      <c r="AR332" s="307"/>
      <c r="AS332" s="307"/>
      <c r="AT332" s="307"/>
      <c r="AU332" s="307"/>
      <c r="AV332" s="307"/>
      <c r="AW332" s="307"/>
      <c r="AX332" s="307"/>
      <c r="AY332" s="307"/>
      <c r="AZ332" s="307"/>
      <c r="BA332" s="307"/>
      <c r="BB332" s="307"/>
      <c r="BC332" s="307"/>
      <c r="BD332" s="307"/>
      <c r="BE332" s="307"/>
      <c r="BF332" s="307"/>
      <c r="BG332" s="307"/>
      <c r="BH332" s="307"/>
      <c r="BI332" s="307"/>
      <c r="BJ332" s="307"/>
      <c r="BK332" s="307"/>
      <c r="BL332" s="307"/>
      <c r="BM332" s="307"/>
      <c r="BN332" s="307"/>
      <c r="BO332" s="307"/>
      <c r="BP332" s="307"/>
      <c r="BQ332" s="307"/>
      <c r="BR332" s="307"/>
      <c r="BS332" s="307"/>
      <c r="BT332" s="307"/>
      <c r="BU332" s="307"/>
      <c r="BV332" s="307"/>
      <c r="BW332" s="307"/>
      <c r="BX332" s="307"/>
      <c r="BY332" s="307"/>
      <c r="BZ332" s="307"/>
      <c r="CA332" s="307"/>
      <c r="CB332" s="307"/>
      <c r="CC332" s="307"/>
      <c r="CD332" s="307"/>
      <c r="CE332" s="307"/>
      <c r="CF332" s="307"/>
    </row>
    <row r="333" spans="4:84">
      <c r="D333" s="307"/>
      <c r="E333" s="307"/>
      <c r="F333" s="307"/>
      <c r="G333" s="307"/>
      <c r="H333" s="307"/>
      <c r="I333" s="307"/>
      <c r="J333" s="307"/>
      <c r="K333" s="307"/>
      <c r="L333" s="307"/>
      <c r="M333" s="307"/>
      <c r="N333" s="307"/>
      <c r="O333" s="307"/>
      <c r="P333" s="307"/>
      <c r="Q333" s="307"/>
      <c r="R333" s="307"/>
      <c r="S333" s="307"/>
      <c r="T333" s="307"/>
      <c r="U333" s="307"/>
      <c r="V333" s="307"/>
      <c r="W333" s="307"/>
      <c r="X333" s="307"/>
      <c r="Y333" s="307"/>
      <c r="Z333" s="307"/>
      <c r="AA333" s="307"/>
      <c r="AB333" s="307"/>
      <c r="AC333" s="307"/>
      <c r="AD333" s="307"/>
      <c r="AE333" s="307"/>
      <c r="AF333" s="307"/>
      <c r="AG333" s="307"/>
      <c r="AH333" s="307"/>
      <c r="AI333" s="307"/>
      <c r="AJ333" s="307"/>
      <c r="AK333" s="307"/>
      <c r="AL333" s="307"/>
      <c r="AM333" s="307"/>
      <c r="AN333" s="307"/>
      <c r="AO333" s="307"/>
      <c r="AP333" s="307"/>
      <c r="AQ333" s="307"/>
      <c r="AR333" s="307"/>
      <c r="AS333" s="307"/>
      <c r="AT333" s="307"/>
      <c r="AU333" s="307"/>
      <c r="AV333" s="307"/>
      <c r="AW333" s="307"/>
      <c r="AX333" s="307"/>
      <c r="AY333" s="307"/>
      <c r="AZ333" s="307"/>
      <c r="BA333" s="307"/>
      <c r="BB333" s="307"/>
      <c r="BC333" s="307"/>
      <c r="BD333" s="307"/>
      <c r="BE333" s="307"/>
      <c r="BF333" s="307"/>
      <c r="BG333" s="307"/>
      <c r="BH333" s="307"/>
      <c r="BI333" s="307"/>
      <c r="BJ333" s="307"/>
      <c r="BK333" s="307"/>
      <c r="BL333" s="307"/>
      <c r="BM333" s="307"/>
      <c r="BN333" s="307"/>
      <c r="BO333" s="307"/>
      <c r="BP333" s="307"/>
      <c r="BQ333" s="307"/>
      <c r="BR333" s="307"/>
      <c r="BS333" s="307"/>
      <c r="BT333" s="307"/>
      <c r="BU333" s="307"/>
      <c r="BV333" s="307"/>
      <c r="BW333" s="307"/>
      <c r="BX333" s="307"/>
      <c r="BY333" s="307"/>
      <c r="BZ333" s="307"/>
      <c r="CA333" s="307"/>
      <c r="CB333" s="307"/>
      <c r="CC333" s="307"/>
      <c r="CD333" s="307"/>
      <c r="CE333" s="307"/>
      <c r="CF333" s="307"/>
    </row>
    <row r="334" spans="4:84">
      <c r="D334" s="307"/>
      <c r="E334" s="307"/>
      <c r="F334" s="307"/>
      <c r="G334" s="307"/>
      <c r="H334" s="307"/>
      <c r="I334" s="307"/>
      <c r="J334" s="307"/>
      <c r="K334" s="307"/>
      <c r="L334" s="307"/>
      <c r="M334" s="307"/>
      <c r="N334" s="307"/>
      <c r="O334" s="307"/>
      <c r="P334" s="307"/>
      <c r="Q334" s="307"/>
      <c r="R334" s="307"/>
      <c r="S334" s="307"/>
      <c r="T334" s="307"/>
      <c r="U334" s="307"/>
      <c r="V334" s="307"/>
      <c r="W334" s="307"/>
      <c r="X334" s="307"/>
      <c r="Y334" s="307"/>
      <c r="Z334" s="307"/>
      <c r="AA334" s="307"/>
      <c r="AB334" s="307"/>
      <c r="AC334" s="307"/>
      <c r="AD334" s="307"/>
      <c r="AE334" s="307"/>
      <c r="AF334" s="307"/>
      <c r="AG334" s="307"/>
      <c r="AH334" s="307"/>
      <c r="AI334" s="307"/>
      <c r="AJ334" s="307"/>
      <c r="AK334" s="307"/>
      <c r="AL334" s="307"/>
      <c r="AM334" s="307"/>
      <c r="AN334" s="307"/>
      <c r="AO334" s="307"/>
      <c r="AP334" s="307"/>
      <c r="AQ334" s="307"/>
      <c r="AR334" s="307"/>
      <c r="AS334" s="307"/>
      <c r="AT334" s="307"/>
      <c r="AU334" s="307"/>
      <c r="AV334" s="307"/>
      <c r="AW334" s="307"/>
      <c r="AX334" s="307"/>
      <c r="AY334" s="307"/>
      <c r="AZ334" s="307"/>
      <c r="BA334" s="307"/>
      <c r="BB334" s="307"/>
      <c r="BC334" s="307"/>
      <c r="BD334" s="307"/>
      <c r="BE334" s="307"/>
      <c r="BF334" s="307"/>
      <c r="BG334" s="307"/>
      <c r="BH334" s="307"/>
      <c r="BI334" s="307"/>
      <c r="BJ334" s="307"/>
      <c r="BK334" s="307"/>
      <c r="BL334" s="307"/>
      <c r="BM334" s="307"/>
      <c r="BN334" s="307"/>
      <c r="BO334" s="307"/>
      <c r="BP334" s="307"/>
      <c r="BQ334" s="307"/>
      <c r="BR334" s="307"/>
      <c r="BS334" s="307"/>
      <c r="BT334" s="307"/>
      <c r="BU334" s="307"/>
      <c r="BV334" s="307"/>
      <c r="BW334" s="307"/>
      <c r="BX334" s="307"/>
      <c r="BY334" s="307"/>
      <c r="BZ334" s="307"/>
      <c r="CA334" s="307"/>
      <c r="CB334" s="307"/>
      <c r="CC334" s="307"/>
      <c r="CD334" s="307"/>
      <c r="CE334" s="307"/>
      <c r="CF334" s="307"/>
    </row>
    <row r="335" spans="4:84">
      <c r="D335" s="307"/>
      <c r="E335" s="307"/>
      <c r="F335" s="307"/>
      <c r="G335" s="307"/>
      <c r="H335" s="307"/>
      <c r="I335" s="307"/>
      <c r="J335" s="307"/>
      <c r="K335" s="307"/>
      <c r="L335" s="307"/>
      <c r="M335" s="307"/>
      <c r="N335" s="307"/>
      <c r="O335" s="307"/>
      <c r="P335" s="307"/>
      <c r="Q335" s="307"/>
      <c r="R335" s="307"/>
      <c r="S335" s="307"/>
      <c r="T335" s="307"/>
      <c r="U335" s="307"/>
      <c r="V335" s="307"/>
      <c r="W335" s="307"/>
      <c r="X335" s="307"/>
      <c r="Y335" s="307"/>
      <c r="Z335" s="307"/>
      <c r="AA335" s="307"/>
      <c r="AB335" s="307"/>
      <c r="AC335" s="307"/>
      <c r="AD335" s="307"/>
      <c r="AE335" s="307"/>
      <c r="AF335" s="307"/>
      <c r="AG335" s="307"/>
      <c r="AH335" s="307"/>
      <c r="AI335" s="307"/>
      <c r="AJ335" s="307"/>
      <c r="AK335" s="307"/>
      <c r="AL335" s="307"/>
      <c r="AM335" s="307"/>
      <c r="AN335" s="307"/>
      <c r="AO335" s="307"/>
      <c r="AP335" s="307"/>
      <c r="AQ335" s="307"/>
      <c r="AR335" s="307"/>
      <c r="AS335" s="307"/>
      <c r="AT335" s="307"/>
      <c r="AU335" s="307"/>
      <c r="AV335" s="307"/>
      <c r="AW335" s="307"/>
      <c r="AX335" s="307"/>
      <c r="AY335" s="307"/>
      <c r="AZ335" s="307"/>
      <c r="BA335" s="307"/>
      <c r="BB335" s="307"/>
      <c r="BC335" s="307"/>
      <c r="BD335" s="307"/>
      <c r="BE335" s="307"/>
      <c r="BF335" s="307"/>
      <c r="BG335" s="307"/>
      <c r="BH335" s="307"/>
      <c r="BI335" s="307"/>
      <c r="BJ335" s="307"/>
      <c r="BK335" s="307"/>
      <c r="BL335" s="307"/>
      <c r="BM335" s="307"/>
      <c r="BN335" s="307"/>
      <c r="BO335" s="307"/>
      <c r="BP335" s="307"/>
      <c r="BQ335" s="307"/>
      <c r="BR335" s="307"/>
      <c r="BS335" s="307"/>
      <c r="BT335" s="307"/>
      <c r="BU335" s="307"/>
      <c r="BV335" s="307"/>
      <c r="BW335" s="307"/>
      <c r="BX335" s="307"/>
      <c r="BY335" s="307"/>
      <c r="BZ335" s="307"/>
      <c r="CA335" s="307"/>
      <c r="CB335" s="307"/>
      <c r="CC335" s="307"/>
      <c r="CD335" s="307"/>
      <c r="CE335" s="307"/>
      <c r="CF335" s="307"/>
    </row>
    <row r="336" spans="4:84">
      <c r="D336" s="307"/>
      <c r="E336" s="307"/>
      <c r="F336" s="307"/>
      <c r="G336" s="307"/>
      <c r="H336" s="307"/>
      <c r="I336" s="307"/>
      <c r="J336" s="307"/>
      <c r="K336" s="307"/>
      <c r="L336" s="307"/>
      <c r="M336" s="307"/>
      <c r="N336" s="307"/>
      <c r="O336" s="307"/>
      <c r="P336" s="307"/>
      <c r="Q336" s="307"/>
      <c r="R336" s="307"/>
      <c r="S336" s="307"/>
      <c r="T336" s="307"/>
      <c r="U336" s="307"/>
      <c r="V336" s="307"/>
      <c r="W336" s="307"/>
      <c r="X336" s="307"/>
      <c r="Y336" s="307"/>
      <c r="Z336" s="307"/>
      <c r="AA336" s="307"/>
      <c r="AB336" s="307"/>
      <c r="AC336" s="307"/>
      <c r="AD336" s="307"/>
      <c r="AE336" s="307"/>
      <c r="AF336" s="307"/>
      <c r="AG336" s="307"/>
      <c r="AH336" s="307"/>
      <c r="AI336" s="307"/>
      <c r="AJ336" s="307"/>
      <c r="AK336" s="307"/>
      <c r="AL336" s="307"/>
      <c r="AM336" s="307"/>
      <c r="AN336" s="307"/>
      <c r="AO336" s="307"/>
      <c r="AP336" s="307"/>
      <c r="AQ336" s="307"/>
      <c r="AR336" s="307"/>
      <c r="AS336" s="307"/>
      <c r="AT336" s="307"/>
      <c r="AU336" s="307"/>
      <c r="AV336" s="307"/>
      <c r="AW336" s="307"/>
      <c r="AX336" s="307"/>
      <c r="AY336" s="307"/>
      <c r="AZ336" s="307"/>
      <c r="BA336" s="307"/>
      <c r="BB336" s="307"/>
      <c r="BC336" s="307"/>
      <c r="BD336" s="307"/>
      <c r="BE336" s="307"/>
      <c r="BF336" s="307"/>
      <c r="BG336" s="307"/>
      <c r="BH336" s="307"/>
      <c r="BI336" s="307"/>
      <c r="BJ336" s="307"/>
      <c r="BK336" s="307"/>
      <c r="BL336" s="307"/>
      <c r="BM336" s="307"/>
      <c r="BN336" s="307"/>
      <c r="BO336" s="307"/>
      <c r="BP336" s="307"/>
      <c r="BQ336" s="307"/>
      <c r="BR336" s="307"/>
      <c r="BS336" s="307"/>
      <c r="BT336" s="307"/>
      <c r="BU336" s="307"/>
      <c r="BV336" s="307"/>
      <c r="BW336" s="307"/>
      <c r="BX336" s="307"/>
      <c r="BY336" s="307"/>
      <c r="BZ336" s="307"/>
      <c r="CA336" s="307"/>
      <c r="CB336" s="307"/>
      <c r="CC336" s="307"/>
      <c r="CD336" s="307"/>
      <c r="CE336" s="307"/>
      <c r="CF336" s="307"/>
    </row>
    <row r="337" spans="4:84">
      <c r="D337" s="307"/>
      <c r="E337" s="307"/>
      <c r="F337" s="307"/>
      <c r="G337" s="307"/>
      <c r="H337" s="307"/>
      <c r="I337" s="307"/>
      <c r="J337" s="307"/>
      <c r="K337" s="307"/>
      <c r="L337" s="307"/>
      <c r="M337" s="307"/>
      <c r="N337" s="307"/>
      <c r="O337" s="307"/>
      <c r="P337" s="307"/>
      <c r="Q337" s="307"/>
      <c r="R337" s="307"/>
      <c r="S337" s="307"/>
      <c r="T337" s="307"/>
      <c r="U337" s="307"/>
      <c r="V337" s="307"/>
      <c r="W337" s="307"/>
      <c r="X337" s="307"/>
      <c r="Y337" s="307"/>
      <c r="Z337" s="307"/>
      <c r="AA337" s="307"/>
      <c r="AB337" s="307"/>
      <c r="AC337" s="307"/>
      <c r="AD337" s="307"/>
      <c r="AE337" s="307"/>
      <c r="AF337" s="307"/>
      <c r="AG337" s="307"/>
      <c r="AH337" s="307"/>
      <c r="AI337" s="307"/>
      <c r="AJ337" s="307"/>
      <c r="AK337" s="307"/>
      <c r="AL337" s="307"/>
      <c r="AM337" s="307"/>
      <c r="AN337" s="307"/>
      <c r="AO337" s="307"/>
      <c r="AP337" s="307"/>
      <c r="AQ337" s="307"/>
      <c r="AR337" s="307"/>
      <c r="AS337" s="307"/>
      <c r="AT337" s="307"/>
      <c r="AU337" s="307"/>
      <c r="AV337" s="307"/>
      <c r="AW337" s="307"/>
      <c r="AX337" s="307"/>
      <c r="AY337" s="307"/>
      <c r="AZ337" s="307"/>
      <c r="BA337" s="307"/>
      <c r="BB337" s="307"/>
      <c r="BC337" s="307"/>
      <c r="BD337" s="307"/>
      <c r="BE337" s="307"/>
      <c r="BF337" s="307"/>
      <c r="BG337" s="307"/>
      <c r="BH337" s="307"/>
      <c r="BI337" s="307"/>
      <c r="BJ337" s="307"/>
      <c r="BK337" s="307"/>
      <c r="BL337" s="307"/>
      <c r="BM337" s="307"/>
      <c r="BN337" s="307"/>
      <c r="BO337" s="307"/>
      <c r="BP337" s="307"/>
      <c r="BQ337" s="307"/>
      <c r="BR337" s="307"/>
      <c r="BS337" s="307"/>
      <c r="BT337" s="307"/>
      <c r="BU337" s="307"/>
      <c r="BV337" s="307"/>
      <c r="BW337" s="307"/>
      <c r="BX337" s="307"/>
      <c r="BY337" s="307"/>
      <c r="BZ337" s="307"/>
      <c r="CA337" s="307"/>
      <c r="CB337" s="307"/>
      <c r="CC337" s="307"/>
      <c r="CD337" s="307"/>
      <c r="CE337" s="307"/>
      <c r="CF337" s="307"/>
    </row>
    <row r="338" spans="4:84">
      <c r="D338" s="307"/>
      <c r="E338" s="307"/>
      <c r="F338" s="307"/>
      <c r="G338" s="307"/>
      <c r="H338" s="307"/>
      <c r="I338" s="307"/>
      <c r="J338" s="307"/>
      <c r="K338" s="307"/>
      <c r="L338" s="307"/>
      <c r="M338" s="307"/>
      <c r="N338" s="307"/>
      <c r="O338" s="307"/>
      <c r="P338" s="307"/>
      <c r="Q338" s="307"/>
      <c r="R338" s="307"/>
      <c r="S338" s="307"/>
      <c r="T338" s="307"/>
      <c r="U338" s="307"/>
      <c r="V338" s="307"/>
      <c r="W338" s="307"/>
      <c r="X338" s="307"/>
      <c r="Y338" s="307"/>
      <c r="Z338" s="307"/>
      <c r="AA338" s="307"/>
      <c r="AB338" s="307"/>
      <c r="AC338" s="307"/>
      <c r="AD338" s="307"/>
      <c r="AE338" s="307"/>
      <c r="AF338" s="307"/>
      <c r="AG338" s="307"/>
      <c r="AH338" s="307"/>
      <c r="AI338" s="307"/>
      <c r="AJ338" s="307"/>
      <c r="AK338" s="307"/>
      <c r="AL338" s="307"/>
      <c r="AM338" s="307"/>
      <c r="AN338" s="307"/>
      <c r="AO338" s="307"/>
      <c r="AP338" s="307"/>
      <c r="AQ338" s="307"/>
      <c r="AR338" s="307"/>
      <c r="AS338" s="307"/>
      <c r="AT338" s="307"/>
      <c r="AU338" s="307"/>
      <c r="AV338" s="307"/>
      <c r="AW338" s="307"/>
      <c r="AX338" s="307"/>
      <c r="AY338" s="307"/>
      <c r="AZ338" s="307"/>
      <c r="BA338" s="307"/>
      <c r="BB338" s="307"/>
      <c r="BC338" s="307"/>
      <c r="BD338" s="307"/>
      <c r="BE338" s="307"/>
      <c r="BF338" s="307"/>
      <c r="BG338" s="307"/>
      <c r="BH338" s="307"/>
      <c r="BI338" s="307"/>
      <c r="BJ338" s="307"/>
      <c r="BK338" s="307"/>
      <c r="BL338" s="307"/>
      <c r="BM338" s="307"/>
      <c r="BN338" s="307"/>
      <c r="BO338" s="307"/>
      <c r="BP338" s="307"/>
      <c r="BQ338" s="307"/>
      <c r="BR338" s="307"/>
      <c r="BS338" s="307"/>
      <c r="BT338" s="307"/>
      <c r="BU338" s="307"/>
      <c r="BV338" s="307"/>
      <c r="BW338" s="307"/>
      <c r="BX338" s="307"/>
      <c r="BY338" s="307"/>
      <c r="BZ338" s="307"/>
      <c r="CA338" s="307"/>
      <c r="CB338" s="307"/>
      <c r="CC338" s="307"/>
      <c r="CD338" s="307"/>
      <c r="CE338" s="307"/>
      <c r="CF338" s="307"/>
    </row>
    <row r="339" spans="4:84">
      <c r="D339" s="307"/>
      <c r="E339" s="307"/>
      <c r="F339" s="307"/>
      <c r="G339" s="307"/>
      <c r="H339" s="307"/>
      <c r="I339" s="307"/>
      <c r="J339" s="307"/>
      <c r="K339" s="307"/>
      <c r="L339" s="307"/>
      <c r="M339" s="307"/>
      <c r="N339" s="307"/>
      <c r="O339" s="307"/>
      <c r="P339" s="307"/>
      <c r="Q339" s="307"/>
      <c r="R339" s="307"/>
      <c r="S339" s="307"/>
      <c r="T339" s="307"/>
      <c r="U339" s="307"/>
      <c r="V339" s="307"/>
      <c r="W339" s="307"/>
      <c r="X339" s="307"/>
      <c r="Y339" s="307"/>
      <c r="Z339" s="307"/>
      <c r="AA339" s="307"/>
      <c r="AB339" s="307"/>
      <c r="AC339" s="307"/>
      <c r="AD339" s="307"/>
      <c r="AE339" s="307"/>
      <c r="AF339" s="307"/>
      <c r="AG339" s="307"/>
      <c r="AH339" s="307"/>
      <c r="AI339" s="307"/>
      <c r="AJ339" s="307"/>
      <c r="AK339" s="307"/>
      <c r="AL339" s="307"/>
      <c r="AM339" s="307"/>
      <c r="AN339" s="307"/>
      <c r="AO339" s="307"/>
      <c r="AP339" s="307"/>
      <c r="AQ339" s="307"/>
      <c r="AR339" s="307"/>
      <c r="AS339" s="307"/>
      <c r="AT339" s="307"/>
      <c r="AU339" s="307"/>
      <c r="AV339" s="307"/>
      <c r="AW339" s="307"/>
      <c r="AX339" s="307"/>
      <c r="AY339" s="307"/>
      <c r="AZ339" s="307"/>
      <c r="BA339" s="307"/>
      <c r="BB339" s="307"/>
      <c r="BC339" s="307"/>
      <c r="BD339" s="307"/>
      <c r="BE339" s="307"/>
      <c r="BF339" s="307"/>
      <c r="BG339" s="307"/>
      <c r="BH339" s="307"/>
      <c r="BI339" s="307"/>
      <c r="BJ339" s="307"/>
      <c r="BK339" s="307"/>
      <c r="BL339" s="307"/>
      <c r="BM339" s="307"/>
      <c r="BN339" s="307"/>
      <c r="BO339" s="307"/>
      <c r="BP339" s="307"/>
      <c r="BQ339" s="307"/>
      <c r="BR339" s="307"/>
      <c r="BS339" s="307"/>
      <c r="BT339" s="307"/>
      <c r="BU339" s="307"/>
      <c r="BV339" s="307"/>
      <c r="BW339" s="307"/>
      <c r="BX339" s="307"/>
      <c r="BY339" s="307"/>
      <c r="BZ339" s="307"/>
      <c r="CA339" s="307"/>
      <c r="CB339" s="307"/>
      <c r="CC339" s="307"/>
      <c r="CD339" s="307"/>
      <c r="CE339" s="307"/>
      <c r="CF339" s="307"/>
    </row>
    <row r="340" spans="4:84">
      <c r="D340" s="307"/>
      <c r="E340" s="307"/>
      <c r="F340" s="307"/>
      <c r="G340" s="307"/>
      <c r="H340" s="307"/>
      <c r="I340" s="307"/>
      <c r="J340" s="307"/>
      <c r="K340" s="307"/>
      <c r="L340" s="307"/>
      <c r="M340" s="307"/>
      <c r="N340" s="307"/>
      <c r="O340" s="307"/>
      <c r="P340" s="307"/>
      <c r="Q340" s="307"/>
      <c r="R340" s="307"/>
      <c r="S340" s="307"/>
      <c r="T340" s="307"/>
      <c r="U340" s="307"/>
      <c r="V340" s="307"/>
      <c r="W340" s="307"/>
      <c r="X340" s="307"/>
      <c r="Y340" s="307"/>
      <c r="Z340" s="307"/>
      <c r="AA340" s="307"/>
      <c r="AB340" s="307"/>
      <c r="AC340" s="307"/>
      <c r="AD340" s="307"/>
      <c r="AE340" s="307"/>
      <c r="AF340" s="307"/>
      <c r="AG340" s="307"/>
      <c r="AH340" s="307"/>
      <c r="AI340" s="307"/>
      <c r="AJ340" s="307"/>
      <c r="AK340" s="307"/>
      <c r="AL340" s="307"/>
      <c r="AM340" s="307"/>
      <c r="AN340" s="307"/>
      <c r="AO340" s="307"/>
      <c r="AP340" s="307"/>
      <c r="AQ340" s="307"/>
      <c r="AR340" s="307"/>
      <c r="AS340" s="307"/>
      <c r="AT340" s="307"/>
      <c r="AU340" s="307"/>
      <c r="AV340" s="307"/>
      <c r="AW340" s="307"/>
      <c r="AX340" s="307"/>
      <c r="AY340" s="307"/>
      <c r="AZ340" s="307"/>
      <c r="BA340" s="307"/>
      <c r="BB340" s="307"/>
      <c r="BC340" s="307"/>
      <c r="BD340" s="307"/>
      <c r="BE340" s="307"/>
      <c r="BF340" s="307"/>
      <c r="BG340" s="307"/>
      <c r="BH340" s="307"/>
      <c r="BI340" s="307"/>
      <c r="BJ340" s="307"/>
      <c r="BK340" s="307"/>
      <c r="BL340" s="307"/>
      <c r="BM340" s="307"/>
      <c r="BN340" s="307"/>
      <c r="BO340" s="307"/>
      <c r="BP340" s="307"/>
      <c r="BQ340" s="307"/>
      <c r="BR340" s="307"/>
      <c r="BS340" s="307"/>
      <c r="BT340" s="307"/>
      <c r="BU340" s="307"/>
      <c r="BV340" s="307"/>
      <c r="BW340" s="307"/>
      <c r="BX340" s="307"/>
      <c r="BY340" s="307"/>
      <c r="BZ340" s="307"/>
      <c r="CA340" s="307"/>
      <c r="CB340" s="307"/>
      <c r="CC340" s="307"/>
      <c r="CD340" s="307"/>
      <c r="CE340" s="307"/>
      <c r="CF340" s="307"/>
    </row>
    <row r="341" spans="4:84">
      <c r="D341" s="307"/>
      <c r="E341" s="307"/>
      <c r="F341" s="307"/>
      <c r="G341" s="307"/>
      <c r="H341" s="307"/>
      <c r="I341" s="307"/>
      <c r="J341" s="307"/>
      <c r="K341" s="307"/>
      <c r="L341" s="307"/>
      <c r="M341" s="307"/>
      <c r="N341" s="307"/>
      <c r="O341" s="307"/>
      <c r="P341" s="307"/>
      <c r="Q341" s="307"/>
      <c r="R341" s="307"/>
      <c r="S341" s="307"/>
      <c r="T341" s="307"/>
      <c r="U341" s="307"/>
      <c r="V341" s="307"/>
      <c r="W341" s="307"/>
      <c r="X341" s="307"/>
      <c r="Y341" s="307"/>
      <c r="Z341" s="307"/>
      <c r="AA341" s="307"/>
      <c r="AB341" s="307"/>
      <c r="AC341" s="307"/>
      <c r="AD341" s="307"/>
      <c r="AE341" s="307"/>
      <c r="AF341" s="307"/>
      <c r="AG341" s="307"/>
      <c r="AH341" s="307"/>
      <c r="AI341" s="307"/>
      <c r="AJ341" s="307"/>
      <c r="AK341" s="307"/>
      <c r="AL341" s="307"/>
      <c r="AM341" s="307"/>
      <c r="AN341" s="307"/>
      <c r="AO341" s="307"/>
      <c r="AP341" s="307"/>
      <c r="AQ341" s="307"/>
      <c r="AR341" s="307"/>
      <c r="AS341" s="307"/>
      <c r="AT341" s="307"/>
      <c r="AU341" s="307"/>
      <c r="AV341" s="307"/>
      <c r="AW341" s="307"/>
      <c r="AX341" s="307"/>
      <c r="AY341" s="307"/>
      <c r="AZ341" s="307"/>
      <c r="BA341" s="307"/>
      <c r="BB341" s="307"/>
      <c r="BC341" s="307"/>
      <c r="BD341" s="307"/>
      <c r="BE341" s="307"/>
      <c r="BF341" s="307"/>
      <c r="BG341" s="307"/>
      <c r="BH341" s="307"/>
      <c r="BI341" s="307"/>
      <c r="BJ341" s="307"/>
      <c r="BK341" s="307"/>
      <c r="BL341" s="307"/>
      <c r="BM341" s="307"/>
      <c r="BN341" s="307"/>
      <c r="BO341" s="307"/>
      <c r="BP341" s="307"/>
      <c r="BQ341" s="307"/>
      <c r="BR341" s="307"/>
      <c r="BS341" s="307"/>
      <c r="BT341" s="307"/>
      <c r="BU341" s="307"/>
      <c r="BV341" s="307"/>
      <c r="BW341" s="307"/>
      <c r="BX341" s="307"/>
      <c r="BY341" s="307"/>
      <c r="BZ341" s="307"/>
      <c r="CA341" s="307"/>
      <c r="CB341" s="307"/>
      <c r="CC341" s="307"/>
      <c r="CD341" s="307"/>
      <c r="CE341" s="307"/>
      <c r="CF341" s="307"/>
    </row>
    <row r="342" spans="4:84">
      <c r="D342" s="307"/>
      <c r="E342" s="307"/>
      <c r="F342" s="307"/>
      <c r="G342" s="307"/>
      <c r="H342" s="307"/>
      <c r="I342" s="307"/>
      <c r="J342" s="307"/>
      <c r="K342" s="307"/>
      <c r="L342" s="307"/>
      <c r="M342" s="307"/>
      <c r="N342" s="307"/>
      <c r="O342" s="307"/>
      <c r="P342" s="307"/>
      <c r="Q342" s="307"/>
      <c r="R342" s="307"/>
      <c r="S342" s="307"/>
      <c r="T342" s="307"/>
      <c r="U342" s="307"/>
      <c r="V342" s="307"/>
      <c r="W342" s="307"/>
      <c r="X342" s="307"/>
      <c r="Y342" s="307"/>
      <c r="Z342" s="307"/>
      <c r="AA342" s="307"/>
      <c r="AB342" s="307"/>
      <c r="AC342" s="307"/>
      <c r="AD342" s="307"/>
      <c r="AE342" s="307"/>
      <c r="AF342" s="307"/>
      <c r="AG342" s="307"/>
      <c r="AH342" s="307"/>
      <c r="AI342" s="307"/>
      <c r="AJ342" s="307"/>
      <c r="AK342" s="307"/>
      <c r="AL342" s="307"/>
      <c r="AM342" s="307"/>
      <c r="AN342" s="307"/>
      <c r="AO342" s="307"/>
      <c r="AP342" s="307"/>
      <c r="AQ342" s="307"/>
      <c r="AR342" s="307"/>
      <c r="AS342" s="307"/>
      <c r="AT342" s="307"/>
      <c r="AU342" s="307"/>
      <c r="AV342" s="307"/>
      <c r="AW342" s="307"/>
      <c r="AX342" s="307"/>
      <c r="AY342" s="307"/>
      <c r="AZ342" s="307"/>
      <c r="BA342" s="307"/>
      <c r="BB342" s="307"/>
      <c r="BC342" s="307"/>
      <c r="BD342" s="307"/>
      <c r="BE342" s="307"/>
      <c r="BF342" s="307"/>
      <c r="BG342" s="307"/>
      <c r="BH342" s="307"/>
      <c r="BI342" s="307"/>
      <c r="BJ342" s="307"/>
      <c r="BK342" s="307"/>
      <c r="BL342" s="307"/>
      <c r="BM342" s="307"/>
      <c r="BN342" s="307"/>
      <c r="BO342" s="307"/>
      <c r="BP342" s="307"/>
      <c r="BQ342" s="307"/>
      <c r="BR342" s="307"/>
      <c r="BS342" s="307"/>
      <c r="BT342" s="307"/>
      <c r="BU342" s="307"/>
      <c r="BV342" s="307"/>
      <c r="BW342" s="307"/>
      <c r="BX342" s="307"/>
      <c r="BY342" s="307"/>
      <c r="BZ342" s="307"/>
      <c r="CA342" s="307"/>
      <c r="CB342" s="307"/>
      <c r="CC342" s="307"/>
      <c r="CD342" s="307"/>
      <c r="CE342" s="307"/>
      <c r="CF342" s="307"/>
    </row>
    <row r="343" spans="4:84">
      <c r="D343" s="307"/>
      <c r="E343" s="307"/>
      <c r="F343" s="307"/>
      <c r="G343" s="307"/>
      <c r="H343" s="307"/>
      <c r="I343" s="307"/>
      <c r="J343" s="307"/>
      <c r="K343" s="307"/>
      <c r="L343" s="307"/>
      <c r="M343" s="307"/>
      <c r="N343" s="307"/>
      <c r="O343" s="307"/>
      <c r="P343" s="307"/>
      <c r="Q343" s="307"/>
      <c r="R343" s="307"/>
      <c r="S343" s="307"/>
      <c r="T343" s="307"/>
      <c r="U343" s="307"/>
      <c r="V343" s="307"/>
      <c r="W343" s="307"/>
      <c r="X343" s="307"/>
      <c r="Y343" s="307"/>
      <c r="Z343" s="307"/>
      <c r="AA343" s="307"/>
      <c r="AB343" s="307"/>
      <c r="AC343" s="307"/>
      <c r="AD343" s="307"/>
      <c r="AE343" s="307"/>
      <c r="AF343" s="307"/>
      <c r="AG343" s="307"/>
      <c r="AH343" s="307"/>
      <c r="AI343" s="307"/>
      <c r="AJ343" s="307"/>
      <c r="AK343" s="307"/>
      <c r="AL343" s="307"/>
      <c r="AM343" s="307"/>
      <c r="AN343" s="307"/>
      <c r="AO343" s="307"/>
      <c r="AP343" s="307"/>
      <c r="AQ343" s="307"/>
      <c r="AR343" s="307"/>
      <c r="AS343" s="307"/>
      <c r="AT343" s="307"/>
      <c r="AU343" s="307"/>
      <c r="AV343" s="307"/>
      <c r="AW343" s="307"/>
      <c r="AX343" s="307"/>
      <c r="AY343" s="307"/>
      <c r="AZ343" s="307"/>
      <c r="BA343" s="307"/>
      <c r="BB343" s="307"/>
      <c r="BC343" s="307"/>
      <c r="BD343" s="307"/>
      <c r="BE343" s="307"/>
      <c r="BF343" s="307"/>
      <c r="BG343" s="307"/>
      <c r="BH343" s="307"/>
      <c r="BI343" s="307"/>
      <c r="BJ343" s="307"/>
      <c r="BK343" s="307"/>
      <c r="BL343" s="307"/>
      <c r="BM343" s="307"/>
      <c r="BN343" s="307"/>
      <c r="BO343" s="307"/>
      <c r="BP343" s="307"/>
      <c r="BQ343" s="307"/>
      <c r="BR343" s="307"/>
      <c r="BS343" s="307"/>
      <c r="BT343" s="307"/>
      <c r="BU343" s="307"/>
      <c r="BV343" s="307"/>
      <c r="BW343" s="307"/>
      <c r="BX343" s="307"/>
      <c r="BY343" s="307"/>
      <c r="BZ343" s="307"/>
      <c r="CA343" s="307"/>
      <c r="CB343" s="307"/>
      <c r="CC343" s="307"/>
      <c r="CD343" s="307"/>
      <c r="CE343" s="307"/>
      <c r="CF343" s="307"/>
    </row>
    <row r="344" spans="4:84">
      <c r="D344" s="307"/>
      <c r="E344" s="307"/>
      <c r="F344" s="307"/>
      <c r="G344" s="307"/>
      <c r="H344" s="307"/>
      <c r="I344" s="307"/>
      <c r="J344" s="307"/>
      <c r="K344" s="307"/>
      <c r="L344" s="307"/>
      <c r="M344" s="307"/>
      <c r="N344" s="307"/>
      <c r="O344" s="307"/>
      <c r="P344" s="307"/>
      <c r="Q344" s="307"/>
      <c r="R344" s="307"/>
      <c r="S344" s="307"/>
      <c r="T344" s="307"/>
      <c r="U344" s="307"/>
      <c r="V344" s="307"/>
      <c r="W344" s="307"/>
      <c r="X344" s="307"/>
      <c r="Y344" s="307"/>
      <c r="Z344" s="307"/>
      <c r="AA344" s="307"/>
      <c r="AB344" s="307"/>
      <c r="AC344" s="307"/>
      <c r="AD344" s="307"/>
      <c r="AE344" s="307"/>
      <c r="AF344" s="307"/>
      <c r="AG344" s="307"/>
      <c r="AH344" s="307"/>
      <c r="AI344" s="307"/>
      <c r="AJ344" s="307"/>
      <c r="AK344" s="307"/>
      <c r="AL344" s="307"/>
      <c r="AM344" s="307"/>
      <c r="AN344" s="307"/>
      <c r="AO344" s="307"/>
      <c r="AP344" s="307"/>
      <c r="AQ344" s="307"/>
      <c r="AR344" s="307"/>
      <c r="AS344" s="307"/>
      <c r="AT344" s="307"/>
      <c r="AU344" s="307"/>
      <c r="AV344" s="307"/>
      <c r="AW344" s="307"/>
      <c r="AX344" s="307"/>
      <c r="AY344" s="307"/>
      <c r="AZ344" s="307"/>
      <c r="BA344" s="307"/>
      <c r="BB344" s="307"/>
      <c r="BC344" s="307"/>
      <c r="BD344" s="307"/>
      <c r="BE344" s="307"/>
      <c r="BF344" s="307"/>
      <c r="BG344" s="307"/>
      <c r="BH344" s="307"/>
      <c r="BI344" s="307"/>
      <c r="BJ344" s="307"/>
      <c r="BK344" s="307"/>
      <c r="BL344" s="307"/>
      <c r="BM344" s="307"/>
      <c r="BN344" s="307"/>
      <c r="BO344" s="307"/>
      <c r="BP344" s="307"/>
      <c r="BQ344" s="307"/>
      <c r="BR344" s="307"/>
      <c r="BS344" s="307"/>
      <c r="BT344" s="307"/>
      <c r="BU344" s="307"/>
      <c r="BV344" s="307"/>
      <c r="BW344" s="307"/>
      <c r="BX344" s="307"/>
      <c r="BY344" s="307"/>
      <c r="BZ344" s="307"/>
      <c r="CA344" s="307"/>
      <c r="CB344" s="307"/>
      <c r="CC344" s="307"/>
      <c r="CD344" s="307"/>
      <c r="CE344" s="307"/>
      <c r="CF344" s="307"/>
    </row>
    <row r="345" spans="4:84">
      <c r="D345" s="307"/>
      <c r="E345" s="307"/>
      <c r="F345" s="307"/>
      <c r="G345" s="307"/>
      <c r="H345" s="307"/>
      <c r="I345" s="307"/>
      <c r="J345" s="307"/>
      <c r="K345" s="307"/>
      <c r="L345" s="307"/>
      <c r="M345" s="307"/>
      <c r="N345" s="307"/>
      <c r="O345" s="307"/>
      <c r="P345" s="307"/>
      <c r="Q345" s="307"/>
      <c r="R345" s="307"/>
      <c r="S345" s="307"/>
      <c r="T345" s="307"/>
      <c r="U345" s="307"/>
      <c r="V345" s="307"/>
      <c r="W345" s="307"/>
      <c r="X345" s="307"/>
      <c r="Y345" s="307"/>
      <c r="Z345" s="307"/>
      <c r="AA345" s="307"/>
      <c r="AB345" s="307"/>
      <c r="AC345" s="307"/>
      <c r="AD345" s="307"/>
      <c r="AE345" s="307"/>
      <c r="AF345" s="307"/>
      <c r="AG345" s="307"/>
      <c r="AH345" s="307"/>
      <c r="AI345" s="307"/>
      <c r="AJ345" s="307"/>
      <c r="AK345" s="307"/>
      <c r="AL345" s="307"/>
      <c r="AM345" s="307"/>
      <c r="AN345" s="307"/>
      <c r="AO345" s="307"/>
      <c r="AP345" s="307"/>
      <c r="AQ345" s="307"/>
      <c r="AR345" s="307"/>
      <c r="AS345" s="307"/>
      <c r="AT345" s="307"/>
      <c r="AU345" s="307"/>
      <c r="AV345" s="307"/>
      <c r="AW345" s="307"/>
      <c r="AX345" s="307"/>
      <c r="AY345" s="307"/>
      <c r="AZ345" s="307"/>
      <c r="BA345" s="307"/>
      <c r="BB345" s="307"/>
      <c r="BC345" s="307"/>
      <c r="BD345" s="307"/>
      <c r="BE345" s="307"/>
      <c r="BF345" s="307"/>
      <c r="BG345" s="307"/>
      <c r="BH345" s="307"/>
      <c r="BI345" s="307"/>
      <c r="BJ345" s="307"/>
      <c r="BK345" s="307"/>
      <c r="BL345" s="307"/>
      <c r="BM345" s="307"/>
      <c r="BN345" s="307"/>
      <c r="BO345" s="307"/>
      <c r="BP345" s="307"/>
      <c r="BQ345" s="307"/>
      <c r="BR345" s="307"/>
      <c r="BS345" s="307"/>
      <c r="BT345" s="307"/>
      <c r="BU345" s="307"/>
      <c r="BV345" s="307"/>
      <c r="BW345" s="307"/>
      <c r="BX345" s="307"/>
      <c r="BY345" s="307"/>
      <c r="BZ345" s="307"/>
      <c r="CA345" s="307"/>
      <c r="CB345" s="307"/>
      <c r="CC345" s="307"/>
      <c r="CD345" s="307"/>
      <c r="CE345" s="307"/>
      <c r="CF345" s="307"/>
    </row>
    <row r="346" spans="4:84">
      <c r="D346" s="307"/>
      <c r="E346" s="307"/>
      <c r="F346" s="307"/>
      <c r="G346" s="307"/>
      <c r="H346" s="307"/>
      <c r="I346" s="307"/>
      <c r="J346" s="307"/>
      <c r="K346" s="307"/>
      <c r="L346" s="307"/>
      <c r="M346" s="307"/>
      <c r="N346" s="307"/>
      <c r="O346" s="307"/>
      <c r="P346" s="307"/>
      <c r="Q346" s="307"/>
      <c r="R346" s="307"/>
      <c r="S346" s="307"/>
      <c r="T346" s="307"/>
      <c r="U346" s="307"/>
      <c r="V346" s="307"/>
      <c r="W346" s="307"/>
      <c r="X346" s="307"/>
      <c r="Y346" s="307"/>
      <c r="Z346" s="307"/>
      <c r="AA346" s="307"/>
      <c r="AB346" s="307"/>
      <c r="AC346" s="307"/>
      <c r="AD346" s="307"/>
      <c r="AE346" s="307"/>
      <c r="AF346" s="307"/>
      <c r="AG346" s="307"/>
      <c r="AH346" s="307"/>
      <c r="AI346" s="307"/>
      <c r="AJ346" s="307"/>
      <c r="AK346" s="307"/>
      <c r="AL346" s="307"/>
      <c r="AM346" s="307"/>
      <c r="AN346" s="307"/>
      <c r="AO346" s="307"/>
      <c r="AP346" s="307"/>
      <c r="AQ346" s="307"/>
      <c r="AR346" s="307"/>
      <c r="AS346" s="307"/>
      <c r="AT346" s="307"/>
      <c r="AU346" s="307"/>
      <c r="AV346" s="307"/>
      <c r="AW346" s="307"/>
      <c r="AX346" s="307"/>
      <c r="AY346" s="307"/>
      <c r="AZ346" s="307"/>
      <c r="BA346" s="307"/>
      <c r="BB346" s="307"/>
      <c r="BC346" s="307"/>
      <c r="BD346" s="307"/>
      <c r="BE346" s="307"/>
      <c r="BF346" s="307"/>
      <c r="BG346" s="307"/>
      <c r="BH346" s="307"/>
      <c r="BI346" s="307"/>
      <c r="BJ346" s="307"/>
      <c r="BK346" s="307"/>
      <c r="BL346" s="307"/>
      <c r="BM346" s="307"/>
      <c r="BN346" s="307"/>
      <c r="BO346" s="307"/>
      <c r="BP346" s="307"/>
      <c r="BQ346" s="307"/>
      <c r="BR346" s="307"/>
      <c r="BS346" s="307"/>
      <c r="BT346" s="307"/>
      <c r="BU346" s="307"/>
      <c r="BV346" s="307"/>
      <c r="BW346" s="307"/>
      <c r="BX346" s="307"/>
      <c r="BY346" s="307"/>
      <c r="BZ346" s="307"/>
      <c r="CA346" s="307"/>
      <c r="CB346" s="307"/>
      <c r="CC346" s="307"/>
      <c r="CD346" s="307"/>
      <c r="CE346" s="307"/>
      <c r="CF346" s="307"/>
    </row>
    <row r="347" spans="4:84">
      <c r="D347" s="307"/>
      <c r="E347" s="307"/>
      <c r="F347" s="307"/>
      <c r="G347" s="307"/>
      <c r="H347" s="307"/>
      <c r="I347" s="307"/>
      <c r="J347" s="307"/>
      <c r="K347" s="307"/>
      <c r="L347" s="307"/>
      <c r="M347" s="307"/>
      <c r="N347" s="307"/>
      <c r="O347" s="307"/>
      <c r="P347" s="307"/>
      <c r="Q347" s="307"/>
      <c r="R347" s="307"/>
      <c r="S347" s="307"/>
      <c r="T347" s="307"/>
      <c r="U347" s="307"/>
      <c r="V347" s="307"/>
      <c r="W347" s="307"/>
      <c r="X347" s="307"/>
      <c r="Y347" s="307"/>
      <c r="Z347" s="307"/>
      <c r="AA347" s="307"/>
      <c r="AB347" s="307"/>
      <c r="AC347" s="307"/>
      <c r="AD347" s="307"/>
      <c r="AE347" s="307"/>
      <c r="AF347" s="307"/>
      <c r="AG347" s="307"/>
      <c r="AH347" s="307"/>
      <c r="AI347" s="307"/>
      <c r="AJ347" s="307"/>
      <c r="AK347" s="307"/>
      <c r="AL347" s="307"/>
      <c r="AM347" s="307"/>
      <c r="AN347" s="307"/>
      <c r="AO347" s="307"/>
      <c r="AP347" s="307"/>
      <c r="AQ347" s="307"/>
      <c r="AR347" s="307"/>
      <c r="AS347" s="307"/>
      <c r="AT347" s="307"/>
      <c r="AU347" s="307"/>
      <c r="AV347" s="307"/>
      <c r="AW347" s="307"/>
      <c r="AX347" s="307"/>
      <c r="AY347" s="307"/>
      <c r="AZ347" s="307"/>
      <c r="BA347" s="307"/>
      <c r="BB347" s="307"/>
      <c r="BC347" s="307"/>
      <c r="BD347" s="307"/>
      <c r="BE347" s="307"/>
      <c r="BF347" s="307"/>
      <c r="BG347" s="307"/>
      <c r="BH347" s="307"/>
      <c r="BI347" s="307"/>
      <c r="BJ347" s="307"/>
      <c r="BK347" s="307"/>
      <c r="BL347" s="307"/>
      <c r="BM347" s="307"/>
      <c r="BN347" s="307"/>
      <c r="BO347" s="307"/>
      <c r="BP347" s="307"/>
      <c r="BQ347" s="307"/>
      <c r="BR347" s="307"/>
      <c r="BS347" s="307"/>
      <c r="BT347" s="307"/>
      <c r="BU347" s="307"/>
      <c r="BV347" s="307"/>
      <c r="BW347" s="307"/>
      <c r="BX347" s="307"/>
      <c r="BY347" s="307"/>
      <c r="BZ347" s="307"/>
      <c r="CA347" s="307"/>
      <c r="CB347" s="307"/>
      <c r="CC347" s="307"/>
      <c r="CD347" s="307"/>
      <c r="CE347" s="307"/>
      <c r="CF347" s="307"/>
    </row>
    <row r="348" spans="4:84">
      <c r="D348" s="307"/>
      <c r="E348" s="307"/>
      <c r="F348" s="307"/>
      <c r="G348" s="307"/>
      <c r="H348" s="307"/>
      <c r="I348" s="307"/>
      <c r="J348" s="307"/>
      <c r="K348" s="307"/>
      <c r="L348" s="307"/>
      <c r="M348" s="307"/>
      <c r="N348" s="307"/>
      <c r="O348" s="307"/>
      <c r="P348" s="307"/>
      <c r="Q348" s="307"/>
      <c r="R348" s="307"/>
      <c r="S348" s="307"/>
      <c r="T348" s="307"/>
      <c r="U348" s="307"/>
      <c r="V348" s="307"/>
      <c r="W348" s="307"/>
      <c r="X348" s="307"/>
      <c r="Y348" s="307"/>
      <c r="Z348" s="307"/>
      <c r="AA348" s="307"/>
      <c r="AB348" s="307"/>
      <c r="AC348" s="307"/>
      <c r="AD348" s="307"/>
      <c r="AE348" s="307"/>
      <c r="AF348" s="307"/>
      <c r="AG348" s="307"/>
      <c r="AH348" s="307"/>
      <c r="AI348" s="307"/>
      <c r="AJ348" s="307"/>
      <c r="AK348" s="307"/>
      <c r="AL348" s="307"/>
      <c r="AM348" s="307"/>
      <c r="AN348" s="307"/>
      <c r="AO348" s="307"/>
      <c r="AP348" s="307"/>
      <c r="AQ348" s="307"/>
      <c r="AR348" s="307"/>
      <c r="AS348" s="307"/>
      <c r="AT348" s="307"/>
      <c r="AU348" s="307"/>
      <c r="AV348" s="307"/>
      <c r="AW348" s="307"/>
      <c r="AX348" s="307"/>
      <c r="AY348" s="307"/>
      <c r="AZ348" s="307"/>
      <c r="BA348" s="307"/>
      <c r="BB348" s="307"/>
      <c r="BC348" s="307"/>
      <c r="BD348" s="307"/>
      <c r="BE348" s="307"/>
      <c r="BF348" s="307"/>
      <c r="BG348" s="307"/>
      <c r="BH348" s="307"/>
      <c r="BI348" s="307"/>
      <c r="BJ348" s="307"/>
      <c r="BK348" s="307"/>
      <c r="BL348" s="307"/>
      <c r="BM348" s="307"/>
      <c r="BN348" s="307"/>
      <c r="BO348" s="307"/>
      <c r="BP348" s="307"/>
      <c r="BQ348" s="307"/>
      <c r="BR348" s="307"/>
      <c r="BS348" s="307"/>
      <c r="BT348" s="307"/>
      <c r="BU348" s="307"/>
      <c r="BV348" s="307"/>
      <c r="BW348" s="307"/>
      <c r="BX348" s="307"/>
      <c r="BY348" s="307"/>
      <c r="BZ348" s="307"/>
      <c r="CA348" s="307"/>
      <c r="CB348" s="307"/>
      <c r="CC348" s="307"/>
      <c r="CD348" s="307"/>
      <c r="CE348" s="307"/>
      <c r="CF348" s="307"/>
    </row>
    <row r="349" spans="4:84">
      <c r="D349" s="307"/>
      <c r="E349" s="307"/>
      <c r="F349" s="307"/>
      <c r="G349" s="307"/>
      <c r="H349" s="307"/>
      <c r="I349" s="307"/>
      <c r="J349" s="307"/>
      <c r="K349" s="307"/>
      <c r="L349" s="307"/>
      <c r="M349" s="307"/>
      <c r="N349" s="307"/>
      <c r="O349" s="307"/>
      <c r="P349" s="307"/>
      <c r="Q349" s="307"/>
      <c r="R349" s="307"/>
      <c r="S349" s="307"/>
      <c r="T349" s="307"/>
      <c r="U349" s="307"/>
      <c r="V349" s="307"/>
      <c r="W349" s="307"/>
      <c r="X349" s="307"/>
      <c r="Y349" s="307"/>
      <c r="Z349" s="307"/>
      <c r="AA349" s="307"/>
      <c r="AB349" s="307"/>
      <c r="AC349" s="307"/>
      <c r="AD349" s="307"/>
      <c r="AE349" s="307"/>
      <c r="AF349" s="307"/>
      <c r="AG349" s="307"/>
      <c r="AH349" s="307"/>
      <c r="AI349" s="307"/>
      <c r="AJ349" s="307"/>
      <c r="AK349" s="307"/>
      <c r="AL349" s="307"/>
      <c r="AM349" s="307"/>
      <c r="AN349" s="307"/>
      <c r="AO349" s="307"/>
      <c r="AP349" s="307"/>
      <c r="AQ349" s="307"/>
      <c r="AR349" s="307"/>
      <c r="AS349" s="307"/>
      <c r="AT349" s="307"/>
      <c r="AU349" s="307"/>
      <c r="AV349" s="307"/>
      <c r="AW349" s="307"/>
      <c r="AX349" s="307"/>
      <c r="AY349" s="307"/>
      <c r="AZ349" s="307"/>
      <c r="BA349" s="307"/>
      <c r="BB349" s="307"/>
      <c r="BC349" s="307"/>
      <c r="BD349" s="307"/>
      <c r="BE349" s="307"/>
      <c r="BF349" s="307"/>
      <c r="BG349" s="307"/>
      <c r="BH349" s="307"/>
      <c r="BI349" s="307"/>
      <c r="BJ349" s="307"/>
      <c r="BK349" s="307"/>
      <c r="BL349" s="307"/>
      <c r="BM349" s="307"/>
      <c r="BN349" s="307"/>
      <c r="BO349" s="307"/>
      <c r="BP349" s="307"/>
      <c r="BQ349" s="307"/>
      <c r="BR349" s="307"/>
      <c r="BS349" s="307"/>
      <c r="BT349" s="307"/>
      <c r="BU349" s="307"/>
      <c r="BV349" s="307"/>
      <c r="BW349" s="307"/>
      <c r="BX349" s="307"/>
      <c r="BY349" s="307"/>
      <c r="BZ349" s="307"/>
      <c r="CA349" s="307"/>
      <c r="CB349" s="307"/>
      <c r="CC349" s="307"/>
      <c r="CD349" s="307"/>
      <c r="CE349" s="307"/>
      <c r="CF349" s="307"/>
    </row>
    <row r="350" spans="4:84">
      <c r="D350" s="307"/>
      <c r="E350" s="307"/>
      <c r="F350" s="307"/>
      <c r="G350" s="307"/>
      <c r="H350" s="307"/>
      <c r="I350" s="307"/>
      <c r="J350" s="307"/>
      <c r="K350" s="307"/>
      <c r="L350" s="307"/>
      <c r="M350" s="307"/>
      <c r="N350" s="307"/>
      <c r="O350" s="307"/>
      <c r="P350" s="307"/>
      <c r="Q350" s="307"/>
      <c r="R350" s="307"/>
      <c r="S350" s="307"/>
      <c r="T350" s="307"/>
      <c r="U350" s="307"/>
      <c r="V350" s="307"/>
      <c r="W350" s="307"/>
      <c r="X350" s="307"/>
      <c r="Y350" s="307"/>
      <c r="Z350" s="307"/>
      <c r="AA350" s="307"/>
      <c r="AB350" s="307"/>
      <c r="AC350" s="307"/>
      <c r="AD350" s="307"/>
      <c r="AE350" s="307"/>
      <c r="AF350" s="307"/>
      <c r="AG350" s="307"/>
      <c r="AH350" s="307"/>
      <c r="AI350" s="307"/>
      <c r="AJ350" s="307"/>
      <c r="AK350" s="307"/>
      <c r="AL350" s="307"/>
      <c r="AM350" s="307"/>
      <c r="AN350" s="307"/>
      <c r="AO350" s="307"/>
      <c r="AP350" s="307"/>
      <c r="AQ350" s="307"/>
      <c r="AR350" s="307"/>
      <c r="AS350" s="307"/>
      <c r="AT350" s="307"/>
      <c r="AU350" s="307"/>
      <c r="AV350" s="307"/>
      <c r="AW350" s="307"/>
      <c r="AX350" s="307"/>
      <c r="AY350" s="307"/>
      <c r="AZ350" s="307"/>
      <c r="BA350" s="307"/>
      <c r="BB350" s="307"/>
      <c r="BC350" s="307"/>
      <c r="BD350" s="307"/>
      <c r="BE350" s="307"/>
      <c r="BF350" s="307"/>
      <c r="BG350" s="307"/>
      <c r="BH350" s="307"/>
      <c r="BI350" s="307"/>
      <c r="BJ350" s="307"/>
      <c r="BK350" s="307"/>
      <c r="BL350" s="307"/>
      <c r="BM350" s="307"/>
      <c r="BN350" s="307"/>
      <c r="BO350" s="307"/>
      <c r="BP350" s="307"/>
      <c r="BQ350" s="307"/>
      <c r="BR350" s="307"/>
      <c r="BS350" s="307"/>
      <c r="BT350" s="307"/>
      <c r="BU350" s="307"/>
      <c r="BV350" s="307"/>
      <c r="BW350" s="307"/>
      <c r="BX350" s="307"/>
      <c r="BY350" s="307"/>
      <c r="BZ350" s="307"/>
      <c r="CA350" s="307"/>
      <c r="CB350" s="307"/>
      <c r="CC350" s="307"/>
      <c r="CD350" s="307"/>
      <c r="CE350" s="307"/>
      <c r="CF350" s="307"/>
    </row>
    <row r="351" spans="4:84">
      <c r="D351" s="307"/>
      <c r="E351" s="307"/>
      <c r="F351" s="307"/>
      <c r="G351" s="307"/>
      <c r="H351" s="307"/>
      <c r="I351" s="307"/>
      <c r="J351" s="307"/>
      <c r="K351" s="307"/>
      <c r="L351" s="307"/>
      <c r="M351" s="307"/>
      <c r="N351" s="307"/>
      <c r="O351" s="307"/>
      <c r="P351" s="307"/>
      <c r="Q351" s="307"/>
      <c r="R351" s="307"/>
      <c r="S351" s="307"/>
      <c r="T351" s="307"/>
      <c r="U351" s="307"/>
      <c r="V351" s="307"/>
      <c r="W351" s="307"/>
      <c r="X351" s="307"/>
      <c r="Y351" s="307"/>
      <c r="Z351" s="307"/>
      <c r="AA351" s="307"/>
      <c r="AB351" s="307"/>
      <c r="AC351" s="307"/>
      <c r="AD351" s="307"/>
      <c r="AE351" s="307"/>
      <c r="AF351" s="307"/>
      <c r="AG351" s="307"/>
      <c r="AH351" s="307"/>
      <c r="AI351" s="307"/>
      <c r="AJ351" s="307"/>
      <c r="AK351" s="307"/>
      <c r="AL351" s="307"/>
      <c r="AM351" s="307"/>
      <c r="AN351" s="307"/>
      <c r="AO351" s="307"/>
      <c r="AP351" s="307"/>
      <c r="AQ351" s="307"/>
      <c r="AR351" s="307"/>
      <c r="AS351" s="307"/>
      <c r="AT351" s="307"/>
      <c r="AU351" s="307"/>
      <c r="AV351" s="307"/>
      <c r="AW351" s="307"/>
      <c r="AX351" s="307"/>
      <c r="AY351" s="307"/>
      <c r="AZ351" s="307"/>
      <c r="BA351" s="307"/>
      <c r="BB351" s="307"/>
      <c r="BC351" s="307"/>
      <c r="BD351" s="307"/>
      <c r="BE351" s="307"/>
      <c r="BF351" s="307"/>
      <c r="BG351" s="307"/>
      <c r="BH351" s="307"/>
      <c r="BI351" s="307"/>
      <c r="BJ351" s="307"/>
      <c r="BK351" s="307"/>
      <c r="BL351" s="307"/>
      <c r="BM351" s="307"/>
      <c r="BN351" s="307"/>
      <c r="BO351" s="307"/>
      <c r="BP351" s="307"/>
      <c r="BQ351" s="307"/>
      <c r="BR351" s="307"/>
      <c r="BS351" s="307"/>
      <c r="BT351" s="307"/>
      <c r="BU351" s="307"/>
      <c r="BV351" s="307"/>
      <c r="BW351" s="307"/>
      <c r="BX351" s="307"/>
      <c r="BY351" s="307"/>
      <c r="BZ351" s="307"/>
      <c r="CA351" s="307"/>
      <c r="CB351" s="307"/>
      <c r="CC351" s="307"/>
      <c r="CD351" s="307"/>
      <c r="CE351" s="307"/>
      <c r="CF351" s="307"/>
    </row>
    <row r="352" spans="4:84">
      <c r="D352" s="307"/>
      <c r="E352" s="307"/>
      <c r="F352" s="307"/>
      <c r="G352" s="307"/>
      <c r="H352" s="307"/>
      <c r="I352" s="307"/>
      <c r="J352" s="307"/>
      <c r="K352" s="307"/>
      <c r="L352" s="307"/>
      <c r="M352" s="307"/>
      <c r="N352" s="307"/>
      <c r="O352" s="307"/>
      <c r="P352" s="307"/>
      <c r="Q352" s="307"/>
      <c r="R352" s="307"/>
      <c r="S352" s="307"/>
      <c r="T352" s="307"/>
      <c r="U352" s="307"/>
      <c r="V352" s="307"/>
      <c r="W352" s="307"/>
      <c r="X352" s="307"/>
      <c r="Y352" s="307"/>
      <c r="Z352" s="307"/>
      <c r="AA352" s="307"/>
      <c r="AB352" s="307"/>
      <c r="AC352" s="307"/>
      <c r="AD352" s="307"/>
      <c r="AE352" s="307"/>
      <c r="AF352" s="307"/>
      <c r="AG352" s="307"/>
      <c r="AH352" s="307"/>
      <c r="AI352" s="307"/>
      <c r="AJ352" s="307"/>
      <c r="AK352" s="307"/>
      <c r="AL352" s="307"/>
      <c r="AM352" s="307"/>
      <c r="AN352" s="307"/>
      <c r="AO352" s="307"/>
      <c r="AP352" s="307"/>
      <c r="AQ352" s="307"/>
      <c r="AR352" s="307"/>
      <c r="AS352" s="307"/>
      <c r="AT352" s="307"/>
      <c r="AU352" s="307"/>
      <c r="AV352" s="307"/>
      <c r="AW352" s="307"/>
      <c r="AX352" s="307"/>
      <c r="AY352" s="307"/>
      <c r="AZ352" s="307"/>
      <c r="BA352" s="307"/>
      <c r="BB352" s="307"/>
      <c r="BC352" s="307"/>
      <c r="BD352" s="307"/>
      <c r="BE352" s="307"/>
      <c r="BF352" s="307"/>
      <c r="BG352" s="307"/>
      <c r="BH352" s="307"/>
      <c r="BI352" s="307"/>
      <c r="BJ352" s="307"/>
      <c r="BK352" s="307"/>
      <c r="BL352" s="307"/>
      <c r="BM352" s="307"/>
      <c r="BN352" s="307"/>
      <c r="BO352" s="307"/>
      <c r="BP352" s="307"/>
      <c r="BQ352" s="307"/>
      <c r="BR352" s="307"/>
      <c r="BS352" s="307"/>
      <c r="BT352" s="307"/>
      <c r="BU352" s="307"/>
      <c r="BV352" s="307"/>
      <c r="BW352" s="307"/>
      <c r="BX352" s="307"/>
      <c r="BY352" s="307"/>
      <c r="BZ352" s="307"/>
      <c r="CA352" s="307"/>
      <c r="CB352" s="307"/>
      <c r="CC352" s="307"/>
      <c r="CD352" s="307"/>
      <c r="CE352" s="307"/>
      <c r="CF352" s="307"/>
    </row>
    <row r="353" spans="4:84">
      <c r="D353" s="307"/>
      <c r="E353" s="307"/>
      <c r="F353" s="307"/>
      <c r="G353" s="307"/>
      <c r="H353" s="307"/>
      <c r="I353" s="307"/>
      <c r="J353" s="307"/>
      <c r="K353" s="307"/>
      <c r="L353" s="307"/>
      <c r="M353" s="307"/>
      <c r="N353" s="307"/>
      <c r="O353" s="307"/>
      <c r="P353" s="307"/>
      <c r="Q353" s="307"/>
      <c r="R353" s="307"/>
      <c r="S353" s="307"/>
      <c r="T353" s="307"/>
      <c r="U353" s="307"/>
      <c r="V353" s="307"/>
      <c r="W353" s="307"/>
      <c r="X353" s="307"/>
      <c r="Y353" s="307"/>
      <c r="Z353" s="307"/>
      <c r="AA353" s="307"/>
      <c r="AB353" s="307"/>
      <c r="AC353" s="307"/>
      <c r="AD353" s="307"/>
      <c r="AE353" s="307"/>
      <c r="AF353" s="307"/>
      <c r="AG353" s="307"/>
      <c r="AH353" s="307"/>
      <c r="AI353" s="307"/>
      <c r="AJ353" s="307"/>
      <c r="AK353" s="307"/>
      <c r="AL353" s="307"/>
      <c r="AM353" s="307"/>
      <c r="AN353" s="307"/>
      <c r="AO353" s="307"/>
      <c r="AP353" s="307"/>
      <c r="AQ353" s="307"/>
      <c r="AR353" s="307"/>
      <c r="AS353" s="307"/>
      <c r="AT353" s="307"/>
      <c r="AU353" s="307"/>
      <c r="AV353" s="307"/>
      <c r="AW353" s="307"/>
      <c r="AX353" s="307"/>
      <c r="AY353" s="307"/>
      <c r="AZ353" s="307"/>
      <c r="BA353" s="307"/>
      <c r="BB353" s="307"/>
      <c r="BC353" s="307"/>
      <c r="BD353" s="307"/>
      <c r="BE353" s="307"/>
      <c r="BF353" s="307"/>
      <c r="BG353" s="307"/>
      <c r="BH353" s="307"/>
      <c r="BI353" s="307"/>
      <c r="BJ353" s="307"/>
      <c r="BK353" s="307"/>
      <c r="BL353" s="307"/>
      <c r="BM353" s="307"/>
      <c r="BN353" s="307"/>
      <c r="BO353" s="307"/>
      <c r="BP353" s="307"/>
      <c r="BQ353" s="307"/>
      <c r="BR353" s="307"/>
      <c r="BS353" s="307"/>
      <c r="BT353" s="307"/>
      <c r="BU353" s="307"/>
      <c r="BV353" s="307"/>
      <c r="BW353" s="307"/>
      <c r="BX353" s="307"/>
      <c r="BY353" s="307"/>
      <c r="BZ353" s="307"/>
      <c r="CA353" s="307"/>
      <c r="CB353" s="307"/>
      <c r="CC353" s="307"/>
      <c r="CD353" s="307"/>
      <c r="CE353" s="307"/>
      <c r="CF353" s="307"/>
    </row>
    <row r="354" spans="4:84">
      <c r="D354" s="307"/>
      <c r="E354" s="307"/>
      <c r="F354" s="307"/>
      <c r="G354" s="307"/>
      <c r="H354" s="307"/>
      <c r="I354" s="307"/>
      <c r="J354" s="307"/>
      <c r="K354" s="307"/>
      <c r="L354" s="307"/>
      <c r="M354" s="307"/>
      <c r="N354" s="307"/>
      <c r="O354" s="307"/>
      <c r="P354" s="307"/>
      <c r="Q354" s="307"/>
      <c r="R354" s="307"/>
      <c r="S354" s="307"/>
      <c r="T354" s="307"/>
      <c r="U354" s="307"/>
      <c r="V354" s="307"/>
      <c r="W354" s="307"/>
      <c r="X354" s="307"/>
      <c r="Y354" s="307"/>
      <c r="Z354" s="307"/>
      <c r="AA354" s="307"/>
      <c r="AB354" s="307"/>
      <c r="AC354" s="307"/>
      <c r="AD354" s="307"/>
      <c r="AE354" s="307"/>
      <c r="AF354" s="307"/>
      <c r="AG354" s="307"/>
      <c r="AH354" s="307"/>
      <c r="AI354" s="307"/>
      <c r="AJ354" s="307"/>
      <c r="AK354" s="307"/>
      <c r="AL354" s="307"/>
      <c r="AM354" s="307"/>
      <c r="AN354" s="307"/>
      <c r="AO354" s="307"/>
      <c r="AP354" s="307"/>
      <c r="AQ354" s="307"/>
      <c r="AR354" s="307"/>
      <c r="AS354" s="307"/>
      <c r="AT354" s="307"/>
      <c r="AU354" s="307"/>
      <c r="AV354" s="307"/>
      <c r="AW354" s="307"/>
      <c r="AX354" s="307"/>
      <c r="AY354" s="307"/>
      <c r="AZ354" s="307"/>
      <c r="BA354" s="307"/>
      <c r="BB354" s="307"/>
      <c r="BC354" s="307"/>
      <c r="BD354" s="307"/>
      <c r="BE354" s="307"/>
      <c r="BF354" s="307"/>
      <c r="BG354" s="307"/>
      <c r="BH354" s="307"/>
      <c r="BI354" s="307"/>
      <c r="BJ354" s="307"/>
      <c r="BK354" s="307"/>
      <c r="BL354" s="307"/>
      <c r="BM354" s="307"/>
      <c r="BN354" s="307"/>
      <c r="BO354" s="307"/>
      <c r="BP354" s="307"/>
      <c r="BQ354" s="307"/>
      <c r="BR354" s="307"/>
      <c r="BS354" s="307"/>
      <c r="BT354" s="307"/>
      <c r="BU354" s="307"/>
      <c r="BV354" s="307"/>
      <c r="BW354" s="307"/>
      <c r="BX354" s="307"/>
      <c r="BY354" s="307"/>
      <c r="BZ354" s="307"/>
      <c r="CA354" s="307"/>
      <c r="CB354" s="307"/>
      <c r="CC354" s="307"/>
      <c r="CD354" s="307"/>
      <c r="CE354" s="307"/>
      <c r="CF354" s="307"/>
    </row>
    <row r="355" spans="4:84">
      <c r="D355" s="307"/>
      <c r="E355" s="307"/>
      <c r="F355" s="307"/>
      <c r="G355" s="307"/>
      <c r="H355" s="307"/>
      <c r="I355" s="307"/>
      <c r="J355" s="307"/>
      <c r="K355" s="307"/>
      <c r="L355" s="307"/>
      <c r="M355" s="307"/>
      <c r="N355" s="307"/>
      <c r="O355" s="307"/>
      <c r="P355" s="307"/>
      <c r="Q355" s="307"/>
      <c r="R355" s="307"/>
      <c r="S355" s="307"/>
      <c r="T355" s="307"/>
      <c r="U355" s="307"/>
      <c r="V355" s="307"/>
      <c r="W355" s="307"/>
      <c r="X355" s="307"/>
      <c r="Y355" s="307"/>
      <c r="Z355" s="307"/>
      <c r="AA355" s="307"/>
      <c r="AB355" s="307"/>
      <c r="AC355" s="307"/>
      <c r="AD355" s="307"/>
      <c r="AE355" s="307"/>
      <c r="AF355" s="307"/>
      <c r="AG355" s="307"/>
      <c r="AH355" s="307"/>
      <c r="AI355" s="307"/>
      <c r="AJ355" s="307"/>
      <c r="AK355" s="307"/>
      <c r="AL355" s="307"/>
      <c r="AM355" s="307"/>
      <c r="AN355" s="307"/>
      <c r="AO355" s="307"/>
      <c r="AP355" s="307"/>
      <c r="AQ355" s="307"/>
      <c r="AR355" s="307"/>
      <c r="AS355" s="307"/>
      <c r="AT355" s="307"/>
      <c r="AU355" s="307"/>
      <c r="AV355" s="307"/>
      <c r="AW355" s="307"/>
      <c r="AX355" s="307"/>
      <c r="AY355" s="307"/>
      <c r="AZ355" s="307"/>
      <c r="BA355" s="307"/>
      <c r="BB355" s="307"/>
      <c r="BC355" s="307"/>
      <c r="BD355" s="307"/>
      <c r="BE355" s="307"/>
      <c r="BF355" s="307"/>
      <c r="BG355" s="307"/>
      <c r="BH355" s="307"/>
      <c r="BI355" s="307"/>
      <c r="BJ355" s="307"/>
      <c r="BK355" s="307"/>
      <c r="BL355" s="307"/>
      <c r="BM355" s="307"/>
      <c r="BN355" s="307"/>
      <c r="BO355" s="307"/>
      <c r="BP355" s="307"/>
      <c r="BQ355" s="307"/>
      <c r="BR355" s="307"/>
      <c r="BS355" s="307"/>
      <c r="BT355" s="307"/>
      <c r="BU355" s="307"/>
      <c r="BV355" s="307"/>
      <c r="BW355" s="307"/>
      <c r="BX355" s="307"/>
      <c r="BY355" s="307"/>
      <c r="BZ355" s="307"/>
      <c r="CA355" s="307"/>
      <c r="CB355" s="307"/>
      <c r="CC355" s="307"/>
      <c r="CD355" s="307"/>
      <c r="CE355" s="307"/>
      <c r="CF355" s="307"/>
    </row>
    <row r="356" spans="4:84">
      <c r="D356" s="307"/>
      <c r="E356" s="307"/>
      <c r="F356" s="307"/>
      <c r="G356" s="307"/>
      <c r="H356" s="307"/>
      <c r="I356" s="307"/>
      <c r="J356" s="307"/>
      <c r="K356" s="307"/>
      <c r="L356" s="307"/>
      <c r="M356" s="307"/>
      <c r="N356" s="307"/>
      <c r="O356" s="307"/>
      <c r="P356" s="307"/>
      <c r="Q356" s="307"/>
      <c r="R356" s="307"/>
      <c r="S356" s="307"/>
      <c r="T356" s="307"/>
      <c r="U356" s="307"/>
      <c r="V356" s="307"/>
      <c r="W356" s="307"/>
      <c r="X356" s="307"/>
      <c r="Y356" s="307"/>
      <c r="Z356" s="307"/>
      <c r="AA356" s="307"/>
      <c r="AB356" s="307"/>
      <c r="AC356" s="307"/>
      <c r="AD356" s="307"/>
      <c r="AE356" s="307"/>
      <c r="AF356" s="307"/>
      <c r="AG356" s="307"/>
      <c r="AH356" s="307"/>
      <c r="AI356" s="307"/>
      <c r="AJ356" s="307"/>
      <c r="AK356" s="307"/>
      <c r="AL356" s="307"/>
      <c r="AM356" s="307"/>
      <c r="AN356" s="307"/>
      <c r="AO356" s="307"/>
      <c r="AP356" s="307"/>
      <c r="AQ356" s="307"/>
      <c r="AR356" s="307"/>
      <c r="AS356" s="307"/>
      <c r="AT356" s="307"/>
      <c r="AU356" s="307"/>
      <c r="AV356" s="307"/>
      <c r="AW356" s="307"/>
      <c r="AX356" s="307"/>
      <c r="AY356" s="307"/>
      <c r="AZ356" s="307"/>
      <c r="BA356" s="307"/>
      <c r="BB356" s="307"/>
      <c r="BC356" s="307"/>
      <c r="BD356" s="307"/>
      <c r="BE356" s="307"/>
      <c r="BF356" s="307"/>
      <c r="BG356" s="307"/>
      <c r="BH356" s="307"/>
      <c r="BI356" s="307"/>
      <c r="BJ356" s="307"/>
      <c r="BK356" s="307"/>
      <c r="BL356" s="307"/>
      <c r="BM356" s="307"/>
      <c r="BN356" s="307"/>
      <c r="BO356" s="307"/>
      <c r="BP356" s="307"/>
      <c r="BQ356" s="307"/>
      <c r="BR356" s="307"/>
      <c r="BS356" s="307"/>
      <c r="BT356" s="307"/>
      <c r="BU356" s="307"/>
      <c r="BV356" s="307"/>
      <c r="BW356" s="307"/>
      <c r="BX356" s="307"/>
      <c r="BY356" s="307"/>
      <c r="BZ356" s="307"/>
      <c r="CA356" s="307"/>
      <c r="CB356" s="307"/>
      <c r="CC356" s="307"/>
      <c r="CD356" s="307"/>
      <c r="CE356" s="307"/>
      <c r="CF356" s="307"/>
    </row>
    <row r="357" spans="4:84">
      <c r="D357" s="307"/>
      <c r="E357" s="307"/>
      <c r="F357" s="307"/>
      <c r="G357" s="307"/>
      <c r="H357" s="307"/>
      <c r="I357" s="307"/>
      <c r="J357" s="307"/>
      <c r="K357" s="307"/>
      <c r="L357" s="307"/>
      <c r="M357" s="307"/>
      <c r="N357" s="307"/>
      <c r="O357" s="307"/>
      <c r="P357" s="307"/>
      <c r="Q357" s="307"/>
      <c r="R357" s="307"/>
      <c r="S357" s="307"/>
      <c r="T357" s="307"/>
      <c r="U357" s="307"/>
      <c r="V357" s="307"/>
      <c r="W357" s="307"/>
      <c r="X357" s="307"/>
      <c r="Y357" s="307"/>
      <c r="Z357" s="307"/>
      <c r="AA357" s="307"/>
      <c r="AB357" s="307"/>
      <c r="AC357" s="307"/>
      <c r="AD357" s="307"/>
      <c r="AE357" s="307"/>
      <c r="AF357" s="307"/>
      <c r="AG357" s="307"/>
      <c r="AH357" s="307"/>
      <c r="AI357" s="307"/>
      <c r="AJ357" s="307"/>
      <c r="AK357" s="307"/>
      <c r="AL357" s="307"/>
      <c r="AM357" s="307"/>
      <c r="AN357" s="307"/>
      <c r="AO357" s="307"/>
      <c r="AP357" s="307"/>
      <c r="AQ357" s="307"/>
      <c r="AR357" s="307"/>
      <c r="AS357" s="307"/>
      <c r="AT357" s="307"/>
      <c r="AU357" s="307"/>
      <c r="AV357" s="307"/>
      <c r="AW357" s="307"/>
      <c r="AX357" s="307"/>
      <c r="AY357" s="307"/>
      <c r="AZ357" s="307"/>
      <c r="BA357" s="307"/>
      <c r="BB357" s="307"/>
      <c r="BC357" s="307"/>
      <c r="BD357" s="307"/>
      <c r="BE357" s="307"/>
      <c r="BF357" s="307"/>
      <c r="BG357" s="307"/>
      <c r="BH357" s="307"/>
      <c r="BI357" s="307"/>
      <c r="BJ357" s="307"/>
      <c r="BK357" s="307"/>
      <c r="BL357" s="307"/>
      <c r="BM357" s="307"/>
      <c r="BN357" s="307"/>
      <c r="BO357" s="307"/>
      <c r="BP357" s="307"/>
      <c r="BQ357" s="307"/>
      <c r="BR357" s="307"/>
      <c r="BS357" s="307"/>
      <c r="BT357" s="307"/>
      <c r="BU357" s="307"/>
      <c r="BV357" s="307"/>
      <c r="BW357" s="307"/>
      <c r="BX357" s="307"/>
      <c r="BY357" s="307"/>
      <c r="BZ357" s="307"/>
      <c r="CA357" s="307"/>
      <c r="CB357" s="307"/>
      <c r="CC357" s="307"/>
      <c r="CD357" s="307"/>
      <c r="CE357" s="307"/>
      <c r="CF357" s="307"/>
    </row>
    <row r="358" spans="4:84">
      <c r="D358" s="307"/>
      <c r="E358" s="307"/>
      <c r="F358" s="307"/>
      <c r="G358" s="307"/>
      <c r="H358" s="307"/>
      <c r="I358" s="307"/>
      <c r="J358" s="307"/>
      <c r="K358" s="307"/>
      <c r="L358" s="307"/>
      <c r="M358" s="307"/>
      <c r="N358" s="307"/>
      <c r="O358" s="307"/>
      <c r="P358" s="307"/>
      <c r="Q358" s="307"/>
      <c r="R358" s="307"/>
      <c r="S358" s="307"/>
      <c r="T358" s="307"/>
      <c r="U358" s="307"/>
      <c r="V358" s="307"/>
      <c r="W358" s="307"/>
      <c r="X358" s="307"/>
      <c r="Y358" s="307"/>
      <c r="Z358" s="307"/>
      <c r="AA358" s="307"/>
      <c r="AB358" s="307"/>
      <c r="AC358" s="307"/>
      <c r="AD358" s="307"/>
      <c r="AE358" s="307"/>
      <c r="AF358" s="307"/>
      <c r="AG358" s="307"/>
      <c r="AH358" s="307"/>
      <c r="AI358" s="307"/>
      <c r="AJ358" s="307"/>
      <c r="AK358" s="307"/>
      <c r="AL358" s="307"/>
      <c r="AM358" s="307"/>
      <c r="AN358" s="307"/>
      <c r="AO358" s="307"/>
      <c r="AP358" s="307"/>
      <c r="AQ358" s="307"/>
      <c r="AR358" s="307"/>
      <c r="AS358" s="307"/>
      <c r="AT358" s="307"/>
      <c r="AU358" s="307"/>
      <c r="AV358" s="307"/>
      <c r="AW358" s="307"/>
      <c r="AX358" s="307"/>
      <c r="AY358" s="307"/>
      <c r="AZ358" s="307"/>
      <c r="BA358" s="307"/>
      <c r="BB358" s="307"/>
      <c r="BC358" s="307"/>
      <c r="BD358" s="307"/>
      <c r="BE358" s="307"/>
      <c r="BF358" s="307"/>
      <c r="BG358" s="307"/>
      <c r="BH358" s="307"/>
      <c r="BI358" s="307"/>
      <c r="BJ358" s="307"/>
      <c r="BK358" s="307"/>
      <c r="BL358" s="307"/>
      <c r="BM358" s="307"/>
      <c r="BN358" s="307"/>
      <c r="BO358" s="307"/>
      <c r="BP358" s="307"/>
      <c r="BQ358" s="307"/>
      <c r="BR358" s="307"/>
      <c r="BS358" s="307"/>
      <c r="BT358" s="307"/>
      <c r="BU358" s="307"/>
      <c r="BV358" s="307"/>
      <c r="BW358" s="307"/>
      <c r="BX358" s="307"/>
      <c r="BY358" s="307"/>
      <c r="BZ358" s="307"/>
      <c r="CA358" s="307"/>
      <c r="CB358" s="307"/>
      <c r="CC358" s="307"/>
      <c r="CD358" s="307"/>
      <c r="CE358" s="307"/>
      <c r="CF358" s="307"/>
    </row>
    <row r="359" spans="4:84">
      <c r="D359" s="307"/>
      <c r="E359" s="307"/>
      <c r="F359" s="307"/>
      <c r="G359" s="307"/>
      <c r="H359" s="307"/>
      <c r="I359" s="307"/>
      <c r="J359" s="307"/>
      <c r="K359" s="307"/>
      <c r="L359" s="307"/>
      <c r="M359" s="307"/>
      <c r="N359" s="307"/>
      <c r="O359" s="307"/>
      <c r="P359" s="307"/>
      <c r="Q359" s="307"/>
      <c r="R359" s="307"/>
      <c r="S359" s="307"/>
      <c r="T359" s="307"/>
      <c r="U359" s="307"/>
      <c r="V359" s="307"/>
      <c r="W359" s="307"/>
      <c r="X359" s="307"/>
      <c r="Y359" s="307"/>
      <c r="Z359" s="307"/>
      <c r="AA359" s="307"/>
      <c r="AB359" s="307"/>
      <c r="AC359" s="307"/>
      <c r="AD359" s="307"/>
      <c r="AE359" s="307"/>
      <c r="AF359" s="307"/>
      <c r="AG359" s="307"/>
      <c r="AH359" s="307"/>
      <c r="AI359" s="307"/>
      <c r="AJ359" s="307"/>
      <c r="AK359" s="307"/>
      <c r="AL359" s="307"/>
      <c r="AM359" s="307"/>
      <c r="AN359" s="307"/>
      <c r="AO359" s="307"/>
      <c r="AP359" s="307"/>
      <c r="AQ359" s="307"/>
      <c r="AR359" s="307"/>
      <c r="AS359" s="307"/>
      <c r="AT359" s="307"/>
      <c r="AU359" s="307"/>
      <c r="AV359" s="307"/>
      <c r="AW359" s="307"/>
      <c r="AX359" s="307"/>
      <c r="AY359" s="307"/>
      <c r="AZ359" s="307"/>
      <c r="BA359" s="307"/>
      <c r="BB359" s="307"/>
      <c r="BC359" s="307"/>
      <c r="BD359" s="307"/>
      <c r="BE359" s="307"/>
      <c r="BF359" s="307"/>
      <c r="BG359" s="307"/>
      <c r="BH359" s="307"/>
      <c r="BI359" s="307"/>
      <c r="BJ359" s="307"/>
      <c r="BK359" s="307"/>
      <c r="BL359" s="307"/>
      <c r="BM359" s="307"/>
      <c r="BN359" s="307"/>
      <c r="BO359" s="307"/>
      <c r="BP359" s="307"/>
      <c r="BQ359" s="307"/>
      <c r="BR359" s="307"/>
      <c r="BS359" s="307"/>
      <c r="BT359" s="307"/>
      <c r="BU359" s="307"/>
      <c r="BV359" s="307"/>
      <c r="BW359" s="307"/>
      <c r="BX359" s="307"/>
      <c r="BY359" s="307"/>
      <c r="BZ359" s="307"/>
      <c r="CA359" s="307"/>
      <c r="CB359" s="307"/>
      <c r="CC359" s="307"/>
      <c r="CD359" s="307"/>
      <c r="CE359" s="307"/>
      <c r="CF359" s="307"/>
    </row>
    <row r="360" spans="4:84">
      <c r="D360" s="307"/>
      <c r="E360" s="307"/>
      <c r="F360" s="307"/>
      <c r="G360" s="307"/>
      <c r="H360" s="307"/>
      <c r="I360" s="307"/>
      <c r="J360" s="307"/>
      <c r="K360" s="307"/>
      <c r="L360" s="307"/>
      <c r="M360" s="307"/>
      <c r="N360" s="307"/>
      <c r="O360" s="307"/>
      <c r="P360" s="307"/>
      <c r="Q360" s="307"/>
      <c r="R360" s="307"/>
      <c r="S360" s="307"/>
      <c r="T360" s="307"/>
      <c r="U360" s="307"/>
      <c r="V360" s="307"/>
      <c r="W360" s="307"/>
      <c r="X360" s="307"/>
      <c r="Y360" s="307"/>
      <c r="Z360" s="307"/>
      <c r="AA360" s="307"/>
      <c r="AB360" s="307"/>
      <c r="AC360" s="307"/>
      <c r="AD360" s="307"/>
      <c r="AE360" s="307"/>
      <c r="AF360" s="307"/>
      <c r="AG360" s="307"/>
      <c r="AH360" s="307"/>
      <c r="AI360" s="307"/>
      <c r="AJ360" s="307"/>
      <c r="AK360" s="307"/>
      <c r="AL360" s="307"/>
      <c r="AM360" s="307"/>
      <c r="AN360" s="307"/>
      <c r="AO360" s="307"/>
      <c r="AP360" s="307"/>
      <c r="AQ360" s="307"/>
      <c r="AR360" s="307"/>
      <c r="AS360" s="307"/>
      <c r="AT360" s="307"/>
      <c r="AU360" s="307"/>
      <c r="AV360" s="307"/>
      <c r="AW360" s="307"/>
      <c r="AX360" s="307"/>
      <c r="AY360" s="307"/>
      <c r="AZ360" s="307"/>
      <c r="BA360" s="307"/>
      <c r="BB360" s="307"/>
      <c r="BC360" s="307"/>
      <c r="BD360" s="307"/>
      <c r="BE360" s="307"/>
      <c r="BF360" s="307"/>
      <c r="BG360" s="307"/>
      <c r="BH360" s="307"/>
      <c r="BI360" s="307"/>
      <c r="BJ360" s="307"/>
      <c r="BK360" s="307"/>
      <c r="BL360" s="307"/>
      <c r="BM360" s="307"/>
      <c r="BN360" s="307"/>
      <c r="BO360" s="307"/>
      <c r="BP360" s="307"/>
      <c r="BQ360" s="307"/>
      <c r="BR360" s="307"/>
      <c r="BS360" s="307"/>
      <c r="BT360" s="307"/>
      <c r="BU360" s="307"/>
      <c r="BV360" s="307"/>
      <c r="BW360" s="307"/>
      <c r="BX360" s="307"/>
      <c r="BY360" s="307"/>
      <c r="BZ360" s="307"/>
      <c r="CA360" s="307"/>
      <c r="CB360" s="307"/>
      <c r="CC360" s="307"/>
      <c r="CD360" s="307"/>
      <c r="CE360" s="307"/>
      <c r="CF360" s="307"/>
    </row>
    <row r="361" spans="4:84">
      <c r="D361" s="307"/>
      <c r="E361" s="307"/>
      <c r="F361" s="307"/>
      <c r="G361" s="307"/>
      <c r="H361" s="307"/>
      <c r="I361" s="307"/>
      <c r="J361" s="307"/>
      <c r="K361" s="307"/>
      <c r="L361" s="307"/>
      <c r="M361" s="307"/>
      <c r="N361" s="307"/>
      <c r="O361" s="307"/>
      <c r="P361" s="307"/>
      <c r="Q361" s="307"/>
      <c r="R361" s="307"/>
      <c r="S361" s="307"/>
      <c r="T361" s="307"/>
      <c r="U361" s="307"/>
      <c r="V361" s="307"/>
      <c r="W361" s="307"/>
      <c r="X361" s="307"/>
      <c r="Y361" s="307"/>
      <c r="Z361" s="307"/>
      <c r="AA361" s="307"/>
      <c r="AB361" s="307"/>
      <c r="AC361" s="307"/>
      <c r="AD361" s="307"/>
      <c r="AE361" s="307"/>
      <c r="AF361" s="307"/>
      <c r="AG361" s="307"/>
      <c r="AH361" s="307"/>
      <c r="AI361" s="307"/>
      <c r="AJ361" s="307"/>
      <c r="AK361" s="307"/>
      <c r="AL361" s="307"/>
      <c r="AM361" s="307"/>
      <c r="AN361" s="307"/>
      <c r="AO361" s="307"/>
      <c r="AP361" s="307"/>
      <c r="AQ361" s="307"/>
      <c r="AR361" s="307"/>
      <c r="AS361" s="307"/>
      <c r="AT361" s="307"/>
      <c r="AU361" s="307"/>
      <c r="AV361" s="307"/>
      <c r="AW361" s="307"/>
      <c r="AX361" s="307"/>
      <c r="AY361" s="307"/>
      <c r="AZ361" s="307"/>
      <c r="BA361" s="307"/>
      <c r="BB361" s="307"/>
      <c r="BC361" s="307"/>
      <c r="BD361" s="307"/>
      <c r="BE361" s="307"/>
      <c r="BF361" s="307"/>
      <c r="BG361" s="307"/>
      <c r="BH361" s="307"/>
      <c r="BI361" s="307"/>
      <c r="BJ361" s="307"/>
      <c r="BK361" s="307"/>
      <c r="BL361" s="307"/>
      <c r="BM361" s="307"/>
      <c r="BN361" s="307"/>
      <c r="BO361" s="307"/>
      <c r="BP361" s="307"/>
      <c r="BQ361" s="307"/>
      <c r="BR361" s="307"/>
      <c r="BS361" s="307"/>
      <c r="BT361" s="307"/>
      <c r="BU361" s="307"/>
      <c r="BV361" s="307"/>
      <c r="BW361" s="307"/>
      <c r="BX361" s="307"/>
      <c r="BY361" s="307"/>
      <c r="BZ361" s="307"/>
      <c r="CA361" s="307"/>
      <c r="CB361" s="307"/>
      <c r="CC361" s="307"/>
      <c r="CD361" s="307"/>
      <c r="CE361" s="307"/>
      <c r="CF361" s="307"/>
    </row>
    <row r="362" spans="4:84">
      <c r="D362" s="307"/>
      <c r="E362" s="307"/>
      <c r="F362" s="307"/>
      <c r="G362" s="307"/>
      <c r="H362" s="307"/>
      <c r="I362" s="307"/>
      <c r="J362" s="307"/>
      <c r="K362" s="307"/>
      <c r="L362" s="307"/>
      <c r="M362" s="307"/>
      <c r="N362" s="307"/>
      <c r="O362" s="307"/>
      <c r="P362" s="307"/>
      <c r="Q362" s="307"/>
      <c r="R362" s="307"/>
      <c r="S362" s="307"/>
      <c r="T362" s="307"/>
      <c r="U362" s="307"/>
      <c r="V362" s="307"/>
      <c r="W362" s="307"/>
      <c r="X362" s="307"/>
      <c r="Y362" s="307"/>
      <c r="Z362" s="307"/>
      <c r="AA362" s="307"/>
      <c r="AB362" s="307"/>
      <c r="AC362" s="307"/>
      <c r="AD362" s="307"/>
      <c r="AE362" s="307"/>
      <c r="AF362" s="307"/>
      <c r="AG362" s="307"/>
      <c r="AH362" s="307"/>
      <c r="AI362" s="307"/>
      <c r="AJ362" s="307"/>
      <c r="AK362" s="307"/>
      <c r="AL362" s="307"/>
      <c r="AM362" s="307"/>
      <c r="AN362" s="307"/>
      <c r="AO362" s="307"/>
      <c r="AP362" s="307"/>
      <c r="AQ362" s="307"/>
      <c r="AR362" s="307"/>
      <c r="AS362" s="307"/>
      <c r="AT362" s="307"/>
      <c r="AU362" s="307"/>
      <c r="AV362" s="307"/>
      <c r="AW362" s="307"/>
      <c r="AX362" s="307"/>
      <c r="AY362" s="307"/>
      <c r="AZ362" s="307"/>
      <c r="BA362" s="307"/>
      <c r="BB362" s="307"/>
      <c r="BC362" s="307"/>
      <c r="BD362" s="307"/>
      <c r="BE362" s="307"/>
      <c r="BF362" s="307"/>
      <c r="BG362" s="307"/>
      <c r="BH362" s="307"/>
      <c r="BI362" s="307"/>
      <c r="BJ362" s="307"/>
      <c r="BK362" s="307"/>
      <c r="BL362" s="307"/>
      <c r="BM362" s="307"/>
      <c r="BN362" s="307"/>
      <c r="BO362" s="307"/>
      <c r="BP362" s="307"/>
      <c r="BQ362" s="307"/>
      <c r="BR362" s="307"/>
      <c r="BS362" s="307"/>
      <c r="BT362" s="307"/>
      <c r="BU362" s="307"/>
      <c r="BV362" s="307"/>
      <c r="BW362" s="307"/>
      <c r="BX362" s="307"/>
      <c r="BY362" s="307"/>
      <c r="BZ362" s="307"/>
      <c r="CA362" s="307"/>
      <c r="CB362" s="307"/>
      <c r="CC362" s="307"/>
      <c r="CD362" s="307"/>
      <c r="CE362" s="307"/>
      <c r="CF362" s="307"/>
    </row>
    <row r="363" spans="4:84">
      <c r="D363" s="307"/>
      <c r="E363" s="307"/>
      <c r="F363" s="307"/>
      <c r="G363" s="307"/>
      <c r="H363" s="307"/>
      <c r="I363" s="307"/>
      <c r="J363" s="307"/>
      <c r="K363" s="307"/>
      <c r="L363" s="307"/>
      <c r="M363" s="307"/>
      <c r="N363" s="307"/>
      <c r="O363" s="307"/>
      <c r="P363" s="307"/>
      <c r="Q363" s="307"/>
      <c r="R363" s="307"/>
      <c r="S363" s="307"/>
      <c r="T363" s="307"/>
      <c r="U363" s="307"/>
      <c r="V363" s="307"/>
      <c r="W363" s="307"/>
      <c r="X363" s="307"/>
      <c r="Y363" s="307"/>
      <c r="Z363" s="307"/>
      <c r="AA363" s="307"/>
      <c r="AB363" s="307"/>
      <c r="AC363" s="307"/>
      <c r="AD363" s="307"/>
      <c r="AE363" s="307"/>
      <c r="AF363" s="307"/>
      <c r="AG363" s="307"/>
      <c r="AH363" s="307"/>
      <c r="AI363" s="307"/>
      <c r="AJ363" s="307"/>
      <c r="AK363" s="307"/>
      <c r="AL363" s="307"/>
      <c r="AM363" s="307"/>
      <c r="AN363" s="307"/>
      <c r="AO363" s="307"/>
      <c r="AP363" s="307"/>
      <c r="AQ363" s="307"/>
      <c r="AR363" s="307"/>
      <c r="AS363" s="307"/>
      <c r="AT363" s="307"/>
      <c r="AU363" s="307"/>
      <c r="AV363" s="307"/>
      <c r="AW363" s="307"/>
      <c r="AX363" s="307"/>
      <c r="AY363" s="307"/>
      <c r="AZ363" s="307"/>
      <c r="BA363" s="307"/>
      <c r="BB363" s="307"/>
      <c r="BC363" s="307"/>
      <c r="BD363" s="307"/>
      <c r="BE363" s="307"/>
      <c r="BF363" s="307"/>
      <c r="BG363" s="307"/>
      <c r="BH363" s="307"/>
      <c r="BI363" s="307"/>
      <c r="BJ363" s="307"/>
      <c r="BK363" s="307"/>
      <c r="BL363" s="307"/>
      <c r="BM363" s="307"/>
      <c r="BN363" s="307"/>
      <c r="BO363" s="307"/>
      <c r="BP363" s="307"/>
      <c r="BQ363" s="307"/>
      <c r="BR363" s="307"/>
      <c r="BS363" s="307"/>
      <c r="BT363" s="307"/>
      <c r="BU363" s="307"/>
      <c r="BV363" s="307"/>
      <c r="BW363" s="307"/>
      <c r="BX363" s="307"/>
      <c r="BY363" s="307"/>
      <c r="BZ363" s="307"/>
      <c r="CA363" s="307"/>
      <c r="CB363" s="307"/>
      <c r="CC363" s="307"/>
      <c r="CD363" s="307"/>
      <c r="CE363" s="307"/>
      <c r="CF363" s="307"/>
    </row>
    <row r="364" spans="4:84">
      <c r="D364" s="307"/>
      <c r="E364" s="307"/>
      <c r="F364" s="307"/>
      <c r="G364" s="307"/>
      <c r="H364" s="307"/>
      <c r="I364" s="307"/>
      <c r="J364" s="307"/>
      <c r="K364" s="307"/>
      <c r="L364" s="307"/>
      <c r="M364" s="307"/>
      <c r="N364" s="307"/>
      <c r="O364" s="307"/>
      <c r="P364" s="307"/>
      <c r="Q364" s="307"/>
      <c r="R364" s="307"/>
      <c r="S364" s="307"/>
      <c r="T364" s="307"/>
      <c r="U364" s="307"/>
      <c r="V364" s="307"/>
      <c r="W364" s="307"/>
      <c r="X364" s="307"/>
      <c r="Y364" s="307"/>
      <c r="Z364" s="307"/>
      <c r="AA364" s="307"/>
      <c r="AB364" s="307"/>
      <c r="AC364" s="307"/>
      <c r="AD364" s="307"/>
      <c r="AE364" s="307"/>
      <c r="AF364" s="307"/>
      <c r="AG364" s="307"/>
      <c r="AH364" s="307"/>
      <c r="AI364" s="307"/>
      <c r="AJ364" s="307"/>
      <c r="AK364" s="307"/>
      <c r="AL364" s="307"/>
      <c r="AM364" s="307"/>
      <c r="AN364" s="307"/>
      <c r="AO364" s="307"/>
      <c r="AP364" s="307"/>
      <c r="AQ364" s="307"/>
      <c r="AR364" s="307"/>
      <c r="AS364" s="307"/>
      <c r="AT364" s="307"/>
      <c r="AU364" s="307"/>
      <c r="AV364" s="307"/>
      <c r="AW364" s="307"/>
      <c r="AX364" s="307"/>
      <c r="AY364" s="307"/>
      <c r="AZ364" s="307"/>
      <c r="BA364" s="307"/>
      <c r="BB364" s="307"/>
      <c r="BC364" s="307"/>
      <c r="BD364" s="307"/>
      <c r="BE364" s="307"/>
      <c r="BF364" s="307"/>
      <c r="BG364" s="307"/>
      <c r="BH364" s="307"/>
      <c r="BI364" s="307"/>
      <c r="BJ364" s="307"/>
      <c r="BK364" s="307"/>
      <c r="BL364" s="307"/>
      <c r="BM364" s="307"/>
      <c r="BN364" s="307"/>
      <c r="BO364" s="307"/>
      <c r="BP364" s="307"/>
      <c r="BQ364" s="307"/>
      <c r="BR364" s="307"/>
      <c r="BS364" s="307"/>
      <c r="BT364" s="307"/>
      <c r="BU364" s="307"/>
      <c r="BV364" s="307"/>
      <c r="BW364" s="307"/>
      <c r="BX364" s="307"/>
      <c r="BY364" s="307"/>
      <c r="BZ364" s="307"/>
      <c r="CA364" s="307"/>
      <c r="CB364" s="307"/>
      <c r="CC364" s="307"/>
      <c r="CD364" s="307"/>
      <c r="CE364" s="307"/>
      <c r="CF364" s="307"/>
    </row>
    <row r="365" spans="4:84">
      <c r="D365" s="307"/>
      <c r="E365" s="307"/>
      <c r="F365" s="307"/>
      <c r="G365" s="307"/>
      <c r="H365" s="307"/>
      <c r="I365" s="307"/>
      <c r="J365" s="307"/>
      <c r="K365" s="307"/>
      <c r="L365" s="307"/>
      <c r="M365" s="307"/>
      <c r="N365" s="307"/>
      <c r="O365" s="307"/>
      <c r="P365" s="307"/>
      <c r="Q365" s="307"/>
      <c r="R365" s="307"/>
      <c r="S365" s="307"/>
      <c r="T365" s="307"/>
      <c r="U365" s="307"/>
      <c r="V365" s="307"/>
      <c r="W365" s="307"/>
      <c r="X365" s="307"/>
      <c r="Y365" s="307"/>
      <c r="Z365" s="307"/>
      <c r="AA365" s="307"/>
      <c r="AB365" s="307"/>
      <c r="AC365" s="307"/>
      <c r="AD365" s="307"/>
      <c r="AE365" s="307"/>
      <c r="AF365" s="307"/>
      <c r="AG365" s="307"/>
      <c r="AH365" s="307"/>
      <c r="AI365" s="307"/>
      <c r="AJ365" s="307"/>
      <c r="AK365" s="307"/>
      <c r="AL365" s="307"/>
      <c r="AM365" s="307"/>
      <c r="AN365" s="307"/>
      <c r="AO365" s="307"/>
      <c r="AP365" s="307"/>
      <c r="AQ365" s="307"/>
      <c r="AR365" s="307"/>
      <c r="AS365" s="307"/>
      <c r="AT365" s="307"/>
      <c r="AU365" s="307"/>
      <c r="AV365" s="307"/>
      <c r="AW365" s="307"/>
      <c r="AX365" s="307"/>
      <c r="AY365" s="307"/>
      <c r="AZ365" s="307"/>
      <c r="BA365" s="307"/>
      <c r="BB365" s="307"/>
      <c r="BC365" s="307"/>
      <c r="BD365" s="307"/>
      <c r="BE365" s="307"/>
      <c r="BF365" s="307"/>
      <c r="BG365" s="307"/>
      <c r="BH365" s="307"/>
      <c r="BI365" s="307"/>
      <c r="BJ365" s="307"/>
      <c r="BK365" s="307"/>
      <c r="BL365" s="307"/>
      <c r="BM365" s="307"/>
      <c r="BN365" s="307"/>
      <c r="BO365" s="307"/>
      <c r="BP365" s="307"/>
      <c r="BQ365" s="307"/>
      <c r="BR365" s="307"/>
      <c r="BS365" s="307"/>
      <c r="BT365" s="307"/>
      <c r="BU365" s="307"/>
      <c r="BV365" s="307"/>
      <c r="BW365" s="307"/>
      <c r="BX365" s="307"/>
      <c r="BY365" s="307"/>
      <c r="BZ365" s="307"/>
      <c r="CA365" s="307"/>
      <c r="CB365" s="307"/>
      <c r="CC365" s="307"/>
      <c r="CD365" s="307"/>
      <c r="CE365" s="307"/>
      <c r="CF365" s="307"/>
    </row>
    <row r="366" spans="4:84">
      <c r="D366" s="307"/>
      <c r="E366" s="307"/>
      <c r="F366" s="307"/>
      <c r="G366" s="307"/>
      <c r="H366" s="307"/>
      <c r="I366" s="307"/>
      <c r="J366" s="307"/>
      <c r="K366" s="307"/>
      <c r="L366" s="307"/>
      <c r="M366" s="307"/>
      <c r="N366" s="307"/>
      <c r="O366" s="307"/>
      <c r="P366" s="307"/>
      <c r="Q366" s="307"/>
      <c r="R366" s="307"/>
      <c r="S366" s="307"/>
      <c r="T366" s="307"/>
      <c r="U366" s="307"/>
      <c r="V366" s="307"/>
      <c r="W366" s="307"/>
      <c r="X366" s="307"/>
      <c r="Y366" s="307"/>
      <c r="Z366" s="307"/>
      <c r="AA366" s="307"/>
      <c r="AB366" s="307"/>
      <c r="AC366" s="307"/>
      <c r="AD366" s="307"/>
      <c r="AE366" s="307"/>
      <c r="AF366" s="307"/>
      <c r="AG366" s="307"/>
      <c r="AH366" s="307"/>
      <c r="AI366" s="307"/>
      <c r="AJ366" s="307"/>
      <c r="AK366" s="307"/>
      <c r="AL366" s="307"/>
      <c r="AM366" s="307"/>
      <c r="AN366" s="307"/>
      <c r="AO366" s="307"/>
      <c r="AP366" s="307"/>
      <c r="AQ366" s="307"/>
      <c r="AR366" s="307"/>
      <c r="AS366" s="307"/>
      <c r="AT366" s="307"/>
      <c r="AU366" s="307"/>
      <c r="AV366" s="307"/>
      <c r="AW366" s="307"/>
      <c r="AX366" s="307"/>
      <c r="AY366" s="307"/>
      <c r="AZ366" s="307"/>
      <c r="BA366" s="307"/>
      <c r="BB366" s="307"/>
      <c r="BC366" s="307"/>
      <c r="BD366" s="307"/>
      <c r="BE366" s="307"/>
      <c r="BF366" s="307"/>
      <c r="BG366" s="307"/>
      <c r="BH366" s="307"/>
      <c r="BI366" s="307"/>
      <c r="BJ366" s="307"/>
      <c r="BK366" s="307"/>
      <c r="BL366" s="307"/>
      <c r="BM366" s="307"/>
      <c r="BN366" s="307"/>
      <c r="BO366" s="307"/>
      <c r="BP366" s="307"/>
      <c r="BQ366" s="307"/>
      <c r="BR366" s="307"/>
      <c r="BS366" s="307"/>
      <c r="BT366" s="307"/>
      <c r="BU366" s="307"/>
      <c r="BV366" s="307"/>
      <c r="BW366" s="307"/>
      <c r="BX366" s="307"/>
      <c r="BY366" s="307"/>
      <c r="BZ366" s="307"/>
      <c r="CA366" s="307"/>
      <c r="CB366" s="307"/>
      <c r="CC366" s="307"/>
      <c r="CD366" s="307"/>
      <c r="CE366" s="307"/>
      <c r="CF366" s="307"/>
    </row>
    <row r="367" spans="4:84">
      <c r="D367" s="307"/>
      <c r="E367" s="307"/>
      <c r="F367" s="307"/>
      <c r="G367" s="307"/>
      <c r="H367" s="307"/>
      <c r="I367" s="307"/>
      <c r="J367" s="307"/>
      <c r="K367" s="307"/>
      <c r="L367" s="307"/>
      <c r="M367" s="307"/>
      <c r="N367" s="307"/>
      <c r="O367" s="307"/>
      <c r="P367" s="307"/>
      <c r="Q367" s="307"/>
      <c r="R367" s="307"/>
      <c r="S367" s="307"/>
      <c r="T367" s="307"/>
      <c r="U367" s="307"/>
      <c r="V367" s="307"/>
      <c r="W367" s="307"/>
      <c r="X367" s="307"/>
      <c r="Y367" s="307"/>
      <c r="Z367" s="307"/>
      <c r="AA367" s="307"/>
      <c r="AB367" s="307"/>
      <c r="AC367" s="307"/>
      <c r="AD367" s="307"/>
      <c r="AE367" s="307"/>
      <c r="AF367" s="307"/>
      <c r="AG367" s="307"/>
      <c r="AH367" s="307"/>
      <c r="AI367" s="307"/>
      <c r="AJ367" s="307"/>
      <c r="AK367" s="307"/>
      <c r="AL367" s="307"/>
      <c r="AM367" s="307"/>
      <c r="AN367" s="307"/>
      <c r="AO367" s="307"/>
      <c r="AP367" s="307"/>
      <c r="AQ367" s="307"/>
      <c r="AR367" s="307"/>
      <c r="AS367" s="307"/>
      <c r="AT367" s="307"/>
      <c r="AU367" s="307"/>
      <c r="AV367" s="307"/>
      <c r="AW367" s="307"/>
      <c r="AX367" s="307"/>
      <c r="AY367" s="307"/>
      <c r="AZ367" s="307"/>
      <c r="BA367" s="307"/>
      <c r="BB367" s="307"/>
      <c r="BC367" s="307"/>
      <c r="BD367" s="307"/>
      <c r="BE367" s="307"/>
      <c r="BF367" s="307"/>
      <c r="BG367" s="307"/>
      <c r="BH367" s="307"/>
      <c r="BI367" s="307"/>
      <c r="BJ367" s="307"/>
      <c r="BK367" s="307"/>
      <c r="BL367" s="307"/>
      <c r="BM367" s="307"/>
      <c r="BN367" s="307"/>
      <c r="BO367" s="307"/>
      <c r="BP367" s="307"/>
      <c r="BQ367" s="307"/>
      <c r="BR367" s="307"/>
      <c r="BS367" s="307"/>
      <c r="BT367" s="307"/>
      <c r="BU367" s="307"/>
      <c r="BV367" s="307"/>
      <c r="BW367" s="307"/>
      <c r="BX367" s="307"/>
      <c r="BY367" s="307"/>
      <c r="BZ367" s="307"/>
      <c r="CA367" s="307"/>
      <c r="CB367" s="307"/>
      <c r="CC367" s="307"/>
      <c r="CD367" s="307"/>
      <c r="CE367" s="307"/>
      <c r="CF367" s="307"/>
    </row>
    <row r="368" spans="4:84">
      <c r="D368" s="307"/>
      <c r="E368" s="307"/>
      <c r="F368" s="307"/>
      <c r="G368" s="307"/>
      <c r="H368" s="307"/>
      <c r="I368" s="307"/>
      <c r="J368" s="307"/>
      <c r="K368" s="307"/>
      <c r="L368" s="307"/>
      <c r="M368" s="307"/>
      <c r="N368" s="307"/>
      <c r="O368" s="307"/>
      <c r="P368" s="307"/>
      <c r="Q368" s="307"/>
      <c r="R368" s="307"/>
      <c r="S368" s="307"/>
      <c r="T368" s="307"/>
      <c r="U368" s="307"/>
      <c r="V368" s="307"/>
      <c r="W368" s="307"/>
      <c r="X368" s="307"/>
      <c r="Y368" s="307"/>
      <c r="Z368" s="307"/>
      <c r="AA368" s="307"/>
      <c r="AB368" s="307"/>
      <c r="AC368" s="307"/>
      <c r="AD368" s="307"/>
      <c r="AE368" s="307"/>
      <c r="AF368" s="307"/>
      <c r="AG368" s="307"/>
      <c r="AH368" s="307"/>
      <c r="AI368" s="307"/>
      <c r="AJ368" s="307"/>
      <c r="AK368" s="307"/>
      <c r="AL368" s="307"/>
      <c r="AM368" s="307"/>
      <c r="AN368" s="307"/>
      <c r="AO368" s="307"/>
      <c r="AP368" s="307"/>
      <c r="AQ368" s="307"/>
      <c r="AR368" s="307"/>
      <c r="AS368" s="307"/>
      <c r="AT368" s="307"/>
      <c r="AU368" s="307"/>
      <c r="AV368" s="307"/>
      <c r="AW368" s="307"/>
      <c r="AX368" s="307"/>
      <c r="AY368" s="307"/>
      <c r="AZ368" s="307"/>
      <c r="BA368" s="307"/>
      <c r="BB368" s="307"/>
      <c r="BC368" s="307"/>
      <c r="BD368" s="307"/>
      <c r="BE368" s="307"/>
      <c r="BF368" s="307"/>
      <c r="BG368" s="307"/>
      <c r="BH368" s="307"/>
      <c r="BI368" s="307"/>
      <c r="BJ368" s="307"/>
      <c r="BK368" s="307"/>
      <c r="BL368" s="307"/>
      <c r="BM368" s="307"/>
      <c r="BN368" s="307"/>
      <c r="BO368" s="307"/>
      <c r="BP368" s="307"/>
      <c r="BQ368" s="307"/>
      <c r="BR368" s="307"/>
      <c r="BS368" s="307"/>
      <c r="BT368" s="307"/>
      <c r="BU368" s="307"/>
      <c r="BV368" s="307"/>
      <c r="BW368" s="307"/>
      <c r="BX368" s="307"/>
      <c r="BY368" s="307"/>
      <c r="BZ368" s="307"/>
      <c r="CA368" s="307"/>
      <c r="CB368" s="307"/>
      <c r="CC368" s="307"/>
      <c r="CD368" s="307"/>
      <c r="CE368" s="307"/>
      <c r="CF368" s="307"/>
    </row>
    <row r="369" spans="4:84">
      <c r="D369" s="307"/>
      <c r="E369" s="307"/>
      <c r="F369" s="307"/>
      <c r="G369" s="307"/>
      <c r="H369" s="307"/>
      <c r="I369" s="307"/>
      <c r="J369" s="307"/>
      <c r="K369" s="307"/>
      <c r="L369" s="307"/>
      <c r="M369" s="307"/>
      <c r="N369" s="307"/>
      <c r="O369" s="307"/>
      <c r="P369" s="307"/>
      <c r="Q369" s="307"/>
      <c r="R369" s="307"/>
      <c r="S369" s="307"/>
      <c r="T369" s="307"/>
      <c r="U369" s="307"/>
      <c r="V369" s="307"/>
      <c r="W369" s="307"/>
      <c r="X369" s="307"/>
      <c r="Y369" s="307"/>
      <c r="Z369" s="307"/>
      <c r="AA369" s="307"/>
      <c r="AB369" s="307"/>
      <c r="AC369" s="307"/>
      <c r="AD369" s="307"/>
      <c r="AE369" s="307"/>
      <c r="AF369" s="307"/>
      <c r="AG369" s="307"/>
      <c r="AH369" s="307"/>
      <c r="AI369" s="307"/>
      <c r="AJ369" s="307"/>
      <c r="AK369" s="307"/>
      <c r="AL369" s="307"/>
      <c r="AM369" s="307"/>
      <c r="AN369" s="307"/>
      <c r="AO369" s="307"/>
      <c r="AP369" s="307"/>
      <c r="AQ369" s="307"/>
      <c r="AR369" s="307"/>
      <c r="AS369" s="307"/>
      <c r="AT369" s="307"/>
      <c r="AU369" s="307"/>
      <c r="AV369" s="307"/>
      <c r="AW369" s="307"/>
      <c r="AX369" s="307"/>
      <c r="AY369" s="307"/>
      <c r="AZ369" s="307"/>
      <c r="BA369" s="307"/>
      <c r="BB369" s="307"/>
      <c r="BC369" s="307"/>
      <c r="BD369" s="307"/>
      <c r="BE369" s="307"/>
      <c r="BF369" s="307"/>
      <c r="BG369" s="307"/>
      <c r="BH369" s="307"/>
      <c r="BI369" s="307"/>
      <c r="BJ369" s="307"/>
      <c r="BK369" s="307"/>
      <c r="BL369" s="307"/>
      <c r="BM369" s="307"/>
      <c r="BN369" s="307"/>
      <c r="BO369" s="307"/>
      <c r="BP369" s="307"/>
      <c r="BQ369" s="307"/>
      <c r="BR369" s="307"/>
      <c r="BS369" s="307"/>
      <c r="BT369" s="307"/>
      <c r="BU369" s="307"/>
      <c r="BV369" s="307"/>
      <c r="BW369" s="307"/>
      <c r="BX369" s="307"/>
      <c r="BY369" s="307"/>
      <c r="BZ369" s="307"/>
      <c r="CA369" s="307"/>
      <c r="CB369" s="307"/>
      <c r="CC369" s="307"/>
      <c r="CD369" s="307"/>
      <c r="CE369" s="307"/>
      <c r="CF369" s="307"/>
    </row>
    <row r="370" spans="4:84">
      <c r="D370" s="307"/>
      <c r="E370" s="307"/>
      <c r="F370" s="307"/>
      <c r="G370" s="307"/>
      <c r="H370" s="307"/>
      <c r="I370" s="307"/>
      <c r="J370" s="307"/>
      <c r="K370" s="307"/>
      <c r="L370" s="307"/>
      <c r="M370" s="307"/>
      <c r="N370" s="307"/>
      <c r="O370" s="307"/>
      <c r="P370" s="307"/>
      <c r="Q370" s="307"/>
      <c r="R370" s="307"/>
      <c r="S370" s="307"/>
      <c r="T370" s="307"/>
      <c r="U370" s="307"/>
      <c r="V370" s="307"/>
      <c r="W370" s="307"/>
      <c r="X370" s="307"/>
      <c r="Y370" s="307"/>
      <c r="Z370" s="307"/>
      <c r="AA370" s="307"/>
      <c r="AB370" s="307"/>
      <c r="AC370" s="307"/>
      <c r="AD370" s="307"/>
      <c r="AE370" s="307"/>
      <c r="AF370" s="307"/>
      <c r="AG370" s="307"/>
      <c r="AH370" s="307"/>
      <c r="AI370" s="307"/>
      <c r="AJ370" s="307"/>
      <c r="AK370" s="307"/>
      <c r="AL370" s="307"/>
      <c r="AM370" s="307"/>
      <c r="AN370" s="307"/>
      <c r="AO370" s="307"/>
      <c r="AP370" s="307"/>
      <c r="AQ370" s="307"/>
      <c r="AR370" s="307"/>
      <c r="AS370" s="307"/>
      <c r="AT370" s="307"/>
      <c r="AU370" s="307"/>
      <c r="AV370" s="307"/>
      <c r="AW370" s="307"/>
      <c r="AX370" s="307"/>
      <c r="AY370" s="307"/>
      <c r="AZ370" s="307"/>
      <c r="BA370" s="307"/>
      <c r="BB370" s="307"/>
      <c r="BC370" s="307"/>
      <c r="BD370" s="307"/>
      <c r="BE370" s="307"/>
      <c r="BF370" s="307"/>
      <c r="BG370" s="307"/>
      <c r="BH370" s="307"/>
      <c r="BI370" s="307"/>
      <c r="BJ370" s="307"/>
      <c r="BK370" s="307"/>
      <c r="BL370" s="307"/>
      <c r="BM370" s="307"/>
      <c r="BN370" s="307"/>
      <c r="BO370" s="307"/>
      <c r="BP370" s="307"/>
      <c r="BQ370" s="307"/>
      <c r="BR370" s="307"/>
      <c r="BS370" s="307"/>
      <c r="BT370" s="307"/>
      <c r="BU370" s="307"/>
      <c r="BV370" s="307"/>
      <c r="BW370" s="307"/>
      <c r="BX370" s="307"/>
      <c r="BY370" s="307"/>
      <c r="BZ370" s="307"/>
      <c r="CA370" s="307"/>
      <c r="CB370" s="307"/>
      <c r="CC370" s="307"/>
      <c r="CD370" s="307"/>
      <c r="CE370" s="307"/>
      <c r="CF370" s="307"/>
    </row>
    <row r="371" spans="4:84">
      <c r="D371" s="307"/>
      <c r="E371" s="307"/>
      <c r="F371" s="307"/>
      <c r="G371" s="307"/>
      <c r="H371" s="307"/>
      <c r="I371" s="307"/>
      <c r="J371" s="307"/>
      <c r="K371" s="307"/>
      <c r="L371" s="307"/>
      <c r="M371" s="307"/>
      <c r="N371" s="307"/>
      <c r="O371" s="307"/>
      <c r="P371" s="307"/>
      <c r="Q371" s="307"/>
      <c r="R371" s="307"/>
      <c r="S371" s="307"/>
      <c r="T371" s="307"/>
      <c r="U371" s="307"/>
      <c r="V371" s="307"/>
      <c r="W371" s="307"/>
      <c r="X371" s="307"/>
      <c r="Y371" s="307"/>
      <c r="Z371" s="307"/>
      <c r="AA371" s="307"/>
      <c r="AB371" s="307"/>
      <c r="AC371" s="307"/>
      <c r="AD371" s="307"/>
      <c r="AE371" s="307"/>
      <c r="AF371" s="307"/>
      <c r="AG371" s="307"/>
      <c r="AH371" s="307"/>
      <c r="AI371" s="307"/>
      <c r="AJ371" s="307"/>
      <c r="AK371" s="307"/>
      <c r="AL371" s="307"/>
      <c r="AM371" s="307"/>
      <c r="AN371" s="307"/>
      <c r="AO371" s="307"/>
      <c r="AP371" s="307"/>
      <c r="AQ371" s="307"/>
      <c r="AR371" s="307"/>
      <c r="AS371" s="307"/>
      <c r="AT371" s="307"/>
      <c r="AU371" s="307"/>
      <c r="AV371" s="307"/>
      <c r="AW371" s="307"/>
      <c r="AX371" s="307"/>
      <c r="AY371" s="307"/>
      <c r="AZ371" s="307"/>
      <c r="BA371" s="307"/>
      <c r="BB371" s="307"/>
      <c r="BC371" s="307"/>
      <c r="BD371" s="307"/>
      <c r="BE371" s="307"/>
      <c r="BF371" s="307"/>
      <c r="BG371" s="307"/>
      <c r="BH371" s="307"/>
      <c r="BI371" s="307"/>
      <c r="BJ371" s="307"/>
      <c r="BK371" s="307"/>
      <c r="BL371" s="307"/>
      <c r="BM371" s="307"/>
      <c r="BN371" s="307"/>
      <c r="BO371" s="307"/>
      <c r="BP371" s="307"/>
      <c r="BQ371" s="307"/>
      <c r="BR371" s="307"/>
      <c r="BS371" s="307"/>
      <c r="BT371" s="307"/>
      <c r="BU371" s="307"/>
      <c r="BV371" s="307"/>
      <c r="BW371" s="307"/>
      <c r="BX371" s="307"/>
      <c r="BY371" s="307"/>
      <c r="BZ371" s="307"/>
      <c r="CA371" s="307"/>
      <c r="CB371" s="307"/>
      <c r="CC371" s="307"/>
      <c r="CD371" s="307"/>
      <c r="CE371" s="307"/>
      <c r="CF371" s="307"/>
    </row>
    <row r="372" spans="4:84">
      <c r="D372" s="307"/>
      <c r="E372" s="307"/>
      <c r="F372" s="307"/>
      <c r="G372" s="307"/>
      <c r="H372" s="307"/>
      <c r="I372" s="307"/>
      <c r="J372" s="307"/>
      <c r="K372" s="307"/>
      <c r="L372" s="307"/>
      <c r="M372" s="307"/>
      <c r="N372" s="307"/>
      <c r="O372" s="307"/>
      <c r="P372" s="307"/>
      <c r="Q372" s="307"/>
      <c r="R372" s="307"/>
      <c r="S372" s="307"/>
      <c r="T372" s="307"/>
      <c r="U372" s="307"/>
      <c r="V372" s="307"/>
      <c r="W372" s="307"/>
      <c r="X372" s="307"/>
      <c r="Y372" s="307"/>
      <c r="Z372" s="307"/>
      <c r="AA372" s="307"/>
      <c r="AB372" s="307"/>
      <c r="AC372" s="307"/>
      <c r="AD372" s="307"/>
      <c r="AE372" s="307"/>
      <c r="AF372" s="307"/>
      <c r="AG372" s="307"/>
      <c r="AH372" s="307"/>
      <c r="AI372" s="307"/>
      <c r="AJ372" s="307"/>
      <c r="AK372" s="307"/>
      <c r="AL372" s="307"/>
      <c r="AM372" s="307"/>
      <c r="AN372" s="307"/>
      <c r="AO372" s="307"/>
      <c r="AP372" s="307"/>
      <c r="AQ372" s="307"/>
      <c r="AR372" s="307"/>
      <c r="AS372" s="307"/>
      <c r="AT372" s="307"/>
      <c r="AU372" s="307"/>
      <c r="AV372" s="307"/>
      <c r="AW372" s="307"/>
      <c r="AX372" s="307"/>
      <c r="AY372" s="307"/>
      <c r="AZ372" s="307"/>
      <c r="BA372" s="307"/>
      <c r="BB372" s="307"/>
      <c r="BC372" s="307"/>
      <c r="BD372" s="307"/>
      <c r="BE372" s="307"/>
      <c r="BF372" s="307"/>
      <c r="BG372" s="307"/>
      <c r="BH372" s="307"/>
      <c r="BI372" s="307"/>
      <c r="BJ372" s="307"/>
      <c r="BK372" s="307"/>
      <c r="BL372" s="307"/>
      <c r="BM372" s="307"/>
      <c r="BN372" s="307"/>
      <c r="BO372" s="307"/>
      <c r="BP372" s="307"/>
      <c r="BQ372" s="307"/>
      <c r="BR372" s="307"/>
      <c r="BS372" s="307"/>
      <c r="BT372" s="307"/>
      <c r="BU372" s="307"/>
      <c r="BV372" s="307"/>
      <c r="BW372" s="307"/>
      <c r="BX372" s="307"/>
      <c r="BY372" s="307"/>
      <c r="BZ372" s="307"/>
      <c r="CA372" s="307"/>
      <c r="CB372" s="307"/>
      <c r="CC372" s="307"/>
      <c r="CD372" s="307"/>
      <c r="CE372" s="307"/>
      <c r="CF372" s="307"/>
    </row>
    <row r="373" spans="4:84">
      <c r="D373" s="307"/>
      <c r="E373" s="307"/>
      <c r="F373" s="307"/>
      <c r="G373" s="307"/>
      <c r="H373" s="307"/>
      <c r="I373" s="307"/>
      <c r="J373" s="307"/>
      <c r="K373" s="307"/>
      <c r="L373" s="307"/>
      <c r="M373" s="307"/>
      <c r="N373" s="307"/>
      <c r="O373" s="307"/>
      <c r="P373" s="307"/>
      <c r="Q373" s="307"/>
      <c r="R373" s="307"/>
      <c r="S373" s="307"/>
      <c r="T373" s="307"/>
      <c r="U373" s="307"/>
      <c r="V373" s="307"/>
      <c r="W373" s="307"/>
      <c r="X373" s="307"/>
      <c r="Y373" s="307"/>
      <c r="Z373" s="307"/>
      <c r="AA373" s="307"/>
      <c r="AB373" s="307"/>
      <c r="AC373" s="307"/>
      <c r="AD373" s="307"/>
      <c r="AE373" s="307"/>
      <c r="AF373" s="307"/>
      <c r="AG373" s="307"/>
      <c r="AH373" s="307"/>
      <c r="AI373" s="307"/>
      <c r="AJ373" s="307"/>
      <c r="AK373" s="307"/>
      <c r="AL373" s="307"/>
      <c r="AM373" s="307"/>
      <c r="AN373" s="307"/>
      <c r="AO373" s="307"/>
      <c r="AP373" s="307"/>
      <c r="AQ373" s="307"/>
      <c r="AR373" s="307"/>
      <c r="AS373" s="307"/>
      <c r="AT373" s="307"/>
      <c r="AU373" s="307"/>
      <c r="AV373" s="307"/>
      <c r="AW373" s="307"/>
      <c r="AX373" s="307"/>
      <c r="AY373" s="307"/>
      <c r="AZ373" s="307"/>
      <c r="BA373" s="307"/>
      <c r="BB373" s="307"/>
      <c r="BC373" s="307"/>
      <c r="BD373" s="307"/>
      <c r="BE373" s="307"/>
      <c r="BF373" s="307"/>
      <c r="BG373" s="307"/>
      <c r="BH373" s="307"/>
      <c r="BI373" s="307"/>
      <c r="BJ373" s="307"/>
      <c r="BK373" s="307"/>
      <c r="BL373" s="307"/>
      <c r="BM373" s="307"/>
      <c r="BN373" s="307"/>
      <c r="BO373" s="307"/>
      <c r="BP373" s="307"/>
      <c r="BQ373" s="307"/>
      <c r="BR373" s="307"/>
      <c r="BS373" s="307"/>
      <c r="BT373" s="307"/>
      <c r="BU373" s="307"/>
      <c r="BV373" s="307"/>
      <c r="BW373" s="307"/>
      <c r="BX373" s="307"/>
      <c r="BY373" s="307"/>
      <c r="BZ373" s="307"/>
      <c r="CA373" s="307"/>
      <c r="CB373" s="307"/>
      <c r="CC373" s="307"/>
      <c r="CD373" s="307"/>
      <c r="CE373" s="307"/>
      <c r="CF373" s="307"/>
    </row>
    <row r="374" spans="4:84">
      <c r="D374" s="307"/>
      <c r="E374" s="307"/>
      <c r="F374" s="307"/>
      <c r="G374" s="307"/>
      <c r="H374" s="307"/>
      <c r="I374" s="307"/>
      <c r="J374" s="307"/>
      <c r="K374" s="307"/>
      <c r="L374" s="307"/>
      <c r="M374" s="307"/>
      <c r="N374" s="307"/>
      <c r="O374" s="307"/>
      <c r="P374" s="307"/>
      <c r="Q374" s="307"/>
      <c r="R374" s="307"/>
      <c r="S374" s="307"/>
      <c r="T374" s="307"/>
      <c r="U374" s="307"/>
      <c r="V374" s="307"/>
      <c r="W374" s="307"/>
      <c r="X374" s="307"/>
      <c r="Y374" s="307"/>
      <c r="Z374" s="307"/>
      <c r="AA374" s="307"/>
      <c r="AB374" s="307"/>
      <c r="AC374" s="307"/>
      <c r="AD374" s="307"/>
      <c r="AE374" s="307"/>
      <c r="AF374" s="307"/>
      <c r="AG374" s="307"/>
      <c r="AH374" s="307"/>
      <c r="AI374" s="307"/>
      <c r="AJ374" s="307"/>
      <c r="AK374" s="307"/>
      <c r="AL374" s="307"/>
      <c r="AM374" s="307"/>
      <c r="AN374" s="307"/>
      <c r="AO374" s="307"/>
      <c r="AP374" s="307"/>
      <c r="AQ374" s="307"/>
      <c r="AR374" s="307"/>
      <c r="AS374" s="307"/>
      <c r="AT374" s="307"/>
      <c r="AU374" s="307"/>
      <c r="AV374" s="307"/>
      <c r="AW374" s="307"/>
      <c r="AX374" s="307"/>
      <c r="AY374" s="307"/>
      <c r="AZ374" s="307"/>
      <c r="BA374" s="307"/>
      <c r="BB374" s="307"/>
      <c r="BC374" s="307"/>
      <c r="BD374" s="307"/>
      <c r="BE374" s="307"/>
      <c r="BF374" s="307"/>
      <c r="BG374" s="307"/>
      <c r="BH374" s="307"/>
      <c r="BI374" s="307"/>
      <c r="BJ374" s="307"/>
      <c r="BK374" s="307"/>
      <c r="BL374" s="307"/>
      <c r="BM374" s="307"/>
      <c r="BN374" s="307"/>
      <c r="BO374" s="307"/>
      <c r="BP374" s="307"/>
      <c r="BQ374" s="307"/>
      <c r="BR374" s="307"/>
      <c r="BS374" s="307"/>
      <c r="BT374" s="307"/>
      <c r="BU374" s="307"/>
      <c r="BV374" s="307"/>
      <c r="BW374" s="307"/>
      <c r="BX374" s="307"/>
      <c r="BY374" s="307"/>
      <c r="BZ374" s="307"/>
      <c r="CA374" s="307"/>
      <c r="CB374" s="307"/>
      <c r="CC374" s="307"/>
      <c r="CD374" s="307"/>
      <c r="CE374" s="307"/>
      <c r="CF374" s="307"/>
    </row>
    <row r="375" spans="4:84">
      <c r="D375" s="307"/>
      <c r="E375" s="307"/>
      <c r="F375" s="307"/>
      <c r="G375" s="307"/>
      <c r="H375" s="307"/>
      <c r="I375" s="307"/>
      <c r="J375" s="307"/>
      <c r="K375" s="307"/>
      <c r="L375" s="307"/>
      <c r="M375" s="307"/>
      <c r="N375" s="307"/>
      <c r="O375" s="307"/>
      <c r="P375" s="307"/>
      <c r="Q375" s="307"/>
      <c r="R375" s="307"/>
      <c r="S375" s="307"/>
      <c r="T375" s="307"/>
      <c r="U375" s="307"/>
      <c r="V375" s="307"/>
      <c r="W375" s="307"/>
      <c r="X375" s="307"/>
      <c r="Y375" s="307"/>
      <c r="Z375" s="307"/>
      <c r="AA375" s="307"/>
      <c r="AB375" s="307"/>
      <c r="AC375" s="307"/>
      <c r="AD375" s="307"/>
      <c r="AE375" s="307"/>
      <c r="AF375" s="307"/>
      <c r="AG375" s="307"/>
      <c r="AH375" s="307"/>
      <c r="AI375" s="307"/>
      <c r="AJ375" s="307"/>
      <c r="AK375" s="307"/>
      <c r="AL375" s="307"/>
      <c r="AM375" s="307"/>
      <c r="AN375" s="307"/>
      <c r="AO375" s="307"/>
      <c r="AP375" s="307"/>
      <c r="AQ375" s="307"/>
      <c r="AR375" s="307"/>
      <c r="AS375" s="307"/>
      <c r="AT375" s="307"/>
      <c r="AU375" s="307"/>
      <c r="AV375" s="307"/>
      <c r="AW375" s="307"/>
      <c r="AX375" s="307"/>
      <c r="AY375" s="307"/>
      <c r="AZ375" s="307"/>
      <c r="BA375" s="307"/>
      <c r="BB375" s="307"/>
      <c r="BC375" s="307"/>
      <c r="BD375" s="307"/>
      <c r="BE375" s="307"/>
      <c r="BF375" s="307"/>
      <c r="BG375" s="307"/>
      <c r="BH375" s="307"/>
      <c r="BI375" s="307"/>
      <c r="BJ375" s="307"/>
      <c r="BK375" s="307"/>
      <c r="BL375" s="307"/>
      <c r="BM375" s="307"/>
      <c r="BN375" s="307"/>
      <c r="BO375" s="307"/>
      <c r="BP375" s="307"/>
      <c r="BQ375" s="307"/>
      <c r="BR375" s="307"/>
      <c r="BS375" s="307"/>
      <c r="BT375" s="307"/>
      <c r="BU375" s="307"/>
      <c r="BV375" s="307"/>
      <c r="BW375" s="307"/>
      <c r="BX375" s="307"/>
      <c r="BY375" s="307"/>
      <c r="BZ375" s="307"/>
      <c r="CA375" s="307"/>
      <c r="CB375" s="307"/>
      <c r="CC375" s="307"/>
      <c r="CD375" s="307"/>
      <c r="CE375" s="307"/>
      <c r="CF375" s="307"/>
    </row>
    <row r="376" spans="4:84">
      <c r="D376" s="307"/>
      <c r="E376" s="307"/>
      <c r="F376" s="307"/>
      <c r="G376" s="307"/>
      <c r="H376" s="307"/>
      <c r="I376" s="307"/>
      <c r="J376" s="307"/>
      <c r="K376" s="307"/>
      <c r="L376" s="307"/>
      <c r="M376" s="307"/>
      <c r="N376" s="307"/>
      <c r="O376" s="307"/>
      <c r="P376" s="307"/>
      <c r="Q376" s="307"/>
      <c r="R376" s="307"/>
      <c r="S376" s="307"/>
      <c r="T376" s="307"/>
      <c r="U376" s="307"/>
      <c r="V376" s="307"/>
      <c r="W376" s="307"/>
      <c r="X376" s="307"/>
      <c r="Y376" s="307"/>
      <c r="Z376" s="307"/>
      <c r="AA376" s="307"/>
      <c r="AB376" s="307"/>
      <c r="AC376" s="307"/>
      <c r="AD376" s="307"/>
      <c r="AE376" s="307"/>
      <c r="AF376" s="307"/>
      <c r="AG376" s="307"/>
      <c r="AH376" s="307"/>
      <c r="AI376" s="307"/>
      <c r="AJ376" s="307"/>
      <c r="AK376" s="307"/>
      <c r="AL376" s="307"/>
      <c r="AM376" s="307"/>
      <c r="AN376" s="307"/>
      <c r="AO376" s="307"/>
      <c r="AP376" s="307"/>
      <c r="AQ376" s="307"/>
      <c r="AR376" s="307"/>
      <c r="AS376" s="307"/>
      <c r="AT376" s="307"/>
      <c r="AU376" s="307"/>
      <c r="AV376" s="307"/>
      <c r="AW376" s="307"/>
      <c r="AX376" s="307"/>
      <c r="AY376" s="307"/>
      <c r="AZ376" s="307"/>
      <c r="BA376" s="307"/>
      <c r="BB376" s="307"/>
      <c r="BC376" s="307"/>
      <c r="BD376" s="307"/>
      <c r="BE376" s="307"/>
      <c r="BF376" s="307"/>
      <c r="BG376" s="307"/>
      <c r="BH376" s="307"/>
      <c r="BI376" s="307"/>
      <c r="BJ376" s="307"/>
      <c r="BK376" s="307"/>
      <c r="BL376" s="307"/>
      <c r="BM376" s="307"/>
      <c r="BN376" s="307"/>
      <c r="BO376" s="307"/>
      <c r="BP376" s="307"/>
      <c r="BQ376" s="307"/>
      <c r="BR376" s="307"/>
      <c r="BS376" s="307"/>
      <c r="BT376" s="307"/>
      <c r="BU376" s="307"/>
      <c r="BV376" s="307"/>
      <c r="BW376" s="307"/>
      <c r="BX376" s="307"/>
      <c r="BY376" s="307"/>
      <c r="BZ376" s="307"/>
      <c r="CA376" s="307"/>
      <c r="CB376" s="307"/>
      <c r="CC376" s="307"/>
      <c r="CD376" s="307"/>
      <c r="CE376" s="307"/>
      <c r="CF376" s="307"/>
    </row>
    <row r="377" spans="4:84">
      <c r="D377" s="307"/>
      <c r="E377" s="307"/>
      <c r="F377" s="307"/>
      <c r="G377" s="307"/>
      <c r="H377" s="307"/>
      <c r="I377" s="307"/>
      <c r="J377" s="307"/>
      <c r="K377" s="307"/>
      <c r="L377" s="307"/>
      <c r="M377" s="307"/>
      <c r="N377" s="307"/>
      <c r="O377" s="307"/>
      <c r="P377" s="307"/>
      <c r="Q377" s="307"/>
      <c r="R377" s="307"/>
      <c r="S377" s="307"/>
      <c r="T377" s="307"/>
      <c r="U377" s="307"/>
      <c r="V377" s="307"/>
      <c r="W377" s="307"/>
      <c r="X377" s="307"/>
      <c r="Y377" s="307"/>
      <c r="Z377" s="307"/>
      <c r="AA377" s="307"/>
      <c r="AB377" s="307"/>
      <c r="AC377" s="307"/>
      <c r="AD377" s="307"/>
      <c r="AE377" s="307"/>
      <c r="AF377" s="307"/>
      <c r="AG377" s="307"/>
      <c r="AH377" s="307"/>
      <c r="AI377" s="307"/>
      <c r="AJ377" s="307"/>
      <c r="AK377" s="307"/>
      <c r="AL377" s="307"/>
      <c r="AM377" s="307"/>
      <c r="AN377" s="307"/>
      <c r="AO377" s="307"/>
      <c r="AP377" s="307"/>
      <c r="AQ377" s="307"/>
      <c r="AR377" s="307"/>
      <c r="AS377" s="307"/>
      <c r="AT377" s="307"/>
      <c r="AU377" s="307"/>
      <c r="AV377" s="307"/>
      <c r="AW377" s="307"/>
      <c r="AX377" s="307"/>
      <c r="AY377" s="307"/>
      <c r="AZ377" s="307"/>
      <c r="BA377" s="307"/>
      <c r="BB377" s="307"/>
      <c r="BC377" s="307"/>
      <c r="BD377" s="307"/>
      <c r="BE377" s="307"/>
      <c r="BF377" s="307"/>
      <c r="BG377" s="307"/>
      <c r="BH377" s="307"/>
      <c r="BI377" s="307"/>
      <c r="BJ377" s="307"/>
      <c r="BK377" s="307"/>
      <c r="BL377" s="307"/>
      <c r="BM377" s="307"/>
      <c r="BN377" s="307"/>
      <c r="BO377" s="307"/>
      <c r="BP377" s="307"/>
      <c r="BQ377" s="307"/>
      <c r="BR377" s="307"/>
      <c r="BS377" s="307"/>
      <c r="BT377" s="307"/>
      <c r="BU377" s="307"/>
      <c r="BV377" s="307"/>
      <c r="BW377" s="307"/>
      <c r="BX377" s="307"/>
      <c r="BY377" s="307"/>
      <c r="BZ377" s="307"/>
      <c r="CA377" s="307"/>
      <c r="CB377" s="307"/>
      <c r="CC377" s="307"/>
      <c r="CD377" s="307"/>
      <c r="CE377" s="307"/>
      <c r="CF377" s="307"/>
    </row>
    <row r="378" spans="4:84">
      <c r="D378" s="307"/>
      <c r="E378" s="307"/>
      <c r="F378" s="307"/>
      <c r="G378" s="307"/>
      <c r="H378" s="307"/>
      <c r="I378" s="307"/>
      <c r="J378" s="307"/>
      <c r="K378" s="307"/>
      <c r="L378" s="307"/>
      <c r="M378" s="307"/>
      <c r="N378" s="307"/>
      <c r="O378" s="307"/>
      <c r="P378" s="307"/>
      <c r="Q378" s="307"/>
      <c r="R378" s="307"/>
      <c r="S378" s="307"/>
      <c r="T378" s="307"/>
      <c r="U378" s="307"/>
      <c r="V378" s="307"/>
      <c r="W378" s="307"/>
      <c r="X378" s="307"/>
      <c r="Y378" s="307"/>
      <c r="Z378" s="307"/>
      <c r="AA378" s="307"/>
      <c r="AB378" s="307"/>
      <c r="AC378" s="307"/>
      <c r="AD378" s="307"/>
      <c r="AE378" s="307"/>
      <c r="AF378" s="307"/>
      <c r="AG378" s="307"/>
      <c r="AH378" s="307"/>
      <c r="AI378" s="307"/>
      <c r="AJ378" s="307"/>
      <c r="AK378" s="307"/>
      <c r="AL378" s="307"/>
      <c r="AM378" s="307"/>
      <c r="AN378" s="307"/>
      <c r="AO378" s="307"/>
      <c r="AP378" s="307"/>
      <c r="AQ378" s="307"/>
      <c r="AR378" s="307"/>
      <c r="AS378" s="307"/>
      <c r="AT378" s="307"/>
      <c r="AU378" s="307"/>
      <c r="AV378" s="307"/>
      <c r="AW378" s="307"/>
      <c r="AX378" s="307"/>
      <c r="AY378" s="307"/>
      <c r="AZ378" s="307"/>
      <c r="BA378" s="307"/>
      <c r="BB378" s="307"/>
      <c r="BC378" s="307"/>
      <c r="BD378" s="307"/>
      <c r="BE378" s="307"/>
      <c r="BF378" s="307"/>
      <c r="BG378" s="307"/>
      <c r="BH378" s="307"/>
      <c r="BI378" s="307"/>
      <c r="BJ378" s="307"/>
      <c r="BK378" s="307"/>
      <c r="BL378" s="307"/>
      <c r="BM378" s="307"/>
      <c r="BN378" s="307"/>
      <c r="BO378" s="307"/>
      <c r="BP378" s="307"/>
      <c r="BQ378" s="307"/>
      <c r="BR378" s="307"/>
      <c r="BS378" s="307"/>
      <c r="BT378" s="307"/>
      <c r="BU378" s="307"/>
      <c r="BV378" s="307"/>
      <c r="BW378" s="307"/>
      <c r="BX378" s="307"/>
      <c r="BY378" s="307"/>
      <c r="BZ378" s="307"/>
      <c r="CA378" s="307"/>
      <c r="CB378" s="307"/>
      <c r="CC378" s="307"/>
      <c r="CD378" s="307"/>
      <c r="CE378" s="307"/>
      <c r="CF378" s="307"/>
    </row>
    <row r="379" spans="4:84">
      <c r="D379" s="307"/>
      <c r="E379" s="307"/>
      <c r="F379" s="307"/>
      <c r="G379" s="307"/>
      <c r="H379" s="307"/>
      <c r="I379" s="307"/>
      <c r="J379" s="307"/>
      <c r="K379" s="307"/>
      <c r="L379" s="307"/>
      <c r="M379" s="307"/>
      <c r="N379" s="307"/>
      <c r="O379" s="307"/>
      <c r="P379" s="307"/>
      <c r="Q379" s="307"/>
      <c r="R379" s="307"/>
      <c r="S379" s="307"/>
      <c r="T379" s="307"/>
      <c r="U379" s="307"/>
      <c r="V379" s="307"/>
      <c r="W379" s="307"/>
      <c r="X379" s="307"/>
      <c r="Y379" s="307"/>
      <c r="Z379" s="307"/>
      <c r="AA379" s="307"/>
      <c r="AB379" s="307"/>
      <c r="AC379" s="307"/>
      <c r="AD379" s="307"/>
      <c r="AE379" s="307"/>
      <c r="AF379" s="307"/>
      <c r="AG379" s="307"/>
      <c r="AH379" s="307"/>
      <c r="AI379" s="307"/>
      <c r="AJ379" s="307"/>
      <c r="AK379" s="307"/>
      <c r="AL379" s="307"/>
      <c r="AM379" s="307"/>
      <c r="AN379" s="307"/>
      <c r="AO379" s="307"/>
      <c r="AP379" s="307"/>
      <c r="AQ379" s="307"/>
      <c r="AR379" s="307"/>
      <c r="AS379" s="307"/>
      <c r="AT379" s="307"/>
      <c r="AU379" s="307"/>
      <c r="AV379" s="307"/>
      <c r="AW379" s="307"/>
      <c r="AX379" s="307"/>
      <c r="AY379" s="307"/>
      <c r="AZ379" s="307"/>
      <c r="BA379" s="307"/>
      <c r="BB379" s="307"/>
      <c r="BC379" s="307"/>
      <c r="BD379" s="307"/>
      <c r="BE379" s="307"/>
      <c r="BF379" s="307"/>
      <c r="BG379" s="307"/>
      <c r="BH379" s="307"/>
      <c r="BI379" s="307"/>
      <c r="BJ379" s="307"/>
      <c r="BK379" s="307"/>
      <c r="BL379" s="307"/>
      <c r="BM379" s="307"/>
      <c r="BN379" s="307"/>
      <c r="BO379" s="307"/>
      <c r="BP379" s="307"/>
      <c r="BQ379" s="307"/>
      <c r="BR379" s="307"/>
      <c r="BS379" s="307"/>
      <c r="BT379" s="307"/>
      <c r="BU379" s="307"/>
      <c r="BV379" s="307"/>
      <c r="BW379" s="307"/>
      <c r="BX379" s="307"/>
      <c r="BY379" s="307"/>
      <c r="BZ379" s="307"/>
      <c r="CA379" s="307"/>
      <c r="CB379" s="307"/>
      <c r="CC379" s="307"/>
      <c r="CD379" s="307"/>
      <c r="CE379" s="307"/>
      <c r="CF379" s="307"/>
    </row>
    <row r="380" spans="4:84">
      <c r="D380" s="307"/>
      <c r="E380" s="307"/>
      <c r="F380" s="307"/>
      <c r="G380" s="307"/>
      <c r="H380" s="307"/>
      <c r="I380" s="307"/>
      <c r="J380" s="307"/>
      <c r="K380" s="307"/>
      <c r="L380" s="307"/>
      <c r="M380" s="307"/>
      <c r="N380" s="307"/>
      <c r="O380" s="307"/>
      <c r="P380" s="307"/>
      <c r="Q380" s="307"/>
      <c r="R380" s="307"/>
      <c r="S380" s="307"/>
      <c r="T380" s="307"/>
      <c r="U380" s="307"/>
      <c r="V380" s="307"/>
      <c r="W380" s="307"/>
      <c r="X380" s="307"/>
      <c r="Y380" s="307"/>
      <c r="Z380" s="307"/>
      <c r="AA380" s="307"/>
      <c r="AB380" s="307"/>
      <c r="AC380" s="307"/>
      <c r="AD380" s="307"/>
      <c r="AE380" s="307"/>
      <c r="AF380" s="307"/>
      <c r="AG380" s="307"/>
      <c r="AH380" s="307"/>
      <c r="AI380" s="307"/>
      <c r="AJ380" s="307"/>
      <c r="AK380" s="307"/>
      <c r="AL380" s="307"/>
      <c r="AM380" s="307"/>
      <c r="AN380" s="307"/>
      <c r="AO380" s="307"/>
      <c r="AP380" s="307"/>
      <c r="AQ380" s="307"/>
      <c r="AR380" s="307"/>
      <c r="AS380" s="307"/>
      <c r="AT380" s="307"/>
      <c r="AU380" s="307"/>
      <c r="AV380" s="307"/>
      <c r="AW380" s="307"/>
      <c r="AX380" s="307"/>
      <c r="AY380" s="307"/>
      <c r="AZ380" s="307"/>
      <c r="BA380" s="307"/>
      <c r="BB380" s="307"/>
      <c r="BC380" s="307"/>
      <c r="BD380" s="307"/>
      <c r="BE380" s="307"/>
      <c r="BF380" s="307"/>
      <c r="BG380" s="307"/>
      <c r="BH380" s="307"/>
      <c r="BI380" s="307"/>
      <c r="BJ380" s="307"/>
      <c r="BK380" s="307"/>
      <c r="BL380" s="307"/>
      <c r="BM380" s="307"/>
      <c r="BN380" s="307"/>
      <c r="BO380" s="307"/>
      <c r="BP380" s="307"/>
      <c r="BQ380" s="307"/>
      <c r="BR380" s="307"/>
      <c r="BS380" s="307"/>
      <c r="BT380" s="307"/>
      <c r="BU380" s="307"/>
      <c r="BV380" s="307"/>
      <c r="BW380" s="307"/>
      <c r="BX380" s="307"/>
      <c r="BY380" s="307"/>
      <c r="BZ380" s="307"/>
      <c r="CA380" s="307"/>
      <c r="CB380" s="307"/>
      <c r="CC380" s="307"/>
      <c r="CD380" s="307"/>
      <c r="CE380" s="307"/>
      <c r="CF380" s="307"/>
    </row>
    <row r="381" spans="4:84">
      <c r="D381" s="307"/>
      <c r="E381" s="307"/>
      <c r="F381" s="307"/>
      <c r="G381" s="307"/>
      <c r="H381" s="307"/>
      <c r="I381" s="307"/>
      <c r="J381" s="307"/>
      <c r="K381" s="307"/>
      <c r="L381" s="307"/>
      <c r="M381" s="307"/>
      <c r="N381" s="307"/>
      <c r="O381" s="307"/>
      <c r="P381" s="307"/>
      <c r="Q381" s="307"/>
      <c r="R381" s="307"/>
      <c r="S381" s="307"/>
      <c r="T381" s="307"/>
      <c r="U381" s="307"/>
      <c r="V381" s="307"/>
      <c r="W381" s="307"/>
      <c r="X381" s="307"/>
      <c r="Y381" s="307"/>
      <c r="Z381" s="307"/>
      <c r="AA381" s="307"/>
      <c r="AB381" s="307"/>
      <c r="AC381" s="307"/>
      <c r="AD381" s="307"/>
      <c r="AE381" s="307"/>
      <c r="AF381" s="307"/>
      <c r="AG381" s="307"/>
      <c r="AH381" s="307"/>
      <c r="AI381" s="307"/>
      <c r="AJ381" s="307"/>
      <c r="AK381" s="307"/>
      <c r="AL381" s="307"/>
      <c r="AM381" s="307"/>
      <c r="AN381" s="307"/>
      <c r="AO381" s="307"/>
      <c r="AP381" s="307"/>
      <c r="AQ381" s="307"/>
      <c r="AR381" s="307"/>
      <c r="AS381" s="307"/>
      <c r="AT381" s="307"/>
      <c r="AU381" s="307"/>
      <c r="AV381" s="307"/>
      <c r="AW381" s="307"/>
      <c r="AX381" s="307"/>
      <c r="AY381" s="307"/>
      <c r="AZ381" s="307"/>
      <c r="BA381" s="307"/>
      <c r="BB381" s="307"/>
      <c r="BC381" s="307"/>
      <c r="BD381" s="307"/>
      <c r="BE381" s="307"/>
      <c r="BF381" s="307"/>
      <c r="BG381" s="307"/>
      <c r="BH381" s="307"/>
      <c r="BI381" s="307"/>
      <c r="BJ381" s="307"/>
      <c r="BK381" s="307"/>
      <c r="BL381" s="307"/>
      <c r="BM381" s="307"/>
      <c r="BN381" s="307"/>
      <c r="BO381" s="307"/>
      <c r="BP381" s="307"/>
      <c r="BQ381" s="307"/>
      <c r="BR381" s="307"/>
      <c r="BS381" s="307"/>
      <c r="BT381" s="307"/>
      <c r="BU381" s="307"/>
      <c r="BV381" s="307"/>
      <c r="BW381" s="307"/>
      <c r="BX381" s="307"/>
      <c r="BY381" s="307"/>
      <c r="BZ381" s="307"/>
      <c r="CA381" s="307"/>
      <c r="CB381" s="307"/>
      <c r="CC381" s="307"/>
      <c r="CD381" s="307"/>
      <c r="CE381" s="307"/>
      <c r="CF381" s="307"/>
    </row>
    <row r="382" spans="4:84">
      <c r="D382" s="307"/>
      <c r="E382" s="307"/>
      <c r="F382" s="307"/>
      <c r="G382" s="307"/>
      <c r="H382" s="307"/>
      <c r="I382" s="307"/>
      <c r="J382" s="307"/>
      <c r="K382" s="307"/>
      <c r="L382" s="307"/>
      <c r="M382" s="307"/>
      <c r="N382" s="307"/>
      <c r="O382" s="307"/>
      <c r="P382" s="307"/>
      <c r="Q382" s="307"/>
      <c r="R382" s="307"/>
      <c r="S382" s="307"/>
      <c r="T382" s="307"/>
      <c r="U382" s="307"/>
      <c r="V382" s="307"/>
      <c r="W382" s="307"/>
      <c r="X382" s="307"/>
      <c r="Y382" s="307"/>
      <c r="Z382" s="307"/>
      <c r="AA382" s="307"/>
      <c r="AB382" s="307"/>
      <c r="AC382" s="307"/>
      <c r="AD382" s="307"/>
      <c r="AE382" s="307"/>
      <c r="AF382" s="307"/>
      <c r="AG382" s="307"/>
      <c r="AH382" s="307"/>
      <c r="AI382" s="307"/>
      <c r="AJ382" s="307"/>
      <c r="AK382" s="307"/>
      <c r="AL382" s="307"/>
      <c r="AM382" s="307"/>
      <c r="AN382" s="307"/>
      <c r="AO382" s="307"/>
      <c r="AP382" s="307"/>
      <c r="AQ382" s="307"/>
      <c r="AR382" s="307"/>
      <c r="AS382" s="307"/>
      <c r="AT382" s="307"/>
      <c r="AU382" s="307"/>
      <c r="AV382" s="307"/>
      <c r="AW382" s="307"/>
      <c r="AX382" s="307"/>
      <c r="AY382" s="307"/>
      <c r="AZ382" s="307"/>
      <c r="BA382" s="307"/>
      <c r="BB382" s="307"/>
      <c r="BC382" s="307"/>
      <c r="BD382" s="307"/>
      <c r="BE382" s="307"/>
      <c r="BF382" s="307"/>
      <c r="BG382" s="307"/>
      <c r="BH382" s="307"/>
      <c r="BI382" s="307"/>
      <c r="BJ382" s="307"/>
      <c r="BK382" s="307"/>
      <c r="BL382" s="307"/>
      <c r="BM382" s="307"/>
      <c r="BN382" s="307"/>
      <c r="BO382" s="307"/>
      <c r="BP382" s="307"/>
      <c r="BQ382" s="307"/>
      <c r="BR382" s="307"/>
      <c r="BS382" s="307"/>
      <c r="BT382" s="307"/>
      <c r="BU382" s="307"/>
      <c r="BV382" s="307"/>
      <c r="BW382" s="307"/>
      <c r="BX382" s="307"/>
      <c r="BY382" s="307"/>
      <c r="BZ382" s="307"/>
      <c r="CA382" s="307"/>
      <c r="CB382" s="307"/>
      <c r="CC382" s="307"/>
      <c r="CD382" s="307"/>
      <c r="CE382" s="307"/>
      <c r="CF382" s="307"/>
    </row>
    <row r="383" spans="4:84">
      <c r="D383" s="307"/>
      <c r="E383" s="307"/>
      <c r="F383" s="307"/>
      <c r="G383" s="307"/>
      <c r="H383" s="307"/>
      <c r="I383" s="307"/>
      <c r="J383" s="307"/>
      <c r="K383" s="307"/>
      <c r="L383" s="307"/>
      <c r="M383" s="307"/>
      <c r="N383" s="307"/>
      <c r="O383" s="307"/>
      <c r="P383" s="307"/>
      <c r="Q383" s="307"/>
      <c r="R383" s="307"/>
      <c r="S383" s="307"/>
      <c r="T383" s="307"/>
      <c r="U383" s="307"/>
      <c r="V383" s="307"/>
      <c r="W383" s="307"/>
      <c r="X383" s="307"/>
      <c r="Y383" s="307"/>
      <c r="Z383" s="307"/>
      <c r="AA383" s="307"/>
      <c r="AB383" s="307"/>
      <c r="AC383" s="307"/>
      <c r="AD383" s="307"/>
      <c r="AE383" s="307"/>
      <c r="AF383" s="307"/>
      <c r="AG383" s="307"/>
      <c r="AH383" s="307"/>
      <c r="AI383" s="307"/>
      <c r="AJ383" s="307"/>
      <c r="AK383" s="307"/>
      <c r="AL383" s="307"/>
      <c r="AM383" s="307"/>
      <c r="AN383" s="307"/>
      <c r="AO383" s="307"/>
      <c r="AP383" s="307"/>
      <c r="AQ383" s="307"/>
      <c r="AR383" s="307"/>
      <c r="AS383" s="307"/>
      <c r="AT383" s="307"/>
      <c r="AU383" s="307"/>
      <c r="AV383" s="307"/>
      <c r="AW383" s="307"/>
      <c r="AX383" s="307"/>
      <c r="AY383" s="307"/>
      <c r="AZ383" s="307"/>
      <c r="BA383" s="307"/>
      <c r="BB383" s="307"/>
      <c r="BC383" s="307"/>
      <c r="BD383" s="307"/>
      <c r="BE383" s="307"/>
      <c r="BF383" s="307"/>
      <c r="BG383" s="307"/>
      <c r="BH383" s="307"/>
      <c r="BI383" s="307"/>
      <c r="BJ383" s="307"/>
      <c r="BK383" s="307"/>
      <c r="BL383" s="307"/>
      <c r="BM383" s="307"/>
      <c r="BN383" s="307"/>
      <c r="BO383" s="307"/>
      <c r="BP383" s="307"/>
      <c r="BQ383" s="307"/>
      <c r="BR383" s="307"/>
      <c r="BS383" s="307"/>
      <c r="BT383" s="307"/>
      <c r="BU383" s="307"/>
      <c r="BV383" s="307"/>
      <c r="BW383" s="307"/>
      <c r="BX383" s="307"/>
      <c r="BY383" s="307"/>
      <c r="BZ383" s="307"/>
      <c r="CA383" s="307"/>
      <c r="CB383" s="307"/>
      <c r="CC383" s="307"/>
      <c r="CD383" s="307"/>
      <c r="CE383" s="307"/>
      <c r="CF383" s="307"/>
    </row>
    <row r="384" spans="4:84">
      <c r="D384" s="307"/>
      <c r="E384" s="307"/>
      <c r="F384" s="307"/>
      <c r="G384" s="307"/>
      <c r="H384" s="307"/>
      <c r="I384" s="307"/>
      <c r="J384" s="307"/>
      <c r="K384" s="307"/>
      <c r="L384" s="307"/>
      <c r="M384" s="307"/>
      <c r="N384" s="307"/>
      <c r="O384" s="307"/>
      <c r="P384" s="307"/>
      <c r="Q384" s="307"/>
      <c r="R384" s="307"/>
      <c r="S384" s="307"/>
      <c r="T384" s="307"/>
      <c r="U384" s="307"/>
      <c r="V384" s="307"/>
      <c r="W384" s="307"/>
      <c r="X384" s="307"/>
      <c r="Y384" s="307"/>
      <c r="Z384" s="307"/>
      <c r="AA384" s="307"/>
      <c r="AB384" s="307"/>
      <c r="AC384" s="307"/>
      <c r="AD384" s="307"/>
      <c r="AE384" s="307"/>
      <c r="AF384" s="307"/>
      <c r="AG384" s="307"/>
      <c r="AH384" s="307"/>
      <c r="AI384" s="307"/>
      <c r="AJ384" s="307"/>
      <c r="AK384" s="307"/>
      <c r="AL384" s="307"/>
      <c r="AM384" s="307"/>
      <c r="AN384" s="307"/>
      <c r="AO384" s="307"/>
      <c r="AP384" s="307"/>
      <c r="AQ384" s="307"/>
      <c r="AR384" s="307"/>
      <c r="AS384" s="307"/>
      <c r="AT384" s="307"/>
      <c r="AU384" s="307"/>
      <c r="AV384" s="307"/>
      <c r="AW384" s="307"/>
      <c r="AX384" s="307"/>
      <c r="AY384" s="307"/>
      <c r="AZ384" s="307"/>
      <c r="BA384" s="307"/>
      <c r="BB384" s="307"/>
      <c r="BC384" s="307"/>
      <c r="BD384" s="307"/>
      <c r="BE384" s="307"/>
      <c r="BF384" s="307"/>
      <c r="BG384" s="307"/>
      <c r="BH384" s="307"/>
      <c r="BI384" s="307"/>
      <c r="BJ384" s="307"/>
      <c r="BK384" s="307"/>
      <c r="BL384" s="307"/>
      <c r="BM384" s="307"/>
      <c r="BN384" s="307"/>
      <c r="BO384" s="307"/>
      <c r="BP384" s="307"/>
      <c r="BQ384" s="307"/>
      <c r="BR384" s="307"/>
      <c r="BS384" s="307"/>
      <c r="BT384" s="307"/>
      <c r="BU384" s="307"/>
      <c r="BV384" s="307"/>
      <c r="BW384" s="307"/>
      <c r="BX384" s="307"/>
      <c r="BY384" s="307"/>
      <c r="BZ384" s="307"/>
      <c r="CA384" s="307"/>
      <c r="CB384" s="307"/>
      <c r="CC384" s="307"/>
      <c r="CD384" s="307"/>
      <c r="CE384" s="307"/>
      <c r="CF384" s="307"/>
    </row>
    <row r="385" spans="4:84">
      <c r="D385" s="307"/>
      <c r="E385" s="307"/>
      <c r="F385" s="307"/>
      <c r="G385" s="307"/>
      <c r="H385" s="307"/>
      <c r="I385" s="307"/>
      <c r="J385" s="307"/>
      <c r="K385" s="307"/>
      <c r="L385" s="307"/>
      <c r="M385" s="307"/>
      <c r="N385" s="307"/>
      <c r="O385" s="307"/>
      <c r="P385" s="307"/>
      <c r="Q385" s="307"/>
      <c r="R385" s="307"/>
      <c r="S385" s="307"/>
      <c r="T385" s="307"/>
      <c r="U385" s="307"/>
      <c r="V385" s="307"/>
      <c r="W385" s="307"/>
      <c r="X385" s="307"/>
      <c r="Y385" s="307"/>
      <c r="Z385" s="307"/>
      <c r="AA385" s="307"/>
      <c r="AB385" s="307"/>
      <c r="AC385" s="307"/>
      <c r="AD385" s="307"/>
      <c r="AE385" s="307"/>
      <c r="AF385" s="307"/>
      <c r="AG385" s="307"/>
      <c r="AH385" s="307"/>
      <c r="AI385" s="307"/>
      <c r="AJ385" s="307"/>
      <c r="AK385" s="307"/>
      <c r="AL385" s="307"/>
      <c r="AM385" s="307"/>
      <c r="AN385" s="307"/>
      <c r="AO385" s="307"/>
      <c r="AP385" s="307"/>
      <c r="AQ385" s="307"/>
      <c r="AR385" s="307"/>
      <c r="AS385" s="307"/>
      <c r="AT385" s="307"/>
      <c r="AU385" s="307"/>
      <c r="AV385" s="307"/>
      <c r="AW385" s="307"/>
      <c r="AX385" s="307"/>
      <c r="AY385" s="307"/>
      <c r="AZ385" s="307"/>
      <c r="BA385" s="307"/>
      <c r="BB385" s="307"/>
      <c r="BC385" s="307"/>
      <c r="BD385" s="307"/>
      <c r="BE385" s="307"/>
      <c r="BF385" s="307"/>
      <c r="BG385" s="307"/>
      <c r="BH385" s="307"/>
      <c r="BI385" s="307"/>
      <c r="BJ385" s="307"/>
      <c r="BK385" s="307"/>
      <c r="BL385" s="307"/>
      <c r="BM385" s="307"/>
      <c r="BN385" s="307"/>
      <c r="BO385" s="307"/>
      <c r="BP385" s="307"/>
      <c r="BQ385" s="307"/>
      <c r="BR385" s="307"/>
      <c r="BS385" s="307"/>
      <c r="BT385" s="307"/>
      <c r="BU385" s="307"/>
      <c r="BV385" s="307"/>
      <c r="BW385" s="307"/>
      <c r="BX385" s="307"/>
      <c r="BY385" s="307"/>
      <c r="BZ385" s="307"/>
      <c r="CA385" s="307"/>
      <c r="CB385" s="307"/>
      <c r="CC385" s="307"/>
      <c r="CD385" s="307"/>
      <c r="CE385" s="307"/>
      <c r="CF385" s="307"/>
    </row>
    <row r="386" spans="4:84">
      <c r="D386" s="307"/>
      <c r="E386" s="307"/>
      <c r="F386" s="307"/>
      <c r="G386" s="307"/>
      <c r="H386" s="307"/>
      <c r="I386" s="307"/>
      <c r="J386" s="307"/>
      <c r="K386" s="307"/>
      <c r="L386" s="307"/>
      <c r="M386" s="307"/>
      <c r="N386" s="307"/>
      <c r="O386" s="307"/>
      <c r="P386" s="307"/>
      <c r="Q386" s="307"/>
      <c r="R386" s="307"/>
      <c r="S386" s="307"/>
      <c r="T386" s="307"/>
      <c r="U386" s="307"/>
      <c r="V386" s="307"/>
      <c r="W386" s="307"/>
      <c r="X386" s="307"/>
      <c r="Y386" s="307"/>
      <c r="Z386" s="307"/>
      <c r="AA386" s="307"/>
      <c r="AB386" s="307"/>
      <c r="AC386" s="307"/>
      <c r="AD386" s="307"/>
      <c r="AE386" s="307"/>
      <c r="AF386" s="307"/>
      <c r="AG386" s="307"/>
      <c r="AH386" s="307"/>
      <c r="AI386" s="307"/>
      <c r="AJ386" s="307"/>
      <c r="AK386" s="307"/>
      <c r="AL386" s="307"/>
      <c r="AM386" s="307"/>
      <c r="AN386" s="307"/>
      <c r="AO386" s="307"/>
      <c r="AP386" s="307"/>
      <c r="AQ386" s="307"/>
      <c r="AR386" s="307"/>
      <c r="AS386" s="307"/>
      <c r="AT386" s="307"/>
      <c r="AU386" s="307"/>
      <c r="AV386" s="307"/>
      <c r="AW386" s="307"/>
      <c r="AX386" s="307"/>
      <c r="AY386" s="307"/>
      <c r="AZ386" s="307"/>
      <c r="BA386" s="307"/>
      <c r="BB386" s="307"/>
      <c r="BC386" s="307"/>
      <c r="BD386" s="307"/>
      <c r="BE386" s="307"/>
      <c r="BF386" s="307"/>
      <c r="BG386" s="307"/>
      <c r="BH386" s="307"/>
      <c r="BI386" s="307"/>
      <c r="BJ386" s="307"/>
      <c r="BK386" s="307"/>
      <c r="BL386" s="307"/>
      <c r="BM386" s="307"/>
      <c r="BN386" s="307"/>
      <c r="BO386" s="307"/>
      <c r="BP386" s="307"/>
      <c r="BQ386" s="307"/>
      <c r="BR386" s="307"/>
      <c r="BS386" s="307"/>
      <c r="BT386" s="307"/>
      <c r="BU386" s="307"/>
      <c r="BV386" s="307"/>
      <c r="BW386" s="307"/>
      <c r="BX386" s="307"/>
      <c r="BY386" s="307"/>
      <c r="BZ386" s="307"/>
      <c r="CA386" s="307"/>
      <c r="CB386" s="307"/>
      <c r="CC386" s="307"/>
      <c r="CD386" s="307"/>
      <c r="CE386" s="307"/>
      <c r="CF386" s="307"/>
    </row>
    <row r="387" spans="4:84">
      <c r="D387" s="307"/>
      <c r="E387" s="307"/>
      <c r="F387" s="307"/>
      <c r="G387" s="307"/>
      <c r="H387" s="307"/>
      <c r="I387" s="307"/>
      <c r="J387" s="307"/>
      <c r="K387" s="307"/>
      <c r="L387" s="307"/>
      <c r="M387" s="307"/>
      <c r="N387" s="307"/>
      <c r="O387" s="307"/>
      <c r="P387" s="307"/>
      <c r="Q387" s="307"/>
      <c r="R387" s="307"/>
      <c r="S387" s="307"/>
      <c r="T387" s="307"/>
      <c r="U387" s="307"/>
      <c r="V387" s="307"/>
      <c r="W387" s="307"/>
      <c r="X387" s="307"/>
      <c r="Y387" s="307"/>
      <c r="Z387" s="307"/>
      <c r="AA387" s="307"/>
      <c r="AB387" s="307"/>
      <c r="AC387" s="307"/>
      <c r="AD387" s="307"/>
      <c r="AE387" s="307"/>
      <c r="AF387" s="307"/>
      <c r="AG387" s="307"/>
      <c r="AH387" s="307"/>
      <c r="AI387" s="307"/>
      <c r="AJ387" s="307"/>
      <c r="AK387" s="307"/>
      <c r="AL387" s="307"/>
      <c r="AM387" s="307"/>
      <c r="AN387" s="307"/>
      <c r="AO387" s="307"/>
      <c r="AP387" s="307"/>
      <c r="AQ387" s="307"/>
      <c r="AR387" s="307"/>
      <c r="AS387" s="307"/>
      <c r="AT387" s="307"/>
      <c r="AU387" s="307"/>
      <c r="AV387" s="307"/>
      <c r="AW387" s="307"/>
      <c r="AX387" s="307"/>
      <c r="AY387" s="307"/>
      <c r="AZ387" s="307"/>
      <c r="BA387" s="307"/>
      <c r="BB387" s="307"/>
      <c r="BC387" s="307"/>
      <c r="BD387" s="307"/>
      <c r="BE387" s="307"/>
      <c r="BF387" s="307"/>
      <c r="BG387" s="307"/>
      <c r="BH387" s="307"/>
      <c r="BI387" s="307"/>
      <c r="BJ387" s="307"/>
      <c r="BK387" s="307"/>
      <c r="BL387" s="307"/>
      <c r="BM387" s="307"/>
      <c r="BN387" s="307"/>
      <c r="BO387" s="307"/>
      <c r="BP387" s="307"/>
      <c r="BQ387" s="307"/>
      <c r="BR387" s="307"/>
      <c r="BS387" s="307"/>
      <c r="BT387" s="307"/>
      <c r="BU387" s="307"/>
      <c r="BV387" s="307"/>
      <c r="BW387" s="307"/>
      <c r="BX387" s="307"/>
      <c r="BY387" s="307"/>
      <c r="BZ387" s="307"/>
      <c r="CA387" s="307"/>
      <c r="CB387" s="307"/>
      <c r="CC387" s="307"/>
      <c r="CD387" s="307"/>
      <c r="CE387" s="307"/>
      <c r="CF387" s="307"/>
    </row>
    <row r="388" spans="4:84">
      <c r="D388" s="307"/>
      <c r="E388" s="307"/>
      <c r="F388" s="307"/>
      <c r="G388" s="307"/>
      <c r="H388" s="307"/>
      <c r="I388" s="307"/>
      <c r="J388" s="307"/>
      <c r="K388" s="307"/>
      <c r="L388" s="307"/>
      <c r="M388" s="307"/>
      <c r="N388" s="307"/>
      <c r="O388" s="307"/>
      <c r="P388" s="307"/>
      <c r="Q388" s="307"/>
      <c r="R388" s="307"/>
      <c r="S388" s="307"/>
      <c r="T388" s="307"/>
      <c r="U388" s="307"/>
      <c r="V388" s="307"/>
      <c r="W388" s="307"/>
      <c r="X388" s="307"/>
      <c r="Y388" s="307"/>
      <c r="Z388" s="307"/>
      <c r="AA388" s="307"/>
      <c r="AB388" s="307"/>
      <c r="AC388" s="307"/>
      <c r="AD388" s="307"/>
      <c r="AE388" s="307"/>
      <c r="AF388" s="307"/>
      <c r="AG388" s="307"/>
      <c r="AH388" s="307"/>
      <c r="AI388" s="307"/>
      <c r="AJ388" s="307"/>
      <c r="AK388" s="307"/>
      <c r="AL388" s="307"/>
      <c r="AM388" s="307"/>
      <c r="AN388" s="307"/>
      <c r="AO388" s="307"/>
      <c r="AP388" s="307"/>
      <c r="AQ388" s="307"/>
      <c r="AR388" s="307"/>
      <c r="AS388" s="307"/>
      <c r="AT388" s="307"/>
      <c r="AU388" s="307"/>
      <c r="AV388" s="307"/>
      <c r="AW388" s="307"/>
      <c r="AX388" s="307"/>
      <c r="AY388" s="307"/>
      <c r="AZ388" s="307"/>
      <c r="BA388" s="307"/>
      <c r="BB388" s="307"/>
      <c r="BC388" s="307"/>
      <c r="BD388" s="307"/>
      <c r="BE388" s="307"/>
      <c r="BF388" s="307"/>
      <c r="BG388" s="307"/>
      <c r="BH388" s="307"/>
      <c r="BI388" s="307"/>
      <c r="BJ388" s="307"/>
      <c r="BK388" s="307"/>
      <c r="BL388" s="307"/>
      <c r="BM388" s="307"/>
      <c r="BN388" s="307"/>
      <c r="BO388" s="307"/>
      <c r="BP388" s="307"/>
      <c r="BQ388" s="307"/>
      <c r="BR388" s="307"/>
      <c r="BS388" s="307"/>
      <c r="BT388" s="307"/>
      <c r="BU388" s="307"/>
      <c r="BV388" s="307"/>
      <c r="BW388" s="307"/>
      <c r="BX388" s="307"/>
      <c r="BY388" s="307"/>
      <c r="BZ388" s="307"/>
      <c r="CA388" s="307"/>
      <c r="CB388" s="307"/>
      <c r="CC388" s="307"/>
      <c r="CD388" s="307"/>
      <c r="CE388" s="307"/>
      <c r="CF388" s="307"/>
    </row>
    <row r="389" spans="4:84">
      <c r="D389" s="307"/>
      <c r="E389" s="307"/>
      <c r="F389" s="307"/>
      <c r="G389" s="307"/>
      <c r="H389" s="307"/>
      <c r="I389" s="307"/>
      <c r="J389" s="307"/>
      <c r="K389" s="307"/>
      <c r="L389" s="307"/>
      <c r="M389" s="307"/>
      <c r="N389" s="307"/>
      <c r="O389" s="307"/>
      <c r="P389" s="307"/>
      <c r="Q389" s="307"/>
      <c r="R389" s="307"/>
      <c r="S389" s="307"/>
      <c r="T389" s="307"/>
      <c r="U389" s="307"/>
      <c r="V389" s="307"/>
      <c r="W389" s="307"/>
      <c r="X389" s="307"/>
      <c r="Y389" s="307"/>
      <c r="Z389" s="307"/>
      <c r="AA389" s="307"/>
      <c r="AB389" s="307"/>
      <c r="AC389" s="307"/>
      <c r="AD389" s="307"/>
      <c r="AE389" s="307"/>
      <c r="AF389" s="307"/>
      <c r="AG389" s="307"/>
      <c r="AH389" s="307"/>
      <c r="AI389" s="307"/>
      <c r="AJ389" s="307"/>
      <c r="AK389" s="307"/>
      <c r="AL389" s="307"/>
      <c r="AM389" s="307"/>
      <c r="AN389" s="307"/>
      <c r="AO389" s="307"/>
      <c r="AP389" s="307"/>
      <c r="AQ389" s="307"/>
      <c r="AR389" s="307"/>
      <c r="AS389" s="307"/>
      <c r="AT389" s="307"/>
      <c r="AU389" s="307"/>
      <c r="AV389" s="307"/>
      <c r="AW389" s="307"/>
      <c r="AX389" s="307"/>
      <c r="AY389" s="307"/>
      <c r="AZ389" s="307"/>
      <c r="BA389" s="307"/>
      <c r="BB389" s="307"/>
      <c r="BC389" s="307"/>
      <c r="BD389" s="307"/>
      <c r="BE389" s="307"/>
      <c r="BF389" s="307"/>
      <c r="BG389" s="307"/>
      <c r="BH389" s="307"/>
      <c r="BI389" s="307"/>
      <c r="BJ389" s="307"/>
      <c r="BK389" s="307"/>
      <c r="BL389" s="307"/>
      <c r="BM389" s="307"/>
      <c r="BN389" s="307"/>
      <c r="BO389" s="307"/>
      <c r="BP389" s="307"/>
      <c r="BQ389" s="307"/>
      <c r="BR389" s="307"/>
      <c r="BS389" s="307"/>
      <c r="BT389" s="307"/>
      <c r="BU389" s="307"/>
      <c r="BV389" s="307"/>
      <c r="BW389" s="307"/>
      <c r="BX389" s="307"/>
      <c r="BY389" s="307"/>
      <c r="BZ389" s="307"/>
      <c r="CA389" s="307"/>
      <c r="CB389" s="307"/>
      <c r="CC389" s="307"/>
      <c r="CD389" s="307"/>
      <c r="CE389" s="307"/>
      <c r="CF389" s="307"/>
    </row>
    <row r="390" spans="4:84">
      <c r="D390" s="307"/>
      <c r="E390" s="307"/>
      <c r="F390" s="307"/>
      <c r="G390" s="307"/>
      <c r="H390" s="307"/>
      <c r="I390" s="307"/>
      <c r="J390" s="307"/>
      <c r="K390" s="307"/>
      <c r="L390" s="307"/>
      <c r="M390" s="307"/>
      <c r="N390" s="307"/>
      <c r="O390" s="307"/>
      <c r="P390" s="307"/>
      <c r="Q390" s="307"/>
      <c r="R390" s="307"/>
      <c r="S390" s="307"/>
      <c r="T390" s="307"/>
      <c r="U390" s="307"/>
      <c r="V390" s="307"/>
      <c r="W390" s="307"/>
      <c r="X390" s="307"/>
      <c r="Y390" s="307"/>
      <c r="Z390" s="307"/>
      <c r="AA390" s="307"/>
      <c r="AB390" s="307"/>
      <c r="AC390" s="307"/>
      <c r="AD390" s="307"/>
      <c r="AE390" s="307"/>
      <c r="AF390" s="307"/>
      <c r="AG390" s="307"/>
      <c r="AH390" s="307"/>
      <c r="AI390" s="307"/>
      <c r="AJ390" s="307"/>
      <c r="AK390" s="307"/>
      <c r="AL390" s="307"/>
      <c r="AM390" s="307"/>
      <c r="AN390" s="307"/>
      <c r="AO390" s="307"/>
      <c r="AP390" s="307"/>
      <c r="AQ390" s="307"/>
      <c r="AR390" s="307"/>
      <c r="AS390" s="307"/>
      <c r="AT390" s="307"/>
      <c r="AU390" s="307"/>
      <c r="AV390" s="307"/>
      <c r="AW390" s="307"/>
      <c r="AX390" s="307"/>
      <c r="AY390" s="307"/>
      <c r="AZ390" s="307"/>
      <c r="BA390" s="307"/>
      <c r="BB390" s="307"/>
      <c r="BC390" s="307"/>
      <c r="BD390" s="307"/>
      <c r="BE390" s="307"/>
      <c r="BF390" s="307"/>
      <c r="BG390" s="307"/>
      <c r="BH390" s="307"/>
      <c r="BI390" s="307"/>
      <c r="BJ390" s="307"/>
      <c r="BK390" s="307"/>
      <c r="BL390" s="307"/>
      <c r="BM390" s="307"/>
      <c r="BN390" s="307"/>
      <c r="BO390" s="307"/>
      <c r="BP390" s="307"/>
      <c r="BQ390" s="307"/>
      <c r="BR390" s="307"/>
      <c r="BS390" s="307"/>
      <c r="BT390" s="307"/>
      <c r="BU390" s="307"/>
      <c r="BV390" s="307"/>
      <c r="BW390" s="307"/>
      <c r="BX390" s="307"/>
      <c r="BY390" s="307"/>
      <c r="BZ390" s="307"/>
      <c r="CA390" s="307"/>
      <c r="CB390" s="307"/>
      <c r="CC390" s="307"/>
      <c r="CD390" s="307"/>
      <c r="CE390" s="307"/>
      <c r="CF390" s="307"/>
    </row>
    <row r="391" spans="4:84">
      <c r="D391" s="307"/>
      <c r="E391" s="307"/>
      <c r="F391" s="307"/>
      <c r="G391" s="307"/>
      <c r="H391" s="307"/>
      <c r="I391" s="307"/>
      <c r="J391" s="307"/>
      <c r="K391" s="307"/>
      <c r="L391" s="307"/>
      <c r="M391" s="307"/>
      <c r="N391" s="307"/>
      <c r="O391" s="307"/>
      <c r="P391" s="307"/>
      <c r="Q391" s="307"/>
      <c r="R391" s="307"/>
      <c r="S391" s="307"/>
      <c r="T391" s="307"/>
      <c r="U391" s="307"/>
      <c r="V391" s="307"/>
      <c r="W391" s="307"/>
      <c r="X391" s="307"/>
      <c r="Y391" s="307"/>
      <c r="Z391" s="307"/>
      <c r="AA391" s="307"/>
      <c r="AB391" s="307"/>
      <c r="AC391" s="307"/>
      <c r="AD391" s="307"/>
      <c r="AE391" s="307"/>
      <c r="AF391" s="307"/>
      <c r="AG391" s="307"/>
      <c r="AH391" s="307"/>
      <c r="AI391" s="307"/>
      <c r="AJ391" s="307"/>
      <c r="AK391" s="307"/>
      <c r="AL391" s="307"/>
      <c r="AM391" s="307"/>
      <c r="AN391" s="307"/>
      <c r="AO391" s="307"/>
      <c r="AP391" s="307"/>
      <c r="AQ391" s="307"/>
      <c r="AR391" s="307"/>
      <c r="AS391" s="307"/>
      <c r="AT391" s="307"/>
      <c r="AU391" s="307"/>
      <c r="AV391" s="307"/>
      <c r="AW391" s="307"/>
      <c r="AX391" s="307"/>
      <c r="AY391" s="307"/>
      <c r="AZ391" s="307"/>
      <c r="BA391" s="307"/>
      <c r="BB391" s="307"/>
      <c r="BC391" s="307"/>
      <c r="BD391" s="307"/>
      <c r="BE391" s="307"/>
      <c r="BF391" s="307"/>
      <c r="BG391" s="307"/>
      <c r="BH391" s="307"/>
      <c r="BI391" s="307"/>
      <c r="BJ391" s="307"/>
      <c r="BK391" s="307"/>
      <c r="BL391" s="307"/>
      <c r="BM391" s="307"/>
      <c r="BN391" s="307"/>
      <c r="BO391" s="307"/>
      <c r="BP391" s="307"/>
      <c r="BQ391" s="307"/>
      <c r="BR391" s="307"/>
      <c r="BS391" s="307"/>
      <c r="BT391" s="307"/>
      <c r="BU391" s="307"/>
      <c r="BV391" s="307"/>
      <c r="BW391" s="307"/>
      <c r="BX391" s="307"/>
      <c r="BY391" s="307"/>
      <c r="BZ391" s="307"/>
      <c r="CA391" s="307"/>
      <c r="CB391" s="307"/>
      <c r="CC391" s="307"/>
      <c r="CD391" s="307"/>
      <c r="CE391" s="307"/>
      <c r="CF391" s="307"/>
    </row>
    <row r="392" spans="4:84">
      <c r="D392" s="307"/>
      <c r="E392" s="307"/>
      <c r="F392" s="307"/>
      <c r="G392" s="307"/>
      <c r="H392" s="307"/>
      <c r="I392" s="307"/>
      <c r="J392" s="307"/>
      <c r="K392" s="307"/>
      <c r="L392" s="307"/>
      <c r="M392" s="307"/>
      <c r="N392" s="307"/>
      <c r="O392" s="307"/>
      <c r="P392" s="307"/>
      <c r="Q392" s="307"/>
      <c r="R392" s="307"/>
      <c r="S392" s="307"/>
      <c r="T392" s="307"/>
      <c r="U392" s="307"/>
      <c r="V392" s="307"/>
      <c r="W392" s="307"/>
      <c r="X392" s="307"/>
      <c r="Y392" s="307"/>
      <c r="Z392" s="307"/>
      <c r="AA392" s="307"/>
      <c r="AB392" s="307"/>
      <c r="AC392" s="307"/>
      <c r="AD392" s="307"/>
      <c r="AE392" s="307"/>
      <c r="AF392" s="307"/>
      <c r="AG392" s="307"/>
      <c r="AH392" s="307"/>
      <c r="AI392" s="307"/>
      <c r="AJ392" s="307"/>
      <c r="AK392" s="307"/>
      <c r="AL392" s="307"/>
      <c r="AM392" s="307"/>
      <c r="AN392" s="307"/>
      <c r="AO392" s="307"/>
      <c r="AP392" s="307"/>
      <c r="AQ392" s="307"/>
      <c r="AR392" s="307"/>
      <c r="AS392" s="307"/>
      <c r="AT392" s="307"/>
      <c r="AU392" s="307"/>
      <c r="AV392" s="307"/>
      <c r="AW392" s="307"/>
      <c r="AX392" s="307"/>
      <c r="AY392" s="307"/>
      <c r="AZ392" s="307"/>
      <c r="BA392" s="307"/>
      <c r="BB392" s="307"/>
      <c r="BC392" s="307"/>
      <c r="BD392" s="307"/>
      <c r="BE392" s="307"/>
      <c r="BF392" s="307"/>
      <c r="BG392" s="307"/>
      <c r="BH392" s="307"/>
      <c r="BI392" s="307"/>
      <c r="BJ392" s="307"/>
      <c r="BK392" s="307"/>
      <c r="BL392" s="307"/>
      <c r="BM392" s="307"/>
      <c r="BN392" s="307"/>
      <c r="BO392" s="307"/>
      <c r="BP392" s="307"/>
      <c r="BQ392" s="307"/>
      <c r="BR392" s="307"/>
      <c r="BS392" s="307"/>
      <c r="BT392" s="307"/>
      <c r="BU392" s="307"/>
      <c r="BV392" s="307"/>
      <c r="BW392" s="307"/>
      <c r="BX392" s="307"/>
      <c r="BY392" s="307"/>
      <c r="BZ392" s="307"/>
      <c r="CA392" s="307"/>
      <c r="CB392" s="307"/>
      <c r="CC392" s="307"/>
      <c r="CD392" s="307"/>
      <c r="CE392" s="307"/>
      <c r="CF392" s="307"/>
    </row>
    <row r="393" spans="4:84">
      <c r="D393" s="307"/>
      <c r="E393" s="307"/>
      <c r="F393" s="307"/>
      <c r="G393" s="307"/>
      <c r="H393" s="307"/>
      <c r="I393" s="307"/>
      <c r="J393" s="307"/>
      <c r="K393" s="307"/>
      <c r="L393" s="307"/>
      <c r="M393" s="307"/>
      <c r="N393" s="307"/>
      <c r="O393" s="307"/>
      <c r="P393" s="307"/>
      <c r="Q393" s="307"/>
      <c r="R393" s="307"/>
      <c r="S393" s="307"/>
      <c r="T393" s="307"/>
      <c r="U393" s="307"/>
      <c r="V393" s="307"/>
      <c r="W393" s="307"/>
      <c r="X393" s="307"/>
      <c r="Y393" s="307"/>
      <c r="Z393" s="307"/>
      <c r="AA393" s="307"/>
      <c r="AB393" s="307"/>
      <c r="AC393" s="307"/>
      <c r="AD393" s="307"/>
      <c r="AE393" s="307"/>
      <c r="AF393" s="307"/>
      <c r="AG393" s="307"/>
      <c r="AH393" s="307"/>
      <c r="AI393" s="307"/>
      <c r="AJ393" s="307"/>
      <c r="AK393" s="307"/>
      <c r="AL393" s="307"/>
      <c r="AM393" s="307"/>
      <c r="AN393" s="307"/>
      <c r="AO393" s="307"/>
      <c r="AP393" s="307"/>
      <c r="AQ393" s="307"/>
      <c r="AR393" s="307"/>
      <c r="AS393" s="307"/>
      <c r="AT393" s="307"/>
      <c r="AU393" s="307"/>
      <c r="AV393" s="307"/>
      <c r="AW393" s="307"/>
      <c r="AX393" s="307"/>
      <c r="AY393" s="307"/>
      <c r="AZ393" s="307"/>
      <c r="BA393" s="307"/>
      <c r="BB393" s="307"/>
      <c r="BC393" s="307"/>
      <c r="BD393" s="307"/>
      <c r="BE393" s="307"/>
      <c r="BF393" s="307"/>
      <c r="BG393" s="307"/>
      <c r="BH393" s="307"/>
      <c r="BI393" s="307"/>
      <c r="BJ393" s="307"/>
      <c r="BK393" s="307"/>
      <c r="BL393" s="307"/>
      <c r="BM393" s="307"/>
      <c r="BN393" s="307"/>
      <c r="BO393" s="307"/>
      <c r="BP393" s="307"/>
      <c r="BQ393" s="307"/>
      <c r="BR393" s="307"/>
      <c r="BS393" s="307"/>
      <c r="BT393" s="307"/>
      <c r="BU393" s="307"/>
      <c r="BV393" s="307"/>
      <c r="BW393" s="307"/>
      <c r="BX393" s="307"/>
      <c r="BY393" s="307"/>
      <c r="BZ393" s="307"/>
      <c r="CA393" s="307"/>
      <c r="CB393" s="307"/>
      <c r="CC393" s="307"/>
      <c r="CD393" s="307"/>
      <c r="CE393" s="307"/>
      <c r="CF393" s="307"/>
    </row>
    <row r="394" spans="4:84">
      <c r="D394" s="307"/>
      <c r="E394" s="307"/>
      <c r="F394" s="307"/>
      <c r="G394" s="307"/>
      <c r="H394" s="307"/>
      <c r="I394" s="307"/>
      <c r="J394" s="307"/>
      <c r="K394" s="307"/>
      <c r="L394" s="307"/>
      <c r="M394" s="307"/>
      <c r="N394" s="307"/>
      <c r="O394" s="307"/>
      <c r="P394" s="307"/>
      <c r="Q394" s="307"/>
      <c r="R394" s="307"/>
      <c r="S394" s="307"/>
      <c r="T394" s="307"/>
      <c r="U394" s="307"/>
      <c r="V394" s="307"/>
      <c r="W394" s="307"/>
      <c r="X394" s="307"/>
      <c r="Y394" s="307"/>
      <c r="Z394" s="307"/>
      <c r="AA394" s="307"/>
      <c r="AB394" s="307"/>
      <c r="AC394" s="307"/>
      <c r="AD394" s="307"/>
      <c r="AE394" s="307"/>
      <c r="AF394" s="307"/>
      <c r="AG394" s="307"/>
      <c r="AH394" s="307"/>
      <c r="AI394" s="307"/>
      <c r="AJ394" s="307"/>
      <c r="AK394" s="307"/>
      <c r="AL394" s="307"/>
      <c r="AM394" s="307"/>
      <c r="AN394" s="307"/>
      <c r="AO394" s="307"/>
      <c r="AP394" s="307"/>
      <c r="AQ394" s="307"/>
      <c r="AR394" s="307"/>
      <c r="AS394" s="307"/>
      <c r="AT394" s="307"/>
      <c r="AU394" s="307"/>
      <c r="AV394" s="307"/>
      <c r="AW394" s="307"/>
      <c r="AX394" s="307"/>
      <c r="AY394" s="307"/>
      <c r="AZ394" s="307"/>
      <c r="BA394" s="307"/>
      <c r="BB394" s="307"/>
      <c r="BC394" s="307"/>
      <c r="BD394" s="307"/>
      <c r="BE394" s="307"/>
      <c r="BF394" s="307"/>
      <c r="BG394" s="307"/>
      <c r="BH394" s="307"/>
      <c r="BI394" s="307"/>
      <c r="BJ394" s="307"/>
      <c r="BK394" s="307"/>
      <c r="BL394" s="307"/>
      <c r="BM394" s="307"/>
      <c r="BN394" s="307"/>
      <c r="BO394" s="307"/>
      <c r="BP394" s="307"/>
      <c r="BQ394" s="307"/>
      <c r="BR394" s="307"/>
      <c r="BS394" s="307"/>
      <c r="BT394" s="307"/>
      <c r="BU394" s="307"/>
      <c r="BV394" s="307"/>
      <c r="BW394" s="307"/>
      <c r="BX394" s="307"/>
      <c r="BY394" s="307"/>
      <c r="BZ394" s="307"/>
      <c r="CA394" s="307"/>
      <c r="CB394" s="307"/>
      <c r="CC394" s="307"/>
      <c r="CD394" s="307"/>
      <c r="CE394" s="307"/>
      <c r="CF394" s="307"/>
    </row>
    <row r="395" spans="4:84">
      <c r="D395" s="307"/>
      <c r="E395" s="307"/>
      <c r="F395" s="307"/>
      <c r="G395" s="307"/>
      <c r="H395" s="307"/>
      <c r="I395" s="307"/>
      <c r="J395" s="307"/>
      <c r="K395" s="307"/>
      <c r="L395" s="307"/>
      <c r="M395" s="307"/>
      <c r="N395" s="307"/>
      <c r="O395" s="307"/>
      <c r="P395" s="307"/>
      <c r="Q395" s="307"/>
      <c r="R395" s="307"/>
      <c r="S395" s="307"/>
      <c r="T395" s="307"/>
      <c r="U395" s="307"/>
      <c r="V395" s="307"/>
      <c r="W395" s="307"/>
      <c r="X395" s="307"/>
      <c r="Y395" s="307"/>
      <c r="Z395" s="307"/>
      <c r="AA395" s="307"/>
      <c r="AB395" s="307"/>
      <c r="AC395" s="307"/>
      <c r="AD395" s="307"/>
      <c r="AE395" s="307"/>
      <c r="AF395" s="307"/>
      <c r="AG395" s="307"/>
      <c r="AH395" s="307"/>
      <c r="AI395" s="307"/>
      <c r="AJ395" s="307"/>
      <c r="AK395" s="307"/>
      <c r="AL395" s="307"/>
      <c r="AM395" s="307"/>
      <c r="AN395" s="307"/>
      <c r="AO395" s="307"/>
      <c r="AP395" s="307"/>
      <c r="AQ395" s="307"/>
      <c r="AR395" s="307"/>
      <c r="AS395" s="307"/>
      <c r="AT395" s="307"/>
      <c r="AU395" s="307"/>
      <c r="AV395" s="307"/>
      <c r="AW395" s="307"/>
      <c r="AX395" s="307"/>
      <c r="AY395" s="307"/>
      <c r="AZ395" s="307"/>
      <c r="BA395" s="307"/>
      <c r="BB395" s="307"/>
      <c r="BC395" s="307"/>
      <c r="BD395" s="307"/>
      <c r="BE395" s="307"/>
      <c r="BF395" s="307"/>
      <c r="BG395" s="307"/>
      <c r="BH395" s="307"/>
      <c r="BI395" s="307"/>
      <c r="BJ395" s="307"/>
      <c r="BK395" s="307"/>
      <c r="BL395" s="307"/>
      <c r="BM395" s="307"/>
      <c r="BN395" s="307"/>
      <c r="BO395" s="307"/>
      <c r="BP395" s="307"/>
      <c r="BQ395" s="307"/>
      <c r="BR395" s="307"/>
      <c r="BS395" s="307"/>
      <c r="BT395" s="307"/>
      <c r="BU395" s="307"/>
      <c r="BV395" s="307"/>
      <c r="BW395" s="307"/>
      <c r="BX395" s="307"/>
      <c r="BY395" s="307"/>
      <c r="BZ395" s="307"/>
      <c r="CA395" s="307"/>
      <c r="CB395" s="307"/>
      <c r="CC395" s="307"/>
      <c r="CD395" s="307"/>
      <c r="CE395" s="307"/>
      <c r="CF395" s="307"/>
    </row>
    <row r="396" spans="4:84">
      <c r="D396" s="307"/>
      <c r="E396" s="307"/>
      <c r="F396" s="307"/>
      <c r="G396" s="307"/>
      <c r="H396" s="307"/>
      <c r="I396" s="307"/>
      <c r="J396" s="307"/>
      <c r="K396" s="307"/>
      <c r="L396" s="307"/>
      <c r="M396" s="307"/>
      <c r="N396" s="307"/>
      <c r="O396" s="307"/>
      <c r="P396" s="307"/>
      <c r="Q396" s="307"/>
      <c r="R396" s="307"/>
      <c r="S396" s="307"/>
      <c r="T396" s="307"/>
      <c r="U396" s="307"/>
      <c r="V396" s="307"/>
      <c r="W396" s="307"/>
      <c r="X396" s="307"/>
      <c r="Y396" s="307"/>
      <c r="Z396" s="307"/>
      <c r="AA396" s="307"/>
      <c r="AB396" s="307"/>
      <c r="AC396" s="307"/>
      <c r="AD396" s="307"/>
      <c r="AE396" s="307"/>
      <c r="AF396" s="307"/>
      <c r="AG396" s="307"/>
      <c r="AH396" s="307"/>
      <c r="AI396" s="307"/>
      <c r="AJ396" s="307"/>
      <c r="AK396" s="307"/>
      <c r="AL396" s="307"/>
      <c r="AM396" s="307"/>
      <c r="AN396" s="307"/>
      <c r="AO396" s="307"/>
      <c r="AP396" s="307"/>
      <c r="AQ396" s="307"/>
      <c r="AR396" s="307"/>
      <c r="AS396" s="307"/>
      <c r="AT396" s="307"/>
      <c r="AU396" s="307"/>
      <c r="AV396" s="307"/>
      <c r="AW396" s="307"/>
      <c r="AX396" s="307"/>
      <c r="AY396" s="307"/>
      <c r="AZ396" s="307"/>
      <c r="BA396" s="307"/>
      <c r="BB396" s="307"/>
      <c r="BC396" s="307"/>
      <c r="BD396" s="307"/>
      <c r="BE396" s="307"/>
      <c r="BF396" s="307"/>
      <c r="BG396" s="307"/>
      <c r="BH396" s="307"/>
      <c r="BI396" s="307"/>
      <c r="BJ396" s="307"/>
      <c r="BK396" s="307"/>
      <c r="BL396" s="307"/>
      <c r="BM396" s="307"/>
      <c r="BN396" s="307"/>
      <c r="BO396" s="307"/>
      <c r="BP396" s="307"/>
      <c r="BQ396" s="307"/>
      <c r="BR396" s="307"/>
      <c r="BS396" s="307"/>
      <c r="BT396" s="307"/>
      <c r="BU396" s="307"/>
      <c r="BV396" s="307"/>
      <c r="BW396" s="307"/>
      <c r="BX396" s="307"/>
      <c r="BY396" s="307"/>
      <c r="BZ396" s="307"/>
      <c r="CA396" s="307"/>
      <c r="CB396" s="307"/>
      <c r="CC396" s="307"/>
      <c r="CD396" s="307"/>
      <c r="CE396" s="307"/>
      <c r="CF396" s="307"/>
    </row>
    <row r="397" spans="4:84">
      <c r="D397" s="307"/>
      <c r="E397" s="307"/>
      <c r="F397" s="307"/>
      <c r="G397" s="307"/>
      <c r="H397" s="307"/>
      <c r="I397" s="307"/>
      <c r="J397" s="307"/>
      <c r="K397" s="307"/>
      <c r="L397" s="307"/>
      <c r="M397" s="307"/>
      <c r="N397" s="307"/>
      <c r="O397" s="307"/>
      <c r="P397" s="307"/>
      <c r="Q397" s="307"/>
      <c r="R397" s="307"/>
      <c r="S397" s="307"/>
      <c r="T397" s="307"/>
      <c r="U397" s="307"/>
      <c r="V397" s="307"/>
      <c r="W397" s="307"/>
      <c r="X397" s="307"/>
      <c r="Y397" s="307"/>
      <c r="Z397" s="307"/>
      <c r="AA397" s="307"/>
      <c r="AB397" s="307"/>
      <c r="AC397" s="307"/>
      <c r="AD397" s="307"/>
      <c r="AE397" s="307"/>
      <c r="AF397" s="307"/>
      <c r="AG397" s="307"/>
      <c r="AH397" s="307"/>
      <c r="AI397" s="307"/>
      <c r="AJ397" s="307"/>
      <c r="AK397" s="307"/>
      <c r="AL397" s="307"/>
      <c r="AM397" s="307"/>
      <c r="AN397" s="307"/>
      <c r="AO397" s="307"/>
      <c r="AP397" s="307"/>
      <c r="AQ397" s="307"/>
      <c r="AR397" s="307"/>
      <c r="AS397" s="307"/>
      <c r="AT397" s="307"/>
      <c r="AU397" s="307"/>
      <c r="AV397" s="307"/>
      <c r="AW397" s="307"/>
      <c r="AX397" s="307"/>
      <c r="AY397" s="307"/>
      <c r="AZ397" s="307"/>
      <c r="BA397" s="307"/>
      <c r="BB397" s="307"/>
      <c r="BC397" s="307"/>
      <c r="BD397" s="307"/>
      <c r="BE397" s="307"/>
      <c r="BF397" s="307"/>
      <c r="BG397" s="307"/>
      <c r="BH397" s="307"/>
      <c r="BI397" s="307"/>
      <c r="BJ397" s="307"/>
      <c r="BK397" s="307"/>
      <c r="BL397" s="307"/>
      <c r="BM397" s="307"/>
      <c r="BN397" s="307"/>
      <c r="BO397" s="307"/>
      <c r="BP397" s="307"/>
      <c r="BQ397" s="307"/>
      <c r="BR397" s="307"/>
      <c r="BS397" s="307"/>
      <c r="BT397" s="307"/>
      <c r="BU397" s="307"/>
      <c r="BV397" s="307"/>
      <c r="BW397" s="307"/>
      <c r="BX397" s="307"/>
      <c r="BY397" s="307"/>
      <c r="BZ397" s="307"/>
      <c r="CA397" s="307"/>
      <c r="CB397" s="307"/>
      <c r="CC397" s="307"/>
      <c r="CD397" s="307"/>
      <c r="CE397" s="307"/>
      <c r="CF397" s="307"/>
    </row>
    <row r="398" spans="4:84">
      <c r="D398" s="307"/>
      <c r="E398" s="307"/>
      <c r="F398" s="307"/>
      <c r="G398" s="307"/>
      <c r="H398" s="307"/>
      <c r="I398" s="307"/>
      <c r="J398" s="307"/>
      <c r="K398" s="307"/>
      <c r="L398" s="307"/>
      <c r="M398" s="307"/>
      <c r="N398" s="307"/>
      <c r="O398" s="307"/>
      <c r="P398" s="307"/>
      <c r="Q398" s="307"/>
      <c r="R398" s="307"/>
      <c r="S398" s="307"/>
      <c r="T398" s="307"/>
      <c r="U398" s="307"/>
      <c r="V398" s="307"/>
      <c r="W398" s="307"/>
      <c r="X398" s="307"/>
      <c r="Y398" s="307"/>
      <c r="Z398" s="307"/>
      <c r="AA398" s="307"/>
      <c r="AB398" s="307"/>
      <c r="AC398" s="307"/>
      <c r="AD398" s="307"/>
      <c r="AE398" s="307"/>
      <c r="AF398" s="307"/>
      <c r="AG398" s="307"/>
      <c r="AH398" s="307"/>
      <c r="AI398" s="307"/>
      <c r="AJ398" s="307"/>
      <c r="AK398" s="307"/>
      <c r="AL398" s="307"/>
      <c r="AM398" s="307"/>
      <c r="AN398" s="307"/>
      <c r="AO398" s="307"/>
      <c r="AP398" s="307"/>
      <c r="AQ398" s="307"/>
      <c r="AR398" s="307"/>
      <c r="AS398" s="307"/>
      <c r="AT398" s="307"/>
      <c r="AU398" s="307"/>
      <c r="AV398" s="307"/>
      <c r="AW398" s="307"/>
      <c r="AX398" s="307"/>
      <c r="AY398" s="307"/>
      <c r="AZ398" s="307"/>
      <c r="BA398" s="307"/>
      <c r="BB398" s="307"/>
      <c r="BC398" s="307"/>
      <c r="BD398" s="307"/>
      <c r="BE398" s="307"/>
      <c r="BF398" s="307"/>
      <c r="BG398" s="307"/>
      <c r="BH398" s="307"/>
      <c r="BI398" s="307"/>
      <c r="BJ398" s="307"/>
      <c r="BK398" s="307"/>
      <c r="BL398" s="307"/>
      <c r="BM398" s="307"/>
      <c r="BN398" s="307"/>
      <c r="BO398" s="307"/>
      <c r="BP398" s="307"/>
      <c r="BQ398" s="307"/>
      <c r="BR398" s="307"/>
      <c r="BS398" s="307"/>
      <c r="BT398" s="307"/>
      <c r="BU398" s="307"/>
      <c r="BV398" s="307"/>
      <c r="BW398" s="307"/>
      <c r="BX398" s="307"/>
      <c r="BY398" s="307"/>
      <c r="BZ398" s="307"/>
      <c r="CA398" s="307"/>
      <c r="CB398" s="307"/>
      <c r="CC398" s="307"/>
      <c r="CD398" s="307"/>
      <c r="CE398" s="307"/>
      <c r="CF398" s="307"/>
    </row>
    <row r="399" spans="4:84">
      <c r="D399" s="307"/>
      <c r="E399" s="307"/>
      <c r="F399" s="307"/>
      <c r="G399" s="307"/>
      <c r="H399" s="307"/>
      <c r="I399" s="307"/>
      <c r="J399" s="307"/>
      <c r="K399" s="307"/>
      <c r="L399" s="307"/>
      <c r="M399" s="307"/>
      <c r="N399" s="307"/>
      <c r="O399" s="307"/>
      <c r="P399" s="307"/>
      <c r="Q399" s="307"/>
      <c r="R399" s="307"/>
      <c r="S399" s="307"/>
      <c r="T399" s="307"/>
      <c r="U399" s="307"/>
      <c r="V399" s="307"/>
      <c r="W399" s="307"/>
      <c r="X399" s="307"/>
      <c r="Y399" s="307"/>
      <c r="Z399" s="307"/>
      <c r="AA399" s="307"/>
      <c r="AB399" s="307"/>
      <c r="AC399" s="307"/>
      <c r="AD399" s="307"/>
      <c r="AE399" s="307"/>
      <c r="AF399" s="307"/>
      <c r="AG399" s="307"/>
      <c r="AH399" s="307"/>
      <c r="AI399" s="307"/>
      <c r="AJ399" s="307"/>
      <c r="AK399" s="307"/>
      <c r="AL399" s="307"/>
      <c r="AM399" s="307"/>
      <c r="AN399" s="307"/>
      <c r="AO399" s="307"/>
      <c r="AP399" s="307"/>
      <c r="AQ399" s="307"/>
      <c r="AR399" s="307"/>
      <c r="AS399" s="307"/>
      <c r="AT399" s="307"/>
      <c r="AU399" s="307"/>
      <c r="AV399" s="307"/>
      <c r="AW399" s="307"/>
      <c r="AX399" s="307"/>
      <c r="AY399" s="307"/>
      <c r="AZ399" s="307"/>
      <c r="BA399" s="307"/>
      <c r="BB399" s="307"/>
      <c r="BC399" s="307"/>
      <c r="BD399" s="307"/>
      <c r="BE399" s="307"/>
      <c r="BF399" s="307"/>
      <c r="BG399" s="307"/>
      <c r="BH399" s="307"/>
      <c r="BI399" s="307"/>
      <c r="BJ399" s="307"/>
      <c r="BK399" s="307"/>
      <c r="BL399" s="307"/>
      <c r="BM399" s="307"/>
      <c r="BN399" s="307"/>
      <c r="BO399" s="307"/>
      <c r="BP399" s="307"/>
      <c r="BQ399" s="307"/>
      <c r="BR399" s="307"/>
      <c r="BS399" s="307"/>
      <c r="BT399" s="307"/>
      <c r="BU399" s="307"/>
      <c r="BV399" s="307"/>
      <c r="BW399" s="307"/>
      <c r="BX399" s="307"/>
      <c r="BY399" s="307"/>
      <c r="BZ399" s="307"/>
      <c r="CA399" s="307"/>
      <c r="CB399" s="307"/>
      <c r="CC399" s="307"/>
      <c r="CD399" s="307"/>
      <c r="CE399" s="307"/>
      <c r="CF399" s="307"/>
    </row>
    <row r="400" spans="4:84">
      <c r="D400" s="307"/>
      <c r="E400" s="307"/>
      <c r="F400" s="307"/>
      <c r="G400" s="307"/>
      <c r="H400" s="307"/>
      <c r="I400" s="307"/>
      <c r="J400" s="307"/>
      <c r="K400" s="307"/>
      <c r="L400" s="307"/>
      <c r="M400" s="307"/>
      <c r="N400" s="307"/>
      <c r="O400" s="307"/>
      <c r="P400" s="307"/>
      <c r="Q400" s="307"/>
      <c r="R400" s="307"/>
      <c r="S400" s="307"/>
      <c r="T400" s="307"/>
      <c r="U400" s="307"/>
      <c r="V400" s="307"/>
      <c r="W400" s="307"/>
      <c r="X400" s="307"/>
      <c r="Y400" s="307"/>
      <c r="Z400" s="307"/>
      <c r="AA400" s="307"/>
      <c r="AB400" s="307"/>
      <c r="AC400" s="307"/>
      <c r="AD400" s="307"/>
      <c r="AE400" s="307"/>
      <c r="AF400" s="307"/>
      <c r="AG400" s="307"/>
      <c r="AH400" s="307"/>
      <c r="AI400" s="307"/>
      <c r="AJ400" s="307"/>
      <c r="AK400" s="307"/>
      <c r="AL400" s="307"/>
      <c r="AM400" s="307"/>
      <c r="AN400" s="307"/>
      <c r="AO400" s="307"/>
      <c r="AP400" s="307"/>
      <c r="AQ400" s="307"/>
      <c r="AR400" s="307"/>
      <c r="AS400" s="307"/>
      <c r="AT400" s="307"/>
      <c r="AU400" s="307"/>
      <c r="AV400" s="307"/>
      <c r="AW400" s="307"/>
      <c r="AX400" s="307"/>
      <c r="AY400" s="307"/>
      <c r="AZ400" s="307"/>
      <c r="BA400" s="307"/>
      <c r="BB400" s="307"/>
      <c r="BC400" s="307"/>
      <c r="BD400" s="307"/>
      <c r="BE400" s="307"/>
      <c r="BF400" s="307"/>
      <c r="BG400" s="307"/>
      <c r="BH400" s="307"/>
      <c r="BI400" s="307"/>
      <c r="BJ400" s="307"/>
      <c r="BK400" s="307"/>
      <c r="BL400" s="307"/>
      <c r="BM400" s="307"/>
      <c r="BN400" s="307"/>
      <c r="BO400" s="307"/>
      <c r="BP400" s="307"/>
      <c r="BQ400" s="307"/>
      <c r="BR400" s="307"/>
      <c r="BS400" s="307"/>
      <c r="BT400" s="307"/>
      <c r="BU400" s="307"/>
      <c r="BV400" s="307"/>
      <c r="BW400" s="307"/>
      <c r="BX400" s="307"/>
      <c r="BY400" s="307"/>
      <c r="BZ400" s="307"/>
      <c r="CA400" s="307"/>
      <c r="CB400" s="307"/>
      <c r="CC400" s="307"/>
      <c r="CD400" s="307"/>
      <c r="CE400" s="307"/>
      <c r="CF400" s="307"/>
    </row>
    <row r="401" spans="4:84">
      <c r="D401" s="307"/>
      <c r="E401" s="307"/>
      <c r="F401" s="307"/>
      <c r="G401" s="307"/>
      <c r="H401" s="307"/>
      <c r="I401" s="307"/>
      <c r="J401" s="307"/>
      <c r="K401" s="307"/>
      <c r="L401" s="307"/>
      <c r="M401" s="307"/>
      <c r="N401" s="307"/>
      <c r="O401" s="307"/>
      <c r="P401" s="307"/>
      <c r="Q401" s="307"/>
      <c r="R401" s="307"/>
      <c r="S401" s="307"/>
      <c r="T401" s="307"/>
      <c r="U401" s="307"/>
      <c r="V401" s="307"/>
      <c r="W401" s="307"/>
      <c r="X401" s="307"/>
      <c r="Y401" s="307"/>
      <c r="Z401" s="307"/>
      <c r="AA401" s="307"/>
      <c r="AB401" s="307"/>
      <c r="AC401" s="307"/>
      <c r="AD401" s="307"/>
      <c r="AE401" s="307"/>
      <c r="AF401" s="307"/>
      <c r="AG401" s="307"/>
      <c r="AH401" s="307"/>
      <c r="AI401" s="307"/>
      <c r="AJ401" s="307"/>
      <c r="AK401" s="307"/>
      <c r="AL401" s="307"/>
      <c r="AM401" s="307"/>
      <c r="AN401" s="307"/>
      <c r="AO401" s="307"/>
      <c r="AP401" s="307"/>
      <c r="AQ401" s="307"/>
      <c r="AR401" s="307"/>
      <c r="AS401" s="307"/>
      <c r="AT401" s="307"/>
      <c r="AU401" s="307"/>
      <c r="AV401" s="307"/>
      <c r="AW401" s="307"/>
      <c r="AX401" s="307"/>
      <c r="AY401" s="307"/>
      <c r="AZ401" s="307"/>
      <c r="BA401" s="307"/>
      <c r="BB401" s="307"/>
      <c r="BC401" s="307"/>
      <c r="BD401" s="307"/>
      <c r="BE401" s="307"/>
      <c r="BF401" s="307"/>
      <c r="BG401" s="307"/>
      <c r="BH401" s="307"/>
      <c r="BI401" s="307"/>
      <c r="BJ401" s="307"/>
      <c r="BK401" s="307"/>
      <c r="BL401" s="307"/>
      <c r="BM401" s="307"/>
      <c r="BN401" s="307"/>
      <c r="BO401" s="307"/>
      <c r="BP401" s="307"/>
      <c r="BQ401" s="307"/>
      <c r="BR401" s="307"/>
      <c r="BS401" s="307"/>
      <c r="BT401" s="307"/>
      <c r="BU401" s="307"/>
      <c r="BV401" s="307"/>
      <c r="BW401" s="307"/>
      <c r="BX401" s="307"/>
      <c r="BY401" s="307"/>
      <c r="BZ401" s="307"/>
      <c r="CA401" s="307"/>
      <c r="CB401" s="307"/>
      <c r="CC401" s="307"/>
      <c r="CD401" s="307"/>
      <c r="CE401" s="307"/>
      <c r="CF401" s="307"/>
    </row>
    <row r="402" spans="4:84">
      <c r="D402" s="307"/>
      <c r="E402" s="307"/>
      <c r="F402" s="307"/>
      <c r="G402" s="307"/>
      <c r="H402" s="307"/>
      <c r="I402" s="307"/>
      <c r="J402" s="307"/>
      <c r="K402" s="307"/>
      <c r="L402" s="307"/>
      <c r="M402" s="307"/>
      <c r="N402" s="307"/>
      <c r="O402" s="307"/>
      <c r="P402" s="307"/>
      <c r="Q402" s="307"/>
      <c r="R402" s="307"/>
      <c r="S402" s="307"/>
      <c r="T402" s="307"/>
      <c r="U402" s="307"/>
      <c r="V402" s="307"/>
      <c r="W402" s="307"/>
      <c r="X402" s="307"/>
      <c r="Y402" s="307"/>
      <c r="Z402" s="307"/>
      <c r="AA402" s="307"/>
      <c r="AB402" s="307"/>
      <c r="AC402" s="307"/>
      <c r="AD402" s="307"/>
      <c r="AE402" s="307"/>
      <c r="AF402" s="307"/>
      <c r="AG402" s="307"/>
      <c r="AH402" s="307"/>
      <c r="AI402" s="307"/>
      <c r="AJ402" s="307"/>
      <c r="AK402" s="307"/>
      <c r="AL402" s="307"/>
      <c r="AM402" s="307"/>
      <c r="AN402" s="307"/>
      <c r="AO402" s="307"/>
      <c r="AP402" s="307"/>
      <c r="AQ402" s="307"/>
      <c r="AR402" s="307"/>
      <c r="AS402" s="307"/>
      <c r="AT402" s="307"/>
      <c r="AU402" s="307"/>
      <c r="AV402" s="307"/>
      <c r="AW402" s="307"/>
      <c r="AX402" s="307"/>
      <c r="AY402" s="307"/>
      <c r="AZ402" s="307"/>
      <c r="BA402" s="307"/>
      <c r="BB402" s="307"/>
      <c r="BC402" s="307"/>
      <c r="BD402" s="307"/>
      <c r="BE402" s="307"/>
      <c r="BF402" s="307"/>
      <c r="BG402" s="307"/>
      <c r="BH402" s="307"/>
      <c r="BI402" s="307"/>
      <c r="BJ402" s="307"/>
      <c r="BK402" s="307"/>
      <c r="BL402" s="307"/>
      <c r="BM402" s="307"/>
      <c r="BN402" s="307"/>
      <c r="BO402" s="307"/>
      <c r="BP402" s="307"/>
      <c r="BQ402" s="307"/>
      <c r="BR402" s="307"/>
      <c r="BS402" s="307"/>
      <c r="BT402" s="307"/>
      <c r="BU402" s="307"/>
      <c r="BV402" s="307"/>
      <c r="BW402" s="307"/>
      <c r="BX402" s="307"/>
      <c r="BY402" s="307"/>
      <c r="BZ402" s="307"/>
      <c r="CA402" s="307"/>
      <c r="CB402" s="307"/>
      <c r="CC402" s="307"/>
      <c r="CD402" s="307"/>
      <c r="CE402" s="307"/>
      <c r="CF402" s="307"/>
    </row>
    <row r="403" spans="4:84">
      <c r="D403" s="307"/>
      <c r="E403" s="307"/>
      <c r="F403" s="307"/>
      <c r="G403" s="307"/>
      <c r="H403" s="307"/>
      <c r="I403" s="307"/>
      <c r="J403" s="307"/>
      <c r="K403" s="307"/>
      <c r="L403" s="307"/>
      <c r="M403" s="307"/>
      <c r="N403" s="307"/>
      <c r="O403" s="307"/>
      <c r="P403" s="307"/>
      <c r="Q403" s="307"/>
      <c r="R403" s="307"/>
      <c r="S403" s="307"/>
      <c r="T403" s="307"/>
      <c r="U403" s="307"/>
      <c r="V403" s="307"/>
      <c r="W403" s="307"/>
      <c r="X403" s="307"/>
      <c r="Y403" s="307"/>
      <c r="Z403" s="307"/>
      <c r="AA403" s="307"/>
      <c r="AB403" s="307"/>
      <c r="AC403" s="307"/>
      <c r="AD403" s="307"/>
      <c r="AE403" s="307"/>
      <c r="AF403" s="307"/>
      <c r="AG403" s="307"/>
      <c r="AH403" s="307"/>
      <c r="AI403" s="307"/>
      <c r="AJ403" s="307"/>
      <c r="AK403" s="307"/>
      <c r="AL403" s="307"/>
      <c r="AM403" s="307"/>
      <c r="AN403" s="307"/>
      <c r="AO403" s="307"/>
      <c r="AP403" s="307"/>
      <c r="AQ403" s="307"/>
      <c r="AR403" s="307"/>
      <c r="AS403" s="307"/>
      <c r="AT403" s="307"/>
      <c r="AU403" s="307"/>
      <c r="AV403" s="307"/>
      <c r="AW403" s="307"/>
      <c r="AX403" s="307"/>
      <c r="AY403" s="307"/>
      <c r="AZ403" s="307"/>
      <c r="BA403" s="307"/>
      <c r="BB403" s="307"/>
      <c r="BC403" s="307"/>
      <c r="BD403" s="307"/>
      <c r="BE403" s="307"/>
      <c r="BF403" s="307"/>
      <c r="BG403" s="307"/>
      <c r="BH403" s="307"/>
      <c r="BI403" s="307"/>
      <c r="BJ403" s="307"/>
      <c r="BK403" s="307"/>
      <c r="BL403" s="307"/>
      <c r="BM403" s="307"/>
      <c r="BN403" s="307"/>
      <c r="BO403" s="307"/>
      <c r="BP403" s="307"/>
      <c r="BQ403" s="307"/>
      <c r="BR403" s="307"/>
      <c r="BS403" s="307"/>
      <c r="BT403" s="307"/>
      <c r="BU403" s="307"/>
      <c r="BV403" s="307"/>
      <c r="BW403" s="307"/>
      <c r="BX403" s="307"/>
      <c r="BY403" s="307"/>
      <c r="BZ403" s="307"/>
      <c r="CA403" s="307"/>
      <c r="CB403" s="307"/>
      <c r="CC403" s="307"/>
      <c r="CD403" s="307"/>
      <c r="CE403" s="307"/>
      <c r="CF403" s="307"/>
    </row>
    <row r="404" spans="4:84">
      <c r="D404" s="307"/>
      <c r="E404" s="307"/>
      <c r="F404" s="307"/>
      <c r="G404" s="307"/>
      <c r="H404" s="307"/>
      <c r="I404" s="307"/>
      <c r="J404" s="307"/>
      <c r="K404" s="307"/>
      <c r="L404" s="307"/>
      <c r="M404" s="307"/>
      <c r="N404" s="307"/>
      <c r="O404" s="307"/>
      <c r="P404" s="307"/>
      <c r="Q404" s="307"/>
      <c r="R404" s="307"/>
      <c r="S404" s="307"/>
      <c r="T404" s="307"/>
      <c r="U404" s="307"/>
      <c r="V404" s="307"/>
      <c r="W404" s="307"/>
      <c r="X404" s="307"/>
      <c r="Y404" s="307"/>
      <c r="Z404" s="307"/>
      <c r="AA404" s="307"/>
      <c r="AB404" s="307"/>
      <c r="AC404" s="307"/>
      <c r="AD404" s="307"/>
      <c r="AE404" s="307"/>
      <c r="AF404" s="307"/>
      <c r="AG404" s="307"/>
      <c r="AH404" s="307"/>
      <c r="AI404" s="307"/>
      <c r="AJ404" s="307"/>
      <c r="AK404" s="307"/>
      <c r="AL404" s="307"/>
      <c r="AM404" s="307"/>
      <c r="AN404" s="307"/>
      <c r="AO404" s="307"/>
      <c r="AP404" s="307"/>
      <c r="AQ404" s="307"/>
      <c r="AR404" s="307"/>
      <c r="AS404" s="307"/>
      <c r="AT404" s="307"/>
      <c r="AU404" s="307"/>
      <c r="AV404" s="307"/>
      <c r="AW404" s="307"/>
      <c r="AX404" s="307"/>
      <c r="AY404" s="307"/>
      <c r="AZ404" s="307"/>
      <c r="BA404" s="307"/>
      <c r="BB404" s="307"/>
      <c r="BC404" s="307"/>
      <c r="BD404" s="307"/>
      <c r="BE404" s="307"/>
      <c r="BF404" s="307"/>
      <c r="BG404" s="307"/>
      <c r="BH404" s="307"/>
      <c r="BI404" s="307"/>
      <c r="BJ404" s="307"/>
      <c r="BK404" s="307"/>
      <c r="BL404" s="307"/>
      <c r="BM404" s="307"/>
      <c r="BN404" s="307"/>
      <c r="BO404" s="307"/>
      <c r="BP404" s="307"/>
      <c r="BQ404" s="307"/>
      <c r="BR404" s="307"/>
      <c r="BS404" s="307"/>
      <c r="BT404" s="307"/>
      <c r="BU404" s="307"/>
      <c r="BV404" s="307"/>
      <c r="BW404" s="307"/>
      <c r="BX404" s="307"/>
      <c r="BY404" s="307"/>
      <c r="BZ404" s="307"/>
      <c r="CA404" s="307"/>
      <c r="CB404" s="307"/>
      <c r="CC404" s="307"/>
      <c r="CD404" s="307"/>
      <c r="CE404" s="307"/>
      <c r="CF404" s="307"/>
    </row>
    <row r="405" spans="4:84">
      <c r="D405" s="307"/>
      <c r="E405" s="307"/>
      <c r="F405" s="307"/>
      <c r="G405" s="307"/>
      <c r="H405" s="307"/>
      <c r="I405" s="307"/>
      <c r="J405" s="307"/>
      <c r="K405" s="307"/>
      <c r="L405" s="307"/>
      <c r="M405" s="307"/>
      <c r="N405" s="307"/>
      <c r="O405" s="307"/>
      <c r="P405" s="307"/>
      <c r="Q405" s="307"/>
      <c r="R405" s="307"/>
      <c r="S405" s="307"/>
      <c r="T405" s="307"/>
      <c r="U405" s="307"/>
      <c r="V405" s="307"/>
      <c r="W405" s="307"/>
      <c r="X405" s="307"/>
      <c r="Y405" s="307"/>
      <c r="Z405" s="307"/>
      <c r="AA405" s="307"/>
      <c r="AB405" s="307"/>
      <c r="AC405" s="307"/>
      <c r="AD405" s="307"/>
      <c r="AE405" s="307"/>
      <c r="AF405" s="307"/>
      <c r="AG405" s="307"/>
      <c r="AH405" s="307"/>
      <c r="AI405" s="307"/>
      <c r="AJ405" s="307"/>
      <c r="AK405" s="307"/>
      <c r="AL405" s="307"/>
      <c r="AM405" s="307"/>
      <c r="AN405" s="307"/>
      <c r="AO405" s="307"/>
      <c r="AP405" s="307"/>
      <c r="AQ405" s="307"/>
      <c r="AR405" s="307"/>
      <c r="AS405" s="307"/>
      <c r="AT405" s="307"/>
      <c r="AU405" s="307"/>
      <c r="AV405" s="307"/>
      <c r="AW405" s="307"/>
      <c r="AX405" s="307"/>
      <c r="AY405" s="307"/>
      <c r="AZ405" s="307"/>
      <c r="BA405" s="307"/>
      <c r="BB405" s="307"/>
      <c r="BC405" s="307"/>
      <c r="BD405" s="307"/>
      <c r="BE405" s="307"/>
      <c r="BF405" s="307"/>
      <c r="BG405" s="307"/>
      <c r="BH405" s="307"/>
      <c r="BI405" s="307"/>
      <c r="BJ405" s="307"/>
      <c r="BK405" s="307"/>
      <c r="BL405" s="307"/>
      <c r="BM405" s="307"/>
      <c r="BN405" s="307"/>
      <c r="BO405" s="307"/>
      <c r="BP405" s="307"/>
      <c r="BQ405" s="307"/>
      <c r="BR405" s="307"/>
      <c r="BS405" s="307"/>
      <c r="BT405" s="307"/>
      <c r="BU405" s="307"/>
      <c r="BV405" s="307"/>
      <c r="BW405" s="307"/>
      <c r="BX405" s="307"/>
      <c r="BY405" s="307"/>
      <c r="BZ405" s="307"/>
      <c r="CA405" s="307"/>
      <c r="CB405" s="307"/>
      <c r="CC405" s="307"/>
      <c r="CD405" s="307"/>
      <c r="CE405" s="307"/>
      <c r="CF405" s="307"/>
    </row>
    <row r="406" spans="4:84">
      <c r="D406" s="307"/>
      <c r="E406" s="307"/>
      <c r="F406" s="307"/>
      <c r="G406" s="307"/>
      <c r="H406" s="307"/>
      <c r="I406" s="307"/>
      <c r="J406" s="307"/>
      <c r="K406" s="307"/>
      <c r="L406" s="307"/>
      <c r="M406" s="307"/>
      <c r="N406" s="307"/>
      <c r="O406" s="307"/>
      <c r="P406" s="307"/>
      <c r="Q406" s="307"/>
      <c r="R406" s="307"/>
      <c r="S406" s="307"/>
      <c r="T406" s="307"/>
      <c r="U406" s="307"/>
      <c r="V406" s="307"/>
      <c r="W406" s="307"/>
      <c r="X406" s="307"/>
      <c r="Y406" s="307"/>
      <c r="Z406" s="307"/>
      <c r="AA406" s="307"/>
      <c r="AB406" s="307"/>
      <c r="AC406" s="307"/>
      <c r="AD406" s="307"/>
      <c r="AE406" s="307"/>
      <c r="AF406" s="307"/>
      <c r="AG406" s="307"/>
      <c r="AH406" s="307"/>
      <c r="AI406" s="307"/>
      <c r="AJ406" s="307"/>
      <c r="AK406" s="307"/>
      <c r="AL406" s="307"/>
      <c r="AM406" s="307"/>
      <c r="AN406" s="307"/>
      <c r="AO406" s="307"/>
      <c r="AP406" s="307"/>
      <c r="AQ406" s="307"/>
      <c r="AR406" s="307"/>
      <c r="AS406" s="307"/>
      <c r="AT406" s="307"/>
      <c r="AU406" s="307"/>
      <c r="AV406" s="307"/>
      <c r="AW406" s="307"/>
      <c r="AX406" s="307"/>
      <c r="AY406" s="307"/>
      <c r="AZ406" s="307"/>
      <c r="BA406" s="307"/>
      <c r="BB406" s="307"/>
      <c r="BC406" s="307"/>
      <c r="BD406" s="307"/>
      <c r="BE406" s="307"/>
      <c r="BF406" s="307"/>
      <c r="BG406" s="307"/>
      <c r="BH406" s="307"/>
      <c r="BI406" s="307"/>
      <c r="BJ406" s="307"/>
      <c r="BK406" s="307"/>
      <c r="BL406" s="307"/>
      <c r="BM406" s="307"/>
      <c r="BN406" s="307"/>
      <c r="BO406" s="307"/>
      <c r="BP406" s="307"/>
      <c r="BQ406" s="307"/>
      <c r="BR406" s="307"/>
      <c r="BS406" s="307"/>
      <c r="BT406" s="307"/>
      <c r="BU406" s="307"/>
      <c r="BV406" s="307"/>
      <c r="BW406" s="307"/>
      <c r="BX406" s="307"/>
      <c r="BY406" s="307"/>
      <c r="BZ406" s="307"/>
      <c r="CA406" s="307"/>
      <c r="CB406" s="307"/>
      <c r="CC406" s="307"/>
      <c r="CD406" s="307"/>
      <c r="CE406" s="307"/>
      <c r="CF406" s="307"/>
    </row>
    <row r="407" spans="4:84">
      <c r="D407" s="307"/>
      <c r="E407" s="307"/>
      <c r="F407" s="307"/>
      <c r="G407" s="307"/>
      <c r="H407" s="307"/>
      <c r="I407" s="307"/>
      <c r="J407" s="307"/>
      <c r="K407" s="307"/>
      <c r="L407" s="307"/>
      <c r="M407" s="307"/>
      <c r="N407" s="307"/>
      <c r="O407" s="307"/>
      <c r="P407" s="307"/>
      <c r="Q407" s="307"/>
      <c r="R407" s="307"/>
      <c r="S407" s="307"/>
      <c r="T407" s="307"/>
      <c r="U407" s="307"/>
      <c r="V407" s="307"/>
      <c r="W407" s="307"/>
      <c r="X407" s="307"/>
      <c r="Y407" s="307"/>
      <c r="Z407" s="307"/>
      <c r="AA407" s="307"/>
      <c r="AB407" s="307"/>
      <c r="AC407" s="307"/>
      <c r="AD407" s="307"/>
      <c r="AE407" s="307"/>
      <c r="AF407" s="307"/>
      <c r="AG407" s="307"/>
      <c r="AH407" s="307"/>
      <c r="AI407" s="307"/>
      <c r="AJ407" s="307"/>
      <c r="AK407" s="307"/>
      <c r="AL407" s="307"/>
      <c r="AM407" s="307"/>
      <c r="AN407" s="307"/>
      <c r="AO407" s="307"/>
      <c r="AP407" s="307"/>
      <c r="AQ407" s="307"/>
      <c r="AR407" s="307"/>
      <c r="AS407" s="307"/>
      <c r="AT407" s="307"/>
      <c r="AU407" s="307"/>
      <c r="AV407" s="307"/>
      <c r="AW407" s="307"/>
      <c r="AX407" s="307"/>
      <c r="AY407" s="307"/>
      <c r="AZ407" s="307"/>
      <c r="BA407" s="307"/>
      <c r="BB407" s="307"/>
      <c r="BC407" s="307"/>
      <c r="BD407" s="307"/>
      <c r="BE407" s="307"/>
      <c r="BF407" s="307"/>
      <c r="BG407" s="307"/>
      <c r="BH407" s="307"/>
      <c r="BI407" s="307"/>
      <c r="BJ407" s="307"/>
      <c r="BK407" s="307"/>
      <c r="BL407" s="307"/>
      <c r="BM407" s="307"/>
      <c r="BN407" s="307"/>
      <c r="BO407" s="307"/>
      <c r="BP407" s="307"/>
      <c r="BQ407" s="307"/>
      <c r="BR407" s="307"/>
      <c r="BS407" s="307"/>
      <c r="BT407" s="307"/>
      <c r="BU407" s="307"/>
      <c r="BV407" s="307"/>
      <c r="BW407" s="307"/>
      <c r="BX407" s="307"/>
      <c r="BY407" s="307"/>
      <c r="BZ407" s="307"/>
      <c r="CA407" s="307"/>
      <c r="CB407" s="307"/>
      <c r="CC407" s="307"/>
      <c r="CD407" s="307"/>
      <c r="CE407" s="307"/>
      <c r="CF407" s="307"/>
    </row>
  </sheetData>
  <phoneticPr fontId="0" type="noConversion"/>
  <pageMargins left="0.75" right="0.75" top="1" bottom="1" header="0.5" footer="0.5"/>
  <pageSetup paperSize="9" orientation="portrait" r:id="rId1"/>
  <headerFooter alignWithMargins="0"/>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92D050"/>
    <pageSetUpPr autoPageBreaks="0"/>
  </sheetPr>
  <dimension ref="A1:IV398"/>
  <sheetViews>
    <sheetView zoomScaleNormal="100" workbookViewId="0">
      <selection activeCell="D251" sqref="D251"/>
    </sheetView>
  </sheetViews>
  <sheetFormatPr defaultRowHeight="12.75"/>
  <cols>
    <col min="1" max="1" width="29" style="4" bestFit="1" customWidth="1"/>
    <col min="2" max="2" width="14.42578125" style="4" bestFit="1" customWidth="1"/>
    <col min="3" max="4" width="17.85546875" style="4" bestFit="1" customWidth="1"/>
    <col min="5" max="5" width="12.5703125" style="4" bestFit="1" customWidth="1"/>
    <col min="6" max="6" width="10.140625" style="4" bestFit="1" customWidth="1"/>
    <col min="7" max="7" width="16.7109375" style="4" customWidth="1"/>
    <col min="8" max="8" width="12" style="4" bestFit="1" customWidth="1"/>
    <col min="9" max="9" width="11" style="4" bestFit="1" customWidth="1"/>
    <col min="10" max="10" width="11.7109375" style="4" bestFit="1" customWidth="1"/>
    <col min="11" max="11" width="12" style="4" bestFit="1" customWidth="1"/>
    <col min="12" max="12" width="14.7109375" style="4" bestFit="1" customWidth="1"/>
    <col min="13" max="13" width="16.5703125" style="4" bestFit="1" customWidth="1"/>
    <col min="14" max="14" width="12" style="4" bestFit="1" customWidth="1"/>
    <col min="15" max="15" width="25.140625" style="4" bestFit="1" customWidth="1"/>
    <col min="16" max="16" width="21.85546875" style="4" bestFit="1" customWidth="1"/>
    <col min="17" max="17" width="15.28515625" style="4" bestFit="1" customWidth="1"/>
    <col min="18" max="27" width="10.140625" style="4" bestFit="1" customWidth="1"/>
    <col min="28" max="28" width="18.7109375" style="4" customWidth="1"/>
    <col min="29" max="80" width="10.140625" style="4" bestFit="1" customWidth="1"/>
    <col min="81" max="82" width="17.85546875" style="4" bestFit="1" customWidth="1"/>
    <col min="83" max="83" width="17.85546875" style="4" customWidth="1"/>
    <col min="84" max="84" width="24.140625" style="4" customWidth="1"/>
    <col min="85" max="85" width="24.7109375" style="4" customWidth="1"/>
    <col min="86" max="102" width="15.7109375" style="4" bestFit="1" customWidth="1"/>
    <col min="103" max="103" width="20.85546875" style="4" customWidth="1"/>
    <col min="104" max="104" width="13.85546875" style="4" customWidth="1"/>
    <col min="105" max="142" width="9.140625" style="4"/>
    <col min="143" max="143" width="13.28515625" style="4" customWidth="1"/>
    <col min="144" max="16384" width="9.140625" style="4"/>
  </cols>
  <sheetData>
    <row r="1" spans="1:152">
      <c r="C1" s="156"/>
      <c r="D1" s="4" t="s">
        <v>109</v>
      </c>
      <c r="E1" s="4" t="s">
        <v>108</v>
      </c>
      <c r="F1" s="1" t="s">
        <v>3</v>
      </c>
      <c r="G1" s="4" t="s">
        <v>107</v>
      </c>
      <c r="H1" s="1" t="s">
        <v>0</v>
      </c>
      <c r="I1" s="1" t="s">
        <v>1</v>
      </c>
      <c r="J1" s="1" t="s">
        <v>2</v>
      </c>
      <c r="K1" s="2" t="s">
        <v>4</v>
      </c>
      <c r="L1" s="2" t="s">
        <v>6</v>
      </c>
      <c r="M1" s="2" t="s">
        <v>7</v>
      </c>
      <c r="N1" s="2" t="s">
        <v>5</v>
      </c>
      <c r="O1" s="2" t="s">
        <v>9</v>
      </c>
      <c r="P1" s="2" t="s">
        <v>10</v>
      </c>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3"/>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row>
    <row r="2" spans="1:152">
      <c r="A2" s="14" t="s">
        <v>20</v>
      </c>
      <c r="B2" s="14"/>
      <c r="C2" s="1"/>
      <c r="D2" t="str">
        <f>'Bond Data'!B31</f>
        <v>CTEUR1M GOVT</v>
      </c>
      <c r="E2" s="192"/>
      <c r="F2" s="192" t="str">
        <f>'Bond Data'!D31</f>
        <v>8/7/2019</v>
      </c>
      <c r="G2" s="548"/>
      <c r="H2">
        <f>'Bond Data'!F31</f>
        <v>100.05199999999999</v>
      </c>
      <c r="I2">
        <f>'Bond Data'!G31</f>
        <v>0</v>
      </c>
      <c r="J2">
        <f>'Bond Data'!H31/100</f>
        <v>0</v>
      </c>
      <c r="K2">
        <f>'Bond Data'!I31</f>
        <v>100.05199999999999</v>
      </c>
      <c r="L2" s="549"/>
      <c r="P2" s="4" t="e">
        <f t="shared" ref="P2:P17" si="0">O2/$O$28</f>
        <v>#NUM!</v>
      </c>
      <c r="BO2" s="3"/>
    </row>
    <row r="3" spans="1:152">
      <c r="A3" s="14" t="s">
        <v>21</v>
      </c>
      <c r="B3" s="15">
        <f>'Instructions &amp; Dashboard'!$D$45</f>
        <v>43648</v>
      </c>
      <c r="C3" s="1"/>
      <c r="D3" t="str">
        <f>'Bond Data'!B32</f>
        <v>CTEUR3M GOVT</v>
      </c>
      <c r="E3" s="192"/>
      <c r="F3" s="192" t="str">
        <f>'Bond Data'!D32</f>
        <v>10/2/2019</v>
      </c>
      <c r="G3" s="548"/>
      <c r="H3">
        <f>'Bond Data'!F32</f>
        <v>100.14</v>
      </c>
      <c r="I3">
        <f>'Bond Data'!G32</f>
        <v>0</v>
      </c>
      <c r="J3">
        <f>'Bond Data'!H32/100</f>
        <v>0</v>
      </c>
      <c r="K3">
        <f>'Bond Data'!I32</f>
        <v>100.14</v>
      </c>
      <c r="L3" s="549"/>
      <c r="M3" s="549"/>
      <c r="N3" s="549"/>
      <c r="P3" s="4" t="e">
        <f t="shared" si="0"/>
        <v>#NUM!</v>
      </c>
      <c r="BO3" s="3"/>
    </row>
    <row r="4" spans="1:152">
      <c r="A4" s="14" t="s">
        <v>46</v>
      </c>
      <c r="B4" s="14"/>
      <c r="C4" s="1"/>
      <c r="D4" t="str">
        <f>'Bond Data'!B33</f>
        <v>CTEUR6M GOVT</v>
      </c>
      <c r="E4" s="192"/>
      <c r="F4" s="192" t="str">
        <f>'Bond Data'!D33</f>
        <v>11/20/2019</v>
      </c>
      <c r="G4" s="548"/>
      <c r="H4">
        <f>'Bond Data'!F33</f>
        <v>100.22450000000001</v>
      </c>
      <c r="I4">
        <f>'Bond Data'!G33</f>
        <v>0</v>
      </c>
      <c r="J4">
        <f>'Bond Data'!H33/100</f>
        <v>0</v>
      </c>
      <c r="K4">
        <f>'Bond Data'!I33</f>
        <v>100.22450000000001</v>
      </c>
      <c r="L4" s="549"/>
      <c r="M4" s="549"/>
      <c r="N4" s="549"/>
      <c r="P4" s="4" t="e">
        <f t="shared" si="0"/>
        <v>#NUM!</v>
      </c>
      <c r="BO4" s="3"/>
    </row>
    <row r="5" spans="1:152">
      <c r="A5" s="14" t="s">
        <v>50</v>
      </c>
      <c r="B5" s="238">
        <v>4.2000000000000003E-2</v>
      </c>
      <c r="C5" s="1"/>
      <c r="D5" t="str">
        <f>'Bond Data'!B34</f>
        <v>CTEUR12M GOVT</v>
      </c>
      <c r="E5" s="192"/>
      <c r="F5" s="192" t="str">
        <f>'Bond Data'!D34</f>
        <v>6/17/2020</v>
      </c>
      <c r="G5" s="548"/>
      <c r="H5">
        <f>'Bond Data'!F34</f>
        <v>100.61150000000001</v>
      </c>
      <c r="I5">
        <f>'Bond Data'!G34</f>
        <v>0</v>
      </c>
      <c r="J5">
        <f>'Bond Data'!H34/100</f>
        <v>0</v>
      </c>
      <c r="K5">
        <f>'Bond Data'!I34</f>
        <v>100.61150000000001</v>
      </c>
      <c r="L5" s="549"/>
      <c r="M5" s="549"/>
      <c r="N5" s="549"/>
      <c r="P5" s="4" t="e">
        <f t="shared" si="0"/>
        <v>#NUM!</v>
      </c>
      <c r="BO5" s="3"/>
    </row>
    <row r="6" spans="1:152">
      <c r="A6" s="14" t="s">
        <v>11</v>
      </c>
      <c r="B6" s="305">
        <v>-4.8437080516257953E-2</v>
      </c>
      <c r="C6" s="1"/>
      <c r="D6" t="str">
        <f>'Bond Data'!B35</f>
        <v>CTEUR2Y GOVT</v>
      </c>
      <c r="E6" s="192"/>
      <c r="F6" s="192" t="str">
        <f>'Bond Data'!D35</f>
        <v>6/11/2021</v>
      </c>
      <c r="G6" s="548">
        <f>'Bond Data'!E35</f>
        <v>1</v>
      </c>
      <c r="H6">
        <f>'Bond Data'!F35</f>
        <v>101.50149999999999</v>
      </c>
      <c r="I6">
        <f>'Bond Data'!G35</f>
        <v>0</v>
      </c>
      <c r="J6">
        <f>'Bond Data'!H35/100</f>
        <v>0</v>
      </c>
      <c r="K6">
        <f>'Bond Data'!I35</f>
        <v>101.50149999999999</v>
      </c>
      <c r="L6" s="549">
        <f t="shared" ref="L6:L17" si="1">YIELD($B$3,F6,J6,H6,100,G6,0)</f>
        <v>-7.6461840961735261E-3</v>
      </c>
      <c r="M6" s="549" t="e">
        <f t="shared" ref="M6:M17" si="2">MDURATION($B$3,F6,J6,L6,G6,0)</f>
        <v>#NUM!</v>
      </c>
      <c r="N6" s="549" t="e">
        <f t="shared" ref="N6:N17" si="3">DURATION($B$3,F6,J6,L6,G6,0)</f>
        <v>#NUM!</v>
      </c>
      <c r="O6" s="4" t="e">
        <f t="shared" ref="O6:O17" si="4">1/M6</f>
        <v>#NUM!</v>
      </c>
      <c r="P6" s="4" t="e">
        <f t="shared" si="0"/>
        <v>#NUM!</v>
      </c>
      <c r="BO6" s="3"/>
    </row>
    <row r="7" spans="1:152">
      <c r="A7" s="14" t="s">
        <v>12</v>
      </c>
      <c r="B7" s="305">
        <v>-4.7192247035216218E-2</v>
      </c>
      <c r="C7" s="1"/>
      <c r="D7" t="str">
        <f>'Bond Data'!B36</f>
        <v>CTEUR3Y GOVT</v>
      </c>
      <c r="E7" s="192" t="str">
        <f>'Bond Data'!C36</f>
        <v>4/8/2020</v>
      </c>
      <c r="F7" s="192" t="str">
        <f>'Bond Data'!D36</f>
        <v>4/8/2022</v>
      </c>
      <c r="G7">
        <f>'Bond Data'!E36</f>
        <v>1</v>
      </c>
      <c r="H7">
        <f>'Bond Data'!F36</f>
        <v>102.1995</v>
      </c>
      <c r="I7">
        <f>'Bond Data'!G36</f>
        <v>0</v>
      </c>
      <c r="J7">
        <f>'Bond Data'!H36/100</f>
        <v>0</v>
      </c>
      <c r="K7">
        <f>'Bond Data'!I36</f>
        <v>102.1995</v>
      </c>
      <c r="L7" s="549">
        <f t="shared" si="1"/>
        <v>-7.8329920797563894E-3</v>
      </c>
      <c r="M7" s="549" t="e">
        <f t="shared" si="2"/>
        <v>#NUM!</v>
      </c>
      <c r="N7" s="549" t="e">
        <f t="shared" si="3"/>
        <v>#NUM!</v>
      </c>
      <c r="O7" s="4" t="e">
        <f t="shared" si="4"/>
        <v>#NUM!</v>
      </c>
      <c r="P7" s="4" t="e">
        <f t="shared" si="0"/>
        <v>#NUM!</v>
      </c>
      <c r="BO7" s="3"/>
    </row>
    <row r="8" spans="1:152">
      <c r="A8" s="14" t="s">
        <v>51</v>
      </c>
      <c r="B8" s="305">
        <v>-9.7343296302025678E-2</v>
      </c>
      <c r="C8" s="1"/>
      <c r="D8" t="str">
        <f>'Bond Data'!B37</f>
        <v>CTEUR4Y GOVT</v>
      </c>
      <c r="E8" s="192" t="str">
        <f>'Bond Data'!C37</f>
        <v>4/14/2020</v>
      </c>
      <c r="F8" s="192" t="str">
        <f>'Bond Data'!D37</f>
        <v>4/14/2023</v>
      </c>
      <c r="G8" s="548">
        <f>'Bond Data'!E37</f>
        <v>1</v>
      </c>
      <c r="H8">
        <f>'Bond Data'!F37</f>
        <v>102.88849999999999</v>
      </c>
      <c r="I8">
        <f>'Bond Data'!G37</f>
        <v>0</v>
      </c>
      <c r="J8">
        <f>'Bond Data'!H37/100</f>
        <v>0</v>
      </c>
      <c r="K8">
        <f>'Bond Data'!I37</f>
        <v>102.88849999999999</v>
      </c>
      <c r="L8" s="549">
        <f t="shared" si="1"/>
        <v>-7.4983604914216524E-3</v>
      </c>
      <c r="M8" s="549" t="e">
        <f t="shared" si="2"/>
        <v>#NUM!</v>
      </c>
      <c r="N8" s="549" t="e">
        <f t="shared" si="3"/>
        <v>#NUM!</v>
      </c>
      <c r="O8" s="4" t="e">
        <f t="shared" si="4"/>
        <v>#NUM!</v>
      </c>
      <c r="P8" s="4" t="e">
        <f t="shared" si="0"/>
        <v>#NUM!</v>
      </c>
      <c r="BO8" s="3"/>
    </row>
    <row r="9" spans="1:152">
      <c r="A9" s="14" t="s">
        <v>53</v>
      </c>
      <c r="B9" s="305">
        <v>4.7881899899881883</v>
      </c>
      <c r="C9" s="1"/>
      <c r="D9" t="str">
        <f>'Bond Data'!B38</f>
        <v>CTEUR5Y GOVT</v>
      </c>
      <c r="E9" s="192" t="str">
        <f>'Bond Data'!C38</f>
        <v>4/5/2020</v>
      </c>
      <c r="F9" s="192" t="str">
        <f>'Bond Data'!D38</f>
        <v>4/5/2024</v>
      </c>
      <c r="G9" s="548">
        <f>'Bond Data'!E38</f>
        <v>1</v>
      </c>
      <c r="H9">
        <f>'Bond Data'!F38</f>
        <v>103.32550000000001</v>
      </c>
      <c r="I9">
        <f>'Bond Data'!G38</f>
        <v>0</v>
      </c>
      <c r="J9" s="225">
        <f>'Bond Data'!H38/100</f>
        <v>0</v>
      </c>
      <c r="K9">
        <f>'Bond Data'!I38</f>
        <v>103.32550000000001</v>
      </c>
      <c r="L9" s="549">
        <f t="shared" si="1"/>
        <v>-6.8515197326201602E-3</v>
      </c>
      <c r="M9" s="549" t="e">
        <f t="shared" si="2"/>
        <v>#NUM!</v>
      </c>
      <c r="N9" s="549" t="e">
        <f t="shared" si="3"/>
        <v>#NUM!</v>
      </c>
      <c r="O9" s="4" t="e">
        <f t="shared" si="4"/>
        <v>#NUM!</v>
      </c>
      <c r="P9" s="4" t="e">
        <f t="shared" si="0"/>
        <v>#NUM!</v>
      </c>
      <c r="BO9" s="3"/>
    </row>
    <row r="10" spans="1:152">
      <c r="A10" s="14" t="s">
        <v>52</v>
      </c>
      <c r="B10" s="305">
        <v>36.119133428546959</v>
      </c>
      <c r="C10" s="1"/>
      <c r="D10" t="str">
        <f>'Bond Data'!B39</f>
        <v>CTEUR6Y GOVT</v>
      </c>
      <c r="E10" s="192" t="str">
        <f>'Bond Data'!C39</f>
        <v>2/15/2020</v>
      </c>
      <c r="F10" s="192" t="str">
        <f>'Bond Data'!D39</f>
        <v>2/15/2025</v>
      </c>
      <c r="G10">
        <f>'Bond Data'!E39</f>
        <v>1</v>
      </c>
      <c r="H10">
        <f>'Bond Data'!F39</f>
        <v>106.61750000000001</v>
      </c>
      <c r="I10">
        <f>'Bond Data'!G39</f>
        <v>0.19041095890410958</v>
      </c>
      <c r="J10">
        <f>'Bond Data'!H39/100</f>
        <v>5.0000000000000001E-3</v>
      </c>
      <c r="K10">
        <f>'Bond Data'!I39</f>
        <v>106.80791095890412</v>
      </c>
      <c r="L10" s="549">
        <f t="shared" si="1"/>
        <v>-6.5224674988959693E-3</v>
      </c>
      <c r="M10" s="549" t="e">
        <f t="shared" si="2"/>
        <v>#NUM!</v>
      </c>
      <c r="N10" s="549" t="e">
        <f t="shared" si="3"/>
        <v>#NUM!</v>
      </c>
      <c r="O10" s="4" t="e">
        <f t="shared" si="4"/>
        <v>#NUM!</v>
      </c>
      <c r="P10" s="4" t="e">
        <f t="shared" si="0"/>
        <v>#NUM!</v>
      </c>
      <c r="BO10" s="3"/>
    </row>
    <row r="11" spans="1:152">
      <c r="A11" s="14"/>
      <c r="B11" s="14"/>
      <c r="C11" s="1"/>
      <c r="D11" t="str">
        <f>'Bond Data'!B40</f>
        <v>CTEUR7Y GOVT</v>
      </c>
      <c r="E11" s="192" t="str">
        <f>'Bond Data'!C40</f>
        <v>2/15/2020</v>
      </c>
      <c r="F11" s="192" t="str">
        <f>'Bond Data'!D40</f>
        <v>2/15/2026</v>
      </c>
      <c r="G11">
        <f>'Bond Data'!E40</f>
        <v>1</v>
      </c>
      <c r="H11">
        <f>'Bond Data'!F40</f>
        <v>107.41050000000001</v>
      </c>
      <c r="I11">
        <f>'Bond Data'!G40</f>
        <v>0.19041095890410958</v>
      </c>
      <c r="J11">
        <f>'Bond Data'!H40/100</f>
        <v>5.0000000000000001E-3</v>
      </c>
      <c r="K11">
        <f>'Bond Data'!I40</f>
        <v>107.60091095890412</v>
      </c>
      <c r="L11" s="549">
        <f t="shared" si="1"/>
        <v>-5.9424965734651515E-3</v>
      </c>
      <c r="M11" s="549" t="e">
        <f t="shared" si="2"/>
        <v>#NUM!</v>
      </c>
      <c r="N11" s="549" t="e">
        <f t="shared" si="3"/>
        <v>#NUM!</v>
      </c>
      <c r="O11" s="4" t="e">
        <f t="shared" si="4"/>
        <v>#NUM!</v>
      </c>
      <c r="P11" s="4" t="e">
        <f t="shared" si="0"/>
        <v>#NUM!</v>
      </c>
      <c r="BO11" s="3"/>
    </row>
    <row r="12" spans="1:152">
      <c r="C12" s="1"/>
      <c r="D12" t="str">
        <f>'Bond Data'!B41</f>
        <v>CTEUR8Y GOVT</v>
      </c>
      <c r="E12" s="192" t="str">
        <f>'Bond Data'!C41</f>
        <v>2/15/2020</v>
      </c>
      <c r="F12" s="192" t="str">
        <f>'Bond Data'!D41</f>
        <v>2/15/2027</v>
      </c>
      <c r="G12">
        <f>'Bond Data'!E41</f>
        <v>1</v>
      </c>
      <c r="H12">
        <f>'Bond Data'!F41</f>
        <v>106.041</v>
      </c>
      <c r="I12">
        <f>'Bond Data'!G41</f>
        <v>9.5205479452054792E-2</v>
      </c>
      <c r="J12">
        <f>'Bond Data'!H41/100</f>
        <v>2.5000000000000001E-3</v>
      </c>
      <c r="K12">
        <f>'Bond Data'!I41</f>
        <v>106.13620547945204</v>
      </c>
      <c r="L12" s="549">
        <f t="shared" si="1"/>
        <v>-5.2498587375765801E-3</v>
      </c>
      <c r="M12" s="549" t="e">
        <f t="shared" si="2"/>
        <v>#NUM!</v>
      </c>
      <c r="N12" s="549" t="e">
        <f t="shared" si="3"/>
        <v>#NUM!</v>
      </c>
      <c r="O12" s="4" t="e">
        <f t="shared" si="4"/>
        <v>#NUM!</v>
      </c>
      <c r="P12" s="4" t="e">
        <f t="shared" si="0"/>
        <v>#NUM!</v>
      </c>
      <c r="BO12" s="3"/>
    </row>
    <row r="13" spans="1:152">
      <c r="C13" s="1"/>
      <c r="D13" t="str">
        <f>'Bond Data'!B42</f>
        <v>CTEUR9Y GOVT</v>
      </c>
      <c r="E13" s="192" t="str">
        <f>'Bond Data'!C42</f>
        <v>2/15/2020</v>
      </c>
      <c r="F13" s="192" t="str">
        <f>'Bond Data'!D42</f>
        <v>2/15/2028</v>
      </c>
      <c r="G13">
        <f>'Bond Data'!E42</f>
        <v>1</v>
      </c>
      <c r="H13">
        <f>'Bond Data'!F42</f>
        <v>108.33699999999999</v>
      </c>
      <c r="I13">
        <f>'Bond Data'!G42</f>
        <v>0.19041095890410958</v>
      </c>
      <c r="J13">
        <f>'Bond Data'!H42/100</f>
        <v>5.0000000000000001E-3</v>
      </c>
      <c r="K13">
        <f>'Bond Data'!I42</f>
        <v>108.5274109589041</v>
      </c>
      <c r="L13" s="549">
        <f t="shared" si="1"/>
        <v>-4.4654598640804103E-3</v>
      </c>
      <c r="M13" s="549" t="e">
        <f t="shared" si="2"/>
        <v>#NUM!</v>
      </c>
      <c r="N13" s="549" t="e">
        <f t="shared" si="3"/>
        <v>#NUM!</v>
      </c>
      <c r="O13" s="4" t="e">
        <f t="shared" si="4"/>
        <v>#NUM!</v>
      </c>
      <c r="P13" s="4" t="e">
        <f t="shared" si="0"/>
        <v>#NUM!</v>
      </c>
      <c r="BO13" s="3"/>
    </row>
    <row r="14" spans="1:152">
      <c r="C14" s="1"/>
      <c r="D14" t="str">
        <f>'Bond Data'!B43</f>
        <v>CTEUR10Y GOVT</v>
      </c>
      <c r="E14" s="192" t="str">
        <f>'Bond Data'!C43</f>
        <v>2/15/2020</v>
      </c>
      <c r="F14" s="192" t="str">
        <f>'Bond Data'!D43</f>
        <v>2/15/2029</v>
      </c>
      <c r="G14">
        <f>'Bond Data'!E43</f>
        <v>1</v>
      </c>
      <c r="H14">
        <f>'Bond Data'!F43</f>
        <v>105.9495</v>
      </c>
      <c r="I14">
        <f>'Bond Data'!G43</f>
        <v>0.11917808219178083</v>
      </c>
      <c r="J14">
        <f>'Bond Data'!H43/100</f>
        <v>2.5000000000000001E-3</v>
      </c>
      <c r="K14">
        <f>'Bond Data'!I43</f>
        <v>106.06867808219178</v>
      </c>
      <c r="L14" s="549">
        <f t="shared" si="1"/>
        <v>-3.5681839524565632E-3</v>
      </c>
      <c r="M14" s="549" t="e">
        <f t="shared" si="2"/>
        <v>#NUM!</v>
      </c>
      <c r="N14" s="549" t="e">
        <f t="shared" si="3"/>
        <v>#NUM!</v>
      </c>
      <c r="O14" s="4" t="e">
        <f t="shared" si="4"/>
        <v>#NUM!</v>
      </c>
      <c r="P14" s="4" t="e">
        <f t="shared" si="0"/>
        <v>#NUM!</v>
      </c>
      <c r="BO14" s="3"/>
    </row>
    <row r="15" spans="1:152">
      <c r="C15" s="1"/>
      <c r="D15" t="str">
        <f>'Bond Data'!B44</f>
        <v>CTEUR15Y GOVT</v>
      </c>
      <c r="E15" s="192" t="str">
        <f>'Bond Data'!C44</f>
        <v>7/4/2020</v>
      </c>
      <c r="F15" s="192" t="str">
        <f>'Bond Data'!D44</f>
        <v>7/4/2034</v>
      </c>
      <c r="G15">
        <f>'Bond Data'!E44</f>
        <v>1</v>
      </c>
      <c r="H15">
        <f>'Bond Data'!F44</f>
        <v>174.09550000000002</v>
      </c>
      <c r="I15">
        <f>'Bond Data'!G44</f>
        <v>0</v>
      </c>
      <c r="J15">
        <f>'Bond Data'!H44/100</f>
        <v>4.7500000000000001E-2</v>
      </c>
      <c r="K15">
        <f>'Bond Data'!I44</f>
        <v>174.09550000000002</v>
      </c>
      <c r="L15" s="549">
        <f t="shared" si="1"/>
        <v>-1.3477790290202251E-3</v>
      </c>
      <c r="M15" s="549" t="e">
        <f t="shared" si="2"/>
        <v>#NUM!</v>
      </c>
      <c r="N15" s="549" t="e">
        <f t="shared" si="3"/>
        <v>#NUM!</v>
      </c>
      <c r="O15" s="4" t="e">
        <f t="shared" si="4"/>
        <v>#NUM!</v>
      </c>
      <c r="P15" s="4" t="e">
        <f t="shared" si="0"/>
        <v>#NUM!</v>
      </c>
      <c r="BO15" s="3"/>
    </row>
    <row r="16" spans="1:152">
      <c r="C16" s="1"/>
      <c r="D16" t="str">
        <f>'Bond Data'!B45</f>
        <v>CTEUR20Y GOVT</v>
      </c>
      <c r="E16" s="192" t="str">
        <f>'Bond Data'!C45</f>
        <v>7/4/2020</v>
      </c>
      <c r="F16" s="192" t="str">
        <f>'Bond Data'!D45</f>
        <v>7/4/2039</v>
      </c>
      <c r="G16">
        <f>'Bond Data'!E45</f>
        <v>1</v>
      </c>
      <c r="H16">
        <f>'Bond Data'!F45</f>
        <v>183.69</v>
      </c>
      <c r="I16">
        <f>'Bond Data'!G45</f>
        <v>0</v>
      </c>
      <c r="J16">
        <f>'Bond Data'!H45/100</f>
        <v>4.2500000000000003E-2</v>
      </c>
      <c r="K16">
        <f>'Bond Data'!I45</f>
        <v>183.69</v>
      </c>
      <c r="L16" s="549">
        <f t="shared" si="1"/>
        <v>4.6292545135729246E-4</v>
      </c>
      <c r="M16" s="549">
        <f t="shared" si="2"/>
        <v>15.262938789725137</v>
      </c>
      <c r="N16" s="549">
        <f t="shared" si="3"/>
        <v>15.270004392553409</v>
      </c>
      <c r="O16" s="4">
        <f t="shared" si="4"/>
        <v>6.5518181903028425E-2</v>
      </c>
      <c r="P16" s="4" t="e">
        <f t="shared" si="0"/>
        <v>#NUM!</v>
      </c>
      <c r="BO16" s="3"/>
    </row>
    <row r="17" spans="1:83">
      <c r="C17" s="1"/>
      <c r="D17" t="str">
        <f>'Bond Data'!B46</f>
        <v>CTEUR30Y GOVT</v>
      </c>
      <c r="E17" s="192" t="str">
        <f>'Bond Data'!C46</f>
        <v>8/15/2019</v>
      </c>
      <c r="F17" s="192" t="str">
        <f>'Bond Data'!D46</f>
        <v>8/15/2048</v>
      </c>
      <c r="G17">
        <f>'Bond Data'!E46</f>
        <v>1</v>
      </c>
      <c r="H17">
        <f>'Bond Data'!F46</f>
        <v>127.607</v>
      </c>
      <c r="I17">
        <f>'Bond Data'!G46</f>
        <v>1.1061643835616439</v>
      </c>
      <c r="J17">
        <f>'Bond Data'!H46/100</f>
        <v>1.2500000000000001E-2</v>
      </c>
      <c r="K17">
        <f>'Bond Data'!I46</f>
        <v>128.71316438356163</v>
      </c>
      <c r="L17" s="549">
        <f t="shared" si="1"/>
        <v>2.6380351302409955E-3</v>
      </c>
      <c r="M17" s="549">
        <f t="shared" si="2"/>
        <v>24.932208031193461</v>
      </c>
      <c r="N17" s="549">
        <f t="shared" si="3"/>
        <v>24.997980071854229</v>
      </c>
      <c r="O17" s="4">
        <f t="shared" si="4"/>
        <v>4.0108762077906174E-2</v>
      </c>
      <c r="P17" s="4" t="e">
        <f t="shared" si="0"/>
        <v>#NUM!</v>
      </c>
      <c r="BO17" s="3"/>
    </row>
    <row r="18" spans="1:83">
      <c r="C18" s="1"/>
      <c r="D18"/>
      <c r="E18"/>
      <c r="F18" s="192"/>
      <c r="G18"/>
      <c r="H18"/>
      <c r="I18"/>
      <c r="J18"/>
      <c r="K18"/>
      <c r="BO18" s="3"/>
    </row>
    <row r="19" spans="1:83">
      <c r="C19" s="1"/>
      <c r="D19"/>
      <c r="E19"/>
      <c r="F19" s="192"/>
      <c r="G19"/>
      <c r="H19"/>
      <c r="I19"/>
      <c r="J19"/>
      <c r="K19"/>
      <c r="BO19" s="3"/>
    </row>
    <row r="20" spans="1:83">
      <c r="C20" s="1"/>
      <c r="D20"/>
      <c r="E20"/>
      <c r="F20" s="192"/>
      <c r="G20"/>
      <c r="H20"/>
      <c r="I20"/>
      <c r="J20"/>
      <c r="K20"/>
      <c r="BO20" s="3"/>
    </row>
    <row r="21" spans="1:83">
      <c r="C21" s="1"/>
      <c r="D21"/>
      <c r="E21"/>
      <c r="F21" s="192"/>
      <c r="G21"/>
      <c r="H21"/>
      <c r="I21"/>
      <c r="J21"/>
      <c r="K21"/>
      <c r="BO21" s="3"/>
    </row>
    <row r="22" spans="1:83">
      <c r="C22" s="1"/>
      <c r="D22"/>
      <c r="E22"/>
      <c r="F22" s="192"/>
      <c r="G22"/>
      <c r="H22"/>
      <c r="I22"/>
      <c r="J22"/>
      <c r="K22"/>
      <c r="BO22" s="3"/>
    </row>
    <row r="23" spans="1:83">
      <c r="C23" s="1"/>
      <c r="D23"/>
      <c r="E23"/>
      <c r="F23" s="192"/>
      <c r="G23"/>
      <c r="H23"/>
      <c r="I23"/>
      <c r="J23"/>
      <c r="K23"/>
    </row>
    <row r="24" spans="1:83">
      <c r="C24" s="1"/>
      <c r="D24"/>
      <c r="E24"/>
      <c r="F24" s="192"/>
      <c r="G24"/>
      <c r="H24"/>
      <c r="I24"/>
      <c r="J24"/>
      <c r="K24"/>
    </row>
    <row r="25" spans="1:83">
      <c r="C25" s="1"/>
      <c r="D25"/>
      <c r="E25"/>
      <c r="F25"/>
      <c r="G25"/>
      <c r="H25"/>
      <c r="I25"/>
      <c r="J25"/>
      <c r="K25"/>
    </row>
    <row r="26" spans="1:83">
      <c r="C26" s="1"/>
      <c r="D26"/>
      <c r="E26"/>
      <c r="F26"/>
      <c r="G26"/>
      <c r="H26"/>
      <c r="I26"/>
      <c r="J26"/>
      <c r="K26"/>
    </row>
    <row r="27" spans="1:83">
      <c r="C27" s="1"/>
      <c r="D27"/>
      <c r="E27"/>
      <c r="F27"/>
      <c r="G27"/>
      <c r="H27"/>
      <c r="I27"/>
      <c r="J27"/>
      <c r="K27"/>
    </row>
    <row r="28" spans="1:83">
      <c r="D28"/>
      <c r="N28" s="13" t="s">
        <v>48</v>
      </c>
      <c r="O28" s="13" t="e">
        <f>SUM(O2:O27)</f>
        <v>#NUM!</v>
      </c>
      <c r="P28" s="6"/>
    </row>
    <row r="29" spans="1:83">
      <c r="A29" s="6"/>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row>
    <row r="30" spans="1:83" s="22" customFormat="1">
      <c r="A30" s="161" t="s">
        <v>49</v>
      </c>
      <c r="B30" s="142" t="str">
        <f>IF(E2=0,F2,E2)</f>
        <v>8/7/2019</v>
      </c>
      <c r="C30" s="24">
        <f t="shared" ref="C30:BN30" si="5">B30+IF($G2=1,365,182.5)</f>
        <v>43866.5</v>
      </c>
      <c r="D30" s="24">
        <f t="shared" si="5"/>
        <v>44049</v>
      </c>
      <c r="E30" s="24">
        <f t="shared" si="5"/>
        <v>44231.5</v>
      </c>
      <c r="F30" s="24">
        <f t="shared" si="5"/>
        <v>44414</v>
      </c>
      <c r="G30" s="24">
        <f t="shared" si="5"/>
        <v>44596.5</v>
      </c>
      <c r="H30" s="24">
        <f t="shared" si="5"/>
        <v>44779</v>
      </c>
      <c r="I30" s="24">
        <f t="shared" si="5"/>
        <v>44961.5</v>
      </c>
      <c r="J30" s="24">
        <f t="shared" si="5"/>
        <v>45144</v>
      </c>
      <c r="K30" s="24">
        <f t="shared" si="5"/>
        <v>45326.5</v>
      </c>
      <c r="L30" s="24">
        <f t="shared" si="5"/>
        <v>45509</v>
      </c>
      <c r="M30" s="24">
        <f t="shared" si="5"/>
        <v>45691.5</v>
      </c>
      <c r="N30" s="24">
        <f t="shared" si="5"/>
        <v>45874</v>
      </c>
      <c r="O30" s="24">
        <f t="shared" si="5"/>
        <v>46056.5</v>
      </c>
      <c r="P30" s="24">
        <f t="shared" si="5"/>
        <v>46239</v>
      </c>
      <c r="Q30" s="24">
        <f t="shared" si="5"/>
        <v>46421.5</v>
      </c>
      <c r="R30" s="24">
        <f t="shared" si="5"/>
        <v>46604</v>
      </c>
      <c r="S30" s="24">
        <f t="shared" si="5"/>
        <v>46786.5</v>
      </c>
      <c r="T30" s="24">
        <f t="shared" si="5"/>
        <v>46969</v>
      </c>
      <c r="U30" s="24">
        <f t="shared" si="5"/>
        <v>47151.5</v>
      </c>
      <c r="V30" s="24">
        <f t="shared" si="5"/>
        <v>47334</v>
      </c>
      <c r="W30" s="24">
        <f t="shared" si="5"/>
        <v>47516.5</v>
      </c>
      <c r="X30" s="24">
        <f t="shared" si="5"/>
        <v>47699</v>
      </c>
      <c r="Y30" s="24">
        <f t="shared" si="5"/>
        <v>47881.5</v>
      </c>
      <c r="Z30" s="24">
        <f t="shared" si="5"/>
        <v>48064</v>
      </c>
      <c r="AA30" s="24">
        <f t="shared" si="5"/>
        <v>48246.5</v>
      </c>
      <c r="AB30" s="24">
        <f t="shared" si="5"/>
        <v>48429</v>
      </c>
      <c r="AC30" s="24">
        <f t="shared" si="5"/>
        <v>48611.5</v>
      </c>
      <c r="AD30" s="24">
        <f t="shared" si="5"/>
        <v>48794</v>
      </c>
      <c r="AE30" s="24">
        <f t="shared" si="5"/>
        <v>48976.5</v>
      </c>
      <c r="AF30" s="24">
        <f t="shared" si="5"/>
        <v>49159</v>
      </c>
      <c r="AG30" s="24">
        <f t="shared" si="5"/>
        <v>49341.5</v>
      </c>
      <c r="AH30" s="24">
        <f t="shared" si="5"/>
        <v>49524</v>
      </c>
      <c r="AI30" s="24">
        <f t="shared" si="5"/>
        <v>49706.5</v>
      </c>
      <c r="AJ30" s="24">
        <f t="shared" si="5"/>
        <v>49889</v>
      </c>
      <c r="AK30" s="24">
        <f t="shared" si="5"/>
        <v>50071.5</v>
      </c>
      <c r="AL30" s="24">
        <f t="shared" si="5"/>
        <v>50254</v>
      </c>
      <c r="AM30" s="24">
        <f t="shared" si="5"/>
        <v>50436.5</v>
      </c>
      <c r="AN30" s="24">
        <f t="shared" si="5"/>
        <v>50619</v>
      </c>
      <c r="AO30" s="24">
        <f t="shared" si="5"/>
        <v>50801.5</v>
      </c>
      <c r="AP30" s="24">
        <f t="shared" si="5"/>
        <v>50984</v>
      </c>
      <c r="AQ30" s="24">
        <f t="shared" si="5"/>
        <v>51166.5</v>
      </c>
      <c r="AR30" s="24">
        <f t="shared" si="5"/>
        <v>51349</v>
      </c>
      <c r="AS30" s="24">
        <f t="shared" si="5"/>
        <v>51531.5</v>
      </c>
      <c r="AT30" s="24">
        <f t="shared" si="5"/>
        <v>51714</v>
      </c>
      <c r="AU30" s="24">
        <f t="shared" si="5"/>
        <v>51896.5</v>
      </c>
      <c r="AV30" s="24">
        <f t="shared" si="5"/>
        <v>52079</v>
      </c>
      <c r="AW30" s="24">
        <f t="shared" si="5"/>
        <v>52261.5</v>
      </c>
      <c r="AX30" s="24">
        <f t="shared" si="5"/>
        <v>52444</v>
      </c>
      <c r="AY30" s="24">
        <f t="shared" si="5"/>
        <v>52626.5</v>
      </c>
      <c r="AZ30" s="24">
        <f t="shared" si="5"/>
        <v>52809</v>
      </c>
      <c r="BA30" s="24">
        <f t="shared" si="5"/>
        <v>52991.5</v>
      </c>
      <c r="BB30" s="24">
        <f t="shared" si="5"/>
        <v>53174</v>
      </c>
      <c r="BC30" s="24">
        <f t="shared" si="5"/>
        <v>53356.5</v>
      </c>
      <c r="BD30" s="24">
        <f t="shared" si="5"/>
        <v>53539</v>
      </c>
      <c r="BE30" s="24">
        <f t="shared" si="5"/>
        <v>53721.5</v>
      </c>
      <c r="BF30" s="24">
        <f t="shared" si="5"/>
        <v>53904</v>
      </c>
      <c r="BG30" s="24">
        <f t="shared" si="5"/>
        <v>54086.5</v>
      </c>
      <c r="BH30" s="24">
        <f t="shared" si="5"/>
        <v>54269</v>
      </c>
      <c r="BI30" s="24">
        <f t="shared" si="5"/>
        <v>54451.5</v>
      </c>
      <c r="BJ30" s="24">
        <f t="shared" si="5"/>
        <v>54634</v>
      </c>
      <c r="BK30" s="24">
        <f t="shared" si="5"/>
        <v>54816.5</v>
      </c>
      <c r="BL30" s="24">
        <f t="shared" si="5"/>
        <v>54999</v>
      </c>
      <c r="BM30" s="24">
        <f t="shared" si="5"/>
        <v>55181.5</v>
      </c>
      <c r="BN30" s="24">
        <f t="shared" si="5"/>
        <v>55364</v>
      </c>
      <c r="BO30" s="24">
        <f t="shared" ref="BO30:CB30" si="6">BN30+IF($G2=1,365,182.5)</f>
        <v>55546.5</v>
      </c>
      <c r="BP30" s="24">
        <f t="shared" si="6"/>
        <v>55729</v>
      </c>
      <c r="BQ30" s="24">
        <f t="shared" si="6"/>
        <v>55911.5</v>
      </c>
      <c r="BR30" s="24">
        <f t="shared" si="6"/>
        <v>56094</v>
      </c>
      <c r="BS30" s="24">
        <f t="shared" si="6"/>
        <v>56276.5</v>
      </c>
      <c r="BT30" s="24">
        <f t="shared" si="6"/>
        <v>56459</v>
      </c>
      <c r="BU30" s="24">
        <f t="shared" si="6"/>
        <v>56641.5</v>
      </c>
      <c r="BV30" s="24">
        <f t="shared" si="6"/>
        <v>56824</v>
      </c>
      <c r="BW30" s="24">
        <f t="shared" si="6"/>
        <v>57006.5</v>
      </c>
      <c r="BX30" s="24">
        <f t="shared" si="6"/>
        <v>57189</v>
      </c>
      <c r="BY30" s="24">
        <f t="shared" si="6"/>
        <v>57371.5</v>
      </c>
      <c r="BZ30" s="24">
        <f t="shared" si="6"/>
        <v>57554</v>
      </c>
      <c r="CA30" s="24">
        <f t="shared" si="6"/>
        <v>57736.5</v>
      </c>
      <c r="CB30" s="25">
        <f t="shared" si="6"/>
        <v>57919</v>
      </c>
    </row>
    <row r="31" spans="1:83">
      <c r="A31" s="162" t="s">
        <v>22</v>
      </c>
      <c r="B31" s="104">
        <f>(IF(B30=F2,100,0)+IF(G2=1,1,0.5)*J2*100)*IF(ISBLANK(F2)=TRUE,0,1)</f>
        <v>100</v>
      </c>
      <c r="C31" s="26">
        <f>IF(C30&gt;$F2+1,0,1)*(IF(D31=0,100,0)+IF($G2=1,1,0.5)*$J2*100)</f>
        <v>0</v>
      </c>
      <c r="D31" s="26">
        <f t="shared" ref="D31:BO31" si="7">IF(D30&gt;$F2+1,0,1)*(IF(E31=0,100,0)+IF($G2=1,1,0.5)*$J2*100)</f>
        <v>0</v>
      </c>
      <c r="E31" s="26">
        <f t="shared" si="7"/>
        <v>0</v>
      </c>
      <c r="F31" s="26">
        <f t="shared" si="7"/>
        <v>0</v>
      </c>
      <c r="G31" s="26">
        <f t="shared" si="7"/>
        <v>0</v>
      </c>
      <c r="H31" s="26">
        <f t="shared" si="7"/>
        <v>0</v>
      </c>
      <c r="I31" s="26">
        <f t="shared" si="7"/>
        <v>0</v>
      </c>
      <c r="J31" s="26">
        <f t="shared" si="7"/>
        <v>0</v>
      </c>
      <c r="K31" s="26">
        <f t="shared" si="7"/>
        <v>0</v>
      </c>
      <c r="L31" s="26">
        <f t="shared" si="7"/>
        <v>0</v>
      </c>
      <c r="M31" s="26">
        <f t="shared" si="7"/>
        <v>0</v>
      </c>
      <c r="N31" s="26">
        <f t="shared" si="7"/>
        <v>0</v>
      </c>
      <c r="O31" s="26">
        <f t="shared" si="7"/>
        <v>0</v>
      </c>
      <c r="P31" s="26">
        <f t="shared" si="7"/>
        <v>0</v>
      </c>
      <c r="Q31" s="26">
        <f t="shared" si="7"/>
        <v>0</v>
      </c>
      <c r="R31" s="26">
        <f t="shared" si="7"/>
        <v>0</v>
      </c>
      <c r="S31" s="26">
        <f t="shared" si="7"/>
        <v>0</v>
      </c>
      <c r="T31" s="26">
        <f t="shared" si="7"/>
        <v>0</v>
      </c>
      <c r="U31" s="26">
        <f t="shared" si="7"/>
        <v>0</v>
      </c>
      <c r="V31" s="26">
        <f t="shared" si="7"/>
        <v>0</v>
      </c>
      <c r="W31" s="26">
        <f t="shared" si="7"/>
        <v>0</v>
      </c>
      <c r="X31" s="26">
        <f t="shared" si="7"/>
        <v>0</v>
      </c>
      <c r="Y31" s="26">
        <f t="shared" si="7"/>
        <v>0</v>
      </c>
      <c r="Z31" s="26">
        <f t="shared" si="7"/>
        <v>0</v>
      </c>
      <c r="AA31" s="26">
        <f t="shared" si="7"/>
        <v>0</v>
      </c>
      <c r="AB31" s="26">
        <f t="shared" si="7"/>
        <v>0</v>
      </c>
      <c r="AC31" s="26">
        <f t="shared" si="7"/>
        <v>0</v>
      </c>
      <c r="AD31" s="26">
        <f t="shared" si="7"/>
        <v>0</v>
      </c>
      <c r="AE31" s="26">
        <f t="shared" si="7"/>
        <v>0</v>
      </c>
      <c r="AF31" s="26">
        <f t="shared" si="7"/>
        <v>0</v>
      </c>
      <c r="AG31" s="26">
        <f t="shared" si="7"/>
        <v>0</v>
      </c>
      <c r="AH31" s="26">
        <f t="shared" si="7"/>
        <v>0</v>
      </c>
      <c r="AI31" s="26">
        <f t="shared" si="7"/>
        <v>0</v>
      </c>
      <c r="AJ31" s="26">
        <f t="shared" si="7"/>
        <v>0</v>
      </c>
      <c r="AK31" s="26">
        <f t="shared" si="7"/>
        <v>0</v>
      </c>
      <c r="AL31" s="26">
        <f t="shared" si="7"/>
        <v>0</v>
      </c>
      <c r="AM31" s="26">
        <f t="shared" si="7"/>
        <v>0</v>
      </c>
      <c r="AN31" s="26">
        <f t="shared" si="7"/>
        <v>0</v>
      </c>
      <c r="AO31" s="26">
        <f t="shared" si="7"/>
        <v>0</v>
      </c>
      <c r="AP31" s="26">
        <f t="shared" si="7"/>
        <v>0</v>
      </c>
      <c r="AQ31" s="26">
        <f t="shared" si="7"/>
        <v>0</v>
      </c>
      <c r="AR31" s="26">
        <f t="shared" si="7"/>
        <v>0</v>
      </c>
      <c r="AS31" s="26">
        <f t="shared" si="7"/>
        <v>0</v>
      </c>
      <c r="AT31" s="26">
        <f t="shared" si="7"/>
        <v>0</v>
      </c>
      <c r="AU31" s="26">
        <f t="shared" si="7"/>
        <v>0</v>
      </c>
      <c r="AV31" s="26">
        <f t="shared" si="7"/>
        <v>0</v>
      </c>
      <c r="AW31" s="26">
        <f t="shared" si="7"/>
        <v>0</v>
      </c>
      <c r="AX31" s="26">
        <f t="shared" si="7"/>
        <v>0</v>
      </c>
      <c r="AY31" s="26">
        <f t="shared" si="7"/>
        <v>0</v>
      </c>
      <c r="AZ31" s="26">
        <f t="shared" si="7"/>
        <v>0</v>
      </c>
      <c r="BA31" s="26">
        <f t="shared" si="7"/>
        <v>0</v>
      </c>
      <c r="BB31" s="26">
        <f t="shared" si="7"/>
        <v>0</v>
      </c>
      <c r="BC31" s="26">
        <f t="shared" si="7"/>
        <v>0</v>
      </c>
      <c r="BD31" s="26">
        <f t="shared" si="7"/>
        <v>0</v>
      </c>
      <c r="BE31" s="26">
        <f t="shared" si="7"/>
        <v>0</v>
      </c>
      <c r="BF31" s="26">
        <f t="shared" si="7"/>
        <v>0</v>
      </c>
      <c r="BG31" s="26">
        <f t="shared" si="7"/>
        <v>0</v>
      </c>
      <c r="BH31" s="26">
        <f t="shared" si="7"/>
        <v>0</v>
      </c>
      <c r="BI31" s="26">
        <f t="shared" si="7"/>
        <v>0</v>
      </c>
      <c r="BJ31" s="26">
        <f t="shared" si="7"/>
        <v>0</v>
      </c>
      <c r="BK31" s="26">
        <f t="shared" si="7"/>
        <v>0</v>
      </c>
      <c r="BL31" s="26">
        <f t="shared" si="7"/>
        <v>0</v>
      </c>
      <c r="BM31" s="26">
        <f t="shared" si="7"/>
        <v>0</v>
      </c>
      <c r="BN31" s="26">
        <f t="shared" si="7"/>
        <v>0</v>
      </c>
      <c r="BO31" s="26">
        <f t="shared" si="7"/>
        <v>0</v>
      </c>
      <c r="BP31" s="26">
        <f t="shared" ref="BP31:CB31" si="8">IF(BP30&gt;$F2+1,0,1)*(IF(BQ31=0,100,0)+IF($G2=1,1,0.5)*$J2*100)</f>
        <v>0</v>
      </c>
      <c r="BQ31" s="26">
        <f t="shared" si="8"/>
        <v>0</v>
      </c>
      <c r="BR31" s="26">
        <f t="shared" si="8"/>
        <v>0</v>
      </c>
      <c r="BS31" s="26">
        <f t="shared" si="8"/>
        <v>0</v>
      </c>
      <c r="BT31" s="26">
        <f t="shared" si="8"/>
        <v>0</v>
      </c>
      <c r="BU31" s="26">
        <f t="shared" si="8"/>
        <v>0</v>
      </c>
      <c r="BV31" s="26">
        <f t="shared" si="8"/>
        <v>0</v>
      </c>
      <c r="BW31" s="26">
        <f t="shared" si="8"/>
        <v>0</v>
      </c>
      <c r="BX31" s="26">
        <f t="shared" si="8"/>
        <v>0</v>
      </c>
      <c r="BY31" s="26">
        <f t="shared" si="8"/>
        <v>0</v>
      </c>
      <c r="BZ31" s="26">
        <f t="shared" si="8"/>
        <v>0</v>
      </c>
      <c r="CA31" s="26">
        <f t="shared" si="8"/>
        <v>0</v>
      </c>
      <c r="CB31" s="27">
        <f t="shared" si="8"/>
        <v>0</v>
      </c>
    </row>
    <row r="32" spans="1:83" s="22" customFormat="1">
      <c r="A32" s="264" t="s">
        <v>49</v>
      </c>
      <c r="B32" s="142" t="str">
        <f>IF(E3=0,F3,E3)</f>
        <v>10/2/2019</v>
      </c>
      <c r="C32" s="28">
        <f t="shared" ref="C32:BN32" si="9">B32+IF($G3=1,365,182.5)</f>
        <v>43922.5</v>
      </c>
      <c r="D32" s="28">
        <f t="shared" si="9"/>
        <v>44105</v>
      </c>
      <c r="E32" s="28">
        <f t="shared" si="9"/>
        <v>44287.5</v>
      </c>
      <c r="F32" s="28">
        <f t="shared" si="9"/>
        <v>44470</v>
      </c>
      <c r="G32" s="28">
        <f t="shared" si="9"/>
        <v>44652.5</v>
      </c>
      <c r="H32" s="28">
        <f t="shared" si="9"/>
        <v>44835</v>
      </c>
      <c r="I32" s="28">
        <f t="shared" si="9"/>
        <v>45017.5</v>
      </c>
      <c r="J32" s="28">
        <f t="shared" si="9"/>
        <v>45200</v>
      </c>
      <c r="K32" s="28">
        <f t="shared" si="9"/>
        <v>45382.5</v>
      </c>
      <c r="L32" s="28">
        <f t="shared" si="9"/>
        <v>45565</v>
      </c>
      <c r="M32" s="28">
        <f t="shared" si="9"/>
        <v>45747.5</v>
      </c>
      <c r="N32" s="28">
        <f t="shared" si="9"/>
        <v>45930</v>
      </c>
      <c r="O32" s="28">
        <f t="shared" si="9"/>
        <v>46112.5</v>
      </c>
      <c r="P32" s="28">
        <f t="shared" si="9"/>
        <v>46295</v>
      </c>
      <c r="Q32" s="28">
        <f t="shared" si="9"/>
        <v>46477.5</v>
      </c>
      <c r="R32" s="28">
        <f t="shared" si="9"/>
        <v>46660</v>
      </c>
      <c r="S32" s="28">
        <f t="shared" si="9"/>
        <v>46842.5</v>
      </c>
      <c r="T32" s="28">
        <f t="shared" si="9"/>
        <v>47025</v>
      </c>
      <c r="U32" s="28">
        <f t="shared" si="9"/>
        <v>47207.5</v>
      </c>
      <c r="V32" s="28">
        <f t="shared" si="9"/>
        <v>47390</v>
      </c>
      <c r="W32" s="28">
        <f t="shared" si="9"/>
        <v>47572.5</v>
      </c>
      <c r="X32" s="28">
        <f t="shared" si="9"/>
        <v>47755</v>
      </c>
      <c r="Y32" s="28">
        <f t="shared" si="9"/>
        <v>47937.5</v>
      </c>
      <c r="Z32" s="28">
        <f t="shared" si="9"/>
        <v>48120</v>
      </c>
      <c r="AA32" s="28">
        <f t="shared" si="9"/>
        <v>48302.5</v>
      </c>
      <c r="AB32" s="28">
        <f t="shared" si="9"/>
        <v>48485</v>
      </c>
      <c r="AC32" s="28">
        <f t="shared" si="9"/>
        <v>48667.5</v>
      </c>
      <c r="AD32" s="28">
        <f t="shared" si="9"/>
        <v>48850</v>
      </c>
      <c r="AE32" s="28">
        <f t="shared" si="9"/>
        <v>49032.5</v>
      </c>
      <c r="AF32" s="28">
        <f t="shared" si="9"/>
        <v>49215</v>
      </c>
      <c r="AG32" s="28">
        <f t="shared" si="9"/>
        <v>49397.5</v>
      </c>
      <c r="AH32" s="28">
        <f t="shared" si="9"/>
        <v>49580</v>
      </c>
      <c r="AI32" s="28">
        <f t="shared" si="9"/>
        <v>49762.5</v>
      </c>
      <c r="AJ32" s="28">
        <f t="shared" si="9"/>
        <v>49945</v>
      </c>
      <c r="AK32" s="28">
        <f t="shared" si="9"/>
        <v>50127.5</v>
      </c>
      <c r="AL32" s="28">
        <f t="shared" si="9"/>
        <v>50310</v>
      </c>
      <c r="AM32" s="28">
        <f t="shared" si="9"/>
        <v>50492.5</v>
      </c>
      <c r="AN32" s="28">
        <f t="shared" si="9"/>
        <v>50675</v>
      </c>
      <c r="AO32" s="28">
        <f t="shared" si="9"/>
        <v>50857.5</v>
      </c>
      <c r="AP32" s="28">
        <f t="shared" si="9"/>
        <v>51040</v>
      </c>
      <c r="AQ32" s="28">
        <f t="shared" si="9"/>
        <v>51222.5</v>
      </c>
      <c r="AR32" s="28">
        <f t="shared" si="9"/>
        <v>51405</v>
      </c>
      <c r="AS32" s="28">
        <f t="shared" si="9"/>
        <v>51587.5</v>
      </c>
      <c r="AT32" s="28">
        <f t="shared" si="9"/>
        <v>51770</v>
      </c>
      <c r="AU32" s="28">
        <f t="shared" si="9"/>
        <v>51952.5</v>
      </c>
      <c r="AV32" s="28">
        <f t="shared" si="9"/>
        <v>52135</v>
      </c>
      <c r="AW32" s="28">
        <f t="shared" si="9"/>
        <v>52317.5</v>
      </c>
      <c r="AX32" s="28">
        <f t="shared" si="9"/>
        <v>52500</v>
      </c>
      <c r="AY32" s="28">
        <f t="shared" si="9"/>
        <v>52682.5</v>
      </c>
      <c r="AZ32" s="28">
        <f t="shared" si="9"/>
        <v>52865</v>
      </c>
      <c r="BA32" s="28">
        <f t="shared" si="9"/>
        <v>53047.5</v>
      </c>
      <c r="BB32" s="28">
        <f t="shared" si="9"/>
        <v>53230</v>
      </c>
      <c r="BC32" s="28">
        <f t="shared" si="9"/>
        <v>53412.5</v>
      </c>
      <c r="BD32" s="28">
        <f t="shared" si="9"/>
        <v>53595</v>
      </c>
      <c r="BE32" s="28">
        <f t="shared" si="9"/>
        <v>53777.5</v>
      </c>
      <c r="BF32" s="28">
        <f t="shared" si="9"/>
        <v>53960</v>
      </c>
      <c r="BG32" s="28">
        <f t="shared" si="9"/>
        <v>54142.5</v>
      </c>
      <c r="BH32" s="28">
        <f t="shared" si="9"/>
        <v>54325</v>
      </c>
      <c r="BI32" s="28">
        <f t="shared" si="9"/>
        <v>54507.5</v>
      </c>
      <c r="BJ32" s="28">
        <f t="shared" si="9"/>
        <v>54690</v>
      </c>
      <c r="BK32" s="28">
        <f t="shared" si="9"/>
        <v>54872.5</v>
      </c>
      <c r="BL32" s="28">
        <f t="shared" si="9"/>
        <v>55055</v>
      </c>
      <c r="BM32" s="28">
        <f t="shared" si="9"/>
        <v>55237.5</v>
      </c>
      <c r="BN32" s="28">
        <f t="shared" si="9"/>
        <v>55420</v>
      </c>
      <c r="BO32" s="28">
        <f t="shared" ref="BO32:CB32" si="10">BN32+IF($G3=1,365,182.5)</f>
        <v>55602.5</v>
      </c>
      <c r="BP32" s="28">
        <f t="shared" si="10"/>
        <v>55785</v>
      </c>
      <c r="BQ32" s="28">
        <f t="shared" si="10"/>
        <v>55967.5</v>
      </c>
      <c r="BR32" s="28">
        <f t="shared" si="10"/>
        <v>56150</v>
      </c>
      <c r="BS32" s="28">
        <f t="shared" si="10"/>
        <v>56332.5</v>
      </c>
      <c r="BT32" s="28">
        <f t="shared" si="10"/>
        <v>56515</v>
      </c>
      <c r="BU32" s="28">
        <f t="shared" si="10"/>
        <v>56697.5</v>
      </c>
      <c r="BV32" s="28">
        <f t="shared" si="10"/>
        <v>56880</v>
      </c>
      <c r="BW32" s="28">
        <f t="shared" si="10"/>
        <v>57062.5</v>
      </c>
      <c r="BX32" s="28">
        <f t="shared" si="10"/>
        <v>57245</v>
      </c>
      <c r="BY32" s="28">
        <f t="shared" si="10"/>
        <v>57427.5</v>
      </c>
      <c r="BZ32" s="28">
        <f t="shared" si="10"/>
        <v>57610</v>
      </c>
      <c r="CA32" s="28">
        <f t="shared" si="10"/>
        <v>57792.5</v>
      </c>
      <c r="CB32" s="29">
        <f t="shared" si="10"/>
        <v>57975</v>
      </c>
    </row>
    <row r="33" spans="1:80" s="5" customFormat="1">
      <c r="A33" s="163" t="s">
        <v>23</v>
      </c>
      <c r="B33" s="30">
        <f>(IF(B32=F3,100,0)+IF(G3=1,1,0.5)*J3*100)*IF(ISBLANK(F3)=TRUE,0,1)</f>
        <v>100</v>
      </c>
      <c r="C33" s="31">
        <f>IF(C32&gt;$F3+1,0,1)*(IF(D33=0,100,0)+IF($G3=1,1,0.5)*$J3*100)</f>
        <v>0</v>
      </c>
      <c r="D33" s="31">
        <f t="shared" ref="D33:BO33" si="11">IF(D32&gt;$F3+1,0,1)*(IF(E33=0,100,0)+IF($G3=1,1,0.5)*$J3*100)</f>
        <v>0</v>
      </c>
      <c r="E33" s="31">
        <f t="shared" si="11"/>
        <v>0</v>
      </c>
      <c r="F33" s="31">
        <f t="shared" si="11"/>
        <v>0</v>
      </c>
      <c r="G33" s="31">
        <f t="shared" si="11"/>
        <v>0</v>
      </c>
      <c r="H33" s="31">
        <f t="shared" si="11"/>
        <v>0</v>
      </c>
      <c r="I33" s="31">
        <f t="shared" si="11"/>
        <v>0</v>
      </c>
      <c r="J33" s="31">
        <f t="shared" si="11"/>
        <v>0</v>
      </c>
      <c r="K33" s="31">
        <f t="shared" si="11"/>
        <v>0</v>
      </c>
      <c r="L33" s="31">
        <f t="shared" si="11"/>
        <v>0</v>
      </c>
      <c r="M33" s="31">
        <f t="shared" si="11"/>
        <v>0</v>
      </c>
      <c r="N33" s="31">
        <f t="shared" si="11"/>
        <v>0</v>
      </c>
      <c r="O33" s="31">
        <f t="shared" si="11"/>
        <v>0</v>
      </c>
      <c r="P33" s="31">
        <f t="shared" si="11"/>
        <v>0</v>
      </c>
      <c r="Q33" s="31">
        <f t="shared" si="11"/>
        <v>0</v>
      </c>
      <c r="R33" s="31">
        <f t="shared" si="11"/>
        <v>0</v>
      </c>
      <c r="S33" s="31">
        <f t="shared" si="11"/>
        <v>0</v>
      </c>
      <c r="T33" s="31">
        <f t="shared" si="11"/>
        <v>0</v>
      </c>
      <c r="U33" s="31">
        <f t="shared" si="11"/>
        <v>0</v>
      </c>
      <c r="V33" s="31">
        <f t="shared" si="11"/>
        <v>0</v>
      </c>
      <c r="W33" s="31">
        <f t="shared" si="11"/>
        <v>0</v>
      </c>
      <c r="X33" s="31">
        <f t="shared" si="11"/>
        <v>0</v>
      </c>
      <c r="Y33" s="31">
        <f t="shared" si="11"/>
        <v>0</v>
      </c>
      <c r="Z33" s="31">
        <f t="shared" si="11"/>
        <v>0</v>
      </c>
      <c r="AA33" s="31">
        <f t="shared" si="11"/>
        <v>0</v>
      </c>
      <c r="AB33" s="31">
        <f t="shared" si="11"/>
        <v>0</v>
      </c>
      <c r="AC33" s="31">
        <f t="shared" si="11"/>
        <v>0</v>
      </c>
      <c r="AD33" s="31">
        <f t="shared" si="11"/>
        <v>0</v>
      </c>
      <c r="AE33" s="31">
        <f t="shared" si="11"/>
        <v>0</v>
      </c>
      <c r="AF33" s="31">
        <f t="shared" si="11"/>
        <v>0</v>
      </c>
      <c r="AG33" s="31">
        <f t="shared" si="11"/>
        <v>0</v>
      </c>
      <c r="AH33" s="31">
        <f t="shared" si="11"/>
        <v>0</v>
      </c>
      <c r="AI33" s="31">
        <f t="shared" si="11"/>
        <v>0</v>
      </c>
      <c r="AJ33" s="31">
        <f t="shared" si="11"/>
        <v>0</v>
      </c>
      <c r="AK33" s="31">
        <f t="shared" si="11"/>
        <v>0</v>
      </c>
      <c r="AL33" s="31">
        <f t="shared" si="11"/>
        <v>0</v>
      </c>
      <c r="AM33" s="31">
        <f t="shared" si="11"/>
        <v>0</v>
      </c>
      <c r="AN33" s="31">
        <f t="shared" si="11"/>
        <v>0</v>
      </c>
      <c r="AO33" s="31">
        <f t="shared" si="11"/>
        <v>0</v>
      </c>
      <c r="AP33" s="31">
        <f t="shared" si="11"/>
        <v>0</v>
      </c>
      <c r="AQ33" s="31">
        <f t="shared" si="11"/>
        <v>0</v>
      </c>
      <c r="AR33" s="31">
        <f t="shared" si="11"/>
        <v>0</v>
      </c>
      <c r="AS33" s="31">
        <f t="shared" si="11"/>
        <v>0</v>
      </c>
      <c r="AT33" s="31">
        <f t="shared" si="11"/>
        <v>0</v>
      </c>
      <c r="AU33" s="31">
        <f t="shared" si="11"/>
        <v>0</v>
      </c>
      <c r="AV33" s="31">
        <f t="shared" si="11"/>
        <v>0</v>
      </c>
      <c r="AW33" s="31">
        <f t="shared" si="11"/>
        <v>0</v>
      </c>
      <c r="AX33" s="31">
        <f t="shared" si="11"/>
        <v>0</v>
      </c>
      <c r="AY33" s="31">
        <f t="shared" si="11"/>
        <v>0</v>
      </c>
      <c r="AZ33" s="31">
        <f t="shared" si="11"/>
        <v>0</v>
      </c>
      <c r="BA33" s="31">
        <f t="shared" si="11"/>
        <v>0</v>
      </c>
      <c r="BB33" s="31">
        <f t="shared" si="11"/>
        <v>0</v>
      </c>
      <c r="BC33" s="31">
        <f t="shared" si="11"/>
        <v>0</v>
      </c>
      <c r="BD33" s="31">
        <f t="shared" si="11"/>
        <v>0</v>
      </c>
      <c r="BE33" s="31">
        <f t="shared" si="11"/>
        <v>0</v>
      </c>
      <c r="BF33" s="31">
        <f t="shared" si="11"/>
        <v>0</v>
      </c>
      <c r="BG33" s="31">
        <f t="shared" si="11"/>
        <v>0</v>
      </c>
      <c r="BH33" s="31">
        <f t="shared" si="11"/>
        <v>0</v>
      </c>
      <c r="BI33" s="31">
        <f t="shared" si="11"/>
        <v>0</v>
      </c>
      <c r="BJ33" s="31">
        <f t="shared" si="11"/>
        <v>0</v>
      </c>
      <c r="BK33" s="31">
        <f t="shared" si="11"/>
        <v>0</v>
      </c>
      <c r="BL33" s="31">
        <f t="shared" si="11"/>
        <v>0</v>
      </c>
      <c r="BM33" s="31">
        <f t="shared" si="11"/>
        <v>0</v>
      </c>
      <c r="BN33" s="31">
        <f t="shared" si="11"/>
        <v>0</v>
      </c>
      <c r="BO33" s="31">
        <f t="shared" si="11"/>
        <v>0</v>
      </c>
      <c r="BP33" s="31">
        <f t="shared" ref="BP33:CB33" si="12">IF(BP32&gt;$F3+1,0,1)*(IF(BQ33=0,100,0)+IF($G3=1,1,0.5)*$J3*100)</f>
        <v>0</v>
      </c>
      <c r="BQ33" s="31">
        <f t="shared" si="12"/>
        <v>0</v>
      </c>
      <c r="BR33" s="31">
        <f t="shared" si="12"/>
        <v>0</v>
      </c>
      <c r="BS33" s="31">
        <f t="shared" si="12"/>
        <v>0</v>
      </c>
      <c r="BT33" s="31">
        <f t="shared" si="12"/>
        <v>0</v>
      </c>
      <c r="BU33" s="31">
        <f t="shared" si="12"/>
        <v>0</v>
      </c>
      <c r="BV33" s="31">
        <f t="shared" si="12"/>
        <v>0</v>
      </c>
      <c r="BW33" s="31">
        <f t="shared" si="12"/>
        <v>0</v>
      </c>
      <c r="BX33" s="31">
        <f t="shared" si="12"/>
        <v>0</v>
      </c>
      <c r="BY33" s="31">
        <f t="shared" si="12"/>
        <v>0</v>
      </c>
      <c r="BZ33" s="31">
        <f t="shared" si="12"/>
        <v>0</v>
      </c>
      <c r="CA33" s="31">
        <f t="shared" si="12"/>
        <v>0</v>
      </c>
      <c r="CB33" s="32">
        <f t="shared" si="12"/>
        <v>0</v>
      </c>
    </row>
    <row r="34" spans="1:80" s="6" customFormat="1">
      <c r="A34" s="263" t="s">
        <v>49</v>
      </c>
      <c r="B34" s="142" t="str">
        <f>IF(E4=0,F4,E4)</f>
        <v>11/20/2019</v>
      </c>
      <c r="C34" s="33">
        <f t="shared" ref="C34:BN34" si="13">B34+IF($G4=1,365,182.5)</f>
        <v>43971.5</v>
      </c>
      <c r="D34" s="33">
        <f t="shared" si="13"/>
        <v>44154</v>
      </c>
      <c r="E34" s="33">
        <f t="shared" si="13"/>
        <v>44336.5</v>
      </c>
      <c r="F34" s="33">
        <f t="shared" si="13"/>
        <v>44519</v>
      </c>
      <c r="G34" s="33">
        <f t="shared" si="13"/>
        <v>44701.5</v>
      </c>
      <c r="H34" s="33">
        <f t="shared" si="13"/>
        <v>44884</v>
      </c>
      <c r="I34" s="33">
        <f t="shared" si="13"/>
        <v>45066.5</v>
      </c>
      <c r="J34" s="33">
        <f t="shared" si="13"/>
        <v>45249</v>
      </c>
      <c r="K34" s="33">
        <f t="shared" si="13"/>
        <v>45431.5</v>
      </c>
      <c r="L34" s="33">
        <f t="shared" si="13"/>
        <v>45614</v>
      </c>
      <c r="M34" s="33">
        <f t="shared" si="13"/>
        <v>45796.5</v>
      </c>
      <c r="N34" s="33">
        <f t="shared" si="13"/>
        <v>45979</v>
      </c>
      <c r="O34" s="33">
        <f t="shared" si="13"/>
        <v>46161.5</v>
      </c>
      <c r="P34" s="33">
        <f t="shared" si="13"/>
        <v>46344</v>
      </c>
      <c r="Q34" s="33">
        <f t="shared" si="13"/>
        <v>46526.5</v>
      </c>
      <c r="R34" s="33">
        <f t="shared" si="13"/>
        <v>46709</v>
      </c>
      <c r="S34" s="33">
        <f t="shared" si="13"/>
        <v>46891.5</v>
      </c>
      <c r="T34" s="33">
        <f t="shared" si="13"/>
        <v>47074</v>
      </c>
      <c r="U34" s="33">
        <f t="shared" si="13"/>
        <v>47256.5</v>
      </c>
      <c r="V34" s="33">
        <f t="shared" si="13"/>
        <v>47439</v>
      </c>
      <c r="W34" s="33">
        <f t="shared" si="13"/>
        <v>47621.5</v>
      </c>
      <c r="X34" s="33">
        <f t="shared" si="13"/>
        <v>47804</v>
      </c>
      <c r="Y34" s="33">
        <f t="shared" si="13"/>
        <v>47986.5</v>
      </c>
      <c r="Z34" s="33">
        <f t="shared" si="13"/>
        <v>48169</v>
      </c>
      <c r="AA34" s="33">
        <f t="shared" si="13"/>
        <v>48351.5</v>
      </c>
      <c r="AB34" s="33">
        <f t="shared" si="13"/>
        <v>48534</v>
      </c>
      <c r="AC34" s="33">
        <f t="shared" si="13"/>
        <v>48716.5</v>
      </c>
      <c r="AD34" s="33">
        <f t="shared" si="13"/>
        <v>48899</v>
      </c>
      <c r="AE34" s="33">
        <f t="shared" si="13"/>
        <v>49081.5</v>
      </c>
      <c r="AF34" s="33">
        <f t="shared" si="13"/>
        <v>49264</v>
      </c>
      <c r="AG34" s="33">
        <f t="shared" si="13"/>
        <v>49446.5</v>
      </c>
      <c r="AH34" s="33">
        <f t="shared" si="13"/>
        <v>49629</v>
      </c>
      <c r="AI34" s="33">
        <f t="shared" si="13"/>
        <v>49811.5</v>
      </c>
      <c r="AJ34" s="33">
        <f t="shared" si="13"/>
        <v>49994</v>
      </c>
      <c r="AK34" s="33">
        <f t="shared" si="13"/>
        <v>50176.5</v>
      </c>
      <c r="AL34" s="33">
        <f t="shared" si="13"/>
        <v>50359</v>
      </c>
      <c r="AM34" s="33">
        <f t="shared" si="13"/>
        <v>50541.5</v>
      </c>
      <c r="AN34" s="33">
        <f t="shared" si="13"/>
        <v>50724</v>
      </c>
      <c r="AO34" s="33">
        <f t="shared" si="13"/>
        <v>50906.5</v>
      </c>
      <c r="AP34" s="33">
        <f t="shared" si="13"/>
        <v>51089</v>
      </c>
      <c r="AQ34" s="33">
        <f t="shared" si="13"/>
        <v>51271.5</v>
      </c>
      <c r="AR34" s="33">
        <f t="shared" si="13"/>
        <v>51454</v>
      </c>
      <c r="AS34" s="33">
        <f t="shared" si="13"/>
        <v>51636.5</v>
      </c>
      <c r="AT34" s="33">
        <f t="shared" si="13"/>
        <v>51819</v>
      </c>
      <c r="AU34" s="33">
        <f t="shared" si="13"/>
        <v>52001.5</v>
      </c>
      <c r="AV34" s="33">
        <f t="shared" si="13"/>
        <v>52184</v>
      </c>
      <c r="AW34" s="33">
        <f t="shared" si="13"/>
        <v>52366.5</v>
      </c>
      <c r="AX34" s="33">
        <f t="shared" si="13"/>
        <v>52549</v>
      </c>
      <c r="AY34" s="33">
        <f t="shared" si="13"/>
        <v>52731.5</v>
      </c>
      <c r="AZ34" s="33">
        <f t="shared" si="13"/>
        <v>52914</v>
      </c>
      <c r="BA34" s="33">
        <f t="shared" si="13"/>
        <v>53096.5</v>
      </c>
      <c r="BB34" s="33">
        <f t="shared" si="13"/>
        <v>53279</v>
      </c>
      <c r="BC34" s="33">
        <f t="shared" si="13"/>
        <v>53461.5</v>
      </c>
      <c r="BD34" s="33">
        <f t="shared" si="13"/>
        <v>53644</v>
      </c>
      <c r="BE34" s="33">
        <f t="shared" si="13"/>
        <v>53826.5</v>
      </c>
      <c r="BF34" s="33">
        <f t="shared" si="13"/>
        <v>54009</v>
      </c>
      <c r="BG34" s="33">
        <f t="shared" si="13"/>
        <v>54191.5</v>
      </c>
      <c r="BH34" s="33">
        <f t="shared" si="13"/>
        <v>54374</v>
      </c>
      <c r="BI34" s="33">
        <f t="shared" si="13"/>
        <v>54556.5</v>
      </c>
      <c r="BJ34" s="33">
        <f t="shared" si="13"/>
        <v>54739</v>
      </c>
      <c r="BK34" s="33">
        <f t="shared" si="13"/>
        <v>54921.5</v>
      </c>
      <c r="BL34" s="33">
        <f t="shared" si="13"/>
        <v>55104</v>
      </c>
      <c r="BM34" s="33">
        <f t="shared" si="13"/>
        <v>55286.5</v>
      </c>
      <c r="BN34" s="33">
        <f t="shared" si="13"/>
        <v>55469</v>
      </c>
      <c r="BO34" s="33">
        <f t="shared" ref="BO34:CB34" si="14">BN34+IF($G4=1,365,182.5)</f>
        <v>55651.5</v>
      </c>
      <c r="BP34" s="33">
        <f t="shared" si="14"/>
        <v>55834</v>
      </c>
      <c r="BQ34" s="33">
        <f t="shared" si="14"/>
        <v>56016.5</v>
      </c>
      <c r="BR34" s="33">
        <f t="shared" si="14"/>
        <v>56199</v>
      </c>
      <c r="BS34" s="33">
        <f t="shared" si="14"/>
        <v>56381.5</v>
      </c>
      <c r="BT34" s="33">
        <f t="shared" si="14"/>
        <v>56564</v>
      </c>
      <c r="BU34" s="33">
        <f t="shared" si="14"/>
        <v>56746.5</v>
      </c>
      <c r="BV34" s="33">
        <f t="shared" si="14"/>
        <v>56929</v>
      </c>
      <c r="BW34" s="33">
        <f t="shared" si="14"/>
        <v>57111.5</v>
      </c>
      <c r="BX34" s="33">
        <f t="shared" si="14"/>
        <v>57294</v>
      </c>
      <c r="BY34" s="33">
        <f t="shared" si="14"/>
        <v>57476.5</v>
      </c>
      <c r="BZ34" s="33">
        <f t="shared" si="14"/>
        <v>57659</v>
      </c>
      <c r="CA34" s="33">
        <f t="shared" si="14"/>
        <v>57841.5</v>
      </c>
      <c r="CB34" s="34">
        <f t="shared" si="14"/>
        <v>58024</v>
      </c>
    </row>
    <row r="35" spans="1:80">
      <c r="A35" s="164" t="s">
        <v>19</v>
      </c>
      <c r="B35" s="105">
        <f>(IF(B34=F4,100,0)+IF(G4=1,1,0.5)*J4*100)*IF(ISBLANK(F4)=TRUE,0,1)</f>
        <v>100</v>
      </c>
      <c r="C35" s="35">
        <f>IF(C34&gt;$F4+1,0,1)*(IF(D35=0,100,0)+IF($G4=1,1,0.5)*$J4*100)</f>
        <v>0</v>
      </c>
      <c r="D35" s="35">
        <f t="shared" ref="D35:BO35" si="15">IF(D34&gt;$F4+1,0,1)*(IF(E35=0,100,0)+IF($G4=1,1,0.5)*$J4*100)</f>
        <v>0</v>
      </c>
      <c r="E35" s="35">
        <f t="shared" si="15"/>
        <v>0</v>
      </c>
      <c r="F35" s="35">
        <f t="shared" si="15"/>
        <v>0</v>
      </c>
      <c r="G35" s="35">
        <f t="shared" si="15"/>
        <v>0</v>
      </c>
      <c r="H35" s="35">
        <f t="shared" si="15"/>
        <v>0</v>
      </c>
      <c r="I35" s="35">
        <f t="shared" si="15"/>
        <v>0</v>
      </c>
      <c r="J35" s="35">
        <f t="shared" si="15"/>
        <v>0</v>
      </c>
      <c r="K35" s="35">
        <f t="shared" si="15"/>
        <v>0</v>
      </c>
      <c r="L35" s="35">
        <f t="shared" si="15"/>
        <v>0</v>
      </c>
      <c r="M35" s="35">
        <f t="shared" si="15"/>
        <v>0</v>
      </c>
      <c r="N35" s="35">
        <f t="shared" si="15"/>
        <v>0</v>
      </c>
      <c r="O35" s="35">
        <f t="shared" si="15"/>
        <v>0</v>
      </c>
      <c r="P35" s="35">
        <f t="shared" si="15"/>
        <v>0</v>
      </c>
      <c r="Q35" s="35">
        <f t="shared" si="15"/>
        <v>0</v>
      </c>
      <c r="R35" s="35">
        <f t="shared" si="15"/>
        <v>0</v>
      </c>
      <c r="S35" s="35">
        <f t="shared" si="15"/>
        <v>0</v>
      </c>
      <c r="T35" s="35">
        <f t="shared" si="15"/>
        <v>0</v>
      </c>
      <c r="U35" s="35">
        <f t="shared" si="15"/>
        <v>0</v>
      </c>
      <c r="V35" s="35">
        <f t="shared" si="15"/>
        <v>0</v>
      </c>
      <c r="W35" s="35">
        <f t="shared" si="15"/>
        <v>0</v>
      </c>
      <c r="X35" s="35">
        <f t="shared" si="15"/>
        <v>0</v>
      </c>
      <c r="Y35" s="35">
        <f t="shared" si="15"/>
        <v>0</v>
      </c>
      <c r="Z35" s="35">
        <f t="shared" si="15"/>
        <v>0</v>
      </c>
      <c r="AA35" s="35">
        <f t="shared" si="15"/>
        <v>0</v>
      </c>
      <c r="AB35" s="35">
        <f t="shared" si="15"/>
        <v>0</v>
      </c>
      <c r="AC35" s="35">
        <f t="shared" si="15"/>
        <v>0</v>
      </c>
      <c r="AD35" s="35">
        <f t="shared" si="15"/>
        <v>0</v>
      </c>
      <c r="AE35" s="35">
        <f t="shared" si="15"/>
        <v>0</v>
      </c>
      <c r="AF35" s="35">
        <f t="shared" si="15"/>
        <v>0</v>
      </c>
      <c r="AG35" s="35">
        <f t="shared" si="15"/>
        <v>0</v>
      </c>
      <c r="AH35" s="35">
        <f t="shared" si="15"/>
        <v>0</v>
      </c>
      <c r="AI35" s="35">
        <f t="shared" si="15"/>
        <v>0</v>
      </c>
      <c r="AJ35" s="35">
        <f t="shared" si="15"/>
        <v>0</v>
      </c>
      <c r="AK35" s="35">
        <f t="shared" si="15"/>
        <v>0</v>
      </c>
      <c r="AL35" s="35">
        <f t="shared" si="15"/>
        <v>0</v>
      </c>
      <c r="AM35" s="35">
        <f t="shared" si="15"/>
        <v>0</v>
      </c>
      <c r="AN35" s="35">
        <f t="shared" si="15"/>
        <v>0</v>
      </c>
      <c r="AO35" s="35">
        <f t="shared" si="15"/>
        <v>0</v>
      </c>
      <c r="AP35" s="35">
        <f t="shared" si="15"/>
        <v>0</v>
      </c>
      <c r="AQ35" s="35">
        <f t="shared" si="15"/>
        <v>0</v>
      </c>
      <c r="AR35" s="35">
        <f t="shared" si="15"/>
        <v>0</v>
      </c>
      <c r="AS35" s="35">
        <f t="shared" si="15"/>
        <v>0</v>
      </c>
      <c r="AT35" s="35">
        <f t="shared" si="15"/>
        <v>0</v>
      </c>
      <c r="AU35" s="35">
        <f t="shared" si="15"/>
        <v>0</v>
      </c>
      <c r="AV35" s="35">
        <f t="shared" si="15"/>
        <v>0</v>
      </c>
      <c r="AW35" s="35">
        <f t="shared" si="15"/>
        <v>0</v>
      </c>
      <c r="AX35" s="35">
        <f t="shared" si="15"/>
        <v>0</v>
      </c>
      <c r="AY35" s="35">
        <f t="shared" si="15"/>
        <v>0</v>
      </c>
      <c r="AZ35" s="35">
        <f t="shared" si="15"/>
        <v>0</v>
      </c>
      <c r="BA35" s="35">
        <f t="shared" si="15"/>
        <v>0</v>
      </c>
      <c r="BB35" s="35">
        <f t="shared" si="15"/>
        <v>0</v>
      </c>
      <c r="BC35" s="35">
        <f t="shared" si="15"/>
        <v>0</v>
      </c>
      <c r="BD35" s="35">
        <f t="shared" si="15"/>
        <v>0</v>
      </c>
      <c r="BE35" s="35">
        <f t="shared" si="15"/>
        <v>0</v>
      </c>
      <c r="BF35" s="35">
        <f t="shared" si="15"/>
        <v>0</v>
      </c>
      <c r="BG35" s="35">
        <f t="shared" si="15"/>
        <v>0</v>
      </c>
      <c r="BH35" s="35">
        <f t="shared" si="15"/>
        <v>0</v>
      </c>
      <c r="BI35" s="35">
        <f t="shared" si="15"/>
        <v>0</v>
      </c>
      <c r="BJ35" s="35">
        <f t="shared" si="15"/>
        <v>0</v>
      </c>
      <c r="BK35" s="35">
        <f t="shared" si="15"/>
        <v>0</v>
      </c>
      <c r="BL35" s="35">
        <f t="shared" si="15"/>
        <v>0</v>
      </c>
      <c r="BM35" s="35">
        <f t="shared" si="15"/>
        <v>0</v>
      </c>
      <c r="BN35" s="35">
        <f t="shared" si="15"/>
        <v>0</v>
      </c>
      <c r="BO35" s="35">
        <f t="shared" si="15"/>
        <v>0</v>
      </c>
      <c r="BP35" s="35">
        <f t="shared" ref="BP35:CB35" si="16">IF(BP34&gt;$F4+1,0,1)*(IF(BQ35=0,100,0)+IF($G4=1,1,0.5)*$J4*100)</f>
        <v>0</v>
      </c>
      <c r="BQ35" s="35">
        <f t="shared" si="16"/>
        <v>0</v>
      </c>
      <c r="BR35" s="35">
        <f t="shared" si="16"/>
        <v>0</v>
      </c>
      <c r="BS35" s="35">
        <f t="shared" si="16"/>
        <v>0</v>
      </c>
      <c r="BT35" s="35">
        <f t="shared" si="16"/>
        <v>0</v>
      </c>
      <c r="BU35" s="35">
        <f t="shared" si="16"/>
        <v>0</v>
      </c>
      <c r="BV35" s="35">
        <f t="shared" si="16"/>
        <v>0</v>
      </c>
      <c r="BW35" s="35">
        <f t="shared" si="16"/>
        <v>0</v>
      </c>
      <c r="BX35" s="35">
        <f t="shared" si="16"/>
        <v>0</v>
      </c>
      <c r="BY35" s="35">
        <f t="shared" si="16"/>
        <v>0</v>
      </c>
      <c r="BZ35" s="35">
        <f t="shared" si="16"/>
        <v>0</v>
      </c>
      <c r="CA35" s="35">
        <f t="shared" si="16"/>
        <v>0</v>
      </c>
      <c r="CB35" s="36">
        <f t="shared" si="16"/>
        <v>0</v>
      </c>
    </row>
    <row r="36" spans="1:80">
      <c r="A36" s="262" t="s">
        <v>49</v>
      </c>
      <c r="B36" s="144" t="str">
        <f>IF(E5=0,F5,E5)</f>
        <v>6/17/2020</v>
      </c>
      <c r="C36" s="145">
        <f>B36+IF($G5=1,365,182.5)</f>
        <v>44181.5</v>
      </c>
      <c r="D36" s="145">
        <f t="shared" ref="D36:BO36" si="17">C36+IF($G5=1,365,182.5)</f>
        <v>44364</v>
      </c>
      <c r="E36" s="141">
        <f t="shared" si="17"/>
        <v>44546.5</v>
      </c>
      <c r="F36" s="145">
        <f t="shared" si="17"/>
        <v>44729</v>
      </c>
      <c r="G36" s="145">
        <f t="shared" si="17"/>
        <v>44911.5</v>
      </c>
      <c r="H36" s="145">
        <f t="shared" si="17"/>
        <v>45094</v>
      </c>
      <c r="I36" s="145">
        <f t="shared" si="17"/>
        <v>45276.5</v>
      </c>
      <c r="J36" s="145">
        <f t="shared" si="17"/>
        <v>45459</v>
      </c>
      <c r="K36" s="145">
        <f t="shared" si="17"/>
        <v>45641.5</v>
      </c>
      <c r="L36" s="145">
        <f t="shared" si="17"/>
        <v>45824</v>
      </c>
      <c r="M36" s="145">
        <f t="shared" si="17"/>
        <v>46006.5</v>
      </c>
      <c r="N36" s="145">
        <f t="shared" si="17"/>
        <v>46189</v>
      </c>
      <c r="O36" s="145">
        <f t="shared" si="17"/>
        <v>46371.5</v>
      </c>
      <c r="P36" s="145">
        <f t="shared" si="17"/>
        <v>46554</v>
      </c>
      <c r="Q36" s="145">
        <f t="shared" si="17"/>
        <v>46736.5</v>
      </c>
      <c r="R36" s="145">
        <f t="shared" si="17"/>
        <v>46919</v>
      </c>
      <c r="S36" s="145">
        <f t="shared" si="17"/>
        <v>47101.5</v>
      </c>
      <c r="T36" s="145">
        <f t="shared" si="17"/>
        <v>47284</v>
      </c>
      <c r="U36" s="145">
        <f t="shared" si="17"/>
        <v>47466.5</v>
      </c>
      <c r="V36" s="145">
        <f t="shared" si="17"/>
        <v>47649</v>
      </c>
      <c r="W36" s="145">
        <f t="shared" si="17"/>
        <v>47831.5</v>
      </c>
      <c r="X36" s="145">
        <f t="shared" si="17"/>
        <v>48014</v>
      </c>
      <c r="Y36" s="145">
        <f t="shared" si="17"/>
        <v>48196.5</v>
      </c>
      <c r="Z36" s="145">
        <f t="shared" si="17"/>
        <v>48379</v>
      </c>
      <c r="AA36" s="145">
        <f t="shared" si="17"/>
        <v>48561.5</v>
      </c>
      <c r="AB36" s="145">
        <f t="shared" si="17"/>
        <v>48744</v>
      </c>
      <c r="AC36" s="145">
        <f t="shared" si="17"/>
        <v>48926.5</v>
      </c>
      <c r="AD36" s="145">
        <f t="shared" si="17"/>
        <v>49109</v>
      </c>
      <c r="AE36" s="145">
        <f t="shared" si="17"/>
        <v>49291.5</v>
      </c>
      <c r="AF36" s="145">
        <f t="shared" si="17"/>
        <v>49474</v>
      </c>
      <c r="AG36" s="145">
        <f t="shared" si="17"/>
        <v>49656.5</v>
      </c>
      <c r="AH36" s="145">
        <f t="shared" si="17"/>
        <v>49839</v>
      </c>
      <c r="AI36" s="145">
        <f t="shared" si="17"/>
        <v>50021.5</v>
      </c>
      <c r="AJ36" s="145">
        <f t="shared" si="17"/>
        <v>50204</v>
      </c>
      <c r="AK36" s="145">
        <f t="shared" si="17"/>
        <v>50386.5</v>
      </c>
      <c r="AL36" s="145">
        <f t="shared" si="17"/>
        <v>50569</v>
      </c>
      <c r="AM36" s="145">
        <f t="shared" si="17"/>
        <v>50751.5</v>
      </c>
      <c r="AN36" s="145">
        <f t="shared" si="17"/>
        <v>50934</v>
      </c>
      <c r="AO36" s="145">
        <f t="shared" si="17"/>
        <v>51116.5</v>
      </c>
      <c r="AP36" s="145">
        <f t="shared" si="17"/>
        <v>51299</v>
      </c>
      <c r="AQ36" s="145">
        <f t="shared" si="17"/>
        <v>51481.5</v>
      </c>
      <c r="AR36" s="145">
        <f t="shared" si="17"/>
        <v>51664</v>
      </c>
      <c r="AS36" s="145">
        <f t="shared" si="17"/>
        <v>51846.5</v>
      </c>
      <c r="AT36" s="145">
        <f t="shared" si="17"/>
        <v>52029</v>
      </c>
      <c r="AU36" s="145">
        <f t="shared" si="17"/>
        <v>52211.5</v>
      </c>
      <c r="AV36" s="145">
        <f t="shared" si="17"/>
        <v>52394</v>
      </c>
      <c r="AW36" s="145">
        <f t="shared" si="17"/>
        <v>52576.5</v>
      </c>
      <c r="AX36" s="145">
        <f t="shared" si="17"/>
        <v>52759</v>
      </c>
      <c r="AY36" s="145">
        <f t="shared" si="17"/>
        <v>52941.5</v>
      </c>
      <c r="AZ36" s="145">
        <f t="shared" si="17"/>
        <v>53124</v>
      </c>
      <c r="BA36" s="145">
        <f t="shared" si="17"/>
        <v>53306.5</v>
      </c>
      <c r="BB36" s="145">
        <f t="shared" si="17"/>
        <v>53489</v>
      </c>
      <c r="BC36" s="145">
        <f t="shared" si="17"/>
        <v>53671.5</v>
      </c>
      <c r="BD36" s="145">
        <f t="shared" si="17"/>
        <v>53854</v>
      </c>
      <c r="BE36" s="145">
        <f t="shared" si="17"/>
        <v>54036.5</v>
      </c>
      <c r="BF36" s="145">
        <f t="shared" si="17"/>
        <v>54219</v>
      </c>
      <c r="BG36" s="145">
        <f t="shared" si="17"/>
        <v>54401.5</v>
      </c>
      <c r="BH36" s="145">
        <f t="shared" si="17"/>
        <v>54584</v>
      </c>
      <c r="BI36" s="145">
        <f t="shared" si="17"/>
        <v>54766.5</v>
      </c>
      <c r="BJ36" s="145">
        <f t="shared" si="17"/>
        <v>54949</v>
      </c>
      <c r="BK36" s="145">
        <f t="shared" si="17"/>
        <v>55131.5</v>
      </c>
      <c r="BL36" s="145">
        <f t="shared" si="17"/>
        <v>55314</v>
      </c>
      <c r="BM36" s="145">
        <f t="shared" si="17"/>
        <v>55496.5</v>
      </c>
      <c r="BN36" s="145">
        <f t="shared" si="17"/>
        <v>55679</v>
      </c>
      <c r="BO36" s="145">
        <f t="shared" si="17"/>
        <v>55861.5</v>
      </c>
      <c r="BP36" s="145">
        <f t="shared" ref="BP36:CB36" si="18">BO36+IF($G5=1,365,182.5)</f>
        <v>56044</v>
      </c>
      <c r="BQ36" s="145">
        <f t="shared" si="18"/>
        <v>56226.5</v>
      </c>
      <c r="BR36" s="145">
        <f t="shared" si="18"/>
        <v>56409</v>
      </c>
      <c r="BS36" s="145">
        <f t="shared" si="18"/>
        <v>56591.5</v>
      </c>
      <c r="BT36" s="145">
        <f t="shared" si="18"/>
        <v>56774</v>
      </c>
      <c r="BU36" s="145">
        <f t="shared" si="18"/>
        <v>56956.5</v>
      </c>
      <c r="BV36" s="145">
        <f t="shared" si="18"/>
        <v>57139</v>
      </c>
      <c r="BW36" s="145">
        <f t="shared" si="18"/>
        <v>57321.5</v>
      </c>
      <c r="BX36" s="145">
        <f t="shared" si="18"/>
        <v>57504</v>
      </c>
      <c r="BY36" s="145">
        <f t="shared" si="18"/>
        <v>57686.5</v>
      </c>
      <c r="BZ36" s="145">
        <f t="shared" si="18"/>
        <v>57869</v>
      </c>
      <c r="CA36" s="145">
        <f t="shared" si="18"/>
        <v>58051.5</v>
      </c>
      <c r="CB36" s="146">
        <f t="shared" si="18"/>
        <v>58234</v>
      </c>
    </row>
    <row r="37" spans="1:80">
      <c r="A37" s="165" t="s">
        <v>24</v>
      </c>
      <c r="B37" s="106">
        <f>(IF(B36=F5,100,0)+IF(G5=1,1,0.5)*J5*100)*IF(ISBLANK(F5)=TRUE,0,1)</f>
        <v>100</v>
      </c>
      <c r="C37" s="148">
        <f>IF(C36&gt;$F5+1,0,1)*(IF(D37=0,100,0)+IF($G5=1,1,0.5)*$J5*100)</f>
        <v>0</v>
      </c>
      <c r="D37" s="148">
        <f t="shared" ref="D37:BO37" si="19">IF(D36&gt;$F5+1,0,1)*(IF(E37=0,100,0)+IF($G5=1,1,0.5)*$J5*100)</f>
        <v>0</v>
      </c>
      <c r="E37" s="148">
        <f t="shared" si="19"/>
        <v>0</v>
      </c>
      <c r="F37" s="148">
        <f t="shared" si="19"/>
        <v>0</v>
      </c>
      <c r="G37" s="148">
        <f t="shared" si="19"/>
        <v>0</v>
      </c>
      <c r="H37" s="148">
        <f t="shared" si="19"/>
        <v>0</v>
      </c>
      <c r="I37" s="148">
        <f t="shared" si="19"/>
        <v>0</v>
      </c>
      <c r="J37" s="148">
        <f t="shared" si="19"/>
        <v>0</v>
      </c>
      <c r="K37" s="148">
        <f t="shared" si="19"/>
        <v>0</v>
      </c>
      <c r="L37" s="148">
        <f t="shared" si="19"/>
        <v>0</v>
      </c>
      <c r="M37" s="148">
        <f t="shared" si="19"/>
        <v>0</v>
      </c>
      <c r="N37" s="148">
        <f t="shared" si="19"/>
        <v>0</v>
      </c>
      <c r="O37" s="148">
        <f t="shared" si="19"/>
        <v>0</v>
      </c>
      <c r="P37" s="148">
        <f t="shared" si="19"/>
        <v>0</v>
      </c>
      <c r="Q37" s="148">
        <f t="shared" si="19"/>
        <v>0</v>
      </c>
      <c r="R37" s="148">
        <f t="shared" si="19"/>
        <v>0</v>
      </c>
      <c r="S37" s="148">
        <f t="shared" si="19"/>
        <v>0</v>
      </c>
      <c r="T37" s="148">
        <f t="shared" si="19"/>
        <v>0</v>
      </c>
      <c r="U37" s="148">
        <f t="shared" si="19"/>
        <v>0</v>
      </c>
      <c r="V37" s="148">
        <f t="shared" si="19"/>
        <v>0</v>
      </c>
      <c r="W37" s="148">
        <f t="shared" si="19"/>
        <v>0</v>
      </c>
      <c r="X37" s="148">
        <f t="shared" si="19"/>
        <v>0</v>
      </c>
      <c r="Y37" s="148">
        <f t="shared" si="19"/>
        <v>0</v>
      </c>
      <c r="Z37" s="148">
        <f t="shared" si="19"/>
        <v>0</v>
      </c>
      <c r="AA37" s="148">
        <f t="shared" si="19"/>
        <v>0</v>
      </c>
      <c r="AB37" s="148">
        <f t="shared" si="19"/>
        <v>0</v>
      </c>
      <c r="AC37" s="148">
        <f t="shared" si="19"/>
        <v>0</v>
      </c>
      <c r="AD37" s="148">
        <f t="shared" si="19"/>
        <v>0</v>
      </c>
      <c r="AE37" s="148">
        <f t="shared" si="19"/>
        <v>0</v>
      </c>
      <c r="AF37" s="148">
        <f t="shared" si="19"/>
        <v>0</v>
      </c>
      <c r="AG37" s="148">
        <f t="shared" si="19"/>
        <v>0</v>
      </c>
      <c r="AH37" s="148">
        <f t="shared" si="19"/>
        <v>0</v>
      </c>
      <c r="AI37" s="148">
        <f t="shared" si="19"/>
        <v>0</v>
      </c>
      <c r="AJ37" s="148">
        <f t="shared" si="19"/>
        <v>0</v>
      </c>
      <c r="AK37" s="148">
        <f t="shared" si="19"/>
        <v>0</v>
      </c>
      <c r="AL37" s="148">
        <f t="shared" si="19"/>
        <v>0</v>
      </c>
      <c r="AM37" s="148">
        <f t="shared" si="19"/>
        <v>0</v>
      </c>
      <c r="AN37" s="148">
        <f t="shared" si="19"/>
        <v>0</v>
      </c>
      <c r="AO37" s="148">
        <f t="shared" si="19"/>
        <v>0</v>
      </c>
      <c r="AP37" s="148">
        <f t="shared" si="19"/>
        <v>0</v>
      </c>
      <c r="AQ37" s="148">
        <f t="shared" si="19"/>
        <v>0</v>
      </c>
      <c r="AR37" s="148">
        <f t="shared" si="19"/>
        <v>0</v>
      </c>
      <c r="AS37" s="148">
        <f t="shared" si="19"/>
        <v>0</v>
      </c>
      <c r="AT37" s="148">
        <f t="shared" si="19"/>
        <v>0</v>
      </c>
      <c r="AU37" s="148">
        <f t="shared" si="19"/>
        <v>0</v>
      </c>
      <c r="AV37" s="148">
        <f t="shared" si="19"/>
        <v>0</v>
      </c>
      <c r="AW37" s="148">
        <f t="shared" si="19"/>
        <v>0</v>
      </c>
      <c r="AX37" s="148">
        <f t="shared" si="19"/>
        <v>0</v>
      </c>
      <c r="AY37" s="148">
        <f t="shared" si="19"/>
        <v>0</v>
      </c>
      <c r="AZ37" s="148">
        <f t="shared" si="19"/>
        <v>0</v>
      </c>
      <c r="BA37" s="148">
        <f t="shared" si="19"/>
        <v>0</v>
      </c>
      <c r="BB37" s="148">
        <f t="shared" si="19"/>
        <v>0</v>
      </c>
      <c r="BC37" s="148">
        <f t="shared" si="19"/>
        <v>0</v>
      </c>
      <c r="BD37" s="148">
        <f t="shared" si="19"/>
        <v>0</v>
      </c>
      <c r="BE37" s="148">
        <f t="shared" si="19"/>
        <v>0</v>
      </c>
      <c r="BF37" s="148">
        <f t="shared" si="19"/>
        <v>0</v>
      </c>
      <c r="BG37" s="148">
        <f t="shared" si="19"/>
        <v>0</v>
      </c>
      <c r="BH37" s="148">
        <f t="shared" si="19"/>
        <v>0</v>
      </c>
      <c r="BI37" s="148">
        <f t="shared" si="19"/>
        <v>0</v>
      </c>
      <c r="BJ37" s="148">
        <f t="shared" si="19"/>
        <v>0</v>
      </c>
      <c r="BK37" s="148">
        <f t="shared" si="19"/>
        <v>0</v>
      </c>
      <c r="BL37" s="148">
        <f t="shared" si="19"/>
        <v>0</v>
      </c>
      <c r="BM37" s="148">
        <f t="shared" si="19"/>
        <v>0</v>
      </c>
      <c r="BN37" s="148">
        <f t="shared" si="19"/>
        <v>0</v>
      </c>
      <c r="BO37" s="148">
        <f t="shared" si="19"/>
        <v>0</v>
      </c>
      <c r="BP37" s="148">
        <f t="shared" ref="BP37:CB37" si="20">IF(BP36&gt;$F5+1,0,1)*(IF(BQ37=0,100,0)+IF($G5=1,1,0.5)*$J5*100)</f>
        <v>0</v>
      </c>
      <c r="BQ37" s="148">
        <f t="shared" si="20"/>
        <v>0</v>
      </c>
      <c r="BR37" s="148">
        <f t="shared" si="20"/>
        <v>0</v>
      </c>
      <c r="BS37" s="148">
        <f t="shared" si="20"/>
        <v>0</v>
      </c>
      <c r="BT37" s="148">
        <f t="shared" si="20"/>
        <v>0</v>
      </c>
      <c r="BU37" s="148">
        <f t="shared" si="20"/>
        <v>0</v>
      </c>
      <c r="BV37" s="148">
        <f t="shared" si="20"/>
        <v>0</v>
      </c>
      <c r="BW37" s="148">
        <f t="shared" si="20"/>
        <v>0</v>
      </c>
      <c r="BX37" s="148">
        <f t="shared" si="20"/>
        <v>0</v>
      </c>
      <c r="BY37" s="148">
        <f t="shared" si="20"/>
        <v>0</v>
      </c>
      <c r="BZ37" s="148">
        <f t="shared" si="20"/>
        <v>0</v>
      </c>
      <c r="CA37" s="148">
        <f t="shared" si="20"/>
        <v>0</v>
      </c>
      <c r="CB37" s="154">
        <f t="shared" si="20"/>
        <v>0</v>
      </c>
    </row>
    <row r="38" spans="1:80">
      <c r="A38" s="261" t="s">
        <v>49</v>
      </c>
      <c r="B38" s="37" t="str">
        <f>IF(E6=0,F6,E6)</f>
        <v>6/11/2021</v>
      </c>
      <c r="C38" s="38">
        <f>B38+IF($G6=1,365,182.5)</f>
        <v>44723</v>
      </c>
      <c r="D38" s="38">
        <f t="shared" ref="D38:BO38" si="21">C38+IF($G6=1,365,182.5)</f>
        <v>45088</v>
      </c>
      <c r="E38" s="38">
        <f t="shared" si="21"/>
        <v>45453</v>
      </c>
      <c r="F38" s="38">
        <f t="shared" si="21"/>
        <v>45818</v>
      </c>
      <c r="G38" s="141">
        <f t="shared" si="21"/>
        <v>46183</v>
      </c>
      <c r="H38" s="38">
        <f t="shared" si="21"/>
        <v>46548</v>
      </c>
      <c r="I38" s="38">
        <f t="shared" si="21"/>
        <v>46913</v>
      </c>
      <c r="J38" s="38">
        <f t="shared" si="21"/>
        <v>47278</v>
      </c>
      <c r="K38" s="38">
        <f t="shared" si="21"/>
        <v>47643</v>
      </c>
      <c r="L38" s="38">
        <f t="shared" si="21"/>
        <v>48008</v>
      </c>
      <c r="M38" s="38">
        <f t="shared" si="21"/>
        <v>48373</v>
      </c>
      <c r="N38" s="38">
        <f t="shared" si="21"/>
        <v>48738</v>
      </c>
      <c r="O38" s="38">
        <f t="shared" si="21"/>
        <v>49103</v>
      </c>
      <c r="P38" s="38">
        <f t="shared" si="21"/>
        <v>49468</v>
      </c>
      <c r="Q38" s="38">
        <f t="shared" si="21"/>
        <v>49833</v>
      </c>
      <c r="R38" s="38">
        <f t="shared" si="21"/>
        <v>50198</v>
      </c>
      <c r="S38" s="38">
        <f t="shared" si="21"/>
        <v>50563</v>
      </c>
      <c r="T38" s="38">
        <f t="shared" si="21"/>
        <v>50928</v>
      </c>
      <c r="U38" s="38">
        <f t="shared" si="21"/>
        <v>51293</v>
      </c>
      <c r="V38" s="38">
        <f t="shared" si="21"/>
        <v>51658</v>
      </c>
      <c r="W38" s="38">
        <f t="shared" si="21"/>
        <v>52023</v>
      </c>
      <c r="X38" s="38">
        <f t="shared" si="21"/>
        <v>52388</v>
      </c>
      <c r="Y38" s="38">
        <f t="shared" si="21"/>
        <v>52753</v>
      </c>
      <c r="Z38" s="38">
        <f t="shared" si="21"/>
        <v>53118</v>
      </c>
      <c r="AA38" s="38">
        <f t="shared" si="21"/>
        <v>53483</v>
      </c>
      <c r="AB38" s="38">
        <f t="shared" si="21"/>
        <v>53848</v>
      </c>
      <c r="AC38" s="38">
        <f t="shared" si="21"/>
        <v>54213</v>
      </c>
      <c r="AD38" s="38">
        <f t="shared" si="21"/>
        <v>54578</v>
      </c>
      <c r="AE38" s="38">
        <f t="shared" si="21"/>
        <v>54943</v>
      </c>
      <c r="AF38" s="38">
        <f t="shared" si="21"/>
        <v>55308</v>
      </c>
      <c r="AG38" s="38">
        <f t="shared" si="21"/>
        <v>55673</v>
      </c>
      <c r="AH38" s="38">
        <f t="shared" si="21"/>
        <v>56038</v>
      </c>
      <c r="AI38" s="38">
        <f t="shared" si="21"/>
        <v>56403</v>
      </c>
      <c r="AJ38" s="38">
        <f t="shared" si="21"/>
        <v>56768</v>
      </c>
      <c r="AK38" s="38">
        <f t="shared" si="21"/>
        <v>57133</v>
      </c>
      <c r="AL38" s="38">
        <f t="shared" si="21"/>
        <v>57498</v>
      </c>
      <c r="AM38" s="38">
        <f t="shared" si="21"/>
        <v>57863</v>
      </c>
      <c r="AN38" s="38">
        <f t="shared" si="21"/>
        <v>58228</v>
      </c>
      <c r="AO38" s="38">
        <f t="shared" si="21"/>
        <v>58593</v>
      </c>
      <c r="AP38" s="38">
        <f t="shared" si="21"/>
        <v>58958</v>
      </c>
      <c r="AQ38" s="38">
        <f t="shared" si="21"/>
        <v>59323</v>
      </c>
      <c r="AR38" s="38">
        <f t="shared" si="21"/>
        <v>59688</v>
      </c>
      <c r="AS38" s="38">
        <f t="shared" si="21"/>
        <v>60053</v>
      </c>
      <c r="AT38" s="38">
        <f t="shared" si="21"/>
        <v>60418</v>
      </c>
      <c r="AU38" s="38">
        <f t="shared" si="21"/>
        <v>60783</v>
      </c>
      <c r="AV38" s="38">
        <f t="shared" si="21"/>
        <v>61148</v>
      </c>
      <c r="AW38" s="38">
        <f t="shared" si="21"/>
        <v>61513</v>
      </c>
      <c r="AX38" s="38">
        <f t="shared" si="21"/>
        <v>61878</v>
      </c>
      <c r="AY38" s="38">
        <f t="shared" si="21"/>
        <v>62243</v>
      </c>
      <c r="AZ38" s="38">
        <f t="shared" si="21"/>
        <v>62608</v>
      </c>
      <c r="BA38" s="38">
        <f t="shared" si="21"/>
        <v>62973</v>
      </c>
      <c r="BB38" s="38">
        <f t="shared" si="21"/>
        <v>63338</v>
      </c>
      <c r="BC38" s="38">
        <f t="shared" si="21"/>
        <v>63703</v>
      </c>
      <c r="BD38" s="38">
        <f t="shared" si="21"/>
        <v>64068</v>
      </c>
      <c r="BE38" s="38">
        <f t="shared" si="21"/>
        <v>64433</v>
      </c>
      <c r="BF38" s="38">
        <f t="shared" si="21"/>
        <v>64798</v>
      </c>
      <c r="BG38" s="38">
        <f t="shared" si="21"/>
        <v>65163</v>
      </c>
      <c r="BH38" s="38">
        <f t="shared" si="21"/>
        <v>65528</v>
      </c>
      <c r="BI38" s="38">
        <f t="shared" si="21"/>
        <v>65893</v>
      </c>
      <c r="BJ38" s="38">
        <f t="shared" si="21"/>
        <v>66258</v>
      </c>
      <c r="BK38" s="38">
        <f t="shared" si="21"/>
        <v>66623</v>
      </c>
      <c r="BL38" s="38">
        <f t="shared" si="21"/>
        <v>66988</v>
      </c>
      <c r="BM38" s="38">
        <f t="shared" si="21"/>
        <v>67353</v>
      </c>
      <c r="BN38" s="38">
        <f t="shared" si="21"/>
        <v>67718</v>
      </c>
      <c r="BO38" s="38">
        <f t="shared" si="21"/>
        <v>68083</v>
      </c>
      <c r="BP38" s="38">
        <f t="shared" ref="BP38:CB38" si="22">BO38+IF($G6=1,365,182.5)</f>
        <v>68448</v>
      </c>
      <c r="BQ38" s="38">
        <f t="shared" si="22"/>
        <v>68813</v>
      </c>
      <c r="BR38" s="38">
        <f t="shared" si="22"/>
        <v>69178</v>
      </c>
      <c r="BS38" s="38">
        <f t="shared" si="22"/>
        <v>69543</v>
      </c>
      <c r="BT38" s="38">
        <f t="shared" si="22"/>
        <v>69908</v>
      </c>
      <c r="BU38" s="38">
        <f t="shared" si="22"/>
        <v>70273</v>
      </c>
      <c r="BV38" s="38">
        <f t="shared" si="22"/>
        <v>70638</v>
      </c>
      <c r="BW38" s="38">
        <f t="shared" si="22"/>
        <v>71003</v>
      </c>
      <c r="BX38" s="38">
        <f t="shared" si="22"/>
        <v>71368</v>
      </c>
      <c r="BY38" s="38">
        <f t="shared" si="22"/>
        <v>71733</v>
      </c>
      <c r="BZ38" s="38">
        <f t="shared" si="22"/>
        <v>72098</v>
      </c>
      <c r="CA38" s="38">
        <f t="shared" si="22"/>
        <v>72463</v>
      </c>
      <c r="CB38" s="39">
        <f t="shared" si="22"/>
        <v>72828</v>
      </c>
    </row>
    <row r="39" spans="1:80">
      <c r="A39" s="166" t="s">
        <v>25</v>
      </c>
      <c r="B39" s="106">
        <f>(IF(B38=F6,100,0)+IF(G6=1,1,0.5)*J6*100)*IF(ISBLANK(F6)=TRUE,0,1)</f>
        <v>100</v>
      </c>
      <c r="C39" s="40">
        <f>IF(C38&gt;$F6+1,0,1)*(IF(D39=0,100,0)+IF($G6=1,1,0.5)*$J6*100)</f>
        <v>0</v>
      </c>
      <c r="D39" s="40">
        <f t="shared" ref="D39:BO39" si="23">IF(D38&gt;$F6+1,0,1)*(IF(E39=0,100,0)+IF($G6=1,1,0.5)*$J6*100)</f>
        <v>0</v>
      </c>
      <c r="E39" s="40">
        <f t="shared" si="23"/>
        <v>0</v>
      </c>
      <c r="F39" s="40">
        <f t="shared" si="23"/>
        <v>0</v>
      </c>
      <c r="G39" s="40">
        <f t="shared" si="23"/>
        <v>0</v>
      </c>
      <c r="H39" s="40">
        <f t="shared" si="23"/>
        <v>0</v>
      </c>
      <c r="I39" s="40">
        <f t="shared" si="23"/>
        <v>0</v>
      </c>
      <c r="J39" s="40">
        <f t="shared" si="23"/>
        <v>0</v>
      </c>
      <c r="K39" s="40">
        <f t="shared" si="23"/>
        <v>0</v>
      </c>
      <c r="L39" s="40">
        <f t="shared" si="23"/>
        <v>0</v>
      </c>
      <c r="M39" s="40">
        <f t="shared" si="23"/>
        <v>0</v>
      </c>
      <c r="N39" s="40">
        <f t="shared" si="23"/>
        <v>0</v>
      </c>
      <c r="O39" s="40">
        <f t="shared" si="23"/>
        <v>0</v>
      </c>
      <c r="P39" s="40">
        <f t="shared" si="23"/>
        <v>0</v>
      </c>
      <c r="Q39" s="40">
        <f t="shared" si="23"/>
        <v>0</v>
      </c>
      <c r="R39" s="40">
        <f t="shared" si="23"/>
        <v>0</v>
      </c>
      <c r="S39" s="40">
        <f t="shared" si="23"/>
        <v>0</v>
      </c>
      <c r="T39" s="40">
        <f t="shared" si="23"/>
        <v>0</v>
      </c>
      <c r="U39" s="40">
        <f t="shared" si="23"/>
        <v>0</v>
      </c>
      <c r="V39" s="40">
        <f t="shared" si="23"/>
        <v>0</v>
      </c>
      <c r="W39" s="40">
        <f t="shared" si="23"/>
        <v>0</v>
      </c>
      <c r="X39" s="40">
        <f t="shared" si="23"/>
        <v>0</v>
      </c>
      <c r="Y39" s="40">
        <f t="shared" si="23"/>
        <v>0</v>
      </c>
      <c r="Z39" s="40">
        <f t="shared" si="23"/>
        <v>0</v>
      </c>
      <c r="AA39" s="40">
        <f t="shared" si="23"/>
        <v>0</v>
      </c>
      <c r="AB39" s="40">
        <f t="shared" si="23"/>
        <v>0</v>
      </c>
      <c r="AC39" s="40">
        <f t="shared" si="23"/>
        <v>0</v>
      </c>
      <c r="AD39" s="40">
        <f t="shared" si="23"/>
        <v>0</v>
      </c>
      <c r="AE39" s="40">
        <f t="shared" si="23"/>
        <v>0</v>
      </c>
      <c r="AF39" s="40">
        <f t="shared" si="23"/>
        <v>0</v>
      </c>
      <c r="AG39" s="40">
        <f t="shared" si="23"/>
        <v>0</v>
      </c>
      <c r="AH39" s="40">
        <f t="shared" si="23"/>
        <v>0</v>
      </c>
      <c r="AI39" s="40">
        <f t="shared" si="23"/>
        <v>0</v>
      </c>
      <c r="AJ39" s="40">
        <f t="shared" si="23"/>
        <v>0</v>
      </c>
      <c r="AK39" s="40">
        <f t="shared" si="23"/>
        <v>0</v>
      </c>
      <c r="AL39" s="40">
        <f t="shared" si="23"/>
        <v>0</v>
      </c>
      <c r="AM39" s="40">
        <f t="shared" si="23"/>
        <v>0</v>
      </c>
      <c r="AN39" s="40">
        <f t="shared" si="23"/>
        <v>0</v>
      </c>
      <c r="AO39" s="40">
        <f t="shared" si="23"/>
        <v>0</v>
      </c>
      <c r="AP39" s="40">
        <f t="shared" si="23"/>
        <v>0</v>
      </c>
      <c r="AQ39" s="40">
        <f t="shared" si="23"/>
        <v>0</v>
      </c>
      <c r="AR39" s="40">
        <f t="shared" si="23"/>
        <v>0</v>
      </c>
      <c r="AS39" s="40">
        <f t="shared" si="23"/>
        <v>0</v>
      </c>
      <c r="AT39" s="40">
        <f t="shared" si="23"/>
        <v>0</v>
      </c>
      <c r="AU39" s="40">
        <f t="shared" si="23"/>
        <v>0</v>
      </c>
      <c r="AV39" s="40">
        <f t="shared" si="23"/>
        <v>0</v>
      </c>
      <c r="AW39" s="40">
        <f t="shared" si="23"/>
        <v>0</v>
      </c>
      <c r="AX39" s="40">
        <f t="shared" si="23"/>
        <v>0</v>
      </c>
      <c r="AY39" s="40">
        <f t="shared" si="23"/>
        <v>0</v>
      </c>
      <c r="AZ39" s="40">
        <f t="shared" si="23"/>
        <v>0</v>
      </c>
      <c r="BA39" s="40">
        <f t="shared" si="23"/>
        <v>0</v>
      </c>
      <c r="BB39" s="40">
        <f t="shared" si="23"/>
        <v>0</v>
      </c>
      <c r="BC39" s="40">
        <f t="shared" si="23"/>
        <v>0</v>
      </c>
      <c r="BD39" s="40">
        <f t="shared" si="23"/>
        <v>0</v>
      </c>
      <c r="BE39" s="40">
        <f t="shared" si="23"/>
        <v>0</v>
      </c>
      <c r="BF39" s="40">
        <f t="shared" si="23"/>
        <v>0</v>
      </c>
      <c r="BG39" s="40">
        <f t="shared" si="23"/>
        <v>0</v>
      </c>
      <c r="BH39" s="40">
        <f t="shared" si="23"/>
        <v>0</v>
      </c>
      <c r="BI39" s="40">
        <f t="shared" si="23"/>
        <v>0</v>
      </c>
      <c r="BJ39" s="40">
        <f t="shared" si="23"/>
        <v>0</v>
      </c>
      <c r="BK39" s="40">
        <f t="shared" si="23"/>
        <v>0</v>
      </c>
      <c r="BL39" s="40">
        <f t="shared" si="23"/>
        <v>0</v>
      </c>
      <c r="BM39" s="40">
        <f t="shared" si="23"/>
        <v>0</v>
      </c>
      <c r="BN39" s="40">
        <f t="shared" si="23"/>
        <v>0</v>
      </c>
      <c r="BO39" s="40">
        <f t="shared" si="23"/>
        <v>0</v>
      </c>
      <c r="BP39" s="40">
        <f t="shared" ref="BP39:CB39" si="24">IF(BP38&gt;$F6+1,0,1)*(IF(BQ39=0,100,0)+IF($G6=1,1,0.5)*$J6*100)</f>
        <v>0</v>
      </c>
      <c r="BQ39" s="40">
        <f t="shared" si="24"/>
        <v>0</v>
      </c>
      <c r="BR39" s="40">
        <f t="shared" si="24"/>
        <v>0</v>
      </c>
      <c r="BS39" s="40">
        <f t="shared" si="24"/>
        <v>0</v>
      </c>
      <c r="BT39" s="40">
        <f t="shared" si="24"/>
        <v>0</v>
      </c>
      <c r="BU39" s="40">
        <f t="shared" si="24"/>
        <v>0</v>
      </c>
      <c r="BV39" s="40">
        <f t="shared" si="24"/>
        <v>0</v>
      </c>
      <c r="BW39" s="40">
        <f t="shared" si="24"/>
        <v>0</v>
      </c>
      <c r="BX39" s="40">
        <f t="shared" si="24"/>
        <v>0</v>
      </c>
      <c r="BY39" s="40">
        <f t="shared" si="24"/>
        <v>0</v>
      </c>
      <c r="BZ39" s="40">
        <f t="shared" si="24"/>
        <v>0</v>
      </c>
      <c r="CA39" s="40">
        <f t="shared" si="24"/>
        <v>0</v>
      </c>
      <c r="CB39" s="41">
        <f t="shared" si="24"/>
        <v>0</v>
      </c>
    </row>
    <row r="40" spans="1:80">
      <c r="A40" s="260" t="s">
        <v>49</v>
      </c>
      <c r="B40" s="42" t="str">
        <f>IF(E7=0,F7,E7)</f>
        <v>4/8/2020</v>
      </c>
      <c r="C40" s="43">
        <f t="shared" ref="C40:BN40" si="25">B40+IF($G7=1,365,182.5)</f>
        <v>44294</v>
      </c>
      <c r="D40" s="43">
        <f t="shared" si="25"/>
        <v>44659</v>
      </c>
      <c r="E40" s="43">
        <f t="shared" si="25"/>
        <v>45024</v>
      </c>
      <c r="F40" s="43">
        <f t="shared" si="25"/>
        <v>45389</v>
      </c>
      <c r="G40" s="43">
        <f t="shared" si="25"/>
        <v>45754</v>
      </c>
      <c r="H40" s="43">
        <f t="shared" si="25"/>
        <v>46119</v>
      </c>
      <c r="I40" s="43">
        <f t="shared" si="25"/>
        <v>46484</v>
      </c>
      <c r="J40" s="43">
        <f t="shared" si="25"/>
        <v>46849</v>
      </c>
      <c r="K40" s="100">
        <f t="shared" si="25"/>
        <v>47214</v>
      </c>
      <c r="L40" s="43">
        <f t="shared" si="25"/>
        <v>47579</v>
      </c>
      <c r="M40" s="43">
        <f t="shared" si="25"/>
        <v>47944</v>
      </c>
      <c r="N40" s="43">
        <f t="shared" si="25"/>
        <v>48309</v>
      </c>
      <c r="O40" s="43">
        <f t="shared" si="25"/>
        <v>48674</v>
      </c>
      <c r="P40" s="43">
        <f t="shared" si="25"/>
        <v>49039</v>
      </c>
      <c r="Q40" s="43">
        <f t="shared" si="25"/>
        <v>49404</v>
      </c>
      <c r="R40" s="43">
        <f t="shared" si="25"/>
        <v>49769</v>
      </c>
      <c r="S40" s="43">
        <f t="shared" si="25"/>
        <v>50134</v>
      </c>
      <c r="T40" s="43">
        <f t="shared" si="25"/>
        <v>50499</v>
      </c>
      <c r="U40" s="43">
        <f t="shared" si="25"/>
        <v>50864</v>
      </c>
      <c r="V40" s="43">
        <f t="shared" si="25"/>
        <v>51229</v>
      </c>
      <c r="W40" s="43">
        <f t="shared" si="25"/>
        <v>51594</v>
      </c>
      <c r="X40" s="43">
        <f t="shared" si="25"/>
        <v>51959</v>
      </c>
      <c r="Y40" s="43">
        <f t="shared" si="25"/>
        <v>52324</v>
      </c>
      <c r="Z40" s="43">
        <f t="shared" si="25"/>
        <v>52689</v>
      </c>
      <c r="AA40" s="43">
        <f t="shared" si="25"/>
        <v>53054</v>
      </c>
      <c r="AB40" s="43">
        <f t="shared" si="25"/>
        <v>53419</v>
      </c>
      <c r="AC40" s="43">
        <f t="shared" si="25"/>
        <v>53784</v>
      </c>
      <c r="AD40" s="43">
        <f t="shared" si="25"/>
        <v>54149</v>
      </c>
      <c r="AE40" s="43">
        <f t="shared" si="25"/>
        <v>54514</v>
      </c>
      <c r="AF40" s="43">
        <f t="shared" si="25"/>
        <v>54879</v>
      </c>
      <c r="AG40" s="43">
        <f t="shared" si="25"/>
        <v>55244</v>
      </c>
      <c r="AH40" s="43">
        <f t="shared" si="25"/>
        <v>55609</v>
      </c>
      <c r="AI40" s="43">
        <f t="shared" si="25"/>
        <v>55974</v>
      </c>
      <c r="AJ40" s="43">
        <f t="shared" si="25"/>
        <v>56339</v>
      </c>
      <c r="AK40" s="43">
        <f t="shared" si="25"/>
        <v>56704</v>
      </c>
      <c r="AL40" s="43">
        <f t="shared" si="25"/>
        <v>57069</v>
      </c>
      <c r="AM40" s="43">
        <f t="shared" si="25"/>
        <v>57434</v>
      </c>
      <c r="AN40" s="43">
        <f t="shared" si="25"/>
        <v>57799</v>
      </c>
      <c r="AO40" s="43">
        <f t="shared" si="25"/>
        <v>58164</v>
      </c>
      <c r="AP40" s="43">
        <f t="shared" si="25"/>
        <v>58529</v>
      </c>
      <c r="AQ40" s="43">
        <f t="shared" si="25"/>
        <v>58894</v>
      </c>
      <c r="AR40" s="43">
        <f t="shared" si="25"/>
        <v>59259</v>
      </c>
      <c r="AS40" s="43">
        <f t="shared" si="25"/>
        <v>59624</v>
      </c>
      <c r="AT40" s="43">
        <f t="shared" si="25"/>
        <v>59989</v>
      </c>
      <c r="AU40" s="43">
        <f t="shared" si="25"/>
        <v>60354</v>
      </c>
      <c r="AV40" s="43">
        <f t="shared" si="25"/>
        <v>60719</v>
      </c>
      <c r="AW40" s="43">
        <f t="shared" si="25"/>
        <v>61084</v>
      </c>
      <c r="AX40" s="43">
        <f t="shared" si="25"/>
        <v>61449</v>
      </c>
      <c r="AY40" s="43">
        <f t="shared" si="25"/>
        <v>61814</v>
      </c>
      <c r="AZ40" s="43">
        <f t="shared" si="25"/>
        <v>62179</v>
      </c>
      <c r="BA40" s="43">
        <f t="shared" si="25"/>
        <v>62544</v>
      </c>
      <c r="BB40" s="43">
        <f t="shared" si="25"/>
        <v>62909</v>
      </c>
      <c r="BC40" s="43">
        <f t="shared" si="25"/>
        <v>63274</v>
      </c>
      <c r="BD40" s="43">
        <f t="shared" si="25"/>
        <v>63639</v>
      </c>
      <c r="BE40" s="43">
        <f t="shared" si="25"/>
        <v>64004</v>
      </c>
      <c r="BF40" s="43">
        <f t="shared" si="25"/>
        <v>64369</v>
      </c>
      <c r="BG40" s="43">
        <f t="shared" si="25"/>
        <v>64734</v>
      </c>
      <c r="BH40" s="43">
        <f t="shared" si="25"/>
        <v>65099</v>
      </c>
      <c r="BI40" s="43">
        <f t="shared" si="25"/>
        <v>65464</v>
      </c>
      <c r="BJ40" s="43">
        <f t="shared" si="25"/>
        <v>65829</v>
      </c>
      <c r="BK40" s="43">
        <f t="shared" si="25"/>
        <v>66194</v>
      </c>
      <c r="BL40" s="43">
        <f t="shared" si="25"/>
        <v>66559</v>
      </c>
      <c r="BM40" s="43">
        <f t="shared" si="25"/>
        <v>66924</v>
      </c>
      <c r="BN40" s="43">
        <f t="shared" si="25"/>
        <v>67289</v>
      </c>
      <c r="BO40" s="43">
        <f t="shared" ref="BO40:CB40" si="26">BN40+IF($G7=1,365,182.5)</f>
        <v>67654</v>
      </c>
      <c r="BP40" s="43">
        <f t="shared" si="26"/>
        <v>68019</v>
      </c>
      <c r="BQ40" s="43">
        <f t="shared" si="26"/>
        <v>68384</v>
      </c>
      <c r="BR40" s="43">
        <f t="shared" si="26"/>
        <v>68749</v>
      </c>
      <c r="BS40" s="43">
        <f t="shared" si="26"/>
        <v>69114</v>
      </c>
      <c r="BT40" s="43">
        <f t="shared" si="26"/>
        <v>69479</v>
      </c>
      <c r="BU40" s="43">
        <f t="shared" si="26"/>
        <v>69844</v>
      </c>
      <c r="BV40" s="43">
        <f t="shared" si="26"/>
        <v>70209</v>
      </c>
      <c r="BW40" s="43">
        <f t="shared" si="26"/>
        <v>70574</v>
      </c>
      <c r="BX40" s="43">
        <f t="shared" si="26"/>
        <v>70939</v>
      </c>
      <c r="BY40" s="43">
        <f t="shared" si="26"/>
        <v>71304</v>
      </c>
      <c r="BZ40" s="43">
        <f t="shared" si="26"/>
        <v>71669</v>
      </c>
      <c r="CA40" s="43">
        <f t="shared" si="26"/>
        <v>72034</v>
      </c>
      <c r="CB40" s="44">
        <f t="shared" si="26"/>
        <v>72399</v>
      </c>
    </row>
    <row r="41" spans="1:80">
      <c r="A41" s="167" t="s">
        <v>16</v>
      </c>
      <c r="B41" s="107">
        <f>(IF(B40=F7,100,0)+IF(G7=1,1,0.5)*J7*100)*IF(ISBLANK(F7)=TRUE,0,1)</f>
        <v>0</v>
      </c>
      <c r="C41" s="45">
        <f>IF(C40&gt;$F7+2,0,1)*(IF(D41=0,100,0)+IF($G7=1,1,0.5)*$J7*100)</f>
        <v>0</v>
      </c>
      <c r="D41" s="45">
        <f t="shared" ref="D41:F41" si="27">IF(D40&gt;$F7+2,0,1)*(IF(E41=0,100,0)+IF($G7=1,1,0.5)*$J7*100)</f>
        <v>100</v>
      </c>
      <c r="E41" s="45">
        <f t="shared" si="27"/>
        <v>0</v>
      </c>
      <c r="F41" s="45">
        <f t="shared" si="27"/>
        <v>0</v>
      </c>
      <c r="G41" s="45">
        <f t="shared" ref="G41:BO41" si="28">IF(G40&gt;$F7+1,0,1)*(IF(H41=0,100,0)+IF($G7=1,1,0.5)*$J7*100)</f>
        <v>0</v>
      </c>
      <c r="H41" s="45">
        <f t="shared" si="28"/>
        <v>0</v>
      </c>
      <c r="I41" s="45">
        <f t="shared" si="28"/>
        <v>0</v>
      </c>
      <c r="J41" s="45">
        <f t="shared" si="28"/>
        <v>0</v>
      </c>
      <c r="K41" s="45">
        <f t="shared" si="28"/>
        <v>0</v>
      </c>
      <c r="L41" s="45">
        <f t="shared" si="28"/>
        <v>0</v>
      </c>
      <c r="M41" s="45">
        <f t="shared" si="28"/>
        <v>0</v>
      </c>
      <c r="N41" s="45">
        <f t="shared" si="28"/>
        <v>0</v>
      </c>
      <c r="O41" s="45">
        <f t="shared" si="28"/>
        <v>0</v>
      </c>
      <c r="P41" s="45">
        <f t="shared" si="28"/>
        <v>0</v>
      </c>
      <c r="Q41" s="45">
        <f t="shared" si="28"/>
        <v>0</v>
      </c>
      <c r="R41" s="45">
        <f t="shared" si="28"/>
        <v>0</v>
      </c>
      <c r="S41" s="45">
        <f t="shared" si="28"/>
        <v>0</v>
      </c>
      <c r="T41" s="45">
        <f t="shared" si="28"/>
        <v>0</v>
      </c>
      <c r="U41" s="45">
        <f t="shared" si="28"/>
        <v>0</v>
      </c>
      <c r="V41" s="45">
        <f t="shared" si="28"/>
        <v>0</v>
      </c>
      <c r="W41" s="45">
        <f t="shared" si="28"/>
        <v>0</v>
      </c>
      <c r="X41" s="45">
        <f t="shared" si="28"/>
        <v>0</v>
      </c>
      <c r="Y41" s="45">
        <f t="shared" si="28"/>
        <v>0</v>
      </c>
      <c r="Z41" s="45">
        <f t="shared" si="28"/>
        <v>0</v>
      </c>
      <c r="AA41" s="45">
        <f t="shared" si="28"/>
        <v>0</v>
      </c>
      <c r="AB41" s="45">
        <f t="shared" si="28"/>
        <v>0</v>
      </c>
      <c r="AC41" s="45">
        <f t="shared" si="28"/>
        <v>0</v>
      </c>
      <c r="AD41" s="45">
        <f t="shared" si="28"/>
        <v>0</v>
      </c>
      <c r="AE41" s="45">
        <f t="shared" si="28"/>
        <v>0</v>
      </c>
      <c r="AF41" s="45">
        <f t="shared" si="28"/>
        <v>0</v>
      </c>
      <c r="AG41" s="45">
        <f t="shared" si="28"/>
        <v>0</v>
      </c>
      <c r="AH41" s="45">
        <f t="shared" si="28"/>
        <v>0</v>
      </c>
      <c r="AI41" s="45">
        <f t="shared" si="28"/>
        <v>0</v>
      </c>
      <c r="AJ41" s="45">
        <f t="shared" si="28"/>
        <v>0</v>
      </c>
      <c r="AK41" s="45">
        <f t="shared" si="28"/>
        <v>0</v>
      </c>
      <c r="AL41" s="45">
        <f t="shared" si="28"/>
        <v>0</v>
      </c>
      <c r="AM41" s="45">
        <f t="shared" si="28"/>
        <v>0</v>
      </c>
      <c r="AN41" s="45">
        <f t="shared" si="28"/>
        <v>0</v>
      </c>
      <c r="AO41" s="45">
        <f t="shared" si="28"/>
        <v>0</v>
      </c>
      <c r="AP41" s="45">
        <f t="shared" si="28"/>
        <v>0</v>
      </c>
      <c r="AQ41" s="45">
        <f t="shared" si="28"/>
        <v>0</v>
      </c>
      <c r="AR41" s="45">
        <f t="shared" si="28"/>
        <v>0</v>
      </c>
      <c r="AS41" s="45">
        <f t="shared" si="28"/>
        <v>0</v>
      </c>
      <c r="AT41" s="45">
        <f t="shared" si="28"/>
        <v>0</v>
      </c>
      <c r="AU41" s="45">
        <f t="shared" si="28"/>
        <v>0</v>
      </c>
      <c r="AV41" s="45">
        <f t="shared" si="28"/>
        <v>0</v>
      </c>
      <c r="AW41" s="45">
        <f t="shared" si="28"/>
        <v>0</v>
      </c>
      <c r="AX41" s="45">
        <f t="shared" si="28"/>
        <v>0</v>
      </c>
      <c r="AY41" s="45">
        <f t="shared" si="28"/>
        <v>0</v>
      </c>
      <c r="AZ41" s="45">
        <f t="shared" si="28"/>
        <v>0</v>
      </c>
      <c r="BA41" s="45">
        <f t="shared" si="28"/>
        <v>0</v>
      </c>
      <c r="BB41" s="45">
        <f t="shared" si="28"/>
        <v>0</v>
      </c>
      <c r="BC41" s="45">
        <f t="shared" si="28"/>
        <v>0</v>
      </c>
      <c r="BD41" s="45">
        <f t="shared" si="28"/>
        <v>0</v>
      </c>
      <c r="BE41" s="45">
        <f t="shared" si="28"/>
        <v>0</v>
      </c>
      <c r="BF41" s="45">
        <f t="shared" si="28"/>
        <v>0</v>
      </c>
      <c r="BG41" s="45">
        <f t="shared" si="28"/>
        <v>0</v>
      </c>
      <c r="BH41" s="45">
        <f t="shared" si="28"/>
        <v>0</v>
      </c>
      <c r="BI41" s="45">
        <f t="shared" si="28"/>
        <v>0</v>
      </c>
      <c r="BJ41" s="45">
        <f t="shared" si="28"/>
        <v>0</v>
      </c>
      <c r="BK41" s="45">
        <f t="shared" si="28"/>
        <v>0</v>
      </c>
      <c r="BL41" s="45">
        <f t="shared" si="28"/>
        <v>0</v>
      </c>
      <c r="BM41" s="45">
        <f t="shared" si="28"/>
        <v>0</v>
      </c>
      <c r="BN41" s="45">
        <f t="shared" si="28"/>
        <v>0</v>
      </c>
      <c r="BO41" s="45">
        <f t="shared" si="28"/>
        <v>0</v>
      </c>
      <c r="BP41" s="45">
        <f t="shared" ref="BP41:CB41" si="29">IF(BP40&gt;$F7+1,0,1)*(IF(BQ41=0,100,0)+IF($G7=1,1,0.5)*$J7*100)</f>
        <v>0</v>
      </c>
      <c r="BQ41" s="45">
        <f t="shared" si="29"/>
        <v>0</v>
      </c>
      <c r="BR41" s="45">
        <f t="shared" si="29"/>
        <v>0</v>
      </c>
      <c r="BS41" s="45">
        <f t="shared" si="29"/>
        <v>0</v>
      </c>
      <c r="BT41" s="45">
        <f t="shared" si="29"/>
        <v>0</v>
      </c>
      <c r="BU41" s="45">
        <f t="shared" si="29"/>
        <v>0</v>
      </c>
      <c r="BV41" s="45">
        <f t="shared" si="29"/>
        <v>0</v>
      </c>
      <c r="BW41" s="45">
        <f t="shared" si="29"/>
        <v>0</v>
      </c>
      <c r="BX41" s="45">
        <f t="shared" si="29"/>
        <v>0</v>
      </c>
      <c r="BY41" s="45">
        <f t="shared" si="29"/>
        <v>0</v>
      </c>
      <c r="BZ41" s="45">
        <f t="shared" si="29"/>
        <v>0</v>
      </c>
      <c r="CA41" s="45">
        <f t="shared" si="29"/>
        <v>0</v>
      </c>
      <c r="CB41" s="46">
        <f t="shared" si="29"/>
        <v>0</v>
      </c>
    </row>
    <row r="42" spans="1:80">
      <c r="A42" s="252" t="s">
        <v>49</v>
      </c>
      <c r="B42" s="47" t="str">
        <f>IF(E8=0,F8,E8)</f>
        <v>4/14/2020</v>
      </c>
      <c r="C42" s="48">
        <f t="shared" ref="C42:BN42" si="30">B42+IF($G8=1,365,182.5)</f>
        <v>44300</v>
      </c>
      <c r="D42" s="48">
        <f t="shared" si="30"/>
        <v>44665</v>
      </c>
      <c r="E42" s="48">
        <f t="shared" si="30"/>
        <v>45030</v>
      </c>
      <c r="F42" s="48">
        <f t="shared" si="30"/>
        <v>45395</v>
      </c>
      <c r="G42" s="48">
        <f t="shared" si="30"/>
        <v>45760</v>
      </c>
      <c r="H42" s="48">
        <f t="shared" si="30"/>
        <v>46125</v>
      </c>
      <c r="I42" s="48">
        <f t="shared" si="30"/>
        <v>46490</v>
      </c>
      <c r="J42" s="48">
        <f t="shared" si="30"/>
        <v>46855</v>
      </c>
      <c r="K42" s="141">
        <f t="shared" si="30"/>
        <v>47220</v>
      </c>
      <c r="L42" s="48">
        <f t="shared" si="30"/>
        <v>47585</v>
      </c>
      <c r="M42" s="48">
        <f t="shared" si="30"/>
        <v>47950</v>
      </c>
      <c r="N42" s="48">
        <f t="shared" si="30"/>
        <v>48315</v>
      </c>
      <c r="O42" s="48">
        <f t="shared" si="30"/>
        <v>48680</v>
      </c>
      <c r="P42" s="48">
        <f t="shared" si="30"/>
        <v>49045</v>
      </c>
      <c r="Q42" s="48">
        <f t="shared" si="30"/>
        <v>49410</v>
      </c>
      <c r="R42" s="48">
        <f t="shared" si="30"/>
        <v>49775</v>
      </c>
      <c r="S42" s="48">
        <f t="shared" si="30"/>
        <v>50140</v>
      </c>
      <c r="T42" s="48">
        <f t="shared" si="30"/>
        <v>50505</v>
      </c>
      <c r="U42" s="48">
        <f t="shared" si="30"/>
        <v>50870</v>
      </c>
      <c r="V42" s="48">
        <f t="shared" si="30"/>
        <v>51235</v>
      </c>
      <c r="W42" s="48">
        <f t="shared" si="30"/>
        <v>51600</v>
      </c>
      <c r="X42" s="48">
        <f t="shared" si="30"/>
        <v>51965</v>
      </c>
      <c r="Y42" s="48">
        <f t="shared" si="30"/>
        <v>52330</v>
      </c>
      <c r="Z42" s="48">
        <f t="shared" si="30"/>
        <v>52695</v>
      </c>
      <c r="AA42" s="48">
        <f t="shared" si="30"/>
        <v>53060</v>
      </c>
      <c r="AB42" s="48">
        <f t="shared" si="30"/>
        <v>53425</v>
      </c>
      <c r="AC42" s="48">
        <f t="shared" si="30"/>
        <v>53790</v>
      </c>
      <c r="AD42" s="48">
        <f t="shared" si="30"/>
        <v>54155</v>
      </c>
      <c r="AE42" s="48">
        <f t="shared" si="30"/>
        <v>54520</v>
      </c>
      <c r="AF42" s="48">
        <f t="shared" si="30"/>
        <v>54885</v>
      </c>
      <c r="AG42" s="48">
        <f t="shared" si="30"/>
        <v>55250</v>
      </c>
      <c r="AH42" s="48">
        <f t="shared" si="30"/>
        <v>55615</v>
      </c>
      <c r="AI42" s="48">
        <f t="shared" si="30"/>
        <v>55980</v>
      </c>
      <c r="AJ42" s="48">
        <f t="shared" si="30"/>
        <v>56345</v>
      </c>
      <c r="AK42" s="48">
        <f t="shared" si="30"/>
        <v>56710</v>
      </c>
      <c r="AL42" s="48">
        <f t="shared" si="30"/>
        <v>57075</v>
      </c>
      <c r="AM42" s="48">
        <f t="shared" si="30"/>
        <v>57440</v>
      </c>
      <c r="AN42" s="48">
        <f t="shared" si="30"/>
        <v>57805</v>
      </c>
      <c r="AO42" s="48">
        <f t="shared" si="30"/>
        <v>58170</v>
      </c>
      <c r="AP42" s="48">
        <f t="shared" si="30"/>
        <v>58535</v>
      </c>
      <c r="AQ42" s="48">
        <f t="shared" si="30"/>
        <v>58900</v>
      </c>
      <c r="AR42" s="48">
        <f t="shared" si="30"/>
        <v>59265</v>
      </c>
      <c r="AS42" s="48">
        <f t="shared" si="30"/>
        <v>59630</v>
      </c>
      <c r="AT42" s="48">
        <f t="shared" si="30"/>
        <v>59995</v>
      </c>
      <c r="AU42" s="48">
        <f t="shared" si="30"/>
        <v>60360</v>
      </c>
      <c r="AV42" s="48">
        <f t="shared" si="30"/>
        <v>60725</v>
      </c>
      <c r="AW42" s="48">
        <f t="shared" si="30"/>
        <v>61090</v>
      </c>
      <c r="AX42" s="48">
        <f t="shared" si="30"/>
        <v>61455</v>
      </c>
      <c r="AY42" s="48">
        <f t="shared" si="30"/>
        <v>61820</v>
      </c>
      <c r="AZ42" s="48">
        <f t="shared" si="30"/>
        <v>62185</v>
      </c>
      <c r="BA42" s="48">
        <f t="shared" si="30"/>
        <v>62550</v>
      </c>
      <c r="BB42" s="48">
        <f t="shared" si="30"/>
        <v>62915</v>
      </c>
      <c r="BC42" s="48">
        <f t="shared" si="30"/>
        <v>63280</v>
      </c>
      <c r="BD42" s="48">
        <f t="shared" si="30"/>
        <v>63645</v>
      </c>
      <c r="BE42" s="48">
        <f t="shared" si="30"/>
        <v>64010</v>
      </c>
      <c r="BF42" s="48">
        <f t="shared" si="30"/>
        <v>64375</v>
      </c>
      <c r="BG42" s="48">
        <f t="shared" si="30"/>
        <v>64740</v>
      </c>
      <c r="BH42" s="48">
        <f t="shared" si="30"/>
        <v>65105</v>
      </c>
      <c r="BI42" s="48">
        <f t="shared" si="30"/>
        <v>65470</v>
      </c>
      <c r="BJ42" s="48">
        <f t="shared" si="30"/>
        <v>65835</v>
      </c>
      <c r="BK42" s="48">
        <f t="shared" si="30"/>
        <v>66200</v>
      </c>
      <c r="BL42" s="48">
        <f t="shared" si="30"/>
        <v>66565</v>
      </c>
      <c r="BM42" s="48">
        <f t="shared" si="30"/>
        <v>66930</v>
      </c>
      <c r="BN42" s="48">
        <f t="shared" si="30"/>
        <v>67295</v>
      </c>
      <c r="BO42" s="48">
        <f t="shared" ref="BO42:CB42" si="31">BN42+IF($G8=1,365,182.5)</f>
        <v>67660</v>
      </c>
      <c r="BP42" s="48">
        <f t="shared" si="31"/>
        <v>68025</v>
      </c>
      <c r="BQ42" s="48">
        <f t="shared" si="31"/>
        <v>68390</v>
      </c>
      <c r="BR42" s="48">
        <f t="shared" si="31"/>
        <v>68755</v>
      </c>
      <c r="BS42" s="48">
        <f t="shared" si="31"/>
        <v>69120</v>
      </c>
      <c r="BT42" s="48">
        <f t="shared" si="31"/>
        <v>69485</v>
      </c>
      <c r="BU42" s="48">
        <f t="shared" si="31"/>
        <v>69850</v>
      </c>
      <c r="BV42" s="48">
        <f t="shared" si="31"/>
        <v>70215</v>
      </c>
      <c r="BW42" s="48">
        <f t="shared" si="31"/>
        <v>70580</v>
      </c>
      <c r="BX42" s="48">
        <f t="shared" si="31"/>
        <v>70945</v>
      </c>
      <c r="BY42" s="48">
        <f t="shared" si="31"/>
        <v>71310</v>
      </c>
      <c r="BZ42" s="48">
        <f t="shared" si="31"/>
        <v>71675</v>
      </c>
      <c r="CA42" s="48">
        <f t="shared" si="31"/>
        <v>72040</v>
      </c>
      <c r="CB42" s="49">
        <f t="shared" si="31"/>
        <v>72405</v>
      </c>
    </row>
    <row r="43" spans="1:80">
      <c r="A43" s="168" t="s">
        <v>26</v>
      </c>
      <c r="B43" s="108">
        <f>(IF(B42=F8,100,0)+IF(G8=1,1,0.5)*J8*100)*IF(ISBLANK(F8)=TRUE,0,1)</f>
        <v>0</v>
      </c>
      <c r="C43" s="50">
        <f>IF(C42&gt;$F8+3,0,1)*(IF(D43=0,100,0)+IF($G8=1,1,0.5)*$J8*100)</f>
        <v>100</v>
      </c>
      <c r="D43" s="50">
        <f t="shared" ref="D43:BO43" si="32">IF(D42&gt;$F8+1,0,1)*(IF(E43=0,100,0)+IF($G8=1,1,0.5)*$J8*100)</f>
        <v>0</v>
      </c>
      <c r="E43" s="50">
        <f t="shared" si="32"/>
        <v>100</v>
      </c>
      <c r="F43" s="50">
        <f t="shared" si="32"/>
        <v>0</v>
      </c>
      <c r="G43" s="50">
        <f t="shared" si="32"/>
        <v>0</v>
      </c>
      <c r="H43" s="50">
        <f t="shared" si="32"/>
        <v>0</v>
      </c>
      <c r="I43" s="50">
        <f t="shared" si="32"/>
        <v>0</v>
      </c>
      <c r="J43" s="50">
        <f t="shared" si="32"/>
        <v>0</v>
      </c>
      <c r="K43" s="50">
        <f t="shared" si="32"/>
        <v>0</v>
      </c>
      <c r="L43" s="50">
        <f t="shared" si="32"/>
        <v>0</v>
      </c>
      <c r="M43" s="50">
        <f t="shared" si="32"/>
        <v>0</v>
      </c>
      <c r="N43" s="50">
        <f t="shared" si="32"/>
        <v>0</v>
      </c>
      <c r="O43" s="50">
        <f t="shared" si="32"/>
        <v>0</v>
      </c>
      <c r="P43" s="50">
        <f t="shared" si="32"/>
        <v>0</v>
      </c>
      <c r="Q43" s="50">
        <f t="shared" si="32"/>
        <v>0</v>
      </c>
      <c r="R43" s="50">
        <f t="shared" si="32"/>
        <v>0</v>
      </c>
      <c r="S43" s="50">
        <f t="shared" si="32"/>
        <v>0</v>
      </c>
      <c r="T43" s="50">
        <f t="shared" si="32"/>
        <v>0</v>
      </c>
      <c r="U43" s="50">
        <f t="shared" si="32"/>
        <v>0</v>
      </c>
      <c r="V43" s="50">
        <f t="shared" si="32"/>
        <v>0</v>
      </c>
      <c r="W43" s="50">
        <f t="shared" si="32"/>
        <v>0</v>
      </c>
      <c r="X43" s="50">
        <f t="shared" si="32"/>
        <v>0</v>
      </c>
      <c r="Y43" s="50">
        <f t="shared" si="32"/>
        <v>0</v>
      </c>
      <c r="Z43" s="50">
        <f t="shared" si="32"/>
        <v>0</v>
      </c>
      <c r="AA43" s="50">
        <f t="shared" si="32"/>
        <v>0</v>
      </c>
      <c r="AB43" s="50">
        <f t="shared" si="32"/>
        <v>0</v>
      </c>
      <c r="AC43" s="50">
        <f t="shared" si="32"/>
        <v>0</v>
      </c>
      <c r="AD43" s="50">
        <f t="shared" si="32"/>
        <v>0</v>
      </c>
      <c r="AE43" s="50">
        <f t="shared" si="32"/>
        <v>0</v>
      </c>
      <c r="AF43" s="50">
        <f t="shared" si="32"/>
        <v>0</v>
      </c>
      <c r="AG43" s="50">
        <f t="shared" si="32"/>
        <v>0</v>
      </c>
      <c r="AH43" s="50">
        <f t="shared" si="32"/>
        <v>0</v>
      </c>
      <c r="AI43" s="50">
        <f t="shared" si="32"/>
        <v>0</v>
      </c>
      <c r="AJ43" s="50">
        <f t="shared" si="32"/>
        <v>0</v>
      </c>
      <c r="AK43" s="50">
        <f t="shared" si="32"/>
        <v>0</v>
      </c>
      <c r="AL43" s="50">
        <f t="shared" si="32"/>
        <v>0</v>
      </c>
      <c r="AM43" s="50">
        <f t="shared" si="32"/>
        <v>0</v>
      </c>
      <c r="AN43" s="50">
        <f t="shared" si="32"/>
        <v>0</v>
      </c>
      <c r="AO43" s="50">
        <f t="shared" si="32"/>
        <v>0</v>
      </c>
      <c r="AP43" s="50">
        <f t="shared" si="32"/>
        <v>0</v>
      </c>
      <c r="AQ43" s="50">
        <f t="shared" si="32"/>
        <v>0</v>
      </c>
      <c r="AR43" s="50">
        <f t="shared" si="32"/>
        <v>0</v>
      </c>
      <c r="AS43" s="50">
        <f t="shared" si="32"/>
        <v>0</v>
      </c>
      <c r="AT43" s="50">
        <f t="shared" si="32"/>
        <v>0</v>
      </c>
      <c r="AU43" s="50">
        <f t="shared" si="32"/>
        <v>0</v>
      </c>
      <c r="AV43" s="50">
        <f t="shared" si="32"/>
        <v>0</v>
      </c>
      <c r="AW43" s="50">
        <f t="shared" si="32"/>
        <v>0</v>
      </c>
      <c r="AX43" s="50">
        <f t="shared" si="32"/>
        <v>0</v>
      </c>
      <c r="AY43" s="50">
        <f t="shared" si="32"/>
        <v>0</v>
      </c>
      <c r="AZ43" s="50">
        <f t="shared" si="32"/>
        <v>0</v>
      </c>
      <c r="BA43" s="50">
        <f t="shared" si="32"/>
        <v>0</v>
      </c>
      <c r="BB43" s="50">
        <f t="shared" si="32"/>
        <v>0</v>
      </c>
      <c r="BC43" s="50">
        <f t="shared" si="32"/>
        <v>0</v>
      </c>
      <c r="BD43" s="50">
        <f t="shared" si="32"/>
        <v>0</v>
      </c>
      <c r="BE43" s="50">
        <f t="shared" si="32"/>
        <v>0</v>
      </c>
      <c r="BF43" s="50">
        <f t="shared" si="32"/>
        <v>0</v>
      </c>
      <c r="BG43" s="50">
        <f t="shared" si="32"/>
        <v>0</v>
      </c>
      <c r="BH43" s="50">
        <f t="shared" si="32"/>
        <v>0</v>
      </c>
      <c r="BI43" s="50">
        <f t="shared" si="32"/>
        <v>0</v>
      </c>
      <c r="BJ43" s="50">
        <f t="shared" si="32"/>
        <v>0</v>
      </c>
      <c r="BK43" s="50">
        <f t="shared" si="32"/>
        <v>0</v>
      </c>
      <c r="BL43" s="50">
        <f t="shared" si="32"/>
        <v>0</v>
      </c>
      <c r="BM43" s="50">
        <f t="shared" si="32"/>
        <v>0</v>
      </c>
      <c r="BN43" s="50">
        <f t="shared" si="32"/>
        <v>0</v>
      </c>
      <c r="BO43" s="50">
        <f t="shared" si="32"/>
        <v>0</v>
      </c>
      <c r="BP43" s="50">
        <f t="shared" ref="BP43:CB43" si="33">IF(BP42&gt;$F8+1,0,1)*(IF(BQ43=0,100,0)+IF($G8=1,1,0.5)*$J8*100)</f>
        <v>0</v>
      </c>
      <c r="BQ43" s="50">
        <f t="shared" si="33"/>
        <v>0</v>
      </c>
      <c r="BR43" s="50">
        <f t="shared" si="33"/>
        <v>0</v>
      </c>
      <c r="BS43" s="50">
        <f t="shared" si="33"/>
        <v>0</v>
      </c>
      <c r="BT43" s="50">
        <f t="shared" si="33"/>
        <v>0</v>
      </c>
      <c r="BU43" s="50">
        <f t="shared" si="33"/>
        <v>0</v>
      </c>
      <c r="BV43" s="50">
        <f t="shared" si="33"/>
        <v>0</v>
      </c>
      <c r="BW43" s="50">
        <f t="shared" si="33"/>
        <v>0</v>
      </c>
      <c r="BX43" s="50">
        <f t="shared" si="33"/>
        <v>0</v>
      </c>
      <c r="BY43" s="50">
        <f t="shared" si="33"/>
        <v>0</v>
      </c>
      <c r="BZ43" s="50">
        <f t="shared" si="33"/>
        <v>0</v>
      </c>
      <c r="CA43" s="50">
        <f t="shared" si="33"/>
        <v>0</v>
      </c>
      <c r="CB43" s="51">
        <f t="shared" si="33"/>
        <v>0</v>
      </c>
    </row>
    <row r="44" spans="1:80">
      <c r="A44" s="259" t="s">
        <v>49</v>
      </c>
      <c r="B44" s="52" t="str">
        <f>IF(E9=0,F9,E9)</f>
        <v>4/5/2020</v>
      </c>
      <c r="C44" s="53">
        <f t="shared" ref="C44:BN44" si="34">B44+IF($G9=1,365,182.5)</f>
        <v>44291</v>
      </c>
      <c r="D44" s="53">
        <f t="shared" si="34"/>
        <v>44656</v>
      </c>
      <c r="E44" s="53">
        <f t="shared" si="34"/>
        <v>45021</v>
      </c>
      <c r="F44" s="53">
        <f t="shared" si="34"/>
        <v>45386</v>
      </c>
      <c r="G44" s="53">
        <f t="shared" si="34"/>
        <v>45751</v>
      </c>
      <c r="H44" s="53">
        <f t="shared" si="34"/>
        <v>46116</v>
      </c>
      <c r="I44" s="53">
        <f t="shared" si="34"/>
        <v>46481</v>
      </c>
      <c r="J44" s="53">
        <f t="shared" si="34"/>
        <v>46846</v>
      </c>
      <c r="K44" s="53">
        <f t="shared" si="34"/>
        <v>47211</v>
      </c>
      <c r="L44" s="53">
        <f t="shared" si="34"/>
        <v>47576</v>
      </c>
      <c r="M44" s="53">
        <f t="shared" si="34"/>
        <v>47941</v>
      </c>
      <c r="N44" s="53">
        <f t="shared" si="34"/>
        <v>48306</v>
      </c>
      <c r="O44" s="53">
        <f t="shared" si="34"/>
        <v>48671</v>
      </c>
      <c r="P44" s="53">
        <f t="shared" si="34"/>
        <v>49036</v>
      </c>
      <c r="Q44" s="53">
        <f t="shared" si="34"/>
        <v>49401</v>
      </c>
      <c r="R44" s="53">
        <f t="shared" si="34"/>
        <v>49766</v>
      </c>
      <c r="S44" s="53">
        <f t="shared" si="34"/>
        <v>50131</v>
      </c>
      <c r="T44" s="53">
        <f t="shared" si="34"/>
        <v>50496</v>
      </c>
      <c r="U44" s="53">
        <f t="shared" si="34"/>
        <v>50861</v>
      </c>
      <c r="V44" s="53">
        <f t="shared" si="34"/>
        <v>51226</v>
      </c>
      <c r="W44" s="53">
        <f t="shared" si="34"/>
        <v>51591</v>
      </c>
      <c r="X44" s="53">
        <f t="shared" si="34"/>
        <v>51956</v>
      </c>
      <c r="Y44" s="53">
        <f t="shared" si="34"/>
        <v>52321</v>
      </c>
      <c r="Z44" s="53">
        <f t="shared" si="34"/>
        <v>52686</v>
      </c>
      <c r="AA44" s="53">
        <f t="shared" si="34"/>
        <v>53051</v>
      </c>
      <c r="AB44" s="53">
        <f t="shared" si="34"/>
        <v>53416</v>
      </c>
      <c r="AC44" s="53">
        <f t="shared" si="34"/>
        <v>53781</v>
      </c>
      <c r="AD44" s="53">
        <f t="shared" si="34"/>
        <v>54146</v>
      </c>
      <c r="AE44" s="53">
        <f t="shared" si="34"/>
        <v>54511</v>
      </c>
      <c r="AF44" s="53">
        <f t="shared" si="34"/>
        <v>54876</v>
      </c>
      <c r="AG44" s="53">
        <f t="shared" si="34"/>
        <v>55241</v>
      </c>
      <c r="AH44" s="53">
        <f t="shared" si="34"/>
        <v>55606</v>
      </c>
      <c r="AI44" s="53">
        <f t="shared" si="34"/>
        <v>55971</v>
      </c>
      <c r="AJ44" s="53">
        <f t="shared" si="34"/>
        <v>56336</v>
      </c>
      <c r="AK44" s="53">
        <f t="shared" si="34"/>
        <v>56701</v>
      </c>
      <c r="AL44" s="53">
        <f t="shared" si="34"/>
        <v>57066</v>
      </c>
      <c r="AM44" s="53">
        <f t="shared" si="34"/>
        <v>57431</v>
      </c>
      <c r="AN44" s="53">
        <f t="shared" si="34"/>
        <v>57796</v>
      </c>
      <c r="AO44" s="53">
        <f t="shared" si="34"/>
        <v>58161</v>
      </c>
      <c r="AP44" s="53">
        <f t="shared" si="34"/>
        <v>58526</v>
      </c>
      <c r="AQ44" s="53">
        <f t="shared" si="34"/>
        <v>58891</v>
      </c>
      <c r="AR44" s="53">
        <f t="shared" si="34"/>
        <v>59256</v>
      </c>
      <c r="AS44" s="53">
        <f t="shared" si="34"/>
        <v>59621</v>
      </c>
      <c r="AT44" s="53">
        <f t="shared" si="34"/>
        <v>59986</v>
      </c>
      <c r="AU44" s="53">
        <f t="shared" si="34"/>
        <v>60351</v>
      </c>
      <c r="AV44" s="53">
        <f t="shared" si="34"/>
        <v>60716</v>
      </c>
      <c r="AW44" s="53">
        <f t="shared" si="34"/>
        <v>61081</v>
      </c>
      <c r="AX44" s="53">
        <f t="shared" si="34"/>
        <v>61446</v>
      </c>
      <c r="AY44" s="53">
        <f t="shared" si="34"/>
        <v>61811</v>
      </c>
      <c r="AZ44" s="53">
        <f t="shared" si="34"/>
        <v>62176</v>
      </c>
      <c r="BA44" s="53">
        <f t="shared" si="34"/>
        <v>62541</v>
      </c>
      <c r="BB44" s="53">
        <f t="shared" si="34"/>
        <v>62906</v>
      </c>
      <c r="BC44" s="53">
        <f t="shared" si="34"/>
        <v>63271</v>
      </c>
      <c r="BD44" s="53">
        <f t="shared" si="34"/>
        <v>63636</v>
      </c>
      <c r="BE44" s="53">
        <f t="shared" si="34"/>
        <v>64001</v>
      </c>
      <c r="BF44" s="53">
        <f t="shared" si="34"/>
        <v>64366</v>
      </c>
      <c r="BG44" s="53">
        <f t="shared" si="34"/>
        <v>64731</v>
      </c>
      <c r="BH44" s="53">
        <f t="shared" si="34"/>
        <v>65096</v>
      </c>
      <c r="BI44" s="53">
        <f t="shared" si="34"/>
        <v>65461</v>
      </c>
      <c r="BJ44" s="53">
        <f t="shared" si="34"/>
        <v>65826</v>
      </c>
      <c r="BK44" s="53">
        <f t="shared" si="34"/>
        <v>66191</v>
      </c>
      <c r="BL44" s="53">
        <f t="shared" si="34"/>
        <v>66556</v>
      </c>
      <c r="BM44" s="53">
        <f t="shared" si="34"/>
        <v>66921</v>
      </c>
      <c r="BN44" s="53">
        <f t="shared" si="34"/>
        <v>67286</v>
      </c>
      <c r="BO44" s="53">
        <f t="shared" ref="BO44:CB44" si="35">BN44+IF($G9=1,365,182.5)</f>
        <v>67651</v>
      </c>
      <c r="BP44" s="53">
        <f t="shared" si="35"/>
        <v>68016</v>
      </c>
      <c r="BQ44" s="53">
        <f t="shared" si="35"/>
        <v>68381</v>
      </c>
      <c r="BR44" s="53">
        <f t="shared" si="35"/>
        <v>68746</v>
      </c>
      <c r="BS44" s="53">
        <f t="shared" si="35"/>
        <v>69111</v>
      </c>
      <c r="BT44" s="53">
        <f t="shared" si="35"/>
        <v>69476</v>
      </c>
      <c r="BU44" s="53">
        <f t="shared" si="35"/>
        <v>69841</v>
      </c>
      <c r="BV44" s="53">
        <f t="shared" si="35"/>
        <v>70206</v>
      </c>
      <c r="BW44" s="53">
        <f t="shared" si="35"/>
        <v>70571</v>
      </c>
      <c r="BX44" s="53">
        <f t="shared" si="35"/>
        <v>70936</v>
      </c>
      <c r="BY44" s="53">
        <f t="shared" si="35"/>
        <v>71301</v>
      </c>
      <c r="BZ44" s="53">
        <f t="shared" si="35"/>
        <v>71666</v>
      </c>
      <c r="CA44" s="53">
        <f t="shared" si="35"/>
        <v>72031</v>
      </c>
      <c r="CB44" s="54">
        <f t="shared" si="35"/>
        <v>72396</v>
      </c>
    </row>
    <row r="45" spans="1:80">
      <c r="A45" s="169" t="s">
        <v>27</v>
      </c>
      <c r="B45" s="109">
        <f>(IF(B44=F9,100,0)+IF(G9=1,1,0.5)*J9*100)*IF(ISBLANK(F9)=TRUE,0,1)</f>
        <v>0</v>
      </c>
      <c r="C45" s="55">
        <f>IF(C44&gt;$F9+1,0,1)*(IF(D45=0,100,0)+IF($G9=1,1,0.5)*$J9*100)</f>
        <v>0</v>
      </c>
      <c r="D45" s="55">
        <f t="shared" ref="D45:K45" si="36">IF(D44&gt;$F9+1,0,1)*(IF(E45=0,100,0)+IF($G9=1,1,0.5)*$J9*100)</f>
        <v>100</v>
      </c>
      <c r="E45" s="55">
        <f t="shared" si="36"/>
        <v>0</v>
      </c>
      <c r="F45" s="55">
        <f t="shared" si="36"/>
        <v>100</v>
      </c>
      <c r="G45" s="55">
        <f t="shared" si="36"/>
        <v>0</v>
      </c>
      <c r="H45" s="55">
        <f t="shared" si="36"/>
        <v>0</v>
      </c>
      <c r="I45" s="55">
        <f t="shared" si="36"/>
        <v>0</v>
      </c>
      <c r="J45" s="55">
        <f t="shared" si="36"/>
        <v>0</v>
      </c>
      <c r="K45" s="55">
        <f t="shared" si="36"/>
        <v>0</v>
      </c>
      <c r="L45" s="55">
        <f t="shared" ref="L45:BO45" si="37">IF(L44&gt;$F9+1,0,1)*(IF(M45=0,100,0)+IF($G9=1,1,0.5)*$J9*100)</f>
        <v>0</v>
      </c>
      <c r="M45" s="55">
        <f t="shared" si="37"/>
        <v>0</v>
      </c>
      <c r="N45" s="55">
        <f t="shared" si="37"/>
        <v>0</v>
      </c>
      <c r="O45" s="55">
        <f t="shared" si="37"/>
        <v>0</v>
      </c>
      <c r="P45" s="55">
        <f t="shared" si="37"/>
        <v>0</v>
      </c>
      <c r="Q45" s="55">
        <f t="shared" si="37"/>
        <v>0</v>
      </c>
      <c r="R45" s="55">
        <f t="shared" si="37"/>
        <v>0</v>
      </c>
      <c r="S45" s="55">
        <f t="shared" si="37"/>
        <v>0</v>
      </c>
      <c r="T45" s="55">
        <f t="shared" si="37"/>
        <v>0</v>
      </c>
      <c r="U45" s="55">
        <f t="shared" si="37"/>
        <v>0</v>
      </c>
      <c r="V45" s="55">
        <f t="shared" si="37"/>
        <v>0</v>
      </c>
      <c r="W45" s="55">
        <f t="shared" si="37"/>
        <v>0</v>
      </c>
      <c r="X45" s="55">
        <f t="shared" si="37"/>
        <v>0</v>
      </c>
      <c r="Y45" s="55">
        <f t="shared" si="37"/>
        <v>0</v>
      </c>
      <c r="Z45" s="55">
        <f t="shared" si="37"/>
        <v>0</v>
      </c>
      <c r="AA45" s="55">
        <f t="shared" si="37"/>
        <v>0</v>
      </c>
      <c r="AB45" s="55">
        <f t="shared" si="37"/>
        <v>0</v>
      </c>
      <c r="AC45" s="55">
        <f t="shared" si="37"/>
        <v>0</v>
      </c>
      <c r="AD45" s="55">
        <f t="shared" si="37"/>
        <v>0</v>
      </c>
      <c r="AE45" s="55">
        <f t="shared" si="37"/>
        <v>0</v>
      </c>
      <c r="AF45" s="55">
        <f t="shared" si="37"/>
        <v>0</v>
      </c>
      <c r="AG45" s="55">
        <f t="shared" si="37"/>
        <v>0</v>
      </c>
      <c r="AH45" s="55">
        <f t="shared" si="37"/>
        <v>0</v>
      </c>
      <c r="AI45" s="55">
        <f t="shared" si="37"/>
        <v>0</v>
      </c>
      <c r="AJ45" s="55">
        <f t="shared" si="37"/>
        <v>0</v>
      </c>
      <c r="AK45" s="55">
        <f t="shared" si="37"/>
        <v>0</v>
      </c>
      <c r="AL45" s="55">
        <f t="shared" si="37"/>
        <v>0</v>
      </c>
      <c r="AM45" s="55">
        <f t="shared" si="37"/>
        <v>0</v>
      </c>
      <c r="AN45" s="55">
        <f t="shared" si="37"/>
        <v>0</v>
      </c>
      <c r="AO45" s="55">
        <f t="shared" si="37"/>
        <v>0</v>
      </c>
      <c r="AP45" s="55">
        <f t="shared" si="37"/>
        <v>0</v>
      </c>
      <c r="AQ45" s="55">
        <f t="shared" si="37"/>
        <v>0</v>
      </c>
      <c r="AR45" s="55">
        <f t="shared" si="37"/>
        <v>0</v>
      </c>
      <c r="AS45" s="55">
        <f t="shared" si="37"/>
        <v>0</v>
      </c>
      <c r="AT45" s="55">
        <f t="shared" si="37"/>
        <v>0</v>
      </c>
      <c r="AU45" s="55">
        <f t="shared" si="37"/>
        <v>0</v>
      </c>
      <c r="AV45" s="55">
        <f t="shared" si="37"/>
        <v>0</v>
      </c>
      <c r="AW45" s="55">
        <f t="shared" si="37"/>
        <v>0</v>
      </c>
      <c r="AX45" s="55">
        <f t="shared" si="37"/>
        <v>0</v>
      </c>
      <c r="AY45" s="55">
        <f t="shared" si="37"/>
        <v>0</v>
      </c>
      <c r="AZ45" s="55">
        <f t="shared" si="37"/>
        <v>0</v>
      </c>
      <c r="BA45" s="55">
        <f t="shared" si="37"/>
        <v>0</v>
      </c>
      <c r="BB45" s="55">
        <f t="shared" si="37"/>
        <v>0</v>
      </c>
      <c r="BC45" s="55">
        <f t="shared" si="37"/>
        <v>0</v>
      </c>
      <c r="BD45" s="55">
        <f t="shared" si="37"/>
        <v>0</v>
      </c>
      <c r="BE45" s="55">
        <f t="shared" si="37"/>
        <v>0</v>
      </c>
      <c r="BF45" s="55">
        <f t="shared" si="37"/>
        <v>0</v>
      </c>
      <c r="BG45" s="55">
        <f t="shared" si="37"/>
        <v>0</v>
      </c>
      <c r="BH45" s="55">
        <f t="shared" si="37"/>
        <v>0</v>
      </c>
      <c r="BI45" s="55">
        <f t="shared" si="37"/>
        <v>0</v>
      </c>
      <c r="BJ45" s="55">
        <f t="shared" si="37"/>
        <v>0</v>
      </c>
      <c r="BK45" s="55">
        <f t="shared" si="37"/>
        <v>0</v>
      </c>
      <c r="BL45" s="55">
        <f t="shared" si="37"/>
        <v>0</v>
      </c>
      <c r="BM45" s="55">
        <f t="shared" si="37"/>
        <v>0</v>
      </c>
      <c r="BN45" s="55">
        <f t="shared" si="37"/>
        <v>0</v>
      </c>
      <c r="BO45" s="55">
        <f t="shared" si="37"/>
        <v>0</v>
      </c>
      <c r="BP45" s="55">
        <f t="shared" ref="BP45:CB45" si="38">IF(BP44&gt;$F9+1,0,1)*(IF(BQ45=0,100,0)+IF($G9=1,1,0.5)*$J9*100)</f>
        <v>0</v>
      </c>
      <c r="BQ45" s="55">
        <f t="shared" si="38"/>
        <v>0</v>
      </c>
      <c r="BR45" s="55">
        <f t="shared" si="38"/>
        <v>0</v>
      </c>
      <c r="BS45" s="55">
        <f t="shared" si="38"/>
        <v>0</v>
      </c>
      <c r="BT45" s="55">
        <f t="shared" si="38"/>
        <v>0</v>
      </c>
      <c r="BU45" s="55">
        <f t="shared" si="38"/>
        <v>0</v>
      </c>
      <c r="BV45" s="55">
        <f t="shared" si="38"/>
        <v>0</v>
      </c>
      <c r="BW45" s="55">
        <f t="shared" si="38"/>
        <v>0</v>
      </c>
      <c r="BX45" s="55">
        <f t="shared" si="38"/>
        <v>0</v>
      </c>
      <c r="BY45" s="55">
        <f t="shared" si="38"/>
        <v>0</v>
      </c>
      <c r="BZ45" s="55">
        <f t="shared" si="38"/>
        <v>0</v>
      </c>
      <c r="CA45" s="55">
        <f t="shared" si="38"/>
        <v>0</v>
      </c>
      <c r="CB45" s="56">
        <f t="shared" si="38"/>
        <v>0</v>
      </c>
    </row>
    <row r="46" spans="1:80">
      <c r="A46" s="258" t="s">
        <v>49</v>
      </c>
      <c r="B46" s="149" t="str">
        <f>IF(E10=0,F10,E10)</f>
        <v>2/15/2020</v>
      </c>
      <c r="C46" s="150">
        <f t="shared" ref="C46:BN46" si="39">B46+IF($G10=1,365,182.5)</f>
        <v>44241</v>
      </c>
      <c r="D46" s="150">
        <f t="shared" si="39"/>
        <v>44606</v>
      </c>
      <c r="E46" s="150">
        <f t="shared" si="39"/>
        <v>44971</v>
      </c>
      <c r="F46" s="150">
        <f t="shared" si="39"/>
        <v>45336</v>
      </c>
      <c r="G46" s="150">
        <f t="shared" si="39"/>
        <v>45701</v>
      </c>
      <c r="H46" s="150">
        <f t="shared" si="39"/>
        <v>46066</v>
      </c>
      <c r="I46" s="150">
        <f t="shared" si="39"/>
        <v>46431</v>
      </c>
      <c r="J46" s="150">
        <f t="shared" si="39"/>
        <v>46796</v>
      </c>
      <c r="K46" s="150">
        <f t="shared" si="39"/>
        <v>47161</v>
      </c>
      <c r="L46" s="150">
        <f t="shared" si="39"/>
        <v>47526</v>
      </c>
      <c r="M46" s="150">
        <f t="shared" si="39"/>
        <v>47891</v>
      </c>
      <c r="N46" s="150">
        <f t="shared" si="39"/>
        <v>48256</v>
      </c>
      <c r="O46" s="150">
        <f t="shared" si="39"/>
        <v>48621</v>
      </c>
      <c r="P46" s="150">
        <f t="shared" si="39"/>
        <v>48986</v>
      </c>
      <c r="Q46" s="150">
        <f t="shared" si="39"/>
        <v>49351</v>
      </c>
      <c r="R46" s="150">
        <f t="shared" si="39"/>
        <v>49716</v>
      </c>
      <c r="S46" s="150">
        <f t="shared" si="39"/>
        <v>50081</v>
      </c>
      <c r="T46" s="150">
        <f t="shared" si="39"/>
        <v>50446</v>
      </c>
      <c r="U46" s="150">
        <f t="shared" si="39"/>
        <v>50811</v>
      </c>
      <c r="V46" s="150">
        <f t="shared" si="39"/>
        <v>51176</v>
      </c>
      <c r="W46" s="150">
        <f t="shared" si="39"/>
        <v>51541</v>
      </c>
      <c r="X46" s="150">
        <f t="shared" si="39"/>
        <v>51906</v>
      </c>
      <c r="Y46" s="150">
        <f t="shared" si="39"/>
        <v>52271</v>
      </c>
      <c r="Z46" s="150">
        <f t="shared" si="39"/>
        <v>52636</v>
      </c>
      <c r="AA46" s="150">
        <f t="shared" si="39"/>
        <v>53001</v>
      </c>
      <c r="AB46" s="150">
        <f t="shared" si="39"/>
        <v>53366</v>
      </c>
      <c r="AC46" s="150">
        <f t="shared" si="39"/>
        <v>53731</v>
      </c>
      <c r="AD46" s="150">
        <f t="shared" si="39"/>
        <v>54096</v>
      </c>
      <c r="AE46" s="150">
        <f t="shared" si="39"/>
        <v>54461</v>
      </c>
      <c r="AF46" s="150">
        <f t="shared" si="39"/>
        <v>54826</v>
      </c>
      <c r="AG46" s="150">
        <f t="shared" si="39"/>
        <v>55191</v>
      </c>
      <c r="AH46" s="150">
        <f t="shared" si="39"/>
        <v>55556</v>
      </c>
      <c r="AI46" s="150">
        <f t="shared" si="39"/>
        <v>55921</v>
      </c>
      <c r="AJ46" s="150">
        <f t="shared" si="39"/>
        <v>56286</v>
      </c>
      <c r="AK46" s="150">
        <f t="shared" si="39"/>
        <v>56651</v>
      </c>
      <c r="AL46" s="150">
        <f t="shared" si="39"/>
        <v>57016</v>
      </c>
      <c r="AM46" s="150">
        <f t="shared" si="39"/>
        <v>57381</v>
      </c>
      <c r="AN46" s="150">
        <f t="shared" si="39"/>
        <v>57746</v>
      </c>
      <c r="AO46" s="150">
        <f t="shared" si="39"/>
        <v>58111</v>
      </c>
      <c r="AP46" s="150">
        <f t="shared" si="39"/>
        <v>58476</v>
      </c>
      <c r="AQ46" s="150">
        <f t="shared" si="39"/>
        <v>58841</v>
      </c>
      <c r="AR46" s="150">
        <f t="shared" si="39"/>
        <v>59206</v>
      </c>
      <c r="AS46" s="150">
        <f t="shared" si="39"/>
        <v>59571</v>
      </c>
      <c r="AT46" s="150">
        <f t="shared" si="39"/>
        <v>59936</v>
      </c>
      <c r="AU46" s="150">
        <f t="shared" si="39"/>
        <v>60301</v>
      </c>
      <c r="AV46" s="150">
        <f t="shared" si="39"/>
        <v>60666</v>
      </c>
      <c r="AW46" s="150">
        <f t="shared" si="39"/>
        <v>61031</v>
      </c>
      <c r="AX46" s="150">
        <f t="shared" si="39"/>
        <v>61396</v>
      </c>
      <c r="AY46" s="150">
        <f t="shared" si="39"/>
        <v>61761</v>
      </c>
      <c r="AZ46" s="150">
        <f t="shared" si="39"/>
        <v>62126</v>
      </c>
      <c r="BA46" s="150">
        <f t="shared" si="39"/>
        <v>62491</v>
      </c>
      <c r="BB46" s="150">
        <f t="shared" si="39"/>
        <v>62856</v>
      </c>
      <c r="BC46" s="150">
        <f t="shared" si="39"/>
        <v>63221</v>
      </c>
      <c r="BD46" s="150">
        <f t="shared" si="39"/>
        <v>63586</v>
      </c>
      <c r="BE46" s="150">
        <f t="shared" si="39"/>
        <v>63951</v>
      </c>
      <c r="BF46" s="150">
        <f t="shared" si="39"/>
        <v>64316</v>
      </c>
      <c r="BG46" s="150">
        <f t="shared" si="39"/>
        <v>64681</v>
      </c>
      <c r="BH46" s="150">
        <f t="shared" si="39"/>
        <v>65046</v>
      </c>
      <c r="BI46" s="150">
        <f t="shared" si="39"/>
        <v>65411</v>
      </c>
      <c r="BJ46" s="150">
        <f t="shared" si="39"/>
        <v>65776</v>
      </c>
      <c r="BK46" s="150">
        <f t="shared" si="39"/>
        <v>66141</v>
      </c>
      <c r="BL46" s="150">
        <f t="shared" si="39"/>
        <v>66506</v>
      </c>
      <c r="BM46" s="150">
        <f t="shared" si="39"/>
        <v>66871</v>
      </c>
      <c r="BN46" s="150">
        <f t="shared" si="39"/>
        <v>67236</v>
      </c>
      <c r="BO46" s="150">
        <f t="shared" ref="BO46:CB46" si="40">BN46+IF($G10=1,365,182.5)</f>
        <v>67601</v>
      </c>
      <c r="BP46" s="150">
        <f t="shared" si="40"/>
        <v>67966</v>
      </c>
      <c r="BQ46" s="150">
        <f t="shared" si="40"/>
        <v>68331</v>
      </c>
      <c r="BR46" s="150">
        <f t="shared" si="40"/>
        <v>68696</v>
      </c>
      <c r="BS46" s="150">
        <f t="shared" si="40"/>
        <v>69061</v>
      </c>
      <c r="BT46" s="150">
        <f t="shared" si="40"/>
        <v>69426</v>
      </c>
      <c r="BU46" s="150">
        <f t="shared" si="40"/>
        <v>69791</v>
      </c>
      <c r="BV46" s="150">
        <f t="shared" si="40"/>
        <v>70156</v>
      </c>
      <c r="BW46" s="150">
        <f t="shared" si="40"/>
        <v>70521</v>
      </c>
      <c r="BX46" s="150">
        <f t="shared" si="40"/>
        <v>70886</v>
      </c>
      <c r="BY46" s="150">
        <f t="shared" si="40"/>
        <v>71251</v>
      </c>
      <c r="BZ46" s="150">
        <f t="shared" si="40"/>
        <v>71616</v>
      </c>
      <c r="CA46" s="150">
        <f t="shared" si="40"/>
        <v>71981</v>
      </c>
      <c r="CB46" s="151">
        <f t="shared" si="40"/>
        <v>72346</v>
      </c>
    </row>
    <row r="47" spans="1:80">
      <c r="A47" s="170" t="s">
        <v>17</v>
      </c>
      <c r="B47" s="152">
        <f>(IF(B46=F10,100,0)+IF(G10=1,1,0.5)*J10*100)*IF(ISBLANK(F10)=TRUE,0,1)</f>
        <v>0.5</v>
      </c>
      <c r="C47" s="153">
        <f>IF(C46&gt;$F10+1,0,1)*(IF(D47=0,100,0)+IF($G10=1,1,0.5)*$J10*100)</f>
        <v>0.5</v>
      </c>
      <c r="D47" s="153">
        <f t="shared" ref="D47:BO47" si="41">IF(D46&gt;$F10+1,0,1)*(IF(E47=0,100,0)+IF($G10=1,1,0.5)*$J10*100)</f>
        <v>0.5</v>
      </c>
      <c r="E47" s="153">
        <f t="shared" si="41"/>
        <v>0.5</v>
      </c>
      <c r="F47" s="153">
        <f t="shared" si="41"/>
        <v>0.5</v>
      </c>
      <c r="G47" s="153">
        <f t="shared" si="41"/>
        <v>100.5</v>
      </c>
      <c r="H47" s="153">
        <f t="shared" si="41"/>
        <v>0</v>
      </c>
      <c r="I47" s="153">
        <f t="shared" si="41"/>
        <v>0</v>
      </c>
      <c r="J47" s="153">
        <f t="shared" si="41"/>
        <v>0</v>
      </c>
      <c r="K47" s="153">
        <f t="shared" si="41"/>
        <v>0</v>
      </c>
      <c r="L47" s="153">
        <f t="shared" si="41"/>
        <v>0</v>
      </c>
      <c r="M47" s="153">
        <f t="shared" si="41"/>
        <v>0</v>
      </c>
      <c r="N47" s="153">
        <f t="shared" si="41"/>
        <v>0</v>
      </c>
      <c r="O47" s="153">
        <f t="shared" si="41"/>
        <v>0</v>
      </c>
      <c r="P47" s="153">
        <f t="shared" si="41"/>
        <v>0</v>
      </c>
      <c r="Q47" s="153">
        <f t="shared" si="41"/>
        <v>0</v>
      </c>
      <c r="R47" s="153">
        <f t="shared" si="41"/>
        <v>0</v>
      </c>
      <c r="S47" s="153">
        <f t="shared" si="41"/>
        <v>0</v>
      </c>
      <c r="T47" s="153">
        <f t="shared" si="41"/>
        <v>0</v>
      </c>
      <c r="U47" s="153">
        <f t="shared" si="41"/>
        <v>0</v>
      </c>
      <c r="V47" s="153">
        <f t="shared" si="41"/>
        <v>0</v>
      </c>
      <c r="W47" s="153">
        <f t="shared" si="41"/>
        <v>0</v>
      </c>
      <c r="X47" s="153">
        <f t="shared" si="41"/>
        <v>0</v>
      </c>
      <c r="Y47" s="153">
        <f t="shared" si="41"/>
        <v>0</v>
      </c>
      <c r="Z47" s="153">
        <f t="shared" si="41"/>
        <v>0</v>
      </c>
      <c r="AA47" s="153">
        <f t="shared" si="41"/>
        <v>0</v>
      </c>
      <c r="AB47" s="153">
        <f t="shared" si="41"/>
        <v>0</v>
      </c>
      <c r="AC47" s="153">
        <f t="shared" si="41"/>
        <v>0</v>
      </c>
      <c r="AD47" s="153">
        <f t="shared" si="41"/>
        <v>0</v>
      </c>
      <c r="AE47" s="153">
        <f t="shared" si="41"/>
        <v>0</v>
      </c>
      <c r="AF47" s="153">
        <f t="shared" si="41"/>
        <v>0</v>
      </c>
      <c r="AG47" s="153">
        <f t="shared" si="41"/>
        <v>0</v>
      </c>
      <c r="AH47" s="153">
        <f t="shared" si="41"/>
        <v>0</v>
      </c>
      <c r="AI47" s="153">
        <f t="shared" si="41"/>
        <v>0</v>
      </c>
      <c r="AJ47" s="153">
        <f t="shared" si="41"/>
        <v>0</v>
      </c>
      <c r="AK47" s="153">
        <f t="shared" si="41"/>
        <v>0</v>
      </c>
      <c r="AL47" s="153">
        <f t="shared" si="41"/>
        <v>0</v>
      </c>
      <c r="AM47" s="153">
        <f t="shared" si="41"/>
        <v>0</v>
      </c>
      <c r="AN47" s="153">
        <f t="shared" si="41"/>
        <v>0</v>
      </c>
      <c r="AO47" s="153">
        <f t="shared" si="41"/>
        <v>0</v>
      </c>
      <c r="AP47" s="153">
        <f t="shared" si="41"/>
        <v>0</v>
      </c>
      <c r="AQ47" s="153">
        <f t="shared" si="41"/>
        <v>0</v>
      </c>
      <c r="AR47" s="153">
        <f t="shared" si="41"/>
        <v>0</v>
      </c>
      <c r="AS47" s="153">
        <f t="shared" si="41"/>
        <v>0</v>
      </c>
      <c r="AT47" s="153">
        <f t="shared" si="41"/>
        <v>0</v>
      </c>
      <c r="AU47" s="153">
        <f t="shared" si="41"/>
        <v>0</v>
      </c>
      <c r="AV47" s="153">
        <f t="shared" si="41"/>
        <v>0</v>
      </c>
      <c r="AW47" s="153">
        <f t="shared" si="41"/>
        <v>0</v>
      </c>
      <c r="AX47" s="153">
        <f t="shared" si="41"/>
        <v>0</v>
      </c>
      <c r="AY47" s="153">
        <f t="shared" si="41"/>
        <v>0</v>
      </c>
      <c r="AZ47" s="153">
        <f t="shared" si="41"/>
        <v>0</v>
      </c>
      <c r="BA47" s="153">
        <f t="shared" si="41"/>
        <v>0</v>
      </c>
      <c r="BB47" s="153">
        <f t="shared" si="41"/>
        <v>0</v>
      </c>
      <c r="BC47" s="153">
        <f t="shared" si="41"/>
        <v>0</v>
      </c>
      <c r="BD47" s="153">
        <f t="shared" si="41"/>
        <v>0</v>
      </c>
      <c r="BE47" s="153">
        <f t="shared" si="41"/>
        <v>0</v>
      </c>
      <c r="BF47" s="153">
        <f t="shared" si="41"/>
        <v>0</v>
      </c>
      <c r="BG47" s="153">
        <f t="shared" si="41"/>
        <v>0</v>
      </c>
      <c r="BH47" s="153">
        <f t="shared" si="41"/>
        <v>0</v>
      </c>
      <c r="BI47" s="153">
        <f t="shared" si="41"/>
        <v>0</v>
      </c>
      <c r="BJ47" s="153">
        <f t="shared" si="41"/>
        <v>0</v>
      </c>
      <c r="BK47" s="153">
        <f t="shared" si="41"/>
        <v>0</v>
      </c>
      <c r="BL47" s="153">
        <f t="shared" si="41"/>
        <v>0</v>
      </c>
      <c r="BM47" s="153">
        <f t="shared" si="41"/>
        <v>0</v>
      </c>
      <c r="BN47" s="153">
        <f t="shared" si="41"/>
        <v>0</v>
      </c>
      <c r="BO47" s="153">
        <f t="shared" si="41"/>
        <v>0</v>
      </c>
      <c r="BP47" s="153">
        <f t="shared" ref="BP47:CB47" si="42">IF(BP46&gt;$F10+1,0,1)*(IF(BQ47=0,100,0)+IF($G10=1,1,0.5)*$J10*100)</f>
        <v>0</v>
      </c>
      <c r="BQ47" s="153">
        <f t="shared" si="42"/>
        <v>0</v>
      </c>
      <c r="BR47" s="153">
        <f t="shared" si="42"/>
        <v>0</v>
      </c>
      <c r="BS47" s="153">
        <f t="shared" si="42"/>
        <v>0</v>
      </c>
      <c r="BT47" s="153">
        <f t="shared" si="42"/>
        <v>0</v>
      </c>
      <c r="BU47" s="153">
        <f t="shared" si="42"/>
        <v>0</v>
      </c>
      <c r="BV47" s="153">
        <f t="shared" si="42"/>
        <v>0</v>
      </c>
      <c r="BW47" s="153">
        <f t="shared" si="42"/>
        <v>0</v>
      </c>
      <c r="BX47" s="153">
        <f t="shared" si="42"/>
        <v>0</v>
      </c>
      <c r="BY47" s="153">
        <f t="shared" si="42"/>
        <v>0</v>
      </c>
      <c r="BZ47" s="153">
        <f t="shared" si="42"/>
        <v>0</v>
      </c>
      <c r="CA47" s="153">
        <f t="shared" si="42"/>
        <v>0</v>
      </c>
      <c r="CB47" s="155">
        <f t="shared" si="42"/>
        <v>0</v>
      </c>
    </row>
    <row r="48" spans="1:80">
      <c r="A48" s="257" t="s">
        <v>49</v>
      </c>
      <c r="B48" s="57" t="str">
        <f>IF(E11=0,F11,E11)</f>
        <v>2/15/2020</v>
      </c>
      <c r="C48" s="58">
        <f t="shared" ref="C48:BN48" si="43">B48+IF($G11=1,365,182.5)</f>
        <v>44241</v>
      </c>
      <c r="D48" s="58">
        <f t="shared" si="43"/>
        <v>44606</v>
      </c>
      <c r="E48" s="58">
        <f t="shared" si="43"/>
        <v>44971</v>
      </c>
      <c r="F48" s="58">
        <f t="shared" si="43"/>
        <v>45336</v>
      </c>
      <c r="G48" s="58">
        <f t="shared" si="43"/>
        <v>45701</v>
      </c>
      <c r="H48" s="58">
        <f t="shared" si="43"/>
        <v>46066</v>
      </c>
      <c r="I48" s="58">
        <f t="shared" si="43"/>
        <v>46431</v>
      </c>
      <c r="J48" s="58">
        <f t="shared" si="43"/>
        <v>46796</v>
      </c>
      <c r="K48" s="58">
        <f t="shared" si="43"/>
        <v>47161</v>
      </c>
      <c r="L48" s="58">
        <f t="shared" si="43"/>
        <v>47526</v>
      </c>
      <c r="M48" s="58">
        <f t="shared" si="43"/>
        <v>47891</v>
      </c>
      <c r="N48" s="58">
        <f t="shared" si="43"/>
        <v>48256</v>
      </c>
      <c r="O48" s="58">
        <f t="shared" si="43"/>
        <v>48621</v>
      </c>
      <c r="P48" s="58">
        <f t="shared" si="43"/>
        <v>48986</v>
      </c>
      <c r="Q48" s="58">
        <f t="shared" si="43"/>
        <v>49351</v>
      </c>
      <c r="R48" s="58">
        <f t="shared" si="43"/>
        <v>49716</v>
      </c>
      <c r="S48" s="58">
        <f t="shared" si="43"/>
        <v>50081</v>
      </c>
      <c r="T48" s="58">
        <f t="shared" si="43"/>
        <v>50446</v>
      </c>
      <c r="U48" s="58">
        <f t="shared" si="43"/>
        <v>50811</v>
      </c>
      <c r="V48" s="58">
        <f t="shared" si="43"/>
        <v>51176</v>
      </c>
      <c r="W48" s="58">
        <f t="shared" si="43"/>
        <v>51541</v>
      </c>
      <c r="X48" s="58">
        <f t="shared" si="43"/>
        <v>51906</v>
      </c>
      <c r="Y48" s="58">
        <f t="shared" si="43"/>
        <v>52271</v>
      </c>
      <c r="Z48" s="58">
        <f t="shared" si="43"/>
        <v>52636</v>
      </c>
      <c r="AA48" s="58">
        <f t="shared" si="43"/>
        <v>53001</v>
      </c>
      <c r="AB48" s="58">
        <f t="shared" si="43"/>
        <v>53366</v>
      </c>
      <c r="AC48" s="58">
        <f t="shared" si="43"/>
        <v>53731</v>
      </c>
      <c r="AD48" s="58">
        <f t="shared" si="43"/>
        <v>54096</v>
      </c>
      <c r="AE48" s="58">
        <f t="shared" si="43"/>
        <v>54461</v>
      </c>
      <c r="AF48" s="58">
        <f t="shared" si="43"/>
        <v>54826</v>
      </c>
      <c r="AG48" s="58">
        <f t="shared" si="43"/>
        <v>55191</v>
      </c>
      <c r="AH48" s="58">
        <f t="shared" si="43"/>
        <v>55556</v>
      </c>
      <c r="AI48" s="58">
        <f t="shared" si="43"/>
        <v>55921</v>
      </c>
      <c r="AJ48" s="58">
        <f t="shared" si="43"/>
        <v>56286</v>
      </c>
      <c r="AK48" s="58">
        <f t="shared" si="43"/>
        <v>56651</v>
      </c>
      <c r="AL48" s="58">
        <f t="shared" si="43"/>
        <v>57016</v>
      </c>
      <c r="AM48" s="58">
        <f t="shared" si="43"/>
        <v>57381</v>
      </c>
      <c r="AN48" s="58">
        <f t="shared" si="43"/>
        <v>57746</v>
      </c>
      <c r="AO48" s="58">
        <f t="shared" si="43"/>
        <v>58111</v>
      </c>
      <c r="AP48" s="58">
        <f t="shared" si="43"/>
        <v>58476</v>
      </c>
      <c r="AQ48" s="58">
        <f t="shared" si="43"/>
        <v>58841</v>
      </c>
      <c r="AR48" s="58">
        <f t="shared" si="43"/>
        <v>59206</v>
      </c>
      <c r="AS48" s="58">
        <f t="shared" si="43"/>
        <v>59571</v>
      </c>
      <c r="AT48" s="58">
        <f t="shared" si="43"/>
        <v>59936</v>
      </c>
      <c r="AU48" s="58">
        <f t="shared" si="43"/>
        <v>60301</v>
      </c>
      <c r="AV48" s="58">
        <f t="shared" si="43"/>
        <v>60666</v>
      </c>
      <c r="AW48" s="58">
        <f t="shared" si="43"/>
        <v>61031</v>
      </c>
      <c r="AX48" s="58">
        <f t="shared" si="43"/>
        <v>61396</v>
      </c>
      <c r="AY48" s="58">
        <f t="shared" si="43"/>
        <v>61761</v>
      </c>
      <c r="AZ48" s="58">
        <f t="shared" si="43"/>
        <v>62126</v>
      </c>
      <c r="BA48" s="58">
        <f t="shared" si="43"/>
        <v>62491</v>
      </c>
      <c r="BB48" s="58">
        <f t="shared" si="43"/>
        <v>62856</v>
      </c>
      <c r="BC48" s="58">
        <f t="shared" si="43"/>
        <v>63221</v>
      </c>
      <c r="BD48" s="58">
        <f t="shared" si="43"/>
        <v>63586</v>
      </c>
      <c r="BE48" s="58">
        <f t="shared" si="43"/>
        <v>63951</v>
      </c>
      <c r="BF48" s="58">
        <f t="shared" si="43"/>
        <v>64316</v>
      </c>
      <c r="BG48" s="58">
        <f t="shared" si="43"/>
        <v>64681</v>
      </c>
      <c r="BH48" s="58">
        <f t="shared" si="43"/>
        <v>65046</v>
      </c>
      <c r="BI48" s="58">
        <f t="shared" si="43"/>
        <v>65411</v>
      </c>
      <c r="BJ48" s="58">
        <f t="shared" si="43"/>
        <v>65776</v>
      </c>
      <c r="BK48" s="58">
        <f t="shared" si="43"/>
        <v>66141</v>
      </c>
      <c r="BL48" s="58">
        <f t="shared" si="43"/>
        <v>66506</v>
      </c>
      <c r="BM48" s="58">
        <f t="shared" si="43"/>
        <v>66871</v>
      </c>
      <c r="BN48" s="58">
        <f t="shared" si="43"/>
        <v>67236</v>
      </c>
      <c r="BO48" s="58">
        <f t="shared" ref="BO48:CB48" si="44">BN48+IF($G11=1,365,182.5)</f>
        <v>67601</v>
      </c>
      <c r="BP48" s="58">
        <f t="shared" si="44"/>
        <v>67966</v>
      </c>
      <c r="BQ48" s="58">
        <f t="shared" si="44"/>
        <v>68331</v>
      </c>
      <c r="BR48" s="58">
        <f t="shared" si="44"/>
        <v>68696</v>
      </c>
      <c r="BS48" s="58">
        <f t="shared" si="44"/>
        <v>69061</v>
      </c>
      <c r="BT48" s="58">
        <f t="shared" si="44"/>
        <v>69426</v>
      </c>
      <c r="BU48" s="58">
        <f t="shared" si="44"/>
        <v>69791</v>
      </c>
      <c r="BV48" s="58">
        <f t="shared" si="44"/>
        <v>70156</v>
      </c>
      <c r="BW48" s="58">
        <f t="shared" si="44"/>
        <v>70521</v>
      </c>
      <c r="BX48" s="58">
        <f t="shared" si="44"/>
        <v>70886</v>
      </c>
      <c r="BY48" s="58">
        <f t="shared" si="44"/>
        <v>71251</v>
      </c>
      <c r="BZ48" s="58">
        <f t="shared" si="44"/>
        <v>71616</v>
      </c>
      <c r="CA48" s="58">
        <f t="shared" si="44"/>
        <v>71981</v>
      </c>
      <c r="CB48" s="59">
        <f t="shared" si="44"/>
        <v>72346</v>
      </c>
    </row>
    <row r="49" spans="1:80">
      <c r="A49" s="171" t="s">
        <v>28</v>
      </c>
      <c r="B49" s="112">
        <f>(IF(B48=F11,100,0)+IF(G11=1,1,0.5)*J11*100)*IF(ISBLANK(F11)=TRUE,0,1)</f>
        <v>0.5</v>
      </c>
      <c r="C49" s="60">
        <f>IF(C48&gt;$F11+1,0,1)*(IF(D49=0,100,0)+IF($G11=1,1,0.5)*$J11*100)</f>
        <v>0.5</v>
      </c>
      <c r="D49" s="60">
        <f t="shared" ref="D49:BO49" si="45">IF(D48&gt;$F11+1,0,1)*(IF(E49=0,100,0)+IF($G11=1,1,0.5)*$J11*100)</f>
        <v>0.5</v>
      </c>
      <c r="E49" s="60">
        <f t="shared" si="45"/>
        <v>0.5</v>
      </c>
      <c r="F49" s="60">
        <f t="shared" si="45"/>
        <v>0.5</v>
      </c>
      <c r="G49" s="60">
        <f t="shared" si="45"/>
        <v>0.5</v>
      </c>
      <c r="H49" s="60">
        <f t="shared" si="45"/>
        <v>100.5</v>
      </c>
      <c r="I49" s="60">
        <f t="shared" si="45"/>
        <v>0</v>
      </c>
      <c r="J49" s="60">
        <f t="shared" si="45"/>
        <v>0</v>
      </c>
      <c r="K49" s="60">
        <f t="shared" si="45"/>
        <v>0</v>
      </c>
      <c r="L49" s="60">
        <f t="shared" si="45"/>
        <v>0</v>
      </c>
      <c r="M49" s="60">
        <f t="shared" si="45"/>
        <v>0</v>
      </c>
      <c r="N49" s="60">
        <f t="shared" si="45"/>
        <v>0</v>
      </c>
      <c r="O49" s="60">
        <f t="shared" si="45"/>
        <v>0</v>
      </c>
      <c r="P49" s="60">
        <f t="shared" si="45"/>
        <v>0</v>
      </c>
      <c r="Q49" s="60">
        <f t="shared" si="45"/>
        <v>0</v>
      </c>
      <c r="R49" s="60">
        <f t="shared" si="45"/>
        <v>0</v>
      </c>
      <c r="S49" s="60">
        <f t="shared" si="45"/>
        <v>0</v>
      </c>
      <c r="T49" s="60">
        <f t="shared" si="45"/>
        <v>0</v>
      </c>
      <c r="U49" s="60">
        <f t="shared" si="45"/>
        <v>0</v>
      </c>
      <c r="V49" s="60">
        <f t="shared" si="45"/>
        <v>0</v>
      </c>
      <c r="W49" s="60">
        <f t="shared" si="45"/>
        <v>0</v>
      </c>
      <c r="X49" s="60">
        <f t="shared" si="45"/>
        <v>0</v>
      </c>
      <c r="Y49" s="60">
        <f t="shared" si="45"/>
        <v>0</v>
      </c>
      <c r="Z49" s="60">
        <f t="shared" si="45"/>
        <v>0</v>
      </c>
      <c r="AA49" s="60">
        <f t="shared" si="45"/>
        <v>0</v>
      </c>
      <c r="AB49" s="60">
        <f t="shared" si="45"/>
        <v>0</v>
      </c>
      <c r="AC49" s="60">
        <f t="shared" si="45"/>
        <v>0</v>
      </c>
      <c r="AD49" s="60">
        <f t="shared" si="45"/>
        <v>0</v>
      </c>
      <c r="AE49" s="60">
        <f t="shared" si="45"/>
        <v>0</v>
      </c>
      <c r="AF49" s="60">
        <f t="shared" si="45"/>
        <v>0</v>
      </c>
      <c r="AG49" s="60">
        <f t="shared" si="45"/>
        <v>0</v>
      </c>
      <c r="AH49" s="60">
        <f t="shared" si="45"/>
        <v>0</v>
      </c>
      <c r="AI49" s="60">
        <f t="shared" si="45"/>
        <v>0</v>
      </c>
      <c r="AJ49" s="60">
        <f t="shared" si="45"/>
        <v>0</v>
      </c>
      <c r="AK49" s="60">
        <f t="shared" si="45"/>
        <v>0</v>
      </c>
      <c r="AL49" s="60">
        <f t="shared" si="45"/>
        <v>0</v>
      </c>
      <c r="AM49" s="60">
        <f t="shared" si="45"/>
        <v>0</v>
      </c>
      <c r="AN49" s="60">
        <f t="shared" si="45"/>
        <v>0</v>
      </c>
      <c r="AO49" s="60">
        <f t="shared" si="45"/>
        <v>0</v>
      </c>
      <c r="AP49" s="60">
        <f t="shared" si="45"/>
        <v>0</v>
      </c>
      <c r="AQ49" s="60">
        <f t="shared" si="45"/>
        <v>0</v>
      </c>
      <c r="AR49" s="60">
        <f t="shared" si="45"/>
        <v>0</v>
      </c>
      <c r="AS49" s="60">
        <f t="shared" si="45"/>
        <v>0</v>
      </c>
      <c r="AT49" s="60">
        <f t="shared" si="45"/>
        <v>0</v>
      </c>
      <c r="AU49" s="60">
        <f t="shared" si="45"/>
        <v>0</v>
      </c>
      <c r="AV49" s="60">
        <f t="shared" si="45"/>
        <v>0</v>
      </c>
      <c r="AW49" s="60">
        <f t="shared" si="45"/>
        <v>0</v>
      </c>
      <c r="AX49" s="60">
        <f t="shared" si="45"/>
        <v>0</v>
      </c>
      <c r="AY49" s="60">
        <f t="shared" si="45"/>
        <v>0</v>
      </c>
      <c r="AZ49" s="60">
        <f t="shared" si="45"/>
        <v>0</v>
      </c>
      <c r="BA49" s="60">
        <f t="shared" si="45"/>
        <v>0</v>
      </c>
      <c r="BB49" s="60">
        <f t="shared" si="45"/>
        <v>0</v>
      </c>
      <c r="BC49" s="60">
        <f t="shared" si="45"/>
        <v>0</v>
      </c>
      <c r="BD49" s="60">
        <f t="shared" si="45"/>
        <v>0</v>
      </c>
      <c r="BE49" s="60">
        <f t="shared" si="45"/>
        <v>0</v>
      </c>
      <c r="BF49" s="60">
        <f t="shared" si="45"/>
        <v>0</v>
      </c>
      <c r="BG49" s="60">
        <f t="shared" si="45"/>
        <v>0</v>
      </c>
      <c r="BH49" s="60">
        <f t="shared" si="45"/>
        <v>0</v>
      </c>
      <c r="BI49" s="60">
        <f t="shared" si="45"/>
        <v>0</v>
      </c>
      <c r="BJ49" s="60">
        <f t="shared" si="45"/>
        <v>0</v>
      </c>
      <c r="BK49" s="60">
        <f t="shared" si="45"/>
        <v>0</v>
      </c>
      <c r="BL49" s="60">
        <f t="shared" si="45"/>
        <v>0</v>
      </c>
      <c r="BM49" s="60">
        <f t="shared" si="45"/>
        <v>0</v>
      </c>
      <c r="BN49" s="60">
        <f t="shared" si="45"/>
        <v>0</v>
      </c>
      <c r="BO49" s="60">
        <f t="shared" si="45"/>
        <v>0</v>
      </c>
      <c r="BP49" s="60">
        <f t="shared" ref="BP49:CB49" si="46">IF(BP48&gt;$F11+1,0,1)*(IF(BQ49=0,100,0)+IF($G11=1,1,0.5)*$J11*100)</f>
        <v>0</v>
      </c>
      <c r="BQ49" s="60">
        <f t="shared" si="46"/>
        <v>0</v>
      </c>
      <c r="BR49" s="60">
        <f t="shared" si="46"/>
        <v>0</v>
      </c>
      <c r="BS49" s="60">
        <f t="shared" si="46"/>
        <v>0</v>
      </c>
      <c r="BT49" s="60">
        <f t="shared" si="46"/>
        <v>0</v>
      </c>
      <c r="BU49" s="60">
        <f t="shared" si="46"/>
        <v>0</v>
      </c>
      <c r="BV49" s="60">
        <f t="shared" si="46"/>
        <v>0</v>
      </c>
      <c r="BW49" s="60">
        <f t="shared" si="46"/>
        <v>0</v>
      </c>
      <c r="BX49" s="60">
        <f t="shared" si="46"/>
        <v>0</v>
      </c>
      <c r="BY49" s="60">
        <f t="shared" si="46"/>
        <v>0</v>
      </c>
      <c r="BZ49" s="60">
        <f t="shared" si="46"/>
        <v>0</v>
      </c>
      <c r="CA49" s="60">
        <f t="shared" si="46"/>
        <v>0</v>
      </c>
      <c r="CB49" s="61">
        <f t="shared" si="46"/>
        <v>0</v>
      </c>
    </row>
    <row r="50" spans="1:80">
      <c r="A50" s="256" t="s">
        <v>49</v>
      </c>
      <c r="B50" s="62" t="str">
        <f>IF(E12=0,F12,E12)</f>
        <v>2/15/2020</v>
      </c>
      <c r="C50" s="63">
        <f t="shared" ref="C50:BN50" si="47">B50+IF($G12=1,365,182.5)</f>
        <v>44241</v>
      </c>
      <c r="D50" s="63">
        <f t="shared" si="47"/>
        <v>44606</v>
      </c>
      <c r="E50" s="63">
        <f t="shared" si="47"/>
        <v>44971</v>
      </c>
      <c r="F50" s="63">
        <f t="shared" si="47"/>
        <v>45336</v>
      </c>
      <c r="G50" s="63">
        <f t="shared" si="47"/>
        <v>45701</v>
      </c>
      <c r="H50" s="63">
        <f t="shared" si="47"/>
        <v>46066</v>
      </c>
      <c r="I50" s="63">
        <f t="shared" si="47"/>
        <v>46431</v>
      </c>
      <c r="J50" s="63">
        <f t="shared" si="47"/>
        <v>46796</v>
      </c>
      <c r="K50" s="63">
        <f t="shared" si="47"/>
        <v>47161</v>
      </c>
      <c r="L50" s="63">
        <f t="shared" si="47"/>
        <v>47526</v>
      </c>
      <c r="M50" s="63">
        <f t="shared" si="47"/>
        <v>47891</v>
      </c>
      <c r="N50" s="63">
        <f t="shared" si="47"/>
        <v>48256</v>
      </c>
      <c r="O50" s="63">
        <f t="shared" si="47"/>
        <v>48621</v>
      </c>
      <c r="P50" s="63">
        <f t="shared" si="47"/>
        <v>48986</v>
      </c>
      <c r="Q50" s="63">
        <f t="shared" si="47"/>
        <v>49351</v>
      </c>
      <c r="R50" s="63">
        <f t="shared" si="47"/>
        <v>49716</v>
      </c>
      <c r="S50" s="63">
        <f t="shared" si="47"/>
        <v>50081</v>
      </c>
      <c r="T50" s="63">
        <f t="shared" si="47"/>
        <v>50446</v>
      </c>
      <c r="U50" s="63">
        <f t="shared" si="47"/>
        <v>50811</v>
      </c>
      <c r="V50" s="63">
        <f t="shared" si="47"/>
        <v>51176</v>
      </c>
      <c r="W50" s="63">
        <f t="shared" si="47"/>
        <v>51541</v>
      </c>
      <c r="X50" s="63">
        <f t="shared" si="47"/>
        <v>51906</v>
      </c>
      <c r="Y50" s="63">
        <f t="shared" si="47"/>
        <v>52271</v>
      </c>
      <c r="Z50" s="63">
        <f t="shared" si="47"/>
        <v>52636</v>
      </c>
      <c r="AA50" s="63">
        <f t="shared" si="47"/>
        <v>53001</v>
      </c>
      <c r="AB50" s="63">
        <f t="shared" si="47"/>
        <v>53366</v>
      </c>
      <c r="AC50" s="63">
        <f t="shared" si="47"/>
        <v>53731</v>
      </c>
      <c r="AD50" s="63">
        <f t="shared" si="47"/>
        <v>54096</v>
      </c>
      <c r="AE50" s="63">
        <f t="shared" si="47"/>
        <v>54461</v>
      </c>
      <c r="AF50" s="63">
        <f t="shared" si="47"/>
        <v>54826</v>
      </c>
      <c r="AG50" s="63">
        <f t="shared" si="47"/>
        <v>55191</v>
      </c>
      <c r="AH50" s="63">
        <f t="shared" si="47"/>
        <v>55556</v>
      </c>
      <c r="AI50" s="63">
        <f t="shared" si="47"/>
        <v>55921</v>
      </c>
      <c r="AJ50" s="63">
        <f t="shared" si="47"/>
        <v>56286</v>
      </c>
      <c r="AK50" s="63">
        <f t="shared" si="47"/>
        <v>56651</v>
      </c>
      <c r="AL50" s="63">
        <f t="shared" si="47"/>
        <v>57016</v>
      </c>
      <c r="AM50" s="63">
        <f t="shared" si="47"/>
        <v>57381</v>
      </c>
      <c r="AN50" s="63">
        <f t="shared" si="47"/>
        <v>57746</v>
      </c>
      <c r="AO50" s="63">
        <f t="shared" si="47"/>
        <v>58111</v>
      </c>
      <c r="AP50" s="63">
        <f t="shared" si="47"/>
        <v>58476</v>
      </c>
      <c r="AQ50" s="63">
        <f t="shared" si="47"/>
        <v>58841</v>
      </c>
      <c r="AR50" s="63">
        <f t="shared" si="47"/>
        <v>59206</v>
      </c>
      <c r="AS50" s="63">
        <f t="shared" si="47"/>
        <v>59571</v>
      </c>
      <c r="AT50" s="63">
        <f t="shared" si="47"/>
        <v>59936</v>
      </c>
      <c r="AU50" s="63">
        <f t="shared" si="47"/>
        <v>60301</v>
      </c>
      <c r="AV50" s="63">
        <f t="shared" si="47"/>
        <v>60666</v>
      </c>
      <c r="AW50" s="63">
        <f t="shared" si="47"/>
        <v>61031</v>
      </c>
      <c r="AX50" s="63">
        <f t="shared" si="47"/>
        <v>61396</v>
      </c>
      <c r="AY50" s="63">
        <f t="shared" si="47"/>
        <v>61761</v>
      </c>
      <c r="AZ50" s="63">
        <f t="shared" si="47"/>
        <v>62126</v>
      </c>
      <c r="BA50" s="63">
        <f t="shared" si="47"/>
        <v>62491</v>
      </c>
      <c r="BB50" s="63">
        <f t="shared" si="47"/>
        <v>62856</v>
      </c>
      <c r="BC50" s="63">
        <f t="shared" si="47"/>
        <v>63221</v>
      </c>
      <c r="BD50" s="63">
        <f t="shared" si="47"/>
        <v>63586</v>
      </c>
      <c r="BE50" s="63">
        <f t="shared" si="47"/>
        <v>63951</v>
      </c>
      <c r="BF50" s="63">
        <f t="shared" si="47"/>
        <v>64316</v>
      </c>
      <c r="BG50" s="63">
        <f t="shared" si="47"/>
        <v>64681</v>
      </c>
      <c r="BH50" s="63">
        <f t="shared" si="47"/>
        <v>65046</v>
      </c>
      <c r="BI50" s="63">
        <f t="shared" si="47"/>
        <v>65411</v>
      </c>
      <c r="BJ50" s="63">
        <f t="shared" si="47"/>
        <v>65776</v>
      </c>
      <c r="BK50" s="63">
        <f t="shared" si="47"/>
        <v>66141</v>
      </c>
      <c r="BL50" s="63">
        <f t="shared" si="47"/>
        <v>66506</v>
      </c>
      <c r="BM50" s="63">
        <f t="shared" si="47"/>
        <v>66871</v>
      </c>
      <c r="BN50" s="63">
        <f t="shared" si="47"/>
        <v>67236</v>
      </c>
      <c r="BO50" s="63">
        <f t="shared" ref="BO50:CB50" si="48">BN50+IF($G12=1,365,182.5)</f>
        <v>67601</v>
      </c>
      <c r="BP50" s="63">
        <f t="shared" si="48"/>
        <v>67966</v>
      </c>
      <c r="BQ50" s="63">
        <f t="shared" si="48"/>
        <v>68331</v>
      </c>
      <c r="BR50" s="63">
        <f t="shared" si="48"/>
        <v>68696</v>
      </c>
      <c r="BS50" s="63">
        <f t="shared" si="48"/>
        <v>69061</v>
      </c>
      <c r="BT50" s="63">
        <f t="shared" si="48"/>
        <v>69426</v>
      </c>
      <c r="BU50" s="63">
        <f t="shared" si="48"/>
        <v>69791</v>
      </c>
      <c r="BV50" s="63">
        <f t="shared" si="48"/>
        <v>70156</v>
      </c>
      <c r="BW50" s="63">
        <f t="shared" si="48"/>
        <v>70521</v>
      </c>
      <c r="BX50" s="63">
        <f t="shared" si="48"/>
        <v>70886</v>
      </c>
      <c r="BY50" s="63">
        <f t="shared" si="48"/>
        <v>71251</v>
      </c>
      <c r="BZ50" s="63">
        <f t="shared" si="48"/>
        <v>71616</v>
      </c>
      <c r="CA50" s="63">
        <f t="shared" si="48"/>
        <v>71981</v>
      </c>
      <c r="CB50" s="64">
        <f t="shared" si="48"/>
        <v>72346</v>
      </c>
    </row>
    <row r="51" spans="1:80">
      <c r="A51" s="267" t="s">
        <v>29</v>
      </c>
      <c r="B51" s="135">
        <f>(IF(B50=F12,100,0)+IF(G12=1,1,0.5)*J12*100)*IF(ISBLANK(F12)=TRUE,0,1)</f>
        <v>0.25</v>
      </c>
      <c r="C51" s="136">
        <f>IF(C50&gt;$F12+1,0,1)*(IF(D51=0,100,0)+IF($G12=1,1,0.5)*$J12*100)</f>
        <v>0.25</v>
      </c>
      <c r="D51" s="136">
        <f t="shared" ref="D51:BO51" si="49">IF(D50&gt;$F12+1,0,1)*(IF(E51=0,100,0)+IF($G12=1,1,0.5)*$J12*100)</f>
        <v>0.25</v>
      </c>
      <c r="E51" s="136">
        <f t="shared" si="49"/>
        <v>0.25</v>
      </c>
      <c r="F51" s="136">
        <f t="shared" si="49"/>
        <v>0.25</v>
      </c>
      <c r="G51" s="136">
        <f t="shared" si="49"/>
        <v>0.25</v>
      </c>
      <c r="H51" s="136">
        <f t="shared" si="49"/>
        <v>0.25</v>
      </c>
      <c r="I51" s="136">
        <f t="shared" si="49"/>
        <v>100.25</v>
      </c>
      <c r="J51" s="136">
        <f t="shared" si="49"/>
        <v>0</v>
      </c>
      <c r="K51" s="136">
        <f t="shared" si="49"/>
        <v>0</v>
      </c>
      <c r="L51" s="136">
        <f t="shared" si="49"/>
        <v>0</v>
      </c>
      <c r="M51" s="136">
        <f t="shared" si="49"/>
        <v>0</v>
      </c>
      <c r="N51" s="136">
        <f t="shared" si="49"/>
        <v>0</v>
      </c>
      <c r="O51" s="136">
        <f t="shared" si="49"/>
        <v>0</v>
      </c>
      <c r="P51" s="136">
        <f t="shared" si="49"/>
        <v>0</v>
      </c>
      <c r="Q51" s="136">
        <f t="shared" si="49"/>
        <v>0</v>
      </c>
      <c r="R51" s="136">
        <f t="shared" si="49"/>
        <v>0</v>
      </c>
      <c r="S51" s="136">
        <f t="shared" si="49"/>
        <v>0</v>
      </c>
      <c r="T51" s="136">
        <f t="shared" si="49"/>
        <v>0</v>
      </c>
      <c r="U51" s="136">
        <f t="shared" si="49"/>
        <v>0</v>
      </c>
      <c r="V51" s="136">
        <f t="shared" si="49"/>
        <v>0</v>
      </c>
      <c r="W51" s="136">
        <f t="shared" si="49"/>
        <v>0</v>
      </c>
      <c r="X51" s="136">
        <f t="shared" si="49"/>
        <v>0</v>
      </c>
      <c r="Y51" s="136">
        <f t="shared" si="49"/>
        <v>0</v>
      </c>
      <c r="Z51" s="136">
        <f t="shared" si="49"/>
        <v>0</v>
      </c>
      <c r="AA51" s="136">
        <f t="shared" si="49"/>
        <v>0</v>
      </c>
      <c r="AB51" s="136">
        <f t="shared" si="49"/>
        <v>0</v>
      </c>
      <c r="AC51" s="136">
        <f t="shared" si="49"/>
        <v>0</v>
      </c>
      <c r="AD51" s="136">
        <f t="shared" si="49"/>
        <v>0</v>
      </c>
      <c r="AE51" s="136">
        <f t="shared" si="49"/>
        <v>0</v>
      </c>
      <c r="AF51" s="136">
        <f t="shared" si="49"/>
        <v>0</v>
      </c>
      <c r="AG51" s="136">
        <f t="shared" si="49"/>
        <v>0</v>
      </c>
      <c r="AH51" s="136">
        <f t="shared" si="49"/>
        <v>0</v>
      </c>
      <c r="AI51" s="136">
        <f t="shared" si="49"/>
        <v>0</v>
      </c>
      <c r="AJ51" s="136">
        <f t="shared" si="49"/>
        <v>0</v>
      </c>
      <c r="AK51" s="136">
        <f t="shared" si="49"/>
        <v>0</v>
      </c>
      <c r="AL51" s="136">
        <f t="shared" si="49"/>
        <v>0</v>
      </c>
      <c r="AM51" s="136">
        <f t="shared" si="49"/>
        <v>0</v>
      </c>
      <c r="AN51" s="136">
        <f t="shared" si="49"/>
        <v>0</v>
      </c>
      <c r="AO51" s="136">
        <f t="shared" si="49"/>
        <v>0</v>
      </c>
      <c r="AP51" s="136">
        <f t="shared" si="49"/>
        <v>0</v>
      </c>
      <c r="AQ51" s="136">
        <f t="shared" si="49"/>
        <v>0</v>
      </c>
      <c r="AR51" s="136">
        <f t="shared" si="49"/>
        <v>0</v>
      </c>
      <c r="AS51" s="136">
        <f t="shared" si="49"/>
        <v>0</v>
      </c>
      <c r="AT51" s="136">
        <f t="shared" si="49"/>
        <v>0</v>
      </c>
      <c r="AU51" s="136">
        <f t="shared" si="49"/>
        <v>0</v>
      </c>
      <c r="AV51" s="136">
        <f t="shared" si="49"/>
        <v>0</v>
      </c>
      <c r="AW51" s="136">
        <f t="shared" si="49"/>
        <v>0</v>
      </c>
      <c r="AX51" s="136">
        <f t="shared" si="49"/>
        <v>0</v>
      </c>
      <c r="AY51" s="136">
        <f t="shared" si="49"/>
        <v>0</v>
      </c>
      <c r="AZ51" s="136">
        <f t="shared" si="49"/>
        <v>0</v>
      </c>
      <c r="BA51" s="136">
        <f t="shared" si="49"/>
        <v>0</v>
      </c>
      <c r="BB51" s="136">
        <f t="shared" si="49"/>
        <v>0</v>
      </c>
      <c r="BC51" s="136">
        <f t="shared" si="49"/>
        <v>0</v>
      </c>
      <c r="BD51" s="136">
        <f t="shared" si="49"/>
        <v>0</v>
      </c>
      <c r="BE51" s="136">
        <f t="shared" si="49"/>
        <v>0</v>
      </c>
      <c r="BF51" s="136">
        <f t="shared" si="49"/>
        <v>0</v>
      </c>
      <c r="BG51" s="136">
        <f t="shared" si="49"/>
        <v>0</v>
      </c>
      <c r="BH51" s="136">
        <f t="shared" si="49"/>
        <v>0</v>
      </c>
      <c r="BI51" s="136">
        <f t="shared" si="49"/>
        <v>0</v>
      </c>
      <c r="BJ51" s="136">
        <f t="shared" si="49"/>
        <v>0</v>
      </c>
      <c r="BK51" s="136">
        <f t="shared" si="49"/>
        <v>0</v>
      </c>
      <c r="BL51" s="136">
        <f t="shared" si="49"/>
        <v>0</v>
      </c>
      <c r="BM51" s="136">
        <f t="shared" si="49"/>
        <v>0</v>
      </c>
      <c r="BN51" s="136">
        <f t="shared" si="49"/>
        <v>0</v>
      </c>
      <c r="BO51" s="136">
        <f t="shared" si="49"/>
        <v>0</v>
      </c>
      <c r="BP51" s="136">
        <f t="shared" ref="BP51:CB51" si="50">IF(BP50&gt;$F12+1,0,1)*(IF(BQ51=0,100,0)+IF($G12=1,1,0.5)*$J12*100)</f>
        <v>0</v>
      </c>
      <c r="BQ51" s="136">
        <f t="shared" si="50"/>
        <v>0</v>
      </c>
      <c r="BR51" s="136">
        <f t="shared" si="50"/>
        <v>0</v>
      </c>
      <c r="BS51" s="136">
        <f t="shared" si="50"/>
        <v>0</v>
      </c>
      <c r="BT51" s="136">
        <f t="shared" si="50"/>
        <v>0</v>
      </c>
      <c r="BU51" s="136">
        <f t="shared" si="50"/>
        <v>0</v>
      </c>
      <c r="BV51" s="136">
        <f t="shared" si="50"/>
        <v>0</v>
      </c>
      <c r="BW51" s="136">
        <f t="shared" si="50"/>
        <v>0</v>
      </c>
      <c r="BX51" s="136">
        <f t="shared" si="50"/>
        <v>0</v>
      </c>
      <c r="BY51" s="136">
        <f t="shared" si="50"/>
        <v>0</v>
      </c>
      <c r="BZ51" s="136">
        <f t="shared" si="50"/>
        <v>0</v>
      </c>
      <c r="CA51" s="136">
        <f t="shared" si="50"/>
        <v>0</v>
      </c>
      <c r="CB51" s="137">
        <f t="shared" si="50"/>
        <v>0</v>
      </c>
    </row>
    <row r="52" spans="1:80">
      <c r="A52" s="255" t="s">
        <v>49</v>
      </c>
      <c r="B52" s="65" t="str">
        <f>IF(E13=0,F13,E13)</f>
        <v>2/15/2020</v>
      </c>
      <c r="C52" s="66">
        <f t="shared" ref="C52:BN52" si="51">B52+IF($G13=1,365,182.5)</f>
        <v>44241</v>
      </c>
      <c r="D52" s="66">
        <f t="shared" si="51"/>
        <v>44606</v>
      </c>
      <c r="E52" s="66">
        <f t="shared" si="51"/>
        <v>44971</v>
      </c>
      <c r="F52" s="66">
        <f t="shared" si="51"/>
        <v>45336</v>
      </c>
      <c r="G52" s="66">
        <f t="shared" si="51"/>
        <v>45701</v>
      </c>
      <c r="H52" s="66">
        <f t="shared" si="51"/>
        <v>46066</v>
      </c>
      <c r="I52" s="66">
        <f t="shared" si="51"/>
        <v>46431</v>
      </c>
      <c r="J52" s="66">
        <f t="shared" si="51"/>
        <v>46796</v>
      </c>
      <c r="K52" s="66">
        <f t="shared" si="51"/>
        <v>47161</v>
      </c>
      <c r="L52" s="66">
        <f t="shared" si="51"/>
        <v>47526</v>
      </c>
      <c r="M52" s="66">
        <f t="shared" si="51"/>
        <v>47891</v>
      </c>
      <c r="N52" s="66">
        <f t="shared" si="51"/>
        <v>48256</v>
      </c>
      <c r="O52" s="66">
        <f t="shared" si="51"/>
        <v>48621</v>
      </c>
      <c r="P52" s="66">
        <f t="shared" si="51"/>
        <v>48986</v>
      </c>
      <c r="Q52" s="66">
        <f t="shared" si="51"/>
        <v>49351</v>
      </c>
      <c r="R52" s="66">
        <f t="shared" si="51"/>
        <v>49716</v>
      </c>
      <c r="S52" s="66">
        <f t="shared" si="51"/>
        <v>50081</v>
      </c>
      <c r="T52" s="66">
        <f t="shared" si="51"/>
        <v>50446</v>
      </c>
      <c r="U52" s="66">
        <f t="shared" si="51"/>
        <v>50811</v>
      </c>
      <c r="V52" s="66">
        <f t="shared" si="51"/>
        <v>51176</v>
      </c>
      <c r="W52" s="66">
        <f t="shared" si="51"/>
        <v>51541</v>
      </c>
      <c r="X52" s="66">
        <f t="shared" si="51"/>
        <v>51906</v>
      </c>
      <c r="Y52" s="66">
        <f t="shared" si="51"/>
        <v>52271</v>
      </c>
      <c r="Z52" s="66">
        <f t="shared" si="51"/>
        <v>52636</v>
      </c>
      <c r="AA52" s="66">
        <f t="shared" si="51"/>
        <v>53001</v>
      </c>
      <c r="AB52" s="66">
        <f t="shared" si="51"/>
        <v>53366</v>
      </c>
      <c r="AC52" s="66">
        <f t="shared" si="51"/>
        <v>53731</v>
      </c>
      <c r="AD52" s="66">
        <f t="shared" si="51"/>
        <v>54096</v>
      </c>
      <c r="AE52" s="66">
        <f t="shared" si="51"/>
        <v>54461</v>
      </c>
      <c r="AF52" s="66">
        <f t="shared" si="51"/>
        <v>54826</v>
      </c>
      <c r="AG52" s="66">
        <f t="shared" si="51"/>
        <v>55191</v>
      </c>
      <c r="AH52" s="66">
        <f t="shared" si="51"/>
        <v>55556</v>
      </c>
      <c r="AI52" s="66">
        <f t="shared" si="51"/>
        <v>55921</v>
      </c>
      <c r="AJ52" s="66">
        <f t="shared" si="51"/>
        <v>56286</v>
      </c>
      <c r="AK52" s="66">
        <f t="shared" si="51"/>
        <v>56651</v>
      </c>
      <c r="AL52" s="66">
        <f t="shared" si="51"/>
        <v>57016</v>
      </c>
      <c r="AM52" s="66">
        <f t="shared" si="51"/>
        <v>57381</v>
      </c>
      <c r="AN52" s="66">
        <f t="shared" si="51"/>
        <v>57746</v>
      </c>
      <c r="AO52" s="66">
        <f t="shared" si="51"/>
        <v>58111</v>
      </c>
      <c r="AP52" s="66">
        <f t="shared" si="51"/>
        <v>58476</v>
      </c>
      <c r="AQ52" s="66">
        <f t="shared" si="51"/>
        <v>58841</v>
      </c>
      <c r="AR52" s="66">
        <f t="shared" si="51"/>
        <v>59206</v>
      </c>
      <c r="AS52" s="66">
        <f t="shared" si="51"/>
        <v>59571</v>
      </c>
      <c r="AT52" s="66">
        <f t="shared" si="51"/>
        <v>59936</v>
      </c>
      <c r="AU52" s="66">
        <f t="shared" si="51"/>
        <v>60301</v>
      </c>
      <c r="AV52" s="66">
        <f t="shared" si="51"/>
        <v>60666</v>
      </c>
      <c r="AW52" s="66">
        <f t="shared" si="51"/>
        <v>61031</v>
      </c>
      <c r="AX52" s="66">
        <f t="shared" si="51"/>
        <v>61396</v>
      </c>
      <c r="AY52" s="66">
        <f t="shared" si="51"/>
        <v>61761</v>
      </c>
      <c r="AZ52" s="66">
        <f t="shared" si="51"/>
        <v>62126</v>
      </c>
      <c r="BA52" s="66">
        <f t="shared" si="51"/>
        <v>62491</v>
      </c>
      <c r="BB52" s="66">
        <f t="shared" si="51"/>
        <v>62856</v>
      </c>
      <c r="BC52" s="66">
        <f t="shared" si="51"/>
        <v>63221</v>
      </c>
      <c r="BD52" s="66">
        <f t="shared" si="51"/>
        <v>63586</v>
      </c>
      <c r="BE52" s="66">
        <f t="shared" si="51"/>
        <v>63951</v>
      </c>
      <c r="BF52" s="66">
        <f t="shared" si="51"/>
        <v>64316</v>
      </c>
      <c r="BG52" s="66">
        <f t="shared" si="51"/>
        <v>64681</v>
      </c>
      <c r="BH52" s="66">
        <f t="shared" si="51"/>
        <v>65046</v>
      </c>
      <c r="BI52" s="66">
        <f t="shared" si="51"/>
        <v>65411</v>
      </c>
      <c r="BJ52" s="66">
        <f t="shared" si="51"/>
        <v>65776</v>
      </c>
      <c r="BK52" s="66">
        <f t="shared" si="51"/>
        <v>66141</v>
      </c>
      <c r="BL52" s="66">
        <f t="shared" si="51"/>
        <v>66506</v>
      </c>
      <c r="BM52" s="66">
        <f t="shared" si="51"/>
        <v>66871</v>
      </c>
      <c r="BN52" s="66">
        <f t="shared" si="51"/>
        <v>67236</v>
      </c>
      <c r="BO52" s="66">
        <f t="shared" ref="BO52:CB52" si="52">BN52+IF($G13=1,365,182.5)</f>
        <v>67601</v>
      </c>
      <c r="BP52" s="66">
        <f t="shared" si="52"/>
        <v>67966</v>
      </c>
      <c r="BQ52" s="66">
        <f t="shared" si="52"/>
        <v>68331</v>
      </c>
      <c r="BR52" s="66">
        <f t="shared" si="52"/>
        <v>68696</v>
      </c>
      <c r="BS52" s="66">
        <f t="shared" si="52"/>
        <v>69061</v>
      </c>
      <c r="BT52" s="66">
        <f t="shared" si="52"/>
        <v>69426</v>
      </c>
      <c r="BU52" s="66">
        <f t="shared" si="52"/>
        <v>69791</v>
      </c>
      <c r="BV52" s="66">
        <f t="shared" si="52"/>
        <v>70156</v>
      </c>
      <c r="BW52" s="66">
        <f t="shared" si="52"/>
        <v>70521</v>
      </c>
      <c r="BX52" s="66">
        <f t="shared" si="52"/>
        <v>70886</v>
      </c>
      <c r="BY52" s="66">
        <f t="shared" si="52"/>
        <v>71251</v>
      </c>
      <c r="BZ52" s="66">
        <f t="shared" si="52"/>
        <v>71616</v>
      </c>
      <c r="CA52" s="66">
        <f t="shared" si="52"/>
        <v>71981</v>
      </c>
      <c r="CB52" s="67">
        <f t="shared" si="52"/>
        <v>72346</v>
      </c>
    </row>
    <row r="53" spans="1:80">
      <c r="A53" s="173" t="s">
        <v>30</v>
      </c>
      <c r="B53" s="111">
        <f>(IF(B52=F13,100,0)+IF(G13=1,1,0.5)*J13*100)*IF(ISBLANK(F13)=TRUE,0,1)</f>
        <v>0.5</v>
      </c>
      <c r="C53" s="268">
        <f>IF(C52&gt;$F13+1,0,1)*(IF(D53=0,100,0)+IF($G13=1,1,0.5)*$J13*100)</f>
        <v>0.5</v>
      </c>
      <c r="D53" s="68">
        <f t="shared" ref="D53:BO53" si="53">IF(D52&gt;$F13+1,0,1)*(IF(E53=0,100,0)+IF($G13=1,1,0.5)*$J13*100)</f>
        <v>0.5</v>
      </c>
      <c r="E53" s="68">
        <f t="shared" si="53"/>
        <v>0.5</v>
      </c>
      <c r="F53" s="68">
        <f t="shared" si="53"/>
        <v>0.5</v>
      </c>
      <c r="G53" s="68">
        <f t="shared" si="53"/>
        <v>0.5</v>
      </c>
      <c r="H53" s="68">
        <f t="shared" si="53"/>
        <v>0.5</v>
      </c>
      <c r="I53" s="68">
        <f t="shared" si="53"/>
        <v>0.5</v>
      </c>
      <c r="J53" s="68">
        <f t="shared" si="53"/>
        <v>100.5</v>
      </c>
      <c r="K53" s="68">
        <f t="shared" si="53"/>
        <v>0</v>
      </c>
      <c r="L53" s="68">
        <f t="shared" si="53"/>
        <v>0</v>
      </c>
      <c r="M53" s="68">
        <f t="shared" si="53"/>
        <v>0</v>
      </c>
      <c r="N53" s="68">
        <f t="shared" si="53"/>
        <v>0</v>
      </c>
      <c r="O53" s="68">
        <f t="shared" si="53"/>
        <v>0</v>
      </c>
      <c r="P53" s="68">
        <f t="shared" si="53"/>
        <v>0</v>
      </c>
      <c r="Q53" s="68">
        <f t="shared" si="53"/>
        <v>0</v>
      </c>
      <c r="R53" s="68">
        <f t="shared" si="53"/>
        <v>0</v>
      </c>
      <c r="S53" s="68">
        <f t="shared" si="53"/>
        <v>0</v>
      </c>
      <c r="T53" s="68">
        <f t="shared" si="53"/>
        <v>0</v>
      </c>
      <c r="U53" s="68">
        <f t="shared" si="53"/>
        <v>0</v>
      </c>
      <c r="V53" s="68">
        <f t="shared" si="53"/>
        <v>0</v>
      </c>
      <c r="W53" s="68">
        <f t="shared" si="53"/>
        <v>0</v>
      </c>
      <c r="X53" s="68">
        <f t="shared" si="53"/>
        <v>0</v>
      </c>
      <c r="Y53" s="68">
        <f t="shared" si="53"/>
        <v>0</v>
      </c>
      <c r="Z53" s="68">
        <f t="shared" si="53"/>
        <v>0</v>
      </c>
      <c r="AA53" s="68">
        <f t="shared" si="53"/>
        <v>0</v>
      </c>
      <c r="AB53" s="68">
        <f t="shared" si="53"/>
        <v>0</v>
      </c>
      <c r="AC53" s="68">
        <f t="shared" si="53"/>
        <v>0</v>
      </c>
      <c r="AD53" s="68">
        <f t="shared" si="53"/>
        <v>0</v>
      </c>
      <c r="AE53" s="68">
        <f t="shared" si="53"/>
        <v>0</v>
      </c>
      <c r="AF53" s="68">
        <f t="shared" si="53"/>
        <v>0</v>
      </c>
      <c r="AG53" s="68">
        <f t="shared" si="53"/>
        <v>0</v>
      </c>
      <c r="AH53" s="68">
        <f t="shared" si="53"/>
        <v>0</v>
      </c>
      <c r="AI53" s="68">
        <f t="shared" si="53"/>
        <v>0</v>
      </c>
      <c r="AJ53" s="68">
        <f t="shared" si="53"/>
        <v>0</v>
      </c>
      <c r="AK53" s="68">
        <f t="shared" si="53"/>
        <v>0</v>
      </c>
      <c r="AL53" s="68">
        <f t="shared" si="53"/>
        <v>0</v>
      </c>
      <c r="AM53" s="68">
        <f t="shared" si="53"/>
        <v>0</v>
      </c>
      <c r="AN53" s="68">
        <f t="shared" si="53"/>
        <v>0</v>
      </c>
      <c r="AO53" s="68">
        <f t="shared" si="53"/>
        <v>0</v>
      </c>
      <c r="AP53" s="68">
        <f t="shared" si="53"/>
        <v>0</v>
      </c>
      <c r="AQ53" s="68">
        <f t="shared" si="53"/>
        <v>0</v>
      </c>
      <c r="AR53" s="68">
        <f t="shared" si="53"/>
        <v>0</v>
      </c>
      <c r="AS53" s="68">
        <f t="shared" si="53"/>
        <v>0</v>
      </c>
      <c r="AT53" s="68">
        <f t="shared" si="53"/>
        <v>0</v>
      </c>
      <c r="AU53" s="68">
        <f t="shared" si="53"/>
        <v>0</v>
      </c>
      <c r="AV53" s="68">
        <f t="shared" si="53"/>
        <v>0</v>
      </c>
      <c r="AW53" s="68">
        <f t="shared" si="53"/>
        <v>0</v>
      </c>
      <c r="AX53" s="68">
        <f t="shared" si="53"/>
        <v>0</v>
      </c>
      <c r="AY53" s="68">
        <f t="shared" si="53"/>
        <v>0</v>
      </c>
      <c r="AZ53" s="68">
        <f t="shared" si="53"/>
        <v>0</v>
      </c>
      <c r="BA53" s="68">
        <f t="shared" si="53"/>
        <v>0</v>
      </c>
      <c r="BB53" s="68">
        <f t="shared" si="53"/>
        <v>0</v>
      </c>
      <c r="BC53" s="68">
        <f t="shared" si="53"/>
        <v>0</v>
      </c>
      <c r="BD53" s="68">
        <f t="shared" si="53"/>
        <v>0</v>
      </c>
      <c r="BE53" s="68">
        <f t="shared" si="53"/>
        <v>0</v>
      </c>
      <c r="BF53" s="68">
        <f t="shared" si="53"/>
        <v>0</v>
      </c>
      <c r="BG53" s="68">
        <f t="shared" si="53"/>
        <v>0</v>
      </c>
      <c r="BH53" s="68">
        <f t="shared" si="53"/>
        <v>0</v>
      </c>
      <c r="BI53" s="68">
        <f t="shared" si="53"/>
        <v>0</v>
      </c>
      <c r="BJ53" s="68">
        <f t="shared" si="53"/>
        <v>0</v>
      </c>
      <c r="BK53" s="68">
        <f t="shared" si="53"/>
        <v>0</v>
      </c>
      <c r="BL53" s="68">
        <f t="shared" si="53"/>
        <v>0</v>
      </c>
      <c r="BM53" s="68">
        <f t="shared" si="53"/>
        <v>0</v>
      </c>
      <c r="BN53" s="68">
        <f t="shared" si="53"/>
        <v>0</v>
      </c>
      <c r="BO53" s="68">
        <f t="shared" si="53"/>
        <v>0</v>
      </c>
      <c r="BP53" s="68">
        <f t="shared" ref="BP53:CB53" si="54">IF(BP52&gt;$F13+1,0,1)*(IF(BQ53=0,100,0)+IF($G13=1,1,0.5)*$J13*100)</f>
        <v>0</v>
      </c>
      <c r="BQ53" s="68">
        <f t="shared" si="54"/>
        <v>0</v>
      </c>
      <c r="BR53" s="68">
        <f t="shared" si="54"/>
        <v>0</v>
      </c>
      <c r="BS53" s="68">
        <f t="shared" si="54"/>
        <v>0</v>
      </c>
      <c r="BT53" s="68">
        <f t="shared" si="54"/>
        <v>0</v>
      </c>
      <c r="BU53" s="68">
        <f t="shared" si="54"/>
        <v>0</v>
      </c>
      <c r="BV53" s="68">
        <f t="shared" si="54"/>
        <v>0</v>
      </c>
      <c r="BW53" s="68">
        <f t="shared" si="54"/>
        <v>0</v>
      </c>
      <c r="BX53" s="68">
        <f t="shared" si="54"/>
        <v>0</v>
      </c>
      <c r="BY53" s="68">
        <f t="shared" si="54"/>
        <v>0</v>
      </c>
      <c r="BZ53" s="68">
        <f t="shared" si="54"/>
        <v>0</v>
      </c>
      <c r="CA53" s="68">
        <f t="shared" si="54"/>
        <v>0</v>
      </c>
      <c r="CB53" s="69">
        <f t="shared" si="54"/>
        <v>0</v>
      </c>
    </row>
    <row r="54" spans="1:80">
      <c r="A54" s="254" t="s">
        <v>49</v>
      </c>
      <c r="B54" s="138" t="str">
        <f>IF(E14=0,F14,E14)</f>
        <v>2/15/2020</v>
      </c>
      <c r="C54" s="70">
        <f t="shared" ref="C54:BN54" si="55">B54+IF($G14=1,365,182.5)</f>
        <v>44241</v>
      </c>
      <c r="D54" s="70">
        <f t="shared" si="55"/>
        <v>44606</v>
      </c>
      <c r="E54" s="70">
        <f t="shared" si="55"/>
        <v>44971</v>
      </c>
      <c r="F54" s="70">
        <f t="shared" si="55"/>
        <v>45336</v>
      </c>
      <c r="G54" s="70">
        <f t="shared" si="55"/>
        <v>45701</v>
      </c>
      <c r="H54" s="70">
        <f t="shared" si="55"/>
        <v>46066</v>
      </c>
      <c r="I54" s="70">
        <f t="shared" si="55"/>
        <v>46431</v>
      </c>
      <c r="J54" s="70">
        <f t="shared" si="55"/>
        <v>46796</v>
      </c>
      <c r="K54" s="70">
        <f t="shared" si="55"/>
        <v>47161</v>
      </c>
      <c r="L54" s="70">
        <f t="shared" si="55"/>
        <v>47526</v>
      </c>
      <c r="M54" s="70">
        <f t="shared" si="55"/>
        <v>47891</v>
      </c>
      <c r="N54" s="70">
        <f t="shared" si="55"/>
        <v>48256</v>
      </c>
      <c r="O54" s="70">
        <f t="shared" si="55"/>
        <v>48621</v>
      </c>
      <c r="P54" s="70">
        <f t="shared" si="55"/>
        <v>48986</v>
      </c>
      <c r="Q54" s="70">
        <f t="shared" si="55"/>
        <v>49351</v>
      </c>
      <c r="R54" s="70">
        <f t="shared" si="55"/>
        <v>49716</v>
      </c>
      <c r="S54" s="70">
        <f t="shared" si="55"/>
        <v>50081</v>
      </c>
      <c r="T54" s="70">
        <f t="shared" si="55"/>
        <v>50446</v>
      </c>
      <c r="U54" s="70">
        <f t="shared" si="55"/>
        <v>50811</v>
      </c>
      <c r="V54" s="70">
        <f t="shared" si="55"/>
        <v>51176</v>
      </c>
      <c r="W54" s="70">
        <f t="shared" si="55"/>
        <v>51541</v>
      </c>
      <c r="X54" s="70">
        <f t="shared" si="55"/>
        <v>51906</v>
      </c>
      <c r="Y54" s="70">
        <f t="shared" si="55"/>
        <v>52271</v>
      </c>
      <c r="Z54" s="70">
        <f t="shared" si="55"/>
        <v>52636</v>
      </c>
      <c r="AA54" s="70">
        <f t="shared" si="55"/>
        <v>53001</v>
      </c>
      <c r="AB54" s="70">
        <f t="shared" si="55"/>
        <v>53366</v>
      </c>
      <c r="AC54" s="70">
        <f t="shared" si="55"/>
        <v>53731</v>
      </c>
      <c r="AD54" s="70">
        <f t="shared" si="55"/>
        <v>54096</v>
      </c>
      <c r="AE54" s="70">
        <f t="shared" si="55"/>
        <v>54461</v>
      </c>
      <c r="AF54" s="70">
        <f t="shared" si="55"/>
        <v>54826</v>
      </c>
      <c r="AG54" s="70">
        <f t="shared" si="55"/>
        <v>55191</v>
      </c>
      <c r="AH54" s="70">
        <f t="shared" si="55"/>
        <v>55556</v>
      </c>
      <c r="AI54" s="70">
        <f t="shared" si="55"/>
        <v>55921</v>
      </c>
      <c r="AJ54" s="70">
        <f t="shared" si="55"/>
        <v>56286</v>
      </c>
      <c r="AK54" s="70">
        <f t="shared" si="55"/>
        <v>56651</v>
      </c>
      <c r="AL54" s="70">
        <f t="shared" si="55"/>
        <v>57016</v>
      </c>
      <c r="AM54" s="70">
        <f t="shared" si="55"/>
        <v>57381</v>
      </c>
      <c r="AN54" s="70">
        <f t="shared" si="55"/>
        <v>57746</v>
      </c>
      <c r="AO54" s="70">
        <f t="shared" si="55"/>
        <v>58111</v>
      </c>
      <c r="AP54" s="70">
        <f t="shared" si="55"/>
        <v>58476</v>
      </c>
      <c r="AQ54" s="70">
        <f t="shared" si="55"/>
        <v>58841</v>
      </c>
      <c r="AR54" s="70">
        <f t="shared" si="55"/>
        <v>59206</v>
      </c>
      <c r="AS54" s="70">
        <f t="shared" si="55"/>
        <v>59571</v>
      </c>
      <c r="AT54" s="70">
        <f t="shared" si="55"/>
        <v>59936</v>
      </c>
      <c r="AU54" s="70">
        <f t="shared" si="55"/>
        <v>60301</v>
      </c>
      <c r="AV54" s="70">
        <f t="shared" si="55"/>
        <v>60666</v>
      </c>
      <c r="AW54" s="70">
        <f t="shared" si="55"/>
        <v>61031</v>
      </c>
      <c r="AX54" s="70">
        <f t="shared" si="55"/>
        <v>61396</v>
      </c>
      <c r="AY54" s="70">
        <f t="shared" si="55"/>
        <v>61761</v>
      </c>
      <c r="AZ54" s="70">
        <f t="shared" si="55"/>
        <v>62126</v>
      </c>
      <c r="BA54" s="70">
        <f t="shared" si="55"/>
        <v>62491</v>
      </c>
      <c r="BB54" s="70">
        <f t="shared" si="55"/>
        <v>62856</v>
      </c>
      <c r="BC54" s="70">
        <f t="shared" si="55"/>
        <v>63221</v>
      </c>
      <c r="BD54" s="70">
        <f t="shared" si="55"/>
        <v>63586</v>
      </c>
      <c r="BE54" s="70">
        <f t="shared" si="55"/>
        <v>63951</v>
      </c>
      <c r="BF54" s="70">
        <f t="shared" si="55"/>
        <v>64316</v>
      </c>
      <c r="BG54" s="70">
        <f t="shared" si="55"/>
        <v>64681</v>
      </c>
      <c r="BH54" s="70">
        <f t="shared" si="55"/>
        <v>65046</v>
      </c>
      <c r="BI54" s="70">
        <f t="shared" si="55"/>
        <v>65411</v>
      </c>
      <c r="BJ54" s="70">
        <f t="shared" si="55"/>
        <v>65776</v>
      </c>
      <c r="BK54" s="70">
        <f t="shared" si="55"/>
        <v>66141</v>
      </c>
      <c r="BL54" s="70">
        <f t="shared" si="55"/>
        <v>66506</v>
      </c>
      <c r="BM54" s="70">
        <f t="shared" si="55"/>
        <v>66871</v>
      </c>
      <c r="BN54" s="70">
        <f t="shared" si="55"/>
        <v>67236</v>
      </c>
      <c r="BO54" s="70">
        <f t="shared" ref="BO54:CB54" si="56">BN54+IF($G14=1,365,182.5)</f>
        <v>67601</v>
      </c>
      <c r="BP54" s="70">
        <f t="shared" si="56"/>
        <v>67966</v>
      </c>
      <c r="BQ54" s="70">
        <f t="shared" si="56"/>
        <v>68331</v>
      </c>
      <c r="BR54" s="70">
        <f t="shared" si="56"/>
        <v>68696</v>
      </c>
      <c r="BS54" s="70">
        <f t="shared" si="56"/>
        <v>69061</v>
      </c>
      <c r="BT54" s="70">
        <f t="shared" si="56"/>
        <v>69426</v>
      </c>
      <c r="BU54" s="70">
        <f t="shared" si="56"/>
        <v>69791</v>
      </c>
      <c r="BV54" s="70">
        <f t="shared" si="56"/>
        <v>70156</v>
      </c>
      <c r="BW54" s="70">
        <f t="shared" si="56"/>
        <v>70521</v>
      </c>
      <c r="BX54" s="70">
        <f t="shared" si="56"/>
        <v>70886</v>
      </c>
      <c r="BY54" s="70">
        <f t="shared" si="56"/>
        <v>71251</v>
      </c>
      <c r="BZ54" s="70">
        <f t="shared" si="56"/>
        <v>71616</v>
      </c>
      <c r="CA54" s="70">
        <f t="shared" si="56"/>
        <v>71981</v>
      </c>
      <c r="CB54" s="71">
        <f t="shared" si="56"/>
        <v>72346</v>
      </c>
    </row>
    <row r="55" spans="1:80">
      <c r="A55" s="174" t="s">
        <v>31</v>
      </c>
      <c r="B55" s="139">
        <f>(IF(B54=F14,100,0)+IF(G14=1,1,0.5)*J14*100)*IF(ISBLANK(F14)=TRUE,0,1)</f>
        <v>0.25</v>
      </c>
      <c r="C55" s="72">
        <f>IF(C54&gt;$F14+1,0,1)*(IF(D55=0,100,0)+IF($G14=1,1,0.5)*$J14*100)</f>
        <v>0.25</v>
      </c>
      <c r="D55" s="72">
        <f t="shared" ref="D55:BO55" si="57">IF(D54&gt;$F14+1,0,1)*(IF(E55=0,100,0)+IF($G14=1,1,0.5)*$J14*100)</f>
        <v>0.25</v>
      </c>
      <c r="E55" s="72">
        <f t="shared" si="57"/>
        <v>0.25</v>
      </c>
      <c r="F55" s="72">
        <f t="shared" si="57"/>
        <v>0.25</v>
      </c>
      <c r="G55" s="72">
        <f t="shared" si="57"/>
        <v>0.25</v>
      </c>
      <c r="H55" s="72">
        <f t="shared" si="57"/>
        <v>0.25</v>
      </c>
      <c r="I55" s="72">
        <f t="shared" si="57"/>
        <v>0.25</v>
      </c>
      <c r="J55" s="72">
        <f t="shared" si="57"/>
        <v>0.25</v>
      </c>
      <c r="K55" s="72">
        <f t="shared" si="57"/>
        <v>100.25</v>
      </c>
      <c r="L55" s="72">
        <f t="shared" si="57"/>
        <v>0</v>
      </c>
      <c r="M55" s="72">
        <f t="shared" si="57"/>
        <v>0</v>
      </c>
      <c r="N55" s="72">
        <f t="shared" si="57"/>
        <v>0</v>
      </c>
      <c r="O55" s="72">
        <f t="shared" si="57"/>
        <v>0</v>
      </c>
      <c r="P55" s="72">
        <f t="shared" si="57"/>
        <v>0</v>
      </c>
      <c r="Q55" s="72">
        <f t="shared" si="57"/>
        <v>0</v>
      </c>
      <c r="R55" s="72">
        <f t="shared" si="57"/>
        <v>0</v>
      </c>
      <c r="S55" s="72">
        <f t="shared" si="57"/>
        <v>0</v>
      </c>
      <c r="T55" s="72">
        <f t="shared" si="57"/>
        <v>0</v>
      </c>
      <c r="U55" s="72">
        <f t="shared" si="57"/>
        <v>0</v>
      </c>
      <c r="V55" s="72">
        <f t="shared" si="57"/>
        <v>0</v>
      </c>
      <c r="W55" s="72">
        <f t="shared" si="57"/>
        <v>0</v>
      </c>
      <c r="X55" s="72">
        <f t="shared" si="57"/>
        <v>0</v>
      </c>
      <c r="Y55" s="72">
        <f t="shared" si="57"/>
        <v>0</v>
      </c>
      <c r="Z55" s="72">
        <f t="shared" si="57"/>
        <v>0</v>
      </c>
      <c r="AA55" s="72">
        <f t="shared" si="57"/>
        <v>0</v>
      </c>
      <c r="AB55" s="72">
        <f t="shared" si="57"/>
        <v>0</v>
      </c>
      <c r="AC55" s="72">
        <f t="shared" si="57"/>
        <v>0</v>
      </c>
      <c r="AD55" s="72">
        <f t="shared" si="57"/>
        <v>0</v>
      </c>
      <c r="AE55" s="72">
        <f t="shared" si="57"/>
        <v>0</v>
      </c>
      <c r="AF55" s="72">
        <f t="shared" si="57"/>
        <v>0</v>
      </c>
      <c r="AG55" s="72">
        <f t="shared" si="57"/>
        <v>0</v>
      </c>
      <c r="AH55" s="72">
        <f t="shared" si="57"/>
        <v>0</v>
      </c>
      <c r="AI55" s="72">
        <f t="shared" si="57"/>
        <v>0</v>
      </c>
      <c r="AJ55" s="72">
        <f t="shared" si="57"/>
        <v>0</v>
      </c>
      <c r="AK55" s="72">
        <f t="shared" si="57"/>
        <v>0</v>
      </c>
      <c r="AL55" s="72">
        <f t="shared" si="57"/>
        <v>0</v>
      </c>
      <c r="AM55" s="72">
        <f t="shared" si="57"/>
        <v>0</v>
      </c>
      <c r="AN55" s="72">
        <f t="shared" si="57"/>
        <v>0</v>
      </c>
      <c r="AO55" s="72">
        <f t="shared" si="57"/>
        <v>0</v>
      </c>
      <c r="AP55" s="72">
        <f t="shared" si="57"/>
        <v>0</v>
      </c>
      <c r="AQ55" s="72">
        <f t="shared" si="57"/>
        <v>0</v>
      </c>
      <c r="AR55" s="72">
        <f t="shared" si="57"/>
        <v>0</v>
      </c>
      <c r="AS55" s="72">
        <f t="shared" si="57"/>
        <v>0</v>
      </c>
      <c r="AT55" s="72">
        <f t="shared" si="57"/>
        <v>0</v>
      </c>
      <c r="AU55" s="72">
        <f t="shared" si="57"/>
        <v>0</v>
      </c>
      <c r="AV55" s="72">
        <f t="shared" si="57"/>
        <v>0</v>
      </c>
      <c r="AW55" s="72">
        <f t="shared" si="57"/>
        <v>0</v>
      </c>
      <c r="AX55" s="72">
        <f t="shared" si="57"/>
        <v>0</v>
      </c>
      <c r="AY55" s="72">
        <f t="shared" si="57"/>
        <v>0</v>
      </c>
      <c r="AZ55" s="72">
        <f t="shared" si="57"/>
        <v>0</v>
      </c>
      <c r="BA55" s="72">
        <f t="shared" si="57"/>
        <v>0</v>
      </c>
      <c r="BB55" s="72">
        <f t="shared" si="57"/>
        <v>0</v>
      </c>
      <c r="BC55" s="72">
        <f t="shared" si="57"/>
        <v>0</v>
      </c>
      <c r="BD55" s="72">
        <f t="shared" si="57"/>
        <v>0</v>
      </c>
      <c r="BE55" s="72">
        <f t="shared" si="57"/>
        <v>0</v>
      </c>
      <c r="BF55" s="72">
        <f t="shared" si="57"/>
        <v>0</v>
      </c>
      <c r="BG55" s="72">
        <f t="shared" si="57"/>
        <v>0</v>
      </c>
      <c r="BH55" s="72">
        <f t="shared" si="57"/>
        <v>0</v>
      </c>
      <c r="BI55" s="72">
        <f t="shared" si="57"/>
        <v>0</v>
      </c>
      <c r="BJ55" s="72">
        <f t="shared" si="57"/>
        <v>0</v>
      </c>
      <c r="BK55" s="72">
        <f t="shared" si="57"/>
        <v>0</v>
      </c>
      <c r="BL55" s="72">
        <f t="shared" si="57"/>
        <v>0</v>
      </c>
      <c r="BM55" s="72">
        <f t="shared" si="57"/>
        <v>0</v>
      </c>
      <c r="BN55" s="72">
        <f t="shared" si="57"/>
        <v>0</v>
      </c>
      <c r="BO55" s="72">
        <f t="shared" si="57"/>
        <v>0</v>
      </c>
      <c r="BP55" s="72">
        <f t="shared" ref="BP55:CB55" si="58">IF(BP54&gt;$F14+1,0,1)*(IF(BQ55=0,100,0)+IF($G14=1,1,0.5)*$J14*100)</f>
        <v>0</v>
      </c>
      <c r="BQ55" s="72">
        <f t="shared" si="58"/>
        <v>0</v>
      </c>
      <c r="BR55" s="72">
        <f t="shared" si="58"/>
        <v>0</v>
      </c>
      <c r="BS55" s="72">
        <f t="shared" si="58"/>
        <v>0</v>
      </c>
      <c r="BT55" s="72">
        <f t="shared" si="58"/>
        <v>0</v>
      </c>
      <c r="BU55" s="72">
        <f t="shared" si="58"/>
        <v>0</v>
      </c>
      <c r="BV55" s="72">
        <f t="shared" si="58"/>
        <v>0</v>
      </c>
      <c r="BW55" s="72">
        <f t="shared" si="58"/>
        <v>0</v>
      </c>
      <c r="BX55" s="72">
        <f t="shared" si="58"/>
        <v>0</v>
      </c>
      <c r="BY55" s="72">
        <f t="shared" si="58"/>
        <v>0</v>
      </c>
      <c r="BZ55" s="72">
        <f t="shared" si="58"/>
        <v>0</v>
      </c>
      <c r="CA55" s="72">
        <f t="shared" si="58"/>
        <v>0</v>
      </c>
      <c r="CB55" s="73">
        <f t="shared" si="58"/>
        <v>0</v>
      </c>
    </row>
    <row r="56" spans="1:80">
      <c r="A56" s="253" t="s">
        <v>49</v>
      </c>
      <c r="B56" s="74" t="str">
        <f>IF(E15=0,F15,E15)</f>
        <v>7/4/2020</v>
      </c>
      <c r="C56" s="75">
        <f t="shared" ref="C56:BN56" si="59">B56+IF($G15=1,365,182.5)</f>
        <v>44381</v>
      </c>
      <c r="D56" s="75">
        <f t="shared" si="59"/>
        <v>44746</v>
      </c>
      <c r="E56" s="75">
        <f t="shared" si="59"/>
        <v>45111</v>
      </c>
      <c r="F56" s="75">
        <f t="shared" si="59"/>
        <v>45476</v>
      </c>
      <c r="G56" s="75">
        <f t="shared" si="59"/>
        <v>45841</v>
      </c>
      <c r="H56" s="75">
        <f t="shared" si="59"/>
        <v>46206</v>
      </c>
      <c r="I56" s="75">
        <f t="shared" si="59"/>
        <v>46571</v>
      </c>
      <c r="J56" s="75">
        <f t="shared" si="59"/>
        <v>46936</v>
      </c>
      <c r="K56" s="75">
        <f t="shared" si="59"/>
        <v>47301</v>
      </c>
      <c r="L56" s="75">
        <f t="shared" si="59"/>
        <v>47666</v>
      </c>
      <c r="M56" s="75">
        <f t="shared" si="59"/>
        <v>48031</v>
      </c>
      <c r="N56" s="75">
        <f t="shared" si="59"/>
        <v>48396</v>
      </c>
      <c r="O56" s="75">
        <f t="shared" si="59"/>
        <v>48761</v>
      </c>
      <c r="P56" s="75">
        <f t="shared" si="59"/>
        <v>49126</v>
      </c>
      <c r="Q56" s="75">
        <f t="shared" si="59"/>
        <v>49491</v>
      </c>
      <c r="R56" s="75">
        <f t="shared" si="59"/>
        <v>49856</v>
      </c>
      <c r="S56" s="75">
        <f t="shared" si="59"/>
        <v>50221</v>
      </c>
      <c r="T56" s="75">
        <f t="shared" si="59"/>
        <v>50586</v>
      </c>
      <c r="U56" s="75">
        <f t="shared" si="59"/>
        <v>50951</v>
      </c>
      <c r="V56" s="75">
        <f t="shared" si="59"/>
        <v>51316</v>
      </c>
      <c r="W56" s="75">
        <f t="shared" si="59"/>
        <v>51681</v>
      </c>
      <c r="X56" s="75">
        <f t="shared" si="59"/>
        <v>52046</v>
      </c>
      <c r="Y56" s="75">
        <f t="shared" si="59"/>
        <v>52411</v>
      </c>
      <c r="Z56" s="75">
        <f t="shared" si="59"/>
        <v>52776</v>
      </c>
      <c r="AA56" s="75">
        <f t="shared" si="59"/>
        <v>53141</v>
      </c>
      <c r="AB56" s="75">
        <f t="shared" si="59"/>
        <v>53506</v>
      </c>
      <c r="AC56" s="75">
        <f t="shared" si="59"/>
        <v>53871</v>
      </c>
      <c r="AD56" s="75">
        <f t="shared" si="59"/>
        <v>54236</v>
      </c>
      <c r="AE56" s="75">
        <f t="shared" si="59"/>
        <v>54601</v>
      </c>
      <c r="AF56" s="75">
        <f t="shared" si="59"/>
        <v>54966</v>
      </c>
      <c r="AG56" s="75">
        <f t="shared" si="59"/>
        <v>55331</v>
      </c>
      <c r="AH56" s="75">
        <f t="shared" si="59"/>
        <v>55696</v>
      </c>
      <c r="AI56" s="75">
        <f t="shared" si="59"/>
        <v>56061</v>
      </c>
      <c r="AJ56" s="75">
        <f t="shared" si="59"/>
        <v>56426</v>
      </c>
      <c r="AK56" s="75">
        <f t="shared" si="59"/>
        <v>56791</v>
      </c>
      <c r="AL56" s="75">
        <f t="shared" si="59"/>
        <v>57156</v>
      </c>
      <c r="AM56" s="75">
        <f t="shared" si="59"/>
        <v>57521</v>
      </c>
      <c r="AN56" s="75">
        <f t="shared" si="59"/>
        <v>57886</v>
      </c>
      <c r="AO56" s="75">
        <f t="shared" si="59"/>
        <v>58251</v>
      </c>
      <c r="AP56" s="75">
        <f t="shared" si="59"/>
        <v>58616</v>
      </c>
      <c r="AQ56" s="75">
        <f t="shared" si="59"/>
        <v>58981</v>
      </c>
      <c r="AR56" s="75">
        <f t="shared" si="59"/>
        <v>59346</v>
      </c>
      <c r="AS56" s="75">
        <f t="shared" si="59"/>
        <v>59711</v>
      </c>
      <c r="AT56" s="75">
        <f t="shared" si="59"/>
        <v>60076</v>
      </c>
      <c r="AU56" s="75">
        <f t="shared" si="59"/>
        <v>60441</v>
      </c>
      <c r="AV56" s="75">
        <f t="shared" si="59"/>
        <v>60806</v>
      </c>
      <c r="AW56" s="75">
        <f t="shared" si="59"/>
        <v>61171</v>
      </c>
      <c r="AX56" s="75">
        <f t="shared" si="59"/>
        <v>61536</v>
      </c>
      <c r="AY56" s="75">
        <f t="shared" si="59"/>
        <v>61901</v>
      </c>
      <c r="AZ56" s="75">
        <f t="shared" si="59"/>
        <v>62266</v>
      </c>
      <c r="BA56" s="75">
        <f t="shared" si="59"/>
        <v>62631</v>
      </c>
      <c r="BB56" s="75">
        <f t="shared" si="59"/>
        <v>62996</v>
      </c>
      <c r="BC56" s="75">
        <f t="shared" si="59"/>
        <v>63361</v>
      </c>
      <c r="BD56" s="75">
        <f t="shared" si="59"/>
        <v>63726</v>
      </c>
      <c r="BE56" s="75">
        <f t="shared" si="59"/>
        <v>64091</v>
      </c>
      <c r="BF56" s="75">
        <f t="shared" si="59"/>
        <v>64456</v>
      </c>
      <c r="BG56" s="75">
        <f t="shared" si="59"/>
        <v>64821</v>
      </c>
      <c r="BH56" s="75">
        <f t="shared" si="59"/>
        <v>65186</v>
      </c>
      <c r="BI56" s="75">
        <f t="shared" si="59"/>
        <v>65551</v>
      </c>
      <c r="BJ56" s="75">
        <f t="shared" si="59"/>
        <v>65916</v>
      </c>
      <c r="BK56" s="75">
        <f t="shared" si="59"/>
        <v>66281</v>
      </c>
      <c r="BL56" s="75">
        <f t="shared" si="59"/>
        <v>66646</v>
      </c>
      <c r="BM56" s="75">
        <f t="shared" si="59"/>
        <v>67011</v>
      </c>
      <c r="BN56" s="75">
        <f t="shared" si="59"/>
        <v>67376</v>
      </c>
      <c r="BO56" s="75">
        <f t="shared" ref="BO56:CB56" si="60">BN56+IF($G15=1,365,182.5)</f>
        <v>67741</v>
      </c>
      <c r="BP56" s="75">
        <f t="shared" si="60"/>
        <v>68106</v>
      </c>
      <c r="BQ56" s="75">
        <f t="shared" si="60"/>
        <v>68471</v>
      </c>
      <c r="BR56" s="75">
        <f t="shared" si="60"/>
        <v>68836</v>
      </c>
      <c r="BS56" s="75">
        <f t="shared" si="60"/>
        <v>69201</v>
      </c>
      <c r="BT56" s="75">
        <f t="shared" si="60"/>
        <v>69566</v>
      </c>
      <c r="BU56" s="75">
        <f t="shared" si="60"/>
        <v>69931</v>
      </c>
      <c r="BV56" s="75">
        <f t="shared" si="60"/>
        <v>70296</v>
      </c>
      <c r="BW56" s="75">
        <f t="shared" si="60"/>
        <v>70661</v>
      </c>
      <c r="BX56" s="75">
        <f t="shared" si="60"/>
        <v>71026</v>
      </c>
      <c r="BY56" s="75">
        <f t="shared" si="60"/>
        <v>71391</v>
      </c>
      <c r="BZ56" s="75">
        <f t="shared" si="60"/>
        <v>71756</v>
      </c>
      <c r="CA56" s="75">
        <f t="shared" si="60"/>
        <v>72121</v>
      </c>
      <c r="CB56" s="76">
        <f t="shared" si="60"/>
        <v>72486</v>
      </c>
    </row>
    <row r="57" spans="1:80">
      <c r="A57" s="175" t="s">
        <v>32</v>
      </c>
      <c r="B57" s="110">
        <f>(IF(B56=F15,100,0)+IF(G15=1,1,0.5)*J15*100)*IF(ISBLANK(F15)=TRUE,0,1)</f>
        <v>4.75</v>
      </c>
      <c r="C57" s="77">
        <f>IF(C56&gt;$F15+1,0,1)*(IF(D57=0,100,0)+IF($G15=1,1,0.5)*$J15*100)</f>
        <v>4.75</v>
      </c>
      <c r="D57" s="77">
        <f t="shared" ref="D57:BO57" si="61">IF(D56&gt;$F15+1,0,1)*(IF(E57=0,100,0)+IF($G15=1,1,0.5)*$J15*100)</f>
        <v>4.75</v>
      </c>
      <c r="E57" s="77">
        <f t="shared" si="61"/>
        <v>4.75</v>
      </c>
      <c r="F57" s="77">
        <f t="shared" si="61"/>
        <v>4.75</v>
      </c>
      <c r="G57" s="77">
        <f t="shared" si="61"/>
        <v>4.75</v>
      </c>
      <c r="H57" s="77">
        <f t="shared" si="61"/>
        <v>4.75</v>
      </c>
      <c r="I57" s="77">
        <f t="shared" si="61"/>
        <v>4.75</v>
      </c>
      <c r="J57" s="77">
        <f t="shared" si="61"/>
        <v>4.75</v>
      </c>
      <c r="K57" s="77">
        <f t="shared" si="61"/>
        <v>4.75</v>
      </c>
      <c r="L57" s="77">
        <f t="shared" si="61"/>
        <v>4.75</v>
      </c>
      <c r="M57" s="77">
        <f t="shared" si="61"/>
        <v>4.75</v>
      </c>
      <c r="N57" s="77">
        <f t="shared" si="61"/>
        <v>4.75</v>
      </c>
      <c r="O57" s="77">
        <f t="shared" si="61"/>
        <v>4.75</v>
      </c>
      <c r="P57" s="77">
        <f t="shared" si="61"/>
        <v>104.75</v>
      </c>
      <c r="Q57" s="77">
        <f t="shared" si="61"/>
        <v>0</v>
      </c>
      <c r="R57" s="77">
        <f t="shared" si="61"/>
        <v>0</v>
      </c>
      <c r="S57" s="77">
        <f t="shared" si="61"/>
        <v>0</v>
      </c>
      <c r="T57" s="77">
        <f t="shared" si="61"/>
        <v>0</v>
      </c>
      <c r="U57" s="77">
        <f t="shared" si="61"/>
        <v>0</v>
      </c>
      <c r="V57" s="77">
        <f t="shared" si="61"/>
        <v>0</v>
      </c>
      <c r="W57" s="77">
        <f t="shared" si="61"/>
        <v>0</v>
      </c>
      <c r="X57" s="77">
        <f t="shared" si="61"/>
        <v>0</v>
      </c>
      <c r="Y57" s="77">
        <f t="shared" si="61"/>
        <v>0</v>
      </c>
      <c r="Z57" s="77">
        <f t="shared" si="61"/>
        <v>0</v>
      </c>
      <c r="AA57" s="77">
        <f t="shared" si="61"/>
        <v>0</v>
      </c>
      <c r="AB57" s="77">
        <f t="shared" si="61"/>
        <v>0</v>
      </c>
      <c r="AC57" s="77">
        <f t="shared" si="61"/>
        <v>0</v>
      </c>
      <c r="AD57" s="77">
        <f t="shared" si="61"/>
        <v>0</v>
      </c>
      <c r="AE57" s="77">
        <f t="shared" si="61"/>
        <v>0</v>
      </c>
      <c r="AF57" s="77">
        <f t="shared" si="61"/>
        <v>0</v>
      </c>
      <c r="AG57" s="77">
        <f t="shared" si="61"/>
        <v>0</v>
      </c>
      <c r="AH57" s="77">
        <f t="shared" si="61"/>
        <v>0</v>
      </c>
      <c r="AI57" s="77">
        <f t="shared" si="61"/>
        <v>0</v>
      </c>
      <c r="AJ57" s="77">
        <f t="shared" si="61"/>
        <v>0</v>
      </c>
      <c r="AK57" s="77">
        <f t="shared" si="61"/>
        <v>0</v>
      </c>
      <c r="AL57" s="77">
        <f t="shared" si="61"/>
        <v>0</v>
      </c>
      <c r="AM57" s="77">
        <f t="shared" si="61"/>
        <v>0</v>
      </c>
      <c r="AN57" s="77">
        <f t="shared" si="61"/>
        <v>0</v>
      </c>
      <c r="AO57" s="77">
        <f t="shared" si="61"/>
        <v>0</v>
      </c>
      <c r="AP57" s="77">
        <f t="shared" si="61"/>
        <v>0</v>
      </c>
      <c r="AQ57" s="77">
        <f t="shared" si="61"/>
        <v>0</v>
      </c>
      <c r="AR57" s="77">
        <f t="shared" si="61"/>
        <v>0</v>
      </c>
      <c r="AS57" s="77">
        <f t="shared" si="61"/>
        <v>0</v>
      </c>
      <c r="AT57" s="77">
        <f t="shared" si="61"/>
        <v>0</v>
      </c>
      <c r="AU57" s="77">
        <f t="shared" si="61"/>
        <v>0</v>
      </c>
      <c r="AV57" s="77">
        <f t="shared" si="61"/>
        <v>0</v>
      </c>
      <c r="AW57" s="77">
        <f t="shared" si="61"/>
        <v>0</v>
      </c>
      <c r="AX57" s="77">
        <f t="shared" si="61"/>
        <v>0</v>
      </c>
      <c r="AY57" s="77">
        <f t="shared" si="61"/>
        <v>0</v>
      </c>
      <c r="AZ57" s="77">
        <f t="shared" si="61"/>
        <v>0</v>
      </c>
      <c r="BA57" s="77">
        <f t="shared" si="61"/>
        <v>0</v>
      </c>
      <c r="BB57" s="77">
        <f t="shared" si="61"/>
        <v>0</v>
      </c>
      <c r="BC57" s="77">
        <f t="shared" si="61"/>
        <v>0</v>
      </c>
      <c r="BD57" s="77">
        <f t="shared" si="61"/>
        <v>0</v>
      </c>
      <c r="BE57" s="77">
        <f t="shared" si="61"/>
        <v>0</v>
      </c>
      <c r="BF57" s="77">
        <f t="shared" si="61"/>
        <v>0</v>
      </c>
      <c r="BG57" s="77">
        <f t="shared" si="61"/>
        <v>0</v>
      </c>
      <c r="BH57" s="77">
        <f t="shared" si="61"/>
        <v>0</v>
      </c>
      <c r="BI57" s="77">
        <f t="shared" si="61"/>
        <v>0</v>
      </c>
      <c r="BJ57" s="77">
        <f t="shared" si="61"/>
        <v>0</v>
      </c>
      <c r="BK57" s="77">
        <f t="shared" si="61"/>
        <v>0</v>
      </c>
      <c r="BL57" s="77">
        <f t="shared" si="61"/>
        <v>0</v>
      </c>
      <c r="BM57" s="77">
        <f t="shared" si="61"/>
        <v>0</v>
      </c>
      <c r="BN57" s="77">
        <f t="shared" si="61"/>
        <v>0</v>
      </c>
      <c r="BO57" s="77">
        <f t="shared" si="61"/>
        <v>0</v>
      </c>
      <c r="BP57" s="77">
        <f t="shared" ref="BP57:CB57" si="62">IF(BP56&gt;$F15+1,0,1)*(IF(BQ57=0,100,0)+IF($G15=1,1,0.5)*$J15*100)</f>
        <v>0</v>
      </c>
      <c r="BQ57" s="77">
        <f t="shared" si="62"/>
        <v>0</v>
      </c>
      <c r="BR57" s="77">
        <f t="shared" si="62"/>
        <v>0</v>
      </c>
      <c r="BS57" s="77">
        <f t="shared" si="62"/>
        <v>0</v>
      </c>
      <c r="BT57" s="77">
        <f t="shared" si="62"/>
        <v>0</v>
      </c>
      <c r="BU57" s="77">
        <f t="shared" si="62"/>
        <v>0</v>
      </c>
      <c r="BV57" s="77">
        <f t="shared" si="62"/>
        <v>0</v>
      </c>
      <c r="BW57" s="77">
        <f t="shared" si="62"/>
        <v>0</v>
      </c>
      <c r="BX57" s="77">
        <f t="shared" si="62"/>
        <v>0</v>
      </c>
      <c r="BY57" s="77">
        <f t="shared" si="62"/>
        <v>0</v>
      </c>
      <c r="BZ57" s="77">
        <f t="shared" si="62"/>
        <v>0</v>
      </c>
      <c r="CA57" s="77">
        <f t="shared" si="62"/>
        <v>0</v>
      </c>
      <c r="CB57" s="78">
        <f t="shared" si="62"/>
        <v>0</v>
      </c>
    </row>
    <row r="58" spans="1:80">
      <c r="A58" s="252" t="s">
        <v>49</v>
      </c>
      <c r="B58" s="47" t="str">
        <f>IF(E16=0,F16,E16)</f>
        <v>7/4/2020</v>
      </c>
      <c r="C58" s="48">
        <f t="shared" ref="C58:BN58" si="63">B58+IF($G16=1,365,182.5)</f>
        <v>44381</v>
      </c>
      <c r="D58" s="48">
        <f t="shared" si="63"/>
        <v>44746</v>
      </c>
      <c r="E58" s="48">
        <f t="shared" si="63"/>
        <v>45111</v>
      </c>
      <c r="F58" s="48">
        <f t="shared" si="63"/>
        <v>45476</v>
      </c>
      <c r="G58" s="48">
        <f t="shared" si="63"/>
        <v>45841</v>
      </c>
      <c r="H58" s="48">
        <f t="shared" si="63"/>
        <v>46206</v>
      </c>
      <c r="I58" s="48">
        <f t="shared" si="63"/>
        <v>46571</v>
      </c>
      <c r="J58" s="48">
        <f t="shared" si="63"/>
        <v>46936</v>
      </c>
      <c r="K58" s="48">
        <f t="shared" si="63"/>
        <v>47301</v>
      </c>
      <c r="L58" s="48">
        <f t="shared" si="63"/>
        <v>47666</v>
      </c>
      <c r="M58" s="48">
        <f t="shared" si="63"/>
        <v>48031</v>
      </c>
      <c r="N58" s="48">
        <f t="shared" si="63"/>
        <v>48396</v>
      </c>
      <c r="O58" s="48">
        <f t="shared" si="63"/>
        <v>48761</v>
      </c>
      <c r="P58" s="48">
        <f t="shared" si="63"/>
        <v>49126</v>
      </c>
      <c r="Q58" s="48">
        <f t="shared" si="63"/>
        <v>49491</v>
      </c>
      <c r="R58" s="48">
        <f t="shared" si="63"/>
        <v>49856</v>
      </c>
      <c r="S58" s="48">
        <f t="shared" si="63"/>
        <v>50221</v>
      </c>
      <c r="T58" s="48">
        <f t="shared" si="63"/>
        <v>50586</v>
      </c>
      <c r="U58" s="48">
        <f t="shared" si="63"/>
        <v>50951</v>
      </c>
      <c r="V58" s="48">
        <f t="shared" si="63"/>
        <v>51316</v>
      </c>
      <c r="W58" s="48">
        <f t="shared" si="63"/>
        <v>51681</v>
      </c>
      <c r="X58" s="48">
        <f t="shared" si="63"/>
        <v>52046</v>
      </c>
      <c r="Y58" s="48">
        <f t="shared" si="63"/>
        <v>52411</v>
      </c>
      <c r="Z58" s="48">
        <f t="shared" si="63"/>
        <v>52776</v>
      </c>
      <c r="AA58" s="48">
        <f t="shared" si="63"/>
        <v>53141</v>
      </c>
      <c r="AB58" s="48">
        <f t="shared" si="63"/>
        <v>53506</v>
      </c>
      <c r="AC58" s="48">
        <f t="shared" si="63"/>
        <v>53871</v>
      </c>
      <c r="AD58" s="48">
        <f t="shared" si="63"/>
        <v>54236</v>
      </c>
      <c r="AE58" s="48">
        <f t="shared" si="63"/>
        <v>54601</v>
      </c>
      <c r="AF58" s="48">
        <f t="shared" si="63"/>
        <v>54966</v>
      </c>
      <c r="AG58" s="48">
        <f t="shared" si="63"/>
        <v>55331</v>
      </c>
      <c r="AH58" s="48">
        <f t="shared" si="63"/>
        <v>55696</v>
      </c>
      <c r="AI58" s="48">
        <f t="shared" si="63"/>
        <v>56061</v>
      </c>
      <c r="AJ58" s="48">
        <f t="shared" si="63"/>
        <v>56426</v>
      </c>
      <c r="AK58" s="48">
        <f t="shared" si="63"/>
        <v>56791</v>
      </c>
      <c r="AL58" s="48">
        <f t="shared" si="63"/>
        <v>57156</v>
      </c>
      <c r="AM58" s="48">
        <f t="shared" si="63"/>
        <v>57521</v>
      </c>
      <c r="AN58" s="48">
        <f t="shared" si="63"/>
        <v>57886</v>
      </c>
      <c r="AO58" s="48">
        <f t="shared" si="63"/>
        <v>58251</v>
      </c>
      <c r="AP58" s="48">
        <f t="shared" si="63"/>
        <v>58616</v>
      </c>
      <c r="AQ58" s="48">
        <f t="shared" si="63"/>
        <v>58981</v>
      </c>
      <c r="AR58" s="48">
        <f t="shared" si="63"/>
        <v>59346</v>
      </c>
      <c r="AS58" s="48">
        <f t="shared" si="63"/>
        <v>59711</v>
      </c>
      <c r="AT58" s="48">
        <f t="shared" si="63"/>
        <v>60076</v>
      </c>
      <c r="AU58" s="48">
        <f t="shared" si="63"/>
        <v>60441</v>
      </c>
      <c r="AV58" s="48">
        <f t="shared" si="63"/>
        <v>60806</v>
      </c>
      <c r="AW58" s="48">
        <f t="shared" si="63"/>
        <v>61171</v>
      </c>
      <c r="AX58" s="48">
        <f t="shared" si="63"/>
        <v>61536</v>
      </c>
      <c r="AY58" s="48">
        <f t="shared" si="63"/>
        <v>61901</v>
      </c>
      <c r="AZ58" s="48">
        <f t="shared" si="63"/>
        <v>62266</v>
      </c>
      <c r="BA58" s="48">
        <f t="shared" si="63"/>
        <v>62631</v>
      </c>
      <c r="BB58" s="48">
        <f t="shared" si="63"/>
        <v>62996</v>
      </c>
      <c r="BC58" s="48">
        <f t="shared" si="63"/>
        <v>63361</v>
      </c>
      <c r="BD58" s="48">
        <f t="shared" si="63"/>
        <v>63726</v>
      </c>
      <c r="BE58" s="48">
        <f t="shared" si="63"/>
        <v>64091</v>
      </c>
      <c r="BF58" s="48">
        <f t="shared" si="63"/>
        <v>64456</v>
      </c>
      <c r="BG58" s="48">
        <f t="shared" si="63"/>
        <v>64821</v>
      </c>
      <c r="BH58" s="48">
        <f t="shared" si="63"/>
        <v>65186</v>
      </c>
      <c r="BI58" s="48">
        <f t="shared" si="63"/>
        <v>65551</v>
      </c>
      <c r="BJ58" s="48">
        <f t="shared" si="63"/>
        <v>65916</v>
      </c>
      <c r="BK58" s="48">
        <f t="shared" si="63"/>
        <v>66281</v>
      </c>
      <c r="BL58" s="48">
        <f t="shared" si="63"/>
        <v>66646</v>
      </c>
      <c r="BM58" s="48">
        <f t="shared" si="63"/>
        <v>67011</v>
      </c>
      <c r="BN58" s="48">
        <f t="shared" si="63"/>
        <v>67376</v>
      </c>
      <c r="BO58" s="48">
        <f t="shared" ref="BO58:CB58" si="64">BN58+IF($G16=1,365,182.5)</f>
        <v>67741</v>
      </c>
      <c r="BP58" s="48">
        <f t="shared" si="64"/>
        <v>68106</v>
      </c>
      <c r="BQ58" s="48">
        <f t="shared" si="64"/>
        <v>68471</v>
      </c>
      <c r="BR58" s="48">
        <f t="shared" si="64"/>
        <v>68836</v>
      </c>
      <c r="BS58" s="48">
        <f t="shared" si="64"/>
        <v>69201</v>
      </c>
      <c r="BT58" s="48">
        <f t="shared" si="64"/>
        <v>69566</v>
      </c>
      <c r="BU58" s="48">
        <f t="shared" si="64"/>
        <v>69931</v>
      </c>
      <c r="BV58" s="48">
        <f t="shared" si="64"/>
        <v>70296</v>
      </c>
      <c r="BW58" s="48">
        <f t="shared" si="64"/>
        <v>70661</v>
      </c>
      <c r="BX58" s="48">
        <f t="shared" si="64"/>
        <v>71026</v>
      </c>
      <c r="BY58" s="48">
        <f t="shared" si="64"/>
        <v>71391</v>
      </c>
      <c r="BZ58" s="48">
        <f t="shared" si="64"/>
        <v>71756</v>
      </c>
      <c r="CA58" s="48">
        <f t="shared" si="64"/>
        <v>72121</v>
      </c>
      <c r="CB58" s="49">
        <f t="shared" si="64"/>
        <v>72486</v>
      </c>
    </row>
    <row r="59" spans="1:80">
      <c r="A59" s="168" t="s">
        <v>18</v>
      </c>
      <c r="B59" s="108">
        <f>(IF(B58=F16,100,0)+IF(G16=1,1,0.5)*J16*100)*IF(ISBLANK(F16)=TRUE,0,1)</f>
        <v>4.25</v>
      </c>
      <c r="C59" s="50">
        <f>IF(C58&gt;$F16+1,0,1)*(IF(D59=0,100,0)+IF($G16=1,1,0.5)*$J16*100)</f>
        <v>4.25</v>
      </c>
      <c r="D59" s="50">
        <f t="shared" ref="D59:BO59" si="65">IF(D58&gt;$F16+1,0,1)*(IF(E59=0,100,0)+IF($G16=1,1,0.5)*$J16*100)</f>
        <v>4.25</v>
      </c>
      <c r="E59" s="50">
        <f t="shared" si="65"/>
        <v>4.25</v>
      </c>
      <c r="F59" s="50">
        <f t="shared" si="65"/>
        <v>4.25</v>
      </c>
      <c r="G59" s="50">
        <f t="shared" si="65"/>
        <v>4.25</v>
      </c>
      <c r="H59" s="50">
        <f t="shared" si="65"/>
        <v>4.25</v>
      </c>
      <c r="I59" s="50">
        <f t="shared" si="65"/>
        <v>4.25</v>
      </c>
      <c r="J59" s="50">
        <f t="shared" si="65"/>
        <v>4.25</v>
      </c>
      <c r="K59" s="50">
        <f t="shared" si="65"/>
        <v>4.25</v>
      </c>
      <c r="L59" s="50">
        <f t="shared" si="65"/>
        <v>4.25</v>
      </c>
      <c r="M59" s="50">
        <f t="shared" si="65"/>
        <v>4.25</v>
      </c>
      <c r="N59" s="50">
        <f t="shared" si="65"/>
        <v>4.25</v>
      </c>
      <c r="O59" s="50">
        <f t="shared" si="65"/>
        <v>4.25</v>
      </c>
      <c r="P59" s="50">
        <f t="shared" si="65"/>
        <v>4.25</v>
      </c>
      <c r="Q59" s="50">
        <f t="shared" si="65"/>
        <v>4.25</v>
      </c>
      <c r="R59" s="50">
        <f t="shared" si="65"/>
        <v>4.25</v>
      </c>
      <c r="S59" s="50">
        <f t="shared" si="65"/>
        <v>4.25</v>
      </c>
      <c r="T59" s="50">
        <f t="shared" si="65"/>
        <v>4.25</v>
      </c>
      <c r="U59" s="50">
        <f t="shared" si="65"/>
        <v>104.25</v>
      </c>
      <c r="V59" s="50">
        <f t="shared" si="65"/>
        <v>0</v>
      </c>
      <c r="W59" s="50">
        <f t="shared" si="65"/>
        <v>0</v>
      </c>
      <c r="X59" s="50">
        <f t="shared" si="65"/>
        <v>0</v>
      </c>
      <c r="Y59" s="50">
        <f t="shared" si="65"/>
        <v>0</v>
      </c>
      <c r="Z59" s="50">
        <f t="shared" si="65"/>
        <v>0</v>
      </c>
      <c r="AA59" s="50">
        <f t="shared" si="65"/>
        <v>0</v>
      </c>
      <c r="AB59" s="50">
        <f t="shared" si="65"/>
        <v>0</v>
      </c>
      <c r="AC59" s="50">
        <f t="shared" si="65"/>
        <v>0</v>
      </c>
      <c r="AD59" s="50">
        <f t="shared" si="65"/>
        <v>0</v>
      </c>
      <c r="AE59" s="50">
        <f t="shared" si="65"/>
        <v>0</v>
      </c>
      <c r="AF59" s="50">
        <f t="shared" si="65"/>
        <v>0</v>
      </c>
      <c r="AG59" s="50">
        <f t="shared" si="65"/>
        <v>0</v>
      </c>
      <c r="AH59" s="50">
        <f t="shared" si="65"/>
        <v>0</v>
      </c>
      <c r="AI59" s="50">
        <f t="shared" si="65"/>
        <v>0</v>
      </c>
      <c r="AJ59" s="50">
        <f t="shared" si="65"/>
        <v>0</v>
      </c>
      <c r="AK59" s="50">
        <f t="shared" si="65"/>
        <v>0</v>
      </c>
      <c r="AL59" s="50">
        <f t="shared" si="65"/>
        <v>0</v>
      </c>
      <c r="AM59" s="50">
        <f t="shared" si="65"/>
        <v>0</v>
      </c>
      <c r="AN59" s="50">
        <f t="shared" si="65"/>
        <v>0</v>
      </c>
      <c r="AO59" s="50">
        <f t="shared" si="65"/>
        <v>0</v>
      </c>
      <c r="AP59" s="50">
        <f t="shared" si="65"/>
        <v>0</v>
      </c>
      <c r="AQ59" s="50">
        <f t="shared" si="65"/>
        <v>0</v>
      </c>
      <c r="AR59" s="50">
        <f t="shared" si="65"/>
        <v>0</v>
      </c>
      <c r="AS59" s="50">
        <f t="shared" si="65"/>
        <v>0</v>
      </c>
      <c r="AT59" s="50">
        <f t="shared" si="65"/>
        <v>0</v>
      </c>
      <c r="AU59" s="50">
        <f t="shared" si="65"/>
        <v>0</v>
      </c>
      <c r="AV59" s="50">
        <f t="shared" si="65"/>
        <v>0</v>
      </c>
      <c r="AW59" s="50">
        <f t="shared" si="65"/>
        <v>0</v>
      </c>
      <c r="AX59" s="50">
        <f t="shared" si="65"/>
        <v>0</v>
      </c>
      <c r="AY59" s="50">
        <f t="shared" si="65"/>
        <v>0</v>
      </c>
      <c r="AZ59" s="50">
        <f t="shared" si="65"/>
        <v>0</v>
      </c>
      <c r="BA59" s="50">
        <f t="shared" si="65"/>
        <v>0</v>
      </c>
      <c r="BB59" s="50">
        <f t="shared" si="65"/>
        <v>0</v>
      </c>
      <c r="BC59" s="50">
        <f t="shared" si="65"/>
        <v>0</v>
      </c>
      <c r="BD59" s="50">
        <f t="shared" si="65"/>
        <v>0</v>
      </c>
      <c r="BE59" s="50">
        <f t="shared" si="65"/>
        <v>0</v>
      </c>
      <c r="BF59" s="50">
        <f t="shared" si="65"/>
        <v>0</v>
      </c>
      <c r="BG59" s="50">
        <f t="shared" si="65"/>
        <v>0</v>
      </c>
      <c r="BH59" s="50">
        <f t="shared" si="65"/>
        <v>0</v>
      </c>
      <c r="BI59" s="50">
        <f t="shared" si="65"/>
        <v>0</v>
      </c>
      <c r="BJ59" s="50">
        <f t="shared" si="65"/>
        <v>0</v>
      </c>
      <c r="BK59" s="50">
        <f t="shared" si="65"/>
        <v>0</v>
      </c>
      <c r="BL59" s="50">
        <f t="shared" si="65"/>
        <v>0</v>
      </c>
      <c r="BM59" s="50">
        <f t="shared" si="65"/>
        <v>0</v>
      </c>
      <c r="BN59" s="50">
        <f t="shared" si="65"/>
        <v>0</v>
      </c>
      <c r="BO59" s="50">
        <f t="shared" si="65"/>
        <v>0</v>
      </c>
      <c r="BP59" s="50">
        <f t="shared" ref="BP59:CB59" si="66">IF(BP58&gt;$F16+1,0,1)*(IF(BQ59=0,100,0)+IF($G16=1,1,0.5)*$J16*100)</f>
        <v>0</v>
      </c>
      <c r="BQ59" s="50">
        <f t="shared" si="66"/>
        <v>0</v>
      </c>
      <c r="BR59" s="50">
        <f t="shared" si="66"/>
        <v>0</v>
      </c>
      <c r="BS59" s="50">
        <f t="shared" si="66"/>
        <v>0</v>
      </c>
      <c r="BT59" s="50">
        <f t="shared" si="66"/>
        <v>0</v>
      </c>
      <c r="BU59" s="50">
        <f t="shared" si="66"/>
        <v>0</v>
      </c>
      <c r="BV59" s="50">
        <f t="shared" si="66"/>
        <v>0</v>
      </c>
      <c r="BW59" s="50">
        <f t="shared" si="66"/>
        <v>0</v>
      </c>
      <c r="BX59" s="50">
        <f t="shared" si="66"/>
        <v>0</v>
      </c>
      <c r="BY59" s="50">
        <f t="shared" si="66"/>
        <v>0</v>
      </c>
      <c r="BZ59" s="50">
        <f t="shared" si="66"/>
        <v>0</v>
      </c>
      <c r="CA59" s="50">
        <f t="shared" si="66"/>
        <v>0</v>
      </c>
      <c r="CB59" s="51">
        <f t="shared" si="66"/>
        <v>0</v>
      </c>
    </row>
    <row r="60" spans="1:80">
      <c r="A60" s="251" t="s">
        <v>49</v>
      </c>
      <c r="B60" s="79" t="str">
        <f>IF(E17=0,F17,E17)</f>
        <v>8/15/2019</v>
      </c>
      <c r="C60" s="80">
        <f t="shared" ref="C60:BN60" si="67">B60+IF($G17=1,365,182.5)</f>
        <v>44057</v>
      </c>
      <c r="D60" s="80">
        <f t="shared" si="67"/>
        <v>44422</v>
      </c>
      <c r="E60" s="80">
        <f t="shared" si="67"/>
        <v>44787</v>
      </c>
      <c r="F60" s="80">
        <f t="shared" si="67"/>
        <v>45152</v>
      </c>
      <c r="G60" s="80">
        <f t="shared" si="67"/>
        <v>45517</v>
      </c>
      <c r="H60" s="80">
        <f t="shared" si="67"/>
        <v>45882</v>
      </c>
      <c r="I60" s="80">
        <f t="shared" si="67"/>
        <v>46247</v>
      </c>
      <c r="J60" s="80">
        <f t="shared" si="67"/>
        <v>46612</v>
      </c>
      <c r="K60" s="80">
        <f t="shared" si="67"/>
        <v>46977</v>
      </c>
      <c r="L60" s="80">
        <f t="shared" si="67"/>
        <v>47342</v>
      </c>
      <c r="M60" s="80">
        <f t="shared" si="67"/>
        <v>47707</v>
      </c>
      <c r="N60" s="80">
        <f t="shared" si="67"/>
        <v>48072</v>
      </c>
      <c r="O60" s="80">
        <f t="shared" si="67"/>
        <v>48437</v>
      </c>
      <c r="P60" s="80">
        <f t="shared" si="67"/>
        <v>48802</v>
      </c>
      <c r="Q60" s="80">
        <f t="shared" si="67"/>
        <v>49167</v>
      </c>
      <c r="R60" s="80">
        <f t="shared" si="67"/>
        <v>49532</v>
      </c>
      <c r="S60" s="80">
        <f t="shared" si="67"/>
        <v>49897</v>
      </c>
      <c r="T60" s="80">
        <f t="shared" si="67"/>
        <v>50262</v>
      </c>
      <c r="U60" s="80">
        <f t="shared" si="67"/>
        <v>50627</v>
      </c>
      <c r="V60" s="80">
        <f t="shared" si="67"/>
        <v>50992</v>
      </c>
      <c r="W60" s="80">
        <f t="shared" si="67"/>
        <v>51357</v>
      </c>
      <c r="X60" s="80">
        <f t="shared" si="67"/>
        <v>51722</v>
      </c>
      <c r="Y60" s="80">
        <f t="shared" si="67"/>
        <v>52087</v>
      </c>
      <c r="Z60" s="80">
        <f t="shared" si="67"/>
        <v>52452</v>
      </c>
      <c r="AA60" s="80">
        <f t="shared" si="67"/>
        <v>52817</v>
      </c>
      <c r="AB60" s="80">
        <f t="shared" si="67"/>
        <v>53182</v>
      </c>
      <c r="AC60" s="80">
        <f t="shared" si="67"/>
        <v>53547</v>
      </c>
      <c r="AD60" s="80">
        <f t="shared" si="67"/>
        <v>53912</v>
      </c>
      <c r="AE60" s="80">
        <f t="shared" si="67"/>
        <v>54277</v>
      </c>
      <c r="AF60" s="80">
        <f t="shared" si="67"/>
        <v>54642</v>
      </c>
      <c r="AG60" s="80">
        <f t="shared" si="67"/>
        <v>55007</v>
      </c>
      <c r="AH60" s="80">
        <f t="shared" si="67"/>
        <v>55372</v>
      </c>
      <c r="AI60" s="80">
        <f t="shared" si="67"/>
        <v>55737</v>
      </c>
      <c r="AJ60" s="80">
        <f t="shared" si="67"/>
        <v>56102</v>
      </c>
      <c r="AK60" s="80">
        <f t="shared" si="67"/>
        <v>56467</v>
      </c>
      <c r="AL60" s="80">
        <f t="shared" si="67"/>
        <v>56832</v>
      </c>
      <c r="AM60" s="80">
        <f t="shared" si="67"/>
        <v>57197</v>
      </c>
      <c r="AN60" s="80">
        <f t="shared" si="67"/>
        <v>57562</v>
      </c>
      <c r="AO60" s="80">
        <f t="shared" si="67"/>
        <v>57927</v>
      </c>
      <c r="AP60" s="80">
        <f t="shared" si="67"/>
        <v>58292</v>
      </c>
      <c r="AQ60" s="80">
        <f t="shared" si="67"/>
        <v>58657</v>
      </c>
      <c r="AR60" s="80">
        <f t="shared" si="67"/>
        <v>59022</v>
      </c>
      <c r="AS60" s="80">
        <f t="shared" si="67"/>
        <v>59387</v>
      </c>
      <c r="AT60" s="80">
        <f t="shared" si="67"/>
        <v>59752</v>
      </c>
      <c r="AU60" s="80">
        <f t="shared" si="67"/>
        <v>60117</v>
      </c>
      <c r="AV60" s="80">
        <f t="shared" si="67"/>
        <v>60482</v>
      </c>
      <c r="AW60" s="80">
        <f t="shared" si="67"/>
        <v>60847</v>
      </c>
      <c r="AX60" s="80">
        <f t="shared" si="67"/>
        <v>61212</v>
      </c>
      <c r="AY60" s="80">
        <f t="shared" si="67"/>
        <v>61577</v>
      </c>
      <c r="AZ60" s="80">
        <f t="shared" si="67"/>
        <v>61942</v>
      </c>
      <c r="BA60" s="80">
        <f t="shared" si="67"/>
        <v>62307</v>
      </c>
      <c r="BB60" s="80">
        <f t="shared" si="67"/>
        <v>62672</v>
      </c>
      <c r="BC60" s="80">
        <f t="shared" si="67"/>
        <v>63037</v>
      </c>
      <c r="BD60" s="80">
        <f t="shared" si="67"/>
        <v>63402</v>
      </c>
      <c r="BE60" s="80">
        <f t="shared" si="67"/>
        <v>63767</v>
      </c>
      <c r="BF60" s="80">
        <f t="shared" si="67"/>
        <v>64132</v>
      </c>
      <c r="BG60" s="80">
        <f t="shared" si="67"/>
        <v>64497</v>
      </c>
      <c r="BH60" s="80">
        <f t="shared" si="67"/>
        <v>64862</v>
      </c>
      <c r="BI60" s="80">
        <f t="shared" si="67"/>
        <v>65227</v>
      </c>
      <c r="BJ60" s="80">
        <f t="shared" si="67"/>
        <v>65592</v>
      </c>
      <c r="BK60" s="80">
        <f t="shared" si="67"/>
        <v>65957</v>
      </c>
      <c r="BL60" s="80">
        <f t="shared" si="67"/>
        <v>66322</v>
      </c>
      <c r="BM60" s="80">
        <f t="shared" si="67"/>
        <v>66687</v>
      </c>
      <c r="BN60" s="80">
        <f t="shared" si="67"/>
        <v>67052</v>
      </c>
      <c r="BO60" s="80">
        <f t="shared" ref="BO60:CB60" si="68">BN60+IF($G17=1,365,182.5)</f>
        <v>67417</v>
      </c>
      <c r="BP60" s="80">
        <f t="shared" si="68"/>
        <v>67782</v>
      </c>
      <c r="BQ60" s="80">
        <f t="shared" si="68"/>
        <v>68147</v>
      </c>
      <c r="BR60" s="80">
        <f t="shared" si="68"/>
        <v>68512</v>
      </c>
      <c r="BS60" s="80">
        <f t="shared" si="68"/>
        <v>68877</v>
      </c>
      <c r="BT60" s="80">
        <f t="shared" si="68"/>
        <v>69242</v>
      </c>
      <c r="BU60" s="80">
        <f t="shared" si="68"/>
        <v>69607</v>
      </c>
      <c r="BV60" s="80">
        <f t="shared" si="68"/>
        <v>69972</v>
      </c>
      <c r="BW60" s="80">
        <f t="shared" si="68"/>
        <v>70337</v>
      </c>
      <c r="BX60" s="80">
        <f t="shared" si="68"/>
        <v>70702</v>
      </c>
      <c r="BY60" s="80">
        <f t="shared" si="68"/>
        <v>71067</v>
      </c>
      <c r="BZ60" s="80">
        <f t="shared" si="68"/>
        <v>71432</v>
      </c>
      <c r="CA60" s="80">
        <f t="shared" si="68"/>
        <v>71797</v>
      </c>
      <c r="CB60" s="81">
        <f t="shared" si="68"/>
        <v>72162</v>
      </c>
    </row>
    <row r="61" spans="1:80">
      <c r="A61" s="176" t="s">
        <v>33</v>
      </c>
      <c r="B61" s="114">
        <f>(IF(B60=F17,100,0)+IF(G17=1,1,0.5)*J17*100)*IF(ISBLANK(F17)=TRUE,0,1)</f>
        <v>1.25</v>
      </c>
      <c r="C61" s="82">
        <f>IF(C60&gt;$F17+1,0,1)*(IF(D61=0,100,0)+IF($G17=1,1,0.5)*$J17*100)</f>
        <v>1.25</v>
      </c>
      <c r="D61" s="82">
        <f t="shared" ref="D61:BO61" si="69">IF(D60&gt;$F17+1,0,1)*(IF(E61=0,100,0)+IF($G17=1,1,0.5)*$J17*100)</f>
        <v>1.25</v>
      </c>
      <c r="E61" s="82">
        <f t="shared" si="69"/>
        <v>1.25</v>
      </c>
      <c r="F61" s="82">
        <f t="shared" si="69"/>
        <v>1.25</v>
      </c>
      <c r="G61" s="82">
        <f t="shared" si="69"/>
        <v>1.25</v>
      </c>
      <c r="H61" s="82">
        <f t="shared" si="69"/>
        <v>1.25</v>
      </c>
      <c r="I61" s="82">
        <f t="shared" si="69"/>
        <v>1.25</v>
      </c>
      <c r="J61" s="82">
        <f t="shared" si="69"/>
        <v>1.25</v>
      </c>
      <c r="K61" s="82">
        <f t="shared" si="69"/>
        <v>1.25</v>
      </c>
      <c r="L61" s="82">
        <f t="shared" si="69"/>
        <v>1.25</v>
      </c>
      <c r="M61" s="82">
        <f t="shared" si="69"/>
        <v>1.25</v>
      </c>
      <c r="N61" s="82">
        <f t="shared" si="69"/>
        <v>1.25</v>
      </c>
      <c r="O61" s="82">
        <f t="shared" si="69"/>
        <v>1.25</v>
      </c>
      <c r="P61" s="82">
        <f t="shared" si="69"/>
        <v>1.25</v>
      </c>
      <c r="Q61" s="82">
        <f t="shared" si="69"/>
        <v>1.25</v>
      </c>
      <c r="R61" s="82">
        <f t="shared" si="69"/>
        <v>1.25</v>
      </c>
      <c r="S61" s="82">
        <f t="shared" si="69"/>
        <v>1.25</v>
      </c>
      <c r="T61" s="82">
        <f t="shared" si="69"/>
        <v>1.25</v>
      </c>
      <c r="U61" s="82">
        <f t="shared" si="69"/>
        <v>1.25</v>
      </c>
      <c r="V61" s="82">
        <f t="shared" si="69"/>
        <v>1.25</v>
      </c>
      <c r="W61" s="82">
        <f t="shared" si="69"/>
        <v>1.25</v>
      </c>
      <c r="X61" s="82">
        <f t="shared" si="69"/>
        <v>1.25</v>
      </c>
      <c r="Y61" s="82">
        <f t="shared" si="69"/>
        <v>1.25</v>
      </c>
      <c r="Z61" s="82">
        <f t="shared" si="69"/>
        <v>1.25</v>
      </c>
      <c r="AA61" s="82">
        <f t="shared" si="69"/>
        <v>1.25</v>
      </c>
      <c r="AB61" s="82">
        <f t="shared" si="69"/>
        <v>1.25</v>
      </c>
      <c r="AC61" s="82">
        <f t="shared" si="69"/>
        <v>1.25</v>
      </c>
      <c r="AD61" s="82">
        <f t="shared" si="69"/>
        <v>1.25</v>
      </c>
      <c r="AE61" s="82">
        <f t="shared" si="69"/>
        <v>101.25</v>
      </c>
      <c r="AF61" s="82">
        <f t="shared" si="69"/>
        <v>0</v>
      </c>
      <c r="AG61" s="82">
        <f t="shared" si="69"/>
        <v>0</v>
      </c>
      <c r="AH61" s="82">
        <f t="shared" si="69"/>
        <v>0</v>
      </c>
      <c r="AI61" s="82">
        <f t="shared" si="69"/>
        <v>0</v>
      </c>
      <c r="AJ61" s="82">
        <f t="shared" si="69"/>
        <v>0</v>
      </c>
      <c r="AK61" s="82">
        <f t="shared" si="69"/>
        <v>0</v>
      </c>
      <c r="AL61" s="82">
        <f t="shared" si="69"/>
        <v>0</v>
      </c>
      <c r="AM61" s="82">
        <f t="shared" si="69"/>
        <v>0</v>
      </c>
      <c r="AN61" s="82">
        <f t="shared" si="69"/>
        <v>0</v>
      </c>
      <c r="AO61" s="82">
        <f t="shared" si="69"/>
        <v>0</v>
      </c>
      <c r="AP61" s="82">
        <f t="shared" si="69"/>
        <v>0</v>
      </c>
      <c r="AQ61" s="82">
        <f t="shared" si="69"/>
        <v>0</v>
      </c>
      <c r="AR61" s="82">
        <f t="shared" si="69"/>
        <v>0</v>
      </c>
      <c r="AS61" s="82">
        <f t="shared" si="69"/>
        <v>0</v>
      </c>
      <c r="AT61" s="82">
        <f t="shared" si="69"/>
        <v>0</v>
      </c>
      <c r="AU61" s="82">
        <f t="shared" si="69"/>
        <v>0</v>
      </c>
      <c r="AV61" s="82">
        <f t="shared" si="69"/>
        <v>0</v>
      </c>
      <c r="AW61" s="82">
        <f t="shared" si="69"/>
        <v>0</v>
      </c>
      <c r="AX61" s="82">
        <f t="shared" si="69"/>
        <v>0</v>
      </c>
      <c r="AY61" s="82">
        <f t="shared" si="69"/>
        <v>0</v>
      </c>
      <c r="AZ61" s="82">
        <f t="shared" si="69"/>
        <v>0</v>
      </c>
      <c r="BA61" s="82">
        <f t="shared" si="69"/>
        <v>0</v>
      </c>
      <c r="BB61" s="82">
        <f t="shared" si="69"/>
        <v>0</v>
      </c>
      <c r="BC61" s="82">
        <f t="shared" si="69"/>
        <v>0</v>
      </c>
      <c r="BD61" s="82">
        <f t="shared" si="69"/>
        <v>0</v>
      </c>
      <c r="BE61" s="82">
        <f t="shared" si="69"/>
        <v>0</v>
      </c>
      <c r="BF61" s="82">
        <f t="shared" si="69"/>
        <v>0</v>
      </c>
      <c r="BG61" s="82">
        <f t="shared" si="69"/>
        <v>0</v>
      </c>
      <c r="BH61" s="82">
        <f t="shared" si="69"/>
        <v>0</v>
      </c>
      <c r="BI61" s="82">
        <f t="shared" si="69"/>
        <v>0</v>
      </c>
      <c r="BJ61" s="82">
        <f t="shared" si="69"/>
        <v>0</v>
      </c>
      <c r="BK61" s="82">
        <f t="shared" si="69"/>
        <v>0</v>
      </c>
      <c r="BL61" s="82">
        <f t="shared" si="69"/>
        <v>0</v>
      </c>
      <c r="BM61" s="82">
        <f t="shared" si="69"/>
        <v>0</v>
      </c>
      <c r="BN61" s="82">
        <f t="shared" si="69"/>
        <v>0</v>
      </c>
      <c r="BO61" s="82">
        <f t="shared" si="69"/>
        <v>0</v>
      </c>
      <c r="BP61" s="82">
        <f t="shared" ref="BP61:CB61" si="70">IF(BP60&gt;$F17+1,0,1)*(IF(BQ61=0,100,0)+IF($G17=1,1,0.5)*$J17*100)</f>
        <v>0</v>
      </c>
      <c r="BQ61" s="82">
        <f t="shared" si="70"/>
        <v>0</v>
      </c>
      <c r="BR61" s="82">
        <f t="shared" si="70"/>
        <v>0</v>
      </c>
      <c r="BS61" s="82">
        <f t="shared" si="70"/>
        <v>0</v>
      </c>
      <c r="BT61" s="82">
        <f t="shared" si="70"/>
        <v>0</v>
      </c>
      <c r="BU61" s="82">
        <f t="shared" si="70"/>
        <v>0</v>
      </c>
      <c r="BV61" s="82">
        <f t="shared" si="70"/>
        <v>0</v>
      </c>
      <c r="BW61" s="82">
        <f t="shared" si="70"/>
        <v>0</v>
      </c>
      <c r="BX61" s="82">
        <f t="shared" si="70"/>
        <v>0</v>
      </c>
      <c r="BY61" s="82">
        <f t="shared" si="70"/>
        <v>0</v>
      </c>
      <c r="BZ61" s="82">
        <f t="shared" si="70"/>
        <v>0</v>
      </c>
      <c r="CA61" s="82">
        <f t="shared" si="70"/>
        <v>0</v>
      </c>
      <c r="CB61" s="83">
        <f t="shared" si="70"/>
        <v>0</v>
      </c>
    </row>
    <row r="62" spans="1:80">
      <c r="A62" s="250" t="s">
        <v>49</v>
      </c>
      <c r="B62" s="84">
        <f>IF(E18=0,F18,E18)</f>
        <v>0</v>
      </c>
      <c r="C62" s="85">
        <f t="shared" ref="C62:BN62" si="71">B62+IF($G18=1,365,182.5)</f>
        <v>182.5</v>
      </c>
      <c r="D62" s="85">
        <f t="shared" si="71"/>
        <v>365</v>
      </c>
      <c r="E62" s="85">
        <f t="shared" si="71"/>
        <v>547.5</v>
      </c>
      <c r="F62" s="85">
        <f t="shared" si="71"/>
        <v>730</v>
      </c>
      <c r="G62" s="85">
        <f t="shared" si="71"/>
        <v>912.5</v>
      </c>
      <c r="H62" s="85">
        <f t="shared" si="71"/>
        <v>1095</v>
      </c>
      <c r="I62" s="85">
        <f t="shared" si="71"/>
        <v>1277.5</v>
      </c>
      <c r="J62" s="85">
        <f t="shared" si="71"/>
        <v>1460</v>
      </c>
      <c r="K62" s="85">
        <f t="shared" si="71"/>
        <v>1642.5</v>
      </c>
      <c r="L62" s="85">
        <f t="shared" si="71"/>
        <v>1825</v>
      </c>
      <c r="M62" s="85">
        <f t="shared" si="71"/>
        <v>2007.5</v>
      </c>
      <c r="N62" s="85">
        <f t="shared" si="71"/>
        <v>2190</v>
      </c>
      <c r="O62" s="85">
        <f t="shared" si="71"/>
        <v>2372.5</v>
      </c>
      <c r="P62" s="85">
        <f t="shared" si="71"/>
        <v>2555</v>
      </c>
      <c r="Q62" s="85">
        <f t="shared" si="71"/>
        <v>2737.5</v>
      </c>
      <c r="R62" s="85">
        <f t="shared" si="71"/>
        <v>2920</v>
      </c>
      <c r="S62" s="85">
        <f t="shared" si="71"/>
        <v>3102.5</v>
      </c>
      <c r="T62" s="85">
        <f t="shared" si="71"/>
        <v>3285</v>
      </c>
      <c r="U62" s="85">
        <f t="shared" si="71"/>
        <v>3467.5</v>
      </c>
      <c r="V62" s="85">
        <f t="shared" si="71"/>
        <v>3650</v>
      </c>
      <c r="W62" s="85">
        <f t="shared" si="71"/>
        <v>3832.5</v>
      </c>
      <c r="X62" s="85">
        <f t="shared" si="71"/>
        <v>4015</v>
      </c>
      <c r="Y62" s="85">
        <f t="shared" si="71"/>
        <v>4197.5</v>
      </c>
      <c r="Z62" s="85">
        <f t="shared" si="71"/>
        <v>4380</v>
      </c>
      <c r="AA62" s="85">
        <f t="shared" si="71"/>
        <v>4562.5</v>
      </c>
      <c r="AB62" s="85">
        <f t="shared" si="71"/>
        <v>4745</v>
      </c>
      <c r="AC62" s="85">
        <f t="shared" si="71"/>
        <v>4927.5</v>
      </c>
      <c r="AD62" s="85">
        <f t="shared" si="71"/>
        <v>5110</v>
      </c>
      <c r="AE62" s="85">
        <f t="shared" si="71"/>
        <v>5292.5</v>
      </c>
      <c r="AF62" s="85">
        <f t="shared" si="71"/>
        <v>5475</v>
      </c>
      <c r="AG62" s="85">
        <f t="shared" si="71"/>
        <v>5657.5</v>
      </c>
      <c r="AH62" s="85">
        <f t="shared" si="71"/>
        <v>5840</v>
      </c>
      <c r="AI62" s="85">
        <f t="shared" si="71"/>
        <v>6022.5</v>
      </c>
      <c r="AJ62" s="85">
        <f t="shared" si="71"/>
        <v>6205</v>
      </c>
      <c r="AK62" s="85">
        <f t="shared" si="71"/>
        <v>6387.5</v>
      </c>
      <c r="AL62" s="85">
        <f t="shared" si="71"/>
        <v>6570</v>
      </c>
      <c r="AM62" s="85">
        <f t="shared" si="71"/>
        <v>6752.5</v>
      </c>
      <c r="AN62" s="85">
        <f t="shared" si="71"/>
        <v>6935</v>
      </c>
      <c r="AO62" s="85">
        <f t="shared" si="71"/>
        <v>7117.5</v>
      </c>
      <c r="AP62" s="85">
        <f t="shared" si="71"/>
        <v>7300</v>
      </c>
      <c r="AQ62" s="85">
        <f t="shared" si="71"/>
        <v>7482.5</v>
      </c>
      <c r="AR62" s="85">
        <f t="shared" si="71"/>
        <v>7665</v>
      </c>
      <c r="AS62" s="85">
        <f t="shared" si="71"/>
        <v>7847.5</v>
      </c>
      <c r="AT62" s="85">
        <f t="shared" si="71"/>
        <v>8030</v>
      </c>
      <c r="AU62" s="85">
        <f t="shared" si="71"/>
        <v>8212.5</v>
      </c>
      <c r="AV62" s="85">
        <f t="shared" si="71"/>
        <v>8395</v>
      </c>
      <c r="AW62" s="85">
        <f t="shared" si="71"/>
        <v>8577.5</v>
      </c>
      <c r="AX62" s="85">
        <f t="shared" si="71"/>
        <v>8760</v>
      </c>
      <c r="AY62" s="85">
        <f t="shared" si="71"/>
        <v>8942.5</v>
      </c>
      <c r="AZ62" s="85">
        <f t="shared" si="71"/>
        <v>9125</v>
      </c>
      <c r="BA62" s="85">
        <f t="shared" si="71"/>
        <v>9307.5</v>
      </c>
      <c r="BB62" s="85">
        <f t="shared" si="71"/>
        <v>9490</v>
      </c>
      <c r="BC62" s="85">
        <f t="shared" si="71"/>
        <v>9672.5</v>
      </c>
      <c r="BD62" s="85">
        <f t="shared" si="71"/>
        <v>9855</v>
      </c>
      <c r="BE62" s="85">
        <f t="shared" si="71"/>
        <v>10037.5</v>
      </c>
      <c r="BF62" s="85">
        <f t="shared" si="71"/>
        <v>10220</v>
      </c>
      <c r="BG62" s="85">
        <f t="shared" si="71"/>
        <v>10402.5</v>
      </c>
      <c r="BH62" s="85">
        <f t="shared" si="71"/>
        <v>10585</v>
      </c>
      <c r="BI62" s="85">
        <f t="shared" si="71"/>
        <v>10767.5</v>
      </c>
      <c r="BJ62" s="85">
        <f t="shared" si="71"/>
        <v>10950</v>
      </c>
      <c r="BK62" s="85">
        <f t="shared" si="71"/>
        <v>11132.5</v>
      </c>
      <c r="BL62" s="85">
        <f t="shared" si="71"/>
        <v>11315</v>
      </c>
      <c r="BM62" s="85">
        <f t="shared" si="71"/>
        <v>11497.5</v>
      </c>
      <c r="BN62" s="85">
        <f t="shared" si="71"/>
        <v>11680</v>
      </c>
      <c r="BO62" s="85">
        <f t="shared" ref="BO62:CB62" si="72">BN62+IF($G18=1,365,182.5)</f>
        <v>11862.5</v>
      </c>
      <c r="BP62" s="85">
        <f t="shared" si="72"/>
        <v>12045</v>
      </c>
      <c r="BQ62" s="85">
        <f t="shared" si="72"/>
        <v>12227.5</v>
      </c>
      <c r="BR62" s="85">
        <f t="shared" si="72"/>
        <v>12410</v>
      </c>
      <c r="BS62" s="85">
        <f t="shared" si="72"/>
        <v>12592.5</v>
      </c>
      <c r="BT62" s="85">
        <f t="shared" si="72"/>
        <v>12775</v>
      </c>
      <c r="BU62" s="85">
        <f t="shared" si="72"/>
        <v>12957.5</v>
      </c>
      <c r="BV62" s="85">
        <f t="shared" si="72"/>
        <v>13140</v>
      </c>
      <c r="BW62" s="85">
        <f t="shared" si="72"/>
        <v>13322.5</v>
      </c>
      <c r="BX62" s="85">
        <f t="shared" si="72"/>
        <v>13505</v>
      </c>
      <c r="BY62" s="85">
        <f t="shared" si="72"/>
        <v>13687.5</v>
      </c>
      <c r="BZ62" s="85">
        <f t="shared" si="72"/>
        <v>13870</v>
      </c>
      <c r="CA62" s="85">
        <f t="shared" si="72"/>
        <v>14052.5</v>
      </c>
      <c r="CB62" s="86">
        <f t="shared" si="72"/>
        <v>14235</v>
      </c>
    </row>
    <row r="63" spans="1:80">
      <c r="A63" s="177" t="s">
        <v>34</v>
      </c>
      <c r="B63" s="115">
        <f>(IF(B62=F18,100,0)+IF(G18=1,1,0.5)*J18*100)*IF(ISBLANK(F18)=TRUE,0,1)</f>
        <v>0</v>
      </c>
      <c r="C63" s="87">
        <f>IF(C62&gt;$F18+1,0,1)*(IF(D63=0,100,0)+IF($G18=1,1,0.5)*$J18*100)</f>
        <v>0</v>
      </c>
      <c r="D63" s="87">
        <f t="shared" ref="D63:BO63" si="73">IF(D62&gt;$F18+1,0,1)*(IF(E63=0,100,0)+IF($G18=1,1,0.5)*$J18*100)</f>
        <v>0</v>
      </c>
      <c r="E63" s="87">
        <f t="shared" si="73"/>
        <v>0</v>
      </c>
      <c r="F63" s="87">
        <f t="shared" si="73"/>
        <v>0</v>
      </c>
      <c r="G63" s="87">
        <f t="shared" si="73"/>
        <v>0</v>
      </c>
      <c r="H63" s="87">
        <f t="shared" si="73"/>
        <v>0</v>
      </c>
      <c r="I63" s="87">
        <f t="shared" si="73"/>
        <v>0</v>
      </c>
      <c r="J63" s="87">
        <f t="shared" si="73"/>
        <v>0</v>
      </c>
      <c r="K63" s="87">
        <f t="shared" si="73"/>
        <v>0</v>
      </c>
      <c r="L63" s="87">
        <f t="shared" si="73"/>
        <v>0</v>
      </c>
      <c r="M63" s="87">
        <f t="shared" si="73"/>
        <v>0</v>
      </c>
      <c r="N63" s="87">
        <f t="shared" si="73"/>
        <v>0</v>
      </c>
      <c r="O63" s="87">
        <f t="shared" si="73"/>
        <v>0</v>
      </c>
      <c r="P63" s="87">
        <f t="shared" si="73"/>
        <v>0</v>
      </c>
      <c r="Q63" s="87">
        <f t="shared" si="73"/>
        <v>0</v>
      </c>
      <c r="R63" s="87">
        <f t="shared" si="73"/>
        <v>0</v>
      </c>
      <c r="S63" s="87">
        <f t="shared" si="73"/>
        <v>0</v>
      </c>
      <c r="T63" s="87">
        <f t="shared" si="73"/>
        <v>0</v>
      </c>
      <c r="U63" s="87">
        <f t="shared" si="73"/>
        <v>0</v>
      </c>
      <c r="V63" s="87">
        <f t="shared" si="73"/>
        <v>0</v>
      </c>
      <c r="W63" s="87">
        <f t="shared" si="73"/>
        <v>0</v>
      </c>
      <c r="X63" s="87">
        <f t="shared" si="73"/>
        <v>0</v>
      </c>
      <c r="Y63" s="87">
        <f t="shared" si="73"/>
        <v>0</v>
      </c>
      <c r="Z63" s="87">
        <f t="shared" si="73"/>
        <v>0</v>
      </c>
      <c r="AA63" s="87">
        <f t="shared" si="73"/>
        <v>0</v>
      </c>
      <c r="AB63" s="87">
        <f t="shared" si="73"/>
        <v>0</v>
      </c>
      <c r="AC63" s="87">
        <f t="shared" si="73"/>
        <v>0</v>
      </c>
      <c r="AD63" s="87">
        <f t="shared" si="73"/>
        <v>0</v>
      </c>
      <c r="AE63" s="87">
        <f t="shared" si="73"/>
        <v>0</v>
      </c>
      <c r="AF63" s="87">
        <f t="shared" si="73"/>
        <v>0</v>
      </c>
      <c r="AG63" s="87">
        <f t="shared" si="73"/>
        <v>0</v>
      </c>
      <c r="AH63" s="87">
        <f t="shared" si="73"/>
        <v>0</v>
      </c>
      <c r="AI63" s="87">
        <f t="shared" si="73"/>
        <v>0</v>
      </c>
      <c r="AJ63" s="87">
        <f t="shared" si="73"/>
        <v>0</v>
      </c>
      <c r="AK63" s="87">
        <f t="shared" si="73"/>
        <v>0</v>
      </c>
      <c r="AL63" s="87">
        <f t="shared" si="73"/>
        <v>0</v>
      </c>
      <c r="AM63" s="87">
        <f t="shared" si="73"/>
        <v>0</v>
      </c>
      <c r="AN63" s="87">
        <f t="shared" si="73"/>
        <v>0</v>
      </c>
      <c r="AO63" s="87">
        <f t="shared" si="73"/>
        <v>0</v>
      </c>
      <c r="AP63" s="87">
        <f t="shared" si="73"/>
        <v>0</v>
      </c>
      <c r="AQ63" s="87">
        <f t="shared" si="73"/>
        <v>0</v>
      </c>
      <c r="AR63" s="87">
        <f t="shared" si="73"/>
        <v>0</v>
      </c>
      <c r="AS63" s="87">
        <f t="shared" si="73"/>
        <v>0</v>
      </c>
      <c r="AT63" s="87">
        <f t="shared" si="73"/>
        <v>0</v>
      </c>
      <c r="AU63" s="87">
        <f t="shared" si="73"/>
        <v>0</v>
      </c>
      <c r="AV63" s="87">
        <f t="shared" si="73"/>
        <v>0</v>
      </c>
      <c r="AW63" s="87">
        <f t="shared" si="73"/>
        <v>0</v>
      </c>
      <c r="AX63" s="87">
        <f t="shared" si="73"/>
        <v>0</v>
      </c>
      <c r="AY63" s="87">
        <f t="shared" si="73"/>
        <v>0</v>
      </c>
      <c r="AZ63" s="87">
        <f t="shared" si="73"/>
        <v>0</v>
      </c>
      <c r="BA63" s="87">
        <f t="shared" si="73"/>
        <v>0</v>
      </c>
      <c r="BB63" s="87">
        <f t="shared" si="73"/>
        <v>0</v>
      </c>
      <c r="BC63" s="87">
        <f t="shared" si="73"/>
        <v>0</v>
      </c>
      <c r="BD63" s="87">
        <f t="shared" si="73"/>
        <v>0</v>
      </c>
      <c r="BE63" s="87">
        <f t="shared" si="73"/>
        <v>0</v>
      </c>
      <c r="BF63" s="87">
        <f t="shared" si="73"/>
        <v>0</v>
      </c>
      <c r="BG63" s="87">
        <f t="shared" si="73"/>
        <v>0</v>
      </c>
      <c r="BH63" s="87">
        <f t="shared" si="73"/>
        <v>0</v>
      </c>
      <c r="BI63" s="87">
        <f t="shared" si="73"/>
        <v>0</v>
      </c>
      <c r="BJ63" s="87">
        <f t="shared" si="73"/>
        <v>0</v>
      </c>
      <c r="BK63" s="87">
        <f t="shared" si="73"/>
        <v>0</v>
      </c>
      <c r="BL63" s="87">
        <f t="shared" si="73"/>
        <v>0</v>
      </c>
      <c r="BM63" s="87">
        <f t="shared" si="73"/>
        <v>0</v>
      </c>
      <c r="BN63" s="87">
        <f t="shared" si="73"/>
        <v>0</v>
      </c>
      <c r="BO63" s="87">
        <f t="shared" si="73"/>
        <v>0</v>
      </c>
      <c r="BP63" s="87">
        <f t="shared" ref="BP63:CB63" si="74">IF(BP62&gt;$F18+1,0,1)*(IF(BQ63=0,100,0)+IF($G18=1,1,0.5)*$J18*100)</f>
        <v>0</v>
      </c>
      <c r="BQ63" s="87">
        <f t="shared" si="74"/>
        <v>0</v>
      </c>
      <c r="BR63" s="87">
        <f t="shared" si="74"/>
        <v>0</v>
      </c>
      <c r="BS63" s="87">
        <f t="shared" si="74"/>
        <v>0</v>
      </c>
      <c r="BT63" s="87">
        <f t="shared" si="74"/>
        <v>0</v>
      </c>
      <c r="BU63" s="87">
        <f t="shared" si="74"/>
        <v>0</v>
      </c>
      <c r="BV63" s="87">
        <f t="shared" si="74"/>
        <v>0</v>
      </c>
      <c r="BW63" s="87">
        <f t="shared" si="74"/>
        <v>0</v>
      </c>
      <c r="BX63" s="87">
        <f t="shared" si="74"/>
        <v>0</v>
      </c>
      <c r="BY63" s="87">
        <f t="shared" si="74"/>
        <v>0</v>
      </c>
      <c r="BZ63" s="87">
        <f t="shared" si="74"/>
        <v>0</v>
      </c>
      <c r="CA63" s="87">
        <f t="shared" si="74"/>
        <v>0</v>
      </c>
      <c r="CB63" s="88">
        <f t="shared" si="74"/>
        <v>0</v>
      </c>
    </row>
    <row r="64" spans="1:80">
      <c r="A64" s="249" t="s">
        <v>49</v>
      </c>
      <c r="B64" s="118">
        <f>IF(E19=0,F19,E19)</f>
        <v>0</v>
      </c>
      <c r="C64" s="119">
        <f t="shared" ref="C64:BN64" si="75">B64+IF($G19=1,365,182.5)</f>
        <v>182.5</v>
      </c>
      <c r="D64" s="119">
        <f t="shared" si="75"/>
        <v>365</v>
      </c>
      <c r="E64" s="119">
        <f t="shared" si="75"/>
        <v>547.5</v>
      </c>
      <c r="F64" s="119">
        <f t="shared" si="75"/>
        <v>730</v>
      </c>
      <c r="G64" s="119">
        <f t="shared" si="75"/>
        <v>912.5</v>
      </c>
      <c r="H64" s="119">
        <f t="shared" si="75"/>
        <v>1095</v>
      </c>
      <c r="I64" s="119">
        <f t="shared" si="75"/>
        <v>1277.5</v>
      </c>
      <c r="J64" s="119">
        <f t="shared" si="75"/>
        <v>1460</v>
      </c>
      <c r="K64" s="119">
        <f t="shared" si="75"/>
        <v>1642.5</v>
      </c>
      <c r="L64" s="119">
        <f t="shared" si="75"/>
        <v>1825</v>
      </c>
      <c r="M64" s="119">
        <f t="shared" si="75"/>
        <v>2007.5</v>
      </c>
      <c r="N64" s="119">
        <f t="shared" si="75"/>
        <v>2190</v>
      </c>
      <c r="O64" s="119">
        <f t="shared" si="75"/>
        <v>2372.5</v>
      </c>
      <c r="P64" s="119">
        <f t="shared" si="75"/>
        <v>2555</v>
      </c>
      <c r="Q64" s="119">
        <f t="shared" si="75"/>
        <v>2737.5</v>
      </c>
      <c r="R64" s="119">
        <f t="shared" si="75"/>
        <v>2920</v>
      </c>
      <c r="S64" s="119">
        <f t="shared" si="75"/>
        <v>3102.5</v>
      </c>
      <c r="T64" s="119">
        <f t="shared" si="75"/>
        <v>3285</v>
      </c>
      <c r="U64" s="119">
        <f t="shared" si="75"/>
        <v>3467.5</v>
      </c>
      <c r="V64" s="119">
        <f t="shared" si="75"/>
        <v>3650</v>
      </c>
      <c r="W64" s="119">
        <f t="shared" si="75"/>
        <v>3832.5</v>
      </c>
      <c r="X64" s="119">
        <f t="shared" si="75"/>
        <v>4015</v>
      </c>
      <c r="Y64" s="119">
        <f t="shared" si="75"/>
        <v>4197.5</v>
      </c>
      <c r="Z64" s="119">
        <f t="shared" si="75"/>
        <v>4380</v>
      </c>
      <c r="AA64" s="119">
        <f t="shared" si="75"/>
        <v>4562.5</v>
      </c>
      <c r="AB64" s="119">
        <f t="shared" si="75"/>
        <v>4745</v>
      </c>
      <c r="AC64" s="119">
        <f t="shared" si="75"/>
        <v>4927.5</v>
      </c>
      <c r="AD64" s="119">
        <f t="shared" si="75"/>
        <v>5110</v>
      </c>
      <c r="AE64" s="119">
        <f t="shared" si="75"/>
        <v>5292.5</v>
      </c>
      <c r="AF64" s="119">
        <f t="shared" si="75"/>
        <v>5475</v>
      </c>
      <c r="AG64" s="119">
        <f t="shared" si="75"/>
        <v>5657.5</v>
      </c>
      <c r="AH64" s="119">
        <f t="shared" si="75"/>
        <v>5840</v>
      </c>
      <c r="AI64" s="119">
        <f t="shared" si="75"/>
        <v>6022.5</v>
      </c>
      <c r="AJ64" s="119">
        <f t="shared" si="75"/>
        <v>6205</v>
      </c>
      <c r="AK64" s="119">
        <f t="shared" si="75"/>
        <v>6387.5</v>
      </c>
      <c r="AL64" s="119">
        <f t="shared" si="75"/>
        <v>6570</v>
      </c>
      <c r="AM64" s="119">
        <f t="shared" si="75"/>
        <v>6752.5</v>
      </c>
      <c r="AN64" s="119">
        <f t="shared" si="75"/>
        <v>6935</v>
      </c>
      <c r="AO64" s="119">
        <f t="shared" si="75"/>
        <v>7117.5</v>
      </c>
      <c r="AP64" s="119">
        <f t="shared" si="75"/>
        <v>7300</v>
      </c>
      <c r="AQ64" s="119">
        <f t="shared" si="75"/>
        <v>7482.5</v>
      </c>
      <c r="AR64" s="119">
        <f t="shared" si="75"/>
        <v>7665</v>
      </c>
      <c r="AS64" s="119">
        <f t="shared" si="75"/>
        <v>7847.5</v>
      </c>
      <c r="AT64" s="119">
        <f t="shared" si="75"/>
        <v>8030</v>
      </c>
      <c r="AU64" s="119">
        <f t="shared" si="75"/>
        <v>8212.5</v>
      </c>
      <c r="AV64" s="119">
        <f t="shared" si="75"/>
        <v>8395</v>
      </c>
      <c r="AW64" s="119">
        <f t="shared" si="75"/>
        <v>8577.5</v>
      </c>
      <c r="AX64" s="119">
        <f t="shared" si="75"/>
        <v>8760</v>
      </c>
      <c r="AY64" s="119">
        <f t="shared" si="75"/>
        <v>8942.5</v>
      </c>
      <c r="AZ64" s="119">
        <f t="shared" si="75"/>
        <v>9125</v>
      </c>
      <c r="BA64" s="119">
        <f t="shared" si="75"/>
        <v>9307.5</v>
      </c>
      <c r="BB64" s="119">
        <f t="shared" si="75"/>
        <v>9490</v>
      </c>
      <c r="BC64" s="119">
        <f t="shared" si="75"/>
        <v>9672.5</v>
      </c>
      <c r="BD64" s="119">
        <f t="shared" si="75"/>
        <v>9855</v>
      </c>
      <c r="BE64" s="119">
        <f t="shared" si="75"/>
        <v>10037.5</v>
      </c>
      <c r="BF64" s="119">
        <f t="shared" si="75"/>
        <v>10220</v>
      </c>
      <c r="BG64" s="119">
        <f t="shared" si="75"/>
        <v>10402.5</v>
      </c>
      <c r="BH64" s="119">
        <f t="shared" si="75"/>
        <v>10585</v>
      </c>
      <c r="BI64" s="119">
        <f t="shared" si="75"/>
        <v>10767.5</v>
      </c>
      <c r="BJ64" s="119">
        <f t="shared" si="75"/>
        <v>10950</v>
      </c>
      <c r="BK64" s="119">
        <f t="shared" si="75"/>
        <v>11132.5</v>
      </c>
      <c r="BL64" s="119">
        <f t="shared" si="75"/>
        <v>11315</v>
      </c>
      <c r="BM64" s="119">
        <f t="shared" si="75"/>
        <v>11497.5</v>
      </c>
      <c r="BN64" s="119">
        <f t="shared" si="75"/>
        <v>11680</v>
      </c>
      <c r="BO64" s="119">
        <f t="shared" ref="BO64:CB64" si="76">BN64+IF($G19=1,365,182.5)</f>
        <v>11862.5</v>
      </c>
      <c r="BP64" s="119">
        <f t="shared" si="76"/>
        <v>12045</v>
      </c>
      <c r="BQ64" s="119">
        <f t="shared" si="76"/>
        <v>12227.5</v>
      </c>
      <c r="BR64" s="119">
        <f t="shared" si="76"/>
        <v>12410</v>
      </c>
      <c r="BS64" s="119">
        <f t="shared" si="76"/>
        <v>12592.5</v>
      </c>
      <c r="BT64" s="119">
        <f t="shared" si="76"/>
        <v>12775</v>
      </c>
      <c r="BU64" s="119">
        <f t="shared" si="76"/>
        <v>12957.5</v>
      </c>
      <c r="BV64" s="119">
        <f t="shared" si="76"/>
        <v>13140</v>
      </c>
      <c r="BW64" s="119">
        <f t="shared" si="76"/>
        <v>13322.5</v>
      </c>
      <c r="BX64" s="119">
        <f t="shared" si="76"/>
        <v>13505</v>
      </c>
      <c r="BY64" s="119">
        <f t="shared" si="76"/>
        <v>13687.5</v>
      </c>
      <c r="BZ64" s="119">
        <f t="shared" si="76"/>
        <v>13870</v>
      </c>
      <c r="CA64" s="119">
        <f t="shared" si="76"/>
        <v>14052.5</v>
      </c>
      <c r="CB64" s="120">
        <f t="shared" si="76"/>
        <v>14235</v>
      </c>
    </row>
    <row r="65" spans="1:115">
      <c r="A65" s="178" t="s">
        <v>35</v>
      </c>
      <c r="B65" s="121">
        <f>(IF(B64=F19,100,0)+IF(G19=1,1,0.5)*J19*100)*IF(ISBLANK(F19)=TRUE,0,1)</f>
        <v>0</v>
      </c>
      <c r="C65" s="122">
        <f>IF(C64&gt;$F19+1,0,1)*(IF(D65=0,100,0)+IF($G19=1,1,0.5)*$J19*100)</f>
        <v>0</v>
      </c>
      <c r="D65" s="122">
        <f t="shared" ref="D65:BO65" si="77">IF(D64&gt;$F19+1,0,1)*(IF(E65=0,100,0)+IF($G19=1,1,0.5)*$J19*100)</f>
        <v>0</v>
      </c>
      <c r="E65" s="122">
        <f t="shared" si="77"/>
        <v>0</v>
      </c>
      <c r="F65" s="122">
        <f t="shared" si="77"/>
        <v>0</v>
      </c>
      <c r="G65" s="122">
        <f t="shared" si="77"/>
        <v>0</v>
      </c>
      <c r="H65" s="122">
        <f t="shared" si="77"/>
        <v>0</v>
      </c>
      <c r="I65" s="122">
        <f t="shared" si="77"/>
        <v>0</v>
      </c>
      <c r="J65" s="122">
        <f t="shared" si="77"/>
        <v>0</v>
      </c>
      <c r="K65" s="122">
        <f t="shared" si="77"/>
        <v>0</v>
      </c>
      <c r="L65" s="122">
        <f t="shared" si="77"/>
        <v>0</v>
      </c>
      <c r="M65" s="122">
        <f t="shared" si="77"/>
        <v>0</v>
      </c>
      <c r="N65" s="122">
        <f t="shared" si="77"/>
        <v>0</v>
      </c>
      <c r="O65" s="122">
        <f t="shared" si="77"/>
        <v>0</v>
      </c>
      <c r="P65" s="122">
        <f t="shared" si="77"/>
        <v>0</v>
      </c>
      <c r="Q65" s="122">
        <f t="shared" si="77"/>
        <v>0</v>
      </c>
      <c r="R65" s="122">
        <f t="shared" si="77"/>
        <v>0</v>
      </c>
      <c r="S65" s="122">
        <f t="shared" si="77"/>
        <v>0</v>
      </c>
      <c r="T65" s="122">
        <f t="shared" si="77"/>
        <v>0</v>
      </c>
      <c r="U65" s="122">
        <f t="shared" si="77"/>
        <v>0</v>
      </c>
      <c r="V65" s="122">
        <f t="shared" si="77"/>
        <v>0</v>
      </c>
      <c r="W65" s="122">
        <f t="shared" si="77"/>
        <v>0</v>
      </c>
      <c r="X65" s="122">
        <f t="shared" si="77"/>
        <v>0</v>
      </c>
      <c r="Y65" s="122">
        <f t="shared" si="77"/>
        <v>0</v>
      </c>
      <c r="Z65" s="122">
        <f t="shared" si="77"/>
        <v>0</v>
      </c>
      <c r="AA65" s="122">
        <f t="shared" si="77"/>
        <v>0</v>
      </c>
      <c r="AB65" s="122">
        <f t="shared" si="77"/>
        <v>0</v>
      </c>
      <c r="AC65" s="122">
        <f t="shared" si="77"/>
        <v>0</v>
      </c>
      <c r="AD65" s="122">
        <f t="shared" si="77"/>
        <v>0</v>
      </c>
      <c r="AE65" s="122">
        <f t="shared" si="77"/>
        <v>0</v>
      </c>
      <c r="AF65" s="122">
        <f t="shared" si="77"/>
        <v>0</v>
      </c>
      <c r="AG65" s="122">
        <f t="shared" si="77"/>
        <v>0</v>
      </c>
      <c r="AH65" s="122">
        <f t="shared" si="77"/>
        <v>0</v>
      </c>
      <c r="AI65" s="122">
        <f t="shared" si="77"/>
        <v>0</v>
      </c>
      <c r="AJ65" s="122">
        <f t="shared" si="77"/>
        <v>0</v>
      </c>
      <c r="AK65" s="122">
        <f t="shared" si="77"/>
        <v>0</v>
      </c>
      <c r="AL65" s="122">
        <f t="shared" si="77"/>
        <v>0</v>
      </c>
      <c r="AM65" s="122">
        <f t="shared" si="77"/>
        <v>0</v>
      </c>
      <c r="AN65" s="122">
        <f t="shared" si="77"/>
        <v>0</v>
      </c>
      <c r="AO65" s="122">
        <f t="shared" si="77"/>
        <v>0</v>
      </c>
      <c r="AP65" s="122">
        <f t="shared" si="77"/>
        <v>0</v>
      </c>
      <c r="AQ65" s="122">
        <f t="shared" si="77"/>
        <v>0</v>
      </c>
      <c r="AR65" s="122">
        <f t="shared" si="77"/>
        <v>0</v>
      </c>
      <c r="AS65" s="122">
        <f t="shared" si="77"/>
        <v>0</v>
      </c>
      <c r="AT65" s="122">
        <f t="shared" si="77"/>
        <v>0</v>
      </c>
      <c r="AU65" s="122">
        <f t="shared" si="77"/>
        <v>0</v>
      </c>
      <c r="AV65" s="122">
        <f t="shared" si="77"/>
        <v>0</v>
      </c>
      <c r="AW65" s="122">
        <f t="shared" si="77"/>
        <v>0</v>
      </c>
      <c r="AX65" s="122">
        <f t="shared" si="77"/>
        <v>0</v>
      </c>
      <c r="AY65" s="122">
        <f t="shared" si="77"/>
        <v>0</v>
      </c>
      <c r="AZ65" s="122">
        <f t="shared" si="77"/>
        <v>0</v>
      </c>
      <c r="BA65" s="122">
        <f t="shared" si="77"/>
        <v>0</v>
      </c>
      <c r="BB65" s="122">
        <f t="shared" si="77"/>
        <v>0</v>
      </c>
      <c r="BC65" s="122">
        <f t="shared" si="77"/>
        <v>0</v>
      </c>
      <c r="BD65" s="122">
        <f t="shared" si="77"/>
        <v>0</v>
      </c>
      <c r="BE65" s="122">
        <f t="shared" si="77"/>
        <v>0</v>
      </c>
      <c r="BF65" s="122">
        <f t="shared" si="77"/>
        <v>0</v>
      </c>
      <c r="BG65" s="122">
        <f t="shared" si="77"/>
        <v>0</v>
      </c>
      <c r="BH65" s="122">
        <f t="shared" si="77"/>
        <v>0</v>
      </c>
      <c r="BI65" s="122">
        <f t="shared" si="77"/>
        <v>0</v>
      </c>
      <c r="BJ65" s="122">
        <f t="shared" si="77"/>
        <v>0</v>
      </c>
      <c r="BK65" s="122">
        <f t="shared" si="77"/>
        <v>0</v>
      </c>
      <c r="BL65" s="122">
        <f t="shared" si="77"/>
        <v>0</v>
      </c>
      <c r="BM65" s="122">
        <f t="shared" si="77"/>
        <v>0</v>
      </c>
      <c r="BN65" s="122">
        <f t="shared" si="77"/>
        <v>0</v>
      </c>
      <c r="BO65" s="122">
        <f t="shared" si="77"/>
        <v>0</v>
      </c>
      <c r="BP65" s="122">
        <f t="shared" ref="BP65:CB65" si="78">IF(BP64&gt;$F19+1,0,1)*(IF(BQ65=0,100,0)+IF($G19=1,1,0.5)*$J19*100)</f>
        <v>0</v>
      </c>
      <c r="BQ65" s="122">
        <f t="shared" si="78"/>
        <v>0</v>
      </c>
      <c r="BR65" s="122">
        <f t="shared" si="78"/>
        <v>0</v>
      </c>
      <c r="BS65" s="122">
        <f t="shared" si="78"/>
        <v>0</v>
      </c>
      <c r="BT65" s="122">
        <f t="shared" si="78"/>
        <v>0</v>
      </c>
      <c r="BU65" s="122">
        <f t="shared" si="78"/>
        <v>0</v>
      </c>
      <c r="BV65" s="122">
        <f t="shared" si="78"/>
        <v>0</v>
      </c>
      <c r="BW65" s="122">
        <f t="shared" si="78"/>
        <v>0</v>
      </c>
      <c r="BX65" s="122">
        <f t="shared" si="78"/>
        <v>0</v>
      </c>
      <c r="BY65" s="122">
        <f t="shared" si="78"/>
        <v>0</v>
      </c>
      <c r="BZ65" s="122">
        <f t="shared" si="78"/>
        <v>0</v>
      </c>
      <c r="CA65" s="122">
        <f t="shared" si="78"/>
        <v>0</v>
      </c>
      <c r="CB65" s="123">
        <f t="shared" si="78"/>
        <v>0</v>
      </c>
    </row>
    <row r="66" spans="1:115">
      <c r="A66" s="248" t="s">
        <v>49</v>
      </c>
      <c r="B66" s="89">
        <f>IF(E20=0,F20,E20)</f>
        <v>0</v>
      </c>
      <c r="C66" s="90">
        <f>B66+IF($G20=1,365,182.5)</f>
        <v>182.5</v>
      </c>
      <c r="D66" s="90">
        <f t="shared" ref="D66:BN66" si="79">C66+IF($G20=1,365,182.5)</f>
        <v>365</v>
      </c>
      <c r="E66" s="90">
        <f t="shared" si="79"/>
        <v>547.5</v>
      </c>
      <c r="F66" s="90">
        <f t="shared" si="79"/>
        <v>730</v>
      </c>
      <c r="G66" s="90">
        <f t="shared" si="79"/>
        <v>912.5</v>
      </c>
      <c r="H66" s="90">
        <f t="shared" si="79"/>
        <v>1095</v>
      </c>
      <c r="I66" s="90">
        <f t="shared" si="79"/>
        <v>1277.5</v>
      </c>
      <c r="J66" s="90">
        <f t="shared" si="79"/>
        <v>1460</v>
      </c>
      <c r="K66" s="90">
        <f t="shared" si="79"/>
        <v>1642.5</v>
      </c>
      <c r="L66" s="90">
        <f t="shared" si="79"/>
        <v>1825</v>
      </c>
      <c r="M66" s="90">
        <f t="shared" si="79"/>
        <v>2007.5</v>
      </c>
      <c r="N66" s="90">
        <f t="shared" si="79"/>
        <v>2190</v>
      </c>
      <c r="O66" s="90">
        <f t="shared" si="79"/>
        <v>2372.5</v>
      </c>
      <c r="P66" s="90">
        <f t="shared" si="79"/>
        <v>2555</v>
      </c>
      <c r="Q66" s="90">
        <f t="shared" si="79"/>
        <v>2737.5</v>
      </c>
      <c r="R66" s="90">
        <f t="shared" si="79"/>
        <v>2920</v>
      </c>
      <c r="S66" s="90">
        <f t="shared" si="79"/>
        <v>3102.5</v>
      </c>
      <c r="T66" s="90">
        <f t="shared" si="79"/>
        <v>3285</v>
      </c>
      <c r="U66" s="90">
        <f t="shared" si="79"/>
        <v>3467.5</v>
      </c>
      <c r="V66" s="90">
        <f t="shared" si="79"/>
        <v>3650</v>
      </c>
      <c r="W66" s="90">
        <f t="shared" si="79"/>
        <v>3832.5</v>
      </c>
      <c r="X66" s="90">
        <f t="shared" si="79"/>
        <v>4015</v>
      </c>
      <c r="Y66" s="90">
        <f t="shared" si="79"/>
        <v>4197.5</v>
      </c>
      <c r="Z66" s="90">
        <f t="shared" si="79"/>
        <v>4380</v>
      </c>
      <c r="AA66" s="90">
        <f t="shared" si="79"/>
        <v>4562.5</v>
      </c>
      <c r="AB66" s="90">
        <f t="shared" si="79"/>
        <v>4745</v>
      </c>
      <c r="AC66" s="90">
        <f t="shared" si="79"/>
        <v>4927.5</v>
      </c>
      <c r="AD66" s="90">
        <f t="shared" si="79"/>
        <v>5110</v>
      </c>
      <c r="AE66" s="90">
        <f t="shared" si="79"/>
        <v>5292.5</v>
      </c>
      <c r="AF66" s="90">
        <f t="shared" si="79"/>
        <v>5475</v>
      </c>
      <c r="AG66" s="90">
        <f t="shared" si="79"/>
        <v>5657.5</v>
      </c>
      <c r="AH66" s="90">
        <f t="shared" si="79"/>
        <v>5840</v>
      </c>
      <c r="AI66" s="90">
        <f t="shared" si="79"/>
        <v>6022.5</v>
      </c>
      <c r="AJ66" s="90">
        <f t="shared" si="79"/>
        <v>6205</v>
      </c>
      <c r="AK66" s="90">
        <f t="shared" si="79"/>
        <v>6387.5</v>
      </c>
      <c r="AL66" s="90">
        <f t="shared" si="79"/>
        <v>6570</v>
      </c>
      <c r="AM66" s="90">
        <f t="shared" si="79"/>
        <v>6752.5</v>
      </c>
      <c r="AN66" s="90">
        <f t="shared" si="79"/>
        <v>6935</v>
      </c>
      <c r="AO66" s="90">
        <f t="shared" si="79"/>
        <v>7117.5</v>
      </c>
      <c r="AP66" s="90">
        <f t="shared" si="79"/>
        <v>7300</v>
      </c>
      <c r="AQ66" s="90">
        <f t="shared" si="79"/>
        <v>7482.5</v>
      </c>
      <c r="AR66" s="90">
        <f t="shared" si="79"/>
        <v>7665</v>
      </c>
      <c r="AS66" s="90">
        <f t="shared" si="79"/>
        <v>7847.5</v>
      </c>
      <c r="AT66" s="90">
        <f t="shared" si="79"/>
        <v>8030</v>
      </c>
      <c r="AU66" s="90">
        <f t="shared" si="79"/>
        <v>8212.5</v>
      </c>
      <c r="AV66" s="90">
        <f t="shared" si="79"/>
        <v>8395</v>
      </c>
      <c r="AW66" s="90">
        <f t="shared" si="79"/>
        <v>8577.5</v>
      </c>
      <c r="AX66" s="90">
        <f t="shared" si="79"/>
        <v>8760</v>
      </c>
      <c r="AY66" s="90">
        <f t="shared" si="79"/>
        <v>8942.5</v>
      </c>
      <c r="AZ66" s="90">
        <f t="shared" si="79"/>
        <v>9125</v>
      </c>
      <c r="BA66" s="90">
        <f t="shared" si="79"/>
        <v>9307.5</v>
      </c>
      <c r="BB66" s="90">
        <f t="shared" si="79"/>
        <v>9490</v>
      </c>
      <c r="BC66" s="90">
        <f t="shared" si="79"/>
        <v>9672.5</v>
      </c>
      <c r="BD66" s="90">
        <f t="shared" si="79"/>
        <v>9855</v>
      </c>
      <c r="BE66" s="90">
        <f t="shared" si="79"/>
        <v>10037.5</v>
      </c>
      <c r="BF66" s="90">
        <f t="shared" si="79"/>
        <v>10220</v>
      </c>
      <c r="BG66" s="90">
        <f t="shared" si="79"/>
        <v>10402.5</v>
      </c>
      <c r="BH66" s="90">
        <f t="shared" si="79"/>
        <v>10585</v>
      </c>
      <c r="BI66" s="90">
        <f t="shared" si="79"/>
        <v>10767.5</v>
      </c>
      <c r="BJ66" s="90">
        <f t="shared" si="79"/>
        <v>10950</v>
      </c>
      <c r="BK66" s="90">
        <f t="shared" si="79"/>
        <v>11132.5</v>
      </c>
      <c r="BL66" s="90">
        <f t="shared" si="79"/>
        <v>11315</v>
      </c>
      <c r="BM66" s="90">
        <f t="shared" si="79"/>
        <v>11497.5</v>
      </c>
      <c r="BN66" s="90">
        <f t="shared" si="79"/>
        <v>11680</v>
      </c>
      <c r="BO66" s="90">
        <f t="shared" ref="BO66:CB66" si="80">BN66+IF($G20=1,365,182.5)</f>
        <v>11862.5</v>
      </c>
      <c r="BP66" s="90">
        <f t="shared" si="80"/>
        <v>12045</v>
      </c>
      <c r="BQ66" s="90">
        <f t="shared" si="80"/>
        <v>12227.5</v>
      </c>
      <c r="BR66" s="90">
        <f t="shared" si="80"/>
        <v>12410</v>
      </c>
      <c r="BS66" s="90">
        <f t="shared" si="80"/>
        <v>12592.5</v>
      </c>
      <c r="BT66" s="90">
        <f t="shared" si="80"/>
        <v>12775</v>
      </c>
      <c r="BU66" s="90">
        <f t="shared" si="80"/>
        <v>12957.5</v>
      </c>
      <c r="BV66" s="90">
        <f t="shared" si="80"/>
        <v>13140</v>
      </c>
      <c r="BW66" s="90">
        <f t="shared" si="80"/>
        <v>13322.5</v>
      </c>
      <c r="BX66" s="90">
        <f t="shared" si="80"/>
        <v>13505</v>
      </c>
      <c r="BY66" s="90">
        <f t="shared" si="80"/>
        <v>13687.5</v>
      </c>
      <c r="BZ66" s="90">
        <f t="shared" si="80"/>
        <v>13870</v>
      </c>
      <c r="CA66" s="90">
        <f t="shared" si="80"/>
        <v>14052.5</v>
      </c>
      <c r="CB66" s="91">
        <f t="shared" si="80"/>
        <v>14235</v>
      </c>
    </row>
    <row r="67" spans="1:115">
      <c r="A67" s="179" t="s">
        <v>36</v>
      </c>
      <c r="B67" s="113">
        <f>(IF(B66=F20,100,0)+IF(G20=1,1,0.5)*J20*100)*IF(ISBLANK(F20)=TRUE,0,1)</f>
        <v>0</v>
      </c>
      <c r="C67" s="92">
        <f>IF(C66&gt;$F20+1,0,1)*(IF(D67=0,100,0)+IF($G20=1,1,0.5)*$J20*100)</f>
        <v>0</v>
      </c>
      <c r="D67" s="92">
        <f t="shared" ref="D67:BO67" si="81">IF(D66&gt;$F20+1,0,1)*(IF(E67=0,100,0)+IF($G20=1,1,0.5)*$J20*100)</f>
        <v>0</v>
      </c>
      <c r="E67" s="92">
        <f t="shared" si="81"/>
        <v>0</v>
      </c>
      <c r="F67" s="92">
        <f t="shared" si="81"/>
        <v>0</v>
      </c>
      <c r="G67" s="92">
        <f t="shared" si="81"/>
        <v>0</v>
      </c>
      <c r="H67" s="92">
        <f t="shared" si="81"/>
        <v>0</v>
      </c>
      <c r="I67" s="92">
        <f t="shared" si="81"/>
        <v>0</v>
      </c>
      <c r="J67" s="92">
        <f t="shared" si="81"/>
        <v>0</v>
      </c>
      <c r="K67" s="92">
        <f t="shared" si="81"/>
        <v>0</v>
      </c>
      <c r="L67" s="92">
        <f t="shared" si="81"/>
        <v>0</v>
      </c>
      <c r="M67" s="92">
        <f t="shared" si="81"/>
        <v>0</v>
      </c>
      <c r="N67" s="92">
        <f t="shared" si="81"/>
        <v>0</v>
      </c>
      <c r="O67" s="92">
        <f t="shared" si="81"/>
        <v>0</v>
      </c>
      <c r="P67" s="92">
        <f t="shared" si="81"/>
        <v>0</v>
      </c>
      <c r="Q67" s="92">
        <f t="shared" si="81"/>
        <v>0</v>
      </c>
      <c r="R67" s="92">
        <f t="shared" si="81"/>
        <v>0</v>
      </c>
      <c r="S67" s="92">
        <f t="shared" si="81"/>
        <v>0</v>
      </c>
      <c r="T67" s="92">
        <f t="shared" si="81"/>
        <v>0</v>
      </c>
      <c r="U67" s="92">
        <f t="shared" si="81"/>
        <v>0</v>
      </c>
      <c r="V67" s="92">
        <f t="shared" si="81"/>
        <v>0</v>
      </c>
      <c r="W67" s="92">
        <f t="shared" si="81"/>
        <v>0</v>
      </c>
      <c r="X67" s="92">
        <f t="shared" si="81"/>
        <v>0</v>
      </c>
      <c r="Y67" s="92">
        <f t="shared" si="81"/>
        <v>0</v>
      </c>
      <c r="Z67" s="92">
        <f t="shared" si="81"/>
        <v>0</v>
      </c>
      <c r="AA67" s="92">
        <f t="shared" si="81"/>
        <v>0</v>
      </c>
      <c r="AB67" s="92">
        <f t="shared" si="81"/>
        <v>0</v>
      </c>
      <c r="AC67" s="92">
        <f t="shared" si="81"/>
        <v>0</v>
      </c>
      <c r="AD67" s="92">
        <f t="shared" si="81"/>
        <v>0</v>
      </c>
      <c r="AE67" s="92">
        <f t="shared" si="81"/>
        <v>0</v>
      </c>
      <c r="AF67" s="92">
        <f t="shared" si="81"/>
        <v>0</v>
      </c>
      <c r="AG67" s="92">
        <f t="shared" si="81"/>
        <v>0</v>
      </c>
      <c r="AH67" s="92">
        <f t="shared" si="81"/>
        <v>0</v>
      </c>
      <c r="AI67" s="92">
        <f t="shared" si="81"/>
        <v>0</v>
      </c>
      <c r="AJ67" s="92">
        <f t="shared" si="81"/>
        <v>0</v>
      </c>
      <c r="AK67" s="92">
        <f t="shared" si="81"/>
        <v>0</v>
      </c>
      <c r="AL67" s="92">
        <f t="shared" si="81"/>
        <v>0</v>
      </c>
      <c r="AM67" s="92">
        <f t="shared" si="81"/>
        <v>0</v>
      </c>
      <c r="AN67" s="92">
        <f t="shared" si="81"/>
        <v>0</v>
      </c>
      <c r="AO67" s="92">
        <f t="shared" si="81"/>
        <v>0</v>
      </c>
      <c r="AP67" s="92">
        <f t="shared" si="81"/>
        <v>0</v>
      </c>
      <c r="AQ67" s="92">
        <f t="shared" si="81"/>
        <v>0</v>
      </c>
      <c r="AR67" s="92">
        <f t="shared" si="81"/>
        <v>0</v>
      </c>
      <c r="AS67" s="92">
        <f t="shared" si="81"/>
        <v>0</v>
      </c>
      <c r="AT67" s="92">
        <f t="shared" si="81"/>
        <v>0</v>
      </c>
      <c r="AU67" s="92">
        <f t="shared" si="81"/>
        <v>0</v>
      </c>
      <c r="AV67" s="92">
        <f t="shared" si="81"/>
        <v>0</v>
      </c>
      <c r="AW67" s="92">
        <f t="shared" si="81"/>
        <v>0</v>
      </c>
      <c r="AX67" s="92">
        <f t="shared" si="81"/>
        <v>0</v>
      </c>
      <c r="AY67" s="92">
        <f t="shared" si="81"/>
        <v>0</v>
      </c>
      <c r="AZ67" s="92">
        <f t="shared" si="81"/>
        <v>0</v>
      </c>
      <c r="BA67" s="92">
        <f t="shared" si="81"/>
        <v>0</v>
      </c>
      <c r="BB67" s="92">
        <f t="shared" si="81"/>
        <v>0</v>
      </c>
      <c r="BC67" s="92">
        <f t="shared" si="81"/>
        <v>0</v>
      </c>
      <c r="BD67" s="92">
        <f t="shared" si="81"/>
        <v>0</v>
      </c>
      <c r="BE67" s="92">
        <f t="shared" si="81"/>
        <v>0</v>
      </c>
      <c r="BF67" s="92">
        <f t="shared" si="81"/>
        <v>0</v>
      </c>
      <c r="BG67" s="92">
        <f t="shared" si="81"/>
        <v>0</v>
      </c>
      <c r="BH67" s="92">
        <f t="shared" si="81"/>
        <v>0</v>
      </c>
      <c r="BI67" s="92">
        <f t="shared" si="81"/>
        <v>0</v>
      </c>
      <c r="BJ67" s="92">
        <f t="shared" si="81"/>
        <v>0</v>
      </c>
      <c r="BK67" s="92">
        <f t="shared" si="81"/>
        <v>0</v>
      </c>
      <c r="BL67" s="92">
        <f t="shared" si="81"/>
        <v>0</v>
      </c>
      <c r="BM67" s="92">
        <f t="shared" si="81"/>
        <v>0</v>
      </c>
      <c r="BN67" s="92">
        <f t="shared" si="81"/>
        <v>0</v>
      </c>
      <c r="BO67" s="92">
        <f t="shared" si="81"/>
        <v>0</v>
      </c>
      <c r="BP67" s="92">
        <f t="shared" ref="BP67:CB67" si="82">IF(BP66&gt;$F20+1,0,1)*(IF(BQ67=0,100,0)+IF($G20=1,1,0.5)*$J20*100)</f>
        <v>0</v>
      </c>
      <c r="BQ67" s="92">
        <f t="shared" si="82"/>
        <v>0</v>
      </c>
      <c r="BR67" s="92">
        <f t="shared" si="82"/>
        <v>0</v>
      </c>
      <c r="BS67" s="92">
        <f t="shared" si="82"/>
        <v>0</v>
      </c>
      <c r="BT67" s="92">
        <f t="shared" si="82"/>
        <v>0</v>
      </c>
      <c r="BU67" s="92">
        <f t="shared" si="82"/>
        <v>0</v>
      </c>
      <c r="BV67" s="92">
        <f t="shared" si="82"/>
        <v>0</v>
      </c>
      <c r="BW67" s="92">
        <f t="shared" si="82"/>
        <v>0</v>
      </c>
      <c r="BX67" s="92">
        <f t="shared" si="82"/>
        <v>0</v>
      </c>
      <c r="BY67" s="92">
        <f t="shared" si="82"/>
        <v>0</v>
      </c>
      <c r="BZ67" s="92">
        <f t="shared" si="82"/>
        <v>0</v>
      </c>
      <c r="CA67" s="92">
        <f t="shared" si="82"/>
        <v>0</v>
      </c>
      <c r="CB67" s="93">
        <f t="shared" si="82"/>
        <v>0</v>
      </c>
    </row>
    <row r="68" spans="1:115">
      <c r="A68" s="247" t="s">
        <v>49</v>
      </c>
      <c r="B68" s="124">
        <f>IF(E21=0,F21,E21)</f>
        <v>0</v>
      </c>
      <c r="C68" s="125">
        <f>B68+IF($G21=1,365,182.5)</f>
        <v>182.5</v>
      </c>
      <c r="D68" s="125">
        <f t="shared" ref="D68:BN68" si="83">C68+IF($G21=1,365,182.5)</f>
        <v>365</v>
      </c>
      <c r="E68" s="125">
        <f t="shared" si="83"/>
        <v>547.5</v>
      </c>
      <c r="F68" s="125">
        <f t="shared" si="83"/>
        <v>730</v>
      </c>
      <c r="G68" s="125">
        <f t="shared" si="83"/>
        <v>912.5</v>
      </c>
      <c r="H68" s="125">
        <f t="shared" si="83"/>
        <v>1095</v>
      </c>
      <c r="I68" s="125">
        <f t="shared" si="83"/>
        <v>1277.5</v>
      </c>
      <c r="J68" s="125">
        <f t="shared" si="83"/>
        <v>1460</v>
      </c>
      <c r="K68" s="125">
        <f t="shared" si="83"/>
        <v>1642.5</v>
      </c>
      <c r="L68" s="125">
        <f t="shared" si="83"/>
        <v>1825</v>
      </c>
      <c r="M68" s="125">
        <f t="shared" si="83"/>
        <v>2007.5</v>
      </c>
      <c r="N68" s="125">
        <f t="shared" si="83"/>
        <v>2190</v>
      </c>
      <c r="O68" s="125">
        <f t="shared" si="83"/>
        <v>2372.5</v>
      </c>
      <c r="P68" s="125">
        <f t="shared" si="83"/>
        <v>2555</v>
      </c>
      <c r="Q68" s="125">
        <f t="shared" si="83"/>
        <v>2737.5</v>
      </c>
      <c r="R68" s="125">
        <f t="shared" si="83"/>
        <v>2920</v>
      </c>
      <c r="S68" s="125">
        <f t="shared" si="83"/>
        <v>3102.5</v>
      </c>
      <c r="T68" s="125">
        <f t="shared" si="83"/>
        <v>3285</v>
      </c>
      <c r="U68" s="125">
        <f t="shared" si="83"/>
        <v>3467.5</v>
      </c>
      <c r="V68" s="125">
        <f t="shared" si="83"/>
        <v>3650</v>
      </c>
      <c r="W68" s="125">
        <f t="shared" si="83"/>
        <v>3832.5</v>
      </c>
      <c r="X68" s="125">
        <f t="shared" si="83"/>
        <v>4015</v>
      </c>
      <c r="Y68" s="125">
        <f t="shared" si="83"/>
        <v>4197.5</v>
      </c>
      <c r="Z68" s="125">
        <f t="shared" si="83"/>
        <v>4380</v>
      </c>
      <c r="AA68" s="125">
        <f t="shared" si="83"/>
        <v>4562.5</v>
      </c>
      <c r="AB68" s="125">
        <f t="shared" si="83"/>
        <v>4745</v>
      </c>
      <c r="AC68" s="125">
        <f t="shared" si="83"/>
        <v>4927.5</v>
      </c>
      <c r="AD68" s="125">
        <f t="shared" si="83"/>
        <v>5110</v>
      </c>
      <c r="AE68" s="125">
        <f t="shared" si="83"/>
        <v>5292.5</v>
      </c>
      <c r="AF68" s="125">
        <f t="shared" si="83"/>
        <v>5475</v>
      </c>
      <c r="AG68" s="125">
        <f t="shared" si="83"/>
        <v>5657.5</v>
      </c>
      <c r="AH68" s="125">
        <f t="shared" si="83"/>
        <v>5840</v>
      </c>
      <c r="AI68" s="125">
        <f t="shared" si="83"/>
        <v>6022.5</v>
      </c>
      <c r="AJ68" s="125">
        <f t="shared" si="83"/>
        <v>6205</v>
      </c>
      <c r="AK68" s="125">
        <f t="shared" si="83"/>
        <v>6387.5</v>
      </c>
      <c r="AL68" s="125">
        <f t="shared" si="83"/>
        <v>6570</v>
      </c>
      <c r="AM68" s="125">
        <f t="shared" si="83"/>
        <v>6752.5</v>
      </c>
      <c r="AN68" s="125">
        <f t="shared" si="83"/>
        <v>6935</v>
      </c>
      <c r="AO68" s="125">
        <f t="shared" si="83"/>
        <v>7117.5</v>
      </c>
      <c r="AP68" s="125">
        <f t="shared" si="83"/>
        <v>7300</v>
      </c>
      <c r="AQ68" s="125">
        <f t="shared" si="83"/>
        <v>7482.5</v>
      </c>
      <c r="AR68" s="125">
        <f t="shared" si="83"/>
        <v>7665</v>
      </c>
      <c r="AS68" s="125">
        <f t="shared" si="83"/>
        <v>7847.5</v>
      </c>
      <c r="AT68" s="125">
        <f t="shared" si="83"/>
        <v>8030</v>
      </c>
      <c r="AU68" s="125">
        <f t="shared" si="83"/>
        <v>8212.5</v>
      </c>
      <c r="AV68" s="125">
        <f t="shared" si="83"/>
        <v>8395</v>
      </c>
      <c r="AW68" s="125">
        <f t="shared" si="83"/>
        <v>8577.5</v>
      </c>
      <c r="AX68" s="125">
        <f t="shared" si="83"/>
        <v>8760</v>
      </c>
      <c r="AY68" s="125">
        <f t="shared" si="83"/>
        <v>8942.5</v>
      </c>
      <c r="AZ68" s="125">
        <f t="shared" si="83"/>
        <v>9125</v>
      </c>
      <c r="BA68" s="125">
        <f t="shared" si="83"/>
        <v>9307.5</v>
      </c>
      <c r="BB68" s="125">
        <f t="shared" si="83"/>
        <v>9490</v>
      </c>
      <c r="BC68" s="125">
        <f t="shared" si="83"/>
        <v>9672.5</v>
      </c>
      <c r="BD68" s="125">
        <f t="shared" si="83"/>
        <v>9855</v>
      </c>
      <c r="BE68" s="125">
        <f t="shared" si="83"/>
        <v>10037.5</v>
      </c>
      <c r="BF68" s="125">
        <f t="shared" si="83"/>
        <v>10220</v>
      </c>
      <c r="BG68" s="125">
        <f t="shared" si="83"/>
        <v>10402.5</v>
      </c>
      <c r="BH68" s="125">
        <f t="shared" si="83"/>
        <v>10585</v>
      </c>
      <c r="BI68" s="125">
        <f t="shared" si="83"/>
        <v>10767.5</v>
      </c>
      <c r="BJ68" s="125">
        <f t="shared" si="83"/>
        <v>10950</v>
      </c>
      <c r="BK68" s="125">
        <f t="shared" si="83"/>
        <v>11132.5</v>
      </c>
      <c r="BL68" s="125">
        <f t="shared" si="83"/>
        <v>11315</v>
      </c>
      <c r="BM68" s="125">
        <f t="shared" si="83"/>
        <v>11497.5</v>
      </c>
      <c r="BN68" s="125">
        <f t="shared" si="83"/>
        <v>11680</v>
      </c>
      <c r="BO68" s="125">
        <f t="shared" ref="BO68:CB68" si="84">BN68+IF($G21=1,365,182.5)</f>
        <v>11862.5</v>
      </c>
      <c r="BP68" s="125">
        <f t="shared" si="84"/>
        <v>12045</v>
      </c>
      <c r="BQ68" s="125">
        <f t="shared" si="84"/>
        <v>12227.5</v>
      </c>
      <c r="BR68" s="125">
        <f t="shared" si="84"/>
        <v>12410</v>
      </c>
      <c r="BS68" s="125">
        <f t="shared" si="84"/>
        <v>12592.5</v>
      </c>
      <c r="BT68" s="125">
        <f t="shared" si="84"/>
        <v>12775</v>
      </c>
      <c r="BU68" s="125">
        <f t="shared" si="84"/>
        <v>12957.5</v>
      </c>
      <c r="BV68" s="125">
        <f t="shared" si="84"/>
        <v>13140</v>
      </c>
      <c r="BW68" s="125">
        <f t="shared" si="84"/>
        <v>13322.5</v>
      </c>
      <c r="BX68" s="125">
        <f t="shared" si="84"/>
        <v>13505</v>
      </c>
      <c r="BY68" s="125">
        <f t="shared" si="84"/>
        <v>13687.5</v>
      </c>
      <c r="BZ68" s="125">
        <f t="shared" si="84"/>
        <v>13870</v>
      </c>
      <c r="CA68" s="125">
        <f t="shared" si="84"/>
        <v>14052.5</v>
      </c>
      <c r="CB68" s="126">
        <f t="shared" si="84"/>
        <v>14235</v>
      </c>
    </row>
    <row r="69" spans="1:115">
      <c r="A69" s="180" t="s">
        <v>37</v>
      </c>
      <c r="B69" s="127">
        <f>(IF(B68=F21,100,0)+IF(G21=1,1,0.5)*J21*100)*IF(ISBLANK(F21)=TRUE,0,1)</f>
        <v>0</v>
      </c>
      <c r="C69" s="128">
        <f>IF(C68&gt;$F21+1,0,1)*(IF(D69=0,100,0)+IF($G21=1,1,0.5)*$J21*100)</f>
        <v>0</v>
      </c>
      <c r="D69" s="128">
        <f t="shared" ref="D69:BO69" si="85">IF(D68&gt;$F21+1,0,1)*(IF(E69=0,100,0)+IF($G21=1,1,0.5)*$J21*100)</f>
        <v>0</v>
      </c>
      <c r="E69" s="128">
        <f t="shared" si="85"/>
        <v>0</v>
      </c>
      <c r="F69" s="128">
        <f t="shared" si="85"/>
        <v>0</v>
      </c>
      <c r="G69" s="128">
        <f t="shared" si="85"/>
        <v>0</v>
      </c>
      <c r="H69" s="128">
        <f t="shared" si="85"/>
        <v>0</v>
      </c>
      <c r="I69" s="128">
        <f t="shared" si="85"/>
        <v>0</v>
      </c>
      <c r="J69" s="128">
        <f t="shared" si="85"/>
        <v>0</v>
      </c>
      <c r="K69" s="128">
        <f t="shared" si="85"/>
        <v>0</v>
      </c>
      <c r="L69" s="128">
        <f t="shared" si="85"/>
        <v>0</v>
      </c>
      <c r="M69" s="128">
        <f t="shared" si="85"/>
        <v>0</v>
      </c>
      <c r="N69" s="128">
        <f t="shared" si="85"/>
        <v>0</v>
      </c>
      <c r="O69" s="128">
        <f t="shared" si="85"/>
        <v>0</v>
      </c>
      <c r="P69" s="128">
        <f t="shared" si="85"/>
        <v>0</v>
      </c>
      <c r="Q69" s="128">
        <f t="shared" si="85"/>
        <v>0</v>
      </c>
      <c r="R69" s="128">
        <f t="shared" si="85"/>
        <v>0</v>
      </c>
      <c r="S69" s="128">
        <f t="shared" si="85"/>
        <v>0</v>
      </c>
      <c r="T69" s="128">
        <f t="shared" si="85"/>
        <v>0</v>
      </c>
      <c r="U69" s="128">
        <f t="shared" si="85"/>
        <v>0</v>
      </c>
      <c r="V69" s="128">
        <f t="shared" si="85"/>
        <v>0</v>
      </c>
      <c r="W69" s="128">
        <f t="shared" si="85"/>
        <v>0</v>
      </c>
      <c r="X69" s="128">
        <f t="shared" si="85"/>
        <v>0</v>
      </c>
      <c r="Y69" s="128">
        <f t="shared" si="85"/>
        <v>0</v>
      </c>
      <c r="Z69" s="128">
        <f t="shared" si="85"/>
        <v>0</v>
      </c>
      <c r="AA69" s="128">
        <f t="shared" si="85"/>
        <v>0</v>
      </c>
      <c r="AB69" s="128">
        <f t="shared" si="85"/>
        <v>0</v>
      </c>
      <c r="AC69" s="128">
        <f t="shared" si="85"/>
        <v>0</v>
      </c>
      <c r="AD69" s="128">
        <f t="shared" si="85"/>
        <v>0</v>
      </c>
      <c r="AE69" s="128">
        <f t="shared" si="85"/>
        <v>0</v>
      </c>
      <c r="AF69" s="128">
        <f t="shared" si="85"/>
        <v>0</v>
      </c>
      <c r="AG69" s="128">
        <f t="shared" si="85"/>
        <v>0</v>
      </c>
      <c r="AH69" s="128">
        <f t="shared" si="85"/>
        <v>0</v>
      </c>
      <c r="AI69" s="128">
        <f t="shared" si="85"/>
        <v>0</v>
      </c>
      <c r="AJ69" s="128">
        <f t="shared" si="85"/>
        <v>0</v>
      </c>
      <c r="AK69" s="128">
        <f t="shared" si="85"/>
        <v>0</v>
      </c>
      <c r="AL69" s="128">
        <f t="shared" si="85"/>
        <v>0</v>
      </c>
      <c r="AM69" s="128">
        <f t="shared" si="85"/>
        <v>0</v>
      </c>
      <c r="AN69" s="128">
        <f t="shared" si="85"/>
        <v>0</v>
      </c>
      <c r="AO69" s="128">
        <f t="shared" si="85"/>
        <v>0</v>
      </c>
      <c r="AP69" s="128">
        <f t="shared" si="85"/>
        <v>0</v>
      </c>
      <c r="AQ69" s="128">
        <f t="shared" si="85"/>
        <v>0</v>
      </c>
      <c r="AR69" s="128">
        <f t="shared" si="85"/>
        <v>0</v>
      </c>
      <c r="AS69" s="128">
        <f t="shared" si="85"/>
        <v>0</v>
      </c>
      <c r="AT69" s="128">
        <f t="shared" si="85"/>
        <v>0</v>
      </c>
      <c r="AU69" s="128">
        <f t="shared" si="85"/>
        <v>0</v>
      </c>
      <c r="AV69" s="128">
        <f t="shared" si="85"/>
        <v>0</v>
      </c>
      <c r="AW69" s="128">
        <f t="shared" si="85"/>
        <v>0</v>
      </c>
      <c r="AX69" s="128">
        <f t="shared" si="85"/>
        <v>0</v>
      </c>
      <c r="AY69" s="128">
        <f t="shared" si="85"/>
        <v>0</v>
      </c>
      <c r="AZ69" s="128">
        <f t="shared" si="85"/>
        <v>0</v>
      </c>
      <c r="BA69" s="128">
        <f t="shared" si="85"/>
        <v>0</v>
      </c>
      <c r="BB69" s="128">
        <f t="shared" si="85"/>
        <v>0</v>
      </c>
      <c r="BC69" s="128">
        <f t="shared" si="85"/>
        <v>0</v>
      </c>
      <c r="BD69" s="128">
        <f t="shared" si="85"/>
        <v>0</v>
      </c>
      <c r="BE69" s="128">
        <f t="shared" si="85"/>
        <v>0</v>
      </c>
      <c r="BF69" s="128">
        <f t="shared" si="85"/>
        <v>0</v>
      </c>
      <c r="BG69" s="128">
        <f t="shared" si="85"/>
        <v>0</v>
      </c>
      <c r="BH69" s="128">
        <f t="shared" si="85"/>
        <v>0</v>
      </c>
      <c r="BI69" s="128">
        <f t="shared" si="85"/>
        <v>0</v>
      </c>
      <c r="BJ69" s="128">
        <f t="shared" si="85"/>
        <v>0</v>
      </c>
      <c r="BK69" s="128">
        <f t="shared" si="85"/>
        <v>0</v>
      </c>
      <c r="BL69" s="128">
        <f t="shared" si="85"/>
        <v>0</v>
      </c>
      <c r="BM69" s="128">
        <f t="shared" si="85"/>
        <v>0</v>
      </c>
      <c r="BN69" s="128">
        <f t="shared" si="85"/>
        <v>0</v>
      </c>
      <c r="BO69" s="128">
        <f t="shared" si="85"/>
        <v>0</v>
      </c>
      <c r="BP69" s="128">
        <f t="shared" ref="BP69:CB69" si="86">IF(BP68&gt;$F21+1,0,1)*(IF(BQ69=0,100,0)+IF($G21=1,1,0.5)*$J21*100)</f>
        <v>0</v>
      </c>
      <c r="BQ69" s="128">
        <f t="shared" si="86"/>
        <v>0</v>
      </c>
      <c r="BR69" s="128">
        <f t="shared" si="86"/>
        <v>0</v>
      </c>
      <c r="BS69" s="128">
        <f t="shared" si="86"/>
        <v>0</v>
      </c>
      <c r="BT69" s="128">
        <f t="shared" si="86"/>
        <v>0</v>
      </c>
      <c r="BU69" s="128">
        <f t="shared" si="86"/>
        <v>0</v>
      </c>
      <c r="BV69" s="128">
        <f t="shared" si="86"/>
        <v>0</v>
      </c>
      <c r="BW69" s="128">
        <f t="shared" si="86"/>
        <v>0</v>
      </c>
      <c r="BX69" s="128">
        <f t="shared" si="86"/>
        <v>0</v>
      </c>
      <c r="BY69" s="128">
        <f t="shared" si="86"/>
        <v>0</v>
      </c>
      <c r="BZ69" s="128">
        <f t="shared" si="86"/>
        <v>0</v>
      </c>
      <c r="CA69" s="128">
        <f t="shared" si="86"/>
        <v>0</v>
      </c>
      <c r="CB69" s="129">
        <f t="shared" si="86"/>
        <v>0</v>
      </c>
    </row>
    <row r="70" spans="1:115">
      <c r="A70" s="246" t="s">
        <v>49</v>
      </c>
      <c r="B70" s="94">
        <f>IF(E22=0,F22,E22)</f>
        <v>0</v>
      </c>
      <c r="C70" s="95">
        <f>B70+IF($G22=1,365,182.5)</f>
        <v>182.5</v>
      </c>
      <c r="D70" s="95">
        <f t="shared" ref="D70:BN70" si="87">C70+IF($G22=1,365,182.5)</f>
        <v>365</v>
      </c>
      <c r="E70" s="95">
        <f t="shared" si="87"/>
        <v>547.5</v>
      </c>
      <c r="F70" s="95">
        <f t="shared" si="87"/>
        <v>730</v>
      </c>
      <c r="G70" s="95">
        <f t="shared" si="87"/>
        <v>912.5</v>
      </c>
      <c r="H70" s="95">
        <f t="shared" si="87"/>
        <v>1095</v>
      </c>
      <c r="I70" s="95">
        <f t="shared" si="87"/>
        <v>1277.5</v>
      </c>
      <c r="J70" s="95">
        <f t="shared" si="87"/>
        <v>1460</v>
      </c>
      <c r="K70" s="95">
        <f t="shared" si="87"/>
        <v>1642.5</v>
      </c>
      <c r="L70" s="95">
        <f t="shared" si="87"/>
        <v>1825</v>
      </c>
      <c r="M70" s="95">
        <f t="shared" si="87"/>
        <v>2007.5</v>
      </c>
      <c r="N70" s="95">
        <f t="shared" si="87"/>
        <v>2190</v>
      </c>
      <c r="O70" s="95">
        <f t="shared" si="87"/>
        <v>2372.5</v>
      </c>
      <c r="P70" s="95">
        <f t="shared" si="87"/>
        <v>2555</v>
      </c>
      <c r="Q70" s="95">
        <f t="shared" si="87"/>
        <v>2737.5</v>
      </c>
      <c r="R70" s="95">
        <f t="shared" si="87"/>
        <v>2920</v>
      </c>
      <c r="S70" s="95">
        <f t="shared" si="87"/>
        <v>3102.5</v>
      </c>
      <c r="T70" s="95">
        <f t="shared" si="87"/>
        <v>3285</v>
      </c>
      <c r="U70" s="95">
        <f t="shared" si="87"/>
        <v>3467.5</v>
      </c>
      <c r="V70" s="95">
        <f t="shared" si="87"/>
        <v>3650</v>
      </c>
      <c r="W70" s="95">
        <f t="shared" si="87"/>
        <v>3832.5</v>
      </c>
      <c r="X70" s="95">
        <f t="shared" si="87"/>
        <v>4015</v>
      </c>
      <c r="Y70" s="95">
        <f t="shared" si="87"/>
        <v>4197.5</v>
      </c>
      <c r="Z70" s="95">
        <f t="shared" si="87"/>
        <v>4380</v>
      </c>
      <c r="AA70" s="95">
        <f t="shared" si="87"/>
        <v>4562.5</v>
      </c>
      <c r="AB70" s="95">
        <f t="shared" si="87"/>
        <v>4745</v>
      </c>
      <c r="AC70" s="95">
        <f t="shared" si="87"/>
        <v>4927.5</v>
      </c>
      <c r="AD70" s="95">
        <f t="shared" si="87"/>
        <v>5110</v>
      </c>
      <c r="AE70" s="95">
        <f t="shared" si="87"/>
        <v>5292.5</v>
      </c>
      <c r="AF70" s="95">
        <f t="shared" si="87"/>
        <v>5475</v>
      </c>
      <c r="AG70" s="95">
        <f t="shared" si="87"/>
        <v>5657.5</v>
      </c>
      <c r="AH70" s="95">
        <f t="shared" si="87"/>
        <v>5840</v>
      </c>
      <c r="AI70" s="95">
        <f t="shared" si="87"/>
        <v>6022.5</v>
      </c>
      <c r="AJ70" s="95">
        <f t="shared" si="87"/>
        <v>6205</v>
      </c>
      <c r="AK70" s="95">
        <f t="shared" si="87"/>
        <v>6387.5</v>
      </c>
      <c r="AL70" s="95">
        <f t="shared" si="87"/>
        <v>6570</v>
      </c>
      <c r="AM70" s="95">
        <f t="shared" si="87"/>
        <v>6752.5</v>
      </c>
      <c r="AN70" s="95">
        <f t="shared" si="87"/>
        <v>6935</v>
      </c>
      <c r="AO70" s="95">
        <f t="shared" si="87"/>
        <v>7117.5</v>
      </c>
      <c r="AP70" s="95">
        <f t="shared" si="87"/>
        <v>7300</v>
      </c>
      <c r="AQ70" s="95">
        <f t="shared" si="87"/>
        <v>7482.5</v>
      </c>
      <c r="AR70" s="95">
        <f t="shared" si="87"/>
        <v>7665</v>
      </c>
      <c r="AS70" s="95">
        <f t="shared" si="87"/>
        <v>7847.5</v>
      </c>
      <c r="AT70" s="95">
        <f t="shared" si="87"/>
        <v>8030</v>
      </c>
      <c r="AU70" s="95">
        <f t="shared" si="87"/>
        <v>8212.5</v>
      </c>
      <c r="AV70" s="95">
        <f t="shared" si="87"/>
        <v>8395</v>
      </c>
      <c r="AW70" s="95">
        <f t="shared" si="87"/>
        <v>8577.5</v>
      </c>
      <c r="AX70" s="95">
        <f t="shared" si="87"/>
        <v>8760</v>
      </c>
      <c r="AY70" s="95">
        <f t="shared" si="87"/>
        <v>8942.5</v>
      </c>
      <c r="AZ70" s="95">
        <f t="shared" si="87"/>
        <v>9125</v>
      </c>
      <c r="BA70" s="95">
        <f t="shared" si="87"/>
        <v>9307.5</v>
      </c>
      <c r="BB70" s="95">
        <f t="shared" si="87"/>
        <v>9490</v>
      </c>
      <c r="BC70" s="95">
        <f t="shared" si="87"/>
        <v>9672.5</v>
      </c>
      <c r="BD70" s="95">
        <f t="shared" si="87"/>
        <v>9855</v>
      </c>
      <c r="BE70" s="95">
        <f t="shared" si="87"/>
        <v>10037.5</v>
      </c>
      <c r="BF70" s="95">
        <f t="shared" si="87"/>
        <v>10220</v>
      </c>
      <c r="BG70" s="95">
        <f t="shared" si="87"/>
        <v>10402.5</v>
      </c>
      <c r="BH70" s="95">
        <f t="shared" si="87"/>
        <v>10585</v>
      </c>
      <c r="BI70" s="95">
        <f t="shared" si="87"/>
        <v>10767.5</v>
      </c>
      <c r="BJ70" s="95">
        <f t="shared" si="87"/>
        <v>10950</v>
      </c>
      <c r="BK70" s="95">
        <f t="shared" si="87"/>
        <v>11132.5</v>
      </c>
      <c r="BL70" s="95">
        <f t="shared" si="87"/>
        <v>11315</v>
      </c>
      <c r="BM70" s="95">
        <f t="shared" si="87"/>
        <v>11497.5</v>
      </c>
      <c r="BN70" s="95">
        <f t="shared" si="87"/>
        <v>11680</v>
      </c>
      <c r="BO70" s="95">
        <f t="shared" ref="BO70:CB70" si="88">BN70+IF($G22=1,365,182.5)</f>
        <v>11862.5</v>
      </c>
      <c r="BP70" s="95">
        <f t="shared" si="88"/>
        <v>12045</v>
      </c>
      <c r="BQ70" s="95">
        <f t="shared" si="88"/>
        <v>12227.5</v>
      </c>
      <c r="BR70" s="95">
        <f t="shared" si="88"/>
        <v>12410</v>
      </c>
      <c r="BS70" s="95">
        <f t="shared" si="88"/>
        <v>12592.5</v>
      </c>
      <c r="BT70" s="95">
        <f t="shared" si="88"/>
        <v>12775</v>
      </c>
      <c r="BU70" s="95">
        <f t="shared" si="88"/>
        <v>12957.5</v>
      </c>
      <c r="BV70" s="95">
        <f t="shared" si="88"/>
        <v>13140</v>
      </c>
      <c r="BW70" s="95">
        <f t="shared" si="88"/>
        <v>13322.5</v>
      </c>
      <c r="BX70" s="95">
        <f t="shared" si="88"/>
        <v>13505</v>
      </c>
      <c r="BY70" s="95">
        <f t="shared" si="88"/>
        <v>13687.5</v>
      </c>
      <c r="BZ70" s="95">
        <f t="shared" si="88"/>
        <v>13870</v>
      </c>
      <c r="CA70" s="95">
        <f t="shared" si="88"/>
        <v>14052.5</v>
      </c>
      <c r="CB70" s="96">
        <f t="shared" si="88"/>
        <v>14235</v>
      </c>
    </row>
    <row r="71" spans="1:115">
      <c r="A71" s="181" t="s">
        <v>38</v>
      </c>
      <c r="B71" s="116">
        <f>(IF(B70=F22,100,0)+IF(G22=1,1,0.5)*J22*100)*IF(ISBLANK(F22)=TRUE,0,1)</f>
        <v>0</v>
      </c>
      <c r="C71" s="97">
        <f>IF(C70&gt;$F22+1,0,1)*(  IF(D71=0,100,0)+IF($G22=1,1,0.5)*$J22*100)</f>
        <v>0</v>
      </c>
      <c r="D71" s="97">
        <f t="shared" ref="D71:BO71" si="89">IF(D70&gt;$F22+1,0,1)*(  IF(E71=0,100,0)+IF($G22=1,1,0.5)*$J22*100)</f>
        <v>0</v>
      </c>
      <c r="E71" s="97">
        <f t="shared" si="89"/>
        <v>0</v>
      </c>
      <c r="F71" s="97">
        <f t="shared" si="89"/>
        <v>0</v>
      </c>
      <c r="G71" s="97">
        <f t="shared" si="89"/>
        <v>0</v>
      </c>
      <c r="H71" s="97">
        <f t="shared" si="89"/>
        <v>0</v>
      </c>
      <c r="I71" s="97">
        <f t="shared" si="89"/>
        <v>0</v>
      </c>
      <c r="J71" s="97">
        <f t="shared" si="89"/>
        <v>0</v>
      </c>
      <c r="K71" s="97">
        <f t="shared" si="89"/>
        <v>0</v>
      </c>
      <c r="L71" s="97">
        <f t="shared" si="89"/>
        <v>0</v>
      </c>
      <c r="M71" s="97">
        <f t="shared" si="89"/>
        <v>0</v>
      </c>
      <c r="N71" s="97">
        <f t="shared" si="89"/>
        <v>0</v>
      </c>
      <c r="O71" s="97">
        <f t="shared" si="89"/>
        <v>0</v>
      </c>
      <c r="P71" s="97">
        <f t="shared" si="89"/>
        <v>0</v>
      </c>
      <c r="Q71" s="97">
        <f t="shared" si="89"/>
        <v>0</v>
      </c>
      <c r="R71" s="97">
        <f t="shared" si="89"/>
        <v>0</v>
      </c>
      <c r="S71" s="97">
        <f t="shared" si="89"/>
        <v>0</v>
      </c>
      <c r="T71" s="97">
        <f t="shared" si="89"/>
        <v>0</v>
      </c>
      <c r="U71" s="97">
        <f t="shared" si="89"/>
        <v>0</v>
      </c>
      <c r="V71" s="97">
        <f t="shared" si="89"/>
        <v>0</v>
      </c>
      <c r="W71" s="97">
        <f t="shared" si="89"/>
        <v>0</v>
      </c>
      <c r="X71" s="97">
        <f t="shared" si="89"/>
        <v>0</v>
      </c>
      <c r="Y71" s="97">
        <f t="shared" si="89"/>
        <v>0</v>
      </c>
      <c r="Z71" s="97">
        <f t="shared" si="89"/>
        <v>0</v>
      </c>
      <c r="AA71" s="97">
        <f t="shared" si="89"/>
        <v>0</v>
      </c>
      <c r="AB71" s="97">
        <f t="shared" si="89"/>
        <v>0</v>
      </c>
      <c r="AC71" s="97">
        <f t="shared" si="89"/>
        <v>0</v>
      </c>
      <c r="AD71" s="97">
        <f t="shared" si="89"/>
        <v>0</v>
      </c>
      <c r="AE71" s="97">
        <f t="shared" si="89"/>
        <v>0</v>
      </c>
      <c r="AF71" s="97">
        <f t="shared" si="89"/>
        <v>0</v>
      </c>
      <c r="AG71" s="97">
        <f t="shared" si="89"/>
        <v>0</v>
      </c>
      <c r="AH71" s="97">
        <f t="shared" si="89"/>
        <v>0</v>
      </c>
      <c r="AI71" s="97">
        <f t="shared" si="89"/>
        <v>0</v>
      </c>
      <c r="AJ71" s="97">
        <f t="shared" si="89"/>
        <v>0</v>
      </c>
      <c r="AK71" s="97">
        <f t="shared" si="89"/>
        <v>0</v>
      </c>
      <c r="AL71" s="97">
        <f t="shared" si="89"/>
        <v>0</v>
      </c>
      <c r="AM71" s="97">
        <f t="shared" si="89"/>
        <v>0</v>
      </c>
      <c r="AN71" s="97">
        <f t="shared" si="89"/>
        <v>0</v>
      </c>
      <c r="AO71" s="97">
        <f t="shared" si="89"/>
        <v>0</v>
      </c>
      <c r="AP71" s="97">
        <f t="shared" si="89"/>
        <v>0</v>
      </c>
      <c r="AQ71" s="97">
        <f t="shared" si="89"/>
        <v>0</v>
      </c>
      <c r="AR71" s="97">
        <f t="shared" si="89"/>
        <v>0</v>
      </c>
      <c r="AS71" s="97">
        <f t="shared" si="89"/>
        <v>0</v>
      </c>
      <c r="AT71" s="97">
        <f t="shared" si="89"/>
        <v>0</v>
      </c>
      <c r="AU71" s="97">
        <f t="shared" si="89"/>
        <v>0</v>
      </c>
      <c r="AV71" s="97">
        <f t="shared" si="89"/>
        <v>0</v>
      </c>
      <c r="AW71" s="97">
        <f t="shared" si="89"/>
        <v>0</v>
      </c>
      <c r="AX71" s="97">
        <f t="shared" si="89"/>
        <v>0</v>
      </c>
      <c r="AY71" s="97">
        <f t="shared" si="89"/>
        <v>0</v>
      </c>
      <c r="AZ71" s="97">
        <f t="shared" si="89"/>
        <v>0</v>
      </c>
      <c r="BA71" s="97">
        <f t="shared" si="89"/>
        <v>0</v>
      </c>
      <c r="BB71" s="97">
        <f t="shared" si="89"/>
        <v>0</v>
      </c>
      <c r="BC71" s="97">
        <f t="shared" si="89"/>
        <v>0</v>
      </c>
      <c r="BD71" s="97">
        <f t="shared" si="89"/>
        <v>0</v>
      </c>
      <c r="BE71" s="97">
        <f t="shared" si="89"/>
        <v>0</v>
      </c>
      <c r="BF71" s="97">
        <f t="shared" si="89"/>
        <v>0</v>
      </c>
      <c r="BG71" s="97">
        <f t="shared" si="89"/>
        <v>0</v>
      </c>
      <c r="BH71" s="97">
        <f t="shared" si="89"/>
        <v>0</v>
      </c>
      <c r="BI71" s="97">
        <f t="shared" si="89"/>
        <v>0</v>
      </c>
      <c r="BJ71" s="97">
        <f t="shared" si="89"/>
        <v>0</v>
      </c>
      <c r="BK71" s="97">
        <f t="shared" si="89"/>
        <v>0</v>
      </c>
      <c r="BL71" s="97">
        <f t="shared" si="89"/>
        <v>0</v>
      </c>
      <c r="BM71" s="97">
        <f t="shared" si="89"/>
        <v>0</v>
      </c>
      <c r="BN71" s="97">
        <f t="shared" si="89"/>
        <v>0</v>
      </c>
      <c r="BO71" s="97">
        <f t="shared" si="89"/>
        <v>0</v>
      </c>
      <c r="BP71" s="97">
        <f t="shared" ref="BP71:CB71" si="90">IF(BP70&gt;$F22+1,0,1)*(  IF(BQ71=0,100,0)+IF($G22=1,1,0.5)*$J22*100)</f>
        <v>0</v>
      </c>
      <c r="BQ71" s="97">
        <f t="shared" si="90"/>
        <v>0</v>
      </c>
      <c r="BR71" s="97">
        <f t="shared" si="90"/>
        <v>0</v>
      </c>
      <c r="BS71" s="97">
        <f t="shared" si="90"/>
        <v>0</v>
      </c>
      <c r="BT71" s="97">
        <f t="shared" si="90"/>
        <v>0</v>
      </c>
      <c r="BU71" s="97">
        <f t="shared" si="90"/>
        <v>0</v>
      </c>
      <c r="BV71" s="97">
        <f t="shared" si="90"/>
        <v>0</v>
      </c>
      <c r="BW71" s="97">
        <f t="shared" si="90"/>
        <v>0</v>
      </c>
      <c r="BX71" s="97">
        <f t="shared" si="90"/>
        <v>0</v>
      </c>
      <c r="BY71" s="97">
        <f t="shared" si="90"/>
        <v>0</v>
      </c>
      <c r="BZ71" s="97">
        <f t="shared" si="90"/>
        <v>0</v>
      </c>
      <c r="CA71" s="97">
        <f t="shared" si="90"/>
        <v>0</v>
      </c>
      <c r="CB71" s="98">
        <f t="shared" si="90"/>
        <v>0</v>
      </c>
    </row>
    <row r="72" spans="1:115">
      <c r="A72" s="245" t="s">
        <v>49</v>
      </c>
      <c r="B72" s="99">
        <f>IF(E23=0,F23,E23)</f>
        <v>0</v>
      </c>
      <c r="C72" s="100">
        <f>B72+IF($G23=1,365,182.5)</f>
        <v>182.5</v>
      </c>
      <c r="D72" s="100">
        <f t="shared" ref="D72:BN72" si="91">C72+IF($G23=1,365,182.5)</f>
        <v>365</v>
      </c>
      <c r="E72" s="100">
        <f t="shared" si="91"/>
        <v>547.5</v>
      </c>
      <c r="F72" s="100">
        <f t="shared" si="91"/>
        <v>730</v>
      </c>
      <c r="G72" s="100">
        <f t="shared" si="91"/>
        <v>912.5</v>
      </c>
      <c r="H72" s="100">
        <f t="shared" si="91"/>
        <v>1095</v>
      </c>
      <c r="I72" s="100">
        <f t="shared" si="91"/>
        <v>1277.5</v>
      </c>
      <c r="J72" s="100">
        <f t="shared" si="91"/>
        <v>1460</v>
      </c>
      <c r="K72" s="100">
        <f t="shared" si="91"/>
        <v>1642.5</v>
      </c>
      <c r="L72" s="100">
        <f t="shared" si="91"/>
        <v>1825</v>
      </c>
      <c r="M72" s="100">
        <f t="shared" si="91"/>
        <v>2007.5</v>
      </c>
      <c r="N72" s="100">
        <f t="shared" si="91"/>
        <v>2190</v>
      </c>
      <c r="O72" s="100">
        <f t="shared" si="91"/>
        <v>2372.5</v>
      </c>
      <c r="P72" s="100">
        <f t="shared" si="91"/>
        <v>2555</v>
      </c>
      <c r="Q72" s="100">
        <f t="shared" si="91"/>
        <v>2737.5</v>
      </c>
      <c r="R72" s="100">
        <f t="shared" si="91"/>
        <v>2920</v>
      </c>
      <c r="S72" s="100">
        <f t="shared" si="91"/>
        <v>3102.5</v>
      </c>
      <c r="T72" s="100">
        <f t="shared" si="91"/>
        <v>3285</v>
      </c>
      <c r="U72" s="100">
        <f t="shared" si="91"/>
        <v>3467.5</v>
      </c>
      <c r="V72" s="100">
        <f t="shared" si="91"/>
        <v>3650</v>
      </c>
      <c r="W72" s="100">
        <f t="shared" si="91"/>
        <v>3832.5</v>
      </c>
      <c r="X72" s="100">
        <f t="shared" si="91"/>
        <v>4015</v>
      </c>
      <c r="Y72" s="100">
        <f t="shared" si="91"/>
        <v>4197.5</v>
      </c>
      <c r="Z72" s="100">
        <f t="shared" si="91"/>
        <v>4380</v>
      </c>
      <c r="AA72" s="100">
        <f t="shared" si="91"/>
        <v>4562.5</v>
      </c>
      <c r="AB72" s="100">
        <f t="shared" si="91"/>
        <v>4745</v>
      </c>
      <c r="AC72" s="100">
        <f t="shared" si="91"/>
        <v>4927.5</v>
      </c>
      <c r="AD72" s="100">
        <f t="shared" si="91"/>
        <v>5110</v>
      </c>
      <c r="AE72" s="100">
        <f t="shared" si="91"/>
        <v>5292.5</v>
      </c>
      <c r="AF72" s="100">
        <f t="shared" si="91"/>
        <v>5475</v>
      </c>
      <c r="AG72" s="100">
        <f t="shared" si="91"/>
        <v>5657.5</v>
      </c>
      <c r="AH72" s="100">
        <f t="shared" si="91"/>
        <v>5840</v>
      </c>
      <c r="AI72" s="100">
        <f t="shared" si="91"/>
        <v>6022.5</v>
      </c>
      <c r="AJ72" s="100">
        <f t="shared" si="91"/>
        <v>6205</v>
      </c>
      <c r="AK72" s="100">
        <f t="shared" si="91"/>
        <v>6387.5</v>
      </c>
      <c r="AL72" s="100">
        <f t="shared" si="91"/>
        <v>6570</v>
      </c>
      <c r="AM72" s="100">
        <f t="shared" si="91"/>
        <v>6752.5</v>
      </c>
      <c r="AN72" s="100">
        <f t="shared" si="91"/>
        <v>6935</v>
      </c>
      <c r="AO72" s="100">
        <f t="shared" si="91"/>
        <v>7117.5</v>
      </c>
      <c r="AP72" s="100">
        <f t="shared" si="91"/>
        <v>7300</v>
      </c>
      <c r="AQ72" s="100">
        <f t="shared" si="91"/>
        <v>7482.5</v>
      </c>
      <c r="AR72" s="100">
        <f t="shared" si="91"/>
        <v>7665</v>
      </c>
      <c r="AS72" s="100">
        <f t="shared" si="91"/>
        <v>7847.5</v>
      </c>
      <c r="AT72" s="100">
        <f t="shared" si="91"/>
        <v>8030</v>
      </c>
      <c r="AU72" s="100">
        <f t="shared" si="91"/>
        <v>8212.5</v>
      </c>
      <c r="AV72" s="100">
        <f t="shared" si="91"/>
        <v>8395</v>
      </c>
      <c r="AW72" s="100">
        <f t="shared" si="91"/>
        <v>8577.5</v>
      </c>
      <c r="AX72" s="100">
        <f t="shared" si="91"/>
        <v>8760</v>
      </c>
      <c r="AY72" s="100">
        <f t="shared" si="91"/>
        <v>8942.5</v>
      </c>
      <c r="AZ72" s="100">
        <f t="shared" si="91"/>
        <v>9125</v>
      </c>
      <c r="BA72" s="100">
        <f t="shared" si="91"/>
        <v>9307.5</v>
      </c>
      <c r="BB72" s="100">
        <f t="shared" si="91"/>
        <v>9490</v>
      </c>
      <c r="BC72" s="100">
        <f t="shared" si="91"/>
        <v>9672.5</v>
      </c>
      <c r="BD72" s="100">
        <f t="shared" si="91"/>
        <v>9855</v>
      </c>
      <c r="BE72" s="100">
        <f t="shared" si="91"/>
        <v>10037.5</v>
      </c>
      <c r="BF72" s="100">
        <f t="shared" si="91"/>
        <v>10220</v>
      </c>
      <c r="BG72" s="100">
        <f t="shared" si="91"/>
        <v>10402.5</v>
      </c>
      <c r="BH72" s="100">
        <f t="shared" si="91"/>
        <v>10585</v>
      </c>
      <c r="BI72" s="100">
        <f t="shared" si="91"/>
        <v>10767.5</v>
      </c>
      <c r="BJ72" s="100">
        <f t="shared" si="91"/>
        <v>10950</v>
      </c>
      <c r="BK72" s="100">
        <f t="shared" si="91"/>
        <v>11132.5</v>
      </c>
      <c r="BL72" s="100">
        <f t="shared" si="91"/>
        <v>11315</v>
      </c>
      <c r="BM72" s="100">
        <f t="shared" si="91"/>
        <v>11497.5</v>
      </c>
      <c r="BN72" s="100">
        <f t="shared" si="91"/>
        <v>11680</v>
      </c>
      <c r="BO72" s="100">
        <f t="shared" ref="BO72:CB72" si="92">BN72+IF($G23=1,365,182.5)</f>
        <v>11862.5</v>
      </c>
      <c r="BP72" s="100">
        <f t="shared" si="92"/>
        <v>12045</v>
      </c>
      <c r="BQ72" s="100">
        <f t="shared" si="92"/>
        <v>12227.5</v>
      </c>
      <c r="BR72" s="100">
        <f t="shared" si="92"/>
        <v>12410</v>
      </c>
      <c r="BS72" s="100">
        <f t="shared" si="92"/>
        <v>12592.5</v>
      </c>
      <c r="BT72" s="100">
        <f t="shared" si="92"/>
        <v>12775</v>
      </c>
      <c r="BU72" s="100">
        <f t="shared" si="92"/>
        <v>12957.5</v>
      </c>
      <c r="BV72" s="100">
        <f t="shared" si="92"/>
        <v>13140</v>
      </c>
      <c r="BW72" s="100">
        <f t="shared" si="92"/>
        <v>13322.5</v>
      </c>
      <c r="BX72" s="100">
        <f t="shared" si="92"/>
        <v>13505</v>
      </c>
      <c r="BY72" s="100">
        <f t="shared" si="92"/>
        <v>13687.5</v>
      </c>
      <c r="BZ72" s="100">
        <f t="shared" si="92"/>
        <v>13870</v>
      </c>
      <c r="CA72" s="100">
        <f t="shared" si="92"/>
        <v>14052.5</v>
      </c>
      <c r="CB72" s="101">
        <f t="shared" si="92"/>
        <v>14235</v>
      </c>
    </row>
    <row r="73" spans="1:115">
      <c r="A73" s="182" t="s">
        <v>39</v>
      </c>
      <c r="B73" s="117">
        <f>(IF(B72=F23,100,0)+IF(G23=1,1,0.5)*J23*100)*IF(ISBLANK(F23)=TRUE,0,1)</f>
        <v>0</v>
      </c>
      <c r="C73" s="102">
        <f>IF(C72&gt;$F23+1,0,1)*(IF(D73=0,100,0)+IF($G23=1,1,0.5)*$J23*100)</f>
        <v>0</v>
      </c>
      <c r="D73" s="102">
        <f t="shared" ref="D73:BO73" si="93">IF(D72&gt;$F23+1,0,1)*(IF(E73=0,100,0)+IF($G23=1,1,0.5)*$J23*100)</f>
        <v>0</v>
      </c>
      <c r="E73" s="102">
        <f t="shared" si="93"/>
        <v>0</v>
      </c>
      <c r="F73" s="102">
        <f t="shared" si="93"/>
        <v>0</v>
      </c>
      <c r="G73" s="102">
        <f t="shared" si="93"/>
        <v>0</v>
      </c>
      <c r="H73" s="102">
        <f t="shared" si="93"/>
        <v>0</v>
      </c>
      <c r="I73" s="102">
        <f t="shared" si="93"/>
        <v>0</v>
      </c>
      <c r="J73" s="102">
        <f t="shared" si="93"/>
        <v>0</v>
      </c>
      <c r="K73" s="102">
        <f t="shared" si="93"/>
        <v>0</v>
      </c>
      <c r="L73" s="102">
        <f t="shared" si="93"/>
        <v>0</v>
      </c>
      <c r="M73" s="102">
        <f t="shared" si="93"/>
        <v>0</v>
      </c>
      <c r="N73" s="102">
        <f t="shared" si="93"/>
        <v>0</v>
      </c>
      <c r="O73" s="102">
        <f t="shared" si="93"/>
        <v>0</v>
      </c>
      <c r="P73" s="102">
        <f t="shared" si="93"/>
        <v>0</v>
      </c>
      <c r="Q73" s="102">
        <f t="shared" si="93"/>
        <v>0</v>
      </c>
      <c r="R73" s="102">
        <f t="shared" si="93"/>
        <v>0</v>
      </c>
      <c r="S73" s="102">
        <f t="shared" si="93"/>
        <v>0</v>
      </c>
      <c r="T73" s="102">
        <f t="shared" si="93"/>
        <v>0</v>
      </c>
      <c r="U73" s="102">
        <f t="shared" si="93"/>
        <v>0</v>
      </c>
      <c r="V73" s="102">
        <f t="shared" si="93"/>
        <v>0</v>
      </c>
      <c r="W73" s="102">
        <f t="shared" si="93"/>
        <v>0</v>
      </c>
      <c r="X73" s="102">
        <f t="shared" si="93"/>
        <v>0</v>
      </c>
      <c r="Y73" s="102">
        <f t="shared" si="93"/>
        <v>0</v>
      </c>
      <c r="Z73" s="102">
        <f t="shared" si="93"/>
        <v>0</v>
      </c>
      <c r="AA73" s="102">
        <f t="shared" si="93"/>
        <v>0</v>
      </c>
      <c r="AB73" s="102">
        <f t="shared" si="93"/>
        <v>0</v>
      </c>
      <c r="AC73" s="102">
        <f t="shared" si="93"/>
        <v>0</v>
      </c>
      <c r="AD73" s="102">
        <f t="shared" si="93"/>
        <v>0</v>
      </c>
      <c r="AE73" s="102">
        <f t="shared" si="93"/>
        <v>0</v>
      </c>
      <c r="AF73" s="102">
        <f t="shared" si="93"/>
        <v>0</v>
      </c>
      <c r="AG73" s="102">
        <f t="shared" si="93"/>
        <v>0</v>
      </c>
      <c r="AH73" s="102">
        <f t="shared" si="93"/>
        <v>0</v>
      </c>
      <c r="AI73" s="102">
        <f t="shared" si="93"/>
        <v>0</v>
      </c>
      <c r="AJ73" s="102">
        <f t="shared" si="93"/>
        <v>0</v>
      </c>
      <c r="AK73" s="102">
        <f t="shared" si="93"/>
        <v>0</v>
      </c>
      <c r="AL73" s="102">
        <f t="shared" si="93"/>
        <v>0</v>
      </c>
      <c r="AM73" s="102">
        <f t="shared" si="93"/>
        <v>0</v>
      </c>
      <c r="AN73" s="102">
        <f t="shared" si="93"/>
        <v>0</v>
      </c>
      <c r="AO73" s="102">
        <f t="shared" si="93"/>
        <v>0</v>
      </c>
      <c r="AP73" s="102">
        <f t="shared" si="93"/>
        <v>0</v>
      </c>
      <c r="AQ73" s="102">
        <f t="shared" si="93"/>
        <v>0</v>
      </c>
      <c r="AR73" s="102">
        <f t="shared" si="93"/>
        <v>0</v>
      </c>
      <c r="AS73" s="102">
        <f t="shared" si="93"/>
        <v>0</v>
      </c>
      <c r="AT73" s="102">
        <f t="shared" si="93"/>
        <v>0</v>
      </c>
      <c r="AU73" s="102">
        <f t="shared" si="93"/>
        <v>0</v>
      </c>
      <c r="AV73" s="102">
        <f t="shared" si="93"/>
        <v>0</v>
      </c>
      <c r="AW73" s="102">
        <f t="shared" si="93"/>
        <v>0</v>
      </c>
      <c r="AX73" s="102">
        <f t="shared" si="93"/>
        <v>0</v>
      </c>
      <c r="AY73" s="102">
        <f t="shared" si="93"/>
        <v>0</v>
      </c>
      <c r="AZ73" s="102">
        <f t="shared" si="93"/>
        <v>0</v>
      </c>
      <c r="BA73" s="102">
        <f t="shared" si="93"/>
        <v>0</v>
      </c>
      <c r="BB73" s="102">
        <f t="shared" si="93"/>
        <v>0</v>
      </c>
      <c r="BC73" s="102">
        <f t="shared" si="93"/>
        <v>0</v>
      </c>
      <c r="BD73" s="102">
        <f t="shared" si="93"/>
        <v>0</v>
      </c>
      <c r="BE73" s="102">
        <f t="shared" si="93"/>
        <v>0</v>
      </c>
      <c r="BF73" s="102">
        <f t="shared" si="93"/>
        <v>0</v>
      </c>
      <c r="BG73" s="102">
        <f t="shared" si="93"/>
        <v>0</v>
      </c>
      <c r="BH73" s="102">
        <f t="shared" si="93"/>
        <v>0</v>
      </c>
      <c r="BI73" s="102">
        <f t="shared" si="93"/>
        <v>0</v>
      </c>
      <c r="BJ73" s="102">
        <f t="shared" si="93"/>
        <v>0</v>
      </c>
      <c r="BK73" s="102">
        <f t="shared" si="93"/>
        <v>0</v>
      </c>
      <c r="BL73" s="102">
        <f t="shared" si="93"/>
        <v>0</v>
      </c>
      <c r="BM73" s="102">
        <f t="shared" si="93"/>
        <v>0</v>
      </c>
      <c r="BN73" s="102">
        <f t="shared" si="93"/>
        <v>0</v>
      </c>
      <c r="BO73" s="102">
        <f t="shared" si="93"/>
        <v>0</v>
      </c>
      <c r="BP73" s="102">
        <f t="shared" ref="BP73:CB73" si="94">IF(BP72&gt;$F23+1,0,1)*(IF(BQ73=0,100,0)+IF($G23=1,1,0.5)*$J23*100)</f>
        <v>0</v>
      </c>
      <c r="BQ73" s="102">
        <f t="shared" si="94"/>
        <v>0</v>
      </c>
      <c r="BR73" s="102">
        <f t="shared" si="94"/>
        <v>0</v>
      </c>
      <c r="BS73" s="102">
        <f t="shared" si="94"/>
        <v>0</v>
      </c>
      <c r="BT73" s="102">
        <f t="shared" si="94"/>
        <v>0</v>
      </c>
      <c r="BU73" s="102">
        <f t="shared" si="94"/>
        <v>0</v>
      </c>
      <c r="BV73" s="102">
        <f t="shared" si="94"/>
        <v>0</v>
      </c>
      <c r="BW73" s="102">
        <f t="shared" si="94"/>
        <v>0</v>
      </c>
      <c r="BX73" s="102">
        <f t="shared" si="94"/>
        <v>0</v>
      </c>
      <c r="BY73" s="102">
        <f t="shared" si="94"/>
        <v>0</v>
      </c>
      <c r="BZ73" s="102">
        <f t="shared" si="94"/>
        <v>0</v>
      </c>
      <c r="CA73" s="102">
        <f t="shared" si="94"/>
        <v>0</v>
      </c>
      <c r="CB73" s="103">
        <f t="shared" si="94"/>
        <v>0</v>
      </c>
      <c r="CF73" s="9"/>
      <c r="CG73" s="9"/>
      <c r="CH73" s="9"/>
      <c r="CI73" s="9"/>
      <c r="CJ73" s="9"/>
      <c r="CK73" s="9"/>
      <c r="CL73" s="9"/>
      <c r="CM73" s="9"/>
      <c r="CN73" s="9"/>
      <c r="CO73" s="9"/>
      <c r="CP73" s="9"/>
      <c r="CQ73" s="9"/>
      <c r="CR73" s="9"/>
      <c r="CS73" s="9"/>
      <c r="CT73" s="9"/>
      <c r="CU73" s="9"/>
      <c r="CV73" s="9"/>
      <c r="CW73" s="9"/>
      <c r="CX73" s="9"/>
      <c r="CY73" s="9"/>
      <c r="CZ73" s="9"/>
      <c r="DA73" s="9"/>
      <c r="DB73" s="9"/>
      <c r="DC73" s="9"/>
      <c r="DD73" s="9"/>
      <c r="DE73" s="9"/>
      <c r="DF73" s="9"/>
      <c r="DG73" s="9"/>
      <c r="DH73" s="9"/>
      <c r="DI73" s="9"/>
      <c r="DJ73" s="9"/>
      <c r="DK73" s="9"/>
    </row>
    <row r="74" spans="1:115">
      <c r="A74" s="244" t="s">
        <v>49</v>
      </c>
      <c r="B74" s="216">
        <f>IF(E24=0,F24,E24)</f>
        <v>0</v>
      </c>
      <c r="C74" s="188">
        <f>B74+IF($G24=1,365,182.5)</f>
        <v>182.5</v>
      </c>
      <c r="D74" s="188">
        <f>C74+IF($G24=1,365,182.5)</f>
        <v>365</v>
      </c>
      <c r="E74" s="188">
        <f t="shared" ref="E74:BP74" si="95">D74+IF($G24=1,365,182.5)</f>
        <v>547.5</v>
      </c>
      <c r="F74" s="188">
        <f t="shared" si="95"/>
        <v>730</v>
      </c>
      <c r="G74" s="188">
        <f t="shared" si="95"/>
        <v>912.5</v>
      </c>
      <c r="H74" s="188">
        <f t="shared" si="95"/>
        <v>1095</v>
      </c>
      <c r="I74" s="188">
        <f t="shared" si="95"/>
        <v>1277.5</v>
      </c>
      <c r="J74" s="188">
        <f t="shared" si="95"/>
        <v>1460</v>
      </c>
      <c r="K74" s="188">
        <f t="shared" si="95"/>
        <v>1642.5</v>
      </c>
      <c r="L74" s="188">
        <f t="shared" si="95"/>
        <v>1825</v>
      </c>
      <c r="M74" s="188">
        <f t="shared" si="95"/>
        <v>2007.5</v>
      </c>
      <c r="N74" s="188">
        <f t="shared" si="95"/>
        <v>2190</v>
      </c>
      <c r="O74" s="188">
        <f t="shared" si="95"/>
        <v>2372.5</v>
      </c>
      <c r="P74" s="188">
        <f t="shared" si="95"/>
        <v>2555</v>
      </c>
      <c r="Q74" s="188">
        <f t="shared" si="95"/>
        <v>2737.5</v>
      </c>
      <c r="R74" s="188">
        <f t="shared" si="95"/>
        <v>2920</v>
      </c>
      <c r="S74" s="188">
        <f t="shared" si="95"/>
        <v>3102.5</v>
      </c>
      <c r="T74" s="188">
        <f t="shared" si="95"/>
        <v>3285</v>
      </c>
      <c r="U74" s="188">
        <f t="shared" si="95"/>
        <v>3467.5</v>
      </c>
      <c r="V74" s="188">
        <f t="shared" si="95"/>
        <v>3650</v>
      </c>
      <c r="W74" s="188">
        <f t="shared" si="95"/>
        <v>3832.5</v>
      </c>
      <c r="X74" s="188">
        <f t="shared" si="95"/>
        <v>4015</v>
      </c>
      <c r="Y74" s="188">
        <f t="shared" si="95"/>
        <v>4197.5</v>
      </c>
      <c r="Z74" s="188">
        <f t="shared" si="95"/>
        <v>4380</v>
      </c>
      <c r="AA74" s="188">
        <f t="shared" si="95"/>
        <v>4562.5</v>
      </c>
      <c r="AB74" s="188">
        <f t="shared" si="95"/>
        <v>4745</v>
      </c>
      <c r="AC74" s="188">
        <f t="shared" si="95"/>
        <v>4927.5</v>
      </c>
      <c r="AD74" s="188">
        <f t="shared" si="95"/>
        <v>5110</v>
      </c>
      <c r="AE74" s="188">
        <f t="shared" si="95"/>
        <v>5292.5</v>
      </c>
      <c r="AF74" s="188">
        <f t="shared" si="95"/>
        <v>5475</v>
      </c>
      <c r="AG74" s="188">
        <f t="shared" si="95"/>
        <v>5657.5</v>
      </c>
      <c r="AH74" s="188">
        <f t="shared" si="95"/>
        <v>5840</v>
      </c>
      <c r="AI74" s="188">
        <f t="shared" si="95"/>
        <v>6022.5</v>
      </c>
      <c r="AJ74" s="188">
        <f t="shared" si="95"/>
        <v>6205</v>
      </c>
      <c r="AK74" s="188">
        <f t="shared" si="95"/>
        <v>6387.5</v>
      </c>
      <c r="AL74" s="188">
        <f t="shared" si="95"/>
        <v>6570</v>
      </c>
      <c r="AM74" s="188">
        <f t="shared" si="95"/>
        <v>6752.5</v>
      </c>
      <c r="AN74" s="188">
        <f t="shared" si="95"/>
        <v>6935</v>
      </c>
      <c r="AO74" s="188">
        <f t="shared" si="95"/>
        <v>7117.5</v>
      </c>
      <c r="AP74" s="188">
        <f t="shared" si="95"/>
        <v>7300</v>
      </c>
      <c r="AQ74" s="188">
        <f t="shared" si="95"/>
        <v>7482.5</v>
      </c>
      <c r="AR74" s="188">
        <f t="shared" si="95"/>
        <v>7665</v>
      </c>
      <c r="AS74" s="188">
        <f t="shared" si="95"/>
        <v>7847.5</v>
      </c>
      <c r="AT74" s="188">
        <f t="shared" si="95"/>
        <v>8030</v>
      </c>
      <c r="AU74" s="188">
        <f t="shared" si="95"/>
        <v>8212.5</v>
      </c>
      <c r="AV74" s="188">
        <f t="shared" si="95"/>
        <v>8395</v>
      </c>
      <c r="AW74" s="188">
        <f t="shared" si="95"/>
        <v>8577.5</v>
      </c>
      <c r="AX74" s="188">
        <f t="shared" si="95"/>
        <v>8760</v>
      </c>
      <c r="AY74" s="188">
        <f t="shared" si="95"/>
        <v>8942.5</v>
      </c>
      <c r="AZ74" s="188">
        <f t="shared" si="95"/>
        <v>9125</v>
      </c>
      <c r="BA74" s="188">
        <f t="shared" si="95"/>
        <v>9307.5</v>
      </c>
      <c r="BB74" s="188">
        <f t="shared" si="95"/>
        <v>9490</v>
      </c>
      <c r="BC74" s="188">
        <f t="shared" si="95"/>
        <v>9672.5</v>
      </c>
      <c r="BD74" s="188">
        <f t="shared" si="95"/>
        <v>9855</v>
      </c>
      <c r="BE74" s="188">
        <f t="shared" si="95"/>
        <v>10037.5</v>
      </c>
      <c r="BF74" s="188">
        <f t="shared" si="95"/>
        <v>10220</v>
      </c>
      <c r="BG74" s="188">
        <f t="shared" si="95"/>
        <v>10402.5</v>
      </c>
      <c r="BH74" s="188">
        <f t="shared" si="95"/>
        <v>10585</v>
      </c>
      <c r="BI74" s="188">
        <f t="shared" si="95"/>
        <v>10767.5</v>
      </c>
      <c r="BJ74" s="188">
        <f t="shared" si="95"/>
        <v>10950</v>
      </c>
      <c r="BK74" s="188">
        <f t="shared" si="95"/>
        <v>11132.5</v>
      </c>
      <c r="BL74" s="188">
        <f t="shared" si="95"/>
        <v>11315</v>
      </c>
      <c r="BM74" s="188">
        <f t="shared" si="95"/>
        <v>11497.5</v>
      </c>
      <c r="BN74" s="188">
        <f t="shared" si="95"/>
        <v>11680</v>
      </c>
      <c r="BO74" s="188">
        <f t="shared" si="95"/>
        <v>11862.5</v>
      </c>
      <c r="BP74" s="188">
        <f t="shared" si="95"/>
        <v>12045</v>
      </c>
      <c r="BQ74" s="188">
        <f t="shared" ref="BQ74:CB74" si="96">BP74+IF($G24=1,365,182.5)</f>
        <v>12227.5</v>
      </c>
      <c r="BR74" s="188">
        <f t="shared" si="96"/>
        <v>12410</v>
      </c>
      <c r="BS74" s="188">
        <f t="shared" si="96"/>
        <v>12592.5</v>
      </c>
      <c r="BT74" s="188">
        <f t="shared" si="96"/>
        <v>12775</v>
      </c>
      <c r="BU74" s="188">
        <f t="shared" si="96"/>
        <v>12957.5</v>
      </c>
      <c r="BV74" s="188">
        <f t="shared" si="96"/>
        <v>13140</v>
      </c>
      <c r="BW74" s="188">
        <f t="shared" si="96"/>
        <v>13322.5</v>
      </c>
      <c r="BX74" s="188">
        <f t="shared" si="96"/>
        <v>13505</v>
      </c>
      <c r="BY74" s="188">
        <f t="shared" si="96"/>
        <v>13687.5</v>
      </c>
      <c r="BZ74" s="188">
        <f t="shared" si="96"/>
        <v>13870</v>
      </c>
      <c r="CA74" s="188">
        <f t="shared" si="96"/>
        <v>14052.5</v>
      </c>
      <c r="CB74" s="189">
        <f t="shared" si="96"/>
        <v>14235</v>
      </c>
      <c r="CF74" s="9"/>
      <c r="CG74" s="9"/>
      <c r="CH74" s="9"/>
      <c r="CI74" s="9"/>
      <c r="CJ74" s="9"/>
      <c r="CK74" s="9"/>
      <c r="CL74" s="9"/>
      <c r="CM74" s="9"/>
      <c r="CN74" s="9"/>
      <c r="CO74" s="9"/>
      <c r="CP74" s="9"/>
      <c r="CQ74" s="9"/>
      <c r="CR74" s="9"/>
      <c r="CS74" s="9"/>
      <c r="CT74" s="9"/>
      <c r="CU74" s="9"/>
      <c r="CV74" s="9"/>
      <c r="CW74" s="9"/>
      <c r="CX74" s="9"/>
      <c r="CY74" s="9"/>
      <c r="CZ74" s="9"/>
      <c r="DA74" s="9"/>
      <c r="DB74" s="9"/>
      <c r="DC74" s="9"/>
      <c r="DD74" s="9"/>
      <c r="DE74" s="9"/>
      <c r="DF74" s="9"/>
      <c r="DG74" s="9"/>
      <c r="DH74" s="9"/>
      <c r="DI74" s="9"/>
      <c r="DJ74" s="9"/>
      <c r="DK74" s="9"/>
    </row>
    <row r="75" spans="1:115">
      <c r="A75" s="183" t="s">
        <v>127</v>
      </c>
      <c r="B75" s="158">
        <f>(IF(B74=F24,100,0)+IF(G24=1,1,0.5)*J24*100)*IF(ISBLANK(F24)=TRUE,0,1)</f>
        <v>0</v>
      </c>
      <c r="C75" s="159">
        <f>IF(C74&gt;$F24+1,0,1)*(IF(D75=0,100,0)+IF($G24=1,1,0.5)*$J24*100)</f>
        <v>0</v>
      </c>
      <c r="D75" s="159">
        <f t="shared" ref="D75:F75" si="97">IF(D74&gt;$F24+1,0,1)*(IF(E75=0,100,0)+IF($G24=1,1,0.5)*$J24*100)</f>
        <v>0</v>
      </c>
      <c r="E75" s="159">
        <f t="shared" si="97"/>
        <v>0</v>
      </c>
      <c r="F75" s="159">
        <f t="shared" si="97"/>
        <v>0</v>
      </c>
      <c r="G75" s="159">
        <f>IF(G74&gt;$F24+1,0,1)*(IF(H75=0,100,0)+IF($G24=1,1,0.5)*$J24*100)</f>
        <v>0</v>
      </c>
      <c r="H75" s="159">
        <f t="shared" ref="H75:AM75" si="98">IF(H74&gt;$F24+1,0,1)*(IF(I75=0,100,0)+IF($G24=1,1,0.5)*$J24*100)</f>
        <v>0</v>
      </c>
      <c r="I75" s="159">
        <f t="shared" si="98"/>
        <v>0</v>
      </c>
      <c r="J75" s="159">
        <f t="shared" si="98"/>
        <v>0</v>
      </c>
      <c r="K75" s="159">
        <f t="shared" si="98"/>
        <v>0</v>
      </c>
      <c r="L75" s="159">
        <f t="shared" si="98"/>
        <v>0</v>
      </c>
      <c r="M75" s="159">
        <f t="shared" si="98"/>
        <v>0</v>
      </c>
      <c r="N75" s="159">
        <f t="shared" si="98"/>
        <v>0</v>
      </c>
      <c r="O75" s="159">
        <f t="shared" si="98"/>
        <v>0</v>
      </c>
      <c r="P75" s="159">
        <f t="shared" si="98"/>
        <v>0</v>
      </c>
      <c r="Q75" s="159">
        <f t="shared" si="98"/>
        <v>0</v>
      </c>
      <c r="R75" s="159">
        <f t="shared" si="98"/>
        <v>0</v>
      </c>
      <c r="S75" s="159">
        <f t="shared" si="98"/>
        <v>0</v>
      </c>
      <c r="T75" s="159">
        <f t="shared" si="98"/>
        <v>0</v>
      </c>
      <c r="U75" s="159">
        <f t="shared" si="98"/>
        <v>0</v>
      </c>
      <c r="V75" s="159">
        <f t="shared" si="98"/>
        <v>0</v>
      </c>
      <c r="W75" s="159">
        <f t="shared" si="98"/>
        <v>0</v>
      </c>
      <c r="X75" s="159">
        <f t="shared" si="98"/>
        <v>0</v>
      </c>
      <c r="Y75" s="159">
        <f t="shared" si="98"/>
        <v>0</v>
      </c>
      <c r="Z75" s="159">
        <f t="shared" si="98"/>
        <v>0</v>
      </c>
      <c r="AA75" s="159">
        <f t="shared" si="98"/>
        <v>0</v>
      </c>
      <c r="AB75" s="159">
        <f t="shared" si="98"/>
        <v>0</v>
      </c>
      <c r="AC75" s="159">
        <f t="shared" si="98"/>
        <v>0</v>
      </c>
      <c r="AD75" s="159">
        <f t="shared" si="98"/>
        <v>0</v>
      </c>
      <c r="AE75" s="159">
        <f t="shared" si="98"/>
        <v>0</v>
      </c>
      <c r="AF75" s="159">
        <f t="shared" si="98"/>
        <v>0</v>
      </c>
      <c r="AG75" s="159">
        <f t="shared" si="98"/>
        <v>0</v>
      </c>
      <c r="AH75" s="159">
        <f t="shared" si="98"/>
        <v>0</v>
      </c>
      <c r="AI75" s="159">
        <f t="shared" si="98"/>
        <v>0</v>
      </c>
      <c r="AJ75" s="159">
        <f t="shared" si="98"/>
        <v>0</v>
      </c>
      <c r="AK75" s="159">
        <f t="shared" si="98"/>
        <v>0</v>
      </c>
      <c r="AL75" s="159">
        <f t="shared" si="98"/>
        <v>0</v>
      </c>
      <c r="AM75" s="159">
        <f t="shared" si="98"/>
        <v>0</v>
      </c>
      <c r="AN75" s="159">
        <f>IF(AN74&gt;$F24+1,0,1)*(IF(AO75=0,100,0)+IF($G24=1,1,0.5)*$J24*100)</f>
        <v>0</v>
      </c>
      <c r="AO75" s="159">
        <f t="shared" ref="AO75:AQ75" si="99">IF(AO74&gt;$F24+1,0,1)*(IF(AP75=0,100,0)+IF($G24=1,1,0.5)*$J24*100)</f>
        <v>0</v>
      </c>
      <c r="AP75" s="159">
        <f t="shared" si="99"/>
        <v>0</v>
      </c>
      <c r="AQ75" s="159">
        <f t="shared" si="99"/>
        <v>0</v>
      </c>
      <c r="AR75" s="159">
        <f>IF(AR74&gt;$F24+1,0,1)*(IF(AS75=0,100,0)+IF($G24=1,1,0.5)*$J24*100)</f>
        <v>0</v>
      </c>
      <c r="AS75" s="159">
        <f t="shared" ref="AS75" si="100">IF(AS74&gt;$F24+1,0,1)*(IF(AT75=0,100,0)+IF($G24=1,1,0.5)*$J24*100)</f>
        <v>0</v>
      </c>
      <c r="AT75" s="159">
        <f>IF(AT74&gt;$F24+1,0,1)*(IF(AU75=0,100,0)+IF($G24=1,1,0.5)*$J24*100)</f>
        <v>0</v>
      </c>
      <c r="AU75" s="159">
        <f t="shared" ref="AU75:AW75" si="101">IF(AU74&gt;$F24+1,0,1)*(IF(AV75=0,100,0)+IF($G24=1,1,0.5)*$J24*100)</f>
        <v>0</v>
      </c>
      <c r="AV75" s="159">
        <f t="shared" si="101"/>
        <v>0</v>
      </c>
      <c r="AW75" s="159">
        <f t="shared" si="101"/>
        <v>0</v>
      </c>
      <c r="AX75" s="159">
        <f>IF(AX74&gt;$F24+1,0,1)*(IF(AY75=0,100,0)+IF($G24=1,1,0.5)*$J24*100)</f>
        <v>0</v>
      </c>
      <c r="AY75" s="159">
        <f t="shared" ref="AY75:BG75" si="102">IF(AY74&gt;$F24+1,0,1)*(IF(AZ75=0,100,0)+IF($G24=1,1,0.5)*$J24*100)</f>
        <v>0</v>
      </c>
      <c r="AZ75" s="159">
        <f t="shared" si="102"/>
        <v>0</v>
      </c>
      <c r="BA75" s="159">
        <f t="shared" si="102"/>
        <v>0</v>
      </c>
      <c r="BB75" s="159">
        <f t="shared" si="102"/>
        <v>0</v>
      </c>
      <c r="BC75" s="159">
        <f t="shared" si="102"/>
        <v>0</v>
      </c>
      <c r="BD75" s="160">
        <f t="shared" si="102"/>
        <v>0</v>
      </c>
      <c r="BE75" s="159">
        <f t="shared" si="102"/>
        <v>0</v>
      </c>
      <c r="BF75" s="159">
        <f t="shared" si="102"/>
        <v>0</v>
      </c>
      <c r="BG75" s="159">
        <f t="shared" si="102"/>
        <v>0</v>
      </c>
      <c r="BH75" s="159">
        <f>IF(BH74&gt;$F24+1,0,1)*(IF(BI75=0,100,0)+IF($G24=1,1,0.5)*$J24*100)</f>
        <v>0</v>
      </c>
      <c r="BI75" s="159">
        <f t="shared" ref="BI75:BK75" si="103">IF(BI74&gt;$F24+1,0,1)*(IF(BJ75=0,100,0)+IF($G24=1,1,0.5)*$J24*100)</f>
        <v>0</v>
      </c>
      <c r="BJ75" s="159">
        <f t="shared" si="103"/>
        <v>0</v>
      </c>
      <c r="BK75" s="159">
        <f t="shared" si="103"/>
        <v>0</v>
      </c>
      <c r="BL75" s="159">
        <f>IF(BL74&gt;$F24+1,0,1)*(IF(BM75=0,100,0)+IF($G24=1,1,0.5)*$J24*100)</f>
        <v>0</v>
      </c>
      <c r="BM75" s="159">
        <f t="shared" ref="BM75:CB75" si="104">IF(BM74&gt;$F24+1,0,1)*(IF(BN75=0,100,0)+IF($G24=1,1,0.5)*$J24*100)</f>
        <v>0</v>
      </c>
      <c r="BN75" s="159">
        <f t="shared" si="104"/>
        <v>0</v>
      </c>
      <c r="BO75" s="159">
        <f t="shared" si="104"/>
        <v>0</v>
      </c>
      <c r="BP75" s="159">
        <f t="shared" si="104"/>
        <v>0</v>
      </c>
      <c r="BQ75" s="159">
        <f t="shared" si="104"/>
        <v>0</v>
      </c>
      <c r="BR75" s="159">
        <f t="shared" si="104"/>
        <v>0</v>
      </c>
      <c r="BS75" s="159">
        <f t="shared" si="104"/>
        <v>0</v>
      </c>
      <c r="BT75" s="159">
        <f t="shared" si="104"/>
        <v>0</v>
      </c>
      <c r="BU75" s="159">
        <f t="shared" si="104"/>
        <v>0</v>
      </c>
      <c r="BV75" s="159">
        <f t="shared" si="104"/>
        <v>0</v>
      </c>
      <c r="BW75" s="159">
        <f t="shared" si="104"/>
        <v>0</v>
      </c>
      <c r="BX75" s="159">
        <f t="shared" si="104"/>
        <v>0</v>
      </c>
      <c r="BY75" s="159">
        <f t="shared" si="104"/>
        <v>0</v>
      </c>
      <c r="BZ75" s="159">
        <f t="shared" si="104"/>
        <v>0</v>
      </c>
      <c r="CA75" s="159">
        <f t="shared" si="104"/>
        <v>0</v>
      </c>
      <c r="CB75" s="187">
        <f t="shared" si="104"/>
        <v>0</v>
      </c>
      <c r="CF75" s="9"/>
      <c r="CG75" s="9"/>
      <c r="CH75" s="9"/>
      <c r="CI75" s="9"/>
      <c r="CJ75" s="9"/>
      <c r="CK75" s="9"/>
      <c r="CL75" s="9"/>
      <c r="CM75" s="9"/>
      <c r="CN75" s="9"/>
      <c r="CO75" s="9"/>
      <c r="CP75" s="9"/>
      <c r="CQ75" s="9"/>
      <c r="CR75" s="9"/>
      <c r="CS75" s="9"/>
      <c r="CT75" s="9"/>
      <c r="CU75" s="9"/>
      <c r="CV75" s="9"/>
      <c r="CW75" s="9"/>
      <c r="CX75" s="9"/>
      <c r="CY75" s="9"/>
      <c r="CZ75" s="9"/>
      <c r="DA75" s="9"/>
      <c r="DB75" s="9"/>
      <c r="DC75" s="9"/>
      <c r="DD75" s="9"/>
      <c r="DE75" s="9"/>
      <c r="DF75" s="9"/>
      <c r="DG75" s="9"/>
      <c r="DH75" s="9"/>
      <c r="DI75" s="9"/>
      <c r="DJ75" s="9"/>
      <c r="DK75" s="9"/>
    </row>
    <row r="76" spans="1:115">
      <c r="A76" s="266" t="s">
        <v>49</v>
      </c>
      <c r="B76" s="144">
        <f>IF(E25=0,F25,E25)</f>
        <v>0</v>
      </c>
      <c r="C76" s="145">
        <f>B76+IF($G25=1,365,182.5)</f>
        <v>182.5</v>
      </c>
      <c r="D76" s="145">
        <f>C76+IF($G25=1,365,182.5)</f>
        <v>365</v>
      </c>
      <c r="E76" s="145">
        <f t="shared" ref="E76:BP76" si="105">D76+IF($G25=1,365,182.5)</f>
        <v>547.5</v>
      </c>
      <c r="F76" s="145">
        <f t="shared" si="105"/>
        <v>730</v>
      </c>
      <c r="G76" s="145">
        <f t="shared" si="105"/>
        <v>912.5</v>
      </c>
      <c r="H76" s="145">
        <f t="shared" si="105"/>
        <v>1095</v>
      </c>
      <c r="I76" s="145">
        <f t="shared" si="105"/>
        <v>1277.5</v>
      </c>
      <c r="J76" s="145">
        <f t="shared" si="105"/>
        <v>1460</v>
      </c>
      <c r="K76" s="145">
        <f t="shared" si="105"/>
        <v>1642.5</v>
      </c>
      <c r="L76" s="145">
        <f t="shared" si="105"/>
        <v>1825</v>
      </c>
      <c r="M76" s="145">
        <f t="shared" si="105"/>
        <v>2007.5</v>
      </c>
      <c r="N76" s="145">
        <f t="shared" si="105"/>
        <v>2190</v>
      </c>
      <c r="O76" s="145">
        <f t="shared" si="105"/>
        <v>2372.5</v>
      </c>
      <c r="P76" s="145">
        <f t="shared" si="105"/>
        <v>2555</v>
      </c>
      <c r="Q76" s="145">
        <f t="shared" si="105"/>
        <v>2737.5</v>
      </c>
      <c r="R76" s="145">
        <f t="shared" si="105"/>
        <v>2920</v>
      </c>
      <c r="S76" s="145">
        <f t="shared" si="105"/>
        <v>3102.5</v>
      </c>
      <c r="T76" s="145">
        <f t="shared" si="105"/>
        <v>3285</v>
      </c>
      <c r="U76" s="145">
        <f t="shared" si="105"/>
        <v>3467.5</v>
      </c>
      <c r="V76" s="145">
        <f t="shared" si="105"/>
        <v>3650</v>
      </c>
      <c r="W76" s="145">
        <f t="shared" si="105"/>
        <v>3832.5</v>
      </c>
      <c r="X76" s="145">
        <f t="shared" si="105"/>
        <v>4015</v>
      </c>
      <c r="Y76" s="145">
        <f t="shared" si="105"/>
        <v>4197.5</v>
      </c>
      <c r="Z76" s="145">
        <f t="shared" si="105"/>
        <v>4380</v>
      </c>
      <c r="AA76" s="145">
        <f t="shared" si="105"/>
        <v>4562.5</v>
      </c>
      <c r="AB76" s="145">
        <f t="shared" si="105"/>
        <v>4745</v>
      </c>
      <c r="AC76" s="145">
        <f t="shared" si="105"/>
        <v>4927.5</v>
      </c>
      <c r="AD76" s="145">
        <f t="shared" si="105"/>
        <v>5110</v>
      </c>
      <c r="AE76" s="145">
        <f t="shared" si="105"/>
        <v>5292.5</v>
      </c>
      <c r="AF76" s="145">
        <f t="shared" si="105"/>
        <v>5475</v>
      </c>
      <c r="AG76" s="145">
        <f t="shared" si="105"/>
        <v>5657.5</v>
      </c>
      <c r="AH76" s="145">
        <f t="shared" si="105"/>
        <v>5840</v>
      </c>
      <c r="AI76" s="145">
        <f t="shared" si="105"/>
        <v>6022.5</v>
      </c>
      <c r="AJ76" s="145">
        <f t="shared" si="105"/>
        <v>6205</v>
      </c>
      <c r="AK76" s="145">
        <f t="shared" si="105"/>
        <v>6387.5</v>
      </c>
      <c r="AL76" s="145">
        <f t="shared" si="105"/>
        <v>6570</v>
      </c>
      <c r="AM76" s="145">
        <f t="shared" si="105"/>
        <v>6752.5</v>
      </c>
      <c r="AN76" s="145">
        <f t="shared" si="105"/>
        <v>6935</v>
      </c>
      <c r="AO76" s="145">
        <f t="shared" si="105"/>
        <v>7117.5</v>
      </c>
      <c r="AP76" s="145">
        <f t="shared" si="105"/>
        <v>7300</v>
      </c>
      <c r="AQ76" s="145">
        <f t="shared" si="105"/>
        <v>7482.5</v>
      </c>
      <c r="AR76" s="145">
        <f t="shared" si="105"/>
        <v>7665</v>
      </c>
      <c r="AS76" s="145">
        <f t="shared" si="105"/>
        <v>7847.5</v>
      </c>
      <c r="AT76" s="145">
        <f t="shared" si="105"/>
        <v>8030</v>
      </c>
      <c r="AU76" s="145">
        <f t="shared" si="105"/>
        <v>8212.5</v>
      </c>
      <c r="AV76" s="145">
        <f t="shared" si="105"/>
        <v>8395</v>
      </c>
      <c r="AW76" s="145">
        <f t="shared" si="105"/>
        <v>8577.5</v>
      </c>
      <c r="AX76" s="145">
        <f t="shared" si="105"/>
        <v>8760</v>
      </c>
      <c r="AY76" s="145">
        <f t="shared" si="105"/>
        <v>8942.5</v>
      </c>
      <c r="AZ76" s="145">
        <f t="shared" si="105"/>
        <v>9125</v>
      </c>
      <c r="BA76" s="145">
        <f t="shared" si="105"/>
        <v>9307.5</v>
      </c>
      <c r="BB76" s="145">
        <f t="shared" si="105"/>
        <v>9490</v>
      </c>
      <c r="BC76" s="145">
        <f t="shared" si="105"/>
        <v>9672.5</v>
      </c>
      <c r="BD76" s="145">
        <f t="shared" si="105"/>
        <v>9855</v>
      </c>
      <c r="BE76" s="145">
        <f t="shared" si="105"/>
        <v>10037.5</v>
      </c>
      <c r="BF76" s="145">
        <f t="shared" si="105"/>
        <v>10220</v>
      </c>
      <c r="BG76" s="145">
        <f t="shared" si="105"/>
        <v>10402.5</v>
      </c>
      <c r="BH76" s="145">
        <f t="shared" si="105"/>
        <v>10585</v>
      </c>
      <c r="BI76" s="145">
        <f t="shared" si="105"/>
        <v>10767.5</v>
      </c>
      <c r="BJ76" s="145">
        <f t="shared" si="105"/>
        <v>10950</v>
      </c>
      <c r="BK76" s="145">
        <f t="shared" si="105"/>
        <v>11132.5</v>
      </c>
      <c r="BL76" s="145">
        <f t="shared" si="105"/>
        <v>11315</v>
      </c>
      <c r="BM76" s="145">
        <f t="shared" si="105"/>
        <v>11497.5</v>
      </c>
      <c r="BN76" s="145">
        <f t="shared" si="105"/>
        <v>11680</v>
      </c>
      <c r="BO76" s="145">
        <f t="shared" si="105"/>
        <v>11862.5</v>
      </c>
      <c r="BP76" s="145">
        <f t="shared" si="105"/>
        <v>12045</v>
      </c>
      <c r="BQ76" s="145">
        <f t="shared" ref="BQ76:CB76" si="106">BP76+IF($G25=1,365,182.5)</f>
        <v>12227.5</v>
      </c>
      <c r="BR76" s="145">
        <f t="shared" si="106"/>
        <v>12410</v>
      </c>
      <c r="BS76" s="145">
        <f t="shared" si="106"/>
        <v>12592.5</v>
      </c>
      <c r="BT76" s="145">
        <f t="shared" si="106"/>
        <v>12775</v>
      </c>
      <c r="BU76" s="145">
        <f t="shared" si="106"/>
        <v>12957.5</v>
      </c>
      <c r="BV76" s="145">
        <f t="shared" si="106"/>
        <v>13140</v>
      </c>
      <c r="BW76" s="145">
        <f t="shared" si="106"/>
        <v>13322.5</v>
      </c>
      <c r="BX76" s="145">
        <f t="shared" si="106"/>
        <v>13505</v>
      </c>
      <c r="BY76" s="145">
        <f t="shared" si="106"/>
        <v>13687.5</v>
      </c>
      <c r="BZ76" s="145">
        <f t="shared" si="106"/>
        <v>13870</v>
      </c>
      <c r="CA76" s="145">
        <f t="shared" si="106"/>
        <v>14052.5</v>
      </c>
      <c r="CB76" s="146">
        <f t="shared" si="106"/>
        <v>14235</v>
      </c>
      <c r="CF76" s="9"/>
      <c r="CG76" s="9"/>
      <c r="CH76" s="9"/>
      <c r="CI76" s="9"/>
      <c r="CJ76" s="9"/>
      <c r="CK76" s="9"/>
      <c r="CL76" s="9"/>
      <c r="CM76" s="9"/>
      <c r="CN76" s="9"/>
      <c r="CO76" s="9"/>
      <c r="CP76" s="9"/>
      <c r="CQ76" s="9"/>
      <c r="CR76" s="9"/>
      <c r="CS76" s="9"/>
      <c r="CT76" s="9"/>
      <c r="CU76" s="9"/>
      <c r="CV76" s="9"/>
      <c r="CW76" s="9"/>
      <c r="CX76" s="9"/>
      <c r="CY76" s="9"/>
      <c r="CZ76" s="9"/>
      <c r="DA76" s="9"/>
      <c r="DB76" s="9"/>
      <c r="DC76" s="9"/>
      <c r="DD76" s="9"/>
      <c r="DE76" s="9"/>
      <c r="DF76" s="9"/>
      <c r="DG76" s="9"/>
      <c r="DH76" s="9"/>
      <c r="DI76" s="9"/>
      <c r="DJ76" s="9"/>
      <c r="DK76" s="9"/>
    </row>
    <row r="77" spans="1:115">
      <c r="A77" s="143" t="s">
        <v>128</v>
      </c>
      <c r="B77" s="147">
        <f>(IF(B76=F25,100,0)+IF(G25=1,1,0.5)*J25*100)*IF(ISBLANK(F25)=TRUE,0,1)</f>
        <v>0</v>
      </c>
      <c r="C77" s="148">
        <f>IF(C76&gt;$F25+1,0,1)*(IF(D77=0,100,0)+IF($G25=1,1,0.5)*$J25*100)</f>
        <v>0</v>
      </c>
      <c r="D77" s="148">
        <f t="shared" ref="D77:BO77" si="107">IF(D76&gt;$F25+1,0,1)*(IF(E77=0,100,0)+IF($G25=1,1,0.5)*$J25*100)</f>
        <v>0</v>
      </c>
      <c r="E77" s="148">
        <f t="shared" si="107"/>
        <v>0</v>
      </c>
      <c r="F77" s="148">
        <f t="shared" si="107"/>
        <v>0</v>
      </c>
      <c r="G77" s="148">
        <f t="shared" si="107"/>
        <v>0</v>
      </c>
      <c r="H77" s="148">
        <f t="shared" si="107"/>
        <v>0</v>
      </c>
      <c r="I77" s="148">
        <f t="shared" si="107"/>
        <v>0</v>
      </c>
      <c r="J77" s="148">
        <f t="shared" si="107"/>
        <v>0</v>
      </c>
      <c r="K77" s="148">
        <f t="shared" si="107"/>
        <v>0</v>
      </c>
      <c r="L77" s="148">
        <f t="shared" si="107"/>
        <v>0</v>
      </c>
      <c r="M77" s="148">
        <f t="shared" si="107"/>
        <v>0</v>
      </c>
      <c r="N77" s="148">
        <f t="shared" si="107"/>
        <v>0</v>
      </c>
      <c r="O77" s="148">
        <f t="shared" si="107"/>
        <v>0</v>
      </c>
      <c r="P77" s="148">
        <f t="shared" si="107"/>
        <v>0</v>
      </c>
      <c r="Q77" s="148">
        <f t="shared" si="107"/>
        <v>0</v>
      </c>
      <c r="R77" s="148">
        <f t="shared" si="107"/>
        <v>0</v>
      </c>
      <c r="S77" s="148">
        <f t="shared" si="107"/>
        <v>0</v>
      </c>
      <c r="T77" s="148">
        <f t="shared" si="107"/>
        <v>0</v>
      </c>
      <c r="U77" s="148">
        <f t="shared" si="107"/>
        <v>0</v>
      </c>
      <c r="V77" s="148">
        <f t="shared" si="107"/>
        <v>0</v>
      </c>
      <c r="W77" s="148">
        <f t="shared" si="107"/>
        <v>0</v>
      </c>
      <c r="X77" s="148">
        <f t="shared" si="107"/>
        <v>0</v>
      </c>
      <c r="Y77" s="148">
        <f t="shared" si="107"/>
        <v>0</v>
      </c>
      <c r="Z77" s="148">
        <f t="shared" si="107"/>
        <v>0</v>
      </c>
      <c r="AA77" s="148">
        <f t="shared" si="107"/>
        <v>0</v>
      </c>
      <c r="AB77" s="148">
        <f t="shared" si="107"/>
        <v>0</v>
      </c>
      <c r="AC77" s="148">
        <f t="shared" si="107"/>
        <v>0</v>
      </c>
      <c r="AD77" s="148">
        <f t="shared" si="107"/>
        <v>0</v>
      </c>
      <c r="AE77" s="148">
        <f t="shared" si="107"/>
        <v>0</v>
      </c>
      <c r="AF77" s="148">
        <f t="shared" si="107"/>
        <v>0</v>
      </c>
      <c r="AG77" s="148">
        <f t="shared" si="107"/>
        <v>0</v>
      </c>
      <c r="AH77" s="148">
        <f t="shared" si="107"/>
        <v>0</v>
      </c>
      <c r="AI77" s="148">
        <f t="shared" si="107"/>
        <v>0</v>
      </c>
      <c r="AJ77" s="148">
        <f t="shared" si="107"/>
        <v>0</v>
      </c>
      <c r="AK77" s="148">
        <f t="shared" si="107"/>
        <v>0</v>
      </c>
      <c r="AL77" s="148">
        <f t="shared" si="107"/>
        <v>0</v>
      </c>
      <c r="AM77" s="148">
        <f t="shared" si="107"/>
        <v>0</v>
      </c>
      <c r="AN77" s="148">
        <f t="shared" si="107"/>
        <v>0</v>
      </c>
      <c r="AO77" s="148">
        <f t="shared" si="107"/>
        <v>0</v>
      </c>
      <c r="AP77" s="148">
        <f t="shared" si="107"/>
        <v>0</v>
      </c>
      <c r="AQ77" s="148">
        <f t="shared" si="107"/>
        <v>0</v>
      </c>
      <c r="AR77" s="148">
        <f t="shared" si="107"/>
        <v>0</v>
      </c>
      <c r="AS77" s="148">
        <f t="shared" si="107"/>
        <v>0</v>
      </c>
      <c r="AT77" s="148">
        <f t="shared" si="107"/>
        <v>0</v>
      </c>
      <c r="AU77" s="148">
        <f t="shared" si="107"/>
        <v>0</v>
      </c>
      <c r="AV77" s="148">
        <f t="shared" si="107"/>
        <v>0</v>
      </c>
      <c r="AW77" s="148">
        <f t="shared" si="107"/>
        <v>0</v>
      </c>
      <c r="AX77" s="148">
        <f t="shared" si="107"/>
        <v>0</v>
      </c>
      <c r="AY77" s="148">
        <f t="shared" si="107"/>
        <v>0</v>
      </c>
      <c r="AZ77" s="148">
        <f t="shared" si="107"/>
        <v>0</v>
      </c>
      <c r="BA77" s="148">
        <f t="shared" si="107"/>
        <v>0</v>
      </c>
      <c r="BB77" s="148">
        <f t="shared" si="107"/>
        <v>0</v>
      </c>
      <c r="BC77" s="148">
        <f t="shared" si="107"/>
        <v>0</v>
      </c>
      <c r="BD77" s="148">
        <f t="shared" si="107"/>
        <v>0</v>
      </c>
      <c r="BE77" s="148">
        <f t="shared" si="107"/>
        <v>0</v>
      </c>
      <c r="BF77" s="148">
        <f t="shared" si="107"/>
        <v>0</v>
      </c>
      <c r="BG77" s="148">
        <f t="shared" si="107"/>
        <v>0</v>
      </c>
      <c r="BH77" s="148">
        <f t="shared" si="107"/>
        <v>0</v>
      </c>
      <c r="BI77" s="148">
        <f t="shared" si="107"/>
        <v>0</v>
      </c>
      <c r="BJ77" s="148">
        <f t="shared" si="107"/>
        <v>0</v>
      </c>
      <c r="BK77" s="148">
        <f t="shared" si="107"/>
        <v>0</v>
      </c>
      <c r="BL77" s="148">
        <f t="shared" si="107"/>
        <v>0</v>
      </c>
      <c r="BM77" s="148">
        <f t="shared" si="107"/>
        <v>0</v>
      </c>
      <c r="BN77" s="148">
        <f t="shared" si="107"/>
        <v>0</v>
      </c>
      <c r="BO77" s="148">
        <f t="shared" si="107"/>
        <v>0</v>
      </c>
      <c r="BP77" s="148">
        <f t="shared" ref="BP77:CB77" si="108">IF(BP76&gt;$F25+1,0,1)*(IF(BQ77=0,100,0)+IF($G25=1,1,0.5)*$J25*100)</f>
        <v>0</v>
      </c>
      <c r="BQ77" s="148">
        <f t="shared" si="108"/>
        <v>0</v>
      </c>
      <c r="BR77" s="148">
        <f t="shared" si="108"/>
        <v>0</v>
      </c>
      <c r="BS77" s="148">
        <f t="shared" si="108"/>
        <v>0</v>
      </c>
      <c r="BT77" s="148">
        <f t="shared" si="108"/>
        <v>0</v>
      </c>
      <c r="BU77" s="148">
        <f t="shared" si="108"/>
        <v>0</v>
      </c>
      <c r="BV77" s="148">
        <f t="shared" si="108"/>
        <v>0</v>
      </c>
      <c r="BW77" s="148">
        <f t="shared" si="108"/>
        <v>0</v>
      </c>
      <c r="BX77" s="148">
        <f t="shared" si="108"/>
        <v>0</v>
      </c>
      <c r="BY77" s="148">
        <f t="shared" si="108"/>
        <v>0</v>
      </c>
      <c r="BZ77" s="148">
        <f t="shared" si="108"/>
        <v>0</v>
      </c>
      <c r="CA77" s="148">
        <f t="shared" si="108"/>
        <v>0</v>
      </c>
      <c r="CB77" s="154">
        <f t="shared" si="108"/>
        <v>0</v>
      </c>
      <c r="CF77" s="9"/>
      <c r="CG77" s="9"/>
      <c r="CH77" s="9"/>
      <c r="CI77" s="9"/>
      <c r="CJ77" s="9"/>
      <c r="CK77" s="9"/>
      <c r="CL77" s="9"/>
      <c r="CM77" s="9"/>
      <c r="CN77" s="9"/>
      <c r="CO77" s="9"/>
      <c r="CP77" s="9"/>
      <c r="CQ77" s="9"/>
      <c r="CR77" s="9"/>
      <c r="CS77" s="9"/>
      <c r="CT77" s="9"/>
      <c r="CU77" s="9"/>
      <c r="CV77" s="9"/>
      <c r="CW77" s="9"/>
      <c r="CX77" s="9"/>
      <c r="CY77" s="9"/>
      <c r="CZ77" s="9"/>
      <c r="DA77" s="9"/>
      <c r="DB77" s="9"/>
      <c r="DC77" s="9"/>
      <c r="DD77" s="9"/>
      <c r="DE77" s="9"/>
      <c r="DF77" s="9"/>
      <c r="DG77" s="9"/>
      <c r="DH77" s="9"/>
      <c r="DI77" s="9"/>
      <c r="DJ77" s="9"/>
      <c r="DK77" s="9"/>
    </row>
    <row r="78" spans="1:115">
      <c r="A78" s="265" t="s">
        <v>49</v>
      </c>
      <c r="B78" s="37">
        <f>IF(E26=0,F26,E26)</f>
        <v>0</v>
      </c>
      <c r="C78" s="38">
        <f>B78+IF($G26=1,365,182.5)</f>
        <v>182.5</v>
      </c>
      <c r="D78" s="38">
        <f>C78+IF($G26=1,365,182.5)</f>
        <v>365</v>
      </c>
      <c r="E78" s="38">
        <f t="shared" ref="E78:BP78" si="109">D78+IF($G26=1,365,182.5)</f>
        <v>547.5</v>
      </c>
      <c r="F78" s="38">
        <f t="shared" si="109"/>
        <v>730</v>
      </c>
      <c r="G78" s="38">
        <f t="shared" si="109"/>
        <v>912.5</v>
      </c>
      <c r="H78" s="38">
        <f t="shared" si="109"/>
        <v>1095</v>
      </c>
      <c r="I78" s="38">
        <f t="shared" si="109"/>
        <v>1277.5</v>
      </c>
      <c r="J78" s="38">
        <f t="shared" si="109"/>
        <v>1460</v>
      </c>
      <c r="K78" s="38">
        <f t="shared" si="109"/>
        <v>1642.5</v>
      </c>
      <c r="L78" s="38">
        <f t="shared" si="109"/>
        <v>1825</v>
      </c>
      <c r="M78" s="38">
        <f t="shared" si="109"/>
        <v>2007.5</v>
      </c>
      <c r="N78" s="38">
        <f t="shared" si="109"/>
        <v>2190</v>
      </c>
      <c r="O78" s="38">
        <f t="shared" si="109"/>
        <v>2372.5</v>
      </c>
      <c r="P78" s="38">
        <f t="shared" si="109"/>
        <v>2555</v>
      </c>
      <c r="Q78" s="38">
        <f t="shared" si="109"/>
        <v>2737.5</v>
      </c>
      <c r="R78" s="38">
        <f t="shared" si="109"/>
        <v>2920</v>
      </c>
      <c r="S78" s="38">
        <f t="shared" si="109"/>
        <v>3102.5</v>
      </c>
      <c r="T78" s="38">
        <f t="shared" si="109"/>
        <v>3285</v>
      </c>
      <c r="U78" s="38">
        <f t="shared" si="109"/>
        <v>3467.5</v>
      </c>
      <c r="V78" s="38">
        <f t="shared" si="109"/>
        <v>3650</v>
      </c>
      <c r="W78" s="38">
        <f t="shared" si="109"/>
        <v>3832.5</v>
      </c>
      <c r="X78" s="38">
        <f t="shared" si="109"/>
        <v>4015</v>
      </c>
      <c r="Y78" s="38">
        <f t="shared" si="109"/>
        <v>4197.5</v>
      </c>
      <c r="Z78" s="38">
        <f t="shared" si="109"/>
        <v>4380</v>
      </c>
      <c r="AA78" s="38">
        <f t="shared" si="109"/>
        <v>4562.5</v>
      </c>
      <c r="AB78" s="38">
        <f t="shared" si="109"/>
        <v>4745</v>
      </c>
      <c r="AC78" s="38">
        <f t="shared" si="109"/>
        <v>4927.5</v>
      </c>
      <c r="AD78" s="38">
        <f t="shared" si="109"/>
        <v>5110</v>
      </c>
      <c r="AE78" s="38">
        <f t="shared" si="109"/>
        <v>5292.5</v>
      </c>
      <c r="AF78" s="38">
        <f t="shared" si="109"/>
        <v>5475</v>
      </c>
      <c r="AG78" s="38">
        <f t="shared" si="109"/>
        <v>5657.5</v>
      </c>
      <c r="AH78" s="38">
        <f t="shared" si="109"/>
        <v>5840</v>
      </c>
      <c r="AI78" s="38">
        <f t="shared" si="109"/>
        <v>6022.5</v>
      </c>
      <c r="AJ78" s="38">
        <f t="shared" si="109"/>
        <v>6205</v>
      </c>
      <c r="AK78" s="38">
        <f t="shared" si="109"/>
        <v>6387.5</v>
      </c>
      <c r="AL78" s="38">
        <f t="shared" si="109"/>
        <v>6570</v>
      </c>
      <c r="AM78" s="38">
        <f t="shared" si="109"/>
        <v>6752.5</v>
      </c>
      <c r="AN78" s="38">
        <f t="shared" si="109"/>
        <v>6935</v>
      </c>
      <c r="AO78" s="38">
        <f t="shared" si="109"/>
        <v>7117.5</v>
      </c>
      <c r="AP78" s="38">
        <f t="shared" si="109"/>
        <v>7300</v>
      </c>
      <c r="AQ78" s="38">
        <f t="shared" si="109"/>
        <v>7482.5</v>
      </c>
      <c r="AR78" s="38">
        <f t="shared" si="109"/>
        <v>7665</v>
      </c>
      <c r="AS78" s="38">
        <f t="shared" si="109"/>
        <v>7847.5</v>
      </c>
      <c r="AT78" s="38">
        <f t="shared" si="109"/>
        <v>8030</v>
      </c>
      <c r="AU78" s="38">
        <f t="shared" si="109"/>
        <v>8212.5</v>
      </c>
      <c r="AV78" s="38">
        <f t="shared" si="109"/>
        <v>8395</v>
      </c>
      <c r="AW78" s="38">
        <f t="shared" si="109"/>
        <v>8577.5</v>
      </c>
      <c r="AX78" s="38">
        <f t="shared" si="109"/>
        <v>8760</v>
      </c>
      <c r="AY78" s="38">
        <f t="shared" si="109"/>
        <v>8942.5</v>
      </c>
      <c r="AZ78" s="38">
        <f t="shared" si="109"/>
        <v>9125</v>
      </c>
      <c r="BA78" s="38">
        <f t="shared" si="109"/>
        <v>9307.5</v>
      </c>
      <c r="BB78" s="38">
        <f t="shared" si="109"/>
        <v>9490</v>
      </c>
      <c r="BC78" s="38">
        <f t="shared" si="109"/>
        <v>9672.5</v>
      </c>
      <c r="BD78" s="38">
        <f t="shared" si="109"/>
        <v>9855</v>
      </c>
      <c r="BE78" s="38">
        <f t="shared" si="109"/>
        <v>10037.5</v>
      </c>
      <c r="BF78" s="38">
        <f t="shared" si="109"/>
        <v>10220</v>
      </c>
      <c r="BG78" s="38">
        <f t="shared" si="109"/>
        <v>10402.5</v>
      </c>
      <c r="BH78" s="38">
        <f t="shared" si="109"/>
        <v>10585</v>
      </c>
      <c r="BI78" s="38">
        <f t="shared" si="109"/>
        <v>10767.5</v>
      </c>
      <c r="BJ78" s="38">
        <f t="shared" si="109"/>
        <v>10950</v>
      </c>
      <c r="BK78" s="38">
        <f t="shared" si="109"/>
        <v>11132.5</v>
      </c>
      <c r="BL78" s="38">
        <f t="shared" si="109"/>
        <v>11315</v>
      </c>
      <c r="BM78" s="38">
        <f t="shared" si="109"/>
        <v>11497.5</v>
      </c>
      <c r="BN78" s="38">
        <f t="shared" si="109"/>
        <v>11680</v>
      </c>
      <c r="BO78" s="38">
        <f t="shared" si="109"/>
        <v>11862.5</v>
      </c>
      <c r="BP78" s="38">
        <f t="shared" si="109"/>
        <v>12045</v>
      </c>
      <c r="BQ78" s="38">
        <f t="shared" ref="BQ78:CB78" si="110">BP78+IF($G26=1,365,182.5)</f>
        <v>12227.5</v>
      </c>
      <c r="BR78" s="38">
        <f t="shared" si="110"/>
        <v>12410</v>
      </c>
      <c r="BS78" s="38">
        <f t="shared" si="110"/>
        <v>12592.5</v>
      </c>
      <c r="BT78" s="38">
        <f t="shared" si="110"/>
        <v>12775</v>
      </c>
      <c r="BU78" s="38">
        <f t="shared" si="110"/>
        <v>12957.5</v>
      </c>
      <c r="BV78" s="38">
        <f t="shared" si="110"/>
        <v>13140</v>
      </c>
      <c r="BW78" s="38">
        <f t="shared" si="110"/>
        <v>13322.5</v>
      </c>
      <c r="BX78" s="38">
        <f t="shared" si="110"/>
        <v>13505</v>
      </c>
      <c r="BY78" s="38">
        <f t="shared" si="110"/>
        <v>13687.5</v>
      </c>
      <c r="BZ78" s="38">
        <f t="shared" si="110"/>
        <v>13870</v>
      </c>
      <c r="CA78" s="38">
        <f t="shared" si="110"/>
        <v>14052.5</v>
      </c>
      <c r="CB78" s="39">
        <f t="shared" si="110"/>
        <v>14235</v>
      </c>
      <c r="CF78" s="9"/>
      <c r="CG78" s="9"/>
      <c r="CH78" s="9"/>
      <c r="CI78" s="9"/>
      <c r="CJ78" s="9"/>
      <c r="CK78" s="9"/>
      <c r="CL78" s="9"/>
      <c r="CM78" s="9"/>
      <c r="CN78" s="9"/>
      <c r="CO78" s="9"/>
      <c r="CP78" s="9"/>
      <c r="CQ78" s="9"/>
      <c r="CR78" s="9"/>
      <c r="CS78" s="9"/>
      <c r="CT78" s="9"/>
      <c r="CU78" s="9"/>
      <c r="CV78" s="9"/>
      <c r="CW78" s="9"/>
      <c r="CX78" s="9"/>
      <c r="CY78" s="9"/>
      <c r="CZ78" s="9"/>
      <c r="DA78" s="9"/>
      <c r="DB78" s="9"/>
      <c r="DC78" s="9"/>
      <c r="DD78" s="9"/>
      <c r="DE78" s="9"/>
      <c r="DF78" s="9"/>
      <c r="DG78" s="9"/>
      <c r="DH78" s="9"/>
      <c r="DI78" s="9"/>
      <c r="DJ78" s="9"/>
      <c r="DK78" s="9"/>
    </row>
    <row r="79" spans="1:115">
      <c r="A79" s="23" t="s">
        <v>129</v>
      </c>
      <c r="B79" s="106">
        <f>(IF(B78=F26,100,0)+IF(G26=1,1,0.5)*J26*100)*IF(ISBLANK(F26)=TRUE,0,1)</f>
        <v>0</v>
      </c>
      <c r="C79" s="40">
        <f>IF(C78&gt;$F26+1,0,1)*(IF(D79=0,100,0)+IF($G26=1,1,0.5)*$J26*100)</f>
        <v>0</v>
      </c>
      <c r="D79" s="40">
        <f t="shared" ref="D79:BO79" si="111">IF(D78&gt;$F26+1,0,1)*(IF(E79=0,100,0)+IF($G26=1,1,0.5)*$J26*100)</f>
        <v>0</v>
      </c>
      <c r="E79" s="40">
        <f t="shared" si="111"/>
        <v>0</v>
      </c>
      <c r="F79" s="40">
        <f t="shared" si="111"/>
        <v>0</v>
      </c>
      <c r="G79" s="40">
        <f t="shared" si="111"/>
        <v>0</v>
      </c>
      <c r="H79" s="40">
        <f t="shared" si="111"/>
        <v>0</v>
      </c>
      <c r="I79" s="40">
        <f t="shared" si="111"/>
        <v>0</v>
      </c>
      <c r="J79" s="40">
        <f t="shared" si="111"/>
        <v>0</v>
      </c>
      <c r="K79" s="40">
        <f t="shared" si="111"/>
        <v>0</v>
      </c>
      <c r="L79" s="40">
        <f t="shared" si="111"/>
        <v>0</v>
      </c>
      <c r="M79" s="40">
        <f t="shared" si="111"/>
        <v>0</v>
      </c>
      <c r="N79" s="40">
        <f t="shared" si="111"/>
        <v>0</v>
      </c>
      <c r="O79" s="40">
        <f t="shared" si="111"/>
        <v>0</v>
      </c>
      <c r="P79" s="40">
        <f t="shared" si="111"/>
        <v>0</v>
      </c>
      <c r="Q79" s="40">
        <f t="shared" si="111"/>
        <v>0</v>
      </c>
      <c r="R79" s="40">
        <f t="shared" si="111"/>
        <v>0</v>
      </c>
      <c r="S79" s="40">
        <f t="shared" si="111"/>
        <v>0</v>
      </c>
      <c r="T79" s="40">
        <f t="shared" si="111"/>
        <v>0</v>
      </c>
      <c r="U79" s="40">
        <f t="shared" si="111"/>
        <v>0</v>
      </c>
      <c r="V79" s="40">
        <f t="shared" si="111"/>
        <v>0</v>
      </c>
      <c r="W79" s="40">
        <f t="shared" si="111"/>
        <v>0</v>
      </c>
      <c r="X79" s="40">
        <f t="shared" si="111"/>
        <v>0</v>
      </c>
      <c r="Y79" s="40">
        <f t="shared" si="111"/>
        <v>0</v>
      </c>
      <c r="Z79" s="40">
        <f t="shared" si="111"/>
        <v>0</v>
      </c>
      <c r="AA79" s="40">
        <f t="shared" si="111"/>
        <v>0</v>
      </c>
      <c r="AB79" s="40">
        <f t="shared" si="111"/>
        <v>0</v>
      </c>
      <c r="AC79" s="40">
        <f t="shared" si="111"/>
        <v>0</v>
      </c>
      <c r="AD79" s="40">
        <f t="shared" si="111"/>
        <v>0</v>
      </c>
      <c r="AE79" s="40">
        <f t="shared" si="111"/>
        <v>0</v>
      </c>
      <c r="AF79" s="40">
        <f t="shared" si="111"/>
        <v>0</v>
      </c>
      <c r="AG79" s="40">
        <f t="shared" si="111"/>
        <v>0</v>
      </c>
      <c r="AH79" s="40">
        <f t="shared" si="111"/>
        <v>0</v>
      </c>
      <c r="AI79" s="40">
        <f t="shared" si="111"/>
        <v>0</v>
      </c>
      <c r="AJ79" s="40">
        <f t="shared" si="111"/>
        <v>0</v>
      </c>
      <c r="AK79" s="40">
        <f t="shared" si="111"/>
        <v>0</v>
      </c>
      <c r="AL79" s="40">
        <f t="shared" si="111"/>
        <v>0</v>
      </c>
      <c r="AM79" s="40">
        <f t="shared" si="111"/>
        <v>0</v>
      </c>
      <c r="AN79" s="40">
        <f t="shared" si="111"/>
        <v>0</v>
      </c>
      <c r="AO79" s="40">
        <f t="shared" si="111"/>
        <v>0</v>
      </c>
      <c r="AP79" s="40">
        <f t="shared" si="111"/>
        <v>0</v>
      </c>
      <c r="AQ79" s="40">
        <f t="shared" si="111"/>
        <v>0</v>
      </c>
      <c r="AR79" s="40">
        <f t="shared" si="111"/>
        <v>0</v>
      </c>
      <c r="AS79" s="40">
        <f t="shared" si="111"/>
        <v>0</v>
      </c>
      <c r="AT79" s="40">
        <f t="shared" si="111"/>
        <v>0</v>
      </c>
      <c r="AU79" s="40">
        <f t="shared" si="111"/>
        <v>0</v>
      </c>
      <c r="AV79" s="40">
        <f t="shared" si="111"/>
        <v>0</v>
      </c>
      <c r="AW79" s="40">
        <f t="shared" si="111"/>
        <v>0</v>
      </c>
      <c r="AX79" s="40">
        <f t="shared" si="111"/>
        <v>0</v>
      </c>
      <c r="AY79" s="40">
        <f t="shared" si="111"/>
        <v>0</v>
      </c>
      <c r="AZ79" s="40">
        <f t="shared" si="111"/>
        <v>0</v>
      </c>
      <c r="BA79" s="40">
        <f t="shared" si="111"/>
        <v>0</v>
      </c>
      <c r="BB79" s="40">
        <f t="shared" si="111"/>
        <v>0</v>
      </c>
      <c r="BC79" s="40">
        <f t="shared" si="111"/>
        <v>0</v>
      </c>
      <c r="BD79" s="40">
        <f t="shared" si="111"/>
        <v>0</v>
      </c>
      <c r="BE79" s="40">
        <f t="shared" si="111"/>
        <v>0</v>
      </c>
      <c r="BF79" s="40">
        <f t="shared" si="111"/>
        <v>0</v>
      </c>
      <c r="BG79" s="40">
        <f t="shared" si="111"/>
        <v>0</v>
      </c>
      <c r="BH79" s="40">
        <f t="shared" si="111"/>
        <v>0</v>
      </c>
      <c r="BI79" s="40">
        <f t="shared" si="111"/>
        <v>0</v>
      </c>
      <c r="BJ79" s="40">
        <f t="shared" si="111"/>
        <v>0</v>
      </c>
      <c r="BK79" s="40">
        <f t="shared" si="111"/>
        <v>0</v>
      </c>
      <c r="BL79" s="40">
        <f t="shared" si="111"/>
        <v>0</v>
      </c>
      <c r="BM79" s="40">
        <f t="shared" si="111"/>
        <v>0</v>
      </c>
      <c r="BN79" s="40">
        <f t="shared" si="111"/>
        <v>0</v>
      </c>
      <c r="BO79" s="40">
        <f t="shared" si="111"/>
        <v>0</v>
      </c>
      <c r="BP79" s="40">
        <f t="shared" ref="BP79:CB79" si="112">IF(BP78&gt;$F26+1,0,1)*(IF(BQ79=0,100,0)+IF($G26=1,1,0.5)*$J26*100)</f>
        <v>0</v>
      </c>
      <c r="BQ79" s="40">
        <f t="shared" si="112"/>
        <v>0</v>
      </c>
      <c r="BR79" s="40">
        <f t="shared" si="112"/>
        <v>0</v>
      </c>
      <c r="BS79" s="40">
        <f t="shared" si="112"/>
        <v>0</v>
      </c>
      <c r="BT79" s="40">
        <f t="shared" si="112"/>
        <v>0</v>
      </c>
      <c r="BU79" s="40">
        <f t="shared" si="112"/>
        <v>0</v>
      </c>
      <c r="BV79" s="40">
        <f t="shared" si="112"/>
        <v>0</v>
      </c>
      <c r="BW79" s="40">
        <f t="shared" si="112"/>
        <v>0</v>
      </c>
      <c r="BX79" s="40">
        <f t="shared" si="112"/>
        <v>0</v>
      </c>
      <c r="BY79" s="40">
        <f t="shared" si="112"/>
        <v>0</v>
      </c>
      <c r="BZ79" s="40">
        <f t="shared" si="112"/>
        <v>0</v>
      </c>
      <c r="CA79" s="40">
        <f t="shared" si="112"/>
        <v>0</v>
      </c>
      <c r="CB79" s="41">
        <f t="shared" si="112"/>
        <v>0</v>
      </c>
      <c r="CF79" s="9"/>
      <c r="CG79" s="9"/>
      <c r="CH79" s="9"/>
      <c r="CI79" s="9"/>
      <c r="CJ79" s="9"/>
      <c r="CK79" s="9"/>
      <c r="CL79" s="9"/>
      <c r="CM79" s="9"/>
      <c r="CN79" s="9"/>
      <c r="CO79" s="9"/>
      <c r="CP79" s="9"/>
      <c r="CQ79" s="9"/>
      <c r="CR79" s="9"/>
      <c r="CS79" s="9"/>
      <c r="CT79" s="9"/>
      <c r="CU79" s="9"/>
      <c r="CV79" s="9"/>
      <c r="CW79" s="9"/>
      <c r="CX79" s="9"/>
      <c r="CY79" s="9"/>
      <c r="CZ79" s="9"/>
      <c r="DA79" s="9"/>
      <c r="DB79" s="9"/>
      <c r="DC79" s="9"/>
      <c r="DD79" s="9"/>
      <c r="DE79" s="9"/>
      <c r="DF79" s="9"/>
      <c r="DG79" s="9"/>
      <c r="DH79" s="9"/>
      <c r="DI79" s="9"/>
      <c r="DJ79" s="9"/>
      <c r="DK79" s="9"/>
    </row>
    <row r="80" spans="1:115">
      <c r="A80" s="269" t="s">
        <v>49</v>
      </c>
      <c r="B80" s="79">
        <f>IF(E27=0,F27,E27)</f>
        <v>0</v>
      </c>
      <c r="C80" s="80">
        <f>B80+IF($G27=1,365,182.5)</f>
        <v>182.5</v>
      </c>
      <c r="D80" s="80">
        <f>C80+IF($G27=1,365,182.5)</f>
        <v>365</v>
      </c>
      <c r="E80" s="80">
        <f t="shared" ref="E80:BP80" si="113">D80+IF($G27=1,365,182.5)</f>
        <v>547.5</v>
      </c>
      <c r="F80" s="80">
        <f t="shared" si="113"/>
        <v>730</v>
      </c>
      <c r="G80" s="80">
        <f t="shared" si="113"/>
        <v>912.5</v>
      </c>
      <c r="H80" s="80">
        <f t="shared" si="113"/>
        <v>1095</v>
      </c>
      <c r="I80" s="80">
        <f t="shared" si="113"/>
        <v>1277.5</v>
      </c>
      <c r="J80" s="80">
        <f t="shared" si="113"/>
        <v>1460</v>
      </c>
      <c r="K80" s="80">
        <f t="shared" si="113"/>
        <v>1642.5</v>
      </c>
      <c r="L80" s="80">
        <f t="shared" si="113"/>
        <v>1825</v>
      </c>
      <c r="M80" s="80">
        <f t="shared" si="113"/>
        <v>2007.5</v>
      </c>
      <c r="N80" s="80">
        <f t="shared" si="113"/>
        <v>2190</v>
      </c>
      <c r="O80" s="80">
        <f t="shared" si="113"/>
        <v>2372.5</v>
      </c>
      <c r="P80" s="80">
        <f t="shared" si="113"/>
        <v>2555</v>
      </c>
      <c r="Q80" s="80">
        <f t="shared" si="113"/>
        <v>2737.5</v>
      </c>
      <c r="R80" s="80">
        <f t="shared" si="113"/>
        <v>2920</v>
      </c>
      <c r="S80" s="80">
        <f t="shared" si="113"/>
        <v>3102.5</v>
      </c>
      <c r="T80" s="80">
        <f t="shared" si="113"/>
        <v>3285</v>
      </c>
      <c r="U80" s="80">
        <f t="shared" si="113"/>
        <v>3467.5</v>
      </c>
      <c r="V80" s="80">
        <f t="shared" si="113"/>
        <v>3650</v>
      </c>
      <c r="W80" s="80">
        <f t="shared" si="113"/>
        <v>3832.5</v>
      </c>
      <c r="X80" s="80">
        <f t="shared" si="113"/>
        <v>4015</v>
      </c>
      <c r="Y80" s="80">
        <f t="shared" si="113"/>
        <v>4197.5</v>
      </c>
      <c r="Z80" s="80">
        <f t="shared" si="113"/>
        <v>4380</v>
      </c>
      <c r="AA80" s="80">
        <f t="shared" si="113"/>
        <v>4562.5</v>
      </c>
      <c r="AB80" s="80">
        <f t="shared" si="113"/>
        <v>4745</v>
      </c>
      <c r="AC80" s="80">
        <f t="shared" si="113"/>
        <v>4927.5</v>
      </c>
      <c r="AD80" s="80">
        <f t="shared" si="113"/>
        <v>5110</v>
      </c>
      <c r="AE80" s="80">
        <f t="shared" si="113"/>
        <v>5292.5</v>
      </c>
      <c r="AF80" s="80">
        <f t="shared" si="113"/>
        <v>5475</v>
      </c>
      <c r="AG80" s="80">
        <f t="shared" si="113"/>
        <v>5657.5</v>
      </c>
      <c r="AH80" s="80">
        <f t="shared" si="113"/>
        <v>5840</v>
      </c>
      <c r="AI80" s="80">
        <f t="shared" si="113"/>
        <v>6022.5</v>
      </c>
      <c r="AJ80" s="80">
        <f t="shared" si="113"/>
        <v>6205</v>
      </c>
      <c r="AK80" s="80">
        <f t="shared" si="113"/>
        <v>6387.5</v>
      </c>
      <c r="AL80" s="80">
        <f t="shared" si="113"/>
        <v>6570</v>
      </c>
      <c r="AM80" s="80">
        <f t="shared" si="113"/>
        <v>6752.5</v>
      </c>
      <c r="AN80" s="80">
        <f t="shared" si="113"/>
        <v>6935</v>
      </c>
      <c r="AO80" s="80">
        <f t="shared" si="113"/>
        <v>7117.5</v>
      </c>
      <c r="AP80" s="80">
        <f t="shared" si="113"/>
        <v>7300</v>
      </c>
      <c r="AQ80" s="80">
        <f t="shared" si="113"/>
        <v>7482.5</v>
      </c>
      <c r="AR80" s="80">
        <f t="shared" si="113"/>
        <v>7665</v>
      </c>
      <c r="AS80" s="80">
        <f t="shared" si="113"/>
        <v>7847.5</v>
      </c>
      <c r="AT80" s="80">
        <f t="shared" si="113"/>
        <v>8030</v>
      </c>
      <c r="AU80" s="80">
        <f t="shared" si="113"/>
        <v>8212.5</v>
      </c>
      <c r="AV80" s="80">
        <f t="shared" si="113"/>
        <v>8395</v>
      </c>
      <c r="AW80" s="80">
        <f t="shared" si="113"/>
        <v>8577.5</v>
      </c>
      <c r="AX80" s="80">
        <f t="shared" si="113"/>
        <v>8760</v>
      </c>
      <c r="AY80" s="80">
        <f t="shared" si="113"/>
        <v>8942.5</v>
      </c>
      <c r="AZ80" s="80">
        <f t="shared" si="113"/>
        <v>9125</v>
      </c>
      <c r="BA80" s="80">
        <f t="shared" si="113"/>
        <v>9307.5</v>
      </c>
      <c r="BB80" s="80">
        <f t="shared" si="113"/>
        <v>9490</v>
      </c>
      <c r="BC80" s="80">
        <f t="shared" si="113"/>
        <v>9672.5</v>
      </c>
      <c r="BD80" s="80">
        <f t="shared" si="113"/>
        <v>9855</v>
      </c>
      <c r="BE80" s="80">
        <f t="shared" si="113"/>
        <v>10037.5</v>
      </c>
      <c r="BF80" s="80">
        <f t="shared" si="113"/>
        <v>10220</v>
      </c>
      <c r="BG80" s="80">
        <f t="shared" si="113"/>
        <v>10402.5</v>
      </c>
      <c r="BH80" s="80">
        <f t="shared" si="113"/>
        <v>10585</v>
      </c>
      <c r="BI80" s="80">
        <f t="shared" si="113"/>
        <v>10767.5</v>
      </c>
      <c r="BJ80" s="80">
        <f t="shared" si="113"/>
        <v>10950</v>
      </c>
      <c r="BK80" s="80">
        <f t="shared" si="113"/>
        <v>11132.5</v>
      </c>
      <c r="BL80" s="80">
        <f t="shared" si="113"/>
        <v>11315</v>
      </c>
      <c r="BM80" s="80">
        <f t="shared" si="113"/>
        <v>11497.5</v>
      </c>
      <c r="BN80" s="80">
        <f t="shared" si="113"/>
        <v>11680</v>
      </c>
      <c r="BO80" s="80">
        <f t="shared" si="113"/>
        <v>11862.5</v>
      </c>
      <c r="BP80" s="80">
        <f t="shared" si="113"/>
        <v>12045</v>
      </c>
      <c r="BQ80" s="80">
        <f t="shared" ref="BQ80:CB80" si="114">BP80+IF($G27=1,365,182.5)</f>
        <v>12227.5</v>
      </c>
      <c r="BR80" s="80">
        <f t="shared" si="114"/>
        <v>12410</v>
      </c>
      <c r="BS80" s="80">
        <f t="shared" si="114"/>
        <v>12592.5</v>
      </c>
      <c r="BT80" s="80">
        <f t="shared" si="114"/>
        <v>12775</v>
      </c>
      <c r="BU80" s="80">
        <f t="shared" si="114"/>
        <v>12957.5</v>
      </c>
      <c r="BV80" s="80">
        <f t="shared" si="114"/>
        <v>13140</v>
      </c>
      <c r="BW80" s="80">
        <f t="shared" si="114"/>
        <v>13322.5</v>
      </c>
      <c r="BX80" s="80">
        <f t="shared" si="114"/>
        <v>13505</v>
      </c>
      <c r="BY80" s="80">
        <f t="shared" si="114"/>
        <v>13687.5</v>
      </c>
      <c r="BZ80" s="80">
        <f t="shared" si="114"/>
        <v>13870</v>
      </c>
      <c r="CA80" s="80">
        <f t="shared" si="114"/>
        <v>14052.5</v>
      </c>
      <c r="CB80" s="81">
        <f t="shared" si="114"/>
        <v>14235</v>
      </c>
      <c r="CF80" s="9"/>
      <c r="CG80" s="9"/>
      <c r="CH80" s="9"/>
      <c r="CI80" s="9"/>
      <c r="CJ80" s="9"/>
      <c r="CK80" s="9"/>
      <c r="CL80" s="9"/>
      <c r="CM80" s="9"/>
      <c r="CN80" s="9"/>
      <c r="CO80" s="9"/>
      <c r="CP80" s="9"/>
      <c r="CQ80" s="9"/>
      <c r="CR80" s="9"/>
      <c r="CS80" s="9"/>
      <c r="CT80" s="9"/>
      <c r="CU80" s="9"/>
      <c r="CV80" s="9"/>
      <c r="CW80" s="9"/>
      <c r="CX80" s="9"/>
      <c r="CY80" s="9"/>
      <c r="CZ80" s="9"/>
      <c r="DA80" s="9"/>
      <c r="DB80" s="9"/>
      <c r="DC80" s="9"/>
      <c r="DD80" s="9"/>
      <c r="DE80" s="9"/>
      <c r="DF80" s="9"/>
      <c r="DG80" s="9"/>
      <c r="DH80" s="9"/>
      <c r="DI80" s="9"/>
      <c r="DJ80" s="9"/>
      <c r="DK80" s="9"/>
    </row>
    <row r="81" spans="1:115">
      <c r="A81" s="222" t="s">
        <v>130</v>
      </c>
      <c r="B81" s="114">
        <f>(IF(B80=F27,100,0)+IF(G27=1,1,0.5)*J27*100)*IF(ISBLANK(F27)=TRUE,0,1)</f>
        <v>0</v>
      </c>
      <c r="C81" s="82">
        <f>IF(C80&gt;$F27+1,0,1)*(IF(D81=0,100,0)+IF($G27=1,1,0.5)*$J27*100)</f>
        <v>0</v>
      </c>
      <c r="D81" s="82">
        <f t="shared" ref="D81:BO81" si="115">IF(D80&gt;$F27+1,0,1)*(IF(E81=0,100,0)+IF($G27=1,1,0.5)*$J27*100)</f>
        <v>0</v>
      </c>
      <c r="E81" s="82">
        <f t="shared" si="115"/>
        <v>0</v>
      </c>
      <c r="F81" s="82">
        <f t="shared" si="115"/>
        <v>0</v>
      </c>
      <c r="G81" s="82">
        <f t="shared" si="115"/>
        <v>0</v>
      </c>
      <c r="H81" s="82">
        <f t="shared" si="115"/>
        <v>0</v>
      </c>
      <c r="I81" s="82">
        <f t="shared" si="115"/>
        <v>0</v>
      </c>
      <c r="J81" s="82">
        <f t="shared" si="115"/>
        <v>0</v>
      </c>
      <c r="K81" s="82">
        <f t="shared" si="115"/>
        <v>0</v>
      </c>
      <c r="L81" s="82">
        <f t="shared" si="115"/>
        <v>0</v>
      </c>
      <c r="M81" s="82">
        <f t="shared" si="115"/>
        <v>0</v>
      </c>
      <c r="N81" s="82">
        <f t="shared" si="115"/>
        <v>0</v>
      </c>
      <c r="O81" s="82">
        <f t="shared" si="115"/>
        <v>0</v>
      </c>
      <c r="P81" s="82">
        <f t="shared" si="115"/>
        <v>0</v>
      </c>
      <c r="Q81" s="82">
        <f t="shared" si="115"/>
        <v>0</v>
      </c>
      <c r="R81" s="82">
        <f t="shared" si="115"/>
        <v>0</v>
      </c>
      <c r="S81" s="82">
        <f t="shared" si="115"/>
        <v>0</v>
      </c>
      <c r="T81" s="82">
        <f t="shared" si="115"/>
        <v>0</v>
      </c>
      <c r="U81" s="82">
        <f t="shared" si="115"/>
        <v>0</v>
      </c>
      <c r="V81" s="82">
        <f t="shared" si="115"/>
        <v>0</v>
      </c>
      <c r="W81" s="82">
        <f t="shared" si="115"/>
        <v>0</v>
      </c>
      <c r="X81" s="82">
        <f t="shared" si="115"/>
        <v>0</v>
      </c>
      <c r="Y81" s="82">
        <f t="shared" si="115"/>
        <v>0</v>
      </c>
      <c r="Z81" s="82">
        <f t="shared" si="115"/>
        <v>0</v>
      </c>
      <c r="AA81" s="82">
        <f t="shared" si="115"/>
        <v>0</v>
      </c>
      <c r="AB81" s="82">
        <f t="shared" si="115"/>
        <v>0</v>
      </c>
      <c r="AC81" s="82">
        <f t="shared" si="115"/>
        <v>0</v>
      </c>
      <c r="AD81" s="82">
        <f t="shared" si="115"/>
        <v>0</v>
      </c>
      <c r="AE81" s="82">
        <f t="shared" si="115"/>
        <v>0</v>
      </c>
      <c r="AF81" s="82">
        <f t="shared" si="115"/>
        <v>0</v>
      </c>
      <c r="AG81" s="82">
        <f t="shared" si="115"/>
        <v>0</v>
      </c>
      <c r="AH81" s="82">
        <f t="shared" si="115"/>
        <v>0</v>
      </c>
      <c r="AI81" s="82">
        <f t="shared" si="115"/>
        <v>0</v>
      </c>
      <c r="AJ81" s="82">
        <f t="shared" si="115"/>
        <v>0</v>
      </c>
      <c r="AK81" s="82">
        <f t="shared" si="115"/>
        <v>0</v>
      </c>
      <c r="AL81" s="82">
        <f t="shared" si="115"/>
        <v>0</v>
      </c>
      <c r="AM81" s="82">
        <f t="shared" si="115"/>
        <v>0</v>
      </c>
      <c r="AN81" s="82">
        <f t="shared" si="115"/>
        <v>0</v>
      </c>
      <c r="AO81" s="82">
        <f t="shared" si="115"/>
        <v>0</v>
      </c>
      <c r="AP81" s="82">
        <f t="shared" si="115"/>
        <v>0</v>
      </c>
      <c r="AQ81" s="82">
        <f t="shared" si="115"/>
        <v>0</v>
      </c>
      <c r="AR81" s="82">
        <f t="shared" si="115"/>
        <v>0</v>
      </c>
      <c r="AS81" s="82">
        <f t="shared" si="115"/>
        <v>0</v>
      </c>
      <c r="AT81" s="82">
        <f t="shared" si="115"/>
        <v>0</v>
      </c>
      <c r="AU81" s="82">
        <f t="shared" si="115"/>
        <v>0</v>
      </c>
      <c r="AV81" s="82">
        <f t="shared" si="115"/>
        <v>0</v>
      </c>
      <c r="AW81" s="82">
        <f t="shared" si="115"/>
        <v>0</v>
      </c>
      <c r="AX81" s="82">
        <f t="shared" si="115"/>
        <v>0</v>
      </c>
      <c r="AY81" s="82">
        <f t="shared" si="115"/>
        <v>0</v>
      </c>
      <c r="AZ81" s="82">
        <f t="shared" si="115"/>
        <v>0</v>
      </c>
      <c r="BA81" s="82">
        <f t="shared" si="115"/>
        <v>0</v>
      </c>
      <c r="BB81" s="82">
        <f t="shared" si="115"/>
        <v>0</v>
      </c>
      <c r="BC81" s="82">
        <f t="shared" si="115"/>
        <v>0</v>
      </c>
      <c r="BD81" s="82">
        <f t="shared" si="115"/>
        <v>0</v>
      </c>
      <c r="BE81" s="82">
        <f t="shared" si="115"/>
        <v>0</v>
      </c>
      <c r="BF81" s="82">
        <f t="shared" si="115"/>
        <v>0</v>
      </c>
      <c r="BG81" s="82">
        <f t="shared" si="115"/>
        <v>0</v>
      </c>
      <c r="BH81" s="82">
        <f t="shared" si="115"/>
        <v>0</v>
      </c>
      <c r="BI81" s="82">
        <f t="shared" si="115"/>
        <v>0</v>
      </c>
      <c r="BJ81" s="82">
        <f t="shared" si="115"/>
        <v>0</v>
      </c>
      <c r="BK81" s="82">
        <f t="shared" si="115"/>
        <v>0</v>
      </c>
      <c r="BL81" s="82">
        <f t="shared" si="115"/>
        <v>0</v>
      </c>
      <c r="BM81" s="82">
        <f t="shared" si="115"/>
        <v>0</v>
      </c>
      <c r="BN81" s="82">
        <f t="shared" si="115"/>
        <v>0</v>
      </c>
      <c r="BO81" s="82">
        <f t="shared" si="115"/>
        <v>0</v>
      </c>
      <c r="BP81" s="82">
        <f t="shared" ref="BP81:CB81" si="116">IF(BP80&gt;$F27+1,0,1)*(IF(BQ81=0,100,0)+IF($G27=1,1,0.5)*$J27*100)</f>
        <v>0</v>
      </c>
      <c r="BQ81" s="82">
        <f t="shared" si="116"/>
        <v>0</v>
      </c>
      <c r="BR81" s="82">
        <f t="shared" si="116"/>
        <v>0</v>
      </c>
      <c r="BS81" s="82">
        <f t="shared" si="116"/>
        <v>0</v>
      </c>
      <c r="BT81" s="82">
        <f t="shared" si="116"/>
        <v>0</v>
      </c>
      <c r="BU81" s="82">
        <f t="shared" si="116"/>
        <v>0</v>
      </c>
      <c r="BV81" s="82">
        <f t="shared" si="116"/>
        <v>0</v>
      </c>
      <c r="BW81" s="82">
        <f t="shared" si="116"/>
        <v>0</v>
      </c>
      <c r="BX81" s="82">
        <f t="shared" si="116"/>
        <v>0</v>
      </c>
      <c r="BY81" s="82">
        <f t="shared" si="116"/>
        <v>0</v>
      </c>
      <c r="BZ81" s="82">
        <f t="shared" si="116"/>
        <v>0</v>
      </c>
      <c r="CA81" s="82">
        <f t="shared" si="116"/>
        <v>0</v>
      </c>
      <c r="CB81" s="83">
        <f t="shared" si="116"/>
        <v>0</v>
      </c>
      <c r="CF81" s="9"/>
      <c r="CG81" s="9"/>
      <c r="CH81" s="9"/>
      <c r="CI81" s="9"/>
      <c r="CJ81" s="9"/>
      <c r="CK81" s="9"/>
      <c r="CL81" s="9"/>
      <c r="CM81" s="9"/>
      <c r="CN81" s="9"/>
      <c r="CO81" s="9"/>
      <c r="CP81" s="9"/>
      <c r="CQ81" s="9"/>
      <c r="CR81" s="9"/>
      <c r="CS81" s="9"/>
      <c r="CT81" s="9"/>
      <c r="CU81" s="9"/>
      <c r="CV81" s="9"/>
      <c r="CW81" s="9"/>
      <c r="CX81" s="9"/>
      <c r="CY81" s="9"/>
      <c r="CZ81" s="9"/>
      <c r="DA81" s="9"/>
      <c r="DB81" s="9"/>
      <c r="DC81" s="9"/>
      <c r="DD81" s="9"/>
      <c r="DE81" s="9"/>
      <c r="DF81" s="9"/>
      <c r="DG81" s="9"/>
      <c r="DH81" s="9"/>
      <c r="DI81" s="9"/>
      <c r="DJ81" s="9"/>
      <c r="DK81" s="9"/>
    </row>
    <row r="82" spans="1:115" s="6" customForma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10"/>
      <c r="CF82" s="10"/>
      <c r="CG82" s="10"/>
      <c r="CH82" s="10"/>
      <c r="CI82" s="10"/>
      <c r="CJ82" s="10"/>
      <c r="CK82" s="10"/>
      <c r="CL82" s="10"/>
      <c r="CM82" s="10"/>
      <c r="CN82" s="10"/>
      <c r="CO82" s="10"/>
      <c r="CP82" s="10"/>
      <c r="CQ82" s="10"/>
      <c r="CR82" s="10"/>
      <c r="CS82" s="10"/>
      <c r="CT82" s="10"/>
      <c r="CU82" s="10"/>
      <c r="CV82" s="10"/>
      <c r="CW82" s="10"/>
      <c r="CX82" s="10"/>
      <c r="CY82" s="10"/>
      <c r="CZ82" s="10"/>
      <c r="DA82" s="10"/>
      <c r="DB82" s="10"/>
      <c r="DC82" s="10"/>
      <c r="DD82" s="10"/>
      <c r="DE82" s="10"/>
      <c r="DF82" s="10"/>
      <c r="DG82" s="10"/>
      <c r="DH82" s="10"/>
      <c r="DI82" s="10"/>
      <c r="DJ82" s="10"/>
      <c r="DK82" s="10"/>
    </row>
    <row r="83" spans="1:115">
      <c r="A83" s="16" t="s">
        <v>42</v>
      </c>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7"/>
      <c r="CD83" s="17"/>
      <c r="CE83" s="17"/>
      <c r="CF83" s="9"/>
      <c r="CG83" s="9"/>
      <c r="CH83" s="9"/>
      <c r="CI83" s="9"/>
      <c r="CJ83" s="9"/>
      <c r="CK83" s="9"/>
      <c r="CL83" s="9"/>
      <c r="CM83" s="9"/>
      <c r="CN83" s="9"/>
      <c r="CO83" s="9"/>
      <c r="CP83" s="9"/>
      <c r="CQ83" s="9"/>
      <c r="CR83" s="9"/>
      <c r="CS83" s="9"/>
      <c r="CT83" s="9"/>
      <c r="CU83" s="9"/>
      <c r="CV83" s="9"/>
      <c r="CW83" s="9"/>
      <c r="CX83" s="9"/>
      <c r="CY83" s="9"/>
      <c r="CZ83" s="9"/>
      <c r="DA83" s="9"/>
      <c r="DB83" s="9"/>
      <c r="DC83" s="9"/>
      <c r="DD83" s="9"/>
      <c r="DE83" s="9"/>
      <c r="DF83" s="9"/>
      <c r="DG83" s="9"/>
      <c r="DH83" s="9"/>
      <c r="DI83" s="9"/>
      <c r="DJ83" s="9"/>
      <c r="DK83" s="9"/>
    </row>
    <row r="84" spans="1:115">
      <c r="A84" s="16" t="s">
        <v>40</v>
      </c>
      <c r="B84" s="140">
        <f t="shared" ref="B84:BM84" si="117">DAYS360($B$3,B30)</f>
        <v>35</v>
      </c>
      <c r="C84" s="140">
        <f t="shared" si="117"/>
        <v>213</v>
      </c>
      <c r="D84" s="140">
        <f t="shared" si="117"/>
        <v>394</v>
      </c>
      <c r="E84" s="140">
        <f t="shared" si="117"/>
        <v>572</v>
      </c>
      <c r="F84" s="140">
        <f t="shared" si="117"/>
        <v>754</v>
      </c>
      <c r="G84" s="140">
        <f t="shared" si="117"/>
        <v>932</v>
      </c>
      <c r="H84" s="140">
        <f t="shared" si="117"/>
        <v>1114</v>
      </c>
      <c r="I84" s="140">
        <f t="shared" si="117"/>
        <v>1292</v>
      </c>
      <c r="J84" s="140">
        <f t="shared" si="117"/>
        <v>1474</v>
      </c>
      <c r="K84" s="140">
        <f t="shared" si="117"/>
        <v>1652</v>
      </c>
      <c r="L84" s="140">
        <f t="shared" si="117"/>
        <v>1833</v>
      </c>
      <c r="M84" s="140">
        <f t="shared" si="117"/>
        <v>2011</v>
      </c>
      <c r="N84" s="140">
        <f t="shared" si="117"/>
        <v>2193</v>
      </c>
      <c r="O84" s="140">
        <f t="shared" si="117"/>
        <v>2371</v>
      </c>
      <c r="P84" s="140">
        <f t="shared" si="117"/>
        <v>2553</v>
      </c>
      <c r="Q84" s="140">
        <f t="shared" si="117"/>
        <v>2731</v>
      </c>
      <c r="R84" s="140">
        <f t="shared" si="117"/>
        <v>2913</v>
      </c>
      <c r="S84" s="140">
        <f t="shared" si="117"/>
        <v>3091</v>
      </c>
      <c r="T84" s="140">
        <f t="shared" si="117"/>
        <v>3272</v>
      </c>
      <c r="U84" s="140">
        <f t="shared" si="117"/>
        <v>3450</v>
      </c>
      <c r="V84" s="140">
        <f t="shared" si="117"/>
        <v>3632</v>
      </c>
      <c r="W84" s="140">
        <f t="shared" si="117"/>
        <v>3810</v>
      </c>
      <c r="X84" s="140">
        <f t="shared" si="117"/>
        <v>3992</v>
      </c>
      <c r="Y84" s="140">
        <f t="shared" si="117"/>
        <v>4170</v>
      </c>
      <c r="Z84" s="140">
        <f t="shared" si="117"/>
        <v>4352</v>
      </c>
      <c r="AA84" s="140">
        <f t="shared" si="117"/>
        <v>4530</v>
      </c>
      <c r="AB84" s="140">
        <f t="shared" si="117"/>
        <v>4711</v>
      </c>
      <c r="AC84" s="140">
        <f t="shared" si="117"/>
        <v>4889</v>
      </c>
      <c r="AD84" s="140">
        <f t="shared" si="117"/>
        <v>5071</v>
      </c>
      <c r="AE84" s="140">
        <f t="shared" si="117"/>
        <v>5249</v>
      </c>
      <c r="AF84" s="140">
        <f t="shared" si="117"/>
        <v>5431</v>
      </c>
      <c r="AG84" s="140">
        <f t="shared" si="117"/>
        <v>5609</v>
      </c>
      <c r="AH84" s="140">
        <f t="shared" si="117"/>
        <v>5791</v>
      </c>
      <c r="AI84" s="140">
        <f t="shared" si="117"/>
        <v>5969</v>
      </c>
      <c r="AJ84" s="140">
        <f t="shared" si="117"/>
        <v>6150</v>
      </c>
      <c r="AK84" s="140">
        <f t="shared" si="117"/>
        <v>6329</v>
      </c>
      <c r="AL84" s="140">
        <f t="shared" si="117"/>
        <v>6510</v>
      </c>
      <c r="AM84" s="140">
        <f t="shared" si="117"/>
        <v>6689</v>
      </c>
      <c r="AN84" s="140">
        <f t="shared" si="117"/>
        <v>6870</v>
      </c>
      <c r="AO84" s="140">
        <f t="shared" si="117"/>
        <v>7049</v>
      </c>
      <c r="AP84" s="140">
        <f t="shared" si="117"/>
        <v>7230</v>
      </c>
      <c r="AQ84" s="140">
        <f t="shared" si="117"/>
        <v>7409</v>
      </c>
      <c r="AR84" s="140">
        <f t="shared" si="117"/>
        <v>7589</v>
      </c>
      <c r="AS84" s="140">
        <f t="shared" si="117"/>
        <v>7768</v>
      </c>
      <c r="AT84" s="140">
        <f t="shared" si="117"/>
        <v>7949</v>
      </c>
      <c r="AU84" s="140">
        <f t="shared" si="117"/>
        <v>8128</v>
      </c>
      <c r="AV84" s="140">
        <f t="shared" si="117"/>
        <v>8309</v>
      </c>
      <c r="AW84" s="140">
        <f t="shared" si="117"/>
        <v>8488</v>
      </c>
      <c r="AX84" s="140">
        <f t="shared" si="117"/>
        <v>8669</v>
      </c>
      <c r="AY84" s="140">
        <f t="shared" si="117"/>
        <v>8848</v>
      </c>
      <c r="AZ84" s="140">
        <f t="shared" si="117"/>
        <v>9029</v>
      </c>
      <c r="BA84" s="140">
        <f t="shared" si="117"/>
        <v>9207</v>
      </c>
      <c r="BB84" s="140">
        <f t="shared" si="117"/>
        <v>9389</v>
      </c>
      <c r="BC84" s="140">
        <f t="shared" si="117"/>
        <v>9567</v>
      </c>
      <c r="BD84" s="140">
        <f t="shared" si="117"/>
        <v>9749</v>
      </c>
      <c r="BE84" s="140">
        <f t="shared" si="117"/>
        <v>9927</v>
      </c>
      <c r="BF84" s="140">
        <f t="shared" si="117"/>
        <v>10109</v>
      </c>
      <c r="BG84" s="140">
        <f t="shared" si="117"/>
        <v>10287</v>
      </c>
      <c r="BH84" s="140">
        <f t="shared" si="117"/>
        <v>10468</v>
      </c>
      <c r="BI84" s="140">
        <f t="shared" si="117"/>
        <v>10646</v>
      </c>
      <c r="BJ84" s="140">
        <f t="shared" si="117"/>
        <v>10828</v>
      </c>
      <c r="BK84" s="140">
        <f t="shared" si="117"/>
        <v>11006</v>
      </c>
      <c r="BL84" s="140">
        <f t="shared" si="117"/>
        <v>11188</v>
      </c>
      <c r="BM84" s="140">
        <f t="shared" si="117"/>
        <v>11366</v>
      </c>
      <c r="BN84" s="140">
        <f t="shared" ref="BN84:CB84" si="118">DAYS360($B$3,BN30)</f>
        <v>11548</v>
      </c>
      <c r="BO84" s="140">
        <f t="shared" si="118"/>
        <v>11726</v>
      </c>
      <c r="BP84" s="140">
        <f t="shared" si="118"/>
        <v>11907</v>
      </c>
      <c r="BQ84" s="140">
        <f t="shared" si="118"/>
        <v>12085</v>
      </c>
      <c r="BR84" s="140">
        <f t="shared" si="118"/>
        <v>12267</v>
      </c>
      <c r="BS84" s="140">
        <f t="shared" si="118"/>
        <v>12445</v>
      </c>
      <c r="BT84" s="140">
        <f t="shared" si="118"/>
        <v>12627</v>
      </c>
      <c r="BU84" s="140">
        <f t="shared" si="118"/>
        <v>12805</v>
      </c>
      <c r="BV84" s="140">
        <f t="shared" si="118"/>
        <v>12987</v>
      </c>
      <c r="BW84" s="140">
        <f t="shared" si="118"/>
        <v>13165</v>
      </c>
      <c r="BX84" s="140">
        <f t="shared" si="118"/>
        <v>13346</v>
      </c>
      <c r="BY84" s="140">
        <f t="shared" si="118"/>
        <v>13524</v>
      </c>
      <c r="BZ84" s="140">
        <f t="shared" si="118"/>
        <v>13706</v>
      </c>
      <c r="CA84" s="140">
        <f t="shared" si="118"/>
        <v>13884</v>
      </c>
      <c r="CB84" s="140">
        <f t="shared" si="118"/>
        <v>14066</v>
      </c>
      <c r="CC84" s="17"/>
      <c r="CD84" s="17"/>
      <c r="CE84" s="17"/>
    </row>
    <row r="85" spans="1:115">
      <c r="A85" s="16" t="s">
        <v>41</v>
      </c>
      <c r="B85" s="140">
        <f>B84/360</f>
        <v>9.7222222222222224E-2</v>
      </c>
      <c r="C85" s="140">
        <f t="shared" ref="C85:BN85" si="119">C84/360</f>
        <v>0.59166666666666667</v>
      </c>
      <c r="D85" s="140">
        <f t="shared" si="119"/>
        <v>1.0944444444444446</v>
      </c>
      <c r="E85" s="140">
        <f t="shared" si="119"/>
        <v>1.5888888888888888</v>
      </c>
      <c r="F85" s="140">
        <f t="shared" si="119"/>
        <v>2.0944444444444446</v>
      </c>
      <c r="G85" s="140">
        <f t="shared" si="119"/>
        <v>2.588888888888889</v>
      </c>
      <c r="H85" s="140">
        <f t="shared" si="119"/>
        <v>3.0944444444444446</v>
      </c>
      <c r="I85" s="140">
        <f t="shared" si="119"/>
        <v>3.588888888888889</v>
      </c>
      <c r="J85" s="140">
        <f t="shared" si="119"/>
        <v>4.0944444444444441</v>
      </c>
      <c r="K85" s="140">
        <f t="shared" si="119"/>
        <v>4.5888888888888886</v>
      </c>
      <c r="L85" s="140">
        <f t="shared" si="119"/>
        <v>5.0916666666666668</v>
      </c>
      <c r="M85" s="140">
        <f t="shared" si="119"/>
        <v>5.5861111111111112</v>
      </c>
      <c r="N85" s="140">
        <f t="shared" si="119"/>
        <v>6.0916666666666668</v>
      </c>
      <c r="O85" s="140">
        <f t="shared" si="119"/>
        <v>6.5861111111111112</v>
      </c>
      <c r="P85" s="140">
        <f t="shared" si="119"/>
        <v>7.0916666666666668</v>
      </c>
      <c r="Q85" s="140">
        <f t="shared" si="119"/>
        <v>7.5861111111111112</v>
      </c>
      <c r="R85" s="140">
        <f t="shared" si="119"/>
        <v>8.0916666666666668</v>
      </c>
      <c r="S85" s="140">
        <f t="shared" si="119"/>
        <v>8.5861111111111104</v>
      </c>
      <c r="T85" s="140">
        <f t="shared" si="119"/>
        <v>9.0888888888888886</v>
      </c>
      <c r="U85" s="140">
        <f t="shared" si="119"/>
        <v>9.5833333333333339</v>
      </c>
      <c r="V85" s="140">
        <f t="shared" si="119"/>
        <v>10.088888888888889</v>
      </c>
      <c r="W85" s="140">
        <f t="shared" si="119"/>
        <v>10.583333333333334</v>
      </c>
      <c r="X85" s="140">
        <f t="shared" si="119"/>
        <v>11.088888888888889</v>
      </c>
      <c r="Y85" s="140">
        <f t="shared" si="119"/>
        <v>11.583333333333334</v>
      </c>
      <c r="Z85" s="140">
        <f t="shared" si="119"/>
        <v>12.088888888888889</v>
      </c>
      <c r="AA85" s="140">
        <f t="shared" si="119"/>
        <v>12.583333333333334</v>
      </c>
      <c r="AB85" s="140">
        <f t="shared" si="119"/>
        <v>13.08611111111111</v>
      </c>
      <c r="AC85" s="140">
        <f t="shared" si="119"/>
        <v>13.580555555555556</v>
      </c>
      <c r="AD85" s="140">
        <f t="shared" si="119"/>
        <v>14.08611111111111</v>
      </c>
      <c r="AE85" s="140">
        <f t="shared" si="119"/>
        <v>14.580555555555556</v>
      </c>
      <c r="AF85" s="140">
        <f t="shared" si="119"/>
        <v>15.08611111111111</v>
      </c>
      <c r="AG85" s="140">
        <f t="shared" si="119"/>
        <v>15.580555555555556</v>
      </c>
      <c r="AH85" s="140">
        <f t="shared" si="119"/>
        <v>16.086111111111112</v>
      </c>
      <c r="AI85" s="140">
        <f t="shared" si="119"/>
        <v>16.580555555555556</v>
      </c>
      <c r="AJ85" s="140">
        <f t="shared" si="119"/>
        <v>17.083333333333332</v>
      </c>
      <c r="AK85" s="140">
        <f t="shared" si="119"/>
        <v>17.580555555555556</v>
      </c>
      <c r="AL85" s="140">
        <f t="shared" si="119"/>
        <v>18.083333333333332</v>
      </c>
      <c r="AM85" s="140">
        <f t="shared" si="119"/>
        <v>18.580555555555556</v>
      </c>
      <c r="AN85" s="140">
        <f t="shared" si="119"/>
        <v>19.083333333333332</v>
      </c>
      <c r="AO85" s="140">
        <f t="shared" si="119"/>
        <v>19.580555555555556</v>
      </c>
      <c r="AP85" s="140">
        <f t="shared" si="119"/>
        <v>20.083333333333332</v>
      </c>
      <c r="AQ85" s="140">
        <f t="shared" si="119"/>
        <v>20.580555555555556</v>
      </c>
      <c r="AR85" s="140">
        <f t="shared" si="119"/>
        <v>21.080555555555556</v>
      </c>
      <c r="AS85" s="140">
        <f t="shared" si="119"/>
        <v>21.577777777777779</v>
      </c>
      <c r="AT85" s="140">
        <f t="shared" si="119"/>
        <v>22.080555555555556</v>
      </c>
      <c r="AU85" s="140">
        <f t="shared" si="119"/>
        <v>22.577777777777779</v>
      </c>
      <c r="AV85" s="140">
        <f t="shared" si="119"/>
        <v>23.080555555555556</v>
      </c>
      <c r="AW85" s="140">
        <f t="shared" si="119"/>
        <v>23.577777777777779</v>
      </c>
      <c r="AX85" s="140">
        <f t="shared" si="119"/>
        <v>24.080555555555556</v>
      </c>
      <c r="AY85" s="140">
        <f t="shared" si="119"/>
        <v>24.577777777777779</v>
      </c>
      <c r="AZ85" s="140">
        <f t="shared" si="119"/>
        <v>25.080555555555556</v>
      </c>
      <c r="BA85" s="140">
        <f t="shared" si="119"/>
        <v>25.574999999999999</v>
      </c>
      <c r="BB85" s="140">
        <f t="shared" si="119"/>
        <v>26.080555555555556</v>
      </c>
      <c r="BC85" s="140">
        <f t="shared" si="119"/>
        <v>26.574999999999999</v>
      </c>
      <c r="BD85" s="140">
        <f t="shared" si="119"/>
        <v>27.080555555555556</v>
      </c>
      <c r="BE85" s="140">
        <f t="shared" si="119"/>
        <v>27.574999999999999</v>
      </c>
      <c r="BF85" s="140">
        <f t="shared" si="119"/>
        <v>28.080555555555556</v>
      </c>
      <c r="BG85" s="140">
        <f t="shared" si="119"/>
        <v>28.574999999999999</v>
      </c>
      <c r="BH85" s="140">
        <f t="shared" si="119"/>
        <v>29.077777777777779</v>
      </c>
      <c r="BI85" s="140">
        <f t="shared" si="119"/>
        <v>29.572222222222223</v>
      </c>
      <c r="BJ85" s="140">
        <f t="shared" si="119"/>
        <v>30.077777777777779</v>
      </c>
      <c r="BK85" s="140">
        <f t="shared" si="119"/>
        <v>30.572222222222223</v>
      </c>
      <c r="BL85" s="140">
        <f t="shared" si="119"/>
        <v>31.077777777777779</v>
      </c>
      <c r="BM85" s="140">
        <f t="shared" si="119"/>
        <v>31.572222222222223</v>
      </c>
      <c r="BN85" s="140">
        <f t="shared" si="119"/>
        <v>32.077777777777776</v>
      </c>
      <c r="BO85" s="140">
        <f t="shared" ref="BO85:CB85" si="120">BO84/360</f>
        <v>32.572222222222223</v>
      </c>
      <c r="BP85" s="140">
        <f t="shared" si="120"/>
        <v>33.075000000000003</v>
      </c>
      <c r="BQ85" s="140">
        <f t="shared" si="120"/>
        <v>33.569444444444443</v>
      </c>
      <c r="BR85" s="140">
        <f t="shared" si="120"/>
        <v>34.075000000000003</v>
      </c>
      <c r="BS85" s="140">
        <f t="shared" si="120"/>
        <v>34.569444444444443</v>
      </c>
      <c r="BT85" s="140">
        <f t="shared" si="120"/>
        <v>35.075000000000003</v>
      </c>
      <c r="BU85" s="140">
        <f t="shared" si="120"/>
        <v>35.569444444444443</v>
      </c>
      <c r="BV85" s="140">
        <f t="shared" si="120"/>
        <v>36.075000000000003</v>
      </c>
      <c r="BW85" s="140">
        <f t="shared" si="120"/>
        <v>36.569444444444443</v>
      </c>
      <c r="BX85" s="140">
        <f t="shared" si="120"/>
        <v>37.072222222222223</v>
      </c>
      <c r="BY85" s="140">
        <f t="shared" si="120"/>
        <v>37.56666666666667</v>
      </c>
      <c r="BZ85" s="140">
        <f t="shared" si="120"/>
        <v>38.072222222222223</v>
      </c>
      <c r="CA85" s="140">
        <f t="shared" si="120"/>
        <v>38.56666666666667</v>
      </c>
      <c r="CB85" s="140">
        <f t="shared" si="120"/>
        <v>39.072222222222223</v>
      </c>
      <c r="CC85" s="17"/>
      <c r="CD85" s="17"/>
      <c r="CE85" s="17"/>
    </row>
    <row r="86" spans="1:115">
      <c r="A86" s="16" t="s">
        <v>43</v>
      </c>
      <c r="B86" s="140">
        <f>IF(B84&lt;0,0,$B$5+$B$6*((1-EXP(-B85/$B$9))/(B85/$B$9))+$B$7*((1-EXP(-B85/$B$9))/(B85/$B$9)-EXP(-B85/$B$9))+$B$8*((1-EXP(-B85/$B$10))/(B85/$B$10)-EXP(-B85/$B$10)))</f>
        <v>-6.5520928099096496E-3</v>
      </c>
      <c r="C86" s="140">
        <f t="shared" ref="C86:BN86" si="121">IF(C84&lt;0,0,$B$5+$B$6*((1-EXP(-C85/$B$9))/(C85/$B$9))+$B$7*((1-EXP(-C85/$B$9))/(C85/$B$9)-EXP(-C85/$B$9))+$B$8*((1-EXP(-C85/$B$10))/(C85/$B$10)-EXP(-C85/$B$10)))</f>
        <v>-7.0389333613356669E-3</v>
      </c>
      <c r="D86" s="140">
        <f t="shared" si="121"/>
        <v>-7.3833760128448802E-3</v>
      </c>
      <c r="E86" s="140">
        <f t="shared" si="121"/>
        <v>-7.5952184526188694E-3</v>
      </c>
      <c r="F86" s="140">
        <f t="shared" si="121"/>
        <v>-7.7010089809326655E-3</v>
      </c>
      <c r="G86" s="140">
        <f t="shared" si="121"/>
        <v>-7.7125913732962632E-3</v>
      </c>
      <c r="H86" s="140">
        <f t="shared" si="121"/>
        <v>-7.6453966461981805E-3</v>
      </c>
      <c r="I86" s="140">
        <f t="shared" si="121"/>
        <v>-7.5150604533845066E-3</v>
      </c>
      <c r="J86" s="140">
        <f t="shared" si="121"/>
        <v>-7.3271498500684209E-3</v>
      </c>
      <c r="K86" s="140">
        <f t="shared" si="121"/>
        <v>-7.0996049886902918E-3</v>
      </c>
      <c r="L86" s="140">
        <f t="shared" si="121"/>
        <v>-6.8324449873072178E-3</v>
      </c>
      <c r="M86" s="140">
        <f t="shared" si="121"/>
        <v>-6.5418184950191667E-3</v>
      </c>
      <c r="N86" s="140">
        <f t="shared" si="121"/>
        <v>-6.2225876926352277E-3</v>
      </c>
      <c r="O86" s="140">
        <f t="shared" si="121"/>
        <v>-5.8942688189315418E-3</v>
      </c>
      <c r="P86" s="140">
        <f t="shared" si="121"/>
        <v>-5.5469678890777835E-3</v>
      </c>
      <c r="Q86" s="140">
        <f t="shared" si="121"/>
        <v>-5.1999968130714662E-3</v>
      </c>
      <c r="R86" s="140">
        <f t="shared" si="121"/>
        <v>-4.8413176426561986E-3</v>
      </c>
      <c r="S86" s="140">
        <f t="shared" si="121"/>
        <v>-4.4896267140467454E-3</v>
      </c>
      <c r="T86" s="140">
        <f t="shared" si="121"/>
        <v>-4.1336219320449799E-3</v>
      </c>
      <c r="U86" s="140">
        <f t="shared" si="121"/>
        <v>-3.7871653661692498E-3</v>
      </c>
      <c r="V86" s="140">
        <f t="shared" si="121"/>
        <v>-3.4384302554387614E-3</v>
      </c>
      <c r="W86" s="140">
        <f t="shared" si="121"/>
        <v>-3.1041567174999157E-3</v>
      </c>
      <c r="X86" s="140">
        <f t="shared" si="121"/>
        <v>-2.7704981634186169E-3</v>
      </c>
      <c r="Y86" s="140">
        <f t="shared" si="121"/>
        <v>-2.4530297780809042E-3</v>
      </c>
      <c r="Z86" s="140">
        <f t="shared" si="121"/>
        <v>-2.1382106773395679E-3</v>
      </c>
      <c r="AA86" s="140">
        <f t="shared" si="121"/>
        <v>-1.840409677743229E-3</v>
      </c>
      <c r="AB86" s="140">
        <f t="shared" si="121"/>
        <v>-1.5482171783046169E-3</v>
      </c>
      <c r="AC86" s="140">
        <f t="shared" si="121"/>
        <v>-1.2715674690992763E-3</v>
      </c>
      <c r="AD86" s="140">
        <f t="shared" si="121"/>
        <v>-9.9981385642278035E-4</v>
      </c>
      <c r="AE86" s="140">
        <f t="shared" si="121"/>
        <v>-7.4494510553927556E-4</v>
      </c>
      <c r="AF86" s="140">
        <f t="shared" si="121"/>
        <v>-4.9546854209676743E-4</v>
      </c>
      <c r="AG86" s="140">
        <f t="shared" si="121"/>
        <v>-2.6224575832675678E-4</v>
      </c>
      <c r="AH86" s="140">
        <f t="shared" si="121"/>
        <v>-3.4629170042412005E-5</v>
      </c>
      <c r="AI86" s="140">
        <f t="shared" si="121"/>
        <v>1.775835776060275E-4</v>
      </c>
      <c r="AJ86" s="140">
        <f t="shared" si="121"/>
        <v>3.8307610583743559E-4</v>
      </c>
      <c r="AK86" s="140">
        <f t="shared" si="121"/>
        <v>5.7636432856941408E-4</v>
      </c>
      <c r="AL86" s="140">
        <f t="shared" si="121"/>
        <v>7.620746685374491E-4</v>
      </c>
      <c r="AM86" s="140">
        <f t="shared" si="121"/>
        <v>9.3642438162600677E-4</v>
      </c>
      <c r="AN86" s="140">
        <f t="shared" si="121"/>
        <v>1.1036497468412329E-3</v>
      </c>
      <c r="AO86" s="140">
        <f t="shared" si="121"/>
        <v>1.260400002987272E-3</v>
      </c>
      <c r="AP86" s="140">
        <f t="shared" si="121"/>
        <v>1.4105340264263938E-3</v>
      </c>
      <c r="AQ86" s="140">
        <f t="shared" si="121"/>
        <v>1.5510877063020095E-3</v>
      </c>
      <c r="AR86" s="140">
        <f t="shared" si="121"/>
        <v>1.6848387856254442E-3</v>
      </c>
      <c r="AS86" s="140">
        <f t="shared" si="121"/>
        <v>1.8106516621291466E-3</v>
      </c>
      <c r="AT86" s="140">
        <f t="shared" si="121"/>
        <v>1.9309273859662197E-3</v>
      </c>
      <c r="AU86" s="140">
        <f t="shared" si="121"/>
        <v>2.0433509727198866E-3</v>
      </c>
      <c r="AV86" s="140">
        <f t="shared" si="121"/>
        <v>2.1507761279543208E-3</v>
      </c>
      <c r="AW86" s="140">
        <f t="shared" si="121"/>
        <v>2.2511575810222409E-3</v>
      </c>
      <c r="AX86" s="140">
        <f t="shared" si="121"/>
        <v>2.3470635425304059E-3</v>
      </c>
      <c r="AY86" s="140">
        <f t="shared" si="121"/>
        <v>2.4366856618720199E-3</v>
      </c>
      <c r="AZ86" s="140">
        <f t="shared" si="121"/>
        <v>2.5223326339806965E-3</v>
      </c>
      <c r="BA86" s="140">
        <f t="shared" si="121"/>
        <v>2.6019681045631356E-3</v>
      </c>
      <c r="BB86" s="140">
        <f t="shared" si="121"/>
        <v>2.6789719033975118E-3</v>
      </c>
      <c r="BC86" s="140">
        <f t="shared" si="121"/>
        <v>2.7502280357992598E-3</v>
      </c>
      <c r="BD86" s="140">
        <f t="shared" si="121"/>
        <v>2.8192051819958819E-3</v>
      </c>
      <c r="BE86" s="140">
        <f t="shared" si="121"/>
        <v>2.8831193725864408E-3</v>
      </c>
      <c r="BF86" s="140">
        <f t="shared" si="121"/>
        <v>2.9450879703247744E-3</v>
      </c>
      <c r="BG86" s="140">
        <f t="shared" si="121"/>
        <v>3.0026145403122366E-3</v>
      </c>
      <c r="BH86" s="140">
        <f t="shared" si="121"/>
        <v>3.0582090731012951E-3</v>
      </c>
      <c r="BI86" s="140">
        <f t="shared" si="121"/>
        <v>3.1102352812275337E-3</v>
      </c>
      <c r="BJ86" s="140">
        <f t="shared" si="121"/>
        <v>3.160920277847E-3</v>
      </c>
      <c r="BK86" s="140">
        <f t="shared" si="121"/>
        <v>3.2082247479322014E-3</v>
      </c>
      <c r="BL86" s="140">
        <f t="shared" si="121"/>
        <v>3.2544596062937942E-3</v>
      </c>
      <c r="BM86" s="140">
        <f t="shared" si="121"/>
        <v>3.2977631770082262E-3</v>
      </c>
      <c r="BN86" s="140">
        <f t="shared" si="121"/>
        <v>3.3402486249145789E-3</v>
      </c>
      <c r="BO86" s="140">
        <f t="shared" ref="BO86:CB86" si="122">IF(BO84&lt;0,0,$B$5+$B$6*((1-EXP(-BO85/$B$9))/(BO85/$B$9))+$B$7*((1-EXP(-BO85/$B$9))/(BO85/$B$9)-EXP(-BO85/$B$9))+$B$8*((1-EXP(-BO85/$B$10))/(BO85/$B$10)-EXP(-BO85/$B$10)))</f>
        <v>3.3802022491405161E-3</v>
      </c>
      <c r="BP86" s="140">
        <f t="shared" si="122"/>
        <v>3.4193574479481799E-3</v>
      </c>
      <c r="BQ86" s="140">
        <f t="shared" si="122"/>
        <v>3.4565537747308257E-3</v>
      </c>
      <c r="BR86" s="140">
        <f t="shared" si="122"/>
        <v>3.4933773821014917E-3</v>
      </c>
      <c r="BS86" s="140">
        <f t="shared" si="122"/>
        <v>3.528333347982953E-3</v>
      </c>
      <c r="BT86" s="140">
        <f t="shared" si="122"/>
        <v>3.5631131379664852E-3</v>
      </c>
      <c r="BU86" s="140">
        <f t="shared" si="122"/>
        <v>3.596298347246351E-3</v>
      </c>
      <c r="BV86" s="140">
        <f t="shared" si="122"/>
        <v>3.6294877165194035E-3</v>
      </c>
      <c r="BW86" s="140">
        <f t="shared" si="122"/>
        <v>3.6613205449023724E-3</v>
      </c>
      <c r="BX86" s="140">
        <f t="shared" si="122"/>
        <v>3.6931482800659811E-3</v>
      </c>
      <c r="BY86" s="140">
        <f t="shared" si="122"/>
        <v>3.724002500578881E-3</v>
      </c>
      <c r="BZ86" s="140">
        <f t="shared" si="122"/>
        <v>3.7551769648018346E-3</v>
      </c>
      <c r="CA86" s="140">
        <f t="shared" si="122"/>
        <v>3.7853782821523872E-3</v>
      </c>
      <c r="CB86" s="140">
        <f t="shared" si="122"/>
        <v>3.8160381853211377E-3</v>
      </c>
      <c r="CC86" s="17"/>
      <c r="CD86" s="17"/>
      <c r="CE86" s="17"/>
    </row>
    <row r="87" spans="1:115">
      <c r="A87" s="16" t="s">
        <v>44</v>
      </c>
      <c r="B87" s="140">
        <f>EXP(-B86*B85)</f>
        <v>1.0006372119565212</v>
      </c>
      <c r="C87" s="140">
        <f t="shared" ref="C87:BN87" si="123">EXP(-C86*C85)</f>
        <v>1.0041733866629874</v>
      </c>
      <c r="D87" s="140">
        <f t="shared" si="123"/>
        <v>1.0081134317928486</v>
      </c>
      <c r="E87" s="140">
        <f t="shared" si="123"/>
        <v>1.012141069822335</v>
      </c>
      <c r="F87" s="140">
        <f t="shared" si="123"/>
        <v>1.0162601153931388</v>
      </c>
      <c r="G87" s="140">
        <f t="shared" si="123"/>
        <v>1.0201677168981746</v>
      </c>
      <c r="H87" s="140">
        <f t="shared" si="123"/>
        <v>1.0239403317840214</v>
      </c>
      <c r="I87" s="140">
        <f t="shared" si="123"/>
        <v>1.0273377187519972</v>
      </c>
      <c r="J87" s="140">
        <f t="shared" si="123"/>
        <v>1.0304551604672041</v>
      </c>
      <c r="K87" s="140">
        <f t="shared" si="123"/>
        <v>1.033115814376605</v>
      </c>
      <c r="L87" s="140">
        <f t="shared" si="123"/>
        <v>1.0354007319328453</v>
      </c>
      <c r="M87" s="140">
        <f t="shared" si="123"/>
        <v>1.0372192405491272</v>
      </c>
      <c r="N87" s="140">
        <f t="shared" si="123"/>
        <v>1.0386335240559326</v>
      </c>
      <c r="O87" s="140">
        <f t="shared" si="123"/>
        <v>1.0395836634121747</v>
      </c>
      <c r="P87" s="140">
        <f t="shared" si="123"/>
        <v>1.0401212025538122</v>
      </c>
      <c r="Q87" s="140">
        <f t="shared" si="123"/>
        <v>1.0402361488726852</v>
      </c>
      <c r="R87" s="140">
        <f t="shared" si="123"/>
        <v>1.0399517611748639</v>
      </c>
      <c r="S87" s="140">
        <f t="shared" si="123"/>
        <v>1.039301064453662</v>
      </c>
      <c r="T87" s="140">
        <f t="shared" si="123"/>
        <v>1.0382847060800624</v>
      </c>
      <c r="U87" s="140">
        <f t="shared" si="123"/>
        <v>1.0369603239413632</v>
      </c>
      <c r="V87" s="140">
        <f t="shared" si="123"/>
        <v>1.0352986551558898</v>
      </c>
      <c r="W87" s="140">
        <f t="shared" si="123"/>
        <v>1.0333979212035524</v>
      </c>
      <c r="X87" s="140">
        <f t="shared" si="123"/>
        <v>1.0311985291573633</v>
      </c>
      <c r="Y87" s="140">
        <f t="shared" si="123"/>
        <v>1.0288217975141307</v>
      </c>
      <c r="Z87" s="140">
        <f t="shared" si="123"/>
        <v>1.0261855632876862</v>
      </c>
      <c r="AA87" s="140">
        <f t="shared" si="123"/>
        <v>1.0234287283220089</v>
      </c>
      <c r="AB87" s="140">
        <f t="shared" si="123"/>
        <v>1.0204667717870508</v>
      </c>
      <c r="AC87" s="140">
        <f t="shared" si="123"/>
        <v>1.0174185567823963</v>
      </c>
      <c r="AD87" s="140">
        <f t="shared" si="123"/>
        <v>1.0141831286121925</v>
      </c>
      <c r="AE87" s="140">
        <f t="shared" si="123"/>
        <v>1.0109209160601391</v>
      </c>
      <c r="AF87" s="140">
        <f t="shared" si="123"/>
        <v>1.0075026987328413</v>
      </c>
      <c r="AG87" s="140">
        <f t="shared" si="123"/>
        <v>1.0040942934182659</v>
      </c>
      <c r="AH87" s="140">
        <f t="shared" si="123"/>
        <v>1.0005572038574151</v>
      </c>
      <c r="AI87" s="140">
        <f t="shared" si="123"/>
        <v>0.9970598962212136</v>
      </c>
      <c r="AJ87" s="140">
        <f t="shared" si="123"/>
        <v>0.99347714994379954</v>
      </c>
      <c r="AK87" s="140">
        <f t="shared" si="123"/>
        <v>0.98991835881378765</v>
      </c>
      <c r="AL87" s="140">
        <f t="shared" si="123"/>
        <v>0.98631367096838574</v>
      </c>
      <c r="AM87" s="140">
        <f t="shared" si="123"/>
        <v>0.9827512082267984</v>
      </c>
      <c r="AN87" s="140">
        <f t="shared" si="123"/>
        <v>0.97915892461797771</v>
      </c>
      <c r="AO87" s="140">
        <f t="shared" si="123"/>
        <v>0.97562271258325906</v>
      </c>
      <c r="AP87" s="140">
        <f t="shared" si="123"/>
        <v>0.9720692569724535</v>
      </c>
      <c r="AQ87" s="140">
        <f t="shared" si="123"/>
        <v>0.96858188957895242</v>
      </c>
      <c r="AR87" s="140">
        <f t="shared" si="123"/>
        <v>0.96510600144139125</v>
      </c>
      <c r="AS87" s="140">
        <f>EXP(-AS86*AS85)</f>
        <v>0.96168354359321362</v>
      </c>
      <c r="AT87" s="140">
        <f t="shared" si="123"/>
        <v>0.95826018174963934</v>
      </c>
      <c r="AU87" s="140">
        <f t="shared" si="123"/>
        <v>0.95491368557390421</v>
      </c>
      <c r="AV87" s="140">
        <f t="shared" si="123"/>
        <v>0.95157087448625699</v>
      </c>
      <c r="AW87" s="140">
        <f t="shared" si="123"/>
        <v>0.94830671200045147</v>
      </c>
      <c r="AX87" s="140">
        <f t="shared" si="123"/>
        <v>0.94504891206553909</v>
      </c>
      <c r="AY87" s="140">
        <f t="shared" si="123"/>
        <v>0.94186971693394861</v>
      </c>
      <c r="AZ87" s="140">
        <f t="shared" si="123"/>
        <v>0.9386979685456146</v>
      </c>
      <c r="BA87" s="140">
        <f t="shared" si="123"/>
        <v>0.93562049921861357</v>
      </c>
      <c r="BB87" s="140">
        <f t="shared" si="123"/>
        <v>0.9325159010377625</v>
      </c>
      <c r="BC87" s="140">
        <f t="shared" si="123"/>
        <v>0.92951967007266534</v>
      </c>
      <c r="BD87" s="140">
        <f t="shared" si="123"/>
        <v>0.9264959147954962</v>
      </c>
      <c r="BE87" s="140">
        <f t="shared" si="123"/>
        <v>0.92357615739154952</v>
      </c>
      <c r="BF87" s="140">
        <f t="shared" si="123"/>
        <v>0.92062756431110138</v>
      </c>
      <c r="BG87" s="140">
        <f t="shared" si="123"/>
        <v>0.91777803412591363</v>
      </c>
      <c r="BH87" s="140">
        <f t="shared" si="123"/>
        <v>0.91491334434475668</v>
      </c>
      <c r="BI87" s="140">
        <f t="shared" si="123"/>
        <v>0.91212652142257311</v>
      </c>
      <c r="BJ87" s="140">
        <f t="shared" si="123"/>
        <v>0.90930613648623804</v>
      </c>
      <c r="BK87" s="140">
        <f t="shared" si="123"/>
        <v>0.90657405397135948</v>
      </c>
      <c r="BL87" s="140">
        <f t="shared" si="123"/>
        <v>0.90380525070805717</v>
      </c>
      <c r="BM87" s="140">
        <f t="shared" si="123"/>
        <v>0.90111921875795753</v>
      </c>
      <c r="BN87" s="140">
        <f t="shared" si="123"/>
        <v>0.89839292283279226</v>
      </c>
      <c r="BO87" s="140">
        <f t="shared" ref="BO87:CA87" si="124">EXP(-BO86*BO85)</f>
        <v>0.89574393040245259</v>
      </c>
      <c r="BP87" s="140">
        <f t="shared" si="124"/>
        <v>0.89306559371859018</v>
      </c>
      <c r="BQ87" s="140">
        <f t="shared" si="124"/>
        <v>0.89044442237229071</v>
      </c>
      <c r="BR87" s="140">
        <f t="shared" si="124"/>
        <v>0.88777509958968337</v>
      </c>
      <c r="BS87" s="140">
        <f t="shared" si="124"/>
        <v>0.88517268947907457</v>
      </c>
      <c r="BT87" s="140">
        <f t="shared" si="124"/>
        <v>0.88251791216118047</v>
      </c>
      <c r="BU87" s="140">
        <f t="shared" si="124"/>
        <v>0.87992523594896044</v>
      </c>
      <c r="BV87" s="140">
        <f t="shared" si="124"/>
        <v>0.87727587499787185</v>
      </c>
      <c r="BW87" s="140">
        <f t="shared" si="124"/>
        <v>0.8746841245981688</v>
      </c>
      <c r="BX87" s="140">
        <f t="shared" si="124"/>
        <v>0.87204590445228725</v>
      </c>
      <c r="BY87" s="140">
        <f t="shared" si="124"/>
        <v>0.86944660093445425</v>
      </c>
      <c r="BZ87" s="140">
        <f t="shared" si="124"/>
        <v>0.86678186450797612</v>
      </c>
      <c r="CA87" s="140">
        <f t="shared" si="124"/>
        <v>0.86416684393453602</v>
      </c>
      <c r="CB87" s="140">
        <f>EXP(-CB86*CB85)</f>
        <v>0.86148202156890719</v>
      </c>
      <c r="CC87" s="17"/>
      <c r="CD87" s="17"/>
      <c r="CE87" s="17"/>
    </row>
    <row r="88" spans="1:115" s="6" customFormat="1">
      <c r="A88" s="130"/>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19"/>
      <c r="CD88" s="19"/>
      <c r="CE88" s="19"/>
    </row>
    <row r="89" spans="1:115">
      <c r="A89" s="16" t="s">
        <v>40</v>
      </c>
      <c r="B89" s="140">
        <f t="shared" ref="B89:BM89" si="125">DAYS360($B$3,B32)</f>
        <v>90</v>
      </c>
      <c r="C89" s="140">
        <f t="shared" si="125"/>
        <v>269</v>
      </c>
      <c r="D89" s="140">
        <f t="shared" si="125"/>
        <v>449</v>
      </c>
      <c r="E89" s="140">
        <f t="shared" si="125"/>
        <v>629</v>
      </c>
      <c r="F89" s="140">
        <f t="shared" si="125"/>
        <v>809</v>
      </c>
      <c r="G89" s="140">
        <f t="shared" si="125"/>
        <v>989</v>
      </c>
      <c r="H89" s="140">
        <f t="shared" si="125"/>
        <v>1169</v>
      </c>
      <c r="I89" s="140">
        <f t="shared" si="125"/>
        <v>1349</v>
      </c>
      <c r="J89" s="140">
        <f t="shared" si="125"/>
        <v>1529</v>
      </c>
      <c r="K89" s="140">
        <f t="shared" si="125"/>
        <v>1709</v>
      </c>
      <c r="L89" s="140">
        <f t="shared" si="125"/>
        <v>1888</v>
      </c>
      <c r="M89" s="140">
        <f t="shared" si="125"/>
        <v>2069</v>
      </c>
      <c r="N89" s="140">
        <f t="shared" si="125"/>
        <v>2248</v>
      </c>
      <c r="O89" s="140">
        <f t="shared" si="125"/>
        <v>2429</v>
      </c>
      <c r="P89" s="140">
        <f t="shared" si="125"/>
        <v>2608</v>
      </c>
      <c r="Q89" s="140">
        <f t="shared" si="125"/>
        <v>2789</v>
      </c>
      <c r="R89" s="140">
        <f t="shared" si="125"/>
        <v>2968</v>
      </c>
      <c r="S89" s="140">
        <f t="shared" si="125"/>
        <v>3148</v>
      </c>
      <c r="T89" s="140">
        <f t="shared" si="125"/>
        <v>3327</v>
      </c>
      <c r="U89" s="140">
        <f t="shared" si="125"/>
        <v>3508</v>
      </c>
      <c r="V89" s="140">
        <f t="shared" si="125"/>
        <v>3687</v>
      </c>
      <c r="W89" s="140">
        <f t="shared" si="125"/>
        <v>3868</v>
      </c>
      <c r="X89" s="140">
        <f t="shared" si="125"/>
        <v>4047</v>
      </c>
      <c r="Y89" s="140">
        <f t="shared" si="125"/>
        <v>4228</v>
      </c>
      <c r="Z89" s="140">
        <f t="shared" si="125"/>
        <v>4407</v>
      </c>
      <c r="AA89" s="140">
        <f t="shared" si="125"/>
        <v>4587</v>
      </c>
      <c r="AB89" s="140">
        <f t="shared" si="125"/>
        <v>4766</v>
      </c>
      <c r="AC89" s="140">
        <f t="shared" si="125"/>
        <v>4947</v>
      </c>
      <c r="AD89" s="140">
        <f t="shared" si="125"/>
        <v>5126</v>
      </c>
      <c r="AE89" s="140">
        <f t="shared" si="125"/>
        <v>5307</v>
      </c>
      <c r="AF89" s="140">
        <f t="shared" si="125"/>
        <v>5486</v>
      </c>
      <c r="AG89" s="140">
        <f t="shared" si="125"/>
        <v>5667</v>
      </c>
      <c r="AH89" s="140">
        <f t="shared" si="125"/>
        <v>5846</v>
      </c>
      <c r="AI89" s="140">
        <f t="shared" si="125"/>
        <v>6026</v>
      </c>
      <c r="AJ89" s="140">
        <f t="shared" si="125"/>
        <v>6205</v>
      </c>
      <c r="AK89" s="140">
        <f t="shared" si="125"/>
        <v>6386</v>
      </c>
      <c r="AL89" s="140">
        <f t="shared" si="125"/>
        <v>6565</v>
      </c>
      <c r="AM89" s="140">
        <f t="shared" si="125"/>
        <v>6746</v>
      </c>
      <c r="AN89" s="140">
        <f t="shared" si="125"/>
        <v>6925</v>
      </c>
      <c r="AO89" s="140">
        <f t="shared" si="125"/>
        <v>7106</v>
      </c>
      <c r="AP89" s="140">
        <f t="shared" si="125"/>
        <v>7285</v>
      </c>
      <c r="AQ89" s="140">
        <f t="shared" si="125"/>
        <v>7465</v>
      </c>
      <c r="AR89" s="140">
        <f t="shared" si="125"/>
        <v>7644</v>
      </c>
      <c r="AS89" s="140">
        <f t="shared" si="125"/>
        <v>7825</v>
      </c>
      <c r="AT89" s="140">
        <f t="shared" si="125"/>
        <v>8004</v>
      </c>
      <c r="AU89" s="140">
        <f t="shared" si="125"/>
        <v>8185</v>
      </c>
      <c r="AV89" s="140">
        <f t="shared" si="125"/>
        <v>8364</v>
      </c>
      <c r="AW89" s="140">
        <f t="shared" si="125"/>
        <v>8545</v>
      </c>
      <c r="AX89" s="140">
        <f t="shared" si="125"/>
        <v>8724</v>
      </c>
      <c r="AY89" s="140">
        <f t="shared" si="125"/>
        <v>8904</v>
      </c>
      <c r="AZ89" s="140">
        <f t="shared" si="125"/>
        <v>9083</v>
      </c>
      <c r="BA89" s="140">
        <f t="shared" si="125"/>
        <v>9264</v>
      </c>
      <c r="BB89" s="140">
        <f t="shared" si="125"/>
        <v>9443</v>
      </c>
      <c r="BC89" s="140">
        <f t="shared" si="125"/>
        <v>9624</v>
      </c>
      <c r="BD89" s="140">
        <f t="shared" si="125"/>
        <v>9803</v>
      </c>
      <c r="BE89" s="140">
        <f t="shared" si="125"/>
        <v>9984</v>
      </c>
      <c r="BF89" s="140">
        <f t="shared" si="125"/>
        <v>10163</v>
      </c>
      <c r="BG89" s="140">
        <f t="shared" si="125"/>
        <v>10343</v>
      </c>
      <c r="BH89" s="140">
        <f t="shared" si="125"/>
        <v>10522</v>
      </c>
      <c r="BI89" s="140">
        <f t="shared" si="125"/>
        <v>10703</v>
      </c>
      <c r="BJ89" s="140">
        <f t="shared" si="125"/>
        <v>10882</v>
      </c>
      <c r="BK89" s="140">
        <f t="shared" si="125"/>
        <v>11063</v>
      </c>
      <c r="BL89" s="140">
        <f t="shared" si="125"/>
        <v>11242</v>
      </c>
      <c r="BM89" s="140">
        <f t="shared" si="125"/>
        <v>11423</v>
      </c>
      <c r="BN89" s="140">
        <f t="shared" ref="BN89:CB89" si="126">DAYS360($B$3,BN32)</f>
        <v>11602</v>
      </c>
      <c r="BO89" s="140">
        <f t="shared" si="126"/>
        <v>11782</v>
      </c>
      <c r="BP89" s="140">
        <f t="shared" si="126"/>
        <v>11961</v>
      </c>
      <c r="BQ89" s="140">
        <f t="shared" si="126"/>
        <v>12142</v>
      </c>
      <c r="BR89" s="140">
        <f t="shared" si="126"/>
        <v>12321</v>
      </c>
      <c r="BS89" s="140">
        <f t="shared" si="126"/>
        <v>12502</v>
      </c>
      <c r="BT89" s="140">
        <f t="shared" si="126"/>
        <v>12681</v>
      </c>
      <c r="BU89" s="140">
        <f t="shared" si="126"/>
        <v>12862</v>
      </c>
      <c r="BV89" s="140">
        <f t="shared" si="126"/>
        <v>13041</v>
      </c>
      <c r="BW89" s="140">
        <f t="shared" si="126"/>
        <v>13221</v>
      </c>
      <c r="BX89" s="140">
        <f t="shared" si="126"/>
        <v>13400</v>
      </c>
      <c r="BY89" s="140">
        <f t="shared" si="126"/>
        <v>13581</v>
      </c>
      <c r="BZ89" s="140">
        <f t="shared" si="126"/>
        <v>13760</v>
      </c>
      <c r="CA89" s="140">
        <f t="shared" si="126"/>
        <v>13941</v>
      </c>
      <c r="CB89" s="140">
        <f t="shared" si="126"/>
        <v>14120</v>
      </c>
      <c r="CC89" s="17"/>
      <c r="CD89" s="17"/>
      <c r="CE89" s="17"/>
    </row>
    <row r="90" spans="1:115">
      <c r="A90" s="16" t="s">
        <v>41</v>
      </c>
      <c r="B90" s="140">
        <f>B89/360</f>
        <v>0.25</v>
      </c>
      <c r="C90" s="140">
        <f t="shared" ref="C90:BN90" si="127">C89/360</f>
        <v>0.74722222222222223</v>
      </c>
      <c r="D90" s="140">
        <f t="shared" si="127"/>
        <v>1.2472222222222222</v>
      </c>
      <c r="E90" s="140">
        <f t="shared" si="127"/>
        <v>1.7472222222222222</v>
      </c>
      <c r="F90" s="140">
        <f t="shared" si="127"/>
        <v>2.2472222222222222</v>
      </c>
      <c r="G90" s="140">
        <f t="shared" si="127"/>
        <v>2.7472222222222222</v>
      </c>
      <c r="H90" s="140">
        <f t="shared" si="127"/>
        <v>3.2472222222222222</v>
      </c>
      <c r="I90" s="140">
        <f t="shared" si="127"/>
        <v>3.7472222222222222</v>
      </c>
      <c r="J90" s="140">
        <f t="shared" si="127"/>
        <v>4.2472222222222218</v>
      </c>
      <c r="K90" s="140">
        <f t="shared" si="127"/>
        <v>4.7472222222222218</v>
      </c>
      <c r="L90" s="140">
        <f t="shared" si="127"/>
        <v>5.2444444444444445</v>
      </c>
      <c r="M90" s="140">
        <f t="shared" si="127"/>
        <v>5.7472222222222218</v>
      </c>
      <c r="N90" s="140">
        <f t="shared" si="127"/>
        <v>6.2444444444444445</v>
      </c>
      <c r="O90" s="140">
        <f t="shared" si="127"/>
        <v>6.7472222222222218</v>
      </c>
      <c r="P90" s="140">
        <f t="shared" si="127"/>
        <v>7.2444444444444445</v>
      </c>
      <c r="Q90" s="140">
        <f t="shared" si="127"/>
        <v>7.7472222222222218</v>
      </c>
      <c r="R90" s="140">
        <f t="shared" si="127"/>
        <v>8.2444444444444436</v>
      </c>
      <c r="S90" s="140">
        <f t="shared" si="127"/>
        <v>8.7444444444444436</v>
      </c>
      <c r="T90" s="140">
        <f t="shared" si="127"/>
        <v>9.2416666666666671</v>
      </c>
      <c r="U90" s="140">
        <f t="shared" si="127"/>
        <v>9.7444444444444436</v>
      </c>
      <c r="V90" s="140">
        <f t="shared" si="127"/>
        <v>10.241666666666667</v>
      </c>
      <c r="W90" s="140">
        <f t="shared" si="127"/>
        <v>10.744444444444444</v>
      </c>
      <c r="X90" s="140">
        <f t="shared" si="127"/>
        <v>11.241666666666667</v>
      </c>
      <c r="Y90" s="140">
        <f t="shared" si="127"/>
        <v>11.744444444444444</v>
      </c>
      <c r="Z90" s="140">
        <f t="shared" si="127"/>
        <v>12.241666666666667</v>
      </c>
      <c r="AA90" s="140">
        <f t="shared" si="127"/>
        <v>12.741666666666667</v>
      </c>
      <c r="AB90" s="140">
        <f t="shared" si="127"/>
        <v>13.238888888888889</v>
      </c>
      <c r="AC90" s="140">
        <f t="shared" si="127"/>
        <v>13.741666666666667</v>
      </c>
      <c r="AD90" s="140">
        <f t="shared" si="127"/>
        <v>14.238888888888889</v>
      </c>
      <c r="AE90" s="140">
        <f t="shared" si="127"/>
        <v>14.741666666666667</v>
      </c>
      <c r="AF90" s="140">
        <f t="shared" si="127"/>
        <v>15.238888888888889</v>
      </c>
      <c r="AG90" s="140">
        <f t="shared" si="127"/>
        <v>15.741666666666667</v>
      </c>
      <c r="AH90" s="140">
        <f t="shared" si="127"/>
        <v>16.238888888888887</v>
      </c>
      <c r="AI90" s="140">
        <f t="shared" si="127"/>
        <v>16.738888888888887</v>
      </c>
      <c r="AJ90" s="140">
        <f t="shared" si="127"/>
        <v>17.236111111111111</v>
      </c>
      <c r="AK90" s="140">
        <f t="shared" si="127"/>
        <v>17.738888888888887</v>
      </c>
      <c r="AL90" s="140">
        <f t="shared" si="127"/>
        <v>18.236111111111111</v>
      </c>
      <c r="AM90" s="140">
        <f t="shared" si="127"/>
        <v>18.738888888888887</v>
      </c>
      <c r="AN90" s="140">
        <f t="shared" si="127"/>
        <v>19.236111111111111</v>
      </c>
      <c r="AO90" s="140">
        <f t="shared" si="127"/>
        <v>19.738888888888887</v>
      </c>
      <c r="AP90" s="140">
        <f t="shared" si="127"/>
        <v>20.236111111111111</v>
      </c>
      <c r="AQ90" s="140">
        <f t="shared" si="127"/>
        <v>20.736111111111111</v>
      </c>
      <c r="AR90" s="140">
        <f t="shared" si="127"/>
        <v>21.233333333333334</v>
      </c>
      <c r="AS90" s="140">
        <f t="shared" si="127"/>
        <v>21.736111111111111</v>
      </c>
      <c r="AT90" s="140">
        <f t="shared" si="127"/>
        <v>22.233333333333334</v>
      </c>
      <c r="AU90" s="140">
        <f t="shared" si="127"/>
        <v>22.736111111111111</v>
      </c>
      <c r="AV90" s="140">
        <f t="shared" si="127"/>
        <v>23.233333333333334</v>
      </c>
      <c r="AW90" s="140">
        <f t="shared" si="127"/>
        <v>23.736111111111111</v>
      </c>
      <c r="AX90" s="140">
        <f t="shared" si="127"/>
        <v>24.233333333333334</v>
      </c>
      <c r="AY90" s="140">
        <f t="shared" si="127"/>
        <v>24.733333333333334</v>
      </c>
      <c r="AZ90" s="140">
        <f t="shared" si="127"/>
        <v>25.230555555555554</v>
      </c>
      <c r="BA90" s="140">
        <f t="shared" si="127"/>
        <v>25.733333333333334</v>
      </c>
      <c r="BB90" s="140">
        <f t="shared" si="127"/>
        <v>26.230555555555554</v>
      </c>
      <c r="BC90" s="140">
        <f t="shared" si="127"/>
        <v>26.733333333333334</v>
      </c>
      <c r="BD90" s="140">
        <f t="shared" si="127"/>
        <v>27.230555555555554</v>
      </c>
      <c r="BE90" s="140">
        <f t="shared" si="127"/>
        <v>27.733333333333334</v>
      </c>
      <c r="BF90" s="140">
        <f t="shared" si="127"/>
        <v>28.230555555555554</v>
      </c>
      <c r="BG90" s="140">
        <f t="shared" si="127"/>
        <v>28.730555555555554</v>
      </c>
      <c r="BH90" s="140">
        <f t="shared" si="127"/>
        <v>29.227777777777778</v>
      </c>
      <c r="BI90" s="140">
        <f t="shared" si="127"/>
        <v>29.730555555555554</v>
      </c>
      <c r="BJ90" s="140">
        <f t="shared" si="127"/>
        <v>30.227777777777778</v>
      </c>
      <c r="BK90" s="140">
        <f t="shared" si="127"/>
        <v>30.730555555555554</v>
      </c>
      <c r="BL90" s="140">
        <f t="shared" si="127"/>
        <v>31.227777777777778</v>
      </c>
      <c r="BM90" s="140">
        <f t="shared" si="127"/>
        <v>31.730555555555554</v>
      </c>
      <c r="BN90" s="140">
        <f t="shared" si="127"/>
        <v>32.227777777777774</v>
      </c>
      <c r="BO90" s="140">
        <f t="shared" ref="BO90:CB90" si="128">BO89/360</f>
        <v>32.727777777777774</v>
      </c>
      <c r="BP90" s="140">
        <f t="shared" si="128"/>
        <v>33.225000000000001</v>
      </c>
      <c r="BQ90" s="140">
        <f t="shared" si="128"/>
        <v>33.727777777777774</v>
      </c>
      <c r="BR90" s="140">
        <f t="shared" si="128"/>
        <v>34.225000000000001</v>
      </c>
      <c r="BS90" s="140">
        <f t="shared" si="128"/>
        <v>34.727777777777774</v>
      </c>
      <c r="BT90" s="140">
        <f t="shared" si="128"/>
        <v>35.225000000000001</v>
      </c>
      <c r="BU90" s="140">
        <f t="shared" si="128"/>
        <v>35.727777777777774</v>
      </c>
      <c r="BV90" s="140">
        <f t="shared" si="128"/>
        <v>36.225000000000001</v>
      </c>
      <c r="BW90" s="140">
        <f t="shared" si="128"/>
        <v>36.725000000000001</v>
      </c>
      <c r="BX90" s="140">
        <f t="shared" si="128"/>
        <v>37.222222222222221</v>
      </c>
      <c r="BY90" s="140">
        <f t="shared" si="128"/>
        <v>37.725000000000001</v>
      </c>
      <c r="BZ90" s="140">
        <f t="shared" si="128"/>
        <v>38.222222222222221</v>
      </c>
      <c r="CA90" s="140">
        <f t="shared" si="128"/>
        <v>38.725000000000001</v>
      </c>
      <c r="CB90" s="140">
        <f t="shared" si="128"/>
        <v>39.222222222222221</v>
      </c>
      <c r="CC90" s="17"/>
      <c r="CD90" s="17"/>
      <c r="CE90" s="17"/>
    </row>
    <row r="91" spans="1:115">
      <c r="A91" s="16" t="s">
        <v>43</v>
      </c>
      <c r="B91" s="140">
        <f>IF(B89&lt;0,0,$B$5+$B$6*((1-EXP(-B90/$B$9))/(B90/$B$9))+$B$7*((1-EXP(-B90/$B$9))/(B90/$B$9)-EXP(-B90/$B$9))+$B$8*((1-EXP(-B90/$B$10))/(B90/$B$10)-EXP(-B90/$B$10)))</f>
        <v>-6.7195830612545816E-3</v>
      </c>
      <c r="C91" s="140">
        <f t="shared" ref="C91:BN91" si="129">IF(C89&lt;0,0,$B$5+$B$6*((1-EXP(-C90/$B$9))/(C90/$B$9))+$B$7*((1-EXP(-C90/$B$9))/(C90/$B$9)-EXP(-C90/$B$9))+$B$8*((1-EXP(-C90/$B$10))/(C90/$B$10)-EXP(-C90/$B$10)))</f>
        <v>-7.1606582308719642E-3</v>
      </c>
      <c r="D91" s="140">
        <f t="shared" si="129"/>
        <v>-7.4613499638675265E-3</v>
      </c>
      <c r="E91" s="140">
        <f t="shared" si="129"/>
        <v>-7.6395559925755922E-3</v>
      </c>
      <c r="F91" s="140">
        <f t="shared" si="129"/>
        <v>-7.7135772160980762E-3</v>
      </c>
      <c r="G91" s="140">
        <f t="shared" si="129"/>
        <v>-7.6994912489054502E-3</v>
      </c>
      <c r="H91" s="140">
        <f t="shared" si="129"/>
        <v>-7.6114006202600108E-3</v>
      </c>
      <c r="I91" s="140">
        <f t="shared" si="129"/>
        <v>-7.4616543886065713E-3</v>
      </c>
      <c r="J91" s="140">
        <f t="shared" si="129"/>
        <v>-7.2610459538228356E-3</v>
      </c>
      <c r="K91" s="140">
        <f t="shared" si="129"/>
        <v>-7.0189895629733665E-3</v>
      </c>
      <c r="L91" s="140">
        <f t="shared" si="129"/>
        <v>-6.7452855977635871E-3</v>
      </c>
      <c r="M91" s="140">
        <f t="shared" si="129"/>
        <v>-6.4422216969610502E-3</v>
      </c>
      <c r="N91" s="140">
        <f t="shared" si="129"/>
        <v>-6.1226072826203997E-3</v>
      </c>
      <c r="O91" s="140">
        <f t="shared" si="129"/>
        <v>-5.7846519581974832E-3</v>
      </c>
      <c r="P91" s="140">
        <f t="shared" si="129"/>
        <v>-5.4403571568111698E-3</v>
      </c>
      <c r="Q91" s="140">
        <f t="shared" si="129"/>
        <v>-5.0859673576704491E-3</v>
      </c>
      <c r="R91" s="140">
        <f t="shared" si="129"/>
        <v>-4.7326201224546487E-3</v>
      </c>
      <c r="S91" s="140">
        <f t="shared" si="129"/>
        <v>-4.3772318147178597E-3</v>
      </c>
      <c r="T91" s="140">
        <f t="shared" si="129"/>
        <v>-4.0260985159497331E-3</v>
      </c>
      <c r="U91" s="140">
        <f t="shared" si="129"/>
        <v>-3.6753500742057969E-3</v>
      </c>
      <c r="V91" s="140">
        <f t="shared" si="129"/>
        <v>-3.3343678212524146E-3</v>
      </c>
      <c r="W91" s="140">
        <f t="shared" si="129"/>
        <v>-2.9968846521596353E-3</v>
      </c>
      <c r="X91" s="140">
        <f t="shared" si="129"/>
        <v>-2.6714323825439579E-3</v>
      </c>
      <c r="Y91" s="140">
        <f t="shared" si="129"/>
        <v>-2.3515994031306116E-3</v>
      </c>
      <c r="Z91" s="140">
        <f t="shared" si="129"/>
        <v>-2.0451069353439738E-3</v>
      </c>
      <c r="AA91" s="140">
        <f t="shared" si="129"/>
        <v>-1.7472227856956107E-3</v>
      </c>
      <c r="AB91" s="140">
        <f t="shared" si="129"/>
        <v>-1.4615943557735253E-3</v>
      </c>
      <c r="AC91" s="140">
        <f t="shared" si="129"/>
        <v>-1.1837408671521044E-3</v>
      </c>
      <c r="AD91" s="140">
        <f t="shared" si="129"/>
        <v>-9.199105076005791E-4</v>
      </c>
      <c r="AE91" s="140">
        <f t="shared" si="129"/>
        <v>-6.6422486940643719E-4</v>
      </c>
      <c r="AF91" s="140">
        <f t="shared" si="129"/>
        <v>-4.2227470099858409E-4</v>
      </c>
      <c r="AG91" s="140">
        <f t="shared" si="129"/>
        <v>-1.885272713473482E-4</v>
      </c>
      <c r="AH91" s="140">
        <f t="shared" si="129"/>
        <v>3.2029517521254408E-5</v>
      </c>
      <c r="AI91" s="140">
        <f t="shared" si="129"/>
        <v>2.4340396844559423E-4</v>
      </c>
      <c r="AJ91" s="140">
        <f t="shared" si="129"/>
        <v>4.4350407173026143E-4</v>
      </c>
      <c r="AK91" s="140">
        <f t="shared" si="129"/>
        <v>6.358888361353808E-4</v>
      </c>
      <c r="AL91" s="140">
        <f t="shared" si="129"/>
        <v>8.166156800961874E-4</v>
      </c>
      <c r="AM91" s="140">
        <f t="shared" si="129"/>
        <v>9.9005420677856712E-4</v>
      </c>
      <c r="AN91" s="140">
        <f t="shared" si="129"/>
        <v>1.1527101345124753E-3</v>
      </c>
      <c r="AO91" s="140">
        <f t="shared" si="129"/>
        <v>1.3085704707012646E-3</v>
      </c>
      <c r="AP91" s="140">
        <f t="shared" si="129"/>
        <v>1.4545428491592981E-3</v>
      </c>
      <c r="AQ91" s="140">
        <f t="shared" si="129"/>
        <v>1.5934979311580874E-3</v>
      </c>
      <c r="AR91" s="140">
        <f t="shared" si="129"/>
        <v>1.7242438273942194E-3</v>
      </c>
      <c r="AS91" s="140">
        <f t="shared" si="129"/>
        <v>1.8492650567885384E-3</v>
      </c>
      <c r="AT91" s="140">
        <f t="shared" si="129"/>
        <v>1.9661455901180888E-3</v>
      </c>
      <c r="AU91" s="140">
        <f t="shared" si="129"/>
        <v>2.0778434829978008E-3</v>
      </c>
      <c r="AV91" s="140">
        <f t="shared" si="129"/>
        <v>2.1822244180956241E-3</v>
      </c>
      <c r="AW91" s="140">
        <f t="shared" si="129"/>
        <v>2.2819520018526711E-3</v>
      </c>
      <c r="AX91" s="140">
        <f t="shared" si="129"/>
        <v>2.3751397949759168E-3</v>
      </c>
      <c r="AY91" s="140">
        <f t="shared" si="129"/>
        <v>2.4637047821818372E-3</v>
      </c>
      <c r="AZ91" s="140">
        <f t="shared" si="129"/>
        <v>2.5469599387931106E-3</v>
      </c>
      <c r="BA91" s="140">
        <f t="shared" si="129"/>
        <v>2.6265522011355465E-3</v>
      </c>
      <c r="BB91" s="140">
        <f t="shared" si="129"/>
        <v>2.7010006391401387E-3</v>
      </c>
      <c r="BC91" s="140">
        <f t="shared" si="129"/>
        <v>2.7722404710656366E-3</v>
      </c>
      <c r="BD91" s="140">
        <f t="shared" si="129"/>
        <v>2.838954424759621E-3</v>
      </c>
      <c r="BE91" s="140">
        <f t="shared" si="129"/>
        <v>2.9028836282832399E-3</v>
      </c>
      <c r="BF91" s="140">
        <f t="shared" si="129"/>
        <v>2.9628515424325805E-3</v>
      </c>
      <c r="BG91" s="140">
        <f t="shared" si="129"/>
        <v>3.0201175801905927E-3</v>
      </c>
      <c r="BH91" s="140">
        <f t="shared" si="129"/>
        <v>3.0742604373397951E-3</v>
      </c>
      <c r="BI91" s="140">
        <f t="shared" si="129"/>
        <v>3.1263727926013132E-3</v>
      </c>
      <c r="BJ91" s="140">
        <f t="shared" si="129"/>
        <v>3.1754995140683348E-3</v>
      </c>
      <c r="BK91" s="140">
        <f t="shared" si="129"/>
        <v>3.2229283449321244E-3</v>
      </c>
      <c r="BL91" s="140">
        <f t="shared" si="129"/>
        <v>3.2677891728386983E-3</v>
      </c>
      <c r="BM91" s="140">
        <f t="shared" si="129"/>
        <v>3.3112562122596979E-3</v>
      </c>
      <c r="BN91" s="140">
        <f t="shared" si="129"/>
        <v>3.3525295408860858E-3</v>
      </c>
      <c r="BO91" s="140">
        <f t="shared" ref="BO91:CB91" si="130">IF(BO89&lt;0,0,$B$5+$B$6*((1-EXP(-BO90/$B$9))/(BO90/$B$9))+$B$7*((1-EXP(-BO90/$B$9))/(BO90/$B$9)-EXP(-BO90/$B$9))+$B$8*((1-EXP(-BO90/$B$10))/(BO90/$B$10)-EXP(-BO90/$B$10)))</f>
        <v>3.3924684026947274E-3</v>
      </c>
      <c r="BP91" s="140">
        <f t="shared" si="130"/>
        <v>3.4307728744390753E-3</v>
      </c>
      <c r="BQ91" s="140">
        <f t="shared" si="130"/>
        <v>3.4682117218658784E-3</v>
      </c>
      <c r="BR91" s="140">
        <f t="shared" si="130"/>
        <v>3.5040871024910394E-3</v>
      </c>
      <c r="BS91" s="140">
        <f t="shared" si="130"/>
        <v>3.539325009066549E-3</v>
      </c>
      <c r="BT91" s="140">
        <f t="shared" si="130"/>
        <v>3.5732624186291286E-3</v>
      </c>
      <c r="BU91" s="140">
        <f t="shared" si="130"/>
        <v>3.6067685755180393E-3</v>
      </c>
      <c r="BV91" s="140">
        <f t="shared" si="130"/>
        <v>3.6392060481464442E-3</v>
      </c>
      <c r="BW91" s="140">
        <f t="shared" si="130"/>
        <v>3.6712219029428547E-3</v>
      </c>
      <c r="BX91" s="140">
        <f t="shared" si="130"/>
        <v>3.702551446864176E-3</v>
      </c>
      <c r="BY91" s="140">
        <f t="shared" si="130"/>
        <v>3.7338026710772194E-3</v>
      </c>
      <c r="BZ91" s="140">
        <f t="shared" si="130"/>
        <v>3.7643658566782999E-3</v>
      </c>
      <c r="CA91" s="140">
        <f t="shared" si="130"/>
        <v>3.7950011157961462E-3</v>
      </c>
      <c r="CB91" s="140">
        <f t="shared" si="130"/>
        <v>3.8251027462637005E-3</v>
      </c>
      <c r="CC91" s="17"/>
      <c r="CD91" s="17"/>
      <c r="CE91" s="17"/>
    </row>
    <row r="92" spans="1:115">
      <c r="A92" s="16" t="s">
        <v>44</v>
      </c>
      <c r="B92" s="140">
        <f>EXP(-B91*B90)</f>
        <v>1.0016813075806617</v>
      </c>
      <c r="C92" s="140">
        <f t="shared" ref="C92:AR92" si="131">EXP(-C91*C90)</f>
        <v>1.005364942996388</v>
      </c>
      <c r="D92" s="140">
        <f t="shared" si="131"/>
        <v>1.0093493965728118</v>
      </c>
      <c r="E92" s="140">
        <f t="shared" si="131"/>
        <v>1.0134374842700709</v>
      </c>
      <c r="F92" s="140">
        <f t="shared" si="131"/>
        <v>1.0174852298719019</v>
      </c>
      <c r="G92" s="140">
        <f t="shared" si="131"/>
        <v>1.0213775072091247</v>
      </c>
      <c r="H92" s="140">
        <f t="shared" si="131"/>
        <v>1.0250238793402753</v>
      </c>
      <c r="I92" s="140">
        <f t="shared" si="131"/>
        <v>1.0283550400854757</v>
      </c>
      <c r="J92" s="140">
        <f t="shared" si="131"/>
        <v>1.0313197324557029</v>
      </c>
      <c r="K92" s="140">
        <f t="shared" si="131"/>
        <v>1.0338820553948407</v>
      </c>
      <c r="L92" s="140">
        <f t="shared" si="131"/>
        <v>1.0360084245190593</v>
      </c>
      <c r="M92" s="140">
        <f t="shared" si="131"/>
        <v>1.0377188386475291</v>
      </c>
      <c r="N92" s="140">
        <f t="shared" si="131"/>
        <v>1.0389725384649653</v>
      </c>
      <c r="O92" s="140">
        <f t="shared" si="131"/>
        <v>1.0398020226965135</v>
      </c>
      <c r="P92" s="140">
        <f t="shared" si="131"/>
        <v>1.0401993372093399</v>
      </c>
      <c r="Q92" s="140">
        <f t="shared" si="131"/>
        <v>1.0401886795421227</v>
      </c>
      <c r="R92" s="140">
        <f t="shared" si="131"/>
        <v>1.0397890163477794</v>
      </c>
      <c r="S92" s="140">
        <f t="shared" si="131"/>
        <v>1.0390184406547889</v>
      </c>
      <c r="T92" s="140">
        <f t="shared" si="131"/>
        <v>1.037908738596877</v>
      </c>
      <c r="U92" s="140">
        <f t="shared" si="131"/>
        <v>1.0364632999657497</v>
      </c>
      <c r="V92" s="140">
        <f t="shared" si="131"/>
        <v>1.0347392718944972</v>
      </c>
      <c r="W92" s="140">
        <f t="shared" si="131"/>
        <v>1.0327238855494105</v>
      </c>
      <c r="X92" s="140">
        <f t="shared" si="131"/>
        <v>1.0304868416488022</v>
      </c>
      <c r="Y92" s="140">
        <f t="shared" si="131"/>
        <v>1.0280031472398556</v>
      </c>
      <c r="Z92" s="140">
        <f t="shared" si="131"/>
        <v>1.0253515376985818</v>
      </c>
      <c r="AA92" s="140">
        <f t="shared" si="131"/>
        <v>1.022512189696918</v>
      </c>
      <c r="AB92" s="140">
        <f t="shared" si="131"/>
        <v>1.0195383076617908</v>
      </c>
      <c r="AC92" s="140">
        <f t="shared" si="131"/>
        <v>1.0163995933915413</v>
      </c>
      <c r="AD92" s="140">
        <f t="shared" si="131"/>
        <v>1.013184664685671</v>
      </c>
      <c r="AE92" s="140">
        <f t="shared" si="131"/>
        <v>1.0098398779649138</v>
      </c>
      <c r="AF92" s="140">
        <f t="shared" si="131"/>
        <v>1.0064557463267798</v>
      </c>
      <c r="AG92" s="140">
        <f t="shared" si="131"/>
        <v>1.002972141543671</v>
      </c>
      <c r="AH92" s="140">
        <f t="shared" si="131"/>
        <v>0.99948001146473053</v>
      </c>
      <c r="AI92" s="140">
        <f t="shared" si="131"/>
        <v>0.99593397676533857</v>
      </c>
      <c r="AJ92" s="140">
        <f t="shared" si="131"/>
        <v>0.9923848577844756</v>
      </c>
      <c r="AK92" s="140">
        <f t="shared" si="131"/>
        <v>0.98878341882211596</v>
      </c>
      <c r="AL92" s="140">
        <f t="shared" si="131"/>
        <v>0.98521844159785821</v>
      </c>
      <c r="AM92" s="140">
        <f t="shared" si="131"/>
        <v>0.98161852278087924</v>
      </c>
      <c r="AN92" s="140">
        <f t="shared" si="131"/>
        <v>0.97807036838050054</v>
      </c>
      <c r="AO92" s="140">
        <f t="shared" si="131"/>
        <v>0.97450100657138139</v>
      </c>
      <c r="AP92" s="140">
        <f t="shared" si="131"/>
        <v>0.97099467891453106</v>
      </c>
      <c r="AQ92" s="140">
        <f t="shared" si="131"/>
        <v>0.96749700454954013</v>
      </c>
      <c r="AR92" s="140">
        <f t="shared" si="131"/>
        <v>0.96405065031145343</v>
      </c>
      <c r="AS92" s="140">
        <f>EXP(-AS91*AS90)</f>
        <v>0.96060130545932465</v>
      </c>
      <c r="AT92" s="140">
        <f t="shared" ref="AT92:CA92" si="132">EXP(-AT91*AT90)</f>
        <v>0.95722771388826433</v>
      </c>
      <c r="AU92" s="140">
        <f t="shared" si="132"/>
        <v>0.95385645977991829</v>
      </c>
      <c r="AV92" s="140">
        <f t="shared" si="132"/>
        <v>0.9505634667565791</v>
      </c>
      <c r="AW92" s="140">
        <f t="shared" si="132"/>
        <v>0.94727610923844108</v>
      </c>
      <c r="AX92" s="140">
        <f t="shared" si="132"/>
        <v>0.94406755361429151</v>
      </c>
      <c r="AY92" s="140">
        <f t="shared" si="132"/>
        <v>0.94088380099984681</v>
      </c>
      <c r="AZ92" s="140">
        <f t="shared" si="132"/>
        <v>0.93776001127236663</v>
      </c>
      <c r="BA92" s="140">
        <f t="shared" si="132"/>
        <v>0.93464365189238063</v>
      </c>
      <c r="BB92" s="140">
        <f t="shared" si="132"/>
        <v>0.93160278888981374</v>
      </c>
      <c r="BC92" s="140">
        <f t="shared" si="132"/>
        <v>0.9285684047397359</v>
      </c>
      <c r="BD92" s="140">
        <f t="shared" si="132"/>
        <v>0.92560629125012817</v>
      </c>
      <c r="BE92" s="140">
        <f t="shared" si="132"/>
        <v>0.9226487778296435</v>
      </c>
      <c r="BF92" s="140">
        <f t="shared" si="132"/>
        <v>0.91975960217182862</v>
      </c>
      <c r="BG92" s="140">
        <f t="shared" si="132"/>
        <v>0.91688827109416648</v>
      </c>
      <c r="BH92" s="140">
        <f t="shared" si="132"/>
        <v>0.9140648109615831</v>
      </c>
      <c r="BI92" s="140">
        <f t="shared" si="132"/>
        <v>0.91124015459969065</v>
      </c>
      <c r="BJ92" s="140">
        <f t="shared" si="132"/>
        <v>0.9084746509335041</v>
      </c>
      <c r="BK92" s="140">
        <f t="shared" si="132"/>
        <v>0.90570432476923668</v>
      </c>
      <c r="BL92" s="140">
        <f t="shared" si="132"/>
        <v>0.9029881991774682</v>
      </c>
      <c r="BM92" s="140">
        <f t="shared" si="132"/>
        <v>0.90026330331883675</v>
      </c>
      <c r="BN92" s="140">
        <f t="shared" si="132"/>
        <v>0.89758758374358605</v>
      </c>
      <c r="BO92" s="140">
        <f t="shared" si="132"/>
        <v>0.89491373394936646</v>
      </c>
      <c r="BP92" s="140">
        <f t="shared" si="132"/>
        <v>0.89226917274785167</v>
      </c>
      <c r="BQ92" s="140">
        <f t="shared" si="132"/>
        <v>0.88960736702556031</v>
      </c>
      <c r="BR92" s="140">
        <f t="shared" si="132"/>
        <v>0.88698484625760088</v>
      </c>
      <c r="BS92" s="140">
        <f t="shared" si="132"/>
        <v>0.8843406920027066</v>
      </c>
      <c r="BT92" s="140">
        <f t="shared" si="132"/>
        <v>0.88173107887945323</v>
      </c>
      <c r="BU92" s="140">
        <f t="shared" si="132"/>
        <v>0.87909542514299788</v>
      </c>
      <c r="BV92" s="140">
        <f t="shared" si="132"/>
        <v>0.87648977614881818</v>
      </c>
      <c r="BW92" s="140">
        <f t="shared" si="132"/>
        <v>0.87386827972121539</v>
      </c>
      <c r="BX92" s="140">
        <f t="shared" si="132"/>
        <v>0.87125794946329249</v>
      </c>
      <c r="BY92" s="140">
        <f t="shared" si="132"/>
        <v>0.86861290151152637</v>
      </c>
      <c r="BZ92" s="140">
        <f t="shared" si="132"/>
        <v>0.86598955793887289</v>
      </c>
      <c r="CA92" s="140">
        <f t="shared" si="132"/>
        <v>0.8633272854864884</v>
      </c>
      <c r="CB92" s="140">
        <f>EXP(-CB91*CB90)</f>
        <v>0.86068299048958163</v>
      </c>
      <c r="CC92" s="17"/>
      <c r="CD92" s="17"/>
      <c r="CE92" s="17"/>
    </row>
    <row r="93" spans="1:115" s="6" customFormat="1">
      <c r="A93" s="130"/>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19"/>
      <c r="CD93" s="19"/>
      <c r="CE93" s="19"/>
    </row>
    <row r="94" spans="1:115">
      <c r="A94" s="16" t="s">
        <v>40</v>
      </c>
      <c r="B94" s="140">
        <f t="shared" ref="B94:BM94" si="133">DAYS360($B$3,B34)</f>
        <v>138</v>
      </c>
      <c r="C94" s="140">
        <f t="shared" si="133"/>
        <v>318</v>
      </c>
      <c r="D94" s="140">
        <f t="shared" si="133"/>
        <v>497</v>
      </c>
      <c r="E94" s="140">
        <f t="shared" si="133"/>
        <v>678</v>
      </c>
      <c r="F94" s="140">
        <f t="shared" si="133"/>
        <v>857</v>
      </c>
      <c r="G94" s="140">
        <f t="shared" si="133"/>
        <v>1038</v>
      </c>
      <c r="H94" s="140">
        <f t="shared" si="133"/>
        <v>1217</v>
      </c>
      <c r="I94" s="140">
        <f t="shared" si="133"/>
        <v>1398</v>
      </c>
      <c r="J94" s="140">
        <f t="shared" si="133"/>
        <v>1577</v>
      </c>
      <c r="K94" s="140">
        <f t="shared" si="133"/>
        <v>1757</v>
      </c>
      <c r="L94" s="140">
        <f t="shared" si="133"/>
        <v>1936</v>
      </c>
      <c r="M94" s="140">
        <f t="shared" si="133"/>
        <v>2117</v>
      </c>
      <c r="N94" s="140">
        <f t="shared" si="133"/>
        <v>2296</v>
      </c>
      <c r="O94" s="140">
        <f t="shared" si="133"/>
        <v>2477</v>
      </c>
      <c r="P94" s="140">
        <f t="shared" si="133"/>
        <v>2656</v>
      </c>
      <c r="Q94" s="140">
        <f t="shared" si="133"/>
        <v>2837</v>
      </c>
      <c r="R94" s="140">
        <f t="shared" si="133"/>
        <v>3016</v>
      </c>
      <c r="S94" s="140">
        <f t="shared" si="133"/>
        <v>3196</v>
      </c>
      <c r="T94" s="140">
        <f t="shared" si="133"/>
        <v>3375</v>
      </c>
      <c r="U94" s="140">
        <f t="shared" si="133"/>
        <v>3556</v>
      </c>
      <c r="V94" s="140">
        <f t="shared" si="133"/>
        <v>3735</v>
      </c>
      <c r="W94" s="140">
        <f t="shared" si="133"/>
        <v>3916</v>
      </c>
      <c r="X94" s="140">
        <f t="shared" si="133"/>
        <v>4095</v>
      </c>
      <c r="Y94" s="140">
        <f t="shared" si="133"/>
        <v>4276</v>
      </c>
      <c r="Z94" s="140">
        <f t="shared" si="133"/>
        <v>4455</v>
      </c>
      <c r="AA94" s="140">
        <f t="shared" si="133"/>
        <v>4635</v>
      </c>
      <c r="AB94" s="140">
        <f t="shared" si="133"/>
        <v>4814</v>
      </c>
      <c r="AC94" s="140">
        <f t="shared" si="133"/>
        <v>4995</v>
      </c>
      <c r="AD94" s="140">
        <f t="shared" si="133"/>
        <v>5174</v>
      </c>
      <c r="AE94" s="140">
        <f t="shared" si="133"/>
        <v>5355</v>
      </c>
      <c r="AF94" s="140">
        <f t="shared" si="133"/>
        <v>5534</v>
      </c>
      <c r="AG94" s="140">
        <f t="shared" si="133"/>
        <v>5715</v>
      </c>
      <c r="AH94" s="140">
        <f t="shared" si="133"/>
        <v>5894</v>
      </c>
      <c r="AI94" s="140">
        <f t="shared" si="133"/>
        <v>6074</v>
      </c>
      <c r="AJ94" s="140">
        <f t="shared" si="133"/>
        <v>6253</v>
      </c>
      <c r="AK94" s="140">
        <f t="shared" si="133"/>
        <v>6434</v>
      </c>
      <c r="AL94" s="140">
        <f t="shared" si="133"/>
        <v>6613</v>
      </c>
      <c r="AM94" s="140">
        <f t="shared" si="133"/>
        <v>6794</v>
      </c>
      <c r="AN94" s="140">
        <f t="shared" si="133"/>
        <v>6973</v>
      </c>
      <c r="AO94" s="140">
        <f t="shared" si="133"/>
        <v>7154</v>
      </c>
      <c r="AP94" s="140">
        <f t="shared" si="133"/>
        <v>7333</v>
      </c>
      <c r="AQ94" s="140">
        <f t="shared" si="133"/>
        <v>7513</v>
      </c>
      <c r="AR94" s="140">
        <f t="shared" si="133"/>
        <v>7692</v>
      </c>
      <c r="AS94" s="140">
        <f t="shared" si="133"/>
        <v>7873</v>
      </c>
      <c r="AT94" s="140">
        <f t="shared" si="133"/>
        <v>8052</v>
      </c>
      <c r="AU94" s="140">
        <f t="shared" si="133"/>
        <v>8233</v>
      </c>
      <c r="AV94" s="140">
        <f t="shared" si="133"/>
        <v>8412</v>
      </c>
      <c r="AW94" s="140">
        <f t="shared" si="133"/>
        <v>8593</v>
      </c>
      <c r="AX94" s="140">
        <f t="shared" si="133"/>
        <v>8772</v>
      </c>
      <c r="AY94" s="140">
        <f t="shared" si="133"/>
        <v>8952</v>
      </c>
      <c r="AZ94" s="140">
        <f t="shared" si="133"/>
        <v>9131</v>
      </c>
      <c r="BA94" s="140">
        <f t="shared" si="133"/>
        <v>9312</v>
      </c>
      <c r="BB94" s="140">
        <f t="shared" si="133"/>
        <v>9491</v>
      </c>
      <c r="BC94" s="140">
        <f t="shared" si="133"/>
        <v>9672</v>
      </c>
      <c r="BD94" s="140">
        <f t="shared" si="133"/>
        <v>9851</v>
      </c>
      <c r="BE94" s="140">
        <f t="shared" si="133"/>
        <v>10032</v>
      </c>
      <c r="BF94" s="140">
        <f t="shared" si="133"/>
        <v>10211</v>
      </c>
      <c r="BG94" s="140">
        <f t="shared" si="133"/>
        <v>10391</v>
      </c>
      <c r="BH94" s="140">
        <f t="shared" si="133"/>
        <v>10570</v>
      </c>
      <c r="BI94" s="140">
        <f t="shared" si="133"/>
        <v>10751</v>
      </c>
      <c r="BJ94" s="140">
        <f t="shared" si="133"/>
        <v>10930</v>
      </c>
      <c r="BK94" s="140">
        <f t="shared" si="133"/>
        <v>11111</v>
      </c>
      <c r="BL94" s="140">
        <f t="shared" si="133"/>
        <v>11290</v>
      </c>
      <c r="BM94" s="140">
        <f t="shared" si="133"/>
        <v>11471</v>
      </c>
      <c r="BN94" s="140">
        <f t="shared" ref="BN94:CB94" si="134">DAYS360($B$3,BN34)</f>
        <v>11650</v>
      </c>
      <c r="BO94" s="140">
        <f t="shared" si="134"/>
        <v>11830</v>
      </c>
      <c r="BP94" s="140">
        <f t="shared" si="134"/>
        <v>12009</v>
      </c>
      <c r="BQ94" s="140">
        <f t="shared" si="134"/>
        <v>12190</v>
      </c>
      <c r="BR94" s="140">
        <f t="shared" si="134"/>
        <v>12369</v>
      </c>
      <c r="BS94" s="140">
        <f t="shared" si="134"/>
        <v>12550</v>
      </c>
      <c r="BT94" s="140">
        <f t="shared" si="134"/>
        <v>12729</v>
      </c>
      <c r="BU94" s="140">
        <f t="shared" si="134"/>
        <v>12910</v>
      </c>
      <c r="BV94" s="140">
        <f t="shared" si="134"/>
        <v>13089</v>
      </c>
      <c r="BW94" s="140">
        <f t="shared" si="134"/>
        <v>13269</v>
      </c>
      <c r="BX94" s="140">
        <f t="shared" si="134"/>
        <v>13448</v>
      </c>
      <c r="BY94" s="140">
        <f t="shared" si="134"/>
        <v>13629</v>
      </c>
      <c r="BZ94" s="140">
        <f t="shared" si="134"/>
        <v>13808</v>
      </c>
      <c r="CA94" s="140">
        <f t="shared" si="134"/>
        <v>13989</v>
      </c>
      <c r="CB94" s="140">
        <f t="shared" si="134"/>
        <v>14168</v>
      </c>
      <c r="CC94" s="17"/>
      <c r="CD94" s="17"/>
      <c r="CE94" s="17"/>
    </row>
    <row r="95" spans="1:115">
      <c r="A95" s="16" t="s">
        <v>41</v>
      </c>
      <c r="B95" s="140">
        <f>B94/360</f>
        <v>0.38333333333333336</v>
      </c>
      <c r="C95" s="140">
        <f t="shared" ref="C95:BN95" si="135">C94/360</f>
        <v>0.8833333333333333</v>
      </c>
      <c r="D95" s="140">
        <f t="shared" si="135"/>
        <v>1.3805555555555555</v>
      </c>
      <c r="E95" s="140">
        <f t="shared" si="135"/>
        <v>1.8833333333333333</v>
      </c>
      <c r="F95" s="140">
        <f t="shared" si="135"/>
        <v>2.3805555555555555</v>
      </c>
      <c r="G95" s="140">
        <f t="shared" si="135"/>
        <v>2.8833333333333333</v>
      </c>
      <c r="H95" s="140">
        <f t="shared" si="135"/>
        <v>3.3805555555555555</v>
      </c>
      <c r="I95" s="140">
        <f t="shared" si="135"/>
        <v>3.8833333333333333</v>
      </c>
      <c r="J95" s="140">
        <f t="shared" si="135"/>
        <v>4.3805555555555555</v>
      </c>
      <c r="K95" s="140">
        <f t="shared" si="135"/>
        <v>4.8805555555555555</v>
      </c>
      <c r="L95" s="140">
        <f t="shared" si="135"/>
        <v>5.3777777777777782</v>
      </c>
      <c r="M95" s="140">
        <f t="shared" si="135"/>
        <v>5.8805555555555555</v>
      </c>
      <c r="N95" s="140">
        <f t="shared" si="135"/>
        <v>6.3777777777777782</v>
      </c>
      <c r="O95" s="140">
        <f t="shared" si="135"/>
        <v>6.8805555555555555</v>
      </c>
      <c r="P95" s="140">
        <f t="shared" si="135"/>
        <v>7.3777777777777782</v>
      </c>
      <c r="Q95" s="140">
        <f t="shared" si="135"/>
        <v>7.8805555555555555</v>
      </c>
      <c r="R95" s="140">
        <f t="shared" si="135"/>
        <v>8.3777777777777782</v>
      </c>
      <c r="S95" s="140">
        <f t="shared" si="135"/>
        <v>8.8777777777777782</v>
      </c>
      <c r="T95" s="140">
        <f t="shared" si="135"/>
        <v>9.375</v>
      </c>
      <c r="U95" s="140">
        <f t="shared" si="135"/>
        <v>9.8777777777777782</v>
      </c>
      <c r="V95" s="140">
        <f t="shared" si="135"/>
        <v>10.375</v>
      </c>
      <c r="W95" s="140">
        <f t="shared" si="135"/>
        <v>10.877777777777778</v>
      </c>
      <c r="X95" s="140">
        <f t="shared" si="135"/>
        <v>11.375</v>
      </c>
      <c r="Y95" s="140">
        <f t="shared" si="135"/>
        <v>11.877777777777778</v>
      </c>
      <c r="Z95" s="140">
        <f t="shared" si="135"/>
        <v>12.375</v>
      </c>
      <c r="AA95" s="140">
        <f t="shared" si="135"/>
        <v>12.875</v>
      </c>
      <c r="AB95" s="140">
        <f t="shared" si="135"/>
        <v>13.372222222222222</v>
      </c>
      <c r="AC95" s="140">
        <f t="shared" si="135"/>
        <v>13.875</v>
      </c>
      <c r="AD95" s="140">
        <f t="shared" si="135"/>
        <v>14.372222222222222</v>
      </c>
      <c r="AE95" s="140">
        <f t="shared" si="135"/>
        <v>14.875</v>
      </c>
      <c r="AF95" s="140">
        <f t="shared" si="135"/>
        <v>15.372222222222222</v>
      </c>
      <c r="AG95" s="140">
        <f t="shared" si="135"/>
        <v>15.875</v>
      </c>
      <c r="AH95" s="140">
        <f t="shared" si="135"/>
        <v>16.372222222222224</v>
      </c>
      <c r="AI95" s="140">
        <f t="shared" si="135"/>
        <v>16.872222222222224</v>
      </c>
      <c r="AJ95" s="140">
        <f t="shared" si="135"/>
        <v>17.369444444444444</v>
      </c>
      <c r="AK95" s="140">
        <f t="shared" si="135"/>
        <v>17.872222222222224</v>
      </c>
      <c r="AL95" s="140">
        <f t="shared" si="135"/>
        <v>18.369444444444444</v>
      </c>
      <c r="AM95" s="140">
        <f t="shared" si="135"/>
        <v>18.872222222222224</v>
      </c>
      <c r="AN95" s="140">
        <f t="shared" si="135"/>
        <v>19.369444444444444</v>
      </c>
      <c r="AO95" s="140">
        <f t="shared" si="135"/>
        <v>19.872222222222224</v>
      </c>
      <c r="AP95" s="140">
        <f t="shared" si="135"/>
        <v>20.369444444444444</v>
      </c>
      <c r="AQ95" s="140">
        <f t="shared" si="135"/>
        <v>20.869444444444444</v>
      </c>
      <c r="AR95" s="140">
        <f t="shared" si="135"/>
        <v>21.366666666666667</v>
      </c>
      <c r="AS95" s="140">
        <f t="shared" si="135"/>
        <v>21.869444444444444</v>
      </c>
      <c r="AT95" s="140">
        <f t="shared" si="135"/>
        <v>22.366666666666667</v>
      </c>
      <c r="AU95" s="140">
        <f t="shared" si="135"/>
        <v>22.869444444444444</v>
      </c>
      <c r="AV95" s="140">
        <f t="shared" si="135"/>
        <v>23.366666666666667</v>
      </c>
      <c r="AW95" s="140">
        <f t="shared" si="135"/>
        <v>23.869444444444444</v>
      </c>
      <c r="AX95" s="140">
        <f t="shared" si="135"/>
        <v>24.366666666666667</v>
      </c>
      <c r="AY95" s="140">
        <f t="shared" si="135"/>
        <v>24.866666666666667</v>
      </c>
      <c r="AZ95" s="140">
        <f t="shared" si="135"/>
        <v>25.363888888888887</v>
      </c>
      <c r="BA95" s="140">
        <f t="shared" si="135"/>
        <v>25.866666666666667</v>
      </c>
      <c r="BB95" s="140">
        <f t="shared" si="135"/>
        <v>26.363888888888887</v>
      </c>
      <c r="BC95" s="140">
        <f t="shared" si="135"/>
        <v>26.866666666666667</v>
      </c>
      <c r="BD95" s="140">
        <f t="shared" si="135"/>
        <v>27.363888888888887</v>
      </c>
      <c r="BE95" s="140">
        <f t="shared" si="135"/>
        <v>27.866666666666667</v>
      </c>
      <c r="BF95" s="140">
        <f t="shared" si="135"/>
        <v>28.363888888888887</v>
      </c>
      <c r="BG95" s="140">
        <f t="shared" si="135"/>
        <v>28.863888888888887</v>
      </c>
      <c r="BH95" s="140">
        <f t="shared" si="135"/>
        <v>29.361111111111111</v>
      </c>
      <c r="BI95" s="140">
        <f t="shared" si="135"/>
        <v>29.863888888888887</v>
      </c>
      <c r="BJ95" s="140">
        <f t="shared" si="135"/>
        <v>30.361111111111111</v>
      </c>
      <c r="BK95" s="140">
        <f t="shared" si="135"/>
        <v>30.863888888888887</v>
      </c>
      <c r="BL95" s="140">
        <f t="shared" si="135"/>
        <v>31.361111111111111</v>
      </c>
      <c r="BM95" s="140">
        <f t="shared" si="135"/>
        <v>31.863888888888887</v>
      </c>
      <c r="BN95" s="140">
        <f t="shared" si="135"/>
        <v>32.361111111111114</v>
      </c>
      <c r="BO95" s="140">
        <f t="shared" ref="BO95:CB95" si="136">BO94/360</f>
        <v>32.861111111111114</v>
      </c>
      <c r="BP95" s="140">
        <f t="shared" si="136"/>
        <v>33.358333333333334</v>
      </c>
      <c r="BQ95" s="140">
        <f t="shared" si="136"/>
        <v>33.861111111111114</v>
      </c>
      <c r="BR95" s="140">
        <f t="shared" si="136"/>
        <v>34.358333333333334</v>
      </c>
      <c r="BS95" s="140">
        <f t="shared" si="136"/>
        <v>34.861111111111114</v>
      </c>
      <c r="BT95" s="140">
        <f t="shared" si="136"/>
        <v>35.358333333333334</v>
      </c>
      <c r="BU95" s="140">
        <f t="shared" si="136"/>
        <v>35.861111111111114</v>
      </c>
      <c r="BV95" s="140">
        <f t="shared" si="136"/>
        <v>36.358333333333334</v>
      </c>
      <c r="BW95" s="140">
        <f t="shared" si="136"/>
        <v>36.858333333333334</v>
      </c>
      <c r="BX95" s="140">
        <f t="shared" si="136"/>
        <v>37.355555555555554</v>
      </c>
      <c r="BY95" s="140">
        <f t="shared" si="136"/>
        <v>37.858333333333334</v>
      </c>
      <c r="BZ95" s="140">
        <f t="shared" si="136"/>
        <v>38.355555555555554</v>
      </c>
      <c r="CA95" s="140">
        <f t="shared" si="136"/>
        <v>38.858333333333334</v>
      </c>
      <c r="CB95" s="140">
        <f t="shared" si="136"/>
        <v>39.355555555555554</v>
      </c>
      <c r="CC95" s="17"/>
      <c r="CD95" s="17"/>
      <c r="CE95" s="17"/>
    </row>
    <row r="96" spans="1:115">
      <c r="A96" s="16" t="s">
        <v>43</v>
      </c>
      <c r="B96" s="140">
        <f>IF(B94&lt;0,0,$B$5+$B$6*((1-EXP(-B95/$B$9))/(B95/$B$9))+$B$7*((1-EXP(-B95/$B$9))/(B95/$B$9)-EXP(-B95/$B$9))+$B$8*((1-EXP(-B95/$B$10))/(B95/$B$10)-EXP(-B95/$B$10)))</f>
        <v>-6.8530265818219681E-3</v>
      </c>
      <c r="C96" s="140">
        <f t="shared" ref="C96:BN96" si="137">IF(C94&lt;0,0,$B$5+$B$6*((1-EXP(-C95/$B$9))/(C95/$B$9))+$B$7*((1-EXP(-C95/$B$9))/(C95/$B$9)-EXP(-C95/$B$9))+$B$8*((1-EXP(-C95/$B$10))/(C95/$B$10)-EXP(-C95/$B$10)))</f>
        <v>-7.2557849058018037E-3</v>
      </c>
      <c r="D96" s="140">
        <f t="shared" si="137"/>
        <v>-7.5200500427009976E-3</v>
      </c>
      <c r="E96" s="140">
        <f t="shared" si="137"/>
        <v>-7.6693130384431381E-3</v>
      </c>
      <c r="F96" s="140">
        <f t="shared" si="137"/>
        <v>-7.7178202321381961E-3</v>
      </c>
      <c r="G96" s="140">
        <f t="shared" si="137"/>
        <v>-7.6822929604394297E-3</v>
      </c>
      <c r="H96" s="140">
        <f t="shared" si="137"/>
        <v>-7.5770249213226882E-3</v>
      </c>
      <c r="I96" s="140">
        <f t="shared" si="137"/>
        <v>-7.4116635208703223E-3</v>
      </c>
      <c r="J96" s="140">
        <f t="shared" si="137"/>
        <v>-7.2001913939839738E-3</v>
      </c>
      <c r="K96" s="140">
        <f t="shared" si="137"/>
        <v>-6.948512865554912E-3</v>
      </c>
      <c r="L96" s="140">
        <f t="shared" si="137"/>
        <v>-6.6672207400898754E-3</v>
      </c>
      <c r="M96" s="140">
        <f t="shared" si="137"/>
        <v>-6.3582239598113724E-3</v>
      </c>
      <c r="N96" s="140">
        <f t="shared" si="137"/>
        <v>-6.0342290813686691E-3</v>
      </c>
      <c r="O96" s="140">
        <f t="shared" si="137"/>
        <v>-5.6931381664157357E-3</v>
      </c>
      <c r="P96" s="140">
        <f t="shared" si="137"/>
        <v>-5.3468397732625798E-3</v>
      </c>
      <c r="Q96" s="140">
        <f t="shared" si="137"/>
        <v>-4.9913707524325904E-3</v>
      </c>
      <c r="R96" s="140">
        <f t="shared" si="137"/>
        <v>-4.6377513631115849E-3</v>
      </c>
      <c r="S96" s="140">
        <f t="shared" si="137"/>
        <v>-4.2827621515565094E-3</v>
      </c>
      <c r="T96" s="140">
        <f t="shared" si="137"/>
        <v>-3.9325864787352702E-3</v>
      </c>
      <c r="U96" s="140">
        <f t="shared" si="137"/>
        <v>-3.5832784377317836E-3</v>
      </c>
      <c r="V96" s="140">
        <f t="shared" si="137"/>
        <v>-3.2441042481703691E-3</v>
      </c>
      <c r="W96" s="140">
        <f t="shared" si="137"/>
        <v>-2.9087634909220807E-3</v>
      </c>
      <c r="X96" s="140">
        <f t="shared" si="137"/>
        <v>-2.5856774330315861E-3</v>
      </c>
      <c r="Y96" s="140">
        <f t="shared" si="137"/>
        <v>-2.2684316660115736E-3</v>
      </c>
      <c r="Z96" s="140">
        <f t="shared" si="137"/>
        <v>-1.9646427591272289E-3</v>
      </c>
      <c r="AA96" s="140">
        <f t="shared" si="137"/>
        <v>-1.6695814591895803E-3</v>
      </c>
      <c r="AB96" s="140">
        <f t="shared" si="137"/>
        <v>-1.3868287470507577E-3</v>
      </c>
      <c r="AC96" s="140">
        <f t="shared" si="137"/>
        <v>-1.1119220700911616E-3</v>
      </c>
      <c r="AD96" s="140">
        <f t="shared" si="137"/>
        <v>-8.5101880090109397E-4</v>
      </c>
      <c r="AE96" s="140">
        <f t="shared" si="137"/>
        <v>-5.9828385201059903E-4</v>
      </c>
      <c r="AF96" s="140">
        <f t="shared" si="137"/>
        <v>-3.5922444708847909E-4</v>
      </c>
      <c r="AG96" s="140">
        <f t="shared" si="137"/>
        <v>-1.2835693115456973E-4</v>
      </c>
      <c r="AH96" s="140">
        <f t="shared" si="137"/>
        <v>8.9407086963907978E-5</v>
      </c>
      <c r="AI96" s="140">
        <f t="shared" si="137"/>
        <v>2.9803903030148696E-4</v>
      </c>
      <c r="AJ96" s="140">
        <f t="shared" si="137"/>
        <v>4.9548565375139367E-4</v>
      </c>
      <c r="AK96" s="140">
        <f t="shared" si="137"/>
        <v>6.8526878265155744E-4</v>
      </c>
      <c r="AL96" s="140">
        <f t="shared" si="137"/>
        <v>8.6350839569102403E-4</v>
      </c>
      <c r="AM96" s="140">
        <f t="shared" si="137"/>
        <v>1.0345223236907404E-3</v>
      </c>
      <c r="AN96" s="140">
        <f t="shared" si="137"/>
        <v>1.1948724875137789E-3</v>
      </c>
      <c r="AO96" s="140">
        <f t="shared" si="137"/>
        <v>1.3484960422531049E-3</v>
      </c>
      <c r="AP96" s="140">
        <f t="shared" si="137"/>
        <v>1.4923508710761174E-3</v>
      </c>
      <c r="AQ96" s="140">
        <f t="shared" si="137"/>
        <v>1.6292714660840618E-3</v>
      </c>
      <c r="AR96" s="140">
        <f t="shared" si="137"/>
        <v>1.7580880605874601E-3</v>
      </c>
      <c r="AS96" s="140">
        <f t="shared" si="137"/>
        <v>1.8812526283735267E-3</v>
      </c>
      <c r="AT96" s="140">
        <f t="shared" si="137"/>
        <v>1.9963887669737952E-3</v>
      </c>
      <c r="AU96" s="140">
        <f t="shared" si="137"/>
        <v>2.1064137753693396E-3</v>
      </c>
      <c r="AV96" s="140">
        <f t="shared" si="137"/>
        <v>2.2092282751482589E-3</v>
      </c>
      <c r="AW96" s="140">
        <f t="shared" si="137"/>
        <v>2.3074585785450019E-3</v>
      </c>
      <c r="AX96" s="140">
        <f t="shared" si="137"/>
        <v>2.399248901812135E-3</v>
      </c>
      <c r="AY96" s="140">
        <f t="shared" si="137"/>
        <v>2.4864895301409742E-3</v>
      </c>
      <c r="AZ96" s="140">
        <f t="shared" si="137"/>
        <v>2.5685054988595496E-3</v>
      </c>
      <c r="BA96" s="140">
        <f t="shared" si="137"/>
        <v>2.6469208587737471E-3</v>
      </c>
      <c r="BB96" s="140">
        <f t="shared" si="137"/>
        <v>2.7202779123966792E-3</v>
      </c>
      <c r="BC96" s="140">
        <f t="shared" si="137"/>
        <v>2.7904846531535965E-3</v>
      </c>
      <c r="BD96" s="140">
        <f t="shared" si="137"/>
        <v>2.8562438460312777E-3</v>
      </c>
      <c r="BE96" s="140">
        <f t="shared" si="137"/>
        <v>2.9192724660441656E-3</v>
      </c>
      <c r="BF96" s="140">
        <f t="shared" si="137"/>
        <v>2.9784111313484081E-3</v>
      </c>
      <c r="BG96" s="140">
        <f t="shared" si="137"/>
        <v>3.0349021273811082E-3</v>
      </c>
      <c r="BH96" s="140">
        <f t="shared" si="137"/>
        <v>3.0883301230359358E-3</v>
      </c>
      <c r="BI96" s="140">
        <f t="shared" si="137"/>
        <v>3.1397736605237037E-3</v>
      </c>
      <c r="BJ96" s="140">
        <f t="shared" si="137"/>
        <v>3.1882898626211659E-3</v>
      </c>
      <c r="BK96" s="140">
        <f t="shared" si="137"/>
        <v>3.2351503374778087E-3</v>
      </c>
      <c r="BL96" s="140">
        <f t="shared" si="137"/>
        <v>3.2794951514955734E-3</v>
      </c>
      <c r="BM96" s="140">
        <f t="shared" si="137"/>
        <v>3.3224846486086361E-3</v>
      </c>
      <c r="BN96" s="140">
        <f t="shared" si="137"/>
        <v>3.3633272330694762E-3</v>
      </c>
      <c r="BO96" s="140">
        <f t="shared" ref="BO96:CB96" si="138">IF(BO94&lt;0,0,$B$5+$B$6*((1-EXP(-BO95/$B$9))/(BO95/$B$9))+$B$7*((1-EXP(-BO95/$B$9))/(BO95/$B$9)-EXP(-BO95/$B$9))+$B$8*((1-EXP(-BO95/$B$10))/(BO95/$B$10)-EXP(-BO95/$B$10)))</f>
        <v>3.4028724240122189E-3</v>
      </c>
      <c r="BP96" s="140">
        <f t="shared" si="138"/>
        <v>3.4408226136690041E-3</v>
      </c>
      <c r="BQ96" s="140">
        <f t="shared" si="138"/>
        <v>3.4779389279125106E-3</v>
      </c>
      <c r="BR96" s="140">
        <f t="shared" si="138"/>
        <v>3.5135287419927087E-3</v>
      </c>
      <c r="BS96" s="140">
        <f t="shared" si="138"/>
        <v>3.548509807790895E-3</v>
      </c>
      <c r="BT96" s="140">
        <f t="shared" si="138"/>
        <v>3.5822230228821812E-3</v>
      </c>
      <c r="BU96" s="140">
        <f t="shared" si="138"/>
        <v>3.6155309162143705E-3</v>
      </c>
      <c r="BV96" s="140">
        <f t="shared" si="138"/>
        <v>3.647798830730322E-3</v>
      </c>
      <c r="BW96" s="140">
        <f t="shared" si="138"/>
        <v>3.679669226183388E-3</v>
      </c>
      <c r="BX96" s="140">
        <f t="shared" si="138"/>
        <v>3.7108775663413814E-3</v>
      </c>
      <c r="BY96" s="140">
        <f t="shared" si="138"/>
        <v>3.7420285908993829E-3</v>
      </c>
      <c r="BZ96" s="140">
        <f t="shared" si="138"/>
        <v>3.7725134615240637E-3</v>
      </c>
      <c r="CA96" s="140">
        <f t="shared" si="138"/>
        <v>3.8030892505232956E-3</v>
      </c>
      <c r="CB96" s="140">
        <f t="shared" si="138"/>
        <v>3.8331503599361091E-3</v>
      </c>
      <c r="CC96" s="17"/>
      <c r="CD96" s="17"/>
      <c r="CE96" s="17"/>
    </row>
    <row r="97" spans="1:83">
      <c r="A97" s="16" t="s">
        <v>44</v>
      </c>
      <c r="B97" s="140">
        <f>EXP(-B96*B95)</f>
        <v>1.0026304470940242</v>
      </c>
      <c r="C97" s="140">
        <f t="shared" ref="C97:AR97" si="139">EXP(-C96*C95)</f>
        <v>1.0064298600318171</v>
      </c>
      <c r="D97" s="140">
        <f t="shared" si="139"/>
        <v>1.0104359252190436</v>
      </c>
      <c r="E97" s="140">
        <f t="shared" si="139"/>
        <v>1.0145486896664755</v>
      </c>
      <c r="F97" s="140">
        <f t="shared" si="139"/>
        <v>1.0185425162812427</v>
      </c>
      <c r="G97" s="140">
        <f t="shared" si="139"/>
        <v>1.022397757601303</v>
      </c>
      <c r="H97" s="140">
        <f t="shared" si="139"/>
        <v>1.0259454253758293</v>
      </c>
      <c r="I97" s="140">
        <f t="shared" si="139"/>
        <v>1.0292001632111607</v>
      </c>
      <c r="J97" s="140">
        <f t="shared" si="139"/>
        <v>1.0320435217535715</v>
      </c>
      <c r="K97" s="140">
        <f t="shared" si="139"/>
        <v>1.0344941911595367</v>
      </c>
      <c r="L97" s="140">
        <f t="shared" si="139"/>
        <v>1.036505367676225</v>
      </c>
      <c r="M97" s="140">
        <f t="shared" si="139"/>
        <v>1.0380976850533594</v>
      </c>
      <c r="N97" s="140">
        <f t="shared" si="139"/>
        <v>1.0392351107621027</v>
      </c>
      <c r="O97" s="140">
        <f t="shared" si="139"/>
        <v>1.0399492911339285</v>
      </c>
      <c r="P97" s="140">
        <f t="shared" si="139"/>
        <v>1.0402361926241148</v>
      </c>
      <c r="Q97" s="140">
        <f t="shared" si="139"/>
        <v>1.0401186305794785</v>
      </c>
      <c r="R97" s="140">
        <f t="shared" si="139"/>
        <v>1.0396187405427817</v>
      </c>
      <c r="S97" s="140">
        <f t="shared" si="139"/>
        <v>1.038753473034308</v>
      </c>
      <c r="T97" s="140">
        <f t="shared" si="139"/>
        <v>1.037556052571365</v>
      </c>
      <c r="U97" s="140">
        <f t="shared" si="139"/>
        <v>1.0360286813178501</v>
      </c>
      <c r="V97" s="140">
        <f t="shared" si="139"/>
        <v>1.0342304065421082</v>
      </c>
      <c r="W97" s="140">
        <f t="shared" si="139"/>
        <v>1.0321467771454558</v>
      </c>
      <c r="X97" s="140">
        <f t="shared" si="139"/>
        <v>1.0298488880019216</v>
      </c>
      <c r="Y97" s="140">
        <f t="shared" si="139"/>
        <v>1.027310197023092</v>
      </c>
      <c r="Z97" s="140">
        <f t="shared" si="139"/>
        <v>1.0246104116500165</v>
      </c>
      <c r="AA97" s="140">
        <f t="shared" si="139"/>
        <v>1.0217285616874179</v>
      </c>
      <c r="AB97" s="140">
        <f t="shared" si="139"/>
        <v>1.0187180083056846</v>
      </c>
      <c r="AC97" s="140">
        <f t="shared" si="139"/>
        <v>1.0155475434557226</v>
      </c>
      <c r="AD97" s="140">
        <f t="shared" si="139"/>
        <v>1.0123061362767698</v>
      </c>
      <c r="AE97" s="140">
        <f t="shared" si="139"/>
        <v>1.0089391903380198</v>
      </c>
      <c r="AF97" s="140">
        <f t="shared" si="139"/>
        <v>1.0055373528043998</v>
      </c>
      <c r="AG97" s="140">
        <f t="shared" si="139"/>
        <v>1.0020397437348296</v>
      </c>
      <c r="AH97" s="140">
        <f t="shared" si="139"/>
        <v>0.99853727812596293</v>
      </c>
      <c r="AI97" s="140">
        <f t="shared" si="139"/>
        <v>0.99498404139601471</v>
      </c>
      <c r="AJ97" s="140">
        <f t="shared" si="139"/>
        <v>0.99143061773999441</v>
      </c>
      <c r="AK97" s="140">
        <f t="shared" si="139"/>
        <v>0.98782741668068086</v>
      </c>
      <c r="AL97" s="140">
        <f t="shared" si="139"/>
        <v>0.98426297216222947</v>
      </c>
      <c r="AM97" s="140">
        <f t="shared" si="139"/>
        <v>0.98066561863103763</v>
      </c>
      <c r="AN97" s="140">
        <f t="shared" si="139"/>
        <v>0.97712175221440822</v>
      </c>
      <c r="AO97" s="140">
        <f t="shared" si="139"/>
        <v>0.9735582571049709</v>
      </c>
      <c r="AP97" s="140">
        <f t="shared" si="139"/>
        <v>0.97005902564078117</v>
      </c>
      <c r="AQ97" s="140">
        <f t="shared" si="139"/>
        <v>0.96656958082734534</v>
      </c>
      <c r="AR97" s="140">
        <f t="shared" si="139"/>
        <v>0.9631323114433864</v>
      </c>
      <c r="AS97" s="140">
        <f>EXP(-AS96*AS95)</f>
        <v>0.95969289202398778</v>
      </c>
      <c r="AT97" s="140">
        <f t="shared" ref="AT97:CA97" si="140">EXP(-AT96*AT95)</f>
        <v>0.95632968930947804</v>
      </c>
      <c r="AU97" s="140">
        <f t="shared" si="140"/>
        <v>0.95296937346903554</v>
      </c>
      <c r="AV97" s="140">
        <f t="shared" si="140"/>
        <v>0.94968749541781528</v>
      </c>
      <c r="AW97" s="140">
        <f t="shared" si="140"/>
        <v>0.94641155747852657</v>
      </c>
      <c r="AX97" s="140">
        <f t="shared" si="140"/>
        <v>0.9432143664773337</v>
      </c>
      <c r="AY97" s="140">
        <f t="shared" si="140"/>
        <v>0.94004201649680741</v>
      </c>
      <c r="AZ97" s="140">
        <f t="shared" si="140"/>
        <v>0.93692945467031175</v>
      </c>
      <c r="BA97" s="140">
        <f t="shared" si="140"/>
        <v>0.93382425754274834</v>
      </c>
      <c r="BB97" s="140">
        <f t="shared" si="140"/>
        <v>0.93079417593250902</v>
      </c>
      <c r="BC97" s="140">
        <f t="shared" si="140"/>
        <v>0.92777037178293542</v>
      </c>
      <c r="BD97" s="140">
        <f t="shared" si="140"/>
        <v>0.92481834989871037</v>
      </c>
      <c r="BE97" s="140">
        <f t="shared" si="140"/>
        <v>0.92187061809287951</v>
      </c>
      <c r="BF97" s="140">
        <f t="shared" si="140"/>
        <v>0.91899065770619204</v>
      </c>
      <c r="BG97" s="140">
        <f t="shared" si="140"/>
        <v>0.91612809920366178</v>
      </c>
      <c r="BH97" s="140">
        <f t="shared" si="140"/>
        <v>0.91331284236166299</v>
      </c>
      <c r="BI97" s="140">
        <f t="shared" si="140"/>
        <v>0.9104959283262487</v>
      </c>
      <c r="BJ97" s="140">
        <f t="shared" si="140"/>
        <v>0.90773751481449594</v>
      </c>
      <c r="BK97" s="140">
        <f t="shared" si="140"/>
        <v>0.90497376870849966</v>
      </c>
      <c r="BL97" s="140">
        <f t="shared" si="140"/>
        <v>0.90226355516733214</v>
      </c>
      <c r="BM97" s="140">
        <f t="shared" si="140"/>
        <v>0.89954402612736029</v>
      </c>
      <c r="BN97" s="140">
        <f t="shared" si="140"/>
        <v>0.89687300332686704</v>
      </c>
      <c r="BO97" s="140">
        <f t="shared" si="140"/>
        <v>0.89420326058092725</v>
      </c>
      <c r="BP97" s="140">
        <f t="shared" si="140"/>
        <v>0.89156217002090066</v>
      </c>
      <c r="BQ97" s="140">
        <f t="shared" si="140"/>
        <v>0.88890325272110182</v>
      </c>
      <c r="BR97" s="140">
        <f t="shared" si="140"/>
        <v>0.88628297748165352</v>
      </c>
      <c r="BS97" s="140">
        <f t="shared" si="140"/>
        <v>0.88364048107131987</v>
      </c>
      <c r="BT97" s="140">
        <f t="shared" si="140"/>
        <v>0.88103190804425968</v>
      </c>
      <c r="BU97" s="140">
        <f t="shared" si="140"/>
        <v>0.87839670803953285</v>
      </c>
      <c r="BV97" s="140">
        <f t="shared" si="140"/>
        <v>0.8757909257029729</v>
      </c>
      <c r="BW97" s="140">
        <f t="shared" si="140"/>
        <v>0.87316872202212403</v>
      </c>
      <c r="BX97" s="140">
        <f t="shared" si="140"/>
        <v>0.87055712990351475</v>
      </c>
      <c r="BY97" s="140">
        <f t="shared" si="140"/>
        <v>0.86791025221158413</v>
      </c>
      <c r="BZ97" s="140">
        <f t="shared" si="140"/>
        <v>0.86528456466695713</v>
      </c>
      <c r="CA97" s="140">
        <f t="shared" si="140"/>
        <v>0.86261939575761426</v>
      </c>
      <c r="CB97" s="140">
        <f>EXP(-CB96*CB95)</f>
        <v>0.85997173036518071</v>
      </c>
      <c r="CC97" s="17"/>
      <c r="CD97" s="17"/>
      <c r="CE97" s="17"/>
    </row>
    <row r="98" spans="1:83" s="6" customFormat="1">
      <c r="A98" s="130"/>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19"/>
      <c r="CD98" s="19"/>
      <c r="CE98" s="19"/>
    </row>
    <row r="99" spans="1:83">
      <c r="A99" s="16" t="s">
        <v>40</v>
      </c>
      <c r="B99" s="140">
        <f t="shared" ref="B99:BM99" si="141">DAYS360($B$3,B36)</f>
        <v>345</v>
      </c>
      <c r="C99" s="140">
        <f t="shared" si="141"/>
        <v>524</v>
      </c>
      <c r="D99" s="140">
        <f t="shared" si="141"/>
        <v>705</v>
      </c>
      <c r="E99" s="140">
        <f t="shared" si="141"/>
        <v>884</v>
      </c>
      <c r="F99" s="140">
        <f t="shared" si="141"/>
        <v>1065</v>
      </c>
      <c r="G99" s="140">
        <f t="shared" si="141"/>
        <v>1244</v>
      </c>
      <c r="H99" s="140">
        <f t="shared" si="141"/>
        <v>1425</v>
      </c>
      <c r="I99" s="140">
        <f t="shared" si="141"/>
        <v>1604</v>
      </c>
      <c r="J99" s="140">
        <f t="shared" si="141"/>
        <v>1784</v>
      </c>
      <c r="K99" s="140">
        <f t="shared" si="141"/>
        <v>1963</v>
      </c>
      <c r="L99" s="140">
        <f t="shared" si="141"/>
        <v>2144</v>
      </c>
      <c r="M99" s="140">
        <f t="shared" si="141"/>
        <v>2323</v>
      </c>
      <c r="N99" s="140">
        <f t="shared" si="141"/>
        <v>2504</v>
      </c>
      <c r="O99" s="140">
        <f t="shared" si="141"/>
        <v>2683</v>
      </c>
      <c r="P99" s="140">
        <f t="shared" si="141"/>
        <v>2864</v>
      </c>
      <c r="Q99" s="140">
        <f t="shared" si="141"/>
        <v>3043</v>
      </c>
      <c r="R99" s="140">
        <f t="shared" si="141"/>
        <v>3223</v>
      </c>
      <c r="S99" s="140">
        <f t="shared" si="141"/>
        <v>3402</v>
      </c>
      <c r="T99" s="140">
        <f t="shared" si="141"/>
        <v>3583</v>
      </c>
      <c r="U99" s="140">
        <f t="shared" si="141"/>
        <v>3762</v>
      </c>
      <c r="V99" s="140">
        <f t="shared" si="141"/>
        <v>3943</v>
      </c>
      <c r="W99" s="140">
        <f t="shared" si="141"/>
        <v>4122</v>
      </c>
      <c r="X99" s="140">
        <f t="shared" si="141"/>
        <v>4303</v>
      </c>
      <c r="Y99" s="140">
        <f t="shared" si="141"/>
        <v>4482</v>
      </c>
      <c r="Z99" s="140">
        <f t="shared" si="141"/>
        <v>4662</v>
      </c>
      <c r="AA99" s="140">
        <f t="shared" si="141"/>
        <v>4841</v>
      </c>
      <c r="AB99" s="140">
        <f t="shared" si="141"/>
        <v>5022</v>
      </c>
      <c r="AC99" s="140">
        <f t="shared" si="141"/>
        <v>5201</v>
      </c>
      <c r="AD99" s="140">
        <f t="shared" si="141"/>
        <v>5382</v>
      </c>
      <c r="AE99" s="140">
        <f t="shared" si="141"/>
        <v>5561</v>
      </c>
      <c r="AF99" s="140">
        <f t="shared" si="141"/>
        <v>5742</v>
      </c>
      <c r="AG99" s="140">
        <f t="shared" si="141"/>
        <v>5921</v>
      </c>
      <c r="AH99" s="140">
        <f t="shared" si="141"/>
        <v>6101</v>
      </c>
      <c r="AI99" s="140">
        <f t="shared" si="141"/>
        <v>6280</v>
      </c>
      <c r="AJ99" s="140">
        <f t="shared" si="141"/>
        <v>6461</v>
      </c>
      <c r="AK99" s="140">
        <f t="shared" si="141"/>
        <v>6640</v>
      </c>
      <c r="AL99" s="140">
        <f t="shared" si="141"/>
        <v>6821</v>
      </c>
      <c r="AM99" s="140">
        <f t="shared" si="141"/>
        <v>7000</v>
      </c>
      <c r="AN99" s="140">
        <f t="shared" si="141"/>
        <v>7181</v>
      </c>
      <c r="AO99" s="140">
        <f t="shared" si="141"/>
        <v>7360</v>
      </c>
      <c r="AP99" s="140">
        <f t="shared" si="141"/>
        <v>7540</v>
      </c>
      <c r="AQ99" s="140">
        <f t="shared" si="141"/>
        <v>7719</v>
      </c>
      <c r="AR99" s="140">
        <f t="shared" si="141"/>
        <v>7900</v>
      </c>
      <c r="AS99" s="140">
        <f t="shared" si="141"/>
        <v>8079</v>
      </c>
      <c r="AT99" s="140">
        <f t="shared" si="141"/>
        <v>8260</v>
      </c>
      <c r="AU99" s="140">
        <f t="shared" si="141"/>
        <v>8439</v>
      </c>
      <c r="AV99" s="140">
        <f t="shared" si="141"/>
        <v>8620</v>
      </c>
      <c r="AW99" s="140">
        <f t="shared" si="141"/>
        <v>8799</v>
      </c>
      <c r="AX99" s="140">
        <f t="shared" si="141"/>
        <v>8979</v>
      </c>
      <c r="AY99" s="140">
        <f t="shared" si="141"/>
        <v>9158</v>
      </c>
      <c r="AZ99" s="140">
        <f t="shared" si="141"/>
        <v>9339</v>
      </c>
      <c r="BA99" s="140">
        <f t="shared" si="141"/>
        <v>9518</v>
      </c>
      <c r="BB99" s="140">
        <f t="shared" si="141"/>
        <v>9699</v>
      </c>
      <c r="BC99" s="140">
        <f t="shared" si="141"/>
        <v>9878</v>
      </c>
      <c r="BD99" s="140">
        <f t="shared" si="141"/>
        <v>10059</v>
      </c>
      <c r="BE99" s="140">
        <f t="shared" si="141"/>
        <v>10238</v>
      </c>
      <c r="BF99" s="140">
        <f t="shared" si="141"/>
        <v>10418</v>
      </c>
      <c r="BG99" s="140">
        <f t="shared" si="141"/>
        <v>10597</v>
      </c>
      <c r="BH99" s="140">
        <f t="shared" si="141"/>
        <v>10778</v>
      </c>
      <c r="BI99" s="140">
        <f t="shared" si="141"/>
        <v>10957</v>
      </c>
      <c r="BJ99" s="140">
        <f t="shared" si="141"/>
        <v>11138</v>
      </c>
      <c r="BK99" s="140">
        <f t="shared" si="141"/>
        <v>11317</v>
      </c>
      <c r="BL99" s="140">
        <f t="shared" si="141"/>
        <v>11498</v>
      </c>
      <c r="BM99" s="140">
        <f t="shared" si="141"/>
        <v>11677</v>
      </c>
      <c r="BN99" s="140">
        <f t="shared" ref="BN99:CB99" si="142">DAYS360($B$3,BN36)</f>
        <v>11857</v>
      </c>
      <c r="BO99" s="140">
        <f t="shared" si="142"/>
        <v>12036</v>
      </c>
      <c r="BP99" s="140">
        <f t="shared" si="142"/>
        <v>12217</v>
      </c>
      <c r="BQ99" s="140">
        <f t="shared" si="142"/>
        <v>12396</v>
      </c>
      <c r="BR99" s="140">
        <f t="shared" si="142"/>
        <v>12577</v>
      </c>
      <c r="BS99" s="140">
        <f t="shared" si="142"/>
        <v>12756</v>
      </c>
      <c r="BT99" s="140">
        <f t="shared" si="142"/>
        <v>12937</v>
      </c>
      <c r="BU99" s="140">
        <f t="shared" si="142"/>
        <v>13116</v>
      </c>
      <c r="BV99" s="140">
        <f t="shared" si="142"/>
        <v>13296</v>
      </c>
      <c r="BW99" s="140">
        <f t="shared" si="142"/>
        <v>13475</v>
      </c>
      <c r="BX99" s="140">
        <f t="shared" si="142"/>
        <v>13656</v>
      </c>
      <c r="BY99" s="140">
        <f t="shared" si="142"/>
        <v>13835</v>
      </c>
      <c r="BZ99" s="140">
        <f t="shared" si="142"/>
        <v>14016</v>
      </c>
      <c r="CA99" s="140">
        <f t="shared" si="142"/>
        <v>14195</v>
      </c>
      <c r="CB99" s="140">
        <f t="shared" si="142"/>
        <v>14376</v>
      </c>
      <c r="CC99" s="17"/>
      <c r="CD99" s="17"/>
      <c r="CE99" s="17"/>
    </row>
    <row r="100" spans="1:83">
      <c r="A100" s="16" t="s">
        <v>41</v>
      </c>
      <c r="B100" s="140">
        <f>B99/360</f>
        <v>0.95833333333333337</v>
      </c>
      <c r="C100" s="140">
        <f t="shared" ref="C100:BN100" si="143">C99/360</f>
        <v>1.4555555555555555</v>
      </c>
      <c r="D100" s="140">
        <f t="shared" si="143"/>
        <v>1.9583333333333333</v>
      </c>
      <c r="E100" s="140">
        <f t="shared" si="143"/>
        <v>2.4555555555555557</v>
      </c>
      <c r="F100" s="140">
        <f t="shared" si="143"/>
        <v>2.9583333333333335</v>
      </c>
      <c r="G100" s="140">
        <f t="shared" si="143"/>
        <v>3.4555555555555557</v>
      </c>
      <c r="H100" s="140">
        <f t="shared" si="143"/>
        <v>3.9583333333333335</v>
      </c>
      <c r="I100" s="140">
        <f t="shared" si="143"/>
        <v>4.4555555555555557</v>
      </c>
      <c r="J100" s="140">
        <f t="shared" si="143"/>
        <v>4.9555555555555557</v>
      </c>
      <c r="K100" s="140">
        <f t="shared" si="143"/>
        <v>5.4527777777777775</v>
      </c>
      <c r="L100" s="140">
        <f t="shared" si="143"/>
        <v>5.9555555555555557</v>
      </c>
      <c r="M100" s="140">
        <f t="shared" si="143"/>
        <v>6.4527777777777775</v>
      </c>
      <c r="N100" s="140">
        <f t="shared" si="143"/>
        <v>6.9555555555555557</v>
      </c>
      <c r="O100" s="140">
        <f t="shared" si="143"/>
        <v>7.4527777777777775</v>
      </c>
      <c r="P100" s="140">
        <f t="shared" si="143"/>
        <v>7.9555555555555557</v>
      </c>
      <c r="Q100" s="140">
        <f t="shared" si="143"/>
        <v>8.4527777777777775</v>
      </c>
      <c r="R100" s="140">
        <f t="shared" si="143"/>
        <v>8.9527777777777775</v>
      </c>
      <c r="S100" s="140">
        <f t="shared" si="143"/>
        <v>9.4499999999999993</v>
      </c>
      <c r="T100" s="140">
        <f t="shared" si="143"/>
        <v>9.9527777777777775</v>
      </c>
      <c r="U100" s="140">
        <f t="shared" si="143"/>
        <v>10.45</v>
      </c>
      <c r="V100" s="140">
        <f t="shared" si="143"/>
        <v>10.952777777777778</v>
      </c>
      <c r="W100" s="140">
        <f t="shared" si="143"/>
        <v>11.45</v>
      </c>
      <c r="X100" s="140">
        <f t="shared" si="143"/>
        <v>11.952777777777778</v>
      </c>
      <c r="Y100" s="140">
        <f t="shared" si="143"/>
        <v>12.45</v>
      </c>
      <c r="Z100" s="140">
        <f t="shared" si="143"/>
        <v>12.95</v>
      </c>
      <c r="AA100" s="140">
        <f t="shared" si="143"/>
        <v>13.447222222222223</v>
      </c>
      <c r="AB100" s="140">
        <f t="shared" si="143"/>
        <v>13.95</v>
      </c>
      <c r="AC100" s="140">
        <f t="shared" si="143"/>
        <v>14.447222222222223</v>
      </c>
      <c r="AD100" s="140">
        <f t="shared" si="143"/>
        <v>14.95</v>
      </c>
      <c r="AE100" s="140">
        <f t="shared" si="143"/>
        <v>15.447222222222223</v>
      </c>
      <c r="AF100" s="140">
        <f t="shared" si="143"/>
        <v>15.95</v>
      </c>
      <c r="AG100" s="140">
        <f t="shared" si="143"/>
        <v>16.447222222222223</v>
      </c>
      <c r="AH100" s="140">
        <f t="shared" si="143"/>
        <v>16.947222222222223</v>
      </c>
      <c r="AI100" s="140">
        <f t="shared" si="143"/>
        <v>17.444444444444443</v>
      </c>
      <c r="AJ100" s="140">
        <f t="shared" si="143"/>
        <v>17.947222222222223</v>
      </c>
      <c r="AK100" s="140">
        <f t="shared" si="143"/>
        <v>18.444444444444443</v>
      </c>
      <c r="AL100" s="140">
        <f t="shared" si="143"/>
        <v>18.947222222222223</v>
      </c>
      <c r="AM100" s="140">
        <f t="shared" si="143"/>
        <v>19.444444444444443</v>
      </c>
      <c r="AN100" s="140">
        <f t="shared" si="143"/>
        <v>19.947222222222223</v>
      </c>
      <c r="AO100" s="140">
        <f t="shared" si="143"/>
        <v>20.444444444444443</v>
      </c>
      <c r="AP100" s="140">
        <f t="shared" si="143"/>
        <v>20.944444444444443</v>
      </c>
      <c r="AQ100" s="140">
        <f t="shared" si="143"/>
        <v>21.441666666666666</v>
      </c>
      <c r="AR100" s="140">
        <f t="shared" si="143"/>
        <v>21.944444444444443</v>
      </c>
      <c r="AS100" s="140">
        <f t="shared" si="143"/>
        <v>22.441666666666666</v>
      </c>
      <c r="AT100" s="140">
        <f t="shared" si="143"/>
        <v>22.944444444444443</v>
      </c>
      <c r="AU100" s="140">
        <f t="shared" si="143"/>
        <v>23.441666666666666</v>
      </c>
      <c r="AV100" s="140">
        <f t="shared" si="143"/>
        <v>23.944444444444443</v>
      </c>
      <c r="AW100" s="140">
        <f t="shared" si="143"/>
        <v>24.441666666666666</v>
      </c>
      <c r="AX100" s="140">
        <f t="shared" si="143"/>
        <v>24.941666666666666</v>
      </c>
      <c r="AY100" s="140">
        <f t="shared" si="143"/>
        <v>25.43888888888889</v>
      </c>
      <c r="AZ100" s="140">
        <f t="shared" si="143"/>
        <v>25.941666666666666</v>
      </c>
      <c r="BA100" s="140">
        <f t="shared" si="143"/>
        <v>26.43888888888889</v>
      </c>
      <c r="BB100" s="140">
        <f t="shared" si="143"/>
        <v>26.941666666666666</v>
      </c>
      <c r="BC100" s="140">
        <f t="shared" si="143"/>
        <v>27.43888888888889</v>
      </c>
      <c r="BD100" s="140">
        <f t="shared" si="143"/>
        <v>27.941666666666666</v>
      </c>
      <c r="BE100" s="140">
        <f t="shared" si="143"/>
        <v>28.43888888888889</v>
      </c>
      <c r="BF100" s="140">
        <f t="shared" si="143"/>
        <v>28.93888888888889</v>
      </c>
      <c r="BG100" s="140">
        <f t="shared" si="143"/>
        <v>29.43611111111111</v>
      </c>
      <c r="BH100" s="140">
        <f t="shared" si="143"/>
        <v>29.93888888888889</v>
      </c>
      <c r="BI100" s="140">
        <f t="shared" si="143"/>
        <v>30.43611111111111</v>
      </c>
      <c r="BJ100" s="140">
        <f t="shared" si="143"/>
        <v>30.93888888888889</v>
      </c>
      <c r="BK100" s="140">
        <f t="shared" si="143"/>
        <v>31.43611111111111</v>
      </c>
      <c r="BL100" s="140">
        <f t="shared" si="143"/>
        <v>31.93888888888889</v>
      </c>
      <c r="BM100" s="140">
        <f t="shared" si="143"/>
        <v>32.43611111111111</v>
      </c>
      <c r="BN100" s="140">
        <f t="shared" si="143"/>
        <v>32.93611111111111</v>
      </c>
      <c r="BO100" s="140">
        <f t="shared" ref="BO100:CB100" si="144">BO99/360</f>
        <v>33.43333333333333</v>
      </c>
      <c r="BP100" s="140">
        <f t="shared" si="144"/>
        <v>33.93611111111111</v>
      </c>
      <c r="BQ100" s="140">
        <f t="shared" si="144"/>
        <v>34.43333333333333</v>
      </c>
      <c r="BR100" s="140">
        <f t="shared" si="144"/>
        <v>34.93611111111111</v>
      </c>
      <c r="BS100" s="140">
        <f t="shared" si="144"/>
        <v>35.43333333333333</v>
      </c>
      <c r="BT100" s="140">
        <f t="shared" si="144"/>
        <v>35.93611111111111</v>
      </c>
      <c r="BU100" s="140">
        <f t="shared" si="144"/>
        <v>36.43333333333333</v>
      </c>
      <c r="BV100" s="140">
        <f t="shared" si="144"/>
        <v>36.93333333333333</v>
      </c>
      <c r="BW100" s="140">
        <f t="shared" si="144"/>
        <v>37.430555555555557</v>
      </c>
      <c r="BX100" s="140">
        <f t="shared" si="144"/>
        <v>37.93333333333333</v>
      </c>
      <c r="BY100" s="140">
        <f t="shared" si="144"/>
        <v>38.430555555555557</v>
      </c>
      <c r="BZ100" s="140">
        <f t="shared" si="144"/>
        <v>38.93333333333333</v>
      </c>
      <c r="CA100" s="140">
        <f t="shared" si="144"/>
        <v>39.430555555555557</v>
      </c>
      <c r="CB100" s="140">
        <f t="shared" si="144"/>
        <v>39.93333333333333</v>
      </c>
      <c r="CC100" s="17"/>
      <c r="CD100" s="17"/>
      <c r="CE100" s="17"/>
    </row>
    <row r="101" spans="1:83">
      <c r="A101" s="16" t="s">
        <v>43</v>
      </c>
      <c r="B101" s="140">
        <f>IF(B99&lt;0,0,$B$5+$B$6*((1-EXP(-B100/$B$9))/(B100/$B$9))+$B$7*((1-EXP(-B100/$B$9))/(B100/$B$9)-EXP(-B100/$B$9))+$B$8*((1-EXP(-B100/$B$10))/(B100/$B$10)-EXP(-B100/$B$10)))</f>
        <v>-7.3038311063649761E-3</v>
      </c>
      <c r="C101" s="140">
        <f t="shared" ref="C101:BN101" si="145">IF(C99&lt;0,0,$B$5+$B$6*((1-EXP(-C100/$B$9))/(C100/$B$9))+$B$7*((1-EXP(-C100/$B$9))/(C100/$B$9)-EXP(-C100/$B$9))+$B$8*((1-EXP(-C100/$B$10))/(C100/$B$10)-EXP(-C100/$B$10)))</f>
        <v>-7.5493840195687946E-3</v>
      </c>
      <c r="D101" s="140">
        <f t="shared" si="145"/>
        <v>-7.6825398437077542E-3</v>
      </c>
      <c r="E101" s="140">
        <f t="shared" si="145"/>
        <v>-7.7175639024468536E-3</v>
      </c>
      <c r="F101" s="140">
        <f t="shared" si="145"/>
        <v>-7.6705723789117298E-3</v>
      </c>
      <c r="G101" s="140">
        <f t="shared" si="145"/>
        <v>-7.5558465072963028E-3</v>
      </c>
      <c r="H101" s="140">
        <f t="shared" si="145"/>
        <v>-7.3825829687730986E-3</v>
      </c>
      <c r="I101" s="140">
        <f t="shared" si="145"/>
        <v>-7.1647299132393148E-3</v>
      </c>
      <c r="J101" s="140">
        <f t="shared" si="145"/>
        <v>-6.9078865445360267E-3</v>
      </c>
      <c r="K101" s="140">
        <f t="shared" si="145"/>
        <v>-6.6225397569080972E-3</v>
      </c>
      <c r="L101" s="140">
        <f t="shared" si="145"/>
        <v>-6.3103926095054537E-3</v>
      </c>
      <c r="M101" s="140">
        <f t="shared" si="145"/>
        <v>-5.9840930321992973E-3</v>
      </c>
      <c r="N101" s="140">
        <f t="shared" si="145"/>
        <v>-5.6413766952038511E-3</v>
      </c>
      <c r="O101" s="140">
        <f t="shared" si="145"/>
        <v>-5.2940682736496783E-3</v>
      </c>
      <c r="P101" s="140">
        <f t="shared" si="145"/>
        <v>-4.9380928483250749E-3</v>
      </c>
      <c r="Q101" s="140">
        <f t="shared" si="145"/>
        <v>-4.58440457966427E-3</v>
      </c>
      <c r="R101" s="140">
        <f t="shared" si="145"/>
        <v>-4.2297110388033639E-3</v>
      </c>
      <c r="S101" s="140">
        <f t="shared" si="145"/>
        <v>-3.8801330466819769E-3</v>
      </c>
      <c r="T101" s="140">
        <f t="shared" si="145"/>
        <v>-3.5316844703449056E-3</v>
      </c>
      <c r="U101" s="140">
        <f t="shared" si="145"/>
        <v>-3.1935670002553197E-3</v>
      </c>
      <c r="V101" s="140">
        <f t="shared" si="145"/>
        <v>-2.8594635425016422E-3</v>
      </c>
      <c r="W101" s="140">
        <f t="shared" si="145"/>
        <v>-2.5377334963818492E-3</v>
      </c>
      <c r="X101" s="140">
        <f t="shared" si="145"/>
        <v>-2.2219623601414575E-3</v>
      </c>
      <c r="Y101" s="140">
        <f t="shared" si="145"/>
        <v>-1.919708212163463E-3</v>
      </c>
      <c r="Z101" s="140">
        <f t="shared" si="145"/>
        <v>-1.626244443019639E-3</v>
      </c>
      <c r="AA101" s="140">
        <f t="shared" si="145"/>
        <v>-1.3451151868411008E-3</v>
      </c>
      <c r="AB101" s="140">
        <f t="shared" si="145"/>
        <v>-1.0718687678508455E-3</v>
      </c>
      <c r="AC101" s="140">
        <f t="shared" si="145"/>
        <v>-8.1261190068981394E-4</v>
      </c>
      <c r="AD101" s="140">
        <f t="shared" si="145"/>
        <v>-5.6153429577377074E-4</v>
      </c>
      <c r="AE101" s="140">
        <f t="shared" si="145"/>
        <v>-3.240966210378074E-4</v>
      </c>
      <c r="AF101" s="140">
        <f t="shared" si="145"/>
        <v>-9.484306207709764E-5</v>
      </c>
      <c r="AG101" s="140">
        <f t="shared" si="145"/>
        <v>1.21357268882228E-4</v>
      </c>
      <c r="AH101" s="140">
        <f t="shared" si="145"/>
        <v>3.2845490984395251E-4</v>
      </c>
      <c r="AI101" s="140">
        <f t="shared" si="145"/>
        <v>5.2441811184169781E-4</v>
      </c>
      <c r="AJ101" s="140">
        <f t="shared" si="145"/>
        <v>7.1274775426103873E-4</v>
      </c>
      <c r="AK101" s="140">
        <f t="shared" si="145"/>
        <v>8.8959862320150268E-4</v>
      </c>
      <c r="AL101" s="140">
        <f t="shared" si="145"/>
        <v>1.0592595152809775E-3</v>
      </c>
      <c r="AM101" s="140">
        <f t="shared" si="145"/>
        <v>1.2183236054845691E-3</v>
      </c>
      <c r="AN101" s="140">
        <f t="shared" si="145"/>
        <v>1.3707001457043191E-3</v>
      </c>
      <c r="AO101" s="140">
        <f t="shared" si="145"/>
        <v>1.5133749489996892E-3</v>
      </c>
      <c r="AP101" s="140">
        <f t="shared" si="145"/>
        <v>1.6491622725960907E-3</v>
      </c>
      <c r="AQ101" s="140">
        <f t="shared" si="145"/>
        <v>1.7769046072688768E-3</v>
      </c>
      <c r="AR101" s="140">
        <f t="shared" si="145"/>
        <v>1.8990357497773377E-3</v>
      </c>
      <c r="AS101" s="140">
        <f t="shared" si="145"/>
        <v>2.0132013020277353E-3</v>
      </c>
      <c r="AT101" s="140">
        <f t="shared" si="145"/>
        <v>2.1222958386947662E-3</v>
      </c>
      <c r="AU101" s="140">
        <f t="shared" si="145"/>
        <v>2.2242393729655988E-3</v>
      </c>
      <c r="AV101" s="140">
        <f t="shared" si="145"/>
        <v>2.3216374427277899E-3</v>
      </c>
      <c r="AW101" s="140">
        <f t="shared" si="145"/>
        <v>2.4126512695613715E-3</v>
      </c>
      <c r="AX101" s="140">
        <f t="shared" si="145"/>
        <v>2.4991562699346638E-3</v>
      </c>
      <c r="AY101" s="140">
        <f t="shared" si="145"/>
        <v>2.5804841500278106E-3</v>
      </c>
      <c r="AZ101" s="140">
        <f t="shared" si="145"/>
        <v>2.6582462288563535E-3</v>
      </c>
      <c r="BA101" s="140">
        <f t="shared" si="145"/>
        <v>2.7309976812430921E-3</v>
      </c>
      <c r="BB101" s="140">
        <f t="shared" si="145"/>
        <v>2.8006313714254959E-3</v>
      </c>
      <c r="BC101" s="140">
        <f t="shared" si="145"/>
        <v>2.8658611584055499E-3</v>
      </c>
      <c r="BD101" s="140">
        <f t="shared" si="145"/>
        <v>2.9283906050823622E-3</v>
      </c>
      <c r="BE101" s="140">
        <f t="shared" si="145"/>
        <v>2.9870698214678505E-3</v>
      </c>
      <c r="BF101" s="140">
        <f t="shared" si="145"/>
        <v>3.0431315845094453E-3</v>
      </c>
      <c r="BG101" s="140">
        <f t="shared" si="145"/>
        <v>3.0961638548328389E-3</v>
      </c>
      <c r="BH101" s="140">
        <f t="shared" si="145"/>
        <v>3.1472373348062008E-3</v>
      </c>
      <c r="BI101" s="140">
        <f t="shared" si="145"/>
        <v>3.1954159125371917E-3</v>
      </c>
      <c r="BJ101" s="140">
        <f t="shared" si="145"/>
        <v>3.2419622582992545E-3</v>
      </c>
      <c r="BK101" s="140">
        <f t="shared" si="145"/>
        <v>3.2860220497838641E-3</v>
      </c>
      <c r="BL101" s="140">
        <f t="shared" si="145"/>
        <v>3.3287479549738916E-3</v>
      </c>
      <c r="BM101" s="140">
        <f t="shared" si="145"/>
        <v>3.3693529600004324E-3</v>
      </c>
      <c r="BN101" s="140">
        <f t="shared" si="145"/>
        <v>3.4086812042933984E-3</v>
      </c>
      <c r="BO101" s="140">
        <f t="shared" ref="BO101:CB101" si="146">IF(BO99&lt;0,0,$B$5+$B$6*((1-EXP(-BO100/$B$9))/(BO100/$B$9))+$B$7*((1-EXP(-BO100/$B$9))/(BO100/$B$9)-EXP(-BO100/$B$9))+$B$8*((1-EXP(-BO100/$B$10))/(BO100/$B$10)-EXP(-BO100/$B$10)))</f>
        <v>3.4464363419037698E-3</v>
      </c>
      <c r="BP101" s="140">
        <f t="shared" si="146"/>
        <v>3.4833752796090342E-3</v>
      </c>
      <c r="BQ101" s="140">
        <f t="shared" si="146"/>
        <v>3.5188082473512662E-3</v>
      </c>
      <c r="BR101" s="140">
        <f t="shared" si="146"/>
        <v>3.55364845528253E-3</v>
      </c>
      <c r="BS101" s="140">
        <f t="shared" si="146"/>
        <v>3.5872389352699791E-3</v>
      </c>
      <c r="BT101" s="140">
        <f t="shared" si="146"/>
        <v>3.6204385230726825E-3</v>
      </c>
      <c r="BU101" s="140">
        <f t="shared" si="146"/>
        <v>3.6526140596681994E-3</v>
      </c>
      <c r="BV101" s="140">
        <f t="shared" si="146"/>
        <v>3.6844054736277984E-3</v>
      </c>
      <c r="BW101" s="140">
        <f t="shared" si="146"/>
        <v>3.7155482933373882E-3</v>
      </c>
      <c r="BX101" s="140">
        <f t="shared" si="146"/>
        <v>3.7466454805083586E-3</v>
      </c>
      <c r="BY101" s="140">
        <f t="shared" si="146"/>
        <v>3.7770886438165431E-3</v>
      </c>
      <c r="BZ101" s="140">
        <f t="shared" si="146"/>
        <v>3.8076332054030465E-3</v>
      </c>
      <c r="CA101" s="140">
        <f t="shared" si="146"/>
        <v>3.8376735837240411E-3</v>
      </c>
      <c r="CB101" s="140">
        <f t="shared" si="146"/>
        <v>3.8679471143967178E-3</v>
      </c>
      <c r="CC101" s="17"/>
      <c r="CD101" s="17"/>
      <c r="CE101" s="17"/>
    </row>
    <row r="102" spans="1:83">
      <c r="A102" s="16" t="s">
        <v>44</v>
      </c>
      <c r="B102" s="140">
        <f>EXP(-B101*B100)</f>
        <v>1.0070240585987498</v>
      </c>
      <c r="C102" s="140">
        <f t="shared" ref="C102:AR102" si="147">EXP(-C101*C100)</f>
        <v>1.0110491436926814</v>
      </c>
      <c r="D102" s="140">
        <f t="shared" si="147"/>
        <v>1.0151587191957983</v>
      </c>
      <c r="E102" s="140">
        <f t="shared" si="147"/>
        <v>1.0191316150752903</v>
      </c>
      <c r="F102" s="140">
        <f t="shared" si="147"/>
        <v>1.0229515344615265</v>
      </c>
      <c r="G102" s="140">
        <f t="shared" si="147"/>
        <v>1.0264534902343572</v>
      </c>
      <c r="H102" s="140">
        <f t="shared" si="147"/>
        <v>1.0296538978320626</v>
      </c>
      <c r="I102" s="140">
        <f t="shared" si="147"/>
        <v>1.0324378518916864</v>
      </c>
      <c r="J102" s="140">
        <f t="shared" si="147"/>
        <v>1.0348250882159256</v>
      </c>
      <c r="K102" s="140">
        <f t="shared" si="147"/>
        <v>1.0367711680328531</v>
      </c>
      <c r="L102" s="140">
        <f t="shared" si="147"/>
        <v>1.0382970236508706</v>
      </c>
      <c r="M102" s="140">
        <f t="shared" si="147"/>
        <v>1.0393692331199718</v>
      </c>
      <c r="N102" s="140">
        <f t="shared" si="147"/>
        <v>1.040018923866594</v>
      </c>
      <c r="O102" s="140">
        <f t="shared" si="147"/>
        <v>1.0402442219505232</v>
      </c>
      <c r="P102" s="140">
        <f t="shared" si="147"/>
        <v>1.0400671433609883</v>
      </c>
      <c r="Q102" s="140">
        <f t="shared" si="147"/>
        <v>1.03951156433488</v>
      </c>
      <c r="R102" s="140">
        <f t="shared" si="147"/>
        <v>1.038593779393036</v>
      </c>
      <c r="S102" s="140">
        <f t="shared" si="147"/>
        <v>1.0373477934905697</v>
      </c>
      <c r="T102" s="140">
        <f t="shared" si="147"/>
        <v>1.0357751366516401</v>
      </c>
      <c r="U102" s="140">
        <f t="shared" si="147"/>
        <v>1.0339358930220561</v>
      </c>
      <c r="V102" s="140">
        <f t="shared" si="147"/>
        <v>1.0318146711821063</v>
      </c>
      <c r="W102" s="140">
        <f t="shared" si="147"/>
        <v>1.0294833233138498</v>
      </c>
      <c r="X102" s="140">
        <f t="shared" si="147"/>
        <v>1.0269144456058186</v>
      </c>
      <c r="Y102" s="140">
        <f t="shared" si="147"/>
        <v>1.0241882701044145</v>
      </c>
      <c r="Z102" s="140">
        <f t="shared" si="147"/>
        <v>1.0212831894741592</v>
      </c>
      <c r="AA102" s="140">
        <f t="shared" si="147"/>
        <v>1.0182526426529439</v>
      </c>
      <c r="AB102" s="140">
        <f t="shared" si="147"/>
        <v>1.0150649182459952</v>
      </c>
      <c r="AC102" s="140">
        <f t="shared" si="147"/>
        <v>1.0118091688051736</v>
      </c>
      <c r="AD102" s="140">
        <f t="shared" si="147"/>
        <v>1.0084302740242996</v>
      </c>
      <c r="AE102" s="140">
        <f t="shared" si="147"/>
        <v>1.0050189454492513</v>
      </c>
      <c r="AF102" s="140">
        <f t="shared" si="147"/>
        <v>1.0015138916188115</v>
      </c>
      <c r="AG102" s="140">
        <f t="shared" si="147"/>
        <v>0.99800600069372314</v>
      </c>
      <c r="AH102" s="140">
        <f t="shared" si="147"/>
        <v>0.99444906534251731</v>
      </c>
      <c r="AI102" s="140">
        <f t="shared" si="147"/>
        <v>0.99089353469546615</v>
      </c>
      <c r="AJ102" s="140">
        <f t="shared" si="147"/>
        <v>0.98728962553633892</v>
      </c>
      <c r="AK102" s="140">
        <f t="shared" si="147"/>
        <v>0.98372572810487358</v>
      </c>
      <c r="AL102" s="140">
        <f t="shared" si="147"/>
        <v>0.98013003687925637</v>
      </c>
      <c r="AM102" s="140">
        <f t="shared" si="147"/>
        <v>0.97658877081733397</v>
      </c>
      <c r="AN102" s="140">
        <f t="shared" si="147"/>
        <v>0.97302873933163869</v>
      </c>
      <c r="AO102" s="140">
        <f t="shared" si="147"/>
        <v>0.96953363664044256</v>
      </c>
      <c r="AP102" s="140">
        <f t="shared" si="147"/>
        <v>0.96604893606700126</v>
      </c>
      <c r="AQ102" s="140">
        <f t="shared" si="147"/>
        <v>0.96261687050756128</v>
      </c>
      <c r="AR102" s="140">
        <f t="shared" si="147"/>
        <v>0.95918310936554485</v>
      </c>
      <c r="AS102" s="140">
        <f>EXP(-AS101*AS100)</f>
        <v>0.95582580722087285</v>
      </c>
      <c r="AT102" s="140">
        <f t="shared" ref="AT102:CA102" si="148">EXP(-AT101*AT100)</f>
        <v>0.95247168546828376</v>
      </c>
      <c r="AU102" s="140">
        <f t="shared" si="148"/>
        <v>0.94919608593687144</v>
      </c>
      <c r="AV102" s="140">
        <f t="shared" si="148"/>
        <v>0.94592658488880177</v>
      </c>
      <c r="AW102" s="140">
        <f t="shared" si="148"/>
        <v>0.94273578789646673</v>
      </c>
      <c r="AX102" s="140">
        <f t="shared" si="148"/>
        <v>0.93956984267342136</v>
      </c>
      <c r="AY102" s="140">
        <f t="shared" si="148"/>
        <v>0.93646357790628021</v>
      </c>
      <c r="AZ102" s="140">
        <f t="shared" si="148"/>
        <v>0.9333646321648168</v>
      </c>
      <c r="BA102" s="140">
        <f t="shared" si="148"/>
        <v>0.93034058053144641</v>
      </c>
      <c r="BB102" s="140">
        <f t="shared" si="148"/>
        <v>0.92732268603290413</v>
      </c>
      <c r="BC102" s="140">
        <f t="shared" si="148"/>
        <v>0.92437629377519803</v>
      </c>
      <c r="BD102" s="140">
        <f t="shared" si="148"/>
        <v>0.921434011642419</v>
      </c>
      <c r="BE102" s="140">
        <f t="shared" si="148"/>
        <v>0.91855917863019987</v>
      </c>
      <c r="BF102" s="140">
        <f t="shared" si="148"/>
        <v>0.9157014944877766</v>
      </c>
      <c r="BG102" s="140">
        <f t="shared" si="148"/>
        <v>0.91289078903339171</v>
      </c>
      <c r="BH102" s="140">
        <f t="shared" si="148"/>
        <v>0.91007816380045903</v>
      </c>
      <c r="BI102" s="140">
        <f t="shared" si="148"/>
        <v>0.90732367090053612</v>
      </c>
      <c r="BJ102" s="140">
        <f t="shared" si="148"/>
        <v>0.90456355607084205</v>
      </c>
      <c r="BK102" s="140">
        <f t="shared" si="148"/>
        <v>0.90185659759380998</v>
      </c>
      <c r="BL102" s="140">
        <f t="shared" si="148"/>
        <v>0.89914001526254916</v>
      </c>
      <c r="BM102" s="140">
        <f t="shared" si="148"/>
        <v>0.89647156253313898</v>
      </c>
      <c r="BN102" s="140">
        <f t="shared" si="148"/>
        <v>0.89380405749995584</v>
      </c>
      <c r="BO102" s="140">
        <f t="shared" si="148"/>
        <v>0.89116484711158506</v>
      </c>
      <c r="BP102" s="140">
        <f t="shared" si="148"/>
        <v>0.88850748196287666</v>
      </c>
      <c r="BQ102" s="140">
        <f t="shared" si="148"/>
        <v>0.88588839854840162</v>
      </c>
      <c r="BR102" s="140">
        <f t="shared" si="148"/>
        <v>0.88324676330036045</v>
      </c>
      <c r="BS102" s="140">
        <f t="shared" si="148"/>
        <v>0.88063870561649538</v>
      </c>
      <c r="BT102" s="140">
        <f t="shared" si="148"/>
        <v>0.87800369139275947</v>
      </c>
      <c r="BU102" s="140">
        <f t="shared" si="148"/>
        <v>0.87539776655231161</v>
      </c>
      <c r="BV102" s="140">
        <f t="shared" si="148"/>
        <v>0.87277509847279422</v>
      </c>
      <c r="BW102" s="140">
        <f t="shared" si="148"/>
        <v>0.87016273177017123</v>
      </c>
      <c r="BX102" s="140">
        <f t="shared" si="148"/>
        <v>0.8675147608698518</v>
      </c>
      <c r="BY102" s="140">
        <f t="shared" si="148"/>
        <v>0.86488769317050473</v>
      </c>
      <c r="BZ102" s="140">
        <f t="shared" si="148"/>
        <v>0.86222083434222341</v>
      </c>
      <c r="CA102" s="140">
        <f t="shared" si="148"/>
        <v>0.85957121485619348</v>
      </c>
      <c r="CB102" s="140">
        <f>EXP(-CB101*CB100)</f>
        <v>0.85687774820016971</v>
      </c>
      <c r="CC102" s="17"/>
      <c r="CD102" s="17"/>
      <c r="CE102" s="17"/>
    </row>
    <row r="103" spans="1:83">
      <c r="A103" s="17"/>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c r="BJ103" s="5"/>
      <c r="BK103" s="5"/>
      <c r="BL103" s="5"/>
      <c r="BM103" s="5"/>
      <c r="BN103" s="5"/>
      <c r="BO103" s="5"/>
      <c r="BP103" s="5"/>
      <c r="BQ103" s="5"/>
      <c r="BR103" s="5"/>
      <c r="BS103" s="5"/>
      <c r="BT103" s="5"/>
      <c r="BU103" s="5"/>
      <c r="BV103" s="5"/>
      <c r="BW103" s="5"/>
      <c r="BX103" s="5"/>
      <c r="BY103" s="5"/>
      <c r="BZ103" s="5"/>
      <c r="CA103" s="5"/>
      <c r="CB103" s="5"/>
      <c r="CC103" s="17"/>
      <c r="CD103" s="17"/>
      <c r="CE103" s="17"/>
    </row>
    <row r="104" spans="1:83">
      <c r="A104" s="16" t="s">
        <v>40</v>
      </c>
      <c r="B104" s="140">
        <f t="shared" ref="B104:BM104" si="149">DAYS360($B$3,B38)</f>
        <v>699</v>
      </c>
      <c r="C104" s="140">
        <f t="shared" si="149"/>
        <v>1059</v>
      </c>
      <c r="D104" s="140">
        <f t="shared" si="149"/>
        <v>1419</v>
      </c>
      <c r="E104" s="140">
        <f t="shared" si="149"/>
        <v>1778</v>
      </c>
      <c r="F104" s="140">
        <f t="shared" si="149"/>
        <v>2138</v>
      </c>
      <c r="G104" s="140">
        <f t="shared" si="149"/>
        <v>2498</v>
      </c>
      <c r="H104" s="140">
        <f t="shared" si="149"/>
        <v>2858</v>
      </c>
      <c r="I104" s="140">
        <f t="shared" si="149"/>
        <v>3217</v>
      </c>
      <c r="J104" s="140">
        <f t="shared" si="149"/>
        <v>3577</v>
      </c>
      <c r="K104" s="140">
        <f t="shared" si="149"/>
        <v>3937</v>
      </c>
      <c r="L104" s="140">
        <f t="shared" si="149"/>
        <v>4297</v>
      </c>
      <c r="M104" s="140">
        <f t="shared" si="149"/>
        <v>4656</v>
      </c>
      <c r="N104" s="140">
        <f t="shared" si="149"/>
        <v>5016</v>
      </c>
      <c r="O104" s="140">
        <f t="shared" si="149"/>
        <v>5376</v>
      </c>
      <c r="P104" s="140">
        <f t="shared" si="149"/>
        <v>5736</v>
      </c>
      <c r="Q104" s="140">
        <f t="shared" si="149"/>
        <v>6095</v>
      </c>
      <c r="R104" s="140">
        <f t="shared" si="149"/>
        <v>6455</v>
      </c>
      <c r="S104" s="140">
        <f t="shared" si="149"/>
        <v>6815</v>
      </c>
      <c r="T104" s="140">
        <f t="shared" si="149"/>
        <v>7175</v>
      </c>
      <c r="U104" s="140">
        <f t="shared" si="149"/>
        <v>7534</v>
      </c>
      <c r="V104" s="140">
        <f t="shared" si="149"/>
        <v>7894</v>
      </c>
      <c r="W104" s="140">
        <f t="shared" si="149"/>
        <v>8254</v>
      </c>
      <c r="X104" s="140">
        <f t="shared" si="149"/>
        <v>8614</v>
      </c>
      <c r="Y104" s="140">
        <f t="shared" si="149"/>
        <v>8973</v>
      </c>
      <c r="Z104" s="140">
        <f t="shared" si="149"/>
        <v>9333</v>
      </c>
      <c r="AA104" s="140">
        <f t="shared" si="149"/>
        <v>9693</v>
      </c>
      <c r="AB104" s="140">
        <f t="shared" si="149"/>
        <v>10053</v>
      </c>
      <c r="AC104" s="140">
        <f t="shared" si="149"/>
        <v>10412</v>
      </c>
      <c r="AD104" s="140">
        <f t="shared" si="149"/>
        <v>10772</v>
      </c>
      <c r="AE104" s="140">
        <f t="shared" si="149"/>
        <v>11132</v>
      </c>
      <c r="AF104" s="140">
        <f t="shared" si="149"/>
        <v>11492</v>
      </c>
      <c r="AG104" s="140">
        <f t="shared" si="149"/>
        <v>11851</v>
      </c>
      <c r="AH104" s="140">
        <f t="shared" si="149"/>
        <v>12211</v>
      </c>
      <c r="AI104" s="140">
        <f t="shared" si="149"/>
        <v>12571</v>
      </c>
      <c r="AJ104" s="140">
        <f t="shared" si="149"/>
        <v>12931</v>
      </c>
      <c r="AK104" s="140">
        <f t="shared" si="149"/>
        <v>13290</v>
      </c>
      <c r="AL104" s="140">
        <f t="shared" si="149"/>
        <v>13650</v>
      </c>
      <c r="AM104" s="140">
        <f t="shared" si="149"/>
        <v>14010</v>
      </c>
      <c r="AN104" s="140">
        <f t="shared" si="149"/>
        <v>14370</v>
      </c>
      <c r="AO104" s="140">
        <f t="shared" si="149"/>
        <v>14729</v>
      </c>
      <c r="AP104" s="140">
        <f t="shared" si="149"/>
        <v>15089</v>
      </c>
      <c r="AQ104" s="140">
        <f t="shared" si="149"/>
        <v>15449</v>
      </c>
      <c r="AR104" s="140">
        <f t="shared" si="149"/>
        <v>15809</v>
      </c>
      <c r="AS104" s="140">
        <f t="shared" si="149"/>
        <v>16169</v>
      </c>
      <c r="AT104" s="140">
        <f t="shared" si="149"/>
        <v>16529</v>
      </c>
      <c r="AU104" s="140">
        <f t="shared" si="149"/>
        <v>16889</v>
      </c>
      <c r="AV104" s="140">
        <f t="shared" si="149"/>
        <v>17249</v>
      </c>
      <c r="AW104" s="140">
        <f t="shared" si="149"/>
        <v>17608</v>
      </c>
      <c r="AX104" s="140">
        <f t="shared" si="149"/>
        <v>17968</v>
      </c>
      <c r="AY104" s="140">
        <f t="shared" si="149"/>
        <v>18328</v>
      </c>
      <c r="AZ104" s="140">
        <f t="shared" si="149"/>
        <v>18688</v>
      </c>
      <c r="BA104" s="140">
        <f t="shared" si="149"/>
        <v>19047</v>
      </c>
      <c r="BB104" s="140">
        <f t="shared" si="149"/>
        <v>19407</v>
      </c>
      <c r="BC104" s="140">
        <f t="shared" si="149"/>
        <v>19767</v>
      </c>
      <c r="BD104" s="140">
        <f t="shared" si="149"/>
        <v>20127</v>
      </c>
      <c r="BE104" s="140">
        <f t="shared" si="149"/>
        <v>20486</v>
      </c>
      <c r="BF104" s="140">
        <f t="shared" si="149"/>
        <v>20846</v>
      </c>
      <c r="BG104" s="140">
        <f t="shared" si="149"/>
        <v>21206</v>
      </c>
      <c r="BH104" s="140">
        <f t="shared" si="149"/>
        <v>21566</v>
      </c>
      <c r="BI104" s="140">
        <f t="shared" si="149"/>
        <v>21925</v>
      </c>
      <c r="BJ104" s="140">
        <f t="shared" si="149"/>
        <v>22285</v>
      </c>
      <c r="BK104" s="140">
        <f t="shared" si="149"/>
        <v>22645</v>
      </c>
      <c r="BL104" s="140">
        <f t="shared" si="149"/>
        <v>23005</v>
      </c>
      <c r="BM104" s="140">
        <f t="shared" si="149"/>
        <v>23364</v>
      </c>
      <c r="BN104" s="140">
        <f t="shared" ref="BN104:CB104" si="150">DAYS360($B$3,BN38)</f>
        <v>23724</v>
      </c>
      <c r="BO104" s="140">
        <f t="shared" si="150"/>
        <v>24084</v>
      </c>
      <c r="BP104" s="140">
        <f t="shared" si="150"/>
        <v>24444</v>
      </c>
      <c r="BQ104" s="140">
        <f t="shared" si="150"/>
        <v>24803</v>
      </c>
      <c r="BR104" s="140">
        <f t="shared" si="150"/>
        <v>25163</v>
      </c>
      <c r="BS104" s="140">
        <f t="shared" si="150"/>
        <v>25523</v>
      </c>
      <c r="BT104" s="140">
        <f t="shared" si="150"/>
        <v>25883</v>
      </c>
      <c r="BU104" s="140">
        <f t="shared" si="150"/>
        <v>26242</v>
      </c>
      <c r="BV104" s="140">
        <f t="shared" si="150"/>
        <v>26602</v>
      </c>
      <c r="BW104" s="140">
        <f t="shared" si="150"/>
        <v>26962</v>
      </c>
      <c r="BX104" s="140">
        <f t="shared" si="150"/>
        <v>27322</v>
      </c>
      <c r="BY104" s="140">
        <f t="shared" si="150"/>
        <v>27681</v>
      </c>
      <c r="BZ104" s="140">
        <f t="shared" si="150"/>
        <v>28041</v>
      </c>
      <c r="CA104" s="140">
        <f t="shared" si="150"/>
        <v>28401</v>
      </c>
      <c r="CB104" s="140">
        <f t="shared" si="150"/>
        <v>28761</v>
      </c>
      <c r="CC104" s="17"/>
      <c r="CD104" s="17"/>
      <c r="CE104" s="17"/>
    </row>
    <row r="105" spans="1:83">
      <c r="A105" s="16" t="s">
        <v>41</v>
      </c>
      <c r="B105" s="140">
        <f>B104/360</f>
        <v>1.9416666666666667</v>
      </c>
      <c r="C105" s="140">
        <f t="shared" ref="C105:BN105" si="151">C104/360</f>
        <v>2.9416666666666669</v>
      </c>
      <c r="D105" s="140">
        <f t="shared" si="151"/>
        <v>3.9416666666666669</v>
      </c>
      <c r="E105" s="140">
        <f t="shared" si="151"/>
        <v>4.9388888888888891</v>
      </c>
      <c r="F105" s="140">
        <f t="shared" si="151"/>
        <v>5.9388888888888891</v>
      </c>
      <c r="G105" s="140">
        <f t="shared" si="151"/>
        <v>6.9388888888888891</v>
      </c>
      <c r="H105" s="140">
        <f t="shared" si="151"/>
        <v>7.9388888888888891</v>
      </c>
      <c r="I105" s="140">
        <f t="shared" si="151"/>
        <v>8.9361111111111118</v>
      </c>
      <c r="J105" s="140">
        <f t="shared" si="151"/>
        <v>9.9361111111111118</v>
      </c>
      <c r="K105" s="140">
        <f t="shared" si="151"/>
        <v>10.936111111111112</v>
      </c>
      <c r="L105" s="140">
        <f t="shared" si="151"/>
        <v>11.936111111111112</v>
      </c>
      <c r="M105" s="140">
        <f t="shared" si="151"/>
        <v>12.933333333333334</v>
      </c>
      <c r="N105" s="140">
        <f t="shared" si="151"/>
        <v>13.933333333333334</v>
      </c>
      <c r="O105" s="140">
        <f t="shared" si="151"/>
        <v>14.933333333333334</v>
      </c>
      <c r="P105" s="140">
        <f t="shared" si="151"/>
        <v>15.933333333333334</v>
      </c>
      <c r="Q105" s="140">
        <f t="shared" si="151"/>
        <v>16.930555555555557</v>
      </c>
      <c r="R105" s="140">
        <f t="shared" si="151"/>
        <v>17.930555555555557</v>
      </c>
      <c r="S105" s="140">
        <f t="shared" si="151"/>
        <v>18.930555555555557</v>
      </c>
      <c r="T105" s="140">
        <f t="shared" si="151"/>
        <v>19.930555555555557</v>
      </c>
      <c r="U105" s="140">
        <f t="shared" si="151"/>
        <v>20.927777777777777</v>
      </c>
      <c r="V105" s="140">
        <f t="shared" si="151"/>
        <v>21.927777777777777</v>
      </c>
      <c r="W105" s="140">
        <f t="shared" si="151"/>
        <v>22.927777777777777</v>
      </c>
      <c r="X105" s="140">
        <f t="shared" si="151"/>
        <v>23.927777777777777</v>
      </c>
      <c r="Y105" s="140">
        <f t="shared" si="151"/>
        <v>24.925000000000001</v>
      </c>
      <c r="Z105" s="140">
        <f t="shared" si="151"/>
        <v>25.925000000000001</v>
      </c>
      <c r="AA105" s="140">
        <f t="shared" si="151"/>
        <v>26.925000000000001</v>
      </c>
      <c r="AB105" s="140">
        <f t="shared" si="151"/>
        <v>27.925000000000001</v>
      </c>
      <c r="AC105" s="140">
        <f t="shared" si="151"/>
        <v>28.922222222222221</v>
      </c>
      <c r="AD105" s="140">
        <f t="shared" si="151"/>
        <v>29.922222222222221</v>
      </c>
      <c r="AE105" s="140">
        <f t="shared" si="151"/>
        <v>30.922222222222221</v>
      </c>
      <c r="AF105" s="140">
        <f t="shared" si="151"/>
        <v>31.922222222222221</v>
      </c>
      <c r="AG105" s="140">
        <f t="shared" si="151"/>
        <v>32.919444444444444</v>
      </c>
      <c r="AH105" s="140">
        <f t="shared" si="151"/>
        <v>33.919444444444444</v>
      </c>
      <c r="AI105" s="140">
        <f t="shared" si="151"/>
        <v>34.919444444444444</v>
      </c>
      <c r="AJ105" s="140">
        <f t="shared" si="151"/>
        <v>35.919444444444444</v>
      </c>
      <c r="AK105" s="140">
        <f t="shared" si="151"/>
        <v>36.916666666666664</v>
      </c>
      <c r="AL105" s="140">
        <f t="shared" si="151"/>
        <v>37.916666666666664</v>
      </c>
      <c r="AM105" s="140">
        <f t="shared" si="151"/>
        <v>38.916666666666664</v>
      </c>
      <c r="AN105" s="140">
        <f t="shared" si="151"/>
        <v>39.916666666666664</v>
      </c>
      <c r="AO105" s="140">
        <f t="shared" si="151"/>
        <v>40.913888888888891</v>
      </c>
      <c r="AP105" s="140">
        <f t="shared" si="151"/>
        <v>41.913888888888891</v>
      </c>
      <c r="AQ105" s="140">
        <f t="shared" si="151"/>
        <v>42.913888888888891</v>
      </c>
      <c r="AR105" s="140">
        <f t="shared" si="151"/>
        <v>43.913888888888891</v>
      </c>
      <c r="AS105" s="140">
        <f t="shared" si="151"/>
        <v>44.913888888888891</v>
      </c>
      <c r="AT105" s="140">
        <f t="shared" si="151"/>
        <v>45.913888888888891</v>
      </c>
      <c r="AU105" s="140">
        <f t="shared" si="151"/>
        <v>46.913888888888891</v>
      </c>
      <c r="AV105" s="140">
        <f t="shared" si="151"/>
        <v>47.913888888888891</v>
      </c>
      <c r="AW105" s="140">
        <f t="shared" si="151"/>
        <v>48.911111111111111</v>
      </c>
      <c r="AX105" s="140">
        <f t="shared" si="151"/>
        <v>49.911111111111111</v>
      </c>
      <c r="AY105" s="140">
        <f t="shared" si="151"/>
        <v>50.911111111111111</v>
      </c>
      <c r="AZ105" s="140">
        <f t="shared" si="151"/>
        <v>51.911111111111111</v>
      </c>
      <c r="BA105" s="140">
        <f t="shared" si="151"/>
        <v>52.908333333333331</v>
      </c>
      <c r="BB105" s="140">
        <f t="shared" si="151"/>
        <v>53.908333333333331</v>
      </c>
      <c r="BC105" s="140">
        <f t="shared" si="151"/>
        <v>54.908333333333331</v>
      </c>
      <c r="BD105" s="140">
        <f t="shared" si="151"/>
        <v>55.908333333333331</v>
      </c>
      <c r="BE105" s="140">
        <f t="shared" si="151"/>
        <v>56.905555555555559</v>
      </c>
      <c r="BF105" s="140">
        <f t="shared" si="151"/>
        <v>57.905555555555559</v>
      </c>
      <c r="BG105" s="140">
        <f t="shared" si="151"/>
        <v>58.905555555555559</v>
      </c>
      <c r="BH105" s="140">
        <f t="shared" si="151"/>
        <v>59.905555555555559</v>
      </c>
      <c r="BI105" s="140">
        <f t="shared" si="151"/>
        <v>60.902777777777779</v>
      </c>
      <c r="BJ105" s="140">
        <f t="shared" si="151"/>
        <v>61.902777777777779</v>
      </c>
      <c r="BK105" s="140">
        <f t="shared" si="151"/>
        <v>62.902777777777779</v>
      </c>
      <c r="BL105" s="140">
        <f t="shared" si="151"/>
        <v>63.902777777777779</v>
      </c>
      <c r="BM105" s="140">
        <f t="shared" si="151"/>
        <v>64.900000000000006</v>
      </c>
      <c r="BN105" s="140">
        <f t="shared" si="151"/>
        <v>65.900000000000006</v>
      </c>
      <c r="BO105" s="140">
        <f t="shared" ref="BO105:CB105" si="152">BO104/360</f>
        <v>66.900000000000006</v>
      </c>
      <c r="BP105" s="140">
        <f t="shared" si="152"/>
        <v>67.900000000000006</v>
      </c>
      <c r="BQ105" s="140">
        <f t="shared" si="152"/>
        <v>68.897222222222226</v>
      </c>
      <c r="BR105" s="140">
        <f t="shared" si="152"/>
        <v>69.897222222222226</v>
      </c>
      <c r="BS105" s="140">
        <f t="shared" si="152"/>
        <v>70.897222222222226</v>
      </c>
      <c r="BT105" s="140">
        <f t="shared" si="152"/>
        <v>71.897222222222226</v>
      </c>
      <c r="BU105" s="140">
        <f t="shared" si="152"/>
        <v>72.894444444444446</v>
      </c>
      <c r="BV105" s="140">
        <f t="shared" si="152"/>
        <v>73.894444444444446</v>
      </c>
      <c r="BW105" s="140">
        <f t="shared" si="152"/>
        <v>74.894444444444446</v>
      </c>
      <c r="BX105" s="140">
        <f t="shared" si="152"/>
        <v>75.894444444444446</v>
      </c>
      <c r="BY105" s="140">
        <f t="shared" si="152"/>
        <v>76.891666666666666</v>
      </c>
      <c r="BZ105" s="140">
        <f t="shared" si="152"/>
        <v>77.891666666666666</v>
      </c>
      <c r="CA105" s="140">
        <f t="shared" si="152"/>
        <v>78.891666666666666</v>
      </c>
      <c r="CB105" s="140">
        <f t="shared" si="152"/>
        <v>79.891666666666666</v>
      </c>
      <c r="CC105" s="17"/>
      <c r="CD105" s="17"/>
      <c r="CE105" s="17"/>
    </row>
    <row r="106" spans="1:83">
      <c r="A106" s="16" t="s">
        <v>43</v>
      </c>
      <c r="B106" s="140">
        <f>IF(B104&lt;0,0,$B$5+$B$6*((1-EXP(-B105/$B$9))/(B105/$B$9))+$B$7*((1-EXP(-B105/$B$9))/(B105/$B$9)-EXP(-B105/$B$9))+$B$8*((1-EXP(-B105/$B$10))/(B105/$B$10)-EXP(-B105/$B$10)))</f>
        <v>-7.6797910314447791E-3</v>
      </c>
      <c r="C106" s="140">
        <f t="shared" ref="C106:BN106" si="153">IF(C104&lt;0,0,$B$5+$B$6*((1-EXP(-C105/$B$9))/(C105/$B$9))+$B$7*((1-EXP(-C105/$B$9))/(C105/$B$9)-EXP(-C105/$B$9))+$B$8*((1-EXP(-C105/$B$10))/(C105/$B$10)-EXP(-C105/$B$10)))</f>
        <v>-7.6733115373309908E-3</v>
      </c>
      <c r="D106" s="140">
        <f t="shared" si="153"/>
        <v>-7.3891370973261251E-3</v>
      </c>
      <c r="E106" s="140">
        <f t="shared" si="153"/>
        <v>-6.9169739687371268E-3</v>
      </c>
      <c r="F106" s="140">
        <f t="shared" si="153"/>
        <v>-6.3210566876483786E-3</v>
      </c>
      <c r="G106" s="140">
        <f t="shared" si="153"/>
        <v>-5.6528959707541921E-3</v>
      </c>
      <c r="H106" s="140">
        <f t="shared" si="153"/>
        <v>-4.9499358441777632E-3</v>
      </c>
      <c r="I106" s="140">
        <f t="shared" si="153"/>
        <v>-4.2414941818869067E-3</v>
      </c>
      <c r="J106" s="140">
        <f t="shared" si="153"/>
        <v>-3.5431372318052122E-3</v>
      </c>
      <c r="K106" s="140">
        <f t="shared" si="153"/>
        <v>-2.8704021745780857E-3</v>
      </c>
      <c r="L106" s="140">
        <f t="shared" si="153"/>
        <v>-2.2322692955566888E-3</v>
      </c>
      <c r="M106" s="140">
        <f t="shared" si="153"/>
        <v>-1.6358539101551748E-3</v>
      </c>
      <c r="N106" s="140">
        <f t="shared" si="153"/>
        <v>-1.0807480405371668E-3</v>
      </c>
      <c r="O106" s="140">
        <f t="shared" si="153"/>
        <v>-5.6967959522976654E-4</v>
      </c>
      <c r="P106" s="140">
        <f t="shared" si="153"/>
        <v>-1.0226998750160338E-4</v>
      </c>
      <c r="Q106" s="140">
        <f t="shared" si="153"/>
        <v>3.2171543866075375E-4</v>
      </c>
      <c r="R106" s="140">
        <f t="shared" si="153"/>
        <v>7.0665973066947468E-4</v>
      </c>
      <c r="S106" s="140">
        <f t="shared" si="153"/>
        <v>1.0537794560791271E-3</v>
      </c>
      <c r="T106" s="140">
        <f t="shared" si="153"/>
        <v>1.3657816181790912E-3</v>
      </c>
      <c r="U106" s="140">
        <f t="shared" si="153"/>
        <v>1.6447564287666444E-3</v>
      </c>
      <c r="V106" s="140">
        <f t="shared" si="153"/>
        <v>1.8950969189122056E-3</v>
      </c>
      <c r="W106" s="140">
        <f t="shared" si="153"/>
        <v>2.1187781520949495E-3</v>
      </c>
      <c r="X106" s="140">
        <f t="shared" si="153"/>
        <v>2.3184969960668468E-3</v>
      </c>
      <c r="Y106" s="140">
        <f t="shared" si="153"/>
        <v>2.4963506795807923E-3</v>
      </c>
      <c r="Z106" s="140">
        <f t="shared" si="153"/>
        <v>2.6557376256908238E-3</v>
      </c>
      <c r="AA106" s="140">
        <f t="shared" si="153"/>
        <v>2.7983836778228827E-3</v>
      </c>
      <c r="AB106" s="140">
        <f t="shared" si="153"/>
        <v>2.9263705532533088E-3</v>
      </c>
      <c r="AC106" s="140">
        <f t="shared" si="153"/>
        <v>3.0413081681415211E-3</v>
      </c>
      <c r="AD106" s="140">
        <f t="shared" si="153"/>
        <v>3.1455833171273283E-3</v>
      </c>
      <c r="AE106" s="140">
        <f t="shared" si="153"/>
        <v>3.2404523721552628E-3</v>
      </c>
      <c r="AF106" s="140">
        <f t="shared" si="153"/>
        <v>3.3273593489313823E-3</v>
      </c>
      <c r="AG106" s="140">
        <f t="shared" si="153"/>
        <v>3.4073930350704135E-3</v>
      </c>
      <c r="AH106" s="140">
        <f t="shared" si="153"/>
        <v>3.4821693607330027E-3</v>
      </c>
      <c r="AI106" s="140">
        <f t="shared" si="153"/>
        <v>3.5525082358051838E-3</v>
      </c>
      <c r="AJ106" s="140">
        <f t="shared" si="153"/>
        <v>3.619349238855641E-3</v>
      </c>
      <c r="AK106" s="140">
        <f t="shared" si="153"/>
        <v>3.6833539088249878E-3</v>
      </c>
      <c r="AL106" s="140">
        <f t="shared" si="153"/>
        <v>3.7456201198072664E-3</v>
      </c>
      <c r="AM106" s="140">
        <f t="shared" si="153"/>
        <v>3.8066237704150116E-3</v>
      </c>
      <c r="AN106" s="140">
        <f t="shared" si="153"/>
        <v>3.866944560553337E-3</v>
      </c>
      <c r="AO106" s="140">
        <f t="shared" si="153"/>
        <v>3.9269243883191841E-3</v>
      </c>
      <c r="AP106" s="140">
        <f t="shared" si="153"/>
        <v>3.9873418046925714E-3</v>
      </c>
      <c r="AQ106" s="140">
        <f t="shared" si="153"/>
        <v>4.0484176118288952E-3</v>
      </c>
      <c r="AR106" s="140">
        <f t="shared" si="153"/>
        <v>4.110487785423958E-3</v>
      </c>
      <c r="AS106" s="140">
        <f t="shared" si="153"/>
        <v>4.173841587444032E-3</v>
      </c>
      <c r="AT106" s="140">
        <f t="shared" si="153"/>
        <v>4.2387263175525589E-3</v>
      </c>
      <c r="AU106" s="140">
        <f t="shared" si="153"/>
        <v>4.30535163644373E-3</v>
      </c>
      <c r="AV106" s="140">
        <f t="shared" si="153"/>
        <v>4.373893491742168E-3</v>
      </c>
      <c r="AW106" s="140">
        <f t="shared" si="153"/>
        <v>4.4442985823729061E-3</v>
      </c>
      <c r="AX106" s="140">
        <f t="shared" si="153"/>
        <v>4.5170777575008099E-3</v>
      </c>
      <c r="AY106" s="140">
        <f t="shared" si="153"/>
        <v>4.5921327312579523E-3</v>
      </c>
      <c r="AZ106" s="140">
        <f t="shared" si="153"/>
        <v>4.6695370103673473E-3</v>
      </c>
      <c r="BA106" s="140">
        <f t="shared" si="153"/>
        <v>4.7491200219033011E-3</v>
      </c>
      <c r="BB106" s="140">
        <f t="shared" si="153"/>
        <v>4.8313626607856472E-3</v>
      </c>
      <c r="BC106" s="140">
        <f t="shared" si="153"/>
        <v>4.9160692924823599E-3</v>
      </c>
      <c r="BD106" s="140">
        <f t="shared" si="153"/>
        <v>5.0032493795352448E-3</v>
      </c>
      <c r="BE106" s="140">
        <f t="shared" si="153"/>
        <v>5.0926482792744733E-3</v>
      </c>
      <c r="BF106" s="140">
        <f t="shared" si="153"/>
        <v>5.1847516252082407E-3</v>
      </c>
      <c r="BG106" s="140">
        <f t="shared" si="153"/>
        <v>5.2792924043643455E-3</v>
      </c>
      <c r="BH106" s="140">
        <f t="shared" si="153"/>
        <v>5.376241338730707E-3</v>
      </c>
      <c r="BI106" s="140">
        <f t="shared" si="153"/>
        <v>5.4752831730193359E-3</v>
      </c>
      <c r="BJ106" s="140">
        <f t="shared" si="153"/>
        <v>5.5769277394258146E-3</v>
      </c>
      <c r="BK106" s="140">
        <f t="shared" si="153"/>
        <v>5.6808553079311652E-3</v>
      </c>
      <c r="BL106" s="140">
        <f t="shared" si="153"/>
        <v>5.7870143907618986E-3</v>
      </c>
      <c r="BM106" s="140">
        <f t="shared" si="153"/>
        <v>5.8950459048790933E-3</v>
      </c>
      <c r="BN106" s="140">
        <f t="shared" si="153"/>
        <v>6.0054935358956896E-3</v>
      </c>
      <c r="BO106" s="140">
        <f t="shared" ref="BO106:CB106" si="154">IF(BO104&lt;0,0,$B$5+$B$6*((1-EXP(-BO105/$B$9))/(BO105/$B$9))+$B$7*((1-EXP(-BO105/$B$9))/(BO105/$B$9)-EXP(-BO105/$B$9))+$B$8*((1-EXP(-BO105/$B$10))/(BO105/$B$10)-EXP(-BO105/$B$10)))</f>
        <v>6.1179984844310087E-3</v>
      </c>
      <c r="BP106" s="140">
        <f t="shared" si="154"/>
        <v>6.2324977727034395E-3</v>
      </c>
      <c r="BQ106" s="140">
        <f t="shared" si="154"/>
        <v>6.3486007164295817E-3</v>
      </c>
      <c r="BR106" s="140">
        <f t="shared" si="154"/>
        <v>6.4668883231648357E-3</v>
      </c>
      <c r="BS106" s="140">
        <f t="shared" si="154"/>
        <v>6.5869729164295086E-3</v>
      </c>
      <c r="BT106" s="140">
        <f t="shared" si="154"/>
        <v>6.7087869145609248E-3</v>
      </c>
      <c r="BU106" s="140">
        <f t="shared" si="154"/>
        <v>6.8319171172096793E-3</v>
      </c>
      <c r="BV106" s="140">
        <f t="shared" si="154"/>
        <v>6.956981515032587E-3</v>
      </c>
      <c r="BW106" s="140">
        <f t="shared" si="154"/>
        <v>7.0835713309891461E-3</v>
      </c>
      <c r="BX106" s="140">
        <f t="shared" si="154"/>
        <v>7.2116187371890801E-3</v>
      </c>
      <c r="BY106" s="140">
        <f t="shared" si="154"/>
        <v>7.3406949030887896E-3</v>
      </c>
      <c r="BZ106" s="140">
        <f t="shared" si="154"/>
        <v>7.4714522072354614E-3</v>
      </c>
      <c r="CA106" s="140">
        <f t="shared" si="154"/>
        <v>7.6034668247713759E-3</v>
      </c>
      <c r="CB106" s="140">
        <f t="shared" si="154"/>
        <v>7.7366733696537029E-3</v>
      </c>
      <c r="CC106" s="17"/>
      <c r="CD106" s="17"/>
      <c r="CE106" s="17"/>
    </row>
    <row r="107" spans="1:83">
      <c r="A107" s="16" t="s">
        <v>44</v>
      </c>
      <c r="B107" s="140">
        <f>EXP(-B106*B105)</f>
        <v>1.0150233267533997</v>
      </c>
      <c r="C107" s="140">
        <f t="shared" ref="C107:AR107" si="155">EXP(-C106*C105)</f>
        <v>1.0228290073644415</v>
      </c>
      <c r="D107" s="140">
        <f t="shared" si="155"/>
        <v>1.0295538112157754</v>
      </c>
      <c r="E107" s="140">
        <f t="shared" si="155"/>
        <v>1.0347523946545654</v>
      </c>
      <c r="F107" s="140">
        <f t="shared" si="155"/>
        <v>1.0382535817605982</v>
      </c>
      <c r="G107" s="140">
        <f t="shared" si="155"/>
        <v>1.0400042680525168</v>
      </c>
      <c r="H107" s="140">
        <f t="shared" si="155"/>
        <v>1.0400793316471777</v>
      </c>
      <c r="I107" s="140">
        <f t="shared" si="155"/>
        <v>1.0386299233885823</v>
      </c>
      <c r="J107" s="140">
        <f t="shared" si="155"/>
        <v>1.035832038006445</v>
      </c>
      <c r="K107" s="140">
        <f t="shared" si="155"/>
        <v>1.0318889318743978</v>
      </c>
      <c r="L107" s="140">
        <f t="shared" si="155"/>
        <v>1.0270027558506349</v>
      </c>
      <c r="M107" s="140">
        <f t="shared" si="155"/>
        <v>1.0213824409298073</v>
      </c>
      <c r="N107" s="140">
        <f t="shared" si="155"/>
        <v>1.015172371992314</v>
      </c>
      <c r="O107" s="140">
        <f t="shared" si="155"/>
        <v>1.0085435044784035</v>
      </c>
      <c r="P107" s="140">
        <f t="shared" si="155"/>
        <v>1.0016308301603418</v>
      </c>
      <c r="Q107" s="140">
        <f t="shared" si="155"/>
        <v>0.99456798592680828</v>
      </c>
      <c r="R107" s="140">
        <f t="shared" si="155"/>
        <v>0.98740913506985706</v>
      </c>
      <c r="S107" s="140">
        <f t="shared" si="155"/>
        <v>0.98024902687992654</v>
      </c>
      <c r="T107" s="140">
        <f t="shared" si="155"/>
        <v>0.9731463603048226</v>
      </c>
      <c r="U107" s="140">
        <f t="shared" si="155"/>
        <v>0.96616456992366395</v>
      </c>
      <c r="V107" s="140">
        <f t="shared" si="155"/>
        <v>0.95929631922378222</v>
      </c>
      <c r="W107" s="140">
        <f t="shared" si="155"/>
        <v>0.95258220177237618</v>
      </c>
      <c r="X107" s="140">
        <f t="shared" si="155"/>
        <v>0.94603427328315004</v>
      </c>
      <c r="Y107" s="140">
        <f t="shared" si="155"/>
        <v>0.93967468755234462</v>
      </c>
      <c r="Z107" s="140">
        <f t="shared" si="155"/>
        <v>0.93346669149797212</v>
      </c>
      <c r="AA107" s="140">
        <f t="shared" si="155"/>
        <v>0.92742209695878486</v>
      </c>
      <c r="AB107" s="140">
        <f t="shared" si="155"/>
        <v>0.92153096676540991</v>
      </c>
      <c r="AC107" s="140">
        <f t="shared" si="155"/>
        <v>0.91579623430581358</v>
      </c>
      <c r="AD107" s="140">
        <f t="shared" si="155"/>
        <v>0.91017094721280978</v>
      </c>
      <c r="AE107" s="140">
        <f t="shared" si="155"/>
        <v>0.90465466987390153</v>
      </c>
      <c r="AF107" s="140">
        <f t="shared" si="155"/>
        <v>0.89922975977985797</v>
      </c>
      <c r="AG107" s="140">
        <f t="shared" si="155"/>
        <v>0.89389274260727258</v>
      </c>
      <c r="AH107" s="140">
        <f t="shared" si="155"/>
        <v>0.88859541332770486</v>
      </c>
      <c r="AI107" s="140">
        <f t="shared" si="155"/>
        <v>0.88333424731116394</v>
      </c>
      <c r="AJ107" s="140">
        <f t="shared" si="155"/>
        <v>0.87809102824003349</v>
      </c>
      <c r="AK107" s="140">
        <f t="shared" si="155"/>
        <v>0.87286257850843929</v>
      </c>
      <c r="AL107" s="140">
        <f t="shared" si="155"/>
        <v>0.86760266395837293</v>
      </c>
      <c r="AM107" s="140">
        <f t="shared" si="155"/>
        <v>0.86230942725424864</v>
      </c>
      <c r="AN107" s="140">
        <f t="shared" si="155"/>
        <v>0.85696728322883775</v>
      </c>
      <c r="AO107" s="140">
        <f t="shared" si="155"/>
        <v>0.85157666466074855</v>
      </c>
      <c r="AP107" s="140">
        <f t="shared" si="155"/>
        <v>0.84609384184243752</v>
      </c>
      <c r="AQ107" s="140">
        <f t="shared" si="155"/>
        <v>0.8405209981070153</v>
      </c>
      <c r="AR107" s="140">
        <f t="shared" si="155"/>
        <v>0.83484641607923304</v>
      </c>
      <c r="AS107" s="140">
        <f>EXP(-AS106*AS105)</f>
        <v>0.82905941369771585</v>
      </c>
      <c r="AT107" s="140">
        <f t="shared" ref="AT107:CA107" si="156">EXP(-AT106*AT105)</f>
        <v>0.82315035042621532</v>
      </c>
      <c r="AU107" s="140">
        <f t="shared" si="156"/>
        <v>0.81711062587588645</v>
      </c>
      <c r="AV107" s="140">
        <f t="shared" si="156"/>
        <v>0.8109326720271387</v>
      </c>
      <c r="AW107" s="140">
        <f t="shared" si="156"/>
        <v>0.80462770904494663</v>
      </c>
      <c r="AX107" s="140">
        <f t="shared" si="156"/>
        <v>0.79815507578681144</v>
      </c>
      <c r="AY107" s="140">
        <f t="shared" si="156"/>
        <v>0.79152756046472961</v>
      </c>
      <c r="AZ107" s="140">
        <f t="shared" si="156"/>
        <v>0.78474154725015199</v>
      </c>
      <c r="BA107" s="140">
        <f t="shared" si="156"/>
        <v>0.77781386993230706</v>
      </c>
      <c r="BB107" s="140">
        <f t="shared" si="156"/>
        <v>0.77070414439362067</v>
      </c>
      <c r="BC107" s="140">
        <f t="shared" si="156"/>
        <v>0.76343051162335862</v>
      </c>
      <c r="BD107" s="140">
        <f t="shared" si="156"/>
        <v>0.75599287000238879</v>
      </c>
      <c r="BE107" s="140">
        <f t="shared" si="156"/>
        <v>0.74841325054008179</v>
      </c>
      <c r="BF107" s="140">
        <f t="shared" si="156"/>
        <v>0.74065087150768305</v>
      </c>
      <c r="BG107" s="140">
        <f t="shared" si="156"/>
        <v>0.73272878526882013</v>
      </c>
      <c r="BH107" s="140">
        <f t="shared" si="156"/>
        <v>0.72464983703797625</v>
      </c>
      <c r="BI107" s="140">
        <f t="shared" si="156"/>
        <v>0.71644058838968572</v>
      </c>
      <c r="BJ107" s="140">
        <f t="shared" si="156"/>
        <v>0.70805938015040304</v>
      </c>
      <c r="BK107" s="140">
        <f t="shared" si="156"/>
        <v>0.69953351094762029</v>
      </c>
      <c r="BL107" s="140">
        <f t="shared" si="156"/>
        <v>0.69086814256011919</v>
      </c>
      <c r="BM107" s="140">
        <f t="shared" si="156"/>
        <v>0.68209353719778731</v>
      </c>
      <c r="BN107" s="140">
        <f t="shared" si="156"/>
        <v>0.67316687442697065</v>
      </c>
      <c r="BO107" s="140">
        <f t="shared" si="156"/>
        <v>0.66411888715770606</v>
      </c>
      <c r="BP107" s="140">
        <f t="shared" si="156"/>
        <v>0.65495640765078023</v>
      </c>
      <c r="BQ107" s="140">
        <f t="shared" si="156"/>
        <v>0.64571247826642497</v>
      </c>
      <c r="BR107" s="140">
        <f t="shared" si="156"/>
        <v>0.6363430144002874</v>
      </c>
      <c r="BS107" s="140">
        <f t="shared" si="156"/>
        <v>0.62688129237594847</v>
      </c>
      <c r="BT107" s="140">
        <f t="shared" si="156"/>
        <v>0.61733519077261112</v>
      </c>
      <c r="BU107" s="140">
        <f t="shared" si="156"/>
        <v>0.60773958509962089</v>
      </c>
      <c r="BV107" s="140">
        <f t="shared" si="156"/>
        <v>0.59804918212117086</v>
      </c>
      <c r="BW107" s="140">
        <f t="shared" si="156"/>
        <v>0.58829889258200474</v>
      </c>
      <c r="BX107" s="140">
        <f t="shared" si="156"/>
        <v>0.57849706975699555</v>
      </c>
      <c r="BY107" s="140">
        <f t="shared" si="156"/>
        <v>0.56867950389779531</v>
      </c>
      <c r="BZ107" s="140">
        <f t="shared" si="156"/>
        <v>0.55879988084005616</v>
      </c>
      <c r="CA107" s="140">
        <f t="shared" si="156"/>
        <v>0.54889387056418482</v>
      </c>
      <c r="CB107" s="140">
        <f>EXP(-CB106*CB105)</f>
        <v>0.53896980505026137</v>
      </c>
      <c r="CC107" s="17"/>
      <c r="CD107" s="17"/>
      <c r="CE107" s="17"/>
    </row>
    <row r="108" spans="1:83">
      <c r="A108" s="17"/>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17"/>
      <c r="CD108" s="17"/>
      <c r="CE108" s="17"/>
    </row>
    <row r="109" spans="1:83">
      <c r="A109" s="16" t="s">
        <v>40</v>
      </c>
      <c r="B109" s="140">
        <f t="shared" ref="B109:BM109" si="157">DAYS360($B$3,B40)</f>
        <v>276</v>
      </c>
      <c r="C109" s="140">
        <f t="shared" si="157"/>
        <v>636</v>
      </c>
      <c r="D109" s="140">
        <f t="shared" si="157"/>
        <v>996</v>
      </c>
      <c r="E109" s="140">
        <f t="shared" si="157"/>
        <v>1356</v>
      </c>
      <c r="F109" s="140">
        <f t="shared" si="157"/>
        <v>1715</v>
      </c>
      <c r="G109" s="140">
        <f t="shared" si="157"/>
        <v>2075</v>
      </c>
      <c r="H109" s="140">
        <f t="shared" si="157"/>
        <v>2435</v>
      </c>
      <c r="I109" s="140">
        <f t="shared" si="157"/>
        <v>2795</v>
      </c>
      <c r="J109" s="140">
        <f t="shared" si="157"/>
        <v>3154</v>
      </c>
      <c r="K109" s="140">
        <f t="shared" si="157"/>
        <v>3514</v>
      </c>
      <c r="L109" s="140">
        <f t="shared" si="157"/>
        <v>3874</v>
      </c>
      <c r="M109" s="140">
        <f t="shared" si="157"/>
        <v>4234</v>
      </c>
      <c r="N109" s="140">
        <f t="shared" si="157"/>
        <v>4593</v>
      </c>
      <c r="O109" s="140">
        <f t="shared" si="157"/>
        <v>4953</v>
      </c>
      <c r="P109" s="140">
        <f t="shared" si="157"/>
        <v>5313</v>
      </c>
      <c r="Q109" s="140">
        <f t="shared" si="157"/>
        <v>5673</v>
      </c>
      <c r="R109" s="140">
        <f t="shared" si="157"/>
        <v>6032</v>
      </c>
      <c r="S109" s="140">
        <f t="shared" si="157"/>
        <v>6392</v>
      </c>
      <c r="T109" s="140">
        <f t="shared" si="157"/>
        <v>6752</v>
      </c>
      <c r="U109" s="140">
        <f t="shared" si="157"/>
        <v>7112</v>
      </c>
      <c r="V109" s="140">
        <f t="shared" si="157"/>
        <v>7471</v>
      </c>
      <c r="W109" s="140">
        <f t="shared" si="157"/>
        <v>7831</v>
      </c>
      <c r="X109" s="140">
        <f t="shared" si="157"/>
        <v>8191</v>
      </c>
      <c r="Y109" s="140">
        <f t="shared" si="157"/>
        <v>8551</v>
      </c>
      <c r="Z109" s="140">
        <f t="shared" si="157"/>
        <v>8910</v>
      </c>
      <c r="AA109" s="140">
        <f t="shared" si="157"/>
        <v>9270</v>
      </c>
      <c r="AB109" s="140">
        <f t="shared" si="157"/>
        <v>9630</v>
      </c>
      <c r="AC109" s="140">
        <f t="shared" si="157"/>
        <v>9990</v>
      </c>
      <c r="AD109" s="140">
        <f t="shared" si="157"/>
        <v>10349</v>
      </c>
      <c r="AE109" s="140">
        <f t="shared" si="157"/>
        <v>10709</v>
      </c>
      <c r="AF109" s="140">
        <f t="shared" si="157"/>
        <v>11069</v>
      </c>
      <c r="AG109" s="140">
        <f t="shared" si="157"/>
        <v>11429</v>
      </c>
      <c r="AH109" s="140">
        <f t="shared" si="157"/>
        <v>11789</v>
      </c>
      <c r="AI109" s="140">
        <f t="shared" si="157"/>
        <v>12149</v>
      </c>
      <c r="AJ109" s="140">
        <f t="shared" si="157"/>
        <v>12509</v>
      </c>
      <c r="AK109" s="140">
        <f t="shared" si="157"/>
        <v>12869</v>
      </c>
      <c r="AL109" s="140">
        <f t="shared" si="157"/>
        <v>13228</v>
      </c>
      <c r="AM109" s="140">
        <f t="shared" si="157"/>
        <v>13588</v>
      </c>
      <c r="AN109" s="140">
        <f t="shared" si="157"/>
        <v>13948</v>
      </c>
      <c r="AO109" s="140">
        <f t="shared" si="157"/>
        <v>14308</v>
      </c>
      <c r="AP109" s="140">
        <f t="shared" si="157"/>
        <v>14667</v>
      </c>
      <c r="AQ109" s="140">
        <f t="shared" si="157"/>
        <v>15027</v>
      </c>
      <c r="AR109" s="140">
        <f t="shared" si="157"/>
        <v>15387</v>
      </c>
      <c r="AS109" s="140">
        <f t="shared" si="157"/>
        <v>15747</v>
      </c>
      <c r="AT109" s="140">
        <f t="shared" si="157"/>
        <v>16106</v>
      </c>
      <c r="AU109" s="140">
        <f t="shared" si="157"/>
        <v>16466</v>
      </c>
      <c r="AV109" s="140">
        <f t="shared" si="157"/>
        <v>16826</v>
      </c>
      <c r="AW109" s="140">
        <f t="shared" si="157"/>
        <v>17186</v>
      </c>
      <c r="AX109" s="140">
        <f t="shared" si="157"/>
        <v>17545</v>
      </c>
      <c r="AY109" s="140">
        <f t="shared" si="157"/>
        <v>17905</v>
      </c>
      <c r="AZ109" s="140">
        <f t="shared" si="157"/>
        <v>18265</v>
      </c>
      <c r="BA109" s="140">
        <f t="shared" si="157"/>
        <v>18625</v>
      </c>
      <c r="BB109" s="140">
        <f t="shared" si="157"/>
        <v>18984</v>
      </c>
      <c r="BC109" s="140">
        <f t="shared" si="157"/>
        <v>19344</v>
      </c>
      <c r="BD109" s="140">
        <f t="shared" si="157"/>
        <v>19704</v>
      </c>
      <c r="BE109" s="140">
        <f t="shared" si="157"/>
        <v>20064</v>
      </c>
      <c r="BF109" s="140">
        <f t="shared" si="157"/>
        <v>20423</v>
      </c>
      <c r="BG109" s="140">
        <f t="shared" si="157"/>
        <v>20783</v>
      </c>
      <c r="BH109" s="140">
        <f t="shared" si="157"/>
        <v>21143</v>
      </c>
      <c r="BI109" s="140">
        <f t="shared" si="157"/>
        <v>21503</v>
      </c>
      <c r="BJ109" s="140">
        <f t="shared" si="157"/>
        <v>21862</v>
      </c>
      <c r="BK109" s="140">
        <f t="shared" si="157"/>
        <v>22222</v>
      </c>
      <c r="BL109" s="140">
        <f t="shared" si="157"/>
        <v>22582</v>
      </c>
      <c r="BM109" s="140">
        <f t="shared" si="157"/>
        <v>22942</v>
      </c>
      <c r="BN109" s="140">
        <f t="shared" ref="BN109:CB109" si="158">DAYS360($B$3,BN40)</f>
        <v>23301</v>
      </c>
      <c r="BO109" s="140">
        <f t="shared" si="158"/>
        <v>23661</v>
      </c>
      <c r="BP109" s="140">
        <f t="shared" si="158"/>
        <v>24021</v>
      </c>
      <c r="BQ109" s="140">
        <f t="shared" si="158"/>
        <v>24381</v>
      </c>
      <c r="BR109" s="140">
        <f t="shared" si="158"/>
        <v>24740</v>
      </c>
      <c r="BS109" s="140">
        <f t="shared" si="158"/>
        <v>25100</v>
      </c>
      <c r="BT109" s="140">
        <f t="shared" si="158"/>
        <v>25460</v>
      </c>
      <c r="BU109" s="140">
        <f t="shared" si="158"/>
        <v>25820</v>
      </c>
      <c r="BV109" s="140">
        <f t="shared" si="158"/>
        <v>26179</v>
      </c>
      <c r="BW109" s="140">
        <f t="shared" si="158"/>
        <v>26539</v>
      </c>
      <c r="BX109" s="140">
        <f t="shared" si="158"/>
        <v>26899</v>
      </c>
      <c r="BY109" s="140">
        <f t="shared" si="158"/>
        <v>27259</v>
      </c>
      <c r="BZ109" s="140">
        <f t="shared" si="158"/>
        <v>27618</v>
      </c>
      <c r="CA109" s="140">
        <f t="shared" si="158"/>
        <v>27978</v>
      </c>
      <c r="CB109" s="140">
        <f t="shared" si="158"/>
        <v>28338</v>
      </c>
      <c r="CC109" s="17"/>
      <c r="CD109" s="17"/>
      <c r="CE109" s="17"/>
    </row>
    <row r="110" spans="1:83">
      <c r="A110" s="16" t="s">
        <v>41</v>
      </c>
      <c r="B110" s="140">
        <f>B109/360</f>
        <v>0.76666666666666672</v>
      </c>
      <c r="C110" s="140">
        <f t="shared" ref="C110:BN110" si="159">C109/360</f>
        <v>1.7666666666666666</v>
      </c>
      <c r="D110" s="140">
        <f t="shared" si="159"/>
        <v>2.7666666666666666</v>
      </c>
      <c r="E110" s="140">
        <f t="shared" si="159"/>
        <v>3.7666666666666666</v>
      </c>
      <c r="F110" s="140">
        <f t="shared" si="159"/>
        <v>4.7638888888888893</v>
      </c>
      <c r="G110" s="140">
        <f t="shared" si="159"/>
        <v>5.7638888888888893</v>
      </c>
      <c r="H110" s="140">
        <f t="shared" si="159"/>
        <v>6.7638888888888893</v>
      </c>
      <c r="I110" s="140">
        <f t="shared" si="159"/>
        <v>7.7638888888888893</v>
      </c>
      <c r="J110" s="140">
        <f t="shared" si="159"/>
        <v>8.7611111111111111</v>
      </c>
      <c r="K110" s="140">
        <f t="shared" si="159"/>
        <v>9.7611111111111111</v>
      </c>
      <c r="L110" s="140">
        <f t="shared" si="159"/>
        <v>10.761111111111111</v>
      </c>
      <c r="M110" s="140">
        <f t="shared" si="159"/>
        <v>11.761111111111111</v>
      </c>
      <c r="N110" s="140">
        <f t="shared" si="159"/>
        <v>12.758333333333333</v>
      </c>
      <c r="O110" s="140">
        <f t="shared" si="159"/>
        <v>13.758333333333333</v>
      </c>
      <c r="P110" s="140">
        <f t="shared" si="159"/>
        <v>14.758333333333333</v>
      </c>
      <c r="Q110" s="140">
        <f t="shared" si="159"/>
        <v>15.758333333333333</v>
      </c>
      <c r="R110" s="140">
        <f t="shared" si="159"/>
        <v>16.755555555555556</v>
      </c>
      <c r="S110" s="140">
        <f t="shared" si="159"/>
        <v>17.755555555555556</v>
      </c>
      <c r="T110" s="140">
        <f t="shared" si="159"/>
        <v>18.755555555555556</v>
      </c>
      <c r="U110" s="140">
        <f t="shared" si="159"/>
        <v>19.755555555555556</v>
      </c>
      <c r="V110" s="140">
        <f t="shared" si="159"/>
        <v>20.752777777777776</v>
      </c>
      <c r="W110" s="140">
        <f t="shared" si="159"/>
        <v>21.752777777777776</v>
      </c>
      <c r="X110" s="140">
        <f t="shared" si="159"/>
        <v>22.752777777777776</v>
      </c>
      <c r="Y110" s="140">
        <f t="shared" si="159"/>
        <v>23.752777777777776</v>
      </c>
      <c r="Z110" s="140">
        <f t="shared" si="159"/>
        <v>24.75</v>
      </c>
      <c r="AA110" s="140">
        <f t="shared" si="159"/>
        <v>25.75</v>
      </c>
      <c r="AB110" s="140">
        <f t="shared" si="159"/>
        <v>26.75</v>
      </c>
      <c r="AC110" s="140">
        <f t="shared" si="159"/>
        <v>27.75</v>
      </c>
      <c r="AD110" s="140">
        <f t="shared" si="159"/>
        <v>28.747222222222224</v>
      </c>
      <c r="AE110" s="140">
        <f t="shared" si="159"/>
        <v>29.747222222222224</v>
      </c>
      <c r="AF110" s="140">
        <f t="shared" si="159"/>
        <v>30.747222222222224</v>
      </c>
      <c r="AG110" s="140">
        <f t="shared" si="159"/>
        <v>31.747222222222224</v>
      </c>
      <c r="AH110" s="140">
        <f t="shared" si="159"/>
        <v>32.74722222222222</v>
      </c>
      <c r="AI110" s="140">
        <f t="shared" si="159"/>
        <v>33.74722222222222</v>
      </c>
      <c r="AJ110" s="140">
        <f t="shared" si="159"/>
        <v>34.74722222222222</v>
      </c>
      <c r="AK110" s="140">
        <f t="shared" si="159"/>
        <v>35.74722222222222</v>
      </c>
      <c r="AL110" s="140">
        <f t="shared" si="159"/>
        <v>36.744444444444447</v>
      </c>
      <c r="AM110" s="140">
        <f t="shared" si="159"/>
        <v>37.744444444444447</v>
      </c>
      <c r="AN110" s="140">
        <f t="shared" si="159"/>
        <v>38.744444444444447</v>
      </c>
      <c r="AO110" s="140">
        <f t="shared" si="159"/>
        <v>39.744444444444447</v>
      </c>
      <c r="AP110" s="140">
        <f t="shared" si="159"/>
        <v>40.741666666666667</v>
      </c>
      <c r="AQ110" s="140">
        <f t="shared" si="159"/>
        <v>41.741666666666667</v>
      </c>
      <c r="AR110" s="140">
        <f t="shared" si="159"/>
        <v>42.741666666666667</v>
      </c>
      <c r="AS110" s="140">
        <f t="shared" si="159"/>
        <v>43.741666666666667</v>
      </c>
      <c r="AT110" s="140">
        <f t="shared" si="159"/>
        <v>44.738888888888887</v>
      </c>
      <c r="AU110" s="140">
        <f t="shared" si="159"/>
        <v>45.738888888888887</v>
      </c>
      <c r="AV110" s="140">
        <f t="shared" si="159"/>
        <v>46.738888888888887</v>
      </c>
      <c r="AW110" s="140">
        <f t="shared" si="159"/>
        <v>47.738888888888887</v>
      </c>
      <c r="AX110" s="140">
        <f t="shared" si="159"/>
        <v>48.736111111111114</v>
      </c>
      <c r="AY110" s="140">
        <f t="shared" si="159"/>
        <v>49.736111111111114</v>
      </c>
      <c r="AZ110" s="140">
        <f t="shared" si="159"/>
        <v>50.736111111111114</v>
      </c>
      <c r="BA110" s="140">
        <f t="shared" si="159"/>
        <v>51.736111111111114</v>
      </c>
      <c r="BB110" s="140">
        <f t="shared" si="159"/>
        <v>52.733333333333334</v>
      </c>
      <c r="BC110" s="140">
        <f t="shared" si="159"/>
        <v>53.733333333333334</v>
      </c>
      <c r="BD110" s="140">
        <f t="shared" si="159"/>
        <v>54.733333333333334</v>
      </c>
      <c r="BE110" s="140">
        <f t="shared" si="159"/>
        <v>55.733333333333334</v>
      </c>
      <c r="BF110" s="140">
        <f t="shared" si="159"/>
        <v>56.730555555555554</v>
      </c>
      <c r="BG110" s="140">
        <f t="shared" si="159"/>
        <v>57.730555555555554</v>
      </c>
      <c r="BH110" s="140">
        <f t="shared" si="159"/>
        <v>58.730555555555554</v>
      </c>
      <c r="BI110" s="140">
        <f t="shared" si="159"/>
        <v>59.730555555555554</v>
      </c>
      <c r="BJ110" s="140">
        <f t="shared" si="159"/>
        <v>60.727777777777774</v>
      </c>
      <c r="BK110" s="140">
        <f t="shared" si="159"/>
        <v>61.727777777777774</v>
      </c>
      <c r="BL110" s="140">
        <f t="shared" si="159"/>
        <v>62.727777777777774</v>
      </c>
      <c r="BM110" s="140">
        <f t="shared" si="159"/>
        <v>63.727777777777774</v>
      </c>
      <c r="BN110" s="140">
        <f t="shared" si="159"/>
        <v>64.724999999999994</v>
      </c>
      <c r="BO110" s="140">
        <f t="shared" ref="BO110:CB110" si="160">BO109/360</f>
        <v>65.724999999999994</v>
      </c>
      <c r="BP110" s="140">
        <f t="shared" si="160"/>
        <v>66.724999999999994</v>
      </c>
      <c r="BQ110" s="140">
        <f t="shared" si="160"/>
        <v>67.724999999999994</v>
      </c>
      <c r="BR110" s="140">
        <f t="shared" si="160"/>
        <v>68.722222222222229</v>
      </c>
      <c r="BS110" s="140">
        <f t="shared" si="160"/>
        <v>69.722222222222229</v>
      </c>
      <c r="BT110" s="140">
        <f t="shared" si="160"/>
        <v>70.722222222222229</v>
      </c>
      <c r="BU110" s="140">
        <f t="shared" si="160"/>
        <v>71.722222222222229</v>
      </c>
      <c r="BV110" s="140">
        <f t="shared" si="160"/>
        <v>72.719444444444449</v>
      </c>
      <c r="BW110" s="140">
        <f t="shared" si="160"/>
        <v>73.719444444444449</v>
      </c>
      <c r="BX110" s="140">
        <f t="shared" si="160"/>
        <v>74.719444444444449</v>
      </c>
      <c r="BY110" s="140">
        <f t="shared" si="160"/>
        <v>75.719444444444449</v>
      </c>
      <c r="BZ110" s="140">
        <f t="shared" si="160"/>
        <v>76.716666666666669</v>
      </c>
      <c r="CA110" s="140">
        <f t="shared" si="160"/>
        <v>77.716666666666669</v>
      </c>
      <c r="CB110" s="140">
        <f t="shared" si="160"/>
        <v>78.716666666666669</v>
      </c>
      <c r="CC110" s="17"/>
      <c r="CD110" s="17"/>
      <c r="CE110" s="17"/>
    </row>
    <row r="111" spans="1:83">
      <c r="A111" s="16" t="s">
        <v>43</v>
      </c>
      <c r="B111" s="140">
        <f>IF(B109&lt;0,0,$B$5+$B$6*((1-EXP(-B110/$B$9))/(B110/$B$9))+$B$7*((1-EXP(-B110/$B$9))/(B110/$B$9)-EXP(-B110/$B$9))+$B$8*((1-EXP(-B110/$B$10))/(B110/$B$10)-EXP(-B110/$B$10)))</f>
        <v>-7.1748864768228712E-3</v>
      </c>
      <c r="C111" s="140">
        <f t="shared" ref="C111:BN111" si="161">IF(C109&lt;0,0,$B$5+$B$6*((1-EXP(-C110/$B$9))/(C110/$B$9))+$B$7*((1-EXP(-C110/$B$9))/(C110/$B$9)-EXP(-C110/$B$9))+$B$8*((1-EXP(-C110/$B$10))/(C110/$B$10)-EXP(-C110/$B$10)))</f>
        <v>-7.6442708653618931E-3</v>
      </c>
      <c r="D111" s="140">
        <f t="shared" si="161"/>
        <v>-7.6973633090883509E-3</v>
      </c>
      <c r="E111" s="140">
        <f t="shared" si="161"/>
        <v>-7.4547383895021101E-3</v>
      </c>
      <c r="F111" s="140">
        <f t="shared" si="161"/>
        <v>-7.0103060179877389E-3</v>
      </c>
      <c r="G111" s="140">
        <f t="shared" si="161"/>
        <v>-6.4317972455289231E-3</v>
      </c>
      <c r="H111" s="140">
        <f t="shared" si="161"/>
        <v>-5.7732502333681986E-3</v>
      </c>
      <c r="I111" s="140">
        <f t="shared" si="161"/>
        <v>-5.0741526338684804E-3</v>
      </c>
      <c r="J111" s="140">
        <f t="shared" si="161"/>
        <v>-4.3654131891562448E-3</v>
      </c>
      <c r="K111" s="140">
        <f t="shared" si="161"/>
        <v>-3.6638173976053078E-3</v>
      </c>
      <c r="L111" s="140">
        <f t="shared" si="161"/>
        <v>-2.9858365873830246E-3</v>
      </c>
      <c r="M111" s="140">
        <f t="shared" si="161"/>
        <v>-2.3411648078351041E-3</v>
      </c>
      <c r="N111" s="140">
        <f t="shared" si="161"/>
        <v>-1.7374759030488497E-3</v>
      </c>
      <c r="O111" s="140">
        <f t="shared" si="161"/>
        <v>-1.1747206339312987E-3</v>
      </c>
      <c r="P111" s="140">
        <f t="shared" si="161"/>
        <v>-6.5593959590870381E-4</v>
      </c>
      <c r="Q111" s="140">
        <f t="shared" si="161"/>
        <v>-1.8096456474910039E-4</v>
      </c>
      <c r="R111" s="140">
        <f t="shared" si="161"/>
        <v>2.5027285786449749E-4</v>
      </c>
      <c r="S111" s="140">
        <f t="shared" si="161"/>
        <v>6.4209848146552437E-4</v>
      </c>
      <c r="T111" s="140">
        <f t="shared" si="161"/>
        <v>9.9564725633112874E-4</v>
      </c>
      <c r="U111" s="140">
        <f t="shared" si="161"/>
        <v>1.3135929570922411E-3</v>
      </c>
      <c r="V111" s="140">
        <f t="shared" si="161"/>
        <v>1.5979986465222869E-3</v>
      </c>
      <c r="W111" s="140">
        <f t="shared" si="161"/>
        <v>1.8532897944157287E-3</v>
      </c>
      <c r="X111" s="140">
        <f t="shared" si="161"/>
        <v>2.0814384201277743E-3</v>
      </c>
      <c r="Y111" s="140">
        <f t="shared" si="161"/>
        <v>2.2851614592456458E-3</v>
      </c>
      <c r="Z111" s="140">
        <f t="shared" si="161"/>
        <v>2.4665716486209736E-3</v>
      </c>
      <c r="AA111" s="140">
        <f t="shared" si="161"/>
        <v>2.6291148456087654E-3</v>
      </c>
      <c r="AB111" s="140">
        <f t="shared" si="161"/>
        <v>2.7745355089801305E-3</v>
      </c>
      <c r="AC111" s="140">
        <f t="shared" si="161"/>
        <v>2.9049448646620742E-3</v>
      </c>
      <c r="AD111" s="140">
        <f t="shared" si="161"/>
        <v>3.021976561419587E-3</v>
      </c>
      <c r="AE111" s="140">
        <f t="shared" si="161"/>
        <v>3.1280572441975268E-3</v>
      </c>
      <c r="AF111" s="140">
        <f t="shared" si="161"/>
        <v>3.2244640138590526E-3</v>
      </c>
      <c r="AG111" s="140">
        <f t="shared" si="161"/>
        <v>3.3126664012554201E-3</v>
      </c>
      <c r="AH111" s="140">
        <f t="shared" si="161"/>
        <v>3.3939918966322154E-3</v>
      </c>
      <c r="AI111" s="140">
        <f t="shared" si="161"/>
        <v>3.4696353318659154E-3</v>
      </c>
      <c r="AJ111" s="140">
        <f t="shared" si="161"/>
        <v>3.5406684616780607E-3</v>
      </c>
      <c r="AK111" s="140">
        <f t="shared" si="161"/>
        <v>3.6080494784818916E-3</v>
      </c>
      <c r="AL111" s="140">
        <f t="shared" si="161"/>
        <v>3.6724560321719363E-3</v>
      </c>
      <c r="AM111" s="140">
        <f t="shared" si="161"/>
        <v>3.7350037721860727E-3</v>
      </c>
      <c r="AN111" s="140">
        <f t="shared" si="161"/>
        <v>3.7961814704197301E-3</v>
      </c>
      <c r="AO111" s="140">
        <f t="shared" si="161"/>
        <v>3.856581695045231E-3</v>
      </c>
      <c r="AP111" s="140">
        <f t="shared" si="161"/>
        <v>3.9165581128626711E-3</v>
      </c>
      <c r="AQ111" s="140">
        <f t="shared" si="161"/>
        <v>3.976899765193883E-3</v>
      </c>
      <c r="AR111" s="140">
        <f t="shared" si="161"/>
        <v>4.0378368569076867E-3</v>
      </c>
      <c r="AS111" s="140">
        <f t="shared" si="161"/>
        <v>4.0997139214994302E-3</v>
      </c>
      <c r="AT111" s="140">
        <f t="shared" si="161"/>
        <v>4.1626506415241259E-3</v>
      </c>
      <c r="AU111" s="140">
        <f t="shared" si="161"/>
        <v>4.2272513129449525E-3</v>
      </c>
      <c r="AV111" s="140">
        <f t="shared" si="161"/>
        <v>4.2935584222845019E-3</v>
      </c>
      <c r="AW111" s="140">
        <f t="shared" si="161"/>
        <v>4.3617535500578009E-3</v>
      </c>
      <c r="AX111" s="140">
        <f t="shared" si="161"/>
        <v>4.4317894870745944E-3</v>
      </c>
      <c r="AY111" s="140">
        <f t="shared" si="161"/>
        <v>4.5041795108208584E-3</v>
      </c>
      <c r="AZ111" s="140">
        <f t="shared" si="161"/>
        <v>4.5788303405902113E-3</v>
      </c>
      <c r="BA111" s="140">
        <f t="shared" si="161"/>
        <v>4.6558190492316832E-3</v>
      </c>
      <c r="BB111" s="140">
        <f t="shared" si="161"/>
        <v>4.7349794180930466E-3</v>
      </c>
      <c r="BC111" s="140">
        <f t="shared" si="161"/>
        <v>4.8167927910601586E-3</v>
      </c>
      <c r="BD111" s="140">
        <f t="shared" si="161"/>
        <v>4.901067188166422E-3</v>
      </c>
      <c r="BE111" s="140">
        <f t="shared" si="161"/>
        <v>4.9878142684747218E-3</v>
      </c>
      <c r="BF111" s="140">
        <f t="shared" si="161"/>
        <v>5.0767825204847475E-3</v>
      </c>
      <c r="BG111" s="140">
        <f t="shared" si="161"/>
        <v>5.1684568744242987E-3</v>
      </c>
      <c r="BH111" s="140">
        <f t="shared" si="161"/>
        <v>5.2625730078737637E-3</v>
      </c>
      <c r="BI111" s="140">
        <f t="shared" si="161"/>
        <v>5.3591029412370823E-3</v>
      </c>
      <c r="BJ111" s="140">
        <f t="shared" si="161"/>
        <v>5.4577336816733907E-3</v>
      </c>
      <c r="BK111" s="140">
        <f t="shared" si="161"/>
        <v>5.558973743514304E-3</v>
      </c>
      <c r="BL111" s="140">
        <f t="shared" si="161"/>
        <v>5.6625053889843742E-3</v>
      </c>
      <c r="BM111" s="140">
        <f t="shared" si="161"/>
        <v>5.7682778441825282E-3</v>
      </c>
      <c r="BN111" s="140">
        <f t="shared" si="161"/>
        <v>5.8759336616289563E-3</v>
      </c>
      <c r="BO111" s="140">
        <f t="shared" ref="BO111:CB111" si="162">IF(BO109&lt;0,0,$B$5+$B$6*((1-EXP(-BO110/$B$9))/(BO110/$B$9))+$B$7*((1-EXP(-BO110/$B$9))/(BO110/$B$9)-EXP(-BO110/$B$9))+$B$8*((1-EXP(-BO110/$B$10))/(BO110/$B$10)-EXP(-BO110/$B$10)))</f>
        <v>5.9860149371013457E-3</v>
      </c>
      <c r="BP111" s="140">
        <f t="shared" si="162"/>
        <v>6.0981643475019366E-3</v>
      </c>
      <c r="BQ111" s="140">
        <f t="shared" si="162"/>
        <v>6.2123192514670598E-3</v>
      </c>
      <c r="BR111" s="140">
        <f t="shared" si="162"/>
        <v>6.3280901390943972E-3</v>
      </c>
      <c r="BS111" s="140">
        <f t="shared" si="162"/>
        <v>6.4460563698260746E-3</v>
      </c>
      <c r="BT111" s="140">
        <f t="shared" si="162"/>
        <v>6.5658313539333768E-3</v>
      </c>
      <c r="BU111" s="140">
        <f t="shared" si="162"/>
        <v>6.6873476052646194E-3</v>
      </c>
      <c r="BV111" s="140">
        <f t="shared" si="162"/>
        <v>6.8101927516834235E-3</v>
      </c>
      <c r="BW111" s="140">
        <f t="shared" si="162"/>
        <v>6.9349832068177526E-3</v>
      </c>
      <c r="BX111" s="140">
        <f t="shared" si="162"/>
        <v>7.0613109800856978E-3</v>
      </c>
      <c r="BY111" s="140">
        <f t="shared" si="162"/>
        <v>7.1891081883083408E-3</v>
      </c>
      <c r="BZ111" s="140">
        <f t="shared" si="162"/>
        <v>7.3179465642961884E-3</v>
      </c>
      <c r="CA111" s="140">
        <f t="shared" si="162"/>
        <v>7.4484770552007279E-3</v>
      </c>
      <c r="CB111" s="140">
        <f t="shared" si="162"/>
        <v>7.5802763867610055E-3</v>
      </c>
      <c r="CC111" s="17"/>
      <c r="CD111" s="17"/>
      <c r="CE111" s="17"/>
    </row>
    <row r="112" spans="1:83">
      <c r="A112" s="16" t="s">
        <v>44</v>
      </c>
      <c r="B112" s="140">
        <f>EXP(-B111*B110)</f>
        <v>1.0055159031824663</v>
      </c>
      <c r="C112" s="140">
        <f t="shared" ref="C112:AR112" si="163">EXP(-C111*C110)</f>
        <v>1.013596481297776</v>
      </c>
      <c r="D112" s="140">
        <f t="shared" si="163"/>
        <v>1.0215244174238425</v>
      </c>
      <c r="E112" s="140">
        <f t="shared" si="163"/>
        <v>1.0284774601445235</v>
      </c>
      <c r="F112" s="140">
        <f t="shared" si="163"/>
        <v>1.0339602360824327</v>
      </c>
      <c r="G112" s="140">
        <f t="shared" si="163"/>
        <v>1.0377679083240834</v>
      </c>
      <c r="H112" s="140">
        <f t="shared" si="163"/>
        <v>1.0398220815715622</v>
      </c>
      <c r="I112" s="140">
        <f t="shared" si="163"/>
        <v>1.0401814376902974</v>
      </c>
      <c r="J112" s="140">
        <f t="shared" si="163"/>
        <v>1.0389866571219748</v>
      </c>
      <c r="K112" s="140">
        <f t="shared" si="163"/>
        <v>1.0364101142800923</v>
      </c>
      <c r="L112" s="140">
        <f t="shared" si="163"/>
        <v>1.0326526905988218</v>
      </c>
      <c r="M112" s="140">
        <f t="shared" si="163"/>
        <v>1.027917282636716</v>
      </c>
      <c r="N112" s="140">
        <f t="shared" si="163"/>
        <v>1.0224148168187459</v>
      </c>
      <c r="O112" s="140">
        <f t="shared" si="163"/>
        <v>1.0162935128696573</v>
      </c>
      <c r="P112" s="140">
        <f t="shared" si="163"/>
        <v>1.0097275835378743</v>
      </c>
      <c r="Q112" s="140">
        <f t="shared" si="163"/>
        <v>1.002855769896944</v>
      </c>
      <c r="R112" s="140">
        <f t="shared" si="163"/>
        <v>0.9958153195050955</v>
      </c>
      <c r="S112" s="140">
        <f t="shared" si="163"/>
        <v>0.98866392775984835</v>
      </c>
      <c r="T112" s="140">
        <f t="shared" si="163"/>
        <v>0.98149935990101345</v>
      </c>
      <c r="U112" s="140">
        <f t="shared" si="163"/>
        <v>0.97438306837372657</v>
      </c>
      <c r="V112" s="140">
        <f t="shared" si="163"/>
        <v>0.96738094994631207</v>
      </c>
      <c r="W112" s="140">
        <f t="shared" si="163"/>
        <v>0.96048760551689583</v>
      </c>
      <c r="X112" s="140">
        <f t="shared" si="163"/>
        <v>0.95374541300016658</v>
      </c>
      <c r="Y112" s="140">
        <f t="shared" si="163"/>
        <v>0.9471678739121141</v>
      </c>
      <c r="Z112" s="140">
        <f t="shared" si="163"/>
        <v>0.9407784122128513</v>
      </c>
      <c r="AA112" s="140">
        <f t="shared" si="163"/>
        <v>0.93454106732924314</v>
      </c>
      <c r="AB112" s="140">
        <f t="shared" si="163"/>
        <v>0.92846849961583544</v>
      </c>
      <c r="AC112" s="140">
        <f t="shared" si="163"/>
        <v>0.92255136906509883</v>
      </c>
      <c r="AD112" s="140">
        <f t="shared" si="163"/>
        <v>0.91679312518111489</v>
      </c>
      <c r="AE112" s="140">
        <f t="shared" si="163"/>
        <v>0.91114701788664398</v>
      </c>
      <c r="AF112" s="140">
        <f t="shared" si="163"/>
        <v>0.9056129139041863</v>
      </c>
      <c r="AG112" s="140">
        <f t="shared" si="163"/>
        <v>0.90017332002882666</v>
      </c>
      <c r="AH112" s="140">
        <f t="shared" si="163"/>
        <v>0.89481005985156725</v>
      </c>
      <c r="AI112" s="140">
        <f t="shared" si="163"/>
        <v>0.88950464080196345</v>
      </c>
      <c r="AJ112" s="140">
        <f t="shared" si="163"/>
        <v>0.88423855526469608</v>
      </c>
      <c r="AK112" s="140">
        <f t="shared" si="163"/>
        <v>0.87899352601382774</v>
      </c>
      <c r="AL112" s="140">
        <f t="shared" si="163"/>
        <v>0.87376627705277543</v>
      </c>
      <c r="AM112" s="140">
        <f t="shared" si="163"/>
        <v>0.86851046628874273</v>
      </c>
      <c r="AN112" s="140">
        <f t="shared" si="163"/>
        <v>0.8632241034325735</v>
      </c>
      <c r="AO112" s="140">
        <f t="shared" si="163"/>
        <v>0.85789145491161745</v>
      </c>
      <c r="AP112" s="140">
        <f t="shared" si="163"/>
        <v>0.85251275751037736</v>
      </c>
      <c r="AQ112" s="140">
        <f t="shared" si="163"/>
        <v>0.84704418064224896</v>
      </c>
      <c r="AR112" s="140">
        <f t="shared" si="163"/>
        <v>0.84148770439388354</v>
      </c>
      <c r="AS112" s="140">
        <f>EXP(-AS111*AS110)</f>
        <v>0.83583143434826468</v>
      </c>
      <c r="AT112" s="140">
        <f t="shared" ref="AT112:CA112" si="164">EXP(-AT111*AT110)</f>
        <v>0.83008069125746187</v>
      </c>
      <c r="AU112" s="140">
        <f t="shared" si="164"/>
        <v>0.8241936388235801</v>
      </c>
      <c r="AV112" s="140">
        <f t="shared" si="164"/>
        <v>0.81817735535993363</v>
      </c>
      <c r="AW112" s="140">
        <f t="shared" si="164"/>
        <v>0.81202409299305545</v>
      </c>
      <c r="AX112" s="140">
        <f t="shared" si="164"/>
        <v>0.80574482180259865</v>
      </c>
      <c r="AY112" s="140">
        <f t="shared" si="164"/>
        <v>0.79929885039608173</v>
      </c>
      <c r="AZ112" s="140">
        <f t="shared" si="164"/>
        <v>0.79269872709914879</v>
      </c>
      <c r="BA112" s="140">
        <f t="shared" si="164"/>
        <v>0.78594067095745812</v>
      </c>
      <c r="BB112" s="140">
        <f t="shared" si="164"/>
        <v>0.77904127651026045</v>
      </c>
      <c r="BC112" s="140">
        <f t="shared" si="164"/>
        <v>0.77196016298516346</v>
      </c>
      <c r="BD112" s="140">
        <f t="shared" si="164"/>
        <v>0.76471524431872739</v>
      </c>
      <c r="BE112" s="140">
        <f t="shared" si="164"/>
        <v>0.75730627625025304</v>
      </c>
      <c r="BF112" s="140">
        <f t="shared" si="164"/>
        <v>0.74975507472343028</v>
      </c>
      <c r="BG112" s="140">
        <f t="shared" si="164"/>
        <v>0.74202088691824164</v>
      </c>
      <c r="BH112" s="140">
        <f t="shared" si="164"/>
        <v>0.73412656275950683</v>
      </c>
      <c r="BI112" s="140">
        <f t="shared" si="164"/>
        <v>0.72607483136793138</v>
      </c>
      <c r="BJ112" s="140">
        <f t="shared" si="164"/>
        <v>0.71789207242392949</v>
      </c>
      <c r="BK112" s="140">
        <f t="shared" si="164"/>
        <v>0.70953667249811292</v>
      </c>
      <c r="BL112" s="140">
        <f t="shared" si="164"/>
        <v>0.70103576049365179</v>
      </c>
      <c r="BM112" s="140">
        <f t="shared" si="164"/>
        <v>0.69239441032274229</v>
      </c>
      <c r="BN112" s="140">
        <f t="shared" si="164"/>
        <v>0.68364274102787448</v>
      </c>
      <c r="BO112" s="140">
        <f t="shared" si="164"/>
        <v>0.67473798641466343</v>
      </c>
      <c r="BP112" s="140">
        <f t="shared" si="164"/>
        <v>0.66571074733955005</v>
      </c>
      <c r="BQ112" s="140">
        <f t="shared" si="164"/>
        <v>0.65656779627285533</v>
      </c>
      <c r="BR112" s="140">
        <f t="shared" si="164"/>
        <v>0.64734207369857932</v>
      </c>
      <c r="BS112" s="140">
        <f t="shared" si="164"/>
        <v>0.63798955026020387</v>
      </c>
      <c r="BT112" s="140">
        <f t="shared" si="164"/>
        <v>0.62854341002393632</v>
      </c>
      <c r="BU112" s="140">
        <f t="shared" si="164"/>
        <v>0.61901149820232915</v>
      </c>
      <c r="BV112" s="140">
        <f t="shared" si="164"/>
        <v>0.60942862965591116</v>
      </c>
      <c r="BW112" s="140">
        <f t="shared" si="164"/>
        <v>0.59974956099766052</v>
      </c>
      <c r="BX112" s="140">
        <f t="shared" si="164"/>
        <v>0.59000915014549149</v>
      </c>
      <c r="BY112" s="140">
        <f t="shared" si="164"/>
        <v>0.58021574058992831</v>
      </c>
      <c r="BZ112" s="140">
        <f t="shared" si="164"/>
        <v>0.57040510089580054</v>
      </c>
      <c r="CA112" s="140">
        <f t="shared" si="164"/>
        <v>0.56053095614689397</v>
      </c>
      <c r="CB112" s="140">
        <f>EXP(-CB111*CB110)</f>
        <v>0.55062896050229193</v>
      </c>
      <c r="CC112" s="17"/>
      <c r="CD112" s="17"/>
      <c r="CE112" s="17"/>
    </row>
    <row r="113" spans="1:83">
      <c r="A113" s="17"/>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17"/>
      <c r="CD113" s="17"/>
      <c r="CE113" s="17"/>
    </row>
    <row r="114" spans="1:83">
      <c r="A114" s="16" t="s">
        <v>40</v>
      </c>
      <c r="B114" s="140">
        <f t="shared" ref="B114:BM114" si="165">DAYS360($B$3,B42)</f>
        <v>282</v>
      </c>
      <c r="C114" s="140">
        <f t="shared" si="165"/>
        <v>642</v>
      </c>
      <c r="D114" s="140">
        <f t="shared" si="165"/>
        <v>1002</v>
      </c>
      <c r="E114" s="140">
        <f t="shared" si="165"/>
        <v>1362</v>
      </c>
      <c r="F114" s="140">
        <f t="shared" si="165"/>
        <v>1721</v>
      </c>
      <c r="G114" s="140">
        <f t="shared" si="165"/>
        <v>2081</v>
      </c>
      <c r="H114" s="140">
        <f t="shared" si="165"/>
        <v>2441</v>
      </c>
      <c r="I114" s="140">
        <f t="shared" si="165"/>
        <v>2801</v>
      </c>
      <c r="J114" s="140">
        <f t="shared" si="165"/>
        <v>3160</v>
      </c>
      <c r="K114" s="140">
        <f t="shared" si="165"/>
        <v>3520</v>
      </c>
      <c r="L114" s="140">
        <f t="shared" si="165"/>
        <v>3880</v>
      </c>
      <c r="M114" s="140">
        <f t="shared" si="165"/>
        <v>4240</v>
      </c>
      <c r="N114" s="140">
        <f t="shared" si="165"/>
        <v>4599</v>
      </c>
      <c r="O114" s="140">
        <f t="shared" si="165"/>
        <v>4959</v>
      </c>
      <c r="P114" s="140">
        <f t="shared" si="165"/>
        <v>5319</v>
      </c>
      <c r="Q114" s="140">
        <f t="shared" si="165"/>
        <v>5679</v>
      </c>
      <c r="R114" s="140">
        <f t="shared" si="165"/>
        <v>6038</v>
      </c>
      <c r="S114" s="140">
        <f t="shared" si="165"/>
        <v>6398</v>
      </c>
      <c r="T114" s="140">
        <f t="shared" si="165"/>
        <v>6758</v>
      </c>
      <c r="U114" s="140">
        <f t="shared" si="165"/>
        <v>7118</v>
      </c>
      <c r="V114" s="140">
        <f t="shared" si="165"/>
        <v>7477</v>
      </c>
      <c r="W114" s="140">
        <f t="shared" si="165"/>
        <v>7837</v>
      </c>
      <c r="X114" s="140">
        <f t="shared" si="165"/>
        <v>8197</v>
      </c>
      <c r="Y114" s="140">
        <f t="shared" si="165"/>
        <v>8557</v>
      </c>
      <c r="Z114" s="140">
        <f t="shared" si="165"/>
        <v>8916</v>
      </c>
      <c r="AA114" s="140">
        <f t="shared" si="165"/>
        <v>9276</v>
      </c>
      <c r="AB114" s="140">
        <f t="shared" si="165"/>
        <v>9636</v>
      </c>
      <c r="AC114" s="140">
        <f t="shared" si="165"/>
        <v>9996</v>
      </c>
      <c r="AD114" s="140">
        <f t="shared" si="165"/>
        <v>10355</v>
      </c>
      <c r="AE114" s="140">
        <f t="shared" si="165"/>
        <v>10715</v>
      </c>
      <c r="AF114" s="140">
        <f t="shared" si="165"/>
        <v>11075</v>
      </c>
      <c r="AG114" s="140">
        <f t="shared" si="165"/>
        <v>11435</v>
      </c>
      <c r="AH114" s="140">
        <f t="shared" si="165"/>
        <v>11794</v>
      </c>
      <c r="AI114" s="140">
        <f t="shared" si="165"/>
        <v>12154</v>
      </c>
      <c r="AJ114" s="140">
        <f t="shared" si="165"/>
        <v>12514</v>
      </c>
      <c r="AK114" s="140">
        <f t="shared" si="165"/>
        <v>12874</v>
      </c>
      <c r="AL114" s="140">
        <f t="shared" si="165"/>
        <v>13233</v>
      </c>
      <c r="AM114" s="140">
        <f t="shared" si="165"/>
        <v>13593</v>
      </c>
      <c r="AN114" s="140">
        <f t="shared" si="165"/>
        <v>13953</v>
      </c>
      <c r="AO114" s="140">
        <f t="shared" si="165"/>
        <v>14313</v>
      </c>
      <c r="AP114" s="140">
        <f t="shared" si="165"/>
        <v>14672</v>
      </c>
      <c r="AQ114" s="140">
        <f t="shared" si="165"/>
        <v>15032</v>
      </c>
      <c r="AR114" s="140">
        <f t="shared" si="165"/>
        <v>15392</v>
      </c>
      <c r="AS114" s="140">
        <f t="shared" si="165"/>
        <v>15752</v>
      </c>
      <c r="AT114" s="140">
        <f t="shared" si="165"/>
        <v>16111</v>
      </c>
      <c r="AU114" s="140">
        <f t="shared" si="165"/>
        <v>16471</v>
      </c>
      <c r="AV114" s="140">
        <f t="shared" si="165"/>
        <v>16831</v>
      </c>
      <c r="AW114" s="140">
        <f t="shared" si="165"/>
        <v>17191</v>
      </c>
      <c r="AX114" s="140">
        <f t="shared" si="165"/>
        <v>17550</v>
      </c>
      <c r="AY114" s="140">
        <f t="shared" si="165"/>
        <v>17910</v>
      </c>
      <c r="AZ114" s="140">
        <f t="shared" si="165"/>
        <v>18270</v>
      </c>
      <c r="BA114" s="140">
        <f t="shared" si="165"/>
        <v>18630</v>
      </c>
      <c r="BB114" s="140">
        <f t="shared" si="165"/>
        <v>18989</v>
      </c>
      <c r="BC114" s="140">
        <f t="shared" si="165"/>
        <v>19349</v>
      </c>
      <c r="BD114" s="140">
        <f t="shared" si="165"/>
        <v>19709</v>
      </c>
      <c r="BE114" s="140">
        <f t="shared" si="165"/>
        <v>20069</v>
      </c>
      <c r="BF114" s="140">
        <f t="shared" si="165"/>
        <v>20429</v>
      </c>
      <c r="BG114" s="140">
        <f t="shared" si="165"/>
        <v>20789</v>
      </c>
      <c r="BH114" s="140">
        <f t="shared" si="165"/>
        <v>21149</v>
      </c>
      <c r="BI114" s="140">
        <f t="shared" si="165"/>
        <v>21509</v>
      </c>
      <c r="BJ114" s="140">
        <f t="shared" si="165"/>
        <v>21868</v>
      </c>
      <c r="BK114" s="140">
        <f t="shared" si="165"/>
        <v>22228</v>
      </c>
      <c r="BL114" s="140">
        <f t="shared" si="165"/>
        <v>22588</v>
      </c>
      <c r="BM114" s="140">
        <f t="shared" si="165"/>
        <v>22948</v>
      </c>
      <c r="BN114" s="140">
        <f t="shared" ref="BN114:CB114" si="166">DAYS360($B$3,BN42)</f>
        <v>23307</v>
      </c>
      <c r="BO114" s="140">
        <f t="shared" si="166"/>
        <v>23667</v>
      </c>
      <c r="BP114" s="140">
        <f t="shared" si="166"/>
        <v>24027</v>
      </c>
      <c r="BQ114" s="140">
        <f t="shared" si="166"/>
        <v>24387</v>
      </c>
      <c r="BR114" s="140">
        <f t="shared" si="166"/>
        <v>24746</v>
      </c>
      <c r="BS114" s="140">
        <f t="shared" si="166"/>
        <v>25106</v>
      </c>
      <c r="BT114" s="140">
        <f t="shared" si="166"/>
        <v>25466</v>
      </c>
      <c r="BU114" s="140">
        <f t="shared" si="166"/>
        <v>25826</v>
      </c>
      <c r="BV114" s="140">
        <f t="shared" si="166"/>
        <v>26185</v>
      </c>
      <c r="BW114" s="140">
        <f t="shared" si="166"/>
        <v>26545</v>
      </c>
      <c r="BX114" s="140">
        <f t="shared" si="166"/>
        <v>26905</v>
      </c>
      <c r="BY114" s="140">
        <f t="shared" si="166"/>
        <v>27265</v>
      </c>
      <c r="BZ114" s="140">
        <f t="shared" si="166"/>
        <v>27624</v>
      </c>
      <c r="CA114" s="140">
        <f t="shared" si="166"/>
        <v>27984</v>
      </c>
      <c r="CB114" s="140">
        <f t="shared" si="166"/>
        <v>28344</v>
      </c>
      <c r="CC114" s="17"/>
      <c r="CD114" s="17"/>
      <c r="CE114" s="17"/>
    </row>
    <row r="115" spans="1:83">
      <c r="A115" s="16" t="s">
        <v>41</v>
      </c>
      <c r="B115" s="140">
        <f>B114/360</f>
        <v>0.78333333333333333</v>
      </c>
      <c r="C115" s="140">
        <f t="shared" ref="C115:BN115" si="167">C114/360</f>
        <v>1.7833333333333334</v>
      </c>
      <c r="D115" s="140">
        <f t="shared" si="167"/>
        <v>2.7833333333333332</v>
      </c>
      <c r="E115" s="140">
        <f t="shared" si="167"/>
        <v>3.7833333333333332</v>
      </c>
      <c r="F115" s="140">
        <f t="shared" si="167"/>
        <v>4.7805555555555559</v>
      </c>
      <c r="G115" s="140">
        <f t="shared" si="167"/>
        <v>5.7805555555555559</v>
      </c>
      <c r="H115" s="140">
        <f t="shared" si="167"/>
        <v>6.7805555555555559</v>
      </c>
      <c r="I115" s="140">
        <f t="shared" si="167"/>
        <v>7.7805555555555559</v>
      </c>
      <c r="J115" s="140">
        <f t="shared" si="167"/>
        <v>8.7777777777777786</v>
      </c>
      <c r="K115" s="140">
        <f t="shared" si="167"/>
        <v>9.7777777777777786</v>
      </c>
      <c r="L115" s="140">
        <f t="shared" si="167"/>
        <v>10.777777777777779</v>
      </c>
      <c r="M115" s="140">
        <f t="shared" si="167"/>
        <v>11.777777777777779</v>
      </c>
      <c r="N115" s="140">
        <f t="shared" si="167"/>
        <v>12.775</v>
      </c>
      <c r="O115" s="140">
        <f t="shared" si="167"/>
        <v>13.775</v>
      </c>
      <c r="P115" s="140">
        <f t="shared" si="167"/>
        <v>14.775</v>
      </c>
      <c r="Q115" s="140">
        <f t="shared" si="167"/>
        <v>15.775</v>
      </c>
      <c r="R115" s="140">
        <f t="shared" si="167"/>
        <v>16.772222222222222</v>
      </c>
      <c r="S115" s="140">
        <f t="shared" si="167"/>
        <v>17.772222222222222</v>
      </c>
      <c r="T115" s="140">
        <f t="shared" si="167"/>
        <v>18.772222222222222</v>
      </c>
      <c r="U115" s="140">
        <f t="shared" si="167"/>
        <v>19.772222222222222</v>
      </c>
      <c r="V115" s="140">
        <f t="shared" si="167"/>
        <v>20.769444444444446</v>
      </c>
      <c r="W115" s="140">
        <f t="shared" si="167"/>
        <v>21.769444444444446</v>
      </c>
      <c r="X115" s="140">
        <f t="shared" si="167"/>
        <v>22.769444444444446</v>
      </c>
      <c r="Y115" s="140">
        <f t="shared" si="167"/>
        <v>23.769444444444446</v>
      </c>
      <c r="Z115" s="140">
        <f t="shared" si="167"/>
        <v>24.766666666666666</v>
      </c>
      <c r="AA115" s="140">
        <f t="shared" si="167"/>
        <v>25.766666666666666</v>
      </c>
      <c r="AB115" s="140">
        <f t="shared" si="167"/>
        <v>26.766666666666666</v>
      </c>
      <c r="AC115" s="140">
        <f t="shared" si="167"/>
        <v>27.766666666666666</v>
      </c>
      <c r="AD115" s="140">
        <f t="shared" si="167"/>
        <v>28.763888888888889</v>
      </c>
      <c r="AE115" s="140">
        <f t="shared" si="167"/>
        <v>29.763888888888889</v>
      </c>
      <c r="AF115" s="140">
        <f t="shared" si="167"/>
        <v>30.763888888888889</v>
      </c>
      <c r="AG115" s="140">
        <f t="shared" si="167"/>
        <v>31.763888888888889</v>
      </c>
      <c r="AH115" s="140">
        <f t="shared" si="167"/>
        <v>32.761111111111113</v>
      </c>
      <c r="AI115" s="140">
        <f t="shared" si="167"/>
        <v>33.761111111111113</v>
      </c>
      <c r="AJ115" s="140">
        <f t="shared" si="167"/>
        <v>34.761111111111113</v>
      </c>
      <c r="AK115" s="140">
        <f t="shared" si="167"/>
        <v>35.761111111111113</v>
      </c>
      <c r="AL115" s="140">
        <f t="shared" si="167"/>
        <v>36.758333333333333</v>
      </c>
      <c r="AM115" s="140">
        <f t="shared" si="167"/>
        <v>37.758333333333333</v>
      </c>
      <c r="AN115" s="140">
        <f t="shared" si="167"/>
        <v>38.758333333333333</v>
      </c>
      <c r="AO115" s="140">
        <f t="shared" si="167"/>
        <v>39.758333333333333</v>
      </c>
      <c r="AP115" s="140">
        <f t="shared" si="167"/>
        <v>40.755555555555553</v>
      </c>
      <c r="AQ115" s="140">
        <f t="shared" si="167"/>
        <v>41.755555555555553</v>
      </c>
      <c r="AR115" s="140">
        <f t="shared" si="167"/>
        <v>42.755555555555553</v>
      </c>
      <c r="AS115" s="140">
        <f t="shared" si="167"/>
        <v>43.755555555555553</v>
      </c>
      <c r="AT115" s="140">
        <f t="shared" si="167"/>
        <v>44.75277777777778</v>
      </c>
      <c r="AU115" s="140">
        <f t="shared" si="167"/>
        <v>45.75277777777778</v>
      </c>
      <c r="AV115" s="140">
        <f t="shared" si="167"/>
        <v>46.75277777777778</v>
      </c>
      <c r="AW115" s="140">
        <f t="shared" si="167"/>
        <v>47.75277777777778</v>
      </c>
      <c r="AX115" s="140">
        <f t="shared" si="167"/>
        <v>48.75</v>
      </c>
      <c r="AY115" s="140">
        <f t="shared" si="167"/>
        <v>49.75</v>
      </c>
      <c r="AZ115" s="140">
        <f t="shared" si="167"/>
        <v>50.75</v>
      </c>
      <c r="BA115" s="140">
        <f t="shared" si="167"/>
        <v>51.75</v>
      </c>
      <c r="BB115" s="140">
        <f t="shared" si="167"/>
        <v>52.74722222222222</v>
      </c>
      <c r="BC115" s="140">
        <f t="shared" si="167"/>
        <v>53.74722222222222</v>
      </c>
      <c r="BD115" s="140">
        <f t="shared" si="167"/>
        <v>54.74722222222222</v>
      </c>
      <c r="BE115" s="140">
        <f t="shared" si="167"/>
        <v>55.74722222222222</v>
      </c>
      <c r="BF115" s="140">
        <f t="shared" si="167"/>
        <v>56.74722222222222</v>
      </c>
      <c r="BG115" s="140">
        <f t="shared" si="167"/>
        <v>57.74722222222222</v>
      </c>
      <c r="BH115" s="140">
        <f t="shared" si="167"/>
        <v>58.74722222222222</v>
      </c>
      <c r="BI115" s="140">
        <f t="shared" si="167"/>
        <v>59.74722222222222</v>
      </c>
      <c r="BJ115" s="140">
        <f t="shared" si="167"/>
        <v>60.744444444444447</v>
      </c>
      <c r="BK115" s="140">
        <f t="shared" si="167"/>
        <v>61.744444444444447</v>
      </c>
      <c r="BL115" s="140">
        <f t="shared" si="167"/>
        <v>62.744444444444447</v>
      </c>
      <c r="BM115" s="140">
        <f t="shared" si="167"/>
        <v>63.744444444444447</v>
      </c>
      <c r="BN115" s="140">
        <f t="shared" si="167"/>
        <v>64.74166666666666</v>
      </c>
      <c r="BO115" s="140">
        <f t="shared" ref="BO115:CB115" si="168">BO114/360</f>
        <v>65.74166666666666</v>
      </c>
      <c r="BP115" s="140">
        <f t="shared" si="168"/>
        <v>66.74166666666666</v>
      </c>
      <c r="BQ115" s="140">
        <f t="shared" si="168"/>
        <v>67.74166666666666</v>
      </c>
      <c r="BR115" s="140">
        <f t="shared" si="168"/>
        <v>68.738888888888894</v>
      </c>
      <c r="BS115" s="140">
        <f t="shared" si="168"/>
        <v>69.738888888888894</v>
      </c>
      <c r="BT115" s="140">
        <f t="shared" si="168"/>
        <v>70.738888888888894</v>
      </c>
      <c r="BU115" s="140">
        <f t="shared" si="168"/>
        <v>71.738888888888894</v>
      </c>
      <c r="BV115" s="140">
        <f t="shared" si="168"/>
        <v>72.736111111111114</v>
      </c>
      <c r="BW115" s="140">
        <f t="shared" si="168"/>
        <v>73.736111111111114</v>
      </c>
      <c r="BX115" s="140">
        <f t="shared" si="168"/>
        <v>74.736111111111114</v>
      </c>
      <c r="BY115" s="140">
        <f t="shared" si="168"/>
        <v>75.736111111111114</v>
      </c>
      <c r="BZ115" s="140">
        <f t="shared" si="168"/>
        <v>76.733333333333334</v>
      </c>
      <c r="CA115" s="140">
        <f t="shared" si="168"/>
        <v>77.733333333333334</v>
      </c>
      <c r="CB115" s="140">
        <f t="shared" si="168"/>
        <v>78.733333333333334</v>
      </c>
      <c r="CC115" s="17"/>
      <c r="CD115" s="17"/>
      <c r="CE115" s="17"/>
    </row>
    <row r="116" spans="1:83">
      <c r="A116" s="16" t="s">
        <v>43</v>
      </c>
      <c r="B116" s="140">
        <f>IF(B114&lt;0,0,$B$5+$B$6*((1-EXP(-B115/$B$9))/(B115/$B$9))+$B$7*((1-EXP(-B115/$B$9))/(B115/$B$9)-EXP(-B115/$B$9))+$B$8*((1-EXP(-B115/$B$10))/(B115/$B$10)-EXP(-B115/$B$10)))</f>
        <v>-7.1869109055128786E-3</v>
      </c>
      <c r="C116" s="140">
        <f t="shared" ref="C116:BN116" si="169">IF(C114&lt;0,0,$B$5+$B$6*((1-EXP(-C115/$B$9))/(C115/$B$9))+$B$7*((1-EXP(-C115/$B$9))/(C115/$B$9)-EXP(-C115/$B$9))+$B$8*((1-EXP(-C115/$B$10))/(C115/$B$10)-EXP(-C115/$B$10)))</f>
        <v>-7.6481877611588025E-3</v>
      </c>
      <c r="D116" s="140">
        <f t="shared" si="169"/>
        <v>-7.6954510421853167E-3</v>
      </c>
      <c r="E116" s="140">
        <f t="shared" si="169"/>
        <v>-7.4487497526092702E-3</v>
      </c>
      <c r="F116" s="140">
        <f t="shared" si="169"/>
        <v>-7.0015859038675583E-3</v>
      </c>
      <c r="G116" s="140">
        <f t="shared" si="169"/>
        <v>-6.4213508725993757E-3</v>
      </c>
      <c r="H116" s="140">
        <f t="shared" si="169"/>
        <v>-5.7618374866742848E-3</v>
      </c>
      <c r="I116" s="140">
        <f t="shared" si="169"/>
        <v>-5.0623348721465736E-3</v>
      </c>
      <c r="J116" s="140">
        <f t="shared" si="169"/>
        <v>-4.3535972393291891E-3</v>
      </c>
      <c r="K116" s="140">
        <f t="shared" si="169"/>
        <v>-3.6522913910124813E-3</v>
      </c>
      <c r="L116" s="140">
        <f t="shared" si="169"/>
        <v>-2.9747978586586905E-3</v>
      </c>
      <c r="M116" s="140">
        <f t="shared" si="169"/>
        <v>-2.3307412083566591E-3</v>
      </c>
      <c r="N116" s="140">
        <f t="shared" si="169"/>
        <v>-1.7277409200523852E-3</v>
      </c>
      <c r="O116" s="140">
        <f t="shared" si="169"/>
        <v>-1.1657126494195418E-3</v>
      </c>
      <c r="P116" s="140">
        <f t="shared" si="169"/>
        <v>-6.4766651460030321E-4</v>
      </c>
      <c r="Q116" s="140">
        <f t="shared" si="169"/>
        <v>-1.7341370612937446E-4</v>
      </c>
      <c r="R116" s="140">
        <f t="shared" si="169"/>
        <v>2.5713043903029947E-4</v>
      </c>
      <c r="S116" s="140">
        <f t="shared" si="169"/>
        <v>6.4829748802281567E-4</v>
      </c>
      <c r="T116" s="140">
        <f t="shared" si="169"/>
        <v>1.0012304130472445E-3</v>
      </c>
      <c r="U116" s="140">
        <f t="shared" si="169"/>
        <v>1.3186063342280514E-3</v>
      </c>
      <c r="V116" s="140">
        <f t="shared" si="169"/>
        <v>1.6024910431409606E-3</v>
      </c>
      <c r="W116" s="140">
        <f t="shared" si="169"/>
        <v>1.8573069946235532E-3</v>
      </c>
      <c r="X116" s="140">
        <f t="shared" si="169"/>
        <v>2.0850265753489458E-3</v>
      </c>
      <c r="Y116" s="140">
        <f t="shared" si="169"/>
        <v>2.2883648546911002E-3</v>
      </c>
      <c r="Z116" s="140">
        <f t="shared" si="169"/>
        <v>2.469433129533842E-3</v>
      </c>
      <c r="AA116" s="140">
        <f t="shared" si="169"/>
        <v>2.6316727377200394E-3</v>
      </c>
      <c r="AB116" s="140">
        <f t="shared" si="169"/>
        <v>2.7768263809873871E-3</v>
      </c>
      <c r="AC116" s="140">
        <f t="shared" si="169"/>
        <v>2.9070024748213512E-3</v>
      </c>
      <c r="AD116" s="140">
        <f t="shared" si="169"/>
        <v>3.0238324090184031E-3</v>
      </c>
      <c r="AE116" s="140">
        <f t="shared" si="169"/>
        <v>3.1297390120899535E-3</v>
      </c>
      <c r="AF116" s="140">
        <f t="shared" si="169"/>
        <v>3.225997407079649E-3</v>
      </c>
      <c r="AG116" s="140">
        <f t="shared" si="169"/>
        <v>3.3140746830738824E-3</v>
      </c>
      <c r="AH116" s="140">
        <f t="shared" si="169"/>
        <v>3.3950787931843543E-3</v>
      </c>
      <c r="AI116" s="140">
        <f t="shared" si="169"/>
        <v>3.4706511307065584E-3</v>
      </c>
      <c r="AJ116" s="140">
        <f t="shared" si="169"/>
        <v>3.5416272269127164E-3</v>
      </c>
      <c r="AK116" s="140">
        <f t="shared" si="169"/>
        <v>3.6089637629281128E-3</v>
      </c>
      <c r="AL116" s="140">
        <f t="shared" si="169"/>
        <v>3.6733370817972483E-3</v>
      </c>
      <c r="AM116" s="140">
        <f t="shared" si="169"/>
        <v>3.7358613856645698E-3</v>
      </c>
      <c r="AN116" s="140">
        <f t="shared" si="169"/>
        <v>3.797024402038926E-3</v>
      </c>
      <c r="AO116" s="140">
        <f t="shared" si="169"/>
        <v>3.8574176532641564E-3</v>
      </c>
      <c r="AP116" s="140">
        <f t="shared" si="169"/>
        <v>3.9173938508693246E-3</v>
      </c>
      <c r="AQ116" s="140">
        <f t="shared" si="169"/>
        <v>3.9777411805527844E-3</v>
      </c>
      <c r="AR116" s="140">
        <f t="shared" si="169"/>
        <v>4.0386890840534845E-3</v>
      </c>
      <c r="AS116" s="140">
        <f t="shared" si="169"/>
        <v>4.1005813989386415E-3</v>
      </c>
      <c r="AT116" s="140">
        <f t="shared" si="169"/>
        <v>4.1635371242963772E-3</v>
      </c>
      <c r="AU116" s="140">
        <f t="shared" si="169"/>
        <v>4.2281601013579237E-3</v>
      </c>
      <c r="AV116" s="140">
        <f t="shared" si="169"/>
        <v>4.2944922648801911E-3</v>
      </c>
      <c r="AW116" s="140">
        <f t="shared" si="169"/>
        <v>4.3627147443000211E-3</v>
      </c>
      <c r="AX116" s="140">
        <f t="shared" si="169"/>
        <v>4.432779843640329E-3</v>
      </c>
      <c r="AY116" s="140">
        <f t="shared" si="169"/>
        <v>4.5052006436217679E-3</v>
      </c>
      <c r="AZ116" s="140">
        <f t="shared" si="169"/>
        <v>4.5798834637460414E-3</v>
      </c>
      <c r="BA116" s="140">
        <f t="shared" si="169"/>
        <v>4.6569050911516412E-3</v>
      </c>
      <c r="BB116" s="140">
        <f t="shared" si="169"/>
        <v>4.7360989592860302E-3</v>
      </c>
      <c r="BC116" s="140">
        <f t="shared" si="169"/>
        <v>4.8179463739826678E-3</v>
      </c>
      <c r="BD116" s="140">
        <f t="shared" si="169"/>
        <v>4.9022550634132758E-3</v>
      </c>
      <c r="BE116" s="140">
        <f t="shared" si="169"/>
        <v>4.9890365105459376E-3</v>
      </c>
      <c r="BF116" s="140">
        <f t="shared" si="169"/>
        <v>5.0782902973823332E-3</v>
      </c>
      <c r="BG116" s="140">
        <f t="shared" si="169"/>
        <v>5.1700055348479074E-3</v>
      </c>
      <c r="BH116" s="140">
        <f t="shared" si="169"/>
        <v>5.2641621484057349E-3</v>
      </c>
      <c r="BI116" s="140">
        <f t="shared" si="169"/>
        <v>5.3607320334398273E-3</v>
      </c>
      <c r="BJ116" s="140">
        <f t="shared" si="169"/>
        <v>5.4594019802538737E-3</v>
      </c>
      <c r="BK116" s="140">
        <f t="shared" si="169"/>
        <v>5.5606806278998208E-3</v>
      </c>
      <c r="BL116" s="140">
        <f t="shared" si="169"/>
        <v>5.6642500477387843E-3</v>
      </c>
      <c r="BM116" s="140">
        <f t="shared" si="169"/>
        <v>5.7700593969992921E-3</v>
      </c>
      <c r="BN116" s="140">
        <f t="shared" si="169"/>
        <v>5.8777510714252933E-3</v>
      </c>
      <c r="BO116" s="140">
        <f t="shared" ref="BO116:CB116" si="170">IF(BO114&lt;0,0,$B$5+$B$6*((1-EXP(-BO115/$B$9))/(BO115/$B$9))+$B$7*((1-EXP(-BO115/$B$9))/(BO115/$B$9)-EXP(-BO115/$B$9))+$B$8*((1-EXP(-BO115/$B$10))/(BO115/$B$10)-EXP(-BO115/$B$10)))</f>
        <v>5.9878673179259399E-3</v>
      </c>
      <c r="BP116" s="140">
        <f t="shared" si="170"/>
        <v>6.1000506719639108E-3</v>
      </c>
      <c r="BQ116" s="140">
        <f t="shared" si="170"/>
        <v>6.2142384595687827E-3</v>
      </c>
      <c r="BR116" s="140">
        <f t="shared" si="170"/>
        <v>6.3300410582425963E-3</v>
      </c>
      <c r="BS116" s="140">
        <f t="shared" si="170"/>
        <v>6.4480379844223876E-3</v>
      </c>
      <c r="BT116" s="140">
        <f t="shared" si="170"/>
        <v>6.5678425442372117E-3</v>
      </c>
      <c r="BU116" s="140">
        <f t="shared" si="170"/>
        <v>6.6893872420803677E-3</v>
      </c>
      <c r="BV116" s="140">
        <f t="shared" si="170"/>
        <v>6.8122596263694261E-3</v>
      </c>
      <c r="BW116" s="140">
        <f t="shared" si="170"/>
        <v>6.9370762611428299E-3</v>
      </c>
      <c r="BX116" s="140">
        <f t="shared" si="170"/>
        <v>7.063429080417797E-3</v>
      </c>
      <c r="BY116" s="140">
        <f t="shared" si="170"/>
        <v>7.1912502060597558E-3</v>
      </c>
      <c r="BZ116" s="140">
        <f t="shared" si="170"/>
        <v>7.3201113167873644E-3</v>
      </c>
      <c r="CA116" s="140">
        <f t="shared" si="170"/>
        <v>7.4506634963954974E-3</v>
      </c>
      <c r="CB116" s="140">
        <f t="shared" si="170"/>
        <v>7.5824834177892694E-3</v>
      </c>
      <c r="CC116" s="17"/>
      <c r="CD116" s="17"/>
      <c r="CE116" s="17"/>
    </row>
    <row r="117" spans="1:83">
      <c r="A117" s="16" t="s">
        <v>44</v>
      </c>
      <c r="B117" s="140">
        <f>EXP(-B116*B115)</f>
        <v>1.0056456236810771</v>
      </c>
      <c r="C117" s="140">
        <f t="shared" ref="C117:AR117" si="171">EXP(-C116*C115)</f>
        <v>1.0137327073228135</v>
      </c>
      <c r="D117" s="140">
        <f t="shared" si="171"/>
        <v>1.0216500388507441</v>
      </c>
      <c r="E117" s="140">
        <f t="shared" si="171"/>
        <v>1.0285819470681914</v>
      </c>
      <c r="F117" s="140">
        <f t="shared" si="171"/>
        <v>1.0340379426066733</v>
      </c>
      <c r="G117" s="140">
        <f t="shared" si="171"/>
        <v>1.037816488188102</v>
      </c>
      <c r="H117" s="140">
        <f t="shared" si="171"/>
        <v>1.039841667921934</v>
      </c>
      <c r="I117" s="140">
        <f t="shared" si="171"/>
        <v>1.0401737616569959</v>
      </c>
      <c r="J117" s="140">
        <f t="shared" si="171"/>
        <v>1.0389544896628042</v>
      </c>
      <c r="K117" s="140">
        <f t="shared" si="171"/>
        <v>1.0363566005136853</v>
      </c>
      <c r="L117" s="140">
        <f t="shared" si="171"/>
        <v>1.032581224189111</v>
      </c>
      <c r="M117" s="140">
        <f t="shared" si="171"/>
        <v>1.0278312008159647</v>
      </c>
      <c r="N117" s="140">
        <f t="shared" si="171"/>
        <v>1.0223172764770634</v>
      </c>
      <c r="O117" s="140">
        <f t="shared" si="171"/>
        <v>1.016187309334909</v>
      </c>
      <c r="P117" s="140">
        <f t="shared" si="171"/>
        <v>1.0096152046384028</v>
      </c>
      <c r="Q117" s="140">
        <f t="shared" si="171"/>
        <v>1.0027393463855121</v>
      </c>
      <c r="R117" s="140">
        <f t="shared" si="171"/>
        <v>0.99569663725254742</v>
      </c>
      <c r="S117" s="140">
        <f t="shared" si="171"/>
        <v>0.9885444334293304</v>
      </c>
      <c r="T117" s="140">
        <f t="shared" si="171"/>
        <v>0.98138021077586868</v>
      </c>
      <c r="U117" s="140">
        <f t="shared" si="171"/>
        <v>0.97426515681677306</v>
      </c>
      <c r="V117" s="140">
        <f t="shared" si="171"/>
        <v>0.96726493127132707</v>
      </c>
      <c r="W117" s="140">
        <f t="shared" si="171"/>
        <v>0.96037394777396934</v>
      </c>
      <c r="X117" s="140">
        <f t="shared" si="171"/>
        <v>0.95363441213365807</v>
      </c>
      <c r="Y117" s="140">
        <f t="shared" si="171"/>
        <v>0.94705968609544877</v>
      </c>
      <c r="Z117" s="140">
        <f t="shared" si="171"/>
        <v>0.94067307080611229</v>
      </c>
      <c r="AA117" s="140">
        <f t="shared" si="171"/>
        <v>0.93443852862880938</v>
      </c>
      <c r="AB117" s="140">
        <f t="shared" si="171"/>
        <v>0.9283686377394208</v>
      </c>
      <c r="AC117" s="140">
        <f t="shared" si="171"/>
        <v>0.92245400008471423</v>
      </c>
      <c r="AD117" s="140">
        <f t="shared" si="171"/>
        <v>0.91669801496418413</v>
      </c>
      <c r="AE117" s="140">
        <f t="shared" si="171"/>
        <v>0.91105391231145005</v>
      </c>
      <c r="AF117" s="140">
        <f t="shared" si="171"/>
        <v>0.90552152930751517</v>
      </c>
      <c r="AG117" s="140">
        <f t="shared" si="171"/>
        <v>0.90008335794973504</v>
      </c>
      <c r="AH117" s="140">
        <f t="shared" si="171"/>
        <v>0.8947360203218242</v>
      </c>
      <c r="AI117" s="140">
        <f t="shared" si="171"/>
        <v>0.88943127403628996</v>
      </c>
      <c r="AJ117" s="140">
        <f t="shared" si="171"/>
        <v>0.88416560532536037</v>
      </c>
      <c r="AK117" s="140">
        <f t="shared" si="171"/>
        <v>0.87892074166027745</v>
      </c>
      <c r="AL117" s="140">
        <f t="shared" si="171"/>
        <v>0.87369341475543327</v>
      </c>
      <c r="AM117" s="140">
        <f t="shared" si="171"/>
        <v>0.868437291191404</v>
      </c>
      <c r="AN117" s="140">
        <f t="shared" si="171"/>
        <v>0.86315039124056714</v>
      </c>
      <c r="AO117" s="140">
        <f t="shared" si="171"/>
        <v>0.85781699321633731</v>
      </c>
      <c r="AP117" s="140">
        <f t="shared" si="171"/>
        <v>0.85243734960697704</v>
      </c>
      <c r="AQ117" s="140">
        <f t="shared" si="171"/>
        <v>0.84696763800172259</v>
      </c>
      <c r="AR117" s="140">
        <f t="shared" si="171"/>
        <v>0.84140985480447605</v>
      </c>
      <c r="AS117" s="140">
        <f>EXP(-AS116*AS115)</f>
        <v>0.83575211985798548</v>
      </c>
      <c r="AT117" s="140">
        <f t="shared" ref="AT117:CA117" si="172">EXP(-AT116*AT115)</f>
        <v>0.82999977299364469</v>
      </c>
      <c r="AU117" s="140">
        <f t="shared" si="172"/>
        <v>0.8241109834196394</v>
      </c>
      <c r="AV117" s="140">
        <f t="shared" si="172"/>
        <v>0.81809284814719352</v>
      </c>
      <c r="AW117" s="140">
        <f t="shared" si="172"/>
        <v>0.81193763359116666</v>
      </c>
      <c r="AX117" s="140">
        <f t="shared" si="172"/>
        <v>0.805656329682645</v>
      </c>
      <c r="AY117" s="140">
        <f t="shared" si="172"/>
        <v>0.79920824748894159</v>
      </c>
      <c r="AZ117" s="140">
        <f t="shared" si="172"/>
        <v>0.79260595438285752</v>
      </c>
      <c r="BA117" s="140">
        <f t="shared" si="172"/>
        <v>0.78584568254622433</v>
      </c>
      <c r="BB117" s="140">
        <f t="shared" si="172"/>
        <v>0.77894404553562624</v>
      </c>
      <c r="BC117" s="140">
        <f t="shared" si="172"/>
        <v>0.77186066236098771</v>
      </c>
      <c r="BD117" s="140">
        <f t="shared" si="172"/>
        <v>0.76461346500985217</v>
      </c>
      <c r="BE117" s="140">
        <f t="shared" si="172"/>
        <v>0.75720222058219988</v>
      </c>
      <c r="BF117" s="140">
        <f t="shared" si="172"/>
        <v>0.74962749586481514</v>
      </c>
      <c r="BG117" s="140">
        <f t="shared" si="172"/>
        <v>0.74189062042211573</v>
      </c>
      <c r="BH117" s="140">
        <f t="shared" si="172"/>
        <v>0.73399364859440153</v>
      </c>
      <c r="BI117" s="140">
        <f t="shared" si="172"/>
        <v>0.72593932061120658</v>
      </c>
      <c r="BJ117" s="140">
        <f t="shared" si="172"/>
        <v>0.71775403354493805</v>
      </c>
      <c r="BK117" s="140">
        <f t="shared" si="172"/>
        <v>0.70939616963338625</v>
      </c>
      <c r="BL117" s="140">
        <f t="shared" si="172"/>
        <v>0.70089287401120637</v>
      </c>
      <c r="BM117" s="140">
        <f t="shared" si="172"/>
        <v>0.69224922901246044</v>
      </c>
      <c r="BN117" s="140">
        <f t="shared" si="172"/>
        <v>0.68349536739095351</v>
      </c>
      <c r="BO117" s="140">
        <f t="shared" si="172"/>
        <v>0.67458851779538997</v>
      </c>
      <c r="BP117" s="140">
        <f t="shared" si="172"/>
        <v>0.66555929373262146</v>
      </c>
      <c r="BQ117" s="140">
        <f t="shared" si="172"/>
        <v>0.65641447341914394</v>
      </c>
      <c r="BR117" s="140">
        <f t="shared" si="172"/>
        <v>0.6471870071200444</v>
      </c>
      <c r="BS117" s="140">
        <f t="shared" si="172"/>
        <v>0.63783286021267482</v>
      </c>
      <c r="BT117" s="140">
        <f t="shared" si="172"/>
        <v>0.62838522562510424</v>
      </c>
      <c r="BU117" s="140">
        <f t="shared" si="172"/>
        <v>0.61885195179517671</v>
      </c>
      <c r="BV117" s="140">
        <f t="shared" si="172"/>
        <v>0.60926785943576922</v>
      </c>
      <c r="BW117" s="140">
        <f t="shared" si="172"/>
        <v>0.59958770039693166</v>
      </c>
      <c r="BX117" s="140">
        <f t="shared" si="172"/>
        <v>0.58984633770039152</v>
      </c>
      <c r="BY117" s="140">
        <f t="shared" si="172"/>
        <v>0.58005211580977201</v>
      </c>
      <c r="BZ117" s="140">
        <f t="shared" si="172"/>
        <v>0.57024080542556255</v>
      </c>
      <c r="CA117" s="140">
        <f t="shared" si="172"/>
        <v>0.56036612786956985</v>
      </c>
      <c r="CB117" s="140">
        <f>EXP(-CB116*CB115)</f>
        <v>0.55046373887416844</v>
      </c>
      <c r="CC117" s="17"/>
      <c r="CD117" s="17"/>
      <c r="CE117" s="17"/>
    </row>
    <row r="118" spans="1:83">
      <c r="A118" s="17"/>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17"/>
      <c r="CD118" s="17"/>
      <c r="CE118" s="17"/>
    </row>
    <row r="119" spans="1:83">
      <c r="A119" s="16" t="s">
        <v>40</v>
      </c>
      <c r="B119" s="140">
        <f t="shared" ref="B119:BM119" si="173">DAYS360($B$3,B44)</f>
        <v>273</v>
      </c>
      <c r="C119" s="140">
        <f t="shared" si="173"/>
        <v>633</v>
      </c>
      <c r="D119" s="140">
        <f t="shared" si="173"/>
        <v>993</v>
      </c>
      <c r="E119" s="140">
        <f t="shared" si="173"/>
        <v>1353</v>
      </c>
      <c r="F119" s="140">
        <f t="shared" si="173"/>
        <v>1712</v>
      </c>
      <c r="G119" s="140">
        <f t="shared" si="173"/>
        <v>2072</v>
      </c>
      <c r="H119" s="140">
        <f t="shared" si="173"/>
        <v>2432</v>
      </c>
      <c r="I119" s="140">
        <f t="shared" si="173"/>
        <v>2792</v>
      </c>
      <c r="J119" s="140">
        <f t="shared" si="173"/>
        <v>3151</v>
      </c>
      <c r="K119" s="140">
        <f t="shared" si="173"/>
        <v>3511</v>
      </c>
      <c r="L119" s="140">
        <f t="shared" si="173"/>
        <v>3871</v>
      </c>
      <c r="M119" s="140">
        <f t="shared" si="173"/>
        <v>4231</v>
      </c>
      <c r="N119" s="140">
        <f t="shared" si="173"/>
        <v>4590</v>
      </c>
      <c r="O119" s="140">
        <f t="shared" si="173"/>
        <v>4950</v>
      </c>
      <c r="P119" s="140">
        <f t="shared" si="173"/>
        <v>5310</v>
      </c>
      <c r="Q119" s="140">
        <f t="shared" si="173"/>
        <v>5670</v>
      </c>
      <c r="R119" s="140">
        <f t="shared" si="173"/>
        <v>6029</v>
      </c>
      <c r="S119" s="140">
        <f t="shared" si="173"/>
        <v>6389</v>
      </c>
      <c r="T119" s="140">
        <f t="shared" si="173"/>
        <v>6749</v>
      </c>
      <c r="U119" s="140">
        <f t="shared" si="173"/>
        <v>7109</v>
      </c>
      <c r="V119" s="140">
        <f t="shared" si="173"/>
        <v>7469</v>
      </c>
      <c r="W119" s="140">
        <f t="shared" si="173"/>
        <v>7829</v>
      </c>
      <c r="X119" s="140">
        <f t="shared" si="173"/>
        <v>8189</v>
      </c>
      <c r="Y119" s="140">
        <f t="shared" si="173"/>
        <v>8549</v>
      </c>
      <c r="Z119" s="140">
        <f t="shared" si="173"/>
        <v>8908</v>
      </c>
      <c r="AA119" s="140">
        <f t="shared" si="173"/>
        <v>9268</v>
      </c>
      <c r="AB119" s="140">
        <f t="shared" si="173"/>
        <v>9628</v>
      </c>
      <c r="AC119" s="140">
        <f t="shared" si="173"/>
        <v>9988</v>
      </c>
      <c r="AD119" s="140">
        <f t="shared" si="173"/>
        <v>10347</v>
      </c>
      <c r="AE119" s="140">
        <f t="shared" si="173"/>
        <v>10707</v>
      </c>
      <c r="AF119" s="140">
        <f t="shared" si="173"/>
        <v>11067</v>
      </c>
      <c r="AG119" s="140">
        <f t="shared" si="173"/>
        <v>11427</v>
      </c>
      <c r="AH119" s="140">
        <f t="shared" si="173"/>
        <v>11786</v>
      </c>
      <c r="AI119" s="140">
        <f t="shared" si="173"/>
        <v>12146</v>
      </c>
      <c r="AJ119" s="140">
        <f t="shared" si="173"/>
        <v>12506</v>
      </c>
      <c r="AK119" s="140">
        <f t="shared" si="173"/>
        <v>12866</v>
      </c>
      <c r="AL119" s="140">
        <f t="shared" si="173"/>
        <v>13225</v>
      </c>
      <c r="AM119" s="140">
        <f t="shared" si="173"/>
        <v>13585</v>
      </c>
      <c r="AN119" s="140">
        <f t="shared" si="173"/>
        <v>13945</v>
      </c>
      <c r="AO119" s="140">
        <f t="shared" si="173"/>
        <v>14305</v>
      </c>
      <c r="AP119" s="140">
        <f t="shared" si="173"/>
        <v>14664</v>
      </c>
      <c r="AQ119" s="140">
        <f t="shared" si="173"/>
        <v>15024</v>
      </c>
      <c r="AR119" s="140">
        <f t="shared" si="173"/>
        <v>15384</v>
      </c>
      <c r="AS119" s="140">
        <f t="shared" si="173"/>
        <v>15744</v>
      </c>
      <c r="AT119" s="140">
        <f t="shared" si="173"/>
        <v>16103</v>
      </c>
      <c r="AU119" s="140">
        <f t="shared" si="173"/>
        <v>16463</v>
      </c>
      <c r="AV119" s="140">
        <f t="shared" si="173"/>
        <v>16823</v>
      </c>
      <c r="AW119" s="140">
        <f t="shared" si="173"/>
        <v>17183</v>
      </c>
      <c r="AX119" s="140">
        <f t="shared" si="173"/>
        <v>17542</v>
      </c>
      <c r="AY119" s="140">
        <f t="shared" si="173"/>
        <v>17902</v>
      </c>
      <c r="AZ119" s="140">
        <f t="shared" si="173"/>
        <v>18262</v>
      </c>
      <c r="BA119" s="140">
        <f t="shared" si="173"/>
        <v>18622</v>
      </c>
      <c r="BB119" s="140">
        <f t="shared" si="173"/>
        <v>18981</v>
      </c>
      <c r="BC119" s="140">
        <f t="shared" si="173"/>
        <v>19341</v>
      </c>
      <c r="BD119" s="140">
        <f t="shared" si="173"/>
        <v>19701</v>
      </c>
      <c r="BE119" s="140">
        <f t="shared" si="173"/>
        <v>20061</v>
      </c>
      <c r="BF119" s="140">
        <f t="shared" si="173"/>
        <v>20420</v>
      </c>
      <c r="BG119" s="140">
        <f t="shared" si="173"/>
        <v>20780</v>
      </c>
      <c r="BH119" s="140">
        <f t="shared" si="173"/>
        <v>21140</v>
      </c>
      <c r="BI119" s="140">
        <f t="shared" si="173"/>
        <v>21500</v>
      </c>
      <c r="BJ119" s="140">
        <f t="shared" si="173"/>
        <v>21859</v>
      </c>
      <c r="BK119" s="140">
        <f t="shared" si="173"/>
        <v>22219</v>
      </c>
      <c r="BL119" s="140">
        <f t="shared" si="173"/>
        <v>22579</v>
      </c>
      <c r="BM119" s="140">
        <f t="shared" si="173"/>
        <v>22939</v>
      </c>
      <c r="BN119" s="140">
        <f t="shared" ref="BN119:CB119" si="174">DAYS360($B$3,BN44)</f>
        <v>23298</v>
      </c>
      <c r="BO119" s="140">
        <f t="shared" si="174"/>
        <v>23658</v>
      </c>
      <c r="BP119" s="140">
        <f t="shared" si="174"/>
        <v>24018</v>
      </c>
      <c r="BQ119" s="140">
        <f t="shared" si="174"/>
        <v>24378</v>
      </c>
      <c r="BR119" s="140">
        <f t="shared" si="174"/>
        <v>24737</v>
      </c>
      <c r="BS119" s="140">
        <f t="shared" si="174"/>
        <v>25097</v>
      </c>
      <c r="BT119" s="140">
        <f t="shared" si="174"/>
        <v>25457</v>
      </c>
      <c r="BU119" s="140">
        <f t="shared" si="174"/>
        <v>25817</v>
      </c>
      <c r="BV119" s="140">
        <f t="shared" si="174"/>
        <v>26176</v>
      </c>
      <c r="BW119" s="140">
        <f t="shared" si="174"/>
        <v>26536</v>
      </c>
      <c r="BX119" s="140">
        <f t="shared" si="174"/>
        <v>26896</v>
      </c>
      <c r="BY119" s="140">
        <f t="shared" si="174"/>
        <v>27256</v>
      </c>
      <c r="BZ119" s="140">
        <f t="shared" si="174"/>
        <v>27615</v>
      </c>
      <c r="CA119" s="140">
        <f t="shared" si="174"/>
        <v>27975</v>
      </c>
      <c r="CB119" s="140">
        <f t="shared" si="174"/>
        <v>28335</v>
      </c>
      <c r="CC119" s="17"/>
      <c r="CD119" s="17"/>
      <c r="CE119" s="17"/>
    </row>
    <row r="120" spans="1:83">
      <c r="A120" s="16" t="s">
        <v>41</v>
      </c>
      <c r="B120" s="140">
        <f>B119/360</f>
        <v>0.7583333333333333</v>
      </c>
      <c r="C120" s="140">
        <f t="shared" ref="C120:BN120" si="175">C119/360</f>
        <v>1.7583333333333333</v>
      </c>
      <c r="D120" s="140">
        <f t="shared" si="175"/>
        <v>2.7583333333333333</v>
      </c>
      <c r="E120" s="140">
        <f t="shared" si="175"/>
        <v>3.7583333333333333</v>
      </c>
      <c r="F120" s="140">
        <f t="shared" si="175"/>
        <v>4.7555555555555555</v>
      </c>
      <c r="G120" s="140">
        <f t="shared" si="175"/>
        <v>5.7555555555555555</v>
      </c>
      <c r="H120" s="140">
        <f t="shared" si="175"/>
        <v>6.7555555555555555</v>
      </c>
      <c r="I120" s="140">
        <f t="shared" si="175"/>
        <v>7.7555555555555555</v>
      </c>
      <c r="J120" s="140">
        <f t="shared" si="175"/>
        <v>8.7527777777777782</v>
      </c>
      <c r="K120" s="140">
        <f t="shared" si="175"/>
        <v>9.7527777777777782</v>
      </c>
      <c r="L120" s="140">
        <f t="shared" si="175"/>
        <v>10.752777777777778</v>
      </c>
      <c r="M120" s="140">
        <f t="shared" si="175"/>
        <v>11.752777777777778</v>
      </c>
      <c r="N120" s="140">
        <f t="shared" si="175"/>
        <v>12.75</v>
      </c>
      <c r="O120" s="140">
        <f t="shared" si="175"/>
        <v>13.75</v>
      </c>
      <c r="P120" s="140">
        <f t="shared" si="175"/>
        <v>14.75</v>
      </c>
      <c r="Q120" s="140">
        <f t="shared" si="175"/>
        <v>15.75</v>
      </c>
      <c r="R120" s="140">
        <f t="shared" si="175"/>
        <v>16.747222222222224</v>
      </c>
      <c r="S120" s="140">
        <f t="shared" si="175"/>
        <v>17.747222222222224</v>
      </c>
      <c r="T120" s="140">
        <f t="shared" si="175"/>
        <v>18.747222222222224</v>
      </c>
      <c r="U120" s="140">
        <f t="shared" si="175"/>
        <v>19.747222222222224</v>
      </c>
      <c r="V120" s="140">
        <f t="shared" si="175"/>
        <v>20.747222222222224</v>
      </c>
      <c r="W120" s="140">
        <f t="shared" si="175"/>
        <v>21.747222222222224</v>
      </c>
      <c r="X120" s="140">
        <f t="shared" si="175"/>
        <v>22.747222222222224</v>
      </c>
      <c r="Y120" s="140">
        <f t="shared" si="175"/>
        <v>23.747222222222224</v>
      </c>
      <c r="Z120" s="140">
        <f t="shared" si="175"/>
        <v>24.744444444444444</v>
      </c>
      <c r="AA120" s="140">
        <f t="shared" si="175"/>
        <v>25.744444444444444</v>
      </c>
      <c r="AB120" s="140">
        <f t="shared" si="175"/>
        <v>26.744444444444444</v>
      </c>
      <c r="AC120" s="140">
        <f t="shared" si="175"/>
        <v>27.744444444444444</v>
      </c>
      <c r="AD120" s="140">
        <f t="shared" si="175"/>
        <v>28.741666666666667</v>
      </c>
      <c r="AE120" s="140">
        <f t="shared" si="175"/>
        <v>29.741666666666667</v>
      </c>
      <c r="AF120" s="140">
        <f t="shared" si="175"/>
        <v>30.741666666666667</v>
      </c>
      <c r="AG120" s="140">
        <f t="shared" si="175"/>
        <v>31.741666666666667</v>
      </c>
      <c r="AH120" s="140">
        <f t="shared" si="175"/>
        <v>32.738888888888887</v>
      </c>
      <c r="AI120" s="140">
        <f t="shared" si="175"/>
        <v>33.738888888888887</v>
      </c>
      <c r="AJ120" s="140">
        <f t="shared" si="175"/>
        <v>34.738888888888887</v>
      </c>
      <c r="AK120" s="140">
        <f t="shared" si="175"/>
        <v>35.738888888888887</v>
      </c>
      <c r="AL120" s="140">
        <f t="shared" si="175"/>
        <v>36.736111111111114</v>
      </c>
      <c r="AM120" s="140">
        <f t="shared" si="175"/>
        <v>37.736111111111114</v>
      </c>
      <c r="AN120" s="140">
        <f t="shared" si="175"/>
        <v>38.736111111111114</v>
      </c>
      <c r="AO120" s="140">
        <f t="shared" si="175"/>
        <v>39.736111111111114</v>
      </c>
      <c r="AP120" s="140">
        <f t="shared" si="175"/>
        <v>40.733333333333334</v>
      </c>
      <c r="AQ120" s="140">
        <f t="shared" si="175"/>
        <v>41.733333333333334</v>
      </c>
      <c r="AR120" s="140">
        <f t="shared" si="175"/>
        <v>42.733333333333334</v>
      </c>
      <c r="AS120" s="140">
        <f t="shared" si="175"/>
        <v>43.733333333333334</v>
      </c>
      <c r="AT120" s="140">
        <f t="shared" si="175"/>
        <v>44.730555555555554</v>
      </c>
      <c r="AU120" s="140">
        <f t="shared" si="175"/>
        <v>45.730555555555554</v>
      </c>
      <c r="AV120" s="140">
        <f t="shared" si="175"/>
        <v>46.730555555555554</v>
      </c>
      <c r="AW120" s="140">
        <f t="shared" si="175"/>
        <v>47.730555555555554</v>
      </c>
      <c r="AX120" s="140">
        <f t="shared" si="175"/>
        <v>48.727777777777774</v>
      </c>
      <c r="AY120" s="140">
        <f t="shared" si="175"/>
        <v>49.727777777777774</v>
      </c>
      <c r="AZ120" s="140">
        <f t="shared" si="175"/>
        <v>50.727777777777774</v>
      </c>
      <c r="BA120" s="140">
        <f t="shared" si="175"/>
        <v>51.727777777777774</v>
      </c>
      <c r="BB120" s="140">
        <f t="shared" si="175"/>
        <v>52.725000000000001</v>
      </c>
      <c r="BC120" s="140">
        <f t="shared" si="175"/>
        <v>53.725000000000001</v>
      </c>
      <c r="BD120" s="140">
        <f t="shared" si="175"/>
        <v>54.725000000000001</v>
      </c>
      <c r="BE120" s="140">
        <f t="shared" si="175"/>
        <v>55.725000000000001</v>
      </c>
      <c r="BF120" s="140">
        <f t="shared" si="175"/>
        <v>56.722222222222221</v>
      </c>
      <c r="BG120" s="140">
        <f t="shared" si="175"/>
        <v>57.722222222222221</v>
      </c>
      <c r="BH120" s="140">
        <f t="shared" si="175"/>
        <v>58.722222222222221</v>
      </c>
      <c r="BI120" s="140">
        <f t="shared" si="175"/>
        <v>59.722222222222221</v>
      </c>
      <c r="BJ120" s="140">
        <f t="shared" si="175"/>
        <v>60.719444444444441</v>
      </c>
      <c r="BK120" s="140">
        <f t="shared" si="175"/>
        <v>61.719444444444441</v>
      </c>
      <c r="BL120" s="140">
        <f t="shared" si="175"/>
        <v>62.719444444444441</v>
      </c>
      <c r="BM120" s="140">
        <f t="shared" si="175"/>
        <v>63.719444444444441</v>
      </c>
      <c r="BN120" s="140">
        <f t="shared" si="175"/>
        <v>64.716666666666669</v>
      </c>
      <c r="BO120" s="140">
        <f t="shared" ref="BO120:CB120" si="176">BO119/360</f>
        <v>65.716666666666669</v>
      </c>
      <c r="BP120" s="140">
        <f t="shared" si="176"/>
        <v>66.716666666666669</v>
      </c>
      <c r="BQ120" s="140">
        <f t="shared" si="176"/>
        <v>67.716666666666669</v>
      </c>
      <c r="BR120" s="140">
        <f t="shared" si="176"/>
        <v>68.713888888888889</v>
      </c>
      <c r="BS120" s="140">
        <f t="shared" si="176"/>
        <v>69.713888888888889</v>
      </c>
      <c r="BT120" s="140">
        <f t="shared" si="176"/>
        <v>70.713888888888889</v>
      </c>
      <c r="BU120" s="140">
        <f t="shared" si="176"/>
        <v>71.713888888888889</v>
      </c>
      <c r="BV120" s="140">
        <f t="shared" si="176"/>
        <v>72.711111111111109</v>
      </c>
      <c r="BW120" s="140">
        <f t="shared" si="176"/>
        <v>73.711111111111109</v>
      </c>
      <c r="BX120" s="140">
        <f t="shared" si="176"/>
        <v>74.711111111111109</v>
      </c>
      <c r="BY120" s="140">
        <f t="shared" si="176"/>
        <v>75.711111111111109</v>
      </c>
      <c r="BZ120" s="140">
        <f t="shared" si="176"/>
        <v>76.708333333333329</v>
      </c>
      <c r="CA120" s="140">
        <f t="shared" si="176"/>
        <v>77.708333333333329</v>
      </c>
      <c r="CB120" s="140">
        <f t="shared" si="176"/>
        <v>78.708333333333329</v>
      </c>
      <c r="CC120" s="17"/>
      <c r="CD120" s="17"/>
      <c r="CE120" s="17"/>
    </row>
    <row r="121" spans="1:83">
      <c r="A121" s="16" t="s">
        <v>43</v>
      </c>
      <c r="B121" s="140">
        <f>IF(B119&lt;0,0,$B$5+$B$6*((1-EXP(-B120/$B$9))/(B120/$B$9))+$B$7*((1-EXP(-B120/$B$9))/(B120/$B$9)-EXP(-B120/$B$9))+$B$8*((1-EXP(-B120/$B$10))/(B120/$B$10)-EXP(-B120/$B$10)))</f>
        <v>-7.1688150652387669E-3</v>
      </c>
      <c r="C121" s="140">
        <f t="shared" ref="C121:BN121" si="177">IF(C119&lt;0,0,$B$5+$B$6*((1-EXP(-C120/$B$9))/(C120/$B$9))+$B$7*((1-EXP(-C120/$B$9))/(C120/$B$9)-EXP(-C120/$B$9))+$B$8*((1-EXP(-C120/$B$10))/(C120/$B$10)-EXP(-C120/$B$10)))</f>
        <v>-7.6422694003324453E-3</v>
      </c>
      <c r="D121" s="140">
        <f t="shared" si="177"/>
        <v>-7.6982889112348265E-3</v>
      </c>
      <c r="E121" s="140">
        <f t="shared" si="177"/>
        <v>-7.4577117489040617E-3</v>
      </c>
      <c r="F121" s="140">
        <f t="shared" si="177"/>
        <v>-7.0146523791857372E-3</v>
      </c>
      <c r="G121" s="140">
        <f t="shared" si="177"/>
        <v>-6.437012224584461E-3</v>
      </c>
      <c r="H121" s="140">
        <f t="shared" si="177"/>
        <v>-5.7789524832293025E-3</v>
      </c>
      <c r="I121" s="140">
        <f t="shared" si="177"/>
        <v>-5.0800603825542009E-3</v>
      </c>
      <c r="J121" s="140">
        <f t="shared" si="177"/>
        <v>-4.371322172460097E-3</v>
      </c>
      <c r="K121" s="140">
        <f t="shared" si="177"/>
        <v>-3.6695829055635159E-3</v>
      </c>
      <c r="L121" s="140">
        <f t="shared" si="177"/>
        <v>-2.9913594549706973E-3</v>
      </c>
      <c r="M121" s="140">
        <f t="shared" si="177"/>
        <v>-2.3463807323049254E-3</v>
      </c>
      <c r="N121" s="140">
        <f t="shared" si="177"/>
        <v>-1.7423478575415326E-3</v>
      </c>
      <c r="O121" s="140">
        <f t="shared" si="177"/>
        <v>-1.1792292195831021E-3</v>
      </c>
      <c r="P121" s="140">
        <f t="shared" si="177"/>
        <v>-6.6008070840795595E-4</v>
      </c>
      <c r="Q121" s="140">
        <f t="shared" si="177"/>
        <v>-1.8474443657637979E-4</v>
      </c>
      <c r="R121" s="140">
        <f t="shared" si="177"/>
        <v>2.4683982732720891E-4</v>
      </c>
      <c r="S121" s="140">
        <f t="shared" si="177"/>
        <v>6.3899498939186394E-4</v>
      </c>
      <c r="T121" s="140">
        <f t="shared" si="177"/>
        <v>9.9285196896168812E-4</v>
      </c>
      <c r="U121" s="140">
        <f t="shared" si="177"/>
        <v>1.3110828533788137E-3</v>
      </c>
      <c r="V121" s="140">
        <f t="shared" si="177"/>
        <v>1.5964993330227599E-3</v>
      </c>
      <c r="W121" s="140">
        <f t="shared" si="177"/>
        <v>1.8519490533317993E-3</v>
      </c>
      <c r="X121" s="140">
        <f t="shared" si="177"/>
        <v>2.0802408619048467E-3</v>
      </c>
      <c r="Y121" s="140">
        <f t="shared" si="177"/>
        <v>2.2840923142404511E-3</v>
      </c>
      <c r="Z121" s="140">
        <f t="shared" si="177"/>
        <v>2.4656166254064908E-3</v>
      </c>
      <c r="AA121" s="140">
        <f t="shared" si="177"/>
        <v>2.6282611593266211E-3</v>
      </c>
      <c r="AB121" s="140">
        <f t="shared" si="177"/>
        <v>2.7737709596839626E-3</v>
      </c>
      <c r="AC121" s="140">
        <f t="shared" si="177"/>
        <v>2.9042581892076216E-3</v>
      </c>
      <c r="AD121" s="140">
        <f t="shared" si="177"/>
        <v>3.0213572495792762E-3</v>
      </c>
      <c r="AE121" s="140">
        <f t="shared" si="177"/>
        <v>3.127496058874208E-3</v>
      </c>
      <c r="AF121" s="140">
        <f t="shared" si="177"/>
        <v>3.2239523773922515E-3</v>
      </c>
      <c r="AG121" s="140">
        <f t="shared" si="177"/>
        <v>3.3121965504532593E-3</v>
      </c>
      <c r="AH121" s="140">
        <f t="shared" si="177"/>
        <v>3.3933392337276158E-3</v>
      </c>
      <c r="AI121" s="140">
        <f t="shared" si="177"/>
        <v>3.4690254267308943E-3</v>
      </c>
      <c r="AJ121" s="140">
        <f t="shared" si="177"/>
        <v>3.5400928653379037E-3</v>
      </c>
      <c r="AK121" s="140">
        <f t="shared" si="177"/>
        <v>3.6075006495930977E-3</v>
      </c>
      <c r="AL121" s="140">
        <f t="shared" si="177"/>
        <v>3.6719272141403705E-3</v>
      </c>
      <c r="AM121" s="140">
        <f t="shared" si="177"/>
        <v>3.7344890779611936E-3</v>
      </c>
      <c r="AN121" s="140">
        <f t="shared" si="177"/>
        <v>3.7956756401081315E-3</v>
      </c>
      <c r="AO121" s="140">
        <f t="shared" si="177"/>
        <v>3.856080096932675E-3</v>
      </c>
      <c r="AP121" s="140">
        <f t="shared" si="177"/>
        <v>3.9160566889203316E-3</v>
      </c>
      <c r="AQ121" s="140">
        <f t="shared" si="177"/>
        <v>3.976394971582576E-3</v>
      </c>
      <c r="AR121" s="140">
        <f t="shared" si="177"/>
        <v>4.0373256080761255E-3</v>
      </c>
      <c r="AS121" s="140">
        <f t="shared" si="177"/>
        <v>4.0991935499427798E-3</v>
      </c>
      <c r="AT121" s="140">
        <f t="shared" si="177"/>
        <v>4.1621188902043194E-3</v>
      </c>
      <c r="AU121" s="140">
        <f t="shared" si="177"/>
        <v>4.2267061981994189E-3</v>
      </c>
      <c r="AV121" s="140">
        <f t="shared" si="177"/>
        <v>4.2929982918088576E-3</v>
      </c>
      <c r="AW121" s="140">
        <f t="shared" si="177"/>
        <v>4.3611770225296144E-3</v>
      </c>
      <c r="AX121" s="140">
        <f t="shared" si="177"/>
        <v>4.4311954735184074E-3</v>
      </c>
      <c r="AY121" s="140">
        <f t="shared" si="177"/>
        <v>4.5035670406574045E-3</v>
      </c>
      <c r="AZ121" s="140">
        <f t="shared" si="177"/>
        <v>4.5781986833280039E-3</v>
      </c>
      <c r="BA121" s="140">
        <f t="shared" si="177"/>
        <v>4.6551676460292353E-3</v>
      </c>
      <c r="BB121" s="140">
        <f t="shared" si="177"/>
        <v>4.7343079190422903E-3</v>
      </c>
      <c r="BC121" s="140">
        <f t="shared" si="177"/>
        <v>4.8161008692864174E-3</v>
      </c>
      <c r="BD121" s="140">
        <f t="shared" si="177"/>
        <v>4.9003546920631663E-3</v>
      </c>
      <c r="BE121" s="140">
        <f t="shared" si="177"/>
        <v>4.9870811522395898E-3</v>
      </c>
      <c r="BF121" s="140">
        <f t="shared" si="177"/>
        <v>5.0760288885393669E-3</v>
      </c>
      <c r="BG121" s="140">
        <f t="shared" si="177"/>
        <v>5.1676827986272232E-3</v>
      </c>
      <c r="BH121" s="140">
        <f t="shared" si="177"/>
        <v>5.2617786890967813E-3</v>
      </c>
      <c r="BI121" s="140">
        <f t="shared" si="177"/>
        <v>5.3582886429701417E-3</v>
      </c>
      <c r="BJ121" s="140">
        <f t="shared" si="177"/>
        <v>5.4568997759439838E-3</v>
      </c>
      <c r="BK121" s="140">
        <f t="shared" si="177"/>
        <v>5.5581205400529292E-3</v>
      </c>
      <c r="BL121" s="140">
        <f t="shared" si="177"/>
        <v>5.6616332930425617E-3</v>
      </c>
      <c r="BM121" s="140">
        <f t="shared" si="177"/>
        <v>5.7673872955171616E-3</v>
      </c>
      <c r="BN121" s="140">
        <f t="shared" si="177"/>
        <v>5.8750251784650438E-3</v>
      </c>
      <c r="BO121" s="140">
        <f t="shared" ref="BO121:CB121" si="178">IF(BO119&lt;0,0,$B$5+$B$6*((1-EXP(-BO120/$B$9))/(BO120/$B$9))+$B$7*((1-EXP(-BO120/$B$9))/(BO120/$B$9)-EXP(-BO120/$B$9))+$B$8*((1-EXP(-BO120/$B$10))/(BO120/$B$10)-EXP(-BO120/$B$10)))</f>
        <v>5.9850889621208304E-3</v>
      </c>
      <c r="BP121" s="140">
        <f t="shared" si="178"/>
        <v>6.0972213941732668E-3</v>
      </c>
      <c r="BQ121" s="140">
        <f t="shared" si="178"/>
        <v>6.2113598496071204E-3</v>
      </c>
      <c r="BR121" s="140">
        <f t="shared" si="178"/>
        <v>6.3271148748773494E-3</v>
      </c>
      <c r="BS121" s="140">
        <f t="shared" si="178"/>
        <v>6.4450657509264146E-3</v>
      </c>
      <c r="BT121" s="140">
        <f t="shared" si="178"/>
        <v>6.5648259401476158E-3</v>
      </c>
      <c r="BU121" s="140">
        <f t="shared" si="178"/>
        <v>6.6863279611452803E-3</v>
      </c>
      <c r="BV121" s="140">
        <f t="shared" si="178"/>
        <v>6.8091594815511518E-3</v>
      </c>
      <c r="BW121" s="140">
        <f t="shared" si="178"/>
        <v>6.9339368397709593E-3</v>
      </c>
      <c r="BX121" s="140">
        <f t="shared" si="178"/>
        <v>7.060252082962841E-3</v>
      </c>
      <c r="BY121" s="140">
        <f t="shared" si="178"/>
        <v>7.1880373254433472E-3</v>
      </c>
      <c r="BZ121" s="140">
        <f t="shared" si="178"/>
        <v>7.316864327103649E-3</v>
      </c>
      <c r="CA121" s="140">
        <f t="shared" si="178"/>
        <v>7.4473839667484089E-3</v>
      </c>
      <c r="CB121" s="140">
        <f t="shared" si="178"/>
        <v>7.5791729965650097E-3</v>
      </c>
      <c r="CC121" s="17"/>
      <c r="CD121" s="17"/>
      <c r="CE121" s="17"/>
    </row>
    <row r="122" spans="1:83">
      <c r="A122" s="16" t="s">
        <v>44</v>
      </c>
      <c r="B122" s="140">
        <f>EXP(-B121*B120)</f>
        <v>1.0054511551968903</v>
      </c>
      <c r="C122" s="140">
        <f t="shared" ref="C122:AR122" si="179">EXP(-C121*C120)</f>
        <v>1.0135283481120549</v>
      </c>
      <c r="D122" s="140">
        <f t="shared" si="179"/>
        <v>1.0214615020636322</v>
      </c>
      <c r="E122" s="140">
        <f t="shared" si="179"/>
        <v>1.0284250626670972</v>
      </c>
      <c r="F122" s="140">
        <f t="shared" si="179"/>
        <v>1.0339212049704949</v>
      </c>
      <c r="G122" s="140">
        <f t="shared" si="179"/>
        <v>1.037743434715499</v>
      </c>
      <c r="H122" s="140">
        <f t="shared" si="179"/>
        <v>1.0398121112303447</v>
      </c>
      <c r="I122" s="140">
        <f t="shared" si="179"/>
        <v>1.0401851129364306</v>
      </c>
      <c r="J122" s="140">
        <f t="shared" si="179"/>
        <v>1.0390025969354586</v>
      </c>
      <c r="K122" s="140">
        <f t="shared" si="179"/>
        <v>1.0364367481922576</v>
      </c>
      <c r="L122" s="140">
        <f t="shared" si="179"/>
        <v>1.032688322064687</v>
      </c>
      <c r="M122" s="140">
        <f t="shared" si="179"/>
        <v>1.0279602421449867</v>
      </c>
      <c r="N122" s="140">
        <f t="shared" si="179"/>
        <v>1.022463524240051</v>
      </c>
      <c r="O122" s="140">
        <f t="shared" si="179"/>
        <v>1.0163465685504807</v>
      </c>
      <c r="P122" s="140">
        <f t="shared" si="179"/>
        <v>1.0097837413474917</v>
      </c>
      <c r="Q122" s="140">
        <f t="shared" si="179"/>
        <v>1.0029139622343575</v>
      </c>
      <c r="R122" s="140">
        <f t="shared" si="179"/>
        <v>0.99587465128453401</v>
      </c>
      <c r="S122" s="140">
        <f t="shared" si="179"/>
        <v>0.98872367371960779</v>
      </c>
      <c r="T122" s="140">
        <f t="shared" si="179"/>
        <v>0.9815589396370944</v>
      </c>
      <c r="U122" s="140">
        <f t="shared" si="179"/>
        <v>0.97444203415393826</v>
      </c>
      <c r="V122" s="140">
        <f t="shared" si="179"/>
        <v>0.96741963082837579</v>
      </c>
      <c r="W122" s="140">
        <f t="shared" si="179"/>
        <v>0.96052550081291999</v>
      </c>
      <c r="X122" s="140">
        <f t="shared" si="179"/>
        <v>0.95378242349407616</v>
      </c>
      <c r="Y122" s="140">
        <f t="shared" si="179"/>
        <v>0.94720394707592681</v>
      </c>
      <c r="Z122" s="140">
        <f t="shared" si="179"/>
        <v>0.94081353654332522</v>
      </c>
      <c r="AA122" s="140">
        <f t="shared" si="179"/>
        <v>0.93457525708602984</v>
      </c>
      <c r="AB122" s="140">
        <f t="shared" si="179"/>
        <v>0.92850179651599407</v>
      </c>
      <c r="AC122" s="140">
        <f t="shared" si="179"/>
        <v>0.92258383422967971</v>
      </c>
      <c r="AD122" s="140">
        <f t="shared" si="179"/>
        <v>0.91682483651564584</v>
      </c>
      <c r="AE122" s="140">
        <f t="shared" si="179"/>
        <v>0.91117805999400037</v>
      </c>
      <c r="AF122" s="140">
        <f t="shared" si="179"/>
        <v>0.90564338126972743</v>
      </c>
      <c r="AG122" s="140">
        <f t="shared" si="179"/>
        <v>0.90020331209785076</v>
      </c>
      <c r="AH122" s="140">
        <f t="shared" si="179"/>
        <v>0.89485448892194808</v>
      </c>
      <c r="AI122" s="140">
        <f t="shared" si="179"/>
        <v>0.88954866449837044</v>
      </c>
      <c r="AJ122" s="140">
        <f t="shared" si="179"/>
        <v>0.88428232717149891</v>
      </c>
      <c r="AK122" s="140">
        <f t="shared" si="179"/>
        <v>0.87903719691541082</v>
      </c>
      <c r="AL122" s="140">
        <f t="shared" si="179"/>
        <v>0.87380999312599084</v>
      </c>
      <c r="AM122" s="140">
        <f t="shared" si="179"/>
        <v>0.868554368509177</v>
      </c>
      <c r="AN122" s="140">
        <f t="shared" si="179"/>
        <v>0.86326832645255713</v>
      </c>
      <c r="AO122" s="140">
        <f t="shared" si="179"/>
        <v>0.8579361262588755</v>
      </c>
      <c r="AP122" s="140">
        <f t="shared" si="179"/>
        <v>0.85255799529909448</v>
      </c>
      <c r="AQ122" s="140">
        <f t="shared" si="179"/>
        <v>0.84709009807775237</v>
      </c>
      <c r="AR122" s="140">
        <f t="shared" si="179"/>
        <v>0.84153440489742715</v>
      </c>
      <c r="AS122" s="140">
        <f>EXP(-AS121*AS120)</f>
        <v>0.8358790127868011</v>
      </c>
      <c r="AT122" s="140">
        <f t="shared" ref="AT122:CA122" si="180">EXP(-AT121*AT120)</f>
        <v>0.8301292310534345</v>
      </c>
      <c r="AU122" s="140">
        <f t="shared" si="180"/>
        <v>0.82424322009070683</v>
      </c>
      <c r="AV122" s="140">
        <f t="shared" si="180"/>
        <v>0.81822804699521745</v>
      </c>
      <c r="AW122" s="140">
        <f t="shared" si="180"/>
        <v>0.81207595531935362</v>
      </c>
      <c r="AX122" s="140">
        <f t="shared" si="180"/>
        <v>0.80579790323166844</v>
      </c>
      <c r="AY122" s="140">
        <f t="shared" si="180"/>
        <v>0.79935319785890901</v>
      </c>
      <c r="AZ122" s="140">
        <f t="shared" si="180"/>
        <v>0.7927543760977539</v>
      </c>
      <c r="BA122" s="140">
        <f t="shared" si="180"/>
        <v>0.78599764910960757</v>
      </c>
      <c r="BB122" s="140">
        <f t="shared" si="180"/>
        <v>0.77909960002092971</v>
      </c>
      <c r="BC122" s="140">
        <f t="shared" si="180"/>
        <v>0.77201984818596481</v>
      </c>
      <c r="BD122" s="140">
        <f t="shared" si="180"/>
        <v>0.76477629670814729</v>
      </c>
      <c r="BE122" s="140">
        <f t="shared" si="180"/>
        <v>0.75736869450707245</v>
      </c>
      <c r="BF122" s="140">
        <f t="shared" si="180"/>
        <v>0.74981884725329206</v>
      </c>
      <c r="BG122" s="140">
        <f t="shared" si="180"/>
        <v>0.74208600348016884</v>
      </c>
      <c r="BH122" s="140">
        <f t="shared" si="180"/>
        <v>0.73419300344074379</v>
      </c>
      <c r="BI122" s="140">
        <f t="shared" si="180"/>
        <v>0.72614257069718402</v>
      </c>
      <c r="BJ122" s="140">
        <f t="shared" si="180"/>
        <v>0.71796107622849281</v>
      </c>
      <c r="BK122" s="140">
        <f t="shared" si="180"/>
        <v>0.70960690876979837</v>
      </c>
      <c r="BL122" s="140">
        <f t="shared" si="180"/>
        <v>0.70110718910322856</v>
      </c>
      <c r="BM122" s="140">
        <f t="shared" si="180"/>
        <v>0.69246698692581232</v>
      </c>
      <c r="BN122" s="140">
        <f t="shared" si="180"/>
        <v>0.68371641441836306</v>
      </c>
      <c r="BO122" s="140">
        <f t="shared" si="180"/>
        <v>0.67481270796424586</v>
      </c>
      <c r="BP122" s="140">
        <f t="shared" si="180"/>
        <v>0.66578646208886694</v>
      </c>
      <c r="BQ122" s="140">
        <f t="shared" si="180"/>
        <v>0.65664444638536379</v>
      </c>
      <c r="BR122" s="140">
        <f t="shared" si="180"/>
        <v>0.64741959644098823</v>
      </c>
      <c r="BS122" s="140">
        <f t="shared" si="180"/>
        <v>0.63806788553262206</v>
      </c>
      <c r="BT122" s="140">
        <f t="shared" si="180"/>
        <v>0.62862249328958453</v>
      </c>
      <c r="BU122" s="140">
        <f t="shared" si="180"/>
        <v>0.61909126330802566</v>
      </c>
      <c r="BV122" s="140">
        <f t="shared" si="180"/>
        <v>0.60950900751627235</v>
      </c>
      <c r="BW122" s="140">
        <f t="shared" si="180"/>
        <v>0.59983048490997348</v>
      </c>
      <c r="BX122" s="140">
        <f t="shared" si="180"/>
        <v>0.59009055084939299</v>
      </c>
      <c r="BY122" s="140">
        <f t="shared" si="180"/>
        <v>0.58029754833523861</v>
      </c>
      <c r="BZ122" s="140">
        <f t="shared" si="180"/>
        <v>0.5704872448589573</v>
      </c>
      <c r="CA122" s="140">
        <f t="shared" si="180"/>
        <v>0.56061336738721324</v>
      </c>
      <c r="CB122" s="140">
        <f>EXP(-CB121*CB120)</f>
        <v>0.55071156928718534</v>
      </c>
      <c r="CC122" s="17"/>
      <c r="CD122" s="17"/>
      <c r="CE122" s="17"/>
    </row>
    <row r="123" spans="1:83">
      <c r="A123" s="17"/>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17"/>
      <c r="CD123" s="17"/>
      <c r="CE123" s="17"/>
    </row>
    <row r="124" spans="1:83">
      <c r="A124" s="16" t="s">
        <v>40</v>
      </c>
      <c r="B124" s="140">
        <f t="shared" ref="B124:BM124" si="181">DAYS360($B$3,B46)</f>
        <v>223</v>
      </c>
      <c r="C124" s="140">
        <f t="shared" si="181"/>
        <v>582</v>
      </c>
      <c r="D124" s="140">
        <f t="shared" si="181"/>
        <v>942</v>
      </c>
      <c r="E124" s="140">
        <f t="shared" si="181"/>
        <v>1302</v>
      </c>
      <c r="F124" s="140">
        <f t="shared" si="181"/>
        <v>1662</v>
      </c>
      <c r="G124" s="140">
        <f t="shared" si="181"/>
        <v>2021</v>
      </c>
      <c r="H124" s="140">
        <f t="shared" si="181"/>
        <v>2381</v>
      </c>
      <c r="I124" s="140">
        <f t="shared" si="181"/>
        <v>2741</v>
      </c>
      <c r="J124" s="140">
        <f t="shared" si="181"/>
        <v>3101</v>
      </c>
      <c r="K124" s="140">
        <f t="shared" si="181"/>
        <v>3460</v>
      </c>
      <c r="L124" s="140">
        <f t="shared" si="181"/>
        <v>3820</v>
      </c>
      <c r="M124" s="140">
        <f t="shared" si="181"/>
        <v>4180</v>
      </c>
      <c r="N124" s="140">
        <f t="shared" si="181"/>
        <v>4540</v>
      </c>
      <c r="O124" s="140">
        <f t="shared" si="181"/>
        <v>4899</v>
      </c>
      <c r="P124" s="140">
        <f t="shared" si="181"/>
        <v>5259</v>
      </c>
      <c r="Q124" s="140">
        <f t="shared" si="181"/>
        <v>5619</v>
      </c>
      <c r="R124" s="140">
        <f t="shared" si="181"/>
        <v>5979</v>
      </c>
      <c r="S124" s="140">
        <f t="shared" si="181"/>
        <v>6338</v>
      </c>
      <c r="T124" s="140">
        <f t="shared" si="181"/>
        <v>6698</v>
      </c>
      <c r="U124" s="140">
        <f t="shared" si="181"/>
        <v>7058</v>
      </c>
      <c r="V124" s="140">
        <f t="shared" si="181"/>
        <v>7418</v>
      </c>
      <c r="W124" s="140">
        <f t="shared" si="181"/>
        <v>7777</v>
      </c>
      <c r="X124" s="140">
        <f t="shared" si="181"/>
        <v>8137</v>
      </c>
      <c r="Y124" s="140">
        <f t="shared" si="181"/>
        <v>8497</v>
      </c>
      <c r="Z124" s="140">
        <f t="shared" si="181"/>
        <v>8857</v>
      </c>
      <c r="AA124" s="140">
        <f t="shared" si="181"/>
        <v>9216</v>
      </c>
      <c r="AB124" s="140">
        <f t="shared" si="181"/>
        <v>9576</v>
      </c>
      <c r="AC124" s="140">
        <f t="shared" si="181"/>
        <v>9936</v>
      </c>
      <c r="AD124" s="140">
        <f t="shared" si="181"/>
        <v>10296</v>
      </c>
      <c r="AE124" s="140">
        <f t="shared" si="181"/>
        <v>10655</v>
      </c>
      <c r="AF124" s="140">
        <f t="shared" si="181"/>
        <v>11015</v>
      </c>
      <c r="AG124" s="140">
        <f t="shared" si="181"/>
        <v>11375</v>
      </c>
      <c r="AH124" s="140">
        <f t="shared" si="181"/>
        <v>11735</v>
      </c>
      <c r="AI124" s="140">
        <f t="shared" si="181"/>
        <v>12094</v>
      </c>
      <c r="AJ124" s="140">
        <f t="shared" si="181"/>
        <v>12454</v>
      </c>
      <c r="AK124" s="140">
        <f t="shared" si="181"/>
        <v>12814</v>
      </c>
      <c r="AL124" s="140">
        <f t="shared" si="181"/>
        <v>13174</v>
      </c>
      <c r="AM124" s="140">
        <f t="shared" si="181"/>
        <v>13533</v>
      </c>
      <c r="AN124" s="140">
        <f t="shared" si="181"/>
        <v>13893</v>
      </c>
      <c r="AO124" s="140">
        <f t="shared" si="181"/>
        <v>14253</v>
      </c>
      <c r="AP124" s="140">
        <f t="shared" si="181"/>
        <v>14613</v>
      </c>
      <c r="AQ124" s="140">
        <f t="shared" si="181"/>
        <v>14972</v>
      </c>
      <c r="AR124" s="140">
        <f t="shared" si="181"/>
        <v>15332</v>
      </c>
      <c r="AS124" s="140">
        <f t="shared" si="181"/>
        <v>15692</v>
      </c>
      <c r="AT124" s="140">
        <f t="shared" si="181"/>
        <v>16052</v>
      </c>
      <c r="AU124" s="140">
        <f t="shared" si="181"/>
        <v>16411</v>
      </c>
      <c r="AV124" s="140">
        <f t="shared" si="181"/>
        <v>16771</v>
      </c>
      <c r="AW124" s="140">
        <f t="shared" si="181"/>
        <v>17131</v>
      </c>
      <c r="AX124" s="140">
        <f t="shared" si="181"/>
        <v>17491</v>
      </c>
      <c r="AY124" s="140">
        <f t="shared" si="181"/>
        <v>17850</v>
      </c>
      <c r="AZ124" s="140">
        <f t="shared" si="181"/>
        <v>18210</v>
      </c>
      <c r="BA124" s="140">
        <f t="shared" si="181"/>
        <v>18570</v>
      </c>
      <c r="BB124" s="140">
        <f t="shared" si="181"/>
        <v>18930</v>
      </c>
      <c r="BC124" s="140">
        <f t="shared" si="181"/>
        <v>19289</v>
      </c>
      <c r="BD124" s="140">
        <f t="shared" si="181"/>
        <v>19649</v>
      </c>
      <c r="BE124" s="140">
        <f t="shared" si="181"/>
        <v>20009</v>
      </c>
      <c r="BF124" s="140">
        <f t="shared" si="181"/>
        <v>20369</v>
      </c>
      <c r="BG124" s="140">
        <f t="shared" si="181"/>
        <v>20729</v>
      </c>
      <c r="BH124" s="140">
        <f t="shared" si="181"/>
        <v>21089</v>
      </c>
      <c r="BI124" s="140">
        <f t="shared" si="181"/>
        <v>21449</v>
      </c>
      <c r="BJ124" s="140">
        <f t="shared" si="181"/>
        <v>21809</v>
      </c>
      <c r="BK124" s="140">
        <f t="shared" si="181"/>
        <v>22168</v>
      </c>
      <c r="BL124" s="140">
        <f t="shared" si="181"/>
        <v>22528</v>
      </c>
      <c r="BM124" s="140">
        <f t="shared" si="181"/>
        <v>22888</v>
      </c>
      <c r="BN124" s="140">
        <f t="shared" ref="BN124:CB124" si="182">DAYS360($B$3,BN46)</f>
        <v>23248</v>
      </c>
      <c r="BO124" s="140">
        <f t="shared" si="182"/>
        <v>23607</v>
      </c>
      <c r="BP124" s="140">
        <f t="shared" si="182"/>
        <v>23967</v>
      </c>
      <c r="BQ124" s="140">
        <f t="shared" si="182"/>
        <v>24327</v>
      </c>
      <c r="BR124" s="140">
        <f t="shared" si="182"/>
        <v>24687</v>
      </c>
      <c r="BS124" s="140">
        <f t="shared" si="182"/>
        <v>25046</v>
      </c>
      <c r="BT124" s="140">
        <f t="shared" si="182"/>
        <v>25406</v>
      </c>
      <c r="BU124" s="140">
        <f t="shared" si="182"/>
        <v>25766</v>
      </c>
      <c r="BV124" s="140">
        <f t="shared" si="182"/>
        <v>26126</v>
      </c>
      <c r="BW124" s="140">
        <f t="shared" si="182"/>
        <v>26485</v>
      </c>
      <c r="BX124" s="140">
        <f t="shared" si="182"/>
        <v>26845</v>
      </c>
      <c r="BY124" s="140">
        <f t="shared" si="182"/>
        <v>27205</v>
      </c>
      <c r="BZ124" s="140">
        <f t="shared" si="182"/>
        <v>27565</v>
      </c>
      <c r="CA124" s="140">
        <f t="shared" si="182"/>
        <v>27924</v>
      </c>
      <c r="CB124" s="140">
        <f t="shared" si="182"/>
        <v>28284</v>
      </c>
      <c r="CC124" s="17"/>
      <c r="CD124" s="17"/>
      <c r="CE124" s="17"/>
    </row>
    <row r="125" spans="1:83">
      <c r="A125" s="16" t="s">
        <v>41</v>
      </c>
      <c r="B125" s="140">
        <f>B124/360</f>
        <v>0.61944444444444446</v>
      </c>
      <c r="C125" s="140">
        <f t="shared" ref="C125:BN125" si="183">C124/360</f>
        <v>1.6166666666666667</v>
      </c>
      <c r="D125" s="140">
        <f t="shared" si="183"/>
        <v>2.6166666666666667</v>
      </c>
      <c r="E125" s="140">
        <f t="shared" si="183"/>
        <v>3.6166666666666667</v>
      </c>
      <c r="F125" s="140">
        <f t="shared" si="183"/>
        <v>4.6166666666666663</v>
      </c>
      <c r="G125" s="140">
        <f t="shared" si="183"/>
        <v>5.6138888888888889</v>
      </c>
      <c r="H125" s="140">
        <f t="shared" si="183"/>
        <v>6.6138888888888889</v>
      </c>
      <c r="I125" s="140">
        <f t="shared" si="183"/>
        <v>7.6138888888888889</v>
      </c>
      <c r="J125" s="140">
        <f t="shared" si="183"/>
        <v>8.6138888888888889</v>
      </c>
      <c r="K125" s="140">
        <f t="shared" si="183"/>
        <v>9.6111111111111107</v>
      </c>
      <c r="L125" s="140">
        <f t="shared" si="183"/>
        <v>10.611111111111111</v>
      </c>
      <c r="M125" s="140">
        <f t="shared" si="183"/>
        <v>11.611111111111111</v>
      </c>
      <c r="N125" s="140">
        <f t="shared" si="183"/>
        <v>12.611111111111111</v>
      </c>
      <c r="O125" s="140">
        <f t="shared" si="183"/>
        <v>13.608333333333333</v>
      </c>
      <c r="P125" s="140">
        <f t="shared" si="183"/>
        <v>14.608333333333333</v>
      </c>
      <c r="Q125" s="140">
        <f t="shared" si="183"/>
        <v>15.608333333333333</v>
      </c>
      <c r="R125" s="140">
        <f t="shared" si="183"/>
        <v>16.608333333333334</v>
      </c>
      <c r="S125" s="140">
        <f t="shared" si="183"/>
        <v>17.605555555555554</v>
      </c>
      <c r="T125" s="140">
        <f t="shared" si="183"/>
        <v>18.605555555555554</v>
      </c>
      <c r="U125" s="140">
        <f t="shared" si="183"/>
        <v>19.605555555555554</v>
      </c>
      <c r="V125" s="140">
        <f t="shared" si="183"/>
        <v>20.605555555555554</v>
      </c>
      <c r="W125" s="140">
        <f t="shared" si="183"/>
        <v>21.602777777777778</v>
      </c>
      <c r="X125" s="140">
        <f t="shared" si="183"/>
        <v>22.602777777777778</v>
      </c>
      <c r="Y125" s="140">
        <f t="shared" si="183"/>
        <v>23.602777777777778</v>
      </c>
      <c r="Z125" s="140">
        <f t="shared" si="183"/>
        <v>24.602777777777778</v>
      </c>
      <c r="AA125" s="140">
        <f t="shared" si="183"/>
        <v>25.6</v>
      </c>
      <c r="AB125" s="140">
        <f t="shared" si="183"/>
        <v>26.6</v>
      </c>
      <c r="AC125" s="140">
        <f t="shared" si="183"/>
        <v>27.6</v>
      </c>
      <c r="AD125" s="140">
        <f t="shared" si="183"/>
        <v>28.6</v>
      </c>
      <c r="AE125" s="140">
        <f t="shared" si="183"/>
        <v>29.597222222222221</v>
      </c>
      <c r="AF125" s="140">
        <f t="shared" si="183"/>
        <v>30.597222222222221</v>
      </c>
      <c r="AG125" s="140">
        <f t="shared" si="183"/>
        <v>31.597222222222221</v>
      </c>
      <c r="AH125" s="140">
        <f t="shared" si="183"/>
        <v>32.597222222222221</v>
      </c>
      <c r="AI125" s="140">
        <f t="shared" si="183"/>
        <v>33.594444444444441</v>
      </c>
      <c r="AJ125" s="140">
        <f t="shared" si="183"/>
        <v>34.594444444444441</v>
      </c>
      <c r="AK125" s="140">
        <f t="shared" si="183"/>
        <v>35.594444444444441</v>
      </c>
      <c r="AL125" s="140">
        <f t="shared" si="183"/>
        <v>36.594444444444441</v>
      </c>
      <c r="AM125" s="140">
        <f t="shared" si="183"/>
        <v>37.591666666666669</v>
      </c>
      <c r="AN125" s="140">
        <f t="shared" si="183"/>
        <v>38.591666666666669</v>
      </c>
      <c r="AO125" s="140">
        <f t="shared" si="183"/>
        <v>39.591666666666669</v>
      </c>
      <c r="AP125" s="140">
        <f t="shared" si="183"/>
        <v>40.591666666666669</v>
      </c>
      <c r="AQ125" s="140">
        <f t="shared" si="183"/>
        <v>41.588888888888889</v>
      </c>
      <c r="AR125" s="140">
        <f t="shared" si="183"/>
        <v>42.588888888888889</v>
      </c>
      <c r="AS125" s="140">
        <f t="shared" si="183"/>
        <v>43.588888888888889</v>
      </c>
      <c r="AT125" s="140">
        <f t="shared" si="183"/>
        <v>44.588888888888889</v>
      </c>
      <c r="AU125" s="140">
        <f t="shared" si="183"/>
        <v>45.586111111111109</v>
      </c>
      <c r="AV125" s="140">
        <f t="shared" si="183"/>
        <v>46.586111111111109</v>
      </c>
      <c r="AW125" s="140">
        <f t="shared" si="183"/>
        <v>47.586111111111109</v>
      </c>
      <c r="AX125" s="140">
        <f t="shared" si="183"/>
        <v>48.586111111111109</v>
      </c>
      <c r="AY125" s="140">
        <f t="shared" si="183"/>
        <v>49.583333333333336</v>
      </c>
      <c r="AZ125" s="140">
        <f t="shared" si="183"/>
        <v>50.583333333333336</v>
      </c>
      <c r="BA125" s="140">
        <f t="shared" si="183"/>
        <v>51.583333333333336</v>
      </c>
      <c r="BB125" s="140">
        <f t="shared" si="183"/>
        <v>52.583333333333336</v>
      </c>
      <c r="BC125" s="140">
        <f t="shared" si="183"/>
        <v>53.580555555555556</v>
      </c>
      <c r="BD125" s="140">
        <f t="shared" si="183"/>
        <v>54.580555555555556</v>
      </c>
      <c r="BE125" s="140">
        <f t="shared" si="183"/>
        <v>55.580555555555556</v>
      </c>
      <c r="BF125" s="140">
        <f t="shared" si="183"/>
        <v>56.580555555555556</v>
      </c>
      <c r="BG125" s="140">
        <f t="shared" si="183"/>
        <v>57.580555555555556</v>
      </c>
      <c r="BH125" s="140">
        <f t="shared" si="183"/>
        <v>58.580555555555556</v>
      </c>
      <c r="BI125" s="140">
        <f t="shared" si="183"/>
        <v>59.580555555555556</v>
      </c>
      <c r="BJ125" s="140">
        <f t="shared" si="183"/>
        <v>60.580555555555556</v>
      </c>
      <c r="BK125" s="140">
        <f t="shared" si="183"/>
        <v>61.577777777777776</v>
      </c>
      <c r="BL125" s="140">
        <f t="shared" si="183"/>
        <v>62.577777777777776</v>
      </c>
      <c r="BM125" s="140">
        <f t="shared" si="183"/>
        <v>63.577777777777776</v>
      </c>
      <c r="BN125" s="140">
        <f t="shared" si="183"/>
        <v>64.577777777777783</v>
      </c>
      <c r="BO125" s="140">
        <f t="shared" ref="BO125:CB125" si="184">BO124/360</f>
        <v>65.575000000000003</v>
      </c>
      <c r="BP125" s="140">
        <f t="shared" si="184"/>
        <v>66.575000000000003</v>
      </c>
      <c r="BQ125" s="140">
        <f t="shared" si="184"/>
        <v>67.575000000000003</v>
      </c>
      <c r="BR125" s="140">
        <f t="shared" si="184"/>
        <v>68.575000000000003</v>
      </c>
      <c r="BS125" s="140">
        <f t="shared" si="184"/>
        <v>69.572222222222223</v>
      </c>
      <c r="BT125" s="140">
        <f t="shared" si="184"/>
        <v>70.572222222222223</v>
      </c>
      <c r="BU125" s="140">
        <f t="shared" si="184"/>
        <v>71.572222222222223</v>
      </c>
      <c r="BV125" s="140">
        <f t="shared" si="184"/>
        <v>72.572222222222223</v>
      </c>
      <c r="BW125" s="140">
        <f t="shared" si="184"/>
        <v>73.569444444444443</v>
      </c>
      <c r="BX125" s="140">
        <f t="shared" si="184"/>
        <v>74.569444444444443</v>
      </c>
      <c r="BY125" s="140">
        <f t="shared" si="184"/>
        <v>75.569444444444443</v>
      </c>
      <c r="BZ125" s="140">
        <f t="shared" si="184"/>
        <v>76.569444444444443</v>
      </c>
      <c r="CA125" s="140">
        <f t="shared" si="184"/>
        <v>77.566666666666663</v>
      </c>
      <c r="CB125" s="140">
        <f t="shared" si="184"/>
        <v>78.566666666666663</v>
      </c>
      <c r="CC125" s="17"/>
      <c r="CD125" s="17"/>
      <c r="CE125" s="17"/>
    </row>
    <row r="126" spans="1:83">
      <c r="A126" s="16" t="s">
        <v>43</v>
      </c>
      <c r="B126" s="140">
        <f>IF(B124&lt;0,0,$B$5+$B$6*((1-EXP(-B125/$B$9))/(B125/$B$9))+$B$7*((1-EXP(-B125/$B$9))/(B125/$B$9)-EXP(-B125/$B$9))+$B$8*((1-EXP(-B125/$B$10))/(B125/$B$10)-EXP(-B125/$B$10)))</f>
        <v>-7.0617155237481686E-3</v>
      </c>
      <c r="C126" s="140">
        <f t="shared" ref="C126:BN126" si="185">IF(C124&lt;0,0,$B$5+$B$6*((1-EXP(-C125/$B$9))/(C125/$B$9))+$B$7*((1-EXP(-C125/$B$9))/(C125/$B$9)-EXP(-C125/$B$9))+$B$8*((1-EXP(-C125/$B$10))/(C125/$B$10)-EXP(-C125/$B$10)))</f>
        <v>-7.6037755481372302E-3</v>
      </c>
      <c r="D126" s="140">
        <f t="shared" si="185"/>
        <v>-7.710847480149041E-3</v>
      </c>
      <c r="E126" s="140">
        <f t="shared" si="185"/>
        <v>-7.5060733108696766E-3</v>
      </c>
      <c r="F126" s="140">
        <f t="shared" si="185"/>
        <v>-7.0857132915753841E-3</v>
      </c>
      <c r="G126" s="140">
        <f t="shared" si="185"/>
        <v>-6.5248026158246462E-3</v>
      </c>
      <c r="H126" s="140">
        <f t="shared" si="185"/>
        <v>-5.8754501127824283E-3</v>
      </c>
      <c r="I126" s="140">
        <f t="shared" si="185"/>
        <v>-5.1803620967415254E-3</v>
      </c>
      <c r="J126" s="140">
        <f t="shared" si="185"/>
        <v>-4.4698944531073072E-3</v>
      </c>
      <c r="K126" s="140">
        <f t="shared" si="185"/>
        <v>-3.7678449677290525E-3</v>
      </c>
      <c r="L126" s="140">
        <f t="shared" si="185"/>
        <v>-3.0856009613625997E-3</v>
      </c>
      <c r="M126" s="140">
        <f t="shared" si="185"/>
        <v>-2.4354694668241392E-3</v>
      </c>
      <c r="N126" s="140">
        <f t="shared" si="185"/>
        <v>-1.823983889435131E-3</v>
      </c>
      <c r="O126" s="140">
        <f t="shared" si="185"/>
        <v>-1.2563434079497331E-3</v>
      </c>
      <c r="P126" s="140">
        <f t="shared" si="185"/>
        <v>-7.3094638958840635E-4</v>
      </c>
      <c r="Q126" s="140">
        <f t="shared" si="185"/>
        <v>-2.494563483878276E-4</v>
      </c>
      <c r="R126" s="140">
        <f t="shared" si="185"/>
        <v>1.8920528010434035E-4</v>
      </c>
      <c r="S126" s="140">
        <f t="shared" si="185"/>
        <v>5.8582725308489736E-4</v>
      </c>
      <c r="T126" s="140">
        <f t="shared" si="185"/>
        <v>9.4495213051269678E-4</v>
      </c>
      <c r="U126" s="140">
        <f t="shared" si="185"/>
        <v>1.2680610627495113E-3</v>
      </c>
      <c r="V126" s="140">
        <f t="shared" si="185"/>
        <v>1.5579530282883065E-3</v>
      </c>
      <c r="W126" s="140">
        <f t="shared" si="185"/>
        <v>1.8167942659555215E-3</v>
      </c>
      <c r="X126" s="140">
        <f t="shared" si="185"/>
        <v>2.0488383565136874E-3</v>
      </c>
      <c r="Y126" s="140">
        <f t="shared" si="185"/>
        <v>2.256056709701932E-3</v>
      </c>
      <c r="Z126" s="140">
        <f t="shared" si="185"/>
        <v>2.4410600941745693E-3</v>
      </c>
      <c r="AA126" s="140">
        <f t="shared" si="185"/>
        <v>2.6058787369594369E-3</v>
      </c>
      <c r="AB126" s="140">
        <f t="shared" si="185"/>
        <v>2.7537290656083901E-3</v>
      </c>
      <c r="AC126" s="140">
        <f t="shared" si="185"/>
        <v>2.8862621567856232E-3</v>
      </c>
      <c r="AD126" s="140">
        <f t="shared" si="185"/>
        <v>3.0054462511628945E-3</v>
      </c>
      <c r="AE126" s="140">
        <f t="shared" si="185"/>
        <v>3.1127997062016521E-3</v>
      </c>
      <c r="AF126" s="140">
        <f t="shared" si="185"/>
        <v>3.210560289449254E-3</v>
      </c>
      <c r="AG126" s="140">
        <f t="shared" si="185"/>
        <v>3.2999053398233766E-3</v>
      </c>
      <c r="AH126" s="140">
        <f t="shared" si="185"/>
        <v>3.3821830646599757E-3</v>
      </c>
      <c r="AI126" s="140">
        <f t="shared" si="185"/>
        <v>3.4584023696054532E-3</v>
      </c>
      <c r="AJ126" s="140">
        <f t="shared" si="185"/>
        <v>3.5300751228181035E-3</v>
      </c>
      <c r="AK126" s="140">
        <f t="shared" si="185"/>
        <v>3.597956349161123E-3</v>
      </c>
      <c r="AL126" s="140">
        <f t="shared" si="185"/>
        <v>3.6629152894082778E-3</v>
      </c>
      <c r="AM126" s="140">
        <f t="shared" si="185"/>
        <v>3.7255522918672804E-3</v>
      </c>
      <c r="AN126" s="140">
        <f t="shared" si="185"/>
        <v>3.786899071560549E-3</v>
      </c>
      <c r="AO126" s="140">
        <f t="shared" si="185"/>
        <v>3.8473826674040208E-3</v>
      </c>
      <c r="AP126" s="140">
        <f t="shared" si="185"/>
        <v>3.907534398227646E-3</v>
      </c>
      <c r="AQ126" s="140">
        <f t="shared" si="185"/>
        <v>3.9676516140493556E-3</v>
      </c>
      <c r="AR126" s="140">
        <f t="shared" si="185"/>
        <v>4.0284741865719252E-3</v>
      </c>
      <c r="AS126" s="140">
        <f t="shared" si="185"/>
        <v>4.090187300172049E-3</v>
      </c>
      <c r="AT126" s="140">
        <f t="shared" si="185"/>
        <v>4.1530948560102171E-3</v>
      </c>
      <c r="AU126" s="140">
        <f t="shared" si="185"/>
        <v>4.2172762849209955E-3</v>
      </c>
      <c r="AV126" s="140">
        <f t="shared" si="185"/>
        <v>4.2833101254247871E-3</v>
      </c>
      <c r="AW126" s="140">
        <f t="shared" si="185"/>
        <v>4.3512063190708113E-3</v>
      </c>
      <c r="AX126" s="140">
        <f t="shared" si="185"/>
        <v>4.421120172410066E-3</v>
      </c>
      <c r="AY126" s="140">
        <f t="shared" si="185"/>
        <v>4.492975804566722E-3</v>
      </c>
      <c r="AZ126" s="140">
        <f t="shared" si="185"/>
        <v>4.5672757312999225E-3</v>
      </c>
      <c r="BA126" s="140">
        <f t="shared" si="185"/>
        <v>4.643903076042722E-3</v>
      </c>
      <c r="BB126" s="140">
        <f t="shared" si="185"/>
        <v>4.7229183111442107E-3</v>
      </c>
      <c r="BC126" s="140">
        <f t="shared" si="185"/>
        <v>4.8041347147932158E-3</v>
      </c>
      <c r="BD126" s="140">
        <f t="shared" si="185"/>
        <v>4.8880320505897273E-3</v>
      </c>
      <c r="BE126" s="140">
        <f t="shared" si="185"/>
        <v>4.9744010975817203E-3</v>
      </c>
      <c r="BF126" s="140">
        <f t="shared" si="185"/>
        <v>5.0632433178526802E-3</v>
      </c>
      <c r="BG126" s="140">
        <f t="shared" si="185"/>
        <v>5.1545494745135444E-3</v>
      </c>
      <c r="BH126" s="140">
        <f t="shared" si="185"/>
        <v>5.2483009403502569E-3</v>
      </c>
      <c r="BI126" s="140">
        <f t="shared" si="185"/>
        <v>5.3444708739933643E-3</v>
      </c>
      <c r="BJ126" s="140">
        <f t="shared" si="185"/>
        <v>5.4430252765630162E-3</v>
      </c>
      <c r="BK126" s="140">
        <f t="shared" si="185"/>
        <v>5.5436404604685373E-3</v>
      </c>
      <c r="BL126" s="140">
        <f t="shared" si="185"/>
        <v>5.6468315035530653E-3</v>
      </c>
      <c r="BM126" s="140">
        <f t="shared" si="185"/>
        <v>5.7522712311794608E-3</v>
      </c>
      <c r="BN126" s="140">
        <f t="shared" si="185"/>
        <v>5.8599055882457944E-3</v>
      </c>
      <c r="BO126" s="140">
        <f t="shared" ref="BO126:CB126" si="186">IF(BO124&lt;0,0,$B$5+$B$6*((1-EXP(-BO125/$B$9))/(BO125/$B$9))+$B$7*((1-EXP(-BO125/$B$9))/(BO125/$B$9)-EXP(-BO125/$B$9))+$B$8*((1-EXP(-BO125/$B$10))/(BO125/$B$10)-EXP(-BO125/$B$10)))</f>
        <v>5.9693693978463726E-3</v>
      </c>
      <c r="BP126" s="140">
        <f t="shared" si="186"/>
        <v>6.081212533138862E-3</v>
      </c>
      <c r="BQ126" s="140">
        <f t="shared" si="186"/>
        <v>6.1950706799002581E-3</v>
      </c>
      <c r="BR126" s="140">
        <f t="shared" si="186"/>
        <v>6.3108796822292125E-3</v>
      </c>
      <c r="BS126" s="140">
        <f t="shared" si="186"/>
        <v>6.428244485933144E-3</v>
      </c>
      <c r="BT126" s="140">
        <f t="shared" si="186"/>
        <v>6.5477524451314668E-3</v>
      </c>
      <c r="BU126" s="140">
        <f t="shared" si="186"/>
        <v>6.6690118287289386E-3</v>
      </c>
      <c r="BV126" s="140">
        <f t="shared" si="186"/>
        <v>6.7919547621716758E-3</v>
      </c>
      <c r="BW126" s="140">
        <f t="shared" si="186"/>
        <v>6.9161649719451414E-3</v>
      </c>
      <c r="BX126" s="140">
        <f t="shared" si="186"/>
        <v>7.0422664822694346E-3</v>
      </c>
      <c r="BY126" s="140">
        <f t="shared" si="186"/>
        <v>7.1698475895492948E-3</v>
      </c>
      <c r="BZ126" s="140">
        <f t="shared" si="186"/>
        <v>7.2988407256104754E-3</v>
      </c>
      <c r="CA126" s="140">
        <f t="shared" si="186"/>
        <v>7.4288149807989826E-3</v>
      </c>
      <c r="CB126" s="140">
        <f t="shared" si="186"/>
        <v>7.5604281841375777E-3</v>
      </c>
      <c r="CC126" s="17"/>
      <c r="CD126" s="17"/>
      <c r="CE126" s="17"/>
    </row>
    <row r="127" spans="1:83">
      <c r="A127" s="16" t="s">
        <v>44</v>
      </c>
      <c r="B127" s="140">
        <f>EXP(-B126*B125)</f>
        <v>1.0043839218422805</v>
      </c>
      <c r="C127" s="140">
        <f t="shared" ref="C127:AR127" si="187">EXP(-C126*C125)</f>
        <v>1.012368637124138</v>
      </c>
      <c r="D127" s="140">
        <f t="shared" si="187"/>
        <v>1.0203816434625181</v>
      </c>
      <c r="E127" s="140">
        <f t="shared" si="187"/>
        <v>1.0275188011129346</v>
      </c>
      <c r="F127" s="140">
        <f t="shared" si="187"/>
        <v>1.0332533084233047</v>
      </c>
      <c r="G127" s="140">
        <f t="shared" si="187"/>
        <v>1.0373086443252861</v>
      </c>
      <c r="H127" s="140">
        <f t="shared" si="187"/>
        <v>1.0396244833183947</v>
      </c>
      <c r="I127" s="140">
        <f t="shared" si="187"/>
        <v>1.0402308934126057</v>
      </c>
      <c r="J127" s="140">
        <f t="shared" si="187"/>
        <v>1.0392540271156006</v>
      </c>
      <c r="K127" s="140">
        <f t="shared" si="187"/>
        <v>1.0368768608519021</v>
      </c>
      <c r="L127" s="140">
        <f t="shared" si="187"/>
        <v>1.0332835607487352</v>
      </c>
      <c r="M127" s="140">
        <f t="shared" si="187"/>
        <v>1.028682139281524</v>
      </c>
      <c r="N127" s="140">
        <f t="shared" si="187"/>
        <v>1.0232690603618588</v>
      </c>
      <c r="O127" s="140">
        <f t="shared" si="187"/>
        <v>1.0172437255978048</v>
      </c>
      <c r="P127" s="140">
        <f t="shared" si="187"/>
        <v>1.0107351208275979</v>
      </c>
      <c r="Q127" s="140">
        <f t="shared" si="187"/>
        <v>1.0039011877372894</v>
      </c>
      <c r="R127" s="140">
        <f t="shared" si="187"/>
        <v>0.99686254776177419</v>
      </c>
      <c r="S127" s="140">
        <f t="shared" si="187"/>
        <v>0.98973919074763383</v>
      </c>
      <c r="T127" s="140">
        <f t="shared" si="187"/>
        <v>0.98257229095867926</v>
      </c>
      <c r="U127" s="140">
        <f t="shared" si="187"/>
        <v>0.975445448936752</v>
      </c>
      <c r="V127" s="140">
        <f t="shared" si="187"/>
        <v>0.96840732717540023</v>
      </c>
      <c r="W127" s="140">
        <f t="shared" si="187"/>
        <v>0.96151241415848487</v>
      </c>
      <c r="X127" s="140">
        <f t="shared" si="187"/>
        <v>0.95474648156335373</v>
      </c>
      <c r="Y127" s="140">
        <f t="shared" si="187"/>
        <v>0.94814370072334619</v>
      </c>
      <c r="Z127" s="140">
        <f t="shared" si="187"/>
        <v>0.9417109872800471</v>
      </c>
      <c r="AA127" s="140">
        <f t="shared" si="187"/>
        <v>0.93546598359497579</v>
      </c>
      <c r="AB127" s="140">
        <f t="shared" si="187"/>
        <v>0.92936920873161166</v>
      </c>
      <c r="AC127" s="140">
        <f t="shared" si="187"/>
        <v>0.9234294877557262</v>
      </c>
      <c r="AD127" s="140">
        <f t="shared" si="187"/>
        <v>0.91763482393288565</v>
      </c>
      <c r="AE127" s="140">
        <f t="shared" si="187"/>
        <v>0.91198637871604182</v>
      </c>
      <c r="AF127" s="140">
        <f t="shared" si="187"/>
        <v>0.90643656730126232</v>
      </c>
      <c r="AG127" s="140">
        <f t="shared" si="187"/>
        <v>0.90098394345730304</v>
      </c>
      <c r="AH127" s="140">
        <f t="shared" si="187"/>
        <v>0.89561040809906789</v>
      </c>
      <c r="AI127" s="140">
        <f t="shared" si="187"/>
        <v>0.89031218662578182</v>
      </c>
      <c r="AJ127" s="140">
        <f t="shared" si="187"/>
        <v>0.88504128289688644</v>
      </c>
      <c r="AK127" s="140">
        <f t="shared" si="187"/>
        <v>0.87979420449826573</v>
      </c>
      <c r="AL127" s="140">
        <f t="shared" si="187"/>
        <v>0.874553026443326</v>
      </c>
      <c r="AM127" s="140">
        <f t="shared" si="187"/>
        <v>0.86931501206437334</v>
      </c>
      <c r="AN127" s="140">
        <f t="shared" si="187"/>
        <v>0.86403435635406467</v>
      </c>
      <c r="AO127" s="140">
        <f t="shared" si="187"/>
        <v>0.85870976278472699</v>
      </c>
      <c r="AP127" s="140">
        <f t="shared" si="187"/>
        <v>0.85332624762003018</v>
      </c>
      <c r="AQ127" s="140">
        <f t="shared" si="187"/>
        <v>0.84788503685549654</v>
      </c>
      <c r="AR127" s="140">
        <f t="shared" si="187"/>
        <v>0.84234278498832571</v>
      </c>
      <c r="AS127" s="140">
        <f>EXP(-AS126*AS125)</f>
        <v>0.83670248995483121</v>
      </c>
      <c r="AT127" s="140">
        <f t="shared" ref="AT127:CA127" si="188">EXP(-AT126*AT125)</f>
        <v>0.83095313212979338</v>
      </c>
      <c r="AU127" s="140">
        <f t="shared" si="188"/>
        <v>0.82510120676010978</v>
      </c>
      <c r="AV127" s="140">
        <f t="shared" si="188"/>
        <v>0.81910519395757608</v>
      </c>
      <c r="AW127" s="140">
        <f t="shared" si="188"/>
        <v>0.81297331945880524</v>
      </c>
      <c r="AX127" s="140">
        <f t="shared" si="188"/>
        <v>0.80669870210699501</v>
      </c>
      <c r="AY127" s="140">
        <f t="shared" si="188"/>
        <v>0.80029352130377618</v>
      </c>
      <c r="AZ127" s="140">
        <f t="shared" si="188"/>
        <v>0.79371721724120892</v>
      </c>
      <c r="BA127" s="140">
        <f t="shared" si="188"/>
        <v>0.78698349696052528</v>
      </c>
      <c r="BB127" s="140">
        <f t="shared" si="188"/>
        <v>0.78008937084082497</v>
      </c>
      <c r="BC127" s="140">
        <f t="shared" si="188"/>
        <v>0.7730525838862049</v>
      </c>
      <c r="BD127" s="140">
        <f t="shared" si="188"/>
        <v>0.76583272719629114</v>
      </c>
      <c r="BE127" s="140">
        <f t="shared" si="188"/>
        <v>0.75844880573396478</v>
      </c>
      <c r="BF127" s="140">
        <f t="shared" si="188"/>
        <v>0.75090125553531484</v>
      </c>
      <c r="BG127" s="140">
        <f t="shared" si="188"/>
        <v>0.74319128164731363</v>
      </c>
      <c r="BH127" s="140">
        <f t="shared" si="188"/>
        <v>0.73532082029330392</v>
      </c>
      <c r="BI127" s="140">
        <f t="shared" si="188"/>
        <v>0.7272925001200744</v>
      </c>
      <c r="BJ127" s="140">
        <f t="shared" si="188"/>
        <v>0.71910960272170121</v>
      </c>
      <c r="BK127" s="140">
        <f t="shared" si="188"/>
        <v>0.71079937616452959</v>
      </c>
      <c r="BL127" s="140">
        <f t="shared" si="188"/>
        <v>0.70231997990401618</v>
      </c>
      <c r="BM127" s="140">
        <f t="shared" si="188"/>
        <v>0.69369935245733094</v>
      </c>
      <c r="BN127" s="140">
        <f t="shared" si="188"/>
        <v>0.68494298286583088</v>
      </c>
      <c r="BO127" s="140">
        <f t="shared" si="188"/>
        <v>0.67608166889346122</v>
      </c>
      <c r="BP127" s="140">
        <f t="shared" si="188"/>
        <v>0.66707237921156837</v>
      </c>
      <c r="BQ127" s="140">
        <f t="shared" si="188"/>
        <v>0.65794633996047713</v>
      </c>
      <c r="BR127" s="140">
        <f t="shared" si="188"/>
        <v>0.64871060279899662</v>
      </c>
      <c r="BS127" s="140">
        <f t="shared" si="188"/>
        <v>0.63939858595713384</v>
      </c>
      <c r="BT127" s="140">
        <f t="shared" si="188"/>
        <v>0.62996599287694222</v>
      </c>
      <c r="BU127" s="140">
        <f t="shared" si="188"/>
        <v>0.62044643934265309</v>
      </c>
      <c r="BV127" s="140">
        <f t="shared" si="188"/>
        <v>0.61084792238568397</v>
      </c>
      <c r="BW127" s="140">
        <f t="shared" si="188"/>
        <v>0.60120553493190798</v>
      </c>
      <c r="BX127" s="140">
        <f t="shared" si="188"/>
        <v>0.59147379497218788</v>
      </c>
      <c r="BY127" s="140">
        <f t="shared" si="188"/>
        <v>0.58168780128083075</v>
      </c>
      <c r="BZ127" s="140">
        <f t="shared" si="188"/>
        <v>0.57185593600904161</v>
      </c>
      <c r="CA127" s="140">
        <f t="shared" si="188"/>
        <v>0.56201405790021264</v>
      </c>
      <c r="CB127" s="140">
        <f>EXP(-CB126*CB125)</f>
        <v>0.55211570674612076</v>
      </c>
      <c r="CC127" s="17"/>
      <c r="CD127" s="17"/>
      <c r="CE127" s="17"/>
    </row>
    <row r="128" spans="1:83">
      <c r="A128" s="17"/>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17"/>
      <c r="CD128" s="17"/>
      <c r="CE128" s="17"/>
    </row>
    <row r="129" spans="1:83">
      <c r="A129" s="16" t="s">
        <v>40</v>
      </c>
      <c r="B129" s="140">
        <f t="shared" ref="B129:BM129" si="189">DAYS360($B$3,B48)</f>
        <v>223</v>
      </c>
      <c r="C129" s="140">
        <f t="shared" si="189"/>
        <v>582</v>
      </c>
      <c r="D129" s="140">
        <f t="shared" si="189"/>
        <v>942</v>
      </c>
      <c r="E129" s="140">
        <f t="shared" si="189"/>
        <v>1302</v>
      </c>
      <c r="F129" s="140">
        <f t="shared" si="189"/>
        <v>1662</v>
      </c>
      <c r="G129" s="140">
        <f t="shared" si="189"/>
        <v>2021</v>
      </c>
      <c r="H129" s="140">
        <f t="shared" si="189"/>
        <v>2381</v>
      </c>
      <c r="I129" s="140">
        <f t="shared" si="189"/>
        <v>2741</v>
      </c>
      <c r="J129" s="140">
        <f t="shared" si="189"/>
        <v>3101</v>
      </c>
      <c r="K129" s="140">
        <f t="shared" si="189"/>
        <v>3460</v>
      </c>
      <c r="L129" s="140">
        <f t="shared" si="189"/>
        <v>3820</v>
      </c>
      <c r="M129" s="140">
        <f t="shared" si="189"/>
        <v>4180</v>
      </c>
      <c r="N129" s="140">
        <f t="shared" si="189"/>
        <v>4540</v>
      </c>
      <c r="O129" s="140">
        <f t="shared" si="189"/>
        <v>4899</v>
      </c>
      <c r="P129" s="140">
        <f t="shared" si="189"/>
        <v>5259</v>
      </c>
      <c r="Q129" s="140">
        <f t="shared" si="189"/>
        <v>5619</v>
      </c>
      <c r="R129" s="140">
        <f t="shared" si="189"/>
        <v>5979</v>
      </c>
      <c r="S129" s="140">
        <f t="shared" si="189"/>
        <v>6338</v>
      </c>
      <c r="T129" s="140">
        <f t="shared" si="189"/>
        <v>6698</v>
      </c>
      <c r="U129" s="140">
        <f t="shared" si="189"/>
        <v>7058</v>
      </c>
      <c r="V129" s="140">
        <f t="shared" si="189"/>
        <v>7418</v>
      </c>
      <c r="W129" s="140">
        <f t="shared" si="189"/>
        <v>7777</v>
      </c>
      <c r="X129" s="140">
        <f t="shared" si="189"/>
        <v>8137</v>
      </c>
      <c r="Y129" s="140">
        <f t="shared" si="189"/>
        <v>8497</v>
      </c>
      <c r="Z129" s="140">
        <f t="shared" si="189"/>
        <v>8857</v>
      </c>
      <c r="AA129" s="140">
        <f t="shared" si="189"/>
        <v>9216</v>
      </c>
      <c r="AB129" s="140">
        <f t="shared" si="189"/>
        <v>9576</v>
      </c>
      <c r="AC129" s="140">
        <f t="shared" si="189"/>
        <v>9936</v>
      </c>
      <c r="AD129" s="140">
        <f t="shared" si="189"/>
        <v>10296</v>
      </c>
      <c r="AE129" s="140">
        <f t="shared" si="189"/>
        <v>10655</v>
      </c>
      <c r="AF129" s="140">
        <f t="shared" si="189"/>
        <v>11015</v>
      </c>
      <c r="AG129" s="140">
        <f t="shared" si="189"/>
        <v>11375</v>
      </c>
      <c r="AH129" s="140">
        <f t="shared" si="189"/>
        <v>11735</v>
      </c>
      <c r="AI129" s="140">
        <f t="shared" si="189"/>
        <v>12094</v>
      </c>
      <c r="AJ129" s="140">
        <f t="shared" si="189"/>
        <v>12454</v>
      </c>
      <c r="AK129" s="140">
        <f t="shared" si="189"/>
        <v>12814</v>
      </c>
      <c r="AL129" s="140">
        <f t="shared" si="189"/>
        <v>13174</v>
      </c>
      <c r="AM129" s="140">
        <f t="shared" si="189"/>
        <v>13533</v>
      </c>
      <c r="AN129" s="140">
        <f t="shared" si="189"/>
        <v>13893</v>
      </c>
      <c r="AO129" s="140">
        <f t="shared" si="189"/>
        <v>14253</v>
      </c>
      <c r="AP129" s="140">
        <f t="shared" si="189"/>
        <v>14613</v>
      </c>
      <c r="AQ129" s="140">
        <f t="shared" si="189"/>
        <v>14972</v>
      </c>
      <c r="AR129" s="140">
        <f t="shared" si="189"/>
        <v>15332</v>
      </c>
      <c r="AS129" s="140">
        <f t="shared" si="189"/>
        <v>15692</v>
      </c>
      <c r="AT129" s="140">
        <f t="shared" si="189"/>
        <v>16052</v>
      </c>
      <c r="AU129" s="140">
        <f t="shared" si="189"/>
        <v>16411</v>
      </c>
      <c r="AV129" s="140">
        <f t="shared" si="189"/>
        <v>16771</v>
      </c>
      <c r="AW129" s="140">
        <f t="shared" si="189"/>
        <v>17131</v>
      </c>
      <c r="AX129" s="140">
        <f t="shared" si="189"/>
        <v>17491</v>
      </c>
      <c r="AY129" s="140">
        <f t="shared" si="189"/>
        <v>17850</v>
      </c>
      <c r="AZ129" s="140">
        <f t="shared" si="189"/>
        <v>18210</v>
      </c>
      <c r="BA129" s="140">
        <f t="shared" si="189"/>
        <v>18570</v>
      </c>
      <c r="BB129" s="140">
        <f t="shared" si="189"/>
        <v>18930</v>
      </c>
      <c r="BC129" s="140">
        <f t="shared" si="189"/>
        <v>19289</v>
      </c>
      <c r="BD129" s="140">
        <f t="shared" si="189"/>
        <v>19649</v>
      </c>
      <c r="BE129" s="140">
        <f t="shared" si="189"/>
        <v>20009</v>
      </c>
      <c r="BF129" s="140">
        <f t="shared" si="189"/>
        <v>20369</v>
      </c>
      <c r="BG129" s="140">
        <f t="shared" si="189"/>
        <v>20729</v>
      </c>
      <c r="BH129" s="140">
        <f t="shared" si="189"/>
        <v>21089</v>
      </c>
      <c r="BI129" s="140">
        <f t="shared" si="189"/>
        <v>21449</v>
      </c>
      <c r="BJ129" s="140">
        <f t="shared" si="189"/>
        <v>21809</v>
      </c>
      <c r="BK129" s="140">
        <f t="shared" si="189"/>
        <v>22168</v>
      </c>
      <c r="BL129" s="140">
        <f t="shared" si="189"/>
        <v>22528</v>
      </c>
      <c r="BM129" s="140">
        <f t="shared" si="189"/>
        <v>22888</v>
      </c>
      <c r="BN129" s="140">
        <f t="shared" ref="BN129:CB129" si="190">DAYS360($B$3,BN48)</f>
        <v>23248</v>
      </c>
      <c r="BO129" s="140">
        <f t="shared" si="190"/>
        <v>23607</v>
      </c>
      <c r="BP129" s="140">
        <f t="shared" si="190"/>
        <v>23967</v>
      </c>
      <c r="BQ129" s="140">
        <f t="shared" si="190"/>
        <v>24327</v>
      </c>
      <c r="BR129" s="140">
        <f t="shared" si="190"/>
        <v>24687</v>
      </c>
      <c r="BS129" s="140">
        <f t="shared" si="190"/>
        <v>25046</v>
      </c>
      <c r="BT129" s="140">
        <f t="shared" si="190"/>
        <v>25406</v>
      </c>
      <c r="BU129" s="140">
        <f t="shared" si="190"/>
        <v>25766</v>
      </c>
      <c r="BV129" s="140">
        <f t="shared" si="190"/>
        <v>26126</v>
      </c>
      <c r="BW129" s="140">
        <f t="shared" si="190"/>
        <v>26485</v>
      </c>
      <c r="BX129" s="140">
        <f t="shared" si="190"/>
        <v>26845</v>
      </c>
      <c r="BY129" s="140">
        <f t="shared" si="190"/>
        <v>27205</v>
      </c>
      <c r="BZ129" s="140">
        <f t="shared" si="190"/>
        <v>27565</v>
      </c>
      <c r="CA129" s="140">
        <f t="shared" si="190"/>
        <v>27924</v>
      </c>
      <c r="CB129" s="140">
        <f t="shared" si="190"/>
        <v>28284</v>
      </c>
      <c r="CC129" s="17"/>
      <c r="CD129" s="17"/>
      <c r="CE129" s="17"/>
    </row>
    <row r="130" spans="1:83">
      <c r="A130" s="16" t="s">
        <v>41</v>
      </c>
      <c r="B130" s="140">
        <f>B129/360</f>
        <v>0.61944444444444446</v>
      </c>
      <c r="C130" s="140">
        <f t="shared" ref="C130:BN130" si="191">C129/360</f>
        <v>1.6166666666666667</v>
      </c>
      <c r="D130" s="140">
        <f t="shared" si="191"/>
        <v>2.6166666666666667</v>
      </c>
      <c r="E130" s="140">
        <f t="shared" si="191"/>
        <v>3.6166666666666667</v>
      </c>
      <c r="F130" s="140">
        <f t="shared" si="191"/>
        <v>4.6166666666666663</v>
      </c>
      <c r="G130" s="140">
        <f t="shared" si="191"/>
        <v>5.6138888888888889</v>
      </c>
      <c r="H130" s="140">
        <f t="shared" si="191"/>
        <v>6.6138888888888889</v>
      </c>
      <c r="I130" s="140">
        <f t="shared" si="191"/>
        <v>7.6138888888888889</v>
      </c>
      <c r="J130" s="140">
        <f t="shared" si="191"/>
        <v>8.6138888888888889</v>
      </c>
      <c r="K130" s="140">
        <f t="shared" si="191"/>
        <v>9.6111111111111107</v>
      </c>
      <c r="L130" s="140">
        <f t="shared" si="191"/>
        <v>10.611111111111111</v>
      </c>
      <c r="M130" s="140">
        <f t="shared" si="191"/>
        <v>11.611111111111111</v>
      </c>
      <c r="N130" s="140">
        <f t="shared" si="191"/>
        <v>12.611111111111111</v>
      </c>
      <c r="O130" s="140">
        <f t="shared" si="191"/>
        <v>13.608333333333333</v>
      </c>
      <c r="P130" s="140">
        <f t="shared" si="191"/>
        <v>14.608333333333333</v>
      </c>
      <c r="Q130" s="140">
        <f t="shared" si="191"/>
        <v>15.608333333333333</v>
      </c>
      <c r="R130" s="140">
        <f t="shared" si="191"/>
        <v>16.608333333333334</v>
      </c>
      <c r="S130" s="140">
        <f t="shared" si="191"/>
        <v>17.605555555555554</v>
      </c>
      <c r="T130" s="140">
        <f t="shared" si="191"/>
        <v>18.605555555555554</v>
      </c>
      <c r="U130" s="140">
        <f t="shared" si="191"/>
        <v>19.605555555555554</v>
      </c>
      <c r="V130" s="140">
        <f t="shared" si="191"/>
        <v>20.605555555555554</v>
      </c>
      <c r="W130" s="140">
        <f t="shared" si="191"/>
        <v>21.602777777777778</v>
      </c>
      <c r="X130" s="140">
        <f t="shared" si="191"/>
        <v>22.602777777777778</v>
      </c>
      <c r="Y130" s="140">
        <f t="shared" si="191"/>
        <v>23.602777777777778</v>
      </c>
      <c r="Z130" s="140">
        <f t="shared" si="191"/>
        <v>24.602777777777778</v>
      </c>
      <c r="AA130" s="140">
        <f t="shared" si="191"/>
        <v>25.6</v>
      </c>
      <c r="AB130" s="140">
        <f t="shared" si="191"/>
        <v>26.6</v>
      </c>
      <c r="AC130" s="140">
        <f t="shared" si="191"/>
        <v>27.6</v>
      </c>
      <c r="AD130" s="140">
        <f t="shared" si="191"/>
        <v>28.6</v>
      </c>
      <c r="AE130" s="140">
        <f t="shared" si="191"/>
        <v>29.597222222222221</v>
      </c>
      <c r="AF130" s="140">
        <f t="shared" si="191"/>
        <v>30.597222222222221</v>
      </c>
      <c r="AG130" s="140">
        <f t="shared" si="191"/>
        <v>31.597222222222221</v>
      </c>
      <c r="AH130" s="140">
        <f t="shared" si="191"/>
        <v>32.597222222222221</v>
      </c>
      <c r="AI130" s="140">
        <f t="shared" si="191"/>
        <v>33.594444444444441</v>
      </c>
      <c r="AJ130" s="140">
        <f t="shared" si="191"/>
        <v>34.594444444444441</v>
      </c>
      <c r="AK130" s="140">
        <f t="shared" si="191"/>
        <v>35.594444444444441</v>
      </c>
      <c r="AL130" s="140">
        <f t="shared" si="191"/>
        <v>36.594444444444441</v>
      </c>
      <c r="AM130" s="140">
        <f t="shared" si="191"/>
        <v>37.591666666666669</v>
      </c>
      <c r="AN130" s="140">
        <f t="shared" si="191"/>
        <v>38.591666666666669</v>
      </c>
      <c r="AO130" s="140">
        <f t="shared" si="191"/>
        <v>39.591666666666669</v>
      </c>
      <c r="AP130" s="140">
        <f t="shared" si="191"/>
        <v>40.591666666666669</v>
      </c>
      <c r="AQ130" s="140">
        <f t="shared" si="191"/>
        <v>41.588888888888889</v>
      </c>
      <c r="AR130" s="140">
        <f t="shared" si="191"/>
        <v>42.588888888888889</v>
      </c>
      <c r="AS130" s="140">
        <f t="shared" si="191"/>
        <v>43.588888888888889</v>
      </c>
      <c r="AT130" s="140">
        <f t="shared" si="191"/>
        <v>44.588888888888889</v>
      </c>
      <c r="AU130" s="140">
        <f t="shared" si="191"/>
        <v>45.586111111111109</v>
      </c>
      <c r="AV130" s="140">
        <f t="shared" si="191"/>
        <v>46.586111111111109</v>
      </c>
      <c r="AW130" s="140">
        <f t="shared" si="191"/>
        <v>47.586111111111109</v>
      </c>
      <c r="AX130" s="140">
        <f t="shared" si="191"/>
        <v>48.586111111111109</v>
      </c>
      <c r="AY130" s="140">
        <f t="shared" si="191"/>
        <v>49.583333333333336</v>
      </c>
      <c r="AZ130" s="140">
        <f t="shared" si="191"/>
        <v>50.583333333333336</v>
      </c>
      <c r="BA130" s="140">
        <f t="shared" si="191"/>
        <v>51.583333333333336</v>
      </c>
      <c r="BB130" s="140">
        <f t="shared" si="191"/>
        <v>52.583333333333336</v>
      </c>
      <c r="BC130" s="140">
        <f t="shared" si="191"/>
        <v>53.580555555555556</v>
      </c>
      <c r="BD130" s="140">
        <f t="shared" si="191"/>
        <v>54.580555555555556</v>
      </c>
      <c r="BE130" s="140">
        <f t="shared" si="191"/>
        <v>55.580555555555556</v>
      </c>
      <c r="BF130" s="140">
        <f t="shared" si="191"/>
        <v>56.580555555555556</v>
      </c>
      <c r="BG130" s="140">
        <f t="shared" si="191"/>
        <v>57.580555555555556</v>
      </c>
      <c r="BH130" s="140">
        <f t="shared" si="191"/>
        <v>58.580555555555556</v>
      </c>
      <c r="BI130" s="140">
        <f t="shared" si="191"/>
        <v>59.580555555555556</v>
      </c>
      <c r="BJ130" s="140">
        <f t="shared" si="191"/>
        <v>60.580555555555556</v>
      </c>
      <c r="BK130" s="140">
        <f t="shared" si="191"/>
        <v>61.577777777777776</v>
      </c>
      <c r="BL130" s="140">
        <f t="shared" si="191"/>
        <v>62.577777777777776</v>
      </c>
      <c r="BM130" s="140">
        <f t="shared" si="191"/>
        <v>63.577777777777776</v>
      </c>
      <c r="BN130" s="140">
        <f t="shared" si="191"/>
        <v>64.577777777777783</v>
      </c>
      <c r="BO130" s="140">
        <f t="shared" ref="BO130:CB130" si="192">BO129/360</f>
        <v>65.575000000000003</v>
      </c>
      <c r="BP130" s="140">
        <f t="shared" si="192"/>
        <v>66.575000000000003</v>
      </c>
      <c r="BQ130" s="140">
        <f t="shared" si="192"/>
        <v>67.575000000000003</v>
      </c>
      <c r="BR130" s="140">
        <f t="shared" si="192"/>
        <v>68.575000000000003</v>
      </c>
      <c r="BS130" s="140">
        <f t="shared" si="192"/>
        <v>69.572222222222223</v>
      </c>
      <c r="BT130" s="140">
        <f t="shared" si="192"/>
        <v>70.572222222222223</v>
      </c>
      <c r="BU130" s="140">
        <f t="shared" si="192"/>
        <v>71.572222222222223</v>
      </c>
      <c r="BV130" s="140">
        <f t="shared" si="192"/>
        <v>72.572222222222223</v>
      </c>
      <c r="BW130" s="140">
        <f t="shared" si="192"/>
        <v>73.569444444444443</v>
      </c>
      <c r="BX130" s="140">
        <f t="shared" si="192"/>
        <v>74.569444444444443</v>
      </c>
      <c r="BY130" s="140">
        <f t="shared" si="192"/>
        <v>75.569444444444443</v>
      </c>
      <c r="BZ130" s="140">
        <f t="shared" si="192"/>
        <v>76.569444444444443</v>
      </c>
      <c r="CA130" s="140">
        <f t="shared" si="192"/>
        <v>77.566666666666663</v>
      </c>
      <c r="CB130" s="140">
        <f t="shared" si="192"/>
        <v>78.566666666666663</v>
      </c>
      <c r="CC130" s="17"/>
      <c r="CD130" s="17"/>
      <c r="CE130" s="17"/>
    </row>
    <row r="131" spans="1:83">
      <c r="A131" s="16" t="s">
        <v>43</v>
      </c>
      <c r="B131" s="140">
        <f>IF(B129&lt;0,0,$B$5+$B$6*((1-EXP(-B130/$B$9))/(B130/$B$9))+$B$7*((1-EXP(-B130/$B$9))/(B130/$B$9)-EXP(-B130/$B$9))+$B$8*((1-EXP(-B130/$B$10))/(B130/$B$10)-EXP(-B130/$B$10)))</f>
        <v>-7.0617155237481686E-3</v>
      </c>
      <c r="C131" s="140">
        <f t="shared" ref="C131:BN131" si="193">IF(C129&lt;0,0,$B$5+$B$6*((1-EXP(-C130/$B$9))/(C130/$B$9))+$B$7*((1-EXP(-C130/$B$9))/(C130/$B$9)-EXP(-C130/$B$9))+$B$8*((1-EXP(-C130/$B$10))/(C130/$B$10)-EXP(-C130/$B$10)))</f>
        <v>-7.6037755481372302E-3</v>
      </c>
      <c r="D131" s="140">
        <f t="shared" si="193"/>
        <v>-7.710847480149041E-3</v>
      </c>
      <c r="E131" s="140">
        <f t="shared" si="193"/>
        <v>-7.5060733108696766E-3</v>
      </c>
      <c r="F131" s="140">
        <f t="shared" si="193"/>
        <v>-7.0857132915753841E-3</v>
      </c>
      <c r="G131" s="140">
        <f t="shared" si="193"/>
        <v>-6.5248026158246462E-3</v>
      </c>
      <c r="H131" s="140">
        <f t="shared" si="193"/>
        <v>-5.8754501127824283E-3</v>
      </c>
      <c r="I131" s="140">
        <f t="shared" si="193"/>
        <v>-5.1803620967415254E-3</v>
      </c>
      <c r="J131" s="140">
        <f t="shared" si="193"/>
        <v>-4.4698944531073072E-3</v>
      </c>
      <c r="K131" s="140">
        <f t="shared" si="193"/>
        <v>-3.7678449677290525E-3</v>
      </c>
      <c r="L131" s="140">
        <f t="shared" si="193"/>
        <v>-3.0856009613625997E-3</v>
      </c>
      <c r="M131" s="140">
        <f t="shared" si="193"/>
        <v>-2.4354694668241392E-3</v>
      </c>
      <c r="N131" s="140">
        <f t="shared" si="193"/>
        <v>-1.823983889435131E-3</v>
      </c>
      <c r="O131" s="140">
        <f t="shared" si="193"/>
        <v>-1.2563434079497331E-3</v>
      </c>
      <c r="P131" s="140">
        <f t="shared" si="193"/>
        <v>-7.3094638958840635E-4</v>
      </c>
      <c r="Q131" s="140">
        <f t="shared" si="193"/>
        <v>-2.494563483878276E-4</v>
      </c>
      <c r="R131" s="140">
        <f t="shared" si="193"/>
        <v>1.8920528010434035E-4</v>
      </c>
      <c r="S131" s="140">
        <f t="shared" si="193"/>
        <v>5.8582725308489736E-4</v>
      </c>
      <c r="T131" s="140">
        <f t="shared" si="193"/>
        <v>9.4495213051269678E-4</v>
      </c>
      <c r="U131" s="140">
        <f t="shared" si="193"/>
        <v>1.2680610627495113E-3</v>
      </c>
      <c r="V131" s="140">
        <f t="shared" si="193"/>
        <v>1.5579530282883065E-3</v>
      </c>
      <c r="W131" s="140">
        <f t="shared" si="193"/>
        <v>1.8167942659555215E-3</v>
      </c>
      <c r="X131" s="140">
        <f t="shared" si="193"/>
        <v>2.0488383565136874E-3</v>
      </c>
      <c r="Y131" s="140">
        <f t="shared" si="193"/>
        <v>2.256056709701932E-3</v>
      </c>
      <c r="Z131" s="140">
        <f t="shared" si="193"/>
        <v>2.4410600941745693E-3</v>
      </c>
      <c r="AA131" s="140">
        <f t="shared" si="193"/>
        <v>2.6058787369594369E-3</v>
      </c>
      <c r="AB131" s="140">
        <f t="shared" si="193"/>
        <v>2.7537290656083901E-3</v>
      </c>
      <c r="AC131" s="140">
        <f t="shared" si="193"/>
        <v>2.8862621567856232E-3</v>
      </c>
      <c r="AD131" s="140">
        <f t="shared" si="193"/>
        <v>3.0054462511628945E-3</v>
      </c>
      <c r="AE131" s="140">
        <f t="shared" si="193"/>
        <v>3.1127997062016521E-3</v>
      </c>
      <c r="AF131" s="140">
        <f t="shared" si="193"/>
        <v>3.210560289449254E-3</v>
      </c>
      <c r="AG131" s="140">
        <f t="shared" si="193"/>
        <v>3.2999053398233766E-3</v>
      </c>
      <c r="AH131" s="140">
        <f t="shared" si="193"/>
        <v>3.3821830646599757E-3</v>
      </c>
      <c r="AI131" s="140">
        <f t="shared" si="193"/>
        <v>3.4584023696054532E-3</v>
      </c>
      <c r="AJ131" s="140">
        <f t="shared" si="193"/>
        <v>3.5300751228181035E-3</v>
      </c>
      <c r="AK131" s="140">
        <f t="shared" si="193"/>
        <v>3.597956349161123E-3</v>
      </c>
      <c r="AL131" s="140">
        <f t="shared" si="193"/>
        <v>3.6629152894082778E-3</v>
      </c>
      <c r="AM131" s="140">
        <f t="shared" si="193"/>
        <v>3.7255522918672804E-3</v>
      </c>
      <c r="AN131" s="140">
        <f t="shared" si="193"/>
        <v>3.786899071560549E-3</v>
      </c>
      <c r="AO131" s="140">
        <f t="shared" si="193"/>
        <v>3.8473826674040208E-3</v>
      </c>
      <c r="AP131" s="140">
        <f t="shared" si="193"/>
        <v>3.907534398227646E-3</v>
      </c>
      <c r="AQ131" s="140">
        <f t="shared" si="193"/>
        <v>3.9676516140493556E-3</v>
      </c>
      <c r="AR131" s="140">
        <f t="shared" si="193"/>
        <v>4.0284741865719252E-3</v>
      </c>
      <c r="AS131" s="140">
        <f t="shared" si="193"/>
        <v>4.090187300172049E-3</v>
      </c>
      <c r="AT131" s="140">
        <f t="shared" si="193"/>
        <v>4.1530948560102171E-3</v>
      </c>
      <c r="AU131" s="140">
        <f t="shared" si="193"/>
        <v>4.2172762849209955E-3</v>
      </c>
      <c r="AV131" s="140">
        <f t="shared" si="193"/>
        <v>4.2833101254247871E-3</v>
      </c>
      <c r="AW131" s="140">
        <f t="shared" si="193"/>
        <v>4.3512063190708113E-3</v>
      </c>
      <c r="AX131" s="140">
        <f t="shared" si="193"/>
        <v>4.421120172410066E-3</v>
      </c>
      <c r="AY131" s="140">
        <f t="shared" si="193"/>
        <v>4.492975804566722E-3</v>
      </c>
      <c r="AZ131" s="140">
        <f t="shared" si="193"/>
        <v>4.5672757312999225E-3</v>
      </c>
      <c r="BA131" s="140">
        <f t="shared" si="193"/>
        <v>4.643903076042722E-3</v>
      </c>
      <c r="BB131" s="140">
        <f t="shared" si="193"/>
        <v>4.7229183111442107E-3</v>
      </c>
      <c r="BC131" s="140">
        <f t="shared" si="193"/>
        <v>4.8041347147932158E-3</v>
      </c>
      <c r="BD131" s="140">
        <f t="shared" si="193"/>
        <v>4.8880320505897273E-3</v>
      </c>
      <c r="BE131" s="140">
        <f t="shared" si="193"/>
        <v>4.9744010975817203E-3</v>
      </c>
      <c r="BF131" s="140">
        <f t="shared" si="193"/>
        <v>5.0632433178526802E-3</v>
      </c>
      <c r="BG131" s="140">
        <f t="shared" si="193"/>
        <v>5.1545494745135444E-3</v>
      </c>
      <c r="BH131" s="140">
        <f t="shared" si="193"/>
        <v>5.2483009403502569E-3</v>
      </c>
      <c r="BI131" s="140">
        <f t="shared" si="193"/>
        <v>5.3444708739933643E-3</v>
      </c>
      <c r="BJ131" s="140">
        <f t="shared" si="193"/>
        <v>5.4430252765630162E-3</v>
      </c>
      <c r="BK131" s="140">
        <f t="shared" si="193"/>
        <v>5.5436404604685373E-3</v>
      </c>
      <c r="BL131" s="140">
        <f t="shared" si="193"/>
        <v>5.6468315035530653E-3</v>
      </c>
      <c r="BM131" s="140">
        <f t="shared" si="193"/>
        <v>5.7522712311794608E-3</v>
      </c>
      <c r="BN131" s="140">
        <f t="shared" si="193"/>
        <v>5.8599055882457944E-3</v>
      </c>
      <c r="BO131" s="140">
        <f t="shared" ref="BO131:CB131" si="194">IF(BO129&lt;0,0,$B$5+$B$6*((1-EXP(-BO130/$B$9))/(BO130/$B$9))+$B$7*((1-EXP(-BO130/$B$9))/(BO130/$B$9)-EXP(-BO130/$B$9))+$B$8*((1-EXP(-BO130/$B$10))/(BO130/$B$10)-EXP(-BO130/$B$10)))</f>
        <v>5.9693693978463726E-3</v>
      </c>
      <c r="BP131" s="140">
        <f t="shared" si="194"/>
        <v>6.081212533138862E-3</v>
      </c>
      <c r="BQ131" s="140">
        <f t="shared" si="194"/>
        <v>6.1950706799002581E-3</v>
      </c>
      <c r="BR131" s="140">
        <f t="shared" si="194"/>
        <v>6.3108796822292125E-3</v>
      </c>
      <c r="BS131" s="140">
        <f t="shared" si="194"/>
        <v>6.428244485933144E-3</v>
      </c>
      <c r="BT131" s="140">
        <f t="shared" si="194"/>
        <v>6.5477524451314668E-3</v>
      </c>
      <c r="BU131" s="140">
        <f t="shared" si="194"/>
        <v>6.6690118287289386E-3</v>
      </c>
      <c r="BV131" s="140">
        <f t="shared" si="194"/>
        <v>6.7919547621716758E-3</v>
      </c>
      <c r="BW131" s="140">
        <f t="shared" si="194"/>
        <v>6.9161649719451414E-3</v>
      </c>
      <c r="BX131" s="140">
        <f t="shared" si="194"/>
        <v>7.0422664822694346E-3</v>
      </c>
      <c r="BY131" s="140">
        <f t="shared" si="194"/>
        <v>7.1698475895492948E-3</v>
      </c>
      <c r="BZ131" s="140">
        <f t="shared" si="194"/>
        <v>7.2988407256104754E-3</v>
      </c>
      <c r="CA131" s="140">
        <f t="shared" si="194"/>
        <v>7.4288149807989826E-3</v>
      </c>
      <c r="CB131" s="140">
        <f t="shared" si="194"/>
        <v>7.5604281841375777E-3</v>
      </c>
      <c r="CC131" s="17"/>
      <c r="CD131" s="17"/>
      <c r="CE131" s="17"/>
    </row>
    <row r="132" spans="1:83">
      <c r="A132" s="16" t="s">
        <v>44</v>
      </c>
      <c r="B132" s="140">
        <f>EXP(-B131*B130)</f>
        <v>1.0043839218422805</v>
      </c>
      <c r="C132" s="140">
        <f t="shared" ref="C132:AR132" si="195">EXP(-C131*C130)</f>
        <v>1.012368637124138</v>
      </c>
      <c r="D132" s="140">
        <f t="shared" si="195"/>
        <v>1.0203816434625181</v>
      </c>
      <c r="E132" s="140">
        <f t="shared" si="195"/>
        <v>1.0275188011129346</v>
      </c>
      <c r="F132" s="140">
        <f t="shared" si="195"/>
        <v>1.0332533084233047</v>
      </c>
      <c r="G132" s="140">
        <f t="shared" si="195"/>
        <v>1.0373086443252861</v>
      </c>
      <c r="H132" s="140">
        <f t="shared" si="195"/>
        <v>1.0396244833183947</v>
      </c>
      <c r="I132" s="140">
        <f t="shared" si="195"/>
        <v>1.0402308934126057</v>
      </c>
      <c r="J132" s="140">
        <f t="shared" si="195"/>
        <v>1.0392540271156006</v>
      </c>
      <c r="K132" s="140">
        <f t="shared" si="195"/>
        <v>1.0368768608519021</v>
      </c>
      <c r="L132" s="140">
        <f t="shared" si="195"/>
        <v>1.0332835607487352</v>
      </c>
      <c r="M132" s="140">
        <f t="shared" si="195"/>
        <v>1.028682139281524</v>
      </c>
      <c r="N132" s="140">
        <f t="shared" si="195"/>
        <v>1.0232690603618588</v>
      </c>
      <c r="O132" s="140">
        <f t="shared" si="195"/>
        <v>1.0172437255978048</v>
      </c>
      <c r="P132" s="140">
        <f t="shared" si="195"/>
        <v>1.0107351208275979</v>
      </c>
      <c r="Q132" s="140">
        <f t="shared" si="195"/>
        <v>1.0039011877372894</v>
      </c>
      <c r="R132" s="140">
        <f t="shared" si="195"/>
        <v>0.99686254776177419</v>
      </c>
      <c r="S132" s="140">
        <f t="shared" si="195"/>
        <v>0.98973919074763383</v>
      </c>
      <c r="T132" s="140">
        <f t="shared" si="195"/>
        <v>0.98257229095867926</v>
      </c>
      <c r="U132" s="140">
        <f t="shared" si="195"/>
        <v>0.975445448936752</v>
      </c>
      <c r="V132" s="140">
        <f t="shared" si="195"/>
        <v>0.96840732717540023</v>
      </c>
      <c r="W132" s="140">
        <f t="shared" si="195"/>
        <v>0.96151241415848487</v>
      </c>
      <c r="X132" s="140">
        <f t="shared" si="195"/>
        <v>0.95474648156335373</v>
      </c>
      <c r="Y132" s="140">
        <f t="shared" si="195"/>
        <v>0.94814370072334619</v>
      </c>
      <c r="Z132" s="140">
        <f t="shared" si="195"/>
        <v>0.9417109872800471</v>
      </c>
      <c r="AA132" s="140">
        <f t="shared" si="195"/>
        <v>0.93546598359497579</v>
      </c>
      <c r="AB132" s="140">
        <f t="shared" si="195"/>
        <v>0.92936920873161166</v>
      </c>
      <c r="AC132" s="140">
        <f t="shared" si="195"/>
        <v>0.9234294877557262</v>
      </c>
      <c r="AD132" s="140">
        <f t="shared" si="195"/>
        <v>0.91763482393288565</v>
      </c>
      <c r="AE132" s="140">
        <f t="shared" si="195"/>
        <v>0.91198637871604182</v>
      </c>
      <c r="AF132" s="140">
        <f t="shared" si="195"/>
        <v>0.90643656730126232</v>
      </c>
      <c r="AG132" s="140">
        <f t="shared" si="195"/>
        <v>0.90098394345730304</v>
      </c>
      <c r="AH132" s="140">
        <f t="shared" si="195"/>
        <v>0.89561040809906789</v>
      </c>
      <c r="AI132" s="140">
        <f t="shared" si="195"/>
        <v>0.89031218662578182</v>
      </c>
      <c r="AJ132" s="140">
        <f t="shared" si="195"/>
        <v>0.88504128289688644</v>
      </c>
      <c r="AK132" s="140">
        <f t="shared" si="195"/>
        <v>0.87979420449826573</v>
      </c>
      <c r="AL132" s="140">
        <f t="shared" si="195"/>
        <v>0.874553026443326</v>
      </c>
      <c r="AM132" s="140">
        <f t="shared" si="195"/>
        <v>0.86931501206437334</v>
      </c>
      <c r="AN132" s="140">
        <f t="shared" si="195"/>
        <v>0.86403435635406467</v>
      </c>
      <c r="AO132" s="140">
        <f t="shared" si="195"/>
        <v>0.85870976278472699</v>
      </c>
      <c r="AP132" s="140">
        <f t="shared" si="195"/>
        <v>0.85332624762003018</v>
      </c>
      <c r="AQ132" s="140">
        <f t="shared" si="195"/>
        <v>0.84788503685549654</v>
      </c>
      <c r="AR132" s="140">
        <f t="shared" si="195"/>
        <v>0.84234278498832571</v>
      </c>
      <c r="AS132" s="140">
        <f>EXP(-AS131*AS130)</f>
        <v>0.83670248995483121</v>
      </c>
      <c r="AT132" s="140">
        <f t="shared" ref="AT132:CA132" si="196">EXP(-AT131*AT130)</f>
        <v>0.83095313212979338</v>
      </c>
      <c r="AU132" s="140">
        <f t="shared" si="196"/>
        <v>0.82510120676010978</v>
      </c>
      <c r="AV132" s="140">
        <f t="shared" si="196"/>
        <v>0.81910519395757608</v>
      </c>
      <c r="AW132" s="140">
        <f t="shared" si="196"/>
        <v>0.81297331945880524</v>
      </c>
      <c r="AX132" s="140">
        <f t="shared" si="196"/>
        <v>0.80669870210699501</v>
      </c>
      <c r="AY132" s="140">
        <f t="shared" si="196"/>
        <v>0.80029352130377618</v>
      </c>
      <c r="AZ132" s="140">
        <f t="shared" si="196"/>
        <v>0.79371721724120892</v>
      </c>
      <c r="BA132" s="140">
        <f t="shared" si="196"/>
        <v>0.78698349696052528</v>
      </c>
      <c r="BB132" s="140">
        <f t="shared" si="196"/>
        <v>0.78008937084082497</v>
      </c>
      <c r="BC132" s="140">
        <f t="shared" si="196"/>
        <v>0.7730525838862049</v>
      </c>
      <c r="BD132" s="140">
        <f t="shared" si="196"/>
        <v>0.76583272719629114</v>
      </c>
      <c r="BE132" s="140">
        <f t="shared" si="196"/>
        <v>0.75844880573396478</v>
      </c>
      <c r="BF132" s="140">
        <f t="shared" si="196"/>
        <v>0.75090125553531484</v>
      </c>
      <c r="BG132" s="140">
        <f t="shared" si="196"/>
        <v>0.74319128164731363</v>
      </c>
      <c r="BH132" s="140">
        <f t="shared" si="196"/>
        <v>0.73532082029330392</v>
      </c>
      <c r="BI132" s="140">
        <f t="shared" si="196"/>
        <v>0.7272925001200744</v>
      </c>
      <c r="BJ132" s="140">
        <f t="shared" si="196"/>
        <v>0.71910960272170121</v>
      </c>
      <c r="BK132" s="140">
        <f t="shared" si="196"/>
        <v>0.71079937616452959</v>
      </c>
      <c r="BL132" s="140">
        <f t="shared" si="196"/>
        <v>0.70231997990401618</v>
      </c>
      <c r="BM132" s="140">
        <f t="shared" si="196"/>
        <v>0.69369935245733094</v>
      </c>
      <c r="BN132" s="140">
        <f t="shared" si="196"/>
        <v>0.68494298286583088</v>
      </c>
      <c r="BO132" s="140">
        <f t="shared" si="196"/>
        <v>0.67608166889346122</v>
      </c>
      <c r="BP132" s="140">
        <f t="shared" si="196"/>
        <v>0.66707237921156837</v>
      </c>
      <c r="BQ132" s="140">
        <f t="shared" si="196"/>
        <v>0.65794633996047713</v>
      </c>
      <c r="BR132" s="140">
        <f t="shared" si="196"/>
        <v>0.64871060279899662</v>
      </c>
      <c r="BS132" s="140">
        <f t="shared" si="196"/>
        <v>0.63939858595713384</v>
      </c>
      <c r="BT132" s="140">
        <f t="shared" si="196"/>
        <v>0.62996599287694222</v>
      </c>
      <c r="BU132" s="140">
        <f t="shared" si="196"/>
        <v>0.62044643934265309</v>
      </c>
      <c r="BV132" s="140">
        <f t="shared" si="196"/>
        <v>0.61084792238568397</v>
      </c>
      <c r="BW132" s="140">
        <f t="shared" si="196"/>
        <v>0.60120553493190798</v>
      </c>
      <c r="BX132" s="140">
        <f t="shared" si="196"/>
        <v>0.59147379497218788</v>
      </c>
      <c r="BY132" s="140">
        <f t="shared" si="196"/>
        <v>0.58168780128083075</v>
      </c>
      <c r="BZ132" s="140">
        <f t="shared" si="196"/>
        <v>0.57185593600904161</v>
      </c>
      <c r="CA132" s="140">
        <f t="shared" si="196"/>
        <v>0.56201405790021264</v>
      </c>
      <c r="CB132" s="140">
        <f>EXP(-CB131*CB130)</f>
        <v>0.55211570674612076</v>
      </c>
      <c r="CC132" s="17"/>
      <c r="CD132" s="17"/>
      <c r="CE132" s="17"/>
    </row>
    <row r="133" spans="1:83">
      <c r="A133" s="17"/>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17"/>
      <c r="CD133" s="17"/>
      <c r="CE133" s="17"/>
    </row>
    <row r="134" spans="1:83">
      <c r="A134" s="16" t="s">
        <v>40</v>
      </c>
      <c r="B134" s="140">
        <f t="shared" ref="B134:BM134" si="197">DAYS360($B$3,B50)</f>
        <v>223</v>
      </c>
      <c r="C134" s="140">
        <f t="shared" si="197"/>
        <v>582</v>
      </c>
      <c r="D134" s="140">
        <f t="shared" si="197"/>
        <v>942</v>
      </c>
      <c r="E134" s="140">
        <f t="shared" si="197"/>
        <v>1302</v>
      </c>
      <c r="F134" s="140">
        <f t="shared" si="197"/>
        <v>1662</v>
      </c>
      <c r="G134" s="140">
        <f t="shared" si="197"/>
        <v>2021</v>
      </c>
      <c r="H134" s="140">
        <f t="shared" si="197"/>
        <v>2381</v>
      </c>
      <c r="I134" s="140">
        <f t="shared" si="197"/>
        <v>2741</v>
      </c>
      <c r="J134" s="140">
        <f t="shared" si="197"/>
        <v>3101</v>
      </c>
      <c r="K134" s="140">
        <f t="shared" si="197"/>
        <v>3460</v>
      </c>
      <c r="L134" s="140">
        <f t="shared" si="197"/>
        <v>3820</v>
      </c>
      <c r="M134" s="140">
        <f t="shared" si="197"/>
        <v>4180</v>
      </c>
      <c r="N134" s="140">
        <f t="shared" si="197"/>
        <v>4540</v>
      </c>
      <c r="O134" s="140">
        <f t="shared" si="197"/>
        <v>4899</v>
      </c>
      <c r="P134" s="140">
        <f t="shared" si="197"/>
        <v>5259</v>
      </c>
      <c r="Q134" s="140">
        <f t="shared" si="197"/>
        <v>5619</v>
      </c>
      <c r="R134" s="140">
        <f t="shared" si="197"/>
        <v>5979</v>
      </c>
      <c r="S134" s="140">
        <f t="shared" si="197"/>
        <v>6338</v>
      </c>
      <c r="T134" s="140">
        <f t="shared" si="197"/>
        <v>6698</v>
      </c>
      <c r="U134" s="140">
        <f t="shared" si="197"/>
        <v>7058</v>
      </c>
      <c r="V134" s="140">
        <f t="shared" si="197"/>
        <v>7418</v>
      </c>
      <c r="W134" s="140">
        <f t="shared" si="197"/>
        <v>7777</v>
      </c>
      <c r="X134" s="140">
        <f t="shared" si="197"/>
        <v>8137</v>
      </c>
      <c r="Y134" s="140">
        <f t="shared" si="197"/>
        <v>8497</v>
      </c>
      <c r="Z134" s="140">
        <f t="shared" si="197"/>
        <v>8857</v>
      </c>
      <c r="AA134" s="140">
        <f t="shared" si="197"/>
        <v>9216</v>
      </c>
      <c r="AB134" s="140">
        <f t="shared" si="197"/>
        <v>9576</v>
      </c>
      <c r="AC134" s="140">
        <f t="shared" si="197"/>
        <v>9936</v>
      </c>
      <c r="AD134" s="140">
        <f t="shared" si="197"/>
        <v>10296</v>
      </c>
      <c r="AE134" s="140">
        <f t="shared" si="197"/>
        <v>10655</v>
      </c>
      <c r="AF134" s="140">
        <f t="shared" si="197"/>
        <v>11015</v>
      </c>
      <c r="AG134" s="140">
        <f t="shared" si="197"/>
        <v>11375</v>
      </c>
      <c r="AH134" s="140">
        <f t="shared" si="197"/>
        <v>11735</v>
      </c>
      <c r="AI134" s="140">
        <f t="shared" si="197"/>
        <v>12094</v>
      </c>
      <c r="AJ134" s="140">
        <f t="shared" si="197"/>
        <v>12454</v>
      </c>
      <c r="AK134" s="140">
        <f t="shared" si="197"/>
        <v>12814</v>
      </c>
      <c r="AL134" s="140">
        <f t="shared" si="197"/>
        <v>13174</v>
      </c>
      <c r="AM134" s="140">
        <f t="shared" si="197"/>
        <v>13533</v>
      </c>
      <c r="AN134" s="140">
        <f t="shared" si="197"/>
        <v>13893</v>
      </c>
      <c r="AO134" s="140">
        <f t="shared" si="197"/>
        <v>14253</v>
      </c>
      <c r="AP134" s="140">
        <f t="shared" si="197"/>
        <v>14613</v>
      </c>
      <c r="AQ134" s="140">
        <f t="shared" si="197"/>
        <v>14972</v>
      </c>
      <c r="AR134" s="140">
        <f t="shared" si="197"/>
        <v>15332</v>
      </c>
      <c r="AS134" s="140">
        <f t="shared" si="197"/>
        <v>15692</v>
      </c>
      <c r="AT134" s="140">
        <f t="shared" si="197"/>
        <v>16052</v>
      </c>
      <c r="AU134" s="140">
        <f t="shared" si="197"/>
        <v>16411</v>
      </c>
      <c r="AV134" s="140">
        <f t="shared" si="197"/>
        <v>16771</v>
      </c>
      <c r="AW134" s="140">
        <f t="shared" si="197"/>
        <v>17131</v>
      </c>
      <c r="AX134" s="140">
        <f t="shared" si="197"/>
        <v>17491</v>
      </c>
      <c r="AY134" s="140">
        <f t="shared" si="197"/>
        <v>17850</v>
      </c>
      <c r="AZ134" s="140">
        <f t="shared" si="197"/>
        <v>18210</v>
      </c>
      <c r="BA134" s="140">
        <f t="shared" si="197"/>
        <v>18570</v>
      </c>
      <c r="BB134" s="140">
        <f t="shared" si="197"/>
        <v>18930</v>
      </c>
      <c r="BC134" s="140">
        <f t="shared" si="197"/>
        <v>19289</v>
      </c>
      <c r="BD134" s="140">
        <f t="shared" si="197"/>
        <v>19649</v>
      </c>
      <c r="BE134" s="140">
        <f t="shared" si="197"/>
        <v>20009</v>
      </c>
      <c r="BF134" s="140">
        <f t="shared" si="197"/>
        <v>20369</v>
      </c>
      <c r="BG134" s="140">
        <f t="shared" si="197"/>
        <v>20729</v>
      </c>
      <c r="BH134" s="140">
        <f t="shared" si="197"/>
        <v>21089</v>
      </c>
      <c r="BI134" s="140">
        <f t="shared" si="197"/>
        <v>21449</v>
      </c>
      <c r="BJ134" s="140">
        <f t="shared" si="197"/>
        <v>21809</v>
      </c>
      <c r="BK134" s="140">
        <f t="shared" si="197"/>
        <v>22168</v>
      </c>
      <c r="BL134" s="140">
        <f t="shared" si="197"/>
        <v>22528</v>
      </c>
      <c r="BM134" s="140">
        <f t="shared" si="197"/>
        <v>22888</v>
      </c>
      <c r="BN134" s="140">
        <f t="shared" ref="BN134:CB134" si="198">DAYS360($B$3,BN50)</f>
        <v>23248</v>
      </c>
      <c r="BO134" s="140">
        <f t="shared" si="198"/>
        <v>23607</v>
      </c>
      <c r="BP134" s="140">
        <f t="shared" si="198"/>
        <v>23967</v>
      </c>
      <c r="BQ134" s="140">
        <f t="shared" si="198"/>
        <v>24327</v>
      </c>
      <c r="BR134" s="140">
        <f t="shared" si="198"/>
        <v>24687</v>
      </c>
      <c r="BS134" s="140">
        <f t="shared" si="198"/>
        <v>25046</v>
      </c>
      <c r="BT134" s="140">
        <f t="shared" si="198"/>
        <v>25406</v>
      </c>
      <c r="BU134" s="140">
        <f t="shared" si="198"/>
        <v>25766</v>
      </c>
      <c r="BV134" s="140">
        <f t="shared" si="198"/>
        <v>26126</v>
      </c>
      <c r="BW134" s="140">
        <f t="shared" si="198"/>
        <v>26485</v>
      </c>
      <c r="BX134" s="140">
        <f t="shared" si="198"/>
        <v>26845</v>
      </c>
      <c r="BY134" s="140">
        <f t="shared" si="198"/>
        <v>27205</v>
      </c>
      <c r="BZ134" s="140">
        <f t="shared" si="198"/>
        <v>27565</v>
      </c>
      <c r="CA134" s="140">
        <f t="shared" si="198"/>
        <v>27924</v>
      </c>
      <c r="CB134" s="140">
        <f t="shared" si="198"/>
        <v>28284</v>
      </c>
      <c r="CC134" s="17"/>
      <c r="CD134" s="17"/>
      <c r="CE134" s="17"/>
    </row>
    <row r="135" spans="1:83">
      <c r="A135" s="16" t="s">
        <v>41</v>
      </c>
      <c r="B135" s="140">
        <f>B134/360</f>
        <v>0.61944444444444446</v>
      </c>
      <c r="C135" s="140">
        <f t="shared" ref="C135:BN135" si="199">C134/360</f>
        <v>1.6166666666666667</v>
      </c>
      <c r="D135" s="140">
        <f t="shared" si="199"/>
        <v>2.6166666666666667</v>
      </c>
      <c r="E135" s="140">
        <f t="shared" si="199"/>
        <v>3.6166666666666667</v>
      </c>
      <c r="F135" s="140">
        <f t="shared" si="199"/>
        <v>4.6166666666666663</v>
      </c>
      <c r="G135" s="140">
        <f t="shared" si="199"/>
        <v>5.6138888888888889</v>
      </c>
      <c r="H135" s="140">
        <f t="shared" si="199"/>
        <v>6.6138888888888889</v>
      </c>
      <c r="I135" s="140">
        <f t="shared" si="199"/>
        <v>7.6138888888888889</v>
      </c>
      <c r="J135" s="140">
        <f t="shared" si="199"/>
        <v>8.6138888888888889</v>
      </c>
      <c r="K135" s="140">
        <f t="shared" si="199"/>
        <v>9.6111111111111107</v>
      </c>
      <c r="L135" s="140">
        <f t="shared" si="199"/>
        <v>10.611111111111111</v>
      </c>
      <c r="M135" s="140">
        <f t="shared" si="199"/>
        <v>11.611111111111111</v>
      </c>
      <c r="N135" s="140">
        <f t="shared" si="199"/>
        <v>12.611111111111111</v>
      </c>
      <c r="O135" s="140">
        <f t="shared" si="199"/>
        <v>13.608333333333333</v>
      </c>
      <c r="P135" s="140">
        <f t="shared" si="199"/>
        <v>14.608333333333333</v>
      </c>
      <c r="Q135" s="140">
        <f t="shared" si="199"/>
        <v>15.608333333333333</v>
      </c>
      <c r="R135" s="140">
        <f t="shared" si="199"/>
        <v>16.608333333333334</v>
      </c>
      <c r="S135" s="140">
        <f t="shared" si="199"/>
        <v>17.605555555555554</v>
      </c>
      <c r="T135" s="140">
        <f t="shared" si="199"/>
        <v>18.605555555555554</v>
      </c>
      <c r="U135" s="140">
        <f t="shared" si="199"/>
        <v>19.605555555555554</v>
      </c>
      <c r="V135" s="140">
        <f t="shared" si="199"/>
        <v>20.605555555555554</v>
      </c>
      <c r="W135" s="140">
        <f t="shared" si="199"/>
        <v>21.602777777777778</v>
      </c>
      <c r="X135" s="140">
        <f t="shared" si="199"/>
        <v>22.602777777777778</v>
      </c>
      <c r="Y135" s="140">
        <f t="shared" si="199"/>
        <v>23.602777777777778</v>
      </c>
      <c r="Z135" s="140">
        <f t="shared" si="199"/>
        <v>24.602777777777778</v>
      </c>
      <c r="AA135" s="140">
        <f t="shared" si="199"/>
        <v>25.6</v>
      </c>
      <c r="AB135" s="140">
        <f t="shared" si="199"/>
        <v>26.6</v>
      </c>
      <c r="AC135" s="140">
        <f t="shared" si="199"/>
        <v>27.6</v>
      </c>
      <c r="AD135" s="140">
        <f t="shared" si="199"/>
        <v>28.6</v>
      </c>
      <c r="AE135" s="140">
        <f t="shared" si="199"/>
        <v>29.597222222222221</v>
      </c>
      <c r="AF135" s="140">
        <f t="shared" si="199"/>
        <v>30.597222222222221</v>
      </c>
      <c r="AG135" s="140">
        <f t="shared" si="199"/>
        <v>31.597222222222221</v>
      </c>
      <c r="AH135" s="140">
        <f t="shared" si="199"/>
        <v>32.597222222222221</v>
      </c>
      <c r="AI135" s="140">
        <f t="shared" si="199"/>
        <v>33.594444444444441</v>
      </c>
      <c r="AJ135" s="140">
        <f t="shared" si="199"/>
        <v>34.594444444444441</v>
      </c>
      <c r="AK135" s="140">
        <f t="shared" si="199"/>
        <v>35.594444444444441</v>
      </c>
      <c r="AL135" s="140">
        <f t="shared" si="199"/>
        <v>36.594444444444441</v>
      </c>
      <c r="AM135" s="140">
        <f t="shared" si="199"/>
        <v>37.591666666666669</v>
      </c>
      <c r="AN135" s="140">
        <f t="shared" si="199"/>
        <v>38.591666666666669</v>
      </c>
      <c r="AO135" s="140">
        <f t="shared" si="199"/>
        <v>39.591666666666669</v>
      </c>
      <c r="AP135" s="140">
        <f t="shared" si="199"/>
        <v>40.591666666666669</v>
      </c>
      <c r="AQ135" s="140">
        <f t="shared" si="199"/>
        <v>41.588888888888889</v>
      </c>
      <c r="AR135" s="140">
        <f t="shared" si="199"/>
        <v>42.588888888888889</v>
      </c>
      <c r="AS135" s="140">
        <f t="shared" si="199"/>
        <v>43.588888888888889</v>
      </c>
      <c r="AT135" s="140">
        <f t="shared" si="199"/>
        <v>44.588888888888889</v>
      </c>
      <c r="AU135" s="140">
        <f t="shared" si="199"/>
        <v>45.586111111111109</v>
      </c>
      <c r="AV135" s="140">
        <f t="shared" si="199"/>
        <v>46.586111111111109</v>
      </c>
      <c r="AW135" s="140">
        <f t="shared" si="199"/>
        <v>47.586111111111109</v>
      </c>
      <c r="AX135" s="140">
        <f t="shared" si="199"/>
        <v>48.586111111111109</v>
      </c>
      <c r="AY135" s="140">
        <f t="shared" si="199"/>
        <v>49.583333333333336</v>
      </c>
      <c r="AZ135" s="140">
        <f t="shared" si="199"/>
        <v>50.583333333333336</v>
      </c>
      <c r="BA135" s="140">
        <f t="shared" si="199"/>
        <v>51.583333333333336</v>
      </c>
      <c r="BB135" s="140">
        <f t="shared" si="199"/>
        <v>52.583333333333336</v>
      </c>
      <c r="BC135" s="140">
        <f t="shared" si="199"/>
        <v>53.580555555555556</v>
      </c>
      <c r="BD135" s="140">
        <f t="shared" si="199"/>
        <v>54.580555555555556</v>
      </c>
      <c r="BE135" s="140">
        <f t="shared" si="199"/>
        <v>55.580555555555556</v>
      </c>
      <c r="BF135" s="140">
        <f t="shared" si="199"/>
        <v>56.580555555555556</v>
      </c>
      <c r="BG135" s="140">
        <f t="shared" si="199"/>
        <v>57.580555555555556</v>
      </c>
      <c r="BH135" s="140">
        <f t="shared" si="199"/>
        <v>58.580555555555556</v>
      </c>
      <c r="BI135" s="140">
        <f t="shared" si="199"/>
        <v>59.580555555555556</v>
      </c>
      <c r="BJ135" s="140">
        <f t="shared" si="199"/>
        <v>60.580555555555556</v>
      </c>
      <c r="BK135" s="140">
        <f t="shared" si="199"/>
        <v>61.577777777777776</v>
      </c>
      <c r="BL135" s="140">
        <f t="shared" si="199"/>
        <v>62.577777777777776</v>
      </c>
      <c r="BM135" s="140">
        <f t="shared" si="199"/>
        <v>63.577777777777776</v>
      </c>
      <c r="BN135" s="140">
        <f t="shared" si="199"/>
        <v>64.577777777777783</v>
      </c>
      <c r="BO135" s="140">
        <f t="shared" ref="BO135:CB135" si="200">BO134/360</f>
        <v>65.575000000000003</v>
      </c>
      <c r="BP135" s="140">
        <f t="shared" si="200"/>
        <v>66.575000000000003</v>
      </c>
      <c r="BQ135" s="140">
        <f t="shared" si="200"/>
        <v>67.575000000000003</v>
      </c>
      <c r="BR135" s="140">
        <f t="shared" si="200"/>
        <v>68.575000000000003</v>
      </c>
      <c r="BS135" s="140">
        <f t="shared" si="200"/>
        <v>69.572222222222223</v>
      </c>
      <c r="BT135" s="140">
        <f t="shared" si="200"/>
        <v>70.572222222222223</v>
      </c>
      <c r="BU135" s="140">
        <f t="shared" si="200"/>
        <v>71.572222222222223</v>
      </c>
      <c r="BV135" s="140">
        <f t="shared" si="200"/>
        <v>72.572222222222223</v>
      </c>
      <c r="BW135" s="140">
        <f t="shared" si="200"/>
        <v>73.569444444444443</v>
      </c>
      <c r="BX135" s="140">
        <f t="shared" si="200"/>
        <v>74.569444444444443</v>
      </c>
      <c r="BY135" s="140">
        <f t="shared" si="200"/>
        <v>75.569444444444443</v>
      </c>
      <c r="BZ135" s="140">
        <f t="shared" si="200"/>
        <v>76.569444444444443</v>
      </c>
      <c r="CA135" s="140">
        <f t="shared" si="200"/>
        <v>77.566666666666663</v>
      </c>
      <c r="CB135" s="140">
        <f t="shared" si="200"/>
        <v>78.566666666666663</v>
      </c>
      <c r="CC135" s="17"/>
      <c r="CD135" s="17"/>
      <c r="CE135" s="17"/>
    </row>
    <row r="136" spans="1:83">
      <c r="A136" s="16" t="s">
        <v>43</v>
      </c>
      <c r="B136" s="140">
        <f>IF(B134&lt;0,0,$B$5+$B$6*((1-EXP(-B135/$B$9))/(B135/$B$9))+$B$7*((1-EXP(-B135/$B$9))/(B135/$B$9)-EXP(-B135/$B$9))+$B$8*((1-EXP(-B135/$B$10))/(B135/$B$10)-EXP(-B135/$B$10)))</f>
        <v>-7.0617155237481686E-3</v>
      </c>
      <c r="C136" s="140">
        <f t="shared" ref="C136:BN136" si="201">IF(C134&lt;0,0,$B$5+$B$6*((1-EXP(-C135/$B$9))/(C135/$B$9))+$B$7*((1-EXP(-C135/$B$9))/(C135/$B$9)-EXP(-C135/$B$9))+$B$8*((1-EXP(-C135/$B$10))/(C135/$B$10)-EXP(-C135/$B$10)))</f>
        <v>-7.6037755481372302E-3</v>
      </c>
      <c r="D136" s="140">
        <f t="shared" si="201"/>
        <v>-7.710847480149041E-3</v>
      </c>
      <c r="E136" s="140">
        <f t="shared" si="201"/>
        <v>-7.5060733108696766E-3</v>
      </c>
      <c r="F136" s="140">
        <f t="shared" si="201"/>
        <v>-7.0857132915753841E-3</v>
      </c>
      <c r="G136" s="140">
        <f t="shared" si="201"/>
        <v>-6.5248026158246462E-3</v>
      </c>
      <c r="H136" s="140">
        <f t="shared" si="201"/>
        <v>-5.8754501127824283E-3</v>
      </c>
      <c r="I136" s="140">
        <f t="shared" si="201"/>
        <v>-5.1803620967415254E-3</v>
      </c>
      <c r="J136" s="140">
        <f t="shared" si="201"/>
        <v>-4.4698944531073072E-3</v>
      </c>
      <c r="K136" s="140">
        <f t="shared" si="201"/>
        <v>-3.7678449677290525E-3</v>
      </c>
      <c r="L136" s="140">
        <f t="shared" si="201"/>
        <v>-3.0856009613625997E-3</v>
      </c>
      <c r="M136" s="140">
        <f t="shared" si="201"/>
        <v>-2.4354694668241392E-3</v>
      </c>
      <c r="N136" s="140">
        <f t="shared" si="201"/>
        <v>-1.823983889435131E-3</v>
      </c>
      <c r="O136" s="140">
        <f t="shared" si="201"/>
        <v>-1.2563434079497331E-3</v>
      </c>
      <c r="P136" s="140">
        <f t="shared" si="201"/>
        <v>-7.3094638958840635E-4</v>
      </c>
      <c r="Q136" s="140">
        <f t="shared" si="201"/>
        <v>-2.494563483878276E-4</v>
      </c>
      <c r="R136" s="140">
        <f t="shared" si="201"/>
        <v>1.8920528010434035E-4</v>
      </c>
      <c r="S136" s="140">
        <f t="shared" si="201"/>
        <v>5.8582725308489736E-4</v>
      </c>
      <c r="T136" s="140">
        <f t="shared" si="201"/>
        <v>9.4495213051269678E-4</v>
      </c>
      <c r="U136" s="140">
        <f t="shared" si="201"/>
        <v>1.2680610627495113E-3</v>
      </c>
      <c r="V136" s="140">
        <f t="shared" si="201"/>
        <v>1.5579530282883065E-3</v>
      </c>
      <c r="W136" s="140">
        <f t="shared" si="201"/>
        <v>1.8167942659555215E-3</v>
      </c>
      <c r="X136" s="140">
        <f t="shared" si="201"/>
        <v>2.0488383565136874E-3</v>
      </c>
      <c r="Y136" s="140">
        <f t="shared" si="201"/>
        <v>2.256056709701932E-3</v>
      </c>
      <c r="Z136" s="140">
        <f t="shared" si="201"/>
        <v>2.4410600941745693E-3</v>
      </c>
      <c r="AA136" s="140">
        <f t="shared" si="201"/>
        <v>2.6058787369594369E-3</v>
      </c>
      <c r="AB136" s="140">
        <f t="shared" si="201"/>
        <v>2.7537290656083901E-3</v>
      </c>
      <c r="AC136" s="140">
        <f t="shared" si="201"/>
        <v>2.8862621567856232E-3</v>
      </c>
      <c r="AD136" s="140">
        <f t="shared" si="201"/>
        <v>3.0054462511628945E-3</v>
      </c>
      <c r="AE136" s="140">
        <f t="shared" si="201"/>
        <v>3.1127997062016521E-3</v>
      </c>
      <c r="AF136" s="140">
        <f t="shared" si="201"/>
        <v>3.210560289449254E-3</v>
      </c>
      <c r="AG136" s="140">
        <f t="shared" si="201"/>
        <v>3.2999053398233766E-3</v>
      </c>
      <c r="AH136" s="140">
        <f t="shared" si="201"/>
        <v>3.3821830646599757E-3</v>
      </c>
      <c r="AI136" s="140">
        <f t="shared" si="201"/>
        <v>3.4584023696054532E-3</v>
      </c>
      <c r="AJ136" s="140">
        <f t="shared" si="201"/>
        <v>3.5300751228181035E-3</v>
      </c>
      <c r="AK136" s="140">
        <f t="shared" si="201"/>
        <v>3.597956349161123E-3</v>
      </c>
      <c r="AL136" s="140">
        <f t="shared" si="201"/>
        <v>3.6629152894082778E-3</v>
      </c>
      <c r="AM136" s="140">
        <f t="shared" si="201"/>
        <v>3.7255522918672804E-3</v>
      </c>
      <c r="AN136" s="140">
        <f t="shared" si="201"/>
        <v>3.786899071560549E-3</v>
      </c>
      <c r="AO136" s="140">
        <f t="shared" si="201"/>
        <v>3.8473826674040208E-3</v>
      </c>
      <c r="AP136" s="140">
        <f t="shared" si="201"/>
        <v>3.907534398227646E-3</v>
      </c>
      <c r="AQ136" s="140">
        <f t="shared" si="201"/>
        <v>3.9676516140493556E-3</v>
      </c>
      <c r="AR136" s="140">
        <f t="shared" si="201"/>
        <v>4.0284741865719252E-3</v>
      </c>
      <c r="AS136" s="140">
        <f t="shared" si="201"/>
        <v>4.090187300172049E-3</v>
      </c>
      <c r="AT136" s="140">
        <f t="shared" si="201"/>
        <v>4.1530948560102171E-3</v>
      </c>
      <c r="AU136" s="140">
        <f t="shared" si="201"/>
        <v>4.2172762849209955E-3</v>
      </c>
      <c r="AV136" s="140">
        <f t="shared" si="201"/>
        <v>4.2833101254247871E-3</v>
      </c>
      <c r="AW136" s="140">
        <f t="shared" si="201"/>
        <v>4.3512063190708113E-3</v>
      </c>
      <c r="AX136" s="140">
        <f t="shared" si="201"/>
        <v>4.421120172410066E-3</v>
      </c>
      <c r="AY136" s="140">
        <f t="shared" si="201"/>
        <v>4.492975804566722E-3</v>
      </c>
      <c r="AZ136" s="140">
        <f t="shared" si="201"/>
        <v>4.5672757312999225E-3</v>
      </c>
      <c r="BA136" s="140">
        <f t="shared" si="201"/>
        <v>4.643903076042722E-3</v>
      </c>
      <c r="BB136" s="140">
        <f t="shared" si="201"/>
        <v>4.7229183111442107E-3</v>
      </c>
      <c r="BC136" s="140">
        <f t="shared" si="201"/>
        <v>4.8041347147932158E-3</v>
      </c>
      <c r="BD136" s="140">
        <f t="shared" si="201"/>
        <v>4.8880320505897273E-3</v>
      </c>
      <c r="BE136" s="140">
        <f t="shared" si="201"/>
        <v>4.9744010975817203E-3</v>
      </c>
      <c r="BF136" s="140">
        <f t="shared" si="201"/>
        <v>5.0632433178526802E-3</v>
      </c>
      <c r="BG136" s="140">
        <f t="shared" si="201"/>
        <v>5.1545494745135444E-3</v>
      </c>
      <c r="BH136" s="140">
        <f t="shared" si="201"/>
        <v>5.2483009403502569E-3</v>
      </c>
      <c r="BI136" s="140">
        <f t="shared" si="201"/>
        <v>5.3444708739933643E-3</v>
      </c>
      <c r="BJ136" s="140">
        <f t="shared" si="201"/>
        <v>5.4430252765630162E-3</v>
      </c>
      <c r="BK136" s="140">
        <f t="shared" si="201"/>
        <v>5.5436404604685373E-3</v>
      </c>
      <c r="BL136" s="140">
        <f t="shared" si="201"/>
        <v>5.6468315035530653E-3</v>
      </c>
      <c r="BM136" s="140">
        <f t="shared" si="201"/>
        <v>5.7522712311794608E-3</v>
      </c>
      <c r="BN136" s="140">
        <f t="shared" si="201"/>
        <v>5.8599055882457944E-3</v>
      </c>
      <c r="BO136" s="140">
        <f t="shared" ref="BO136:CB136" si="202">IF(BO134&lt;0,0,$B$5+$B$6*((1-EXP(-BO135/$B$9))/(BO135/$B$9))+$B$7*((1-EXP(-BO135/$B$9))/(BO135/$B$9)-EXP(-BO135/$B$9))+$B$8*((1-EXP(-BO135/$B$10))/(BO135/$B$10)-EXP(-BO135/$B$10)))</f>
        <v>5.9693693978463726E-3</v>
      </c>
      <c r="BP136" s="140">
        <f t="shared" si="202"/>
        <v>6.081212533138862E-3</v>
      </c>
      <c r="BQ136" s="140">
        <f t="shared" si="202"/>
        <v>6.1950706799002581E-3</v>
      </c>
      <c r="BR136" s="140">
        <f t="shared" si="202"/>
        <v>6.3108796822292125E-3</v>
      </c>
      <c r="BS136" s="140">
        <f t="shared" si="202"/>
        <v>6.428244485933144E-3</v>
      </c>
      <c r="BT136" s="140">
        <f t="shared" si="202"/>
        <v>6.5477524451314668E-3</v>
      </c>
      <c r="BU136" s="140">
        <f t="shared" si="202"/>
        <v>6.6690118287289386E-3</v>
      </c>
      <c r="BV136" s="140">
        <f t="shared" si="202"/>
        <v>6.7919547621716758E-3</v>
      </c>
      <c r="BW136" s="140">
        <f t="shared" si="202"/>
        <v>6.9161649719451414E-3</v>
      </c>
      <c r="BX136" s="140">
        <f t="shared" si="202"/>
        <v>7.0422664822694346E-3</v>
      </c>
      <c r="BY136" s="140">
        <f t="shared" si="202"/>
        <v>7.1698475895492948E-3</v>
      </c>
      <c r="BZ136" s="140">
        <f t="shared" si="202"/>
        <v>7.2988407256104754E-3</v>
      </c>
      <c r="CA136" s="140">
        <f t="shared" si="202"/>
        <v>7.4288149807989826E-3</v>
      </c>
      <c r="CB136" s="140">
        <f t="shared" si="202"/>
        <v>7.5604281841375777E-3</v>
      </c>
      <c r="CC136" s="17"/>
      <c r="CD136" s="17"/>
      <c r="CE136" s="17"/>
    </row>
    <row r="137" spans="1:83">
      <c r="A137" s="16" t="s">
        <v>44</v>
      </c>
      <c r="B137" s="140">
        <f>EXP(-B136*B135)</f>
        <v>1.0043839218422805</v>
      </c>
      <c r="C137" s="140">
        <f t="shared" ref="C137:AR137" si="203">EXP(-C136*C135)</f>
        <v>1.012368637124138</v>
      </c>
      <c r="D137" s="140">
        <f t="shared" si="203"/>
        <v>1.0203816434625181</v>
      </c>
      <c r="E137" s="140">
        <f t="shared" si="203"/>
        <v>1.0275188011129346</v>
      </c>
      <c r="F137" s="140">
        <f t="shared" si="203"/>
        <v>1.0332533084233047</v>
      </c>
      <c r="G137" s="140">
        <f t="shared" si="203"/>
        <v>1.0373086443252861</v>
      </c>
      <c r="H137" s="140">
        <f t="shared" si="203"/>
        <v>1.0396244833183947</v>
      </c>
      <c r="I137" s="140">
        <f t="shared" si="203"/>
        <v>1.0402308934126057</v>
      </c>
      <c r="J137" s="140">
        <f t="shared" si="203"/>
        <v>1.0392540271156006</v>
      </c>
      <c r="K137" s="140">
        <f t="shared" si="203"/>
        <v>1.0368768608519021</v>
      </c>
      <c r="L137" s="140">
        <f t="shared" si="203"/>
        <v>1.0332835607487352</v>
      </c>
      <c r="M137" s="140">
        <f t="shared" si="203"/>
        <v>1.028682139281524</v>
      </c>
      <c r="N137" s="140">
        <f t="shared" si="203"/>
        <v>1.0232690603618588</v>
      </c>
      <c r="O137" s="140">
        <f t="shared" si="203"/>
        <v>1.0172437255978048</v>
      </c>
      <c r="P137" s="140">
        <f t="shared" si="203"/>
        <v>1.0107351208275979</v>
      </c>
      <c r="Q137" s="140">
        <f t="shared" si="203"/>
        <v>1.0039011877372894</v>
      </c>
      <c r="R137" s="140">
        <f t="shared" si="203"/>
        <v>0.99686254776177419</v>
      </c>
      <c r="S137" s="140">
        <f t="shared" si="203"/>
        <v>0.98973919074763383</v>
      </c>
      <c r="T137" s="140">
        <f t="shared" si="203"/>
        <v>0.98257229095867926</v>
      </c>
      <c r="U137" s="140">
        <f t="shared" si="203"/>
        <v>0.975445448936752</v>
      </c>
      <c r="V137" s="140">
        <f t="shared" si="203"/>
        <v>0.96840732717540023</v>
      </c>
      <c r="W137" s="140">
        <f t="shared" si="203"/>
        <v>0.96151241415848487</v>
      </c>
      <c r="X137" s="140">
        <f t="shared" si="203"/>
        <v>0.95474648156335373</v>
      </c>
      <c r="Y137" s="140">
        <f t="shared" si="203"/>
        <v>0.94814370072334619</v>
      </c>
      <c r="Z137" s="140">
        <f t="shared" si="203"/>
        <v>0.9417109872800471</v>
      </c>
      <c r="AA137" s="140">
        <f t="shared" si="203"/>
        <v>0.93546598359497579</v>
      </c>
      <c r="AB137" s="140">
        <f t="shared" si="203"/>
        <v>0.92936920873161166</v>
      </c>
      <c r="AC137" s="140">
        <f t="shared" si="203"/>
        <v>0.9234294877557262</v>
      </c>
      <c r="AD137" s="140">
        <f t="shared" si="203"/>
        <v>0.91763482393288565</v>
      </c>
      <c r="AE137" s="140">
        <f t="shared" si="203"/>
        <v>0.91198637871604182</v>
      </c>
      <c r="AF137" s="140">
        <f t="shared" si="203"/>
        <v>0.90643656730126232</v>
      </c>
      <c r="AG137" s="140">
        <f t="shared" si="203"/>
        <v>0.90098394345730304</v>
      </c>
      <c r="AH137" s="140">
        <f t="shared" si="203"/>
        <v>0.89561040809906789</v>
      </c>
      <c r="AI137" s="140">
        <f t="shared" si="203"/>
        <v>0.89031218662578182</v>
      </c>
      <c r="AJ137" s="140">
        <f t="shared" si="203"/>
        <v>0.88504128289688644</v>
      </c>
      <c r="AK137" s="140">
        <f t="shared" si="203"/>
        <v>0.87979420449826573</v>
      </c>
      <c r="AL137" s="140">
        <f t="shared" si="203"/>
        <v>0.874553026443326</v>
      </c>
      <c r="AM137" s="140">
        <f t="shared" si="203"/>
        <v>0.86931501206437334</v>
      </c>
      <c r="AN137" s="140">
        <f t="shared" si="203"/>
        <v>0.86403435635406467</v>
      </c>
      <c r="AO137" s="140">
        <f t="shared" si="203"/>
        <v>0.85870976278472699</v>
      </c>
      <c r="AP137" s="140">
        <f t="shared" si="203"/>
        <v>0.85332624762003018</v>
      </c>
      <c r="AQ137" s="140">
        <f t="shared" si="203"/>
        <v>0.84788503685549654</v>
      </c>
      <c r="AR137" s="140">
        <f t="shared" si="203"/>
        <v>0.84234278498832571</v>
      </c>
      <c r="AS137" s="140">
        <f>EXP(-AS136*AS135)</f>
        <v>0.83670248995483121</v>
      </c>
      <c r="AT137" s="140">
        <f t="shared" ref="AT137:CA137" si="204">EXP(-AT136*AT135)</f>
        <v>0.83095313212979338</v>
      </c>
      <c r="AU137" s="140">
        <f t="shared" si="204"/>
        <v>0.82510120676010978</v>
      </c>
      <c r="AV137" s="140">
        <f t="shared" si="204"/>
        <v>0.81910519395757608</v>
      </c>
      <c r="AW137" s="140">
        <f t="shared" si="204"/>
        <v>0.81297331945880524</v>
      </c>
      <c r="AX137" s="140">
        <f t="shared" si="204"/>
        <v>0.80669870210699501</v>
      </c>
      <c r="AY137" s="140">
        <f t="shared" si="204"/>
        <v>0.80029352130377618</v>
      </c>
      <c r="AZ137" s="140">
        <f t="shared" si="204"/>
        <v>0.79371721724120892</v>
      </c>
      <c r="BA137" s="140">
        <f t="shared" si="204"/>
        <v>0.78698349696052528</v>
      </c>
      <c r="BB137" s="140">
        <f t="shared" si="204"/>
        <v>0.78008937084082497</v>
      </c>
      <c r="BC137" s="140">
        <f t="shared" si="204"/>
        <v>0.7730525838862049</v>
      </c>
      <c r="BD137" s="140">
        <f t="shared" si="204"/>
        <v>0.76583272719629114</v>
      </c>
      <c r="BE137" s="140">
        <f t="shared" si="204"/>
        <v>0.75844880573396478</v>
      </c>
      <c r="BF137" s="140">
        <f t="shared" si="204"/>
        <v>0.75090125553531484</v>
      </c>
      <c r="BG137" s="140">
        <f t="shared" si="204"/>
        <v>0.74319128164731363</v>
      </c>
      <c r="BH137" s="140">
        <f t="shared" si="204"/>
        <v>0.73532082029330392</v>
      </c>
      <c r="BI137" s="140">
        <f t="shared" si="204"/>
        <v>0.7272925001200744</v>
      </c>
      <c r="BJ137" s="140">
        <f t="shared" si="204"/>
        <v>0.71910960272170121</v>
      </c>
      <c r="BK137" s="140">
        <f t="shared" si="204"/>
        <v>0.71079937616452959</v>
      </c>
      <c r="BL137" s="140">
        <f t="shared" si="204"/>
        <v>0.70231997990401618</v>
      </c>
      <c r="BM137" s="140">
        <f t="shared" si="204"/>
        <v>0.69369935245733094</v>
      </c>
      <c r="BN137" s="140">
        <f t="shared" si="204"/>
        <v>0.68494298286583088</v>
      </c>
      <c r="BO137" s="140">
        <f t="shared" si="204"/>
        <v>0.67608166889346122</v>
      </c>
      <c r="BP137" s="140">
        <f t="shared" si="204"/>
        <v>0.66707237921156837</v>
      </c>
      <c r="BQ137" s="140">
        <f t="shared" si="204"/>
        <v>0.65794633996047713</v>
      </c>
      <c r="BR137" s="140">
        <f t="shared" si="204"/>
        <v>0.64871060279899662</v>
      </c>
      <c r="BS137" s="140">
        <f t="shared" si="204"/>
        <v>0.63939858595713384</v>
      </c>
      <c r="BT137" s="140">
        <f t="shared" si="204"/>
        <v>0.62996599287694222</v>
      </c>
      <c r="BU137" s="140">
        <f t="shared" si="204"/>
        <v>0.62044643934265309</v>
      </c>
      <c r="BV137" s="140">
        <f t="shared" si="204"/>
        <v>0.61084792238568397</v>
      </c>
      <c r="BW137" s="140">
        <f t="shared" si="204"/>
        <v>0.60120553493190798</v>
      </c>
      <c r="BX137" s="140">
        <f t="shared" si="204"/>
        <v>0.59147379497218788</v>
      </c>
      <c r="BY137" s="140">
        <f t="shared" si="204"/>
        <v>0.58168780128083075</v>
      </c>
      <c r="BZ137" s="140">
        <f t="shared" si="204"/>
        <v>0.57185593600904161</v>
      </c>
      <c r="CA137" s="140">
        <f t="shared" si="204"/>
        <v>0.56201405790021264</v>
      </c>
      <c r="CB137" s="140">
        <f>EXP(-CB136*CB135)</f>
        <v>0.55211570674612076</v>
      </c>
      <c r="CC137" s="17"/>
      <c r="CD137" s="17"/>
      <c r="CE137" s="17"/>
    </row>
    <row r="138" spans="1:83">
      <c r="A138" s="17"/>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17"/>
      <c r="CD138" s="17"/>
      <c r="CE138" s="17"/>
    </row>
    <row r="139" spans="1:83">
      <c r="A139" s="16" t="s">
        <v>40</v>
      </c>
      <c r="B139" s="140">
        <f t="shared" ref="B139:BM139" si="205">DAYS360($B$3,B52)</f>
        <v>223</v>
      </c>
      <c r="C139" s="140">
        <f t="shared" si="205"/>
        <v>582</v>
      </c>
      <c r="D139" s="140">
        <f t="shared" si="205"/>
        <v>942</v>
      </c>
      <c r="E139" s="140">
        <f t="shared" si="205"/>
        <v>1302</v>
      </c>
      <c r="F139" s="140">
        <f t="shared" si="205"/>
        <v>1662</v>
      </c>
      <c r="G139" s="140">
        <f t="shared" si="205"/>
        <v>2021</v>
      </c>
      <c r="H139" s="140">
        <f t="shared" si="205"/>
        <v>2381</v>
      </c>
      <c r="I139" s="140">
        <f t="shared" si="205"/>
        <v>2741</v>
      </c>
      <c r="J139" s="140">
        <f t="shared" si="205"/>
        <v>3101</v>
      </c>
      <c r="K139" s="140">
        <f t="shared" si="205"/>
        <v>3460</v>
      </c>
      <c r="L139" s="140">
        <f t="shared" si="205"/>
        <v>3820</v>
      </c>
      <c r="M139" s="140">
        <f t="shared" si="205"/>
        <v>4180</v>
      </c>
      <c r="N139" s="140">
        <f t="shared" si="205"/>
        <v>4540</v>
      </c>
      <c r="O139" s="140">
        <f t="shared" si="205"/>
        <v>4899</v>
      </c>
      <c r="P139" s="140">
        <f t="shared" si="205"/>
        <v>5259</v>
      </c>
      <c r="Q139" s="140">
        <f t="shared" si="205"/>
        <v>5619</v>
      </c>
      <c r="R139" s="140">
        <f t="shared" si="205"/>
        <v>5979</v>
      </c>
      <c r="S139" s="140">
        <f t="shared" si="205"/>
        <v>6338</v>
      </c>
      <c r="T139" s="140">
        <f t="shared" si="205"/>
        <v>6698</v>
      </c>
      <c r="U139" s="140">
        <f t="shared" si="205"/>
        <v>7058</v>
      </c>
      <c r="V139" s="140">
        <f t="shared" si="205"/>
        <v>7418</v>
      </c>
      <c r="W139" s="140">
        <f t="shared" si="205"/>
        <v>7777</v>
      </c>
      <c r="X139" s="140">
        <f t="shared" si="205"/>
        <v>8137</v>
      </c>
      <c r="Y139" s="140">
        <f t="shared" si="205"/>
        <v>8497</v>
      </c>
      <c r="Z139" s="140">
        <f t="shared" si="205"/>
        <v>8857</v>
      </c>
      <c r="AA139" s="140">
        <f t="shared" si="205"/>
        <v>9216</v>
      </c>
      <c r="AB139" s="140">
        <f t="shared" si="205"/>
        <v>9576</v>
      </c>
      <c r="AC139" s="140">
        <f t="shared" si="205"/>
        <v>9936</v>
      </c>
      <c r="AD139" s="140">
        <f t="shared" si="205"/>
        <v>10296</v>
      </c>
      <c r="AE139" s="140">
        <f t="shared" si="205"/>
        <v>10655</v>
      </c>
      <c r="AF139" s="140">
        <f t="shared" si="205"/>
        <v>11015</v>
      </c>
      <c r="AG139" s="140">
        <f t="shared" si="205"/>
        <v>11375</v>
      </c>
      <c r="AH139" s="140">
        <f t="shared" si="205"/>
        <v>11735</v>
      </c>
      <c r="AI139" s="140">
        <f t="shared" si="205"/>
        <v>12094</v>
      </c>
      <c r="AJ139" s="140">
        <f t="shared" si="205"/>
        <v>12454</v>
      </c>
      <c r="AK139" s="140">
        <f t="shared" si="205"/>
        <v>12814</v>
      </c>
      <c r="AL139" s="140">
        <f t="shared" si="205"/>
        <v>13174</v>
      </c>
      <c r="AM139" s="140">
        <f t="shared" si="205"/>
        <v>13533</v>
      </c>
      <c r="AN139" s="140">
        <f t="shared" si="205"/>
        <v>13893</v>
      </c>
      <c r="AO139" s="140">
        <f t="shared" si="205"/>
        <v>14253</v>
      </c>
      <c r="AP139" s="140">
        <f t="shared" si="205"/>
        <v>14613</v>
      </c>
      <c r="AQ139" s="140">
        <f t="shared" si="205"/>
        <v>14972</v>
      </c>
      <c r="AR139" s="140">
        <f t="shared" si="205"/>
        <v>15332</v>
      </c>
      <c r="AS139" s="140">
        <f t="shared" si="205"/>
        <v>15692</v>
      </c>
      <c r="AT139" s="140">
        <f t="shared" si="205"/>
        <v>16052</v>
      </c>
      <c r="AU139" s="140">
        <f t="shared" si="205"/>
        <v>16411</v>
      </c>
      <c r="AV139" s="140">
        <f t="shared" si="205"/>
        <v>16771</v>
      </c>
      <c r="AW139" s="140">
        <f t="shared" si="205"/>
        <v>17131</v>
      </c>
      <c r="AX139" s="140">
        <f t="shared" si="205"/>
        <v>17491</v>
      </c>
      <c r="AY139" s="140">
        <f t="shared" si="205"/>
        <v>17850</v>
      </c>
      <c r="AZ139" s="140">
        <f t="shared" si="205"/>
        <v>18210</v>
      </c>
      <c r="BA139" s="140">
        <f t="shared" si="205"/>
        <v>18570</v>
      </c>
      <c r="BB139" s="140">
        <f t="shared" si="205"/>
        <v>18930</v>
      </c>
      <c r="BC139" s="140">
        <f t="shared" si="205"/>
        <v>19289</v>
      </c>
      <c r="BD139" s="140">
        <f t="shared" si="205"/>
        <v>19649</v>
      </c>
      <c r="BE139" s="140">
        <f t="shared" si="205"/>
        <v>20009</v>
      </c>
      <c r="BF139" s="140">
        <f t="shared" si="205"/>
        <v>20369</v>
      </c>
      <c r="BG139" s="140">
        <f t="shared" si="205"/>
        <v>20729</v>
      </c>
      <c r="BH139" s="140">
        <f t="shared" si="205"/>
        <v>21089</v>
      </c>
      <c r="BI139" s="140">
        <f t="shared" si="205"/>
        <v>21449</v>
      </c>
      <c r="BJ139" s="140">
        <f t="shared" si="205"/>
        <v>21809</v>
      </c>
      <c r="BK139" s="140">
        <f t="shared" si="205"/>
        <v>22168</v>
      </c>
      <c r="BL139" s="140">
        <f t="shared" si="205"/>
        <v>22528</v>
      </c>
      <c r="BM139" s="140">
        <f t="shared" si="205"/>
        <v>22888</v>
      </c>
      <c r="BN139" s="140">
        <f t="shared" ref="BN139:CB139" si="206">DAYS360($B$3,BN52)</f>
        <v>23248</v>
      </c>
      <c r="BO139" s="140">
        <f t="shared" si="206"/>
        <v>23607</v>
      </c>
      <c r="BP139" s="140">
        <f t="shared" si="206"/>
        <v>23967</v>
      </c>
      <c r="BQ139" s="140">
        <f t="shared" si="206"/>
        <v>24327</v>
      </c>
      <c r="BR139" s="140">
        <f t="shared" si="206"/>
        <v>24687</v>
      </c>
      <c r="BS139" s="140">
        <f t="shared" si="206"/>
        <v>25046</v>
      </c>
      <c r="BT139" s="140">
        <f t="shared" si="206"/>
        <v>25406</v>
      </c>
      <c r="BU139" s="140">
        <f t="shared" si="206"/>
        <v>25766</v>
      </c>
      <c r="BV139" s="140">
        <f t="shared" si="206"/>
        <v>26126</v>
      </c>
      <c r="BW139" s="140">
        <f t="shared" si="206"/>
        <v>26485</v>
      </c>
      <c r="BX139" s="140">
        <f t="shared" si="206"/>
        <v>26845</v>
      </c>
      <c r="BY139" s="140">
        <f t="shared" si="206"/>
        <v>27205</v>
      </c>
      <c r="BZ139" s="140">
        <f t="shared" si="206"/>
        <v>27565</v>
      </c>
      <c r="CA139" s="140">
        <f t="shared" si="206"/>
        <v>27924</v>
      </c>
      <c r="CB139" s="140">
        <f t="shared" si="206"/>
        <v>28284</v>
      </c>
      <c r="CC139" s="17"/>
      <c r="CD139" s="17"/>
      <c r="CE139" s="17"/>
    </row>
    <row r="140" spans="1:83">
      <c r="A140" s="16" t="s">
        <v>41</v>
      </c>
      <c r="B140" s="140">
        <f>B139/360</f>
        <v>0.61944444444444446</v>
      </c>
      <c r="C140" s="140">
        <f t="shared" ref="C140:BN140" si="207">C139/360</f>
        <v>1.6166666666666667</v>
      </c>
      <c r="D140" s="140">
        <f t="shared" si="207"/>
        <v>2.6166666666666667</v>
      </c>
      <c r="E140" s="140">
        <f t="shared" si="207"/>
        <v>3.6166666666666667</v>
      </c>
      <c r="F140" s="140">
        <f t="shared" si="207"/>
        <v>4.6166666666666663</v>
      </c>
      <c r="G140" s="140">
        <f t="shared" si="207"/>
        <v>5.6138888888888889</v>
      </c>
      <c r="H140" s="140">
        <f t="shared" si="207"/>
        <v>6.6138888888888889</v>
      </c>
      <c r="I140" s="140">
        <f t="shared" si="207"/>
        <v>7.6138888888888889</v>
      </c>
      <c r="J140" s="140">
        <f t="shared" si="207"/>
        <v>8.6138888888888889</v>
      </c>
      <c r="K140" s="140">
        <f t="shared" si="207"/>
        <v>9.6111111111111107</v>
      </c>
      <c r="L140" s="140">
        <f t="shared" si="207"/>
        <v>10.611111111111111</v>
      </c>
      <c r="M140" s="140">
        <f t="shared" si="207"/>
        <v>11.611111111111111</v>
      </c>
      <c r="N140" s="140">
        <f t="shared" si="207"/>
        <v>12.611111111111111</v>
      </c>
      <c r="O140" s="140">
        <f t="shared" si="207"/>
        <v>13.608333333333333</v>
      </c>
      <c r="P140" s="140">
        <f t="shared" si="207"/>
        <v>14.608333333333333</v>
      </c>
      <c r="Q140" s="140">
        <f t="shared" si="207"/>
        <v>15.608333333333333</v>
      </c>
      <c r="R140" s="140">
        <f t="shared" si="207"/>
        <v>16.608333333333334</v>
      </c>
      <c r="S140" s="140">
        <f t="shared" si="207"/>
        <v>17.605555555555554</v>
      </c>
      <c r="T140" s="140">
        <f t="shared" si="207"/>
        <v>18.605555555555554</v>
      </c>
      <c r="U140" s="140">
        <f t="shared" si="207"/>
        <v>19.605555555555554</v>
      </c>
      <c r="V140" s="140">
        <f t="shared" si="207"/>
        <v>20.605555555555554</v>
      </c>
      <c r="W140" s="140">
        <f t="shared" si="207"/>
        <v>21.602777777777778</v>
      </c>
      <c r="X140" s="140">
        <f t="shared" si="207"/>
        <v>22.602777777777778</v>
      </c>
      <c r="Y140" s="140">
        <f t="shared" si="207"/>
        <v>23.602777777777778</v>
      </c>
      <c r="Z140" s="140">
        <f t="shared" si="207"/>
        <v>24.602777777777778</v>
      </c>
      <c r="AA140" s="140">
        <f t="shared" si="207"/>
        <v>25.6</v>
      </c>
      <c r="AB140" s="140">
        <f t="shared" si="207"/>
        <v>26.6</v>
      </c>
      <c r="AC140" s="140">
        <f t="shared" si="207"/>
        <v>27.6</v>
      </c>
      <c r="AD140" s="140">
        <f t="shared" si="207"/>
        <v>28.6</v>
      </c>
      <c r="AE140" s="140">
        <f t="shared" si="207"/>
        <v>29.597222222222221</v>
      </c>
      <c r="AF140" s="140">
        <f t="shared" si="207"/>
        <v>30.597222222222221</v>
      </c>
      <c r="AG140" s="140">
        <f t="shared" si="207"/>
        <v>31.597222222222221</v>
      </c>
      <c r="AH140" s="140">
        <f t="shared" si="207"/>
        <v>32.597222222222221</v>
      </c>
      <c r="AI140" s="140">
        <f t="shared" si="207"/>
        <v>33.594444444444441</v>
      </c>
      <c r="AJ140" s="140">
        <f t="shared" si="207"/>
        <v>34.594444444444441</v>
      </c>
      <c r="AK140" s="140">
        <f t="shared" si="207"/>
        <v>35.594444444444441</v>
      </c>
      <c r="AL140" s="140">
        <f t="shared" si="207"/>
        <v>36.594444444444441</v>
      </c>
      <c r="AM140" s="140">
        <f t="shared" si="207"/>
        <v>37.591666666666669</v>
      </c>
      <c r="AN140" s="140">
        <f t="shared" si="207"/>
        <v>38.591666666666669</v>
      </c>
      <c r="AO140" s="140">
        <f t="shared" si="207"/>
        <v>39.591666666666669</v>
      </c>
      <c r="AP140" s="140">
        <f t="shared" si="207"/>
        <v>40.591666666666669</v>
      </c>
      <c r="AQ140" s="140">
        <f t="shared" si="207"/>
        <v>41.588888888888889</v>
      </c>
      <c r="AR140" s="140">
        <f t="shared" si="207"/>
        <v>42.588888888888889</v>
      </c>
      <c r="AS140" s="140">
        <f t="shared" si="207"/>
        <v>43.588888888888889</v>
      </c>
      <c r="AT140" s="140">
        <f t="shared" si="207"/>
        <v>44.588888888888889</v>
      </c>
      <c r="AU140" s="140">
        <f t="shared" si="207"/>
        <v>45.586111111111109</v>
      </c>
      <c r="AV140" s="140">
        <f t="shared" si="207"/>
        <v>46.586111111111109</v>
      </c>
      <c r="AW140" s="140">
        <f t="shared" si="207"/>
        <v>47.586111111111109</v>
      </c>
      <c r="AX140" s="140">
        <f t="shared" si="207"/>
        <v>48.586111111111109</v>
      </c>
      <c r="AY140" s="140">
        <f t="shared" si="207"/>
        <v>49.583333333333336</v>
      </c>
      <c r="AZ140" s="140">
        <f t="shared" si="207"/>
        <v>50.583333333333336</v>
      </c>
      <c r="BA140" s="140">
        <f t="shared" si="207"/>
        <v>51.583333333333336</v>
      </c>
      <c r="BB140" s="140">
        <f t="shared" si="207"/>
        <v>52.583333333333336</v>
      </c>
      <c r="BC140" s="140">
        <f t="shared" si="207"/>
        <v>53.580555555555556</v>
      </c>
      <c r="BD140" s="140">
        <f t="shared" si="207"/>
        <v>54.580555555555556</v>
      </c>
      <c r="BE140" s="140">
        <f t="shared" si="207"/>
        <v>55.580555555555556</v>
      </c>
      <c r="BF140" s="140">
        <f t="shared" si="207"/>
        <v>56.580555555555556</v>
      </c>
      <c r="BG140" s="140">
        <f t="shared" si="207"/>
        <v>57.580555555555556</v>
      </c>
      <c r="BH140" s="140">
        <f t="shared" si="207"/>
        <v>58.580555555555556</v>
      </c>
      <c r="BI140" s="140">
        <f t="shared" si="207"/>
        <v>59.580555555555556</v>
      </c>
      <c r="BJ140" s="140">
        <f t="shared" si="207"/>
        <v>60.580555555555556</v>
      </c>
      <c r="BK140" s="140">
        <f t="shared" si="207"/>
        <v>61.577777777777776</v>
      </c>
      <c r="BL140" s="140">
        <f t="shared" si="207"/>
        <v>62.577777777777776</v>
      </c>
      <c r="BM140" s="140">
        <f t="shared" si="207"/>
        <v>63.577777777777776</v>
      </c>
      <c r="BN140" s="140">
        <f t="shared" si="207"/>
        <v>64.577777777777783</v>
      </c>
      <c r="BO140" s="140">
        <f t="shared" ref="BO140:CB140" si="208">BO139/360</f>
        <v>65.575000000000003</v>
      </c>
      <c r="BP140" s="140">
        <f t="shared" si="208"/>
        <v>66.575000000000003</v>
      </c>
      <c r="BQ140" s="140">
        <f t="shared" si="208"/>
        <v>67.575000000000003</v>
      </c>
      <c r="BR140" s="140">
        <f t="shared" si="208"/>
        <v>68.575000000000003</v>
      </c>
      <c r="BS140" s="140">
        <f t="shared" si="208"/>
        <v>69.572222222222223</v>
      </c>
      <c r="BT140" s="140">
        <f t="shared" si="208"/>
        <v>70.572222222222223</v>
      </c>
      <c r="BU140" s="140">
        <f t="shared" si="208"/>
        <v>71.572222222222223</v>
      </c>
      <c r="BV140" s="140">
        <f t="shared" si="208"/>
        <v>72.572222222222223</v>
      </c>
      <c r="BW140" s="140">
        <f t="shared" si="208"/>
        <v>73.569444444444443</v>
      </c>
      <c r="BX140" s="140">
        <f t="shared" si="208"/>
        <v>74.569444444444443</v>
      </c>
      <c r="BY140" s="140">
        <f t="shared" si="208"/>
        <v>75.569444444444443</v>
      </c>
      <c r="BZ140" s="140">
        <f t="shared" si="208"/>
        <v>76.569444444444443</v>
      </c>
      <c r="CA140" s="140">
        <f t="shared" si="208"/>
        <v>77.566666666666663</v>
      </c>
      <c r="CB140" s="140">
        <f t="shared" si="208"/>
        <v>78.566666666666663</v>
      </c>
      <c r="CC140" s="17"/>
      <c r="CD140" s="17"/>
      <c r="CE140" s="17"/>
    </row>
    <row r="141" spans="1:83">
      <c r="A141" s="16" t="s">
        <v>43</v>
      </c>
      <c r="B141" s="140">
        <f>IF(B139&lt;0,0,$B$5+$B$6*((1-EXP(-B140/$B$9))/(B140/$B$9))+$B$7*((1-EXP(-B140/$B$9))/(B140/$B$9)-EXP(-B140/$B$9))+$B$8*((1-EXP(-B140/$B$10))/(B140/$B$10)-EXP(-B140/$B$10)))</f>
        <v>-7.0617155237481686E-3</v>
      </c>
      <c r="C141" s="140">
        <f t="shared" ref="C141:BN141" si="209">IF(C139&lt;0,0,$B$5+$B$6*((1-EXP(-C140/$B$9))/(C140/$B$9))+$B$7*((1-EXP(-C140/$B$9))/(C140/$B$9)-EXP(-C140/$B$9))+$B$8*((1-EXP(-C140/$B$10))/(C140/$B$10)-EXP(-C140/$B$10)))</f>
        <v>-7.6037755481372302E-3</v>
      </c>
      <c r="D141" s="140">
        <f t="shared" si="209"/>
        <v>-7.710847480149041E-3</v>
      </c>
      <c r="E141" s="140">
        <f t="shared" si="209"/>
        <v>-7.5060733108696766E-3</v>
      </c>
      <c r="F141" s="140">
        <f t="shared" si="209"/>
        <v>-7.0857132915753841E-3</v>
      </c>
      <c r="G141" s="140">
        <f t="shared" si="209"/>
        <v>-6.5248026158246462E-3</v>
      </c>
      <c r="H141" s="140">
        <f t="shared" si="209"/>
        <v>-5.8754501127824283E-3</v>
      </c>
      <c r="I141" s="140">
        <f t="shared" si="209"/>
        <v>-5.1803620967415254E-3</v>
      </c>
      <c r="J141" s="140">
        <f t="shared" si="209"/>
        <v>-4.4698944531073072E-3</v>
      </c>
      <c r="K141" s="140">
        <f t="shared" si="209"/>
        <v>-3.7678449677290525E-3</v>
      </c>
      <c r="L141" s="140">
        <f t="shared" si="209"/>
        <v>-3.0856009613625997E-3</v>
      </c>
      <c r="M141" s="140">
        <f t="shared" si="209"/>
        <v>-2.4354694668241392E-3</v>
      </c>
      <c r="N141" s="140">
        <f t="shared" si="209"/>
        <v>-1.823983889435131E-3</v>
      </c>
      <c r="O141" s="140">
        <f t="shared" si="209"/>
        <v>-1.2563434079497331E-3</v>
      </c>
      <c r="P141" s="140">
        <f t="shared" si="209"/>
        <v>-7.3094638958840635E-4</v>
      </c>
      <c r="Q141" s="140">
        <f t="shared" si="209"/>
        <v>-2.494563483878276E-4</v>
      </c>
      <c r="R141" s="140">
        <f t="shared" si="209"/>
        <v>1.8920528010434035E-4</v>
      </c>
      <c r="S141" s="140">
        <f t="shared" si="209"/>
        <v>5.8582725308489736E-4</v>
      </c>
      <c r="T141" s="140">
        <f t="shared" si="209"/>
        <v>9.4495213051269678E-4</v>
      </c>
      <c r="U141" s="140">
        <f t="shared" si="209"/>
        <v>1.2680610627495113E-3</v>
      </c>
      <c r="V141" s="140">
        <f t="shared" si="209"/>
        <v>1.5579530282883065E-3</v>
      </c>
      <c r="W141" s="140">
        <f t="shared" si="209"/>
        <v>1.8167942659555215E-3</v>
      </c>
      <c r="X141" s="140">
        <f t="shared" si="209"/>
        <v>2.0488383565136874E-3</v>
      </c>
      <c r="Y141" s="140">
        <f t="shared" si="209"/>
        <v>2.256056709701932E-3</v>
      </c>
      <c r="Z141" s="140">
        <f t="shared" si="209"/>
        <v>2.4410600941745693E-3</v>
      </c>
      <c r="AA141" s="140">
        <f t="shared" si="209"/>
        <v>2.6058787369594369E-3</v>
      </c>
      <c r="AB141" s="140">
        <f t="shared" si="209"/>
        <v>2.7537290656083901E-3</v>
      </c>
      <c r="AC141" s="140">
        <f t="shared" si="209"/>
        <v>2.8862621567856232E-3</v>
      </c>
      <c r="AD141" s="140">
        <f t="shared" si="209"/>
        <v>3.0054462511628945E-3</v>
      </c>
      <c r="AE141" s="140">
        <f t="shared" si="209"/>
        <v>3.1127997062016521E-3</v>
      </c>
      <c r="AF141" s="140">
        <f t="shared" si="209"/>
        <v>3.210560289449254E-3</v>
      </c>
      <c r="AG141" s="140">
        <f t="shared" si="209"/>
        <v>3.2999053398233766E-3</v>
      </c>
      <c r="AH141" s="140">
        <f t="shared" si="209"/>
        <v>3.3821830646599757E-3</v>
      </c>
      <c r="AI141" s="140">
        <f t="shared" si="209"/>
        <v>3.4584023696054532E-3</v>
      </c>
      <c r="AJ141" s="140">
        <f t="shared" si="209"/>
        <v>3.5300751228181035E-3</v>
      </c>
      <c r="AK141" s="140">
        <f t="shared" si="209"/>
        <v>3.597956349161123E-3</v>
      </c>
      <c r="AL141" s="140">
        <f t="shared" si="209"/>
        <v>3.6629152894082778E-3</v>
      </c>
      <c r="AM141" s="140">
        <f t="shared" si="209"/>
        <v>3.7255522918672804E-3</v>
      </c>
      <c r="AN141" s="140">
        <f t="shared" si="209"/>
        <v>3.786899071560549E-3</v>
      </c>
      <c r="AO141" s="140">
        <f t="shared" si="209"/>
        <v>3.8473826674040208E-3</v>
      </c>
      <c r="AP141" s="140">
        <f t="shared" si="209"/>
        <v>3.907534398227646E-3</v>
      </c>
      <c r="AQ141" s="140">
        <f t="shared" si="209"/>
        <v>3.9676516140493556E-3</v>
      </c>
      <c r="AR141" s="140">
        <f t="shared" si="209"/>
        <v>4.0284741865719252E-3</v>
      </c>
      <c r="AS141" s="140">
        <f t="shared" si="209"/>
        <v>4.090187300172049E-3</v>
      </c>
      <c r="AT141" s="140">
        <f t="shared" si="209"/>
        <v>4.1530948560102171E-3</v>
      </c>
      <c r="AU141" s="140">
        <f t="shared" si="209"/>
        <v>4.2172762849209955E-3</v>
      </c>
      <c r="AV141" s="140">
        <f t="shared" si="209"/>
        <v>4.2833101254247871E-3</v>
      </c>
      <c r="AW141" s="140">
        <f t="shared" si="209"/>
        <v>4.3512063190708113E-3</v>
      </c>
      <c r="AX141" s="140">
        <f t="shared" si="209"/>
        <v>4.421120172410066E-3</v>
      </c>
      <c r="AY141" s="140">
        <f t="shared" si="209"/>
        <v>4.492975804566722E-3</v>
      </c>
      <c r="AZ141" s="140">
        <f t="shared" si="209"/>
        <v>4.5672757312999225E-3</v>
      </c>
      <c r="BA141" s="140">
        <f t="shared" si="209"/>
        <v>4.643903076042722E-3</v>
      </c>
      <c r="BB141" s="140">
        <f t="shared" si="209"/>
        <v>4.7229183111442107E-3</v>
      </c>
      <c r="BC141" s="140">
        <f t="shared" si="209"/>
        <v>4.8041347147932158E-3</v>
      </c>
      <c r="BD141" s="140">
        <f t="shared" si="209"/>
        <v>4.8880320505897273E-3</v>
      </c>
      <c r="BE141" s="140">
        <f t="shared" si="209"/>
        <v>4.9744010975817203E-3</v>
      </c>
      <c r="BF141" s="140">
        <f t="shared" si="209"/>
        <v>5.0632433178526802E-3</v>
      </c>
      <c r="BG141" s="140">
        <f t="shared" si="209"/>
        <v>5.1545494745135444E-3</v>
      </c>
      <c r="BH141" s="140">
        <f t="shared" si="209"/>
        <v>5.2483009403502569E-3</v>
      </c>
      <c r="BI141" s="140">
        <f t="shared" si="209"/>
        <v>5.3444708739933643E-3</v>
      </c>
      <c r="BJ141" s="140">
        <f t="shared" si="209"/>
        <v>5.4430252765630162E-3</v>
      </c>
      <c r="BK141" s="140">
        <f t="shared" si="209"/>
        <v>5.5436404604685373E-3</v>
      </c>
      <c r="BL141" s="140">
        <f t="shared" si="209"/>
        <v>5.6468315035530653E-3</v>
      </c>
      <c r="BM141" s="140">
        <f t="shared" si="209"/>
        <v>5.7522712311794608E-3</v>
      </c>
      <c r="BN141" s="140">
        <f t="shared" si="209"/>
        <v>5.8599055882457944E-3</v>
      </c>
      <c r="BO141" s="140">
        <f t="shared" ref="BO141:CB141" si="210">IF(BO139&lt;0,0,$B$5+$B$6*((1-EXP(-BO140/$B$9))/(BO140/$B$9))+$B$7*((1-EXP(-BO140/$B$9))/(BO140/$B$9)-EXP(-BO140/$B$9))+$B$8*((1-EXP(-BO140/$B$10))/(BO140/$B$10)-EXP(-BO140/$B$10)))</f>
        <v>5.9693693978463726E-3</v>
      </c>
      <c r="BP141" s="140">
        <f t="shared" si="210"/>
        <v>6.081212533138862E-3</v>
      </c>
      <c r="BQ141" s="140">
        <f t="shared" si="210"/>
        <v>6.1950706799002581E-3</v>
      </c>
      <c r="BR141" s="140">
        <f t="shared" si="210"/>
        <v>6.3108796822292125E-3</v>
      </c>
      <c r="BS141" s="140">
        <f t="shared" si="210"/>
        <v>6.428244485933144E-3</v>
      </c>
      <c r="BT141" s="140">
        <f t="shared" si="210"/>
        <v>6.5477524451314668E-3</v>
      </c>
      <c r="BU141" s="140">
        <f t="shared" si="210"/>
        <v>6.6690118287289386E-3</v>
      </c>
      <c r="BV141" s="140">
        <f t="shared" si="210"/>
        <v>6.7919547621716758E-3</v>
      </c>
      <c r="BW141" s="140">
        <f t="shared" si="210"/>
        <v>6.9161649719451414E-3</v>
      </c>
      <c r="BX141" s="140">
        <f t="shared" si="210"/>
        <v>7.0422664822694346E-3</v>
      </c>
      <c r="BY141" s="140">
        <f t="shared" si="210"/>
        <v>7.1698475895492948E-3</v>
      </c>
      <c r="BZ141" s="140">
        <f t="shared" si="210"/>
        <v>7.2988407256104754E-3</v>
      </c>
      <c r="CA141" s="140">
        <f t="shared" si="210"/>
        <v>7.4288149807989826E-3</v>
      </c>
      <c r="CB141" s="140">
        <f t="shared" si="210"/>
        <v>7.5604281841375777E-3</v>
      </c>
      <c r="CC141" s="17"/>
      <c r="CD141" s="17"/>
      <c r="CE141" s="17"/>
    </row>
    <row r="142" spans="1:83">
      <c r="A142" s="16" t="s">
        <v>44</v>
      </c>
      <c r="B142" s="140">
        <f>EXP(-B141*B140)</f>
        <v>1.0043839218422805</v>
      </c>
      <c r="C142" s="140">
        <f t="shared" ref="C142:AR142" si="211">EXP(-C141*C140)</f>
        <v>1.012368637124138</v>
      </c>
      <c r="D142" s="140">
        <f t="shared" si="211"/>
        <v>1.0203816434625181</v>
      </c>
      <c r="E142" s="140">
        <f t="shared" si="211"/>
        <v>1.0275188011129346</v>
      </c>
      <c r="F142" s="140">
        <f t="shared" si="211"/>
        <v>1.0332533084233047</v>
      </c>
      <c r="G142" s="140">
        <f t="shared" si="211"/>
        <v>1.0373086443252861</v>
      </c>
      <c r="H142" s="140">
        <f t="shared" si="211"/>
        <v>1.0396244833183947</v>
      </c>
      <c r="I142" s="140">
        <f t="shared" si="211"/>
        <v>1.0402308934126057</v>
      </c>
      <c r="J142" s="140">
        <f t="shared" si="211"/>
        <v>1.0392540271156006</v>
      </c>
      <c r="K142" s="140">
        <f t="shared" si="211"/>
        <v>1.0368768608519021</v>
      </c>
      <c r="L142" s="140">
        <f t="shared" si="211"/>
        <v>1.0332835607487352</v>
      </c>
      <c r="M142" s="140">
        <f t="shared" si="211"/>
        <v>1.028682139281524</v>
      </c>
      <c r="N142" s="140">
        <f t="shared" si="211"/>
        <v>1.0232690603618588</v>
      </c>
      <c r="O142" s="140">
        <f t="shared" si="211"/>
        <v>1.0172437255978048</v>
      </c>
      <c r="P142" s="140">
        <f t="shared" si="211"/>
        <v>1.0107351208275979</v>
      </c>
      <c r="Q142" s="140">
        <f t="shared" si="211"/>
        <v>1.0039011877372894</v>
      </c>
      <c r="R142" s="140">
        <f t="shared" si="211"/>
        <v>0.99686254776177419</v>
      </c>
      <c r="S142" s="140">
        <f t="shared" si="211"/>
        <v>0.98973919074763383</v>
      </c>
      <c r="T142" s="140">
        <f t="shared" si="211"/>
        <v>0.98257229095867926</v>
      </c>
      <c r="U142" s="140">
        <f t="shared" si="211"/>
        <v>0.975445448936752</v>
      </c>
      <c r="V142" s="140">
        <f t="shared" si="211"/>
        <v>0.96840732717540023</v>
      </c>
      <c r="W142" s="140">
        <f t="shared" si="211"/>
        <v>0.96151241415848487</v>
      </c>
      <c r="X142" s="140">
        <f t="shared" si="211"/>
        <v>0.95474648156335373</v>
      </c>
      <c r="Y142" s="140">
        <f t="shared" si="211"/>
        <v>0.94814370072334619</v>
      </c>
      <c r="Z142" s="140">
        <f t="shared" si="211"/>
        <v>0.9417109872800471</v>
      </c>
      <c r="AA142" s="140">
        <f t="shared" si="211"/>
        <v>0.93546598359497579</v>
      </c>
      <c r="AB142" s="140">
        <f t="shared" si="211"/>
        <v>0.92936920873161166</v>
      </c>
      <c r="AC142" s="140">
        <f t="shared" si="211"/>
        <v>0.9234294877557262</v>
      </c>
      <c r="AD142" s="140">
        <f t="shared" si="211"/>
        <v>0.91763482393288565</v>
      </c>
      <c r="AE142" s="140">
        <f t="shared" si="211"/>
        <v>0.91198637871604182</v>
      </c>
      <c r="AF142" s="140">
        <f t="shared" si="211"/>
        <v>0.90643656730126232</v>
      </c>
      <c r="AG142" s="140">
        <f t="shared" si="211"/>
        <v>0.90098394345730304</v>
      </c>
      <c r="AH142" s="140">
        <f t="shared" si="211"/>
        <v>0.89561040809906789</v>
      </c>
      <c r="AI142" s="140">
        <f t="shared" si="211"/>
        <v>0.89031218662578182</v>
      </c>
      <c r="AJ142" s="140">
        <f t="shared" si="211"/>
        <v>0.88504128289688644</v>
      </c>
      <c r="AK142" s="140">
        <f t="shared" si="211"/>
        <v>0.87979420449826573</v>
      </c>
      <c r="AL142" s="140">
        <f t="shared" si="211"/>
        <v>0.874553026443326</v>
      </c>
      <c r="AM142" s="140">
        <f t="shared" si="211"/>
        <v>0.86931501206437334</v>
      </c>
      <c r="AN142" s="140">
        <f t="shared" si="211"/>
        <v>0.86403435635406467</v>
      </c>
      <c r="AO142" s="140">
        <f t="shared" si="211"/>
        <v>0.85870976278472699</v>
      </c>
      <c r="AP142" s="140">
        <f t="shared" si="211"/>
        <v>0.85332624762003018</v>
      </c>
      <c r="AQ142" s="140">
        <f t="shared" si="211"/>
        <v>0.84788503685549654</v>
      </c>
      <c r="AR142" s="140">
        <f t="shared" si="211"/>
        <v>0.84234278498832571</v>
      </c>
      <c r="AS142" s="140">
        <f>EXP(-AS141*AS140)</f>
        <v>0.83670248995483121</v>
      </c>
      <c r="AT142" s="140">
        <f t="shared" ref="AT142:CA142" si="212">EXP(-AT141*AT140)</f>
        <v>0.83095313212979338</v>
      </c>
      <c r="AU142" s="140">
        <f t="shared" si="212"/>
        <v>0.82510120676010978</v>
      </c>
      <c r="AV142" s="140">
        <f t="shared" si="212"/>
        <v>0.81910519395757608</v>
      </c>
      <c r="AW142" s="140">
        <f t="shared" si="212"/>
        <v>0.81297331945880524</v>
      </c>
      <c r="AX142" s="140">
        <f t="shared" si="212"/>
        <v>0.80669870210699501</v>
      </c>
      <c r="AY142" s="140">
        <f t="shared" si="212"/>
        <v>0.80029352130377618</v>
      </c>
      <c r="AZ142" s="140">
        <f t="shared" si="212"/>
        <v>0.79371721724120892</v>
      </c>
      <c r="BA142" s="140">
        <f t="shared" si="212"/>
        <v>0.78698349696052528</v>
      </c>
      <c r="BB142" s="140">
        <f t="shared" si="212"/>
        <v>0.78008937084082497</v>
      </c>
      <c r="BC142" s="140">
        <f t="shared" si="212"/>
        <v>0.7730525838862049</v>
      </c>
      <c r="BD142" s="140">
        <f t="shared" si="212"/>
        <v>0.76583272719629114</v>
      </c>
      <c r="BE142" s="140">
        <f t="shared" si="212"/>
        <v>0.75844880573396478</v>
      </c>
      <c r="BF142" s="140">
        <f t="shared" si="212"/>
        <v>0.75090125553531484</v>
      </c>
      <c r="BG142" s="140">
        <f t="shared" si="212"/>
        <v>0.74319128164731363</v>
      </c>
      <c r="BH142" s="140">
        <f t="shared" si="212"/>
        <v>0.73532082029330392</v>
      </c>
      <c r="BI142" s="140">
        <f t="shared" si="212"/>
        <v>0.7272925001200744</v>
      </c>
      <c r="BJ142" s="140">
        <f t="shared" si="212"/>
        <v>0.71910960272170121</v>
      </c>
      <c r="BK142" s="140">
        <f t="shared" si="212"/>
        <v>0.71079937616452959</v>
      </c>
      <c r="BL142" s="140">
        <f t="shared" si="212"/>
        <v>0.70231997990401618</v>
      </c>
      <c r="BM142" s="140">
        <f t="shared" si="212"/>
        <v>0.69369935245733094</v>
      </c>
      <c r="BN142" s="140">
        <f t="shared" si="212"/>
        <v>0.68494298286583088</v>
      </c>
      <c r="BO142" s="140">
        <f t="shared" si="212"/>
        <v>0.67608166889346122</v>
      </c>
      <c r="BP142" s="140">
        <f t="shared" si="212"/>
        <v>0.66707237921156837</v>
      </c>
      <c r="BQ142" s="140">
        <f t="shared" si="212"/>
        <v>0.65794633996047713</v>
      </c>
      <c r="BR142" s="140">
        <f t="shared" si="212"/>
        <v>0.64871060279899662</v>
      </c>
      <c r="BS142" s="140">
        <f t="shared" si="212"/>
        <v>0.63939858595713384</v>
      </c>
      <c r="BT142" s="140">
        <f t="shared" si="212"/>
        <v>0.62996599287694222</v>
      </c>
      <c r="BU142" s="140">
        <f t="shared" si="212"/>
        <v>0.62044643934265309</v>
      </c>
      <c r="BV142" s="140">
        <f t="shared" si="212"/>
        <v>0.61084792238568397</v>
      </c>
      <c r="BW142" s="140">
        <f t="shared" si="212"/>
        <v>0.60120553493190798</v>
      </c>
      <c r="BX142" s="140">
        <f t="shared" si="212"/>
        <v>0.59147379497218788</v>
      </c>
      <c r="BY142" s="140">
        <f t="shared" si="212"/>
        <v>0.58168780128083075</v>
      </c>
      <c r="BZ142" s="140">
        <f t="shared" si="212"/>
        <v>0.57185593600904161</v>
      </c>
      <c r="CA142" s="140">
        <f t="shared" si="212"/>
        <v>0.56201405790021264</v>
      </c>
      <c r="CB142" s="140">
        <f>EXP(-CB141*CB140)</f>
        <v>0.55211570674612076</v>
      </c>
      <c r="CC142" s="17"/>
      <c r="CD142" s="17"/>
      <c r="CE142" s="17"/>
    </row>
    <row r="143" spans="1:83">
      <c r="A143" s="17"/>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17"/>
      <c r="CD143" s="17"/>
      <c r="CE143" s="17"/>
    </row>
    <row r="144" spans="1:83">
      <c r="A144" s="16" t="s">
        <v>40</v>
      </c>
      <c r="B144" s="140">
        <f t="shared" ref="B144:BM144" si="213">DAYS360($B$3,B54)</f>
        <v>223</v>
      </c>
      <c r="C144" s="140">
        <f t="shared" si="213"/>
        <v>582</v>
      </c>
      <c r="D144" s="140">
        <f t="shared" si="213"/>
        <v>942</v>
      </c>
      <c r="E144" s="140">
        <f t="shared" si="213"/>
        <v>1302</v>
      </c>
      <c r="F144" s="140">
        <f t="shared" si="213"/>
        <v>1662</v>
      </c>
      <c r="G144" s="140">
        <f t="shared" si="213"/>
        <v>2021</v>
      </c>
      <c r="H144" s="140">
        <f t="shared" si="213"/>
        <v>2381</v>
      </c>
      <c r="I144" s="140">
        <f t="shared" si="213"/>
        <v>2741</v>
      </c>
      <c r="J144" s="140">
        <f t="shared" si="213"/>
        <v>3101</v>
      </c>
      <c r="K144" s="140">
        <f t="shared" si="213"/>
        <v>3460</v>
      </c>
      <c r="L144" s="140">
        <f t="shared" si="213"/>
        <v>3820</v>
      </c>
      <c r="M144" s="140">
        <f t="shared" si="213"/>
        <v>4180</v>
      </c>
      <c r="N144" s="140">
        <f t="shared" si="213"/>
        <v>4540</v>
      </c>
      <c r="O144" s="140">
        <f t="shared" si="213"/>
        <v>4899</v>
      </c>
      <c r="P144" s="140">
        <f t="shared" si="213"/>
        <v>5259</v>
      </c>
      <c r="Q144" s="140">
        <f t="shared" si="213"/>
        <v>5619</v>
      </c>
      <c r="R144" s="140">
        <f t="shared" si="213"/>
        <v>5979</v>
      </c>
      <c r="S144" s="140">
        <f t="shared" si="213"/>
        <v>6338</v>
      </c>
      <c r="T144" s="140">
        <f t="shared" si="213"/>
        <v>6698</v>
      </c>
      <c r="U144" s="140">
        <f t="shared" si="213"/>
        <v>7058</v>
      </c>
      <c r="V144" s="140">
        <f t="shared" si="213"/>
        <v>7418</v>
      </c>
      <c r="W144" s="140">
        <f t="shared" si="213"/>
        <v>7777</v>
      </c>
      <c r="X144" s="140">
        <f t="shared" si="213"/>
        <v>8137</v>
      </c>
      <c r="Y144" s="140">
        <f t="shared" si="213"/>
        <v>8497</v>
      </c>
      <c r="Z144" s="140">
        <f t="shared" si="213"/>
        <v>8857</v>
      </c>
      <c r="AA144" s="140">
        <f t="shared" si="213"/>
        <v>9216</v>
      </c>
      <c r="AB144" s="140">
        <f t="shared" si="213"/>
        <v>9576</v>
      </c>
      <c r="AC144" s="140">
        <f t="shared" si="213"/>
        <v>9936</v>
      </c>
      <c r="AD144" s="140">
        <f t="shared" si="213"/>
        <v>10296</v>
      </c>
      <c r="AE144" s="140">
        <f t="shared" si="213"/>
        <v>10655</v>
      </c>
      <c r="AF144" s="140">
        <f t="shared" si="213"/>
        <v>11015</v>
      </c>
      <c r="AG144" s="140">
        <f t="shared" si="213"/>
        <v>11375</v>
      </c>
      <c r="AH144" s="140">
        <f t="shared" si="213"/>
        <v>11735</v>
      </c>
      <c r="AI144" s="140">
        <f t="shared" si="213"/>
        <v>12094</v>
      </c>
      <c r="AJ144" s="140">
        <f t="shared" si="213"/>
        <v>12454</v>
      </c>
      <c r="AK144" s="140">
        <f t="shared" si="213"/>
        <v>12814</v>
      </c>
      <c r="AL144" s="140">
        <f t="shared" si="213"/>
        <v>13174</v>
      </c>
      <c r="AM144" s="140">
        <f t="shared" si="213"/>
        <v>13533</v>
      </c>
      <c r="AN144" s="140">
        <f t="shared" si="213"/>
        <v>13893</v>
      </c>
      <c r="AO144" s="140">
        <f t="shared" si="213"/>
        <v>14253</v>
      </c>
      <c r="AP144" s="140">
        <f t="shared" si="213"/>
        <v>14613</v>
      </c>
      <c r="AQ144" s="140">
        <f t="shared" si="213"/>
        <v>14972</v>
      </c>
      <c r="AR144" s="140">
        <f t="shared" si="213"/>
        <v>15332</v>
      </c>
      <c r="AS144" s="140">
        <f t="shared" si="213"/>
        <v>15692</v>
      </c>
      <c r="AT144" s="140">
        <f t="shared" si="213"/>
        <v>16052</v>
      </c>
      <c r="AU144" s="140">
        <f t="shared" si="213"/>
        <v>16411</v>
      </c>
      <c r="AV144" s="140">
        <f t="shared" si="213"/>
        <v>16771</v>
      </c>
      <c r="AW144" s="140">
        <f t="shared" si="213"/>
        <v>17131</v>
      </c>
      <c r="AX144" s="140">
        <f t="shared" si="213"/>
        <v>17491</v>
      </c>
      <c r="AY144" s="140">
        <f t="shared" si="213"/>
        <v>17850</v>
      </c>
      <c r="AZ144" s="140">
        <f t="shared" si="213"/>
        <v>18210</v>
      </c>
      <c r="BA144" s="140">
        <f t="shared" si="213"/>
        <v>18570</v>
      </c>
      <c r="BB144" s="140">
        <f t="shared" si="213"/>
        <v>18930</v>
      </c>
      <c r="BC144" s="140">
        <f t="shared" si="213"/>
        <v>19289</v>
      </c>
      <c r="BD144" s="140">
        <f t="shared" si="213"/>
        <v>19649</v>
      </c>
      <c r="BE144" s="140">
        <f t="shared" si="213"/>
        <v>20009</v>
      </c>
      <c r="BF144" s="140">
        <f t="shared" si="213"/>
        <v>20369</v>
      </c>
      <c r="BG144" s="140">
        <f t="shared" si="213"/>
        <v>20729</v>
      </c>
      <c r="BH144" s="140">
        <f t="shared" si="213"/>
        <v>21089</v>
      </c>
      <c r="BI144" s="140">
        <f t="shared" si="213"/>
        <v>21449</v>
      </c>
      <c r="BJ144" s="140">
        <f t="shared" si="213"/>
        <v>21809</v>
      </c>
      <c r="BK144" s="140">
        <f t="shared" si="213"/>
        <v>22168</v>
      </c>
      <c r="BL144" s="140">
        <f t="shared" si="213"/>
        <v>22528</v>
      </c>
      <c r="BM144" s="140">
        <f t="shared" si="213"/>
        <v>22888</v>
      </c>
      <c r="BN144" s="140">
        <f t="shared" ref="BN144:CB144" si="214">DAYS360($B$3,BN54)</f>
        <v>23248</v>
      </c>
      <c r="BO144" s="140">
        <f t="shared" si="214"/>
        <v>23607</v>
      </c>
      <c r="BP144" s="140">
        <f t="shared" si="214"/>
        <v>23967</v>
      </c>
      <c r="BQ144" s="140">
        <f t="shared" si="214"/>
        <v>24327</v>
      </c>
      <c r="BR144" s="140">
        <f t="shared" si="214"/>
        <v>24687</v>
      </c>
      <c r="BS144" s="140">
        <f t="shared" si="214"/>
        <v>25046</v>
      </c>
      <c r="BT144" s="140">
        <f t="shared" si="214"/>
        <v>25406</v>
      </c>
      <c r="BU144" s="140">
        <f t="shared" si="214"/>
        <v>25766</v>
      </c>
      <c r="BV144" s="140">
        <f t="shared" si="214"/>
        <v>26126</v>
      </c>
      <c r="BW144" s="140">
        <f t="shared" si="214"/>
        <v>26485</v>
      </c>
      <c r="BX144" s="140">
        <f t="shared" si="214"/>
        <v>26845</v>
      </c>
      <c r="BY144" s="140">
        <f t="shared" si="214"/>
        <v>27205</v>
      </c>
      <c r="BZ144" s="140">
        <f t="shared" si="214"/>
        <v>27565</v>
      </c>
      <c r="CA144" s="140">
        <f t="shared" si="214"/>
        <v>27924</v>
      </c>
      <c r="CB144" s="140">
        <f t="shared" si="214"/>
        <v>28284</v>
      </c>
      <c r="CC144" s="17"/>
      <c r="CD144" s="17"/>
      <c r="CE144" s="17"/>
    </row>
    <row r="145" spans="1:83">
      <c r="A145" s="16" t="s">
        <v>41</v>
      </c>
      <c r="B145" s="140">
        <f>B144/360</f>
        <v>0.61944444444444446</v>
      </c>
      <c r="C145" s="140">
        <f t="shared" ref="C145:BN145" si="215">C144/360</f>
        <v>1.6166666666666667</v>
      </c>
      <c r="D145" s="140">
        <f t="shared" si="215"/>
        <v>2.6166666666666667</v>
      </c>
      <c r="E145" s="140">
        <f t="shared" si="215"/>
        <v>3.6166666666666667</v>
      </c>
      <c r="F145" s="140">
        <f t="shared" si="215"/>
        <v>4.6166666666666663</v>
      </c>
      <c r="G145" s="140">
        <f t="shared" si="215"/>
        <v>5.6138888888888889</v>
      </c>
      <c r="H145" s="140">
        <f t="shared" si="215"/>
        <v>6.6138888888888889</v>
      </c>
      <c r="I145" s="140">
        <f t="shared" si="215"/>
        <v>7.6138888888888889</v>
      </c>
      <c r="J145" s="140">
        <f t="shared" si="215"/>
        <v>8.6138888888888889</v>
      </c>
      <c r="K145" s="140">
        <f t="shared" si="215"/>
        <v>9.6111111111111107</v>
      </c>
      <c r="L145" s="140">
        <f t="shared" si="215"/>
        <v>10.611111111111111</v>
      </c>
      <c r="M145" s="140">
        <f t="shared" si="215"/>
        <v>11.611111111111111</v>
      </c>
      <c r="N145" s="140">
        <f t="shared" si="215"/>
        <v>12.611111111111111</v>
      </c>
      <c r="O145" s="140">
        <f t="shared" si="215"/>
        <v>13.608333333333333</v>
      </c>
      <c r="P145" s="140">
        <f t="shared" si="215"/>
        <v>14.608333333333333</v>
      </c>
      <c r="Q145" s="140">
        <f t="shared" si="215"/>
        <v>15.608333333333333</v>
      </c>
      <c r="R145" s="140">
        <f t="shared" si="215"/>
        <v>16.608333333333334</v>
      </c>
      <c r="S145" s="140">
        <f t="shared" si="215"/>
        <v>17.605555555555554</v>
      </c>
      <c r="T145" s="140">
        <f t="shared" si="215"/>
        <v>18.605555555555554</v>
      </c>
      <c r="U145" s="140">
        <f t="shared" si="215"/>
        <v>19.605555555555554</v>
      </c>
      <c r="V145" s="140">
        <f t="shared" si="215"/>
        <v>20.605555555555554</v>
      </c>
      <c r="W145" s="140">
        <f t="shared" si="215"/>
        <v>21.602777777777778</v>
      </c>
      <c r="X145" s="140">
        <f t="shared" si="215"/>
        <v>22.602777777777778</v>
      </c>
      <c r="Y145" s="140">
        <f t="shared" si="215"/>
        <v>23.602777777777778</v>
      </c>
      <c r="Z145" s="140">
        <f t="shared" si="215"/>
        <v>24.602777777777778</v>
      </c>
      <c r="AA145" s="140">
        <f t="shared" si="215"/>
        <v>25.6</v>
      </c>
      <c r="AB145" s="140">
        <f t="shared" si="215"/>
        <v>26.6</v>
      </c>
      <c r="AC145" s="140">
        <f t="shared" si="215"/>
        <v>27.6</v>
      </c>
      <c r="AD145" s="140">
        <f t="shared" si="215"/>
        <v>28.6</v>
      </c>
      <c r="AE145" s="140">
        <f t="shared" si="215"/>
        <v>29.597222222222221</v>
      </c>
      <c r="AF145" s="140">
        <f t="shared" si="215"/>
        <v>30.597222222222221</v>
      </c>
      <c r="AG145" s="140">
        <f t="shared" si="215"/>
        <v>31.597222222222221</v>
      </c>
      <c r="AH145" s="140">
        <f t="shared" si="215"/>
        <v>32.597222222222221</v>
      </c>
      <c r="AI145" s="140">
        <f t="shared" si="215"/>
        <v>33.594444444444441</v>
      </c>
      <c r="AJ145" s="140">
        <f t="shared" si="215"/>
        <v>34.594444444444441</v>
      </c>
      <c r="AK145" s="140">
        <f t="shared" si="215"/>
        <v>35.594444444444441</v>
      </c>
      <c r="AL145" s="140">
        <f t="shared" si="215"/>
        <v>36.594444444444441</v>
      </c>
      <c r="AM145" s="140">
        <f t="shared" si="215"/>
        <v>37.591666666666669</v>
      </c>
      <c r="AN145" s="140">
        <f t="shared" si="215"/>
        <v>38.591666666666669</v>
      </c>
      <c r="AO145" s="140">
        <f t="shared" si="215"/>
        <v>39.591666666666669</v>
      </c>
      <c r="AP145" s="140">
        <f t="shared" si="215"/>
        <v>40.591666666666669</v>
      </c>
      <c r="AQ145" s="140">
        <f t="shared" si="215"/>
        <v>41.588888888888889</v>
      </c>
      <c r="AR145" s="140">
        <f t="shared" si="215"/>
        <v>42.588888888888889</v>
      </c>
      <c r="AS145" s="140">
        <f t="shared" si="215"/>
        <v>43.588888888888889</v>
      </c>
      <c r="AT145" s="140">
        <f t="shared" si="215"/>
        <v>44.588888888888889</v>
      </c>
      <c r="AU145" s="140">
        <f t="shared" si="215"/>
        <v>45.586111111111109</v>
      </c>
      <c r="AV145" s="140">
        <f t="shared" si="215"/>
        <v>46.586111111111109</v>
      </c>
      <c r="AW145" s="140">
        <f t="shared" si="215"/>
        <v>47.586111111111109</v>
      </c>
      <c r="AX145" s="140">
        <f t="shared" si="215"/>
        <v>48.586111111111109</v>
      </c>
      <c r="AY145" s="140">
        <f t="shared" si="215"/>
        <v>49.583333333333336</v>
      </c>
      <c r="AZ145" s="140">
        <f t="shared" si="215"/>
        <v>50.583333333333336</v>
      </c>
      <c r="BA145" s="140">
        <f t="shared" si="215"/>
        <v>51.583333333333336</v>
      </c>
      <c r="BB145" s="140">
        <f t="shared" si="215"/>
        <v>52.583333333333336</v>
      </c>
      <c r="BC145" s="140">
        <f t="shared" si="215"/>
        <v>53.580555555555556</v>
      </c>
      <c r="BD145" s="140">
        <f t="shared" si="215"/>
        <v>54.580555555555556</v>
      </c>
      <c r="BE145" s="140">
        <f t="shared" si="215"/>
        <v>55.580555555555556</v>
      </c>
      <c r="BF145" s="140">
        <f t="shared" si="215"/>
        <v>56.580555555555556</v>
      </c>
      <c r="BG145" s="140">
        <f t="shared" si="215"/>
        <v>57.580555555555556</v>
      </c>
      <c r="BH145" s="140">
        <f t="shared" si="215"/>
        <v>58.580555555555556</v>
      </c>
      <c r="BI145" s="140">
        <f t="shared" si="215"/>
        <v>59.580555555555556</v>
      </c>
      <c r="BJ145" s="140">
        <f t="shared" si="215"/>
        <v>60.580555555555556</v>
      </c>
      <c r="BK145" s="140">
        <f t="shared" si="215"/>
        <v>61.577777777777776</v>
      </c>
      <c r="BL145" s="140">
        <f t="shared" si="215"/>
        <v>62.577777777777776</v>
      </c>
      <c r="BM145" s="140">
        <f t="shared" si="215"/>
        <v>63.577777777777776</v>
      </c>
      <c r="BN145" s="140">
        <f t="shared" si="215"/>
        <v>64.577777777777783</v>
      </c>
      <c r="BO145" s="140">
        <f t="shared" ref="BO145:CB145" si="216">BO144/360</f>
        <v>65.575000000000003</v>
      </c>
      <c r="BP145" s="140">
        <f t="shared" si="216"/>
        <v>66.575000000000003</v>
      </c>
      <c r="BQ145" s="140">
        <f t="shared" si="216"/>
        <v>67.575000000000003</v>
      </c>
      <c r="BR145" s="140">
        <f t="shared" si="216"/>
        <v>68.575000000000003</v>
      </c>
      <c r="BS145" s="140">
        <f t="shared" si="216"/>
        <v>69.572222222222223</v>
      </c>
      <c r="BT145" s="140">
        <f t="shared" si="216"/>
        <v>70.572222222222223</v>
      </c>
      <c r="BU145" s="140">
        <f t="shared" si="216"/>
        <v>71.572222222222223</v>
      </c>
      <c r="BV145" s="140">
        <f t="shared" si="216"/>
        <v>72.572222222222223</v>
      </c>
      <c r="BW145" s="140">
        <f t="shared" si="216"/>
        <v>73.569444444444443</v>
      </c>
      <c r="BX145" s="140">
        <f t="shared" si="216"/>
        <v>74.569444444444443</v>
      </c>
      <c r="BY145" s="140">
        <f t="shared" si="216"/>
        <v>75.569444444444443</v>
      </c>
      <c r="BZ145" s="140">
        <f t="shared" si="216"/>
        <v>76.569444444444443</v>
      </c>
      <c r="CA145" s="140">
        <f t="shared" si="216"/>
        <v>77.566666666666663</v>
      </c>
      <c r="CB145" s="140">
        <f t="shared" si="216"/>
        <v>78.566666666666663</v>
      </c>
      <c r="CC145" s="17"/>
      <c r="CD145" s="17"/>
      <c r="CE145" s="17"/>
    </row>
    <row r="146" spans="1:83">
      <c r="A146" s="16" t="s">
        <v>43</v>
      </c>
      <c r="B146" s="140">
        <f>IF(B144&lt;0,0,$B$5+$B$6*((1-EXP(-B145/$B$9))/(B145/$B$9))+$B$7*((1-EXP(-B145/$B$9))/(B145/$B$9)-EXP(-B145/$B$9))+$B$8*((1-EXP(-B145/$B$10))/(B145/$B$10)-EXP(-B145/$B$10)))</f>
        <v>-7.0617155237481686E-3</v>
      </c>
      <c r="C146" s="140">
        <f t="shared" ref="C146:BN146" si="217">IF(C144&lt;0,0,$B$5+$B$6*((1-EXP(-C145/$B$9))/(C145/$B$9))+$B$7*((1-EXP(-C145/$B$9))/(C145/$B$9)-EXP(-C145/$B$9))+$B$8*((1-EXP(-C145/$B$10))/(C145/$B$10)-EXP(-C145/$B$10)))</f>
        <v>-7.6037755481372302E-3</v>
      </c>
      <c r="D146" s="140">
        <f t="shared" si="217"/>
        <v>-7.710847480149041E-3</v>
      </c>
      <c r="E146" s="140">
        <f t="shared" si="217"/>
        <v>-7.5060733108696766E-3</v>
      </c>
      <c r="F146" s="140">
        <f t="shared" si="217"/>
        <v>-7.0857132915753841E-3</v>
      </c>
      <c r="G146" s="140">
        <f t="shared" si="217"/>
        <v>-6.5248026158246462E-3</v>
      </c>
      <c r="H146" s="140">
        <f t="shared" si="217"/>
        <v>-5.8754501127824283E-3</v>
      </c>
      <c r="I146" s="140">
        <f t="shared" si="217"/>
        <v>-5.1803620967415254E-3</v>
      </c>
      <c r="J146" s="140">
        <f t="shared" si="217"/>
        <v>-4.4698944531073072E-3</v>
      </c>
      <c r="K146" s="140">
        <f t="shared" si="217"/>
        <v>-3.7678449677290525E-3</v>
      </c>
      <c r="L146" s="140">
        <f t="shared" si="217"/>
        <v>-3.0856009613625997E-3</v>
      </c>
      <c r="M146" s="140">
        <f t="shared" si="217"/>
        <v>-2.4354694668241392E-3</v>
      </c>
      <c r="N146" s="140">
        <f t="shared" si="217"/>
        <v>-1.823983889435131E-3</v>
      </c>
      <c r="O146" s="140">
        <f t="shared" si="217"/>
        <v>-1.2563434079497331E-3</v>
      </c>
      <c r="P146" s="140">
        <f t="shared" si="217"/>
        <v>-7.3094638958840635E-4</v>
      </c>
      <c r="Q146" s="140">
        <f t="shared" si="217"/>
        <v>-2.494563483878276E-4</v>
      </c>
      <c r="R146" s="140">
        <f t="shared" si="217"/>
        <v>1.8920528010434035E-4</v>
      </c>
      <c r="S146" s="140">
        <f t="shared" si="217"/>
        <v>5.8582725308489736E-4</v>
      </c>
      <c r="T146" s="140">
        <f t="shared" si="217"/>
        <v>9.4495213051269678E-4</v>
      </c>
      <c r="U146" s="140">
        <f t="shared" si="217"/>
        <v>1.2680610627495113E-3</v>
      </c>
      <c r="V146" s="140">
        <f t="shared" si="217"/>
        <v>1.5579530282883065E-3</v>
      </c>
      <c r="W146" s="140">
        <f t="shared" si="217"/>
        <v>1.8167942659555215E-3</v>
      </c>
      <c r="X146" s="140">
        <f t="shared" si="217"/>
        <v>2.0488383565136874E-3</v>
      </c>
      <c r="Y146" s="140">
        <f t="shared" si="217"/>
        <v>2.256056709701932E-3</v>
      </c>
      <c r="Z146" s="140">
        <f t="shared" si="217"/>
        <v>2.4410600941745693E-3</v>
      </c>
      <c r="AA146" s="140">
        <f t="shared" si="217"/>
        <v>2.6058787369594369E-3</v>
      </c>
      <c r="AB146" s="140">
        <f t="shared" si="217"/>
        <v>2.7537290656083901E-3</v>
      </c>
      <c r="AC146" s="140">
        <f t="shared" si="217"/>
        <v>2.8862621567856232E-3</v>
      </c>
      <c r="AD146" s="140">
        <f t="shared" si="217"/>
        <v>3.0054462511628945E-3</v>
      </c>
      <c r="AE146" s="140">
        <f t="shared" si="217"/>
        <v>3.1127997062016521E-3</v>
      </c>
      <c r="AF146" s="140">
        <f t="shared" si="217"/>
        <v>3.210560289449254E-3</v>
      </c>
      <c r="AG146" s="140">
        <f t="shared" si="217"/>
        <v>3.2999053398233766E-3</v>
      </c>
      <c r="AH146" s="140">
        <f t="shared" si="217"/>
        <v>3.3821830646599757E-3</v>
      </c>
      <c r="AI146" s="140">
        <f t="shared" si="217"/>
        <v>3.4584023696054532E-3</v>
      </c>
      <c r="AJ146" s="140">
        <f t="shared" si="217"/>
        <v>3.5300751228181035E-3</v>
      </c>
      <c r="AK146" s="140">
        <f t="shared" si="217"/>
        <v>3.597956349161123E-3</v>
      </c>
      <c r="AL146" s="140">
        <f t="shared" si="217"/>
        <v>3.6629152894082778E-3</v>
      </c>
      <c r="AM146" s="140">
        <f t="shared" si="217"/>
        <v>3.7255522918672804E-3</v>
      </c>
      <c r="AN146" s="140">
        <f t="shared" si="217"/>
        <v>3.786899071560549E-3</v>
      </c>
      <c r="AO146" s="140">
        <f t="shared" si="217"/>
        <v>3.8473826674040208E-3</v>
      </c>
      <c r="AP146" s="140">
        <f t="shared" si="217"/>
        <v>3.907534398227646E-3</v>
      </c>
      <c r="AQ146" s="140">
        <f t="shared" si="217"/>
        <v>3.9676516140493556E-3</v>
      </c>
      <c r="AR146" s="140">
        <f t="shared" si="217"/>
        <v>4.0284741865719252E-3</v>
      </c>
      <c r="AS146" s="140">
        <f t="shared" si="217"/>
        <v>4.090187300172049E-3</v>
      </c>
      <c r="AT146" s="140">
        <f t="shared" si="217"/>
        <v>4.1530948560102171E-3</v>
      </c>
      <c r="AU146" s="140">
        <f t="shared" si="217"/>
        <v>4.2172762849209955E-3</v>
      </c>
      <c r="AV146" s="140">
        <f t="shared" si="217"/>
        <v>4.2833101254247871E-3</v>
      </c>
      <c r="AW146" s="140">
        <f t="shared" si="217"/>
        <v>4.3512063190708113E-3</v>
      </c>
      <c r="AX146" s="140">
        <f t="shared" si="217"/>
        <v>4.421120172410066E-3</v>
      </c>
      <c r="AY146" s="140">
        <f t="shared" si="217"/>
        <v>4.492975804566722E-3</v>
      </c>
      <c r="AZ146" s="140">
        <f t="shared" si="217"/>
        <v>4.5672757312999225E-3</v>
      </c>
      <c r="BA146" s="140">
        <f t="shared" si="217"/>
        <v>4.643903076042722E-3</v>
      </c>
      <c r="BB146" s="140">
        <f t="shared" si="217"/>
        <v>4.7229183111442107E-3</v>
      </c>
      <c r="BC146" s="140">
        <f t="shared" si="217"/>
        <v>4.8041347147932158E-3</v>
      </c>
      <c r="BD146" s="140">
        <f t="shared" si="217"/>
        <v>4.8880320505897273E-3</v>
      </c>
      <c r="BE146" s="140">
        <f t="shared" si="217"/>
        <v>4.9744010975817203E-3</v>
      </c>
      <c r="BF146" s="140">
        <f t="shared" si="217"/>
        <v>5.0632433178526802E-3</v>
      </c>
      <c r="BG146" s="140">
        <f t="shared" si="217"/>
        <v>5.1545494745135444E-3</v>
      </c>
      <c r="BH146" s="140">
        <f t="shared" si="217"/>
        <v>5.2483009403502569E-3</v>
      </c>
      <c r="BI146" s="140">
        <f t="shared" si="217"/>
        <v>5.3444708739933643E-3</v>
      </c>
      <c r="BJ146" s="140">
        <f t="shared" si="217"/>
        <v>5.4430252765630162E-3</v>
      </c>
      <c r="BK146" s="140">
        <f t="shared" si="217"/>
        <v>5.5436404604685373E-3</v>
      </c>
      <c r="BL146" s="140">
        <f t="shared" si="217"/>
        <v>5.6468315035530653E-3</v>
      </c>
      <c r="BM146" s="140">
        <f t="shared" si="217"/>
        <v>5.7522712311794608E-3</v>
      </c>
      <c r="BN146" s="140">
        <f t="shared" si="217"/>
        <v>5.8599055882457944E-3</v>
      </c>
      <c r="BO146" s="140">
        <f t="shared" ref="BO146:CB146" si="218">IF(BO144&lt;0,0,$B$5+$B$6*((1-EXP(-BO145/$B$9))/(BO145/$B$9))+$B$7*((1-EXP(-BO145/$B$9))/(BO145/$B$9)-EXP(-BO145/$B$9))+$B$8*((1-EXP(-BO145/$B$10))/(BO145/$B$10)-EXP(-BO145/$B$10)))</f>
        <v>5.9693693978463726E-3</v>
      </c>
      <c r="BP146" s="140">
        <f t="shared" si="218"/>
        <v>6.081212533138862E-3</v>
      </c>
      <c r="BQ146" s="140">
        <f t="shared" si="218"/>
        <v>6.1950706799002581E-3</v>
      </c>
      <c r="BR146" s="140">
        <f t="shared" si="218"/>
        <v>6.3108796822292125E-3</v>
      </c>
      <c r="BS146" s="140">
        <f t="shared" si="218"/>
        <v>6.428244485933144E-3</v>
      </c>
      <c r="BT146" s="140">
        <f t="shared" si="218"/>
        <v>6.5477524451314668E-3</v>
      </c>
      <c r="BU146" s="140">
        <f t="shared" si="218"/>
        <v>6.6690118287289386E-3</v>
      </c>
      <c r="BV146" s="140">
        <f t="shared" si="218"/>
        <v>6.7919547621716758E-3</v>
      </c>
      <c r="BW146" s="140">
        <f t="shared" si="218"/>
        <v>6.9161649719451414E-3</v>
      </c>
      <c r="BX146" s="140">
        <f t="shared" si="218"/>
        <v>7.0422664822694346E-3</v>
      </c>
      <c r="BY146" s="140">
        <f t="shared" si="218"/>
        <v>7.1698475895492948E-3</v>
      </c>
      <c r="BZ146" s="140">
        <f t="shared" si="218"/>
        <v>7.2988407256104754E-3</v>
      </c>
      <c r="CA146" s="140">
        <f t="shared" si="218"/>
        <v>7.4288149807989826E-3</v>
      </c>
      <c r="CB146" s="140">
        <f t="shared" si="218"/>
        <v>7.5604281841375777E-3</v>
      </c>
      <c r="CC146" s="17"/>
      <c r="CD146" s="17"/>
      <c r="CE146" s="17"/>
    </row>
    <row r="147" spans="1:83">
      <c r="A147" s="16" t="s">
        <v>44</v>
      </c>
      <c r="B147" s="140">
        <f>EXP(-B146*B145)</f>
        <v>1.0043839218422805</v>
      </c>
      <c r="C147" s="140">
        <f t="shared" ref="C147:AR147" si="219">EXP(-C146*C145)</f>
        <v>1.012368637124138</v>
      </c>
      <c r="D147" s="140">
        <f t="shared" si="219"/>
        <v>1.0203816434625181</v>
      </c>
      <c r="E147" s="140">
        <f t="shared" si="219"/>
        <v>1.0275188011129346</v>
      </c>
      <c r="F147" s="140">
        <f t="shared" si="219"/>
        <v>1.0332533084233047</v>
      </c>
      <c r="G147" s="140">
        <f t="shared" si="219"/>
        <v>1.0373086443252861</v>
      </c>
      <c r="H147" s="140">
        <f t="shared" si="219"/>
        <v>1.0396244833183947</v>
      </c>
      <c r="I147" s="140">
        <f t="shared" si="219"/>
        <v>1.0402308934126057</v>
      </c>
      <c r="J147" s="140">
        <f t="shared" si="219"/>
        <v>1.0392540271156006</v>
      </c>
      <c r="K147" s="140">
        <f t="shared" si="219"/>
        <v>1.0368768608519021</v>
      </c>
      <c r="L147" s="140">
        <f t="shared" si="219"/>
        <v>1.0332835607487352</v>
      </c>
      <c r="M147" s="140">
        <f t="shared" si="219"/>
        <v>1.028682139281524</v>
      </c>
      <c r="N147" s="140">
        <f t="shared" si="219"/>
        <v>1.0232690603618588</v>
      </c>
      <c r="O147" s="140">
        <f t="shared" si="219"/>
        <v>1.0172437255978048</v>
      </c>
      <c r="P147" s="140">
        <f t="shared" si="219"/>
        <v>1.0107351208275979</v>
      </c>
      <c r="Q147" s="140">
        <f t="shared" si="219"/>
        <v>1.0039011877372894</v>
      </c>
      <c r="R147" s="140">
        <f t="shared" si="219"/>
        <v>0.99686254776177419</v>
      </c>
      <c r="S147" s="140">
        <f t="shared" si="219"/>
        <v>0.98973919074763383</v>
      </c>
      <c r="T147" s="140">
        <f t="shared" si="219"/>
        <v>0.98257229095867926</v>
      </c>
      <c r="U147" s="140">
        <f t="shared" si="219"/>
        <v>0.975445448936752</v>
      </c>
      <c r="V147" s="140">
        <f t="shared" si="219"/>
        <v>0.96840732717540023</v>
      </c>
      <c r="W147" s="140">
        <f t="shared" si="219"/>
        <v>0.96151241415848487</v>
      </c>
      <c r="X147" s="140">
        <f t="shared" si="219"/>
        <v>0.95474648156335373</v>
      </c>
      <c r="Y147" s="140">
        <f t="shared" si="219"/>
        <v>0.94814370072334619</v>
      </c>
      <c r="Z147" s="140">
        <f t="shared" si="219"/>
        <v>0.9417109872800471</v>
      </c>
      <c r="AA147" s="140">
        <f t="shared" si="219"/>
        <v>0.93546598359497579</v>
      </c>
      <c r="AB147" s="140">
        <f t="shared" si="219"/>
        <v>0.92936920873161166</v>
      </c>
      <c r="AC147" s="140">
        <f t="shared" si="219"/>
        <v>0.9234294877557262</v>
      </c>
      <c r="AD147" s="140">
        <f t="shared" si="219"/>
        <v>0.91763482393288565</v>
      </c>
      <c r="AE147" s="140">
        <f t="shared" si="219"/>
        <v>0.91198637871604182</v>
      </c>
      <c r="AF147" s="140">
        <f t="shared" si="219"/>
        <v>0.90643656730126232</v>
      </c>
      <c r="AG147" s="140">
        <f t="shared" si="219"/>
        <v>0.90098394345730304</v>
      </c>
      <c r="AH147" s="140">
        <f t="shared" si="219"/>
        <v>0.89561040809906789</v>
      </c>
      <c r="AI147" s="140">
        <f t="shared" si="219"/>
        <v>0.89031218662578182</v>
      </c>
      <c r="AJ147" s="140">
        <f t="shared" si="219"/>
        <v>0.88504128289688644</v>
      </c>
      <c r="AK147" s="140">
        <f t="shared" si="219"/>
        <v>0.87979420449826573</v>
      </c>
      <c r="AL147" s="140">
        <f t="shared" si="219"/>
        <v>0.874553026443326</v>
      </c>
      <c r="AM147" s="140">
        <f t="shared" si="219"/>
        <v>0.86931501206437334</v>
      </c>
      <c r="AN147" s="140">
        <f t="shared" si="219"/>
        <v>0.86403435635406467</v>
      </c>
      <c r="AO147" s="140">
        <f t="shared" si="219"/>
        <v>0.85870976278472699</v>
      </c>
      <c r="AP147" s="140">
        <f t="shared" si="219"/>
        <v>0.85332624762003018</v>
      </c>
      <c r="AQ147" s="140">
        <f t="shared" si="219"/>
        <v>0.84788503685549654</v>
      </c>
      <c r="AR147" s="140">
        <f t="shared" si="219"/>
        <v>0.84234278498832571</v>
      </c>
      <c r="AS147" s="140">
        <f>EXP(-AS146*AS145)</f>
        <v>0.83670248995483121</v>
      </c>
      <c r="AT147" s="140">
        <f t="shared" ref="AT147:CA147" si="220">EXP(-AT146*AT145)</f>
        <v>0.83095313212979338</v>
      </c>
      <c r="AU147" s="140">
        <f t="shared" si="220"/>
        <v>0.82510120676010978</v>
      </c>
      <c r="AV147" s="140">
        <f t="shared" si="220"/>
        <v>0.81910519395757608</v>
      </c>
      <c r="AW147" s="140">
        <f t="shared" si="220"/>
        <v>0.81297331945880524</v>
      </c>
      <c r="AX147" s="140">
        <f t="shared" si="220"/>
        <v>0.80669870210699501</v>
      </c>
      <c r="AY147" s="140">
        <f t="shared" si="220"/>
        <v>0.80029352130377618</v>
      </c>
      <c r="AZ147" s="140">
        <f t="shared" si="220"/>
        <v>0.79371721724120892</v>
      </c>
      <c r="BA147" s="140">
        <f t="shared" si="220"/>
        <v>0.78698349696052528</v>
      </c>
      <c r="BB147" s="140">
        <f t="shared" si="220"/>
        <v>0.78008937084082497</v>
      </c>
      <c r="BC147" s="140">
        <f t="shared" si="220"/>
        <v>0.7730525838862049</v>
      </c>
      <c r="BD147" s="140">
        <f t="shared" si="220"/>
        <v>0.76583272719629114</v>
      </c>
      <c r="BE147" s="140">
        <f t="shared" si="220"/>
        <v>0.75844880573396478</v>
      </c>
      <c r="BF147" s="140">
        <f t="shared" si="220"/>
        <v>0.75090125553531484</v>
      </c>
      <c r="BG147" s="140">
        <f t="shared" si="220"/>
        <v>0.74319128164731363</v>
      </c>
      <c r="BH147" s="140">
        <f t="shared" si="220"/>
        <v>0.73532082029330392</v>
      </c>
      <c r="BI147" s="140">
        <f t="shared" si="220"/>
        <v>0.7272925001200744</v>
      </c>
      <c r="BJ147" s="140">
        <f t="shared" si="220"/>
        <v>0.71910960272170121</v>
      </c>
      <c r="BK147" s="140">
        <f t="shared" si="220"/>
        <v>0.71079937616452959</v>
      </c>
      <c r="BL147" s="140">
        <f t="shared" si="220"/>
        <v>0.70231997990401618</v>
      </c>
      <c r="BM147" s="140">
        <f t="shared" si="220"/>
        <v>0.69369935245733094</v>
      </c>
      <c r="BN147" s="140">
        <f t="shared" si="220"/>
        <v>0.68494298286583088</v>
      </c>
      <c r="BO147" s="140">
        <f t="shared" si="220"/>
        <v>0.67608166889346122</v>
      </c>
      <c r="BP147" s="140">
        <f t="shared" si="220"/>
        <v>0.66707237921156837</v>
      </c>
      <c r="BQ147" s="140">
        <f t="shared" si="220"/>
        <v>0.65794633996047713</v>
      </c>
      <c r="BR147" s="140">
        <f t="shared" si="220"/>
        <v>0.64871060279899662</v>
      </c>
      <c r="BS147" s="140">
        <f t="shared" si="220"/>
        <v>0.63939858595713384</v>
      </c>
      <c r="BT147" s="140">
        <f t="shared" si="220"/>
        <v>0.62996599287694222</v>
      </c>
      <c r="BU147" s="140">
        <f t="shared" si="220"/>
        <v>0.62044643934265309</v>
      </c>
      <c r="BV147" s="140">
        <f t="shared" si="220"/>
        <v>0.61084792238568397</v>
      </c>
      <c r="BW147" s="140">
        <f t="shared" si="220"/>
        <v>0.60120553493190798</v>
      </c>
      <c r="BX147" s="140">
        <f t="shared" si="220"/>
        <v>0.59147379497218788</v>
      </c>
      <c r="BY147" s="140">
        <f t="shared" si="220"/>
        <v>0.58168780128083075</v>
      </c>
      <c r="BZ147" s="140">
        <f t="shared" si="220"/>
        <v>0.57185593600904161</v>
      </c>
      <c r="CA147" s="140">
        <f t="shared" si="220"/>
        <v>0.56201405790021264</v>
      </c>
      <c r="CB147" s="140">
        <f>EXP(-CB146*CB145)</f>
        <v>0.55211570674612076</v>
      </c>
      <c r="CC147" s="17"/>
      <c r="CD147" s="17"/>
      <c r="CE147" s="17"/>
    </row>
    <row r="148" spans="1:83">
      <c r="A148" s="17"/>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17"/>
      <c r="CD148" s="17"/>
      <c r="CE148" s="17"/>
    </row>
    <row r="149" spans="1:83">
      <c r="A149" s="16" t="s">
        <v>40</v>
      </c>
      <c r="B149" s="140">
        <f t="shared" ref="B149:BM149" si="221">DAYS360($B$3,B56)</f>
        <v>362</v>
      </c>
      <c r="C149" s="140">
        <f t="shared" si="221"/>
        <v>722</v>
      </c>
      <c r="D149" s="140">
        <f t="shared" si="221"/>
        <v>1082</v>
      </c>
      <c r="E149" s="140">
        <f t="shared" si="221"/>
        <v>1442</v>
      </c>
      <c r="F149" s="140">
        <f t="shared" si="221"/>
        <v>1801</v>
      </c>
      <c r="G149" s="140">
        <f t="shared" si="221"/>
        <v>2161</v>
      </c>
      <c r="H149" s="140">
        <f t="shared" si="221"/>
        <v>2521</v>
      </c>
      <c r="I149" s="140">
        <f t="shared" si="221"/>
        <v>2881</v>
      </c>
      <c r="J149" s="140">
        <f t="shared" si="221"/>
        <v>3240</v>
      </c>
      <c r="K149" s="140">
        <f t="shared" si="221"/>
        <v>3600</v>
      </c>
      <c r="L149" s="140">
        <f t="shared" si="221"/>
        <v>3960</v>
      </c>
      <c r="M149" s="140">
        <f t="shared" si="221"/>
        <v>4320</v>
      </c>
      <c r="N149" s="140">
        <f t="shared" si="221"/>
        <v>4679</v>
      </c>
      <c r="O149" s="140">
        <f t="shared" si="221"/>
        <v>5039</v>
      </c>
      <c r="P149" s="140">
        <f t="shared" si="221"/>
        <v>5399</v>
      </c>
      <c r="Q149" s="140">
        <f t="shared" si="221"/>
        <v>5759</v>
      </c>
      <c r="R149" s="140">
        <f t="shared" si="221"/>
        <v>6118</v>
      </c>
      <c r="S149" s="140">
        <f t="shared" si="221"/>
        <v>6478</v>
      </c>
      <c r="T149" s="140">
        <f t="shared" si="221"/>
        <v>6838</v>
      </c>
      <c r="U149" s="140">
        <f t="shared" si="221"/>
        <v>7198</v>
      </c>
      <c r="V149" s="140">
        <f t="shared" si="221"/>
        <v>7557</v>
      </c>
      <c r="W149" s="140">
        <f t="shared" si="221"/>
        <v>7917</v>
      </c>
      <c r="X149" s="140">
        <f t="shared" si="221"/>
        <v>8277</v>
      </c>
      <c r="Y149" s="140">
        <f t="shared" si="221"/>
        <v>8637</v>
      </c>
      <c r="Z149" s="140">
        <f t="shared" si="221"/>
        <v>8996</v>
      </c>
      <c r="AA149" s="140">
        <f t="shared" si="221"/>
        <v>9356</v>
      </c>
      <c r="AB149" s="140">
        <f t="shared" si="221"/>
        <v>9716</v>
      </c>
      <c r="AC149" s="140">
        <f t="shared" si="221"/>
        <v>10076</v>
      </c>
      <c r="AD149" s="140">
        <f t="shared" si="221"/>
        <v>10435</v>
      </c>
      <c r="AE149" s="140">
        <f t="shared" si="221"/>
        <v>10795</v>
      </c>
      <c r="AF149" s="140">
        <f t="shared" si="221"/>
        <v>11155</v>
      </c>
      <c r="AG149" s="140">
        <f t="shared" si="221"/>
        <v>11515</v>
      </c>
      <c r="AH149" s="140">
        <f t="shared" si="221"/>
        <v>11874</v>
      </c>
      <c r="AI149" s="140">
        <f t="shared" si="221"/>
        <v>12234</v>
      </c>
      <c r="AJ149" s="140">
        <f t="shared" si="221"/>
        <v>12594</v>
      </c>
      <c r="AK149" s="140">
        <f t="shared" si="221"/>
        <v>12954</v>
      </c>
      <c r="AL149" s="140">
        <f t="shared" si="221"/>
        <v>13313</v>
      </c>
      <c r="AM149" s="140">
        <f t="shared" si="221"/>
        <v>13673</v>
      </c>
      <c r="AN149" s="140">
        <f t="shared" si="221"/>
        <v>14033</v>
      </c>
      <c r="AO149" s="140">
        <f t="shared" si="221"/>
        <v>14393</v>
      </c>
      <c r="AP149" s="140">
        <f t="shared" si="221"/>
        <v>14752</v>
      </c>
      <c r="AQ149" s="140">
        <f t="shared" si="221"/>
        <v>15112</v>
      </c>
      <c r="AR149" s="140">
        <f t="shared" si="221"/>
        <v>15472</v>
      </c>
      <c r="AS149" s="140">
        <f t="shared" si="221"/>
        <v>15832</v>
      </c>
      <c r="AT149" s="140">
        <f t="shared" si="221"/>
        <v>16191</v>
      </c>
      <c r="AU149" s="140">
        <f t="shared" si="221"/>
        <v>16551</v>
      </c>
      <c r="AV149" s="140">
        <f t="shared" si="221"/>
        <v>16911</v>
      </c>
      <c r="AW149" s="140">
        <f t="shared" si="221"/>
        <v>17271</v>
      </c>
      <c r="AX149" s="140">
        <f t="shared" si="221"/>
        <v>17630</v>
      </c>
      <c r="AY149" s="140">
        <f t="shared" si="221"/>
        <v>17990</v>
      </c>
      <c r="AZ149" s="140">
        <f t="shared" si="221"/>
        <v>18350</v>
      </c>
      <c r="BA149" s="140">
        <f t="shared" si="221"/>
        <v>18710</v>
      </c>
      <c r="BB149" s="140">
        <f t="shared" si="221"/>
        <v>19069</v>
      </c>
      <c r="BC149" s="140">
        <f t="shared" si="221"/>
        <v>19429</v>
      </c>
      <c r="BD149" s="140">
        <f t="shared" si="221"/>
        <v>19789</v>
      </c>
      <c r="BE149" s="140">
        <f t="shared" si="221"/>
        <v>20149</v>
      </c>
      <c r="BF149" s="140">
        <f t="shared" si="221"/>
        <v>20508</v>
      </c>
      <c r="BG149" s="140">
        <f t="shared" si="221"/>
        <v>20868</v>
      </c>
      <c r="BH149" s="140">
        <f t="shared" si="221"/>
        <v>21228</v>
      </c>
      <c r="BI149" s="140">
        <f t="shared" si="221"/>
        <v>21588</v>
      </c>
      <c r="BJ149" s="140">
        <f t="shared" si="221"/>
        <v>21947</v>
      </c>
      <c r="BK149" s="140">
        <f t="shared" si="221"/>
        <v>22307</v>
      </c>
      <c r="BL149" s="140">
        <f t="shared" si="221"/>
        <v>22667</v>
      </c>
      <c r="BM149" s="140">
        <f t="shared" si="221"/>
        <v>23027</v>
      </c>
      <c r="BN149" s="140">
        <f t="shared" ref="BN149:CB149" si="222">DAYS360($B$3,BN56)</f>
        <v>23386</v>
      </c>
      <c r="BO149" s="140">
        <f t="shared" si="222"/>
        <v>23746</v>
      </c>
      <c r="BP149" s="140">
        <f t="shared" si="222"/>
        <v>24106</v>
      </c>
      <c r="BQ149" s="140">
        <f t="shared" si="222"/>
        <v>24466</v>
      </c>
      <c r="BR149" s="140">
        <f t="shared" si="222"/>
        <v>24825</v>
      </c>
      <c r="BS149" s="140">
        <f t="shared" si="222"/>
        <v>25185</v>
      </c>
      <c r="BT149" s="140">
        <f t="shared" si="222"/>
        <v>25545</v>
      </c>
      <c r="BU149" s="140">
        <f t="shared" si="222"/>
        <v>25905</v>
      </c>
      <c r="BV149" s="140">
        <f t="shared" si="222"/>
        <v>26264</v>
      </c>
      <c r="BW149" s="140">
        <f t="shared" si="222"/>
        <v>26624</v>
      </c>
      <c r="BX149" s="140">
        <f t="shared" si="222"/>
        <v>26984</v>
      </c>
      <c r="BY149" s="140">
        <f t="shared" si="222"/>
        <v>27344</v>
      </c>
      <c r="BZ149" s="140">
        <f t="shared" si="222"/>
        <v>27703</v>
      </c>
      <c r="CA149" s="140">
        <f t="shared" si="222"/>
        <v>28063</v>
      </c>
      <c r="CB149" s="140">
        <f t="shared" si="222"/>
        <v>28423</v>
      </c>
      <c r="CC149" s="17"/>
      <c r="CD149" s="17"/>
      <c r="CE149" s="17"/>
    </row>
    <row r="150" spans="1:83">
      <c r="A150" s="16" t="s">
        <v>41</v>
      </c>
      <c r="B150" s="140">
        <f>B149/360</f>
        <v>1.0055555555555555</v>
      </c>
      <c r="C150" s="140">
        <f t="shared" ref="C150:BN150" si="223">C149/360</f>
        <v>2.0055555555555555</v>
      </c>
      <c r="D150" s="140">
        <f t="shared" si="223"/>
        <v>3.0055555555555555</v>
      </c>
      <c r="E150" s="140">
        <f t="shared" si="223"/>
        <v>4.0055555555555555</v>
      </c>
      <c r="F150" s="140">
        <f t="shared" si="223"/>
        <v>5.0027777777777782</v>
      </c>
      <c r="G150" s="140">
        <f t="shared" si="223"/>
        <v>6.0027777777777782</v>
      </c>
      <c r="H150" s="140">
        <f t="shared" si="223"/>
        <v>7.0027777777777782</v>
      </c>
      <c r="I150" s="140">
        <f t="shared" si="223"/>
        <v>8.0027777777777782</v>
      </c>
      <c r="J150" s="140">
        <f t="shared" si="223"/>
        <v>9</v>
      </c>
      <c r="K150" s="140">
        <f t="shared" si="223"/>
        <v>10</v>
      </c>
      <c r="L150" s="140">
        <f t="shared" si="223"/>
        <v>11</v>
      </c>
      <c r="M150" s="140">
        <f t="shared" si="223"/>
        <v>12</v>
      </c>
      <c r="N150" s="140">
        <f t="shared" si="223"/>
        <v>12.997222222222222</v>
      </c>
      <c r="O150" s="140">
        <f t="shared" si="223"/>
        <v>13.997222222222222</v>
      </c>
      <c r="P150" s="140">
        <f t="shared" si="223"/>
        <v>14.997222222222222</v>
      </c>
      <c r="Q150" s="140">
        <f t="shared" si="223"/>
        <v>15.997222222222222</v>
      </c>
      <c r="R150" s="140">
        <f t="shared" si="223"/>
        <v>16.994444444444444</v>
      </c>
      <c r="S150" s="140">
        <f t="shared" si="223"/>
        <v>17.994444444444444</v>
      </c>
      <c r="T150" s="140">
        <f t="shared" si="223"/>
        <v>18.994444444444444</v>
      </c>
      <c r="U150" s="140">
        <f t="shared" si="223"/>
        <v>19.994444444444444</v>
      </c>
      <c r="V150" s="140">
        <f t="shared" si="223"/>
        <v>20.991666666666667</v>
      </c>
      <c r="W150" s="140">
        <f t="shared" si="223"/>
        <v>21.991666666666667</v>
      </c>
      <c r="X150" s="140">
        <f t="shared" si="223"/>
        <v>22.991666666666667</v>
      </c>
      <c r="Y150" s="140">
        <f t="shared" si="223"/>
        <v>23.991666666666667</v>
      </c>
      <c r="Z150" s="140">
        <f t="shared" si="223"/>
        <v>24.988888888888887</v>
      </c>
      <c r="AA150" s="140">
        <f t="shared" si="223"/>
        <v>25.988888888888887</v>
      </c>
      <c r="AB150" s="140">
        <f t="shared" si="223"/>
        <v>26.988888888888887</v>
      </c>
      <c r="AC150" s="140">
        <f t="shared" si="223"/>
        <v>27.988888888888887</v>
      </c>
      <c r="AD150" s="140">
        <f t="shared" si="223"/>
        <v>28.986111111111111</v>
      </c>
      <c r="AE150" s="140">
        <f t="shared" si="223"/>
        <v>29.986111111111111</v>
      </c>
      <c r="AF150" s="140">
        <f t="shared" si="223"/>
        <v>30.986111111111111</v>
      </c>
      <c r="AG150" s="140">
        <f t="shared" si="223"/>
        <v>31.986111111111111</v>
      </c>
      <c r="AH150" s="140">
        <f t="shared" si="223"/>
        <v>32.983333333333334</v>
      </c>
      <c r="AI150" s="140">
        <f t="shared" si="223"/>
        <v>33.983333333333334</v>
      </c>
      <c r="AJ150" s="140">
        <f t="shared" si="223"/>
        <v>34.983333333333334</v>
      </c>
      <c r="AK150" s="140">
        <f t="shared" si="223"/>
        <v>35.983333333333334</v>
      </c>
      <c r="AL150" s="140">
        <f t="shared" si="223"/>
        <v>36.980555555555554</v>
      </c>
      <c r="AM150" s="140">
        <f t="shared" si="223"/>
        <v>37.980555555555554</v>
      </c>
      <c r="AN150" s="140">
        <f t="shared" si="223"/>
        <v>38.980555555555554</v>
      </c>
      <c r="AO150" s="140">
        <f t="shared" si="223"/>
        <v>39.980555555555554</v>
      </c>
      <c r="AP150" s="140">
        <f t="shared" si="223"/>
        <v>40.977777777777774</v>
      </c>
      <c r="AQ150" s="140">
        <f t="shared" si="223"/>
        <v>41.977777777777774</v>
      </c>
      <c r="AR150" s="140">
        <f t="shared" si="223"/>
        <v>42.977777777777774</v>
      </c>
      <c r="AS150" s="140">
        <f t="shared" si="223"/>
        <v>43.977777777777774</v>
      </c>
      <c r="AT150" s="140">
        <f t="shared" si="223"/>
        <v>44.975000000000001</v>
      </c>
      <c r="AU150" s="140">
        <f t="shared" si="223"/>
        <v>45.975000000000001</v>
      </c>
      <c r="AV150" s="140">
        <f t="shared" si="223"/>
        <v>46.975000000000001</v>
      </c>
      <c r="AW150" s="140">
        <f t="shared" si="223"/>
        <v>47.975000000000001</v>
      </c>
      <c r="AX150" s="140">
        <f t="shared" si="223"/>
        <v>48.972222222222221</v>
      </c>
      <c r="AY150" s="140">
        <f t="shared" si="223"/>
        <v>49.972222222222221</v>
      </c>
      <c r="AZ150" s="140">
        <f t="shared" si="223"/>
        <v>50.972222222222221</v>
      </c>
      <c r="BA150" s="140">
        <f t="shared" si="223"/>
        <v>51.972222222222221</v>
      </c>
      <c r="BB150" s="140">
        <f t="shared" si="223"/>
        <v>52.969444444444441</v>
      </c>
      <c r="BC150" s="140">
        <f t="shared" si="223"/>
        <v>53.969444444444441</v>
      </c>
      <c r="BD150" s="140">
        <f t="shared" si="223"/>
        <v>54.969444444444441</v>
      </c>
      <c r="BE150" s="140">
        <f t="shared" si="223"/>
        <v>55.969444444444441</v>
      </c>
      <c r="BF150" s="140">
        <f t="shared" si="223"/>
        <v>56.966666666666669</v>
      </c>
      <c r="BG150" s="140">
        <f t="shared" si="223"/>
        <v>57.966666666666669</v>
      </c>
      <c r="BH150" s="140">
        <f t="shared" si="223"/>
        <v>58.966666666666669</v>
      </c>
      <c r="BI150" s="140">
        <f t="shared" si="223"/>
        <v>59.966666666666669</v>
      </c>
      <c r="BJ150" s="140">
        <f t="shared" si="223"/>
        <v>60.963888888888889</v>
      </c>
      <c r="BK150" s="140">
        <f t="shared" si="223"/>
        <v>61.963888888888889</v>
      </c>
      <c r="BL150" s="140">
        <f t="shared" si="223"/>
        <v>62.963888888888889</v>
      </c>
      <c r="BM150" s="140">
        <f t="shared" si="223"/>
        <v>63.963888888888889</v>
      </c>
      <c r="BN150" s="140">
        <f t="shared" si="223"/>
        <v>64.961111111111109</v>
      </c>
      <c r="BO150" s="140">
        <f t="shared" ref="BO150:CB150" si="224">BO149/360</f>
        <v>65.961111111111109</v>
      </c>
      <c r="BP150" s="140">
        <f t="shared" si="224"/>
        <v>66.961111111111109</v>
      </c>
      <c r="BQ150" s="140">
        <f t="shared" si="224"/>
        <v>67.961111111111109</v>
      </c>
      <c r="BR150" s="140">
        <f t="shared" si="224"/>
        <v>68.958333333333329</v>
      </c>
      <c r="BS150" s="140">
        <f t="shared" si="224"/>
        <v>69.958333333333329</v>
      </c>
      <c r="BT150" s="140">
        <f t="shared" si="224"/>
        <v>70.958333333333329</v>
      </c>
      <c r="BU150" s="140">
        <f t="shared" si="224"/>
        <v>71.958333333333329</v>
      </c>
      <c r="BV150" s="140">
        <f t="shared" si="224"/>
        <v>72.955555555555549</v>
      </c>
      <c r="BW150" s="140">
        <f t="shared" si="224"/>
        <v>73.955555555555549</v>
      </c>
      <c r="BX150" s="140">
        <f t="shared" si="224"/>
        <v>74.955555555555549</v>
      </c>
      <c r="BY150" s="140">
        <f t="shared" si="224"/>
        <v>75.955555555555549</v>
      </c>
      <c r="BZ150" s="140">
        <f t="shared" si="224"/>
        <v>76.952777777777783</v>
      </c>
      <c r="CA150" s="140">
        <f t="shared" si="224"/>
        <v>77.952777777777783</v>
      </c>
      <c r="CB150" s="140">
        <f t="shared" si="224"/>
        <v>78.952777777777783</v>
      </c>
      <c r="CC150" s="17"/>
      <c r="CD150" s="17"/>
      <c r="CE150" s="17"/>
    </row>
    <row r="151" spans="1:83">
      <c r="A151" s="16" t="s">
        <v>43</v>
      </c>
      <c r="B151" s="140">
        <f>IF(B149&lt;0,0,$B$5+$B$6*((1-EXP(-B150/$B$9))/(B150/$B$9))+$B$7*((1-EXP(-B150/$B$9))/(B150/$B$9)-EXP(-B150/$B$9))+$B$8*((1-EXP(-B150/$B$10))/(B150/$B$10)-EXP(-B150/$B$10)))</f>
        <v>-7.3325315879421869E-3</v>
      </c>
      <c r="C151" s="140">
        <f t="shared" ref="C151:BN151" si="225">IF(C149&lt;0,0,$B$5+$B$6*((1-EXP(-C150/$B$9))/(C150/$B$9))+$B$7*((1-EXP(-C150/$B$9))/(C150/$B$9)-EXP(-C150/$B$9))+$B$8*((1-EXP(-C150/$B$10))/(C150/$B$10)-EXP(-C150/$B$10)))</f>
        <v>-7.689745052191204E-3</v>
      </c>
      <c r="D151" s="140">
        <f t="shared" si="225"/>
        <v>-7.662399931022891E-3</v>
      </c>
      <c r="E151" s="140">
        <f t="shared" si="225"/>
        <v>-7.3637328002370507E-3</v>
      </c>
      <c r="F151" s="140">
        <f t="shared" si="225"/>
        <v>-6.8819582019582172E-3</v>
      </c>
      <c r="G151" s="140">
        <f t="shared" si="225"/>
        <v>-6.2800721002931777E-3</v>
      </c>
      <c r="H151" s="140">
        <f t="shared" si="225"/>
        <v>-5.6086887913846233E-3</v>
      </c>
      <c r="I151" s="140">
        <f t="shared" si="225"/>
        <v>-4.9045283590547651E-3</v>
      </c>
      <c r="J151" s="140">
        <f t="shared" si="225"/>
        <v>-4.1963450559209057E-3</v>
      </c>
      <c r="K151" s="140">
        <f t="shared" si="225"/>
        <v>-3.499274641730837E-3</v>
      </c>
      <c r="L151" s="140">
        <f t="shared" si="225"/>
        <v>-2.8285236616768551E-3</v>
      </c>
      <c r="M151" s="140">
        <f t="shared" si="225"/>
        <v>-2.192820373761924E-3</v>
      </c>
      <c r="N151" s="140">
        <f t="shared" si="225"/>
        <v>-1.5990828379513627E-3</v>
      </c>
      <c r="O151" s="140">
        <f t="shared" si="225"/>
        <v>-1.0467774380774845E-3</v>
      </c>
      <c r="P151" s="140">
        <f t="shared" si="225"/>
        <v>-5.3852188832682717E-4</v>
      </c>
      <c r="Q151" s="140">
        <f t="shared" si="225"/>
        <v>-7.3863926924332829E-5</v>
      </c>
      <c r="R151" s="140">
        <f t="shared" si="225"/>
        <v>3.47489356106883E-4</v>
      </c>
      <c r="S151" s="140">
        <f t="shared" si="225"/>
        <v>7.2994017197062014E-4</v>
      </c>
      <c r="T151" s="140">
        <f t="shared" si="225"/>
        <v>1.0747334742879783E-3</v>
      </c>
      <c r="U151" s="140">
        <f t="shared" si="225"/>
        <v>1.3845873744825384E-3</v>
      </c>
      <c r="V151" s="140">
        <f t="shared" si="225"/>
        <v>1.6616011857656099E-3</v>
      </c>
      <c r="W151" s="140">
        <f t="shared" si="225"/>
        <v>1.9101556796682177E-3</v>
      </c>
      <c r="X151" s="140">
        <f t="shared" si="225"/>
        <v>2.132226593924761E-3</v>
      </c>
      <c r="Y151" s="140">
        <f t="shared" si="225"/>
        <v>2.3305032176894058E-3</v>
      </c>
      <c r="Z151" s="140">
        <f t="shared" si="225"/>
        <v>2.5070769104151049E-3</v>
      </c>
      <c r="AA151" s="140">
        <f t="shared" si="225"/>
        <v>2.6653287932363011E-3</v>
      </c>
      <c r="AB151" s="140">
        <f t="shared" si="225"/>
        <v>2.8069778253690461E-3</v>
      </c>
      <c r="AC151" s="140">
        <f t="shared" si="225"/>
        <v>2.9340949540377914E-3</v>
      </c>
      <c r="AD151" s="140">
        <f t="shared" si="225"/>
        <v>3.0482814256519303E-3</v>
      </c>
      <c r="AE151" s="140">
        <f t="shared" si="225"/>
        <v>3.1519096093735148E-3</v>
      </c>
      <c r="AF151" s="140">
        <f t="shared" si="225"/>
        <v>3.2462283314614974E-3</v>
      </c>
      <c r="AG151" s="140">
        <f t="shared" si="225"/>
        <v>3.3326723609425693E-3</v>
      </c>
      <c r="AH151" s="140">
        <f t="shared" si="225"/>
        <v>3.4123227971766777E-3</v>
      </c>
      <c r="AI151" s="140">
        <f t="shared" si="225"/>
        <v>3.4867854101401259E-3</v>
      </c>
      <c r="AJ151" s="140">
        <f t="shared" si="225"/>
        <v>3.556873849363016E-3</v>
      </c>
      <c r="AK151" s="140">
        <f t="shared" si="225"/>
        <v>3.6235208578590875E-3</v>
      </c>
      <c r="AL151" s="140">
        <f t="shared" si="225"/>
        <v>3.6873820498049339E-3</v>
      </c>
      <c r="AM151" s="140">
        <f t="shared" si="225"/>
        <v>3.7495487993057033E-3</v>
      </c>
      <c r="AN151" s="140">
        <f t="shared" si="225"/>
        <v>3.8104922719081266E-3</v>
      </c>
      <c r="AO151" s="140">
        <f t="shared" si="225"/>
        <v>3.870787448825224E-3</v>
      </c>
      <c r="AP151" s="140">
        <f t="shared" si="225"/>
        <v>3.9307719045408203E-3</v>
      </c>
      <c r="AQ151" s="140">
        <f t="shared" si="225"/>
        <v>3.9912203640211676E-3</v>
      </c>
      <c r="AR151" s="140">
        <f t="shared" si="225"/>
        <v>4.0523501743836184E-3</v>
      </c>
      <c r="AS151" s="140">
        <f t="shared" si="225"/>
        <v>4.1144941760602044E-3</v>
      </c>
      <c r="AT151" s="140">
        <f t="shared" si="225"/>
        <v>4.1777605414684039E-3</v>
      </c>
      <c r="AU151" s="140">
        <f t="shared" si="225"/>
        <v>4.2427459867156389E-3</v>
      </c>
      <c r="AV151" s="140">
        <f t="shared" si="225"/>
        <v>4.3094837024133179E-3</v>
      </c>
      <c r="AW151" s="140">
        <f t="shared" si="225"/>
        <v>4.3781476948996645E-3</v>
      </c>
      <c r="AX151" s="140">
        <f t="shared" si="225"/>
        <v>4.4486825569417937E-3</v>
      </c>
      <c r="AY151" s="140">
        <f t="shared" si="225"/>
        <v>4.5215983155452409E-3</v>
      </c>
      <c r="AZ151" s="140">
        <f t="shared" si="225"/>
        <v>4.5967949533904928E-3</v>
      </c>
      <c r="BA151" s="140">
        <f t="shared" si="225"/>
        <v>4.674344749066639E-3</v>
      </c>
      <c r="BB151" s="140">
        <f t="shared" si="225"/>
        <v>4.7540756239904287E-3</v>
      </c>
      <c r="BC151" s="140">
        <f t="shared" si="225"/>
        <v>4.8364683317499019E-3</v>
      </c>
      <c r="BD151" s="140">
        <f t="shared" si="225"/>
        <v>4.9213259732578223E-3</v>
      </c>
      <c r="BE151" s="140">
        <f t="shared" si="225"/>
        <v>5.008657255326978E-3</v>
      </c>
      <c r="BF151" s="140">
        <f t="shared" si="225"/>
        <v>5.0982064523747463E-3</v>
      </c>
      <c r="BG151" s="140">
        <f t="shared" si="225"/>
        <v>5.1904594521371902E-3</v>
      </c>
      <c r="BH151" s="140">
        <f t="shared" si="225"/>
        <v>5.2851483104508143E-3</v>
      </c>
      <c r="BI151" s="140">
        <f t="shared" si="225"/>
        <v>5.3822433032733076E-3</v>
      </c>
      <c r="BJ151" s="140">
        <f t="shared" si="225"/>
        <v>5.481428392779885E-3</v>
      </c>
      <c r="BK151" s="140">
        <f t="shared" si="225"/>
        <v>5.5832138756315916E-3</v>
      </c>
      <c r="BL151" s="140">
        <f t="shared" si="225"/>
        <v>5.6872793322278251E-3</v>
      </c>
      <c r="BM151" s="140">
        <f t="shared" si="225"/>
        <v>5.7935730302937222E-3</v>
      </c>
      <c r="BN151" s="140">
        <f t="shared" si="225"/>
        <v>5.9017353211271995E-3</v>
      </c>
      <c r="BO151" s="140">
        <f t="shared" ref="BO151:CB151" si="226">IF(BO149&lt;0,0,$B$5+$B$6*((1-EXP(-BO150/$B$9))/(BO150/$B$9))+$B$7*((1-EXP(-BO150/$B$9))/(BO150/$B$9)-EXP(-BO150/$B$9))+$B$8*((1-EXP(-BO150/$B$10))/(BO150/$B$10)-EXP(-BO150/$B$10)))</f>
        <v>6.0123104470209549E-3</v>
      </c>
      <c r="BP151" s="140">
        <f t="shared" si="226"/>
        <v>6.1249390976429799E-3</v>
      </c>
      <c r="BQ151" s="140">
        <f t="shared" si="226"/>
        <v>6.2395581808068791E-3</v>
      </c>
      <c r="BR151" s="140">
        <f t="shared" si="226"/>
        <v>6.3557766062066166E-3</v>
      </c>
      <c r="BS151" s="140">
        <f t="shared" si="226"/>
        <v>6.4741759567316093E-3</v>
      </c>
      <c r="BT151" s="140">
        <f t="shared" si="226"/>
        <v>6.5943681798963476E-3</v>
      </c>
      <c r="BU151" s="140">
        <f t="shared" si="226"/>
        <v>6.7162856626298874E-3</v>
      </c>
      <c r="BV151" s="140">
        <f t="shared" si="226"/>
        <v>6.83951491845948E-3</v>
      </c>
      <c r="BW151" s="140">
        <f t="shared" si="226"/>
        <v>6.9646744875488456E-3</v>
      </c>
      <c r="BX151" s="140">
        <f t="shared" si="226"/>
        <v>7.0913553209433176E-3</v>
      </c>
      <c r="BY151" s="140">
        <f t="shared" si="226"/>
        <v>7.2194896112584214E-3</v>
      </c>
      <c r="BZ151" s="140">
        <f t="shared" si="226"/>
        <v>7.3486483336135493E-3</v>
      </c>
      <c r="CA151" s="140">
        <f t="shared" si="226"/>
        <v>7.4794843646515292E-3</v>
      </c>
      <c r="CB151" s="140">
        <f t="shared" si="226"/>
        <v>7.6115736893999503E-3</v>
      </c>
      <c r="CC151" s="17"/>
      <c r="CD151" s="17"/>
      <c r="CE151" s="17"/>
    </row>
    <row r="152" spans="1:83">
      <c r="A152" s="16" t="s">
        <v>44</v>
      </c>
      <c r="B152" s="140">
        <f>EXP(-B151*B150)</f>
        <v>1.0074005173454956</v>
      </c>
      <c r="C152" s="140">
        <f t="shared" ref="C152:AR152" si="227">EXP(-C151*C150)</f>
        <v>1.015541746917519</v>
      </c>
      <c r="D152" s="140">
        <f t="shared" si="227"/>
        <v>1.0232970012963998</v>
      </c>
      <c r="E152" s="140">
        <f t="shared" si="227"/>
        <v>1.0299351517851429</v>
      </c>
      <c r="F152" s="140">
        <f t="shared" si="227"/>
        <v>1.0350284430633432</v>
      </c>
      <c r="G152" s="140">
        <f t="shared" si="227"/>
        <v>1.0384174559402184</v>
      </c>
      <c r="H152" s="140">
        <f t="shared" si="227"/>
        <v>1.0400579172132323</v>
      </c>
      <c r="I152" s="140">
        <f t="shared" si="227"/>
        <v>1.0400303033468832</v>
      </c>
      <c r="J152" s="140">
        <f t="shared" si="227"/>
        <v>1.0384893462589222</v>
      </c>
      <c r="K152" s="140">
        <f t="shared" si="227"/>
        <v>1.0356121968736727</v>
      </c>
      <c r="L152" s="140">
        <f t="shared" si="227"/>
        <v>1.0316028526393441</v>
      </c>
      <c r="M152" s="140">
        <f t="shared" si="227"/>
        <v>1.0266631104717359</v>
      </c>
      <c r="N152" s="140">
        <f t="shared" si="227"/>
        <v>1.0210011188267756</v>
      </c>
      <c r="O152" s="140">
        <f t="shared" si="227"/>
        <v>1.0147598427991413</v>
      </c>
      <c r="P152" s="140">
        <f t="shared" si="227"/>
        <v>1.008109033980447</v>
      </c>
      <c r="Q152" s="140">
        <f t="shared" si="227"/>
        <v>1.0011823160384015</v>
      </c>
      <c r="R152" s="140">
        <f t="shared" si="227"/>
        <v>0.99411201397651972</v>
      </c>
      <c r="S152" s="140">
        <f t="shared" si="227"/>
        <v>0.98695101806002505</v>
      </c>
      <c r="T152" s="140">
        <f t="shared" si="227"/>
        <v>0.97979298907374235</v>
      </c>
      <c r="U152" s="140">
        <f t="shared" si="227"/>
        <v>0.9726956362530621</v>
      </c>
      <c r="V152" s="140">
        <f t="shared" si="227"/>
        <v>0.96572151003347273</v>
      </c>
      <c r="W152" s="140">
        <f t="shared" si="227"/>
        <v>0.95886258237489208</v>
      </c>
      <c r="X152" s="140">
        <f t="shared" si="227"/>
        <v>0.95215880787764495</v>
      </c>
      <c r="Y152" s="140">
        <f t="shared" si="227"/>
        <v>0.94562172632295038</v>
      </c>
      <c r="Z152" s="140">
        <f t="shared" si="227"/>
        <v>0.93927303837353926</v>
      </c>
      <c r="AA152" s="140">
        <f t="shared" si="227"/>
        <v>0.93307571068029505</v>
      </c>
      <c r="AB152" s="140">
        <f t="shared" si="227"/>
        <v>0.92704125313522423</v>
      </c>
      <c r="AC152" s="140">
        <f t="shared" si="227"/>
        <v>0.92115951726098555</v>
      </c>
      <c r="AD152" s="140">
        <f t="shared" si="227"/>
        <v>0.91543325402921627</v>
      </c>
      <c r="AE152" s="140">
        <f t="shared" si="227"/>
        <v>0.90981544133613412</v>
      </c>
      <c r="AF152" s="140">
        <f t="shared" si="227"/>
        <v>0.90430553746635356</v>
      </c>
      <c r="AG152" s="140">
        <f t="shared" si="227"/>
        <v>0.89888584870059773</v>
      </c>
      <c r="AH152" s="140">
        <f t="shared" si="227"/>
        <v>0.89355286470723494</v>
      </c>
      <c r="AI152" s="140">
        <f t="shared" si="227"/>
        <v>0.8882583968680432</v>
      </c>
      <c r="AJ152" s="140">
        <f t="shared" si="227"/>
        <v>0.88299891822084542</v>
      </c>
      <c r="AK152" s="140">
        <f t="shared" si="227"/>
        <v>0.87775623649292911</v>
      </c>
      <c r="AL152" s="140">
        <f t="shared" si="227"/>
        <v>0.87252721209236184</v>
      </c>
      <c r="AM152" s="140">
        <f t="shared" si="227"/>
        <v>0.86726565110015519</v>
      </c>
      <c r="AN152" s="140">
        <f t="shared" si="227"/>
        <v>0.86196974658875958</v>
      </c>
      <c r="AO152" s="140">
        <f t="shared" si="227"/>
        <v>0.85662396899644844</v>
      </c>
      <c r="AP152" s="140">
        <f t="shared" si="227"/>
        <v>0.85122882449943915</v>
      </c>
      <c r="AQ152" s="140">
        <f t="shared" si="227"/>
        <v>0.8457406205308351</v>
      </c>
      <c r="AR152" s="140">
        <f t="shared" si="227"/>
        <v>0.84016161631832531</v>
      </c>
      <c r="AS152" s="140">
        <f>EXP(-AS151*AS150)</f>
        <v>0.83448016027999494</v>
      </c>
      <c r="AT152" s="140">
        <f t="shared" ref="AT152:CA152" si="228">EXP(-AT151*AT150)</f>
        <v>0.82870189836708441</v>
      </c>
      <c r="AU152" s="140">
        <f t="shared" si="228"/>
        <v>0.82278508644420634</v>
      </c>
      <c r="AV152" s="140">
        <f t="shared" si="228"/>
        <v>0.81673712124457909</v>
      </c>
      <c r="AW152" s="140">
        <f t="shared" si="228"/>
        <v>0.8105504974604173</v>
      </c>
      <c r="AX152" s="140">
        <f t="shared" si="228"/>
        <v>0.80423652256246181</v>
      </c>
      <c r="AY152" s="140">
        <f t="shared" si="228"/>
        <v>0.79775454559223635</v>
      </c>
      <c r="AZ152" s="140">
        <f t="shared" si="228"/>
        <v>0.79111743847324223</v>
      </c>
      <c r="BA152" s="140">
        <f t="shared" si="228"/>
        <v>0.78432164283887917</v>
      </c>
      <c r="BB152" s="140">
        <f t="shared" si="228"/>
        <v>0.77738407583492442</v>
      </c>
      <c r="BC152" s="140">
        <f t="shared" si="228"/>
        <v>0.77026435186895237</v>
      </c>
      <c r="BD152" s="140">
        <f t="shared" si="228"/>
        <v>0.76298069101681898</v>
      </c>
      <c r="BE152" s="140">
        <f t="shared" si="228"/>
        <v>0.75553304121255527</v>
      </c>
      <c r="BF152" s="140">
        <f t="shared" si="228"/>
        <v>0.74794350826449918</v>
      </c>
      <c r="BG152" s="140">
        <f t="shared" si="228"/>
        <v>0.74017130013131527</v>
      </c>
      <c r="BH152" s="140">
        <f t="shared" si="228"/>
        <v>0.7322395395671667</v>
      </c>
      <c r="BI152" s="140">
        <f t="shared" si="228"/>
        <v>0.72415111204106442</v>
      </c>
      <c r="BJ152" s="140">
        <f t="shared" si="228"/>
        <v>0.71593264226920639</v>
      </c>
      <c r="BK152" s="140">
        <f t="shared" si="228"/>
        <v>0.70754245497553314</v>
      </c>
      <c r="BL152" s="140">
        <f t="shared" si="228"/>
        <v>0.69900790768763699</v>
      </c>
      <c r="BM152" s="140">
        <f t="shared" si="228"/>
        <v>0.69033419257471107</v>
      </c>
      <c r="BN152" s="140">
        <f t="shared" si="228"/>
        <v>0.68155162142380843</v>
      </c>
      <c r="BO152" s="140">
        <f t="shared" si="228"/>
        <v>0.67261735481423546</v>
      </c>
      <c r="BP152" s="140">
        <f t="shared" si="228"/>
        <v>0.66356217136563389</v>
      </c>
      <c r="BQ152" s="140">
        <f t="shared" si="228"/>
        <v>0.6543929239348466</v>
      </c>
      <c r="BR152" s="140">
        <f t="shared" si="228"/>
        <v>0.64514269002823421</v>
      </c>
      <c r="BS152" s="140">
        <f t="shared" si="228"/>
        <v>0.63576736577399595</v>
      </c>
      <c r="BT152" s="140">
        <f t="shared" si="228"/>
        <v>0.62630025930012723</v>
      </c>
      <c r="BU152" s="140">
        <f t="shared" si="228"/>
        <v>0.61674926057841306</v>
      </c>
      <c r="BV152" s="140">
        <f t="shared" si="228"/>
        <v>0.60714926588055684</v>
      </c>
      <c r="BW152" s="140">
        <f t="shared" si="228"/>
        <v>0.59745496464855929</v>
      </c>
      <c r="BX152" s="140">
        <f t="shared" si="228"/>
        <v>0.58770128567765823</v>
      </c>
      <c r="BY152" s="140">
        <f t="shared" si="228"/>
        <v>0.57789658543460309</v>
      </c>
      <c r="BZ152" s="140">
        <f t="shared" si="228"/>
        <v>0.56807666136087343</v>
      </c>
      <c r="CA152" s="140">
        <f t="shared" si="228"/>
        <v>0.55819518571873095</v>
      </c>
      <c r="CB152" s="140">
        <f>EXP(-CB151*CB150)</f>
        <v>0.54828783365064337</v>
      </c>
      <c r="CC152" s="17"/>
      <c r="CD152" s="17"/>
      <c r="CE152" s="17"/>
    </row>
    <row r="153" spans="1:83">
      <c r="A153" s="17"/>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17"/>
      <c r="CD153" s="17"/>
      <c r="CE153" s="17"/>
    </row>
    <row r="154" spans="1:83">
      <c r="A154" s="16" t="s">
        <v>40</v>
      </c>
      <c r="B154" s="140">
        <f t="shared" ref="B154:BM154" si="229">DAYS360($B$3,B58)</f>
        <v>362</v>
      </c>
      <c r="C154" s="140">
        <f t="shared" si="229"/>
        <v>722</v>
      </c>
      <c r="D154" s="140">
        <f t="shared" si="229"/>
        <v>1082</v>
      </c>
      <c r="E154" s="140">
        <f t="shared" si="229"/>
        <v>1442</v>
      </c>
      <c r="F154" s="140">
        <f t="shared" si="229"/>
        <v>1801</v>
      </c>
      <c r="G154" s="140">
        <f t="shared" si="229"/>
        <v>2161</v>
      </c>
      <c r="H154" s="140">
        <f t="shared" si="229"/>
        <v>2521</v>
      </c>
      <c r="I154" s="140">
        <f t="shared" si="229"/>
        <v>2881</v>
      </c>
      <c r="J154" s="140">
        <f t="shared" si="229"/>
        <v>3240</v>
      </c>
      <c r="K154" s="140">
        <f t="shared" si="229"/>
        <v>3600</v>
      </c>
      <c r="L154" s="140">
        <f t="shared" si="229"/>
        <v>3960</v>
      </c>
      <c r="M154" s="140">
        <f t="shared" si="229"/>
        <v>4320</v>
      </c>
      <c r="N154" s="140">
        <f t="shared" si="229"/>
        <v>4679</v>
      </c>
      <c r="O154" s="140">
        <f t="shared" si="229"/>
        <v>5039</v>
      </c>
      <c r="P154" s="140">
        <f t="shared" si="229"/>
        <v>5399</v>
      </c>
      <c r="Q154" s="140">
        <f t="shared" si="229"/>
        <v>5759</v>
      </c>
      <c r="R154" s="140">
        <f t="shared" si="229"/>
        <v>6118</v>
      </c>
      <c r="S154" s="140">
        <f t="shared" si="229"/>
        <v>6478</v>
      </c>
      <c r="T154" s="140">
        <f t="shared" si="229"/>
        <v>6838</v>
      </c>
      <c r="U154" s="140">
        <f t="shared" si="229"/>
        <v>7198</v>
      </c>
      <c r="V154" s="140">
        <f t="shared" si="229"/>
        <v>7557</v>
      </c>
      <c r="W154" s="140">
        <f t="shared" si="229"/>
        <v>7917</v>
      </c>
      <c r="X154" s="140">
        <f t="shared" si="229"/>
        <v>8277</v>
      </c>
      <c r="Y154" s="140">
        <f t="shared" si="229"/>
        <v>8637</v>
      </c>
      <c r="Z154" s="140">
        <f t="shared" si="229"/>
        <v>8996</v>
      </c>
      <c r="AA154" s="140">
        <f t="shared" si="229"/>
        <v>9356</v>
      </c>
      <c r="AB154" s="140">
        <f t="shared" si="229"/>
        <v>9716</v>
      </c>
      <c r="AC154" s="140">
        <f t="shared" si="229"/>
        <v>10076</v>
      </c>
      <c r="AD154" s="140">
        <f t="shared" si="229"/>
        <v>10435</v>
      </c>
      <c r="AE154" s="140">
        <f t="shared" si="229"/>
        <v>10795</v>
      </c>
      <c r="AF154" s="140">
        <f t="shared" si="229"/>
        <v>11155</v>
      </c>
      <c r="AG154" s="140">
        <f t="shared" si="229"/>
        <v>11515</v>
      </c>
      <c r="AH154" s="140">
        <f t="shared" si="229"/>
        <v>11874</v>
      </c>
      <c r="AI154" s="140">
        <f t="shared" si="229"/>
        <v>12234</v>
      </c>
      <c r="AJ154" s="140">
        <f t="shared" si="229"/>
        <v>12594</v>
      </c>
      <c r="AK154" s="140">
        <f t="shared" si="229"/>
        <v>12954</v>
      </c>
      <c r="AL154" s="140">
        <f t="shared" si="229"/>
        <v>13313</v>
      </c>
      <c r="AM154" s="140">
        <f t="shared" si="229"/>
        <v>13673</v>
      </c>
      <c r="AN154" s="140">
        <f t="shared" si="229"/>
        <v>14033</v>
      </c>
      <c r="AO154" s="140">
        <f t="shared" si="229"/>
        <v>14393</v>
      </c>
      <c r="AP154" s="140">
        <f t="shared" si="229"/>
        <v>14752</v>
      </c>
      <c r="AQ154" s="140">
        <f t="shared" si="229"/>
        <v>15112</v>
      </c>
      <c r="AR154" s="140">
        <f t="shared" si="229"/>
        <v>15472</v>
      </c>
      <c r="AS154" s="140">
        <f t="shared" si="229"/>
        <v>15832</v>
      </c>
      <c r="AT154" s="140">
        <f t="shared" si="229"/>
        <v>16191</v>
      </c>
      <c r="AU154" s="140">
        <f t="shared" si="229"/>
        <v>16551</v>
      </c>
      <c r="AV154" s="140">
        <f t="shared" si="229"/>
        <v>16911</v>
      </c>
      <c r="AW154" s="140">
        <f t="shared" si="229"/>
        <v>17271</v>
      </c>
      <c r="AX154" s="140">
        <f t="shared" si="229"/>
        <v>17630</v>
      </c>
      <c r="AY154" s="140">
        <f t="shared" si="229"/>
        <v>17990</v>
      </c>
      <c r="AZ154" s="140">
        <f t="shared" si="229"/>
        <v>18350</v>
      </c>
      <c r="BA154" s="140">
        <f t="shared" si="229"/>
        <v>18710</v>
      </c>
      <c r="BB154" s="140">
        <f t="shared" si="229"/>
        <v>19069</v>
      </c>
      <c r="BC154" s="140">
        <f t="shared" si="229"/>
        <v>19429</v>
      </c>
      <c r="BD154" s="140">
        <f t="shared" si="229"/>
        <v>19789</v>
      </c>
      <c r="BE154" s="140">
        <f t="shared" si="229"/>
        <v>20149</v>
      </c>
      <c r="BF154" s="140">
        <f t="shared" si="229"/>
        <v>20508</v>
      </c>
      <c r="BG154" s="140">
        <f t="shared" si="229"/>
        <v>20868</v>
      </c>
      <c r="BH154" s="140">
        <f t="shared" si="229"/>
        <v>21228</v>
      </c>
      <c r="BI154" s="140">
        <f t="shared" si="229"/>
        <v>21588</v>
      </c>
      <c r="BJ154" s="140">
        <f t="shared" si="229"/>
        <v>21947</v>
      </c>
      <c r="BK154" s="140">
        <f t="shared" si="229"/>
        <v>22307</v>
      </c>
      <c r="BL154" s="140">
        <f t="shared" si="229"/>
        <v>22667</v>
      </c>
      <c r="BM154" s="140">
        <f t="shared" si="229"/>
        <v>23027</v>
      </c>
      <c r="BN154" s="140">
        <f t="shared" ref="BN154:CB154" si="230">DAYS360($B$3,BN58)</f>
        <v>23386</v>
      </c>
      <c r="BO154" s="140">
        <f t="shared" si="230"/>
        <v>23746</v>
      </c>
      <c r="BP154" s="140">
        <f t="shared" si="230"/>
        <v>24106</v>
      </c>
      <c r="BQ154" s="140">
        <f t="shared" si="230"/>
        <v>24466</v>
      </c>
      <c r="BR154" s="140">
        <f t="shared" si="230"/>
        <v>24825</v>
      </c>
      <c r="BS154" s="140">
        <f t="shared" si="230"/>
        <v>25185</v>
      </c>
      <c r="BT154" s="140">
        <f t="shared" si="230"/>
        <v>25545</v>
      </c>
      <c r="BU154" s="140">
        <f t="shared" si="230"/>
        <v>25905</v>
      </c>
      <c r="BV154" s="140">
        <f t="shared" si="230"/>
        <v>26264</v>
      </c>
      <c r="BW154" s="140">
        <f t="shared" si="230"/>
        <v>26624</v>
      </c>
      <c r="BX154" s="140">
        <f t="shared" si="230"/>
        <v>26984</v>
      </c>
      <c r="BY154" s="140">
        <f t="shared" si="230"/>
        <v>27344</v>
      </c>
      <c r="BZ154" s="140">
        <f t="shared" si="230"/>
        <v>27703</v>
      </c>
      <c r="CA154" s="140">
        <f t="shared" si="230"/>
        <v>28063</v>
      </c>
      <c r="CB154" s="140">
        <f t="shared" si="230"/>
        <v>28423</v>
      </c>
      <c r="CC154" s="17"/>
      <c r="CD154" s="17"/>
      <c r="CE154" s="17"/>
    </row>
    <row r="155" spans="1:83">
      <c r="A155" s="16" t="s">
        <v>41</v>
      </c>
      <c r="B155" s="140">
        <f>B154/360</f>
        <v>1.0055555555555555</v>
      </c>
      <c r="C155" s="140">
        <f t="shared" ref="C155:BN155" si="231">C154/360</f>
        <v>2.0055555555555555</v>
      </c>
      <c r="D155" s="140">
        <f t="shared" si="231"/>
        <v>3.0055555555555555</v>
      </c>
      <c r="E155" s="140">
        <f t="shared" si="231"/>
        <v>4.0055555555555555</v>
      </c>
      <c r="F155" s="140">
        <f t="shared" si="231"/>
        <v>5.0027777777777782</v>
      </c>
      <c r="G155" s="140">
        <f t="shared" si="231"/>
        <v>6.0027777777777782</v>
      </c>
      <c r="H155" s="140">
        <f t="shared" si="231"/>
        <v>7.0027777777777782</v>
      </c>
      <c r="I155" s="140">
        <f t="shared" si="231"/>
        <v>8.0027777777777782</v>
      </c>
      <c r="J155" s="140">
        <f t="shared" si="231"/>
        <v>9</v>
      </c>
      <c r="K155" s="140">
        <f t="shared" si="231"/>
        <v>10</v>
      </c>
      <c r="L155" s="140">
        <f t="shared" si="231"/>
        <v>11</v>
      </c>
      <c r="M155" s="140">
        <f t="shared" si="231"/>
        <v>12</v>
      </c>
      <c r="N155" s="140">
        <f t="shared" si="231"/>
        <v>12.997222222222222</v>
      </c>
      <c r="O155" s="140">
        <f t="shared" si="231"/>
        <v>13.997222222222222</v>
      </c>
      <c r="P155" s="140">
        <f t="shared" si="231"/>
        <v>14.997222222222222</v>
      </c>
      <c r="Q155" s="140">
        <f t="shared" si="231"/>
        <v>15.997222222222222</v>
      </c>
      <c r="R155" s="140">
        <f t="shared" si="231"/>
        <v>16.994444444444444</v>
      </c>
      <c r="S155" s="140">
        <f t="shared" si="231"/>
        <v>17.994444444444444</v>
      </c>
      <c r="T155" s="140">
        <f t="shared" si="231"/>
        <v>18.994444444444444</v>
      </c>
      <c r="U155" s="140">
        <f t="shared" si="231"/>
        <v>19.994444444444444</v>
      </c>
      <c r="V155" s="140">
        <f t="shared" si="231"/>
        <v>20.991666666666667</v>
      </c>
      <c r="W155" s="140">
        <f t="shared" si="231"/>
        <v>21.991666666666667</v>
      </c>
      <c r="X155" s="140">
        <f t="shared" si="231"/>
        <v>22.991666666666667</v>
      </c>
      <c r="Y155" s="140">
        <f t="shared" si="231"/>
        <v>23.991666666666667</v>
      </c>
      <c r="Z155" s="140">
        <f t="shared" si="231"/>
        <v>24.988888888888887</v>
      </c>
      <c r="AA155" s="140">
        <f t="shared" si="231"/>
        <v>25.988888888888887</v>
      </c>
      <c r="AB155" s="140">
        <f t="shared" si="231"/>
        <v>26.988888888888887</v>
      </c>
      <c r="AC155" s="140">
        <f t="shared" si="231"/>
        <v>27.988888888888887</v>
      </c>
      <c r="AD155" s="140">
        <f t="shared" si="231"/>
        <v>28.986111111111111</v>
      </c>
      <c r="AE155" s="140">
        <f t="shared" si="231"/>
        <v>29.986111111111111</v>
      </c>
      <c r="AF155" s="140">
        <f t="shared" si="231"/>
        <v>30.986111111111111</v>
      </c>
      <c r="AG155" s="140">
        <f t="shared" si="231"/>
        <v>31.986111111111111</v>
      </c>
      <c r="AH155" s="140">
        <f t="shared" si="231"/>
        <v>32.983333333333334</v>
      </c>
      <c r="AI155" s="140">
        <f t="shared" si="231"/>
        <v>33.983333333333334</v>
      </c>
      <c r="AJ155" s="140">
        <f t="shared" si="231"/>
        <v>34.983333333333334</v>
      </c>
      <c r="AK155" s="140">
        <f t="shared" si="231"/>
        <v>35.983333333333334</v>
      </c>
      <c r="AL155" s="140">
        <f t="shared" si="231"/>
        <v>36.980555555555554</v>
      </c>
      <c r="AM155" s="140">
        <f t="shared" si="231"/>
        <v>37.980555555555554</v>
      </c>
      <c r="AN155" s="140">
        <f t="shared" si="231"/>
        <v>38.980555555555554</v>
      </c>
      <c r="AO155" s="140">
        <f t="shared" si="231"/>
        <v>39.980555555555554</v>
      </c>
      <c r="AP155" s="140">
        <f t="shared" si="231"/>
        <v>40.977777777777774</v>
      </c>
      <c r="AQ155" s="140">
        <f t="shared" si="231"/>
        <v>41.977777777777774</v>
      </c>
      <c r="AR155" s="140">
        <f t="shared" si="231"/>
        <v>42.977777777777774</v>
      </c>
      <c r="AS155" s="140">
        <f t="shared" si="231"/>
        <v>43.977777777777774</v>
      </c>
      <c r="AT155" s="140">
        <f t="shared" si="231"/>
        <v>44.975000000000001</v>
      </c>
      <c r="AU155" s="140">
        <f t="shared" si="231"/>
        <v>45.975000000000001</v>
      </c>
      <c r="AV155" s="140">
        <f t="shared" si="231"/>
        <v>46.975000000000001</v>
      </c>
      <c r="AW155" s="140">
        <f t="shared" si="231"/>
        <v>47.975000000000001</v>
      </c>
      <c r="AX155" s="140">
        <f t="shared" si="231"/>
        <v>48.972222222222221</v>
      </c>
      <c r="AY155" s="140">
        <f t="shared" si="231"/>
        <v>49.972222222222221</v>
      </c>
      <c r="AZ155" s="140">
        <f t="shared" si="231"/>
        <v>50.972222222222221</v>
      </c>
      <c r="BA155" s="140">
        <f t="shared" si="231"/>
        <v>51.972222222222221</v>
      </c>
      <c r="BB155" s="140">
        <f t="shared" si="231"/>
        <v>52.969444444444441</v>
      </c>
      <c r="BC155" s="140">
        <f t="shared" si="231"/>
        <v>53.969444444444441</v>
      </c>
      <c r="BD155" s="140">
        <f t="shared" si="231"/>
        <v>54.969444444444441</v>
      </c>
      <c r="BE155" s="140">
        <f t="shared" si="231"/>
        <v>55.969444444444441</v>
      </c>
      <c r="BF155" s="140">
        <f t="shared" si="231"/>
        <v>56.966666666666669</v>
      </c>
      <c r="BG155" s="140">
        <f t="shared" si="231"/>
        <v>57.966666666666669</v>
      </c>
      <c r="BH155" s="140">
        <f t="shared" si="231"/>
        <v>58.966666666666669</v>
      </c>
      <c r="BI155" s="140">
        <f t="shared" si="231"/>
        <v>59.966666666666669</v>
      </c>
      <c r="BJ155" s="140">
        <f t="shared" si="231"/>
        <v>60.963888888888889</v>
      </c>
      <c r="BK155" s="140">
        <f t="shared" si="231"/>
        <v>61.963888888888889</v>
      </c>
      <c r="BL155" s="140">
        <f t="shared" si="231"/>
        <v>62.963888888888889</v>
      </c>
      <c r="BM155" s="140">
        <f t="shared" si="231"/>
        <v>63.963888888888889</v>
      </c>
      <c r="BN155" s="140">
        <f t="shared" si="231"/>
        <v>64.961111111111109</v>
      </c>
      <c r="BO155" s="140">
        <f t="shared" ref="BO155:CB155" si="232">BO154/360</f>
        <v>65.961111111111109</v>
      </c>
      <c r="BP155" s="140">
        <f t="shared" si="232"/>
        <v>66.961111111111109</v>
      </c>
      <c r="BQ155" s="140">
        <f t="shared" si="232"/>
        <v>67.961111111111109</v>
      </c>
      <c r="BR155" s="140">
        <f t="shared" si="232"/>
        <v>68.958333333333329</v>
      </c>
      <c r="BS155" s="140">
        <f t="shared" si="232"/>
        <v>69.958333333333329</v>
      </c>
      <c r="BT155" s="140">
        <f t="shared" si="232"/>
        <v>70.958333333333329</v>
      </c>
      <c r="BU155" s="140">
        <f t="shared" si="232"/>
        <v>71.958333333333329</v>
      </c>
      <c r="BV155" s="140">
        <f t="shared" si="232"/>
        <v>72.955555555555549</v>
      </c>
      <c r="BW155" s="140">
        <f t="shared" si="232"/>
        <v>73.955555555555549</v>
      </c>
      <c r="BX155" s="140">
        <f t="shared" si="232"/>
        <v>74.955555555555549</v>
      </c>
      <c r="BY155" s="140">
        <f t="shared" si="232"/>
        <v>75.955555555555549</v>
      </c>
      <c r="BZ155" s="140">
        <f t="shared" si="232"/>
        <v>76.952777777777783</v>
      </c>
      <c r="CA155" s="140">
        <f t="shared" si="232"/>
        <v>77.952777777777783</v>
      </c>
      <c r="CB155" s="140">
        <f t="shared" si="232"/>
        <v>78.952777777777783</v>
      </c>
      <c r="CC155" s="17"/>
      <c r="CD155" s="17"/>
      <c r="CE155" s="17"/>
    </row>
    <row r="156" spans="1:83">
      <c r="A156" s="16" t="s">
        <v>43</v>
      </c>
      <c r="B156" s="140">
        <f>IF(B154&lt;0,0,$B$5+$B$6*((1-EXP(-B155/$B$9))/(B155/$B$9))+$B$7*((1-EXP(-B155/$B$9))/(B155/$B$9)-EXP(-B155/$B$9))+$B$8*((1-EXP(-B155/$B$10))/(B155/$B$10)-EXP(-B155/$B$10)))</f>
        <v>-7.3325315879421869E-3</v>
      </c>
      <c r="C156" s="140">
        <f t="shared" ref="C156:BN156" si="233">IF(C154&lt;0,0,$B$5+$B$6*((1-EXP(-C155/$B$9))/(C155/$B$9))+$B$7*((1-EXP(-C155/$B$9))/(C155/$B$9)-EXP(-C155/$B$9))+$B$8*((1-EXP(-C155/$B$10))/(C155/$B$10)-EXP(-C155/$B$10)))</f>
        <v>-7.689745052191204E-3</v>
      </c>
      <c r="D156" s="140">
        <f t="shared" si="233"/>
        <v>-7.662399931022891E-3</v>
      </c>
      <c r="E156" s="140">
        <f t="shared" si="233"/>
        <v>-7.3637328002370507E-3</v>
      </c>
      <c r="F156" s="140">
        <f t="shared" si="233"/>
        <v>-6.8819582019582172E-3</v>
      </c>
      <c r="G156" s="140">
        <f t="shared" si="233"/>
        <v>-6.2800721002931777E-3</v>
      </c>
      <c r="H156" s="140">
        <f t="shared" si="233"/>
        <v>-5.6086887913846233E-3</v>
      </c>
      <c r="I156" s="140">
        <f t="shared" si="233"/>
        <v>-4.9045283590547651E-3</v>
      </c>
      <c r="J156" s="140">
        <f t="shared" si="233"/>
        <v>-4.1963450559209057E-3</v>
      </c>
      <c r="K156" s="140">
        <f t="shared" si="233"/>
        <v>-3.499274641730837E-3</v>
      </c>
      <c r="L156" s="140">
        <f t="shared" si="233"/>
        <v>-2.8285236616768551E-3</v>
      </c>
      <c r="M156" s="140">
        <f t="shared" si="233"/>
        <v>-2.192820373761924E-3</v>
      </c>
      <c r="N156" s="140">
        <f t="shared" si="233"/>
        <v>-1.5990828379513627E-3</v>
      </c>
      <c r="O156" s="140">
        <f t="shared" si="233"/>
        <v>-1.0467774380774845E-3</v>
      </c>
      <c r="P156" s="140">
        <f t="shared" si="233"/>
        <v>-5.3852188832682717E-4</v>
      </c>
      <c r="Q156" s="140">
        <f t="shared" si="233"/>
        <v>-7.3863926924332829E-5</v>
      </c>
      <c r="R156" s="140">
        <f t="shared" si="233"/>
        <v>3.47489356106883E-4</v>
      </c>
      <c r="S156" s="140">
        <f t="shared" si="233"/>
        <v>7.2994017197062014E-4</v>
      </c>
      <c r="T156" s="140">
        <f t="shared" si="233"/>
        <v>1.0747334742879783E-3</v>
      </c>
      <c r="U156" s="140">
        <f t="shared" si="233"/>
        <v>1.3845873744825384E-3</v>
      </c>
      <c r="V156" s="140">
        <f t="shared" si="233"/>
        <v>1.6616011857656099E-3</v>
      </c>
      <c r="W156" s="140">
        <f t="shared" si="233"/>
        <v>1.9101556796682177E-3</v>
      </c>
      <c r="X156" s="140">
        <f t="shared" si="233"/>
        <v>2.132226593924761E-3</v>
      </c>
      <c r="Y156" s="140">
        <f t="shared" si="233"/>
        <v>2.3305032176894058E-3</v>
      </c>
      <c r="Z156" s="140">
        <f t="shared" si="233"/>
        <v>2.5070769104151049E-3</v>
      </c>
      <c r="AA156" s="140">
        <f t="shared" si="233"/>
        <v>2.6653287932363011E-3</v>
      </c>
      <c r="AB156" s="140">
        <f t="shared" si="233"/>
        <v>2.8069778253690461E-3</v>
      </c>
      <c r="AC156" s="140">
        <f t="shared" si="233"/>
        <v>2.9340949540377914E-3</v>
      </c>
      <c r="AD156" s="140">
        <f t="shared" si="233"/>
        <v>3.0482814256519303E-3</v>
      </c>
      <c r="AE156" s="140">
        <f t="shared" si="233"/>
        <v>3.1519096093735148E-3</v>
      </c>
      <c r="AF156" s="140">
        <f t="shared" si="233"/>
        <v>3.2462283314614974E-3</v>
      </c>
      <c r="AG156" s="140">
        <f t="shared" si="233"/>
        <v>3.3326723609425693E-3</v>
      </c>
      <c r="AH156" s="140">
        <f t="shared" si="233"/>
        <v>3.4123227971766777E-3</v>
      </c>
      <c r="AI156" s="140">
        <f t="shared" si="233"/>
        <v>3.4867854101401259E-3</v>
      </c>
      <c r="AJ156" s="140">
        <f t="shared" si="233"/>
        <v>3.556873849363016E-3</v>
      </c>
      <c r="AK156" s="140">
        <f t="shared" si="233"/>
        <v>3.6235208578590875E-3</v>
      </c>
      <c r="AL156" s="140">
        <f t="shared" si="233"/>
        <v>3.6873820498049339E-3</v>
      </c>
      <c r="AM156" s="140">
        <f t="shared" si="233"/>
        <v>3.7495487993057033E-3</v>
      </c>
      <c r="AN156" s="140">
        <f t="shared" si="233"/>
        <v>3.8104922719081266E-3</v>
      </c>
      <c r="AO156" s="140">
        <f t="shared" si="233"/>
        <v>3.870787448825224E-3</v>
      </c>
      <c r="AP156" s="140">
        <f t="shared" si="233"/>
        <v>3.9307719045408203E-3</v>
      </c>
      <c r="AQ156" s="140">
        <f t="shared" si="233"/>
        <v>3.9912203640211676E-3</v>
      </c>
      <c r="AR156" s="140">
        <f t="shared" si="233"/>
        <v>4.0523501743836184E-3</v>
      </c>
      <c r="AS156" s="140">
        <f t="shared" si="233"/>
        <v>4.1144941760602044E-3</v>
      </c>
      <c r="AT156" s="140">
        <f t="shared" si="233"/>
        <v>4.1777605414684039E-3</v>
      </c>
      <c r="AU156" s="140">
        <f t="shared" si="233"/>
        <v>4.2427459867156389E-3</v>
      </c>
      <c r="AV156" s="140">
        <f t="shared" si="233"/>
        <v>4.3094837024133179E-3</v>
      </c>
      <c r="AW156" s="140">
        <f t="shared" si="233"/>
        <v>4.3781476948996645E-3</v>
      </c>
      <c r="AX156" s="140">
        <f t="shared" si="233"/>
        <v>4.4486825569417937E-3</v>
      </c>
      <c r="AY156" s="140">
        <f t="shared" si="233"/>
        <v>4.5215983155452409E-3</v>
      </c>
      <c r="AZ156" s="140">
        <f t="shared" si="233"/>
        <v>4.5967949533904928E-3</v>
      </c>
      <c r="BA156" s="140">
        <f t="shared" si="233"/>
        <v>4.674344749066639E-3</v>
      </c>
      <c r="BB156" s="140">
        <f t="shared" si="233"/>
        <v>4.7540756239904287E-3</v>
      </c>
      <c r="BC156" s="140">
        <f t="shared" si="233"/>
        <v>4.8364683317499019E-3</v>
      </c>
      <c r="BD156" s="140">
        <f t="shared" si="233"/>
        <v>4.9213259732578223E-3</v>
      </c>
      <c r="BE156" s="140">
        <f t="shared" si="233"/>
        <v>5.008657255326978E-3</v>
      </c>
      <c r="BF156" s="140">
        <f t="shared" si="233"/>
        <v>5.0982064523747463E-3</v>
      </c>
      <c r="BG156" s="140">
        <f t="shared" si="233"/>
        <v>5.1904594521371902E-3</v>
      </c>
      <c r="BH156" s="140">
        <f t="shared" si="233"/>
        <v>5.2851483104508143E-3</v>
      </c>
      <c r="BI156" s="140">
        <f t="shared" si="233"/>
        <v>5.3822433032733076E-3</v>
      </c>
      <c r="BJ156" s="140">
        <f t="shared" si="233"/>
        <v>5.481428392779885E-3</v>
      </c>
      <c r="BK156" s="140">
        <f t="shared" si="233"/>
        <v>5.5832138756315916E-3</v>
      </c>
      <c r="BL156" s="140">
        <f t="shared" si="233"/>
        <v>5.6872793322278251E-3</v>
      </c>
      <c r="BM156" s="140">
        <f t="shared" si="233"/>
        <v>5.7935730302937222E-3</v>
      </c>
      <c r="BN156" s="140">
        <f t="shared" si="233"/>
        <v>5.9017353211271995E-3</v>
      </c>
      <c r="BO156" s="140">
        <f t="shared" ref="BO156:CB156" si="234">IF(BO154&lt;0,0,$B$5+$B$6*((1-EXP(-BO155/$B$9))/(BO155/$B$9))+$B$7*((1-EXP(-BO155/$B$9))/(BO155/$B$9)-EXP(-BO155/$B$9))+$B$8*((1-EXP(-BO155/$B$10))/(BO155/$B$10)-EXP(-BO155/$B$10)))</f>
        <v>6.0123104470209549E-3</v>
      </c>
      <c r="BP156" s="140">
        <f t="shared" si="234"/>
        <v>6.1249390976429799E-3</v>
      </c>
      <c r="BQ156" s="140">
        <f t="shared" si="234"/>
        <v>6.2395581808068791E-3</v>
      </c>
      <c r="BR156" s="140">
        <f t="shared" si="234"/>
        <v>6.3557766062066166E-3</v>
      </c>
      <c r="BS156" s="140">
        <f t="shared" si="234"/>
        <v>6.4741759567316093E-3</v>
      </c>
      <c r="BT156" s="140">
        <f t="shared" si="234"/>
        <v>6.5943681798963476E-3</v>
      </c>
      <c r="BU156" s="140">
        <f t="shared" si="234"/>
        <v>6.7162856626298874E-3</v>
      </c>
      <c r="BV156" s="140">
        <f t="shared" si="234"/>
        <v>6.83951491845948E-3</v>
      </c>
      <c r="BW156" s="140">
        <f t="shared" si="234"/>
        <v>6.9646744875488456E-3</v>
      </c>
      <c r="BX156" s="140">
        <f t="shared" si="234"/>
        <v>7.0913553209433176E-3</v>
      </c>
      <c r="BY156" s="140">
        <f t="shared" si="234"/>
        <v>7.2194896112584214E-3</v>
      </c>
      <c r="BZ156" s="140">
        <f t="shared" si="234"/>
        <v>7.3486483336135493E-3</v>
      </c>
      <c r="CA156" s="140">
        <f t="shared" si="234"/>
        <v>7.4794843646515292E-3</v>
      </c>
      <c r="CB156" s="140">
        <f t="shared" si="234"/>
        <v>7.6115736893999503E-3</v>
      </c>
      <c r="CC156" s="17"/>
      <c r="CD156" s="17"/>
      <c r="CE156" s="17"/>
    </row>
    <row r="157" spans="1:83">
      <c r="A157" s="16" t="s">
        <v>44</v>
      </c>
      <c r="B157" s="140">
        <f>EXP(-B156*B155)</f>
        <v>1.0074005173454956</v>
      </c>
      <c r="C157" s="140">
        <f t="shared" ref="C157:AR157" si="235">EXP(-C156*C155)</f>
        <v>1.015541746917519</v>
      </c>
      <c r="D157" s="140">
        <f t="shared" si="235"/>
        <v>1.0232970012963998</v>
      </c>
      <c r="E157" s="140">
        <f t="shared" si="235"/>
        <v>1.0299351517851429</v>
      </c>
      <c r="F157" s="140">
        <f t="shared" si="235"/>
        <v>1.0350284430633432</v>
      </c>
      <c r="G157" s="140">
        <f t="shared" si="235"/>
        <v>1.0384174559402184</v>
      </c>
      <c r="H157" s="140">
        <f t="shared" si="235"/>
        <v>1.0400579172132323</v>
      </c>
      <c r="I157" s="140">
        <f t="shared" si="235"/>
        <v>1.0400303033468832</v>
      </c>
      <c r="J157" s="140">
        <f t="shared" si="235"/>
        <v>1.0384893462589222</v>
      </c>
      <c r="K157" s="140">
        <f t="shared" si="235"/>
        <v>1.0356121968736727</v>
      </c>
      <c r="L157" s="140">
        <f t="shared" si="235"/>
        <v>1.0316028526393441</v>
      </c>
      <c r="M157" s="140">
        <f t="shared" si="235"/>
        <v>1.0266631104717359</v>
      </c>
      <c r="N157" s="140">
        <f t="shared" si="235"/>
        <v>1.0210011188267756</v>
      </c>
      <c r="O157" s="140">
        <f t="shared" si="235"/>
        <v>1.0147598427991413</v>
      </c>
      <c r="P157" s="140">
        <f t="shared" si="235"/>
        <v>1.008109033980447</v>
      </c>
      <c r="Q157" s="140">
        <f t="shared" si="235"/>
        <v>1.0011823160384015</v>
      </c>
      <c r="R157" s="140">
        <f t="shared" si="235"/>
        <v>0.99411201397651972</v>
      </c>
      <c r="S157" s="140">
        <f t="shared" si="235"/>
        <v>0.98695101806002505</v>
      </c>
      <c r="T157" s="140">
        <f t="shared" si="235"/>
        <v>0.97979298907374235</v>
      </c>
      <c r="U157" s="140">
        <f t="shared" si="235"/>
        <v>0.9726956362530621</v>
      </c>
      <c r="V157" s="140">
        <f t="shared" si="235"/>
        <v>0.96572151003347273</v>
      </c>
      <c r="W157" s="140">
        <f t="shared" si="235"/>
        <v>0.95886258237489208</v>
      </c>
      <c r="X157" s="140">
        <f t="shared" si="235"/>
        <v>0.95215880787764495</v>
      </c>
      <c r="Y157" s="140">
        <f t="shared" si="235"/>
        <v>0.94562172632295038</v>
      </c>
      <c r="Z157" s="140">
        <f t="shared" si="235"/>
        <v>0.93927303837353926</v>
      </c>
      <c r="AA157" s="140">
        <f t="shared" si="235"/>
        <v>0.93307571068029505</v>
      </c>
      <c r="AB157" s="140">
        <f t="shared" si="235"/>
        <v>0.92704125313522423</v>
      </c>
      <c r="AC157" s="140">
        <f t="shared" si="235"/>
        <v>0.92115951726098555</v>
      </c>
      <c r="AD157" s="140">
        <f t="shared" si="235"/>
        <v>0.91543325402921627</v>
      </c>
      <c r="AE157" s="140">
        <f t="shared" si="235"/>
        <v>0.90981544133613412</v>
      </c>
      <c r="AF157" s="140">
        <f t="shared" si="235"/>
        <v>0.90430553746635356</v>
      </c>
      <c r="AG157" s="140">
        <f t="shared" si="235"/>
        <v>0.89888584870059773</v>
      </c>
      <c r="AH157" s="140">
        <f t="shared" si="235"/>
        <v>0.89355286470723494</v>
      </c>
      <c r="AI157" s="140">
        <f t="shared" si="235"/>
        <v>0.8882583968680432</v>
      </c>
      <c r="AJ157" s="140">
        <f t="shared" si="235"/>
        <v>0.88299891822084542</v>
      </c>
      <c r="AK157" s="140">
        <f t="shared" si="235"/>
        <v>0.87775623649292911</v>
      </c>
      <c r="AL157" s="140">
        <f t="shared" si="235"/>
        <v>0.87252721209236184</v>
      </c>
      <c r="AM157" s="140">
        <f t="shared" si="235"/>
        <v>0.86726565110015519</v>
      </c>
      <c r="AN157" s="140">
        <f t="shared" si="235"/>
        <v>0.86196974658875958</v>
      </c>
      <c r="AO157" s="140">
        <f t="shared" si="235"/>
        <v>0.85662396899644844</v>
      </c>
      <c r="AP157" s="140">
        <f t="shared" si="235"/>
        <v>0.85122882449943915</v>
      </c>
      <c r="AQ157" s="140">
        <f t="shared" si="235"/>
        <v>0.8457406205308351</v>
      </c>
      <c r="AR157" s="140">
        <f t="shared" si="235"/>
        <v>0.84016161631832531</v>
      </c>
      <c r="AS157" s="140">
        <f>EXP(-AS156*AS155)</f>
        <v>0.83448016027999494</v>
      </c>
      <c r="AT157" s="140">
        <f t="shared" ref="AT157:CA157" si="236">EXP(-AT156*AT155)</f>
        <v>0.82870189836708441</v>
      </c>
      <c r="AU157" s="140">
        <f t="shared" si="236"/>
        <v>0.82278508644420634</v>
      </c>
      <c r="AV157" s="140">
        <f t="shared" si="236"/>
        <v>0.81673712124457909</v>
      </c>
      <c r="AW157" s="140">
        <f t="shared" si="236"/>
        <v>0.8105504974604173</v>
      </c>
      <c r="AX157" s="140">
        <f t="shared" si="236"/>
        <v>0.80423652256246181</v>
      </c>
      <c r="AY157" s="140">
        <f t="shared" si="236"/>
        <v>0.79775454559223635</v>
      </c>
      <c r="AZ157" s="140">
        <f t="shared" si="236"/>
        <v>0.79111743847324223</v>
      </c>
      <c r="BA157" s="140">
        <f t="shared" si="236"/>
        <v>0.78432164283887917</v>
      </c>
      <c r="BB157" s="140">
        <f t="shared" si="236"/>
        <v>0.77738407583492442</v>
      </c>
      <c r="BC157" s="140">
        <f t="shared" si="236"/>
        <v>0.77026435186895237</v>
      </c>
      <c r="BD157" s="140">
        <f t="shared" si="236"/>
        <v>0.76298069101681898</v>
      </c>
      <c r="BE157" s="140">
        <f t="shared" si="236"/>
        <v>0.75553304121255527</v>
      </c>
      <c r="BF157" s="140">
        <f t="shared" si="236"/>
        <v>0.74794350826449918</v>
      </c>
      <c r="BG157" s="140">
        <f t="shared" si="236"/>
        <v>0.74017130013131527</v>
      </c>
      <c r="BH157" s="140">
        <f t="shared" si="236"/>
        <v>0.7322395395671667</v>
      </c>
      <c r="BI157" s="140">
        <f t="shared" si="236"/>
        <v>0.72415111204106442</v>
      </c>
      <c r="BJ157" s="140">
        <f t="shared" si="236"/>
        <v>0.71593264226920639</v>
      </c>
      <c r="BK157" s="140">
        <f t="shared" si="236"/>
        <v>0.70754245497553314</v>
      </c>
      <c r="BL157" s="140">
        <f t="shared" si="236"/>
        <v>0.69900790768763699</v>
      </c>
      <c r="BM157" s="140">
        <f t="shared" si="236"/>
        <v>0.69033419257471107</v>
      </c>
      <c r="BN157" s="140">
        <f t="shared" si="236"/>
        <v>0.68155162142380843</v>
      </c>
      <c r="BO157" s="140">
        <f t="shared" si="236"/>
        <v>0.67261735481423546</v>
      </c>
      <c r="BP157" s="140">
        <f t="shared" si="236"/>
        <v>0.66356217136563389</v>
      </c>
      <c r="BQ157" s="140">
        <f t="shared" si="236"/>
        <v>0.6543929239348466</v>
      </c>
      <c r="BR157" s="140">
        <f t="shared" si="236"/>
        <v>0.64514269002823421</v>
      </c>
      <c r="BS157" s="140">
        <f t="shared" si="236"/>
        <v>0.63576736577399595</v>
      </c>
      <c r="BT157" s="140">
        <f t="shared" si="236"/>
        <v>0.62630025930012723</v>
      </c>
      <c r="BU157" s="140">
        <f t="shared" si="236"/>
        <v>0.61674926057841306</v>
      </c>
      <c r="BV157" s="140">
        <f t="shared" si="236"/>
        <v>0.60714926588055684</v>
      </c>
      <c r="BW157" s="140">
        <f t="shared" si="236"/>
        <v>0.59745496464855929</v>
      </c>
      <c r="BX157" s="140">
        <f t="shared" si="236"/>
        <v>0.58770128567765823</v>
      </c>
      <c r="BY157" s="140">
        <f t="shared" si="236"/>
        <v>0.57789658543460309</v>
      </c>
      <c r="BZ157" s="140">
        <f t="shared" si="236"/>
        <v>0.56807666136087343</v>
      </c>
      <c r="CA157" s="140">
        <f t="shared" si="236"/>
        <v>0.55819518571873095</v>
      </c>
      <c r="CB157" s="140">
        <f>EXP(-CB156*CB155)</f>
        <v>0.54828783365064337</v>
      </c>
      <c r="CC157" s="17"/>
      <c r="CD157" s="17"/>
      <c r="CE157" s="17"/>
    </row>
    <row r="158" spans="1:83">
      <c r="A158" s="17"/>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17"/>
      <c r="CD158" s="17"/>
      <c r="CE158" s="17"/>
    </row>
    <row r="159" spans="1:83">
      <c r="A159" s="16" t="s">
        <v>40</v>
      </c>
      <c r="B159" s="140">
        <f t="shared" ref="B159:BM159" si="237">DAYS360($B$3,B60)</f>
        <v>43</v>
      </c>
      <c r="C159" s="140">
        <f t="shared" si="237"/>
        <v>402</v>
      </c>
      <c r="D159" s="140">
        <f t="shared" si="237"/>
        <v>762</v>
      </c>
      <c r="E159" s="140">
        <f t="shared" si="237"/>
        <v>1122</v>
      </c>
      <c r="F159" s="140">
        <f t="shared" si="237"/>
        <v>1482</v>
      </c>
      <c r="G159" s="140">
        <f t="shared" si="237"/>
        <v>1841</v>
      </c>
      <c r="H159" s="140">
        <f t="shared" si="237"/>
        <v>2201</v>
      </c>
      <c r="I159" s="140">
        <f t="shared" si="237"/>
        <v>2561</v>
      </c>
      <c r="J159" s="140">
        <f t="shared" si="237"/>
        <v>2921</v>
      </c>
      <c r="K159" s="140">
        <f t="shared" si="237"/>
        <v>3280</v>
      </c>
      <c r="L159" s="140">
        <f t="shared" si="237"/>
        <v>3640</v>
      </c>
      <c r="M159" s="140">
        <f t="shared" si="237"/>
        <v>4000</v>
      </c>
      <c r="N159" s="140">
        <f t="shared" si="237"/>
        <v>4360</v>
      </c>
      <c r="O159" s="140">
        <f t="shared" si="237"/>
        <v>4719</v>
      </c>
      <c r="P159" s="140">
        <f t="shared" si="237"/>
        <v>5079</v>
      </c>
      <c r="Q159" s="140">
        <f t="shared" si="237"/>
        <v>5439</v>
      </c>
      <c r="R159" s="140">
        <f t="shared" si="237"/>
        <v>5799</v>
      </c>
      <c r="S159" s="140">
        <f t="shared" si="237"/>
        <v>6158</v>
      </c>
      <c r="T159" s="140">
        <f t="shared" si="237"/>
        <v>6518</v>
      </c>
      <c r="U159" s="140">
        <f t="shared" si="237"/>
        <v>6878</v>
      </c>
      <c r="V159" s="140">
        <f t="shared" si="237"/>
        <v>7238</v>
      </c>
      <c r="W159" s="140">
        <f t="shared" si="237"/>
        <v>7597</v>
      </c>
      <c r="X159" s="140">
        <f t="shared" si="237"/>
        <v>7957</v>
      </c>
      <c r="Y159" s="140">
        <f t="shared" si="237"/>
        <v>8317</v>
      </c>
      <c r="Z159" s="140">
        <f t="shared" si="237"/>
        <v>8677</v>
      </c>
      <c r="AA159" s="140">
        <f t="shared" si="237"/>
        <v>9036</v>
      </c>
      <c r="AB159" s="140">
        <f t="shared" si="237"/>
        <v>9396</v>
      </c>
      <c r="AC159" s="140">
        <f t="shared" si="237"/>
        <v>9756</v>
      </c>
      <c r="AD159" s="140">
        <f t="shared" si="237"/>
        <v>10116</v>
      </c>
      <c r="AE159" s="140">
        <f t="shared" si="237"/>
        <v>10475</v>
      </c>
      <c r="AF159" s="140">
        <f t="shared" si="237"/>
        <v>10835</v>
      </c>
      <c r="AG159" s="140">
        <f t="shared" si="237"/>
        <v>11195</v>
      </c>
      <c r="AH159" s="140">
        <f t="shared" si="237"/>
        <v>11555</v>
      </c>
      <c r="AI159" s="140">
        <f t="shared" si="237"/>
        <v>11914</v>
      </c>
      <c r="AJ159" s="140">
        <f t="shared" si="237"/>
        <v>12274</v>
      </c>
      <c r="AK159" s="140">
        <f t="shared" si="237"/>
        <v>12634</v>
      </c>
      <c r="AL159" s="140">
        <f t="shared" si="237"/>
        <v>12994</v>
      </c>
      <c r="AM159" s="140">
        <f t="shared" si="237"/>
        <v>13353</v>
      </c>
      <c r="AN159" s="140">
        <f t="shared" si="237"/>
        <v>13713</v>
      </c>
      <c r="AO159" s="140">
        <f t="shared" si="237"/>
        <v>14073</v>
      </c>
      <c r="AP159" s="140">
        <f t="shared" si="237"/>
        <v>14433</v>
      </c>
      <c r="AQ159" s="140">
        <f t="shared" si="237"/>
        <v>14792</v>
      </c>
      <c r="AR159" s="140">
        <f t="shared" si="237"/>
        <v>15152</v>
      </c>
      <c r="AS159" s="140">
        <f t="shared" si="237"/>
        <v>15512</v>
      </c>
      <c r="AT159" s="140">
        <f t="shared" si="237"/>
        <v>15872</v>
      </c>
      <c r="AU159" s="140">
        <f t="shared" si="237"/>
        <v>16231</v>
      </c>
      <c r="AV159" s="140">
        <f t="shared" si="237"/>
        <v>16591</v>
      </c>
      <c r="AW159" s="140">
        <f t="shared" si="237"/>
        <v>16951</v>
      </c>
      <c r="AX159" s="140">
        <f t="shared" si="237"/>
        <v>17311</v>
      </c>
      <c r="AY159" s="140">
        <f t="shared" si="237"/>
        <v>17670</v>
      </c>
      <c r="AZ159" s="140">
        <f t="shared" si="237"/>
        <v>18030</v>
      </c>
      <c r="BA159" s="140">
        <f t="shared" si="237"/>
        <v>18390</v>
      </c>
      <c r="BB159" s="140">
        <f t="shared" si="237"/>
        <v>18750</v>
      </c>
      <c r="BC159" s="140">
        <f t="shared" si="237"/>
        <v>19109</v>
      </c>
      <c r="BD159" s="140">
        <f t="shared" si="237"/>
        <v>19469</v>
      </c>
      <c r="BE159" s="140">
        <f t="shared" si="237"/>
        <v>19829</v>
      </c>
      <c r="BF159" s="140">
        <f t="shared" si="237"/>
        <v>20189</v>
      </c>
      <c r="BG159" s="140">
        <f t="shared" si="237"/>
        <v>20549</v>
      </c>
      <c r="BH159" s="140">
        <f t="shared" si="237"/>
        <v>20909</v>
      </c>
      <c r="BI159" s="140">
        <f t="shared" si="237"/>
        <v>21269</v>
      </c>
      <c r="BJ159" s="140">
        <f t="shared" si="237"/>
        <v>21629</v>
      </c>
      <c r="BK159" s="140">
        <f t="shared" si="237"/>
        <v>21988</v>
      </c>
      <c r="BL159" s="140">
        <f t="shared" si="237"/>
        <v>22348</v>
      </c>
      <c r="BM159" s="140">
        <f t="shared" si="237"/>
        <v>22708</v>
      </c>
      <c r="BN159" s="140">
        <f t="shared" ref="BN159:CB159" si="238">DAYS360($B$3,BN60)</f>
        <v>23068</v>
      </c>
      <c r="BO159" s="140">
        <f t="shared" si="238"/>
        <v>23427</v>
      </c>
      <c r="BP159" s="140">
        <f t="shared" si="238"/>
        <v>23787</v>
      </c>
      <c r="BQ159" s="140">
        <f t="shared" si="238"/>
        <v>24147</v>
      </c>
      <c r="BR159" s="140">
        <f t="shared" si="238"/>
        <v>24507</v>
      </c>
      <c r="BS159" s="140">
        <f t="shared" si="238"/>
        <v>24866</v>
      </c>
      <c r="BT159" s="140">
        <f t="shared" si="238"/>
        <v>25226</v>
      </c>
      <c r="BU159" s="140">
        <f t="shared" si="238"/>
        <v>25586</v>
      </c>
      <c r="BV159" s="140">
        <f t="shared" si="238"/>
        <v>25946</v>
      </c>
      <c r="BW159" s="140">
        <f t="shared" si="238"/>
        <v>26305</v>
      </c>
      <c r="BX159" s="140">
        <f t="shared" si="238"/>
        <v>26665</v>
      </c>
      <c r="BY159" s="140">
        <f t="shared" si="238"/>
        <v>27025</v>
      </c>
      <c r="BZ159" s="140">
        <f t="shared" si="238"/>
        <v>27385</v>
      </c>
      <c r="CA159" s="140">
        <f t="shared" si="238"/>
        <v>27744</v>
      </c>
      <c r="CB159" s="140">
        <f t="shared" si="238"/>
        <v>28104</v>
      </c>
      <c r="CC159" s="17"/>
      <c r="CD159" s="17"/>
      <c r="CE159" s="17"/>
    </row>
    <row r="160" spans="1:83">
      <c r="A160" s="16" t="s">
        <v>41</v>
      </c>
      <c r="B160" s="140">
        <f>B159/360</f>
        <v>0.11944444444444445</v>
      </c>
      <c r="C160" s="140">
        <f t="shared" ref="C160:BN160" si="239">C159/360</f>
        <v>1.1166666666666667</v>
      </c>
      <c r="D160" s="140">
        <f t="shared" si="239"/>
        <v>2.1166666666666667</v>
      </c>
      <c r="E160" s="140">
        <f t="shared" si="239"/>
        <v>3.1166666666666667</v>
      </c>
      <c r="F160" s="140">
        <f t="shared" si="239"/>
        <v>4.1166666666666663</v>
      </c>
      <c r="G160" s="140">
        <f t="shared" si="239"/>
        <v>5.1138888888888889</v>
      </c>
      <c r="H160" s="140">
        <f t="shared" si="239"/>
        <v>6.1138888888888889</v>
      </c>
      <c r="I160" s="140">
        <f t="shared" si="239"/>
        <v>7.1138888888888889</v>
      </c>
      <c r="J160" s="140">
        <f t="shared" si="239"/>
        <v>8.1138888888888889</v>
      </c>
      <c r="K160" s="140">
        <f t="shared" si="239"/>
        <v>9.1111111111111107</v>
      </c>
      <c r="L160" s="140">
        <f t="shared" si="239"/>
        <v>10.111111111111111</v>
      </c>
      <c r="M160" s="140">
        <f t="shared" si="239"/>
        <v>11.111111111111111</v>
      </c>
      <c r="N160" s="140">
        <f t="shared" si="239"/>
        <v>12.111111111111111</v>
      </c>
      <c r="O160" s="140">
        <f t="shared" si="239"/>
        <v>13.108333333333333</v>
      </c>
      <c r="P160" s="140">
        <f t="shared" si="239"/>
        <v>14.108333333333333</v>
      </c>
      <c r="Q160" s="140">
        <f t="shared" si="239"/>
        <v>15.108333333333333</v>
      </c>
      <c r="R160" s="140">
        <f t="shared" si="239"/>
        <v>16.108333333333334</v>
      </c>
      <c r="S160" s="140">
        <f t="shared" si="239"/>
        <v>17.105555555555554</v>
      </c>
      <c r="T160" s="140">
        <f t="shared" si="239"/>
        <v>18.105555555555554</v>
      </c>
      <c r="U160" s="140">
        <f t="shared" si="239"/>
        <v>19.105555555555554</v>
      </c>
      <c r="V160" s="140">
        <f t="shared" si="239"/>
        <v>20.105555555555554</v>
      </c>
      <c r="W160" s="140">
        <f t="shared" si="239"/>
        <v>21.102777777777778</v>
      </c>
      <c r="X160" s="140">
        <f t="shared" si="239"/>
        <v>22.102777777777778</v>
      </c>
      <c r="Y160" s="140">
        <f t="shared" si="239"/>
        <v>23.102777777777778</v>
      </c>
      <c r="Z160" s="140">
        <f t="shared" si="239"/>
        <v>24.102777777777778</v>
      </c>
      <c r="AA160" s="140">
        <f t="shared" si="239"/>
        <v>25.1</v>
      </c>
      <c r="AB160" s="140">
        <f t="shared" si="239"/>
        <v>26.1</v>
      </c>
      <c r="AC160" s="140">
        <f t="shared" si="239"/>
        <v>27.1</v>
      </c>
      <c r="AD160" s="140">
        <f t="shared" si="239"/>
        <v>28.1</v>
      </c>
      <c r="AE160" s="140">
        <f t="shared" si="239"/>
        <v>29.097222222222221</v>
      </c>
      <c r="AF160" s="140">
        <f t="shared" si="239"/>
        <v>30.097222222222221</v>
      </c>
      <c r="AG160" s="140">
        <f t="shared" si="239"/>
        <v>31.097222222222221</v>
      </c>
      <c r="AH160" s="140">
        <f t="shared" si="239"/>
        <v>32.097222222222221</v>
      </c>
      <c r="AI160" s="140">
        <f t="shared" si="239"/>
        <v>33.094444444444441</v>
      </c>
      <c r="AJ160" s="140">
        <f t="shared" si="239"/>
        <v>34.094444444444441</v>
      </c>
      <c r="AK160" s="140">
        <f t="shared" si="239"/>
        <v>35.094444444444441</v>
      </c>
      <c r="AL160" s="140">
        <f t="shared" si="239"/>
        <v>36.094444444444441</v>
      </c>
      <c r="AM160" s="140">
        <f t="shared" si="239"/>
        <v>37.091666666666669</v>
      </c>
      <c r="AN160" s="140">
        <f t="shared" si="239"/>
        <v>38.091666666666669</v>
      </c>
      <c r="AO160" s="140">
        <f t="shared" si="239"/>
        <v>39.091666666666669</v>
      </c>
      <c r="AP160" s="140">
        <f t="shared" si="239"/>
        <v>40.091666666666669</v>
      </c>
      <c r="AQ160" s="140">
        <f t="shared" si="239"/>
        <v>41.088888888888889</v>
      </c>
      <c r="AR160" s="140">
        <f t="shared" si="239"/>
        <v>42.088888888888889</v>
      </c>
      <c r="AS160" s="140">
        <f t="shared" si="239"/>
        <v>43.088888888888889</v>
      </c>
      <c r="AT160" s="140">
        <f t="shared" si="239"/>
        <v>44.088888888888889</v>
      </c>
      <c r="AU160" s="140">
        <f t="shared" si="239"/>
        <v>45.086111111111109</v>
      </c>
      <c r="AV160" s="140">
        <f t="shared" si="239"/>
        <v>46.086111111111109</v>
      </c>
      <c r="AW160" s="140">
        <f t="shared" si="239"/>
        <v>47.086111111111109</v>
      </c>
      <c r="AX160" s="140">
        <f t="shared" si="239"/>
        <v>48.086111111111109</v>
      </c>
      <c r="AY160" s="140">
        <f t="shared" si="239"/>
        <v>49.083333333333336</v>
      </c>
      <c r="AZ160" s="140">
        <f t="shared" si="239"/>
        <v>50.083333333333336</v>
      </c>
      <c r="BA160" s="140">
        <f t="shared" si="239"/>
        <v>51.083333333333336</v>
      </c>
      <c r="BB160" s="140">
        <f t="shared" si="239"/>
        <v>52.083333333333336</v>
      </c>
      <c r="BC160" s="140">
        <f t="shared" si="239"/>
        <v>53.080555555555556</v>
      </c>
      <c r="BD160" s="140">
        <f t="shared" si="239"/>
        <v>54.080555555555556</v>
      </c>
      <c r="BE160" s="140">
        <f t="shared" si="239"/>
        <v>55.080555555555556</v>
      </c>
      <c r="BF160" s="140">
        <f t="shared" si="239"/>
        <v>56.080555555555556</v>
      </c>
      <c r="BG160" s="140">
        <f t="shared" si="239"/>
        <v>57.080555555555556</v>
      </c>
      <c r="BH160" s="140">
        <f t="shared" si="239"/>
        <v>58.080555555555556</v>
      </c>
      <c r="BI160" s="140">
        <f t="shared" si="239"/>
        <v>59.080555555555556</v>
      </c>
      <c r="BJ160" s="140">
        <f t="shared" si="239"/>
        <v>60.080555555555556</v>
      </c>
      <c r="BK160" s="140">
        <f t="shared" si="239"/>
        <v>61.077777777777776</v>
      </c>
      <c r="BL160" s="140">
        <f t="shared" si="239"/>
        <v>62.077777777777776</v>
      </c>
      <c r="BM160" s="140">
        <f t="shared" si="239"/>
        <v>63.077777777777776</v>
      </c>
      <c r="BN160" s="140">
        <f t="shared" si="239"/>
        <v>64.077777777777783</v>
      </c>
      <c r="BO160" s="140">
        <f t="shared" ref="BO160:CB160" si="240">BO159/360</f>
        <v>65.075000000000003</v>
      </c>
      <c r="BP160" s="140">
        <f t="shared" si="240"/>
        <v>66.075000000000003</v>
      </c>
      <c r="BQ160" s="140">
        <f t="shared" si="240"/>
        <v>67.075000000000003</v>
      </c>
      <c r="BR160" s="140">
        <f t="shared" si="240"/>
        <v>68.075000000000003</v>
      </c>
      <c r="BS160" s="140">
        <f t="shared" si="240"/>
        <v>69.072222222222223</v>
      </c>
      <c r="BT160" s="140">
        <f t="shared" si="240"/>
        <v>70.072222222222223</v>
      </c>
      <c r="BU160" s="140">
        <f t="shared" si="240"/>
        <v>71.072222222222223</v>
      </c>
      <c r="BV160" s="140">
        <f t="shared" si="240"/>
        <v>72.072222222222223</v>
      </c>
      <c r="BW160" s="140">
        <f t="shared" si="240"/>
        <v>73.069444444444443</v>
      </c>
      <c r="BX160" s="140">
        <f t="shared" si="240"/>
        <v>74.069444444444443</v>
      </c>
      <c r="BY160" s="140">
        <f t="shared" si="240"/>
        <v>75.069444444444443</v>
      </c>
      <c r="BZ160" s="140">
        <f t="shared" si="240"/>
        <v>76.069444444444443</v>
      </c>
      <c r="CA160" s="140">
        <f t="shared" si="240"/>
        <v>77.066666666666663</v>
      </c>
      <c r="CB160" s="140">
        <f t="shared" si="240"/>
        <v>78.066666666666663</v>
      </c>
      <c r="CC160" s="17"/>
      <c r="CD160" s="17"/>
      <c r="CE160" s="17"/>
    </row>
    <row r="161" spans="1:83">
      <c r="A161" s="16" t="s">
        <v>43</v>
      </c>
      <c r="B161" s="140">
        <f>IF(B159&lt;0,0,$B$5+$B$6*((1-EXP(-B160/$B$9))/(B160/$B$9))+$B$7*((1-EXP(-B160/$B$9))/(B160/$B$9)-EXP(-B160/$B$9))+$B$8*((1-EXP(-B160/$B$10))/(B160/$B$10)-EXP(-B160/$B$10)))</f>
        <v>-6.5774490026232991E-3</v>
      </c>
      <c r="C161" s="140">
        <f t="shared" ref="C161:BN161" si="241">IF(C159&lt;0,0,$B$5+$B$6*((1-EXP(-C160/$B$9))/(C160/$B$9))+$B$7*((1-EXP(-C160/$B$9))/(C160/$B$9)-EXP(-C160/$B$9))+$B$8*((1-EXP(-C160/$B$10))/(C160/$B$10)-EXP(-C160/$B$10)))</f>
        <v>-7.3954488329264021E-3</v>
      </c>
      <c r="D161" s="140">
        <f t="shared" si="241"/>
        <v>-7.7033640807160891E-3</v>
      </c>
      <c r="E161" s="140">
        <f t="shared" si="241"/>
        <v>-7.6408215875494578E-3</v>
      </c>
      <c r="F161" s="140">
        <f t="shared" si="241"/>
        <v>-7.3177844003055065E-3</v>
      </c>
      <c r="G161" s="140">
        <f t="shared" si="241"/>
        <v>-6.8199260664347306E-3</v>
      </c>
      <c r="H161" s="140">
        <f t="shared" si="241"/>
        <v>-6.2081355392984523E-3</v>
      </c>
      <c r="I161" s="140">
        <f t="shared" si="241"/>
        <v>-5.5315007428046598E-3</v>
      </c>
      <c r="J161" s="140">
        <f t="shared" si="241"/>
        <v>-4.825510183297077E-3</v>
      </c>
      <c r="K161" s="140">
        <f t="shared" si="241"/>
        <v>-4.1179591925444847E-3</v>
      </c>
      <c r="L161" s="140">
        <f t="shared" si="241"/>
        <v>-3.4232529758570756E-3</v>
      </c>
      <c r="M161" s="140">
        <f t="shared" si="241"/>
        <v>-2.7560359526812243E-3</v>
      </c>
      <c r="N161" s="140">
        <f t="shared" si="241"/>
        <v>-2.1246086634358601E-3</v>
      </c>
      <c r="O161" s="140">
        <f t="shared" si="241"/>
        <v>-1.535554352649772E-3</v>
      </c>
      <c r="P161" s="140">
        <f t="shared" si="241"/>
        <v>-9.881274868883249E-4</v>
      </c>
      <c r="Q161" s="140">
        <f t="shared" si="241"/>
        <v>-4.8475904026725955E-4</v>
      </c>
      <c r="R161" s="140">
        <f t="shared" si="241"/>
        <v>-2.4872480209849751E-5</v>
      </c>
      <c r="S161" s="140">
        <f t="shared" si="241"/>
        <v>3.919233950649588E-4</v>
      </c>
      <c r="T161" s="140">
        <f t="shared" si="241"/>
        <v>7.7006199524965596E-4</v>
      </c>
      <c r="U161" s="140">
        <f t="shared" si="241"/>
        <v>1.1108358998660091E-3</v>
      </c>
      <c r="V161" s="140">
        <f t="shared" si="241"/>
        <v>1.4169812808745887E-3</v>
      </c>
      <c r="W161" s="140">
        <f t="shared" si="241"/>
        <v>1.6906122832274981E-3</v>
      </c>
      <c r="X161" s="140">
        <f t="shared" si="241"/>
        <v>1.936087853394667E-3</v>
      </c>
      <c r="Y161" s="140">
        <f t="shared" si="241"/>
        <v>2.1553843656241661E-3</v>
      </c>
      <c r="Z161" s="140">
        <f t="shared" si="241"/>
        <v>2.3511776233622363E-3</v>
      </c>
      <c r="AA161" s="140">
        <f t="shared" si="241"/>
        <v>2.5255485265279765E-3</v>
      </c>
      <c r="AB161" s="140">
        <f t="shared" si="241"/>
        <v>2.6818481333934809E-3</v>
      </c>
      <c r="AC161" s="140">
        <f t="shared" si="241"/>
        <v>2.8217833253627658E-3</v>
      </c>
      <c r="AD161" s="140">
        <f t="shared" si="241"/>
        <v>2.947406327580792E-3</v>
      </c>
      <c r="AE161" s="140">
        <f t="shared" si="241"/>
        <v>3.0603033054452493E-3</v>
      </c>
      <c r="AF161" s="140">
        <f t="shared" si="241"/>
        <v>3.1628216982801417E-3</v>
      </c>
      <c r="AG161" s="140">
        <f t="shared" si="241"/>
        <v>3.2561972393675004E-3</v>
      </c>
      <c r="AH161" s="140">
        <f t="shared" si="241"/>
        <v>3.3418487044401812E-3</v>
      </c>
      <c r="AI161" s="140">
        <f t="shared" si="241"/>
        <v>3.4208438845446179E-3</v>
      </c>
      <c r="AJ161" s="140">
        <f t="shared" si="241"/>
        <v>3.494771035707351E-3</v>
      </c>
      <c r="AK161" s="140">
        <f t="shared" si="241"/>
        <v>3.5644329789530499E-3</v>
      </c>
      <c r="AL161" s="140">
        <f t="shared" si="241"/>
        <v>3.6307506586661063E-3</v>
      </c>
      <c r="AM161" s="140">
        <f t="shared" si="241"/>
        <v>3.6943694517232138E-3</v>
      </c>
      <c r="AN161" s="140">
        <f t="shared" si="241"/>
        <v>3.756369548058202E-3</v>
      </c>
      <c r="AO161" s="140">
        <f t="shared" si="241"/>
        <v>3.8172139362833112E-3</v>
      </c>
      <c r="AP161" s="140">
        <f t="shared" si="241"/>
        <v>3.8774694615006829E-3</v>
      </c>
      <c r="AQ161" s="140">
        <f t="shared" si="241"/>
        <v>3.9374662328327988E-3</v>
      </c>
      <c r="AR161" s="140">
        <f t="shared" si="241"/>
        <v>3.9979724048582084E-3</v>
      </c>
      <c r="AS161" s="140">
        <f t="shared" si="241"/>
        <v>4.0591993581906433E-3</v>
      </c>
      <c r="AT161" s="140">
        <f t="shared" si="241"/>
        <v>4.1214745308898355E-3</v>
      </c>
      <c r="AU161" s="140">
        <f t="shared" si="241"/>
        <v>4.1849007581102639E-3</v>
      </c>
      <c r="AV161" s="140">
        <f t="shared" si="241"/>
        <v>4.2500712983362283E-3</v>
      </c>
      <c r="AW161" s="140">
        <f t="shared" si="241"/>
        <v>4.3170150289044314E-3</v>
      </c>
      <c r="AX161" s="140">
        <f t="shared" si="241"/>
        <v>4.3859024603081498E-3</v>
      </c>
      <c r="AY161" s="140">
        <f t="shared" si="241"/>
        <v>4.45667438372465E-3</v>
      </c>
      <c r="AZ161" s="140">
        <f t="shared" si="241"/>
        <v>4.5298393650929046E-3</v>
      </c>
      <c r="BA161" s="140">
        <f t="shared" si="241"/>
        <v>4.6052942605109108E-3</v>
      </c>
      <c r="BB161" s="140">
        <f t="shared" si="241"/>
        <v>4.6831091381101149E-3</v>
      </c>
      <c r="BC161" s="140">
        <f t="shared" si="241"/>
        <v>4.7631092012850977E-3</v>
      </c>
      <c r="BD161" s="140">
        <f t="shared" si="241"/>
        <v>4.8457749668268379E-3</v>
      </c>
      <c r="BE161" s="140">
        <f t="shared" si="241"/>
        <v>4.9309072517467502E-3</v>
      </c>
      <c r="BF161" s="140">
        <f t="shared" si="241"/>
        <v>5.0185134036216869E-3</v>
      </c>
      <c r="BG161" s="140">
        <f t="shared" si="241"/>
        <v>5.1085893626466351E-3</v>
      </c>
      <c r="BH161" s="140">
        <f t="shared" si="241"/>
        <v>5.2011210417875174E-3</v>
      </c>
      <c r="BI161" s="140">
        <f t="shared" si="241"/>
        <v>5.296085567490498E-3</v>
      </c>
      <c r="BJ161" s="140">
        <f t="shared" si="241"/>
        <v>5.393452394548616E-3</v>
      </c>
      <c r="BK161" s="140">
        <f t="shared" si="241"/>
        <v>5.4929040370675745E-3</v>
      </c>
      <c r="BL161" s="140">
        <f t="shared" si="241"/>
        <v>5.5949516630475517E-3</v>
      </c>
      <c r="BM161" s="140">
        <f t="shared" si="241"/>
        <v>5.6992735761412262E-3</v>
      </c>
      <c r="BN161" s="140">
        <f t="shared" si="241"/>
        <v>5.8058175949408965E-3</v>
      </c>
      <c r="BO161" s="140">
        <f t="shared" ref="BO161:CB161" si="242">IF(BO159&lt;0,0,$B$5+$B$6*((1-EXP(-BO160/$B$9))/(BO160/$B$9))+$B$7*((1-EXP(-BO160/$B$9))/(BO160/$B$9)-EXP(-BO160/$B$9))+$B$8*((1-EXP(-BO160/$B$10))/(BO160/$B$10)-EXP(-BO160/$B$10)))</f>
        <v>5.9142230240622207E-3</v>
      </c>
      <c r="BP161" s="140">
        <f t="shared" si="242"/>
        <v>6.0250351452310544E-3</v>
      </c>
      <c r="BQ161" s="140">
        <f t="shared" si="242"/>
        <v>6.1378937021573758E-3</v>
      </c>
      <c r="BR161" s="140">
        <f t="shared" si="242"/>
        <v>6.2527353936371252E-3</v>
      </c>
      <c r="BS161" s="140">
        <f t="shared" si="242"/>
        <v>6.3691683782728138E-3</v>
      </c>
      <c r="BT161" s="140">
        <f t="shared" si="242"/>
        <v>6.4877753108422177E-3</v>
      </c>
      <c r="BU161" s="140">
        <f t="shared" si="242"/>
        <v>6.6081674429123438E-3</v>
      </c>
      <c r="BV161" s="140">
        <f t="shared" si="242"/>
        <v>6.7302771055282144E-3</v>
      </c>
      <c r="BW161" s="140">
        <f t="shared" si="242"/>
        <v>6.8536902832278639E-3</v>
      </c>
      <c r="BX161" s="140">
        <f t="shared" si="242"/>
        <v>6.9790265385662811E-3</v>
      </c>
      <c r="BY161" s="140">
        <f t="shared" si="242"/>
        <v>7.1058763195734863E-3</v>
      </c>
      <c r="BZ161" s="140">
        <f t="shared" si="242"/>
        <v>7.2341718587119845E-3</v>
      </c>
      <c r="CA161" s="140">
        <f t="shared" si="242"/>
        <v>7.3634837722045161E-3</v>
      </c>
      <c r="CB161" s="140">
        <f t="shared" si="242"/>
        <v>7.4944658625211089E-3</v>
      </c>
      <c r="CC161" s="17"/>
      <c r="CD161" s="17"/>
      <c r="CE161" s="17"/>
    </row>
    <row r="162" spans="1:83">
      <c r="A162" s="16" t="s">
        <v>44</v>
      </c>
      <c r="B162" s="140">
        <f>EXP(-B161*B160)</f>
        <v>1.000785948437718</v>
      </c>
      <c r="C162" s="140">
        <f t="shared" ref="C162:AR162" si="243">EXP(-C161*C160)</f>
        <v>1.0082924446143142</v>
      </c>
      <c r="D162" s="140">
        <f t="shared" si="243"/>
        <v>1.0164391133562571</v>
      </c>
      <c r="E162" s="140">
        <f t="shared" si="243"/>
        <v>1.0240997090006003</v>
      </c>
      <c r="F162" s="140">
        <f t="shared" si="243"/>
        <v>1.0305832242385404</v>
      </c>
      <c r="G162" s="140">
        <f t="shared" si="243"/>
        <v>1.0354916562652625</v>
      </c>
      <c r="H162" s="140">
        <f t="shared" si="243"/>
        <v>1.0386853748359448</v>
      </c>
      <c r="I162" s="140">
        <f t="shared" si="243"/>
        <v>1.0401349680177414</v>
      </c>
      <c r="J162" s="140">
        <f t="shared" si="243"/>
        <v>1.0399302602568299</v>
      </c>
      <c r="K162" s="140">
        <f t="shared" si="243"/>
        <v>1.0382319140767231</v>
      </c>
      <c r="L162" s="140">
        <f t="shared" si="243"/>
        <v>1.0352188888827019</v>
      </c>
      <c r="M162" s="140">
        <f t="shared" si="243"/>
        <v>1.0310963170768856</v>
      </c>
      <c r="N162" s="140">
        <f t="shared" si="243"/>
        <v>1.026065281164543</v>
      </c>
      <c r="O162" s="140">
        <f t="shared" si="243"/>
        <v>1.0203325038137088</v>
      </c>
      <c r="P162" s="140">
        <f t="shared" si="243"/>
        <v>1.0140384584962432</v>
      </c>
      <c r="Q162" s="140">
        <f t="shared" si="243"/>
        <v>1.0073507865260141</v>
      </c>
      <c r="R162" s="140">
        <f t="shared" si="243"/>
        <v>1.0004007344746619</v>
      </c>
      <c r="S162" s="140">
        <f t="shared" si="243"/>
        <v>0.99331835471763785</v>
      </c>
      <c r="T162" s="140">
        <f t="shared" si="243"/>
        <v>0.9861543448843163</v>
      </c>
      <c r="U162" s="140">
        <f t="shared" si="243"/>
        <v>0.97900048896522696</v>
      </c>
      <c r="V162" s="140">
        <f t="shared" si="243"/>
        <v>0.97191279476761439</v>
      </c>
      <c r="W162" s="140">
        <f t="shared" si="243"/>
        <v>0.96495229381980718</v>
      </c>
      <c r="X162" s="140">
        <f t="shared" si="243"/>
        <v>0.95810977529838814</v>
      </c>
      <c r="Y162" s="140">
        <f t="shared" si="243"/>
        <v>0.95142409827701591</v>
      </c>
      <c r="Z162" s="140">
        <f t="shared" si="243"/>
        <v>0.94490592021539077</v>
      </c>
      <c r="AA162" s="140">
        <f t="shared" si="243"/>
        <v>0.93857616700155089</v>
      </c>
      <c r="AB162" s="140">
        <f t="shared" si="243"/>
        <v>0.93239732918035634</v>
      </c>
      <c r="AC162" s="140">
        <f t="shared" si="243"/>
        <v>0.92638040133159916</v>
      </c>
      <c r="AD162" s="140">
        <f t="shared" si="243"/>
        <v>0.92051487586411795</v>
      </c>
      <c r="AE162" s="140">
        <f t="shared" si="243"/>
        <v>0.91480319401840438</v>
      </c>
      <c r="AF162" s="140">
        <f t="shared" si="243"/>
        <v>0.90919821751637031</v>
      </c>
      <c r="AG162" s="140">
        <f t="shared" si="243"/>
        <v>0.90369922545915049</v>
      </c>
      <c r="AH162" s="140">
        <f t="shared" si="243"/>
        <v>0.89828843917573464</v>
      </c>
      <c r="AI162" s="140">
        <f t="shared" si="243"/>
        <v>0.8929622895986612</v>
      </c>
      <c r="AJ162" s="140">
        <f t="shared" si="243"/>
        <v>0.88767261841469147</v>
      </c>
      <c r="AK162" s="140">
        <f t="shared" si="243"/>
        <v>0.88241589736191817</v>
      </c>
      <c r="AL162" s="140">
        <f t="shared" si="243"/>
        <v>0.8771739778072335</v>
      </c>
      <c r="AM162" s="140">
        <f t="shared" si="243"/>
        <v>0.87194378818042628</v>
      </c>
      <c r="AN162" s="140">
        <f t="shared" si="243"/>
        <v>0.86667920477135374</v>
      </c>
      <c r="AO162" s="140">
        <f t="shared" si="243"/>
        <v>0.86137850969011642</v>
      </c>
      <c r="AP162" s="140">
        <f t="shared" si="243"/>
        <v>0.85602627076896765</v>
      </c>
      <c r="AQ162" s="140">
        <f t="shared" si="243"/>
        <v>0.85062312269973606</v>
      </c>
      <c r="AR162" s="140">
        <f t="shared" si="243"/>
        <v>0.84512543713457444</v>
      </c>
      <c r="AS162" s="140">
        <f>EXP(-AS161*AS160)</f>
        <v>0.83953560591584631</v>
      </c>
      <c r="AT162" s="140">
        <f t="shared" ref="AT162:CA162" si="244">EXP(-AT161*AT160)</f>
        <v>0.83384209202403614</v>
      </c>
      <c r="AU162" s="140">
        <f t="shared" si="244"/>
        <v>0.82805069504683437</v>
      </c>
      <c r="AV162" s="140">
        <f t="shared" si="244"/>
        <v>0.82211971315749977</v>
      </c>
      <c r="AW162" s="140">
        <f t="shared" si="244"/>
        <v>0.81605669332349173</v>
      </c>
      <c r="AX162" s="140">
        <f t="shared" si="244"/>
        <v>0.80985424412792284</v>
      </c>
      <c r="AY162" s="140">
        <f t="shared" si="244"/>
        <v>0.80352383173762976</v>
      </c>
      <c r="AZ162" s="140">
        <f t="shared" si="244"/>
        <v>0.79702482320940615</v>
      </c>
      <c r="BA162" s="140">
        <f t="shared" si="244"/>
        <v>0.7903702425856356</v>
      </c>
      <c r="BB162" s="140">
        <f t="shared" si="244"/>
        <v>0.78355663570645995</v>
      </c>
      <c r="BC162" s="140">
        <f t="shared" si="244"/>
        <v>0.7766010710164607</v>
      </c>
      <c r="BD162" s="140">
        <f t="shared" si="244"/>
        <v>0.76946315983820091</v>
      </c>
      <c r="BE162" s="140">
        <f t="shared" si="244"/>
        <v>0.76216126576931054</v>
      </c>
      <c r="BF162" s="140">
        <f t="shared" si="244"/>
        <v>0.75469542649654398</v>
      </c>
      <c r="BG162" s="140">
        <f t="shared" si="244"/>
        <v>0.74706646722532788</v>
      </c>
      <c r="BH162" s="140">
        <f t="shared" si="244"/>
        <v>0.73927596338227208</v>
      </c>
      <c r="BI162" s="140">
        <f t="shared" si="244"/>
        <v>0.7313262022961774</v>
      </c>
      <c r="BJ162" s="140">
        <f t="shared" si="244"/>
        <v>0.72322014405992752</v>
      </c>
      <c r="BK162" s="140">
        <f t="shared" si="244"/>
        <v>0.71498453053993027</v>
      </c>
      <c r="BL162" s="140">
        <f t="shared" si="244"/>
        <v>0.70657765627706137</v>
      </c>
      <c r="BM162" s="140">
        <f t="shared" si="244"/>
        <v>0.69802698805596985</v>
      </c>
      <c r="BN162" s="140">
        <f t="shared" si="244"/>
        <v>0.6893377742776795</v>
      </c>
      <c r="BO162" s="140">
        <f t="shared" si="244"/>
        <v>0.68054041854493119</v>
      </c>
      <c r="BP162" s="140">
        <f t="shared" si="244"/>
        <v>0.67159204599119193</v>
      </c>
      <c r="BQ162" s="140">
        <f t="shared" si="244"/>
        <v>0.66252351986281677</v>
      </c>
      <c r="BR162" s="140">
        <f t="shared" si="244"/>
        <v>0.65334173100980952</v>
      </c>
      <c r="BS162" s="140">
        <f t="shared" si="244"/>
        <v>0.6440798218446635</v>
      </c>
      <c r="BT162" s="140">
        <f t="shared" si="244"/>
        <v>0.6346936526258673</v>
      </c>
      <c r="BU162" s="140">
        <f t="shared" si="244"/>
        <v>0.62521659018376274</v>
      </c>
      <c r="BV162" s="140">
        <f t="shared" si="244"/>
        <v>0.61565654536486136</v>
      </c>
      <c r="BW162" s="140">
        <f t="shared" si="244"/>
        <v>0.60604845255988593</v>
      </c>
      <c r="BX162" s="140">
        <f t="shared" si="244"/>
        <v>0.59634696904858242</v>
      </c>
      <c r="BY162" s="140">
        <f t="shared" si="244"/>
        <v>0.5865870567184589</v>
      </c>
      <c r="BZ162" s="140">
        <f t="shared" si="244"/>
        <v>0.57677707767568809</v>
      </c>
      <c r="CA162" s="140">
        <f t="shared" si="244"/>
        <v>0.56695284223315012</v>
      </c>
      <c r="CB162" s="140">
        <f>EXP(-CB161*CB160)</f>
        <v>0.55706799754160274</v>
      </c>
      <c r="CC162" s="17"/>
      <c r="CD162" s="17"/>
      <c r="CE162" s="17"/>
    </row>
    <row r="163" spans="1:83">
      <c r="A163" s="17"/>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17"/>
      <c r="CD163" s="17"/>
      <c r="CE163" s="17"/>
    </row>
    <row r="164" spans="1:83">
      <c r="A164" s="16" t="s">
        <v>40</v>
      </c>
      <c r="B164" s="140">
        <f t="shared" ref="B164:BM164" si="245">DAYS360($B$3,B62)</f>
        <v>-43022</v>
      </c>
      <c r="C164" s="140">
        <f t="shared" si="245"/>
        <v>-42842</v>
      </c>
      <c r="D164" s="140">
        <f t="shared" si="245"/>
        <v>-42662</v>
      </c>
      <c r="E164" s="140">
        <f t="shared" si="245"/>
        <v>-42482</v>
      </c>
      <c r="F164" s="140">
        <f t="shared" si="245"/>
        <v>-42302</v>
      </c>
      <c r="G164" s="140">
        <f t="shared" si="245"/>
        <v>-42122</v>
      </c>
      <c r="H164" s="140">
        <f t="shared" si="245"/>
        <v>-41942</v>
      </c>
      <c r="I164" s="140">
        <f t="shared" si="245"/>
        <v>-41762</v>
      </c>
      <c r="J164" s="140">
        <f t="shared" si="245"/>
        <v>-41582</v>
      </c>
      <c r="K164" s="140">
        <f t="shared" si="245"/>
        <v>-41403</v>
      </c>
      <c r="L164" s="140">
        <f t="shared" si="245"/>
        <v>-41223</v>
      </c>
      <c r="M164" s="140">
        <f t="shared" si="245"/>
        <v>-41043</v>
      </c>
      <c r="N164" s="140">
        <f t="shared" si="245"/>
        <v>-40863</v>
      </c>
      <c r="O164" s="140">
        <f t="shared" si="245"/>
        <v>-40683</v>
      </c>
      <c r="P164" s="140">
        <f t="shared" si="245"/>
        <v>-40503</v>
      </c>
      <c r="Q164" s="140">
        <f t="shared" si="245"/>
        <v>-40323</v>
      </c>
      <c r="R164" s="140">
        <f t="shared" si="245"/>
        <v>-40143</v>
      </c>
      <c r="S164" s="140">
        <f t="shared" si="245"/>
        <v>-39964</v>
      </c>
      <c r="T164" s="140">
        <f t="shared" si="245"/>
        <v>-39784</v>
      </c>
      <c r="U164" s="140">
        <f t="shared" si="245"/>
        <v>-39604</v>
      </c>
      <c r="V164" s="140">
        <f t="shared" si="245"/>
        <v>-39424</v>
      </c>
      <c r="W164" s="140">
        <f t="shared" si="245"/>
        <v>-39244</v>
      </c>
      <c r="X164" s="140">
        <f t="shared" si="245"/>
        <v>-39064</v>
      </c>
      <c r="Y164" s="140">
        <f t="shared" si="245"/>
        <v>-38884</v>
      </c>
      <c r="Z164" s="140">
        <f t="shared" si="245"/>
        <v>-38704</v>
      </c>
      <c r="AA164" s="140">
        <f t="shared" si="245"/>
        <v>-38525</v>
      </c>
      <c r="AB164" s="140">
        <f t="shared" si="245"/>
        <v>-38345</v>
      </c>
      <c r="AC164" s="140">
        <f t="shared" si="245"/>
        <v>-38165</v>
      </c>
      <c r="AD164" s="140">
        <f t="shared" si="245"/>
        <v>-37985</v>
      </c>
      <c r="AE164" s="140">
        <f t="shared" si="245"/>
        <v>-37805</v>
      </c>
      <c r="AF164" s="140">
        <f t="shared" si="245"/>
        <v>-37625</v>
      </c>
      <c r="AG164" s="140">
        <f t="shared" si="245"/>
        <v>-37445</v>
      </c>
      <c r="AH164" s="140">
        <f t="shared" si="245"/>
        <v>-37265</v>
      </c>
      <c r="AI164" s="140">
        <f t="shared" si="245"/>
        <v>-37086</v>
      </c>
      <c r="AJ164" s="140">
        <f t="shared" si="245"/>
        <v>-36906</v>
      </c>
      <c r="AK164" s="140">
        <f t="shared" si="245"/>
        <v>-36726</v>
      </c>
      <c r="AL164" s="140">
        <f t="shared" si="245"/>
        <v>-36546</v>
      </c>
      <c r="AM164" s="140">
        <f t="shared" si="245"/>
        <v>-36366</v>
      </c>
      <c r="AN164" s="140">
        <f t="shared" si="245"/>
        <v>-36186</v>
      </c>
      <c r="AO164" s="140">
        <f t="shared" si="245"/>
        <v>-36006</v>
      </c>
      <c r="AP164" s="140">
        <f t="shared" si="245"/>
        <v>-35826</v>
      </c>
      <c r="AQ164" s="140">
        <f t="shared" si="245"/>
        <v>-35647</v>
      </c>
      <c r="AR164" s="140">
        <f t="shared" si="245"/>
        <v>-35467</v>
      </c>
      <c r="AS164" s="140">
        <f t="shared" si="245"/>
        <v>-35287</v>
      </c>
      <c r="AT164" s="140">
        <f t="shared" si="245"/>
        <v>-35107</v>
      </c>
      <c r="AU164" s="140">
        <f t="shared" si="245"/>
        <v>-34927</v>
      </c>
      <c r="AV164" s="140">
        <f t="shared" si="245"/>
        <v>-34747</v>
      </c>
      <c r="AW164" s="140">
        <f t="shared" si="245"/>
        <v>-34567</v>
      </c>
      <c r="AX164" s="140">
        <f t="shared" si="245"/>
        <v>-34387</v>
      </c>
      <c r="AY164" s="140">
        <f t="shared" si="245"/>
        <v>-34208</v>
      </c>
      <c r="AZ164" s="140">
        <f t="shared" si="245"/>
        <v>-34028</v>
      </c>
      <c r="BA164" s="140">
        <f t="shared" si="245"/>
        <v>-33848</v>
      </c>
      <c r="BB164" s="140">
        <f t="shared" si="245"/>
        <v>-33668</v>
      </c>
      <c r="BC164" s="140">
        <f t="shared" si="245"/>
        <v>-33488</v>
      </c>
      <c r="BD164" s="140">
        <f t="shared" si="245"/>
        <v>-33308</v>
      </c>
      <c r="BE164" s="140">
        <f t="shared" si="245"/>
        <v>-33128</v>
      </c>
      <c r="BF164" s="140">
        <f t="shared" si="245"/>
        <v>-32948</v>
      </c>
      <c r="BG164" s="140">
        <f t="shared" si="245"/>
        <v>-32769</v>
      </c>
      <c r="BH164" s="140">
        <f t="shared" si="245"/>
        <v>-32589</v>
      </c>
      <c r="BI164" s="140">
        <f t="shared" si="245"/>
        <v>-32409</v>
      </c>
      <c r="BJ164" s="140">
        <f t="shared" si="245"/>
        <v>-32229</v>
      </c>
      <c r="BK164" s="140">
        <f t="shared" si="245"/>
        <v>-32049</v>
      </c>
      <c r="BL164" s="140">
        <f t="shared" si="245"/>
        <v>-31869</v>
      </c>
      <c r="BM164" s="140">
        <f t="shared" si="245"/>
        <v>-31689</v>
      </c>
      <c r="BN164" s="140">
        <f t="shared" ref="BN164:CB164" si="246">DAYS360($B$3,BN62)</f>
        <v>-31509</v>
      </c>
      <c r="BO164" s="140">
        <f t="shared" si="246"/>
        <v>-31330</v>
      </c>
      <c r="BP164" s="140">
        <f t="shared" si="246"/>
        <v>-31150</v>
      </c>
      <c r="BQ164" s="140">
        <f t="shared" si="246"/>
        <v>-30970</v>
      </c>
      <c r="BR164" s="140">
        <f t="shared" si="246"/>
        <v>-30790</v>
      </c>
      <c r="BS164" s="140">
        <f t="shared" si="246"/>
        <v>-30610</v>
      </c>
      <c r="BT164" s="140">
        <f t="shared" si="246"/>
        <v>-30430</v>
      </c>
      <c r="BU164" s="140">
        <f t="shared" si="246"/>
        <v>-30250</v>
      </c>
      <c r="BV164" s="140">
        <f t="shared" si="246"/>
        <v>-30070</v>
      </c>
      <c r="BW164" s="140">
        <f t="shared" si="246"/>
        <v>-29891</v>
      </c>
      <c r="BX164" s="140">
        <f t="shared" si="246"/>
        <v>-29711</v>
      </c>
      <c r="BY164" s="140">
        <f t="shared" si="246"/>
        <v>-29531</v>
      </c>
      <c r="BZ164" s="140">
        <f t="shared" si="246"/>
        <v>-29351</v>
      </c>
      <c r="CA164" s="140">
        <f t="shared" si="246"/>
        <v>-29171</v>
      </c>
      <c r="CB164" s="140">
        <f t="shared" si="246"/>
        <v>-28991</v>
      </c>
      <c r="CC164" s="17"/>
      <c r="CD164" s="17"/>
      <c r="CE164" s="17"/>
    </row>
    <row r="165" spans="1:83">
      <c r="A165" s="16" t="s">
        <v>41</v>
      </c>
      <c r="B165" s="140">
        <f>B164/360</f>
        <v>-119.50555555555556</v>
      </c>
      <c r="C165" s="140">
        <f t="shared" ref="C165:BN165" si="247">C164/360</f>
        <v>-119.00555555555556</v>
      </c>
      <c r="D165" s="140">
        <f t="shared" si="247"/>
        <v>-118.50555555555556</v>
      </c>
      <c r="E165" s="140">
        <f t="shared" si="247"/>
        <v>-118.00555555555556</v>
      </c>
      <c r="F165" s="140">
        <f t="shared" si="247"/>
        <v>-117.50555555555556</v>
      </c>
      <c r="G165" s="140">
        <f t="shared" si="247"/>
        <v>-117.00555555555556</v>
      </c>
      <c r="H165" s="140">
        <f t="shared" si="247"/>
        <v>-116.50555555555556</v>
      </c>
      <c r="I165" s="140">
        <f t="shared" si="247"/>
        <v>-116.00555555555556</v>
      </c>
      <c r="J165" s="140">
        <f t="shared" si="247"/>
        <v>-115.50555555555556</v>
      </c>
      <c r="K165" s="140">
        <f t="shared" si="247"/>
        <v>-115.00833333333334</v>
      </c>
      <c r="L165" s="140">
        <f t="shared" si="247"/>
        <v>-114.50833333333334</v>
      </c>
      <c r="M165" s="140">
        <f t="shared" si="247"/>
        <v>-114.00833333333334</v>
      </c>
      <c r="N165" s="140">
        <f t="shared" si="247"/>
        <v>-113.50833333333334</v>
      </c>
      <c r="O165" s="140">
        <f t="shared" si="247"/>
        <v>-113.00833333333334</v>
      </c>
      <c r="P165" s="140">
        <f t="shared" si="247"/>
        <v>-112.50833333333334</v>
      </c>
      <c r="Q165" s="140">
        <f t="shared" si="247"/>
        <v>-112.00833333333334</v>
      </c>
      <c r="R165" s="140">
        <f t="shared" si="247"/>
        <v>-111.50833333333334</v>
      </c>
      <c r="S165" s="140">
        <f t="shared" si="247"/>
        <v>-111.01111111111111</v>
      </c>
      <c r="T165" s="140">
        <f t="shared" si="247"/>
        <v>-110.51111111111111</v>
      </c>
      <c r="U165" s="140">
        <f t="shared" si="247"/>
        <v>-110.01111111111111</v>
      </c>
      <c r="V165" s="140">
        <f t="shared" si="247"/>
        <v>-109.51111111111111</v>
      </c>
      <c r="W165" s="140">
        <f t="shared" si="247"/>
        <v>-109.01111111111111</v>
      </c>
      <c r="X165" s="140">
        <f t="shared" si="247"/>
        <v>-108.51111111111111</v>
      </c>
      <c r="Y165" s="140">
        <f t="shared" si="247"/>
        <v>-108.01111111111111</v>
      </c>
      <c r="Z165" s="140">
        <f t="shared" si="247"/>
        <v>-107.51111111111111</v>
      </c>
      <c r="AA165" s="140">
        <f t="shared" si="247"/>
        <v>-107.01388888888889</v>
      </c>
      <c r="AB165" s="140">
        <f t="shared" si="247"/>
        <v>-106.51388888888889</v>
      </c>
      <c r="AC165" s="140">
        <f t="shared" si="247"/>
        <v>-106.01388888888889</v>
      </c>
      <c r="AD165" s="140">
        <f t="shared" si="247"/>
        <v>-105.51388888888889</v>
      </c>
      <c r="AE165" s="140">
        <f t="shared" si="247"/>
        <v>-105.01388888888889</v>
      </c>
      <c r="AF165" s="140">
        <f t="shared" si="247"/>
        <v>-104.51388888888889</v>
      </c>
      <c r="AG165" s="140">
        <f t="shared" si="247"/>
        <v>-104.01388888888889</v>
      </c>
      <c r="AH165" s="140">
        <f t="shared" si="247"/>
        <v>-103.51388888888889</v>
      </c>
      <c r="AI165" s="140">
        <f t="shared" si="247"/>
        <v>-103.01666666666667</v>
      </c>
      <c r="AJ165" s="140">
        <f t="shared" si="247"/>
        <v>-102.51666666666667</v>
      </c>
      <c r="AK165" s="140">
        <f t="shared" si="247"/>
        <v>-102.01666666666667</v>
      </c>
      <c r="AL165" s="140">
        <f t="shared" si="247"/>
        <v>-101.51666666666667</v>
      </c>
      <c r="AM165" s="140">
        <f t="shared" si="247"/>
        <v>-101.01666666666667</v>
      </c>
      <c r="AN165" s="140">
        <f t="shared" si="247"/>
        <v>-100.51666666666667</v>
      </c>
      <c r="AO165" s="140">
        <f t="shared" si="247"/>
        <v>-100.01666666666667</v>
      </c>
      <c r="AP165" s="140">
        <f t="shared" si="247"/>
        <v>-99.516666666666666</v>
      </c>
      <c r="AQ165" s="140">
        <f t="shared" si="247"/>
        <v>-99.019444444444446</v>
      </c>
      <c r="AR165" s="140">
        <f t="shared" si="247"/>
        <v>-98.519444444444446</v>
      </c>
      <c r="AS165" s="140">
        <f t="shared" si="247"/>
        <v>-98.019444444444446</v>
      </c>
      <c r="AT165" s="140">
        <f t="shared" si="247"/>
        <v>-97.519444444444446</v>
      </c>
      <c r="AU165" s="140">
        <f t="shared" si="247"/>
        <v>-97.019444444444446</v>
      </c>
      <c r="AV165" s="140">
        <f t="shared" si="247"/>
        <v>-96.519444444444446</v>
      </c>
      <c r="AW165" s="140">
        <f t="shared" si="247"/>
        <v>-96.019444444444446</v>
      </c>
      <c r="AX165" s="140">
        <f t="shared" si="247"/>
        <v>-95.519444444444446</v>
      </c>
      <c r="AY165" s="140">
        <f t="shared" si="247"/>
        <v>-95.022222222222226</v>
      </c>
      <c r="AZ165" s="140">
        <f t="shared" si="247"/>
        <v>-94.522222222222226</v>
      </c>
      <c r="BA165" s="140">
        <f t="shared" si="247"/>
        <v>-94.022222222222226</v>
      </c>
      <c r="BB165" s="140">
        <f t="shared" si="247"/>
        <v>-93.522222222222226</v>
      </c>
      <c r="BC165" s="140">
        <f t="shared" si="247"/>
        <v>-93.022222222222226</v>
      </c>
      <c r="BD165" s="140">
        <f t="shared" si="247"/>
        <v>-92.522222222222226</v>
      </c>
      <c r="BE165" s="140">
        <f t="shared" si="247"/>
        <v>-92.022222222222226</v>
      </c>
      <c r="BF165" s="140">
        <f t="shared" si="247"/>
        <v>-91.522222222222226</v>
      </c>
      <c r="BG165" s="140">
        <f t="shared" si="247"/>
        <v>-91.025000000000006</v>
      </c>
      <c r="BH165" s="140">
        <f t="shared" si="247"/>
        <v>-90.525000000000006</v>
      </c>
      <c r="BI165" s="140">
        <f t="shared" si="247"/>
        <v>-90.025000000000006</v>
      </c>
      <c r="BJ165" s="140">
        <f t="shared" si="247"/>
        <v>-89.525000000000006</v>
      </c>
      <c r="BK165" s="140">
        <f t="shared" si="247"/>
        <v>-89.025000000000006</v>
      </c>
      <c r="BL165" s="140">
        <f t="shared" si="247"/>
        <v>-88.525000000000006</v>
      </c>
      <c r="BM165" s="140">
        <f t="shared" si="247"/>
        <v>-88.025000000000006</v>
      </c>
      <c r="BN165" s="140">
        <f t="shared" si="247"/>
        <v>-87.525000000000006</v>
      </c>
      <c r="BO165" s="140">
        <f t="shared" ref="BO165:CB165" si="248">BO164/360</f>
        <v>-87.027777777777771</v>
      </c>
      <c r="BP165" s="140">
        <f t="shared" si="248"/>
        <v>-86.527777777777771</v>
      </c>
      <c r="BQ165" s="140">
        <f t="shared" si="248"/>
        <v>-86.027777777777771</v>
      </c>
      <c r="BR165" s="140">
        <f t="shared" si="248"/>
        <v>-85.527777777777771</v>
      </c>
      <c r="BS165" s="140">
        <f t="shared" si="248"/>
        <v>-85.027777777777771</v>
      </c>
      <c r="BT165" s="140">
        <f t="shared" si="248"/>
        <v>-84.527777777777771</v>
      </c>
      <c r="BU165" s="140">
        <f t="shared" si="248"/>
        <v>-84.027777777777771</v>
      </c>
      <c r="BV165" s="140">
        <f t="shared" si="248"/>
        <v>-83.527777777777771</v>
      </c>
      <c r="BW165" s="140">
        <f t="shared" si="248"/>
        <v>-83.030555555555551</v>
      </c>
      <c r="BX165" s="140">
        <f t="shared" si="248"/>
        <v>-82.530555555555551</v>
      </c>
      <c r="BY165" s="140">
        <f t="shared" si="248"/>
        <v>-82.030555555555551</v>
      </c>
      <c r="BZ165" s="140">
        <f t="shared" si="248"/>
        <v>-81.530555555555551</v>
      </c>
      <c r="CA165" s="140">
        <f t="shared" si="248"/>
        <v>-81.030555555555551</v>
      </c>
      <c r="CB165" s="140">
        <f t="shared" si="248"/>
        <v>-80.530555555555551</v>
      </c>
      <c r="CC165" s="17"/>
      <c r="CD165" s="17"/>
      <c r="CE165" s="17"/>
    </row>
    <row r="166" spans="1:83">
      <c r="A166" s="16" t="s">
        <v>43</v>
      </c>
      <c r="B166" s="140">
        <f>IF(B164&lt;0,0,$B$5+$B$6*((1-EXP(-B165/$B$9))/(B165/$B$9))+$B$7*((1-EXP(-B165/$B$9))/(B165/$B$9)-EXP(-B165/$B$9))+$B$8*((1-EXP(-B165/$B$10))/(B165/$B$10)-EXP(-B165/$B$10)))</f>
        <v>0</v>
      </c>
      <c r="C166" s="140">
        <f t="shared" ref="C166:BN166" si="249">IF(C164&lt;0,0,$B$5+$B$6*((1-EXP(-C165/$B$9))/(C165/$B$9))+$B$7*((1-EXP(-C165/$B$9))/(C165/$B$9)-EXP(-C165/$B$9))+$B$8*((1-EXP(-C165/$B$10))/(C165/$B$10)-EXP(-C165/$B$10)))</f>
        <v>0</v>
      </c>
      <c r="D166" s="140">
        <f t="shared" si="249"/>
        <v>0</v>
      </c>
      <c r="E166" s="140">
        <f t="shared" si="249"/>
        <v>0</v>
      </c>
      <c r="F166" s="140">
        <f t="shared" si="249"/>
        <v>0</v>
      </c>
      <c r="G166" s="140">
        <f t="shared" si="249"/>
        <v>0</v>
      </c>
      <c r="H166" s="140">
        <f t="shared" si="249"/>
        <v>0</v>
      </c>
      <c r="I166" s="140">
        <f t="shared" si="249"/>
        <v>0</v>
      </c>
      <c r="J166" s="140">
        <f t="shared" si="249"/>
        <v>0</v>
      </c>
      <c r="K166" s="140">
        <f t="shared" si="249"/>
        <v>0</v>
      </c>
      <c r="L166" s="140">
        <f t="shared" si="249"/>
        <v>0</v>
      </c>
      <c r="M166" s="140">
        <f t="shared" si="249"/>
        <v>0</v>
      </c>
      <c r="N166" s="140">
        <f t="shared" si="249"/>
        <v>0</v>
      </c>
      <c r="O166" s="140">
        <f t="shared" si="249"/>
        <v>0</v>
      </c>
      <c r="P166" s="140">
        <f t="shared" si="249"/>
        <v>0</v>
      </c>
      <c r="Q166" s="140">
        <f t="shared" si="249"/>
        <v>0</v>
      </c>
      <c r="R166" s="140">
        <f t="shared" si="249"/>
        <v>0</v>
      </c>
      <c r="S166" s="140">
        <f t="shared" si="249"/>
        <v>0</v>
      </c>
      <c r="T166" s="140">
        <f t="shared" si="249"/>
        <v>0</v>
      </c>
      <c r="U166" s="140">
        <f t="shared" si="249"/>
        <v>0</v>
      </c>
      <c r="V166" s="140">
        <f t="shared" si="249"/>
        <v>0</v>
      </c>
      <c r="W166" s="140">
        <f t="shared" si="249"/>
        <v>0</v>
      </c>
      <c r="X166" s="140">
        <f t="shared" si="249"/>
        <v>0</v>
      </c>
      <c r="Y166" s="140">
        <f t="shared" si="249"/>
        <v>0</v>
      </c>
      <c r="Z166" s="140">
        <f t="shared" si="249"/>
        <v>0</v>
      </c>
      <c r="AA166" s="140">
        <f t="shared" si="249"/>
        <v>0</v>
      </c>
      <c r="AB166" s="140">
        <f t="shared" si="249"/>
        <v>0</v>
      </c>
      <c r="AC166" s="140">
        <f t="shared" si="249"/>
        <v>0</v>
      </c>
      <c r="AD166" s="140">
        <f t="shared" si="249"/>
        <v>0</v>
      </c>
      <c r="AE166" s="140">
        <f t="shared" si="249"/>
        <v>0</v>
      </c>
      <c r="AF166" s="140">
        <f t="shared" si="249"/>
        <v>0</v>
      </c>
      <c r="AG166" s="140">
        <f t="shared" si="249"/>
        <v>0</v>
      </c>
      <c r="AH166" s="140">
        <f t="shared" si="249"/>
        <v>0</v>
      </c>
      <c r="AI166" s="140">
        <f t="shared" si="249"/>
        <v>0</v>
      </c>
      <c r="AJ166" s="140">
        <f t="shared" si="249"/>
        <v>0</v>
      </c>
      <c r="AK166" s="140">
        <f t="shared" si="249"/>
        <v>0</v>
      </c>
      <c r="AL166" s="140">
        <f t="shared" si="249"/>
        <v>0</v>
      </c>
      <c r="AM166" s="140">
        <f t="shared" si="249"/>
        <v>0</v>
      </c>
      <c r="AN166" s="140">
        <f t="shared" si="249"/>
        <v>0</v>
      </c>
      <c r="AO166" s="140">
        <f t="shared" si="249"/>
        <v>0</v>
      </c>
      <c r="AP166" s="140">
        <f t="shared" si="249"/>
        <v>0</v>
      </c>
      <c r="AQ166" s="140">
        <f t="shared" si="249"/>
        <v>0</v>
      </c>
      <c r="AR166" s="140">
        <f t="shared" si="249"/>
        <v>0</v>
      </c>
      <c r="AS166" s="140">
        <f t="shared" si="249"/>
        <v>0</v>
      </c>
      <c r="AT166" s="140">
        <f t="shared" si="249"/>
        <v>0</v>
      </c>
      <c r="AU166" s="140">
        <f t="shared" si="249"/>
        <v>0</v>
      </c>
      <c r="AV166" s="140">
        <f t="shared" si="249"/>
        <v>0</v>
      </c>
      <c r="AW166" s="140">
        <f t="shared" si="249"/>
        <v>0</v>
      </c>
      <c r="AX166" s="140">
        <f t="shared" si="249"/>
        <v>0</v>
      </c>
      <c r="AY166" s="140">
        <f t="shared" si="249"/>
        <v>0</v>
      </c>
      <c r="AZ166" s="140">
        <f t="shared" si="249"/>
        <v>0</v>
      </c>
      <c r="BA166" s="140">
        <f t="shared" si="249"/>
        <v>0</v>
      </c>
      <c r="BB166" s="140">
        <f t="shared" si="249"/>
        <v>0</v>
      </c>
      <c r="BC166" s="140">
        <f t="shared" si="249"/>
        <v>0</v>
      </c>
      <c r="BD166" s="140">
        <f t="shared" si="249"/>
        <v>0</v>
      </c>
      <c r="BE166" s="140">
        <f t="shared" si="249"/>
        <v>0</v>
      </c>
      <c r="BF166" s="140">
        <f t="shared" si="249"/>
        <v>0</v>
      </c>
      <c r="BG166" s="140">
        <f t="shared" si="249"/>
        <v>0</v>
      </c>
      <c r="BH166" s="140">
        <f t="shared" si="249"/>
        <v>0</v>
      </c>
      <c r="BI166" s="140">
        <f t="shared" si="249"/>
        <v>0</v>
      </c>
      <c r="BJ166" s="140">
        <f t="shared" si="249"/>
        <v>0</v>
      </c>
      <c r="BK166" s="140">
        <f t="shared" si="249"/>
        <v>0</v>
      </c>
      <c r="BL166" s="140">
        <f t="shared" si="249"/>
        <v>0</v>
      </c>
      <c r="BM166" s="140">
        <f t="shared" si="249"/>
        <v>0</v>
      </c>
      <c r="BN166" s="140">
        <f t="shared" si="249"/>
        <v>0</v>
      </c>
      <c r="BO166" s="140">
        <f t="shared" ref="BO166:CB166" si="250">IF(BO164&lt;0,0,$B$5+$B$6*((1-EXP(-BO165/$B$9))/(BO165/$B$9))+$B$7*((1-EXP(-BO165/$B$9))/(BO165/$B$9)-EXP(-BO165/$B$9))+$B$8*((1-EXP(-BO165/$B$10))/(BO165/$B$10)-EXP(-BO165/$B$10)))</f>
        <v>0</v>
      </c>
      <c r="BP166" s="140">
        <f t="shared" si="250"/>
        <v>0</v>
      </c>
      <c r="BQ166" s="140">
        <f t="shared" si="250"/>
        <v>0</v>
      </c>
      <c r="BR166" s="140">
        <f t="shared" si="250"/>
        <v>0</v>
      </c>
      <c r="BS166" s="140">
        <f t="shared" si="250"/>
        <v>0</v>
      </c>
      <c r="BT166" s="140">
        <f t="shared" si="250"/>
        <v>0</v>
      </c>
      <c r="BU166" s="140">
        <f t="shared" si="250"/>
        <v>0</v>
      </c>
      <c r="BV166" s="140">
        <f t="shared" si="250"/>
        <v>0</v>
      </c>
      <c r="BW166" s="140">
        <f t="shared" si="250"/>
        <v>0</v>
      </c>
      <c r="BX166" s="140">
        <f t="shared" si="250"/>
        <v>0</v>
      </c>
      <c r="BY166" s="140">
        <f t="shared" si="250"/>
        <v>0</v>
      </c>
      <c r="BZ166" s="140">
        <f t="shared" si="250"/>
        <v>0</v>
      </c>
      <c r="CA166" s="140">
        <f t="shared" si="250"/>
        <v>0</v>
      </c>
      <c r="CB166" s="140">
        <f t="shared" si="250"/>
        <v>0</v>
      </c>
      <c r="CC166" s="17"/>
      <c r="CD166" s="17"/>
      <c r="CE166" s="17"/>
    </row>
    <row r="167" spans="1:83">
      <c r="A167" s="16" t="s">
        <v>44</v>
      </c>
      <c r="B167" s="140">
        <f>EXP(-B166*B165)</f>
        <v>1</v>
      </c>
      <c r="C167" s="140">
        <f t="shared" ref="C167:AR167" si="251">EXP(-C166*C165)</f>
        <v>1</v>
      </c>
      <c r="D167" s="140">
        <f t="shared" si="251"/>
        <v>1</v>
      </c>
      <c r="E167" s="140">
        <f t="shared" si="251"/>
        <v>1</v>
      </c>
      <c r="F167" s="140">
        <f t="shared" si="251"/>
        <v>1</v>
      </c>
      <c r="G167" s="140">
        <f t="shared" si="251"/>
        <v>1</v>
      </c>
      <c r="H167" s="140">
        <f t="shared" si="251"/>
        <v>1</v>
      </c>
      <c r="I167" s="140">
        <f t="shared" si="251"/>
        <v>1</v>
      </c>
      <c r="J167" s="140">
        <f t="shared" si="251"/>
        <v>1</v>
      </c>
      <c r="K167" s="140">
        <f t="shared" si="251"/>
        <v>1</v>
      </c>
      <c r="L167" s="140">
        <f t="shared" si="251"/>
        <v>1</v>
      </c>
      <c r="M167" s="140">
        <f t="shared" si="251"/>
        <v>1</v>
      </c>
      <c r="N167" s="140">
        <f t="shared" si="251"/>
        <v>1</v>
      </c>
      <c r="O167" s="140">
        <f t="shared" si="251"/>
        <v>1</v>
      </c>
      <c r="P167" s="140">
        <f t="shared" si="251"/>
        <v>1</v>
      </c>
      <c r="Q167" s="140">
        <f t="shared" si="251"/>
        <v>1</v>
      </c>
      <c r="R167" s="140">
        <f t="shared" si="251"/>
        <v>1</v>
      </c>
      <c r="S167" s="140">
        <f t="shared" si="251"/>
        <v>1</v>
      </c>
      <c r="T167" s="140">
        <f t="shared" si="251"/>
        <v>1</v>
      </c>
      <c r="U167" s="140">
        <f t="shared" si="251"/>
        <v>1</v>
      </c>
      <c r="V167" s="140">
        <f t="shared" si="251"/>
        <v>1</v>
      </c>
      <c r="W167" s="140">
        <f t="shared" si="251"/>
        <v>1</v>
      </c>
      <c r="X167" s="140">
        <f t="shared" si="251"/>
        <v>1</v>
      </c>
      <c r="Y167" s="140">
        <f t="shared" si="251"/>
        <v>1</v>
      </c>
      <c r="Z167" s="140">
        <f t="shared" si="251"/>
        <v>1</v>
      </c>
      <c r="AA167" s="140">
        <f t="shared" si="251"/>
        <v>1</v>
      </c>
      <c r="AB167" s="140">
        <f t="shared" si="251"/>
        <v>1</v>
      </c>
      <c r="AC167" s="140">
        <f t="shared" si="251"/>
        <v>1</v>
      </c>
      <c r="AD167" s="140">
        <f t="shared" si="251"/>
        <v>1</v>
      </c>
      <c r="AE167" s="140">
        <f t="shared" si="251"/>
        <v>1</v>
      </c>
      <c r="AF167" s="140">
        <f t="shared" si="251"/>
        <v>1</v>
      </c>
      <c r="AG167" s="140">
        <f t="shared" si="251"/>
        <v>1</v>
      </c>
      <c r="AH167" s="140">
        <f t="shared" si="251"/>
        <v>1</v>
      </c>
      <c r="AI167" s="140">
        <f t="shared" si="251"/>
        <v>1</v>
      </c>
      <c r="AJ167" s="140">
        <f t="shared" si="251"/>
        <v>1</v>
      </c>
      <c r="AK167" s="140">
        <f t="shared" si="251"/>
        <v>1</v>
      </c>
      <c r="AL167" s="140">
        <f t="shared" si="251"/>
        <v>1</v>
      </c>
      <c r="AM167" s="140">
        <f t="shared" si="251"/>
        <v>1</v>
      </c>
      <c r="AN167" s="140">
        <f t="shared" si="251"/>
        <v>1</v>
      </c>
      <c r="AO167" s="140">
        <f t="shared" si="251"/>
        <v>1</v>
      </c>
      <c r="AP167" s="140">
        <f t="shared" si="251"/>
        <v>1</v>
      </c>
      <c r="AQ167" s="140">
        <f t="shared" si="251"/>
        <v>1</v>
      </c>
      <c r="AR167" s="140">
        <f t="shared" si="251"/>
        <v>1</v>
      </c>
      <c r="AS167" s="140">
        <f>EXP(-AS166*AS165)</f>
        <v>1</v>
      </c>
      <c r="AT167" s="140">
        <f t="shared" ref="AT167:CA167" si="252">EXP(-AT166*AT165)</f>
        <v>1</v>
      </c>
      <c r="AU167" s="140">
        <f t="shared" si="252"/>
        <v>1</v>
      </c>
      <c r="AV167" s="140">
        <f t="shared" si="252"/>
        <v>1</v>
      </c>
      <c r="AW167" s="140">
        <f t="shared" si="252"/>
        <v>1</v>
      </c>
      <c r="AX167" s="140">
        <f t="shared" si="252"/>
        <v>1</v>
      </c>
      <c r="AY167" s="140">
        <f t="shared" si="252"/>
        <v>1</v>
      </c>
      <c r="AZ167" s="140">
        <f t="shared" si="252"/>
        <v>1</v>
      </c>
      <c r="BA167" s="140">
        <f t="shared" si="252"/>
        <v>1</v>
      </c>
      <c r="BB167" s="140">
        <f t="shared" si="252"/>
        <v>1</v>
      </c>
      <c r="BC167" s="140">
        <f t="shared" si="252"/>
        <v>1</v>
      </c>
      <c r="BD167" s="140">
        <f t="shared" si="252"/>
        <v>1</v>
      </c>
      <c r="BE167" s="140">
        <f t="shared" si="252"/>
        <v>1</v>
      </c>
      <c r="BF167" s="140">
        <f t="shared" si="252"/>
        <v>1</v>
      </c>
      <c r="BG167" s="140">
        <f t="shared" si="252"/>
        <v>1</v>
      </c>
      <c r="BH167" s="140">
        <f t="shared" si="252"/>
        <v>1</v>
      </c>
      <c r="BI167" s="140">
        <f t="shared" si="252"/>
        <v>1</v>
      </c>
      <c r="BJ167" s="140">
        <f t="shared" si="252"/>
        <v>1</v>
      </c>
      <c r="BK167" s="140">
        <f t="shared" si="252"/>
        <v>1</v>
      </c>
      <c r="BL167" s="140">
        <f t="shared" si="252"/>
        <v>1</v>
      </c>
      <c r="BM167" s="140">
        <f t="shared" si="252"/>
        <v>1</v>
      </c>
      <c r="BN167" s="140">
        <f t="shared" si="252"/>
        <v>1</v>
      </c>
      <c r="BO167" s="140">
        <f t="shared" si="252"/>
        <v>1</v>
      </c>
      <c r="BP167" s="140">
        <f t="shared" si="252"/>
        <v>1</v>
      </c>
      <c r="BQ167" s="140">
        <f t="shared" si="252"/>
        <v>1</v>
      </c>
      <c r="BR167" s="140">
        <f t="shared" si="252"/>
        <v>1</v>
      </c>
      <c r="BS167" s="140">
        <f t="shared" si="252"/>
        <v>1</v>
      </c>
      <c r="BT167" s="140">
        <f t="shared" si="252"/>
        <v>1</v>
      </c>
      <c r="BU167" s="140">
        <f t="shared" si="252"/>
        <v>1</v>
      </c>
      <c r="BV167" s="140">
        <f t="shared" si="252"/>
        <v>1</v>
      </c>
      <c r="BW167" s="140">
        <f t="shared" si="252"/>
        <v>1</v>
      </c>
      <c r="BX167" s="140">
        <f t="shared" si="252"/>
        <v>1</v>
      </c>
      <c r="BY167" s="140">
        <f t="shared" si="252"/>
        <v>1</v>
      </c>
      <c r="BZ167" s="140">
        <f t="shared" si="252"/>
        <v>1</v>
      </c>
      <c r="CA167" s="140">
        <f t="shared" si="252"/>
        <v>1</v>
      </c>
      <c r="CB167" s="140">
        <f>EXP(-CB166*CB165)</f>
        <v>1</v>
      </c>
      <c r="CC167" s="17"/>
      <c r="CD167" s="17"/>
      <c r="CE167" s="17"/>
    </row>
    <row r="168" spans="1:83">
      <c r="A168" s="17"/>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17"/>
      <c r="CD168" s="17"/>
      <c r="CE168" s="17"/>
    </row>
    <row r="169" spans="1:83">
      <c r="A169" s="16" t="s">
        <v>40</v>
      </c>
      <c r="B169" s="140">
        <f t="shared" ref="B169:BM169" si="253">DAYS360($B$3,B64)</f>
        <v>-43022</v>
      </c>
      <c r="C169" s="140">
        <f t="shared" si="253"/>
        <v>-42842</v>
      </c>
      <c r="D169" s="140">
        <f t="shared" si="253"/>
        <v>-42662</v>
      </c>
      <c r="E169" s="140">
        <f t="shared" si="253"/>
        <v>-42482</v>
      </c>
      <c r="F169" s="140">
        <f t="shared" si="253"/>
        <v>-42302</v>
      </c>
      <c r="G169" s="140">
        <f t="shared" si="253"/>
        <v>-42122</v>
      </c>
      <c r="H169" s="140">
        <f t="shared" si="253"/>
        <v>-41942</v>
      </c>
      <c r="I169" s="140">
        <f t="shared" si="253"/>
        <v>-41762</v>
      </c>
      <c r="J169" s="140">
        <f t="shared" si="253"/>
        <v>-41582</v>
      </c>
      <c r="K169" s="140">
        <f t="shared" si="253"/>
        <v>-41403</v>
      </c>
      <c r="L169" s="140">
        <f t="shared" si="253"/>
        <v>-41223</v>
      </c>
      <c r="M169" s="140">
        <f t="shared" si="253"/>
        <v>-41043</v>
      </c>
      <c r="N169" s="140">
        <f t="shared" si="253"/>
        <v>-40863</v>
      </c>
      <c r="O169" s="140">
        <f t="shared" si="253"/>
        <v>-40683</v>
      </c>
      <c r="P169" s="140">
        <f t="shared" si="253"/>
        <v>-40503</v>
      </c>
      <c r="Q169" s="140">
        <f t="shared" si="253"/>
        <v>-40323</v>
      </c>
      <c r="R169" s="140">
        <f t="shared" si="253"/>
        <v>-40143</v>
      </c>
      <c r="S169" s="140">
        <f t="shared" si="253"/>
        <v>-39964</v>
      </c>
      <c r="T169" s="140">
        <f t="shared" si="253"/>
        <v>-39784</v>
      </c>
      <c r="U169" s="140">
        <f t="shared" si="253"/>
        <v>-39604</v>
      </c>
      <c r="V169" s="140">
        <f t="shared" si="253"/>
        <v>-39424</v>
      </c>
      <c r="W169" s="140">
        <f t="shared" si="253"/>
        <v>-39244</v>
      </c>
      <c r="X169" s="140">
        <f t="shared" si="253"/>
        <v>-39064</v>
      </c>
      <c r="Y169" s="140">
        <f t="shared" si="253"/>
        <v>-38884</v>
      </c>
      <c r="Z169" s="140">
        <f t="shared" si="253"/>
        <v>-38704</v>
      </c>
      <c r="AA169" s="140">
        <f t="shared" si="253"/>
        <v>-38525</v>
      </c>
      <c r="AB169" s="140">
        <f t="shared" si="253"/>
        <v>-38345</v>
      </c>
      <c r="AC169" s="140">
        <f t="shared" si="253"/>
        <v>-38165</v>
      </c>
      <c r="AD169" s="140">
        <f t="shared" si="253"/>
        <v>-37985</v>
      </c>
      <c r="AE169" s="140">
        <f t="shared" si="253"/>
        <v>-37805</v>
      </c>
      <c r="AF169" s="140">
        <f t="shared" si="253"/>
        <v>-37625</v>
      </c>
      <c r="AG169" s="140">
        <f t="shared" si="253"/>
        <v>-37445</v>
      </c>
      <c r="AH169" s="140">
        <f t="shared" si="253"/>
        <v>-37265</v>
      </c>
      <c r="AI169" s="140">
        <f t="shared" si="253"/>
        <v>-37086</v>
      </c>
      <c r="AJ169" s="140">
        <f t="shared" si="253"/>
        <v>-36906</v>
      </c>
      <c r="AK169" s="140">
        <f t="shared" si="253"/>
        <v>-36726</v>
      </c>
      <c r="AL169" s="140">
        <f t="shared" si="253"/>
        <v>-36546</v>
      </c>
      <c r="AM169" s="140">
        <f t="shared" si="253"/>
        <v>-36366</v>
      </c>
      <c r="AN169" s="140">
        <f t="shared" si="253"/>
        <v>-36186</v>
      </c>
      <c r="AO169" s="140">
        <f t="shared" si="253"/>
        <v>-36006</v>
      </c>
      <c r="AP169" s="140">
        <f t="shared" si="253"/>
        <v>-35826</v>
      </c>
      <c r="AQ169" s="140">
        <f t="shared" si="253"/>
        <v>-35647</v>
      </c>
      <c r="AR169" s="140">
        <f t="shared" si="253"/>
        <v>-35467</v>
      </c>
      <c r="AS169" s="140">
        <f t="shared" si="253"/>
        <v>-35287</v>
      </c>
      <c r="AT169" s="140">
        <f t="shared" si="253"/>
        <v>-35107</v>
      </c>
      <c r="AU169" s="140">
        <f t="shared" si="253"/>
        <v>-34927</v>
      </c>
      <c r="AV169" s="140">
        <f t="shared" si="253"/>
        <v>-34747</v>
      </c>
      <c r="AW169" s="140">
        <f t="shared" si="253"/>
        <v>-34567</v>
      </c>
      <c r="AX169" s="140">
        <f t="shared" si="253"/>
        <v>-34387</v>
      </c>
      <c r="AY169" s="140">
        <f t="shared" si="253"/>
        <v>-34208</v>
      </c>
      <c r="AZ169" s="140">
        <f t="shared" si="253"/>
        <v>-34028</v>
      </c>
      <c r="BA169" s="140">
        <f t="shared" si="253"/>
        <v>-33848</v>
      </c>
      <c r="BB169" s="140">
        <f t="shared" si="253"/>
        <v>-33668</v>
      </c>
      <c r="BC169" s="140">
        <f t="shared" si="253"/>
        <v>-33488</v>
      </c>
      <c r="BD169" s="140">
        <f t="shared" si="253"/>
        <v>-33308</v>
      </c>
      <c r="BE169" s="140">
        <f t="shared" si="253"/>
        <v>-33128</v>
      </c>
      <c r="BF169" s="140">
        <f t="shared" si="253"/>
        <v>-32948</v>
      </c>
      <c r="BG169" s="140">
        <f t="shared" si="253"/>
        <v>-32769</v>
      </c>
      <c r="BH169" s="140">
        <f t="shared" si="253"/>
        <v>-32589</v>
      </c>
      <c r="BI169" s="140">
        <f t="shared" si="253"/>
        <v>-32409</v>
      </c>
      <c r="BJ169" s="140">
        <f t="shared" si="253"/>
        <v>-32229</v>
      </c>
      <c r="BK169" s="140">
        <f t="shared" si="253"/>
        <v>-32049</v>
      </c>
      <c r="BL169" s="140">
        <f t="shared" si="253"/>
        <v>-31869</v>
      </c>
      <c r="BM169" s="140">
        <f t="shared" si="253"/>
        <v>-31689</v>
      </c>
      <c r="BN169" s="140">
        <f t="shared" ref="BN169:CB169" si="254">DAYS360($B$3,BN64)</f>
        <v>-31509</v>
      </c>
      <c r="BO169" s="140">
        <f t="shared" si="254"/>
        <v>-31330</v>
      </c>
      <c r="BP169" s="140">
        <f t="shared" si="254"/>
        <v>-31150</v>
      </c>
      <c r="BQ169" s="140">
        <f t="shared" si="254"/>
        <v>-30970</v>
      </c>
      <c r="BR169" s="140">
        <f t="shared" si="254"/>
        <v>-30790</v>
      </c>
      <c r="BS169" s="140">
        <f t="shared" si="254"/>
        <v>-30610</v>
      </c>
      <c r="BT169" s="140">
        <f t="shared" si="254"/>
        <v>-30430</v>
      </c>
      <c r="BU169" s="140">
        <f t="shared" si="254"/>
        <v>-30250</v>
      </c>
      <c r="BV169" s="140">
        <f t="shared" si="254"/>
        <v>-30070</v>
      </c>
      <c r="BW169" s="140">
        <f t="shared" si="254"/>
        <v>-29891</v>
      </c>
      <c r="BX169" s="140">
        <f t="shared" si="254"/>
        <v>-29711</v>
      </c>
      <c r="BY169" s="140">
        <f t="shared" si="254"/>
        <v>-29531</v>
      </c>
      <c r="BZ169" s="140">
        <f t="shared" si="254"/>
        <v>-29351</v>
      </c>
      <c r="CA169" s="140">
        <f t="shared" si="254"/>
        <v>-29171</v>
      </c>
      <c r="CB169" s="140">
        <f t="shared" si="254"/>
        <v>-28991</v>
      </c>
      <c r="CC169" s="17"/>
      <c r="CD169" s="17"/>
      <c r="CE169" s="17"/>
    </row>
    <row r="170" spans="1:83">
      <c r="A170" s="16" t="s">
        <v>41</v>
      </c>
      <c r="B170" s="140">
        <f>B169/360</f>
        <v>-119.50555555555556</v>
      </c>
      <c r="C170" s="140">
        <f t="shared" ref="C170:BN170" si="255">C169/360</f>
        <v>-119.00555555555556</v>
      </c>
      <c r="D170" s="140">
        <f t="shared" si="255"/>
        <v>-118.50555555555556</v>
      </c>
      <c r="E170" s="140">
        <f t="shared" si="255"/>
        <v>-118.00555555555556</v>
      </c>
      <c r="F170" s="140">
        <f t="shared" si="255"/>
        <v>-117.50555555555556</v>
      </c>
      <c r="G170" s="140">
        <f t="shared" si="255"/>
        <v>-117.00555555555556</v>
      </c>
      <c r="H170" s="140">
        <f t="shared" si="255"/>
        <v>-116.50555555555556</v>
      </c>
      <c r="I170" s="140">
        <f t="shared" si="255"/>
        <v>-116.00555555555556</v>
      </c>
      <c r="J170" s="140">
        <f t="shared" si="255"/>
        <v>-115.50555555555556</v>
      </c>
      <c r="K170" s="140">
        <f t="shared" si="255"/>
        <v>-115.00833333333334</v>
      </c>
      <c r="L170" s="140">
        <f t="shared" si="255"/>
        <v>-114.50833333333334</v>
      </c>
      <c r="M170" s="140">
        <f t="shared" si="255"/>
        <v>-114.00833333333334</v>
      </c>
      <c r="N170" s="140">
        <f t="shared" si="255"/>
        <v>-113.50833333333334</v>
      </c>
      <c r="O170" s="140">
        <f t="shared" si="255"/>
        <v>-113.00833333333334</v>
      </c>
      <c r="P170" s="140">
        <f t="shared" si="255"/>
        <v>-112.50833333333334</v>
      </c>
      <c r="Q170" s="140">
        <f t="shared" si="255"/>
        <v>-112.00833333333334</v>
      </c>
      <c r="R170" s="140">
        <f t="shared" si="255"/>
        <v>-111.50833333333334</v>
      </c>
      <c r="S170" s="140">
        <f t="shared" si="255"/>
        <v>-111.01111111111111</v>
      </c>
      <c r="T170" s="140">
        <f t="shared" si="255"/>
        <v>-110.51111111111111</v>
      </c>
      <c r="U170" s="140">
        <f t="shared" si="255"/>
        <v>-110.01111111111111</v>
      </c>
      <c r="V170" s="140">
        <f t="shared" si="255"/>
        <v>-109.51111111111111</v>
      </c>
      <c r="W170" s="140">
        <f t="shared" si="255"/>
        <v>-109.01111111111111</v>
      </c>
      <c r="X170" s="140">
        <f t="shared" si="255"/>
        <v>-108.51111111111111</v>
      </c>
      <c r="Y170" s="140">
        <f t="shared" si="255"/>
        <v>-108.01111111111111</v>
      </c>
      <c r="Z170" s="140">
        <f t="shared" si="255"/>
        <v>-107.51111111111111</v>
      </c>
      <c r="AA170" s="140">
        <f t="shared" si="255"/>
        <v>-107.01388888888889</v>
      </c>
      <c r="AB170" s="140">
        <f t="shared" si="255"/>
        <v>-106.51388888888889</v>
      </c>
      <c r="AC170" s="140">
        <f t="shared" si="255"/>
        <v>-106.01388888888889</v>
      </c>
      <c r="AD170" s="140">
        <f t="shared" si="255"/>
        <v>-105.51388888888889</v>
      </c>
      <c r="AE170" s="140">
        <f t="shared" si="255"/>
        <v>-105.01388888888889</v>
      </c>
      <c r="AF170" s="140">
        <f t="shared" si="255"/>
        <v>-104.51388888888889</v>
      </c>
      <c r="AG170" s="140">
        <f t="shared" si="255"/>
        <v>-104.01388888888889</v>
      </c>
      <c r="AH170" s="140">
        <f t="shared" si="255"/>
        <v>-103.51388888888889</v>
      </c>
      <c r="AI170" s="140">
        <f t="shared" si="255"/>
        <v>-103.01666666666667</v>
      </c>
      <c r="AJ170" s="140">
        <f t="shared" si="255"/>
        <v>-102.51666666666667</v>
      </c>
      <c r="AK170" s="140">
        <f t="shared" si="255"/>
        <v>-102.01666666666667</v>
      </c>
      <c r="AL170" s="140">
        <f t="shared" si="255"/>
        <v>-101.51666666666667</v>
      </c>
      <c r="AM170" s="140">
        <f t="shared" si="255"/>
        <v>-101.01666666666667</v>
      </c>
      <c r="AN170" s="140">
        <f t="shared" si="255"/>
        <v>-100.51666666666667</v>
      </c>
      <c r="AO170" s="140">
        <f t="shared" si="255"/>
        <v>-100.01666666666667</v>
      </c>
      <c r="AP170" s="140">
        <f t="shared" si="255"/>
        <v>-99.516666666666666</v>
      </c>
      <c r="AQ170" s="140">
        <f t="shared" si="255"/>
        <v>-99.019444444444446</v>
      </c>
      <c r="AR170" s="140">
        <f t="shared" si="255"/>
        <v>-98.519444444444446</v>
      </c>
      <c r="AS170" s="140">
        <f t="shared" si="255"/>
        <v>-98.019444444444446</v>
      </c>
      <c r="AT170" s="140">
        <f t="shared" si="255"/>
        <v>-97.519444444444446</v>
      </c>
      <c r="AU170" s="140">
        <f t="shared" si="255"/>
        <v>-97.019444444444446</v>
      </c>
      <c r="AV170" s="140">
        <f t="shared" si="255"/>
        <v>-96.519444444444446</v>
      </c>
      <c r="AW170" s="140">
        <f t="shared" si="255"/>
        <v>-96.019444444444446</v>
      </c>
      <c r="AX170" s="140">
        <f t="shared" si="255"/>
        <v>-95.519444444444446</v>
      </c>
      <c r="AY170" s="140">
        <f t="shared" si="255"/>
        <v>-95.022222222222226</v>
      </c>
      <c r="AZ170" s="140">
        <f t="shared" si="255"/>
        <v>-94.522222222222226</v>
      </c>
      <c r="BA170" s="140">
        <f t="shared" si="255"/>
        <v>-94.022222222222226</v>
      </c>
      <c r="BB170" s="140">
        <f t="shared" si="255"/>
        <v>-93.522222222222226</v>
      </c>
      <c r="BC170" s="140">
        <f t="shared" si="255"/>
        <v>-93.022222222222226</v>
      </c>
      <c r="BD170" s="140">
        <f t="shared" si="255"/>
        <v>-92.522222222222226</v>
      </c>
      <c r="BE170" s="140">
        <f t="shared" si="255"/>
        <v>-92.022222222222226</v>
      </c>
      <c r="BF170" s="140">
        <f t="shared" si="255"/>
        <v>-91.522222222222226</v>
      </c>
      <c r="BG170" s="140">
        <f t="shared" si="255"/>
        <v>-91.025000000000006</v>
      </c>
      <c r="BH170" s="140">
        <f t="shared" si="255"/>
        <v>-90.525000000000006</v>
      </c>
      <c r="BI170" s="140">
        <f t="shared" si="255"/>
        <v>-90.025000000000006</v>
      </c>
      <c r="BJ170" s="140">
        <f t="shared" si="255"/>
        <v>-89.525000000000006</v>
      </c>
      <c r="BK170" s="140">
        <f t="shared" si="255"/>
        <v>-89.025000000000006</v>
      </c>
      <c r="BL170" s="140">
        <f t="shared" si="255"/>
        <v>-88.525000000000006</v>
      </c>
      <c r="BM170" s="140">
        <f t="shared" si="255"/>
        <v>-88.025000000000006</v>
      </c>
      <c r="BN170" s="140">
        <f t="shared" si="255"/>
        <v>-87.525000000000006</v>
      </c>
      <c r="BO170" s="140">
        <f t="shared" ref="BO170:CB170" si="256">BO169/360</f>
        <v>-87.027777777777771</v>
      </c>
      <c r="BP170" s="140">
        <f t="shared" si="256"/>
        <v>-86.527777777777771</v>
      </c>
      <c r="BQ170" s="140">
        <f t="shared" si="256"/>
        <v>-86.027777777777771</v>
      </c>
      <c r="BR170" s="140">
        <f t="shared" si="256"/>
        <v>-85.527777777777771</v>
      </c>
      <c r="BS170" s="140">
        <f t="shared" si="256"/>
        <v>-85.027777777777771</v>
      </c>
      <c r="BT170" s="140">
        <f t="shared" si="256"/>
        <v>-84.527777777777771</v>
      </c>
      <c r="BU170" s="140">
        <f t="shared" si="256"/>
        <v>-84.027777777777771</v>
      </c>
      <c r="BV170" s="140">
        <f t="shared" si="256"/>
        <v>-83.527777777777771</v>
      </c>
      <c r="BW170" s="140">
        <f t="shared" si="256"/>
        <v>-83.030555555555551</v>
      </c>
      <c r="BX170" s="140">
        <f t="shared" si="256"/>
        <v>-82.530555555555551</v>
      </c>
      <c r="BY170" s="140">
        <f t="shared" si="256"/>
        <v>-82.030555555555551</v>
      </c>
      <c r="BZ170" s="140">
        <f t="shared" si="256"/>
        <v>-81.530555555555551</v>
      </c>
      <c r="CA170" s="140">
        <f t="shared" si="256"/>
        <v>-81.030555555555551</v>
      </c>
      <c r="CB170" s="140">
        <f t="shared" si="256"/>
        <v>-80.530555555555551</v>
      </c>
      <c r="CC170" s="17"/>
      <c r="CD170" s="17"/>
      <c r="CE170" s="17"/>
    </row>
    <row r="171" spans="1:83">
      <c r="A171" s="16" t="s">
        <v>43</v>
      </c>
      <c r="B171" s="140">
        <f>IF(B169&lt;0,0,$B$5+$B$6*((1-EXP(-B170/$B$9))/(B170/$B$9))+$B$7*((1-EXP(-B170/$B$9))/(B170/$B$9)-EXP(-B170/$B$9))+$B$8*((1-EXP(-B170/$B$10))/(B170/$B$10)-EXP(-B170/$B$10)))</f>
        <v>0</v>
      </c>
      <c r="C171" s="140">
        <f t="shared" ref="C171:BN171" si="257">IF(C169&lt;0,0,$B$5+$B$6*((1-EXP(-C170/$B$9))/(C170/$B$9))+$B$7*((1-EXP(-C170/$B$9))/(C170/$B$9)-EXP(-C170/$B$9))+$B$8*((1-EXP(-C170/$B$10))/(C170/$B$10)-EXP(-C170/$B$10)))</f>
        <v>0</v>
      </c>
      <c r="D171" s="140">
        <f t="shared" si="257"/>
        <v>0</v>
      </c>
      <c r="E171" s="140">
        <f t="shared" si="257"/>
        <v>0</v>
      </c>
      <c r="F171" s="140">
        <f t="shared" si="257"/>
        <v>0</v>
      </c>
      <c r="G171" s="140">
        <f t="shared" si="257"/>
        <v>0</v>
      </c>
      <c r="H171" s="140">
        <f t="shared" si="257"/>
        <v>0</v>
      </c>
      <c r="I171" s="140">
        <f t="shared" si="257"/>
        <v>0</v>
      </c>
      <c r="J171" s="140">
        <f t="shared" si="257"/>
        <v>0</v>
      </c>
      <c r="K171" s="140">
        <f t="shared" si="257"/>
        <v>0</v>
      </c>
      <c r="L171" s="140">
        <f t="shared" si="257"/>
        <v>0</v>
      </c>
      <c r="M171" s="140">
        <f t="shared" si="257"/>
        <v>0</v>
      </c>
      <c r="N171" s="140">
        <f t="shared" si="257"/>
        <v>0</v>
      </c>
      <c r="O171" s="140">
        <f t="shared" si="257"/>
        <v>0</v>
      </c>
      <c r="P171" s="140">
        <f t="shared" si="257"/>
        <v>0</v>
      </c>
      <c r="Q171" s="140">
        <f t="shared" si="257"/>
        <v>0</v>
      </c>
      <c r="R171" s="140">
        <f t="shared" si="257"/>
        <v>0</v>
      </c>
      <c r="S171" s="140">
        <f t="shared" si="257"/>
        <v>0</v>
      </c>
      <c r="T171" s="140">
        <f t="shared" si="257"/>
        <v>0</v>
      </c>
      <c r="U171" s="140">
        <f t="shared" si="257"/>
        <v>0</v>
      </c>
      <c r="V171" s="140">
        <f t="shared" si="257"/>
        <v>0</v>
      </c>
      <c r="W171" s="140">
        <f t="shared" si="257"/>
        <v>0</v>
      </c>
      <c r="X171" s="140">
        <f t="shared" si="257"/>
        <v>0</v>
      </c>
      <c r="Y171" s="140">
        <f t="shared" si="257"/>
        <v>0</v>
      </c>
      <c r="Z171" s="140">
        <f t="shared" si="257"/>
        <v>0</v>
      </c>
      <c r="AA171" s="140">
        <f t="shared" si="257"/>
        <v>0</v>
      </c>
      <c r="AB171" s="140">
        <f t="shared" si="257"/>
        <v>0</v>
      </c>
      <c r="AC171" s="140">
        <f t="shared" si="257"/>
        <v>0</v>
      </c>
      <c r="AD171" s="140">
        <f t="shared" si="257"/>
        <v>0</v>
      </c>
      <c r="AE171" s="140">
        <f t="shared" si="257"/>
        <v>0</v>
      </c>
      <c r="AF171" s="140">
        <f t="shared" si="257"/>
        <v>0</v>
      </c>
      <c r="AG171" s="140">
        <f t="shared" si="257"/>
        <v>0</v>
      </c>
      <c r="AH171" s="140">
        <f t="shared" si="257"/>
        <v>0</v>
      </c>
      <c r="AI171" s="140">
        <f t="shared" si="257"/>
        <v>0</v>
      </c>
      <c r="AJ171" s="140">
        <f t="shared" si="257"/>
        <v>0</v>
      </c>
      <c r="AK171" s="140">
        <f t="shared" si="257"/>
        <v>0</v>
      </c>
      <c r="AL171" s="140">
        <f t="shared" si="257"/>
        <v>0</v>
      </c>
      <c r="AM171" s="140">
        <f t="shared" si="257"/>
        <v>0</v>
      </c>
      <c r="AN171" s="140">
        <f t="shared" si="257"/>
        <v>0</v>
      </c>
      <c r="AO171" s="140">
        <f t="shared" si="257"/>
        <v>0</v>
      </c>
      <c r="AP171" s="140">
        <f t="shared" si="257"/>
        <v>0</v>
      </c>
      <c r="AQ171" s="140">
        <f t="shared" si="257"/>
        <v>0</v>
      </c>
      <c r="AR171" s="140">
        <f t="shared" si="257"/>
        <v>0</v>
      </c>
      <c r="AS171" s="140">
        <f t="shared" si="257"/>
        <v>0</v>
      </c>
      <c r="AT171" s="140">
        <f t="shared" si="257"/>
        <v>0</v>
      </c>
      <c r="AU171" s="140">
        <f t="shared" si="257"/>
        <v>0</v>
      </c>
      <c r="AV171" s="140">
        <f t="shared" si="257"/>
        <v>0</v>
      </c>
      <c r="AW171" s="140">
        <f t="shared" si="257"/>
        <v>0</v>
      </c>
      <c r="AX171" s="140">
        <f t="shared" si="257"/>
        <v>0</v>
      </c>
      <c r="AY171" s="140">
        <f t="shared" si="257"/>
        <v>0</v>
      </c>
      <c r="AZ171" s="140">
        <f t="shared" si="257"/>
        <v>0</v>
      </c>
      <c r="BA171" s="140">
        <f t="shared" si="257"/>
        <v>0</v>
      </c>
      <c r="BB171" s="140">
        <f t="shared" si="257"/>
        <v>0</v>
      </c>
      <c r="BC171" s="140">
        <f t="shared" si="257"/>
        <v>0</v>
      </c>
      <c r="BD171" s="140">
        <f t="shared" si="257"/>
        <v>0</v>
      </c>
      <c r="BE171" s="140">
        <f t="shared" si="257"/>
        <v>0</v>
      </c>
      <c r="BF171" s="140">
        <f t="shared" si="257"/>
        <v>0</v>
      </c>
      <c r="BG171" s="140">
        <f t="shared" si="257"/>
        <v>0</v>
      </c>
      <c r="BH171" s="140">
        <f t="shared" si="257"/>
        <v>0</v>
      </c>
      <c r="BI171" s="140">
        <f t="shared" si="257"/>
        <v>0</v>
      </c>
      <c r="BJ171" s="140">
        <f t="shared" si="257"/>
        <v>0</v>
      </c>
      <c r="BK171" s="140">
        <f t="shared" si="257"/>
        <v>0</v>
      </c>
      <c r="BL171" s="140">
        <f t="shared" si="257"/>
        <v>0</v>
      </c>
      <c r="BM171" s="140">
        <f t="shared" si="257"/>
        <v>0</v>
      </c>
      <c r="BN171" s="140">
        <f t="shared" si="257"/>
        <v>0</v>
      </c>
      <c r="BO171" s="140">
        <f t="shared" ref="BO171:CB171" si="258">IF(BO169&lt;0,0,$B$5+$B$6*((1-EXP(-BO170/$B$9))/(BO170/$B$9))+$B$7*((1-EXP(-BO170/$B$9))/(BO170/$B$9)-EXP(-BO170/$B$9))+$B$8*((1-EXP(-BO170/$B$10))/(BO170/$B$10)-EXP(-BO170/$B$10)))</f>
        <v>0</v>
      </c>
      <c r="BP171" s="140">
        <f t="shared" si="258"/>
        <v>0</v>
      </c>
      <c r="BQ171" s="140">
        <f t="shared" si="258"/>
        <v>0</v>
      </c>
      <c r="BR171" s="140">
        <f t="shared" si="258"/>
        <v>0</v>
      </c>
      <c r="BS171" s="140">
        <f t="shared" si="258"/>
        <v>0</v>
      </c>
      <c r="BT171" s="140">
        <f t="shared" si="258"/>
        <v>0</v>
      </c>
      <c r="BU171" s="140">
        <f t="shared" si="258"/>
        <v>0</v>
      </c>
      <c r="BV171" s="140">
        <f t="shared" si="258"/>
        <v>0</v>
      </c>
      <c r="BW171" s="140">
        <f t="shared" si="258"/>
        <v>0</v>
      </c>
      <c r="BX171" s="140">
        <f t="shared" si="258"/>
        <v>0</v>
      </c>
      <c r="BY171" s="140">
        <f t="shared" si="258"/>
        <v>0</v>
      </c>
      <c r="BZ171" s="140">
        <f t="shared" si="258"/>
        <v>0</v>
      </c>
      <c r="CA171" s="140">
        <f t="shared" si="258"/>
        <v>0</v>
      </c>
      <c r="CB171" s="140">
        <f t="shared" si="258"/>
        <v>0</v>
      </c>
      <c r="CC171" s="17"/>
      <c r="CD171" s="17"/>
      <c r="CE171" s="17"/>
    </row>
    <row r="172" spans="1:83">
      <c r="A172" s="16" t="s">
        <v>44</v>
      </c>
      <c r="B172" s="140">
        <f>EXP(-B171*B170)</f>
        <v>1</v>
      </c>
      <c r="C172" s="140">
        <f t="shared" ref="C172:AR172" si="259">EXP(-C171*C170)</f>
        <v>1</v>
      </c>
      <c r="D172" s="140">
        <f t="shared" si="259"/>
        <v>1</v>
      </c>
      <c r="E172" s="140">
        <f t="shared" si="259"/>
        <v>1</v>
      </c>
      <c r="F172" s="140">
        <f t="shared" si="259"/>
        <v>1</v>
      </c>
      <c r="G172" s="140">
        <f t="shared" si="259"/>
        <v>1</v>
      </c>
      <c r="H172" s="140">
        <f t="shared" si="259"/>
        <v>1</v>
      </c>
      <c r="I172" s="140">
        <f t="shared" si="259"/>
        <v>1</v>
      </c>
      <c r="J172" s="140">
        <f t="shared" si="259"/>
        <v>1</v>
      </c>
      <c r="K172" s="140">
        <f t="shared" si="259"/>
        <v>1</v>
      </c>
      <c r="L172" s="140">
        <f t="shared" si="259"/>
        <v>1</v>
      </c>
      <c r="M172" s="140">
        <f t="shared" si="259"/>
        <v>1</v>
      </c>
      <c r="N172" s="140">
        <f t="shared" si="259"/>
        <v>1</v>
      </c>
      <c r="O172" s="140">
        <f t="shared" si="259"/>
        <v>1</v>
      </c>
      <c r="P172" s="140">
        <f t="shared" si="259"/>
        <v>1</v>
      </c>
      <c r="Q172" s="140">
        <f t="shared" si="259"/>
        <v>1</v>
      </c>
      <c r="R172" s="140">
        <f t="shared" si="259"/>
        <v>1</v>
      </c>
      <c r="S172" s="140">
        <f t="shared" si="259"/>
        <v>1</v>
      </c>
      <c r="T172" s="140">
        <f t="shared" si="259"/>
        <v>1</v>
      </c>
      <c r="U172" s="140">
        <f t="shared" si="259"/>
        <v>1</v>
      </c>
      <c r="V172" s="140">
        <f t="shared" si="259"/>
        <v>1</v>
      </c>
      <c r="W172" s="140">
        <f t="shared" si="259"/>
        <v>1</v>
      </c>
      <c r="X172" s="140">
        <f t="shared" si="259"/>
        <v>1</v>
      </c>
      <c r="Y172" s="140">
        <f t="shared" si="259"/>
        <v>1</v>
      </c>
      <c r="Z172" s="140">
        <f t="shared" si="259"/>
        <v>1</v>
      </c>
      <c r="AA172" s="140">
        <f t="shared" si="259"/>
        <v>1</v>
      </c>
      <c r="AB172" s="140">
        <f t="shared" si="259"/>
        <v>1</v>
      </c>
      <c r="AC172" s="140">
        <f t="shared" si="259"/>
        <v>1</v>
      </c>
      <c r="AD172" s="140">
        <f t="shared" si="259"/>
        <v>1</v>
      </c>
      <c r="AE172" s="140">
        <f t="shared" si="259"/>
        <v>1</v>
      </c>
      <c r="AF172" s="140">
        <f t="shared" si="259"/>
        <v>1</v>
      </c>
      <c r="AG172" s="140">
        <f t="shared" si="259"/>
        <v>1</v>
      </c>
      <c r="AH172" s="140">
        <f t="shared" si="259"/>
        <v>1</v>
      </c>
      <c r="AI172" s="140">
        <f t="shared" si="259"/>
        <v>1</v>
      </c>
      <c r="AJ172" s="140">
        <f t="shared" si="259"/>
        <v>1</v>
      </c>
      <c r="AK172" s="140">
        <f t="shared" si="259"/>
        <v>1</v>
      </c>
      <c r="AL172" s="140">
        <f t="shared" si="259"/>
        <v>1</v>
      </c>
      <c r="AM172" s="140">
        <f t="shared" si="259"/>
        <v>1</v>
      </c>
      <c r="AN172" s="140">
        <f t="shared" si="259"/>
        <v>1</v>
      </c>
      <c r="AO172" s="140">
        <f t="shared" si="259"/>
        <v>1</v>
      </c>
      <c r="AP172" s="140">
        <f t="shared" si="259"/>
        <v>1</v>
      </c>
      <c r="AQ172" s="140">
        <f t="shared" si="259"/>
        <v>1</v>
      </c>
      <c r="AR172" s="140">
        <f t="shared" si="259"/>
        <v>1</v>
      </c>
      <c r="AS172" s="140">
        <f>EXP(-AS171*AS170)</f>
        <v>1</v>
      </c>
      <c r="AT172" s="140">
        <f t="shared" ref="AT172:CA172" si="260">EXP(-AT171*AT170)</f>
        <v>1</v>
      </c>
      <c r="AU172" s="140">
        <f t="shared" si="260"/>
        <v>1</v>
      </c>
      <c r="AV172" s="140">
        <f t="shared" si="260"/>
        <v>1</v>
      </c>
      <c r="AW172" s="140">
        <f t="shared" si="260"/>
        <v>1</v>
      </c>
      <c r="AX172" s="140">
        <f t="shared" si="260"/>
        <v>1</v>
      </c>
      <c r="AY172" s="140">
        <f t="shared" si="260"/>
        <v>1</v>
      </c>
      <c r="AZ172" s="140">
        <f t="shared" si="260"/>
        <v>1</v>
      </c>
      <c r="BA172" s="140">
        <f t="shared" si="260"/>
        <v>1</v>
      </c>
      <c r="BB172" s="140">
        <f t="shared" si="260"/>
        <v>1</v>
      </c>
      <c r="BC172" s="140">
        <f t="shared" si="260"/>
        <v>1</v>
      </c>
      <c r="BD172" s="140">
        <f t="shared" si="260"/>
        <v>1</v>
      </c>
      <c r="BE172" s="140">
        <f t="shared" si="260"/>
        <v>1</v>
      </c>
      <c r="BF172" s="140">
        <f t="shared" si="260"/>
        <v>1</v>
      </c>
      <c r="BG172" s="140">
        <f t="shared" si="260"/>
        <v>1</v>
      </c>
      <c r="BH172" s="140">
        <f t="shared" si="260"/>
        <v>1</v>
      </c>
      <c r="BI172" s="140">
        <f t="shared" si="260"/>
        <v>1</v>
      </c>
      <c r="BJ172" s="140">
        <f t="shared" si="260"/>
        <v>1</v>
      </c>
      <c r="BK172" s="140">
        <f t="shared" si="260"/>
        <v>1</v>
      </c>
      <c r="BL172" s="140">
        <f t="shared" si="260"/>
        <v>1</v>
      </c>
      <c r="BM172" s="140">
        <f t="shared" si="260"/>
        <v>1</v>
      </c>
      <c r="BN172" s="140">
        <f t="shared" si="260"/>
        <v>1</v>
      </c>
      <c r="BO172" s="140">
        <f t="shared" si="260"/>
        <v>1</v>
      </c>
      <c r="BP172" s="140">
        <f t="shared" si="260"/>
        <v>1</v>
      </c>
      <c r="BQ172" s="140">
        <f t="shared" si="260"/>
        <v>1</v>
      </c>
      <c r="BR172" s="140">
        <f t="shared" si="260"/>
        <v>1</v>
      </c>
      <c r="BS172" s="140">
        <f t="shared" si="260"/>
        <v>1</v>
      </c>
      <c r="BT172" s="140">
        <f t="shared" si="260"/>
        <v>1</v>
      </c>
      <c r="BU172" s="140">
        <f t="shared" si="260"/>
        <v>1</v>
      </c>
      <c r="BV172" s="140">
        <f t="shared" si="260"/>
        <v>1</v>
      </c>
      <c r="BW172" s="140">
        <f t="shared" si="260"/>
        <v>1</v>
      </c>
      <c r="BX172" s="140">
        <f t="shared" si="260"/>
        <v>1</v>
      </c>
      <c r="BY172" s="140">
        <f t="shared" si="260"/>
        <v>1</v>
      </c>
      <c r="BZ172" s="140">
        <f t="shared" si="260"/>
        <v>1</v>
      </c>
      <c r="CA172" s="140">
        <f t="shared" si="260"/>
        <v>1</v>
      </c>
      <c r="CB172" s="140">
        <f>EXP(-CB171*CB170)</f>
        <v>1</v>
      </c>
      <c r="CC172" s="17"/>
      <c r="CD172" s="17"/>
      <c r="CE172" s="17"/>
    </row>
    <row r="173" spans="1:83">
      <c r="A173" s="17"/>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17"/>
      <c r="CD173" s="17"/>
      <c r="CE173" s="17"/>
    </row>
    <row r="174" spans="1:83">
      <c r="A174" s="16" t="s">
        <v>40</v>
      </c>
      <c r="B174" s="140">
        <f t="shared" ref="B174:BM174" si="261">DAYS360($B$3,B66)</f>
        <v>-43022</v>
      </c>
      <c r="C174" s="140">
        <f t="shared" si="261"/>
        <v>-42842</v>
      </c>
      <c r="D174" s="140">
        <f t="shared" si="261"/>
        <v>-42662</v>
      </c>
      <c r="E174" s="140">
        <f t="shared" si="261"/>
        <v>-42482</v>
      </c>
      <c r="F174" s="140">
        <f t="shared" si="261"/>
        <v>-42302</v>
      </c>
      <c r="G174" s="140">
        <f t="shared" si="261"/>
        <v>-42122</v>
      </c>
      <c r="H174" s="140">
        <f t="shared" si="261"/>
        <v>-41942</v>
      </c>
      <c r="I174" s="140">
        <f t="shared" si="261"/>
        <v>-41762</v>
      </c>
      <c r="J174" s="140">
        <f t="shared" si="261"/>
        <v>-41582</v>
      </c>
      <c r="K174" s="140">
        <f t="shared" si="261"/>
        <v>-41403</v>
      </c>
      <c r="L174" s="140">
        <f t="shared" si="261"/>
        <v>-41223</v>
      </c>
      <c r="M174" s="140">
        <f t="shared" si="261"/>
        <v>-41043</v>
      </c>
      <c r="N174" s="140">
        <f t="shared" si="261"/>
        <v>-40863</v>
      </c>
      <c r="O174" s="140">
        <f t="shared" si="261"/>
        <v>-40683</v>
      </c>
      <c r="P174" s="140">
        <f t="shared" si="261"/>
        <v>-40503</v>
      </c>
      <c r="Q174" s="140">
        <f t="shared" si="261"/>
        <v>-40323</v>
      </c>
      <c r="R174" s="140">
        <f t="shared" si="261"/>
        <v>-40143</v>
      </c>
      <c r="S174" s="140">
        <f t="shared" si="261"/>
        <v>-39964</v>
      </c>
      <c r="T174" s="140">
        <f t="shared" si="261"/>
        <v>-39784</v>
      </c>
      <c r="U174" s="140">
        <f t="shared" si="261"/>
        <v>-39604</v>
      </c>
      <c r="V174" s="140">
        <f t="shared" si="261"/>
        <v>-39424</v>
      </c>
      <c r="W174" s="140">
        <f t="shared" si="261"/>
        <v>-39244</v>
      </c>
      <c r="X174" s="140">
        <f t="shared" si="261"/>
        <v>-39064</v>
      </c>
      <c r="Y174" s="140">
        <f t="shared" si="261"/>
        <v>-38884</v>
      </c>
      <c r="Z174" s="140">
        <f t="shared" si="261"/>
        <v>-38704</v>
      </c>
      <c r="AA174" s="140">
        <f t="shared" si="261"/>
        <v>-38525</v>
      </c>
      <c r="AB174" s="140">
        <f t="shared" si="261"/>
        <v>-38345</v>
      </c>
      <c r="AC174" s="140">
        <f t="shared" si="261"/>
        <v>-38165</v>
      </c>
      <c r="AD174" s="140">
        <f t="shared" si="261"/>
        <v>-37985</v>
      </c>
      <c r="AE174" s="140">
        <f t="shared" si="261"/>
        <v>-37805</v>
      </c>
      <c r="AF174" s="140">
        <f t="shared" si="261"/>
        <v>-37625</v>
      </c>
      <c r="AG174" s="140">
        <f t="shared" si="261"/>
        <v>-37445</v>
      </c>
      <c r="AH174" s="140">
        <f t="shared" si="261"/>
        <v>-37265</v>
      </c>
      <c r="AI174" s="140">
        <f t="shared" si="261"/>
        <v>-37086</v>
      </c>
      <c r="AJ174" s="140">
        <f t="shared" si="261"/>
        <v>-36906</v>
      </c>
      <c r="AK174" s="140">
        <f t="shared" si="261"/>
        <v>-36726</v>
      </c>
      <c r="AL174" s="140">
        <f t="shared" si="261"/>
        <v>-36546</v>
      </c>
      <c r="AM174" s="140">
        <f t="shared" si="261"/>
        <v>-36366</v>
      </c>
      <c r="AN174" s="140">
        <f t="shared" si="261"/>
        <v>-36186</v>
      </c>
      <c r="AO174" s="140">
        <f t="shared" si="261"/>
        <v>-36006</v>
      </c>
      <c r="AP174" s="140">
        <f t="shared" si="261"/>
        <v>-35826</v>
      </c>
      <c r="AQ174" s="140">
        <f t="shared" si="261"/>
        <v>-35647</v>
      </c>
      <c r="AR174" s="140">
        <f t="shared" si="261"/>
        <v>-35467</v>
      </c>
      <c r="AS174" s="140">
        <f t="shared" si="261"/>
        <v>-35287</v>
      </c>
      <c r="AT174" s="140">
        <f t="shared" si="261"/>
        <v>-35107</v>
      </c>
      <c r="AU174" s="140">
        <f t="shared" si="261"/>
        <v>-34927</v>
      </c>
      <c r="AV174" s="140">
        <f t="shared" si="261"/>
        <v>-34747</v>
      </c>
      <c r="AW174" s="140">
        <f t="shared" si="261"/>
        <v>-34567</v>
      </c>
      <c r="AX174" s="140">
        <f t="shared" si="261"/>
        <v>-34387</v>
      </c>
      <c r="AY174" s="140">
        <f t="shared" si="261"/>
        <v>-34208</v>
      </c>
      <c r="AZ174" s="140">
        <f t="shared" si="261"/>
        <v>-34028</v>
      </c>
      <c r="BA174" s="140">
        <f t="shared" si="261"/>
        <v>-33848</v>
      </c>
      <c r="BB174" s="140">
        <f t="shared" si="261"/>
        <v>-33668</v>
      </c>
      <c r="BC174" s="140">
        <f t="shared" si="261"/>
        <v>-33488</v>
      </c>
      <c r="BD174" s="140">
        <f t="shared" si="261"/>
        <v>-33308</v>
      </c>
      <c r="BE174" s="140">
        <f t="shared" si="261"/>
        <v>-33128</v>
      </c>
      <c r="BF174" s="140">
        <f t="shared" si="261"/>
        <v>-32948</v>
      </c>
      <c r="BG174" s="140">
        <f t="shared" si="261"/>
        <v>-32769</v>
      </c>
      <c r="BH174" s="140">
        <f t="shared" si="261"/>
        <v>-32589</v>
      </c>
      <c r="BI174" s="140">
        <f t="shared" si="261"/>
        <v>-32409</v>
      </c>
      <c r="BJ174" s="140">
        <f t="shared" si="261"/>
        <v>-32229</v>
      </c>
      <c r="BK174" s="140">
        <f t="shared" si="261"/>
        <v>-32049</v>
      </c>
      <c r="BL174" s="140">
        <f t="shared" si="261"/>
        <v>-31869</v>
      </c>
      <c r="BM174" s="140">
        <f t="shared" si="261"/>
        <v>-31689</v>
      </c>
      <c r="BN174" s="140">
        <f t="shared" ref="BN174:CB174" si="262">DAYS360($B$3,BN66)</f>
        <v>-31509</v>
      </c>
      <c r="BO174" s="140">
        <f t="shared" si="262"/>
        <v>-31330</v>
      </c>
      <c r="BP174" s="140">
        <f t="shared" si="262"/>
        <v>-31150</v>
      </c>
      <c r="BQ174" s="140">
        <f t="shared" si="262"/>
        <v>-30970</v>
      </c>
      <c r="BR174" s="140">
        <f t="shared" si="262"/>
        <v>-30790</v>
      </c>
      <c r="BS174" s="140">
        <f t="shared" si="262"/>
        <v>-30610</v>
      </c>
      <c r="BT174" s="140">
        <f t="shared" si="262"/>
        <v>-30430</v>
      </c>
      <c r="BU174" s="140">
        <f t="shared" si="262"/>
        <v>-30250</v>
      </c>
      <c r="BV174" s="140">
        <f t="shared" si="262"/>
        <v>-30070</v>
      </c>
      <c r="BW174" s="140">
        <f t="shared" si="262"/>
        <v>-29891</v>
      </c>
      <c r="BX174" s="140">
        <f t="shared" si="262"/>
        <v>-29711</v>
      </c>
      <c r="BY174" s="140">
        <f t="shared" si="262"/>
        <v>-29531</v>
      </c>
      <c r="BZ174" s="140">
        <f t="shared" si="262"/>
        <v>-29351</v>
      </c>
      <c r="CA174" s="140">
        <f t="shared" si="262"/>
        <v>-29171</v>
      </c>
      <c r="CB174" s="140">
        <f t="shared" si="262"/>
        <v>-28991</v>
      </c>
      <c r="CC174" s="17"/>
      <c r="CD174" s="17"/>
      <c r="CE174" s="17"/>
    </row>
    <row r="175" spans="1:83">
      <c r="A175" s="16" t="s">
        <v>41</v>
      </c>
      <c r="B175" s="140">
        <f>B174/360</f>
        <v>-119.50555555555556</v>
      </c>
      <c r="C175" s="140">
        <f t="shared" ref="C175:BN175" si="263">C174/360</f>
        <v>-119.00555555555556</v>
      </c>
      <c r="D175" s="140">
        <f t="shared" si="263"/>
        <v>-118.50555555555556</v>
      </c>
      <c r="E175" s="140">
        <f t="shared" si="263"/>
        <v>-118.00555555555556</v>
      </c>
      <c r="F175" s="140">
        <f t="shared" si="263"/>
        <v>-117.50555555555556</v>
      </c>
      <c r="G175" s="140">
        <f t="shared" si="263"/>
        <v>-117.00555555555556</v>
      </c>
      <c r="H175" s="140">
        <f t="shared" si="263"/>
        <v>-116.50555555555556</v>
      </c>
      <c r="I175" s="140">
        <f t="shared" si="263"/>
        <v>-116.00555555555556</v>
      </c>
      <c r="J175" s="140">
        <f t="shared" si="263"/>
        <v>-115.50555555555556</v>
      </c>
      <c r="K175" s="140">
        <f t="shared" si="263"/>
        <v>-115.00833333333334</v>
      </c>
      <c r="L175" s="140">
        <f t="shared" si="263"/>
        <v>-114.50833333333334</v>
      </c>
      <c r="M175" s="140">
        <f t="shared" si="263"/>
        <v>-114.00833333333334</v>
      </c>
      <c r="N175" s="140">
        <f t="shared" si="263"/>
        <v>-113.50833333333334</v>
      </c>
      <c r="O175" s="140">
        <f t="shared" si="263"/>
        <v>-113.00833333333334</v>
      </c>
      <c r="P175" s="140">
        <f t="shared" si="263"/>
        <v>-112.50833333333334</v>
      </c>
      <c r="Q175" s="140">
        <f t="shared" si="263"/>
        <v>-112.00833333333334</v>
      </c>
      <c r="R175" s="140">
        <f t="shared" si="263"/>
        <v>-111.50833333333334</v>
      </c>
      <c r="S175" s="140">
        <f t="shared" si="263"/>
        <v>-111.01111111111111</v>
      </c>
      <c r="T175" s="140">
        <f t="shared" si="263"/>
        <v>-110.51111111111111</v>
      </c>
      <c r="U175" s="140">
        <f t="shared" si="263"/>
        <v>-110.01111111111111</v>
      </c>
      <c r="V175" s="140">
        <f t="shared" si="263"/>
        <v>-109.51111111111111</v>
      </c>
      <c r="W175" s="140">
        <f t="shared" si="263"/>
        <v>-109.01111111111111</v>
      </c>
      <c r="X175" s="140">
        <f t="shared" si="263"/>
        <v>-108.51111111111111</v>
      </c>
      <c r="Y175" s="140">
        <f t="shared" si="263"/>
        <v>-108.01111111111111</v>
      </c>
      <c r="Z175" s="140">
        <f t="shared" si="263"/>
        <v>-107.51111111111111</v>
      </c>
      <c r="AA175" s="140">
        <f t="shared" si="263"/>
        <v>-107.01388888888889</v>
      </c>
      <c r="AB175" s="140">
        <f t="shared" si="263"/>
        <v>-106.51388888888889</v>
      </c>
      <c r="AC175" s="140">
        <f t="shared" si="263"/>
        <v>-106.01388888888889</v>
      </c>
      <c r="AD175" s="140">
        <f t="shared" si="263"/>
        <v>-105.51388888888889</v>
      </c>
      <c r="AE175" s="140">
        <f t="shared" si="263"/>
        <v>-105.01388888888889</v>
      </c>
      <c r="AF175" s="140">
        <f t="shared" si="263"/>
        <v>-104.51388888888889</v>
      </c>
      <c r="AG175" s="140">
        <f t="shared" si="263"/>
        <v>-104.01388888888889</v>
      </c>
      <c r="AH175" s="140">
        <f t="shared" si="263"/>
        <v>-103.51388888888889</v>
      </c>
      <c r="AI175" s="140">
        <f t="shared" si="263"/>
        <v>-103.01666666666667</v>
      </c>
      <c r="AJ175" s="140">
        <f t="shared" si="263"/>
        <v>-102.51666666666667</v>
      </c>
      <c r="AK175" s="140">
        <f t="shared" si="263"/>
        <v>-102.01666666666667</v>
      </c>
      <c r="AL175" s="140">
        <f t="shared" si="263"/>
        <v>-101.51666666666667</v>
      </c>
      <c r="AM175" s="140">
        <f t="shared" si="263"/>
        <v>-101.01666666666667</v>
      </c>
      <c r="AN175" s="140">
        <f t="shared" si="263"/>
        <v>-100.51666666666667</v>
      </c>
      <c r="AO175" s="140">
        <f t="shared" si="263"/>
        <v>-100.01666666666667</v>
      </c>
      <c r="AP175" s="140">
        <f t="shared" si="263"/>
        <v>-99.516666666666666</v>
      </c>
      <c r="AQ175" s="140">
        <f t="shared" si="263"/>
        <v>-99.019444444444446</v>
      </c>
      <c r="AR175" s="140">
        <f t="shared" si="263"/>
        <v>-98.519444444444446</v>
      </c>
      <c r="AS175" s="140">
        <f t="shared" si="263"/>
        <v>-98.019444444444446</v>
      </c>
      <c r="AT175" s="140">
        <f t="shared" si="263"/>
        <v>-97.519444444444446</v>
      </c>
      <c r="AU175" s="140">
        <f t="shared" si="263"/>
        <v>-97.019444444444446</v>
      </c>
      <c r="AV175" s="140">
        <f t="shared" si="263"/>
        <v>-96.519444444444446</v>
      </c>
      <c r="AW175" s="140">
        <f t="shared" si="263"/>
        <v>-96.019444444444446</v>
      </c>
      <c r="AX175" s="140">
        <f t="shared" si="263"/>
        <v>-95.519444444444446</v>
      </c>
      <c r="AY175" s="140">
        <f t="shared" si="263"/>
        <v>-95.022222222222226</v>
      </c>
      <c r="AZ175" s="140">
        <f t="shared" si="263"/>
        <v>-94.522222222222226</v>
      </c>
      <c r="BA175" s="140">
        <f t="shared" si="263"/>
        <v>-94.022222222222226</v>
      </c>
      <c r="BB175" s="140">
        <f t="shared" si="263"/>
        <v>-93.522222222222226</v>
      </c>
      <c r="BC175" s="140">
        <f t="shared" si="263"/>
        <v>-93.022222222222226</v>
      </c>
      <c r="BD175" s="140">
        <f t="shared" si="263"/>
        <v>-92.522222222222226</v>
      </c>
      <c r="BE175" s="140">
        <f t="shared" si="263"/>
        <v>-92.022222222222226</v>
      </c>
      <c r="BF175" s="140">
        <f t="shared" si="263"/>
        <v>-91.522222222222226</v>
      </c>
      <c r="BG175" s="140">
        <f t="shared" si="263"/>
        <v>-91.025000000000006</v>
      </c>
      <c r="BH175" s="140">
        <f t="shared" si="263"/>
        <v>-90.525000000000006</v>
      </c>
      <c r="BI175" s="140">
        <f t="shared" si="263"/>
        <v>-90.025000000000006</v>
      </c>
      <c r="BJ175" s="140">
        <f t="shared" si="263"/>
        <v>-89.525000000000006</v>
      </c>
      <c r="BK175" s="140">
        <f t="shared" si="263"/>
        <v>-89.025000000000006</v>
      </c>
      <c r="BL175" s="140">
        <f t="shared" si="263"/>
        <v>-88.525000000000006</v>
      </c>
      <c r="BM175" s="140">
        <f t="shared" si="263"/>
        <v>-88.025000000000006</v>
      </c>
      <c r="BN175" s="140">
        <f t="shared" si="263"/>
        <v>-87.525000000000006</v>
      </c>
      <c r="BO175" s="140">
        <f t="shared" ref="BO175:CB175" si="264">BO174/360</f>
        <v>-87.027777777777771</v>
      </c>
      <c r="BP175" s="140">
        <f t="shared" si="264"/>
        <v>-86.527777777777771</v>
      </c>
      <c r="BQ175" s="140">
        <f t="shared" si="264"/>
        <v>-86.027777777777771</v>
      </c>
      <c r="BR175" s="140">
        <f t="shared" si="264"/>
        <v>-85.527777777777771</v>
      </c>
      <c r="BS175" s="140">
        <f t="shared" si="264"/>
        <v>-85.027777777777771</v>
      </c>
      <c r="BT175" s="140">
        <f t="shared" si="264"/>
        <v>-84.527777777777771</v>
      </c>
      <c r="BU175" s="140">
        <f t="shared" si="264"/>
        <v>-84.027777777777771</v>
      </c>
      <c r="BV175" s="140">
        <f t="shared" si="264"/>
        <v>-83.527777777777771</v>
      </c>
      <c r="BW175" s="140">
        <f t="shared" si="264"/>
        <v>-83.030555555555551</v>
      </c>
      <c r="BX175" s="140">
        <f t="shared" si="264"/>
        <v>-82.530555555555551</v>
      </c>
      <c r="BY175" s="140">
        <f t="shared" si="264"/>
        <v>-82.030555555555551</v>
      </c>
      <c r="BZ175" s="140">
        <f t="shared" si="264"/>
        <v>-81.530555555555551</v>
      </c>
      <c r="CA175" s="140">
        <f t="shared" si="264"/>
        <v>-81.030555555555551</v>
      </c>
      <c r="CB175" s="140">
        <f t="shared" si="264"/>
        <v>-80.530555555555551</v>
      </c>
      <c r="CC175" s="17"/>
      <c r="CD175" s="17"/>
      <c r="CE175" s="17"/>
    </row>
    <row r="176" spans="1:83">
      <c r="A176" s="16" t="s">
        <v>43</v>
      </c>
      <c r="B176" s="140">
        <f>IF(B174&lt;0,0,$B$5+$B$6*((1-EXP(-B175/$B$9))/(B175/$B$9))+$B$7*((1-EXP(-B175/$B$9))/(B175/$B$9)-EXP(-B175/$B$9))+$B$8*((1-EXP(-B175/$B$10))/(B175/$B$10)-EXP(-B175/$B$10)))</f>
        <v>0</v>
      </c>
      <c r="C176" s="140">
        <f t="shared" ref="C176:BN176" si="265">IF(C174&lt;0,0,$B$5+$B$6*((1-EXP(-C175/$B$9))/(C175/$B$9))+$B$7*((1-EXP(-C175/$B$9))/(C175/$B$9)-EXP(-C175/$B$9))+$B$8*((1-EXP(-C175/$B$10))/(C175/$B$10)-EXP(-C175/$B$10)))</f>
        <v>0</v>
      </c>
      <c r="D176" s="140">
        <f t="shared" si="265"/>
        <v>0</v>
      </c>
      <c r="E176" s="140">
        <f t="shared" si="265"/>
        <v>0</v>
      </c>
      <c r="F176" s="140">
        <f t="shared" si="265"/>
        <v>0</v>
      </c>
      <c r="G176" s="140">
        <f t="shared" si="265"/>
        <v>0</v>
      </c>
      <c r="H176" s="140">
        <f t="shared" si="265"/>
        <v>0</v>
      </c>
      <c r="I176" s="140">
        <f t="shared" si="265"/>
        <v>0</v>
      </c>
      <c r="J176" s="140">
        <f t="shared" si="265"/>
        <v>0</v>
      </c>
      <c r="K176" s="140">
        <f t="shared" si="265"/>
        <v>0</v>
      </c>
      <c r="L176" s="140">
        <f t="shared" si="265"/>
        <v>0</v>
      </c>
      <c r="M176" s="140">
        <f t="shared" si="265"/>
        <v>0</v>
      </c>
      <c r="N176" s="140">
        <f t="shared" si="265"/>
        <v>0</v>
      </c>
      <c r="O176" s="140">
        <f t="shared" si="265"/>
        <v>0</v>
      </c>
      <c r="P176" s="140">
        <f t="shared" si="265"/>
        <v>0</v>
      </c>
      <c r="Q176" s="140">
        <f t="shared" si="265"/>
        <v>0</v>
      </c>
      <c r="R176" s="140">
        <f t="shared" si="265"/>
        <v>0</v>
      </c>
      <c r="S176" s="140">
        <f t="shared" si="265"/>
        <v>0</v>
      </c>
      <c r="T176" s="140">
        <f t="shared" si="265"/>
        <v>0</v>
      </c>
      <c r="U176" s="140">
        <f t="shared" si="265"/>
        <v>0</v>
      </c>
      <c r="V176" s="140">
        <f t="shared" si="265"/>
        <v>0</v>
      </c>
      <c r="W176" s="140">
        <f t="shared" si="265"/>
        <v>0</v>
      </c>
      <c r="X176" s="140">
        <f t="shared" si="265"/>
        <v>0</v>
      </c>
      <c r="Y176" s="140">
        <f t="shared" si="265"/>
        <v>0</v>
      </c>
      <c r="Z176" s="140">
        <f t="shared" si="265"/>
        <v>0</v>
      </c>
      <c r="AA176" s="140">
        <f t="shared" si="265"/>
        <v>0</v>
      </c>
      <c r="AB176" s="140">
        <f t="shared" si="265"/>
        <v>0</v>
      </c>
      <c r="AC176" s="140">
        <f t="shared" si="265"/>
        <v>0</v>
      </c>
      <c r="AD176" s="140">
        <f t="shared" si="265"/>
        <v>0</v>
      </c>
      <c r="AE176" s="140">
        <f t="shared" si="265"/>
        <v>0</v>
      </c>
      <c r="AF176" s="140">
        <f t="shared" si="265"/>
        <v>0</v>
      </c>
      <c r="AG176" s="140">
        <f t="shared" si="265"/>
        <v>0</v>
      </c>
      <c r="AH176" s="140">
        <f t="shared" si="265"/>
        <v>0</v>
      </c>
      <c r="AI176" s="140">
        <f t="shared" si="265"/>
        <v>0</v>
      </c>
      <c r="AJ176" s="140">
        <f t="shared" si="265"/>
        <v>0</v>
      </c>
      <c r="AK176" s="140">
        <f t="shared" si="265"/>
        <v>0</v>
      </c>
      <c r="AL176" s="140">
        <f t="shared" si="265"/>
        <v>0</v>
      </c>
      <c r="AM176" s="140">
        <f t="shared" si="265"/>
        <v>0</v>
      </c>
      <c r="AN176" s="140">
        <f t="shared" si="265"/>
        <v>0</v>
      </c>
      <c r="AO176" s="140">
        <f t="shared" si="265"/>
        <v>0</v>
      </c>
      <c r="AP176" s="140">
        <f t="shared" si="265"/>
        <v>0</v>
      </c>
      <c r="AQ176" s="140">
        <f t="shared" si="265"/>
        <v>0</v>
      </c>
      <c r="AR176" s="140">
        <f t="shared" si="265"/>
        <v>0</v>
      </c>
      <c r="AS176" s="140">
        <f t="shared" si="265"/>
        <v>0</v>
      </c>
      <c r="AT176" s="140">
        <f t="shared" si="265"/>
        <v>0</v>
      </c>
      <c r="AU176" s="140">
        <f t="shared" si="265"/>
        <v>0</v>
      </c>
      <c r="AV176" s="140">
        <f t="shared" si="265"/>
        <v>0</v>
      </c>
      <c r="AW176" s="140">
        <f t="shared" si="265"/>
        <v>0</v>
      </c>
      <c r="AX176" s="140">
        <f t="shared" si="265"/>
        <v>0</v>
      </c>
      <c r="AY176" s="140">
        <f t="shared" si="265"/>
        <v>0</v>
      </c>
      <c r="AZ176" s="140">
        <f t="shared" si="265"/>
        <v>0</v>
      </c>
      <c r="BA176" s="140">
        <f t="shared" si="265"/>
        <v>0</v>
      </c>
      <c r="BB176" s="140">
        <f t="shared" si="265"/>
        <v>0</v>
      </c>
      <c r="BC176" s="140">
        <f t="shared" si="265"/>
        <v>0</v>
      </c>
      <c r="BD176" s="140">
        <f t="shared" si="265"/>
        <v>0</v>
      </c>
      <c r="BE176" s="140">
        <f t="shared" si="265"/>
        <v>0</v>
      </c>
      <c r="BF176" s="140">
        <f t="shared" si="265"/>
        <v>0</v>
      </c>
      <c r="BG176" s="140">
        <f t="shared" si="265"/>
        <v>0</v>
      </c>
      <c r="BH176" s="140">
        <f t="shared" si="265"/>
        <v>0</v>
      </c>
      <c r="BI176" s="140">
        <f t="shared" si="265"/>
        <v>0</v>
      </c>
      <c r="BJ176" s="140">
        <f t="shared" si="265"/>
        <v>0</v>
      </c>
      <c r="BK176" s="140">
        <f t="shared" si="265"/>
        <v>0</v>
      </c>
      <c r="BL176" s="140">
        <f t="shared" si="265"/>
        <v>0</v>
      </c>
      <c r="BM176" s="140">
        <f t="shared" si="265"/>
        <v>0</v>
      </c>
      <c r="BN176" s="140">
        <f t="shared" si="265"/>
        <v>0</v>
      </c>
      <c r="BO176" s="140">
        <f t="shared" ref="BO176:CB176" si="266">IF(BO174&lt;0,0,$B$5+$B$6*((1-EXP(-BO175/$B$9))/(BO175/$B$9))+$B$7*((1-EXP(-BO175/$B$9))/(BO175/$B$9)-EXP(-BO175/$B$9))+$B$8*((1-EXP(-BO175/$B$10))/(BO175/$B$10)-EXP(-BO175/$B$10)))</f>
        <v>0</v>
      </c>
      <c r="BP176" s="140">
        <f t="shared" si="266"/>
        <v>0</v>
      </c>
      <c r="BQ176" s="140">
        <f t="shared" si="266"/>
        <v>0</v>
      </c>
      <c r="BR176" s="140">
        <f t="shared" si="266"/>
        <v>0</v>
      </c>
      <c r="BS176" s="140">
        <f t="shared" si="266"/>
        <v>0</v>
      </c>
      <c r="BT176" s="140">
        <f t="shared" si="266"/>
        <v>0</v>
      </c>
      <c r="BU176" s="140">
        <f t="shared" si="266"/>
        <v>0</v>
      </c>
      <c r="BV176" s="140">
        <f t="shared" si="266"/>
        <v>0</v>
      </c>
      <c r="BW176" s="140">
        <f t="shared" si="266"/>
        <v>0</v>
      </c>
      <c r="BX176" s="140">
        <f t="shared" si="266"/>
        <v>0</v>
      </c>
      <c r="BY176" s="140">
        <f t="shared" si="266"/>
        <v>0</v>
      </c>
      <c r="BZ176" s="140">
        <f t="shared" si="266"/>
        <v>0</v>
      </c>
      <c r="CA176" s="140">
        <f t="shared" si="266"/>
        <v>0</v>
      </c>
      <c r="CB176" s="140">
        <f t="shared" si="266"/>
        <v>0</v>
      </c>
      <c r="CC176" s="17"/>
      <c r="CD176" s="17"/>
      <c r="CE176" s="17"/>
    </row>
    <row r="177" spans="1:83">
      <c r="A177" s="16" t="s">
        <v>44</v>
      </c>
      <c r="B177" s="140">
        <f>EXP(-B176*B175)</f>
        <v>1</v>
      </c>
      <c r="C177" s="140">
        <f t="shared" ref="C177:AR177" si="267">EXP(-C176*C175)</f>
        <v>1</v>
      </c>
      <c r="D177" s="140">
        <f t="shared" si="267"/>
        <v>1</v>
      </c>
      <c r="E177" s="140">
        <f t="shared" si="267"/>
        <v>1</v>
      </c>
      <c r="F177" s="140">
        <f t="shared" si="267"/>
        <v>1</v>
      </c>
      <c r="G177" s="140">
        <f t="shared" si="267"/>
        <v>1</v>
      </c>
      <c r="H177" s="140">
        <f t="shared" si="267"/>
        <v>1</v>
      </c>
      <c r="I177" s="140">
        <f t="shared" si="267"/>
        <v>1</v>
      </c>
      <c r="J177" s="140">
        <f t="shared" si="267"/>
        <v>1</v>
      </c>
      <c r="K177" s="140">
        <f t="shared" si="267"/>
        <v>1</v>
      </c>
      <c r="L177" s="140">
        <f t="shared" si="267"/>
        <v>1</v>
      </c>
      <c r="M177" s="140">
        <f t="shared" si="267"/>
        <v>1</v>
      </c>
      <c r="N177" s="140">
        <f t="shared" si="267"/>
        <v>1</v>
      </c>
      <c r="O177" s="140">
        <f t="shared" si="267"/>
        <v>1</v>
      </c>
      <c r="P177" s="140">
        <f t="shared" si="267"/>
        <v>1</v>
      </c>
      <c r="Q177" s="140">
        <f t="shared" si="267"/>
        <v>1</v>
      </c>
      <c r="R177" s="140">
        <f t="shared" si="267"/>
        <v>1</v>
      </c>
      <c r="S177" s="140">
        <f t="shared" si="267"/>
        <v>1</v>
      </c>
      <c r="T177" s="140">
        <f t="shared" si="267"/>
        <v>1</v>
      </c>
      <c r="U177" s="140">
        <f t="shared" si="267"/>
        <v>1</v>
      </c>
      <c r="V177" s="140">
        <f t="shared" si="267"/>
        <v>1</v>
      </c>
      <c r="W177" s="140">
        <f t="shared" si="267"/>
        <v>1</v>
      </c>
      <c r="X177" s="140">
        <f t="shared" si="267"/>
        <v>1</v>
      </c>
      <c r="Y177" s="140">
        <f t="shared" si="267"/>
        <v>1</v>
      </c>
      <c r="Z177" s="140">
        <f t="shared" si="267"/>
        <v>1</v>
      </c>
      <c r="AA177" s="140">
        <f t="shared" si="267"/>
        <v>1</v>
      </c>
      <c r="AB177" s="140">
        <f t="shared" si="267"/>
        <v>1</v>
      </c>
      <c r="AC177" s="140">
        <f t="shared" si="267"/>
        <v>1</v>
      </c>
      <c r="AD177" s="140">
        <f t="shared" si="267"/>
        <v>1</v>
      </c>
      <c r="AE177" s="140">
        <f t="shared" si="267"/>
        <v>1</v>
      </c>
      <c r="AF177" s="140">
        <f t="shared" si="267"/>
        <v>1</v>
      </c>
      <c r="AG177" s="140">
        <f t="shared" si="267"/>
        <v>1</v>
      </c>
      <c r="AH177" s="140">
        <f t="shared" si="267"/>
        <v>1</v>
      </c>
      <c r="AI177" s="140">
        <f t="shared" si="267"/>
        <v>1</v>
      </c>
      <c r="AJ177" s="140">
        <f t="shared" si="267"/>
        <v>1</v>
      </c>
      <c r="AK177" s="140">
        <f t="shared" si="267"/>
        <v>1</v>
      </c>
      <c r="AL177" s="140">
        <f t="shared" si="267"/>
        <v>1</v>
      </c>
      <c r="AM177" s="140">
        <f t="shared" si="267"/>
        <v>1</v>
      </c>
      <c r="AN177" s="140">
        <f t="shared" si="267"/>
        <v>1</v>
      </c>
      <c r="AO177" s="140">
        <f t="shared" si="267"/>
        <v>1</v>
      </c>
      <c r="AP177" s="140">
        <f t="shared" si="267"/>
        <v>1</v>
      </c>
      <c r="AQ177" s="140">
        <f t="shared" si="267"/>
        <v>1</v>
      </c>
      <c r="AR177" s="140">
        <f t="shared" si="267"/>
        <v>1</v>
      </c>
      <c r="AS177" s="140">
        <f>EXP(-AS176*AS175)</f>
        <v>1</v>
      </c>
      <c r="AT177" s="140">
        <f t="shared" ref="AT177:CA177" si="268">EXP(-AT176*AT175)</f>
        <v>1</v>
      </c>
      <c r="AU177" s="140">
        <f t="shared" si="268"/>
        <v>1</v>
      </c>
      <c r="AV177" s="140">
        <f t="shared" si="268"/>
        <v>1</v>
      </c>
      <c r="AW177" s="140">
        <f t="shared" si="268"/>
        <v>1</v>
      </c>
      <c r="AX177" s="140">
        <f t="shared" si="268"/>
        <v>1</v>
      </c>
      <c r="AY177" s="140">
        <f t="shared" si="268"/>
        <v>1</v>
      </c>
      <c r="AZ177" s="140">
        <f t="shared" si="268"/>
        <v>1</v>
      </c>
      <c r="BA177" s="140">
        <f t="shared" si="268"/>
        <v>1</v>
      </c>
      <c r="BB177" s="140">
        <f t="shared" si="268"/>
        <v>1</v>
      </c>
      <c r="BC177" s="140">
        <f t="shared" si="268"/>
        <v>1</v>
      </c>
      <c r="BD177" s="140">
        <f t="shared" si="268"/>
        <v>1</v>
      </c>
      <c r="BE177" s="140">
        <f t="shared" si="268"/>
        <v>1</v>
      </c>
      <c r="BF177" s="140">
        <f t="shared" si="268"/>
        <v>1</v>
      </c>
      <c r="BG177" s="140">
        <f t="shared" si="268"/>
        <v>1</v>
      </c>
      <c r="BH177" s="140">
        <f t="shared" si="268"/>
        <v>1</v>
      </c>
      <c r="BI177" s="140">
        <f t="shared" si="268"/>
        <v>1</v>
      </c>
      <c r="BJ177" s="140">
        <f t="shared" si="268"/>
        <v>1</v>
      </c>
      <c r="BK177" s="140">
        <f t="shared" si="268"/>
        <v>1</v>
      </c>
      <c r="BL177" s="140">
        <f t="shared" si="268"/>
        <v>1</v>
      </c>
      <c r="BM177" s="140">
        <f t="shared" si="268"/>
        <v>1</v>
      </c>
      <c r="BN177" s="140">
        <f t="shared" si="268"/>
        <v>1</v>
      </c>
      <c r="BO177" s="140">
        <f t="shared" si="268"/>
        <v>1</v>
      </c>
      <c r="BP177" s="140">
        <f t="shared" si="268"/>
        <v>1</v>
      </c>
      <c r="BQ177" s="140">
        <f t="shared" si="268"/>
        <v>1</v>
      </c>
      <c r="BR177" s="140">
        <f t="shared" si="268"/>
        <v>1</v>
      </c>
      <c r="BS177" s="140">
        <f t="shared" si="268"/>
        <v>1</v>
      </c>
      <c r="BT177" s="140">
        <f t="shared" si="268"/>
        <v>1</v>
      </c>
      <c r="BU177" s="140">
        <f t="shared" si="268"/>
        <v>1</v>
      </c>
      <c r="BV177" s="140">
        <f t="shared" si="268"/>
        <v>1</v>
      </c>
      <c r="BW177" s="140">
        <f t="shared" si="268"/>
        <v>1</v>
      </c>
      <c r="BX177" s="140">
        <f t="shared" si="268"/>
        <v>1</v>
      </c>
      <c r="BY177" s="140">
        <f t="shared" si="268"/>
        <v>1</v>
      </c>
      <c r="BZ177" s="140">
        <f t="shared" si="268"/>
        <v>1</v>
      </c>
      <c r="CA177" s="140">
        <f t="shared" si="268"/>
        <v>1</v>
      </c>
      <c r="CB177" s="140">
        <f>EXP(-CB176*CB175)</f>
        <v>1</v>
      </c>
      <c r="CC177" s="17"/>
      <c r="CD177" s="17"/>
      <c r="CE177" s="17"/>
    </row>
    <row r="178" spans="1:83">
      <c r="A178" s="17"/>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17"/>
      <c r="CD178" s="17"/>
      <c r="CE178" s="17"/>
    </row>
    <row r="179" spans="1:83">
      <c r="A179" s="16" t="s">
        <v>40</v>
      </c>
      <c r="B179" s="140">
        <f t="shared" ref="B179:BM179" si="269">DAYS360($B$3,B68)</f>
        <v>-43022</v>
      </c>
      <c r="C179" s="140">
        <f t="shared" si="269"/>
        <v>-42842</v>
      </c>
      <c r="D179" s="140">
        <f t="shared" si="269"/>
        <v>-42662</v>
      </c>
      <c r="E179" s="140">
        <f t="shared" si="269"/>
        <v>-42482</v>
      </c>
      <c r="F179" s="140">
        <f t="shared" si="269"/>
        <v>-42302</v>
      </c>
      <c r="G179" s="140">
        <f t="shared" si="269"/>
        <v>-42122</v>
      </c>
      <c r="H179" s="140">
        <f t="shared" si="269"/>
        <v>-41942</v>
      </c>
      <c r="I179" s="140">
        <f t="shared" si="269"/>
        <v>-41762</v>
      </c>
      <c r="J179" s="140">
        <f t="shared" si="269"/>
        <v>-41582</v>
      </c>
      <c r="K179" s="140">
        <f t="shared" si="269"/>
        <v>-41403</v>
      </c>
      <c r="L179" s="140">
        <f t="shared" si="269"/>
        <v>-41223</v>
      </c>
      <c r="M179" s="140">
        <f t="shared" si="269"/>
        <v>-41043</v>
      </c>
      <c r="N179" s="140">
        <f t="shared" si="269"/>
        <v>-40863</v>
      </c>
      <c r="O179" s="140">
        <f t="shared" si="269"/>
        <v>-40683</v>
      </c>
      <c r="P179" s="140">
        <f t="shared" si="269"/>
        <v>-40503</v>
      </c>
      <c r="Q179" s="140">
        <f t="shared" si="269"/>
        <v>-40323</v>
      </c>
      <c r="R179" s="140">
        <f t="shared" si="269"/>
        <v>-40143</v>
      </c>
      <c r="S179" s="140">
        <f t="shared" si="269"/>
        <v>-39964</v>
      </c>
      <c r="T179" s="140">
        <f t="shared" si="269"/>
        <v>-39784</v>
      </c>
      <c r="U179" s="140">
        <f t="shared" si="269"/>
        <v>-39604</v>
      </c>
      <c r="V179" s="140">
        <f t="shared" si="269"/>
        <v>-39424</v>
      </c>
      <c r="W179" s="140">
        <f t="shared" si="269"/>
        <v>-39244</v>
      </c>
      <c r="X179" s="140">
        <f t="shared" si="269"/>
        <v>-39064</v>
      </c>
      <c r="Y179" s="140">
        <f t="shared" si="269"/>
        <v>-38884</v>
      </c>
      <c r="Z179" s="140">
        <f t="shared" si="269"/>
        <v>-38704</v>
      </c>
      <c r="AA179" s="140">
        <f t="shared" si="269"/>
        <v>-38525</v>
      </c>
      <c r="AB179" s="140">
        <f t="shared" si="269"/>
        <v>-38345</v>
      </c>
      <c r="AC179" s="140">
        <f t="shared" si="269"/>
        <v>-38165</v>
      </c>
      <c r="AD179" s="140">
        <f t="shared" si="269"/>
        <v>-37985</v>
      </c>
      <c r="AE179" s="140">
        <f t="shared" si="269"/>
        <v>-37805</v>
      </c>
      <c r="AF179" s="140">
        <f t="shared" si="269"/>
        <v>-37625</v>
      </c>
      <c r="AG179" s="140">
        <f t="shared" si="269"/>
        <v>-37445</v>
      </c>
      <c r="AH179" s="140">
        <f t="shared" si="269"/>
        <v>-37265</v>
      </c>
      <c r="AI179" s="140">
        <f t="shared" si="269"/>
        <v>-37086</v>
      </c>
      <c r="AJ179" s="140">
        <f t="shared" si="269"/>
        <v>-36906</v>
      </c>
      <c r="AK179" s="140">
        <f t="shared" si="269"/>
        <v>-36726</v>
      </c>
      <c r="AL179" s="140">
        <f t="shared" si="269"/>
        <v>-36546</v>
      </c>
      <c r="AM179" s="140">
        <f t="shared" si="269"/>
        <v>-36366</v>
      </c>
      <c r="AN179" s="140">
        <f t="shared" si="269"/>
        <v>-36186</v>
      </c>
      <c r="AO179" s="140">
        <f t="shared" si="269"/>
        <v>-36006</v>
      </c>
      <c r="AP179" s="140">
        <f t="shared" si="269"/>
        <v>-35826</v>
      </c>
      <c r="AQ179" s="140">
        <f t="shared" si="269"/>
        <v>-35647</v>
      </c>
      <c r="AR179" s="140">
        <f t="shared" si="269"/>
        <v>-35467</v>
      </c>
      <c r="AS179" s="140">
        <f t="shared" si="269"/>
        <v>-35287</v>
      </c>
      <c r="AT179" s="140">
        <f t="shared" si="269"/>
        <v>-35107</v>
      </c>
      <c r="AU179" s="140">
        <f t="shared" si="269"/>
        <v>-34927</v>
      </c>
      <c r="AV179" s="140">
        <f t="shared" si="269"/>
        <v>-34747</v>
      </c>
      <c r="AW179" s="140">
        <f t="shared" si="269"/>
        <v>-34567</v>
      </c>
      <c r="AX179" s="140">
        <f t="shared" si="269"/>
        <v>-34387</v>
      </c>
      <c r="AY179" s="140">
        <f t="shared" si="269"/>
        <v>-34208</v>
      </c>
      <c r="AZ179" s="140">
        <f t="shared" si="269"/>
        <v>-34028</v>
      </c>
      <c r="BA179" s="140">
        <f t="shared" si="269"/>
        <v>-33848</v>
      </c>
      <c r="BB179" s="140">
        <f t="shared" si="269"/>
        <v>-33668</v>
      </c>
      <c r="BC179" s="140">
        <f t="shared" si="269"/>
        <v>-33488</v>
      </c>
      <c r="BD179" s="140">
        <f t="shared" si="269"/>
        <v>-33308</v>
      </c>
      <c r="BE179" s="140">
        <f t="shared" si="269"/>
        <v>-33128</v>
      </c>
      <c r="BF179" s="140">
        <f t="shared" si="269"/>
        <v>-32948</v>
      </c>
      <c r="BG179" s="140">
        <f t="shared" si="269"/>
        <v>-32769</v>
      </c>
      <c r="BH179" s="140">
        <f t="shared" si="269"/>
        <v>-32589</v>
      </c>
      <c r="BI179" s="140">
        <f t="shared" si="269"/>
        <v>-32409</v>
      </c>
      <c r="BJ179" s="140">
        <f t="shared" si="269"/>
        <v>-32229</v>
      </c>
      <c r="BK179" s="140">
        <f t="shared" si="269"/>
        <v>-32049</v>
      </c>
      <c r="BL179" s="140">
        <f t="shared" si="269"/>
        <v>-31869</v>
      </c>
      <c r="BM179" s="140">
        <f t="shared" si="269"/>
        <v>-31689</v>
      </c>
      <c r="BN179" s="140">
        <f t="shared" ref="BN179:CB179" si="270">DAYS360($B$3,BN68)</f>
        <v>-31509</v>
      </c>
      <c r="BO179" s="140">
        <f t="shared" si="270"/>
        <v>-31330</v>
      </c>
      <c r="BP179" s="140">
        <f t="shared" si="270"/>
        <v>-31150</v>
      </c>
      <c r="BQ179" s="140">
        <f t="shared" si="270"/>
        <v>-30970</v>
      </c>
      <c r="BR179" s="140">
        <f t="shared" si="270"/>
        <v>-30790</v>
      </c>
      <c r="BS179" s="140">
        <f t="shared" si="270"/>
        <v>-30610</v>
      </c>
      <c r="BT179" s="140">
        <f t="shared" si="270"/>
        <v>-30430</v>
      </c>
      <c r="BU179" s="140">
        <f t="shared" si="270"/>
        <v>-30250</v>
      </c>
      <c r="BV179" s="140">
        <f t="shared" si="270"/>
        <v>-30070</v>
      </c>
      <c r="BW179" s="140">
        <f t="shared" si="270"/>
        <v>-29891</v>
      </c>
      <c r="BX179" s="140">
        <f t="shared" si="270"/>
        <v>-29711</v>
      </c>
      <c r="BY179" s="140">
        <f t="shared" si="270"/>
        <v>-29531</v>
      </c>
      <c r="BZ179" s="140">
        <f t="shared" si="270"/>
        <v>-29351</v>
      </c>
      <c r="CA179" s="140">
        <f t="shared" si="270"/>
        <v>-29171</v>
      </c>
      <c r="CB179" s="140">
        <f t="shared" si="270"/>
        <v>-28991</v>
      </c>
      <c r="CC179" s="17"/>
      <c r="CD179" s="17"/>
      <c r="CE179" s="17"/>
    </row>
    <row r="180" spans="1:83">
      <c r="A180" s="16" t="s">
        <v>41</v>
      </c>
      <c r="B180" s="140">
        <f>B179/360</f>
        <v>-119.50555555555556</v>
      </c>
      <c r="C180" s="140">
        <f t="shared" ref="C180:BN180" si="271">C179/360</f>
        <v>-119.00555555555556</v>
      </c>
      <c r="D180" s="140">
        <f t="shared" si="271"/>
        <v>-118.50555555555556</v>
      </c>
      <c r="E180" s="140">
        <f t="shared" si="271"/>
        <v>-118.00555555555556</v>
      </c>
      <c r="F180" s="140">
        <f t="shared" si="271"/>
        <v>-117.50555555555556</v>
      </c>
      <c r="G180" s="140">
        <f t="shared" si="271"/>
        <v>-117.00555555555556</v>
      </c>
      <c r="H180" s="140">
        <f t="shared" si="271"/>
        <v>-116.50555555555556</v>
      </c>
      <c r="I180" s="140">
        <f t="shared" si="271"/>
        <v>-116.00555555555556</v>
      </c>
      <c r="J180" s="140">
        <f t="shared" si="271"/>
        <v>-115.50555555555556</v>
      </c>
      <c r="K180" s="140">
        <f t="shared" si="271"/>
        <v>-115.00833333333334</v>
      </c>
      <c r="L180" s="140">
        <f t="shared" si="271"/>
        <v>-114.50833333333334</v>
      </c>
      <c r="M180" s="140">
        <f t="shared" si="271"/>
        <v>-114.00833333333334</v>
      </c>
      <c r="N180" s="140">
        <f t="shared" si="271"/>
        <v>-113.50833333333334</v>
      </c>
      <c r="O180" s="140">
        <f t="shared" si="271"/>
        <v>-113.00833333333334</v>
      </c>
      <c r="P180" s="140">
        <f t="shared" si="271"/>
        <v>-112.50833333333334</v>
      </c>
      <c r="Q180" s="140">
        <f t="shared" si="271"/>
        <v>-112.00833333333334</v>
      </c>
      <c r="R180" s="140">
        <f t="shared" si="271"/>
        <v>-111.50833333333334</v>
      </c>
      <c r="S180" s="140">
        <f t="shared" si="271"/>
        <v>-111.01111111111111</v>
      </c>
      <c r="T180" s="140">
        <f t="shared" si="271"/>
        <v>-110.51111111111111</v>
      </c>
      <c r="U180" s="140">
        <f t="shared" si="271"/>
        <v>-110.01111111111111</v>
      </c>
      <c r="V180" s="140">
        <f t="shared" si="271"/>
        <v>-109.51111111111111</v>
      </c>
      <c r="W180" s="140">
        <f t="shared" si="271"/>
        <v>-109.01111111111111</v>
      </c>
      <c r="X180" s="140">
        <f t="shared" si="271"/>
        <v>-108.51111111111111</v>
      </c>
      <c r="Y180" s="140">
        <f t="shared" si="271"/>
        <v>-108.01111111111111</v>
      </c>
      <c r="Z180" s="140">
        <f t="shared" si="271"/>
        <v>-107.51111111111111</v>
      </c>
      <c r="AA180" s="140">
        <f t="shared" si="271"/>
        <v>-107.01388888888889</v>
      </c>
      <c r="AB180" s="140">
        <f t="shared" si="271"/>
        <v>-106.51388888888889</v>
      </c>
      <c r="AC180" s="140">
        <f t="shared" si="271"/>
        <v>-106.01388888888889</v>
      </c>
      <c r="AD180" s="140">
        <f t="shared" si="271"/>
        <v>-105.51388888888889</v>
      </c>
      <c r="AE180" s="140">
        <f t="shared" si="271"/>
        <v>-105.01388888888889</v>
      </c>
      <c r="AF180" s="140">
        <f t="shared" si="271"/>
        <v>-104.51388888888889</v>
      </c>
      <c r="AG180" s="140">
        <f t="shared" si="271"/>
        <v>-104.01388888888889</v>
      </c>
      <c r="AH180" s="140">
        <f t="shared" si="271"/>
        <v>-103.51388888888889</v>
      </c>
      <c r="AI180" s="140">
        <f t="shared" si="271"/>
        <v>-103.01666666666667</v>
      </c>
      <c r="AJ180" s="140">
        <f t="shared" si="271"/>
        <v>-102.51666666666667</v>
      </c>
      <c r="AK180" s="140">
        <f t="shared" si="271"/>
        <v>-102.01666666666667</v>
      </c>
      <c r="AL180" s="140">
        <f t="shared" si="271"/>
        <v>-101.51666666666667</v>
      </c>
      <c r="AM180" s="140">
        <f t="shared" si="271"/>
        <v>-101.01666666666667</v>
      </c>
      <c r="AN180" s="140">
        <f t="shared" si="271"/>
        <v>-100.51666666666667</v>
      </c>
      <c r="AO180" s="140">
        <f t="shared" si="271"/>
        <v>-100.01666666666667</v>
      </c>
      <c r="AP180" s="140">
        <f t="shared" si="271"/>
        <v>-99.516666666666666</v>
      </c>
      <c r="AQ180" s="140">
        <f t="shared" si="271"/>
        <v>-99.019444444444446</v>
      </c>
      <c r="AR180" s="140">
        <f t="shared" si="271"/>
        <v>-98.519444444444446</v>
      </c>
      <c r="AS180" s="140">
        <f t="shared" si="271"/>
        <v>-98.019444444444446</v>
      </c>
      <c r="AT180" s="140">
        <f t="shared" si="271"/>
        <v>-97.519444444444446</v>
      </c>
      <c r="AU180" s="140">
        <f t="shared" si="271"/>
        <v>-97.019444444444446</v>
      </c>
      <c r="AV180" s="140">
        <f t="shared" si="271"/>
        <v>-96.519444444444446</v>
      </c>
      <c r="AW180" s="140">
        <f t="shared" si="271"/>
        <v>-96.019444444444446</v>
      </c>
      <c r="AX180" s="140">
        <f t="shared" si="271"/>
        <v>-95.519444444444446</v>
      </c>
      <c r="AY180" s="140">
        <f t="shared" si="271"/>
        <v>-95.022222222222226</v>
      </c>
      <c r="AZ180" s="140">
        <f t="shared" si="271"/>
        <v>-94.522222222222226</v>
      </c>
      <c r="BA180" s="140">
        <f t="shared" si="271"/>
        <v>-94.022222222222226</v>
      </c>
      <c r="BB180" s="140">
        <f t="shared" si="271"/>
        <v>-93.522222222222226</v>
      </c>
      <c r="BC180" s="140">
        <f t="shared" si="271"/>
        <v>-93.022222222222226</v>
      </c>
      <c r="BD180" s="140">
        <f t="shared" si="271"/>
        <v>-92.522222222222226</v>
      </c>
      <c r="BE180" s="140">
        <f t="shared" si="271"/>
        <v>-92.022222222222226</v>
      </c>
      <c r="BF180" s="140">
        <f t="shared" si="271"/>
        <v>-91.522222222222226</v>
      </c>
      <c r="BG180" s="140">
        <f t="shared" si="271"/>
        <v>-91.025000000000006</v>
      </c>
      <c r="BH180" s="140">
        <f t="shared" si="271"/>
        <v>-90.525000000000006</v>
      </c>
      <c r="BI180" s="140">
        <f t="shared" si="271"/>
        <v>-90.025000000000006</v>
      </c>
      <c r="BJ180" s="140">
        <f t="shared" si="271"/>
        <v>-89.525000000000006</v>
      </c>
      <c r="BK180" s="140">
        <f t="shared" si="271"/>
        <v>-89.025000000000006</v>
      </c>
      <c r="BL180" s="140">
        <f t="shared" si="271"/>
        <v>-88.525000000000006</v>
      </c>
      <c r="BM180" s="140">
        <f t="shared" si="271"/>
        <v>-88.025000000000006</v>
      </c>
      <c r="BN180" s="140">
        <f t="shared" si="271"/>
        <v>-87.525000000000006</v>
      </c>
      <c r="BO180" s="140">
        <f t="shared" ref="BO180:CB180" si="272">BO179/360</f>
        <v>-87.027777777777771</v>
      </c>
      <c r="BP180" s="140">
        <f t="shared" si="272"/>
        <v>-86.527777777777771</v>
      </c>
      <c r="BQ180" s="140">
        <f t="shared" si="272"/>
        <v>-86.027777777777771</v>
      </c>
      <c r="BR180" s="140">
        <f t="shared" si="272"/>
        <v>-85.527777777777771</v>
      </c>
      <c r="BS180" s="140">
        <f t="shared" si="272"/>
        <v>-85.027777777777771</v>
      </c>
      <c r="BT180" s="140">
        <f t="shared" si="272"/>
        <v>-84.527777777777771</v>
      </c>
      <c r="BU180" s="140">
        <f t="shared" si="272"/>
        <v>-84.027777777777771</v>
      </c>
      <c r="BV180" s="140">
        <f t="shared" si="272"/>
        <v>-83.527777777777771</v>
      </c>
      <c r="BW180" s="140">
        <f t="shared" si="272"/>
        <v>-83.030555555555551</v>
      </c>
      <c r="BX180" s="140">
        <f t="shared" si="272"/>
        <v>-82.530555555555551</v>
      </c>
      <c r="BY180" s="140">
        <f t="shared" si="272"/>
        <v>-82.030555555555551</v>
      </c>
      <c r="BZ180" s="140">
        <f t="shared" si="272"/>
        <v>-81.530555555555551</v>
      </c>
      <c r="CA180" s="140">
        <f t="shared" si="272"/>
        <v>-81.030555555555551</v>
      </c>
      <c r="CB180" s="140">
        <f t="shared" si="272"/>
        <v>-80.530555555555551</v>
      </c>
      <c r="CC180" s="17"/>
      <c r="CD180" s="17"/>
      <c r="CE180" s="17"/>
    </row>
    <row r="181" spans="1:83">
      <c r="A181" s="16" t="s">
        <v>43</v>
      </c>
      <c r="B181" s="140">
        <f>IF(B179&lt;0,0,$B$5+$B$6*((1-EXP(-B180/$B$9))/(B180/$B$9))+$B$7*((1-EXP(-B180/$B$9))/(B180/$B$9)-EXP(-B180/$B$9))+$B$8*((1-EXP(-B180/$B$10))/(B180/$B$10)-EXP(-B180/$B$10)))</f>
        <v>0</v>
      </c>
      <c r="C181" s="140">
        <f t="shared" ref="C181:BN181" si="273">IF(C179&lt;0,0,$B$5+$B$6*((1-EXP(-C180/$B$9))/(C180/$B$9))+$B$7*((1-EXP(-C180/$B$9))/(C180/$B$9)-EXP(-C180/$B$9))+$B$8*((1-EXP(-C180/$B$10))/(C180/$B$10)-EXP(-C180/$B$10)))</f>
        <v>0</v>
      </c>
      <c r="D181" s="140">
        <f t="shared" si="273"/>
        <v>0</v>
      </c>
      <c r="E181" s="140">
        <f t="shared" si="273"/>
        <v>0</v>
      </c>
      <c r="F181" s="140">
        <f t="shared" si="273"/>
        <v>0</v>
      </c>
      <c r="G181" s="140">
        <f t="shared" si="273"/>
        <v>0</v>
      </c>
      <c r="H181" s="140">
        <f t="shared" si="273"/>
        <v>0</v>
      </c>
      <c r="I181" s="140">
        <f t="shared" si="273"/>
        <v>0</v>
      </c>
      <c r="J181" s="140">
        <f t="shared" si="273"/>
        <v>0</v>
      </c>
      <c r="K181" s="140">
        <f t="shared" si="273"/>
        <v>0</v>
      </c>
      <c r="L181" s="140">
        <f t="shared" si="273"/>
        <v>0</v>
      </c>
      <c r="M181" s="140">
        <f t="shared" si="273"/>
        <v>0</v>
      </c>
      <c r="N181" s="140">
        <f t="shared" si="273"/>
        <v>0</v>
      </c>
      <c r="O181" s="140">
        <f t="shared" si="273"/>
        <v>0</v>
      </c>
      <c r="P181" s="140">
        <f t="shared" si="273"/>
        <v>0</v>
      </c>
      <c r="Q181" s="140">
        <f t="shared" si="273"/>
        <v>0</v>
      </c>
      <c r="R181" s="140">
        <f t="shared" si="273"/>
        <v>0</v>
      </c>
      <c r="S181" s="140">
        <f t="shared" si="273"/>
        <v>0</v>
      </c>
      <c r="T181" s="140">
        <f t="shared" si="273"/>
        <v>0</v>
      </c>
      <c r="U181" s="140">
        <f t="shared" si="273"/>
        <v>0</v>
      </c>
      <c r="V181" s="140">
        <f t="shared" si="273"/>
        <v>0</v>
      </c>
      <c r="W181" s="140">
        <f t="shared" si="273"/>
        <v>0</v>
      </c>
      <c r="X181" s="140">
        <f t="shared" si="273"/>
        <v>0</v>
      </c>
      <c r="Y181" s="140">
        <f t="shared" si="273"/>
        <v>0</v>
      </c>
      <c r="Z181" s="140">
        <f t="shared" si="273"/>
        <v>0</v>
      </c>
      <c r="AA181" s="140">
        <f t="shared" si="273"/>
        <v>0</v>
      </c>
      <c r="AB181" s="140">
        <f t="shared" si="273"/>
        <v>0</v>
      </c>
      <c r="AC181" s="140">
        <f t="shared" si="273"/>
        <v>0</v>
      </c>
      <c r="AD181" s="140">
        <f t="shared" si="273"/>
        <v>0</v>
      </c>
      <c r="AE181" s="140">
        <f t="shared" si="273"/>
        <v>0</v>
      </c>
      <c r="AF181" s="140">
        <f t="shared" si="273"/>
        <v>0</v>
      </c>
      <c r="AG181" s="140">
        <f t="shared" si="273"/>
        <v>0</v>
      </c>
      <c r="AH181" s="140">
        <f t="shared" si="273"/>
        <v>0</v>
      </c>
      <c r="AI181" s="140">
        <f t="shared" si="273"/>
        <v>0</v>
      </c>
      <c r="AJ181" s="140">
        <f t="shared" si="273"/>
        <v>0</v>
      </c>
      <c r="AK181" s="140">
        <f t="shared" si="273"/>
        <v>0</v>
      </c>
      <c r="AL181" s="140">
        <f t="shared" si="273"/>
        <v>0</v>
      </c>
      <c r="AM181" s="140">
        <f t="shared" si="273"/>
        <v>0</v>
      </c>
      <c r="AN181" s="140">
        <f t="shared" si="273"/>
        <v>0</v>
      </c>
      <c r="AO181" s="140">
        <f t="shared" si="273"/>
        <v>0</v>
      </c>
      <c r="AP181" s="140">
        <f t="shared" si="273"/>
        <v>0</v>
      </c>
      <c r="AQ181" s="140">
        <f t="shared" si="273"/>
        <v>0</v>
      </c>
      <c r="AR181" s="140">
        <f t="shared" si="273"/>
        <v>0</v>
      </c>
      <c r="AS181" s="140">
        <f t="shared" si="273"/>
        <v>0</v>
      </c>
      <c r="AT181" s="140">
        <f t="shared" si="273"/>
        <v>0</v>
      </c>
      <c r="AU181" s="140">
        <f t="shared" si="273"/>
        <v>0</v>
      </c>
      <c r="AV181" s="140">
        <f t="shared" si="273"/>
        <v>0</v>
      </c>
      <c r="AW181" s="140">
        <f t="shared" si="273"/>
        <v>0</v>
      </c>
      <c r="AX181" s="140">
        <f t="shared" si="273"/>
        <v>0</v>
      </c>
      <c r="AY181" s="140">
        <f t="shared" si="273"/>
        <v>0</v>
      </c>
      <c r="AZ181" s="140">
        <f t="shared" si="273"/>
        <v>0</v>
      </c>
      <c r="BA181" s="140">
        <f t="shared" si="273"/>
        <v>0</v>
      </c>
      <c r="BB181" s="140">
        <f t="shared" si="273"/>
        <v>0</v>
      </c>
      <c r="BC181" s="140">
        <f t="shared" si="273"/>
        <v>0</v>
      </c>
      <c r="BD181" s="140">
        <f t="shared" si="273"/>
        <v>0</v>
      </c>
      <c r="BE181" s="140">
        <f t="shared" si="273"/>
        <v>0</v>
      </c>
      <c r="BF181" s="140">
        <f t="shared" si="273"/>
        <v>0</v>
      </c>
      <c r="BG181" s="140">
        <f t="shared" si="273"/>
        <v>0</v>
      </c>
      <c r="BH181" s="140">
        <f t="shared" si="273"/>
        <v>0</v>
      </c>
      <c r="BI181" s="140">
        <f t="shared" si="273"/>
        <v>0</v>
      </c>
      <c r="BJ181" s="140">
        <f t="shared" si="273"/>
        <v>0</v>
      </c>
      <c r="BK181" s="140">
        <f t="shared" si="273"/>
        <v>0</v>
      </c>
      <c r="BL181" s="140">
        <f t="shared" si="273"/>
        <v>0</v>
      </c>
      <c r="BM181" s="140">
        <f t="shared" si="273"/>
        <v>0</v>
      </c>
      <c r="BN181" s="140">
        <f t="shared" si="273"/>
        <v>0</v>
      </c>
      <c r="BO181" s="140">
        <f t="shared" ref="BO181:CB181" si="274">IF(BO179&lt;0,0,$B$5+$B$6*((1-EXP(-BO180/$B$9))/(BO180/$B$9))+$B$7*((1-EXP(-BO180/$B$9))/(BO180/$B$9)-EXP(-BO180/$B$9))+$B$8*((1-EXP(-BO180/$B$10))/(BO180/$B$10)-EXP(-BO180/$B$10)))</f>
        <v>0</v>
      </c>
      <c r="BP181" s="140">
        <f t="shared" si="274"/>
        <v>0</v>
      </c>
      <c r="BQ181" s="140">
        <f t="shared" si="274"/>
        <v>0</v>
      </c>
      <c r="BR181" s="140">
        <f t="shared" si="274"/>
        <v>0</v>
      </c>
      <c r="BS181" s="140">
        <f t="shared" si="274"/>
        <v>0</v>
      </c>
      <c r="BT181" s="140">
        <f t="shared" si="274"/>
        <v>0</v>
      </c>
      <c r="BU181" s="140">
        <f t="shared" si="274"/>
        <v>0</v>
      </c>
      <c r="BV181" s="140">
        <f t="shared" si="274"/>
        <v>0</v>
      </c>
      <c r="BW181" s="140">
        <f t="shared" si="274"/>
        <v>0</v>
      </c>
      <c r="BX181" s="140">
        <f t="shared" si="274"/>
        <v>0</v>
      </c>
      <c r="BY181" s="140">
        <f t="shared" si="274"/>
        <v>0</v>
      </c>
      <c r="BZ181" s="140">
        <f t="shared" si="274"/>
        <v>0</v>
      </c>
      <c r="CA181" s="140">
        <f t="shared" si="274"/>
        <v>0</v>
      </c>
      <c r="CB181" s="140">
        <f t="shared" si="274"/>
        <v>0</v>
      </c>
      <c r="CC181" s="17"/>
      <c r="CD181" s="17"/>
      <c r="CE181" s="17"/>
    </row>
    <row r="182" spans="1:83">
      <c r="A182" s="16" t="s">
        <v>44</v>
      </c>
      <c r="B182" s="140">
        <f>EXP(-B181*B180)</f>
        <v>1</v>
      </c>
      <c r="C182" s="140">
        <f t="shared" ref="C182:AR182" si="275">EXP(-C181*C180)</f>
        <v>1</v>
      </c>
      <c r="D182" s="140">
        <f t="shared" si="275"/>
        <v>1</v>
      </c>
      <c r="E182" s="140">
        <f t="shared" si="275"/>
        <v>1</v>
      </c>
      <c r="F182" s="140">
        <f t="shared" si="275"/>
        <v>1</v>
      </c>
      <c r="G182" s="140">
        <f t="shared" si="275"/>
        <v>1</v>
      </c>
      <c r="H182" s="140">
        <f t="shared" si="275"/>
        <v>1</v>
      </c>
      <c r="I182" s="140">
        <f t="shared" si="275"/>
        <v>1</v>
      </c>
      <c r="J182" s="140">
        <f t="shared" si="275"/>
        <v>1</v>
      </c>
      <c r="K182" s="140">
        <f t="shared" si="275"/>
        <v>1</v>
      </c>
      <c r="L182" s="140">
        <f t="shared" si="275"/>
        <v>1</v>
      </c>
      <c r="M182" s="140">
        <f t="shared" si="275"/>
        <v>1</v>
      </c>
      <c r="N182" s="140">
        <f t="shared" si="275"/>
        <v>1</v>
      </c>
      <c r="O182" s="140">
        <f t="shared" si="275"/>
        <v>1</v>
      </c>
      <c r="P182" s="140">
        <f t="shared" si="275"/>
        <v>1</v>
      </c>
      <c r="Q182" s="140">
        <f t="shared" si="275"/>
        <v>1</v>
      </c>
      <c r="R182" s="140">
        <f t="shared" si="275"/>
        <v>1</v>
      </c>
      <c r="S182" s="140">
        <f t="shared" si="275"/>
        <v>1</v>
      </c>
      <c r="T182" s="140">
        <f t="shared" si="275"/>
        <v>1</v>
      </c>
      <c r="U182" s="140">
        <f t="shared" si="275"/>
        <v>1</v>
      </c>
      <c r="V182" s="140">
        <f t="shared" si="275"/>
        <v>1</v>
      </c>
      <c r="W182" s="140">
        <f t="shared" si="275"/>
        <v>1</v>
      </c>
      <c r="X182" s="140">
        <f t="shared" si="275"/>
        <v>1</v>
      </c>
      <c r="Y182" s="140">
        <f t="shared" si="275"/>
        <v>1</v>
      </c>
      <c r="Z182" s="140">
        <f t="shared" si="275"/>
        <v>1</v>
      </c>
      <c r="AA182" s="140">
        <f t="shared" si="275"/>
        <v>1</v>
      </c>
      <c r="AB182" s="140">
        <f t="shared" si="275"/>
        <v>1</v>
      </c>
      <c r="AC182" s="140">
        <f t="shared" si="275"/>
        <v>1</v>
      </c>
      <c r="AD182" s="140">
        <f t="shared" si="275"/>
        <v>1</v>
      </c>
      <c r="AE182" s="140">
        <f t="shared" si="275"/>
        <v>1</v>
      </c>
      <c r="AF182" s="140">
        <f t="shared" si="275"/>
        <v>1</v>
      </c>
      <c r="AG182" s="140">
        <f t="shared" si="275"/>
        <v>1</v>
      </c>
      <c r="AH182" s="140">
        <f t="shared" si="275"/>
        <v>1</v>
      </c>
      <c r="AI182" s="140">
        <f t="shared" si="275"/>
        <v>1</v>
      </c>
      <c r="AJ182" s="140">
        <f t="shared" si="275"/>
        <v>1</v>
      </c>
      <c r="AK182" s="140">
        <f t="shared" si="275"/>
        <v>1</v>
      </c>
      <c r="AL182" s="140">
        <f t="shared" si="275"/>
        <v>1</v>
      </c>
      <c r="AM182" s="140">
        <f t="shared" si="275"/>
        <v>1</v>
      </c>
      <c r="AN182" s="140">
        <f t="shared" si="275"/>
        <v>1</v>
      </c>
      <c r="AO182" s="140">
        <f t="shared" si="275"/>
        <v>1</v>
      </c>
      <c r="AP182" s="140">
        <f t="shared" si="275"/>
        <v>1</v>
      </c>
      <c r="AQ182" s="140">
        <f t="shared" si="275"/>
        <v>1</v>
      </c>
      <c r="AR182" s="140">
        <f t="shared" si="275"/>
        <v>1</v>
      </c>
      <c r="AS182" s="140">
        <f>EXP(-AS181*AS180)</f>
        <v>1</v>
      </c>
      <c r="AT182" s="140">
        <f t="shared" ref="AT182:CA182" si="276">EXP(-AT181*AT180)</f>
        <v>1</v>
      </c>
      <c r="AU182" s="140">
        <f t="shared" si="276"/>
        <v>1</v>
      </c>
      <c r="AV182" s="140">
        <f t="shared" si="276"/>
        <v>1</v>
      </c>
      <c r="AW182" s="140">
        <f t="shared" si="276"/>
        <v>1</v>
      </c>
      <c r="AX182" s="140">
        <f t="shared" si="276"/>
        <v>1</v>
      </c>
      <c r="AY182" s="140">
        <f t="shared" si="276"/>
        <v>1</v>
      </c>
      <c r="AZ182" s="140">
        <f t="shared" si="276"/>
        <v>1</v>
      </c>
      <c r="BA182" s="140">
        <f t="shared" si="276"/>
        <v>1</v>
      </c>
      <c r="BB182" s="140">
        <f t="shared" si="276"/>
        <v>1</v>
      </c>
      <c r="BC182" s="140">
        <f t="shared" si="276"/>
        <v>1</v>
      </c>
      <c r="BD182" s="140">
        <f t="shared" si="276"/>
        <v>1</v>
      </c>
      <c r="BE182" s="140">
        <f t="shared" si="276"/>
        <v>1</v>
      </c>
      <c r="BF182" s="140">
        <f t="shared" si="276"/>
        <v>1</v>
      </c>
      <c r="BG182" s="140">
        <f t="shared" si="276"/>
        <v>1</v>
      </c>
      <c r="BH182" s="140">
        <f t="shared" si="276"/>
        <v>1</v>
      </c>
      <c r="BI182" s="140">
        <f t="shared" si="276"/>
        <v>1</v>
      </c>
      <c r="BJ182" s="140">
        <f t="shared" si="276"/>
        <v>1</v>
      </c>
      <c r="BK182" s="140">
        <f t="shared" si="276"/>
        <v>1</v>
      </c>
      <c r="BL182" s="140">
        <f t="shared" si="276"/>
        <v>1</v>
      </c>
      <c r="BM182" s="140">
        <f t="shared" si="276"/>
        <v>1</v>
      </c>
      <c r="BN182" s="140">
        <f t="shared" si="276"/>
        <v>1</v>
      </c>
      <c r="BO182" s="140">
        <f t="shared" si="276"/>
        <v>1</v>
      </c>
      <c r="BP182" s="140">
        <f t="shared" si="276"/>
        <v>1</v>
      </c>
      <c r="BQ182" s="140">
        <f t="shared" si="276"/>
        <v>1</v>
      </c>
      <c r="BR182" s="140">
        <f t="shared" si="276"/>
        <v>1</v>
      </c>
      <c r="BS182" s="140">
        <f t="shared" si="276"/>
        <v>1</v>
      </c>
      <c r="BT182" s="140">
        <f t="shared" si="276"/>
        <v>1</v>
      </c>
      <c r="BU182" s="140">
        <f t="shared" si="276"/>
        <v>1</v>
      </c>
      <c r="BV182" s="140">
        <f t="shared" si="276"/>
        <v>1</v>
      </c>
      <c r="BW182" s="140">
        <f t="shared" si="276"/>
        <v>1</v>
      </c>
      <c r="BX182" s="140">
        <f t="shared" si="276"/>
        <v>1</v>
      </c>
      <c r="BY182" s="140">
        <f t="shared" si="276"/>
        <v>1</v>
      </c>
      <c r="BZ182" s="140">
        <f t="shared" si="276"/>
        <v>1</v>
      </c>
      <c r="CA182" s="140">
        <f t="shared" si="276"/>
        <v>1</v>
      </c>
      <c r="CB182" s="140">
        <f>EXP(-CB181*CB180)</f>
        <v>1</v>
      </c>
      <c r="CC182" s="17"/>
      <c r="CD182" s="17"/>
      <c r="CE182" s="17"/>
    </row>
    <row r="183" spans="1:83">
      <c r="A183" s="17"/>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17"/>
      <c r="CD183" s="17"/>
      <c r="CE183" s="17"/>
    </row>
    <row r="184" spans="1:83">
      <c r="A184" s="16" t="s">
        <v>40</v>
      </c>
      <c r="B184" s="140">
        <f t="shared" ref="B184:BM184" si="277">DAYS360($B$3,B70)</f>
        <v>-43022</v>
      </c>
      <c r="C184" s="140">
        <f t="shared" si="277"/>
        <v>-42842</v>
      </c>
      <c r="D184" s="140">
        <f t="shared" si="277"/>
        <v>-42662</v>
      </c>
      <c r="E184" s="140">
        <f t="shared" si="277"/>
        <v>-42482</v>
      </c>
      <c r="F184" s="140">
        <f t="shared" si="277"/>
        <v>-42302</v>
      </c>
      <c r="G184" s="140">
        <f t="shared" si="277"/>
        <v>-42122</v>
      </c>
      <c r="H184" s="140">
        <f t="shared" si="277"/>
        <v>-41942</v>
      </c>
      <c r="I184" s="140">
        <f t="shared" si="277"/>
        <v>-41762</v>
      </c>
      <c r="J184" s="140">
        <f t="shared" si="277"/>
        <v>-41582</v>
      </c>
      <c r="K184" s="140">
        <f t="shared" si="277"/>
        <v>-41403</v>
      </c>
      <c r="L184" s="140">
        <f t="shared" si="277"/>
        <v>-41223</v>
      </c>
      <c r="M184" s="140">
        <f t="shared" si="277"/>
        <v>-41043</v>
      </c>
      <c r="N184" s="140">
        <f t="shared" si="277"/>
        <v>-40863</v>
      </c>
      <c r="O184" s="140">
        <f t="shared" si="277"/>
        <v>-40683</v>
      </c>
      <c r="P184" s="140">
        <f t="shared" si="277"/>
        <v>-40503</v>
      </c>
      <c r="Q184" s="140">
        <f t="shared" si="277"/>
        <v>-40323</v>
      </c>
      <c r="R184" s="140">
        <f t="shared" si="277"/>
        <v>-40143</v>
      </c>
      <c r="S184" s="140">
        <f t="shared" si="277"/>
        <v>-39964</v>
      </c>
      <c r="T184" s="140">
        <f t="shared" si="277"/>
        <v>-39784</v>
      </c>
      <c r="U184" s="140">
        <f t="shared" si="277"/>
        <v>-39604</v>
      </c>
      <c r="V184" s="140">
        <f t="shared" si="277"/>
        <v>-39424</v>
      </c>
      <c r="W184" s="140">
        <f t="shared" si="277"/>
        <v>-39244</v>
      </c>
      <c r="X184" s="140">
        <f t="shared" si="277"/>
        <v>-39064</v>
      </c>
      <c r="Y184" s="140">
        <f t="shared" si="277"/>
        <v>-38884</v>
      </c>
      <c r="Z184" s="140">
        <f t="shared" si="277"/>
        <v>-38704</v>
      </c>
      <c r="AA184" s="140">
        <f t="shared" si="277"/>
        <v>-38525</v>
      </c>
      <c r="AB184" s="140">
        <f t="shared" si="277"/>
        <v>-38345</v>
      </c>
      <c r="AC184" s="140">
        <f t="shared" si="277"/>
        <v>-38165</v>
      </c>
      <c r="AD184" s="140">
        <f t="shared" si="277"/>
        <v>-37985</v>
      </c>
      <c r="AE184" s="140">
        <f t="shared" si="277"/>
        <v>-37805</v>
      </c>
      <c r="AF184" s="140">
        <f t="shared" si="277"/>
        <v>-37625</v>
      </c>
      <c r="AG184" s="140">
        <f t="shared" si="277"/>
        <v>-37445</v>
      </c>
      <c r="AH184" s="140">
        <f t="shared" si="277"/>
        <v>-37265</v>
      </c>
      <c r="AI184" s="140">
        <f t="shared" si="277"/>
        <v>-37086</v>
      </c>
      <c r="AJ184" s="140">
        <f t="shared" si="277"/>
        <v>-36906</v>
      </c>
      <c r="AK184" s="140">
        <f t="shared" si="277"/>
        <v>-36726</v>
      </c>
      <c r="AL184" s="140">
        <f t="shared" si="277"/>
        <v>-36546</v>
      </c>
      <c r="AM184" s="140">
        <f t="shared" si="277"/>
        <v>-36366</v>
      </c>
      <c r="AN184" s="140">
        <f t="shared" si="277"/>
        <v>-36186</v>
      </c>
      <c r="AO184" s="140">
        <f t="shared" si="277"/>
        <v>-36006</v>
      </c>
      <c r="AP184" s="140">
        <f t="shared" si="277"/>
        <v>-35826</v>
      </c>
      <c r="AQ184" s="140">
        <f t="shared" si="277"/>
        <v>-35647</v>
      </c>
      <c r="AR184" s="140">
        <f t="shared" si="277"/>
        <v>-35467</v>
      </c>
      <c r="AS184" s="140">
        <f t="shared" si="277"/>
        <v>-35287</v>
      </c>
      <c r="AT184" s="140">
        <f t="shared" si="277"/>
        <v>-35107</v>
      </c>
      <c r="AU184" s="140">
        <f t="shared" si="277"/>
        <v>-34927</v>
      </c>
      <c r="AV184" s="140">
        <f t="shared" si="277"/>
        <v>-34747</v>
      </c>
      <c r="AW184" s="140">
        <f t="shared" si="277"/>
        <v>-34567</v>
      </c>
      <c r="AX184" s="140">
        <f t="shared" si="277"/>
        <v>-34387</v>
      </c>
      <c r="AY184" s="140">
        <f t="shared" si="277"/>
        <v>-34208</v>
      </c>
      <c r="AZ184" s="140">
        <f t="shared" si="277"/>
        <v>-34028</v>
      </c>
      <c r="BA184" s="140">
        <f t="shared" si="277"/>
        <v>-33848</v>
      </c>
      <c r="BB184" s="140">
        <f t="shared" si="277"/>
        <v>-33668</v>
      </c>
      <c r="BC184" s="140">
        <f t="shared" si="277"/>
        <v>-33488</v>
      </c>
      <c r="BD184" s="140">
        <f t="shared" si="277"/>
        <v>-33308</v>
      </c>
      <c r="BE184" s="140">
        <f t="shared" si="277"/>
        <v>-33128</v>
      </c>
      <c r="BF184" s="140">
        <f t="shared" si="277"/>
        <v>-32948</v>
      </c>
      <c r="BG184" s="140">
        <f t="shared" si="277"/>
        <v>-32769</v>
      </c>
      <c r="BH184" s="140">
        <f t="shared" si="277"/>
        <v>-32589</v>
      </c>
      <c r="BI184" s="140">
        <f t="shared" si="277"/>
        <v>-32409</v>
      </c>
      <c r="BJ184" s="140">
        <f t="shared" si="277"/>
        <v>-32229</v>
      </c>
      <c r="BK184" s="140">
        <f t="shared" si="277"/>
        <v>-32049</v>
      </c>
      <c r="BL184" s="140">
        <f t="shared" si="277"/>
        <v>-31869</v>
      </c>
      <c r="BM184" s="140">
        <f t="shared" si="277"/>
        <v>-31689</v>
      </c>
      <c r="BN184" s="140">
        <f t="shared" ref="BN184:CB184" si="278">DAYS360($B$3,BN70)</f>
        <v>-31509</v>
      </c>
      <c r="BO184" s="140">
        <f t="shared" si="278"/>
        <v>-31330</v>
      </c>
      <c r="BP184" s="140">
        <f t="shared" si="278"/>
        <v>-31150</v>
      </c>
      <c r="BQ184" s="140">
        <f t="shared" si="278"/>
        <v>-30970</v>
      </c>
      <c r="BR184" s="140">
        <f t="shared" si="278"/>
        <v>-30790</v>
      </c>
      <c r="BS184" s="140">
        <f t="shared" si="278"/>
        <v>-30610</v>
      </c>
      <c r="BT184" s="140">
        <f t="shared" si="278"/>
        <v>-30430</v>
      </c>
      <c r="BU184" s="140">
        <f t="shared" si="278"/>
        <v>-30250</v>
      </c>
      <c r="BV184" s="140">
        <f t="shared" si="278"/>
        <v>-30070</v>
      </c>
      <c r="BW184" s="140">
        <f t="shared" si="278"/>
        <v>-29891</v>
      </c>
      <c r="BX184" s="140">
        <f t="shared" si="278"/>
        <v>-29711</v>
      </c>
      <c r="BY184" s="140">
        <f t="shared" si="278"/>
        <v>-29531</v>
      </c>
      <c r="BZ184" s="140">
        <f t="shared" si="278"/>
        <v>-29351</v>
      </c>
      <c r="CA184" s="140">
        <f t="shared" si="278"/>
        <v>-29171</v>
      </c>
      <c r="CB184" s="140">
        <f t="shared" si="278"/>
        <v>-28991</v>
      </c>
      <c r="CC184" s="17"/>
      <c r="CD184" s="17"/>
      <c r="CE184" s="17"/>
    </row>
    <row r="185" spans="1:83">
      <c r="A185" s="16" t="s">
        <v>41</v>
      </c>
      <c r="B185" s="140">
        <f>B184/360</f>
        <v>-119.50555555555556</v>
      </c>
      <c r="C185" s="140">
        <f t="shared" ref="C185:BN185" si="279">C184/360</f>
        <v>-119.00555555555556</v>
      </c>
      <c r="D185" s="140">
        <f t="shared" si="279"/>
        <v>-118.50555555555556</v>
      </c>
      <c r="E185" s="140">
        <f t="shared" si="279"/>
        <v>-118.00555555555556</v>
      </c>
      <c r="F185" s="140">
        <f t="shared" si="279"/>
        <v>-117.50555555555556</v>
      </c>
      <c r="G185" s="140">
        <f t="shared" si="279"/>
        <v>-117.00555555555556</v>
      </c>
      <c r="H185" s="140">
        <f t="shared" si="279"/>
        <v>-116.50555555555556</v>
      </c>
      <c r="I185" s="140">
        <f t="shared" si="279"/>
        <v>-116.00555555555556</v>
      </c>
      <c r="J185" s="140">
        <f t="shared" si="279"/>
        <v>-115.50555555555556</v>
      </c>
      <c r="K185" s="140">
        <f t="shared" si="279"/>
        <v>-115.00833333333334</v>
      </c>
      <c r="L185" s="140">
        <f t="shared" si="279"/>
        <v>-114.50833333333334</v>
      </c>
      <c r="M185" s="140">
        <f t="shared" si="279"/>
        <v>-114.00833333333334</v>
      </c>
      <c r="N185" s="140">
        <f t="shared" si="279"/>
        <v>-113.50833333333334</v>
      </c>
      <c r="O185" s="140">
        <f t="shared" si="279"/>
        <v>-113.00833333333334</v>
      </c>
      <c r="P185" s="140">
        <f t="shared" si="279"/>
        <v>-112.50833333333334</v>
      </c>
      <c r="Q185" s="140">
        <f t="shared" si="279"/>
        <v>-112.00833333333334</v>
      </c>
      <c r="R185" s="140">
        <f t="shared" si="279"/>
        <v>-111.50833333333334</v>
      </c>
      <c r="S185" s="140">
        <f t="shared" si="279"/>
        <v>-111.01111111111111</v>
      </c>
      <c r="T185" s="140">
        <f t="shared" si="279"/>
        <v>-110.51111111111111</v>
      </c>
      <c r="U185" s="140">
        <f t="shared" si="279"/>
        <v>-110.01111111111111</v>
      </c>
      <c r="V185" s="140">
        <f t="shared" si="279"/>
        <v>-109.51111111111111</v>
      </c>
      <c r="W185" s="140">
        <f t="shared" si="279"/>
        <v>-109.01111111111111</v>
      </c>
      <c r="X185" s="140">
        <f t="shared" si="279"/>
        <v>-108.51111111111111</v>
      </c>
      <c r="Y185" s="140">
        <f t="shared" si="279"/>
        <v>-108.01111111111111</v>
      </c>
      <c r="Z185" s="140">
        <f t="shared" si="279"/>
        <v>-107.51111111111111</v>
      </c>
      <c r="AA185" s="140">
        <f t="shared" si="279"/>
        <v>-107.01388888888889</v>
      </c>
      <c r="AB185" s="140">
        <f t="shared" si="279"/>
        <v>-106.51388888888889</v>
      </c>
      <c r="AC185" s="140">
        <f t="shared" si="279"/>
        <v>-106.01388888888889</v>
      </c>
      <c r="AD185" s="140">
        <f t="shared" si="279"/>
        <v>-105.51388888888889</v>
      </c>
      <c r="AE185" s="140">
        <f t="shared" si="279"/>
        <v>-105.01388888888889</v>
      </c>
      <c r="AF185" s="140">
        <f t="shared" si="279"/>
        <v>-104.51388888888889</v>
      </c>
      <c r="AG185" s="140">
        <f t="shared" si="279"/>
        <v>-104.01388888888889</v>
      </c>
      <c r="AH185" s="140">
        <f t="shared" si="279"/>
        <v>-103.51388888888889</v>
      </c>
      <c r="AI185" s="140">
        <f t="shared" si="279"/>
        <v>-103.01666666666667</v>
      </c>
      <c r="AJ185" s="140">
        <f t="shared" si="279"/>
        <v>-102.51666666666667</v>
      </c>
      <c r="AK185" s="140">
        <f t="shared" si="279"/>
        <v>-102.01666666666667</v>
      </c>
      <c r="AL185" s="140">
        <f t="shared" si="279"/>
        <v>-101.51666666666667</v>
      </c>
      <c r="AM185" s="140">
        <f t="shared" si="279"/>
        <v>-101.01666666666667</v>
      </c>
      <c r="AN185" s="140">
        <f t="shared" si="279"/>
        <v>-100.51666666666667</v>
      </c>
      <c r="AO185" s="140">
        <f t="shared" si="279"/>
        <v>-100.01666666666667</v>
      </c>
      <c r="AP185" s="140">
        <f t="shared" si="279"/>
        <v>-99.516666666666666</v>
      </c>
      <c r="AQ185" s="140">
        <f t="shared" si="279"/>
        <v>-99.019444444444446</v>
      </c>
      <c r="AR185" s="140">
        <f t="shared" si="279"/>
        <v>-98.519444444444446</v>
      </c>
      <c r="AS185" s="140">
        <f t="shared" si="279"/>
        <v>-98.019444444444446</v>
      </c>
      <c r="AT185" s="140">
        <f t="shared" si="279"/>
        <v>-97.519444444444446</v>
      </c>
      <c r="AU185" s="140">
        <f t="shared" si="279"/>
        <v>-97.019444444444446</v>
      </c>
      <c r="AV185" s="140">
        <f t="shared" si="279"/>
        <v>-96.519444444444446</v>
      </c>
      <c r="AW185" s="140">
        <f t="shared" si="279"/>
        <v>-96.019444444444446</v>
      </c>
      <c r="AX185" s="140">
        <f t="shared" si="279"/>
        <v>-95.519444444444446</v>
      </c>
      <c r="AY185" s="140">
        <f t="shared" si="279"/>
        <v>-95.022222222222226</v>
      </c>
      <c r="AZ185" s="140">
        <f t="shared" si="279"/>
        <v>-94.522222222222226</v>
      </c>
      <c r="BA185" s="140">
        <f t="shared" si="279"/>
        <v>-94.022222222222226</v>
      </c>
      <c r="BB185" s="140">
        <f t="shared" si="279"/>
        <v>-93.522222222222226</v>
      </c>
      <c r="BC185" s="140">
        <f t="shared" si="279"/>
        <v>-93.022222222222226</v>
      </c>
      <c r="BD185" s="140">
        <f t="shared" si="279"/>
        <v>-92.522222222222226</v>
      </c>
      <c r="BE185" s="140">
        <f t="shared" si="279"/>
        <v>-92.022222222222226</v>
      </c>
      <c r="BF185" s="140">
        <f t="shared" si="279"/>
        <v>-91.522222222222226</v>
      </c>
      <c r="BG185" s="140">
        <f t="shared" si="279"/>
        <v>-91.025000000000006</v>
      </c>
      <c r="BH185" s="140">
        <f t="shared" si="279"/>
        <v>-90.525000000000006</v>
      </c>
      <c r="BI185" s="140">
        <f t="shared" si="279"/>
        <v>-90.025000000000006</v>
      </c>
      <c r="BJ185" s="140">
        <f t="shared" si="279"/>
        <v>-89.525000000000006</v>
      </c>
      <c r="BK185" s="140">
        <f t="shared" si="279"/>
        <v>-89.025000000000006</v>
      </c>
      <c r="BL185" s="140">
        <f t="shared" si="279"/>
        <v>-88.525000000000006</v>
      </c>
      <c r="BM185" s="140">
        <f t="shared" si="279"/>
        <v>-88.025000000000006</v>
      </c>
      <c r="BN185" s="140">
        <f t="shared" si="279"/>
        <v>-87.525000000000006</v>
      </c>
      <c r="BO185" s="140">
        <f t="shared" ref="BO185:CB185" si="280">BO184/360</f>
        <v>-87.027777777777771</v>
      </c>
      <c r="BP185" s="140">
        <f t="shared" si="280"/>
        <v>-86.527777777777771</v>
      </c>
      <c r="BQ185" s="140">
        <f t="shared" si="280"/>
        <v>-86.027777777777771</v>
      </c>
      <c r="BR185" s="140">
        <f t="shared" si="280"/>
        <v>-85.527777777777771</v>
      </c>
      <c r="BS185" s="140">
        <f t="shared" si="280"/>
        <v>-85.027777777777771</v>
      </c>
      <c r="BT185" s="140">
        <f t="shared" si="280"/>
        <v>-84.527777777777771</v>
      </c>
      <c r="BU185" s="140">
        <f t="shared" si="280"/>
        <v>-84.027777777777771</v>
      </c>
      <c r="BV185" s="140">
        <f t="shared" si="280"/>
        <v>-83.527777777777771</v>
      </c>
      <c r="BW185" s="140">
        <f t="shared" si="280"/>
        <v>-83.030555555555551</v>
      </c>
      <c r="BX185" s="140">
        <f t="shared" si="280"/>
        <v>-82.530555555555551</v>
      </c>
      <c r="BY185" s="140">
        <f t="shared" si="280"/>
        <v>-82.030555555555551</v>
      </c>
      <c r="BZ185" s="140">
        <f t="shared" si="280"/>
        <v>-81.530555555555551</v>
      </c>
      <c r="CA185" s="140">
        <f t="shared" si="280"/>
        <v>-81.030555555555551</v>
      </c>
      <c r="CB185" s="140">
        <f t="shared" si="280"/>
        <v>-80.530555555555551</v>
      </c>
      <c r="CC185" s="17"/>
      <c r="CD185" s="17"/>
      <c r="CE185" s="17"/>
    </row>
    <row r="186" spans="1:83">
      <c r="A186" s="16" t="s">
        <v>43</v>
      </c>
      <c r="B186" s="140">
        <f>IF(B184&lt;0,0,$B$5+$B$6*((1-EXP(-B185/$B$9))/(B185/$B$9))+$B$7*((1-EXP(-B185/$B$9))/(B185/$B$9)-EXP(-B185/$B$9))+$B$8*((1-EXP(-B185/$B$10))/(B185/$B$10)-EXP(-B185/$B$10)))</f>
        <v>0</v>
      </c>
      <c r="C186" s="140">
        <f t="shared" ref="C186:BN186" si="281">IF(C184&lt;0,0,$B$5+$B$6*((1-EXP(-C185/$B$9))/(C185/$B$9))+$B$7*((1-EXP(-C185/$B$9))/(C185/$B$9)-EXP(-C185/$B$9))+$B$8*((1-EXP(-C185/$B$10))/(C185/$B$10)-EXP(-C185/$B$10)))</f>
        <v>0</v>
      </c>
      <c r="D186" s="140">
        <f t="shared" si="281"/>
        <v>0</v>
      </c>
      <c r="E186" s="140">
        <f t="shared" si="281"/>
        <v>0</v>
      </c>
      <c r="F186" s="140">
        <f t="shared" si="281"/>
        <v>0</v>
      </c>
      <c r="G186" s="140">
        <f t="shared" si="281"/>
        <v>0</v>
      </c>
      <c r="H186" s="140">
        <f t="shared" si="281"/>
        <v>0</v>
      </c>
      <c r="I186" s="140">
        <f t="shared" si="281"/>
        <v>0</v>
      </c>
      <c r="J186" s="140">
        <f t="shared" si="281"/>
        <v>0</v>
      </c>
      <c r="K186" s="140">
        <f t="shared" si="281"/>
        <v>0</v>
      </c>
      <c r="L186" s="140">
        <f t="shared" si="281"/>
        <v>0</v>
      </c>
      <c r="M186" s="140">
        <f t="shared" si="281"/>
        <v>0</v>
      </c>
      <c r="N186" s="140">
        <f t="shared" si="281"/>
        <v>0</v>
      </c>
      <c r="O186" s="140">
        <f t="shared" si="281"/>
        <v>0</v>
      </c>
      <c r="P186" s="140">
        <f t="shared" si="281"/>
        <v>0</v>
      </c>
      <c r="Q186" s="140">
        <f t="shared" si="281"/>
        <v>0</v>
      </c>
      <c r="R186" s="140">
        <f t="shared" si="281"/>
        <v>0</v>
      </c>
      <c r="S186" s="140">
        <f t="shared" si="281"/>
        <v>0</v>
      </c>
      <c r="T186" s="140">
        <f t="shared" si="281"/>
        <v>0</v>
      </c>
      <c r="U186" s="140">
        <f t="shared" si="281"/>
        <v>0</v>
      </c>
      <c r="V186" s="140">
        <f t="shared" si="281"/>
        <v>0</v>
      </c>
      <c r="W186" s="140">
        <f t="shared" si="281"/>
        <v>0</v>
      </c>
      <c r="X186" s="140">
        <f t="shared" si="281"/>
        <v>0</v>
      </c>
      <c r="Y186" s="140">
        <f t="shared" si="281"/>
        <v>0</v>
      </c>
      <c r="Z186" s="140">
        <f t="shared" si="281"/>
        <v>0</v>
      </c>
      <c r="AA186" s="140">
        <f t="shared" si="281"/>
        <v>0</v>
      </c>
      <c r="AB186" s="140">
        <f t="shared" si="281"/>
        <v>0</v>
      </c>
      <c r="AC186" s="140">
        <f t="shared" si="281"/>
        <v>0</v>
      </c>
      <c r="AD186" s="140">
        <f t="shared" si="281"/>
        <v>0</v>
      </c>
      <c r="AE186" s="140">
        <f t="shared" si="281"/>
        <v>0</v>
      </c>
      <c r="AF186" s="140">
        <f t="shared" si="281"/>
        <v>0</v>
      </c>
      <c r="AG186" s="140">
        <f t="shared" si="281"/>
        <v>0</v>
      </c>
      <c r="AH186" s="140">
        <f t="shared" si="281"/>
        <v>0</v>
      </c>
      <c r="AI186" s="140">
        <f t="shared" si="281"/>
        <v>0</v>
      </c>
      <c r="AJ186" s="140">
        <f t="shared" si="281"/>
        <v>0</v>
      </c>
      <c r="AK186" s="140">
        <f t="shared" si="281"/>
        <v>0</v>
      </c>
      <c r="AL186" s="140">
        <f t="shared" si="281"/>
        <v>0</v>
      </c>
      <c r="AM186" s="140">
        <f t="shared" si="281"/>
        <v>0</v>
      </c>
      <c r="AN186" s="140">
        <f t="shared" si="281"/>
        <v>0</v>
      </c>
      <c r="AO186" s="140">
        <f t="shared" si="281"/>
        <v>0</v>
      </c>
      <c r="AP186" s="140">
        <f t="shared" si="281"/>
        <v>0</v>
      </c>
      <c r="AQ186" s="140">
        <f t="shared" si="281"/>
        <v>0</v>
      </c>
      <c r="AR186" s="140">
        <f t="shared" si="281"/>
        <v>0</v>
      </c>
      <c r="AS186" s="140">
        <f t="shared" si="281"/>
        <v>0</v>
      </c>
      <c r="AT186" s="140">
        <f t="shared" si="281"/>
        <v>0</v>
      </c>
      <c r="AU186" s="140">
        <f t="shared" si="281"/>
        <v>0</v>
      </c>
      <c r="AV186" s="140">
        <f t="shared" si="281"/>
        <v>0</v>
      </c>
      <c r="AW186" s="140">
        <f t="shared" si="281"/>
        <v>0</v>
      </c>
      <c r="AX186" s="140">
        <f t="shared" si="281"/>
        <v>0</v>
      </c>
      <c r="AY186" s="140">
        <f t="shared" si="281"/>
        <v>0</v>
      </c>
      <c r="AZ186" s="140">
        <f t="shared" si="281"/>
        <v>0</v>
      </c>
      <c r="BA186" s="140">
        <f t="shared" si="281"/>
        <v>0</v>
      </c>
      <c r="BB186" s="140">
        <f t="shared" si="281"/>
        <v>0</v>
      </c>
      <c r="BC186" s="140">
        <f t="shared" si="281"/>
        <v>0</v>
      </c>
      <c r="BD186" s="140">
        <f t="shared" si="281"/>
        <v>0</v>
      </c>
      <c r="BE186" s="140">
        <f t="shared" si="281"/>
        <v>0</v>
      </c>
      <c r="BF186" s="140">
        <f t="shared" si="281"/>
        <v>0</v>
      </c>
      <c r="BG186" s="140">
        <f t="shared" si="281"/>
        <v>0</v>
      </c>
      <c r="BH186" s="140">
        <f t="shared" si="281"/>
        <v>0</v>
      </c>
      <c r="BI186" s="140">
        <f t="shared" si="281"/>
        <v>0</v>
      </c>
      <c r="BJ186" s="140">
        <f t="shared" si="281"/>
        <v>0</v>
      </c>
      <c r="BK186" s="140">
        <f t="shared" si="281"/>
        <v>0</v>
      </c>
      <c r="BL186" s="140">
        <f t="shared" si="281"/>
        <v>0</v>
      </c>
      <c r="BM186" s="140">
        <f t="shared" si="281"/>
        <v>0</v>
      </c>
      <c r="BN186" s="140">
        <f t="shared" si="281"/>
        <v>0</v>
      </c>
      <c r="BO186" s="140">
        <f t="shared" ref="BO186:CB186" si="282">IF(BO184&lt;0,0,$B$5+$B$6*((1-EXP(-BO185/$B$9))/(BO185/$B$9))+$B$7*((1-EXP(-BO185/$B$9))/(BO185/$B$9)-EXP(-BO185/$B$9))+$B$8*((1-EXP(-BO185/$B$10))/(BO185/$B$10)-EXP(-BO185/$B$10)))</f>
        <v>0</v>
      </c>
      <c r="BP186" s="140">
        <f t="shared" si="282"/>
        <v>0</v>
      </c>
      <c r="BQ186" s="140">
        <f t="shared" si="282"/>
        <v>0</v>
      </c>
      <c r="BR186" s="140">
        <f t="shared" si="282"/>
        <v>0</v>
      </c>
      <c r="BS186" s="140">
        <f t="shared" si="282"/>
        <v>0</v>
      </c>
      <c r="BT186" s="140">
        <f t="shared" si="282"/>
        <v>0</v>
      </c>
      <c r="BU186" s="140">
        <f t="shared" si="282"/>
        <v>0</v>
      </c>
      <c r="BV186" s="140">
        <f t="shared" si="282"/>
        <v>0</v>
      </c>
      <c r="BW186" s="140">
        <f t="shared" si="282"/>
        <v>0</v>
      </c>
      <c r="BX186" s="140">
        <f t="shared" si="282"/>
        <v>0</v>
      </c>
      <c r="BY186" s="140">
        <f t="shared" si="282"/>
        <v>0</v>
      </c>
      <c r="BZ186" s="140">
        <f t="shared" si="282"/>
        <v>0</v>
      </c>
      <c r="CA186" s="140">
        <f t="shared" si="282"/>
        <v>0</v>
      </c>
      <c r="CB186" s="140">
        <f t="shared" si="282"/>
        <v>0</v>
      </c>
      <c r="CC186" s="17"/>
      <c r="CD186" s="17"/>
      <c r="CE186" s="17"/>
    </row>
    <row r="187" spans="1:83">
      <c r="A187" s="16" t="s">
        <v>44</v>
      </c>
      <c r="B187" s="140">
        <f>EXP(-B186*B185)</f>
        <v>1</v>
      </c>
      <c r="C187" s="140">
        <f t="shared" ref="C187:AR187" si="283">EXP(-C186*C185)</f>
        <v>1</v>
      </c>
      <c r="D187" s="140">
        <f t="shared" si="283"/>
        <v>1</v>
      </c>
      <c r="E187" s="140">
        <f t="shared" si="283"/>
        <v>1</v>
      </c>
      <c r="F187" s="140">
        <f t="shared" si="283"/>
        <v>1</v>
      </c>
      <c r="G187" s="140">
        <f t="shared" si="283"/>
        <v>1</v>
      </c>
      <c r="H187" s="140">
        <f t="shared" si="283"/>
        <v>1</v>
      </c>
      <c r="I187" s="140">
        <f t="shared" si="283"/>
        <v>1</v>
      </c>
      <c r="J187" s="140">
        <f t="shared" si="283"/>
        <v>1</v>
      </c>
      <c r="K187" s="140">
        <f t="shared" si="283"/>
        <v>1</v>
      </c>
      <c r="L187" s="140">
        <f t="shared" si="283"/>
        <v>1</v>
      </c>
      <c r="M187" s="140">
        <f t="shared" si="283"/>
        <v>1</v>
      </c>
      <c r="N187" s="140">
        <f t="shared" si="283"/>
        <v>1</v>
      </c>
      <c r="O187" s="140">
        <f t="shared" si="283"/>
        <v>1</v>
      </c>
      <c r="P187" s="140">
        <f t="shared" si="283"/>
        <v>1</v>
      </c>
      <c r="Q187" s="140">
        <f t="shared" si="283"/>
        <v>1</v>
      </c>
      <c r="R187" s="140">
        <f t="shared" si="283"/>
        <v>1</v>
      </c>
      <c r="S187" s="140">
        <f t="shared" si="283"/>
        <v>1</v>
      </c>
      <c r="T187" s="140">
        <f t="shared" si="283"/>
        <v>1</v>
      </c>
      <c r="U187" s="140">
        <f t="shared" si="283"/>
        <v>1</v>
      </c>
      <c r="V187" s="140">
        <f t="shared" si="283"/>
        <v>1</v>
      </c>
      <c r="W187" s="140">
        <f t="shared" si="283"/>
        <v>1</v>
      </c>
      <c r="X187" s="140">
        <f t="shared" si="283"/>
        <v>1</v>
      </c>
      <c r="Y187" s="140">
        <f t="shared" si="283"/>
        <v>1</v>
      </c>
      <c r="Z187" s="140">
        <f t="shared" si="283"/>
        <v>1</v>
      </c>
      <c r="AA187" s="140">
        <f t="shared" si="283"/>
        <v>1</v>
      </c>
      <c r="AB187" s="140">
        <f t="shared" si="283"/>
        <v>1</v>
      </c>
      <c r="AC187" s="140">
        <f t="shared" si="283"/>
        <v>1</v>
      </c>
      <c r="AD187" s="140">
        <f t="shared" si="283"/>
        <v>1</v>
      </c>
      <c r="AE187" s="140">
        <f t="shared" si="283"/>
        <v>1</v>
      </c>
      <c r="AF187" s="140">
        <f t="shared" si="283"/>
        <v>1</v>
      </c>
      <c r="AG187" s="140">
        <f t="shared" si="283"/>
        <v>1</v>
      </c>
      <c r="AH187" s="140">
        <f t="shared" si="283"/>
        <v>1</v>
      </c>
      <c r="AI187" s="140">
        <f t="shared" si="283"/>
        <v>1</v>
      </c>
      <c r="AJ187" s="140">
        <f t="shared" si="283"/>
        <v>1</v>
      </c>
      <c r="AK187" s="140">
        <f t="shared" si="283"/>
        <v>1</v>
      </c>
      <c r="AL187" s="140">
        <f t="shared" si="283"/>
        <v>1</v>
      </c>
      <c r="AM187" s="140">
        <f t="shared" si="283"/>
        <v>1</v>
      </c>
      <c r="AN187" s="140">
        <f t="shared" si="283"/>
        <v>1</v>
      </c>
      <c r="AO187" s="140">
        <f t="shared" si="283"/>
        <v>1</v>
      </c>
      <c r="AP187" s="140">
        <f t="shared" si="283"/>
        <v>1</v>
      </c>
      <c r="AQ187" s="140">
        <f t="shared" si="283"/>
        <v>1</v>
      </c>
      <c r="AR187" s="140">
        <f t="shared" si="283"/>
        <v>1</v>
      </c>
      <c r="AS187" s="140">
        <f>EXP(-AS186*AS185)</f>
        <v>1</v>
      </c>
      <c r="AT187" s="140">
        <f t="shared" ref="AT187:CA187" si="284">EXP(-AT186*AT185)</f>
        <v>1</v>
      </c>
      <c r="AU187" s="140">
        <f t="shared" si="284"/>
        <v>1</v>
      </c>
      <c r="AV187" s="140">
        <f t="shared" si="284"/>
        <v>1</v>
      </c>
      <c r="AW187" s="140">
        <f t="shared" si="284"/>
        <v>1</v>
      </c>
      <c r="AX187" s="140">
        <f t="shared" si="284"/>
        <v>1</v>
      </c>
      <c r="AY187" s="140">
        <f t="shared" si="284"/>
        <v>1</v>
      </c>
      <c r="AZ187" s="140">
        <f t="shared" si="284"/>
        <v>1</v>
      </c>
      <c r="BA187" s="140">
        <f t="shared" si="284"/>
        <v>1</v>
      </c>
      <c r="BB187" s="140">
        <f t="shared" si="284"/>
        <v>1</v>
      </c>
      <c r="BC187" s="140">
        <f t="shared" si="284"/>
        <v>1</v>
      </c>
      <c r="BD187" s="140">
        <f t="shared" si="284"/>
        <v>1</v>
      </c>
      <c r="BE187" s="140">
        <f t="shared" si="284"/>
        <v>1</v>
      </c>
      <c r="BF187" s="140">
        <f t="shared" si="284"/>
        <v>1</v>
      </c>
      <c r="BG187" s="140">
        <f t="shared" si="284"/>
        <v>1</v>
      </c>
      <c r="BH187" s="140">
        <f t="shared" si="284"/>
        <v>1</v>
      </c>
      <c r="BI187" s="140">
        <f t="shared" si="284"/>
        <v>1</v>
      </c>
      <c r="BJ187" s="140">
        <f t="shared" si="284"/>
        <v>1</v>
      </c>
      <c r="BK187" s="140">
        <f t="shared" si="284"/>
        <v>1</v>
      </c>
      <c r="BL187" s="140">
        <f t="shared" si="284"/>
        <v>1</v>
      </c>
      <c r="BM187" s="140">
        <f t="shared" si="284"/>
        <v>1</v>
      </c>
      <c r="BN187" s="140">
        <f t="shared" si="284"/>
        <v>1</v>
      </c>
      <c r="BO187" s="140">
        <f t="shared" si="284"/>
        <v>1</v>
      </c>
      <c r="BP187" s="140">
        <f t="shared" si="284"/>
        <v>1</v>
      </c>
      <c r="BQ187" s="140">
        <f t="shared" si="284"/>
        <v>1</v>
      </c>
      <c r="BR187" s="140">
        <f t="shared" si="284"/>
        <v>1</v>
      </c>
      <c r="BS187" s="140">
        <f t="shared" si="284"/>
        <v>1</v>
      </c>
      <c r="BT187" s="140">
        <f t="shared" si="284"/>
        <v>1</v>
      </c>
      <c r="BU187" s="140">
        <f t="shared" si="284"/>
        <v>1</v>
      </c>
      <c r="BV187" s="140">
        <f t="shared" si="284"/>
        <v>1</v>
      </c>
      <c r="BW187" s="140">
        <f t="shared" si="284"/>
        <v>1</v>
      </c>
      <c r="BX187" s="140">
        <f t="shared" si="284"/>
        <v>1</v>
      </c>
      <c r="BY187" s="140">
        <f t="shared" si="284"/>
        <v>1</v>
      </c>
      <c r="BZ187" s="140">
        <f t="shared" si="284"/>
        <v>1</v>
      </c>
      <c r="CA187" s="140">
        <f t="shared" si="284"/>
        <v>1</v>
      </c>
      <c r="CB187" s="140">
        <f>EXP(-CB186*CB185)</f>
        <v>1</v>
      </c>
      <c r="CC187" s="17"/>
      <c r="CD187" s="17"/>
      <c r="CE187" s="17"/>
    </row>
    <row r="188" spans="1:83">
      <c r="A188" s="17"/>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17"/>
      <c r="CD188" s="17"/>
      <c r="CE188" s="17"/>
    </row>
    <row r="189" spans="1:83">
      <c r="A189" s="16" t="s">
        <v>40</v>
      </c>
      <c r="B189" s="140">
        <f t="shared" ref="B189:BM189" si="285">DAYS360($B$3,B72)</f>
        <v>-43022</v>
      </c>
      <c r="C189" s="140">
        <f t="shared" si="285"/>
        <v>-42842</v>
      </c>
      <c r="D189" s="140">
        <f t="shared" si="285"/>
        <v>-42662</v>
      </c>
      <c r="E189" s="140">
        <f t="shared" si="285"/>
        <v>-42482</v>
      </c>
      <c r="F189" s="140">
        <f t="shared" si="285"/>
        <v>-42302</v>
      </c>
      <c r="G189" s="140">
        <f t="shared" si="285"/>
        <v>-42122</v>
      </c>
      <c r="H189" s="140">
        <f t="shared" si="285"/>
        <v>-41942</v>
      </c>
      <c r="I189" s="140">
        <f t="shared" si="285"/>
        <v>-41762</v>
      </c>
      <c r="J189" s="140">
        <f t="shared" si="285"/>
        <v>-41582</v>
      </c>
      <c r="K189" s="140">
        <f t="shared" si="285"/>
        <v>-41403</v>
      </c>
      <c r="L189" s="140">
        <f t="shared" si="285"/>
        <v>-41223</v>
      </c>
      <c r="M189" s="140">
        <f t="shared" si="285"/>
        <v>-41043</v>
      </c>
      <c r="N189" s="140">
        <f t="shared" si="285"/>
        <v>-40863</v>
      </c>
      <c r="O189" s="140">
        <f t="shared" si="285"/>
        <v>-40683</v>
      </c>
      <c r="P189" s="140">
        <f t="shared" si="285"/>
        <v>-40503</v>
      </c>
      <c r="Q189" s="140">
        <f t="shared" si="285"/>
        <v>-40323</v>
      </c>
      <c r="R189" s="140">
        <f t="shared" si="285"/>
        <v>-40143</v>
      </c>
      <c r="S189" s="140">
        <f t="shared" si="285"/>
        <v>-39964</v>
      </c>
      <c r="T189" s="140">
        <f t="shared" si="285"/>
        <v>-39784</v>
      </c>
      <c r="U189" s="140">
        <f t="shared" si="285"/>
        <v>-39604</v>
      </c>
      <c r="V189" s="140">
        <f t="shared" si="285"/>
        <v>-39424</v>
      </c>
      <c r="W189" s="140">
        <f t="shared" si="285"/>
        <v>-39244</v>
      </c>
      <c r="X189" s="140">
        <f t="shared" si="285"/>
        <v>-39064</v>
      </c>
      <c r="Y189" s="140">
        <f t="shared" si="285"/>
        <v>-38884</v>
      </c>
      <c r="Z189" s="140">
        <f t="shared" si="285"/>
        <v>-38704</v>
      </c>
      <c r="AA189" s="140">
        <f t="shared" si="285"/>
        <v>-38525</v>
      </c>
      <c r="AB189" s="140">
        <f t="shared" si="285"/>
        <v>-38345</v>
      </c>
      <c r="AC189" s="140">
        <f t="shared" si="285"/>
        <v>-38165</v>
      </c>
      <c r="AD189" s="140">
        <f t="shared" si="285"/>
        <v>-37985</v>
      </c>
      <c r="AE189" s="140">
        <f t="shared" si="285"/>
        <v>-37805</v>
      </c>
      <c r="AF189" s="140">
        <f t="shared" si="285"/>
        <v>-37625</v>
      </c>
      <c r="AG189" s="140">
        <f t="shared" si="285"/>
        <v>-37445</v>
      </c>
      <c r="AH189" s="140">
        <f t="shared" si="285"/>
        <v>-37265</v>
      </c>
      <c r="AI189" s="140">
        <f t="shared" si="285"/>
        <v>-37086</v>
      </c>
      <c r="AJ189" s="140">
        <f t="shared" si="285"/>
        <v>-36906</v>
      </c>
      <c r="AK189" s="140">
        <f t="shared" si="285"/>
        <v>-36726</v>
      </c>
      <c r="AL189" s="140">
        <f t="shared" si="285"/>
        <v>-36546</v>
      </c>
      <c r="AM189" s="140">
        <f t="shared" si="285"/>
        <v>-36366</v>
      </c>
      <c r="AN189" s="140">
        <f t="shared" si="285"/>
        <v>-36186</v>
      </c>
      <c r="AO189" s="140">
        <f t="shared" si="285"/>
        <v>-36006</v>
      </c>
      <c r="AP189" s="140">
        <f t="shared" si="285"/>
        <v>-35826</v>
      </c>
      <c r="AQ189" s="140">
        <f t="shared" si="285"/>
        <v>-35647</v>
      </c>
      <c r="AR189" s="140">
        <f t="shared" si="285"/>
        <v>-35467</v>
      </c>
      <c r="AS189" s="140">
        <f t="shared" si="285"/>
        <v>-35287</v>
      </c>
      <c r="AT189" s="140">
        <f t="shared" si="285"/>
        <v>-35107</v>
      </c>
      <c r="AU189" s="140">
        <f t="shared" si="285"/>
        <v>-34927</v>
      </c>
      <c r="AV189" s="140">
        <f t="shared" si="285"/>
        <v>-34747</v>
      </c>
      <c r="AW189" s="140">
        <f t="shared" si="285"/>
        <v>-34567</v>
      </c>
      <c r="AX189" s="140">
        <f t="shared" si="285"/>
        <v>-34387</v>
      </c>
      <c r="AY189" s="140">
        <f t="shared" si="285"/>
        <v>-34208</v>
      </c>
      <c r="AZ189" s="140">
        <f t="shared" si="285"/>
        <v>-34028</v>
      </c>
      <c r="BA189" s="140">
        <f t="shared" si="285"/>
        <v>-33848</v>
      </c>
      <c r="BB189" s="140">
        <f t="shared" si="285"/>
        <v>-33668</v>
      </c>
      <c r="BC189" s="140">
        <f t="shared" si="285"/>
        <v>-33488</v>
      </c>
      <c r="BD189" s="140">
        <f t="shared" si="285"/>
        <v>-33308</v>
      </c>
      <c r="BE189" s="140">
        <f t="shared" si="285"/>
        <v>-33128</v>
      </c>
      <c r="BF189" s="140">
        <f t="shared" si="285"/>
        <v>-32948</v>
      </c>
      <c r="BG189" s="140">
        <f t="shared" si="285"/>
        <v>-32769</v>
      </c>
      <c r="BH189" s="140">
        <f t="shared" si="285"/>
        <v>-32589</v>
      </c>
      <c r="BI189" s="140">
        <f t="shared" si="285"/>
        <v>-32409</v>
      </c>
      <c r="BJ189" s="140">
        <f t="shared" si="285"/>
        <v>-32229</v>
      </c>
      <c r="BK189" s="140">
        <f t="shared" si="285"/>
        <v>-32049</v>
      </c>
      <c r="BL189" s="140">
        <f t="shared" si="285"/>
        <v>-31869</v>
      </c>
      <c r="BM189" s="140">
        <f t="shared" si="285"/>
        <v>-31689</v>
      </c>
      <c r="BN189" s="140">
        <f t="shared" ref="BN189:CB189" si="286">DAYS360($B$3,BN72)</f>
        <v>-31509</v>
      </c>
      <c r="BO189" s="140">
        <f t="shared" si="286"/>
        <v>-31330</v>
      </c>
      <c r="BP189" s="140">
        <f t="shared" si="286"/>
        <v>-31150</v>
      </c>
      <c r="BQ189" s="140">
        <f t="shared" si="286"/>
        <v>-30970</v>
      </c>
      <c r="BR189" s="140">
        <f t="shared" si="286"/>
        <v>-30790</v>
      </c>
      <c r="BS189" s="140">
        <f t="shared" si="286"/>
        <v>-30610</v>
      </c>
      <c r="BT189" s="140">
        <f t="shared" si="286"/>
        <v>-30430</v>
      </c>
      <c r="BU189" s="140">
        <f t="shared" si="286"/>
        <v>-30250</v>
      </c>
      <c r="BV189" s="140">
        <f t="shared" si="286"/>
        <v>-30070</v>
      </c>
      <c r="BW189" s="140">
        <f t="shared" si="286"/>
        <v>-29891</v>
      </c>
      <c r="BX189" s="140">
        <f t="shared" si="286"/>
        <v>-29711</v>
      </c>
      <c r="BY189" s="140">
        <f t="shared" si="286"/>
        <v>-29531</v>
      </c>
      <c r="BZ189" s="140">
        <f t="shared" si="286"/>
        <v>-29351</v>
      </c>
      <c r="CA189" s="140">
        <f t="shared" si="286"/>
        <v>-29171</v>
      </c>
      <c r="CB189" s="140">
        <f t="shared" si="286"/>
        <v>-28991</v>
      </c>
      <c r="CC189" s="17"/>
      <c r="CD189" s="17"/>
      <c r="CE189" s="17"/>
    </row>
    <row r="190" spans="1:83">
      <c r="A190" s="16" t="s">
        <v>41</v>
      </c>
      <c r="B190" s="140">
        <f>B189/360</f>
        <v>-119.50555555555556</v>
      </c>
      <c r="C190" s="140">
        <f t="shared" ref="C190:BN190" si="287">C189/360</f>
        <v>-119.00555555555556</v>
      </c>
      <c r="D190" s="140">
        <f t="shared" si="287"/>
        <v>-118.50555555555556</v>
      </c>
      <c r="E190" s="140">
        <f t="shared" si="287"/>
        <v>-118.00555555555556</v>
      </c>
      <c r="F190" s="140">
        <f t="shared" si="287"/>
        <v>-117.50555555555556</v>
      </c>
      <c r="G190" s="140">
        <f t="shared" si="287"/>
        <v>-117.00555555555556</v>
      </c>
      <c r="H190" s="140">
        <f t="shared" si="287"/>
        <v>-116.50555555555556</v>
      </c>
      <c r="I190" s="140">
        <f t="shared" si="287"/>
        <v>-116.00555555555556</v>
      </c>
      <c r="J190" s="140">
        <f t="shared" si="287"/>
        <v>-115.50555555555556</v>
      </c>
      <c r="K190" s="140">
        <f t="shared" si="287"/>
        <v>-115.00833333333334</v>
      </c>
      <c r="L190" s="140">
        <f t="shared" si="287"/>
        <v>-114.50833333333334</v>
      </c>
      <c r="M190" s="140">
        <f t="shared" si="287"/>
        <v>-114.00833333333334</v>
      </c>
      <c r="N190" s="140">
        <f t="shared" si="287"/>
        <v>-113.50833333333334</v>
      </c>
      <c r="O190" s="140">
        <f t="shared" si="287"/>
        <v>-113.00833333333334</v>
      </c>
      <c r="P190" s="140">
        <f t="shared" si="287"/>
        <v>-112.50833333333334</v>
      </c>
      <c r="Q190" s="140">
        <f t="shared" si="287"/>
        <v>-112.00833333333334</v>
      </c>
      <c r="R190" s="140">
        <f t="shared" si="287"/>
        <v>-111.50833333333334</v>
      </c>
      <c r="S190" s="140">
        <f t="shared" si="287"/>
        <v>-111.01111111111111</v>
      </c>
      <c r="T190" s="140">
        <f t="shared" si="287"/>
        <v>-110.51111111111111</v>
      </c>
      <c r="U190" s="140">
        <f t="shared" si="287"/>
        <v>-110.01111111111111</v>
      </c>
      <c r="V190" s="140">
        <f t="shared" si="287"/>
        <v>-109.51111111111111</v>
      </c>
      <c r="W190" s="140">
        <f t="shared" si="287"/>
        <v>-109.01111111111111</v>
      </c>
      <c r="X190" s="140">
        <f t="shared" si="287"/>
        <v>-108.51111111111111</v>
      </c>
      <c r="Y190" s="140">
        <f t="shared" si="287"/>
        <v>-108.01111111111111</v>
      </c>
      <c r="Z190" s="140">
        <f t="shared" si="287"/>
        <v>-107.51111111111111</v>
      </c>
      <c r="AA190" s="140">
        <f t="shared" si="287"/>
        <v>-107.01388888888889</v>
      </c>
      <c r="AB190" s="140">
        <f t="shared" si="287"/>
        <v>-106.51388888888889</v>
      </c>
      <c r="AC190" s="140">
        <f t="shared" si="287"/>
        <v>-106.01388888888889</v>
      </c>
      <c r="AD190" s="140">
        <f t="shared" si="287"/>
        <v>-105.51388888888889</v>
      </c>
      <c r="AE190" s="140">
        <f t="shared" si="287"/>
        <v>-105.01388888888889</v>
      </c>
      <c r="AF190" s="140">
        <f t="shared" si="287"/>
        <v>-104.51388888888889</v>
      </c>
      <c r="AG190" s="140">
        <f t="shared" si="287"/>
        <v>-104.01388888888889</v>
      </c>
      <c r="AH190" s="140">
        <f t="shared" si="287"/>
        <v>-103.51388888888889</v>
      </c>
      <c r="AI190" s="140">
        <f t="shared" si="287"/>
        <v>-103.01666666666667</v>
      </c>
      <c r="AJ190" s="140">
        <f t="shared" si="287"/>
        <v>-102.51666666666667</v>
      </c>
      <c r="AK190" s="140">
        <f t="shared" si="287"/>
        <v>-102.01666666666667</v>
      </c>
      <c r="AL190" s="140">
        <f t="shared" si="287"/>
        <v>-101.51666666666667</v>
      </c>
      <c r="AM190" s="140">
        <f t="shared" si="287"/>
        <v>-101.01666666666667</v>
      </c>
      <c r="AN190" s="140">
        <f t="shared" si="287"/>
        <v>-100.51666666666667</v>
      </c>
      <c r="AO190" s="140">
        <f t="shared" si="287"/>
        <v>-100.01666666666667</v>
      </c>
      <c r="AP190" s="140">
        <f t="shared" si="287"/>
        <v>-99.516666666666666</v>
      </c>
      <c r="AQ190" s="140">
        <f t="shared" si="287"/>
        <v>-99.019444444444446</v>
      </c>
      <c r="AR190" s="140">
        <f t="shared" si="287"/>
        <v>-98.519444444444446</v>
      </c>
      <c r="AS190" s="140">
        <f t="shared" si="287"/>
        <v>-98.019444444444446</v>
      </c>
      <c r="AT190" s="140">
        <f t="shared" si="287"/>
        <v>-97.519444444444446</v>
      </c>
      <c r="AU190" s="140">
        <f t="shared" si="287"/>
        <v>-97.019444444444446</v>
      </c>
      <c r="AV190" s="140">
        <f t="shared" si="287"/>
        <v>-96.519444444444446</v>
      </c>
      <c r="AW190" s="140">
        <f t="shared" si="287"/>
        <v>-96.019444444444446</v>
      </c>
      <c r="AX190" s="140">
        <f t="shared" si="287"/>
        <v>-95.519444444444446</v>
      </c>
      <c r="AY190" s="140">
        <f t="shared" si="287"/>
        <v>-95.022222222222226</v>
      </c>
      <c r="AZ190" s="140">
        <f t="shared" si="287"/>
        <v>-94.522222222222226</v>
      </c>
      <c r="BA190" s="140">
        <f t="shared" si="287"/>
        <v>-94.022222222222226</v>
      </c>
      <c r="BB190" s="140">
        <f t="shared" si="287"/>
        <v>-93.522222222222226</v>
      </c>
      <c r="BC190" s="140">
        <f t="shared" si="287"/>
        <v>-93.022222222222226</v>
      </c>
      <c r="BD190" s="140">
        <f t="shared" si="287"/>
        <v>-92.522222222222226</v>
      </c>
      <c r="BE190" s="140">
        <f t="shared" si="287"/>
        <v>-92.022222222222226</v>
      </c>
      <c r="BF190" s="140">
        <f t="shared" si="287"/>
        <v>-91.522222222222226</v>
      </c>
      <c r="BG190" s="140">
        <f t="shared" si="287"/>
        <v>-91.025000000000006</v>
      </c>
      <c r="BH190" s="140">
        <f t="shared" si="287"/>
        <v>-90.525000000000006</v>
      </c>
      <c r="BI190" s="140">
        <f t="shared" si="287"/>
        <v>-90.025000000000006</v>
      </c>
      <c r="BJ190" s="140">
        <f t="shared" si="287"/>
        <v>-89.525000000000006</v>
      </c>
      <c r="BK190" s="140">
        <f t="shared" si="287"/>
        <v>-89.025000000000006</v>
      </c>
      <c r="BL190" s="140">
        <f t="shared" si="287"/>
        <v>-88.525000000000006</v>
      </c>
      <c r="BM190" s="140">
        <f t="shared" si="287"/>
        <v>-88.025000000000006</v>
      </c>
      <c r="BN190" s="140">
        <f t="shared" si="287"/>
        <v>-87.525000000000006</v>
      </c>
      <c r="BO190" s="140">
        <f t="shared" ref="BO190:CB190" si="288">BO189/360</f>
        <v>-87.027777777777771</v>
      </c>
      <c r="BP190" s="140">
        <f t="shared" si="288"/>
        <v>-86.527777777777771</v>
      </c>
      <c r="BQ190" s="140">
        <f t="shared" si="288"/>
        <v>-86.027777777777771</v>
      </c>
      <c r="BR190" s="140">
        <f t="shared" si="288"/>
        <v>-85.527777777777771</v>
      </c>
      <c r="BS190" s="140">
        <f t="shared" si="288"/>
        <v>-85.027777777777771</v>
      </c>
      <c r="BT190" s="140">
        <f t="shared" si="288"/>
        <v>-84.527777777777771</v>
      </c>
      <c r="BU190" s="140">
        <f t="shared" si="288"/>
        <v>-84.027777777777771</v>
      </c>
      <c r="BV190" s="140">
        <f t="shared" si="288"/>
        <v>-83.527777777777771</v>
      </c>
      <c r="BW190" s="140">
        <f t="shared" si="288"/>
        <v>-83.030555555555551</v>
      </c>
      <c r="BX190" s="140">
        <f t="shared" si="288"/>
        <v>-82.530555555555551</v>
      </c>
      <c r="BY190" s="140">
        <f t="shared" si="288"/>
        <v>-82.030555555555551</v>
      </c>
      <c r="BZ190" s="140">
        <f t="shared" si="288"/>
        <v>-81.530555555555551</v>
      </c>
      <c r="CA190" s="140">
        <f t="shared" si="288"/>
        <v>-81.030555555555551</v>
      </c>
      <c r="CB190" s="140">
        <f t="shared" si="288"/>
        <v>-80.530555555555551</v>
      </c>
      <c r="CC190" s="17"/>
      <c r="CD190" s="17"/>
      <c r="CE190" s="17"/>
    </row>
    <row r="191" spans="1:83">
      <c r="A191" s="16" t="s">
        <v>43</v>
      </c>
      <c r="B191" s="140">
        <f>IF(B189&lt;0,0,$B$5+$B$6*((1-EXP(-B190/$B$9))/(B190/$B$9))+$B$7*((1-EXP(-B190/$B$9))/(B190/$B$9)-EXP(-B190/$B$9))+$B$8*((1-EXP(-B190/$B$10))/(B190/$B$10)-EXP(-B190/$B$10)))</f>
        <v>0</v>
      </c>
      <c r="C191" s="140">
        <f t="shared" ref="C191:BN191" si="289">IF(C189&lt;0,0,$B$5+$B$6*((1-EXP(-C190/$B$9))/(C190/$B$9))+$B$7*((1-EXP(-C190/$B$9))/(C190/$B$9)-EXP(-C190/$B$9))+$B$8*((1-EXP(-C190/$B$10))/(C190/$B$10)-EXP(-C190/$B$10)))</f>
        <v>0</v>
      </c>
      <c r="D191" s="140">
        <f t="shared" si="289"/>
        <v>0</v>
      </c>
      <c r="E191" s="140">
        <f t="shared" si="289"/>
        <v>0</v>
      </c>
      <c r="F191" s="140">
        <f t="shared" si="289"/>
        <v>0</v>
      </c>
      <c r="G191" s="140">
        <f t="shared" si="289"/>
        <v>0</v>
      </c>
      <c r="H191" s="140">
        <f t="shared" si="289"/>
        <v>0</v>
      </c>
      <c r="I191" s="140">
        <f t="shared" si="289"/>
        <v>0</v>
      </c>
      <c r="J191" s="140">
        <f t="shared" si="289"/>
        <v>0</v>
      </c>
      <c r="K191" s="140">
        <f t="shared" si="289"/>
        <v>0</v>
      </c>
      <c r="L191" s="140">
        <f t="shared" si="289"/>
        <v>0</v>
      </c>
      <c r="M191" s="140">
        <f t="shared" si="289"/>
        <v>0</v>
      </c>
      <c r="N191" s="140">
        <f t="shared" si="289"/>
        <v>0</v>
      </c>
      <c r="O191" s="140">
        <f t="shared" si="289"/>
        <v>0</v>
      </c>
      <c r="P191" s="140">
        <f t="shared" si="289"/>
        <v>0</v>
      </c>
      <c r="Q191" s="140">
        <f t="shared" si="289"/>
        <v>0</v>
      </c>
      <c r="R191" s="140">
        <f t="shared" si="289"/>
        <v>0</v>
      </c>
      <c r="S191" s="140">
        <f t="shared" si="289"/>
        <v>0</v>
      </c>
      <c r="T191" s="140">
        <f t="shared" si="289"/>
        <v>0</v>
      </c>
      <c r="U191" s="140">
        <f t="shared" si="289"/>
        <v>0</v>
      </c>
      <c r="V191" s="140">
        <f t="shared" si="289"/>
        <v>0</v>
      </c>
      <c r="W191" s="140">
        <f t="shared" si="289"/>
        <v>0</v>
      </c>
      <c r="X191" s="140">
        <f t="shared" si="289"/>
        <v>0</v>
      </c>
      <c r="Y191" s="140">
        <f t="shared" si="289"/>
        <v>0</v>
      </c>
      <c r="Z191" s="140">
        <f t="shared" si="289"/>
        <v>0</v>
      </c>
      <c r="AA191" s="140">
        <f t="shared" si="289"/>
        <v>0</v>
      </c>
      <c r="AB191" s="140">
        <f t="shared" si="289"/>
        <v>0</v>
      </c>
      <c r="AC191" s="140">
        <f t="shared" si="289"/>
        <v>0</v>
      </c>
      <c r="AD191" s="140">
        <f t="shared" si="289"/>
        <v>0</v>
      </c>
      <c r="AE191" s="140">
        <f t="shared" si="289"/>
        <v>0</v>
      </c>
      <c r="AF191" s="140">
        <f t="shared" si="289"/>
        <v>0</v>
      </c>
      <c r="AG191" s="140">
        <f t="shared" si="289"/>
        <v>0</v>
      </c>
      <c r="AH191" s="140">
        <f t="shared" si="289"/>
        <v>0</v>
      </c>
      <c r="AI191" s="140">
        <f t="shared" si="289"/>
        <v>0</v>
      </c>
      <c r="AJ191" s="140">
        <f t="shared" si="289"/>
        <v>0</v>
      </c>
      <c r="AK191" s="140">
        <f t="shared" si="289"/>
        <v>0</v>
      </c>
      <c r="AL191" s="140">
        <f t="shared" si="289"/>
        <v>0</v>
      </c>
      <c r="AM191" s="140">
        <f t="shared" si="289"/>
        <v>0</v>
      </c>
      <c r="AN191" s="140">
        <f t="shared" si="289"/>
        <v>0</v>
      </c>
      <c r="AO191" s="140">
        <f t="shared" si="289"/>
        <v>0</v>
      </c>
      <c r="AP191" s="140">
        <f t="shared" si="289"/>
        <v>0</v>
      </c>
      <c r="AQ191" s="140">
        <f t="shared" si="289"/>
        <v>0</v>
      </c>
      <c r="AR191" s="140">
        <f t="shared" si="289"/>
        <v>0</v>
      </c>
      <c r="AS191" s="140">
        <f t="shared" si="289"/>
        <v>0</v>
      </c>
      <c r="AT191" s="140">
        <f t="shared" si="289"/>
        <v>0</v>
      </c>
      <c r="AU191" s="140">
        <f t="shared" si="289"/>
        <v>0</v>
      </c>
      <c r="AV191" s="140">
        <f t="shared" si="289"/>
        <v>0</v>
      </c>
      <c r="AW191" s="140">
        <f t="shared" si="289"/>
        <v>0</v>
      </c>
      <c r="AX191" s="140">
        <f t="shared" si="289"/>
        <v>0</v>
      </c>
      <c r="AY191" s="140">
        <f t="shared" si="289"/>
        <v>0</v>
      </c>
      <c r="AZ191" s="140">
        <f t="shared" si="289"/>
        <v>0</v>
      </c>
      <c r="BA191" s="140">
        <f t="shared" si="289"/>
        <v>0</v>
      </c>
      <c r="BB191" s="140">
        <f t="shared" si="289"/>
        <v>0</v>
      </c>
      <c r="BC191" s="140">
        <f t="shared" si="289"/>
        <v>0</v>
      </c>
      <c r="BD191" s="140">
        <f t="shared" si="289"/>
        <v>0</v>
      </c>
      <c r="BE191" s="140">
        <f t="shared" si="289"/>
        <v>0</v>
      </c>
      <c r="BF191" s="140">
        <f t="shared" si="289"/>
        <v>0</v>
      </c>
      <c r="BG191" s="140">
        <f t="shared" si="289"/>
        <v>0</v>
      </c>
      <c r="BH191" s="140">
        <f t="shared" si="289"/>
        <v>0</v>
      </c>
      <c r="BI191" s="140">
        <f t="shared" si="289"/>
        <v>0</v>
      </c>
      <c r="BJ191" s="140">
        <f t="shared" si="289"/>
        <v>0</v>
      </c>
      <c r="BK191" s="140">
        <f t="shared" si="289"/>
        <v>0</v>
      </c>
      <c r="BL191" s="140">
        <f t="shared" si="289"/>
        <v>0</v>
      </c>
      <c r="BM191" s="140">
        <f t="shared" si="289"/>
        <v>0</v>
      </c>
      <c r="BN191" s="140">
        <f t="shared" si="289"/>
        <v>0</v>
      </c>
      <c r="BO191" s="140">
        <f t="shared" ref="BO191:CB191" si="290">IF(BO189&lt;0,0,$B$5+$B$6*((1-EXP(-BO190/$B$9))/(BO190/$B$9))+$B$7*((1-EXP(-BO190/$B$9))/(BO190/$B$9)-EXP(-BO190/$B$9))+$B$8*((1-EXP(-BO190/$B$10))/(BO190/$B$10)-EXP(-BO190/$B$10)))</f>
        <v>0</v>
      </c>
      <c r="BP191" s="140">
        <f t="shared" si="290"/>
        <v>0</v>
      </c>
      <c r="BQ191" s="140">
        <f t="shared" si="290"/>
        <v>0</v>
      </c>
      <c r="BR191" s="140">
        <f t="shared" si="290"/>
        <v>0</v>
      </c>
      <c r="BS191" s="140">
        <f t="shared" si="290"/>
        <v>0</v>
      </c>
      <c r="BT191" s="140">
        <f t="shared" si="290"/>
        <v>0</v>
      </c>
      <c r="BU191" s="140">
        <f t="shared" si="290"/>
        <v>0</v>
      </c>
      <c r="BV191" s="140">
        <f t="shared" si="290"/>
        <v>0</v>
      </c>
      <c r="BW191" s="140">
        <f t="shared" si="290"/>
        <v>0</v>
      </c>
      <c r="BX191" s="140">
        <f t="shared" si="290"/>
        <v>0</v>
      </c>
      <c r="BY191" s="140">
        <f t="shared" si="290"/>
        <v>0</v>
      </c>
      <c r="BZ191" s="140">
        <f t="shared" si="290"/>
        <v>0</v>
      </c>
      <c r="CA191" s="140">
        <f t="shared" si="290"/>
        <v>0</v>
      </c>
      <c r="CB191" s="140">
        <f t="shared" si="290"/>
        <v>0</v>
      </c>
      <c r="CC191" s="17"/>
      <c r="CD191" s="17"/>
      <c r="CE191" s="17"/>
    </row>
    <row r="192" spans="1:83">
      <c r="A192" s="16" t="s">
        <v>44</v>
      </c>
      <c r="B192" s="140">
        <f>EXP(-B191*B190)</f>
        <v>1</v>
      </c>
      <c r="C192" s="140">
        <f t="shared" ref="C192:AR192" si="291">EXP(-C191*C190)</f>
        <v>1</v>
      </c>
      <c r="D192" s="140">
        <f t="shared" si="291"/>
        <v>1</v>
      </c>
      <c r="E192" s="140">
        <f t="shared" si="291"/>
        <v>1</v>
      </c>
      <c r="F192" s="140">
        <f t="shared" si="291"/>
        <v>1</v>
      </c>
      <c r="G192" s="140">
        <f t="shared" si="291"/>
        <v>1</v>
      </c>
      <c r="H192" s="140">
        <f t="shared" si="291"/>
        <v>1</v>
      </c>
      <c r="I192" s="140">
        <f t="shared" si="291"/>
        <v>1</v>
      </c>
      <c r="J192" s="140">
        <f t="shared" si="291"/>
        <v>1</v>
      </c>
      <c r="K192" s="140">
        <f t="shared" si="291"/>
        <v>1</v>
      </c>
      <c r="L192" s="140">
        <f t="shared" si="291"/>
        <v>1</v>
      </c>
      <c r="M192" s="140">
        <f t="shared" si="291"/>
        <v>1</v>
      </c>
      <c r="N192" s="140">
        <f t="shared" si="291"/>
        <v>1</v>
      </c>
      <c r="O192" s="140">
        <f t="shared" si="291"/>
        <v>1</v>
      </c>
      <c r="P192" s="140">
        <f t="shared" si="291"/>
        <v>1</v>
      </c>
      <c r="Q192" s="140">
        <f t="shared" si="291"/>
        <v>1</v>
      </c>
      <c r="R192" s="140">
        <f t="shared" si="291"/>
        <v>1</v>
      </c>
      <c r="S192" s="140">
        <f t="shared" si="291"/>
        <v>1</v>
      </c>
      <c r="T192" s="140">
        <f t="shared" si="291"/>
        <v>1</v>
      </c>
      <c r="U192" s="140">
        <f t="shared" si="291"/>
        <v>1</v>
      </c>
      <c r="V192" s="140">
        <f t="shared" si="291"/>
        <v>1</v>
      </c>
      <c r="W192" s="140">
        <f t="shared" si="291"/>
        <v>1</v>
      </c>
      <c r="X192" s="140">
        <f t="shared" si="291"/>
        <v>1</v>
      </c>
      <c r="Y192" s="140">
        <f t="shared" si="291"/>
        <v>1</v>
      </c>
      <c r="Z192" s="140">
        <f t="shared" si="291"/>
        <v>1</v>
      </c>
      <c r="AA192" s="140">
        <f t="shared" si="291"/>
        <v>1</v>
      </c>
      <c r="AB192" s="140">
        <f t="shared" si="291"/>
        <v>1</v>
      </c>
      <c r="AC192" s="140">
        <f t="shared" si="291"/>
        <v>1</v>
      </c>
      <c r="AD192" s="140">
        <f t="shared" si="291"/>
        <v>1</v>
      </c>
      <c r="AE192" s="140">
        <f t="shared" si="291"/>
        <v>1</v>
      </c>
      <c r="AF192" s="140">
        <f t="shared" si="291"/>
        <v>1</v>
      </c>
      <c r="AG192" s="140">
        <f t="shared" si="291"/>
        <v>1</v>
      </c>
      <c r="AH192" s="140">
        <f t="shared" si="291"/>
        <v>1</v>
      </c>
      <c r="AI192" s="140">
        <f t="shared" si="291"/>
        <v>1</v>
      </c>
      <c r="AJ192" s="140">
        <f t="shared" si="291"/>
        <v>1</v>
      </c>
      <c r="AK192" s="140">
        <f t="shared" si="291"/>
        <v>1</v>
      </c>
      <c r="AL192" s="140">
        <f t="shared" si="291"/>
        <v>1</v>
      </c>
      <c r="AM192" s="140">
        <f t="shared" si="291"/>
        <v>1</v>
      </c>
      <c r="AN192" s="140">
        <f t="shared" si="291"/>
        <v>1</v>
      </c>
      <c r="AO192" s="140">
        <f t="shared" si="291"/>
        <v>1</v>
      </c>
      <c r="AP192" s="140">
        <f t="shared" si="291"/>
        <v>1</v>
      </c>
      <c r="AQ192" s="140">
        <f t="shared" si="291"/>
        <v>1</v>
      </c>
      <c r="AR192" s="140">
        <f t="shared" si="291"/>
        <v>1</v>
      </c>
      <c r="AS192" s="140">
        <f>EXP(-AS191*AS190)</f>
        <v>1</v>
      </c>
      <c r="AT192" s="140">
        <f t="shared" ref="AT192:CA192" si="292">EXP(-AT191*AT190)</f>
        <v>1</v>
      </c>
      <c r="AU192" s="140">
        <f t="shared" si="292"/>
        <v>1</v>
      </c>
      <c r="AV192" s="140">
        <f t="shared" si="292"/>
        <v>1</v>
      </c>
      <c r="AW192" s="140">
        <f t="shared" si="292"/>
        <v>1</v>
      </c>
      <c r="AX192" s="140">
        <f t="shared" si="292"/>
        <v>1</v>
      </c>
      <c r="AY192" s="140">
        <f t="shared" si="292"/>
        <v>1</v>
      </c>
      <c r="AZ192" s="140">
        <f t="shared" si="292"/>
        <v>1</v>
      </c>
      <c r="BA192" s="140">
        <f t="shared" si="292"/>
        <v>1</v>
      </c>
      <c r="BB192" s="140">
        <f t="shared" si="292"/>
        <v>1</v>
      </c>
      <c r="BC192" s="140">
        <f t="shared" si="292"/>
        <v>1</v>
      </c>
      <c r="BD192" s="140">
        <f t="shared" si="292"/>
        <v>1</v>
      </c>
      <c r="BE192" s="140">
        <f t="shared" si="292"/>
        <v>1</v>
      </c>
      <c r="BF192" s="140">
        <f t="shared" si="292"/>
        <v>1</v>
      </c>
      <c r="BG192" s="140">
        <f t="shared" si="292"/>
        <v>1</v>
      </c>
      <c r="BH192" s="140">
        <f t="shared" si="292"/>
        <v>1</v>
      </c>
      <c r="BI192" s="140">
        <f t="shared" si="292"/>
        <v>1</v>
      </c>
      <c r="BJ192" s="140">
        <f t="shared" si="292"/>
        <v>1</v>
      </c>
      <c r="BK192" s="140">
        <f t="shared" si="292"/>
        <v>1</v>
      </c>
      <c r="BL192" s="140">
        <f t="shared" si="292"/>
        <v>1</v>
      </c>
      <c r="BM192" s="140">
        <f t="shared" si="292"/>
        <v>1</v>
      </c>
      <c r="BN192" s="140">
        <f t="shared" si="292"/>
        <v>1</v>
      </c>
      <c r="BO192" s="140">
        <f t="shared" si="292"/>
        <v>1</v>
      </c>
      <c r="BP192" s="140">
        <f t="shared" si="292"/>
        <v>1</v>
      </c>
      <c r="BQ192" s="140">
        <f t="shared" si="292"/>
        <v>1</v>
      </c>
      <c r="BR192" s="140">
        <f t="shared" si="292"/>
        <v>1</v>
      </c>
      <c r="BS192" s="140">
        <f t="shared" si="292"/>
        <v>1</v>
      </c>
      <c r="BT192" s="140">
        <f t="shared" si="292"/>
        <v>1</v>
      </c>
      <c r="BU192" s="140">
        <f t="shared" si="292"/>
        <v>1</v>
      </c>
      <c r="BV192" s="140">
        <f t="shared" si="292"/>
        <v>1</v>
      </c>
      <c r="BW192" s="140">
        <f t="shared" si="292"/>
        <v>1</v>
      </c>
      <c r="BX192" s="140">
        <f t="shared" si="292"/>
        <v>1</v>
      </c>
      <c r="BY192" s="140">
        <f t="shared" si="292"/>
        <v>1</v>
      </c>
      <c r="BZ192" s="140">
        <f t="shared" si="292"/>
        <v>1</v>
      </c>
      <c r="CA192" s="140">
        <f t="shared" si="292"/>
        <v>1</v>
      </c>
      <c r="CB192" s="140">
        <f>EXP(-CB191*CB190)</f>
        <v>1</v>
      </c>
      <c r="CC192" s="17"/>
      <c r="CD192" s="17"/>
      <c r="CE192" s="17"/>
    </row>
    <row r="193" spans="1:83">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c r="BE193" s="17"/>
      <c r="BF193" s="17"/>
      <c r="BG193" s="17"/>
      <c r="BH193" s="17"/>
      <c r="BI193" s="17"/>
      <c r="BJ193" s="17"/>
      <c r="BK193" s="17"/>
      <c r="BL193" s="17"/>
      <c r="BM193" s="17"/>
      <c r="BN193" s="17"/>
      <c r="BO193" s="17"/>
      <c r="BP193" s="17"/>
      <c r="BQ193" s="17"/>
      <c r="BR193" s="17"/>
      <c r="BS193" s="17"/>
      <c r="BT193" s="17"/>
      <c r="BU193" s="17"/>
      <c r="BV193" s="17"/>
      <c r="BW193" s="17"/>
      <c r="BX193" s="17"/>
      <c r="BY193" s="17"/>
      <c r="BZ193" s="17"/>
      <c r="CA193" s="17"/>
      <c r="CB193" s="17"/>
      <c r="CC193" s="17"/>
      <c r="CD193" s="17"/>
      <c r="CE193" s="17"/>
    </row>
    <row r="194" spans="1:83">
      <c r="A194" s="16" t="s">
        <v>40</v>
      </c>
      <c r="B194" s="140">
        <f>DAYS360($B$3,B74)</f>
        <v>-43022</v>
      </c>
      <c r="C194" s="140">
        <f t="shared" ref="C194:BN194" si="293">DAYS360($B$3,C74)</f>
        <v>-42842</v>
      </c>
      <c r="D194" s="140">
        <f t="shared" si="293"/>
        <v>-42662</v>
      </c>
      <c r="E194" s="140">
        <f t="shared" si="293"/>
        <v>-42482</v>
      </c>
      <c r="F194" s="140">
        <f t="shared" si="293"/>
        <v>-42302</v>
      </c>
      <c r="G194" s="140">
        <f t="shared" si="293"/>
        <v>-42122</v>
      </c>
      <c r="H194" s="140">
        <f t="shared" si="293"/>
        <v>-41942</v>
      </c>
      <c r="I194" s="140">
        <f t="shared" si="293"/>
        <v>-41762</v>
      </c>
      <c r="J194" s="140">
        <f t="shared" si="293"/>
        <v>-41582</v>
      </c>
      <c r="K194" s="140">
        <f t="shared" si="293"/>
        <v>-41403</v>
      </c>
      <c r="L194" s="140">
        <f t="shared" si="293"/>
        <v>-41223</v>
      </c>
      <c r="M194" s="140">
        <f t="shared" si="293"/>
        <v>-41043</v>
      </c>
      <c r="N194" s="140">
        <f t="shared" si="293"/>
        <v>-40863</v>
      </c>
      <c r="O194" s="140">
        <f t="shared" si="293"/>
        <v>-40683</v>
      </c>
      <c r="P194" s="140">
        <f t="shared" si="293"/>
        <v>-40503</v>
      </c>
      <c r="Q194" s="140">
        <f t="shared" si="293"/>
        <v>-40323</v>
      </c>
      <c r="R194" s="140">
        <f t="shared" si="293"/>
        <v>-40143</v>
      </c>
      <c r="S194" s="140">
        <f t="shared" si="293"/>
        <v>-39964</v>
      </c>
      <c r="T194" s="140">
        <f t="shared" si="293"/>
        <v>-39784</v>
      </c>
      <c r="U194" s="140">
        <f t="shared" si="293"/>
        <v>-39604</v>
      </c>
      <c r="V194" s="140">
        <f t="shared" si="293"/>
        <v>-39424</v>
      </c>
      <c r="W194" s="140">
        <f t="shared" si="293"/>
        <v>-39244</v>
      </c>
      <c r="X194" s="140">
        <f t="shared" si="293"/>
        <v>-39064</v>
      </c>
      <c r="Y194" s="140">
        <f t="shared" si="293"/>
        <v>-38884</v>
      </c>
      <c r="Z194" s="140">
        <f t="shared" si="293"/>
        <v>-38704</v>
      </c>
      <c r="AA194" s="140">
        <f t="shared" si="293"/>
        <v>-38525</v>
      </c>
      <c r="AB194" s="140">
        <f t="shared" si="293"/>
        <v>-38345</v>
      </c>
      <c r="AC194" s="140">
        <f t="shared" si="293"/>
        <v>-38165</v>
      </c>
      <c r="AD194" s="140">
        <f t="shared" si="293"/>
        <v>-37985</v>
      </c>
      <c r="AE194" s="140">
        <f t="shared" si="293"/>
        <v>-37805</v>
      </c>
      <c r="AF194" s="140">
        <f t="shared" si="293"/>
        <v>-37625</v>
      </c>
      <c r="AG194" s="140">
        <f t="shared" si="293"/>
        <v>-37445</v>
      </c>
      <c r="AH194" s="140">
        <f t="shared" si="293"/>
        <v>-37265</v>
      </c>
      <c r="AI194" s="140">
        <f t="shared" si="293"/>
        <v>-37086</v>
      </c>
      <c r="AJ194" s="140">
        <f t="shared" si="293"/>
        <v>-36906</v>
      </c>
      <c r="AK194" s="140">
        <f t="shared" si="293"/>
        <v>-36726</v>
      </c>
      <c r="AL194" s="140">
        <f t="shared" si="293"/>
        <v>-36546</v>
      </c>
      <c r="AM194" s="140">
        <f t="shared" si="293"/>
        <v>-36366</v>
      </c>
      <c r="AN194" s="140">
        <f t="shared" si="293"/>
        <v>-36186</v>
      </c>
      <c r="AO194" s="140">
        <f t="shared" si="293"/>
        <v>-36006</v>
      </c>
      <c r="AP194" s="140">
        <f t="shared" si="293"/>
        <v>-35826</v>
      </c>
      <c r="AQ194" s="140">
        <f t="shared" si="293"/>
        <v>-35647</v>
      </c>
      <c r="AR194" s="140">
        <f t="shared" si="293"/>
        <v>-35467</v>
      </c>
      <c r="AS194" s="140">
        <f t="shared" si="293"/>
        <v>-35287</v>
      </c>
      <c r="AT194" s="140">
        <f t="shared" si="293"/>
        <v>-35107</v>
      </c>
      <c r="AU194" s="140">
        <f t="shared" si="293"/>
        <v>-34927</v>
      </c>
      <c r="AV194" s="140">
        <f t="shared" si="293"/>
        <v>-34747</v>
      </c>
      <c r="AW194" s="140">
        <f t="shared" si="293"/>
        <v>-34567</v>
      </c>
      <c r="AX194" s="140">
        <f t="shared" si="293"/>
        <v>-34387</v>
      </c>
      <c r="AY194" s="140">
        <f t="shared" si="293"/>
        <v>-34208</v>
      </c>
      <c r="AZ194" s="140">
        <f t="shared" si="293"/>
        <v>-34028</v>
      </c>
      <c r="BA194" s="140">
        <f t="shared" si="293"/>
        <v>-33848</v>
      </c>
      <c r="BB194" s="140">
        <f t="shared" si="293"/>
        <v>-33668</v>
      </c>
      <c r="BC194" s="140">
        <f t="shared" si="293"/>
        <v>-33488</v>
      </c>
      <c r="BD194" s="140">
        <f t="shared" si="293"/>
        <v>-33308</v>
      </c>
      <c r="BE194" s="140">
        <f t="shared" si="293"/>
        <v>-33128</v>
      </c>
      <c r="BF194" s="140">
        <f t="shared" si="293"/>
        <v>-32948</v>
      </c>
      <c r="BG194" s="140">
        <f t="shared" si="293"/>
        <v>-32769</v>
      </c>
      <c r="BH194" s="140">
        <f t="shared" si="293"/>
        <v>-32589</v>
      </c>
      <c r="BI194" s="140">
        <f t="shared" si="293"/>
        <v>-32409</v>
      </c>
      <c r="BJ194" s="140">
        <f t="shared" si="293"/>
        <v>-32229</v>
      </c>
      <c r="BK194" s="140">
        <f t="shared" si="293"/>
        <v>-32049</v>
      </c>
      <c r="BL194" s="140">
        <f t="shared" si="293"/>
        <v>-31869</v>
      </c>
      <c r="BM194" s="140">
        <f t="shared" si="293"/>
        <v>-31689</v>
      </c>
      <c r="BN194" s="140">
        <f t="shared" si="293"/>
        <v>-31509</v>
      </c>
      <c r="BO194" s="140">
        <f t="shared" ref="BO194:CB194" si="294">DAYS360($B$3,BO74)</f>
        <v>-31330</v>
      </c>
      <c r="BP194" s="140">
        <f t="shared" si="294"/>
        <v>-31150</v>
      </c>
      <c r="BQ194" s="140">
        <f t="shared" si="294"/>
        <v>-30970</v>
      </c>
      <c r="BR194" s="140">
        <f t="shared" si="294"/>
        <v>-30790</v>
      </c>
      <c r="BS194" s="140">
        <f t="shared" si="294"/>
        <v>-30610</v>
      </c>
      <c r="BT194" s="140">
        <f t="shared" si="294"/>
        <v>-30430</v>
      </c>
      <c r="BU194" s="140">
        <f t="shared" si="294"/>
        <v>-30250</v>
      </c>
      <c r="BV194" s="140">
        <f t="shared" si="294"/>
        <v>-30070</v>
      </c>
      <c r="BW194" s="140">
        <f t="shared" si="294"/>
        <v>-29891</v>
      </c>
      <c r="BX194" s="140">
        <f t="shared" si="294"/>
        <v>-29711</v>
      </c>
      <c r="BY194" s="140">
        <f t="shared" si="294"/>
        <v>-29531</v>
      </c>
      <c r="BZ194" s="140">
        <f t="shared" si="294"/>
        <v>-29351</v>
      </c>
      <c r="CA194" s="140">
        <f t="shared" si="294"/>
        <v>-29171</v>
      </c>
      <c r="CB194" s="140">
        <f t="shared" si="294"/>
        <v>-28991</v>
      </c>
      <c r="CC194" s="17"/>
      <c r="CD194" s="17"/>
      <c r="CE194" s="17"/>
    </row>
    <row r="195" spans="1:83">
      <c r="A195" s="16" t="s">
        <v>41</v>
      </c>
      <c r="B195" s="140">
        <f>B194/360</f>
        <v>-119.50555555555556</v>
      </c>
      <c r="C195" s="140">
        <f t="shared" ref="C195:BN195" si="295">C194/360</f>
        <v>-119.00555555555556</v>
      </c>
      <c r="D195" s="140">
        <f t="shared" si="295"/>
        <v>-118.50555555555556</v>
      </c>
      <c r="E195" s="140">
        <f t="shared" si="295"/>
        <v>-118.00555555555556</v>
      </c>
      <c r="F195" s="140">
        <f t="shared" si="295"/>
        <v>-117.50555555555556</v>
      </c>
      <c r="G195" s="140">
        <f t="shared" si="295"/>
        <v>-117.00555555555556</v>
      </c>
      <c r="H195" s="140">
        <f t="shared" si="295"/>
        <v>-116.50555555555556</v>
      </c>
      <c r="I195" s="140">
        <f t="shared" si="295"/>
        <v>-116.00555555555556</v>
      </c>
      <c r="J195" s="140">
        <f t="shared" si="295"/>
        <v>-115.50555555555556</v>
      </c>
      <c r="K195" s="140">
        <f t="shared" si="295"/>
        <v>-115.00833333333334</v>
      </c>
      <c r="L195" s="140">
        <f t="shared" si="295"/>
        <v>-114.50833333333334</v>
      </c>
      <c r="M195" s="140">
        <f t="shared" si="295"/>
        <v>-114.00833333333334</v>
      </c>
      <c r="N195" s="140">
        <f t="shared" si="295"/>
        <v>-113.50833333333334</v>
      </c>
      <c r="O195" s="140">
        <f t="shared" si="295"/>
        <v>-113.00833333333334</v>
      </c>
      <c r="P195" s="140">
        <f t="shared" si="295"/>
        <v>-112.50833333333334</v>
      </c>
      <c r="Q195" s="140">
        <f t="shared" si="295"/>
        <v>-112.00833333333334</v>
      </c>
      <c r="R195" s="140">
        <f t="shared" si="295"/>
        <v>-111.50833333333334</v>
      </c>
      <c r="S195" s="140">
        <f t="shared" si="295"/>
        <v>-111.01111111111111</v>
      </c>
      <c r="T195" s="140">
        <f t="shared" si="295"/>
        <v>-110.51111111111111</v>
      </c>
      <c r="U195" s="140">
        <f t="shared" si="295"/>
        <v>-110.01111111111111</v>
      </c>
      <c r="V195" s="140">
        <f t="shared" si="295"/>
        <v>-109.51111111111111</v>
      </c>
      <c r="W195" s="140">
        <f t="shared" si="295"/>
        <v>-109.01111111111111</v>
      </c>
      <c r="X195" s="140">
        <f t="shared" si="295"/>
        <v>-108.51111111111111</v>
      </c>
      <c r="Y195" s="140">
        <f t="shared" si="295"/>
        <v>-108.01111111111111</v>
      </c>
      <c r="Z195" s="140">
        <f t="shared" si="295"/>
        <v>-107.51111111111111</v>
      </c>
      <c r="AA195" s="140">
        <f t="shared" si="295"/>
        <v>-107.01388888888889</v>
      </c>
      <c r="AB195" s="140">
        <f t="shared" si="295"/>
        <v>-106.51388888888889</v>
      </c>
      <c r="AC195" s="140">
        <f t="shared" si="295"/>
        <v>-106.01388888888889</v>
      </c>
      <c r="AD195" s="140">
        <f t="shared" si="295"/>
        <v>-105.51388888888889</v>
      </c>
      <c r="AE195" s="140">
        <f t="shared" si="295"/>
        <v>-105.01388888888889</v>
      </c>
      <c r="AF195" s="140">
        <f t="shared" si="295"/>
        <v>-104.51388888888889</v>
      </c>
      <c r="AG195" s="140">
        <f t="shared" si="295"/>
        <v>-104.01388888888889</v>
      </c>
      <c r="AH195" s="140">
        <f t="shared" si="295"/>
        <v>-103.51388888888889</v>
      </c>
      <c r="AI195" s="140">
        <f t="shared" si="295"/>
        <v>-103.01666666666667</v>
      </c>
      <c r="AJ195" s="140">
        <f t="shared" si="295"/>
        <v>-102.51666666666667</v>
      </c>
      <c r="AK195" s="140">
        <f t="shared" si="295"/>
        <v>-102.01666666666667</v>
      </c>
      <c r="AL195" s="140">
        <f t="shared" si="295"/>
        <v>-101.51666666666667</v>
      </c>
      <c r="AM195" s="140">
        <f t="shared" si="295"/>
        <v>-101.01666666666667</v>
      </c>
      <c r="AN195" s="140">
        <f t="shared" si="295"/>
        <v>-100.51666666666667</v>
      </c>
      <c r="AO195" s="140">
        <f t="shared" si="295"/>
        <v>-100.01666666666667</v>
      </c>
      <c r="AP195" s="140">
        <f t="shared" si="295"/>
        <v>-99.516666666666666</v>
      </c>
      <c r="AQ195" s="140">
        <f t="shared" si="295"/>
        <v>-99.019444444444446</v>
      </c>
      <c r="AR195" s="140">
        <f t="shared" si="295"/>
        <v>-98.519444444444446</v>
      </c>
      <c r="AS195" s="140">
        <f t="shared" si="295"/>
        <v>-98.019444444444446</v>
      </c>
      <c r="AT195" s="140">
        <f t="shared" si="295"/>
        <v>-97.519444444444446</v>
      </c>
      <c r="AU195" s="140">
        <f t="shared" si="295"/>
        <v>-97.019444444444446</v>
      </c>
      <c r="AV195" s="140">
        <f t="shared" si="295"/>
        <v>-96.519444444444446</v>
      </c>
      <c r="AW195" s="140">
        <f t="shared" si="295"/>
        <v>-96.019444444444446</v>
      </c>
      <c r="AX195" s="140">
        <f t="shared" si="295"/>
        <v>-95.519444444444446</v>
      </c>
      <c r="AY195" s="140">
        <f t="shared" si="295"/>
        <v>-95.022222222222226</v>
      </c>
      <c r="AZ195" s="140">
        <f t="shared" si="295"/>
        <v>-94.522222222222226</v>
      </c>
      <c r="BA195" s="140">
        <f t="shared" si="295"/>
        <v>-94.022222222222226</v>
      </c>
      <c r="BB195" s="140">
        <f t="shared" si="295"/>
        <v>-93.522222222222226</v>
      </c>
      <c r="BC195" s="140">
        <f t="shared" si="295"/>
        <v>-93.022222222222226</v>
      </c>
      <c r="BD195" s="140">
        <f t="shared" si="295"/>
        <v>-92.522222222222226</v>
      </c>
      <c r="BE195" s="140">
        <f t="shared" si="295"/>
        <v>-92.022222222222226</v>
      </c>
      <c r="BF195" s="140">
        <f t="shared" si="295"/>
        <v>-91.522222222222226</v>
      </c>
      <c r="BG195" s="140">
        <f t="shared" si="295"/>
        <v>-91.025000000000006</v>
      </c>
      <c r="BH195" s="140">
        <f t="shared" si="295"/>
        <v>-90.525000000000006</v>
      </c>
      <c r="BI195" s="140">
        <f t="shared" si="295"/>
        <v>-90.025000000000006</v>
      </c>
      <c r="BJ195" s="140">
        <f t="shared" si="295"/>
        <v>-89.525000000000006</v>
      </c>
      <c r="BK195" s="140">
        <f t="shared" si="295"/>
        <v>-89.025000000000006</v>
      </c>
      <c r="BL195" s="140">
        <f t="shared" si="295"/>
        <v>-88.525000000000006</v>
      </c>
      <c r="BM195" s="140">
        <f t="shared" si="295"/>
        <v>-88.025000000000006</v>
      </c>
      <c r="BN195" s="140">
        <f t="shared" si="295"/>
        <v>-87.525000000000006</v>
      </c>
      <c r="BO195" s="140">
        <f t="shared" ref="BO195:CB195" si="296">BO194/360</f>
        <v>-87.027777777777771</v>
      </c>
      <c r="BP195" s="140">
        <f t="shared" si="296"/>
        <v>-86.527777777777771</v>
      </c>
      <c r="BQ195" s="140">
        <f t="shared" si="296"/>
        <v>-86.027777777777771</v>
      </c>
      <c r="BR195" s="140">
        <f t="shared" si="296"/>
        <v>-85.527777777777771</v>
      </c>
      <c r="BS195" s="140">
        <f t="shared" si="296"/>
        <v>-85.027777777777771</v>
      </c>
      <c r="BT195" s="140">
        <f t="shared" si="296"/>
        <v>-84.527777777777771</v>
      </c>
      <c r="BU195" s="140">
        <f t="shared" si="296"/>
        <v>-84.027777777777771</v>
      </c>
      <c r="BV195" s="140">
        <f t="shared" si="296"/>
        <v>-83.527777777777771</v>
      </c>
      <c r="BW195" s="140">
        <f t="shared" si="296"/>
        <v>-83.030555555555551</v>
      </c>
      <c r="BX195" s="140">
        <f t="shared" si="296"/>
        <v>-82.530555555555551</v>
      </c>
      <c r="BY195" s="140">
        <f t="shared" si="296"/>
        <v>-82.030555555555551</v>
      </c>
      <c r="BZ195" s="140">
        <f t="shared" si="296"/>
        <v>-81.530555555555551</v>
      </c>
      <c r="CA195" s="140">
        <f t="shared" si="296"/>
        <v>-81.030555555555551</v>
      </c>
      <c r="CB195" s="140">
        <f t="shared" si="296"/>
        <v>-80.530555555555551</v>
      </c>
      <c r="CC195" s="17"/>
      <c r="CD195" s="17"/>
      <c r="CE195" s="17"/>
    </row>
    <row r="196" spans="1:83">
      <c r="A196" s="16" t="s">
        <v>43</v>
      </c>
      <c r="B196" s="140">
        <f>IF(B194&lt;0,0,$B$5+$B$6*((1-EXP(-B195/$B$9))/(B195/$B$9))+$B$7*((1-EXP(-B195/$B$9))/(B195/$B$9)-EXP(-B195/$B$9))+$B$8*((1-EXP(-B195/$B$10))/(B195/$B$10)-EXP(-B195/$B$10)))</f>
        <v>0</v>
      </c>
      <c r="C196" s="140">
        <f t="shared" ref="C196:BN196" si="297">IF(C194&lt;0,0,$B$5+$B$6*((1-EXP(-C195/$B$9))/(C195/$B$9))+$B$7*((1-EXP(-C195/$B$9))/(C195/$B$9)-EXP(-C195/$B$9))+$B$8*((1-EXP(-C195/$B$10))/(C195/$B$10)-EXP(-C195/$B$10)))</f>
        <v>0</v>
      </c>
      <c r="D196" s="140">
        <f t="shared" si="297"/>
        <v>0</v>
      </c>
      <c r="E196" s="140">
        <f t="shared" si="297"/>
        <v>0</v>
      </c>
      <c r="F196" s="140">
        <f t="shared" si="297"/>
        <v>0</v>
      </c>
      <c r="G196" s="140">
        <f t="shared" si="297"/>
        <v>0</v>
      </c>
      <c r="H196" s="140">
        <f t="shared" si="297"/>
        <v>0</v>
      </c>
      <c r="I196" s="140">
        <f t="shared" si="297"/>
        <v>0</v>
      </c>
      <c r="J196" s="140">
        <f t="shared" si="297"/>
        <v>0</v>
      </c>
      <c r="K196" s="140">
        <f t="shared" si="297"/>
        <v>0</v>
      </c>
      <c r="L196" s="140">
        <f t="shared" si="297"/>
        <v>0</v>
      </c>
      <c r="M196" s="140">
        <f t="shared" si="297"/>
        <v>0</v>
      </c>
      <c r="N196" s="140">
        <f t="shared" si="297"/>
        <v>0</v>
      </c>
      <c r="O196" s="140">
        <f t="shared" si="297"/>
        <v>0</v>
      </c>
      <c r="P196" s="140">
        <f t="shared" si="297"/>
        <v>0</v>
      </c>
      <c r="Q196" s="140">
        <f t="shared" si="297"/>
        <v>0</v>
      </c>
      <c r="R196" s="140">
        <f t="shared" si="297"/>
        <v>0</v>
      </c>
      <c r="S196" s="140">
        <f t="shared" si="297"/>
        <v>0</v>
      </c>
      <c r="T196" s="140">
        <f t="shared" si="297"/>
        <v>0</v>
      </c>
      <c r="U196" s="140">
        <f t="shared" si="297"/>
        <v>0</v>
      </c>
      <c r="V196" s="140">
        <f t="shared" si="297"/>
        <v>0</v>
      </c>
      <c r="W196" s="140">
        <f t="shared" si="297"/>
        <v>0</v>
      </c>
      <c r="X196" s="140">
        <f t="shared" si="297"/>
        <v>0</v>
      </c>
      <c r="Y196" s="140">
        <f t="shared" si="297"/>
        <v>0</v>
      </c>
      <c r="Z196" s="140">
        <f t="shared" si="297"/>
        <v>0</v>
      </c>
      <c r="AA196" s="140">
        <f t="shared" si="297"/>
        <v>0</v>
      </c>
      <c r="AB196" s="140">
        <f t="shared" si="297"/>
        <v>0</v>
      </c>
      <c r="AC196" s="140">
        <f t="shared" si="297"/>
        <v>0</v>
      </c>
      <c r="AD196" s="140">
        <f t="shared" si="297"/>
        <v>0</v>
      </c>
      <c r="AE196" s="140">
        <f t="shared" si="297"/>
        <v>0</v>
      </c>
      <c r="AF196" s="140">
        <f t="shared" si="297"/>
        <v>0</v>
      </c>
      <c r="AG196" s="140">
        <f t="shared" si="297"/>
        <v>0</v>
      </c>
      <c r="AH196" s="140">
        <f t="shared" si="297"/>
        <v>0</v>
      </c>
      <c r="AI196" s="140">
        <f t="shared" si="297"/>
        <v>0</v>
      </c>
      <c r="AJ196" s="140">
        <f t="shared" si="297"/>
        <v>0</v>
      </c>
      <c r="AK196" s="140">
        <f t="shared" si="297"/>
        <v>0</v>
      </c>
      <c r="AL196" s="140">
        <f t="shared" si="297"/>
        <v>0</v>
      </c>
      <c r="AM196" s="140">
        <f t="shared" si="297"/>
        <v>0</v>
      </c>
      <c r="AN196" s="140">
        <f t="shared" si="297"/>
        <v>0</v>
      </c>
      <c r="AO196" s="140">
        <f t="shared" si="297"/>
        <v>0</v>
      </c>
      <c r="AP196" s="140">
        <f t="shared" si="297"/>
        <v>0</v>
      </c>
      <c r="AQ196" s="140">
        <f t="shared" si="297"/>
        <v>0</v>
      </c>
      <c r="AR196" s="140">
        <f t="shared" si="297"/>
        <v>0</v>
      </c>
      <c r="AS196" s="140">
        <f t="shared" si="297"/>
        <v>0</v>
      </c>
      <c r="AT196" s="140">
        <f t="shared" si="297"/>
        <v>0</v>
      </c>
      <c r="AU196" s="140">
        <f t="shared" si="297"/>
        <v>0</v>
      </c>
      <c r="AV196" s="140">
        <f t="shared" si="297"/>
        <v>0</v>
      </c>
      <c r="AW196" s="140">
        <f t="shared" si="297"/>
        <v>0</v>
      </c>
      <c r="AX196" s="140">
        <f t="shared" si="297"/>
        <v>0</v>
      </c>
      <c r="AY196" s="140">
        <f t="shared" si="297"/>
        <v>0</v>
      </c>
      <c r="AZ196" s="140">
        <f t="shared" si="297"/>
        <v>0</v>
      </c>
      <c r="BA196" s="140">
        <f t="shared" si="297"/>
        <v>0</v>
      </c>
      <c r="BB196" s="140">
        <f t="shared" si="297"/>
        <v>0</v>
      </c>
      <c r="BC196" s="140">
        <f t="shared" si="297"/>
        <v>0</v>
      </c>
      <c r="BD196" s="140">
        <f t="shared" si="297"/>
        <v>0</v>
      </c>
      <c r="BE196" s="140">
        <f t="shared" si="297"/>
        <v>0</v>
      </c>
      <c r="BF196" s="140">
        <f t="shared" si="297"/>
        <v>0</v>
      </c>
      <c r="BG196" s="140">
        <f t="shared" si="297"/>
        <v>0</v>
      </c>
      <c r="BH196" s="140">
        <f t="shared" si="297"/>
        <v>0</v>
      </c>
      <c r="BI196" s="140">
        <f t="shared" si="297"/>
        <v>0</v>
      </c>
      <c r="BJ196" s="140">
        <f t="shared" si="297"/>
        <v>0</v>
      </c>
      <c r="BK196" s="140">
        <f t="shared" si="297"/>
        <v>0</v>
      </c>
      <c r="BL196" s="140">
        <f t="shared" si="297"/>
        <v>0</v>
      </c>
      <c r="BM196" s="140">
        <f t="shared" si="297"/>
        <v>0</v>
      </c>
      <c r="BN196" s="140">
        <f t="shared" si="297"/>
        <v>0</v>
      </c>
      <c r="BO196" s="140">
        <f t="shared" ref="BO196:CB196" si="298">IF(BO194&lt;0,0,$B$5+$B$6*((1-EXP(-BO195/$B$9))/(BO195/$B$9))+$B$7*((1-EXP(-BO195/$B$9))/(BO195/$B$9)-EXP(-BO195/$B$9))+$B$8*((1-EXP(-BO195/$B$10))/(BO195/$B$10)-EXP(-BO195/$B$10)))</f>
        <v>0</v>
      </c>
      <c r="BP196" s="140">
        <f t="shared" si="298"/>
        <v>0</v>
      </c>
      <c r="BQ196" s="140">
        <f t="shared" si="298"/>
        <v>0</v>
      </c>
      <c r="BR196" s="140">
        <f t="shared" si="298"/>
        <v>0</v>
      </c>
      <c r="BS196" s="140">
        <f t="shared" si="298"/>
        <v>0</v>
      </c>
      <c r="BT196" s="140">
        <f t="shared" si="298"/>
        <v>0</v>
      </c>
      <c r="BU196" s="140">
        <f t="shared" si="298"/>
        <v>0</v>
      </c>
      <c r="BV196" s="140">
        <f t="shared" si="298"/>
        <v>0</v>
      </c>
      <c r="BW196" s="140">
        <f t="shared" si="298"/>
        <v>0</v>
      </c>
      <c r="BX196" s="140">
        <f t="shared" si="298"/>
        <v>0</v>
      </c>
      <c r="BY196" s="140">
        <f t="shared" si="298"/>
        <v>0</v>
      </c>
      <c r="BZ196" s="140">
        <f t="shared" si="298"/>
        <v>0</v>
      </c>
      <c r="CA196" s="140">
        <f t="shared" si="298"/>
        <v>0</v>
      </c>
      <c r="CB196" s="140">
        <f t="shared" si="298"/>
        <v>0</v>
      </c>
      <c r="CC196" s="17"/>
      <c r="CD196" s="17"/>
      <c r="CE196" s="17"/>
    </row>
    <row r="197" spans="1:83">
      <c r="A197" s="16" t="s">
        <v>44</v>
      </c>
      <c r="B197" s="140">
        <f>EXP(-B196*B195)</f>
        <v>1</v>
      </c>
      <c r="C197" s="140">
        <f t="shared" ref="C197:BN197" si="299">EXP(-C196*C195)</f>
        <v>1</v>
      </c>
      <c r="D197" s="140">
        <f t="shared" si="299"/>
        <v>1</v>
      </c>
      <c r="E197" s="140">
        <f t="shared" si="299"/>
        <v>1</v>
      </c>
      <c r="F197" s="140">
        <f t="shared" si="299"/>
        <v>1</v>
      </c>
      <c r="G197" s="140">
        <f t="shared" si="299"/>
        <v>1</v>
      </c>
      <c r="H197" s="140">
        <f t="shared" si="299"/>
        <v>1</v>
      </c>
      <c r="I197" s="140">
        <f t="shared" si="299"/>
        <v>1</v>
      </c>
      <c r="J197" s="140">
        <f t="shared" si="299"/>
        <v>1</v>
      </c>
      <c r="K197" s="140">
        <f t="shared" si="299"/>
        <v>1</v>
      </c>
      <c r="L197" s="140">
        <f t="shared" si="299"/>
        <v>1</v>
      </c>
      <c r="M197" s="140">
        <f t="shared" si="299"/>
        <v>1</v>
      </c>
      <c r="N197" s="140">
        <f t="shared" si="299"/>
        <v>1</v>
      </c>
      <c r="O197" s="140">
        <f t="shared" si="299"/>
        <v>1</v>
      </c>
      <c r="P197" s="140">
        <f t="shared" si="299"/>
        <v>1</v>
      </c>
      <c r="Q197" s="140">
        <f t="shared" si="299"/>
        <v>1</v>
      </c>
      <c r="R197" s="140">
        <f t="shared" si="299"/>
        <v>1</v>
      </c>
      <c r="S197" s="140">
        <f t="shared" si="299"/>
        <v>1</v>
      </c>
      <c r="T197" s="140">
        <f t="shared" si="299"/>
        <v>1</v>
      </c>
      <c r="U197" s="140">
        <f t="shared" si="299"/>
        <v>1</v>
      </c>
      <c r="V197" s="140">
        <f t="shared" si="299"/>
        <v>1</v>
      </c>
      <c r="W197" s="140">
        <f t="shared" si="299"/>
        <v>1</v>
      </c>
      <c r="X197" s="140">
        <f t="shared" si="299"/>
        <v>1</v>
      </c>
      <c r="Y197" s="140">
        <f t="shared" si="299"/>
        <v>1</v>
      </c>
      <c r="Z197" s="140">
        <f t="shared" si="299"/>
        <v>1</v>
      </c>
      <c r="AA197" s="140">
        <f t="shared" si="299"/>
        <v>1</v>
      </c>
      <c r="AB197" s="140">
        <f t="shared" si="299"/>
        <v>1</v>
      </c>
      <c r="AC197" s="140">
        <f t="shared" si="299"/>
        <v>1</v>
      </c>
      <c r="AD197" s="140">
        <f t="shared" si="299"/>
        <v>1</v>
      </c>
      <c r="AE197" s="140">
        <f t="shared" si="299"/>
        <v>1</v>
      </c>
      <c r="AF197" s="140">
        <f t="shared" si="299"/>
        <v>1</v>
      </c>
      <c r="AG197" s="140">
        <f t="shared" si="299"/>
        <v>1</v>
      </c>
      <c r="AH197" s="140">
        <f t="shared" si="299"/>
        <v>1</v>
      </c>
      <c r="AI197" s="140">
        <f t="shared" si="299"/>
        <v>1</v>
      </c>
      <c r="AJ197" s="140">
        <f t="shared" si="299"/>
        <v>1</v>
      </c>
      <c r="AK197" s="140">
        <f t="shared" si="299"/>
        <v>1</v>
      </c>
      <c r="AL197" s="140">
        <f t="shared" si="299"/>
        <v>1</v>
      </c>
      <c r="AM197" s="140">
        <f t="shared" si="299"/>
        <v>1</v>
      </c>
      <c r="AN197" s="140">
        <f t="shared" si="299"/>
        <v>1</v>
      </c>
      <c r="AO197" s="140">
        <f t="shared" si="299"/>
        <v>1</v>
      </c>
      <c r="AP197" s="140">
        <f t="shared" si="299"/>
        <v>1</v>
      </c>
      <c r="AQ197" s="140">
        <f t="shared" si="299"/>
        <v>1</v>
      </c>
      <c r="AR197" s="140">
        <f t="shared" si="299"/>
        <v>1</v>
      </c>
      <c r="AS197" s="140">
        <f t="shared" si="299"/>
        <v>1</v>
      </c>
      <c r="AT197" s="140">
        <f t="shared" si="299"/>
        <v>1</v>
      </c>
      <c r="AU197" s="140">
        <f t="shared" si="299"/>
        <v>1</v>
      </c>
      <c r="AV197" s="140">
        <f t="shared" si="299"/>
        <v>1</v>
      </c>
      <c r="AW197" s="140">
        <f t="shared" si="299"/>
        <v>1</v>
      </c>
      <c r="AX197" s="140">
        <f t="shared" si="299"/>
        <v>1</v>
      </c>
      <c r="AY197" s="140">
        <f t="shared" si="299"/>
        <v>1</v>
      </c>
      <c r="AZ197" s="140">
        <f t="shared" si="299"/>
        <v>1</v>
      </c>
      <c r="BA197" s="140">
        <f t="shared" si="299"/>
        <v>1</v>
      </c>
      <c r="BB197" s="140">
        <f t="shared" si="299"/>
        <v>1</v>
      </c>
      <c r="BC197" s="140">
        <f t="shared" si="299"/>
        <v>1</v>
      </c>
      <c r="BD197" s="140">
        <f t="shared" si="299"/>
        <v>1</v>
      </c>
      <c r="BE197" s="140">
        <f t="shared" si="299"/>
        <v>1</v>
      </c>
      <c r="BF197" s="140">
        <f t="shared" si="299"/>
        <v>1</v>
      </c>
      <c r="BG197" s="140">
        <f t="shared" si="299"/>
        <v>1</v>
      </c>
      <c r="BH197" s="140">
        <f t="shared" si="299"/>
        <v>1</v>
      </c>
      <c r="BI197" s="140">
        <f t="shared" si="299"/>
        <v>1</v>
      </c>
      <c r="BJ197" s="140">
        <f t="shared" si="299"/>
        <v>1</v>
      </c>
      <c r="BK197" s="140">
        <f t="shared" si="299"/>
        <v>1</v>
      </c>
      <c r="BL197" s="140">
        <f t="shared" si="299"/>
        <v>1</v>
      </c>
      <c r="BM197" s="140">
        <f t="shared" si="299"/>
        <v>1</v>
      </c>
      <c r="BN197" s="140">
        <f t="shared" si="299"/>
        <v>1</v>
      </c>
      <c r="BO197" s="140">
        <f t="shared" ref="BO197:CB197" si="300">EXP(-BO196*BO195)</f>
        <v>1</v>
      </c>
      <c r="BP197" s="140">
        <f t="shared" si="300"/>
        <v>1</v>
      </c>
      <c r="BQ197" s="140">
        <f t="shared" si="300"/>
        <v>1</v>
      </c>
      <c r="BR197" s="140">
        <f t="shared" si="300"/>
        <v>1</v>
      </c>
      <c r="BS197" s="140">
        <f t="shared" si="300"/>
        <v>1</v>
      </c>
      <c r="BT197" s="140">
        <f t="shared" si="300"/>
        <v>1</v>
      </c>
      <c r="BU197" s="140">
        <f t="shared" si="300"/>
        <v>1</v>
      </c>
      <c r="BV197" s="140">
        <f t="shared" si="300"/>
        <v>1</v>
      </c>
      <c r="BW197" s="140">
        <f t="shared" si="300"/>
        <v>1</v>
      </c>
      <c r="BX197" s="140">
        <f t="shared" si="300"/>
        <v>1</v>
      </c>
      <c r="BY197" s="140">
        <f t="shared" si="300"/>
        <v>1</v>
      </c>
      <c r="BZ197" s="140">
        <f t="shared" si="300"/>
        <v>1</v>
      </c>
      <c r="CA197" s="140">
        <f t="shared" si="300"/>
        <v>1</v>
      </c>
      <c r="CB197" s="140">
        <f t="shared" si="300"/>
        <v>1</v>
      </c>
      <c r="CC197" s="17"/>
      <c r="CD197" s="17"/>
      <c r="CE197" s="17"/>
    </row>
    <row r="198" spans="1:83">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c r="BE198" s="17"/>
      <c r="BF198" s="17"/>
      <c r="BG198" s="17"/>
      <c r="BH198" s="17"/>
      <c r="BI198" s="17"/>
      <c r="BJ198" s="17"/>
      <c r="BK198" s="17"/>
      <c r="BL198" s="17"/>
      <c r="BM198" s="17"/>
      <c r="BN198" s="17"/>
      <c r="BO198" s="17"/>
      <c r="BP198" s="17"/>
      <c r="BQ198" s="17"/>
      <c r="BR198" s="17"/>
      <c r="BS198" s="17"/>
      <c r="BT198" s="17"/>
      <c r="BU198" s="17"/>
      <c r="BV198" s="17"/>
      <c r="BW198" s="17"/>
      <c r="BX198" s="17"/>
      <c r="BY198" s="17"/>
      <c r="BZ198" s="17"/>
      <c r="CA198" s="17"/>
      <c r="CB198" s="17"/>
      <c r="CC198" s="17"/>
      <c r="CD198" s="17"/>
      <c r="CE198" s="17"/>
    </row>
    <row r="199" spans="1:83">
      <c r="A199" s="16" t="s">
        <v>40</v>
      </c>
      <c r="B199" s="140">
        <f>DAYS360($B$3,B76)</f>
        <v>-43022</v>
      </c>
      <c r="C199" s="140">
        <f t="shared" ref="C199:BN199" si="301">DAYS360($B$3,C76)</f>
        <v>-42842</v>
      </c>
      <c r="D199" s="140">
        <f t="shared" si="301"/>
        <v>-42662</v>
      </c>
      <c r="E199" s="140">
        <f t="shared" si="301"/>
        <v>-42482</v>
      </c>
      <c r="F199" s="140">
        <f t="shared" si="301"/>
        <v>-42302</v>
      </c>
      <c r="G199" s="140">
        <f t="shared" si="301"/>
        <v>-42122</v>
      </c>
      <c r="H199" s="140">
        <f t="shared" si="301"/>
        <v>-41942</v>
      </c>
      <c r="I199" s="140">
        <f t="shared" si="301"/>
        <v>-41762</v>
      </c>
      <c r="J199" s="140">
        <f t="shared" si="301"/>
        <v>-41582</v>
      </c>
      <c r="K199" s="140">
        <f t="shared" si="301"/>
        <v>-41403</v>
      </c>
      <c r="L199" s="140">
        <f t="shared" si="301"/>
        <v>-41223</v>
      </c>
      <c r="M199" s="140">
        <f t="shared" si="301"/>
        <v>-41043</v>
      </c>
      <c r="N199" s="140">
        <f t="shared" si="301"/>
        <v>-40863</v>
      </c>
      <c r="O199" s="140">
        <f t="shared" si="301"/>
        <v>-40683</v>
      </c>
      <c r="P199" s="140">
        <f t="shared" si="301"/>
        <v>-40503</v>
      </c>
      <c r="Q199" s="140">
        <f t="shared" si="301"/>
        <v>-40323</v>
      </c>
      <c r="R199" s="140">
        <f t="shared" si="301"/>
        <v>-40143</v>
      </c>
      <c r="S199" s="140">
        <f t="shared" si="301"/>
        <v>-39964</v>
      </c>
      <c r="T199" s="140">
        <f t="shared" si="301"/>
        <v>-39784</v>
      </c>
      <c r="U199" s="140">
        <f t="shared" si="301"/>
        <v>-39604</v>
      </c>
      <c r="V199" s="140">
        <f t="shared" si="301"/>
        <v>-39424</v>
      </c>
      <c r="W199" s="140">
        <f t="shared" si="301"/>
        <v>-39244</v>
      </c>
      <c r="X199" s="140">
        <f t="shared" si="301"/>
        <v>-39064</v>
      </c>
      <c r="Y199" s="140">
        <f t="shared" si="301"/>
        <v>-38884</v>
      </c>
      <c r="Z199" s="140">
        <f t="shared" si="301"/>
        <v>-38704</v>
      </c>
      <c r="AA199" s="140">
        <f t="shared" si="301"/>
        <v>-38525</v>
      </c>
      <c r="AB199" s="140">
        <f t="shared" si="301"/>
        <v>-38345</v>
      </c>
      <c r="AC199" s="140">
        <f t="shared" si="301"/>
        <v>-38165</v>
      </c>
      <c r="AD199" s="140">
        <f t="shared" si="301"/>
        <v>-37985</v>
      </c>
      <c r="AE199" s="140">
        <f t="shared" si="301"/>
        <v>-37805</v>
      </c>
      <c r="AF199" s="140">
        <f t="shared" si="301"/>
        <v>-37625</v>
      </c>
      <c r="AG199" s="140">
        <f t="shared" si="301"/>
        <v>-37445</v>
      </c>
      <c r="AH199" s="140">
        <f t="shared" si="301"/>
        <v>-37265</v>
      </c>
      <c r="AI199" s="140">
        <f t="shared" si="301"/>
        <v>-37086</v>
      </c>
      <c r="AJ199" s="140">
        <f t="shared" si="301"/>
        <v>-36906</v>
      </c>
      <c r="AK199" s="140">
        <f t="shared" si="301"/>
        <v>-36726</v>
      </c>
      <c r="AL199" s="140">
        <f t="shared" si="301"/>
        <v>-36546</v>
      </c>
      <c r="AM199" s="140">
        <f t="shared" si="301"/>
        <v>-36366</v>
      </c>
      <c r="AN199" s="140">
        <f t="shared" si="301"/>
        <v>-36186</v>
      </c>
      <c r="AO199" s="140">
        <f t="shared" si="301"/>
        <v>-36006</v>
      </c>
      <c r="AP199" s="140">
        <f t="shared" si="301"/>
        <v>-35826</v>
      </c>
      <c r="AQ199" s="140">
        <f t="shared" si="301"/>
        <v>-35647</v>
      </c>
      <c r="AR199" s="140">
        <f t="shared" si="301"/>
        <v>-35467</v>
      </c>
      <c r="AS199" s="140">
        <f t="shared" si="301"/>
        <v>-35287</v>
      </c>
      <c r="AT199" s="140">
        <f t="shared" si="301"/>
        <v>-35107</v>
      </c>
      <c r="AU199" s="140">
        <f t="shared" si="301"/>
        <v>-34927</v>
      </c>
      <c r="AV199" s="140">
        <f t="shared" si="301"/>
        <v>-34747</v>
      </c>
      <c r="AW199" s="140">
        <f t="shared" si="301"/>
        <v>-34567</v>
      </c>
      <c r="AX199" s="140">
        <f t="shared" si="301"/>
        <v>-34387</v>
      </c>
      <c r="AY199" s="140">
        <f t="shared" si="301"/>
        <v>-34208</v>
      </c>
      <c r="AZ199" s="140">
        <f t="shared" si="301"/>
        <v>-34028</v>
      </c>
      <c r="BA199" s="140">
        <f t="shared" si="301"/>
        <v>-33848</v>
      </c>
      <c r="BB199" s="140">
        <f t="shared" si="301"/>
        <v>-33668</v>
      </c>
      <c r="BC199" s="140">
        <f t="shared" si="301"/>
        <v>-33488</v>
      </c>
      <c r="BD199" s="140">
        <f t="shared" si="301"/>
        <v>-33308</v>
      </c>
      <c r="BE199" s="140">
        <f t="shared" si="301"/>
        <v>-33128</v>
      </c>
      <c r="BF199" s="140">
        <f t="shared" si="301"/>
        <v>-32948</v>
      </c>
      <c r="BG199" s="140">
        <f t="shared" si="301"/>
        <v>-32769</v>
      </c>
      <c r="BH199" s="140">
        <f t="shared" si="301"/>
        <v>-32589</v>
      </c>
      <c r="BI199" s="140">
        <f t="shared" si="301"/>
        <v>-32409</v>
      </c>
      <c r="BJ199" s="140">
        <f t="shared" si="301"/>
        <v>-32229</v>
      </c>
      <c r="BK199" s="140">
        <f t="shared" si="301"/>
        <v>-32049</v>
      </c>
      <c r="BL199" s="140">
        <f t="shared" si="301"/>
        <v>-31869</v>
      </c>
      <c r="BM199" s="140">
        <f t="shared" si="301"/>
        <v>-31689</v>
      </c>
      <c r="BN199" s="140">
        <f t="shared" si="301"/>
        <v>-31509</v>
      </c>
      <c r="BO199" s="140">
        <f t="shared" ref="BO199:CB199" si="302">DAYS360($B$3,BO76)</f>
        <v>-31330</v>
      </c>
      <c r="BP199" s="140">
        <f t="shared" si="302"/>
        <v>-31150</v>
      </c>
      <c r="BQ199" s="140">
        <f t="shared" si="302"/>
        <v>-30970</v>
      </c>
      <c r="BR199" s="140">
        <f t="shared" si="302"/>
        <v>-30790</v>
      </c>
      <c r="BS199" s="140">
        <f t="shared" si="302"/>
        <v>-30610</v>
      </c>
      <c r="BT199" s="140">
        <f t="shared" si="302"/>
        <v>-30430</v>
      </c>
      <c r="BU199" s="140">
        <f t="shared" si="302"/>
        <v>-30250</v>
      </c>
      <c r="BV199" s="140">
        <f t="shared" si="302"/>
        <v>-30070</v>
      </c>
      <c r="BW199" s="140">
        <f t="shared" si="302"/>
        <v>-29891</v>
      </c>
      <c r="BX199" s="140">
        <f t="shared" si="302"/>
        <v>-29711</v>
      </c>
      <c r="BY199" s="140">
        <f t="shared" si="302"/>
        <v>-29531</v>
      </c>
      <c r="BZ199" s="140">
        <f t="shared" si="302"/>
        <v>-29351</v>
      </c>
      <c r="CA199" s="140">
        <f t="shared" si="302"/>
        <v>-29171</v>
      </c>
      <c r="CB199" s="140">
        <f t="shared" si="302"/>
        <v>-28991</v>
      </c>
      <c r="CC199" s="17"/>
      <c r="CD199" s="17"/>
      <c r="CE199" s="17"/>
    </row>
    <row r="200" spans="1:83">
      <c r="A200" s="16" t="s">
        <v>41</v>
      </c>
      <c r="B200" s="140">
        <f>B199/360</f>
        <v>-119.50555555555556</v>
      </c>
      <c r="C200" s="140">
        <f t="shared" ref="C200:BN200" si="303">C199/360</f>
        <v>-119.00555555555556</v>
      </c>
      <c r="D200" s="140">
        <f t="shared" si="303"/>
        <v>-118.50555555555556</v>
      </c>
      <c r="E200" s="140">
        <f t="shared" si="303"/>
        <v>-118.00555555555556</v>
      </c>
      <c r="F200" s="140">
        <f t="shared" si="303"/>
        <v>-117.50555555555556</v>
      </c>
      <c r="G200" s="140">
        <f t="shared" si="303"/>
        <v>-117.00555555555556</v>
      </c>
      <c r="H200" s="140">
        <f t="shared" si="303"/>
        <v>-116.50555555555556</v>
      </c>
      <c r="I200" s="140">
        <f t="shared" si="303"/>
        <v>-116.00555555555556</v>
      </c>
      <c r="J200" s="140">
        <f t="shared" si="303"/>
        <v>-115.50555555555556</v>
      </c>
      <c r="K200" s="140">
        <f t="shared" si="303"/>
        <v>-115.00833333333334</v>
      </c>
      <c r="L200" s="140">
        <f t="shared" si="303"/>
        <v>-114.50833333333334</v>
      </c>
      <c r="M200" s="140">
        <f t="shared" si="303"/>
        <v>-114.00833333333334</v>
      </c>
      <c r="N200" s="140">
        <f t="shared" si="303"/>
        <v>-113.50833333333334</v>
      </c>
      <c r="O200" s="140">
        <f t="shared" si="303"/>
        <v>-113.00833333333334</v>
      </c>
      <c r="P200" s="140">
        <f t="shared" si="303"/>
        <v>-112.50833333333334</v>
      </c>
      <c r="Q200" s="140">
        <f t="shared" si="303"/>
        <v>-112.00833333333334</v>
      </c>
      <c r="R200" s="140">
        <f t="shared" si="303"/>
        <v>-111.50833333333334</v>
      </c>
      <c r="S200" s="140">
        <f t="shared" si="303"/>
        <v>-111.01111111111111</v>
      </c>
      <c r="T200" s="140">
        <f t="shared" si="303"/>
        <v>-110.51111111111111</v>
      </c>
      <c r="U200" s="140">
        <f t="shared" si="303"/>
        <v>-110.01111111111111</v>
      </c>
      <c r="V200" s="140">
        <f t="shared" si="303"/>
        <v>-109.51111111111111</v>
      </c>
      <c r="W200" s="140">
        <f t="shared" si="303"/>
        <v>-109.01111111111111</v>
      </c>
      <c r="X200" s="140">
        <f t="shared" si="303"/>
        <v>-108.51111111111111</v>
      </c>
      <c r="Y200" s="140">
        <f t="shared" si="303"/>
        <v>-108.01111111111111</v>
      </c>
      <c r="Z200" s="140">
        <f t="shared" si="303"/>
        <v>-107.51111111111111</v>
      </c>
      <c r="AA200" s="140">
        <f t="shared" si="303"/>
        <v>-107.01388888888889</v>
      </c>
      <c r="AB200" s="140">
        <f t="shared" si="303"/>
        <v>-106.51388888888889</v>
      </c>
      <c r="AC200" s="140">
        <f t="shared" si="303"/>
        <v>-106.01388888888889</v>
      </c>
      <c r="AD200" s="140">
        <f t="shared" si="303"/>
        <v>-105.51388888888889</v>
      </c>
      <c r="AE200" s="140">
        <f t="shared" si="303"/>
        <v>-105.01388888888889</v>
      </c>
      <c r="AF200" s="140">
        <f t="shared" si="303"/>
        <v>-104.51388888888889</v>
      </c>
      <c r="AG200" s="140">
        <f t="shared" si="303"/>
        <v>-104.01388888888889</v>
      </c>
      <c r="AH200" s="140">
        <f t="shared" si="303"/>
        <v>-103.51388888888889</v>
      </c>
      <c r="AI200" s="140">
        <f t="shared" si="303"/>
        <v>-103.01666666666667</v>
      </c>
      <c r="AJ200" s="140">
        <f t="shared" si="303"/>
        <v>-102.51666666666667</v>
      </c>
      <c r="AK200" s="140">
        <f t="shared" si="303"/>
        <v>-102.01666666666667</v>
      </c>
      <c r="AL200" s="140">
        <f t="shared" si="303"/>
        <v>-101.51666666666667</v>
      </c>
      <c r="AM200" s="140">
        <f t="shared" si="303"/>
        <v>-101.01666666666667</v>
      </c>
      <c r="AN200" s="140">
        <f t="shared" si="303"/>
        <v>-100.51666666666667</v>
      </c>
      <c r="AO200" s="140">
        <f t="shared" si="303"/>
        <v>-100.01666666666667</v>
      </c>
      <c r="AP200" s="140">
        <f t="shared" si="303"/>
        <v>-99.516666666666666</v>
      </c>
      <c r="AQ200" s="140">
        <f t="shared" si="303"/>
        <v>-99.019444444444446</v>
      </c>
      <c r="AR200" s="140">
        <f t="shared" si="303"/>
        <v>-98.519444444444446</v>
      </c>
      <c r="AS200" s="140">
        <f t="shared" si="303"/>
        <v>-98.019444444444446</v>
      </c>
      <c r="AT200" s="140">
        <f t="shared" si="303"/>
        <v>-97.519444444444446</v>
      </c>
      <c r="AU200" s="140">
        <f t="shared" si="303"/>
        <v>-97.019444444444446</v>
      </c>
      <c r="AV200" s="140">
        <f t="shared" si="303"/>
        <v>-96.519444444444446</v>
      </c>
      <c r="AW200" s="140">
        <f t="shared" si="303"/>
        <v>-96.019444444444446</v>
      </c>
      <c r="AX200" s="140">
        <f t="shared" si="303"/>
        <v>-95.519444444444446</v>
      </c>
      <c r="AY200" s="140">
        <f t="shared" si="303"/>
        <v>-95.022222222222226</v>
      </c>
      <c r="AZ200" s="140">
        <f t="shared" si="303"/>
        <v>-94.522222222222226</v>
      </c>
      <c r="BA200" s="140">
        <f t="shared" si="303"/>
        <v>-94.022222222222226</v>
      </c>
      <c r="BB200" s="140">
        <f t="shared" si="303"/>
        <v>-93.522222222222226</v>
      </c>
      <c r="BC200" s="140">
        <f t="shared" si="303"/>
        <v>-93.022222222222226</v>
      </c>
      <c r="BD200" s="140">
        <f t="shared" si="303"/>
        <v>-92.522222222222226</v>
      </c>
      <c r="BE200" s="140">
        <f t="shared" si="303"/>
        <v>-92.022222222222226</v>
      </c>
      <c r="BF200" s="140">
        <f t="shared" si="303"/>
        <v>-91.522222222222226</v>
      </c>
      <c r="BG200" s="140">
        <f t="shared" si="303"/>
        <v>-91.025000000000006</v>
      </c>
      <c r="BH200" s="140">
        <f t="shared" si="303"/>
        <v>-90.525000000000006</v>
      </c>
      <c r="BI200" s="140">
        <f t="shared" si="303"/>
        <v>-90.025000000000006</v>
      </c>
      <c r="BJ200" s="140">
        <f t="shared" si="303"/>
        <v>-89.525000000000006</v>
      </c>
      <c r="BK200" s="140">
        <f t="shared" si="303"/>
        <v>-89.025000000000006</v>
      </c>
      <c r="BL200" s="140">
        <f t="shared" si="303"/>
        <v>-88.525000000000006</v>
      </c>
      <c r="BM200" s="140">
        <f t="shared" si="303"/>
        <v>-88.025000000000006</v>
      </c>
      <c r="BN200" s="140">
        <f t="shared" si="303"/>
        <v>-87.525000000000006</v>
      </c>
      <c r="BO200" s="140">
        <f t="shared" ref="BO200:CB200" si="304">BO199/360</f>
        <v>-87.027777777777771</v>
      </c>
      <c r="BP200" s="140">
        <f t="shared" si="304"/>
        <v>-86.527777777777771</v>
      </c>
      <c r="BQ200" s="140">
        <f t="shared" si="304"/>
        <v>-86.027777777777771</v>
      </c>
      <c r="BR200" s="140">
        <f t="shared" si="304"/>
        <v>-85.527777777777771</v>
      </c>
      <c r="BS200" s="140">
        <f t="shared" si="304"/>
        <v>-85.027777777777771</v>
      </c>
      <c r="BT200" s="140">
        <f t="shared" si="304"/>
        <v>-84.527777777777771</v>
      </c>
      <c r="BU200" s="140">
        <f t="shared" si="304"/>
        <v>-84.027777777777771</v>
      </c>
      <c r="BV200" s="140">
        <f t="shared" si="304"/>
        <v>-83.527777777777771</v>
      </c>
      <c r="BW200" s="140">
        <f t="shared" si="304"/>
        <v>-83.030555555555551</v>
      </c>
      <c r="BX200" s="140">
        <f t="shared" si="304"/>
        <v>-82.530555555555551</v>
      </c>
      <c r="BY200" s="140">
        <f t="shared" si="304"/>
        <v>-82.030555555555551</v>
      </c>
      <c r="BZ200" s="140">
        <f t="shared" si="304"/>
        <v>-81.530555555555551</v>
      </c>
      <c r="CA200" s="140">
        <f t="shared" si="304"/>
        <v>-81.030555555555551</v>
      </c>
      <c r="CB200" s="140">
        <f t="shared" si="304"/>
        <v>-80.530555555555551</v>
      </c>
      <c r="CC200" s="17"/>
      <c r="CD200" s="17"/>
      <c r="CE200" s="17"/>
    </row>
    <row r="201" spans="1:83">
      <c r="A201" s="16" t="s">
        <v>43</v>
      </c>
      <c r="B201" s="140">
        <f>IF(B199&lt;0,0,$B$5+$B$6*((1-EXP(-B200/$B$9))/(B200/$B$9))+$B$7*((1-EXP(-B200/$B$9))/(B200/$B$9)-EXP(-B200/$B$9))+$B$8*((1-EXP(-B200/$B$10))/(B200/$B$10)-EXP(-B200/$B$10)))</f>
        <v>0</v>
      </c>
      <c r="C201" s="140">
        <f t="shared" ref="C201:BN201" si="305">IF(C199&lt;0,0,$B$5+$B$6*((1-EXP(-C200/$B$9))/(C200/$B$9))+$B$7*((1-EXP(-C200/$B$9))/(C200/$B$9)-EXP(-C200/$B$9))+$B$8*((1-EXP(-C200/$B$10))/(C200/$B$10)-EXP(-C200/$B$10)))</f>
        <v>0</v>
      </c>
      <c r="D201" s="140">
        <f t="shared" si="305"/>
        <v>0</v>
      </c>
      <c r="E201" s="140">
        <f t="shared" si="305"/>
        <v>0</v>
      </c>
      <c r="F201" s="140">
        <f t="shared" si="305"/>
        <v>0</v>
      </c>
      <c r="G201" s="140">
        <f t="shared" si="305"/>
        <v>0</v>
      </c>
      <c r="H201" s="140">
        <f t="shared" si="305"/>
        <v>0</v>
      </c>
      <c r="I201" s="140">
        <f t="shared" si="305"/>
        <v>0</v>
      </c>
      <c r="J201" s="140">
        <f t="shared" si="305"/>
        <v>0</v>
      </c>
      <c r="K201" s="140">
        <f t="shared" si="305"/>
        <v>0</v>
      </c>
      <c r="L201" s="140">
        <f t="shared" si="305"/>
        <v>0</v>
      </c>
      <c r="M201" s="140">
        <f t="shared" si="305"/>
        <v>0</v>
      </c>
      <c r="N201" s="140">
        <f t="shared" si="305"/>
        <v>0</v>
      </c>
      <c r="O201" s="140">
        <f t="shared" si="305"/>
        <v>0</v>
      </c>
      <c r="P201" s="140">
        <f t="shared" si="305"/>
        <v>0</v>
      </c>
      <c r="Q201" s="140">
        <f t="shared" si="305"/>
        <v>0</v>
      </c>
      <c r="R201" s="140">
        <f t="shared" si="305"/>
        <v>0</v>
      </c>
      <c r="S201" s="140">
        <f t="shared" si="305"/>
        <v>0</v>
      </c>
      <c r="T201" s="140">
        <f t="shared" si="305"/>
        <v>0</v>
      </c>
      <c r="U201" s="140">
        <f t="shared" si="305"/>
        <v>0</v>
      </c>
      <c r="V201" s="140">
        <f t="shared" si="305"/>
        <v>0</v>
      </c>
      <c r="W201" s="140">
        <f t="shared" si="305"/>
        <v>0</v>
      </c>
      <c r="X201" s="140">
        <f t="shared" si="305"/>
        <v>0</v>
      </c>
      <c r="Y201" s="140">
        <f t="shared" si="305"/>
        <v>0</v>
      </c>
      <c r="Z201" s="140">
        <f t="shared" si="305"/>
        <v>0</v>
      </c>
      <c r="AA201" s="140">
        <f t="shared" si="305"/>
        <v>0</v>
      </c>
      <c r="AB201" s="140">
        <f t="shared" si="305"/>
        <v>0</v>
      </c>
      <c r="AC201" s="140">
        <f t="shared" si="305"/>
        <v>0</v>
      </c>
      <c r="AD201" s="140">
        <f t="shared" si="305"/>
        <v>0</v>
      </c>
      <c r="AE201" s="140">
        <f t="shared" si="305"/>
        <v>0</v>
      </c>
      <c r="AF201" s="140">
        <f t="shared" si="305"/>
        <v>0</v>
      </c>
      <c r="AG201" s="140">
        <f t="shared" si="305"/>
        <v>0</v>
      </c>
      <c r="AH201" s="140">
        <f t="shared" si="305"/>
        <v>0</v>
      </c>
      <c r="AI201" s="140">
        <f t="shared" si="305"/>
        <v>0</v>
      </c>
      <c r="AJ201" s="140">
        <f t="shared" si="305"/>
        <v>0</v>
      </c>
      <c r="AK201" s="140">
        <f t="shared" si="305"/>
        <v>0</v>
      </c>
      <c r="AL201" s="140">
        <f t="shared" si="305"/>
        <v>0</v>
      </c>
      <c r="AM201" s="140">
        <f t="shared" si="305"/>
        <v>0</v>
      </c>
      <c r="AN201" s="140">
        <f t="shared" si="305"/>
        <v>0</v>
      </c>
      <c r="AO201" s="140">
        <f t="shared" si="305"/>
        <v>0</v>
      </c>
      <c r="AP201" s="140">
        <f t="shared" si="305"/>
        <v>0</v>
      </c>
      <c r="AQ201" s="140">
        <f t="shared" si="305"/>
        <v>0</v>
      </c>
      <c r="AR201" s="140">
        <f t="shared" si="305"/>
        <v>0</v>
      </c>
      <c r="AS201" s="140">
        <f t="shared" si="305"/>
        <v>0</v>
      </c>
      <c r="AT201" s="140">
        <f t="shared" si="305"/>
        <v>0</v>
      </c>
      <c r="AU201" s="140">
        <f t="shared" si="305"/>
        <v>0</v>
      </c>
      <c r="AV201" s="140">
        <f t="shared" si="305"/>
        <v>0</v>
      </c>
      <c r="AW201" s="140">
        <f t="shared" si="305"/>
        <v>0</v>
      </c>
      <c r="AX201" s="140">
        <f t="shared" si="305"/>
        <v>0</v>
      </c>
      <c r="AY201" s="140">
        <f t="shared" si="305"/>
        <v>0</v>
      </c>
      <c r="AZ201" s="140">
        <f t="shared" si="305"/>
        <v>0</v>
      </c>
      <c r="BA201" s="140">
        <f t="shared" si="305"/>
        <v>0</v>
      </c>
      <c r="BB201" s="140">
        <f t="shared" si="305"/>
        <v>0</v>
      </c>
      <c r="BC201" s="140">
        <f t="shared" si="305"/>
        <v>0</v>
      </c>
      <c r="BD201" s="140">
        <f t="shared" si="305"/>
        <v>0</v>
      </c>
      <c r="BE201" s="140">
        <f t="shared" si="305"/>
        <v>0</v>
      </c>
      <c r="BF201" s="140">
        <f t="shared" si="305"/>
        <v>0</v>
      </c>
      <c r="BG201" s="140">
        <f t="shared" si="305"/>
        <v>0</v>
      </c>
      <c r="BH201" s="140">
        <f t="shared" si="305"/>
        <v>0</v>
      </c>
      <c r="BI201" s="140">
        <f t="shared" si="305"/>
        <v>0</v>
      </c>
      <c r="BJ201" s="140">
        <f t="shared" si="305"/>
        <v>0</v>
      </c>
      <c r="BK201" s="140">
        <f t="shared" si="305"/>
        <v>0</v>
      </c>
      <c r="BL201" s="140">
        <f t="shared" si="305"/>
        <v>0</v>
      </c>
      <c r="BM201" s="140">
        <f t="shared" si="305"/>
        <v>0</v>
      </c>
      <c r="BN201" s="140">
        <f t="shared" si="305"/>
        <v>0</v>
      </c>
      <c r="BO201" s="140">
        <f t="shared" ref="BO201:CB201" si="306">IF(BO199&lt;0,0,$B$5+$B$6*((1-EXP(-BO200/$B$9))/(BO200/$B$9))+$B$7*((1-EXP(-BO200/$B$9))/(BO200/$B$9)-EXP(-BO200/$B$9))+$B$8*((1-EXP(-BO200/$B$10))/(BO200/$B$10)-EXP(-BO200/$B$10)))</f>
        <v>0</v>
      </c>
      <c r="BP201" s="140">
        <f t="shared" si="306"/>
        <v>0</v>
      </c>
      <c r="BQ201" s="140">
        <f t="shared" si="306"/>
        <v>0</v>
      </c>
      <c r="BR201" s="140">
        <f t="shared" si="306"/>
        <v>0</v>
      </c>
      <c r="BS201" s="140">
        <f t="shared" si="306"/>
        <v>0</v>
      </c>
      <c r="BT201" s="140">
        <f t="shared" si="306"/>
        <v>0</v>
      </c>
      <c r="BU201" s="140">
        <f t="shared" si="306"/>
        <v>0</v>
      </c>
      <c r="BV201" s="140">
        <f t="shared" si="306"/>
        <v>0</v>
      </c>
      <c r="BW201" s="140">
        <f t="shared" si="306"/>
        <v>0</v>
      </c>
      <c r="BX201" s="140">
        <f t="shared" si="306"/>
        <v>0</v>
      </c>
      <c r="BY201" s="140">
        <f t="shared" si="306"/>
        <v>0</v>
      </c>
      <c r="BZ201" s="140">
        <f t="shared" si="306"/>
        <v>0</v>
      </c>
      <c r="CA201" s="140">
        <f t="shared" si="306"/>
        <v>0</v>
      </c>
      <c r="CB201" s="140">
        <f t="shared" si="306"/>
        <v>0</v>
      </c>
      <c r="CC201" s="17"/>
      <c r="CD201" s="17"/>
      <c r="CE201" s="17"/>
    </row>
    <row r="202" spans="1:83">
      <c r="A202" s="16" t="s">
        <v>44</v>
      </c>
      <c r="B202" s="140">
        <f>EXP(-B201*B200)</f>
        <v>1</v>
      </c>
      <c r="C202" s="140">
        <f t="shared" ref="C202:BN202" si="307">EXP(-C201*C200)</f>
        <v>1</v>
      </c>
      <c r="D202" s="140">
        <f t="shared" si="307"/>
        <v>1</v>
      </c>
      <c r="E202" s="140">
        <f t="shared" si="307"/>
        <v>1</v>
      </c>
      <c r="F202" s="140">
        <f t="shared" si="307"/>
        <v>1</v>
      </c>
      <c r="G202" s="140">
        <f t="shared" si="307"/>
        <v>1</v>
      </c>
      <c r="H202" s="140">
        <f t="shared" si="307"/>
        <v>1</v>
      </c>
      <c r="I202" s="140">
        <f t="shared" si="307"/>
        <v>1</v>
      </c>
      <c r="J202" s="140">
        <f t="shared" si="307"/>
        <v>1</v>
      </c>
      <c r="K202" s="140">
        <f t="shared" si="307"/>
        <v>1</v>
      </c>
      <c r="L202" s="140">
        <f t="shared" si="307"/>
        <v>1</v>
      </c>
      <c r="M202" s="140">
        <f t="shared" si="307"/>
        <v>1</v>
      </c>
      <c r="N202" s="140">
        <f t="shared" si="307"/>
        <v>1</v>
      </c>
      <c r="O202" s="140">
        <f t="shared" si="307"/>
        <v>1</v>
      </c>
      <c r="P202" s="140">
        <f t="shared" si="307"/>
        <v>1</v>
      </c>
      <c r="Q202" s="140">
        <f t="shared" si="307"/>
        <v>1</v>
      </c>
      <c r="R202" s="140">
        <f t="shared" si="307"/>
        <v>1</v>
      </c>
      <c r="S202" s="140">
        <f t="shared" si="307"/>
        <v>1</v>
      </c>
      <c r="T202" s="140">
        <f t="shared" si="307"/>
        <v>1</v>
      </c>
      <c r="U202" s="140">
        <f t="shared" si="307"/>
        <v>1</v>
      </c>
      <c r="V202" s="140">
        <f t="shared" si="307"/>
        <v>1</v>
      </c>
      <c r="W202" s="140">
        <f t="shared" si="307"/>
        <v>1</v>
      </c>
      <c r="X202" s="140">
        <f t="shared" si="307"/>
        <v>1</v>
      </c>
      <c r="Y202" s="140">
        <f t="shared" si="307"/>
        <v>1</v>
      </c>
      <c r="Z202" s="140">
        <f t="shared" si="307"/>
        <v>1</v>
      </c>
      <c r="AA202" s="140">
        <f t="shared" si="307"/>
        <v>1</v>
      </c>
      <c r="AB202" s="140">
        <f t="shared" si="307"/>
        <v>1</v>
      </c>
      <c r="AC202" s="140">
        <f t="shared" si="307"/>
        <v>1</v>
      </c>
      <c r="AD202" s="140">
        <f t="shared" si="307"/>
        <v>1</v>
      </c>
      <c r="AE202" s="140">
        <f t="shared" si="307"/>
        <v>1</v>
      </c>
      <c r="AF202" s="140">
        <f t="shared" si="307"/>
        <v>1</v>
      </c>
      <c r="AG202" s="140">
        <f t="shared" si="307"/>
        <v>1</v>
      </c>
      <c r="AH202" s="140">
        <f t="shared" si="307"/>
        <v>1</v>
      </c>
      <c r="AI202" s="140">
        <f t="shared" si="307"/>
        <v>1</v>
      </c>
      <c r="AJ202" s="140">
        <f t="shared" si="307"/>
        <v>1</v>
      </c>
      <c r="AK202" s="140">
        <f t="shared" si="307"/>
        <v>1</v>
      </c>
      <c r="AL202" s="140">
        <f t="shared" si="307"/>
        <v>1</v>
      </c>
      <c r="AM202" s="140">
        <f t="shared" si="307"/>
        <v>1</v>
      </c>
      <c r="AN202" s="140">
        <f t="shared" si="307"/>
        <v>1</v>
      </c>
      <c r="AO202" s="140">
        <f t="shared" si="307"/>
        <v>1</v>
      </c>
      <c r="AP202" s="140">
        <f t="shared" si="307"/>
        <v>1</v>
      </c>
      <c r="AQ202" s="140">
        <f t="shared" si="307"/>
        <v>1</v>
      </c>
      <c r="AR202" s="140">
        <f t="shared" si="307"/>
        <v>1</v>
      </c>
      <c r="AS202" s="140">
        <f t="shared" si="307"/>
        <v>1</v>
      </c>
      <c r="AT202" s="140">
        <f t="shared" si="307"/>
        <v>1</v>
      </c>
      <c r="AU202" s="140">
        <f t="shared" si="307"/>
        <v>1</v>
      </c>
      <c r="AV202" s="140">
        <f t="shared" si="307"/>
        <v>1</v>
      </c>
      <c r="AW202" s="140">
        <f t="shared" si="307"/>
        <v>1</v>
      </c>
      <c r="AX202" s="140">
        <f t="shared" si="307"/>
        <v>1</v>
      </c>
      <c r="AY202" s="140">
        <f t="shared" si="307"/>
        <v>1</v>
      </c>
      <c r="AZ202" s="140">
        <f t="shared" si="307"/>
        <v>1</v>
      </c>
      <c r="BA202" s="140">
        <f t="shared" si="307"/>
        <v>1</v>
      </c>
      <c r="BB202" s="140">
        <f t="shared" si="307"/>
        <v>1</v>
      </c>
      <c r="BC202" s="140">
        <f t="shared" si="307"/>
        <v>1</v>
      </c>
      <c r="BD202" s="140">
        <f t="shared" si="307"/>
        <v>1</v>
      </c>
      <c r="BE202" s="140">
        <f t="shared" si="307"/>
        <v>1</v>
      </c>
      <c r="BF202" s="140">
        <f t="shared" si="307"/>
        <v>1</v>
      </c>
      <c r="BG202" s="140">
        <f t="shared" si="307"/>
        <v>1</v>
      </c>
      <c r="BH202" s="140">
        <f t="shared" si="307"/>
        <v>1</v>
      </c>
      <c r="BI202" s="140">
        <f t="shared" si="307"/>
        <v>1</v>
      </c>
      <c r="BJ202" s="140">
        <f t="shared" si="307"/>
        <v>1</v>
      </c>
      <c r="BK202" s="140">
        <f t="shared" si="307"/>
        <v>1</v>
      </c>
      <c r="BL202" s="140">
        <f t="shared" si="307"/>
        <v>1</v>
      </c>
      <c r="BM202" s="140">
        <f t="shared" si="307"/>
        <v>1</v>
      </c>
      <c r="BN202" s="140">
        <f t="shared" si="307"/>
        <v>1</v>
      </c>
      <c r="BO202" s="140">
        <f t="shared" ref="BO202:CB202" si="308">EXP(-BO201*BO200)</f>
        <v>1</v>
      </c>
      <c r="BP202" s="140">
        <f t="shared" si="308"/>
        <v>1</v>
      </c>
      <c r="BQ202" s="140">
        <f t="shared" si="308"/>
        <v>1</v>
      </c>
      <c r="BR202" s="140">
        <f t="shared" si="308"/>
        <v>1</v>
      </c>
      <c r="BS202" s="140">
        <f t="shared" si="308"/>
        <v>1</v>
      </c>
      <c r="BT202" s="140">
        <f t="shared" si="308"/>
        <v>1</v>
      </c>
      <c r="BU202" s="140">
        <f t="shared" si="308"/>
        <v>1</v>
      </c>
      <c r="BV202" s="140">
        <f t="shared" si="308"/>
        <v>1</v>
      </c>
      <c r="BW202" s="140">
        <f t="shared" si="308"/>
        <v>1</v>
      </c>
      <c r="BX202" s="140">
        <f t="shared" si="308"/>
        <v>1</v>
      </c>
      <c r="BY202" s="140">
        <f t="shared" si="308"/>
        <v>1</v>
      </c>
      <c r="BZ202" s="140">
        <f t="shared" si="308"/>
        <v>1</v>
      </c>
      <c r="CA202" s="140">
        <f t="shared" si="308"/>
        <v>1</v>
      </c>
      <c r="CB202" s="140">
        <f t="shared" si="308"/>
        <v>1</v>
      </c>
      <c r="CC202" s="17"/>
      <c r="CD202" s="17"/>
      <c r="CE202" s="17"/>
    </row>
    <row r="203" spans="1:83">
      <c r="A203" s="17"/>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c r="AP203" s="17"/>
      <c r="AQ203" s="17"/>
      <c r="AR203" s="17"/>
      <c r="AS203" s="17"/>
      <c r="AT203" s="17"/>
      <c r="AU203" s="17"/>
      <c r="AV203" s="17"/>
      <c r="AW203" s="17"/>
      <c r="AX203" s="17"/>
      <c r="AY203" s="17"/>
      <c r="AZ203" s="17"/>
      <c r="BA203" s="17"/>
      <c r="BB203" s="17"/>
      <c r="BC203" s="17"/>
      <c r="BD203" s="17"/>
      <c r="BE203" s="17"/>
      <c r="BF203" s="17"/>
      <c r="BG203" s="17"/>
      <c r="BH203" s="17"/>
      <c r="BI203" s="17"/>
      <c r="BJ203" s="17"/>
      <c r="BK203" s="17"/>
      <c r="BL203" s="17"/>
      <c r="BM203" s="17"/>
      <c r="BN203" s="17"/>
      <c r="BO203" s="17"/>
      <c r="BP203" s="17"/>
      <c r="BQ203" s="17"/>
      <c r="BR203" s="17"/>
      <c r="BS203" s="17"/>
      <c r="BT203" s="17"/>
      <c r="BU203" s="17"/>
      <c r="BV203" s="17"/>
      <c r="BW203" s="17"/>
      <c r="BX203" s="17"/>
      <c r="BY203" s="17"/>
      <c r="BZ203" s="17"/>
      <c r="CA203" s="17"/>
      <c r="CB203" s="17"/>
      <c r="CC203" s="17"/>
      <c r="CD203" s="17"/>
      <c r="CE203" s="17"/>
    </row>
    <row r="204" spans="1:83">
      <c r="A204" s="16" t="s">
        <v>40</v>
      </c>
      <c r="B204" s="140">
        <f>DAYS360($B$3,B78)</f>
        <v>-43022</v>
      </c>
      <c r="C204" s="140">
        <f t="shared" ref="C204:BN204" si="309">DAYS360($B$3,C78)</f>
        <v>-42842</v>
      </c>
      <c r="D204" s="140">
        <f t="shared" si="309"/>
        <v>-42662</v>
      </c>
      <c r="E204" s="140">
        <f t="shared" si="309"/>
        <v>-42482</v>
      </c>
      <c r="F204" s="140">
        <f t="shared" si="309"/>
        <v>-42302</v>
      </c>
      <c r="G204" s="140">
        <f t="shared" si="309"/>
        <v>-42122</v>
      </c>
      <c r="H204" s="140">
        <f t="shared" si="309"/>
        <v>-41942</v>
      </c>
      <c r="I204" s="140">
        <f t="shared" si="309"/>
        <v>-41762</v>
      </c>
      <c r="J204" s="140">
        <f t="shared" si="309"/>
        <v>-41582</v>
      </c>
      <c r="K204" s="140">
        <f t="shared" si="309"/>
        <v>-41403</v>
      </c>
      <c r="L204" s="140">
        <f t="shared" si="309"/>
        <v>-41223</v>
      </c>
      <c r="M204" s="140">
        <f t="shared" si="309"/>
        <v>-41043</v>
      </c>
      <c r="N204" s="140">
        <f t="shared" si="309"/>
        <v>-40863</v>
      </c>
      <c r="O204" s="140">
        <f t="shared" si="309"/>
        <v>-40683</v>
      </c>
      <c r="P204" s="140">
        <f t="shared" si="309"/>
        <v>-40503</v>
      </c>
      <c r="Q204" s="140">
        <f t="shared" si="309"/>
        <v>-40323</v>
      </c>
      <c r="R204" s="140">
        <f t="shared" si="309"/>
        <v>-40143</v>
      </c>
      <c r="S204" s="140">
        <f t="shared" si="309"/>
        <v>-39964</v>
      </c>
      <c r="T204" s="140">
        <f t="shared" si="309"/>
        <v>-39784</v>
      </c>
      <c r="U204" s="140">
        <f t="shared" si="309"/>
        <v>-39604</v>
      </c>
      <c r="V204" s="140">
        <f t="shared" si="309"/>
        <v>-39424</v>
      </c>
      <c r="W204" s="140">
        <f t="shared" si="309"/>
        <v>-39244</v>
      </c>
      <c r="X204" s="140">
        <f t="shared" si="309"/>
        <v>-39064</v>
      </c>
      <c r="Y204" s="140">
        <f t="shared" si="309"/>
        <v>-38884</v>
      </c>
      <c r="Z204" s="140">
        <f t="shared" si="309"/>
        <v>-38704</v>
      </c>
      <c r="AA204" s="140">
        <f t="shared" si="309"/>
        <v>-38525</v>
      </c>
      <c r="AB204" s="140">
        <f t="shared" si="309"/>
        <v>-38345</v>
      </c>
      <c r="AC204" s="140">
        <f t="shared" si="309"/>
        <v>-38165</v>
      </c>
      <c r="AD204" s="140">
        <f t="shared" si="309"/>
        <v>-37985</v>
      </c>
      <c r="AE204" s="140">
        <f t="shared" si="309"/>
        <v>-37805</v>
      </c>
      <c r="AF204" s="140">
        <f t="shared" si="309"/>
        <v>-37625</v>
      </c>
      <c r="AG204" s="140">
        <f t="shared" si="309"/>
        <v>-37445</v>
      </c>
      <c r="AH204" s="140">
        <f t="shared" si="309"/>
        <v>-37265</v>
      </c>
      <c r="AI204" s="140">
        <f t="shared" si="309"/>
        <v>-37086</v>
      </c>
      <c r="AJ204" s="140">
        <f t="shared" si="309"/>
        <v>-36906</v>
      </c>
      <c r="AK204" s="140">
        <f t="shared" si="309"/>
        <v>-36726</v>
      </c>
      <c r="AL204" s="140">
        <f t="shared" si="309"/>
        <v>-36546</v>
      </c>
      <c r="AM204" s="140">
        <f t="shared" si="309"/>
        <v>-36366</v>
      </c>
      <c r="AN204" s="140">
        <f t="shared" si="309"/>
        <v>-36186</v>
      </c>
      <c r="AO204" s="140">
        <f t="shared" si="309"/>
        <v>-36006</v>
      </c>
      <c r="AP204" s="140">
        <f t="shared" si="309"/>
        <v>-35826</v>
      </c>
      <c r="AQ204" s="140">
        <f t="shared" si="309"/>
        <v>-35647</v>
      </c>
      <c r="AR204" s="140">
        <f t="shared" si="309"/>
        <v>-35467</v>
      </c>
      <c r="AS204" s="140">
        <f t="shared" si="309"/>
        <v>-35287</v>
      </c>
      <c r="AT204" s="140">
        <f t="shared" si="309"/>
        <v>-35107</v>
      </c>
      <c r="AU204" s="140">
        <f t="shared" si="309"/>
        <v>-34927</v>
      </c>
      <c r="AV204" s="140">
        <f t="shared" si="309"/>
        <v>-34747</v>
      </c>
      <c r="AW204" s="140">
        <f t="shared" si="309"/>
        <v>-34567</v>
      </c>
      <c r="AX204" s="140">
        <f t="shared" si="309"/>
        <v>-34387</v>
      </c>
      <c r="AY204" s="140">
        <f t="shared" si="309"/>
        <v>-34208</v>
      </c>
      <c r="AZ204" s="140">
        <f t="shared" si="309"/>
        <v>-34028</v>
      </c>
      <c r="BA204" s="140">
        <f t="shared" si="309"/>
        <v>-33848</v>
      </c>
      <c r="BB204" s="140">
        <f t="shared" si="309"/>
        <v>-33668</v>
      </c>
      <c r="BC204" s="140">
        <f t="shared" si="309"/>
        <v>-33488</v>
      </c>
      <c r="BD204" s="140">
        <f t="shared" si="309"/>
        <v>-33308</v>
      </c>
      <c r="BE204" s="140">
        <f t="shared" si="309"/>
        <v>-33128</v>
      </c>
      <c r="BF204" s="140">
        <f t="shared" si="309"/>
        <v>-32948</v>
      </c>
      <c r="BG204" s="140">
        <f t="shared" si="309"/>
        <v>-32769</v>
      </c>
      <c r="BH204" s="140">
        <f t="shared" si="309"/>
        <v>-32589</v>
      </c>
      <c r="BI204" s="140">
        <f t="shared" si="309"/>
        <v>-32409</v>
      </c>
      <c r="BJ204" s="140">
        <f t="shared" si="309"/>
        <v>-32229</v>
      </c>
      <c r="BK204" s="140">
        <f t="shared" si="309"/>
        <v>-32049</v>
      </c>
      <c r="BL204" s="140">
        <f t="shared" si="309"/>
        <v>-31869</v>
      </c>
      <c r="BM204" s="140">
        <f t="shared" si="309"/>
        <v>-31689</v>
      </c>
      <c r="BN204" s="140">
        <f t="shared" si="309"/>
        <v>-31509</v>
      </c>
      <c r="BO204" s="140">
        <f t="shared" ref="BO204:CB204" si="310">DAYS360($B$3,BO78)</f>
        <v>-31330</v>
      </c>
      <c r="BP204" s="140">
        <f t="shared" si="310"/>
        <v>-31150</v>
      </c>
      <c r="BQ204" s="140">
        <f t="shared" si="310"/>
        <v>-30970</v>
      </c>
      <c r="BR204" s="140">
        <f t="shared" si="310"/>
        <v>-30790</v>
      </c>
      <c r="BS204" s="140">
        <f t="shared" si="310"/>
        <v>-30610</v>
      </c>
      <c r="BT204" s="140">
        <f t="shared" si="310"/>
        <v>-30430</v>
      </c>
      <c r="BU204" s="140">
        <f t="shared" si="310"/>
        <v>-30250</v>
      </c>
      <c r="BV204" s="140">
        <f t="shared" si="310"/>
        <v>-30070</v>
      </c>
      <c r="BW204" s="140">
        <f t="shared" si="310"/>
        <v>-29891</v>
      </c>
      <c r="BX204" s="140">
        <f t="shared" si="310"/>
        <v>-29711</v>
      </c>
      <c r="BY204" s="140">
        <f t="shared" si="310"/>
        <v>-29531</v>
      </c>
      <c r="BZ204" s="140">
        <f t="shared" si="310"/>
        <v>-29351</v>
      </c>
      <c r="CA204" s="140">
        <f t="shared" si="310"/>
        <v>-29171</v>
      </c>
      <c r="CB204" s="140">
        <f t="shared" si="310"/>
        <v>-28991</v>
      </c>
      <c r="CC204" s="17"/>
      <c r="CD204" s="17"/>
      <c r="CE204" s="17"/>
    </row>
    <row r="205" spans="1:83">
      <c r="A205" s="16" t="s">
        <v>41</v>
      </c>
      <c r="B205" s="140">
        <f>B204/360</f>
        <v>-119.50555555555556</v>
      </c>
      <c r="C205" s="140">
        <f t="shared" ref="C205:BN205" si="311">C204/360</f>
        <v>-119.00555555555556</v>
      </c>
      <c r="D205" s="140">
        <f t="shared" si="311"/>
        <v>-118.50555555555556</v>
      </c>
      <c r="E205" s="140">
        <f t="shared" si="311"/>
        <v>-118.00555555555556</v>
      </c>
      <c r="F205" s="140">
        <f t="shared" si="311"/>
        <v>-117.50555555555556</v>
      </c>
      <c r="G205" s="140">
        <f t="shared" si="311"/>
        <v>-117.00555555555556</v>
      </c>
      <c r="H205" s="140">
        <f t="shared" si="311"/>
        <v>-116.50555555555556</v>
      </c>
      <c r="I205" s="140">
        <f t="shared" si="311"/>
        <v>-116.00555555555556</v>
      </c>
      <c r="J205" s="140">
        <f t="shared" si="311"/>
        <v>-115.50555555555556</v>
      </c>
      <c r="K205" s="140">
        <f t="shared" si="311"/>
        <v>-115.00833333333334</v>
      </c>
      <c r="L205" s="140">
        <f t="shared" si="311"/>
        <v>-114.50833333333334</v>
      </c>
      <c r="M205" s="140">
        <f t="shared" si="311"/>
        <v>-114.00833333333334</v>
      </c>
      <c r="N205" s="140">
        <f t="shared" si="311"/>
        <v>-113.50833333333334</v>
      </c>
      <c r="O205" s="140">
        <f t="shared" si="311"/>
        <v>-113.00833333333334</v>
      </c>
      <c r="P205" s="140">
        <f t="shared" si="311"/>
        <v>-112.50833333333334</v>
      </c>
      <c r="Q205" s="140">
        <f t="shared" si="311"/>
        <v>-112.00833333333334</v>
      </c>
      <c r="R205" s="140">
        <f t="shared" si="311"/>
        <v>-111.50833333333334</v>
      </c>
      <c r="S205" s="140">
        <f t="shared" si="311"/>
        <v>-111.01111111111111</v>
      </c>
      <c r="T205" s="140">
        <f t="shared" si="311"/>
        <v>-110.51111111111111</v>
      </c>
      <c r="U205" s="140">
        <f t="shared" si="311"/>
        <v>-110.01111111111111</v>
      </c>
      <c r="V205" s="140">
        <f t="shared" si="311"/>
        <v>-109.51111111111111</v>
      </c>
      <c r="W205" s="140">
        <f t="shared" si="311"/>
        <v>-109.01111111111111</v>
      </c>
      <c r="X205" s="140">
        <f t="shared" si="311"/>
        <v>-108.51111111111111</v>
      </c>
      <c r="Y205" s="140">
        <f t="shared" si="311"/>
        <v>-108.01111111111111</v>
      </c>
      <c r="Z205" s="140">
        <f t="shared" si="311"/>
        <v>-107.51111111111111</v>
      </c>
      <c r="AA205" s="140">
        <f t="shared" si="311"/>
        <v>-107.01388888888889</v>
      </c>
      <c r="AB205" s="140">
        <f t="shared" si="311"/>
        <v>-106.51388888888889</v>
      </c>
      <c r="AC205" s="140">
        <f t="shared" si="311"/>
        <v>-106.01388888888889</v>
      </c>
      <c r="AD205" s="140">
        <f t="shared" si="311"/>
        <v>-105.51388888888889</v>
      </c>
      <c r="AE205" s="140">
        <f t="shared" si="311"/>
        <v>-105.01388888888889</v>
      </c>
      <c r="AF205" s="140">
        <f t="shared" si="311"/>
        <v>-104.51388888888889</v>
      </c>
      <c r="AG205" s="140">
        <f t="shared" si="311"/>
        <v>-104.01388888888889</v>
      </c>
      <c r="AH205" s="140">
        <f t="shared" si="311"/>
        <v>-103.51388888888889</v>
      </c>
      <c r="AI205" s="140">
        <f t="shared" si="311"/>
        <v>-103.01666666666667</v>
      </c>
      <c r="AJ205" s="140">
        <f t="shared" si="311"/>
        <v>-102.51666666666667</v>
      </c>
      <c r="AK205" s="140">
        <f t="shared" si="311"/>
        <v>-102.01666666666667</v>
      </c>
      <c r="AL205" s="140">
        <f t="shared" si="311"/>
        <v>-101.51666666666667</v>
      </c>
      <c r="AM205" s="140">
        <f t="shared" si="311"/>
        <v>-101.01666666666667</v>
      </c>
      <c r="AN205" s="140">
        <f t="shared" si="311"/>
        <v>-100.51666666666667</v>
      </c>
      <c r="AO205" s="140">
        <f t="shared" si="311"/>
        <v>-100.01666666666667</v>
      </c>
      <c r="AP205" s="140">
        <f t="shared" si="311"/>
        <v>-99.516666666666666</v>
      </c>
      <c r="AQ205" s="140">
        <f t="shared" si="311"/>
        <v>-99.019444444444446</v>
      </c>
      <c r="AR205" s="140">
        <f t="shared" si="311"/>
        <v>-98.519444444444446</v>
      </c>
      <c r="AS205" s="140">
        <f t="shared" si="311"/>
        <v>-98.019444444444446</v>
      </c>
      <c r="AT205" s="140">
        <f t="shared" si="311"/>
        <v>-97.519444444444446</v>
      </c>
      <c r="AU205" s="140">
        <f t="shared" si="311"/>
        <v>-97.019444444444446</v>
      </c>
      <c r="AV205" s="140">
        <f t="shared" si="311"/>
        <v>-96.519444444444446</v>
      </c>
      <c r="AW205" s="140">
        <f t="shared" si="311"/>
        <v>-96.019444444444446</v>
      </c>
      <c r="AX205" s="140">
        <f t="shared" si="311"/>
        <v>-95.519444444444446</v>
      </c>
      <c r="AY205" s="140">
        <f t="shared" si="311"/>
        <v>-95.022222222222226</v>
      </c>
      <c r="AZ205" s="140">
        <f t="shared" si="311"/>
        <v>-94.522222222222226</v>
      </c>
      <c r="BA205" s="140">
        <f t="shared" si="311"/>
        <v>-94.022222222222226</v>
      </c>
      <c r="BB205" s="140">
        <f t="shared" si="311"/>
        <v>-93.522222222222226</v>
      </c>
      <c r="BC205" s="140">
        <f t="shared" si="311"/>
        <v>-93.022222222222226</v>
      </c>
      <c r="BD205" s="140">
        <f t="shared" si="311"/>
        <v>-92.522222222222226</v>
      </c>
      <c r="BE205" s="140">
        <f t="shared" si="311"/>
        <v>-92.022222222222226</v>
      </c>
      <c r="BF205" s="140">
        <f t="shared" si="311"/>
        <v>-91.522222222222226</v>
      </c>
      <c r="BG205" s="140">
        <f t="shared" si="311"/>
        <v>-91.025000000000006</v>
      </c>
      <c r="BH205" s="140">
        <f t="shared" si="311"/>
        <v>-90.525000000000006</v>
      </c>
      <c r="BI205" s="140">
        <f t="shared" si="311"/>
        <v>-90.025000000000006</v>
      </c>
      <c r="BJ205" s="140">
        <f t="shared" si="311"/>
        <v>-89.525000000000006</v>
      </c>
      <c r="BK205" s="140">
        <f t="shared" si="311"/>
        <v>-89.025000000000006</v>
      </c>
      <c r="BL205" s="140">
        <f t="shared" si="311"/>
        <v>-88.525000000000006</v>
      </c>
      <c r="BM205" s="140">
        <f t="shared" si="311"/>
        <v>-88.025000000000006</v>
      </c>
      <c r="BN205" s="140">
        <f t="shared" si="311"/>
        <v>-87.525000000000006</v>
      </c>
      <c r="BO205" s="140">
        <f t="shared" ref="BO205:CB205" si="312">BO204/360</f>
        <v>-87.027777777777771</v>
      </c>
      <c r="BP205" s="140">
        <f t="shared" si="312"/>
        <v>-86.527777777777771</v>
      </c>
      <c r="BQ205" s="140">
        <f t="shared" si="312"/>
        <v>-86.027777777777771</v>
      </c>
      <c r="BR205" s="140">
        <f t="shared" si="312"/>
        <v>-85.527777777777771</v>
      </c>
      <c r="BS205" s="140">
        <f t="shared" si="312"/>
        <v>-85.027777777777771</v>
      </c>
      <c r="BT205" s="140">
        <f t="shared" si="312"/>
        <v>-84.527777777777771</v>
      </c>
      <c r="BU205" s="140">
        <f t="shared" si="312"/>
        <v>-84.027777777777771</v>
      </c>
      <c r="BV205" s="140">
        <f t="shared" si="312"/>
        <v>-83.527777777777771</v>
      </c>
      <c r="BW205" s="140">
        <f t="shared" si="312"/>
        <v>-83.030555555555551</v>
      </c>
      <c r="BX205" s="140">
        <f t="shared" si="312"/>
        <v>-82.530555555555551</v>
      </c>
      <c r="BY205" s="140">
        <f t="shared" si="312"/>
        <v>-82.030555555555551</v>
      </c>
      <c r="BZ205" s="140">
        <f t="shared" si="312"/>
        <v>-81.530555555555551</v>
      </c>
      <c r="CA205" s="140">
        <f t="shared" si="312"/>
        <v>-81.030555555555551</v>
      </c>
      <c r="CB205" s="140">
        <f t="shared" si="312"/>
        <v>-80.530555555555551</v>
      </c>
      <c r="CC205" s="17"/>
      <c r="CD205" s="17"/>
      <c r="CE205" s="17"/>
    </row>
    <row r="206" spans="1:83">
      <c r="A206" s="16" t="s">
        <v>43</v>
      </c>
      <c r="B206" s="140">
        <f>IF(B204&lt;0,0,$B$5+$B$6*((1-EXP(-B205/$B$9))/(B205/$B$9))+$B$7*((1-EXP(-B205/$B$9))/(B205/$B$9)-EXP(-B205/$B$9))+$B$8*((1-EXP(-B205/$B$10))/(B205/$B$10)-EXP(-B205/$B$10)))</f>
        <v>0</v>
      </c>
      <c r="C206" s="140">
        <f t="shared" ref="C206:BN206" si="313">IF(C204&lt;0,0,$B$5+$B$6*((1-EXP(-C205/$B$9))/(C205/$B$9))+$B$7*((1-EXP(-C205/$B$9))/(C205/$B$9)-EXP(-C205/$B$9))+$B$8*((1-EXP(-C205/$B$10))/(C205/$B$10)-EXP(-C205/$B$10)))</f>
        <v>0</v>
      </c>
      <c r="D206" s="140">
        <f t="shared" si="313"/>
        <v>0</v>
      </c>
      <c r="E206" s="140">
        <f t="shared" si="313"/>
        <v>0</v>
      </c>
      <c r="F206" s="140">
        <f t="shared" si="313"/>
        <v>0</v>
      </c>
      <c r="G206" s="140">
        <f t="shared" si="313"/>
        <v>0</v>
      </c>
      <c r="H206" s="140">
        <f t="shared" si="313"/>
        <v>0</v>
      </c>
      <c r="I206" s="140">
        <f t="shared" si="313"/>
        <v>0</v>
      </c>
      <c r="J206" s="140">
        <f t="shared" si="313"/>
        <v>0</v>
      </c>
      <c r="K206" s="140">
        <f t="shared" si="313"/>
        <v>0</v>
      </c>
      <c r="L206" s="140">
        <f t="shared" si="313"/>
        <v>0</v>
      </c>
      <c r="M206" s="140">
        <f t="shared" si="313"/>
        <v>0</v>
      </c>
      <c r="N206" s="140">
        <f t="shared" si="313"/>
        <v>0</v>
      </c>
      <c r="O206" s="140">
        <f t="shared" si="313"/>
        <v>0</v>
      </c>
      <c r="P206" s="140">
        <f t="shared" si="313"/>
        <v>0</v>
      </c>
      <c r="Q206" s="140">
        <f t="shared" si="313"/>
        <v>0</v>
      </c>
      <c r="R206" s="140">
        <f t="shared" si="313"/>
        <v>0</v>
      </c>
      <c r="S206" s="140">
        <f t="shared" si="313"/>
        <v>0</v>
      </c>
      <c r="T206" s="140">
        <f t="shared" si="313"/>
        <v>0</v>
      </c>
      <c r="U206" s="140">
        <f t="shared" si="313"/>
        <v>0</v>
      </c>
      <c r="V206" s="140">
        <f t="shared" si="313"/>
        <v>0</v>
      </c>
      <c r="W206" s="140">
        <f t="shared" si="313"/>
        <v>0</v>
      </c>
      <c r="X206" s="140">
        <f t="shared" si="313"/>
        <v>0</v>
      </c>
      <c r="Y206" s="140">
        <f t="shared" si="313"/>
        <v>0</v>
      </c>
      <c r="Z206" s="140">
        <f t="shared" si="313"/>
        <v>0</v>
      </c>
      <c r="AA206" s="140">
        <f t="shared" si="313"/>
        <v>0</v>
      </c>
      <c r="AB206" s="140">
        <f t="shared" si="313"/>
        <v>0</v>
      </c>
      <c r="AC206" s="140">
        <f t="shared" si="313"/>
        <v>0</v>
      </c>
      <c r="AD206" s="140">
        <f t="shared" si="313"/>
        <v>0</v>
      </c>
      <c r="AE206" s="140">
        <f t="shared" si="313"/>
        <v>0</v>
      </c>
      <c r="AF206" s="140">
        <f t="shared" si="313"/>
        <v>0</v>
      </c>
      <c r="AG206" s="140">
        <f t="shared" si="313"/>
        <v>0</v>
      </c>
      <c r="AH206" s="140">
        <f t="shared" si="313"/>
        <v>0</v>
      </c>
      <c r="AI206" s="140">
        <f t="shared" si="313"/>
        <v>0</v>
      </c>
      <c r="AJ206" s="140">
        <f t="shared" si="313"/>
        <v>0</v>
      </c>
      <c r="AK206" s="140">
        <f t="shared" si="313"/>
        <v>0</v>
      </c>
      <c r="AL206" s="140">
        <f t="shared" si="313"/>
        <v>0</v>
      </c>
      <c r="AM206" s="140">
        <f t="shared" si="313"/>
        <v>0</v>
      </c>
      <c r="AN206" s="140">
        <f t="shared" si="313"/>
        <v>0</v>
      </c>
      <c r="AO206" s="140">
        <f t="shared" si="313"/>
        <v>0</v>
      </c>
      <c r="AP206" s="140">
        <f t="shared" si="313"/>
        <v>0</v>
      </c>
      <c r="AQ206" s="140">
        <f t="shared" si="313"/>
        <v>0</v>
      </c>
      <c r="AR206" s="140">
        <f t="shared" si="313"/>
        <v>0</v>
      </c>
      <c r="AS206" s="140">
        <f t="shared" si="313"/>
        <v>0</v>
      </c>
      <c r="AT206" s="140">
        <f t="shared" si="313"/>
        <v>0</v>
      </c>
      <c r="AU206" s="140">
        <f t="shared" si="313"/>
        <v>0</v>
      </c>
      <c r="AV206" s="140">
        <f t="shared" si="313"/>
        <v>0</v>
      </c>
      <c r="AW206" s="140">
        <f t="shared" si="313"/>
        <v>0</v>
      </c>
      <c r="AX206" s="140">
        <f t="shared" si="313"/>
        <v>0</v>
      </c>
      <c r="AY206" s="140">
        <f t="shared" si="313"/>
        <v>0</v>
      </c>
      <c r="AZ206" s="140">
        <f t="shared" si="313"/>
        <v>0</v>
      </c>
      <c r="BA206" s="140">
        <f t="shared" si="313"/>
        <v>0</v>
      </c>
      <c r="BB206" s="140">
        <f t="shared" si="313"/>
        <v>0</v>
      </c>
      <c r="BC206" s="140">
        <f t="shared" si="313"/>
        <v>0</v>
      </c>
      <c r="BD206" s="140">
        <f t="shared" si="313"/>
        <v>0</v>
      </c>
      <c r="BE206" s="140">
        <f t="shared" si="313"/>
        <v>0</v>
      </c>
      <c r="BF206" s="140">
        <f t="shared" si="313"/>
        <v>0</v>
      </c>
      <c r="BG206" s="140">
        <f t="shared" si="313"/>
        <v>0</v>
      </c>
      <c r="BH206" s="140">
        <f t="shared" si="313"/>
        <v>0</v>
      </c>
      <c r="BI206" s="140">
        <f t="shared" si="313"/>
        <v>0</v>
      </c>
      <c r="BJ206" s="140">
        <f t="shared" si="313"/>
        <v>0</v>
      </c>
      <c r="BK206" s="140">
        <f t="shared" si="313"/>
        <v>0</v>
      </c>
      <c r="BL206" s="140">
        <f t="shared" si="313"/>
        <v>0</v>
      </c>
      <c r="BM206" s="140">
        <f t="shared" si="313"/>
        <v>0</v>
      </c>
      <c r="BN206" s="140">
        <f t="shared" si="313"/>
        <v>0</v>
      </c>
      <c r="BO206" s="140">
        <f t="shared" ref="BO206:CB206" si="314">IF(BO204&lt;0,0,$B$5+$B$6*((1-EXP(-BO205/$B$9))/(BO205/$B$9))+$B$7*((1-EXP(-BO205/$B$9))/(BO205/$B$9)-EXP(-BO205/$B$9))+$B$8*((1-EXP(-BO205/$B$10))/(BO205/$B$10)-EXP(-BO205/$B$10)))</f>
        <v>0</v>
      </c>
      <c r="BP206" s="140">
        <f t="shared" si="314"/>
        <v>0</v>
      </c>
      <c r="BQ206" s="140">
        <f t="shared" si="314"/>
        <v>0</v>
      </c>
      <c r="BR206" s="140">
        <f t="shared" si="314"/>
        <v>0</v>
      </c>
      <c r="BS206" s="140">
        <f t="shared" si="314"/>
        <v>0</v>
      </c>
      <c r="BT206" s="140">
        <f t="shared" si="314"/>
        <v>0</v>
      </c>
      <c r="BU206" s="140">
        <f t="shared" si="314"/>
        <v>0</v>
      </c>
      <c r="BV206" s="140">
        <f t="shared" si="314"/>
        <v>0</v>
      </c>
      <c r="BW206" s="140">
        <f t="shared" si="314"/>
        <v>0</v>
      </c>
      <c r="BX206" s="140">
        <f t="shared" si="314"/>
        <v>0</v>
      </c>
      <c r="BY206" s="140">
        <f t="shared" si="314"/>
        <v>0</v>
      </c>
      <c r="BZ206" s="140">
        <f t="shared" si="314"/>
        <v>0</v>
      </c>
      <c r="CA206" s="140">
        <f t="shared" si="314"/>
        <v>0</v>
      </c>
      <c r="CB206" s="140">
        <f t="shared" si="314"/>
        <v>0</v>
      </c>
      <c r="CC206" s="17"/>
      <c r="CD206" s="17"/>
      <c r="CE206" s="17"/>
    </row>
    <row r="207" spans="1:83">
      <c r="A207" s="16" t="s">
        <v>44</v>
      </c>
      <c r="B207" s="140">
        <f>EXP(-B206*B205)</f>
        <v>1</v>
      </c>
      <c r="C207" s="140">
        <f t="shared" ref="C207:BN207" si="315">EXP(-C206*C205)</f>
        <v>1</v>
      </c>
      <c r="D207" s="140">
        <f t="shared" si="315"/>
        <v>1</v>
      </c>
      <c r="E207" s="140">
        <f t="shared" si="315"/>
        <v>1</v>
      </c>
      <c r="F207" s="140">
        <f t="shared" si="315"/>
        <v>1</v>
      </c>
      <c r="G207" s="140">
        <f t="shared" si="315"/>
        <v>1</v>
      </c>
      <c r="H207" s="140">
        <f t="shared" si="315"/>
        <v>1</v>
      </c>
      <c r="I207" s="140">
        <f t="shared" si="315"/>
        <v>1</v>
      </c>
      <c r="J207" s="140">
        <f t="shared" si="315"/>
        <v>1</v>
      </c>
      <c r="K207" s="140">
        <f t="shared" si="315"/>
        <v>1</v>
      </c>
      <c r="L207" s="140">
        <f t="shared" si="315"/>
        <v>1</v>
      </c>
      <c r="M207" s="140">
        <f t="shared" si="315"/>
        <v>1</v>
      </c>
      <c r="N207" s="140">
        <f t="shared" si="315"/>
        <v>1</v>
      </c>
      <c r="O207" s="140">
        <f t="shared" si="315"/>
        <v>1</v>
      </c>
      <c r="P207" s="140">
        <f t="shared" si="315"/>
        <v>1</v>
      </c>
      <c r="Q207" s="140">
        <f t="shared" si="315"/>
        <v>1</v>
      </c>
      <c r="R207" s="140">
        <f t="shared" si="315"/>
        <v>1</v>
      </c>
      <c r="S207" s="140">
        <f t="shared" si="315"/>
        <v>1</v>
      </c>
      <c r="T207" s="140">
        <f t="shared" si="315"/>
        <v>1</v>
      </c>
      <c r="U207" s="140">
        <f t="shared" si="315"/>
        <v>1</v>
      </c>
      <c r="V207" s="140">
        <f t="shared" si="315"/>
        <v>1</v>
      </c>
      <c r="W207" s="140">
        <f t="shared" si="315"/>
        <v>1</v>
      </c>
      <c r="X207" s="140">
        <f t="shared" si="315"/>
        <v>1</v>
      </c>
      <c r="Y207" s="140">
        <f t="shared" si="315"/>
        <v>1</v>
      </c>
      <c r="Z207" s="140">
        <f t="shared" si="315"/>
        <v>1</v>
      </c>
      <c r="AA207" s="140">
        <f t="shared" si="315"/>
        <v>1</v>
      </c>
      <c r="AB207" s="140">
        <f t="shared" si="315"/>
        <v>1</v>
      </c>
      <c r="AC207" s="140">
        <f t="shared" si="315"/>
        <v>1</v>
      </c>
      <c r="AD207" s="140">
        <f t="shared" si="315"/>
        <v>1</v>
      </c>
      <c r="AE207" s="140">
        <f t="shared" si="315"/>
        <v>1</v>
      </c>
      <c r="AF207" s="140">
        <f t="shared" si="315"/>
        <v>1</v>
      </c>
      <c r="AG207" s="140">
        <f t="shared" si="315"/>
        <v>1</v>
      </c>
      <c r="AH207" s="140">
        <f t="shared" si="315"/>
        <v>1</v>
      </c>
      <c r="AI207" s="140">
        <f t="shared" si="315"/>
        <v>1</v>
      </c>
      <c r="AJ207" s="140">
        <f t="shared" si="315"/>
        <v>1</v>
      </c>
      <c r="AK207" s="140">
        <f t="shared" si="315"/>
        <v>1</v>
      </c>
      <c r="AL207" s="140">
        <f t="shared" si="315"/>
        <v>1</v>
      </c>
      <c r="AM207" s="140">
        <f t="shared" si="315"/>
        <v>1</v>
      </c>
      <c r="AN207" s="140">
        <f t="shared" si="315"/>
        <v>1</v>
      </c>
      <c r="AO207" s="140">
        <f t="shared" si="315"/>
        <v>1</v>
      </c>
      <c r="AP207" s="140">
        <f t="shared" si="315"/>
        <v>1</v>
      </c>
      <c r="AQ207" s="140">
        <f t="shared" si="315"/>
        <v>1</v>
      </c>
      <c r="AR207" s="140">
        <f t="shared" si="315"/>
        <v>1</v>
      </c>
      <c r="AS207" s="140">
        <f t="shared" si="315"/>
        <v>1</v>
      </c>
      <c r="AT207" s="140">
        <f t="shared" si="315"/>
        <v>1</v>
      </c>
      <c r="AU207" s="140">
        <f t="shared" si="315"/>
        <v>1</v>
      </c>
      <c r="AV207" s="140">
        <f t="shared" si="315"/>
        <v>1</v>
      </c>
      <c r="AW207" s="140">
        <f t="shared" si="315"/>
        <v>1</v>
      </c>
      <c r="AX207" s="140">
        <f t="shared" si="315"/>
        <v>1</v>
      </c>
      <c r="AY207" s="140">
        <f t="shared" si="315"/>
        <v>1</v>
      </c>
      <c r="AZ207" s="140">
        <f t="shared" si="315"/>
        <v>1</v>
      </c>
      <c r="BA207" s="140">
        <f t="shared" si="315"/>
        <v>1</v>
      </c>
      <c r="BB207" s="140">
        <f t="shared" si="315"/>
        <v>1</v>
      </c>
      <c r="BC207" s="140">
        <f t="shared" si="315"/>
        <v>1</v>
      </c>
      <c r="BD207" s="140">
        <f t="shared" si="315"/>
        <v>1</v>
      </c>
      <c r="BE207" s="140">
        <f t="shared" si="315"/>
        <v>1</v>
      </c>
      <c r="BF207" s="140">
        <f t="shared" si="315"/>
        <v>1</v>
      </c>
      <c r="BG207" s="140">
        <f t="shared" si="315"/>
        <v>1</v>
      </c>
      <c r="BH207" s="140">
        <f t="shared" si="315"/>
        <v>1</v>
      </c>
      <c r="BI207" s="140">
        <f t="shared" si="315"/>
        <v>1</v>
      </c>
      <c r="BJ207" s="140">
        <f t="shared" si="315"/>
        <v>1</v>
      </c>
      <c r="BK207" s="140">
        <f t="shared" si="315"/>
        <v>1</v>
      </c>
      <c r="BL207" s="140">
        <f t="shared" si="315"/>
        <v>1</v>
      </c>
      <c r="BM207" s="140">
        <f t="shared" si="315"/>
        <v>1</v>
      </c>
      <c r="BN207" s="140">
        <f t="shared" si="315"/>
        <v>1</v>
      </c>
      <c r="BO207" s="140">
        <f t="shared" ref="BO207:CB207" si="316">EXP(-BO206*BO205)</f>
        <v>1</v>
      </c>
      <c r="BP207" s="140">
        <f t="shared" si="316"/>
        <v>1</v>
      </c>
      <c r="BQ207" s="140">
        <f t="shared" si="316"/>
        <v>1</v>
      </c>
      <c r="BR207" s="140">
        <f t="shared" si="316"/>
        <v>1</v>
      </c>
      <c r="BS207" s="140">
        <f t="shared" si="316"/>
        <v>1</v>
      </c>
      <c r="BT207" s="140">
        <f t="shared" si="316"/>
        <v>1</v>
      </c>
      <c r="BU207" s="140">
        <f t="shared" si="316"/>
        <v>1</v>
      </c>
      <c r="BV207" s="140">
        <f t="shared" si="316"/>
        <v>1</v>
      </c>
      <c r="BW207" s="140">
        <f t="shared" si="316"/>
        <v>1</v>
      </c>
      <c r="BX207" s="140">
        <f t="shared" si="316"/>
        <v>1</v>
      </c>
      <c r="BY207" s="140">
        <f t="shared" si="316"/>
        <v>1</v>
      </c>
      <c r="BZ207" s="140">
        <f t="shared" si="316"/>
        <v>1</v>
      </c>
      <c r="CA207" s="140">
        <f t="shared" si="316"/>
        <v>1</v>
      </c>
      <c r="CB207" s="140">
        <f t="shared" si="316"/>
        <v>1</v>
      </c>
      <c r="CC207" s="17"/>
      <c r="CD207" s="17"/>
      <c r="CE207" s="17"/>
    </row>
    <row r="208" spans="1:83">
      <c r="A208" s="17"/>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c r="AP208" s="17"/>
      <c r="AQ208" s="17"/>
      <c r="AR208" s="17"/>
      <c r="AS208" s="17"/>
      <c r="AT208" s="17"/>
      <c r="AU208" s="17"/>
      <c r="AV208" s="17"/>
      <c r="AW208" s="17"/>
      <c r="AX208" s="17"/>
      <c r="AY208" s="17"/>
      <c r="AZ208" s="17"/>
      <c r="BA208" s="17"/>
      <c r="BB208" s="17"/>
      <c r="BC208" s="17"/>
      <c r="BD208" s="17"/>
      <c r="BE208" s="17"/>
      <c r="BF208" s="17"/>
      <c r="BG208" s="17"/>
      <c r="BH208" s="17"/>
      <c r="BI208" s="17"/>
      <c r="BJ208" s="17"/>
      <c r="BK208" s="17"/>
      <c r="BL208" s="17"/>
      <c r="BM208" s="17"/>
      <c r="BN208" s="17"/>
      <c r="BO208" s="17"/>
      <c r="BP208" s="17"/>
      <c r="BQ208" s="17"/>
      <c r="BR208" s="17"/>
      <c r="BS208" s="17"/>
      <c r="BT208" s="17"/>
      <c r="BU208" s="17"/>
      <c r="BV208" s="17"/>
      <c r="BW208" s="17"/>
      <c r="BX208" s="17"/>
      <c r="BY208" s="17"/>
      <c r="BZ208" s="17"/>
      <c r="CA208" s="17"/>
      <c r="CB208" s="17"/>
      <c r="CC208" s="17"/>
      <c r="CD208" s="17"/>
      <c r="CE208" s="17"/>
    </row>
    <row r="209" spans="1:134">
      <c r="A209" s="16" t="s">
        <v>40</v>
      </c>
      <c r="B209" s="140">
        <f>DAYS360($B$3,B80)</f>
        <v>-43022</v>
      </c>
      <c r="C209" s="140">
        <f t="shared" ref="C209:BN209" si="317">DAYS360($B$3,C80)</f>
        <v>-42842</v>
      </c>
      <c r="D209" s="140">
        <f t="shared" si="317"/>
        <v>-42662</v>
      </c>
      <c r="E209" s="140">
        <f t="shared" si="317"/>
        <v>-42482</v>
      </c>
      <c r="F209" s="140">
        <f t="shared" si="317"/>
        <v>-42302</v>
      </c>
      <c r="G209" s="140">
        <f t="shared" si="317"/>
        <v>-42122</v>
      </c>
      <c r="H209" s="140">
        <f t="shared" si="317"/>
        <v>-41942</v>
      </c>
      <c r="I209" s="140">
        <f t="shared" si="317"/>
        <v>-41762</v>
      </c>
      <c r="J209" s="140">
        <f t="shared" si="317"/>
        <v>-41582</v>
      </c>
      <c r="K209" s="140">
        <f t="shared" si="317"/>
        <v>-41403</v>
      </c>
      <c r="L209" s="140">
        <f t="shared" si="317"/>
        <v>-41223</v>
      </c>
      <c r="M209" s="140">
        <f t="shared" si="317"/>
        <v>-41043</v>
      </c>
      <c r="N209" s="140">
        <f t="shared" si="317"/>
        <v>-40863</v>
      </c>
      <c r="O209" s="140">
        <f t="shared" si="317"/>
        <v>-40683</v>
      </c>
      <c r="P209" s="140">
        <f t="shared" si="317"/>
        <v>-40503</v>
      </c>
      <c r="Q209" s="140">
        <f t="shared" si="317"/>
        <v>-40323</v>
      </c>
      <c r="R209" s="140">
        <f t="shared" si="317"/>
        <v>-40143</v>
      </c>
      <c r="S209" s="140">
        <f t="shared" si="317"/>
        <v>-39964</v>
      </c>
      <c r="T209" s="140">
        <f t="shared" si="317"/>
        <v>-39784</v>
      </c>
      <c r="U209" s="140">
        <f t="shared" si="317"/>
        <v>-39604</v>
      </c>
      <c r="V209" s="140">
        <f t="shared" si="317"/>
        <v>-39424</v>
      </c>
      <c r="W209" s="140">
        <f t="shared" si="317"/>
        <v>-39244</v>
      </c>
      <c r="X209" s="140">
        <f t="shared" si="317"/>
        <v>-39064</v>
      </c>
      <c r="Y209" s="140">
        <f t="shared" si="317"/>
        <v>-38884</v>
      </c>
      <c r="Z209" s="140">
        <f t="shared" si="317"/>
        <v>-38704</v>
      </c>
      <c r="AA209" s="140">
        <f t="shared" si="317"/>
        <v>-38525</v>
      </c>
      <c r="AB209" s="140">
        <f t="shared" si="317"/>
        <v>-38345</v>
      </c>
      <c r="AC209" s="140">
        <f t="shared" si="317"/>
        <v>-38165</v>
      </c>
      <c r="AD209" s="140">
        <f t="shared" si="317"/>
        <v>-37985</v>
      </c>
      <c r="AE209" s="140">
        <f t="shared" si="317"/>
        <v>-37805</v>
      </c>
      <c r="AF209" s="140">
        <f t="shared" si="317"/>
        <v>-37625</v>
      </c>
      <c r="AG209" s="140">
        <f t="shared" si="317"/>
        <v>-37445</v>
      </c>
      <c r="AH209" s="140">
        <f t="shared" si="317"/>
        <v>-37265</v>
      </c>
      <c r="AI209" s="140">
        <f t="shared" si="317"/>
        <v>-37086</v>
      </c>
      <c r="AJ209" s="140">
        <f t="shared" si="317"/>
        <v>-36906</v>
      </c>
      <c r="AK209" s="140">
        <f t="shared" si="317"/>
        <v>-36726</v>
      </c>
      <c r="AL209" s="140">
        <f t="shared" si="317"/>
        <v>-36546</v>
      </c>
      <c r="AM209" s="140">
        <f t="shared" si="317"/>
        <v>-36366</v>
      </c>
      <c r="AN209" s="140">
        <f t="shared" si="317"/>
        <v>-36186</v>
      </c>
      <c r="AO209" s="140">
        <f t="shared" si="317"/>
        <v>-36006</v>
      </c>
      <c r="AP209" s="140">
        <f t="shared" si="317"/>
        <v>-35826</v>
      </c>
      <c r="AQ209" s="140">
        <f t="shared" si="317"/>
        <v>-35647</v>
      </c>
      <c r="AR209" s="140">
        <f t="shared" si="317"/>
        <v>-35467</v>
      </c>
      <c r="AS209" s="140">
        <f t="shared" si="317"/>
        <v>-35287</v>
      </c>
      <c r="AT209" s="140">
        <f t="shared" si="317"/>
        <v>-35107</v>
      </c>
      <c r="AU209" s="140">
        <f t="shared" si="317"/>
        <v>-34927</v>
      </c>
      <c r="AV209" s="140">
        <f t="shared" si="317"/>
        <v>-34747</v>
      </c>
      <c r="AW209" s="140">
        <f t="shared" si="317"/>
        <v>-34567</v>
      </c>
      <c r="AX209" s="140">
        <f t="shared" si="317"/>
        <v>-34387</v>
      </c>
      <c r="AY209" s="140">
        <f t="shared" si="317"/>
        <v>-34208</v>
      </c>
      <c r="AZ209" s="140">
        <f t="shared" si="317"/>
        <v>-34028</v>
      </c>
      <c r="BA209" s="140">
        <f t="shared" si="317"/>
        <v>-33848</v>
      </c>
      <c r="BB209" s="140">
        <f t="shared" si="317"/>
        <v>-33668</v>
      </c>
      <c r="BC209" s="140">
        <f t="shared" si="317"/>
        <v>-33488</v>
      </c>
      <c r="BD209" s="140">
        <f t="shared" si="317"/>
        <v>-33308</v>
      </c>
      <c r="BE209" s="140">
        <f t="shared" si="317"/>
        <v>-33128</v>
      </c>
      <c r="BF209" s="140">
        <f t="shared" si="317"/>
        <v>-32948</v>
      </c>
      <c r="BG209" s="140">
        <f t="shared" si="317"/>
        <v>-32769</v>
      </c>
      <c r="BH209" s="140">
        <f t="shared" si="317"/>
        <v>-32589</v>
      </c>
      <c r="BI209" s="140">
        <f t="shared" si="317"/>
        <v>-32409</v>
      </c>
      <c r="BJ209" s="140">
        <f t="shared" si="317"/>
        <v>-32229</v>
      </c>
      <c r="BK209" s="140">
        <f t="shared" si="317"/>
        <v>-32049</v>
      </c>
      <c r="BL209" s="140">
        <f t="shared" si="317"/>
        <v>-31869</v>
      </c>
      <c r="BM209" s="140">
        <f t="shared" si="317"/>
        <v>-31689</v>
      </c>
      <c r="BN209" s="140">
        <f t="shared" si="317"/>
        <v>-31509</v>
      </c>
      <c r="BO209" s="140">
        <f t="shared" ref="BO209:CB209" si="318">DAYS360($B$3,BO80)</f>
        <v>-31330</v>
      </c>
      <c r="BP209" s="140">
        <f t="shared" si="318"/>
        <v>-31150</v>
      </c>
      <c r="BQ209" s="140">
        <f t="shared" si="318"/>
        <v>-30970</v>
      </c>
      <c r="BR209" s="140">
        <f t="shared" si="318"/>
        <v>-30790</v>
      </c>
      <c r="BS209" s="140">
        <f t="shared" si="318"/>
        <v>-30610</v>
      </c>
      <c r="BT209" s="140">
        <f t="shared" si="318"/>
        <v>-30430</v>
      </c>
      <c r="BU209" s="140">
        <f t="shared" si="318"/>
        <v>-30250</v>
      </c>
      <c r="BV209" s="140">
        <f t="shared" si="318"/>
        <v>-30070</v>
      </c>
      <c r="BW209" s="140">
        <f t="shared" si="318"/>
        <v>-29891</v>
      </c>
      <c r="BX209" s="140">
        <f t="shared" si="318"/>
        <v>-29711</v>
      </c>
      <c r="BY209" s="140">
        <f t="shared" si="318"/>
        <v>-29531</v>
      </c>
      <c r="BZ209" s="140">
        <f t="shared" si="318"/>
        <v>-29351</v>
      </c>
      <c r="CA209" s="140">
        <f t="shared" si="318"/>
        <v>-29171</v>
      </c>
      <c r="CB209" s="140">
        <f t="shared" si="318"/>
        <v>-28991</v>
      </c>
      <c r="CC209" s="17"/>
      <c r="CD209" s="17"/>
      <c r="CE209" s="17"/>
    </row>
    <row r="210" spans="1:134">
      <c r="A210" s="16" t="s">
        <v>41</v>
      </c>
      <c r="B210" s="140">
        <f>B209/360</f>
        <v>-119.50555555555556</v>
      </c>
      <c r="C210" s="140">
        <f t="shared" ref="C210:BN210" si="319">C209/360</f>
        <v>-119.00555555555556</v>
      </c>
      <c r="D210" s="140">
        <f t="shared" si="319"/>
        <v>-118.50555555555556</v>
      </c>
      <c r="E210" s="140">
        <f t="shared" si="319"/>
        <v>-118.00555555555556</v>
      </c>
      <c r="F210" s="140">
        <f t="shared" si="319"/>
        <v>-117.50555555555556</v>
      </c>
      <c r="G210" s="140">
        <f t="shared" si="319"/>
        <v>-117.00555555555556</v>
      </c>
      <c r="H210" s="140">
        <f t="shared" si="319"/>
        <v>-116.50555555555556</v>
      </c>
      <c r="I210" s="140">
        <f t="shared" si="319"/>
        <v>-116.00555555555556</v>
      </c>
      <c r="J210" s="140">
        <f t="shared" si="319"/>
        <v>-115.50555555555556</v>
      </c>
      <c r="K210" s="140">
        <f t="shared" si="319"/>
        <v>-115.00833333333334</v>
      </c>
      <c r="L210" s="140">
        <f t="shared" si="319"/>
        <v>-114.50833333333334</v>
      </c>
      <c r="M210" s="140">
        <f t="shared" si="319"/>
        <v>-114.00833333333334</v>
      </c>
      <c r="N210" s="140">
        <f t="shared" si="319"/>
        <v>-113.50833333333334</v>
      </c>
      <c r="O210" s="140">
        <f t="shared" si="319"/>
        <v>-113.00833333333334</v>
      </c>
      <c r="P210" s="140">
        <f t="shared" si="319"/>
        <v>-112.50833333333334</v>
      </c>
      <c r="Q210" s="140">
        <f t="shared" si="319"/>
        <v>-112.00833333333334</v>
      </c>
      <c r="R210" s="140">
        <f t="shared" si="319"/>
        <v>-111.50833333333334</v>
      </c>
      <c r="S210" s="140">
        <f t="shared" si="319"/>
        <v>-111.01111111111111</v>
      </c>
      <c r="T210" s="140">
        <f t="shared" si="319"/>
        <v>-110.51111111111111</v>
      </c>
      <c r="U210" s="140">
        <f t="shared" si="319"/>
        <v>-110.01111111111111</v>
      </c>
      <c r="V210" s="140">
        <f t="shared" si="319"/>
        <v>-109.51111111111111</v>
      </c>
      <c r="W210" s="140">
        <f t="shared" si="319"/>
        <v>-109.01111111111111</v>
      </c>
      <c r="X210" s="140">
        <f t="shared" si="319"/>
        <v>-108.51111111111111</v>
      </c>
      <c r="Y210" s="140">
        <f t="shared" si="319"/>
        <v>-108.01111111111111</v>
      </c>
      <c r="Z210" s="140">
        <f t="shared" si="319"/>
        <v>-107.51111111111111</v>
      </c>
      <c r="AA210" s="140">
        <f t="shared" si="319"/>
        <v>-107.01388888888889</v>
      </c>
      <c r="AB210" s="140">
        <f t="shared" si="319"/>
        <v>-106.51388888888889</v>
      </c>
      <c r="AC210" s="140">
        <f t="shared" si="319"/>
        <v>-106.01388888888889</v>
      </c>
      <c r="AD210" s="140">
        <f t="shared" si="319"/>
        <v>-105.51388888888889</v>
      </c>
      <c r="AE210" s="140">
        <f t="shared" si="319"/>
        <v>-105.01388888888889</v>
      </c>
      <c r="AF210" s="140">
        <f t="shared" si="319"/>
        <v>-104.51388888888889</v>
      </c>
      <c r="AG210" s="140">
        <f t="shared" si="319"/>
        <v>-104.01388888888889</v>
      </c>
      <c r="AH210" s="140">
        <f t="shared" si="319"/>
        <v>-103.51388888888889</v>
      </c>
      <c r="AI210" s="140">
        <f t="shared" si="319"/>
        <v>-103.01666666666667</v>
      </c>
      <c r="AJ210" s="140">
        <f t="shared" si="319"/>
        <v>-102.51666666666667</v>
      </c>
      <c r="AK210" s="140">
        <f t="shared" si="319"/>
        <v>-102.01666666666667</v>
      </c>
      <c r="AL210" s="140">
        <f t="shared" si="319"/>
        <v>-101.51666666666667</v>
      </c>
      <c r="AM210" s="140">
        <f t="shared" si="319"/>
        <v>-101.01666666666667</v>
      </c>
      <c r="AN210" s="140">
        <f t="shared" si="319"/>
        <v>-100.51666666666667</v>
      </c>
      <c r="AO210" s="140">
        <f t="shared" si="319"/>
        <v>-100.01666666666667</v>
      </c>
      <c r="AP210" s="140">
        <f t="shared" si="319"/>
        <v>-99.516666666666666</v>
      </c>
      <c r="AQ210" s="140">
        <f t="shared" si="319"/>
        <v>-99.019444444444446</v>
      </c>
      <c r="AR210" s="140">
        <f t="shared" si="319"/>
        <v>-98.519444444444446</v>
      </c>
      <c r="AS210" s="140">
        <f t="shared" si="319"/>
        <v>-98.019444444444446</v>
      </c>
      <c r="AT210" s="140">
        <f t="shared" si="319"/>
        <v>-97.519444444444446</v>
      </c>
      <c r="AU210" s="140">
        <f t="shared" si="319"/>
        <v>-97.019444444444446</v>
      </c>
      <c r="AV210" s="140">
        <f t="shared" si="319"/>
        <v>-96.519444444444446</v>
      </c>
      <c r="AW210" s="140">
        <f t="shared" si="319"/>
        <v>-96.019444444444446</v>
      </c>
      <c r="AX210" s="140">
        <f t="shared" si="319"/>
        <v>-95.519444444444446</v>
      </c>
      <c r="AY210" s="140">
        <f t="shared" si="319"/>
        <v>-95.022222222222226</v>
      </c>
      <c r="AZ210" s="140">
        <f t="shared" si="319"/>
        <v>-94.522222222222226</v>
      </c>
      <c r="BA210" s="140">
        <f t="shared" si="319"/>
        <v>-94.022222222222226</v>
      </c>
      <c r="BB210" s="140">
        <f t="shared" si="319"/>
        <v>-93.522222222222226</v>
      </c>
      <c r="BC210" s="140">
        <f t="shared" si="319"/>
        <v>-93.022222222222226</v>
      </c>
      <c r="BD210" s="140">
        <f t="shared" si="319"/>
        <v>-92.522222222222226</v>
      </c>
      <c r="BE210" s="140">
        <f t="shared" si="319"/>
        <v>-92.022222222222226</v>
      </c>
      <c r="BF210" s="140">
        <f t="shared" si="319"/>
        <v>-91.522222222222226</v>
      </c>
      <c r="BG210" s="140">
        <f t="shared" si="319"/>
        <v>-91.025000000000006</v>
      </c>
      <c r="BH210" s="140">
        <f t="shared" si="319"/>
        <v>-90.525000000000006</v>
      </c>
      <c r="BI210" s="140">
        <f t="shared" si="319"/>
        <v>-90.025000000000006</v>
      </c>
      <c r="BJ210" s="140">
        <f t="shared" si="319"/>
        <v>-89.525000000000006</v>
      </c>
      <c r="BK210" s="140">
        <f t="shared" si="319"/>
        <v>-89.025000000000006</v>
      </c>
      <c r="BL210" s="140">
        <f t="shared" si="319"/>
        <v>-88.525000000000006</v>
      </c>
      <c r="BM210" s="140">
        <f t="shared" si="319"/>
        <v>-88.025000000000006</v>
      </c>
      <c r="BN210" s="140">
        <f t="shared" si="319"/>
        <v>-87.525000000000006</v>
      </c>
      <c r="BO210" s="140">
        <f t="shared" ref="BO210:CB210" si="320">BO209/360</f>
        <v>-87.027777777777771</v>
      </c>
      <c r="BP210" s="140">
        <f t="shared" si="320"/>
        <v>-86.527777777777771</v>
      </c>
      <c r="BQ210" s="140">
        <f t="shared" si="320"/>
        <v>-86.027777777777771</v>
      </c>
      <c r="BR210" s="140">
        <f t="shared" si="320"/>
        <v>-85.527777777777771</v>
      </c>
      <c r="BS210" s="140">
        <f t="shared" si="320"/>
        <v>-85.027777777777771</v>
      </c>
      <c r="BT210" s="140">
        <f t="shared" si="320"/>
        <v>-84.527777777777771</v>
      </c>
      <c r="BU210" s="140">
        <f t="shared" si="320"/>
        <v>-84.027777777777771</v>
      </c>
      <c r="BV210" s="140">
        <f t="shared" si="320"/>
        <v>-83.527777777777771</v>
      </c>
      <c r="BW210" s="140">
        <f t="shared" si="320"/>
        <v>-83.030555555555551</v>
      </c>
      <c r="BX210" s="140">
        <f t="shared" si="320"/>
        <v>-82.530555555555551</v>
      </c>
      <c r="BY210" s="140">
        <f t="shared" si="320"/>
        <v>-82.030555555555551</v>
      </c>
      <c r="BZ210" s="140">
        <f t="shared" si="320"/>
        <v>-81.530555555555551</v>
      </c>
      <c r="CA210" s="140">
        <f t="shared" si="320"/>
        <v>-81.030555555555551</v>
      </c>
      <c r="CB210" s="140">
        <f t="shared" si="320"/>
        <v>-80.530555555555551</v>
      </c>
      <c r="CC210" s="17"/>
      <c r="CD210" s="17"/>
      <c r="CE210" s="17"/>
    </row>
    <row r="211" spans="1:134">
      <c r="A211" s="16" t="s">
        <v>43</v>
      </c>
      <c r="B211" s="140">
        <f>IF(B209&lt;0,0,$B$5+$B$6*((1-EXP(-B210/$B$9))/(B210/$B$9))+$B$7*((1-EXP(-B210/$B$9))/(B210/$B$9)-EXP(-B210/$B$9))+$B$8*((1-EXP(-B210/$B$10))/(B210/$B$10)-EXP(-B210/$B$10)))</f>
        <v>0</v>
      </c>
      <c r="C211" s="140">
        <f t="shared" ref="C211:BN211" si="321">IF(C209&lt;0,0,$B$5+$B$6*((1-EXP(-C210/$B$9))/(C210/$B$9))+$B$7*((1-EXP(-C210/$B$9))/(C210/$B$9)-EXP(-C210/$B$9))+$B$8*((1-EXP(-C210/$B$10))/(C210/$B$10)-EXP(-C210/$B$10)))</f>
        <v>0</v>
      </c>
      <c r="D211" s="140">
        <f t="shared" si="321"/>
        <v>0</v>
      </c>
      <c r="E211" s="140">
        <f t="shared" si="321"/>
        <v>0</v>
      </c>
      <c r="F211" s="140">
        <f t="shared" si="321"/>
        <v>0</v>
      </c>
      <c r="G211" s="140">
        <f t="shared" si="321"/>
        <v>0</v>
      </c>
      <c r="H211" s="140">
        <f t="shared" si="321"/>
        <v>0</v>
      </c>
      <c r="I211" s="140">
        <f t="shared" si="321"/>
        <v>0</v>
      </c>
      <c r="J211" s="140">
        <f t="shared" si="321"/>
        <v>0</v>
      </c>
      <c r="K211" s="140">
        <f t="shared" si="321"/>
        <v>0</v>
      </c>
      <c r="L211" s="140">
        <f t="shared" si="321"/>
        <v>0</v>
      </c>
      <c r="M211" s="140">
        <f t="shared" si="321"/>
        <v>0</v>
      </c>
      <c r="N211" s="140">
        <f t="shared" si="321"/>
        <v>0</v>
      </c>
      <c r="O211" s="140">
        <f t="shared" si="321"/>
        <v>0</v>
      </c>
      <c r="P211" s="140">
        <f t="shared" si="321"/>
        <v>0</v>
      </c>
      <c r="Q211" s="140">
        <f t="shared" si="321"/>
        <v>0</v>
      </c>
      <c r="R211" s="140">
        <f t="shared" si="321"/>
        <v>0</v>
      </c>
      <c r="S211" s="140">
        <f t="shared" si="321"/>
        <v>0</v>
      </c>
      <c r="T211" s="140">
        <f t="shared" si="321"/>
        <v>0</v>
      </c>
      <c r="U211" s="140">
        <f t="shared" si="321"/>
        <v>0</v>
      </c>
      <c r="V211" s="140">
        <f t="shared" si="321"/>
        <v>0</v>
      </c>
      <c r="W211" s="140">
        <f t="shared" si="321"/>
        <v>0</v>
      </c>
      <c r="X211" s="140">
        <f t="shared" si="321"/>
        <v>0</v>
      </c>
      <c r="Y211" s="140">
        <f t="shared" si="321"/>
        <v>0</v>
      </c>
      <c r="Z211" s="140">
        <f t="shared" si="321"/>
        <v>0</v>
      </c>
      <c r="AA211" s="140">
        <f t="shared" si="321"/>
        <v>0</v>
      </c>
      <c r="AB211" s="140">
        <f t="shared" si="321"/>
        <v>0</v>
      </c>
      <c r="AC211" s="140">
        <f t="shared" si="321"/>
        <v>0</v>
      </c>
      <c r="AD211" s="140">
        <f t="shared" si="321"/>
        <v>0</v>
      </c>
      <c r="AE211" s="140">
        <f t="shared" si="321"/>
        <v>0</v>
      </c>
      <c r="AF211" s="140">
        <f t="shared" si="321"/>
        <v>0</v>
      </c>
      <c r="AG211" s="140">
        <f t="shared" si="321"/>
        <v>0</v>
      </c>
      <c r="AH211" s="140">
        <f t="shared" si="321"/>
        <v>0</v>
      </c>
      <c r="AI211" s="140">
        <f t="shared" si="321"/>
        <v>0</v>
      </c>
      <c r="AJ211" s="140">
        <f t="shared" si="321"/>
        <v>0</v>
      </c>
      <c r="AK211" s="140">
        <f t="shared" si="321"/>
        <v>0</v>
      </c>
      <c r="AL211" s="140">
        <f t="shared" si="321"/>
        <v>0</v>
      </c>
      <c r="AM211" s="140">
        <f t="shared" si="321"/>
        <v>0</v>
      </c>
      <c r="AN211" s="140">
        <f t="shared" si="321"/>
        <v>0</v>
      </c>
      <c r="AO211" s="140">
        <f t="shared" si="321"/>
        <v>0</v>
      </c>
      <c r="AP211" s="140">
        <f t="shared" si="321"/>
        <v>0</v>
      </c>
      <c r="AQ211" s="140">
        <f t="shared" si="321"/>
        <v>0</v>
      </c>
      <c r="AR211" s="140">
        <f t="shared" si="321"/>
        <v>0</v>
      </c>
      <c r="AS211" s="140">
        <f t="shared" si="321"/>
        <v>0</v>
      </c>
      <c r="AT211" s="140">
        <f t="shared" si="321"/>
        <v>0</v>
      </c>
      <c r="AU211" s="140">
        <f t="shared" si="321"/>
        <v>0</v>
      </c>
      <c r="AV211" s="140">
        <f t="shared" si="321"/>
        <v>0</v>
      </c>
      <c r="AW211" s="140">
        <f t="shared" si="321"/>
        <v>0</v>
      </c>
      <c r="AX211" s="140">
        <f t="shared" si="321"/>
        <v>0</v>
      </c>
      <c r="AY211" s="140">
        <f t="shared" si="321"/>
        <v>0</v>
      </c>
      <c r="AZ211" s="140">
        <f t="shared" si="321"/>
        <v>0</v>
      </c>
      <c r="BA211" s="140">
        <f t="shared" si="321"/>
        <v>0</v>
      </c>
      <c r="BB211" s="140">
        <f t="shared" si="321"/>
        <v>0</v>
      </c>
      <c r="BC211" s="140">
        <f t="shared" si="321"/>
        <v>0</v>
      </c>
      <c r="BD211" s="140">
        <f t="shared" si="321"/>
        <v>0</v>
      </c>
      <c r="BE211" s="140">
        <f t="shared" si="321"/>
        <v>0</v>
      </c>
      <c r="BF211" s="140">
        <f t="shared" si="321"/>
        <v>0</v>
      </c>
      <c r="BG211" s="140">
        <f t="shared" si="321"/>
        <v>0</v>
      </c>
      <c r="BH211" s="140">
        <f t="shared" si="321"/>
        <v>0</v>
      </c>
      <c r="BI211" s="140">
        <f t="shared" si="321"/>
        <v>0</v>
      </c>
      <c r="BJ211" s="140">
        <f t="shared" si="321"/>
        <v>0</v>
      </c>
      <c r="BK211" s="140">
        <f t="shared" si="321"/>
        <v>0</v>
      </c>
      <c r="BL211" s="140">
        <f t="shared" si="321"/>
        <v>0</v>
      </c>
      <c r="BM211" s="140">
        <f t="shared" si="321"/>
        <v>0</v>
      </c>
      <c r="BN211" s="140">
        <f t="shared" si="321"/>
        <v>0</v>
      </c>
      <c r="BO211" s="140">
        <f t="shared" ref="BO211:CB211" si="322">IF(BO209&lt;0,0,$B$5+$B$6*((1-EXP(-BO210/$B$9))/(BO210/$B$9))+$B$7*((1-EXP(-BO210/$B$9))/(BO210/$B$9)-EXP(-BO210/$B$9))+$B$8*((1-EXP(-BO210/$B$10))/(BO210/$B$10)-EXP(-BO210/$B$10)))</f>
        <v>0</v>
      </c>
      <c r="BP211" s="140">
        <f t="shared" si="322"/>
        <v>0</v>
      </c>
      <c r="BQ211" s="140">
        <f t="shared" si="322"/>
        <v>0</v>
      </c>
      <c r="BR211" s="140">
        <f t="shared" si="322"/>
        <v>0</v>
      </c>
      <c r="BS211" s="140">
        <f t="shared" si="322"/>
        <v>0</v>
      </c>
      <c r="BT211" s="140">
        <f t="shared" si="322"/>
        <v>0</v>
      </c>
      <c r="BU211" s="140">
        <f t="shared" si="322"/>
        <v>0</v>
      </c>
      <c r="BV211" s="140">
        <f t="shared" si="322"/>
        <v>0</v>
      </c>
      <c r="BW211" s="140">
        <f t="shared" si="322"/>
        <v>0</v>
      </c>
      <c r="BX211" s="140">
        <f t="shared" si="322"/>
        <v>0</v>
      </c>
      <c r="BY211" s="140">
        <f t="shared" si="322"/>
        <v>0</v>
      </c>
      <c r="BZ211" s="140">
        <f t="shared" si="322"/>
        <v>0</v>
      </c>
      <c r="CA211" s="140">
        <f t="shared" si="322"/>
        <v>0</v>
      </c>
      <c r="CB211" s="140">
        <f t="shared" si="322"/>
        <v>0</v>
      </c>
      <c r="CC211" s="17"/>
      <c r="CD211" s="17"/>
      <c r="CE211" s="17"/>
    </row>
    <row r="212" spans="1:134">
      <c r="A212" s="16" t="s">
        <v>44</v>
      </c>
      <c r="B212" s="140">
        <f>EXP(-B211*B210)</f>
        <v>1</v>
      </c>
      <c r="C212" s="140">
        <f t="shared" ref="C212:BN212" si="323">EXP(-C211*C210)</f>
        <v>1</v>
      </c>
      <c r="D212" s="140">
        <f t="shared" si="323"/>
        <v>1</v>
      </c>
      <c r="E212" s="140">
        <f t="shared" si="323"/>
        <v>1</v>
      </c>
      <c r="F212" s="140">
        <f t="shared" si="323"/>
        <v>1</v>
      </c>
      <c r="G212" s="140">
        <f t="shared" si="323"/>
        <v>1</v>
      </c>
      <c r="H212" s="140">
        <f t="shared" si="323"/>
        <v>1</v>
      </c>
      <c r="I212" s="140">
        <f t="shared" si="323"/>
        <v>1</v>
      </c>
      <c r="J212" s="140">
        <f t="shared" si="323"/>
        <v>1</v>
      </c>
      <c r="K212" s="140">
        <f t="shared" si="323"/>
        <v>1</v>
      </c>
      <c r="L212" s="140">
        <f t="shared" si="323"/>
        <v>1</v>
      </c>
      <c r="M212" s="140">
        <f t="shared" si="323"/>
        <v>1</v>
      </c>
      <c r="N212" s="140">
        <f t="shared" si="323"/>
        <v>1</v>
      </c>
      <c r="O212" s="140">
        <f t="shared" si="323"/>
        <v>1</v>
      </c>
      <c r="P212" s="140">
        <f t="shared" si="323"/>
        <v>1</v>
      </c>
      <c r="Q212" s="140">
        <f t="shared" si="323"/>
        <v>1</v>
      </c>
      <c r="R212" s="140">
        <f t="shared" si="323"/>
        <v>1</v>
      </c>
      <c r="S212" s="140">
        <f t="shared" si="323"/>
        <v>1</v>
      </c>
      <c r="T212" s="140">
        <f t="shared" si="323"/>
        <v>1</v>
      </c>
      <c r="U212" s="140">
        <f t="shared" si="323"/>
        <v>1</v>
      </c>
      <c r="V212" s="140">
        <f t="shared" si="323"/>
        <v>1</v>
      </c>
      <c r="W212" s="140">
        <f t="shared" si="323"/>
        <v>1</v>
      </c>
      <c r="X212" s="140">
        <f t="shared" si="323"/>
        <v>1</v>
      </c>
      <c r="Y212" s="140">
        <f t="shared" si="323"/>
        <v>1</v>
      </c>
      <c r="Z212" s="140">
        <f t="shared" si="323"/>
        <v>1</v>
      </c>
      <c r="AA212" s="140">
        <f t="shared" si="323"/>
        <v>1</v>
      </c>
      <c r="AB212" s="140">
        <f t="shared" si="323"/>
        <v>1</v>
      </c>
      <c r="AC212" s="140">
        <f t="shared" si="323"/>
        <v>1</v>
      </c>
      <c r="AD212" s="140">
        <f t="shared" si="323"/>
        <v>1</v>
      </c>
      <c r="AE212" s="140">
        <f t="shared" si="323"/>
        <v>1</v>
      </c>
      <c r="AF212" s="140">
        <f t="shared" si="323"/>
        <v>1</v>
      </c>
      <c r="AG212" s="140">
        <f t="shared" si="323"/>
        <v>1</v>
      </c>
      <c r="AH212" s="140">
        <f t="shared" si="323"/>
        <v>1</v>
      </c>
      <c r="AI212" s="140">
        <f t="shared" si="323"/>
        <v>1</v>
      </c>
      <c r="AJ212" s="140">
        <f t="shared" si="323"/>
        <v>1</v>
      </c>
      <c r="AK212" s="140">
        <f t="shared" si="323"/>
        <v>1</v>
      </c>
      <c r="AL212" s="140">
        <f t="shared" si="323"/>
        <v>1</v>
      </c>
      <c r="AM212" s="140">
        <f t="shared" si="323"/>
        <v>1</v>
      </c>
      <c r="AN212" s="140">
        <f t="shared" si="323"/>
        <v>1</v>
      </c>
      <c r="AO212" s="140">
        <f t="shared" si="323"/>
        <v>1</v>
      </c>
      <c r="AP212" s="140">
        <f t="shared" si="323"/>
        <v>1</v>
      </c>
      <c r="AQ212" s="140">
        <f t="shared" si="323"/>
        <v>1</v>
      </c>
      <c r="AR212" s="140">
        <f t="shared" si="323"/>
        <v>1</v>
      </c>
      <c r="AS212" s="140">
        <f t="shared" si="323"/>
        <v>1</v>
      </c>
      <c r="AT212" s="140">
        <f t="shared" si="323"/>
        <v>1</v>
      </c>
      <c r="AU212" s="140">
        <f t="shared" si="323"/>
        <v>1</v>
      </c>
      <c r="AV212" s="140">
        <f t="shared" si="323"/>
        <v>1</v>
      </c>
      <c r="AW212" s="140">
        <f t="shared" si="323"/>
        <v>1</v>
      </c>
      <c r="AX212" s="140">
        <f t="shared" si="323"/>
        <v>1</v>
      </c>
      <c r="AY212" s="140">
        <f t="shared" si="323"/>
        <v>1</v>
      </c>
      <c r="AZ212" s="140">
        <f t="shared" si="323"/>
        <v>1</v>
      </c>
      <c r="BA212" s="140">
        <f t="shared" si="323"/>
        <v>1</v>
      </c>
      <c r="BB212" s="140">
        <f t="shared" si="323"/>
        <v>1</v>
      </c>
      <c r="BC212" s="140">
        <f t="shared" si="323"/>
        <v>1</v>
      </c>
      <c r="BD212" s="140">
        <f t="shared" si="323"/>
        <v>1</v>
      </c>
      <c r="BE212" s="140">
        <f t="shared" si="323"/>
        <v>1</v>
      </c>
      <c r="BF212" s="140">
        <f t="shared" si="323"/>
        <v>1</v>
      </c>
      <c r="BG212" s="140">
        <f t="shared" si="323"/>
        <v>1</v>
      </c>
      <c r="BH212" s="140">
        <f t="shared" si="323"/>
        <v>1</v>
      </c>
      <c r="BI212" s="140">
        <f t="shared" si="323"/>
        <v>1</v>
      </c>
      <c r="BJ212" s="140">
        <f t="shared" si="323"/>
        <v>1</v>
      </c>
      <c r="BK212" s="140">
        <f t="shared" si="323"/>
        <v>1</v>
      </c>
      <c r="BL212" s="140">
        <f t="shared" si="323"/>
        <v>1</v>
      </c>
      <c r="BM212" s="140">
        <f t="shared" si="323"/>
        <v>1</v>
      </c>
      <c r="BN212" s="140">
        <f t="shared" si="323"/>
        <v>1</v>
      </c>
      <c r="BO212" s="140">
        <f t="shared" ref="BO212:CB212" si="324">EXP(-BO211*BO210)</f>
        <v>1</v>
      </c>
      <c r="BP212" s="140">
        <f t="shared" si="324"/>
        <v>1</v>
      </c>
      <c r="BQ212" s="140">
        <f t="shared" si="324"/>
        <v>1</v>
      </c>
      <c r="BR212" s="140">
        <f t="shared" si="324"/>
        <v>1</v>
      </c>
      <c r="BS212" s="140">
        <f t="shared" si="324"/>
        <v>1</v>
      </c>
      <c r="BT212" s="140">
        <f t="shared" si="324"/>
        <v>1</v>
      </c>
      <c r="BU212" s="140">
        <f t="shared" si="324"/>
        <v>1</v>
      </c>
      <c r="BV212" s="140">
        <f t="shared" si="324"/>
        <v>1</v>
      </c>
      <c r="BW212" s="140">
        <f t="shared" si="324"/>
        <v>1</v>
      </c>
      <c r="BX212" s="140">
        <f t="shared" si="324"/>
        <v>1</v>
      </c>
      <c r="BY212" s="140">
        <f t="shared" si="324"/>
        <v>1</v>
      </c>
      <c r="BZ212" s="140">
        <f t="shared" si="324"/>
        <v>1</v>
      </c>
      <c r="CA212" s="140">
        <f t="shared" si="324"/>
        <v>1</v>
      </c>
      <c r="CB212" s="140">
        <f t="shared" si="324"/>
        <v>1</v>
      </c>
      <c r="CC212" s="17"/>
      <c r="CD212" s="17"/>
      <c r="CE212" s="17"/>
    </row>
    <row r="213" spans="1:134">
      <c r="A213" s="17"/>
      <c r="B213" s="17"/>
      <c r="C213" s="17"/>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c r="AP213" s="17"/>
      <c r="AQ213" s="17"/>
      <c r="AR213" s="17"/>
      <c r="AS213" s="17"/>
      <c r="AT213" s="17"/>
      <c r="AU213" s="17"/>
      <c r="AV213" s="17"/>
      <c r="AW213" s="17"/>
      <c r="AX213" s="17"/>
      <c r="AY213" s="17"/>
      <c r="AZ213" s="17"/>
      <c r="BA213" s="17"/>
      <c r="BB213" s="17"/>
      <c r="BC213" s="17"/>
      <c r="BD213" s="17"/>
      <c r="BE213" s="17"/>
      <c r="BF213" s="17"/>
      <c r="BG213" s="17"/>
      <c r="BH213" s="17"/>
      <c r="BI213" s="17"/>
      <c r="BJ213" s="17"/>
      <c r="BK213" s="17"/>
      <c r="BL213" s="17"/>
      <c r="BM213" s="17"/>
      <c r="BN213" s="17"/>
      <c r="BO213" s="17"/>
      <c r="BP213" s="17"/>
      <c r="BQ213" s="17"/>
      <c r="BR213" s="17"/>
      <c r="BS213" s="17"/>
      <c r="BT213" s="17"/>
      <c r="BU213" s="17"/>
      <c r="BV213" s="17"/>
      <c r="BW213" s="17"/>
      <c r="BX213" s="17"/>
      <c r="BY213" s="17"/>
      <c r="BZ213" s="17"/>
      <c r="CA213" s="17"/>
      <c r="CB213" s="17"/>
      <c r="CC213" s="17"/>
      <c r="CD213" s="17"/>
      <c r="CE213" s="17"/>
    </row>
    <row r="214" spans="1:134">
      <c r="A214" s="16" t="s">
        <v>45</v>
      </c>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7"/>
      <c r="CD214" s="17"/>
      <c r="CE214" s="17"/>
    </row>
    <row r="215" spans="1:134">
      <c r="A215" s="18" t="str">
        <f>A31</f>
        <v>Bond 1</v>
      </c>
      <c r="B215" s="18">
        <f t="shared" ref="B215:BM215" si="325">B31*B87</f>
        <v>100.06372119565212</v>
      </c>
      <c r="C215" s="18">
        <f t="shared" si="325"/>
        <v>0</v>
      </c>
      <c r="D215" s="18">
        <f t="shared" si="325"/>
        <v>0</v>
      </c>
      <c r="E215" s="18">
        <f t="shared" si="325"/>
        <v>0</v>
      </c>
      <c r="F215" s="18">
        <f t="shared" si="325"/>
        <v>0</v>
      </c>
      <c r="G215" s="18">
        <f t="shared" si="325"/>
        <v>0</v>
      </c>
      <c r="H215" s="18">
        <f t="shared" si="325"/>
        <v>0</v>
      </c>
      <c r="I215" s="18">
        <f t="shared" si="325"/>
        <v>0</v>
      </c>
      <c r="J215" s="18">
        <f t="shared" si="325"/>
        <v>0</v>
      </c>
      <c r="K215" s="18">
        <f t="shared" si="325"/>
        <v>0</v>
      </c>
      <c r="L215" s="18">
        <f t="shared" si="325"/>
        <v>0</v>
      </c>
      <c r="M215" s="18">
        <f t="shared" si="325"/>
        <v>0</v>
      </c>
      <c r="N215" s="18">
        <f t="shared" si="325"/>
        <v>0</v>
      </c>
      <c r="O215" s="18">
        <f t="shared" si="325"/>
        <v>0</v>
      </c>
      <c r="P215" s="18">
        <f t="shared" si="325"/>
        <v>0</v>
      </c>
      <c r="Q215" s="18">
        <f t="shared" si="325"/>
        <v>0</v>
      </c>
      <c r="R215" s="18">
        <f t="shared" si="325"/>
        <v>0</v>
      </c>
      <c r="S215" s="18">
        <f t="shared" si="325"/>
        <v>0</v>
      </c>
      <c r="T215" s="18">
        <f t="shared" si="325"/>
        <v>0</v>
      </c>
      <c r="U215" s="18">
        <f t="shared" si="325"/>
        <v>0</v>
      </c>
      <c r="V215" s="18">
        <f t="shared" si="325"/>
        <v>0</v>
      </c>
      <c r="W215" s="18">
        <f t="shared" si="325"/>
        <v>0</v>
      </c>
      <c r="X215" s="18">
        <f t="shared" si="325"/>
        <v>0</v>
      </c>
      <c r="Y215" s="18">
        <f t="shared" si="325"/>
        <v>0</v>
      </c>
      <c r="Z215" s="18">
        <f t="shared" si="325"/>
        <v>0</v>
      </c>
      <c r="AA215" s="18">
        <f t="shared" si="325"/>
        <v>0</v>
      </c>
      <c r="AB215" s="18">
        <f t="shared" si="325"/>
        <v>0</v>
      </c>
      <c r="AC215" s="18">
        <f t="shared" si="325"/>
        <v>0</v>
      </c>
      <c r="AD215" s="18">
        <f t="shared" si="325"/>
        <v>0</v>
      </c>
      <c r="AE215" s="18">
        <f t="shared" si="325"/>
        <v>0</v>
      </c>
      <c r="AF215" s="18">
        <f t="shared" si="325"/>
        <v>0</v>
      </c>
      <c r="AG215" s="18">
        <f t="shared" si="325"/>
        <v>0</v>
      </c>
      <c r="AH215" s="18">
        <f t="shared" si="325"/>
        <v>0</v>
      </c>
      <c r="AI215" s="18">
        <f t="shared" si="325"/>
        <v>0</v>
      </c>
      <c r="AJ215" s="18">
        <f t="shared" si="325"/>
        <v>0</v>
      </c>
      <c r="AK215" s="18">
        <f t="shared" si="325"/>
        <v>0</v>
      </c>
      <c r="AL215" s="18">
        <f t="shared" si="325"/>
        <v>0</v>
      </c>
      <c r="AM215" s="18">
        <f t="shared" si="325"/>
        <v>0</v>
      </c>
      <c r="AN215" s="18">
        <f t="shared" si="325"/>
        <v>0</v>
      </c>
      <c r="AO215" s="18">
        <f t="shared" si="325"/>
        <v>0</v>
      </c>
      <c r="AP215" s="18">
        <f t="shared" si="325"/>
        <v>0</v>
      </c>
      <c r="AQ215" s="18">
        <f t="shared" si="325"/>
        <v>0</v>
      </c>
      <c r="AR215" s="18">
        <f t="shared" si="325"/>
        <v>0</v>
      </c>
      <c r="AS215" s="18">
        <f t="shared" si="325"/>
        <v>0</v>
      </c>
      <c r="AT215" s="18">
        <f t="shared" si="325"/>
        <v>0</v>
      </c>
      <c r="AU215" s="18">
        <f t="shared" si="325"/>
        <v>0</v>
      </c>
      <c r="AV215" s="18">
        <f t="shared" si="325"/>
        <v>0</v>
      </c>
      <c r="AW215" s="18">
        <f t="shared" si="325"/>
        <v>0</v>
      </c>
      <c r="AX215" s="18">
        <f t="shared" si="325"/>
        <v>0</v>
      </c>
      <c r="AY215" s="18">
        <f t="shared" si="325"/>
        <v>0</v>
      </c>
      <c r="AZ215" s="18">
        <f t="shared" si="325"/>
        <v>0</v>
      </c>
      <c r="BA215" s="18">
        <f t="shared" si="325"/>
        <v>0</v>
      </c>
      <c r="BB215" s="18">
        <f t="shared" si="325"/>
        <v>0</v>
      </c>
      <c r="BC215" s="18">
        <f t="shared" si="325"/>
        <v>0</v>
      </c>
      <c r="BD215" s="18">
        <f t="shared" si="325"/>
        <v>0</v>
      </c>
      <c r="BE215" s="18">
        <f t="shared" si="325"/>
        <v>0</v>
      </c>
      <c r="BF215" s="18">
        <f t="shared" si="325"/>
        <v>0</v>
      </c>
      <c r="BG215" s="18">
        <f t="shared" si="325"/>
        <v>0</v>
      </c>
      <c r="BH215" s="18">
        <f t="shared" si="325"/>
        <v>0</v>
      </c>
      <c r="BI215" s="18">
        <f t="shared" si="325"/>
        <v>0</v>
      </c>
      <c r="BJ215" s="18">
        <f t="shared" si="325"/>
        <v>0</v>
      </c>
      <c r="BK215" s="18">
        <f t="shared" si="325"/>
        <v>0</v>
      </c>
      <c r="BL215" s="18">
        <f t="shared" si="325"/>
        <v>0</v>
      </c>
      <c r="BM215" s="18">
        <f t="shared" si="325"/>
        <v>0</v>
      </c>
      <c r="BN215" s="18">
        <f t="shared" ref="BN215:CB215" si="326">BN31*BN87</f>
        <v>0</v>
      </c>
      <c r="BO215" s="18">
        <f t="shared" si="326"/>
        <v>0</v>
      </c>
      <c r="BP215" s="18">
        <f t="shared" si="326"/>
        <v>0</v>
      </c>
      <c r="BQ215" s="18">
        <f t="shared" si="326"/>
        <v>0</v>
      </c>
      <c r="BR215" s="18">
        <f t="shared" si="326"/>
        <v>0</v>
      </c>
      <c r="BS215" s="18">
        <f t="shared" si="326"/>
        <v>0</v>
      </c>
      <c r="BT215" s="18">
        <f t="shared" si="326"/>
        <v>0</v>
      </c>
      <c r="BU215" s="18">
        <f t="shared" si="326"/>
        <v>0</v>
      </c>
      <c r="BV215" s="18">
        <f t="shared" si="326"/>
        <v>0</v>
      </c>
      <c r="BW215" s="18">
        <f t="shared" si="326"/>
        <v>0</v>
      </c>
      <c r="BX215" s="18">
        <f t="shared" si="326"/>
        <v>0</v>
      </c>
      <c r="BY215" s="18">
        <f t="shared" si="326"/>
        <v>0</v>
      </c>
      <c r="BZ215" s="18">
        <f t="shared" si="326"/>
        <v>0</v>
      </c>
      <c r="CA215" s="18">
        <f t="shared" si="326"/>
        <v>0</v>
      </c>
      <c r="CB215" s="18">
        <f t="shared" si="326"/>
        <v>0</v>
      </c>
      <c r="CC215" s="17"/>
      <c r="CD215" s="17"/>
      <c r="CE215" s="17"/>
    </row>
    <row r="216" spans="1:134">
      <c r="A216" s="18" t="str">
        <f>A33</f>
        <v>Bond 2</v>
      </c>
      <c r="B216" s="18">
        <f t="shared" ref="B216:BM216" si="327">B33*B92</f>
        <v>100.16813075806617</v>
      </c>
      <c r="C216" s="18">
        <f t="shared" si="327"/>
        <v>0</v>
      </c>
      <c r="D216" s="18">
        <f t="shared" si="327"/>
        <v>0</v>
      </c>
      <c r="E216" s="18">
        <f t="shared" si="327"/>
        <v>0</v>
      </c>
      <c r="F216" s="18">
        <f t="shared" si="327"/>
        <v>0</v>
      </c>
      <c r="G216" s="18">
        <f t="shared" si="327"/>
        <v>0</v>
      </c>
      <c r="H216" s="18">
        <f t="shared" si="327"/>
        <v>0</v>
      </c>
      <c r="I216" s="18">
        <f t="shared" si="327"/>
        <v>0</v>
      </c>
      <c r="J216" s="18">
        <f t="shared" si="327"/>
        <v>0</v>
      </c>
      <c r="K216" s="18">
        <f t="shared" si="327"/>
        <v>0</v>
      </c>
      <c r="L216" s="18">
        <f t="shared" si="327"/>
        <v>0</v>
      </c>
      <c r="M216" s="18">
        <f t="shared" si="327"/>
        <v>0</v>
      </c>
      <c r="N216" s="18">
        <f t="shared" si="327"/>
        <v>0</v>
      </c>
      <c r="O216" s="18">
        <f t="shared" si="327"/>
        <v>0</v>
      </c>
      <c r="P216" s="18">
        <f t="shared" si="327"/>
        <v>0</v>
      </c>
      <c r="Q216" s="18">
        <f t="shared" si="327"/>
        <v>0</v>
      </c>
      <c r="R216" s="18">
        <f t="shared" si="327"/>
        <v>0</v>
      </c>
      <c r="S216" s="18">
        <f t="shared" si="327"/>
        <v>0</v>
      </c>
      <c r="T216" s="18">
        <f t="shared" si="327"/>
        <v>0</v>
      </c>
      <c r="U216" s="18">
        <f t="shared" si="327"/>
        <v>0</v>
      </c>
      <c r="V216" s="18">
        <f t="shared" si="327"/>
        <v>0</v>
      </c>
      <c r="W216" s="18">
        <f t="shared" si="327"/>
        <v>0</v>
      </c>
      <c r="X216" s="18">
        <f t="shared" si="327"/>
        <v>0</v>
      </c>
      <c r="Y216" s="18">
        <f t="shared" si="327"/>
        <v>0</v>
      </c>
      <c r="Z216" s="18">
        <f t="shared" si="327"/>
        <v>0</v>
      </c>
      <c r="AA216" s="18">
        <f t="shared" si="327"/>
        <v>0</v>
      </c>
      <c r="AB216" s="18">
        <f t="shared" si="327"/>
        <v>0</v>
      </c>
      <c r="AC216" s="18">
        <f t="shared" si="327"/>
        <v>0</v>
      </c>
      <c r="AD216" s="18">
        <f t="shared" si="327"/>
        <v>0</v>
      </c>
      <c r="AE216" s="18">
        <f t="shared" si="327"/>
        <v>0</v>
      </c>
      <c r="AF216" s="18">
        <f t="shared" si="327"/>
        <v>0</v>
      </c>
      <c r="AG216" s="18">
        <f t="shared" si="327"/>
        <v>0</v>
      </c>
      <c r="AH216" s="18">
        <f t="shared" si="327"/>
        <v>0</v>
      </c>
      <c r="AI216" s="18">
        <f t="shared" si="327"/>
        <v>0</v>
      </c>
      <c r="AJ216" s="18">
        <f t="shared" si="327"/>
        <v>0</v>
      </c>
      <c r="AK216" s="18">
        <f t="shared" si="327"/>
        <v>0</v>
      </c>
      <c r="AL216" s="18">
        <f t="shared" si="327"/>
        <v>0</v>
      </c>
      <c r="AM216" s="18">
        <f t="shared" si="327"/>
        <v>0</v>
      </c>
      <c r="AN216" s="18">
        <f t="shared" si="327"/>
        <v>0</v>
      </c>
      <c r="AO216" s="18">
        <f t="shared" si="327"/>
        <v>0</v>
      </c>
      <c r="AP216" s="18">
        <f t="shared" si="327"/>
        <v>0</v>
      </c>
      <c r="AQ216" s="18">
        <f t="shared" si="327"/>
        <v>0</v>
      </c>
      <c r="AR216" s="18">
        <f t="shared" si="327"/>
        <v>0</v>
      </c>
      <c r="AS216" s="18">
        <f t="shared" si="327"/>
        <v>0</v>
      </c>
      <c r="AT216" s="18">
        <f t="shared" si="327"/>
        <v>0</v>
      </c>
      <c r="AU216" s="18">
        <f t="shared" si="327"/>
        <v>0</v>
      </c>
      <c r="AV216" s="18">
        <f t="shared" si="327"/>
        <v>0</v>
      </c>
      <c r="AW216" s="18">
        <f t="shared" si="327"/>
        <v>0</v>
      </c>
      <c r="AX216" s="18">
        <f t="shared" si="327"/>
        <v>0</v>
      </c>
      <c r="AY216" s="18">
        <f t="shared" si="327"/>
        <v>0</v>
      </c>
      <c r="AZ216" s="18">
        <f t="shared" si="327"/>
        <v>0</v>
      </c>
      <c r="BA216" s="18">
        <f t="shared" si="327"/>
        <v>0</v>
      </c>
      <c r="BB216" s="18">
        <f t="shared" si="327"/>
        <v>0</v>
      </c>
      <c r="BC216" s="18">
        <f t="shared" si="327"/>
        <v>0</v>
      </c>
      <c r="BD216" s="18">
        <f t="shared" si="327"/>
        <v>0</v>
      </c>
      <c r="BE216" s="18">
        <f t="shared" si="327"/>
        <v>0</v>
      </c>
      <c r="BF216" s="18">
        <f t="shared" si="327"/>
        <v>0</v>
      </c>
      <c r="BG216" s="18">
        <f t="shared" si="327"/>
        <v>0</v>
      </c>
      <c r="BH216" s="18">
        <f t="shared" si="327"/>
        <v>0</v>
      </c>
      <c r="BI216" s="18">
        <f t="shared" si="327"/>
        <v>0</v>
      </c>
      <c r="BJ216" s="18">
        <f t="shared" si="327"/>
        <v>0</v>
      </c>
      <c r="BK216" s="18">
        <f t="shared" si="327"/>
        <v>0</v>
      </c>
      <c r="BL216" s="18">
        <f t="shared" si="327"/>
        <v>0</v>
      </c>
      <c r="BM216" s="18">
        <f t="shared" si="327"/>
        <v>0</v>
      </c>
      <c r="BN216" s="18">
        <f t="shared" ref="BN216:CB216" si="328">BN33*BN92</f>
        <v>0</v>
      </c>
      <c r="BO216" s="18">
        <f t="shared" si="328"/>
        <v>0</v>
      </c>
      <c r="BP216" s="18">
        <f t="shared" si="328"/>
        <v>0</v>
      </c>
      <c r="BQ216" s="18">
        <f t="shared" si="328"/>
        <v>0</v>
      </c>
      <c r="BR216" s="18">
        <f t="shared" si="328"/>
        <v>0</v>
      </c>
      <c r="BS216" s="18">
        <f t="shared" si="328"/>
        <v>0</v>
      </c>
      <c r="BT216" s="18">
        <f t="shared" si="328"/>
        <v>0</v>
      </c>
      <c r="BU216" s="18">
        <f t="shared" si="328"/>
        <v>0</v>
      </c>
      <c r="BV216" s="18">
        <f t="shared" si="328"/>
        <v>0</v>
      </c>
      <c r="BW216" s="18">
        <f t="shared" si="328"/>
        <v>0</v>
      </c>
      <c r="BX216" s="18">
        <f t="shared" si="328"/>
        <v>0</v>
      </c>
      <c r="BY216" s="18">
        <f t="shared" si="328"/>
        <v>0</v>
      </c>
      <c r="BZ216" s="18">
        <f t="shared" si="328"/>
        <v>0</v>
      </c>
      <c r="CA216" s="18">
        <f t="shared" si="328"/>
        <v>0</v>
      </c>
      <c r="CB216" s="18">
        <f t="shared" si="328"/>
        <v>0</v>
      </c>
      <c r="CC216" s="17"/>
      <c r="CD216" s="17"/>
      <c r="CE216" s="17"/>
      <c r="CH216" s="11"/>
      <c r="CI216" s="11"/>
      <c r="CJ216" s="11"/>
      <c r="CK216" s="11"/>
      <c r="CL216" s="11"/>
      <c r="CM216" s="11"/>
      <c r="CN216" s="11"/>
      <c r="CO216" s="11"/>
      <c r="CP216" s="11"/>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11"/>
      <c r="DM216" s="11"/>
      <c r="DN216" s="11"/>
      <c r="DO216" s="11"/>
      <c r="DP216" s="11"/>
      <c r="DQ216" s="11"/>
      <c r="DR216" s="11"/>
      <c r="DS216" s="11"/>
      <c r="DT216" s="11"/>
      <c r="DU216" s="11"/>
      <c r="DV216" s="11"/>
      <c r="DW216" s="11"/>
      <c r="DX216" s="11"/>
      <c r="DY216" s="11"/>
      <c r="DZ216" s="11"/>
      <c r="EA216" s="11"/>
      <c r="EB216" s="11"/>
      <c r="EC216" s="11"/>
      <c r="ED216" s="11"/>
    </row>
    <row r="217" spans="1:134">
      <c r="A217" s="18" t="str">
        <f>A35</f>
        <v>Bond 3</v>
      </c>
      <c r="B217" s="18">
        <f t="shared" ref="B217:BM217" si="329">B35*B97</f>
        <v>100.26304470940242</v>
      </c>
      <c r="C217" s="18">
        <f t="shared" si="329"/>
        <v>0</v>
      </c>
      <c r="D217" s="18">
        <f t="shared" si="329"/>
        <v>0</v>
      </c>
      <c r="E217" s="18">
        <f t="shared" si="329"/>
        <v>0</v>
      </c>
      <c r="F217" s="18">
        <f t="shared" si="329"/>
        <v>0</v>
      </c>
      <c r="G217" s="18">
        <f t="shared" si="329"/>
        <v>0</v>
      </c>
      <c r="H217" s="18">
        <f t="shared" si="329"/>
        <v>0</v>
      </c>
      <c r="I217" s="18">
        <f t="shared" si="329"/>
        <v>0</v>
      </c>
      <c r="J217" s="18">
        <f t="shared" si="329"/>
        <v>0</v>
      </c>
      <c r="K217" s="18">
        <f t="shared" si="329"/>
        <v>0</v>
      </c>
      <c r="L217" s="18">
        <f t="shared" si="329"/>
        <v>0</v>
      </c>
      <c r="M217" s="18">
        <f t="shared" si="329"/>
        <v>0</v>
      </c>
      <c r="N217" s="18">
        <f t="shared" si="329"/>
        <v>0</v>
      </c>
      <c r="O217" s="18">
        <f t="shared" si="329"/>
        <v>0</v>
      </c>
      <c r="P217" s="18">
        <f t="shared" si="329"/>
        <v>0</v>
      </c>
      <c r="Q217" s="18">
        <f t="shared" si="329"/>
        <v>0</v>
      </c>
      <c r="R217" s="18">
        <f t="shared" si="329"/>
        <v>0</v>
      </c>
      <c r="S217" s="18">
        <f t="shared" si="329"/>
        <v>0</v>
      </c>
      <c r="T217" s="18">
        <f t="shared" si="329"/>
        <v>0</v>
      </c>
      <c r="U217" s="18">
        <f t="shared" si="329"/>
        <v>0</v>
      </c>
      <c r="V217" s="18">
        <f t="shared" si="329"/>
        <v>0</v>
      </c>
      <c r="W217" s="18">
        <f t="shared" si="329"/>
        <v>0</v>
      </c>
      <c r="X217" s="18">
        <f t="shared" si="329"/>
        <v>0</v>
      </c>
      <c r="Y217" s="18">
        <f t="shared" si="329"/>
        <v>0</v>
      </c>
      <c r="Z217" s="18">
        <f t="shared" si="329"/>
        <v>0</v>
      </c>
      <c r="AA217" s="18">
        <f t="shared" si="329"/>
        <v>0</v>
      </c>
      <c r="AB217" s="18">
        <f t="shared" si="329"/>
        <v>0</v>
      </c>
      <c r="AC217" s="18">
        <f t="shared" si="329"/>
        <v>0</v>
      </c>
      <c r="AD217" s="18">
        <f t="shared" si="329"/>
        <v>0</v>
      </c>
      <c r="AE217" s="18">
        <f t="shared" si="329"/>
        <v>0</v>
      </c>
      <c r="AF217" s="18">
        <f t="shared" si="329"/>
        <v>0</v>
      </c>
      <c r="AG217" s="18">
        <f t="shared" si="329"/>
        <v>0</v>
      </c>
      <c r="AH217" s="18">
        <f t="shared" si="329"/>
        <v>0</v>
      </c>
      <c r="AI217" s="18">
        <f t="shared" si="329"/>
        <v>0</v>
      </c>
      <c r="AJ217" s="18">
        <f t="shared" si="329"/>
        <v>0</v>
      </c>
      <c r="AK217" s="18">
        <f t="shared" si="329"/>
        <v>0</v>
      </c>
      <c r="AL217" s="18">
        <f t="shared" si="329"/>
        <v>0</v>
      </c>
      <c r="AM217" s="18">
        <f t="shared" si="329"/>
        <v>0</v>
      </c>
      <c r="AN217" s="18">
        <f t="shared" si="329"/>
        <v>0</v>
      </c>
      <c r="AO217" s="18">
        <f t="shared" si="329"/>
        <v>0</v>
      </c>
      <c r="AP217" s="18">
        <f t="shared" si="329"/>
        <v>0</v>
      </c>
      <c r="AQ217" s="18">
        <f t="shared" si="329"/>
        <v>0</v>
      </c>
      <c r="AR217" s="18">
        <f t="shared" si="329"/>
        <v>0</v>
      </c>
      <c r="AS217" s="18">
        <f t="shared" si="329"/>
        <v>0</v>
      </c>
      <c r="AT217" s="18">
        <f t="shared" si="329"/>
        <v>0</v>
      </c>
      <c r="AU217" s="18">
        <f t="shared" si="329"/>
        <v>0</v>
      </c>
      <c r="AV217" s="18">
        <f t="shared" si="329"/>
        <v>0</v>
      </c>
      <c r="AW217" s="18">
        <f t="shared" si="329"/>
        <v>0</v>
      </c>
      <c r="AX217" s="18">
        <f t="shared" si="329"/>
        <v>0</v>
      </c>
      <c r="AY217" s="18">
        <f t="shared" si="329"/>
        <v>0</v>
      </c>
      <c r="AZ217" s="18">
        <f t="shared" si="329"/>
        <v>0</v>
      </c>
      <c r="BA217" s="18">
        <f t="shared" si="329"/>
        <v>0</v>
      </c>
      <c r="BB217" s="18">
        <f t="shared" si="329"/>
        <v>0</v>
      </c>
      <c r="BC217" s="18">
        <f t="shared" si="329"/>
        <v>0</v>
      </c>
      <c r="BD217" s="18">
        <f t="shared" si="329"/>
        <v>0</v>
      </c>
      <c r="BE217" s="18">
        <f t="shared" si="329"/>
        <v>0</v>
      </c>
      <c r="BF217" s="18">
        <f t="shared" si="329"/>
        <v>0</v>
      </c>
      <c r="BG217" s="18">
        <f t="shared" si="329"/>
        <v>0</v>
      </c>
      <c r="BH217" s="18">
        <f t="shared" si="329"/>
        <v>0</v>
      </c>
      <c r="BI217" s="18">
        <f t="shared" si="329"/>
        <v>0</v>
      </c>
      <c r="BJ217" s="18">
        <f t="shared" si="329"/>
        <v>0</v>
      </c>
      <c r="BK217" s="18">
        <f t="shared" si="329"/>
        <v>0</v>
      </c>
      <c r="BL217" s="18">
        <f t="shared" si="329"/>
        <v>0</v>
      </c>
      <c r="BM217" s="18">
        <f t="shared" si="329"/>
        <v>0</v>
      </c>
      <c r="BN217" s="18">
        <f t="shared" ref="BN217:CB217" si="330">BN35*BN97</f>
        <v>0</v>
      </c>
      <c r="BO217" s="18">
        <f t="shared" si="330"/>
        <v>0</v>
      </c>
      <c r="BP217" s="18">
        <f t="shared" si="330"/>
        <v>0</v>
      </c>
      <c r="BQ217" s="18">
        <f t="shared" si="330"/>
        <v>0</v>
      </c>
      <c r="BR217" s="18">
        <f t="shared" si="330"/>
        <v>0</v>
      </c>
      <c r="BS217" s="18">
        <f t="shared" si="330"/>
        <v>0</v>
      </c>
      <c r="BT217" s="18">
        <f t="shared" si="330"/>
        <v>0</v>
      </c>
      <c r="BU217" s="18">
        <f t="shared" si="330"/>
        <v>0</v>
      </c>
      <c r="BV217" s="18">
        <f t="shared" si="330"/>
        <v>0</v>
      </c>
      <c r="BW217" s="18">
        <f t="shared" si="330"/>
        <v>0</v>
      </c>
      <c r="BX217" s="18">
        <f t="shared" si="330"/>
        <v>0</v>
      </c>
      <c r="BY217" s="18">
        <f t="shared" si="330"/>
        <v>0</v>
      </c>
      <c r="BZ217" s="18">
        <f t="shared" si="330"/>
        <v>0</v>
      </c>
      <c r="CA217" s="18">
        <f t="shared" si="330"/>
        <v>0</v>
      </c>
      <c r="CB217" s="18">
        <f t="shared" si="330"/>
        <v>0</v>
      </c>
      <c r="CC217" s="17"/>
      <c r="CD217" s="17"/>
      <c r="CE217" s="17"/>
      <c r="CH217" s="11"/>
      <c r="CI217" s="11"/>
      <c r="CJ217" s="11"/>
      <c r="CK217" s="11"/>
      <c r="CL217" s="11"/>
      <c r="CM217" s="11"/>
      <c r="CN217" s="11"/>
      <c r="CO217" s="11"/>
      <c r="CP217" s="11"/>
      <c r="CQ217" s="11"/>
      <c r="CR217" s="11"/>
      <c r="CS217" s="11"/>
      <c r="CT217" s="11"/>
      <c r="CU217" s="11"/>
      <c r="CV217" s="11"/>
      <c r="CW217" s="11"/>
      <c r="CX217" s="11"/>
      <c r="CY217" s="11"/>
      <c r="CZ217" s="11"/>
      <c r="DA217" s="11"/>
      <c r="DB217" s="11"/>
      <c r="DC217" s="11"/>
      <c r="DD217" s="11"/>
      <c r="DE217" s="11"/>
      <c r="DF217" s="11"/>
      <c r="DG217" s="11"/>
      <c r="DH217" s="11"/>
      <c r="DI217" s="11"/>
      <c r="DJ217" s="11"/>
      <c r="DK217" s="11"/>
      <c r="DL217" s="11"/>
      <c r="DM217" s="11"/>
      <c r="DN217" s="11"/>
      <c r="DO217" s="11"/>
      <c r="DP217" s="11"/>
      <c r="DQ217" s="11"/>
      <c r="DR217" s="11"/>
      <c r="DS217" s="11"/>
      <c r="DT217" s="11"/>
      <c r="DU217" s="11"/>
      <c r="DV217" s="11"/>
      <c r="DW217" s="11"/>
      <c r="DX217" s="11"/>
      <c r="DY217" s="11"/>
      <c r="DZ217" s="11"/>
      <c r="EA217" s="11"/>
      <c r="EB217" s="11"/>
      <c r="EC217" s="11"/>
      <c r="ED217" s="11"/>
    </row>
    <row r="218" spans="1:134">
      <c r="A218" s="18" t="str">
        <f>A37</f>
        <v>Bond 4</v>
      </c>
      <c r="B218" s="18">
        <f t="shared" ref="B218:BM218" si="331">B37*B102</f>
        <v>100.70240585987497</v>
      </c>
      <c r="C218" s="18">
        <f t="shared" si="331"/>
        <v>0</v>
      </c>
      <c r="D218" s="18">
        <f t="shared" si="331"/>
        <v>0</v>
      </c>
      <c r="E218" s="18">
        <f t="shared" si="331"/>
        <v>0</v>
      </c>
      <c r="F218" s="18">
        <f t="shared" si="331"/>
        <v>0</v>
      </c>
      <c r="G218" s="18">
        <f t="shared" si="331"/>
        <v>0</v>
      </c>
      <c r="H218" s="18">
        <f t="shared" si="331"/>
        <v>0</v>
      </c>
      <c r="I218" s="18">
        <f t="shared" si="331"/>
        <v>0</v>
      </c>
      <c r="J218" s="18">
        <f t="shared" si="331"/>
        <v>0</v>
      </c>
      <c r="K218" s="18">
        <f t="shared" si="331"/>
        <v>0</v>
      </c>
      <c r="L218" s="18">
        <f t="shared" si="331"/>
        <v>0</v>
      </c>
      <c r="M218" s="18">
        <f t="shared" si="331"/>
        <v>0</v>
      </c>
      <c r="N218" s="18">
        <f t="shared" si="331"/>
        <v>0</v>
      </c>
      <c r="O218" s="18">
        <f t="shared" si="331"/>
        <v>0</v>
      </c>
      <c r="P218" s="18">
        <f t="shared" si="331"/>
        <v>0</v>
      </c>
      <c r="Q218" s="18">
        <f t="shared" si="331"/>
        <v>0</v>
      </c>
      <c r="R218" s="18">
        <f t="shared" si="331"/>
        <v>0</v>
      </c>
      <c r="S218" s="18">
        <f t="shared" si="331"/>
        <v>0</v>
      </c>
      <c r="T218" s="18">
        <f t="shared" si="331"/>
        <v>0</v>
      </c>
      <c r="U218" s="18">
        <f t="shared" si="331"/>
        <v>0</v>
      </c>
      <c r="V218" s="18">
        <f t="shared" si="331"/>
        <v>0</v>
      </c>
      <c r="W218" s="18">
        <f t="shared" si="331"/>
        <v>0</v>
      </c>
      <c r="X218" s="18">
        <f t="shared" si="331"/>
        <v>0</v>
      </c>
      <c r="Y218" s="18">
        <f t="shared" si="331"/>
        <v>0</v>
      </c>
      <c r="Z218" s="18">
        <f t="shared" si="331"/>
        <v>0</v>
      </c>
      <c r="AA218" s="18">
        <f t="shared" si="331"/>
        <v>0</v>
      </c>
      <c r="AB218" s="18">
        <f t="shared" si="331"/>
        <v>0</v>
      </c>
      <c r="AC218" s="18">
        <f t="shared" si="331"/>
        <v>0</v>
      </c>
      <c r="AD218" s="18">
        <f t="shared" si="331"/>
        <v>0</v>
      </c>
      <c r="AE218" s="18">
        <f t="shared" si="331"/>
        <v>0</v>
      </c>
      <c r="AF218" s="18">
        <f t="shared" si="331"/>
        <v>0</v>
      </c>
      <c r="AG218" s="18">
        <f t="shared" si="331"/>
        <v>0</v>
      </c>
      <c r="AH218" s="18">
        <f t="shared" si="331"/>
        <v>0</v>
      </c>
      <c r="AI218" s="18">
        <f t="shared" si="331"/>
        <v>0</v>
      </c>
      <c r="AJ218" s="18">
        <f t="shared" si="331"/>
        <v>0</v>
      </c>
      <c r="AK218" s="18">
        <f t="shared" si="331"/>
        <v>0</v>
      </c>
      <c r="AL218" s="18">
        <f t="shared" si="331"/>
        <v>0</v>
      </c>
      <c r="AM218" s="18">
        <f t="shared" si="331"/>
        <v>0</v>
      </c>
      <c r="AN218" s="18">
        <f t="shared" si="331"/>
        <v>0</v>
      </c>
      <c r="AO218" s="18">
        <f t="shared" si="331"/>
        <v>0</v>
      </c>
      <c r="AP218" s="18">
        <f t="shared" si="331"/>
        <v>0</v>
      </c>
      <c r="AQ218" s="18">
        <f t="shared" si="331"/>
        <v>0</v>
      </c>
      <c r="AR218" s="18">
        <f t="shared" si="331"/>
        <v>0</v>
      </c>
      <c r="AS218" s="18">
        <f t="shared" si="331"/>
        <v>0</v>
      </c>
      <c r="AT218" s="18">
        <f t="shared" si="331"/>
        <v>0</v>
      </c>
      <c r="AU218" s="18">
        <f t="shared" si="331"/>
        <v>0</v>
      </c>
      <c r="AV218" s="18">
        <f t="shared" si="331"/>
        <v>0</v>
      </c>
      <c r="AW218" s="18">
        <f t="shared" si="331"/>
        <v>0</v>
      </c>
      <c r="AX218" s="18">
        <f t="shared" si="331"/>
        <v>0</v>
      </c>
      <c r="AY218" s="18">
        <f t="shared" si="331"/>
        <v>0</v>
      </c>
      <c r="AZ218" s="18">
        <f t="shared" si="331"/>
        <v>0</v>
      </c>
      <c r="BA218" s="18">
        <f t="shared" si="331"/>
        <v>0</v>
      </c>
      <c r="BB218" s="18">
        <f t="shared" si="331"/>
        <v>0</v>
      </c>
      <c r="BC218" s="18">
        <f t="shared" si="331"/>
        <v>0</v>
      </c>
      <c r="BD218" s="18">
        <f t="shared" si="331"/>
        <v>0</v>
      </c>
      <c r="BE218" s="18">
        <f t="shared" si="331"/>
        <v>0</v>
      </c>
      <c r="BF218" s="18">
        <f t="shared" si="331"/>
        <v>0</v>
      </c>
      <c r="BG218" s="18">
        <f t="shared" si="331"/>
        <v>0</v>
      </c>
      <c r="BH218" s="18">
        <f t="shared" si="331"/>
        <v>0</v>
      </c>
      <c r="BI218" s="18">
        <f t="shared" si="331"/>
        <v>0</v>
      </c>
      <c r="BJ218" s="18">
        <f t="shared" si="331"/>
        <v>0</v>
      </c>
      <c r="BK218" s="18">
        <f t="shared" si="331"/>
        <v>0</v>
      </c>
      <c r="BL218" s="18">
        <f t="shared" si="331"/>
        <v>0</v>
      </c>
      <c r="BM218" s="18">
        <f t="shared" si="331"/>
        <v>0</v>
      </c>
      <c r="BN218" s="18">
        <f t="shared" ref="BN218:CB218" si="332">BN37*BN102</f>
        <v>0</v>
      </c>
      <c r="BO218" s="18">
        <f t="shared" si="332"/>
        <v>0</v>
      </c>
      <c r="BP218" s="18">
        <f t="shared" si="332"/>
        <v>0</v>
      </c>
      <c r="BQ218" s="18">
        <f t="shared" si="332"/>
        <v>0</v>
      </c>
      <c r="BR218" s="18">
        <f t="shared" si="332"/>
        <v>0</v>
      </c>
      <c r="BS218" s="18">
        <f t="shared" si="332"/>
        <v>0</v>
      </c>
      <c r="BT218" s="18">
        <f t="shared" si="332"/>
        <v>0</v>
      </c>
      <c r="BU218" s="18">
        <f t="shared" si="332"/>
        <v>0</v>
      </c>
      <c r="BV218" s="18">
        <f t="shared" si="332"/>
        <v>0</v>
      </c>
      <c r="BW218" s="18">
        <f t="shared" si="332"/>
        <v>0</v>
      </c>
      <c r="BX218" s="18">
        <f t="shared" si="332"/>
        <v>0</v>
      </c>
      <c r="BY218" s="18">
        <f t="shared" si="332"/>
        <v>0</v>
      </c>
      <c r="BZ218" s="18">
        <f t="shared" si="332"/>
        <v>0</v>
      </c>
      <c r="CA218" s="18">
        <f t="shared" si="332"/>
        <v>0</v>
      </c>
      <c r="CB218" s="18">
        <f t="shared" si="332"/>
        <v>0</v>
      </c>
      <c r="CC218" s="17"/>
      <c r="CD218" s="17"/>
      <c r="CE218" s="17"/>
      <c r="CH218" s="5"/>
      <c r="CI218" s="11"/>
      <c r="CJ218" s="11"/>
      <c r="CK218" s="11"/>
      <c r="CL218" s="11"/>
      <c r="CM218" s="11"/>
      <c r="CN218" s="11"/>
      <c r="CO218" s="11"/>
      <c r="CP218" s="11"/>
      <c r="CQ218" s="11"/>
      <c r="CR218" s="11"/>
      <c r="CS218" s="11"/>
      <c r="CT218" s="11"/>
      <c r="CU218" s="11"/>
      <c r="CV218" s="11"/>
      <c r="CW218" s="11"/>
      <c r="CX218" s="11"/>
      <c r="CY218" s="11"/>
      <c r="CZ218" s="11"/>
      <c r="DA218" s="11"/>
      <c r="DB218" s="11"/>
      <c r="DC218" s="11"/>
      <c r="DD218" s="11"/>
      <c r="DE218" s="11"/>
      <c r="DF218" s="11"/>
      <c r="DG218" s="11"/>
      <c r="DH218" s="11"/>
      <c r="DI218" s="11"/>
      <c r="DJ218" s="11"/>
      <c r="DK218" s="11"/>
      <c r="DL218" s="11"/>
      <c r="DM218" s="11"/>
      <c r="DN218" s="11"/>
      <c r="DO218" s="11"/>
      <c r="DP218" s="11"/>
      <c r="DQ218" s="11"/>
      <c r="DR218" s="11"/>
      <c r="DS218" s="11"/>
      <c r="DT218" s="11"/>
      <c r="DU218" s="11"/>
      <c r="DV218" s="11"/>
      <c r="DW218" s="11"/>
      <c r="DX218" s="11"/>
      <c r="DY218" s="11"/>
      <c r="DZ218" s="11"/>
      <c r="EA218" s="11"/>
      <c r="EB218" s="11"/>
      <c r="EC218" s="11"/>
      <c r="ED218" s="11"/>
    </row>
    <row r="219" spans="1:134">
      <c r="A219" s="18" t="str">
        <f>A39</f>
        <v>Bond 5</v>
      </c>
      <c r="B219" s="18">
        <f t="shared" ref="B219:BM219" si="333">B39*B107</f>
        <v>101.50233267533997</v>
      </c>
      <c r="C219" s="18">
        <f t="shared" si="333"/>
        <v>0</v>
      </c>
      <c r="D219" s="18">
        <f t="shared" si="333"/>
        <v>0</v>
      </c>
      <c r="E219" s="18">
        <f t="shared" si="333"/>
        <v>0</v>
      </c>
      <c r="F219" s="18">
        <f t="shared" si="333"/>
        <v>0</v>
      </c>
      <c r="G219" s="18">
        <f t="shared" si="333"/>
        <v>0</v>
      </c>
      <c r="H219" s="18">
        <f t="shared" si="333"/>
        <v>0</v>
      </c>
      <c r="I219" s="18">
        <f t="shared" si="333"/>
        <v>0</v>
      </c>
      <c r="J219" s="18">
        <f t="shared" si="333"/>
        <v>0</v>
      </c>
      <c r="K219" s="18">
        <f t="shared" si="333"/>
        <v>0</v>
      </c>
      <c r="L219" s="18">
        <f t="shared" si="333"/>
        <v>0</v>
      </c>
      <c r="M219" s="18">
        <f t="shared" si="333"/>
        <v>0</v>
      </c>
      <c r="N219" s="18">
        <f t="shared" si="333"/>
        <v>0</v>
      </c>
      <c r="O219" s="18">
        <f t="shared" si="333"/>
        <v>0</v>
      </c>
      <c r="P219" s="18">
        <f t="shared" si="333"/>
        <v>0</v>
      </c>
      <c r="Q219" s="18">
        <f t="shared" si="333"/>
        <v>0</v>
      </c>
      <c r="R219" s="18">
        <f t="shared" si="333"/>
        <v>0</v>
      </c>
      <c r="S219" s="18">
        <f t="shared" si="333"/>
        <v>0</v>
      </c>
      <c r="T219" s="18">
        <f t="shared" si="333"/>
        <v>0</v>
      </c>
      <c r="U219" s="18">
        <f t="shared" si="333"/>
        <v>0</v>
      </c>
      <c r="V219" s="18">
        <f t="shared" si="333"/>
        <v>0</v>
      </c>
      <c r="W219" s="18">
        <f t="shared" si="333"/>
        <v>0</v>
      </c>
      <c r="X219" s="18">
        <f t="shared" si="333"/>
        <v>0</v>
      </c>
      <c r="Y219" s="18">
        <f t="shared" si="333"/>
        <v>0</v>
      </c>
      <c r="Z219" s="18">
        <f t="shared" si="333"/>
        <v>0</v>
      </c>
      <c r="AA219" s="18">
        <f t="shared" si="333"/>
        <v>0</v>
      </c>
      <c r="AB219" s="18">
        <f t="shared" si="333"/>
        <v>0</v>
      </c>
      <c r="AC219" s="18">
        <f t="shared" si="333"/>
        <v>0</v>
      </c>
      <c r="AD219" s="18">
        <f t="shared" si="333"/>
        <v>0</v>
      </c>
      <c r="AE219" s="18">
        <f t="shared" si="333"/>
        <v>0</v>
      </c>
      <c r="AF219" s="18">
        <f t="shared" si="333"/>
        <v>0</v>
      </c>
      <c r="AG219" s="18">
        <f t="shared" si="333"/>
        <v>0</v>
      </c>
      <c r="AH219" s="18">
        <f t="shared" si="333"/>
        <v>0</v>
      </c>
      <c r="AI219" s="18">
        <f t="shared" si="333"/>
        <v>0</v>
      </c>
      <c r="AJ219" s="18">
        <f t="shared" si="333"/>
        <v>0</v>
      </c>
      <c r="AK219" s="18">
        <f t="shared" si="333"/>
        <v>0</v>
      </c>
      <c r="AL219" s="18">
        <f t="shared" si="333"/>
        <v>0</v>
      </c>
      <c r="AM219" s="18">
        <f t="shared" si="333"/>
        <v>0</v>
      </c>
      <c r="AN219" s="18">
        <f t="shared" si="333"/>
        <v>0</v>
      </c>
      <c r="AO219" s="18">
        <f t="shared" si="333"/>
        <v>0</v>
      </c>
      <c r="AP219" s="18">
        <f t="shared" si="333"/>
        <v>0</v>
      </c>
      <c r="AQ219" s="18">
        <f t="shared" si="333"/>
        <v>0</v>
      </c>
      <c r="AR219" s="18">
        <f t="shared" si="333"/>
        <v>0</v>
      </c>
      <c r="AS219" s="18">
        <f t="shared" si="333"/>
        <v>0</v>
      </c>
      <c r="AT219" s="18">
        <f t="shared" si="333"/>
        <v>0</v>
      </c>
      <c r="AU219" s="18">
        <f t="shared" si="333"/>
        <v>0</v>
      </c>
      <c r="AV219" s="18">
        <f t="shared" si="333"/>
        <v>0</v>
      </c>
      <c r="AW219" s="18">
        <f t="shared" si="333"/>
        <v>0</v>
      </c>
      <c r="AX219" s="18">
        <f t="shared" si="333"/>
        <v>0</v>
      </c>
      <c r="AY219" s="18">
        <f t="shared" si="333"/>
        <v>0</v>
      </c>
      <c r="AZ219" s="18">
        <f t="shared" si="333"/>
        <v>0</v>
      </c>
      <c r="BA219" s="18">
        <f t="shared" si="333"/>
        <v>0</v>
      </c>
      <c r="BB219" s="18">
        <f t="shared" si="333"/>
        <v>0</v>
      </c>
      <c r="BC219" s="18">
        <f t="shared" si="333"/>
        <v>0</v>
      </c>
      <c r="BD219" s="18">
        <f t="shared" si="333"/>
        <v>0</v>
      </c>
      <c r="BE219" s="18">
        <f t="shared" si="333"/>
        <v>0</v>
      </c>
      <c r="BF219" s="18">
        <f t="shared" si="333"/>
        <v>0</v>
      </c>
      <c r="BG219" s="18">
        <f t="shared" si="333"/>
        <v>0</v>
      </c>
      <c r="BH219" s="18">
        <f t="shared" si="333"/>
        <v>0</v>
      </c>
      <c r="BI219" s="18">
        <f t="shared" si="333"/>
        <v>0</v>
      </c>
      <c r="BJ219" s="18">
        <f t="shared" si="333"/>
        <v>0</v>
      </c>
      <c r="BK219" s="18">
        <f t="shared" si="333"/>
        <v>0</v>
      </c>
      <c r="BL219" s="18">
        <f t="shared" si="333"/>
        <v>0</v>
      </c>
      <c r="BM219" s="18">
        <f t="shared" si="333"/>
        <v>0</v>
      </c>
      <c r="BN219" s="18">
        <f t="shared" ref="BN219:CB219" si="334">BN39*BN107</f>
        <v>0</v>
      </c>
      <c r="BO219" s="18">
        <f t="shared" si="334"/>
        <v>0</v>
      </c>
      <c r="BP219" s="18">
        <f t="shared" si="334"/>
        <v>0</v>
      </c>
      <c r="BQ219" s="18">
        <f t="shared" si="334"/>
        <v>0</v>
      </c>
      <c r="BR219" s="18">
        <f t="shared" si="334"/>
        <v>0</v>
      </c>
      <c r="BS219" s="18">
        <f t="shared" si="334"/>
        <v>0</v>
      </c>
      <c r="BT219" s="18">
        <f t="shared" si="334"/>
        <v>0</v>
      </c>
      <c r="BU219" s="18">
        <f t="shared" si="334"/>
        <v>0</v>
      </c>
      <c r="BV219" s="18">
        <f t="shared" si="334"/>
        <v>0</v>
      </c>
      <c r="BW219" s="18">
        <f t="shared" si="334"/>
        <v>0</v>
      </c>
      <c r="BX219" s="18">
        <f t="shared" si="334"/>
        <v>0</v>
      </c>
      <c r="BY219" s="18">
        <f t="shared" si="334"/>
        <v>0</v>
      </c>
      <c r="BZ219" s="18">
        <f t="shared" si="334"/>
        <v>0</v>
      </c>
      <c r="CA219" s="18">
        <f t="shared" si="334"/>
        <v>0</v>
      </c>
      <c r="CB219" s="18">
        <f t="shared" si="334"/>
        <v>0</v>
      </c>
      <c r="CC219" s="17"/>
      <c r="CD219" s="17"/>
      <c r="CE219" s="17"/>
      <c r="CH219" s="11"/>
      <c r="CI219" s="11"/>
      <c r="CJ219" s="11"/>
      <c r="CK219" s="11"/>
      <c r="CL219" s="11"/>
      <c r="CM219" s="11"/>
      <c r="CN219" s="11"/>
      <c r="CO219" s="11"/>
      <c r="CP219" s="11"/>
      <c r="CQ219" s="11"/>
      <c r="CR219" s="11"/>
      <c r="CS219" s="11"/>
      <c r="CT219" s="11"/>
      <c r="CU219" s="11"/>
      <c r="CV219" s="11"/>
      <c r="CW219" s="11"/>
      <c r="CX219" s="11"/>
      <c r="CY219" s="11"/>
      <c r="CZ219" s="11"/>
      <c r="DA219" s="11"/>
      <c r="DB219" s="11"/>
      <c r="DC219" s="11"/>
      <c r="DD219" s="11"/>
      <c r="DE219" s="11"/>
      <c r="DF219" s="11"/>
      <c r="DG219" s="11"/>
      <c r="DH219" s="11"/>
      <c r="DI219" s="11"/>
      <c r="DJ219" s="11"/>
      <c r="DK219" s="11"/>
      <c r="DL219" s="11"/>
      <c r="DM219" s="11"/>
      <c r="DN219" s="11"/>
      <c r="DO219" s="11"/>
      <c r="DP219" s="11"/>
      <c r="DQ219" s="11"/>
      <c r="DR219" s="11"/>
      <c r="DS219" s="11"/>
      <c r="DT219" s="11"/>
      <c r="DU219" s="11"/>
      <c r="DV219" s="11"/>
      <c r="DW219" s="11"/>
      <c r="DX219" s="11"/>
      <c r="DY219" s="11"/>
      <c r="DZ219" s="11"/>
      <c r="EA219" s="11"/>
      <c r="EB219" s="11"/>
      <c r="EC219" s="11"/>
      <c r="ED219" s="11"/>
    </row>
    <row r="220" spans="1:134">
      <c r="A220" s="18" t="str">
        <f>A41</f>
        <v>Bond 6</v>
      </c>
      <c r="B220" s="18">
        <f t="shared" ref="B220:BM220" si="335">B41*B112</f>
        <v>0</v>
      </c>
      <c r="C220" s="18">
        <f t="shared" si="335"/>
        <v>0</v>
      </c>
      <c r="D220" s="18">
        <f t="shared" si="335"/>
        <v>102.15244174238424</v>
      </c>
      <c r="E220" s="18">
        <f t="shared" si="335"/>
        <v>0</v>
      </c>
      <c r="F220" s="18">
        <f t="shared" si="335"/>
        <v>0</v>
      </c>
      <c r="G220" s="18">
        <f t="shared" si="335"/>
        <v>0</v>
      </c>
      <c r="H220" s="18">
        <f t="shared" si="335"/>
        <v>0</v>
      </c>
      <c r="I220" s="18">
        <f t="shared" si="335"/>
        <v>0</v>
      </c>
      <c r="J220" s="18">
        <f t="shared" si="335"/>
        <v>0</v>
      </c>
      <c r="K220" s="18">
        <f t="shared" si="335"/>
        <v>0</v>
      </c>
      <c r="L220" s="18">
        <f t="shared" si="335"/>
        <v>0</v>
      </c>
      <c r="M220" s="18">
        <f t="shared" si="335"/>
        <v>0</v>
      </c>
      <c r="N220" s="18">
        <f t="shared" si="335"/>
        <v>0</v>
      </c>
      <c r="O220" s="18">
        <f t="shared" si="335"/>
        <v>0</v>
      </c>
      <c r="P220" s="18">
        <f t="shared" si="335"/>
        <v>0</v>
      </c>
      <c r="Q220" s="18">
        <f t="shared" si="335"/>
        <v>0</v>
      </c>
      <c r="R220" s="18">
        <f t="shared" si="335"/>
        <v>0</v>
      </c>
      <c r="S220" s="18">
        <f t="shared" si="335"/>
        <v>0</v>
      </c>
      <c r="T220" s="18">
        <f t="shared" si="335"/>
        <v>0</v>
      </c>
      <c r="U220" s="18">
        <f t="shared" si="335"/>
        <v>0</v>
      </c>
      <c r="V220" s="18">
        <f t="shared" si="335"/>
        <v>0</v>
      </c>
      <c r="W220" s="18">
        <f t="shared" si="335"/>
        <v>0</v>
      </c>
      <c r="X220" s="18">
        <f t="shared" si="335"/>
        <v>0</v>
      </c>
      <c r="Y220" s="18">
        <f t="shared" si="335"/>
        <v>0</v>
      </c>
      <c r="Z220" s="18">
        <f t="shared" si="335"/>
        <v>0</v>
      </c>
      <c r="AA220" s="18">
        <f t="shared" si="335"/>
        <v>0</v>
      </c>
      <c r="AB220" s="18">
        <f t="shared" si="335"/>
        <v>0</v>
      </c>
      <c r="AC220" s="18">
        <f t="shared" si="335"/>
        <v>0</v>
      </c>
      <c r="AD220" s="18">
        <f t="shared" si="335"/>
        <v>0</v>
      </c>
      <c r="AE220" s="18">
        <f t="shared" si="335"/>
        <v>0</v>
      </c>
      <c r="AF220" s="18">
        <f t="shared" si="335"/>
        <v>0</v>
      </c>
      <c r="AG220" s="18">
        <f t="shared" si="335"/>
        <v>0</v>
      </c>
      <c r="AH220" s="18">
        <f t="shared" si="335"/>
        <v>0</v>
      </c>
      <c r="AI220" s="18">
        <f t="shared" si="335"/>
        <v>0</v>
      </c>
      <c r="AJ220" s="18">
        <f t="shared" si="335"/>
        <v>0</v>
      </c>
      <c r="AK220" s="18">
        <f t="shared" si="335"/>
        <v>0</v>
      </c>
      <c r="AL220" s="18">
        <f t="shared" si="335"/>
        <v>0</v>
      </c>
      <c r="AM220" s="18">
        <f t="shared" si="335"/>
        <v>0</v>
      </c>
      <c r="AN220" s="18">
        <f t="shared" si="335"/>
        <v>0</v>
      </c>
      <c r="AO220" s="18">
        <f t="shared" si="335"/>
        <v>0</v>
      </c>
      <c r="AP220" s="18">
        <f t="shared" si="335"/>
        <v>0</v>
      </c>
      <c r="AQ220" s="18">
        <f t="shared" si="335"/>
        <v>0</v>
      </c>
      <c r="AR220" s="18">
        <f t="shared" si="335"/>
        <v>0</v>
      </c>
      <c r="AS220" s="18">
        <f t="shared" si="335"/>
        <v>0</v>
      </c>
      <c r="AT220" s="18">
        <f t="shared" si="335"/>
        <v>0</v>
      </c>
      <c r="AU220" s="18">
        <f t="shared" si="335"/>
        <v>0</v>
      </c>
      <c r="AV220" s="18">
        <f t="shared" si="335"/>
        <v>0</v>
      </c>
      <c r="AW220" s="18">
        <f t="shared" si="335"/>
        <v>0</v>
      </c>
      <c r="AX220" s="18">
        <f t="shared" si="335"/>
        <v>0</v>
      </c>
      <c r="AY220" s="18">
        <f t="shared" si="335"/>
        <v>0</v>
      </c>
      <c r="AZ220" s="18">
        <f t="shared" si="335"/>
        <v>0</v>
      </c>
      <c r="BA220" s="18">
        <f t="shared" si="335"/>
        <v>0</v>
      </c>
      <c r="BB220" s="18">
        <f t="shared" si="335"/>
        <v>0</v>
      </c>
      <c r="BC220" s="18">
        <f t="shared" si="335"/>
        <v>0</v>
      </c>
      <c r="BD220" s="18">
        <f t="shared" si="335"/>
        <v>0</v>
      </c>
      <c r="BE220" s="18">
        <f t="shared" si="335"/>
        <v>0</v>
      </c>
      <c r="BF220" s="18">
        <f t="shared" si="335"/>
        <v>0</v>
      </c>
      <c r="BG220" s="18">
        <f t="shared" si="335"/>
        <v>0</v>
      </c>
      <c r="BH220" s="18">
        <f t="shared" si="335"/>
        <v>0</v>
      </c>
      <c r="BI220" s="18">
        <f t="shared" si="335"/>
        <v>0</v>
      </c>
      <c r="BJ220" s="18">
        <f t="shared" si="335"/>
        <v>0</v>
      </c>
      <c r="BK220" s="18">
        <f t="shared" si="335"/>
        <v>0</v>
      </c>
      <c r="BL220" s="18">
        <f t="shared" si="335"/>
        <v>0</v>
      </c>
      <c r="BM220" s="18">
        <f t="shared" si="335"/>
        <v>0</v>
      </c>
      <c r="BN220" s="18">
        <f t="shared" ref="BN220:CB220" si="336">BN41*BN112</f>
        <v>0</v>
      </c>
      <c r="BO220" s="18">
        <f t="shared" si="336"/>
        <v>0</v>
      </c>
      <c r="BP220" s="18">
        <f t="shared" si="336"/>
        <v>0</v>
      </c>
      <c r="BQ220" s="18">
        <f t="shared" si="336"/>
        <v>0</v>
      </c>
      <c r="BR220" s="18">
        <f t="shared" si="336"/>
        <v>0</v>
      </c>
      <c r="BS220" s="18">
        <f t="shared" si="336"/>
        <v>0</v>
      </c>
      <c r="BT220" s="18">
        <f t="shared" si="336"/>
        <v>0</v>
      </c>
      <c r="BU220" s="18">
        <f t="shared" si="336"/>
        <v>0</v>
      </c>
      <c r="BV220" s="18">
        <f t="shared" si="336"/>
        <v>0</v>
      </c>
      <c r="BW220" s="18">
        <f t="shared" si="336"/>
        <v>0</v>
      </c>
      <c r="BX220" s="18">
        <f t="shared" si="336"/>
        <v>0</v>
      </c>
      <c r="BY220" s="18">
        <f t="shared" si="336"/>
        <v>0</v>
      </c>
      <c r="BZ220" s="18">
        <f t="shared" si="336"/>
        <v>0</v>
      </c>
      <c r="CA220" s="18">
        <f t="shared" si="336"/>
        <v>0</v>
      </c>
      <c r="CB220" s="18">
        <f t="shared" si="336"/>
        <v>0</v>
      </c>
      <c r="CC220" s="17"/>
      <c r="CD220" s="17"/>
      <c r="CE220" s="17"/>
      <c r="CH220" s="5"/>
      <c r="CI220" s="11"/>
      <c r="CJ220" s="11"/>
      <c r="CK220" s="11"/>
      <c r="CL220" s="11"/>
      <c r="CM220" s="11"/>
      <c r="CN220" s="11"/>
      <c r="CO220" s="11"/>
      <c r="CP220" s="11"/>
      <c r="CQ220" s="11"/>
      <c r="CR220" s="11"/>
      <c r="CS220" s="11"/>
      <c r="CT220" s="11"/>
      <c r="CU220" s="11"/>
      <c r="CV220" s="11"/>
      <c r="CW220" s="11"/>
      <c r="CX220" s="11"/>
      <c r="CY220" s="11"/>
      <c r="CZ220" s="11"/>
      <c r="DA220" s="11"/>
      <c r="DB220" s="11"/>
      <c r="DC220" s="11"/>
      <c r="DD220" s="11"/>
      <c r="DE220" s="11"/>
      <c r="DF220" s="11"/>
      <c r="DG220" s="11"/>
      <c r="DH220" s="11"/>
      <c r="DI220" s="11"/>
      <c r="DJ220" s="11"/>
      <c r="DK220" s="11"/>
      <c r="DL220" s="11"/>
      <c r="DM220" s="11"/>
      <c r="DN220" s="11"/>
      <c r="DO220" s="11"/>
      <c r="DP220" s="11"/>
      <c r="DQ220" s="11"/>
      <c r="DR220" s="11"/>
      <c r="DS220" s="11"/>
      <c r="DT220" s="11"/>
      <c r="DU220" s="11"/>
      <c r="DV220" s="11"/>
      <c r="DW220" s="11"/>
      <c r="DX220" s="11"/>
      <c r="DY220" s="11"/>
      <c r="DZ220" s="11"/>
      <c r="EA220" s="11"/>
      <c r="EB220" s="11"/>
      <c r="EC220" s="11"/>
      <c r="ED220" s="11"/>
    </row>
    <row r="221" spans="1:134">
      <c r="A221" s="18" t="str">
        <f>A43</f>
        <v>Bond 7</v>
      </c>
      <c r="B221" s="18">
        <f t="shared" ref="B221:BM221" si="337">B43*B117</f>
        <v>0</v>
      </c>
      <c r="C221" s="18">
        <f t="shared" si="337"/>
        <v>101.37327073228136</v>
      </c>
      <c r="D221" s="18">
        <f t="shared" si="337"/>
        <v>0</v>
      </c>
      <c r="E221" s="18">
        <f t="shared" si="337"/>
        <v>102.85819470681913</v>
      </c>
      <c r="F221" s="18">
        <f t="shared" si="337"/>
        <v>0</v>
      </c>
      <c r="G221" s="18">
        <f t="shared" si="337"/>
        <v>0</v>
      </c>
      <c r="H221" s="18">
        <f t="shared" si="337"/>
        <v>0</v>
      </c>
      <c r="I221" s="18">
        <f t="shared" si="337"/>
        <v>0</v>
      </c>
      <c r="J221" s="18">
        <f t="shared" si="337"/>
        <v>0</v>
      </c>
      <c r="K221" s="18">
        <f t="shared" si="337"/>
        <v>0</v>
      </c>
      <c r="L221" s="18">
        <f t="shared" si="337"/>
        <v>0</v>
      </c>
      <c r="M221" s="18">
        <f t="shared" si="337"/>
        <v>0</v>
      </c>
      <c r="N221" s="18">
        <f t="shared" si="337"/>
        <v>0</v>
      </c>
      <c r="O221" s="18">
        <f t="shared" si="337"/>
        <v>0</v>
      </c>
      <c r="P221" s="18">
        <f t="shared" si="337"/>
        <v>0</v>
      </c>
      <c r="Q221" s="18">
        <f t="shared" si="337"/>
        <v>0</v>
      </c>
      <c r="R221" s="18">
        <f t="shared" si="337"/>
        <v>0</v>
      </c>
      <c r="S221" s="18">
        <f t="shared" si="337"/>
        <v>0</v>
      </c>
      <c r="T221" s="18">
        <f t="shared" si="337"/>
        <v>0</v>
      </c>
      <c r="U221" s="18">
        <f t="shared" si="337"/>
        <v>0</v>
      </c>
      <c r="V221" s="18">
        <f t="shared" si="337"/>
        <v>0</v>
      </c>
      <c r="W221" s="18">
        <f t="shared" si="337"/>
        <v>0</v>
      </c>
      <c r="X221" s="18">
        <f t="shared" si="337"/>
        <v>0</v>
      </c>
      <c r="Y221" s="18">
        <f t="shared" si="337"/>
        <v>0</v>
      </c>
      <c r="Z221" s="18">
        <f t="shared" si="337"/>
        <v>0</v>
      </c>
      <c r="AA221" s="18">
        <f t="shared" si="337"/>
        <v>0</v>
      </c>
      <c r="AB221" s="18">
        <f t="shared" si="337"/>
        <v>0</v>
      </c>
      <c r="AC221" s="18">
        <f t="shared" si="337"/>
        <v>0</v>
      </c>
      <c r="AD221" s="18">
        <f t="shared" si="337"/>
        <v>0</v>
      </c>
      <c r="AE221" s="18">
        <f t="shared" si="337"/>
        <v>0</v>
      </c>
      <c r="AF221" s="18">
        <f t="shared" si="337"/>
        <v>0</v>
      </c>
      <c r="AG221" s="18">
        <f t="shared" si="337"/>
        <v>0</v>
      </c>
      <c r="AH221" s="18">
        <f t="shared" si="337"/>
        <v>0</v>
      </c>
      <c r="AI221" s="18">
        <f t="shared" si="337"/>
        <v>0</v>
      </c>
      <c r="AJ221" s="18">
        <f t="shared" si="337"/>
        <v>0</v>
      </c>
      <c r="AK221" s="18">
        <f t="shared" si="337"/>
        <v>0</v>
      </c>
      <c r="AL221" s="18">
        <f t="shared" si="337"/>
        <v>0</v>
      </c>
      <c r="AM221" s="18">
        <f t="shared" si="337"/>
        <v>0</v>
      </c>
      <c r="AN221" s="18">
        <f t="shared" si="337"/>
        <v>0</v>
      </c>
      <c r="AO221" s="18">
        <f t="shared" si="337"/>
        <v>0</v>
      </c>
      <c r="AP221" s="18">
        <f t="shared" si="337"/>
        <v>0</v>
      </c>
      <c r="AQ221" s="18">
        <f t="shared" si="337"/>
        <v>0</v>
      </c>
      <c r="AR221" s="18">
        <f t="shared" si="337"/>
        <v>0</v>
      </c>
      <c r="AS221" s="18">
        <f t="shared" si="337"/>
        <v>0</v>
      </c>
      <c r="AT221" s="18">
        <f t="shared" si="337"/>
        <v>0</v>
      </c>
      <c r="AU221" s="18">
        <f t="shared" si="337"/>
        <v>0</v>
      </c>
      <c r="AV221" s="18">
        <f t="shared" si="337"/>
        <v>0</v>
      </c>
      <c r="AW221" s="18">
        <f t="shared" si="337"/>
        <v>0</v>
      </c>
      <c r="AX221" s="18">
        <f t="shared" si="337"/>
        <v>0</v>
      </c>
      <c r="AY221" s="18">
        <f t="shared" si="337"/>
        <v>0</v>
      </c>
      <c r="AZ221" s="18">
        <f t="shared" si="337"/>
        <v>0</v>
      </c>
      <c r="BA221" s="18">
        <f t="shared" si="337"/>
        <v>0</v>
      </c>
      <c r="BB221" s="18">
        <f t="shared" si="337"/>
        <v>0</v>
      </c>
      <c r="BC221" s="18">
        <f t="shared" si="337"/>
        <v>0</v>
      </c>
      <c r="BD221" s="18">
        <f t="shared" si="337"/>
        <v>0</v>
      </c>
      <c r="BE221" s="18">
        <f t="shared" si="337"/>
        <v>0</v>
      </c>
      <c r="BF221" s="18">
        <f t="shared" si="337"/>
        <v>0</v>
      </c>
      <c r="BG221" s="18">
        <f t="shared" si="337"/>
        <v>0</v>
      </c>
      <c r="BH221" s="18">
        <f t="shared" si="337"/>
        <v>0</v>
      </c>
      <c r="BI221" s="18">
        <f t="shared" si="337"/>
        <v>0</v>
      </c>
      <c r="BJ221" s="18">
        <f t="shared" si="337"/>
        <v>0</v>
      </c>
      <c r="BK221" s="18">
        <f t="shared" si="337"/>
        <v>0</v>
      </c>
      <c r="BL221" s="18">
        <f t="shared" si="337"/>
        <v>0</v>
      </c>
      <c r="BM221" s="18">
        <f t="shared" si="337"/>
        <v>0</v>
      </c>
      <c r="BN221" s="18">
        <f t="shared" ref="BN221:CB221" si="338">BN43*BN117</f>
        <v>0</v>
      </c>
      <c r="BO221" s="18">
        <f t="shared" si="338"/>
        <v>0</v>
      </c>
      <c r="BP221" s="18">
        <f t="shared" si="338"/>
        <v>0</v>
      </c>
      <c r="BQ221" s="18">
        <f t="shared" si="338"/>
        <v>0</v>
      </c>
      <c r="BR221" s="18">
        <f t="shared" si="338"/>
        <v>0</v>
      </c>
      <c r="BS221" s="18">
        <f t="shared" si="338"/>
        <v>0</v>
      </c>
      <c r="BT221" s="18">
        <f t="shared" si="338"/>
        <v>0</v>
      </c>
      <c r="BU221" s="18">
        <f t="shared" si="338"/>
        <v>0</v>
      </c>
      <c r="BV221" s="18">
        <f t="shared" si="338"/>
        <v>0</v>
      </c>
      <c r="BW221" s="18">
        <f t="shared" si="338"/>
        <v>0</v>
      </c>
      <c r="BX221" s="18">
        <f t="shared" si="338"/>
        <v>0</v>
      </c>
      <c r="BY221" s="18">
        <f t="shared" si="338"/>
        <v>0</v>
      </c>
      <c r="BZ221" s="18">
        <f t="shared" si="338"/>
        <v>0</v>
      </c>
      <c r="CA221" s="18">
        <f t="shared" si="338"/>
        <v>0</v>
      </c>
      <c r="CB221" s="18">
        <f t="shared" si="338"/>
        <v>0</v>
      </c>
      <c r="CC221" s="17"/>
      <c r="CD221" s="17"/>
      <c r="CE221" s="17"/>
      <c r="CH221" s="5"/>
      <c r="CI221" s="11"/>
      <c r="CJ221" s="11"/>
      <c r="CK221" s="11"/>
      <c r="CL221" s="11"/>
      <c r="CM221" s="11"/>
      <c r="CN221" s="11"/>
      <c r="CO221" s="11"/>
      <c r="CP221" s="11"/>
      <c r="CQ221" s="11"/>
      <c r="CR221" s="11"/>
      <c r="CS221" s="11"/>
      <c r="CT221" s="11"/>
      <c r="CU221" s="11"/>
      <c r="CV221" s="11"/>
      <c r="CW221" s="11"/>
      <c r="CX221" s="11"/>
      <c r="CY221" s="11"/>
      <c r="CZ221" s="11"/>
      <c r="DA221" s="11"/>
      <c r="DB221" s="11"/>
      <c r="DC221" s="11"/>
      <c r="DD221" s="11"/>
      <c r="DE221" s="11"/>
      <c r="DF221" s="11"/>
      <c r="DG221" s="11"/>
      <c r="DH221" s="11"/>
      <c r="DI221" s="11"/>
      <c r="DJ221" s="11"/>
      <c r="DK221" s="11"/>
      <c r="DL221" s="11"/>
      <c r="DM221" s="11"/>
      <c r="DN221" s="11"/>
      <c r="DO221" s="11"/>
      <c r="DP221" s="11"/>
      <c r="DQ221" s="11"/>
      <c r="DR221" s="11"/>
      <c r="DS221" s="11"/>
      <c r="DT221" s="11"/>
      <c r="DU221" s="11"/>
      <c r="DV221" s="11"/>
      <c r="DW221" s="11"/>
      <c r="DX221" s="11"/>
      <c r="DY221" s="11"/>
      <c r="DZ221" s="11"/>
      <c r="EA221" s="11"/>
      <c r="EB221" s="11"/>
      <c r="EC221" s="11"/>
      <c r="ED221" s="11"/>
    </row>
    <row r="222" spans="1:134">
      <c r="A222" s="18" t="str">
        <f>A45</f>
        <v>Bond 8</v>
      </c>
      <c r="B222" s="18">
        <f t="shared" ref="B222:BM222" si="339">B45*B122</f>
        <v>0</v>
      </c>
      <c r="C222" s="18">
        <f t="shared" si="339"/>
        <v>0</v>
      </c>
      <c r="D222" s="18">
        <f t="shared" si="339"/>
        <v>102.14615020636322</v>
      </c>
      <c r="E222" s="18">
        <f t="shared" si="339"/>
        <v>0</v>
      </c>
      <c r="F222" s="18">
        <f t="shared" si="339"/>
        <v>103.39212049704949</v>
      </c>
      <c r="G222" s="18">
        <f t="shared" si="339"/>
        <v>0</v>
      </c>
      <c r="H222" s="18">
        <f t="shared" si="339"/>
        <v>0</v>
      </c>
      <c r="I222" s="18">
        <f t="shared" si="339"/>
        <v>0</v>
      </c>
      <c r="J222" s="18">
        <f t="shared" si="339"/>
        <v>0</v>
      </c>
      <c r="K222" s="18">
        <f t="shared" si="339"/>
        <v>0</v>
      </c>
      <c r="L222" s="18">
        <f t="shared" si="339"/>
        <v>0</v>
      </c>
      <c r="M222" s="18">
        <f t="shared" si="339"/>
        <v>0</v>
      </c>
      <c r="N222" s="18">
        <f t="shared" si="339"/>
        <v>0</v>
      </c>
      <c r="O222" s="18">
        <f t="shared" si="339"/>
        <v>0</v>
      </c>
      <c r="P222" s="18">
        <f t="shared" si="339"/>
        <v>0</v>
      </c>
      <c r="Q222" s="18">
        <f t="shared" si="339"/>
        <v>0</v>
      </c>
      <c r="R222" s="18">
        <f t="shared" si="339"/>
        <v>0</v>
      </c>
      <c r="S222" s="18">
        <f t="shared" si="339"/>
        <v>0</v>
      </c>
      <c r="T222" s="18">
        <f t="shared" si="339"/>
        <v>0</v>
      </c>
      <c r="U222" s="18">
        <f t="shared" si="339"/>
        <v>0</v>
      </c>
      <c r="V222" s="18">
        <f t="shared" si="339"/>
        <v>0</v>
      </c>
      <c r="W222" s="18">
        <f t="shared" si="339"/>
        <v>0</v>
      </c>
      <c r="X222" s="18">
        <f t="shared" si="339"/>
        <v>0</v>
      </c>
      <c r="Y222" s="18">
        <f t="shared" si="339"/>
        <v>0</v>
      </c>
      <c r="Z222" s="18">
        <f t="shared" si="339"/>
        <v>0</v>
      </c>
      <c r="AA222" s="18">
        <f t="shared" si="339"/>
        <v>0</v>
      </c>
      <c r="AB222" s="18">
        <f t="shared" si="339"/>
        <v>0</v>
      </c>
      <c r="AC222" s="18">
        <f t="shared" si="339"/>
        <v>0</v>
      </c>
      <c r="AD222" s="18">
        <f t="shared" si="339"/>
        <v>0</v>
      </c>
      <c r="AE222" s="18">
        <f t="shared" si="339"/>
        <v>0</v>
      </c>
      <c r="AF222" s="18">
        <f t="shared" si="339"/>
        <v>0</v>
      </c>
      <c r="AG222" s="18">
        <f t="shared" si="339"/>
        <v>0</v>
      </c>
      <c r="AH222" s="18">
        <f t="shared" si="339"/>
        <v>0</v>
      </c>
      <c r="AI222" s="18">
        <f t="shared" si="339"/>
        <v>0</v>
      </c>
      <c r="AJ222" s="18">
        <f t="shared" si="339"/>
        <v>0</v>
      </c>
      <c r="AK222" s="18">
        <f t="shared" si="339"/>
        <v>0</v>
      </c>
      <c r="AL222" s="18">
        <f t="shared" si="339"/>
        <v>0</v>
      </c>
      <c r="AM222" s="18">
        <f t="shared" si="339"/>
        <v>0</v>
      </c>
      <c r="AN222" s="18">
        <f t="shared" si="339"/>
        <v>0</v>
      </c>
      <c r="AO222" s="18">
        <f t="shared" si="339"/>
        <v>0</v>
      </c>
      <c r="AP222" s="18">
        <f t="shared" si="339"/>
        <v>0</v>
      </c>
      <c r="AQ222" s="18">
        <f t="shared" si="339"/>
        <v>0</v>
      </c>
      <c r="AR222" s="18">
        <f t="shared" si="339"/>
        <v>0</v>
      </c>
      <c r="AS222" s="18">
        <f t="shared" si="339"/>
        <v>0</v>
      </c>
      <c r="AT222" s="18">
        <f t="shared" si="339"/>
        <v>0</v>
      </c>
      <c r="AU222" s="18">
        <f t="shared" si="339"/>
        <v>0</v>
      </c>
      <c r="AV222" s="18">
        <f t="shared" si="339"/>
        <v>0</v>
      </c>
      <c r="AW222" s="18">
        <f t="shared" si="339"/>
        <v>0</v>
      </c>
      <c r="AX222" s="18">
        <f t="shared" si="339"/>
        <v>0</v>
      </c>
      <c r="AY222" s="18">
        <f t="shared" si="339"/>
        <v>0</v>
      </c>
      <c r="AZ222" s="18">
        <f t="shared" si="339"/>
        <v>0</v>
      </c>
      <c r="BA222" s="18">
        <f t="shared" si="339"/>
        <v>0</v>
      </c>
      <c r="BB222" s="18">
        <f t="shared" si="339"/>
        <v>0</v>
      </c>
      <c r="BC222" s="18">
        <f t="shared" si="339"/>
        <v>0</v>
      </c>
      <c r="BD222" s="18">
        <f t="shared" si="339"/>
        <v>0</v>
      </c>
      <c r="BE222" s="18">
        <f t="shared" si="339"/>
        <v>0</v>
      </c>
      <c r="BF222" s="18">
        <f t="shared" si="339"/>
        <v>0</v>
      </c>
      <c r="BG222" s="18">
        <f t="shared" si="339"/>
        <v>0</v>
      </c>
      <c r="BH222" s="18">
        <f t="shared" si="339"/>
        <v>0</v>
      </c>
      <c r="BI222" s="18">
        <f t="shared" si="339"/>
        <v>0</v>
      </c>
      <c r="BJ222" s="18">
        <f t="shared" si="339"/>
        <v>0</v>
      </c>
      <c r="BK222" s="18">
        <f t="shared" si="339"/>
        <v>0</v>
      </c>
      <c r="BL222" s="18">
        <f t="shared" si="339"/>
        <v>0</v>
      </c>
      <c r="BM222" s="18">
        <f t="shared" si="339"/>
        <v>0</v>
      </c>
      <c r="BN222" s="18">
        <f t="shared" ref="BN222:CB222" si="340">BN45*BN122</f>
        <v>0</v>
      </c>
      <c r="BO222" s="18">
        <f t="shared" si="340"/>
        <v>0</v>
      </c>
      <c r="BP222" s="18">
        <f t="shared" si="340"/>
        <v>0</v>
      </c>
      <c r="BQ222" s="18">
        <f t="shared" si="340"/>
        <v>0</v>
      </c>
      <c r="BR222" s="18">
        <f t="shared" si="340"/>
        <v>0</v>
      </c>
      <c r="BS222" s="18">
        <f t="shared" si="340"/>
        <v>0</v>
      </c>
      <c r="BT222" s="18">
        <f t="shared" si="340"/>
        <v>0</v>
      </c>
      <c r="BU222" s="18">
        <f t="shared" si="340"/>
        <v>0</v>
      </c>
      <c r="BV222" s="18">
        <f t="shared" si="340"/>
        <v>0</v>
      </c>
      <c r="BW222" s="18">
        <f t="shared" si="340"/>
        <v>0</v>
      </c>
      <c r="BX222" s="18">
        <f t="shared" si="340"/>
        <v>0</v>
      </c>
      <c r="BY222" s="18">
        <f t="shared" si="340"/>
        <v>0</v>
      </c>
      <c r="BZ222" s="18">
        <f t="shared" si="340"/>
        <v>0</v>
      </c>
      <c r="CA222" s="18">
        <f t="shared" si="340"/>
        <v>0</v>
      </c>
      <c r="CB222" s="18">
        <f t="shared" si="340"/>
        <v>0</v>
      </c>
      <c r="CC222" s="17"/>
      <c r="CD222" s="17"/>
      <c r="CE222" s="17"/>
      <c r="CH222" s="5"/>
      <c r="CI222" s="11"/>
      <c r="CJ222" s="11"/>
      <c r="CK222" s="11"/>
      <c r="CL222" s="11"/>
      <c r="CM222" s="11"/>
      <c r="CN222" s="11"/>
      <c r="CO222" s="11"/>
      <c r="CP222" s="11"/>
      <c r="CQ222" s="11"/>
      <c r="CR222" s="11"/>
      <c r="CS222" s="11"/>
      <c r="CT222" s="11"/>
      <c r="CU222" s="11"/>
      <c r="CV222" s="11"/>
      <c r="CW222" s="11"/>
      <c r="CX222" s="11"/>
      <c r="CY222" s="11"/>
      <c r="CZ222" s="11"/>
      <c r="DA222" s="11"/>
      <c r="DB222" s="11"/>
      <c r="DC222" s="11"/>
      <c r="DD222" s="11"/>
      <c r="DE222" s="11"/>
      <c r="DF222" s="11"/>
      <c r="DG222" s="11"/>
      <c r="DH222" s="11"/>
      <c r="DI222" s="11"/>
      <c r="DJ222" s="11"/>
      <c r="DK222" s="11"/>
      <c r="DL222" s="11"/>
      <c r="DM222" s="11"/>
      <c r="DN222" s="11"/>
      <c r="DO222" s="11"/>
      <c r="DP222" s="11"/>
      <c r="DQ222" s="11"/>
      <c r="DR222" s="11"/>
      <c r="DS222" s="11"/>
      <c r="DT222" s="11"/>
      <c r="DU222" s="11"/>
      <c r="DV222" s="11"/>
      <c r="DW222" s="11"/>
      <c r="DX222" s="11"/>
      <c r="DY222" s="11"/>
      <c r="DZ222" s="11"/>
      <c r="EA222" s="11"/>
      <c r="EB222" s="11"/>
      <c r="EC222" s="11"/>
      <c r="ED222" s="11"/>
    </row>
    <row r="223" spans="1:134">
      <c r="A223" s="18" t="str">
        <f>A47</f>
        <v>Bond 9</v>
      </c>
      <c r="B223" s="18">
        <f t="shared" ref="B223:BM223" si="341">B47*B127</f>
        <v>0.50219196092114027</v>
      </c>
      <c r="C223" s="18">
        <f t="shared" si="341"/>
        <v>0.50618431856206902</v>
      </c>
      <c r="D223" s="18">
        <f t="shared" si="341"/>
        <v>0.51019082173125907</v>
      </c>
      <c r="E223" s="18">
        <f t="shared" si="341"/>
        <v>0.51375940055646729</v>
      </c>
      <c r="F223" s="18">
        <f t="shared" si="341"/>
        <v>0.51662665421165233</v>
      </c>
      <c r="G223" s="18">
        <f t="shared" si="341"/>
        <v>104.24951875469125</v>
      </c>
      <c r="H223" s="18">
        <f t="shared" si="341"/>
        <v>0</v>
      </c>
      <c r="I223" s="18">
        <f t="shared" si="341"/>
        <v>0</v>
      </c>
      <c r="J223" s="18">
        <f t="shared" si="341"/>
        <v>0</v>
      </c>
      <c r="K223" s="18">
        <f t="shared" si="341"/>
        <v>0</v>
      </c>
      <c r="L223" s="18">
        <f t="shared" si="341"/>
        <v>0</v>
      </c>
      <c r="M223" s="18">
        <f t="shared" si="341"/>
        <v>0</v>
      </c>
      <c r="N223" s="18">
        <f t="shared" si="341"/>
        <v>0</v>
      </c>
      <c r="O223" s="18">
        <f t="shared" si="341"/>
        <v>0</v>
      </c>
      <c r="P223" s="18">
        <f t="shared" si="341"/>
        <v>0</v>
      </c>
      <c r="Q223" s="18">
        <f t="shared" si="341"/>
        <v>0</v>
      </c>
      <c r="R223" s="18">
        <f t="shared" si="341"/>
        <v>0</v>
      </c>
      <c r="S223" s="18">
        <f t="shared" si="341"/>
        <v>0</v>
      </c>
      <c r="T223" s="18">
        <f t="shared" si="341"/>
        <v>0</v>
      </c>
      <c r="U223" s="18">
        <f t="shared" si="341"/>
        <v>0</v>
      </c>
      <c r="V223" s="18">
        <f t="shared" si="341"/>
        <v>0</v>
      </c>
      <c r="W223" s="18">
        <f t="shared" si="341"/>
        <v>0</v>
      </c>
      <c r="X223" s="18">
        <f t="shared" si="341"/>
        <v>0</v>
      </c>
      <c r="Y223" s="18">
        <f t="shared" si="341"/>
        <v>0</v>
      </c>
      <c r="Z223" s="18">
        <f t="shared" si="341"/>
        <v>0</v>
      </c>
      <c r="AA223" s="18">
        <f t="shared" si="341"/>
        <v>0</v>
      </c>
      <c r="AB223" s="18">
        <f t="shared" si="341"/>
        <v>0</v>
      </c>
      <c r="AC223" s="18">
        <f t="shared" si="341"/>
        <v>0</v>
      </c>
      <c r="AD223" s="18">
        <f t="shared" si="341"/>
        <v>0</v>
      </c>
      <c r="AE223" s="18">
        <f t="shared" si="341"/>
        <v>0</v>
      </c>
      <c r="AF223" s="18">
        <f t="shared" si="341"/>
        <v>0</v>
      </c>
      <c r="AG223" s="18">
        <f t="shared" si="341"/>
        <v>0</v>
      </c>
      <c r="AH223" s="18">
        <f t="shared" si="341"/>
        <v>0</v>
      </c>
      <c r="AI223" s="18">
        <f t="shared" si="341"/>
        <v>0</v>
      </c>
      <c r="AJ223" s="18">
        <f t="shared" si="341"/>
        <v>0</v>
      </c>
      <c r="AK223" s="18">
        <f t="shared" si="341"/>
        <v>0</v>
      </c>
      <c r="AL223" s="18">
        <f t="shared" si="341"/>
        <v>0</v>
      </c>
      <c r="AM223" s="18">
        <f t="shared" si="341"/>
        <v>0</v>
      </c>
      <c r="AN223" s="18">
        <f t="shared" si="341"/>
        <v>0</v>
      </c>
      <c r="AO223" s="18">
        <f t="shared" si="341"/>
        <v>0</v>
      </c>
      <c r="AP223" s="18">
        <f t="shared" si="341"/>
        <v>0</v>
      </c>
      <c r="AQ223" s="18">
        <f t="shared" si="341"/>
        <v>0</v>
      </c>
      <c r="AR223" s="18">
        <f t="shared" si="341"/>
        <v>0</v>
      </c>
      <c r="AS223" s="18">
        <f t="shared" si="341"/>
        <v>0</v>
      </c>
      <c r="AT223" s="18">
        <f t="shared" si="341"/>
        <v>0</v>
      </c>
      <c r="AU223" s="18">
        <f t="shared" si="341"/>
        <v>0</v>
      </c>
      <c r="AV223" s="18">
        <f t="shared" si="341"/>
        <v>0</v>
      </c>
      <c r="AW223" s="18">
        <f t="shared" si="341"/>
        <v>0</v>
      </c>
      <c r="AX223" s="18">
        <f t="shared" si="341"/>
        <v>0</v>
      </c>
      <c r="AY223" s="18">
        <f t="shared" si="341"/>
        <v>0</v>
      </c>
      <c r="AZ223" s="18">
        <f t="shared" si="341"/>
        <v>0</v>
      </c>
      <c r="BA223" s="18">
        <f t="shared" si="341"/>
        <v>0</v>
      </c>
      <c r="BB223" s="18">
        <f t="shared" si="341"/>
        <v>0</v>
      </c>
      <c r="BC223" s="18">
        <f t="shared" si="341"/>
        <v>0</v>
      </c>
      <c r="BD223" s="18">
        <f t="shared" si="341"/>
        <v>0</v>
      </c>
      <c r="BE223" s="18">
        <f t="shared" si="341"/>
        <v>0</v>
      </c>
      <c r="BF223" s="18">
        <f t="shared" si="341"/>
        <v>0</v>
      </c>
      <c r="BG223" s="18">
        <f t="shared" si="341"/>
        <v>0</v>
      </c>
      <c r="BH223" s="18">
        <f t="shared" si="341"/>
        <v>0</v>
      </c>
      <c r="BI223" s="18">
        <f t="shared" si="341"/>
        <v>0</v>
      </c>
      <c r="BJ223" s="18">
        <f t="shared" si="341"/>
        <v>0</v>
      </c>
      <c r="BK223" s="18">
        <f t="shared" si="341"/>
        <v>0</v>
      </c>
      <c r="BL223" s="18">
        <f t="shared" si="341"/>
        <v>0</v>
      </c>
      <c r="BM223" s="18">
        <f t="shared" si="341"/>
        <v>0</v>
      </c>
      <c r="BN223" s="18">
        <f t="shared" ref="BN223:CB223" si="342">BN47*BN127</f>
        <v>0</v>
      </c>
      <c r="BO223" s="18">
        <f t="shared" si="342"/>
        <v>0</v>
      </c>
      <c r="BP223" s="18">
        <f t="shared" si="342"/>
        <v>0</v>
      </c>
      <c r="BQ223" s="18">
        <f t="shared" si="342"/>
        <v>0</v>
      </c>
      <c r="BR223" s="18">
        <f t="shared" si="342"/>
        <v>0</v>
      </c>
      <c r="BS223" s="18">
        <f t="shared" si="342"/>
        <v>0</v>
      </c>
      <c r="BT223" s="18">
        <f t="shared" si="342"/>
        <v>0</v>
      </c>
      <c r="BU223" s="18">
        <f t="shared" si="342"/>
        <v>0</v>
      </c>
      <c r="BV223" s="18">
        <f t="shared" si="342"/>
        <v>0</v>
      </c>
      <c r="BW223" s="18">
        <f t="shared" si="342"/>
        <v>0</v>
      </c>
      <c r="BX223" s="18">
        <f t="shared" si="342"/>
        <v>0</v>
      </c>
      <c r="BY223" s="18">
        <f t="shared" si="342"/>
        <v>0</v>
      </c>
      <c r="BZ223" s="18">
        <f t="shared" si="342"/>
        <v>0</v>
      </c>
      <c r="CA223" s="18">
        <f t="shared" si="342"/>
        <v>0</v>
      </c>
      <c r="CB223" s="18">
        <f t="shared" si="342"/>
        <v>0</v>
      </c>
      <c r="CC223" s="17"/>
      <c r="CD223" s="17"/>
      <c r="CE223" s="17"/>
      <c r="CH223" s="5"/>
      <c r="CI223" s="11"/>
      <c r="CJ223" s="11"/>
      <c r="CK223" s="11"/>
      <c r="CL223" s="11"/>
      <c r="CM223" s="11"/>
      <c r="CN223" s="11"/>
      <c r="CO223" s="11"/>
      <c r="CP223" s="11"/>
      <c r="CQ223" s="11"/>
      <c r="CR223" s="11"/>
      <c r="CS223" s="11"/>
      <c r="CT223" s="11"/>
      <c r="CU223" s="11"/>
      <c r="CV223" s="11"/>
      <c r="CW223" s="11"/>
      <c r="CX223" s="11"/>
      <c r="CY223" s="11"/>
      <c r="CZ223" s="11"/>
      <c r="DA223" s="11"/>
      <c r="DB223" s="11"/>
      <c r="DC223" s="11"/>
      <c r="DD223" s="11"/>
      <c r="DE223" s="11"/>
      <c r="DF223" s="11"/>
      <c r="DG223" s="11"/>
      <c r="DH223" s="11"/>
      <c r="DI223" s="11"/>
      <c r="DJ223" s="11"/>
      <c r="DK223" s="11"/>
      <c r="DL223" s="11"/>
      <c r="DM223" s="11"/>
      <c r="DN223" s="11"/>
      <c r="DO223" s="11"/>
      <c r="DP223" s="11"/>
      <c r="DQ223" s="11"/>
      <c r="DR223" s="11"/>
      <c r="DS223" s="11"/>
      <c r="DT223" s="11"/>
      <c r="DU223" s="11"/>
      <c r="DV223" s="11"/>
      <c r="DW223" s="11"/>
      <c r="DX223" s="11"/>
      <c r="DY223" s="11"/>
      <c r="DZ223" s="11"/>
      <c r="EA223" s="11"/>
      <c r="EB223" s="11"/>
      <c r="EC223" s="11"/>
      <c r="ED223" s="11"/>
    </row>
    <row r="224" spans="1:134">
      <c r="A224" s="18" t="str">
        <f>A49</f>
        <v>Bond 10</v>
      </c>
      <c r="B224" s="18">
        <f t="shared" ref="B224:BM224" si="343">B49*B132</f>
        <v>0.50219196092114027</v>
      </c>
      <c r="C224" s="18">
        <f t="shared" si="343"/>
        <v>0.50618431856206902</v>
      </c>
      <c r="D224" s="18">
        <f t="shared" si="343"/>
        <v>0.51019082173125907</v>
      </c>
      <c r="E224" s="18">
        <f t="shared" si="343"/>
        <v>0.51375940055646729</v>
      </c>
      <c r="F224" s="18">
        <f t="shared" si="343"/>
        <v>0.51662665421165233</v>
      </c>
      <c r="G224" s="18">
        <f t="shared" si="343"/>
        <v>0.51865432216264307</v>
      </c>
      <c r="H224" s="18">
        <f t="shared" si="343"/>
        <v>104.48226057349868</v>
      </c>
      <c r="I224" s="18">
        <f t="shared" si="343"/>
        <v>0</v>
      </c>
      <c r="J224" s="18">
        <f t="shared" si="343"/>
        <v>0</v>
      </c>
      <c r="K224" s="18">
        <f t="shared" si="343"/>
        <v>0</v>
      </c>
      <c r="L224" s="18">
        <f t="shared" si="343"/>
        <v>0</v>
      </c>
      <c r="M224" s="18">
        <f t="shared" si="343"/>
        <v>0</v>
      </c>
      <c r="N224" s="18">
        <f t="shared" si="343"/>
        <v>0</v>
      </c>
      <c r="O224" s="18">
        <f t="shared" si="343"/>
        <v>0</v>
      </c>
      <c r="P224" s="18">
        <f t="shared" si="343"/>
        <v>0</v>
      </c>
      <c r="Q224" s="18">
        <f t="shared" si="343"/>
        <v>0</v>
      </c>
      <c r="R224" s="18">
        <f t="shared" si="343"/>
        <v>0</v>
      </c>
      <c r="S224" s="18">
        <f t="shared" si="343"/>
        <v>0</v>
      </c>
      <c r="T224" s="18">
        <f t="shared" si="343"/>
        <v>0</v>
      </c>
      <c r="U224" s="18">
        <f t="shared" si="343"/>
        <v>0</v>
      </c>
      <c r="V224" s="18">
        <f t="shared" si="343"/>
        <v>0</v>
      </c>
      <c r="W224" s="18">
        <f t="shared" si="343"/>
        <v>0</v>
      </c>
      <c r="X224" s="18">
        <f t="shared" si="343"/>
        <v>0</v>
      </c>
      <c r="Y224" s="18">
        <f t="shared" si="343"/>
        <v>0</v>
      </c>
      <c r="Z224" s="18">
        <f t="shared" si="343"/>
        <v>0</v>
      </c>
      <c r="AA224" s="18">
        <f t="shared" si="343"/>
        <v>0</v>
      </c>
      <c r="AB224" s="18">
        <f t="shared" si="343"/>
        <v>0</v>
      </c>
      <c r="AC224" s="18">
        <f t="shared" si="343"/>
        <v>0</v>
      </c>
      <c r="AD224" s="18">
        <f t="shared" si="343"/>
        <v>0</v>
      </c>
      <c r="AE224" s="18">
        <f t="shared" si="343"/>
        <v>0</v>
      </c>
      <c r="AF224" s="18">
        <f t="shared" si="343"/>
        <v>0</v>
      </c>
      <c r="AG224" s="18">
        <f t="shared" si="343"/>
        <v>0</v>
      </c>
      <c r="AH224" s="18">
        <f t="shared" si="343"/>
        <v>0</v>
      </c>
      <c r="AI224" s="18">
        <f t="shared" si="343"/>
        <v>0</v>
      </c>
      <c r="AJ224" s="18">
        <f t="shared" si="343"/>
        <v>0</v>
      </c>
      <c r="AK224" s="18">
        <f t="shared" si="343"/>
        <v>0</v>
      </c>
      <c r="AL224" s="18">
        <f t="shared" si="343"/>
        <v>0</v>
      </c>
      <c r="AM224" s="18">
        <f t="shared" si="343"/>
        <v>0</v>
      </c>
      <c r="AN224" s="18">
        <f t="shared" si="343"/>
        <v>0</v>
      </c>
      <c r="AO224" s="18">
        <f t="shared" si="343"/>
        <v>0</v>
      </c>
      <c r="AP224" s="18">
        <f t="shared" si="343"/>
        <v>0</v>
      </c>
      <c r="AQ224" s="18">
        <f t="shared" si="343"/>
        <v>0</v>
      </c>
      <c r="AR224" s="18">
        <f t="shared" si="343"/>
        <v>0</v>
      </c>
      <c r="AS224" s="18">
        <f t="shared" si="343"/>
        <v>0</v>
      </c>
      <c r="AT224" s="18">
        <f t="shared" si="343"/>
        <v>0</v>
      </c>
      <c r="AU224" s="18">
        <f t="shared" si="343"/>
        <v>0</v>
      </c>
      <c r="AV224" s="18">
        <f t="shared" si="343"/>
        <v>0</v>
      </c>
      <c r="AW224" s="18">
        <f t="shared" si="343"/>
        <v>0</v>
      </c>
      <c r="AX224" s="18">
        <f t="shared" si="343"/>
        <v>0</v>
      </c>
      <c r="AY224" s="18">
        <f t="shared" si="343"/>
        <v>0</v>
      </c>
      <c r="AZ224" s="18">
        <f t="shared" si="343"/>
        <v>0</v>
      </c>
      <c r="BA224" s="18">
        <f t="shared" si="343"/>
        <v>0</v>
      </c>
      <c r="BB224" s="18">
        <f t="shared" si="343"/>
        <v>0</v>
      </c>
      <c r="BC224" s="18">
        <f t="shared" si="343"/>
        <v>0</v>
      </c>
      <c r="BD224" s="18">
        <f t="shared" si="343"/>
        <v>0</v>
      </c>
      <c r="BE224" s="18">
        <f t="shared" si="343"/>
        <v>0</v>
      </c>
      <c r="BF224" s="18">
        <f t="shared" si="343"/>
        <v>0</v>
      </c>
      <c r="BG224" s="18">
        <f t="shared" si="343"/>
        <v>0</v>
      </c>
      <c r="BH224" s="18">
        <f t="shared" si="343"/>
        <v>0</v>
      </c>
      <c r="BI224" s="18">
        <f t="shared" si="343"/>
        <v>0</v>
      </c>
      <c r="BJ224" s="18">
        <f t="shared" si="343"/>
        <v>0</v>
      </c>
      <c r="BK224" s="18">
        <f t="shared" si="343"/>
        <v>0</v>
      </c>
      <c r="BL224" s="18">
        <f t="shared" si="343"/>
        <v>0</v>
      </c>
      <c r="BM224" s="18">
        <f t="shared" si="343"/>
        <v>0</v>
      </c>
      <c r="BN224" s="18">
        <f t="shared" ref="BN224:CB224" si="344">BN49*BN132</f>
        <v>0</v>
      </c>
      <c r="BO224" s="18">
        <f t="shared" si="344"/>
        <v>0</v>
      </c>
      <c r="BP224" s="18">
        <f t="shared" si="344"/>
        <v>0</v>
      </c>
      <c r="BQ224" s="18">
        <f t="shared" si="344"/>
        <v>0</v>
      </c>
      <c r="BR224" s="18">
        <f t="shared" si="344"/>
        <v>0</v>
      </c>
      <c r="BS224" s="18">
        <f t="shared" si="344"/>
        <v>0</v>
      </c>
      <c r="BT224" s="18">
        <f t="shared" si="344"/>
        <v>0</v>
      </c>
      <c r="BU224" s="18">
        <f t="shared" si="344"/>
        <v>0</v>
      </c>
      <c r="BV224" s="18">
        <f t="shared" si="344"/>
        <v>0</v>
      </c>
      <c r="BW224" s="18">
        <f t="shared" si="344"/>
        <v>0</v>
      </c>
      <c r="BX224" s="18">
        <f t="shared" si="344"/>
        <v>0</v>
      </c>
      <c r="BY224" s="18">
        <f t="shared" si="344"/>
        <v>0</v>
      </c>
      <c r="BZ224" s="18">
        <f t="shared" si="344"/>
        <v>0</v>
      </c>
      <c r="CA224" s="18">
        <f t="shared" si="344"/>
        <v>0</v>
      </c>
      <c r="CB224" s="18">
        <f t="shared" si="344"/>
        <v>0</v>
      </c>
      <c r="CC224" s="17"/>
      <c r="CD224" s="17"/>
      <c r="CE224" s="17"/>
      <c r="CH224" s="5"/>
      <c r="CI224" s="11"/>
      <c r="CJ224" s="11"/>
      <c r="CK224" s="11"/>
      <c r="CL224" s="11"/>
      <c r="CM224" s="11"/>
      <c r="CN224" s="11"/>
      <c r="CO224" s="11"/>
      <c r="CP224" s="11"/>
      <c r="CQ224" s="11"/>
      <c r="CR224" s="11"/>
      <c r="CS224" s="11"/>
      <c r="CT224" s="11"/>
      <c r="CU224" s="11"/>
      <c r="CV224" s="11"/>
      <c r="CW224" s="11"/>
      <c r="CX224" s="11"/>
      <c r="CY224" s="11"/>
      <c r="CZ224" s="11"/>
      <c r="DA224" s="11"/>
      <c r="DB224" s="11"/>
      <c r="DC224" s="11"/>
      <c r="DD224" s="11"/>
      <c r="DE224" s="11"/>
      <c r="DF224" s="11"/>
      <c r="DG224" s="11"/>
      <c r="DH224" s="11"/>
      <c r="DI224" s="11"/>
      <c r="DJ224" s="11"/>
      <c r="DK224" s="11"/>
      <c r="DL224" s="11"/>
      <c r="DM224" s="11"/>
      <c r="DN224" s="11"/>
      <c r="DO224" s="11"/>
      <c r="DP224" s="11"/>
      <c r="DQ224" s="11"/>
      <c r="DR224" s="11"/>
      <c r="DS224" s="11"/>
      <c r="DT224" s="11"/>
      <c r="DU224" s="11"/>
      <c r="DV224" s="11"/>
      <c r="DW224" s="11"/>
      <c r="DX224" s="11"/>
      <c r="DY224" s="11"/>
      <c r="DZ224" s="11"/>
      <c r="EA224" s="11"/>
      <c r="EB224" s="11"/>
      <c r="EC224" s="11"/>
      <c r="ED224" s="11"/>
    </row>
    <row r="225" spans="1:256">
      <c r="A225" s="18" t="str">
        <f>A51</f>
        <v>Bond 11</v>
      </c>
      <c r="B225" s="18">
        <f t="shared" ref="B225:BM225" si="345">B51*B137</f>
        <v>0.25109598046057013</v>
      </c>
      <c r="C225" s="18">
        <f t="shared" si="345"/>
        <v>0.25309215928103451</v>
      </c>
      <c r="D225" s="18">
        <f t="shared" si="345"/>
        <v>0.25509541086562953</v>
      </c>
      <c r="E225" s="18">
        <f t="shared" si="345"/>
        <v>0.25687970027823365</v>
      </c>
      <c r="F225" s="18">
        <f t="shared" si="345"/>
        <v>0.25831332710582616</v>
      </c>
      <c r="G225" s="18">
        <f t="shared" si="345"/>
        <v>0.25932716108132153</v>
      </c>
      <c r="H225" s="18">
        <f t="shared" si="345"/>
        <v>0.25990612082959869</v>
      </c>
      <c r="I225" s="18">
        <f t="shared" si="345"/>
        <v>104.28314706461371</v>
      </c>
      <c r="J225" s="18">
        <f t="shared" si="345"/>
        <v>0</v>
      </c>
      <c r="K225" s="18">
        <f t="shared" si="345"/>
        <v>0</v>
      </c>
      <c r="L225" s="18">
        <f t="shared" si="345"/>
        <v>0</v>
      </c>
      <c r="M225" s="18">
        <f t="shared" si="345"/>
        <v>0</v>
      </c>
      <c r="N225" s="18">
        <f t="shared" si="345"/>
        <v>0</v>
      </c>
      <c r="O225" s="18">
        <f t="shared" si="345"/>
        <v>0</v>
      </c>
      <c r="P225" s="18">
        <f t="shared" si="345"/>
        <v>0</v>
      </c>
      <c r="Q225" s="18">
        <f t="shared" si="345"/>
        <v>0</v>
      </c>
      <c r="R225" s="18">
        <f t="shared" si="345"/>
        <v>0</v>
      </c>
      <c r="S225" s="18">
        <f t="shared" si="345"/>
        <v>0</v>
      </c>
      <c r="T225" s="18">
        <f t="shared" si="345"/>
        <v>0</v>
      </c>
      <c r="U225" s="18">
        <f t="shared" si="345"/>
        <v>0</v>
      </c>
      <c r="V225" s="18">
        <f t="shared" si="345"/>
        <v>0</v>
      </c>
      <c r="W225" s="18">
        <f t="shared" si="345"/>
        <v>0</v>
      </c>
      <c r="X225" s="18">
        <f t="shared" si="345"/>
        <v>0</v>
      </c>
      <c r="Y225" s="18">
        <f t="shared" si="345"/>
        <v>0</v>
      </c>
      <c r="Z225" s="18">
        <f t="shared" si="345"/>
        <v>0</v>
      </c>
      <c r="AA225" s="18">
        <f t="shared" si="345"/>
        <v>0</v>
      </c>
      <c r="AB225" s="18">
        <f t="shared" si="345"/>
        <v>0</v>
      </c>
      <c r="AC225" s="18">
        <f t="shared" si="345"/>
        <v>0</v>
      </c>
      <c r="AD225" s="18">
        <f t="shared" si="345"/>
        <v>0</v>
      </c>
      <c r="AE225" s="18">
        <f t="shared" si="345"/>
        <v>0</v>
      </c>
      <c r="AF225" s="18">
        <f t="shared" si="345"/>
        <v>0</v>
      </c>
      <c r="AG225" s="18">
        <f t="shared" si="345"/>
        <v>0</v>
      </c>
      <c r="AH225" s="18">
        <f t="shared" si="345"/>
        <v>0</v>
      </c>
      <c r="AI225" s="18">
        <f t="shared" si="345"/>
        <v>0</v>
      </c>
      <c r="AJ225" s="18">
        <f t="shared" si="345"/>
        <v>0</v>
      </c>
      <c r="AK225" s="18">
        <f t="shared" si="345"/>
        <v>0</v>
      </c>
      <c r="AL225" s="18">
        <f t="shared" si="345"/>
        <v>0</v>
      </c>
      <c r="AM225" s="18">
        <f t="shared" si="345"/>
        <v>0</v>
      </c>
      <c r="AN225" s="18">
        <f t="shared" si="345"/>
        <v>0</v>
      </c>
      <c r="AO225" s="18">
        <f t="shared" si="345"/>
        <v>0</v>
      </c>
      <c r="AP225" s="18">
        <f t="shared" si="345"/>
        <v>0</v>
      </c>
      <c r="AQ225" s="18">
        <f t="shared" si="345"/>
        <v>0</v>
      </c>
      <c r="AR225" s="18">
        <f t="shared" si="345"/>
        <v>0</v>
      </c>
      <c r="AS225" s="18">
        <f t="shared" si="345"/>
        <v>0</v>
      </c>
      <c r="AT225" s="18">
        <f t="shared" si="345"/>
        <v>0</v>
      </c>
      <c r="AU225" s="18">
        <f t="shared" si="345"/>
        <v>0</v>
      </c>
      <c r="AV225" s="18">
        <f t="shared" si="345"/>
        <v>0</v>
      </c>
      <c r="AW225" s="18">
        <f t="shared" si="345"/>
        <v>0</v>
      </c>
      <c r="AX225" s="18">
        <f t="shared" si="345"/>
        <v>0</v>
      </c>
      <c r="AY225" s="18">
        <f t="shared" si="345"/>
        <v>0</v>
      </c>
      <c r="AZ225" s="18">
        <f t="shared" si="345"/>
        <v>0</v>
      </c>
      <c r="BA225" s="18">
        <f t="shared" si="345"/>
        <v>0</v>
      </c>
      <c r="BB225" s="18">
        <f t="shared" si="345"/>
        <v>0</v>
      </c>
      <c r="BC225" s="18">
        <f t="shared" si="345"/>
        <v>0</v>
      </c>
      <c r="BD225" s="18">
        <f t="shared" si="345"/>
        <v>0</v>
      </c>
      <c r="BE225" s="18">
        <f t="shared" si="345"/>
        <v>0</v>
      </c>
      <c r="BF225" s="18">
        <f t="shared" si="345"/>
        <v>0</v>
      </c>
      <c r="BG225" s="18">
        <f t="shared" si="345"/>
        <v>0</v>
      </c>
      <c r="BH225" s="18">
        <f t="shared" si="345"/>
        <v>0</v>
      </c>
      <c r="BI225" s="18">
        <f t="shared" si="345"/>
        <v>0</v>
      </c>
      <c r="BJ225" s="18">
        <f t="shared" si="345"/>
        <v>0</v>
      </c>
      <c r="BK225" s="18">
        <f t="shared" si="345"/>
        <v>0</v>
      </c>
      <c r="BL225" s="18">
        <f t="shared" si="345"/>
        <v>0</v>
      </c>
      <c r="BM225" s="18">
        <f t="shared" si="345"/>
        <v>0</v>
      </c>
      <c r="BN225" s="18">
        <f t="shared" ref="BN225:CB225" si="346">BN51*BN137</f>
        <v>0</v>
      </c>
      <c r="BO225" s="18">
        <f t="shared" si="346"/>
        <v>0</v>
      </c>
      <c r="BP225" s="18">
        <f t="shared" si="346"/>
        <v>0</v>
      </c>
      <c r="BQ225" s="18">
        <f t="shared" si="346"/>
        <v>0</v>
      </c>
      <c r="BR225" s="18">
        <f t="shared" si="346"/>
        <v>0</v>
      </c>
      <c r="BS225" s="18">
        <f t="shared" si="346"/>
        <v>0</v>
      </c>
      <c r="BT225" s="18">
        <f t="shared" si="346"/>
        <v>0</v>
      </c>
      <c r="BU225" s="18">
        <f t="shared" si="346"/>
        <v>0</v>
      </c>
      <c r="BV225" s="18">
        <f t="shared" si="346"/>
        <v>0</v>
      </c>
      <c r="BW225" s="18">
        <f t="shared" si="346"/>
        <v>0</v>
      </c>
      <c r="BX225" s="18">
        <f t="shared" si="346"/>
        <v>0</v>
      </c>
      <c r="BY225" s="18">
        <f t="shared" si="346"/>
        <v>0</v>
      </c>
      <c r="BZ225" s="18">
        <f t="shared" si="346"/>
        <v>0</v>
      </c>
      <c r="CA225" s="18">
        <f t="shared" si="346"/>
        <v>0</v>
      </c>
      <c r="CB225" s="18">
        <f t="shared" si="346"/>
        <v>0</v>
      </c>
      <c r="CC225" s="17"/>
      <c r="CD225" s="17"/>
      <c r="CE225" s="17"/>
      <c r="CH225" s="5"/>
      <c r="CI225" s="11"/>
      <c r="CJ225" s="11"/>
      <c r="CK225" s="11"/>
      <c r="CL225" s="11"/>
      <c r="CM225" s="11"/>
      <c r="CN225" s="11"/>
      <c r="CO225" s="11"/>
      <c r="CP225" s="11"/>
      <c r="CQ225" s="11"/>
      <c r="CR225" s="11"/>
      <c r="CS225" s="11"/>
      <c r="CT225" s="11"/>
      <c r="CU225" s="11"/>
      <c r="CV225" s="11"/>
      <c r="CW225" s="11"/>
      <c r="CX225" s="11"/>
      <c r="CY225" s="11"/>
      <c r="CZ225" s="11"/>
      <c r="DA225" s="11"/>
      <c r="DB225" s="11"/>
      <c r="DC225" s="11"/>
      <c r="DD225" s="11"/>
      <c r="DE225" s="11"/>
      <c r="DF225" s="11"/>
      <c r="DG225" s="11"/>
      <c r="DH225" s="11"/>
      <c r="DI225" s="11"/>
      <c r="DJ225" s="11"/>
      <c r="DK225" s="11"/>
      <c r="DL225" s="11"/>
      <c r="DM225" s="11"/>
      <c r="DN225" s="11"/>
      <c r="DO225" s="11"/>
      <c r="DP225" s="11"/>
      <c r="DQ225" s="11"/>
      <c r="DR225" s="11"/>
      <c r="DS225" s="11"/>
      <c r="DT225" s="11"/>
      <c r="DU225" s="11"/>
      <c r="DV225" s="11"/>
      <c r="DW225" s="11"/>
      <c r="DX225" s="11"/>
      <c r="DY225" s="11"/>
      <c r="DZ225" s="11"/>
      <c r="EA225" s="11"/>
      <c r="EB225" s="11"/>
      <c r="EC225" s="11"/>
      <c r="ED225" s="11"/>
    </row>
    <row r="226" spans="1:256">
      <c r="A226" s="18" t="str">
        <f>A53</f>
        <v>Bond 12</v>
      </c>
      <c r="B226" s="18">
        <f t="shared" ref="B226:BM226" si="347">B53*B142</f>
        <v>0.50219196092114027</v>
      </c>
      <c r="C226" s="18">
        <f t="shared" si="347"/>
        <v>0.50618431856206902</v>
      </c>
      <c r="D226" s="18">
        <f t="shared" si="347"/>
        <v>0.51019082173125907</v>
      </c>
      <c r="E226" s="18">
        <f t="shared" si="347"/>
        <v>0.51375940055646729</v>
      </c>
      <c r="F226" s="18">
        <f t="shared" si="347"/>
        <v>0.51662665421165233</v>
      </c>
      <c r="G226" s="18">
        <f t="shared" si="347"/>
        <v>0.51865432216264307</v>
      </c>
      <c r="H226" s="18">
        <f t="shared" si="347"/>
        <v>0.51981224165919737</v>
      </c>
      <c r="I226" s="18">
        <f t="shared" si="347"/>
        <v>0.52011544670630283</v>
      </c>
      <c r="J226" s="18">
        <f t="shared" si="347"/>
        <v>104.44502972511786</v>
      </c>
      <c r="K226" s="18">
        <f t="shared" si="347"/>
        <v>0</v>
      </c>
      <c r="L226" s="18">
        <f t="shared" si="347"/>
        <v>0</v>
      </c>
      <c r="M226" s="18">
        <f t="shared" si="347"/>
        <v>0</v>
      </c>
      <c r="N226" s="18">
        <f t="shared" si="347"/>
        <v>0</v>
      </c>
      <c r="O226" s="18">
        <f t="shared" si="347"/>
        <v>0</v>
      </c>
      <c r="P226" s="18">
        <f t="shared" si="347"/>
        <v>0</v>
      </c>
      <c r="Q226" s="18">
        <f t="shared" si="347"/>
        <v>0</v>
      </c>
      <c r="R226" s="18">
        <f t="shared" si="347"/>
        <v>0</v>
      </c>
      <c r="S226" s="18">
        <f t="shared" si="347"/>
        <v>0</v>
      </c>
      <c r="T226" s="18">
        <f t="shared" si="347"/>
        <v>0</v>
      </c>
      <c r="U226" s="18">
        <f t="shared" si="347"/>
        <v>0</v>
      </c>
      <c r="V226" s="18">
        <f t="shared" si="347"/>
        <v>0</v>
      </c>
      <c r="W226" s="18">
        <f t="shared" si="347"/>
        <v>0</v>
      </c>
      <c r="X226" s="18">
        <f t="shared" si="347"/>
        <v>0</v>
      </c>
      <c r="Y226" s="18">
        <f t="shared" si="347"/>
        <v>0</v>
      </c>
      <c r="Z226" s="18">
        <f t="shared" si="347"/>
        <v>0</v>
      </c>
      <c r="AA226" s="18">
        <f t="shared" si="347"/>
        <v>0</v>
      </c>
      <c r="AB226" s="18">
        <f t="shared" si="347"/>
        <v>0</v>
      </c>
      <c r="AC226" s="18">
        <f t="shared" si="347"/>
        <v>0</v>
      </c>
      <c r="AD226" s="18">
        <f t="shared" si="347"/>
        <v>0</v>
      </c>
      <c r="AE226" s="18">
        <f t="shared" si="347"/>
        <v>0</v>
      </c>
      <c r="AF226" s="18">
        <f t="shared" si="347"/>
        <v>0</v>
      </c>
      <c r="AG226" s="18">
        <f t="shared" si="347"/>
        <v>0</v>
      </c>
      <c r="AH226" s="18">
        <f t="shared" si="347"/>
        <v>0</v>
      </c>
      <c r="AI226" s="18">
        <f t="shared" si="347"/>
        <v>0</v>
      </c>
      <c r="AJ226" s="18">
        <f t="shared" si="347"/>
        <v>0</v>
      </c>
      <c r="AK226" s="18">
        <f t="shared" si="347"/>
        <v>0</v>
      </c>
      <c r="AL226" s="18">
        <f t="shared" si="347"/>
        <v>0</v>
      </c>
      <c r="AM226" s="18">
        <f t="shared" si="347"/>
        <v>0</v>
      </c>
      <c r="AN226" s="18">
        <f t="shared" si="347"/>
        <v>0</v>
      </c>
      <c r="AO226" s="18">
        <f t="shared" si="347"/>
        <v>0</v>
      </c>
      <c r="AP226" s="18">
        <f t="shared" si="347"/>
        <v>0</v>
      </c>
      <c r="AQ226" s="18">
        <f t="shared" si="347"/>
        <v>0</v>
      </c>
      <c r="AR226" s="18">
        <f t="shared" si="347"/>
        <v>0</v>
      </c>
      <c r="AS226" s="18">
        <f t="shared" si="347"/>
        <v>0</v>
      </c>
      <c r="AT226" s="18">
        <f t="shared" si="347"/>
        <v>0</v>
      </c>
      <c r="AU226" s="18">
        <f t="shared" si="347"/>
        <v>0</v>
      </c>
      <c r="AV226" s="18">
        <f t="shared" si="347"/>
        <v>0</v>
      </c>
      <c r="AW226" s="18">
        <f t="shared" si="347"/>
        <v>0</v>
      </c>
      <c r="AX226" s="18">
        <f t="shared" si="347"/>
        <v>0</v>
      </c>
      <c r="AY226" s="18">
        <f t="shared" si="347"/>
        <v>0</v>
      </c>
      <c r="AZ226" s="18">
        <f t="shared" si="347"/>
        <v>0</v>
      </c>
      <c r="BA226" s="18">
        <f t="shared" si="347"/>
        <v>0</v>
      </c>
      <c r="BB226" s="18">
        <f t="shared" si="347"/>
        <v>0</v>
      </c>
      <c r="BC226" s="18">
        <f t="shared" si="347"/>
        <v>0</v>
      </c>
      <c r="BD226" s="18">
        <f t="shared" si="347"/>
        <v>0</v>
      </c>
      <c r="BE226" s="18">
        <f t="shared" si="347"/>
        <v>0</v>
      </c>
      <c r="BF226" s="18">
        <f t="shared" si="347"/>
        <v>0</v>
      </c>
      <c r="BG226" s="18">
        <f t="shared" si="347"/>
        <v>0</v>
      </c>
      <c r="BH226" s="18">
        <f t="shared" si="347"/>
        <v>0</v>
      </c>
      <c r="BI226" s="18">
        <f t="shared" si="347"/>
        <v>0</v>
      </c>
      <c r="BJ226" s="18">
        <f t="shared" si="347"/>
        <v>0</v>
      </c>
      <c r="BK226" s="18">
        <f t="shared" si="347"/>
        <v>0</v>
      </c>
      <c r="BL226" s="18">
        <f t="shared" si="347"/>
        <v>0</v>
      </c>
      <c r="BM226" s="18">
        <f t="shared" si="347"/>
        <v>0</v>
      </c>
      <c r="BN226" s="18">
        <f t="shared" ref="BN226:CB226" si="348">BN53*BN142</f>
        <v>0</v>
      </c>
      <c r="BO226" s="18">
        <f t="shared" si="348"/>
        <v>0</v>
      </c>
      <c r="BP226" s="18">
        <f t="shared" si="348"/>
        <v>0</v>
      </c>
      <c r="BQ226" s="18">
        <f t="shared" si="348"/>
        <v>0</v>
      </c>
      <c r="BR226" s="18">
        <f t="shared" si="348"/>
        <v>0</v>
      </c>
      <c r="BS226" s="18">
        <f t="shared" si="348"/>
        <v>0</v>
      </c>
      <c r="BT226" s="18">
        <f t="shared" si="348"/>
        <v>0</v>
      </c>
      <c r="BU226" s="18">
        <f t="shared" si="348"/>
        <v>0</v>
      </c>
      <c r="BV226" s="18">
        <f t="shared" si="348"/>
        <v>0</v>
      </c>
      <c r="BW226" s="18">
        <f t="shared" si="348"/>
        <v>0</v>
      </c>
      <c r="BX226" s="18">
        <f t="shared" si="348"/>
        <v>0</v>
      </c>
      <c r="BY226" s="18">
        <f t="shared" si="348"/>
        <v>0</v>
      </c>
      <c r="BZ226" s="18">
        <f t="shared" si="348"/>
        <v>0</v>
      </c>
      <c r="CA226" s="18">
        <f t="shared" si="348"/>
        <v>0</v>
      </c>
      <c r="CB226" s="18">
        <f t="shared" si="348"/>
        <v>0</v>
      </c>
      <c r="CC226" s="17"/>
      <c r="CD226" s="17"/>
      <c r="CE226" s="17"/>
      <c r="CH226" s="5"/>
      <c r="CI226" s="11"/>
      <c r="CJ226" s="11"/>
      <c r="CK226" s="11"/>
      <c r="CL226" s="11"/>
      <c r="CM226" s="11"/>
      <c r="CN226" s="11"/>
      <c r="CO226" s="11"/>
      <c r="CP226" s="11"/>
      <c r="CQ226" s="11"/>
      <c r="CR226" s="11"/>
      <c r="CS226" s="11"/>
      <c r="CT226" s="11"/>
      <c r="CU226" s="11"/>
      <c r="CV226" s="11"/>
      <c r="CW226" s="11"/>
      <c r="CX226" s="11"/>
      <c r="CY226" s="11"/>
      <c r="CZ226" s="11"/>
      <c r="DA226" s="11"/>
      <c r="DB226" s="11"/>
      <c r="DC226" s="11"/>
      <c r="DD226" s="11"/>
      <c r="DE226" s="11"/>
      <c r="DF226" s="11"/>
      <c r="DG226" s="11"/>
      <c r="DH226" s="11"/>
      <c r="DI226" s="11"/>
      <c r="DJ226" s="11"/>
      <c r="DK226" s="11"/>
      <c r="DL226" s="11"/>
      <c r="DM226" s="11"/>
      <c r="DN226" s="11"/>
      <c r="DO226" s="11"/>
      <c r="DP226" s="11"/>
      <c r="DQ226" s="11"/>
      <c r="DR226" s="11"/>
      <c r="DS226" s="11"/>
      <c r="DT226" s="11"/>
      <c r="DU226" s="11"/>
      <c r="DV226" s="11"/>
      <c r="DW226" s="11"/>
      <c r="DX226" s="11"/>
      <c r="DY226" s="11"/>
      <c r="DZ226" s="11"/>
      <c r="EA226" s="11"/>
      <c r="EB226" s="11"/>
      <c r="EC226" s="11"/>
      <c r="ED226" s="11"/>
    </row>
    <row r="227" spans="1:256">
      <c r="A227" s="18" t="str">
        <f>A55</f>
        <v>Bond 13</v>
      </c>
      <c r="B227" s="18">
        <f t="shared" ref="B227:BM227" si="349">B55*B147</f>
        <v>0.25109598046057013</v>
      </c>
      <c r="C227" s="18">
        <f t="shared" si="349"/>
        <v>0.25309215928103451</v>
      </c>
      <c r="D227" s="18">
        <f t="shared" si="349"/>
        <v>0.25509541086562953</v>
      </c>
      <c r="E227" s="18">
        <f t="shared" si="349"/>
        <v>0.25687970027823365</v>
      </c>
      <c r="F227" s="18">
        <f t="shared" si="349"/>
        <v>0.25831332710582616</v>
      </c>
      <c r="G227" s="18">
        <f t="shared" si="349"/>
        <v>0.25932716108132153</v>
      </c>
      <c r="H227" s="18">
        <f t="shared" si="349"/>
        <v>0.25990612082959869</v>
      </c>
      <c r="I227" s="18">
        <f t="shared" si="349"/>
        <v>0.26005772335315142</v>
      </c>
      <c r="J227" s="18">
        <f t="shared" si="349"/>
        <v>0.25981350677890014</v>
      </c>
      <c r="K227" s="18">
        <f t="shared" si="349"/>
        <v>103.94690530040319</v>
      </c>
      <c r="L227" s="18">
        <f t="shared" si="349"/>
        <v>0</v>
      </c>
      <c r="M227" s="18">
        <f t="shared" si="349"/>
        <v>0</v>
      </c>
      <c r="N227" s="18">
        <f t="shared" si="349"/>
        <v>0</v>
      </c>
      <c r="O227" s="18">
        <f t="shared" si="349"/>
        <v>0</v>
      </c>
      <c r="P227" s="18">
        <f t="shared" si="349"/>
        <v>0</v>
      </c>
      <c r="Q227" s="18">
        <f t="shared" si="349"/>
        <v>0</v>
      </c>
      <c r="R227" s="18">
        <f t="shared" si="349"/>
        <v>0</v>
      </c>
      <c r="S227" s="18">
        <f t="shared" si="349"/>
        <v>0</v>
      </c>
      <c r="T227" s="18">
        <f t="shared" si="349"/>
        <v>0</v>
      </c>
      <c r="U227" s="18">
        <f t="shared" si="349"/>
        <v>0</v>
      </c>
      <c r="V227" s="18">
        <f t="shared" si="349"/>
        <v>0</v>
      </c>
      <c r="W227" s="18">
        <f t="shared" si="349"/>
        <v>0</v>
      </c>
      <c r="X227" s="18">
        <f t="shared" si="349"/>
        <v>0</v>
      </c>
      <c r="Y227" s="18">
        <f t="shared" si="349"/>
        <v>0</v>
      </c>
      <c r="Z227" s="18">
        <f t="shared" si="349"/>
        <v>0</v>
      </c>
      <c r="AA227" s="18">
        <f t="shared" si="349"/>
        <v>0</v>
      </c>
      <c r="AB227" s="18">
        <f t="shared" si="349"/>
        <v>0</v>
      </c>
      <c r="AC227" s="18">
        <f t="shared" si="349"/>
        <v>0</v>
      </c>
      <c r="AD227" s="18">
        <f t="shared" si="349"/>
        <v>0</v>
      </c>
      <c r="AE227" s="18">
        <f t="shared" si="349"/>
        <v>0</v>
      </c>
      <c r="AF227" s="18">
        <f t="shared" si="349"/>
        <v>0</v>
      </c>
      <c r="AG227" s="18">
        <f t="shared" si="349"/>
        <v>0</v>
      </c>
      <c r="AH227" s="18">
        <f t="shared" si="349"/>
        <v>0</v>
      </c>
      <c r="AI227" s="18">
        <f t="shared" si="349"/>
        <v>0</v>
      </c>
      <c r="AJ227" s="18">
        <f t="shared" si="349"/>
        <v>0</v>
      </c>
      <c r="AK227" s="18">
        <f t="shared" si="349"/>
        <v>0</v>
      </c>
      <c r="AL227" s="18">
        <f t="shared" si="349"/>
        <v>0</v>
      </c>
      <c r="AM227" s="18">
        <f t="shared" si="349"/>
        <v>0</v>
      </c>
      <c r="AN227" s="18">
        <f t="shared" si="349"/>
        <v>0</v>
      </c>
      <c r="AO227" s="18">
        <f t="shared" si="349"/>
        <v>0</v>
      </c>
      <c r="AP227" s="18">
        <f t="shared" si="349"/>
        <v>0</v>
      </c>
      <c r="AQ227" s="18">
        <f t="shared" si="349"/>
        <v>0</v>
      </c>
      <c r="AR227" s="18">
        <f t="shared" si="349"/>
        <v>0</v>
      </c>
      <c r="AS227" s="18">
        <f t="shared" si="349"/>
        <v>0</v>
      </c>
      <c r="AT227" s="18">
        <f t="shared" si="349"/>
        <v>0</v>
      </c>
      <c r="AU227" s="18">
        <f t="shared" si="349"/>
        <v>0</v>
      </c>
      <c r="AV227" s="18">
        <f t="shared" si="349"/>
        <v>0</v>
      </c>
      <c r="AW227" s="18">
        <f t="shared" si="349"/>
        <v>0</v>
      </c>
      <c r="AX227" s="18">
        <f t="shared" si="349"/>
        <v>0</v>
      </c>
      <c r="AY227" s="18">
        <f t="shared" si="349"/>
        <v>0</v>
      </c>
      <c r="AZ227" s="18">
        <f t="shared" si="349"/>
        <v>0</v>
      </c>
      <c r="BA227" s="18">
        <f t="shared" si="349"/>
        <v>0</v>
      </c>
      <c r="BB227" s="18">
        <f t="shared" si="349"/>
        <v>0</v>
      </c>
      <c r="BC227" s="18">
        <f t="shared" si="349"/>
        <v>0</v>
      </c>
      <c r="BD227" s="18">
        <f t="shared" si="349"/>
        <v>0</v>
      </c>
      <c r="BE227" s="18">
        <f t="shared" si="349"/>
        <v>0</v>
      </c>
      <c r="BF227" s="18">
        <f t="shared" si="349"/>
        <v>0</v>
      </c>
      <c r="BG227" s="18">
        <f t="shared" si="349"/>
        <v>0</v>
      </c>
      <c r="BH227" s="18">
        <f t="shared" si="349"/>
        <v>0</v>
      </c>
      <c r="BI227" s="18">
        <f t="shared" si="349"/>
        <v>0</v>
      </c>
      <c r="BJ227" s="18">
        <f t="shared" si="349"/>
        <v>0</v>
      </c>
      <c r="BK227" s="18">
        <f t="shared" si="349"/>
        <v>0</v>
      </c>
      <c r="BL227" s="18">
        <f t="shared" si="349"/>
        <v>0</v>
      </c>
      <c r="BM227" s="18">
        <f t="shared" si="349"/>
        <v>0</v>
      </c>
      <c r="BN227" s="18">
        <f t="shared" ref="BN227:CB227" si="350">BN55*BN147</f>
        <v>0</v>
      </c>
      <c r="BO227" s="18">
        <f t="shared" si="350"/>
        <v>0</v>
      </c>
      <c r="BP227" s="18">
        <f t="shared" si="350"/>
        <v>0</v>
      </c>
      <c r="BQ227" s="18">
        <f t="shared" si="350"/>
        <v>0</v>
      </c>
      <c r="BR227" s="18">
        <f t="shared" si="350"/>
        <v>0</v>
      </c>
      <c r="BS227" s="18">
        <f t="shared" si="350"/>
        <v>0</v>
      </c>
      <c r="BT227" s="18">
        <f t="shared" si="350"/>
        <v>0</v>
      </c>
      <c r="BU227" s="18">
        <f t="shared" si="350"/>
        <v>0</v>
      </c>
      <c r="BV227" s="18">
        <f t="shared" si="350"/>
        <v>0</v>
      </c>
      <c r="BW227" s="18">
        <f t="shared" si="350"/>
        <v>0</v>
      </c>
      <c r="BX227" s="18">
        <f t="shared" si="350"/>
        <v>0</v>
      </c>
      <c r="BY227" s="18">
        <f t="shared" si="350"/>
        <v>0</v>
      </c>
      <c r="BZ227" s="18">
        <f t="shared" si="350"/>
        <v>0</v>
      </c>
      <c r="CA227" s="18">
        <f t="shared" si="350"/>
        <v>0</v>
      </c>
      <c r="CB227" s="18">
        <f t="shared" si="350"/>
        <v>0</v>
      </c>
      <c r="CC227" s="17"/>
      <c r="CD227" s="17"/>
      <c r="CE227" s="17"/>
      <c r="CH227" s="5"/>
      <c r="CI227" s="11"/>
      <c r="CJ227" s="11"/>
      <c r="CK227" s="11"/>
      <c r="CL227" s="11"/>
      <c r="CM227" s="11"/>
      <c r="CN227" s="11"/>
      <c r="CO227" s="11"/>
      <c r="CP227" s="11"/>
      <c r="CQ227" s="11"/>
      <c r="CR227" s="11"/>
      <c r="CS227" s="11"/>
      <c r="CT227" s="11"/>
      <c r="CU227" s="11"/>
      <c r="CV227" s="11"/>
      <c r="CW227" s="11"/>
      <c r="CX227" s="11"/>
      <c r="CY227" s="11"/>
      <c r="CZ227" s="11"/>
      <c r="DA227" s="11"/>
      <c r="DB227" s="11"/>
      <c r="DC227" s="11"/>
      <c r="DD227" s="11"/>
      <c r="DE227" s="11"/>
      <c r="DF227" s="11"/>
      <c r="DG227" s="11"/>
      <c r="DH227" s="11"/>
      <c r="DI227" s="11"/>
      <c r="DJ227" s="11"/>
      <c r="DK227" s="11"/>
      <c r="DL227" s="11"/>
      <c r="DM227" s="11"/>
      <c r="DN227" s="11"/>
      <c r="DO227" s="11"/>
      <c r="DP227" s="11"/>
      <c r="DQ227" s="11"/>
      <c r="DR227" s="11"/>
      <c r="DS227" s="11"/>
      <c r="DT227" s="11"/>
      <c r="DU227" s="11"/>
      <c r="DV227" s="11"/>
      <c r="DW227" s="11"/>
      <c r="DX227" s="11"/>
      <c r="DY227" s="11"/>
      <c r="DZ227" s="11"/>
      <c r="EA227" s="11"/>
      <c r="EB227" s="11"/>
      <c r="EC227" s="11"/>
      <c r="ED227" s="11"/>
    </row>
    <row r="228" spans="1:256">
      <c r="A228" s="18" t="str">
        <f>A57</f>
        <v>Bond 14</v>
      </c>
      <c r="B228" s="18">
        <f t="shared" ref="B228:BM228" si="351">B57*B152</f>
        <v>4.7851524573911046</v>
      </c>
      <c r="C228" s="18">
        <f t="shared" si="351"/>
        <v>4.8238232978582154</v>
      </c>
      <c r="D228" s="18">
        <f t="shared" si="351"/>
        <v>4.8606607561578992</v>
      </c>
      <c r="E228" s="18">
        <f t="shared" si="351"/>
        <v>4.8921919709794288</v>
      </c>
      <c r="F228" s="18">
        <f t="shared" si="351"/>
        <v>4.91638510455088</v>
      </c>
      <c r="G228" s="18">
        <f t="shared" si="351"/>
        <v>4.9324829157160375</v>
      </c>
      <c r="H228" s="18">
        <f t="shared" si="351"/>
        <v>4.9402751067628534</v>
      </c>
      <c r="I228" s="18">
        <f t="shared" si="351"/>
        <v>4.9401439408976948</v>
      </c>
      <c r="J228" s="18">
        <f t="shared" si="351"/>
        <v>4.9328243947298809</v>
      </c>
      <c r="K228" s="18">
        <f t="shared" si="351"/>
        <v>4.9191579351499453</v>
      </c>
      <c r="L228" s="18">
        <f t="shared" si="351"/>
        <v>4.9001135500368846</v>
      </c>
      <c r="M228" s="18">
        <f t="shared" si="351"/>
        <v>4.8766497747407449</v>
      </c>
      <c r="N228" s="18">
        <f t="shared" si="351"/>
        <v>4.8497553144271839</v>
      </c>
      <c r="O228" s="18">
        <f t="shared" si="351"/>
        <v>4.8201092532959215</v>
      </c>
      <c r="P228" s="18">
        <f t="shared" si="351"/>
        <v>105.59942130945183</v>
      </c>
      <c r="Q228" s="18">
        <f t="shared" si="351"/>
        <v>0</v>
      </c>
      <c r="R228" s="18">
        <f t="shared" si="351"/>
        <v>0</v>
      </c>
      <c r="S228" s="18">
        <f t="shared" si="351"/>
        <v>0</v>
      </c>
      <c r="T228" s="18">
        <f t="shared" si="351"/>
        <v>0</v>
      </c>
      <c r="U228" s="18">
        <f t="shared" si="351"/>
        <v>0</v>
      </c>
      <c r="V228" s="18">
        <f t="shared" si="351"/>
        <v>0</v>
      </c>
      <c r="W228" s="18">
        <f t="shared" si="351"/>
        <v>0</v>
      </c>
      <c r="X228" s="18">
        <f t="shared" si="351"/>
        <v>0</v>
      </c>
      <c r="Y228" s="18">
        <f t="shared" si="351"/>
        <v>0</v>
      </c>
      <c r="Z228" s="18">
        <f t="shared" si="351"/>
        <v>0</v>
      </c>
      <c r="AA228" s="18">
        <f t="shared" si="351"/>
        <v>0</v>
      </c>
      <c r="AB228" s="18">
        <f t="shared" si="351"/>
        <v>0</v>
      </c>
      <c r="AC228" s="18">
        <f t="shared" si="351"/>
        <v>0</v>
      </c>
      <c r="AD228" s="18">
        <f t="shared" si="351"/>
        <v>0</v>
      </c>
      <c r="AE228" s="18">
        <f t="shared" si="351"/>
        <v>0</v>
      </c>
      <c r="AF228" s="18">
        <f t="shared" si="351"/>
        <v>0</v>
      </c>
      <c r="AG228" s="18">
        <f t="shared" si="351"/>
        <v>0</v>
      </c>
      <c r="AH228" s="18">
        <f t="shared" si="351"/>
        <v>0</v>
      </c>
      <c r="AI228" s="18">
        <f t="shared" si="351"/>
        <v>0</v>
      </c>
      <c r="AJ228" s="18">
        <f t="shared" si="351"/>
        <v>0</v>
      </c>
      <c r="AK228" s="18">
        <f t="shared" si="351"/>
        <v>0</v>
      </c>
      <c r="AL228" s="18">
        <f t="shared" si="351"/>
        <v>0</v>
      </c>
      <c r="AM228" s="18">
        <f t="shared" si="351"/>
        <v>0</v>
      </c>
      <c r="AN228" s="18">
        <f t="shared" si="351"/>
        <v>0</v>
      </c>
      <c r="AO228" s="18">
        <f t="shared" si="351"/>
        <v>0</v>
      </c>
      <c r="AP228" s="18">
        <f t="shared" si="351"/>
        <v>0</v>
      </c>
      <c r="AQ228" s="18">
        <f t="shared" si="351"/>
        <v>0</v>
      </c>
      <c r="AR228" s="18">
        <f t="shared" si="351"/>
        <v>0</v>
      </c>
      <c r="AS228" s="18">
        <f t="shared" si="351"/>
        <v>0</v>
      </c>
      <c r="AT228" s="18">
        <f t="shared" si="351"/>
        <v>0</v>
      </c>
      <c r="AU228" s="18">
        <f t="shared" si="351"/>
        <v>0</v>
      </c>
      <c r="AV228" s="18">
        <f t="shared" si="351"/>
        <v>0</v>
      </c>
      <c r="AW228" s="18">
        <f t="shared" si="351"/>
        <v>0</v>
      </c>
      <c r="AX228" s="18">
        <f t="shared" si="351"/>
        <v>0</v>
      </c>
      <c r="AY228" s="18">
        <f t="shared" si="351"/>
        <v>0</v>
      </c>
      <c r="AZ228" s="18">
        <f t="shared" si="351"/>
        <v>0</v>
      </c>
      <c r="BA228" s="18">
        <f t="shared" si="351"/>
        <v>0</v>
      </c>
      <c r="BB228" s="18">
        <f t="shared" si="351"/>
        <v>0</v>
      </c>
      <c r="BC228" s="18">
        <f t="shared" si="351"/>
        <v>0</v>
      </c>
      <c r="BD228" s="18">
        <f t="shared" si="351"/>
        <v>0</v>
      </c>
      <c r="BE228" s="18">
        <f t="shared" si="351"/>
        <v>0</v>
      </c>
      <c r="BF228" s="18">
        <f t="shared" si="351"/>
        <v>0</v>
      </c>
      <c r="BG228" s="18">
        <f t="shared" si="351"/>
        <v>0</v>
      </c>
      <c r="BH228" s="18">
        <f t="shared" si="351"/>
        <v>0</v>
      </c>
      <c r="BI228" s="18">
        <f t="shared" si="351"/>
        <v>0</v>
      </c>
      <c r="BJ228" s="18">
        <f t="shared" si="351"/>
        <v>0</v>
      </c>
      <c r="BK228" s="18">
        <f t="shared" si="351"/>
        <v>0</v>
      </c>
      <c r="BL228" s="18">
        <f t="shared" si="351"/>
        <v>0</v>
      </c>
      <c r="BM228" s="18">
        <f t="shared" si="351"/>
        <v>0</v>
      </c>
      <c r="BN228" s="18">
        <f t="shared" ref="BN228:CB228" si="352">BN57*BN152</f>
        <v>0</v>
      </c>
      <c r="BO228" s="18">
        <f t="shared" si="352"/>
        <v>0</v>
      </c>
      <c r="BP228" s="18">
        <f t="shared" si="352"/>
        <v>0</v>
      </c>
      <c r="BQ228" s="18">
        <f t="shared" si="352"/>
        <v>0</v>
      </c>
      <c r="BR228" s="18">
        <f t="shared" si="352"/>
        <v>0</v>
      </c>
      <c r="BS228" s="18">
        <f t="shared" si="352"/>
        <v>0</v>
      </c>
      <c r="BT228" s="18">
        <f t="shared" si="352"/>
        <v>0</v>
      </c>
      <c r="BU228" s="18">
        <f t="shared" si="352"/>
        <v>0</v>
      </c>
      <c r="BV228" s="18">
        <f t="shared" si="352"/>
        <v>0</v>
      </c>
      <c r="BW228" s="18">
        <f t="shared" si="352"/>
        <v>0</v>
      </c>
      <c r="BX228" s="18">
        <f t="shared" si="352"/>
        <v>0</v>
      </c>
      <c r="BY228" s="18">
        <f t="shared" si="352"/>
        <v>0</v>
      </c>
      <c r="BZ228" s="18">
        <f t="shared" si="352"/>
        <v>0</v>
      </c>
      <c r="CA228" s="18">
        <f t="shared" si="352"/>
        <v>0</v>
      </c>
      <c r="CB228" s="18">
        <f t="shared" si="352"/>
        <v>0</v>
      </c>
      <c r="CC228" s="17"/>
      <c r="CD228" s="17"/>
      <c r="CE228" s="17"/>
      <c r="CH228" s="5"/>
      <c r="CI228" s="11"/>
      <c r="CJ228" s="11"/>
      <c r="CK228" s="11"/>
      <c r="CL228" s="11"/>
      <c r="CM228" s="11"/>
      <c r="CN228" s="11"/>
      <c r="CO228" s="11"/>
      <c r="CP228" s="11"/>
      <c r="CQ228" s="11"/>
      <c r="CR228" s="11"/>
      <c r="CS228" s="11"/>
      <c r="CT228" s="11"/>
      <c r="CU228" s="11"/>
      <c r="CV228" s="11"/>
      <c r="CW228" s="11"/>
      <c r="CX228" s="11"/>
      <c r="CY228" s="11"/>
      <c r="CZ228" s="11"/>
      <c r="DA228" s="11"/>
      <c r="DB228" s="11"/>
      <c r="DC228" s="11"/>
      <c r="DD228" s="11"/>
      <c r="DE228" s="11"/>
      <c r="DF228" s="11"/>
      <c r="DG228" s="11"/>
      <c r="DH228" s="11"/>
      <c r="DI228" s="11"/>
      <c r="DJ228" s="11"/>
      <c r="DK228" s="11"/>
      <c r="DL228" s="11"/>
      <c r="DM228" s="11"/>
      <c r="DN228" s="11"/>
      <c r="DO228" s="11"/>
      <c r="DP228" s="11"/>
      <c r="DQ228" s="11"/>
      <c r="DR228" s="11"/>
      <c r="DS228" s="11"/>
      <c r="DT228" s="11"/>
      <c r="DU228" s="11"/>
      <c r="DV228" s="11"/>
      <c r="DW228" s="11"/>
      <c r="DX228" s="11"/>
      <c r="DY228" s="11"/>
      <c r="DZ228" s="11"/>
      <c r="EA228" s="11"/>
      <c r="EB228" s="11"/>
      <c r="EC228" s="11"/>
      <c r="ED228" s="11"/>
    </row>
    <row r="229" spans="1:256">
      <c r="A229" s="18" t="str">
        <f>A59</f>
        <v>Bond 15</v>
      </c>
      <c r="B229" s="18">
        <f t="shared" ref="B229:BM229" si="353">B59*B157</f>
        <v>4.2814521987183563</v>
      </c>
      <c r="C229" s="18">
        <f t="shared" si="353"/>
        <v>4.316052424399456</v>
      </c>
      <c r="D229" s="18">
        <f t="shared" si="353"/>
        <v>4.3490122555096988</v>
      </c>
      <c r="E229" s="18">
        <f t="shared" si="353"/>
        <v>4.3772243950868575</v>
      </c>
      <c r="F229" s="18">
        <f t="shared" si="353"/>
        <v>4.3988708830192085</v>
      </c>
      <c r="G229" s="18">
        <f t="shared" si="353"/>
        <v>4.4132741877459285</v>
      </c>
      <c r="H229" s="18">
        <f t="shared" si="353"/>
        <v>4.4202461481562372</v>
      </c>
      <c r="I229" s="18">
        <f t="shared" si="353"/>
        <v>4.4201287892242531</v>
      </c>
      <c r="J229" s="18">
        <f t="shared" si="353"/>
        <v>4.4135797216004189</v>
      </c>
      <c r="K229" s="18">
        <f t="shared" si="353"/>
        <v>4.4013518367131086</v>
      </c>
      <c r="L229" s="18">
        <f t="shared" si="353"/>
        <v>4.3843121237172129</v>
      </c>
      <c r="M229" s="18">
        <f t="shared" si="353"/>
        <v>4.3633182195048779</v>
      </c>
      <c r="N229" s="18">
        <f t="shared" si="353"/>
        <v>4.3392547550137959</v>
      </c>
      <c r="O229" s="18">
        <f t="shared" si="353"/>
        <v>4.3127293318963504</v>
      </c>
      <c r="P229" s="18">
        <f t="shared" si="353"/>
        <v>4.2844633944168997</v>
      </c>
      <c r="Q229" s="18">
        <f t="shared" si="353"/>
        <v>4.2550248431632065</v>
      </c>
      <c r="R229" s="18">
        <f t="shared" si="353"/>
        <v>4.224976059400209</v>
      </c>
      <c r="S229" s="18">
        <f t="shared" si="353"/>
        <v>4.1945418267551062</v>
      </c>
      <c r="T229" s="18">
        <f t="shared" si="353"/>
        <v>4.1641202035634048</v>
      </c>
      <c r="U229" s="18">
        <f t="shared" si="353"/>
        <v>101.40352007938172</v>
      </c>
      <c r="V229" s="18">
        <f t="shared" si="353"/>
        <v>0</v>
      </c>
      <c r="W229" s="18">
        <f t="shared" si="353"/>
        <v>0</v>
      </c>
      <c r="X229" s="18">
        <f t="shared" si="353"/>
        <v>0</v>
      </c>
      <c r="Y229" s="18">
        <f t="shared" si="353"/>
        <v>0</v>
      </c>
      <c r="Z229" s="18">
        <f t="shared" si="353"/>
        <v>0</v>
      </c>
      <c r="AA229" s="18">
        <f t="shared" si="353"/>
        <v>0</v>
      </c>
      <c r="AB229" s="18">
        <f t="shared" si="353"/>
        <v>0</v>
      </c>
      <c r="AC229" s="18">
        <f t="shared" si="353"/>
        <v>0</v>
      </c>
      <c r="AD229" s="18">
        <f t="shared" si="353"/>
        <v>0</v>
      </c>
      <c r="AE229" s="18">
        <f t="shared" si="353"/>
        <v>0</v>
      </c>
      <c r="AF229" s="18">
        <f t="shared" si="353"/>
        <v>0</v>
      </c>
      <c r="AG229" s="18">
        <f t="shared" si="353"/>
        <v>0</v>
      </c>
      <c r="AH229" s="18">
        <f t="shared" si="353"/>
        <v>0</v>
      </c>
      <c r="AI229" s="18">
        <f t="shared" si="353"/>
        <v>0</v>
      </c>
      <c r="AJ229" s="18">
        <f t="shared" si="353"/>
        <v>0</v>
      </c>
      <c r="AK229" s="18">
        <f t="shared" si="353"/>
        <v>0</v>
      </c>
      <c r="AL229" s="18">
        <f t="shared" si="353"/>
        <v>0</v>
      </c>
      <c r="AM229" s="18">
        <f t="shared" si="353"/>
        <v>0</v>
      </c>
      <c r="AN229" s="18">
        <f t="shared" si="353"/>
        <v>0</v>
      </c>
      <c r="AO229" s="18">
        <f t="shared" si="353"/>
        <v>0</v>
      </c>
      <c r="AP229" s="18">
        <f t="shared" si="353"/>
        <v>0</v>
      </c>
      <c r="AQ229" s="18">
        <f t="shared" si="353"/>
        <v>0</v>
      </c>
      <c r="AR229" s="18">
        <f t="shared" si="353"/>
        <v>0</v>
      </c>
      <c r="AS229" s="18">
        <f t="shared" si="353"/>
        <v>0</v>
      </c>
      <c r="AT229" s="18">
        <f t="shared" si="353"/>
        <v>0</v>
      </c>
      <c r="AU229" s="18">
        <f t="shared" si="353"/>
        <v>0</v>
      </c>
      <c r="AV229" s="18">
        <f t="shared" si="353"/>
        <v>0</v>
      </c>
      <c r="AW229" s="18">
        <f t="shared" si="353"/>
        <v>0</v>
      </c>
      <c r="AX229" s="18">
        <f t="shared" si="353"/>
        <v>0</v>
      </c>
      <c r="AY229" s="18">
        <f t="shared" si="353"/>
        <v>0</v>
      </c>
      <c r="AZ229" s="18">
        <f t="shared" si="353"/>
        <v>0</v>
      </c>
      <c r="BA229" s="18">
        <f t="shared" si="353"/>
        <v>0</v>
      </c>
      <c r="BB229" s="18">
        <f t="shared" si="353"/>
        <v>0</v>
      </c>
      <c r="BC229" s="18">
        <f t="shared" si="353"/>
        <v>0</v>
      </c>
      <c r="BD229" s="18">
        <f t="shared" si="353"/>
        <v>0</v>
      </c>
      <c r="BE229" s="18">
        <f t="shared" si="353"/>
        <v>0</v>
      </c>
      <c r="BF229" s="18">
        <f t="shared" si="353"/>
        <v>0</v>
      </c>
      <c r="BG229" s="18">
        <f t="shared" si="353"/>
        <v>0</v>
      </c>
      <c r="BH229" s="18">
        <f t="shared" si="353"/>
        <v>0</v>
      </c>
      <c r="BI229" s="18">
        <f t="shared" si="353"/>
        <v>0</v>
      </c>
      <c r="BJ229" s="18">
        <f t="shared" si="353"/>
        <v>0</v>
      </c>
      <c r="BK229" s="18">
        <f t="shared" si="353"/>
        <v>0</v>
      </c>
      <c r="BL229" s="18">
        <f t="shared" si="353"/>
        <v>0</v>
      </c>
      <c r="BM229" s="18">
        <f t="shared" si="353"/>
        <v>0</v>
      </c>
      <c r="BN229" s="18">
        <f t="shared" ref="BN229:CB229" si="354">BN59*BN157</f>
        <v>0</v>
      </c>
      <c r="BO229" s="18">
        <f t="shared" si="354"/>
        <v>0</v>
      </c>
      <c r="BP229" s="18">
        <f t="shared" si="354"/>
        <v>0</v>
      </c>
      <c r="BQ229" s="18">
        <f t="shared" si="354"/>
        <v>0</v>
      </c>
      <c r="BR229" s="18">
        <f t="shared" si="354"/>
        <v>0</v>
      </c>
      <c r="BS229" s="18">
        <f t="shared" si="354"/>
        <v>0</v>
      </c>
      <c r="BT229" s="18">
        <f t="shared" si="354"/>
        <v>0</v>
      </c>
      <c r="BU229" s="18">
        <f t="shared" si="354"/>
        <v>0</v>
      </c>
      <c r="BV229" s="18">
        <f t="shared" si="354"/>
        <v>0</v>
      </c>
      <c r="BW229" s="18">
        <f t="shared" si="354"/>
        <v>0</v>
      </c>
      <c r="BX229" s="18">
        <f t="shared" si="354"/>
        <v>0</v>
      </c>
      <c r="BY229" s="18">
        <f t="shared" si="354"/>
        <v>0</v>
      </c>
      <c r="BZ229" s="18">
        <f t="shared" si="354"/>
        <v>0</v>
      </c>
      <c r="CA229" s="18">
        <f t="shared" si="354"/>
        <v>0</v>
      </c>
      <c r="CB229" s="18">
        <f t="shared" si="354"/>
        <v>0</v>
      </c>
      <c r="CC229" s="17"/>
      <c r="CD229" s="17"/>
      <c r="CE229" s="17"/>
      <c r="CH229" s="5"/>
      <c r="CI229" s="11"/>
      <c r="CJ229" s="11"/>
      <c r="CK229" s="11"/>
      <c r="CL229" s="11"/>
      <c r="CM229" s="11"/>
      <c r="CN229" s="11"/>
      <c r="CO229" s="11"/>
      <c r="CP229" s="11"/>
      <c r="CQ229" s="11"/>
      <c r="CR229" s="11"/>
      <c r="CS229" s="11"/>
      <c r="CT229" s="11"/>
      <c r="CU229" s="11"/>
      <c r="CV229" s="11"/>
      <c r="CW229" s="11"/>
      <c r="CX229" s="11"/>
      <c r="CY229" s="11"/>
      <c r="CZ229" s="11"/>
      <c r="DA229" s="11"/>
      <c r="DB229" s="11"/>
      <c r="DC229" s="11"/>
      <c r="DD229" s="11"/>
      <c r="DE229" s="11"/>
      <c r="DF229" s="11"/>
      <c r="DG229" s="11"/>
      <c r="DH229" s="11"/>
      <c r="DI229" s="11"/>
      <c r="DJ229" s="11"/>
      <c r="DK229" s="11"/>
      <c r="DL229" s="11"/>
      <c r="DM229" s="11"/>
      <c r="DN229" s="11"/>
      <c r="DO229" s="11"/>
      <c r="DP229" s="11"/>
      <c r="DQ229" s="11"/>
      <c r="DR229" s="11"/>
      <c r="DS229" s="11"/>
      <c r="DT229" s="11"/>
      <c r="DU229" s="11"/>
      <c r="DV229" s="11"/>
      <c r="DW229" s="11"/>
      <c r="DX229" s="11"/>
      <c r="DY229" s="11"/>
      <c r="DZ229" s="11"/>
      <c r="EA229" s="11"/>
      <c r="EB229" s="11"/>
      <c r="EC229" s="11"/>
      <c r="ED229" s="11"/>
    </row>
    <row r="230" spans="1:256">
      <c r="A230" s="18" t="str">
        <f>A61</f>
        <v>Bond 16</v>
      </c>
      <c r="B230" s="18">
        <f t="shared" ref="B230:BM230" si="355">B61*B162</f>
        <v>1.2509824355471475</v>
      </c>
      <c r="C230" s="18">
        <f t="shared" si="355"/>
        <v>1.2603655557678928</v>
      </c>
      <c r="D230" s="18">
        <f t="shared" si="355"/>
        <v>1.2705488916953214</v>
      </c>
      <c r="E230" s="18">
        <f t="shared" si="355"/>
        <v>1.2801246362507503</v>
      </c>
      <c r="F230" s="18">
        <f t="shared" si="355"/>
        <v>1.2882290302981756</v>
      </c>
      <c r="G230" s="18">
        <f t="shared" si="355"/>
        <v>1.2943645703315783</v>
      </c>
      <c r="H230" s="18">
        <f t="shared" si="355"/>
        <v>1.298356718544931</v>
      </c>
      <c r="I230" s="18">
        <f t="shared" si="355"/>
        <v>1.3001687100221768</v>
      </c>
      <c r="J230" s="18">
        <f t="shared" si="355"/>
        <v>1.2999128253210372</v>
      </c>
      <c r="K230" s="18">
        <f t="shared" si="355"/>
        <v>1.2977898925959039</v>
      </c>
      <c r="L230" s="18">
        <f t="shared" si="355"/>
        <v>1.2940236111033774</v>
      </c>
      <c r="M230" s="18">
        <f t="shared" si="355"/>
        <v>1.288870396346107</v>
      </c>
      <c r="N230" s="18">
        <f t="shared" si="355"/>
        <v>1.2825816014556788</v>
      </c>
      <c r="O230" s="18">
        <f t="shared" si="355"/>
        <v>1.275415629767136</v>
      </c>
      <c r="P230" s="18">
        <f t="shared" si="355"/>
        <v>1.2675480731203039</v>
      </c>
      <c r="Q230" s="18">
        <f t="shared" si="355"/>
        <v>1.2591884831575175</v>
      </c>
      <c r="R230" s="18">
        <f t="shared" si="355"/>
        <v>1.2505009180933273</v>
      </c>
      <c r="S230" s="18">
        <f t="shared" si="355"/>
        <v>1.2416479433970473</v>
      </c>
      <c r="T230" s="18">
        <f t="shared" si="355"/>
        <v>1.2326929311053954</v>
      </c>
      <c r="U230" s="18">
        <f t="shared" si="355"/>
        <v>1.2237506112065337</v>
      </c>
      <c r="V230" s="18">
        <f t="shared" si="355"/>
        <v>1.214890993459518</v>
      </c>
      <c r="W230" s="18">
        <f t="shared" si="355"/>
        <v>1.2061903672747589</v>
      </c>
      <c r="X230" s="18">
        <f t="shared" si="355"/>
        <v>1.1976372191229852</v>
      </c>
      <c r="Y230" s="18">
        <f t="shared" si="355"/>
        <v>1.1892801228462699</v>
      </c>
      <c r="Z230" s="18">
        <f t="shared" si="355"/>
        <v>1.1811324002692385</v>
      </c>
      <c r="AA230" s="18">
        <f t="shared" si="355"/>
        <v>1.1732202087519386</v>
      </c>
      <c r="AB230" s="18">
        <f t="shared" si="355"/>
        <v>1.1654966614754454</v>
      </c>
      <c r="AC230" s="18">
        <f t="shared" si="355"/>
        <v>1.157975501664499</v>
      </c>
      <c r="AD230" s="18">
        <f t="shared" si="355"/>
        <v>1.1506435948301474</v>
      </c>
      <c r="AE230" s="18">
        <f t="shared" si="355"/>
        <v>92.623823394363441</v>
      </c>
      <c r="AF230" s="18">
        <f t="shared" si="355"/>
        <v>0</v>
      </c>
      <c r="AG230" s="18">
        <f t="shared" si="355"/>
        <v>0</v>
      </c>
      <c r="AH230" s="18">
        <f t="shared" si="355"/>
        <v>0</v>
      </c>
      <c r="AI230" s="18">
        <f t="shared" si="355"/>
        <v>0</v>
      </c>
      <c r="AJ230" s="18">
        <f t="shared" si="355"/>
        <v>0</v>
      </c>
      <c r="AK230" s="18">
        <f t="shared" si="355"/>
        <v>0</v>
      </c>
      <c r="AL230" s="18">
        <f t="shared" si="355"/>
        <v>0</v>
      </c>
      <c r="AM230" s="18">
        <f t="shared" si="355"/>
        <v>0</v>
      </c>
      <c r="AN230" s="18">
        <f t="shared" si="355"/>
        <v>0</v>
      </c>
      <c r="AO230" s="18">
        <f t="shared" si="355"/>
        <v>0</v>
      </c>
      <c r="AP230" s="18">
        <f t="shared" si="355"/>
        <v>0</v>
      </c>
      <c r="AQ230" s="18">
        <f t="shared" si="355"/>
        <v>0</v>
      </c>
      <c r="AR230" s="18">
        <f t="shared" si="355"/>
        <v>0</v>
      </c>
      <c r="AS230" s="18">
        <f t="shared" si="355"/>
        <v>0</v>
      </c>
      <c r="AT230" s="18">
        <f t="shared" si="355"/>
        <v>0</v>
      </c>
      <c r="AU230" s="18">
        <f t="shared" si="355"/>
        <v>0</v>
      </c>
      <c r="AV230" s="18">
        <f t="shared" si="355"/>
        <v>0</v>
      </c>
      <c r="AW230" s="18">
        <f t="shared" si="355"/>
        <v>0</v>
      </c>
      <c r="AX230" s="18">
        <f t="shared" si="355"/>
        <v>0</v>
      </c>
      <c r="AY230" s="18">
        <f t="shared" si="355"/>
        <v>0</v>
      </c>
      <c r="AZ230" s="18">
        <f t="shared" si="355"/>
        <v>0</v>
      </c>
      <c r="BA230" s="18">
        <f t="shared" si="355"/>
        <v>0</v>
      </c>
      <c r="BB230" s="18">
        <f t="shared" si="355"/>
        <v>0</v>
      </c>
      <c r="BC230" s="18">
        <f t="shared" si="355"/>
        <v>0</v>
      </c>
      <c r="BD230" s="18">
        <f t="shared" si="355"/>
        <v>0</v>
      </c>
      <c r="BE230" s="18">
        <f t="shared" si="355"/>
        <v>0</v>
      </c>
      <c r="BF230" s="18">
        <f t="shared" si="355"/>
        <v>0</v>
      </c>
      <c r="BG230" s="18">
        <f t="shared" si="355"/>
        <v>0</v>
      </c>
      <c r="BH230" s="18">
        <f t="shared" si="355"/>
        <v>0</v>
      </c>
      <c r="BI230" s="18">
        <f t="shared" si="355"/>
        <v>0</v>
      </c>
      <c r="BJ230" s="18">
        <f t="shared" si="355"/>
        <v>0</v>
      </c>
      <c r="BK230" s="18">
        <f t="shared" si="355"/>
        <v>0</v>
      </c>
      <c r="BL230" s="18">
        <f t="shared" si="355"/>
        <v>0</v>
      </c>
      <c r="BM230" s="18">
        <f t="shared" si="355"/>
        <v>0</v>
      </c>
      <c r="BN230" s="18">
        <f t="shared" ref="BN230:CB230" si="356">BN61*BN162</f>
        <v>0</v>
      </c>
      <c r="BO230" s="18">
        <f t="shared" si="356"/>
        <v>0</v>
      </c>
      <c r="BP230" s="18">
        <f t="shared" si="356"/>
        <v>0</v>
      </c>
      <c r="BQ230" s="18">
        <f t="shared" si="356"/>
        <v>0</v>
      </c>
      <c r="BR230" s="18">
        <f t="shared" si="356"/>
        <v>0</v>
      </c>
      <c r="BS230" s="18">
        <f t="shared" si="356"/>
        <v>0</v>
      </c>
      <c r="BT230" s="18">
        <f t="shared" si="356"/>
        <v>0</v>
      </c>
      <c r="BU230" s="18">
        <f t="shared" si="356"/>
        <v>0</v>
      </c>
      <c r="BV230" s="18">
        <f t="shared" si="356"/>
        <v>0</v>
      </c>
      <c r="BW230" s="18">
        <f t="shared" si="356"/>
        <v>0</v>
      </c>
      <c r="BX230" s="18">
        <f t="shared" si="356"/>
        <v>0</v>
      </c>
      <c r="BY230" s="18">
        <f t="shared" si="356"/>
        <v>0</v>
      </c>
      <c r="BZ230" s="18">
        <f t="shared" si="356"/>
        <v>0</v>
      </c>
      <c r="CA230" s="18">
        <f t="shared" si="356"/>
        <v>0</v>
      </c>
      <c r="CB230" s="18">
        <f t="shared" si="356"/>
        <v>0</v>
      </c>
      <c r="CC230" s="17"/>
      <c r="CD230" s="17"/>
      <c r="CE230" s="17"/>
      <c r="CH230" s="5"/>
      <c r="CI230" s="11"/>
      <c r="CJ230" s="11"/>
      <c r="CK230" s="11"/>
      <c r="CL230" s="11"/>
      <c r="CM230" s="11"/>
      <c r="CN230" s="11"/>
      <c r="CO230" s="11"/>
      <c r="CP230" s="11"/>
      <c r="CQ230" s="11"/>
      <c r="CR230" s="11"/>
      <c r="CS230" s="11"/>
      <c r="CT230" s="11"/>
      <c r="CU230" s="11"/>
      <c r="CV230" s="11"/>
      <c r="CW230" s="11"/>
      <c r="CX230" s="11"/>
      <c r="CY230" s="11"/>
      <c r="CZ230" s="11"/>
      <c r="DA230" s="11"/>
      <c r="DB230" s="11"/>
      <c r="DC230" s="11"/>
      <c r="DD230" s="11"/>
      <c r="DE230" s="11"/>
      <c r="DF230" s="11"/>
      <c r="DG230" s="11"/>
      <c r="DH230" s="11"/>
      <c r="DI230" s="11"/>
      <c r="DJ230" s="11"/>
      <c r="DK230" s="11"/>
      <c r="DL230" s="11"/>
      <c r="DM230" s="11"/>
      <c r="DN230" s="11"/>
      <c r="DO230" s="11"/>
      <c r="DP230" s="11"/>
      <c r="DQ230" s="11"/>
      <c r="DR230" s="11"/>
      <c r="DS230" s="11"/>
      <c r="DT230" s="11"/>
      <c r="DU230" s="11"/>
      <c r="DV230" s="11"/>
      <c r="DW230" s="11"/>
      <c r="DX230" s="11"/>
      <c r="DY230" s="11"/>
      <c r="DZ230" s="11"/>
      <c r="EA230" s="11"/>
      <c r="EB230" s="11"/>
      <c r="EC230" s="11"/>
      <c r="ED230" s="11"/>
      <c r="EE230" s="11"/>
      <c r="EF230" s="11"/>
      <c r="EG230" s="11"/>
      <c r="EH230" s="11"/>
      <c r="EI230" s="11"/>
      <c r="EJ230" s="11"/>
      <c r="EK230" s="11"/>
      <c r="EL230" s="11"/>
      <c r="EM230" s="11"/>
      <c r="EN230" s="11"/>
      <c r="EO230" s="11"/>
      <c r="EP230" s="11"/>
      <c r="EQ230" s="11"/>
      <c r="ER230" s="11"/>
      <c r="ES230" s="11"/>
      <c r="ET230" s="11"/>
      <c r="EU230" s="11"/>
      <c r="EV230" s="11"/>
      <c r="EW230" s="11"/>
      <c r="EX230" s="11"/>
      <c r="EY230" s="11"/>
      <c r="EZ230" s="11"/>
      <c r="FA230" s="11"/>
      <c r="FB230" s="11"/>
      <c r="FC230" s="11"/>
      <c r="FD230" s="11"/>
      <c r="FE230" s="11"/>
      <c r="FF230" s="11"/>
      <c r="FG230" s="11"/>
      <c r="FH230" s="11"/>
      <c r="FI230" s="11"/>
      <c r="FJ230" s="11"/>
      <c r="FK230" s="11"/>
      <c r="FL230" s="11"/>
    </row>
    <row r="231" spans="1:256">
      <c r="A231" s="18" t="str">
        <f>A63</f>
        <v>Bond 17</v>
      </c>
      <c r="B231" s="18">
        <f t="shared" ref="B231:BM231" si="357">B63*B167</f>
        <v>0</v>
      </c>
      <c r="C231" s="18">
        <f t="shared" si="357"/>
        <v>0</v>
      </c>
      <c r="D231" s="18">
        <f t="shared" si="357"/>
        <v>0</v>
      </c>
      <c r="E231" s="18">
        <f t="shared" si="357"/>
        <v>0</v>
      </c>
      <c r="F231" s="18">
        <f t="shared" si="357"/>
        <v>0</v>
      </c>
      <c r="G231" s="18">
        <f t="shared" si="357"/>
        <v>0</v>
      </c>
      <c r="H231" s="18">
        <f t="shared" si="357"/>
        <v>0</v>
      </c>
      <c r="I231" s="18">
        <f t="shared" si="357"/>
        <v>0</v>
      </c>
      <c r="J231" s="18">
        <f t="shared" si="357"/>
        <v>0</v>
      </c>
      <c r="K231" s="18">
        <f t="shared" si="357"/>
        <v>0</v>
      </c>
      <c r="L231" s="18">
        <f t="shared" si="357"/>
        <v>0</v>
      </c>
      <c r="M231" s="18">
        <f t="shared" si="357"/>
        <v>0</v>
      </c>
      <c r="N231" s="18">
        <f t="shared" si="357"/>
        <v>0</v>
      </c>
      <c r="O231" s="18">
        <f t="shared" si="357"/>
        <v>0</v>
      </c>
      <c r="P231" s="18">
        <f t="shared" si="357"/>
        <v>0</v>
      </c>
      <c r="Q231" s="18">
        <f t="shared" si="357"/>
        <v>0</v>
      </c>
      <c r="R231" s="18">
        <f t="shared" si="357"/>
        <v>0</v>
      </c>
      <c r="S231" s="18">
        <f t="shared" si="357"/>
        <v>0</v>
      </c>
      <c r="T231" s="18">
        <f t="shared" si="357"/>
        <v>0</v>
      </c>
      <c r="U231" s="18">
        <f t="shared" si="357"/>
        <v>0</v>
      </c>
      <c r="V231" s="18">
        <f t="shared" si="357"/>
        <v>0</v>
      </c>
      <c r="W231" s="18">
        <f t="shared" si="357"/>
        <v>0</v>
      </c>
      <c r="X231" s="18">
        <f t="shared" si="357"/>
        <v>0</v>
      </c>
      <c r="Y231" s="18">
        <f t="shared" si="357"/>
        <v>0</v>
      </c>
      <c r="Z231" s="18">
        <f t="shared" si="357"/>
        <v>0</v>
      </c>
      <c r="AA231" s="18">
        <f t="shared" si="357"/>
        <v>0</v>
      </c>
      <c r="AB231" s="18">
        <f t="shared" si="357"/>
        <v>0</v>
      </c>
      <c r="AC231" s="18">
        <f t="shared" si="357"/>
        <v>0</v>
      </c>
      <c r="AD231" s="18">
        <f t="shared" si="357"/>
        <v>0</v>
      </c>
      <c r="AE231" s="18">
        <f t="shared" si="357"/>
        <v>0</v>
      </c>
      <c r="AF231" s="18">
        <f t="shared" si="357"/>
        <v>0</v>
      </c>
      <c r="AG231" s="18">
        <f t="shared" si="357"/>
        <v>0</v>
      </c>
      <c r="AH231" s="18">
        <f t="shared" si="357"/>
        <v>0</v>
      </c>
      <c r="AI231" s="18">
        <f t="shared" si="357"/>
        <v>0</v>
      </c>
      <c r="AJ231" s="18">
        <f t="shared" si="357"/>
        <v>0</v>
      </c>
      <c r="AK231" s="18">
        <f t="shared" si="357"/>
        <v>0</v>
      </c>
      <c r="AL231" s="18">
        <f t="shared" si="357"/>
        <v>0</v>
      </c>
      <c r="AM231" s="18">
        <f t="shared" si="357"/>
        <v>0</v>
      </c>
      <c r="AN231" s="18">
        <f t="shared" si="357"/>
        <v>0</v>
      </c>
      <c r="AO231" s="18">
        <f t="shared" si="357"/>
        <v>0</v>
      </c>
      <c r="AP231" s="18">
        <f t="shared" si="357"/>
        <v>0</v>
      </c>
      <c r="AQ231" s="18">
        <f t="shared" si="357"/>
        <v>0</v>
      </c>
      <c r="AR231" s="18">
        <f t="shared" si="357"/>
        <v>0</v>
      </c>
      <c r="AS231" s="18">
        <f t="shared" si="357"/>
        <v>0</v>
      </c>
      <c r="AT231" s="18">
        <f t="shared" si="357"/>
        <v>0</v>
      </c>
      <c r="AU231" s="18">
        <f t="shared" si="357"/>
        <v>0</v>
      </c>
      <c r="AV231" s="18">
        <f t="shared" si="357"/>
        <v>0</v>
      </c>
      <c r="AW231" s="18">
        <f t="shared" si="357"/>
        <v>0</v>
      </c>
      <c r="AX231" s="18">
        <f t="shared" si="357"/>
        <v>0</v>
      </c>
      <c r="AY231" s="18">
        <f t="shared" si="357"/>
        <v>0</v>
      </c>
      <c r="AZ231" s="18">
        <f t="shared" si="357"/>
        <v>0</v>
      </c>
      <c r="BA231" s="18">
        <f t="shared" si="357"/>
        <v>0</v>
      </c>
      <c r="BB231" s="18">
        <f t="shared" si="357"/>
        <v>0</v>
      </c>
      <c r="BC231" s="18">
        <f t="shared" si="357"/>
        <v>0</v>
      </c>
      <c r="BD231" s="18">
        <f t="shared" si="357"/>
        <v>0</v>
      </c>
      <c r="BE231" s="18">
        <f t="shared" si="357"/>
        <v>0</v>
      </c>
      <c r="BF231" s="18">
        <f t="shared" si="357"/>
        <v>0</v>
      </c>
      <c r="BG231" s="18">
        <f t="shared" si="357"/>
        <v>0</v>
      </c>
      <c r="BH231" s="18">
        <f t="shared" si="357"/>
        <v>0</v>
      </c>
      <c r="BI231" s="18">
        <f t="shared" si="357"/>
        <v>0</v>
      </c>
      <c r="BJ231" s="18">
        <f t="shared" si="357"/>
        <v>0</v>
      </c>
      <c r="BK231" s="18">
        <f t="shared" si="357"/>
        <v>0</v>
      </c>
      <c r="BL231" s="18">
        <f t="shared" si="357"/>
        <v>0</v>
      </c>
      <c r="BM231" s="18">
        <f t="shared" si="357"/>
        <v>0</v>
      </c>
      <c r="BN231" s="18">
        <f t="shared" ref="BN231:CB231" si="358">BN63*BN167</f>
        <v>0</v>
      </c>
      <c r="BO231" s="18">
        <f t="shared" si="358"/>
        <v>0</v>
      </c>
      <c r="BP231" s="18">
        <f t="shared" si="358"/>
        <v>0</v>
      </c>
      <c r="BQ231" s="18">
        <f t="shared" si="358"/>
        <v>0</v>
      </c>
      <c r="BR231" s="18">
        <f t="shared" si="358"/>
        <v>0</v>
      </c>
      <c r="BS231" s="18">
        <f t="shared" si="358"/>
        <v>0</v>
      </c>
      <c r="BT231" s="18">
        <f t="shared" si="358"/>
        <v>0</v>
      </c>
      <c r="BU231" s="18">
        <f t="shared" si="358"/>
        <v>0</v>
      </c>
      <c r="BV231" s="18">
        <f t="shared" si="358"/>
        <v>0</v>
      </c>
      <c r="BW231" s="18">
        <f t="shared" si="358"/>
        <v>0</v>
      </c>
      <c r="BX231" s="18">
        <f t="shared" si="358"/>
        <v>0</v>
      </c>
      <c r="BY231" s="18">
        <f t="shared" si="358"/>
        <v>0</v>
      </c>
      <c r="BZ231" s="18">
        <f t="shared" si="358"/>
        <v>0</v>
      </c>
      <c r="CA231" s="18">
        <f t="shared" si="358"/>
        <v>0</v>
      </c>
      <c r="CB231" s="18">
        <f t="shared" si="358"/>
        <v>0</v>
      </c>
      <c r="CC231" s="17"/>
      <c r="CD231" s="17"/>
      <c r="CE231" s="17"/>
      <c r="CH231" s="5"/>
      <c r="CI231" s="11"/>
      <c r="CJ231" s="11"/>
      <c r="CK231" s="11"/>
      <c r="CL231" s="11"/>
      <c r="CM231" s="11"/>
      <c r="CN231" s="11"/>
      <c r="CO231" s="11"/>
      <c r="CP231" s="11"/>
      <c r="CQ231" s="11"/>
      <c r="CR231" s="11"/>
      <c r="CS231" s="11"/>
      <c r="CT231" s="11"/>
      <c r="CU231" s="11"/>
      <c r="CV231" s="11"/>
      <c r="CW231" s="11"/>
      <c r="CX231" s="11"/>
      <c r="CY231" s="11"/>
      <c r="CZ231" s="11"/>
      <c r="DA231" s="11"/>
      <c r="DB231" s="11"/>
      <c r="DC231" s="11"/>
      <c r="DD231" s="11"/>
      <c r="DE231" s="11"/>
      <c r="DF231" s="11"/>
      <c r="DG231" s="11"/>
      <c r="DH231" s="11"/>
      <c r="DI231" s="11"/>
      <c r="DJ231" s="11"/>
      <c r="DK231" s="11"/>
      <c r="DL231" s="11"/>
      <c r="DM231" s="11"/>
      <c r="DN231" s="11"/>
      <c r="DO231" s="11"/>
      <c r="DP231" s="11"/>
      <c r="DQ231" s="11"/>
      <c r="DR231" s="11"/>
      <c r="DS231" s="11"/>
      <c r="DT231" s="11"/>
      <c r="DU231" s="11"/>
      <c r="DV231" s="11"/>
      <c r="DW231" s="11"/>
      <c r="DX231" s="11"/>
      <c r="DY231" s="11"/>
      <c r="DZ231" s="11"/>
      <c r="EA231" s="11"/>
      <c r="EB231" s="11"/>
      <c r="EC231" s="11"/>
      <c r="ED231" s="11"/>
      <c r="EE231" s="11"/>
      <c r="EF231" s="11"/>
      <c r="EG231" s="11"/>
      <c r="EH231" s="11"/>
      <c r="EI231" s="11"/>
      <c r="EJ231" s="11"/>
      <c r="EK231" s="11"/>
      <c r="EL231" s="11"/>
      <c r="EM231" s="11"/>
    </row>
    <row r="232" spans="1:256">
      <c r="A232" s="18" t="str">
        <f>A65</f>
        <v>Bond 18</v>
      </c>
      <c r="B232" s="18">
        <f t="shared" ref="B232:BM232" si="359">B65*B172</f>
        <v>0</v>
      </c>
      <c r="C232" s="18">
        <f t="shared" si="359"/>
        <v>0</v>
      </c>
      <c r="D232" s="18">
        <f t="shared" si="359"/>
        <v>0</v>
      </c>
      <c r="E232" s="18">
        <f t="shared" si="359"/>
        <v>0</v>
      </c>
      <c r="F232" s="18">
        <f t="shared" si="359"/>
        <v>0</v>
      </c>
      <c r="G232" s="18">
        <f t="shared" si="359"/>
        <v>0</v>
      </c>
      <c r="H232" s="18">
        <f t="shared" si="359"/>
        <v>0</v>
      </c>
      <c r="I232" s="18">
        <f t="shared" si="359"/>
        <v>0</v>
      </c>
      <c r="J232" s="18">
        <f t="shared" si="359"/>
        <v>0</v>
      </c>
      <c r="K232" s="18">
        <f t="shared" si="359"/>
        <v>0</v>
      </c>
      <c r="L232" s="18">
        <f t="shared" si="359"/>
        <v>0</v>
      </c>
      <c r="M232" s="18">
        <f t="shared" si="359"/>
        <v>0</v>
      </c>
      <c r="N232" s="18">
        <f t="shared" si="359"/>
        <v>0</v>
      </c>
      <c r="O232" s="18">
        <f t="shared" si="359"/>
        <v>0</v>
      </c>
      <c r="P232" s="18">
        <f t="shared" si="359"/>
        <v>0</v>
      </c>
      <c r="Q232" s="18">
        <f t="shared" si="359"/>
        <v>0</v>
      </c>
      <c r="R232" s="18">
        <f t="shared" si="359"/>
        <v>0</v>
      </c>
      <c r="S232" s="18">
        <f t="shared" si="359"/>
        <v>0</v>
      </c>
      <c r="T232" s="18">
        <f t="shared" si="359"/>
        <v>0</v>
      </c>
      <c r="U232" s="18">
        <f t="shared" si="359"/>
        <v>0</v>
      </c>
      <c r="V232" s="18">
        <f t="shared" si="359"/>
        <v>0</v>
      </c>
      <c r="W232" s="18">
        <f t="shared" si="359"/>
        <v>0</v>
      </c>
      <c r="X232" s="18">
        <f t="shared" si="359"/>
        <v>0</v>
      </c>
      <c r="Y232" s="18">
        <f t="shared" si="359"/>
        <v>0</v>
      </c>
      <c r="Z232" s="18">
        <f t="shared" si="359"/>
        <v>0</v>
      </c>
      <c r="AA232" s="18">
        <f t="shared" si="359"/>
        <v>0</v>
      </c>
      <c r="AB232" s="18">
        <f t="shared" si="359"/>
        <v>0</v>
      </c>
      <c r="AC232" s="18">
        <f t="shared" si="359"/>
        <v>0</v>
      </c>
      <c r="AD232" s="18">
        <f t="shared" si="359"/>
        <v>0</v>
      </c>
      <c r="AE232" s="18">
        <f t="shared" si="359"/>
        <v>0</v>
      </c>
      <c r="AF232" s="18">
        <f t="shared" si="359"/>
        <v>0</v>
      </c>
      <c r="AG232" s="18">
        <f t="shared" si="359"/>
        <v>0</v>
      </c>
      <c r="AH232" s="18">
        <f t="shared" si="359"/>
        <v>0</v>
      </c>
      <c r="AI232" s="18">
        <f t="shared" si="359"/>
        <v>0</v>
      </c>
      <c r="AJ232" s="18">
        <f t="shared" si="359"/>
        <v>0</v>
      </c>
      <c r="AK232" s="18">
        <f t="shared" si="359"/>
        <v>0</v>
      </c>
      <c r="AL232" s="18">
        <f t="shared" si="359"/>
        <v>0</v>
      </c>
      <c r="AM232" s="18">
        <f t="shared" si="359"/>
        <v>0</v>
      </c>
      <c r="AN232" s="18">
        <f t="shared" si="359"/>
        <v>0</v>
      </c>
      <c r="AO232" s="18">
        <f t="shared" si="359"/>
        <v>0</v>
      </c>
      <c r="AP232" s="18">
        <f t="shared" si="359"/>
        <v>0</v>
      </c>
      <c r="AQ232" s="18">
        <f t="shared" si="359"/>
        <v>0</v>
      </c>
      <c r="AR232" s="18">
        <f t="shared" si="359"/>
        <v>0</v>
      </c>
      <c r="AS232" s="18">
        <f t="shared" si="359"/>
        <v>0</v>
      </c>
      <c r="AT232" s="18">
        <f t="shared" si="359"/>
        <v>0</v>
      </c>
      <c r="AU232" s="18">
        <f t="shared" si="359"/>
        <v>0</v>
      </c>
      <c r="AV232" s="18">
        <f t="shared" si="359"/>
        <v>0</v>
      </c>
      <c r="AW232" s="18">
        <f t="shared" si="359"/>
        <v>0</v>
      </c>
      <c r="AX232" s="18">
        <f t="shared" si="359"/>
        <v>0</v>
      </c>
      <c r="AY232" s="18">
        <f t="shared" si="359"/>
        <v>0</v>
      </c>
      <c r="AZ232" s="18">
        <f t="shared" si="359"/>
        <v>0</v>
      </c>
      <c r="BA232" s="18">
        <f t="shared" si="359"/>
        <v>0</v>
      </c>
      <c r="BB232" s="18">
        <f t="shared" si="359"/>
        <v>0</v>
      </c>
      <c r="BC232" s="18">
        <f t="shared" si="359"/>
        <v>0</v>
      </c>
      <c r="BD232" s="18">
        <f t="shared" si="359"/>
        <v>0</v>
      </c>
      <c r="BE232" s="18">
        <f t="shared" si="359"/>
        <v>0</v>
      </c>
      <c r="BF232" s="18">
        <f t="shared" si="359"/>
        <v>0</v>
      </c>
      <c r="BG232" s="18">
        <f t="shared" si="359"/>
        <v>0</v>
      </c>
      <c r="BH232" s="18">
        <f t="shared" si="359"/>
        <v>0</v>
      </c>
      <c r="BI232" s="18">
        <f t="shared" si="359"/>
        <v>0</v>
      </c>
      <c r="BJ232" s="18">
        <f t="shared" si="359"/>
        <v>0</v>
      </c>
      <c r="BK232" s="18">
        <f t="shared" si="359"/>
        <v>0</v>
      </c>
      <c r="BL232" s="18">
        <f t="shared" si="359"/>
        <v>0</v>
      </c>
      <c r="BM232" s="18">
        <f t="shared" si="359"/>
        <v>0</v>
      </c>
      <c r="BN232" s="18">
        <f t="shared" ref="BN232:CB232" si="360">BN65*BN172</f>
        <v>0</v>
      </c>
      <c r="BO232" s="18">
        <f t="shared" si="360"/>
        <v>0</v>
      </c>
      <c r="BP232" s="18">
        <f t="shared" si="360"/>
        <v>0</v>
      </c>
      <c r="BQ232" s="18">
        <f t="shared" si="360"/>
        <v>0</v>
      </c>
      <c r="BR232" s="18">
        <f t="shared" si="360"/>
        <v>0</v>
      </c>
      <c r="BS232" s="18">
        <f t="shared" si="360"/>
        <v>0</v>
      </c>
      <c r="BT232" s="18">
        <f t="shared" si="360"/>
        <v>0</v>
      </c>
      <c r="BU232" s="18">
        <f t="shared" si="360"/>
        <v>0</v>
      </c>
      <c r="BV232" s="18">
        <f t="shared" si="360"/>
        <v>0</v>
      </c>
      <c r="BW232" s="18">
        <f t="shared" si="360"/>
        <v>0</v>
      </c>
      <c r="BX232" s="18">
        <f t="shared" si="360"/>
        <v>0</v>
      </c>
      <c r="BY232" s="18">
        <f t="shared" si="360"/>
        <v>0</v>
      </c>
      <c r="BZ232" s="18">
        <f t="shared" si="360"/>
        <v>0</v>
      </c>
      <c r="CA232" s="18">
        <f t="shared" si="360"/>
        <v>0</v>
      </c>
      <c r="CB232" s="18">
        <f t="shared" si="360"/>
        <v>0</v>
      </c>
      <c r="CC232" s="17"/>
      <c r="CD232" s="17"/>
      <c r="CE232" s="17"/>
      <c r="CH232" s="5"/>
      <c r="CI232" s="11"/>
      <c r="CJ232" s="11"/>
      <c r="CK232" s="11"/>
      <c r="CL232" s="11"/>
      <c r="CM232" s="11"/>
      <c r="CN232" s="11"/>
      <c r="CO232" s="11"/>
      <c r="CP232" s="11"/>
      <c r="CQ232" s="11"/>
      <c r="CR232" s="11"/>
      <c r="CS232" s="11"/>
      <c r="CT232" s="11"/>
      <c r="CU232" s="11"/>
      <c r="CV232" s="11"/>
      <c r="CW232" s="11"/>
      <c r="CX232" s="11"/>
      <c r="CY232" s="11"/>
      <c r="CZ232" s="11"/>
      <c r="DA232" s="11"/>
      <c r="DB232" s="11"/>
      <c r="DC232" s="11"/>
      <c r="DD232" s="11"/>
      <c r="DE232" s="11"/>
      <c r="DF232" s="11"/>
      <c r="DG232" s="11"/>
      <c r="DH232" s="11"/>
      <c r="DI232" s="11"/>
      <c r="DJ232" s="11"/>
      <c r="DK232" s="11"/>
      <c r="DL232" s="11"/>
      <c r="DM232" s="11"/>
      <c r="DN232" s="11"/>
      <c r="DO232" s="11"/>
      <c r="DP232" s="11"/>
      <c r="DQ232" s="11"/>
      <c r="DR232" s="11"/>
      <c r="DS232" s="11"/>
      <c r="DT232" s="11"/>
      <c r="DU232" s="11"/>
      <c r="DV232" s="11"/>
      <c r="DW232" s="11"/>
      <c r="DX232" s="11"/>
      <c r="DY232" s="11"/>
      <c r="DZ232" s="11"/>
      <c r="EA232" s="11"/>
      <c r="EB232" s="11"/>
      <c r="EC232" s="11"/>
      <c r="ED232" s="11"/>
      <c r="EE232" s="11"/>
      <c r="EF232" s="11"/>
    </row>
    <row r="233" spans="1:256">
      <c r="A233" s="18" t="str">
        <f>A67</f>
        <v>Bond 19</v>
      </c>
      <c r="B233" s="18">
        <f t="shared" ref="B233:BM233" si="361">B67*B177</f>
        <v>0</v>
      </c>
      <c r="C233" s="18">
        <f t="shared" si="361"/>
        <v>0</v>
      </c>
      <c r="D233" s="18">
        <f t="shared" si="361"/>
        <v>0</v>
      </c>
      <c r="E233" s="18">
        <f t="shared" si="361"/>
        <v>0</v>
      </c>
      <c r="F233" s="18">
        <f t="shared" si="361"/>
        <v>0</v>
      </c>
      <c r="G233" s="18">
        <f t="shared" si="361"/>
        <v>0</v>
      </c>
      <c r="H233" s="18">
        <f t="shared" si="361"/>
        <v>0</v>
      </c>
      <c r="I233" s="18">
        <f t="shared" si="361"/>
        <v>0</v>
      </c>
      <c r="J233" s="18">
        <f t="shared" si="361"/>
        <v>0</v>
      </c>
      <c r="K233" s="18">
        <f t="shared" si="361"/>
        <v>0</v>
      </c>
      <c r="L233" s="18">
        <f t="shared" si="361"/>
        <v>0</v>
      </c>
      <c r="M233" s="18">
        <f t="shared" si="361"/>
        <v>0</v>
      </c>
      <c r="N233" s="18">
        <f t="shared" si="361"/>
        <v>0</v>
      </c>
      <c r="O233" s="18">
        <f t="shared" si="361"/>
        <v>0</v>
      </c>
      <c r="P233" s="18">
        <f t="shared" si="361"/>
        <v>0</v>
      </c>
      <c r="Q233" s="18">
        <f t="shared" si="361"/>
        <v>0</v>
      </c>
      <c r="R233" s="18">
        <f t="shared" si="361"/>
        <v>0</v>
      </c>
      <c r="S233" s="18">
        <f t="shared" si="361"/>
        <v>0</v>
      </c>
      <c r="T233" s="18">
        <f t="shared" si="361"/>
        <v>0</v>
      </c>
      <c r="U233" s="18">
        <f t="shared" si="361"/>
        <v>0</v>
      </c>
      <c r="V233" s="18">
        <f t="shared" si="361"/>
        <v>0</v>
      </c>
      <c r="W233" s="18">
        <f t="shared" si="361"/>
        <v>0</v>
      </c>
      <c r="X233" s="18">
        <f t="shared" si="361"/>
        <v>0</v>
      </c>
      <c r="Y233" s="18">
        <f t="shared" si="361"/>
        <v>0</v>
      </c>
      <c r="Z233" s="18">
        <f t="shared" si="361"/>
        <v>0</v>
      </c>
      <c r="AA233" s="18">
        <f t="shared" si="361"/>
        <v>0</v>
      </c>
      <c r="AB233" s="18">
        <f t="shared" si="361"/>
        <v>0</v>
      </c>
      <c r="AC233" s="18">
        <f t="shared" si="361"/>
        <v>0</v>
      </c>
      <c r="AD233" s="18">
        <f t="shared" si="361"/>
        <v>0</v>
      </c>
      <c r="AE233" s="18">
        <f t="shared" si="361"/>
        <v>0</v>
      </c>
      <c r="AF233" s="18">
        <f t="shared" si="361"/>
        <v>0</v>
      </c>
      <c r="AG233" s="18">
        <f t="shared" si="361"/>
        <v>0</v>
      </c>
      <c r="AH233" s="18">
        <f t="shared" si="361"/>
        <v>0</v>
      </c>
      <c r="AI233" s="18">
        <f t="shared" si="361"/>
        <v>0</v>
      </c>
      <c r="AJ233" s="18">
        <f t="shared" si="361"/>
        <v>0</v>
      </c>
      <c r="AK233" s="18">
        <f t="shared" si="361"/>
        <v>0</v>
      </c>
      <c r="AL233" s="18">
        <f t="shared" si="361"/>
        <v>0</v>
      </c>
      <c r="AM233" s="18">
        <f t="shared" si="361"/>
        <v>0</v>
      </c>
      <c r="AN233" s="18">
        <f t="shared" si="361"/>
        <v>0</v>
      </c>
      <c r="AO233" s="18">
        <f t="shared" si="361"/>
        <v>0</v>
      </c>
      <c r="AP233" s="18">
        <f t="shared" si="361"/>
        <v>0</v>
      </c>
      <c r="AQ233" s="18">
        <f t="shared" si="361"/>
        <v>0</v>
      </c>
      <c r="AR233" s="18">
        <f t="shared" si="361"/>
        <v>0</v>
      </c>
      <c r="AS233" s="18">
        <f t="shared" si="361"/>
        <v>0</v>
      </c>
      <c r="AT233" s="18">
        <f t="shared" si="361"/>
        <v>0</v>
      </c>
      <c r="AU233" s="18">
        <f t="shared" si="361"/>
        <v>0</v>
      </c>
      <c r="AV233" s="18">
        <f t="shared" si="361"/>
        <v>0</v>
      </c>
      <c r="AW233" s="18">
        <f t="shared" si="361"/>
        <v>0</v>
      </c>
      <c r="AX233" s="18">
        <f t="shared" si="361"/>
        <v>0</v>
      </c>
      <c r="AY233" s="18">
        <f t="shared" si="361"/>
        <v>0</v>
      </c>
      <c r="AZ233" s="18">
        <f t="shared" si="361"/>
        <v>0</v>
      </c>
      <c r="BA233" s="18">
        <f t="shared" si="361"/>
        <v>0</v>
      </c>
      <c r="BB233" s="18">
        <f t="shared" si="361"/>
        <v>0</v>
      </c>
      <c r="BC233" s="18">
        <f t="shared" si="361"/>
        <v>0</v>
      </c>
      <c r="BD233" s="18">
        <f t="shared" si="361"/>
        <v>0</v>
      </c>
      <c r="BE233" s="18">
        <f t="shared" si="361"/>
        <v>0</v>
      </c>
      <c r="BF233" s="18">
        <f t="shared" si="361"/>
        <v>0</v>
      </c>
      <c r="BG233" s="18">
        <f t="shared" si="361"/>
        <v>0</v>
      </c>
      <c r="BH233" s="18">
        <f t="shared" si="361"/>
        <v>0</v>
      </c>
      <c r="BI233" s="18">
        <f t="shared" si="361"/>
        <v>0</v>
      </c>
      <c r="BJ233" s="18">
        <f t="shared" si="361"/>
        <v>0</v>
      </c>
      <c r="BK233" s="18">
        <f t="shared" si="361"/>
        <v>0</v>
      </c>
      <c r="BL233" s="18">
        <f t="shared" si="361"/>
        <v>0</v>
      </c>
      <c r="BM233" s="18">
        <f t="shared" si="361"/>
        <v>0</v>
      </c>
      <c r="BN233" s="18">
        <f t="shared" ref="BN233:CB233" si="362">BN67*BN177</f>
        <v>0</v>
      </c>
      <c r="BO233" s="18">
        <f t="shared" si="362"/>
        <v>0</v>
      </c>
      <c r="BP233" s="18">
        <f t="shared" si="362"/>
        <v>0</v>
      </c>
      <c r="BQ233" s="18">
        <f t="shared" si="362"/>
        <v>0</v>
      </c>
      <c r="BR233" s="18">
        <f t="shared" si="362"/>
        <v>0</v>
      </c>
      <c r="BS233" s="18">
        <f t="shared" si="362"/>
        <v>0</v>
      </c>
      <c r="BT233" s="18">
        <f t="shared" si="362"/>
        <v>0</v>
      </c>
      <c r="BU233" s="18">
        <f t="shared" si="362"/>
        <v>0</v>
      </c>
      <c r="BV233" s="18">
        <f t="shared" si="362"/>
        <v>0</v>
      </c>
      <c r="BW233" s="18">
        <f t="shared" si="362"/>
        <v>0</v>
      </c>
      <c r="BX233" s="18">
        <f t="shared" si="362"/>
        <v>0</v>
      </c>
      <c r="BY233" s="18">
        <f t="shared" si="362"/>
        <v>0</v>
      </c>
      <c r="BZ233" s="18">
        <f t="shared" si="362"/>
        <v>0</v>
      </c>
      <c r="CA233" s="18">
        <f t="shared" si="362"/>
        <v>0</v>
      </c>
      <c r="CB233" s="18">
        <f t="shared" si="362"/>
        <v>0</v>
      </c>
      <c r="CC233" s="17"/>
      <c r="CD233" s="17"/>
      <c r="CE233" s="17"/>
      <c r="CH233" s="5"/>
      <c r="CI233" s="11"/>
      <c r="CJ233" s="11"/>
      <c r="CK233" s="11"/>
      <c r="CL233" s="11"/>
      <c r="CM233" s="11"/>
      <c r="CN233" s="11"/>
      <c r="CO233" s="11"/>
      <c r="CP233" s="11"/>
      <c r="CQ233" s="11"/>
      <c r="CR233" s="11"/>
      <c r="CS233" s="11"/>
      <c r="CT233" s="11"/>
      <c r="CU233" s="11"/>
      <c r="CV233" s="11"/>
      <c r="CW233" s="11"/>
      <c r="CX233" s="11"/>
      <c r="CY233" s="11"/>
      <c r="CZ233" s="11"/>
      <c r="DA233" s="11"/>
      <c r="DB233" s="11"/>
      <c r="DC233" s="11"/>
      <c r="DD233" s="11"/>
      <c r="DE233" s="11"/>
      <c r="DF233" s="11"/>
      <c r="DG233" s="11"/>
      <c r="DH233" s="11"/>
      <c r="DI233" s="11"/>
      <c r="DJ233" s="11"/>
      <c r="DK233" s="11"/>
      <c r="DL233" s="11"/>
      <c r="DM233" s="11"/>
      <c r="DN233" s="11"/>
      <c r="DO233" s="11"/>
      <c r="DP233" s="11"/>
      <c r="DQ233" s="11"/>
      <c r="DR233" s="11"/>
      <c r="DS233" s="11"/>
      <c r="DT233" s="11"/>
      <c r="DU233" s="11"/>
      <c r="DV233" s="11"/>
      <c r="DW233" s="11"/>
      <c r="DX233" s="11"/>
      <c r="DY233" s="11"/>
      <c r="DZ233" s="11"/>
      <c r="EA233" s="11"/>
      <c r="EB233" s="11"/>
      <c r="EC233" s="11"/>
      <c r="ED233" s="11"/>
      <c r="EE233" s="11"/>
      <c r="EF233" s="11"/>
      <c r="EG233" s="11"/>
      <c r="EH233" s="11"/>
      <c r="EI233" s="11"/>
      <c r="EJ233" s="11"/>
      <c r="EK233" s="11"/>
      <c r="EL233" s="11"/>
      <c r="EM233" s="11"/>
      <c r="EN233" s="11"/>
      <c r="EO233" s="11"/>
      <c r="EP233" s="11"/>
      <c r="EQ233" s="11"/>
      <c r="ER233" s="11"/>
      <c r="ES233" s="11"/>
      <c r="ET233" s="11"/>
      <c r="EU233" s="11"/>
      <c r="EV233" s="11"/>
      <c r="EW233" s="11"/>
      <c r="EX233" s="11"/>
      <c r="EY233" s="11"/>
      <c r="EZ233" s="11"/>
      <c r="FA233" s="11"/>
      <c r="FB233" s="11"/>
      <c r="FC233" s="11"/>
      <c r="FD233" s="11"/>
    </row>
    <row r="234" spans="1:256">
      <c r="A234" s="18" t="str">
        <f>A69</f>
        <v>Bond 20</v>
      </c>
      <c r="B234" s="18">
        <f t="shared" ref="B234:BM234" si="363">B69*B182</f>
        <v>0</v>
      </c>
      <c r="C234" s="18">
        <f t="shared" si="363"/>
        <v>0</v>
      </c>
      <c r="D234" s="18">
        <f t="shared" si="363"/>
        <v>0</v>
      </c>
      <c r="E234" s="18">
        <f t="shared" si="363"/>
        <v>0</v>
      </c>
      <c r="F234" s="18">
        <f t="shared" si="363"/>
        <v>0</v>
      </c>
      <c r="G234" s="18">
        <f t="shared" si="363"/>
        <v>0</v>
      </c>
      <c r="H234" s="18">
        <f t="shared" si="363"/>
        <v>0</v>
      </c>
      <c r="I234" s="18">
        <f t="shared" si="363"/>
        <v>0</v>
      </c>
      <c r="J234" s="18">
        <f t="shared" si="363"/>
        <v>0</v>
      </c>
      <c r="K234" s="18">
        <f t="shared" si="363"/>
        <v>0</v>
      </c>
      <c r="L234" s="18">
        <f t="shared" si="363"/>
        <v>0</v>
      </c>
      <c r="M234" s="18">
        <f t="shared" si="363"/>
        <v>0</v>
      </c>
      <c r="N234" s="18">
        <f t="shared" si="363"/>
        <v>0</v>
      </c>
      <c r="O234" s="18">
        <f t="shared" si="363"/>
        <v>0</v>
      </c>
      <c r="P234" s="18">
        <f t="shared" si="363"/>
        <v>0</v>
      </c>
      <c r="Q234" s="18">
        <f t="shared" si="363"/>
        <v>0</v>
      </c>
      <c r="R234" s="18">
        <f t="shared" si="363"/>
        <v>0</v>
      </c>
      <c r="S234" s="18">
        <f t="shared" si="363"/>
        <v>0</v>
      </c>
      <c r="T234" s="18">
        <f t="shared" si="363"/>
        <v>0</v>
      </c>
      <c r="U234" s="18">
        <f t="shared" si="363"/>
        <v>0</v>
      </c>
      <c r="V234" s="18">
        <f t="shared" si="363"/>
        <v>0</v>
      </c>
      <c r="W234" s="18">
        <f t="shared" si="363"/>
        <v>0</v>
      </c>
      <c r="X234" s="18">
        <f t="shared" si="363"/>
        <v>0</v>
      </c>
      <c r="Y234" s="18">
        <f t="shared" si="363"/>
        <v>0</v>
      </c>
      <c r="Z234" s="18">
        <f t="shared" si="363"/>
        <v>0</v>
      </c>
      <c r="AA234" s="18">
        <f t="shared" si="363"/>
        <v>0</v>
      </c>
      <c r="AB234" s="18">
        <f t="shared" si="363"/>
        <v>0</v>
      </c>
      <c r="AC234" s="18">
        <f t="shared" si="363"/>
        <v>0</v>
      </c>
      <c r="AD234" s="18">
        <f t="shared" si="363"/>
        <v>0</v>
      </c>
      <c r="AE234" s="18">
        <f t="shared" si="363"/>
        <v>0</v>
      </c>
      <c r="AF234" s="18">
        <f t="shared" si="363"/>
        <v>0</v>
      </c>
      <c r="AG234" s="18">
        <f t="shared" si="363"/>
        <v>0</v>
      </c>
      <c r="AH234" s="18">
        <f t="shared" si="363"/>
        <v>0</v>
      </c>
      <c r="AI234" s="18">
        <f t="shared" si="363"/>
        <v>0</v>
      </c>
      <c r="AJ234" s="18">
        <f t="shared" si="363"/>
        <v>0</v>
      </c>
      <c r="AK234" s="18">
        <f t="shared" si="363"/>
        <v>0</v>
      </c>
      <c r="AL234" s="18">
        <f t="shared" si="363"/>
        <v>0</v>
      </c>
      <c r="AM234" s="18">
        <f t="shared" si="363"/>
        <v>0</v>
      </c>
      <c r="AN234" s="18">
        <f t="shared" si="363"/>
        <v>0</v>
      </c>
      <c r="AO234" s="18">
        <f t="shared" si="363"/>
        <v>0</v>
      </c>
      <c r="AP234" s="18">
        <f t="shared" si="363"/>
        <v>0</v>
      </c>
      <c r="AQ234" s="18">
        <f t="shared" si="363"/>
        <v>0</v>
      </c>
      <c r="AR234" s="18">
        <f t="shared" si="363"/>
        <v>0</v>
      </c>
      <c r="AS234" s="18">
        <f t="shared" si="363"/>
        <v>0</v>
      </c>
      <c r="AT234" s="18">
        <f t="shared" si="363"/>
        <v>0</v>
      </c>
      <c r="AU234" s="18">
        <f t="shared" si="363"/>
        <v>0</v>
      </c>
      <c r="AV234" s="18">
        <f t="shared" si="363"/>
        <v>0</v>
      </c>
      <c r="AW234" s="18">
        <f t="shared" si="363"/>
        <v>0</v>
      </c>
      <c r="AX234" s="18">
        <f t="shared" si="363"/>
        <v>0</v>
      </c>
      <c r="AY234" s="18">
        <f t="shared" si="363"/>
        <v>0</v>
      </c>
      <c r="AZ234" s="18">
        <f t="shared" si="363"/>
        <v>0</v>
      </c>
      <c r="BA234" s="18">
        <f t="shared" si="363"/>
        <v>0</v>
      </c>
      <c r="BB234" s="18">
        <f t="shared" si="363"/>
        <v>0</v>
      </c>
      <c r="BC234" s="18">
        <f t="shared" si="363"/>
        <v>0</v>
      </c>
      <c r="BD234" s="18">
        <f t="shared" si="363"/>
        <v>0</v>
      </c>
      <c r="BE234" s="18">
        <f t="shared" si="363"/>
        <v>0</v>
      </c>
      <c r="BF234" s="18">
        <f t="shared" si="363"/>
        <v>0</v>
      </c>
      <c r="BG234" s="18">
        <f t="shared" si="363"/>
        <v>0</v>
      </c>
      <c r="BH234" s="18">
        <f t="shared" si="363"/>
        <v>0</v>
      </c>
      <c r="BI234" s="18">
        <f t="shared" si="363"/>
        <v>0</v>
      </c>
      <c r="BJ234" s="18">
        <f t="shared" si="363"/>
        <v>0</v>
      </c>
      <c r="BK234" s="18">
        <f t="shared" si="363"/>
        <v>0</v>
      </c>
      <c r="BL234" s="18">
        <f t="shared" si="363"/>
        <v>0</v>
      </c>
      <c r="BM234" s="18">
        <f t="shared" si="363"/>
        <v>0</v>
      </c>
      <c r="BN234" s="18">
        <f t="shared" ref="BN234:CB234" si="364">BN69*BN182</f>
        <v>0</v>
      </c>
      <c r="BO234" s="18">
        <f t="shared" si="364"/>
        <v>0</v>
      </c>
      <c r="BP234" s="18">
        <f t="shared" si="364"/>
        <v>0</v>
      </c>
      <c r="BQ234" s="18">
        <f t="shared" si="364"/>
        <v>0</v>
      </c>
      <c r="BR234" s="18">
        <f t="shared" si="364"/>
        <v>0</v>
      </c>
      <c r="BS234" s="18">
        <f t="shared" si="364"/>
        <v>0</v>
      </c>
      <c r="BT234" s="18">
        <f t="shared" si="364"/>
        <v>0</v>
      </c>
      <c r="BU234" s="18">
        <f t="shared" si="364"/>
        <v>0</v>
      </c>
      <c r="BV234" s="18">
        <f t="shared" si="364"/>
        <v>0</v>
      </c>
      <c r="BW234" s="18">
        <f t="shared" si="364"/>
        <v>0</v>
      </c>
      <c r="BX234" s="18">
        <f t="shared" si="364"/>
        <v>0</v>
      </c>
      <c r="BY234" s="18">
        <f t="shared" si="364"/>
        <v>0</v>
      </c>
      <c r="BZ234" s="18">
        <f t="shared" si="364"/>
        <v>0</v>
      </c>
      <c r="CA234" s="18">
        <f t="shared" si="364"/>
        <v>0</v>
      </c>
      <c r="CB234" s="18">
        <f t="shared" si="364"/>
        <v>0</v>
      </c>
      <c r="CC234" s="17"/>
      <c r="CD234" s="17"/>
      <c r="CE234" s="17"/>
      <c r="CH234" s="5"/>
      <c r="CI234" s="11"/>
      <c r="CJ234" s="11"/>
      <c r="CK234" s="11"/>
      <c r="CL234" s="11"/>
      <c r="CM234" s="11"/>
      <c r="CN234" s="11"/>
      <c r="CO234" s="11"/>
      <c r="CP234" s="11"/>
      <c r="CQ234" s="11"/>
      <c r="CR234" s="11"/>
      <c r="CS234" s="11"/>
      <c r="CT234" s="11"/>
      <c r="CU234" s="11"/>
      <c r="CV234" s="11"/>
      <c r="CW234" s="11"/>
      <c r="CX234" s="11"/>
      <c r="CY234" s="11"/>
      <c r="CZ234" s="11"/>
      <c r="DA234" s="11"/>
      <c r="DB234" s="11"/>
      <c r="DC234" s="11"/>
      <c r="DD234" s="11"/>
      <c r="DE234" s="11"/>
      <c r="DF234" s="11"/>
      <c r="DG234" s="11"/>
      <c r="DH234" s="11"/>
      <c r="DI234" s="11"/>
      <c r="DJ234" s="11"/>
      <c r="DK234" s="11"/>
      <c r="DL234" s="11"/>
      <c r="DM234" s="11"/>
      <c r="DN234" s="11"/>
      <c r="DO234" s="11"/>
      <c r="DP234" s="11"/>
      <c r="DQ234" s="11"/>
      <c r="DR234" s="11"/>
      <c r="DS234" s="11"/>
      <c r="DT234" s="11"/>
      <c r="DU234" s="11"/>
      <c r="DV234" s="11"/>
      <c r="DW234" s="11"/>
      <c r="DX234" s="11"/>
      <c r="DY234" s="11"/>
      <c r="DZ234" s="11"/>
      <c r="EA234" s="11"/>
      <c r="EB234" s="11"/>
      <c r="EC234" s="11"/>
      <c r="ED234" s="11"/>
    </row>
    <row r="235" spans="1:256">
      <c r="A235" s="18" t="str">
        <f>A71</f>
        <v>Bond 21</v>
      </c>
      <c r="B235" s="18">
        <f t="shared" ref="B235:BM235" si="365">B71*B187</f>
        <v>0</v>
      </c>
      <c r="C235" s="18">
        <f t="shared" si="365"/>
        <v>0</v>
      </c>
      <c r="D235" s="18">
        <f t="shared" si="365"/>
        <v>0</v>
      </c>
      <c r="E235" s="18">
        <f t="shared" si="365"/>
        <v>0</v>
      </c>
      <c r="F235" s="18">
        <f t="shared" si="365"/>
        <v>0</v>
      </c>
      <c r="G235" s="18">
        <f t="shared" si="365"/>
        <v>0</v>
      </c>
      <c r="H235" s="18">
        <f t="shared" si="365"/>
        <v>0</v>
      </c>
      <c r="I235" s="18">
        <f t="shared" si="365"/>
        <v>0</v>
      </c>
      <c r="J235" s="18">
        <f t="shared" si="365"/>
        <v>0</v>
      </c>
      <c r="K235" s="18">
        <f t="shared" si="365"/>
        <v>0</v>
      </c>
      <c r="L235" s="18">
        <f t="shared" si="365"/>
        <v>0</v>
      </c>
      <c r="M235" s="18">
        <f t="shared" si="365"/>
        <v>0</v>
      </c>
      <c r="N235" s="18">
        <f t="shared" si="365"/>
        <v>0</v>
      </c>
      <c r="O235" s="18">
        <f t="shared" si="365"/>
        <v>0</v>
      </c>
      <c r="P235" s="18">
        <f t="shared" si="365"/>
        <v>0</v>
      </c>
      <c r="Q235" s="18">
        <f t="shared" si="365"/>
        <v>0</v>
      </c>
      <c r="R235" s="18">
        <f t="shared" si="365"/>
        <v>0</v>
      </c>
      <c r="S235" s="18">
        <f t="shared" si="365"/>
        <v>0</v>
      </c>
      <c r="T235" s="18">
        <f t="shared" si="365"/>
        <v>0</v>
      </c>
      <c r="U235" s="18">
        <f t="shared" si="365"/>
        <v>0</v>
      </c>
      <c r="V235" s="18">
        <f t="shared" si="365"/>
        <v>0</v>
      </c>
      <c r="W235" s="18">
        <f t="shared" si="365"/>
        <v>0</v>
      </c>
      <c r="X235" s="18">
        <f t="shared" si="365"/>
        <v>0</v>
      </c>
      <c r="Y235" s="18">
        <f t="shared" si="365"/>
        <v>0</v>
      </c>
      <c r="Z235" s="18">
        <f t="shared" si="365"/>
        <v>0</v>
      </c>
      <c r="AA235" s="18">
        <f t="shared" si="365"/>
        <v>0</v>
      </c>
      <c r="AB235" s="18">
        <f t="shared" si="365"/>
        <v>0</v>
      </c>
      <c r="AC235" s="18">
        <f t="shared" si="365"/>
        <v>0</v>
      </c>
      <c r="AD235" s="18">
        <f t="shared" si="365"/>
        <v>0</v>
      </c>
      <c r="AE235" s="18">
        <f t="shared" si="365"/>
        <v>0</v>
      </c>
      <c r="AF235" s="18">
        <f t="shared" si="365"/>
        <v>0</v>
      </c>
      <c r="AG235" s="18">
        <f t="shared" si="365"/>
        <v>0</v>
      </c>
      <c r="AH235" s="18">
        <f t="shared" si="365"/>
        <v>0</v>
      </c>
      <c r="AI235" s="18">
        <f t="shared" si="365"/>
        <v>0</v>
      </c>
      <c r="AJ235" s="18">
        <f t="shared" si="365"/>
        <v>0</v>
      </c>
      <c r="AK235" s="18">
        <f t="shared" si="365"/>
        <v>0</v>
      </c>
      <c r="AL235" s="18">
        <f t="shared" si="365"/>
        <v>0</v>
      </c>
      <c r="AM235" s="18">
        <f t="shared" si="365"/>
        <v>0</v>
      </c>
      <c r="AN235" s="18">
        <f t="shared" si="365"/>
        <v>0</v>
      </c>
      <c r="AO235" s="18">
        <f t="shared" si="365"/>
        <v>0</v>
      </c>
      <c r="AP235" s="18">
        <f t="shared" si="365"/>
        <v>0</v>
      </c>
      <c r="AQ235" s="18">
        <f t="shared" si="365"/>
        <v>0</v>
      </c>
      <c r="AR235" s="18">
        <f t="shared" si="365"/>
        <v>0</v>
      </c>
      <c r="AS235" s="18">
        <f t="shared" si="365"/>
        <v>0</v>
      </c>
      <c r="AT235" s="18">
        <f t="shared" si="365"/>
        <v>0</v>
      </c>
      <c r="AU235" s="18">
        <f t="shared" si="365"/>
        <v>0</v>
      </c>
      <c r="AV235" s="18">
        <f t="shared" si="365"/>
        <v>0</v>
      </c>
      <c r="AW235" s="18">
        <f t="shared" si="365"/>
        <v>0</v>
      </c>
      <c r="AX235" s="18">
        <f t="shared" si="365"/>
        <v>0</v>
      </c>
      <c r="AY235" s="18">
        <f t="shared" si="365"/>
        <v>0</v>
      </c>
      <c r="AZ235" s="18">
        <f t="shared" si="365"/>
        <v>0</v>
      </c>
      <c r="BA235" s="18">
        <f t="shared" si="365"/>
        <v>0</v>
      </c>
      <c r="BB235" s="18">
        <f t="shared" si="365"/>
        <v>0</v>
      </c>
      <c r="BC235" s="18">
        <f t="shared" si="365"/>
        <v>0</v>
      </c>
      <c r="BD235" s="18">
        <f t="shared" si="365"/>
        <v>0</v>
      </c>
      <c r="BE235" s="18">
        <f t="shared" si="365"/>
        <v>0</v>
      </c>
      <c r="BF235" s="18">
        <f t="shared" si="365"/>
        <v>0</v>
      </c>
      <c r="BG235" s="18">
        <f t="shared" si="365"/>
        <v>0</v>
      </c>
      <c r="BH235" s="18">
        <f t="shared" si="365"/>
        <v>0</v>
      </c>
      <c r="BI235" s="18">
        <f t="shared" si="365"/>
        <v>0</v>
      </c>
      <c r="BJ235" s="18">
        <f t="shared" si="365"/>
        <v>0</v>
      </c>
      <c r="BK235" s="18">
        <f t="shared" si="365"/>
        <v>0</v>
      </c>
      <c r="BL235" s="18">
        <f t="shared" si="365"/>
        <v>0</v>
      </c>
      <c r="BM235" s="18">
        <f t="shared" si="365"/>
        <v>0</v>
      </c>
      <c r="BN235" s="18">
        <f t="shared" ref="BN235:CB235" si="366">BN71*BN187</f>
        <v>0</v>
      </c>
      <c r="BO235" s="18">
        <f t="shared" si="366"/>
        <v>0</v>
      </c>
      <c r="BP235" s="18">
        <f t="shared" si="366"/>
        <v>0</v>
      </c>
      <c r="BQ235" s="18">
        <f t="shared" si="366"/>
        <v>0</v>
      </c>
      <c r="BR235" s="18">
        <f t="shared" si="366"/>
        <v>0</v>
      </c>
      <c r="BS235" s="18">
        <f t="shared" si="366"/>
        <v>0</v>
      </c>
      <c r="BT235" s="18">
        <f t="shared" si="366"/>
        <v>0</v>
      </c>
      <c r="BU235" s="18">
        <f t="shared" si="366"/>
        <v>0</v>
      </c>
      <c r="BV235" s="18">
        <f t="shared" si="366"/>
        <v>0</v>
      </c>
      <c r="BW235" s="18">
        <f t="shared" si="366"/>
        <v>0</v>
      </c>
      <c r="BX235" s="18">
        <f t="shared" si="366"/>
        <v>0</v>
      </c>
      <c r="BY235" s="18">
        <f t="shared" si="366"/>
        <v>0</v>
      </c>
      <c r="BZ235" s="18">
        <f t="shared" si="366"/>
        <v>0</v>
      </c>
      <c r="CA235" s="18">
        <f t="shared" si="366"/>
        <v>0</v>
      </c>
      <c r="CB235" s="18">
        <f t="shared" si="366"/>
        <v>0</v>
      </c>
      <c r="CC235" s="17"/>
      <c r="CD235" s="17"/>
      <c r="CE235" s="17"/>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K235" s="5"/>
      <c r="DL235" s="5"/>
      <c r="DM235" s="5"/>
      <c r="DN235" s="5"/>
      <c r="DO235" s="5"/>
      <c r="DP235" s="5"/>
      <c r="DQ235" s="5"/>
      <c r="DR235" s="5"/>
      <c r="DS235" s="5"/>
      <c r="DT235" s="5"/>
      <c r="DU235" s="5"/>
      <c r="DV235" s="5"/>
      <c r="DW235" s="5"/>
      <c r="DX235" s="5"/>
      <c r="DY235" s="5"/>
      <c r="DZ235" s="5"/>
      <c r="EA235" s="5"/>
      <c r="EB235" s="5"/>
      <c r="EC235" s="5"/>
      <c r="ED235" s="5"/>
      <c r="EE235" s="5"/>
      <c r="EF235" s="5"/>
      <c r="EG235" s="5"/>
      <c r="EH235" s="5"/>
      <c r="EI235" s="5"/>
      <c r="EJ235" s="5"/>
      <c r="EK235" s="5"/>
      <c r="EL235" s="5"/>
      <c r="EM235" s="5"/>
      <c r="EN235" s="5"/>
      <c r="EO235" s="5"/>
      <c r="EP235" s="5"/>
      <c r="EQ235" s="5"/>
      <c r="ER235" s="5"/>
      <c r="ES235" s="5"/>
      <c r="ET235" s="5"/>
      <c r="EU235" s="5"/>
      <c r="EV235" s="5"/>
      <c r="EW235" s="5"/>
      <c r="EX235" s="5"/>
      <c r="EY235" s="5"/>
      <c r="EZ235" s="5"/>
      <c r="FA235" s="5"/>
      <c r="FB235" s="5"/>
      <c r="FC235" s="5"/>
      <c r="FD235" s="5"/>
      <c r="FE235" s="5"/>
      <c r="FF235" s="5"/>
      <c r="FG235" s="5"/>
      <c r="FH235" s="5"/>
      <c r="FI235" s="5"/>
      <c r="FJ235" s="5"/>
      <c r="FK235" s="5"/>
      <c r="FL235" s="5"/>
      <c r="FM235" s="5"/>
      <c r="FN235" s="5"/>
      <c r="FO235" s="5"/>
      <c r="FP235" s="5"/>
      <c r="FQ235" s="5"/>
      <c r="FR235" s="5"/>
      <c r="FS235" s="5"/>
      <c r="FT235" s="5"/>
      <c r="FU235" s="5"/>
      <c r="FV235" s="5"/>
      <c r="FW235" s="5"/>
      <c r="FX235" s="5"/>
      <c r="FY235" s="5"/>
      <c r="FZ235" s="5"/>
      <c r="GA235" s="5"/>
      <c r="GB235" s="5"/>
      <c r="GC235" s="5"/>
      <c r="GD235" s="5"/>
      <c r="GE235" s="5"/>
      <c r="GF235" s="5"/>
      <c r="GG235" s="5"/>
      <c r="GH235" s="5"/>
      <c r="GI235" s="5"/>
      <c r="GJ235" s="5"/>
      <c r="GK235" s="5"/>
      <c r="GL235" s="5"/>
      <c r="GM235" s="5"/>
      <c r="GN235" s="5"/>
      <c r="GO235" s="5"/>
      <c r="GP235" s="5"/>
      <c r="GQ235" s="5"/>
      <c r="GR235" s="5"/>
      <c r="GS235" s="5"/>
    </row>
    <row r="236" spans="1:256">
      <c r="A236" s="18" t="str">
        <f>A73</f>
        <v>Bond 22</v>
      </c>
      <c r="B236" s="18">
        <f>B73*B192</f>
        <v>0</v>
      </c>
      <c r="C236" s="18">
        <f t="shared" ref="C236:BN236" si="367">C73*C192</f>
        <v>0</v>
      </c>
      <c r="D236" s="18">
        <f t="shared" si="367"/>
        <v>0</v>
      </c>
      <c r="E236" s="18">
        <f t="shared" si="367"/>
        <v>0</v>
      </c>
      <c r="F236" s="18">
        <f t="shared" si="367"/>
        <v>0</v>
      </c>
      <c r="G236" s="18">
        <f t="shared" si="367"/>
        <v>0</v>
      </c>
      <c r="H236" s="18">
        <f t="shared" si="367"/>
        <v>0</v>
      </c>
      <c r="I236" s="18">
        <f t="shared" si="367"/>
        <v>0</v>
      </c>
      <c r="J236" s="18">
        <f t="shared" si="367"/>
        <v>0</v>
      </c>
      <c r="K236" s="18">
        <f t="shared" si="367"/>
        <v>0</v>
      </c>
      <c r="L236" s="18">
        <f t="shared" si="367"/>
        <v>0</v>
      </c>
      <c r="M236" s="18">
        <f t="shared" si="367"/>
        <v>0</v>
      </c>
      <c r="N236" s="18">
        <f t="shared" si="367"/>
        <v>0</v>
      </c>
      <c r="O236" s="18">
        <f t="shared" si="367"/>
        <v>0</v>
      </c>
      <c r="P236" s="18">
        <f t="shared" si="367"/>
        <v>0</v>
      </c>
      <c r="Q236" s="18">
        <f t="shared" si="367"/>
        <v>0</v>
      </c>
      <c r="R236" s="18">
        <f t="shared" si="367"/>
        <v>0</v>
      </c>
      <c r="S236" s="18">
        <f t="shared" si="367"/>
        <v>0</v>
      </c>
      <c r="T236" s="18">
        <f t="shared" si="367"/>
        <v>0</v>
      </c>
      <c r="U236" s="18">
        <f t="shared" si="367"/>
        <v>0</v>
      </c>
      <c r="V236" s="18">
        <f t="shared" si="367"/>
        <v>0</v>
      </c>
      <c r="W236" s="18">
        <f t="shared" si="367"/>
        <v>0</v>
      </c>
      <c r="X236" s="18">
        <f t="shared" si="367"/>
        <v>0</v>
      </c>
      <c r="Y236" s="18">
        <f t="shared" si="367"/>
        <v>0</v>
      </c>
      <c r="Z236" s="18">
        <f t="shared" si="367"/>
        <v>0</v>
      </c>
      <c r="AA236" s="18">
        <f t="shared" si="367"/>
        <v>0</v>
      </c>
      <c r="AB236" s="18">
        <f t="shared" si="367"/>
        <v>0</v>
      </c>
      <c r="AC236" s="18">
        <f t="shared" si="367"/>
        <v>0</v>
      </c>
      <c r="AD236" s="18">
        <f t="shared" si="367"/>
        <v>0</v>
      </c>
      <c r="AE236" s="18">
        <f t="shared" si="367"/>
        <v>0</v>
      </c>
      <c r="AF236" s="18">
        <f t="shared" si="367"/>
        <v>0</v>
      </c>
      <c r="AG236" s="18">
        <f t="shared" si="367"/>
        <v>0</v>
      </c>
      <c r="AH236" s="18">
        <f t="shared" si="367"/>
        <v>0</v>
      </c>
      <c r="AI236" s="18">
        <f t="shared" si="367"/>
        <v>0</v>
      </c>
      <c r="AJ236" s="18">
        <f t="shared" si="367"/>
        <v>0</v>
      </c>
      <c r="AK236" s="18">
        <f t="shared" si="367"/>
        <v>0</v>
      </c>
      <c r="AL236" s="18">
        <f t="shared" si="367"/>
        <v>0</v>
      </c>
      <c r="AM236" s="18">
        <f t="shared" si="367"/>
        <v>0</v>
      </c>
      <c r="AN236" s="18">
        <f t="shared" si="367"/>
        <v>0</v>
      </c>
      <c r="AO236" s="18">
        <f t="shared" si="367"/>
        <v>0</v>
      </c>
      <c r="AP236" s="18">
        <f t="shared" si="367"/>
        <v>0</v>
      </c>
      <c r="AQ236" s="18">
        <f t="shared" si="367"/>
        <v>0</v>
      </c>
      <c r="AR236" s="18">
        <f t="shared" si="367"/>
        <v>0</v>
      </c>
      <c r="AS236" s="18">
        <f t="shared" si="367"/>
        <v>0</v>
      </c>
      <c r="AT236" s="18">
        <f t="shared" si="367"/>
        <v>0</v>
      </c>
      <c r="AU236" s="18">
        <f t="shared" si="367"/>
        <v>0</v>
      </c>
      <c r="AV236" s="18">
        <f t="shared" si="367"/>
        <v>0</v>
      </c>
      <c r="AW236" s="18">
        <f t="shared" si="367"/>
        <v>0</v>
      </c>
      <c r="AX236" s="18">
        <f t="shared" si="367"/>
        <v>0</v>
      </c>
      <c r="AY236" s="18">
        <f t="shared" si="367"/>
        <v>0</v>
      </c>
      <c r="AZ236" s="18">
        <f t="shared" si="367"/>
        <v>0</v>
      </c>
      <c r="BA236" s="18">
        <f t="shared" si="367"/>
        <v>0</v>
      </c>
      <c r="BB236" s="18">
        <f t="shared" si="367"/>
        <v>0</v>
      </c>
      <c r="BC236" s="18">
        <f t="shared" si="367"/>
        <v>0</v>
      </c>
      <c r="BD236" s="18">
        <f t="shared" si="367"/>
        <v>0</v>
      </c>
      <c r="BE236" s="18">
        <f t="shared" si="367"/>
        <v>0</v>
      </c>
      <c r="BF236" s="18">
        <f t="shared" si="367"/>
        <v>0</v>
      </c>
      <c r="BG236" s="18">
        <f t="shared" si="367"/>
        <v>0</v>
      </c>
      <c r="BH236" s="18">
        <f t="shared" si="367"/>
        <v>0</v>
      </c>
      <c r="BI236" s="18">
        <f t="shared" si="367"/>
        <v>0</v>
      </c>
      <c r="BJ236" s="18">
        <f t="shared" si="367"/>
        <v>0</v>
      </c>
      <c r="BK236" s="18">
        <f t="shared" si="367"/>
        <v>0</v>
      </c>
      <c r="BL236" s="18">
        <f t="shared" si="367"/>
        <v>0</v>
      </c>
      <c r="BM236" s="18">
        <f t="shared" si="367"/>
        <v>0</v>
      </c>
      <c r="BN236" s="18">
        <f t="shared" si="367"/>
        <v>0</v>
      </c>
      <c r="BO236" s="18">
        <f t="shared" ref="BO236:CB236" si="368">BO73*BO192</f>
        <v>0</v>
      </c>
      <c r="BP236" s="18">
        <f t="shared" si="368"/>
        <v>0</v>
      </c>
      <c r="BQ236" s="18">
        <f t="shared" si="368"/>
        <v>0</v>
      </c>
      <c r="BR236" s="18">
        <f t="shared" si="368"/>
        <v>0</v>
      </c>
      <c r="BS236" s="18">
        <f t="shared" si="368"/>
        <v>0</v>
      </c>
      <c r="BT236" s="18">
        <f t="shared" si="368"/>
        <v>0</v>
      </c>
      <c r="BU236" s="18">
        <f t="shared" si="368"/>
        <v>0</v>
      </c>
      <c r="BV236" s="18">
        <f t="shared" si="368"/>
        <v>0</v>
      </c>
      <c r="BW236" s="18">
        <f t="shared" si="368"/>
        <v>0</v>
      </c>
      <c r="BX236" s="18">
        <f t="shared" si="368"/>
        <v>0</v>
      </c>
      <c r="BY236" s="18">
        <f t="shared" si="368"/>
        <v>0</v>
      </c>
      <c r="BZ236" s="18">
        <f t="shared" si="368"/>
        <v>0</v>
      </c>
      <c r="CA236" s="18">
        <f t="shared" si="368"/>
        <v>0</v>
      </c>
      <c r="CB236" s="18">
        <f t="shared" si="368"/>
        <v>0</v>
      </c>
      <c r="CC236" s="17"/>
      <c r="CD236" s="17"/>
      <c r="CE236" s="17"/>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c r="DG236" s="5"/>
      <c r="DH236" s="5"/>
      <c r="DI236" s="5"/>
      <c r="DJ236" s="5"/>
      <c r="DK236" s="5"/>
      <c r="DL236" s="5"/>
      <c r="DM236" s="5"/>
      <c r="DN236" s="5"/>
      <c r="DO236" s="5"/>
      <c r="DP236" s="5"/>
      <c r="DQ236" s="5"/>
      <c r="DR236" s="5"/>
      <c r="DS236" s="5"/>
      <c r="DT236" s="5"/>
      <c r="DU236" s="5"/>
      <c r="DV236" s="5"/>
      <c r="DW236" s="5"/>
      <c r="DX236" s="5"/>
      <c r="DY236" s="5"/>
      <c r="DZ236" s="5"/>
      <c r="EA236" s="5"/>
      <c r="EB236" s="5"/>
      <c r="EC236" s="5"/>
      <c r="ED236" s="5"/>
      <c r="EE236" s="5"/>
      <c r="EF236" s="5"/>
      <c r="EG236" s="5"/>
      <c r="EH236" s="5"/>
      <c r="EI236" s="5"/>
      <c r="EJ236" s="5"/>
      <c r="EK236" s="5"/>
      <c r="EL236" s="5"/>
      <c r="EM236" s="5"/>
      <c r="EN236" s="5"/>
      <c r="EO236" s="5"/>
      <c r="EP236" s="5"/>
      <c r="EQ236" s="5"/>
      <c r="ER236" s="5"/>
      <c r="ES236" s="5"/>
      <c r="ET236" s="5"/>
      <c r="EU236" s="5"/>
      <c r="EV236" s="5"/>
      <c r="EW236" s="5"/>
      <c r="EX236" s="5"/>
      <c r="EY236" s="5"/>
      <c r="EZ236" s="5"/>
      <c r="FA236" s="5"/>
      <c r="FB236" s="5"/>
      <c r="FC236" s="5"/>
      <c r="FD236" s="5"/>
      <c r="FE236" s="5"/>
      <c r="FF236" s="5"/>
      <c r="FG236" s="5"/>
      <c r="FH236" s="5"/>
      <c r="FI236" s="5"/>
      <c r="FJ236" s="5"/>
      <c r="FK236" s="5"/>
      <c r="FL236" s="5"/>
      <c r="FM236" s="5"/>
      <c r="FN236" s="5"/>
      <c r="FO236" s="5"/>
      <c r="FP236" s="5"/>
      <c r="FQ236" s="5"/>
      <c r="FR236" s="5"/>
      <c r="FS236" s="5"/>
      <c r="FT236" s="5"/>
      <c r="FU236" s="5"/>
      <c r="FV236" s="5"/>
      <c r="FW236" s="5"/>
      <c r="FX236" s="5"/>
      <c r="FY236" s="5"/>
      <c r="FZ236" s="5"/>
      <c r="GA236" s="5"/>
      <c r="GB236" s="5"/>
      <c r="GC236" s="5"/>
      <c r="GD236" s="5"/>
      <c r="GE236" s="5"/>
      <c r="GF236" s="5"/>
      <c r="GG236" s="5"/>
      <c r="GH236" s="5"/>
      <c r="GI236" s="5"/>
      <c r="GJ236" s="5"/>
      <c r="GK236" s="5"/>
      <c r="GL236" s="5"/>
      <c r="GM236" s="5"/>
      <c r="GN236" s="5"/>
      <c r="GO236" s="5"/>
      <c r="GP236" s="5"/>
      <c r="GQ236" s="5"/>
      <c r="GR236" s="5"/>
      <c r="GS236" s="5"/>
      <c r="GT236" s="5"/>
      <c r="GU236" s="5"/>
      <c r="GV236" s="5"/>
      <c r="GW236" s="5"/>
      <c r="GX236" s="5"/>
      <c r="GY236" s="5"/>
      <c r="GZ236" s="5"/>
      <c r="HA236" s="5"/>
      <c r="HB236" s="5"/>
      <c r="HC236" s="5"/>
      <c r="HD236" s="5"/>
      <c r="HE236" s="5"/>
      <c r="HF236" s="5"/>
      <c r="HG236" s="5"/>
      <c r="HH236" s="5"/>
      <c r="HI236" s="5"/>
      <c r="HJ236" s="5"/>
      <c r="HK236" s="5"/>
      <c r="HL236" s="5"/>
      <c r="HM236" s="5"/>
      <c r="HN236" s="5"/>
      <c r="HO236" s="5"/>
      <c r="HP236" s="5"/>
      <c r="HQ236" s="5"/>
      <c r="HR236" s="5"/>
      <c r="HS236" s="5"/>
      <c r="HT236" s="5"/>
      <c r="HU236" s="5"/>
      <c r="HV236" s="5"/>
      <c r="HW236" s="5"/>
      <c r="HX236" s="5"/>
      <c r="HY236" s="5"/>
      <c r="HZ236" s="5"/>
      <c r="IA236" s="5"/>
      <c r="IB236" s="5"/>
      <c r="IC236" s="5"/>
      <c r="ID236" s="5"/>
      <c r="IE236" s="5"/>
      <c r="IF236" s="5"/>
      <c r="IG236" s="5"/>
      <c r="IH236" s="5"/>
      <c r="II236" s="5"/>
      <c r="IJ236" s="5"/>
      <c r="IK236" s="5"/>
      <c r="IL236" s="5"/>
      <c r="IM236" s="5"/>
      <c r="IN236" s="5"/>
      <c r="IO236" s="5"/>
      <c r="IP236" s="5"/>
      <c r="IQ236" s="5"/>
      <c r="IR236" s="5"/>
      <c r="IS236" s="5"/>
      <c r="IT236" s="5"/>
      <c r="IU236" s="5"/>
      <c r="IV236" s="5"/>
    </row>
    <row r="237" spans="1:256">
      <c r="A237" s="18" t="str">
        <f>A75</f>
        <v>Bond 23</v>
      </c>
      <c r="B237" s="18">
        <f>B75*B197</f>
        <v>0</v>
      </c>
      <c r="C237" s="18">
        <f t="shared" ref="C237:BN237" si="369">C75*C197</f>
        <v>0</v>
      </c>
      <c r="D237" s="18">
        <f t="shared" si="369"/>
        <v>0</v>
      </c>
      <c r="E237" s="18">
        <f t="shared" si="369"/>
        <v>0</v>
      </c>
      <c r="F237" s="18">
        <f t="shared" si="369"/>
        <v>0</v>
      </c>
      <c r="G237" s="18">
        <f t="shared" si="369"/>
        <v>0</v>
      </c>
      <c r="H237" s="18">
        <f t="shared" si="369"/>
        <v>0</v>
      </c>
      <c r="I237" s="18">
        <f t="shared" si="369"/>
        <v>0</v>
      </c>
      <c r="J237" s="18">
        <f t="shared" si="369"/>
        <v>0</v>
      </c>
      <c r="K237" s="18">
        <f t="shared" si="369"/>
        <v>0</v>
      </c>
      <c r="L237" s="18">
        <f t="shared" si="369"/>
        <v>0</v>
      </c>
      <c r="M237" s="18">
        <f t="shared" si="369"/>
        <v>0</v>
      </c>
      <c r="N237" s="18">
        <f t="shared" si="369"/>
        <v>0</v>
      </c>
      <c r="O237" s="18">
        <f t="shared" si="369"/>
        <v>0</v>
      </c>
      <c r="P237" s="18">
        <f t="shared" si="369"/>
        <v>0</v>
      </c>
      <c r="Q237" s="18">
        <f t="shared" si="369"/>
        <v>0</v>
      </c>
      <c r="R237" s="18">
        <f t="shared" si="369"/>
        <v>0</v>
      </c>
      <c r="S237" s="18">
        <f t="shared" si="369"/>
        <v>0</v>
      </c>
      <c r="T237" s="18">
        <f t="shared" si="369"/>
        <v>0</v>
      </c>
      <c r="U237" s="18">
        <f t="shared" si="369"/>
        <v>0</v>
      </c>
      <c r="V237" s="18">
        <f t="shared" si="369"/>
        <v>0</v>
      </c>
      <c r="W237" s="18">
        <f t="shared" si="369"/>
        <v>0</v>
      </c>
      <c r="X237" s="18">
        <f t="shared" si="369"/>
        <v>0</v>
      </c>
      <c r="Y237" s="18">
        <f t="shared" si="369"/>
        <v>0</v>
      </c>
      <c r="Z237" s="18">
        <f t="shared" si="369"/>
        <v>0</v>
      </c>
      <c r="AA237" s="18">
        <f t="shared" si="369"/>
        <v>0</v>
      </c>
      <c r="AB237" s="18">
        <f t="shared" si="369"/>
        <v>0</v>
      </c>
      <c r="AC237" s="18">
        <f t="shared" si="369"/>
        <v>0</v>
      </c>
      <c r="AD237" s="18">
        <f t="shared" si="369"/>
        <v>0</v>
      </c>
      <c r="AE237" s="18">
        <f t="shared" si="369"/>
        <v>0</v>
      </c>
      <c r="AF237" s="18">
        <f t="shared" si="369"/>
        <v>0</v>
      </c>
      <c r="AG237" s="18">
        <f t="shared" si="369"/>
        <v>0</v>
      </c>
      <c r="AH237" s="18">
        <f t="shared" si="369"/>
        <v>0</v>
      </c>
      <c r="AI237" s="18">
        <f t="shared" si="369"/>
        <v>0</v>
      </c>
      <c r="AJ237" s="18">
        <f t="shared" si="369"/>
        <v>0</v>
      </c>
      <c r="AK237" s="18">
        <f t="shared" si="369"/>
        <v>0</v>
      </c>
      <c r="AL237" s="18">
        <f t="shared" si="369"/>
        <v>0</v>
      </c>
      <c r="AM237" s="18">
        <f t="shared" si="369"/>
        <v>0</v>
      </c>
      <c r="AN237" s="18">
        <f t="shared" si="369"/>
        <v>0</v>
      </c>
      <c r="AO237" s="18">
        <f t="shared" si="369"/>
        <v>0</v>
      </c>
      <c r="AP237" s="18">
        <f t="shared" si="369"/>
        <v>0</v>
      </c>
      <c r="AQ237" s="18">
        <f t="shared" si="369"/>
        <v>0</v>
      </c>
      <c r="AR237" s="18">
        <f t="shared" si="369"/>
        <v>0</v>
      </c>
      <c r="AS237" s="18">
        <f t="shared" si="369"/>
        <v>0</v>
      </c>
      <c r="AT237" s="18">
        <f t="shared" si="369"/>
        <v>0</v>
      </c>
      <c r="AU237" s="18">
        <f t="shared" si="369"/>
        <v>0</v>
      </c>
      <c r="AV237" s="18">
        <f t="shared" si="369"/>
        <v>0</v>
      </c>
      <c r="AW237" s="18">
        <f t="shared" si="369"/>
        <v>0</v>
      </c>
      <c r="AX237" s="18">
        <f t="shared" si="369"/>
        <v>0</v>
      </c>
      <c r="AY237" s="18">
        <f t="shared" si="369"/>
        <v>0</v>
      </c>
      <c r="AZ237" s="18">
        <f t="shared" si="369"/>
        <v>0</v>
      </c>
      <c r="BA237" s="18">
        <f t="shared" si="369"/>
        <v>0</v>
      </c>
      <c r="BB237" s="18">
        <f t="shared" si="369"/>
        <v>0</v>
      </c>
      <c r="BC237" s="18">
        <f t="shared" si="369"/>
        <v>0</v>
      </c>
      <c r="BD237" s="18">
        <f t="shared" si="369"/>
        <v>0</v>
      </c>
      <c r="BE237" s="18">
        <f t="shared" si="369"/>
        <v>0</v>
      </c>
      <c r="BF237" s="18">
        <f t="shared" si="369"/>
        <v>0</v>
      </c>
      <c r="BG237" s="18">
        <f t="shared" si="369"/>
        <v>0</v>
      </c>
      <c r="BH237" s="18">
        <f t="shared" si="369"/>
        <v>0</v>
      </c>
      <c r="BI237" s="18">
        <f t="shared" si="369"/>
        <v>0</v>
      </c>
      <c r="BJ237" s="18">
        <f t="shared" si="369"/>
        <v>0</v>
      </c>
      <c r="BK237" s="18">
        <f t="shared" si="369"/>
        <v>0</v>
      </c>
      <c r="BL237" s="18">
        <f t="shared" si="369"/>
        <v>0</v>
      </c>
      <c r="BM237" s="18">
        <f t="shared" si="369"/>
        <v>0</v>
      </c>
      <c r="BN237" s="18">
        <f t="shared" si="369"/>
        <v>0</v>
      </c>
      <c r="BO237" s="18">
        <f t="shared" ref="BO237:CB237" si="370">BO75*BO197</f>
        <v>0</v>
      </c>
      <c r="BP237" s="18">
        <f t="shared" si="370"/>
        <v>0</v>
      </c>
      <c r="BQ237" s="18">
        <f t="shared" si="370"/>
        <v>0</v>
      </c>
      <c r="BR237" s="18">
        <f t="shared" si="370"/>
        <v>0</v>
      </c>
      <c r="BS237" s="18">
        <f t="shared" si="370"/>
        <v>0</v>
      </c>
      <c r="BT237" s="18">
        <f t="shared" si="370"/>
        <v>0</v>
      </c>
      <c r="BU237" s="18">
        <f t="shared" si="370"/>
        <v>0</v>
      </c>
      <c r="BV237" s="18">
        <f t="shared" si="370"/>
        <v>0</v>
      </c>
      <c r="BW237" s="18">
        <f t="shared" si="370"/>
        <v>0</v>
      </c>
      <c r="BX237" s="18">
        <f t="shared" si="370"/>
        <v>0</v>
      </c>
      <c r="BY237" s="18">
        <f t="shared" si="370"/>
        <v>0</v>
      </c>
      <c r="BZ237" s="18">
        <f t="shared" si="370"/>
        <v>0</v>
      </c>
      <c r="CA237" s="18">
        <f t="shared" si="370"/>
        <v>0</v>
      </c>
      <c r="CB237" s="18">
        <f t="shared" si="370"/>
        <v>0</v>
      </c>
      <c r="CC237" s="17"/>
      <c r="CD237" s="17"/>
      <c r="CE237" s="17"/>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c r="DG237" s="5"/>
      <c r="DH237" s="5"/>
      <c r="DI237" s="5"/>
      <c r="DJ237" s="5"/>
      <c r="DK237" s="5"/>
      <c r="DL237" s="5"/>
      <c r="DM237" s="5"/>
      <c r="DN237" s="5"/>
      <c r="DO237" s="5"/>
      <c r="DP237" s="5"/>
      <c r="DQ237" s="5"/>
      <c r="DR237" s="5"/>
      <c r="DS237" s="5"/>
      <c r="DT237" s="5"/>
      <c r="DU237" s="5"/>
      <c r="DV237" s="5"/>
      <c r="DW237" s="5"/>
      <c r="DX237" s="5"/>
      <c r="DY237" s="5"/>
      <c r="DZ237" s="5"/>
      <c r="EA237" s="5"/>
      <c r="EB237" s="5"/>
      <c r="EC237" s="5"/>
      <c r="ED237" s="5"/>
      <c r="EE237" s="5"/>
      <c r="EF237" s="5"/>
      <c r="EG237" s="5"/>
      <c r="EH237" s="5"/>
      <c r="EI237" s="5"/>
      <c r="EJ237" s="5"/>
      <c r="EK237" s="5"/>
      <c r="EL237" s="5"/>
      <c r="EM237" s="5"/>
      <c r="EN237" s="5"/>
      <c r="EO237" s="5"/>
      <c r="EP237" s="5"/>
      <c r="EQ237" s="5"/>
      <c r="ER237" s="5"/>
      <c r="ES237" s="5"/>
      <c r="ET237" s="5"/>
      <c r="EU237" s="5"/>
      <c r="EV237" s="5"/>
      <c r="EW237" s="5"/>
      <c r="EX237" s="5"/>
      <c r="EY237" s="5"/>
      <c r="EZ237" s="5"/>
      <c r="FA237" s="5"/>
      <c r="FB237" s="5"/>
      <c r="FC237" s="5"/>
      <c r="FD237" s="5"/>
      <c r="FE237" s="5"/>
      <c r="FF237" s="5"/>
      <c r="FG237" s="5"/>
      <c r="FH237" s="5"/>
      <c r="FI237" s="5"/>
      <c r="FJ237" s="5"/>
      <c r="FK237" s="5"/>
      <c r="FL237" s="5"/>
      <c r="FM237" s="5"/>
      <c r="FN237" s="5"/>
      <c r="FO237" s="5"/>
      <c r="FP237" s="5"/>
      <c r="FQ237" s="5"/>
      <c r="FR237" s="5"/>
      <c r="FS237" s="5"/>
      <c r="FT237" s="5"/>
      <c r="FU237" s="5"/>
      <c r="FV237" s="5"/>
      <c r="FW237" s="5"/>
      <c r="FX237" s="5"/>
      <c r="FY237" s="5"/>
      <c r="FZ237" s="5"/>
      <c r="GA237" s="5"/>
      <c r="GB237" s="5"/>
      <c r="GC237" s="5"/>
      <c r="GD237" s="5"/>
      <c r="GE237" s="5"/>
      <c r="GF237" s="5"/>
      <c r="GG237" s="5"/>
      <c r="GH237" s="5"/>
      <c r="GI237" s="5"/>
      <c r="GJ237" s="5"/>
      <c r="GK237" s="5"/>
      <c r="GL237" s="5"/>
      <c r="GM237" s="5"/>
      <c r="GN237" s="5"/>
      <c r="GO237" s="5"/>
      <c r="GP237" s="5"/>
      <c r="GQ237" s="5"/>
      <c r="GR237" s="5"/>
      <c r="GS237" s="5"/>
      <c r="GT237" s="5"/>
      <c r="GU237" s="5"/>
      <c r="GV237" s="5"/>
      <c r="GW237" s="5"/>
      <c r="GX237" s="5"/>
      <c r="GY237" s="5"/>
      <c r="GZ237" s="5"/>
      <c r="HA237" s="5"/>
      <c r="HB237" s="5"/>
      <c r="HC237" s="5"/>
      <c r="HD237" s="5"/>
      <c r="HE237" s="5"/>
      <c r="HF237" s="5"/>
      <c r="HG237" s="5"/>
      <c r="HH237" s="5"/>
      <c r="HI237" s="5"/>
      <c r="HJ237" s="5"/>
      <c r="HK237" s="5"/>
      <c r="HL237" s="5"/>
      <c r="HM237" s="5"/>
      <c r="HN237" s="5"/>
      <c r="HO237" s="5"/>
      <c r="HP237" s="5"/>
      <c r="HQ237" s="5"/>
      <c r="HR237" s="5"/>
      <c r="HS237" s="5"/>
      <c r="HT237" s="5"/>
      <c r="HU237" s="5"/>
      <c r="HV237" s="5"/>
      <c r="HW237" s="5"/>
      <c r="HX237" s="5"/>
      <c r="HY237" s="5"/>
      <c r="HZ237" s="5"/>
      <c r="IA237" s="5"/>
      <c r="IB237" s="5"/>
      <c r="IC237" s="5"/>
      <c r="ID237" s="5"/>
      <c r="IE237" s="5"/>
      <c r="IF237" s="5"/>
      <c r="IG237" s="5"/>
      <c r="IH237" s="5"/>
      <c r="II237" s="5"/>
      <c r="IJ237" s="5"/>
      <c r="IK237" s="5"/>
      <c r="IL237" s="5"/>
      <c r="IM237" s="5"/>
      <c r="IN237" s="5"/>
      <c r="IO237" s="5"/>
      <c r="IP237" s="5"/>
      <c r="IQ237" s="5"/>
      <c r="IR237" s="5"/>
      <c r="IS237" s="5"/>
      <c r="IT237" s="5"/>
      <c r="IU237" s="5"/>
      <c r="IV237" s="5"/>
    </row>
    <row r="238" spans="1:256">
      <c r="A238" s="18" t="str">
        <f>A77</f>
        <v>Bond 24</v>
      </c>
      <c r="B238" s="18">
        <f>B77*B202</f>
        <v>0</v>
      </c>
      <c r="C238" s="18">
        <f t="shared" ref="C238:BN238" si="371">C77*C202</f>
        <v>0</v>
      </c>
      <c r="D238" s="18">
        <f t="shared" si="371"/>
        <v>0</v>
      </c>
      <c r="E238" s="18">
        <f t="shared" si="371"/>
        <v>0</v>
      </c>
      <c r="F238" s="18">
        <f t="shared" si="371"/>
        <v>0</v>
      </c>
      <c r="G238" s="18">
        <f t="shared" si="371"/>
        <v>0</v>
      </c>
      <c r="H238" s="18">
        <f t="shared" si="371"/>
        <v>0</v>
      </c>
      <c r="I238" s="18">
        <f t="shared" si="371"/>
        <v>0</v>
      </c>
      <c r="J238" s="18">
        <f t="shared" si="371"/>
        <v>0</v>
      </c>
      <c r="K238" s="18">
        <f t="shared" si="371"/>
        <v>0</v>
      </c>
      <c r="L238" s="18">
        <f t="shared" si="371"/>
        <v>0</v>
      </c>
      <c r="M238" s="18">
        <f t="shared" si="371"/>
        <v>0</v>
      </c>
      <c r="N238" s="18">
        <f t="shared" si="371"/>
        <v>0</v>
      </c>
      <c r="O238" s="18">
        <f t="shared" si="371"/>
        <v>0</v>
      </c>
      <c r="P238" s="18">
        <f t="shared" si="371"/>
        <v>0</v>
      </c>
      <c r="Q238" s="18">
        <f t="shared" si="371"/>
        <v>0</v>
      </c>
      <c r="R238" s="18">
        <f t="shared" si="371"/>
        <v>0</v>
      </c>
      <c r="S238" s="18">
        <f t="shared" si="371"/>
        <v>0</v>
      </c>
      <c r="T238" s="18">
        <f t="shared" si="371"/>
        <v>0</v>
      </c>
      <c r="U238" s="18">
        <f t="shared" si="371"/>
        <v>0</v>
      </c>
      <c r="V238" s="18">
        <f t="shared" si="371"/>
        <v>0</v>
      </c>
      <c r="W238" s="18">
        <f t="shared" si="371"/>
        <v>0</v>
      </c>
      <c r="X238" s="18">
        <f t="shared" si="371"/>
        <v>0</v>
      </c>
      <c r="Y238" s="18">
        <f t="shared" si="371"/>
        <v>0</v>
      </c>
      <c r="Z238" s="18">
        <f t="shared" si="371"/>
        <v>0</v>
      </c>
      <c r="AA238" s="18">
        <f t="shared" si="371"/>
        <v>0</v>
      </c>
      <c r="AB238" s="18">
        <f t="shared" si="371"/>
        <v>0</v>
      </c>
      <c r="AC238" s="18">
        <f t="shared" si="371"/>
        <v>0</v>
      </c>
      <c r="AD238" s="18">
        <f t="shared" si="371"/>
        <v>0</v>
      </c>
      <c r="AE238" s="18">
        <f t="shared" si="371"/>
        <v>0</v>
      </c>
      <c r="AF238" s="18">
        <f t="shared" si="371"/>
        <v>0</v>
      </c>
      <c r="AG238" s="18">
        <f t="shared" si="371"/>
        <v>0</v>
      </c>
      <c r="AH238" s="18">
        <f t="shared" si="371"/>
        <v>0</v>
      </c>
      <c r="AI238" s="18">
        <f t="shared" si="371"/>
        <v>0</v>
      </c>
      <c r="AJ238" s="18">
        <f t="shared" si="371"/>
        <v>0</v>
      </c>
      <c r="AK238" s="18">
        <f t="shared" si="371"/>
        <v>0</v>
      </c>
      <c r="AL238" s="18">
        <f t="shared" si="371"/>
        <v>0</v>
      </c>
      <c r="AM238" s="18">
        <f t="shared" si="371"/>
        <v>0</v>
      </c>
      <c r="AN238" s="18">
        <f t="shared" si="371"/>
        <v>0</v>
      </c>
      <c r="AO238" s="18">
        <f t="shared" si="371"/>
        <v>0</v>
      </c>
      <c r="AP238" s="18">
        <f t="shared" si="371"/>
        <v>0</v>
      </c>
      <c r="AQ238" s="18">
        <f t="shared" si="371"/>
        <v>0</v>
      </c>
      <c r="AR238" s="18">
        <f t="shared" si="371"/>
        <v>0</v>
      </c>
      <c r="AS238" s="18">
        <f t="shared" si="371"/>
        <v>0</v>
      </c>
      <c r="AT238" s="18">
        <f t="shared" si="371"/>
        <v>0</v>
      </c>
      <c r="AU238" s="18">
        <f t="shared" si="371"/>
        <v>0</v>
      </c>
      <c r="AV238" s="18">
        <f t="shared" si="371"/>
        <v>0</v>
      </c>
      <c r="AW238" s="18">
        <f t="shared" si="371"/>
        <v>0</v>
      </c>
      <c r="AX238" s="18">
        <f t="shared" si="371"/>
        <v>0</v>
      </c>
      <c r="AY238" s="18">
        <f t="shared" si="371"/>
        <v>0</v>
      </c>
      <c r="AZ238" s="18">
        <f t="shared" si="371"/>
        <v>0</v>
      </c>
      <c r="BA238" s="18">
        <f t="shared" si="371"/>
        <v>0</v>
      </c>
      <c r="BB238" s="18">
        <f t="shared" si="371"/>
        <v>0</v>
      </c>
      <c r="BC238" s="18">
        <f t="shared" si="371"/>
        <v>0</v>
      </c>
      <c r="BD238" s="18">
        <f t="shared" si="371"/>
        <v>0</v>
      </c>
      <c r="BE238" s="18">
        <f t="shared" si="371"/>
        <v>0</v>
      </c>
      <c r="BF238" s="18">
        <f t="shared" si="371"/>
        <v>0</v>
      </c>
      <c r="BG238" s="18">
        <f t="shared" si="371"/>
        <v>0</v>
      </c>
      <c r="BH238" s="18">
        <f t="shared" si="371"/>
        <v>0</v>
      </c>
      <c r="BI238" s="18">
        <f t="shared" si="371"/>
        <v>0</v>
      </c>
      <c r="BJ238" s="18">
        <f t="shared" si="371"/>
        <v>0</v>
      </c>
      <c r="BK238" s="18">
        <f t="shared" si="371"/>
        <v>0</v>
      </c>
      <c r="BL238" s="18">
        <f t="shared" si="371"/>
        <v>0</v>
      </c>
      <c r="BM238" s="18">
        <f t="shared" si="371"/>
        <v>0</v>
      </c>
      <c r="BN238" s="18">
        <f t="shared" si="371"/>
        <v>0</v>
      </c>
      <c r="BO238" s="18">
        <f t="shared" ref="BO238:CB238" si="372">BO77*BO202</f>
        <v>0</v>
      </c>
      <c r="BP238" s="18">
        <f t="shared" si="372"/>
        <v>0</v>
      </c>
      <c r="BQ238" s="18">
        <f t="shared" si="372"/>
        <v>0</v>
      </c>
      <c r="BR238" s="18">
        <f t="shared" si="372"/>
        <v>0</v>
      </c>
      <c r="BS238" s="18">
        <f t="shared" si="372"/>
        <v>0</v>
      </c>
      <c r="BT238" s="18">
        <f t="shared" si="372"/>
        <v>0</v>
      </c>
      <c r="BU238" s="18">
        <f t="shared" si="372"/>
        <v>0</v>
      </c>
      <c r="BV238" s="18">
        <f t="shared" si="372"/>
        <v>0</v>
      </c>
      <c r="BW238" s="18">
        <f t="shared" si="372"/>
        <v>0</v>
      </c>
      <c r="BX238" s="18">
        <f t="shared" si="372"/>
        <v>0</v>
      </c>
      <c r="BY238" s="18">
        <f t="shared" si="372"/>
        <v>0</v>
      </c>
      <c r="BZ238" s="18">
        <f t="shared" si="372"/>
        <v>0</v>
      </c>
      <c r="CA238" s="18">
        <f t="shared" si="372"/>
        <v>0</v>
      </c>
      <c r="CB238" s="18">
        <f t="shared" si="372"/>
        <v>0</v>
      </c>
      <c r="CC238" s="17"/>
      <c r="CD238" s="17"/>
      <c r="CE238" s="17"/>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c r="DG238" s="5"/>
      <c r="DH238" s="5"/>
      <c r="DI238" s="5"/>
      <c r="DJ238" s="5"/>
      <c r="DK238" s="5"/>
      <c r="DL238" s="5"/>
      <c r="DM238" s="5"/>
      <c r="DN238" s="5"/>
      <c r="DO238" s="5"/>
      <c r="DP238" s="5"/>
      <c r="DQ238" s="5"/>
      <c r="DR238" s="5"/>
      <c r="DS238" s="5"/>
      <c r="DT238" s="5"/>
      <c r="DU238" s="5"/>
      <c r="DV238" s="5"/>
      <c r="DW238" s="5"/>
      <c r="DX238" s="5"/>
      <c r="DY238" s="5"/>
      <c r="DZ238" s="5"/>
      <c r="EA238" s="5"/>
      <c r="EB238" s="5"/>
      <c r="EC238" s="5"/>
      <c r="ED238" s="5"/>
      <c r="EE238" s="5"/>
      <c r="EF238" s="5"/>
      <c r="EG238" s="5"/>
      <c r="EH238" s="5"/>
      <c r="EI238" s="5"/>
      <c r="EJ238" s="5"/>
      <c r="EK238" s="5"/>
      <c r="EL238" s="5"/>
      <c r="EM238" s="5"/>
      <c r="EN238" s="5"/>
      <c r="EO238" s="5"/>
      <c r="EP238" s="5"/>
      <c r="EQ238" s="5"/>
      <c r="ER238" s="5"/>
      <c r="ES238" s="5"/>
      <c r="ET238" s="5"/>
      <c r="EU238" s="5"/>
      <c r="EV238" s="5"/>
      <c r="EW238" s="5"/>
      <c r="EX238" s="5"/>
      <c r="EY238" s="5"/>
      <c r="EZ238" s="5"/>
      <c r="FA238" s="5"/>
      <c r="FB238" s="5"/>
      <c r="FC238" s="5"/>
      <c r="FD238" s="5"/>
      <c r="FE238" s="5"/>
      <c r="FF238" s="5"/>
      <c r="FG238" s="5"/>
      <c r="FH238" s="5"/>
      <c r="FI238" s="5"/>
      <c r="FJ238" s="5"/>
      <c r="FK238" s="5"/>
      <c r="FL238" s="5"/>
      <c r="FM238" s="5"/>
      <c r="FN238" s="5"/>
      <c r="FO238" s="5"/>
      <c r="FP238" s="5"/>
      <c r="FQ238" s="5"/>
      <c r="FR238" s="5"/>
      <c r="FS238" s="5"/>
      <c r="FT238" s="5"/>
      <c r="FU238" s="5"/>
      <c r="FV238" s="5"/>
      <c r="FW238" s="5"/>
      <c r="FX238" s="5"/>
      <c r="FY238" s="5"/>
      <c r="FZ238" s="5"/>
      <c r="GA238" s="5"/>
      <c r="GB238" s="5"/>
      <c r="GC238" s="5"/>
      <c r="GD238" s="5"/>
      <c r="GE238" s="5"/>
      <c r="GF238" s="5"/>
      <c r="GG238" s="5"/>
      <c r="GH238" s="5"/>
      <c r="GI238" s="5"/>
      <c r="GJ238" s="5"/>
      <c r="GK238" s="5"/>
      <c r="GL238" s="5"/>
      <c r="GM238" s="5"/>
      <c r="GN238" s="5"/>
      <c r="GO238" s="5"/>
      <c r="GP238" s="5"/>
      <c r="GQ238" s="5"/>
      <c r="GR238" s="5"/>
      <c r="GS238" s="5"/>
      <c r="GT238" s="5"/>
      <c r="GU238" s="5"/>
      <c r="GV238" s="5"/>
      <c r="GW238" s="5"/>
      <c r="GX238" s="5"/>
      <c r="GY238" s="5"/>
      <c r="GZ238" s="5"/>
      <c r="HA238" s="5"/>
      <c r="HB238" s="5"/>
      <c r="HC238" s="5"/>
      <c r="HD238" s="5"/>
      <c r="HE238" s="5"/>
      <c r="HF238" s="5"/>
      <c r="HG238" s="5"/>
      <c r="HH238" s="5"/>
      <c r="HI238" s="5"/>
      <c r="HJ238" s="5"/>
      <c r="HK238" s="5"/>
      <c r="HL238" s="5"/>
      <c r="HM238" s="5"/>
      <c r="HN238" s="5"/>
      <c r="HO238" s="5"/>
      <c r="HP238" s="5"/>
      <c r="HQ238" s="5"/>
      <c r="HR238" s="5"/>
      <c r="HS238" s="5"/>
      <c r="HT238" s="5"/>
      <c r="HU238" s="5"/>
      <c r="HV238" s="5"/>
      <c r="HW238" s="5"/>
      <c r="HX238" s="5"/>
      <c r="HY238" s="5"/>
      <c r="HZ238" s="5"/>
      <c r="IA238" s="5"/>
      <c r="IB238" s="5"/>
      <c r="IC238" s="5"/>
      <c r="ID238" s="5"/>
      <c r="IE238" s="5"/>
      <c r="IF238" s="5"/>
      <c r="IG238" s="5"/>
      <c r="IH238" s="5"/>
      <c r="II238" s="5"/>
      <c r="IJ238" s="5"/>
      <c r="IK238" s="5"/>
      <c r="IL238" s="5"/>
      <c r="IM238" s="5"/>
      <c r="IN238" s="5"/>
      <c r="IO238" s="5"/>
      <c r="IP238" s="5"/>
      <c r="IQ238" s="5"/>
      <c r="IR238" s="5"/>
      <c r="IS238" s="5"/>
      <c r="IT238" s="5"/>
      <c r="IU238" s="5"/>
      <c r="IV238" s="5"/>
    </row>
    <row r="239" spans="1:256">
      <c r="A239" s="18" t="str">
        <f>A79</f>
        <v>Bond 25</v>
      </c>
      <c r="B239" s="18">
        <f>B79*B207</f>
        <v>0</v>
      </c>
      <c r="C239" s="18">
        <f t="shared" ref="C239:BN239" si="373">C79*C207</f>
        <v>0</v>
      </c>
      <c r="D239" s="18">
        <f t="shared" si="373"/>
        <v>0</v>
      </c>
      <c r="E239" s="18">
        <f t="shared" si="373"/>
        <v>0</v>
      </c>
      <c r="F239" s="18">
        <f t="shared" si="373"/>
        <v>0</v>
      </c>
      <c r="G239" s="18">
        <f t="shared" si="373"/>
        <v>0</v>
      </c>
      <c r="H239" s="18">
        <f t="shared" si="373"/>
        <v>0</v>
      </c>
      <c r="I239" s="18">
        <f t="shared" si="373"/>
        <v>0</v>
      </c>
      <c r="J239" s="18">
        <f t="shared" si="373"/>
        <v>0</v>
      </c>
      <c r="K239" s="18">
        <f t="shared" si="373"/>
        <v>0</v>
      </c>
      <c r="L239" s="18">
        <f t="shared" si="373"/>
        <v>0</v>
      </c>
      <c r="M239" s="18">
        <f t="shared" si="373"/>
        <v>0</v>
      </c>
      <c r="N239" s="18">
        <f t="shared" si="373"/>
        <v>0</v>
      </c>
      <c r="O239" s="18">
        <f t="shared" si="373"/>
        <v>0</v>
      </c>
      <c r="P239" s="18">
        <f t="shared" si="373"/>
        <v>0</v>
      </c>
      <c r="Q239" s="18">
        <f t="shared" si="373"/>
        <v>0</v>
      </c>
      <c r="R239" s="18">
        <f t="shared" si="373"/>
        <v>0</v>
      </c>
      <c r="S239" s="18">
        <f t="shared" si="373"/>
        <v>0</v>
      </c>
      <c r="T239" s="18">
        <f t="shared" si="373"/>
        <v>0</v>
      </c>
      <c r="U239" s="18">
        <f t="shared" si="373"/>
        <v>0</v>
      </c>
      <c r="V239" s="18">
        <f t="shared" si="373"/>
        <v>0</v>
      </c>
      <c r="W239" s="18">
        <f t="shared" si="373"/>
        <v>0</v>
      </c>
      <c r="X239" s="18">
        <f t="shared" si="373"/>
        <v>0</v>
      </c>
      <c r="Y239" s="18">
        <f t="shared" si="373"/>
        <v>0</v>
      </c>
      <c r="Z239" s="18">
        <f t="shared" si="373"/>
        <v>0</v>
      </c>
      <c r="AA239" s="18">
        <f t="shared" si="373"/>
        <v>0</v>
      </c>
      <c r="AB239" s="18">
        <f t="shared" si="373"/>
        <v>0</v>
      </c>
      <c r="AC239" s="18">
        <f t="shared" si="373"/>
        <v>0</v>
      </c>
      <c r="AD239" s="18">
        <f t="shared" si="373"/>
        <v>0</v>
      </c>
      <c r="AE239" s="18">
        <f t="shared" si="373"/>
        <v>0</v>
      </c>
      <c r="AF239" s="18">
        <f t="shared" si="373"/>
        <v>0</v>
      </c>
      <c r="AG239" s="18">
        <f t="shared" si="373"/>
        <v>0</v>
      </c>
      <c r="AH239" s="18">
        <f t="shared" si="373"/>
        <v>0</v>
      </c>
      <c r="AI239" s="18">
        <f t="shared" si="373"/>
        <v>0</v>
      </c>
      <c r="AJ239" s="18">
        <f t="shared" si="373"/>
        <v>0</v>
      </c>
      <c r="AK239" s="18">
        <f t="shared" si="373"/>
        <v>0</v>
      </c>
      <c r="AL239" s="18">
        <f t="shared" si="373"/>
        <v>0</v>
      </c>
      <c r="AM239" s="18">
        <f t="shared" si="373"/>
        <v>0</v>
      </c>
      <c r="AN239" s="18">
        <f t="shared" si="373"/>
        <v>0</v>
      </c>
      <c r="AO239" s="18">
        <f t="shared" si="373"/>
        <v>0</v>
      </c>
      <c r="AP239" s="18">
        <f t="shared" si="373"/>
        <v>0</v>
      </c>
      <c r="AQ239" s="18">
        <f t="shared" si="373"/>
        <v>0</v>
      </c>
      <c r="AR239" s="18">
        <f t="shared" si="373"/>
        <v>0</v>
      </c>
      <c r="AS239" s="18">
        <f t="shared" si="373"/>
        <v>0</v>
      </c>
      <c r="AT239" s="18">
        <f t="shared" si="373"/>
        <v>0</v>
      </c>
      <c r="AU239" s="18">
        <f t="shared" si="373"/>
        <v>0</v>
      </c>
      <c r="AV239" s="18">
        <f t="shared" si="373"/>
        <v>0</v>
      </c>
      <c r="AW239" s="18">
        <f t="shared" si="373"/>
        <v>0</v>
      </c>
      <c r="AX239" s="18">
        <f t="shared" si="373"/>
        <v>0</v>
      </c>
      <c r="AY239" s="18">
        <f t="shared" si="373"/>
        <v>0</v>
      </c>
      <c r="AZ239" s="18">
        <f t="shared" si="373"/>
        <v>0</v>
      </c>
      <c r="BA239" s="18">
        <f t="shared" si="373"/>
        <v>0</v>
      </c>
      <c r="BB239" s="18">
        <f t="shared" si="373"/>
        <v>0</v>
      </c>
      <c r="BC239" s="18">
        <f t="shared" si="373"/>
        <v>0</v>
      </c>
      <c r="BD239" s="18">
        <f t="shared" si="373"/>
        <v>0</v>
      </c>
      <c r="BE239" s="18">
        <f t="shared" si="373"/>
        <v>0</v>
      </c>
      <c r="BF239" s="18">
        <f t="shared" si="373"/>
        <v>0</v>
      </c>
      <c r="BG239" s="18">
        <f t="shared" si="373"/>
        <v>0</v>
      </c>
      <c r="BH239" s="18">
        <f t="shared" si="373"/>
        <v>0</v>
      </c>
      <c r="BI239" s="18">
        <f t="shared" si="373"/>
        <v>0</v>
      </c>
      <c r="BJ239" s="18">
        <f t="shared" si="373"/>
        <v>0</v>
      </c>
      <c r="BK239" s="18">
        <f t="shared" si="373"/>
        <v>0</v>
      </c>
      <c r="BL239" s="18">
        <f t="shared" si="373"/>
        <v>0</v>
      </c>
      <c r="BM239" s="18">
        <f t="shared" si="373"/>
        <v>0</v>
      </c>
      <c r="BN239" s="18">
        <f t="shared" si="373"/>
        <v>0</v>
      </c>
      <c r="BO239" s="18">
        <f t="shared" ref="BO239:CB239" si="374">BO79*BO207</f>
        <v>0</v>
      </c>
      <c r="BP239" s="18">
        <f t="shared" si="374"/>
        <v>0</v>
      </c>
      <c r="BQ239" s="18">
        <f t="shared" si="374"/>
        <v>0</v>
      </c>
      <c r="BR239" s="18">
        <f t="shared" si="374"/>
        <v>0</v>
      </c>
      <c r="BS239" s="18">
        <f t="shared" si="374"/>
        <v>0</v>
      </c>
      <c r="BT239" s="18">
        <f t="shared" si="374"/>
        <v>0</v>
      </c>
      <c r="BU239" s="18">
        <f t="shared" si="374"/>
        <v>0</v>
      </c>
      <c r="BV239" s="18">
        <f t="shared" si="374"/>
        <v>0</v>
      </c>
      <c r="BW239" s="18">
        <f t="shared" si="374"/>
        <v>0</v>
      </c>
      <c r="BX239" s="18">
        <f t="shared" si="374"/>
        <v>0</v>
      </c>
      <c r="BY239" s="18">
        <f t="shared" si="374"/>
        <v>0</v>
      </c>
      <c r="BZ239" s="18">
        <f t="shared" si="374"/>
        <v>0</v>
      </c>
      <c r="CA239" s="18">
        <f t="shared" si="374"/>
        <v>0</v>
      </c>
      <c r="CB239" s="18">
        <f t="shared" si="374"/>
        <v>0</v>
      </c>
      <c r="CC239" s="17"/>
      <c r="CD239" s="17"/>
      <c r="CE239" s="17"/>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c r="DG239" s="5"/>
      <c r="DH239" s="5"/>
      <c r="DI239" s="5"/>
      <c r="DJ239" s="5"/>
      <c r="DK239" s="5"/>
      <c r="DL239" s="5"/>
      <c r="DM239" s="5"/>
      <c r="DN239" s="5"/>
      <c r="DO239" s="5"/>
      <c r="DP239" s="5"/>
      <c r="DQ239" s="5"/>
      <c r="DR239" s="5"/>
      <c r="DS239" s="5"/>
      <c r="DT239" s="5"/>
      <c r="DU239" s="5"/>
      <c r="DV239" s="5"/>
      <c r="DW239" s="5"/>
      <c r="DX239" s="5"/>
      <c r="DY239" s="5"/>
      <c r="DZ239" s="5"/>
      <c r="EA239" s="5"/>
      <c r="EB239" s="5"/>
      <c r="EC239" s="5"/>
      <c r="ED239" s="5"/>
      <c r="EE239" s="5"/>
      <c r="EF239" s="5"/>
      <c r="EG239" s="5"/>
      <c r="EH239" s="5"/>
      <c r="EI239" s="5"/>
      <c r="EJ239" s="5"/>
      <c r="EK239" s="5"/>
      <c r="EL239" s="5"/>
      <c r="EM239" s="5"/>
      <c r="EN239" s="5"/>
      <c r="EO239" s="5"/>
      <c r="EP239" s="5"/>
      <c r="EQ239" s="5"/>
      <c r="ER239" s="5"/>
      <c r="ES239" s="5"/>
      <c r="ET239" s="5"/>
      <c r="EU239" s="5"/>
      <c r="EV239" s="5"/>
      <c r="EW239" s="5"/>
      <c r="EX239" s="5"/>
      <c r="EY239" s="5"/>
      <c r="EZ239" s="5"/>
      <c r="FA239" s="5"/>
      <c r="FB239" s="5"/>
      <c r="FC239" s="5"/>
      <c r="FD239" s="5"/>
      <c r="FE239" s="5"/>
      <c r="FF239" s="5"/>
      <c r="FG239" s="5"/>
      <c r="FH239" s="5"/>
      <c r="FI239" s="5"/>
      <c r="FJ239" s="5"/>
      <c r="FK239" s="5"/>
      <c r="FL239" s="5"/>
      <c r="FM239" s="5"/>
      <c r="FN239" s="5"/>
      <c r="FO239" s="5"/>
      <c r="FP239" s="5"/>
      <c r="FQ239" s="5"/>
      <c r="FR239" s="5"/>
      <c r="FS239" s="5"/>
      <c r="FT239" s="5"/>
      <c r="FU239" s="5"/>
      <c r="FV239" s="5"/>
      <c r="FW239" s="5"/>
      <c r="FX239" s="5"/>
      <c r="FY239" s="5"/>
      <c r="FZ239" s="5"/>
      <c r="GA239" s="5"/>
      <c r="GB239" s="5"/>
      <c r="GC239" s="5"/>
      <c r="GD239" s="5"/>
      <c r="GE239" s="5"/>
      <c r="GF239" s="5"/>
      <c r="GG239" s="5"/>
      <c r="GH239" s="5"/>
      <c r="GI239" s="5"/>
      <c r="GJ239" s="5"/>
      <c r="GK239" s="5"/>
      <c r="GL239" s="5"/>
      <c r="GM239" s="5"/>
      <c r="GN239" s="5"/>
      <c r="GO239" s="5"/>
      <c r="GP239" s="5"/>
      <c r="GQ239" s="5"/>
      <c r="GR239" s="5"/>
      <c r="GS239" s="5"/>
      <c r="GT239" s="5"/>
      <c r="GU239" s="5"/>
      <c r="GV239" s="5"/>
      <c r="GW239" s="5"/>
      <c r="GX239" s="5"/>
      <c r="GY239" s="5"/>
      <c r="GZ239" s="5"/>
      <c r="HA239" s="5"/>
      <c r="HB239" s="5"/>
      <c r="HC239" s="5"/>
      <c r="HD239" s="5"/>
      <c r="HE239" s="5"/>
      <c r="HF239" s="5"/>
      <c r="HG239" s="5"/>
      <c r="HH239" s="5"/>
      <c r="HI239" s="5"/>
      <c r="HJ239" s="5"/>
      <c r="HK239" s="5"/>
      <c r="HL239" s="5"/>
      <c r="HM239" s="5"/>
      <c r="HN239" s="5"/>
      <c r="HO239" s="5"/>
      <c r="HP239" s="5"/>
      <c r="HQ239" s="5"/>
      <c r="HR239" s="5"/>
      <c r="HS239" s="5"/>
      <c r="HT239" s="5"/>
      <c r="HU239" s="5"/>
      <c r="HV239" s="5"/>
      <c r="HW239" s="5"/>
      <c r="HX239" s="5"/>
      <c r="HY239" s="5"/>
      <c r="HZ239" s="5"/>
      <c r="IA239" s="5"/>
      <c r="IB239" s="5"/>
      <c r="IC239" s="5"/>
      <c r="ID239" s="5"/>
      <c r="IE239" s="5"/>
      <c r="IF239" s="5"/>
      <c r="IG239" s="5"/>
      <c r="IH239" s="5"/>
      <c r="II239" s="5"/>
      <c r="IJ239" s="5"/>
      <c r="IK239" s="5"/>
      <c r="IL239" s="5"/>
      <c r="IM239" s="5"/>
      <c r="IN239" s="5"/>
      <c r="IO239" s="5"/>
      <c r="IP239" s="5"/>
      <c r="IQ239" s="5"/>
      <c r="IR239" s="5"/>
      <c r="IS239" s="5"/>
      <c r="IT239" s="5"/>
      <c r="IU239" s="5"/>
      <c r="IV239" s="5"/>
    </row>
    <row r="240" spans="1:256">
      <c r="A240" s="140" t="str">
        <f>A81</f>
        <v>Bond 26</v>
      </c>
      <c r="B240" s="18">
        <f>B81*B212</f>
        <v>0</v>
      </c>
      <c r="C240" s="18">
        <f t="shared" ref="C240:BN240" si="375">C81*C212</f>
        <v>0</v>
      </c>
      <c r="D240" s="18">
        <f t="shared" si="375"/>
        <v>0</v>
      </c>
      <c r="E240" s="18">
        <f t="shared" si="375"/>
        <v>0</v>
      </c>
      <c r="F240" s="18">
        <f t="shared" si="375"/>
        <v>0</v>
      </c>
      <c r="G240" s="18">
        <f t="shared" si="375"/>
        <v>0</v>
      </c>
      <c r="H240" s="18">
        <f t="shared" si="375"/>
        <v>0</v>
      </c>
      <c r="I240" s="18">
        <f t="shared" si="375"/>
        <v>0</v>
      </c>
      <c r="J240" s="18">
        <f t="shared" si="375"/>
        <v>0</v>
      </c>
      <c r="K240" s="18">
        <f t="shared" si="375"/>
        <v>0</v>
      </c>
      <c r="L240" s="18">
        <f t="shared" si="375"/>
        <v>0</v>
      </c>
      <c r="M240" s="18">
        <f t="shared" si="375"/>
        <v>0</v>
      </c>
      <c r="N240" s="18">
        <f t="shared" si="375"/>
        <v>0</v>
      </c>
      <c r="O240" s="18">
        <f t="shared" si="375"/>
        <v>0</v>
      </c>
      <c r="P240" s="18">
        <f t="shared" si="375"/>
        <v>0</v>
      </c>
      <c r="Q240" s="18">
        <f t="shared" si="375"/>
        <v>0</v>
      </c>
      <c r="R240" s="18">
        <f t="shared" si="375"/>
        <v>0</v>
      </c>
      <c r="S240" s="18">
        <f t="shared" si="375"/>
        <v>0</v>
      </c>
      <c r="T240" s="18">
        <f t="shared" si="375"/>
        <v>0</v>
      </c>
      <c r="U240" s="18">
        <f t="shared" si="375"/>
        <v>0</v>
      </c>
      <c r="V240" s="18">
        <f t="shared" si="375"/>
        <v>0</v>
      </c>
      <c r="W240" s="18">
        <f t="shared" si="375"/>
        <v>0</v>
      </c>
      <c r="X240" s="18">
        <f t="shared" si="375"/>
        <v>0</v>
      </c>
      <c r="Y240" s="18">
        <f t="shared" si="375"/>
        <v>0</v>
      </c>
      <c r="Z240" s="18">
        <f t="shared" si="375"/>
        <v>0</v>
      </c>
      <c r="AA240" s="18">
        <f t="shared" si="375"/>
        <v>0</v>
      </c>
      <c r="AB240" s="18">
        <f t="shared" si="375"/>
        <v>0</v>
      </c>
      <c r="AC240" s="18">
        <f t="shared" si="375"/>
        <v>0</v>
      </c>
      <c r="AD240" s="18">
        <f t="shared" si="375"/>
        <v>0</v>
      </c>
      <c r="AE240" s="18">
        <f t="shared" si="375"/>
        <v>0</v>
      </c>
      <c r="AF240" s="18">
        <f t="shared" si="375"/>
        <v>0</v>
      </c>
      <c r="AG240" s="18">
        <f t="shared" si="375"/>
        <v>0</v>
      </c>
      <c r="AH240" s="18">
        <f t="shared" si="375"/>
        <v>0</v>
      </c>
      <c r="AI240" s="18">
        <f t="shared" si="375"/>
        <v>0</v>
      </c>
      <c r="AJ240" s="18">
        <f t="shared" si="375"/>
        <v>0</v>
      </c>
      <c r="AK240" s="18">
        <f t="shared" si="375"/>
        <v>0</v>
      </c>
      <c r="AL240" s="18">
        <f t="shared" si="375"/>
        <v>0</v>
      </c>
      <c r="AM240" s="18">
        <f t="shared" si="375"/>
        <v>0</v>
      </c>
      <c r="AN240" s="18">
        <f t="shared" si="375"/>
        <v>0</v>
      </c>
      <c r="AO240" s="18">
        <f t="shared" si="375"/>
        <v>0</v>
      </c>
      <c r="AP240" s="18">
        <f t="shared" si="375"/>
        <v>0</v>
      </c>
      <c r="AQ240" s="18">
        <f t="shared" si="375"/>
        <v>0</v>
      </c>
      <c r="AR240" s="18">
        <f t="shared" si="375"/>
        <v>0</v>
      </c>
      <c r="AS240" s="18">
        <f t="shared" si="375"/>
        <v>0</v>
      </c>
      <c r="AT240" s="18">
        <f t="shared" si="375"/>
        <v>0</v>
      </c>
      <c r="AU240" s="18">
        <f t="shared" si="375"/>
        <v>0</v>
      </c>
      <c r="AV240" s="18">
        <f t="shared" si="375"/>
        <v>0</v>
      </c>
      <c r="AW240" s="18">
        <f t="shared" si="375"/>
        <v>0</v>
      </c>
      <c r="AX240" s="18">
        <f t="shared" si="375"/>
        <v>0</v>
      </c>
      <c r="AY240" s="18">
        <f t="shared" si="375"/>
        <v>0</v>
      </c>
      <c r="AZ240" s="18">
        <f t="shared" si="375"/>
        <v>0</v>
      </c>
      <c r="BA240" s="18">
        <f t="shared" si="375"/>
        <v>0</v>
      </c>
      <c r="BB240" s="18">
        <f t="shared" si="375"/>
        <v>0</v>
      </c>
      <c r="BC240" s="18">
        <f t="shared" si="375"/>
        <v>0</v>
      </c>
      <c r="BD240" s="18">
        <f t="shared" si="375"/>
        <v>0</v>
      </c>
      <c r="BE240" s="18">
        <f t="shared" si="375"/>
        <v>0</v>
      </c>
      <c r="BF240" s="18">
        <f t="shared" si="375"/>
        <v>0</v>
      </c>
      <c r="BG240" s="18">
        <f t="shared" si="375"/>
        <v>0</v>
      </c>
      <c r="BH240" s="18">
        <f t="shared" si="375"/>
        <v>0</v>
      </c>
      <c r="BI240" s="18">
        <f t="shared" si="375"/>
        <v>0</v>
      </c>
      <c r="BJ240" s="18">
        <f t="shared" si="375"/>
        <v>0</v>
      </c>
      <c r="BK240" s="18">
        <f t="shared" si="375"/>
        <v>0</v>
      </c>
      <c r="BL240" s="18">
        <f t="shared" si="375"/>
        <v>0</v>
      </c>
      <c r="BM240" s="18">
        <f t="shared" si="375"/>
        <v>0</v>
      </c>
      <c r="BN240" s="18">
        <f t="shared" si="375"/>
        <v>0</v>
      </c>
      <c r="BO240" s="18">
        <f t="shared" ref="BO240:CB240" si="376">BO81*BO212</f>
        <v>0</v>
      </c>
      <c r="BP240" s="18">
        <f t="shared" si="376"/>
        <v>0</v>
      </c>
      <c r="BQ240" s="18">
        <f t="shared" si="376"/>
        <v>0</v>
      </c>
      <c r="BR240" s="18">
        <f t="shared" si="376"/>
        <v>0</v>
      </c>
      <c r="BS240" s="18">
        <f t="shared" si="376"/>
        <v>0</v>
      </c>
      <c r="BT240" s="18">
        <f t="shared" si="376"/>
        <v>0</v>
      </c>
      <c r="BU240" s="18">
        <f t="shared" si="376"/>
        <v>0</v>
      </c>
      <c r="BV240" s="18">
        <f t="shared" si="376"/>
        <v>0</v>
      </c>
      <c r="BW240" s="18">
        <f t="shared" si="376"/>
        <v>0</v>
      </c>
      <c r="BX240" s="18">
        <f t="shared" si="376"/>
        <v>0</v>
      </c>
      <c r="BY240" s="18">
        <f t="shared" si="376"/>
        <v>0</v>
      </c>
      <c r="BZ240" s="18">
        <f t="shared" si="376"/>
        <v>0</v>
      </c>
      <c r="CA240" s="18">
        <f t="shared" si="376"/>
        <v>0</v>
      </c>
      <c r="CB240" s="18">
        <f t="shared" si="376"/>
        <v>0</v>
      </c>
      <c r="CC240" s="17"/>
      <c r="CD240" s="17"/>
      <c r="CE240" s="17"/>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c r="DI240" s="5"/>
      <c r="DJ240" s="5"/>
      <c r="DK240" s="5"/>
      <c r="DL240" s="5"/>
      <c r="DM240" s="5"/>
      <c r="DN240" s="5"/>
      <c r="DO240" s="5"/>
      <c r="DP240" s="5"/>
      <c r="DQ240" s="5"/>
      <c r="DR240" s="5"/>
      <c r="DS240" s="5"/>
      <c r="DT240" s="5"/>
      <c r="DU240" s="5"/>
      <c r="DV240" s="5"/>
      <c r="DW240" s="5"/>
      <c r="DX240" s="5"/>
      <c r="DY240" s="5"/>
      <c r="DZ240" s="5"/>
      <c r="EA240" s="5"/>
      <c r="EB240" s="5"/>
      <c r="EC240" s="5"/>
      <c r="ED240" s="5"/>
      <c r="EE240" s="5"/>
      <c r="EF240" s="5"/>
      <c r="EG240" s="5"/>
      <c r="EH240" s="5"/>
      <c r="EI240" s="5"/>
      <c r="EJ240" s="5"/>
      <c r="EK240" s="5"/>
      <c r="EL240" s="5"/>
      <c r="EM240" s="5"/>
      <c r="EN240" s="5"/>
      <c r="EO240" s="5"/>
      <c r="EP240" s="5"/>
      <c r="EQ240" s="5"/>
      <c r="ER240" s="5"/>
      <c r="ES240" s="5"/>
      <c r="ET240" s="5"/>
      <c r="EU240" s="5"/>
      <c r="EV240" s="5"/>
      <c r="EW240" s="5"/>
      <c r="EX240" s="5"/>
      <c r="EY240" s="5"/>
      <c r="EZ240" s="5"/>
      <c r="FA240" s="5"/>
      <c r="FB240" s="5"/>
      <c r="FC240" s="5"/>
      <c r="FD240" s="5"/>
      <c r="FE240" s="5"/>
      <c r="FF240" s="5"/>
      <c r="FG240" s="5"/>
      <c r="FH240" s="5"/>
      <c r="FI240" s="5"/>
      <c r="FJ240" s="5"/>
      <c r="FK240" s="5"/>
      <c r="FL240" s="5"/>
      <c r="FM240" s="5"/>
      <c r="FN240" s="5"/>
      <c r="FO240" s="5"/>
      <c r="FP240" s="5"/>
      <c r="FQ240" s="5"/>
      <c r="FR240" s="5"/>
      <c r="FS240" s="5"/>
      <c r="FT240" s="5"/>
      <c r="FU240" s="5"/>
      <c r="FV240" s="5"/>
      <c r="FW240" s="5"/>
      <c r="FX240" s="5"/>
      <c r="FY240" s="5"/>
      <c r="FZ240" s="5"/>
      <c r="GA240" s="5"/>
      <c r="GB240" s="5"/>
      <c r="GC240" s="5"/>
      <c r="GD240" s="5"/>
      <c r="GE240" s="5"/>
      <c r="GF240" s="5"/>
      <c r="GG240" s="5"/>
      <c r="GH240" s="5"/>
      <c r="GI240" s="5"/>
      <c r="GJ240" s="5"/>
      <c r="GK240" s="5"/>
      <c r="GL240" s="5"/>
      <c r="GM240" s="5"/>
      <c r="GN240" s="5"/>
      <c r="GO240" s="5"/>
      <c r="GP240" s="5"/>
      <c r="GQ240" s="5"/>
      <c r="GR240" s="5"/>
      <c r="GS240" s="5"/>
      <c r="GT240" s="5"/>
      <c r="GU240" s="5"/>
      <c r="GV240" s="5"/>
      <c r="GW240" s="5"/>
      <c r="GX240" s="5"/>
      <c r="GY240" s="5"/>
      <c r="GZ240" s="5"/>
      <c r="HA240" s="5"/>
      <c r="HB240" s="5"/>
      <c r="HC240" s="5"/>
      <c r="HD240" s="5"/>
      <c r="HE240" s="5"/>
      <c r="HF240" s="5"/>
      <c r="HG240" s="5"/>
      <c r="HH240" s="5"/>
      <c r="HI240" s="5"/>
      <c r="HJ240" s="5"/>
      <c r="HK240" s="5"/>
      <c r="HL240" s="5"/>
      <c r="HM240" s="5"/>
      <c r="HN240" s="5"/>
      <c r="HO240" s="5"/>
      <c r="HP240" s="5"/>
      <c r="HQ240" s="5"/>
      <c r="HR240" s="5"/>
      <c r="HS240" s="5"/>
      <c r="HT240" s="5"/>
      <c r="HU240" s="5"/>
      <c r="HV240" s="5"/>
      <c r="HW240" s="5"/>
      <c r="HX240" s="5"/>
      <c r="HY240" s="5"/>
      <c r="HZ240" s="5"/>
      <c r="IA240" s="5"/>
      <c r="IB240" s="5"/>
      <c r="IC240" s="5"/>
      <c r="ID240" s="5"/>
      <c r="IE240" s="5"/>
      <c r="IF240" s="5"/>
      <c r="IG240" s="5"/>
      <c r="IH240" s="5"/>
      <c r="II240" s="5"/>
      <c r="IJ240" s="5"/>
      <c r="IK240" s="5"/>
      <c r="IL240" s="5"/>
      <c r="IM240" s="5"/>
      <c r="IN240" s="5"/>
      <c r="IO240" s="5"/>
      <c r="IP240" s="5"/>
      <c r="IQ240" s="5"/>
      <c r="IR240" s="5"/>
      <c r="IS240" s="5"/>
      <c r="IT240" s="5"/>
      <c r="IU240" s="5"/>
      <c r="IV240" s="5"/>
    </row>
    <row r="241" spans="1:256">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7"/>
      <c r="AB241" s="17"/>
      <c r="AC241" s="17"/>
      <c r="AD241" s="17"/>
      <c r="AE241" s="17"/>
      <c r="AF241" s="17"/>
      <c r="AG241" s="17"/>
      <c r="AH241" s="17"/>
      <c r="AI241" s="17"/>
      <c r="AJ241" s="17"/>
      <c r="AK241" s="17"/>
      <c r="AL241" s="17"/>
      <c r="AM241" s="17"/>
      <c r="AN241" s="17"/>
      <c r="AO241" s="17"/>
      <c r="AP241" s="17"/>
      <c r="AQ241" s="17"/>
      <c r="AR241" s="17"/>
      <c r="AS241" s="17"/>
      <c r="AT241" s="17"/>
      <c r="AU241" s="17"/>
      <c r="AV241" s="17"/>
      <c r="AW241" s="17"/>
      <c r="AX241" s="17"/>
      <c r="AY241" s="17"/>
      <c r="AZ241" s="17"/>
      <c r="BA241" s="17"/>
      <c r="BB241" s="17"/>
      <c r="BC241" s="17"/>
      <c r="BD241" s="17"/>
      <c r="BE241" s="17"/>
      <c r="BF241" s="17"/>
      <c r="BG241" s="17"/>
      <c r="BH241" s="17"/>
      <c r="BI241" s="17"/>
      <c r="BJ241" s="17"/>
      <c r="BK241" s="17"/>
      <c r="BL241" s="17"/>
      <c r="BM241" s="17"/>
      <c r="BN241" s="17"/>
      <c r="BO241" s="17"/>
      <c r="BP241" s="17"/>
      <c r="BQ241" s="17"/>
      <c r="BR241" s="17"/>
      <c r="BS241" s="17"/>
      <c r="BT241" s="17"/>
      <c r="BU241" s="17"/>
      <c r="BV241" s="17"/>
      <c r="BW241" s="17"/>
      <c r="BX241" s="17"/>
      <c r="BY241" s="17"/>
      <c r="BZ241" s="17"/>
      <c r="CA241" s="17"/>
      <c r="CB241" s="17"/>
      <c r="CC241" s="17"/>
      <c r="CD241" s="17"/>
      <c r="CE241" s="17"/>
      <c r="CH241" s="11"/>
      <c r="CI241" s="11"/>
      <c r="CJ241" s="11"/>
      <c r="CK241" s="11"/>
      <c r="CL241" s="11"/>
      <c r="CM241" s="11"/>
      <c r="CN241" s="11"/>
      <c r="CO241" s="11"/>
      <c r="CP241" s="11"/>
      <c r="CQ241" s="11"/>
      <c r="CR241" s="11"/>
      <c r="CS241" s="11"/>
      <c r="CT241" s="11"/>
      <c r="CU241" s="11"/>
      <c r="CV241" s="11"/>
      <c r="CW241" s="11"/>
      <c r="CX241" s="11"/>
      <c r="CY241" s="11"/>
      <c r="CZ241" s="11"/>
      <c r="DA241" s="11"/>
      <c r="DB241" s="11"/>
      <c r="DC241" s="11"/>
      <c r="DD241" s="11"/>
      <c r="DE241" s="11"/>
      <c r="DF241" s="11"/>
      <c r="DG241" s="11"/>
      <c r="DH241" s="11"/>
      <c r="DI241" s="5"/>
      <c r="DJ241" s="5"/>
      <c r="DK241" s="5"/>
      <c r="DL241" s="5"/>
      <c r="DM241" s="5"/>
      <c r="DN241" s="5"/>
      <c r="DO241" s="5"/>
      <c r="DP241" s="5"/>
      <c r="DQ241" s="5"/>
      <c r="DR241" s="5"/>
      <c r="DS241" s="5"/>
      <c r="DT241" s="5"/>
      <c r="DU241" s="5"/>
      <c r="DV241" s="5"/>
      <c r="DW241" s="5"/>
      <c r="DX241" s="5"/>
      <c r="DY241" s="5"/>
      <c r="DZ241" s="5"/>
      <c r="EA241" s="5"/>
      <c r="EB241" s="5"/>
      <c r="EC241" s="5"/>
      <c r="ED241" s="5"/>
      <c r="EE241" s="5"/>
      <c r="EF241" s="5"/>
      <c r="EG241" s="5"/>
      <c r="EH241" s="5"/>
      <c r="EI241" s="5"/>
      <c r="EJ241" s="5"/>
      <c r="EK241" s="5"/>
      <c r="EL241" s="5"/>
      <c r="EM241" s="5"/>
      <c r="EN241" s="5"/>
      <c r="EO241" s="5"/>
      <c r="EP241" s="5"/>
      <c r="EQ241" s="5"/>
      <c r="ER241" s="5"/>
      <c r="ES241" s="5"/>
      <c r="ET241" s="5"/>
      <c r="EU241" s="5"/>
      <c r="EV241" s="5"/>
      <c r="EW241" s="5"/>
      <c r="EX241" s="5"/>
      <c r="EY241" s="5"/>
      <c r="EZ241" s="5"/>
      <c r="FA241" s="5"/>
      <c r="FB241" s="5"/>
      <c r="FC241" s="5"/>
      <c r="FD241" s="5"/>
      <c r="FE241" s="5"/>
      <c r="FF241" s="5"/>
      <c r="FG241" s="5"/>
      <c r="FH241" s="5"/>
      <c r="FI241" s="5"/>
      <c r="FJ241" s="5"/>
      <c r="FK241" s="5"/>
      <c r="FL241" s="5"/>
      <c r="FM241" s="5"/>
      <c r="FN241" s="5"/>
      <c r="FO241" s="5"/>
      <c r="FP241" s="5"/>
      <c r="FQ241" s="5"/>
      <c r="FR241" s="5"/>
      <c r="FS241" s="5"/>
      <c r="FT241" s="5"/>
      <c r="FU241" s="5"/>
      <c r="FV241" s="5"/>
      <c r="FW241" s="5"/>
      <c r="FX241" s="5"/>
      <c r="FY241" s="5"/>
      <c r="FZ241" s="5"/>
      <c r="GA241" s="5"/>
      <c r="GB241" s="5"/>
      <c r="GC241" s="5"/>
      <c r="GD241" s="5"/>
      <c r="GE241" s="5"/>
      <c r="GF241" s="5"/>
      <c r="GG241" s="5"/>
      <c r="GH241" s="5"/>
      <c r="GI241" s="5"/>
      <c r="GJ241" s="5"/>
      <c r="GK241" s="5"/>
      <c r="GL241" s="5"/>
      <c r="GM241" s="5"/>
      <c r="GN241" s="5"/>
      <c r="GO241" s="5"/>
      <c r="GP241" s="5"/>
      <c r="GQ241" s="5"/>
      <c r="GR241" s="5"/>
      <c r="GS241" s="5"/>
      <c r="GT241" s="5"/>
      <c r="GU241" s="5"/>
      <c r="GV241" s="5"/>
      <c r="GW241" s="5"/>
      <c r="GX241" s="5"/>
      <c r="GY241" s="5"/>
      <c r="GZ241" s="5"/>
      <c r="HA241" s="5"/>
      <c r="HB241" s="5"/>
      <c r="HC241" s="5"/>
      <c r="HD241" s="5"/>
      <c r="HE241" s="5"/>
      <c r="HF241" s="5"/>
      <c r="HG241" s="5"/>
      <c r="HH241" s="5"/>
      <c r="HI241" s="5"/>
      <c r="HJ241" s="5"/>
      <c r="HK241" s="5"/>
      <c r="HL241" s="5"/>
      <c r="HM241" s="5"/>
      <c r="HN241" s="5"/>
      <c r="HO241" s="5"/>
      <c r="HP241" s="5"/>
      <c r="HQ241" s="5"/>
      <c r="HR241" s="5"/>
      <c r="HS241" s="5"/>
      <c r="HT241" s="5"/>
      <c r="HU241" s="5"/>
      <c r="HV241" s="5"/>
      <c r="HW241" s="5"/>
      <c r="HX241" s="5"/>
      <c r="HY241" s="5"/>
      <c r="HZ241" s="5"/>
      <c r="IA241" s="5"/>
      <c r="IB241" s="5"/>
      <c r="IC241" s="5"/>
      <c r="ID241" s="5"/>
      <c r="IE241" s="5"/>
      <c r="IF241" s="5"/>
      <c r="IG241" s="5"/>
      <c r="IH241" s="5"/>
      <c r="II241" s="5"/>
      <c r="IJ241" s="5"/>
      <c r="IK241" s="5"/>
      <c r="IL241" s="5"/>
      <c r="IM241" s="5"/>
      <c r="IN241" s="5"/>
      <c r="IO241" s="5"/>
      <c r="IP241" s="5"/>
      <c r="IQ241" s="5"/>
      <c r="IR241" s="5"/>
      <c r="IS241" s="5"/>
      <c r="IT241" s="5"/>
      <c r="IU241" s="5"/>
      <c r="IV241" s="5"/>
    </row>
    <row r="242" spans="1:256">
      <c r="A242" s="190"/>
      <c r="B242" s="18" t="s">
        <v>13</v>
      </c>
      <c r="C242" s="18" t="s">
        <v>47</v>
      </c>
      <c r="D242" s="18" t="s">
        <v>14</v>
      </c>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c r="AS242" s="17"/>
      <c r="AT242" s="17"/>
      <c r="AU242" s="17"/>
      <c r="AV242" s="17"/>
      <c r="AW242" s="17"/>
      <c r="AX242" s="17"/>
      <c r="AY242" s="17"/>
      <c r="AZ242" s="17"/>
      <c r="BA242" s="17"/>
      <c r="BB242" s="17"/>
      <c r="BC242" s="17"/>
      <c r="BD242" s="17"/>
      <c r="BE242" s="17"/>
      <c r="BF242" s="17"/>
      <c r="BG242" s="17"/>
      <c r="BH242" s="17"/>
      <c r="BI242" s="17"/>
      <c r="BJ242" s="17"/>
      <c r="BK242" s="17"/>
      <c r="BL242" s="17"/>
      <c r="BM242" s="17"/>
      <c r="BN242" s="17"/>
      <c r="BO242" s="17"/>
      <c r="BP242" s="17"/>
      <c r="BQ242" s="17"/>
      <c r="BR242" s="17"/>
      <c r="BS242" s="17"/>
      <c r="BT242" s="17"/>
      <c r="BU242" s="17"/>
      <c r="BV242" s="17"/>
      <c r="BW242" s="17"/>
      <c r="BX242" s="17"/>
      <c r="BY242" s="17"/>
      <c r="BZ242" s="17"/>
      <c r="CA242" s="17"/>
      <c r="CB242" s="17"/>
      <c r="CC242" s="17"/>
      <c r="CD242" s="17"/>
      <c r="CE242" s="17"/>
      <c r="CH242" s="5"/>
    </row>
    <row r="243" spans="1:256">
      <c r="A243" s="18" t="str">
        <f t="shared" ref="A243:A258" si="377">A215</f>
        <v>Bond 1</v>
      </c>
      <c r="B243" s="18">
        <f t="shared" ref="B243:B257" si="378">SUM(B215:CB215)</f>
        <v>100.06372119565212</v>
      </c>
      <c r="C243" s="18">
        <f t="shared" ref="C243:C257" si="379">K2</f>
        <v>100.05199999999999</v>
      </c>
      <c r="D243" s="18">
        <f>(B243-C243)^2</f>
        <v>1.3738642751548338E-4</v>
      </c>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c r="AI243" s="19"/>
      <c r="AJ243" s="19"/>
      <c r="AK243" s="19"/>
      <c r="AL243" s="19"/>
      <c r="AM243" s="19"/>
      <c r="AN243" s="19"/>
      <c r="AO243" s="19"/>
      <c r="AP243" s="19"/>
      <c r="AQ243" s="19"/>
      <c r="AR243" s="19"/>
      <c r="AS243" s="19"/>
      <c r="AT243" s="19"/>
      <c r="AU243" s="19"/>
      <c r="AV243" s="19"/>
      <c r="AW243" s="19"/>
      <c r="AX243" s="19"/>
      <c r="AY243" s="19"/>
      <c r="AZ243" s="19"/>
      <c r="BA243" s="19"/>
      <c r="BB243" s="19"/>
      <c r="BC243" s="19"/>
      <c r="BD243" s="19"/>
      <c r="BE243" s="19"/>
      <c r="BF243" s="19"/>
      <c r="BG243" s="19"/>
      <c r="BH243" s="19"/>
      <c r="BI243" s="19"/>
      <c r="BJ243" s="19"/>
      <c r="BK243" s="19"/>
      <c r="BL243" s="19"/>
      <c r="BM243" s="19"/>
      <c r="BN243" s="19"/>
      <c r="BO243" s="19"/>
      <c r="BP243" s="19"/>
      <c r="BQ243" s="19"/>
      <c r="BR243" s="19"/>
      <c r="BS243" s="19"/>
      <c r="BT243" s="19"/>
      <c r="BU243" s="19"/>
      <c r="BV243" s="19"/>
      <c r="BW243" s="19"/>
      <c r="BX243" s="19"/>
      <c r="BY243" s="19"/>
      <c r="BZ243" s="19"/>
      <c r="CA243" s="19"/>
      <c r="CB243" s="19"/>
      <c r="CC243" s="19"/>
      <c r="CD243" s="19"/>
      <c r="CE243" s="19"/>
      <c r="CF243" s="7"/>
      <c r="CH243" s="5"/>
    </row>
    <row r="244" spans="1:256">
      <c r="A244" s="18" t="str">
        <f t="shared" si="377"/>
        <v>Bond 2</v>
      </c>
      <c r="B244" s="18">
        <f t="shared" si="378"/>
        <v>100.16813075806617</v>
      </c>
      <c r="C244" s="18">
        <f t="shared" si="379"/>
        <v>100.14</v>
      </c>
      <c r="D244" s="230">
        <f t="shared" ref="D244:D257" si="380">(B244-C244)^2</f>
        <v>7.9133954937732874E-4</v>
      </c>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c r="AI244" s="19"/>
      <c r="AJ244" s="19"/>
      <c r="AK244" s="19"/>
      <c r="AL244" s="19"/>
      <c r="AM244" s="19"/>
      <c r="AN244" s="19"/>
      <c r="AO244" s="19"/>
      <c r="AP244" s="19"/>
      <c r="AQ244" s="19"/>
      <c r="AR244" s="19"/>
      <c r="AS244" s="19"/>
      <c r="AT244" s="19"/>
      <c r="AU244" s="19"/>
      <c r="AV244" s="19"/>
      <c r="AW244" s="19"/>
      <c r="AX244" s="19"/>
      <c r="AY244" s="19"/>
      <c r="AZ244" s="19"/>
      <c r="BA244" s="19"/>
      <c r="BB244" s="19"/>
      <c r="BC244" s="19"/>
      <c r="BD244" s="19"/>
      <c r="BE244" s="19"/>
      <c r="BF244" s="19"/>
      <c r="BG244" s="19"/>
      <c r="BH244" s="19"/>
      <c r="BI244" s="19"/>
      <c r="BJ244" s="19"/>
      <c r="BK244" s="19"/>
      <c r="BL244" s="19"/>
      <c r="BM244" s="19"/>
      <c r="BN244" s="19"/>
      <c r="BO244" s="19"/>
      <c r="BP244" s="19"/>
      <c r="BQ244" s="19"/>
      <c r="BR244" s="19"/>
      <c r="BS244" s="19"/>
      <c r="BT244" s="19"/>
      <c r="BU244" s="19"/>
      <c r="BV244" s="19"/>
      <c r="BW244" s="19"/>
      <c r="BX244" s="19"/>
      <c r="BY244" s="19"/>
      <c r="BZ244" s="19"/>
      <c r="CA244" s="19"/>
      <c r="CB244" s="19"/>
      <c r="CC244" s="19"/>
      <c r="CD244" s="19"/>
      <c r="CE244" s="19"/>
      <c r="CF244" s="7"/>
    </row>
    <row r="245" spans="1:256">
      <c r="A245" s="18" t="str">
        <f t="shared" si="377"/>
        <v>Bond 3</v>
      </c>
      <c r="B245" s="18">
        <f t="shared" si="378"/>
        <v>100.26304470940242</v>
      </c>
      <c r="C245" s="18">
        <f t="shared" si="379"/>
        <v>100.22450000000001</v>
      </c>
      <c r="D245" s="230">
        <f t="shared" si="380"/>
        <v>1.4856946229166836E-3</v>
      </c>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c r="AI245" s="19"/>
      <c r="AJ245" s="19"/>
      <c r="AK245" s="19"/>
      <c r="AL245" s="19"/>
      <c r="AM245" s="19"/>
      <c r="AN245" s="19"/>
      <c r="AO245" s="19"/>
      <c r="AP245" s="19"/>
      <c r="AQ245" s="19"/>
      <c r="AR245" s="19"/>
      <c r="AS245" s="19"/>
      <c r="AT245" s="19"/>
      <c r="AU245" s="19"/>
      <c r="AV245" s="19"/>
      <c r="AW245" s="19"/>
      <c r="AX245" s="19"/>
      <c r="AY245" s="19"/>
      <c r="AZ245" s="19"/>
      <c r="BA245" s="19"/>
      <c r="BB245" s="19"/>
      <c r="BC245" s="19"/>
      <c r="BD245" s="19"/>
      <c r="BE245" s="19"/>
      <c r="BF245" s="19"/>
      <c r="BG245" s="19"/>
      <c r="BH245" s="19"/>
      <c r="BI245" s="19"/>
      <c r="BJ245" s="19"/>
      <c r="BK245" s="19"/>
      <c r="BL245" s="19"/>
      <c r="BM245" s="19"/>
      <c r="BN245" s="19"/>
      <c r="BO245" s="19"/>
      <c r="BP245" s="19"/>
      <c r="BQ245" s="19"/>
      <c r="BR245" s="19"/>
      <c r="BS245" s="19"/>
      <c r="BT245" s="19"/>
      <c r="BU245" s="19"/>
      <c r="BV245" s="19"/>
      <c r="BW245" s="19"/>
      <c r="BX245" s="19"/>
      <c r="BY245" s="19"/>
      <c r="BZ245" s="19"/>
      <c r="CA245" s="19"/>
      <c r="CB245" s="19"/>
      <c r="CC245" s="19"/>
      <c r="CD245" s="19"/>
      <c r="CE245" s="19"/>
      <c r="CF245" s="12"/>
    </row>
    <row r="246" spans="1:256">
      <c r="A246" s="18" t="str">
        <f t="shared" si="377"/>
        <v>Bond 4</v>
      </c>
      <c r="B246" s="18">
        <f t="shared" si="378"/>
        <v>100.70240585987497</v>
      </c>
      <c r="C246" s="18">
        <f t="shared" si="379"/>
        <v>100.61150000000001</v>
      </c>
      <c r="D246" s="230">
        <f t="shared" si="380"/>
        <v>8.2638753596068169E-3</v>
      </c>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c r="AI246" s="19"/>
      <c r="AJ246" s="19"/>
      <c r="AK246" s="19"/>
      <c r="AL246" s="19"/>
      <c r="AM246" s="19"/>
      <c r="AN246" s="19"/>
      <c r="AO246" s="19"/>
      <c r="AP246" s="19"/>
      <c r="AQ246" s="19"/>
      <c r="AR246" s="19"/>
      <c r="AS246" s="19"/>
      <c r="AT246" s="19"/>
      <c r="AU246" s="19"/>
      <c r="AV246" s="19"/>
      <c r="AW246" s="19"/>
      <c r="AX246" s="19"/>
      <c r="AY246" s="19"/>
      <c r="AZ246" s="19"/>
      <c r="BA246" s="19"/>
      <c r="BB246" s="19"/>
      <c r="BC246" s="19"/>
      <c r="BD246" s="19"/>
      <c r="BE246" s="19"/>
      <c r="BF246" s="19"/>
      <c r="BG246" s="19"/>
      <c r="BH246" s="19"/>
      <c r="BI246" s="19"/>
      <c r="BJ246" s="19"/>
      <c r="BK246" s="19"/>
      <c r="BL246" s="19"/>
      <c r="BM246" s="19"/>
      <c r="BN246" s="19"/>
      <c r="BO246" s="19"/>
      <c r="BP246" s="19"/>
      <c r="BQ246" s="19"/>
      <c r="BR246" s="19"/>
      <c r="BS246" s="19"/>
      <c r="BT246" s="19"/>
      <c r="BU246" s="19"/>
      <c r="BV246" s="19"/>
      <c r="BW246" s="19"/>
      <c r="BX246" s="19"/>
      <c r="BY246" s="19"/>
      <c r="BZ246" s="19"/>
      <c r="CA246" s="19"/>
      <c r="CB246" s="19"/>
      <c r="CC246" s="19"/>
      <c r="CD246" s="19"/>
      <c r="CE246" s="19"/>
      <c r="CF246" s="6"/>
    </row>
    <row r="247" spans="1:256">
      <c r="A247" s="18" t="str">
        <f t="shared" si="377"/>
        <v>Bond 5</v>
      </c>
      <c r="B247" s="18">
        <f t="shared" si="378"/>
        <v>101.50233267533997</v>
      </c>
      <c r="C247" s="18">
        <f t="shared" si="379"/>
        <v>101.50149999999999</v>
      </c>
      <c r="D247" s="230">
        <f t="shared" si="380"/>
        <v>6.9334822180839427E-7</v>
      </c>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c r="AI247" s="19"/>
      <c r="AJ247" s="19"/>
      <c r="AK247" s="19"/>
      <c r="AL247" s="19"/>
      <c r="AM247" s="19"/>
      <c r="AN247" s="19"/>
      <c r="AO247" s="19"/>
      <c r="AP247" s="19"/>
      <c r="AQ247" s="19"/>
      <c r="AR247" s="19"/>
      <c r="AS247" s="19"/>
      <c r="AT247" s="19"/>
      <c r="AU247" s="19"/>
      <c r="AV247" s="19"/>
      <c r="AW247" s="19"/>
      <c r="AX247" s="19"/>
      <c r="AY247" s="19"/>
      <c r="AZ247" s="19"/>
      <c r="BA247" s="19"/>
      <c r="BB247" s="19"/>
      <c r="BC247" s="19"/>
      <c r="BD247" s="19"/>
      <c r="BE247" s="19"/>
      <c r="BF247" s="19"/>
      <c r="BG247" s="19"/>
      <c r="BH247" s="19"/>
      <c r="BI247" s="19"/>
      <c r="BJ247" s="19"/>
      <c r="BK247" s="19"/>
      <c r="BL247" s="19"/>
      <c r="BM247" s="19"/>
      <c r="BN247" s="19"/>
      <c r="BO247" s="19"/>
      <c r="BP247" s="19"/>
      <c r="BQ247" s="19"/>
      <c r="BR247" s="19"/>
      <c r="BS247" s="19"/>
      <c r="BT247" s="19"/>
      <c r="BU247" s="19"/>
      <c r="BV247" s="19"/>
      <c r="BW247" s="19"/>
      <c r="BX247" s="19"/>
      <c r="BY247" s="19"/>
      <c r="BZ247" s="19"/>
      <c r="CA247" s="19"/>
      <c r="CB247" s="19"/>
      <c r="CC247" s="19"/>
      <c r="CD247" s="19"/>
      <c r="CE247" s="19"/>
      <c r="CF247" s="6"/>
    </row>
    <row r="248" spans="1:256">
      <c r="A248" s="18" t="str">
        <f t="shared" si="377"/>
        <v>Bond 6</v>
      </c>
      <c r="B248" s="18">
        <f t="shared" si="378"/>
        <v>102.15244174238424</v>
      </c>
      <c r="C248" s="18">
        <f t="shared" si="379"/>
        <v>102.1995</v>
      </c>
      <c r="D248" s="230">
        <f t="shared" si="380"/>
        <v>2.2144796098312017E-3</v>
      </c>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c r="AI248" s="19"/>
      <c r="AJ248" s="19"/>
      <c r="AK248" s="19"/>
      <c r="AL248" s="19"/>
      <c r="AM248" s="19"/>
      <c r="AN248" s="19"/>
      <c r="AO248" s="19"/>
      <c r="AP248" s="19"/>
      <c r="AQ248" s="19"/>
      <c r="AR248" s="19"/>
      <c r="AS248" s="19"/>
      <c r="AT248" s="19"/>
      <c r="AU248" s="19"/>
      <c r="AV248" s="19"/>
      <c r="AW248" s="19"/>
      <c r="AX248" s="19"/>
      <c r="AY248" s="19"/>
      <c r="AZ248" s="19"/>
      <c r="BA248" s="19"/>
      <c r="BB248" s="19"/>
      <c r="BC248" s="19"/>
      <c r="BD248" s="19"/>
      <c r="BE248" s="19"/>
      <c r="BF248" s="19"/>
      <c r="BG248" s="19"/>
      <c r="BH248" s="19"/>
      <c r="BI248" s="19"/>
      <c r="BJ248" s="19"/>
      <c r="BK248" s="19"/>
      <c r="BL248" s="19"/>
      <c r="BM248" s="19"/>
      <c r="BN248" s="19"/>
      <c r="BO248" s="19"/>
      <c r="BP248" s="19"/>
      <c r="BQ248" s="19"/>
      <c r="BR248" s="19"/>
      <c r="BS248" s="19"/>
      <c r="BT248" s="19"/>
      <c r="BU248" s="19"/>
      <c r="BV248" s="19"/>
      <c r="BW248" s="19"/>
      <c r="BX248" s="19"/>
      <c r="BY248" s="19"/>
      <c r="BZ248" s="19"/>
      <c r="CA248" s="19"/>
      <c r="CB248" s="19"/>
      <c r="CC248" s="19"/>
      <c r="CD248" s="19"/>
      <c r="CE248" s="19"/>
      <c r="CF248" s="12"/>
    </row>
    <row r="249" spans="1:256">
      <c r="A249" s="18" t="str">
        <f t="shared" si="377"/>
        <v>Bond 7</v>
      </c>
      <c r="B249" s="18">
        <f t="shared" si="378"/>
        <v>204.23146543910048</v>
      </c>
      <c r="C249" s="18">
        <f t="shared" si="379"/>
        <v>102.88849999999999</v>
      </c>
      <c r="D249" s="230"/>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c r="AS249" s="19"/>
      <c r="AT249" s="19"/>
      <c r="AU249" s="19"/>
      <c r="AV249" s="19"/>
      <c r="AW249" s="19"/>
      <c r="AX249" s="19"/>
      <c r="AY249" s="19"/>
      <c r="AZ249" s="19"/>
      <c r="BA249" s="19"/>
      <c r="BB249" s="19"/>
      <c r="BC249" s="19"/>
      <c r="BD249" s="19"/>
      <c r="BE249" s="19"/>
      <c r="BF249" s="19"/>
      <c r="BG249" s="19"/>
      <c r="BH249" s="19"/>
      <c r="BI249" s="19"/>
      <c r="BJ249" s="19"/>
      <c r="BK249" s="19"/>
      <c r="BL249" s="19"/>
      <c r="BM249" s="19"/>
      <c r="BN249" s="19"/>
      <c r="BO249" s="19"/>
      <c r="BP249" s="19"/>
      <c r="BQ249" s="19"/>
      <c r="BR249" s="19"/>
      <c r="BS249" s="19"/>
      <c r="BT249" s="19"/>
      <c r="BU249" s="19"/>
      <c r="BV249" s="19"/>
      <c r="BW249" s="19"/>
      <c r="BX249" s="19"/>
      <c r="BY249" s="19"/>
      <c r="BZ249" s="19"/>
      <c r="CA249" s="19"/>
      <c r="CB249" s="19"/>
      <c r="CC249" s="19"/>
      <c r="CD249" s="19"/>
      <c r="CE249" s="19"/>
      <c r="CF249" s="12"/>
    </row>
    <row r="250" spans="1:256">
      <c r="A250" s="18" t="str">
        <f t="shared" si="377"/>
        <v>Bond 8</v>
      </c>
      <c r="B250" s="18">
        <f t="shared" si="378"/>
        <v>205.53827070341271</v>
      </c>
      <c r="C250" s="18">
        <f t="shared" si="379"/>
        <v>103.32550000000001</v>
      </c>
      <c r="D250" s="230"/>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c r="AK250" s="19"/>
      <c r="AL250" s="19"/>
      <c r="AM250" s="19"/>
      <c r="AN250" s="19"/>
      <c r="AO250" s="19"/>
      <c r="AP250" s="19"/>
      <c r="AQ250" s="19"/>
      <c r="AR250" s="19"/>
      <c r="AS250" s="19"/>
      <c r="AT250" s="19"/>
      <c r="AU250" s="19"/>
      <c r="AV250" s="19"/>
      <c r="AW250" s="19"/>
      <c r="AX250" s="19"/>
      <c r="AY250" s="19"/>
      <c r="AZ250" s="19"/>
      <c r="BA250" s="19"/>
      <c r="BB250" s="19"/>
      <c r="BC250" s="19"/>
      <c r="BD250" s="19"/>
      <c r="BE250" s="19"/>
      <c r="BF250" s="19"/>
      <c r="BG250" s="19"/>
      <c r="BH250" s="19"/>
      <c r="BI250" s="19"/>
      <c r="BJ250" s="19"/>
      <c r="BK250" s="19"/>
      <c r="BL250" s="19"/>
      <c r="BM250" s="19"/>
      <c r="BN250" s="19"/>
      <c r="BO250" s="19"/>
      <c r="BP250" s="19"/>
      <c r="BQ250" s="19"/>
      <c r="BR250" s="19"/>
      <c r="BS250" s="19"/>
      <c r="BT250" s="19"/>
      <c r="BU250" s="19"/>
      <c r="BV250" s="19"/>
      <c r="BW250" s="19"/>
      <c r="BX250" s="19"/>
      <c r="BY250" s="19"/>
      <c r="BZ250" s="19"/>
      <c r="CA250" s="19"/>
      <c r="CB250" s="19"/>
      <c r="CC250" s="19"/>
      <c r="CD250" s="19"/>
      <c r="CE250" s="19"/>
      <c r="CF250" s="12"/>
    </row>
    <row r="251" spans="1:256">
      <c r="A251" s="18" t="str">
        <f t="shared" si="377"/>
        <v>Bond 9</v>
      </c>
      <c r="B251" s="18">
        <f t="shared" si="378"/>
        <v>106.79847191067384</v>
      </c>
      <c r="C251" s="18">
        <f t="shared" si="379"/>
        <v>106.80791095890412</v>
      </c>
      <c r="D251" s="230">
        <f t="shared" si="380"/>
        <v>8.9095631493496885E-5</v>
      </c>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c r="AK251" s="19"/>
      <c r="AL251" s="19"/>
      <c r="AM251" s="19"/>
      <c r="AN251" s="19"/>
      <c r="AO251" s="19"/>
      <c r="AP251" s="19"/>
      <c r="AQ251" s="19"/>
      <c r="AR251" s="19"/>
      <c r="AS251" s="19"/>
      <c r="AT251" s="19"/>
      <c r="AU251" s="19"/>
      <c r="AV251" s="19"/>
      <c r="AW251" s="19"/>
      <c r="AX251" s="19"/>
      <c r="AY251" s="19"/>
      <c r="AZ251" s="19"/>
      <c r="BA251" s="19"/>
      <c r="BB251" s="19"/>
      <c r="BC251" s="19"/>
      <c r="BD251" s="19"/>
      <c r="BE251" s="19"/>
      <c r="BF251" s="19"/>
      <c r="BG251" s="19"/>
      <c r="BH251" s="19"/>
      <c r="BI251" s="19"/>
      <c r="BJ251" s="19"/>
      <c r="BK251" s="19"/>
      <c r="BL251" s="19"/>
      <c r="BM251" s="19"/>
      <c r="BN251" s="19"/>
      <c r="BO251" s="19"/>
      <c r="BP251" s="19"/>
      <c r="BQ251" s="19"/>
      <c r="BR251" s="19"/>
      <c r="BS251" s="19"/>
      <c r="BT251" s="19"/>
      <c r="BU251" s="19"/>
      <c r="BV251" s="19"/>
      <c r="BW251" s="19"/>
      <c r="BX251" s="19"/>
      <c r="BY251" s="19"/>
      <c r="BZ251" s="19"/>
      <c r="CA251" s="19"/>
      <c r="CB251" s="19"/>
      <c r="CC251" s="19"/>
      <c r="CD251" s="19"/>
      <c r="CE251" s="19"/>
      <c r="CF251" s="6"/>
    </row>
    <row r="252" spans="1:256">
      <c r="A252" s="18" t="str">
        <f t="shared" si="377"/>
        <v>Bond 10</v>
      </c>
      <c r="B252" s="18">
        <f t="shared" si="378"/>
        <v>107.54986805164391</v>
      </c>
      <c r="C252" s="18">
        <f t="shared" si="379"/>
        <v>107.60091095890412</v>
      </c>
      <c r="D252" s="230">
        <f t="shared" si="380"/>
        <v>2.6053783815744771E-3</v>
      </c>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19"/>
      <c r="AE252" s="19"/>
      <c r="AF252" s="19"/>
      <c r="AG252" s="19"/>
      <c r="AH252" s="19"/>
      <c r="AI252" s="19"/>
      <c r="AJ252" s="19"/>
      <c r="AK252" s="19"/>
      <c r="AL252" s="19"/>
      <c r="AM252" s="19"/>
      <c r="AN252" s="19"/>
      <c r="AO252" s="19"/>
      <c r="AP252" s="19"/>
      <c r="AQ252" s="19"/>
      <c r="AR252" s="19"/>
      <c r="AS252" s="19"/>
      <c r="AT252" s="19"/>
      <c r="AU252" s="19"/>
      <c r="AV252" s="19"/>
      <c r="AW252" s="19"/>
      <c r="AX252" s="19"/>
      <c r="AY252" s="19"/>
      <c r="AZ252" s="19"/>
      <c r="BA252" s="19"/>
      <c r="BB252" s="19"/>
      <c r="BC252" s="19"/>
      <c r="BD252" s="19"/>
      <c r="BE252" s="19"/>
      <c r="BF252" s="19"/>
      <c r="BG252" s="19"/>
      <c r="BH252" s="19"/>
      <c r="BI252" s="19"/>
      <c r="BJ252" s="19"/>
      <c r="BK252" s="19"/>
      <c r="BL252" s="19"/>
      <c r="BM252" s="19"/>
      <c r="BN252" s="19"/>
      <c r="BO252" s="19"/>
      <c r="BP252" s="19"/>
      <c r="BQ252" s="19"/>
      <c r="BR252" s="19"/>
      <c r="BS252" s="19"/>
      <c r="BT252" s="19"/>
      <c r="BU252" s="19"/>
      <c r="BV252" s="19"/>
      <c r="BW252" s="19"/>
      <c r="BX252" s="19"/>
      <c r="BY252" s="19"/>
      <c r="BZ252" s="19"/>
      <c r="CA252" s="19"/>
      <c r="CB252" s="19"/>
      <c r="CC252" s="19"/>
      <c r="CD252" s="19"/>
      <c r="CE252" s="19"/>
      <c r="CF252" s="6"/>
    </row>
    <row r="253" spans="1:256">
      <c r="A253" s="18" t="str">
        <f t="shared" si="377"/>
        <v>Bond 11</v>
      </c>
      <c r="B253" s="18">
        <f t="shared" si="378"/>
        <v>106.07685692451592</v>
      </c>
      <c r="C253" s="18">
        <f t="shared" si="379"/>
        <v>106.13620547945204</v>
      </c>
      <c r="D253" s="230">
        <f t="shared" si="380"/>
        <v>3.5222509730058792E-3</v>
      </c>
      <c r="E253" s="19"/>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19"/>
      <c r="AE253" s="19"/>
      <c r="AF253" s="19"/>
      <c r="AG253" s="19"/>
      <c r="AH253" s="19"/>
      <c r="AI253" s="19"/>
      <c r="AJ253" s="19"/>
      <c r="AK253" s="19"/>
      <c r="AL253" s="19"/>
      <c r="AM253" s="19"/>
      <c r="AN253" s="19"/>
      <c r="AO253" s="19"/>
      <c r="AP253" s="19"/>
      <c r="AQ253" s="19"/>
      <c r="AR253" s="19"/>
      <c r="AS253" s="19"/>
      <c r="AT253" s="19"/>
      <c r="AU253" s="19"/>
      <c r="AV253" s="19"/>
      <c r="AW253" s="19"/>
      <c r="AX253" s="19"/>
      <c r="AY253" s="19"/>
      <c r="AZ253" s="19"/>
      <c r="BA253" s="19"/>
      <c r="BB253" s="19"/>
      <c r="BC253" s="19"/>
      <c r="BD253" s="19"/>
      <c r="BE253" s="19"/>
      <c r="BF253" s="19"/>
      <c r="BG253" s="19"/>
      <c r="BH253" s="19"/>
      <c r="BI253" s="19"/>
      <c r="BJ253" s="19"/>
      <c r="BK253" s="19"/>
      <c r="BL253" s="19"/>
      <c r="BM253" s="19"/>
      <c r="BN253" s="19"/>
      <c r="BO253" s="19"/>
      <c r="BP253" s="19"/>
      <c r="BQ253" s="19"/>
      <c r="BR253" s="19"/>
      <c r="BS253" s="19"/>
      <c r="BT253" s="19"/>
      <c r="BU253" s="19"/>
      <c r="BV253" s="19"/>
      <c r="BW253" s="19"/>
      <c r="BX253" s="19"/>
      <c r="BY253" s="19"/>
      <c r="BZ253" s="19"/>
      <c r="CA253" s="19"/>
      <c r="CB253" s="19"/>
      <c r="CC253" s="19"/>
      <c r="CD253" s="19"/>
      <c r="CE253" s="19"/>
      <c r="CF253" s="12"/>
    </row>
    <row r="254" spans="1:256">
      <c r="A254" s="18" t="str">
        <f t="shared" si="377"/>
        <v>Bond 12</v>
      </c>
      <c r="B254" s="18">
        <f t="shared" si="378"/>
        <v>108.55256489162859</v>
      </c>
      <c r="C254" s="18">
        <f t="shared" si="379"/>
        <v>108.5274109589041</v>
      </c>
      <c r="D254" s="230">
        <f t="shared" si="380"/>
        <v>6.327203315083064E-4</v>
      </c>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19"/>
      <c r="AE254" s="19"/>
      <c r="AF254" s="19"/>
      <c r="AG254" s="19"/>
      <c r="AH254" s="19"/>
      <c r="AI254" s="19"/>
      <c r="AJ254" s="19"/>
      <c r="AK254" s="19"/>
      <c r="AL254" s="19"/>
      <c r="AM254" s="19"/>
      <c r="AN254" s="19"/>
      <c r="AO254" s="19"/>
      <c r="AP254" s="19"/>
      <c r="AQ254" s="19"/>
      <c r="AR254" s="19"/>
      <c r="AS254" s="19"/>
      <c r="AT254" s="19"/>
      <c r="AU254" s="19"/>
      <c r="AV254" s="19"/>
      <c r="AW254" s="19"/>
      <c r="AX254" s="19"/>
      <c r="AY254" s="19"/>
      <c r="AZ254" s="19"/>
      <c r="BA254" s="19"/>
      <c r="BB254" s="19"/>
      <c r="BC254" s="19"/>
      <c r="BD254" s="19"/>
      <c r="BE254" s="19"/>
      <c r="BF254" s="19"/>
      <c r="BG254" s="19"/>
      <c r="BH254" s="19"/>
      <c r="BI254" s="19"/>
      <c r="BJ254" s="19"/>
      <c r="BK254" s="19"/>
      <c r="BL254" s="19"/>
      <c r="BM254" s="19"/>
      <c r="BN254" s="19"/>
      <c r="BO254" s="19"/>
      <c r="BP254" s="19"/>
      <c r="BQ254" s="19"/>
      <c r="BR254" s="19"/>
      <c r="BS254" s="19"/>
      <c r="BT254" s="19"/>
      <c r="BU254" s="19"/>
      <c r="BV254" s="19"/>
      <c r="BW254" s="19"/>
      <c r="BX254" s="19"/>
      <c r="BY254" s="19"/>
      <c r="BZ254" s="19"/>
      <c r="CA254" s="19"/>
      <c r="CB254" s="19"/>
      <c r="CC254" s="19"/>
      <c r="CD254" s="19"/>
      <c r="CE254" s="19"/>
      <c r="CF254" s="12"/>
    </row>
    <row r="255" spans="1:256">
      <c r="A255" s="18" t="str">
        <f t="shared" si="377"/>
        <v>Bond 13</v>
      </c>
      <c r="B255" s="18">
        <f t="shared" si="378"/>
        <v>106.26048639043745</v>
      </c>
      <c r="C255" s="18">
        <f t="shared" si="379"/>
        <v>106.06867808219178</v>
      </c>
      <c r="D255" s="230">
        <f t="shared" si="380"/>
        <v>3.6790427112065566E-2</v>
      </c>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9"/>
      <c r="AE255" s="19"/>
      <c r="AF255" s="19"/>
      <c r="AG255" s="19"/>
      <c r="AH255" s="19"/>
      <c r="AI255" s="19"/>
      <c r="AJ255" s="19"/>
      <c r="AK255" s="19"/>
      <c r="AL255" s="19"/>
      <c r="AM255" s="19"/>
      <c r="AN255" s="19"/>
      <c r="AO255" s="19"/>
      <c r="AP255" s="19"/>
      <c r="AQ255" s="19"/>
      <c r="AR255" s="19"/>
      <c r="AS255" s="19"/>
      <c r="AT255" s="19"/>
      <c r="AU255" s="19"/>
      <c r="AV255" s="19"/>
      <c r="AW255" s="19"/>
      <c r="AX255" s="19"/>
      <c r="AY255" s="19"/>
      <c r="AZ255" s="19"/>
      <c r="BA255" s="19"/>
      <c r="BB255" s="19"/>
      <c r="BC255" s="19"/>
      <c r="BD255" s="19"/>
      <c r="BE255" s="19"/>
      <c r="BF255" s="19"/>
      <c r="BG255" s="19"/>
      <c r="BH255" s="19"/>
      <c r="BI255" s="19"/>
      <c r="BJ255" s="19"/>
      <c r="BK255" s="19"/>
      <c r="BL255" s="19"/>
      <c r="BM255" s="19"/>
      <c r="BN255" s="19"/>
      <c r="BO255" s="19"/>
      <c r="BP255" s="19"/>
      <c r="BQ255" s="19"/>
      <c r="BR255" s="19"/>
      <c r="BS255" s="19"/>
      <c r="BT255" s="19"/>
      <c r="BU255" s="19"/>
      <c r="BV255" s="19"/>
      <c r="BW255" s="19"/>
      <c r="BX255" s="19"/>
      <c r="BY255" s="19"/>
      <c r="BZ255" s="19"/>
      <c r="CA255" s="19"/>
      <c r="CB255" s="19"/>
      <c r="CC255" s="19"/>
      <c r="CD255" s="19"/>
      <c r="CE255" s="19"/>
      <c r="CF255" s="12"/>
    </row>
    <row r="256" spans="1:256">
      <c r="A256" s="18" t="str">
        <f t="shared" si="377"/>
        <v>Bond 14</v>
      </c>
      <c r="B256" s="18">
        <f t="shared" si="378"/>
        <v>173.9891470821465</v>
      </c>
      <c r="C256" s="18">
        <f t="shared" si="379"/>
        <v>174.09550000000002</v>
      </c>
      <c r="D256" s="230">
        <f t="shared" si="380"/>
        <v>1.1310943135956174E-2</v>
      </c>
      <c r="E256" s="19"/>
      <c r="F256" s="19"/>
      <c r="G256" s="19"/>
      <c r="H256" s="19"/>
      <c r="I256" s="19"/>
      <c r="J256" s="19"/>
      <c r="K256" s="19"/>
      <c r="L256" s="19"/>
      <c r="M256" s="19"/>
      <c r="N256" s="19"/>
      <c r="O256" s="19"/>
      <c r="P256" s="19"/>
      <c r="Q256" s="19"/>
      <c r="R256" s="19"/>
      <c r="S256" s="19"/>
      <c r="T256" s="19"/>
      <c r="U256" s="19"/>
      <c r="V256" s="19"/>
      <c r="W256" s="19"/>
      <c r="X256" s="19"/>
      <c r="Y256" s="19"/>
      <c r="Z256" s="19"/>
      <c r="AA256" s="19"/>
      <c r="AB256" s="19"/>
      <c r="AC256" s="19"/>
      <c r="AD256" s="19"/>
      <c r="AE256" s="19"/>
      <c r="AF256" s="19"/>
      <c r="AG256" s="19"/>
      <c r="AH256" s="19"/>
      <c r="AI256" s="19"/>
      <c r="AJ256" s="19"/>
      <c r="AK256" s="19"/>
      <c r="AL256" s="19"/>
      <c r="AM256" s="19"/>
      <c r="AN256" s="19"/>
      <c r="AO256" s="19"/>
      <c r="AP256" s="19"/>
      <c r="AQ256" s="19"/>
      <c r="AR256" s="19"/>
      <c r="AS256" s="19"/>
      <c r="AT256" s="19"/>
      <c r="AU256" s="19"/>
      <c r="AV256" s="19"/>
      <c r="AW256" s="19"/>
      <c r="AX256" s="19"/>
      <c r="AY256" s="19"/>
      <c r="AZ256" s="19"/>
      <c r="BA256" s="19"/>
      <c r="BB256" s="19"/>
      <c r="BC256" s="19"/>
      <c r="BD256" s="19"/>
      <c r="BE256" s="19"/>
      <c r="BF256" s="19"/>
      <c r="BG256" s="19"/>
      <c r="BH256" s="19"/>
      <c r="BI256" s="19"/>
      <c r="BJ256" s="19"/>
      <c r="BK256" s="19"/>
      <c r="BL256" s="19"/>
      <c r="BM256" s="19"/>
      <c r="BN256" s="19"/>
      <c r="BO256" s="19"/>
      <c r="BP256" s="19"/>
      <c r="BQ256" s="19"/>
      <c r="BR256" s="19"/>
      <c r="BS256" s="19"/>
      <c r="BT256" s="19"/>
      <c r="BU256" s="19"/>
      <c r="BV256" s="19"/>
      <c r="BW256" s="19"/>
      <c r="BX256" s="19"/>
      <c r="BY256" s="19"/>
      <c r="BZ256" s="19"/>
      <c r="CA256" s="19"/>
      <c r="CB256" s="19"/>
      <c r="CC256" s="19"/>
      <c r="CD256" s="19"/>
      <c r="CE256" s="19"/>
      <c r="CF256" s="6"/>
    </row>
    <row r="257" spans="1:84">
      <c r="A257" s="18" t="str">
        <f t="shared" si="377"/>
        <v>Bond 15</v>
      </c>
      <c r="B257" s="18">
        <f t="shared" si="378"/>
        <v>183.71745367698631</v>
      </c>
      <c r="C257" s="18">
        <f t="shared" si="379"/>
        <v>183.69</v>
      </c>
      <c r="D257" s="230">
        <f t="shared" si="380"/>
        <v>7.5370438006874883E-4</v>
      </c>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9"/>
      <c r="AD257" s="19"/>
      <c r="AE257" s="19"/>
      <c r="AF257" s="19"/>
      <c r="AG257" s="19"/>
      <c r="AH257" s="19"/>
      <c r="AI257" s="19"/>
      <c r="AJ257" s="19"/>
      <c r="AK257" s="19"/>
      <c r="AL257" s="19"/>
      <c r="AM257" s="19"/>
      <c r="AN257" s="19"/>
      <c r="AO257" s="19"/>
      <c r="AP257" s="19"/>
      <c r="AQ257" s="19"/>
      <c r="AR257" s="19"/>
      <c r="AS257" s="19"/>
      <c r="AT257" s="19"/>
      <c r="AU257" s="19"/>
      <c r="AV257" s="19"/>
      <c r="AW257" s="19"/>
      <c r="AX257" s="19"/>
      <c r="AY257" s="19"/>
      <c r="AZ257" s="19"/>
      <c r="BA257" s="19"/>
      <c r="BB257" s="19"/>
      <c r="BC257" s="19"/>
      <c r="BD257" s="19"/>
      <c r="BE257" s="19"/>
      <c r="BF257" s="19"/>
      <c r="BG257" s="19"/>
      <c r="BH257" s="19"/>
      <c r="BI257" s="19"/>
      <c r="BJ257" s="19"/>
      <c r="BK257" s="19"/>
      <c r="BL257" s="19"/>
      <c r="BM257" s="19"/>
      <c r="BN257" s="19"/>
      <c r="BO257" s="19"/>
      <c r="BP257" s="19"/>
      <c r="BQ257" s="19"/>
      <c r="BR257" s="19"/>
      <c r="BS257" s="19"/>
      <c r="BT257" s="19"/>
      <c r="BU257" s="19"/>
      <c r="BV257" s="19"/>
      <c r="BW257" s="19"/>
      <c r="BX257" s="19"/>
      <c r="BY257" s="19"/>
      <c r="BZ257" s="19"/>
      <c r="CA257" s="19"/>
      <c r="CB257" s="19"/>
      <c r="CC257" s="19"/>
      <c r="CD257" s="19"/>
      <c r="CE257" s="19"/>
      <c r="CF257" s="6"/>
    </row>
    <row r="258" spans="1:84">
      <c r="A258" s="230" t="str">
        <f t="shared" si="377"/>
        <v>Bond 16</v>
      </c>
      <c r="B258" s="230">
        <f t="shared" ref="B258" si="381">SUM(B230:CB230)</f>
        <v>128.71735392918558</v>
      </c>
      <c r="C258" s="230">
        <f t="shared" ref="C258" si="382">K17</f>
        <v>128.71316438356163</v>
      </c>
      <c r="D258" s="230">
        <f t="shared" ref="D258" si="383">(B258-C258)^2</f>
        <v>1.7552292535112244E-5</v>
      </c>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9"/>
      <c r="AD258" s="19"/>
      <c r="AE258" s="19"/>
      <c r="AF258" s="19"/>
      <c r="AG258" s="19"/>
      <c r="AH258" s="19"/>
      <c r="AI258" s="19"/>
      <c r="AJ258" s="19"/>
      <c r="AK258" s="19"/>
      <c r="AL258" s="19"/>
      <c r="AM258" s="19"/>
      <c r="AN258" s="19"/>
      <c r="AO258" s="19"/>
      <c r="AP258" s="19"/>
      <c r="AQ258" s="19"/>
      <c r="AR258" s="19"/>
      <c r="AS258" s="19"/>
      <c r="AT258" s="19"/>
      <c r="AU258" s="19"/>
      <c r="AV258" s="19"/>
      <c r="AW258" s="19"/>
      <c r="AX258" s="19"/>
      <c r="AY258" s="19"/>
      <c r="AZ258" s="19"/>
      <c r="BA258" s="19"/>
      <c r="BB258" s="19"/>
      <c r="BC258" s="19"/>
      <c r="BD258" s="19"/>
      <c r="BE258" s="19"/>
      <c r="BF258" s="19"/>
      <c r="BG258" s="19"/>
      <c r="BH258" s="19"/>
      <c r="BI258" s="19"/>
      <c r="BJ258" s="19"/>
      <c r="BK258" s="19"/>
      <c r="BL258" s="19"/>
      <c r="BM258" s="19"/>
      <c r="BN258" s="19"/>
      <c r="BO258" s="19"/>
      <c r="BP258" s="19"/>
      <c r="BQ258" s="19"/>
      <c r="BR258" s="19"/>
      <c r="BS258" s="19"/>
      <c r="BT258" s="19"/>
      <c r="BU258" s="19"/>
      <c r="BV258" s="19"/>
      <c r="BW258" s="19"/>
      <c r="BX258" s="19"/>
      <c r="BY258" s="19"/>
      <c r="BZ258" s="19"/>
      <c r="CA258" s="19"/>
      <c r="CB258" s="19"/>
      <c r="CC258" s="19"/>
      <c r="CD258" s="19"/>
      <c r="CE258" s="19"/>
      <c r="CF258" s="6"/>
    </row>
    <row r="259" spans="1:84">
      <c r="A259" s="18"/>
      <c r="B259" s="18"/>
      <c r="C259" s="18"/>
      <c r="D259" s="18"/>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c r="BP259" s="19"/>
      <c r="BQ259" s="19"/>
      <c r="BR259" s="19"/>
      <c r="BS259" s="19"/>
      <c r="BT259" s="19"/>
      <c r="BU259" s="19"/>
      <c r="BV259" s="19"/>
      <c r="BW259" s="19"/>
      <c r="BX259" s="19"/>
      <c r="BY259" s="19"/>
      <c r="BZ259" s="19"/>
      <c r="CA259" s="19"/>
      <c r="CB259" s="19"/>
      <c r="CC259" s="19"/>
      <c r="CD259" s="19"/>
      <c r="CE259" s="19"/>
      <c r="CF259" s="6"/>
    </row>
    <row r="260" spans="1:84">
      <c r="A260" s="18"/>
      <c r="B260" s="18"/>
      <c r="C260" s="18"/>
      <c r="D260" s="18"/>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c r="AG260" s="19"/>
      <c r="AH260" s="19"/>
      <c r="AI260" s="19"/>
      <c r="AJ260" s="19"/>
      <c r="AK260" s="19"/>
      <c r="AL260" s="19"/>
      <c r="AM260" s="19"/>
      <c r="AN260" s="19"/>
      <c r="AO260" s="19"/>
      <c r="AP260" s="19"/>
      <c r="AQ260" s="19"/>
      <c r="AR260" s="19"/>
      <c r="AS260" s="19"/>
      <c r="AT260" s="19"/>
      <c r="AU260" s="19"/>
      <c r="AV260" s="19"/>
      <c r="AW260" s="19"/>
      <c r="AX260" s="19"/>
      <c r="AY260" s="19"/>
      <c r="AZ260" s="19"/>
      <c r="BA260" s="19"/>
      <c r="BB260" s="19"/>
      <c r="BC260" s="19"/>
      <c r="BD260" s="19"/>
      <c r="BE260" s="19"/>
      <c r="BF260" s="19"/>
      <c r="BG260" s="19"/>
      <c r="BH260" s="19"/>
      <c r="BI260" s="19"/>
      <c r="BJ260" s="19"/>
      <c r="BK260" s="19"/>
      <c r="BL260" s="19"/>
      <c r="BM260" s="19"/>
      <c r="BN260" s="19"/>
      <c r="BO260" s="19"/>
      <c r="BP260" s="19"/>
      <c r="BQ260" s="19"/>
      <c r="BR260" s="19"/>
      <c r="BS260" s="19"/>
      <c r="BT260" s="19"/>
      <c r="BU260" s="19"/>
      <c r="BV260" s="19"/>
      <c r="BW260" s="19"/>
      <c r="BX260" s="19"/>
      <c r="BY260" s="19"/>
      <c r="BZ260" s="19"/>
      <c r="CA260" s="19"/>
      <c r="CB260" s="19"/>
      <c r="CC260" s="19"/>
      <c r="CD260" s="19"/>
      <c r="CE260" s="19"/>
      <c r="CF260" s="6"/>
    </row>
    <row r="261" spans="1:84">
      <c r="A261" s="18"/>
      <c r="B261" s="18"/>
      <c r="C261" s="18"/>
      <c r="D261" s="18"/>
      <c r="E261" s="19"/>
      <c r="F261" s="19"/>
      <c r="G261" s="19"/>
      <c r="H261" s="19"/>
      <c r="I261" s="19"/>
      <c r="J261" s="19"/>
      <c r="K261" s="19"/>
      <c r="L261" s="19"/>
      <c r="M261" s="19"/>
      <c r="N261" s="19"/>
      <c r="O261" s="19"/>
      <c r="P261" s="19"/>
      <c r="Q261" s="19"/>
      <c r="R261" s="19"/>
      <c r="S261" s="19"/>
      <c r="T261" s="19"/>
      <c r="U261" s="19"/>
      <c r="V261" s="19"/>
      <c r="W261" s="19"/>
      <c r="X261" s="19"/>
      <c r="Y261" s="19"/>
      <c r="Z261" s="19"/>
      <c r="AA261" s="19"/>
      <c r="AB261" s="19"/>
      <c r="AC261" s="19"/>
      <c r="AD261" s="19"/>
      <c r="AE261" s="19"/>
      <c r="AF261" s="19"/>
      <c r="AG261" s="19"/>
      <c r="AH261" s="19"/>
      <c r="AI261" s="19"/>
      <c r="AJ261" s="19"/>
      <c r="AK261" s="19"/>
      <c r="AL261" s="19"/>
      <c r="AM261" s="19"/>
      <c r="AN261" s="19"/>
      <c r="AO261" s="19"/>
      <c r="AP261" s="19"/>
      <c r="AQ261" s="19"/>
      <c r="AR261" s="19"/>
      <c r="AS261" s="19"/>
      <c r="AT261" s="19"/>
      <c r="AU261" s="19"/>
      <c r="AV261" s="19"/>
      <c r="AW261" s="19"/>
      <c r="AX261" s="19"/>
      <c r="AY261" s="19"/>
      <c r="AZ261" s="19"/>
      <c r="BA261" s="19"/>
      <c r="BB261" s="19"/>
      <c r="BC261" s="19"/>
      <c r="BD261" s="19"/>
      <c r="BE261" s="19"/>
      <c r="BF261" s="19"/>
      <c r="BG261" s="19"/>
      <c r="BH261" s="19"/>
      <c r="BI261" s="19"/>
      <c r="BJ261" s="19"/>
      <c r="BK261" s="19"/>
      <c r="BL261" s="19"/>
      <c r="BM261" s="19"/>
      <c r="BN261" s="19"/>
      <c r="BO261" s="19"/>
      <c r="BP261" s="19"/>
      <c r="BQ261" s="19"/>
      <c r="BR261" s="19"/>
      <c r="BS261" s="19"/>
      <c r="BT261" s="19"/>
      <c r="BU261" s="19"/>
      <c r="BV261" s="19"/>
      <c r="BW261" s="19"/>
      <c r="BX261" s="19"/>
      <c r="BY261" s="19"/>
      <c r="BZ261" s="19"/>
      <c r="CA261" s="19"/>
      <c r="CB261" s="19"/>
      <c r="CC261" s="19"/>
      <c r="CD261" s="19"/>
      <c r="CE261" s="19"/>
      <c r="CF261" s="6"/>
    </row>
    <row r="262" spans="1:84">
      <c r="A262" s="18"/>
      <c r="B262" s="18"/>
      <c r="C262" s="18"/>
      <c r="D262" s="18"/>
      <c r="E262" s="19"/>
      <c r="F262" s="19"/>
      <c r="G262" s="19"/>
      <c r="H262" s="19"/>
      <c r="I262" s="19"/>
      <c r="J262" s="19"/>
      <c r="K262" s="19"/>
      <c r="L262" s="19"/>
      <c r="M262" s="19"/>
      <c r="N262" s="19"/>
      <c r="O262" s="19"/>
      <c r="P262" s="19"/>
      <c r="Q262" s="19"/>
      <c r="R262" s="19"/>
      <c r="S262" s="19"/>
      <c r="T262" s="19"/>
      <c r="U262" s="19"/>
      <c r="V262" s="19"/>
      <c r="W262" s="19"/>
      <c r="X262" s="19"/>
      <c r="Y262" s="19"/>
      <c r="Z262" s="19"/>
      <c r="AA262" s="19"/>
      <c r="AB262" s="19"/>
      <c r="AC262" s="19"/>
      <c r="AD262" s="19"/>
      <c r="AE262" s="19"/>
      <c r="AF262" s="19"/>
      <c r="AG262" s="19"/>
      <c r="AH262" s="19"/>
      <c r="AI262" s="19"/>
      <c r="AJ262" s="19"/>
      <c r="AK262" s="19"/>
      <c r="AL262" s="19"/>
      <c r="AM262" s="19"/>
      <c r="AN262" s="19"/>
      <c r="AO262" s="19"/>
      <c r="AP262" s="19"/>
      <c r="AQ262" s="19"/>
      <c r="AR262" s="19"/>
      <c r="AS262" s="19"/>
      <c r="AT262" s="19"/>
      <c r="AU262" s="19"/>
      <c r="AV262" s="19"/>
      <c r="AW262" s="19"/>
      <c r="AX262" s="19"/>
      <c r="AY262" s="19"/>
      <c r="AZ262" s="19"/>
      <c r="BA262" s="19"/>
      <c r="BB262" s="19"/>
      <c r="BC262" s="19"/>
      <c r="BD262" s="19"/>
      <c r="BE262" s="19"/>
      <c r="BF262" s="19"/>
      <c r="BG262" s="19"/>
      <c r="BH262" s="19"/>
      <c r="BI262" s="19"/>
      <c r="BJ262" s="19"/>
      <c r="BK262" s="19"/>
      <c r="BL262" s="19"/>
      <c r="BM262" s="19"/>
      <c r="BN262" s="19"/>
      <c r="BO262" s="19"/>
      <c r="BP262" s="19"/>
      <c r="BQ262" s="19"/>
      <c r="BR262" s="19"/>
      <c r="BS262" s="19"/>
      <c r="BT262" s="19"/>
      <c r="BU262" s="19"/>
      <c r="BV262" s="19"/>
      <c r="BW262" s="19"/>
      <c r="BX262" s="19"/>
      <c r="BY262" s="19"/>
      <c r="BZ262" s="19"/>
      <c r="CA262" s="19"/>
      <c r="CB262" s="19"/>
      <c r="CC262" s="19"/>
      <c r="CD262" s="19"/>
      <c r="CE262" s="19"/>
      <c r="CF262" s="6"/>
    </row>
    <row r="263" spans="1:84">
      <c r="A263" s="18"/>
      <c r="B263" s="18"/>
      <c r="C263" s="18"/>
      <c r="D263" s="18"/>
      <c r="E263" s="20"/>
      <c r="F263" s="19"/>
      <c r="G263" s="19"/>
      <c r="H263" s="19"/>
      <c r="I263" s="19"/>
      <c r="J263" s="19"/>
      <c r="K263" s="19"/>
      <c r="L263" s="19"/>
      <c r="M263" s="19"/>
      <c r="N263" s="19"/>
      <c r="O263" s="19"/>
      <c r="P263" s="19"/>
      <c r="Q263" s="19"/>
      <c r="R263" s="19"/>
      <c r="S263" s="19"/>
      <c r="T263" s="19"/>
      <c r="U263" s="19"/>
      <c r="V263" s="19"/>
      <c r="W263" s="19"/>
      <c r="X263" s="19"/>
      <c r="Y263" s="19"/>
      <c r="Z263" s="19"/>
      <c r="AA263" s="19"/>
      <c r="AB263" s="19"/>
      <c r="AC263" s="19"/>
      <c r="AD263" s="19"/>
      <c r="AE263" s="19"/>
      <c r="AF263" s="19"/>
      <c r="AG263" s="19"/>
      <c r="AH263" s="19"/>
      <c r="AI263" s="19"/>
      <c r="AJ263" s="19"/>
      <c r="AK263" s="19"/>
      <c r="AL263" s="19"/>
      <c r="AM263" s="19"/>
      <c r="AN263" s="19"/>
      <c r="AO263" s="19"/>
      <c r="AP263" s="19"/>
      <c r="AQ263" s="19"/>
      <c r="AR263" s="19"/>
      <c r="AS263" s="19"/>
      <c r="AT263" s="19"/>
      <c r="AU263" s="19"/>
      <c r="AV263" s="19"/>
      <c r="AW263" s="19"/>
      <c r="AX263" s="19"/>
      <c r="AY263" s="19"/>
      <c r="AZ263" s="19"/>
      <c r="BA263" s="19"/>
      <c r="BB263" s="19"/>
      <c r="BC263" s="19"/>
      <c r="BD263" s="19"/>
      <c r="BE263" s="19"/>
      <c r="BF263" s="19"/>
      <c r="BG263" s="19"/>
      <c r="BH263" s="19"/>
      <c r="BI263" s="19"/>
      <c r="BJ263" s="19"/>
      <c r="BK263" s="19"/>
      <c r="BL263" s="19"/>
      <c r="BM263" s="19"/>
      <c r="BN263" s="19"/>
      <c r="BO263" s="19"/>
      <c r="BP263" s="19"/>
      <c r="BQ263" s="19"/>
      <c r="BR263" s="19"/>
      <c r="BS263" s="19"/>
      <c r="BT263" s="19"/>
      <c r="BU263" s="19"/>
      <c r="BV263" s="19"/>
      <c r="BW263" s="19"/>
      <c r="BX263" s="19"/>
      <c r="BY263" s="19"/>
      <c r="BZ263" s="19"/>
      <c r="CA263" s="19"/>
      <c r="CB263" s="19"/>
      <c r="CC263" s="19"/>
      <c r="CD263" s="19"/>
      <c r="CE263" s="19"/>
      <c r="CF263" s="6"/>
    </row>
    <row r="264" spans="1:84">
      <c r="A264" s="18"/>
      <c r="B264" s="18"/>
      <c r="C264" s="18"/>
      <c r="D264" s="18"/>
      <c r="E264" s="20"/>
      <c r="F264" s="19"/>
      <c r="G264" s="19"/>
      <c r="H264" s="19"/>
      <c r="I264" s="19"/>
      <c r="J264" s="19"/>
      <c r="K264" s="19"/>
      <c r="L264" s="19"/>
      <c r="M264" s="19"/>
      <c r="N264" s="19"/>
      <c r="O264" s="19"/>
      <c r="P264" s="19"/>
      <c r="Q264" s="19"/>
      <c r="R264" s="19"/>
      <c r="S264" s="19"/>
      <c r="T264" s="19"/>
      <c r="U264" s="19"/>
      <c r="V264" s="19"/>
      <c r="W264" s="19"/>
      <c r="X264" s="19"/>
      <c r="Y264" s="19"/>
      <c r="Z264" s="19"/>
      <c r="AA264" s="19"/>
      <c r="AB264" s="19"/>
      <c r="AC264" s="19"/>
      <c r="AD264" s="19"/>
      <c r="AE264" s="19"/>
      <c r="AF264" s="19"/>
      <c r="AG264" s="19"/>
      <c r="AH264" s="19"/>
      <c r="AI264" s="19"/>
      <c r="AJ264" s="19"/>
      <c r="AK264" s="19"/>
      <c r="AL264" s="19"/>
      <c r="AM264" s="19"/>
      <c r="AN264" s="19"/>
      <c r="AO264" s="19"/>
      <c r="AP264" s="19"/>
      <c r="AQ264" s="19"/>
      <c r="AR264" s="19"/>
      <c r="AS264" s="19"/>
      <c r="AT264" s="19"/>
      <c r="AU264" s="19"/>
      <c r="AV264" s="19"/>
      <c r="AW264" s="19"/>
      <c r="AX264" s="19"/>
      <c r="AY264" s="19"/>
      <c r="AZ264" s="19"/>
      <c r="BA264" s="19"/>
      <c r="BB264" s="19"/>
      <c r="BC264" s="19"/>
      <c r="BD264" s="19"/>
      <c r="BE264" s="19"/>
      <c r="BF264" s="19"/>
      <c r="BG264" s="19"/>
      <c r="BH264" s="19"/>
      <c r="BI264" s="19"/>
      <c r="BJ264" s="19"/>
      <c r="BK264" s="19"/>
      <c r="BL264" s="19"/>
      <c r="BM264" s="19"/>
      <c r="BN264" s="19"/>
      <c r="BO264" s="19"/>
      <c r="BP264" s="19"/>
      <c r="BQ264" s="19"/>
      <c r="BR264" s="19"/>
      <c r="BS264" s="19"/>
      <c r="BT264" s="19"/>
      <c r="BU264" s="19"/>
      <c r="BV264" s="19"/>
      <c r="BW264" s="19"/>
      <c r="BX264" s="19"/>
      <c r="BY264" s="19"/>
      <c r="BZ264" s="19"/>
      <c r="CA264" s="19"/>
      <c r="CB264" s="19"/>
      <c r="CC264" s="19"/>
      <c r="CD264" s="19"/>
      <c r="CE264" s="19"/>
      <c r="CF264" s="6"/>
    </row>
    <row r="265" spans="1:84">
      <c r="A265" s="18"/>
      <c r="B265" s="18"/>
      <c r="C265" s="18"/>
      <c r="D265" s="18"/>
      <c r="E265" s="20"/>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19"/>
      <c r="AE265" s="19"/>
      <c r="AF265" s="19"/>
      <c r="AG265" s="19"/>
      <c r="AH265" s="19"/>
      <c r="AI265" s="19"/>
      <c r="AJ265" s="19"/>
      <c r="AK265" s="19"/>
      <c r="AL265" s="19"/>
      <c r="AM265" s="19"/>
      <c r="AN265" s="19"/>
      <c r="AO265" s="19"/>
      <c r="AP265" s="19"/>
      <c r="AQ265" s="19"/>
      <c r="AR265" s="19"/>
      <c r="AS265" s="19"/>
      <c r="AT265" s="19"/>
      <c r="AU265" s="19"/>
      <c r="AV265" s="19"/>
      <c r="AW265" s="19"/>
      <c r="AX265" s="19"/>
      <c r="AY265" s="19"/>
      <c r="AZ265" s="19"/>
      <c r="BA265" s="19"/>
      <c r="BB265" s="19"/>
      <c r="BC265" s="19"/>
      <c r="BD265" s="19"/>
      <c r="BE265" s="19"/>
      <c r="BF265" s="19"/>
      <c r="BG265" s="19"/>
      <c r="BH265" s="19"/>
      <c r="BI265" s="19"/>
      <c r="BJ265" s="19"/>
      <c r="BK265" s="19"/>
      <c r="BL265" s="19"/>
      <c r="BM265" s="19"/>
      <c r="BN265" s="19"/>
      <c r="BO265" s="19"/>
      <c r="BP265" s="19"/>
      <c r="BQ265" s="19"/>
      <c r="BR265" s="19"/>
      <c r="BS265" s="19"/>
      <c r="BT265" s="19"/>
      <c r="BU265" s="19"/>
      <c r="BV265" s="19"/>
      <c r="BW265" s="19"/>
      <c r="BX265" s="19"/>
      <c r="BY265" s="19"/>
      <c r="BZ265" s="19"/>
      <c r="CA265" s="19"/>
      <c r="CB265" s="19"/>
      <c r="CC265" s="19"/>
      <c r="CD265" s="19"/>
      <c r="CE265" s="19"/>
      <c r="CF265" s="6"/>
    </row>
    <row r="266" spans="1:84">
      <c r="A266" s="18"/>
      <c r="B266" s="18"/>
      <c r="C266" s="18"/>
      <c r="D266" s="18"/>
      <c r="E266" s="20"/>
      <c r="F266" s="19"/>
      <c r="G266" s="19"/>
      <c r="H266" s="19"/>
      <c r="I266" s="19"/>
      <c r="J266" s="19"/>
      <c r="K266" s="19"/>
      <c r="L266" s="19"/>
      <c r="M266" s="19"/>
      <c r="N266" s="19"/>
      <c r="O266" s="19"/>
      <c r="P266" s="19"/>
      <c r="Q266" s="19"/>
      <c r="R266" s="19"/>
      <c r="S266" s="19"/>
      <c r="T266" s="19"/>
      <c r="U266" s="19"/>
      <c r="V266" s="19"/>
      <c r="W266" s="19"/>
      <c r="X266" s="19"/>
      <c r="Y266" s="19"/>
      <c r="Z266" s="19"/>
      <c r="AA266" s="19"/>
      <c r="AB266" s="19"/>
      <c r="AC266" s="19"/>
      <c r="AD266" s="19"/>
      <c r="AE266" s="19"/>
      <c r="AF266" s="19"/>
      <c r="AG266" s="19"/>
      <c r="AH266" s="19"/>
      <c r="AI266" s="19"/>
      <c r="AJ266" s="19"/>
      <c r="AK266" s="19"/>
      <c r="AL266" s="19"/>
      <c r="AM266" s="19"/>
      <c r="AN266" s="19"/>
      <c r="AO266" s="19"/>
      <c r="AP266" s="19"/>
      <c r="AQ266" s="19"/>
      <c r="AR266" s="19"/>
      <c r="AS266" s="19"/>
      <c r="AT266" s="19"/>
      <c r="AU266" s="19"/>
      <c r="AV266" s="19"/>
      <c r="AW266" s="19"/>
      <c r="AX266" s="19"/>
      <c r="AY266" s="19"/>
      <c r="AZ266" s="19"/>
      <c r="BA266" s="19"/>
      <c r="BB266" s="19"/>
      <c r="BC266" s="19"/>
      <c r="BD266" s="19"/>
      <c r="BE266" s="19"/>
      <c r="BF266" s="19"/>
      <c r="BG266" s="19"/>
      <c r="BH266" s="19"/>
      <c r="BI266" s="19"/>
      <c r="BJ266" s="19"/>
      <c r="BK266" s="19"/>
      <c r="BL266" s="19"/>
      <c r="BM266" s="19"/>
      <c r="BN266" s="19"/>
      <c r="BO266" s="19"/>
      <c r="BP266" s="19"/>
      <c r="BQ266" s="19"/>
      <c r="BR266" s="19"/>
      <c r="BS266" s="19"/>
      <c r="BT266" s="19"/>
      <c r="BU266" s="19"/>
      <c r="BV266" s="19"/>
      <c r="BW266" s="19"/>
      <c r="BX266" s="19"/>
      <c r="BY266" s="19"/>
      <c r="BZ266" s="19"/>
      <c r="CA266" s="19"/>
      <c r="CB266" s="19"/>
      <c r="CC266" s="19"/>
      <c r="CD266" s="19"/>
      <c r="CE266" s="19"/>
      <c r="CF266" s="6"/>
    </row>
    <row r="267" spans="1:84">
      <c r="A267" s="18"/>
      <c r="B267" s="18"/>
      <c r="C267" s="18"/>
      <c r="D267" s="18"/>
      <c r="E267" s="20"/>
      <c r="F267" s="19"/>
      <c r="G267" s="19"/>
      <c r="H267" s="19"/>
      <c r="I267" s="19"/>
      <c r="J267" s="19"/>
      <c r="K267" s="19"/>
      <c r="L267" s="19"/>
      <c r="M267" s="19"/>
      <c r="N267" s="19"/>
      <c r="O267" s="19"/>
      <c r="P267" s="19"/>
      <c r="Q267" s="19"/>
      <c r="R267" s="19"/>
      <c r="S267" s="19"/>
      <c r="T267" s="19"/>
      <c r="U267" s="19"/>
      <c r="V267" s="19"/>
      <c r="W267" s="19"/>
      <c r="X267" s="19"/>
      <c r="Y267" s="19"/>
      <c r="Z267" s="19"/>
      <c r="AA267" s="19"/>
      <c r="AB267" s="19"/>
      <c r="AC267" s="19"/>
      <c r="AD267" s="19"/>
      <c r="AE267" s="19"/>
      <c r="AF267" s="19"/>
      <c r="AG267" s="19"/>
      <c r="AH267" s="19"/>
      <c r="AI267" s="19"/>
      <c r="AJ267" s="19"/>
      <c r="AK267" s="19"/>
      <c r="AL267" s="19"/>
      <c r="AM267" s="19"/>
      <c r="AN267" s="19"/>
      <c r="AO267" s="19"/>
      <c r="AP267" s="19"/>
      <c r="AQ267" s="19"/>
      <c r="AR267" s="19"/>
      <c r="AS267" s="19"/>
      <c r="AT267" s="19"/>
      <c r="AU267" s="19"/>
      <c r="AV267" s="19"/>
      <c r="AW267" s="19"/>
      <c r="AX267" s="19"/>
      <c r="AY267" s="19"/>
      <c r="AZ267" s="19"/>
      <c r="BA267" s="19"/>
      <c r="BB267" s="19"/>
      <c r="BC267" s="19"/>
      <c r="BD267" s="19"/>
      <c r="BE267" s="19"/>
      <c r="BF267" s="19"/>
      <c r="BG267" s="19"/>
      <c r="BH267" s="19"/>
      <c r="BI267" s="19"/>
      <c r="BJ267" s="19"/>
      <c r="BK267" s="19"/>
      <c r="BL267" s="19"/>
      <c r="BM267" s="19"/>
      <c r="BN267" s="19"/>
      <c r="BO267" s="19"/>
      <c r="BP267" s="19"/>
      <c r="BQ267" s="19"/>
      <c r="BR267" s="19"/>
      <c r="BS267" s="19"/>
      <c r="BT267" s="19"/>
      <c r="BU267" s="19"/>
      <c r="BV267" s="19"/>
      <c r="BW267" s="19"/>
      <c r="BX267" s="19"/>
      <c r="BY267" s="19"/>
      <c r="BZ267" s="19"/>
      <c r="CA267" s="19"/>
      <c r="CB267" s="19"/>
      <c r="CC267" s="19"/>
      <c r="CD267" s="19"/>
      <c r="CE267" s="19"/>
      <c r="CF267" s="6"/>
    </row>
    <row r="268" spans="1:84">
      <c r="A268" s="18"/>
      <c r="B268" s="18"/>
      <c r="C268" s="18"/>
      <c r="D268" s="18"/>
      <c r="E268" s="20"/>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c r="AG268" s="19"/>
      <c r="AH268" s="19"/>
      <c r="AI268" s="19"/>
      <c r="AJ268" s="19"/>
      <c r="AK268" s="19"/>
      <c r="AL268" s="19"/>
      <c r="AM268" s="19"/>
      <c r="AN268" s="19"/>
      <c r="AO268" s="19"/>
      <c r="AP268" s="19"/>
      <c r="AQ268" s="19"/>
      <c r="AR268" s="19"/>
      <c r="AS268" s="19"/>
      <c r="AT268" s="19"/>
      <c r="AU268" s="19"/>
      <c r="AV268" s="19"/>
      <c r="AW268" s="19"/>
      <c r="AX268" s="19"/>
      <c r="AY268" s="19"/>
      <c r="AZ268" s="19"/>
      <c r="BA268" s="19"/>
      <c r="BB268" s="19"/>
      <c r="BC268" s="19"/>
      <c r="BD268" s="19"/>
      <c r="BE268" s="19"/>
      <c r="BF268" s="19"/>
      <c r="BG268" s="19"/>
      <c r="BH268" s="19"/>
      <c r="BI268" s="19"/>
      <c r="BJ268" s="19"/>
      <c r="BK268" s="19"/>
      <c r="BL268" s="19"/>
      <c r="BM268" s="19"/>
      <c r="BN268" s="19"/>
      <c r="BO268" s="19"/>
      <c r="BP268" s="19"/>
      <c r="BQ268" s="19"/>
      <c r="BR268" s="19"/>
      <c r="BS268" s="19"/>
      <c r="BT268" s="19"/>
      <c r="BU268" s="19"/>
      <c r="BV268" s="19"/>
      <c r="BW268" s="19"/>
      <c r="BX268" s="19"/>
      <c r="BY268" s="19"/>
      <c r="BZ268" s="19"/>
      <c r="CA268" s="19"/>
      <c r="CB268" s="19"/>
      <c r="CC268" s="19"/>
      <c r="CD268" s="19"/>
      <c r="CE268" s="19"/>
      <c r="CF268" s="6"/>
    </row>
    <row r="269" spans="1:84">
      <c r="B269" s="17"/>
      <c r="C269" s="21" t="s">
        <v>15</v>
      </c>
      <c r="D269" s="21">
        <f>SUM(D243:D268)</f>
        <v>6.8615541155677084E-2</v>
      </c>
      <c r="E269" s="20"/>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c r="AG269" s="19"/>
      <c r="AH269" s="19"/>
      <c r="AI269" s="19"/>
      <c r="AJ269" s="19"/>
      <c r="AK269" s="19"/>
      <c r="AL269" s="19"/>
      <c r="AM269" s="19"/>
      <c r="AN269" s="19"/>
      <c r="AO269" s="19"/>
      <c r="AP269" s="19"/>
      <c r="AQ269" s="19"/>
      <c r="AR269" s="19"/>
      <c r="AS269" s="19"/>
      <c r="AT269" s="19"/>
      <c r="AU269" s="19"/>
      <c r="AV269" s="19"/>
      <c r="AW269" s="19"/>
      <c r="AX269" s="19"/>
      <c r="AY269" s="19"/>
      <c r="AZ269" s="19"/>
      <c r="BA269" s="19"/>
      <c r="BB269" s="19"/>
      <c r="BC269" s="19"/>
      <c r="BD269" s="19"/>
      <c r="BE269" s="19"/>
      <c r="BF269" s="19"/>
      <c r="BG269" s="19"/>
      <c r="BH269" s="19"/>
      <c r="BI269" s="19"/>
      <c r="BJ269" s="19"/>
      <c r="BK269" s="19"/>
      <c r="BL269" s="19"/>
      <c r="BM269" s="19"/>
      <c r="BN269" s="19"/>
      <c r="BO269" s="19"/>
      <c r="BP269" s="19"/>
      <c r="BQ269" s="19"/>
      <c r="BR269" s="19"/>
      <c r="BS269" s="19"/>
      <c r="BT269" s="19"/>
      <c r="BU269" s="19"/>
      <c r="BV269" s="19"/>
      <c r="BW269" s="19"/>
      <c r="BX269" s="19"/>
      <c r="BY269" s="19"/>
      <c r="BZ269" s="19"/>
      <c r="CA269" s="19"/>
      <c r="CB269" s="19"/>
      <c r="CC269" s="19"/>
      <c r="CD269" s="19"/>
      <c r="CE269" s="19"/>
      <c r="CF269" s="6"/>
    </row>
    <row r="270" spans="1:84">
      <c r="A270" s="17"/>
      <c r="B270" s="17"/>
      <c r="C270" s="17"/>
      <c r="D270" s="19"/>
      <c r="E270" s="20"/>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9"/>
      <c r="AD270" s="19"/>
      <c r="AE270" s="19"/>
      <c r="AF270" s="19"/>
      <c r="AG270" s="19"/>
      <c r="AH270" s="19"/>
      <c r="AI270" s="19"/>
      <c r="AJ270" s="19"/>
      <c r="AK270" s="19"/>
      <c r="AL270" s="19"/>
      <c r="AM270" s="19"/>
      <c r="AN270" s="19"/>
      <c r="AO270" s="19"/>
      <c r="AP270" s="19"/>
      <c r="AQ270" s="19"/>
      <c r="AR270" s="19"/>
      <c r="AS270" s="19"/>
      <c r="AT270" s="19"/>
      <c r="AU270" s="19"/>
      <c r="AV270" s="19"/>
      <c r="AW270" s="19"/>
      <c r="AX270" s="19"/>
      <c r="AY270" s="19"/>
      <c r="AZ270" s="19"/>
      <c r="BA270" s="19"/>
      <c r="BB270" s="19"/>
      <c r="BC270" s="19"/>
      <c r="BD270" s="19"/>
      <c r="BE270" s="19"/>
      <c r="BF270" s="19"/>
      <c r="BG270" s="19"/>
      <c r="BH270" s="19"/>
      <c r="BI270" s="19"/>
      <c r="BJ270" s="19"/>
      <c r="BK270" s="19"/>
      <c r="BL270" s="19"/>
      <c r="BM270" s="19"/>
      <c r="BN270" s="19"/>
      <c r="BO270" s="19"/>
      <c r="BP270" s="19"/>
      <c r="BQ270" s="19"/>
      <c r="BR270" s="19"/>
      <c r="BS270" s="19"/>
      <c r="BT270" s="19"/>
      <c r="BU270" s="19"/>
      <c r="BV270" s="19"/>
      <c r="BW270" s="19"/>
      <c r="BX270" s="19"/>
      <c r="BY270" s="19"/>
      <c r="BZ270" s="19"/>
      <c r="CA270" s="19"/>
      <c r="CB270" s="19"/>
      <c r="CC270" s="19"/>
      <c r="CD270" s="19"/>
      <c r="CE270" s="19"/>
      <c r="CF270" s="6"/>
    </row>
    <row r="271" spans="1:84">
      <c r="A271" s="17"/>
      <c r="B271" s="17"/>
      <c r="C271" s="17"/>
      <c r="D271" s="19"/>
      <c r="E271" s="20"/>
      <c r="F271" s="19"/>
      <c r="G271" s="19"/>
      <c r="H271" s="19"/>
      <c r="I271" s="19"/>
      <c r="J271" s="19"/>
      <c r="K271" s="19"/>
      <c r="L271" s="19"/>
      <c r="M271" s="19"/>
      <c r="N271" s="19"/>
      <c r="O271" s="19"/>
      <c r="P271" s="19"/>
      <c r="Q271" s="19"/>
      <c r="R271" s="19"/>
      <c r="S271" s="19"/>
      <c r="T271" s="19"/>
      <c r="U271" s="19"/>
      <c r="V271" s="19"/>
      <c r="W271" s="19"/>
      <c r="X271" s="19"/>
      <c r="Y271" s="19"/>
      <c r="Z271" s="19"/>
      <c r="AA271" s="19"/>
      <c r="AB271" s="19"/>
      <c r="AC271" s="19"/>
      <c r="AD271" s="19"/>
      <c r="AE271" s="19"/>
      <c r="AF271" s="19"/>
      <c r="AG271" s="19"/>
      <c r="AH271" s="19"/>
      <c r="AI271" s="19"/>
      <c r="AJ271" s="19"/>
      <c r="AK271" s="19"/>
      <c r="AL271" s="19"/>
      <c r="AM271" s="19"/>
      <c r="AN271" s="19"/>
      <c r="AO271" s="19"/>
      <c r="AP271" s="19"/>
      <c r="AQ271" s="19"/>
      <c r="AR271" s="19"/>
      <c r="AS271" s="19"/>
      <c r="AT271" s="19"/>
      <c r="AU271" s="19"/>
      <c r="AV271" s="19"/>
      <c r="AW271" s="19"/>
      <c r="AX271" s="19"/>
      <c r="AY271" s="19"/>
      <c r="AZ271" s="19"/>
      <c r="BA271" s="19"/>
      <c r="BB271" s="19"/>
      <c r="BC271" s="19"/>
      <c r="BD271" s="19"/>
      <c r="BE271" s="19"/>
      <c r="BF271" s="19"/>
      <c r="BG271" s="19"/>
      <c r="BH271" s="19"/>
      <c r="BI271" s="19"/>
      <c r="BJ271" s="19"/>
      <c r="BK271" s="19"/>
      <c r="BL271" s="19"/>
      <c r="BM271" s="19"/>
      <c r="BN271" s="19"/>
      <c r="BO271" s="19"/>
      <c r="BP271" s="19"/>
      <c r="BQ271" s="19"/>
      <c r="BR271" s="19"/>
      <c r="BS271" s="19"/>
      <c r="BT271" s="19"/>
      <c r="BU271" s="19"/>
      <c r="BV271" s="19"/>
      <c r="BW271" s="19"/>
      <c r="BX271" s="19"/>
      <c r="BY271" s="19"/>
      <c r="BZ271" s="19"/>
      <c r="CA271" s="19"/>
      <c r="CB271" s="19"/>
      <c r="CC271" s="19"/>
      <c r="CD271" s="19"/>
      <c r="CE271" s="19"/>
      <c r="CF271" s="6"/>
    </row>
    <row r="272" spans="1:84">
      <c r="A272" s="17"/>
      <c r="B272" s="17"/>
      <c r="C272" s="17"/>
      <c r="D272" s="19"/>
      <c r="E272" s="20"/>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9"/>
      <c r="AD272" s="19"/>
      <c r="AE272" s="19"/>
      <c r="AF272" s="19"/>
      <c r="AG272" s="19"/>
      <c r="AH272" s="19"/>
      <c r="AI272" s="19"/>
      <c r="AJ272" s="19"/>
      <c r="AK272" s="19"/>
      <c r="AL272" s="19"/>
      <c r="AM272" s="19"/>
      <c r="AN272" s="19"/>
      <c r="AO272" s="19"/>
      <c r="AP272" s="19"/>
      <c r="AQ272" s="19"/>
      <c r="AR272" s="19"/>
      <c r="AS272" s="19"/>
      <c r="AT272" s="19"/>
      <c r="AU272" s="19"/>
      <c r="AV272" s="19"/>
      <c r="AW272" s="19"/>
      <c r="AX272" s="19"/>
      <c r="AY272" s="19"/>
      <c r="AZ272" s="19"/>
      <c r="BA272" s="19"/>
      <c r="BB272" s="19"/>
      <c r="BC272" s="19"/>
      <c r="BD272" s="19"/>
      <c r="BE272" s="19"/>
      <c r="BF272" s="19"/>
      <c r="BG272" s="19"/>
      <c r="BH272" s="19"/>
      <c r="BI272" s="19"/>
      <c r="BJ272" s="19"/>
      <c r="BK272" s="19"/>
      <c r="BL272" s="19"/>
      <c r="BM272" s="19"/>
      <c r="BN272" s="19"/>
      <c r="BO272" s="19"/>
      <c r="BP272" s="19"/>
      <c r="BQ272" s="19"/>
      <c r="BR272" s="19"/>
      <c r="BS272" s="19"/>
      <c r="BT272" s="19"/>
      <c r="BU272" s="19"/>
      <c r="BV272" s="19"/>
      <c r="BW272" s="19"/>
      <c r="BX272" s="19"/>
      <c r="BY272" s="19"/>
      <c r="BZ272" s="19"/>
      <c r="CA272" s="19"/>
      <c r="CB272" s="19"/>
      <c r="CC272" s="19"/>
      <c r="CD272" s="19"/>
      <c r="CE272" s="19"/>
      <c r="CF272" s="6"/>
    </row>
    <row r="273" spans="1:84">
      <c r="A273" s="17"/>
      <c r="B273" s="17"/>
      <c r="C273" s="17"/>
      <c r="D273" s="19"/>
      <c r="E273" s="20"/>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9"/>
      <c r="AD273" s="19"/>
      <c r="AE273" s="19"/>
      <c r="AF273" s="19"/>
      <c r="AG273" s="19"/>
      <c r="AH273" s="19"/>
      <c r="AI273" s="19"/>
      <c r="AJ273" s="19"/>
      <c r="AK273" s="19"/>
      <c r="AL273" s="19"/>
      <c r="AM273" s="19"/>
      <c r="AN273" s="19"/>
      <c r="AO273" s="19"/>
      <c r="AP273" s="19"/>
      <c r="AQ273" s="19"/>
      <c r="AR273" s="19"/>
      <c r="AS273" s="19"/>
      <c r="AT273" s="19"/>
      <c r="AU273" s="19"/>
      <c r="AV273" s="19"/>
      <c r="AW273" s="19"/>
      <c r="AX273" s="19"/>
      <c r="AY273" s="19"/>
      <c r="AZ273" s="19"/>
      <c r="BA273" s="19"/>
      <c r="BB273" s="19"/>
      <c r="BC273" s="19"/>
      <c r="BD273" s="19"/>
      <c r="BE273" s="19"/>
      <c r="BF273" s="19"/>
      <c r="BG273" s="19"/>
      <c r="BH273" s="19"/>
      <c r="BI273" s="19"/>
      <c r="BJ273" s="19"/>
      <c r="BK273" s="19"/>
      <c r="BL273" s="19"/>
      <c r="BM273" s="19"/>
      <c r="BN273" s="19"/>
      <c r="BO273" s="19"/>
      <c r="BP273" s="19"/>
      <c r="BQ273" s="19"/>
      <c r="BR273" s="19"/>
      <c r="BS273" s="19"/>
      <c r="BT273" s="19"/>
      <c r="BU273" s="19"/>
      <c r="BV273" s="19"/>
      <c r="BW273" s="19"/>
      <c r="BX273" s="19"/>
      <c r="BY273" s="19"/>
      <c r="BZ273" s="19"/>
      <c r="CA273" s="19"/>
      <c r="CB273" s="19"/>
      <c r="CC273" s="19"/>
      <c r="CD273" s="19"/>
      <c r="CE273" s="19"/>
      <c r="CF273" s="6"/>
    </row>
    <row r="274" spans="1:84">
      <c r="A274" s="17"/>
      <c r="B274" s="17"/>
      <c r="C274" s="17"/>
      <c r="D274" s="19"/>
      <c r="E274" s="20"/>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9"/>
      <c r="AD274" s="19"/>
      <c r="AE274" s="19"/>
      <c r="AF274" s="19"/>
      <c r="AG274" s="19"/>
      <c r="AH274" s="19"/>
      <c r="AI274" s="19"/>
      <c r="AJ274" s="19"/>
      <c r="AK274" s="19"/>
      <c r="AL274" s="19"/>
      <c r="AM274" s="19"/>
      <c r="AN274" s="19"/>
      <c r="AO274" s="19"/>
      <c r="AP274" s="19"/>
      <c r="AQ274" s="19"/>
      <c r="AR274" s="19"/>
      <c r="AS274" s="19"/>
      <c r="AT274" s="19"/>
      <c r="AU274" s="19"/>
      <c r="AV274" s="19"/>
      <c r="AW274" s="19"/>
      <c r="AX274" s="19"/>
      <c r="AY274" s="19"/>
      <c r="AZ274" s="19"/>
      <c r="BA274" s="19"/>
      <c r="BB274" s="19"/>
      <c r="BC274" s="19"/>
      <c r="BD274" s="19"/>
      <c r="BE274" s="19"/>
      <c r="BF274" s="19"/>
      <c r="BG274" s="19"/>
      <c r="BH274" s="19"/>
      <c r="BI274" s="19"/>
      <c r="BJ274" s="19"/>
      <c r="BK274" s="19"/>
      <c r="BL274" s="19"/>
      <c r="BM274" s="19"/>
      <c r="BN274" s="19"/>
      <c r="BO274" s="19"/>
      <c r="BP274" s="19"/>
      <c r="BQ274" s="19"/>
      <c r="BR274" s="19"/>
      <c r="BS274" s="19"/>
      <c r="BT274" s="19"/>
      <c r="BU274" s="19"/>
      <c r="BV274" s="19"/>
      <c r="BW274" s="19"/>
      <c r="BX274" s="19"/>
      <c r="BY274" s="19"/>
      <c r="BZ274" s="19"/>
      <c r="CA274" s="19"/>
      <c r="CB274" s="19"/>
      <c r="CC274" s="19"/>
      <c r="CD274" s="19"/>
      <c r="CE274" s="19"/>
      <c r="CF274" s="6"/>
    </row>
    <row r="275" spans="1:84">
      <c r="A275" s="17"/>
      <c r="B275" s="17"/>
      <c r="C275" s="17"/>
      <c r="D275" s="19"/>
      <c r="E275" s="20"/>
      <c r="F275" s="19"/>
      <c r="G275" s="19"/>
      <c r="H275" s="19"/>
      <c r="I275" s="19"/>
      <c r="J275" s="19"/>
      <c r="K275" s="19"/>
      <c r="L275" s="19"/>
      <c r="M275" s="19"/>
      <c r="N275" s="19"/>
      <c r="O275" s="19"/>
      <c r="P275" s="19"/>
      <c r="Q275" s="19"/>
      <c r="R275" s="19"/>
      <c r="S275" s="19"/>
      <c r="T275" s="19"/>
      <c r="U275" s="19"/>
      <c r="V275" s="19"/>
      <c r="W275" s="19"/>
      <c r="X275" s="19"/>
      <c r="Y275" s="19"/>
      <c r="Z275" s="19"/>
      <c r="AA275" s="19"/>
      <c r="AB275" s="19"/>
      <c r="AC275" s="19"/>
      <c r="AD275" s="19"/>
      <c r="AE275" s="19"/>
      <c r="AF275" s="19"/>
      <c r="AG275" s="19"/>
      <c r="AH275" s="19"/>
      <c r="AI275" s="19"/>
      <c r="AJ275" s="19"/>
      <c r="AK275" s="19"/>
      <c r="AL275" s="19"/>
      <c r="AM275" s="19"/>
      <c r="AN275" s="19"/>
      <c r="AO275" s="19"/>
      <c r="AP275" s="19"/>
      <c r="AQ275" s="19"/>
      <c r="AR275" s="19"/>
      <c r="AS275" s="19"/>
      <c r="AT275" s="19"/>
      <c r="AU275" s="19"/>
      <c r="AV275" s="19"/>
      <c r="AW275" s="19"/>
      <c r="AX275" s="19"/>
      <c r="AY275" s="19"/>
      <c r="AZ275" s="19"/>
      <c r="BA275" s="19"/>
      <c r="BB275" s="19"/>
      <c r="BC275" s="19"/>
      <c r="BD275" s="19"/>
      <c r="BE275" s="19"/>
      <c r="BF275" s="19"/>
      <c r="BG275" s="19"/>
      <c r="BH275" s="19"/>
      <c r="BI275" s="19"/>
      <c r="BJ275" s="19"/>
      <c r="BK275" s="19"/>
      <c r="BL275" s="19"/>
      <c r="BM275" s="19"/>
      <c r="BN275" s="19"/>
      <c r="BO275" s="19"/>
      <c r="BP275" s="19"/>
      <c r="BQ275" s="19"/>
      <c r="BR275" s="19"/>
      <c r="BS275" s="19"/>
      <c r="BT275" s="19"/>
      <c r="BU275" s="19"/>
      <c r="BV275" s="19"/>
      <c r="BW275" s="19"/>
      <c r="BX275" s="19"/>
      <c r="BY275" s="19"/>
      <c r="BZ275" s="19"/>
      <c r="CA275" s="19"/>
      <c r="CB275" s="19"/>
      <c r="CC275" s="19"/>
      <c r="CD275" s="19"/>
      <c r="CE275" s="19"/>
      <c r="CF275" s="6"/>
    </row>
    <row r="276" spans="1:84">
      <c r="A276" s="17"/>
      <c r="B276" s="17"/>
      <c r="C276" s="17"/>
      <c r="D276" s="19"/>
      <c r="E276" s="20"/>
      <c r="F276" s="19"/>
      <c r="G276" s="19"/>
      <c r="H276" s="19"/>
      <c r="I276" s="19"/>
      <c r="J276" s="19"/>
      <c r="K276" s="19"/>
      <c r="L276" s="19"/>
      <c r="M276" s="19"/>
      <c r="N276" s="19"/>
      <c r="O276" s="19"/>
      <c r="P276" s="19"/>
      <c r="Q276" s="19"/>
      <c r="R276" s="19"/>
      <c r="S276" s="19"/>
      <c r="T276" s="19"/>
      <c r="U276" s="19"/>
      <c r="V276" s="19"/>
      <c r="W276" s="19"/>
      <c r="X276" s="19"/>
      <c r="Y276" s="19"/>
      <c r="Z276" s="19"/>
      <c r="AA276" s="19"/>
      <c r="AB276" s="19"/>
      <c r="AC276" s="19"/>
      <c r="AD276" s="19"/>
      <c r="AE276" s="19"/>
      <c r="AF276" s="19"/>
      <c r="AG276" s="19"/>
      <c r="AH276" s="19"/>
      <c r="AI276" s="19"/>
      <c r="AJ276" s="19"/>
      <c r="AK276" s="19"/>
      <c r="AL276" s="19"/>
      <c r="AM276" s="19"/>
      <c r="AN276" s="19"/>
      <c r="AO276" s="19"/>
      <c r="AP276" s="19"/>
      <c r="AQ276" s="19"/>
      <c r="AR276" s="19"/>
      <c r="AS276" s="19"/>
      <c r="AT276" s="19"/>
      <c r="AU276" s="19"/>
      <c r="AV276" s="19"/>
      <c r="AW276" s="19"/>
      <c r="AX276" s="19"/>
      <c r="AY276" s="19"/>
      <c r="AZ276" s="19"/>
      <c r="BA276" s="19"/>
      <c r="BB276" s="19"/>
      <c r="BC276" s="19"/>
      <c r="BD276" s="19"/>
      <c r="BE276" s="19"/>
      <c r="BF276" s="19"/>
      <c r="BG276" s="19"/>
      <c r="BH276" s="19"/>
      <c r="BI276" s="19"/>
      <c r="BJ276" s="19"/>
      <c r="BK276" s="19"/>
      <c r="BL276" s="19"/>
      <c r="BM276" s="19"/>
      <c r="BN276" s="19"/>
      <c r="BO276" s="19"/>
      <c r="BP276" s="19"/>
      <c r="BQ276" s="19"/>
      <c r="BR276" s="19"/>
      <c r="BS276" s="19"/>
      <c r="BT276" s="19"/>
      <c r="BU276" s="19"/>
      <c r="BV276" s="19"/>
      <c r="BW276" s="19"/>
      <c r="BX276" s="19"/>
      <c r="BY276" s="19"/>
      <c r="BZ276" s="19"/>
      <c r="CA276" s="19"/>
      <c r="CB276" s="19"/>
      <c r="CC276" s="19"/>
      <c r="CD276" s="19"/>
      <c r="CE276" s="19"/>
      <c r="CF276" s="6"/>
    </row>
    <row r="277" spans="1:84">
      <c r="A277" s="17"/>
      <c r="B277" s="17"/>
      <c r="C277" s="17"/>
      <c r="D277" s="19"/>
      <c r="E277" s="20"/>
      <c r="F277" s="19"/>
      <c r="G277" s="19"/>
      <c r="H277" s="19"/>
      <c r="I277" s="19"/>
      <c r="J277" s="19"/>
      <c r="K277" s="19"/>
      <c r="L277" s="19"/>
      <c r="M277" s="19"/>
      <c r="N277" s="19"/>
      <c r="O277" s="19"/>
      <c r="P277" s="19"/>
      <c r="Q277" s="19"/>
      <c r="R277" s="19"/>
      <c r="S277" s="19"/>
      <c r="T277" s="19"/>
      <c r="U277" s="19"/>
      <c r="V277" s="19"/>
      <c r="W277" s="19"/>
      <c r="X277" s="19"/>
      <c r="Y277" s="19"/>
      <c r="Z277" s="19"/>
      <c r="AA277" s="19"/>
      <c r="AB277" s="19"/>
      <c r="AC277" s="19"/>
      <c r="AD277" s="19"/>
      <c r="AE277" s="19"/>
      <c r="AF277" s="19"/>
      <c r="AG277" s="19"/>
      <c r="AH277" s="19"/>
      <c r="AI277" s="19"/>
      <c r="AJ277" s="19"/>
      <c r="AK277" s="19"/>
      <c r="AL277" s="19"/>
      <c r="AM277" s="19"/>
      <c r="AN277" s="19"/>
      <c r="AO277" s="19"/>
      <c r="AP277" s="19"/>
      <c r="AQ277" s="19"/>
      <c r="AR277" s="19"/>
      <c r="AS277" s="19"/>
      <c r="AT277" s="19"/>
      <c r="AU277" s="19"/>
      <c r="AV277" s="19"/>
      <c r="AW277" s="19"/>
      <c r="AX277" s="19"/>
      <c r="AY277" s="19"/>
      <c r="AZ277" s="19"/>
      <c r="BA277" s="19"/>
      <c r="BB277" s="19"/>
      <c r="BC277" s="19"/>
      <c r="BD277" s="19"/>
      <c r="BE277" s="19"/>
      <c r="BF277" s="19"/>
      <c r="BG277" s="19"/>
      <c r="BH277" s="19"/>
      <c r="BI277" s="19"/>
      <c r="BJ277" s="19"/>
      <c r="BK277" s="19"/>
      <c r="BL277" s="19"/>
      <c r="BM277" s="19"/>
      <c r="BN277" s="19"/>
      <c r="BO277" s="19"/>
      <c r="BP277" s="19"/>
      <c r="BQ277" s="19"/>
      <c r="BR277" s="19"/>
      <c r="BS277" s="19"/>
      <c r="BT277" s="19"/>
      <c r="BU277" s="19"/>
      <c r="BV277" s="19"/>
      <c r="BW277" s="19"/>
      <c r="BX277" s="19"/>
      <c r="BY277" s="19"/>
      <c r="BZ277" s="19"/>
      <c r="CA277" s="19"/>
      <c r="CB277" s="19"/>
      <c r="CC277" s="19"/>
      <c r="CD277" s="19"/>
      <c r="CE277" s="19"/>
      <c r="CF277" s="6"/>
    </row>
    <row r="278" spans="1:84">
      <c r="A278" s="17"/>
      <c r="B278" s="17"/>
      <c r="C278" s="17"/>
      <c r="D278" s="19"/>
      <c r="E278" s="20"/>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19"/>
      <c r="AE278" s="19"/>
      <c r="AF278" s="19"/>
      <c r="AG278" s="19"/>
      <c r="AH278" s="19"/>
      <c r="AI278" s="19"/>
      <c r="AJ278" s="19"/>
      <c r="AK278" s="19"/>
      <c r="AL278" s="19"/>
      <c r="AM278" s="19"/>
      <c r="AN278" s="19"/>
      <c r="AO278" s="19"/>
      <c r="AP278" s="19"/>
      <c r="AQ278" s="19"/>
      <c r="AR278" s="19"/>
      <c r="AS278" s="19"/>
      <c r="AT278" s="19"/>
      <c r="AU278" s="19"/>
      <c r="AV278" s="19"/>
      <c r="AW278" s="19"/>
      <c r="AX278" s="19"/>
      <c r="AY278" s="19"/>
      <c r="AZ278" s="19"/>
      <c r="BA278" s="19"/>
      <c r="BB278" s="19"/>
      <c r="BC278" s="19"/>
      <c r="BD278" s="19"/>
      <c r="BE278" s="19"/>
      <c r="BF278" s="19"/>
      <c r="BG278" s="19"/>
      <c r="BH278" s="19"/>
      <c r="BI278" s="19"/>
      <c r="BJ278" s="19"/>
      <c r="BK278" s="19"/>
      <c r="BL278" s="19"/>
      <c r="BM278" s="19"/>
      <c r="BN278" s="19"/>
      <c r="BO278" s="19"/>
      <c r="BP278" s="19"/>
      <c r="BQ278" s="19"/>
      <c r="BR278" s="19"/>
      <c r="BS278" s="19"/>
      <c r="BT278" s="19"/>
      <c r="BU278" s="19"/>
      <c r="BV278" s="19"/>
      <c r="BW278" s="19"/>
      <c r="BX278" s="19"/>
      <c r="BY278" s="19"/>
      <c r="BZ278" s="19"/>
      <c r="CA278" s="19"/>
      <c r="CB278" s="19"/>
      <c r="CC278" s="19"/>
      <c r="CD278" s="19"/>
      <c r="CE278" s="19"/>
      <c r="CF278" s="6"/>
    </row>
    <row r="279" spans="1:84">
      <c r="A279" s="17"/>
      <c r="B279" s="17"/>
      <c r="C279" s="17"/>
      <c r="D279" s="19"/>
      <c r="E279" s="20"/>
      <c r="F279" s="19"/>
      <c r="G279" s="19"/>
      <c r="H279" s="19"/>
      <c r="I279" s="19"/>
      <c r="J279" s="19"/>
      <c r="K279" s="19"/>
      <c r="L279" s="19"/>
      <c r="M279" s="19"/>
      <c r="N279" s="19"/>
      <c r="O279" s="19"/>
      <c r="P279" s="19"/>
      <c r="Q279" s="19"/>
      <c r="R279" s="19"/>
      <c r="S279" s="19"/>
      <c r="T279" s="19"/>
      <c r="U279" s="19"/>
      <c r="V279" s="19"/>
      <c r="W279" s="19"/>
      <c r="X279" s="19"/>
      <c r="Y279" s="19"/>
      <c r="Z279" s="19"/>
      <c r="AA279" s="19"/>
      <c r="AB279" s="19"/>
      <c r="AC279" s="19"/>
      <c r="AD279" s="19"/>
      <c r="AE279" s="19"/>
      <c r="AF279" s="19"/>
      <c r="AG279" s="19"/>
      <c r="AH279" s="19"/>
      <c r="AI279" s="19"/>
      <c r="AJ279" s="19"/>
      <c r="AK279" s="19"/>
      <c r="AL279" s="19"/>
      <c r="AM279" s="19"/>
      <c r="AN279" s="19"/>
      <c r="AO279" s="19"/>
      <c r="AP279" s="19"/>
      <c r="AQ279" s="19"/>
      <c r="AR279" s="19"/>
      <c r="AS279" s="19"/>
      <c r="AT279" s="19"/>
      <c r="AU279" s="19"/>
      <c r="AV279" s="19"/>
      <c r="AW279" s="19"/>
      <c r="AX279" s="19"/>
      <c r="AY279" s="19"/>
      <c r="AZ279" s="19"/>
      <c r="BA279" s="19"/>
      <c r="BB279" s="19"/>
      <c r="BC279" s="19"/>
      <c r="BD279" s="19"/>
      <c r="BE279" s="19"/>
      <c r="BF279" s="19"/>
      <c r="BG279" s="19"/>
      <c r="BH279" s="19"/>
      <c r="BI279" s="19"/>
      <c r="BJ279" s="19"/>
      <c r="BK279" s="19"/>
      <c r="BL279" s="19"/>
      <c r="BM279" s="19"/>
      <c r="BN279" s="19"/>
      <c r="BO279" s="19"/>
      <c r="BP279" s="19"/>
      <c r="BQ279" s="19"/>
      <c r="BR279" s="19"/>
      <c r="BS279" s="19"/>
      <c r="BT279" s="19"/>
      <c r="BU279" s="19"/>
      <c r="BV279" s="19"/>
      <c r="BW279" s="19"/>
      <c r="BX279" s="19"/>
      <c r="BY279" s="19"/>
      <c r="BZ279" s="19"/>
      <c r="CA279" s="19"/>
      <c r="CB279" s="19"/>
      <c r="CC279" s="19"/>
      <c r="CD279" s="19"/>
      <c r="CE279" s="19"/>
      <c r="CF279" s="6"/>
    </row>
    <row r="280" spans="1:84">
      <c r="A280" s="17"/>
      <c r="B280" s="17"/>
      <c r="C280" s="17"/>
      <c r="D280" s="19"/>
      <c r="E280" s="20"/>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9"/>
      <c r="AE280" s="19"/>
      <c r="AF280" s="19"/>
      <c r="AG280" s="19"/>
      <c r="AH280" s="19"/>
      <c r="AI280" s="19"/>
      <c r="AJ280" s="19"/>
      <c r="AK280" s="19"/>
      <c r="AL280" s="19"/>
      <c r="AM280" s="19"/>
      <c r="AN280" s="19"/>
      <c r="AO280" s="19"/>
      <c r="AP280" s="19"/>
      <c r="AQ280" s="19"/>
      <c r="AR280" s="19"/>
      <c r="AS280" s="19"/>
      <c r="AT280" s="19"/>
      <c r="AU280" s="19"/>
      <c r="AV280" s="19"/>
      <c r="AW280" s="19"/>
      <c r="AX280" s="19"/>
      <c r="AY280" s="19"/>
      <c r="AZ280" s="19"/>
      <c r="BA280" s="19"/>
      <c r="BB280" s="19"/>
      <c r="BC280" s="19"/>
      <c r="BD280" s="19"/>
      <c r="BE280" s="19"/>
      <c r="BF280" s="19"/>
      <c r="BG280" s="19"/>
      <c r="BH280" s="19"/>
      <c r="BI280" s="19"/>
      <c r="BJ280" s="19"/>
      <c r="BK280" s="19"/>
      <c r="BL280" s="19"/>
      <c r="BM280" s="19"/>
      <c r="BN280" s="19"/>
      <c r="BO280" s="19"/>
      <c r="BP280" s="19"/>
      <c r="BQ280" s="19"/>
      <c r="BR280" s="19"/>
      <c r="BS280" s="19"/>
      <c r="BT280" s="19"/>
      <c r="BU280" s="19"/>
      <c r="BV280" s="19"/>
      <c r="BW280" s="19"/>
      <c r="BX280" s="19"/>
      <c r="BY280" s="19"/>
      <c r="BZ280" s="19"/>
      <c r="CA280" s="19"/>
      <c r="CB280" s="19"/>
      <c r="CC280" s="19"/>
      <c r="CD280" s="19"/>
      <c r="CE280" s="19"/>
      <c r="CF280" s="6"/>
    </row>
    <row r="281" spans="1:84">
      <c r="A281" s="17"/>
      <c r="B281" s="17"/>
      <c r="C281" s="17"/>
      <c r="D281" s="19"/>
      <c r="E281" s="20"/>
      <c r="F281" s="19"/>
      <c r="G281" s="19"/>
      <c r="H281" s="19"/>
      <c r="I281" s="19"/>
      <c r="J281" s="19"/>
      <c r="K281" s="19"/>
      <c r="L281" s="19"/>
      <c r="M281" s="19"/>
      <c r="N281" s="19"/>
      <c r="O281" s="19"/>
      <c r="P281" s="19"/>
      <c r="Q281" s="19"/>
      <c r="R281" s="19"/>
      <c r="S281" s="19"/>
      <c r="T281" s="19"/>
      <c r="U281" s="19"/>
      <c r="V281" s="19"/>
      <c r="W281" s="19"/>
      <c r="X281" s="19"/>
      <c r="Y281" s="19"/>
      <c r="Z281" s="19"/>
      <c r="AA281" s="19"/>
      <c r="AB281" s="19"/>
      <c r="AC281" s="19"/>
      <c r="AD281" s="19"/>
      <c r="AE281" s="19"/>
      <c r="AF281" s="19"/>
      <c r="AG281" s="19"/>
      <c r="AH281" s="19"/>
      <c r="AI281" s="19"/>
      <c r="AJ281" s="19"/>
      <c r="AK281" s="19"/>
      <c r="AL281" s="19"/>
      <c r="AM281" s="19"/>
      <c r="AN281" s="19"/>
      <c r="AO281" s="19"/>
      <c r="AP281" s="19"/>
      <c r="AQ281" s="19"/>
      <c r="AR281" s="19"/>
      <c r="AS281" s="19"/>
      <c r="AT281" s="19"/>
      <c r="AU281" s="19"/>
      <c r="AV281" s="19"/>
      <c r="AW281" s="19"/>
      <c r="AX281" s="19"/>
      <c r="AY281" s="19"/>
      <c r="AZ281" s="19"/>
      <c r="BA281" s="19"/>
      <c r="BB281" s="19"/>
      <c r="BC281" s="19"/>
      <c r="BD281" s="19"/>
      <c r="BE281" s="19"/>
      <c r="BF281" s="19"/>
      <c r="BG281" s="19"/>
      <c r="BH281" s="19"/>
      <c r="BI281" s="19"/>
      <c r="BJ281" s="19"/>
      <c r="BK281" s="19"/>
      <c r="BL281" s="19"/>
      <c r="BM281" s="19"/>
      <c r="BN281" s="19"/>
      <c r="BO281" s="19"/>
      <c r="BP281" s="19"/>
      <c r="BQ281" s="19"/>
      <c r="BR281" s="19"/>
      <c r="BS281" s="19"/>
      <c r="BT281" s="19"/>
      <c r="BU281" s="19"/>
      <c r="BV281" s="19"/>
      <c r="BW281" s="19"/>
      <c r="BX281" s="19"/>
      <c r="BY281" s="19"/>
      <c r="BZ281" s="19"/>
      <c r="CA281" s="19"/>
      <c r="CB281" s="19"/>
      <c r="CC281" s="19"/>
      <c r="CD281" s="19"/>
      <c r="CE281" s="19"/>
      <c r="CF281" s="6"/>
    </row>
    <row r="282" spans="1:84">
      <c r="A282" s="17"/>
      <c r="B282" s="17"/>
      <c r="C282" s="17"/>
      <c r="D282" s="19"/>
      <c r="E282" s="20"/>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9"/>
      <c r="AE282" s="19"/>
      <c r="AF282" s="19"/>
      <c r="AG282" s="19"/>
      <c r="AH282" s="19"/>
      <c r="AI282" s="19"/>
      <c r="AJ282" s="19"/>
      <c r="AK282" s="19"/>
      <c r="AL282" s="19"/>
      <c r="AM282" s="19"/>
      <c r="AN282" s="19"/>
      <c r="AO282" s="19"/>
      <c r="AP282" s="19"/>
      <c r="AQ282" s="19"/>
      <c r="AR282" s="19"/>
      <c r="AS282" s="19"/>
      <c r="AT282" s="19"/>
      <c r="AU282" s="19"/>
      <c r="AV282" s="19"/>
      <c r="AW282" s="19"/>
      <c r="AX282" s="19"/>
      <c r="AY282" s="19"/>
      <c r="AZ282" s="19"/>
      <c r="BA282" s="19"/>
      <c r="BB282" s="19"/>
      <c r="BC282" s="19"/>
      <c r="BD282" s="19"/>
      <c r="BE282" s="19"/>
      <c r="BF282" s="19"/>
      <c r="BG282" s="19"/>
      <c r="BH282" s="19"/>
      <c r="BI282" s="19"/>
      <c r="BJ282" s="19"/>
      <c r="BK282" s="19"/>
      <c r="BL282" s="19"/>
      <c r="BM282" s="19"/>
      <c r="BN282" s="19"/>
      <c r="BO282" s="19"/>
      <c r="BP282" s="19"/>
      <c r="BQ282" s="19"/>
      <c r="BR282" s="19"/>
      <c r="BS282" s="19"/>
      <c r="BT282" s="19"/>
      <c r="BU282" s="19"/>
      <c r="BV282" s="19"/>
      <c r="BW282" s="19"/>
      <c r="BX282" s="19"/>
      <c r="BY282" s="19"/>
      <c r="BZ282" s="19"/>
      <c r="CA282" s="19"/>
      <c r="CB282" s="19"/>
      <c r="CC282" s="19"/>
      <c r="CD282" s="19"/>
      <c r="CE282" s="19"/>
      <c r="CF282" s="6"/>
    </row>
    <row r="283" spans="1:84">
      <c r="A283" s="17"/>
      <c r="B283" s="17"/>
      <c r="C283" s="17"/>
      <c r="D283" s="19"/>
      <c r="E283" s="20"/>
      <c r="F283" s="19"/>
      <c r="G283" s="19"/>
      <c r="H283" s="19"/>
      <c r="I283" s="19"/>
      <c r="J283" s="19"/>
      <c r="K283" s="19"/>
      <c r="L283" s="19"/>
      <c r="M283" s="19"/>
      <c r="N283" s="19"/>
      <c r="O283" s="19"/>
      <c r="P283" s="19"/>
      <c r="Q283" s="19"/>
      <c r="R283" s="19"/>
      <c r="S283" s="19"/>
      <c r="T283" s="19"/>
      <c r="U283" s="19"/>
      <c r="V283" s="19"/>
      <c r="W283" s="19"/>
      <c r="X283" s="19"/>
      <c r="Y283" s="19"/>
      <c r="Z283" s="19"/>
      <c r="AA283" s="19"/>
      <c r="AB283" s="19"/>
      <c r="AC283" s="19"/>
      <c r="AD283" s="19"/>
      <c r="AE283" s="19"/>
      <c r="AF283" s="19"/>
      <c r="AG283" s="19"/>
      <c r="AH283" s="19"/>
      <c r="AI283" s="19"/>
      <c r="AJ283" s="19"/>
      <c r="AK283" s="19"/>
      <c r="AL283" s="19"/>
      <c r="AM283" s="19"/>
      <c r="AN283" s="19"/>
      <c r="AO283" s="19"/>
      <c r="AP283" s="19"/>
      <c r="AQ283" s="19"/>
      <c r="AR283" s="19"/>
      <c r="AS283" s="19"/>
      <c r="AT283" s="19"/>
      <c r="AU283" s="19"/>
      <c r="AV283" s="19"/>
      <c r="AW283" s="19"/>
      <c r="AX283" s="19"/>
      <c r="AY283" s="19"/>
      <c r="AZ283" s="19"/>
      <c r="BA283" s="19"/>
      <c r="BB283" s="19"/>
      <c r="BC283" s="19"/>
      <c r="BD283" s="19"/>
      <c r="BE283" s="19"/>
      <c r="BF283" s="19"/>
      <c r="BG283" s="19"/>
      <c r="BH283" s="19"/>
      <c r="BI283" s="19"/>
      <c r="BJ283" s="19"/>
      <c r="BK283" s="19"/>
      <c r="BL283" s="19"/>
      <c r="BM283" s="19"/>
      <c r="BN283" s="19"/>
      <c r="BO283" s="19"/>
      <c r="BP283" s="19"/>
      <c r="BQ283" s="19"/>
      <c r="BR283" s="19"/>
      <c r="BS283" s="19"/>
      <c r="BT283" s="19"/>
      <c r="BU283" s="19"/>
      <c r="BV283" s="19"/>
      <c r="BW283" s="19"/>
      <c r="BX283" s="19"/>
      <c r="BY283" s="19"/>
      <c r="BZ283" s="19"/>
      <c r="CA283" s="19"/>
      <c r="CB283" s="19"/>
      <c r="CC283" s="19"/>
      <c r="CD283" s="19"/>
      <c r="CE283" s="19"/>
      <c r="CF283" s="6"/>
    </row>
    <row r="284" spans="1:84">
      <c r="A284" s="17"/>
      <c r="B284" s="17"/>
      <c r="C284" s="17"/>
      <c r="D284" s="19"/>
      <c r="E284" s="20"/>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9"/>
      <c r="AD284" s="19"/>
      <c r="AE284" s="19"/>
      <c r="AF284" s="19"/>
      <c r="AG284" s="19"/>
      <c r="AH284" s="19"/>
      <c r="AI284" s="19"/>
      <c r="AJ284" s="19"/>
      <c r="AK284" s="19"/>
      <c r="AL284" s="19"/>
      <c r="AM284" s="19"/>
      <c r="AN284" s="19"/>
      <c r="AO284" s="19"/>
      <c r="AP284" s="19"/>
      <c r="AQ284" s="19"/>
      <c r="AR284" s="19"/>
      <c r="AS284" s="19"/>
      <c r="AT284" s="19"/>
      <c r="AU284" s="19"/>
      <c r="AV284" s="19"/>
      <c r="AW284" s="19"/>
      <c r="AX284" s="19"/>
      <c r="AY284" s="19"/>
      <c r="AZ284" s="19"/>
      <c r="BA284" s="19"/>
      <c r="BB284" s="19"/>
      <c r="BC284" s="19"/>
      <c r="BD284" s="19"/>
      <c r="BE284" s="19"/>
      <c r="BF284" s="19"/>
      <c r="BG284" s="19"/>
      <c r="BH284" s="19"/>
      <c r="BI284" s="19"/>
      <c r="BJ284" s="19"/>
      <c r="BK284" s="19"/>
      <c r="BL284" s="19"/>
      <c r="BM284" s="19"/>
      <c r="BN284" s="19"/>
      <c r="BO284" s="19"/>
      <c r="BP284" s="19"/>
      <c r="BQ284" s="19"/>
      <c r="BR284" s="19"/>
      <c r="BS284" s="19"/>
      <c r="BT284" s="19"/>
      <c r="BU284" s="19"/>
      <c r="BV284" s="19"/>
      <c r="BW284" s="19"/>
      <c r="BX284" s="19"/>
      <c r="BY284" s="19"/>
      <c r="BZ284" s="19"/>
      <c r="CA284" s="19"/>
      <c r="CB284" s="19"/>
      <c r="CC284" s="19"/>
      <c r="CD284" s="19"/>
      <c r="CE284" s="19"/>
      <c r="CF284" s="6"/>
    </row>
    <row r="285" spans="1:84">
      <c r="A285" s="17"/>
      <c r="B285" s="17"/>
      <c r="C285" s="17"/>
      <c r="D285" s="19"/>
      <c r="E285" s="19"/>
      <c r="F285" s="19"/>
      <c r="G285" s="19"/>
      <c r="H285" s="19"/>
      <c r="I285" s="19"/>
      <c r="J285" s="19"/>
      <c r="K285" s="19"/>
      <c r="L285" s="19"/>
      <c r="M285" s="19"/>
      <c r="N285" s="19"/>
      <c r="O285" s="19"/>
      <c r="P285" s="19"/>
      <c r="Q285" s="19"/>
      <c r="R285" s="19"/>
      <c r="S285" s="19"/>
      <c r="T285" s="19"/>
      <c r="U285" s="19"/>
      <c r="V285" s="19"/>
      <c r="W285" s="19"/>
      <c r="X285" s="19"/>
      <c r="Y285" s="19"/>
      <c r="Z285" s="19"/>
      <c r="AA285" s="19"/>
      <c r="AB285" s="19"/>
      <c r="AC285" s="19"/>
      <c r="AD285" s="19"/>
      <c r="AE285" s="19"/>
      <c r="AF285" s="19"/>
      <c r="AG285" s="19"/>
      <c r="AH285" s="19"/>
      <c r="AI285" s="19"/>
      <c r="AJ285" s="19"/>
      <c r="AK285" s="19"/>
      <c r="AL285" s="19"/>
      <c r="AM285" s="19"/>
      <c r="AN285" s="19"/>
      <c r="AO285" s="19"/>
      <c r="AP285" s="19"/>
      <c r="AQ285" s="19"/>
      <c r="AR285" s="19"/>
      <c r="AS285" s="19"/>
      <c r="AT285" s="19"/>
      <c r="AU285" s="19"/>
      <c r="AV285" s="19"/>
      <c r="AW285" s="19"/>
      <c r="AX285" s="19"/>
      <c r="AY285" s="19"/>
      <c r="AZ285" s="19"/>
      <c r="BA285" s="19"/>
      <c r="BB285" s="19"/>
      <c r="BC285" s="19"/>
      <c r="BD285" s="19"/>
      <c r="BE285" s="19"/>
      <c r="BF285" s="19"/>
      <c r="BG285" s="19"/>
      <c r="BH285" s="19"/>
      <c r="BI285" s="19"/>
      <c r="BJ285" s="19"/>
      <c r="BK285" s="19"/>
      <c r="BL285" s="19"/>
      <c r="BM285" s="19"/>
      <c r="BN285" s="19"/>
      <c r="BO285" s="19"/>
      <c r="BP285" s="19"/>
      <c r="BQ285" s="19"/>
      <c r="BR285" s="19"/>
      <c r="BS285" s="19"/>
      <c r="BT285" s="19"/>
      <c r="BU285" s="19"/>
      <c r="BV285" s="19"/>
      <c r="BW285" s="19"/>
      <c r="BX285" s="19"/>
      <c r="BY285" s="19"/>
      <c r="BZ285" s="19"/>
      <c r="CA285" s="19"/>
      <c r="CB285" s="19"/>
      <c r="CC285" s="19"/>
      <c r="CD285" s="19"/>
      <c r="CE285" s="19"/>
      <c r="CF285" s="6"/>
    </row>
    <row r="286" spans="1:84">
      <c r="A286" s="17"/>
      <c r="B286" s="17"/>
      <c r="C286" s="17"/>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9"/>
      <c r="AD286" s="19"/>
      <c r="AE286" s="19"/>
      <c r="AF286" s="19"/>
      <c r="AG286" s="19"/>
      <c r="AH286" s="19"/>
      <c r="AI286" s="19"/>
      <c r="AJ286" s="19"/>
      <c r="AK286" s="19"/>
      <c r="AL286" s="19"/>
      <c r="AM286" s="19"/>
      <c r="AN286" s="19"/>
      <c r="AO286" s="19"/>
      <c r="AP286" s="19"/>
      <c r="AQ286" s="19"/>
      <c r="AR286" s="19"/>
      <c r="AS286" s="19"/>
      <c r="AT286" s="19"/>
      <c r="AU286" s="19"/>
      <c r="AV286" s="19"/>
      <c r="AW286" s="19"/>
      <c r="AX286" s="19"/>
      <c r="AY286" s="19"/>
      <c r="AZ286" s="19"/>
      <c r="BA286" s="19"/>
      <c r="BB286" s="19"/>
      <c r="BC286" s="19"/>
      <c r="BD286" s="19"/>
      <c r="BE286" s="19"/>
      <c r="BF286" s="19"/>
      <c r="BG286" s="19"/>
      <c r="BH286" s="19"/>
      <c r="BI286" s="19"/>
      <c r="BJ286" s="19"/>
      <c r="BK286" s="19"/>
      <c r="BL286" s="19"/>
      <c r="BM286" s="19"/>
      <c r="BN286" s="19"/>
      <c r="BO286" s="19"/>
      <c r="BP286" s="19"/>
      <c r="BQ286" s="19"/>
      <c r="BR286" s="19"/>
      <c r="BS286" s="19"/>
      <c r="BT286" s="19"/>
      <c r="BU286" s="19"/>
      <c r="BV286" s="19"/>
      <c r="BW286" s="19"/>
      <c r="BX286" s="19"/>
      <c r="BY286" s="19"/>
      <c r="BZ286" s="19"/>
      <c r="CA286" s="19"/>
      <c r="CB286" s="19"/>
      <c r="CC286" s="19"/>
      <c r="CD286" s="19"/>
      <c r="CE286" s="19"/>
      <c r="CF286" s="6"/>
    </row>
    <row r="287" spans="1:84">
      <c r="A287" s="17"/>
      <c r="B287" s="17"/>
      <c r="C287" s="17"/>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19"/>
      <c r="AG287" s="19"/>
      <c r="AH287" s="19"/>
      <c r="AI287" s="19"/>
      <c r="AJ287" s="19"/>
      <c r="AK287" s="19"/>
      <c r="AL287" s="19"/>
      <c r="AM287" s="19"/>
      <c r="AN287" s="19"/>
      <c r="AO287" s="19"/>
      <c r="AP287" s="19"/>
      <c r="AQ287" s="19"/>
      <c r="AR287" s="19"/>
      <c r="AS287" s="19"/>
      <c r="AT287" s="19"/>
      <c r="AU287" s="19"/>
      <c r="AV287" s="19"/>
      <c r="AW287" s="19"/>
      <c r="AX287" s="19"/>
      <c r="AY287" s="19"/>
      <c r="AZ287" s="19"/>
      <c r="BA287" s="19"/>
      <c r="BB287" s="19"/>
      <c r="BC287" s="19"/>
      <c r="BD287" s="19"/>
      <c r="BE287" s="19"/>
      <c r="BF287" s="19"/>
      <c r="BG287" s="19"/>
      <c r="BH287" s="19"/>
      <c r="BI287" s="19"/>
      <c r="BJ287" s="19"/>
      <c r="BK287" s="19"/>
      <c r="BL287" s="19"/>
      <c r="BM287" s="19"/>
      <c r="BN287" s="19"/>
      <c r="BO287" s="19"/>
      <c r="BP287" s="19"/>
      <c r="BQ287" s="19"/>
      <c r="BR287" s="19"/>
      <c r="BS287" s="19"/>
      <c r="BT287" s="19"/>
      <c r="BU287" s="19"/>
      <c r="BV287" s="19"/>
      <c r="BW287" s="19"/>
      <c r="BX287" s="19"/>
      <c r="BY287" s="19"/>
      <c r="BZ287" s="19"/>
      <c r="CA287" s="19"/>
      <c r="CB287" s="19"/>
      <c r="CC287" s="19"/>
      <c r="CD287" s="19"/>
      <c r="CE287" s="19"/>
      <c r="CF287" s="6"/>
    </row>
    <row r="288" spans="1:84">
      <c r="A288" s="17"/>
      <c r="B288" s="17"/>
      <c r="C288" s="17"/>
      <c r="D288" s="19"/>
      <c r="E288" s="19"/>
      <c r="F288" s="19"/>
      <c r="G288" s="19"/>
      <c r="H288" s="19"/>
      <c r="I288" s="19"/>
      <c r="J288" s="19"/>
      <c r="K288" s="19"/>
      <c r="L288" s="19"/>
      <c r="M288" s="19"/>
      <c r="N288" s="19"/>
      <c r="O288" s="19"/>
      <c r="P288" s="19"/>
      <c r="Q288" s="19"/>
      <c r="R288" s="19"/>
      <c r="S288" s="19"/>
      <c r="T288" s="19"/>
      <c r="U288" s="19"/>
      <c r="V288" s="19"/>
      <c r="W288" s="19"/>
      <c r="X288" s="19"/>
      <c r="Y288" s="19"/>
      <c r="Z288" s="19"/>
      <c r="AA288" s="19"/>
      <c r="AB288" s="19"/>
      <c r="AC288" s="19"/>
      <c r="AD288" s="19"/>
      <c r="AE288" s="19"/>
      <c r="AF288" s="19"/>
      <c r="AG288" s="19"/>
      <c r="AH288" s="19"/>
      <c r="AI288" s="19"/>
      <c r="AJ288" s="19"/>
      <c r="AK288" s="19"/>
      <c r="AL288" s="19"/>
      <c r="AM288" s="19"/>
      <c r="AN288" s="19"/>
      <c r="AO288" s="19"/>
      <c r="AP288" s="19"/>
      <c r="AQ288" s="19"/>
      <c r="AR288" s="19"/>
      <c r="AS288" s="19"/>
      <c r="AT288" s="19"/>
      <c r="AU288" s="19"/>
      <c r="AV288" s="19"/>
      <c r="AW288" s="19"/>
      <c r="AX288" s="19"/>
      <c r="AY288" s="19"/>
      <c r="AZ288" s="19"/>
      <c r="BA288" s="19"/>
      <c r="BB288" s="19"/>
      <c r="BC288" s="19"/>
      <c r="BD288" s="19"/>
      <c r="BE288" s="19"/>
      <c r="BF288" s="19"/>
      <c r="BG288" s="19"/>
      <c r="BH288" s="19"/>
      <c r="BI288" s="19"/>
      <c r="BJ288" s="19"/>
      <c r="BK288" s="19"/>
      <c r="BL288" s="19"/>
      <c r="BM288" s="19"/>
      <c r="BN288" s="19"/>
      <c r="BO288" s="19"/>
      <c r="BP288" s="19"/>
      <c r="BQ288" s="19"/>
      <c r="BR288" s="19"/>
      <c r="BS288" s="19"/>
      <c r="BT288" s="19"/>
      <c r="BU288" s="19"/>
      <c r="BV288" s="19"/>
      <c r="BW288" s="19"/>
      <c r="BX288" s="19"/>
      <c r="BY288" s="19"/>
      <c r="BZ288" s="19"/>
      <c r="CA288" s="19"/>
      <c r="CB288" s="19"/>
      <c r="CC288" s="19"/>
      <c r="CD288" s="19"/>
      <c r="CE288" s="19"/>
      <c r="CF288" s="6"/>
    </row>
    <row r="289" spans="1:84">
      <c r="A289" s="17"/>
      <c r="B289" s="17"/>
      <c r="C289" s="17"/>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19"/>
      <c r="AE289" s="19"/>
      <c r="AF289" s="19"/>
      <c r="AG289" s="19"/>
      <c r="AH289" s="19"/>
      <c r="AI289" s="19"/>
      <c r="AJ289" s="19"/>
      <c r="AK289" s="19"/>
      <c r="AL289" s="19"/>
      <c r="AM289" s="19"/>
      <c r="AN289" s="19"/>
      <c r="AO289" s="19"/>
      <c r="AP289" s="19"/>
      <c r="AQ289" s="19"/>
      <c r="AR289" s="19"/>
      <c r="AS289" s="19"/>
      <c r="AT289" s="19"/>
      <c r="AU289" s="19"/>
      <c r="AV289" s="19"/>
      <c r="AW289" s="19"/>
      <c r="AX289" s="19"/>
      <c r="AY289" s="19"/>
      <c r="AZ289" s="19"/>
      <c r="BA289" s="19"/>
      <c r="BB289" s="19"/>
      <c r="BC289" s="19"/>
      <c r="BD289" s="19"/>
      <c r="BE289" s="19"/>
      <c r="BF289" s="19"/>
      <c r="BG289" s="19"/>
      <c r="BH289" s="19"/>
      <c r="BI289" s="19"/>
      <c r="BJ289" s="19"/>
      <c r="BK289" s="19"/>
      <c r="BL289" s="19"/>
      <c r="BM289" s="19"/>
      <c r="BN289" s="19"/>
      <c r="BO289" s="19"/>
      <c r="BP289" s="19"/>
      <c r="BQ289" s="19"/>
      <c r="BR289" s="19"/>
      <c r="BS289" s="19"/>
      <c r="BT289" s="19"/>
      <c r="BU289" s="19"/>
      <c r="BV289" s="19"/>
      <c r="BW289" s="19"/>
      <c r="BX289" s="19"/>
      <c r="BY289" s="19"/>
      <c r="BZ289" s="19"/>
      <c r="CA289" s="19"/>
      <c r="CB289" s="19"/>
      <c r="CC289" s="19"/>
      <c r="CD289" s="19"/>
      <c r="CE289" s="19"/>
      <c r="CF289" s="6"/>
    </row>
    <row r="290" spans="1:84">
      <c r="A290" s="17"/>
      <c r="B290" s="17"/>
      <c r="C290" s="17"/>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19"/>
      <c r="AE290" s="19"/>
      <c r="AF290" s="19"/>
      <c r="AG290" s="19"/>
      <c r="AH290" s="19"/>
      <c r="AI290" s="19"/>
      <c r="AJ290" s="19"/>
      <c r="AK290" s="19"/>
      <c r="AL290" s="19"/>
      <c r="AM290" s="19"/>
      <c r="AN290" s="19"/>
      <c r="AO290" s="19"/>
      <c r="AP290" s="19"/>
      <c r="AQ290" s="19"/>
      <c r="AR290" s="19"/>
      <c r="AS290" s="19"/>
      <c r="AT290" s="19"/>
      <c r="AU290" s="19"/>
      <c r="AV290" s="19"/>
      <c r="AW290" s="19"/>
      <c r="AX290" s="19"/>
      <c r="AY290" s="19"/>
      <c r="AZ290" s="19"/>
      <c r="BA290" s="19"/>
      <c r="BB290" s="19"/>
      <c r="BC290" s="19"/>
      <c r="BD290" s="19"/>
      <c r="BE290" s="19"/>
      <c r="BF290" s="19"/>
      <c r="BG290" s="19"/>
      <c r="BH290" s="19"/>
      <c r="BI290" s="19"/>
      <c r="BJ290" s="19"/>
      <c r="BK290" s="19"/>
      <c r="BL290" s="19"/>
      <c r="BM290" s="19"/>
      <c r="BN290" s="19"/>
      <c r="BO290" s="19"/>
      <c r="BP290" s="19"/>
      <c r="BQ290" s="19"/>
      <c r="BR290" s="19"/>
      <c r="BS290" s="19"/>
      <c r="BT290" s="19"/>
      <c r="BU290" s="19"/>
      <c r="BV290" s="19"/>
      <c r="BW290" s="19"/>
      <c r="BX290" s="19"/>
      <c r="BY290" s="19"/>
      <c r="BZ290" s="19"/>
      <c r="CA290" s="19"/>
      <c r="CB290" s="19"/>
      <c r="CC290" s="19"/>
      <c r="CD290" s="19"/>
      <c r="CE290" s="19"/>
      <c r="CF290" s="6"/>
    </row>
    <row r="291" spans="1:84">
      <c r="A291" s="17"/>
      <c r="B291" s="17"/>
      <c r="C291" s="17"/>
      <c r="D291" s="19"/>
      <c r="E291" s="19"/>
      <c r="F291" s="19"/>
      <c r="G291" s="19"/>
      <c r="H291" s="19"/>
      <c r="I291" s="19"/>
      <c r="J291" s="19"/>
      <c r="K291" s="19"/>
      <c r="L291" s="19"/>
      <c r="M291" s="19"/>
      <c r="N291" s="19"/>
      <c r="O291" s="19"/>
      <c r="P291" s="19"/>
      <c r="Q291" s="19"/>
      <c r="R291" s="19"/>
      <c r="S291" s="19"/>
      <c r="T291" s="19"/>
      <c r="U291" s="19"/>
      <c r="V291" s="19"/>
      <c r="W291" s="19"/>
      <c r="X291" s="19"/>
      <c r="Y291" s="19"/>
      <c r="Z291" s="19"/>
      <c r="AA291" s="19"/>
      <c r="AB291" s="19"/>
      <c r="AC291" s="19"/>
      <c r="AD291" s="19"/>
      <c r="AE291" s="19"/>
      <c r="AF291" s="19"/>
      <c r="AG291" s="19"/>
      <c r="AH291" s="19"/>
      <c r="AI291" s="19"/>
      <c r="AJ291" s="19"/>
      <c r="AK291" s="19"/>
      <c r="AL291" s="19"/>
      <c r="AM291" s="19"/>
      <c r="AN291" s="19"/>
      <c r="AO291" s="19"/>
      <c r="AP291" s="19"/>
      <c r="AQ291" s="19"/>
      <c r="AR291" s="19"/>
      <c r="AS291" s="19"/>
      <c r="AT291" s="19"/>
      <c r="AU291" s="19"/>
      <c r="AV291" s="19"/>
      <c r="AW291" s="19"/>
      <c r="AX291" s="19"/>
      <c r="AY291" s="19"/>
      <c r="AZ291" s="19"/>
      <c r="BA291" s="19"/>
      <c r="BB291" s="19"/>
      <c r="BC291" s="19"/>
      <c r="BD291" s="19"/>
      <c r="BE291" s="19"/>
      <c r="BF291" s="19"/>
      <c r="BG291" s="19"/>
      <c r="BH291" s="19"/>
      <c r="BI291" s="19"/>
      <c r="BJ291" s="19"/>
      <c r="BK291" s="19"/>
      <c r="BL291" s="19"/>
      <c r="BM291" s="19"/>
      <c r="BN291" s="19"/>
      <c r="BO291" s="19"/>
      <c r="BP291" s="19"/>
      <c r="BQ291" s="19"/>
      <c r="BR291" s="19"/>
      <c r="BS291" s="19"/>
      <c r="BT291" s="19"/>
      <c r="BU291" s="19"/>
      <c r="BV291" s="19"/>
      <c r="BW291" s="19"/>
      <c r="BX291" s="19"/>
      <c r="BY291" s="19"/>
      <c r="BZ291" s="19"/>
      <c r="CA291" s="19"/>
      <c r="CB291" s="19"/>
      <c r="CC291" s="19"/>
      <c r="CD291" s="19"/>
      <c r="CE291" s="19"/>
      <c r="CF291" s="6"/>
    </row>
    <row r="292" spans="1:84">
      <c r="A292" s="17"/>
      <c r="B292" s="17"/>
      <c r="C292" s="17"/>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19"/>
      <c r="AE292" s="19"/>
      <c r="AF292" s="19"/>
      <c r="AG292" s="19"/>
      <c r="AH292" s="19"/>
      <c r="AI292" s="19"/>
      <c r="AJ292" s="19"/>
      <c r="AK292" s="19"/>
      <c r="AL292" s="19"/>
      <c r="AM292" s="19"/>
      <c r="AN292" s="19"/>
      <c r="AO292" s="19"/>
      <c r="AP292" s="19"/>
      <c r="AQ292" s="19"/>
      <c r="AR292" s="19"/>
      <c r="AS292" s="19"/>
      <c r="AT292" s="19"/>
      <c r="AU292" s="19"/>
      <c r="AV292" s="19"/>
      <c r="AW292" s="19"/>
      <c r="AX292" s="19"/>
      <c r="AY292" s="19"/>
      <c r="AZ292" s="19"/>
      <c r="BA292" s="19"/>
      <c r="BB292" s="19"/>
      <c r="BC292" s="19"/>
      <c r="BD292" s="19"/>
      <c r="BE292" s="19"/>
      <c r="BF292" s="19"/>
      <c r="BG292" s="19"/>
      <c r="BH292" s="19"/>
      <c r="BI292" s="19"/>
      <c r="BJ292" s="19"/>
      <c r="BK292" s="19"/>
      <c r="BL292" s="19"/>
      <c r="BM292" s="19"/>
      <c r="BN292" s="19"/>
      <c r="BO292" s="19"/>
      <c r="BP292" s="19"/>
      <c r="BQ292" s="19"/>
      <c r="BR292" s="19"/>
      <c r="BS292" s="19"/>
      <c r="BT292" s="19"/>
      <c r="BU292" s="19"/>
      <c r="BV292" s="19"/>
      <c r="BW292" s="19"/>
      <c r="BX292" s="19"/>
      <c r="BY292" s="19"/>
      <c r="BZ292" s="19"/>
      <c r="CA292" s="19"/>
      <c r="CB292" s="19"/>
      <c r="CC292" s="19"/>
      <c r="CD292" s="19"/>
      <c r="CE292" s="19"/>
      <c r="CF292" s="6"/>
    </row>
    <row r="293" spans="1:84">
      <c r="A293" s="17"/>
      <c r="B293" s="17"/>
      <c r="C293" s="17"/>
      <c r="D293" s="19"/>
      <c r="E293" s="19"/>
      <c r="F293" s="19"/>
      <c r="G293" s="19"/>
      <c r="H293" s="19"/>
      <c r="I293" s="19"/>
      <c r="J293" s="19"/>
      <c r="K293" s="19"/>
      <c r="L293" s="19"/>
      <c r="M293" s="19"/>
      <c r="N293" s="19"/>
      <c r="O293" s="19"/>
      <c r="P293" s="19"/>
      <c r="Q293" s="19"/>
      <c r="R293" s="19"/>
      <c r="S293" s="19"/>
      <c r="T293" s="19"/>
      <c r="U293" s="19"/>
      <c r="V293" s="19"/>
      <c r="W293" s="19"/>
      <c r="X293" s="19"/>
      <c r="Y293" s="19"/>
      <c r="Z293" s="19"/>
      <c r="AA293" s="19"/>
      <c r="AB293" s="19"/>
      <c r="AC293" s="19"/>
      <c r="AD293" s="19"/>
      <c r="AE293" s="19"/>
      <c r="AF293" s="19"/>
      <c r="AG293" s="19"/>
      <c r="AH293" s="19"/>
      <c r="AI293" s="19"/>
      <c r="AJ293" s="19"/>
      <c r="AK293" s="19"/>
      <c r="AL293" s="19"/>
      <c r="AM293" s="19"/>
      <c r="AN293" s="19"/>
      <c r="AO293" s="19"/>
      <c r="AP293" s="19"/>
      <c r="AQ293" s="19"/>
      <c r="AR293" s="19"/>
      <c r="AS293" s="19"/>
      <c r="AT293" s="19"/>
      <c r="AU293" s="19"/>
      <c r="AV293" s="19"/>
      <c r="AW293" s="19"/>
      <c r="AX293" s="19"/>
      <c r="AY293" s="19"/>
      <c r="AZ293" s="19"/>
      <c r="BA293" s="19"/>
      <c r="BB293" s="19"/>
      <c r="BC293" s="19"/>
      <c r="BD293" s="19"/>
      <c r="BE293" s="19"/>
      <c r="BF293" s="19"/>
      <c r="BG293" s="19"/>
      <c r="BH293" s="19"/>
      <c r="BI293" s="19"/>
      <c r="BJ293" s="19"/>
      <c r="BK293" s="19"/>
      <c r="BL293" s="19"/>
      <c r="BM293" s="19"/>
      <c r="BN293" s="19"/>
      <c r="BO293" s="19"/>
      <c r="BP293" s="19"/>
      <c r="BQ293" s="19"/>
      <c r="BR293" s="19"/>
      <c r="BS293" s="19"/>
      <c r="BT293" s="19"/>
      <c r="BU293" s="19"/>
      <c r="BV293" s="19"/>
      <c r="BW293" s="19"/>
      <c r="BX293" s="19"/>
      <c r="BY293" s="19"/>
      <c r="BZ293" s="19"/>
      <c r="CA293" s="19"/>
      <c r="CB293" s="19"/>
      <c r="CC293" s="19"/>
      <c r="CD293" s="19"/>
      <c r="CE293" s="19"/>
      <c r="CF293" s="6"/>
    </row>
    <row r="294" spans="1:84">
      <c r="A294" s="17"/>
      <c r="B294" s="17"/>
      <c r="C294" s="17"/>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c r="AB294" s="19"/>
      <c r="AC294" s="19"/>
      <c r="AD294" s="19"/>
      <c r="AE294" s="19"/>
      <c r="AF294" s="19"/>
      <c r="AG294" s="19"/>
      <c r="AH294" s="19"/>
      <c r="AI294" s="19"/>
      <c r="AJ294" s="19"/>
      <c r="AK294" s="19"/>
      <c r="AL294" s="19"/>
      <c r="AM294" s="19"/>
      <c r="AN294" s="19"/>
      <c r="AO294" s="19"/>
      <c r="AP294" s="19"/>
      <c r="AQ294" s="19"/>
      <c r="AR294" s="19"/>
      <c r="AS294" s="19"/>
      <c r="AT294" s="19"/>
      <c r="AU294" s="19"/>
      <c r="AV294" s="19"/>
      <c r="AW294" s="19"/>
      <c r="AX294" s="19"/>
      <c r="AY294" s="19"/>
      <c r="AZ294" s="19"/>
      <c r="BA294" s="19"/>
      <c r="BB294" s="19"/>
      <c r="BC294" s="19"/>
      <c r="BD294" s="19"/>
      <c r="BE294" s="19"/>
      <c r="BF294" s="19"/>
      <c r="BG294" s="19"/>
      <c r="BH294" s="19"/>
      <c r="BI294" s="19"/>
      <c r="BJ294" s="19"/>
      <c r="BK294" s="19"/>
      <c r="BL294" s="19"/>
      <c r="BM294" s="19"/>
      <c r="BN294" s="19"/>
      <c r="BO294" s="19"/>
      <c r="BP294" s="19"/>
      <c r="BQ294" s="19"/>
      <c r="BR294" s="19"/>
      <c r="BS294" s="19"/>
      <c r="BT294" s="19"/>
      <c r="BU294" s="19"/>
      <c r="BV294" s="19"/>
      <c r="BW294" s="19"/>
      <c r="BX294" s="19"/>
      <c r="BY294" s="19"/>
      <c r="BZ294" s="19"/>
      <c r="CA294" s="19"/>
      <c r="CB294" s="19"/>
      <c r="CC294" s="19"/>
      <c r="CD294" s="19"/>
      <c r="CE294" s="19"/>
      <c r="CF294" s="6"/>
    </row>
    <row r="295" spans="1:84">
      <c r="A295" s="17"/>
      <c r="B295" s="17"/>
      <c r="C295" s="17"/>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9"/>
      <c r="AG295" s="19"/>
      <c r="AH295" s="19"/>
      <c r="AI295" s="19"/>
      <c r="AJ295" s="19"/>
      <c r="AK295" s="19"/>
      <c r="AL295" s="19"/>
      <c r="AM295" s="19"/>
      <c r="AN295" s="19"/>
      <c r="AO295" s="19"/>
      <c r="AP295" s="19"/>
      <c r="AQ295" s="19"/>
      <c r="AR295" s="19"/>
      <c r="AS295" s="19"/>
      <c r="AT295" s="19"/>
      <c r="AU295" s="19"/>
      <c r="AV295" s="19"/>
      <c r="AW295" s="19"/>
      <c r="AX295" s="19"/>
      <c r="AY295" s="19"/>
      <c r="AZ295" s="19"/>
      <c r="BA295" s="19"/>
      <c r="BB295" s="19"/>
      <c r="BC295" s="19"/>
      <c r="BD295" s="19"/>
      <c r="BE295" s="19"/>
      <c r="BF295" s="19"/>
      <c r="BG295" s="19"/>
      <c r="BH295" s="19"/>
      <c r="BI295" s="19"/>
      <c r="BJ295" s="19"/>
      <c r="BK295" s="19"/>
      <c r="BL295" s="19"/>
      <c r="BM295" s="19"/>
      <c r="BN295" s="19"/>
      <c r="BO295" s="19"/>
      <c r="BP295" s="19"/>
      <c r="BQ295" s="19"/>
      <c r="BR295" s="19"/>
      <c r="BS295" s="19"/>
      <c r="BT295" s="19"/>
      <c r="BU295" s="19"/>
      <c r="BV295" s="19"/>
      <c r="BW295" s="19"/>
      <c r="BX295" s="19"/>
      <c r="BY295" s="19"/>
      <c r="BZ295" s="19"/>
      <c r="CA295" s="19"/>
      <c r="CB295" s="19"/>
      <c r="CC295" s="19"/>
      <c r="CD295" s="19"/>
      <c r="CE295" s="19"/>
      <c r="CF295" s="6"/>
    </row>
    <row r="296" spans="1:84">
      <c r="A296" s="17"/>
      <c r="B296" s="17"/>
      <c r="C296" s="17"/>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19"/>
      <c r="AG296" s="19"/>
      <c r="AH296" s="19"/>
      <c r="AI296" s="19"/>
      <c r="AJ296" s="19"/>
      <c r="AK296" s="19"/>
      <c r="AL296" s="19"/>
      <c r="AM296" s="19"/>
      <c r="AN296" s="19"/>
      <c r="AO296" s="19"/>
      <c r="AP296" s="19"/>
      <c r="AQ296" s="19"/>
      <c r="AR296" s="19"/>
      <c r="AS296" s="19"/>
      <c r="AT296" s="19"/>
      <c r="AU296" s="19"/>
      <c r="AV296" s="19"/>
      <c r="AW296" s="19"/>
      <c r="AX296" s="19"/>
      <c r="AY296" s="19"/>
      <c r="AZ296" s="19"/>
      <c r="BA296" s="19"/>
      <c r="BB296" s="19"/>
      <c r="BC296" s="19"/>
      <c r="BD296" s="19"/>
      <c r="BE296" s="19"/>
      <c r="BF296" s="19"/>
      <c r="BG296" s="19"/>
      <c r="BH296" s="19"/>
      <c r="BI296" s="19"/>
      <c r="BJ296" s="19"/>
      <c r="BK296" s="19"/>
      <c r="BL296" s="19"/>
      <c r="BM296" s="19"/>
      <c r="BN296" s="19"/>
      <c r="BO296" s="19"/>
      <c r="BP296" s="19"/>
      <c r="BQ296" s="19"/>
      <c r="BR296" s="19"/>
      <c r="BS296" s="19"/>
      <c r="BT296" s="19"/>
      <c r="BU296" s="19"/>
      <c r="BV296" s="19"/>
      <c r="BW296" s="19"/>
      <c r="BX296" s="19"/>
      <c r="BY296" s="19"/>
      <c r="BZ296" s="19"/>
      <c r="CA296" s="19"/>
      <c r="CB296" s="19"/>
      <c r="CC296" s="19"/>
      <c r="CD296" s="19"/>
      <c r="CE296" s="19"/>
      <c r="CF296" s="6"/>
    </row>
    <row r="297" spans="1:84">
      <c r="A297" s="17"/>
      <c r="B297" s="17"/>
      <c r="C297" s="17"/>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r="AE297" s="19"/>
      <c r="AF297" s="19"/>
      <c r="AG297" s="19"/>
      <c r="AH297" s="19"/>
      <c r="AI297" s="19"/>
      <c r="AJ297" s="19"/>
      <c r="AK297" s="19"/>
      <c r="AL297" s="19"/>
      <c r="AM297" s="19"/>
      <c r="AN297" s="19"/>
      <c r="AO297" s="19"/>
      <c r="AP297" s="19"/>
      <c r="AQ297" s="19"/>
      <c r="AR297" s="19"/>
      <c r="AS297" s="19"/>
      <c r="AT297" s="19"/>
      <c r="AU297" s="19"/>
      <c r="AV297" s="19"/>
      <c r="AW297" s="19"/>
      <c r="AX297" s="19"/>
      <c r="AY297" s="19"/>
      <c r="AZ297" s="19"/>
      <c r="BA297" s="19"/>
      <c r="BB297" s="19"/>
      <c r="BC297" s="19"/>
      <c r="BD297" s="19"/>
      <c r="BE297" s="19"/>
      <c r="BF297" s="19"/>
      <c r="BG297" s="19"/>
      <c r="BH297" s="19"/>
      <c r="BI297" s="19"/>
      <c r="BJ297" s="19"/>
      <c r="BK297" s="19"/>
      <c r="BL297" s="19"/>
      <c r="BM297" s="19"/>
      <c r="BN297" s="19"/>
      <c r="BO297" s="19"/>
      <c r="BP297" s="19"/>
      <c r="BQ297" s="19"/>
      <c r="BR297" s="19"/>
      <c r="BS297" s="19"/>
      <c r="BT297" s="19"/>
      <c r="BU297" s="19"/>
      <c r="BV297" s="19"/>
      <c r="BW297" s="19"/>
      <c r="BX297" s="19"/>
      <c r="BY297" s="19"/>
      <c r="BZ297" s="19"/>
      <c r="CA297" s="19"/>
      <c r="CB297" s="19"/>
      <c r="CC297" s="19"/>
      <c r="CD297" s="19"/>
      <c r="CE297" s="19"/>
      <c r="CF297" s="6"/>
    </row>
    <row r="298" spans="1:84">
      <c r="A298" s="17"/>
      <c r="B298" s="17"/>
      <c r="C298" s="17"/>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19"/>
      <c r="AE298" s="19"/>
      <c r="AF298" s="19"/>
      <c r="AG298" s="19"/>
      <c r="AH298" s="19"/>
      <c r="AI298" s="19"/>
      <c r="AJ298" s="19"/>
      <c r="AK298" s="19"/>
      <c r="AL298" s="19"/>
      <c r="AM298" s="19"/>
      <c r="AN298" s="19"/>
      <c r="AO298" s="19"/>
      <c r="AP298" s="19"/>
      <c r="AQ298" s="19"/>
      <c r="AR298" s="19"/>
      <c r="AS298" s="19"/>
      <c r="AT298" s="19"/>
      <c r="AU298" s="19"/>
      <c r="AV298" s="19"/>
      <c r="AW298" s="19"/>
      <c r="AX298" s="19"/>
      <c r="AY298" s="19"/>
      <c r="AZ298" s="19"/>
      <c r="BA298" s="19"/>
      <c r="BB298" s="19"/>
      <c r="BC298" s="19"/>
      <c r="BD298" s="19"/>
      <c r="BE298" s="19"/>
      <c r="BF298" s="19"/>
      <c r="BG298" s="19"/>
      <c r="BH298" s="19"/>
      <c r="BI298" s="19"/>
      <c r="BJ298" s="19"/>
      <c r="BK298" s="19"/>
      <c r="BL298" s="19"/>
      <c r="BM298" s="19"/>
      <c r="BN298" s="19"/>
      <c r="BO298" s="19"/>
      <c r="BP298" s="19"/>
      <c r="BQ298" s="19"/>
      <c r="BR298" s="19"/>
      <c r="BS298" s="19"/>
      <c r="BT298" s="19"/>
      <c r="BU298" s="19"/>
      <c r="BV298" s="19"/>
      <c r="BW298" s="19"/>
      <c r="BX298" s="19"/>
      <c r="BY298" s="19"/>
      <c r="BZ298" s="19"/>
      <c r="CA298" s="19"/>
      <c r="CB298" s="19"/>
      <c r="CC298" s="19"/>
      <c r="CD298" s="19"/>
      <c r="CE298" s="19"/>
      <c r="CF298" s="6"/>
    </row>
    <row r="299" spans="1:84">
      <c r="A299" s="17"/>
      <c r="B299" s="17"/>
      <c r="C299" s="17"/>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19"/>
      <c r="AE299" s="19"/>
      <c r="AF299" s="19"/>
      <c r="AG299" s="19"/>
      <c r="AH299" s="19"/>
      <c r="AI299" s="19"/>
      <c r="AJ299" s="19"/>
      <c r="AK299" s="19"/>
      <c r="AL299" s="19"/>
      <c r="AM299" s="19"/>
      <c r="AN299" s="19"/>
      <c r="AO299" s="19"/>
      <c r="AP299" s="19"/>
      <c r="AQ299" s="19"/>
      <c r="AR299" s="19"/>
      <c r="AS299" s="19"/>
      <c r="AT299" s="19"/>
      <c r="AU299" s="19"/>
      <c r="AV299" s="19"/>
      <c r="AW299" s="19"/>
      <c r="AX299" s="19"/>
      <c r="AY299" s="19"/>
      <c r="AZ299" s="19"/>
      <c r="BA299" s="19"/>
      <c r="BB299" s="19"/>
      <c r="BC299" s="19"/>
      <c r="BD299" s="19"/>
      <c r="BE299" s="19"/>
      <c r="BF299" s="19"/>
      <c r="BG299" s="19"/>
      <c r="BH299" s="19"/>
      <c r="BI299" s="19"/>
      <c r="BJ299" s="19"/>
      <c r="BK299" s="19"/>
      <c r="BL299" s="19"/>
      <c r="BM299" s="19"/>
      <c r="BN299" s="19"/>
      <c r="BO299" s="19"/>
      <c r="BP299" s="19"/>
      <c r="BQ299" s="19"/>
      <c r="BR299" s="19"/>
      <c r="BS299" s="19"/>
      <c r="BT299" s="19"/>
      <c r="BU299" s="19"/>
      <c r="BV299" s="19"/>
      <c r="BW299" s="19"/>
      <c r="BX299" s="19"/>
      <c r="BY299" s="19"/>
      <c r="BZ299" s="19"/>
      <c r="CA299" s="19"/>
      <c r="CB299" s="19"/>
      <c r="CC299" s="19"/>
      <c r="CD299" s="19"/>
      <c r="CE299" s="19"/>
      <c r="CF299" s="6"/>
    </row>
    <row r="300" spans="1:84">
      <c r="A300" s="17"/>
      <c r="B300" s="17"/>
      <c r="C300" s="17"/>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19"/>
      <c r="AE300" s="19"/>
      <c r="AF300" s="19"/>
      <c r="AG300" s="19"/>
      <c r="AH300" s="19"/>
      <c r="AI300" s="19"/>
      <c r="AJ300" s="19"/>
      <c r="AK300" s="19"/>
      <c r="AL300" s="19"/>
      <c r="AM300" s="19"/>
      <c r="AN300" s="19"/>
      <c r="AO300" s="19"/>
      <c r="AP300" s="19"/>
      <c r="AQ300" s="19"/>
      <c r="AR300" s="19"/>
      <c r="AS300" s="19"/>
      <c r="AT300" s="19"/>
      <c r="AU300" s="19"/>
      <c r="AV300" s="19"/>
      <c r="AW300" s="19"/>
      <c r="AX300" s="19"/>
      <c r="AY300" s="19"/>
      <c r="AZ300" s="19"/>
      <c r="BA300" s="19"/>
      <c r="BB300" s="19"/>
      <c r="BC300" s="19"/>
      <c r="BD300" s="19"/>
      <c r="BE300" s="19"/>
      <c r="BF300" s="19"/>
      <c r="BG300" s="19"/>
      <c r="BH300" s="19"/>
      <c r="BI300" s="19"/>
      <c r="BJ300" s="19"/>
      <c r="BK300" s="19"/>
      <c r="BL300" s="19"/>
      <c r="BM300" s="19"/>
      <c r="BN300" s="19"/>
      <c r="BO300" s="19"/>
      <c r="BP300" s="19"/>
      <c r="BQ300" s="19"/>
      <c r="BR300" s="19"/>
      <c r="BS300" s="19"/>
      <c r="BT300" s="19"/>
      <c r="BU300" s="19"/>
      <c r="BV300" s="19"/>
      <c r="BW300" s="19"/>
      <c r="BX300" s="19"/>
      <c r="BY300" s="19"/>
      <c r="BZ300" s="19"/>
      <c r="CA300" s="19"/>
      <c r="CB300" s="19"/>
      <c r="CC300" s="19"/>
      <c r="CD300" s="19"/>
      <c r="CE300" s="19"/>
      <c r="CF300" s="6"/>
    </row>
    <row r="301" spans="1:84">
      <c r="A301" s="17"/>
      <c r="B301" s="17"/>
      <c r="C301" s="17"/>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19"/>
      <c r="AE301" s="19"/>
      <c r="AF301" s="19"/>
      <c r="AG301" s="19"/>
      <c r="AH301" s="19"/>
      <c r="AI301" s="19"/>
      <c r="AJ301" s="19"/>
      <c r="AK301" s="19"/>
      <c r="AL301" s="19"/>
      <c r="AM301" s="19"/>
      <c r="AN301" s="19"/>
      <c r="AO301" s="19"/>
      <c r="AP301" s="19"/>
      <c r="AQ301" s="19"/>
      <c r="AR301" s="19"/>
      <c r="AS301" s="19"/>
      <c r="AT301" s="19"/>
      <c r="AU301" s="19"/>
      <c r="AV301" s="19"/>
      <c r="AW301" s="19"/>
      <c r="AX301" s="19"/>
      <c r="AY301" s="19"/>
      <c r="AZ301" s="19"/>
      <c r="BA301" s="19"/>
      <c r="BB301" s="19"/>
      <c r="BC301" s="19"/>
      <c r="BD301" s="19"/>
      <c r="BE301" s="19"/>
      <c r="BF301" s="19"/>
      <c r="BG301" s="19"/>
      <c r="BH301" s="19"/>
      <c r="BI301" s="19"/>
      <c r="BJ301" s="19"/>
      <c r="BK301" s="19"/>
      <c r="BL301" s="19"/>
      <c r="BM301" s="19"/>
      <c r="BN301" s="19"/>
      <c r="BO301" s="19"/>
      <c r="BP301" s="19"/>
      <c r="BQ301" s="19"/>
      <c r="BR301" s="19"/>
      <c r="BS301" s="19"/>
      <c r="BT301" s="19"/>
      <c r="BU301" s="19"/>
      <c r="BV301" s="19"/>
      <c r="BW301" s="19"/>
      <c r="BX301" s="19"/>
      <c r="BY301" s="19"/>
      <c r="BZ301" s="19"/>
      <c r="CA301" s="19"/>
      <c r="CB301" s="19"/>
      <c r="CC301" s="19"/>
      <c r="CD301" s="19"/>
      <c r="CE301" s="19"/>
      <c r="CF301" s="6"/>
    </row>
    <row r="302" spans="1:84">
      <c r="A302" s="17"/>
      <c r="B302" s="17"/>
      <c r="C302" s="17"/>
      <c r="D302" s="19"/>
      <c r="E302" s="19"/>
      <c r="F302" s="19"/>
      <c r="G302" s="19"/>
      <c r="H302" s="19"/>
      <c r="I302" s="19"/>
      <c r="J302" s="19"/>
      <c r="K302" s="19"/>
      <c r="L302" s="19"/>
      <c r="M302" s="19"/>
      <c r="N302" s="19"/>
      <c r="O302" s="19"/>
      <c r="P302" s="19"/>
      <c r="Q302" s="19"/>
      <c r="R302" s="19"/>
      <c r="S302" s="19"/>
      <c r="T302" s="19"/>
      <c r="U302" s="19"/>
      <c r="V302" s="19"/>
      <c r="W302" s="19"/>
      <c r="X302" s="19"/>
      <c r="Y302" s="19"/>
      <c r="Z302" s="19"/>
      <c r="AA302" s="19"/>
      <c r="AB302" s="19"/>
      <c r="AC302" s="19"/>
      <c r="AD302" s="19"/>
      <c r="AE302" s="19"/>
      <c r="AF302" s="19"/>
      <c r="AG302" s="19"/>
      <c r="AH302" s="19"/>
      <c r="AI302" s="19"/>
      <c r="AJ302" s="19"/>
      <c r="AK302" s="19"/>
      <c r="AL302" s="19"/>
      <c r="AM302" s="19"/>
      <c r="AN302" s="19"/>
      <c r="AO302" s="19"/>
      <c r="AP302" s="19"/>
      <c r="AQ302" s="19"/>
      <c r="AR302" s="19"/>
      <c r="AS302" s="19"/>
      <c r="AT302" s="19"/>
      <c r="AU302" s="19"/>
      <c r="AV302" s="19"/>
      <c r="AW302" s="19"/>
      <c r="AX302" s="19"/>
      <c r="AY302" s="19"/>
      <c r="AZ302" s="19"/>
      <c r="BA302" s="19"/>
      <c r="BB302" s="19"/>
      <c r="BC302" s="19"/>
      <c r="BD302" s="19"/>
      <c r="BE302" s="19"/>
      <c r="BF302" s="19"/>
      <c r="BG302" s="19"/>
      <c r="BH302" s="19"/>
      <c r="BI302" s="19"/>
      <c r="BJ302" s="19"/>
      <c r="BK302" s="19"/>
      <c r="BL302" s="19"/>
      <c r="BM302" s="19"/>
      <c r="BN302" s="19"/>
      <c r="BO302" s="19"/>
      <c r="BP302" s="19"/>
      <c r="BQ302" s="19"/>
      <c r="BR302" s="19"/>
      <c r="BS302" s="19"/>
      <c r="BT302" s="19"/>
      <c r="BU302" s="19"/>
      <c r="BV302" s="19"/>
      <c r="BW302" s="19"/>
      <c r="BX302" s="19"/>
      <c r="BY302" s="19"/>
      <c r="BZ302" s="19"/>
      <c r="CA302" s="19"/>
      <c r="CB302" s="19"/>
      <c r="CC302" s="19"/>
      <c r="CD302" s="19"/>
      <c r="CE302" s="19"/>
      <c r="CF302" s="6"/>
    </row>
    <row r="303" spans="1:84">
      <c r="A303" s="17"/>
      <c r="B303" s="17"/>
      <c r="C303" s="17"/>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c r="AR303" s="19"/>
      <c r="AS303" s="19"/>
      <c r="AT303" s="19"/>
      <c r="AU303" s="19"/>
      <c r="AV303" s="19"/>
      <c r="AW303" s="19"/>
      <c r="AX303" s="19"/>
      <c r="AY303" s="19"/>
      <c r="AZ303" s="19"/>
      <c r="BA303" s="19"/>
      <c r="BB303" s="19"/>
      <c r="BC303" s="19"/>
      <c r="BD303" s="19"/>
      <c r="BE303" s="19"/>
      <c r="BF303" s="19"/>
      <c r="BG303" s="19"/>
      <c r="BH303" s="19"/>
      <c r="BI303" s="19"/>
      <c r="BJ303" s="19"/>
      <c r="BK303" s="19"/>
      <c r="BL303" s="19"/>
      <c r="BM303" s="19"/>
      <c r="BN303" s="19"/>
      <c r="BO303" s="19"/>
      <c r="BP303" s="19"/>
      <c r="BQ303" s="19"/>
      <c r="BR303" s="19"/>
      <c r="BS303" s="19"/>
      <c r="BT303" s="19"/>
      <c r="BU303" s="19"/>
      <c r="BV303" s="19"/>
      <c r="BW303" s="19"/>
      <c r="BX303" s="19"/>
      <c r="BY303" s="19"/>
      <c r="BZ303" s="19"/>
      <c r="CA303" s="19"/>
      <c r="CB303" s="19"/>
      <c r="CC303" s="19"/>
      <c r="CD303" s="19"/>
      <c r="CE303" s="19"/>
      <c r="CF303" s="6"/>
    </row>
    <row r="304" spans="1:84">
      <c r="A304" s="17"/>
      <c r="B304" s="17"/>
      <c r="C304" s="17"/>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c r="AS304" s="19"/>
      <c r="AT304" s="19"/>
      <c r="AU304" s="19"/>
      <c r="AV304" s="19"/>
      <c r="AW304" s="19"/>
      <c r="AX304" s="19"/>
      <c r="AY304" s="19"/>
      <c r="AZ304" s="19"/>
      <c r="BA304" s="19"/>
      <c r="BB304" s="19"/>
      <c r="BC304" s="19"/>
      <c r="BD304" s="19"/>
      <c r="BE304" s="19"/>
      <c r="BF304" s="19"/>
      <c r="BG304" s="19"/>
      <c r="BH304" s="19"/>
      <c r="BI304" s="19"/>
      <c r="BJ304" s="19"/>
      <c r="BK304" s="19"/>
      <c r="BL304" s="19"/>
      <c r="BM304" s="19"/>
      <c r="BN304" s="19"/>
      <c r="BO304" s="19"/>
      <c r="BP304" s="19"/>
      <c r="BQ304" s="19"/>
      <c r="BR304" s="19"/>
      <c r="BS304" s="19"/>
      <c r="BT304" s="19"/>
      <c r="BU304" s="19"/>
      <c r="BV304" s="19"/>
      <c r="BW304" s="19"/>
      <c r="BX304" s="19"/>
      <c r="BY304" s="19"/>
      <c r="BZ304" s="19"/>
      <c r="CA304" s="19"/>
      <c r="CB304" s="19"/>
      <c r="CC304" s="19"/>
      <c r="CD304" s="19"/>
      <c r="CE304" s="19"/>
      <c r="CF304" s="6"/>
    </row>
    <row r="305" spans="1:84">
      <c r="A305" s="17"/>
      <c r="B305" s="17"/>
      <c r="C305" s="17"/>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c r="AR305" s="19"/>
      <c r="AS305" s="19"/>
      <c r="AT305" s="19"/>
      <c r="AU305" s="19"/>
      <c r="AV305" s="19"/>
      <c r="AW305" s="19"/>
      <c r="AX305" s="19"/>
      <c r="AY305" s="19"/>
      <c r="AZ305" s="19"/>
      <c r="BA305" s="19"/>
      <c r="BB305" s="19"/>
      <c r="BC305" s="19"/>
      <c r="BD305" s="19"/>
      <c r="BE305" s="19"/>
      <c r="BF305" s="19"/>
      <c r="BG305" s="19"/>
      <c r="BH305" s="19"/>
      <c r="BI305" s="19"/>
      <c r="BJ305" s="19"/>
      <c r="BK305" s="19"/>
      <c r="BL305" s="19"/>
      <c r="BM305" s="19"/>
      <c r="BN305" s="19"/>
      <c r="BO305" s="19"/>
      <c r="BP305" s="19"/>
      <c r="BQ305" s="19"/>
      <c r="BR305" s="19"/>
      <c r="BS305" s="19"/>
      <c r="BT305" s="19"/>
      <c r="BU305" s="19"/>
      <c r="BV305" s="19"/>
      <c r="BW305" s="19"/>
      <c r="BX305" s="19"/>
      <c r="BY305" s="19"/>
      <c r="BZ305" s="19"/>
      <c r="CA305" s="19"/>
      <c r="CB305" s="19"/>
      <c r="CC305" s="19"/>
      <c r="CD305" s="19"/>
      <c r="CE305" s="19"/>
      <c r="CF305" s="6"/>
    </row>
    <row r="306" spans="1:84">
      <c r="A306" s="17"/>
      <c r="B306" s="17"/>
      <c r="C306" s="17"/>
      <c r="D306" s="19"/>
      <c r="E306" s="19"/>
      <c r="F306" s="19"/>
      <c r="G306" s="19"/>
      <c r="H306" s="19"/>
      <c r="I306" s="19"/>
      <c r="J306" s="19"/>
      <c r="K306" s="19"/>
      <c r="L306" s="19"/>
      <c r="M306" s="19"/>
      <c r="N306" s="19"/>
      <c r="O306" s="19"/>
      <c r="P306" s="19"/>
      <c r="Q306" s="19"/>
      <c r="R306" s="19"/>
      <c r="S306" s="19"/>
      <c r="T306" s="19"/>
      <c r="U306" s="19"/>
      <c r="V306" s="19"/>
      <c r="W306" s="19"/>
      <c r="X306" s="19"/>
      <c r="Y306" s="19"/>
      <c r="Z306" s="19"/>
      <c r="AA306" s="19"/>
      <c r="AB306" s="19"/>
      <c r="AC306" s="19"/>
      <c r="AD306" s="19"/>
      <c r="AE306" s="19"/>
      <c r="AF306" s="19"/>
      <c r="AG306" s="19"/>
      <c r="AH306" s="19"/>
      <c r="AI306" s="19"/>
      <c r="AJ306" s="19"/>
      <c r="AK306" s="19"/>
      <c r="AL306" s="19"/>
      <c r="AM306" s="19"/>
      <c r="AN306" s="19"/>
      <c r="AO306" s="19"/>
      <c r="AP306" s="19"/>
      <c r="AQ306" s="19"/>
      <c r="AR306" s="19"/>
      <c r="AS306" s="19"/>
      <c r="AT306" s="19"/>
      <c r="AU306" s="19"/>
      <c r="AV306" s="19"/>
      <c r="AW306" s="19"/>
      <c r="AX306" s="19"/>
      <c r="AY306" s="19"/>
      <c r="AZ306" s="19"/>
      <c r="BA306" s="19"/>
      <c r="BB306" s="19"/>
      <c r="BC306" s="19"/>
      <c r="BD306" s="19"/>
      <c r="BE306" s="19"/>
      <c r="BF306" s="19"/>
      <c r="BG306" s="19"/>
      <c r="BH306" s="19"/>
      <c r="BI306" s="19"/>
      <c r="BJ306" s="19"/>
      <c r="BK306" s="19"/>
      <c r="BL306" s="19"/>
      <c r="BM306" s="19"/>
      <c r="BN306" s="19"/>
      <c r="BO306" s="19"/>
      <c r="BP306" s="19"/>
      <c r="BQ306" s="19"/>
      <c r="BR306" s="19"/>
      <c r="BS306" s="19"/>
      <c r="BT306" s="19"/>
      <c r="BU306" s="19"/>
      <c r="BV306" s="19"/>
      <c r="BW306" s="19"/>
      <c r="BX306" s="19"/>
      <c r="BY306" s="19"/>
      <c r="BZ306" s="19"/>
      <c r="CA306" s="19"/>
      <c r="CB306" s="19"/>
      <c r="CC306" s="19"/>
      <c r="CD306" s="19"/>
      <c r="CE306" s="19"/>
      <c r="CF306" s="6"/>
    </row>
    <row r="307" spans="1:84">
      <c r="A307" s="17"/>
      <c r="B307" s="17"/>
      <c r="C307" s="17"/>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19"/>
      <c r="AG307" s="19"/>
      <c r="AH307" s="19"/>
      <c r="AI307" s="19"/>
      <c r="AJ307" s="19"/>
      <c r="AK307" s="19"/>
      <c r="AL307" s="19"/>
      <c r="AM307" s="19"/>
      <c r="AN307" s="19"/>
      <c r="AO307" s="19"/>
      <c r="AP307" s="19"/>
      <c r="AQ307" s="19"/>
      <c r="AR307" s="19"/>
      <c r="AS307" s="19"/>
      <c r="AT307" s="19"/>
      <c r="AU307" s="19"/>
      <c r="AV307" s="19"/>
      <c r="AW307" s="19"/>
      <c r="AX307" s="19"/>
      <c r="AY307" s="19"/>
      <c r="AZ307" s="19"/>
      <c r="BA307" s="19"/>
      <c r="BB307" s="19"/>
      <c r="BC307" s="19"/>
      <c r="BD307" s="19"/>
      <c r="BE307" s="19"/>
      <c r="BF307" s="19"/>
      <c r="BG307" s="19"/>
      <c r="BH307" s="19"/>
      <c r="BI307" s="19"/>
      <c r="BJ307" s="19"/>
      <c r="BK307" s="19"/>
      <c r="BL307" s="19"/>
      <c r="BM307" s="19"/>
      <c r="BN307" s="19"/>
      <c r="BO307" s="19"/>
      <c r="BP307" s="19"/>
      <c r="BQ307" s="19"/>
      <c r="BR307" s="19"/>
      <c r="BS307" s="19"/>
      <c r="BT307" s="19"/>
      <c r="BU307" s="19"/>
      <c r="BV307" s="19"/>
      <c r="BW307" s="19"/>
      <c r="BX307" s="19"/>
      <c r="BY307" s="19"/>
      <c r="BZ307" s="19"/>
      <c r="CA307" s="19"/>
      <c r="CB307" s="19"/>
      <c r="CC307" s="19"/>
      <c r="CD307" s="19"/>
      <c r="CE307" s="19"/>
      <c r="CF307" s="6"/>
    </row>
    <row r="308" spans="1:84">
      <c r="A308" s="17"/>
      <c r="B308" s="17"/>
      <c r="C308" s="17"/>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19"/>
      <c r="AE308" s="19"/>
      <c r="AF308" s="19"/>
      <c r="AG308" s="19"/>
      <c r="AH308" s="19"/>
      <c r="AI308" s="19"/>
      <c r="AJ308" s="19"/>
      <c r="AK308" s="19"/>
      <c r="AL308" s="19"/>
      <c r="AM308" s="19"/>
      <c r="AN308" s="19"/>
      <c r="AO308" s="19"/>
      <c r="AP308" s="19"/>
      <c r="AQ308" s="19"/>
      <c r="AR308" s="19"/>
      <c r="AS308" s="19"/>
      <c r="AT308" s="19"/>
      <c r="AU308" s="19"/>
      <c r="AV308" s="19"/>
      <c r="AW308" s="19"/>
      <c r="AX308" s="19"/>
      <c r="AY308" s="19"/>
      <c r="AZ308" s="19"/>
      <c r="BA308" s="19"/>
      <c r="BB308" s="19"/>
      <c r="BC308" s="19"/>
      <c r="BD308" s="19"/>
      <c r="BE308" s="19"/>
      <c r="BF308" s="19"/>
      <c r="BG308" s="19"/>
      <c r="BH308" s="19"/>
      <c r="BI308" s="19"/>
      <c r="BJ308" s="19"/>
      <c r="BK308" s="19"/>
      <c r="BL308" s="19"/>
      <c r="BM308" s="19"/>
      <c r="BN308" s="19"/>
      <c r="BO308" s="19"/>
      <c r="BP308" s="19"/>
      <c r="BQ308" s="19"/>
      <c r="BR308" s="19"/>
      <c r="BS308" s="19"/>
      <c r="BT308" s="19"/>
      <c r="BU308" s="19"/>
      <c r="BV308" s="19"/>
      <c r="BW308" s="19"/>
      <c r="BX308" s="19"/>
      <c r="BY308" s="19"/>
      <c r="BZ308" s="19"/>
      <c r="CA308" s="19"/>
      <c r="CB308" s="19"/>
      <c r="CC308" s="19"/>
      <c r="CD308" s="19"/>
      <c r="CE308" s="19"/>
      <c r="CF308" s="6"/>
    </row>
    <row r="309" spans="1:84">
      <c r="A309" s="17"/>
      <c r="B309" s="17"/>
      <c r="C309" s="17"/>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19"/>
      <c r="AE309" s="19"/>
      <c r="AF309" s="19"/>
      <c r="AG309" s="19"/>
      <c r="AH309" s="19"/>
      <c r="AI309" s="19"/>
      <c r="AJ309" s="19"/>
      <c r="AK309" s="19"/>
      <c r="AL309" s="19"/>
      <c r="AM309" s="19"/>
      <c r="AN309" s="19"/>
      <c r="AO309" s="19"/>
      <c r="AP309" s="19"/>
      <c r="AQ309" s="19"/>
      <c r="AR309" s="19"/>
      <c r="AS309" s="19"/>
      <c r="AT309" s="19"/>
      <c r="AU309" s="19"/>
      <c r="AV309" s="19"/>
      <c r="AW309" s="19"/>
      <c r="AX309" s="19"/>
      <c r="AY309" s="19"/>
      <c r="AZ309" s="19"/>
      <c r="BA309" s="19"/>
      <c r="BB309" s="19"/>
      <c r="BC309" s="19"/>
      <c r="BD309" s="19"/>
      <c r="BE309" s="19"/>
      <c r="BF309" s="19"/>
      <c r="BG309" s="19"/>
      <c r="BH309" s="19"/>
      <c r="BI309" s="19"/>
      <c r="BJ309" s="19"/>
      <c r="BK309" s="19"/>
      <c r="BL309" s="19"/>
      <c r="BM309" s="19"/>
      <c r="BN309" s="19"/>
      <c r="BO309" s="19"/>
      <c r="BP309" s="19"/>
      <c r="BQ309" s="19"/>
      <c r="BR309" s="19"/>
      <c r="BS309" s="19"/>
      <c r="BT309" s="19"/>
      <c r="BU309" s="19"/>
      <c r="BV309" s="19"/>
      <c r="BW309" s="19"/>
      <c r="BX309" s="19"/>
      <c r="BY309" s="19"/>
      <c r="BZ309" s="19"/>
      <c r="CA309" s="19"/>
      <c r="CB309" s="19"/>
      <c r="CC309" s="19"/>
      <c r="CD309" s="19"/>
      <c r="CE309" s="19"/>
      <c r="CF309" s="6"/>
    </row>
    <row r="310" spans="1:84">
      <c r="A310" s="17"/>
      <c r="B310" s="17"/>
      <c r="C310" s="17"/>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19"/>
      <c r="AE310" s="19"/>
      <c r="AF310" s="19"/>
      <c r="AG310" s="19"/>
      <c r="AH310" s="19"/>
      <c r="AI310" s="19"/>
      <c r="AJ310" s="19"/>
      <c r="AK310" s="19"/>
      <c r="AL310" s="19"/>
      <c r="AM310" s="19"/>
      <c r="AN310" s="19"/>
      <c r="AO310" s="19"/>
      <c r="AP310" s="19"/>
      <c r="AQ310" s="19"/>
      <c r="AR310" s="19"/>
      <c r="AS310" s="19"/>
      <c r="AT310" s="19"/>
      <c r="AU310" s="19"/>
      <c r="AV310" s="19"/>
      <c r="AW310" s="19"/>
      <c r="AX310" s="19"/>
      <c r="AY310" s="19"/>
      <c r="AZ310" s="19"/>
      <c r="BA310" s="19"/>
      <c r="BB310" s="19"/>
      <c r="BC310" s="19"/>
      <c r="BD310" s="19"/>
      <c r="BE310" s="19"/>
      <c r="BF310" s="19"/>
      <c r="BG310" s="19"/>
      <c r="BH310" s="19"/>
      <c r="BI310" s="19"/>
      <c r="BJ310" s="19"/>
      <c r="BK310" s="19"/>
      <c r="BL310" s="19"/>
      <c r="BM310" s="19"/>
      <c r="BN310" s="19"/>
      <c r="BO310" s="19"/>
      <c r="BP310" s="19"/>
      <c r="BQ310" s="19"/>
      <c r="BR310" s="19"/>
      <c r="BS310" s="19"/>
      <c r="BT310" s="19"/>
      <c r="BU310" s="19"/>
      <c r="BV310" s="19"/>
      <c r="BW310" s="19"/>
      <c r="BX310" s="19"/>
      <c r="BY310" s="19"/>
      <c r="BZ310" s="19"/>
      <c r="CA310" s="19"/>
      <c r="CB310" s="19"/>
      <c r="CC310" s="19"/>
      <c r="CD310" s="19"/>
      <c r="CE310" s="19"/>
      <c r="CF310" s="6"/>
    </row>
    <row r="311" spans="1:84">
      <c r="A311" s="17"/>
      <c r="B311" s="17"/>
      <c r="C311" s="17"/>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r="AE311" s="19"/>
      <c r="AF311" s="19"/>
      <c r="AG311" s="19"/>
      <c r="AH311" s="19"/>
      <c r="AI311" s="19"/>
      <c r="AJ311" s="19"/>
      <c r="AK311" s="19"/>
      <c r="AL311" s="19"/>
      <c r="AM311" s="19"/>
      <c r="AN311" s="19"/>
      <c r="AO311" s="19"/>
      <c r="AP311" s="19"/>
      <c r="AQ311" s="19"/>
      <c r="AR311" s="19"/>
      <c r="AS311" s="19"/>
      <c r="AT311" s="19"/>
      <c r="AU311" s="19"/>
      <c r="AV311" s="19"/>
      <c r="AW311" s="19"/>
      <c r="AX311" s="19"/>
      <c r="AY311" s="19"/>
      <c r="AZ311" s="19"/>
      <c r="BA311" s="19"/>
      <c r="BB311" s="19"/>
      <c r="BC311" s="19"/>
      <c r="BD311" s="19"/>
      <c r="BE311" s="19"/>
      <c r="BF311" s="19"/>
      <c r="BG311" s="19"/>
      <c r="BH311" s="19"/>
      <c r="BI311" s="19"/>
      <c r="BJ311" s="19"/>
      <c r="BK311" s="19"/>
      <c r="BL311" s="19"/>
      <c r="BM311" s="19"/>
      <c r="BN311" s="19"/>
      <c r="BO311" s="19"/>
      <c r="BP311" s="19"/>
      <c r="BQ311" s="19"/>
      <c r="BR311" s="19"/>
      <c r="BS311" s="19"/>
      <c r="BT311" s="19"/>
      <c r="BU311" s="19"/>
      <c r="BV311" s="19"/>
      <c r="BW311" s="19"/>
      <c r="BX311" s="19"/>
      <c r="BY311" s="19"/>
      <c r="BZ311" s="19"/>
      <c r="CA311" s="19"/>
      <c r="CB311" s="19"/>
      <c r="CC311" s="19"/>
      <c r="CD311" s="19"/>
      <c r="CE311" s="19"/>
      <c r="CF311" s="6"/>
    </row>
    <row r="312" spans="1:84">
      <c r="A312" s="17"/>
      <c r="B312" s="17"/>
      <c r="C312" s="17"/>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19"/>
      <c r="AE312" s="19"/>
      <c r="AF312" s="19"/>
      <c r="AG312" s="19"/>
      <c r="AH312" s="19"/>
      <c r="AI312" s="19"/>
      <c r="AJ312" s="19"/>
      <c r="AK312" s="19"/>
      <c r="AL312" s="19"/>
      <c r="AM312" s="19"/>
      <c r="AN312" s="19"/>
      <c r="AO312" s="19"/>
      <c r="AP312" s="19"/>
      <c r="AQ312" s="19"/>
      <c r="AR312" s="19"/>
      <c r="AS312" s="19"/>
      <c r="AT312" s="19"/>
      <c r="AU312" s="19"/>
      <c r="AV312" s="19"/>
      <c r="AW312" s="19"/>
      <c r="AX312" s="19"/>
      <c r="AY312" s="19"/>
      <c r="AZ312" s="19"/>
      <c r="BA312" s="19"/>
      <c r="BB312" s="19"/>
      <c r="BC312" s="19"/>
      <c r="BD312" s="19"/>
      <c r="BE312" s="19"/>
      <c r="BF312" s="19"/>
      <c r="BG312" s="19"/>
      <c r="BH312" s="19"/>
      <c r="BI312" s="19"/>
      <c r="BJ312" s="19"/>
      <c r="BK312" s="19"/>
      <c r="BL312" s="19"/>
      <c r="BM312" s="19"/>
      <c r="BN312" s="19"/>
      <c r="BO312" s="19"/>
      <c r="BP312" s="19"/>
      <c r="BQ312" s="19"/>
      <c r="BR312" s="19"/>
      <c r="BS312" s="19"/>
      <c r="BT312" s="19"/>
      <c r="BU312" s="19"/>
      <c r="BV312" s="19"/>
      <c r="BW312" s="19"/>
      <c r="BX312" s="19"/>
      <c r="BY312" s="19"/>
      <c r="BZ312" s="19"/>
      <c r="CA312" s="19"/>
      <c r="CB312" s="19"/>
      <c r="CC312" s="19"/>
      <c r="CD312" s="19"/>
      <c r="CE312" s="19"/>
      <c r="CF312" s="6"/>
    </row>
    <row r="313" spans="1:84">
      <c r="A313" s="17"/>
      <c r="B313" s="17"/>
      <c r="C313" s="17"/>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19"/>
      <c r="AE313" s="19"/>
      <c r="AF313" s="19"/>
      <c r="AG313" s="19"/>
      <c r="AH313" s="19"/>
      <c r="AI313" s="19"/>
      <c r="AJ313" s="19"/>
      <c r="AK313" s="19"/>
      <c r="AL313" s="19"/>
      <c r="AM313" s="19"/>
      <c r="AN313" s="19"/>
      <c r="AO313" s="19"/>
      <c r="AP313" s="19"/>
      <c r="AQ313" s="19"/>
      <c r="AR313" s="19"/>
      <c r="AS313" s="19"/>
      <c r="AT313" s="19"/>
      <c r="AU313" s="19"/>
      <c r="AV313" s="19"/>
      <c r="AW313" s="19"/>
      <c r="AX313" s="19"/>
      <c r="AY313" s="19"/>
      <c r="AZ313" s="19"/>
      <c r="BA313" s="19"/>
      <c r="BB313" s="19"/>
      <c r="BC313" s="19"/>
      <c r="BD313" s="19"/>
      <c r="BE313" s="19"/>
      <c r="BF313" s="19"/>
      <c r="BG313" s="19"/>
      <c r="BH313" s="19"/>
      <c r="BI313" s="19"/>
      <c r="BJ313" s="19"/>
      <c r="BK313" s="19"/>
      <c r="BL313" s="19"/>
      <c r="BM313" s="19"/>
      <c r="BN313" s="19"/>
      <c r="BO313" s="19"/>
      <c r="BP313" s="19"/>
      <c r="BQ313" s="19"/>
      <c r="BR313" s="19"/>
      <c r="BS313" s="19"/>
      <c r="BT313" s="19"/>
      <c r="BU313" s="19"/>
      <c r="BV313" s="19"/>
      <c r="BW313" s="19"/>
      <c r="BX313" s="19"/>
      <c r="BY313" s="19"/>
      <c r="BZ313" s="19"/>
      <c r="CA313" s="19"/>
      <c r="CB313" s="19"/>
      <c r="CC313" s="19"/>
      <c r="CD313" s="19"/>
      <c r="CE313" s="19"/>
      <c r="CF313" s="6"/>
    </row>
    <row r="314" spans="1:84">
      <c r="A314" s="17"/>
      <c r="B314" s="17"/>
      <c r="C314" s="17"/>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9"/>
      <c r="AG314" s="19"/>
      <c r="AH314" s="19"/>
      <c r="AI314" s="19"/>
      <c r="AJ314" s="19"/>
      <c r="AK314" s="19"/>
      <c r="AL314" s="19"/>
      <c r="AM314" s="19"/>
      <c r="AN314" s="19"/>
      <c r="AO314" s="19"/>
      <c r="AP314" s="19"/>
      <c r="AQ314" s="19"/>
      <c r="AR314" s="19"/>
      <c r="AS314" s="19"/>
      <c r="AT314" s="19"/>
      <c r="AU314" s="19"/>
      <c r="AV314" s="19"/>
      <c r="AW314" s="19"/>
      <c r="AX314" s="19"/>
      <c r="AY314" s="19"/>
      <c r="AZ314" s="19"/>
      <c r="BA314" s="19"/>
      <c r="BB314" s="19"/>
      <c r="BC314" s="19"/>
      <c r="BD314" s="19"/>
      <c r="BE314" s="19"/>
      <c r="BF314" s="19"/>
      <c r="BG314" s="19"/>
      <c r="BH314" s="19"/>
      <c r="BI314" s="19"/>
      <c r="BJ314" s="19"/>
      <c r="BK314" s="19"/>
      <c r="BL314" s="19"/>
      <c r="BM314" s="19"/>
      <c r="BN314" s="19"/>
      <c r="BO314" s="19"/>
      <c r="BP314" s="19"/>
      <c r="BQ314" s="19"/>
      <c r="BR314" s="19"/>
      <c r="BS314" s="19"/>
      <c r="BT314" s="19"/>
      <c r="BU314" s="19"/>
      <c r="BV314" s="19"/>
      <c r="BW314" s="19"/>
      <c r="BX314" s="19"/>
      <c r="BY314" s="19"/>
      <c r="BZ314" s="19"/>
      <c r="CA314" s="19"/>
      <c r="CB314" s="19"/>
      <c r="CC314" s="19"/>
      <c r="CD314" s="19"/>
      <c r="CE314" s="19"/>
      <c r="CF314" s="6"/>
    </row>
    <row r="315" spans="1:84">
      <c r="A315" s="17"/>
      <c r="B315" s="17"/>
      <c r="C315" s="17"/>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19"/>
      <c r="AE315" s="19"/>
      <c r="AF315" s="19"/>
      <c r="AG315" s="19"/>
      <c r="AH315" s="19"/>
      <c r="AI315" s="19"/>
      <c r="AJ315" s="19"/>
      <c r="AK315" s="19"/>
      <c r="AL315" s="19"/>
      <c r="AM315" s="19"/>
      <c r="AN315" s="19"/>
      <c r="AO315" s="19"/>
      <c r="AP315" s="19"/>
      <c r="AQ315" s="19"/>
      <c r="AR315" s="19"/>
      <c r="AS315" s="19"/>
      <c r="AT315" s="19"/>
      <c r="AU315" s="19"/>
      <c r="AV315" s="19"/>
      <c r="AW315" s="19"/>
      <c r="AX315" s="19"/>
      <c r="AY315" s="19"/>
      <c r="AZ315" s="19"/>
      <c r="BA315" s="19"/>
      <c r="BB315" s="19"/>
      <c r="BC315" s="19"/>
      <c r="BD315" s="19"/>
      <c r="BE315" s="19"/>
      <c r="BF315" s="19"/>
      <c r="BG315" s="19"/>
      <c r="BH315" s="19"/>
      <c r="BI315" s="19"/>
      <c r="BJ315" s="19"/>
      <c r="BK315" s="19"/>
      <c r="BL315" s="19"/>
      <c r="BM315" s="19"/>
      <c r="BN315" s="19"/>
      <c r="BO315" s="19"/>
      <c r="BP315" s="19"/>
      <c r="BQ315" s="19"/>
      <c r="BR315" s="19"/>
      <c r="BS315" s="19"/>
      <c r="BT315" s="19"/>
      <c r="BU315" s="19"/>
      <c r="BV315" s="19"/>
      <c r="BW315" s="19"/>
      <c r="BX315" s="19"/>
      <c r="BY315" s="19"/>
      <c r="BZ315" s="19"/>
      <c r="CA315" s="19"/>
      <c r="CB315" s="19"/>
      <c r="CC315" s="19"/>
      <c r="CD315" s="19"/>
      <c r="CE315" s="19"/>
      <c r="CF315" s="6"/>
    </row>
    <row r="316" spans="1:84">
      <c r="A316" s="17"/>
      <c r="B316" s="17"/>
      <c r="C316" s="17"/>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c r="AB316" s="19"/>
      <c r="AC316" s="19"/>
      <c r="AD316" s="19"/>
      <c r="AE316" s="19"/>
      <c r="AF316" s="19"/>
      <c r="AG316" s="19"/>
      <c r="AH316" s="19"/>
      <c r="AI316" s="19"/>
      <c r="AJ316" s="19"/>
      <c r="AK316" s="19"/>
      <c r="AL316" s="19"/>
      <c r="AM316" s="19"/>
      <c r="AN316" s="19"/>
      <c r="AO316" s="19"/>
      <c r="AP316" s="19"/>
      <c r="AQ316" s="19"/>
      <c r="AR316" s="19"/>
      <c r="AS316" s="19"/>
      <c r="AT316" s="19"/>
      <c r="AU316" s="19"/>
      <c r="AV316" s="19"/>
      <c r="AW316" s="19"/>
      <c r="AX316" s="19"/>
      <c r="AY316" s="19"/>
      <c r="AZ316" s="19"/>
      <c r="BA316" s="19"/>
      <c r="BB316" s="19"/>
      <c r="BC316" s="19"/>
      <c r="BD316" s="19"/>
      <c r="BE316" s="19"/>
      <c r="BF316" s="19"/>
      <c r="BG316" s="19"/>
      <c r="BH316" s="19"/>
      <c r="BI316" s="19"/>
      <c r="BJ316" s="19"/>
      <c r="BK316" s="19"/>
      <c r="BL316" s="19"/>
      <c r="BM316" s="19"/>
      <c r="BN316" s="19"/>
      <c r="BO316" s="19"/>
      <c r="BP316" s="19"/>
      <c r="BQ316" s="19"/>
      <c r="BR316" s="19"/>
      <c r="BS316" s="19"/>
      <c r="BT316" s="19"/>
      <c r="BU316" s="19"/>
      <c r="BV316" s="19"/>
      <c r="BW316" s="19"/>
      <c r="BX316" s="19"/>
      <c r="BY316" s="19"/>
      <c r="BZ316" s="19"/>
      <c r="CA316" s="19"/>
      <c r="CB316" s="19"/>
      <c r="CC316" s="19"/>
      <c r="CD316" s="19"/>
      <c r="CE316" s="19"/>
      <c r="CF316" s="6"/>
    </row>
    <row r="317" spans="1:84">
      <c r="A317" s="17"/>
      <c r="B317" s="17"/>
      <c r="C317" s="17"/>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c r="AB317" s="19"/>
      <c r="AC317" s="19"/>
      <c r="AD317" s="19"/>
      <c r="AE317" s="19"/>
      <c r="AF317" s="19"/>
      <c r="AG317" s="19"/>
      <c r="AH317" s="19"/>
      <c r="AI317" s="19"/>
      <c r="AJ317" s="19"/>
      <c r="AK317" s="19"/>
      <c r="AL317" s="19"/>
      <c r="AM317" s="19"/>
      <c r="AN317" s="19"/>
      <c r="AO317" s="19"/>
      <c r="AP317" s="19"/>
      <c r="AQ317" s="19"/>
      <c r="AR317" s="19"/>
      <c r="AS317" s="19"/>
      <c r="AT317" s="19"/>
      <c r="AU317" s="19"/>
      <c r="AV317" s="19"/>
      <c r="AW317" s="19"/>
      <c r="AX317" s="19"/>
      <c r="AY317" s="19"/>
      <c r="AZ317" s="19"/>
      <c r="BA317" s="19"/>
      <c r="BB317" s="19"/>
      <c r="BC317" s="19"/>
      <c r="BD317" s="19"/>
      <c r="BE317" s="19"/>
      <c r="BF317" s="19"/>
      <c r="BG317" s="19"/>
      <c r="BH317" s="19"/>
      <c r="BI317" s="19"/>
      <c r="BJ317" s="19"/>
      <c r="BK317" s="19"/>
      <c r="BL317" s="19"/>
      <c r="BM317" s="19"/>
      <c r="BN317" s="19"/>
      <c r="BO317" s="19"/>
      <c r="BP317" s="19"/>
      <c r="BQ317" s="19"/>
      <c r="BR317" s="19"/>
      <c r="BS317" s="19"/>
      <c r="BT317" s="19"/>
      <c r="BU317" s="19"/>
      <c r="BV317" s="19"/>
      <c r="BW317" s="19"/>
      <c r="BX317" s="19"/>
      <c r="BY317" s="19"/>
      <c r="BZ317" s="19"/>
      <c r="CA317" s="19"/>
      <c r="CB317" s="19"/>
      <c r="CC317" s="19"/>
      <c r="CD317" s="19"/>
      <c r="CE317" s="19"/>
      <c r="CF317" s="6"/>
    </row>
    <row r="318" spans="1:84">
      <c r="A318" s="17"/>
      <c r="B318" s="17"/>
      <c r="C318" s="17"/>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9"/>
      <c r="AB318" s="19"/>
      <c r="AC318" s="19"/>
      <c r="AD318" s="19"/>
      <c r="AE318" s="19"/>
      <c r="AF318" s="19"/>
      <c r="AG318" s="19"/>
      <c r="AH318" s="19"/>
      <c r="AI318" s="19"/>
      <c r="AJ318" s="19"/>
      <c r="AK318" s="19"/>
      <c r="AL318" s="19"/>
      <c r="AM318" s="19"/>
      <c r="AN318" s="19"/>
      <c r="AO318" s="19"/>
      <c r="AP318" s="19"/>
      <c r="AQ318" s="19"/>
      <c r="AR318" s="19"/>
      <c r="AS318" s="19"/>
      <c r="AT318" s="19"/>
      <c r="AU318" s="19"/>
      <c r="AV318" s="19"/>
      <c r="AW318" s="19"/>
      <c r="AX318" s="19"/>
      <c r="AY318" s="19"/>
      <c r="AZ318" s="19"/>
      <c r="BA318" s="19"/>
      <c r="BB318" s="19"/>
      <c r="BC318" s="19"/>
      <c r="BD318" s="19"/>
      <c r="BE318" s="19"/>
      <c r="BF318" s="19"/>
      <c r="BG318" s="19"/>
      <c r="BH318" s="19"/>
      <c r="BI318" s="19"/>
      <c r="BJ318" s="19"/>
      <c r="BK318" s="19"/>
      <c r="BL318" s="19"/>
      <c r="BM318" s="19"/>
      <c r="BN318" s="19"/>
      <c r="BO318" s="19"/>
      <c r="BP318" s="19"/>
      <c r="BQ318" s="19"/>
      <c r="BR318" s="19"/>
      <c r="BS318" s="19"/>
      <c r="BT318" s="19"/>
      <c r="BU318" s="19"/>
      <c r="BV318" s="19"/>
      <c r="BW318" s="19"/>
      <c r="BX318" s="19"/>
      <c r="BY318" s="19"/>
      <c r="BZ318" s="19"/>
      <c r="CA318" s="19"/>
      <c r="CB318" s="19"/>
      <c r="CC318" s="19"/>
      <c r="CD318" s="19"/>
      <c r="CE318" s="19"/>
      <c r="CF318" s="6"/>
    </row>
    <row r="319" spans="1:84">
      <c r="A319" s="17"/>
      <c r="B319" s="17"/>
      <c r="C319" s="17"/>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9"/>
      <c r="AB319" s="19"/>
      <c r="AC319" s="19"/>
      <c r="AD319" s="19"/>
      <c r="AE319" s="19"/>
      <c r="AF319" s="19"/>
      <c r="AG319" s="19"/>
      <c r="AH319" s="19"/>
      <c r="AI319" s="19"/>
      <c r="AJ319" s="19"/>
      <c r="AK319" s="19"/>
      <c r="AL319" s="19"/>
      <c r="AM319" s="19"/>
      <c r="AN319" s="19"/>
      <c r="AO319" s="19"/>
      <c r="AP319" s="19"/>
      <c r="AQ319" s="19"/>
      <c r="AR319" s="19"/>
      <c r="AS319" s="19"/>
      <c r="AT319" s="19"/>
      <c r="AU319" s="19"/>
      <c r="AV319" s="19"/>
      <c r="AW319" s="19"/>
      <c r="AX319" s="19"/>
      <c r="AY319" s="19"/>
      <c r="AZ319" s="19"/>
      <c r="BA319" s="19"/>
      <c r="BB319" s="19"/>
      <c r="BC319" s="19"/>
      <c r="BD319" s="19"/>
      <c r="BE319" s="19"/>
      <c r="BF319" s="19"/>
      <c r="BG319" s="19"/>
      <c r="BH319" s="19"/>
      <c r="BI319" s="19"/>
      <c r="BJ319" s="19"/>
      <c r="BK319" s="19"/>
      <c r="BL319" s="19"/>
      <c r="BM319" s="19"/>
      <c r="BN319" s="19"/>
      <c r="BO319" s="19"/>
      <c r="BP319" s="19"/>
      <c r="BQ319" s="19"/>
      <c r="BR319" s="19"/>
      <c r="BS319" s="19"/>
      <c r="BT319" s="19"/>
      <c r="BU319" s="19"/>
      <c r="BV319" s="19"/>
      <c r="BW319" s="19"/>
      <c r="BX319" s="19"/>
      <c r="BY319" s="19"/>
      <c r="BZ319" s="19"/>
      <c r="CA319" s="19"/>
      <c r="CB319" s="19"/>
      <c r="CC319" s="19"/>
      <c r="CD319" s="19"/>
      <c r="CE319" s="19"/>
      <c r="CF319" s="6"/>
    </row>
    <row r="320" spans="1:84">
      <c r="A320" s="17"/>
      <c r="B320" s="17"/>
      <c r="C320" s="17"/>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9"/>
      <c r="AB320" s="19"/>
      <c r="AC320" s="19"/>
      <c r="AD320" s="19"/>
      <c r="AE320" s="19"/>
      <c r="AF320" s="19"/>
      <c r="AG320" s="19"/>
      <c r="AH320" s="19"/>
      <c r="AI320" s="19"/>
      <c r="AJ320" s="19"/>
      <c r="AK320" s="19"/>
      <c r="AL320" s="19"/>
      <c r="AM320" s="19"/>
      <c r="AN320" s="19"/>
      <c r="AO320" s="19"/>
      <c r="AP320" s="19"/>
      <c r="AQ320" s="19"/>
      <c r="AR320" s="19"/>
      <c r="AS320" s="19"/>
      <c r="AT320" s="19"/>
      <c r="AU320" s="19"/>
      <c r="AV320" s="19"/>
      <c r="AW320" s="19"/>
      <c r="AX320" s="19"/>
      <c r="AY320" s="19"/>
      <c r="AZ320" s="19"/>
      <c r="BA320" s="19"/>
      <c r="BB320" s="19"/>
      <c r="BC320" s="19"/>
      <c r="BD320" s="19"/>
      <c r="BE320" s="19"/>
      <c r="BF320" s="19"/>
      <c r="BG320" s="19"/>
      <c r="BH320" s="19"/>
      <c r="BI320" s="19"/>
      <c r="BJ320" s="19"/>
      <c r="BK320" s="19"/>
      <c r="BL320" s="19"/>
      <c r="BM320" s="19"/>
      <c r="BN320" s="19"/>
      <c r="BO320" s="19"/>
      <c r="BP320" s="19"/>
      <c r="BQ320" s="19"/>
      <c r="BR320" s="19"/>
      <c r="BS320" s="19"/>
      <c r="BT320" s="19"/>
      <c r="BU320" s="19"/>
      <c r="BV320" s="19"/>
      <c r="BW320" s="19"/>
      <c r="BX320" s="19"/>
      <c r="BY320" s="19"/>
      <c r="BZ320" s="19"/>
      <c r="CA320" s="19"/>
      <c r="CB320" s="19"/>
      <c r="CC320" s="19"/>
      <c r="CD320" s="19"/>
      <c r="CE320" s="19"/>
      <c r="CF320" s="6"/>
    </row>
    <row r="321" spans="1:84">
      <c r="A321" s="17"/>
      <c r="B321" s="17"/>
      <c r="C321" s="17"/>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9"/>
      <c r="AB321" s="19"/>
      <c r="AC321" s="19"/>
      <c r="AD321" s="19"/>
      <c r="AE321" s="19"/>
      <c r="AF321" s="19"/>
      <c r="AG321" s="19"/>
      <c r="AH321" s="19"/>
      <c r="AI321" s="19"/>
      <c r="AJ321" s="19"/>
      <c r="AK321" s="19"/>
      <c r="AL321" s="19"/>
      <c r="AM321" s="19"/>
      <c r="AN321" s="19"/>
      <c r="AO321" s="19"/>
      <c r="AP321" s="19"/>
      <c r="AQ321" s="19"/>
      <c r="AR321" s="19"/>
      <c r="AS321" s="19"/>
      <c r="AT321" s="19"/>
      <c r="AU321" s="19"/>
      <c r="AV321" s="19"/>
      <c r="AW321" s="19"/>
      <c r="AX321" s="19"/>
      <c r="AY321" s="19"/>
      <c r="AZ321" s="19"/>
      <c r="BA321" s="19"/>
      <c r="BB321" s="19"/>
      <c r="BC321" s="19"/>
      <c r="BD321" s="19"/>
      <c r="BE321" s="19"/>
      <c r="BF321" s="19"/>
      <c r="BG321" s="19"/>
      <c r="BH321" s="19"/>
      <c r="BI321" s="19"/>
      <c r="BJ321" s="19"/>
      <c r="BK321" s="19"/>
      <c r="BL321" s="19"/>
      <c r="BM321" s="19"/>
      <c r="BN321" s="19"/>
      <c r="BO321" s="19"/>
      <c r="BP321" s="19"/>
      <c r="BQ321" s="19"/>
      <c r="BR321" s="19"/>
      <c r="BS321" s="19"/>
      <c r="BT321" s="19"/>
      <c r="BU321" s="19"/>
      <c r="BV321" s="19"/>
      <c r="BW321" s="19"/>
      <c r="BX321" s="19"/>
      <c r="BY321" s="19"/>
      <c r="BZ321" s="19"/>
      <c r="CA321" s="19"/>
      <c r="CB321" s="19"/>
      <c r="CC321" s="19"/>
      <c r="CD321" s="19"/>
      <c r="CE321" s="19"/>
      <c r="CF321" s="6"/>
    </row>
    <row r="322" spans="1:84">
      <c r="A322" s="17"/>
      <c r="B322" s="17"/>
      <c r="C322" s="17"/>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9"/>
      <c r="AB322" s="19"/>
      <c r="AC322" s="19"/>
      <c r="AD322" s="19"/>
      <c r="AE322" s="19"/>
      <c r="AF322" s="19"/>
      <c r="AG322" s="19"/>
      <c r="AH322" s="19"/>
      <c r="AI322" s="19"/>
      <c r="AJ322" s="19"/>
      <c r="AK322" s="19"/>
      <c r="AL322" s="19"/>
      <c r="AM322" s="19"/>
      <c r="AN322" s="19"/>
      <c r="AO322" s="19"/>
      <c r="AP322" s="19"/>
      <c r="AQ322" s="19"/>
      <c r="AR322" s="19"/>
      <c r="AS322" s="19"/>
      <c r="AT322" s="19"/>
      <c r="AU322" s="19"/>
      <c r="AV322" s="19"/>
      <c r="AW322" s="19"/>
      <c r="AX322" s="19"/>
      <c r="AY322" s="19"/>
      <c r="AZ322" s="19"/>
      <c r="BA322" s="19"/>
      <c r="BB322" s="19"/>
      <c r="BC322" s="19"/>
      <c r="BD322" s="19"/>
      <c r="BE322" s="19"/>
      <c r="BF322" s="19"/>
      <c r="BG322" s="19"/>
      <c r="BH322" s="19"/>
      <c r="BI322" s="19"/>
      <c r="BJ322" s="19"/>
      <c r="BK322" s="19"/>
      <c r="BL322" s="19"/>
      <c r="BM322" s="19"/>
      <c r="BN322" s="19"/>
      <c r="BO322" s="19"/>
      <c r="BP322" s="19"/>
      <c r="BQ322" s="19"/>
      <c r="BR322" s="19"/>
      <c r="BS322" s="19"/>
      <c r="BT322" s="19"/>
      <c r="BU322" s="19"/>
      <c r="BV322" s="19"/>
      <c r="BW322" s="19"/>
      <c r="BX322" s="19"/>
      <c r="BY322" s="19"/>
      <c r="BZ322" s="19"/>
      <c r="CA322" s="19"/>
      <c r="CB322" s="19"/>
      <c r="CC322" s="19"/>
      <c r="CD322" s="19"/>
      <c r="CE322" s="19"/>
      <c r="CF322" s="6"/>
    </row>
    <row r="323" spans="1:84">
      <c r="A323" s="17"/>
      <c r="B323" s="17"/>
      <c r="C323" s="17"/>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9"/>
      <c r="AB323" s="19"/>
      <c r="AC323" s="19"/>
      <c r="AD323" s="19"/>
      <c r="AE323" s="19"/>
      <c r="AF323" s="19"/>
      <c r="AG323" s="19"/>
      <c r="AH323" s="19"/>
      <c r="AI323" s="19"/>
      <c r="AJ323" s="19"/>
      <c r="AK323" s="19"/>
      <c r="AL323" s="19"/>
      <c r="AM323" s="19"/>
      <c r="AN323" s="19"/>
      <c r="AO323" s="19"/>
      <c r="AP323" s="19"/>
      <c r="AQ323" s="19"/>
      <c r="AR323" s="19"/>
      <c r="AS323" s="19"/>
      <c r="AT323" s="19"/>
      <c r="AU323" s="19"/>
      <c r="AV323" s="19"/>
      <c r="AW323" s="19"/>
      <c r="AX323" s="19"/>
      <c r="AY323" s="19"/>
      <c r="AZ323" s="19"/>
      <c r="BA323" s="19"/>
      <c r="BB323" s="19"/>
      <c r="BC323" s="19"/>
      <c r="BD323" s="19"/>
      <c r="BE323" s="19"/>
      <c r="BF323" s="19"/>
      <c r="BG323" s="19"/>
      <c r="BH323" s="19"/>
      <c r="BI323" s="19"/>
      <c r="BJ323" s="19"/>
      <c r="BK323" s="19"/>
      <c r="BL323" s="19"/>
      <c r="BM323" s="19"/>
      <c r="BN323" s="19"/>
      <c r="BO323" s="19"/>
      <c r="BP323" s="19"/>
      <c r="BQ323" s="19"/>
      <c r="BR323" s="19"/>
      <c r="BS323" s="19"/>
      <c r="BT323" s="19"/>
      <c r="BU323" s="19"/>
      <c r="BV323" s="19"/>
      <c r="BW323" s="19"/>
      <c r="BX323" s="19"/>
      <c r="BY323" s="19"/>
      <c r="BZ323" s="19"/>
      <c r="CA323" s="19"/>
      <c r="CB323" s="19"/>
      <c r="CC323" s="19"/>
      <c r="CD323" s="19"/>
      <c r="CE323" s="19"/>
      <c r="CF323" s="6"/>
    </row>
    <row r="324" spans="1:84">
      <c r="A324" s="17"/>
      <c r="B324" s="17"/>
      <c r="C324" s="17"/>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9"/>
      <c r="AB324" s="19"/>
      <c r="AC324" s="19"/>
      <c r="AD324" s="19"/>
      <c r="AE324" s="19"/>
      <c r="AF324" s="19"/>
      <c r="AG324" s="19"/>
      <c r="AH324" s="19"/>
      <c r="AI324" s="19"/>
      <c r="AJ324" s="19"/>
      <c r="AK324" s="19"/>
      <c r="AL324" s="19"/>
      <c r="AM324" s="19"/>
      <c r="AN324" s="19"/>
      <c r="AO324" s="19"/>
      <c r="AP324" s="19"/>
      <c r="AQ324" s="19"/>
      <c r="AR324" s="19"/>
      <c r="AS324" s="19"/>
      <c r="AT324" s="19"/>
      <c r="AU324" s="19"/>
      <c r="AV324" s="19"/>
      <c r="AW324" s="19"/>
      <c r="AX324" s="19"/>
      <c r="AY324" s="19"/>
      <c r="AZ324" s="19"/>
      <c r="BA324" s="19"/>
      <c r="BB324" s="19"/>
      <c r="BC324" s="19"/>
      <c r="BD324" s="19"/>
      <c r="BE324" s="19"/>
      <c r="BF324" s="19"/>
      <c r="BG324" s="19"/>
      <c r="BH324" s="19"/>
      <c r="BI324" s="19"/>
      <c r="BJ324" s="19"/>
      <c r="BK324" s="19"/>
      <c r="BL324" s="19"/>
      <c r="BM324" s="19"/>
      <c r="BN324" s="19"/>
      <c r="BO324" s="19"/>
      <c r="BP324" s="19"/>
      <c r="BQ324" s="19"/>
      <c r="BR324" s="19"/>
      <c r="BS324" s="19"/>
      <c r="BT324" s="19"/>
      <c r="BU324" s="19"/>
      <c r="BV324" s="19"/>
      <c r="BW324" s="19"/>
      <c r="BX324" s="19"/>
      <c r="BY324" s="19"/>
      <c r="BZ324" s="19"/>
      <c r="CA324" s="19"/>
      <c r="CB324" s="19"/>
      <c r="CC324" s="19"/>
      <c r="CD324" s="19"/>
      <c r="CE324" s="19"/>
      <c r="CF324" s="6"/>
    </row>
    <row r="325" spans="1:84">
      <c r="A325" s="17"/>
      <c r="B325" s="17"/>
      <c r="C325" s="17"/>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9"/>
      <c r="AB325" s="19"/>
      <c r="AC325" s="19"/>
      <c r="AD325" s="19"/>
      <c r="AE325" s="19"/>
      <c r="AF325" s="19"/>
      <c r="AG325" s="19"/>
      <c r="AH325" s="19"/>
      <c r="AI325" s="19"/>
      <c r="AJ325" s="19"/>
      <c r="AK325" s="19"/>
      <c r="AL325" s="19"/>
      <c r="AM325" s="19"/>
      <c r="AN325" s="19"/>
      <c r="AO325" s="19"/>
      <c r="AP325" s="19"/>
      <c r="AQ325" s="19"/>
      <c r="AR325" s="19"/>
      <c r="AS325" s="19"/>
      <c r="AT325" s="19"/>
      <c r="AU325" s="19"/>
      <c r="AV325" s="19"/>
      <c r="AW325" s="19"/>
      <c r="AX325" s="19"/>
      <c r="AY325" s="19"/>
      <c r="AZ325" s="19"/>
      <c r="BA325" s="19"/>
      <c r="BB325" s="19"/>
      <c r="BC325" s="19"/>
      <c r="BD325" s="19"/>
      <c r="BE325" s="19"/>
      <c r="BF325" s="19"/>
      <c r="BG325" s="19"/>
      <c r="BH325" s="19"/>
      <c r="BI325" s="19"/>
      <c r="BJ325" s="19"/>
      <c r="BK325" s="19"/>
      <c r="BL325" s="19"/>
      <c r="BM325" s="19"/>
      <c r="BN325" s="19"/>
      <c r="BO325" s="19"/>
      <c r="BP325" s="19"/>
      <c r="BQ325" s="19"/>
      <c r="BR325" s="19"/>
      <c r="BS325" s="19"/>
      <c r="BT325" s="19"/>
      <c r="BU325" s="19"/>
      <c r="BV325" s="19"/>
      <c r="BW325" s="19"/>
      <c r="BX325" s="19"/>
      <c r="BY325" s="19"/>
      <c r="BZ325" s="19"/>
      <c r="CA325" s="19"/>
      <c r="CB325" s="19"/>
      <c r="CC325" s="19"/>
      <c r="CD325" s="19"/>
      <c r="CE325" s="19"/>
      <c r="CF325" s="6"/>
    </row>
    <row r="326" spans="1:84">
      <c r="A326" s="17"/>
      <c r="B326" s="17"/>
      <c r="C326" s="17"/>
      <c r="D326" s="19"/>
      <c r="E326" s="19"/>
      <c r="F326" s="19"/>
      <c r="G326" s="19"/>
      <c r="H326" s="19"/>
      <c r="I326" s="19"/>
      <c r="J326" s="19"/>
      <c r="K326" s="19"/>
      <c r="L326" s="19"/>
      <c r="M326" s="19"/>
      <c r="N326" s="19"/>
      <c r="O326" s="19"/>
      <c r="P326" s="19"/>
      <c r="Q326" s="19"/>
      <c r="R326" s="19"/>
      <c r="S326" s="19"/>
      <c r="T326" s="19"/>
      <c r="U326" s="19"/>
      <c r="V326" s="19"/>
      <c r="W326" s="19"/>
      <c r="X326" s="19"/>
      <c r="Y326" s="19"/>
      <c r="Z326" s="19"/>
      <c r="AA326" s="19"/>
      <c r="AB326" s="19"/>
      <c r="AC326" s="19"/>
      <c r="AD326" s="19"/>
      <c r="AE326" s="19"/>
      <c r="AF326" s="19"/>
      <c r="AG326" s="19"/>
      <c r="AH326" s="19"/>
      <c r="AI326" s="19"/>
      <c r="AJ326" s="19"/>
      <c r="AK326" s="19"/>
      <c r="AL326" s="19"/>
      <c r="AM326" s="19"/>
      <c r="AN326" s="19"/>
      <c r="AO326" s="19"/>
      <c r="AP326" s="19"/>
      <c r="AQ326" s="19"/>
      <c r="AR326" s="19"/>
      <c r="AS326" s="19"/>
      <c r="AT326" s="19"/>
      <c r="AU326" s="19"/>
      <c r="AV326" s="19"/>
      <c r="AW326" s="19"/>
      <c r="AX326" s="19"/>
      <c r="AY326" s="19"/>
      <c r="AZ326" s="19"/>
      <c r="BA326" s="19"/>
      <c r="BB326" s="19"/>
      <c r="BC326" s="19"/>
      <c r="BD326" s="19"/>
      <c r="BE326" s="19"/>
      <c r="BF326" s="19"/>
      <c r="BG326" s="19"/>
      <c r="BH326" s="19"/>
      <c r="BI326" s="19"/>
      <c r="BJ326" s="19"/>
      <c r="BK326" s="19"/>
      <c r="BL326" s="19"/>
      <c r="BM326" s="19"/>
      <c r="BN326" s="19"/>
      <c r="BO326" s="19"/>
      <c r="BP326" s="19"/>
      <c r="BQ326" s="19"/>
      <c r="BR326" s="19"/>
      <c r="BS326" s="19"/>
      <c r="BT326" s="19"/>
      <c r="BU326" s="19"/>
      <c r="BV326" s="19"/>
      <c r="BW326" s="19"/>
      <c r="BX326" s="19"/>
      <c r="BY326" s="19"/>
      <c r="BZ326" s="19"/>
      <c r="CA326" s="19"/>
      <c r="CB326" s="19"/>
      <c r="CC326" s="19"/>
      <c r="CD326" s="19"/>
      <c r="CE326" s="19"/>
      <c r="CF326" s="6"/>
    </row>
    <row r="327" spans="1:84">
      <c r="A327" s="17"/>
      <c r="B327" s="17"/>
      <c r="C327" s="17"/>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9"/>
      <c r="AB327" s="19"/>
      <c r="AC327" s="19"/>
      <c r="AD327" s="19"/>
      <c r="AE327" s="19"/>
      <c r="AF327" s="19"/>
      <c r="AG327" s="19"/>
      <c r="AH327" s="19"/>
      <c r="AI327" s="19"/>
      <c r="AJ327" s="19"/>
      <c r="AK327" s="19"/>
      <c r="AL327" s="19"/>
      <c r="AM327" s="19"/>
      <c r="AN327" s="19"/>
      <c r="AO327" s="19"/>
      <c r="AP327" s="19"/>
      <c r="AQ327" s="19"/>
      <c r="AR327" s="19"/>
      <c r="AS327" s="19"/>
      <c r="AT327" s="19"/>
      <c r="AU327" s="19"/>
      <c r="AV327" s="19"/>
      <c r="AW327" s="19"/>
      <c r="AX327" s="19"/>
      <c r="AY327" s="19"/>
      <c r="AZ327" s="19"/>
      <c r="BA327" s="19"/>
      <c r="BB327" s="19"/>
      <c r="BC327" s="19"/>
      <c r="BD327" s="19"/>
      <c r="BE327" s="19"/>
      <c r="BF327" s="19"/>
      <c r="BG327" s="19"/>
      <c r="BH327" s="19"/>
      <c r="BI327" s="19"/>
      <c r="BJ327" s="19"/>
      <c r="BK327" s="19"/>
      <c r="BL327" s="19"/>
      <c r="BM327" s="19"/>
      <c r="BN327" s="19"/>
      <c r="BO327" s="19"/>
      <c r="BP327" s="19"/>
      <c r="BQ327" s="19"/>
      <c r="BR327" s="19"/>
      <c r="BS327" s="19"/>
      <c r="BT327" s="19"/>
      <c r="BU327" s="19"/>
      <c r="BV327" s="19"/>
      <c r="BW327" s="19"/>
      <c r="BX327" s="19"/>
      <c r="BY327" s="19"/>
      <c r="BZ327" s="19"/>
      <c r="CA327" s="19"/>
      <c r="CB327" s="19"/>
      <c r="CC327" s="19"/>
      <c r="CD327" s="19"/>
      <c r="CE327" s="19"/>
      <c r="CF327" s="6"/>
    </row>
    <row r="328" spans="1:84">
      <c r="A328" s="17"/>
      <c r="B328" s="17"/>
      <c r="C328" s="17"/>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9"/>
      <c r="AB328" s="19"/>
      <c r="AC328" s="19"/>
      <c r="AD328" s="19"/>
      <c r="AE328" s="19"/>
      <c r="AF328" s="19"/>
      <c r="AG328" s="19"/>
      <c r="AH328" s="19"/>
      <c r="AI328" s="19"/>
      <c r="AJ328" s="19"/>
      <c r="AK328" s="19"/>
      <c r="AL328" s="19"/>
      <c r="AM328" s="19"/>
      <c r="AN328" s="19"/>
      <c r="AO328" s="19"/>
      <c r="AP328" s="19"/>
      <c r="AQ328" s="19"/>
      <c r="AR328" s="19"/>
      <c r="AS328" s="19"/>
      <c r="AT328" s="19"/>
      <c r="AU328" s="19"/>
      <c r="AV328" s="19"/>
      <c r="AW328" s="19"/>
      <c r="AX328" s="19"/>
      <c r="AY328" s="19"/>
      <c r="AZ328" s="19"/>
      <c r="BA328" s="19"/>
      <c r="BB328" s="19"/>
      <c r="BC328" s="19"/>
      <c r="BD328" s="19"/>
      <c r="BE328" s="19"/>
      <c r="BF328" s="19"/>
      <c r="BG328" s="19"/>
      <c r="BH328" s="19"/>
      <c r="BI328" s="19"/>
      <c r="BJ328" s="19"/>
      <c r="BK328" s="19"/>
      <c r="BL328" s="19"/>
      <c r="BM328" s="19"/>
      <c r="BN328" s="19"/>
      <c r="BO328" s="19"/>
      <c r="BP328" s="19"/>
      <c r="BQ328" s="19"/>
      <c r="BR328" s="19"/>
      <c r="BS328" s="19"/>
      <c r="BT328" s="19"/>
      <c r="BU328" s="19"/>
      <c r="BV328" s="19"/>
      <c r="BW328" s="19"/>
      <c r="BX328" s="19"/>
      <c r="BY328" s="19"/>
      <c r="BZ328" s="19"/>
      <c r="CA328" s="19"/>
      <c r="CB328" s="19"/>
      <c r="CC328" s="19"/>
      <c r="CD328" s="19"/>
      <c r="CE328" s="19"/>
      <c r="CF328" s="6"/>
    </row>
    <row r="329" spans="1:84">
      <c r="A329" s="17"/>
      <c r="B329" s="17"/>
      <c r="C329" s="17"/>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9"/>
      <c r="AB329" s="19"/>
      <c r="AC329" s="19"/>
      <c r="AD329" s="19"/>
      <c r="AE329" s="19"/>
      <c r="AF329" s="19"/>
      <c r="AG329" s="19"/>
      <c r="AH329" s="19"/>
      <c r="AI329" s="19"/>
      <c r="AJ329" s="19"/>
      <c r="AK329" s="19"/>
      <c r="AL329" s="19"/>
      <c r="AM329" s="19"/>
      <c r="AN329" s="19"/>
      <c r="AO329" s="19"/>
      <c r="AP329" s="19"/>
      <c r="AQ329" s="19"/>
      <c r="AR329" s="19"/>
      <c r="AS329" s="19"/>
      <c r="AT329" s="19"/>
      <c r="AU329" s="19"/>
      <c r="AV329" s="19"/>
      <c r="AW329" s="19"/>
      <c r="AX329" s="19"/>
      <c r="AY329" s="19"/>
      <c r="AZ329" s="19"/>
      <c r="BA329" s="19"/>
      <c r="BB329" s="19"/>
      <c r="BC329" s="19"/>
      <c r="BD329" s="19"/>
      <c r="BE329" s="19"/>
      <c r="BF329" s="19"/>
      <c r="BG329" s="19"/>
      <c r="BH329" s="19"/>
      <c r="BI329" s="19"/>
      <c r="BJ329" s="19"/>
      <c r="BK329" s="19"/>
      <c r="BL329" s="19"/>
      <c r="BM329" s="19"/>
      <c r="BN329" s="19"/>
      <c r="BO329" s="19"/>
      <c r="BP329" s="19"/>
      <c r="BQ329" s="19"/>
      <c r="BR329" s="19"/>
      <c r="BS329" s="19"/>
      <c r="BT329" s="19"/>
      <c r="BU329" s="19"/>
      <c r="BV329" s="19"/>
      <c r="BW329" s="19"/>
      <c r="BX329" s="19"/>
      <c r="BY329" s="19"/>
      <c r="BZ329" s="19"/>
      <c r="CA329" s="19"/>
      <c r="CB329" s="19"/>
      <c r="CC329" s="19"/>
      <c r="CD329" s="19"/>
      <c r="CE329" s="19"/>
      <c r="CF329" s="6"/>
    </row>
    <row r="330" spans="1:84">
      <c r="A330" s="17"/>
      <c r="B330" s="17"/>
      <c r="C330" s="17"/>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9"/>
      <c r="AB330" s="19"/>
      <c r="AC330" s="19"/>
      <c r="AD330" s="19"/>
      <c r="AE330" s="19"/>
      <c r="AF330" s="19"/>
      <c r="AG330" s="19"/>
      <c r="AH330" s="19"/>
      <c r="AI330" s="19"/>
      <c r="AJ330" s="19"/>
      <c r="AK330" s="19"/>
      <c r="AL330" s="19"/>
      <c r="AM330" s="19"/>
      <c r="AN330" s="19"/>
      <c r="AO330" s="19"/>
      <c r="AP330" s="19"/>
      <c r="AQ330" s="19"/>
      <c r="AR330" s="19"/>
      <c r="AS330" s="19"/>
      <c r="AT330" s="19"/>
      <c r="AU330" s="19"/>
      <c r="AV330" s="19"/>
      <c r="AW330" s="19"/>
      <c r="AX330" s="19"/>
      <c r="AY330" s="19"/>
      <c r="AZ330" s="19"/>
      <c r="BA330" s="19"/>
      <c r="BB330" s="19"/>
      <c r="BC330" s="19"/>
      <c r="BD330" s="19"/>
      <c r="BE330" s="19"/>
      <c r="BF330" s="19"/>
      <c r="BG330" s="19"/>
      <c r="BH330" s="19"/>
      <c r="BI330" s="19"/>
      <c r="BJ330" s="19"/>
      <c r="BK330" s="19"/>
      <c r="BL330" s="19"/>
      <c r="BM330" s="19"/>
      <c r="BN330" s="19"/>
      <c r="BO330" s="19"/>
      <c r="BP330" s="19"/>
      <c r="BQ330" s="19"/>
      <c r="BR330" s="19"/>
      <c r="BS330" s="19"/>
      <c r="BT330" s="19"/>
      <c r="BU330" s="19"/>
      <c r="BV330" s="19"/>
      <c r="BW330" s="19"/>
      <c r="BX330" s="19"/>
      <c r="BY330" s="19"/>
      <c r="BZ330" s="19"/>
      <c r="CA330" s="19"/>
      <c r="CB330" s="19"/>
      <c r="CC330" s="19"/>
      <c r="CD330" s="19"/>
      <c r="CE330" s="19"/>
      <c r="CF330" s="6"/>
    </row>
    <row r="331" spans="1:84">
      <c r="A331" s="17"/>
      <c r="B331" s="17"/>
      <c r="C331" s="17"/>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9"/>
      <c r="AB331" s="19"/>
      <c r="AC331" s="19"/>
      <c r="AD331" s="19"/>
      <c r="AE331" s="19"/>
      <c r="AF331" s="19"/>
      <c r="AG331" s="19"/>
      <c r="AH331" s="19"/>
      <c r="AI331" s="19"/>
      <c r="AJ331" s="19"/>
      <c r="AK331" s="19"/>
      <c r="AL331" s="19"/>
      <c r="AM331" s="19"/>
      <c r="AN331" s="19"/>
      <c r="AO331" s="19"/>
      <c r="AP331" s="19"/>
      <c r="AQ331" s="19"/>
      <c r="AR331" s="19"/>
      <c r="AS331" s="19"/>
      <c r="AT331" s="19"/>
      <c r="AU331" s="19"/>
      <c r="AV331" s="19"/>
      <c r="AW331" s="19"/>
      <c r="AX331" s="19"/>
      <c r="AY331" s="19"/>
      <c r="AZ331" s="19"/>
      <c r="BA331" s="19"/>
      <c r="BB331" s="19"/>
      <c r="BC331" s="19"/>
      <c r="BD331" s="19"/>
      <c r="BE331" s="19"/>
      <c r="BF331" s="19"/>
      <c r="BG331" s="19"/>
      <c r="BH331" s="19"/>
      <c r="BI331" s="19"/>
      <c r="BJ331" s="19"/>
      <c r="BK331" s="19"/>
      <c r="BL331" s="19"/>
      <c r="BM331" s="19"/>
      <c r="BN331" s="19"/>
      <c r="BO331" s="19"/>
      <c r="BP331" s="19"/>
      <c r="BQ331" s="19"/>
      <c r="BR331" s="19"/>
      <c r="BS331" s="19"/>
      <c r="BT331" s="19"/>
      <c r="BU331" s="19"/>
      <c r="BV331" s="19"/>
      <c r="BW331" s="19"/>
      <c r="BX331" s="19"/>
      <c r="BY331" s="19"/>
      <c r="BZ331" s="19"/>
      <c r="CA331" s="19"/>
      <c r="CB331" s="19"/>
      <c r="CC331" s="19"/>
      <c r="CD331" s="19"/>
      <c r="CE331" s="19"/>
      <c r="CF331" s="6"/>
    </row>
    <row r="332" spans="1:84">
      <c r="A332" s="17"/>
      <c r="B332" s="17"/>
      <c r="C332" s="17"/>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9"/>
      <c r="AB332" s="19"/>
      <c r="AC332" s="19"/>
      <c r="AD332" s="19"/>
      <c r="AE332" s="19"/>
      <c r="AF332" s="19"/>
      <c r="AG332" s="19"/>
      <c r="AH332" s="19"/>
      <c r="AI332" s="19"/>
      <c r="AJ332" s="19"/>
      <c r="AK332" s="19"/>
      <c r="AL332" s="19"/>
      <c r="AM332" s="19"/>
      <c r="AN332" s="19"/>
      <c r="AO332" s="19"/>
      <c r="AP332" s="19"/>
      <c r="AQ332" s="19"/>
      <c r="AR332" s="19"/>
      <c r="AS332" s="19"/>
      <c r="AT332" s="19"/>
      <c r="AU332" s="19"/>
      <c r="AV332" s="19"/>
      <c r="AW332" s="19"/>
      <c r="AX332" s="19"/>
      <c r="AY332" s="19"/>
      <c r="AZ332" s="19"/>
      <c r="BA332" s="19"/>
      <c r="BB332" s="19"/>
      <c r="BC332" s="19"/>
      <c r="BD332" s="19"/>
      <c r="BE332" s="19"/>
      <c r="BF332" s="19"/>
      <c r="BG332" s="19"/>
      <c r="BH332" s="19"/>
      <c r="BI332" s="19"/>
      <c r="BJ332" s="19"/>
      <c r="BK332" s="19"/>
      <c r="BL332" s="19"/>
      <c r="BM332" s="19"/>
      <c r="BN332" s="19"/>
      <c r="BO332" s="19"/>
      <c r="BP332" s="19"/>
      <c r="BQ332" s="19"/>
      <c r="BR332" s="19"/>
      <c r="BS332" s="19"/>
      <c r="BT332" s="19"/>
      <c r="BU332" s="19"/>
      <c r="BV332" s="19"/>
      <c r="BW332" s="19"/>
      <c r="BX332" s="19"/>
      <c r="BY332" s="19"/>
      <c r="BZ332" s="19"/>
      <c r="CA332" s="19"/>
      <c r="CB332" s="19"/>
      <c r="CC332" s="19"/>
      <c r="CD332" s="19"/>
      <c r="CE332" s="19"/>
      <c r="CF332" s="6"/>
    </row>
    <row r="333" spans="1:84">
      <c r="A333" s="17"/>
      <c r="B333" s="17"/>
      <c r="C333" s="17"/>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9"/>
      <c r="AB333" s="19"/>
      <c r="AC333" s="19"/>
      <c r="AD333" s="19"/>
      <c r="AE333" s="19"/>
      <c r="AF333" s="19"/>
      <c r="AG333" s="19"/>
      <c r="AH333" s="19"/>
      <c r="AI333" s="19"/>
      <c r="AJ333" s="19"/>
      <c r="AK333" s="19"/>
      <c r="AL333" s="19"/>
      <c r="AM333" s="19"/>
      <c r="AN333" s="19"/>
      <c r="AO333" s="19"/>
      <c r="AP333" s="19"/>
      <c r="AQ333" s="19"/>
      <c r="AR333" s="19"/>
      <c r="AS333" s="19"/>
      <c r="AT333" s="19"/>
      <c r="AU333" s="19"/>
      <c r="AV333" s="19"/>
      <c r="AW333" s="19"/>
      <c r="AX333" s="19"/>
      <c r="AY333" s="19"/>
      <c r="AZ333" s="19"/>
      <c r="BA333" s="19"/>
      <c r="BB333" s="19"/>
      <c r="BC333" s="19"/>
      <c r="BD333" s="19"/>
      <c r="BE333" s="19"/>
      <c r="BF333" s="19"/>
      <c r="BG333" s="19"/>
      <c r="BH333" s="19"/>
      <c r="BI333" s="19"/>
      <c r="BJ333" s="19"/>
      <c r="BK333" s="19"/>
      <c r="BL333" s="19"/>
      <c r="BM333" s="19"/>
      <c r="BN333" s="19"/>
      <c r="BO333" s="19"/>
      <c r="BP333" s="19"/>
      <c r="BQ333" s="19"/>
      <c r="BR333" s="19"/>
      <c r="BS333" s="19"/>
      <c r="BT333" s="19"/>
      <c r="BU333" s="19"/>
      <c r="BV333" s="19"/>
      <c r="BW333" s="19"/>
      <c r="BX333" s="19"/>
      <c r="BY333" s="19"/>
      <c r="BZ333" s="19"/>
      <c r="CA333" s="19"/>
      <c r="CB333" s="19"/>
      <c r="CC333" s="19"/>
      <c r="CD333" s="19"/>
      <c r="CE333" s="19"/>
      <c r="CF333" s="6"/>
    </row>
    <row r="334" spans="1:84">
      <c r="D334" s="6"/>
      <c r="E334" s="6"/>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6"/>
      <c r="AZ334" s="6"/>
      <c r="BA334" s="6"/>
      <c r="BB334" s="6"/>
      <c r="BC334" s="6"/>
      <c r="BD334" s="6"/>
      <c r="BE334" s="6"/>
      <c r="BF334" s="6"/>
      <c r="BG334" s="6"/>
      <c r="BH334" s="6"/>
      <c r="BI334" s="6"/>
      <c r="BJ334" s="6"/>
      <c r="BK334" s="6"/>
      <c r="BL334" s="6"/>
      <c r="BM334" s="6"/>
      <c r="BN334" s="6"/>
      <c r="BO334" s="6"/>
      <c r="BP334" s="6"/>
      <c r="BQ334" s="6"/>
      <c r="BR334" s="6"/>
      <c r="BS334" s="6"/>
      <c r="BT334" s="6"/>
      <c r="BU334" s="6"/>
      <c r="BV334" s="6"/>
      <c r="BW334" s="6"/>
      <c r="BX334" s="6"/>
      <c r="BY334" s="6"/>
      <c r="BZ334" s="6"/>
      <c r="CA334" s="6"/>
      <c r="CB334" s="6"/>
      <c r="CC334" s="6"/>
      <c r="CD334" s="6"/>
      <c r="CE334" s="6"/>
      <c r="CF334" s="6"/>
    </row>
    <row r="335" spans="1:84">
      <c r="D335" s="6"/>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6"/>
      <c r="AZ335" s="6"/>
      <c r="BA335" s="6"/>
      <c r="BB335" s="6"/>
      <c r="BC335" s="6"/>
      <c r="BD335" s="6"/>
      <c r="BE335" s="6"/>
      <c r="BF335" s="6"/>
      <c r="BG335" s="6"/>
      <c r="BH335" s="6"/>
      <c r="BI335" s="6"/>
      <c r="BJ335" s="6"/>
      <c r="BK335" s="6"/>
      <c r="BL335" s="6"/>
      <c r="BM335" s="6"/>
      <c r="BN335" s="6"/>
      <c r="BO335" s="6"/>
      <c r="BP335" s="6"/>
      <c r="BQ335" s="6"/>
      <c r="BR335" s="6"/>
      <c r="BS335" s="6"/>
      <c r="BT335" s="6"/>
      <c r="BU335" s="6"/>
      <c r="BV335" s="6"/>
      <c r="BW335" s="6"/>
      <c r="BX335" s="6"/>
      <c r="BY335" s="6"/>
      <c r="BZ335" s="6"/>
      <c r="CA335" s="6"/>
      <c r="CB335" s="6"/>
      <c r="CC335" s="6"/>
      <c r="CD335" s="6"/>
      <c r="CE335" s="6"/>
      <c r="CF335" s="6"/>
    </row>
    <row r="336" spans="1:84">
      <c r="D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c r="AZ336" s="6"/>
      <c r="BA336" s="6"/>
      <c r="BB336" s="6"/>
      <c r="BC336" s="6"/>
      <c r="BD336" s="6"/>
      <c r="BE336" s="6"/>
      <c r="BF336" s="6"/>
      <c r="BG336" s="6"/>
      <c r="BH336" s="6"/>
      <c r="BI336" s="6"/>
      <c r="BJ336" s="6"/>
      <c r="BK336" s="6"/>
      <c r="BL336" s="6"/>
      <c r="BM336" s="6"/>
      <c r="BN336" s="6"/>
      <c r="BO336" s="6"/>
      <c r="BP336" s="6"/>
      <c r="BQ336" s="6"/>
      <c r="BR336" s="6"/>
      <c r="BS336" s="6"/>
      <c r="BT336" s="6"/>
      <c r="BU336" s="6"/>
      <c r="BV336" s="6"/>
      <c r="BW336" s="6"/>
      <c r="BX336" s="6"/>
      <c r="BY336" s="6"/>
      <c r="BZ336" s="6"/>
      <c r="CA336" s="6"/>
      <c r="CB336" s="6"/>
      <c r="CC336" s="6"/>
      <c r="CD336" s="6"/>
      <c r="CE336" s="6"/>
      <c r="CF336" s="6"/>
    </row>
    <row r="337" spans="4:84">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c r="AZ337" s="6"/>
      <c r="BA337" s="6"/>
      <c r="BB337" s="6"/>
      <c r="BC337" s="6"/>
      <c r="BD337" s="6"/>
      <c r="BE337" s="6"/>
      <c r="BF337" s="6"/>
      <c r="BG337" s="6"/>
      <c r="BH337" s="6"/>
      <c r="BI337" s="6"/>
      <c r="BJ337" s="6"/>
      <c r="BK337" s="6"/>
      <c r="BL337" s="6"/>
      <c r="BM337" s="6"/>
      <c r="BN337" s="6"/>
      <c r="BO337" s="6"/>
      <c r="BP337" s="6"/>
      <c r="BQ337" s="6"/>
      <c r="BR337" s="6"/>
      <c r="BS337" s="6"/>
      <c r="BT337" s="6"/>
      <c r="BU337" s="6"/>
      <c r="BV337" s="6"/>
      <c r="BW337" s="6"/>
      <c r="BX337" s="6"/>
      <c r="BY337" s="6"/>
      <c r="BZ337" s="6"/>
      <c r="CA337" s="6"/>
      <c r="CB337" s="6"/>
      <c r="CC337" s="6"/>
      <c r="CD337" s="6"/>
      <c r="CE337" s="6"/>
      <c r="CF337" s="6"/>
    </row>
    <row r="338" spans="4:84">
      <c r="D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c r="AZ338" s="6"/>
      <c r="BA338" s="6"/>
      <c r="BB338" s="6"/>
      <c r="BC338" s="6"/>
      <c r="BD338" s="6"/>
      <c r="BE338" s="6"/>
      <c r="BF338" s="6"/>
      <c r="BG338" s="6"/>
      <c r="BH338" s="6"/>
      <c r="BI338" s="6"/>
      <c r="BJ338" s="6"/>
      <c r="BK338" s="6"/>
      <c r="BL338" s="6"/>
      <c r="BM338" s="6"/>
      <c r="BN338" s="6"/>
      <c r="BO338" s="6"/>
      <c r="BP338" s="6"/>
      <c r="BQ338" s="6"/>
      <c r="BR338" s="6"/>
      <c r="BS338" s="6"/>
      <c r="BT338" s="6"/>
      <c r="BU338" s="6"/>
      <c r="BV338" s="6"/>
      <c r="BW338" s="6"/>
      <c r="BX338" s="6"/>
      <c r="BY338" s="6"/>
      <c r="BZ338" s="6"/>
      <c r="CA338" s="6"/>
      <c r="CB338" s="6"/>
      <c r="CC338" s="6"/>
      <c r="CD338" s="6"/>
      <c r="CE338" s="6"/>
      <c r="CF338" s="6"/>
    </row>
    <row r="339" spans="4:84">
      <c r="D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c r="AZ339" s="6"/>
      <c r="BA339" s="6"/>
      <c r="BB339" s="6"/>
      <c r="BC339" s="6"/>
      <c r="BD339" s="6"/>
      <c r="BE339" s="6"/>
      <c r="BF339" s="6"/>
      <c r="BG339" s="6"/>
      <c r="BH339" s="6"/>
      <c r="BI339" s="6"/>
      <c r="BJ339" s="6"/>
      <c r="BK339" s="6"/>
      <c r="BL339" s="6"/>
      <c r="BM339" s="6"/>
      <c r="BN339" s="6"/>
      <c r="BO339" s="6"/>
      <c r="BP339" s="6"/>
      <c r="BQ339" s="6"/>
      <c r="BR339" s="6"/>
      <c r="BS339" s="6"/>
      <c r="BT339" s="6"/>
      <c r="BU339" s="6"/>
      <c r="BV339" s="6"/>
      <c r="BW339" s="6"/>
      <c r="BX339" s="6"/>
      <c r="BY339" s="6"/>
      <c r="BZ339" s="6"/>
      <c r="CA339" s="6"/>
      <c r="CB339" s="6"/>
      <c r="CC339" s="6"/>
      <c r="CD339" s="6"/>
      <c r="CE339" s="6"/>
      <c r="CF339" s="6"/>
    </row>
    <row r="340" spans="4:84">
      <c r="D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c r="AZ340" s="6"/>
      <c r="BA340" s="6"/>
      <c r="BB340" s="6"/>
      <c r="BC340" s="6"/>
      <c r="BD340" s="6"/>
      <c r="BE340" s="6"/>
      <c r="BF340" s="6"/>
      <c r="BG340" s="6"/>
      <c r="BH340" s="6"/>
      <c r="BI340" s="6"/>
      <c r="BJ340" s="6"/>
      <c r="BK340" s="6"/>
      <c r="BL340" s="6"/>
      <c r="BM340" s="6"/>
      <c r="BN340" s="6"/>
      <c r="BO340" s="6"/>
      <c r="BP340" s="6"/>
      <c r="BQ340" s="6"/>
      <c r="BR340" s="6"/>
      <c r="BS340" s="6"/>
      <c r="BT340" s="6"/>
      <c r="BU340" s="6"/>
      <c r="BV340" s="6"/>
      <c r="BW340" s="6"/>
      <c r="BX340" s="6"/>
      <c r="BY340" s="6"/>
      <c r="BZ340" s="6"/>
      <c r="CA340" s="6"/>
      <c r="CB340" s="6"/>
      <c r="CC340" s="6"/>
      <c r="CD340" s="6"/>
      <c r="CE340" s="6"/>
      <c r="CF340" s="6"/>
    </row>
    <row r="341" spans="4:84">
      <c r="D341" s="6"/>
      <c r="E341" s="6"/>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6"/>
      <c r="AZ341" s="6"/>
      <c r="BA341" s="6"/>
      <c r="BB341" s="6"/>
      <c r="BC341" s="6"/>
      <c r="BD341" s="6"/>
      <c r="BE341" s="6"/>
      <c r="BF341" s="6"/>
      <c r="BG341" s="6"/>
      <c r="BH341" s="6"/>
      <c r="BI341" s="6"/>
      <c r="BJ341" s="6"/>
      <c r="BK341" s="6"/>
      <c r="BL341" s="6"/>
      <c r="BM341" s="6"/>
      <c r="BN341" s="6"/>
      <c r="BO341" s="6"/>
      <c r="BP341" s="6"/>
      <c r="BQ341" s="6"/>
      <c r="BR341" s="6"/>
      <c r="BS341" s="6"/>
      <c r="BT341" s="6"/>
      <c r="BU341" s="6"/>
      <c r="BV341" s="6"/>
      <c r="BW341" s="6"/>
      <c r="BX341" s="6"/>
      <c r="BY341" s="6"/>
      <c r="BZ341" s="6"/>
      <c r="CA341" s="6"/>
      <c r="CB341" s="6"/>
      <c r="CC341" s="6"/>
      <c r="CD341" s="6"/>
      <c r="CE341" s="6"/>
      <c r="CF341" s="6"/>
    </row>
    <row r="342" spans="4:84">
      <c r="D342" s="6"/>
      <c r="E342" s="6"/>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6"/>
      <c r="AZ342" s="6"/>
      <c r="BA342" s="6"/>
      <c r="BB342" s="6"/>
      <c r="BC342" s="6"/>
      <c r="BD342" s="6"/>
      <c r="BE342" s="6"/>
      <c r="BF342" s="6"/>
      <c r="BG342" s="6"/>
      <c r="BH342" s="6"/>
      <c r="BI342" s="6"/>
      <c r="BJ342" s="6"/>
      <c r="BK342" s="6"/>
      <c r="BL342" s="6"/>
      <c r="BM342" s="6"/>
      <c r="BN342" s="6"/>
      <c r="BO342" s="6"/>
      <c r="BP342" s="6"/>
      <c r="BQ342" s="6"/>
      <c r="BR342" s="6"/>
      <c r="BS342" s="6"/>
      <c r="BT342" s="6"/>
      <c r="BU342" s="6"/>
      <c r="BV342" s="6"/>
      <c r="BW342" s="6"/>
      <c r="BX342" s="6"/>
      <c r="BY342" s="6"/>
      <c r="BZ342" s="6"/>
      <c r="CA342" s="6"/>
      <c r="CB342" s="6"/>
      <c r="CC342" s="6"/>
      <c r="CD342" s="6"/>
      <c r="CE342" s="6"/>
      <c r="CF342" s="6"/>
    </row>
    <row r="343" spans="4:84">
      <c r="D343" s="6"/>
      <c r="E343" s="6"/>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6"/>
      <c r="AZ343" s="6"/>
      <c r="BA343" s="6"/>
      <c r="BB343" s="6"/>
      <c r="BC343" s="6"/>
      <c r="BD343" s="6"/>
      <c r="BE343" s="6"/>
      <c r="BF343" s="6"/>
      <c r="BG343" s="6"/>
      <c r="BH343" s="6"/>
      <c r="BI343" s="6"/>
      <c r="BJ343" s="6"/>
      <c r="BK343" s="6"/>
      <c r="BL343" s="6"/>
      <c r="BM343" s="6"/>
      <c r="BN343" s="6"/>
      <c r="BO343" s="6"/>
      <c r="BP343" s="6"/>
      <c r="BQ343" s="6"/>
      <c r="BR343" s="6"/>
      <c r="BS343" s="6"/>
      <c r="BT343" s="6"/>
      <c r="BU343" s="6"/>
      <c r="BV343" s="6"/>
      <c r="BW343" s="6"/>
      <c r="BX343" s="6"/>
      <c r="BY343" s="6"/>
      <c r="BZ343" s="6"/>
      <c r="CA343" s="6"/>
      <c r="CB343" s="6"/>
      <c r="CC343" s="6"/>
      <c r="CD343" s="6"/>
      <c r="CE343" s="6"/>
      <c r="CF343" s="6"/>
    </row>
    <row r="344" spans="4:84">
      <c r="D344" s="6"/>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c r="AZ344" s="6"/>
      <c r="BA344" s="6"/>
      <c r="BB344" s="6"/>
      <c r="BC344" s="6"/>
      <c r="BD344" s="6"/>
      <c r="BE344" s="6"/>
      <c r="BF344" s="6"/>
      <c r="BG344" s="6"/>
      <c r="BH344" s="6"/>
      <c r="BI344" s="6"/>
      <c r="BJ344" s="6"/>
      <c r="BK344" s="6"/>
      <c r="BL344" s="6"/>
      <c r="BM344" s="6"/>
      <c r="BN344" s="6"/>
      <c r="BO344" s="6"/>
      <c r="BP344" s="6"/>
      <c r="BQ344" s="6"/>
      <c r="BR344" s="6"/>
      <c r="BS344" s="6"/>
      <c r="BT344" s="6"/>
      <c r="BU344" s="6"/>
      <c r="BV344" s="6"/>
      <c r="BW344" s="6"/>
      <c r="BX344" s="6"/>
      <c r="BY344" s="6"/>
      <c r="BZ344" s="6"/>
      <c r="CA344" s="6"/>
      <c r="CB344" s="6"/>
      <c r="CC344" s="6"/>
      <c r="CD344" s="6"/>
      <c r="CE344" s="6"/>
      <c r="CF344" s="6"/>
    </row>
    <row r="345" spans="4:84">
      <c r="D345" s="6"/>
      <c r="E345" s="6"/>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c r="AZ345" s="6"/>
      <c r="BA345" s="6"/>
      <c r="BB345" s="6"/>
      <c r="BC345" s="6"/>
      <c r="BD345" s="6"/>
      <c r="BE345" s="6"/>
      <c r="BF345" s="6"/>
      <c r="BG345" s="6"/>
      <c r="BH345" s="6"/>
      <c r="BI345" s="6"/>
      <c r="BJ345" s="6"/>
      <c r="BK345" s="6"/>
      <c r="BL345" s="6"/>
      <c r="BM345" s="6"/>
      <c r="BN345" s="6"/>
      <c r="BO345" s="6"/>
      <c r="BP345" s="6"/>
      <c r="BQ345" s="6"/>
      <c r="BR345" s="6"/>
      <c r="BS345" s="6"/>
      <c r="BT345" s="6"/>
      <c r="BU345" s="6"/>
      <c r="BV345" s="6"/>
      <c r="BW345" s="6"/>
      <c r="BX345" s="6"/>
      <c r="BY345" s="6"/>
      <c r="BZ345" s="6"/>
      <c r="CA345" s="6"/>
      <c r="CB345" s="6"/>
      <c r="CC345" s="6"/>
      <c r="CD345" s="6"/>
      <c r="CE345" s="6"/>
      <c r="CF345" s="6"/>
    </row>
    <row r="346" spans="4:84">
      <c r="D346" s="6"/>
      <c r="E346" s="6"/>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6"/>
      <c r="AZ346" s="6"/>
      <c r="BA346" s="6"/>
      <c r="BB346" s="6"/>
      <c r="BC346" s="6"/>
      <c r="BD346" s="6"/>
      <c r="BE346" s="6"/>
      <c r="BF346" s="6"/>
      <c r="BG346" s="6"/>
      <c r="BH346" s="6"/>
      <c r="BI346" s="6"/>
      <c r="BJ346" s="6"/>
      <c r="BK346" s="6"/>
      <c r="BL346" s="6"/>
      <c r="BM346" s="6"/>
      <c r="BN346" s="6"/>
      <c r="BO346" s="6"/>
      <c r="BP346" s="6"/>
      <c r="BQ346" s="6"/>
      <c r="BR346" s="6"/>
      <c r="BS346" s="6"/>
      <c r="BT346" s="6"/>
      <c r="BU346" s="6"/>
      <c r="BV346" s="6"/>
      <c r="BW346" s="6"/>
      <c r="BX346" s="6"/>
      <c r="BY346" s="6"/>
      <c r="BZ346" s="6"/>
      <c r="CA346" s="6"/>
      <c r="CB346" s="6"/>
      <c r="CC346" s="6"/>
      <c r="CD346" s="6"/>
      <c r="CE346" s="6"/>
      <c r="CF346" s="6"/>
    </row>
    <row r="347" spans="4:84">
      <c r="D347" s="6"/>
      <c r="E347" s="6"/>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c r="AZ347" s="6"/>
      <c r="BA347" s="6"/>
      <c r="BB347" s="6"/>
      <c r="BC347" s="6"/>
      <c r="BD347" s="6"/>
      <c r="BE347" s="6"/>
      <c r="BF347" s="6"/>
      <c r="BG347" s="6"/>
      <c r="BH347" s="6"/>
      <c r="BI347" s="6"/>
      <c r="BJ347" s="6"/>
      <c r="BK347" s="6"/>
      <c r="BL347" s="6"/>
      <c r="BM347" s="6"/>
      <c r="BN347" s="6"/>
      <c r="BO347" s="6"/>
      <c r="BP347" s="6"/>
      <c r="BQ347" s="6"/>
      <c r="BR347" s="6"/>
      <c r="BS347" s="6"/>
      <c r="BT347" s="6"/>
      <c r="BU347" s="6"/>
      <c r="BV347" s="6"/>
      <c r="BW347" s="6"/>
      <c r="BX347" s="6"/>
      <c r="BY347" s="6"/>
      <c r="BZ347" s="6"/>
      <c r="CA347" s="6"/>
      <c r="CB347" s="6"/>
      <c r="CC347" s="6"/>
      <c r="CD347" s="6"/>
      <c r="CE347" s="6"/>
      <c r="CF347" s="6"/>
    </row>
    <row r="348" spans="4:84">
      <c r="D348" s="6"/>
      <c r="E348" s="6"/>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6"/>
      <c r="AZ348" s="6"/>
      <c r="BA348" s="6"/>
      <c r="BB348" s="6"/>
      <c r="BC348" s="6"/>
      <c r="BD348" s="6"/>
      <c r="BE348" s="6"/>
      <c r="BF348" s="6"/>
      <c r="BG348" s="6"/>
      <c r="BH348" s="6"/>
      <c r="BI348" s="6"/>
      <c r="BJ348" s="6"/>
      <c r="BK348" s="6"/>
      <c r="BL348" s="6"/>
      <c r="BM348" s="6"/>
      <c r="BN348" s="6"/>
      <c r="BO348" s="6"/>
      <c r="BP348" s="6"/>
      <c r="BQ348" s="6"/>
      <c r="BR348" s="6"/>
      <c r="BS348" s="6"/>
      <c r="BT348" s="6"/>
      <c r="BU348" s="6"/>
      <c r="BV348" s="6"/>
      <c r="BW348" s="6"/>
      <c r="BX348" s="6"/>
      <c r="BY348" s="6"/>
      <c r="BZ348" s="6"/>
      <c r="CA348" s="6"/>
      <c r="CB348" s="6"/>
      <c r="CC348" s="6"/>
      <c r="CD348" s="6"/>
      <c r="CE348" s="6"/>
      <c r="CF348" s="6"/>
    </row>
    <row r="349" spans="4:84">
      <c r="D349" s="6"/>
      <c r="E349" s="6"/>
      <c r="F349" s="6"/>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c r="AZ349" s="6"/>
      <c r="BA349" s="6"/>
      <c r="BB349" s="6"/>
      <c r="BC349" s="6"/>
      <c r="BD349" s="6"/>
      <c r="BE349" s="6"/>
      <c r="BF349" s="6"/>
      <c r="BG349" s="6"/>
      <c r="BH349" s="6"/>
      <c r="BI349" s="6"/>
      <c r="BJ349" s="6"/>
      <c r="BK349" s="6"/>
      <c r="BL349" s="6"/>
      <c r="BM349" s="6"/>
      <c r="BN349" s="6"/>
      <c r="BO349" s="6"/>
      <c r="BP349" s="6"/>
      <c r="BQ349" s="6"/>
      <c r="BR349" s="6"/>
      <c r="BS349" s="6"/>
      <c r="BT349" s="6"/>
      <c r="BU349" s="6"/>
      <c r="BV349" s="6"/>
      <c r="BW349" s="6"/>
      <c r="BX349" s="6"/>
      <c r="BY349" s="6"/>
      <c r="BZ349" s="6"/>
      <c r="CA349" s="6"/>
      <c r="CB349" s="6"/>
      <c r="CC349" s="6"/>
      <c r="CD349" s="6"/>
      <c r="CE349" s="6"/>
      <c r="CF349" s="6"/>
    </row>
    <row r="350" spans="4:84">
      <c r="D350" s="6"/>
      <c r="E350" s="6"/>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c r="AZ350" s="6"/>
      <c r="BA350" s="6"/>
      <c r="BB350" s="6"/>
      <c r="BC350" s="6"/>
      <c r="BD350" s="6"/>
      <c r="BE350" s="6"/>
      <c r="BF350" s="6"/>
      <c r="BG350" s="6"/>
      <c r="BH350" s="6"/>
      <c r="BI350" s="6"/>
      <c r="BJ350" s="6"/>
      <c r="BK350" s="6"/>
      <c r="BL350" s="6"/>
      <c r="BM350" s="6"/>
      <c r="BN350" s="6"/>
      <c r="BO350" s="6"/>
      <c r="BP350" s="6"/>
      <c r="BQ350" s="6"/>
      <c r="BR350" s="6"/>
      <c r="BS350" s="6"/>
      <c r="BT350" s="6"/>
      <c r="BU350" s="6"/>
      <c r="BV350" s="6"/>
      <c r="BW350" s="6"/>
      <c r="BX350" s="6"/>
      <c r="BY350" s="6"/>
      <c r="BZ350" s="6"/>
      <c r="CA350" s="6"/>
      <c r="CB350" s="6"/>
      <c r="CC350" s="6"/>
      <c r="CD350" s="6"/>
      <c r="CE350" s="6"/>
      <c r="CF350" s="6"/>
    </row>
    <row r="351" spans="4:84">
      <c r="D351" s="6"/>
      <c r="E351" s="6"/>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6"/>
      <c r="AZ351" s="6"/>
      <c r="BA351" s="6"/>
      <c r="BB351" s="6"/>
      <c r="BC351" s="6"/>
      <c r="BD351" s="6"/>
      <c r="BE351" s="6"/>
      <c r="BF351" s="6"/>
      <c r="BG351" s="6"/>
      <c r="BH351" s="6"/>
      <c r="BI351" s="6"/>
      <c r="BJ351" s="6"/>
      <c r="BK351" s="6"/>
      <c r="BL351" s="6"/>
      <c r="BM351" s="6"/>
      <c r="BN351" s="6"/>
      <c r="BO351" s="6"/>
      <c r="BP351" s="6"/>
      <c r="BQ351" s="6"/>
      <c r="BR351" s="6"/>
      <c r="BS351" s="6"/>
      <c r="BT351" s="6"/>
      <c r="BU351" s="6"/>
      <c r="BV351" s="6"/>
      <c r="BW351" s="6"/>
      <c r="BX351" s="6"/>
      <c r="BY351" s="6"/>
      <c r="BZ351" s="6"/>
      <c r="CA351" s="6"/>
      <c r="CB351" s="6"/>
      <c r="CC351" s="6"/>
      <c r="CD351" s="6"/>
      <c r="CE351" s="6"/>
      <c r="CF351" s="6"/>
    </row>
    <row r="352" spans="4:84">
      <c r="D352" s="6"/>
      <c r="E352" s="6"/>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c r="AZ352" s="6"/>
      <c r="BA352" s="6"/>
      <c r="BB352" s="6"/>
      <c r="BC352" s="6"/>
      <c r="BD352" s="6"/>
      <c r="BE352" s="6"/>
      <c r="BF352" s="6"/>
      <c r="BG352" s="6"/>
      <c r="BH352" s="6"/>
      <c r="BI352" s="6"/>
      <c r="BJ352" s="6"/>
      <c r="BK352" s="6"/>
      <c r="BL352" s="6"/>
      <c r="BM352" s="6"/>
      <c r="BN352" s="6"/>
      <c r="BO352" s="6"/>
      <c r="BP352" s="6"/>
      <c r="BQ352" s="6"/>
      <c r="BR352" s="6"/>
      <c r="BS352" s="6"/>
      <c r="BT352" s="6"/>
      <c r="BU352" s="6"/>
      <c r="BV352" s="6"/>
      <c r="BW352" s="6"/>
      <c r="BX352" s="6"/>
      <c r="BY352" s="6"/>
      <c r="BZ352" s="6"/>
      <c r="CA352" s="6"/>
      <c r="CB352" s="6"/>
      <c r="CC352" s="6"/>
      <c r="CD352" s="6"/>
      <c r="CE352" s="6"/>
      <c r="CF352" s="6"/>
    </row>
    <row r="353" spans="4:84">
      <c r="D353" s="6"/>
      <c r="E353" s="6"/>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c r="AZ353" s="6"/>
      <c r="BA353" s="6"/>
      <c r="BB353" s="6"/>
      <c r="BC353" s="6"/>
      <c r="BD353" s="6"/>
      <c r="BE353" s="6"/>
      <c r="BF353" s="6"/>
      <c r="BG353" s="6"/>
      <c r="BH353" s="6"/>
      <c r="BI353" s="6"/>
      <c r="BJ353" s="6"/>
      <c r="BK353" s="6"/>
      <c r="BL353" s="6"/>
      <c r="BM353" s="6"/>
      <c r="BN353" s="6"/>
      <c r="BO353" s="6"/>
      <c r="BP353" s="6"/>
      <c r="BQ353" s="6"/>
      <c r="BR353" s="6"/>
      <c r="BS353" s="6"/>
      <c r="BT353" s="6"/>
      <c r="BU353" s="6"/>
      <c r="BV353" s="6"/>
      <c r="BW353" s="6"/>
      <c r="BX353" s="6"/>
      <c r="BY353" s="6"/>
      <c r="BZ353" s="6"/>
      <c r="CA353" s="6"/>
      <c r="CB353" s="6"/>
      <c r="CC353" s="6"/>
      <c r="CD353" s="6"/>
      <c r="CE353" s="6"/>
      <c r="CF353" s="6"/>
    </row>
    <row r="354" spans="4:84">
      <c r="D354" s="6"/>
      <c r="E354" s="6"/>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6"/>
      <c r="AZ354" s="6"/>
      <c r="BA354" s="6"/>
      <c r="BB354" s="6"/>
      <c r="BC354" s="6"/>
      <c r="BD354" s="6"/>
      <c r="BE354" s="6"/>
      <c r="BF354" s="6"/>
      <c r="BG354" s="6"/>
      <c r="BH354" s="6"/>
      <c r="BI354" s="6"/>
      <c r="BJ354" s="6"/>
      <c r="BK354" s="6"/>
      <c r="BL354" s="6"/>
      <c r="BM354" s="6"/>
      <c r="BN354" s="6"/>
      <c r="BO354" s="6"/>
      <c r="BP354" s="6"/>
      <c r="BQ354" s="6"/>
      <c r="BR354" s="6"/>
      <c r="BS354" s="6"/>
      <c r="BT354" s="6"/>
      <c r="BU354" s="6"/>
      <c r="BV354" s="6"/>
      <c r="BW354" s="6"/>
      <c r="BX354" s="6"/>
      <c r="BY354" s="6"/>
      <c r="BZ354" s="6"/>
      <c r="CA354" s="6"/>
      <c r="CB354" s="6"/>
      <c r="CC354" s="6"/>
      <c r="CD354" s="6"/>
      <c r="CE354" s="6"/>
      <c r="CF354" s="6"/>
    </row>
    <row r="355" spans="4:84">
      <c r="D355" s="6"/>
      <c r="E355" s="6"/>
      <c r="F355" s="6"/>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6"/>
      <c r="AZ355" s="6"/>
      <c r="BA355" s="6"/>
      <c r="BB355" s="6"/>
      <c r="BC355" s="6"/>
      <c r="BD355" s="6"/>
      <c r="BE355" s="6"/>
      <c r="BF355" s="6"/>
      <c r="BG355" s="6"/>
      <c r="BH355" s="6"/>
      <c r="BI355" s="6"/>
      <c r="BJ355" s="6"/>
      <c r="BK355" s="6"/>
      <c r="BL355" s="6"/>
      <c r="BM355" s="6"/>
      <c r="BN355" s="6"/>
      <c r="BO355" s="6"/>
      <c r="BP355" s="6"/>
      <c r="BQ355" s="6"/>
      <c r="BR355" s="6"/>
      <c r="BS355" s="6"/>
      <c r="BT355" s="6"/>
      <c r="BU355" s="6"/>
      <c r="BV355" s="6"/>
      <c r="BW355" s="6"/>
      <c r="BX355" s="6"/>
      <c r="BY355" s="6"/>
      <c r="BZ355" s="6"/>
      <c r="CA355" s="6"/>
      <c r="CB355" s="6"/>
      <c r="CC355" s="6"/>
      <c r="CD355" s="6"/>
      <c r="CE355" s="6"/>
      <c r="CF355" s="6"/>
    </row>
    <row r="356" spans="4:84">
      <c r="D356" s="6"/>
      <c r="E356" s="6"/>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6"/>
      <c r="AZ356" s="6"/>
      <c r="BA356" s="6"/>
      <c r="BB356" s="6"/>
      <c r="BC356" s="6"/>
      <c r="BD356" s="6"/>
      <c r="BE356" s="6"/>
      <c r="BF356" s="6"/>
      <c r="BG356" s="6"/>
      <c r="BH356" s="6"/>
      <c r="BI356" s="6"/>
      <c r="BJ356" s="6"/>
      <c r="BK356" s="6"/>
      <c r="BL356" s="6"/>
      <c r="BM356" s="6"/>
      <c r="BN356" s="6"/>
      <c r="BO356" s="6"/>
      <c r="BP356" s="6"/>
      <c r="BQ356" s="6"/>
      <c r="BR356" s="6"/>
      <c r="BS356" s="6"/>
      <c r="BT356" s="6"/>
      <c r="BU356" s="6"/>
      <c r="BV356" s="6"/>
      <c r="BW356" s="6"/>
      <c r="BX356" s="6"/>
      <c r="BY356" s="6"/>
      <c r="BZ356" s="6"/>
      <c r="CA356" s="6"/>
      <c r="CB356" s="6"/>
      <c r="CC356" s="6"/>
      <c r="CD356" s="6"/>
      <c r="CE356" s="6"/>
      <c r="CF356" s="6"/>
    </row>
    <row r="357" spans="4:84">
      <c r="D357" s="6"/>
      <c r="E357" s="6"/>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6"/>
      <c r="AZ357" s="6"/>
      <c r="BA357" s="6"/>
      <c r="BB357" s="6"/>
      <c r="BC357" s="6"/>
      <c r="BD357" s="6"/>
      <c r="BE357" s="6"/>
      <c r="BF357" s="6"/>
      <c r="BG357" s="6"/>
      <c r="BH357" s="6"/>
      <c r="BI357" s="6"/>
      <c r="BJ357" s="6"/>
      <c r="BK357" s="6"/>
      <c r="BL357" s="6"/>
      <c r="BM357" s="6"/>
      <c r="BN357" s="6"/>
      <c r="BO357" s="6"/>
      <c r="BP357" s="6"/>
      <c r="BQ357" s="6"/>
      <c r="BR357" s="6"/>
      <c r="BS357" s="6"/>
      <c r="BT357" s="6"/>
      <c r="BU357" s="6"/>
      <c r="BV357" s="6"/>
      <c r="BW357" s="6"/>
      <c r="BX357" s="6"/>
      <c r="BY357" s="6"/>
      <c r="BZ357" s="6"/>
      <c r="CA357" s="6"/>
      <c r="CB357" s="6"/>
      <c r="CC357" s="6"/>
      <c r="CD357" s="6"/>
      <c r="CE357" s="6"/>
      <c r="CF357" s="6"/>
    </row>
    <row r="358" spans="4:84">
      <c r="D358" s="6"/>
      <c r="E358" s="6"/>
      <c r="F358" s="6"/>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6"/>
      <c r="AZ358" s="6"/>
      <c r="BA358" s="6"/>
      <c r="BB358" s="6"/>
      <c r="BC358" s="6"/>
      <c r="BD358" s="6"/>
      <c r="BE358" s="6"/>
      <c r="BF358" s="6"/>
      <c r="BG358" s="6"/>
      <c r="BH358" s="6"/>
      <c r="BI358" s="6"/>
      <c r="BJ358" s="6"/>
      <c r="BK358" s="6"/>
      <c r="BL358" s="6"/>
      <c r="BM358" s="6"/>
      <c r="BN358" s="6"/>
      <c r="BO358" s="6"/>
      <c r="BP358" s="6"/>
      <c r="BQ358" s="6"/>
      <c r="BR358" s="6"/>
      <c r="BS358" s="6"/>
      <c r="BT358" s="6"/>
      <c r="BU358" s="6"/>
      <c r="BV358" s="6"/>
      <c r="BW358" s="6"/>
      <c r="BX358" s="6"/>
      <c r="BY358" s="6"/>
      <c r="BZ358" s="6"/>
      <c r="CA358" s="6"/>
      <c r="CB358" s="6"/>
      <c r="CC358" s="6"/>
      <c r="CD358" s="6"/>
      <c r="CE358" s="6"/>
      <c r="CF358" s="6"/>
    </row>
    <row r="359" spans="4:84">
      <c r="D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c r="AZ359" s="6"/>
      <c r="BA359" s="6"/>
      <c r="BB359" s="6"/>
      <c r="BC359" s="6"/>
      <c r="BD359" s="6"/>
      <c r="BE359" s="6"/>
      <c r="BF359" s="6"/>
      <c r="BG359" s="6"/>
      <c r="BH359" s="6"/>
      <c r="BI359" s="6"/>
      <c r="BJ359" s="6"/>
      <c r="BK359" s="6"/>
      <c r="BL359" s="6"/>
      <c r="BM359" s="6"/>
      <c r="BN359" s="6"/>
      <c r="BO359" s="6"/>
      <c r="BP359" s="6"/>
      <c r="BQ359" s="6"/>
      <c r="BR359" s="6"/>
      <c r="BS359" s="6"/>
      <c r="BT359" s="6"/>
      <c r="BU359" s="6"/>
      <c r="BV359" s="6"/>
      <c r="BW359" s="6"/>
      <c r="BX359" s="6"/>
      <c r="BY359" s="6"/>
      <c r="BZ359" s="6"/>
      <c r="CA359" s="6"/>
      <c r="CB359" s="6"/>
      <c r="CC359" s="6"/>
      <c r="CD359" s="6"/>
      <c r="CE359" s="6"/>
      <c r="CF359" s="6"/>
    </row>
    <row r="360" spans="4:84">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c r="AU360" s="6"/>
      <c r="AV360" s="6"/>
      <c r="AW360" s="6"/>
      <c r="AX360" s="6"/>
      <c r="AY360" s="6"/>
      <c r="AZ360" s="6"/>
      <c r="BA360" s="6"/>
      <c r="BB360" s="6"/>
      <c r="BC360" s="6"/>
      <c r="BD360" s="6"/>
      <c r="BE360" s="6"/>
      <c r="BF360" s="6"/>
      <c r="BG360" s="6"/>
      <c r="BH360" s="6"/>
      <c r="BI360" s="6"/>
      <c r="BJ360" s="6"/>
      <c r="BK360" s="6"/>
      <c r="BL360" s="6"/>
      <c r="BM360" s="6"/>
      <c r="BN360" s="6"/>
      <c r="BO360" s="6"/>
      <c r="BP360" s="6"/>
      <c r="BQ360" s="6"/>
      <c r="BR360" s="6"/>
      <c r="BS360" s="6"/>
      <c r="BT360" s="6"/>
      <c r="BU360" s="6"/>
      <c r="BV360" s="6"/>
      <c r="BW360" s="6"/>
      <c r="BX360" s="6"/>
      <c r="BY360" s="6"/>
      <c r="BZ360" s="6"/>
      <c r="CA360" s="6"/>
      <c r="CB360" s="6"/>
      <c r="CC360" s="6"/>
      <c r="CD360" s="6"/>
      <c r="CE360" s="6"/>
      <c r="CF360" s="6"/>
    </row>
    <row r="361" spans="4:84">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c r="AZ361" s="6"/>
      <c r="BA361" s="6"/>
      <c r="BB361" s="6"/>
      <c r="BC361" s="6"/>
      <c r="BD361" s="6"/>
      <c r="BE361" s="6"/>
      <c r="BF361" s="6"/>
      <c r="BG361" s="6"/>
      <c r="BH361" s="6"/>
      <c r="BI361" s="6"/>
      <c r="BJ361" s="6"/>
      <c r="BK361" s="6"/>
      <c r="BL361" s="6"/>
      <c r="BM361" s="6"/>
      <c r="BN361" s="6"/>
      <c r="BO361" s="6"/>
      <c r="BP361" s="6"/>
      <c r="BQ361" s="6"/>
      <c r="BR361" s="6"/>
      <c r="BS361" s="6"/>
      <c r="BT361" s="6"/>
      <c r="BU361" s="6"/>
      <c r="BV361" s="6"/>
      <c r="BW361" s="6"/>
      <c r="BX361" s="6"/>
      <c r="BY361" s="6"/>
      <c r="BZ361" s="6"/>
      <c r="CA361" s="6"/>
      <c r="CB361" s="6"/>
      <c r="CC361" s="6"/>
      <c r="CD361" s="6"/>
      <c r="CE361" s="6"/>
      <c r="CF361" s="6"/>
    </row>
    <row r="362" spans="4:84">
      <c r="D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6"/>
      <c r="AX362" s="6"/>
      <c r="AY362" s="6"/>
      <c r="AZ362" s="6"/>
      <c r="BA362" s="6"/>
      <c r="BB362" s="6"/>
      <c r="BC362" s="6"/>
      <c r="BD362" s="6"/>
      <c r="BE362" s="6"/>
      <c r="BF362" s="6"/>
      <c r="BG362" s="6"/>
      <c r="BH362" s="6"/>
      <c r="BI362" s="6"/>
      <c r="BJ362" s="6"/>
      <c r="BK362" s="6"/>
      <c r="BL362" s="6"/>
      <c r="BM362" s="6"/>
      <c r="BN362" s="6"/>
      <c r="BO362" s="6"/>
      <c r="BP362" s="6"/>
      <c r="BQ362" s="6"/>
      <c r="BR362" s="6"/>
      <c r="BS362" s="6"/>
      <c r="BT362" s="6"/>
      <c r="BU362" s="6"/>
      <c r="BV362" s="6"/>
      <c r="BW362" s="6"/>
      <c r="BX362" s="6"/>
      <c r="BY362" s="6"/>
      <c r="BZ362" s="6"/>
      <c r="CA362" s="6"/>
      <c r="CB362" s="6"/>
      <c r="CC362" s="6"/>
      <c r="CD362" s="6"/>
      <c r="CE362" s="6"/>
      <c r="CF362" s="6"/>
    </row>
    <row r="363" spans="4:84">
      <c r="D363" s="6"/>
      <c r="E363" s="6"/>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c r="AU363" s="6"/>
      <c r="AV363" s="6"/>
      <c r="AW363" s="6"/>
      <c r="AX363" s="6"/>
      <c r="AY363" s="6"/>
      <c r="AZ363" s="6"/>
      <c r="BA363" s="6"/>
      <c r="BB363" s="6"/>
      <c r="BC363" s="6"/>
      <c r="BD363" s="6"/>
      <c r="BE363" s="6"/>
      <c r="BF363" s="6"/>
      <c r="BG363" s="6"/>
      <c r="BH363" s="6"/>
      <c r="BI363" s="6"/>
      <c r="BJ363" s="6"/>
      <c r="BK363" s="6"/>
      <c r="BL363" s="6"/>
      <c r="BM363" s="6"/>
      <c r="BN363" s="6"/>
      <c r="BO363" s="6"/>
      <c r="BP363" s="6"/>
      <c r="BQ363" s="6"/>
      <c r="BR363" s="6"/>
      <c r="BS363" s="6"/>
      <c r="BT363" s="6"/>
      <c r="BU363" s="6"/>
      <c r="BV363" s="6"/>
      <c r="BW363" s="6"/>
      <c r="BX363" s="6"/>
      <c r="BY363" s="6"/>
      <c r="BZ363" s="6"/>
      <c r="CA363" s="6"/>
      <c r="CB363" s="6"/>
      <c r="CC363" s="6"/>
      <c r="CD363" s="6"/>
      <c r="CE363" s="6"/>
      <c r="CF363" s="6"/>
    </row>
    <row r="364" spans="4:84">
      <c r="D364" s="6"/>
      <c r="E364" s="6"/>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c r="AU364" s="6"/>
      <c r="AV364" s="6"/>
      <c r="AW364" s="6"/>
      <c r="AX364" s="6"/>
      <c r="AY364" s="6"/>
      <c r="AZ364" s="6"/>
      <c r="BA364" s="6"/>
      <c r="BB364" s="6"/>
      <c r="BC364" s="6"/>
      <c r="BD364" s="6"/>
      <c r="BE364" s="6"/>
      <c r="BF364" s="6"/>
      <c r="BG364" s="6"/>
      <c r="BH364" s="6"/>
      <c r="BI364" s="6"/>
      <c r="BJ364" s="6"/>
      <c r="BK364" s="6"/>
      <c r="BL364" s="6"/>
      <c r="BM364" s="6"/>
      <c r="BN364" s="6"/>
      <c r="BO364" s="6"/>
      <c r="BP364" s="6"/>
      <c r="BQ364" s="6"/>
      <c r="BR364" s="6"/>
      <c r="BS364" s="6"/>
      <c r="BT364" s="6"/>
      <c r="BU364" s="6"/>
      <c r="BV364" s="6"/>
      <c r="BW364" s="6"/>
      <c r="BX364" s="6"/>
      <c r="BY364" s="6"/>
      <c r="BZ364" s="6"/>
      <c r="CA364" s="6"/>
      <c r="CB364" s="6"/>
      <c r="CC364" s="6"/>
      <c r="CD364" s="6"/>
      <c r="CE364" s="6"/>
      <c r="CF364" s="6"/>
    </row>
    <row r="365" spans="4:84">
      <c r="D365" s="6"/>
      <c r="E365" s="6"/>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c r="AU365" s="6"/>
      <c r="AV365" s="6"/>
      <c r="AW365" s="6"/>
      <c r="AX365" s="6"/>
      <c r="AY365" s="6"/>
      <c r="AZ365" s="6"/>
      <c r="BA365" s="6"/>
      <c r="BB365" s="6"/>
      <c r="BC365" s="6"/>
      <c r="BD365" s="6"/>
      <c r="BE365" s="6"/>
      <c r="BF365" s="6"/>
      <c r="BG365" s="6"/>
      <c r="BH365" s="6"/>
      <c r="BI365" s="6"/>
      <c r="BJ365" s="6"/>
      <c r="BK365" s="6"/>
      <c r="BL365" s="6"/>
      <c r="BM365" s="6"/>
      <c r="BN365" s="6"/>
      <c r="BO365" s="6"/>
      <c r="BP365" s="6"/>
      <c r="BQ365" s="6"/>
      <c r="BR365" s="6"/>
      <c r="BS365" s="6"/>
      <c r="BT365" s="6"/>
      <c r="BU365" s="6"/>
      <c r="BV365" s="6"/>
      <c r="BW365" s="6"/>
      <c r="BX365" s="6"/>
      <c r="BY365" s="6"/>
      <c r="BZ365" s="6"/>
      <c r="CA365" s="6"/>
      <c r="CB365" s="6"/>
      <c r="CC365" s="6"/>
      <c r="CD365" s="6"/>
      <c r="CE365" s="6"/>
      <c r="CF365" s="6"/>
    </row>
    <row r="366" spans="4:84">
      <c r="D366" s="6"/>
      <c r="E366" s="6"/>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c r="AU366" s="6"/>
      <c r="AV366" s="6"/>
      <c r="AW366" s="6"/>
      <c r="AX366" s="6"/>
      <c r="AY366" s="6"/>
      <c r="AZ366" s="6"/>
      <c r="BA366" s="6"/>
      <c r="BB366" s="6"/>
      <c r="BC366" s="6"/>
      <c r="BD366" s="6"/>
      <c r="BE366" s="6"/>
      <c r="BF366" s="6"/>
      <c r="BG366" s="6"/>
      <c r="BH366" s="6"/>
      <c r="BI366" s="6"/>
      <c r="BJ366" s="6"/>
      <c r="BK366" s="6"/>
      <c r="BL366" s="6"/>
      <c r="BM366" s="6"/>
      <c r="BN366" s="6"/>
      <c r="BO366" s="6"/>
      <c r="BP366" s="6"/>
      <c r="BQ366" s="6"/>
      <c r="BR366" s="6"/>
      <c r="BS366" s="6"/>
      <c r="BT366" s="6"/>
      <c r="BU366" s="6"/>
      <c r="BV366" s="6"/>
      <c r="BW366" s="6"/>
      <c r="BX366" s="6"/>
      <c r="BY366" s="6"/>
      <c r="BZ366" s="6"/>
      <c r="CA366" s="6"/>
      <c r="CB366" s="6"/>
      <c r="CC366" s="6"/>
      <c r="CD366" s="6"/>
      <c r="CE366" s="6"/>
      <c r="CF366" s="6"/>
    </row>
    <row r="367" spans="4:84">
      <c r="D367" s="6"/>
      <c r="E367" s="6"/>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c r="AU367" s="6"/>
      <c r="AV367" s="6"/>
      <c r="AW367" s="6"/>
      <c r="AX367" s="6"/>
      <c r="AY367" s="6"/>
      <c r="AZ367" s="6"/>
      <c r="BA367" s="6"/>
      <c r="BB367" s="6"/>
      <c r="BC367" s="6"/>
      <c r="BD367" s="6"/>
      <c r="BE367" s="6"/>
      <c r="BF367" s="6"/>
      <c r="BG367" s="6"/>
      <c r="BH367" s="6"/>
      <c r="BI367" s="6"/>
      <c r="BJ367" s="6"/>
      <c r="BK367" s="6"/>
      <c r="BL367" s="6"/>
      <c r="BM367" s="6"/>
      <c r="BN367" s="6"/>
      <c r="BO367" s="6"/>
      <c r="BP367" s="6"/>
      <c r="BQ367" s="6"/>
      <c r="BR367" s="6"/>
      <c r="BS367" s="6"/>
      <c r="BT367" s="6"/>
      <c r="BU367" s="6"/>
      <c r="BV367" s="6"/>
      <c r="BW367" s="6"/>
      <c r="BX367" s="6"/>
      <c r="BY367" s="6"/>
      <c r="BZ367" s="6"/>
      <c r="CA367" s="6"/>
      <c r="CB367" s="6"/>
      <c r="CC367" s="6"/>
      <c r="CD367" s="6"/>
      <c r="CE367" s="6"/>
      <c r="CF367" s="6"/>
    </row>
    <row r="368" spans="4:84">
      <c r="D368" s="6"/>
      <c r="E368" s="6"/>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c r="AU368" s="6"/>
      <c r="AV368" s="6"/>
      <c r="AW368" s="6"/>
      <c r="AX368" s="6"/>
      <c r="AY368" s="6"/>
      <c r="AZ368" s="6"/>
      <c r="BA368" s="6"/>
      <c r="BB368" s="6"/>
      <c r="BC368" s="6"/>
      <c r="BD368" s="6"/>
      <c r="BE368" s="6"/>
      <c r="BF368" s="6"/>
      <c r="BG368" s="6"/>
      <c r="BH368" s="6"/>
      <c r="BI368" s="6"/>
      <c r="BJ368" s="6"/>
      <c r="BK368" s="6"/>
      <c r="BL368" s="6"/>
      <c r="BM368" s="6"/>
      <c r="BN368" s="6"/>
      <c r="BO368" s="6"/>
      <c r="BP368" s="6"/>
      <c r="BQ368" s="6"/>
      <c r="BR368" s="6"/>
      <c r="BS368" s="6"/>
      <c r="BT368" s="6"/>
      <c r="BU368" s="6"/>
      <c r="BV368" s="6"/>
      <c r="BW368" s="6"/>
      <c r="BX368" s="6"/>
      <c r="BY368" s="6"/>
      <c r="BZ368" s="6"/>
      <c r="CA368" s="6"/>
      <c r="CB368" s="6"/>
      <c r="CC368" s="6"/>
      <c r="CD368" s="6"/>
      <c r="CE368" s="6"/>
      <c r="CF368" s="6"/>
    </row>
    <row r="369" spans="4:84">
      <c r="D369" s="6"/>
      <c r="E369" s="6"/>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c r="AU369" s="6"/>
      <c r="AV369" s="6"/>
      <c r="AW369" s="6"/>
      <c r="AX369" s="6"/>
      <c r="AY369" s="6"/>
      <c r="AZ369" s="6"/>
      <c r="BA369" s="6"/>
      <c r="BB369" s="6"/>
      <c r="BC369" s="6"/>
      <c r="BD369" s="6"/>
      <c r="BE369" s="6"/>
      <c r="BF369" s="6"/>
      <c r="BG369" s="6"/>
      <c r="BH369" s="6"/>
      <c r="BI369" s="6"/>
      <c r="BJ369" s="6"/>
      <c r="BK369" s="6"/>
      <c r="BL369" s="6"/>
      <c r="BM369" s="6"/>
      <c r="BN369" s="6"/>
      <c r="BO369" s="6"/>
      <c r="BP369" s="6"/>
      <c r="BQ369" s="6"/>
      <c r="BR369" s="6"/>
      <c r="BS369" s="6"/>
      <c r="BT369" s="6"/>
      <c r="BU369" s="6"/>
      <c r="BV369" s="6"/>
      <c r="BW369" s="6"/>
      <c r="BX369" s="6"/>
      <c r="BY369" s="6"/>
      <c r="BZ369" s="6"/>
      <c r="CA369" s="6"/>
      <c r="CB369" s="6"/>
      <c r="CC369" s="6"/>
      <c r="CD369" s="6"/>
      <c r="CE369" s="6"/>
      <c r="CF369" s="6"/>
    </row>
    <row r="370" spans="4:84">
      <c r="D370" s="6"/>
      <c r="E370" s="6"/>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c r="AU370" s="6"/>
      <c r="AV370" s="6"/>
      <c r="AW370" s="6"/>
      <c r="AX370" s="6"/>
      <c r="AY370" s="6"/>
      <c r="AZ370" s="6"/>
      <c r="BA370" s="6"/>
      <c r="BB370" s="6"/>
      <c r="BC370" s="6"/>
      <c r="BD370" s="6"/>
      <c r="BE370" s="6"/>
      <c r="BF370" s="6"/>
      <c r="BG370" s="6"/>
      <c r="BH370" s="6"/>
      <c r="BI370" s="6"/>
      <c r="BJ370" s="6"/>
      <c r="BK370" s="6"/>
      <c r="BL370" s="6"/>
      <c r="BM370" s="6"/>
      <c r="BN370" s="6"/>
      <c r="BO370" s="6"/>
      <c r="BP370" s="6"/>
      <c r="BQ370" s="6"/>
      <c r="BR370" s="6"/>
      <c r="BS370" s="6"/>
      <c r="BT370" s="6"/>
      <c r="BU370" s="6"/>
      <c r="BV370" s="6"/>
      <c r="BW370" s="6"/>
      <c r="BX370" s="6"/>
      <c r="BY370" s="6"/>
      <c r="BZ370" s="6"/>
      <c r="CA370" s="6"/>
      <c r="CB370" s="6"/>
      <c r="CC370" s="6"/>
      <c r="CD370" s="6"/>
      <c r="CE370" s="6"/>
      <c r="CF370" s="6"/>
    </row>
    <row r="371" spans="4:84">
      <c r="D371" s="6"/>
      <c r="E371" s="6"/>
      <c r="F371" s="6"/>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c r="AU371" s="6"/>
      <c r="AV371" s="6"/>
      <c r="AW371" s="6"/>
      <c r="AX371" s="6"/>
      <c r="AY371" s="6"/>
      <c r="AZ371" s="6"/>
      <c r="BA371" s="6"/>
      <c r="BB371" s="6"/>
      <c r="BC371" s="6"/>
      <c r="BD371" s="6"/>
      <c r="BE371" s="6"/>
      <c r="BF371" s="6"/>
      <c r="BG371" s="6"/>
      <c r="BH371" s="6"/>
      <c r="BI371" s="6"/>
      <c r="BJ371" s="6"/>
      <c r="BK371" s="6"/>
      <c r="BL371" s="6"/>
      <c r="BM371" s="6"/>
      <c r="BN371" s="6"/>
      <c r="BO371" s="6"/>
      <c r="BP371" s="6"/>
      <c r="BQ371" s="6"/>
      <c r="BR371" s="6"/>
      <c r="BS371" s="6"/>
      <c r="BT371" s="6"/>
      <c r="BU371" s="6"/>
      <c r="BV371" s="6"/>
      <c r="BW371" s="6"/>
      <c r="BX371" s="6"/>
      <c r="BY371" s="6"/>
      <c r="BZ371" s="6"/>
      <c r="CA371" s="6"/>
      <c r="CB371" s="6"/>
      <c r="CC371" s="6"/>
      <c r="CD371" s="6"/>
      <c r="CE371" s="6"/>
      <c r="CF371" s="6"/>
    </row>
    <row r="372" spans="4:84">
      <c r="D372" s="6"/>
      <c r="E372" s="6"/>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c r="AU372" s="6"/>
      <c r="AV372" s="6"/>
      <c r="AW372" s="6"/>
      <c r="AX372" s="6"/>
      <c r="AY372" s="6"/>
      <c r="AZ372" s="6"/>
      <c r="BA372" s="6"/>
      <c r="BB372" s="6"/>
      <c r="BC372" s="6"/>
      <c r="BD372" s="6"/>
      <c r="BE372" s="6"/>
      <c r="BF372" s="6"/>
      <c r="BG372" s="6"/>
      <c r="BH372" s="6"/>
      <c r="BI372" s="6"/>
      <c r="BJ372" s="6"/>
      <c r="BK372" s="6"/>
      <c r="BL372" s="6"/>
      <c r="BM372" s="6"/>
      <c r="BN372" s="6"/>
      <c r="BO372" s="6"/>
      <c r="BP372" s="6"/>
      <c r="BQ372" s="6"/>
      <c r="BR372" s="6"/>
      <c r="BS372" s="6"/>
      <c r="BT372" s="6"/>
      <c r="BU372" s="6"/>
      <c r="BV372" s="6"/>
      <c r="BW372" s="6"/>
      <c r="BX372" s="6"/>
      <c r="BY372" s="6"/>
      <c r="BZ372" s="6"/>
      <c r="CA372" s="6"/>
      <c r="CB372" s="6"/>
      <c r="CC372" s="6"/>
      <c r="CD372" s="6"/>
      <c r="CE372" s="6"/>
      <c r="CF372" s="6"/>
    </row>
    <row r="373" spans="4:84">
      <c r="D373" s="6"/>
      <c r="E373" s="6"/>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c r="AU373" s="6"/>
      <c r="AV373" s="6"/>
      <c r="AW373" s="6"/>
      <c r="AX373" s="6"/>
      <c r="AY373" s="6"/>
      <c r="AZ373" s="6"/>
      <c r="BA373" s="6"/>
      <c r="BB373" s="6"/>
      <c r="BC373" s="6"/>
      <c r="BD373" s="6"/>
      <c r="BE373" s="6"/>
      <c r="BF373" s="6"/>
      <c r="BG373" s="6"/>
      <c r="BH373" s="6"/>
      <c r="BI373" s="6"/>
      <c r="BJ373" s="6"/>
      <c r="BK373" s="6"/>
      <c r="BL373" s="6"/>
      <c r="BM373" s="6"/>
      <c r="BN373" s="6"/>
      <c r="BO373" s="6"/>
      <c r="BP373" s="6"/>
      <c r="BQ373" s="6"/>
      <c r="BR373" s="6"/>
      <c r="BS373" s="6"/>
      <c r="BT373" s="6"/>
      <c r="BU373" s="6"/>
      <c r="BV373" s="6"/>
      <c r="BW373" s="6"/>
      <c r="BX373" s="6"/>
      <c r="BY373" s="6"/>
      <c r="BZ373" s="6"/>
      <c r="CA373" s="6"/>
      <c r="CB373" s="6"/>
      <c r="CC373" s="6"/>
      <c r="CD373" s="6"/>
      <c r="CE373" s="6"/>
      <c r="CF373" s="6"/>
    </row>
    <row r="374" spans="4:84">
      <c r="D374" s="6"/>
      <c r="E374" s="6"/>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c r="AU374" s="6"/>
      <c r="AV374" s="6"/>
      <c r="AW374" s="6"/>
      <c r="AX374" s="6"/>
      <c r="AY374" s="6"/>
      <c r="AZ374" s="6"/>
      <c r="BA374" s="6"/>
      <c r="BB374" s="6"/>
      <c r="BC374" s="6"/>
      <c r="BD374" s="6"/>
      <c r="BE374" s="6"/>
      <c r="BF374" s="6"/>
      <c r="BG374" s="6"/>
      <c r="BH374" s="6"/>
      <c r="BI374" s="6"/>
      <c r="BJ374" s="6"/>
      <c r="BK374" s="6"/>
      <c r="BL374" s="6"/>
      <c r="BM374" s="6"/>
      <c r="BN374" s="6"/>
      <c r="BO374" s="6"/>
      <c r="BP374" s="6"/>
      <c r="BQ374" s="6"/>
      <c r="BR374" s="6"/>
      <c r="BS374" s="6"/>
      <c r="BT374" s="6"/>
      <c r="BU374" s="6"/>
      <c r="BV374" s="6"/>
      <c r="BW374" s="6"/>
      <c r="BX374" s="6"/>
      <c r="BY374" s="6"/>
      <c r="BZ374" s="6"/>
      <c r="CA374" s="6"/>
      <c r="CB374" s="6"/>
      <c r="CC374" s="6"/>
      <c r="CD374" s="6"/>
      <c r="CE374" s="6"/>
      <c r="CF374" s="6"/>
    </row>
    <row r="375" spans="4:84">
      <c r="D375" s="6"/>
      <c r="E375" s="6"/>
      <c r="F375" s="6"/>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c r="AU375" s="6"/>
      <c r="AV375" s="6"/>
      <c r="AW375" s="6"/>
      <c r="AX375" s="6"/>
      <c r="AY375" s="6"/>
      <c r="AZ375" s="6"/>
      <c r="BA375" s="6"/>
      <c r="BB375" s="6"/>
      <c r="BC375" s="6"/>
      <c r="BD375" s="6"/>
      <c r="BE375" s="6"/>
      <c r="BF375" s="6"/>
      <c r="BG375" s="6"/>
      <c r="BH375" s="6"/>
      <c r="BI375" s="6"/>
      <c r="BJ375" s="6"/>
      <c r="BK375" s="6"/>
      <c r="BL375" s="6"/>
      <c r="BM375" s="6"/>
      <c r="BN375" s="6"/>
      <c r="BO375" s="6"/>
      <c r="BP375" s="6"/>
      <c r="BQ375" s="6"/>
      <c r="BR375" s="6"/>
      <c r="BS375" s="6"/>
      <c r="BT375" s="6"/>
      <c r="BU375" s="6"/>
      <c r="BV375" s="6"/>
      <c r="BW375" s="6"/>
      <c r="BX375" s="6"/>
      <c r="BY375" s="6"/>
      <c r="BZ375" s="6"/>
      <c r="CA375" s="6"/>
      <c r="CB375" s="6"/>
      <c r="CC375" s="6"/>
      <c r="CD375" s="6"/>
      <c r="CE375" s="6"/>
      <c r="CF375" s="6"/>
    </row>
    <row r="376" spans="4:84">
      <c r="D376" s="6"/>
      <c r="E376" s="6"/>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c r="AU376" s="6"/>
      <c r="AV376" s="6"/>
      <c r="AW376" s="6"/>
      <c r="AX376" s="6"/>
      <c r="AY376" s="6"/>
      <c r="AZ376" s="6"/>
      <c r="BA376" s="6"/>
      <c r="BB376" s="6"/>
      <c r="BC376" s="6"/>
      <c r="BD376" s="6"/>
      <c r="BE376" s="6"/>
      <c r="BF376" s="6"/>
      <c r="BG376" s="6"/>
      <c r="BH376" s="6"/>
      <c r="BI376" s="6"/>
      <c r="BJ376" s="6"/>
      <c r="BK376" s="6"/>
      <c r="BL376" s="6"/>
      <c r="BM376" s="6"/>
      <c r="BN376" s="6"/>
      <c r="BO376" s="6"/>
      <c r="BP376" s="6"/>
      <c r="BQ376" s="6"/>
      <c r="BR376" s="6"/>
      <c r="BS376" s="6"/>
      <c r="BT376" s="6"/>
      <c r="BU376" s="6"/>
      <c r="BV376" s="6"/>
      <c r="BW376" s="6"/>
      <c r="BX376" s="6"/>
      <c r="BY376" s="6"/>
      <c r="BZ376" s="6"/>
      <c r="CA376" s="6"/>
      <c r="CB376" s="6"/>
      <c r="CC376" s="6"/>
      <c r="CD376" s="6"/>
      <c r="CE376" s="6"/>
      <c r="CF376" s="6"/>
    </row>
    <row r="377" spans="4:84">
      <c r="D377" s="6"/>
      <c r="E377" s="6"/>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c r="AU377" s="6"/>
      <c r="AV377" s="6"/>
      <c r="AW377" s="6"/>
      <c r="AX377" s="6"/>
      <c r="AY377" s="6"/>
      <c r="AZ377" s="6"/>
      <c r="BA377" s="6"/>
      <c r="BB377" s="6"/>
      <c r="BC377" s="6"/>
      <c r="BD377" s="6"/>
      <c r="BE377" s="6"/>
      <c r="BF377" s="6"/>
      <c r="BG377" s="6"/>
      <c r="BH377" s="6"/>
      <c r="BI377" s="6"/>
      <c r="BJ377" s="6"/>
      <c r="BK377" s="6"/>
      <c r="BL377" s="6"/>
      <c r="BM377" s="6"/>
      <c r="BN377" s="6"/>
      <c r="BO377" s="6"/>
      <c r="BP377" s="6"/>
      <c r="BQ377" s="6"/>
      <c r="BR377" s="6"/>
      <c r="BS377" s="6"/>
      <c r="BT377" s="6"/>
      <c r="BU377" s="6"/>
      <c r="BV377" s="6"/>
      <c r="BW377" s="6"/>
      <c r="BX377" s="6"/>
      <c r="BY377" s="6"/>
      <c r="BZ377" s="6"/>
      <c r="CA377" s="6"/>
      <c r="CB377" s="6"/>
      <c r="CC377" s="6"/>
      <c r="CD377" s="6"/>
      <c r="CE377" s="6"/>
      <c r="CF377" s="6"/>
    </row>
    <row r="378" spans="4:84">
      <c r="D378" s="6"/>
      <c r="E378" s="6"/>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c r="AU378" s="6"/>
      <c r="AV378" s="6"/>
      <c r="AW378" s="6"/>
      <c r="AX378" s="6"/>
      <c r="AY378" s="6"/>
      <c r="AZ378" s="6"/>
      <c r="BA378" s="6"/>
      <c r="BB378" s="6"/>
      <c r="BC378" s="6"/>
      <c r="BD378" s="6"/>
      <c r="BE378" s="6"/>
      <c r="BF378" s="6"/>
      <c r="BG378" s="6"/>
      <c r="BH378" s="6"/>
      <c r="BI378" s="6"/>
      <c r="BJ378" s="6"/>
      <c r="BK378" s="6"/>
      <c r="BL378" s="6"/>
      <c r="BM378" s="6"/>
      <c r="BN378" s="6"/>
      <c r="BO378" s="6"/>
      <c r="BP378" s="6"/>
      <c r="BQ378" s="6"/>
      <c r="BR378" s="6"/>
      <c r="BS378" s="6"/>
      <c r="BT378" s="6"/>
      <c r="BU378" s="6"/>
      <c r="BV378" s="6"/>
      <c r="BW378" s="6"/>
      <c r="BX378" s="6"/>
      <c r="BY378" s="6"/>
      <c r="BZ378" s="6"/>
      <c r="CA378" s="6"/>
      <c r="CB378" s="6"/>
      <c r="CC378" s="6"/>
      <c r="CD378" s="6"/>
      <c r="CE378" s="6"/>
      <c r="CF378" s="6"/>
    </row>
    <row r="379" spans="4:84">
      <c r="D379" s="6"/>
      <c r="E379" s="6"/>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c r="AU379" s="6"/>
      <c r="AV379" s="6"/>
      <c r="AW379" s="6"/>
      <c r="AX379" s="6"/>
      <c r="AY379" s="6"/>
      <c r="AZ379" s="6"/>
      <c r="BA379" s="6"/>
      <c r="BB379" s="6"/>
      <c r="BC379" s="6"/>
      <c r="BD379" s="6"/>
      <c r="BE379" s="6"/>
      <c r="BF379" s="6"/>
      <c r="BG379" s="6"/>
      <c r="BH379" s="6"/>
      <c r="BI379" s="6"/>
      <c r="BJ379" s="6"/>
      <c r="BK379" s="6"/>
      <c r="BL379" s="6"/>
      <c r="BM379" s="6"/>
      <c r="BN379" s="6"/>
      <c r="BO379" s="6"/>
      <c r="BP379" s="6"/>
      <c r="BQ379" s="6"/>
      <c r="BR379" s="6"/>
      <c r="BS379" s="6"/>
      <c r="BT379" s="6"/>
      <c r="BU379" s="6"/>
      <c r="BV379" s="6"/>
      <c r="BW379" s="6"/>
      <c r="BX379" s="6"/>
      <c r="BY379" s="6"/>
      <c r="BZ379" s="6"/>
      <c r="CA379" s="6"/>
      <c r="CB379" s="6"/>
      <c r="CC379" s="6"/>
      <c r="CD379" s="6"/>
      <c r="CE379" s="6"/>
      <c r="CF379" s="6"/>
    </row>
    <row r="380" spans="4:84">
      <c r="D380" s="6"/>
      <c r="E380" s="6"/>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c r="AU380" s="6"/>
      <c r="AV380" s="6"/>
      <c r="AW380" s="6"/>
      <c r="AX380" s="6"/>
      <c r="AY380" s="6"/>
      <c r="AZ380" s="6"/>
      <c r="BA380" s="6"/>
      <c r="BB380" s="6"/>
      <c r="BC380" s="6"/>
      <c r="BD380" s="6"/>
      <c r="BE380" s="6"/>
      <c r="BF380" s="6"/>
      <c r="BG380" s="6"/>
      <c r="BH380" s="6"/>
      <c r="BI380" s="6"/>
      <c r="BJ380" s="6"/>
      <c r="BK380" s="6"/>
      <c r="BL380" s="6"/>
      <c r="BM380" s="6"/>
      <c r="BN380" s="6"/>
      <c r="BO380" s="6"/>
      <c r="BP380" s="6"/>
      <c r="BQ380" s="6"/>
      <c r="BR380" s="6"/>
      <c r="BS380" s="6"/>
      <c r="BT380" s="6"/>
      <c r="BU380" s="6"/>
      <c r="BV380" s="6"/>
      <c r="BW380" s="6"/>
      <c r="BX380" s="6"/>
      <c r="BY380" s="6"/>
      <c r="BZ380" s="6"/>
      <c r="CA380" s="6"/>
      <c r="CB380" s="6"/>
      <c r="CC380" s="6"/>
      <c r="CD380" s="6"/>
      <c r="CE380" s="6"/>
      <c r="CF380" s="6"/>
    </row>
    <row r="381" spans="4:84">
      <c r="D381" s="6"/>
      <c r="E381" s="6"/>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c r="AU381" s="6"/>
      <c r="AV381" s="6"/>
      <c r="AW381" s="6"/>
      <c r="AX381" s="6"/>
      <c r="AY381" s="6"/>
      <c r="AZ381" s="6"/>
      <c r="BA381" s="6"/>
      <c r="BB381" s="6"/>
      <c r="BC381" s="6"/>
      <c r="BD381" s="6"/>
      <c r="BE381" s="6"/>
      <c r="BF381" s="6"/>
      <c r="BG381" s="6"/>
      <c r="BH381" s="6"/>
      <c r="BI381" s="6"/>
      <c r="BJ381" s="6"/>
      <c r="BK381" s="6"/>
      <c r="BL381" s="6"/>
      <c r="BM381" s="6"/>
      <c r="BN381" s="6"/>
      <c r="BO381" s="6"/>
      <c r="BP381" s="6"/>
      <c r="BQ381" s="6"/>
      <c r="BR381" s="6"/>
      <c r="BS381" s="6"/>
      <c r="BT381" s="6"/>
      <c r="BU381" s="6"/>
      <c r="BV381" s="6"/>
      <c r="BW381" s="6"/>
      <c r="BX381" s="6"/>
      <c r="BY381" s="6"/>
      <c r="BZ381" s="6"/>
      <c r="CA381" s="6"/>
      <c r="CB381" s="6"/>
      <c r="CC381" s="6"/>
      <c r="CD381" s="6"/>
      <c r="CE381" s="6"/>
      <c r="CF381" s="6"/>
    </row>
    <row r="382" spans="4:84">
      <c r="D382" s="6"/>
      <c r="E382" s="6"/>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c r="AU382" s="6"/>
      <c r="AV382" s="6"/>
      <c r="AW382" s="6"/>
      <c r="AX382" s="6"/>
      <c r="AY382" s="6"/>
      <c r="AZ382" s="6"/>
      <c r="BA382" s="6"/>
      <c r="BB382" s="6"/>
      <c r="BC382" s="6"/>
      <c r="BD382" s="6"/>
      <c r="BE382" s="6"/>
      <c r="BF382" s="6"/>
      <c r="BG382" s="6"/>
      <c r="BH382" s="6"/>
      <c r="BI382" s="6"/>
      <c r="BJ382" s="6"/>
      <c r="BK382" s="6"/>
      <c r="BL382" s="6"/>
      <c r="BM382" s="6"/>
      <c r="BN382" s="6"/>
      <c r="BO382" s="6"/>
      <c r="BP382" s="6"/>
      <c r="BQ382" s="6"/>
      <c r="BR382" s="6"/>
      <c r="BS382" s="6"/>
      <c r="BT382" s="6"/>
      <c r="BU382" s="6"/>
      <c r="BV382" s="6"/>
      <c r="BW382" s="6"/>
      <c r="BX382" s="6"/>
      <c r="BY382" s="6"/>
      <c r="BZ382" s="6"/>
      <c r="CA382" s="6"/>
      <c r="CB382" s="6"/>
      <c r="CC382" s="6"/>
      <c r="CD382" s="6"/>
      <c r="CE382" s="6"/>
      <c r="CF382" s="6"/>
    </row>
    <row r="383" spans="4:84">
      <c r="D383" s="6"/>
      <c r="E383" s="6"/>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c r="AU383" s="6"/>
      <c r="AV383" s="6"/>
      <c r="AW383" s="6"/>
      <c r="AX383" s="6"/>
      <c r="AY383" s="6"/>
      <c r="AZ383" s="6"/>
      <c r="BA383" s="6"/>
      <c r="BB383" s="6"/>
      <c r="BC383" s="6"/>
      <c r="BD383" s="6"/>
      <c r="BE383" s="6"/>
      <c r="BF383" s="6"/>
      <c r="BG383" s="6"/>
      <c r="BH383" s="6"/>
      <c r="BI383" s="6"/>
      <c r="BJ383" s="6"/>
      <c r="BK383" s="6"/>
      <c r="BL383" s="6"/>
      <c r="BM383" s="6"/>
      <c r="BN383" s="6"/>
      <c r="BO383" s="6"/>
      <c r="BP383" s="6"/>
      <c r="BQ383" s="6"/>
      <c r="BR383" s="6"/>
      <c r="BS383" s="6"/>
      <c r="BT383" s="6"/>
      <c r="BU383" s="6"/>
      <c r="BV383" s="6"/>
      <c r="BW383" s="6"/>
      <c r="BX383" s="6"/>
      <c r="BY383" s="6"/>
      <c r="BZ383" s="6"/>
      <c r="CA383" s="6"/>
      <c r="CB383" s="6"/>
      <c r="CC383" s="6"/>
      <c r="CD383" s="6"/>
      <c r="CE383" s="6"/>
      <c r="CF383" s="6"/>
    </row>
    <row r="384" spans="4:84">
      <c r="D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6"/>
      <c r="AX384" s="6"/>
      <c r="AY384" s="6"/>
      <c r="AZ384" s="6"/>
      <c r="BA384" s="6"/>
      <c r="BB384" s="6"/>
      <c r="BC384" s="6"/>
      <c r="BD384" s="6"/>
      <c r="BE384" s="6"/>
      <c r="BF384" s="6"/>
      <c r="BG384" s="6"/>
      <c r="BH384" s="6"/>
      <c r="BI384" s="6"/>
      <c r="BJ384" s="6"/>
      <c r="BK384" s="6"/>
      <c r="BL384" s="6"/>
      <c r="BM384" s="6"/>
      <c r="BN384" s="6"/>
      <c r="BO384" s="6"/>
      <c r="BP384" s="6"/>
      <c r="BQ384" s="6"/>
      <c r="BR384" s="6"/>
      <c r="BS384" s="6"/>
      <c r="BT384" s="6"/>
      <c r="BU384" s="6"/>
      <c r="BV384" s="6"/>
      <c r="BW384" s="6"/>
      <c r="BX384" s="6"/>
      <c r="BY384" s="6"/>
      <c r="BZ384" s="6"/>
      <c r="CA384" s="6"/>
      <c r="CB384" s="6"/>
      <c r="CC384" s="6"/>
      <c r="CD384" s="6"/>
      <c r="CE384" s="6"/>
      <c r="CF384" s="6"/>
    </row>
    <row r="385" spans="4:84">
      <c r="D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6"/>
      <c r="AX385" s="6"/>
      <c r="AY385" s="6"/>
      <c r="AZ385" s="6"/>
      <c r="BA385" s="6"/>
      <c r="BB385" s="6"/>
      <c r="BC385" s="6"/>
      <c r="BD385" s="6"/>
      <c r="BE385" s="6"/>
      <c r="BF385" s="6"/>
      <c r="BG385" s="6"/>
      <c r="BH385" s="6"/>
      <c r="BI385" s="6"/>
      <c r="BJ385" s="6"/>
      <c r="BK385" s="6"/>
      <c r="BL385" s="6"/>
      <c r="BM385" s="6"/>
      <c r="BN385" s="6"/>
      <c r="BO385" s="6"/>
      <c r="BP385" s="6"/>
      <c r="BQ385" s="6"/>
      <c r="BR385" s="6"/>
      <c r="BS385" s="6"/>
      <c r="BT385" s="6"/>
      <c r="BU385" s="6"/>
      <c r="BV385" s="6"/>
      <c r="BW385" s="6"/>
      <c r="BX385" s="6"/>
      <c r="BY385" s="6"/>
      <c r="BZ385" s="6"/>
      <c r="CA385" s="6"/>
      <c r="CB385" s="6"/>
      <c r="CC385" s="6"/>
      <c r="CD385" s="6"/>
      <c r="CE385" s="6"/>
      <c r="CF385" s="6"/>
    </row>
    <row r="386" spans="4:84">
      <c r="D386" s="6"/>
      <c r="E386" s="6"/>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c r="AU386" s="6"/>
      <c r="AV386" s="6"/>
      <c r="AW386" s="6"/>
      <c r="AX386" s="6"/>
      <c r="AY386" s="6"/>
      <c r="AZ386" s="6"/>
      <c r="BA386" s="6"/>
      <c r="BB386" s="6"/>
      <c r="BC386" s="6"/>
      <c r="BD386" s="6"/>
      <c r="BE386" s="6"/>
      <c r="BF386" s="6"/>
      <c r="BG386" s="6"/>
      <c r="BH386" s="6"/>
      <c r="BI386" s="6"/>
      <c r="BJ386" s="6"/>
      <c r="BK386" s="6"/>
      <c r="BL386" s="6"/>
      <c r="BM386" s="6"/>
      <c r="BN386" s="6"/>
      <c r="BO386" s="6"/>
      <c r="BP386" s="6"/>
      <c r="BQ386" s="6"/>
      <c r="BR386" s="6"/>
      <c r="BS386" s="6"/>
      <c r="BT386" s="6"/>
      <c r="BU386" s="6"/>
      <c r="BV386" s="6"/>
      <c r="BW386" s="6"/>
      <c r="BX386" s="6"/>
      <c r="BY386" s="6"/>
      <c r="BZ386" s="6"/>
      <c r="CA386" s="6"/>
      <c r="CB386" s="6"/>
      <c r="CC386" s="6"/>
      <c r="CD386" s="6"/>
      <c r="CE386" s="6"/>
      <c r="CF386" s="6"/>
    </row>
    <row r="387" spans="4:84">
      <c r="D387" s="6"/>
      <c r="E387" s="6"/>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c r="AU387" s="6"/>
      <c r="AV387" s="6"/>
      <c r="AW387" s="6"/>
      <c r="AX387" s="6"/>
      <c r="AY387" s="6"/>
      <c r="AZ387" s="6"/>
      <c r="BA387" s="6"/>
      <c r="BB387" s="6"/>
      <c r="BC387" s="6"/>
      <c r="BD387" s="6"/>
      <c r="BE387" s="6"/>
      <c r="BF387" s="6"/>
      <c r="BG387" s="6"/>
      <c r="BH387" s="6"/>
      <c r="BI387" s="6"/>
      <c r="BJ387" s="6"/>
      <c r="BK387" s="6"/>
      <c r="BL387" s="6"/>
      <c r="BM387" s="6"/>
      <c r="BN387" s="6"/>
      <c r="BO387" s="6"/>
      <c r="BP387" s="6"/>
      <c r="BQ387" s="6"/>
      <c r="BR387" s="6"/>
      <c r="BS387" s="6"/>
      <c r="BT387" s="6"/>
      <c r="BU387" s="6"/>
      <c r="BV387" s="6"/>
      <c r="BW387" s="6"/>
      <c r="BX387" s="6"/>
      <c r="BY387" s="6"/>
      <c r="BZ387" s="6"/>
      <c r="CA387" s="6"/>
      <c r="CB387" s="6"/>
      <c r="CC387" s="6"/>
      <c r="CD387" s="6"/>
      <c r="CE387" s="6"/>
      <c r="CF387" s="6"/>
    </row>
    <row r="388" spans="4:84">
      <c r="D388" s="6"/>
      <c r="E388" s="6"/>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c r="AU388" s="6"/>
      <c r="AV388" s="6"/>
      <c r="AW388" s="6"/>
      <c r="AX388" s="6"/>
      <c r="AY388" s="6"/>
      <c r="AZ388" s="6"/>
      <c r="BA388" s="6"/>
      <c r="BB388" s="6"/>
      <c r="BC388" s="6"/>
      <c r="BD388" s="6"/>
      <c r="BE388" s="6"/>
      <c r="BF388" s="6"/>
      <c r="BG388" s="6"/>
      <c r="BH388" s="6"/>
      <c r="BI388" s="6"/>
      <c r="BJ388" s="6"/>
      <c r="BK388" s="6"/>
      <c r="BL388" s="6"/>
      <c r="BM388" s="6"/>
      <c r="BN388" s="6"/>
      <c r="BO388" s="6"/>
      <c r="BP388" s="6"/>
      <c r="BQ388" s="6"/>
      <c r="BR388" s="6"/>
      <c r="BS388" s="6"/>
      <c r="BT388" s="6"/>
      <c r="BU388" s="6"/>
      <c r="BV388" s="6"/>
      <c r="BW388" s="6"/>
      <c r="BX388" s="6"/>
      <c r="BY388" s="6"/>
      <c r="BZ388" s="6"/>
      <c r="CA388" s="6"/>
      <c r="CB388" s="6"/>
      <c r="CC388" s="6"/>
      <c r="CD388" s="6"/>
      <c r="CE388" s="6"/>
      <c r="CF388" s="6"/>
    </row>
    <row r="389" spans="4:84">
      <c r="D389" s="6"/>
      <c r="E389" s="6"/>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c r="AU389" s="6"/>
      <c r="AV389" s="6"/>
      <c r="AW389" s="6"/>
      <c r="AX389" s="6"/>
      <c r="AY389" s="6"/>
      <c r="AZ389" s="6"/>
      <c r="BA389" s="6"/>
      <c r="BB389" s="6"/>
      <c r="BC389" s="6"/>
      <c r="BD389" s="6"/>
      <c r="BE389" s="6"/>
      <c r="BF389" s="6"/>
      <c r="BG389" s="6"/>
      <c r="BH389" s="6"/>
      <c r="BI389" s="6"/>
      <c r="BJ389" s="6"/>
      <c r="BK389" s="6"/>
      <c r="BL389" s="6"/>
      <c r="BM389" s="6"/>
      <c r="BN389" s="6"/>
      <c r="BO389" s="6"/>
      <c r="BP389" s="6"/>
      <c r="BQ389" s="6"/>
      <c r="BR389" s="6"/>
      <c r="BS389" s="6"/>
      <c r="BT389" s="6"/>
      <c r="BU389" s="6"/>
      <c r="BV389" s="6"/>
      <c r="BW389" s="6"/>
      <c r="BX389" s="6"/>
      <c r="BY389" s="6"/>
      <c r="BZ389" s="6"/>
      <c r="CA389" s="6"/>
      <c r="CB389" s="6"/>
      <c r="CC389" s="6"/>
      <c r="CD389" s="6"/>
      <c r="CE389" s="6"/>
      <c r="CF389" s="6"/>
    </row>
    <row r="390" spans="4:84">
      <c r="D390" s="6"/>
      <c r="E390" s="6"/>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c r="AU390" s="6"/>
      <c r="AV390" s="6"/>
      <c r="AW390" s="6"/>
      <c r="AX390" s="6"/>
      <c r="AY390" s="6"/>
      <c r="AZ390" s="6"/>
      <c r="BA390" s="6"/>
      <c r="BB390" s="6"/>
      <c r="BC390" s="6"/>
      <c r="BD390" s="6"/>
      <c r="BE390" s="6"/>
      <c r="BF390" s="6"/>
      <c r="BG390" s="6"/>
      <c r="BH390" s="6"/>
      <c r="BI390" s="6"/>
      <c r="BJ390" s="6"/>
      <c r="BK390" s="6"/>
      <c r="BL390" s="6"/>
      <c r="BM390" s="6"/>
      <c r="BN390" s="6"/>
      <c r="BO390" s="6"/>
      <c r="BP390" s="6"/>
      <c r="BQ390" s="6"/>
      <c r="BR390" s="6"/>
      <c r="BS390" s="6"/>
      <c r="BT390" s="6"/>
      <c r="BU390" s="6"/>
      <c r="BV390" s="6"/>
      <c r="BW390" s="6"/>
      <c r="BX390" s="6"/>
      <c r="BY390" s="6"/>
      <c r="BZ390" s="6"/>
      <c r="CA390" s="6"/>
      <c r="CB390" s="6"/>
      <c r="CC390" s="6"/>
      <c r="CD390" s="6"/>
      <c r="CE390" s="6"/>
      <c r="CF390" s="6"/>
    </row>
    <row r="391" spans="4:84">
      <c r="D391" s="6"/>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6"/>
      <c r="AX391" s="6"/>
      <c r="AY391" s="6"/>
      <c r="AZ391" s="6"/>
      <c r="BA391" s="6"/>
      <c r="BB391" s="6"/>
      <c r="BC391" s="6"/>
      <c r="BD391" s="6"/>
      <c r="BE391" s="6"/>
      <c r="BF391" s="6"/>
      <c r="BG391" s="6"/>
      <c r="BH391" s="6"/>
      <c r="BI391" s="6"/>
      <c r="BJ391" s="6"/>
      <c r="BK391" s="6"/>
      <c r="BL391" s="6"/>
      <c r="BM391" s="6"/>
      <c r="BN391" s="6"/>
      <c r="BO391" s="6"/>
      <c r="BP391" s="6"/>
      <c r="BQ391" s="6"/>
      <c r="BR391" s="6"/>
      <c r="BS391" s="6"/>
      <c r="BT391" s="6"/>
      <c r="BU391" s="6"/>
      <c r="BV391" s="6"/>
      <c r="BW391" s="6"/>
      <c r="BX391" s="6"/>
      <c r="BY391" s="6"/>
      <c r="BZ391" s="6"/>
      <c r="CA391" s="6"/>
      <c r="CB391" s="6"/>
      <c r="CC391" s="6"/>
      <c r="CD391" s="6"/>
      <c r="CE391" s="6"/>
      <c r="CF391" s="6"/>
    </row>
    <row r="392" spans="4:84">
      <c r="D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6"/>
      <c r="AX392" s="6"/>
      <c r="AY392" s="6"/>
      <c r="AZ392" s="6"/>
      <c r="BA392" s="6"/>
      <c r="BB392" s="6"/>
      <c r="BC392" s="6"/>
      <c r="BD392" s="6"/>
      <c r="BE392" s="6"/>
      <c r="BF392" s="6"/>
      <c r="BG392" s="6"/>
      <c r="BH392" s="6"/>
      <c r="BI392" s="6"/>
      <c r="BJ392" s="6"/>
      <c r="BK392" s="6"/>
      <c r="BL392" s="6"/>
      <c r="BM392" s="6"/>
      <c r="BN392" s="6"/>
      <c r="BO392" s="6"/>
      <c r="BP392" s="6"/>
      <c r="BQ392" s="6"/>
      <c r="BR392" s="6"/>
      <c r="BS392" s="6"/>
      <c r="BT392" s="6"/>
      <c r="BU392" s="6"/>
      <c r="BV392" s="6"/>
      <c r="BW392" s="6"/>
      <c r="BX392" s="6"/>
      <c r="BY392" s="6"/>
      <c r="BZ392" s="6"/>
      <c r="CA392" s="6"/>
      <c r="CB392" s="6"/>
      <c r="CC392" s="6"/>
      <c r="CD392" s="6"/>
      <c r="CE392" s="6"/>
      <c r="CF392" s="6"/>
    </row>
    <row r="393" spans="4:84">
      <c r="D393" s="6"/>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6"/>
      <c r="AX393" s="6"/>
      <c r="AY393" s="6"/>
      <c r="AZ393" s="6"/>
      <c r="BA393" s="6"/>
      <c r="BB393" s="6"/>
      <c r="BC393" s="6"/>
      <c r="BD393" s="6"/>
      <c r="BE393" s="6"/>
      <c r="BF393" s="6"/>
      <c r="BG393" s="6"/>
      <c r="BH393" s="6"/>
      <c r="BI393" s="6"/>
      <c r="BJ393" s="6"/>
      <c r="BK393" s="6"/>
      <c r="BL393" s="6"/>
      <c r="BM393" s="6"/>
      <c r="BN393" s="6"/>
      <c r="BO393" s="6"/>
      <c r="BP393" s="6"/>
      <c r="BQ393" s="6"/>
      <c r="BR393" s="6"/>
      <c r="BS393" s="6"/>
      <c r="BT393" s="6"/>
      <c r="BU393" s="6"/>
      <c r="BV393" s="6"/>
      <c r="BW393" s="6"/>
      <c r="BX393" s="6"/>
      <c r="BY393" s="6"/>
      <c r="BZ393" s="6"/>
      <c r="CA393" s="6"/>
      <c r="CB393" s="6"/>
      <c r="CC393" s="6"/>
      <c r="CD393" s="6"/>
      <c r="CE393" s="6"/>
      <c r="CF393" s="6"/>
    </row>
    <row r="394" spans="4:84">
      <c r="D394" s="6"/>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6"/>
      <c r="AX394" s="6"/>
      <c r="AY394" s="6"/>
      <c r="AZ394" s="6"/>
      <c r="BA394" s="6"/>
      <c r="BB394" s="6"/>
      <c r="BC394" s="6"/>
      <c r="BD394" s="6"/>
      <c r="BE394" s="6"/>
      <c r="BF394" s="6"/>
      <c r="BG394" s="6"/>
      <c r="BH394" s="6"/>
      <c r="BI394" s="6"/>
      <c r="BJ394" s="6"/>
      <c r="BK394" s="6"/>
      <c r="BL394" s="6"/>
      <c r="BM394" s="6"/>
      <c r="BN394" s="6"/>
      <c r="BO394" s="6"/>
      <c r="BP394" s="6"/>
      <c r="BQ394" s="6"/>
      <c r="BR394" s="6"/>
      <c r="BS394" s="6"/>
      <c r="BT394" s="6"/>
      <c r="BU394" s="6"/>
      <c r="BV394" s="6"/>
      <c r="BW394" s="6"/>
      <c r="BX394" s="6"/>
      <c r="BY394" s="6"/>
      <c r="BZ394" s="6"/>
      <c r="CA394" s="6"/>
      <c r="CB394" s="6"/>
      <c r="CC394" s="6"/>
      <c r="CD394" s="6"/>
      <c r="CE394" s="6"/>
      <c r="CF394" s="6"/>
    </row>
    <row r="395" spans="4:84">
      <c r="D395" s="6"/>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c r="AZ395" s="6"/>
      <c r="BA395" s="6"/>
      <c r="BB395" s="6"/>
      <c r="BC395" s="6"/>
      <c r="BD395" s="6"/>
      <c r="BE395" s="6"/>
      <c r="BF395" s="6"/>
      <c r="BG395" s="6"/>
      <c r="BH395" s="6"/>
      <c r="BI395" s="6"/>
      <c r="BJ395" s="6"/>
      <c r="BK395" s="6"/>
      <c r="BL395" s="6"/>
      <c r="BM395" s="6"/>
      <c r="BN395" s="6"/>
      <c r="BO395" s="6"/>
      <c r="BP395" s="6"/>
      <c r="BQ395" s="6"/>
      <c r="BR395" s="6"/>
      <c r="BS395" s="6"/>
      <c r="BT395" s="6"/>
      <c r="BU395" s="6"/>
      <c r="BV395" s="6"/>
      <c r="BW395" s="6"/>
      <c r="BX395" s="6"/>
      <c r="BY395" s="6"/>
      <c r="BZ395" s="6"/>
      <c r="CA395" s="6"/>
      <c r="CB395" s="6"/>
      <c r="CC395" s="6"/>
      <c r="CD395" s="6"/>
      <c r="CE395" s="6"/>
      <c r="CF395" s="6"/>
    </row>
    <row r="396" spans="4:84">
      <c r="D396" s="6"/>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c r="AU396" s="6"/>
      <c r="AV396" s="6"/>
      <c r="AW396" s="6"/>
      <c r="AX396" s="6"/>
      <c r="AY396" s="6"/>
      <c r="AZ396" s="6"/>
      <c r="BA396" s="6"/>
      <c r="BB396" s="6"/>
      <c r="BC396" s="6"/>
      <c r="BD396" s="6"/>
      <c r="BE396" s="6"/>
      <c r="BF396" s="6"/>
      <c r="BG396" s="6"/>
      <c r="BH396" s="6"/>
      <c r="BI396" s="6"/>
      <c r="BJ396" s="6"/>
      <c r="BK396" s="6"/>
      <c r="BL396" s="6"/>
      <c r="BM396" s="6"/>
      <c r="BN396" s="6"/>
      <c r="BO396" s="6"/>
      <c r="BP396" s="6"/>
      <c r="BQ396" s="6"/>
      <c r="BR396" s="6"/>
      <c r="BS396" s="6"/>
      <c r="BT396" s="6"/>
      <c r="BU396" s="6"/>
      <c r="BV396" s="6"/>
      <c r="BW396" s="6"/>
      <c r="BX396" s="6"/>
      <c r="BY396" s="6"/>
      <c r="BZ396" s="6"/>
      <c r="CA396" s="6"/>
      <c r="CB396" s="6"/>
      <c r="CC396" s="6"/>
      <c r="CD396" s="6"/>
      <c r="CE396" s="6"/>
      <c r="CF396" s="6"/>
    </row>
    <row r="397" spans="4:84">
      <c r="D397" s="6"/>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6"/>
      <c r="AX397" s="6"/>
      <c r="AY397" s="6"/>
      <c r="AZ397" s="6"/>
      <c r="BA397" s="6"/>
      <c r="BB397" s="6"/>
      <c r="BC397" s="6"/>
      <c r="BD397" s="6"/>
      <c r="BE397" s="6"/>
      <c r="BF397" s="6"/>
      <c r="BG397" s="6"/>
      <c r="BH397" s="6"/>
      <c r="BI397" s="6"/>
      <c r="BJ397" s="6"/>
      <c r="BK397" s="6"/>
      <c r="BL397" s="6"/>
      <c r="BM397" s="6"/>
      <c r="BN397" s="6"/>
      <c r="BO397" s="6"/>
      <c r="BP397" s="6"/>
      <c r="BQ397" s="6"/>
      <c r="BR397" s="6"/>
      <c r="BS397" s="6"/>
      <c r="BT397" s="6"/>
      <c r="BU397" s="6"/>
      <c r="BV397" s="6"/>
      <c r="BW397" s="6"/>
      <c r="BX397" s="6"/>
      <c r="BY397" s="6"/>
      <c r="BZ397" s="6"/>
      <c r="CA397" s="6"/>
      <c r="CB397" s="6"/>
      <c r="CC397" s="6"/>
      <c r="CD397" s="6"/>
      <c r="CE397" s="6"/>
      <c r="CF397" s="6"/>
    </row>
    <row r="398" spans="4:84">
      <c r="D398" s="6"/>
      <c r="E398" s="6"/>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c r="AU398" s="6"/>
      <c r="AV398" s="6"/>
      <c r="AW398" s="6"/>
      <c r="AX398" s="6"/>
      <c r="AY398" s="6"/>
      <c r="AZ398" s="6"/>
      <c r="BA398" s="6"/>
      <c r="BB398" s="6"/>
      <c r="BC398" s="6"/>
      <c r="BD398" s="6"/>
      <c r="BE398" s="6"/>
      <c r="BF398" s="6"/>
      <c r="BG398" s="6"/>
      <c r="BH398" s="6"/>
      <c r="BI398" s="6"/>
      <c r="BJ398" s="6"/>
      <c r="BK398" s="6"/>
      <c r="BL398" s="6"/>
      <c r="BM398" s="6"/>
      <c r="BN398" s="6"/>
      <c r="BO398" s="6"/>
      <c r="BP398" s="6"/>
      <c r="BQ398" s="6"/>
      <c r="BR398" s="6"/>
      <c r="BS398" s="6"/>
      <c r="BT398" s="6"/>
      <c r="BU398" s="6"/>
      <c r="BV398" s="6"/>
      <c r="BW398" s="6"/>
      <c r="BX398" s="6"/>
      <c r="BY398" s="6"/>
      <c r="BZ398" s="6"/>
      <c r="CA398" s="6"/>
      <c r="CB398" s="6"/>
      <c r="CC398" s="6"/>
      <c r="CD398" s="6"/>
      <c r="CE398" s="6"/>
      <c r="CF398" s="6"/>
    </row>
  </sheetData>
  <pageMargins left="0.75" right="0.75" top="1" bottom="1" header="0.5" footer="0.5"/>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92D050"/>
    <pageSetUpPr autoPageBreaks="0"/>
  </sheetPr>
  <dimension ref="A1:IV399"/>
  <sheetViews>
    <sheetView topLeftCell="A225" zoomScaleNormal="100" workbookViewId="0">
      <selection activeCell="E249" sqref="E249"/>
    </sheetView>
  </sheetViews>
  <sheetFormatPr defaultRowHeight="12.75"/>
  <cols>
    <col min="1" max="1" width="29" style="4" bestFit="1" customWidth="1"/>
    <col min="2" max="2" width="14.42578125" style="4" bestFit="1" customWidth="1"/>
    <col min="3" max="4" width="17.85546875" style="4" bestFit="1" customWidth="1"/>
    <col min="5" max="5" width="12.5703125" style="4" bestFit="1" customWidth="1"/>
    <col min="6" max="6" width="10.140625" style="4" bestFit="1" customWidth="1"/>
    <col min="7" max="7" width="16.7109375" style="4" customWidth="1"/>
    <col min="8" max="8" width="12" style="4" bestFit="1" customWidth="1"/>
    <col min="9" max="9" width="11" style="4" bestFit="1" customWidth="1"/>
    <col min="10" max="10" width="11.7109375" style="4" bestFit="1" customWidth="1"/>
    <col min="11" max="11" width="12" style="4" bestFit="1" customWidth="1"/>
    <col min="12" max="12" width="14.7109375" style="4" bestFit="1" customWidth="1"/>
    <col min="13" max="13" width="16.5703125" style="4" bestFit="1" customWidth="1"/>
    <col min="14" max="14" width="12" style="4" bestFit="1" customWidth="1"/>
    <col min="15" max="15" width="25.140625" style="4" bestFit="1" customWidth="1"/>
    <col min="16" max="16" width="21.85546875" style="4" bestFit="1" customWidth="1"/>
    <col min="17" max="17" width="15.28515625" style="4" bestFit="1" customWidth="1"/>
    <col min="18" max="27" width="10.140625" style="4" bestFit="1" customWidth="1"/>
    <col min="28" max="28" width="18.7109375" style="4" customWidth="1"/>
    <col min="29" max="80" width="10.140625" style="4" bestFit="1" customWidth="1"/>
    <col min="81" max="82" width="17.85546875" style="4" bestFit="1" customWidth="1"/>
    <col min="83" max="83" width="17.85546875" style="4" customWidth="1"/>
    <col min="84" max="84" width="24.140625" style="4" customWidth="1"/>
    <col min="85" max="85" width="24.7109375" style="4" customWidth="1"/>
    <col min="86" max="102" width="15.7109375" style="4" bestFit="1" customWidth="1"/>
    <col min="103" max="103" width="20.85546875" style="4" customWidth="1"/>
    <col min="104" max="104" width="13.85546875" style="4" customWidth="1"/>
    <col min="105" max="142" width="9.140625" style="4"/>
    <col min="143" max="143" width="13.28515625" style="4" customWidth="1"/>
    <col min="144" max="16384" width="9.140625" style="4"/>
  </cols>
  <sheetData>
    <row r="1" spans="1:152">
      <c r="C1" s="156"/>
      <c r="D1" s="4" t="s">
        <v>109</v>
      </c>
      <c r="E1" s="4" t="s">
        <v>108</v>
      </c>
      <c r="F1" s="1" t="s">
        <v>3</v>
      </c>
      <c r="G1" s="4" t="s">
        <v>107</v>
      </c>
      <c r="H1" s="1" t="s">
        <v>0</v>
      </c>
      <c r="I1" s="1" t="s">
        <v>1</v>
      </c>
      <c r="J1" s="1" t="s">
        <v>2</v>
      </c>
      <c r="K1" s="2" t="s">
        <v>4</v>
      </c>
      <c r="L1" s="2" t="s">
        <v>6</v>
      </c>
      <c r="M1" s="2" t="s">
        <v>7</v>
      </c>
      <c r="N1" s="2" t="s">
        <v>5</v>
      </c>
      <c r="O1" s="2" t="s">
        <v>9</v>
      </c>
      <c r="P1" s="2" t="s">
        <v>10</v>
      </c>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3"/>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row>
    <row r="2" spans="1:152">
      <c r="A2" s="14" t="s">
        <v>20</v>
      </c>
      <c r="B2" s="14"/>
      <c r="C2" s="1"/>
      <c r="D2" t="str">
        <f>'Bond Data'!B50</f>
        <v>CTGBP1M GOVT</v>
      </c>
      <c r="E2" s="542"/>
      <c r="F2" s="542" t="str">
        <f>'Bond Data'!D50</f>
        <v>7/29/2019</v>
      </c>
      <c r="G2" s="548"/>
      <c r="H2">
        <f>'Bond Data'!F50</f>
        <v>99.9495</v>
      </c>
      <c r="I2">
        <f>'Bond Data'!G50</f>
        <v>0</v>
      </c>
      <c r="J2">
        <f>'Bond Data'!H50/100</f>
        <v>0</v>
      </c>
      <c r="K2">
        <f>'Bond Data'!I50</f>
        <v>99.9495</v>
      </c>
      <c r="L2" s="4">
        <f t="shared" ref="L2:L4" si="0">YIELD($B$3,F2,J2,H2,100,1,0)</f>
        <v>6.7367353847023106E-3</v>
      </c>
      <c r="M2" s="4">
        <f t="shared" ref="M2:M4" si="1">MDURATION($B$3,F2,J2,L2,1,0)</f>
        <v>7.4498125839562571E-2</v>
      </c>
      <c r="N2" s="4">
        <f t="shared" ref="N2:N4" si="2">DURATION($B$3,F2,J2,L2,1,0)</f>
        <v>7.4999999999999956E-2</v>
      </c>
      <c r="O2" s="4">
        <f>1/M2</f>
        <v>13.423156471796039</v>
      </c>
      <c r="P2" s="4">
        <f t="shared" ref="P2:P19" si="3">O2/$O$20</f>
        <v>0.58191419857546245</v>
      </c>
      <c r="BO2" s="3"/>
    </row>
    <row r="3" spans="1:152">
      <c r="A3" s="14" t="s">
        <v>21</v>
      </c>
      <c r="B3" s="229">
        <f>'Instructions &amp; Dashboard'!$D$45</f>
        <v>43648</v>
      </c>
      <c r="C3" s="1"/>
      <c r="D3" t="str">
        <f>'Bond Data'!B51</f>
        <v>CTGBP3M GOVT</v>
      </c>
      <c r="E3" s="542"/>
      <c r="F3" s="542" t="str">
        <f>'Bond Data'!D51</f>
        <v>9/30/2019</v>
      </c>
      <c r="G3" s="548"/>
      <c r="H3">
        <f>'Bond Data'!F51</f>
        <v>99.817999999999998</v>
      </c>
      <c r="I3">
        <f>'Bond Data'!G51</f>
        <v>0</v>
      </c>
      <c r="J3">
        <f>'Bond Data'!H51/100</f>
        <v>0</v>
      </c>
      <c r="K3">
        <f>'Bond Data'!I51</f>
        <v>99.817999999999998</v>
      </c>
      <c r="L3" s="4">
        <f t="shared" si="0"/>
        <v>7.459029980018358E-3</v>
      </c>
      <c r="M3" s="4">
        <f t="shared" si="1"/>
        <v>0.24263462549865947</v>
      </c>
      <c r="N3" s="4">
        <f t="shared" si="2"/>
        <v>0.24444444444444449</v>
      </c>
      <c r="O3" s="4">
        <f t="shared" ref="O3:O16" si="4">1/M3</f>
        <v>4.1214233044637103</v>
      </c>
      <c r="P3" s="4">
        <f t="shared" si="3"/>
        <v>0.17866995324433821</v>
      </c>
      <c r="BO3" s="3"/>
    </row>
    <row r="4" spans="1:152">
      <c r="A4" s="14" t="s">
        <v>46</v>
      </c>
      <c r="B4" s="14"/>
      <c r="C4" s="1"/>
      <c r="D4" t="str">
        <f>'Bond Data'!B52</f>
        <v>CTGBP6M GOVT</v>
      </c>
      <c r="E4" s="542"/>
      <c r="F4" s="542" t="str">
        <f>'Bond Data'!D52</f>
        <v>12/30/2019</v>
      </c>
      <c r="G4" s="548"/>
      <c r="H4">
        <f>'Bond Data'!F52</f>
        <v>99.646000000000001</v>
      </c>
      <c r="I4">
        <f>'Bond Data'!G52</f>
        <v>0</v>
      </c>
      <c r="J4">
        <f>'Bond Data'!H52/100</f>
        <v>0</v>
      </c>
      <c r="K4">
        <f>'Bond Data'!I52</f>
        <v>99.646000000000001</v>
      </c>
      <c r="L4" s="4">
        <f t="shared" si="0"/>
        <v>7.1849854101496578E-3</v>
      </c>
      <c r="M4" s="4">
        <f t="shared" si="1"/>
        <v>0.49091721144263767</v>
      </c>
      <c r="N4" s="4">
        <f t="shared" si="2"/>
        <v>0.49444444444444435</v>
      </c>
      <c r="O4" s="4">
        <f>1/M4</f>
        <v>2.0370033412789548</v>
      </c>
      <c r="P4" s="4">
        <f t="shared" si="3"/>
        <v>8.8307185372270267E-2</v>
      </c>
      <c r="BO4" s="3"/>
    </row>
    <row r="5" spans="1:152">
      <c r="A5" s="14" t="s">
        <v>50</v>
      </c>
      <c r="B5" s="238">
        <f>'Instructions &amp; Dashboard'!$D$40/100</f>
        <v>4.2000000000000003E-2</v>
      </c>
      <c r="C5" s="1"/>
      <c r="D5" t="str">
        <f>'Bond Data'!B53</f>
        <v>CTGBP12M GOVT</v>
      </c>
      <c r="E5" s="542" t="str">
        <f>'Bond Data'!C53</f>
        <v>7/22/2019</v>
      </c>
      <c r="F5" s="542" t="str">
        <f>'Bond Data'!D53</f>
        <v>7/22/2020</v>
      </c>
      <c r="G5">
        <f>'Bond Data'!E53</f>
        <v>2</v>
      </c>
      <c r="H5">
        <f>'Bond Data'!F53</f>
        <v>101.4235</v>
      </c>
      <c r="I5">
        <f>'Bond Data'!G53</f>
        <v>0.89502762430939231</v>
      </c>
      <c r="J5">
        <f>'Bond Data'!H53/100</f>
        <v>0.02</v>
      </c>
      <c r="K5">
        <f>'Bond Data'!I53</f>
        <v>102.3185276243094</v>
      </c>
      <c r="L5" s="4">
        <f>YIELD($B$3,F5,J5,H5,100,G5,0)</f>
        <v>6.4450550321968614E-3</v>
      </c>
      <c r="M5" s="4">
        <f>MDURATION($B$3,F5,J5,L5,G5,0)</f>
        <v>1.0375719028345456</v>
      </c>
      <c r="N5" s="4">
        <f>DURATION($B$3,F5,J5,L5,G5,0)</f>
        <v>1.0409155068413605</v>
      </c>
      <c r="O5" s="4">
        <f t="shared" si="4"/>
        <v>0.96378862734052184</v>
      </c>
      <c r="P5" s="4">
        <f t="shared" si="3"/>
        <v>4.1781699248862533E-2</v>
      </c>
      <c r="BO5" s="3"/>
    </row>
    <row r="6" spans="1:152">
      <c r="A6" s="14" t="s">
        <v>11</v>
      </c>
      <c r="B6" s="14">
        <v>-3.359973327998509E-2</v>
      </c>
      <c r="C6" s="1"/>
      <c r="D6" t="str">
        <f>'Bond Data'!B54</f>
        <v>CTGBP2Y GOVT</v>
      </c>
      <c r="E6" s="542" t="str">
        <f>'Bond Data'!C54</f>
        <v>7/22/2019</v>
      </c>
      <c r="F6" s="542" t="str">
        <f>'Bond Data'!D54</f>
        <v>1/22/2021</v>
      </c>
      <c r="G6">
        <f>'Bond Data'!E54</f>
        <v>2</v>
      </c>
      <c r="H6">
        <f>'Bond Data'!F54</f>
        <v>101.447</v>
      </c>
      <c r="I6">
        <f>'Bond Data'!G54</f>
        <v>0.67127071823204421</v>
      </c>
      <c r="J6">
        <f>'Bond Data'!H54/100</f>
        <v>1.4999999999999999E-2</v>
      </c>
      <c r="K6">
        <f>'Bond Data'!I54</f>
        <v>102.11827071823204</v>
      </c>
      <c r="L6" s="549">
        <f t="shared" ref="L6:L19" si="5">YIELD($B$3,F6,J6,H6,100,G6,0)</f>
        <v>5.6431768596096471E-3</v>
      </c>
      <c r="M6" s="549">
        <f t="shared" ref="M6:M19" si="6">MDURATION($B$3,F6,J6,L6,G6,0)</f>
        <v>1.5292545459127678</v>
      </c>
      <c r="N6" s="549">
        <f t="shared" ref="N6:N16" si="7">DURATION($B$3,F6,J6,L6,G6,0)</f>
        <v>1.5335694728457416</v>
      </c>
      <c r="O6" s="4">
        <f t="shared" si="4"/>
        <v>0.65391337411596773</v>
      </c>
      <c r="P6" s="4">
        <f t="shared" si="3"/>
        <v>2.8348136880919153E-2</v>
      </c>
      <c r="BO6" s="3"/>
    </row>
    <row r="7" spans="1:152">
      <c r="A7" s="14" t="s">
        <v>12</v>
      </c>
      <c r="B7" s="14">
        <v>-5.0042222459697167E-2</v>
      </c>
      <c r="C7" s="1"/>
      <c r="D7" t="str">
        <f>'Bond Data'!B55</f>
        <v>CTGBP3Y GOVT</v>
      </c>
      <c r="E7" s="542" t="str">
        <f>'Bond Data'!C55</f>
        <v>7/22/2019</v>
      </c>
      <c r="F7" s="542" t="str">
        <f>'Bond Data'!D55</f>
        <v>7/22/2022</v>
      </c>
      <c r="G7">
        <f>'Bond Data'!E55</f>
        <v>2</v>
      </c>
      <c r="H7">
        <f>'Bond Data'!F55</f>
        <v>99.966999999999999</v>
      </c>
      <c r="I7">
        <f>'Bond Data'!G55</f>
        <v>0.22375690607734808</v>
      </c>
      <c r="J7">
        <f>'Bond Data'!H55/100</f>
        <v>5.0000000000000001E-3</v>
      </c>
      <c r="K7">
        <f>'Bond Data'!I55</f>
        <v>100.19075690607734</v>
      </c>
      <c r="L7" s="549">
        <f t="shared" si="5"/>
        <v>5.1088789857601825E-3</v>
      </c>
      <c r="M7" s="549">
        <f t="shared" si="6"/>
        <v>3.0217546160326543</v>
      </c>
      <c r="N7" s="549">
        <f t="shared" si="7"/>
        <v>3.0294735053616408</v>
      </c>
      <c r="O7" s="4">
        <f t="shared" si="4"/>
        <v>0.33093355585336304</v>
      </c>
      <c r="P7" s="4">
        <f t="shared" si="3"/>
        <v>1.4346471736417966E-2</v>
      </c>
      <c r="BO7" s="3"/>
    </row>
    <row r="8" spans="1:152">
      <c r="A8" s="14" t="s">
        <v>51</v>
      </c>
      <c r="B8" s="14">
        <v>-0.14864707809475847</v>
      </c>
      <c r="C8" s="1"/>
      <c r="D8" t="str">
        <f>'Bond Data'!B56</f>
        <v>CTGBP4Y GOVT</v>
      </c>
      <c r="E8" s="542" t="str">
        <f>'Bond Data'!C56</f>
        <v>7/22/2019</v>
      </c>
      <c r="F8" s="542" t="str">
        <f>'Bond Data'!D56</f>
        <v>7/22/2023</v>
      </c>
      <c r="G8">
        <f>'Bond Data'!E56</f>
        <v>2</v>
      </c>
      <c r="H8">
        <f>'Bond Data'!F56</f>
        <v>100.80199999999999</v>
      </c>
      <c r="I8">
        <f>'Bond Data'!G56</f>
        <v>0.3356353591160221</v>
      </c>
      <c r="J8">
        <f>'Bond Data'!H56/100</f>
        <v>7.4999999999999997E-3</v>
      </c>
      <c r="K8">
        <f>'Bond Data'!I56</f>
        <v>101.13763535911602</v>
      </c>
      <c r="L8" s="549">
        <f t="shared" si="5"/>
        <v>5.4974954038237364E-3</v>
      </c>
      <c r="M8" s="549">
        <f t="shared" si="6"/>
        <v>3.9783232629701022</v>
      </c>
      <c r="N8" s="549">
        <f t="shared" si="7"/>
        <v>3.9892586698966541</v>
      </c>
      <c r="O8" s="4">
        <f t="shared" si="4"/>
        <v>0.25136217795771293</v>
      </c>
      <c r="P8" s="4">
        <f t="shared" si="3"/>
        <v>1.089693177947988E-2</v>
      </c>
      <c r="BO8" s="3"/>
    </row>
    <row r="9" spans="1:152">
      <c r="A9" s="14" t="s">
        <v>53</v>
      </c>
      <c r="B9" s="14">
        <v>4.7326601087914124</v>
      </c>
      <c r="C9" s="1"/>
      <c r="D9" t="str">
        <f>'Bond Data'!B57</f>
        <v>CTGBP5Y GOVT</v>
      </c>
      <c r="E9" s="542" t="str">
        <f>'Bond Data'!C57</f>
        <v>10/22/2019</v>
      </c>
      <c r="F9" s="542" t="str">
        <f>'Bond Data'!D57</f>
        <v>4/22/2024</v>
      </c>
      <c r="G9">
        <f>'Bond Data'!E57</f>
        <v>2</v>
      </c>
      <c r="H9">
        <f>'Bond Data'!F57</f>
        <v>102.02600000000001</v>
      </c>
      <c r="I9">
        <f>'Bond Data'!G57</f>
        <v>0.19672131147540983</v>
      </c>
      <c r="J9">
        <f>'Bond Data'!H57/100</f>
        <v>0.01</v>
      </c>
      <c r="K9">
        <f>'Bond Data'!I57</f>
        <v>102.22272131147542</v>
      </c>
      <c r="L9" s="549">
        <f t="shared" si="5"/>
        <v>5.7194593200300256E-3</v>
      </c>
      <c r="M9" s="549">
        <f t="shared" si="6"/>
        <v>4.6831299775637936</v>
      </c>
      <c r="N9" s="549">
        <f t="shared" si="7"/>
        <v>4.6965224632623386</v>
      </c>
      <c r="O9" s="4">
        <f t="shared" si="4"/>
        <v>0.2135324034974167</v>
      </c>
      <c r="P9" s="4">
        <f t="shared" si="3"/>
        <v>9.2569536615455736E-3</v>
      </c>
      <c r="BO9" s="3"/>
    </row>
    <row r="10" spans="1:152">
      <c r="A10" s="14" t="s">
        <v>52</v>
      </c>
      <c r="B10" s="14">
        <v>143.43500678771329</v>
      </c>
      <c r="C10" s="1"/>
      <c r="D10" t="str">
        <f>'Bond Data'!B58</f>
        <v>CTGBP6Y GOVT</v>
      </c>
      <c r="E10" s="542" t="str">
        <f>'Bond Data'!C58</f>
        <v>9/7/2019</v>
      </c>
      <c r="F10" s="542" t="str">
        <f>'Bond Data'!D58</f>
        <v>9/7/2025</v>
      </c>
      <c r="G10">
        <f>'Bond Data'!E58</f>
        <v>2</v>
      </c>
      <c r="H10">
        <f>'Bond Data'!F58</f>
        <v>108.63499999999999</v>
      </c>
      <c r="I10">
        <f>'Bond Data'!G58</f>
        <v>0.64130434782608692</v>
      </c>
      <c r="J10">
        <f>'Bond Data'!H58/100</f>
        <v>0.02</v>
      </c>
      <c r="K10">
        <f>'Bond Data'!I58</f>
        <v>109.27630434782608</v>
      </c>
      <c r="L10" s="549">
        <f t="shared" si="5"/>
        <v>5.7580391793011576E-3</v>
      </c>
      <c r="M10" s="549">
        <f t="shared" si="6"/>
        <v>5.8110205613032129</v>
      </c>
      <c r="N10" s="549">
        <f t="shared" si="7"/>
        <v>5.8277506033350672</v>
      </c>
      <c r="O10" s="4">
        <f t="shared" si="4"/>
        <v>0.17208681150763891</v>
      </c>
      <c r="P10" s="4">
        <f t="shared" si="3"/>
        <v>7.4602243678141009E-3</v>
      </c>
      <c r="BO10" s="3"/>
    </row>
    <row r="11" spans="1:152">
      <c r="A11" s="14"/>
      <c r="B11" s="14"/>
      <c r="C11" s="1"/>
      <c r="D11" t="str">
        <f>'Bond Data'!B59</f>
        <v>CTGBP7Y GOVT</v>
      </c>
      <c r="E11" s="542" t="str">
        <f>'Bond Data'!C59</f>
        <v>7/22/2019</v>
      </c>
      <c r="F11" s="542" t="str">
        <f>'Bond Data'!D59</f>
        <v>7/22/2026</v>
      </c>
      <c r="G11">
        <f>'Bond Data'!E59</f>
        <v>2</v>
      </c>
      <c r="H11">
        <f>'Bond Data'!F59</f>
        <v>106.04849999999999</v>
      </c>
      <c r="I11">
        <f>'Bond Data'!G59</f>
        <v>0.67127071823204421</v>
      </c>
      <c r="J11">
        <f>'Bond Data'!H59/100</f>
        <v>1.4999999999999999E-2</v>
      </c>
      <c r="K11">
        <f>'Bond Data'!I59</f>
        <v>106.71977071823203</v>
      </c>
      <c r="L11" s="549">
        <f t="shared" si="5"/>
        <v>6.2242118732686097E-3</v>
      </c>
      <c r="M11" s="549">
        <f t="shared" si="6"/>
        <v>6.6708625360870508</v>
      </c>
      <c r="N11" s="549">
        <f t="shared" si="7"/>
        <v>6.6916229669880787</v>
      </c>
      <c r="O11" s="4">
        <f t="shared" si="4"/>
        <v>0.14990565231862404</v>
      </c>
      <c r="P11" s="4">
        <f t="shared" si="3"/>
        <v>6.4986374638641318E-3</v>
      </c>
      <c r="BO11" s="3"/>
    </row>
    <row r="12" spans="1:152">
      <c r="C12" s="1"/>
      <c r="D12" t="str">
        <f>'Bond Data'!B60</f>
        <v>CTGBP8Y GOVT</v>
      </c>
      <c r="E12" s="542" t="str">
        <f>'Bond Data'!C60</f>
        <v>7/22/2019</v>
      </c>
      <c r="F12" s="542" t="str">
        <f>'Bond Data'!D60</f>
        <v>7/22/2027</v>
      </c>
      <c r="G12">
        <f>'Bond Data'!E60</f>
        <v>2</v>
      </c>
      <c r="H12">
        <f>'Bond Data'!F60</f>
        <v>104.441</v>
      </c>
      <c r="I12">
        <f>'Bond Data'!G60</f>
        <v>0.55939226519337015</v>
      </c>
      <c r="J12">
        <f>'Bond Data'!H60/100</f>
        <v>1.2500000000000001E-2</v>
      </c>
      <c r="K12">
        <f>'Bond Data'!I60</f>
        <v>105.00039226519337</v>
      </c>
      <c r="L12" s="549">
        <f t="shared" si="5"/>
        <v>6.8245737571095873E-3</v>
      </c>
      <c r="M12" s="549">
        <f t="shared" si="6"/>
        <v>7.6316908181275007</v>
      </c>
      <c r="N12" s="549">
        <f t="shared" si="7"/>
        <v>7.6577323365673848</v>
      </c>
      <c r="O12" s="4">
        <f t="shared" si="4"/>
        <v>0.13103256196185348</v>
      </c>
      <c r="P12" s="4">
        <f t="shared" si="3"/>
        <v>5.6804603627718317E-3</v>
      </c>
      <c r="BO12" s="3"/>
    </row>
    <row r="13" spans="1:152">
      <c r="B13" s="550"/>
      <c r="C13" s="1"/>
      <c r="D13" t="str">
        <f>'Bond Data'!B61</f>
        <v>CTGBP9Y GOVT</v>
      </c>
      <c r="E13" s="542" t="str">
        <f>'Bond Data'!C61</f>
        <v>12/7/2019</v>
      </c>
      <c r="F13" s="542" t="str">
        <f>'Bond Data'!D61</f>
        <v>12/7/2027</v>
      </c>
      <c r="G13">
        <f>'Bond Data'!E61</f>
        <v>2</v>
      </c>
      <c r="H13">
        <f>'Bond Data'!F61</f>
        <v>129.447</v>
      </c>
      <c r="I13">
        <f>'Bond Data'!G61</f>
        <v>0.30191256830601093</v>
      </c>
      <c r="J13">
        <f>'Bond Data'!H61/100</f>
        <v>4.2500000000000003E-2</v>
      </c>
      <c r="K13">
        <f>'Bond Data'!I61</f>
        <v>129.74891256830603</v>
      </c>
      <c r="L13" s="549">
        <f t="shared" si="5"/>
        <v>6.54152682136914E-3</v>
      </c>
      <c r="M13" s="549">
        <f t="shared" si="6"/>
        <v>7.3139120280905203</v>
      </c>
      <c r="N13" s="549">
        <f t="shared" si="7"/>
        <v>7.3378341039409642</v>
      </c>
      <c r="O13" s="4">
        <f t="shared" si="4"/>
        <v>0.13672573530544296</v>
      </c>
      <c r="P13" s="4">
        <f t="shared" si="3"/>
        <v>5.927268064860906E-3</v>
      </c>
      <c r="BO13" s="3"/>
    </row>
    <row r="14" spans="1:152">
      <c r="B14" s="550"/>
      <c r="C14" s="1"/>
      <c r="D14" t="str">
        <f>'Bond Data'!B62</f>
        <v>CTGBP10Y GOVT</v>
      </c>
      <c r="E14" s="542" t="str">
        <f>'Bond Data'!C62</f>
        <v>10/22/2019</v>
      </c>
      <c r="F14" s="542" t="str">
        <f>'Bond Data'!D62</f>
        <v>10/22/2028</v>
      </c>
      <c r="G14">
        <f>'Bond Data'!E62</f>
        <v>2</v>
      </c>
      <c r="H14">
        <f>'Bond Data'!F62</f>
        <v>107.70949999999999</v>
      </c>
      <c r="I14">
        <f>'Bond Data'!G62</f>
        <v>0.31967213114754101</v>
      </c>
      <c r="J14">
        <f>'Bond Data'!H62/100</f>
        <v>1.6250000000000001E-2</v>
      </c>
      <c r="K14">
        <f>'Bond Data'!I62</f>
        <v>108.02917213114753</v>
      </c>
      <c r="L14" s="549">
        <f t="shared" si="5"/>
        <v>7.6505167605134764E-3</v>
      </c>
      <c r="M14" s="549">
        <f t="shared" si="6"/>
        <v>8.6445544674517567</v>
      </c>
      <c r="N14" s="549">
        <f t="shared" si="7"/>
        <v>8.6776221218719627</v>
      </c>
      <c r="O14" s="4">
        <f t="shared" si="4"/>
        <v>0.1156797616077466</v>
      </c>
      <c r="P14" s="4">
        <f t="shared" si="3"/>
        <v>5.0148931742554186E-3</v>
      </c>
      <c r="BO14" s="3"/>
    </row>
    <row r="15" spans="1:152">
      <c r="B15" s="550"/>
      <c r="C15" s="1"/>
      <c r="D15" t="str">
        <f>'Bond Data'!B63</f>
        <v>CTGBP12Y GOVT</v>
      </c>
      <c r="E15" s="542" t="str">
        <f>'Bond Data'!C63</f>
        <v>12/7/2019</v>
      </c>
      <c r="F15" s="542" t="str">
        <f>'Bond Data'!D63</f>
        <v>12/7/2030</v>
      </c>
      <c r="G15">
        <f>'Bond Data'!E63</f>
        <v>2</v>
      </c>
      <c r="H15">
        <f>'Bond Data'!F63</f>
        <v>142.233</v>
      </c>
      <c r="I15">
        <f>'Bond Data'!G63</f>
        <v>0.33743169398907102</v>
      </c>
      <c r="J15">
        <f>'Bond Data'!H63/100</f>
        <v>4.7500000000000001E-2</v>
      </c>
      <c r="K15">
        <f>'Bond Data'!I63</f>
        <v>142.57043169398906</v>
      </c>
      <c r="L15" s="549">
        <f t="shared" si="5"/>
        <v>8.6219127981575633E-3</v>
      </c>
      <c r="M15" s="549">
        <f t="shared" si="6"/>
        <v>9.3523812148552317</v>
      </c>
      <c r="N15" s="549">
        <f t="shared" si="7"/>
        <v>9.3926989225000366</v>
      </c>
      <c r="O15" s="4">
        <f t="shared" si="4"/>
        <v>0.10692464058368469</v>
      </c>
      <c r="P15" s="4">
        <f t="shared" si="3"/>
        <v>4.6353453946513506E-3</v>
      </c>
      <c r="BO15" s="3"/>
    </row>
    <row r="16" spans="1:152">
      <c r="B16" s="550"/>
      <c r="C16" s="1"/>
      <c r="D16" t="str">
        <f>'Bond Data'!B64</f>
        <v>CTGBP15Y GOVT</v>
      </c>
      <c r="E16" s="542" t="str">
        <f>'Bond Data'!C64</f>
        <v>9/7/2019</v>
      </c>
      <c r="F16" s="542" t="str">
        <f>'Bond Data'!D64</f>
        <v>9/7/2034</v>
      </c>
      <c r="G16">
        <f>'Bond Data'!E64</f>
        <v>2</v>
      </c>
      <c r="H16">
        <f>'Bond Data'!F64</f>
        <v>147.24200000000002</v>
      </c>
      <c r="I16">
        <f>'Bond Data'!G64</f>
        <v>1.4429347826086956</v>
      </c>
      <c r="J16">
        <f>'Bond Data'!H64/100</f>
        <v>4.4999999999999998E-2</v>
      </c>
      <c r="K16">
        <f>'Bond Data'!I64</f>
        <v>148.68493478260871</v>
      </c>
      <c r="L16" s="549">
        <f t="shared" si="5"/>
        <v>1.1097844440163976E-2</v>
      </c>
      <c r="M16" s="549">
        <f t="shared" si="6"/>
        <v>11.784004804559357</v>
      </c>
      <c r="N16" s="549">
        <f t="shared" si="7"/>
        <v>11.849393330660929</v>
      </c>
      <c r="O16" s="4">
        <f t="shared" si="4"/>
        <v>8.4860793642335355E-2</v>
      </c>
      <c r="P16" s="4">
        <f t="shared" si="3"/>
        <v>3.6788441546230389E-3</v>
      </c>
      <c r="BO16" s="3"/>
    </row>
    <row r="17" spans="1:83">
      <c r="B17" s="550"/>
      <c r="C17" s="1"/>
      <c r="D17" s="548" t="str">
        <f>'Bond Data'!B65</f>
        <v>CTGBP20Y GOVT</v>
      </c>
      <c r="E17" s="542" t="str">
        <f>'Bond Data'!C65</f>
        <v>9/7/2019</v>
      </c>
      <c r="F17" s="542" t="str">
        <f>'Bond Data'!D65</f>
        <v>9/7/2037</v>
      </c>
      <c r="G17" s="548">
        <f>'Bond Data'!E65</f>
        <v>2</v>
      </c>
      <c r="H17" s="548">
        <f>'Bond Data'!F65</f>
        <v>107.756</v>
      </c>
      <c r="I17" s="548">
        <f>'Bond Data'!G65</f>
        <v>0.56114130434782605</v>
      </c>
      <c r="J17" s="548">
        <f>'Bond Data'!H65/100</f>
        <v>1.7500000000000002E-2</v>
      </c>
      <c r="K17" s="548">
        <f>'Bond Data'!I65</f>
        <v>108.31714130434783</v>
      </c>
      <c r="L17" s="549">
        <f t="shared" ref="L17:L18" si="8">YIELD($B$3,F17,J17,H17,100,G17,0)</f>
        <v>1.2708243096479869E-2</v>
      </c>
      <c r="M17" s="549">
        <f t="shared" ref="M17:M18" si="9">MDURATION($B$3,F17,J17,L17,G17,0)</f>
        <v>15.585125560407651</v>
      </c>
      <c r="N17" s="549">
        <f t="shared" ref="N17:N18" si="10">DURATION($B$3,F17,J17,L17,G17,0)</f>
        <v>15.684155342563061</v>
      </c>
      <c r="O17" s="549">
        <f t="shared" ref="O17:O18" si="11">1/M17</f>
        <v>6.4163743572293916E-2</v>
      </c>
      <c r="P17" s="549">
        <f t="shared" ref="P17:P18" si="12">O17/$O$20</f>
        <v>2.7815956326609844E-3</v>
      </c>
      <c r="BO17" s="3"/>
    </row>
    <row r="18" spans="1:83">
      <c r="C18" s="1"/>
      <c r="D18" s="548" t="str">
        <f>'Bond Data'!B66</f>
        <v>CTGBP25Y GOVT</v>
      </c>
      <c r="E18" s="542" t="str">
        <f>'Bond Data'!C66</f>
        <v>7/22/2019</v>
      </c>
      <c r="F18" s="542" t="str">
        <f>'Bond Data'!D66</f>
        <v>1/22/2044</v>
      </c>
      <c r="G18" s="548">
        <f>'Bond Data'!E66</f>
        <v>2</v>
      </c>
      <c r="H18" s="548">
        <f>'Bond Data'!F66</f>
        <v>138.80000000000001</v>
      </c>
      <c r="I18" s="548">
        <f>'Bond Data'!G66</f>
        <v>1.4544198895027625</v>
      </c>
      <c r="J18" s="548">
        <f>'Bond Data'!H66/100</f>
        <v>3.2500000000000001E-2</v>
      </c>
      <c r="K18" s="548">
        <f>'Bond Data'!I66</f>
        <v>140.25441988950277</v>
      </c>
      <c r="L18" s="549">
        <f t="shared" si="8"/>
        <v>1.3813758402766852E-2</v>
      </c>
      <c r="M18" s="549">
        <f t="shared" si="9"/>
        <v>18.058614180013116</v>
      </c>
      <c r="N18" s="549">
        <f t="shared" si="10"/>
        <v>18.183342846698853</v>
      </c>
      <c r="O18" s="549">
        <f t="shared" si="11"/>
        <v>5.5375234778911132E-2</v>
      </c>
      <c r="P18" s="549">
        <f t="shared" si="12"/>
        <v>2.4006004426011564E-3</v>
      </c>
    </row>
    <row r="19" spans="1:83">
      <c r="C19" s="1"/>
      <c r="D19" t="str">
        <f>'Bond Data'!B67</f>
        <v>CTGBP30Y GOVT</v>
      </c>
      <c r="E19" s="542" t="str">
        <f>'Bond Data'!C66</f>
        <v>7/22/2019</v>
      </c>
      <c r="F19" s="542" t="str">
        <f>'Bond Data'!D66</f>
        <v>1/22/2044</v>
      </c>
      <c r="G19">
        <f>'Bond Data'!E66</f>
        <v>2</v>
      </c>
      <c r="H19">
        <f>'Bond Data'!F66</f>
        <v>138.80000000000001</v>
      </c>
      <c r="I19">
        <f>'Bond Data'!G66</f>
        <v>1.4544198895027625</v>
      </c>
      <c r="J19">
        <f>'Bond Data'!H66/100</f>
        <v>3.2500000000000001E-2</v>
      </c>
      <c r="K19">
        <f>'Bond Data'!I66</f>
        <v>140.25441988950277</v>
      </c>
      <c r="L19" s="549">
        <f t="shared" si="5"/>
        <v>1.3813758402766852E-2</v>
      </c>
      <c r="M19" s="549">
        <f t="shared" si="6"/>
        <v>18.058614180013116</v>
      </c>
      <c r="N19" s="549">
        <f>DURATION($B$3,F19,J19,L19,G19,0)</f>
        <v>18.183342846698853</v>
      </c>
      <c r="O19" s="4">
        <f t="shared" ref="O19" si="13">1/M19</f>
        <v>5.5375234778911132E-2</v>
      </c>
      <c r="P19" s="4">
        <f t="shared" si="3"/>
        <v>2.4006004426011564E-3</v>
      </c>
    </row>
    <row r="20" spans="1:83">
      <c r="C20" s="1"/>
      <c r="D20"/>
      <c r="E20" s="192"/>
      <c r="F20" s="192"/>
      <c r="G20"/>
      <c r="H20"/>
      <c r="I20"/>
      <c r="J20"/>
      <c r="K20"/>
      <c r="N20" s="13" t="s">
        <v>48</v>
      </c>
      <c r="O20" s="13">
        <f>SUM(O2:O19)</f>
        <v>23.067243426361127</v>
      </c>
      <c r="P20" s="6"/>
    </row>
    <row r="21" spans="1:83">
      <c r="A21" s="6"/>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row>
    <row r="22" spans="1:83" s="22" customFormat="1">
      <c r="A22" s="161" t="s">
        <v>49</v>
      </c>
      <c r="B22" s="142" t="str">
        <f>IF(E2=0,F2,E2)</f>
        <v>7/29/2019</v>
      </c>
      <c r="C22" s="24">
        <f t="shared" ref="C22:AH22" si="14">B22+IF($G2=1,365,182.5)</f>
        <v>43857.5</v>
      </c>
      <c r="D22" s="24">
        <f t="shared" si="14"/>
        <v>44040</v>
      </c>
      <c r="E22" s="24">
        <f t="shared" si="14"/>
        <v>44222.5</v>
      </c>
      <c r="F22" s="24">
        <f t="shared" si="14"/>
        <v>44405</v>
      </c>
      <c r="G22" s="24">
        <f t="shared" si="14"/>
        <v>44587.5</v>
      </c>
      <c r="H22" s="24">
        <f t="shared" si="14"/>
        <v>44770</v>
      </c>
      <c r="I22" s="24">
        <f t="shared" si="14"/>
        <v>44952.5</v>
      </c>
      <c r="J22" s="24">
        <f t="shared" si="14"/>
        <v>45135</v>
      </c>
      <c r="K22" s="24">
        <f t="shared" si="14"/>
        <v>45317.5</v>
      </c>
      <c r="L22" s="24">
        <f t="shared" si="14"/>
        <v>45500</v>
      </c>
      <c r="M22" s="24">
        <f t="shared" si="14"/>
        <v>45682.5</v>
      </c>
      <c r="N22" s="24">
        <f t="shared" si="14"/>
        <v>45865</v>
      </c>
      <c r="O22" s="24">
        <f t="shared" si="14"/>
        <v>46047.5</v>
      </c>
      <c r="P22" s="24">
        <f t="shared" si="14"/>
        <v>46230</v>
      </c>
      <c r="Q22" s="24">
        <f t="shared" si="14"/>
        <v>46412.5</v>
      </c>
      <c r="R22" s="24">
        <f t="shared" si="14"/>
        <v>46595</v>
      </c>
      <c r="S22" s="24">
        <f t="shared" si="14"/>
        <v>46777.5</v>
      </c>
      <c r="T22" s="24">
        <f t="shared" si="14"/>
        <v>46960</v>
      </c>
      <c r="U22" s="24">
        <f t="shared" si="14"/>
        <v>47142.5</v>
      </c>
      <c r="V22" s="24">
        <f t="shared" si="14"/>
        <v>47325</v>
      </c>
      <c r="W22" s="24">
        <f t="shared" si="14"/>
        <v>47507.5</v>
      </c>
      <c r="X22" s="24">
        <f t="shared" si="14"/>
        <v>47690</v>
      </c>
      <c r="Y22" s="24">
        <f t="shared" si="14"/>
        <v>47872.5</v>
      </c>
      <c r="Z22" s="24">
        <f t="shared" si="14"/>
        <v>48055</v>
      </c>
      <c r="AA22" s="24">
        <f t="shared" si="14"/>
        <v>48237.5</v>
      </c>
      <c r="AB22" s="24">
        <f t="shared" si="14"/>
        <v>48420</v>
      </c>
      <c r="AC22" s="24">
        <f t="shared" si="14"/>
        <v>48602.5</v>
      </c>
      <c r="AD22" s="24">
        <f t="shared" si="14"/>
        <v>48785</v>
      </c>
      <c r="AE22" s="24">
        <f t="shared" si="14"/>
        <v>48967.5</v>
      </c>
      <c r="AF22" s="24">
        <f t="shared" si="14"/>
        <v>49150</v>
      </c>
      <c r="AG22" s="24">
        <f t="shared" si="14"/>
        <v>49332.5</v>
      </c>
      <c r="AH22" s="24">
        <f t="shared" si="14"/>
        <v>49515</v>
      </c>
      <c r="AI22" s="24">
        <f t="shared" ref="AI22:BN22" si="15">AH22+IF($G2=1,365,182.5)</f>
        <v>49697.5</v>
      </c>
      <c r="AJ22" s="24">
        <f t="shared" si="15"/>
        <v>49880</v>
      </c>
      <c r="AK22" s="24">
        <f t="shared" si="15"/>
        <v>50062.5</v>
      </c>
      <c r="AL22" s="24">
        <f t="shared" si="15"/>
        <v>50245</v>
      </c>
      <c r="AM22" s="24">
        <f t="shared" si="15"/>
        <v>50427.5</v>
      </c>
      <c r="AN22" s="24">
        <f t="shared" si="15"/>
        <v>50610</v>
      </c>
      <c r="AO22" s="24">
        <f t="shared" si="15"/>
        <v>50792.5</v>
      </c>
      <c r="AP22" s="24">
        <f t="shared" si="15"/>
        <v>50975</v>
      </c>
      <c r="AQ22" s="24">
        <f t="shared" si="15"/>
        <v>51157.5</v>
      </c>
      <c r="AR22" s="24">
        <f t="shared" si="15"/>
        <v>51340</v>
      </c>
      <c r="AS22" s="24">
        <f t="shared" si="15"/>
        <v>51522.5</v>
      </c>
      <c r="AT22" s="24">
        <f t="shared" si="15"/>
        <v>51705</v>
      </c>
      <c r="AU22" s="24">
        <f t="shared" si="15"/>
        <v>51887.5</v>
      </c>
      <c r="AV22" s="24">
        <f t="shared" si="15"/>
        <v>52070</v>
      </c>
      <c r="AW22" s="24">
        <f t="shared" si="15"/>
        <v>52252.5</v>
      </c>
      <c r="AX22" s="24">
        <f t="shared" si="15"/>
        <v>52435</v>
      </c>
      <c r="AY22" s="24">
        <f t="shared" si="15"/>
        <v>52617.5</v>
      </c>
      <c r="AZ22" s="24">
        <f t="shared" si="15"/>
        <v>52800</v>
      </c>
      <c r="BA22" s="24">
        <f t="shared" si="15"/>
        <v>52982.5</v>
      </c>
      <c r="BB22" s="24">
        <f t="shared" si="15"/>
        <v>53165</v>
      </c>
      <c r="BC22" s="24">
        <f t="shared" si="15"/>
        <v>53347.5</v>
      </c>
      <c r="BD22" s="24">
        <f t="shared" si="15"/>
        <v>53530</v>
      </c>
      <c r="BE22" s="24">
        <f t="shared" si="15"/>
        <v>53712.5</v>
      </c>
      <c r="BF22" s="24">
        <f t="shared" si="15"/>
        <v>53895</v>
      </c>
      <c r="BG22" s="24">
        <f t="shared" si="15"/>
        <v>54077.5</v>
      </c>
      <c r="BH22" s="24">
        <f t="shared" si="15"/>
        <v>54260</v>
      </c>
      <c r="BI22" s="24">
        <f t="shared" si="15"/>
        <v>54442.5</v>
      </c>
      <c r="BJ22" s="24">
        <f t="shared" si="15"/>
        <v>54625</v>
      </c>
      <c r="BK22" s="24">
        <f t="shared" si="15"/>
        <v>54807.5</v>
      </c>
      <c r="BL22" s="24">
        <f t="shared" si="15"/>
        <v>54990</v>
      </c>
      <c r="BM22" s="24">
        <f t="shared" si="15"/>
        <v>55172.5</v>
      </c>
      <c r="BN22" s="24">
        <f t="shared" si="15"/>
        <v>55355</v>
      </c>
      <c r="BO22" s="24">
        <f t="shared" ref="BO22:CB22" si="16">BN22+IF($G2=1,365,182.5)</f>
        <v>55537.5</v>
      </c>
      <c r="BP22" s="24">
        <f t="shared" si="16"/>
        <v>55720</v>
      </c>
      <c r="BQ22" s="24">
        <f t="shared" si="16"/>
        <v>55902.5</v>
      </c>
      <c r="BR22" s="24">
        <f t="shared" si="16"/>
        <v>56085</v>
      </c>
      <c r="BS22" s="24">
        <f t="shared" si="16"/>
        <v>56267.5</v>
      </c>
      <c r="BT22" s="24">
        <f t="shared" si="16"/>
        <v>56450</v>
      </c>
      <c r="BU22" s="24">
        <f t="shared" si="16"/>
        <v>56632.5</v>
      </c>
      <c r="BV22" s="24">
        <f t="shared" si="16"/>
        <v>56815</v>
      </c>
      <c r="BW22" s="24">
        <f t="shared" si="16"/>
        <v>56997.5</v>
      </c>
      <c r="BX22" s="24">
        <f t="shared" si="16"/>
        <v>57180</v>
      </c>
      <c r="BY22" s="24">
        <f t="shared" si="16"/>
        <v>57362.5</v>
      </c>
      <c r="BZ22" s="24">
        <f t="shared" si="16"/>
        <v>57545</v>
      </c>
      <c r="CA22" s="24">
        <f t="shared" si="16"/>
        <v>57727.5</v>
      </c>
      <c r="CB22" s="25">
        <f t="shared" si="16"/>
        <v>57910</v>
      </c>
    </row>
    <row r="23" spans="1:83">
      <c r="A23" s="162" t="s">
        <v>22</v>
      </c>
      <c r="B23" s="104">
        <f>(IF(B22=F2,100,0)+IF(G2=1,1,0.5)*J2*100)*IF(ISBLANK(F2)=TRUE,0,1)</f>
        <v>100</v>
      </c>
      <c r="C23" s="26">
        <f t="shared" ref="C23:AH23" si="17">IF(C22&gt;$F2+1,0,1)*(IF(D23=0,100,0)+IF($G2=1,1,0.5)*$J2*100)</f>
        <v>0</v>
      </c>
      <c r="D23" s="26">
        <f t="shared" si="17"/>
        <v>0</v>
      </c>
      <c r="E23" s="26">
        <f t="shared" si="17"/>
        <v>0</v>
      </c>
      <c r="F23" s="26">
        <f t="shared" si="17"/>
        <v>0</v>
      </c>
      <c r="G23" s="26">
        <f t="shared" si="17"/>
        <v>0</v>
      </c>
      <c r="H23" s="26">
        <f t="shared" si="17"/>
        <v>0</v>
      </c>
      <c r="I23" s="26">
        <f t="shared" si="17"/>
        <v>0</v>
      </c>
      <c r="J23" s="26">
        <f t="shared" si="17"/>
        <v>0</v>
      </c>
      <c r="K23" s="26">
        <f t="shared" si="17"/>
        <v>0</v>
      </c>
      <c r="L23" s="26">
        <f t="shared" si="17"/>
        <v>0</v>
      </c>
      <c r="M23" s="26">
        <f t="shared" si="17"/>
        <v>0</v>
      </c>
      <c r="N23" s="26">
        <f t="shared" si="17"/>
        <v>0</v>
      </c>
      <c r="O23" s="26">
        <f t="shared" si="17"/>
        <v>0</v>
      </c>
      <c r="P23" s="26">
        <f t="shared" si="17"/>
        <v>0</v>
      </c>
      <c r="Q23" s="26">
        <f t="shared" si="17"/>
        <v>0</v>
      </c>
      <c r="R23" s="26">
        <f t="shared" si="17"/>
        <v>0</v>
      </c>
      <c r="S23" s="26">
        <f t="shared" si="17"/>
        <v>0</v>
      </c>
      <c r="T23" s="26">
        <f t="shared" si="17"/>
        <v>0</v>
      </c>
      <c r="U23" s="26">
        <f t="shared" si="17"/>
        <v>0</v>
      </c>
      <c r="V23" s="26">
        <f t="shared" si="17"/>
        <v>0</v>
      </c>
      <c r="W23" s="26">
        <f t="shared" si="17"/>
        <v>0</v>
      </c>
      <c r="X23" s="26">
        <f t="shared" si="17"/>
        <v>0</v>
      </c>
      <c r="Y23" s="26">
        <f t="shared" si="17"/>
        <v>0</v>
      </c>
      <c r="Z23" s="26">
        <f t="shared" si="17"/>
        <v>0</v>
      </c>
      <c r="AA23" s="26">
        <f t="shared" si="17"/>
        <v>0</v>
      </c>
      <c r="AB23" s="26">
        <f t="shared" si="17"/>
        <v>0</v>
      </c>
      <c r="AC23" s="26">
        <f t="shared" si="17"/>
        <v>0</v>
      </c>
      <c r="AD23" s="26">
        <f t="shared" si="17"/>
        <v>0</v>
      </c>
      <c r="AE23" s="26">
        <f t="shared" si="17"/>
        <v>0</v>
      </c>
      <c r="AF23" s="26">
        <f t="shared" si="17"/>
        <v>0</v>
      </c>
      <c r="AG23" s="26">
        <f t="shared" si="17"/>
        <v>0</v>
      </c>
      <c r="AH23" s="26">
        <f t="shared" si="17"/>
        <v>0</v>
      </c>
      <c r="AI23" s="26">
        <f t="shared" ref="AI23:BN23" si="18">IF(AI22&gt;$F2+1,0,1)*(IF(AJ23=0,100,0)+IF($G2=1,1,0.5)*$J2*100)</f>
        <v>0</v>
      </c>
      <c r="AJ23" s="26">
        <f t="shared" si="18"/>
        <v>0</v>
      </c>
      <c r="AK23" s="26">
        <f t="shared" si="18"/>
        <v>0</v>
      </c>
      <c r="AL23" s="26">
        <f t="shared" si="18"/>
        <v>0</v>
      </c>
      <c r="AM23" s="26">
        <f t="shared" si="18"/>
        <v>0</v>
      </c>
      <c r="AN23" s="26">
        <f t="shared" si="18"/>
        <v>0</v>
      </c>
      <c r="AO23" s="26">
        <f t="shared" si="18"/>
        <v>0</v>
      </c>
      <c r="AP23" s="26">
        <f t="shared" si="18"/>
        <v>0</v>
      </c>
      <c r="AQ23" s="26">
        <f t="shared" si="18"/>
        <v>0</v>
      </c>
      <c r="AR23" s="26">
        <f t="shared" si="18"/>
        <v>0</v>
      </c>
      <c r="AS23" s="26">
        <f t="shared" si="18"/>
        <v>0</v>
      </c>
      <c r="AT23" s="26">
        <f t="shared" si="18"/>
        <v>0</v>
      </c>
      <c r="AU23" s="26">
        <f t="shared" si="18"/>
        <v>0</v>
      </c>
      <c r="AV23" s="26">
        <f t="shared" si="18"/>
        <v>0</v>
      </c>
      <c r="AW23" s="26">
        <f t="shared" si="18"/>
        <v>0</v>
      </c>
      <c r="AX23" s="26">
        <f t="shared" si="18"/>
        <v>0</v>
      </c>
      <c r="AY23" s="26">
        <f t="shared" si="18"/>
        <v>0</v>
      </c>
      <c r="AZ23" s="26">
        <f t="shared" si="18"/>
        <v>0</v>
      </c>
      <c r="BA23" s="26">
        <f t="shared" si="18"/>
        <v>0</v>
      </c>
      <c r="BB23" s="26">
        <f t="shared" si="18"/>
        <v>0</v>
      </c>
      <c r="BC23" s="26">
        <f t="shared" si="18"/>
        <v>0</v>
      </c>
      <c r="BD23" s="26">
        <f t="shared" si="18"/>
        <v>0</v>
      </c>
      <c r="BE23" s="26">
        <f t="shared" si="18"/>
        <v>0</v>
      </c>
      <c r="BF23" s="26">
        <f t="shared" si="18"/>
        <v>0</v>
      </c>
      <c r="BG23" s="26">
        <f t="shared" si="18"/>
        <v>0</v>
      </c>
      <c r="BH23" s="26">
        <f t="shared" si="18"/>
        <v>0</v>
      </c>
      <c r="BI23" s="26">
        <f t="shared" si="18"/>
        <v>0</v>
      </c>
      <c r="BJ23" s="26">
        <f t="shared" si="18"/>
        <v>0</v>
      </c>
      <c r="BK23" s="26">
        <f t="shared" si="18"/>
        <v>0</v>
      </c>
      <c r="BL23" s="26">
        <f t="shared" si="18"/>
        <v>0</v>
      </c>
      <c r="BM23" s="26">
        <f t="shared" si="18"/>
        <v>0</v>
      </c>
      <c r="BN23" s="26">
        <f t="shared" si="18"/>
        <v>0</v>
      </c>
      <c r="BO23" s="26">
        <f t="shared" ref="BO23:CB23" si="19">IF(BO22&gt;$F2+1,0,1)*(IF(BP23=0,100,0)+IF($G2=1,1,0.5)*$J2*100)</f>
        <v>0</v>
      </c>
      <c r="BP23" s="26">
        <f t="shared" si="19"/>
        <v>0</v>
      </c>
      <c r="BQ23" s="26">
        <f t="shared" si="19"/>
        <v>0</v>
      </c>
      <c r="BR23" s="26">
        <f t="shared" si="19"/>
        <v>0</v>
      </c>
      <c r="BS23" s="26">
        <f t="shared" si="19"/>
        <v>0</v>
      </c>
      <c r="BT23" s="26">
        <f t="shared" si="19"/>
        <v>0</v>
      </c>
      <c r="BU23" s="26">
        <f t="shared" si="19"/>
        <v>0</v>
      </c>
      <c r="BV23" s="26">
        <f t="shared" si="19"/>
        <v>0</v>
      </c>
      <c r="BW23" s="26">
        <f t="shared" si="19"/>
        <v>0</v>
      </c>
      <c r="BX23" s="26">
        <f t="shared" si="19"/>
        <v>0</v>
      </c>
      <c r="BY23" s="26">
        <f t="shared" si="19"/>
        <v>0</v>
      </c>
      <c r="BZ23" s="26">
        <f t="shared" si="19"/>
        <v>0</v>
      </c>
      <c r="CA23" s="26">
        <f t="shared" si="19"/>
        <v>0</v>
      </c>
      <c r="CB23" s="27">
        <f t="shared" si="19"/>
        <v>0</v>
      </c>
    </row>
    <row r="24" spans="1:83" s="22" customFormat="1">
      <c r="A24" s="163" t="s">
        <v>49</v>
      </c>
      <c r="B24" s="142" t="str">
        <f>IF(E3=0,F3,E3)</f>
        <v>9/30/2019</v>
      </c>
      <c r="C24" s="28">
        <f t="shared" ref="C24:AH24" si="20">B24+IF($G3=1,365,182.5)</f>
        <v>43920.5</v>
      </c>
      <c r="D24" s="28">
        <f t="shared" si="20"/>
        <v>44103</v>
      </c>
      <c r="E24" s="28">
        <f t="shared" si="20"/>
        <v>44285.5</v>
      </c>
      <c r="F24" s="28">
        <f t="shared" si="20"/>
        <v>44468</v>
      </c>
      <c r="G24" s="28">
        <f t="shared" si="20"/>
        <v>44650.5</v>
      </c>
      <c r="H24" s="28">
        <f t="shared" si="20"/>
        <v>44833</v>
      </c>
      <c r="I24" s="28">
        <f t="shared" si="20"/>
        <v>45015.5</v>
      </c>
      <c r="J24" s="28">
        <f t="shared" si="20"/>
        <v>45198</v>
      </c>
      <c r="K24" s="28">
        <f t="shared" si="20"/>
        <v>45380.5</v>
      </c>
      <c r="L24" s="28">
        <f t="shared" si="20"/>
        <v>45563</v>
      </c>
      <c r="M24" s="28">
        <f t="shared" si="20"/>
        <v>45745.5</v>
      </c>
      <c r="N24" s="28">
        <f t="shared" si="20"/>
        <v>45928</v>
      </c>
      <c r="O24" s="28">
        <f t="shared" si="20"/>
        <v>46110.5</v>
      </c>
      <c r="P24" s="28">
        <f t="shared" si="20"/>
        <v>46293</v>
      </c>
      <c r="Q24" s="28">
        <f t="shared" si="20"/>
        <v>46475.5</v>
      </c>
      <c r="R24" s="28">
        <f t="shared" si="20"/>
        <v>46658</v>
      </c>
      <c r="S24" s="28">
        <f t="shared" si="20"/>
        <v>46840.5</v>
      </c>
      <c r="T24" s="28">
        <f t="shared" si="20"/>
        <v>47023</v>
      </c>
      <c r="U24" s="28">
        <f t="shared" si="20"/>
        <v>47205.5</v>
      </c>
      <c r="V24" s="28">
        <f t="shared" si="20"/>
        <v>47388</v>
      </c>
      <c r="W24" s="28">
        <f t="shared" si="20"/>
        <v>47570.5</v>
      </c>
      <c r="X24" s="28">
        <f t="shared" si="20"/>
        <v>47753</v>
      </c>
      <c r="Y24" s="28">
        <f t="shared" si="20"/>
        <v>47935.5</v>
      </c>
      <c r="Z24" s="28">
        <f t="shared" si="20"/>
        <v>48118</v>
      </c>
      <c r="AA24" s="28">
        <f t="shared" si="20"/>
        <v>48300.5</v>
      </c>
      <c r="AB24" s="28">
        <f t="shared" si="20"/>
        <v>48483</v>
      </c>
      <c r="AC24" s="28">
        <f t="shared" si="20"/>
        <v>48665.5</v>
      </c>
      <c r="AD24" s="28">
        <f t="shared" si="20"/>
        <v>48848</v>
      </c>
      <c r="AE24" s="28">
        <f t="shared" si="20"/>
        <v>49030.5</v>
      </c>
      <c r="AF24" s="28">
        <f t="shared" si="20"/>
        <v>49213</v>
      </c>
      <c r="AG24" s="28">
        <f t="shared" si="20"/>
        <v>49395.5</v>
      </c>
      <c r="AH24" s="28">
        <f t="shared" si="20"/>
        <v>49578</v>
      </c>
      <c r="AI24" s="28">
        <f t="shared" ref="AI24:BN24" si="21">AH24+IF($G3=1,365,182.5)</f>
        <v>49760.5</v>
      </c>
      <c r="AJ24" s="28">
        <f t="shared" si="21"/>
        <v>49943</v>
      </c>
      <c r="AK24" s="28">
        <f t="shared" si="21"/>
        <v>50125.5</v>
      </c>
      <c r="AL24" s="28">
        <f t="shared" si="21"/>
        <v>50308</v>
      </c>
      <c r="AM24" s="28">
        <f t="shared" si="21"/>
        <v>50490.5</v>
      </c>
      <c r="AN24" s="28">
        <f t="shared" si="21"/>
        <v>50673</v>
      </c>
      <c r="AO24" s="28">
        <f t="shared" si="21"/>
        <v>50855.5</v>
      </c>
      <c r="AP24" s="28">
        <f t="shared" si="21"/>
        <v>51038</v>
      </c>
      <c r="AQ24" s="28">
        <f t="shared" si="21"/>
        <v>51220.5</v>
      </c>
      <c r="AR24" s="28">
        <f t="shared" si="21"/>
        <v>51403</v>
      </c>
      <c r="AS24" s="28">
        <f t="shared" si="21"/>
        <v>51585.5</v>
      </c>
      <c r="AT24" s="28">
        <f t="shared" si="21"/>
        <v>51768</v>
      </c>
      <c r="AU24" s="28">
        <f t="shared" si="21"/>
        <v>51950.5</v>
      </c>
      <c r="AV24" s="28">
        <f t="shared" si="21"/>
        <v>52133</v>
      </c>
      <c r="AW24" s="28">
        <f t="shared" si="21"/>
        <v>52315.5</v>
      </c>
      <c r="AX24" s="28">
        <f t="shared" si="21"/>
        <v>52498</v>
      </c>
      <c r="AY24" s="28">
        <f t="shared" si="21"/>
        <v>52680.5</v>
      </c>
      <c r="AZ24" s="28">
        <f t="shared" si="21"/>
        <v>52863</v>
      </c>
      <c r="BA24" s="28">
        <f t="shared" si="21"/>
        <v>53045.5</v>
      </c>
      <c r="BB24" s="28">
        <f t="shared" si="21"/>
        <v>53228</v>
      </c>
      <c r="BC24" s="28">
        <f t="shared" si="21"/>
        <v>53410.5</v>
      </c>
      <c r="BD24" s="28">
        <f t="shared" si="21"/>
        <v>53593</v>
      </c>
      <c r="BE24" s="28">
        <f t="shared" si="21"/>
        <v>53775.5</v>
      </c>
      <c r="BF24" s="28">
        <f t="shared" si="21"/>
        <v>53958</v>
      </c>
      <c r="BG24" s="28">
        <f t="shared" si="21"/>
        <v>54140.5</v>
      </c>
      <c r="BH24" s="28">
        <f t="shared" si="21"/>
        <v>54323</v>
      </c>
      <c r="BI24" s="28">
        <f t="shared" si="21"/>
        <v>54505.5</v>
      </c>
      <c r="BJ24" s="28">
        <f t="shared" si="21"/>
        <v>54688</v>
      </c>
      <c r="BK24" s="28">
        <f t="shared" si="21"/>
        <v>54870.5</v>
      </c>
      <c r="BL24" s="28">
        <f t="shared" si="21"/>
        <v>55053</v>
      </c>
      <c r="BM24" s="28">
        <f t="shared" si="21"/>
        <v>55235.5</v>
      </c>
      <c r="BN24" s="28">
        <f t="shared" si="21"/>
        <v>55418</v>
      </c>
      <c r="BO24" s="28">
        <f t="shared" ref="BO24:CB24" si="22">BN24+IF($G3=1,365,182.5)</f>
        <v>55600.5</v>
      </c>
      <c r="BP24" s="28">
        <f t="shared" si="22"/>
        <v>55783</v>
      </c>
      <c r="BQ24" s="28">
        <f t="shared" si="22"/>
        <v>55965.5</v>
      </c>
      <c r="BR24" s="28">
        <f t="shared" si="22"/>
        <v>56148</v>
      </c>
      <c r="BS24" s="28">
        <f t="shared" si="22"/>
        <v>56330.5</v>
      </c>
      <c r="BT24" s="28">
        <f t="shared" si="22"/>
        <v>56513</v>
      </c>
      <c r="BU24" s="28">
        <f t="shared" si="22"/>
        <v>56695.5</v>
      </c>
      <c r="BV24" s="28">
        <f t="shared" si="22"/>
        <v>56878</v>
      </c>
      <c r="BW24" s="28">
        <f t="shared" si="22"/>
        <v>57060.5</v>
      </c>
      <c r="BX24" s="28">
        <f t="shared" si="22"/>
        <v>57243</v>
      </c>
      <c r="BY24" s="28">
        <f t="shared" si="22"/>
        <v>57425.5</v>
      </c>
      <c r="BZ24" s="28">
        <f t="shared" si="22"/>
        <v>57608</v>
      </c>
      <c r="CA24" s="28">
        <f t="shared" si="22"/>
        <v>57790.5</v>
      </c>
      <c r="CB24" s="29">
        <f t="shared" si="22"/>
        <v>57973</v>
      </c>
    </row>
    <row r="25" spans="1:83" s="5" customFormat="1">
      <c r="A25" s="163" t="s">
        <v>23</v>
      </c>
      <c r="B25" s="30">
        <f>(IF(B24=F3,100,0)+IF(G3=1,1,0.5)*J3*100)*IF(ISBLANK(F3)=TRUE,0,1)</f>
        <v>100</v>
      </c>
      <c r="C25" s="31">
        <f t="shared" ref="C25:AH25" si="23">IF(C24&gt;$F3+1,0,1)*(IF(D25=0,100,0)+IF($G3=1,1,0.5)*$J3*100)</f>
        <v>0</v>
      </c>
      <c r="D25" s="31">
        <f t="shared" si="23"/>
        <v>0</v>
      </c>
      <c r="E25" s="31">
        <f t="shared" si="23"/>
        <v>0</v>
      </c>
      <c r="F25" s="31">
        <f t="shared" si="23"/>
        <v>0</v>
      </c>
      <c r="G25" s="31">
        <f t="shared" si="23"/>
        <v>0</v>
      </c>
      <c r="H25" s="31">
        <f t="shared" si="23"/>
        <v>0</v>
      </c>
      <c r="I25" s="31">
        <f t="shared" si="23"/>
        <v>0</v>
      </c>
      <c r="J25" s="31">
        <f t="shared" si="23"/>
        <v>0</v>
      </c>
      <c r="K25" s="31">
        <f t="shared" si="23"/>
        <v>0</v>
      </c>
      <c r="L25" s="31">
        <f t="shared" si="23"/>
        <v>0</v>
      </c>
      <c r="M25" s="31">
        <f t="shared" si="23"/>
        <v>0</v>
      </c>
      <c r="N25" s="31">
        <f t="shared" si="23"/>
        <v>0</v>
      </c>
      <c r="O25" s="31">
        <f t="shared" si="23"/>
        <v>0</v>
      </c>
      <c r="P25" s="31">
        <f t="shared" si="23"/>
        <v>0</v>
      </c>
      <c r="Q25" s="31">
        <f t="shared" si="23"/>
        <v>0</v>
      </c>
      <c r="R25" s="31">
        <f t="shared" si="23"/>
        <v>0</v>
      </c>
      <c r="S25" s="31">
        <f t="shared" si="23"/>
        <v>0</v>
      </c>
      <c r="T25" s="31">
        <f t="shared" si="23"/>
        <v>0</v>
      </c>
      <c r="U25" s="31">
        <f t="shared" si="23"/>
        <v>0</v>
      </c>
      <c r="V25" s="31">
        <f t="shared" si="23"/>
        <v>0</v>
      </c>
      <c r="W25" s="31">
        <f t="shared" si="23"/>
        <v>0</v>
      </c>
      <c r="X25" s="31">
        <f t="shared" si="23"/>
        <v>0</v>
      </c>
      <c r="Y25" s="31">
        <f t="shared" si="23"/>
        <v>0</v>
      </c>
      <c r="Z25" s="31">
        <f t="shared" si="23"/>
        <v>0</v>
      </c>
      <c r="AA25" s="31">
        <f t="shared" si="23"/>
        <v>0</v>
      </c>
      <c r="AB25" s="31">
        <f t="shared" si="23"/>
        <v>0</v>
      </c>
      <c r="AC25" s="31">
        <f t="shared" si="23"/>
        <v>0</v>
      </c>
      <c r="AD25" s="31">
        <f t="shared" si="23"/>
        <v>0</v>
      </c>
      <c r="AE25" s="31">
        <f t="shared" si="23"/>
        <v>0</v>
      </c>
      <c r="AF25" s="31">
        <f t="shared" si="23"/>
        <v>0</v>
      </c>
      <c r="AG25" s="31">
        <f t="shared" si="23"/>
        <v>0</v>
      </c>
      <c r="AH25" s="31">
        <f t="shared" si="23"/>
        <v>0</v>
      </c>
      <c r="AI25" s="31">
        <f t="shared" ref="AI25:BN25" si="24">IF(AI24&gt;$F3+1,0,1)*(IF(AJ25=0,100,0)+IF($G3=1,1,0.5)*$J3*100)</f>
        <v>0</v>
      </c>
      <c r="AJ25" s="31">
        <f t="shared" si="24"/>
        <v>0</v>
      </c>
      <c r="AK25" s="31">
        <f t="shared" si="24"/>
        <v>0</v>
      </c>
      <c r="AL25" s="31">
        <f t="shared" si="24"/>
        <v>0</v>
      </c>
      <c r="AM25" s="31">
        <f t="shared" si="24"/>
        <v>0</v>
      </c>
      <c r="AN25" s="31">
        <f t="shared" si="24"/>
        <v>0</v>
      </c>
      <c r="AO25" s="31">
        <f t="shared" si="24"/>
        <v>0</v>
      </c>
      <c r="AP25" s="31">
        <f t="shared" si="24"/>
        <v>0</v>
      </c>
      <c r="AQ25" s="31">
        <f t="shared" si="24"/>
        <v>0</v>
      </c>
      <c r="AR25" s="31">
        <f t="shared" si="24"/>
        <v>0</v>
      </c>
      <c r="AS25" s="31">
        <f t="shared" si="24"/>
        <v>0</v>
      </c>
      <c r="AT25" s="31">
        <f t="shared" si="24"/>
        <v>0</v>
      </c>
      <c r="AU25" s="31">
        <f t="shared" si="24"/>
        <v>0</v>
      </c>
      <c r="AV25" s="31">
        <f t="shared" si="24"/>
        <v>0</v>
      </c>
      <c r="AW25" s="31">
        <f t="shared" si="24"/>
        <v>0</v>
      </c>
      <c r="AX25" s="31">
        <f t="shared" si="24"/>
        <v>0</v>
      </c>
      <c r="AY25" s="31">
        <f t="shared" si="24"/>
        <v>0</v>
      </c>
      <c r="AZ25" s="31">
        <f t="shared" si="24"/>
        <v>0</v>
      </c>
      <c r="BA25" s="31">
        <f t="shared" si="24"/>
        <v>0</v>
      </c>
      <c r="BB25" s="31">
        <f t="shared" si="24"/>
        <v>0</v>
      </c>
      <c r="BC25" s="31">
        <f t="shared" si="24"/>
        <v>0</v>
      </c>
      <c r="BD25" s="31">
        <f t="shared" si="24"/>
        <v>0</v>
      </c>
      <c r="BE25" s="31">
        <f t="shared" si="24"/>
        <v>0</v>
      </c>
      <c r="BF25" s="31">
        <f t="shared" si="24"/>
        <v>0</v>
      </c>
      <c r="BG25" s="31">
        <f t="shared" si="24"/>
        <v>0</v>
      </c>
      <c r="BH25" s="31">
        <f t="shared" si="24"/>
        <v>0</v>
      </c>
      <c r="BI25" s="31">
        <f t="shared" si="24"/>
        <v>0</v>
      </c>
      <c r="BJ25" s="31">
        <f t="shared" si="24"/>
        <v>0</v>
      </c>
      <c r="BK25" s="31">
        <f t="shared" si="24"/>
        <v>0</v>
      </c>
      <c r="BL25" s="31">
        <f t="shared" si="24"/>
        <v>0</v>
      </c>
      <c r="BM25" s="31">
        <f t="shared" si="24"/>
        <v>0</v>
      </c>
      <c r="BN25" s="31">
        <f t="shared" si="24"/>
        <v>0</v>
      </c>
      <c r="BO25" s="31">
        <f t="shared" ref="BO25:CB25" si="25">IF(BO24&gt;$F3+1,0,1)*(IF(BP25=0,100,0)+IF($G3=1,1,0.5)*$J3*100)</f>
        <v>0</v>
      </c>
      <c r="BP25" s="31">
        <f t="shared" si="25"/>
        <v>0</v>
      </c>
      <c r="BQ25" s="31">
        <f t="shared" si="25"/>
        <v>0</v>
      </c>
      <c r="BR25" s="31">
        <f t="shared" si="25"/>
        <v>0</v>
      </c>
      <c r="BS25" s="31">
        <f t="shared" si="25"/>
        <v>0</v>
      </c>
      <c r="BT25" s="31">
        <f t="shared" si="25"/>
        <v>0</v>
      </c>
      <c r="BU25" s="31">
        <f t="shared" si="25"/>
        <v>0</v>
      </c>
      <c r="BV25" s="31">
        <f t="shared" si="25"/>
        <v>0</v>
      </c>
      <c r="BW25" s="31">
        <f t="shared" si="25"/>
        <v>0</v>
      </c>
      <c r="BX25" s="31">
        <f t="shared" si="25"/>
        <v>0</v>
      </c>
      <c r="BY25" s="31">
        <f t="shared" si="25"/>
        <v>0</v>
      </c>
      <c r="BZ25" s="31">
        <f t="shared" si="25"/>
        <v>0</v>
      </c>
      <c r="CA25" s="31">
        <f t="shared" si="25"/>
        <v>0</v>
      </c>
      <c r="CB25" s="32">
        <f t="shared" si="25"/>
        <v>0</v>
      </c>
    </row>
    <row r="26" spans="1:83" s="6" customFormat="1">
      <c r="A26" s="164" t="s">
        <v>49</v>
      </c>
      <c r="B26" s="142" t="str">
        <f>IF(E4=0,F4,E4)</f>
        <v>12/30/2019</v>
      </c>
      <c r="C26" s="33">
        <f t="shared" ref="C26:AH26" si="26">B26+IF($G4=1,365,182.5)</f>
        <v>44011.5</v>
      </c>
      <c r="D26" s="33">
        <f t="shared" si="26"/>
        <v>44194</v>
      </c>
      <c r="E26" s="33">
        <f t="shared" si="26"/>
        <v>44376.5</v>
      </c>
      <c r="F26" s="33">
        <f t="shared" si="26"/>
        <v>44559</v>
      </c>
      <c r="G26" s="33">
        <f t="shared" si="26"/>
        <v>44741.5</v>
      </c>
      <c r="H26" s="33">
        <f t="shared" si="26"/>
        <v>44924</v>
      </c>
      <c r="I26" s="33">
        <f t="shared" si="26"/>
        <v>45106.5</v>
      </c>
      <c r="J26" s="33">
        <f t="shared" si="26"/>
        <v>45289</v>
      </c>
      <c r="K26" s="33">
        <f t="shared" si="26"/>
        <v>45471.5</v>
      </c>
      <c r="L26" s="33">
        <f t="shared" si="26"/>
        <v>45654</v>
      </c>
      <c r="M26" s="33">
        <f t="shared" si="26"/>
        <v>45836.5</v>
      </c>
      <c r="N26" s="33">
        <f t="shared" si="26"/>
        <v>46019</v>
      </c>
      <c r="O26" s="33">
        <f t="shared" si="26"/>
        <v>46201.5</v>
      </c>
      <c r="P26" s="33">
        <f t="shared" si="26"/>
        <v>46384</v>
      </c>
      <c r="Q26" s="33">
        <f t="shared" si="26"/>
        <v>46566.5</v>
      </c>
      <c r="R26" s="33">
        <f t="shared" si="26"/>
        <v>46749</v>
      </c>
      <c r="S26" s="33">
        <f t="shared" si="26"/>
        <v>46931.5</v>
      </c>
      <c r="T26" s="33">
        <f t="shared" si="26"/>
        <v>47114</v>
      </c>
      <c r="U26" s="33">
        <f t="shared" si="26"/>
        <v>47296.5</v>
      </c>
      <c r="V26" s="33">
        <f t="shared" si="26"/>
        <v>47479</v>
      </c>
      <c r="W26" s="33">
        <f t="shared" si="26"/>
        <v>47661.5</v>
      </c>
      <c r="X26" s="33">
        <f t="shared" si="26"/>
        <v>47844</v>
      </c>
      <c r="Y26" s="33">
        <f t="shared" si="26"/>
        <v>48026.5</v>
      </c>
      <c r="Z26" s="33">
        <f t="shared" si="26"/>
        <v>48209</v>
      </c>
      <c r="AA26" s="33">
        <f t="shared" si="26"/>
        <v>48391.5</v>
      </c>
      <c r="AB26" s="33">
        <f t="shared" si="26"/>
        <v>48574</v>
      </c>
      <c r="AC26" s="33">
        <f t="shared" si="26"/>
        <v>48756.5</v>
      </c>
      <c r="AD26" s="33">
        <f t="shared" si="26"/>
        <v>48939</v>
      </c>
      <c r="AE26" s="33">
        <f t="shared" si="26"/>
        <v>49121.5</v>
      </c>
      <c r="AF26" s="33">
        <f t="shared" si="26"/>
        <v>49304</v>
      </c>
      <c r="AG26" s="33">
        <f t="shared" si="26"/>
        <v>49486.5</v>
      </c>
      <c r="AH26" s="33">
        <f t="shared" si="26"/>
        <v>49669</v>
      </c>
      <c r="AI26" s="33">
        <f t="shared" ref="AI26:BN26" si="27">AH26+IF($G4=1,365,182.5)</f>
        <v>49851.5</v>
      </c>
      <c r="AJ26" s="33">
        <f t="shared" si="27"/>
        <v>50034</v>
      </c>
      <c r="AK26" s="33">
        <f t="shared" si="27"/>
        <v>50216.5</v>
      </c>
      <c r="AL26" s="33">
        <f t="shared" si="27"/>
        <v>50399</v>
      </c>
      <c r="AM26" s="33">
        <f t="shared" si="27"/>
        <v>50581.5</v>
      </c>
      <c r="AN26" s="33">
        <f t="shared" si="27"/>
        <v>50764</v>
      </c>
      <c r="AO26" s="33">
        <f t="shared" si="27"/>
        <v>50946.5</v>
      </c>
      <c r="AP26" s="33">
        <f t="shared" si="27"/>
        <v>51129</v>
      </c>
      <c r="AQ26" s="33">
        <f t="shared" si="27"/>
        <v>51311.5</v>
      </c>
      <c r="AR26" s="33">
        <f t="shared" si="27"/>
        <v>51494</v>
      </c>
      <c r="AS26" s="33">
        <f t="shared" si="27"/>
        <v>51676.5</v>
      </c>
      <c r="AT26" s="33">
        <f t="shared" si="27"/>
        <v>51859</v>
      </c>
      <c r="AU26" s="33">
        <f t="shared" si="27"/>
        <v>52041.5</v>
      </c>
      <c r="AV26" s="33">
        <f t="shared" si="27"/>
        <v>52224</v>
      </c>
      <c r="AW26" s="33">
        <f t="shared" si="27"/>
        <v>52406.5</v>
      </c>
      <c r="AX26" s="33">
        <f t="shared" si="27"/>
        <v>52589</v>
      </c>
      <c r="AY26" s="33">
        <f t="shared" si="27"/>
        <v>52771.5</v>
      </c>
      <c r="AZ26" s="33">
        <f t="shared" si="27"/>
        <v>52954</v>
      </c>
      <c r="BA26" s="33">
        <f t="shared" si="27"/>
        <v>53136.5</v>
      </c>
      <c r="BB26" s="33">
        <f t="shared" si="27"/>
        <v>53319</v>
      </c>
      <c r="BC26" s="33">
        <f t="shared" si="27"/>
        <v>53501.5</v>
      </c>
      <c r="BD26" s="33">
        <f t="shared" si="27"/>
        <v>53684</v>
      </c>
      <c r="BE26" s="33">
        <f t="shared" si="27"/>
        <v>53866.5</v>
      </c>
      <c r="BF26" s="33">
        <f t="shared" si="27"/>
        <v>54049</v>
      </c>
      <c r="BG26" s="33">
        <f t="shared" si="27"/>
        <v>54231.5</v>
      </c>
      <c r="BH26" s="33">
        <f t="shared" si="27"/>
        <v>54414</v>
      </c>
      <c r="BI26" s="33">
        <f t="shared" si="27"/>
        <v>54596.5</v>
      </c>
      <c r="BJ26" s="33">
        <f t="shared" si="27"/>
        <v>54779</v>
      </c>
      <c r="BK26" s="33">
        <f t="shared" si="27"/>
        <v>54961.5</v>
      </c>
      <c r="BL26" s="33">
        <f t="shared" si="27"/>
        <v>55144</v>
      </c>
      <c r="BM26" s="33">
        <f t="shared" si="27"/>
        <v>55326.5</v>
      </c>
      <c r="BN26" s="33">
        <f t="shared" si="27"/>
        <v>55509</v>
      </c>
      <c r="BO26" s="33">
        <f t="shared" ref="BO26:CB26" si="28">BN26+IF($G4=1,365,182.5)</f>
        <v>55691.5</v>
      </c>
      <c r="BP26" s="33">
        <f t="shared" si="28"/>
        <v>55874</v>
      </c>
      <c r="BQ26" s="33">
        <f t="shared" si="28"/>
        <v>56056.5</v>
      </c>
      <c r="BR26" s="33">
        <f t="shared" si="28"/>
        <v>56239</v>
      </c>
      <c r="BS26" s="33">
        <f t="shared" si="28"/>
        <v>56421.5</v>
      </c>
      <c r="BT26" s="33">
        <f t="shared" si="28"/>
        <v>56604</v>
      </c>
      <c r="BU26" s="33">
        <f t="shared" si="28"/>
        <v>56786.5</v>
      </c>
      <c r="BV26" s="33">
        <f t="shared" si="28"/>
        <v>56969</v>
      </c>
      <c r="BW26" s="33">
        <f t="shared" si="28"/>
        <v>57151.5</v>
      </c>
      <c r="BX26" s="33">
        <f t="shared" si="28"/>
        <v>57334</v>
      </c>
      <c r="BY26" s="33">
        <f t="shared" si="28"/>
        <v>57516.5</v>
      </c>
      <c r="BZ26" s="33">
        <f t="shared" si="28"/>
        <v>57699</v>
      </c>
      <c r="CA26" s="33">
        <f t="shared" si="28"/>
        <v>57881.5</v>
      </c>
      <c r="CB26" s="34">
        <f t="shared" si="28"/>
        <v>58064</v>
      </c>
    </row>
    <row r="27" spans="1:83">
      <c r="A27" s="164" t="s">
        <v>19</v>
      </c>
      <c r="B27" s="105">
        <f>(IF(B26=F4,100,0)+IF(G4=1,1,0.5)*J4*100)*IF(ISBLANK(F4)=TRUE,0,1)</f>
        <v>100</v>
      </c>
      <c r="C27" s="35">
        <f t="shared" ref="C27:AH27" si="29">IF(C26&gt;$F4+1,0,1)*(IF(D27=0,100,0)+IF($G4=1,1,0.5)*$J4*100)</f>
        <v>0</v>
      </c>
      <c r="D27" s="35">
        <f t="shared" si="29"/>
        <v>0</v>
      </c>
      <c r="E27" s="35">
        <f t="shared" si="29"/>
        <v>0</v>
      </c>
      <c r="F27" s="35">
        <f t="shared" si="29"/>
        <v>0</v>
      </c>
      <c r="G27" s="35">
        <f t="shared" si="29"/>
        <v>0</v>
      </c>
      <c r="H27" s="35">
        <f t="shared" si="29"/>
        <v>0</v>
      </c>
      <c r="I27" s="35">
        <f t="shared" si="29"/>
        <v>0</v>
      </c>
      <c r="J27" s="35">
        <f t="shared" si="29"/>
        <v>0</v>
      </c>
      <c r="K27" s="35">
        <f t="shared" si="29"/>
        <v>0</v>
      </c>
      <c r="L27" s="35">
        <f t="shared" si="29"/>
        <v>0</v>
      </c>
      <c r="M27" s="35">
        <f t="shared" si="29"/>
        <v>0</v>
      </c>
      <c r="N27" s="35">
        <f t="shared" si="29"/>
        <v>0</v>
      </c>
      <c r="O27" s="35">
        <f t="shared" si="29"/>
        <v>0</v>
      </c>
      <c r="P27" s="35">
        <f t="shared" si="29"/>
        <v>0</v>
      </c>
      <c r="Q27" s="35">
        <f t="shared" si="29"/>
        <v>0</v>
      </c>
      <c r="R27" s="35">
        <f t="shared" si="29"/>
        <v>0</v>
      </c>
      <c r="S27" s="35">
        <f t="shared" si="29"/>
        <v>0</v>
      </c>
      <c r="T27" s="35">
        <f t="shared" si="29"/>
        <v>0</v>
      </c>
      <c r="U27" s="35">
        <f t="shared" si="29"/>
        <v>0</v>
      </c>
      <c r="V27" s="35">
        <f t="shared" si="29"/>
        <v>0</v>
      </c>
      <c r="W27" s="35">
        <f t="shared" si="29"/>
        <v>0</v>
      </c>
      <c r="X27" s="35">
        <f t="shared" si="29"/>
        <v>0</v>
      </c>
      <c r="Y27" s="35">
        <f t="shared" si="29"/>
        <v>0</v>
      </c>
      <c r="Z27" s="35">
        <f t="shared" si="29"/>
        <v>0</v>
      </c>
      <c r="AA27" s="35">
        <f t="shared" si="29"/>
        <v>0</v>
      </c>
      <c r="AB27" s="35">
        <f t="shared" si="29"/>
        <v>0</v>
      </c>
      <c r="AC27" s="35">
        <f t="shared" si="29"/>
        <v>0</v>
      </c>
      <c r="AD27" s="35">
        <f t="shared" si="29"/>
        <v>0</v>
      </c>
      <c r="AE27" s="35">
        <f t="shared" si="29"/>
        <v>0</v>
      </c>
      <c r="AF27" s="35">
        <f t="shared" si="29"/>
        <v>0</v>
      </c>
      <c r="AG27" s="35">
        <f t="shared" si="29"/>
        <v>0</v>
      </c>
      <c r="AH27" s="35">
        <f t="shared" si="29"/>
        <v>0</v>
      </c>
      <c r="AI27" s="35">
        <f t="shared" ref="AI27:BN27" si="30">IF(AI26&gt;$F4+1,0,1)*(IF(AJ27=0,100,0)+IF($G4=1,1,0.5)*$J4*100)</f>
        <v>0</v>
      </c>
      <c r="AJ27" s="35">
        <f t="shared" si="30"/>
        <v>0</v>
      </c>
      <c r="AK27" s="35">
        <f t="shared" si="30"/>
        <v>0</v>
      </c>
      <c r="AL27" s="35">
        <f t="shared" si="30"/>
        <v>0</v>
      </c>
      <c r="AM27" s="35">
        <f t="shared" si="30"/>
        <v>0</v>
      </c>
      <c r="AN27" s="35">
        <f t="shared" si="30"/>
        <v>0</v>
      </c>
      <c r="AO27" s="35">
        <f t="shared" si="30"/>
        <v>0</v>
      </c>
      <c r="AP27" s="35">
        <f t="shared" si="30"/>
        <v>0</v>
      </c>
      <c r="AQ27" s="35">
        <f t="shared" si="30"/>
        <v>0</v>
      </c>
      <c r="AR27" s="35">
        <f t="shared" si="30"/>
        <v>0</v>
      </c>
      <c r="AS27" s="35">
        <f t="shared" si="30"/>
        <v>0</v>
      </c>
      <c r="AT27" s="35">
        <f t="shared" si="30"/>
        <v>0</v>
      </c>
      <c r="AU27" s="35">
        <f t="shared" si="30"/>
        <v>0</v>
      </c>
      <c r="AV27" s="35">
        <f t="shared" si="30"/>
        <v>0</v>
      </c>
      <c r="AW27" s="35">
        <f t="shared" si="30"/>
        <v>0</v>
      </c>
      <c r="AX27" s="35">
        <f t="shared" si="30"/>
        <v>0</v>
      </c>
      <c r="AY27" s="35">
        <f t="shared" si="30"/>
        <v>0</v>
      </c>
      <c r="AZ27" s="35">
        <f t="shared" si="30"/>
        <v>0</v>
      </c>
      <c r="BA27" s="35">
        <f t="shared" si="30"/>
        <v>0</v>
      </c>
      <c r="BB27" s="35">
        <f t="shared" si="30"/>
        <v>0</v>
      </c>
      <c r="BC27" s="35">
        <f t="shared" si="30"/>
        <v>0</v>
      </c>
      <c r="BD27" s="35">
        <f t="shared" si="30"/>
        <v>0</v>
      </c>
      <c r="BE27" s="35">
        <f t="shared" si="30"/>
        <v>0</v>
      </c>
      <c r="BF27" s="35">
        <f t="shared" si="30"/>
        <v>0</v>
      </c>
      <c r="BG27" s="35">
        <f t="shared" si="30"/>
        <v>0</v>
      </c>
      <c r="BH27" s="35">
        <f t="shared" si="30"/>
        <v>0</v>
      </c>
      <c r="BI27" s="35">
        <f t="shared" si="30"/>
        <v>0</v>
      </c>
      <c r="BJ27" s="35">
        <f t="shared" si="30"/>
        <v>0</v>
      </c>
      <c r="BK27" s="35">
        <f t="shared" si="30"/>
        <v>0</v>
      </c>
      <c r="BL27" s="35">
        <f t="shared" si="30"/>
        <v>0</v>
      </c>
      <c r="BM27" s="35">
        <f t="shared" si="30"/>
        <v>0</v>
      </c>
      <c r="BN27" s="35">
        <f t="shared" si="30"/>
        <v>0</v>
      </c>
      <c r="BO27" s="35">
        <f t="shared" ref="BO27:CB27" si="31">IF(BO26&gt;$F4+1,0,1)*(IF(BP27=0,100,0)+IF($G4=1,1,0.5)*$J4*100)</f>
        <v>0</v>
      </c>
      <c r="BP27" s="35">
        <f t="shared" si="31"/>
        <v>0</v>
      </c>
      <c r="BQ27" s="35">
        <f t="shared" si="31"/>
        <v>0</v>
      </c>
      <c r="BR27" s="35">
        <f t="shared" si="31"/>
        <v>0</v>
      </c>
      <c r="BS27" s="35">
        <f t="shared" si="31"/>
        <v>0</v>
      </c>
      <c r="BT27" s="35">
        <f t="shared" si="31"/>
        <v>0</v>
      </c>
      <c r="BU27" s="35">
        <f t="shared" si="31"/>
        <v>0</v>
      </c>
      <c r="BV27" s="35">
        <f t="shared" si="31"/>
        <v>0</v>
      </c>
      <c r="BW27" s="35">
        <f t="shared" si="31"/>
        <v>0</v>
      </c>
      <c r="BX27" s="35">
        <f t="shared" si="31"/>
        <v>0</v>
      </c>
      <c r="BY27" s="35">
        <f t="shared" si="31"/>
        <v>0</v>
      </c>
      <c r="BZ27" s="35">
        <f t="shared" si="31"/>
        <v>0</v>
      </c>
      <c r="CA27" s="35">
        <f t="shared" si="31"/>
        <v>0</v>
      </c>
      <c r="CB27" s="36">
        <f t="shared" si="31"/>
        <v>0</v>
      </c>
    </row>
    <row r="28" spans="1:83">
      <c r="A28" s="165" t="s">
        <v>49</v>
      </c>
      <c r="B28" s="144" t="str">
        <f>IF(E5=0,F5,E5)</f>
        <v>7/22/2019</v>
      </c>
      <c r="C28" s="145">
        <f t="shared" ref="C28:AH28" si="32">B28+IF($G5=1,365,182.5)</f>
        <v>43850.5</v>
      </c>
      <c r="D28" s="145">
        <f t="shared" si="32"/>
        <v>44033</v>
      </c>
      <c r="E28" s="141">
        <f t="shared" si="32"/>
        <v>44215.5</v>
      </c>
      <c r="F28" s="145">
        <f t="shared" si="32"/>
        <v>44398</v>
      </c>
      <c r="G28" s="145">
        <f t="shared" si="32"/>
        <v>44580.5</v>
      </c>
      <c r="H28" s="145">
        <f t="shared" si="32"/>
        <v>44763</v>
      </c>
      <c r="I28" s="145">
        <f t="shared" si="32"/>
        <v>44945.5</v>
      </c>
      <c r="J28" s="145">
        <f t="shared" si="32"/>
        <v>45128</v>
      </c>
      <c r="K28" s="145">
        <f t="shared" si="32"/>
        <v>45310.5</v>
      </c>
      <c r="L28" s="145">
        <f t="shared" si="32"/>
        <v>45493</v>
      </c>
      <c r="M28" s="145">
        <f t="shared" si="32"/>
        <v>45675.5</v>
      </c>
      <c r="N28" s="145">
        <f t="shared" si="32"/>
        <v>45858</v>
      </c>
      <c r="O28" s="145">
        <f t="shared" si="32"/>
        <v>46040.5</v>
      </c>
      <c r="P28" s="145">
        <f t="shared" si="32"/>
        <v>46223</v>
      </c>
      <c r="Q28" s="145">
        <f t="shared" si="32"/>
        <v>46405.5</v>
      </c>
      <c r="R28" s="145">
        <f t="shared" si="32"/>
        <v>46588</v>
      </c>
      <c r="S28" s="145">
        <f t="shared" si="32"/>
        <v>46770.5</v>
      </c>
      <c r="T28" s="145">
        <f t="shared" si="32"/>
        <v>46953</v>
      </c>
      <c r="U28" s="145">
        <f t="shared" si="32"/>
        <v>47135.5</v>
      </c>
      <c r="V28" s="145">
        <f t="shared" si="32"/>
        <v>47318</v>
      </c>
      <c r="W28" s="145">
        <f t="shared" si="32"/>
        <v>47500.5</v>
      </c>
      <c r="X28" s="145">
        <f t="shared" si="32"/>
        <v>47683</v>
      </c>
      <c r="Y28" s="145">
        <f t="shared" si="32"/>
        <v>47865.5</v>
      </c>
      <c r="Z28" s="145">
        <f t="shared" si="32"/>
        <v>48048</v>
      </c>
      <c r="AA28" s="145">
        <f t="shared" si="32"/>
        <v>48230.5</v>
      </c>
      <c r="AB28" s="145">
        <f t="shared" si="32"/>
        <v>48413</v>
      </c>
      <c r="AC28" s="145">
        <f t="shared" si="32"/>
        <v>48595.5</v>
      </c>
      <c r="AD28" s="145">
        <f t="shared" si="32"/>
        <v>48778</v>
      </c>
      <c r="AE28" s="145">
        <f t="shared" si="32"/>
        <v>48960.5</v>
      </c>
      <c r="AF28" s="145">
        <f t="shared" si="32"/>
        <v>49143</v>
      </c>
      <c r="AG28" s="145">
        <f t="shared" si="32"/>
        <v>49325.5</v>
      </c>
      <c r="AH28" s="145">
        <f t="shared" si="32"/>
        <v>49508</v>
      </c>
      <c r="AI28" s="145">
        <f t="shared" ref="AI28:BN28" si="33">AH28+IF($G5=1,365,182.5)</f>
        <v>49690.5</v>
      </c>
      <c r="AJ28" s="145">
        <f t="shared" si="33"/>
        <v>49873</v>
      </c>
      <c r="AK28" s="145">
        <f t="shared" si="33"/>
        <v>50055.5</v>
      </c>
      <c r="AL28" s="145">
        <f t="shared" si="33"/>
        <v>50238</v>
      </c>
      <c r="AM28" s="145">
        <f t="shared" si="33"/>
        <v>50420.5</v>
      </c>
      <c r="AN28" s="145">
        <f t="shared" si="33"/>
        <v>50603</v>
      </c>
      <c r="AO28" s="145">
        <f t="shared" si="33"/>
        <v>50785.5</v>
      </c>
      <c r="AP28" s="145">
        <f t="shared" si="33"/>
        <v>50968</v>
      </c>
      <c r="AQ28" s="145">
        <f t="shared" si="33"/>
        <v>51150.5</v>
      </c>
      <c r="AR28" s="145">
        <f t="shared" si="33"/>
        <v>51333</v>
      </c>
      <c r="AS28" s="145">
        <f t="shared" si="33"/>
        <v>51515.5</v>
      </c>
      <c r="AT28" s="145">
        <f t="shared" si="33"/>
        <v>51698</v>
      </c>
      <c r="AU28" s="145">
        <f t="shared" si="33"/>
        <v>51880.5</v>
      </c>
      <c r="AV28" s="145">
        <f t="shared" si="33"/>
        <v>52063</v>
      </c>
      <c r="AW28" s="145">
        <f t="shared" si="33"/>
        <v>52245.5</v>
      </c>
      <c r="AX28" s="145">
        <f t="shared" si="33"/>
        <v>52428</v>
      </c>
      <c r="AY28" s="145">
        <f t="shared" si="33"/>
        <v>52610.5</v>
      </c>
      <c r="AZ28" s="145">
        <f t="shared" si="33"/>
        <v>52793</v>
      </c>
      <c r="BA28" s="145">
        <f t="shared" si="33"/>
        <v>52975.5</v>
      </c>
      <c r="BB28" s="145">
        <f t="shared" si="33"/>
        <v>53158</v>
      </c>
      <c r="BC28" s="145">
        <f t="shared" si="33"/>
        <v>53340.5</v>
      </c>
      <c r="BD28" s="145">
        <f t="shared" si="33"/>
        <v>53523</v>
      </c>
      <c r="BE28" s="145">
        <f t="shared" si="33"/>
        <v>53705.5</v>
      </c>
      <c r="BF28" s="145">
        <f t="shared" si="33"/>
        <v>53888</v>
      </c>
      <c r="BG28" s="145">
        <f t="shared" si="33"/>
        <v>54070.5</v>
      </c>
      <c r="BH28" s="145">
        <f t="shared" si="33"/>
        <v>54253</v>
      </c>
      <c r="BI28" s="145">
        <f t="shared" si="33"/>
        <v>54435.5</v>
      </c>
      <c r="BJ28" s="145">
        <f t="shared" si="33"/>
        <v>54618</v>
      </c>
      <c r="BK28" s="145">
        <f t="shared" si="33"/>
        <v>54800.5</v>
      </c>
      <c r="BL28" s="145">
        <f t="shared" si="33"/>
        <v>54983</v>
      </c>
      <c r="BM28" s="145">
        <f t="shared" si="33"/>
        <v>55165.5</v>
      </c>
      <c r="BN28" s="145">
        <f t="shared" si="33"/>
        <v>55348</v>
      </c>
      <c r="BO28" s="145">
        <f t="shared" ref="BO28:CB28" si="34">BN28+IF($G5=1,365,182.5)</f>
        <v>55530.5</v>
      </c>
      <c r="BP28" s="145">
        <f t="shared" si="34"/>
        <v>55713</v>
      </c>
      <c r="BQ28" s="145">
        <f t="shared" si="34"/>
        <v>55895.5</v>
      </c>
      <c r="BR28" s="145">
        <f t="shared" si="34"/>
        <v>56078</v>
      </c>
      <c r="BS28" s="145">
        <f t="shared" si="34"/>
        <v>56260.5</v>
      </c>
      <c r="BT28" s="145">
        <f t="shared" si="34"/>
        <v>56443</v>
      </c>
      <c r="BU28" s="145">
        <f t="shared" si="34"/>
        <v>56625.5</v>
      </c>
      <c r="BV28" s="145">
        <f t="shared" si="34"/>
        <v>56808</v>
      </c>
      <c r="BW28" s="145">
        <f t="shared" si="34"/>
        <v>56990.5</v>
      </c>
      <c r="BX28" s="145">
        <f t="shared" si="34"/>
        <v>57173</v>
      </c>
      <c r="BY28" s="145">
        <f t="shared" si="34"/>
        <v>57355.5</v>
      </c>
      <c r="BZ28" s="145">
        <f t="shared" si="34"/>
        <v>57538</v>
      </c>
      <c r="CA28" s="145">
        <f t="shared" si="34"/>
        <v>57720.5</v>
      </c>
      <c r="CB28" s="146">
        <f t="shared" si="34"/>
        <v>57903</v>
      </c>
    </row>
    <row r="29" spans="1:83">
      <c r="A29" s="165" t="s">
        <v>24</v>
      </c>
      <c r="B29" s="147">
        <f>(IF(B28=F5,100,0)+IF(G5=1,1,0.5)*J5*100)*IF(ISBLANK(F5)=TRUE,0,1)</f>
        <v>1</v>
      </c>
      <c r="C29" s="148">
        <f>IF(C28&gt;$F5+2,0,1)*(IF(D29=0,100,0)+IF($G5=1,1,0.5)*$J5*100)</f>
        <v>1</v>
      </c>
      <c r="D29" s="148">
        <f t="shared" ref="D29:BO29" si="35">IF(D28&gt;$F5+2,0,1)*(IF(E29=0,100,0)+IF($G5=1,1,0.5)*$J5*100)</f>
        <v>101</v>
      </c>
      <c r="E29" s="148">
        <f t="shared" si="35"/>
        <v>0</v>
      </c>
      <c r="F29" s="148">
        <f t="shared" si="35"/>
        <v>0</v>
      </c>
      <c r="G29" s="148">
        <f t="shared" si="35"/>
        <v>0</v>
      </c>
      <c r="H29" s="148">
        <f t="shared" si="35"/>
        <v>0</v>
      </c>
      <c r="I29" s="148">
        <f t="shared" si="35"/>
        <v>0</v>
      </c>
      <c r="J29" s="148">
        <f t="shared" si="35"/>
        <v>0</v>
      </c>
      <c r="K29" s="148">
        <f t="shared" si="35"/>
        <v>0</v>
      </c>
      <c r="L29" s="148">
        <f t="shared" si="35"/>
        <v>0</v>
      </c>
      <c r="M29" s="148">
        <f t="shared" si="35"/>
        <v>0</v>
      </c>
      <c r="N29" s="148">
        <f t="shared" si="35"/>
        <v>0</v>
      </c>
      <c r="O29" s="148">
        <f t="shared" si="35"/>
        <v>0</v>
      </c>
      <c r="P29" s="148">
        <f t="shared" si="35"/>
        <v>0</v>
      </c>
      <c r="Q29" s="148">
        <f t="shared" si="35"/>
        <v>0</v>
      </c>
      <c r="R29" s="148">
        <f t="shared" si="35"/>
        <v>0</v>
      </c>
      <c r="S29" s="148">
        <f t="shared" si="35"/>
        <v>0</v>
      </c>
      <c r="T29" s="148">
        <f t="shared" si="35"/>
        <v>0</v>
      </c>
      <c r="U29" s="148">
        <f t="shared" si="35"/>
        <v>0</v>
      </c>
      <c r="V29" s="148">
        <f t="shared" si="35"/>
        <v>0</v>
      </c>
      <c r="W29" s="148">
        <f t="shared" si="35"/>
        <v>0</v>
      </c>
      <c r="X29" s="148">
        <f t="shared" si="35"/>
        <v>0</v>
      </c>
      <c r="Y29" s="148">
        <f t="shared" si="35"/>
        <v>0</v>
      </c>
      <c r="Z29" s="148">
        <f t="shared" si="35"/>
        <v>0</v>
      </c>
      <c r="AA29" s="148">
        <f t="shared" si="35"/>
        <v>0</v>
      </c>
      <c r="AB29" s="148">
        <f t="shared" si="35"/>
        <v>0</v>
      </c>
      <c r="AC29" s="148">
        <f t="shared" si="35"/>
        <v>0</v>
      </c>
      <c r="AD29" s="148">
        <f t="shared" si="35"/>
        <v>0</v>
      </c>
      <c r="AE29" s="148">
        <f t="shared" si="35"/>
        <v>0</v>
      </c>
      <c r="AF29" s="148">
        <f t="shared" si="35"/>
        <v>0</v>
      </c>
      <c r="AG29" s="148">
        <f t="shared" si="35"/>
        <v>0</v>
      </c>
      <c r="AH29" s="148">
        <f t="shared" si="35"/>
        <v>0</v>
      </c>
      <c r="AI29" s="148">
        <f t="shared" si="35"/>
        <v>0</v>
      </c>
      <c r="AJ29" s="148">
        <f t="shared" si="35"/>
        <v>0</v>
      </c>
      <c r="AK29" s="148">
        <f t="shared" si="35"/>
        <v>0</v>
      </c>
      <c r="AL29" s="148">
        <f t="shared" si="35"/>
        <v>0</v>
      </c>
      <c r="AM29" s="148">
        <f t="shared" si="35"/>
        <v>0</v>
      </c>
      <c r="AN29" s="148">
        <f t="shared" si="35"/>
        <v>0</v>
      </c>
      <c r="AO29" s="148">
        <f t="shared" si="35"/>
        <v>0</v>
      </c>
      <c r="AP29" s="148">
        <f t="shared" si="35"/>
        <v>0</v>
      </c>
      <c r="AQ29" s="148">
        <f t="shared" si="35"/>
        <v>0</v>
      </c>
      <c r="AR29" s="148">
        <f t="shared" si="35"/>
        <v>0</v>
      </c>
      <c r="AS29" s="148">
        <f t="shared" si="35"/>
        <v>0</v>
      </c>
      <c r="AT29" s="148">
        <f t="shared" si="35"/>
        <v>0</v>
      </c>
      <c r="AU29" s="148">
        <f t="shared" si="35"/>
        <v>0</v>
      </c>
      <c r="AV29" s="148">
        <f t="shared" si="35"/>
        <v>0</v>
      </c>
      <c r="AW29" s="148">
        <f t="shared" si="35"/>
        <v>0</v>
      </c>
      <c r="AX29" s="148">
        <f t="shared" si="35"/>
        <v>0</v>
      </c>
      <c r="AY29" s="148">
        <f t="shared" si="35"/>
        <v>0</v>
      </c>
      <c r="AZ29" s="148">
        <f t="shared" si="35"/>
        <v>0</v>
      </c>
      <c r="BA29" s="148">
        <f t="shared" si="35"/>
        <v>0</v>
      </c>
      <c r="BB29" s="148">
        <f t="shared" si="35"/>
        <v>0</v>
      </c>
      <c r="BC29" s="148">
        <f t="shared" si="35"/>
        <v>0</v>
      </c>
      <c r="BD29" s="148">
        <f t="shared" si="35"/>
        <v>0</v>
      </c>
      <c r="BE29" s="148">
        <f t="shared" si="35"/>
        <v>0</v>
      </c>
      <c r="BF29" s="148">
        <f t="shared" si="35"/>
        <v>0</v>
      </c>
      <c r="BG29" s="148">
        <f t="shared" si="35"/>
        <v>0</v>
      </c>
      <c r="BH29" s="148">
        <f t="shared" si="35"/>
        <v>0</v>
      </c>
      <c r="BI29" s="148">
        <f t="shared" si="35"/>
        <v>0</v>
      </c>
      <c r="BJ29" s="148">
        <f t="shared" si="35"/>
        <v>0</v>
      </c>
      <c r="BK29" s="148">
        <f t="shared" si="35"/>
        <v>0</v>
      </c>
      <c r="BL29" s="148">
        <f t="shared" si="35"/>
        <v>0</v>
      </c>
      <c r="BM29" s="148">
        <f t="shared" si="35"/>
        <v>0</v>
      </c>
      <c r="BN29" s="148">
        <f t="shared" si="35"/>
        <v>0</v>
      </c>
      <c r="BO29" s="148">
        <f t="shared" si="35"/>
        <v>0</v>
      </c>
      <c r="BP29" s="148">
        <f t="shared" ref="BP29:CB29" si="36">IF(BP28&gt;$F5+2,0,1)*(IF(BQ29=0,100,0)+IF($G5=1,1,0.5)*$J5*100)</f>
        <v>0</v>
      </c>
      <c r="BQ29" s="148">
        <f t="shared" si="36"/>
        <v>0</v>
      </c>
      <c r="BR29" s="148">
        <f t="shared" si="36"/>
        <v>0</v>
      </c>
      <c r="BS29" s="148">
        <f t="shared" si="36"/>
        <v>0</v>
      </c>
      <c r="BT29" s="148">
        <f t="shared" si="36"/>
        <v>0</v>
      </c>
      <c r="BU29" s="148">
        <f t="shared" si="36"/>
        <v>0</v>
      </c>
      <c r="BV29" s="148">
        <f t="shared" si="36"/>
        <v>0</v>
      </c>
      <c r="BW29" s="148">
        <f t="shared" si="36"/>
        <v>0</v>
      </c>
      <c r="BX29" s="148">
        <f t="shared" si="36"/>
        <v>0</v>
      </c>
      <c r="BY29" s="148">
        <f t="shared" si="36"/>
        <v>0</v>
      </c>
      <c r="BZ29" s="148">
        <f t="shared" si="36"/>
        <v>0</v>
      </c>
      <c r="CA29" s="148">
        <f t="shared" si="36"/>
        <v>0</v>
      </c>
      <c r="CB29" s="148">
        <f t="shared" si="36"/>
        <v>0</v>
      </c>
    </row>
    <row r="30" spans="1:83">
      <c r="A30" s="166" t="s">
        <v>49</v>
      </c>
      <c r="B30" s="37" t="str">
        <f>IF(E6=0,F6,E6)</f>
        <v>7/22/2019</v>
      </c>
      <c r="C30" s="38">
        <f t="shared" ref="C30:AH30" si="37">B30+IF($G6=1,365,182.5)</f>
        <v>43850.5</v>
      </c>
      <c r="D30" s="38">
        <f t="shared" si="37"/>
        <v>44033</v>
      </c>
      <c r="E30" s="38">
        <f t="shared" si="37"/>
        <v>44215.5</v>
      </c>
      <c r="F30" s="38">
        <f t="shared" si="37"/>
        <v>44398</v>
      </c>
      <c r="G30" s="141">
        <f t="shared" si="37"/>
        <v>44580.5</v>
      </c>
      <c r="H30" s="38">
        <f t="shared" si="37"/>
        <v>44763</v>
      </c>
      <c r="I30" s="38">
        <f t="shared" si="37"/>
        <v>44945.5</v>
      </c>
      <c r="J30" s="38">
        <f t="shared" si="37"/>
        <v>45128</v>
      </c>
      <c r="K30" s="38">
        <f t="shared" si="37"/>
        <v>45310.5</v>
      </c>
      <c r="L30" s="38">
        <f t="shared" si="37"/>
        <v>45493</v>
      </c>
      <c r="M30" s="38">
        <f t="shared" si="37"/>
        <v>45675.5</v>
      </c>
      <c r="N30" s="38">
        <f t="shared" si="37"/>
        <v>45858</v>
      </c>
      <c r="O30" s="38">
        <f t="shared" si="37"/>
        <v>46040.5</v>
      </c>
      <c r="P30" s="38">
        <f t="shared" si="37"/>
        <v>46223</v>
      </c>
      <c r="Q30" s="38">
        <f t="shared" si="37"/>
        <v>46405.5</v>
      </c>
      <c r="R30" s="38">
        <f t="shared" si="37"/>
        <v>46588</v>
      </c>
      <c r="S30" s="38">
        <f t="shared" si="37"/>
        <v>46770.5</v>
      </c>
      <c r="T30" s="38">
        <f t="shared" si="37"/>
        <v>46953</v>
      </c>
      <c r="U30" s="38">
        <f t="shared" si="37"/>
        <v>47135.5</v>
      </c>
      <c r="V30" s="38">
        <f t="shared" si="37"/>
        <v>47318</v>
      </c>
      <c r="W30" s="38">
        <f t="shared" si="37"/>
        <v>47500.5</v>
      </c>
      <c r="X30" s="38">
        <f t="shared" si="37"/>
        <v>47683</v>
      </c>
      <c r="Y30" s="38">
        <f t="shared" si="37"/>
        <v>47865.5</v>
      </c>
      <c r="Z30" s="38">
        <f t="shared" si="37"/>
        <v>48048</v>
      </c>
      <c r="AA30" s="38">
        <f t="shared" si="37"/>
        <v>48230.5</v>
      </c>
      <c r="AB30" s="38">
        <f t="shared" si="37"/>
        <v>48413</v>
      </c>
      <c r="AC30" s="38">
        <f t="shared" si="37"/>
        <v>48595.5</v>
      </c>
      <c r="AD30" s="38">
        <f t="shared" si="37"/>
        <v>48778</v>
      </c>
      <c r="AE30" s="38">
        <f t="shared" si="37"/>
        <v>48960.5</v>
      </c>
      <c r="AF30" s="38">
        <f t="shared" si="37"/>
        <v>49143</v>
      </c>
      <c r="AG30" s="38">
        <f t="shared" si="37"/>
        <v>49325.5</v>
      </c>
      <c r="AH30" s="38">
        <f t="shared" si="37"/>
        <v>49508</v>
      </c>
      <c r="AI30" s="38">
        <f t="shared" ref="AI30:BN30" si="38">AH30+IF($G6=1,365,182.5)</f>
        <v>49690.5</v>
      </c>
      <c r="AJ30" s="38">
        <f t="shared" si="38"/>
        <v>49873</v>
      </c>
      <c r="AK30" s="38">
        <f t="shared" si="38"/>
        <v>50055.5</v>
      </c>
      <c r="AL30" s="38">
        <f t="shared" si="38"/>
        <v>50238</v>
      </c>
      <c r="AM30" s="38">
        <f t="shared" si="38"/>
        <v>50420.5</v>
      </c>
      <c r="AN30" s="38">
        <f t="shared" si="38"/>
        <v>50603</v>
      </c>
      <c r="AO30" s="38">
        <f t="shared" si="38"/>
        <v>50785.5</v>
      </c>
      <c r="AP30" s="38">
        <f t="shared" si="38"/>
        <v>50968</v>
      </c>
      <c r="AQ30" s="38">
        <f t="shared" si="38"/>
        <v>51150.5</v>
      </c>
      <c r="AR30" s="38">
        <f t="shared" si="38"/>
        <v>51333</v>
      </c>
      <c r="AS30" s="38">
        <f t="shared" si="38"/>
        <v>51515.5</v>
      </c>
      <c r="AT30" s="38">
        <f t="shared" si="38"/>
        <v>51698</v>
      </c>
      <c r="AU30" s="38">
        <f t="shared" si="38"/>
        <v>51880.5</v>
      </c>
      <c r="AV30" s="38">
        <f t="shared" si="38"/>
        <v>52063</v>
      </c>
      <c r="AW30" s="38">
        <f t="shared" si="38"/>
        <v>52245.5</v>
      </c>
      <c r="AX30" s="38">
        <f t="shared" si="38"/>
        <v>52428</v>
      </c>
      <c r="AY30" s="38">
        <f t="shared" si="38"/>
        <v>52610.5</v>
      </c>
      <c r="AZ30" s="38">
        <f t="shared" si="38"/>
        <v>52793</v>
      </c>
      <c r="BA30" s="38">
        <f t="shared" si="38"/>
        <v>52975.5</v>
      </c>
      <c r="BB30" s="38">
        <f t="shared" si="38"/>
        <v>53158</v>
      </c>
      <c r="BC30" s="38">
        <f t="shared" si="38"/>
        <v>53340.5</v>
      </c>
      <c r="BD30" s="38">
        <f t="shared" si="38"/>
        <v>53523</v>
      </c>
      <c r="BE30" s="38">
        <f t="shared" si="38"/>
        <v>53705.5</v>
      </c>
      <c r="BF30" s="38">
        <f t="shared" si="38"/>
        <v>53888</v>
      </c>
      <c r="BG30" s="38">
        <f t="shared" si="38"/>
        <v>54070.5</v>
      </c>
      <c r="BH30" s="38">
        <f t="shared" si="38"/>
        <v>54253</v>
      </c>
      <c r="BI30" s="38">
        <f t="shared" si="38"/>
        <v>54435.5</v>
      </c>
      <c r="BJ30" s="38">
        <f t="shared" si="38"/>
        <v>54618</v>
      </c>
      <c r="BK30" s="38">
        <f t="shared" si="38"/>
        <v>54800.5</v>
      </c>
      <c r="BL30" s="38">
        <f t="shared" si="38"/>
        <v>54983</v>
      </c>
      <c r="BM30" s="38">
        <f t="shared" si="38"/>
        <v>55165.5</v>
      </c>
      <c r="BN30" s="38">
        <f t="shared" si="38"/>
        <v>55348</v>
      </c>
      <c r="BO30" s="38">
        <f t="shared" ref="BO30:CB30" si="39">BN30+IF($G6=1,365,182.5)</f>
        <v>55530.5</v>
      </c>
      <c r="BP30" s="38">
        <f t="shared" si="39"/>
        <v>55713</v>
      </c>
      <c r="BQ30" s="38">
        <f t="shared" si="39"/>
        <v>55895.5</v>
      </c>
      <c r="BR30" s="38">
        <f t="shared" si="39"/>
        <v>56078</v>
      </c>
      <c r="BS30" s="38">
        <f t="shared" si="39"/>
        <v>56260.5</v>
      </c>
      <c r="BT30" s="38">
        <f t="shared" si="39"/>
        <v>56443</v>
      </c>
      <c r="BU30" s="38">
        <f t="shared" si="39"/>
        <v>56625.5</v>
      </c>
      <c r="BV30" s="38">
        <f t="shared" si="39"/>
        <v>56808</v>
      </c>
      <c r="BW30" s="38">
        <f t="shared" si="39"/>
        <v>56990.5</v>
      </c>
      <c r="BX30" s="38">
        <f t="shared" si="39"/>
        <v>57173</v>
      </c>
      <c r="BY30" s="38">
        <f t="shared" si="39"/>
        <v>57355.5</v>
      </c>
      <c r="BZ30" s="38">
        <f t="shared" si="39"/>
        <v>57538</v>
      </c>
      <c r="CA30" s="38">
        <f t="shared" si="39"/>
        <v>57720.5</v>
      </c>
      <c r="CB30" s="39">
        <f t="shared" si="39"/>
        <v>57903</v>
      </c>
    </row>
    <row r="31" spans="1:83">
      <c r="A31" s="166" t="s">
        <v>25</v>
      </c>
      <c r="B31" s="106">
        <f>(IF(B30=F6,100,0)+IF(G6=1,1,0.5)*J6*100)*IF(ISBLANK(F6)=TRUE,0,1)</f>
        <v>0.75</v>
      </c>
      <c r="C31" s="40">
        <f t="shared" ref="C31:AH31" si="40">IF(C30&gt;$F6+1,0,1)*(IF(D31=0,100,0)+IF($G6=1,1,0.5)*$J6*100)</f>
        <v>0.75</v>
      </c>
      <c r="D31" s="40">
        <f t="shared" si="40"/>
        <v>0.75</v>
      </c>
      <c r="E31" s="40">
        <f t="shared" si="40"/>
        <v>100.75</v>
      </c>
      <c r="F31" s="40">
        <f t="shared" si="40"/>
        <v>0</v>
      </c>
      <c r="G31" s="40">
        <f t="shared" si="40"/>
        <v>0</v>
      </c>
      <c r="H31" s="40">
        <f t="shared" si="40"/>
        <v>0</v>
      </c>
      <c r="I31" s="40">
        <f t="shared" si="40"/>
        <v>0</v>
      </c>
      <c r="J31" s="40">
        <f t="shared" si="40"/>
        <v>0</v>
      </c>
      <c r="K31" s="40">
        <f t="shared" si="40"/>
        <v>0</v>
      </c>
      <c r="L31" s="40">
        <f t="shared" si="40"/>
        <v>0</v>
      </c>
      <c r="M31" s="40">
        <f t="shared" si="40"/>
        <v>0</v>
      </c>
      <c r="N31" s="40">
        <f t="shared" si="40"/>
        <v>0</v>
      </c>
      <c r="O31" s="40">
        <f t="shared" si="40"/>
        <v>0</v>
      </c>
      <c r="P31" s="40">
        <f t="shared" si="40"/>
        <v>0</v>
      </c>
      <c r="Q31" s="40">
        <f t="shared" si="40"/>
        <v>0</v>
      </c>
      <c r="R31" s="40">
        <f t="shared" si="40"/>
        <v>0</v>
      </c>
      <c r="S31" s="40">
        <f t="shared" si="40"/>
        <v>0</v>
      </c>
      <c r="T31" s="40">
        <f t="shared" si="40"/>
        <v>0</v>
      </c>
      <c r="U31" s="40">
        <f t="shared" si="40"/>
        <v>0</v>
      </c>
      <c r="V31" s="40">
        <f t="shared" si="40"/>
        <v>0</v>
      </c>
      <c r="W31" s="40">
        <f t="shared" si="40"/>
        <v>0</v>
      </c>
      <c r="X31" s="40">
        <f t="shared" si="40"/>
        <v>0</v>
      </c>
      <c r="Y31" s="40">
        <f t="shared" si="40"/>
        <v>0</v>
      </c>
      <c r="Z31" s="40">
        <f t="shared" si="40"/>
        <v>0</v>
      </c>
      <c r="AA31" s="40">
        <f t="shared" si="40"/>
        <v>0</v>
      </c>
      <c r="AB31" s="40">
        <f t="shared" si="40"/>
        <v>0</v>
      </c>
      <c r="AC31" s="40">
        <f t="shared" si="40"/>
        <v>0</v>
      </c>
      <c r="AD31" s="40">
        <f t="shared" si="40"/>
        <v>0</v>
      </c>
      <c r="AE31" s="40">
        <f t="shared" si="40"/>
        <v>0</v>
      </c>
      <c r="AF31" s="40">
        <f t="shared" si="40"/>
        <v>0</v>
      </c>
      <c r="AG31" s="40">
        <f t="shared" si="40"/>
        <v>0</v>
      </c>
      <c r="AH31" s="40">
        <f t="shared" si="40"/>
        <v>0</v>
      </c>
      <c r="AI31" s="40">
        <f t="shared" ref="AI31:BN31" si="41">IF(AI30&gt;$F6+1,0,1)*(IF(AJ31=0,100,0)+IF($G6=1,1,0.5)*$J6*100)</f>
        <v>0</v>
      </c>
      <c r="AJ31" s="40">
        <f t="shared" si="41"/>
        <v>0</v>
      </c>
      <c r="AK31" s="40">
        <f t="shared" si="41"/>
        <v>0</v>
      </c>
      <c r="AL31" s="40">
        <f t="shared" si="41"/>
        <v>0</v>
      </c>
      <c r="AM31" s="40">
        <f t="shared" si="41"/>
        <v>0</v>
      </c>
      <c r="AN31" s="40">
        <f t="shared" si="41"/>
        <v>0</v>
      </c>
      <c r="AO31" s="40">
        <f t="shared" si="41"/>
        <v>0</v>
      </c>
      <c r="AP31" s="40">
        <f t="shared" si="41"/>
        <v>0</v>
      </c>
      <c r="AQ31" s="40">
        <f t="shared" si="41"/>
        <v>0</v>
      </c>
      <c r="AR31" s="40">
        <f t="shared" si="41"/>
        <v>0</v>
      </c>
      <c r="AS31" s="40">
        <f t="shared" si="41"/>
        <v>0</v>
      </c>
      <c r="AT31" s="40">
        <f t="shared" si="41"/>
        <v>0</v>
      </c>
      <c r="AU31" s="40">
        <f t="shared" si="41"/>
        <v>0</v>
      </c>
      <c r="AV31" s="40">
        <f t="shared" si="41"/>
        <v>0</v>
      </c>
      <c r="AW31" s="40">
        <f t="shared" si="41"/>
        <v>0</v>
      </c>
      <c r="AX31" s="40">
        <f t="shared" si="41"/>
        <v>0</v>
      </c>
      <c r="AY31" s="40">
        <f t="shared" si="41"/>
        <v>0</v>
      </c>
      <c r="AZ31" s="40">
        <f t="shared" si="41"/>
        <v>0</v>
      </c>
      <c r="BA31" s="40">
        <f t="shared" si="41"/>
        <v>0</v>
      </c>
      <c r="BB31" s="40">
        <f t="shared" si="41"/>
        <v>0</v>
      </c>
      <c r="BC31" s="40">
        <f t="shared" si="41"/>
        <v>0</v>
      </c>
      <c r="BD31" s="40">
        <f t="shared" si="41"/>
        <v>0</v>
      </c>
      <c r="BE31" s="40">
        <f t="shared" si="41"/>
        <v>0</v>
      </c>
      <c r="BF31" s="40">
        <f t="shared" si="41"/>
        <v>0</v>
      </c>
      <c r="BG31" s="40">
        <f t="shared" si="41"/>
        <v>0</v>
      </c>
      <c r="BH31" s="40">
        <f t="shared" si="41"/>
        <v>0</v>
      </c>
      <c r="BI31" s="40">
        <f t="shared" si="41"/>
        <v>0</v>
      </c>
      <c r="BJ31" s="40">
        <f t="shared" si="41"/>
        <v>0</v>
      </c>
      <c r="BK31" s="40">
        <f t="shared" si="41"/>
        <v>0</v>
      </c>
      <c r="BL31" s="40">
        <f t="shared" si="41"/>
        <v>0</v>
      </c>
      <c r="BM31" s="40">
        <f t="shared" si="41"/>
        <v>0</v>
      </c>
      <c r="BN31" s="40">
        <f t="shared" si="41"/>
        <v>0</v>
      </c>
      <c r="BO31" s="40">
        <f t="shared" ref="BO31:CB31" si="42">IF(BO30&gt;$F6+1,0,1)*(IF(BP31=0,100,0)+IF($G6=1,1,0.5)*$J6*100)</f>
        <v>0</v>
      </c>
      <c r="BP31" s="40">
        <f t="shared" si="42"/>
        <v>0</v>
      </c>
      <c r="BQ31" s="40">
        <f t="shared" si="42"/>
        <v>0</v>
      </c>
      <c r="BR31" s="40">
        <f t="shared" si="42"/>
        <v>0</v>
      </c>
      <c r="BS31" s="40">
        <f t="shared" si="42"/>
        <v>0</v>
      </c>
      <c r="BT31" s="40">
        <f t="shared" si="42"/>
        <v>0</v>
      </c>
      <c r="BU31" s="40">
        <f t="shared" si="42"/>
        <v>0</v>
      </c>
      <c r="BV31" s="40">
        <f t="shared" si="42"/>
        <v>0</v>
      </c>
      <c r="BW31" s="40">
        <f t="shared" si="42"/>
        <v>0</v>
      </c>
      <c r="BX31" s="40">
        <f t="shared" si="42"/>
        <v>0</v>
      </c>
      <c r="BY31" s="40">
        <f t="shared" si="42"/>
        <v>0</v>
      </c>
      <c r="BZ31" s="40">
        <f t="shared" si="42"/>
        <v>0</v>
      </c>
      <c r="CA31" s="40">
        <f t="shared" si="42"/>
        <v>0</v>
      </c>
      <c r="CB31" s="41">
        <f t="shared" si="42"/>
        <v>0</v>
      </c>
    </row>
    <row r="32" spans="1:83">
      <c r="A32" s="167" t="s">
        <v>49</v>
      </c>
      <c r="B32" s="42" t="str">
        <f>IF(E7=0,F7,E7)</f>
        <v>7/22/2019</v>
      </c>
      <c r="C32" s="43">
        <f t="shared" ref="C32:AH32" si="43">B32+IF($G7=1,365,182.5)</f>
        <v>43850.5</v>
      </c>
      <c r="D32" s="43">
        <f t="shared" si="43"/>
        <v>44033</v>
      </c>
      <c r="E32" s="43">
        <f t="shared" si="43"/>
        <v>44215.5</v>
      </c>
      <c r="F32" s="43">
        <f t="shared" si="43"/>
        <v>44398</v>
      </c>
      <c r="G32" s="43">
        <f t="shared" si="43"/>
        <v>44580.5</v>
      </c>
      <c r="H32" s="43">
        <f t="shared" si="43"/>
        <v>44763</v>
      </c>
      <c r="I32" s="43">
        <f t="shared" si="43"/>
        <v>44945.5</v>
      </c>
      <c r="J32" s="43">
        <f t="shared" si="43"/>
        <v>45128</v>
      </c>
      <c r="K32" s="100">
        <f t="shared" si="43"/>
        <v>45310.5</v>
      </c>
      <c r="L32" s="43">
        <f t="shared" si="43"/>
        <v>45493</v>
      </c>
      <c r="M32" s="43">
        <f t="shared" si="43"/>
        <v>45675.5</v>
      </c>
      <c r="N32" s="43">
        <f t="shared" si="43"/>
        <v>45858</v>
      </c>
      <c r="O32" s="43">
        <f t="shared" si="43"/>
        <v>46040.5</v>
      </c>
      <c r="P32" s="43">
        <f t="shared" si="43"/>
        <v>46223</v>
      </c>
      <c r="Q32" s="43">
        <f t="shared" si="43"/>
        <v>46405.5</v>
      </c>
      <c r="R32" s="43">
        <f t="shared" si="43"/>
        <v>46588</v>
      </c>
      <c r="S32" s="43">
        <f t="shared" si="43"/>
        <v>46770.5</v>
      </c>
      <c r="T32" s="43">
        <f t="shared" si="43"/>
        <v>46953</v>
      </c>
      <c r="U32" s="43">
        <f t="shared" si="43"/>
        <v>47135.5</v>
      </c>
      <c r="V32" s="43">
        <f t="shared" si="43"/>
        <v>47318</v>
      </c>
      <c r="W32" s="43">
        <f t="shared" si="43"/>
        <v>47500.5</v>
      </c>
      <c r="X32" s="43">
        <f t="shared" si="43"/>
        <v>47683</v>
      </c>
      <c r="Y32" s="43">
        <f t="shared" si="43"/>
        <v>47865.5</v>
      </c>
      <c r="Z32" s="43">
        <f t="shared" si="43"/>
        <v>48048</v>
      </c>
      <c r="AA32" s="43">
        <f t="shared" si="43"/>
        <v>48230.5</v>
      </c>
      <c r="AB32" s="43">
        <f t="shared" si="43"/>
        <v>48413</v>
      </c>
      <c r="AC32" s="43">
        <f t="shared" si="43"/>
        <v>48595.5</v>
      </c>
      <c r="AD32" s="43">
        <f t="shared" si="43"/>
        <v>48778</v>
      </c>
      <c r="AE32" s="43">
        <f t="shared" si="43"/>
        <v>48960.5</v>
      </c>
      <c r="AF32" s="43">
        <f t="shared" si="43"/>
        <v>49143</v>
      </c>
      <c r="AG32" s="43">
        <f t="shared" si="43"/>
        <v>49325.5</v>
      </c>
      <c r="AH32" s="43">
        <f t="shared" si="43"/>
        <v>49508</v>
      </c>
      <c r="AI32" s="43">
        <f t="shared" ref="AI32:BN32" si="44">AH32+IF($G7=1,365,182.5)</f>
        <v>49690.5</v>
      </c>
      <c r="AJ32" s="43">
        <f t="shared" si="44"/>
        <v>49873</v>
      </c>
      <c r="AK32" s="43">
        <f t="shared" si="44"/>
        <v>50055.5</v>
      </c>
      <c r="AL32" s="43">
        <f t="shared" si="44"/>
        <v>50238</v>
      </c>
      <c r="AM32" s="43">
        <f t="shared" si="44"/>
        <v>50420.5</v>
      </c>
      <c r="AN32" s="43">
        <f t="shared" si="44"/>
        <v>50603</v>
      </c>
      <c r="AO32" s="43">
        <f t="shared" si="44"/>
        <v>50785.5</v>
      </c>
      <c r="AP32" s="43">
        <f t="shared" si="44"/>
        <v>50968</v>
      </c>
      <c r="AQ32" s="43">
        <f t="shared" si="44"/>
        <v>51150.5</v>
      </c>
      <c r="AR32" s="43">
        <f t="shared" si="44"/>
        <v>51333</v>
      </c>
      <c r="AS32" s="43">
        <f t="shared" si="44"/>
        <v>51515.5</v>
      </c>
      <c r="AT32" s="43">
        <f t="shared" si="44"/>
        <v>51698</v>
      </c>
      <c r="AU32" s="43">
        <f t="shared" si="44"/>
        <v>51880.5</v>
      </c>
      <c r="AV32" s="43">
        <f t="shared" si="44"/>
        <v>52063</v>
      </c>
      <c r="AW32" s="43">
        <f t="shared" si="44"/>
        <v>52245.5</v>
      </c>
      <c r="AX32" s="43">
        <f t="shared" si="44"/>
        <v>52428</v>
      </c>
      <c r="AY32" s="43">
        <f t="shared" si="44"/>
        <v>52610.5</v>
      </c>
      <c r="AZ32" s="43">
        <f t="shared" si="44"/>
        <v>52793</v>
      </c>
      <c r="BA32" s="43">
        <f t="shared" si="44"/>
        <v>52975.5</v>
      </c>
      <c r="BB32" s="43">
        <f t="shared" si="44"/>
        <v>53158</v>
      </c>
      <c r="BC32" s="43">
        <f t="shared" si="44"/>
        <v>53340.5</v>
      </c>
      <c r="BD32" s="43">
        <f t="shared" si="44"/>
        <v>53523</v>
      </c>
      <c r="BE32" s="43">
        <f t="shared" si="44"/>
        <v>53705.5</v>
      </c>
      <c r="BF32" s="43">
        <f t="shared" si="44"/>
        <v>53888</v>
      </c>
      <c r="BG32" s="43">
        <f t="shared" si="44"/>
        <v>54070.5</v>
      </c>
      <c r="BH32" s="43">
        <f t="shared" si="44"/>
        <v>54253</v>
      </c>
      <c r="BI32" s="43">
        <f t="shared" si="44"/>
        <v>54435.5</v>
      </c>
      <c r="BJ32" s="43">
        <f t="shared" si="44"/>
        <v>54618</v>
      </c>
      <c r="BK32" s="43">
        <f t="shared" si="44"/>
        <v>54800.5</v>
      </c>
      <c r="BL32" s="43">
        <f t="shared" si="44"/>
        <v>54983</v>
      </c>
      <c r="BM32" s="43">
        <f t="shared" si="44"/>
        <v>55165.5</v>
      </c>
      <c r="BN32" s="43">
        <f t="shared" si="44"/>
        <v>55348</v>
      </c>
      <c r="BO32" s="43">
        <f t="shared" ref="BO32:CB32" si="45">BN32+IF($G7=1,365,182.5)</f>
        <v>55530.5</v>
      </c>
      <c r="BP32" s="43">
        <f t="shared" si="45"/>
        <v>55713</v>
      </c>
      <c r="BQ32" s="43">
        <f t="shared" si="45"/>
        <v>55895.5</v>
      </c>
      <c r="BR32" s="43">
        <f t="shared" si="45"/>
        <v>56078</v>
      </c>
      <c r="BS32" s="43">
        <f t="shared" si="45"/>
        <v>56260.5</v>
      </c>
      <c r="BT32" s="43">
        <f t="shared" si="45"/>
        <v>56443</v>
      </c>
      <c r="BU32" s="43">
        <f t="shared" si="45"/>
        <v>56625.5</v>
      </c>
      <c r="BV32" s="43">
        <f t="shared" si="45"/>
        <v>56808</v>
      </c>
      <c r="BW32" s="43">
        <f t="shared" si="45"/>
        <v>56990.5</v>
      </c>
      <c r="BX32" s="43">
        <f t="shared" si="45"/>
        <v>57173</v>
      </c>
      <c r="BY32" s="43">
        <f t="shared" si="45"/>
        <v>57355.5</v>
      </c>
      <c r="BZ32" s="43">
        <f t="shared" si="45"/>
        <v>57538</v>
      </c>
      <c r="CA32" s="43">
        <f t="shared" si="45"/>
        <v>57720.5</v>
      </c>
      <c r="CB32" s="44">
        <f t="shared" si="45"/>
        <v>57903</v>
      </c>
    </row>
    <row r="33" spans="1:80">
      <c r="A33" s="167" t="s">
        <v>16</v>
      </c>
      <c r="B33" s="107">
        <f>(IF(B32=F7,100,0)+IF(G7=1,1,0.5)*J7*100)*IF(ISBLANK(F7)=TRUE,0,1)</f>
        <v>0.25</v>
      </c>
      <c r="C33" s="45">
        <f t="shared" ref="C33:AH33" si="46">IF(C32&gt;$F7+1,0,1)*(IF(D33=0,100,0)+IF($G7=1,1,0.5)*$J7*100)</f>
        <v>0.25</v>
      </c>
      <c r="D33" s="45">
        <f t="shared" si="46"/>
        <v>0.25</v>
      </c>
      <c r="E33" s="45">
        <f t="shared" si="46"/>
        <v>0.25</v>
      </c>
      <c r="F33" s="45">
        <f t="shared" si="46"/>
        <v>0.25</v>
      </c>
      <c r="G33" s="45">
        <f t="shared" si="46"/>
        <v>0.25</v>
      </c>
      <c r="H33" s="45">
        <f t="shared" si="46"/>
        <v>100.25</v>
      </c>
      <c r="I33" s="45">
        <f t="shared" si="46"/>
        <v>0</v>
      </c>
      <c r="J33" s="45">
        <f t="shared" si="46"/>
        <v>0</v>
      </c>
      <c r="K33" s="45">
        <f t="shared" si="46"/>
        <v>0</v>
      </c>
      <c r="L33" s="45">
        <f t="shared" si="46"/>
        <v>0</v>
      </c>
      <c r="M33" s="45">
        <f t="shared" si="46"/>
        <v>0</v>
      </c>
      <c r="N33" s="45">
        <f t="shared" si="46"/>
        <v>0</v>
      </c>
      <c r="O33" s="45">
        <f t="shared" si="46"/>
        <v>0</v>
      </c>
      <c r="P33" s="45">
        <f t="shared" si="46"/>
        <v>0</v>
      </c>
      <c r="Q33" s="45">
        <f t="shared" si="46"/>
        <v>0</v>
      </c>
      <c r="R33" s="45">
        <f t="shared" si="46"/>
        <v>0</v>
      </c>
      <c r="S33" s="45">
        <f t="shared" si="46"/>
        <v>0</v>
      </c>
      <c r="T33" s="45">
        <f t="shared" si="46"/>
        <v>0</v>
      </c>
      <c r="U33" s="45">
        <f t="shared" si="46"/>
        <v>0</v>
      </c>
      <c r="V33" s="45">
        <f t="shared" si="46"/>
        <v>0</v>
      </c>
      <c r="W33" s="45">
        <f t="shared" si="46"/>
        <v>0</v>
      </c>
      <c r="X33" s="45">
        <f t="shared" si="46"/>
        <v>0</v>
      </c>
      <c r="Y33" s="45">
        <f t="shared" si="46"/>
        <v>0</v>
      </c>
      <c r="Z33" s="45">
        <f t="shared" si="46"/>
        <v>0</v>
      </c>
      <c r="AA33" s="45">
        <f t="shared" si="46"/>
        <v>0</v>
      </c>
      <c r="AB33" s="45">
        <f t="shared" si="46"/>
        <v>0</v>
      </c>
      <c r="AC33" s="45">
        <f t="shared" si="46"/>
        <v>0</v>
      </c>
      <c r="AD33" s="45">
        <f t="shared" si="46"/>
        <v>0</v>
      </c>
      <c r="AE33" s="45">
        <f t="shared" si="46"/>
        <v>0</v>
      </c>
      <c r="AF33" s="45">
        <f t="shared" si="46"/>
        <v>0</v>
      </c>
      <c r="AG33" s="45">
        <f t="shared" si="46"/>
        <v>0</v>
      </c>
      <c r="AH33" s="45">
        <f t="shared" si="46"/>
        <v>0</v>
      </c>
      <c r="AI33" s="45">
        <f t="shared" ref="AI33:BN33" si="47">IF(AI32&gt;$F7+1,0,1)*(IF(AJ33=0,100,0)+IF($G7=1,1,0.5)*$J7*100)</f>
        <v>0</v>
      </c>
      <c r="AJ33" s="45">
        <f t="shared" si="47"/>
        <v>0</v>
      </c>
      <c r="AK33" s="45">
        <f t="shared" si="47"/>
        <v>0</v>
      </c>
      <c r="AL33" s="45">
        <f t="shared" si="47"/>
        <v>0</v>
      </c>
      <c r="AM33" s="45">
        <f t="shared" si="47"/>
        <v>0</v>
      </c>
      <c r="AN33" s="45">
        <f t="shared" si="47"/>
        <v>0</v>
      </c>
      <c r="AO33" s="45">
        <f t="shared" si="47"/>
        <v>0</v>
      </c>
      <c r="AP33" s="45">
        <f t="shared" si="47"/>
        <v>0</v>
      </c>
      <c r="AQ33" s="45">
        <f t="shared" si="47"/>
        <v>0</v>
      </c>
      <c r="AR33" s="45">
        <f t="shared" si="47"/>
        <v>0</v>
      </c>
      <c r="AS33" s="45">
        <f t="shared" si="47"/>
        <v>0</v>
      </c>
      <c r="AT33" s="45">
        <f t="shared" si="47"/>
        <v>0</v>
      </c>
      <c r="AU33" s="45">
        <f t="shared" si="47"/>
        <v>0</v>
      </c>
      <c r="AV33" s="45">
        <f t="shared" si="47"/>
        <v>0</v>
      </c>
      <c r="AW33" s="45">
        <f t="shared" si="47"/>
        <v>0</v>
      </c>
      <c r="AX33" s="45">
        <f t="shared" si="47"/>
        <v>0</v>
      </c>
      <c r="AY33" s="45">
        <f t="shared" si="47"/>
        <v>0</v>
      </c>
      <c r="AZ33" s="45">
        <f t="shared" si="47"/>
        <v>0</v>
      </c>
      <c r="BA33" s="45">
        <f t="shared" si="47"/>
        <v>0</v>
      </c>
      <c r="BB33" s="45">
        <f t="shared" si="47"/>
        <v>0</v>
      </c>
      <c r="BC33" s="45">
        <f t="shared" si="47"/>
        <v>0</v>
      </c>
      <c r="BD33" s="45">
        <f t="shared" si="47"/>
        <v>0</v>
      </c>
      <c r="BE33" s="45">
        <f t="shared" si="47"/>
        <v>0</v>
      </c>
      <c r="BF33" s="45">
        <f t="shared" si="47"/>
        <v>0</v>
      </c>
      <c r="BG33" s="45">
        <f t="shared" si="47"/>
        <v>0</v>
      </c>
      <c r="BH33" s="45">
        <f t="shared" si="47"/>
        <v>0</v>
      </c>
      <c r="BI33" s="45">
        <f t="shared" si="47"/>
        <v>0</v>
      </c>
      <c r="BJ33" s="45">
        <f t="shared" si="47"/>
        <v>0</v>
      </c>
      <c r="BK33" s="45">
        <f t="shared" si="47"/>
        <v>0</v>
      </c>
      <c r="BL33" s="45">
        <f t="shared" si="47"/>
        <v>0</v>
      </c>
      <c r="BM33" s="45">
        <f t="shared" si="47"/>
        <v>0</v>
      </c>
      <c r="BN33" s="45">
        <f t="shared" si="47"/>
        <v>0</v>
      </c>
      <c r="BO33" s="45">
        <f t="shared" ref="BO33:CB33" si="48">IF(BO32&gt;$F7+1,0,1)*(IF(BP33=0,100,0)+IF($G7=1,1,0.5)*$J7*100)</f>
        <v>0</v>
      </c>
      <c r="BP33" s="45">
        <f t="shared" si="48"/>
        <v>0</v>
      </c>
      <c r="BQ33" s="45">
        <f t="shared" si="48"/>
        <v>0</v>
      </c>
      <c r="BR33" s="45">
        <f t="shared" si="48"/>
        <v>0</v>
      </c>
      <c r="BS33" s="45">
        <f t="shared" si="48"/>
        <v>0</v>
      </c>
      <c r="BT33" s="45">
        <f t="shared" si="48"/>
        <v>0</v>
      </c>
      <c r="BU33" s="45">
        <f t="shared" si="48"/>
        <v>0</v>
      </c>
      <c r="BV33" s="45">
        <f t="shared" si="48"/>
        <v>0</v>
      </c>
      <c r="BW33" s="45">
        <f t="shared" si="48"/>
        <v>0</v>
      </c>
      <c r="BX33" s="45">
        <f t="shared" si="48"/>
        <v>0</v>
      </c>
      <c r="BY33" s="45">
        <f t="shared" si="48"/>
        <v>0</v>
      </c>
      <c r="BZ33" s="45">
        <f t="shared" si="48"/>
        <v>0</v>
      </c>
      <c r="CA33" s="45">
        <f t="shared" si="48"/>
        <v>0</v>
      </c>
      <c r="CB33" s="46">
        <f t="shared" si="48"/>
        <v>0</v>
      </c>
    </row>
    <row r="34" spans="1:80">
      <c r="A34" s="252" t="s">
        <v>49</v>
      </c>
      <c r="B34" s="47" t="str">
        <f>IF(E8=0,F8,E8)</f>
        <v>7/22/2019</v>
      </c>
      <c r="C34" s="48">
        <f t="shared" ref="C34:AH34" si="49">B34+IF($G8=1,365,182.5)</f>
        <v>43850.5</v>
      </c>
      <c r="D34" s="48">
        <f t="shared" si="49"/>
        <v>44033</v>
      </c>
      <c r="E34" s="48">
        <f t="shared" si="49"/>
        <v>44215.5</v>
      </c>
      <c r="F34" s="48">
        <f t="shared" si="49"/>
        <v>44398</v>
      </c>
      <c r="G34" s="48">
        <f t="shared" si="49"/>
        <v>44580.5</v>
      </c>
      <c r="H34" s="48">
        <f t="shared" si="49"/>
        <v>44763</v>
      </c>
      <c r="I34" s="48">
        <f t="shared" si="49"/>
        <v>44945.5</v>
      </c>
      <c r="J34" s="48">
        <f t="shared" si="49"/>
        <v>45128</v>
      </c>
      <c r="K34" s="141">
        <f t="shared" si="49"/>
        <v>45310.5</v>
      </c>
      <c r="L34" s="48">
        <f t="shared" si="49"/>
        <v>45493</v>
      </c>
      <c r="M34" s="48">
        <f t="shared" si="49"/>
        <v>45675.5</v>
      </c>
      <c r="N34" s="48">
        <f t="shared" si="49"/>
        <v>45858</v>
      </c>
      <c r="O34" s="48">
        <f t="shared" si="49"/>
        <v>46040.5</v>
      </c>
      <c r="P34" s="48">
        <f t="shared" si="49"/>
        <v>46223</v>
      </c>
      <c r="Q34" s="48">
        <f t="shared" si="49"/>
        <v>46405.5</v>
      </c>
      <c r="R34" s="48">
        <f t="shared" si="49"/>
        <v>46588</v>
      </c>
      <c r="S34" s="48">
        <f t="shared" si="49"/>
        <v>46770.5</v>
      </c>
      <c r="T34" s="48">
        <f t="shared" si="49"/>
        <v>46953</v>
      </c>
      <c r="U34" s="48">
        <f t="shared" si="49"/>
        <v>47135.5</v>
      </c>
      <c r="V34" s="48">
        <f t="shared" si="49"/>
        <v>47318</v>
      </c>
      <c r="W34" s="48">
        <f t="shared" si="49"/>
        <v>47500.5</v>
      </c>
      <c r="X34" s="48">
        <f t="shared" si="49"/>
        <v>47683</v>
      </c>
      <c r="Y34" s="48">
        <f t="shared" si="49"/>
        <v>47865.5</v>
      </c>
      <c r="Z34" s="48">
        <f t="shared" si="49"/>
        <v>48048</v>
      </c>
      <c r="AA34" s="48">
        <f t="shared" si="49"/>
        <v>48230.5</v>
      </c>
      <c r="AB34" s="48">
        <f t="shared" si="49"/>
        <v>48413</v>
      </c>
      <c r="AC34" s="48">
        <f t="shared" si="49"/>
        <v>48595.5</v>
      </c>
      <c r="AD34" s="48">
        <f t="shared" si="49"/>
        <v>48778</v>
      </c>
      <c r="AE34" s="48">
        <f t="shared" si="49"/>
        <v>48960.5</v>
      </c>
      <c r="AF34" s="48">
        <f t="shared" si="49"/>
        <v>49143</v>
      </c>
      <c r="AG34" s="48">
        <f t="shared" si="49"/>
        <v>49325.5</v>
      </c>
      <c r="AH34" s="48">
        <f t="shared" si="49"/>
        <v>49508</v>
      </c>
      <c r="AI34" s="48">
        <f t="shared" ref="AI34:BN34" si="50">AH34+IF($G8=1,365,182.5)</f>
        <v>49690.5</v>
      </c>
      <c r="AJ34" s="48">
        <f t="shared" si="50"/>
        <v>49873</v>
      </c>
      <c r="AK34" s="48">
        <f t="shared" si="50"/>
        <v>50055.5</v>
      </c>
      <c r="AL34" s="48">
        <f t="shared" si="50"/>
        <v>50238</v>
      </c>
      <c r="AM34" s="48">
        <f t="shared" si="50"/>
        <v>50420.5</v>
      </c>
      <c r="AN34" s="48">
        <f t="shared" si="50"/>
        <v>50603</v>
      </c>
      <c r="AO34" s="48">
        <f t="shared" si="50"/>
        <v>50785.5</v>
      </c>
      <c r="AP34" s="48">
        <f t="shared" si="50"/>
        <v>50968</v>
      </c>
      <c r="AQ34" s="48">
        <f t="shared" si="50"/>
        <v>51150.5</v>
      </c>
      <c r="AR34" s="48">
        <f t="shared" si="50"/>
        <v>51333</v>
      </c>
      <c r="AS34" s="48">
        <f t="shared" si="50"/>
        <v>51515.5</v>
      </c>
      <c r="AT34" s="48">
        <f t="shared" si="50"/>
        <v>51698</v>
      </c>
      <c r="AU34" s="48">
        <f t="shared" si="50"/>
        <v>51880.5</v>
      </c>
      <c r="AV34" s="48">
        <f t="shared" si="50"/>
        <v>52063</v>
      </c>
      <c r="AW34" s="48">
        <f t="shared" si="50"/>
        <v>52245.5</v>
      </c>
      <c r="AX34" s="48">
        <f t="shared" si="50"/>
        <v>52428</v>
      </c>
      <c r="AY34" s="48">
        <f t="shared" si="50"/>
        <v>52610.5</v>
      </c>
      <c r="AZ34" s="48">
        <f t="shared" si="50"/>
        <v>52793</v>
      </c>
      <c r="BA34" s="48">
        <f t="shared" si="50"/>
        <v>52975.5</v>
      </c>
      <c r="BB34" s="48">
        <f t="shared" si="50"/>
        <v>53158</v>
      </c>
      <c r="BC34" s="48">
        <f t="shared" si="50"/>
        <v>53340.5</v>
      </c>
      <c r="BD34" s="48">
        <f t="shared" si="50"/>
        <v>53523</v>
      </c>
      <c r="BE34" s="48">
        <f t="shared" si="50"/>
        <v>53705.5</v>
      </c>
      <c r="BF34" s="48">
        <f t="shared" si="50"/>
        <v>53888</v>
      </c>
      <c r="BG34" s="48">
        <f t="shared" si="50"/>
        <v>54070.5</v>
      </c>
      <c r="BH34" s="48">
        <f t="shared" si="50"/>
        <v>54253</v>
      </c>
      <c r="BI34" s="48">
        <f t="shared" si="50"/>
        <v>54435.5</v>
      </c>
      <c r="BJ34" s="48">
        <f t="shared" si="50"/>
        <v>54618</v>
      </c>
      <c r="BK34" s="48">
        <f t="shared" si="50"/>
        <v>54800.5</v>
      </c>
      <c r="BL34" s="48">
        <f t="shared" si="50"/>
        <v>54983</v>
      </c>
      <c r="BM34" s="48">
        <f t="shared" si="50"/>
        <v>55165.5</v>
      </c>
      <c r="BN34" s="48">
        <f t="shared" si="50"/>
        <v>55348</v>
      </c>
      <c r="BO34" s="48">
        <f t="shared" ref="BO34:CB34" si="51">BN34+IF($G8=1,365,182.5)</f>
        <v>55530.5</v>
      </c>
      <c r="BP34" s="48">
        <f t="shared" si="51"/>
        <v>55713</v>
      </c>
      <c r="BQ34" s="48">
        <f t="shared" si="51"/>
        <v>55895.5</v>
      </c>
      <c r="BR34" s="48">
        <f t="shared" si="51"/>
        <v>56078</v>
      </c>
      <c r="BS34" s="48">
        <f t="shared" si="51"/>
        <v>56260.5</v>
      </c>
      <c r="BT34" s="48">
        <f t="shared" si="51"/>
        <v>56443</v>
      </c>
      <c r="BU34" s="48">
        <f t="shared" si="51"/>
        <v>56625.5</v>
      </c>
      <c r="BV34" s="48">
        <f t="shared" si="51"/>
        <v>56808</v>
      </c>
      <c r="BW34" s="48">
        <f t="shared" si="51"/>
        <v>56990.5</v>
      </c>
      <c r="BX34" s="48">
        <f t="shared" si="51"/>
        <v>57173</v>
      </c>
      <c r="BY34" s="48">
        <f t="shared" si="51"/>
        <v>57355.5</v>
      </c>
      <c r="BZ34" s="48">
        <f t="shared" si="51"/>
        <v>57538</v>
      </c>
      <c r="CA34" s="48">
        <f t="shared" si="51"/>
        <v>57720.5</v>
      </c>
      <c r="CB34" s="49">
        <f t="shared" si="51"/>
        <v>57903</v>
      </c>
    </row>
    <row r="35" spans="1:80">
      <c r="A35" s="168" t="s">
        <v>26</v>
      </c>
      <c r="B35" s="108">
        <f>(IF(B34=F8,100,0)+IF(G8=1,1,0.5)*J8*100)*IF(ISBLANK(F8)=TRUE,0,1)</f>
        <v>0.375</v>
      </c>
      <c r="C35" s="50">
        <f t="shared" ref="C35:AH35" si="52">IF(C34&gt;$F8+1,0,1)*(IF(D35=0,100,0)+IF($G8=1,1,0.5)*$J8*100)</f>
        <v>0.375</v>
      </c>
      <c r="D35" s="50">
        <f t="shared" si="52"/>
        <v>0.375</v>
      </c>
      <c r="E35" s="50">
        <f t="shared" si="52"/>
        <v>0.375</v>
      </c>
      <c r="F35" s="50">
        <f t="shared" si="52"/>
        <v>0.375</v>
      </c>
      <c r="G35" s="50">
        <f t="shared" si="52"/>
        <v>0.375</v>
      </c>
      <c r="H35" s="50">
        <f t="shared" si="52"/>
        <v>0.375</v>
      </c>
      <c r="I35" s="50">
        <f t="shared" si="52"/>
        <v>0.375</v>
      </c>
      <c r="J35" s="50">
        <f t="shared" si="52"/>
        <v>100.375</v>
      </c>
      <c r="K35" s="50">
        <f t="shared" si="52"/>
        <v>0</v>
      </c>
      <c r="L35" s="50">
        <f t="shared" si="52"/>
        <v>0</v>
      </c>
      <c r="M35" s="50">
        <f t="shared" si="52"/>
        <v>0</v>
      </c>
      <c r="N35" s="50">
        <f t="shared" si="52"/>
        <v>0</v>
      </c>
      <c r="O35" s="50">
        <f t="shared" si="52"/>
        <v>0</v>
      </c>
      <c r="P35" s="50">
        <f t="shared" si="52"/>
        <v>0</v>
      </c>
      <c r="Q35" s="50">
        <f t="shared" si="52"/>
        <v>0</v>
      </c>
      <c r="R35" s="50">
        <f t="shared" si="52"/>
        <v>0</v>
      </c>
      <c r="S35" s="50">
        <f t="shared" si="52"/>
        <v>0</v>
      </c>
      <c r="T35" s="50">
        <f t="shared" si="52"/>
        <v>0</v>
      </c>
      <c r="U35" s="50">
        <f t="shared" si="52"/>
        <v>0</v>
      </c>
      <c r="V35" s="50">
        <f t="shared" si="52"/>
        <v>0</v>
      </c>
      <c r="W35" s="50">
        <f t="shared" si="52"/>
        <v>0</v>
      </c>
      <c r="X35" s="50">
        <f t="shared" si="52"/>
        <v>0</v>
      </c>
      <c r="Y35" s="50">
        <f t="shared" si="52"/>
        <v>0</v>
      </c>
      <c r="Z35" s="50">
        <f t="shared" si="52"/>
        <v>0</v>
      </c>
      <c r="AA35" s="50">
        <f t="shared" si="52"/>
        <v>0</v>
      </c>
      <c r="AB35" s="50">
        <f t="shared" si="52"/>
        <v>0</v>
      </c>
      <c r="AC35" s="50">
        <f t="shared" si="52"/>
        <v>0</v>
      </c>
      <c r="AD35" s="50">
        <f t="shared" si="52"/>
        <v>0</v>
      </c>
      <c r="AE35" s="50">
        <f t="shared" si="52"/>
        <v>0</v>
      </c>
      <c r="AF35" s="50">
        <f t="shared" si="52"/>
        <v>0</v>
      </c>
      <c r="AG35" s="50">
        <f t="shared" si="52"/>
        <v>0</v>
      </c>
      <c r="AH35" s="50">
        <f t="shared" si="52"/>
        <v>0</v>
      </c>
      <c r="AI35" s="50">
        <f t="shared" ref="AI35:BN35" si="53">IF(AI34&gt;$F8+1,0,1)*(IF(AJ35=0,100,0)+IF($G8=1,1,0.5)*$J8*100)</f>
        <v>0</v>
      </c>
      <c r="AJ35" s="50">
        <f t="shared" si="53"/>
        <v>0</v>
      </c>
      <c r="AK35" s="50">
        <f t="shared" si="53"/>
        <v>0</v>
      </c>
      <c r="AL35" s="50">
        <f t="shared" si="53"/>
        <v>0</v>
      </c>
      <c r="AM35" s="50">
        <f t="shared" si="53"/>
        <v>0</v>
      </c>
      <c r="AN35" s="50">
        <f t="shared" si="53"/>
        <v>0</v>
      </c>
      <c r="AO35" s="50">
        <f t="shared" si="53"/>
        <v>0</v>
      </c>
      <c r="AP35" s="50">
        <f t="shared" si="53"/>
        <v>0</v>
      </c>
      <c r="AQ35" s="50">
        <f t="shared" si="53"/>
        <v>0</v>
      </c>
      <c r="AR35" s="50">
        <f t="shared" si="53"/>
        <v>0</v>
      </c>
      <c r="AS35" s="50">
        <f t="shared" si="53"/>
        <v>0</v>
      </c>
      <c r="AT35" s="50">
        <f t="shared" si="53"/>
        <v>0</v>
      </c>
      <c r="AU35" s="50">
        <f t="shared" si="53"/>
        <v>0</v>
      </c>
      <c r="AV35" s="50">
        <f t="shared" si="53"/>
        <v>0</v>
      </c>
      <c r="AW35" s="50">
        <f t="shared" si="53"/>
        <v>0</v>
      </c>
      <c r="AX35" s="50">
        <f t="shared" si="53"/>
        <v>0</v>
      </c>
      <c r="AY35" s="50">
        <f t="shared" si="53"/>
        <v>0</v>
      </c>
      <c r="AZ35" s="50">
        <f t="shared" si="53"/>
        <v>0</v>
      </c>
      <c r="BA35" s="50">
        <f t="shared" si="53"/>
        <v>0</v>
      </c>
      <c r="BB35" s="50">
        <f t="shared" si="53"/>
        <v>0</v>
      </c>
      <c r="BC35" s="50">
        <f t="shared" si="53"/>
        <v>0</v>
      </c>
      <c r="BD35" s="50">
        <f t="shared" si="53"/>
        <v>0</v>
      </c>
      <c r="BE35" s="50">
        <f t="shared" si="53"/>
        <v>0</v>
      </c>
      <c r="BF35" s="50">
        <f t="shared" si="53"/>
        <v>0</v>
      </c>
      <c r="BG35" s="50">
        <f t="shared" si="53"/>
        <v>0</v>
      </c>
      <c r="BH35" s="50">
        <f t="shared" si="53"/>
        <v>0</v>
      </c>
      <c r="BI35" s="50">
        <f t="shared" si="53"/>
        <v>0</v>
      </c>
      <c r="BJ35" s="50">
        <f t="shared" si="53"/>
        <v>0</v>
      </c>
      <c r="BK35" s="50">
        <f t="shared" si="53"/>
        <v>0</v>
      </c>
      <c r="BL35" s="50">
        <f t="shared" si="53"/>
        <v>0</v>
      </c>
      <c r="BM35" s="50">
        <f t="shared" si="53"/>
        <v>0</v>
      </c>
      <c r="BN35" s="50">
        <f t="shared" si="53"/>
        <v>0</v>
      </c>
      <c r="BO35" s="50">
        <f t="shared" ref="BO35:CB35" si="54">IF(BO34&gt;$F8+1,0,1)*(IF(BP35=0,100,0)+IF($G8=1,1,0.5)*$J8*100)</f>
        <v>0</v>
      </c>
      <c r="BP35" s="50">
        <f t="shared" si="54"/>
        <v>0</v>
      </c>
      <c r="BQ35" s="50">
        <f t="shared" si="54"/>
        <v>0</v>
      </c>
      <c r="BR35" s="50">
        <f t="shared" si="54"/>
        <v>0</v>
      </c>
      <c r="BS35" s="50">
        <f t="shared" si="54"/>
        <v>0</v>
      </c>
      <c r="BT35" s="50">
        <f t="shared" si="54"/>
        <v>0</v>
      </c>
      <c r="BU35" s="50">
        <f t="shared" si="54"/>
        <v>0</v>
      </c>
      <c r="BV35" s="50">
        <f t="shared" si="54"/>
        <v>0</v>
      </c>
      <c r="BW35" s="50">
        <f t="shared" si="54"/>
        <v>0</v>
      </c>
      <c r="BX35" s="50">
        <f t="shared" si="54"/>
        <v>0</v>
      </c>
      <c r="BY35" s="50">
        <f t="shared" si="54"/>
        <v>0</v>
      </c>
      <c r="BZ35" s="50">
        <f t="shared" si="54"/>
        <v>0</v>
      </c>
      <c r="CA35" s="50">
        <f t="shared" si="54"/>
        <v>0</v>
      </c>
      <c r="CB35" s="51">
        <f t="shared" si="54"/>
        <v>0</v>
      </c>
    </row>
    <row r="36" spans="1:80">
      <c r="A36" s="259" t="s">
        <v>49</v>
      </c>
      <c r="B36" s="52" t="str">
        <f>IF(E9=0,F9,E9)</f>
        <v>10/22/2019</v>
      </c>
      <c r="C36" s="53">
        <f t="shared" ref="C36:AH36" si="55">B36+IF($G9=1,365,182.5)</f>
        <v>43942.5</v>
      </c>
      <c r="D36" s="53">
        <f t="shared" si="55"/>
        <v>44125</v>
      </c>
      <c r="E36" s="53">
        <f t="shared" si="55"/>
        <v>44307.5</v>
      </c>
      <c r="F36" s="53">
        <f t="shared" si="55"/>
        <v>44490</v>
      </c>
      <c r="G36" s="53">
        <f t="shared" si="55"/>
        <v>44672.5</v>
      </c>
      <c r="H36" s="53">
        <f t="shared" si="55"/>
        <v>44855</v>
      </c>
      <c r="I36" s="53">
        <f t="shared" si="55"/>
        <v>45037.5</v>
      </c>
      <c r="J36" s="53">
        <f t="shared" si="55"/>
        <v>45220</v>
      </c>
      <c r="K36" s="53">
        <f t="shared" si="55"/>
        <v>45402.5</v>
      </c>
      <c r="L36" s="53">
        <f t="shared" si="55"/>
        <v>45585</v>
      </c>
      <c r="M36" s="53">
        <f t="shared" si="55"/>
        <v>45767.5</v>
      </c>
      <c r="N36" s="53">
        <f t="shared" si="55"/>
        <v>45950</v>
      </c>
      <c r="O36" s="53">
        <f t="shared" si="55"/>
        <v>46132.5</v>
      </c>
      <c r="P36" s="53">
        <f t="shared" si="55"/>
        <v>46315</v>
      </c>
      <c r="Q36" s="53">
        <f t="shared" si="55"/>
        <v>46497.5</v>
      </c>
      <c r="R36" s="53">
        <f t="shared" si="55"/>
        <v>46680</v>
      </c>
      <c r="S36" s="53">
        <f t="shared" si="55"/>
        <v>46862.5</v>
      </c>
      <c r="T36" s="53">
        <f t="shared" si="55"/>
        <v>47045</v>
      </c>
      <c r="U36" s="53">
        <f t="shared" si="55"/>
        <v>47227.5</v>
      </c>
      <c r="V36" s="53">
        <f t="shared" si="55"/>
        <v>47410</v>
      </c>
      <c r="W36" s="53">
        <f t="shared" si="55"/>
        <v>47592.5</v>
      </c>
      <c r="X36" s="53">
        <f t="shared" si="55"/>
        <v>47775</v>
      </c>
      <c r="Y36" s="53">
        <f t="shared" si="55"/>
        <v>47957.5</v>
      </c>
      <c r="Z36" s="53">
        <f t="shared" si="55"/>
        <v>48140</v>
      </c>
      <c r="AA36" s="53">
        <f t="shared" si="55"/>
        <v>48322.5</v>
      </c>
      <c r="AB36" s="53">
        <f t="shared" si="55"/>
        <v>48505</v>
      </c>
      <c r="AC36" s="53">
        <f t="shared" si="55"/>
        <v>48687.5</v>
      </c>
      <c r="AD36" s="53">
        <f t="shared" si="55"/>
        <v>48870</v>
      </c>
      <c r="AE36" s="53">
        <f t="shared" si="55"/>
        <v>49052.5</v>
      </c>
      <c r="AF36" s="53">
        <f t="shared" si="55"/>
        <v>49235</v>
      </c>
      <c r="AG36" s="53">
        <f t="shared" si="55"/>
        <v>49417.5</v>
      </c>
      <c r="AH36" s="53">
        <f t="shared" si="55"/>
        <v>49600</v>
      </c>
      <c r="AI36" s="53">
        <f t="shared" ref="AI36:BN36" si="56">AH36+IF($G9=1,365,182.5)</f>
        <v>49782.5</v>
      </c>
      <c r="AJ36" s="53">
        <f t="shared" si="56"/>
        <v>49965</v>
      </c>
      <c r="AK36" s="53">
        <f t="shared" si="56"/>
        <v>50147.5</v>
      </c>
      <c r="AL36" s="53">
        <f t="shared" si="56"/>
        <v>50330</v>
      </c>
      <c r="AM36" s="53">
        <f t="shared" si="56"/>
        <v>50512.5</v>
      </c>
      <c r="AN36" s="53">
        <f t="shared" si="56"/>
        <v>50695</v>
      </c>
      <c r="AO36" s="53">
        <f t="shared" si="56"/>
        <v>50877.5</v>
      </c>
      <c r="AP36" s="53">
        <f t="shared" si="56"/>
        <v>51060</v>
      </c>
      <c r="AQ36" s="53">
        <f t="shared" si="56"/>
        <v>51242.5</v>
      </c>
      <c r="AR36" s="53">
        <f t="shared" si="56"/>
        <v>51425</v>
      </c>
      <c r="AS36" s="53">
        <f t="shared" si="56"/>
        <v>51607.5</v>
      </c>
      <c r="AT36" s="53">
        <f t="shared" si="56"/>
        <v>51790</v>
      </c>
      <c r="AU36" s="53">
        <f t="shared" si="56"/>
        <v>51972.5</v>
      </c>
      <c r="AV36" s="53">
        <f t="shared" si="56"/>
        <v>52155</v>
      </c>
      <c r="AW36" s="53">
        <f t="shared" si="56"/>
        <v>52337.5</v>
      </c>
      <c r="AX36" s="53">
        <f t="shared" si="56"/>
        <v>52520</v>
      </c>
      <c r="AY36" s="53">
        <f t="shared" si="56"/>
        <v>52702.5</v>
      </c>
      <c r="AZ36" s="53">
        <f t="shared" si="56"/>
        <v>52885</v>
      </c>
      <c r="BA36" s="53">
        <f t="shared" si="56"/>
        <v>53067.5</v>
      </c>
      <c r="BB36" s="53">
        <f t="shared" si="56"/>
        <v>53250</v>
      </c>
      <c r="BC36" s="53">
        <f t="shared" si="56"/>
        <v>53432.5</v>
      </c>
      <c r="BD36" s="53">
        <f t="shared" si="56"/>
        <v>53615</v>
      </c>
      <c r="BE36" s="53">
        <f t="shared" si="56"/>
        <v>53797.5</v>
      </c>
      <c r="BF36" s="53">
        <f t="shared" si="56"/>
        <v>53980</v>
      </c>
      <c r="BG36" s="53">
        <f t="shared" si="56"/>
        <v>54162.5</v>
      </c>
      <c r="BH36" s="53">
        <f t="shared" si="56"/>
        <v>54345</v>
      </c>
      <c r="BI36" s="53">
        <f t="shared" si="56"/>
        <v>54527.5</v>
      </c>
      <c r="BJ36" s="53">
        <f t="shared" si="56"/>
        <v>54710</v>
      </c>
      <c r="BK36" s="53">
        <f t="shared" si="56"/>
        <v>54892.5</v>
      </c>
      <c r="BL36" s="53">
        <f t="shared" si="56"/>
        <v>55075</v>
      </c>
      <c r="BM36" s="53">
        <f t="shared" si="56"/>
        <v>55257.5</v>
      </c>
      <c r="BN36" s="53">
        <f t="shared" si="56"/>
        <v>55440</v>
      </c>
      <c r="BO36" s="53">
        <f t="shared" ref="BO36:CB36" si="57">BN36+IF($G9=1,365,182.5)</f>
        <v>55622.5</v>
      </c>
      <c r="BP36" s="53">
        <f t="shared" si="57"/>
        <v>55805</v>
      </c>
      <c r="BQ36" s="53">
        <f t="shared" si="57"/>
        <v>55987.5</v>
      </c>
      <c r="BR36" s="53">
        <f t="shared" si="57"/>
        <v>56170</v>
      </c>
      <c r="BS36" s="53">
        <f t="shared" si="57"/>
        <v>56352.5</v>
      </c>
      <c r="BT36" s="53">
        <f t="shared" si="57"/>
        <v>56535</v>
      </c>
      <c r="BU36" s="53">
        <f t="shared" si="57"/>
        <v>56717.5</v>
      </c>
      <c r="BV36" s="53">
        <f t="shared" si="57"/>
        <v>56900</v>
      </c>
      <c r="BW36" s="53">
        <f t="shared" si="57"/>
        <v>57082.5</v>
      </c>
      <c r="BX36" s="53">
        <f t="shared" si="57"/>
        <v>57265</v>
      </c>
      <c r="BY36" s="53">
        <f t="shared" si="57"/>
        <v>57447.5</v>
      </c>
      <c r="BZ36" s="53">
        <f t="shared" si="57"/>
        <v>57630</v>
      </c>
      <c r="CA36" s="53">
        <f t="shared" si="57"/>
        <v>57812.5</v>
      </c>
      <c r="CB36" s="54">
        <f t="shared" si="57"/>
        <v>57995</v>
      </c>
    </row>
    <row r="37" spans="1:80">
      <c r="A37" s="169" t="s">
        <v>27</v>
      </c>
      <c r="B37" s="109">
        <f>(IF(B36=F9,100,0)+IF(G9=1,1,0.5)*J9*100)*IF(ISBLANK(F9)=TRUE,0,1)</f>
        <v>0.5</v>
      </c>
      <c r="C37" s="55">
        <f t="shared" ref="C37:AH37" si="58">IF(C36&gt;$F9+1,0,1)*(IF(D37=0,100,0)+IF($G9=1,1,0.5)*$J9*100)</f>
        <v>0.5</v>
      </c>
      <c r="D37" s="55">
        <f t="shared" si="58"/>
        <v>0.5</v>
      </c>
      <c r="E37" s="55">
        <f t="shared" si="58"/>
        <v>0.5</v>
      </c>
      <c r="F37" s="55">
        <f t="shared" si="58"/>
        <v>0.5</v>
      </c>
      <c r="G37" s="55">
        <f t="shared" si="58"/>
        <v>0.5</v>
      </c>
      <c r="H37" s="55">
        <f t="shared" si="58"/>
        <v>0.5</v>
      </c>
      <c r="I37" s="55">
        <f t="shared" si="58"/>
        <v>0.5</v>
      </c>
      <c r="J37" s="55">
        <f t="shared" si="58"/>
        <v>0.5</v>
      </c>
      <c r="K37" s="55">
        <f t="shared" si="58"/>
        <v>100.5</v>
      </c>
      <c r="L37" s="55">
        <f t="shared" si="58"/>
        <v>0</v>
      </c>
      <c r="M37" s="55">
        <f t="shared" si="58"/>
        <v>0</v>
      </c>
      <c r="N37" s="55">
        <f t="shared" si="58"/>
        <v>0</v>
      </c>
      <c r="O37" s="55">
        <f t="shared" si="58"/>
        <v>0</v>
      </c>
      <c r="P37" s="55">
        <f t="shared" si="58"/>
        <v>0</v>
      </c>
      <c r="Q37" s="55">
        <f t="shared" si="58"/>
        <v>0</v>
      </c>
      <c r="R37" s="55">
        <f t="shared" si="58"/>
        <v>0</v>
      </c>
      <c r="S37" s="55">
        <f t="shared" si="58"/>
        <v>0</v>
      </c>
      <c r="T37" s="55">
        <f t="shared" si="58"/>
        <v>0</v>
      </c>
      <c r="U37" s="55">
        <f t="shared" si="58"/>
        <v>0</v>
      </c>
      <c r="V37" s="55">
        <f t="shared" si="58"/>
        <v>0</v>
      </c>
      <c r="W37" s="55">
        <f t="shared" si="58"/>
        <v>0</v>
      </c>
      <c r="X37" s="55">
        <f t="shared" si="58"/>
        <v>0</v>
      </c>
      <c r="Y37" s="55">
        <f t="shared" si="58"/>
        <v>0</v>
      </c>
      <c r="Z37" s="55">
        <f t="shared" si="58"/>
        <v>0</v>
      </c>
      <c r="AA37" s="55">
        <f t="shared" si="58"/>
        <v>0</v>
      </c>
      <c r="AB37" s="55">
        <f t="shared" si="58"/>
        <v>0</v>
      </c>
      <c r="AC37" s="55">
        <f t="shared" si="58"/>
        <v>0</v>
      </c>
      <c r="AD37" s="55">
        <f t="shared" si="58"/>
        <v>0</v>
      </c>
      <c r="AE37" s="55">
        <f t="shared" si="58"/>
        <v>0</v>
      </c>
      <c r="AF37" s="55">
        <f t="shared" si="58"/>
        <v>0</v>
      </c>
      <c r="AG37" s="55">
        <f t="shared" si="58"/>
        <v>0</v>
      </c>
      <c r="AH37" s="55">
        <f t="shared" si="58"/>
        <v>0</v>
      </c>
      <c r="AI37" s="55">
        <f t="shared" ref="AI37:BN37" si="59">IF(AI36&gt;$F9+1,0,1)*(IF(AJ37=0,100,0)+IF($G9=1,1,0.5)*$J9*100)</f>
        <v>0</v>
      </c>
      <c r="AJ37" s="55">
        <f t="shared" si="59"/>
        <v>0</v>
      </c>
      <c r="AK37" s="55">
        <f t="shared" si="59"/>
        <v>0</v>
      </c>
      <c r="AL37" s="55">
        <f t="shared" si="59"/>
        <v>0</v>
      </c>
      <c r="AM37" s="55">
        <f t="shared" si="59"/>
        <v>0</v>
      </c>
      <c r="AN37" s="55">
        <f t="shared" si="59"/>
        <v>0</v>
      </c>
      <c r="AO37" s="55">
        <f t="shared" si="59"/>
        <v>0</v>
      </c>
      <c r="AP37" s="55">
        <f t="shared" si="59"/>
        <v>0</v>
      </c>
      <c r="AQ37" s="55">
        <f t="shared" si="59"/>
        <v>0</v>
      </c>
      <c r="AR37" s="55">
        <f t="shared" si="59"/>
        <v>0</v>
      </c>
      <c r="AS37" s="55">
        <f t="shared" si="59"/>
        <v>0</v>
      </c>
      <c r="AT37" s="55">
        <f t="shared" si="59"/>
        <v>0</v>
      </c>
      <c r="AU37" s="55">
        <f t="shared" si="59"/>
        <v>0</v>
      </c>
      <c r="AV37" s="55">
        <f t="shared" si="59"/>
        <v>0</v>
      </c>
      <c r="AW37" s="55">
        <f t="shared" si="59"/>
        <v>0</v>
      </c>
      <c r="AX37" s="55">
        <f t="shared" si="59"/>
        <v>0</v>
      </c>
      <c r="AY37" s="55">
        <f t="shared" si="59"/>
        <v>0</v>
      </c>
      <c r="AZ37" s="55">
        <f t="shared" si="59"/>
        <v>0</v>
      </c>
      <c r="BA37" s="55">
        <f t="shared" si="59"/>
        <v>0</v>
      </c>
      <c r="BB37" s="55">
        <f t="shared" si="59"/>
        <v>0</v>
      </c>
      <c r="BC37" s="55">
        <f t="shared" si="59"/>
        <v>0</v>
      </c>
      <c r="BD37" s="55">
        <f t="shared" si="59"/>
        <v>0</v>
      </c>
      <c r="BE37" s="55">
        <f t="shared" si="59"/>
        <v>0</v>
      </c>
      <c r="BF37" s="55">
        <f t="shared" si="59"/>
        <v>0</v>
      </c>
      <c r="BG37" s="55">
        <f t="shared" si="59"/>
        <v>0</v>
      </c>
      <c r="BH37" s="55">
        <f t="shared" si="59"/>
        <v>0</v>
      </c>
      <c r="BI37" s="55">
        <f t="shared" si="59"/>
        <v>0</v>
      </c>
      <c r="BJ37" s="55">
        <f t="shared" si="59"/>
        <v>0</v>
      </c>
      <c r="BK37" s="55">
        <f t="shared" si="59"/>
        <v>0</v>
      </c>
      <c r="BL37" s="55">
        <f t="shared" si="59"/>
        <v>0</v>
      </c>
      <c r="BM37" s="55">
        <f t="shared" si="59"/>
        <v>0</v>
      </c>
      <c r="BN37" s="55">
        <f t="shared" si="59"/>
        <v>0</v>
      </c>
      <c r="BO37" s="55">
        <f t="shared" ref="BO37:CB37" si="60">IF(BO36&gt;$F9+1,0,1)*(IF(BP37=0,100,0)+IF($G9=1,1,0.5)*$J9*100)</f>
        <v>0</v>
      </c>
      <c r="BP37" s="55">
        <f t="shared" si="60"/>
        <v>0</v>
      </c>
      <c r="BQ37" s="55">
        <f t="shared" si="60"/>
        <v>0</v>
      </c>
      <c r="BR37" s="55">
        <f t="shared" si="60"/>
        <v>0</v>
      </c>
      <c r="BS37" s="55">
        <f t="shared" si="60"/>
        <v>0</v>
      </c>
      <c r="BT37" s="55">
        <f t="shared" si="60"/>
        <v>0</v>
      </c>
      <c r="BU37" s="55">
        <f t="shared" si="60"/>
        <v>0</v>
      </c>
      <c r="BV37" s="55">
        <f t="shared" si="60"/>
        <v>0</v>
      </c>
      <c r="BW37" s="55">
        <f t="shared" si="60"/>
        <v>0</v>
      </c>
      <c r="BX37" s="55">
        <f t="shared" si="60"/>
        <v>0</v>
      </c>
      <c r="BY37" s="55">
        <f t="shared" si="60"/>
        <v>0</v>
      </c>
      <c r="BZ37" s="55">
        <f t="shared" si="60"/>
        <v>0</v>
      </c>
      <c r="CA37" s="55">
        <f t="shared" si="60"/>
        <v>0</v>
      </c>
      <c r="CB37" s="56">
        <f t="shared" si="60"/>
        <v>0</v>
      </c>
    </row>
    <row r="38" spans="1:80">
      <c r="A38" s="258" t="s">
        <v>49</v>
      </c>
      <c r="B38" s="149" t="str">
        <f>IF(E10=0,F10,E10)</f>
        <v>9/7/2019</v>
      </c>
      <c r="C38" s="150">
        <f t="shared" ref="C38:AH38" si="61">B38+IF($G10=1,365,182.5)</f>
        <v>43897.5</v>
      </c>
      <c r="D38" s="150">
        <f t="shared" si="61"/>
        <v>44080</v>
      </c>
      <c r="E38" s="150">
        <f t="shared" si="61"/>
        <v>44262.5</v>
      </c>
      <c r="F38" s="150">
        <f t="shared" si="61"/>
        <v>44445</v>
      </c>
      <c r="G38" s="150">
        <f t="shared" si="61"/>
        <v>44627.5</v>
      </c>
      <c r="H38" s="150">
        <f t="shared" si="61"/>
        <v>44810</v>
      </c>
      <c r="I38" s="150">
        <f t="shared" si="61"/>
        <v>44992.5</v>
      </c>
      <c r="J38" s="150">
        <f t="shared" si="61"/>
        <v>45175</v>
      </c>
      <c r="K38" s="150">
        <f t="shared" si="61"/>
        <v>45357.5</v>
      </c>
      <c r="L38" s="150">
        <f t="shared" si="61"/>
        <v>45540</v>
      </c>
      <c r="M38" s="150">
        <f t="shared" si="61"/>
        <v>45722.5</v>
      </c>
      <c r="N38" s="150">
        <f t="shared" si="61"/>
        <v>45905</v>
      </c>
      <c r="O38" s="150">
        <f t="shared" si="61"/>
        <v>46087.5</v>
      </c>
      <c r="P38" s="150">
        <f t="shared" si="61"/>
        <v>46270</v>
      </c>
      <c r="Q38" s="150">
        <f t="shared" si="61"/>
        <v>46452.5</v>
      </c>
      <c r="R38" s="150">
        <f t="shared" si="61"/>
        <v>46635</v>
      </c>
      <c r="S38" s="150">
        <f t="shared" si="61"/>
        <v>46817.5</v>
      </c>
      <c r="T38" s="150">
        <f t="shared" si="61"/>
        <v>47000</v>
      </c>
      <c r="U38" s="150">
        <f t="shared" si="61"/>
        <v>47182.5</v>
      </c>
      <c r="V38" s="150">
        <f t="shared" si="61"/>
        <v>47365</v>
      </c>
      <c r="W38" s="150">
        <f t="shared" si="61"/>
        <v>47547.5</v>
      </c>
      <c r="X38" s="150">
        <f t="shared" si="61"/>
        <v>47730</v>
      </c>
      <c r="Y38" s="150">
        <f t="shared" si="61"/>
        <v>47912.5</v>
      </c>
      <c r="Z38" s="150">
        <f t="shared" si="61"/>
        <v>48095</v>
      </c>
      <c r="AA38" s="150">
        <f t="shared" si="61"/>
        <v>48277.5</v>
      </c>
      <c r="AB38" s="150">
        <f t="shared" si="61"/>
        <v>48460</v>
      </c>
      <c r="AC38" s="150">
        <f t="shared" si="61"/>
        <v>48642.5</v>
      </c>
      <c r="AD38" s="150">
        <f t="shared" si="61"/>
        <v>48825</v>
      </c>
      <c r="AE38" s="150">
        <f t="shared" si="61"/>
        <v>49007.5</v>
      </c>
      <c r="AF38" s="150">
        <f t="shared" si="61"/>
        <v>49190</v>
      </c>
      <c r="AG38" s="150">
        <f t="shared" si="61"/>
        <v>49372.5</v>
      </c>
      <c r="AH38" s="150">
        <f t="shared" si="61"/>
        <v>49555</v>
      </c>
      <c r="AI38" s="150">
        <f t="shared" ref="AI38:BN38" si="62">AH38+IF($G10=1,365,182.5)</f>
        <v>49737.5</v>
      </c>
      <c r="AJ38" s="150">
        <f t="shared" si="62"/>
        <v>49920</v>
      </c>
      <c r="AK38" s="150">
        <f t="shared" si="62"/>
        <v>50102.5</v>
      </c>
      <c r="AL38" s="150">
        <f t="shared" si="62"/>
        <v>50285</v>
      </c>
      <c r="AM38" s="150">
        <f t="shared" si="62"/>
        <v>50467.5</v>
      </c>
      <c r="AN38" s="150">
        <f t="shared" si="62"/>
        <v>50650</v>
      </c>
      <c r="AO38" s="150">
        <f t="shared" si="62"/>
        <v>50832.5</v>
      </c>
      <c r="AP38" s="150">
        <f t="shared" si="62"/>
        <v>51015</v>
      </c>
      <c r="AQ38" s="150">
        <f t="shared" si="62"/>
        <v>51197.5</v>
      </c>
      <c r="AR38" s="150">
        <f t="shared" si="62"/>
        <v>51380</v>
      </c>
      <c r="AS38" s="150">
        <f t="shared" si="62"/>
        <v>51562.5</v>
      </c>
      <c r="AT38" s="150">
        <f t="shared" si="62"/>
        <v>51745</v>
      </c>
      <c r="AU38" s="150">
        <f t="shared" si="62"/>
        <v>51927.5</v>
      </c>
      <c r="AV38" s="150">
        <f t="shared" si="62"/>
        <v>52110</v>
      </c>
      <c r="AW38" s="150">
        <f t="shared" si="62"/>
        <v>52292.5</v>
      </c>
      <c r="AX38" s="150">
        <f t="shared" si="62"/>
        <v>52475</v>
      </c>
      <c r="AY38" s="150">
        <f t="shared" si="62"/>
        <v>52657.5</v>
      </c>
      <c r="AZ38" s="150">
        <f t="shared" si="62"/>
        <v>52840</v>
      </c>
      <c r="BA38" s="150">
        <f t="shared" si="62"/>
        <v>53022.5</v>
      </c>
      <c r="BB38" s="150">
        <f t="shared" si="62"/>
        <v>53205</v>
      </c>
      <c r="BC38" s="150">
        <f t="shared" si="62"/>
        <v>53387.5</v>
      </c>
      <c r="BD38" s="150">
        <f t="shared" si="62"/>
        <v>53570</v>
      </c>
      <c r="BE38" s="150">
        <f t="shared" si="62"/>
        <v>53752.5</v>
      </c>
      <c r="BF38" s="150">
        <f t="shared" si="62"/>
        <v>53935</v>
      </c>
      <c r="BG38" s="150">
        <f t="shared" si="62"/>
        <v>54117.5</v>
      </c>
      <c r="BH38" s="150">
        <f t="shared" si="62"/>
        <v>54300</v>
      </c>
      <c r="BI38" s="150">
        <f t="shared" si="62"/>
        <v>54482.5</v>
      </c>
      <c r="BJ38" s="150">
        <f t="shared" si="62"/>
        <v>54665</v>
      </c>
      <c r="BK38" s="150">
        <f t="shared" si="62"/>
        <v>54847.5</v>
      </c>
      <c r="BL38" s="150">
        <f t="shared" si="62"/>
        <v>55030</v>
      </c>
      <c r="BM38" s="150">
        <f t="shared" si="62"/>
        <v>55212.5</v>
      </c>
      <c r="BN38" s="150">
        <f t="shared" si="62"/>
        <v>55395</v>
      </c>
      <c r="BO38" s="150">
        <f t="shared" ref="BO38:CB38" si="63">BN38+IF($G10=1,365,182.5)</f>
        <v>55577.5</v>
      </c>
      <c r="BP38" s="150">
        <f t="shared" si="63"/>
        <v>55760</v>
      </c>
      <c r="BQ38" s="150">
        <f t="shared" si="63"/>
        <v>55942.5</v>
      </c>
      <c r="BR38" s="150">
        <f t="shared" si="63"/>
        <v>56125</v>
      </c>
      <c r="BS38" s="150">
        <f t="shared" si="63"/>
        <v>56307.5</v>
      </c>
      <c r="BT38" s="150">
        <f t="shared" si="63"/>
        <v>56490</v>
      </c>
      <c r="BU38" s="150">
        <f t="shared" si="63"/>
        <v>56672.5</v>
      </c>
      <c r="BV38" s="150">
        <f t="shared" si="63"/>
        <v>56855</v>
      </c>
      <c r="BW38" s="150">
        <f t="shared" si="63"/>
        <v>57037.5</v>
      </c>
      <c r="BX38" s="150">
        <f t="shared" si="63"/>
        <v>57220</v>
      </c>
      <c r="BY38" s="150">
        <f t="shared" si="63"/>
        <v>57402.5</v>
      </c>
      <c r="BZ38" s="150">
        <f t="shared" si="63"/>
        <v>57585</v>
      </c>
      <c r="CA38" s="150">
        <f t="shared" si="63"/>
        <v>57767.5</v>
      </c>
      <c r="CB38" s="151">
        <f t="shared" si="63"/>
        <v>57950</v>
      </c>
    </row>
    <row r="39" spans="1:80">
      <c r="A39" s="170" t="s">
        <v>17</v>
      </c>
      <c r="B39" s="152">
        <f>(IF(B38=F10,100,0)+IF(G10=1,1,0.5)*J10*100)*IF(ISBLANK(F10)=TRUE,0,1)</f>
        <v>1</v>
      </c>
      <c r="C39" s="153">
        <f t="shared" ref="C39:AH39" si="64">IF(C38&gt;$F10+1,0,1)*(IF(D39=0,100,0)+IF($G10=1,1,0.5)*$J10*100)</f>
        <v>1</v>
      </c>
      <c r="D39" s="153">
        <f t="shared" si="64"/>
        <v>1</v>
      </c>
      <c r="E39" s="153">
        <f t="shared" si="64"/>
        <v>1</v>
      </c>
      <c r="F39" s="153">
        <f t="shared" si="64"/>
        <v>1</v>
      </c>
      <c r="G39" s="153">
        <f t="shared" si="64"/>
        <v>1</v>
      </c>
      <c r="H39" s="153">
        <f t="shared" si="64"/>
        <v>1</v>
      </c>
      <c r="I39" s="153">
        <f t="shared" si="64"/>
        <v>1</v>
      </c>
      <c r="J39" s="153">
        <f t="shared" si="64"/>
        <v>1</v>
      </c>
      <c r="K39" s="153">
        <f t="shared" si="64"/>
        <v>1</v>
      </c>
      <c r="L39" s="153">
        <f t="shared" si="64"/>
        <v>1</v>
      </c>
      <c r="M39" s="153">
        <f t="shared" si="64"/>
        <v>1</v>
      </c>
      <c r="N39" s="153">
        <f t="shared" si="64"/>
        <v>101</v>
      </c>
      <c r="O39" s="153">
        <f t="shared" si="64"/>
        <v>0</v>
      </c>
      <c r="P39" s="153">
        <f t="shared" si="64"/>
        <v>0</v>
      </c>
      <c r="Q39" s="153">
        <f t="shared" si="64"/>
        <v>0</v>
      </c>
      <c r="R39" s="153">
        <f t="shared" si="64"/>
        <v>0</v>
      </c>
      <c r="S39" s="153">
        <f t="shared" si="64"/>
        <v>0</v>
      </c>
      <c r="T39" s="153">
        <f t="shared" si="64"/>
        <v>0</v>
      </c>
      <c r="U39" s="153">
        <f t="shared" si="64"/>
        <v>0</v>
      </c>
      <c r="V39" s="153">
        <f t="shared" si="64"/>
        <v>0</v>
      </c>
      <c r="W39" s="153">
        <f t="shared" si="64"/>
        <v>0</v>
      </c>
      <c r="X39" s="153">
        <f t="shared" si="64"/>
        <v>0</v>
      </c>
      <c r="Y39" s="153">
        <f t="shared" si="64"/>
        <v>0</v>
      </c>
      <c r="Z39" s="153">
        <f t="shared" si="64"/>
        <v>0</v>
      </c>
      <c r="AA39" s="153">
        <f t="shared" si="64"/>
        <v>0</v>
      </c>
      <c r="AB39" s="153">
        <f t="shared" si="64"/>
        <v>0</v>
      </c>
      <c r="AC39" s="153">
        <f t="shared" si="64"/>
        <v>0</v>
      </c>
      <c r="AD39" s="153">
        <f t="shared" si="64"/>
        <v>0</v>
      </c>
      <c r="AE39" s="153">
        <f t="shared" si="64"/>
        <v>0</v>
      </c>
      <c r="AF39" s="153">
        <f t="shared" si="64"/>
        <v>0</v>
      </c>
      <c r="AG39" s="153">
        <f t="shared" si="64"/>
        <v>0</v>
      </c>
      <c r="AH39" s="153">
        <f t="shared" si="64"/>
        <v>0</v>
      </c>
      <c r="AI39" s="153">
        <f t="shared" ref="AI39:BN39" si="65">IF(AI38&gt;$F10+1,0,1)*(IF(AJ39=0,100,0)+IF($G10=1,1,0.5)*$J10*100)</f>
        <v>0</v>
      </c>
      <c r="AJ39" s="153">
        <f t="shared" si="65"/>
        <v>0</v>
      </c>
      <c r="AK39" s="153">
        <f t="shared" si="65"/>
        <v>0</v>
      </c>
      <c r="AL39" s="153">
        <f t="shared" si="65"/>
        <v>0</v>
      </c>
      <c r="AM39" s="153">
        <f t="shared" si="65"/>
        <v>0</v>
      </c>
      <c r="AN39" s="153">
        <f t="shared" si="65"/>
        <v>0</v>
      </c>
      <c r="AO39" s="153">
        <f t="shared" si="65"/>
        <v>0</v>
      </c>
      <c r="AP39" s="153">
        <f t="shared" si="65"/>
        <v>0</v>
      </c>
      <c r="AQ39" s="153">
        <f t="shared" si="65"/>
        <v>0</v>
      </c>
      <c r="AR39" s="153">
        <f t="shared" si="65"/>
        <v>0</v>
      </c>
      <c r="AS39" s="153">
        <f t="shared" si="65"/>
        <v>0</v>
      </c>
      <c r="AT39" s="153">
        <f t="shared" si="65"/>
        <v>0</v>
      </c>
      <c r="AU39" s="153">
        <f t="shared" si="65"/>
        <v>0</v>
      </c>
      <c r="AV39" s="153">
        <f t="shared" si="65"/>
        <v>0</v>
      </c>
      <c r="AW39" s="153">
        <f t="shared" si="65"/>
        <v>0</v>
      </c>
      <c r="AX39" s="153">
        <f t="shared" si="65"/>
        <v>0</v>
      </c>
      <c r="AY39" s="153">
        <f t="shared" si="65"/>
        <v>0</v>
      </c>
      <c r="AZ39" s="153">
        <f t="shared" si="65"/>
        <v>0</v>
      </c>
      <c r="BA39" s="153">
        <f t="shared" si="65"/>
        <v>0</v>
      </c>
      <c r="BB39" s="153">
        <f t="shared" si="65"/>
        <v>0</v>
      </c>
      <c r="BC39" s="153">
        <f t="shared" si="65"/>
        <v>0</v>
      </c>
      <c r="BD39" s="153">
        <f t="shared" si="65"/>
        <v>0</v>
      </c>
      <c r="BE39" s="153">
        <f t="shared" si="65"/>
        <v>0</v>
      </c>
      <c r="BF39" s="153">
        <f t="shared" si="65"/>
        <v>0</v>
      </c>
      <c r="BG39" s="153">
        <f t="shared" si="65"/>
        <v>0</v>
      </c>
      <c r="BH39" s="153">
        <f t="shared" si="65"/>
        <v>0</v>
      </c>
      <c r="BI39" s="153">
        <f t="shared" si="65"/>
        <v>0</v>
      </c>
      <c r="BJ39" s="153">
        <f t="shared" si="65"/>
        <v>0</v>
      </c>
      <c r="BK39" s="153">
        <f t="shared" si="65"/>
        <v>0</v>
      </c>
      <c r="BL39" s="153">
        <f t="shared" si="65"/>
        <v>0</v>
      </c>
      <c r="BM39" s="153">
        <f t="shared" si="65"/>
        <v>0</v>
      </c>
      <c r="BN39" s="153">
        <f t="shared" si="65"/>
        <v>0</v>
      </c>
      <c r="BO39" s="153">
        <f t="shared" ref="BO39:CB39" si="66">IF(BO38&gt;$F10+1,0,1)*(IF(BP39=0,100,0)+IF($G10=1,1,0.5)*$J10*100)</f>
        <v>0</v>
      </c>
      <c r="BP39" s="153">
        <f t="shared" si="66"/>
        <v>0</v>
      </c>
      <c r="BQ39" s="153">
        <f t="shared" si="66"/>
        <v>0</v>
      </c>
      <c r="BR39" s="153">
        <f t="shared" si="66"/>
        <v>0</v>
      </c>
      <c r="BS39" s="153">
        <f t="shared" si="66"/>
        <v>0</v>
      </c>
      <c r="BT39" s="153">
        <f t="shared" si="66"/>
        <v>0</v>
      </c>
      <c r="BU39" s="153">
        <f t="shared" si="66"/>
        <v>0</v>
      </c>
      <c r="BV39" s="153">
        <f t="shared" si="66"/>
        <v>0</v>
      </c>
      <c r="BW39" s="153">
        <f t="shared" si="66"/>
        <v>0</v>
      </c>
      <c r="BX39" s="153">
        <f t="shared" si="66"/>
        <v>0</v>
      </c>
      <c r="BY39" s="153">
        <f t="shared" si="66"/>
        <v>0</v>
      </c>
      <c r="BZ39" s="153">
        <f t="shared" si="66"/>
        <v>0</v>
      </c>
      <c r="CA39" s="153">
        <f t="shared" si="66"/>
        <v>0</v>
      </c>
      <c r="CB39" s="155">
        <f t="shared" si="66"/>
        <v>0</v>
      </c>
    </row>
    <row r="40" spans="1:80">
      <c r="A40" s="257" t="s">
        <v>49</v>
      </c>
      <c r="B40" s="57" t="str">
        <f>IF(E11=0,F11,E11)</f>
        <v>7/22/2019</v>
      </c>
      <c r="C40" s="58">
        <f t="shared" ref="C40:AH40" si="67">B40+IF($G11=1,365,182.5)</f>
        <v>43850.5</v>
      </c>
      <c r="D40" s="58">
        <f t="shared" si="67"/>
        <v>44033</v>
      </c>
      <c r="E40" s="58">
        <f t="shared" si="67"/>
        <v>44215.5</v>
      </c>
      <c r="F40" s="58">
        <f t="shared" si="67"/>
        <v>44398</v>
      </c>
      <c r="G40" s="58">
        <f t="shared" si="67"/>
        <v>44580.5</v>
      </c>
      <c r="H40" s="58">
        <f t="shared" si="67"/>
        <v>44763</v>
      </c>
      <c r="I40" s="58">
        <f t="shared" si="67"/>
        <v>44945.5</v>
      </c>
      <c r="J40" s="58">
        <f t="shared" si="67"/>
        <v>45128</v>
      </c>
      <c r="K40" s="58">
        <f t="shared" si="67"/>
        <v>45310.5</v>
      </c>
      <c r="L40" s="58">
        <f t="shared" si="67"/>
        <v>45493</v>
      </c>
      <c r="M40" s="58">
        <f t="shared" si="67"/>
        <v>45675.5</v>
      </c>
      <c r="N40" s="58">
        <f t="shared" si="67"/>
        <v>45858</v>
      </c>
      <c r="O40" s="58">
        <f t="shared" si="67"/>
        <v>46040.5</v>
      </c>
      <c r="P40" s="58">
        <f t="shared" si="67"/>
        <v>46223</v>
      </c>
      <c r="Q40" s="58">
        <f t="shared" si="67"/>
        <v>46405.5</v>
      </c>
      <c r="R40" s="58">
        <f t="shared" si="67"/>
        <v>46588</v>
      </c>
      <c r="S40" s="58">
        <f t="shared" si="67"/>
        <v>46770.5</v>
      </c>
      <c r="T40" s="58">
        <f t="shared" si="67"/>
        <v>46953</v>
      </c>
      <c r="U40" s="58">
        <f t="shared" si="67"/>
        <v>47135.5</v>
      </c>
      <c r="V40" s="58">
        <f t="shared" si="67"/>
        <v>47318</v>
      </c>
      <c r="W40" s="58">
        <f t="shared" si="67"/>
        <v>47500.5</v>
      </c>
      <c r="X40" s="58">
        <f t="shared" si="67"/>
        <v>47683</v>
      </c>
      <c r="Y40" s="58">
        <f t="shared" si="67"/>
        <v>47865.5</v>
      </c>
      <c r="Z40" s="58">
        <f t="shared" si="67"/>
        <v>48048</v>
      </c>
      <c r="AA40" s="58">
        <f t="shared" si="67"/>
        <v>48230.5</v>
      </c>
      <c r="AB40" s="58">
        <f t="shared" si="67"/>
        <v>48413</v>
      </c>
      <c r="AC40" s="58">
        <f t="shared" si="67"/>
        <v>48595.5</v>
      </c>
      <c r="AD40" s="58">
        <f t="shared" si="67"/>
        <v>48778</v>
      </c>
      <c r="AE40" s="58">
        <f t="shared" si="67"/>
        <v>48960.5</v>
      </c>
      <c r="AF40" s="58">
        <f t="shared" si="67"/>
        <v>49143</v>
      </c>
      <c r="AG40" s="58">
        <f t="shared" si="67"/>
        <v>49325.5</v>
      </c>
      <c r="AH40" s="58">
        <f t="shared" si="67"/>
        <v>49508</v>
      </c>
      <c r="AI40" s="58">
        <f t="shared" ref="AI40:BN40" si="68">AH40+IF($G11=1,365,182.5)</f>
        <v>49690.5</v>
      </c>
      <c r="AJ40" s="58">
        <f t="shared" si="68"/>
        <v>49873</v>
      </c>
      <c r="AK40" s="58">
        <f t="shared" si="68"/>
        <v>50055.5</v>
      </c>
      <c r="AL40" s="58">
        <f t="shared" si="68"/>
        <v>50238</v>
      </c>
      <c r="AM40" s="58">
        <f t="shared" si="68"/>
        <v>50420.5</v>
      </c>
      <c r="AN40" s="58">
        <f t="shared" si="68"/>
        <v>50603</v>
      </c>
      <c r="AO40" s="58">
        <f t="shared" si="68"/>
        <v>50785.5</v>
      </c>
      <c r="AP40" s="58">
        <f t="shared" si="68"/>
        <v>50968</v>
      </c>
      <c r="AQ40" s="58">
        <f t="shared" si="68"/>
        <v>51150.5</v>
      </c>
      <c r="AR40" s="58">
        <f t="shared" si="68"/>
        <v>51333</v>
      </c>
      <c r="AS40" s="58">
        <f t="shared" si="68"/>
        <v>51515.5</v>
      </c>
      <c r="AT40" s="58">
        <f t="shared" si="68"/>
        <v>51698</v>
      </c>
      <c r="AU40" s="58">
        <f t="shared" si="68"/>
        <v>51880.5</v>
      </c>
      <c r="AV40" s="58">
        <f t="shared" si="68"/>
        <v>52063</v>
      </c>
      <c r="AW40" s="58">
        <f t="shared" si="68"/>
        <v>52245.5</v>
      </c>
      <c r="AX40" s="58">
        <f t="shared" si="68"/>
        <v>52428</v>
      </c>
      <c r="AY40" s="58">
        <f t="shared" si="68"/>
        <v>52610.5</v>
      </c>
      <c r="AZ40" s="58">
        <f t="shared" si="68"/>
        <v>52793</v>
      </c>
      <c r="BA40" s="58">
        <f t="shared" si="68"/>
        <v>52975.5</v>
      </c>
      <c r="BB40" s="58">
        <f t="shared" si="68"/>
        <v>53158</v>
      </c>
      <c r="BC40" s="58">
        <f t="shared" si="68"/>
        <v>53340.5</v>
      </c>
      <c r="BD40" s="58">
        <f t="shared" si="68"/>
        <v>53523</v>
      </c>
      <c r="BE40" s="58">
        <f t="shared" si="68"/>
        <v>53705.5</v>
      </c>
      <c r="BF40" s="58">
        <f t="shared" si="68"/>
        <v>53888</v>
      </c>
      <c r="BG40" s="58">
        <f t="shared" si="68"/>
        <v>54070.5</v>
      </c>
      <c r="BH40" s="58">
        <f t="shared" si="68"/>
        <v>54253</v>
      </c>
      <c r="BI40" s="58">
        <f t="shared" si="68"/>
        <v>54435.5</v>
      </c>
      <c r="BJ40" s="58">
        <f t="shared" si="68"/>
        <v>54618</v>
      </c>
      <c r="BK40" s="58">
        <f t="shared" si="68"/>
        <v>54800.5</v>
      </c>
      <c r="BL40" s="58">
        <f t="shared" si="68"/>
        <v>54983</v>
      </c>
      <c r="BM40" s="58">
        <f t="shared" si="68"/>
        <v>55165.5</v>
      </c>
      <c r="BN40" s="58">
        <f t="shared" si="68"/>
        <v>55348</v>
      </c>
      <c r="BO40" s="58">
        <f t="shared" ref="BO40:CB40" si="69">BN40+IF($G11=1,365,182.5)</f>
        <v>55530.5</v>
      </c>
      <c r="BP40" s="58">
        <f t="shared" si="69"/>
        <v>55713</v>
      </c>
      <c r="BQ40" s="58">
        <f t="shared" si="69"/>
        <v>55895.5</v>
      </c>
      <c r="BR40" s="58">
        <f t="shared" si="69"/>
        <v>56078</v>
      </c>
      <c r="BS40" s="58">
        <f t="shared" si="69"/>
        <v>56260.5</v>
      </c>
      <c r="BT40" s="58">
        <f t="shared" si="69"/>
        <v>56443</v>
      </c>
      <c r="BU40" s="58">
        <f t="shared" si="69"/>
        <v>56625.5</v>
      </c>
      <c r="BV40" s="58">
        <f t="shared" si="69"/>
        <v>56808</v>
      </c>
      <c r="BW40" s="58">
        <f t="shared" si="69"/>
        <v>56990.5</v>
      </c>
      <c r="BX40" s="58">
        <f t="shared" si="69"/>
        <v>57173</v>
      </c>
      <c r="BY40" s="58">
        <f t="shared" si="69"/>
        <v>57355.5</v>
      </c>
      <c r="BZ40" s="58">
        <f t="shared" si="69"/>
        <v>57538</v>
      </c>
      <c r="CA40" s="58">
        <f t="shared" si="69"/>
        <v>57720.5</v>
      </c>
      <c r="CB40" s="59">
        <f t="shared" si="69"/>
        <v>57903</v>
      </c>
    </row>
    <row r="41" spans="1:80">
      <c r="A41" s="171" t="s">
        <v>28</v>
      </c>
      <c r="B41" s="112">
        <f>(IF(B40=F11,100,0)+IF(G11=1,1,0.5)*J11*100)*IF(ISBLANK(F11)=TRUE,0,1)</f>
        <v>0.75</v>
      </c>
      <c r="C41" s="60">
        <f t="shared" ref="C41:AH41" si="70">IF(C40&gt;$F11+1,0,1)*(IF(D41=0,100,0)+IF($G11=1,1,0.5)*$J11*100)</f>
        <v>0.75</v>
      </c>
      <c r="D41" s="60">
        <f t="shared" si="70"/>
        <v>0.75</v>
      </c>
      <c r="E41" s="60">
        <f t="shared" si="70"/>
        <v>0.75</v>
      </c>
      <c r="F41" s="60">
        <f t="shared" si="70"/>
        <v>0.75</v>
      </c>
      <c r="G41" s="60">
        <f t="shared" si="70"/>
        <v>0.75</v>
      </c>
      <c r="H41" s="60">
        <f t="shared" si="70"/>
        <v>0.75</v>
      </c>
      <c r="I41" s="60">
        <f t="shared" si="70"/>
        <v>0.75</v>
      </c>
      <c r="J41" s="60">
        <f t="shared" si="70"/>
        <v>0.75</v>
      </c>
      <c r="K41" s="60">
        <f t="shared" si="70"/>
        <v>0.75</v>
      </c>
      <c r="L41" s="60">
        <f t="shared" si="70"/>
        <v>0.75</v>
      </c>
      <c r="M41" s="60">
        <f t="shared" si="70"/>
        <v>0.75</v>
      </c>
      <c r="N41" s="60">
        <f t="shared" si="70"/>
        <v>0.75</v>
      </c>
      <c r="O41" s="60">
        <f t="shared" si="70"/>
        <v>0.75</v>
      </c>
      <c r="P41" s="60">
        <f t="shared" si="70"/>
        <v>100.75</v>
      </c>
      <c r="Q41" s="60">
        <f t="shared" si="70"/>
        <v>0</v>
      </c>
      <c r="R41" s="60">
        <f t="shared" si="70"/>
        <v>0</v>
      </c>
      <c r="S41" s="60">
        <f t="shared" si="70"/>
        <v>0</v>
      </c>
      <c r="T41" s="60">
        <f t="shared" si="70"/>
        <v>0</v>
      </c>
      <c r="U41" s="60">
        <f t="shared" si="70"/>
        <v>0</v>
      </c>
      <c r="V41" s="60">
        <f t="shared" si="70"/>
        <v>0</v>
      </c>
      <c r="W41" s="60">
        <f t="shared" si="70"/>
        <v>0</v>
      </c>
      <c r="X41" s="60">
        <f t="shared" si="70"/>
        <v>0</v>
      </c>
      <c r="Y41" s="60">
        <f t="shared" si="70"/>
        <v>0</v>
      </c>
      <c r="Z41" s="60">
        <f t="shared" si="70"/>
        <v>0</v>
      </c>
      <c r="AA41" s="60">
        <f t="shared" si="70"/>
        <v>0</v>
      </c>
      <c r="AB41" s="60">
        <f t="shared" si="70"/>
        <v>0</v>
      </c>
      <c r="AC41" s="60">
        <f t="shared" si="70"/>
        <v>0</v>
      </c>
      <c r="AD41" s="60">
        <f t="shared" si="70"/>
        <v>0</v>
      </c>
      <c r="AE41" s="60">
        <f t="shared" si="70"/>
        <v>0</v>
      </c>
      <c r="AF41" s="60">
        <f t="shared" si="70"/>
        <v>0</v>
      </c>
      <c r="AG41" s="60">
        <f t="shared" si="70"/>
        <v>0</v>
      </c>
      <c r="AH41" s="60">
        <f t="shared" si="70"/>
        <v>0</v>
      </c>
      <c r="AI41" s="60">
        <f t="shared" ref="AI41:BN41" si="71">IF(AI40&gt;$F11+1,0,1)*(IF(AJ41=0,100,0)+IF($G11=1,1,0.5)*$J11*100)</f>
        <v>0</v>
      </c>
      <c r="AJ41" s="60">
        <f t="shared" si="71"/>
        <v>0</v>
      </c>
      <c r="AK41" s="60">
        <f t="shared" si="71"/>
        <v>0</v>
      </c>
      <c r="AL41" s="60">
        <f t="shared" si="71"/>
        <v>0</v>
      </c>
      <c r="AM41" s="60">
        <f t="shared" si="71"/>
        <v>0</v>
      </c>
      <c r="AN41" s="60">
        <f t="shared" si="71"/>
        <v>0</v>
      </c>
      <c r="AO41" s="60">
        <f t="shared" si="71"/>
        <v>0</v>
      </c>
      <c r="AP41" s="60">
        <f t="shared" si="71"/>
        <v>0</v>
      </c>
      <c r="AQ41" s="60">
        <f t="shared" si="71"/>
        <v>0</v>
      </c>
      <c r="AR41" s="60">
        <f t="shared" si="71"/>
        <v>0</v>
      </c>
      <c r="AS41" s="60">
        <f t="shared" si="71"/>
        <v>0</v>
      </c>
      <c r="AT41" s="60">
        <f t="shared" si="71"/>
        <v>0</v>
      </c>
      <c r="AU41" s="60">
        <f t="shared" si="71"/>
        <v>0</v>
      </c>
      <c r="AV41" s="60">
        <f t="shared" si="71"/>
        <v>0</v>
      </c>
      <c r="AW41" s="60">
        <f t="shared" si="71"/>
        <v>0</v>
      </c>
      <c r="AX41" s="60">
        <f t="shared" si="71"/>
        <v>0</v>
      </c>
      <c r="AY41" s="60">
        <f t="shared" si="71"/>
        <v>0</v>
      </c>
      <c r="AZ41" s="60">
        <f t="shared" si="71"/>
        <v>0</v>
      </c>
      <c r="BA41" s="60">
        <f t="shared" si="71"/>
        <v>0</v>
      </c>
      <c r="BB41" s="60">
        <f t="shared" si="71"/>
        <v>0</v>
      </c>
      <c r="BC41" s="60">
        <f t="shared" si="71"/>
        <v>0</v>
      </c>
      <c r="BD41" s="60">
        <f t="shared" si="71"/>
        <v>0</v>
      </c>
      <c r="BE41" s="60">
        <f t="shared" si="71"/>
        <v>0</v>
      </c>
      <c r="BF41" s="60">
        <f t="shared" si="71"/>
        <v>0</v>
      </c>
      <c r="BG41" s="60">
        <f t="shared" si="71"/>
        <v>0</v>
      </c>
      <c r="BH41" s="60">
        <f t="shared" si="71"/>
        <v>0</v>
      </c>
      <c r="BI41" s="60">
        <f t="shared" si="71"/>
        <v>0</v>
      </c>
      <c r="BJ41" s="60">
        <f t="shared" si="71"/>
        <v>0</v>
      </c>
      <c r="BK41" s="60">
        <f t="shared" si="71"/>
        <v>0</v>
      </c>
      <c r="BL41" s="60">
        <f t="shared" si="71"/>
        <v>0</v>
      </c>
      <c r="BM41" s="60">
        <f t="shared" si="71"/>
        <v>0</v>
      </c>
      <c r="BN41" s="60">
        <f t="shared" si="71"/>
        <v>0</v>
      </c>
      <c r="BO41" s="60">
        <f t="shared" ref="BO41:CB41" si="72">IF(BO40&gt;$F11+1,0,1)*(IF(BP41=0,100,0)+IF($G11=1,1,0.5)*$J11*100)</f>
        <v>0</v>
      </c>
      <c r="BP41" s="60">
        <f t="shared" si="72"/>
        <v>0</v>
      </c>
      <c r="BQ41" s="60">
        <f t="shared" si="72"/>
        <v>0</v>
      </c>
      <c r="BR41" s="60">
        <f t="shared" si="72"/>
        <v>0</v>
      </c>
      <c r="BS41" s="60">
        <f t="shared" si="72"/>
        <v>0</v>
      </c>
      <c r="BT41" s="60">
        <f t="shared" si="72"/>
        <v>0</v>
      </c>
      <c r="BU41" s="60">
        <f t="shared" si="72"/>
        <v>0</v>
      </c>
      <c r="BV41" s="60">
        <f t="shared" si="72"/>
        <v>0</v>
      </c>
      <c r="BW41" s="60">
        <f t="shared" si="72"/>
        <v>0</v>
      </c>
      <c r="BX41" s="60">
        <f t="shared" si="72"/>
        <v>0</v>
      </c>
      <c r="BY41" s="60">
        <f t="shared" si="72"/>
        <v>0</v>
      </c>
      <c r="BZ41" s="60">
        <f t="shared" si="72"/>
        <v>0</v>
      </c>
      <c r="CA41" s="60">
        <f t="shared" si="72"/>
        <v>0</v>
      </c>
      <c r="CB41" s="61">
        <f t="shared" si="72"/>
        <v>0</v>
      </c>
    </row>
    <row r="42" spans="1:80">
      <c r="A42" s="256" t="s">
        <v>49</v>
      </c>
      <c r="B42" s="62" t="str">
        <f>IF(E12=0,F12,E12)</f>
        <v>7/22/2019</v>
      </c>
      <c r="C42" s="63">
        <f t="shared" ref="C42:AH42" si="73">B42+IF($G12=1,365,182.5)</f>
        <v>43850.5</v>
      </c>
      <c r="D42" s="63">
        <f t="shared" si="73"/>
        <v>44033</v>
      </c>
      <c r="E42" s="63">
        <f t="shared" si="73"/>
        <v>44215.5</v>
      </c>
      <c r="F42" s="63">
        <f t="shared" si="73"/>
        <v>44398</v>
      </c>
      <c r="G42" s="63">
        <f t="shared" si="73"/>
        <v>44580.5</v>
      </c>
      <c r="H42" s="63">
        <f t="shared" si="73"/>
        <v>44763</v>
      </c>
      <c r="I42" s="63">
        <f t="shared" si="73"/>
        <v>44945.5</v>
      </c>
      <c r="J42" s="63">
        <f t="shared" si="73"/>
        <v>45128</v>
      </c>
      <c r="K42" s="63">
        <f t="shared" si="73"/>
        <v>45310.5</v>
      </c>
      <c r="L42" s="63">
        <f t="shared" si="73"/>
        <v>45493</v>
      </c>
      <c r="M42" s="63">
        <f t="shared" si="73"/>
        <v>45675.5</v>
      </c>
      <c r="N42" s="63">
        <f t="shared" si="73"/>
        <v>45858</v>
      </c>
      <c r="O42" s="63">
        <f t="shared" si="73"/>
        <v>46040.5</v>
      </c>
      <c r="P42" s="63">
        <f t="shared" si="73"/>
        <v>46223</v>
      </c>
      <c r="Q42" s="63">
        <f t="shared" si="73"/>
        <v>46405.5</v>
      </c>
      <c r="R42" s="63">
        <f t="shared" si="73"/>
        <v>46588</v>
      </c>
      <c r="S42" s="63">
        <f t="shared" si="73"/>
        <v>46770.5</v>
      </c>
      <c r="T42" s="63">
        <f t="shared" si="73"/>
        <v>46953</v>
      </c>
      <c r="U42" s="63">
        <f t="shared" si="73"/>
        <v>47135.5</v>
      </c>
      <c r="V42" s="63">
        <f t="shared" si="73"/>
        <v>47318</v>
      </c>
      <c r="W42" s="63">
        <f t="shared" si="73"/>
        <v>47500.5</v>
      </c>
      <c r="X42" s="63">
        <f t="shared" si="73"/>
        <v>47683</v>
      </c>
      <c r="Y42" s="63">
        <f t="shared" si="73"/>
        <v>47865.5</v>
      </c>
      <c r="Z42" s="63">
        <f t="shared" si="73"/>
        <v>48048</v>
      </c>
      <c r="AA42" s="63">
        <f t="shared" si="73"/>
        <v>48230.5</v>
      </c>
      <c r="AB42" s="63">
        <f t="shared" si="73"/>
        <v>48413</v>
      </c>
      <c r="AC42" s="63">
        <f t="shared" si="73"/>
        <v>48595.5</v>
      </c>
      <c r="AD42" s="63">
        <f t="shared" si="73"/>
        <v>48778</v>
      </c>
      <c r="AE42" s="63">
        <f t="shared" si="73"/>
        <v>48960.5</v>
      </c>
      <c r="AF42" s="63">
        <f t="shared" si="73"/>
        <v>49143</v>
      </c>
      <c r="AG42" s="63">
        <f t="shared" si="73"/>
        <v>49325.5</v>
      </c>
      <c r="AH42" s="63">
        <f t="shared" si="73"/>
        <v>49508</v>
      </c>
      <c r="AI42" s="63">
        <f t="shared" ref="AI42:BN42" si="74">AH42+IF($G12=1,365,182.5)</f>
        <v>49690.5</v>
      </c>
      <c r="AJ42" s="63">
        <f t="shared" si="74"/>
        <v>49873</v>
      </c>
      <c r="AK42" s="63">
        <f t="shared" si="74"/>
        <v>50055.5</v>
      </c>
      <c r="AL42" s="63">
        <f t="shared" si="74"/>
        <v>50238</v>
      </c>
      <c r="AM42" s="63">
        <f t="shared" si="74"/>
        <v>50420.5</v>
      </c>
      <c r="AN42" s="63">
        <f t="shared" si="74"/>
        <v>50603</v>
      </c>
      <c r="AO42" s="63">
        <f t="shared" si="74"/>
        <v>50785.5</v>
      </c>
      <c r="AP42" s="63">
        <f t="shared" si="74"/>
        <v>50968</v>
      </c>
      <c r="AQ42" s="63">
        <f t="shared" si="74"/>
        <v>51150.5</v>
      </c>
      <c r="AR42" s="63">
        <f t="shared" si="74"/>
        <v>51333</v>
      </c>
      <c r="AS42" s="63">
        <f t="shared" si="74"/>
        <v>51515.5</v>
      </c>
      <c r="AT42" s="63">
        <f t="shared" si="74"/>
        <v>51698</v>
      </c>
      <c r="AU42" s="63">
        <f t="shared" si="74"/>
        <v>51880.5</v>
      </c>
      <c r="AV42" s="63">
        <f t="shared" si="74"/>
        <v>52063</v>
      </c>
      <c r="AW42" s="63">
        <f t="shared" si="74"/>
        <v>52245.5</v>
      </c>
      <c r="AX42" s="63">
        <f t="shared" si="74"/>
        <v>52428</v>
      </c>
      <c r="AY42" s="63">
        <f t="shared" si="74"/>
        <v>52610.5</v>
      </c>
      <c r="AZ42" s="63">
        <f t="shared" si="74"/>
        <v>52793</v>
      </c>
      <c r="BA42" s="63">
        <f t="shared" si="74"/>
        <v>52975.5</v>
      </c>
      <c r="BB42" s="63">
        <f t="shared" si="74"/>
        <v>53158</v>
      </c>
      <c r="BC42" s="63">
        <f t="shared" si="74"/>
        <v>53340.5</v>
      </c>
      <c r="BD42" s="63">
        <f t="shared" si="74"/>
        <v>53523</v>
      </c>
      <c r="BE42" s="63">
        <f t="shared" si="74"/>
        <v>53705.5</v>
      </c>
      <c r="BF42" s="63">
        <f t="shared" si="74"/>
        <v>53888</v>
      </c>
      <c r="BG42" s="63">
        <f t="shared" si="74"/>
        <v>54070.5</v>
      </c>
      <c r="BH42" s="63">
        <f t="shared" si="74"/>
        <v>54253</v>
      </c>
      <c r="BI42" s="63">
        <f t="shared" si="74"/>
        <v>54435.5</v>
      </c>
      <c r="BJ42" s="63">
        <f t="shared" si="74"/>
        <v>54618</v>
      </c>
      <c r="BK42" s="63">
        <f t="shared" si="74"/>
        <v>54800.5</v>
      </c>
      <c r="BL42" s="63">
        <f t="shared" si="74"/>
        <v>54983</v>
      </c>
      <c r="BM42" s="63">
        <f t="shared" si="74"/>
        <v>55165.5</v>
      </c>
      <c r="BN42" s="63">
        <f t="shared" si="74"/>
        <v>55348</v>
      </c>
      <c r="BO42" s="63">
        <f t="shared" ref="BO42:CB42" si="75">BN42+IF($G12=1,365,182.5)</f>
        <v>55530.5</v>
      </c>
      <c r="BP42" s="63">
        <f t="shared" si="75"/>
        <v>55713</v>
      </c>
      <c r="BQ42" s="63">
        <f t="shared" si="75"/>
        <v>55895.5</v>
      </c>
      <c r="BR42" s="63">
        <f t="shared" si="75"/>
        <v>56078</v>
      </c>
      <c r="BS42" s="63">
        <f t="shared" si="75"/>
        <v>56260.5</v>
      </c>
      <c r="BT42" s="63">
        <f t="shared" si="75"/>
        <v>56443</v>
      </c>
      <c r="BU42" s="63">
        <f t="shared" si="75"/>
        <v>56625.5</v>
      </c>
      <c r="BV42" s="63">
        <f t="shared" si="75"/>
        <v>56808</v>
      </c>
      <c r="BW42" s="63">
        <f t="shared" si="75"/>
        <v>56990.5</v>
      </c>
      <c r="BX42" s="63">
        <f t="shared" si="75"/>
        <v>57173</v>
      </c>
      <c r="BY42" s="63">
        <f t="shared" si="75"/>
        <v>57355.5</v>
      </c>
      <c r="BZ42" s="63">
        <f t="shared" si="75"/>
        <v>57538</v>
      </c>
      <c r="CA42" s="63">
        <f t="shared" si="75"/>
        <v>57720.5</v>
      </c>
      <c r="CB42" s="64">
        <f t="shared" si="75"/>
        <v>57903</v>
      </c>
    </row>
    <row r="43" spans="1:80">
      <c r="A43" s="172" t="s">
        <v>29</v>
      </c>
      <c r="B43" s="135">
        <f>(IF(B42=F12,100,0)+IF(G12=1,1,0.5)*J12*100)*IF(ISBLANK(F12)=TRUE,0,1)</f>
        <v>0.625</v>
      </c>
      <c r="C43" s="136">
        <f t="shared" ref="C43:AH43" si="76">IF(C42&gt;$F12+1,0,1)*(IF(D43=0,100,0)+IF($G12=1,1,0.5)*$J12*100)</f>
        <v>0.625</v>
      </c>
      <c r="D43" s="136">
        <f t="shared" si="76"/>
        <v>0.625</v>
      </c>
      <c r="E43" s="136">
        <f t="shared" si="76"/>
        <v>0.625</v>
      </c>
      <c r="F43" s="136">
        <f t="shared" si="76"/>
        <v>0.625</v>
      </c>
      <c r="G43" s="136">
        <f t="shared" si="76"/>
        <v>0.625</v>
      </c>
      <c r="H43" s="136">
        <f t="shared" si="76"/>
        <v>0.625</v>
      </c>
      <c r="I43" s="136">
        <f t="shared" si="76"/>
        <v>0.625</v>
      </c>
      <c r="J43" s="136">
        <f t="shared" si="76"/>
        <v>0.625</v>
      </c>
      <c r="K43" s="136">
        <f t="shared" si="76"/>
        <v>0.625</v>
      </c>
      <c r="L43" s="136">
        <f t="shared" si="76"/>
        <v>0.625</v>
      </c>
      <c r="M43" s="136">
        <f t="shared" si="76"/>
        <v>0.625</v>
      </c>
      <c r="N43" s="136">
        <f t="shared" si="76"/>
        <v>0.625</v>
      </c>
      <c r="O43" s="136">
        <f t="shared" si="76"/>
        <v>0.625</v>
      </c>
      <c r="P43" s="136">
        <f t="shared" si="76"/>
        <v>0.625</v>
      </c>
      <c r="Q43" s="136">
        <f t="shared" si="76"/>
        <v>0.625</v>
      </c>
      <c r="R43" s="136">
        <f t="shared" si="76"/>
        <v>100.625</v>
      </c>
      <c r="S43" s="136">
        <f t="shared" si="76"/>
        <v>0</v>
      </c>
      <c r="T43" s="136">
        <f t="shared" si="76"/>
        <v>0</v>
      </c>
      <c r="U43" s="136">
        <f t="shared" si="76"/>
        <v>0</v>
      </c>
      <c r="V43" s="136">
        <f t="shared" si="76"/>
        <v>0</v>
      </c>
      <c r="W43" s="136">
        <f t="shared" si="76"/>
        <v>0</v>
      </c>
      <c r="X43" s="136">
        <f t="shared" si="76"/>
        <v>0</v>
      </c>
      <c r="Y43" s="136">
        <f t="shared" si="76"/>
        <v>0</v>
      </c>
      <c r="Z43" s="136">
        <f t="shared" si="76"/>
        <v>0</v>
      </c>
      <c r="AA43" s="136">
        <f t="shared" si="76"/>
        <v>0</v>
      </c>
      <c r="AB43" s="136">
        <f t="shared" si="76"/>
        <v>0</v>
      </c>
      <c r="AC43" s="136">
        <f t="shared" si="76"/>
        <v>0</v>
      </c>
      <c r="AD43" s="136">
        <f t="shared" si="76"/>
        <v>0</v>
      </c>
      <c r="AE43" s="136">
        <f t="shared" si="76"/>
        <v>0</v>
      </c>
      <c r="AF43" s="136">
        <f t="shared" si="76"/>
        <v>0</v>
      </c>
      <c r="AG43" s="136">
        <f t="shared" si="76"/>
        <v>0</v>
      </c>
      <c r="AH43" s="136">
        <f t="shared" si="76"/>
        <v>0</v>
      </c>
      <c r="AI43" s="136">
        <f t="shared" ref="AI43:BN43" si="77">IF(AI42&gt;$F12+1,0,1)*(IF(AJ43=0,100,0)+IF($G12=1,1,0.5)*$J12*100)</f>
        <v>0</v>
      </c>
      <c r="AJ43" s="136">
        <f t="shared" si="77"/>
        <v>0</v>
      </c>
      <c r="AK43" s="136">
        <f t="shared" si="77"/>
        <v>0</v>
      </c>
      <c r="AL43" s="136">
        <f t="shared" si="77"/>
        <v>0</v>
      </c>
      <c r="AM43" s="136">
        <f t="shared" si="77"/>
        <v>0</v>
      </c>
      <c r="AN43" s="136">
        <f t="shared" si="77"/>
        <v>0</v>
      </c>
      <c r="AO43" s="136">
        <f t="shared" si="77"/>
        <v>0</v>
      </c>
      <c r="AP43" s="136">
        <f t="shared" si="77"/>
        <v>0</v>
      </c>
      <c r="AQ43" s="136">
        <f t="shared" si="77"/>
        <v>0</v>
      </c>
      <c r="AR43" s="136">
        <f t="shared" si="77"/>
        <v>0</v>
      </c>
      <c r="AS43" s="136">
        <f t="shared" si="77"/>
        <v>0</v>
      </c>
      <c r="AT43" s="136">
        <f t="shared" si="77"/>
        <v>0</v>
      </c>
      <c r="AU43" s="136">
        <f t="shared" si="77"/>
        <v>0</v>
      </c>
      <c r="AV43" s="136">
        <f t="shared" si="77"/>
        <v>0</v>
      </c>
      <c r="AW43" s="136">
        <f t="shared" si="77"/>
        <v>0</v>
      </c>
      <c r="AX43" s="136">
        <f t="shared" si="77"/>
        <v>0</v>
      </c>
      <c r="AY43" s="136">
        <f t="shared" si="77"/>
        <v>0</v>
      </c>
      <c r="AZ43" s="136">
        <f t="shared" si="77"/>
        <v>0</v>
      </c>
      <c r="BA43" s="136">
        <f t="shared" si="77"/>
        <v>0</v>
      </c>
      <c r="BB43" s="136">
        <f t="shared" si="77"/>
        <v>0</v>
      </c>
      <c r="BC43" s="136">
        <f t="shared" si="77"/>
        <v>0</v>
      </c>
      <c r="BD43" s="136">
        <f t="shared" si="77"/>
        <v>0</v>
      </c>
      <c r="BE43" s="136">
        <f t="shared" si="77"/>
        <v>0</v>
      </c>
      <c r="BF43" s="136">
        <f t="shared" si="77"/>
        <v>0</v>
      </c>
      <c r="BG43" s="136">
        <f t="shared" si="77"/>
        <v>0</v>
      </c>
      <c r="BH43" s="136">
        <f t="shared" si="77"/>
        <v>0</v>
      </c>
      <c r="BI43" s="136">
        <f t="shared" si="77"/>
        <v>0</v>
      </c>
      <c r="BJ43" s="136">
        <f t="shared" si="77"/>
        <v>0</v>
      </c>
      <c r="BK43" s="136">
        <f t="shared" si="77"/>
        <v>0</v>
      </c>
      <c r="BL43" s="136">
        <f t="shared" si="77"/>
        <v>0</v>
      </c>
      <c r="BM43" s="136">
        <f t="shared" si="77"/>
        <v>0</v>
      </c>
      <c r="BN43" s="136">
        <f t="shared" si="77"/>
        <v>0</v>
      </c>
      <c r="BO43" s="136">
        <f t="shared" ref="BO43:CB43" si="78">IF(BO42&gt;$F12+1,0,1)*(IF(BP43=0,100,0)+IF($G12=1,1,0.5)*$J12*100)</f>
        <v>0</v>
      </c>
      <c r="BP43" s="136">
        <f t="shared" si="78"/>
        <v>0</v>
      </c>
      <c r="BQ43" s="136">
        <f t="shared" si="78"/>
        <v>0</v>
      </c>
      <c r="BR43" s="136">
        <f t="shared" si="78"/>
        <v>0</v>
      </c>
      <c r="BS43" s="136">
        <f t="shared" si="78"/>
        <v>0</v>
      </c>
      <c r="BT43" s="136">
        <f t="shared" si="78"/>
        <v>0</v>
      </c>
      <c r="BU43" s="136">
        <f t="shared" si="78"/>
        <v>0</v>
      </c>
      <c r="BV43" s="136">
        <f t="shared" si="78"/>
        <v>0</v>
      </c>
      <c r="BW43" s="136">
        <f t="shared" si="78"/>
        <v>0</v>
      </c>
      <c r="BX43" s="136">
        <f t="shared" si="78"/>
        <v>0</v>
      </c>
      <c r="BY43" s="136">
        <f t="shared" si="78"/>
        <v>0</v>
      </c>
      <c r="BZ43" s="136">
        <f t="shared" si="78"/>
        <v>0</v>
      </c>
      <c r="CA43" s="136">
        <f t="shared" si="78"/>
        <v>0</v>
      </c>
      <c r="CB43" s="137">
        <f t="shared" si="78"/>
        <v>0</v>
      </c>
    </row>
    <row r="44" spans="1:80">
      <c r="A44" s="255" t="s">
        <v>49</v>
      </c>
      <c r="B44" s="65" t="str">
        <f>IF(E13=0,F13,E13)</f>
        <v>12/7/2019</v>
      </c>
      <c r="C44" s="66">
        <f t="shared" ref="C44:AH44" si="79">B44+IF($G13=1,365,182.5)</f>
        <v>43988.5</v>
      </c>
      <c r="D44" s="66">
        <f t="shared" si="79"/>
        <v>44171</v>
      </c>
      <c r="E44" s="66">
        <f t="shared" si="79"/>
        <v>44353.5</v>
      </c>
      <c r="F44" s="66">
        <f t="shared" si="79"/>
        <v>44536</v>
      </c>
      <c r="G44" s="66">
        <f t="shared" si="79"/>
        <v>44718.5</v>
      </c>
      <c r="H44" s="66">
        <f t="shared" si="79"/>
        <v>44901</v>
      </c>
      <c r="I44" s="66">
        <f t="shared" si="79"/>
        <v>45083.5</v>
      </c>
      <c r="J44" s="66">
        <f t="shared" si="79"/>
        <v>45266</v>
      </c>
      <c r="K44" s="66">
        <f t="shared" si="79"/>
        <v>45448.5</v>
      </c>
      <c r="L44" s="66">
        <f t="shared" si="79"/>
        <v>45631</v>
      </c>
      <c r="M44" s="66">
        <f t="shared" si="79"/>
        <v>45813.5</v>
      </c>
      <c r="N44" s="66">
        <f t="shared" si="79"/>
        <v>45996</v>
      </c>
      <c r="O44" s="66">
        <f t="shared" si="79"/>
        <v>46178.5</v>
      </c>
      <c r="P44" s="66">
        <f t="shared" si="79"/>
        <v>46361</v>
      </c>
      <c r="Q44" s="66">
        <f t="shared" si="79"/>
        <v>46543.5</v>
      </c>
      <c r="R44" s="66">
        <f t="shared" si="79"/>
        <v>46726</v>
      </c>
      <c r="S44" s="66">
        <f t="shared" si="79"/>
        <v>46908.5</v>
      </c>
      <c r="T44" s="66">
        <f t="shared" si="79"/>
        <v>47091</v>
      </c>
      <c r="U44" s="66">
        <f t="shared" si="79"/>
        <v>47273.5</v>
      </c>
      <c r="V44" s="66">
        <f t="shared" si="79"/>
        <v>47456</v>
      </c>
      <c r="W44" s="66">
        <f t="shared" si="79"/>
        <v>47638.5</v>
      </c>
      <c r="X44" s="66">
        <f t="shared" si="79"/>
        <v>47821</v>
      </c>
      <c r="Y44" s="66">
        <f t="shared" si="79"/>
        <v>48003.5</v>
      </c>
      <c r="Z44" s="66">
        <f t="shared" si="79"/>
        <v>48186</v>
      </c>
      <c r="AA44" s="66">
        <f t="shared" si="79"/>
        <v>48368.5</v>
      </c>
      <c r="AB44" s="66">
        <f t="shared" si="79"/>
        <v>48551</v>
      </c>
      <c r="AC44" s="66">
        <f t="shared" si="79"/>
        <v>48733.5</v>
      </c>
      <c r="AD44" s="66">
        <f t="shared" si="79"/>
        <v>48916</v>
      </c>
      <c r="AE44" s="66">
        <f t="shared" si="79"/>
        <v>49098.5</v>
      </c>
      <c r="AF44" s="66">
        <f t="shared" si="79"/>
        <v>49281</v>
      </c>
      <c r="AG44" s="66">
        <f t="shared" si="79"/>
        <v>49463.5</v>
      </c>
      <c r="AH44" s="66">
        <f t="shared" si="79"/>
        <v>49646</v>
      </c>
      <c r="AI44" s="66">
        <f t="shared" ref="AI44:BN44" si="80">AH44+IF($G13=1,365,182.5)</f>
        <v>49828.5</v>
      </c>
      <c r="AJ44" s="66">
        <f t="shared" si="80"/>
        <v>50011</v>
      </c>
      <c r="AK44" s="66">
        <f t="shared" si="80"/>
        <v>50193.5</v>
      </c>
      <c r="AL44" s="66">
        <f t="shared" si="80"/>
        <v>50376</v>
      </c>
      <c r="AM44" s="66">
        <f t="shared" si="80"/>
        <v>50558.5</v>
      </c>
      <c r="AN44" s="66">
        <f t="shared" si="80"/>
        <v>50741</v>
      </c>
      <c r="AO44" s="66">
        <f t="shared" si="80"/>
        <v>50923.5</v>
      </c>
      <c r="AP44" s="66">
        <f t="shared" si="80"/>
        <v>51106</v>
      </c>
      <c r="AQ44" s="66">
        <f t="shared" si="80"/>
        <v>51288.5</v>
      </c>
      <c r="AR44" s="66">
        <f t="shared" si="80"/>
        <v>51471</v>
      </c>
      <c r="AS44" s="66">
        <f t="shared" si="80"/>
        <v>51653.5</v>
      </c>
      <c r="AT44" s="66">
        <f t="shared" si="80"/>
        <v>51836</v>
      </c>
      <c r="AU44" s="66">
        <f t="shared" si="80"/>
        <v>52018.5</v>
      </c>
      <c r="AV44" s="66">
        <f t="shared" si="80"/>
        <v>52201</v>
      </c>
      <c r="AW44" s="66">
        <f t="shared" si="80"/>
        <v>52383.5</v>
      </c>
      <c r="AX44" s="66">
        <f t="shared" si="80"/>
        <v>52566</v>
      </c>
      <c r="AY44" s="66">
        <f t="shared" si="80"/>
        <v>52748.5</v>
      </c>
      <c r="AZ44" s="66">
        <f t="shared" si="80"/>
        <v>52931</v>
      </c>
      <c r="BA44" s="66">
        <f t="shared" si="80"/>
        <v>53113.5</v>
      </c>
      <c r="BB44" s="66">
        <f t="shared" si="80"/>
        <v>53296</v>
      </c>
      <c r="BC44" s="66">
        <f t="shared" si="80"/>
        <v>53478.5</v>
      </c>
      <c r="BD44" s="66">
        <f t="shared" si="80"/>
        <v>53661</v>
      </c>
      <c r="BE44" s="66">
        <f t="shared" si="80"/>
        <v>53843.5</v>
      </c>
      <c r="BF44" s="66">
        <f t="shared" si="80"/>
        <v>54026</v>
      </c>
      <c r="BG44" s="66">
        <f t="shared" si="80"/>
        <v>54208.5</v>
      </c>
      <c r="BH44" s="66">
        <f t="shared" si="80"/>
        <v>54391</v>
      </c>
      <c r="BI44" s="66">
        <f t="shared" si="80"/>
        <v>54573.5</v>
      </c>
      <c r="BJ44" s="66">
        <f t="shared" si="80"/>
        <v>54756</v>
      </c>
      <c r="BK44" s="66">
        <f t="shared" si="80"/>
        <v>54938.5</v>
      </c>
      <c r="BL44" s="66">
        <f t="shared" si="80"/>
        <v>55121</v>
      </c>
      <c r="BM44" s="66">
        <f t="shared" si="80"/>
        <v>55303.5</v>
      </c>
      <c r="BN44" s="66">
        <f t="shared" si="80"/>
        <v>55486</v>
      </c>
      <c r="BO44" s="66">
        <f t="shared" ref="BO44:CB44" si="81">BN44+IF($G13=1,365,182.5)</f>
        <v>55668.5</v>
      </c>
      <c r="BP44" s="66">
        <f t="shared" si="81"/>
        <v>55851</v>
      </c>
      <c r="BQ44" s="66">
        <f t="shared" si="81"/>
        <v>56033.5</v>
      </c>
      <c r="BR44" s="66">
        <f t="shared" si="81"/>
        <v>56216</v>
      </c>
      <c r="BS44" s="66">
        <f t="shared" si="81"/>
        <v>56398.5</v>
      </c>
      <c r="BT44" s="66">
        <f t="shared" si="81"/>
        <v>56581</v>
      </c>
      <c r="BU44" s="66">
        <f t="shared" si="81"/>
        <v>56763.5</v>
      </c>
      <c r="BV44" s="66">
        <f t="shared" si="81"/>
        <v>56946</v>
      </c>
      <c r="BW44" s="66">
        <f t="shared" si="81"/>
        <v>57128.5</v>
      </c>
      <c r="BX44" s="66">
        <f t="shared" si="81"/>
        <v>57311</v>
      </c>
      <c r="BY44" s="66">
        <f t="shared" si="81"/>
        <v>57493.5</v>
      </c>
      <c r="BZ44" s="66">
        <f t="shared" si="81"/>
        <v>57676</v>
      </c>
      <c r="CA44" s="66">
        <f t="shared" si="81"/>
        <v>57858.5</v>
      </c>
      <c r="CB44" s="67">
        <f t="shared" si="81"/>
        <v>58041</v>
      </c>
    </row>
    <row r="45" spans="1:80">
      <c r="A45" s="173" t="s">
        <v>30</v>
      </c>
      <c r="B45" s="111">
        <f>(IF(B44=F13,100,0)+IF(G13=1,1,0.5)*J13*100)*IF(ISBLANK(F13)=TRUE,0,1)</f>
        <v>2.125</v>
      </c>
      <c r="C45" s="68">
        <f t="shared" ref="C45:AH45" si="82">IF(C44&gt;$F13+1,0,1)*(IF(D45=0,100,0)+IF($G13=1,1,0.5)*$J13*100)</f>
        <v>2.125</v>
      </c>
      <c r="D45" s="68">
        <f t="shared" si="82"/>
        <v>2.125</v>
      </c>
      <c r="E45" s="68">
        <f t="shared" si="82"/>
        <v>2.125</v>
      </c>
      <c r="F45" s="68">
        <f t="shared" si="82"/>
        <v>2.125</v>
      </c>
      <c r="G45" s="68">
        <f t="shared" si="82"/>
        <v>2.125</v>
      </c>
      <c r="H45" s="68">
        <f t="shared" si="82"/>
        <v>2.125</v>
      </c>
      <c r="I45" s="68">
        <f t="shared" si="82"/>
        <v>2.125</v>
      </c>
      <c r="J45" s="68">
        <f t="shared" si="82"/>
        <v>2.125</v>
      </c>
      <c r="K45" s="68">
        <f t="shared" si="82"/>
        <v>2.125</v>
      </c>
      <c r="L45" s="68">
        <f t="shared" si="82"/>
        <v>2.125</v>
      </c>
      <c r="M45" s="68">
        <f t="shared" si="82"/>
        <v>2.125</v>
      </c>
      <c r="N45" s="68">
        <f t="shared" si="82"/>
        <v>2.125</v>
      </c>
      <c r="O45" s="68">
        <f t="shared" si="82"/>
        <v>2.125</v>
      </c>
      <c r="P45" s="68">
        <f t="shared" si="82"/>
        <v>2.125</v>
      </c>
      <c r="Q45" s="68">
        <f t="shared" si="82"/>
        <v>2.125</v>
      </c>
      <c r="R45" s="68">
        <f t="shared" si="82"/>
        <v>102.125</v>
      </c>
      <c r="S45" s="68">
        <f t="shared" si="82"/>
        <v>0</v>
      </c>
      <c r="T45" s="68">
        <f t="shared" si="82"/>
        <v>0</v>
      </c>
      <c r="U45" s="68">
        <f t="shared" si="82"/>
        <v>0</v>
      </c>
      <c r="V45" s="68">
        <f t="shared" si="82"/>
        <v>0</v>
      </c>
      <c r="W45" s="68">
        <f t="shared" si="82"/>
        <v>0</v>
      </c>
      <c r="X45" s="68">
        <f t="shared" si="82"/>
        <v>0</v>
      </c>
      <c r="Y45" s="68">
        <f t="shared" si="82"/>
        <v>0</v>
      </c>
      <c r="Z45" s="68">
        <f t="shared" si="82"/>
        <v>0</v>
      </c>
      <c r="AA45" s="68">
        <f t="shared" si="82"/>
        <v>0</v>
      </c>
      <c r="AB45" s="68">
        <f t="shared" si="82"/>
        <v>0</v>
      </c>
      <c r="AC45" s="68">
        <f t="shared" si="82"/>
        <v>0</v>
      </c>
      <c r="AD45" s="68">
        <f t="shared" si="82"/>
        <v>0</v>
      </c>
      <c r="AE45" s="68">
        <f t="shared" si="82"/>
        <v>0</v>
      </c>
      <c r="AF45" s="68">
        <f t="shared" si="82"/>
        <v>0</v>
      </c>
      <c r="AG45" s="68">
        <f t="shared" si="82"/>
        <v>0</v>
      </c>
      <c r="AH45" s="68">
        <f t="shared" si="82"/>
        <v>0</v>
      </c>
      <c r="AI45" s="68">
        <f t="shared" ref="AI45:BN45" si="83">IF(AI44&gt;$F13+1,0,1)*(IF(AJ45=0,100,0)+IF($G13=1,1,0.5)*$J13*100)</f>
        <v>0</v>
      </c>
      <c r="AJ45" s="68">
        <f t="shared" si="83"/>
        <v>0</v>
      </c>
      <c r="AK45" s="68">
        <f t="shared" si="83"/>
        <v>0</v>
      </c>
      <c r="AL45" s="68">
        <f t="shared" si="83"/>
        <v>0</v>
      </c>
      <c r="AM45" s="68">
        <f t="shared" si="83"/>
        <v>0</v>
      </c>
      <c r="AN45" s="68">
        <f t="shared" si="83"/>
        <v>0</v>
      </c>
      <c r="AO45" s="68">
        <f t="shared" si="83"/>
        <v>0</v>
      </c>
      <c r="AP45" s="68">
        <f t="shared" si="83"/>
        <v>0</v>
      </c>
      <c r="AQ45" s="68">
        <f t="shared" si="83"/>
        <v>0</v>
      </c>
      <c r="AR45" s="68">
        <f t="shared" si="83"/>
        <v>0</v>
      </c>
      <c r="AS45" s="68">
        <f t="shared" si="83"/>
        <v>0</v>
      </c>
      <c r="AT45" s="68">
        <f t="shared" si="83"/>
        <v>0</v>
      </c>
      <c r="AU45" s="68">
        <f t="shared" si="83"/>
        <v>0</v>
      </c>
      <c r="AV45" s="68">
        <f t="shared" si="83"/>
        <v>0</v>
      </c>
      <c r="AW45" s="68">
        <f t="shared" si="83"/>
        <v>0</v>
      </c>
      <c r="AX45" s="68">
        <f t="shared" si="83"/>
        <v>0</v>
      </c>
      <c r="AY45" s="68">
        <f t="shared" si="83"/>
        <v>0</v>
      </c>
      <c r="AZ45" s="68">
        <f t="shared" si="83"/>
        <v>0</v>
      </c>
      <c r="BA45" s="68">
        <f t="shared" si="83"/>
        <v>0</v>
      </c>
      <c r="BB45" s="68">
        <f t="shared" si="83"/>
        <v>0</v>
      </c>
      <c r="BC45" s="68">
        <f t="shared" si="83"/>
        <v>0</v>
      </c>
      <c r="BD45" s="68">
        <f t="shared" si="83"/>
        <v>0</v>
      </c>
      <c r="BE45" s="68">
        <f t="shared" si="83"/>
        <v>0</v>
      </c>
      <c r="BF45" s="68">
        <f t="shared" si="83"/>
        <v>0</v>
      </c>
      <c r="BG45" s="68">
        <f t="shared" si="83"/>
        <v>0</v>
      </c>
      <c r="BH45" s="68">
        <f t="shared" si="83"/>
        <v>0</v>
      </c>
      <c r="BI45" s="68">
        <f t="shared" si="83"/>
        <v>0</v>
      </c>
      <c r="BJ45" s="68">
        <f t="shared" si="83"/>
        <v>0</v>
      </c>
      <c r="BK45" s="68">
        <f t="shared" si="83"/>
        <v>0</v>
      </c>
      <c r="BL45" s="68">
        <f t="shared" si="83"/>
        <v>0</v>
      </c>
      <c r="BM45" s="68">
        <f t="shared" si="83"/>
        <v>0</v>
      </c>
      <c r="BN45" s="68">
        <f t="shared" si="83"/>
        <v>0</v>
      </c>
      <c r="BO45" s="68">
        <f t="shared" ref="BO45:CB45" si="84">IF(BO44&gt;$F13+1,0,1)*(IF(BP45=0,100,0)+IF($G13=1,1,0.5)*$J13*100)</f>
        <v>0</v>
      </c>
      <c r="BP45" s="68">
        <f t="shared" si="84"/>
        <v>0</v>
      </c>
      <c r="BQ45" s="68">
        <f t="shared" si="84"/>
        <v>0</v>
      </c>
      <c r="BR45" s="68">
        <f t="shared" si="84"/>
        <v>0</v>
      </c>
      <c r="BS45" s="68">
        <f t="shared" si="84"/>
        <v>0</v>
      </c>
      <c r="BT45" s="68">
        <f t="shared" si="84"/>
        <v>0</v>
      </c>
      <c r="BU45" s="68">
        <f t="shared" si="84"/>
        <v>0</v>
      </c>
      <c r="BV45" s="68">
        <f t="shared" si="84"/>
        <v>0</v>
      </c>
      <c r="BW45" s="68">
        <f t="shared" si="84"/>
        <v>0</v>
      </c>
      <c r="BX45" s="68">
        <f t="shared" si="84"/>
        <v>0</v>
      </c>
      <c r="BY45" s="68">
        <f t="shared" si="84"/>
        <v>0</v>
      </c>
      <c r="BZ45" s="68">
        <f t="shared" si="84"/>
        <v>0</v>
      </c>
      <c r="CA45" s="68">
        <f t="shared" si="84"/>
        <v>0</v>
      </c>
      <c r="CB45" s="69">
        <f t="shared" si="84"/>
        <v>0</v>
      </c>
    </row>
    <row r="46" spans="1:80">
      <c r="A46" s="254" t="s">
        <v>49</v>
      </c>
      <c r="B46" s="138" t="str">
        <f>IF(E14=0,F14,E14)</f>
        <v>10/22/2019</v>
      </c>
      <c r="C46" s="70">
        <f t="shared" ref="C46:AH46" si="85">B46+IF($G14=1,365,182.5)</f>
        <v>43942.5</v>
      </c>
      <c r="D46" s="70">
        <f t="shared" si="85"/>
        <v>44125</v>
      </c>
      <c r="E46" s="70">
        <f t="shared" si="85"/>
        <v>44307.5</v>
      </c>
      <c r="F46" s="70">
        <f t="shared" si="85"/>
        <v>44490</v>
      </c>
      <c r="G46" s="70">
        <f t="shared" si="85"/>
        <v>44672.5</v>
      </c>
      <c r="H46" s="70">
        <f t="shared" si="85"/>
        <v>44855</v>
      </c>
      <c r="I46" s="70">
        <f t="shared" si="85"/>
        <v>45037.5</v>
      </c>
      <c r="J46" s="70">
        <f t="shared" si="85"/>
        <v>45220</v>
      </c>
      <c r="K46" s="70">
        <f t="shared" si="85"/>
        <v>45402.5</v>
      </c>
      <c r="L46" s="70">
        <f t="shared" si="85"/>
        <v>45585</v>
      </c>
      <c r="M46" s="70">
        <f t="shared" si="85"/>
        <v>45767.5</v>
      </c>
      <c r="N46" s="70">
        <f t="shared" si="85"/>
        <v>45950</v>
      </c>
      <c r="O46" s="70">
        <f t="shared" si="85"/>
        <v>46132.5</v>
      </c>
      <c r="P46" s="70">
        <f t="shared" si="85"/>
        <v>46315</v>
      </c>
      <c r="Q46" s="70">
        <f t="shared" si="85"/>
        <v>46497.5</v>
      </c>
      <c r="R46" s="70">
        <f t="shared" si="85"/>
        <v>46680</v>
      </c>
      <c r="S46" s="70">
        <f t="shared" si="85"/>
        <v>46862.5</v>
      </c>
      <c r="T46" s="70">
        <f t="shared" si="85"/>
        <v>47045</v>
      </c>
      <c r="U46" s="70">
        <f t="shared" si="85"/>
        <v>47227.5</v>
      </c>
      <c r="V46" s="70">
        <f t="shared" si="85"/>
        <v>47410</v>
      </c>
      <c r="W46" s="70">
        <f t="shared" si="85"/>
        <v>47592.5</v>
      </c>
      <c r="X46" s="70">
        <f t="shared" si="85"/>
        <v>47775</v>
      </c>
      <c r="Y46" s="70">
        <f t="shared" si="85"/>
        <v>47957.5</v>
      </c>
      <c r="Z46" s="70">
        <f t="shared" si="85"/>
        <v>48140</v>
      </c>
      <c r="AA46" s="70">
        <f t="shared" si="85"/>
        <v>48322.5</v>
      </c>
      <c r="AB46" s="70">
        <f t="shared" si="85"/>
        <v>48505</v>
      </c>
      <c r="AC46" s="70">
        <f t="shared" si="85"/>
        <v>48687.5</v>
      </c>
      <c r="AD46" s="70">
        <f t="shared" si="85"/>
        <v>48870</v>
      </c>
      <c r="AE46" s="70">
        <f t="shared" si="85"/>
        <v>49052.5</v>
      </c>
      <c r="AF46" s="70">
        <f t="shared" si="85"/>
        <v>49235</v>
      </c>
      <c r="AG46" s="70">
        <f t="shared" si="85"/>
        <v>49417.5</v>
      </c>
      <c r="AH46" s="70">
        <f t="shared" si="85"/>
        <v>49600</v>
      </c>
      <c r="AI46" s="70">
        <f t="shared" ref="AI46:BN46" si="86">AH46+IF($G14=1,365,182.5)</f>
        <v>49782.5</v>
      </c>
      <c r="AJ46" s="70">
        <f t="shared" si="86"/>
        <v>49965</v>
      </c>
      <c r="AK46" s="70">
        <f t="shared" si="86"/>
        <v>50147.5</v>
      </c>
      <c r="AL46" s="70">
        <f t="shared" si="86"/>
        <v>50330</v>
      </c>
      <c r="AM46" s="70">
        <f t="shared" si="86"/>
        <v>50512.5</v>
      </c>
      <c r="AN46" s="70">
        <f t="shared" si="86"/>
        <v>50695</v>
      </c>
      <c r="AO46" s="70">
        <f t="shared" si="86"/>
        <v>50877.5</v>
      </c>
      <c r="AP46" s="70">
        <f t="shared" si="86"/>
        <v>51060</v>
      </c>
      <c r="AQ46" s="70">
        <f t="shared" si="86"/>
        <v>51242.5</v>
      </c>
      <c r="AR46" s="70">
        <f t="shared" si="86"/>
        <v>51425</v>
      </c>
      <c r="AS46" s="70">
        <f t="shared" si="86"/>
        <v>51607.5</v>
      </c>
      <c r="AT46" s="70">
        <f t="shared" si="86"/>
        <v>51790</v>
      </c>
      <c r="AU46" s="70">
        <f t="shared" si="86"/>
        <v>51972.5</v>
      </c>
      <c r="AV46" s="70">
        <f t="shared" si="86"/>
        <v>52155</v>
      </c>
      <c r="AW46" s="70">
        <f t="shared" si="86"/>
        <v>52337.5</v>
      </c>
      <c r="AX46" s="70">
        <f t="shared" si="86"/>
        <v>52520</v>
      </c>
      <c r="AY46" s="70">
        <f t="shared" si="86"/>
        <v>52702.5</v>
      </c>
      <c r="AZ46" s="70">
        <f t="shared" si="86"/>
        <v>52885</v>
      </c>
      <c r="BA46" s="70">
        <f t="shared" si="86"/>
        <v>53067.5</v>
      </c>
      <c r="BB46" s="70">
        <f t="shared" si="86"/>
        <v>53250</v>
      </c>
      <c r="BC46" s="70">
        <f t="shared" si="86"/>
        <v>53432.5</v>
      </c>
      <c r="BD46" s="70">
        <f t="shared" si="86"/>
        <v>53615</v>
      </c>
      <c r="BE46" s="70">
        <f t="shared" si="86"/>
        <v>53797.5</v>
      </c>
      <c r="BF46" s="70">
        <f t="shared" si="86"/>
        <v>53980</v>
      </c>
      <c r="BG46" s="70">
        <f t="shared" si="86"/>
        <v>54162.5</v>
      </c>
      <c r="BH46" s="70">
        <f t="shared" si="86"/>
        <v>54345</v>
      </c>
      <c r="BI46" s="70">
        <f t="shared" si="86"/>
        <v>54527.5</v>
      </c>
      <c r="BJ46" s="70">
        <f t="shared" si="86"/>
        <v>54710</v>
      </c>
      <c r="BK46" s="70">
        <f t="shared" si="86"/>
        <v>54892.5</v>
      </c>
      <c r="BL46" s="70">
        <f t="shared" si="86"/>
        <v>55075</v>
      </c>
      <c r="BM46" s="70">
        <f t="shared" si="86"/>
        <v>55257.5</v>
      </c>
      <c r="BN46" s="70">
        <f t="shared" si="86"/>
        <v>55440</v>
      </c>
      <c r="BO46" s="70">
        <f t="shared" ref="BO46:CB46" si="87">BN46+IF($G14=1,365,182.5)</f>
        <v>55622.5</v>
      </c>
      <c r="BP46" s="70">
        <f t="shared" si="87"/>
        <v>55805</v>
      </c>
      <c r="BQ46" s="70">
        <f t="shared" si="87"/>
        <v>55987.5</v>
      </c>
      <c r="BR46" s="70">
        <f t="shared" si="87"/>
        <v>56170</v>
      </c>
      <c r="BS46" s="70">
        <f t="shared" si="87"/>
        <v>56352.5</v>
      </c>
      <c r="BT46" s="70">
        <f t="shared" si="87"/>
        <v>56535</v>
      </c>
      <c r="BU46" s="70">
        <f t="shared" si="87"/>
        <v>56717.5</v>
      </c>
      <c r="BV46" s="70">
        <f t="shared" si="87"/>
        <v>56900</v>
      </c>
      <c r="BW46" s="70">
        <f t="shared" si="87"/>
        <v>57082.5</v>
      </c>
      <c r="BX46" s="70">
        <f t="shared" si="87"/>
        <v>57265</v>
      </c>
      <c r="BY46" s="70">
        <f t="shared" si="87"/>
        <v>57447.5</v>
      </c>
      <c r="BZ46" s="70">
        <f t="shared" si="87"/>
        <v>57630</v>
      </c>
      <c r="CA46" s="70">
        <f t="shared" si="87"/>
        <v>57812.5</v>
      </c>
      <c r="CB46" s="71">
        <f t="shared" si="87"/>
        <v>57995</v>
      </c>
    </row>
    <row r="47" spans="1:80">
      <c r="A47" s="174" t="s">
        <v>31</v>
      </c>
      <c r="B47" s="139">
        <f>(IF(B46=F14,100,0)+IF(G14=1,1,0.5)*J14*100)*IF(ISBLANK(F14)=TRUE,0,1)</f>
        <v>0.8125</v>
      </c>
      <c r="C47" s="72">
        <f t="shared" ref="C47:AH47" si="88">IF(C46&gt;$F14+1,0,1)*(IF(D47=0,100,0)+IF($G14=1,1,0.5)*$J14*100)</f>
        <v>0.8125</v>
      </c>
      <c r="D47" s="72">
        <f t="shared" si="88"/>
        <v>0.8125</v>
      </c>
      <c r="E47" s="72">
        <f t="shared" si="88"/>
        <v>0.8125</v>
      </c>
      <c r="F47" s="72">
        <f t="shared" si="88"/>
        <v>0.8125</v>
      </c>
      <c r="G47" s="72">
        <f t="shared" si="88"/>
        <v>0.8125</v>
      </c>
      <c r="H47" s="72">
        <f t="shared" si="88"/>
        <v>0.8125</v>
      </c>
      <c r="I47" s="72">
        <f t="shared" si="88"/>
        <v>0.8125</v>
      </c>
      <c r="J47" s="72">
        <f t="shared" si="88"/>
        <v>0.8125</v>
      </c>
      <c r="K47" s="72">
        <f t="shared" si="88"/>
        <v>0.8125</v>
      </c>
      <c r="L47" s="72">
        <f t="shared" si="88"/>
        <v>0.8125</v>
      </c>
      <c r="M47" s="72">
        <f t="shared" si="88"/>
        <v>0.8125</v>
      </c>
      <c r="N47" s="72">
        <f t="shared" si="88"/>
        <v>0.8125</v>
      </c>
      <c r="O47" s="72">
        <f t="shared" si="88"/>
        <v>0.8125</v>
      </c>
      <c r="P47" s="72">
        <f t="shared" si="88"/>
        <v>0.8125</v>
      </c>
      <c r="Q47" s="72">
        <f t="shared" si="88"/>
        <v>0.8125</v>
      </c>
      <c r="R47" s="72">
        <f t="shared" si="88"/>
        <v>0.8125</v>
      </c>
      <c r="S47" s="72">
        <f t="shared" si="88"/>
        <v>0.8125</v>
      </c>
      <c r="T47" s="72">
        <f t="shared" si="88"/>
        <v>100.8125</v>
      </c>
      <c r="U47" s="72">
        <f t="shared" si="88"/>
        <v>0</v>
      </c>
      <c r="V47" s="72">
        <f t="shared" si="88"/>
        <v>0</v>
      </c>
      <c r="W47" s="72">
        <f t="shared" si="88"/>
        <v>0</v>
      </c>
      <c r="X47" s="72">
        <f t="shared" si="88"/>
        <v>0</v>
      </c>
      <c r="Y47" s="72">
        <f t="shared" si="88"/>
        <v>0</v>
      </c>
      <c r="Z47" s="72">
        <f t="shared" si="88"/>
        <v>0</v>
      </c>
      <c r="AA47" s="72">
        <f t="shared" si="88"/>
        <v>0</v>
      </c>
      <c r="AB47" s="72">
        <f t="shared" si="88"/>
        <v>0</v>
      </c>
      <c r="AC47" s="72">
        <f t="shared" si="88"/>
        <v>0</v>
      </c>
      <c r="AD47" s="72">
        <f t="shared" si="88"/>
        <v>0</v>
      </c>
      <c r="AE47" s="72">
        <f t="shared" si="88"/>
        <v>0</v>
      </c>
      <c r="AF47" s="72">
        <f t="shared" si="88"/>
        <v>0</v>
      </c>
      <c r="AG47" s="72">
        <f t="shared" si="88"/>
        <v>0</v>
      </c>
      <c r="AH47" s="72">
        <f t="shared" si="88"/>
        <v>0</v>
      </c>
      <c r="AI47" s="72">
        <f t="shared" ref="AI47:BN47" si="89">IF(AI46&gt;$F14+1,0,1)*(IF(AJ47=0,100,0)+IF($G14=1,1,0.5)*$J14*100)</f>
        <v>0</v>
      </c>
      <c r="AJ47" s="72">
        <f t="shared" si="89"/>
        <v>0</v>
      </c>
      <c r="AK47" s="72">
        <f t="shared" si="89"/>
        <v>0</v>
      </c>
      <c r="AL47" s="72">
        <f t="shared" si="89"/>
        <v>0</v>
      </c>
      <c r="AM47" s="72">
        <f t="shared" si="89"/>
        <v>0</v>
      </c>
      <c r="AN47" s="72">
        <f t="shared" si="89"/>
        <v>0</v>
      </c>
      <c r="AO47" s="72">
        <f t="shared" si="89"/>
        <v>0</v>
      </c>
      <c r="AP47" s="72">
        <f t="shared" si="89"/>
        <v>0</v>
      </c>
      <c r="AQ47" s="72">
        <f t="shared" si="89"/>
        <v>0</v>
      </c>
      <c r="AR47" s="72">
        <f t="shared" si="89"/>
        <v>0</v>
      </c>
      <c r="AS47" s="72">
        <f t="shared" si="89"/>
        <v>0</v>
      </c>
      <c r="AT47" s="72">
        <f t="shared" si="89"/>
        <v>0</v>
      </c>
      <c r="AU47" s="72">
        <f t="shared" si="89"/>
        <v>0</v>
      </c>
      <c r="AV47" s="72">
        <f t="shared" si="89"/>
        <v>0</v>
      </c>
      <c r="AW47" s="72">
        <f t="shared" si="89"/>
        <v>0</v>
      </c>
      <c r="AX47" s="72">
        <f t="shared" si="89"/>
        <v>0</v>
      </c>
      <c r="AY47" s="72">
        <f t="shared" si="89"/>
        <v>0</v>
      </c>
      <c r="AZ47" s="72">
        <f t="shared" si="89"/>
        <v>0</v>
      </c>
      <c r="BA47" s="72">
        <f t="shared" si="89"/>
        <v>0</v>
      </c>
      <c r="BB47" s="72">
        <f t="shared" si="89"/>
        <v>0</v>
      </c>
      <c r="BC47" s="72">
        <f t="shared" si="89"/>
        <v>0</v>
      </c>
      <c r="BD47" s="72">
        <f t="shared" si="89"/>
        <v>0</v>
      </c>
      <c r="BE47" s="72">
        <f t="shared" si="89"/>
        <v>0</v>
      </c>
      <c r="BF47" s="72">
        <f t="shared" si="89"/>
        <v>0</v>
      </c>
      <c r="BG47" s="72">
        <f t="shared" si="89"/>
        <v>0</v>
      </c>
      <c r="BH47" s="72">
        <f t="shared" si="89"/>
        <v>0</v>
      </c>
      <c r="BI47" s="72">
        <f t="shared" si="89"/>
        <v>0</v>
      </c>
      <c r="BJ47" s="72">
        <f t="shared" si="89"/>
        <v>0</v>
      </c>
      <c r="BK47" s="72">
        <f t="shared" si="89"/>
        <v>0</v>
      </c>
      <c r="BL47" s="72">
        <f t="shared" si="89"/>
        <v>0</v>
      </c>
      <c r="BM47" s="72">
        <f t="shared" si="89"/>
        <v>0</v>
      </c>
      <c r="BN47" s="72">
        <f t="shared" si="89"/>
        <v>0</v>
      </c>
      <c r="BO47" s="72">
        <f t="shared" ref="BO47:CB47" si="90">IF(BO46&gt;$F14+1,0,1)*(IF(BP47=0,100,0)+IF($G14=1,1,0.5)*$J14*100)</f>
        <v>0</v>
      </c>
      <c r="BP47" s="72">
        <f t="shared" si="90"/>
        <v>0</v>
      </c>
      <c r="BQ47" s="72">
        <f t="shared" si="90"/>
        <v>0</v>
      </c>
      <c r="BR47" s="72">
        <f t="shared" si="90"/>
        <v>0</v>
      </c>
      <c r="BS47" s="72">
        <f t="shared" si="90"/>
        <v>0</v>
      </c>
      <c r="BT47" s="72">
        <f t="shared" si="90"/>
        <v>0</v>
      </c>
      <c r="BU47" s="72">
        <f t="shared" si="90"/>
        <v>0</v>
      </c>
      <c r="BV47" s="72">
        <f t="shared" si="90"/>
        <v>0</v>
      </c>
      <c r="BW47" s="72">
        <f t="shared" si="90"/>
        <v>0</v>
      </c>
      <c r="BX47" s="72">
        <f t="shared" si="90"/>
        <v>0</v>
      </c>
      <c r="BY47" s="72">
        <f t="shared" si="90"/>
        <v>0</v>
      </c>
      <c r="BZ47" s="72">
        <f t="shared" si="90"/>
        <v>0</v>
      </c>
      <c r="CA47" s="72">
        <f t="shared" si="90"/>
        <v>0</v>
      </c>
      <c r="CB47" s="73">
        <f t="shared" si="90"/>
        <v>0</v>
      </c>
    </row>
    <row r="48" spans="1:80">
      <c r="A48" s="253" t="s">
        <v>49</v>
      </c>
      <c r="B48" s="74" t="str">
        <f>IF(E15=0,F15,E15)</f>
        <v>12/7/2019</v>
      </c>
      <c r="C48" s="75">
        <f>B48+IF($G15=1,365,182.5)</f>
        <v>43988.5</v>
      </c>
      <c r="D48" s="75">
        <f t="shared" ref="D48:BO48" si="91">C48+IF($G15=1,365,182.5)</f>
        <v>44171</v>
      </c>
      <c r="E48" s="75">
        <f t="shared" si="91"/>
        <v>44353.5</v>
      </c>
      <c r="F48" s="75">
        <f t="shared" si="91"/>
        <v>44536</v>
      </c>
      <c r="G48" s="75">
        <f t="shared" si="91"/>
        <v>44718.5</v>
      </c>
      <c r="H48" s="75">
        <f t="shared" si="91"/>
        <v>44901</v>
      </c>
      <c r="I48" s="75">
        <f t="shared" si="91"/>
        <v>45083.5</v>
      </c>
      <c r="J48" s="75">
        <f t="shared" si="91"/>
        <v>45266</v>
      </c>
      <c r="K48" s="75">
        <f t="shared" si="91"/>
        <v>45448.5</v>
      </c>
      <c r="L48" s="75">
        <f t="shared" si="91"/>
        <v>45631</v>
      </c>
      <c r="M48" s="75">
        <f t="shared" si="91"/>
        <v>45813.5</v>
      </c>
      <c r="N48" s="75">
        <f t="shared" si="91"/>
        <v>45996</v>
      </c>
      <c r="O48" s="75">
        <f t="shared" si="91"/>
        <v>46178.5</v>
      </c>
      <c r="P48" s="75">
        <f t="shared" si="91"/>
        <v>46361</v>
      </c>
      <c r="Q48" s="75">
        <f t="shared" si="91"/>
        <v>46543.5</v>
      </c>
      <c r="R48" s="75">
        <f t="shared" si="91"/>
        <v>46726</v>
      </c>
      <c r="S48" s="75">
        <f t="shared" si="91"/>
        <v>46908.5</v>
      </c>
      <c r="T48" s="75">
        <f t="shared" si="91"/>
        <v>47091</v>
      </c>
      <c r="U48" s="75">
        <f t="shared" si="91"/>
        <v>47273.5</v>
      </c>
      <c r="V48" s="75">
        <f t="shared" si="91"/>
        <v>47456</v>
      </c>
      <c r="W48" s="75">
        <f t="shared" si="91"/>
        <v>47638.5</v>
      </c>
      <c r="X48" s="75">
        <f t="shared" si="91"/>
        <v>47821</v>
      </c>
      <c r="Y48" s="75">
        <f t="shared" si="91"/>
        <v>48003.5</v>
      </c>
      <c r="Z48" s="75">
        <f t="shared" si="91"/>
        <v>48186</v>
      </c>
      <c r="AA48" s="75">
        <f t="shared" si="91"/>
        <v>48368.5</v>
      </c>
      <c r="AB48" s="75">
        <f t="shared" si="91"/>
        <v>48551</v>
      </c>
      <c r="AC48" s="75">
        <f t="shared" si="91"/>
        <v>48733.5</v>
      </c>
      <c r="AD48" s="75">
        <f t="shared" si="91"/>
        <v>48916</v>
      </c>
      <c r="AE48" s="75">
        <f t="shared" si="91"/>
        <v>49098.5</v>
      </c>
      <c r="AF48" s="75">
        <f t="shared" si="91"/>
        <v>49281</v>
      </c>
      <c r="AG48" s="75">
        <f t="shared" si="91"/>
        <v>49463.5</v>
      </c>
      <c r="AH48" s="75">
        <f t="shared" si="91"/>
        <v>49646</v>
      </c>
      <c r="AI48" s="75">
        <f t="shared" si="91"/>
        <v>49828.5</v>
      </c>
      <c r="AJ48" s="75">
        <f t="shared" si="91"/>
        <v>50011</v>
      </c>
      <c r="AK48" s="75">
        <f t="shared" si="91"/>
        <v>50193.5</v>
      </c>
      <c r="AL48" s="75">
        <f t="shared" si="91"/>
        <v>50376</v>
      </c>
      <c r="AM48" s="75">
        <f t="shared" si="91"/>
        <v>50558.5</v>
      </c>
      <c r="AN48" s="75">
        <f t="shared" si="91"/>
        <v>50741</v>
      </c>
      <c r="AO48" s="75">
        <f t="shared" si="91"/>
        <v>50923.5</v>
      </c>
      <c r="AP48" s="75">
        <f t="shared" si="91"/>
        <v>51106</v>
      </c>
      <c r="AQ48" s="75">
        <f t="shared" si="91"/>
        <v>51288.5</v>
      </c>
      <c r="AR48" s="75">
        <f t="shared" si="91"/>
        <v>51471</v>
      </c>
      <c r="AS48" s="75">
        <f t="shared" si="91"/>
        <v>51653.5</v>
      </c>
      <c r="AT48" s="75">
        <f t="shared" si="91"/>
        <v>51836</v>
      </c>
      <c r="AU48" s="75">
        <f t="shared" si="91"/>
        <v>52018.5</v>
      </c>
      <c r="AV48" s="75">
        <f t="shared" si="91"/>
        <v>52201</v>
      </c>
      <c r="AW48" s="75">
        <f t="shared" si="91"/>
        <v>52383.5</v>
      </c>
      <c r="AX48" s="75">
        <f t="shared" si="91"/>
        <v>52566</v>
      </c>
      <c r="AY48" s="75">
        <f t="shared" si="91"/>
        <v>52748.5</v>
      </c>
      <c r="AZ48" s="75">
        <f t="shared" si="91"/>
        <v>52931</v>
      </c>
      <c r="BA48" s="75">
        <f t="shared" si="91"/>
        <v>53113.5</v>
      </c>
      <c r="BB48" s="75">
        <f t="shared" si="91"/>
        <v>53296</v>
      </c>
      <c r="BC48" s="75">
        <f t="shared" si="91"/>
        <v>53478.5</v>
      </c>
      <c r="BD48" s="75">
        <f t="shared" si="91"/>
        <v>53661</v>
      </c>
      <c r="BE48" s="75">
        <f t="shared" si="91"/>
        <v>53843.5</v>
      </c>
      <c r="BF48" s="75">
        <f t="shared" si="91"/>
        <v>54026</v>
      </c>
      <c r="BG48" s="75">
        <f t="shared" si="91"/>
        <v>54208.5</v>
      </c>
      <c r="BH48" s="75">
        <f t="shared" si="91"/>
        <v>54391</v>
      </c>
      <c r="BI48" s="75">
        <f t="shared" si="91"/>
        <v>54573.5</v>
      </c>
      <c r="BJ48" s="75">
        <f t="shared" si="91"/>
        <v>54756</v>
      </c>
      <c r="BK48" s="75">
        <f t="shared" si="91"/>
        <v>54938.5</v>
      </c>
      <c r="BL48" s="75">
        <f t="shared" si="91"/>
        <v>55121</v>
      </c>
      <c r="BM48" s="75">
        <f t="shared" si="91"/>
        <v>55303.5</v>
      </c>
      <c r="BN48" s="75">
        <f t="shared" si="91"/>
        <v>55486</v>
      </c>
      <c r="BO48" s="75">
        <f t="shared" si="91"/>
        <v>55668.5</v>
      </c>
      <c r="BP48" s="75">
        <f t="shared" ref="BP48:CB48" si="92">BO48+IF($G15=1,365,182.5)</f>
        <v>55851</v>
      </c>
      <c r="BQ48" s="75">
        <f t="shared" si="92"/>
        <v>56033.5</v>
      </c>
      <c r="BR48" s="75">
        <f t="shared" si="92"/>
        <v>56216</v>
      </c>
      <c r="BS48" s="75">
        <f t="shared" si="92"/>
        <v>56398.5</v>
      </c>
      <c r="BT48" s="75">
        <f t="shared" si="92"/>
        <v>56581</v>
      </c>
      <c r="BU48" s="75">
        <f t="shared" si="92"/>
        <v>56763.5</v>
      </c>
      <c r="BV48" s="75">
        <f t="shared" si="92"/>
        <v>56946</v>
      </c>
      <c r="BW48" s="75">
        <f t="shared" si="92"/>
        <v>57128.5</v>
      </c>
      <c r="BX48" s="75">
        <f t="shared" si="92"/>
        <v>57311</v>
      </c>
      <c r="BY48" s="75">
        <f t="shared" si="92"/>
        <v>57493.5</v>
      </c>
      <c r="BZ48" s="75">
        <f t="shared" si="92"/>
        <v>57676</v>
      </c>
      <c r="CA48" s="75">
        <f t="shared" si="92"/>
        <v>57858.5</v>
      </c>
      <c r="CB48" s="76">
        <f t="shared" si="92"/>
        <v>58041</v>
      </c>
    </row>
    <row r="49" spans="1:80">
      <c r="A49" s="175" t="s">
        <v>32</v>
      </c>
      <c r="B49" s="110">
        <f>(IF(B48=F15,100,0)+IF(G15=1,1,0.5)*J15*100)*IF(ISBLANK(F15)=TRUE,0,1)</f>
        <v>2.375</v>
      </c>
      <c r="C49" s="77">
        <f>IF(C48&gt;$F15+1,0,1)*(IF(D49=0,100,0)+IF($G15=1,1,0.5)*$J15*100)</f>
        <v>2.375</v>
      </c>
      <c r="D49" s="77">
        <f t="shared" ref="D49:BO49" si="93">IF(D48&gt;$F15+1,0,1)*(IF(E49=0,100,0)+IF($G15=1,1,0.5)*$J15*100)</f>
        <v>2.375</v>
      </c>
      <c r="E49" s="77">
        <f t="shared" si="93"/>
        <v>2.375</v>
      </c>
      <c r="F49" s="77">
        <f t="shared" si="93"/>
        <v>2.375</v>
      </c>
      <c r="G49" s="77">
        <f t="shared" si="93"/>
        <v>2.375</v>
      </c>
      <c r="H49" s="77">
        <f t="shared" si="93"/>
        <v>2.375</v>
      </c>
      <c r="I49" s="77">
        <f t="shared" si="93"/>
        <v>2.375</v>
      </c>
      <c r="J49" s="77">
        <f t="shared" si="93"/>
        <v>2.375</v>
      </c>
      <c r="K49" s="77">
        <f t="shared" si="93"/>
        <v>2.375</v>
      </c>
      <c r="L49" s="77">
        <f t="shared" si="93"/>
        <v>2.375</v>
      </c>
      <c r="M49" s="77">
        <f t="shared" si="93"/>
        <v>2.375</v>
      </c>
      <c r="N49" s="77">
        <f t="shared" si="93"/>
        <v>2.375</v>
      </c>
      <c r="O49" s="77">
        <f t="shared" si="93"/>
        <v>2.375</v>
      </c>
      <c r="P49" s="77">
        <f t="shared" si="93"/>
        <v>2.375</v>
      </c>
      <c r="Q49" s="77">
        <f t="shared" si="93"/>
        <v>2.375</v>
      </c>
      <c r="R49" s="77">
        <f t="shared" si="93"/>
        <v>2.375</v>
      </c>
      <c r="S49" s="77">
        <f t="shared" si="93"/>
        <v>2.375</v>
      </c>
      <c r="T49" s="77">
        <f t="shared" si="93"/>
        <v>2.375</v>
      </c>
      <c r="U49" s="77">
        <f t="shared" si="93"/>
        <v>2.375</v>
      </c>
      <c r="V49" s="77">
        <f t="shared" si="93"/>
        <v>2.375</v>
      </c>
      <c r="W49" s="77">
        <f t="shared" si="93"/>
        <v>2.375</v>
      </c>
      <c r="X49" s="77">
        <f t="shared" si="93"/>
        <v>102.375</v>
      </c>
      <c r="Y49" s="77">
        <f t="shared" si="93"/>
        <v>0</v>
      </c>
      <c r="Z49" s="77">
        <f t="shared" si="93"/>
        <v>0</v>
      </c>
      <c r="AA49" s="77">
        <f t="shared" si="93"/>
        <v>0</v>
      </c>
      <c r="AB49" s="77">
        <f t="shared" si="93"/>
        <v>0</v>
      </c>
      <c r="AC49" s="77">
        <f t="shared" si="93"/>
        <v>0</v>
      </c>
      <c r="AD49" s="77">
        <f t="shared" si="93"/>
        <v>0</v>
      </c>
      <c r="AE49" s="77">
        <f t="shared" si="93"/>
        <v>0</v>
      </c>
      <c r="AF49" s="77">
        <f t="shared" si="93"/>
        <v>0</v>
      </c>
      <c r="AG49" s="77">
        <f t="shared" si="93"/>
        <v>0</v>
      </c>
      <c r="AH49" s="77">
        <f t="shared" si="93"/>
        <v>0</v>
      </c>
      <c r="AI49" s="77">
        <f t="shared" si="93"/>
        <v>0</v>
      </c>
      <c r="AJ49" s="77">
        <f t="shared" si="93"/>
        <v>0</v>
      </c>
      <c r="AK49" s="77">
        <f t="shared" si="93"/>
        <v>0</v>
      </c>
      <c r="AL49" s="77">
        <f t="shared" si="93"/>
        <v>0</v>
      </c>
      <c r="AM49" s="77">
        <f t="shared" si="93"/>
        <v>0</v>
      </c>
      <c r="AN49" s="77">
        <f t="shared" si="93"/>
        <v>0</v>
      </c>
      <c r="AO49" s="77">
        <f t="shared" si="93"/>
        <v>0</v>
      </c>
      <c r="AP49" s="77">
        <f t="shared" si="93"/>
        <v>0</v>
      </c>
      <c r="AQ49" s="77">
        <f t="shared" si="93"/>
        <v>0</v>
      </c>
      <c r="AR49" s="77">
        <f t="shared" si="93"/>
        <v>0</v>
      </c>
      <c r="AS49" s="77">
        <f t="shared" si="93"/>
        <v>0</v>
      </c>
      <c r="AT49" s="77">
        <f t="shared" si="93"/>
        <v>0</v>
      </c>
      <c r="AU49" s="77">
        <f t="shared" si="93"/>
        <v>0</v>
      </c>
      <c r="AV49" s="77">
        <f t="shared" si="93"/>
        <v>0</v>
      </c>
      <c r="AW49" s="77">
        <f t="shared" si="93"/>
        <v>0</v>
      </c>
      <c r="AX49" s="77">
        <f t="shared" si="93"/>
        <v>0</v>
      </c>
      <c r="AY49" s="77">
        <f t="shared" si="93"/>
        <v>0</v>
      </c>
      <c r="AZ49" s="77">
        <f t="shared" si="93"/>
        <v>0</v>
      </c>
      <c r="BA49" s="77">
        <f t="shared" si="93"/>
        <v>0</v>
      </c>
      <c r="BB49" s="77">
        <f t="shared" si="93"/>
        <v>0</v>
      </c>
      <c r="BC49" s="77">
        <f t="shared" si="93"/>
        <v>0</v>
      </c>
      <c r="BD49" s="77">
        <f t="shared" si="93"/>
        <v>0</v>
      </c>
      <c r="BE49" s="77">
        <f t="shared" si="93"/>
        <v>0</v>
      </c>
      <c r="BF49" s="77">
        <f t="shared" si="93"/>
        <v>0</v>
      </c>
      <c r="BG49" s="77">
        <f t="shared" si="93"/>
        <v>0</v>
      </c>
      <c r="BH49" s="77">
        <f t="shared" si="93"/>
        <v>0</v>
      </c>
      <c r="BI49" s="77">
        <f t="shared" si="93"/>
        <v>0</v>
      </c>
      <c r="BJ49" s="77">
        <f t="shared" si="93"/>
        <v>0</v>
      </c>
      <c r="BK49" s="77">
        <f t="shared" si="93"/>
        <v>0</v>
      </c>
      <c r="BL49" s="77">
        <f t="shared" si="93"/>
        <v>0</v>
      </c>
      <c r="BM49" s="77">
        <f t="shared" si="93"/>
        <v>0</v>
      </c>
      <c r="BN49" s="77">
        <f t="shared" si="93"/>
        <v>0</v>
      </c>
      <c r="BO49" s="77">
        <f t="shared" si="93"/>
        <v>0</v>
      </c>
      <c r="BP49" s="77">
        <f t="shared" ref="BP49:CB49" si="94">IF(BP48&gt;$F15+1,0,1)*(IF(BQ49=0,100,0)+IF($G15=1,1,0.5)*$J15*100)</f>
        <v>0</v>
      </c>
      <c r="BQ49" s="77">
        <f t="shared" si="94"/>
        <v>0</v>
      </c>
      <c r="BR49" s="77">
        <f t="shared" si="94"/>
        <v>0</v>
      </c>
      <c r="BS49" s="77">
        <f t="shared" si="94"/>
        <v>0</v>
      </c>
      <c r="BT49" s="77">
        <f t="shared" si="94"/>
        <v>0</v>
      </c>
      <c r="BU49" s="77">
        <f t="shared" si="94"/>
        <v>0</v>
      </c>
      <c r="BV49" s="77">
        <f t="shared" si="94"/>
        <v>0</v>
      </c>
      <c r="BW49" s="77">
        <f t="shared" si="94"/>
        <v>0</v>
      </c>
      <c r="BX49" s="77">
        <f t="shared" si="94"/>
        <v>0</v>
      </c>
      <c r="BY49" s="77">
        <f t="shared" si="94"/>
        <v>0</v>
      </c>
      <c r="BZ49" s="77">
        <f t="shared" si="94"/>
        <v>0</v>
      </c>
      <c r="CA49" s="77">
        <f t="shared" si="94"/>
        <v>0</v>
      </c>
      <c r="CB49" s="78">
        <f t="shared" si="94"/>
        <v>0</v>
      </c>
    </row>
    <row r="50" spans="1:80">
      <c r="A50" s="252" t="s">
        <v>49</v>
      </c>
      <c r="B50" s="47" t="str">
        <f>IF(E16=0,F16,E16)</f>
        <v>9/7/2019</v>
      </c>
      <c r="C50" s="48">
        <f>B50+IF($G16=1,365,182.5)</f>
        <v>43897.5</v>
      </c>
      <c r="D50" s="48">
        <f t="shared" ref="D50:BO50" si="95">C50+IF($G16=1,365,182.5)</f>
        <v>44080</v>
      </c>
      <c r="E50" s="48">
        <f t="shared" si="95"/>
        <v>44262.5</v>
      </c>
      <c r="F50" s="48">
        <f t="shared" si="95"/>
        <v>44445</v>
      </c>
      <c r="G50" s="48">
        <f t="shared" si="95"/>
        <v>44627.5</v>
      </c>
      <c r="H50" s="48">
        <f t="shared" si="95"/>
        <v>44810</v>
      </c>
      <c r="I50" s="48">
        <f t="shared" si="95"/>
        <v>44992.5</v>
      </c>
      <c r="J50" s="48">
        <f t="shared" si="95"/>
        <v>45175</v>
      </c>
      <c r="K50" s="48">
        <f t="shared" si="95"/>
        <v>45357.5</v>
      </c>
      <c r="L50" s="48">
        <f t="shared" si="95"/>
        <v>45540</v>
      </c>
      <c r="M50" s="48">
        <f t="shared" si="95"/>
        <v>45722.5</v>
      </c>
      <c r="N50" s="48">
        <f t="shared" si="95"/>
        <v>45905</v>
      </c>
      <c r="O50" s="48">
        <f t="shared" si="95"/>
        <v>46087.5</v>
      </c>
      <c r="P50" s="48">
        <f t="shared" si="95"/>
        <v>46270</v>
      </c>
      <c r="Q50" s="48">
        <f t="shared" si="95"/>
        <v>46452.5</v>
      </c>
      <c r="R50" s="48">
        <f t="shared" si="95"/>
        <v>46635</v>
      </c>
      <c r="S50" s="48">
        <f t="shared" si="95"/>
        <v>46817.5</v>
      </c>
      <c r="T50" s="48">
        <f t="shared" si="95"/>
        <v>47000</v>
      </c>
      <c r="U50" s="48">
        <f t="shared" si="95"/>
        <v>47182.5</v>
      </c>
      <c r="V50" s="48">
        <f t="shared" si="95"/>
        <v>47365</v>
      </c>
      <c r="W50" s="48">
        <f t="shared" si="95"/>
        <v>47547.5</v>
      </c>
      <c r="X50" s="48">
        <f t="shared" si="95"/>
        <v>47730</v>
      </c>
      <c r="Y50" s="48">
        <f t="shared" si="95"/>
        <v>47912.5</v>
      </c>
      <c r="Z50" s="48">
        <f t="shared" si="95"/>
        <v>48095</v>
      </c>
      <c r="AA50" s="48">
        <f t="shared" si="95"/>
        <v>48277.5</v>
      </c>
      <c r="AB50" s="48">
        <f t="shared" si="95"/>
        <v>48460</v>
      </c>
      <c r="AC50" s="48">
        <f t="shared" si="95"/>
        <v>48642.5</v>
      </c>
      <c r="AD50" s="48">
        <f t="shared" si="95"/>
        <v>48825</v>
      </c>
      <c r="AE50" s="48">
        <f t="shared" si="95"/>
        <v>49007.5</v>
      </c>
      <c r="AF50" s="48">
        <f t="shared" si="95"/>
        <v>49190</v>
      </c>
      <c r="AG50" s="48">
        <f t="shared" si="95"/>
        <v>49372.5</v>
      </c>
      <c r="AH50" s="48">
        <f t="shared" si="95"/>
        <v>49555</v>
      </c>
      <c r="AI50" s="48">
        <f t="shared" si="95"/>
        <v>49737.5</v>
      </c>
      <c r="AJ50" s="48">
        <f t="shared" si="95"/>
        <v>49920</v>
      </c>
      <c r="AK50" s="48">
        <f t="shared" si="95"/>
        <v>50102.5</v>
      </c>
      <c r="AL50" s="48">
        <f t="shared" si="95"/>
        <v>50285</v>
      </c>
      <c r="AM50" s="48">
        <f t="shared" si="95"/>
        <v>50467.5</v>
      </c>
      <c r="AN50" s="48">
        <f t="shared" si="95"/>
        <v>50650</v>
      </c>
      <c r="AO50" s="48">
        <f t="shared" si="95"/>
        <v>50832.5</v>
      </c>
      <c r="AP50" s="48">
        <f t="shared" si="95"/>
        <v>51015</v>
      </c>
      <c r="AQ50" s="48">
        <f t="shared" si="95"/>
        <v>51197.5</v>
      </c>
      <c r="AR50" s="48">
        <f t="shared" si="95"/>
        <v>51380</v>
      </c>
      <c r="AS50" s="48">
        <f t="shared" si="95"/>
        <v>51562.5</v>
      </c>
      <c r="AT50" s="48">
        <f t="shared" si="95"/>
        <v>51745</v>
      </c>
      <c r="AU50" s="48">
        <f t="shared" si="95"/>
        <v>51927.5</v>
      </c>
      <c r="AV50" s="48">
        <f t="shared" si="95"/>
        <v>52110</v>
      </c>
      <c r="AW50" s="48">
        <f t="shared" si="95"/>
        <v>52292.5</v>
      </c>
      <c r="AX50" s="48">
        <f t="shared" si="95"/>
        <v>52475</v>
      </c>
      <c r="AY50" s="48">
        <f t="shared" si="95"/>
        <v>52657.5</v>
      </c>
      <c r="AZ50" s="48">
        <f t="shared" si="95"/>
        <v>52840</v>
      </c>
      <c r="BA50" s="48">
        <f t="shared" si="95"/>
        <v>53022.5</v>
      </c>
      <c r="BB50" s="48">
        <f t="shared" si="95"/>
        <v>53205</v>
      </c>
      <c r="BC50" s="48">
        <f t="shared" si="95"/>
        <v>53387.5</v>
      </c>
      <c r="BD50" s="48">
        <f t="shared" si="95"/>
        <v>53570</v>
      </c>
      <c r="BE50" s="48">
        <f t="shared" si="95"/>
        <v>53752.5</v>
      </c>
      <c r="BF50" s="48">
        <f t="shared" si="95"/>
        <v>53935</v>
      </c>
      <c r="BG50" s="48">
        <f t="shared" si="95"/>
        <v>54117.5</v>
      </c>
      <c r="BH50" s="48">
        <f t="shared" si="95"/>
        <v>54300</v>
      </c>
      <c r="BI50" s="48">
        <f t="shared" si="95"/>
        <v>54482.5</v>
      </c>
      <c r="BJ50" s="48">
        <f t="shared" si="95"/>
        <v>54665</v>
      </c>
      <c r="BK50" s="48">
        <f t="shared" si="95"/>
        <v>54847.5</v>
      </c>
      <c r="BL50" s="48">
        <f t="shared" si="95"/>
        <v>55030</v>
      </c>
      <c r="BM50" s="48">
        <f t="shared" si="95"/>
        <v>55212.5</v>
      </c>
      <c r="BN50" s="48">
        <f t="shared" si="95"/>
        <v>55395</v>
      </c>
      <c r="BO50" s="48">
        <f t="shared" si="95"/>
        <v>55577.5</v>
      </c>
      <c r="BP50" s="48">
        <f t="shared" ref="BP50:CB50" si="96">BO50+IF($G16=1,365,182.5)</f>
        <v>55760</v>
      </c>
      <c r="BQ50" s="48">
        <f t="shared" si="96"/>
        <v>55942.5</v>
      </c>
      <c r="BR50" s="48">
        <f t="shared" si="96"/>
        <v>56125</v>
      </c>
      <c r="BS50" s="48">
        <f t="shared" si="96"/>
        <v>56307.5</v>
      </c>
      <c r="BT50" s="48">
        <f t="shared" si="96"/>
        <v>56490</v>
      </c>
      <c r="BU50" s="48">
        <f t="shared" si="96"/>
        <v>56672.5</v>
      </c>
      <c r="BV50" s="48">
        <f t="shared" si="96"/>
        <v>56855</v>
      </c>
      <c r="BW50" s="48">
        <f t="shared" si="96"/>
        <v>57037.5</v>
      </c>
      <c r="BX50" s="48">
        <f t="shared" si="96"/>
        <v>57220</v>
      </c>
      <c r="BY50" s="48">
        <f t="shared" si="96"/>
        <v>57402.5</v>
      </c>
      <c r="BZ50" s="48">
        <f t="shared" si="96"/>
        <v>57585</v>
      </c>
      <c r="CA50" s="48">
        <f t="shared" si="96"/>
        <v>57767.5</v>
      </c>
      <c r="CB50" s="48">
        <f t="shared" si="96"/>
        <v>57950</v>
      </c>
    </row>
    <row r="51" spans="1:80">
      <c r="A51" s="168" t="s">
        <v>18</v>
      </c>
      <c r="B51" s="108">
        <f>(IF(B50=F16,100,0)+IF(G16=1,1,0.5)*J16*100)*IF(ISBLANK(F16)=TRUE,0,1)</f>
        <v>2.25</v>
      </c>
      <c r="C51" s="50">
        <f>IF(C50&gt;$F16+1,0,1)*(IF(D51=0,100,0)+IF($G16=1,1,0.5)*$J16*100)</f>
        <v>2.25</v>
      </c>
      <c r="D51" s="50">
        <f t="shared" ref="D51:BO51" si="97">IF(D50&gt;$F16+1,0,1)*(IF(E51=0,100,0)+IF($G16=1,1,0.5)*$J16*100)</f>
        <v>2.25</v>
      </c>
      <c r="E51" s="50">
        <f t="shared" si="97"/>
        <v>2.25</v>
      </c>
      <c r="F51" s="50">
        <f t="shared" si="97"/>
        <v>2.25</v>
      </c>
      <c r="G51" s="50">
        <f t="shared" si="97"/>
        <v>2.25</v>
      </c>
      <c r="H51" s="50">
        <f t="shared" si="97"/>
        <v>2.25</v>
      </c>
      <c r="I51" s="50">
        <f t="shared" si="97"/>
        <v>2.25</v>
      </c>
      <c r="J51" s="50">
        <f t="shared" si="97"/>
        <v>2.25</v>
      </c>
      <c r="K51" s="50">
        <f t="shared" si="97"/>
        <v>2.25</v>
      </c>
      <c r="L51" s="50">
        <f t="shared" si="97"/>
        <v>2.25</v>
      </c>
      <c r="M51" s="50">
        <f t="shared" si="97"/>
        <v>2.25</v>
      </c>
      <c r="N51" s="50">
        <f t="shared" si="97"/>
        <v>2.25</v>
      </c>
      <c r="O51" s="50">
        <f t="shared" si="97"/>
        <v>2.25</v>
      </c>
      <c r="P51" s="50">
        <f t="shared" si="97"/>
        <v>2.25</v>
      </c>
      <c r="Q51" s="50">
        <f t="shared" si="97"/>
        <v>2.25</v>
      </c>
      <c r="R51" s="50">
        <f t="shared" si="97"/>
        <v>2.25</v>
      </c>
      <c r="S51" s="50">
        <f t="shared" si="97"/>
        <v>2.25</v>
      </c>
      <c r="T51" s="50">
        <f t="shared" si="97"/>
        <v>2.25</v>
      </c>
      <c r="U51" s="50">
        <f t="shared" si="97"/>
        <v>2.25</v>
      </c>
      <c r="V51" s="50">
        <f t="shared" si="97"/>
        <v>2.25</v>
      </c>
      <c r="W51" s="50">
        <f t="shared" si="97"/>
        <v>2.25</v>
      </c>
      <c r="X51" s="50">
        <f t="shared" si="97"/>
        <v>2.25</v>
      </c>
      <c r="Y51" s="50">
        <f t="shared" si="97"/>
        <v>2.25</v>
      </c>
      <c r="Z51" s="50">
        <f t="shared" si="97"/>
        <v>2.25</v>
      </c>
      <c r="AA51" s="50">
        <f t="shared" si="97"/>
        <v>2.25</v>
      </c>
      <c r="AB51" s="50">
        <f t="shared" si="97"/>
        <v>2.25</v>
      </c>
      <c r="AC51" s="50">
        <f t="shared" si="97"/>
        <v>2.25</v>
      </c>
      <c r="AD51" s="50">
        <f t="shared" si="97"/>
        <v>2.25</v>
      </c>
      <c r="AE51" s="50">
        <f t="shared" si="97"/>
        <v>2.25</v>
      </c>
      <c r="AF51" s="50">
        <f t="shared" si="97"/>
        <v>102.25</v>
      </c>
      <c r="AG51" s="50">
        <f t="shared" si="97"/>
        <v>0</v>
      </c>
      <c r="AH51" s="50">
        <f t="shared" si="97"/>
        <v>0</v>
      </c>
      <c r="AI51" s="50">
        <f t="shared" si="97"/>
        <v>0</v>
      </c>
      <c r="AJ51" s="50">
        <f t="shared" si="97"/>
        <v>0</v>
      </c>
      <c r="AK51" s="50">
        <f t="shared" si="97"/>
        <v>0</v>
      </c>
      <c r="AL51" s="50">
        <f t="shared" si="97"/>
        <v>0</v>
      </c>
      <c r="AM51" s="50">
        <f t="shared" si="97"/>
        <v>0</v>
      </c>
      <c r="AN51" s="50">
        <f t="shared" si="97"/>
        <v>0</v>
      </c>
      <c r="AO51" s="50">
        <f t="shared" si="97"/>
        <v>0</v>
      </c>
      <c r="AP51" s="50">
        <f t="shared" si="97"/>
        <v>0</v>
      </c>
      <c r="AQ51" s="50">
        <f t="shared" si="97"/>
        <v>0</v>
      </c>
      <c r="AR51" s="50">
        <f t="shared" si="97"/>
        <v>0</v>
      </c>
      <c r="AS51" s="50">
        <f t="shared" si="97"/>
        <v>0</v>
      </c>
      <c r="AT51" s="50">
        <f t="shared" si="97"/>
        <v>0</v>
      </c>
      <c r="AU51" s="50">
        <f t="shared" si="97"/>
        <v>0</v>
      </c>
      <c r="AV51" s="50">
        <f t="shared" si="97"/>
        <v>0</v>
      </c>
      <c r="AW51" s="50">
        <f t="shared" si="97"/>
        <v>0</v>
      </c>
      <c r="AX51" s="50">
        <f t="shared" si="97"/>
        <v>0</v>
      </c>
      <c r="AY51" s="50">
        <f t="shared" si="97"/>
        <v>0</v>
      </c>
      <c r="AZ51" s="50">
        <f t="shared" si="97"/>
        <v>0</v>
      </c>
      <c r="BA51" s="50">
        <f t="shared" si="97"/>
        <v>0</v>
      </c>
      <c r="BB51" s="50">
        <f t="shared" si="97"/>
        <v>0</v>
      </c>
      <c r="BC51" s="50">
        <f t="shared" si="97"/>
        <v>0</v>
      </c>
      <c r="BD51" s="50">
        <f t="shared" si="97"/>
        <v>0</v>
      </c>
      <c r="BE51" s="50">
        <f t="shared" si="97"/>
        <v>0</v>
      </c>
      <c r="BF51" s="50">
        <f t="shared" si="97"/>
        <v>0</v>
      </c>
      <c r="BG51" s="50">
        <f t="shared" si="97"/>
        <v>0</v>
      </c>
      <c r="BH51" s="50">
        <f t="shared" si="97"/>
        <v>0</v>
      </c>
      <c r="BI51" s="50">
        <f t="shared" si="97"/>
        <v>0</v>
      </c>
      <c r="BJ51" s="50">
        <f t="shared" si="97"/>
        <v>0</v>
      </c>
      <c r="BK51" s="50">
        <f t="shared" si="97"/>
        <v>0</v>
      </c>
      <c r="BL51" s="50">
        <f t="shared" si="97"/>
        <v>0</v>
      </c>
      <c r="BM51" s="50">
        <f t="shared" si="97"/>
        <v>0</v>
      </c>
      <c r="BN51" s="50">
        <f t="shared" si="97"/>
        <v>0</v>
      </c>
      <c r="BO51" s="50">
        <f t="shared" si="97"/>
        <v>0</v>
      </c>
      <c r="BP51" s="50">
        <f t="shared" ref="BP51:CB51" si="98">IF(BP50&gt;$F16+1,0,1)*(IF(BQ51=0,100,0)+IF($G16=1,1,0.5)*$J16*100)</f>
        <v>0</v>
      </c>
      <c r="BQ51" s="50">
        <f t="shared" si="98"/>
        <v>0</v>
      </c>
      <c r="BR51" s="50">
        <f t="shared" si="98"/>
        <v>0</v>
      </c>
      <c r="BS51" s="50">
        <f t="shared" si="98"/>
        <v>0</v>
      </c>
      <c r="BT51" s="50">
        <f t="shared" si="98"/>
        <v>0</v>
      </c>
      <c r="BU51" s="50">
        <f t="shared" si="98"/>
        <v>0</v>
      </c>
      <c r="BV51" s="50">
        <f t="shared" si="98"/>
        <v>0</v>
      </c>
      <c r="BW51" s="50">
        <f t="shared" si="98"/>
        <v>0</v>
      </c>
      <c r="BX51" s="50">
        <f t="shared" si="98"/>
        <v>0</v>
      </c>
      <c r="BY51" s="50">
        <f t="shared" si="98"/>
        <v>0</v>
      </c>
      <c r="BZ51" s="50">
        <f t="shared" si="98"/>
        <v>0</v>
      </c>
      <c r="CA51" s="50">
        <f t="shared" si="98"/>
        <v>0</v>
      </c>
      <c r="CB51" s="51">
        <f t="shared" si="98"/>
        <v>0</v>
      </c>
    </row>
    <row r="52" spans="1:80">
      <c r="A52" s="251" t="s">
        <v>49</v>
      </c>
      <c r="B52" s="79" t="str">
        <f>IF(E17=0,F17,E17)</f>
        <v>9/7/2019</v>
      </c>
      <c r="C52" s="80">
        <f>B52+IF($G17=1,365,182.5)</f>
        <v>43897.5</v>
      </c>
      <c r="D52" s="80">
        <f t="shared" ref="D52:BO52" si="99">C52+IF($G17=1,365,182.5)</f>
        <v>44080</v>
      </c>
      <c r="E52" s="80">
        <f t="shared" si="99"/>
        <v>44262.5</v>
      </c>
      <c r="F52" s="80">
        <f t="shared" si="99"/>
        <v>44445</v>
      </c>
      <c r="G52" s="80">
        <f t="shared" si="99"/>
        <v>44627.5</v>
      </c>
      <c r="H52" s="80">
        <f t="shared" si="99"/>
        <v>44810</v>
      </c>
      <c r="I52" s="80">
        <f t="shared" si="99"/>
        <v>44992.5</v>
      </c>
      <c r="J52" s="80">
        <f t="shared" si="99"/>
        <v>45175</v>
      </c>
      <c r="K52" s="80">
        <f t="shared" si="99"/>
        <v>45357.5</v>
      </c>
      <c r="L52" s="80">
        <f t="shared" si="99"/>
        <v>45540</v>
      </c>
      <c r="M52" s="80">
        <f t="shared" si="99"/>
        <v>45722.5</v>
      </c>
      <c r="N52" s="80">
        <f t="shared" si="99"/>
        <v>45905</v>
      </c>
      <c r="O52" s="80">
        <f t="shared" si="99"/>
        <v>46087.5</v>
      </c>
      <c r="P52" s="80">
        <f t="shared" si="99"/>
        <v>46270</v>
      </c>
      <c r="Q52" s="80">
        <f t="shared" si="99"/>
        <v>46452.5</v>
      </c>
      <c r="R52" s="80">
        <f t="shared" si="99"/>
        <v>46635</v>
      </c>
      <c r="S52" s="80">
        <f t="shared" si="99"/>
        <v>46817.5</v>
      </c>
      <c r="T52" s="80">
        <f t="shared" si="99"/>
        <v>47000</v>
      </c>
      <c r="U52" s="80">
        <f t="shared" si="99"/>
        <v>47182.5</v>
      </c>
      <c r="V52" s="80">
        <f t="shared" si="99"/>
        <v>47365</v>
      </c>
      <c r="W52" s="80">
        <f t="shared" si="99"/>
        <v>47547.5</v>
      </c>
      <c r="X52" s="80">
        <f t="shared" si="99"/>
        <v>47730</v>
      </c>
      <c r="Y52" s="80">
        <f t="shared" si="99"/>
        <v>47912.5</v>
      </c>
      <c r="Z52" s="80">
        <f t="shared" si="99"/>
        <v>48095</v>
      </c>
      <c r="AA52" s="80">
        <f t="shared" si="99"/>
        <v>48277.5</v>
      </c>
      <c r="AB52" s="80">
        <f t="shared" si="99"/>
        <v>48460</v>
      </c>
      <c r="AC52" s="80">
        <f t="shared" si="99"/>
        <v>48642.5</v>
      </c>
      <c r="AD52" s="80">
        <f t="shared" si="99"/>
        <v>48825</v>
      </c>
      <c r="AE52" s="80">
        <f t="shared" si="99"/>
        <v>49007.5</v>
      </c>
      <c r="AF52" s="80">
        <f t="shared" si="99"/>
        <v>49190</v>
      </c>
      <c r="AG52" s="80">
        <f t="shared" si="99"/>
        <v>49372.5</v>
      </c>
      <c r="AH52" s="80">
        <f t="shared" si="99"/>
        <v>49555</v>
      </c>
      <c r="AI52" s="80">
        <f t="shared" si="99"/>
        <v>49737.5</v>
      </c>
      <c r="AJ52" s="80">
        <f t="shared" si="99"/>
        <v>49920</v>
      </c>
      <c r="AK52" s="80">
        <f t="shared" si="99"/>
        <v>50102.5</v>
      </c>
      <c r="AL52" s="80">
        <f t="shared" si="99"/>
        <v>50285</v>
      </c>
      <c r="AM52" s="80">
        <f t="shared" si="99"/>
        <v>50467.5</v>
      </c>
      <c r="AN52" s="80">
        <f t="shared" si="99"/>
        <v>50650</v>
      </c>
      <c r="AO52" s="80">
        <f t="shared" si="99"/>
        <v>50832.5</v>
      </c>
      <c r="AP52" s="80">
        <f t="shared" si="99"/>
        <v>51015</v>
      </c>
      <c r="AQ52" s="80">
        <f t="shared" si="99"/>
        <v>51197.5</v>
      </c>
      <c r="AR52" s="80">
        <f t="shared" si="99"/>
        <v>51380</v>
      </c>
      <c r="AS52" s="80">
        <f t="shared" si="99"/>
        <v>51562.5</v>
      </c>
      <c r="AT52" s="80">
        <f t="shared" si="99"/>
        <v>51745</v>
      </c>
      <c r="AU52" s="80">
        <f t="shared" si="99"/>
        <v>51927.5</v>
      </c>
      <c r="AV52" s="80">
        <f t="shared" si="99"/>
        <v>52110</v>
      </c>
      <c r="AW52" s="80">
        <f t="shared" si="99"/>
        <v>52292.5</v>
      </c>
      <c r="AX52" s="80">
        <f t="shared" si="99"/>
        <v>52475</v>
      </c>
      <c r="AY52" s="80">
        <f t="shared" si="99"/>
        <v>52657.5</v>
      </c>
      <c r="AZ52" s="80">
        <f t="shared" si="99"/>
        <v>52840</v>
      </c>
      <c r="BA52" s="80">
        <f t="shared" si="99"/>
        <v>53022.5</v>
      </c>
      <c r="BB52" s="80">
        <f t="shared" si="99"/>
        <v>53205</v>
      </c>
      <c r="BC52" s="80">
        <f t="shared" si="99"/>
        <v>53387.5</v>
      </c>
      <c r="BD52" s="80">
        <f t="shared" si="99"/>
        <v>53570</v>
      </c>
      <c r="BE52" s="80">
        <f t="shared" si="99"/>
        <v>53752.5</v>
      </c>
      <c r="BF52" s="80">
        <f t="shared" si="99"/>
        <v>53935</v>
      </c>
      <c r="BG52" s="80">
        <f t="shared" si="99"/>
        <v>54117.5</v>
      </c>
      <c r="BH52" s="80">
        <f t="shared" si="99"/>
        <v>54300</v>
      </c>
      <c r="BI52" s="80">
        <f t="shared" si="99"/>
        <v>54482.5</v>
      </c>
      <c r="BJ52" s="80">
        <f t="shared" si="99"/>
        <v>54665</v>
      </c>
      <c r="BK52" s="80">
        <f t="shared" si="99"/>
        <v>54847.5</v>
      </c>
      <c r="BL52" s="80">
        <f t="shared" si="99"/>
        <v>55030</v>
      </c>
      <c r="BM52" s="80">
        <f t="shared" si="99"/>
        <v>55212.5</v>
      </c>
      <c r="BN52" s="80">
        <f t="shared" si="99"/>
        <v>55395</v>
      </c>
      <c r="BO52" s="80">
        <f t="shared" si="99"/>
        <v>55577.5</v>
      </c>
      <c r="BP52" s="80">
        <f t="shared" ref="BP52:CB52" si="100">BO52+IF($G17=1,365,182.5)</f>
        <v>55760</v>
      </c>
      <c r="BQ52" s="80">
        <f t="shared" si="100"/>
        <v>55942.5</v>
      </c>
      <c r="BR52" s="80">
        <f t="shared" si="100"/>
        <v>56125</v>
      </c>
      <c r="BS52" s="80">
        <f t="shared" si="100"/>
        <v>56307.5</v>
      </c>
      <c r="BT52" s="80">
        <f t="shared" si="100"/>
        <v>56490</v>
      </c>
      <c r="BU52" s="80">
        <f t="shared" si="100"/>
        <v>56672.5</v>
      </c>
      <c r="BV52" s="80">
        <f t="shared" si="100"/>
        <v>56855</v>
      </c>
      <c r="BW52" s="80">
        <f t="shared" si="100"/>
        <v>57037.5</v>
      </c>
      <c r="BX52" s="80">
        <f t="shared" si="100"/>
        <v>57220</v>
      </c>
      <c r="BY52" s="80">
        <f t="shared" si="100"/>
        <v>57402.5</v>
      </c>
      <c r="BZ52" s="80">
        <f t="shared" si="100"/>
        <v>57585</v>
      </c>
      <c r="CA52" s="80">
        <f t="shared" si="100"/>
        <v>57767.5</v>
      </c>
      <c r="CB52" s="81">
        <f t="shared" si="100"/>
        <v>57950</v>
      </c>
    </row>
    <row r="53" spans="1:80">
      <c r="A53" s="176" t="s">
        <v>33</v>
      </c>
      <c r="B53" s="114">
        <f>(IF(B52=F17,100,0)+IF(G17=1,1,0.5)*J17*100)*IF(ISBLANK(F17)=TRUE,0,1)</f>
        <v>0.87500000000000011</v>
      </c>
      <c r="C53" s="82">
        <f>IF(C52&gt;$F17+1,0,1)*(IF(D53=0,100,0)+IF($G17=1,1,0.5)*$J17*100)</f>
        <v>0.87500000000000011</v>
      </c>
      <c r="D53" s="82">
        <f t="shared" ref="D53:K53" si="101">IF(D52&gt;$F17+1,0,1)*(IF(E53=0,100,0)+IF($G17=1,1,0.5)*$J17*100)</f>
        <v>0.87500000000000011</v>
      </c>
      <c r="E53" s="82">
        <f t="shared" si="101"/>
        <v>0.87500000000000011</v>
      </c>
      <c r="F53" s="82">
        <f t="shared" si="101"/>
        <v>0.87500000000000011</v>
      </c>
      <c r="G53" s="82">
        <f t="shared" si="101"/>
        <v>0.87500000000000011</v>
      </c>
      <c r="H53" s="82">
        <f t="shared" si="101"/>
        <v>0.87500000000000011</v>
      </c>
      <c r="I53" s="82">
        <f t="shared" si="101"/>
        <v>0.87500000000000011</v>
      </c>
      <c r="J53" s="82">
        <f t="shared" si="101"/>
        <v>0.87500000000000011</v>
      </c>
      <c r="K53" s="82">
        <f t="shared" si="101"/>
        <v>0.87500000000000011</v>
      </c>
      <c r="L53" s="82">
        <f t="shared" ref="L53" si="102">IF(L52&gt;$F17+1,0,1)*(IF(M53=0,100,0)+IF($G17=1,1,0.5)*$J17*100)</f>
        <v>0.87500000000000011</v>
      </c>
      <c r="M53" s="82">
        <f t="shared" ref="M53" si="103">IF(M52&gt;$F17+1,0,1)*(IF(N53=0,100,0)+IF($G17=1,1,0.5)*$J17*100)</f>
        <v>0.87500000000000011</v>
      </c>
      <c r="N53" s="82">
        <f t="shared" ref="N53" si="104">IF(N52&gt;$F17+1,0,1)*(IF(O53=0,100,0)+IF($G17=1,1,0.5)*$J17*100)</f>
        <v>0.87500000000000011</v>
      </c>
      <c r="O53" s="82">
        <f t="shared" ref="O53" si="105">IF(O52&gt;$F17+1,0,1)*(IF(P53=0,100,0)+IF($G17=1,1,0.5)*$J17*100)</f>
        <v>0.87500000000000011</v>
      </c>
      <c r="P53" s="82">
        <f t="shared" ref="P53" si="106">IF(P52&gt;$F17+1,0,1)*(IF(Q53=0,100,0)+IF($G17=1,1,0.5)*$J17*100)</f>
        <v>0.87500000000000011</v>
      </c>
      <c r="Q53" s="82">
        <f t="shared" ref="Q53" si="107">IF(Q52&gt;$F17+1,0,1)*(IF(R53=0,100,0)+IF($G17=1,1,0.5)*$J17*100)</f>
        <v>0.87500000000000011</v>
      </c>
      <c r="R53" s="82">
        <f t="shared" ref="R53:S53" si="108">IF(R52&gt;$F17+1,0,1)*(IF(S53=0,100,0)+IF($G17=1,1,0.5)*$J17*100)</f>
        <v>0.87500000000000011</v>
      </c>
      <c r="S53" s="82">
        <f t="shared" si="108"/>
        <v>0.87500000000000011</v>
      </c>
      <c r="T53" s="82">
        <f t="shared" ref="T53" si="109">IF(T52&gt;$F17+1,0,1)*(IF(U53=0,100,0)+IF($G17=1,1,0.5)*$J17*100)</f>
        <v>0.87500000000000011</v>
      </c>
      <c r="U53" s="82">
        <f t="shared" ref="U53" si="110">IF(U52&gt;$F17+1,0,1)*(IF(V53=0,100,0)+IF($G17=1,1,0.5)*$J17*100)</f>
        <v>0.87500000000000011</v>
      </c>
      <c r="V53" s="82">
        <f t="shared" ref="V53" si="111">IF(V52&gt;$F17+1,0,1)*(IF(W53=0,100,0)+IF($G17=1,1,0.5)*$J17*100)</f>
        <v>0.87500000000000011</v>
      </c>
      <c r="W53" s="82">
        <f t="shared" ref="W53" si="112">IF(W52&gt;$F17+1,0,1)*(IF(X53=0,100,0)+IF($G17=1,1,0.5)*$J17*100)</f>
        <v>0.87500000000000011</v>
      </c>
      <c r="X53" s="82">
        <f t="shared" ref="X53" si="113">IF(X52&gt;$F17+1,0,1)*(IF(Y53=0,100,0)+IF($G17=1,1,0.5)*$J17*100)</f>
        <v>0.87500000000000011</v>
      </c>
      <c r="Y53" s="82">
        <f t="shared" ref="Y53" si="114">IF(Y52&gt;$F17+1,0,1)*(IF(Z53=0,100,0)+IF($G17=1,1,0.5)*$J17*100)</f>
        <v>0.87500000000000011</v>
      </c>
      <c r="Z53" s="82">
        <f t="shared" ref="Z53:AA53" si="115">IF(Z52&gt;$F17+1,0,1)*(IF(AA53=0,100,0)+IF($G17=1,1,0.5)*$J17*100)</f>
        <v>0.87500000000000011</v>
      </c>
      <c r="AA53" s="82">
        <f t="shared" si="115"/>
        <v>0.87500000000000011</v>
      </c>
      <c r="AB53" s="82">
        <f t="shared" ref="AB53" si="116">IF(AB52&gt;$F17+1,0,1)*(IF(AC53=0,100,0)+IF($G17=1,1,0.5)*$J17*100)</f>
        <v>0.87500000000000011</v>
      </c>
      <c r="AC53" s="82">
        <f t="shared" ref="AC53" si="117">IF(AC52&gt;$F17+1,0,1)*(IF(AD53=0,100,0)+IF($G17=1,1,0.5)*$J17*100)</f>
        <v>0.87500000000000011</v>
      </c>
      <c r="AD53" s="82">
        <f t="shared" ref="AD53" si="118">IF(AD52&gt;$F17+1,0,1)*(IF(AE53=0,100,0)+IF($G17=1,1,0.5)*$J17*100)</f>
        <v>0.87500000000000011</v>
      </c>
      <c r="AE53" s="82">
        <f t="shared" ref="AE53" si="119">IF(AE52&gt;$F17+1,0,1)*(IF(AF53=0,100,0)+IF($G17=1,1,0.5)*$J17*100)</f>
        <v>0.87500000000000011</v>
      </c>
      <c r="AF53" s="82">
        <f t="shared" ref="AF53" si="120">IF(AF52&gt;$F17+1,0,1)*(IF(AG53=0,100,0)+IF($G17=1,1,0.5)*$J17*100)</f>
        <v>0.87500000000000011</v>
      </c>
      <c r="AG53" s="82">
        <f t="shared" ref="AG53" si="121">IF(AG52&gt;$F17+1,0,1)*(IF(AH53=0,100,0)+IF($G17=1,1,0.5)*$J17*100)</f>
        <v>0.87500000000000011</v>
      </c>
      <c r="AH53" s="82">
        <f t="shared" ref="AH53:AI53" si="122">IF(AH52&gt;$F17+1,0,1)*(IF(AI53=0,100,0)+IF($G17=1,1,0.5)*$J17*100)</f>
        <v>0.87500000000000011</v>
      </c>
      <c r="AI53" s="82">
        <f t="shared" si="122"/>
        <v>0.87500000000000011</v>
      </c>
      <c r="AJ53" s="82">
        <f t="shared" ref="AJ53" si="123">IF(AJ52&gt;$F17+1,0,1)*(IF(AK53=0,100,0)+IF($G17=1,1,0.5)*$J17*100)</f>
        <v>0.87500000000000011</v>
      </c>
      <c r="AK53" s="82">
        <f t="shared" ref="AK53" si="124">IF(AK52&gt;$F17+1,0,1)*(IF(AL53=0,100,0)+IF($G17=1,1,0.5)*$J17*100)</f>
        <v>0.87500000000000011</v>
      </c>
      <c r="AL53" s="82">
        <f t="shared" ref="AL53" si="125">IF(AL52&gt;$F17+1,0,1)*(IF(AM53=0,100,0)+IF($G17=1,1,0.5)*$J17*100)</f>
        <v>100.875</v>
      </c>
      <c r="AM53" s="82">
        <f t="shared" ref="AM53" si="126">IF(AM52&gt;$F17+1,0,1)*(IF(AN53=0,100,0)+IF($G17=1,1,0.5)*$J17*100)</f>
        <v>0</v>
      </c>
      <c r="AN53" s="82">
        <f t="shared" ref="AN53" si="127">IF(AN52&gt;$F17+1,0,1)*(IF(AO53=0,100,0)+IF($G17=1,1,0.5)*$J17*100)</f>
        <v>0</v>
      </c>
      <c r="AO53" s="82">
        <f t="shared" ref="AO53" si="128">IF(AO52&gt;$F17+1,0,1)*(IF(AP53=0,100,0)+IF($G17=1,1,0.5)*$J17*100)</f>
        <v>0</v>
      </c>
      <c r="AP53" s="82">
        <f t="shared" ref="AP53:AQ53" si="129">IF(AP52&gt;$F17+1,0,1)*(IF(AQ53=0,100,0)+IF($G17=1,1,0.5)*$J17*100)</f>
        <v>0</v>
      </c>
      <c r="AQ53" s="82">
        <f t="shared" si="129"/>
        <v>0</v>
      </c>
      <c r="AR53" s="82">
        <f t="shared" ref="AR53" si="130">IF(AR52&gt;$F17+1,0,1)*(IF(AS53=0,100,0)+IF($G17=1,1,0.5)*$J17*100)</f>
        <v>0</v>
      </c>
      <c r="AS53" s="82">
        <f t="shared" ref="AS53" si="131">IF(AS52&gt;$F17+1,0,1)*(IF(AT53=0,100,0)+IF($G17=1,1,0.5)*$J17*100)</f>
        <v>0</v>
      </c>
      <c r="AT53" s="82">
        <f t="shared" ref="AT53" si="132">IF(AT52&gt;$F17+1,0,1)*(IF(AU53=0,100,0)+IF($G17=1,1,0.5)*$J17*100)</f>
        <v>0</v>
      </c>
      <c r="AU53" s="82">
        <f t="shared" ref="AU53" si="133">IF(AU52&gt;$F17+1,0,1)*(IF(AV53=0,100,0)+IF($G17=1,1,0.5)*$J17*100)</f>
        <v>0</v>
      </c>
      <c r="AV53" s="82">
        <f t="shared" ref="AV53" si="134">IF(AV52&gt;$F17+1,0,1)*(IF(AW53=0,100,0)+IF($G17=1,1,0.5)*$J17*100)</f>
        <v>0</v>
      </c>
      <c r="AW53" s="82">
        <f t="shared" ref="AW53" si="135">IF(AW52&gt;$F17+1,0,1)*(IF(AX53=0,100,0)+IF($G17=1,1,0.5)*$J17*100)</f>
        <v>0</v>
      </c>
      <c r="AX53" s="82">
        <f t="shared" ref="AX53:AY53" si="136">IF(AX52&gt;$F17+1,0,1)*(IF(AY53=0,100,0)+IF($G17=1,1,0.5)*$J17*100)</f>
        <v>0</v>
      </c>
      <c r="AY53" s="82">
        <f t="shared" si="136"/>
        <v>0</v>
      </c>
      <c r="AZ53" s="82">
        <f t="shared" ref="AZ53" si="137">IF(AZ52&gt;$F17+1,0,1)*(IF(BA53=0,100,0)+IF($G17=1,1,0.5)*$J17*100)</f>
        <v>0</v>
      </c>
      <c r="BA53" s="82">
        <f t="shared" ref="BA53" si="138">IF(BA52&gt;$F17+1,0,1)*(IF(BB53=0,100,0)+IF($G17=1,1,0.5)*$J17*100)</f>
        <v>0</v>
      </c>
      <c r="BB53" s="82">
        <f t="shared" ref="BB53" si="139">IF(BB52&gt;$F17+1,0,1)*(IF(BC53=0,100,0)+IF($G17=1,1,0.5)*$J17*100)</f>
        <v>0</v>
      </c>
      <c r="BC53" s="82">
        <f t="shared" ref="BC53" si="140">IF(BC52&gt;$F17+1,0,1)*(IF(BD53=0,100,0)+IF($G17=1,1,0.5)*$J17*100)</f>
        <v>0</v>
      </c>
      <c r="BD53" s="82">
        <f t="shared" ref="BD53" si="141">IF(BD52&gt;$F17+1,0,1)*(IF(BE53=0,100,0)+IF($G17=1,1,0.5)*$J17*100)</f>
        <v>0</v>
      </c>
      <c r="BE53" s="82">
        <f t="shared" ref="BE53" si="142">IF(BE52&gt;$F17+1,0,1)*(IF(BF53=0,100,0)+IF($G17=1,1,0.5)*$J17*100)</f>
        <v>0</v>
      </c>
      <c r="BF53" s="82">
        <f t="shared" ref="BF53:BG53" si="143">IF(BF52&gt;$F17+1,0,1)*(IF(BG53=0,100,0)+IF($G17=1,1,0.5)*$J17*100)</f>
        <v>0</v>
      </c>
      <c r="BG53" s="82">
        <f t="shared" si="143"/>
        <v>0</v>
      </c>
      <c r="BH53" s="82">
        <f t="shared" ref="BH53" si="144">IF(BH52&gt;$F17+1,0,1)*(IF(BI53=0,100,0)+IF($G17=1,1,0.5)*$J17*100)</f>
        <v>0</v>
      </c>
      <c r="BI53" s="82">
        <f t="shared" ref="BI53" si="145">IF(BI52&gt;$F17+1,0,1)*(IF(BJ53=0,100,0)+IF($G17=1,1,0.5)*$J17*100)</f>
        <v>0</v>
      </c>
      <c r="BJ53" s="82">
        <f t="shared" ref="BJ53" si="146">IF(BJ52&gt;$F17+1,0,1)*(IF(BK53=0,100,0)+IF($G17=1,1,0.5)*$J17*100)</f>
        <v>0</v>
      </c>
      <c r="BK53" s="82">
        <f t="shared" ref="BK53" si="147">IF(BK52&gt;$F17+1,0,1)*(IF(BL53=0,100,0)+IF($G17=1,1,0.5)*$J17*100)</f>
        <v>0</v>
      </c>
      <c r="BL53" s="82">
        <f t="shared" ref="BL53" si="148">IF(BL52&gt;$F17+1,0,1)*(IF(BM53=0,100,0)+IF($G17=1,1,0.5)*$J17*100)</f>
        <v>0</v>
      </c>
      <c r="BM53" s="82">
        <f t="shared" ref="BM53" si="149">IF(BM52&gt;$F17+1,0,1)*(IF(BN53=0,100,0)+IF($G17=1,1,0.5)*$J17*100)</f>
        <v>0</v>
      </c>
      <c r="BN53" s="82">
        <f t="shared" ref="BN53:BO53" si="150">IF(BN52&gt;$F17+1,0,1)*(IF(BO53=0,100,0)+IF($G17=1,1,0.5)*$J17*100)</f>
        <v>0</v>
      </c>
      <c r="BO53" s="82">
        <f t="shared" si="150"/>
        <v>0</v>
      </c>
      <c r="BP53" s="82">
        <f t="shared" ref="BP53" si="151">IF(BP52&gt;$F17+1,0,1)*(IF(BQ53=0,100,0)+IF($G17=1,1,0.5)*$J17*100)</f>
        <v>0</v>
      </c>
      <c r="BQ53" s="82">
        <f t="shared" ref="BQ53" si="152">IF(BQ52&gt;$F17+1,0,1)*(IF(BR53=0,100,0)+IF($G17=1,1,0.5)*$J17*100)</f>
        <v>0</v>
      </c>
      <c r="BR53" s="82">
        <f t="shared" ref="BR53" si="153">IF(BR52&gt;$F17+1,0,1)*(IF(BS53=0,100,0)+IF($G17=1,1,0.5)*$J17*100)</f>
        <v>0</v>
      </c>
      <c r="BS53" s="82">
        <f t="shared" ref="BS53" si="154">IF(BS52&gt;$F17+1,0,1)*(IF(BT53=0,100,0)+IF($G17=1,1,0.5)*$J17*100)</f>
        <v>0</v>
      </c>
      <c r="BT53" s="82">
        <f t="shared" ref="BT53" si="155">IF(BT52&gt;$F17+1,0,1)*(IF(BU53=0,100,0)+IF($G17=1,1,0.5)*$J17*100)</f>
        <v>0</v>
      </c>
      <c r="BU53" s="82">
        <f t="shared" ref="BU53" si="156">IF(BU52&gt;$F17+1,0,1)*(IF(BV53=0,100,0)+IF($G17=1,1,0.5)*$J17*100)</f>
        <v>0</v>
      </c>
      <c r="BV53" s="82">
        <f t="shared" ref="BV53:BW53" si="157">IF(BV52&gt;$F17+1,0,1)*(IF(BW53=0,100,0)+IF($G17=1,1,0.5)*$J17*100)</f>
        <v>0</v>
      </c>
      <c r="BW53" s="82">
        <f t="shared" si="157"/>
        <v>0</v>
      </c>
      <c r="BX53" s="82">
        <f t="shared" ref="BX53" si="158">IF(BX52&gt;$F17+1,0,1)*(IF(BY53=0,100,0)+IF($G17=1,1,0.5)*$J17*100)</f>
        <v>0</v>
      </c>
      <c r="BY53" s="82">
        <f t="shared" ref="BY53" si="159">IF(BY52&gt;$F17+1,0,1)*(IF(BZ53=0,100,0)+IF($G17=1,1,0.5)*$J17*100)</f>
        <v>0</v>
      </c>
      <c r="BZ53" s="82">
        <f t="shared" ref="BZ53" si="160">IF(BZ52&gt;$F17+1,0,1)*(IF(CA53=0,100,0)+IF($G17=1,1,0.5)*$J17*100)</f>
        <v>0</v>
      </c>
      <c r="CA53" s="82">
        <f t="shared" ref="CA53" si="161">IF(CA52&gt;$F17+1,0,1)*(IF(CB53=0,100,0)+IF($G17=1,1,0.5)*$J17*100)</f>
        <v>0</v>
      </c>
      <c r="CB53" s="83">
        <f t="shared" ref="CB53" si="162">IF(CB52&gt;$F17+1,0,1)*(IF(CC53=0,100,0)+IF($G17=1,1,0.5)*$J17*100)</f>
        <v>0</v>
      </c>
    </row>
    <row r="54" spans="1:80">
      <c r="A54" s="250" t="s">
        <v>49</v>
      </c>
      <c r="B54" s="84" t="str">
        <f>IF(E18=0,F18,E18)</f>
        <v>7/22/2019</v>
      </c>
      <c r="C54" s="85">
        <f>B54+IF($G18=1,365,182.5)</f>
        <v>43850.5</v>
      </c>
      <c r="D54" s="85">
        <f t="shared" ref="D54:BO54" si="163">C54+IF($G18=1,365,182.5)</f>
        <v>44033</v>
      </c>
      <c r="E54" s="85">
        <f t="shared" si="163"/>
        <v>44215.5</v>
      </c>
      <c r="F54" s="85">
        <f t="shared" si="163"/>
        <v>44398</v>
      </c>
      <c r="G54" s="85">
        <f t="shared" si="163"/>
        <v>44580.5</v>
      </c>
      <c r="H54" s="85">
        <f t="shared" si="163"/>
        <v>44763</v>
      </c>
      <c r="I54" s="85">
        <f t="shared" si="163"/>
        <v>44945.5</v>
      </c>
      <c r="J54" s="85">
        <f t="shared" si="163"/>
        <v>45128</v>
      </c>
      <c r="K54" s="85">
        <f t="shared" si="163"/>
        <v>45310.5</v>
      </c>
      <c r="L54" s="85">
        <f t="shared" si="163"/>
        <v>45493</v>
      </c>
      <c r="M54" s="85">
        <f t="shared" si="163"/>
        <v>45675.5</v>
      </c>
      <c r="N54" s="85">
        <f t="shared" si="163"/>
        <v>45858</v>
      </c>
      <c r="O54" s="85">
        <f t="shared" si="163"/>
        <v>46040.5</v>
      </c>
      <c r="P54" s="85">
        <f t="shared" si="163"/>
        <v>46223</v>
      </c>
      <c r="Q54" s="85">
        <f t="shared" si="163"/>
        <v>46405.5</v>
      </c>
      <c r="R54" s="85">
        <f t="shared" si="163"/>
        <v>46588</v>
      </c>
      <c r="S54" s="85">
        <f t="shared" si="163"/>
        <v>46770.5</v>
      </c>
      <c r="T54" s="85">
        <f t="shared" si="163"/>
        <v>46953</v>
      </c>
      <c r="U54" s="85">
        <f t="shared" si="163"/>
        <v>47135.5</v>
      </c>
      <c r="V54" s="85">
        <f t="shared" si="163"/>
        <v>47318</v>
      </c>
      <c r="W54" s="85">
        <f t="shared" si="163"/>
        <v>47500.5</v>
      </c>
      <c r="X54" s="85">
        <f t="shared" si="163"/>
        <v>47683</v>
      </c>
      <c r="Y54" s="85">
        <f t="shared" si="163"/>
        <v>47865.5</v>
      </c>
      <c r="Z54" s="85">
        <f t="shared" si="163"/>
        <v>48048</v>
      </c>
      <c r="AA54" s="85">
        <f t="shared" si="163"/>
        <v>48230.5</v>
      </c>
      <c r="AB54" s="85">
        <f t="shared" si="163"/>
        <v>48413</v>
      </c>
      <c r="AC54" s="85">
        <f t="shared" si="163"/>
        <v>48595.5</v>
      </c>
      <c r="AD54" s="85">
        <f t="shared" si="163"/>
        <v>48778</v>
      </c>
      <c r="AE54" s="85">
        <f t="shared" si="163"/>
        <v>48960.5</v>
      </c>
      <c r="AF54" s="85">
        <f t="shared" si="163"/>
        <v>49143</v>
      </c>
      <c r="AG54" s="85">
        <f t="shared" si="163"/>
        <v>49325.5</v>
      </c>
      <c r="AH54" s="85">
        <f t="shared" si="163"/>
        <v>49508</v>
      </c>
      <c r="AI54" s="85">
        <f t="shared" si="163"/>
        <v>49690.5</v>
      </c>
      <c r="AJ54" s="85">
        <f t="shared" si="163"/>
        <v>49873</v>
      </c>
      <c r="AK54" s="85">
        <f t="shared" si="163"/>
        <v>50055.5</v>
      </c>
      <c r="AL54" s="85">
        <f t="shared" si="163"/>
        <v>50238</v>
      </c>
      <c r="AM54" s="85">
        <f t="shared" si="163"/>
        <v>50420.5</v>
      </c>
      <c r="AN54" s="85">
        <f t="shared" si="163"/>
        <v>50603</v>
      </c>
      <c r="AO54" s="85">
        <f t="shared" si="163"/>
        <v>50785.5</v>
      </c>
      <c r="AP54" s="85">
        <f t="shared" si="163"/>
        <v>50968</v>
      </c>
      <c r="AQ54" s="85">
        <f t="shared" si="163"/>
        <v>51150.5</v>
      </c>
      <c r="AR54" s="85">
        <f t="shared" si="163"/>
        <v>51333</v>
      </c>
      <c r="AS54" s="85">
        <f t="shared" si="163"/>
        <v>51515.5</v>
      </c>
      <c r="AT54" s="85">
        <f t="shared" si="163"/>
        <v>51698</v>
      </c>
      <c r="AU54" s="85">
        <f t="shared" si="163"/>
        <v>51880.5</v>
      </c>
      <c r="AV54" s="85">
        <f t="shared" si="163"/>
        <v>52063</v>
      </c>
      <c r="AW54" s="85">
        <f t="shared" si="163"/>
        <v>52245.5</v>
      </c>
      <c r="AX54" s="85">
        <f t="shared" si="163"/>
        <v>52428</v>
      </c>
      <c r="AY54" s="85">
        <f t="shared" si="163"/>
        <v>52610.5</v>
      </c>
      <c r="AZ54" s="85">
        <f t="shared" si="163"/>
        <v>52793</v>
      </c>
      <c r="BA54" s="85">
        <f t="shared" si="163"/>
        <v>52975.5</v>
      </c>
      <c r="BB54" s="85">
        <f t="shared" si="163"/>
        <v>53158</v>
      </c>
      <c r="BC54" s="85">
        <f t="shared" si="163"/>
        <v>53340.5</v>
      </c>
      <c r="BD54" s="85">
        <f t="shared" si="163"/>
        <v>53523</v>
      </c>
      <c r="BE54" s="85">
        <f t="shared" si="163"/>
        <v>53705.5</v>
      </c>
      <c r="BF54" s="85">
        <f t="shared" si="163"/>
        <v>53888</v>
      </c>
      <c r="BG54" s="85">
        <f t="shared" si="163"/>
        <v>54070.5</v>
      </c>
      <c r="BH54" s="85">
        <f t="shared" si="163"/>
        <v>54253</v>
      </c>
      <c r="BI54" s="85">
        <f t="shared" si="163"/>
        <v>54435.5</v>
      </c>
      <c r="BJ54" s="85">
        <f t="shared" si="163"/>
        <v>54618</v>
      </c>
      <c r="BK54" s="85">
        <f t="shared" si="163"/>
        <v>54800.5</v>
      </c>
      <c r="BL54" s="85">
        <f t="shared" si="163"/>
        <v>54983</v>
      </c>
      <c r="BM54" s="85">
        <f t="shared" si="163"/>
        <v>55165.5</v>
      </c>
      <c r="BN54" s="85">
        <f t="shared" si="163"/>
        <v>55348</v>
      </c>
      <c r="BO54" s="85">
        <f t="shared" si="163"/>
        <v>55530.5</v>
      </c>
      <c r="BP54" s="85">
        <f t="shared" ref="BP54:CB54" si="164">BO54+IF($G18=1,365,182.5)</f>
        <v>55713</v>
      </c>
      <c r="BQ54" s="85">
        <f t="shared" si="164"/>
        <v>55895.5</v>
      </c>
      <c r="BR54" s="85">
        <f t="shared" si="164"/>
        <v>56078</v>
      </c>
      <c r="BS54" s="85">
        <f t="shared" si="164"/>
        <v>56260.5</v>
      </c>
      <c r="BT54" s="85">
        <f t="shared" si="164"/>
        <v>56443</v>
      </c>
      <c r="BU54" s="85">
        <f t="shared" si="164"/>
        <v>56625.5</v>
      </c>
      <c r="BV54" s="85">
        <f t="shared" si="164"/>
        <v>56808</v>
      </c>
      <c r="BW54" s="85">
        <f t="shared" si="164"/>
        <v>56990.5</v>
      </c>
      <c r="BX54" s="85">
        <f t="shared" si="164"/>
        <v>57173</v>
      </c>
      <c r="BY54" s="85">
        <f t="shared" si="164"/>
        <v>57355.5</v>
      </c>
      <c r="BZ54" s="85">
        <f t="shared" si="164"/>
        <v>57538</v>
      </c>
      <c r="CA54" s="85">
        <f t="shared" si="164"/>
        <v>57720.5</v>
      </c>
      <c r="CB54" s="86">
        <f t="shared" si="164"/>
        <v>57903</v>
      </c>
    </row>
    <row r="55" spans="1:80">
      <c r="A55" s="177" t="s">
        <v>34</v>
      </c>
      <c r="B55" s="115">
        <f>(IF(B54=F18,100,0)+IF(G18=1,1,0.5)*J18*100)*IF(ISBLANK(F18)=TRUE,0,1)</f>
        <v>1.625</v>
      </c>
      <c r="C55" s="87">
        <f>IF(C54&gt;$F18+1,0,1)*(IF(D55=0,100,0)+IF($G18=1,1,0.5)*$J18*100)</f>
        <v>1.625</v>
      </c>
      <c r="D55" s="87">
        <f t="shared" ref="D55:BO55" si="165">IF(D54&gt;$F18+1,0,1)*(IF(E55=0,100,0)+IF($G18=1,1,0.5)*$J18*100)</f>
        <v>1.625</v>
      </c>
      <c r="E55" s="87">
        <f t="shared" si="165"/>
        <v>1.625</v>
      </c>
      <c r="F55" s="87">
        <f t="shared" si="165"/>
        <v>1.625</v>
      </c>
      <c r="G55" s="87">
        <f t="shared" si="165"/>
        <v>1.625</v>
      </c>
      <c r="H55" s="87">
        <f t="shared" si="165"/>
        <v>1.625</v>
      </c>
      <c r="I55" s="87">
        <f t="shared" si="165"/>
        <v>1.625</v>
      </c>
      <c r="J55" s="87">
        <f t="shared" si="165"/>
        <v>1.625</v>
      </c>
      <c r="K55" s="87">
        <f t="shared" si="165"/>
        <v>1.625</v>
      </c>
      <c r="L55" s="87">
        <f t="shared" si="165"/>
        <v>1.625</v>
      </c>
      <c r="M55" s="87">
        <f t="shared" si="165"/>
        <v>1.625</v>
      </c>
      <c r="N55" s="87">
        <f t="shared" si="165"/>
        <v>1.625</v>
      </c>
      <c r="O55" s="87">
        <f t="shared" si="165"/>
        <v>1.625</v>
      </c>
      <c r="P55" s="87">
        <f t="shared" si="165"/>
        <v>1.625</v>
      </c>
      <c r="Q55" s="87">
        <f t="shared" si="165"/>
        <v>1.625</v>
      </c>
      <c r="R55" s="87">
        <f t="shared" si="165"/>
        <v>1.625</v>
      </c>
      <c r="S55" s="87">
        <f t="shared" si="165"/>
        <v>1.625</v>
      </c>
      <c r="T55" s="87">
        <f t="shared" si="165"/>
        <v>1.625</v>
      </c>
      <c r="U55" s="87">
        <f t="shared" si="165"/>
        <v>1.625</v>
      </c>
      <c r="V55" s="87">
        <f t="shared" si="165"/>
        <v>1.625</v>
      </c>
      <c r="W55" s="87">
        <f t="shared" si="165"/>
        <v>1.625</v>
      </c>
      <c r="X55" s="87">
        <f t="shared" si="165"/>
        <v>1.625</v>
      </c>
      <c r="Y55" s="87">
        <f t="shared" si="165"/>
        <v>1.625</v>
      </c>
      <c r="Z55" s="87">
        <f t="shared" si="165"/>
        <v>1.625</v>
      </c>
      <c r="AA55" s="87">
        <f t="shared" si="165"/>
        <v>1.625</v>
      </c>
      <c r="AB55" s="87">
        <f t="shared" si="165"/>
        <v>1.625</v>
      </c>
      <c r="AC55" s="87">
        <f t="shared" si="165"/>
        <v>1.625</v>
      </c>
      <c r="AD55" s="87">
        <f t="shared" si="165"/>
        <v>1.625</v>
      </c>
      <c r="AE55" s="87">
        <f t="shared" si="165"/>
        <v>1.625</v>
      </c>
      <c r="AF55" s="87">
        <f t="shared" si="165"/>
        <v>1.625</v>
      </c>
      <c r="AG55" s="87">
        <f t="shared" si="165"/>
        <v>1.625</v>
      </c>
      <c r="AH55" s="87">
        <f t="shared" si="165"/>
        <v>1.625</v>
      </c>
      <c r="AI55" s="87">
        <f t="shared" si="165"/>
        <v>1.625</v>
      </c>
      <c r="AJ55" s="87">
        <f t="shared" si="165"/>
        <v>1.625</v>
      </c>
      <c r="AK55" s="87">
        <f t="shared" si="165"/>
        <v>1.625</v>
      </c>
      <c r="AL55" s="87">
        <f t="shared" si="165"/>
        <v>1.625</v>
      </c>
      <c r="AM55" s="87">
        <f t="shared" si="165"/>
        <v>1.625</v>
      </c>
      <c r="AN55" s="87">
        <f t="shared" si="165"/>
        <v>1.625</v>
      </c>
      <c r="AO55" s="87">
        <f t="shared" si="165"/>
        <v>1.625</v>
      </c>
      <c r="AP55" s="87">
        <f t="shared" si="165"/>
        <v>1.625</v>
      </c>
      <c r="AQ55" s="87">
        <f t="shared" si="165"/>
        <v>1.625</v>
      </c>
      <c r="AR55" s="87">
        <f t="shared" si="165"/>
        <v>1.625</v>
      </c>
      <c r="AS55" s="87">
        <f t="shared" si="165"/>
        <v>1.625</v>
      </c>
      <c r="AT55" s="87">
        <f t="shared" si="165"/>
        <v>1.625</v>
      </c>
      <c r="AU55" s="87">
        <f t="shared" si="165"/>
        <v>1.625</v>
      </c>
      <c r="AV55" s="87">
        <f t="shared" si="165"/>
        <v>1.625</v>
      </c>
      <c r="AW55" s="87">
        <f t="shared" si="165"/>
        <v>1.625</v>
      </c>
      <c r="AX55" s="87">
        <f t="shared" si="165"/>
        <v>1.625</v>
      </c>
      <c r="AY55" s="87">
        <f t="shared" si="165"/>
        <v>101.625</v>
      </c>
      <c r="AZ55" s="87">
        <f t="shared" si="165"/>
        <v>0</v>
      </c>
      <c r="BA55" s="87">
        <f t="shared" si="165"/>
        <v>0</v>
      </c>
      <c r="BB55" s="87">
        <f t="shared" si="165"/>
        <v>0</v>
      </c>
      <c r="BC55" s="87">
        <f t="shared" si="165"/>
        <v>0</v>
      </c>
      <c r="BD55" s="87">
        <f t="shared" si="165"/>
        <v>0</v>
      </c>
      <c r="BE55" s="87">
        <f t="shared" si="165"/>
        <v>0</v>
      </c>
      <c r="BF55" s="87">
        <f t="shared" si="165"/>
        <v>0</v>
      </c>
      <c r="BG55" s="87">
        <f t="shared" si="165"/>
        <v>0</v>
      </c>
      <c r="BH55" s="87">
        <f t="shared" si="165"/>
        <v>0</v>
      </c>
      <c r="BI55" s="87">
        <f t="shared" si="165"/>
        <v>0</v>
      </c>
      <c r="BJ55" s="87">
        <f t="shared" si="165"/>
        <v>0</v>
      </c>
      <c r="BK55" s="87">
        <f t="shared" si="165"/>
        <v>0</v>
      </c>
      <c r="BL55" s="87">
        <f t="shared" si="165"/>
        <v>0</v>
      </c>
      <c r="BM55" s="87">
        <f t="shared" si="165"/>
        <v>0</v>
      </c>
      <c r="BN55" s="87">
        <f t="shared" si="165"/>
        <v>0</v>
      </c>
      <c r="BO55" s="87">
        <f t="shared" si="165"/>
        <v>0</v>
      </c>
      <c r="BP55" s="87">
        <f t="shared" ref="BP55:CB55" si="166">IF(BP54&gt;$F18+1,0,1)*(IF(BQ55=0,100,0)+IF($G18=1,1,0.5)*$J18*100)</f>
        <v>0</v>
      </c>
      <c r="BQ55" s="87">
        <f t="shared" si="166"/>
        <v>0</v>
      </c>
      <c r="BR55" s="87">
        <f t="shared" si="166"/>
        <v>0</v>
      </c>
      <c r="BS55" s="87">
        <f t="shared" si="166"/>
        <v>0</v>
      </c>
      <c r="BT55" s="87">
        <f t="shared" si="166"/>
        <v>0</v>
      </c>
      <c r="BU55" s="87">
        <f t="shared" si="166"/>
        <v>0</v>
      </c>
      <c r="BV55" s="87">
        <f t="shared" si="166"/>
        <v>0</v>
      </c>
      <c r="BW55" s="87">
        <f t="shared" si="166"/>
        <v>0</v>
      </c>
      <c r="BX55" s="87">
        <f t="shared" si="166"/>
        <v>0</v>
      </c>
      <c r="BY55" s="87">
        <f t="shared" si="166"/>
        <v>0</v>
      </c>
      <c r="BZ55" s="87">
        <f t="shared" si="166"/>
        <v>0</v>
      </c>
      <c r="CA55" s="87">
        <f t="shared" si="166"/>
        <v>0</v>
      </c>
      <c r="CB55" s="88">
        <f t="shared" si="166"/>
        <v>0</v>
      </c>
    </row>
    <row r="56" spans="1:80">
      <c r="A56" s="249" t="s">
        <v>49</v>
      </c>
      <c r="B56" s="118" t="str">
        <f>IF(E19=0,F19,E19)</f>
        <v>7/22/2019</v>
      </c>
      <c r="C56" s="119">
        <f>B56+IF($G19=1,365,182.5)</f>
        <v>43850.5</v>
      </c>
      <c r="D56" s="119">
        <f t="shared" ref="D56:BO56" si="167">C56+IF($G19=1,365,182.5)</f>
        <v>44033</v>
      </c>
      <c r="E56" s="119">
        <f t="shared" si="167"/>
        <v>44215.5</v>
      </c>
      <c r="F56" s="119">
        <f t="shared" si="167"/>
        <v>44398</v>
      </c>
      <c r="G56" s="119">
        <f t="shared" si="167"/>
        <v>44580.5</v>
      </c>
      <c r="H56" s="119">
        <f t="shared" si="167"/>
        <v>44763</v>
      </c>
      <c r="I56" s="119">
        <f t="shared" si="167"/>
        <v>44945.5</v>
      </c>
      <c r="J56" s="119">
        <f t="shared" si="167"/>
        <v>45128</v>
      </c>
      <c r="K56" s="119">
        <f t="shared" si="167"/>
        <v>45310.5</v>
      </c>
      <c r="L56" s="119">
        <f t="shared" si="167"/>
        <v>45493</v>
      </c>
      <c r="M56" s="119">
        <f t="shared" si="167"/>
        <v>45675.5</v>
      </c>
      <c r="N56" s="119">
        <f t="shared" si="167"/>
        <v>45858</v>
      </c>
      <c r="O56" s="119">
        <f t="shared" si="167"/>
        <v>46040.5</v>
      </c>
      <c r="P56" s="119">
        <f t="shared" si="167"/>
        <v>46223</v>
      </c>
      <c r="Q56" s="119">
        <f t="shared" si="167"/>
        <v>46405.5</v>
      </c>
      <c r="R56" s="119">
        <f t="shared" si="167"/>
        <v>46588</v>
      </c>
      <c r="S56" s="119">
        <f t="shared" si="167"/>
        <v>46770.5</v>
      </c>
      <c r="T56" s="119">
        <f t="shared" si="167"/>
        <v>46953</v>
      </c>
      <c r="U56" s="119">
        <f t="shared" si="167"/>
        <v>47135.5</v>
      </c>
      <c r="V56" s="119">
        <f t="shared" si="167"/>
        <v>47318</v>
      </c>
      <c r="W56" s="119">
        <f t="shared" si="167"/>
        <v>47500.5</v>
      </c>
      <c r="X56" s="119">
        <f t="shared" si="167"/>
        <v>47683</v>
      </c>
      <c r="Y56" s="119">
        <f t="shared" si="167"/>
        <v>47865.5</v>
      </c>
      <c r="Z56" s="119">
        <f t="shared" si="167"/>
        <v>48048</v>
      </c>
      <c r="AA56" s="119">
        <f t="shared" si="167"/>
        <v>48230.5</v>
      </c>
      <c r="AB56" s="119">
        <f t="shared" si="167"/>
        <v>48413</v>
      </c>
      <c r="AC56" s="119">
        <f t="shared" si="167"/>
        <v>48595.5</v>
      </c>
      <c r="AD56" s="119">
        <f t="shared" si="167"/>
        <v>48778</v>
      </c>
      <c r="AE56" s="119">
        <f t="shared" si="167"/>
        <v>48960.5</v>
      </c>
      <c r="AF56" s="119">
        <f t="shared" si="167"/>
        <v>49143</v>
      </c>
      <c r="AG56" s="119">
        <f t="shared" si="167"/>
        <v>49325.5</v>
      </c>
      <c r="AH56" s="119">
        <f t="shared" si="167"/>
        <v>49508</v>
      </c>
      <c r="AI56" s="119">
        <f t="shared" si="167"/>
        <v>49690.5</v>
      </c>
      <c r="AJ56" s="119">
        <f t="shared" si="167"/>
        <v>49873</v>
      </c>
      <c r="AK56" s="119">
        <f t="shared" si="167"/>
        <v>50055.5</v>
      </c>
      <c r="AL56" s="119">
        <f t="shared" si="167"/>
        <v>50238</v>
      </c>
      <c r="AM56" s="119">
        <f t="shared" si="167"/>
        <v>50420.5</v>
      </c>
      <c r="AN56" s="119">
        <f t="shared" si="167"/>
        <v>50603</v>
      </c>
      <c r="AO56" s="119">
        <f t="shared" si="167"/>
        <v>50785.5</v>
      </c>
      <c r="AP56" s="119">
        <f t="shared" si="167"/>
        <v>50968</v>
      </c>
      <c r="AQ56" s="119">
        <f t="shared" si="167"/>
        <v>51150.5</v>
      </c>
      <c r="AR56" s="119">
        <f t="shared" si="167"/>
        <v>51333</v>
      </c>
      <c r="AS56" s="119">
        <f t="shared" si="167"/>
        <v>51515.5</v>
      </c>
      <c r="AT56" s="119">
        <f t="shared" si="167"/>
        <v>51698</v>
      </c>
      <c r="AU56" s="119">
        <f t="shared" si="167"/>
        <v>51880.5</v>
      </c>
      <c r="AV56" s="119">
        <f t="shared" si="167"/>
        <v>52063</v>
      </c>
      <c r="AW56" s="119">
        <f t="shared" si="167"/>
        <v>52245.5</v>
      </c>
      <c r="AX56" s="119">
        <f t="shared" si="167"/>
        <v>52428</v>
      </c>
      <c r="AY56" s="119">
        <f t="shared" si="167"/>
        <v>52610.5</v>
      </c>
      <c r="AZ56" s="119">
        <f t="shared" si="167"/>
        <v>52793</v>
      </c>
      <c r="BA56" s="119">
        <f t="shared" si="167"/>
        <v>52975.5</v>
      </c>
      <c r="BB56" s="119">
        <f t="shared" si="167"/>
        <v>53158</v>
      </c>
      <c r="BC56" s="119">
        <f t="shared" si="167"/>
        <v>53340.5</v>
      </c>
      <c r="BD56" s="119">
        <f t="shared" si="167"/>
        <v>53523</v>
      </c>
      <c r="BE56" s="119">
        <f t="shared" si="167"/>
        <v>53705.5</v>
      </c>
      <c r="BF56" s="119">
        <f t="shared" si="167"/>
        <v>53888</v>
      </c>
      <c r="BG56" s="119">
        <f t="shared" si="167"/>
        <v>54070.5</v>
      </c>
      <c r="BH56" s="119">
        <f t="shared" si="167"/>
        <v>54253</v>
      </c>
      <c r="BI56" s="119">
        <f t="shared" si="167"/>
        <v>54435.5</v>
      </c>
      <c r="BJ56" s="119">
        <f t="shared" si="167"/>
        <v>54618</v>
      </c>
      <c r="BK56" s="119">
        <f t="shared" si="167"/>
        <v>54800.5</v>
      </c>
      <c r="BL56" s="119">
        <f t="shared" si="167"/>
        <v>54983</v>
      </c>
      <c r="BM56" s="119">
        <f t="shared" si="167"/>
        <v>55165.5</v>
      </c>
      <c r="BN56" s="119">
        <f t="shared" si="167"/>
        <v>55348</v>
      </c>
      <c r="BO56" s="119">
        <f t="shared" si="167"/>
        <v>55530.5</v>
      </c>
      <c r="BP56" s="119">
        <f t="shared" ref="BP56:CB56" si="168">BO56+IF($G19=1,365,182.5)</f>
        <v>55713</v>
      </c>
      <c r="BQ56" s="119">
        <f t="shared" si="168"/>
        <v>55895.5</v>
      </c>
      <c r="BR56" s="119">
        <f t="shared" si="168"/>
        <v>56078</v>
      </c>
      <c r="BS56" s="119">
        <f t="shared" si="168"/>
        <v>56260.5</v>
      </c>
      <c r="BT56" s="119">
        <f t="shared" si="168"/>
        <v>56443</v>
      </c>
      <c r="BU56" s="119">
        <f t="shared" si="168"/>
        <v>56625.5</v>
      </c>
      <c r="BV56" s="119">
        <f t="shared" si="168"/>
        <v>56808</v>
      </c>
      <c r="BW56" s="119">
        <f t="shared" si="168"/>
        <v>56990.5</v>
      </c>
      <c r="BX56" s="119">
        <f t="shared" si="168"/>
        <v>57173</v>
      </c>
      <c r="BY56" s="119">
        <f t="shared" si="168"/>
        <v>57355.5</v>
      </c>
      <c r="BZ56" s="119">
        <f t="shared" si="168"/>
        <v>57538</v>
      </c>
      <c r="CA56" s="119">
        <f t="shared" si="168"/>
        <v>57720.5</v>
      </c>
      <c r="CB56" s="120">
        <f t="shared" si="168"/>
        <v>57903</v>
      </c>
    </row>
    <row r="57" spans="1:80">
      <c r="A57" s="178" t="s">
        <v>35</v>
      </c>
      <c r="B57" s="121">
        <f>(IF(B56=F19,100,0)+IF(G19=1,1,0.5)*J19*100)*IF(ISBLANK(F19)=TRUE,0,1)</f>
        <v>1.625</v>
      </c>
      <c r="C57" s="122">
        <f>IF(C56&gt;$F19+1,0,1)*(IF(D57=0,100,0)+IF($G19=1,1,0.5)*$J19*100)</f>
        <v>1.625</v>
      </c>
      <c r="D57" s="122">
        <f t="shared" ref="D57:BO57" si="169">IF(D56&gt;$F19+1,0,1)*(IF(E57=0,100,0)+IF($G19=1,1,0.5)*$J19*100)</f>
        <v>1.625</v>
      </c>
      <c r="E57" s="122">
        <f t="shared" si="169"/>
        <v>1.625</v>
      </c>
      <c r="F57" s="122">
        <f t="shared" si="169"/>
        <v>1.625</v>
      </c>
      <c r="G57" s="122">
        <f t="shared" si="169"/>
        <v>1.625</v>
      </c>
      <c r="H57" s="122">
        <f t="shared" si="169"/>
        <v>1.625</v>
      </c>
      <c r="I57" s="122">
        <f t="shared" si="169"/>
        <v>1.625</v>
      </c>
      <c r="J57" s="122">
        <f t="shared" si="169"/>
        <v>1.625</v>
      </c>
      <c r="K57" s="122">
        <f t="shared" si="169"/>
        <v>1.625</v>
      </c>
      <c r="L57" s="122">
        <f t="shared" si="169"/>
        <v>1.625</v>
      </c>
      <c r="M57" s="122">
        <f t="shared" si="169"/>
        <v>1.625</v>
      </c>
      <c r="N57" s="122">
        <f t="shared" si="169"/>
        <v>1.625</v>
      </c>
      <c r="O57" s="122">
        <f t="shared" si="169"/>
        <v>1.625</v>
      </c>
      <c r="P57" s="122">
        <f t="shared" si="169"/>
        <v>1.625</v>
      </c>
      <c r="Q57" s="122">
        <f t="shared" si="169"/>
        <v>1.625</v>
      </c>
      <c r="R57" s="122">
        <f t="shared" si="169"/>
        <v>1.625</v>
      </c>
      <c r="S57" s="122">
        <f t="shared" si="169"/>
        <v>1.625</v>
      </c>
      <c r="T57" s="122">
        <f t="shared" si="169"/>
        <v>1.625</v>
      </c>
      <c r="U57" s="122">
        <f t="shared" si="169"/>
        <v>1.625</v>
      </c>
      <c r="V57" s="122">
        <f t="shared" si="169"/>
        <v>1.625</v>
      </c>
      <c r="W57" s="122">
        <f t="shared" si="169"/>
        <v>1.625</v>
      </c>
      <c r="X57" s="122">
        <f t="shared" si="169"/>
        <v>1.625</v>
      </c>
      <c r="Y57" s="122">
        <f t="shared" si="169"/>
        <v>1.625</v>
      </c>
      <c r="Z57" s="122">
        <f t="shared" si="169"/>
        <v>1.625</v>
      </c>
      <c r="AA57" s="122">
        <f t="shared" si="169"/>
        <v>1.625</v>
      </c>
      <c r="AB57" s="122">
        <f t="shared" si="169"/>
        <v>1.625</v>
      </c>
      <c r="AC57" s="122">
        <f t="shared" si="169"/>
        <v>1.625</v>
      </c>
      <c r="AD57" s="122">
        <f t="shared" si="169"/>
        <v>1.625</v>
      </c>
      <c r="AE57" s="122">
        <f t="shared" si="169"/>
        <v>1.625</v>
      </c>
      <c r="AF57" s="122">
        <f t="shared" si="169"/>
        <v>1.625</v>
      </c>
      <c r="AG57" s="122">
        <f t="shared" si="169"/>
        <v>1.625</v>
      </c>
      <c r="AH57" s="122">
        <f t="shared" si="169"/>
        <v>1.625</v>
      </c>
      <c r="AI57" s="122">
        <f t="shared" si="169"/>
        <v>1.625</v>
      </c>
      <c r="AJ57" s="122">
        <f t="shared" si="169"/>
        <v>1.625</v>
      </c>
      <c r="AK57" s="122">
        <f t="shared" si="169"/>
        <v>1.625</v>
      </c>
      <c r="AL57" s="122">
        <f t="shared" si="169"/>
        <v>1.625</v>
      </c>
      <c r="AM57" s="122">
        <f t="shared" si="169"/>
        <v>1.625</v>
      </c>
      <c r="AN57" s="122">
        <f t="shared" si="169"/>
        <v>1.625</v>
      </c>
      <c r="AO57" s="122">
        <f t="shared" si="169"/>
        <v>1.625</v>
      </c>
      <c r="AP57" s="122">
        <f t="shared" si="169"/>
        <v>1.625</v>
      </c>
      <c r="AQ57" s="122">
        <f t="shared" si="169"/>
        <v>1.625</v>
      </c>
      <c r="AR57" s="122">
        <f t="shared" si="169"/>
        <v>1.625</v>
      </c>
      <c r="AS57" s="122">
        <f t="shared" si="169"/>
        <v>1.625</v>
      </c>
      <c r="AT57" s="122">
        <f t="shared" si="169"/>
        <v>1.625</v>
      </c>
      <c r="AU57" s="122">
        <f t="shared" si="169"/>
        <v>1.625</v>
      </c>
      <c r="AV57" s="122">
        <f t="shared" si="169"/>
        <v>1.625</v>
      </c>
      <c r="AW57" s="122">
        <f t="shared" si="169"/>
        <v>1.625</v>
      </c>
      <c r="AX57" s="122">
        <f t="shared" si="169"/>
        <v>1.625</v>
      </c>
      <c r="AY57" s="122">
        <f t="shared" si="169"/>
        <v>101.625</v>
      </c>
      <c r="AZ57" s="122">
        <f t="shared" si="169"/>
        <v>0</v>
      </c>
      <c r="BA57" s="122">
        <f t="shared" si="169"/>
        <v>0</v>
      </c>
      <c r="BB57" s="122">
        <f t="shared" si="169"/>
        <v>0</v>
      </c>
      <c r="BC57" s="122">
        <f t="shared" si="169"/>
        <v>0</v>
      </c>
      <c r="BD57" s="122">
        <f t="shared" si="169"/>
        <v>0</v>
      </c>
      <c r="BE57" s="122">
        <f t="shared" si="169"/>
        <v>0</v>
      </c>
      <c r="BF57" s="122">
        <f t="shared" si="169"/>
        <v>0</v>
      </c>
      <c r="BG57" s="122">
        <f t="shared" si="169"/>
        <v>0</v>
      </c>
      <c r="BH57" s="122">
        <f t="shared" si="169"/>
        <v>0</v>
      </c>
      <c r="BI57" s="122">
        <f t="shared" si="169"/>
        <v>0</v>
      </c>
      <c r="BJ57" s="122">
        <f t="shared" si="169"/>
        <v>0</v>
      </c>
      <c r="BK57" s="122">
        <f t="shared" si="169"/>
        <v>0</v>
      </c>
      <c r="BL57" s="122">
        <f t="shared" si="169"/>
        <v>0</v>
      </c>
      <c r="BM57" s="122">
        <f t="shared" si="169"/>
        <v>0</v>
      </c>
      <c r="BN57" s="122">
        <f t="shared" si="169"/>
        <v>0</v>
      </c>
      <c r="BO57" s="122">
        <f t="shared" si="169"/>
        <v>0</v>
      </c>
      <c r="BP57" s="122">
        <f t="shared" ref="BP57:CB57" si="170">IF(BP56&gt;$F19+1,0,1)*(IF(BQ57=0,100,0)+IF($G19=1,1,0.5)*$J19*100)</f>
        <v>0</v>
      </c>
      <c r="BQ57" s="122">
        <f t="shared" si="170"/>
        <v>0</v>
      </c>
      <c r="BR57" s="122">
        <f t="shared" si="170"/>
        <v>0</v>
      </c>
      <c r="BS57" s="122">
        <f t="shared" si="170"/>
        <v>0</v>
      </c>
      <c r="BT57" s="122">
        <f t="shared" si="170"/>
        <v>0</v>
      </c>
      <c r="BU57" s="122">
        <f t="shared" si="170"/>
        <v>0</v>
      </c>
      <c r="BV57" s="122">
        <f t="shared" si="170"/>
        <v>0</v>
      </c>
      <c r="BW57" s="122">
        <f t="shared" si="170"/>
        <v>0</v>
      </c>
      <c r="BX57" s="122">
        <f t="shared" si="170"/>
        <v>0</v>
      </c>
      <c r="BY57" s="122">
        <f t="shared" si="170"/>
        <v>0</v>
      </c>
      <c r="BZ57" s="122">
        <f t="shared" si="170"/>
        <v>0</v>
      </c>
      <c r="CA57" s="122">
        <f t="shared" si="170"/>
        <v>0</v>
      </c>
      <c r="CB57" s="123">
        <f t="shared" si="170"/>
        <v>0</v>
      </c>
    </row>
    <row r="58" spans="1:80">
      <c r="A58" s="248" t="s">
        <v>49</v>
      </c>
      <c r="B58" s="89"/>
      <c r="C58" s="90"/>
      <c r="D58" s="90"/>
      <c r="E58" s="90"/>
      <c r="F58" s="90"/>
      <c r="G58" s="90"/>
      <c r="H58" s="90"/>
      <c r="I58" s="90"/>
      <c r="J58" s="90"/>
      <c r="K58" s="90"/>
      <c r="L58" s="90"/>
      <c r="M58" s="90"/>
      <c r="N58" s="90"/>
      <c r="O58" s="90"/>
      <c r="P58" s="90"/>
      <c r="Q58" s="90"/>
      <c r="R58" s="90"/>
      <c r="S58" s="90"/>
      <c r="T58" s="90"/>
      <c r="U58" s="90"/>
      <c r="V58" s="90"/>
      <c r="W58" s="90"/>
      <c r="X58" s="90"/>
      <c r="Y58" s="90"/>
      <c r="Z58" s="90"/>
      <c r="AA58" s="90"/>
      <c r="AB58" s="90"/>
      <c r="AC58" s="90"/>
      <c r="AD58" s="90"/>
      <c r="AE58" s="90"/>
      <c r="AF58" s="90"/>
      <c r="AG58" s="90"/>
      <c r="AH58" s="90"/>
      <c r="AI58" s="90"/>
      <c r="AJ58" s="90"/>
      <c r="AK58" s="90"/>
      <c r="AL58" s="90"/>
      <c r="AM58" s="90"/>
      <c r="AN58" s="90"/>
      <c r="AO58" s="90"/>
      <c r="AP58" s="90"/>
      <c r="AQ58" s="90"/>
      <c r="AR58" s="90"/>
      <c r="AS58" s="90"/>
      <c r="AT58" s="90"/>
      <c r="AU58" s="90"/>
      <c r="AV58" s="90"/>
      <c r="AW58" s="90"/>
      <c r="AX58" s="90"/>
      <c r="AY58" s="90"/>
      <c r="AZ58" s="90"/>
      <c r="BA58" s="90"/>
      <c r="BB58" s="90"/>
      <c r="BC58" s="90"/>
      <c r="BD58" s="90"/>
      <c r="BE58" s="90"/>
      <c r="BF58" s="90"/>
      <c r="BG58" s="90"/>
      <c r="BH58" s="90"/>
      <c r="BI58" s="90"/>
      <c r="BJ58" s="90"/>
      <c r="BK58" s="90"/>
      <c r="BL58" s="90"/>
      <c r="BM58" s="90"/>
      <c r="BN58" s="90"/>
      <c r="BO58" s="90"/>
      <c r="BP58" s="90"/>
      <c r="BQ58" s="90"/>
      <c r="BR58" s="90"/>
      <c r="BS58" s="90"/>
      <c r="BT58" s="90"/>
      <c r="BU58" s="90"/>
      <c r="BV58" s="90"/>
      <c r="BW58" s="90"/>
      <c r="BX58" s="90"/>
      <c r="BY58" s="90"/>
      <c r="BZ58" s="90"/>
      <c r="CA58" s="90"/>
      <c r="CB58" s="91"/>
    </row>
    <row r="59" spans="1:80">
      <c r="A59" s="179" t="s">
        <v>36</v>
      </c>
      <c r="B59" s="113"/>
      <c r="C59" s="92"/>
      <c r="D59" s="92"/>
      <c r="E59" s="92"/>
      <c r="F59" s="92"/>
      <c r="G59" s="92"/>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92"/>
      <c r="AQ59" s="92"/>
      <c r="AR59" s="92"/>
      <c r="AS59" s="92"/>
      <c r="AT59" s="92"/>
      <c r="AU59" s="92"/>
      <c r="AV59" s="92"/>
      <c r="AW59" s="92"/>
      <c r="AX59" s="92"/>
      <c r="AY59" s="92"/>
      <c r="AZ59" s="92"/>
      <c r="BA59" s="92"/>
      <c r="BB59" s="92"/>
      <c r="BC59" s="92"/>
      <c r="BD59" s="92"/>
      <c r="BE59" s="92"/>
      <c r="BF59" s="92"/>
      <c r="BG59" s="92"/>
      <c r="BH59" s="92"/>
      <c r="BI59" s="92"/>
      <c r="BJ59" s="92"/>
      <c r="BK59" s="92"/>
      <c r="BL59" s="92"/>
      <c r="BM59" s="92"/>
      <c r="BN59" s="92"/>
      <c r="BO59" s="92"/>
      <c r="BP59" s="92"/>
      <c r="BQ59" s="92"/>
      <c r="BR59" s="92"/>
      <c r="BS59" s="92"/>
      <c r="BT59" s="92"/>
      <c r="BU59" s="92"/>
      <c r="BV59" s="92"/>
      <c r="BW59" s="92"/>
      <c r="BX59" s="92"/>
      <c r="BY59" s="92"/>
      <c r="BZ59" s="92"/>
      <c r="CA59" s="92"/>
      <c r="CB59" s="93"/>
    </row>
    <row r="60" spans="1:80">
      <c r="A60" s="247" t="s">
        <v>49</v>
      </c>
      <c r="B60" s="124"/>
      <c r="C60" s="125"/>
      <c r="D60" s="125"/>
      <c r="E60" s="125"/>
      <c r="F60" s="125"/>
      <c r="G60" s="125"/>
      <c r="H60" s="125"/>
      <c r="I60" s="125"/>
      <c r="J60" s="125"/>
      <c r="K60" s="125"/>
      <c r="L60" s="125"/>
      <c r="M60" s="125"/>
      <c r="N60" s="125"/>
      <c r="O60" s="125"/>
      <c r="P60" s="125"/>
      <c r="Q60" s="125"/>
      <c r="R60" s="125"/>
      <c r="S60" s="125"/>
      <c r="T60" s="125"/>
      <c r="U60" s="125"/>
      <c r="V60" s="125"/>
      <c r="W60" s="125"/>
      <c r="X60" s="125"/>
      <c r="Y60" s="125"/>
      <c r="Z60" s="125"/>
      <c r="AA60" s="125"/>
      <c r="AB60" s="125"/>
      <c r="AC60" s="125"/>
      <c r="AD60" s="125"/>
      <c r="AE60" s="125"/>
      <c r="AF60" s="125"/>
      <c r="AG60" s="125"/>
      <c r="AH60" s="125"/>
      <c r="AI60" s="125"/>
      <c r="AJ60" s="125"/>
      <c r="AK60" s="125"/>
      <c r="AL60" s="125"/>
      <c r="AM60" s="125"/>
      <c r="AN60" s="125"/>
      <c r="AO60" s="125"/>
      <c r="AP60" s="125"/>
      <c r="AQ60" s="125"/>
      <c r="AR60" s="125"/>
      <c r="AS60" s="125"/>
      <c r="AT60" s="125"/>
      <c r="AU60" s="125"/>
      <c r="AV60" s="125"/>
      <c r="AW60" s="125"/>
      <c r="AX60" s="125"/>
      <c r="AY60" s="125"/>
      <c r="AZ60" s="125"/>
      <c r="BA60" s="125"/>
      <c r="BB60" s="125"/>
      <c r="BC60" s="125"/>
      <c r="BD60" s="125"/>
      <c r="BE60" s="125"/>
      <c r="BF60" s="125"/>
      <c r="BG60" s="125"/>
      <c r="BH60" s="125"/>
      <c r="BI60" s="125"/>
      <c r="BJ60" s="125"/>
      <c r="BK60" s="125"/>
      <c r="BL60" s="125"/>
      <c r="BM60" s="125"/>
      <c r="BN60" s="125"/>
      <c r="BO60" s="125"/>
      <c r="BP60" s="125"/>
      <c r="BQ60" s="125"/>
      <c r="BR60" s="125"/>
      <c r="BS60" s="125"/>
      <c r="BT60" s="125"/>
      <c r="BU60" s="125"/>
      <c r="BV60" s="125"/>
      <c r="BW60" s="125"/>
      <c r="BX60" s="125"/>
      <c r="BY60" s="125"/>
      <c r="BZ60" s="125"/>
      <c r="CA60" s="125"/>
      <c r="CB60" s="126"/>
    </row>
    <row r="61" spans="1:80">
      <c r="A61" s="180" t="s">
        <v>37</v>
      </c>
      <c r="B61" s="127"/>
      <c r="C61" s="128"/>
      <c r="D61" s="128"/>
      <c r="E61" s="128"/>
      <c r="F61" s="128"/>
      <c r="G61" s="128"/>
      <c r="H61" s="128"/>
      <c r="I61" s="128"/>
      <c r="J61" s="128"/>
      <c r="K61" s="128"/>
      <c r="L61" s="128"/>
      <c r="M61" s="128"/>
      <c r="N61" s="128"/>
      <c r="O61" s="128"/>
      <c r="P61" s="128"/>
      <c r="Q61" s="128"/>
      <c r="R61" s="128"/>
      <c r="S61" s="128"/>
      <c r="T61" s="128"/>
      <c r="U61" s="128"/>
      <c r="V61" s="128"/>
      <c r="W61" s="128"/>
      <c r="X61" s="128"/>
      <c r="Y61" s="128"/>
      <c r="Z61" s="128"/>
      <c r="AA61" s="128"/>
      <c r="AB61" s="128"/>
      <c r="AC61" s="128"/>
      <c r="AD61" s="128"/>
      <c r="AE61" s="128"/>
      <c r="AF61" s="128"/>
      <c r="AG61" s="128"/>
      <c r="AH61" s="128"/>
      <c r="AI61" s="128"/>
      <c r="AJ61" s="128"/>
      <c r="AK61" s="128"/>
      <c r="AL61" s="128"/>
      <c r="AM61" s="128"/>
      <c r="AN61" s="128"/>
      <c r="AO61" s="128"/>
      <c r="AP61" s="128"/>
      <c r="AQ61" s="128"/>
      <c r="AR61" s="128"/>
      <c r="AS61" s="128"/>
      <c r="AT61" s="128"/>
      <c r="AU61" s="128"/>
      <c r="AV61" s="128"/>
      <c r="AW61" s="128"/>
      <c r="AX61" s="128"/>
      <c r="AY61" s="128"/>
      <c r="AZ61" s="128"/>
      <c r="BA61" s="128"/>
      <c r="BB61" s="128"/>
      <c r="BC61" s="128"/>
      <c r="BD61" s="128"/>
      <c r="BE61" s="128"/>
      <c r="BF61" s="128"/>
      <c r="BG61" s="128"/>
      <c r="BH61" s="128"/>
      <c r="BI61" s="128"/>
      <c r="BJ61" s="128"/>
      <c r="BK61" s="128"/>
      <c r="BL61" s="128"/>
      <c r="BM61" s="128"/>
      <c r="BN61" s="128"/>
      <c r="BO61" s="128"/>
      <c r="BP61" s="128"/>
      <c r="BQ61" s="128"/>
      <c r="BR61" s="128"/>
      <c r="BS61" s="128"/>
      <c r="BT61" s="128"/>
      <c r="BU61" s="128"/>
      <c r="BV61" s="128"/>
      <c r="BW61" s="128"/>
      <c r="BX61" s="128"/>
      <c r="BY61" s="128"/>
      <c r="BZ61" s="128"/>
      <c r="CA61" s="128"/>
      <c r="CB61" s="129"/>
    </row>
    <row r="62" spans="1:80">
      <c r="A62" s="246" t="s">
        <v>49</v>
      </c>
      <c r="B62" s="94"/>
      <c r="C62" s="95"/>
      <c r="D62" s="95"/>
      <c r="E62" s="95"/>
      <c r="F62" s="95"/>
      <c r="G62" s="95"/>
      <c r="H62" s="95"/>
      <c r="I62" s="95"/>
      <c r="J62" s="95"/>
      <c r="K62" s="95"/>
      <c r="L62" s="95"/>
      <c r="M62" s="95"/>
      <c r="N62" s="95"/>
      <c r="O62" s="95"/>
      <c r="P62" s="95"/>
      <c r="Q62" s="95"/>
      <c r="R62" s="95"/>
      <c r="S62" s="95"/>
      <c r="T62" s="95"/>
      <c r="U62" s="95"/>
      <c r="V62" s="95"/>
      <c r="W62" s="95"/>
      <c r="X62" s="95"/>
      <c r="Y62" s="95"/>
      <c r="Z62" s="95"/>
      <c r="AA62" s="95"/>
      <c r="AB62" s="95"/>
      <c r="AC62" s="95"/>
      <c r="AD62" s="95"/>
      <c r="AE62" s="95"/>
      <c r="AF62" s="95"/>
      <c r="AG62" s="95"/>
      <c r="AH62" s="95"/>
      <c r="AI62" s="95"/>
      <c r="AJ62" s="95"/>
      <c r="AK62" s="95"/>
      <c r="AL62" s="95"/>
      <c r="AM62" s="95"/>
      <c r="AN62" s="95"/>
      <c r="AO62" s="95"/>
      <c r="AP62" s="95"/>
      <c r="AQ62" s="95"/>
      <c r="AR62" s="95"/>
      <c r="AS62" s="95"/>
      <c r="AT62" s="95"/>
      <c r="AU62" s="95"/>
      <c r="AV62" s="95"/>
      <c r="AW62" s="95"/>
      <c r="AX62" s="95"/>
      <c r="AY62" s="95"/>
      <c r="AZ62" s="95"/>
      <c r="BA62" s="95"/>
      <c r="BB62" s="95"/>
      <c r="BC62" s="95"/>
      <c r="BD62" s="95"/>
      <c r="BE62" s="95"/>
      <c r="BF62" s="95"/>
      <c r="BG62" s="95"/>
      <c r="BH62" s="95"/>
      <c r="BI62" s="95"/>
      <c r="BJ62" s="95"/>
      <c r="BK62" s="95"/>
      <c r="BL62" s="95"/>
      <c r="BM62" s="95"/>
      <c r="BN62" s="95"/>
      <c r="BO62" s="95"/>
      <c r="BP62" s="95"/>
      <c r="BQ62" s="95"/>
      <c r="BR62" s="95"/>
      <c r="BS62" s="95"/>
      <c r="BT62" s="95"/>
      <c r="BU62" s="95"/>
      <c r="BV62" s="95"/>
      <c r="BW62" s="95"/>
      <c r="BX62" s="95"/>
      <c r="BY62" s="95"/>
      <c r="BZ62" s="95"/>
      <c r="CA62" s="95"/>
      <c r="CB62" s="96"/>
    </row>
    <row r="63" spans="1:80">
      <c r="A63" s="181" t="s">
        <v>38</v>
      </c>
      <c r="B63" s="116"/>
      <c r="C63" s="97"/>
      <c r="D63" s="97"/>
      <c r="E63" s="97"/>
      <c r="F63" s="97"/>
      <c r="G63" s="97"/>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97"/>
      <c r="AH63" s="97"/>
      <c r="AI63" s="97"/>
      <c r="AJ63" s="97"/>
      <c r="AK63" s="97"/>
      <c r="AL63" s="97"/>
      <c r="AM63" s="97"/>
      <c r="AN63" s="97"/>
      <c r="AO63" s="97"/>
      <c r="AP63" s="97"/>
      <c r="AQ63" s="97"/>
      <c r="AR63" s="97"/>
      <c r="AS63" s="97"/>
      <c r="AT63" s="97"/>
      <c r="AU63" s="97"/>
      <c r="AV63" s="97"/>
      <c r="AW63" s="97"/>
      <c r="AX63" s="97"/>
      <c r="AY63" s="97"/>
      <c r="AZ63" s="97"/>
      <c r="BA63" s="97"/>
      <c r="BB63" s="97"/>
      <c r="BC63" s="97"/>
      <c r="BD63" s="97"/>
      <c r="BE63" s="97"/>
      <c r="BF63" s="97"/>
      <c r="BG63" s="97"/>
      <c r="BH63" s="97"/>
      <c r="BI63" s="97"/>
      <c r="BJ63" s="97"/>
      <c r="BK63" s="97"/>
      <c r="BL63" s="97"/>
      <c r="BM63" s="97"/>
      <c r="BN63" s="97"/>
      <c r="BO63" s="97"/>
      <c r="BP63" s="97"/>
      <c r="BQ63" s="97"/>
      <c r="BR63" s="97"/>
      <c r="BS63" s="97"/>
      <c r="BT63" s="97"/>
      <c r="BU63" s="97"/>
      <c r="BV63" s="97"/>
      <c r="BW63" s="97"/>
      <c r="BX63" s="97"/>
      <c r="BY63" s="97"/>
      <c r="BZ63" s="97"/>
      <c r="CA63" s="97"/>
      <c r="CB63" s="98"/>
    </row>
    <row r="64" spans="1:80">
      <c r="A64" s="245" t="s">
        <v>49</v>
      </c>
      <c r="B64" s="99"/>
      <c r="C64" s="100"/>
      <c r="D64" s="100"/>
      <c r="E64" s="100"/>
      <c r="F64" s="100"/>
      <c r="G64" s="100"/>
      <c r="H64" s="100"/>
      <c r="I64" s="100"/>
      <c r="J64" s="100"/>
      <c r="K64" s="100"/>
      <c r="L64" s="100"/>
      <c r="M64" s="100"/>
      <c r="N64" s="100"/>
      <c r="O64" s="100"/>
      <c r="P64" s="100"/>
      <c r="Q64" s="100"/>
      <c r="R64" s="100"/>
      <c r="S64" s="100"/>
      <c r="T64" s="100"/>
      <c r="U64" s="100"/>
      <c r="V64" s="100"/>
      <c r="W64" s="100"/>
      <c r="X64" s="100"/>
      <c r="Y64" s="100"/>
      <c r="Z64" s="100"/>
      <c r="AA64" s="100"/>
      <c r="AB64" s="100"/>
      <c r="AC64" s="100"/>
      <c r="AD64" s="100"/>
      <c r="AE64" s="100"/>
      <c r="AF64" s="100"/>
      <c r="AG64" s="100"/>
      <c r="AH64" s="100"/>
      <c r="AI64" s="100"/>
      <c r="AJ64" s="100"/>
      <c r="AK64" s="100"/>
      <c r="AL64" s="100"/>
      <c r="AM64" s="100"/>
      <c r="AN64" s="100"/>
      <c r="AO64" s="100"/>
      <c r="AP64" s="100"/>
      <c r="AQ64" s="100"/>
      <c r="AR64" s="100"/>
      <c r="AS64" s="100"/>
      <c r="AT64" s="100"/>
      <c r="AU64" s="100"/>
      <c r="AV64" s="100"/>
      <c r="AW64" s="100"/>
      <c r="AX64" s="100"/>
      <c r="AY64" s="100"/>
      <c r="AZ64" s="100"/>
      <c r="BA64" s="100"/>
      <c r="BB64" s="100"/>
      <c r="BC64" s="100"/>
      <c r="BD64" s="100"/>
      <c r="BE64" s="100"/>
      <c r="BF64" s="100"/>
      <c r="BG64" s="100"/>
      <c r="BH64" s="100"/>
      <c r="BI64" s="100"/>
      <c r="BJ64" s="100"/>
      <c r="BK64" s="100"/>
      <c r="BL64" s="100"/>
      <c r="BM64" s="100"/>
      <c r="BN64" s="100"/>
      <c r="BO64" s="100"/>
      <c r="BP64" s="100"/>
      <c r="BQ64" s="100"/>
      <c r="BR64" s="100"/>
      <c r="BS64" s="100"/>
      <c r="BT64" s="100"/>
      <c r="BU64" s="100"/>
      <c r="BV64" s="100"/>
      <c r="BW64" s="100"/>
      <c r="BX64" s="100"/>
      <c r="BY64" s="100"/>
      <c r="BZ64" s="100"/>
      <c r="CA64" s="100"/>
      <c r="CB64" s="101"/>
    </row>
    <row r="65" spans="1:115">
      <c r="A65" s="182" t="s">
        <v>39</v>
      </c>
      <c r="B65" s="117"/>
      <c r="C65" s="102"/>
      <c r="D65" s="102"/>
      <c r="E65" s="102"/>
      <c r="F65" s="102"/>
      <c r="G65" s="102"/>
      <c r="H65" s="102"/>
      <c r="I65" s="102"/>
      <c r="J65" s="102"/>
      <c r="K65" s="102"/>
      <c r="L65" s="102"/>
      <c r="M65" s="102"/>
      <c r="N65" s="102"/>
      <c r="O65" s="102"/>
      <c r="P65" s="102"/>
      <c r="Q65" s="102"/>
      <c r="R65" s="102"/>
      <c r="S65" s="102"/>
      <c r="T65" s="102"/>
      <c r="U65" s="102"/>
      <c r="V65" s="102"/>
      <c r="W65" s="102"/>
      <c r="X65" s="102"/>
      <c r="Y65" s="102"/>
      <c r="Z65" s="102"/>
      <c r="AA65" s="102"/>
      <c r="AB65" s="102"/>
      <c r="AC65" s="102"/>
      <c r="AD65" s="102"/>
      <c r="AE65" s="102"/>
      <c r="AF65" s="102"/>
      <c r="AG65" s="102"/>
      <c r="AH65" s="102"/>
      <c r="AI65" s="102"/>
      <c r="AJ65" s="102"/>
      <c r="AK65" s="102"/>
      <c r="AL65" s="102"/>
      <c r="AM65" s="102"/>
      <c r="AN65" s="102"/>
      <c r="AO65" s="102"/>
      <c r="AP65" s="102"/>
      <c r="AQ65" s="102"/>
      <c r="AR65" s="102"/>
      <c r="AS65" s="102"/>
      <c r="AT65" s="102"/>
      <c r="AU65" s="102"/>
      <c r="AV65" s="102"/>
      <c r="AW65" s="102"/>
      <c r="AX65" s="102"/>
      <c r="AY65" s="102"/>
      <c r="AZ65" s="102"/>
      <c r="BA65" s="102"/>
      <c r="BB65" s="102"/>
      <c r="BC65" s="102"/>
      <c r="BD65" s="102"/>
      <c r="BE65" s="102"/>
      <c r="BF65" s="102"/>
      <c r="BG65" s="102"/>
      <c r="BH65" s="102"/>
      <c r="BI65" s="102"/>
      <c r="BJ65" s="102"/>
      <c r="BK65" s="102"/>
      <c r="BL65" s="102"/>
      <c r="BM65" s="102"/>
      <c r="BN65" s="102"/>
      <c r="BO65" s="102"/>
      <c r="BP65" s="102"/>
      <c r="BQ65" s="102"/>
      <c r="BR65" s="102"/>
      <c r="BS65" s="102"/>
      <c r="BT65" s="102"/>
      <c r="BU65" s="102"/>
      <c r="BV65" s="102"/>
      <c r="BW65" s="102"/>
      <c r="BX65" s="102"/>
      <c r="BY65" s="102"/>
      <c r="BZ65" s="102"/>
      <c r="CA65" s="102"/>
      <c r="CB65" s="103"/>
      <c r="CF65" s="9"/>
      <c r="CG65" s="9"/>
      <c r="CH65" s="9"/>
      <c r="CI65" s="9"/>
      <c r="CJ65" s="9"/>
      <c r="CK65" s="9"/>
      <c r="CL65" s="9"/>
      <c r="CM65" s="9"/>
      <c r="CN65" s="9"/>
      <c r="CO65" s="9"/>
      <c r="CP65" s="9"/>
      <c r="CQ65" s="9"/>
      <c r="CR65" s="9"/>
      <c r="CS65" s="9"/>
      <c r="CT65" s="9"/>
      <c r="CU65" s="9"/>
      <c r="CV65" s="9"/>
      <c r="CW65" s="9"/>
      <c r="CX65" s="9"/>
      <c r="CY65" s="9"/>
      <c r="CZ65" s="9"/>
      <c r="DA65" s="9"/>
      <c r="DB65" s="9"/>
      <c r="DC65" s="9"/>
      <c r="DD65" s="9"/>
      <c r="DE65" s="9"/>
      <c r="DF65" s="9"/>
      <c r="DG65" s="9"/>
      <c r="DH65" s="9"/>
      <c r="DI65" s="9"/>
      <c r="DJ65" s="9"/>
      <c r="DK65" s="9"/>
    </row>
    <row r="66" spans="1:115">
      <c r="A66" s="244" t="s">
        <v>49</v>
      </c>
      <c r="B66" s="216"/>
      <c r="C66" s="188"/>
      <c r="D66" s="188"/>
      <c r="E66" s="188"/>
      <c r="F66" s="188"/>
      <c r="G66" s="188"/>
      <c r="H66" s="188"/>
      <c r="I66" s="188"/>
      <c r="J66" s="188"/>
      <c r="K66" s="188"/>
      <c r="L66" s="188"/>
      <c r="M66" s="188"/>
      <c r="N66" s="188"/>
      <c r="O66" s="188"/>
      <c r="P66" s="188"/>
      <c r="Q66" s="188"/>
      <c r="R66" s="188"/>
      <c r="S66" s="188"/>
      <c r="T66" s="188"/>
      <c r="U66" s="188"/>
      <c r="V66" s="188"/>
      <c r="W66" s="188"/>
      <c r="X66" s="188"/>
      <c r="Y66" s="188"/>
      <c r="Z66" s="188"/>
      <c r="AA66" s="188"/>
      <c r="AB66" s="188"/>
      <c r="AC66" s="188"/>
      <c r="AD66" s="188"/>
      <c r="AE66" s="188"/>
      <c r="AF66" s="188"/>
      <c r="AG66" s="188"/>
      <c r="AH66" s="188"/>
      <c r="AI66" s="188"/>
      <c r="AJ66" s="188"/>
      <c r="AK66" s="188"/>
      <c r="AL66" s="188"/>
      <c r="AM66" s="188"/>
      <c r="AN66" s="188"/>
      <c r="AO66" s="188"/>
      <c r="AP66" s="188"/>
      <c r="AQ66" s="188"/>
      <c r="AR66" s="188"/>
      <c r="AS66" s="188"/>
      <c r="AT66" s="188"/>
      <c r="AU66" s="188"/>
      <c r="AV66" s="188"/>
      <c r="AW66" s="188"/>
      <c r="AX66" s="188"/>
      <c r="AY66" s="188"/>
      <c r="AZ66" s="188"/>
      <c r="BA66" s="188"/>
      <c r="BB66" s="188"/>
      <c r="BC66" s="188"/>
      <c r="BD66" s="188"/>
      <c r="BE66" s="188"/>
      <c r="BF66" s="188"/>
      <c r="BG66" s="188"/>
      <c r="BH66" s="188"/>
      <c r="BI66" s="188"/>
      <c r="BJ66" s="188"/>
      <c r="BK66" s="188"/>
      <c r="BL66" s="188"/>
      <c r="BM66" s="188"/>
      <c r="BN66" s="188"/>
      <c r="BO66" s="188"/>
      <c r="BP66" s="188"/>
      <c r="BQ66" s="188"/>
      <c r="BR66" s="188"/>
      <c r="BS66" s="188"/>
      <c r="BT66" s="188"/>
      <c r="BU66" s="188"/>
      <c r="BV66" s="188"/>
      <c r="BW66" s="188"/>
      <c r="BX66" s="188"/>
      <c r="BY66" s="188"/>
      <c r="BZ66" s="188"/>
      <c r="CA66" s="188"/>
      <c r="CB66" s="189"/>
      <c r="CF66" s="9"/>
      <c r="CG66" s="9"/>
      <c r="CH66" s="9"/>
      <c r="CI66" s="9"/>
      <c r="CJ66" s="9"/>
      <c r="CK66" s="9"/>
      <c r="CL66" s="9"/>
      <c r="CM66" s="9"/>
      <c r="CN66" s="9"/>
      <c r="CO66" s="9"/>
      <c r="CP66" s="9"/>
      <c r="CQ66" s="9"/>
      <c r="CR66" s="9"/>
      <c r="CS66" s="9"/>
      <c r="CT66" s="9"/>
      <c r="CU66" s="9"/>
      <c r="CV66" s="9"/>
      <c r="CW66" s="9"/>
      <c r="CX66" s="9"/>
      <c r="CY66" s="9"/>
      <c r="CZ66" s="9"/>
      <c r="DA66" s="9"/>
      <c r="DB66" s="9"/>
      <c r="DC66" s="9"/>
      <c r="DD66" s="9"/>
      <c r="DE66" s="9"/>
      <c r="DF66" s="9"/>
      <c r="DG66" s="9"/>
      <c r="DH66" s="9"/>
      <c r="DI66" s="9"/>
      <c r="DJ66" s="9"/>
      <c r="DK66" s="9"/>
    </row>
    <row r="67" spans="1:115">
      <c r="A67" s="183" t="s">
        <v>127</v>
      </c>
      <c r="B67" s="158"/>
      <c r="C67" s="159"/>
      <c r="D67" s="159"/>
      <c r="E67" s="159"/>
      <c r="F67" s="159"/>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59"/>
      <c r="AE67" s="159"/>
      <c r="AF67" s="159"/>
      <c r="AG67" s="159"/>
      <c r="AH67" s="159"/>
      <c r="AI67" s="159"/>
      <c r="AJ67" s="159"/>
      <c r="AK67" s="159"/>
      <c r="AL67" s="159"/>
      <c r="AM67" s="159"/>
      <c r="AN67" s="159"/>
      <c r="AO67" s="159"/>
      <c r="AP67" s="159"/>
      <c r="AQ67" s="159"/>
      <c r="AR67" s="159"/>
      <c r="AS67" s="159"/>
      <c r="AT67" s="159"/>
      <c r="AU67" s="159"/>
      <c r="AV67" s="159"/>
      <c r="AW67" s="159"/>
      <c r="AX67" s="159"/>
      <c r="AY67" s="159"/>
      <c r="AZ67" s="159"/>
      <c r="BA67" s="159"/>
      <c r="BB67" s="159"/>
      <c r="BC67" s="159"/>
      <c r="BD67" s="160"/>
      <c r="BE67" s="159"/>
      <c r="BF67" s="159"/>
      <c r="BG67" s="159"/>
      <c r="BH67" s="159"/>
      <c r="BI67" s="159"/>
      <c r="BJ67" s="159"/>
      <c r="BK67" s="159"/>
      <c r="BL67" s="159"/>
      <c r="BM67" s="159"/>
      <c r="BN67" s="159"/>
      <c r="BO67" s="159"/>
      <c r="BP67" s="159"/>
      <c r="BQ67" s="159"/>
      <c r="BR67" s="159"/>
      <c r="BS67" s="159"/>
      <c r="BT67" s="159"/>
      <c r="BU67" s="159"/>
      <c r="BV67" s="159"/>
      <c r="BW67" s="159"/>
      <c r="BX67" s="159"/>
      <c r="BY67" s="159"/>
      <c r="BZ67" s="159"/>
      <c r="CA67" s="159"/>
      <c r="CB67" s="187"/>
      <c r="CF67" s="9"/>
      <c r="CG67" s="9"/>
      <c r="CH67" s="9"/>
      <c r="CI67" s="9"/>
      <c r="CJ67" s="9"/>
      <c r="CK67" s="9"/>
      <c r="CL67" s="9"/>
      <c r="CM67" s="9"/>
      <c r="CN67" s="9"/>
      <c r="CO67" s="9"/>
      <c r="CP67" s="9"/>
      <c r="CQ67" s="9"/>
      <c r="CR67" s="9"/>
      <c r="CS67" s="9"/>
      <c r="CT67" s="9"/>
      <c r="CU67" s="9"/>
      <c r="CV67" s="9"/>
      <c r="CW67" s="9"/>
      <c r="CX67" s="9"/>
      <c r="CY67" s="9"/>
      <c r="CZ67" s="9"/>
      <c r="DA67" s="9"/>
      <c r="DB67" s="9"/>
      <c r="DC67" s="9"/>
      <c r="DD67" s="9"/>
      <c r="DE67" s="9"/>
      <c r="DF67" s="9"/>
      <c r="DG67" s="9"/>
      <c r="DH67" s="9"/>
      <c r="DI67" s="9"/>
      <c r="DJ67" s="9"/>
      <c r="DK67" s="9"/>
    </row>
    <row r="68" spans="1:115">
      <c r="A68" s="221" t="s">
        <v>49</v>
      </c>
      <c r="B68" s="184"/>
      <c r="C68" s="145"/>
      <c r="D68" s="145"/>
      <c r="E68" s="145"/>
      <c r="F68" s="145"/>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5"/>
      <c r="AE68" s="145"/>
      <c r="AF68" s="145"/>
      <c r="AG68" s="145"/>
      <c r="AH68" s="145"/>
      <c r="AI68" s="145"/>
      <c r="AJ68" s="145"/>
      <c r="AK68" s="145"/>
      <c r="AL68" s="145"/>
      <c r="AM68" s="145"/>
      <c r="AN68" s="145"/>
      <c r="AO68" s="145"/>
      <c r="AP68" s="145"/>
      <c r="AQ68" s="145"/>
      <c r="AR68" s="145"/>
      <c r="AS68" s="145"/>
      <c r="AT68" s="145"/>
      <c r="AU68" s="145"/>
      <c r="AV68" s="145"/>
      <c r="AW68" s="145"/>
      <c r="AX68" s="145"/>
      <c r="AY68" s="145"/>
      <c r="AZ68" s="145"/>
      <c r="BA68" s="145"/>
      <c r="BB68" s="145"/>
      <c r="BC68" s="145"/>
      <c r="BD68" s="145"/>
      <c r="BE68" s="145"/>
      <c r="BF68" s="145"/>
      <c r="BG68" s="145"/>
      <c r="BH68" s="145"/>
      <c r="BI68" s="145"/>
      <c r="BJ68" s="145"/>
      <c r="BK68" s="145"/>
      <c r="BL68" s="145"/>
      <c r="BM68" s="145"/>
      <c r="BN68" s="145"/>
      <c r="BO68" s="145"/>
      <c r="BP68" s="145"/>
      <c r="BQ68" s="145"/>
      <c r="BR68" s="145"/>
      <c r="BS68" s="145"/>
      <c r="BT68" s="145"/>
      <c r="BU68" s="145"/>
      <c r="BV68" s="145"/>
      <c r="BW68" s="145"/>
      <c r="BX68" s="145"/>
      <c r="BY68" s="145"/>
      <c r="BZ68" s="145"/>
      <c r="CA68" s="145"/>
      <c r="CB68" s="146"/>
      <c r="CF68" s="9"/>
      <c r="CG68" s="9"/>
      <c r="CH68" s="9"/>
      <c r="CI68" s="9"/>
      <c r="CJ68" s="9"/>
      <c r="CK68" s="9"/>
      <c r="CL68" s="9"/>
      <c r="CM68" s="9"/>
      <c r="CN68" s="9"/>
      <c r="CO68" s="9"/>
      <c r="CP68" s="9"/>
      <c r="CQ68" s="9"/>
      <c r="CR68" s="9"/>
      <c r="CS68" s="9"/>
      <c r="CT68" s="9"/>
      <c r="CU68" s="9"/>
      <c r="CV68" s="9"/>
      <c r="CW68" s="9"/>
      <c r="CX68" s="9"/>
      <c r="CY68" s="9"/>
      <c r="CZ68" s="9"/>
      <c r="DA68" s="9"/>
      <c r="DB68" s="9"/>
      <c r="DC68" s="9"/>
      <c r="DD68" s="9"/>
      <c r="DE68" s="9"/>
      <c r="DF68" s="9"/>
      <c r="DG68" s="9"/>
      <c r="DH68" s="9"/>
      <c r="DI68" s="9"/>
      <c r="DJ68" s="9"/>
      <c r="DK68" s="9"/>
    </row>
    <row r="69" spans="1:115">
      <c r="A69" s="143" t="s">
        <v>128</v>
      </c>
      <c r="B69" s="147"/>
      <c r="C69" s="148"/>
      <c r="D69" s="148"/>
      <c r="E69" s="148"/>
      <c r="F69" s="148"/>
      <c r="G69" s="148"/>
      <c r="H69" s="148"/>
      <c r="I69" s="148"/>
      <c r="J69" s="148"/>
      <c r="K69" s="148"/>
      <c r="L69" s="148"/>
      <c r="M69" s="148"/>
      <c r="N69" s="148"/>
      <c r="O69" s="148"/>
      <c r="P69" s="148"/>
      <c r="Q69" s="148"/>
      <c r="R69" s="148"/>
      <c r="S69" s="148"/>
      <c r="T69" s="148"/>
      <c r="U69" s="148"/>
      <c r="V69" s="148"/>
      <c r="W69" s="148"/>
      <c r="X69" s="148"/>
      <c r="Y69" s="148"/>
      <c r="Z69" s="148"/>
      <c r="AA69" s="148"/>
      <c r="AB69" s="148"/>
      <c r="AC69" s="148"/>
      <c r="AD69" s="148"/>
      <c r="AE69" s="148"/>
      <c r="AF69" s="148"/>
      <c r="AG69" s="148"/>
      <c r="AH69" s="148"/>
      <c r="AI69" s="148"/>
      <c r="AJ69" s="148"/>
      <c r="AK69" s="148"/>
      <c r="AL69" s="148"/>
      <c r="AM69" s="148"/>
      <c r="AN69" s="148"/>
      <c r="AO69" s="148"/>
      <c r="AP69" s="148"/>
      <c r="AQ69" s="148"/>
      <c r="AR69" s="148"/>
      <c r="AS69" s="148"/>
      <c r="AT69" s="148"/>
      <c r="AU69" s="148"/>
      <c r="AV69" s="148"/>
      <c r="AW69" s="148"/>
      <c r="AX69" s="148"/>
      <c r="AY69" s="148"/>
      <c r="AZ69" s="148"/>
      <c r="BA69" s="148"/>
      <c r="BB69" s="148"/>
      <c r="BC69" s="148"/>
      <c r="BD69" s="148"/>
      <c r="BE69" s="148"/>
      <c r="BF69" s="148"/>
      <c r="BG69" s="148"/>
      <c r="BH69" s="148"/>
      <c r="BI69" s="148"/>
      <c r="BJ69" s="148"/>
      <c r="BK69" s="148"/>
      <c r="BL69" s="148"/>
      <c r="BM69" s="148"/>
      <c r="BN69" s="148"/>
      <c r="BO69" s="148"/>
      <c r="BP69" s="148"/>
      <c r="BQ69" s="148"/>
      <c r="BR69" s="148"/>
      <c r="BS69" s="148"/>
      <c r="BT69" s="148"/>
      <c r="BU69" s="148"/>
      <c r="BV69" s="148"/>
      <c r="BW69" s="148"/>
      <c r="BX69" s="148"/>
      <c r="BY69" s="148"/>
      <c r="BZ69" s="148"/>
      <c r="CA69" s="148"/>
      <c r="CB69" s="154"/>
      <c r="CF69" s="9"/>
      <c r="CG69" s="9"/>
      <c r="CH69" s="9"/>
      <c r="CI69" s="9"/>
      <c r="CJ69" s="9"/>
      <c r="CK69" s="9"/>
      <c r="CL69" s="9"/>
      <c r="CM69" s="9"/>
      <c r="CN69" s="9"/>
      <c r="CO69" s="9"/>
      <c r="CP69" s="9"/>
      <c r="CQ69" s="9"/>
      <c r="CR69" s="9"/>
      <c r="CS69" s="9"/>
      <c r="CT69" s="9"/>
      <c r="CU69" s="9"/>
      <c r="CV69" s="9"/>
      <c r="CW69" s="9"/>
      <c r="CX69" s="9"/>
      <c r="CY69" s="9"/>
      <c r="CZ69" s="9"/>
      <c r="DA69" s="9"/>
      <c r="DB69" s="9"/>
      <c r="DC69" s="9"/>
      <c r="DD69" s="9"/>
      <c r="DE69" s="9"/>
      <c r="DF69" s="9"/>
      <c r="DG69" s="9"/>
      <c r="DH69" s="9"/>
      <c r="DI69" s="9"/>
      <c r="DJ69" s="9"/>
      <c r="DK69" s="9"/>
    </row>
    <row r="70" spans="1:115">
      <c r="A70" s="243" t="s">
        <v>49</v>
      </c>
      <c r="B70" s="185"/>
      <c r="C70" s="38"/>
      <c r="D70" s="38"/>
      <c r="E70" s="38"/>
      <c r="F70" s="38"/>
      <c r="G70" s="38"/>
      <c r="H70" s="38"/>
      <c r="I70" s="38"/>
      <c r="J70" s="38"/>
      <c r="K70" s="38"/>
      <c r="L70" s="38"/>
      <c r="M70" s="38"/>
      <c r="N70" s="38"/>
      <c r="O70" s="38"/>
      <c r="P70" s="38"/>
      <c r="Q70" s="38"/>
      <c r="R70" s="38"/>
      <c r="S70" s="38"/>
      <c r="T70" s="38"/>
      <c r="U70" s="38"/>
      <c r="V70" s="38"/>
      <c r="W70" s="38"/>
      <c r="X70" s="38"/>
      <c r="Y70" s="38"/>
      <c r="Z70" s="38"/>
      <c r="AA70" s="38"/>
      <c r="AB70" s="38"/>
      <c r="AC70" s="38"/>
      <c r="AD70" s="38"/>
      <c r="AE70" s="38"/>
      <c r="AF70" s="38"/>
      <c r="AG70" s="38"/>
      <c r="AH70" s="38"/>
      <c r="AI70" s="38"/>
      <c r="AJ70" s="38"/>
      <c r="AK70" s="38"/>
      <c r="AL70" s="38"/>
      <c r="AM70" s="38"/>
      <c r="AN70" s="38"/>
      <c r="AO70" s="38"/>
      <c r="AP70" s="38"/>
      <c r="AQ70" s="38"/>
      <c r="AR70" s="38"/>
      <c r="AS70" s="38"/>
      <c r="AT70" s="38"/>
      <c r="AU70" s="38"/>
      <c r="AV70" s="38"/>
      <c r="AW70" s="38"/>
      <c r="AX70" s="38"/>
      <c r="AY70" s="38"/>
      <c r="AZ70" s="38"/>
      <c r="BA70" s="38"/>
      <c r="BB70" s="38"/>
      <c r="BC70" s="38"/>
      <c r="BD70" s="38"/>
      <c r="BE70" s="38"/>
      <c r="BF70" s="38"/>
      <c r="BG70" s="38"/>
      <c r="BH70" s="38"/>
      <c r="BI70" s="38"/>
      <c r="BJ70" s="38"/>
      <c r="BK70" s="38"/>
      <c r="BL70" s="38"/>
      <c r="BM70" s="38"/>
      <c r="BN70" s="38"/>
      <c r="BO70" s="38"/>
      <c r="BP70" s="38"/>
      <c r="BQ70" s="38"/>
      <c r="BR70" s="38"/>
      <c r="BS70" s="38"/>
      <c r="BT70" s="38"/>
      <c r="BU70" s="38"/>
      <c r="BV70" s="38"/>
      <c r="BW70" s="38"/>
      <c r="BX70" s="38"/>
      <c r="BY70" s="38"/>
      <c r="BZ70" s="38"/>
      <c r="CA70" s="38"/>
      <c r="CB70" s="39"/>
      <c r="CF70" s="9"/>
      <c r="CG70" s="9"/>
      <c r="CH70" s="9"/>
      <c r="CI70" s="9"/>
      <c r="CJ70" s="9"/>
      <c r="CK70" s="9"/>
      <c r="CL70" s="9"/>
      <c r="CM70" s="9"/>
      <c r="CN70" s="9"/>
      <c r="CO70" s="9"/>
      <c r="CP70" s="9"/>
      <c r="CQ70" s="9"/>
      <c r="CR70" s="9"/>
      <c r="CS70" s="9"/>
      <c r="CT70" s="9"/>
      <c r="CU70" s="9"/>
      <c r="CV70" s="9"/>
      <c r="CW70" s="9"/>
      <c r="CX70" s="9"/>
      <c r="CY70" s="9"/>
      <c r="CZ70" s="9"/>
      <c r="DA70" s="9"/>
      <c r="DB70" s="9"/>
      <c r="DC70" s="9"/>
      <c r="DD70" s="9"/>
      <c r="DE70" s="9"/>
      <c r="DF70" s="9"/>
      <c r="DG70" s="9"/>
      <c r="DH70" s="9"/>
      <c r="DI70" s="9"/>
      <c r="DJ70" s="9"/>
      <c r="DK70" s="9"/>
    </row>
    <row r="71" spans="1:115">
      <c r="A71" s="23" t="s">
        <v>129</v>
      </c>
      <c r="B71" s="106"/>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1"/>
      <c r="CF71" s="9"/>
      <c r="CG71" s="9"/>
      <c r="CH71" s="9"/>
      <c r="CI71" s="9"/>
      <c r="CJ71" s="9"/>
      <c r="CK71" s="9"/>
      <c r="CL71" s="9"/>
      <c r="CM71" s="9"/>
      <c r="CN71" s="9"/>
      <c r="CO71" s="9"/>
      <c r="CP71" s="9"/>
      <c r="CQ71" s="9"/>
      <c r="CR71" s="9"/>
      <c r="CS71" s="9"/>
      <c r="CT71" s="9"/>
      <c r="CU71" s="9"/>
      <c r="CV71" s="9"/>
      <c r="CW71" s="9"/>
      <c r="CX71" s="9"/>
      <c r="CY71" s="9"/>
      <c r="CZ71" s="9"/>
      <c r="DA71" s="9"/>
      <c r="DB71" s="9"/>
      <c r="DC71" s="9"/>
      <c r="DD71" s="9"/>
      <c r="DE71" s="9"/>
      <c r="DF71" s="9"/>
      <c r="DG71" s="9"/>
      <c r="DH71" s="9"/>
      <c r="DI71" s="9"/>
      <c r="DJ71" s="9"/>
      <c r="DK71" s="9"/>
    </row>
    <row r="72" spans="1:115">
      <c r="A72" s="518" t="s">
        <v>49</v>
      </c>
      <c r="B72" s="186"/>
      <c r="C72" s="80"/>
      <c r="D72" s="80"/>
      <c r="E72" s="80"/>
      <c r="F72" s="80"/>
      <c r="G72" s="80"/>
      <c r="H72" s="80"/>
      <c r="I72" s="80"/>
      <c r="J72" s="80"/>
      <c r="K72" s="80"/>
      <c r="L72" s="80"/>
      <c r="M72" s="80"/>
      <c r="N72" s="80"/>
      <c r="O72" s="80"/>
      <c r="P72" s="80"/>
      <c r="Q72" s="80"/>
      <c r="R72" s="80"/>
      <c r="S72" s="80"/>
      <c r="T72" s="80"/>
      <c r="U72" s="80"/>
      <c r="V72" s="80"/>
      <c r="W72" s="80"/>
      <c r="X72" s="80"/>
      <c r="Y72" s="80"/>
      <c r="Z72" s="80"/>
      <c r="AA72" s="80"/>
      <c r="AB72" s="80"/>
      <c r="AC72" s="80"/>
      <c r="AD72" s="80"/>
      <c r="AE72" s="80"/>
      <c r="AF72" s="80"/>
      <c r="AG72" s="80"/>
      <c r="AH72" s="80"/>
      <c r="AI72" s="80"/>
      <c r="AJ72" s="80"/>
      <c r="AK72" s="80"/>
      <c r="AL72" s="80"/>
      <c r="AM72" s="80"/>
      <c r="AN72" s="80"/>
      <c r="AO72" s="80"/>
      <c r="AP72" s="80"/>
      <c r="AQ72" s="80"/>
      <c r="AR72" s="80"/>
      <c r="AS72" s="80"/>
      <c r="AT72" s="80"/>
      <c r="AU72" s="80"/>
      <c r="AV72" s="80"/>
      <c r="AW72" s="80"/>
      <c r="AX72" s="80"/>
      <c r="AY72" s="80"/>
      <c r="AZ72" s="80"/>
      <c r="BA72" s="80"/>
      <c r="BB72" s="80"/>
      <c r="BC72" s="80"/>
      <c r="BD72" s="80"/>
      <c r="BE72" s="80"/>
      <c r="BF72" s="80"/>
      <c r="BG72" s="80"/>
      <c r="BH72" s="80"/>
      <c r="BI72" s="80"/>
      <c r="BJ72" s="80"/>
      <c r="BK72" s="80"/>
      <c r="BL72" s="80"/>
      <c r="BM72" s="80"/>
      <c r="BN72" s="80"/>
      <c r="BO72" s="80"/>
      <c r="BP72" s="80"/>
      <c r="BQ72" s="80"/>
      <c r="BR72" s="80"/>
      <c r="BS72" s="80"/>
      <c r="BT72" s="80"/>
      <c r="BU72" s="80"/>
      <c r="BV72" s="80"/>
      <c r="BW72" s="80"/>
      <c r="BX72" s="80"/>
      <c r="BY72" s="80"/>
      <c r="BZ72" s="80"/>
      <c r="CA72" s="80"/>
      <c r="CB72" s="81"/>
      <c r="CF72" s="9"/>
      <c r="CG72" s="9"/>
      <c r="CH72" s="9"/>
      <c r="CI72" s="9"/>
      <c r="CJ72" s="9"/>
      <c r="CK72" s="9"/>
      <c r="CL72" s="9"/>
      <c r="CM72" s="9"/>
      <c r="CN72" s="9"/>
      <c r="CO72" s="9"/>
      <c r="CP72" s="9"/>
      <c r="CQ72" s="9"/>
      <c r="CR72" s="9"/>
      <c r="CS72" s="9"/>
      <c r="CT72" s="9"/>
      <c r="CU72" s="9"/>
      <c r="CV72" s="9"/>
      <c r="CW72" s="9"/>
      <c r="CX72" s="9"/>
      <c r="CY72" s="9"/>
      <c r="CZ72" s="9"/>
      <c r="DA72" s="9"/>
      <c r="DB72" s="9"/>
      <c r="DC72" s="9"/>
      <c r="DD72" s="9"/>
      <c r="DE72" s="9"/>
      <c r="DF72" s="9"/>
      <c r="DG72" s="9"/>
      <c r="DH72" s="9"/>
      <c r="DI72" s="9"/>
      <c r="DJ72" s="9"/>
      <c r="DK72" s="9"/>
    </row>
    <row r="73" spans="1:115">
      <c r="A73" s="519" t="s">
        <v>130</v>
      </c>
      <c r="B73" s="114"/>
      <c r="C73" s="82"/>
      <c r="D73" s="82"/>
      <c r="E73" s="82"/>
      <c r="F73" s="82"/>
      <c r="G73" s="82"/>
      <c r="H73" s="82"/>
      <c r="I73" s="82"/>
      <c r="J73" s="82"/>
      <c r="K73" s="82"/>
      <c r="L73" s="82"/>
      <c r="M73" s="82"/>
      <c r="N73" s="82"/>
      <c r="O73" s="82"/>
      <c r="P73" s="82"/>
      <c r="Q73" s="82"/>
      <c r="R73" s="82"/>
      <c r="S73" s="82"/>
      <c r="T73" s="82"/>
      <c r="U73" s="82"/>
      <c r="V73" s="82"/>
      <c r="W73" s="82"/>
      <c r="X73" s="82"/>
      <c r="Y73" s="82"/>
      <c r="Z73" s="82"/>
      <c r="AA73" s="82"/>
      <c r="AB73" s="82"/>
      <c r="AC73" s="82"/>
      <c r="AD73" s="82"/>
      <c r="AE73" s="82"/>
      <c r="AF73" s="82"/>
      <c r="AG73" s="82"/>
      <c r="AH73" s="82"/>
      <c r="AI73" s="82"/>
      <c r="AJ73" s="82"/>
      <c r="AK73" s="82"/>
      <c r="AL73" s="82"/>
      <c r="AM73" s="82"/>
      <c r="AN73" s="82"/>
      <c r="AO73" s="82"/>
      <c r="AP73" s="82"/>
      <c r="AQ73" s="82"/>
      <c r="AR73" s="82"/>
      <c r="AS73" s="82"/>
      <c r="AT73" s="82"/>
      <c r="AU73" s="82"/>
      <c r="AV73" s="82"/>
      <c r="AW73" s="82"/>
      <c r="AX73" s="82"/>
      <c r="AY73" s="82"/>
      <c r="AZ73" s="82"/>
      <c r="BA73" s="82"/>
      <c r="BB73" s="82"/>
      <c r="BC73" s="82"/>
      <c r="BD73" s="82"/>
      <c r="BE73" s="82"/>
      <c r="BF73" s="82"/>
      <c r="BG73" s="82"/>
      <c r="BH73" s="82"/>
      <c r="BI73" s="82"/>
      <c r="BJ73" s="82"/>
      <c r="BK73" s="82"/>
      <c r="BL73" s="82"/>
      <c r="BM73" s="82"/>
      <c r="BN73" s="82"/>
      <c r="BO73" s="82"/>
      <c r="BP73" s="82"/>
      <c r="BQ73" s="82"/>
      <c r="BR73" s="82"/>
      <c r="BS73" s="82"/>
      <c r="BT73" s="82"/>
      <c r="BU73" s="82"/>
      <c r="BV73" s="82"/>
      <c r="BW73" s="82"/>
      <c r="BX73" s="82"/>
      <c r="BY73" s="82"/>
      <c r="BZ73" s="82"/>
      <c r="CA73" s="82"/>
      <c r="CB73" s="83"/>
      <c r="CF73" s="9"/>
      <c r="CG73" s="9"/>
      <c r="CH73" s="9"/>
      <c r="CI73" s="9"/>
      <c r="CJ73" s="9"/>
      <c r="CK73" s="9"/>
      <c r="CL73" s="9"/>
      <c r="CM73" s="9"/>
      <c r="CN73" s="9"/>
      <c r="CO73" s="9"/>
      <c r="CP73" s="9"/>
      <c r="CQ73" s="9"/>
      <c r="CR73" s="9"/>
      <c r="CS73" s="9"/>
      <c r="CT73" s="9"/>
      <c r="CU73" s="9"/>
      <c r="CV73" s="9"/>
      <c r="CW73" s="9"/>
      <c r="CX73" s="9"/>
      <c r="CY73" s="9"/>
      <c r="CZ73" s="9"/>
      <c r="DA73" s="9"/>
      <c r="DB73" s="9"/>
      <c r="DC73" s="9"/>
      <c r="DD73" s="9"/>
      <c r="DE73" s="9"/>
      <c r="DF73" s="9"/>
      <c r="DG73" s="9"/>
      <c r="DH73" s="9"/>
      <c r="DI73" s="9"/>
      <c r="DJ73" s="9"/>
      <c r="DK73" s="9"/>
    </row>
    <row r="74" spans="1:115">
      <c r="A74" s="270" t="s">
        <v>49</v>
      </c>
      <c r="B74" s="191"/>
      <c r="C74" s="214"/>
      <c r="D74" s="214"/>
      <c r="E74" s="214"/>
      <c r="F74" s="214"/>
      <c r="G74" s="214"/>
      <c r="H74" s="214"/>
      <c r="I74" s="214"/>
      <c r="J74" s="214"/>
      <c r="K74" s="214"/>
      <c r="L74" s="214"/>
      <c r="M74" s="214"/>
      <c r="N74" s="214"/>
      <c r="O74" s="214"/>
      <c r="P74" s="214"/>
      <c r="Q74" s="214"/>
      <c r="R74" s="214"/>
      <c r="S74" s="214"/>
      <c r="T74" s="214"/>
      <c r="U74" s="214"/>
      <c r="V74" s="214"/>
      <c r="W74" s="214"/>
      <c r="X74" s="214"/>
      <c r="Y74" s="214"/>
      <c r="Z74" s="214"/>
      <c r="AA74" s="214"/>
      <c r="AB74" s="214"/>
      <c r="AC74" s="214"/>
      <c r="AD74" s="214"/>
      <c r="AE74" s="214"/>
      <c r="AF74" s="214"/>
      <c r="AG74" s="214"/>
      <c r="AH74" s="214"/>
      <c r="AI74" s="214"/>
      <c r="AJ74" s="214"/>
      <c r="AK74" s="214"/>
      <c r="AL74" s="214"/>
      <c r="AM74" s="214"/>
      <c r="AN74" s="214"/>
      <c r="AO74" s="214"/>
      <c r="AP74" s="214"/>
      <c r="AQ74" s="214"/>
      <c r="AR74" s="214"/>
      <c r="AS74" s="214"/>
      <c r="AT74" s="214"/>
      <c r="AU74" s="214"/>
      <c r="AV74" s="214"/>
      <c r="AW74" s="214"/>
      <c r="AX74" s="214"/>
      <c r="AY74" s="214"/>
      <c r="AZ74" s="214"/>
      <c r="BA74" s="214"/>
      <c r="BB74" s="214"/>
      <c r="BC74" s="214"/>
      <c r="BD74" s="214"/>
      <c r="BE74" s="214"/>
      <c r="BF74" s="214"/>
      <c r="BG74" s="214"/>
      <c r="BH74" s="214"/>
      <c r="BI74" s="214"/>
      <c r="BJ74" s="214"/>
      <c r="BK74" s="214"/>
      <c r="BL74" s="214"/>
      <c r="BM74" s="214"/>
      <c r="BN74" s="214"/>
      <c r="BO74" s="214"/>
      <c r="BP74" s="214"/>
      <c r="BQ74" s="214"/>
      <c r="BR74" s="214"/>
      <c r="BS74" s="214"/>
      <c r="BT74" s="214"/>
      <c r="BU74" s="214"/>
      <c r="BV74" s="214"/>
      <c r="BW74" s="214"/>
      <c r="BX74" s="214"/>
      <c r="BY74" s="214"/>
      <c r="BZ74" s="214"/>
      <c r="CA74" s="214"/>
      <c r="CB74" s="215"/>
      <c r="CF74" s="9"/>
      <c r="CG74" s="9"/>
      <c r="CH74" s="9"/>
      <c r="CI74" s="9"/>
      <c r="CJ74" s="9"/>
      <c r="CK74" s="9"/>
      <c r="CL74" s="9"/>
      <c r="CM74" s="9"/>
      <c r="CN74" s="9"/>
      <c r="CO74" s="9"/>
      <c r="CP74" s="9"/>
      <c r="CQ74" s="9"/>
      <c r="CR74" s="9"/>
      <c r="CS74" s="9"/>
      <c r="CT74" s="9"/>
      <c r="CU74" s="9"/>
      <c r="CV74" s="9"/>
      <c r="CW74" s="9"/>
      <c r="CX74" s="9"/>
      <c r="CY74" s="9"/>
      <c r="CZ74" s="9"/>
      <c r="DA74" s="9"/>
      <c r="DB74" s="9"/>
      <c r="DC74" s="9"/>
      <c r="DD74" s="9"/>
      <c r="DE74" s="9"/>
      <c r="DF74" s="9"/>
      <c r="DG74" s="9"/>
      <c r="DH74" s="9"/>
      <c r="DI74" s="9"/>
      <c r="DJ74" s="9"/>
      <c r="DK74" s="9"/>
    </row>
    <row r="75" spans="1:115">
      <c r="A75" s="213" t="s">
        <v>225</v>
      </c>
      <c r="B75" s="109"/>
      <c r="C75" s="55"/>
      <c r="D75" s="55"/>
      <c r="E75" s="55"/>
      <c r="F75" s="55"/>
      <c r="G75" s="55"/>
      <c r="H75" s="55"/>
      <c r="I75" s="55"/>
      <c r="J75" s="55"/>
      <c r="K75" s="55"/>
      <c r="L75" s="55"/>
      <c r="M75" s="55"/>
      <c r="N75" s="55"/>
      <c r="O75" s="55"/>
      <c r="P75" s="55"/>
      <c r="Q75" s="55"/>
      <c r="R75" s="55"/>
      <c r="S75" s="55"/>
      <c r="T75" s="55"/>
      <c r="U75" s="55"/>
      <c r="V75" s="55"/>
      <c r="W75" s="55"/>
      <c r="X75" s="55"/>
      <c r="Y75" s="55"/>
      <c r="Z75" s="55"/>
      <c r="AA75" s="55"/>
      <c r="AB75" s="55"/>
      <c r="AC75" s="55"/>
      <c r="AD75" s="55"/>
      <c r="AE75" s="55"/>
      <c r="AF75" s="55"/>
      <c r="AG75" s="55"/>
      <c r="AH75" s="55"/>
      <c r="AI75" s="55"/>
      <c r="AJ75" s="55"/>
      <c r="AK75" s="55"/>
      <c r="AL75" s="55"/>
      <c r="AM75" s="55"/>
      <c r="AN75" s="55"/>
      <c r="AO75" s="55"/>
      <c r="AP75" s="55"/>
      <c r="AQ75" s="55"/>
      <c r="AR75" s="55"/>
      <c r="AS75" s="55"/>
      <c r="AT75" s="55"/>
      <c r="AU75" s="55"/>
      <c r="AV75" s="55"/>
      <c r="AW75" s="55"/>
      <c r="AX75" s="55"/>
      <c r="AY75" s="55"/>
      <c r="AZ75" s="55"/>
      <c r="BA75" s="55"/>
      <c r="BB75" s="55"/>
      <c r="BC75" s="55"/>
      <c r="BD75" s="55"/>
      <c r="BE75" s="55"/>
      <c r="BF75" s="55"/>
      <c r="BG75" s="55"/>
      <c r="BH75" s="55"/>
      <c r="BI75" s="55"/>
      <c r="BJ75" s="55"/>
      <c r="BK75" s="55"/>
      <c r="BL75" s="55"/>
      <c r="BM75" s="55"/>
      <c r="BN75" s="55"/>
      <c r="BO75" s="55"/>
      <c r="BP75" s="55"/>
      <c r="BQ75" s="55"/>
      <c r="BR75" s="55"/>
      <c r="BS75" s="55"/>
      <c r="BT75" s="55"/>
      <c r="BU75" s="55"/>
      <c r="BV75" s="55"/>
      <c r="BW75" s="55"/>
      <c r="BX75" s="55"/>
      <c r="BY75" s="55"/>
      <c r="BZ75" s="55"/>
      <c r="CA75" s="55"/>
      <c r="CB75" s="56"/>
      <c r="CF75" s="9"/>
      <c r="CG75" s="9"/>
      <c r="CH75" s="9"/>
      <c r="CI75" s="9"/>
      <c r="CJ75" s="9"/>
      <c r="CK75" s="9"/>
      <c r="CL75" s="9"/>
      <c r="CM75" s="9"/>
      <c r="CN75" s="9"/>
      <c r="CO75" s="9"/>
      <c r="CP75" s="9"/>
      <c r="CQ75" s="9"/>
      <c r="CR75" s="9"/>
      <c r="CS75" s="9"/>
      <c r="CT75" s="9"/>
      <c r="CU75" s="9"/>
      <c r="CV75" s="9"/>
      <c r="CW75" s="9"/>
      <c r="CX75" s="9"/>
      <c r="CY75" s="9"/>
      <c r="CZ75" s="9"/>
      <c r="DA75" s="9"/>
      <c r="DB75" s="9"/>
      <c r="DC75" s="9"/>
      <c r="DD75" s="9"/>
      <c r="DE75" s="9"/>
      <c r="DF75" s="9"/>
      <c r="DG75" s="9"/>
      <c r="DH75" s="9"/>
      <c r="DI75" s="9"/>
      <c r="DJ75" s="9"/>
      <c r="DK75" s="9"/>
    </row>
    <row r="76" spans="1:115" s="6" customForma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row>
    <row r="77" spans="1:115">
      <c r="A77" s="16" t="s">
        <v>42</v>
      </c>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6"/>
      <c r="BB77" s="16"/>
      <c r="BC77" s="16"/>
      <c r="BD77" s="16"/>
      <c r="BE77" s="16"/>
      <c r="BF77" s="16"/>
      <c r="BG77" s="16"/>
      <c r="BH77" s="16"/>
      <c r="BI77" s="16"/>
      <c r="BJ77" s="16"/>
      <c r="BK77" s="16"/>
      <c r="BL77" s="16"/>
      <c r="BM77" s="16"/>
      <c r="BN77" s="16"/>
      <c r="BO77" s="16"/>
      <c r="BP77" s="16"/>
      <c r="BQ77" s="16"/>
      <c r="BR77" s="16"/>
      <c r="BS77" s="16"/>
      <c r="BT77" s="16"/>
      <c r="BU77" s="16"/>
      <c r="BV77" s="16"/>
      <c r="BW77" s="16"/>
      <c r="BX77" s="16"/>
      <c r="BY77" s="16"/>
      <c r="BZ77" s="16"/>
      <c r="CA77" s="16"/>
      <c r="CB77" s="16"/>
      <c r="CC77" s="17"/>
      <c r="CD77" s="17"/>
      <c r="CE77" s="17"/>
      <c r="CF77" s="9"/>
      <c r="CG77" s="9"/>
      <c r="CH77" s="9"/>
      <c r="CI77" s="9"/>
      <c r="CJ77" s="9"/>
      <c r="CK77" s="9"/>
      <c r="CL77" s="9"/>
      <c r="CM77" s="9"/>
      <c r="CN77" s="9"/>
      <c r="CO77" s="9"/>
      <c r="CP77" s="9"/>
      <c r="CQ77" s="9"/>
      <c r="CR77" s="9"/>
      <c r="CS77" s="9"/>
      <c r="CT77" s="9"/>
      <c r="CU77" s="9"/>
      <c r="CV77" s="9"/>
      <c r="CW77" s="9"/>
      <c r="CX77" s="9"/>
      <c r="CY77" s="9"/>
      <c r="CZ77" s="9"/>
      <c r="DA77" s="9"/>
      <c r="DB77" s="9"/>
      <c r="DC77" s="9"/>
      <c r="DD77" s="9"/>
      <c r="DE77" s="9"/>
      <c r="DF77" s="9"/>
      <c r="DG77" s="9"/>
      <c r="DH77" s="9"/>
      <c r="DI77" s="9"/>
      <c r="DJ77" s="9"/>
      <c r="DK77" s="9"/>
    </row>
    <row r="78" spans="1:115">
      <c r="A78" s="16" t="s">
        <v>40</v>
      </c>
      <c r="B78" s="140">
        <f t="shared" ref="B78:AG78" si="171">DAYS360($B$3,B22)</f>
        <v>27</v>
      </c>
      <c r="C78" s="140">
        <f t="shared" si="171"/>
        <v>205</v>
      </c>
      <c r="D78" s="140">
        <f t="shared" si="171"/>
        <v>386</v>
      </c>
      <c r="E78" s="140">
        <f t="shared" si="171"/>
        <v>564</v>
      </c>
      <c r="F78" s="140">
        <f t="shared" si="171"/>
        <v>746</v>
      </c>
      <c r="G78" s="140">
        <f t="shared" si="171"/>
        <v>924</v>
      </c>
      <c r="H78" s="140">
        <f t="shared" si="171"/>
        <v>1106</v>
      </c>
      <c r="I78" s="140">
        <f t="shared" si="171"/>
        <v>1284</v>
      </c>
      <c r="J78" s="140">
        <f t="shared" si="171"/>
        <v>1466</v>
      </c>
      <c r="K78" s="140">
        <f t="shared" si="171"/>
        <v>1644</v>
      </c>
      <c r="L78" s="140">
        <f t="shared" si="171"/>
        <v>1825</v>
      </c>
      <c r="M78" s="140">
        <f t="shared" si="171"/>
        <v>2003</v>
      </c>
      <c r="N78" s="140">
        <f t="shared" si="171"/>
        <v>2185</v>
      </c>
      <c r="O78" s="140">
        <f t="shared" si="171"/>
        <v>2363</v>
      </c>
      <c r="P78" s="140">
        <f t="shared" si="171"/>
        <v>2545</v>
      </c>
      <c r="Q78" s="140">
        <f t="shared" si="171"/>
        <v>2723</v>
      </c>
      <c r="R78" s="140">
        <f t="shared" si="171"/>
        <v>2905</v>
      </c>
      <c r="S78" s="140">
        <f t="shared" si="171"/>
        <v>3083</v>
      </c>
      <c r="T78" s="140">
        <f t="shared" si="171"/>
        <v>3264</v>
      </c>
      <c r="U78" s="140">
        <f t="shared" si="171"/>
        <v>3442</v>
      </c>
      <c r="V78" s="140">
        <f t="shared" si="171"/>
        <v>3624</v>
      </c>
      <c r="W78" s="140">
        <f t="shared" si="171"/>
        <v>3802</v>
      </c>
      <c r="X78" s="140">
        <f t="shared" si="171"/>
        <v>3984</v>
      </c>
      <c r="Y78" s="140">
        <f t="shared" si="171"/>
        <v>4162</v>
      </c>
      <c r="Z78" s="140">
        <f t="shared" si="171"/>
        <v>4344</v>
      </c>
      <c r="AA78" s="140">
        <f t="shared" si="171"/>
        <v>4522</v>
      </c>
      <c r="AB78" s="140">
        <f t="shared" si="171"/>
        <v>4703</v>
      </c>
      <c r="AC78" s="140">
        <f t="shared" si="171"/>
        <v>4881</v>
      </c>
      <c r="AD78" s="140">
        <f t="shared" si="171"/>
        <v>5063</v>
      </c>
      <c r="AE78" s="140">
        <f t="shared" si="171"/>
        <v>5241</v>
      </c>
      <c r="AF78" s="140">
        <f t="shared" si="171"/>
        <v>5423</v>
      </c>
      <c r="AG78" s="140">
        <f t="shared" si="171"/>
        <v>5601</v>
      </c>
      <c r="AH78" s="140">
        <f t="shared" ref="AH78:BM78" si="172">DAYS360($B$3,AH22)</f>
        <v>5783</v>
      </c>
      <c r="AI78" s="140">
        <f t="shared" si="172"/>
        <v>5961</v>
      </c>
      <c r="AJ78" s="140">
        <f t="shared" si="172"/>
        <v>6142</v>
      </c>
      <c r="AK78" s="140">
        <f t="shared" si="172"/>
        <v>6320</v>
      </c>
      <c r="AL78" s="140">
        <f t="shared" si="172"/>
        <v>6502</v>
      </c>
      <c r="AM78" s="140">
        <f t="shared" si="172"/>
        <v>6680</v>
      </c>
      <c r="AN78" s="140">
        <f t="shared" si="172"/>
        <v>6862</v>
      </c>
      <c r="AO78" s="140">
        <f t="shared" si="172"/>
        <v>7040</v>
      </c>
      <c r="AP78" s="140">
        <f t="shared" si="172"/>
        <v>7222</v>
      </c>
      <c r="AQ78" s="140">
        <f t="shared" si="172"/>
        <v>7400</v>
      </c>
      <c r="AR78" s="140">
        <f t="shared" si="172"/>
        <v>7581</v>
      </c>
      <c r="AS78" s="140">
        <f t="shared" si="172"/>
        <v>7759</v>
      </c>
      <c r="AT78" s="140">
        <f t="shared" si="172"/>
        <v>7941</v>
      </c>
      <c r="AU78" s="140">
        <f t="shared" si="172"/>
        <v>8119</v>
      </c>
      <c r="AV78" s="140">
        <f t="shared" si="172"/>
        <v>8301</v>
      </c>
      <c r="AW78" s="140">
        <f t="shared" si="172"/>
        <v>8479</v>
      </c>
      <c r="AX78" s="140">
        <f t="shared" si="172"/>
        <v>8661</v>
      </c>
      <c r="AY78" s="140">
        <f t="shared" si="172"/>
        <v>8839</v>
      </c>
      <c r="AZ78" s="140">
        <f t="shared" si="172"/>
        <v>9020</v>
      </c>
      <c r="BA78" s="140">
        <f t="shared" si="172"/>
        <v>9198</v>
      </c>
      <c r="BB78" s="140">
        <f t="shared" si="172"/>
        <v>9380</v>
      </c>
      <c r="BC78" s="140">
        <f t="shared" si="172"/>
        <v>9558</v>
      </c>
      <c r="BD78" s="140">
        <f t="shared" si="172"/>
        <v>9740</v>
      </c>
      <c r="BE78" s="140">
        <f t="shared" si="172"/>
        <v>9918</v>
      </c>
      <c r="BF78" s="140">
        <f t="shared" si="172"/>
        <v>10100</v>
      </c>
      <c r="BG78" s="140">
        <f t="shared" si="172"/>
        <v>10278</v>
      </c>
      <c r="BH78" s="140">
        <f t="shared" si="172"/>
        <v>10459</v>
      </c>
      <c r="BI78" s="140">
        <f t="shared" si="172"/>
        <v>10637</v>
      </c>
      <c r="BJ78" s="140">
        <f t="shared" si="172"/>
        <v>10819</v>
      </c>
      <c r="BK78" s="140">
        <f t="shared" si="172"/>
        <v>10997</v>
      </c>
      <c r="BL78" s="140">
        <f t="shared" si="172"/>
        <v>11179</v>
      </c>
      <c r="BM78" s="140">
        <f t="shared" si="172"/>
        <v>11357</v>
      </c>
      <c r="BN78" s="140">
        <f t="shared" ref="BN78:CB78" si="173">DAYS360($B$3,BN22)</f>
        <v>11539</v>
      </c>
      <c r="BO78" s="140">
        <f t="shared" si="173"/>
        <v>11717</v>
      </c>
      <c r="BP78" s="140">
        <f t="shared" si="173"/>
        <v>11898</v>
      </c>
      <c r="BQ78" s="140">
        <f t="shared" si="173"/>
        <v>12076</v>
      </c>
      <c r="BR78" s="140">
        <f t="shared" si="173"/>
        <v>12258</v>
      </c>
      <c r="BS78" s="140">
        <f t="shared" si="173"/>
        <v>12436</v>
      </c>
      <c r="BT78" s="140">
        <f t="shared" si="173"/>
        <v>12618</v>
      </c>
      <c r="BU78" s="140">
        <f t="shared" si="173"/>
        <v>12796</v>
      </c>
      <c r="BV78" s="140">
        <f t="shared" si="173"/>
        <v>12978</v>
      </c>
      <c r="BW78" s="140">
        <f t="shared" si="173"/>
        <v>13156</v>
      </c>
      <c r="BX78" s="140">
        <f t="shared" si="173"/>
        <v>13337</v>
      </c>
      <c r="BY78" s="140">
        <f t="shared" si="173"/>
        <v>13515</v>
      </c>
      <c r="BZ78" s="140">
        <f t="shared" si="173"/>
        <v>13697</v>
      </c>
      <c r="CA78" s="140">
        <f t="shared" si="173"/>
        <v>13875</v>
      </c>
      <c r="CB78" s="140">
        <f t="shared" si="173"/>
        <v>14057</v>
      </c>
      <c r="CC78" s="17"/>
      <c r="CD78" s="17"/>
      <c r="CE78" s="17"/>
    </row>
    <row r="79" spans="1:115">
      <c r="A79" s="16" t="s">
        <v>41</v>
      </c>
      <c r="B79" s="140">
        <f>B78/360</f>
        <v>7.4999999999999997E-2</v>
      </c>
      <c r="C79" s="140">
        <f t="shared" ref="C79:BN79" si="174">C78/360</f>
        <v>0.56944444444444442</v>
      </c>
      <c r="D79" s="140">
        <f t="shared" si="174"/>
        <v>1.0722222222222222</v>
      </c>
      <c r="E79" s="140">
        <f t="shared" si="174"/>
        <v>1.5666666666666667</v>
      </c>
      <c r="F79" s="140">
        <f t="shared" si="174"/>
        <v>2.0722222222222224</v>
      </c>
      <c r="G79" s="140">
        <f t="shared" si="174"/>
        <v>2.5666666666666669</v>
      </c>
      <c r="H79" s="140">
        <f t="shared" si="174"/>
        <v>3.0722222222222224</v>
      </c>
      <c r="I79" s="140">
        <f t="shared" si="174"/>
        <v>3.5666666666666669</v>
      </c>
      <c r="J79" s="140">
        <f t="shared" si="174"/>
        <v>4.072222222222222</v>
      </c>
      <c r="K79" s="140">
        <f t="shared" si="174"/>
        <v>4.5666666666666664</v>
      </c>
      <c r="L79" s="140">
        <f t="shared" si="174"/>
        <v>5.0694444444444446</v>
      </c>
      <c r="M79" s="140">
        <f t="shared" si="174"/>
        <v>5.5638888888888891</v>
      </c>
      <c r="N79" s="140">
        <f t="shared" si="174"/>
        <v>6.0694444444444446</v>
      </c>
      <c r="O79" s="140">
        <f t="shared" si="174"/>
        <v>6.5638888888888891</v>
      </c>
      <c r="P79" s="140">
        <f t="shared" si="174"/>
        <v>7.0694444444444446</v>
      </c>
      <c r="Q79" s="140">
        <f t="shared" si="174"/>
        <v>7.5638888888888891</v>
      </c>
      <c r="R79" s="140">
        <f t="shared" si="174"/>
        <v>8.0694444444444446</v>
      </c>
      <c r="S79" s="140">
        <f t="shared" si="174"/>
        <v>8.5638888888888882</v>
      </c>
      <c r="T79" s="140">
        <f t="shared" si="174"/>
        <v>9.0666666666666664</v>
      </c>
      <c r="U79" s="140">
        <f t="shared" si="174"/>
        <v>9.5611111111111118</v>
      </c>
      <c r="V79" s="140">
        <f t="shared" si="174"/>
        <v>10.066666666666666</v>
      </c>
      <c r="W79" s="140">
        <f t="shared" si="174"/>
        <v>10.561111111111112</v>
      </c>
      <c r="X79" s="140">
        <f t="shared" si="174"/>
        <v>11.066666666666666</v>
      </c>
      <c r="Y79" s="140">
        <f t="shared" si="174"/>
        <v>11.561111111111112</v>
      </c>
      <c r="Z79" s="140">
        <f t="shared" si="174"/>
        <v>12.066666666666666</v>
      </c>
      <c r="AA79" s="140">
        <f t="shared" si="174"/>
        <v>12.561111111111112</v>
      </c>
      <c r="AB79" s="140">
        <f t="shared" si="174"/>
        <v>13.063888888888888</v>
      </c>
      <c r="AC79" s="140">
        <f t="shared" si="174"/>
        <v>13.558333333333334</v>
      </c>
      <c r="AD79" s="140">
        <f t="shared" si="174"/>
        <v>14.063888888888888</v>
      </c>
      <c r="AE79" s="140">
        <f t="shared" si="174"/>
        <v>14.558333333333334</v>
      </c>
      <c r="AF79" s="140">
        <f t="shared" si="174"/>
        <v>15.063888888888888</v>
      </c>
      <c r="AG79" s="140">
        <f t="shared" si="174"/>
        <v>15.558333333333334</v>
      </c>
      <c r="AH79" s="140">
        <f t="shared" si="174"/>
        <v>16.06388888888889</v>
      </c>
      <c r="AI79" s="140">
        <f t="shared" si="174"/>
        <v>16.558333333333334</v>
      </c>
      <c r="AJ79" s="140">
        <f t="shared" si="174"/>
        <v>17.06111111111111</v>
      </c>
      <c r="AK79" s="140">
        <f t="shared" si="174"/>
        <v>17.555555555555557</v>
      </c>
      <c r="AL79" s="140">
        <f t="shared" si="174"/>
        <v>18.06111111111111</v>
      </c>
      <c r="AM79" s="140">
        <f t="shared" si="174"/>
        <v>18.555555555555557</v>
      </c>
      <c r="AN79" s="140">
        <f t="shared" si="174"/>
        <v>19.06111111111111</v>
      </c>
      <c r="AO79" s="140">
        <f t="shared" si="174"/>
        <v>19.555555555555557</v>
      </c>
      <c r="AP79" s="140">
        <f t="shared" si="174"/>
        <v>20.06111111111111</v>
      </c>
      <c r="AQ79" s="140">
        <f t="shared" si="174"/>
        <v>20.555555555555557</v>
      </c>
      <c r="AR79" s="140">
        <f t="shared" si="174"/>
        <v>21.058333333333334</v>
      </c>
      <c r="AS79" s="140">
        <f t="shared" si="174"/>
        <v>21.552777777777777</v>
      </c>
      <c r="AT79" s="140">
        <f t="shared" si="174"/>
        <v>22.058333333333334</v>
      </c>
      <c r="AU79" s="140">
        <f t="shared" si="174"/>
        <v>22.552777777777777</v>
      </c>
      <c r="AV79" s="140">
        <f t="shared" si="174"/>
        <v>23.058333333333334</v>
      </c>
      <c r="AW79" s="140">
        <f t="shared" si="174"/>
        <v>23.552777777777777</v>
      </c>
      <c r="AX79" s="140">
        <f t="shared" si="174"/>
        <v>24.058333333333334</v>
      </c>
      <c r="AY79" s="140">
        <f t="shared" si="174"/>
        <v>24.552777777777777</v>
      </c>
      <c r="AZ79" s="140">
        <f t="shared" si="174"/>
        <v>25.055555555555557</v>
      </c>
      <c r="BA79" s="140">
        <f t="shared" si="174"/>
        <v>25.55</v>
      </c>
      <c r="BB79" s="140">
        <f t="shared" si="174"/>
        <v>26.055555555555557</v>
      </c>
      <c r="BC79" s="140">
        <f t="shared" si="174"/>
        <v>26.55</v>
      </c>
      <c r="BD79" s="140">
        <f t="shared" si="174"/>
        <v>27.055555555555557</v>
      </c>
      <c r="BE79" s="140">
        <f t="shared" si="174"/>
        <v>27.55</v>
      </c>
      <c r="BF79" s="140">
        <f t="shared" si="174"/>
        <v>28.055555555555557</v>
      </c>
      <c r="BG79" s="140">
        <f t="shared" si="174"/>
        <v>28.55</v>
      </c>
      <c r="BH79" s="140">
        <f t="shared" si="174"/>
        <v>29.052777777777777</v>
      </c>
      <c r="BI79" s="140">
        <f t="shared" si="174"/>
        <v>29.547222222222221</v>
      </c>
      <c r="BJ79" s="140">
        <f t="shared" si="174"/>
        <v>30.052777777777777</v>
      </c>
      <c r="BK79" s="140">
        <f t="shared" si="174"/>
        <v>30.547222222222221</v>
      </c>
      <c r="BL79" s="140">
        <f t="shared" si="174"/>
        <v>31.052777777777777</v>
      </c>
      <c r="BM79" s="140">
        <f t="shared" si="174"/>
        <v>31.547222222222221</v>
      </c>
      <c r="BN79" s="140">
        <f t="shared" si="174"/>
        <v>32.052777777777777</v>
      </c>
      <c r="BO79" s="140">
        <f t="shared" ref="BO79:CB79" si="175">BO78/360</f>
        <v>32.547222222222224</v>
      </c>
      <c r="BP79" s="140">
        <f t="shared" si="175"/>
        <v>33.049999999999997</v>
      </c>
      <c r="BQ79" s="140">
        <f t="shared" si="175"/>
        <v>33.544444444444444</v>
      </c>
      <c r="BR79" s="140">
        <f t="shared" si="175"/>
        <v>34.049999999999997</v>
      </c>
      <c r="BS79" s="140">
        <f t="shared" si="175"/>
        <v>34.544444444444444</v>
      </c>
      <c r="BT79" s="140">
        <f t="shared" si="175"/>
        <v>35.049999999999997</v>
      </c>
      <c r="BU79" s="140">
        <f t="shared" si="175"/>
        <v>35.544444444444444</v>
      </c>
      <c r="BV79" s="140">
        <f t="shared" si="175"/>
        <v>36.049999999999997</v>
      </c>
      <c r="BW79" s="140">
        <f t="shared" si="175"/>
        <v>36.544444444444444</v>
      </c>
      <c r="BX79" s="140">
        <f t="shared" si="175"/>
        <v>37.047222222222224</v>
      </c>
      <c r="BY79" s="140">
        <f t="shared" si="175"/>
        <v>37.541666666666664</v>
      </c>
      <c r="BZ79" s="140">
        <f t="shared" si="175"/>
        <v>38.047222222222224</v>
      </c>
      <c r="CA79" s="140">
        <f t="shared" si="175"/>
        <v>38.541666666666664</v>
      </c>
      <c r="CB79" s="140">
        <f t="shared" si="175"/>
        <v>39.047222222222224</v>
      </c>
      <c r="CC79" s="17"/>
      <c r="CD79" s="17"/>
      <c r="CE79" s="17"/>
    </row>
    <row r="80" spans="1:115">
      <c r="A80" s="16" t="s">
        <v>43</v>
      </c>
      <c r="B80" s="140">
        <f>IF(B78&lt;0,0,$B$5+$B$6*((1-EXP(-B79/$B$9))/(B79/$B$9))+$B$7*((1-EXP(-B79/$B$9))/(B79/$B$9)-EXP(-B79/$B$9))+$B$8*((1-EXP(-B79/$B$10))/(B79/$B$10)-EXP(-B79/$B$10)))</f>
        <v>8.2338964445322523E-3</v>
      </c>
      <c r="C80" s="140">
        <f t="shared" ref="C80:BN80" si="176">IF(C78&lt;0,0,$B$5+$B$6*((1-EXP(-C79/$B$9))/(C79/$B$9))+$B$7*((1-EXP(-C79/$B$9))/(C79/$B$9)-EXP(-C79/$B$9))+$B$8*((1-EXP(-C79/$B$10))/(C79/$B$10)-EXP(-C79/$B$10)))</f>
        <v>7.2690266303833432E-3</v>
      </c>
      <c r="D80" s="140">
        <f t="shared" si="176"/>
        <v>6.5006300026874539E-3</v>
      </c>
      <c r="E80" s="140">
        <f t="shared" si="176"/>
        <v>5.9265276013113662E-3</v>
      </c>
      <c r="F80" s="140">
        <f t="shared" si="176"/>
        <v>5.5004070638511853E-3</v>
      </c>
      <c r="G80" s="140">
        <f t="shared" si="176"/>
        <v>5.2192707302767104E-3</v>
      </c>
      <c r="H80" s="140">
        <f t="shared" si="176"/>
        <v>5.0507209178784727E-3</v>
      </c>
      <c r="I80" s="140">
        <f t="shared" si="176"/>
        <v>4.9852452962593123E-3</v>
      </c>
      <c r="J80" s="140">
        <f t="shared" si="176"/>
        <v>5.0045458944696086E-3</v>
      </c>
      <c r="K80" s="140">
        <f t="shared" si="176"/>
        <v>5.0946591724051627E-3</v>
      </c>
      <c r="L80" s="140">
        <f t="shared" si="176"/>
        <v>5.246775721431552E-3</v>
      </c>
      <c r="M80" s="140">
        <f t="shared" si="176"/>
        <v>5.4457882322841832E-3</v>
      </c>
      <c r="N80" s="140">
        <f t="shared" si="176"/>
        <v>5.6908349306322272E-3</v>
      </c>
      <c r="O80" s="140">
        <f t="shared" si="176"/>
        <v>5.9634012758078836E-3</v>
      </c>
      <c r="P80" s="140">
        <f t="shared" si="176"/>
        <v>6.2687797929912104E-3</v>
      </c>
      <c r="Q80" s="140">
        <f t="shared" si="176"/>
        <v>6.5876690421560209E-3</v>
      </c>
      <c r="R80" s="140">
        <f t="shared" si="176"/>
        <v>6.9291450837988839E-3</v>
      </c>
      <c r="S80" s="140">
        <f t="shared" si="176"/>
        <v>7.2737816987961581E-3</v>
      </c>
      <c r="T80" s="140">
        <f t="shared" si="176"/>
        <v>7.6311562984244666E-3</v>
      </c>
      <c r="U80" s="140">
        <f t="shared" si="176"/>
        <v>7.9861616621416422E-3</v>
      </c>
      <c r="V80" s="140">
        <f t="shared" si="176"/>
        <v>8.3499057946237552E-3</v>
      </c>
      <c r="W80" s="140">
        <f t="shared" si="176"/>
        <v>8.7040117453227456E-3</v>
      </c>
      <c r="X80" s="140">
        <f t="shared" si="176"/>
        <v>9.062311671438731E-3</v>
      </c>
      <c r="Y80" s="140">
        <f t="shared" si="176"/>
        <v>9.4073561537434264E-3</v>
      </c>
      <c r="Z80" s="140">
        <f t="shared" si="176"/>
        <v>9.7531925770000284E-3</v>
      </c>
      <c r="AA80" s="140">
        <f t="shared" si="176"/>
        <v>1.0083449148123813E-2</v>
      </c>
      <c r="AB80" s="140">
        <f t="shared" si="176"/>
        <v>1.0410207857430149E-2</v>
      </c>
      <c r="AC80" s="140">
        <f t="shared" si="176"/>
        <v>1.0721874811801185E-2</v>
      </c>
      <c r="AD80" s="140">
        <f t="shared" si="176"/>
        <v>1.1030006192292986E-2</v>
      </c>
      <c r="AE80" s="140">
        <f t="shared" si="176"/>
        <v>1.1320598864595816E-2</v>
      </c>
      <c r="AF80" s="140">
        <f t="shared" si="176"/>
        <v>1.1606367874538778E-2</v>
      </c>
      <c r="AG80" s="140">
        <f t="shared" si="176"/>
        <v>1.1874523550701736E-2</v>
      </c>
      <c r="AH80" s="140">
        <f t="shared" si="176"/>
        <v>1.2136977204822678E-2</v>
      </c>
      <c r="AI80" s="140">
        <f t="shared" si="176"/>
        <v>1.2382134640231289E-2</v>
      </c>
      <c r="AJ80" s="140">
        <f t="shared" si="176"/>
        <v>1.2619743675310732E-2</v>
      </c>
      <c r="AK80" s="140">
        <f t="shared" si="176"/>
        <v>1.2841993662285601E-2</v>
      </c>
      <c r="AL80" s="140">
        <f t="shared" si="176"/>
        <v>1.3057645459413202E-2</v>
      </c>
      <c r="AM80" s="140">
        <f t="shared" si="176"/>
        <v>1.3257374172318131E-2</v>
      </c>
      <c r="AN80" s="140">
        <f t="shared" si="176"/>
        <v>1.3450349629219349E-2</v>
      </c>
      <c r="AO80" s="140">
        <f t="shared" si="176"/>
        <v>1.3628304312846817E-2</v>
      </c>
      <c r="AP80" s="140">
        <f t="shared" si="176"/>
        <v>1.3799480278091632E-2</v>
      </c>
      <c r="AQ80" s="140">
        <f t="shared" si="176"/>
        <v>1.3956607756627581E-2</v>
      </c>
      <c r="AR80" s="140">
        <f t="shared" si="176"/>
        <v>1.4106225978613211E-2</v>
      </c>
      <c r="AS80" s="140">
        <f t="shared" si="176"/>
        <v>1.4243651948406648E-2</v>
      </c>
      <c r="AT80" s="140">
        <f t="shared" si="176"/>
        <v>1.4374500978098049E-2</v>
      </c>
      <c r="AU80" s="140">
        <f t="shared" si="176"/>
        <v>1.4493311133401899E-2</v>
      </c>
      <c r="AV80" s="140">
        <f t="shared" si="176"/>
        <v>1.4605723022309324E-2</v>
      </c>
      <c r="AW80" s="140">
        <f t="shared" si="176"/>
        <v>1.4707088012171417E-2</v>
      </c>
      <c r="AX80" s="140">
        <f t="shared" si="176"/>
        <v>1.4802262064215156E-2</v>
      </c>
      <c r="AY80" s="140">
        <f t="shared" si="176"/>
        <v>1.4887350750982695E-2</v>
      </c>
      <c r="AZ80" s="140">
        <f t="shared" si="176"/>
        <v>1.4966058875663992E-2</v>
      </c>
      <c r="BA80" s="140">
        <f t="shared" si="176"/>
        <v>1.5036057078908555E-2</v>
      </c>
      <c r="BB80" s="140">
        <f t="shared" si="176"/>
        <v>1.5100319002958277E-2</v>
      </c>
      <c r="BC80" s="140">
        <f t="shared" si="176"/>
        <v>1.515628993589673E-2</v>
      </c>
      <c r="BD80" s="140">
        <f t="shared" si="176"/>
        <v>1.5206757002272767E-2</v>
      </c>
      <c r="BE80" s="140">
        <f t="shared" si="176"/>
        <v>1.5249758796186208E-2</v>
      </c>
      <c r="BF80" s="140">
        <f t="shared" si="176"/>
        <v>1.5287485415981751E-2</v>
      </c>
      <c r="BG80" s="140">
        <f t="shared" si="176"/>
        <v>1.5318521252177702E-2</v>
      </c>
      <c r="BH80" s="140">
        <f t="shared" si="176"/>
        <v>1.5344376300103463E-2</v>
      </c>
      <c r="BI80" s="140">
        <f t="shared" si="176"/>
        <v>1.5364420382839578E-2</v>
      </c>
      <c r="BJ80" s="140">
        <f t="shared" si="176"/>
        <v>1.5379622912173638E-2</v>
      </c>
      <c r="BK80" s="140">
        <f t="shared" si="176"/>
        <v>1.5389528747058602E-2</v>
      </c>
      <c r="BL80" s="140">
        <f t="shared" si="176"/>
        <v>1.5394795015445054E-2</v>
      </c>
      <c r="BM80" s="140">
        <f t="shared" si="176"/>
        <v>1.5395388688534661E-2</v>
      </c>
      <c r="BN80" s="140">
        <f t="shared" si="176"/>
        <v>1.5391533491810522E-2</v>
      </c>
      <c r="BO80" s="140">
        <f t="shared" ref="BO80:CB80" si="177">IF(BO78&lt;0,0,$B$5+$B$6*((1-EXP(-BO79/$B$9))/(BO79/$B$9))+$B$7*((1-EXP(-BO79/$B$9))/(BO79/$B$9)-EXP(-BO79/$B$9))+$B$8*((1-EXP(-BO79/$B$10))/(BO79/$B$10)-EXP(-BO79/$B$10)))</f>
        <v>1.5383583145005344E-2</v>
      </c>
      <c r="BP80" s="140">
        <f t="shared" si="177"/>
        <v>1.5371441166771109E-2</v>
      </c>
      <c r="BQ80" s="140">
        <f t="shared" si="177"/>
        <v>1.5355679951339839E-2</v>
      </c>
      <c r="BR80" s="140">
        <f t="shared" si="177"/>
        <v>1.5335816116267572E-2</v>
      </c>
      <c r="BS80" s="140">
        <f t="shared" si="177"/>
        <v>1.5312880612300352E-2</v>
      </c>
      <c r="BT80" s="140">
        <f t="shared" si="177"/>
        <v>1.5285998841767309E-2</v>
      </c>
      <c r="BU80" s="140">
        <f t="shared" si="177"/>
        <v>1.5256498099930491E-2</v>
      </c>
      <c r="BV80" s="140">
        <f t="shared" si="177"/>
        <v>1.522319662083375E-2</v>
      </c>
      <c r="BW80" s="140">
        <f t="shared" si="177"/>
        <v>1.5187692527311662E-2</v>
      </c>
      <c r="BX80" s="140">
        <f t="shared" si="177"/>
        <v>1.5148745847124369E-2</v>
      </c>
      <c r="BY80" s="140">
        <f t="shared" si="177"/>
        <v>1.5107770814716679E-2</v>
      </c>
      <c r="BZ80" s="140">
        <f t="shared" si="177"/>
        <v>1.5063255523738543E-2</v>
      </c>
      <c r="CA80" s="140">
        <f t="shared" si="177"/>
        <v>1.5017270645210412E-2</v>
      </c>
      <c r="CB80" s="140">
        <f t="shared" si="177"/>
        <v>1.4967862055827497E-2</v>
      </c>
      <c r="CC80" s="17"/>
      <c r="CD80" s="17"/>
      <c r="CE80" s="17"/>
    </row>
    <row r="81" spans="1:83">
      <c r="A81" s="16" t="s">
        <v>44</v>
      </c>
      <c r="B81" s="140">
        <f>EXP(-B80*B79)</f>
        <v>0.99938264840662028</v>
      </c>
      <c r="C81" s="140">
        <f t="shared" ref="C81:BN81" si="178">EXP(-C80*C79)</f>
        <v>0.99586924829116807</v>
      </c>
      <c r="D81" s="140">
        <f t="shared" si="178"/>
        <v>0.99305411499919571</v>
      </c>
      <c r="E81" s="140">
        <f t="shared" si="178"/>
        <v>0.99075807828102869</v>
      </c>
      <c r="F81" s="140">
        <f t="shared" si="178"/>
        <v>0.98866664610575061</v>
      </c>
      <c r="G81" s="140">
        <f t="shared" si="178"/>
        <v>0.98669320058621324</v>
      </c>
      <c r="H81" s="140">
        <f t="shared" si="178"/>
        <v>0.98460283035087137</v>
      </c>
      <c r="I81" s="140">
        <f t="shared" si="178"/>
        <v>0.98237643581330758</v>
      </c>
      <c r="J81" s="140">
        <f t="shared" si="178"/>
        <v>0.97982663796333469</v>
      </c>
      <c r="K81" s="140">
        <f t="shared" si="178"/>
        <v>0.97700294733861948</v>
      </c>
      <c r="L81" s="140">
        <f t="shared" si="178"/>
        <v>0.9737523796190003</v>
      </c>
      <c r="M81" s="140">
        <f t="shared" si="178"/>
        <v>0.97015467577337944</v>
      </c>
      <c r="N81" s="140">
        <f t="shared" si="178"/>
        <v>0.96604949748098401</v>
      </c>
      <c r="O81" s="140">
        <f t="shared" si="178"/>
        <v>0.96161308922186239</v>
      </c>
      <c r="P81" s="140">
        <f t="shared" si="178"/>
        <v>0.95665085158162244</v>
      </c>
      <c r="Q81" s="140">
        <f t="shared" si="178"/>
        <v>0.95139267264255278</v>
      </c>
      <c r="R81" s="140">
        <f t="shared" si="178"/>
        <v>0.94562012355523439</v>
      </c>
      <c r="S81" s="140">
        <f t="shared" si="178"/>
        <v>0.93960861422356068</v>
      </c>
      <c r="T81" s="140">
        <f t="shared" si="178"/>
        <v>0.93315015762206588</v>
      </c>
      <c r="U81" s="140">
        <f t="shared" si="178"/>
        <v>0.92648578227513534</v>
      </c>
      <c r="V81" s="140">
        <f t="shared" si="178"/>
        <v>0.91938002834582022</v>
      </c>
      <c r="W81" s="140">
        <f t="shared" si="178"/>
        <v>0.91217444010339932</v>
      </c>
      <c r="X81" s="140">
        <f t="shared" si="178"/>
        <v>0.90457543089211123</v>
      </c>
      <c r="Y81" s="140">
        <f t="shared" si="178"/>
        <v>0.89694611628829191</v>
      </c>
      <c r="Z81" s="140">
        <f t="shared" si="178"/>
        <v>0.88897290343138324</v>
      </c>
      <c r="AA81" s="140">
        <f t="shared" si="178"/>
        <v>0.88103376753858798</v>
      </c>
      <c r="AB81" s="140">
        <f t="shared" si="178"/>
        <v>0.87284455382720738</v>
      </c>
      <c r="AC81" s="140">
        <f t="shared" si="178"/>
        <v>0.86470164324205911</v>
      </c>
      <c r="AD81" s="140">
        <f t="shared" si="178"/>
        <v>0.85630831935269713</v>
      </c>
      <c r="AE81" s="140">
        <f t="shared" si="178"/>
        <v>0.84805562331993167</v>
      </c>
      <c r="AF81" s="140">
        <f t="shared" si="178"/>
        <v>0.83959383313549141</v>
      </c>
      <c r="AG81" s="140">
        <f t="shared" si="178"/>
        <v>0.83131391846331748</v>
      </c>
      <c r="AH81" s="140">
        <f t="shared" si="178"/>
        <v>0.82286176821783463</v>
      </c>
      <c r="AI81" s="140">
        <f t="shared" si="178"/>
        <v>0.81462490353083383</v>
      </c>
      <c r="AJ81" s="140">
        <f t="shared" si="178"/>
        <v>0.80629399167873395</v>
      </c>
      <c r="AK81" s="140">
        <f t="shared" si="178"/>
        <v>0.7981582976818079</v>
      </c>
      <c r="AL81" s="140">
        <f t="shared" si="178"/>
        <v>0.78991053600908123</v>
      </c>
      <c r="AM81" s="140">
        <f t="shared" si="178"/>
        <v>0.78192383336051141</v>
      </c>
      <c r="AN81" s="140">
        <f t="shared" si="178"/>
        <v>0.77384892733439015</v>
      </c>
      <c r="AO81" s="140">
        <f t="shared" si="178"/>
        <v>0.76604906166783038</v>
      </c>
      <c r="AP81" s="140">
        <f t="shared" si="178"/>
        <v>0.75818117319176459</v>
      </c>
      <c r="AQ81" s="140">
        <f t="shared" si="178"/>
        <v>0.75059742257369944</v>
      </c>
      <c r="AR81" s="140">
        <f t="shared" si="178"/>
        <v>0.74300417978159783</v>
      </c>
      <c r="AS81" s="140">
        <f>EXP(-AS80*AS79)</f>
        <v>0.73565776236239389</v>
      </c>
      <c r="AT81" s="140">
        <f t="shared" si="178"/>
        <v>0.72827428686328954</v>
      </c>
      <c r="AU81" s="140">
        <f t="shared" si="178"/>
        <v>0.72118151039785405</v>
      </c>
      <c r="AV81" s="140">
        <f t="shared" si="178"/>
        <v>0.71406332505454073</v>
      </c>
      <c r="AW81" s="140">
        <f t="shared" si="178"/>
        <v>0.70723464795563451</v>
      </c>
      <c r="AX81" s="140">
        <f t="shared" si="178"/>
        <v>0.70039014105842368</v>
      </c>
      <c r="AY81" s="140">
        <f t="shared" si="178"/>
        <v>0.69383172803139737</v>
      </c>
      <c r="AZ81" s="140">
        <f t="shared" si="178"/>
        <v>0.68730101806227284</v>
      </c>
      <c r="BA81" s="140">
        <f t="shared" si="178"/>
        <v>0.6810147877122471</v>
      </c>
      <c r="BB81" s="140">
        <f t="shared" si="178"/>
        <v>0.67472694175458181</v>
      </c>
      <c r="BC81" s="140">
        <f t="shared" si="178"/>
        <v>0.66871354273255057</v>
      </c>
      <c r="BD81" s="140">
        <f t="shared" si="178"/>
        <v>0.66270372504261743</v>
      </c>
      <c r="BE81" s="140">
        <f t="shared" si="178"/>
        <v>0.65696084768696561</v>
      </c>
      <c r="BF81" s="140">
        <f t="shared" si="178"/>
        <v>0.65122576712689373</v>
      </c>
      <c r="BG81" s="140">
        <f t="shared" si="178"/>
        <v>0.64574939638967588</v>
      </c>
      <c r="BH81" s="140">
        <f t="shared" si="178"/>
        <v>0.64031389957316454</v>
      </c>
      <c r="BI81" s="140">
        <f t="shared" si="178"/>
        <v>0.63509801138168098</v>
      </c>
      <c r="BJ81" s="140">
        <f t="shared" si="178"/>
        <v>0.62989610261205864</v>
      </c>
      <c r="BK81" s="140">
        <f t="shared" si="178"/>
        <v>0.62493517505833796</v>
      </c>
      <c r="BL81" s="140">
        <f t="shared" si="178"/>
        <v>0.6199904845572648</v>
      </c>
      <c r="BM81" s="140">
        <f t="shared" si="178"/>
        <v>0.61527758938607369</v>
      </c>
      <c r="BN81" s="140">
        <f t="shared" si="178"/>
        <v>0.61058277888602974</v>
      </c>
      <c r="BO81" s="140">
        <f t="shared" ref="BO81:CA81" si="179">EXP(-BO80*BO79)</f>
        <v>0.60611054067394643</v>
      </c>
      <c r="BP81" s="140">
        <f t="shared" si="179"/>
        <v>0.60168204926672808</v>
      </c>
      <c r="BQ81" s="140">
        <f t="shared" si="179"/>
        <v>0.59744218997672649</v>
      </c>
      <c r="BR81" s="140">
        <f t="shared" si="179"/>
        <v>0.59322321234609143</v>
      </c>
      <c r="BS81" s="140">
        <f t="shared" si="179"/>
        <v>0.58920862642111926</v>
      </c>
      <c r="BT81" s="140">
        <f t="shared" si="179"/>
        <v>0.58521600569181753</v>
      </c>
      <c r="BU81" s="140">
        <f t="shared" si="179"/>
        <v>0.58141892006827667</v>
      </c>
      <c r="BV81" s="140">
        <f t="shared" si="179"/>
        <v>0.57764473871385158</v>
      </c>
      <c r="BW81" s="140">
        <f t="shared" si="179"/>
        <v>0.57405745847268164</v>
      </c>
      <c r="BX81" s="140">
        <f t="shared" si="179"/>
        <v>0.5705132105902635</v>
      </c>
      <c r="BY81" s="140">
        <f t="shared" si="179"/>
        <v>0.56712763429920265</v>
      </c>
      <c r="BZ81" s="140">
        <f t="shared" si="179"/>
        <v>0.56376655073846715</v>
      </c>
      <c r="CA81" s="140">
        <f t="shared" si="179"/>
        <v>0.56057589516708184</v>
      </c>
      <c r="CB81" s="140">
        <f>EXP(-CB80*CB79)</f>
        <v>0.55741043911216681</v>
      </c>
      <c r="CC81" s="17"/>
      <c r="CD81" s="17"/>
      <c r="CE81" s="17"/>
    </row>
    <row r="82" spans="1:83" s="6" customFormat="1">
      <c r="A82" s="130"/>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19"/>
      <c r="CD82" s="19"/>
      <c r="CE82" s="19"/>
    </row>
    <row r="83" spans="1:83">
      <c r="A83" s="16" t="s">
        <v>40</v>
      </c>
      <c r="B83" s="140">
        <f t="shared" ref="B83:AG83" si="180">DAYS360($B$3,B24)</f>
        <v>88</v>
      </c>
      <c r="C83" s="140">
        <f t="shared" si="180"/>
        <v>268</v>
      </c>
      <c r="D83" s="140">
        <f t="shared" si="180"/>
        <v>447</v>
      </c>
      <c r="E83" s="140">
        <f t="shared" si="180"/>
        <v>628</v>
      </c>
      <c r="F83" s="140">
        <f t="shared" si="180"/>
        <v>807</v>
      </c>
      <c r="G83" s="140">
        <f t="shared" si="180"/>
        <v>988</v>
      </c>
      <c r="H83" s="140">
        <f t="shared" si="180"/>
        <v>1167</v>
      </c>
      <c r="I83" s="140">
        <f t="shared" si="180"/>
        <v>1348</v>
      </c>
      <c r="J83" s="140">
        <f t="shared" si="180"/>
        <v>1527</v>
      </c>
      <c r="K83" s="140">
        <f t="shared" si="180"/>
        <v>1707</v>
      </c>
      <c r="L83" s="140">
        <f t="shared" si="180"/>
        <v>1886</v>
      </c>
      <c r="M83" s="140">
        <f t="shared" si="180"/>
        <v>2067</v>
      </c>
      <c r="N83" s="140">
        <f t="shared" si="180"/>
        <v>2246</v>
      </c>
      <c r="O83" s="140">
        <f t="shared" si="180"/>
        <v>2427</v>
      </c>
      <c r="P83" s="140">
        <f t="shared" si="180"/>
        <v>2606</v>
      </c>
      <c r="Q83" s="140">
        <f t="shared" si="180"/>
        <v>2787</v>
      </c>
      <c r="R83" s="140">
        <f t="shared" si="180"/>
        <v>2966</v>
      </c>
      <c r="S83" s="140">
        <f t="shared" si="180"/>
        <v>3146</v>
      </c>
      <c r="T83" s="140">
        <f t="shared" si="180"/>
        <v>3325</v>
      </c>
      <c r="U83" s="140">
        <f t="shared" si="180"/>
        <v>3506</v>
      </c>
      <c r="V83" s="140">
        <f t="shared" si="180"/>
        <v>3685</v>
      </c>
      <c r="W83" s="140">
        <f t="shared" si="180"/>
        <v>3866</v>
      </c>
      <c r="X83" s="140">
        <f t="shared" si="180"/>
        <v>4045</v>
      </c>
      <c r="Y83" s="140">
        <f t="shared" si="180"/>
        <v>4226</v>
      </c>
      <c r="Z83" s="140">
        <f t="shared" si="180"/>
        <v>4405</v>
      </c>
      <c r="AA83" s="140">
        <f t="shared" si="180"/>
        <v>4585</v>
      </c>
      <c r="AB83" s="140">
        <f t="shared" si="180"/>
        <v>4764</v>
      </c>
      <c r="AC83" s="140">
        <f t="shared" si="180"/>
        <v>4945</v>
      </c>
      <c r="AD83" s="140">
        <f t="shared" si="180"/>
        <v>5124</v>
      </c>
      <c r="AE83" s="140">
        <f t="shared" si="180"/>
        <v>5305</v>
      </c>
      <c r="AF83" s="140">
        <f t="shared" si="180"/>
        <v>5484</v>
      </c>
      <c r="AG83" s="140">
        <f t="shared" si="180"/>
        <v>5665</v>
      </c>
      <c r="AH83" s="140">
        <f t="shared" ref="AH83:BM83" si="181">DAYS360($B$3,AH24)</f>
        <v>5844</v>
      </c>
      <c r="AI83" s="140">
        <f t="shared" si="181"/>
        <v>6024</v>
      </c>
      <c r="AJ83" s="140">
        <f t="shared" si="181"/>
        <v>6203</v>
      </c>
      <c r="AK83" s="140">
        <f t="shared" si="181"/>
        <v>6384</v>
      </c>
      <c r="AL83" s="140">
        <f t="shared" si="181"/>
        <v>6563</v>
      </c>
      <c r="AM83" s="140">
        <f t="shared" si="181"/>
        <v>6744</v>
      </c>
      <c r="AN83" s="140">
        <f t="shared" si="181"/>
        <v>6923</v>
      </c>
      <c r="AO83" s="140">
        <f t="shared" si="181"/>
        <v>7104</v>
      </c>
      <c r="AP83" s="140">
        <f t="shared" si="181"/>
        <v>7283</v>
      </c>
      <c r="AQ83" s="140">
        <f t="shared" si="181"/>
        <v>7463</v>
      </c>
      <c r="AR83" s="140">
        <f t="shared" si="181"/>
        <v>7642</v>
      </c>
      <c r="AS83" s="140">
        <f t="shared" si="181"/>
        <v>7823</v>
      </c>
      <c r="AT83" s="140">
        <f t="shared" si="181"/>
        <v>8002</v>
      </c>
      <c r="AU83" s="140">
        <f t="shared" si="181"/>
        <v>8183</v>
      </c>
      <c r="AV83" s="140">
        <f t="shared" si="181"/>
        <v>8362</v>
      </c>
      <c r="AW83" s="140">
        <f t="shared" si="181"/>
        <v>8543</v>
      </c>
      <c r="AX83" s="140">
        <f t="shared" si="181"/>
        <v>8722</v>
      </c>
      <c r="AY83" s="140">
        <f t="shared" si="181"/>
        <v>8902</v>
      </c>
      <c r="AZ83" s="140">
        <f t="shared" si="181"/>
        <v>9081</v>
      </c>
      <c r="BA83" s="140">
        <f t="shared" si="181"/>
        <v>9262</v>
      </c>
      <c r="BB83" s="140">
        <f t="shared" si="181"/>
        <v>9441</v>
      </c>
      <c r="BC83" s="140">
        <f t="shared" si="181"/>
        <v>9622</v>
      </c>
      <c r="BD83" s="140">
        <f t="shared" si="181"/>
        <v>9801</v>
      </c>
      <c r="BE83" s="140">
        <f t="shared" si="181"/>
        <v>9982</v>
      </c>
      <c r="BF83" s="140">
        <f t="shared" si="181"/>
        <v>10161</v>
      </c>
      <c r="BG83" s="140">
        <f t="shared" si="181"/>
        <v>10341</v>
      </c>
      <c r="BH83" s="140">
        <f t="shared" si="181"/>
        <v>10520</v>
      </c>
      <c r="BI83" s="140">
        <f t="shared" si="181"/>
        <v>10701</v>
      </c>
      <c r="BJ83" s="140">
        <f t="shared" si="181"/>
        <v>10880</v>
      </c>
      <c r="BK83" s="140">
        <f t="shared" si="181"/>
        <v>11061</v>
      </c>
      <c r="BL83" s="140">
        <f t="shared" si="181"/>
        <v>11240</v>
      </c>
      <c r="BM83" s="140">
        <f t="shared" si="181"/>
        <v>11421</v>
      </c>
      <c r="BN83" s="140">
        <f t="shared" ref="BN83:CB83" si="182">DAYS360($B$3,BN24)</f>
        <v>11600</v>
      </c>
      <c r="BO83" s="140">
        <f t="shared" si="182"/>
        <v>11780</v>
      </c>
      <c r="BP83" s="140">
        <f t="shared" si="182"/>
        <v>11959</v>
      </c>
      <c r="BQ83" s="140">
        <f t="shared" si="182"/>
        <v>12140</v>
      </c>
      <c r="BR83" s="140">
        <f t="shared" si="182"/>
        <v>12319</v>
      </c>
      <c r="BS83" s="140">
        <f t="shared" si="182"/>
        <v>12500</v>
      </c>
      <c r="BT83" s="140">
        <f t="shared" si="182"/>
        <v>12679</v>
      </c>
      <c r="BU83" s="140">
        <f t="shared" si="182"/>
        <v>12860</v>
      </c>
      <c r="BV83" s="140">
        <f t="shared" si="182"/>
        <v>13039</v>
      </c>
      <c r="BW83" s="140">
        <f t="shared" si="182"/>
        <v>13219</v>
      </c>
      <c r="BX83" s="140">
        <f t="shared" si="182"/>
        <v>13398</v>
      </c>
      <c r="BY83" s="140">
        <f t="shared" si="182"/>
        <v>13579</v>
      </c>
      <c r="BZ83" s="140">
        <f t="shared" si="182"/>
        <v>13758</v>
      </c>
      <c r="CA83" s="140">
        <f t="shared" si="182"/>
        <v>13939</v>
      </c>
      <c r="CB83" s="140">
        <f t="shared" si="182"/>
        <v>14118</v>
      </c>
      <c r="CC83" s="17"/>
      <c r="CD83" s="17"/>
      <c r="CE83" s="17"/>
    </row>
    <row r="84" spans="1:83">
      <c r="A84" s="16" t="s">
        <v>41</v>
      </c>
      <c r="B84" s="140">
        <f>B83/360</f>
        <v>0.24444444444444444</v>
      </c>
      <c r="C84" s="140">
        <f t="shared" ref="C84:BN84" si="183">C83/360</f>
        <v>0.74444444444444446</v>
      </c>
      <c r="D84" s="140">
        <f t="shared" si="183"/>
        <v>1.2416666666666667</v>
      </c>
      <c r="E84" s="140">
        <f t="shared" si="183"/>
        <v>1.7444444444444445</v>
      </c>
      <c r="F84" s="140">
        <f t="shared" si="183"/>
        <v>2.2416666666666667</v>
      </c>
      <c r="G84" s="140">
        <f t="shared" si="183"/>
        <v>2.7444444444444445</v>
      </c>
      <c r="H84" s="140">
        <f t="shared" si="183"/>
        <v>3.2416666666666667</v>
      </c>
      <c r="I84" s="140">
        <f t="shared" si="183"/>
        <v>3.7444444444444445</v>
      </c>
      <c r="J84" s="140">
        <f t="shared" si="183"/>
        <v>4.2416666666666663</v>
      </c>
      <c r="K84" s="140">
        <f t="shared" si="183"/>
        <v>4.7416666666666663</v>
      </c>
      <c r="L84" s="140">
        <f t="shared" si="183"/>
        <v>5.2388888888888889</v>
      </c>
      <c r="M84" s="140">
        <f t="shared" si="183"/>
        <v>5.7416666666666663</v>
      </c>
      <c r="N84" s="140">
        <f t="shared" si="183"/>
        <v>6.2388888888888889</v>
      </c>
      <c r="O84" s="140">
        <f t="shared" si="183"/>
        <v>6.7416666666666663</v>
      </c>
      <c r="P84" s="140">
        <f t="shared" si="183"/>
        <v>7.2388888888888889</v>
      </c>
      <c r="Q84" s="140">
        <f t="shared" si="183"/>
        <v>7.7416666666666663</v>
      </c>
      <c r="R84" s="140">
        <f t="shared" si="183"/>
        <v>8.2388888888888889</v>
      </c>
      <c r="S84" s="140">
        <f t="shared" si="183"/>
        <v>8.7388888888888889</v>
      </c>
      <c r="T84" s="140">
        <f t="shared" si="183"/>
        <v>9.2361111111111107</v>
      </c>
      <c r="U84" s="140">
        <f t="shared" si="183"/>
        <v>9.7388888888888889</v>
      </c>
      <c r="V84" s="140">
        <f t="shared" si="183"/>
        <v>10.236111111111111</v>
      </c>
      <c r="W84" s="140">
        <f t="shared" si="183"/>
        <v>10.738888888888889</v>
      </c>
      <c r="X84" s="140">
        <f t="shared" si="183"/>
        <v>11.236111111111111</v>
      </c>
      <c r="Y84" s="140">
        <f t="shared" si="183"/>
        <v>11.738888888888889</v>
      </c>
      <c r="Z84" s="140">
        <f t="shared" si="183"/>
        <v>12.236111111111111</v>
      </c>
      <c r="AA84" s="140">
        <f t="shared" si="183"/>
        <v>12.736111111111111</v>
      </c>
      <c r="AB84" s="140">
        <f t="shared" si="183"/>
        <v>13.233333333333333</v>
      </c>
      <c r="AC84" s="140">
        <f t="shared" si="183"/>
        <v>13.736111111111111</v>
      </c>
      <c r="AD84" s="140">
        <f t="shared" si="183"/>
        <v>14.233333333333333</v>
      </c>
      <c r="AE84" s="140">
        <f t="shared" si="183"/>
        <v>14.736111111111111</v>
      </c>
      <c r="AF84" s="140">
        <f t="shared" si="183"/>
        <v>15.233333333333333</v>
      </c>
      <c r="AG84" s="140">
        <f t="shared" si="183"/>
        <v>15.736111111111111</v>
      </c>
      <c r="AH84" s="140">
        <f t="shared" si="183"/>
        <v>16.233333333333334</v>
      </c>
      <c r="AI84" s="140">
        <f t="shared" si="183"/>
        <v>16.733333333333334</v>
      </c>
      <c r="AJ84" s="140">
        <f t="shared" si="183"/>
        <v>17.230555555555554</v>
      </c>
      <c r="AK84" s="140">
        <f t="shared" si="183"/>
        <v>17.733333333333334</v>
      </c>
      <c r="AL84" s="140">
        <f t="shared" si="183"/>
        <v>18.230555555555554</v>
      </c>
      <c r="AM84" s="140">
        <f t="shared" si="183"/>
        <v>18.733333333333334</v>
      </c>
      <c r="AN84" s="140">
        <f t="shared" si="183"/>
        <v>19.230555555555554</v>
      </c>
      <c r="AO84" s="140">
        <f t="shared" si="183"/>
        <v>19.733333333333334</v>
      </c>
      <c r="AP84" s="140">
        <f t="shared" si="183"/>
        <v>20.230555555555554</v>
      </c>
      <c r="AQ84" s="140">
        <f t="shared" si="183"/>
        <v>20.730555555555554</v>
      </c>
      <c r="AR84" s="140">
        <f t="shared" si="183"/>
        <v>21.227777777777778</v>
      </c>
      <c r="AS84" s="140">
        <f t="shared" si="183"/>
        <v>21.730555555555554</v>
      </c>
      <c r="AT84" s="140">
        <f t="shared" si="183"/>
        <v>22.227777777777778</v>
      </c>
      <c r="AU84" s="140">
        <f t="shared" si="183"/>
        <v>22.730555555555554</v>
      </c>
      <c r="AV84" s="140">
        <f t="shared" si="183"/>
        <v>23.227777777777778</v>
      </c>
      <c r="AW84" s="140">
        <f t="shared" si="183"/>
        <v>23.730555555555554</v>
      </c>
      <c r="AX84" s="140">
        <f t="shared" si="183"/>
        <v>24.227777777777778</v>
      </c>
      <c r="AY84" s="140">
        <f t="shared" si="183"/>
        <v>24.727777777777778</v>
      </c>
      <c r="AZ84" s="140">
        <f t="shared" si="183"/>
        <v>25.225000000000001</v>
      </c>
      <c r="BA84" s="140">
        <f t="shared" si="183"/>
        <v>25.727777777777778</v>
      </c>
      <c r="BB84" s="140">
        <f t="shared" si="183"/>
        <v>26.225000000000001</v>
      </c>
      <c r="BC84" s="140">
        <f t="shared" si="183"/>
        <v>26.727777777777778</v>
      </c>
      <c r="BD84" s="140">
        <f t="shared" si="183"/>
        <v>27.225000000000001</v>
      </c>
      <c r="BE84" s="140">
        <f t="shared" si="183"/>
        <v>27.727777777777778</v>
      </c>
      <c r="BF84" s="140">
        <f t="shared" si="183"/>
        <v>28.225000000000001</v>
      </c>
      <c r="BG84" s="140">
        <f t="shared" si="183"/>
        <v>28.725000000000001</v>
      </c>
      <c r="BH84" s="140">
        <f t="shared" si="183"/>
        <v>29.222222222222221</v>
      </c>
      <c r="BI84" s="140">
        <f t="shared" si="183"/>
        <v>29.725000000000001</v>
      </c>
      <c r="BJ84" s="140">
        <f t="shared" si="183"/>
        <v>30.222222222222221</v>
      </c>
      <c r="BK84" s="140">
        <f t="shared" si="183"/>
        <v>30.725000000000001</v>
      </c>
      <c r="BL84" s="140">
        <f t="shared" si="183"/>
        <v>31.222222222222221</v>
      </c>
      <c r="BM84" s="140">
        <f t="shared" si="183"/>
        <v>31.725000000000001</v>
      </c>
      <c r="BN84" s="140">
        <f t="shared" si="183"/>
        <v>32.222222222222221</v>
      </c>
      <c r="BO84" s="140">
        <f t="shared" ref="BO84:CB84" si="184">BO83/360</f>
        <v>32.722222222222221</v>
      </c>
      <c r="BP84" s="140">
        <f t="shared" si="184"/>
        <v>33.219444444444441</v>
      </c>
      <c r="BQ84" s="140">
        <f t="shared" si="184"/>
        <v>33.722222222222221</v>
      </c>
      <c r="BR84" s="140">
        <f t="shared" si="184"/>
        <v>34.219444444444441</v>
      </c>
      <c r="BS84" s="140">
        <f t="shared" si="184"/>
        <v>34.722222222222221</v>
      </c>
      <c r="BT84" s="140">
        <f t="shared" si="184"/>
        <v>35.219444444444441</v>
      </c>
      <c r="BU84" s="140">
        <f t="shared" si="184"/>
        <v>35.722222222222221</v>
      </c>
      <c r="BV84" s="140">
        <f t="shared" si="184"/>
        <v>36.219444444444441</v>
      </c>
      <c r="BW84" s="140">
        <f t="shared" si="184"/>
        <v>36.719444444444441</v>
      </c>
      <c r="BX84" s="140">
        <f t="shared" si="184"/>
        <v>37.216666666666669</v>
      </c>
      <c r="BY84" s="140">
        <f t="shared" si="184"/>
        <v>37.719444444444441</v>
      </c>
      <c r="BZ84" s="140">
        <f t="shared" si="184"/>
        <v>38.216666666666669</v>
      </c>
      <c r="CA84" s="140">
        <f t="shared" si="184"/>
        <v>38.719444444444441</v>
      </c>
      <c r="CB84" s="140">
        <f t="shared" si="184"/>
        <v>39.216666666666669</v>
      </c>
      <c r="CC84" s="17"/>
      <c r="CD84" s="17"/>
      <c r="CE84" s="17"/>
    </row>
    <row r="85" spans="1:83">
      <c r="A85" s="16" t="s">
        <v>43</v>
      </c>
      <c r="B85" s="140">
        <f>IF(B83&lt;0,0,$B$5+$B$6*((1-EXP(-B84/$B$9))/(B84/$B$9))+$B$7*((1-EXP(-B84/$B$9))/(B84/$B$9)-EXP(-B84/$B$9))+$B$8*((1-EXP(-B84/$B$10))/(B84/$B$10)-EXP(-B84/$B$10)))</f>
        <v>7.8780171754598803E-3</v>
      </c>
      <c r="C85" s="140">
        <f t="shared" ref="C85:BN85" si="185">IF(C83&lt;0,0,$B$5+$B$6*((1-EXP(-C84/$B$9))/(C84/$B$9))+$B$7*((1-EXP(-C84/$B$9))/(C84/$B$9)-EXP(-C84/$B$9))+$B$8*((1-EXP(-C84/$B$10))/(C84/$B$10)-EXP(-C84/$B$10)))</f>
        <v>6.9787517760643934E-3</v>
      </c>
      <c r="D85" s="140">
        <f t="shared" si="185"/>
        <v>6.284903915442102E-3</v>
      </c>
      <c r="E85" s="140">
        <f t="shared" si="185"/>
        <v>5.7593499610121036E-3</v>
      </c>
      <c r="F85" s="140">
        <f t="shared" si="185"/>
        <v>5.3899732337820364E-3</v>
      </c>
      <c r="G85" s="140">
        <f t="shared" si="185"/>
        <v>5.1472389457025685E-3</v>
      </c>
      <c r="H85" s="140">
        <f t="shared" si="185"/>
        <v>5.0180048867287073E-3</v>
      </c>
      <c r="I85" s="140">
        <f t="shared" si="185"/>
        <v>4.9828233678953747E-3</v>
      </c>
      <c r="J85" s="140">
        <f t="shared" si="185"/>
        <v>5.0281044119317945E-3</v>
      </c>
      <c r="K85" s="140">
        <f t="shared" si="185"/>
        <v>5.141240055372324E-3</v>
      </c>
      <c r="L85" s="140">
        <f t="shared" si="185"/>
        <v>5.3099258095513826E-3</v>
      </c>
      <c r="M85" s="140">
        <f t="shared" si="185"/>
        <v>5.5276013889830732E-3</v>
      </c>
      <c r="N85" s="140">
        <f t="shared" si="185"/>
        <v>5.7809369146796154E-3</v>
      </c>
      <c r="O85" s="140">
        <f t="shared" si="185"/>
        <v>6.068040735702971E-3</v>
      </c>
      <c r="P85" s="140">
        <f t="shared" si="185"/>
        <v>6.3760817444425836E-3</v>
      </c>
      <c r="Q85" s="140">
        <f t="shared" si="185"/>
        <v>6.7062193072667409E-3</v>
      </c>
      <c r="R85" s="140">
        <f t="shared" si="185"/>
        <v>7.046266598392156E-3</v>
      </c>
      <c r="S85" s="140">
        <f t="shared" si="185"/>
        <v>7.3975599840658528E-3</v>
      </c>
      <c r="T85" s="140">
        <f t="shared" si="185"/>
        <v>7.7525682236836719E-3</v>
      </c>
      <c r="U85" s="140">
        <f t="shared" si="185"/>
        <v>8.114119095669857E-3</v>
      </c>
      <c r="V85" s="140">
        <f t="shared" si="185"/>
        <v>8.4715486999949238E-3</v>
      </c>
      <c r="W85" s="140">
        <f t="shared" si="185"/>
        <v>8.8305378179143884E-3</v>
      </c>
      <c r="X85" s="140">
        <f t="shared" si="185"/>
        <v>9.181233389501553E-3</v>
      </c>
      <c r="Y85" s="140">
        <f t="shared" si="185"/>
        <v>9.5298384940503064E-3</v>
      </c>
      <c r="Z85" s="140">
        <f t="shared" si="185"/>
        <v>9.867311291383735E-3</v>
      </c>
      <c r="AA85" s="140">
        <f t="shared" si="185"/>
        <v>1.0198263383517939E-2</v>
      </c>
      <c r="AB85" s="140">
        <f t="shared" si="185"/>
        <v>1.0518129070776039E-2</v>
      </c>
      <c r="AC85" s="140">
        <f t="shared" si="185"/>
        <v>1.0831470726086263E-2</v>
      </c>
      <c r="AD85" s="140">
        <f t="shared" si="185"/>
        <v>1.1130809738590718E-2</v>
      </c>
      <c r="AE85" s="140">
        <f t="shared" si="185"/>
        <v>1.1422412011542676E-2</v>
      </c>
      <c r="AF85" s="140">
        <f t="shared" si="185"/>
        <v>1.1699534767304684E-2</v>
      </c>
      <c r="AG85" s="140">
        <f t="shared" si="185"/>
        <v>1.1968171396670637E-2</v>
      </c>
      <c r="AH85" s="140">
        <f t="shared" si="185"/>
        <v>1.2222276605560732E-2</v>
      </c>
      <c r="AI85" s="140">
        <f t="shared" si="185"/>
        <v>1.2466172314609791E-2</v>
      </c>
      <c r="AJ85" s="140">
        <f t="shared" si="185"/>
        <v>1.2697178744010317E-2</v>
      </c>
      <c r="AK85" s="140">
        <f t="shared" si="185"/>
        <v>1.2919156071629342E-2</v>
      </c>
      <c r="AL85" s="140">
        <f t="shared" si="185"/>
        <v>1.3127328587807241E-2</v>
      </c>
      <c r="AM85" s="140">
        <f t="shared" si="185"/>
        <v>1.3326518546612506E-2</v>
      </c>
      <c r="AN85" s="140">
        <f t="shared" si="185"/>
        <v>1.3512523179881795E-2</v>
      </c>
      <c r="AO85" s="140">
        <f t="shared" si="185"/>
        <v>1.3689727172569466E-2</v>
      </c>
      <c r="AP85" s="140">
        <f t="shared" si="185"/>
        <v>1.3854459761753968E-2</v>
      </c>
      <c r="AQ85" s="140">
        <f t="shared" si="185"/>
        <v>1.400983263104456E-2</v>
      </c>
      <c r="AR85" s="140">
        <f t="shared" si="185"/>
        <v>1.4154391977388749E-2</v>
      </c>
      <c r="AS85" s="140">
        <f t="shared" si="185"/>
        <v>1.4290763544619322E-2</v>
      </c>
      <c r="AT85" s="140">
        <f t="shared" si="185"/>
        <v>1.4416222706350392E-2</v>
      </c>
      <c r="AU85" s="140">
        <f t="shared" si="185"/>
        <v>1.453387029246578E-2</v>
      </c>
      <c r="AV85" s="140">
        <f t="shared" si="185"/>
        <v>1.4641400961906177E-2</v>
      </c>
      <c r="AW85" s="140">
        <f t="shared" si="185"/>
        <v>1.4741516558141772E-2</v>
      </c>
      <c r="AX85" s="140">
        <f t="shared" si="185"/>
        <v>1.4832297525465046E-2</v>
      </c>
      <c r="AY85" s="140">
        <f t="shared" si="185"/>
        <v>1.4915625730490576E-2</v>
      </c>
      <c r="AZ85" s="140">
        <f t="shared" si="185"/>
        <v>1.4990860170540701E-2</v>
      </c>
      <c r="BA85" s="140">
        <f t="shared" si="185"/>
        <v>1.5059482718145256E-2</v>
      </c>
      <c r="BB85" s="140">
        <f t="shared" si="185"/>
        <v>1.5120252771702224E-2</v>
      </c>
      <c r="BC85" s="140">
        <f t="shared" si="185"/>
        <v>1.5174802190291138E-2</v>
      </c>
      <c r="BD85" s="140">
        <f t="shared" si="185"/>
        <v>1.5222188771313521E-2</v>
      </c>
      <c r="BE85" s="140">
        <f t="shared" si="185"/>
        <v>1.5263731686548303E-2</v>
      </c>
      <c r="BF85" s="140">
        <f t="shared" si="185"/>
        <v>1.5298762145217045E-2</v>
      </c>
      <c r="BG85" s="140">
        <f t="shared" si="185"/>
        <v>1.5328161075168148E-2</v>
      </c>
      <c r="BH85" s="140">
        <f t="shared" si="185"/>
        <v>1.5351835282595493E-2</v>
      </c>
      <c r="BI85" s="140">
        <f t="shared" si="185"/>
        <v>1.5370364836099229E-2</v>
      </c>
      <c r="BJ85" s="140">
        <f t="shared" si="185"/>
        <v>1.5383559819135218E-2</v>
      </c>
      <c r="BK85" s="140">
        <f t="shared" si="185"/>
        <v>1.5391930369486493E-2</v>
      </c>
      <c r="BL85" s="140">
        <f t="shared" si="185"/>
        <v>1.5395496219675894E-2</v>
      </c>
      <c r="BM85" s="140">
        <f t="shared" si="185"/>
        <v>1.539453742089463E-2</v>
      </c>
      <c r="BN85" s="140">
        <f t="shared" si="185"/>
        <v>1.5389265409250279E-2</v>
      </c>
      <c r="BO85" s="140">
        <f t="shared" ref="BO85:CB85" si="186">IF(BO83&lt;0,0,$B$5+$B$6*((1-EXP(-BO84/$B$9))/(BO84/$B$9))+$B$7*((1-EXP(-BO84/$B$9))/(BO84/$B$9)-EXP(-BO84/$B$9))+$B$8*((1-EXP(-BO84/$B$10))/(BO84/$B$10)-EXP(-BO84/$B$10)))</f>
        <v>1.5379812138367087E-2</v>
      </c>
      <c r="BP85" s="140">
        <f t="shared" si="186"/>
        <v>1.5366458190114654E-2</v>
      </c>
      <c r="BQ85" s="140">
        <f t="shared" si="186"/>
        <v>1.5349118417906128E-2</v>
      </c>
      <c r="BR85" s="140">
        <f t="shared" si="186"/>
        <v>1.532833917535564E-2</v>
      </c>
      <c r="BS85" s="140">
        <f t="shared" si="186"/>
        <v>1.5303815280928628E-2</v>
      </c>
      <c r="BT85" s="140">
        <f t="shared" si="186"/>
        <v>1.5276239374013421E-2</v>
      </c>
      <c r="BU85" s="140">
        <f t="shared" si="186"/>
        <v>1.5245142120078537E-2</v>
      </c>
      <c r="BV85" s="140">
        <f t="shared" si="186"/>
        <v>1.5211349726573811E-2</v>
      </c>
      <c r="BW85" s="140">
        <f t="shared" si="186"/>
        <v>1.5174455354526353E-2</v>
      </c>
      <c r="BX85" s="140">
        <f t="shared" si="186"/>
        <v>1.5134996425948875E-2</v>
      </c>
      <c r="BY85" s="140">
        <f t="shared" si="186"/>
        <v>1.5092412868899351E-2</v>
      </c>
      <c r="BZ85" s="140">
        <f t="shared" si="186"/>
        <v>1.5047763709636511E-2</v>
      </c>
      <c r="CA85" s="140">
        <f t="shared" si="186"/>
        <v>1.500016605835806E-2</v>
      </c>
      <c r="CB85" s="140">
        <f t="shared" si="186"/>
        <v>1.495078036315407E-2</v>
      </c>
      <c r="CC85" s="17"/>
      <c r="CD85" s="17"/>
      <c r="CE85" s="17"/>
    </row>
    <row r="86" spans="1:83">
      <c r="A86" s="16" t="s">
        <v>44</v>
      </c>
      <c r="B86" s="140">
        <f>EXP(-B85*B84)</f>
        <v>0.99807611551105935</v>
      </c>
      <c r="C86" s="140">
        <f t="shared" ref="C86:AR86" si="187">EXP(-C85*C84)</f>
        <v>0.99481817920501003</v>
      </c>
      <c r="D86" s="140">
        <f t="shared" si="187"/>
        <v>0.99222661455444894</v>
      </c>
      <c r="E86" s="140">
        <f t="shared" si="187"/>
        <v>0.99000343511825817</v>
      </c>
      <c r="F86" s="140">
        <f t="shared" si="187"/>
        <v>0.98799017725588145</v>
      </c>
      <c r="G86" s="140">
        <f t="shared" si="187"/>
        <v>0.9859729968377986</v>
      </c>
      <c r="H86" s="140">
        <f t="shared" si="187"/>
        <v>0.98386488910805825</v>
      </c>
      <c r="I86" s="140">
        <f t="shared" si="187"/>
        <v>0.98151507594406129</v>
      </c>
      <c r="J86" s="140">
        <f t="shared" si="187"/>
        <v>0.97889828089075082</v>
      </c>
      <c r="K86" s="140">
        <f t="shared" si="187"/>
        <v>0.97591669802492853</v>
      </c>
      <c r="L86" s="140">
        <f t="shared" si="187"/>
        <v>0.97256524931934829</v>
      </c>
      <c r="M86" s="140">
        <f t="shared" si="187"/>
        <v>0.96876070830474259</v>
      </c>
      <c r="N86" s="140">
        <f t="shared" si="187"/>
        <v>0.96457602831226674</v>
      </c>
      <c r="O86" s="140">
        <f t="shared" si="187"/>
        <v>0.95991675870709692</v>
      </c>
      <c r="P86" s="140">
        <f t="shared" si="187"/>
        <v>0.95489322857170644</v>
      </c>
      <c r="Q86" s="140">
        <f t="shared" si="187"/>
        <v>0.94940736584830809</v>
      </c>
      <c r="R86" s="140">
        <f t="shared" si="187"/>
        <v>0.94359955071721024</v>
      </c>
      <c r="S86" s="140">
        <f t="shared" si="187"/>
        <v>0.93739881769926725</v>
      </c>
      <c r="T86" s="140">
        <f t="shared" si="187"/>
        <v>0.93089984858845809</v>
      </c>
      <c r="U86" s="140">
        <f t="shared" si="187"/>
        <v>0.92401912980375944</v>
      </c>
      <c r="V86" s="140">
        <f t="shared" si="187"/>
        <v>0.91693773134880463</v>
      </c>
      <c r="W86" s="140">
        <f t="shared" si="187"/>
        <v>0.9095273914312858</v>
      </c>
      <c r="X86" s="140">
        <f t="shared" si="187"/>
        <v>0.9019814193684409</v>
      </c>
      <c r="Y86" s="140">
        <f t="shared" si="187"/>
        <v>0.89416074545619872</v>
      </c>
      <c r="Z86" s="140">
        <f t="shared" si="187"/>
        <v>0.88626655867820603</v>
      </c>
      <c r="AA86" s="140">
        <f t="shared" si="187"/>
        <v>0.87819535017309924</v>
      </c>
      <c r="AB86" s="140">
        <f t="shared" si="187"/>
        <v>0.87006278085339095</v>
      </c>
      <c r="AC86" s="140">
        <f t="shared" si="187"/>
        <v>0.86175671150308519</v>
      </c>
      <c r="AD86" s="140">
        <f t="shared" si="187"/>
        <v>0.85348396413889704</v>
      </c>
      <c r="AE86" s="140">
        <f t="shared" si="187"/>
        <v>0.84508173156318978</v>
      </c>
      <c r="AF86" s="140">
        <f t="shared" si="187"/>
        <v>0.83675587897212067</v>
      </c>
      <c r="AG86" s="140">
        <f t="shared" si="187"/>
        <v>0.82833925943731379</v>
      </c>
      <c r="AH86" s="140">
        <f t="shared" si="187"/>
        <v>0.82003497251048374</v>
      </c>
      <c r="AI86" s="140">
        <f t="shared" si="187"/>
        <v>0.81171935804518625</v>
      </c>
      <c r="AJ86" s="140">
        <f t="shared" si="187"/>
        <v>0.80349891532159667</v>
      </c>
      <c r="AK86" s="140">
        <f t="shared" si="187"/>
        <v>0.79524924240491013</v>
      </c>
      <c r="AL86" s="140">
        <f t="shared" si="187"/>
        <v>0.78716413608577762</v>
      </c>
      <c r="AM86" s="140">
        <f t="shared" si="187"/>
        <v>0.77907332215522651</v>
      </c>
      <c r="AN86" s="140">
        <f t="shared" si="187"/>
        <v>0.7711646860022322</v>
      </c>
      <c r="AO86" s="140">
        <f t="shared" si="187"/>
        <v>0.76326961411958028</v>
      </c>
      <c r="AP86" s="140">
        <f t="shared" si="187"/>
        <v>0.75556956916463913</v>
      </c>
      <c r="AQ86" s="140">
        <f t="shared" si="187"/>
        <v>0.74794067647225004</v>
      </c>
      <c r="AR86" s="140">
        <f t="shared" si="187"/>
        <v>0.74047286694705861</v>
      </c>
      <c r="AS86" s="140">
        <f>EXP(-AS85*AS84)</f>
        <v>0.73304643405777692</v>
      </c>
      <c r="AT86" s="140">
        <f t="shared" ref="AT86:CA86" si="188">EXP(-AT85*AT84)</f>
        <v>0.72582917011906123</v>
      </c>
      <c r="AU86" s="140">
        <f t="shared" si="188"/>
        <v>0.71866285019834897</v>
      </c>
      <c r="AV86" s="140">
        <f t="shared" si="188"/>
        <v>0.7117082534750534</v>
      </c>
      <c r="AW86" s="140">
        <f t="shared" si="188"/>
        <v>0.70481185956078707</v>
      </c>
      <c r="AX86" s="140">
        <f t="shared" si="188"/>
        <v>0.69812744398479465</v>
      </c>
      <c r="AY86" s="140">
        <f t="shared" si="188"/>
        <v>0.69154277018083887</v>
      </c>
      <c r="AZ86" s="140">
        <f t="shared" si="188"/>
        <v>0.68513152777464204</v>
      </c>
      <c r="BA86" s="140">
        <f t="shared" si="188"/>
        <v>0.67878759219335216</v>
      </c>
      <c r="BB86" s="140">
        <f t="shared" si="188"/>
        <v>0.67265101914132586</v>
      </c>
      <c r="BC86" s="140">
        <f t="shared" si="188"/>
        <v>0.6665842499910194</v>
      </c>
      <c r="BD86" s="140">
        <f t="shared" si="188"/>
        <v>0.66072068726852629</v>
      </c>
      <c r="BE86" s="140">
        <f t="shared" si="188"/>
        <v>0.65492840133267893</v>
      </c>
      <c r="BF86" s="140">
        <f t="shared" si="188"/>
        <v>0.64933432155384585</v>
      </c>
      <c r="BG86" s="140">
        <f t="shared" si="188"/>
        <v>0.64384232044646439</v>
      </c>
      <c r="BH86" s="140">
        <f t="shared" si="188"/>
        <v>0.63851204309358534</v>
      </c>
      <c r="BI86" s="140">
        <f t="shared" si="188"/>
        <v>0.63325373323968392</v>
      </c>
      <c r="BJ86" s="140">
        <f t="shared" si="188"/>
        <v>0.62818198879353482</v>
      </c>
      <c r="BK86" s="140">
        <f t="shared" si="188"/>
        <v>0.62318175535364018</v>
      </c>
      <c r="BL86" s="140">
        <f t="shared" si="188"/>
        <v>0.61836177015814675</v>
      </c>
      <c r="BM86" s="140">
        <f t="shared" si="188"/>
        <v>0.61361247415533615</v>
      </c>
      <c r="BN86" s="140">
        <f t="shared" si="188"/>
        <v>0.6090369561052027</v>
      </c>
      <c r="BO86" s="140">
        <f t="shared" si="188"/>
        <v>0.60455560349968618</v>
      </c>
      <c r="BP86" s="140">
        <f t="shared" si="188"/>
        <v>0.60021629074233052</v>
      </c>
      <c r="BQ86" s="140">
        <f t="shared" si="188"/>
        <v>0.59594530741853524</v>
      </c>
      <c r="BR86" s="140">
        <f t="shared" si="188"/>
        <v>0.59183508778467109</v>
      </c>
      <c r="BS86" s="140">
        <f t="shared" si="188"/>
        <v>0.58779180022666544</v>
      </c>
      <c r="BT86" s="140">
        <f t="shared" si="188"/>
        <v>0.58390284928687197</v>
      </c>
      <c r="BU86" s="140">
        <f t="shared" si="188"/>
        <v>0.58007936150397177</v>
      </c>
      <c r="BV86" s="140">
        <f t="shared" si="188"/>
        <v>0.57640390714647238</v>
      </c>
      <c r="BW86" s="140">
        <f t="shared" si="188"/>
        <v>0.5728120821809084</v>
      </c>
      <c r="BX86" s="140">
        <f t="shared" si="188"/>
        <v>0.5693419168472803</v>
      </c>
      <c r="BY86" s="140">
        <f t="shared" si="188"/>
        <v>0.56593421879632555</v>
      </c>
      <c r="BZ86" s="140">
        <f t="shared" si="188"/>
        <v>0.56266245946865956</v>
      </c>
      <c r="CA86" s="140">
        <f t="shared" si="188"/>
        <v>0.55945169198880029</v>
      </c>
      <c r="CB86" s="140">
        <f>EXP(-CB85*CB84)</f>
        <v>0.55637109522804851</v>
      </c>
      <c r="CC86" s="17"/>
      <c r="CD86" s="17"/>
      <c r="CE86" s="17"/>
    </row>
    <row r="87" spans="1:83" s="6" customFormat="1">
      <c r="A87" s="130"/>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c r="BM87" s="7"/>
      <c r="BN87" s="7"/>
      <c r="BO87" s="7"/>
      <c r="BP87" s="7"/>
      <c r="BQ87" s="7"/>
      <c r="BR87" s="7"/>
      <c r="BS87" s="7"/>
      <c r="BT87" s="7"/>
      <c r="BU87" s="7"/>
      <c r="BV87" s="7"/>
      <c r="BW87" s="7"/>
      <c r="BX87" s="7"/>
      <c r="BY87" s="7"/>
      <c r="BZ87" s="7"/>
      <c r="CA87" s="7"/>
      <c r="CB87" s="7"/>
      <c r="CC87" s="19"/>
      <c r="CD87" s="19"/>
      <c r="CE87" s="19"/>
    </row>
    <row r="88" spans="1:83">
      <c r="A88" s="16" t="s">
        <v>40</v>
      </c>
      <c r="B88" s="140">
        <f t="shared" ref="B88:AG88" si="189">DAYS360($B$3,B26)</f>
        <v>178</v>
      </c>
      <c r="C88" s="140">
        <f t="shared" si="189"/>
        <v>357</v>
      </c>
      <c r="D88" s="140">
        <f t="shared" si="189"/>
        <v>537</v>
      </c>
      <c r="E88" s="140">
        <f t="shared" si="189"/>
        <v>717</v>
      </c>
      <c r="F88" s="140">
        <f t="shared" si="189"/>
        <v>897</v>
      </c>
      <c r="G88" s="140">
        <f t="shared" si="189"/>
        <v>1077</v>
      </c>
      <c r="H88" s="140">
        <f t="shared" si="189"/>
        <v>1257</v>
      </c>
      <c r="I88" s="140">
        <f t="shared" si="189"/>
        <v>1437</v>
      </c>
      <c r="J88" s="140">
        <f t="shared" si="189"/>
        <v>1617</v>
      </c>
      <c r="K88" s="140">
        <f t="shared" si="189"/>
        <v>1796</v>
      </c>
      <c r="L88" s="140">
        <f t="shared" si="189"/>
        <v>1976</v>
      </c>
      <c r="M88" s="140">
        <f t="shared" si="189"/>
        <v>2156</v>
      </c>
      <c r="N88" s="140">
        <f t="shared" si="189"/>
        <v>2336</v>
      </c>
      <c r="O88" s="140">
        <f t="shared" si="189"/>
        <v>2516</v>
      </c>
      <c r="P88" s="140">
        <f t="shared" si="189"/>
        <v>2696</v>
      </c>
      <c r="Q88" s="140">
        <f t="shared" si="189"/>
        <v>2876</v>
      </c>
      <c r="R88" s="140">
        <f t="shared" si="189"/>
        <v>3056</v>
      </c>
      <c r="S88" s="140">
        <f t="shared" si="189"/>
        <v>3235</v>
      </c>
      <c r="T88" s="140">
        <f t="shared" si="189"/>
        <v>3415</v>
      </c>
      <c r="U88" s="140">
        <f t="shared" si="189"/>
        <v>3595</v>
      </c>
      <c r="V88" s="140">
        <f t="shared" si="189"/>
        <v>3775</v>
      </c>
      <c r="W88" s="140">
        <f t="shared" si="189"/>
        <v>3955</v>
      </c>
      <c r="X88" s="140">
        <f t="shared" si="189"/>
        <v>4135</v>
      </c>
      <c r="Y88" s="140">
        <f t="shared" si="189"/>
        <v>4315</v>
      </c>
      <c r="Z88" s="140">
        <f t="shared" si="189"/>
        <v>4495</v>
      </c>
      <c r="AA88" s="140">
        <f t="shared" si="189"/>
        <v>4674</v>
      </c>
      <c r="AB88" s="140">
        <f t="shared" si="189"/>
        <v>4854</v>
      </c>
      <c r="AC88" s="140">
        <f t="shared" si="189"/>
        <v>5034</v>
      </c>
      <c r="AD88" s="140">
        <f t="shared" si="189"/>
        <v>5214</v>
      </c>
      <c r="AE88" s="140">
        <f t="shared" si="189"/>
        <v>5394</v>
      </c>
      <c r="AF88" s="140">
        <f t="shared" si="189"/>
        <v>5574</v>
      </c>
      <c r="AG88" s="140">
        <f t="shared" si="189"/>
        <v>5754</v>
      </c>
      <c r="AH88" s="140">
        <f t="shared" ref="AH88:BM88" si="190">DAYS360($B$3,AH26)</f>
        <v>5934</v>
      </c>
      <c r="AI88" s="140">
        <f t="shared" si="190"/>
        <v>6113</v>
      </c>
      <c r="AJ88" s="140">
        <f t="shared" si="190"/>
        <v>6293</v>
      </c>
      <c r="AK88" s="140">
        <f t="shared" si="190"/>
        <v>6473</v>
      </c>
      <c r="AL88" s="140">
        <f t="shared" si="190"/>
        <v>6653</v>
      </c>
      <c r="AM88" s="140">
        <f t="shared" si="190"/>
        <v>6833</v>
      </c>
      <c r="AN88" s="140">
        <f t="shared" si="190"/>
        <v>7013</v>
      </c>
      <c r="AO88" s="140">
        <f t="shared" si="190"/>
        <v>7193</v>
      </c>
      <c r="AP88" s="140">
        <f t="shared" si="190"/>
        <v>7373</v>
      </c>
      <c r="AQ88" s="140">
        <f t="shared" si="190"/>
        <v>7552</v>
      </c>
      <c r="AR88" s="140">
        <f t="shared" si="190"/>
        <v>7732</v>
      </c>
      <c r="AS88" s="140">
        <f t="shared" si="190"/>
        <v>7912</v>
      </c>
      <c r="AT88" s="140">
        <f t="shared" si="190"/>
        <v>8092</v>
      </c>
      <c r="AU88" s="140">
        <f t="shared" si="190"/>
        <v>8272</v>
      </c>
      <c r="AV88" s="140">
        <f t="shared" si="190"/>
        <v>8452</v>
      </c>
      <c r="AW88" s="140">
        <f t="shared" si="190"/>
        <v>8632</v>
      </c>
      <c r="AX88" s="140">
        <f t="shared" si="190"/>
        <v>8812</v>
      </c>
      <c r="AY88" s="140">
        <f t="shared" si="190"/>
        <v>8991</v>
      </c>
      <c r="AZ88" s="140">
        <f t="shared" si="190"/>
        <v>9171</v>
      </c>
      <c r="BA88" s="140">
        <f t="shared" si="190"/>
        <v>9351</v>
      </c>
      <c r="BB88" s="140">
        <f t="shared" si="190"/>
        <v>9531</v>
      </c>
      <c r="BC88" s="140">
        <f t="shared" si="190"/>
        <v>9711</v>
      </c>
      <c r="BD88" s="140">
        <f t="shared" si="190"/>
        <v>9891</v>
      </c>
      <c r="BE88" s="140">
        <f t="shared" si="190"/>
        <v>10071</v>
      </c>
      <c r="BF88" s="140">
        <f t="shared" si="190"/>
        <v>10251</v>
      </c>
      <c r="BG88" s="140">
        <f t="shared" si="190"/>
        <v>10430</v>
      </c>
      <c r="BH88" s="140">
        <f t="shared" si="190"/>
        <v>10610</v>
      </c>
      <c r="BI88" s="140">
        <f t="shared" si="190"/>
        <v>10790</v>
      </c>
      <c r="BJ88" s="140">
        <f t="shared" si="190"/>
        <v>10970</v>
      </c>
      <c r="BK88" s="140">
        <f t="shared" si="190"/>
        <v>11150</v>
      </c>
      <c r="BL88" s="140">
        <f t="shared" si="190"/>
        <v>11330</v>
      </c>
      <c r="BM88" s="140">
        <f t="shared" si="190"/>
        <v>11510</v>
      </c>
      <c r="BN88" s="140">
        <f t="shared" ref="BN88:CB88" si="191">DAYS360($B$3,BN26)</f>
        <v>11690</v>
      </c>
      <c r="BO88" s="140">
        <f t="shared" si="191"/>
        <v>11869</v>
      </c>
      <c r="BP88" s="140">
        <f t="shared" si="191"/>
        <v>12049</v>
      </c>
      <c r="BQ88" s="140">
        <f t="shared" si="191"/>
        <v>12229</v>
      </c>
      <c r="BR88" s="140">
        <f t="shared" si="191"/>
        <v>12409</v>
      </c>
      <c r="BS88" s="140">
        <f t="shared" si="191"/>
        <v>12589</v>
      </c>
      <c r="BT88" s="140">
        <f t="shared" si="191"/>
        <v>12769</v>
      </c>
      <c r="BU88" s="140">
        <f t="shared" si="191"/>
        <v>12949</v>
      </c>
      <c r="BV88" s="140">
        <f t="shared" si="191"/>
        <v>13129</v>
      </c>
      <c r="BW88" s="140">
        <f t="shared" si="191"/>
        <v>13308</v>
      </c>
      <c r="BX88" s="140">
        <f t="shared" si="191"/>
        <v>13488</v>
      </c>
      <c r="BY88" s="140">
        <f t="shared" si="191"/>
        <v>13668</v>
      </c>
      <c r="BZ88" s="140">
        <f t="shared" si="191"/>
        <v>13848</v>
      </c>
      <c r="CA88" s="140">
        <f t="shared" si="191"/>
        <v>14028</v>
      </c>
      <c r="CB88" s="140">
        <f t="shared" si="191"/>
        <v>14208</v>
      </c>
      <c r="CC88" s="17"/>
      <c r="CD88" s="17"/>
      <c r="CE88" s="17"/>
    </row>
    <row r="89" spans="1:83">
      <c r="A89" s="16" t="s">
        <v>41</v>
      </c>
      <c r="B89" s="140">
        <f>B88/360</f>
        <v>0.49444444444444446</v>
      </c>
      <c r="C89" s="140">
        <f t="shared" ref="C89:BN89" si="192">C88/360</f>
        <v>0.9916666666666667</v>
      </c>
      <c r="D89" s="140">
        <f t="shared" si="192"/>
        <v>1.4916666666666667</v>
      </c>
      <c r="E89" s="140">
        <f t="shared" si="192"/>
        <v>1.9916666666666667</v>
      </c>
      <c r="F89" s="140">
        <f t="shared" si="192"/>
        <v>2.4916666666666667</v>
      </c>
      <c r="G89" s="140">
        <f t="shared" si="192"/>
        <v>2.9916666666666667</v>
      </c>
      <c r="H89" s="140">
        <f t="shared" si="192"/>
        <v>3.4916666666666667</v>
      </c>
      <c r="I89" s="140">
        <f t="shared" si="192"/>
        <v>3.9916666666666667</v>
      </c>
      <c r="J89" s="140">
        <f t="shared" si="192"/>
        <v>4.4916666666666663</v>
      </c>
      <c r="K89" s="140">
        <f t="shared" si="192"/>
        <v>4.9888888888888889</v>
      </c>
      <c r="L89" s="140">
        <f t="shared" si="192"/>
        <v>5.4888888888888889</v>
      </c>
      <c r="M89" s="140">
        <f t="shared" si="192"/>
        <v>5.9888888888888889</v>
      </c>
      <c r="N89" s="140">
        <f t="shared" si="192"/>
        <v>6.4888888888888889</v>
      </c>
      <c r="O89" s="140">
        <f t="shared" si="192"/>
        <v>6.9888888888888889</v>
      </c>
      <c r="P89" s="140">
        <f t="shared" si="192"/>
        <v>7.4888888888888889</v>
      </c>
      <c r="Q89" s="140">
        <f t="shared" si="192"/>
        <v>7.9888888888888889</v>
      </c>
      <c r="R89" s="140">
        <f t="shared" si="192"/>
        <v>8.4888888888888889</v>
      </c>
      <c r="S89" s="140">
        <f t="shared" si="192"/>
        <v>8.9861111111111107</v>
      </c>
      <c r="T89" s="140">
        <f t="shared" si="192"/>
        <v>9.4861111111111107</v>
      </c>
      <c r="U89" s="140">
        <f t="shared" si="192"/>
        <v>9.9861111111111107</v>
      </c>
      <c r="V89" s="140">
        <f t="shared" si="192"/>
        <v>10.486111111111111</v>
      </c>
      <c r="W89" s="140">
        <f t="shared" si="192"/>
        <v>10.986111111111111</v>
      </c>
      <c r="X89" s="140">
        <f t="shared" si="192"/>
        <v>11.486111111111111</v>
      </c>
      <c r="Y89" s="140">
        <f t="shared" si="192"/>
        <v>11.986111111111111</v>
      </c>
      <c r="Z89" s="140">
        <f t="shared" si="192"/>
        <v>12.486111111111111</v>
      </c>
      <c r="AA89" s="140">
        <f t="shared" si="192"/>
        <v>12.983333333333333</v>
      </c>
      <c r="AB89" s="140">
        <f t="shared" si="192"/>
        <v>13.483333333333333</v>
      </c>
      <c r="AC89" s="140">
        <f t="shared" si="192"/>
        <v>13.983333333333333</v>
      </c>
      <c r="AD89" s="140">
        <f t="shared" si="192"/>
        <v>14.483333333333333</v>
      </c>
      <c r="AE89" s="140">
        <f t="shared" si="192"/>
        <v>14.983333333333333</v>
      </c>
      <c r="AF89" s="140">
        <f t="shared" si="192"/>
        <v>15.483333333333333</v>
      </c>
      <c r="AG89" s="140">
        <f t="shared" si="192"/>
        <v>15.983333333333333</v>
      </c>
      <c r="AH89" s="140">
        <f t="shared" si="192"/>
        <v>16.483333333333334</v>
      </c>
      <c r="AI89" s="140">
        <f t="shared" si="192"/>
        <v>16.980555555555554</v>
      </c>
      <c r="AJ89" s="140">
        <f t="shared" si="192"/>
        <v>17.480555555555554</v>
      </c>
      <c r="AK89" s="140">
        <f t="shared" si="192"/>
        <v>17.980555555555554</v>
      </c>
      <c r="AL89" s="140">
        <f t="shared" si="192"/>
        <v>18.480555555555554</v>
      </c>
      <c r="AM89" s="140">
        <f t="shared" si="192"/>
        <v>18.980555555555554</v>
      </c>
      <c r="AN89" s="140">
        <f t="shared" si="192"/>
        <v>19.480555555555554</v>
      </c>
      <c r="AO89" s="140">
        <f t="shared" si="192"/>
        <v>19.980555555555554</v>
      </c>
      <c r="AP89" s="140">
        <f t="shared" si="192"/>
        <v>20.480555555555554</v>
      </c>
      <c r="AQ89" s="140">
        <f t="shared" si="192"/>
        <v>20.977777777777778</v>
      </c>
      <c r="AR89" s="140">
        <f t="shared" si="192"/>
        <v>21.477777777777778</v>
      </c>
      <c r="AS89" s="140">
        <f t="shared" si="192"/>
        <v>21.977777777777778</v>
      </c>
      <c r="AT89" s="140">
        <f t="shared" si="192"/>
        <v>22.477777777777778</v>
      </c>
      <c r="AU89" s="140">
        <f t="shared" si="192"/>
        <v>22.977777777777778</v>
      </c>
      <c r="AV89" s="140">
        <f t="shared" si="192"/>
        <v>23.477777777777778</v>
      </c>
      <c r="AW89" s="140">
        <f t="shared" si="192"/>
        <v>23.977777777777778</v>
      </c>
      <c r="AX89" s="140">
        <f t="shared" si="192"/>
        <v>24.477777777777778</v>
      </c>
      <c r="AY89" s="140">
        <f t="shared" si="192"/>
        <v>24.975000000000001</v>
      </c>
      <c r="AZ89" s="140">
        <f t="shared" si="192"/>
        <v>25.475000000000001</v>
      </c>
      <c r="BA89" s="140">
        <f t="shared" si="192"/>
        <v>25.975000000000001</v>
      </c>
      <c r="BB89" s="140">
        <f t="shared" si="192"/>
        <v>26.475000000000001</v>
      </c>
      <c r="BC89" s="140">
        <f t="shared" si="192"/>
        <v>26.975000000000001</v>
      </c>
      <c r="BD89" s="140">
        <f t="shared" si="192"/>
        <v>27.475000000000001</v>
      </c>
      <c r="BE89" s="140">
        <f t="shared" si="192"/>
        <v>27.975000000000001</v>
      </c>
      <c r="BF89" s="140">
        <f t="shared" si="192"/>
        <v>28.475000000000001</v>
      </c>
      <c r="BG89" s="140">
        <f t="shared" si="192"/>
        <v>28.972222222222221</v>
      </c>
      <c r="BH89" s="140">
        <f t="shared" si="192"/>
        <v>29.472222222222221</v>
      </c>
      <c r="BI89" s="140">
        <f t="shared" si="192"/>
        <v>29.972222222222221</v>
      </c>
      <c r="BJ89" s="140">
        <f t="shared" si="192"/>
        <v>30.472222222222221</v>
      </c>
      <c r="BK89" s="140">
        <f t="shared" si="192"/>
        <v>30.972222222222221</v>
      </c>
      <c r="BL89" s="140">
        <f t="shared" si="192"/>
        <v>31.472222222222221</v>
      </c>
      <c r="BM89" s="140">
        <f t="shared" si="192"/>
        <v>31.972222222222221</v>
      </c>
      <c r="BN89" s="140">
        <f t="shared" si="192"/>
        <v>32.472222222222221</v>
      </c>
      <c r="BO89" s="140">
        <f t="shared" ref="BO89:CB89" si="193">BO88/360</f>
        <v>32.969444444444441</v>
      </c>
      <c r="BP89" s="140">
        <f t="shared" si="193"/>
        <v>33.469444444444441</v>
      </c>
      <c r="BQ89" s="140">
        <f t="shared" si="193"/>
        <v>33.969444444444441</v>
      </c>
      <c r="BR89" s="140">
        <f t="shared" si="193"/>
        <v>34.469444444444441</v>
      </c>
      <c r="BS89" s="140">
        <f t="shared" si="193"/>
        <v>34.969444444444441</v>
      </c>
      <c r="BT89" s="140">
        <f t="shared" si="193"/>
        <v>35.469444444444441</v>
      </c>
      <c r="BU89" s="140">
        <f t="shared" si="193"/>
        <v>35.969444444444441</v>
      </c>
      <c r="BV89" s="140">
        <f t="shared" si="193"/>
        <v>36.469444444444441</v>
      </c>
      <c r="BW89" s="140">
        <f t="shared" si="193"/>
        <v>36.966666666666669</v>
      </c>
      <c r="BX89" s="140">
        <f t="shared" si="193"/>
        <v>37.466666666666669</v>
      </c>
      <c r="BY89" s="140">
        <f t="shared" si="193"/>
        <v>37.966666666666669</v>
      </c>
      <c r="BZ89" s="140">
        <f t="shared" si="193"/>
        <v>38.466666666666669</v>
      </c>
      <c r="CA89" s="140">
        <f t="shared" si="193"/>
        <v>38.966666666666669</v>
      </c>
      <c r="CB89" s="140">
        <f t="shared" si="193"/>
        <v>39.466666666666669</v>
      </c>
      <c r="CC89" s="17"/>
      <c r="CD89" s="17"/>
      <c r="CE89" s="17"/>
    </row>
    <row r="90" spans="1:83">
      <c r="A90" s="16" t="s">
        <v>43</v>
      </c>
      <c r="B90" s="140">
        <f>IF(B88&lt;0,0,$B$5+$B$6*((1-EXP(-B89/$B$9))/(B89/$B$9))+$B$7*((1-EXP(-B89/$B$9))/(B89/$B$9)-EXP(-B89/$B$9))+$B$8*((1-EXP(-B89/$B$10))/(B89/$B$10)-EXP(-B89/$B$10)))</f>
        <v>7.401306874700404E-3</v>
      </c>
      <c r="C90" s="140">
        <f t="shared" ref="C90:BN90" si="194">IF(C88&lt;0,0,$B$5+$B$6*((1-EXP(-C89/$B$9))/(C89/$B$9))+$B$7*((1-EXP(-C89/$B$9))/(C89/$B$9)-EXP(-C89/$B$9))+$B$8*((1-EXP(-C89/$B$10))/(C89/$B$10)-EXP(-C89/$B$10)))</f>
        <v>6.6105248312977611E-3</v>
      </c>
      <c r="D90" s="140">
        <f t="shared" si="194"/>
        <v>6.0030262038962183E-3</v>
      </c>
      <c r="E90" s="140">
        <f t="shared" si="194"/>
        <v>5.5583687666150815E-3</v>
      </c>
      <c r="F90" s="140">
        <f t="shared" si="194"/>
        <v>5.2540691530076344E-3</v>
      </c>
      <c r="G90" s="140">
        <f t="shared" si="194"/>
        <v>5.0702723542825094E-3</v>
      </c>
      <c r="H90" s="140">
        <f t="shared" si="194"/>
        <v>4.9894632886089141E-3</v>
      </c>
      <c r="I90" s="140">
        <f t="shared" si="194"/>
        <v>4.9962090657882548E-3</v>
      </c>
      <c r="J90" s="140">
        <f t="shared" si="194"/>
        <v>5.0769287365326037E-3</v>
      </c>
      <c r="K90" s="140">
        <f t="shared" si="194"/>
        <v>5.2187430284501742E-3</v>
      </c>
      <c r="L90" s="140">
        <f t="shared" si="194"/>
        <v>5.4128091915303916E-3</v>
      </c>
      <c r="M90" s="140">
        <f t="shared" si="194"/>
        <v>5.6493170665341871E-3</v>
      </c>
      <c r="N90" s="140">
        <f t="shared" si="194"/>
        <v>5.9202399265239486E-3</v>
      </c>
      <c r="O90" s="140">
        <f t="shared" si="194"/>
        <v>6.2185737509865818E-3</v>
      </c>
      <c r="P90" s="140">
        <f t="shared" si="194"/>
        <v>6.5382207858383804E-3</v>
      </c>
      <c r="Q90" s="140">
        <f t="shared" si="194"/>
        <v>6.8738857376772116E-3</v>
      </c>
      <c r="R90" s="140">
        <f t="shared" si="194"/>
        <v>7.2209832654252914E-3</v>
      </c>
      <c r="S90" s="140">
        <f t="shared" si="194"/>
        <v>7.5735715654875867E-3</v>
      </c>
      <c r="T90" s="140">
        <f t="shared" si="194"/>
        <v>7.9322008749921399E-3</v>
      </c>
      <c r="U90" s="140">
        <f t="shared" si="194"/>
        <v>8.2920014959458055E-3</v>
      </c>
      <c r="V90" s="140">
        <f t="shared" si="194"/>
        <v>8.6504871398634057E-3</v>
      </c>
      <c r="W90" s="140">
        <f t="shared" si="194"/>
        <v>9.0055508607169606E-3</v>
      </c>
      <c r="X90" s="140">
        <f t="shared" si="194"/>
        <v>9.3554191029140126E-3</v>
      </c>
      <c r="Y90" s="140">
        <f t="shared" si="194"/>
        <v>9.6986108837684784E-3</v>
      </c>
      <c r="Z90" s="140">
        <f t="shared" si="194"/>
        <v>1.0033901558224829E-2</v>
      </c>
      <c r="AA90" s="140">
        <f t="shared" si="194"/>
        <v>1.0358503549067782E-2</v>
      </c>
      <c r="AB90" s="140">
        <f t="shared" si="194"/>
        <v>1.0675242159944188E-2</v>
      </c>
      <c r="AC90" s="140">
        <f t="shared" si="194"/>
        <v>1.0981643215083091E-2</v>
      </c>
      <c r="AD90" s="140">
        <f t="shared" si="194"/>
        <v>1.1277219710295083E-2</v>
      </c>
      <c r="AE90" s="140">
        <f t="shared" si="194"/>
        <v>1.1561613060533344E-2</v>
      </c>
      <c r="AF90" s="140">
        <f t="shared" si="194"/>
        <v>1.183457561574365E-2</v>
      </c>
      <c r="AG90" s="140">
        <f t="shared" si="194"/>
        <v>1.2095955224651369E-2</v>
      </c>
      <c r="AH90" s="140">
        <f t="shared" si="194"/>
        <v>1.2345681620850694E-2</v>
      </c>
      <c r="AI90" s="140">
        <f t="shared" si="194"/>
        <v>1.2582463910613422E-2</v>
      </c>
      <c r="AJ90" s="140">
        <f t="shared" si="194"/>
        <v>1.2809006252500541E-2</v>
      </c>
      <c r="AK90" s="140">
        <f t="shared" si="194"/>
        <v>1.3024062274903129E-2</v>
      </c>
      <c r="AL90" s="140">
        <f t="shared" si="194"/>
        <v>1.322778272893241E-2</v>
      </c>
      <c r="AM90" s="140">
        <f t="shared" si="194"/>
        <v>1.3420353207720743E-2</v>
      </c>
      <c r="AN90" s="140">
        <f t="shared" si="194"/>
        <v>1.360198790977008E-2</v>
      </c>
      <c r="AO90" s="140">
        <f t="shared" si="194"/>
        <v>1.3772924195789012E-2</v>
      </c>
      <c r="AP90" s="140">
        <f t="shared" si="194"/>
        <v>1.3933417848266846E-2</v>
      </c>
      <c r="AQ90" s="140">
        <f t="shared" si="194"/>
        <v>1.4082931424122347E-2</v>
      </c>
      <c r="AR90" s="140">
        <f t="shared" si="194"/>
        <v>1.4223414964205592E-2</v>
      </c>
      <c r="AS90" s="140">
        <f t="shared" si="194"/>
        <v>1.4354293629922046E-2</v>
      </c>
      <c r="AT90" s="140">
        <f t="shared" si="194"/>
        <v>1.447586086934383E-2</v>
      </c>
      <c r="AU90" s="140">
        <f t="shared" si="194"/>
        <v>1.4588412863227526E-2</v>
      </c>
      <c r="AV90" s="140">
        <f t="shared" si="194"/>
        <v>1.4692246579730018E-2</v>
      </c>
      <c r="AW90" s="140">
        <f t="shared" si="194"/>
        <v>1.4787658122019102E-2</v>
      </c>
      <c r="AX90" s="140">
        <f t="shared" si="194"/>
        <v>1.4874941333141671E-2</v>
      </c>
      <c r="AY90" s="140">
        <f t="shared" si="194"/>
        <v>1.4953966387291144E-2</v>
      </c>
      <c r="AZ90" s="140">
        <f t="shared" si="194"/>
        <v>1.5025900948901806E-2</v>
      </c>
      <c r="BA90" s="140">
        <f t="shared" si="194"/>
        <v>1.5090562871029015E-2</v>
      </c>
      <c r="BB90" s="140">
        <f t="shared" si="194"/>
        <v>1.5148227149046092E-2</v>
      </c>
      <c r="BC90" s="140">
        <f t="shared" si="194"/>
        <v>1.5199162413739314E-2</v>
      </c>
      <c r="BD90" s="140">
        <f t="shared" si="194"/>
        <v>1.52436305270119E-2</v>
      </c>
      <c r="BE90" s="140">
        <f t="shared" si="194"/>
        <v>1.5281886276264598E-2</v>
      </c>
      <c r="BF90" s="140">
        <f t="shared" si="194"/>
        <v>1.5314177153977218E-2</v>
      </c>
      <c r="BG90" s="140">
        <f t="shared" si="194"/>
        <v>1.5340611004826575E-2</v>
      </c>
      <c r="BH90" s="140">
        <f t="shared" si="194"/>
        <v>1.5361714648840829E-2</v>
      </c>
      <c r="BI90" s="140">
        <f t="shared" si="194"/>
        <v>1.5377549734169209E-2</v>
      </c>
      <c r="BJ90" s="140">
        <f t="shared" si="194"/>
        <v>1.5388333727708984E-2</v>
      </c>
      <c r="BK90" s="140">
        <f t="shared" si="194"/>
        <v>1.5394276607142049E-2</v>
      </c>
      <c r="BL90" s="140">
        <f t="shared" si="194"/>
        <v>1.5395580946204419E-2</v>
      </c>
      <c r="BM90" s="140">
        <f t="shared" si="194"/>
        <v>1.5392442026698955E-2</v>
      </c>
      <c r="BN90" s="140">
        <f t="shared" si="194"/>
        <v>1.5385047972483261E-2</v>
      </c>
      <c r="BO90" s="140">
        <f t="shared" ref="BO90:CB90" si="195">IF(BO88&lt;0,0,$B$5+$B$6*((1-EXP(-BO89/$B$9))/(BO89/$B$9))+$B$7*((1-EXP(-BO89/$B$9))/(BO89/$B$9)-EXP(-BO89/$B$9))+$B$8*((1-EXP(-BO89/$B$10))/(BO89/$B$10)-EXP(-BO89/$B$10)))</f>
        <v>1.5373654543465853E-2</v>
      </c>
      <c r="BP90" s="140">
        <f t="shared" si="195"/>
        <v>1.5358307928991306E-2</v>
      </c>
      <c r="BQ90" s="140">
        <f t="shared" si="195"/>
        <v>1.533922827655664E-2</v>
      </c>
      <c r="BR90" s="140">
        <f t="shared" si="195"/>
        <v>1.5316576758583502E-2</v>
      </c>
      <c r="BS90" s="140">
        <f t="shared" si="195"/>
        <v>1.5290508260278507E-2</v>
      </c>
      <c r="BT90" s="140">
        <f t="shared" si="195"/>
        <v>1.5261171575082966E-2</v>
      </c>
      <c r="BU90" s="140">
        <f t="shared" si="195"/>
        <v>1.5228709602416325E-2</v>
      </c>
      <c r="BV90" s="140">
        <f t="shared" si="195"/>
        <v>1.5193259546245941E-2</v>
      </c>
      <c r="BW90" s="140">
        <f t="shared" si="195"/>
        <v>1.5155173582524495E-2</v>
      </c>
      <c r="BX90" s="140">
        <f t="shared" si="195"/>
        <v>1.5114152005526699E-2</v>
      </c>
      <c r="BY90" s="140">
        <f t="shared" si="195"/>
        <v>1.50705210973908E-2</v>
      </c>
      <c r="BZ90" s="140">
        <f t="shared" si="195"/>
        <v>1.5024397269685363E-2</v>
      </c>
      <c r="CA90" s="140">
        <f t="shared" si="195"/>
        <v>1.4975892205563834E-2</v>
      </c>
      <c r="CB90" s="140">
        <f t="shared" si="195"/>
        <v>1.4925113043256569E-2</v>
      </c>
      <c r="CC90" s="17"/>
      <c r="CD90" s="17"/>
      <c r="CE90" s="17"/>
    </row>
    <row r="91" spans="1:83">
      <c r="A91" s="16" t="s">
        <v>44</v>
      </c>
      <c r="B91" s="140">
        <f>EXP(-B90*B89)</f>
        <v>0.99634715287189002</v>
      </c>
      <c r="C91" s="140">
        <f t="shared" ref="C91:AR91" si="196">EXP(-C90*C89)</f>
        <v>0.99346600287846321</v>
      </c>
      <c r="D91" s="140">
        <f t="shared" si="196"/>
        <v>0.99108545817408888</v>
      </c>
      <c r="E91" s="140">
        <f t="shared" si="196"/>
        <v>0.98899063378504259</v>
      </c>
      <c r="F91" s="140">
        <f t="shared" si="196"/>
        <v>0.98699393053692197</v>
      </c>
      <c r="G91" s="140">
        <f t="shared" si="196"/>
        <v>0.98494589840739966</v>
      </c>
      <c r="H91" s="140">
        <f t="shared" si="196"/>
        <v>0.98272933498051618</v>
      </c>
      <c r="I91" s="140">
        <f t="shared" si="196"/>
        <v>0.98025434900845243</v>
      </c>
      <c r="J91" s="140">
        <f t="shared" si="196"/>
        <v>0.97745417152219749</v>
      </c>
      <c r="K91" s="140">
        <f t="shared" si="196"/>
        <v>0.97430027810641417</v>
      </c>
      <c r="L91" s="140">
        <f t="shared" si="196"/>
        <v>0.97072670435818453</v>
      </c>
      <c r="M91" s="140">
        <f t="shared" si="196"/>
        <v>0.9667328077465438</v>
      </c>
      <c r="N91" s="140">
        <f t="shared" si="196"/>
        <v>0.96231274819314938</v>
      </c>
      <c r="O91" s="140">
        <f t="shared" si="196"/>
        <v>0.95746997033553438</v>
      </c>
      <c r="P91" s="140">
        <f t="shared" si="196"/>
        <v>0.95221540026990559</v>
      </c>
      <c r="Q91" s="140">
        <f t="shared" si="196"/>
        <v>0.946565877688755</v>
      </c>
      <c r="R91" s="140">
        <f t="shared" si="196"/>
        <v>0.9405427990209978</v>
      </c>
      <c r="S91" s="140">
        <f t="shared" si="196"/>
        <v>0.93420726373097429</v>
      </c>
      <c r="T91" s="140">
        <f t="shared" si="196"/>
        <v>0.92751553171552048</v>
      </c>
      <c r="U91" s="140">
        <f t="shared" si="196"/>
        <v>0.92053077286341556</v>
      </c>
      <c r="V91" s="140">
        <f t="shared" si="196"/>
        <v>0.91328255245666201</v>
      </c>
      <c r="W91" s="140">
        <f t="shared" si="196"/>
        <v>0.90580069337877467</v>
      </c>
      <c r="X91" s="140">
        <f t="shared" si="196"/>
        <v>0.89811479631772395</v>
      </c>
      <c r="Y91" s="140">
        <f t="shared" si="196"/>
        <v>0.89025385403232216</v>
      </c>
      <c r="Z91" s="140">
        <f t="shared" si="196"/>
        <v>0.88224594756403996</v>
      </c>
      <c r="AA91" s="140">
        <f t="shared" si="196"/>
        <v>0.87416345233353454</v>
      </c>
      <c r="AB91" s="140">
        <f t="shared" si="196"/>
        <v>0.86594156599159111</v>
      </c>
      <c r="AC91" s="140">
        <f t="shared" si="196"/>
        <v>0.85764932288735718</v>
      </c>
      <c r="AD91" s="140">
        <f t="shared" si="196"/>
        <v>0.84930939845568376</v>
      </c>
      <c r="AE91" s="140">
        <f t="shared" si="196"/>
        <v>0.84094291204218108</v>
      </c>
      <c r="AF91" s="140">
        <f t="shared" si="196"/>
        <v>0.8325694150874976</v>
      </c>
      <c r="AG91" s="140">
        <f t="shared" si="196"/>
        <v>0.82420690331113322</v>
      </c>
      <c r="AH91" s="140">
        <f t="shared" si="196"/>
        <v>0.81587184798975065</v>
      </c>
      <c r="AI91" s="140">
        <f t="shared" si="196"/>
        <v>0.80762516931364303</v>
      </c>
      <c r="AJ91" s="140">
        <f t="shared" si="196"/>
        <v>0.79938823875143794</v>
      </c>
      <c r="AK91" s="140">
        <f t="shared" si="196"/>
        <v>0.7912194822586871</v>
      </c>
      <c r="AL91" s="140">
        <f t="shared" si="196"/>
        <v>0.78312983951832038</v>
      </c>
      <c r="AM91" s="140">
        <f t="shared" si="196"/>
        <v>0.77512904048738984</v>
      </c>
      <c r="AN91" s="140">
        <f t="shared" si="196"/>
        <v>0.76722568189027207</v>
      </c>
      <c r="AO91" s="140">
        <f t="shared" si="196"/>
        <v>0.75942730405566028</v>
      </c>
      <c r="AP91" s="140">
        <f t="shared" si="196"/>
        <v>0.75174046696330876</v>
      </c>
      <c r="AQ91" s="140">
        <f t="shared" si="196"/>
        <v>0.74421254523002878</v>
      </c>
      <c r="AR91" s="140">
        <f t="shared" si="196"/>
        <v>0.73676422790121876</v>
      </c>
      <c r="AS91" s="140">
        <f>EXP(-AS90*AS89)</f>
        <v>0.72944195997990846</v>
      </c>
      <c r="AT91" s="140">
        <f t="shared" ref="AT91:CA91" si="197">EXP(-AT90*AT89)</f>
        <v>0.72224910142958243</v>
      </c>
      <c r="AU91" s="140">
        <f t="shared" si="197"/>
        <v>0.71518837539181412</v>
      </c>
      <c r="AV91" s="140">
        <f t="shared" si="197"/>
        <v>0.70826192704196589</v>
      </c>
      <c r="AW91" s="140">
        <f t="shared" si="197"/>
        <v>0.70147137877786114</v>
      </c>
      <c r="AX91" s="140">
        <f t="shared" si="197"/>
        <v>0.6948178817453815</v>
      </c>
      <c r="AY91" s="140">
        <f t="shared" si="197"/>
        <v>0.68833798079157194</v>
      </c>
      <c r="AZ91" s="140">
        <f t="shared" si="197"/>
        <v>0.68195962302068591</v>
      </c>
      <c r="BA91" s="140">
        <f t="shared" si="197"/>
        <v>0.67571940492922178</v>
      </c>
      <c r="BB91" s="140">
        <f t="shared" si="197"/>
        <v>0.66961703888240776</v>
      </c>
      <c r="BC91" s="140">
        <f t="shared" si="197"/>
        <v>0.66365197157388911</v>
      </c>
      <c r="BD91" s="140">
        <f t="shared" si="197"/>
        <v>0.65782341579283188</v>
      </c>
      <c r="BE91" s="140">
        <f t="shared" si="197"/>
        <v>0.65213037944114327</v>
      </c>
      <c r="BF91" s="140">
        <f t="shared" si="197"/>
        <v>0.6465716919746386</v>
      </c>
      <c r="BG91" s="140">
        <f t="shared" si="197"/>
        <v>0.64117580617883252</v>
      </c>
      <c r="BH91" s="140">
        <f t="shared" si="197"/>
        <v>0.63588098233645574</v>
      </c>
      <c r="BI91" s="140">
        <f t="shared" si="197"/>
        <v>0.63071616343777037</v>
      </c>
      <c r="BJ91" s="140">
        <f t="shared" si="197"/>
        <v>0.62567968447485844</v>
      </c>
      <c r="BK91" s="140">
        <f t="shared" si="197"/>
        <v>0.6207698013513433</v>
      </c>
      <c r="BL91" s="140">
        <f t="shared" si="197"/>
        <v>0.61598470532226735</v>
      </c>
      <c r="BM91" s="140">
        <f t="shared" si="197"/>
        <v>0.6113225359453669</v>
      </c>
      <c r="BN91" s="140">
        <f t="shared" si="197"/>
        <v>0.60678139266969122</v>
      </c>
      <c r="BO91" s="140">
        <f t="shared" si="197"/>
        <v>0.60238358670163372</v>
      </c>
      <c r="BP91" s="140">
        <f t="shared" si="197"/>
        <v>0.59807803873436038</v>
      </c>
      <c r="BQ91" s="140">
        <f t="shared" si="197"/>
        <v>0.59388768335390996</v>
      </c>
      <c r="BR91" s="140">
        <f t="shared" si="197"/>
        <v>0.58981055217192546</v>
      </c>
      <c r="BS91" s="140">
        <f t="shared" si="197"/>
        <v>0.58584467800626017</v>
      </c>
      <c r="BT91" s="140">
        <f t="shared" si="197"/>
        <v>0.58198810049794425</v>
      </c>
      <c r="BU91" s="140">
        <f t="shared" si="197"/>
        <v>0.57823887103005001</v>
      </c>
      <c r="BV91" s="140">
        <f t="shared" si="197"/>
        <v>0.57459505701620317</v>
      </c>
      <c r="BW91" s="140">
        <f t="shared" si="197"/>
        <v>0.57107413158949283</v>
      </c>
      <c r="BX91" s="140">
        <f t="shared" si="197"/>
        <v>0.56763487359558062</v>
      </c>
      <c r="BY91" s="140">
        <f t="shared" si="197"/>
        <v>0.56429537445718403</v>
      </c>
      <c r="BZ91" s="140">
        <f t="shared" si="197"/>
        <v>0.56105379788973764</v>
      </c>
      <c r="CA91" s="140">
        <f t="shared" si="197"/>
        <v>0.55790833761029712</v>
      </c>
      <c r="CB91" s="140">
        <f>EXP(-CB90*CB89)</f>
        <v>0.55485721897561857</v>
      </c>
      <c r="CC91" s="17"/>
      <c r="CD91" s="17"/>
      <c r="CE91" s="17"/>
    </row>
    <row r="92" spans="1:83" s="6" customFormat="1">
      <c r="A92" s="130"/>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19"/>
      <c r="CD92" s="19"/>
      <c r="CE92" s="19"/>
    </row>
    <row r="93" spans="1:83">
      <c r="A93" s="16" t="s">
        <v>40</v>
      </c>
      <c r="B93" s="140">
        <f t="shared" ref="B93:AG93" si="198">DAYS360($B$3,B28)</f>
        <v>20</v>
      </c>
      <c r="C93" s="140">
        <f t="shared" si="198"/>
        <v>198</v>
      </c>
      <c r="D93" s="140">
        <f t="shared" si="198"/>
        <v>379</v>
      </c>
      <c r="E93" s="140">
        <f t="shared" si="198"/>
        <v>557</v>
      </c>
      <c r="F93" s="140">
        <f t="shared" si="198"/>
        <v>739</v>
      </c>
      <c r="G93" s="140">
        <f t="shared" si="198"/>
        <v>917</v>
      </c>
      <c r="H93" s="140">
        <f t="shared" si="198"/>
        <v>1099</v>
      </c>
      <c r="I93" s="140">
        <f t="shared" si="198"/>
        <v>1277</v>
      </c>
      <c r="J93" s="140">
        <f t="shared" si="198"/>
        <v>1459</v>
      </c>
      <c r="K93" s="140">
        <f t="shared" si="198"/>
        <v>1637</v>
      </c>
      <c r="L93" s="140">
        <f t="shared" si="198"/>
        <v>1818</v>
      </c>
      <c r="M93" s="140">
        <f t="shared" si="198"/>
        <v>1996</v>
      </c>
      <c r="N93" s="140">
        <f t="shared" si="198"/>
        <v>2178</v>
      </c>
      <c r="O93" s="140">
        <f t="shared" si="198"/>
        <v>2356</v>
      </c>
      <c r="P93" s="140">
        <f t="shared" si="198"/>
        <v>2538</v>
      </c>
      <c r="Q93" s="140">
        <f t="shared" si="198"/>
        <v>2716</v>
      </c>
      <c r="R93" s="140">
        <f t="shared" si="198"/>
        <v>2898</v>
      </c>
      <c r="S93" s="140">
        <f t="shared" si="198"/>
        <v>3076</v>
      </c>
      <c r="T93" s="140">
        <f t="shared" si="198"/>
        <v>3257</v>
      </c>
      <c r="U93" s="140">
        <f t="shared" si="198"/>
        <v>3435</v>
      </c>
      <c r="V93" s="140">
        <f t="shared" si="198"/>
        <v>3617</v>
      </c>
      <c r="W93" s="140">
        <f t="shared" si="198"/>
        <v>3795</v>
      </c>
      <c r="X93" s="140">
        <f t="shared" si="198"/>
        <v>3977</v>
      </c>
      <c r="Y93" s="140">
        <f t="shared" si="198"/>
        <v>4155</v>
      </c>
      <c r="Z93" s="140">
        <f t="shared" si="198"/>
        <v>4337</v>
      </c>
      <c r="AA93" s="140">
        <f t="shared" si="198"/>
        <v>4515</v>
      </c>
      <c r="AB93" s="140">
        <f t="shared" si="198"/>
        <v>4696</v>
      </c>
      <c r="AC93" s="140">
        <f t="shared" si="198"/>
        <v>4874</v>
      </c>
      <c r="AD93" s="140">
        <f t="shared" si="198"/>
        <v>5056</v>
      </c>
      <c r="AE93" s="140">
        <f t="shared" si="198"/>
        <v>5234</v>
      </c>
      <c r="AF93" s="140">
        <f t="shared" si="198"/>
        <v>5416</v>
      </c>
      <c r="AG93" s="140">
        <f t="shared" si="198"/>
        <v>5594</v>
      </c>
      <c r="AH93" s="140">
        <f t="shared" ref="AH93:BM93" si="199">DAYS360($B$3,AH28)</f>
        <v>5776</v>
      </c>
      <c r="AI93" s="140">
        <f t="shared" si="199"/>
        <v>5954</v>
      </c>
      <c r="AJ93" s="140">
        <f t="shared" si="199"/>
        <v>6135</v>
      </c>
      <c r="AK93" s="140">
        <f t="shared" si="199"/>
        <v>6313</v>
      </c>
      <c r="AL93" s="140">
        <f t="shared" si="199"/>
        <v>6495</v>
      </c>
      <c r="AM93" s="140">
        <f t="shared" si="199"/>
        <v>6673</v>
      </c>
      <c r="AN93" s="140">
        <f t="shared" si="199"/>
        <v>6855</v>
      </c>
      <c r="AO93" s="140">
        <f t="shared" si="199"/>
        <v>7033</v>
      </c>
      <c r="AP93" s="140">
        <f t="shared" si="199"/>
        <v>7215</v>
      </c>
      <c r="AQ93" s="140">
        <f t="shared" si="199"/>
        <v>7393</v>
      </c>
      <c r="AR93" s="140">
        <f t="shared" si="199"/>
        <v>7574</v>
      </c>
      <c r="AS93" s="140">
        <f t="shared" si="199"/>
        <v>7752</v>
      </c>
      <c r="AT93" s="140">
        <f t="shared" si="199"/>
        <v>7934</v>
      </c>
      <c r="AU93" s="140">
        <f t="shared" si="199"/>
        <v>8112</v>
      </c>
      <c r="AV93" s="140">
        <f t="shared" si="199"/>
        <v>8294</v>
      </c>
      <c r="AW93" s="140">
        <f t="shared" si="199"/>
        <v>8472</v>
      </c>
      <c r="AX93" s="140">
        <f t="shared" si="199"/>
        <v>8654</v>
      </c>
      <c r="AY93" s="140">
        <f t="shared" si="199"/>
        <v>8832</v>
      </c>
      <c r="AZ93" s="140">
        <f t="shared" si="199"/>
        <v>9013</v>
      </c>
      <c r="BA93" s="140">
        <f t="shared" si="199"/>
        <v>9191</v>
      </c>
      <c r="BB93" s="140">
        <f t="shared" si="199"/>
        <v>9373</v>
      </c>
      <c r="BC93" s="140">
        <f t="shared" si="199"/>
        <v>9551</v>
      </c>
      <c r="BD93" s="140">
        <f t="shared" si="199"/>
        <v>9733</v>
      </c>
      <c r="BE93" s="140">
        <f t="shared" si="199"/>
        <v>9911</v>
      </c>
      <c r="BF93" s="140">
        <f t="shared" si="199"/>
        <v>10093</v>
      </c>
      <c r="BG93" s="140">
        <f t="shared" si="199"/>
        <v>10271</v>
      </c>
      <c r="BH93" s="140">
        <f t="shared" si="199"/>
        <v>10452</v>
      </c>
      <c r="BI93" s="140">
        <f t="shared" si="199"/>
        <v>10630</v>
      </c>
      <c r="BJ93" s="140">
        <f t="shared" si="199"/>
        <v>10812</v>
      </c>
      <c r="BK93" s="140">
        <f t="shared" si="199"/>
        <v>10990</v>
      </c>
      <c r="BL93" s="140">
        <f t="shared" si="199"/>
        <v>11172</v>
      </c>
      <c r="BM93" s="140">
        <f t="shared" si="199"/>
        <v>11350</v>
      </c>
      <c r="BN93" s="140">
        <f t="shared" ref="BN93:CB93" si="200">DAYS360($B$3,BN28)</f>
        <v>11532</v>
      </c>
      <c r="BO93" s="140">
        <f t="shared" si="200"/>
        <v>11710</v>
      </c>
      <c r="BP93" s="140">
        <f t="shared" si="200"/>
        <v>11891</v>
      </c>
      <c r="BQ93" s="140">
        <f t="shared" si="200"/>
        <v>12069</v>
      </c>
      <c r="BR93" s="140">
        <f t="shared" si="200"/>
        <v>12251</v>
      </c>
      <c r="BS93" s="140">
        <f t="shared" si="200"/>
        <v>12429</v>
      </c>
      <c r="BT93" s="140">
        <f t="shared" si="200"/>
        <v>12611</v>
      </c>
      <c r="BU93" s="140">
        <f t="shared" si="200"/>
        <v>12789</v>
      </c>
      <c r="BV93" s="140">
        <f t="shared" si="200"/>
        <v>12971</v>
      </c>
      <c r="BW93" s="140">
        <f t="shared" si="200"/>
        <v>13149</v>
      </c>
      <c r="BX93" s="140">
        <f t="shared" si="200"/>
        <v>13330</v>
      </c>
      <c r="BY93" s="140">
        <f t="shared" si="200"/>
        <v>13508</v>
      </c>
      <c r="BZ93" s="140">
        <f t="shared" si="200"/>
        <v>13690</v>
      </c>
      <c r="CA93" s="140">
        <f t="shared" si="200"/>
        <v>13868</v>
      </c>
      <c r="CB93" s="140">
        <f t="shared" si="200"/>
        <v>14050</v>
      </c>
      <c r="CC93" s="17"/>
      <c r="CD93" s="17"/>
      <c r="CE93" s="17"/>
    </row>
    <row r="94" spans="1:83">
      <c r="A94" s="16" t="s">
        <v>41</v>
      </c>
      <c r="B94" s="140">
        <f>B93/360</f>
        <v>5.5555555555555552E-2</v>
      </c>
      <c r="C94" s="140">
        <f t="shared" ref="C94:BN94" si="201">C93/360</f>
        <v>0.55000000000000004</v>
      </c>
      <c r="D94" s="140">
        <f t="shared" si="201"/>
        <v>1.0527777777777778</v>
      </c>
      <c r="E94" s="140">
        <f t="shared" si="201"/>
        <v>1.5472222222222223</v>
      </c>
      <c r="F94" s="140">
        <f t="shared" si="201"/>
        <v>2.0527777777777776</v>
      </c>
      <c r="G94" s="140">
        <f t="shared" si="201"/>
        <v>2.5472222222222221</v>
      </c>
      <c r="H94" s="140">
        <f t="shared" si="201"/>
        <v>3.0527777777777776</v>
      </c>
      <c r="I94" s="140">
        <f t="shared" si="201"/>
        <v>3.5472222222222221</v>
      </c>
      <c r="J94" s="140">
        <f t="shared" si="201"/>
        <v>4.052777777777778</v>
      </c>
      <c r="K94" s="140">
        <f t="shared" si="201"/>
        <v>4.5472222222222225</v>
      </c>
      <c r="L94" s="140">
        <f t="shared" si="201"/>
        <v>5.05</v>
      </c>
      <c r="M94" s="140">
        <f t="shared" si="201"/>
        <v>5.5444444444444443</v>
      </c>
      <c r="N94" s="140">
        <f t="shared" si="201"/>
        <v>6.05</v>
      </c>
      <c r="O94" s="140">
        <f t="shared" si="201"/>
        <v>6.5444444444444443</v>
      </c>
      <c r="P94" s="140">
        <f t="shared" si="201"/>
        <v>7.05</v>
      </c>
      <c r="Q94" s="140">
        <f t="shared" si="201"/>
        <v>7.5444444444444443</v>
      </c>
      <c r="R94" s="140">
        <f t="shared" si="201"/>
        <v>8.0500000000000007</v>
      </c>
      <c r="S94" s="140">
        <f t="shared" si="201"/>
        <v>8.5444444444444443</v>
      </c>
      <c r="T94" s="140">
        <f t="shared" si="201"/>
        <v>9.0472222222222225</v>
      </c>
      <c r="U94" s="140">
        <f t="shared" si="201"/>
        <v>9.5416666666666661</v>
      </c>
      <c r="V94" s="140">
        <f t="shared" si="201"/>
        <v>10.047222222222222</v>
      </c>
      <c r="W94" s="140">
        <f t="shared" si="201"/>
        <v>10.541666666666666</v>
      </c>
      <c r="X94" s="140">
        <f t="shared" si="201"/>
        <v>11.047222222222222</v>
      </c>
      <c r="Y94" s="140">
        <f t="shared" si="201"/>
        <v>11.541666666666666</v>
      </c>
      <c r="Z94" s="140">
        <f t="shared" si="201"/>
        <v>12.047222222222222</v>
      </c>
      <c r="AA94" s="140">
        <f t="shared" si="201"/>
        <v>12.541666666666666</v>
      </c>
      <c r="AB94" s="140">
        <f t="shared" si="201"/>
        <v>13.044444444444444</v>
      </c>
      <c r="AC94" s="140">
        <f t="shared" si="201"/>
        <v>13.53888888888889</v>
      </c>
      <c r="AD94" s="140">
        <f t="shared" si="201"/>
        <v>14.044444444444444</v>
      </c>
      <c r="AE94" s="140">
        <f t="shared" si="201"/>
        <v>14.53888888888889</v>
      </c>
      <c r="AF94" s="140">
        <f t="shared" si="201"/>
        <v>15.044444444444444</v>
      </c>
      <c r="AG94" s="140">
        <f t="shared" si="201"/>
        <v>15.53888888888889</v>
      </c>
      <c r="AH94" s="140">
        <f t="shared" si="201"/>
        <v>16.044444444444444</v>
      </c>
      <c r="AI94" s="140">
        <f t="shared" si="201"/>
        <v>16.538888888888888</v>
      </c>
      <c r="AJ94" s="140">
        <f t="shared" si="201"/>
        <v>17.041666666666668</v>
      </c>
      <c r="AK94" s="140">
        <f t="shared" si="201"/>
        <v>17.536111111111111</v>
      </c>
      <c r="AL94" s="140">
        <f t="shared" si="201"/>
        <v>18.041666666666668</v>
      </c>
      <c r="AM94" s="140">
        <f t="shared" si="201"/>
        <v>18.536111111111111</v>
      </c>
      <c r="AN94" s="140">
        <f t="shared" si="201"/>
        <v>19.041666666666668</v>
      </c>
      <c r="AO94" s="140">
        <f t="shared" si="201"/>
        <v>19.536111111111111</v>
      </c>
      <c r="AP94" s="140">
        <f t="shared" si="201"/>
        <v>20.041666666666668</v>
      </c>
      <c r="AQ94" s="140">
        <f t="shared" si="201"/>
        <v>20.536111111111111</v>
      </c>
      <c r="AR94" s="140">
        <f t="shared" si="201"/>
        <v>21.038888888888888</v>
      </c>
      <c r="AS94" s="140">
        <f t="shared" si="201"/>
        <v>21.533333333333335</v>
      </c>
      <c r="AT94" s="140">
        <f t="shared" si="201"/>
        <v>22.038888888888888</v>
      </c>
      <c r="AU94" s="140">
        <f t="shared" si="201"/>
        <v>22.533333333333335</v>
      </c>
      <c r="AV94" s="140">
        <f t="shared" si="201"/>
        <v>23.038888888888888</v>
      </c>
      <c r="AW94" s="140">
        <f t="shared" si="201"/>
        <v>23.533333333333335</v>
      </c>
      <c r="AX94" s="140">
        <f t="shared" si="201"/>
        <v>24.038888888888888</v>
      </c>
      <c r="AY94" s="140">
        <f t="shared" si="201"/>
        <v>24.533333333333335</v>
      </c>
      <c r="AZ94" s="140">
        <f t="shared" si="201"/>
        <v>25.036111111111111</v>
      </c>
      <c r="BA94" s="140">
        <f t="shared" si="201"/>
        <v>25.530555555555555</v>
      </c>
      <c r="BB94" s="140">
        <f t="shared" si="201"/>
        <v>26.036111111111111</v>
      </c>
      <c r="BC94" s="140">
        <f t="shared" si="201"/>
        <v>26.530555555555555</v>
      </c>
      <c r="BD94" s="140">
        <f t="shared" si="201"/>
        <v>27.036111111111111</v>
      </c>
      <c r="BE94" s="140">
        <f t="shared" si="201"/>
        <v>27.530555555555555</v>
      </c>
      <c r="BF94" s="140">
        <f t="shared" si="201"/>
        <v>28.036111111111111</v>
      </c>
      <c r="BG94" s="140">
        <f t="shared" si="201"/>
        <v>28.530555555555555</v>
      </c>
      <c r="BH94" s="140">
        <f t="shared" si="201"/>
        <v>29.033333333333335</v>
      </c>
      <c r="BI94" s="140">
        <f t="shared" si="201"/>
        <v>29.527777777777779</v>
      </c>
      <c r="BJ94" s="140">
        <f t="shared" si="201"/>
        <v>30.033333333333335</v>
      </c>
      <c r="BK94" s="140">
        <f t="shared" si="201"/>
        <v>30.527777777777779</v>
      </c>
      <c r="BL94" s="140">
        <f t="shared" si="201"/>
        <v>31.033333333333335</v>
      </c>
      <c r="BM94" s="140">
        <f t="shared" si="201"/>
        <v>31.527777777777779</v>
      </c>
      <c r="BN94" s="140">
        <f t="shared" si="201"/>
        <v>32.033333333333331</v>
      </c>
      <c r="BO94" s="140">
        <f t="shared" ref="BO94:CB94" si="202">BO93/360</f>
        <v>32.527777777777779</v>
      </c>
      <c r="BP94" s="140">
        <f t="shared" si="202"/>
        <v>33.030555555555559</v>
      </c>
      <c r="BQ94" s="140">
        <f t="shared" si="202"/>
        <v>33.524999999999999</v>
      </c>
      <c r="BR94" s="140">
        <f t="shared" si="202"/>
        <v>34.030555555555559</v>
      </c>
      <c r="BS94" s="140">
        <f t="shared" si="202"/>
        <v>34.524999999999999</v>
      </c>
      <c r="BT94" s="140">
        <f t="shared" si="202"/>
        <v>35.030555555555559</v>
      </c>
      <c r="BU94" s="140">
        <f t="shared" si="202"/>
        <v>35.524999999999999</v>
      </c>
      <c r="BV94" s="140">
        <f t="shared" si="202"/>
        <v>36.030555555555559</v>
      </c>
      <c r="BW94" s="140">
        <f t="shared" si="202"/>
        <v>36.524999999999999</v>
      </c>
      <c r="BX94" s="140">
        <f t="shared" si="202"/>
        <v>37.027777777777779</v>
      </c>
      <c r="BY94" s="140">
        <f t="shared" si="202"/>
        <v>37.522222222222226</v>
      </c>
      <c r="BZ94" s="140">
        <f t="shared" si="202"/>
        <v>38.027777777777779</v>
      </c>
      <c r="CA94" s="140">
        <f t="shared" si="202"/>
        <v>38.522222222222226</v>
      </c>
      <c r="CB94" s="140">
        <f t="shared" si="202"/>
        <v>39.027777777777779</v>
      </c>
      <c r="CC94" s="17"/>
      <c r="CD94" s="17"/>
      <c r="CE94" s="17"/>
    </row>
    <row r="95" spans="1:83">
      <c r="A95" s="16" t="s">
        <v>43</v>
      </c>
      <c r="B95" s="140">
        <f>IF(B93&lt;0,0,$B$5+$B$6*((1-EXP(-B94/$B$9))/(B94/$B$9))+$B$7*((1-EXP(-B94/$B$9))/(B94/$B$9)-EXP(-B94/$B$9))+$B$8*((1-EXP(-B94/$B$10))/(B94/$B$10)-EXP(-B94/$B$10)))</f>
        <v>8.2764988792857052E-3</v>
      </c>
      <c r="C95" s="140">
        <f t="shared" ref="C95:BN95" si="203">IF(C93&lt;0,0,$B$5+$B$6*((1-EXP(-C94/$B$9))/(C94/$B$9))+$B$7*((1-EXP(-C94/$B$9))/(C94/$B$9)-EXP(-C94/$B$9))+$B$8*((1-EXP(-C94/$B$10))/(C94/$B$10)-EXP(-C94/$B$10)))</f>
        <v>7.3028593642107077E-3</v>
      </c>
      <c r="D95" s="140">
        <f t="shared" si="203"/>
        <v>6.5267155698988354E-3</v>
      </c>
      <c r="E95" s="140">
        <f t="shared" si="203"/>
        <v>5.9460137474415357E-3</v>
      </c>
      <c r="F95" s="140">
        <f t="shared" si="203"/>
        <v>5.5140694759139696E-3</v>
      </c>
      <c r="G95" s="140">
        <f t="shared" si="203"/>
        <v>5.2280360977632967E-3</v>
      </c>
      <c r="H95" s="140">
        <f t="shared" si="203"/>
        <v>5.0551995460983599E-3</v>
      </c>
      <c r="I95" s="140">
        <f t="shared" si="203"/>
        <v>4.9861527216115116E-3</v>
      </c>
      <c r="J95" s="140">
        <f t="shared" si="203"/>
        <v>5.0023609128132755E-3</v>
      </c>
      <c r="K95" s="140">
        <f t="shared" si="203"/>
        <v>5.0899307052893073E-3</v>
      </c>
      <c r="L95" s="140">
        <f t="shared" si="203"/>
        <v>5.2398889671694121E-3</v>
      </c>
      <c r="M95" s="140">
        <f t="shared" si="203"/>
        <v>5.4371482234945511E-3</v>
      </c>
      <c r="N95" s="140">
        <f t="shared" si="203"/>
        <v>5.6807334584393285E-3</v>
      </c>
      <c r="O95" s="140">
        <f t="shared" si="203"/>
        <v>5.95215345634411E-3</v>
      </c>
      <c r="P95" s="140">
        <f t="shared" si="203"/>
        <v>6.2566118635969687E-3</v>
      </c>
      <c r="Q95" s="140">
        <f t="shared" si="203"/>
        <v>6.5748155631721265E-3</v>
      </c>
      <c r="R95" s="140">
        <f t="shared" si="203"/>
        <v>6.9157805219007508E-3</v>
      </c>
      <c r="S95" s="140">
        <f t="shared" si="203"/>
        <v>7.260077850214171E-3</v>
      </c>
      <c r="T95" s="140">
        <f t="shared" si="203"/>
        <v>7.6172476155674544E-3</v>
      </c>
      <c r="U95" s="140">
        <f t="shared" si="203"/>
        <v>7.9721698767895692E-3</v>
      </c>
      <c r="V95" s="140">
        <f t="shared" si="203"/>
        <v>8.3359326032474354E-3</v>
      </c>
      <c r="W95" s="140">
        <f t="shared" si="203"/>
        <v>8.6901428084512136E-3</v>
      </c>
      <c r="X95" s="140">
        <f t="shared" si="203"/>
        <v>9.0486235507974896E-3</v>
      </c>
      <c r="Y95" s="140">
        <f t="shared" si="203"/>
        <v>9.3939057133490562E-3</v>
      </c>
      <c r="Z95" s="140">
        <f t="shared" si="203"/>
        <v>9.7400367525031662E-3</v>
      </c>
      <c r="AA95" s="140">
        <f t="shared" si="203"/>
        <v>1.0070622910259175E-2</v>
      </c>
      <c r="AB95" s="140">
        <f t="shared" si="203"/>
        <v>1.0397750757242721E-2</v>
      </c>
      <c r="AC95" s="140">
        <f t="shared" si="203"/>
        <v>1.0709807329030634E-2</v>
      </c>
      <c r="AD95" s="140">
        <f t="shared" si="203"/>
        <v>1.1018358212941337E-2</v>
      </c>
      <c r="AE95" s="140">
        <f t="shared" si="203"/>
        <v>1.130937665343161E-2</v>
      </c>
      <c r="AF95" s="140">
        <f t="shared" si="203"/>
        <v>1.1595592215962999E-2</v>
      </c>
      <c r="AG95" s="140">
        <f t="shared" si="203"/>
        <v>1.1864191737822716E-2</v>
      </c>
      <c r="AH95" s="140">
        <f t="shared" si="203"/>
        <v>1.2127103062173969E-2</v>
      </c>
      <c r="AI95" s="140">
        <f t="shared" si="203"/>
        <v>1.2372709039067236E-2</v>
      </c>
      <c r="AJ95" s="140">
        <f t="shared" si="203"/>
        <v>1.2610772657688596E-2</v>
      </c>
      <c r="AK95" s="140">
        <f t="shared" si="203"/>
        <v>1.2833466169370927E-2</v>
      </c>
      <c r="AL95" s="140">
        <f t="shared" si="203"/>
        <v>1.3049566081308386E-2</v>
      </c>
      <c r="AM95" s="140">
        <f t="shared" si="203"/>
        <v>1.3249726373084639E-2</v>
      </c>
      <c r="AN95" s="140">
        <f t="shared" si="203"/>
        <v>1.3443135056364425E-2</v>
      </c>
      <c r="AO95" s="140">
        <f t="shared" si="203"/>
        <v>1.3621504612100384E-2</v>
      </c>
      <c r="AP95" s="140">
        <f t="shared" si="203"/>
        <v>1.3793094950048511E-2</v>
      </c>
      <c r="AQ95" s="140">
        <f t="shared" si="203"/>
        <v>1.3950617485761027E-2</v>
      </c>
      <c r="AR95" s="140">
        <f t="shared" si="203"/>
        <v>1.4100626604374807E-2</v>
      </c>
      <c r="AS95" s="140">
        <f t="shared" si="203"/>
        <v>1.4238426020167743E-2</v>
      </c>
      <c r="AT95" s="140">
        <f t="shared" si="203"/>
        <v>1.4369645405550177E-2</v>
      </c>
      <c r="AU95" s="140">
        <f t="shared" si="203"/>
        <v>1.448880641252626E-2</v>
      </c>
      <c r="AV95" s="140">
        <f t="shared" si="203"/>
        <v>1.4601565360601755E-2</v>
      </c>
      <c r="AW95" s="140">
        <f t="shared" si="203"/>
        <v>1.470325837352756E-2</v>
      </c>
      <c r="AX95" s="140">
        <f t="shared" si="203"/>
        <v>1.4798756225779149E-2</v>
      </c>
      <c r="AY95" s="140">
        <f t="shared" si="203"/>
        <v>1.4884150373285318E-2</v>
      </c>
      <c r="AZ95" s="140">
        <f t="shared" si="203"/>
        <v>1.4963157885705559E-2</v>
      </c>
      <c r="BA95" s="140">
        <f t="shared" si="203"/>
        <v>1.5033439667369799E-2</v>
      </c>
      <c r="BB95" s="140">
        <f t="shared" si="203"/>
        <v>1.5097980642543961E-2</v>
      </c>
      <c r="BC95" s="140">
        <f t="shared" si="203"/>
        <v>1.5154214070689797E-2</v>
      </c>
      <c r="BD95" s="140">
        <f t="shared" si="203"/>
        <v>1.5204939135880982E-2</v>
      </c>
      <c r="BE95" s="140">
        <f t="shared" si="203"/>
        <v>1.5248183358952731E-2</v>
      </c>
      <c r="BF95" s="140">
        <f t="shared" si="203"/>
        <v>1.5286148019166047E-2</v>
      </c>
      <c r="BG95" s="140">
        <f t="shared" si="203"/>
        <v>1.531740732721551E-2</v>
      </c>
      <c r="BH95" s="140">
        <f t="shared" si="203"/>
        <v>1.5343480438668613E-2</v>
      </c>
      <c r="BI95" s="140">
        <f t="shared" si="203"/>
        <v>1.5363730236046409E-2</v>
      </c>
      <c r="BJ95" s="140">
        <f t="shared" si="203"/>
        <v>1.5379134444674199E-2</v>
      </c>
      <c r="BK95" s="140">
        <f t="shared" si="203"/>
        <v>1.5389229346375407E-2</v>
      </c>
      <c r="BL95" s="140">
        <f t="shared" si="203"/>
        <v>1.5394680860098169E-2</v>
      </c>
      <c r="BM95" s="140">
        <f t="shared" si="203"/>
        <v>1.5395448095484043E-2</v>
      </c>
      <c r="BN95" s="140">
        <f t="shared" si="203"/>
        <v>1.5391762863113476E-2</v>
      </c>
      <c r="BO95" s="140">
        <f t="shared" ref="BO95:CB95" si="204">IF(BO93&lt;0,0,$B$5+$B$6*((1-EXP(-BO94/$B$9))/(BO94/$B$9))+$B$7*((1-EXP(-BO94/$B$9))/(BO94/$B$9)-EXP(-BO94/$B$9))+$B$8*((1-EXP(-BO94/$B$10))/(BO94/$B$10)-EXP(-BO94/$B$10)))</f>
        <v>1.538397168240571E-2</v>
      </c>
      <c r="BP95" s="140">
        <f t="shared" si="204"/>
        <v>1.5371984660659961E-2</v>
      </c>
      <c r="BQ95" s="140">
        <f t="shared" si="204"/>
        <v>1.5356369312070416E-2</v>
      </c>
      <c r="BR95" s="140">
        <f t="shared" si="204"/>
        <v>1.5336648193228927E-2</v>
      </c>
      <c r="BS95" s="140">
        <f t="shared" si="204"/>
        <v>1.5313846225229246E-2</v>
      </c>
      <c r="BT95" s="140">
        <f t="shared" si="204"/>
        <v>1.5287095055264001E-2</v>
      </c>
      <c r="BU95" s="140">
        <f t="shared" si="204"/>
        <v>1.5257716466501932E-2</v>
      </c>
      <c r="BV95" s="140">
        <f t="shared" si="204"/>
        <v>1.5224534410645293E-2</v>
      </c>
      <c r="BW95" s="140">
        <f t="shared" si="204"/>
        <v>1.518914197453728E-2</v>
      </c>
      <c r="BX95" s="140">
        <f t="shared" si="204"/>
        <v>1.5150303830246129E-2</v>
      </c>
      <c r="BY95" s="140">
        <f t="shared" si="204"/>
        <v>1.5109430811779897E-2</v>
      </c>
      <c r="BZ95" s="140">
        <f t="shared" si="204"/>
        <v>1.5065015180959696E-2</v>
      </c>
      <c r="CA95" s="140">
        <f t="shared" si="204"/>
        <v>1.5019123411897956E-2</v>
      </c>
      <c r="CB95" s="140">
        <f t="shared" si="204"/>
        <v>1.4969805747965741E-2</v>
      </c>
      <c r="CC95" s="17"/>
      <c r="CD95" s="17"/>
      <c r="CE95" s="17"/>
    </row>
    <row r="96" spans="1:83">
      <c r="A96" s="16" t="s">
        <v>44</v>
      </c>
      <c r="B96" s="140">
        <f>EXP(-B95*B94)</f>
        <v>0.999540300201052</v>
      </c>
      <c r="C96" s="140">
        <f t="shared" ref="C96:AR96" si="205">EXP(-C95*C94)</f>
        <v>0.9959914829886497</v>
      </c>
      <c r="D96" s="140">
        <f t="shared" si="205"/>
        <v>0.99315237147550717</v>
      </c>
      <c r="E96" s="140">
        <f t="shared" si="205"/>
        <v>0.99084238412355163</v>
      </c>
      <c r="F96" s="140">
        <f t="shared" si="205"/>
        <v>0.9887446613724884</v>
      </c>
      <c r="G96" s="140">
        <f t="shared" si="205"/>
        <v>0.98677130881251696</v>
      </c>
      <c r="H96" s="140">
        <f t="shared" si="205"/>
        <v>0.98468606845642714</v>
      </c>
      <c r="I96" s="140">
        <f t="shared" si="205"/>
        <v>0.98246850499476757</v>
      </c>
      <c r="J96" s="140">
        <f t="shared" si="205"/>
        <v>0.97993066762282843</v>
      </c>
      <c r="K96" s="140">
        <f t="shared" si="205"/>
        <v>0.97712074602617682</v>
      </c>
      <c r="L96" s="140">
        <f t="shared" si="205"/>
        <v>0.9738855968372111</v>
      </c>
      <c r="M96" s="140">
        <f t="shared" si="205"/>
        <v>0.97030389157983354</v>
      </c>
      <c r="N96" s="140">
        <f t="shared" si="205"/>
        <v>0.96621544911877022</v>
      </c>
      <c r="O96" s="140">
        <f t="shared" si="205"/>
        <v>0.96179539541152981</v>
      </c>
      <c r="P96" s="140">
        <f t="shared" si="205"/>
        <v>0.95684954644144249</v>
      </c>
      <c r="Q96" s="140">
        <f t="shared" si="205"/>
        <v>0.95160682281043429</v>
      </c>
      <c r="R96" s="140">
        <f t="shared" si="205"/>
        <v>0.94584929219154334</v>
      </c>
      <c r="S96" s="140">
        <f t="shared" si="205"/>
        <v>0.93985155927450736</v>
      </c>
      <c r="T96" s="140">
        <f t="shared" si="205"/>
        <v>0.93340607978294965</v>
      </c>
      <c r="U96" s="140">
        <f t="shared" si="205"/>
        <v>0.92675338206623947</v>
      </c>
      <c r="V96" s="140">
        <f t="shared" si="205"/>
        <v>0.91965841374255708</v>
      </c>
      <c r="W96" s="140">
        <f t="shared" si="205"/>
        <v>0.91246222761897777</v>
      </c>
      <c r="X96" s="140">
        <f t="shared" si="205"/>
        <v>0.90487166210139069</v>
      </c>
      <c r="Y96" s="140">
        <f t="shared" si="205"/>
        <v>0.89724948005530536</v>
      </c>
      <c r="Z96" s="140">
        <f t="shared" si="205"/>
        <v>0.88928244127079692</v>
      </c>
      <c r="AA96" s="140">
        <f t="shared" si="205"/>
        <v>0.88134829057927178</v>
      </c>
      <c r="AB96" s="140">
        <f t="shared" si="205"/>
        <v>0.87316312746908287</v>
      </c>
      <c r="AC96" s="140">
        <f t="shared" si="205"/>
        <v>0.86502325203246788</v>
      </c>
      <c r="AD96" s="140">
        <f t="shared" si="205"/>
        <v>0.85663211797126959</v>
      </c>
      <c r="AE96" s="140">
        <f t="shared" si="205"/>
        <v>0.84838072942775711</v>
      </c>
      <c r="AF96" s="140">
        <f t="shared" si="205"/>
        <v>0.83991948503005653</v>
      </c>
      <c r="AG96" s="140">
        <f t="shared" si="205"/>
        <v>0.83163939035525158</v>
      </c>
      <c r="AH96" s="140">
        <f t="shared" si="205"/>
        <v>0.82318638694404833</v>
      </c>
      <c r="AI96" s="140">
        <f t="shared" si="205"/>
        <v>0.81494809079019415</v>
      </c>
      <c r="AJ96" s="140">
        <f t="shared" si="205"/>
        <v>0.80661517430638319</v>
      </c>
      <c r="AK96" s="140">
        <f t="shared" si="205"/>
        <v>0.79847702160890655</v>
      </c>
      <c r="AL96" s="140">
        <f t="shared" si="205"/>
        <v>0.790226297994296</v>
      </c>
      <c r="AM96" s="140">
        <f t="shared" si="205"/>
        <v>0.78223630776432751</v>
      </c>
      <c r="AN96" s="140">
        <f t="shared" si="205"/>
        <v>0.77415768658978157</v>
      </c>
      <c r="AO96" s="140">
        <f t="shared" si="205"/>
        <v>0.76635388305525631</v>
      </c>
      <c r="AP96" s="140">
        <f t="shared" si="205"/>
        <v>0.75848169678376054</v>
      </c>
      <c r="AQ96" s="140">
        <f t="shared" si="205"/>
        <v>0.75089351309310359</v>
      </c>
      <c r="AR96" s="140">
        <f t="shared" si="205"/>
        <v>0.74329556314979806</v>
      </c>
      <c r="AS96" s="140">
        <f>EXP(-AS95*AS94)</f>
        <v>0.73594435065551489</v>
      </c>
      <c r="AT96" s="140">
        <f t="shared" ref="AT96:CA96" si="206">EXP(-AT95*AT94)</f>
        <v>0.72855583065023233</v>
      </c>
      <c r="AU96" s="140">
        <f t="shared" si="206"/>
        <v>0.72145800723277476</v>
      </c>
      <c r="AV96" s="140">
        <f t="shared" si="206"/>
        <v>0.7143345692953067</v>
      </c>
      <c r="AW96" s="140">
        <f t="shared" si="206"/>
        <v>0.7075006856204672</v>
      </c>
      <c r="AX96" s="140">
        <f t="shared" si="206"/>
        <v>0.70065080347831199</v>
      </c>
      <c r="AY96" s="140">
        <f t="shared" si="206"/>
        <v>0.6940870996781574</v>
      </c>
      <c r="AZ96" s="140">
        <f t="shared" si="206"/>
        <v>0.68755099104460782</v>
      </c>
      <c r="BA96" s="140">
        <f t="shared" si="206"/>
        <v>0.68125944654082482</v>
      </c>
      <c r="BB96" s="140">
        <f t="shared" si="206"/>
        <v>0.67496617426674554</v>
      </c>
      <c r="BC96" s="140">
        <f t="shared" si="206"/>
        <v>0.66894748592960218</v>
      </c>
      <c r="BD96" s="140">
        <f t="shared" si="206"/>
        <v>0.66293228787399827</v>
      </c>
      <c r="BE96" s="140">
        <f t="shared" si="206"/>
        <v>0.65718418384035493</v>
      </c>
      <c r="BF96" s="140">
        <f t="shared" si="206"/>
        <v>0.65144380279016512</v>
      </c>
      <c r="BG96" s="140">
        <f t="shared" si="206"/>
        <v>0.64596229697652618</v>
      </c>
      <c r="BH96" s="140">
        <f t="shared" si="206"/>
        <v>0.64052163362177172</v>
      </c>
      <c r="BI96" s="140">
        <f t="shared" si="206"/>
        <v>0.63530072326528586</v>
      </c>
      <c r="BJ96" s="140">
        <f t="shared" si="206"/>
        <v>0.63009374369196736</v>
      </c>
      <c r="BK96" s="140">
        <f t="shared" si="206"/>
        <v>0.62512792283232144</v>
      </c>
      <c r="BL96" s="140">
        <f t="shared" si="206"/>
        <v>0.62017829934851065</v>
      </c>
      <c r="BM96" s="140">
        <f t="shared" si="206"/>
        <v>0.61546065050493159</v>
      </c>
      <c r="BN96" s="140">
        <f t="shared" si="206"/>
        <v>0.61076105373603129</v>
      </c>
      <c r="BO96" s="140">
        <f t="shared" si="206"/>
        <v>0.60628420832155927</v>
      </c>
      <c r="BP96" s="140">
        <f t="shared" si="206"/>
        <v>0.60185110790053276</v>
      </c>
      <c r="BQ96" s="140">
        <f t="shared" si="206"/>
        <v>0.59760679115086524</v>
      </c>
      <c r="BR96" s="140">
        <f t="shared" si="206"/>
        <v>0.59338333325975112</v>
      </c>
      <c r="BS96" s="140">
        <f t="shared" si="206"/>
        <v>0.58936444124600584</v>
      </c>
      <c r="BT96" s="140">
        <f t="shared" si="206"/>
        <v>0.58536749487442441</v>
      </c>
      <c r="BU96" s="140">
        <f t="shared" si="206"/>
        <v>0.58156625380793137</v>
      </c>
      <c r="BV96" s="140">
        <f t="shared" si="206"/>
        <v>0.5777878998736411</v>
      </c>
      <c r="BW96" s="140">
        <f t="shared" si="206"/>
        <v>0.57419661261769106</v>
      </c>
      <c r="BX96" s="140">
        <f t="shared" si="206"/>
        <v>0.57064836422861775</v>
      </c>
      <c r="BY96" s="140">
        <f t="shared" si="206"/>
        <v>0.56725892560788971</v>
      </c>
      <c r="BZ96" s="140">
        <f t="shared" si="206"/>
        <v>0.5638939655402434</v>
      </c>
      <c r="CA96" s="140">
        <f t="shared" si="206"/>
        <v>0.56069958855647062</v>
      </c>
      <c r="CB96" s="140">
        <f>EXP(-CB95*CB94)</f>
        <v>0.55753039770210144</v>
      </c>
      <c r="CC96" s="17"/>
      <c r="CD96" s="17"/>
      <c r="CE96" s="17"/>
    </row>
    <row r="97" spans="1:83">
      <c r="A97" s="17"/>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5"/>
      <c r="AF97" s="5"/>
      <c r="AG97" s="5"/>
      <c r="AH97" s="5"/>
      <c r="AI97" s="5"/>
      <c r="AJ97" s="5"/>
      <c r="AK97" s="5"/>
      <c r="AL97" s="5"/>
      <c r="AM97" s="5"/>
      <c r="AN97" s="5"/>
      <c r="AO97" s="5"/>
      <c r="AP97" s="5"/>
      <c r="AQ97" s="5"/>
      <c r="AR97" s="5"/>
      <c r="AS97" s="5"/>
      <c r="AT97" s="5"/>
      <c r="AU97" s="5"/>
      <c r="AV97" s="5"/>
      <c r="AW97" s="5"/>
      <c r="AX97" s="5"/>
      <c r="AY97" s="5"/>
      <c r="AZ97" s="5"/>
      <c r="BA97" s="5"/>
      <c r="BB97" s="5"/>
      <c r="BC97" s="5"/>
      <c r="BD97" s="5"/>
      <c r="BE97" s="5"/>
      <c r="BF97" s="5"/>
      <c r="BG97" s="5"/>
      <c r="BH97" s="5"/>
      <c r="BI97" s="5"/>
      <c r="BJ97" s="5"/>
      <c r="BK97" s="5"/>
      <c r="BL97" s="5"/>
      <c r="BM97" s="5"/>
      <c r="BN97" s="5"/>
      <c r="BO97" s="5"/>
      <c r="BP97" s="5"/>
      <c r="BQ97" s="5"/>
      <c r="BR97" s="5"/>
      <c r="BS97" s="5"/>
      <c r="BT97" s="5"/>
      <c r="BU97" s="5"/>
      <c r="BV97" s="5"/>
      <c r="BW97" s="5"/>
      <c r="BX97" s="5"/>
      <c r="BY97" s="5"/>
      <c r="BZ97" s="5"/>
      <c r="CA97" s="5"/>
      <c r="CB97" s="5"/>
      <c r="CC97" s="17"/>
      <c r="CD97" s="17"/>
      <c r="CE97" s="17"/>
    </row>
    <row r="98" spans="1:83">
      <c r="A98" s="16" t="s">
        <v>40</v>
      </c>
      <c r="B98" s="140">
        <f t="shared" ref="B98:AG98" si="207">DAYS360($B$3,B30)</f>
        <v>20</v>
      </c>
      <c r="C98" s="140">
        <f t="shared" si="207"/>
        <v>198</v>
      </c>
      <c r="D98" s="140">
        <f t="shared" si="207"/>
        <v>379</v>
      </c>
      <c r="E98" s="140">
        <f t="shared" si="207"/>
        <v>557</v>
      </c>
      <c r="F98" s="140">
        <f t="shared" si="207"/>
        <v>739</v>
      </c>
      <c r="G98" s="140">
        <f t="shared" si="207"/>
        <v>917</v>
      </c>
      <c r="H98" s="140">
        <f t="shared" si="207"/>
        <v>1099</v>
      </c>
      <c r="I98" s="140">
        <f t="shared" si="207"/>
        <v>1277</v>
      </c>
      <c r="J98" s="140">
        <f t="shared" si="207"/>
        <v>1459</v>
      </c>
      <c r="K98" s="140">
        <f t="shared" si="207"/>
        <v>1637</v>
      </c>
      <c r="L98" s="140">
        <f t="shared" si="207"/>
        <v>1818</v>
      </c>
      <c r="M98" s="140">
        <f t="shared" si="207"/>
        <v>1996</v>
      </c>
      <c r="N98" s="140">
        <f t="shared" si="207"/>
        <v>2178</v>
      </c>
      <c r="O98" s="140">
        <f t="shared" si="207"/>
        <v>2356</v>
      </c>
      <c r="P98" s="140">
        <f t="shared" si="207"/>
        <v>2538</v>
      </c>
      <c r="Q98" s="140">
        <f t="shared" si="207"/>
        <v>2716</v>
      </c>
      <c r="R98" s="140">
        <f t="shared" si="207"/>
        <v>2898</v>
      </c>
      <c r="S98" s="140">
        <f t="shared" si="207"/>
        <v>3076</v>
      </c>
      <c r="T98" s="140">
        <f t="shared" si="207"/>
        <v>3257</v>
      </c>
      <c r="U98" s="140">
        <f t="shared" si="207"/>
        <v>3435</v>
      </c>
      <c r="V98" s="140">
        <f t="shared" si="207"/>
        <v>3617</v>
      </c>
      <c r="W98" s="140">
        <f t="shared" si="207"/>
        <v>3795</v>
      </c>
      <c r="X98" s="140">
        <f t="shared" si="207"/>
        <v>3977</v>
      </c>
      <c r="Y98" s="140">
        <f t="shared" si="207"/>
        <v>4155</v>
      </c>
      <c r="Z98" s="140">
        <f t="shared" si="207"/>
        <v>4337</v>
      </c>
      <c r="AA98" s="140">
        <f t="shared" si="207"/>
        <v>4515</v>
      </c>
      <c r="AB98" s="140">
        <f t="shared" si="207"/>
        <v>4696</v>
      </c>
      <c r="AC98" s="140">
        <f t="shared" si="207"/>
        <v>4874</v>
      </c>
      <c r="AD98" s="140">
        <f t="shared" si="207"/>
        <v>5056</v>
      </c>
      <c r="AE98" s="140">
        <f t="shared" si="207"/>
        <v>5234</v>
      </c>
      <c r="AF98" s="140">
        <f t="shared" si="207"/>
        <v>5416</v>
      </c>
      <c r="AG98" s="140">
        <f t="shared" si="207"/>
        <v>5594</v>
      </c>
      <c r="AH98" s="140">
        <f t="shared" ref="AH98:BM98" si="208">DAYS360($B$3,AH30)</f>
        <v>5776</v>
      </c>
      <c r="AI98" s="140">
        <f t="shared" si="208"/>
        <v>5954</v>
      </c>
      <c r="AJ98" s="140">
        <f t="shared" si="208"/>
        <v>6135</v>
      </c>
      <c r="AK98" s="140">
        <f t="shared" si="208"/>
        <v>6313</v>
      </c>
      <c r="AL98" s="140">
        <f t="shared" si="208"/>
        <v>6495</v>
      </c>
      <c r="AM98" s="140">
        <f t="shared" si="208"/>
        <v>6673</v>
      </c>
      <c r="AN98" s="140">
        <f t="shared" si="208"/>
        <v>6855</v>
      </c>
      <c r="AO98" s="140">
        <f t="shared" si="208"/>
        <v>7033</v>
      </c>
      <c r="AP98" s="140">
        <f t="shared" si="208"/>
        <v>7215</v>
      </c>
      <c r="AQ98" s="140">
        <f t="shared" si="208"/>
        <v>7393</v>
      </c>
      <c r="AR98" s="140">
        <f t="shared" si="208"/>
        <v>7574</v>
      </c>
      <c r="AS98" s="140">
        <f t="shared" si="208"/>
        <v>7752</v>
      </c>
      <c r="AT98" s="140">
        <f t="shared" si="208"/>
        <v>7934</v>
      </c>
      <c r="AU98" s="140">
        <f t="shared" si="208"/>
        <v>8112</v>
      </c>
      <c r="AV98" s="140">
        <f t="shared" si="208"/>
        <v>8294</v>
      </c>
      <c r="AW98" s="140">
        <f t="shared" si="208"/>
        <v>8472</v>
      </c>
      <c r="AX98" s="140">
        <f t="shared" si="208"/>
        <v>8654</v>
      </c>
      <c r="AY98" s="140">
        <f t="shared" si="208"/>
        <v>8832</v>
      </c>
      <c r="AZ98" s="140">
        <f t="shared" si="208"/>
        <v>9013</v>
      </c>
      <c r="BA98" s="140">
        <f t="shared" si="208"/>
        <v>9191</v>
      </c>
      <c r="BB98" s="140">
        <f t="shared" si="208"/>
        <v>9373</v>
      </c>
      <c r="BC98" s="140">
        <f t="shared" si="208"/>
        <v>9551</v>
      </c>
      <c r="BD98" s="140">
        <f t="shared" si="208"/>
        <v>9733</v>
      </c>
      <c r="BE98" s="140">
        <f t="shared" si="208"/>
        <v>9911</v>
      </c>
      <c r="BF98" s="140">
        <f t="shared" si="208"/>
        <v>10093</v>
      </c>
      <c r="BG98" s="140">
        <f t="shared" si="208"/>
        <v>10271</v>
      </c>
      <c r="BH98" s="140">
        <f t="shared" si="208"/>
        <v>10452</v>
      </c>
      <c r="BI98" s="140">
        <f t="shared" si="208"/>
        <v>10630</v>
      </c>
      <c r="BJ98" s="140">
        <f t="shared" si="208"/>
        <v>10812</v>
      </c>
      <c r="BK98" s="140">
        <f t="shared" si="208"/>
        <v>10990</v>
      </c>
      <c r="BL98" s="140">
        <f t="shared" si="208"/>
        <v>11172</v>
      </c>
      <c r="BM98" s="140">
        <f t="shared" si="208"/>
        <v>11350</v>
      </c>
      <c r="BN98" s="140">
        <f t="shared" ref="BN98:CB98" si="209">DAYS360($B$3,BN30)</f>
        <v>11532</v>
      </c>
      <c r="BO98" s="140">
        <f t="shared" si="209"/>
        <v>11710</v>
      </c>
      <c r="BP98" s="140">
        <f t="shared" si="209"/>
        <v>11891</v>
      </c>
      <c r="BQ98" s="140">
        <f t="shared" si="209"/>
        <v>12069</v>
      </c>
      <c r="BR98" s="140">
        <f t="shared" si="209"/>
        <v>12251</v>
      </c>
      <c r="BS98" s="140">
        <f t="shared" si="209"/>
        <v>12429</v>
      </c>
      <c r="BT98" s="140">
        <f t="shared" si="209"/>
        <v>12611</v>
      </c>
      <c r="BU98" s="140">
        <f t="shared" si="209"/>
        <v>12789</v>
      </c>
      <c r="BV98" s="140">
        <f t="shared" si="209"/>
        <v>12971</v>
      </c>
      <c r="BW98" s="140">
        <f t="shared" si="209"/>
        <v>13149</v>
      </c>
      <c r="BX98" s="140">
        <f t="shared" si="209"/>
        <v>13330</v>
      </c>
      <c r="BY98" s="140">
        <f t="shared" si="209"/>
        <v>13508</v>
      </c>
      <c r="BZ98" s="140">
        <f t="shared" si="209"/>
        <v>13690</v>
      </c>
      <c r="CA98" s="140">
        <f t="shared" si="209"/>
        <v>13868</v>
      </c>
      <c r="CB98" s="140">
        <f t="shared" si="209"/>
        <v>14050</v>
      </c>
      <c r="CC98" s="17"/>
      <c r="CD98" s="17"/>
      <c r="CE98" s="17"/>
    </row>
    <row r="99" spans="1:83">
      <c r="A99" s="16" t="s">
        <v>41</v>
      </c>
      <c r="B99" s="140">
        <f>B98/360</f>
        <v>5.5555555555555552E-2</v>
      </c>
      <c r="C99" s="140">
        <f t="shared" ref="C99:BN99" si="210">C98/360</f>
        <v>0.55000000000000004</v>
      </c>
      <c r="D99" s="140">
        <f t="shared" si="210"/>
        <v>1.0527777777777778</v>
      </c>
      <c r="E99" s="140">
        <f t="shared" si="210"/>
        <v>1.5472222222222223</v>
      </c>
      <c r="F99" s="140">
        <f t="shared" si="210"/>
        <v>2.0527777777777776</v>
      </c>
      <c r="G99" s="140">
        <f t="shared" si="210"/>
        <v>2.5472222222222221</v>
      </c>
      <c r="H99" s="140">
        <f t="shared" si="210"/>
        <v>3.0527777777777776</v>
      </c>
      <c r="I99" s="140">
        <f t="shared" si="210"/>
        <v>3.5472222222222221</v>
      </c>
      <c r="J99" s="140">
        <f t="shared" si="210"/>
        <v>4.052777777777778</v>
      </c>
      <c r="K99" s="140">
        <f t="shared" si="210"/>
        <v>4.5472222222222225</v>
      </c>
      <c r="L99" s="140">
        <f t="shared" si="210"/>
        <v>5.05</v>
      </c>
      <c r="M99" s="140">
        <f t="shared" si="210"/>
        <v>5.5444444444444443</v>
      </c>
      <c r="N99" s="140">
        <f t="shared" si="210"/>
        <v>6.05</v>
      </c>
      <c r="O99" s="140">
        <f t="shared" si="210"/>
        <v>6.5444444444444443</v>
      </c>
      <c r="P99" s="140">
        <f t="shared" si="210"/>
        <v>7.05</v>
      </c>
      <c r="Q99" s="140">
        <f t="shared" si="210"/>
        <v>7.5444444444444443</v>
      </c>
      <c r="R99" s="140">
        <f t="shared" si="210"/>
        <v>8.0500000000000007</v>
      </c>
      <c r="S99" s="140">
        <f t="shared" si="210"/>
        <v>8.5444444444444443</v>
      </c>
      <c r="T99" s="140">
        <f t="shared" si="210"/>
        <v>9.0472222222222225</v>
      </c>
      <c r="U99" s="140">
        <f t="shared" si="210"/>
        <v>9.5416666666666661</v>
      </c>
      <c r="V99" s="140">
        <f t="shared" si="210"/>
        <v>10.047222222222222</v>
      </c>
      <c r="W99" s="140">
        <f t="shared" si="210"/>
        <v>10.541666666666666</v>
      </c>
      <c r="X99" s="140">
        <f t="shared" si="210"/>
        <v>11.047222222222222</v>
      </c>
      <c r="Y99" s="140">
        <f t="shared" si="210"/>
        <v>11.541666666666666</v>
      </c>
      <c r="Z99" s="140">
        <f t="shared" si="210"/>
        <v>12.047222222222222</v>
      </c>
      <c r="AA99" s="140">
        <f t="shared" si="210"/>
        <v>12.541666666666666</v>
      </c>
      <c r="AB99" s="140">
        <f t="shared" si="210"/>
        <v>13.044444444444444</v>
      </c>
      <c r="AC99" s="140">
        <f t="shared" si="210"/>
        <v>13.53888888888889</v>
      </c>
      <c r="AD99" s="140">
        <f t="shared" si="210"/>
        <v>14.044444444444444</v>
      </c>
      <c r="AE99" s="140">
        <f t="shared" si="210"/>
        <v>14.53888888888889</v>
      </c>
      <c r="AF99" s="140">
        <f t="shared" si="210"/>
        <v>15.044444444444444</v>
      </c>
      <c r="AG99" s="140">
        <f t="shared" si="210"/>
        <v>15.53888888888889</v>
      </c>
      <c r="AH99" s="140">
        <f t="shared" si="210"/>
        <v>16.044444444444444</v>
      </c>
      <c r="AI99" s="140">
        <f t="shared" si="210"/>
        <v>16.538888888888888</v>
      </c>
      <c r="AJ99" s="140">
        <f t="shared" si="210"/>
        <v>17.041666666666668</v>
      </c>
      <c r="AK99" s="140">
        <f t="shared" si="210"/>
        <v>17.536111111111111</v>
      </c>
      <c r="AL99" s="140">
        <f t="shared" si="210"/>
        <v>18.041666666666668</v>
      </c>
      <c r="AM99" s="140">
        <f t="shared" si="210"/>
        <v>18.536111111111111</v>
      </c>
      <c r="AN99" s="140">
        <f t="shared" si="210"/>
        <v>19.041666666666668</v>
      </c>
      <c r="AO99" s="140">
        <f t="shared" si="210"/>
        <v>19.536111111111111</v>
      </c>
      <c r="AP99" s="140">
        <f t="shared" si="210"/>
        <v>20.041666666666668</v>
      </c>
      <c r="AQ99" s="140">
        <f t="shared" si="210"/>
        <v>20.536111111111111</v>
      </c>
      <c r="AR99" s="140">
        <f t="shared" si="210"/>
        <v>21.038888888888888</v>
      </c>
      <c r="AS99" s="140">
        <f t="shared" si="210"/>
        <v>21.533333333333335</v>
      </c>
      <c r="AT99" s="140">
        <f t="shared" si="210"/>
        <v>22.038888888888888</v>
      </c>
      <c r="AU99" s="140">
        <f t="shared" si="210"/>
        <v>22.533333333333335</v>
      </c>
      <c r="AV99" s="140">
        <f t="shared" si="210"/>
        <v>23.038888888888888</v>
      </c>
      <c r="AW99" s="140">
        <f t="shared" si="210"/>
        <v>23.533333333333335</v>
      </c>
      <c r="AX99" s="140">
        <f t="shared" si="210"/>
        <v>24.038888888888888</v>
      </c>
      <c r="AY99" s="140">
        <f t="shared" si="210"/>
        <v>24.533333333333335</v>
      </c>
      <c r="AZ99" s="140">
        <f t="shared" si="210"/>
        <v>25.036111111111111</v>
      </c>
      <c r="BA99" s="140">
        <f t="shared" si="210"/>
        <v>25.530555555555555</v>
      </c>
      <c r="BB99" s="140">
        <f t="shared" si="210"/>
        <v>26.036111111111111</v>
      </c>
      <c r="BC99" s="140">
        <f t="shared" si="210"/>
        <v>26.530555555555555</v>
      </c>
      <c r="BD99" s="140">
        <f t="shared" si="210"/>
        <v>27.036111111111111</v>
      </c>
      <c r="BE99" s="140">
        <f t="shared" si="210"/>
        <v>27.530555555555555</v>
      </c>
      <c r="BF99" s="140">
        <f t="shared" si="210"/>
        <v>28.036111111111111</v>
      </c>
      <c r="BG99" s="140">
        <f t="shared" si="210"/>
        <v>28.530555555555555</v>
      </c>
      <c r="BH99" s="140">
        <f t="shared" si="210"/>
        <v>29.033333333333335</v>
      </c>
      <c r="BI99" s="140">
        <f t="shared" si="210"/>
        <v>29.527777777777779</v>
      </c>
      <c r="BJ99" s="140">
        <f t="shared" si="210"/>
        <v>30.033333333333335</v>
      </c>
      <c r="BK99" s="140">
        <f t="shared" si="210"/>
        <v>30.527777777777779</v>
      </c>
      <c r="BL99" s="140">
        <f t="shared" si="210"/>
        <v>31.033333333333335</v>
      </c>
      <c r="BM99" s="140">
        <f t="shared" si="210"/>
        <v>31.527777777777779</v>
      </c>
      <c r="BN99" s="140">
        <f t="shared" si="210"/>
        <v>32.033333333333331</v>
      </c>
      <c r="BO99" s="140">
        <f t="shared" ref="BO99:CB99" si="211">BO98/360</f>
        <v>32.527777777777779</v>
      </c>
      <c r="BP99" s="140">
        <f t="shared" si="211"/>
        <v>33.030555555555559</v>
      </c>
      <c r="BQ99" s="140">
        <f t="shared" si="211"/>
        <v>33.524999999999999</v>
      </c>
      <c r="BR99" s="140">
        <f t="shared" si="211"/>
        <v>34.030555555555559</v>
      </c>
      <c r="BS99" s="140">
        <f t="shared" si="211"/>
        <v>34.524999999999999</v>
      </c>
      <c r="BT99" s="140">
        <f t="shared" si="211"/>
        <v>35.030555555555559</v>
      </c>
      <c r="BU99" s="140">
        <f t="shared" si="211"/>
        <v>35.524999999999999</v>
      </c>
      <c r="BV99" s="140">
        <f t="shared" si="211"/>
        <v>36.030555555555559</v>
      </c>
      <c r="BW99" s="140">
        <f t="shared" si="211"/>
        <v>36.524999999999999</v>
      </c>
      <c r="BX99" s="140">
        <f t="shared" si="211"/>
        <v>37.027777777777779</v>
      </c>
      <c r="BY99" s="140">
        <f t="shared" si="211"/>
        <v>37.522222222222226</v>
      </c>
      <c r="BZ99" s="140">
        <f t="shared" si="211"/>
        <v>38.027777777777779</v>
      </c>
      <c r="CA99" s="140">
        <f t="shared" si="211"/>
        <v>38.522222222222226</v>
      </c>
      <c r="CB99" s="140">
        <f t="shared" si="211"/>
        <v>39.027777777777779</v>
      </c>
      <c r="CC99" s="17"/>
      <c r="CD99" s="17"/>
      <c r="CE99" s="17"/>
    </row>
    <row r="100" spans="1:83">
      <c r="A100" s="16" t="s">
        <v>43</v>
      </c>
      <c r="B100" s="140">
        <f>IF(B98&lt;0,0,$B$5+$B$6*((1-EXP(-B99/$B$9))/(B99/$B$9))+$B$7*((1-EXP(-B99/$B$9))/(B99/$B$9)-EXP(-B99/$B$9))+$B$8*((1-EXP(-B99/$B$10))/(B99/$B$10)-EXP(-B99/$B$10)))</f>
        <v>8.2764988792857052E-3</v>
      </c>
      <c r="C100" s="140">
        <f t="shared" ref="C100:BN100" si="212">IF(C98&lt;0,0,$B$5+$B$6*((1-EXP(-C99/$B$9))/(C99/$B$9))+$B$7*((1-EXP(-C99/$B$9))/(C99/$B$9)-EXP(-C99/$B$9))+$B$8*((1-EXP(-C99/$B$10))/(C99/$B$10)-EXP(-C99/$B$10)))</f>
        <v>7.3028593642107077E-3</v>
      </c>
      <c r="D100" s="140">
        <f t="shared" si="212"/>
        <v>6.5267155698988354E-3</v>
      </c>
      <c r="E100" s="140">
        <f t="shared" si="212"/>
        <v>5.9460137474415357E-3</v>
      </c>
      <c r="F100" s="140">
        <f t="shared" si="212"/>
        <v>5.5140694759139696E-3</v>
      </c>
      <c r="G100" s="140">
        <f t="shared" si="212"/>
        <v>5.2280360977632967E-3</v>
      </c>
      <c r="H100" s="140">
        <f t="shared" si="212"/>
        <v>5.0551995460983599E-3</v>
      </c>
      <c r="I100" s="140">
        <f t="shared" si="212"/>
        <v>4.9861527216115116E-3</v>
      </c>
      <c r="J100" s="140">
        <f t="shared" si="212"/>
        <v>5.0023609128132755E-3</v>
      </c>
      <c r="K100" s="140">
        <f t="shared" si="212"/>
        <v>5.0899307052893073E-3</v>
      </c>
      <c r="L100" s="140">
        <f t="shared" si="212"/>
        <v>5.2398889671694121E-3</v>
      </c>
      <c r="M100" s="140">
        <f t="shared" si="212"/>
        <v>5.4371482234945511E-3</v>
      </c>
      <c r="N100" s="140">
        <f t="shared" si="212"/>
        <v>5.6807334584393285E-3</v>
      </c>
      <c r="O100" s="140">
        <f t="shared" si="212"/>
        <v>5.95215345634411E-3</v>
      </c>
      <c r="P100" s="140">
        <f t="shared" si="212"/>
        <v>6.2566118635969687E-3</v>
      </c>
      <c r="Q100" s="140">
        <f t="shared" si="212"/>
        <v>6.5748155631721265E-3</v>
      </c>
      <c r="R100" s="140">
        <f t="shared" si="212"/>
        <v>6.9157805219007508E-3</v>
      </c>
      <c r="S100" s="140">
        <f t="shared" si="212"/>
        <v>7.260077850214171E-3</v>
      </c>
      <c r="T100" s="140">
        <f t="shared" si="212"/>
        <v>7.6172476155674544E-3</v>
      </c>
      <c r="U100" s="140">
        <f t="shared" si="212"/>
        <v>7.9721698767895692E-3</v>
      </c>
      <c r="V100" s="140">
        <f t="shared" si="212"/>
        <v>8.3359326032474354E-3</v>
      </c>
      <c r="W100" s="140">
        <f t="shared" si="212"/>
        <v>8.6901428084512136E-3</v>
      </c>
      <c r="X100" s="140">
        <f t="shared" si="212"/>
        <v>9.0486235507974896E-3</v>
      </c>
      <c r="Y100" s="140">
        <f t="shared" si="212"/>
        <v>9.3939057133490562E-3</v>
      </c>
      <c r="Z100" s="140">
        <f t="shared" si="212"/>
        <v>9.7400367525031662E-3</v>
      </c>
      <c r="AA100" s="140">
        <f t="shared" si="212"/>
        <v>1.0070622910259175E-2</v>
      </c>
      <c r="AB100" s="140">
        <f t="shared" si="212"/>
        <v>1.0397750757242721E-2</v>
      </c>
      <c r="AC100" s="140">
        <f t="shared" si="212"/>
        <v>1.0709807329030634E-2</v>
      </c>
      <c r="AD100" s="140">
        <f t="shared" si="212"/>
        <v>1.1018358212941337E-2</v>
      </c>
      <c r="AE100" s="140">
        <f t="shared" si="212"/>
        <v>1.130937665343161E-2</v>
      </c>
      <c r="AF100" s="140">
        <f t="shared" si="212"/>
        <v>1.1595592215962999E-2</v>
      </c>
      <c r="AG100" s="140">
        <f t="shared" si="212"/>
        <v>1.1864191737822716E-2</v>
      </c>
      <c r="AH100" s="140">
        <f t="shared" si="212"/>
        <v>1.2127103062173969E-2</v>
      </c>
      <c r="AI100" s="140">
        <f t="shared" si="212"/>
        <v>1.2372709039067236E-2</v>
      </c>
      <c r="AJ100" s="140">
        <f t="shared" si="212"/>
        <v>1.2610772657688596E-2</v>
      </c>
      <c r="AK100" s="140">
        <f t="shared" si="212"/>
        <v>1.2833466169370927E-2</v>
      </c>
      <c r="AL100" s="140">
        <f t="shared" si="212"/>
        <v>1.3049566081308386E-2</v>
      </c>
      <c r="AM100" s="140">
        <f t="shared" si="212"/>
        <v>1.3249726373084639E-2</v>
      </c>
      <c r="AN100" s="140">
        <f t="shared" si="212"/>
        <v>1.3443135056364425E-2</v>
      </c>
      <c r="AO100" s="140">
        <f t="shared" si="212"/>
        <v>1.3621504612100384E-2</v>
      </c>
      <c r="AP100" s="140">
        <f t="shared" si="212"/>
        <v>1.3793094950048511E-2</v>
      </c>
      <c r="AQ100" s="140">
        <f t="shared" si="212"/>
        <v>1.3950617485761027E-2</v>
      </c>
      <c r="AR100" s="140">
        <f t="shared" si="212"/>
        <v>1.4100626604374807E-2</v>
      </c>
      <c r="AS100" s="140">
        <f t="shared" si="212"/>
        <v>1.4238426020167743E-2</v>
      </c>
      <c r="AT100" s="140">
        <f t="shared" si="212"/>
        <v>1.4369645405550177E-2</v>
      </c>
      <c r="AU100" s="140">
        <f t="shared" si="212"/>
        <v>1.448880641252626E-2</v>
      </c>
      <c r="AV100" s="140">
        <f t="shared" si="212"/>
        <v>1.4601565360601755E-2</v>
      </c>
      <c r="AW100" s="140">
        <f t="shared" si="212"/>
        <v>1.470325837352756E-2</v>
      </c>
      <c r="AX100" s="140">
        <f t="shared" si="212"/>
        <v>1.4798756225779149E-2</v>
      </c>
      <c r="AY100" s="140">
        <f t="shared" si="212"/>
        <v>1.4884150373285318E-2</v>
      </c>
      <c r="AZ100" s="140">
        <f t="shared" si="212"/>
        <v>1.4963157885705559E-2</v>
      </c>
      <c r="BA100" s="140">
        <f t="shared" si="212"/>
        <v>1.5033439667369799E-2</v>
      </c>
      <c r="BB100" s="140">
        <f t="shared" si="212"/>
        <v>1.5097980642543961E-2</v>
      </c>
      <c r="BC100" s="140">
        <f t="shared" si="212"/>
        <v>1.5154214070689797E-2</v>
      </c>
      <c r="BD100" s="140">
        <f t="shared" si="212"/>
        <v>1.5204939135880982E-2</v>
      </c>
      <c r="BE100" s="140">
        <f t="shared" si="212"/>
        <v>1.5248183358952731E-2</v>
      </c>
      <c r="BF100" s="140">
        <f t="shared" si="212"/>
        <v>1.5286148019166047E-2</v>
      </c>
      <c r="BG100" s="140">
        <f t="shared" si="212"/>
        <v>1.531740732721551E-2</v>
      </c>
      <c r="BH100" s="140">
        <f t="shared" si="212"/>
        <v>1.5343480438668613E-2</v>
      </c>
      <c r="BI100" s="140">
        <f t="shared" si="212"/>
        <v>1.5363730236046409E-2</v>
      </c>
      <c r="BJ100" s="140">
        <f t="shared" si="212"/>
        <v>1.5379134444674199E-2</v>
      </c>
      <c r="BK100" s="140">
        <f t="shared" si="212"/>
        <v>1.5389229346375407E-2</v>
      </c>
      <c r="BL100" s="140">
        <f t="shared" si="212"/>
        <v>1.5394680860098169E-2</v>
      </c>
      <c r="BM100" s="140">
        <f t="shared" si="212"/>
        <v>1.5395448095484043E-2</v>
      </c>
      <c r="BN100" s="140">
        <f t="shared" si="212"/>
        <v>1.5391762863113476E-2</v>
      </c>
      <c r="BO100" s="140">
        <f t="shared" ref="BO100:CB100" si="213">IF(BO98&lt;0,0,$B$5+$B$6*((1-EXP(-BO99/$B$9))/(BO99/$B$9))+$B$7*((1-EXP(-BO99/$B$9))/(BO99/$B$9)-EXP(-BO99/$B$9))+$B$8*((1-EXP(-BO99/$B$10))/(BO99/$B$10)-EXP(-BO99/$B$10)))</f>
        <v>1.538397168240571E-2</v>
      </c>
      <c r="BP100" s="140">
        <f t="shared" si="213"/>
        <v>1.5371984660659961E-2</v>
      </c>
      <c r="BQ100" s="140">
        <f t="shared" si="213"/>
        <v>1.5356369312070416E-2</v>
      </c>
      <c r="BR100" s="140">
        <f t="shared" si="213"/>
        <v>1.5336648193228927E-2</v>
      </c>
      <c r="BS100" s="140">
        <f t="shared" si="213"/>
        <v>1.5313846225229246E-2</v>
      </c>
      <c r="BT100" s="140">
        <f t="shared" si="213"/>
        <v>1.5287095055264001E-2</v>
      </c>
      <c r="BU100" s="140">
        <f t="shared" si="213"/>
        <v>1.5257716466501932E-2</v>
      </c>
      <c r="BV100" s="140">
        <f t="shared" si="213"/>
        <v>1.5224534410645293E-2</v>
      </c>
      <c r="BW100" s="140">
        <f t="shared" si="213"/>
        <v>1.518914197453728E-2</v>
      </c>
      <c r="BX100" s="140">
        <f t="shared" si="213"/>
        <v>1.5150303830246129E-2</v>
      </c>
      <c r="BY100" s="140">
        <f t="shared" si="213"/>
        <v>1.5109430811779897E-2</v>
      </c>
      <c r="BZ100" s="140">
        <f t="shared" si="213"/>
        <v>1.5065015180959696E-2</v>
      </c>
      <c r="CA100" s="140">
        <f t="shared" si="213"/>
        <v>1.5019123411897956E-2</v>
      </c>
      <c r="CB100" s="140">
        <f t="shared" si="213"/>
        <v>1.4969805747965741E-2</v>
      </c>
      <c r="CC100" s="17"/>
      <c r="CD100" s="17"/>
      <c r="CE100" s="17"/>
    </row>
    <row r="101" spans="1:83">
      <c r="A101" s="16" t="s">
        <v>44</v>
      </c>
      <c r="B101" s="140">
        <f>EXP(-B100*B99)</f>
        <v>0.999540300201052</v>
      </c>
      <c r="C101" s="140">
        <f t="shared" ref="C101:AR101" si="214">EXP(-C100*C99)</f>
        <v>0.9959914829886497</v>
      </c>
      <c r="D101" s="140">
        <f t="shared" si="214"/>
        <v>0.99315237147550717</v>
      </c>
      <c r="E101" s="140">
        <f t="shared" si="214"/>
        <v>0.99084238412355163</v>
      </c>
      <c r="F101" s="140">
        <f t="shared" si="214"/>
        <v>0.9887446613724884</v>
      </c>
      <c r="G101" s="140">
        <f t="shared" si="214"/>
        <v>0.98677130881251696</v>
      </c>
      <c r="H101" s="140">
        <f t="shared" si="214"/>
        <v>0.98468606845642714</v>
      </c>
      <c r="I101" s="140">
        <f t="shared" si="214"/>
        <v>0.98246850499476757</v>
      </c>
      <c r="J101" s="140">
        <f t="shared" si="214"/>
        <v>0.97993066762282843</v>
      </c>
      <c r="K101" s="140">
        <f t="shared" si="214"/>
        <v>0.97712074602617682</v>
      </c>
      <c r="L101" s="140">
        <f t="shared" si="214"/>
        <v>0.9738855968372111</v>
      </c>
      <c r="M101" s="140">
        <f t="shared" si="214"/>
        <v>0.97030389157983354</v>
      </c>
      <c r="N101" s="140">
        <f t="shared" si="214"/>
        <v>0.96621544911877022</v>
      </c>
      <c r="O101" s="140">
        <f t="shared" si="214"/>
        <v>0.96179539541152981</v>
      </c>
      <c r="P101" s="140">
        <f t="shared" si="214"/>
        <v>0.95684954644144249</v>
      </c>
      <c r="Q101" s="140">
        <f t="shared" si="214"/>
        <v>0.95160682281043429</v>
      </c>
      <c r="R101" s="140">
        <f t="shared" si="214"/>
        <v>0.94584929219154334</v>
      </c>
      <c r="S101" s="140">
        <f t="shared" si="214"/>
        <v>0.93985155927450736</v>
      </c>
      <c r="T101" s="140">
        <f t="shared" si="214"/>
        <v>0.93340607978294965</v>
      </c>
      <c r="U101" s="140">
        <f t="shared" si="214"/>
        <v>0.92675338206623947</v>
      </c>
      <c r="V101" s="140">
        <f t="shared" si="214"/>
        <v>0.91965841374255708</v>
      </c>
      <c r="W101" s="140">
        <f t="shared" si="214"/>
        <v>0.91246222761897777</v>
      </c>
      <c r="X101" s="140">
        <f t="shared" si="214"/>
        <v>0.90487166210139069</v>
      </c>
      <c r="Y101" s="140">
        <f t="shared" si="214"/>
        <v>0.89724948005530536</v>
      </c>
      <c r="Z101" s="140">
        <f t="shared" si="214"/>
        <v>0.88928244127079692</v>
      </c>
      <c r="AA101" s="140">
        <f t="shared" si="214"/>
        <v>0.88134829057927178</v>
      </c>
      <c r="AB101" s="140">
        <f t="shared" si="214"/>
        <v>0.87316312746908287</v>
      </c>
      <c r="AC101" s="140">
        <f t="shared" si="214"/>
        <v>0.86502325203246788</v>
      </c>
      <c r="AD101" s="140">
        <f t="shared" si="214"/>
        <v>0.85663211797126959</v>
      </c>
      <c r="AE101" s="140">
        <f t="shared" si="214"/>
        <v>0.84838072942775711</v>
      </c>
      <c r="AF101" s="140">
        <f t="shared" si="214"/>
        <v>0.83991948503005653</v>
      </c>
      <c r="AG101" s="140">
        <f t="shared" si="214"/>
        <v>0.83163939035525158</v>
      </c>
      <c r="AH101" s="140">
        <f t="shared" si="214"/>
        <v>0.82318638694404833</v>
      </c>
      <c r="AI101" s="140">
        <f t="shared" si="214"/>
        <v>0.81494809079019415</v>
      </c>
      <c r="AJ101" s="140">
        <f t="shared" si="214"/>
        <v>0.80661517430638319</v>
      </c>
      <c r="AK101" s="140">
        <f t="shared" si="214"/>
        <v>0.79847702160890655</v>
      </c>
      <c r="AL101" s="140">
        <f t="shared" si="214"/>
        <v>0.790226297994296</v>
      </c>
      <c r="AM101" s="140">
        <f t="shared" si="214"/>
        <v>0.78223630776432751</v>
      </c>
      <c r="AN101" s="140">
        <f t="shared" si="214"/>
        <v>0.77415768658978157</v>
      </c>
      <c r="AO101" s="140">
        <f t="shared" si="214"/>
        <v>0.76635388305525631</v>
      </c>
      <c r="AP101" s="140">
        <f t="shared" si="214"/>
        <v>0.75848169678376054</v>
      </c>
      <c r="AQ101" s="140">
        <f t="shared" si="214"/>
        <v>0.75089351309310359</v>
      </c>
      <c r="AR101" s="140">
        <f t="shared" si="214"/>
        <v>0.74329556314979806</v>
      </c>
      <c r="AS101" s="140">
        <f>EXP(-AS100*AS99)</f>
        <v>0.73594435065551489</v>
      </c>
      <c r="AT101" s="140">
        <f t="shared" ref="AT101:CA101" si="215">EXP(-AT100*AT99)</f>
        <v>0.72855583065023233</v>
      </c>
      <c r="AU101" s="140">
        <f t="shared" si="215"/>
        <v>0.72145800723277476</v>
      </c>
      <c r="AV101" s="140">
        <f t="shared" si="215"/>
        <v>0.7143345692953067</v>
      </c>
      <c r="AW101" s="140">
        <f t="shared" si="215"/>
        <v>0.7075006856204672</v>
      </c>
      <c r="AX101" s="140">
        <f t="shared" si="215"/>
        <v>0.70065080347831199</v>
      </c>
      <c r="AY101" s="140">
        <f t="shared" si="215"/>
        <v>0.6940870996781574</v>
      </c>
      <c r="AZ101" s="140">
        <f t="shared" si="215"/>
        <v>0.68755099104460782</v>
      </c>
      <c r="BA101" s="140">
        <f t="shared" si="215"/>
        <v>0.68125944654082482</v>
      </c>
      <c r="BB101" s="140">
        <f t="shared" si="215"/>
        <v>0.67496617426674554</v>
      </c>
      <c r="BC101" s="140">
        <f t="shared" si="215"/>
        <v>0.66894748592960218</v>
      </c>
      <c r="BD101" s="140">
        <f t="shared" si="215"/>
        <v>0.66293228787399827</v>
      </c>
      <c r="BE101" s="140">
        <f t="shared" si="215"/>
        <v>0.65718418384035493</v>
      </c>
      <c r="BF101" s="140">
        <f t="shared" si="215"/>
        <v>0.65144380279016512</v>
      </c>
      <c r="BG101" s="140">
        <f t="shared" si="215"/>
        <v>0.64596229697652618</v>
      </c>
      <c r="BH101" s="140">
        <f t="shared" si="215"/>
        <v>0.64052163362177172</v>
      </c>
      <c r="BI101" s="140">
        <f t="shared" si="215"/>
        <v>0.63530072326528586</v>
      </c>
      <c r="BJ101" s="140">
        <f t="shared" si="215"/>
        <v>0.63009374369196736</v>
      </c>
      <c r="BK101" s="140">
        <f t="shared" si="215"/>
        <v>0.62512792283232144</v>
      </c>
      <c r="BL101" s="140">
        <f t="shared" si="215"/>
        <v>0.62017829934851065</v>
      </c>
      <c r="BM101" s="140">
        <f t="shared" si="215"/>
        <v>0.61546065050493159</v>
      </c>
      <c r="BN101" s="140">
        <f t="shared" si="215"/>
        <v>0.61076105373603129</v>
      </c>
      <c r="BO101" s="140">
        <f t="shared" si="215"/>
        <v>0.60628420832155927</v>
      </c>
      <c r="BP101" s="140">
        <f t="shared" si="215"/>
        <v>0.60185110790053276</v>
      </c>
      <c r="BQ101" s="140">
        <f t="shared" si="215"/>
        <v>0.59760679115086524</v>
      </c>
      <c r="BR101" s="140">
        <f t="shared" si="215"/>
        <v>0.59338333325975112</v>
      </c>
      <c r="BS101" s="140">
        <f t="shared" si="215"/>
        <v>0.58936444124600584</v>
      </c>
      <c r="BT101" s="140">
        <f t="shared" si="215"/>
        <v>0.58536749487442441</v>
      </c>
      <c r="BU101" s="140">
        <f t="shared" si="215"/>
        <v>0.58156625380793137</v>
      </c>
      <c r="BV101" s="140">
        <f t="shared" si="215"/>
        <v>0.5777878998736411</v>
      </c>
      <c r="BW101" s="140">
        <f t="shared" si="215"/>
        <v>0.57419661261769106</v>
      </c>
      <c r="BX101" s="140">
        <f t="shared" si="215"/>
        <v>0.57064836422861775</v>
      </c>
      <c r="BY101" s="140">
        <f t="shared" si="215"/>
        <v>0.56725892560788971</v>
      </c>
      <c r="BZ101" s="140">
        <f t="shared" si="215"/>
        <v>0.5638939655402434</v>
      </c>
      <c r="CA101" s="140">
        <f t="shared" si="215"/>
        <v>0.56069958855647062</v>
      </c>
      <c r="CB101" s="140">
        <f>EXP(-CB100*CB99)</f>
        <v>0.55753039770210144</v>
      </c>
      <c r="CC101" s="17"/>
      <c r="CD101" s="17"/>
      <c r="CE101" s="17"/>
    </row>
    <row r="102" spans="1:83">
      <c r="A102" s="17"/>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c r="BJ102" s="5"/>
      <c r="BK102" s="5"/>
      <c r="BL102" s="5"/>
      <c r="BM102" s="5"/>
      <c r="BN102" s="5"/>
      <c r="BO102" s="5"/>
      <c r="BP102" s="5"/>
      <c r="BQ102" s="5"/>
      <c r="BR102" s="5"/>
      <c r="BS102" s="5"/>
      <c r="BT102" s="5"/>
      <c r="BU102" s="5"/>
      <c r="BV102" s="5"/>
      <c r="BW102" s="5"/>
      <c r="BX102" s="5"/>
      <c r="BY102" s="5"/>
      <c r="BZ102" s="5"/>
      <c r="CA102" s="5"/>
      <c r="CB102" s="5"/>
      <c r="CC102" s="17"/>
      <c r="CD102" s="17"/>
      <c r="CE102" s="17"/>
    </row>
    <row r="103" spans="1:83">
      <c r="A103" s="16" t="s">
        <v>40</v>
      </c>
      <c r="B103" s="140">
        <f t="shared" ref="B103:AG103" si="216">DAYS360($B$3,B32)</f>
        <v>20</v>
      </c>
      <c r="C103" s="140">
        <f t="shared" si="216"/>
        <v>198</v>
      </c>
      <c r="D103" s="140">
        <f t="shared" si="216"/>
        <v>379</v>
      </c>
      <c r="E103" s="140">
        <f t="shared" si="216"/>
        <v>557</v>
      </c>
      <c r="F103" s="140">
        <f t="shared" si="216"/>
        <v>739</v>
      </c>
      <c r="G103" s="140">
        <f t="shared" si="216"/>
        <v>917</v>
      </c>
      <c r="H103" s="140">
        <f t="shared" si="216"/>
        <v>1099</v>
      </c>
      <c r="I103" s="140">
        <f t="shared" si="216"/>
        <v>1277</v>
      </c>
      <c r="J103" s="140">
        <f t="shared" si="216"/>
        <v>1459</v>
      </c>
      <c r="K103" s="140">
        <f t="shared" si="216"/>
        <v>1637</v>
      </c>
      <c r="L103" s="140">
        <f t="shared" si="216"/>
        <v>1818</v>
      </c>
      <c r="M103" s="140">
        <f t="shared" si="216"/>
        <v>1996</v>
      </c>
      <c r="N103" s="140">
        <f t="shared" si="216"/>
        <v>2178</v>
      </c>
      <c r="O103" s="140">
        <f t="shared" si="216"/>
        <v>2356</v>
      </c>
      <c r="P103" s="140">
        <f t="shared" si="216"/>
        <v>2538</v>
      </c>
      <c r="Q103" s="140">
        <f t="shared" si="216"/>
        <v>2716</v>
      </c>
      <c r="R103" s="140">
        <f t="shared" si="216"/>
        <v>2898</v>
      </c>
      <c r="S103" s="140">
        <f t="shared" si="216"/>
        <v>3076</v>
      </c>
      <c r="T103" s="140">
        <f t="shared" si="216"/>
        <v>3257</v>
      </c>
      <c r="U103" s="140">
        <f t="shared" si="216"/>
        <v>3435</v>
      </c>
      <c r="V103" s="140">
        <f t="shared" si="216"/>
        <v>3617</v>
      </c>
      <c r="W103" s="140">
        <f t="shared" si="216"/>
        <v>3795</v>
      </c>
      <c r="X103" s="140">
        <f t="shared" si="216"/>
        <v>3977</v>
      </c>
      <c r="Y103" s="140">
        <f t="shared" si="216"/>
        <v>4155</v>
      </c>
      <c r="Z103" s="140">
        <f t="shared" si="216"/>
        <v>4337</v>
      </c>
      <c r="AA103" s="140">
        <f t="shared" si="216"/>
        <v>4515</v>
      </c>
      <c r="AB103" s="140">
        <f t="shared" si="216"/>
        <v>4696</v>
      </c>
      <c r="AC103" s="140">
        <f t="shared" si="216"/>
        <v>4874</v>
      </c>
      <c r="AD103" s="140">
        <f t="shared" si="216"/>
        <v>5056</v>
      </c>
      <c r="AE103" s="140">
        <f t="shared" si="216"/>
        <v>5234</v>
      </c>
      <c r="AF103" s="140">
        <f t="shared" si="216"/>
        <v>5416</v>
      </c>
      <c r="AG103" s="140">
        <f t="shared" si="216"/>
        <v>5594</v>
      </c>
      <c r="AH103" s="140">
        <f t="shared" ref="AH103:BM103" si="217">DAYS360($B$3,AH32)</f>
        <v>5776</v>
      </c>
      <c r="AI103" s="140">
        <f t="shared" si="217"/>
        <v>5954</v>
      </c>
      <c r="AJ103" s="140">
        <f t="shared" si="217"/>
        <v>6135</v>
      </c>
      <c r="AK103" s="140">
        <f t="shared" si="217"/>
        <v>6313</v>
      </c>
      <c r="AL103" s="140">
        <f t="shared" si="217"/>
        <v>6495</v>
      </c>
      <c r="AM103" s="140">
        <f t="shared" si="217"/>
        <v>6673</v>
      </c>
      <c r="AN103" s="140">
        <f t="shared" si="217"/>
        <v>6855</v>
      </c>
      <c r="AO103" s="140">
        <f t="shared" si="217"/>
        <v>7033</v>
      </c>
      <c r="AP103" s="140">
        <f t="shared" si="217"/>
        <v>7215</v>
      </c>
      <c r="AQ103" s="140">
        <f t="shared" si="217"/>
        <v>7393</v>
      </c>
      <c r="AR103" s="140">
        <f t="shared" si="217"/>
        <v>7574</v>
      </c>
      <c r="AS103" s="140">
        <f t="shared" si="217"/>
        <v>7752</v>
      </c>
      <c r="AT103" s="140">
        <f t="shared" si="217"/>
        <v>7934</v>
      </c>
      <c r="AU103" s="140">
        <f t="shared" si="217"/>
        <v>8112</v>
      </c>
      <c r="AV103" s="140">
        <f t="shared" si="217"/>
        <v>8294</v>
      </c>
      <c r="AW103" s="140">
        <f t="shared" si="217"/>
        <v>8472</v>
      </c>
      <c r="AX103" s="140">
        <f t="shared" si="217"/>
        <v>8654</v>
      </c>
      <c r="AY103" s="140">
        <f t="shared" si="217"/>
        <v>8832</v>
      </c>
      <c r="AZ103" s="140">
        <f t="shared" si="217"/>
        <v>9013</v>
      </c>
      <c r="BA103" s="140">
        <f t="shared" si="217"/>
        <v>9191</v>
      </c>
      <c r="BB103" s="140">
        <f t="shared" si="217"/>
        <v>9373</v>
      </c>
      <c r="BC103" s="140">
        <f t="shared" si="217"/>
        <v>9551</v>
      </c>
      <c r="BD103" s="140">
        <f t="shared" si="217"/>
        <v>9733</v>
      </c>
      <c r="BE103" s="140">
        <f t="shared" si="217"/>
        <v>9911</v>
      </c>
      <c r="BF103" s="140">
        <f t="shared" si="217"/>
        <v>10093</v>
      </c>
      <c r="BG103" s="140">
        <f t="shared" si="217"/>
        <v>10271</v>
      </c>
      <c r="BH103" s="140">
        <f t="shared" si="217"/>
        <v>10452</v>
      </c>
      <c r="BI103" s="140">
        <f t="shared" si="217"/>
        <v>10630</v>
      </c>
      <c r="BJ103" s="140">
        <f t="shared" si="217"/>
        <v>10812</v>
      </c>
      <c r="BK103" s="140">
        <f t="shared" si="217"/>
        <v>10990</v>
      </c>
      <c r="BL103" s="140">
        <f t="shared" si="217"/>
        <v>11172</v>
      </c>
      <c r="BM103" s="140">
        <f t="shared" si="217"/>
        <v>11350</v>
      </c>
      <c r="BN103" s="140">
        <f t="shared" ref="BN103:CB103" si="218">DAYS360($B$3,BN32)</f>
        <v>11532</v>
      </c>
      <c r="BO103" s="140">
        <f t="shared" si="218"/>
        <v>11710</v>
      </c>
      <c r="BP103" s="140">
        <f t="shared" si="218"/>
        <v>11891</v>
      </c>
      <c r="BQ103" s="140">
        <f t="shared" si="218"/>
        <v>12069</v>
      </c>
      <c r="BR103" s="140">
        <f t="shared" si="218"/>
        <v>12251</v>
      </c>
      <c r="BS103" s="140">
        <f t="shared" si="218"/>
        <v>12429</v>
      </c>
      <c r="BT103" s="140">
        <f t="shared" si="218"/>
        <v>12611</v>
      </c>
      <c r="BU103" s="140">
        <f t="shared" si="218"/>
        <v>12789</v>
      </c>
      <c r="BV103" s="140">
        <f t="shared" si="218"/>
        <v>12971</v>
      </c>
      <c r="BW103" s="140">
        <f t="shared" si="218"/>
        <v>13149</v>
      </c>
      <c r="BX103" s="140">
        <f t="shared" si="218"/>
        <v>13330</v>
      </c>
      <c r="BY103" s="140">
        <f t="shared" si="218"/>
        <v>13508</v>
      </c>
      <c r="BZ103" s="140">
        <f t="shared" si="218"/>
        <v>13690</v>
      </c>
      <c r="CA103" s="140">
        <f t="shared" si="218"/>
        <v>13868</v>
      </c>
      <c r="CB103" s="140">
        <f t="shared" si="218"/>
        <v>14050</v>
      </c>
      <c r="CC103" s="17"/>
      <c r="CD103" s="17"/>
      <c r="CE103" s="17"/>
    </row>
    <row r="104" spans="1:83">
      <c r="A104" s="16" t="s">
        <v>41</v>
      </c>
      <c r="B104" s="140">
        <f>B103/360</f>
        <v>5.5555555555555552E-2</v>
      </c>
      <c r="C104" s="140">
        <f t="shared" ref="C104:BN104" si="219">C103/360</f>
        <v>0.55000000000000004</v>
      </c>
      <c r="D104" s="140">
        <f t="shared" si="219"/>
        <v>1.0527777777777778</v>
      </c>
      <c r="E104" s="140">
        <f t="shared" si="219"/>
        <v>1.5472222222222223</v>
      </c>
      <c r="F104" s="140">
        <f t="shared" si="219"/>
        <v>2.0527777777777776</v>
      </c>
      <c r="G104" s="140">
        <f t="shared" si="219"/>
        <v>2.5472222222222221</v>
      </c>
      <c r="H104" s="140">
        <f t="shared" si="219"/>
        <v>3.0527777777777776</v>
      </c>
      <c r="I104" s="140">
        <f t="shared" si="219"/>
        <v>3.5472222222222221</v>
      </c>
      <c r="J104" s="140">
        <f t="shared" si="219"/>
        <v>4.052777777777778</v>
      </c>
      <c r="K104" s="140">
        <f t="shared" si="219"/>
        <v>4.5472222222222225</v>
      </c>
      <c r="L104" s="140">
        <f t="shared" si="219"/>
        <v>5.05</v>
      </c>
      <c r="M104" s="140">
        <f t="shared" si="219"/>
        <v>5.5444444444444443</v>
      </c>
      <c r="N104" s="140">
        <f t="shared" si="219"/>
        <v>6.05</v>
      </c>
      <c r="O104" s="140">
        <f t="shared" si="219"/>
        <v>6.5444444444444443</v>
      </c>
      <c r="P104" s="140">
        <f t="shared" si="219"/>
        <v>7.05</v>
      </c>
      <c r="Q104" s="140">
        <f t="shared" si="219"/>
        <v>7.5444444444444443</v>
      </c>
      <c r="R104" s="140">
        <f t="shared" si="219"/>
        <v>8.0500000000000007</v>
      </c>
      <c r="S104" s="140">
        <f t="shared" si="219"/>
        <v>8.5444444444444443</v>
      </c>
      <c r="T104" s="140">
        <f t="shared" si="219"/>
        <v>9.0472222222222225</v>
      </c>
      <c r="U104" s="140">
        <f t="shared" si="219"/>
        <v>9.5416666666666661</v>
      </c>
      <c r="V104" s="140">
        <f t="shared" si="219"/>
        <v>10.047222222222222</v>
      </c>
      <c r="W104" s="140">
        <f t="shared" si="219"/>
        <v>10.541666666666666</v>
      </c>
      <c r="X104" s="140">
        <f t="shared" si="219"/>
        <v>11.047222222222222</v>
      </c>
      <c r="Y104" s="140">
        <f t="shared" si="219"/>
        <v>11.541666666666666</v>
      </c>
      <c r="Z104" s="140">
        <f t="shared" si="219"/>
        <v>12.047222222222222</v>
      </c>
      <c r="AA104" s="140">
        <f t="shared" si="219"/>
        <v>12.541666666666666</v>
      </c>
      <c r="AB104" s="140">
        <f t="shared" si="219"/>
        <v>13.044444444444444</v>
      </c>
      <c r="AC104" s="140">
        <f t="shared" si="219"/>
        <v>13.53888888888889</v>
      </c>
      <c r="AD104" s="140">
        <f t="shared" si="219"/>
        <v>14.044444444444444</v>
      </c>
      <c r="AE104" s="140">
        <f t="shared" si="219"/>
        <v>14.53888888888889</v>
      </c>
      <c r="AF104" s="140">
        <f t="shared" si="219"/>
        <v>15.044444444444444</v>
      </c>
      <c r="AG104" s="140">
        <f t="shared" si="219"/>
        <v>15.53888888888889</v>
      </c>
      <c r="AH104" s="140">
        <f t="shared" si="219"/>
        <v>16.044444444444444</v>
      </c>
      <c r="AI104" s="140">
        <f t="shared" si="219"/>
        <v>16.538888888888888</v>
      </c>
      <c r="AJ104" s="140">
        <f t="shared" si="219"/>
        <v>17.041666666666668</v>
      </c>
      <c r="AK104" s="140">
        <f t="shared" si="219"/>
        <v>17.536111111111111</v>
      </c>
      <c r="AL104" s="140">
        <f t="shared" si="219"/>
        <v>18.041666666666668</v>
      </c>
      <c r="AM104" s="140">
        <f t="shared" si="219"/>
        <v>18.536111111111111</v>
      </c>
      <c r="AN104" s="140">
        <f t="shared" si="219"/>
        <v>19.041666666666668</v>
      </c>
      <c r="AO104" s="140">
        <f t="shared" si="219"/>
        <v>19.536111111111111</v>
      </c>
      <c r="AP104" s="140">
        <f t="shared" si="219"/>
        <v>20.041666666666668</v>
      </c>
      <c r="AQ104" s="140">
        <f t="shared" si="219"/>
        <v>20.536111111111111</v>
      </c>
      <c r="AR104" s="140">
        <f t="shared" si="219"/>
        <v>21.038888888888888</v>
      </c>
      <c r="AS104" s="140">
        <f t="shared" si="219"/>
        <v>21.533333333333335</v>
      </c>
      <c r="AT104" s="140">
        <f t="shared" si="219"/>
        <v>22.038888888888888</v>
      </c>
      <c r="AU104" s="140">
        <f t="shared" si="219"/>
        <v>22.533333333333335</v>
      </c>
      <c r="AV104" s="140">
        <f t="shared" si="219"/>
        <v>23.038888888888888</v>
      </c>
      <c r="AW104" s="140">
        <f t="shared" si="219"/>
        <v>23.533333333333335</v>
      </c>
      <c r="AX104" s="140">
        <f t="shared" si="219"/>
        <v>24.038888888888888</v>
      </c>
      <c r="AY104" s="140">
        <f t="shared" si="219"/>
        <v>24.533333333333335</v>
      </c>
      <c r="AZ104" s="140">
        <f t="shared" si="219"/>
        <v>25.036111111111111</v>
      </c>
      <c r="BA104" s="140">
        <f t="shared" si="219"/>
        <v>25.530555555555555</v>
      </c>
      <c r="BB104" s="140">
        <f t="shared" si="219"/>
        <v>26.036111111111111</v>
      </c>
      <c r="BC104" s="140">
        <f t="shared" si="219"/>
        <v>26.530555555555555</v>
      </c>
      <c r="BD104" s="140">
        <f t="shared" si="219"/>
        <v>27.036111111111111</v>
      </c>
      <c r="BE104" s="140">
        <f t="shared" si="219"/>
        <v>27.530555555555555</v>
      </c>
      <c r="BF104" s="140">
        <f t="shared" si="219"/>
        <v>28.036111111111111</v>
      </c>
      <c r="BG104" s="140">
        <f t="shared" si="219"/>
        <v>28.530555555555555</v>
      </c>
      <c r="BH104" s="140">
        <f t="shared" si="219"/>
        <v>29.033333333333335</v>
      </c>
      <c r="BI104" s="140">
        <f t="shared" si="219"/>
        <v>29.527777777777779</v>
      </c>
      <c r="BJ104" s="140">
        <f t="shared" si="219"/>
        <v>30.033333333333335</v>
      </c>
      <c r="BK104" s="140">
        <f t="shared" si="219"/>
        <v>30.527777777777779</v>
      </c>
      <c r="BL104" s="140">
        <f t="shared" si="219"/>
        <v>31.033333333333335</v>
      </c>
      <c r="BM104" s="140">
        <f t="shared" si="219"/>
        <v>31.527777777777779</v>
      </c>
      <c r="BN104" s="140">
        <f t="shared" si="219"/>
        <v>32.033333333333331</v>
      </c>
      <c r="BO104" s="140">
        <f t="shared" ref="BO104:CB104" si="220">BO103/360</f>
        <v>32.527777777777779</v>
      </c>
      <c r="BP104" s="140">
        <f t="shared" si="220"/>
        <v>33.030555555555559</v>
      </c>
      <c r="BQ104" s="140">
        <f t="shared" si="220"/>
        <v>33.524999999999999</v>
      </c>
      <c r="BR104" s="140">
        <f t="shared" si="220"/>
        <v>34.030555555555559</v>
      </c>
      <c r="BS104" s="140">
        <f t="shared" si="220"/>
        <v>34.524999999999999</v>
      </c>
      <c r="BT104" s="140">
        <f t="shared" si="220"/>
        <v>35.030555555555559</v>
      </c>
      <c r="BU104" s="140">
        <f t="shared" si="220"/>
        <v>35.524999999999999</v>
      </c>
      <c r="BV104" s="140">
        <f t="shared" si="220"/>
        <v>36.030555555555559</v>
      </c>
      <c r="BW104" s="140">
        <f t="shared" si="220"/>
        <v>36.524999999999999</v>
      </c>
      <c r="BX104" s="140">
        <f t="shared" si="220"/>
        <v>37.027777777777779</v>
      </c>
      <c r="BY104" s="140">
        <f t="shared" si="220"/>
        <v>37.522222222222226</v>
      </c>
      <c r="BZ104" s="140">
        <f t="shared" si="220"/>
        <v>38.027777777777779</v>
      </c>
      <c r="CA104" s="140">
        <f t="shared" si="220"/>
        <v>38.522222222222226</v>
      </c>
      <c r="CB104" s="140">
        <f t="shared" si="220"/>
        <v>39.027777777777779</v>
      </c>
      <c r="CC104" s="17"/>
      <c r="CD104" s="17"/>
      <c r="CE104" s="17"/>
    </row>
    <row r="105" spans="1:83">
      <c r="A105" s="16" t="s">
        <v>43</v>
      </c>
      <c r="B105" s="140">
        <f>IF(B103&lt;0,0,$B$5+$B$6*((1-EXP(-B104/$B$9))/(B104/$B$9))+$B$7*((1-EXP(-B104/$B$9))/(B104/$B$9)-EXP(-B104/$B$9))+$B$8*((1-EXP(-B104/$B$10))/(B104/$B$10)-EXP(-B104/$B$10)))</f>
        <v>8.2764988792857052E-3</v>
      </c>
      <c r="C105" s="140">
        <f t="shared" ref="C105:BN105" si="221">IF(C103&lt;0,0,$B$5+$B$6*((1-EXP(-C104/$B$9))/(C104/$B$9))+$B$7*((1-EXP(-C104/$B$9))/(C104/$B$9)-EXP(-C104/$B$9))+$B$8*((1-EXP(-C104/$B$10))/(C104/$B$10)-EXP(-C104/$B$10)))</f>
        <v>7.3028593642107077E-3</v>
      </c>
      <c r="D105" s="140">
        <f t="shared" si="221"/>
        <v>6.5267155698988354E-3</v>
      </c>
      <c r="E105" s="140">
        <f t="shared" si="221"/>
        <v>5.9460137474415357E-3</v>
      </c>
      <c r="F105" s="140">
        <f t="shared" si="221"/>
        <v>5.5140694759139696E-3</v>
      </c>
      <c r="G105" s="140">
        <f t="shared" si="221"/>
        <v>5.2280360977632967E-3</v>
      </c>
      <c r="H105" s="140">
        <f t="shared" si="221"/>
        <v>5.0551995460983599E-3</v>
      </c>
      <c r="I105" s="140">
        <f t="shared" si="221"/>
        <v>4.9861527216115116E-3</v>
      </c>
      <c r="J105" s="140">
        <f t="shared" si="221"/>
        <v>5.0023609128132755E-3</v>
      </c>
      <c r="K105" s="140">
        <f t="shared" si="221"/>
        <v>5.0899307052893073E-3</v>
      </c>
      <c r="L105" s="140">
        <f t="shared" si="221"/>
        <v>5.2398889671694121E-3</v>
      </c>
      <c r="M105" s="140">
        <f t="shared" si="221"/>
        <v>5.4371482234945511E-3</v>
      </c>
      <c r="N105" s="140">
        <f t="shared" si="221"/>
        <v>5.6807334584393285E-3</v>
      </c>
      <c r="O105" s="140">
        <f t="shared" si="221"/>
        <v>5.95215345634411E-3</v>
      </c>
      <c r="P105" s="140">
        <f t="shared" si="221"/>
        <v>6.2566118635969687E-3</v>
      </c>
      <c r="Q105" s="140">
        <f t="shared" si="221"/>
        <v>6.5748155631721265E-3</v>
      </c>
      <c r="R105" s="140">
        <f t="shared" si="221"/>
        <v>6.9157805219007508E-3</v>
      </c>
      <c r="S105" s="140">
        <f t="shared" si="221"/>
        <v>7.260077850214171E-3</v>
      </c>
      <c r="T105" s="140">
        <f t="shared" si="221"/>
        <v>7.6172476155674544E-3</v>
      </c>
      <c r="U105" s="140">
        <f t="shared" si="221"/>
        <v>7.9721698767895692E-3</v>
      </c>
      <c r="V105" s="140">
        <f t="shared" si="221"/>
        <v>8.3359326032474354E-3</v>
      </c>
      <c r="W105" s="140">
        <f t="shared" si="221"/>
        <v>8.6901428084512136E-3</v>
      </c>
      <c r="X105" s="140">
        <f t="shared" si="221"/>
        <v>9.0486235507974896E-3</v>
      </c>
      <c r="Y105" s="140">
        <f t="shared" si="221"/>
        <v>9.3939057133490562E-3</v>
      </c>
      <c r="Z105" s="140">
        <f t="shared" si="221"/>
        <v>9.7400367525031662E-3</v>
      </c>
      <c r="AA105" s="140">
        <f t="shared" si="221"/>
        <v>1.0070622910259175E-2</v>
      </c>
      <c r="AB105" s="140">
        <f t="shared" si="221"/>
        <v>1.0397750757242721E-2</v>
      </c>
      <c r="AC105" s="140">
        <f t="shared" si="221"/>
        <v>1.0709807329030634E-2</v>
      </c>
      <c r="AD105" s="140">
        <f t="shared" si="221"/>
        <v>1.1018358212941337E-2</v>
      </c>
      <c r="AE105" s="140">
        <f t="shared" si="221"/>
        <v>1.130937665343161E-2</v>
      </c>
      <c r="AF105" s="140">
        <f t="shared" si="221"/>
        <v>1.1595592215962999E-2</v>
      </c>
      <c r="AG105" s="140">
        <f t="shared" si="221"/>
        <v>1.1864191737822716E-2</v>
      </c>
      <c r="AH105" s="140">
        <f t="shared" si="221"/>
        <v>1.2127103062173969E-2</v>
      </c>
      <c r="AI105" s="140">
        <f t="shared" si="221"/>
        <v>1.2372709039067236E-2</v>
      </c>
      <c r="AJ105" s="140">
        <f t="shared" si="221"/>
        <v>1.2610772657688596E-2</v>
      </c>
      <c r="AK105" s="140">
        <f t="shared" si="221"/>
        <v>1.2833466169370927E-2</v>
      </c>
      <c r="AL105" s="140">
        <f t="shared" si="221"/>
        <v>1.3049566081308386E-2</v>
      </c>
      <c r="AM105" s="140">
        <f t="shared" si="221"/>
        <v>1.3249726373084639E-2</v>
      </c>
      <c r="AN105" s="140">
        <f t="shared" si="221"/>
        <v>1.3443135056364425E-2</v>
      </c>
      <c r="AO105" s="140">
        <f t="shared" si="221"/>
        <v>1.3621504612100384E-2</v>
      </c>
      <c r="AP105" s="140">
        <f t="shared" si="221"/>
        <v>1.3793094950048511E-2</v>
      </c>
      <c r="AQ105" s="140">
        <f t="shared" si="221"/>
        <v>1.3950617485761027E-2</v>
      </c>
      <c r="AR105" s="140">
        <f t="shared" si="221"/>
        <v>1.4100626604374807E-2</v>
      </c>
      <c r="AS105" s="140">
        <f t="shared" si="221"/>
        <v>1.4238426020167743E-2</v>
      </c>
      <c r="AT105" s="140">
        <f t="shared" si="221"/>
        <v>1.4369645405550177E-2</v>
      </c>
      <c r="AU105" s="140">
        <f t="shared" si="221"/>
        <v>1.448880641252626E-2</v>
      </c>
      <c r="AV105" s="140">
        <f t="shared" si="221"/>
        <v>1.4601565360601755E-2</v>
      </c>
      <c r="AW105" s="140">
        <f t="shared" si="221"/>
        <v>1.470325837352756E-2</v>
      </c>
      <c r="AX105" s="140">
        <f t="shared" si="221"/>
        <v>1.4798756225779149E-2</v>
      </c>
      <c r="AY105" s="140">
        <f t="shared" si="221"/>
        <v>1.4884150373285318E-2</v>
      </c>
      <c r="AZ105" s="140">
        <f t="shared" si="221"/>
        <v>1.4963157885705559E-2</v>
      </c>
      <c r="BA105" s="140">
        <f t="shared" si="221"/>
        <v>1.5033439667369799E-2</v>
      </c>
      <c r="BB105" s="140">
        <f t="shared" si="221"/>
        <v>1.5097980642543961E-2</v>
      </c>
      <c r="BC105" s="140">
        <f t="shared" si="221"/>
        <v>1.5154214070689797E-2</v>
      </c>
      <c r="BD105" s="140">
        <f t="shared" si="221"/>
        <v>1.5204939135880982E-2</v>
      </c>
      <c r="BE105" s="140">
        <f t="shared" si="221"/>
        <v>1.5248183358952731E-2</v>
      </c>
      <c r="BF105" s="140">
        <f t="shared" si="221"/>
        <v>1.5286148019166047E-2</v>
      </c>
      <c r="BG105" s="140">
        <f t="shared" si="221"/>
        <v>1.531740732721551E-2</v>
      </c>
      <c r="BH105" s="140">
        <f t="shared" si="221"/>
        <v>1.5343480438668613E-2</v>
      </c>
      <c r="BI105" s="140">
        <f t="shared" si="221"/>
        <v>1.5363730236046409E-2</v>
      </c>
      <c r="BJ105" s="140">
        <f t="shared" si="221"/>
        <v>1.5379134444674199E-2</v>
      </c>
      <c r="BK105" s="140">
        <f t="shared" si="221"/>
        <v>1.5389229346375407E-2</v>
      </c>
      <c r="BL105" s="140">
        <f t="shared" si="221"/>
        <v>1.5394680860098169E-2</v>
      </c>
      <c r="BM105" s="140">
        <f t="shared" si="221"/>
        <v>1.5395448095484043E-2</v>
      </c>
      <c r="BN105" s="140">
        <f t="shared" si="221"/>
        <v>1.5391762863113476E-2</v>
      </c>
      <c r="BO105" s="140">
        <f t="shared" ref="BO105:CB105" si="222">IF(BO103&lt;0,0,$B$5+$B$6*((1-EXP(-BO104/$B$9))/(BO104/$B$9))+$B$7*((1-EXP(-BO104/$B$9))/(BO104/$B$9)-EXP(-BO104/$B$9))+$B$8*((1-EXP(-BO104/$B$10))/(BO104/$B$10)-EXP(-BO104/$B$10)))</f>
        <v>1.538397168240571E-2</v>
      </c>
      <c r="BP105" s="140">
        <f t="shared" si="222"/>
        <v>1.5371984660659961E-2</v>
      </c>
      <c r="BQ105" s="140">
        <f t="shared" si="222"/>
        <v>1.5356369312070416E-2</v>
      </c>
      <c r="BR105" s="140">
        <f t="shared" si="222"/>
        <v>1.5336648193228927E-2</v>
      </c>
      <c r="BS105" s="140">
        <f t="shared" si="222"/>
        <v>1.5313846225229246E-2</v>
      </c>
      <c r="BT105" s="140">
        <f t="shared" si="222"/>
        <v>1.5287095055264001E-2</v>
      </c>
      <c r="BU105" s="140">
        <f t="shared" si="222"/>
        <v>1.5257716466501932E-2</v>
      </c>
      <c r="BV105" s="140">
        <f t="shared" si="222"/>
        <v>1.5224534410645293E-2</v>
      </c>
      <c r="BW105" s="140">
        <f t="shared" si="222"/>
        <v>1.518914197453728E-2</v>
      </c>
      <c r="BX105" s="140">
        <f t="shared" si="222"/>
        <v>1.5150303830246129E-2</v>
      </c>
      <c r="BY105" s="140">
        <f t="shared" si="222"/>
        <v>1.5109430811779897E-2</v>
      </c>
      <c r="BZ105" s="140">
        <f t="shared" si="222"/>
        <v>1.5065015180959696E-2</v>
      </c>
      <c r="CA105" s="140">
        <f t="shared" si="222"/>
        <v>1.5019123411897956E-2</v>
      </c>
      <c r="CB105" s="140">
        <f t="shared" si="222"/>
        <v>1.4969805747965741E-2</v>
      </c>
      <c r="CC105" s="17"/>
      <c r="CD105" s="17"/>
      <c r="CE105" s="17"/>
    </row>
    <row r="106" spans="1:83">
      <c r="A106" s="16" t="s">
        <v>44</v>
      </c>
      <c r="B106" s="140">
        <f>EXP(-B105*B104)</f>
        <v>0.999540300201052</v>
      </c>
      <c r="C106" s="140">
        <f t="shared" ref="C106:AR106" si="223">EXP(-C105*C104)</f>
        <v>0.9959914829886497</v>
      </c>
      <c r="D106" s="140">
        <f t="shared" si="223"/>
        <v>0.99315237147550717</v>
      </c>
      <c r="E106" s="140">
        <f t="shared" si="223"/>
        <v>0.99084238412355163</v>
      </c>
      <c r="F106" s="140">
        <f t="shared" si="223"/>
        <v>0.9887446613724884</v>
      </c>
      <c r="G106" s="140">
        <f t="shared" si="223"/>
        <v>0.98677130881251696</v>
      </c>
      <c r="H106" s="140">
        <f t="shared" si="223"/>
        <v>0.98468606845642714</v>
      </c>
      <c r="I106" s="140">
        <f t="shared" si="223"/>
        <v>0.98246850499476757</v>
      </c>
      <c r="J106" s="140">
        <f t="shared" si="223"/>
        <v>0.97993066762282843</v>
      </c>
      <c r="K106" s="140">
        <f t="shared" si="223"/>
        <v>0.97712074602617682</v>
      </c>
      <c r="L106" s="140">
        <f t="shared" si="223"/>
        <v>0.9738855968372111</v>
      </c>
      <c r="M106" s="140">
        <f t="shared" si="223"/>
        <v>0.97030389157983354</v>
      </c>
      <c r="N106" s="140">
        <f t="shared" si="223"/>
        <v>0.96621544911877022</v>
      </c>
      <c r="O106" s="140">
        <f t="shared" si="223"/>
        <v>0.96179539541152981</v>
      </c>
      <c r="P106" s="140">
        <f t="shared" si="223"/>
        <v>0.95684954644144249</v>
      </c>
      <c r="Q106" s="140">
        <f t="shared" si="223"/>
        <v>0.95160682281043429</v>
      </c>
      <c r="R106" s="140">
        <f t="shared" si="223"/>
        <v>0.94584929219154334</v>
      </c>
      <c r="S106" s="140">
        <f t="shared" si="223"/>
        <v>0.93985155927450736</v>
      </c>
      <c r="T106" s="140">
        <f t="shared" si="223"/>
        <v>0.93340607978294965</v>
      </c>
      <c r="U106" s="140">
        <f t="shared" si="223"/>
        <v>0.92675338206623947</v>
      </c>
      <c r="V106" s="140">
        <f t="shared" si="223"/>
        <v>0.91965841374255708</v>
      </c>
      <c r="W106" s="140">
        <f t="shared" si="223"/>
        <v>0.91246222761897777</v>
      </c>
      <c r="X106" s="140">
        <f t="shared" si="223"/>
        <v>0.90487166210139069</v>
      </c>
      <c r="Y106" s="140">
        <f t="shared" si="223"/>
        <v>0.89724948005530536</v>
      </c>
      <c r="Z106" s="140">
        <f t="shared" si="223"/>
        <v>0.88928244127079692</v>
      </c>
      <c r="AA106" s="140">
        <f t="shared" si="223"/>
        <v>0.88134829057927178</v>
      </c>
      <c r="AB106" s="140">
        <f t="shared" si="223"/>
        <v>0.87316312746908287</v>
      </c>
      <c r="AC106" s="140">
        <f t="shared" si="223"/>
        <v>0.86502325203246788</v>
      </c>
      <c r="AD106" s="140">
        <f t="shared" si="223"/>
        <v>0.85663211797126959</v>
      </c>
      <c r="AE106" s="140">
        <f t="shared" si="223"/>
        <v>0.84838072942775711</v>
      </c>
      <c r="AF106" s="140">
        <f t="shared" si="223"/>
        <v>0.83991948503005653</v>
      </c>
      <c r="AG106" s="140">
        <f t="shared" si="223"/>
        <v>0.83163939035525158</v>
      </c>
      <c r="AH106" s="140">
        <f t="shared" si="223"/>
        <v>0.82318638694404833</v>
      </c>
      <c r="AI106" s="140">
        <f t="shared" si="223"/>
        <v>0.81494809079019415</v>
      </c>
      <c r="AJ106" s="140">
        <f t="shared" si="223"/>
        <v>0.80661517430638319</v>
      </c>
      <c r="AK106" s="140">
        <f t="shared" si="223"/>
        <v>0.79847702160890655</v>
      </c>
      <c r="AL106" s="140">
        <f t="shared" si="223"/>
        <v>0.790226297994296</v>
      </c>
      <c r="AM106" s="140">
        <f t="shared" si="223"/>
        <v>0.78223630776432751</v>
      </c>
      <c r="AN106" s="140">
        <f t="shared" si="223"/>
        <v>0.77415768658978157</v>
      </c>
      <c r="AO106" s="140">
        <f t="shared" si="223"/>
        <v>0.76635388305525631</v>
      </c>
      <c r="AP106" s="140">
        <f t="shared" si="223"/>
        <v>0.75848169678376054</v>
      </c>
      <c r="AQ106" s="140">
        <f t="shared" si="223"/>
        <v>0.75089351309310359</v>
      </c>
      <c r="AR106" s="140">
        <f t="shared" si="223"/>
        <v>0.74329556314979806</v>
      </c>
      <c r="AS106" s="140">
        <f>EXP(-AS105*AS104)</f>
        <v>0.73594435065551489</v>
      </c>
      <c r="AT106" s="140">
        <f t="shared" ref="AT106:CA106" si="224">EXP(-AT105*AT104)</f>
        <v>0.72855583065023233</v>
      </c>
      <c r="AU106" s="140">
        <f t="shared" si="224"/>
        <v>0.72145800723277476</v>
      </c>
      <c r="AV106" s="140">
        <f t="shared" si="224"/>
        <v>0.7143345692953067</v>
      </c>
      <c r="AW106" s="140">
        <f t="shared" si="224"/>
        <v>0.7075006856204672</v>
      </c>
      <c r="AX106" s="140">
        <f t="shared" si="224"/>
        <v>0.70065080347831199</v>
      </c>
      <c r="AY106" s="140">
        <f t="shared" si="224"/>
        <v>0.6940870996781574</v>
      </c>
      <c r="AZ106" s="140">
        <f t="shared" si="224"/>
        <v>0.68755099104460782</v>
      </c>
      <c r="BA106" s="140">
        <f t="shared" si="224"/>
        <v>0.68125944654082482</v>
      </c>
      <c r="BB106" s="140">
        <f t="shared" si="224"/>
        <v>0.67496617426674554</v>
      </c>
      <c r="BC106" s="140">
        <f t="shared" si="224"/>
        <v>0.66894748592960218</v>
      </c>
      <c r="BD106" s="140">
        <f t="shared" si="224"/>
        <v>0.66293228787399827</v>
      </c>
      <c r="BE106" s="140">
        <f t="shared" si="224"/>
        <v>0.65718418384035493</v>
      </c>
      <c r="BF106" s="140">
        <f t="shared" si="224"/>
        <v>0.65144380279016512</v>
      </c>
      <c r="BG106" s="140">
        <f t="shared" si="224"/>
        <v>0.64596229697652618</v>
      </c>
      <c r="BH106" s="140">
        <f t="shared" si="224"/>
        <v>0.64052163362177172</v>
      </c>
      <c r="BI106" s="140">
        <f t="shared" si="224"/>
        <v>0.63530072326528586</v>
      </c>
      <c r="BJ106" s="140">
        <f t="shared" si="224"/>
        <v>0.63009374369196736</v>
      </c>
      <c r="BK106" s="140">
        <f t="shared" si="224"/>
        <v>0.62512792283232144</v>
      </c>
      <c r="BL106" s="140">
        <f t="shared" si="224"/>
        <v>0.62017829934851065</v>
      </c>
      <c r="BM106" s="140">
        <f t="shared" si="224"/>
        <v>0.61546065050493159</v>
      </c>
      <c r="BN106" s="140">
        <f t="shared" si="224"/>
        <v>0.61076105373603129</v>
      </c>
      <c r="BO106" s="140">
        <f t="shared" si="224"/>
        <v>0.60628420832155927</v>
      </c>
      <c r="BP106" s="140">
        <f t="shared" si="224"/>
        <v>0.60185110790053276</v>
      </c>
      <c r="BQ106" s="140">
        <f t="shared" si="224"/>
        <v>0.59760679115086524</v>
      </c>
      <c r="BR106" s="140">
        <f t="shared" si="224"/>
        <v>0.59338333325975112</v>
      </c>
      <c r="BS106" s="140">
        <f t="shared" si="224"/>
        <v>0.58936444124600584</v>
      </c>
      <c r="BT106" s="140">
        <f t="shared" si="224"/>
        <v>0.58536749487442441</v>
      </c>
      <c r="BU106" s="140">
        <f t="shared" si="224"/>
        <v>0.58156625380793137</v>
      </c>
      <c r="BV106" s="140">
        <f t="shared" si="224"/>
        <v>0.5777878998736411</v>
      </c>
      <c r="BW106" s="140">
        <f t="shared" si="224"/>
        <v>0.57419661261769106</v>
      </c>
      <c r="BX106" s="140">
        <f t="shared" si="224"/>
        <v>0.57064836422861775</v>
      </c>
      <c r="BY106" s="140">
        <f t="shared" si="224"/>
        <v>0.56725892560788971</v>
      </c>
      <c r="BZ106" s="140">
        <f t="shared" si="224"/>
        <v>0.5638939655402434</v>
      </c>
      <c r="CA106" s="140">
        <f t="shared" si="224"/>
        <v>0.56069958855647062</v>
      </c>
      <c r="CB106" s="140">
        <f>EXP(-CB105*CB104)</f>
        <v>0.55753039770210144</v>
      </c>
      <c r="CC106" s="17"/>
      <c r="CD106" s="17"/>
      <c r="CE106" s="17"/>
    </row>
    <row r="107" spans="1:83">
      <c r="A107" s="17"/>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17"/>
      <c r="CD107" s="17"/>
      <c r="CE107" s="17"/>
    </row>
    <row r="108" spans="1:83">
      <c r="A108" s="16" t="s">
        <v>40</v>
      </c>
      <c r="B108" s="140">
        <f t="shared" ref="B108:AG108" si="225">DAYS360($B$3,B34)</f>
        <v>20</v>
      </c>
      <c r="C108" s="140">
        <f t="shared" si="225"/>
        <v>198</v>
      </c>
      <c r="D108" s="140">
        <f t="shared" si="225"/>
        <v>379</v>
      </c>
      <c r="E108" s="140">
        <f t="shared" si="225"/>
        <v>557</v>
      </c>
      <c r="F108" s="140">
        <f t="shared" si="225"/>
        <v>739</v>
      </c>
      <c r="G108" s="140">
        <f t="shared" si="225"/>
        <v>917</v>
      </c>
      <c r="H108" s="140">
        <f t="shared" si="225"/>
        <v>1099</v>
      </c>
      <c r="I108" s="140">
        <f t="shared" si="225"/>
        <v>1277</v>
      </c>
      <c r="J108" s="140">
        <f t="shared" si="225"/>
        <v>1459</v>
      </c>
      <c r="K108" s="140">
        <f t="shared" si="225"/>
        <v>1637</v>
      </c>
      <c r="L108" s="140">
        <f t="shared" si="225"/>
        <v>1818</v>
      </c>
      <c r="M108" s="140">
        <f t="shared" si="225"/>
        <v>1996</v>
      </c>
      <c r="N108" s="140">
        <f t="shared" si="225"/>
        <v>2178</v>
      </c>
      <c r="O108" s="140">
        <f t="shared" si="225"/>
        <v>2356</v>
      </c>
      <c r="P108" s="140">
        <f t="shared" si="225"/>
        <v>2538</v>
      </c>
      <c r="Q108" s="140">
        <f t="shared" si="225"/>
        <v>2716</v>
      </c>
      <c r="R108" s="140">
        <f t="shared" si="225"/>
        <v>2898</v>
      </c>
      <c r="S108" s="140">
        <f t="shared" si="225"/>
        <v>3076</v>
      </c>
      <c r="T108" s="140">
        <f t="shared" si="225"/>
        <v>3257</v>
      </c>
      <c r="U108" s="140">
        <f t="shared" si="225"/>
        <v>3435</v>
      </c>
      <c r="V108" s="140">
        <f t="shared" si="225"/>
        <v>3617</v>
      </c>
      <c r="W108" s="140">
        <f t="shared" si="225"/>
        <v>3795</v>
      </c>
      <c r="X108" s="140">
        <f t="shared" si="225"/>
        <v>3977</v>
      </c>
      <c r="Y108" s="140">
        <f t="shared" si="225"/>
        <v>4155</v>
      </c>
      <c r="Z108" s="140">
        <f t="shared" si="225"/>
        <v>4337</v>
      </c>
      <c r="AA108" s="140">
        <f t="shared" si="225"/>
        <v>4515</v>
      </c>
      <c r="AB108" s="140">
        <f t="shared" si="225"/>
        <v>4696</v>
      </c>
      <c r="AC108" s="140">
        <f t="shared" si="225"/>
        <v>4874</v>
      </c>
      <c r="AD108" s="140">
        <f t="shared" si="225"/>
        <v>5056</v>
      </c>
      <c r="AE108" s="140">
        <f t="shared" si="225"/>
        <v>5234</v>
      </c>
      <c r="AF108" s="140">
        <f t="shared" si="225"/>
        <v>5416</v>
      </c>
      <c r="AG108" s="140">
        <f t="shared" si="225"/>
        <v>5594</v>
      </c>
      <c r="AH108" s="140">
        <f t="shared" ref="AH108:BM108" si="226">DAYS360($B$3,AH34)</f>
        <v>5776</v>
      </c>
      <c r="AI108" s="140">
        <f t="shared" si="226"/>
        <v>5954</v>
      </c>
      <c r="AJ108" s="140">
        <f t="shared" si="226"/>
        <v>6135</v>
      </c>
      <c r="AK108" s="140">
        <f t="shared" si="226"/>
        <v>6313</v>
      </c>
      <c r="AL108" s="140">
        <f t="shared" si="226"/>
        <v>6495</v>
      </c>
      <c r="AM108" s="140">
        <f t="shared" si="226"/>
        <v>6673</v>
      </c>
      <c r="AN108" s="140">
        <f t="shared" si="226"/>
        <v>6855</v>
      </c>
      <c r="AO108" s="140">
        <f t="shared" si="226"/>
        <v>7033</v>
      </c>
      <c r="AP108" s="140">
        <f t="shared" si="226"/>
        <v>7215</v>
      </c>
      <c r="AQ108" s="140">
        <f t="shared" si="226"/>
        <v>7393</v>
      </c>
      <c r="AR108" s="140">
        <f t="shared" si="226"/>
        <v>7574</v>
      </c>
      <c r="AS108" s="140">
        <f t="shared" si="226"/>
        <v>7752</v>
      </c>
      <c r="AT108" s="140">
        <f t="shared" si="226"/>
        <v>7934</v>
      </c>
      <c r="AU108" s="140">
        <f t="shared" si="226"/>
        <v>8112</v>
      </c>
      <c r="AV108" s="140">
        <f t="shared" si="226"/>
        <v>8294</v>
      </c>
      <c r="AW108" s="140">
        <f t="shared" si="226"/>
        <v>8472</v>
      </c>
      <c r="AX108" s="140">
        <f t="shared" si="226"/>
        <v>8654</v>
      </c>
      <c r="AY108" s="140">
        <f t="shared" si="226"/>
        <v>8832</v>
      </c>
      <c r="AZ108" s="140">
        <f t="shared" si="226"/>
        <v>9013</v>
      </c>
      <c r="BA108" s="140">
        <f t="shared" si="226"/>
        <v>9191</v>
      </c>
      <c r="BB108" s="140">
        <f t="shared" si="226"/>
        <v>9373</v>
      </c>
      <c r="BC108" s="140">
        <f t="shared" si="226"/>
        <v>9551</v>
      </c>
      <c r="BD108" s="140">
        <f t="shared" si="226"/>
        <v>9733</v>
      </c>
      <c r="BE108" s="140">
        <f t="shared" si="226"/>
        <v>9911</v>
      </c>
      <c r="BF108" s="140">
        <f t="shared" si="226"/>
        <v>10093</v>
      </c>
      <c r="BG108" s="140">
        <f t="shared" si="226"/>
        <v>10271</v>
      </c>
      <c r="BH108" s="140">
        <f t="shared" si="226"/>
        <v>10452</v>
      </c>
      <c r="BI108" s="140">
        <f t="shared" si="226"/>
        <v>10630</v>
      </c>
      <c r="BJ108" s="140">
        <f t="shared" si="226"/>
        <v>10812</v>
      </c>
      <c r="BK108" s="140">
        <f t="shared" si="226"/>
        <v>10990</v>
      </c>
      <c r="BL108" s="140">
        <f t="shared" si="226"/>
        <v>11172</v>
      </c>
      <c r="BM108" s="140">
        <f t="shared" si="226"/>
        <v>11350</v>
      </c>
      <c r="BN108" s="140">
        <f t="shared" ref="BN108:CB108" si="227">DAYS360($B$3,BN34)</f>
        <v>11532</v>
      </c>
      <c r="BO108" s="140">
        <f t="shared" si="227"/>
        <v>11710</v>
      </c>
      <c r="BP108" s="140">
        <f t="shared" si="227"/>
        <v>11891</v>
      </c>
      <c r="BQ108" s="140">
        <f t="shared" si="227"/>
        <v>12069</v>
      </c>
      <c r="BR108" s="140">
        <f t="shared" si="227"/>
        <v>12251</v>
      </c>
      <c r="BS108" s="140">
        <f t="shared" si="227"/>
        <v>12429</v>
      </c>
      <c r="BT108" s="140">
        <f t="shared" si="227"/>
        <v>12611</v>
      </c>
      <c r="BU108" s="140">
        <f t="shared" si="227"/>
        <v>12789</v>
      </c>
      <c r="BV108" s="140">
        <f t="shared" si="227"/>
        <v>12971</v>
      </c>
      <c r="BW108" s="140">
        <f t="shared" si="227"/>
        <v>13149</v>
      </c>
      <c r="BX108" s="140">
        <f t="shared" si="227"/>
        <v>13330</v>
      </c>
      <c r="BY108" s="140">
        <f t="shared" si="227"/>
        <v>13508</v>
      </c>
      <c r="BZ108" s="140">
        <f t="shared" si="227"/>
        <v>13690</v>
      </c>
      <c r="CA108" s="140">
        <f t="shared" si="227"/>
        <v>13868</v>
      </c>
      <c r="CB108" s="140">
        <f t="shared" si="227"/>
        <v>14050</v>
      </c>
      <c r="CC108" s="17"/>
      <c r="CD108" s="17"/>
      <c r="CE108" s="17"/>
    </row>
    <row r="109" spans="1:83">
      <c r="A109" s="16" t="s">
        <v>41</v>
      </c>
      <c r="B109" s="140">
        <f>B108/360</f>
        <v>5.5555555555555552E-2</v>
      </c>
      <c r="C109" s="140">
        <f t="shared" ref="C109:BN109" si="228">C108/360</f>
        <v>0.55000000000000004</v>
      </c>
      <c r="D109" s="140">
        <f t="shared" si="228"/>
        <v>1.0527777777777778</v>
      </c>
      <c r="E109" s="140">
        <f t="shared" si="228"/>
        <v>1.5472222222222223</v>
      </c>
      <c r="F109" s="140">
        <f t="shared" si="228"/>
        <v>2.0527777777777776</v>
      </c>
      <c r="G109" s="140">
        <f t="shared" si="228"/>
        <v>2.5472222222222221</v>
      </c>
      <c r="H109" s="140">
        <f t="shared" si="228"/>
        <v>3.0527777777777776</v>
      </c>
      <c r="I109" s="140">
        <f t="shared" si="228"/>
        <v>3.5472222222222221</v>
      </c>
      <c r="J109" s="140">
        <f t="shared" si="228"/>
        <v>4.052777777777778</v>
      </c>
      <c r="K109" s="140">
        <f t="shared" si="228"/>
        <v>4.5472222222222225</v>
      </c>
      <c r="L109" s="140">
        <f t="shared" si="228"/>
        <v>5.05</v>
      </c>
      <c r="M109" s="140">
        <f t="shared" si="228"/>
        <v>5.5444444444444443</v>
      </c>
      <c r="N109" s="140">
        <f t="shared" si="228"/>
        <v>6.05</v>
      </c>
      <c r="O109" s="140">
        <f t="shared" si="228"/>
        <v>6.5444444444444443</v>
      </c>
      <c r="P109" s="140">
        <f t="shared" si="228"/>
        <v>7.05</v>
      </c>
      <c r="Q109" s="140">
        <f t="shared" si="228"/>
        <v>7.5444444444444443</v>
      </c>
      <c r="R109" s="140">
        <f t="shared" si="228"/>
        <v>8.0500000000000007</v>
      </c>
      <c r="S109" s="140">
        <f t="shared" si="228"/>
        <v>8.5444444444444443</v>
      </c>
      <c r="T109" s="140">
        <f t="shared" si="228"/>
        <v>9.0472222222222225</v>
      </c>
      <c r="U109" s="140">
        <f t="shared" si="228"/>
        <v>9.5416666666666661</v>
      </c>
      <c r="V109" s="140">
        <f t="shared" si="228"/>
        <v>10.047222222222222</v>
      </c>
      <c r="W109" s="140">
        <f t="shared" si="228"/>
        <v>10.541666666666666</v>
      </c>
      <c r="X109" s="140">
        <f t="shared" si="228"/>
        <v>11.047222222222222</v>
      </c>
      <c r="Y109" s="140">
        <f t="shared" si="228"/>
        <v>11.541666666666666</v>
      </c>
      <c r="Z109" s="140">
        <f t="shared" si="228"/>
        <v>12.047222222222222</v>
      </c>
      <c r="AA109" s="140">
        <f t="shared" si="228"/>
        <v>12.541666666666666</v>
      </c>
      <c r="AB109" s="140">
        <f t="shared" si="228"/>
        <v>13.044444444444444</v>
      </c>
      <c r="AC109" s="140">
        <f t="shared" si="228"/>
        <v>13.53888888888889</v>
      </c>
      <c r="AD109" s="140">
        <f t="shared" si="228"/>
        <v>14.044444444444444</v>
      </c>
      <c r="AE109" s="140">
        <f t="shared" si="228"/>
        <v>14.53888888888889</v>
      </c>
      <c r="AF109" s="140">
        <f t="shared" si="228"/>
        <v>15.044444444444444</v>
      </c>
      <c r="AG109" s="140">
        <f t="shared" si="228"/>
        <v>15.53888888888889</v>
      </c>
      <c r="AH109" s="140">
        <f t="shared" si="228"/>
        <v>16.044444444444444</v>
      </c>
      <c r="AI109" s="140">
        <f t="shared" si="228"/>
        <v>16.538888888888888</v>
      </c>
      <c r="AJ109" s="140">
        <f t="shared" si="228"/>
        <v>17.041666666666668</v>
      </c>
      <c r="AK109" s="140">
        <f t="shared" si="228"/>
        <v>17.536111111111111</v>
      </c>
      <c r="AL109" s="140">
        <f t="shared" si="228"/>
        <v>18.041666666666668</v>
      </c>
      <c r="AM109" s="140">
        <f t="shared" si="228"/>
        <v>18.536111111111111</v>
      </c>
      <c r="AN109" s="140">
        <f t="shared" si="228"/>
        <v>19.041666666666668</v>
      </c>
      <c r="AO109" s="140">
        <f t="shared" si="228"/>
        <v>19.536111111111111</v>
      </c>
      <c r="AP109" s="140">
        <f t="shared" si="228"/>
        <v>20.041666666666668</v>
      </c>
      <c r="AQ109" s="140">
        <f t="shared" si="228"/>
        <v>20.536111111111111</v>
      </c>
      <c r="AR109" s="140">
        <f t="shared" si="228"/>
        <v>21.038888888888888</v>
      </c>
      <c r="AS109" s="140">
        <f t="shared" si="228"/>
        <v>21.533333333333335</v>
      </c>
      <c r="AT109" s="140">
        <f t="shared" si="228"/>
        <v>22.038888888888888</v>
      </c>
      <c r="AU109" s="140">
        <f t="shared" si="228"/>
        <v>22.533333333333335</v>
      </c>
      <c r="AV109" s="140">
        <f t="shared" si="228"/>
        <v>23.038888888888888</v>
      </c>
      <c r="AW109" s="140">
        <f t="shared" si="228"/>
        <v>23.533333333333335</v>
      </c>
      <c r="AX109" s="140">
        <f t="shared" si="228"/>
        <v>24.038888888888888</v>
      </c>
      <c r="AY109" s="140">
        <f t="shared" si="228"/>
        <v>24.533333333333335</v>
      </c>
      <c r="AZ109" s="140">
        <f t="shared" si="228"/>
        <v>25.036111111111111</v>
      </c>
      <c r="BA109" s="140">
        <f t="shared" si="228"/>
        <v>25.530555555555555</v>
      </c>
      <c r="BB109" s="140">
        <f t="shared" si="228"/>
        <v>26.036111111111111</v>
      </c>
      <c r="BC109" s="140">
        <f t="shared" si="228"/>
        <v>26.530555555555555</v>
      </c>
      <c r="BD109" s="140">
        <f t="shared" si="228"/>
        <v>27.036111111111111</v>
      </c>
      <c r="BE109" s="140">
        <f t="shared" si="228"/>
        <v>27.530555555555555</v>
      </c>
      <c r="BF109" s="140">
        <f t="shared" si="228"/>
        <v>28.036111111111111</v>
      </c>
      <c r="BG109" s="140">
        <f t="shared" si="228"/>
        <v>28.530555555555555</v>
      </c>
      <c r="BH109" s="140">
        <f t="shared" si="228"/>
        <v>29.033333333333335</v>
      </c>
      <c r="BI109" s="140">
        <f t="shared" si="228"/>
        <v>29.527777777777779</v>
      </c>
      <c r="BJ109" s="140">
        <f t="shared" si="228"/>
        <v>30.033333333333335</v>
      </c>
      <c r="BK109" s="140">
        <f t="shared" si="228"/>
        <v>30.527777777777779</v>
      </c>
      <c r="BL109" s="140">
        <f t="shared" si="228"/>
        <v>31.033333333333335</v>
      </c>
      <c r="BM109" s="140">
        <f t="shared" si="228"/>
        <v>31.527777777777779</v>
      </c>
      <c r="BN109" s="140">
        <f t="shared" si="228"/>
        <v>32.033333333333331</v>
      </c>
      <c r="BO109" s="140">
        <f t="shared" ref="BO109:CB109" si="229">BO108/360</f>
        <v>32.527777777777779</v>
      </c>
      <c r="BP109" s="140">
        <f t="shared" si="229"/>
        <v>33.030555555555559</v>
      </c>
      <c r="BQ109" s="140">
        <f t="shared" si="229"/>
        <v>33.524999999999999</v>
      </c>
      <c r="BR109" s="140">
        <f t="shared" si="229"/>
        <v>34.030555555555559</v>
      </c>
      <c r="BS109" s="140">
        <f t="shared" si="229"/>
        <v>34.524999999999999</v>
      </c>
      <c r="BT109" s="140">
        <f t="shared" si="229"/>
        <v>35.030555555555559</v>
      </c>
      <c r="BU109" s="140">
        <f t="shared" si="229"/>
        <v>35.524999999999999</v>
      </c>
      <c r="BV109" s="140">
        <f t="shared" si="229"/>
        <v>36.030555555555559</v>
      </c>
      <c r="BW109" s="140">
        <f t="shared" si="229"/>
        <v>36.524999999999999</v>
      </c>
      <c r="BX109" s="140">
        <f t="shared" si="229"/>
        <v>37.027777777777779</v>
      </c>
      <c r="BY109" s="140">
        <f t="shared" si="229"/>
        <v>37.522222222222226</v>
      </c>
      <c r="BZ109" s="140">
        <f t="shared" si="229"/>
        <v>38.027777777777779</v>
      </c>
      <c r="CA109" s="140">
        <f t="shared" si="229"/>
        <v>38.522222222222226</v>
      </c>
      <c r="CB109" s="140">
        <f t="shared" si="229"/>
        <v>39.027777777777779</v>
      </c>
      <c r="CC109" s="17"/>
      <c r="CD109" s="17"/>
      <c r="CE109" s="17"/>
    </row>
    <row r="110" spans="1:83">
      <c r="A110" s="16" t="s">
        <v>43</v>
      </c>
      <c r="B110" s="140">
        <f>IF(B108&lt;0,0,$B$5+$B$6*((1-EXP(-B109/$B$9))/(B109/$B$9))+$B$7*((1-EXP(-B109/$B$9))/(B109/$B$9)-EXP(-B109/$B$9))+$B$8*((1-EXP(-B109/$B$10))/(B109/$B$10)-EXP(-B109/$B$10)))</f>
        <v>8.2764988792857052E-3</v>
      </c>
      <c r="C110" s="140">
        <f t="shared" ref="C110:BN110" si="230">IF(C108&lt;0,0,$B$5+$B$6*((1-EXP(-C109/$B$9))/(C109/$B$9))+$B$7*((1-EXP(-C109/$B$9))/(C109/$B$9)-EXP(-C109/$B$9))+$B$8*((1-EXP(-C109/$B$10))/(C109/$B$10)-EXP(-C109/$B$10)))</f>
        <v>7.3028593642107077E-3</v>
      </c>
      <c r="D110" s="140">
        <f t="shared" si="230"/>
        <v>6.5267155698988354E-3</v>
      </c>
      <c r="E110" s="140">
        <f t="shared" si="230"/>
        <v>5.9460137474415357E-3</v>
      </c>
      <c r="F110" s="140">
        <f t="shared" si="230"/>
        <v>5.5140694759139696E-3</v>
      </c>
      <c r="G110" s="140">
        <f t="shared" si="230"/>
        <v>5.2280360977632967E-3</v>
      </c>
      <c r="H110" s="140">
        <f t="shared" si="230"/>
        <v>5.0551995460983599E-3</v>
      </c>
      <c r="I110" s="140">
        <f t="shared" si="230"/>
        <v>4.9861527216115116E-3</v>
      </c>
      <c r="J110" s="140">
        <f t="shared" si="230"/>
        <v>5.0023609128132755E-3</v>
      </c>
      <c r="K110" s="140">
        <f t="shared" si="230"/>
        <v>5.0899307052893073E-3</v>
      </c>
      <c r="L110" s="140">
        <f t="shared" si="230"/>
        <v>5.2398889671694121E-3</v>
      </c>
      <c r="M110" s="140">
        <f t="shared" si="230"/>
        <v>5.4371482234945511E-3</v>
      </c>
      <c r="N110" s="140">
        <f t="shared" si="230"/>
        <v>5.6807334584393285E-3</v>
      </c>
      <c r="O110" s="140">
        <f t="shared" si="230"/>
        <v>5.95215345634411E-3</v>
      </c>
      <c r="P110" s="140">
        <f t="shared" si="230"/>
        <v>6.2566118635969687E-3</v>
      </c>
      <c r="Q110" s="140">
        <f t="shared" si="230"/>
        <v>6.5748155631721265E-3</v>
      </c>
      <c r="R110" s="140">
        <f t="shared" si="230"/>
        <v>6.9157805219007508E-3</v>
      </c>
      <c r="S110" s="140">
        <f t="shared" si="230"/>
        <v>7.260077850214171E-3</v>
      </c>
      <c r="T110" s="140">
        <f t="shared" si="230"/>
        <v>7.6172476155674544E-3</v>
      </c>
      <c r="U110" s="140">
        <f t="shared" si="230"/>
        <v>7.9721698767895692E-3</v>
      </c>
      <c r="V110" s="140">
        <f t="shared" si="230"/>
        <v>8.3359326032474354E-3</v>
      </c>
      <c r="W110" s="140">
        <f t="shared" si="230"/>
        <v>8.6901428084512136E-3</v>
      </c>
      <c r="X110" s="140">
        <f t="shared" si="230"/>
        <v>9.0486235507974896E-3</v>
      </c>
      <c r="Y110" s="140">
        <f t="shared" si="230"/>
        <v>9.3939057133490562E-3</v>
      </c>
      <c r="Z110" s="140">
        <f t="shared" si="230"/>
        <v>9.7400367525031662E-3</v>
      </c>
      <c r="AA110" s="140">
        <f t="shared" si="230"/>
        <v>1.0070622910259175E-2</v>
      </c>
      <c r="AB110" s="140">
        <f t="shared" si="230"/>
        <v>1.0397750757242721E-2</v>
      </c>
      <c r="AC110" s="140">
        <f t="shared" si="230"/>
        <v>1.0709807329030634E-2</v>
      </c>
      <c r="AD110" s="140">
        <f t="shared" si="230"/>
        <v>1.1018358212941337E-2</v>
      </c>
      <c r="AE110" s="140">
        <f t="shared" si="230"/>
        <v>1.130937665343161E-2</v>
      </c>
      <c r="AF110" s="140">
        <f t="shared" si="230"/>
        <v>1.1595592215962999E-2</v>
      </c>
      <c r="AG110" s="140">
        <f t="shared" si="230"/>
        <v>1.1864191737822716E-2</v>
      </c>
      <c r="AH110" s="140">
        <f t="shared" si="230"/>
        <v>1.2127103062173969E-2</v>
      </c>
      <c r="AI110" s="140">
        <f t="shared" si="230"/>
        <v>1.2372709039067236E-2</v>
      </c>
      <c r="AJ110" s="140">
        <f t="shared" si="230"/>
        <v>1.2610772657688596E-2</v>
      </c>
      <c r="AK110" s="140">
        <f t="shared" si="230"/>
        <v>1.2833466169370927E-2</v>
      </c>
      <c r="AL110" s="140">
        <f t="shared" si="230"/>
        <v>1.3049566081308386E-2</v>
      </c>
      <c r="AM110" s="140">
        <f t="shared" si="230"/>
        <v>1.3249726373084639E-2</v>
      </c>
      <c r="AN110" s="140">
        <f t="shared" si="230"/>
        <v>1.3443135056364425E-2</v>
      </c>
      <c r="AO110" s="140">
        <f t="shared" si="230"/>
        <v>1.3621504612100384E-2</v>
      </c>
      <c r="AP110" s="140">
        <f t="shared" si="230"/>
        <v>1.3793094950048511E-2</v>
      </c>
      <c r="AQ110" s="140">
        <f t="shared" si="230"/>
        <v>1.3950617485761027E-2</v>
      </c>
      <c r="AR110" s="140">
        <f t="shared" si="230"/>
        <v>1.4100626604374807E-2</v>
      </c>
      <c r="AS110" s="140">
        <f t="shared" si="230"/>
        <v>1.4238426020167743E-2</v>
      </c>
      <c r="AT110" s="140">
        <f t="shared" si="230"/>
        <v>1.4369645405550177E-2</v>
      </c>
      <c r="AU110" s="140">
        <f t="shared" si="230"/>
        <v>1.448880641252626E-2</v>
      </c>
      <c r="AV110" s="140">
        <f t="shared" si="230"/>
        <v>1.4601565360601755E-2</v>
      </c>
      <c r="AW110" s="140">
        <f t="shared" si="230"/>
        <v>1.470325837352756E-2</v>
      </c>
      <c r="AX110" s="140">
        <f t="shared" si="230"/>
        <v>1.4798756225779149E-2</v>
      </c>
      <c r="AY110" s="140">
        <f t="shared" si="230"/>
        <v>1.4884150373285318E-2</v>
      </c>
      <c r="AZ110" s="140">
        <f t="shared" si="230"/>
        <v>1.4963157885705559E-2</v>
      </c>
      <c r="BA110" s="140">
        <f t="shared" si="230"/>
        <v>1.5033439667369799E-2</v>
      </c>
      <c r="BB110" s="140">
        <f t="shared" si="230"/>
        <v>1.5097980642543961E-2</v>
      </c>
      <c r="BC110" s="140">
        <f t="shared" si="230"/>
        <v>1.5154214070689797E-2</v>
      </c>
      <c r="BD110" s="140">
        <f t="shared" si="230"/>
        <v>1.5204939135880982E-2</v>
      </c>
      <c r="BE110" s="140">
        <f t="shared" si="230"/>
        <v>1.5248183358952731E-2</v>
      </c>
      <c r="BF110" s="140">
        <f t="shared" si="230"/>
        <v>1.5286148019166047E-2</v>
      </c>
      <c r="BG110" s="140">
        <f t="shared" si="230"/>
        <v>1.531740732721551E-2</v>
      </c>
      <c r="BH110" s="140">
        <f t="shared" si="230"/>
        <v>1.5343480438668613E-2</v>
      </c>
      <c r="BI110" s="140">
        <f t="shared" si="230"/>
        <v>1.5363730236046409E-2</v>
      </c>
      <c r="BJ110" s="140">
        <f t="shared" si="230"/>
        <v>1.5379134444674199E-2</v>
      </c>
      <c r="BK110" s="140">
        <f t="shared" si="230"/>
        <v>1.5389229346375407E-2</v>
      </c>
      <c r="BL110" s="140">
        <f t="shared" si="230"/>
        <v>1.5394680860098169E-2</v>
      </c>
      <c r="BM110" s="140">
        <f t="shared" si="230"/>
        <v>1.5395448095484043E-2</v>
      </c>
      <c r="BN110" s="140">
        <f t="shared" si="230"/>
        <v>1.5391762863113476E-2</v>
      </c>
      <c r="BO110" s="140">
        <f t="shared" ref="BO110:CB110" si="231">IF(BO108&lt;0,0,$B$5+$B$6*((1-EXP(-BO109/$B$9))/(BO109/$B$9))+$B$7*((1-EXP(-BO109/$B$9))/(BO109/$B$9)-EXP(-BO109/$B$9))+$B$8*((1-EXP(-BO109/$B$10))/(BO109/$B$10)-EXP(-BO109/$B$10)))</f>
        <v>1.538397168240571E-2</v>
      </c>
      <c r="BP110" s="140">
        <f t="shared" si="231"/>
        <v>1.5371984660659961E-2</v>
      </c>
      <c r="BQ110" s="140">
        <f t="shared" si="231"/>
        <v>1.5356369312070416E-2</v>
      </c>
      <c r="BR110" s="140">
        <f t="shared" si="231"/>
        <v>1.5336648193228927E-2</v>
      </c>
      <c r="BS110" s="140">
        <f t="shared" si="231"/>
        <v>1.5313846225229246E-2</v>
      </c>
      <c r="BT110" s="140">
        <f t="shared" si="231"/>
        <v>1.5287095055264001E-2</v>
      </c>
      <c r="BU110" s="140">
        <f t="shared" si="231"/>
        <v>1.5257716466501932E-2</v>
      </c>
      <c r="BV110" s="140">
        <f t="shared" si="231"/>
        <v>1.5224534410645293E-2</v>
      </c>
      <c r="BW110" s="140">
        <f t="shared" si="231"/>
        <v>1.518914197453728E-2</v>
      </c>
      <c r="BX110" s="140">
        <f t="shared" si="231"/>
        <v>1.5150303830246129E-2</v>
      </c>
      <c r="BY110" s="140">
        <f t="shared" si="231"/>
        <v>1.5109430811779897E-2</v>
      </c>
      <c r="BZ110" s="140">
        <f t="shared" si="231"/>
        <v>1.5065015180959696E-2</v>
      </c>
      <c r="CA110" s="140">
        <f t="shared" si="231"/>
        <v>1.5019123411897956E-2</v>
      </c>
      <c r="CB110" s="140">
        <f t="shared" si="231"/>
        <v>1.4969805747965741E-2</v>
      </c>
      <c r="CC110" s="17"/>
      <c r="CD110" s="17"/>
      <c r="CE110" s="17"/>
    </row>
    <row r="111" spans="1:83">
      <c r="A111" s="16" t="s">
        <v>44</v>
      </c>
      <c r="B111" s="140">
        <f>EXP(-B110*B109)</f>
        <v>0.999540300201052</v>
      </c>
      <c r="C111" s="140">
        <f t="shared" ref="C111:AR111" si="232">EXP(-C110*C109)</f>
        <v>0.9959914829886497</v>
      </c>
      <c r="D111" s="140">
        <f t="shared" si="232"/>
        <v>0.99315237147550717</v>
      </c>
      <c r="E111" s="140">
        <f t="shared" si="232"/>
        <v>0.99084238412355163</v>
      </c>
      <c r="F111" s="140">
        <f t="shared" si="232"/>
        <v>0.9887446613724884</v>
      </c>
      <c r="G111" s="140">
        <f t="shared" si="232"/>
        <v>0.98677130881251696</v>
      </c>
      <c r="H111" s="140">
        <f t="shared" si="232"/>
        <v>0.98468606845642714</v>
      </c>
      <c r="I111" s="140">
        <f t="shared" si="232"/>
        <v>0.98246850499476757</v>
      </c>
      <c r="J111" s="140">
        <f t="shared" si="232"/>
        <v>0.97993066762282843</v>
      </c>
      <c r="K111" s="140">
        <f t="shared" si="232"/>
        <v>0.97712074602617682</v>
      </c>
      <c r="L111" s="140">
        <f t="shared" si="232"/>
        <v>0.9738855968372111</v>
      </c>
      <c r="M111" s="140">
        <f t="shared" si="232"/>
        <v>0.97030389157983354</v>
      </c>
      <c r="N111" s="140">
        <f t="shared" si="232"/>
        <v>0.96621544911877022</v>
      </c>
      <c r="O111" s="140">
        <f t="shared" si="232"/>
        <v>0.96179539541152981</v>
      </c>
      <c r="P111" s="140">
        <f t="shared" si="232"/>
        <v>0.95684954644144249</v>
      </c>
      <c r="Q111" s="140">
        <f t="shared" si="232"/>
        <v>0.95160682281043429</v>
      </c>
      <c r="R111" s="140">
        <f t="shared" si="232"/>
        <v>0.94584929219154334</v>
      </c>
      <c r="S111" s="140">
        <f t="shared" si="232"/>
        <v>0.93985155927450736</v>
      </c>
      <c r="T111" s="140">
        <f t="shared" si="232"/>
        <v>0.93340607978294965</v>
      </c>
      <c r="U111" s="140">
        <f t="shared" si="232"/>
        <v>0.92675338206623947</v>
      </c>
      <c r="V111" s="140">
        <f t="shared" si="232"/>
        <v>0.91965841374255708</v>
      </c>
      <c r="W111" s="140">
        <f t="shared" si="232"/>
        <v>0.91246222761897777</v>
      </c>
      <c r="X111" s="140">
        <f t="shared" si="232"/>
        <v>0.90487166210139069</v>
      </c>
      <c r="Y111" s="140">
        <f t="shared" si="232"/>
        <v>0.89724948005530536</v>
      </c>
      <c r="Z111" s="140">
        <f t="shared" si="232"/>
        <v>0.88928244127079692</v>
      </c>
      <c r="AA111" s="140">
        <f t="shared" si="232"/>
        <v>0.88134829057927178</v>
      </c>
      <c r="AB111" s="140">
        <f t="shared" si="232"/>
        <v>0.87316312746908287</v>
      </c>
      <c r="AC111" s="140">
        <f t="shared" si="232"/>
        <v>0.86502325203246788</v>
      </c>
      <c r="AD111" s="140">
        <f t="shared" si="232"/>
        <v>0.85663211797126959</v>
      </c>
      <c r="AE111" s="140">
        <f t="shared" si="232"/>
        <v>0.84838072942775711</v>
      </c>
      <c r="AF111" s="140">
        <f t="shared" si="232"/>
        <v>0.83991948503005653</v>
      </c>
      <c r="AG111" s="140">
        <f t="shared" si="232"/>
        <v>0.83163939035525158</v>
      </c>
      <c r="AH111" s="140">
        <f t="shared" si="232"/>
        <v>0.82318638694404833</v>
      </c>
      <c r="AI111" s="140">
        <f t="shared" si="232"/>
        <v>0.81494809079019415</v>
      </c>
      <c r="AJ111" s="140">
        <f t="shared" si="232"/>
        <v>0.80661517430638319</v>
      </c>
      <c r="AK111" s="140">
        <f t="shared" si="232"/>
        <v>0.79847702160890655</v>
      </c>
      <c r="AL111" s="140">
        <f t="shared" si="232"/>
        <v>0.790226297994296</v>
      </c>
      <c r="AM111" s="140">
        <f t="shared" si="232"/>
        <v>0.78223630776432751</v>
      </c>
      <c r="AN111" s="140">
        <f t="shared" si="232"/>
        <v>0.77415768658978157</v>
      </c>
      <c r="AO111" s="140">
        <f t="shared" si="232"/>
        <v>0.76635388305525631</v>
      </c>
      <c r="AP111" s="140">
        <f t="shared" si="232"/>
        <v>0.75848169678376054</v>
      </c>
      <c r="AQ111" s="140">
        <f t="shared" si="232"/>
        <v>0.75089351309310359</v>
      </c>
      <c r="AR111" s="140">
        <f t="shared" si="232"/>
        <v>0.74329556314979806</v>
      </c>
      <c r="AS111" s="140">
        <f>EXP(-AS110*AS109)</f>
        <v>0.73594435065551489</v>
      </c>
      <c r="AT111" s="140">
        <f t="shared" ref="AT111:CA111" si="233">EXP(-AT110*AT109)</f>
        <v>0.72855583065023233</v>
      </c>
      <c r="AU111" s="140">
        <f t="shared" si="233"/>
        <v>0.72145800723277476</v>
      </c>
      <c r="AV111" s="140">
        <f t="shared" si="233"/>
        <v>0.7143345692953067</v>
      </c>
      <c r="AW111" s="140">
        <f t="shared" si="233"/>
        <v>0.7075006856204672</v>
      </c>
      <c r="AX111" s="140">
        <f t="shared" si="233"/>
        <v>0.70065080347831199</v>
      </c>
      <c r="AY111" s="140">
        <f t="shared" si="233"/>
        <v>0.6940870996781574</v>
      </c>
      <c r="AZ111" s="140">
        <f t="shared" si="233"/>
        <v>0.68755099104460782</v>
      </c>
      <c r="BA111" s="140">
        <f t="shared" si="233"/>
        <v>0.68125944654082482</v>
      </c>
      <c r="BB111" s="140">
        <f t="shared" si="233"/>
        <v>0.67496617426674554</v>
      </c>
      <c r="BC111" s="140">
        <f t="shared" si="233"/>
        <v>0.66894748592960218</v>
      </c>
      <c r="BD111" s="140">
        <f t="shared" si="233"/>
        <v>0.66293228787399827</v>
      </c>
      <c r="BE111" s="140">
        <f t="shared" si="233"/>
        <v>0.65718418384035493</v>
      </c>
      <c r="BF111" s="140">
        <f t="shared" si="233"/>
        <v>0.65144380279016512</v>
      </c>
      <c r="BG111" s="140">
        <f t="shared" si="233"/>
        <v>0.64596229697652618</v>
      </c>
      <c r="BH111" s="140">
        <f t="shared" si="233"/>
        <v>0.64052163362177172</v>
      </c>
      <c r="BI111" s="140">
        <f t="shared" si="233"/>
        <v>0.63530072326528586</v>
      </c>
      <c r="BJ111" s="140">
        <f t="shared" si="233"/>
        <v>0.63009374369196736</v>
      </c>
      <c r="BK111" s="140">
        <f t="shared" si="233"/>
        <v>0.62512792283232144</v>
      </c>
      <c r="BL111" s="140">
        <f t="shared" si="233"/>
        <v>0.62017829934851065</v>
      </c>
      <c r="BM111" s="140">
        <f t="shared" si="233"/>
        <v>0.61546065050493159</v>
      </c>
      <c r="BN111" s="140">
        <f t="shared" si="233"/>
        <v>0.61076105373603129</v>
      </c>
      <c r="BO111" s="140">
        <f t="shared" si="233"/>
        <v>0.60628420832155927</v>
      </c>
      <c r="BP111" s="140">
        <f t="shared" si="233"/>
        <v>0.60185110790053276</v>
      </c>
      <c r="BQ111" s="140">
        <f t="shared" si="233"/>
        <v>0.59760679115086524</v>
      </c>
      <c r="BR111" s="140">
        <f t="shared" si="233"/>
        <v>0.59338333325975112</v>
      </c>
      <c r="BS111" s="140">
        <f t="shared" si="233"/>
        <v>0.58936444124600584</v>
      </c>
      <c r="BT111" s="140">
        <f t="shared" si="233"/>
        <v>0.58536749487442441</v>
      </c>
      <c r="BU111" s="140">
        <f t="shared" si="233"/>
        <v>0.58156625380793137</v>
      </c>
      <c r="BV111" s="140">
        <f t="shared" si="233"/>
        <v>0.5777878998736411</v>
      </c>
      <c r="BW111" s="140">
        <f t="shared" si="233"/>
        <v>0.57419661261769106</v>
      </c>
      <c r="BX111" s="140">
        <f t="shared" si="233"/>
        <v>0.57064836422861775</v>
      </c>
      <c r="BY111" s="140">
        <f t="shared" si="233"/>
        <v>0.56725892560788971</v>
      </c>
      <c r="BZ111" s="140">
        <f t="shared" si="233"/>
        <v>0.5638939655402434</v>
      </c>
      <c r="CA111" s="140">
        <f t="shared" si="233"/>
        <v>0.56069958855647062</v>
      </c>
      <c r="CB111" s="140">
        <f>EXP(-CB110*CB109)</f>
        <v>0.55753039770210144</v>
      </c>
      <c r="CC111" s="17"/>
      <c r="CD111" s="17"/>
      <c r="CE111" s="17"/>
    </row>
    <row r="112" spans="1:83">
      <c r="A112" s="17"/>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17"/>
      <c r="CD112" s="17"/>
      <c r="CE112" s="17"/>
    </row>
    <row r="113" spans="1:83">
      <c r="A113" s="16" t="s">
        <v>40</v>
      </c>
      <c r="B113" s="140">
        <f t="shared" ref="B113:AG113" si="234">DAYS360($B$3,B36)</f>
        <v>110</v>
      </c>
      <c r="C113" s="140">
        <f t="shared" si="234"/>
        <v>289</v>
      </c>
      <c r="D113" s="140">
        <f t="shared" si="234"/>
        <v>469</v>
      </c>
      <c r="E113" s="140">
        <f t="shared" si="234"/>
        <v>649</v>
      </c>
      <c r="F113" s="140">
        <f t="shared" si="234"/>
        <v>829</v>
      </c>
      <c r="G113" s="140">
        <f t="shared" si="234"/>
        <v>1009</v>
      </c>
      <c r="H113" s="140">
        <f t="shared" si="234"/>
        <v>1189</v>
      </c>
      <c r="I113" s="140">
        <f t="shared" si="234"/>
        <v>1369</v>
      </c>
      <c r="J113" s="140">
        <f t="shared" si="234"/>
        <v>1549</v>
      </c>
      <c r="K113" s="140">
        <f t="shared" si="234"/>
        <v>1728</v>
      </c>
      <c r="L113" s="140">
        <f t="shared" si="234"/>
        <v>1908</v>
      </c>
      <c r="M113" s="140">
        <f t="shared" si="234"/>
        <v>2088</v>
      </c>
      <c r="N113" s="140">
        <f t="shared" si="234"/>
        <v>2268</v>
      </c>
      <c r="O113" s="140">
        <f t="shared" si="234"/>
        <v>2448</v>
      </c>
      <c r="P113" s="140">
        <f t="shared" si="234"/>
        <v>2628</v>
      </c>
      <c r="Q113" s="140">
        <f t="shared" si="234"/>
        <v>2808</v>
      </c>
      <c r="R113" s="140">
        <f t="shared" si="234"/>
        <v>2988</v>
      </c>
      <c r="S113" s="140">
        <f t="shared" si="234"/>
        <v>3167</v>
      </c>
      <c r="T113" s="140">
        <f t="shared" si="234"/>
        <v>3347</v>
      </c>
      <c r="U113" s="140">
        <f t="shared" si="234"/>
        <v>3527</v>
      </c>
      <c r="V113" s="140">
        <f t="shared" si="234"/>
        <v>3707</v>
      </c>
      <c r="W113" s="140">
        <f t="shared" si="234"/>
        <v>3887</v>
      </c>
      <c r="X113" s="140">
        <f t="shared" si="234"/>
        <v>4067</v>
      </c>
      <c r="Y113" s="140">
        <f t="shared" si="234"/>
        <v>4247</v>
      </c>
      <c r="Z113" s="140">
        <f t="shared" si="234"/>
        <v>4427</v>
      </c>
      <c r="AA113" s="140">
        <f t="shared" si="234"/>
        <v>4606</v>
      </c>
      <c r="AB113" s="140">
        <f t="shared" si="234"/>
        <v>4786</v>
      </c>
      <c r="AC113" s="140">
        <f t="shared" si="234"/>
        <v>4966</v>
      </c>
      <c r="AD113" s="140">
        <f t="shared" si="234"/>
        <v>5146</v>
      </c>
      <c r="AE113" s="140">
        <f t="shared" si="234"/>
        <v>5326</v>
      </c>
      <c r="AF113" s="140">
        <f t="shared" si="234"/>
        <v>5506</v>
      </c>
      <c r="AG113" s="140">
        <f t="shared" si="234"/>
        <v>5686</v>
      </c>
      <c r="AH113" s="140">
        <f t="shared" ref="AH113:BM113" si="235">DAYS360($B$3,AH36)</f>
        <v>5866</v>
      </c>
      <c r="AI113" s="140">
        <f t="shared" si="235"/>
        <v>6045</v>
      </c>
      <c r="AJ113" s="140">
        <f t="shared" si="235"/>
        <v>6225</v>
      </c>
      <c r="AK113" s="140">
        <f t="shared" si="235"/>
        <v>6405</v>
      </c>
      <c r="AL113" s="140">
        <f t="shared" si="235"/>
        <v>6585</v>
      </c>
      <c r="AM113" s="140">
        <f t="shared" si="235"/>
        <v>6765</v>
      </c>
      <c r="AN113" s="140">
        <f t="shared" si="235"/>
        <v>6945</v>
      </c>
      <c r="AO113" s="140">
        <f t="shared" si="235"/>
        <v>7125</v>
      </c>
      <c r="AP113" s="140">
        <f t="shared" si="235"/>
        <v>7305</v>
      </c>
      <c r="AQ113" s="140">
        <f t="shared" si="235"/>
        <v>7484</v>
      </c>
      <c r="AR113" s="140">
        <f t="shared" si="235"/>
        <v>7664</v>
      </c>
      <c r="AS113" s="140">
        <f t="shared" si="235"/>
        <v>7844</v>
      </c>
      <c r="AT113" s="140">
        <f t="shared" si="235"/>
        <v>8024</v>
      </c>
      <c r="AU113" s="140">
        <f t="shared" si="235"/>
        <v>8204</v>
      </c>
      <c r="AV113" s="140">
        <f t="shared" si="235"/>
        <v>8384</v>
      </c>
      <c r="AW113" s="140">
        <f t="shared" si="235"/>
        <v>8564</v>
      </c>
      <c r="AX113" s="140">
        <f t="shared" si="235"/>
        <v>8744</v>
      </c>
      <c r="AY113" s="140">
        <f t="shared" si="235"/>
        <v>8923</v>
      </c>
      <c r="AZ113" s="140">
        <f t="shared" si="235"/>
        <v>9103</v>
      </c>
      <c r="BA113" s="140">
        <f t="shared" si="235"/>
        <v>9283</v>
      </c>
      <c r="BB113" s="140">
        <f t="shared" si="235"/>
        <v>9463</v>
      </c>
      <c r="BC113" s="140">
        <f t="shared" si="235"/>
        <v>9643</v>
      </c>
      <c r="BD113" s="140">
        <f t="shared" si="235"/>
        <v>9823</v>
      </c>
      <c r="BE113" s="140">
        <f t="shared" si="235"/>
        <v>10003</v>
      </c>
      <c r="BF113" s="140">
        <f t="shared" si="235"/>
        <v>10183</v>
      </c>
      <c r="BG113" s="140">
        <f t="shared" si="235"/>
        <v>10362</v>
      </c>
      <c r="BH113" s="140">
        <f t="shared" si="235"/>
        <v>10542</v>
      </c>
      <c r="BI113" s="140">
        <f t="shared" si="235"/>
        <v>10722</v>
      </c>
      <c r="BJ113" s="140">
        <f t="shared" si="235"/>
        <v>10902</v>
      </c>
      <c r="BK113" s="140">
        <f t="shared" si="235"/>
        <v>11082</v>
      </c>
      <c r="BL113" s="140">
        <f t="shared" si="235"/>
        <v>11262</v>
      </c>
      <c r="BM113" s="140">
        <f t="shared" si="235"/>
        <v>11442</v>
      </c>
      <c r="BN113" s="140">
        <f t="shared" ref="BN113:CB113" si="236">DAYS360($B$3,BN36)</f>
        <v>11622</v>
      </c>
      <c r="BO113" s="140">
        <f t="shared" si="236"/>
        <v>11801</v>
      </c>
      <c r="BP113" s="140">
        <f t="shared" si="236"/>
        <v>11981</v>
      </c>
      <c r="BQ113" s="140">
        <f t="shared" si="236"/>
        <v>12161</v>
      </c>
      <c r="BR113" s="140">
        <f t="shared" si="236"/>
        <v>12341</v>
      </c>
      <c r="BS113" s="140">
        <f t="shared" si="236"/>
        <v>12521</v>
      </c>
      <c r="BT113" s="140">
        <f t="shared" si="236"/>
        <v>12701</v>
      </c>
      <c r="BU113" s="140">
        <f t="shared" si="236"/>
        <v>12881</v>
      </c>
      <c r="BV113" s="140">
        <f t="shared" si="236"/>
        <v>13061</v>
      </c>
      <c r="BW113" s="140">
        <f t="shared" si="236"/>
        <v>13240</v>
      </c>
      <c r="BX113" s="140">
        <f t="shared" si="236"/>
        <v>13420</v>
      </c>
      <c r="BY113" s="140">
        <f t="shared" si="236"/>
        <v>13600</v>
      </c>
      <c r="BZ113" s="140">
        <f t="shared" si="236"/>
        <v>13780</v>
      </c>
      <c r="CA113" s="140">
        <f t="shared" si="236"/>
        <v>13960</v>
      </c>
      <c r="CB113" s="140">
        <f t="shared" si="236"/>
        <v>14140</v>
      </c>
      <c r="CC113" s="17"/>
      <c r="CD113" s="17"/>
      <c r="CE113" s="17"/>
    </row>
    <row r="114" spans="1:83">
      <c r="A114" s="16" t="s">
        <v>41</v>
      </c>
      <c r="B114" s="140">
        <f>B113/360</f>
        <v>0.30555555555555558</v>
      </c>
      <c r="C114" s="140">
        <f t="shared" ref="C114:BN114" si="237">C113/360</f>
        <v>0.80277777777777781</v>
      </c>
      <c r="D114" s="140">
        <f t="shared" si="237"/>
        <v>1.3027777777777778</v>
      </c>
      <c r="E114" s="140">
        <f t="shared" si="237"/>
        <v>1.8027777777777778</v>
      </c>
      <c r="F114" s="140">
        <f t="shared" si="237"/>
        <v>2.3027777777777776</v>
      </c>
      <c r="G114" s="140">
        <f t="shared" si="237"/>
        <v>2.8027777777777776</v>
      </c>
      <c r="H114" s="140">
        <f t="shared" si="237"/>
        <v>3.3027777777777776</v>
      </c>
      <c r="I114" s="140">
        <f t="shared" si="237"/>
        <v>3.8027777777777776</v>
      </c>
      <c r="J114" s="140">
        <f t="shared" si="237"/>
        <v>4.302777777777778</v>
      </c>
      <c r="K114" s="140">
        <f t="shared" si="237"/>
        <v>4.8</v>
      </c>
      <c r="L114" s="140">
        <f t="shared" si="237"/>
        <v>5.3</v>
      </c>
      <c r="M114" s="140">
        <f t="shared" si="237"/>
        <v>5.8</v>
      </c>
      <c r="N114" s="140">
        <f t="shared" si="237"/>
        <v>6.3</v>
      </c>
      <c r="O114" s="140">
        <f t="shared" si="237"/>
        <v>6.8</v>
      </c>
      <c r="P114" s="140">
        <f t="shared" si="237"/>
        <v>7.3</v>
      </c>
      <c r="Q114" s="140">
        <f t="shared" si="237"/>
        <v>7.8</v>
      </c>
      <c r="R114" s="140">
        <f t="shared" si="237"/>
        <v>8.3000000000000007</v>
      </c>
      <c r="S114" s="140">
        <f t="shared" si="237"/>
        <v>8.7972222222222225</v>
      </c>
      <c r="T114" s="140">
        <f t="shared" si="237"/>
        <v>9.2972222222222225</v>
      </c>
      <c r="U114" s="140">
        <f t="shared" si="237"/>
        <v>9.7972222222222225</v>
      </c>
      <c r="V114" s="140">
        <f t="shared" si="237"/>
        <v>10.297222222222222</v>
      </c>
      <c r="W114" s="140">
        <f t="shared" si="237"/>
        <v>10.797222222222222</v>
      </c>
      <c r="X114" s="140">
        <f t="shared" si="237"/>
        <v>11.297222222222222</v>
      </c>
      <c r="Y114" s="140">
        <f t="shared" si="237"/>
        <v>11.797222222222222</v>
      </c>
      <c r="Z114" s="140">
        <f t="shared" si="237"/>
        <v>12.297222222222222</v>
      </c>
      <c r="AA114" s="140">
        <f t="shared" si="237"/>
        <v>12.794444444444444</v>
      </c>
      <c r="AB114" s="140">
        <f t="shared" si="237"/>
        <v>13.294444444444444</v>
      </c>
      <c r="AC114" s="140">
        <f t="shared" si="237"/>
        <v>13.794444444444444</v>
      </c>
      <c r="AD114" s="140">
        <f t="shared" si="237"/>
        <v>14.294444444444444</v>
      </c>
      <c r="AE114" s="140">
        <f t="shared" si="237"/>
        <v>14.794444444444444</v>
      </c>
      <c r="AF114" s="140">
        <f t="shared" si="237"/>
        <v>15.294444444444444</v>
      </c>
      <c r="AG114" s="140">
        <f t="shared" si="237"/>
        <v>15.794444444444444</v>
      </c>
      <c r="AH114" s="140">
        <f t="shared" si="237"/>
        <v>16.294444444444444</v>
      </c>
      <c r="AI114" s="140">
        <f t="shared" si="237"/>
        <v>16.791666666666668</v>
      </c>
      <c r="AJ114" s="140">
        <f t="shared" si="237"/>
        <v>17.291666666666668</v>
      </c>
      <c r="AK114" s="140">
        <f t="shared" si="237"/>
        <v>17.791666666666668</v>
      </c>
      <c r="AL114" s="140">
        <f t="shared" si="237"/>
        <v>18.291666666666668</v>
      </c>
      <c r="AM114" s="140">
        <f t="shared" si="237"/>
        <v>18.791666666666668</v>
      </c>
      <c r="AN114" s="140">
        <f t="shared" si="237"/>
        <v>19.291666666666668</v>
      </c>
      <c r="AO114" s="140">
        <f t="shared" si="237"/>
        <v>19.791666666666668</v>
      </c>
      <c r="AP114" s="140">
        <f t="shared" si="237"/>
        <v>20.291666666666668</v>
      </c>
      <c r="AQ114" s="140">
        <f t="shared" si="237"/>
        <v>20.788888888888888</v>
      </c>
      <c r="AR114" s="140">
        <f t="shared" si="237"/>
        <v>21.288888888888888</v>
      </c>
      <c r="AS114" s="140">
        <f t="shared" si="237"/>
        <v>21.788888888888888</v>
      </c>
      <c r="AT114" s="140">
        <f t="shared" si="237"/>
        <v>22.288888888888888</v>
      </c>
      <c r="AU114" s="140">
        <f t="shared" si="237"/>
        <v>22.788888888888888</v>
      </c>
      <c r="AV114" s="140">
        <f t="shared" si="237"/>
        <v>23.288888888888888</v>
      </c>
      <c r="AW114" s="140">
        <f t="shared" si="237"/>
        <v>23.788888888888888</v>
      </c>
      <c r="AX114" s="140">
        <f t="shared" si="237"/>
        <v>24.288888888888888</v>
      </c>
      <c r="AY114" s="140">
        <f t="shared" si="237"/>
        <v>24.786111111111111</v>
      </c>
      <c r="AZ114" s="140">
        <f t="shared" si="237"/>
        <v>25.286111111111111</v>
      </c>
      <c r="BA114" s="140">
        <f t="shared" si="237"/>
        <v>25.786111111111111</v>
      </c>
      <c r="BB114" s="140">
        <f t="shared" si="237"/>
        <v>26.286111111111111</v>
      </c>
      <c r="BC114" s="140">
        <f t="shared" si="237"/>
        <v>26.786111111111111</v>
      </c>
      <c r="BD114" s="140">
        <f t="shared" si="237"/>
        <v>27.286111111111111</v>
      </c>
      <c r="BE114" s="140">
        <f t="shared" si="237"/>
        <v>27.786111111111111</v>
      </c>
      <c r="BF114" s="140">
        <f t="shared" si="237"/>
        <v>28.286111111111111</v>
      </c>
      <c r="BG114" s="140">
        <f t="shared" si="237"/>
        <v>28.783333333333335</v>
      </c>
      <c r="BH114" s="140">
        <f t="shared" si="237"/>
        <v>29.283333333333335</v>
      </c>
      <c r="BI114" s="140">
        <f t="shared" si="237"/>
        <v>29.783333333333335</v>
      </c>
      <c r="BJ114" s="140">
        <f t="shared" si="237"/>
        <v>30.283333333333335</v>
      </c>
      <c r="BK114" s="140">
        <f t="shared" si="237"/>
        <v>30.783333333333335</v>
      </c>
      <c r="BL114" s="140">
        <f t="shared" si="237"/>
        <v>31.283333333333335</v>
      </c>
      <c r="BM114" s="140">
        <f t="shared" si="237"/>
        <v>31.783333333333335</v>
      </c>
      <c r="BN114" s="140">
        <f t="shared" si="237"/>
        <v>32.283333333333331</v>
      </c>
      <c r="BO114" s="140">
        <f t="shared" ref="BO114:CB114" si="238">BO113/360</f>
        <v>32.780555555555559</v>
      </c>
      <c r="BP114" s="140">
        <f t="shared" si="238"/>
        <v>33.280555555555559</v>
      </c>
      <c r="BQ114" s="140">
        <f t="shared" si="238"/>
        <v>33.780555555555559</v>
      </c>
      <c r="BR114" s="140">
        <f t="shared" si="238"/>
        <v>34.280555555555559</v>
      </c>
      <c r="BS114" s="140">
        <f t="shared" si="238"/>
        <v>34.780555555555559</v>
      </c>
      <c r="BT114" s="140">
        <f t="shared" si="238"/>
        <v>35.280555555555559</v>
      </c>
      <c r="BU114" s="140">
        <f t="shared" si="238"/>
        <v>35.780555555555559</v>
      </c>
      <c r="BV114" s="140">
        <f t="shared" si="238"/>
        <v>36.280555555555559</v>
      </c>
      <c r="BW114" s="140">
        <f t="shared" si="238"/>
        <v>36.777777777777779</v>
      </c>
      <c r="BX114" s="140">
        <f t="shared" si="238"/>
        <v>37.277777777777779</v>
      </c>
      <c r="BY114" s="140">
        <f t="shared" si="238"/>
        <v>37.777777777777779</v>
      </c>
      <c r="BZ114" s="140">
        <f t="shared" si="238"/>
        <v>38.277777777777779</v>
      </c>
      <c r="CA114" s="140">
        <f t="shared" si="238"/>
        <v>38.777777777777779</v>
      </c>
      <c r="CB114" s="140">
        <f t="shared" si="238"/>
        <v>39.277777777777779</v>
      </c>
      <c r="CC114" s="17"/>
      <c r="CD114" s="17"/>
      <c r="CE114" s="17"/>
    </row>
    <row r="115" spans="1:83">
      <c r="A115" s="16" t="s">
        <v>43</v>
      </c>
      <c r="B115" s="140">
        <f>IF(B113&lt;0,0,$B$5+$B$6*((1-EXP(-B114/$B$9))/(B114/$B$9))+$B$7*((1-EXP(-B114/$B$9))/(B114/$B$9)-EXP(-B114/$B$9))+$B$8*((1-EXP(-B114/$B$10))/(B114/$B$10)-EXP(-B114/$B$10)))</f>
        <v>7.7562787004154098E-3</v>
      </c>
      <c r="C115" s="140">
        <f t="shared" ref="C115:BN115" si="239">IF(C113&lt;0,0,$B$5+$B$6*((1-EXP(-C114/$B$9))/(C114/$B$9))+$B$7*((1-EXP(-C114/$B$9))/(C114/$B$9)-EXP(-C114/$B$9))+$B$8*((1-EXP(-C114/$B$10))/(C114/$B$10)-EXP(-C114/$B$10)))</f>
        <v>6.8875473106704849E-3</v>
      </c>
      <c r="D115" s="140">
        <f t="shared" si="239"/>
        <v>6.2120821171723168E-3</v>
      </c>
      <c r="E115" s="140">
        <f t="shared" si="239"/>
        <v>5.7087012329096378E-3</v>
      </c>
      <c r="F115" s="140">
        <f t="shared" si="239"/>
        <v>5.3538463465165427E-3</v>
      </c>
      <c r="G115" s="140">
        <f t="shared" si="239"/>
        <v>5.1267051812525577E-3</v>
      </c>
      <c r="H115" s="140">
        <f t="shared" si="239"/>
        <v>5.0089105576271555E-3</v>
      </c>
      <c r="I115" s="140">
        <f t="shared" si="239"/>
        <v>4.9842714585118467E-3</v>
      </c>
      <c r="J115" s="140">
        <f t="shared" si="239"/>
        <v>5.0385327508095119E-3</v>
      </c>
      <c r="K115" s="140">
        <f t="shared" si="239"/>
        <v>5.1583279479113699E-3</v>
      </c>
      <c r="L115" s="140">
        <f t="shared" si="239"/>
        <v>5.3340382803903187E-3</v>
      </c>
      <c r="M115" s="140">
        <f t="shared" si="239"/>
        <v>5.5555152436901727E-3</v>
      </c>
      <c r="N115" s="140">
        <f t="shared" si="239"/>
        <v>5.8143125896128597E-3</v>
      </c>
      <c r="O115" s="140">
        <f t="shared" si="239"/>
        <v>6.1030543553024742E-3</v>
      </c>
      <c r="P115" s="140">
        <f t="shared" si="239"/>
        <v>6.4153132708914713E-3</v>
      </c>
      <c r="Q115" s="140">
        <f t="shared" si="239"/>
        <v>6.7455023459570256E-3</v>
      </c>
      <c r="R115" s="140">
        <f t="shared" si="239"/>
        <v>7.0887782411930573E-3</v>
      </c>
      <c r="S115" s="140">
        <f t="shared" si="239"/>
        <v>7.4389809194312486E-3</v>
      </c>
      <c r="T115" s="140">
        <f t="shared" si="239"/>
        <v>7.7964335670878231E-3</v>
      </c>
      <c r="U115" s="140">
        <f t="shared" si="239"/>
        <v>8.1561059792953812E-3</v>
      </c>
      <c r="V115" s="140">
        <f t="shared" si="239"/>
        <v>8.515355436482519E-3</v>
      </c>
      <c r="W115" s="140">
        <f t="shared" si="239"/>
        <v>8.8719373824813104E-3</v>
      </c>
      <c r="X115" s="140">
        <f t="shared" si="239"/>
        <v>9.2239573759328036E-3</v>
      </c>
      <c r="Y115" s="140">
        <f t="shared" si="239"/>
        <v>9.5698284013169786E-3</v>
      </c>
      <c r="Z115" s="140">
        <f t="shared" si="239"/>
        <v>9.9082329636714789E-3</v>
      </c>
      <c r="AA115" s="140">
        <f t="shared" si="239"/>
        <v>1.023628222382687E-2</v>
      </c>
      <c r="AB115" s="140">
        <f t="shared" si="239"/>
        <v>1.0556769511273618E-2</v>
      </c>
      <c r="AC115" s="140">
        <f t="shared" si="239"/>
        <v>1.086714064425098E-2</v>
      </c>
      <c r="AD115" s="140">
        <f t="shared" si="239"/>
        <v>1.1166855088687829E-2</v>
      </c>
      <c r="AE115" s="140">
        <f t="shared" si="239"/>
        <v>1.1455507918914386E-2</v>
      </c>
      <c r="AF115" s="140">
        <f t="shared" si="239"/>
        <v>1.1732811495668294E-2</v>
      </c>
      <c r="AG115" s="140">
        <f t="shared" si="239"/>
        <v>1.1998579284124972E-2</v>
      </c>
      <c r="AH115" s="140">
        <f t="shared" si="239"/>
        <v>1.2252711576490894E-2</v>
      </c>
      <c r="AI115" s="140">
        <f t="shared" si="239"/>
        <v>1.2493868014590027E-2</v>
      </c>
      <c r="AJ115" s="140">
        <f t="shared" si="239"/>
        <v>1.2724780457279957E-2</v>
      </c>
      <c r="AK115" s="140">
        <f t="shared" si="239"/>
        <v>1.2944160137574313E-2</v>
      </c>
      <c r="AL115" s="140">
        <f t="shared" si="239"/>
        <v>1.3152142839828809E-2</v>
      </c>
      <c r="AM115" s="140">
        <f t="shared" si="239"/>
        <v>1.3348901773607494E-2</v>
      </c>
      <c r="AN115" s="140">
        <f t="shared" si="239"/>
        <v>1.3534641011413405E-2</v>
      </c>
      <c r="AO115" s="140">
        <f t="shared" si="239"/>
        <v>1.3709589756998148E-2</v>
      </c>
      <c r="AP115" s="140">
        <f t="shared" si="239"/>
        <v>1.3873997349471449E-2</v>
      </c>
      <c r="AQ115" s="140">
        <f t="shared" si="239"/>
        <v>1.4027300513803074E-2</v>
      </c>
      <c r="AR115" s="140">
        <f t="shared" si="239"/>
        <v>1.4171487978334013E-2</v>
      </c>
      <c r="AS115" s="140">
        <f t="shared" si="239"/>
        <v>1.4305960879824813E-2</v>
      </c>
      <c r="AT115" s="140">
        <f t="shared" si="239"/>
        <v>1.4431011060444702E-2</v>
      </c>
      <c r="AU115" s="140">
        <f t="shared" si="239"/>
        <v>1.4546933914281808E-2</v>
      </c>
      <c r="AV115" s="140">
        <f t="shared" si="239"/>
        <v>1.4654026321222322E-2</v>
      </c>
      <c r="AW115" s="140">
        <f t="shared" si="239"/>
        <v>1.4752584888332381E-2</v>
      </c>
      <c r="AX115" s="140">
        <f t="shared" si="239"/>
        <v>1.4842904461465443E-2</v>
      </c>
      <c r="AY115" s="140">
        <f t="shared" si="239"/>
        <v>1.4924840671670712E-2</v>
      </c>
      <c r="AZ115" s="140">
        <f t="shared" si="239"/>
        <v>1.49995954668496E-2</v>
      </c>
      <c r="BA115" s="140">
        <f t="shared" si="239"/>
        <v>1.5066972181919075E-2</v>
      </c>
      <c r="BB115" s="140">
        <f t="shared" si="239"/>
        <v>1.512724808846423E-2</v>
      </c>
      <c r="BC115" s="140">
        <f t="shared" si="239"/>
        <v>1.5180694274984408E-2</v>
      </c>
      <c r="BD115" s="140">
        <f t="shared" si="239"/>
        <v>1.5227575201449682E-2</v>
      </c>
      <c r="BE115" s="140">
        <f t="shared" si="239"/>
        <v>1.5268148358079678E-2</v>
      </c>
      <c r="BF115" s="140">
        <f t="shared" si="239"/>
        <v>1.5302664014216696E-2</v>
      </c>
      <c r="BG115" s="140">
        <f t="shared" si="239"/>
        <v>1.5331221220929572E-2</v>
      </c>
      <c r="BH115" s="140">
        <f t="shared" si="239"/>
        <v>1.5354373359261098E-2</v>
      </c>
      <c r="BI115" s="140">
        <f t="shared" si="239"/>
        <v>1.5372172823590432E-2</v>
      </c>
      <c r="BJ115" s="140">
        <f t="shared" si="239"/>
        <v>1.5384839925814511E-2</v>
      </c>
      <c r="BK115" s="140">
        <f t="shared" si="239"/>
        <v>1.5392587464463484E-2</v>
      </c>
      <c r="BL115" s="140">
        <f t="shared" si="239"/>
        <v>1.5395620798486987E-2</v>
      </c>
      <c r="BM115" s="140">
        <f t="shared" si="239"/>
        <v>1.5394137949759629E-2</v>
      </c>
      <c r="BN115" s="140">
        <f t="shared" si="239"/>
        <v>1.5388329729286986E-2</v>
      </c>
      <c r="BO115" s="140">
        <f t="shared" ref="BO115:CB115" si="240">IF(BO113&lt;0,0,$B$5+$B$6*((1-EXP(-BO114/$B$9))/(BO114/$B$9))+$B$7*((1-EXP(-BO114/$B$9))/(BO114/$B$9)-EXP(-BO114/$B$9))+$B$8*((1-EXP(-BO114/$B$10))/(BO114/$B$10)-EXP(-BO114/$B$10)))</f>
        <v>1.5378446272361599E-2</v>
      </c>
      <c r="BP115" s="140">
        <f t="shared" si="240"/>
        <v>1.5364553191621614E-2</v>
      </c>
      <c r="BQ115" s="140">
        <f t="shared" si="240"/>
        <v>1.5346864509676745E-2</v>
      </c>
      <c r="BR115" s="140">
        <f t="shared" si="240"/>
        <v>1.5325543824216376E-2</v>
      </c>
      <c r="BS115" s="140">
        <f t="shared" si="240"/>
        <v>1.5300748372822037E-2</v>
      </c>
      <c r="BT115" s="140">
        <f t="shared" si="240"/>
        <v>1.5272629227117055E-2</v>
      </c>
      <c r="BU115" s="140">
        <f t="shared" si="240"/>
        <v>1.5241331489828387E-2</v>
      </c>
      <c r="BV115" s="140">
        <f t="shared" si="240"/>
        <v>1.5206994493202102E-2</v>
      </c>
      <c r="BW115" s="140">
        <f t="shared" si="240"/>
        <v>1.5169966687993326E-2</v>
      </c>
      <c r="BX115" s="140">
        <f t="shared" si="240"/>
        <v>1.5129962161995157E-2</v>
      </c>
      <c r="BY115" s="140">
        <f t="shared" si="240"/>
        <v>1.508730305801953E-2</v>
      </c>
      <c r="BZ115" s="140">
        <f t="shared" si="240"/>
        <v>1.5042107622547238E-2</v>
      </c>
      <c r="CA115" s="140">
        <f t="shared" si="240"/>
        <v>1.4994489303223023E-2</v>
      </c>
      <c r="CB115" s="140">
        <f t="shared" si="240"/>
        <v>1.4944556933962228E-2</v>
      </c>
      <c r="CC115" s="17"/>
      <c r="CD115" s="17"/>
      <c r="CE115" s="17"/>
    </row>
    <row r="116" spans="1:83">
      <c r="A116" s="16" t="s">
        <v>44</v>
      </c>
      <c r="B116" s="140">
        <f>EXP(-B115*B114)</f>
        <v>0.99763283212385467</v>
      </c>
      <c r="C116" s="140">
        <f t="shared" ref="C116:AR116" si="241">EXP(-C115*C114)</f>
        <v>0.99448608780182113</v>
      </c>
      <c r="D116" s="140">
        <f t="shared" si="241"/>
        <v>0.99193969732093501</v>
      </c>
      <c r="E116" s="140">
        <f t="shared" si="241"/>
        <v>0.98976125676119731</v>
      </c>
      <c r="F116" s="140">
        <f t="shared" si="241"/>
        <v>0.98774696889448921</v>
      </c>
      <c r="G116" s="140">
        <f t="shared" si="241"/>
        <v>0.985733726258615</v>
      </c>
      <c r="H116" s="140">
        <f t="shared" si="241"/>
        <v>0.98359277072344342</v>
      </c>
      <c r="I116" s="140">
        <f t="shared" si="241"/>
        <v>0.98122442223158268</v>
      </c>
      <c r="J116" s="140">
        <f t="shared" si="241"/>
        <v>0.9785536285468166</v>
      </c>
      <c r="K116" s="140">
        <f t="shared" si="241"/>
        <v>0.97554403971623005</v>
      </c>
      <c r="L116" s="140">
        <f t="shared" si="241"/>
        <v>0.97212546572669079</v>
      </c>
      <c r="M116" s="140">
        <f t="shared" si="241"/>
        <v>0.96829160870135378</v>
      </c>
      <c r="N116" s="140">
        <f t="shared" si="241"/>
        <v>0.9640325982661303</v>
      </c>
      <c r="O116" s="140">
        <f t="shared" si="241"/>
        <v>0.95934859701110387</v>
      </c>
      <c r="P116" s="140">
        <f t="shared" si="241"/>
        <v>0.95424790110967095</v>
      </c>
      <c r="Q116" s="140">
        <f t="shared" si="241"/>
        <v>0.94874528659688184</v>
      </c>
      <c r="R116" s="140">
        <f t="shared" si="241"/>
        <v>0.94286057544893487</v>
      </c>
      <c r="S116" s="140">
        <f t="shared" si="241"/>
        <v>0.93665302615240542</v>
      </c>
      <c r="T116" s="140">
        <f t="shared" si="241"/>
        <v>0.9300795346021179</v>
      </c>
      <c r="U116" s="140">
        <f t="shared" si="241"/>
        <v>0.92320203148643254</v>
      </c>
      <c r="V116" s="140">
        <f t="shared" si="241"/>
        <v>0.91604983823860597</v>
      </c>
      <c r="W116" s="140">
        <f t="shared" si="241"/>
        <v>0.90865274230490911</v>
      </c>
      <c r="X116" s="140">
        <f t="shared" si="241"/>
        <v>0.901040478450995</v>
      </c>
      <c r="Y116" s="140">
        <f t="shared" si="241"/>
        <v>0.89324230897173551</v>
      </c>
      <c r="Z116" s="140">
        <f t="shared" si="241"/>
        <v>0.88528669030625151</v>
      </c>
      <c r="AA116" s="140">
        <f t="shared" si="241"/>
        <v>0.87724624563103748</v>
      </c>
      <c r="AB116" s="140">
        <f t="shared" si="241"/>
        <v>0.86905715421609275</v>
      </c>
      <c r="AC116" s="140">
        <f t="shared" si="241"/>
        <v>0.86078874226224444</v>
      </c>
      <c r="AD116" s="140">
        <f t="shared" si="241"/>
        <v>0.85246426406842501</v>
      </c>
      <c r="AE116" s="140">
        <f t="shared" si="241"/>
        <v>0.84410542969340641</v>
      </c>
      <c r="AF116" s="140">
        <f t="shared" si="241"/>
        <v>0.83573238264613314</v>
      </c>
      <c r="AG116" s="140">
        <f t="shared" si="241"/>
        <v>0.82736370361819067</v>
      </c>
      <c r="AH116" s="140">
        <f t="shared" si="241"/>
        <v>0.81901643508060018</v>
      </c>
      <c r="AI116" s="140">
        <f t="shared" si="241"/>
        <v>0.81075216204319234</v>
      </c>
      <c r="AJ116" s="140">
        <f t="shared" si="241"/>
        <v>0.80249258646233745</v>
      </c>
      <c r="AK116" s="140">
        <f t="shared" si="241"/>
        <v>0.79429672184756051</v>
      </c>
      <c r="AL116" s="140">
        <f t="shared" si="241"/>
        <v>0.78617598448509507</v>
      </c>
      <c r="AM116" s="140">
        <f t="shared" si="241"/>
        <v>0.77814055241012725</v>
      </c>
      <c r="AN116" s="140">
        <f t="shared" si="241"/>
        <v>0.77019944141738539</v>
      </c>
      <c r="AO116" s="140">
        <f t="shared" si="241"/>
        <v>0.76236058191604428</v>
      </c>
      <c r="AP116" s="140">
        <f t="shared" si="241"/>
        <v>0.75463089539188066</v>
      </c>
      <c r="AQ116" s="140">
        <f t="shared" si="241"/>
        <v>0.74705834451482345</v>
      </c>
      <c r="AR116" s="140">
        <f t="shared" si="241"/>
        <v>0.73956342510184292</v>
      </c>
      <c r="AS116" s="140">
        <f>EXP(-AS115*AS114)</f>
        <v>0.73219310727496034</v>
      </c>
      <c r="AT116" s="140">
        <f t="shared" ref="AT116:CA116" si="242">EXP(-AT115*AT114)</f>
        <v>0.724951007639411</v>
      </c>
      <c r="AU116" s="140">
        <f t="shared" si="242"/>
        <v>0.71784008279980305</v>
      </c>
      <c r="AV116" s="140">
        <f t="shared" si="242"/>
        <v>0.71086268958946985</v>
      </c>
      <c r="AW116" s="140">
        <f t="shared" si="242"/>
        <v>0.70402064164713063</v>
      </c>
      <c r="AX116" s="140">
        <f t="shared" si="242"/>
        <v>0.69731526232234164</v>
      </c>
      <c r="AY116" s="140">
        <f t="shared" si="242"/>
        <v>0.69078354085399496</v>
      </c>
      <c r="AZ116" s="140">
        <f t="shared" si="242"/>
        <v>0.68435298290227053</v>
      </c>
      <c r="BA116" s="140">
        <f t="shared" si="242"/>
        <v>0.6780605970938216</v>
      </c>
      <c r="BB116" s="140">
        <f t="shared" si="242"/>
        <v>0.67190620502335019</v>
      </c>
      <c r="BC116" s="140">
        <f t="shared" si="242"/>
        <v>0.66588934986170578</v>
      </c>
      <c r="BD116" s="140">
        <f t="shared" si="242"/>
        <v>0.66000932920692668</v>
      </c>
      <c r="BE116" s="140">
        <f t="shared" si="242"/>
        <v>0.65426522511986995</v>
      </c>
      <c r="BF116" s="140">
        <f t="shared" si="242"/>
        <v>0.64865593151816725</v>
      </c>
      <c r="BG116" s="140">
        <f t="shared" si="242"/>
        <v>0.64321023359170226</v>
      </c>
      <c r="BH116" s="140">
        <f t="shared" si="242"/>
        <v>0.63786588253142862</v>
      </c>
      <c r="BI116" s="140">
        <f t="shared" si="242"/>
        <v>0.63265214157718352</v>
      </c>
      <c r="BJ116" s="140">
        <f t="shared" si="242"/>
        <v>0.62756737968708431</v>
      </c>
      <c r="BK116" s="140">
        <f t="shared" si="242"/>
        <v>0.62260988086091684</v>
      </c>
      <c r="BL116" s="140">
        <f t="shared" si="242"/>
        <v>0.61777785917683825</v>
      </c>
      <c r="BM116" s="140">
        <f t="shared" si="242"/>
        <v>0.61306947228976794</v>
      </c>
      <c r="BN116" s="140">
        <f t="shared" si="242"/>
        <v>0.60848283352050803</v>
      </c>
      <c r="BO116" s="140">
        <f t="shared" si="242"/>
        <v>0.6040405108279483</v>
      </c>
      <c r="BP116" s="140">
        <f t="shared" si="242"/>
        <v>0.59969093424027953</v>
      </c>
      <c r="BQ116" s="140">
        <f t="shared" si="242"/>
        <v>0.59545729287534865</v>
      </c>
      <c r="BR116" s="140">
        <f t="shared" si="242"/>
        <v>0.59133761950764807</v>
      </c>
      <c r="BS116" s="140">
        <f t="shared" si="242"/>
        <v>0.58732994579920061</v>
      </c>
      <c r="BT116" s="140">
        <f t="shared" si="242"/>
        <v>0.58343230819913194</v>
      </c>
      <c r="BU116" s="140">
        <f t="shared" si="242"/>
        <v>0.57964275311799218</v>
      </c>
      <c r="BV116" s="140">
        <f t="shared" si="242"/>
        <v>0.57595934144680305</v>
      </c>
      <c r="BW116" s="140">
        <f t="shared" si="242"/>
        <v>0.57239975246712227</v>
      </c>
      <c r="BX116" s="140">
        <f t="shared" si="242"/>
        <v>0.56892232405379506</v>
      </c>
      <c r="BY116" s="140">
        <f t="shared" si="242"/>
        <v>0.56554535561665487</v>
      </c>
      <c r="BZ116" s="140">
        <f t="shared" si="242"/>
        <v>0.56226700003048979</v>
      </c>
      <c r="CA116" s="140">
        <f t="shared" si="242"/>
        <v>0.55908543946884759</v>
      </c>
      <c r="CB116" s="140">
        <f>EXP(-CB115*CB114)</f>
        <v>0.55599888716268697</v>
      </c>
      <c r="CC116" s="17"/>
      <c r="CD116" s="17"/>
      <c r="CE116" s="17"/>
    </row>
    <row r="117" spans="1:83">
      <c r="A117" s="17"/>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17"/>
      <c r="CD117" s="17"/>
      <c r="CE117" s="17"/>
    </row>
    <row r="118" spans="1:83">
      <c r="A118" s="16" t="s">
        <v>40</v>
      </c>
      <c r="B118" s="140">
        <f t="shared" ref="B118:AG118" si="243">DAYS360($B$3,B38)</f>
        <v>65</v>
      </c>
      <c r="C118" s="140">
        <f t="shared" si="243"/>
        <v>245</v>
      </c>
      <c r="D118" s="140">
        <f t="shared" si="243"/>
        <v>424</v>
      </c>
      <c r="E118" s="140">
        <f t="shared" si="243"/>
        <v>605</v>
      </c>
      <c r="F118" s="140">
        <f t="shared" si="243"/>
        <v>784</v>
      </c>
      <c r="G118" s="140">
        <f t="shared" si="243"/>
        <v>965</v>
      </c>
      <c r="H118" s="140">
        <f t="shared" si="243"/>
        <v>1144</v>
      </c>
      <c r="I118" s="140">
        <f t="shared" si="243"/>
        <v>1325</v>
      </c>
      <c r="J118" s="140">
        <f t="shared" si="243"/>
        <v>1504</v>
      </c>
      <c r="K118" s="140">
        <f t="shared" si="243"/>
        <v>1684</v>
      </c>
      <c r="L118" s="140">
        <f t="shared" si="243"/>
        <v>1863</v>
      </c>
      <c r="M118" s="140">
        <f t="shared" si="243"/>
        <v>2044</v>
      </c>
      <c r="N118" s="140">
        <f t="shared" si="243"/>
        <v>2223</v>
      </c>
      <c r="O118" s="140">
        <f t="shared" si="243"/>
        <v>2404</v>
      </c>
      <c r="P118" s="140">
        <f t="shared" si="243"/>
        <v>2583</v>
      </c>
      <c r="Q118" s="140">
        <f t="shared" si="243"/>
        <v>2764</v>
      </c>
      <c r="R118" s="140">
        <f t="shared" si="243"/>
        <v>2943</v>
      </c>
      <c r="S118" s="140">
        <f t="shared" si="243"/>
        <v>3123</v>
      </c>
      <c r="T118" s="140">
        <f t="shared" si="243"/>
        <v>3302</v>
      </c>
      <c r="U118" s="140">
        <f t="shared" si="243"/>
        <v>3483</v>
      </c>
      <c r="V118" s="140">
        <f t="shared" si="243"/>
        <v>3662</v>
      </c>
      <c r="W118" s="140">
        <f t="shared" si="243"/>
        <v>3843</v>
      </c>
      <c r="X118" s="140">
        <f t="shared" si="243"/>
        <v>4022</v>
      </c>
      <c r="Y118" s="140">
        <f t="shared" si="243"/>
        <v>4203</v>
      </c>
      <c r="Z118" s="140">
        <f t="shared" si="243"/>
        <v>4382</v>
      </c>
      <c r="AA118" s="140">
        <f t="shared" si="243"/>
        <v>4562</v>
      </c>
      <c r="AB118" s="140">
        <f t="shared" si="243"/>
        <v>4741</v>
      </c>
      <c r="AC118" s="140">
        <f t="shared" si="243"/>
        <v>4922</v>
      </c>
      <c r="AD118" s="140">
        <f t="shared" si="243"/>
        <v>5101</v>
      </c>
      <c r="AE118" s="140">
        <f t="shared" si="243"/>
        <v>5282</v>
      </c>
      <c r="AF118" s="140">
        <f t="shared" si="243"/>
        <v>5461</v>
      </c>
      <c r="AG118" s="140">
        <f t="shared" si="243"/>
        <v>5642</v>
      </c>
      <c r="AH118" s="140">
        <f t="shared" ref="AH118:BM118" si="244">DAYS360($B$3,AH38)</f>
        <v>5821</v>
      </c>
      <c r="AI118" s="140">
        <f t="shared" si="244"/>
        <v>6001</v>
      </c>
      <c r="AJ118" s="140">
        <f t="shared" si="244"/>
        <v>6180</v>
      </c>
      <c r="AK118" s="140">
        <f t="shared" si="244"/>
        <v>6361</v>
      </c>
      <c r="AL118" s="140">
        <f t="shared" si="244"/>
        <v>6540</v>
      </c>
      <c r="AM118" s="140">
        <f t="shared" si="244"/>
        <v>6721</v>
      </c>
      <c r="AN118" s="140">
        <f t="shared" si="244"/>
        <v>6900</v>
      </c>
      <c r="AO118" s="140">
        <f t="shared" si="244"/>
        <v>7081</v>
      </c>
      <c r="AP118" s="140">
        <f t="shared" si="244"/>
        <v>7260</v>
      </c>
      <c r="AQ118" s="140">
        <f t="shared" si="244"/>
        <v>7440</v>
      </c>
      <c r="AR118" s="140">
        <f t="shared" si="244"/>
        <v>7619</v>
      </c>
      <c r="AS118" s="140">
        <f t="shared" si="244"/>
        <v>7800</v>
      </c>
      <c r="AT118" s="140">
        <f t="shared" si="244"/>
        <v>7979</v>
      </c>
      <c r="AU118" s="140">
        <f t="shared" si="244"/>
        <v>8160</v>
      </c>
      <c r="AV118" s="140">
        <f t="shared" si="244"/>
        <v>8339</v>
      </c>
      <c r="AW118" s="140">
        <f t="shared" si="244"/>
        <v>8520</v>
      </c>
      <c r="AX118" s="140">
        <f t="shared" si="244"/>
        <v>8699</v>
      </c>
      <c r="AY118" s="140">
        <f t="shared" si="244"/>
        <v>8879</v>
      </c>
      <c r="AZ118" s="140">
        <f t="shared" si="244"/>
        <v>9059</v>
      </c>
      <c r="BA118" s="140">
        <f t="shared" si="244"/>
        <v>9239</v>
      </c>
      <c r="BB118" s="140">
        <f t="shared" si="244"/>
        <v>9419</v>
      </c>
      <c r="BC118" s="140">
        <f t="shared" si="244"/>
        <v>9599</v>
      </c>
      <c r="BD118" s="140">
        <f t="shared" si="244"/>
        <v>9779</v>
      </c>
      <c r="BE118" s="140">
        <f t="shared" si="244"/>
        <v>9959</v>
      </c>
      <c r="BF118" s="140">
        <f t="shared" si="244"/>
        <v>10139</v>
      </c>
      <c r="BG118" s="140">
        <f t="shared" si="244"/>
        <v>10317</v>
      </c>
      <c r="BH118" s="140">
        <f t="shared" si="244"/>
        <v>10498</v>
      </c>
      <c r="BI118" s="140">
        <f t="shared" si="244"/>
        <v>10676</v>
      </c>
      <c r="BJ118" s="140">
        <f t="shared" si="244"/>
        <v>10858</v>
      </c>
      <c r="BK118" s="140">
        <f t="shared" si="244"/>
        <v>11036</v>
      </c>
      <c r="BL118" s="140">
        <f t="shared" si="244"/>
        <v>11218</v>
      </c>
      <c r="BM118" s="140">
        <f t="shared" si="244"/>
        <v>11396</v>
      </c>
      <c r="BN118" s="140">
        <f t="shared" ref="BN118:CB118" si="245">DAYS360($B$3,BN38)</f>
        <v>11578</v>
      </c>
      <c r="BO118" s="140">
        <f t="shared" si="245"/>
        <v>11756</v>
      </c>
      <c r="BP118" s="140">
        <f t="shared" si="245"/>
        <v>11937</v>
      </c>
      <c r="BQ118" s="140">
        <f t="shared" si="245"/>
        <v>12115</v>
      </c>
      <c r="BR118" s="140">
        <f t="shared" si="245"/>
        <v>12297</v>
      </c>
      <c r="BS118" s="140">
        <f t="shared" si="245"/>
        <v>12475</v>
      </c>
      <c r="BT118" s="140">
        <f t="shared" si="245"/>
        <v>12657</v>
      </c>
      <c r="BU118" s="140">
        <f t="shared" si="245"/>
        <v>12835</v>
      </c>
      <c r="BV118" s="140">
        <f t="shared" si="245"/>
        <v>13017</v>
      </c>
      <c r="BW118" s="140">
        <f t="shared" si="245"/>
        <v>13195</v>
      </c>
      <c r="BX118" s="140">
        <f t="shared" si="245"/>
        <v>13376</v>
      </c>
      <c r="BY118" s="140">
        <f t="shared" si="245"/>
        <v>13554</v>
      </c>
      <c r="BZ118" s="140">
        <f t="shared" si="245"/>
        <v>13736</v>
      </c>
      <c r="CA118" s="140">
        <f t="shared" si="245"/>
        <v>13914</v>
      </c>
      <c r="CB118" s="140">
        <f t="shared" si="245"/>
        <v>14096</v>
      </c>
      <c r="CC118" s="17"/>
      <c r="CD118" s="17"/>
      <c r="CE118" s="17"/>
    </row>
    <row r="119" spans="1:83">
      <c r="A119" s="16" t="s">
        <v>41</v>
      </c>
      <c r="B119" s="140">
        <f>B118/360</f>
        <v>0.18055555555555555</v>
      </c>
      <c r="C119" s="140">
        <f t="shared" ref="C119:BN119" si="246">C118/360</f>
        <v>0.68055555555555558</v>
      </c>
      <c r="D119" s="140">
        <f t="shared" si="246"/>
        <v>1.1777777777777778</v>
      </c>
      <c r="E119" s="140">
        <f t="shared" si="246"/>
        <v>1.6805555555555556</v>
      </c>
      <c r="F119" s="140">
        <f t="shared" si="246"/>
        <v>2.1777777777777776</v>
      </c>
      <c r="G119" s="140">
        <f t="shared" si="246"/>
        <v>2.6805555555555554</v>
      </c>
      <c r="H119" s="140">
        <f t="shared" si="246"/>
        <v>3.1777777777777776</v>
      </c>
      <c r="I119" s="140">
        <f t="shared" si="246"/>
        <v>3.6805555555555554</v>
      </c>
      <c r="J119" s="140">
        <f t="shared" si="246"/>
        <v>4.177777777777778</v>
      </c>
      <c r="K119" s="140">
        <f t="shared" si="246"/>
        <v>4.677777777777778</v>
      </c>
      <c r="L119" s="140">
        <f t="shared" si="246"/>
        <v>5.1749999999999998</v>
      </c>
      <c r="M119" s="140">
        <f t="shared" si="246"/>
        <v>5.677777777777778</v>
      </c>
      <c r="N119" s="140">
        <f t="shared" si="246"/>
        <v>6.1749999999999998</v>
      </c>
      <c r="O119" s="140">
        <f t="shared" si="246"/>
        <v>6.677777777777778</v>
      </c>
      <c r="P119" s="140">
        <f t="shared" si="246"/>
        <v>7.1749999999999998</v>
      </c>
      <c r="Q119" s="140">
        <f t="shared" si="246"/>
        <v>7.677777777777778</v>
      </c>
      <c r="R119" s="140">
        <f t="shared" si="246"/>
        <v>8.1750000000000007</v>
      </c>
      <c r="S119" s="140">
        <f t="shared" si="246"/>
        <v>8.6750000000000007</v>
      </c>
      <c r="T119" s="140">
        <f t="shared" si="246"/>
        <v>9.1722222222222225</v>
      </c>
      <c r="U119" s="140">
        <f t="shared" si="246"/>
        <v>9.6750000000000007</v>
      </c>
      <c r="V119" s="140">
        <f t="shared" si="246"/>
        <v>10.172222222222222</v>
      </c>
      <c r="W119" s="140">
        <f t="shared" si="246"/>
        <v>10.675000000000001</v>
      </c>
      <c r="X119" s="140">
        <f t="shared" si="246"/>
        <v>11.172222222222222</v>
      </c>
      <c r="Y119" s="140">
        <f t="shared" si="246"/>
        <v>11.675000000000001</v>
      </c>
      <c r="Z119" s="140">
        <f t="shared" si="246"/>
        <v>12.172222222222222</v>
      </c>
      <c r="AA119" s="140">
        <f t="shared" si="246"/>
        <v>12.672222222222222</v>
      </c>
      <c r="AB119" s="140">
        <f t="shared" si="246"/>
        <v>13.169444444444444</v>
      </c>
      <c r="AC119" s="140">
        <f t="shared" si="246"/>
        <v>13.672222222222222</v>
      </c>
      <c r="AD119" s="140">
        <f t="shared" si="246"/>
        <v>14.169444444444444</v>
      </c>
      <c r="AE119" s="140">
        <f t="shared" si="246"/>
        <v>14.672222222222222</v>
      </c>
      <c r="AF119" s="140">
        <f t="shared" si="246"/>
        <v>15.169444444444444</v>
      </c>
      <c r="AG119" s="140">
        <f t="shared" si="246"/>
        <v>15.672222222222222</v>
      </c>
      <c r="AH119" s="140">
        <f t="shared" si="246"/>
        <v>16.169444444444444</v>
      </c>
      <c r="AI119" s="140">
        <f t="shared" si="246"/>
        <v>16.669444444444444</v>
      </c>
      <c r="AJ119" s="140">
        <f t="shared" si="246"/>
        <v>17.166666666666668</v>
      </c>
      <c r="AK119" s="140">
        <f t="shared" si="246"/>
        <v>17.669444444444444</v>
      </c>
      <c r="AL119" s="140">
        <f t="shared" si="246"/>
        <v>18.166666666666668</v>
      </c>
      <c r="AM119" s="140">
        <f t="shared" si="246"/>
        <v>18.669444444444444</v>
      </c>
      <c r="AN119" s="140">
        <f t="shared" si="246"/>
        <v>19.166666666666668</v>
      </c>
      <c r="AO119" s="140">
        <f t="shared" si="246"/>
        <v>19.669444444444444</v>
      </c>
      <c r="AP119" s="140">
        <f t="shared" si="246"/>
        <v>20.166666666666668</v>
      </c>
      <c r="AQ119" s="140">
        <f t="shared" si="246"/>
        <v>20.666666666666668</v>
      </c>
      <c r="AR119" s="140">
        <f t="shared" si="246"/>
        <v>21.163888888888888</v>
      </c>
      <c r="AS119" s="140">
        <f t="shared" si="246"/>
        <v>21.666666666666668</v>
      </c>
      <c r="AT119" s="140">
        <f t="shared" si="246"/>
        <v>22.163888888888888</v>
      </c>
      <c r="AU119" s="140">
        <f t="shared" si="246"/>
        <v>22.666666666666668</v>
      </c>
      <c r="AV119" s="140">
        <f t="shared" si="246"/>
        <v>23.163888888888888</v>
      </c>
      <c r="AW119" s="140">
        <f t="shared" si="246"/>
        <v>23.666666666666668</v>
      </c>
      <c r="AX119" s="140">
        <f t="shared" si="246"/>
        <v>24.163888888888888</v>
      </c>
      <c r="AY119" s="140">
        <f t="shared" si="246"/>
        <v>24.663888888888888</v>
      </c>
      <c r="AZ119" s="140">
        <f t="shared" si="246"/>
        <v>25.163888888888888</v>
      </c>
      <c r="BA119" s="140">
        <f t="shared" si="246"/>
        <v>25.663888888888888</v>
      </c>
      <c r="BB119" s="140">
        <f t="shared" si="246"/>
        <v>26.163888888888888</v>
      </c>
      <c r="BC119" s="140">
        <f t="shared" si="246"/>
        <v>26.663888888888888</v>
      </c>
      <c r="BD119" s="140">
        <f t="shared" si="246"/>
        <v>27.163888888888888</v>
      </c>
      <c r="BE119" s="140">
        <f t="shared" si="246"/>
        <v>27.663888888888888</v>
      </c>
      <c r="BF119" s="140">
        <f t="shared" si="246"/>
        <v>28.163888888888888</v>
      </c>
      <c r="BG119" s="140">
        <f t="shared" si="246"/>
        <v>28.658333333333335</v>
      </c>
      <c r="BH119" s="140">
        <f t="shared" si="246"/>
        <v>29.161111111111111</v>
      </c>
      <c r="BI119" s="140">
        <f t="shared" si="246"/>
        <v>29.655555555555555</v>
      </c>
      <c r="BJ119" s="140">
        <f t="shared" si="246"/>
        <v>30.161111111111111</v>
      </c>
      <c r="BK119" s="140">
        <f t="shared" si="246"/>
        <v>30.655555555555555</v>
      </c>
      <c r="BL119" s="140">
        <f t="shared" si="246"/>
        <v>31.161111111111111</v>
      </c>
      <c r="BM119" s="140">
        <f t="shared" si="246"/>
        <v>31.655555555555555</v>
      </c>
      <c r="BN119" s="140">
        <f t="shared" si="246"/>
        <v>32.161111111111111</v>
      </c>
      <c r="BO119" s="140">
        <f t="shared" ref="BO119:CB119" si="247">BO118/360</f>
        <v>32.655555555555559</v>
      </c>
      <c r="BP119" s="140">
        <f t="shared" si="247"/>
        <v>33.158333333333331</v>
      </c>
      <c r="BQ119" s="140">
        <f t="shared" si="247"/>
        <v>33.652777777777779</v>
      </c>
      <c r="BR119" s="140">
        <f t="shared" si="247"/>
        <v>34.158333333333331</v>
      </c>
      <c r="BS119" s="140">
        <f t="shared" si="247"/>
        <v>34.652777777777779</v>
      </c>
      <c r="BT119" s="140">
        <f t="shared" si="247"/>
        <v>35.158333333333331</v>
      </c>
      <c r="BU119" s="140">
        <f t="shared" si="247"/>
        <v>35.652777777777779</v>
      </c>
      <c r="BV119" s="140">
        <f t="shared" si="247"/>
        <v>36.158333333333331</v>
      </c>
      <c r="BW119" s="140">
        <f t="shared" si="247"/>
        <v>36.652777777777779</v>
      </c>
      <c r="BX119" s="140">
        <f t="shared" si="247"/>
        <v>37.155555555555559</v>
      </c>
      <c r="BY119" s="140">
        <f t="shared" si="247"/>
        <v>37.65</v>
      </c>
      <c r="BZ119" s="140">
        <f t="shared" si="247"/>
        <v>38.155555555555559</v>
      </c>
      <c r="CA119" s="140">
        <f t="shared" si="247"/>
        <v>38.65</v>
      </c>
      <c r="CB119" s="140">
        <f t="shared" si="247"/>
        <v>39.155555555555559</v>
      </c>
      <c r="CC119" s="17"/>
      <c r="CD119" s="17"/>
      <c r="CE119" s="17"/>
    </row>
    <row r="120" spans="1:83">
      <c r="A120" s="16" t="s">
        <v>43</v>
      </c>
      <c r="B120" s="140">
        <f>IF(B118&lt;0,0,$B$5+$B$6*((1-EXP(-B119/$B$9))/(B119/$B$9))+$B$7*((1-EXP(-B119/$B$9))/(B119/$B$9)-EXP(-B119/$B$9))+$B$8*((1-EXP(-B119/$B$10))/(B119/$B$10)-EXP(-B119/$B$10)))</f>
        <v>8.0089998754231621E-3</v>
      </c>
      <c r="C120" s="140">
        <f t="shared" ref="C120:BN120" si="248">IF(C118&lt;0,0,$B$5+$B$6*((1-EXP(-C119/$B$9))/(C119/$B$9))+$B$7*((1-EXP(-C119/$B$9))/(C119/$B$9)-EXP(-C119/$B$9))+$B$8*((1-EXP(-C119/$B$10))/(C119/$B$10)-EXP(-C119/$B$10)))</f>
        <v>7.081795042908642E-3</v>
      </c>
      <c r="D120" s="140">
        <f t="shared" si="248"/>
        <v>6.3638302779074722E-3</v>
      </c>
      <c r="E120" s="140">
        <f t="shared" si="248"/>
        <v>5.8171803039087011E-3</v>
      </c>
      <c r="F120" s="140">
        <f t="shared" si="248"/>
        <v>5.4298179092680289E-3</v>
      </c>
      <c r="G120" s="140">
        <f t="shared" si="248"/>
        <v>5.1714658281912067E-3</v>
      </c>
      <c r="H120" s="140">
        <f t="shared" si="248"/>
        <v>5.0290282582097934E-3</v>
      </c>
      <c r="I120" s="140">
        <f t="shared" si="248"/>
        <v>4.9824926512625906E-3</v>
      </c>
      <c r="J120" s="140">
        <f t="shared" si="248"/>
        <v>5.0182835005601594E-3</v>
      </c>
      <c r="K120" s="140">
        <f t="shared" si="248"/>
        <v>5.1234080092308681E-3</v>
      </c>
      <c r="L120" s="140">
        <f t="shared" si="248"/>
        <v>5.2854647456019397E-3</v>
      </c>
      <c r="M120" s="140">
        <f t="shared" si="248"/>
        <v>5.4976254783836625E-3</v>
      </c>
      <c r="N120" s="140">
        <f t="shared" si="248"/>
        <v>5.7465349394749659E-3</v>
      </c>
      <c r="O120" s="140">
        <f t="shared" si="248"/>
        <v>6.0300700245206965E-3</v>
      </c>
      <c r="P120" s="140">
        <f t="shared" si="248"/>
        <v>6.3353627606468369E-3</v>
      </c>
      <c r="Q120" s="140">
        <f t="shared" si="248"/>
        <v>6.6634070893834031E-3</v>
      </c>
      <c r="R120" s="140">
        <f t="shared" si="248"/>
        <v>7.0019717735072739E-3</v>
      </c>
      <c r="S120" s="140">
        <f t="shared" si="248"/>
        <v>7.3522828708339301E-3</v>
      </c>
      <c r="T120" s="140">
        <f t="shared" si="248"/>
        <v>7.7067495770819904E-3</v>
      </c>
      <c r="U120" s="140">
        <f t="shared" si="248"/>
        <v>8.0681309614575349E-3</v>
      </c>
      <c r="V120" s="140">
        <f t="shared" si="248"/>
        <v>8.4257118064160769E-3</v>
      </c>
      <c r="W120" s="140">
        <f t="shared" si="248"/>
        <v>8.7851270874777752E-3</v>
      </c>
      <c r="X120" s="140">
        <f t="shared" si="248"/>
        <v>9.1364717322600306E-3</v>
      </c>
      <c r="Y120" s="140">
        <f t="shared" si="248"/>
        <v>9.485925383519965E-3</v>
      </c>
      <c r="Z120" s="140">
        <f t="shared" si="248"/>
        <v>9.8243946928387067E-3</v>
      </c>
      <c r="AA120" s="140">
        <f t="shared" si="248"/>
        <v>1.0156477855414897E-2</v>
      </c>
      <c r="AB120" s="140">
        <f t="shared" si="248"/>
        <v>1.0477571699326754E-2</v>
      </c>
      <c r="AC120" s="140">
        <f t="shared" si="248"/>
        <v>1.0792237965840369E-2</v>
      </c>
      <c r="AD120" s="140">
        <f t="shared" si="248"/>
        <v>1.1092949823860582E-2</v>
      </c>
      <c r="AE120" s="140">
        <f t="shared" si="248"/>
        <v>1.138598718925311E-2</v>
      </c>
      <c r="AF120" s="140">
        <f t="shared" si="248"/>
        <v>1.1664561382477897E-2</v>
      </c>
      <c r="AG120" s="140">
        <f t="shared" si="248"/>
        <v>1.1934685830730572E-2</v>
      </c>
      <c r="AH120" s="140">
        <f t="shared" si="248"/>
        <v>1.219027188343912E-2</v>
      </c>
      <c r="AI120" s="140">
        <f t="shared" si="248"/>
        <v>1.2435657212417798E-2</v>
      </c>
      <c r="AJ120" s="140">
        <f t="shared" si="248"/>
        <v>1.2668137921914711E-2</v>
      </c>
      <c r="AK120" s="140">
        <f t="shared" si="248"/>
        <v>1.2891592338949657E-2</v>
      </c>
      <c r="AL120" s="140">
        <f t="shared" si="248"/>
        <v>1.3101206733375564E-2</v>
      </c>
      <c r="AM120" s="140">
        <f t="shared" si="248"/>
        <v>1.3301831047005688E-2</v>
      </c>
      <c r="AN120" s="140">
        <f t="shared" si="248"/>
        <v>1.3489227143983259E-2</v>
      </c>
      <c r="AO120" s="140">
        <f t="shared" si="248"/>
        <v>1.3667807785446977E-2</v>
      </c>
      <c r="AP120" s="140">
        <f t="shared" si="248"/>
        <v>1.3833869417708181E-2</v>
      </c>
      <c r="AQ120" s="140">
        <f t="shared" si="248"/>
        <v>1.3990544419982943E-2</v>
      </c>
      <c r="AR120" s="140">
        <f t="shared" si="248"/>
        <v>1.4136363141596298E-2</v>
      </c>
      <c r="AS120" s="140">
        <f t="shared" si="248"/>
        <v>1.4273971129756785E-2</v>
      </c>
      <c r="AT120" s="140">
        <f t="shared" si="248"/>
        <v>1.4400615781139818E-2</v>
      </c>
      <c r="AU120" s="140">
        <f t="shared" si="248"/>
        <v>1.4519424050370417E-2</v>
      </c>
      <c r="AV120" s="140">
        <f t="shared" si="248"/>
        <v>1.4628064833645354E-2</v>
      </c>
      <c r="AW120" s="140">
        <f t="shared" si="248"/>
        <v>1.4729264882145186E-2</v>
      </c>
      <c r="AX120" s="140">
        <f t="shared" si="248"/>
        <v>1.4821080952257993E-2</v>
      </c>
      <c r="AY120" s="140">
        <f t="shared" si="248"/>
        <v>1.4905413001331793E-2</v>
      </c>
      <c r="AZ120" s="140">
        <f t="shared" si="248"/>
        <v>1.4982014153097989E-2</v>
      </c>
      <c r="BA120" s="140">
        <f t="shared" si="248"/>
        <v>1.50511685683575E-2</v>
      </c>
      <c r="BB120" s="140">
        <f t="shared" si="248"/>
        <v>1.5113154949056969E-2</v>
      </c>
      <c r="BC120" s="140">
        <f t="shared" si="248"/>
        <v>1.5168245940572563E-2</v>
      </c>
      <c r="BD120" s="140">
        <f t="shared" si="248"/>
        <v>1.5216707658433481E-2</v>
      </c>
      <c r="BE120" s="140">
        <f t="shared" si="248"/>
        <v>1.5258799322996279E-2</v>
      </c>
      <c r="BF120" s="140">
        <f t="shared" si="248"/>
        <v>1.529477298750683E-2</v>
      </c>
      <c r="BG120" s="140">
        <f t="shared" si="248"/>
        <v>1.5324570294269646E-2</v>
      </c>
      <c r="BH120" s="140">
        <f t="shared" si="248"/>
        <v>1.5349216845527952E-2</v>
      </c>
      <c r="BI120" s="140">
        <f t="shared" si="248"/>
        <v>1.5368120919552475E-2</v>
      </c>
      <c r="BJ120" s="140">
        <f t="shared" si="248"/>
        <v>1.5382205849282505E-2</v>
      </c>
      <c r="BK120" s="140">
        <f t="shared" si="248"/>
        <v>1.5391064016608424E-2</v>
      </c>
      <c r="BL120" s="140">
        <f t="shared" si="248"/>
        <v>1.5395303830038976E-2</v>
      </c>
      <c r="BM120" s="140">
        <f t="shared" si="248"/>
        <v>1.5394935816795817E-2</v>
      </c>
      <c r="BN120" s="140">
        <f t="shared" si="248"/>
        <v>1.5390138899073744E-2</v>
      </c>
      <c r="BO120" s="140">
        <f t="shared" ref="BO120:CB120" si="249">IF(BO118&lt;0,0,$B$5+$B$6*((1-EXP(-BO119/$B$9))/(BO119/$B$9))+$B$7*((1-EXP(-BO119/$B$9))/(BO119/$B$9)-EXP(-BO119/$B$9))+$B$8*((1-EXP(-BO119/$B$10))/(BO119/$B$10)-EXP(-BO119/$B$10)))</f>
        <v>1.5381306687284699E-2</v>
      </c>
      <c r="BP120" s="140">
        <f t="shared" si="249"/>
        <v>1.5368306191597521E-2</v>
      </c>
      <c r="BQ120" s="140">
        <f t="shared" si="249"/>
        <v>1.5351736840395678E-2</v>
      </c>
      <c r="BR120" s="140">
        <f t="shared" si="249"/>
        <v>1.5331082345005648E-2</v>
      </c>
      <c r="BS120" s="140">
        <f t="shared" si="249"/>
        <v>1.5307407058589489E-2</v>
      </c>
      <c r="BT120" s="140">
        <f t="shared" si="249"/>
        <v>1.527980178510787E-2</v>
      </c>
      <c r="BU120" s="140">
        <f t="shared" si="249"/>
        <v>1.5249624353975411E-2</v>
      </c>
      <c r="BV120" s="140">
        <f t="shared" si="249"/>
        <v>1.521566132357817E-2</v>
      </c>
      <c r="BW120" s="140">
        <f t="shared" si="249"/>
        <v>1.5179538712487679E-2</v>
      </c>
      <c r="BX120" s="140">
        <f t="shared" si="249"/>
        <v>1.5139990820294533E-2</v>
      </c>
      <c r="BY120" s="140">
        <f t="shared" si="249"/>
        <v>1.5098450716372475E-2</v>
      </c>
      <c r="BZ120" s="140">
        <f t="shared" si="249"/>
        <v>1.5053383405333541E-2</v>
      </c>
      <c r="CA120" s="140">
        <f t="shared" si="249"/>
        <v>1.5006882804115943E-2</v>
      </c>
      <c r="CB120" s="140">
        <f t="shared" si="249"/>
        <v>1.4956970602103221E-2</v>
      </c>
      <c r="CC120" s="17"/>
      <c r="CD120" s="17"/>
      <c r="CE120" s="17"/>
    </row>
    <row r="121" spans="1:83">
      <c r="A121" s="16" t="s">
        <v>44</v>
      </c>
      <c r="B121" s="140">
        <f>EXP(-B120*B119)</f>
        <v>0.99855497563263396</v>
      </c>
      <c r="C121" s="140">
        <f t="shared" ref="C121:AR121" si="250">EXP(-C120*C119)</f>
        <v>0.99519204045951504</v>
      </c>
      <c r="D121" s="140">
        <f t="shared" si="250"/>
        <v>0.99253284091721428</v>
      </c>
      <c r="E121" s="140">
        <f t="shared" si="250"/>
        <v>0.99027153599581197</v>
      </c>
      <c r="F121" s="140">
        <f t="shared" si="250"/>
        <v>0.98824470301905865</v>
      </c>
      <c r="G121" s="140">
        <f t="shared" si="250"/>
        <v>0.98623323918457029</v>
      </c>
      <c r="H121" s="140">
        <f t="shared" si="250"/>
        <v>0.98414588653753776</v>
      </c>
      <c r="I121" s="140">
        <f t="shared" si="250"/>
        <v>0.98182878321440181</v>
      </c>
      <c r="J121" s="140">
        <f t="shared" si="250"/>
        <v>0.97925297021171376</v>
      </c>
      <c r="K121" s="140">
        <f t="shared" si="250"/>
        <v>0.97631874379111216</v>
      </c>
      <c r="L121" s="140">
        <f t="shared" si="250"/>
        <v>0.97301840615981727</v>
      </c>
      <c r="M121" s="140">
        <f t="shared" si="250"/>
        <v>0.96926784081880513</v>
      </c>
      <c r="N121" s="140">
        <f t="shared" si="250"/>
        <v>0.96513735281227286</v>
      </c>
      <c r="O121" s="140">
        <f t="shared" si="250"/>
        <v>0.96053249346291691</v>
      </c>
      <c r="P121" s="140">
        <f t="shared" si="250"/>
        <v>0.95556142867520444</v>
      </c>
      <c r="Q121" s="140">
        <f t="shared" si="250"/>
        <v>0.95012648715655534</v>
      </c>
      <c r="R121" s="140">
        <f t="shared" si="250"/>
        <v>0.94436633701088435</v>
      </c>
      <c r="S121" s="140">
        <f t="shared" si="250"/>
        <v>0.93821039454734889</v>
      </c>
      <c r="T121" s="140">
        <f t="shared" si="250"/>
        <v>0.93175253519341095</v>
      </c>
      <c r="U121" s="140">
        <f t="shared" si="250"/>
        <v>0.92490970074411993</v>
      </c>
      <c r="V121" s="140">
        <f t="shared" si="250"/>
        <v>0.91786201246821175</v>
      </c>
      <c r="W121" s="140">
        <f t="shared" si="250"/>
        <v>0.91048192507512948</v>
      </c>
      <c r="X121" s="140">
        <f t="shared" si="250"/>
        <v>0.90296210463507987</v>
      </c>
      <c r="Y121" s="140">
        <f t="shared" si="250"/>
        <v>0.89516414180979886</v>
      </c>
      <c r="Z121" s="140">
        <f t="shared" si="250"/>
        <v>0.88728883760621746</v>
      </c>
      <c r="AA121" s="140">
        <f t="shared" si="250"/>
        <v>0.87923317417281033</v>
      </c>
      <c r="AB121" s="140">
        <f t="shared" si="250"/>
        <v>0.87111280504662225</v>
      </c>
      <c r="AC121" s="140">
        <f t="shared" si="250"/>
        <v>0.86281595221772611</v>
      </c>
      <c r="AD121" s="140">
        <f t="shared" si="250"/>
        <v>0.85454942585660731</v>
      </c>
      <c r="AE121" s="140">
        <f t="shared" si="250"/>
        <v>0.84615075803900142</v>
      </c>
      <c r="AF121" s="140">
        <f t="shared" si="250"/>
        <v>0.83782593417271878</v>
      </c>
      <c r="AG121" s="140">
        <f t="shared" si="250"/>
        <v>0.82940803085221204</v>
      </c>
      <c r="AH121" s="140">
        <f t="shared" si="250"/>
        <v>0.82110036972946787</v>
      </c>
      <c r="AI121" s="140">
        <f t="shared" si="250"/>
        <v>0.81277944058592266</v>
      </c>
      <c r="AJ121" s="140">
        <f t="shared" si="250"/>
        <v>0.80455198167676012</v>
      </c>
      <c r="AK121" s="140">
        <f t="shared" si="250"/>
        <v>0.79629363367482675</v>
      </c>
      <c r="AL121" s="140">
        <f t="shared" si="250"/>
        <v>0.78819854858219918</v>
      </c>
      <c r="AM121" s="140">
        <f t="shared" si="250"/>
        <v>0.78009638552923855</v>
      </c>
      <c r="AN121" s="140">
        <f t="shared" si="250"/>
        <v>0.77217542504290337</v>
      </c>
      <c r="AO121" s="140">
        <f t="shared" si="250"/>
        <v>0.76426691479592634</v>
      </c>
      <c r="AP121" s="140">
        <f t="shared" si="250"/>
        <v>0.75655273934196077</v>
      </c>
      <c r="AQ121" s="140">
        <f t="shared" si="250"/>
        <v>0.74890891025089656</v>
      </c>
      <c r="AR121" s="140">
        <f t="shared" si="250"/>
        <v>0.74142563022862495</v>
      </c>
      <c r="AS121" s="140">
        <f>EXP(-AS120*AS119)</f>
        <v>0.73398302709917784</v>
      </c>
      <c r="AT121" s="140">
        <f t="shared" ref="AT121:CA121" si="251">EXP(-AT120*AT119)</f>
        <v>0.72674933970314914</v>
      </c>
      <c r="AU121" s="140">
        <f t="shared" si="251"/>
        <v>0.71956605853788136</v>
      </c>
      <c r="AV121" s="140">
        <f t="shared" si="251"/>
        <v>0.71259441134551837</v>
      </c>
      <c r="AW121" s="140">
        <f t="shared" si="251"/>
        <v>0.70568056441780747</v>
      </c>
      <c r="AX121" s="140">
        <f t="shared" si="251"/>
        <v>0.6989787391232547</v>
      </c>
      <c r="AY121" s="140">
        <f t="shared" si="251"/>
        <v>0.69237646265828745</v>
      </c>
      <c r="AZ121" s="140">
        <f t="shared" si="251"/>
        <v>0.68591213710551135</v>
      </c>
      <c r="BA121" s="140">
        <f t="shared" si="251"/>
        <v>0.6795859809467435</v>
      </c>
      <c r="BB121" s="140">
        <f t="shared" si="251"/>
        <v>0.67339788916870214</v>
      </c>
      <c r="BC121" s="140">
        <f t="shared" si="251"/>
        <v>0.66734746985618942</v>
      </c>
      <c r="BD121" s="140">
        <f t="shared" si="251"/>
        <v>0.66143407775755492</v>
      </c>
      <c r="BE121" s="140">
        <f t="shared" si="251"/>
        <v>0.65565684499254229</v>
      </c>
      <c r="BF121" s="140">
        <f t="shared" si="251"/>
        <v>0.65001470907592218</v>
      </c>
      <c r="BG121" s="140">
        <f t="shared" si="251"/>
        <v>0.64456691089974116</v>
      </c>
      <c r="BH121" s="140">
        <f t="shared" si="251"/>
        <v>0.63916015775108004</v>
      </c>
      <c r="BI121" s="140">
        <f t="shared" si="251"/>
        <v>0.63397220657584241</v>
      </c>
      <c r="BJ121" s="140">
        <f t="shared" si="251"/>
        <v>0.62879850227120504</v>
      </c>
      <c r="BK121" s="140">
        <f t="shared" si="251"/>
        <v>0.62386478922881072</v>
      </c>
      <c r="BL121" s="140">
        <f t="shared" si="251"/>
        <v>0.61894753148820547</v>
      </c>
      <c r="BM121" s="140">
        <f t="shared" si="251"/>
        <v>0.61426106984178386</v>
      </c>
      <c r="BN121" s="140">
        <f t="shared" si="251"/>
        <v>0.60959287226999181</v>
      </c>
      <c r="BO121" s="140">
        <f t="shared" si="251"/>
        <v>0.60514624974811937</v>
      </c>
      <c r="BP121" s="140">
        <f t="shared" si="251"/>
        <v>0.60074338271261962</v>
      </c>
      <c r="BQ121" s="140">
        <f t="shared" si="251"/>
        <v>0.59652830403065815</v>
      </c>
      <c r="BR121" s="140">
        <f t="shared" si="251"/>
        <v>0.59233423272946117</v>
      </c>
      <c r="BS121" s="140">
        <f t="shared" si="251"/>
        <v>0.58834358402934772</v>
      </c>
      <c r="BT121" s="140">
        <f t="shared" si="251"/>
        <v>0.58437500847992496</v>
      </c>
      <c r="BU121" s="140">
        <f t="shared" si="251"/>
        <v>0.580601021337107</v>
      </c>
      <c r="BV121" s="140">
        <f t="shared" si="251"/>
        <v>0.57685003321721084</v>
      </c>
      <c r="BW121" s="140">
        <f t="shared" si="251"/>
        <v>0.57328502552493288</v>
      </c>
      <c r="BX121" s="140">
        <f t="shared" si="251"/>
        <v>0.56976301370712035</v>
      </c>
      <c r="BY121" s="140">
        <f t="shared" si="251"/>
        <v>0.56639890522417169</v>
      </c>
      <c r="BZ121" s="140">
        <f t="shared" si="251"/>
        <v>0.56305936811386703</v>
      </c>
      <c r="CA121" s="140">
        <f t="shared" si="251"/>
        <v>0.55988939685317196</v>
      </c>
      <c r="CB121" s="140">
        <f>EXP(-CB120*CB119)</f>
        <v>0.55674469948195526</v>
      </c>
      <c r="CC121" s="17"/>
      <c r="CD121" s="17"/>
      <c r="CE121" s="17"/>
    </row>
    <row r="122" spans="1:83">
      <c r="A122" s="17"/>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17"/>
      <c r="CD122" s="17"/>
      <c r="CE122" s="17"/>
    </row>
    <row r="123" spans="1:83">
      <c r="A123" s="16" t="s">
        <v>40</v>
      </c>
      <c r="B123" s="140">
        <f t="shared" ref="B123:AG123" si="252">DAYS360($B$3,B40)</f>
        <v>20</v>
      </c>
      <c r="C123" s="140">
        <f t="shared" si="252"/>
        <v>198</v>
      </c>
      <c r="D123" s="140">
        <f t="shared" si="252"/>
        <v>379</v>
      </c>
      <c r="E123" s="140">
        <f t="shared" si="252"/>
        <v>557</v>
      </c>
      <c r="F123" s="140">
        <f t="shared" si="252"/>
        <v>739</v>
      </c>
      <c r="G123" s="140">
        <f t="shared" si="252"/>
        <v>917</v>
      </c>
      <c r="H123" s="140">
        <f t="shared" si="252"/>
        <v>1099</v>
      </c>
      <c r="I123" s="140">
        <f t="shared" si="252"/>
        <v>1277</v>
      </c>
      <c r="J123" s="140">
        <f t="shared" si="252"/>
        <v>1459</v>
      </c>
      <c r="K123" s="140">
        <f t="shared" si="252"/>
        <v>1637</v>
      </c>
      <c r="L123" s="140">
        <f t="shared" si="252"/>
        <v>1818</v>
      </c>
      <c r="M123" s="140">
        <f t="shared" si="252"/>
        <v>1996</v>
      </c>
      <c r="N123" s="140">
        <f t="shared" si="252"/>
        <v>2178</v>
      </c>
      <c r="O123" s="140">
        <f t="shared" si="252"/>
        <v>2356</v>
      </c>
      <c r="P123" s="140">
        <f t="shared" si="252"/>
        <v>2538</v>
      </c>
      <c r="Q123" s="140">
        <f t="shared" si="252"/>
        <v>2716</v>
      </c>
      <c r="R123" s="140">
        <f t="shared" si="252"/>
        <v>2898</v>
      </c>
      <c r="S123" s="140">
        <f t="shared" si="252"/>
        <v>3076</v>
      </c>
      <c r="T123" s="140">
        <f t="shared" si="252"/>
        <v>3257</v>
      </c>
      <c r="U123" s="140">
        <f t="shared" si="252"/>
        <v>3435</v>
      </c>
      <c r="V123" s="140">
        <f t="shared" si="252"/>
        <v>3617</v>
      </c>
      <c r="W123" s="140">
        <f t="shared" si="252"/>
        <v>3795</v>
      </c>
      <c r="X123" s="140">
        <f t="shared" si="252"/>
        <v>3977</v>
      </c>
      <c r="Y123" s="140">
        <f t="shared" si="252"/>
        <v>4155</v>
      </c>
      <c r="Z123" s="140">
        <f t="shared" si="252"/>
        <v>4337</v>
      </c>
      <c r="AA123" s="140">
        <f t="shared" si="252"/>
        <v>4515</v>
      </c>
      <c r="AB123" s="140">
        <f t="shared" si="252"/>
        <v>4696</v>
      </c>
      <c r="AC123" s="140">
        <f t="shared" si="252"/>
        <v>4874</v>
      </c>
      <c r="AD123" s="140">
        <f t="shared" si="252"/>
        <v>5056</v>
      </c>
      <c r="AE123" s="140">
        <f t="shared" si="252"/>
        <v>5234</v>
      </c>
      <c r="AF123" s="140">
        <f t="shared" si="252"/>
        <v>5416</v>
      </c>
      <c r="AG123" s="140">
        <f t="shared" si="252"/>
        <v>5594</v>
      </c>
      <c r="AH123" s="140">
        <f t="shared" ref="AH123:BM123" si="253">DAYS360($B$3,AH40)</f>
        <v>5776</v>
      </c>
      <c r="AI123" s="140">
        <f t="shared" si="253"/>
        <v>5954</v>
      </c>
      <c r="AJ123" s="140">
        <f t="shared" si="253"/>
        <v>6135</v>
      </c>
      <c r="AK123" s="140">
        <f t="shared" si="253"/>
        <v>6313</v>
      </c>
      <c r="AL123" s="140">
        <f t="shared" si="253"/>
        <v>6495</v>
      </c>
      <c r="AM123" s="140">
        <f t="shared" si="253"/>
        <v>6673</v>
      </c>
      <c r="AN123" s="140">
        <f t="shared" si="253"/>
        <v>6855</v>
      </c>
      <c r="AO123" s="140">
        <f t="shared" si="253"/>
        <v>7033</v>
      </c>
      <c r="AP123" s="140">
        <f t="shared" si="253"/>
        <v>7215</v>
      </c>
      <c r="AQ123" s="140">
        <f t="shared" si="253"/>
        <v>7393</v>
      </c>
      <c r="AR123" s="140">
        <f t="shared" si="253"/>
        <v>7574</v>
      </c>
      <c r="AS123" s="140">
        <f t="shared" si="253"/>
        <v>7752</v>
      </c>
      <c r="AT123" s="140">
        <f t="shared" si="253"/>
        <v>7934</v>
      </c>
      <c r="AU123" s="140">
        <f t="shared" si="253"/>
        <v>8112</v>
      </c>
      <c r="AV123" s="140">
        <f t="shared" si="253"/>
        <v>8294</v>
      </c>
      <c r="AW123" s="140">
        <f t="shared" si="253"/>
        <v>8472</v>
      </c>
      <c r="AX123" s="140">
        <f t="shared" si="253"/>
        <v>8654</v>
      </c>
      <c r="AY123" s="140">
        <f t="shared" si="253"/>
        <v>8832</v>
      </c>
      <c r="AZ123" s="140">
        <f t="shared" si="253"/>
        <v>9013</v>
      </c>
      <c r="BA123" s="140">
        <f t="shared" si="253"/>
        <v>9191</v>
      </c>
      <c r="BB123" s="140">
        <f t="shared" si="253"/>
        <v>9373</v>
      </c>
      <c r="BC123" s="140">
        <f t="shared" si="253"/>
        <v>9551</v>
      </c>
      <c r="BD123" s="140">
        <f t="shared" si="253"/>
        <v>9733</v>
      </c>
      <c r="BE123" s="140">
        <f t="shared" si="253"/>
        <v>9911</v>
      </c>
      <c r="BF123" s="140">
        <f t="shared" si="253"/>
        <v>10093</v>
      </c>
      <c r="BG123" s="140">
        <f t="shared" si="253"/>
        <v>10271</v>
      </c>
      <c r="BH123" s="140">
        <f t="shared" si="253"/>
        <v>10452</v>
      </c>
      <c r="BI123" s="140">
        <f t="shared" si="253"/>
        <v>10630</v>
      </c>
      <c r="BJ123" s="140">
        <f t="shared" si="253"/>
        <v>10812</v>
      </c>
      <c r="BK123" s="140">
        <f t="shared" si="253"/>
        <v>10990</v>
      </c>
      <c r="BL123" s="140">
        <f t="shared" si="253"/>
        <v>11172</v>
      </c>
      <c r="BM123" s="140">
        <f t="shared" si="253"/>
        <v>11350</v>
      </c>
      <c r="BN123" s="140">
        <f t="shared" ref="BN123:CB123" si="254">DAYS360($B$3,BN40)</f>
        <v>11532</v>
      </c>
      <c r="BO123" s="140">
        <f t="shared" si="254"/>
        <v>11710</v>
      </c>
      <c r="BP123" s="140">
        <f t="shared" si="254"/>
        <v>11891</v>
      </c>
      <c r="BQ123" s="140">
        <f t="shared" si="254"/>
        <v>12069</v>
      </c>
      <c r="BR123" s="140">
        <f t="shared" si="254"/>
        <v>12251</v>
      </c>
      <c r="BS123" s="140">
        <f t="shared" si="254"/>
        <v>12429</v>
      </c>
      <c r="BT123" s="140">
        <f t="shared" si="254"/>
        <v>12611</v>
      </c>
      <c r="BU123" s="140">
        <f t="shared" si="254"/>
        <v>12789</v>
      </c>
      <c r="BV123" s="140">
        <f t="shared" si="254"/>
        <v>12971</v>
      </c>
      <c r="BW123" s="140">
        <f t="shared" si="254"/>
        <v>13149</v>
      </c>
      <c r="BX123" s="140">
        <f t="shared" si="254"/>
        <v>13330</v>
      </c>
      <c r="BY123" s="140">
        <f t="shared" si="254"/>
        <v>13508</v>
      </c>
      <c r="BZ123" s="140">
        <f t="shared" si="254"/>
        <v>13690</v>
      </c>
      <c r="CA123" s="140">
        <f t="shared" si="254"/>
        <v>13868</v>
      </c>
      <c r="CB123" s="140">
        <f t="shared" si="254"/>
        <v>14050</v>
      </c>
      <c r="CC123" s="17"/>
      <c r="CD123" s="17"/>
      <c r="CE123" s="17"/>
    </row>
    <row r="124" spans="1:83">
      <c r="A124" s="16" t="s">
        <v>41</v>
      </c>
      <c r="B124" s="140">
        <f>B123/360</f>
        <v>5.5555555555555552E-2</v>
      </c>
      <c r="C124" s="140">
        <f t="shared" ref="C124:BN124" si="255">C123/360</f>
        <v>0.55000000000000004</v>
      </c>
      <c r="D124" s="140">
        <f t="shared" si="255"/>
        <v>1.0527777777777778</v>
      </c>
      <c r="E124" s="140">
        <f t="shared" si="255"/>
        <v>1.5472222222222223</v>
      </c>
      <c r="F124" s="140">
        <f t="shared" si="255"/>
        <v>2.0527777777777776</v>
      </c>
      <c r="G124" s="140">
        <f t="shared" si="255"/>
        <v>2.5472222222222221</v>
      </c>
      <c r="H124" s="140">
        <f t="shared" si="255"/>
        <v>3.0527777777777776</v>
      </c>
      <c r="I124" s="140">
        <f t="shared" si="255"/>
        <v>3.5472222222222221</v>
      </c>
      <c r="J124" s="140">
        <f t="shared" si="255"/>
        <v>4.052777777777778</v>
      </c>
      <c r="K124" s="140">
        <f t="shared" si="255"/>
        <v>4.5472222222222225</v>
      </c>
      <c r="L124" s="140">
        <f t="shared" si="255"/>
        <v>5.05</v>
      </c>
      <c r="M124" s="140">
        <f t="shared" si="255"/>
        <v>5.5444444444444443</v>
      </c>
      <c r="N124" s="140">
        <f t="shared" si="255"/>
        <v>6.05</v>
      </c>
      <c r="O124" s="140">
        <f t="shared" si="255"/>
        <v>6.5444444444444443</v>
      </c>
      <c r="P124" s="140">
        <f t="shared" si="255"/>
        <v>7.05</v>
      </c>
      <c r="Q124" s="140">
        <f t="shared" si="255"/>
        <v>7.5444444444444443</v>
      </c>
      <c r="R124" s="140">
        <f t="shared" si="255"/>
        <v>8.0500000000000007</v>
      </c>
      <c r="S124" s="140">
        <f t="shared" si="255"/>
        <v>8.5444444444444443</v>
      </c>
      <c r="T124" s="140">
        <f t="shared" si="255"/>
        <v>9.0472222222222225</v>
      </c>
      <c r="U124" s="140">
        <f t="shared" si="255"/>
        <v>9.5416666666666661</v>
      </c>
      <c r="V124" s="140">
        <f t="shared" si="255"/>
        <v>10.047222222222222</v>
      </c>
      <c r="W124" s="140">
        <f t="shared" si="255"/>
        <v>10.541666666666666</v>
      </c>
      <c r="X124" s="140">
        <f t="shared" si="255"/>
        <v>11.047222222222222</v>
      </c>
      <c r="Y124" s="140">
        <f t="shared" si="255"/>
        <v>11.541666666666666</v>
      </c>
      <c r="Z124" s="140">
        <f t="shared" si="255"/>
        <v>12.047222222222222</v>
      </c>
      <c r="AA124" s="140">
        <f t="shared" si="255"/>
        <v>12.541666666666666</v>
      </c>
      <c r="AB124" s="140">
        <f t="shared" si="255"/>
        <v>13.044444444444444</v>
      </c>
      <c r="AC124" s="140">
        <f t="shared" si="255"/>
        <v>13.53888888888889</v>
      </c>
      <c r="AD124" s="140">
        <f t="shared" si="255"/>
        <v>14.044444444444444</v>
      </c>
      <c r="AE124" s="140">
        <f t="shared" si="255"/>
        <v>14.53888888888889</v>
      </c>
      <c r="AF124" s="140">
        <f t="shared" si="255"/>
        <v>15.044444444444444</v>
      </c>
      <c r="AG124" s="140">
        <f t="shared" si="255"/>
        <v>15.53888888888889</v>
      </c>
      <c r="AH124" s="140">
        <f t="shared" si="255"/>
        <v>16.044444444444444</v>
      </c>
      <c r="AI124" s="140">
        <f t="shared" si="255"/>
        <v>16.538888888888888</v>
      </c>
      <c r="AJ124" s="140">
        <f t="shared" si="255"/>
        <v>17.041666666666668</v>
      </c>
      <c r="AK124" s="140">
        <f t="shared" si="255"/>
        <v>17.536111111111111</v>
      </c>
      <c r="AL124" s="140">
        <f t="shared" si="255"/>
        <v>18.041666666666668</v>
      </c>
      <c r="AM124" s="140">
        <f t="shared" si="255"/>
        <v>18.536111111111111</v>
      </c>
      <c r="AN124" s="140">
        <f t="shared" si="255"/>
        <v>19.041666666666668</v>
      </c>
      <c r="AO124" s="140">
        <f t="shared" si="255"/>
        <v>19.536111111111111</v>
      </c>
      <c r="AP124" s="140">
        <f t="shared" si="255"/>
        <v>20.041666666666668</v>
      </c>
      <c r="AQ124" s="140">
        <f t="shared" si="255"/>
        <v>20.536111111111111</v>
      </c>
      <c r="AR124" s="140">
        <f t="shared" si="255"/>
        <v>21.038888888888888</v>
      </c>
      <c r="AS124" s="140">
        <f t="shared" si="255"/>
        <v>21.533333333333335</v>
      </c>
      <c r="AT124" s="140">
        <f t="shared" si="255"/>
        <v>22.038888888888888</v>
      </c>
      <c r="AU124" s="140">
        <f t="shared" si="255"/>
        <v>22.533333333333335</v>
      </c>
      <c r="AV124" s="140">
        <f t="shared" si="255"/>
        <v>23.038888888888888</v>
      </c>
      <c r="AW124" s="140">
        <f t="shared" si="255"/>
        <v>23.533333333333335</v>
      </c>
      <c r="AX124" s="140">
        <f t="shared" si="255"/>
        <v>24.038888888888888</v>
      </c>
      <c r="AY124" s="140">
        <f t="shared" si="255"/>
        <v>24.533333333333335</v>
      </c>
      <c r="AZ124" s="140">
        <f t="shared" si="255"/>
        <v>25.036111111111111</v>
      </c>
      <c r="BA124" s="140">
        <f t="shared" si="255"/>
        <v>25.530555555555555</v>
      </c>
      <c r="BB124" s="140">
        <f t="shared" si="255"/>
        <v>26.036111111111111</v>
      </c>
      <c r="BC124" s="140">
        <f t="shared" si="255"/>
        <v>26.530555555555555</v>
      </c>
      <c r="BD124" s="140">
        <f t="shared" si="255"/>
        <v>27.036111111111111</v>
      </c>
      <c r="BE124" s="140">
        <f t="shared" si="255"/>
        <v>27.530555555555555</v>
      </c>
      <c r="BF124" s="140">
        <f t="shared" si="255"/>
        <v>28.036111111111111</v>
      </c>
      <c r="BG124" s="140">
        <f t="shared" si="255"/>
        <v>28.530555555555555</v>
      </c>
      <c r="BH124" s="140">
        <f t="shared" si="255"/>
        <v>29.033333333333335</v>
      </c>
      <c r="BI124" s="140">
        <f t="shared" si="255"/>
        <v>29.527777777777779</v>
      </c>
      <c r="BJ124" s="140">
        <f t="shared" si="255"/>
        <v>30.033333333333335</v>
      </c>
      <c r="BK124" s="140">
        <f t="shared" si="255"/>
        <v>30.527777777777779</v>
      </c>
      <c r="BL124" s="140">
        <f t="shared" si="255"/>
        <v>31.033333333333335</v>
      </c>
      <c r="BM124" s="140">
        <f t="shared" si="255"/>
        <v>31.527777777777779</v>
      </c>
      <c r="BN124" s="140">
        <f t="shared" si="255"/>
        <v>32.033333333333331</v>
      </c>
      <c r="BO124" s="140">
        <f t="shared" ref="BO124:CB124" si="256">BO123/360</f>
        <v>32.527777777777779</v>
      </c>
      <c r="BP124" s="140">
        <f t="shared" si="256"/>
        <v>33.030555555555559</v>
      </c>
      <c r="BQ124" s="140">
        <f t="shared" si="256"/>
        <v>33.524999999999999</v>
      </c>
      <c r="BR124" s="140">
        <f t="shared" si="256"/>
        <v>34.030555555555559</v>
      </c>
      <c r="BS124" s="140">
        <f t="shared" si="256"/>
        <v>34.524999999999999</v>
      </c>
      <c r="BT124" s="140">
        <f t="shared" si="256"/>
        <v>35.030555555555559</v>
      </c>
      <c r="BU124" s="140">
        <f t="shared" si="256"/>
        <v>35.524999999999999</v>
      </c>
      <c r="BV124" s="140">
        <f t="shared" si="256"/>
        <v>36.030555555555559</v>
      </c>
      <c r="BW124" s="140">
        <f t="shared" si="256"/>
        <v>36.524999999999999</v>
      </c>
      <c r="BX124" s="140">
        <f t="shared" si="256"/>
        <v>37.027777777777779</v>
      </c>
      <c r="BY124" s="140">
        <f t="shared" si="256"/>
        <v>37.522222222222226</v>
      </c>
      <c r="BZ124" s="140">
        <f t="shared" si="256"/>
        <v>38.027777777777779</v>
      </c>
      <c r="CA124" s="140">
        <f t="shared" si="256"/>
        <v>38.522222222222226</v>
      </c>
      <c r="CB124" s="140">
        <f t="shared" si="256"/>
        <v>39.027777777777779</v>
      </c>
      <c r="CC124" s="17"/>
      <c r="CD124" s="17"/>
      <c r="CE124" s="17"/>
    </row>
    <row r="125" spans="1:83">
      <c r="A125" s="16" t="s">
        <v>43</v>
      </c>
      <c r="B125" s="140">
        <f>IF(B123&lt;0,0,$B$5+$B$6*((1-EXP(-B124/$B$9))/(B124/$B$9))+$B$7*((1-EXP(-B124/$B$9))/(B124/$B$9)-EXP(-B124/$B$9))+$B$8*((1-EXP(-B124/$B$10))/(B124/$B$10)-EXP(-B124/$B$10)))</f>
        <v>8.2764988792857052E-3</v>
      </c>
      <c r="C125" s="140">
        <f t="shared" ref="C125:BN125" si="257">IF(C123&lt;0,0,$B$5+$B$6*((1-EXP(-C124/$B$9))/(C124/$B$9))+$B$7*((1-EXP(-C124/$B$9))/(C124/$B$9)-EXP(-C124/$B$9))+$B$8*((1-EXP(-C124/$B$10))/(C124/$B$10)-EXP(-C124/$B$10)))</f>
        <v>7.3028593642107077E-3</v>
      </c>
      <c r="D125" s="140">
        <f t="shared" si="257"/>
        <v>6.5267155698988354E-3</v>
      </c>
      <c r="E125" s="140">
        <f t="shared" si="257"/>
        <v>5.9460137474415357E-3</v>
      </c>
      <c r="F125" s="140">
        <f t="shared" si="257"/>
        <v>5.5140694759139696E-3</v>
      </c>
      <c r="G125" s="140">
        <f t="shared" si="257"/>
        <v>5.2280360977632967E-3</v>
      </c>
      <c r="H125" s="140">
        <f t="shared" si="257"/>
        <v>5.0551995460983599E-3</v>
      </c>
      <c r="I125" s="140">
        <f t="shared" si="257"/>
        <v>4.9861527216115116E-3</v>
      </c>
      <c r="J125" s="140">
        <f t="shared" si="257"/>
        <v>5.0023609128132755E-3</v>
      </c>
      <c r="K125" s="140">
        <f t="shared" si="257"/>
        <v>5.0899307052893073E-3</v>
      </c>
      <c r="L125" s="140">
        <f t="shared" si="257"/>
        <v>5.2398889671694121E-3</v>
      </c>
      <c r="M125" s="140">
        <f t="shared" si="257"/>
        <v>5.4371482234945511E-3</v>
      </c>
      <c r="N125" s="140">
        <f t="shared" si="257"/>
        <v>5.6807334584393285E-3</v>
      </c>
      <c r="O125" s="140">
        <f t="shared" si="257"/>
        <v>5.95215345634411E-3</v>
      </c>
      <c r="P125" s="140">
        <f t="shared" si="257"/>
        <v>6.2566118635969687E-3</v>
      </c>
      <c r="Q125" s="140">
        <f t="shared" si="257"/>
        <v>6.5748155631721265E-3</v>
      </c>
      <c r="R125" s="140">
        <f t="shared" si="257"/>
        <v>6.9157805219007508E-3</v>
      </c>
      <c r="S125" s="140">
        <f t="shared" si="257"/>
        <v>7.260077850214171E-3</v>
      </c>
      <c r="T125" s="140">
        <f t="shared" si="257"/>
        <v>7.6172476155674544E-3</v>
      </c>
      <c r="U125" s="140">
        <f t="shared" si="257"/>
        <v>7.9721698767895692E-3</v>
      </c>
      <c r="V125" s="140">
        <f t="shared" si="257"/>
        <v>8.3359326032474354E-3</v>
      </c>
      <c r="W125" s="140">
        <f t="shared" si="257"/>
        <v>8.6901428084512136E-3</v>
      </c>
      <c r="X125" s="140">
        <f t="shared" si="257"/>
        <v>9.0486235507974896E-3</v>
      </c>
      <c r="Y125" s="140">
        <f t="shared" si="257"/>
        <v>9.3939057133490562E-3</v>
      </c>
      <c r="Z125" s="140">
        <f t="shared" si="257"/>
        <v>9.7400367525031662E-3</v>
      </c>
      <c r="AA125" s="140">
        <f t="shared" si="257"/>
        <v>1.0070622910259175E-2</v>
      </c>
      <c r="AB125" s="140">
        <f t="shared" si="257"/>
        <v>1.0397750757242721E-2</v>
      </c>
      <c r="AC125" s="140">
        <f t="shared" si="257"/>
        <v>1.0709807329030634E-2</v>
      </c>
      <c r="AD125" s="140">
        <f t="shared" si="257"/>
        <v>1.1018358212941337E-2</v>
      </c>
      <c r="AE125" s="140">
        <f t="shared" si="257"/>
        <v>1.130937665343161E-2</v>
      </c>
      <c r="AF125" s="140">
        <f t="shared" si="257"/>
        <v>1.1595592215962999E-2</v>
      </c>
      <c r="AG125" s="140">
        <f t="shared" si="257"/>
        <v>1.1864191737822716E-2</v>
      </c>
      <c r="AH125" s="140">
        <f t="shared" si="257"/>
        <v>1.2127103062173969E-2</v>
      </c>
      <c r="AI125" s="140">
        <f t="shared" si="257"/>
        <v>1.2372709039067236E-2</v>
      </c>
      <c r="AJ125" s="140">
        <f t="shared" si="257"/>
        <v>1.2610772657688596E-2</v>
      </c>
      <c r="AK125" s="140">
        <f t="shared" si="257"/>
        <v>1.2833466169370927E-2</v>
      </c>
      <c r="AL125" s="140">
        <f t="shared" si="257"/>
        <v>1.3049566081308386E-2</v>
      </c>
      <c r="AM125" s="140">
        <f t="shared" si="257"/>
        <v>1.3249726373084639E-2</v>
      </c>
      <c r="AN125" s="140">
        <f t="shared" si="257"/>
        <v>1.3443135056364425E-2</v>
      </c>
      <c r="AO125" s="140">
        <f t="shared" si="257"/>
        <v>1.3621504612100384E-2</v>
      </c>
      <c r="AP125" s="140">
        <f t="shared" si="257"/>
        <v>1.3793094950048511E-2</v>
      </c>
      <c r="AQ125" s="140">
        <f t="shared" si="257"/>
        <v>1.3950617485761027E-2</v>
      </c>
      <c r="AR125" s="140">
        <f t="shared" si="257"/>
        <v>1.4100626604374807E-2</v>
      </c>
      <c r="AS125" s="140">
        <f t="shared" si="257"/>
        <v>1.4238426020167743E-2</v>
      </c>
      <c r="AT125" s="140">
        <f t="shared" si="257"/>
        <v>1.4369645405550177E-2</v>
      </c>
      <c r="AU125" s="140">
        <f t="shared" si="257"/>
        <v>1.448880641252626E-2</v>
      </c>
      <c r="AV125" s="140">
        <f t="shared" si="257"/>
        <v>1.4601565360601755E-2</v>
      </c>
      <c r="AW125" s="140">
        <f t="shared" si="257"/>
        <v>1.470325837352756E-2</v>
      </c>
      <c r="AX125" s="140">
        <f t="shared" si="257"/>
        <v>1.4798756225779149E-2</v>
      </c>
      <c r="AY125" s="140">
        <f t="shared" si="257"/>
        <v>1.4884150373285318E-2</v>
      </c>
      <c r="AZ125" s="140">
        <f t="shared" si="257"/>
        <v>1.4963157885705559E-2</v>
      </c>
      <c r="BA125" s="140">
        <f t="shared" si="257"/>
        <v>1.5033439667369799E-2</v>
      </c>
      <c r="BB125" s="140">
        <f t="shared" si="257"/>
        <v>1.5097980642543961E-2</v>
      </c>
      <c r="BC125" s="140">
        <f t="shared" si="257"/>
        <v>1.5154214070689797E-2</v>
      </c>
      <c r="BD125" s="140">
        <f t="shared" si="257"/>
        <v>1.5204939135880982E-2</v>
      </c>
      <c r="BE125" s="140">
        <f t="shared" si="257"/>
        <v>1.5248183358952731E-2</v>
      </c>
      <c r="BF125" s="140">
        <f t="shared" si="257"/>
        <v>1.5286148019166047E-2</v>
      </c>
      <c r="BG125" s="140">
        <f t="shared" si="257"/>
        <v>1.531740732721551E-2</v>
      </c>
      <c r="BH125" s="140">
        <f t="shared" si="257"/>
        <v>1.5343480438668613E-2</v>
      </c>
      <c r="BI125" s="140">
        <f t="shared" si="257"/>
        <v>1.5363730236046409E-2</v>
      </c>
      <c r="BJ125" s="140">
        <f t="shared" si="257"/>
        <v>1.5379134444674199E-2</v>
      </c>
      <c r="BK125" s="140">
        <f t="shared" si="257"/>
        <v>1.5389229346375407E-2</v>
      </c>
      <c r="BL125" s="140">
        <f t="shared" si="257"/>
        <v>1.5394680860098169E-2</v>
      </c>
      <c r="BM125" s="140">
        <f t="shared" si="257"/>
        <v>1.5395448095484043E-2</v>
      </c>
      <c r="BN125" s="140">
        <f t="shared" si="257"/>
        <v>1.5391762863113476E-2</v>
      </c>
      <c r="BO125" s="140">
        <f t="shared" ref="BO125:CB125" si="258">IF(BO123&lt;0,0,$B$5+$B$6*((1-EXP(-BO124/$B$9))/(BO124/$B$9))+$B$7*((1-EXP(-BO124/$B$9))/(BO124/$B$9)-EXP(-BO124/$B$9))+$B$8*((1-EXP(-BO124/$B$10))/(BO124/$B$10)-EXP(-BO124/$B$10)))</f>
        <v>1.538397168240571E-2</v>
      </c>
      <c r="BP125" s="140">
        <f t="shared" si="258"/>
        <v>1.5371984660659961E-2</v>
      </c>
      <c r="BQ125" s="140">
        <f t="shared" si="258"/>
        <v>1.5356369312070416E-2</v>
      </c>
      <c r="BR125" s="140">
        <f t="shared" si="258"/>
        <v>1.5336648193228927E-2</v>
      </c>
      <c r="BS125" s="140">
        <f t="shared" si="258"/>
        <v>1.5313846225229246E-2</v>
      </c>
      <c r="BT125" s="140">
        <f t="shared" si="258"/>
        <v>1.5287095055264001E-2</v>
      </c>
      <c r="BU125" s="140">
        <f t="shared" si="258"/>
        <v>1.5257716466501932E-2</v>
      </c>
      <c r="BV125" s="140">
        <f t="shared" si="258"/>
        <v>1.5224534410645293E-2</v>
      </c>
      <c r="BW125" s="140">
        <f t="shared" si="258"/>
        <v>1.518914197453728E-2</v>
      </c>
      <c r="BX125" s="140">
        <f t="shared" si="258"/>
        <v>1.5150303830246129E-2</v>
      </c>
      <c r="BY125" s="140">
        <f t="shared" si="258"/>
        <v>1.5109430811779897E-2</v>
      </c>
      <c r="BZ125" s="140">
        <f t="shared" si="258"/>
        <v>1.5065015180959696E-2</v>
      </c>
      <c r="CA125" s="140">
        <f t="shared" si="258"/>
        <v>1.5019123411897956E-2</v>
      </c>
      <c r="CB125" s="140">
        <f t="shared" si="258"/>
        <v>1.4969805747965741E-2</v>
      </c>
      <c r="CC125" s="17"/>
      <c r="CD125" s="17"/>
      <c r="CE125" s="17"/>
    </row>
    <row r="126" spans="1:83">
      <c r="A126" s="16" t="s">
        <v>44</v>
      </c>
      <c r="B126" s="140">
        <f>EXP(-B125*B124)</f>
        <v>0.999540300201052</v>
      </c>
      <c r="C126" s="140">
        <f t="shared" ref="C126:AR126" si="259">EXP(-C125*C124)</f>
        <v>0.9959914829886497</v>
      </c>
      <c r="D126" s="140">
        <f t="shared" si="259"/>
        <v>0.99315237147550717</v>
      </c>
      <c r="E126" s="140">
        <f t="shared" si="259"/>
        <v>0.99084238412355163</v>
      </c>
      <c r="F126" s="140">
        <f t="shared" si="259"/>
        <v>0.9887446613724884</v>
      </c>
      <c r="G126" s="140">
        <f t="shared" si="259"/>
        <v>0.98677130881251696</v>
      </c>
      <c r="H126" s="140">
        <f t="shared" si="259"/>
        <v>0.98468606845642714</v>
      </c>
      <c r="I126" s="140">
        <f t="shared" si="259"/>
        <v>0.98246850499476757</v>
      </c>
      <c r="J126" s="140">
        <f t="shared" si="259"/>
        <v>0.97993066762282843</v>
      </c>
      <c r="K126" s="140">
        <f t="shared" si="259"/>
        <v>0.97712074602617682</v>
      </c>
      <c r="L126" s="140">
        <f t="shared" si="259"/>
        <v>0.9738855968372111</v>
      </c>
      <c r="M126" s="140">
        <f t="shared" si="259"/>
        <v>0.97030389157983354</v>
      </c>
      <c r="N126" s="140">
        <f t="shared" si="259"/>
        <v>0.96621544911877022</v>
      </c>
      <c r="O126" s="140">
        <f t="shared" si="259"/>
        <v>0.96179539541152981</v>
      </c>
      <c r="P126" s="140">
        <f t="shared" si="259"/>
        <v>0.95684954644144249</v>
      </c>
      <c r="Q126" s="140">
        <f t="shared" si="259"/>
        <v>0.95160682281043429</v>
      </c>
      <c r="R126" s="140">
        <f t="shared" si="259"/>
        <v>0.94584929219154334</v>
      </c>
      <c r="S126" s="140">
        <f t="shared" si="259"/>
        <v>0.93985155927450736</v>
      </c>
      <c r="T126" s="140">
        <f t="shared" si="259"/>
        <v>0.93340607978294965</v>
      </c>
      <c r="U126" s="140">
        <f t="shared" si="259"/>
        <v>0.92675338206623947</v>
      </c>
      <c r="V126" s="140">
        <f t="shared" si="259"/>
        <v>0.91965841374255708</v>
      </c>
      <c r="W126" s="140">
        <f t="shared" si="259"/>
        <v>0.91246222761897777</v>
      </c>
      <c r="X126" s="140">
        <f t="shared" si="259"/>
        <v>0.90487166210139069</v>
      </c>
      <c r="Y126" s="140">
        <f t="shared" si="259"/>
        <v>0.89724948005530536</v>
      </c>
      <c r="Z126" s="140">
        <f t="shared" si="259"/>
        <v>0.88928244127079692</v>
      </c>
      <c r="AA126" s="140">
        <f t="shared" si="259"/>
        <v>0.88134829057927178</v>
      </c>
      <c r="AB126" s="140">
        <f t="shared" si="259"/>
        <v>0.87316312746908287</v>
      </c>
      <c r="AC126" s="140">
        <f t="shared" si="259"/>
        <v>0.86502325203246788</v>
      </c>
      <c r="AD126" s="140">
        <f t="shared" si="259"/>
        <v>0.85663211797126959</v>
      </c>
      <c r="AE126" s="140">
        <f t="shared" si="259"/>
        <v>0.84838072942775711</v>
      </c>
      <c r="AF126" s="140">
        <f t="shared" si="259"/>
        <v>0.83991948503005653</v>
      </c>
      <c r="AG126" s="140">
        <f t="shared" si="259"/>
        <v>0.83163939035525158</v>
      </c>
      <c r="AH126" s="140">
        <f t="shared" si="259"/>
        <v>0.82318638694404833</v>
      </c>
      <c r="AI126" s="140">
        <f t="shared" si="259"/>
        <v>0.81494809079019415</v>
      </c>
      <c r="AJ126" s="140">
        <f t="shared" si="259"/>
        <v>0.80661517430638319</v>
      </c>
      <c r="AK126" s="140">
        <f t="shared" si="259"/>
        <v>0.79847702160890655</v>
      </c>
      <c r="AL126" s="140">
        <f t="shared" si="259"/>
        <v>0.790226297994296</v>
      </c>
      <c r="AM126" s="140">
        <f t="shared" si="259"/>
        <v>0.78223630776432751</v>
      </c>
      <c r="AN126" s="140">
        <f t="shared" si="259"/>
        <v>0.77415768658978157</v>
      </c>
      <c r="AO126" s="140">
        <f t="shared" si="259"/>
        <v>0.76635388305525631</v>
      </c>
      <c r="AP126" s="140">
        <f t="shared" si="259"/>
        <v>0.75848169678376054</v>
      </c>
      <c r="AQ126" s="140">
        <f t="shared" si="259"/>
        <v>0.75089351309310359</v>
      </c>
      <c r="AR126" s="140">
        <f t="shared" si="259"/>
        <v>0.74329556314979806</v>
      </c>
      <c r="AS126" s="140">
        <f>EXP(-AS125*AS124)</f>
        <v>0.73594435065551489</v>
      </c>
      <c r="AT126" s="140">
        <f t="shared" ref="AT126:CA126" si="260">EXP(-AT125*AT124)</f>
        <v>0.72855583065023233</v>
      </c>
      <c r="AU126" s="140">
        <f t="shared" si="260"/>
        <v>0.72145800723277476</v>
      </c>
      <c r="AV126" s="140">
        <f t="shared" si="260"/>
        <v>0.7143345692953067</v>
      </c>
      <c r="AW126" s="140">
        <f t="shared" si="260"/>
        <v>0.7075006856204672</v>
      </c>
      <c r="AX126" s="140">
        <f t="shared" si="260"/>
        <v>0.70065080347831199</v>
      </c>
      <c r="AY126" s="140">
        <f t="shared" si="260"/>
        <v>0.6940870996781574</v>
      </c>
      <c r="AZ126" s="140">
        <f t="shared" si="260"/>
        <v>0.68755099104460782</v>
      </c>
      <c r="BA126" s="140">
        <f t="shared" si="260"/>
        <v>0.68125944654082482</v>
      </c>
      <c r="BB126" s="140">
        <f t="shared" si="260"/>
        <v>0.67496617426674554</v>
      </c>
      <c r="BC126" s="140">
        <f t="shared" si="260"/>
        <v>0.66894748592960218</v>
      </c>
      <c r="BD126" s="140">
        <f t="shared" si="260"/>
        <v>0.66293228787399827</v>
      </c>
      <c r="BE126" s="140">
        <f t="shared" si="260"/>
        <v>0.65718418384035493</v>
      </c>
      <c r="BF126" s="140">
        <f t="shared" si="260"/>
        <v>0.65144380279016512</v>
      </c>
      <c r="BG126" s="140">
        <f t="shared" si="260"/>
        <v>0.64596229697652618</v>
      </c>
      <c r="BH126" s="140">
        <f t="shared" si="260"/>
        <v>0.64052163362177172</v>
      </c>
      <c r="BI126" s="140">
        <f t="shared" si="260"/>
        <v>0.63530072326528586</v>
      </c>
      <c r="BJ126" s="140">
        <f t="shared" si="260"/>
        <v>0.63009374369196736</v>
      </c>
      <c r="BK126" s="140">
        <f t="shared" si="260"/>
        <v>0.62512792283232144</v>
      </c>
      <c r="BL126" s="140">
        <f t="shared" si="260"/>
        <v>0.62017829934851065</v>
      </c>
      <c r="BM126" s="140">
        <f t="shared" si="260"/>
        <v>0.61546065050493159</v>
      </c>
      <c r="BN126" s="140">
        <f t="shared" si="260"/>
        <v>0.61076105373603129</v>
      </c>
      <c r="BO126" s="140">
        <f t="shared" si="260"/>
        <v>0.60628420832155927</v>
      </c>
      <c r="BP126" s="140">
        <f t="shared" si="260"/>
        <v>0.60185110790053276</v>
      </c>
      <c r="BQ126" s="140">
        <f t="shared" si="260"/>
        <v>0.59760679115086524</v>
      </c>
      <c r="BR126" s="140">
        <f t="shared" si="260"/>
        <v>0.59338333325975112</v>
      </c>
      <c r="BS126" s="140">
        <f t="shared" si="260"/>
        <v>0.58936444124600584</v>
      </c>
      <c r="BT126" s="140">
        <f t="shared" si="260"/>
        <v>0.58536749487442441</v>
      </c>
      <c r="BU126" s="140">
        <f t="shared" si="260"/>
        <v>0.58156625380793137</v>
      </c>
      <c r="BV126" s="140">
        <f t="shared" si="260"/>
        <v>0.5777878998736411</v>
      </c>
      <c r="BW126" s="140">
        <f t="shared" si="260"/>
        <v>0.57419661261769106</v>
      </c>
      <c r="BX126" s="140">
        <f t="shared" si="260"/>
        <v>0.57064836422861775</v>
      </c>
      <c r="BY126" s="140">
        <f t="shared" si="260"/>
        <v>0.56725892560788971</v>
      </c>
      <c r="BZ126" s="140">
        <f t="shared" si="260"/>
        <v>0.5638939655402434</v>
      </c>
      <c r="CA126" s="140">
        <f t="shared" si="260"/>
        <v>0.56069958855647062</v>
      </c>
      <c r="CB126" s="140">
        <f>EXP(-CB125*CB124)</f>
        <v>0.55753039770210144</v>
      </c>
      <c r="CC126" s="17"/>
      <c r="CD126" s="17"/>
      <c r="CE126" s="17"/>
    </row>
    <row r="127" spans="1:83">
      <c r="A127" s="17"/>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17"/>
      <c r="CD127" s="17"/>
      <c r="CE127" s="17"/>
    </row>
    <row r="128" spans="1:83">
      <c r="A128" s="16" t="s">
        <v>40</v>
      </c>
      <c r="B128" s="140">
        <f t="shared" ref="B128:AG128" si="261">DAYS360($B$3,B42)</f>
        <v>20</v>
      </c>
      <c r="C128" s="140">
        <f t="shared" si="261"/>
        <v>198</v>
      </c>
      <c r="D128" s="140">
        <f t="shared" si="261"/>
        <v>379</v>
      </c>
      <c r="E128" s="140">
        <f t="shared" si="261"/>
        <v>557</v>
      </c>
      <c r="F128" s="140">
        <f t="shared" si="261"/>
        <v>739</v>
      </c>
      <c r="G128" s="140">
        <f t="shared" si="261"/>
        <v>917</v>
      </c>
      <c r="H128" s="140">
        <f t="shared" si="261"/>
        <v>1099</v>
      </c>
      <c r="I128" s="140">
        <f t="shared" si="261"/>
        <v>1277</v>
      </c>
      <c r="J128" s="140">
        <f t="shared" si="261"/>
        <v>1459</v>
      </c>
      <c r="K128" s="140">
        <f t="shared" si="261"/>
        <v>1637</v>
      </c>
      <c r="L128" s="140">
        <f t="shared" si="261"/>
        <v>1818</v>
      </c>
      <c r="M128" s="140">
        <f t="shared" si="261"/>
        <v>1996</v>
      </c>
      <c r="N128" s="140">
        <f t="shared" si="261"/>
        <v>2178</v>
      </c>
      <c r="O128" s="140">
        <f t="shared" si="261"/>
        <v>2356</v>
      </c>
      <c r="P128" s="140">
        <f t="shared" si="261"/>
        <v>2538</v>
      </c>
      <c r="Q128" s="140">
        <f t="shared" si="261"/>
        <v>2716</v>
      </c>
      <c r="R128" s="140">
        <f t="shared" si="261"/>
        <v>2898</v>
      </c>
      <c r="S128" s="140">
        <f t="shared" si="261"/>
        <v>3076</v>
      </c>
      <c r="T128" s="140">
        <f t="shared" si="261"/>
        <v>3257</v>
      </c>
      <c r="U128" s="140">
        <f t="shared" si="261"/>
        <v>3435</v>
      </c>
      <c r="V128" s="140">
        <f t="shared" si="261"/>
        <v>3617</v>
      </c>
      <c r="W128" s="140">
        <f t="shared" si="261"/>
        <v>3795</v>
      </c>
      <c r="X128" s="140">
        <f t="shared" si="261"/>
        <v>3977</v>
      </c>
      <c r="Y128" s="140">
        <f t="shared" si="261"/>
        <v>4155</v>
      </c>
      <c r="Z128" s="140">
        <f t="shared" si="261"/>
        <v>4337</v>
      </c>
      <c r="AA128" s="140">
        <f t="shared" si="261"/>
        <v>4515</v>
      </c>
      <c r="AB128" s="140">
        <f t="shared" si="261"/>
        <v>4696</v>
      </c>
      <c r="AC128" s="140">
        <f t="shared" si="261"/>
        <v>4874</v>
      </c>
      <c r="AD128" s="140">
        <f t="shared" si="261"/>
        <v>5056</v>
      </c>
      <c r="AE128" s="140">
        <f t="shared" si="261"/>
        <v>5234</v>
      </c>
      <c r="AF128" s="140">
        <f t="shared" si="261"/>
        <v>5416</v>
      </c>
      <c r="AG128" s="140">
        <f t="shared" si="261"/>
        <v>5594</v>
      </c>
      <c r="AH128" s="140">
        <f t="shared" ref="AH128:BM128" si="262">DAYS360($B$3,AH42)</f>
        <v>5776</v>
      </c>
      <c r="AI128" s="140">
        <f t="shared" si="262"/>
        <v>5954</v>
      </c>
      <c r="AJ128" s="140">
        <f t="shared" si="262"/>
        <v>6135</v>
      </c>
      <c r="AK128" s="140">
        <f t="shared" si="262"/>
        <v>6313</v>
      </c>
      <c r="AL128" s="140">
        <f t="shared" si="262"/>
        <v>6495</v>
      </c>
      <c r="AM128" s="140">
        <f t="shared" si="262"/>
        <v>6673</v>
      </c>
      <c r="AN128" s="140">
        <f t="shared" si="262"/>
        <v>6855</v>
      </c>
      <c r="AO128" s="140">
        <f t="shared" si="262"/>
        <v>7033</v>
      </c>
      <c r="AP128" s="140">
        <f t="shared" si="262"/>
        <v>7215</v>
      </c>
      <c r="AQ128" s="140">
        <f t="shared" si="262"/>
        <v>7393</v>
      </c>
      <c r="AR128" s="140">
        <f t="shared" si="262"/>
        <v>7574</v>
      </c>
      <c r="AS128" s="140">
        <f t="shared" si="262"/>
        <v>7752</v>
      </c>
      <c r="AT128" s="140">
        <f t="shared" si="262"/>
        <v>7934</v>
      </c>
      <c r="AU128" s="140">
        <f t="shared" si="262"/>
        <v>8112</v>
      </c>
      <c r="AV128" s="140">
        <f t="shared" si="262"/>
        <v>8294</v>
      </c>
      <c r="AW128" s="140">
        <f t="shared" si="262"/>
        <v>8472</v>
      </c>
      <c r="AX128" s="140">
        <f t="shared" si="262"/>
        <v>8654</v>
      </c>
      <c r="AY128" s="140">
        <f t="shared" si="262"/>
        <v>8832</v>
      </c>
      <c r="AZ128" s="140">
        <f t="shared" si="262"/>
        <v>9013</v>
      </c>
      <c r="BA128" s="140">
        <f t="shared" si="262"/>
        <v>9191</v>
      </c>
      <c r="BB128" s="140">
        <f t="shared" si="262"/>
        <v>9373</v>
      </c>
      <c r="BC128" s="140">
        <f t="shared" si="262"/>
        <v>9551</v>
      </c>
      <c r="BD128" s="140">
        <f t="shared" si="262"/>
        <v>9733</v>
      </c>
      <c r="BE128" s="140">
        <f t="shared" si="262"/>
        <v>9911</v>
      </c>
      <c r="BF128" s="140">
        <f t="shared" si="262"/>
        <v>10093</v>
      </c>
      <c r="BG128" s="140">
        <f t="shared" si="262"/>
        <v>10271</v>
      </c>
      <c r="BH128" s="140">
        <f t="shared" si="262"/>
        <v>10452</v>
      </c>
      <c r="BI128" s="140">
        <f t="shared" si="262"/>
        <v>10630</v>
      </c>
      <c r="BJ128" s="140">
        <f t="shared" si="262"/>
        <v>10812</v>
      </c>
      <c r="BK128" s="140">
        <f t="shared" si="262"/>
        <v>10990</v>
      </c>
      <c r="BL128" s="140">
        <f t="shared" si="262"/>
        <v>11172</v>
      </c>
      <c r="BM128" s="140">
        <f t="shared" si="262"/>
        <v>11350</v>
      </c>
      <c r="BN128" s="140">
        <f t="shared" ref="BN128:CB128" si="263">DAYS360($B$3,BN42)</f>
        <v>11532</v>
      </c>
      <c r="BO128" s="140">
        <f t="shared" si="263"/>
        <v>11710</v>
      </c>
      <c r="BP128" s="140">
        <f t="shared" si="263"/>
        <v>11891</v>
      </c>
      <c r="BQ128" s="140">
        <f t="shared" si="263"/>
        <v>12069</v>
      </c>
      <c r="BR128" s="140">
        <f t="shared" si="263"/>
        <v>12251</v>
      </c>
      <c r="BS128" s="140">
        <f t="shared" si="263"/>
        <v>12429</v>
      </c>
      <c r="BT128" s="140">
        <f t="shared" si="263"/>
        <v>12611</v>
      </c>
      <c r="BU128" s="140">
        <f t="shared" si="263"/>
        <v>12789</v>
      </c>
      <c r="BV128" s="140">
        <f t="shared" si="263"/>
        <v>12971</v>
      </c>
      <c r="BW128" s="140">
        <f t="shared" si="263"/>
        <v>13149</v>
      </c>
      <c r="BX128" s="140">
        <f t="shared" si="263"/>
        <v>13330</v>
      </c>
      <c r="BY128" s="140">
        <f t="shared" si="263"/>
        <v>13508</v>
      </c>
      <c r="BZ128" s="140">
        <f t="shared" si="263"/>
        <v>13690</v>
      </c>
      <c r="CA128" s="140">
        <f t="shared" si="263"/>
        <v>13868</v>
      </c>
      <c r="CB128" s="140">
        <f t="shared" si="263"/>
        <v>14050</v>
      </c>
      <c r="CC128" s="17"/>
      <c r="CD128" s="17"/>
      <c r="CE128" s="17"/>
    </row>
    <row r="129" spans="1:83">
      <c r="A129" s="16" t="s">
        <v>41</v>
      </c>
      <c r="B129" s="140">
        <f>B128/360</f>
        <v>5.5555555555555552E-2</v>
      </c>
      <c r="C129" s="140">
        <f t="shared" ref="C129:BN129" si="264">C128/360</f>
        <v>0.55000000000000004</v>
      </c>
      <c r="D129" s="140">
        <f t="shared" si="264"/>
        <v>1.0527777777777778</v>
      </c>
      <c r="E129" s="140">
        <f t="shared" si="264"/>
        <v>1.5472222222222223</v>
      </c>
      <c r="F129" s="140">
        <f t="shared" si="264"/>
        <v>2.0527777777777776</v>
      </c>
      <c r="G129" s="140">
        <f t="shared" si="264"/>
        <v>2.5472222222222221</v>
      </c>
      <c r="H129" s="140">
        <f t="shared" si="264"/>
        <v>3.0527777777777776</v>
      </c>
      <c r="I129" s="140">
        <f t="shared" si="264"/>
        <v>3.5472222222222221</v>
      </c>
      <c r="J129" s="140">
        <f t="shared" si="264"/>
        <v>4.052777777777778</v>
      </c>
      <c r="K129" s="140">
        <f t="shared" si="264"/>
        <v>4.5472222222222225</v>
      </c>
      <c r="L129" s="140">
        <f t="shared" si="264"/>
        <v>5.05</v>
      </c>
      <c r="M129" s="140">
        <f t="shared" si="264"/>
        <v>5.5444444444444443</v>
      </c>
      <c r="N129" s="140">
        <f t="shared" si="264"/>
        <v>6.05</v>
      </c>
      <c r="O129" s="140">
        <f t="shared" si="264"/>
        <v>6.5444444444444443</v>
      </c>
      <c r="P129" s="140">
        <f t="shared" si="264"/>
        <v>7.05</v>
      </c>
      <c r="Q129" s="140">
        <f t="shared" si="264"/>
        <v>7.5444444444444443</v>
      </c>
      <c r="R129" s="140">
        <f t="shared" si="264"/>
        <v>8.0500000000000007</v>
      </c>
      <c r="S129" s="140">
        <f t="shared" si="264"/>
        <v>8.5444444444444443</v>
      </c>
      <c r="T129" s="140">
        <f t="shared" si="264"/>
        <v>9.0472222222222225</v>
      </c>
      <c r="U129" s="140">
        <f t="shared" si="264"/>
        <v>9.5416666666666661</v>
      </c>
      <c r="V129" s="140">
        <f t="shared" si="264"/>
        <v>10.047222222222222</v>
      </c>
      <c r="W129" s="140">
        <f t="shared" si="264"/>
        <v>10.541666666666666</v>
      </c>
      <c r="X129" s="140">
        <f t="shared" si="264"/>
        <v>11.047222222222222</v>
      </c>
      <c r="Y129" s="140">
        <f t="shared" si="264"/>
        <v>11.541666666666666</v>
      </c>
      <c r="Z129" s="140">
        <f t="shared" si="264"/>
        <v>12.047222222222222</v>
      </c>
      <c r="AA129" s="140">
        <f t="shared" si="264"/>
        <v>12.541666666666666</v>
      </c>
      <c r="AB129" s="140">
        <f t="shared" si="264"/>
        <v>13.044444444444444</v>
      </c>
      <c r="AC129" s="140">
        <f t="shared" si="264"/>
        <v>13.53888888888889</v>
      </c>
      <c r="AD129" s="140">
        <f t="shared" si="264"/>
        <v>14.044444444444444</v>
      </c>
      <c r="AE129" s="140">
        <f t="shared" si="264"/>
        <v>14.53888888888889</v>
      </c>
      <c r="AF129" s="140">
        <f t="shared" si="264"/>
        <v>15.044444444444444</v>
      </c>
      <c r="AG129" s="140">
        <f t="shared" si="264"/>
        <v>15.53888888888889</v>
      </c>
      <c r="AH129" s="140">
        <f t="shared" si="264"/>
        <v>16.044444444444444</v>
      </c>
      <c r="AI129" s="140">
        <f t="shared" si="264"/>
        <v>16.538888888888888</v>
      </c>
      <c r="AJ129" s="140">
        <f t="shared" si="264"/>
        <v>17.041666666666668</v>
      </c>
      <c r="AK129" s="140">
        <f t="shared" si="264"/>
        <v>17.536111111111111</v>
      </c>
      <c r="AL129" s="140">
        <f t="shared" si="264"/>
        <v>18.041666666666668</v>
      </c>
      <c r="AM129" s="140">
        <f t="shared" si="264"/>
        <v>18.536111111111111</v>
      </c>
      <c r="AN129" s="140">
        <f t="shared" si="264"/>
        <v>19.041666666666668</v>
      </c>
      <c r="AO129" s="140">
        <f t="shared" si="264"/>
        <v>19.536111111111111</v>
      </c>
      <c r="AP129" s="140">
        <f t="shared" si="264"/>
        <v>20.041666666666668</v>
      </c>
      <c r="AQ129" s="140">
        <f t="shared" si="264"/>
        <v>20.536111111111111</v>
      </c>
      <c r="AR129" s="140">
        <f t="shared" si="264"/>
        <v>21.038888888888888</v>
      </c>
      <c r="AS129" s="140">
        <f t="shared" si="264"/>
        <v>21.533333333333335</v>
      </c>
      <c r="AT129" s="140">
        <f t="shared" si="264"/>
        <v>22.038888888888888</v>
      </c>
      <c r="AU129" s="140">
        <f t="shared" si="264"/>
        <v>22.533333333333335</v>
      </c>
      <c r="AV129" s="140">
        <f t="shared" si="264"/>
        <v>23.038888888888888</v>
      </c>
      <c r="AW129" s="140">
        <f t="shared" si="264"/>
        <v>23.533333333333335</v>
      </c>
      <c r="AX129" s="140">
        <f t="shared" si="264"/>
        <v>24.038888888888888</v>
      </c>
      <c r="AY129" s="140">
        <f t="shared" si="264"/>
        <v>24.533333333333335</v>
      </c>
      <c r="AZ129" s="140">
        <f t="shared" si="264"/>
        <v>25.036111111111111</v>
      </c>
      <c r="BA129" s="140">
        <f t="shared" si="264"/>
        <v>25.530555555555555</v>
      </c>
      <c r="BB129" s="140">
        <f t="shared" si="264"/>
        <v>26.036111111111111</v>
      </c>
      <c r="BC129" s="140">
        <f t="shared" si="264"/>
        <v>26.530555555555555</v>
      </c>
      <c r="BD129" s="140">
        <f t="shared" si="264"/>
        <v>27.036111111111111</v>
      </c>
      <c r="BE129" s="140">
        <f t="shared" si="264"/>
        <v>27.530555555555555</v>
      </c>
      <c r="BF129" s="140">
        <f t="shared" si="264"/>
        <v>28.036111111111111</v>
      </c>
      <c r="BG129" s="140">
        <f t="shared" si="264"/>
        <v>28.530555555555555</v>
      </c>
      <c r="BH129" s="140">
        <f t="shared" si="264"/>
        <v>29.033333333333335</v>
      </c>
      <c r="BI129" s="140">
        <f t="shared" si="264"/>
        <v>29.527777777777779</v>
      </c>
      <c r="BJ129" s="140">
        <f t="shared" si="264"/>
        <v>30.033333333333335</v>
      </c>
      <c r="BK129" s="140">
        <f t="shared" si="264"/>
        <v>30.527777777777779</v>
      </c>
      <c r="BL129" s="140">
        <f t="shared" si="264"/>
        <v>31.033333333333335</v>
      </c>
      <c r="BM129" s="140">
        <f t="shared" si="264"/>
        <v>31.527777777777779</v>
      </c>
      <c r="BN129" s="140">
        <f t="shared" si="264"/>
        <v>32.033333333333331</v>
      </c>
      <c r="BO129" s="140">
        <f t="shared" ref="BO129:CB129" si="265">BO128/360</f>
        <v>32.527777777777779</v>
      </c>
      <c r="BP129" s="140">
        <f t="shared" si="265"/>
        <v>33.030555555555559</v>
      </c>
      <c r="BQ129" s="140">
        <f t="shared" si="265"/>
        <v>33.524999999999999</v>
      </c>
      <c r="BR129" s="140">
        <f t="shared" si="265"/>
        <v>34.030555555555559</v>
      </c>
      <c r="BS129" s="140">
        <f t="shared" si="265"/>
        <v>34.524999999999999</v>
      </c>
      <c r="BT129" s="140">
        <f t="shared" si="265"/>
        <v>35.030555555555559</v>
      </c>
      <c r="BU129" s="140">
        <f t="shared" si="265"/>
        <v>35.524999999999999</v>
      </c>
      <c r="BV129" s="140">
        <f t="shared" si="265"/>
        <v>36.030555555555559</v>
      </c>
      <c r="BW129" s="140">
        <f t="shared" si="265"/>
        <v>36.524999999999999</v>
      </c>
      <c r="BX129" s="140">
        <f t="shared" si="265"/>
        <v>37.027777777777779</v>
      </c>
      <c r="BY129" s="140">
        <f t="shared" si="265"/>
        <v>37.522222222222226</v>
      </c>
      <c r="BZ129" s="140">
        <f t="shared" si="265"/>
        <v>38.027777777777779</v>
      </c>
      <c r="CA129" s="140">
        <f t="shared" si="265"/>
        <v>38.522222222222226</v>
      </c>
      <c r="CB129" s="140">
        <f t="shared" si="265"/>
        <v>39.027777777777779</v>
      </c>
      <c r="CC129" s="17"/>
      <c r="CD129" s="17"/>
      <c r="CE129" s="17"/>
    </row>
    <row r="130" spans="1:83">
      <c r="A130" s="16" t="s">
        <v>43</v>
      </c>
      <c r="B130" s="140">
        <f>IF(B128&lt;0,0,$B$5+$B$6*((1-EXP(-B129/$B$9))/(B129/$B$9))+$B$7*((1-EXP(-B129/$B$9))/(B129/$B$9)-EXP(-B129/$B$9))+$B$8*((1-EXP(-B129/$B$10))/(B129/$B$10)-EXP(-B129/$B$10)))</f>
        <v>8.2764988792857052E-3</v>
      </c>
      <c r="C130" s="140">
        <f t="shared" ref="C130:BN130" si="266">IF(C128&lt;0,0,$B$5+$B$6*((1-EXP(-C129/$B$9))/(C129/$B$9))+$B$7*((1-EXP(-C129/$B$9))/(C129/$B$9)-EXP(-C129/$B$9))+$B$8*((1-EXP(-C129/$B$10))/(C129/$B$10)-EXP(-C129/$B$10)))</f>
        <v>7.3028593642107077E-3</v>
      </c>
      <c r="D130" s="140">
        <f t="shared" si="266"/>
        <v>6.5267155698988354E-3</v>
      </c>
      <c r="E130" s="140">
        <f t="shared" si="266"/>
        <v>5.9460137474415357E-3</v>
      </c>
      <c r="F130" s="140">
        <f t="shared" si="266"/>
        <v>5.5140694759139696E-3</v>
      </c>
      <c r="G130" s="140">
        <f t="shared" si="266"/>
        <v>5.2280360977632967E-3</v>
      </c>
      <c r="H130" s="140">
        <f t="shared" si="266"/>
        <v>5.0551995460983599E-3</v>
      </c>
      <c r="I130" s="140">
        <f t="shared" si="266"/>
        <v>4.9861527216115116E-3</v>
      </c>
      <c r="J130" s="140">
        <f t="shared" si="266"/>
        <v>5.0023609128132755E-3</v>
      </c>
      <c r="K130" s="140">
        <f t="shared" si="266"/>
        <v>5.0899307052893073E-3</v>
      </c>
      <c r="L130" s="140">
        <f t="shared" si="266"/>
        <v>5.2398889671694121E-3</v>
      </c>
      <c r="M130" s="140">
        <f t="shared" si="266"/>
        <v>5.4371482234945511E-3</v>
      </c>
      <c r="N130" s="140">
        <f t="shared" si="266"/>
        <v>5.6807334584393285E-3</v>
      </c>
      <c r="O130" s="140">
        <f t="shared" si="266"/>
        <v>5.95215345634411E-3</v>
      </c>
      <c r="P130" s="140">
        <f t="shared" si="266"/>
        <v>6.2566118635969687E-3</v>
      </c>
      <c r="Q130" s="140">
        <f t="shared" si="266"/>
        <v>6.5748155631721265E-3</v>
      </c>
      <c r="R130" s="140">
        <f t="shared" si="266"/>
        <v>6.9157805219007508E-3</v>
      </c>
      <c r="S130" s="140">
        <f t="shared" si="266"/>
        <v>7.260077850214171E-3</v>
      </c>
      <c r="T130" s="140">
        <f t="shared" si="266"/>
        <v>7.6172476155674544E-3</v>
      </c>
      <c r="U130" s="140">
        <f t="shared" si="266"/>
        <v>7.9721698767895692E-3</v>
      </c>
      <c r="V130" s="140">
        <f t="shared" si="266"/>
        <v>8.3359326032474354E-3</v>
      </c>
      <c r="W130" s="140">
        <f t="shared" si="266"/>
        <v>8.6901428084512136E-3</v>
      </c>
      <c r="X130" s="140">
        <f t="shared" si="266"/>
        <v>9.0486235507974896E-3</v>
      </c>
      <c r="Y130" s="140">
        <f t="shared" si="266"/>
        <v>9.3939057133490562E-3</v>
      </c>
      <c r="Z130" s="140">
        <f t="shared" si="266"/>
        <v>9.7400367525031662E-3</v>
      </c>
      <c r="AA130" s="140">
        <f t="shared" si="266"/>
        <v>1.0070622910259175E-2</v>
      </c>
      <c r="AB130" s="140">
        <f t="shared" si="266"/>
        <v>1.0397750757242721E-2</v>
      </c>
      <c r="AC130" s="140">
        <f t="shared" si="266"/>
        <v>1.0709807329030634E-2</v>
      </c>
      <c r="AD130" s="140">
        <f t="shared" si="266"/>
        <v>1.1018358212941337E-2</v>
      </c>
      <c r="AE130" s="140">
        <f t="shared" si="266"/>
        <v>1.130937665343161E-2</v>
      </c>
      <c r="AF130" s="140">
        <f t="shared" si="266"/>
        <v>1.1595592215962999E-2</v>
      </c>
      <c r="AG130" s="140">
        <f t="shared" si="266"/>
        <v>1.1864191737822716E-2</v>
      </c>
      <c r="AH130" s="140">
        <f t="shared" si="266"/>
        <v>1.2127103062173969E-2</v>
      </c>
      <c r="AI130" s="140">
        <f t="shared" si="266"/>
        <v>1.2372709039067236E-2</v>
      </c>
      <c r="AJ130" s="140">
        <f t="shared" si="266"/>
        <v>1.2610772657688596E-2</v>
      </c>
      <c r="AK130" s="140">
        <f t="shared" si="266"/>
        <v>1.2833466169370927E-2</v>
      </c>
      <c r="AL130" s="140">
        <f t="shared" si="266"/>
        <v>1.3049566081308386E-2</v>
      </c>
      <c r="AM130" s="140">
        <f t="shared" si="266"/>
        <v>1.3249726373084639E-2</v>
      </c>
      <c r="AN130" s="140">
        <f t="shared" si="266"/>
        <v>1.3443135056364425E-2</v>
      </c>
      <c r="AO130" s="140">
        <f t="shared" si="266"/>
        <v>1.3621504612100384E-2</v>
      </c>
      <c r="AP130" s="140">
        <f t="shared" si="266"/>
        <v>1.3793094950048511E-2</v>
      </c>
      <c r="AQ130" s="140">
        <f t="shared" si="266"/>
        <v>1.3950617485761027E-2</v>
      </c>
      <c r="AR130" s="140">
        <f t="shared" si="266"/>
        <v>1.4100626604374807E-2</v>
      </c>
      <c r="AS130" s="140">
        <f t="shared" si="266"/>
        <v>1.4238426020167743E-2</v>
      </c>
      <c r="AT130" s="140">
        <f t="shared" si="266"/>
        <v>1.4369645405550177E-2</v>
      </c>
      <c r="AU130" s="140">
        <f t="shared" si="266"/>
        <v>1.448880641252626E-2</v>
      </c>
      <c r="AV130" s="140">
        <f t="shared" si="266"/>
        <v>1.4601565360601755E-2</v>
      </c>
      <c r="AW130" s="140">
        <f t="shared" si="266"/>
        <v>1.470325837352756E-2</v>
      </c>
      <c r="AX130" s="140">
        <f t="shared" si="266"/>
        <v>1.4798756225779149E-2</v>
      </c>
      <c r="AY130" s="140">
        <f t="shared" si="266"/>
        <v>1.4884150373285318E-2</v>
      </c>
      <c r="AZ130" s="140">
        <f t="shared" si="266"/>
        <v>1.4963157885705559E-2</v>
      </c>
      <c r="BA130" s="140">
        <f t="shared" si="266"/>
        <v>1.5033439667369799E-2</v>
      </c>
      <c r="BB130" s="140">
        <f t="shared" si="266"/>
        <v>1.5097980642543961E-2</v>
      </c>
      <c r="BC130" s="140">
        <f t="shared" si="266"/>
        <v>1.5154214070689797E-2</v>
      </c>
      <c r="BD130" s="140">
        <f t="shared" si="266"/>
        <v>1.5204939135880982E-2</v>
      </c>
      <c r="BE130" s="140">
        <f t="shared" si="266"/>
        <v>1.5248183358952731E-2</v>
      </c>
      <c r="BF130" s="140">
        <f t="shared" si="266"/>
        <v>1.5286148019166047E-2</v>
      </c>
      <c r="BG130" s="140">
        <f t="shared" si="266"/>
        <v>1.531740732721551E-2</v>
      </c>
      <c r="BH130" s="140">
        <f t="shared" si="266"/>
        <v>1.5343480438668613E-2</v>
      </c>
      <c r="BI130" s="140">
        <f t="shared" si="266"/>
        <v>1.5363730236046409E-2</v>
      </c>
      <c r="BJ130" s="140">
        <f t="shared" si="266"/>
        <v>1.5379134444674199E-2</v>
      </c>
      <c r="BK130" s="140">
        <f t="shared" si="266"/>
        <v>1.5389229346375407E-2</v>
      </c>
      <c r="BL130" s="140">
        <f t="shared" si="266"/>
        <v>1.5394680860098169E-2</v>
      </c>
      <c r="BM130" s="140">
        <f t="shared" si="266"/>
        <v>1.5395448095484043E-2</v>
      </c>
      <c r="BN130" s="140">
        <f t="shared" si="266"/>
        <v>1.5391762863113476E-2</v>
      </c>
      <c r="BO130" s="140">
        <f t="shared" ref="BO130:CB130" si="267">IF(BO128&lt;0,0,$B$5+$B$6*((1-EXP(-BO129/$B$9))/(BO129/$B$9))+$B$7*((1-EXP(-BO129/$B$9))/(BO129/$B$9)-EXP(-BO129/$B$9))+$B$8*((1-EXP(-BO129/$B$10))/(BO129/$B$10)-EXP(-BO129/$B$10)))</f>
        <v>1.538397168240571E-2</v>
      </c>
      <c r="BP130" s="140">
        <f t="shared" si="267"/>
        <v>1.5371984660659961E-2</v>
      </c>
      <c r="BQ130" s="140">
        <f t="shared" si="267"/>
        <v>1.5356369312070416E-2</v>
      </c>
      <c r="BR130" s="140">
        <f t="shared" si="267"/>
        <v>1.5336648193228927E-2</v>
      </c>
      <c r="BS130" s="140">
        <f t="shared" si="267"/>
        <v>1.5313846225229246E-2</v>
      </c>
      <c r="BT130" s="140">
        <f t="shared" si="267"/>
        <v>1.5287095055264001E-2</v>
      </c>
      <c r="BU130" s="140">
        <f t="shared" si="267"/>
        <v>1.5257716466501932E-2</v>
      </c>
      <c r="BV130" s="140">
        <f t="shared" si="267"/>
        <v>1.5224534410645293E-2</v>
      </c>
      <c r="BW130" s="140">
        <f t="shared" si="267"/>
        <v>1.518914197453728E-2</v>
      </c>
      <c r="BX130" s="140">
        <f t="shared" si="267"/>
        <v>1.5150303830246129E-2</v>
      </c>
      <c r="BY130" s="140">
        <f t="shared" si="267"/>
        <v>1.5109430811779897E-2</v>
      </c>
      <c r="BZ130" s="140">
        <f t="shared" si="267"/>
        <v>1.5065015180959696E-2</v>
      </c>
      <c r="CA130" s="140">
        <f t="shared" si="267"/>
        <v>1.5019123411897956E-2</v>
      </c>
      <c r="CB130" s="140">
        <f t="shared" si="267"/>
        <v>1.4969805747965741E-2</v>
      </c>
      <c r="CC130" s="17"/>
      <c r="CD130" s="17"/>
      <c r="CE130" s="17"/>
    </row>
    <row r="131" spans="1:83">
      <c r="A131" s="16" t="s">
        <v>44</v>
      </c>
      <c r="B131" s="140">
        <f>EXP(-B130*B129)</f>
        <v>0.999540300201052</v>
      </c>
      <c r="C131" s="140">
        <f t="shared" ref="C131:AR131" si="268">EXP(-C130*C129)</f>
        <v>0.9959914829886497</v>
      </c>
      <c r="D131" s="140">
        <f t="shared" si="268"/>
        <v>0.99315237147550717</v>
      </c>
      <c r="E131" s="140">
        <f t="shared" si="268"/>
        <v>0.99084238412355163</v>
      </c>
      <c r="F131" s="140">
        <f t="shared" si="268"/>
        <v>0.9887446613724884</v>
      </c>
      <c r="G131" s="140">
        <f t="shared" si="268"/>
        <v>0.98677130881251696</v>
      </c>
      <c r="H131" s="140">
        <f t="shared" si="268"/>
        <v>0.98468606845642714</v>
      </c>
      <c r="I131" s="140">
        <f t="shared" si="268"/>
        <v>0.98246850499476757</v>
      </c>
      <c r="J131" s="140">
        <f t="shared" si="268"/>
        <v>0.97993066762282843</v>
      </c>
      <c r="K131" s="140">
        <f t="shared" si="268"/>
        <v>0.97712074602617682</v>
      </c>
      <c r="L131" s="140">
        <f t="shared" si="268"/>
        <v>0.9738855968372111</v>
      </c>
      <c r="M131" s="140">
        <f t="shared" si="268"/>
        <v>0.97030389157983354</v>
      </c>
      <c r="N131" s="140">
        <f t="shared" si="268"/>
        <v>0.96621544911877022</v>
      </c>
      <c r="O131" s="140">
        <f t="shared" si="268"/>
        <v>0.96179539541152981</v>
      </c>
      <c r="P131" s="140">
        <f t="shared" si="268"/>
        <v>0.95684954644144249</v>
      </c>
      <c r="Q131" s="140">
        <f t="shared" si="268"/>
        <v>0.95160682281043429</v>
      </c>
      <c r="R131" s="140">
        <f t="shared" si="268"/>
        <v>0.94584929219154334</v>
      </c>
      <c r="S131" s="140">
        <f t="shared" si="268"/>
        <v>0.93985155927450736</v>
      </c>
      <c r="T131" s="140">
        <f t="shared" si="268"/>
        <v>0.93340607978294965</v>
      </c>
      <c r="U131" s="140">
        <f t="shared" si="268"/>
        <v>0.92675338206623947</v>
      </c>
      <c r="V131" s="140">
        <f t="shared" si="268"/>
        <v>0.91965841374255708</v>
      </c>
      <c r="W131" s="140">
        <f t="shared" si="268"/>
        <v>0.91246222761897777</v>
      </c>
      <c r="X131" s="140">
        <f t="shared" si="268"/>
        <v>0.90487166210139069</v>
      </c>
      <c r="Y131" s="140">
        <f t="shared" si="268"/>
        <v>0.89724948005530536</v>
      </c>
      <c r="Z131" s="140">
        <f t="shared" si="268"/>
        <v>0.88928244127079692</v>
      </c>
      <c r="AA131" s="140">
        <f t="shared" si="268"/>
        <v>0.88134829057927178</v>
      </c>
      <c r="AB131" s="140">
        <f t="shared" si="268"/>
        <v>0.87316312746908287</v>
      </c>
      <c r="AC131" s="140">
        <f t="shared" si="268"/>
        <v>0.86502325203246788</v>
      </c>
      <c r="AD131" s="140">
        <f t="shared" si="268"/>
        <v>0.85663211797126959</v>
      </c>
      <c r="AE131" s="140">
        <f t="shared" si="268"/>
        <v>0.84838072942775711</v>
      </c>
      <c r="AF131" s="140">
        <f t="shared" si="268"/>
        <v>0.83991948503005653</v>
      </c>
      <c r="AG131" s="140">
        <f t="shared" si="268"/>
        <v>0.83163939035525158</v>
      </c>
      <c r="AH131" s="140">
        <f t="shared" si="268"/>
        <v>0.82318638694404833</v>
      </c>
      <c r="AI131" s="140">
        <f t="shared" si="268"/>
        <v>0.81494809079019415</v>
      </c>
      <c r="AJ131" s="140">
        <f t="shared" si="268"/>
        <v>0.80661517430638319</v>
      </c>
      <c r="AK131" s="140">
        <f t="shared" si="268"/>
        <v>0.79847702160890655</v>
      </c>
      <c r="AL131" s="140">
        <f t="shared" si="268"/>
        <v>0.790226297994296</v>
      </c>
      <c r="AM131" s="140">
        <f t="shared" si="268"/>
        <v>0.78223630776432751</v>
      </c>
      <c r="AN131" s="140">
        <f t="shared" si="268"/>
        <v>0.77415768658978157</v>
      </c>
      <c r="AO131" s="140">
        <f t="shared" si="268"/>
        <v>0.76635388305525631</v>
      </c>
      <c r="AP131" s="140">
        <f t="shared" si="268"/>
        <v>0.75848169678376054</v>
      </c>
      <c r="AQ131" s="140">
        <f t="shared" si="268"/>
        <v>0.75089351309310359</v>
      </c>
      <c r="AR131" s="140">
        <f t="shared" si="268"/>
        <v>0.74329556314979806</v>
      </c>
      <c r="AS131" s="140">
        <f>EXP(-AS130*AS129)</f>
        <v>0.73594435065551489</v>
      </c>
      <c r="AT131" s="140">
        <f t="shared" ref="AT131:CA131" si="269">EXP(-AT130*AT129)</f>
        <v>0.72855583065023233</v>
      </c>
      <c r="AU131" s="140">
        <f t="shared" si="269"/>
        <v>0.72145800723277476</v>
      </c>
      <c r="AV131" s="140">
        <f t="shared" si="269"/>
        <v>0.7143345692953067</v>
      </c>
      <c r="AW131" s="140">
        <f t="shared" si="269"/>
        <v>0.7075006856204672</v>
      </c>
      <c r="AX131" s="140">
        <f t="shared" si="269"/>
        <v>0.70065080347831199</v>
      </c>
      <c r="AY131" s="140">
        <f t="shared" si="269"/>
        <v>0.6940870996781574</v>
      </c>
      <c r="AZ131" s="140">
        <f t="shared" si="269"/>
        <v>0.68755099104460782</v>
      </c>
      <c r="BA131" s="140">
        <f t="shared" si="269"/>
        <v>0.68125944654082482</v>
      </c>
      <c r="BB131" s="140">
        <f t="shared" si="269"/>
        <v>0.67496617426674554</v>
      </c>
      <c r="BC131" s="140">
        <f t="shared" si="269"/>
        <v>0.66894748592960218</v>
      </c>
      <c r="BD131" s="140">
        <f t="shared" si="269"/>
        <v>0.66293228787399827</v>
      </c>
      <c r="BE131" s="140">
        <f t="shared" si="269"/>
        <v>0.65718418384035493</v>
      </c>
      <c r="BF131" s="140">
        <f t="shared" si="269"/>
        <v>0.65144380279016512</v>
      </c>
      <c r="BG131" s="140">
        <f t="shared" si="269"/>
        <v>0.64596229697652618</v>
      </c>
      <c r="BH131" s="140">
        <f t="shared" si="269"/>
        <v>0.64052163362177172</v>
      </c>
      <c r="BI131" s="140">
        <f t="shared" si="269"/>
        <v>0.63530072326528586</v>
      </c>
      <c r="BJ131" s="140">
        <f t="shared" si="269"/>
        <v>0.63009374369196736</v>
      </c>
      <c r="BK131" s="140">
        <f t="shared" si="269"/>
        <v>0.62512792283232144</v>
      </c>
      <c r="BL131" s="140">
        <f t="shared" si="269"/>
        <v>0.62017829934851065</v>
      </c>
      <c r="BM131" s="140">
        <f t="shared" si="269"/>
        <v>0.61546065050493159</v>
      </c>
      <c r="BN131" s="140">
        <f t="shared" si="269"/>
        <v>0.61076105373603129</v>
      </c>
      <c r="BO131" s="140">
        <f t="shared" si="269"/>
        <v>0.60628420832155927</v>
      </c>
      <c r="BP131" s="140">
        <f t="shared" si="269"/>
        <v>0.60185110790053276</v>
      </c>
      <c r="BQ131" s="140">
        <f t="shared" si="269"/>
        <v>0.59760679115086524</v>
      </c>
      <c r="BR131" s="140">
        <f t="shared" si="269"/>
        <v>0.59338333325975112</v>
      </c>
      <c r="BS131" s="140">
        <f t="shared" si="269"/>
        <v>0.58936444124600584</v>
      </c>
      <c r="BT131" s="140">
        <f t="shared" si="269"/>
        <v>0.58536749487442441</v>
      </c>
      <c r="BU131" s="140">
        <f t="shared" si="269"/>
        <v>0.58156625380793137</v>
      </c>
      <c r="BV131" s="140">
        <f t="shared" si="269"/>
        <v>0.5777878998736411</v>
      </c>
      <c r="BW131" s="140">
        <f t="shared" si="269"/>
        <v>0.57419661261769106</v>
      </c>
      <c r="BX131" s="140">
        <f t="shared" si="269"/>
        <v>0.57064836422861775</v>
      </c>
      <c r="BY131" s="140">
        <f t="shared" si="269"/>
        <v>0.56725892560788971</v>
      </c>
      <c r="BZ131" s="140">
        <f t="shared" si="269"/>
        <v>0.5638939655402434</v>
      </c>
      <c r="CA131" s="140">
        <f t="shared" si="269"/>
        <v>0.56069958855647062</v>
      </c>
      <c r="CB131" s="140">
        <f>EXP(-CB130*CB129)</f>
        <v>0.55753039770210144</v>
      </c>
      <c r="CC131" s="17"/>
      <c r="CD131" s="17"/>
      <c r="CE131" s="17"/>
    </row>
    <row r="132" spans="1:83">
      <c r="A132" s="17"/>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17"/>
      <c r="CD132" s="17"/>
      <c r="CE132" s="17"/>
    </row>
    <row r="133" spans="1:83">
      <c r="A133" s="16" t="s">
        <v>40</v>
      </c>
      <c r="B133" s="140">
        <f t="shared" ref="B133:AG133" si="270">DAYS360($B$3,B44)</f>
        <v>155</v>
      </c>
      <c r="C133" s="140">
        <f t="shared" si="270"/>
        <v>334</v>
      </c>
      <c r="D133" s="140">
        <f t="shared" si="270"/>
        <v>514</v>
      </c>
      <c r="E133" s="140">
        <f t="shared" si="270"/>
        <v>694</v>
      </c>
      <c r="F133" s="140">
        <f t="shared" si="270"/>
        <v>874</v>
      </c>
      <c r="G133" s="140">
        <f t="shared" si="270"/>
        <v>1054</v>
      </c>
      <c r="H133" s="140">
        <f t="shared" si="270"/>
        <v>1234</v>
      </c>
      <c r="I133" s="140">
        <f t="shared" si="270"/>
        <v>1414</v>
      </c>
      <c r="J133" s="140">
        <f t="shared" si="270"/>
        <v>1594</v>
      </c>
      <c r="K133" s="140">
        <f t="shared" si="270"/>
        <v>1773</v>
      </c>
      <c r="L133" s="140">
        <f t="shared" si="270"/>
        <v>1953</v>
      </c>
      <c r="M133" s="140">
        <f t="shared" si="270"/>
        <v>2133</v>
      </c>
      <c r="N133" s="140">
        <f t="shared" si="270"/>
        <v>2313</v>
      </c>
      <c r="O133" s="140">
        <f t="shared" si="270"/>
        <v>2493</v>
      </c>
      <c r="P133" s="140">
        <f t="shared" si="270"/>
        <v>2673</v>
      </c>
      <c r="Q133" s="140">
        <f t="shared" si="270"/>
        <v>2853</v>
      </c>
      <c r="R133" s="140">
        <f t="shared" si="270"/>
        <v>3033</v>
      </c>
      <c r="S133" s="140">
        <f t="shared" si="270"/>
        <v>3212</v>
      </c>
      <c r="T133" s="140">
        <f t="shared" si="270"/>
        <v>3392</v>
      </c>
      <c r="U133" s="140">
        <f t="shared" si="270"/>
        <v>3572</v>
      </c>
      <c r="V133" s="140">
        <f t="shared" si="270"/>
        <v>3752</v>
      </c>
      <c r="W133" s="140">
        <f t="shared" si="270"/>
        <v>3932</v>
      </c>
      <c r="X133" s="140">
        <f t="shared" si="270"/>
        <v>4112</v>
      </c>
      <c r="Y133" s="140">
        <f t="shared" si="270"/>
        <v>4292</v>
      </c>
      <c r="Z133" s="140">
        <f t="shared" si="270"/>
        <v>4472</v>
      </c>
      <c r="AA133" s="140">
        <f t="shared" si="270"/>
        <v>4651</v>
      </c>
      <c r="AB133" s="140">
        <f t="shared" si="270"/>
        <v>4831</v>
      </c>
      <c r="AC133" s="140">
        <f t="shared" si="270"/>
        <v>5011</v>
      </c>
      <c r="AD133" s="140">
        <f t="shared" si="270"/>
        <v>5191</v>
      </c>
      <c r="AE133" s="140">
        <f t="shared" si="270"/>
        <v>5371</v>
      </c>
      <c r="AF133" s="140">
        <f t="shared" si="270"/>
        <v>5551</v>
      </c>
      <c r="AG133" s="140">
        <f t="shared" si="270"/>
        <v>5731</v>
      </c>
      <c r="AH133" s="140">
        <f t="shared" ref="AH133:BM133" si="271">DAYS360($B$3,AH44)</f>
        <v>5911</v>
      </c>
      <c r="AI133" s="140">
        <f t="shared" si="271"/>
        <v>6090</v>
      </c>
      <c r="AJ133" s="140">
        <f t="shared" si="271"/>
        <v>6270</v>
      </c>
      <c r="AK133" s="140">
        <f t="shared" si="271"/>
        <v>6450</v>
      </c>
      <c r="AL133" s="140">
        <f t="shared" si="271"/>
        <v>6630</v>
      </c>
      <c r="AM133" s="140">
        <f t="shared" si="271"/>
        <v>6810</v>
      </c>
      <c r="AN133" s="140">
        <f t="shared" si="271"/>
        <v>6990</v>
      </c>
      <c r="AO133" s="140">
        <f t="shared" si="271"/>
        <v>7170</v>
      </c>
      <c r="AP133" s="140">
        <f t="shared" si="271"/>
        <v>7350</v>
      </c>
      <c r="AQ133" s="140">
        <f t="shared" si="271"/>
        <v>7529</v>
      </c>
      <c r="AR133" s="140">
        <f t="shared" si="271"/>
        <v>7709</v>
      </c>
      <c r="AS133" s="140">
        <f t="shared" si="271"/>
        <v>7889</v>
      </c>
      <c r="AT133" s="140">
        <f t="shared" si="271"/>
        <v>8069</v>
      </c>
      <c r="AU133" s="140">
        <f t="shared" si="271"/>
        <v>8249</v>
      </c>
      <c r="AV133" s="140">
        <f t="shared" si="271"/>
        <v>8429</v>
      </c>
      <c r="AW133" s="140">
        <f t="shared" si="271"/>
        <v>8609</v>
      </c>
      <c r="AX133" s="140">
        <f t="shared" si="271"/>
        <v>8789</v>
      </c>
      <c r="AY133" s="140">
        <f t="shared" si="271"/>
        <v>8969</v>
      </c>
      <c r="AZ133" s="140">
        <f t="shared" si="271"/>
        <v>9148</v>
      </c>
      <c r="BA133" s="140">
        <f t="shared" si="271"/>
        <v>9329</v>
      </c>
      <c r="BB133" s="140">
        <f t="shared" si="271"/>
        <v>9508</v>
      </c>
      <c r="BC133" s="140">
        <f t="shared" si="271"/>
        <v>9689</v>
      </c>
      <c r="BD133" s="140">
        <f t="shared" si="271"/>
        <v>9868</v>
      </c>
      <c r="BE133" s="140">
        <f t="shared" si="271"/>
        <v>10049</v>
      </c>
      <c r="BF133" s="140">
        <f t="shared" si="271"/>
        <v>10228</v>
      </c>
      <c r="BG133" s="140">
        <f t="shared" si="271"/>
        <v>10408</v>
      </c>
      <c r="BH133" s="140">
        <f t="shared" si="271"/>
        <v>10587</v>
      </c>
      <c r="BI133" s="140">
        <f t="shared" si="271"/>
        <v>10768</v>
      </c>
      <c r="BJ133" s="140">
        <f t="shared" si="271"/>
        <v>10947</v>
      </c>
      <c r="BK133" s="140">
        <f t="shared" si="271"/>
        <v>11128</v>
      </c>
      <c r="BL133" s="140">
        <f t="shared" si="271"/>
        <v>11307</v>
      </c>
      <c r="BM133" s="140">
        <f t="shared" si="271"/>
        <v>11488</v>
      </c>
      <c r="BN133" s="140">
        <f t="shared" ref="BN133:CB133" si="272">DAYS360($B$3,BN44)</f>
        <v>11667</v>
      </c>
      <c r="BO133" s="140">
        <f t="shared" si="272"/>
        <v>11847</v>
      </c>
      <c r="BP133" s="140">
        <f t="shared" si="272"/>
        <v>12026</v>
      </c>
      <c r="BQ133" s="140">
        <f t="shared" si="272"/>
        <v>12207</v>
      </c>
      <c r="BR133" s="140">
        <f t="shared" si="272"/>
        <v>12386</v>
      </c>
      <c r="BS133" s="140">
        <f t="shared" si="272"/>
        <v>12567</v>
      </c>
      <c r="BT133" s="140">
        <f t="shared" si="272"/>
        <v>12746</v>
      </c>
      <c r="BU133" s="140">
        <f t="shared" si="272"/>
        <v>12927</v>
      </c>
      <c r="BV133" s="140">
        <f t="shared" si="272"/>
        <v>13106</v>
      </c>
      <c r="BW133" s="140">
        <f t="shared" si="272"/>
        <v>13286</v>
      </c>
      <c r="BX133" s="140">
        <f t="shared" si="272"/>
        <v>13465</v>
      </c>
      <c r="BY133" s="140">
        <f t="shared" si="272"/>
        <v>13646</v>
      </c>
      <c r="BZ133" s="140">
        <f t="shared" si="272"/>
        <v>13825</v>
      </c>
      <c r="CA133" s="140">
        <f t="shared" si="272"/>
        <v>14006</v>
      </c>
      <c r="CB133" s="140">
        <f t="shared" si="272"/>
        <v>14185</v>
      </c>
      <c r="CC133" s="17"/>
      <c r="CD133" s="17"/>
      <c r="CE133" s="17"/>
    </row>
    <row r="134" spans="1:83">
      <c r="A134" s="16" t="s">
        <v>41</v>
      </c>
      <c r="B134" s="140">
        <f>B133/360</f>
        <v>0.43055555555555558</v>
      </c>
      <c r="C134" s="140">
        <f t="shared" ref="C134:BN134" si="273">C133/360</f>
        <v>0.92777777777777781</v>
      </c>
      <c r="D134" s="140">
        <f t="shared" si="273"/>
        <v>1.4277777777777778</v>
      </c>
      <c r="E134" s="140">
        <f t="shared" si="273"/>
        <v>1.9277777777777778</v>
      </c>
      <c r="F134" s="140">
        <f t="shared" si="273"/>
        <v>2.4277777777777776</v>
      </c>
      <c r="G134" s="140">
        <f t="shared" si="273"/>
        <v>2.9277777777777776</v>
      </c>
      <c r="H134" s="140">
        <f t="shared" si="273"/>
        <v>3.4277777777777776</v>
      </c>
      <c r="I134" s="140">
        <f t="shared" si="273"/>
        <v>3.9277777777777776</v>
      </c>
      <c r="J134" s="140">
        <f t="shared" si="273"/>
        <v>4.427777777777778</v>
      </c>
      <c r="K134" s="140">
        <f t="shared" si="273"/>
        <v>4.9249999999999998</v>
      </c>
      <c r="L134" s="140">
        <f t="shared" si="273"/>
        <v>5.4249999999999998</v>
      </c>
      <c r="M134" s="140">
        <f t="shared" si="273"/>
        <v>5.9249999999999998</v>
      </c>
      <c r="N134" s="140">
        <f t="shared" si="273"/>
        <v>6.4249999999999998</v>
      </c>
      <c r="O134" s="140">
        <f t="shared" si="273"/>
        <v>6.9249999999999998</v>
      </c>
      <c r="P134" s="140">
        <f t="shared" si="273"/>
        <v>7.4249999999999998</v>
      </c>
      <c r="Q134" s="140">
        <f t="shared" si="273"/>
        <v>7.9249999999999998</v>
      </c>
      <c r="R134" s="140">
        <f t="shared" si="273"/>
        <v>8.4250000000000007</v>
      </c>
      <c r="S134" s="140">
        <f t="shared" si="273"/>
        <v>8.9222222222222225</v>
      </c>
      <c r="T134" s="140">
        <f t="shared" si="273"/>
        <v>9.4222222222222225</v>
      </c>
      <c r="U134" s="140">
        <f t="shared" si="273"/>
        <v>9.9222222222222225</v>
      </c>
      <c r="V134" s="140">
        <f t="shared" si="273"/>
        <v>10.422222222222222</v>
      </c>
      <c r="W134" s="140">
        <f t="shared" si="273"/>
        <v>10.922222222222222</v>
      </c>
      <c r="X134" s="140">
        <f t="shared" si="273"/>
        <v>11.422222222222222</v>
      </c>
      <c r="Y134" s="140">
        <f t="shared" si="273"/>
        <v>11.922222222222222</v>
      </c>
      <c r="Z134" s="140">
        <f t="shared" si="273"/>
        <v>12.422222222222222</v>
      </c>
      <c r="AA134" s="140">
        <f t="shared" si="273"/>
        <v>12.919444444444444</v>
      </c>
      <c r="AB134" s="140">
        <f t="shared" si="273"/>
        <v>13.419444444444444</v>
      </c>
      <c r="AC134" s="140">
        <f t="shared" si="273"/>
        <v>13.919444444444444</v>
      </c>
      <c r="AD134" s="140">
        <f t="shared" si="273"/>
        <v>14.419444444444444</v>
      </c>
      <c r="AE134" s="140">
        <f t="shared" si="273"/>
        <v>14.919444444444444</v>
      </c>
      <c r="AF134" s="140">
        <f t="shared" si="273"/>
        <v>15.419444444444444</v>
      </c>
      <c r="AG134" s="140">
        <f t="shared" si="273"/>
        <v>15.919444444444444</v>
      </c>
      <c r="AH134" s="140">
        <f t="shared" si="273"/>
        <v>16.419444444444444</v>
      </c>
      <c r="AI134" s="140">
        <f t="shared" si="273"/>
        <v>16.916666666666668</v>
      </c>
      <c r="AJ134" s="140">
        <f t="shared" si="273"/>
        <v>17.416666666666668</v>
      </c>
      <c r="AK134" s="140">
        <f t="shared" si="273"/>
        <v>17.916666666666668</v>
      </c>
      <c r="AL134" s="140">
        <f t="shared" si="273"/>
        <v>18.416666666666668</v>
      </c>
      <c r="AM134" s="140">
        <f t="shared" si="273"/>
        <v>18.916666666666668</v>
      </c>
      <c r="AN134" s="140">
        <f t="shared" si="273"/>
        <v>19.416666666666668</v>
      </c>
      <c r="AO134" s="140">
        <f t="shared" si="273"/>
        <v>19.916666666666668</v>
      </c>
      <c r="AP134" s="140">
        <f t="shared" si="273"/>
        <v>20.416666666666668</v>
      </c>
      <c r="AQ134" s="140">
        <f t="shared" si="273"/>
        <v>20.913888888888888</v>
      </c>
      <c r="AR134" s="140">
        <f t="shared" si="273"/>
        <v>21.413888888888888</v>
      </c>
      <c r="AS134" s="140">
        <f t="shared" si="273"/>
        <v>21.913888888888888</v>
      </c>
      <c r="AT134" s="140">
        <f t="shared" si="273"/>
        <v>22.413888888888888</v>
      </c>
      <c r="AU134" s="140">
        <f t="shared" si="273"/>
        <v>22.913888888888888</v>
      </c>
      <c r="AV134" s="140">
        <f t="shared" si="273"/>
        <v>23.413888888888888</v>
      </c>
      <c r="AW134" s="140">
        <f t="shared" si="273"/>
        <v>23.913888888888888</v>
      </c>
      <c r="AX134" s="140">
        <f t="shared" si="273"/>
        <v>24.413888888888888</v>
      </c>
      <c r="AY134" s="140">
        <f t="shared" si="273"/>
        <v>24.913888888888888</v>
      </c>
      <c r="AZ134" s="140">
        <f t="shared" si="273"/>
        <v>25.411111111111111</v>
      </c>
      <c r="BA134" s="140">
        <f t="shared" si="273"/>
        <v>25.913888888888888</v>
      </c>
      <c r="BB134" s="140">
        <f t="shared" si="273"/>
        <v>26.411111111111111</v>
      </c>
      <c r="BC134" s="140">
        <f t="shared" si="273"/>
        <v>26.913888888888888</v>
      </c>
      <c r="BD134" s="140">
        <f t="shared" si="273"/>
        <v>27.411111111111111</v>
      </c>
      <c r="BE134" s="140">
        <f t="shared" si="273"/>
        <v>27.913888888888888</v>
      </c>
      <c r="BF134" s="140">
        <f t="shared" si="273"/>
        <v>28.411111111111111</v>
      </c>
      <c r="BG134" s="140">
        <f t="shared" si="273"/>
        <v>28.911111111111111</v>
      </c>
      <c r="BH134" s="140">
        <f t="shared" si="273"/>
        <v>29.408333333333335</v>
      </c>
      <c r="BI134" s="140">
        <f t="shared" si="273"/>
        <v>29.911111111111111</v>
      </c>
      <c r="BJ134" s="140">
        <f t="shared" si="273"/>
        <v>30.408333333333335</v>
      </c>
      <c r="BK134" s="140">
        <f t="shared" si="273"/>
        <v>30.911111111111111</v>
      </c>
      <c r="BL134" s="140">
        <f t="shared" si="273"/>
        <v>31.408333333333335</v>
      </c>
      <c r="BM134" s="140">
        <f t="shared" si="273"/>
        <v>31.911111111111111</v>
      </c>
      <c r="BN134" s="140">
        <f t="shared" si="273"/>
        <v>32.408333333333331</v>
      </c>
      <c r="BO134" s="140">
        <f t="shared" ref="BO134:CB134" si="274">BO133/360</f>
        <v>32.908333333333331</v>
      </c>
      <c r="BP134" s="140">
        <f t="shared" si="274"/>
        <v>33.405555555555559</v>
      </c>
      <c r="BQ134" s="140">
        <f t="shared" si="274"/>
        <v>33.908333333333331</v>
      </c>
      <c r="BR134" s="140">
        <f t="shared" si="274"/>
        <v>34.405555555555559</v>
      </c>
      <c r="BS134" s="140">
        <f t="shared" si="274"/>
        <v>34.908333333333331</v>
      </c>
      <c r="BT134" s="140">
        <f t="shared" si="274"/>
        <v>35.405555555555559</v>
      </c>
      <c r="BU134" s="140">
        <f t="shared" si="274"/>
        <v>35.908333333333331</v>
      </c>
      <c r="BV134" s="140">
        <f t="shared" si="274"/>
        <v>36.405555555555559</v>
      </c>
      <c r="BW134" s="140">
        <f t="shared" si="274"/>
        <v>36.905555555555559</v>
      </c>
      <c r="BX134" s="140">
        <f t="shared" si="274"/>
        <v>37.402777777777779</v>
      </c>
      <c r="BY134" s="140">
        <f t="shared" si="274"/>
        <v>37.905555555555559</v>
      </c>
      <c r="BZ134" s="140">
        <f t="shared" si="274"/>
        <v>38.402777777777779</v>
      </c>
      <c r="CA134" s="140">
        <f t="shared" si="274"/>
        <v>38.905555555555559</v>
      </c>
      <c r="CB134" s="140">
        <f t="shared" si="274"/>
        <v>39.402777777777779</v>
      </c>
      <c r="CC134" s="17"/>
      <c r="CD134" s="17"/>
      <c r="CE134" s="17"/>
    </row>
    <row r="135" spans="1:83">
      <c r="A135" s="16" t="s">
        <v>43</v>
      </c>
      <c r="B135" s="140">
        <f>IF(B133&lt;0,0,$B$5+$B$6*((1-EXP(-B134/$B$9))/(B134/$B$9))+$B$7*((1-EXP(-B134/$B$9))/(B134/$B$9)-EXP(-B134/$B$9))+$B$8*((1-EXP(-B134/$B$10))/(B134/$B$10)-EXP(-B134/$B$10)))</f>
        <v>7.5178291275441846E-3</v>
      </c>
      <c r="C135" s="140">
        <f t="shared" ref="C135:BN135" si="275">IF(C133&lt;0,0,$B$5+$B$6*((1-EXP(-C134/$B$9))/(C134/$B$9))+$B$7*((1-EXP(-C134/$B$9))/(C134/$B$9)-EXP(-C134/$B$9))+$B$8*((1-EXP(-C134/$B$10))/(C134/$B$10)-EXP(-C134/$B$10)))</f>
        <v>6.7011472511378069E-3</v>
      </c>
      <c r="D135" s="140">
        <f t="shared" si="275"/>
        <v>6.071074199007832E-3</v>
      </c>
      <c r="E135" s="140">
        <f t="shared" si="275"/>
        <v>5.6069206740007056E-3</v>
      </c>
      <c r="F135" s="140">
        <f t="shared" si="275"/>
        <v>5.2858449728529003E-3</v>
      </c>
      <c r="G135" s="140">
        <f t="shared" si="275"/>
        <v>5.0876729952586902E-3</v>
      </c>
      <c r="H135" s="140">
        <f t="shared" si="275"/>
        <v>4.9946056411776336E-3</v>
      </c>
      <c r="I135" s="140">
        <f t="shared" si="275"/>
        <v>4.9909573396096762E-3</v>
      </c>
      <c r="J135" s="140">
        <f t="shared" si="275"/>
        <v>5.0629224529646338E-3</v>
      </c>
      <c r="K135" s="140">
        <f t="shared" si="275"/>
        <v>5.1974590140624792E-3</v>
      </c>
      <c r="L135" s="140">
        <f t="shared" si="275"/>
        <v>5.3854663484793983E-3</v>
      </c>
      <c r="M135" s="140">
        <f t="shared" si="275"/>
        <v>5.6170212245023766E-3</v>
      </c>
      <c r="N135" s="140">
        <f t="shared" si="275"/>
        <v>5.883957142125423E-3</v>
      </c>
      <c r="O135" s="140">
        <f t="shared" si="275"/>
        <v>6.1791461709493935E-3</v>
      </c>
      <c r="P135" s="140">
        <f t="shared" si="275"/>
        <v>6.4963807917341639E-3</v>
      </c>
      <c r="Q135" s="140">
        <f t="shared" si="275"/>
        <v>6.8302685538631971E-3</v>
      </c>
      <c r="R135" s="140">
        <f t="shared" si="275"/>
        <v>7.1761381929329035E-3</v>
      </c>
      <c r="S135" s="140">
        <f t="shared" si="275"/>
        <v>7.5279749985583087E-3</v>
      </c>
      <c r="T135" s="140">
        <f t="shared" si="275"/>
        <v>7.8862540885951942E-3</v>
      </c>
      <c r="U135" s="140">
        <f t="shared" si="275"/>
        <v>8.2460520885848342E-3</v>
      </c>
      <c r="V135" s="140">
        <f t="shared" si="275"/>
        <v>8.6048306409827729E-3</v>
      </c>
      <c r="W135" s="140">
        <f t="shared" si="275"/>
        <v>8.9604370030668505E-3</v>
      </c>
      <c r="X135" s="140">
        <f t="shared" si="275"/>
        <v>9.3110573958131541E-3</v>
      </c>
      <c r="Y135" s="140">
        <f t="shared" si="275"/>
        <v>9.6551755623593243E-3</v>
      </c>
      <c r="Z135" s="140">
        <f t="shared" si="275"/>
        <v>9.9915359759063689E-3</v>
      </c>
      <c r="AA135" s="140">
        <f t="shared" si="275"/>
        <v>1.0317317206989076E-2</v>
      </c>
      <c r="AB135" s="140">
        <f t="shared" si="275"/>
        <v>1.0635334301942485E-2</v>
      </c>
      <c r="AC135" s="140">
        <f t="shared" si="275"/>
        <v>1.0943086305924174E-2</v>
      </c>
      <c r="AD135" s="140">
        <f t="shared" si="275"/>
        <v>1.1240068431308023E-2</v>
      </c>
      <c r="AE135" s="140">
        <f t="shared" si="275"/>
        <v>1.1525906703841415E-2</v>
      </c>
      <c r="AF135" s="140">
        <f t="shared" si="275"/>
        <v>1.1800340199213361E-2</v>
      </c>
      <c r="AG135" s="140">
        <f t="shared" si="275"/>
        <v>1.206320535827007E-2</v>
      </c>
      <c r="AH135" s="140">
        <f t="shared" si="275"/>
        <v>1.2314422151963982E-2</v>
      </c>
      <c r="AI135" s="140">
        <f t="shared" si="275"/>
        <v>1.255268313484419E-2</v>
      </c>
      <c r="AJ135" s="140">
        <f t="shared" si="275"/>
        <v>1.2780701976313534E-2</v>
      </c>
      <c r="AK135" s="140">
        <f t="shared" si="275"/>
        <v>1.2997218099835794E-2</v>
      </c>
      <c r="AL135" s="140">
        <f t="shared" si="275"/>
        <v>1.3202377310585484E-2</v>
      </c>
      <c r="AM135" s="140">
        <f t="shared" si="275"/>
        <v>1.3396361114905693E-2</v>
      </c>
      <c r="AN135" s="140">
        <f t="shared" si="275"/>
        <v>1.3579380375178902E-2</v>
      </c>
      <c r="AO135" s="140">
        <f t="shared" si="275"/>
        <v>1.375166977054984E-2</v>
      </c>
      <c r="AP135" s="140">
        <f t="shared" si="275"/>
        <v>1.3913482971407133E-2</v>
      </c>
      <c r="AQ135" s="140">
        <f t="shared" si="275"/>
        <v>1.4064273880915284E-2</v>
      </c>
      <c r="AR135" s="140">
        <f t="shared" si="275"/>
        <v>1.4206005625997213E-2</v>
      </c>
      <c r="AS135" s="140">
        <f t="shared" si="275"/>
        <v>1.4338095309882903E-2</v>
      </c>
      <c r="AT135" s="140">
        <f t="shared" si="275"/>
        <v>1.4460835874767411E-2</v>
      </c>
      <c r="AU135" s="140">
        <f t="shared" si="275"/>
        <v>1.4574523267195862E-2</v>
      </c>
      <c r="AV135" s="140">
        <f t="shared" si="275"/>
        <v>1.4679454452561039E-2</v>
      </c>
      <c r="AW135" s="140">
        <f t="shared" si="275"/>
        <v>1.4775925727364806E-2</v>
      </c>
      <c r="AX135" s="140">
        <f t="shared" si="275"/>
        <v>1.4864231293055865E-2</v>
      </c>
      <c r="AY135" s="140">
        <f t="shared" si="275"/>
        <v>1.4944662059320197E-2</v>
      </c>
      <c r="AZ135" s="140">
        <f t="shared" si="275"/>
        <v>1.5017120408898682E-2</v>
      </c>
      <c r="BA135" s="140">
        <f t="shared" si="275"/>
        <v>1.5083040574628941E-2</v>
      </c>
      <c r="BB135" s="140">
        <f t="shared" si="275"/>
        <v>1.5141239474631481E-2</v>
      </c>
      <c r="BC135" s="140">
        <f t="shared" si="275"/>
        <v>1.5193289092222268E-2</v>
      </c>
      <c r="BD135" s="140">
        <f t="shared" si="275"/>
        <v>1.5238299942890596E-2</v>
      </c>
      <c r="BE135" s="140">
        <f t="shared" si="275"/>
        <v>1.527753543762804E-2</v>
      </c>
      <c r="BF135" s="140">
        <f t="shared" si="275"/>
        <v>1.5310375069961416E-2</v>
      </c>
      <c r="BG135" s="140">
        <f t="shared" si="275"/>
        <v>1.5337659515849889E-2</v>
      </c>
      <c r="BH135" s="140">
        <f t="shared" si="275"/>
        <v>1.5359316303692631E-2</v>
      </c>
      <c r="BI135" s="140">
        <f t="shared" si="275"/>
        <v>1.537588957827214E-2</v>
      </c>
      <c r="BJ135" s="140">
        <f t="shared" si="275"/>
        <v>1.5387229871282472E-2</v>
      </c>
      <c r="BK135" s="140">
        <f t="shared" si="275"/>
        <v>1.5393803071355523E-2</v>
      </c>
      <c r="BL135" s="140">
        <f t="shared" si="275"/>
        <v>1.5395665902708204E-2</v>
      </c>
      <c r="BM135" s="140">
        <f t="shared" si="275"/>
        <v>1.5393057634520075E-2</v>
      </c>
      <c r="BN135" s="140">
        <f t="shared" si="275"/>
        <v>1.5386223520528881E-2</v>
      </c>
      <c r="BO135" s="140">
        <f t="shared" ref="BO135:CB135" si="276">IF(BO133&lt;0,0,$B$5+$B$6*((1-EXP(-BO134/$B$9))/(BO134/$B$9))+$B$7*((1-EXP(-BO134/$B$9))/(BO134/$B$9)-EXP(-BO134/$B$9))+$B$8*((1-EXP(-BO134/$B$10))/(BO134/$B$10)-EXP(-BO134/$B$10)))</f>
        <v>1.5375266164892858E-2</v>
      </c>
      <c r="BP135" s="140">
        <f t="shared" si="276"/>
        <v>1.5360480357719589E-2</v>
      </c>
      <c r="BQ135" s="140">
        <f t="shared" si="276"/>
        <v>1.5341755010097264E-2</v>
      </c>
      <c r="BR135" s="140">
        <f t="shared" si="276"/>
        <v>1.5319664715571486E-2</v>
      </c>
      <c r="BS135" s="140">
        <f t="shared" si="276"/>
        <v>1.5293872651457237E-2</v>
      </c>
      <c r="BT135" s="140">
        <f t="shared" si="276"/>
        <v>1.5265097246001452E-2</v>
      </c>
      <c r="BU135" s="140">
        <f t="shared" si="276"/>
        <v>1.5232840164125322E-2</v>
      </c>
      <c r="BV135" s="140">
        <f t="shared" si="276"/>
        <v>1.5197951154405212E-2</v>
      </c>
      <c r="BW135" s="140">
        <f t="shared" si="276"/>
        <v>1.5160002549743055E-2</v>
      </c>
      <c r="BX135" s="140">
        <f t="shared" si="276"/>
        <v>1.5119541549907991E-2</v>
      </c>
      <c r="BY135" s="140">
        <f t="shared" si="276"/>
        <v>1.5075989779709816E-2</v>
      </c>
      <c r="BZ135" s="140">
        <f t="shared" si="276"/>
        <v>1.5030425859310428E-2</v>
      </c>
      <c r="CA135" s="140">
        <f t="shared" si="276"/>
        <v>1.4981944697418547E-2</v>
      </c>
      <c r="CB135" s="140">
        <f t="shared" si="276"/>
        <v>1.4931724600696372E-2</v>
      </c>
      <c r="CC135" s="17"/>
      <c r="CD135" s="17"/>
      <c r="CE135" s="17"/>
    </row>
    <row r="136" spans="1:83">
      <c r="A136" s="16" t="s">
        <v>44</v>
      </c>
      <c r="B136" s="140">
        <f>EXP(-B135*B134)</f>
        <v>0.99676838983245508</v>
      </c>
      <c r="C136" s="140">
        <f t="shared" ref="C136:AR136" si="277">EXP(-C135*C134)</f>
        <v>0.99380211114022299</v>
      </c>
      <c r="D136" s="140">
        <f t="shared" si="277"/>
        <v>0.99136931522427463</v>
      </c>
      <c r="E136" s="140">
        <f t="shared" si="277"/>
        <v>0.98924930914711862</v>
      </c>
      <c r="F136" s="140">
        <f t="shared" si="277"/>
        <v>0.98724913305025608</v>
      </c>
      <c r="G136" s="140">
        <f t="shared" si="277"/>
        <v>0.98521481436638114</v>
      </c>
      <c r="H136" s="140">
        <f t="shared" si="277"/>
        <v>0.98302532300518553</v>
      </c>
      <c r="I136" s="140">
        <f t="shared" si="277"/>
        <v>0.98058752531432636</v>
      </c>
      <c r="J136" s="140">
        <f t="shared" si="277"/>
        <v>0.97783190937091802</v>
      </c>
      <c r="K136" s="140">
        <f t="shared" si="277"/>
        <v>0.9747273524100285</v>
      </c>
      <c r="L136" s="140">
        <f t="shared" si="277"/>
        <v>0.97120651069061703</v>
      </c>
      <c r="M136" s="140">
        <f t="shared" si="277"/>
        <v>0.96726686380867744</v>
      </c>
      <c r="N136" s="140">
        <f t="shared" si="277"/>
        <v>0.962901242235918</v>
      </c>
      <c r="O136" s="140">
        <f t="shared" si="277"/>
        <v>0.95811200994642431</v>
      </c>
      <c r="P136" s="140">
        <f t="shared" si="277"/>
        <v>0.95290922911881615</v>
      </c>
      <c r="Q136" s="140">
        <f t="shared" si="277"/>
        <v>0.94730906363098732</v>
      </c>
      <c r="R136" s="140">
        <f t="shared" si="277"/>
        <v>0.94133239648277012</v>
      </c>
      <c r="S136" s="140">
        <f t="shared" si="277"/>
        <v>0.93503972326502927</v>
      </c>
      <c r="T136" s="140">
        <f t="shared" si="277"/>
        <v>0.92838752801220947</v>
      </c>
      <c r="U136" s="140">
        <f t="shared" si="277"/>
        <v>0.92143857540401286</v>
      </c>
      <c r="V136" s="140">
        <f t="shared" si="277"/>
        <v>0.91422235791164241</v>
      </c>
      <c r="W136" s="140">
        <f t="shared" si="277"/>
        <v>0.90676869435225049</v>
      </c>
      <c r="X136" s="140">
        <f t="shared" si="277"/>
        <v>0.89910723714807328</v>
      </c>
      <c r="Y136" s="140">
        <f t="shared" si="277"/>
        <v>0.89126707526993099</v>
      </c>
      <c r="Z136" s="140">
        <f t="shared" si="277"/>
        <v>0.88327642061858935</v>
      </c>
      <c r="AA136" s="140">
        <f t="shared" si="277"/>
        <v>0.87520773754000913</v>
      </c>
      <c r="AB136" s="140">
        <f t="shared" si="277"/>
        <v>0.86699655315175372</v>
      </c>
      <c r="AC136" s="140">
        <f t="shared" si="277"/>
        <v>0.85871200420982086</v>
      </c>
      <c r="AD136" s="140">
        <f t="shared" si="277"/>
        <v>0.85037696268469787</v>
      </c>
      <c r="AE136" s="140">
        <f t="shared" si="277"/>
        <v>0.84201274797650072</v>
      </c>
      <c r="AF136" s="140">
        <f t="shared" si="277"/>
        <v>0.83363911164203797</v>
      </c>
      <c r="AG136" s="140">
        <f t="shared" si="277"/>
        <v>0.82527424680026606</v>
      </c>
      <c r="AH136" s="140">
        <f t="shared" si="277"/>
        <v>0.81693481721985328</v>
      </c>
      <c r="AI136" s="140">
        <f t="shared" si="277"/>
        <v>0.80868196822565119</v>
      </c>
      <c r="AJ136" s="140">
        <f t="shared" si="277"/>
        <v>0.80043717959164518</v>
      </c>
      <c r="AK136" s="140">
        <f t="shared" si="277"/>
        <v>0.79225907616494606</v>
      </c>
      <c r="AL136" s="140">
        <f t="shared" si="277"/>
        <v>0.78415875764397203</v>
      </c>
      <c r="AM136" s="140">
        <f t="shared" si="277"/>
        <v>0.77614610432099929</v>
      </c>
      <c r="AN136" s="140">
        <f t="shared" si="277"/>
        <v>0.76822985343556505</v>
      </c>
      <c r="AO136" s="140">
        <f t="shared" si="277"/>
        <v>0.76041767603630428</v>
      </c>
      <c r="AP136" s="140">
        <f t="shared" si="277"/>
        <v>0.75271625318298629</v>
      </c>
      <c r="AQ136" s="140">
        <f t="shared" si="277"/>
        <v>0.74517315763897118</v>
      </c>
      <c r="AR136" s="140">
        <f t="shared" si="277"/>
        <v>0.73770901110615905</v>
      </c>
      <c r="AS136" s="140">
        <f>EXP(-AS135*AS134)</f>
        <v>0.73037043561491855</v>
      </c>
      <c r="AT136" s="140">
        <f t="shared" ref="AT136:CA136" si="278">EXP(-AT135*AT134)</f>
        <v>0.72316087692664144</v>
      </c>
      <c r="AU136" s="140">
        <f t="shared" si="278"/>
        <v>0.71608313619838471</v>
      </c>
      <c r="AV136" s="140">
        <f t="shared" si="278"/>
        <v>0.70913942930432949</v>
      </c>
      <c r="AW136" s="140">
        <f t="shared" si="278"/>
        <v>0.70233144249397861</v>
      </c>
      <c r="AX136" s="140">
        <f t="shared" si="278"/>
        <v>0.69566038438372657</v>
      </c>
      <c r="AY136" s="140">
        <f t="shared" si="278"/>
        <v>0.68912703433059475</v>
      </c>
      <c r="AZ136" s="140">
        <f t="shared" si="278"/>
        <v>0.68276693469645455</v>
      </c>
      <c r="BA136" s="140">
        <f t="shared" si="278"/>
        <v>0.67647469518828796</v>
      </c>
      <c r="BB136" s="140">
        <f t="shared" si="278"/>
        <v>0.67038912062913925</v>
      </c>
      <c r="BC136" s="140">
        <f t="shared" si="278"/>
        <v>0.66437369477087937</v>
      </c>
      <c r="BD136" s="140">
        <f t="shared" si="278"/>
        <v>0.6585606011980486</v>
      </c>
      <c r="BE136" s="140">
        <f t="shared" si="278"/>
        <v>0.65281896322123945</v>
      </c>
      <c r="BF136" s="140">
        <f t="shared" si="278"/>
        <v>0.64727452676398056</v>
      </c>
      <c r="BG136" s="140">
        <f t="shared" si="278"/>
        <v>0.64183194437422786</v>
      </c>
      <c r="BH136" s="140">
        <f t="shared" si="278"/>
        <v>0.63655026470516396</v>
      </c>
      <c r="BI136" s="140">
        <f t="shared" si="278"/>
        <v>0.63134050045711043</v>
      </c>
      <c r="BJ136" s="140">
        <f t="shared" si="278"/>
        <v>0.62631614274493486</v>
      </c>
      <c r="BK136" s="140">
        <f t="shared" si="278"/>
        <v>0.62136316752085541</v>
      </c>
      <c r="BL136" s="140">
        <f t="shared" si="278"/>
        <v>0.61658924472100729</v>
      </c>
      <c r="BM136" s="140">
        <f t="shared" si="278"/>
        <v>0.61188582611178854</v>
      </c>
      <c r="BN136" s="140">
        <f t="shared" si="278"/>
        <v>0.60735497254141013</v>
      </c>
      <c r="BO136" s="140">
        <f t="shared" si="278"/>
        <v>0.60291781562286328</v>
      </c>
      <c r="BP136" s="140">
        <f t="shared" si="278"/>
        <v>0.59862173173763877</v>
      </c>
      <c r="BQ136" s="140">
        <f t="shared" si="278"/>
        <v>0.59439372482029196</v>
      </c>
      <c r="BR136" s="140">
        <f t="shared" si="278"/>
        <v>0.59032527793772882</v>
      </c>
      <c r="BS136" s="140">
        <f t="shared" si="278"/>
        <v>0.58632349382674909</v>
      </c>
      <c r="BT136" s="140">
        <f t="shared" si="278"/>
        <v>0.58247486271880033</v>
      </c>
      <c r="BU136" s="140">
        <f t="shared" si="278"/>
        <v>0.57869141688683901</v>
      </c>
      <c r="BV136" s="140">
        <f t="shared" si="278"/>
        <v>0.57505484789965888</v>
      </c>
      <c r="BW136" s="140">
        <f t="shared" si="278"/>
        <v>0.571501416993353</v>
      </c>
      <c r="BX136" s="140">
        <f t="shared" si="278"/>
        <v>0.56806873645729872</v>
      </c>
      <c r="BY136" s="140">
        <f t="shared" si="278"/>
        <v>0.56469824613124342</v>
      </c>
      <c r="BZ136" s="140">
        <f t="shared" si="278"/>
        <v>0.56146260569514594</v>
      </c>
      <c r="CA136" s="140">
        <f t="shared" si="278"/>
        <v>0.55828768677911844</v>
      </c>
      <c r="CB136" s="140">
        <f>EXP(-CB135*CB134)</f>
        <v>0.55524188781643957</v>
      </c>
      <c r="CC136" s="17"/>
      <c r="CD136" s="17"/>
      <c r="CE136" s="17"/>
    </row>
    <row r="137" spans="1:83">
      <c r="A137" s="17"/>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17"/>
      <c r="CD137" s="17"/>
      <c r="CE137" s="17"/>
    </row>
    <row r="138" spans="1:83">
      <c r="A138" s="16" t="s">
        <v>40</v>
      </c>
      <c r="B138" s="140">
        <f t="shared" ref="B138:AG138" si="279">DAYS360($B$3,B46)</f>
        <v>110</v>
      </c>
      <c r="C138" s="140">
        <f t="shared" si="279"/>
        <v>289</v>
      </c>
      <c r="D138" s="140">
        <f t="shared" si="279"/>
        <v>469</v>
      </c>
      <c r="E138" s="140">
        <f t="shared" si="279"/>
        <v>649</v>
      </c>
      <c r="F138" s="140">
        <f t="shared" si="279"/>
        <v>829</v>
      </c>
      <c r="G138" s="140">
        <f t="shared" si="279"/>
        <v>1009</v>
      </c>
      <c r="H138" s="140">
        <f t="shared" si="279"/>
        <v>1189</v>
      </c>
      <c r="I138" s="140">
        <f t="shared" si="279"/>
        <v>1369</v>
      </c>
      <c r="J138" s="140">
        <f t="shared" si="279"/>
        <v>1549</v>
      </c>
      <c r="K138" s="140">
        <f t="shared" si="279"/>
        <v>1728</v>
      </c>
      <c r="L138" s="140">
        <f t="shared" si="279"/>
        <v>1908</v>
      </c>
      <c r="M138" s="140">
        <f t="shared" si="279"/>
        <v>2088</v>
      </c>
      <c r="N138" s="140">
        <f t="shared" si="279"/>
        <v>2268</v>
      </c>
      <c r="O138" s="140">
        <f t="shared" si="279"/>
        <v>2448</v>
      </c>
      <c r="P138" s="140">
        <f t="shared" si="279"/>
        <v>2628</v>
      </c>
      <c r="Q138" s="140">
        <f t="shared" si="279"/>
        <v>2808</v>
      </c>
      <c r="R138" s="140">
        <f t="shared" si="279"/>
        <v>2988</v>
      </c>
      <c r="S138" s="140">
        <f t="shared" si="279"/>
        <v>3167</v>
      </c>
      <c r="T138" s="140">
        <f t="shared" si="279"/>
        <v>3347</v>
      </c>
      <c r="U138" s="140">
        <f t="shared" si="279"/>
        <v>3527</v>
      </c>
      <c r="V138" s="140">
        <f t="shared" si="279"/>
        <v>3707</v>
      </c>
      <c r="W138" s="140">
        <f t="shared" si="279"/>
        <v>3887</v>
      </c>
      <c r="X138" s="140">
        <f t="shared" si="279"/>
        <v>4067</v>
      </c>
      <c r="Y138" s="140">
        <f t="shared" si="279"/>
        <v>4247</v>
      </c>
      <c r="Z138" s="140">
        <f t="shared" si="279"/>
        <v>4427</v>
      </c>
      <c r="AA138" s="140">
        <f t="shared" si="279"/>
        <v>4606</v>
      </c>
      <c r="AB138" s="140">
        <f t="shared" si="279"/>
        <v>4786</v>
      </c>
      <c r="AC138" s="140">
        <f t="shared" si="279"/>
        <v>4966</v>
      </c>
      <c r="AD138" s="140">
        <f t="shared" si="279"/>
        <v>5146</v>
      </c>
      <c r="AE138" s="140">
        <f t="shared" si="279"/>
        <v>5326</v>
      </c>
      <c r="AF138" s="140">
        <f t="shared" si="279"/>
        <v>5506</v>
      </c>
      <c r="AG138" s="140">
        <f t="shared" si="279"/>
        <v>5686</v>
      </c>
      <c r="AH138" s="140">
        <f t="shared" ref="AH138:BM138" si="280">DAYS360($B$3,AH46)</f>
        <v>5866</v>
      </c>
      <c r="AI138" s="140">
        <f t="shared" si="280"/>
        <v>6045</v>
      </c>
      <c r="AJ138" s="140">
        <f t="shared" si="280"/>
        <v>6225</v>
      </c>
      <c r="AK138" s="140">
        <f t="shared" si="280"/>
        <v>6405</v>
      </c>
      <c r="AL138" s="140">
        <f t="shared" si="280"/>
        <v>6585</v>
      </c>
      <c r="AM138" s="140">
        <f t="shared" si="280"/>
        <v>6765</v>
      </c>
      <c r="AN138" s="140">
        <f t="shared" si="280"/>
        <v>6945</v>
      </c>
      <c r="AO138" s="140">
        <f t="shared" si="280"/>
        <v>7125</v>
      </c>
      <c r="AP138" s="140">
        <f t="shared" si="280"/>
        <v>7305</v>
      </c>
      <c r="AQ138" s="140">
        <f t="shared" si="280"/>
        <v>7484</v>
      </c>
      <c r="AR138" s="140">
        <f t="shared" si="280"/>
        <v>7664</v>
      </c>
      <c r="AS138" s="140">
        <f t="shared" si="280"/>
        <v>7844</v>
      </c>
      <c r="AT138" s="140">
        <f t="shared" si="280"/>
        <v>8024</v>
      </c>
      <c r="AU138" s="140">
        <f t="shared" si="280"/>
        <v>8204</v>
      </c>
      <c r="AV138" s="140">
        <f t="shared" si="280"/>
        <v>8384</v>
      </c>
      <c r="AW138" s="140">
        <f t="shared" si="280"/>
        <v>8564</v>
      </c>
      <c r="AX138" s="140">
        <f t="shared" si="280"/>
        <v>8744</v>
      </c>
      <c r="AY138" s="140">
        <f t="shared" si="280"/>
        <v>8923</v>
      </c>
      <c r="AZ138" s="140">
        <f t="shared" si="280"/>
        <v>9103</v>
      </c>
      <c r="BA138" s="140">
        <f t="shared" si="280"/>
        <v>9283</v>
      </c>
      <c r="BB138" s="140">
        <f t="shared" si="280"/>
        <v>9463</v>
      </c>
      <c r="BC138" s="140">
        <f t="shared" si="280"/>
        <v>9643</v>
      </c>
      <c r="BD138" s="140">
        <f t="shared" si="280"/>
        <v>9823</v>
      </c>
      <c r="BE138" s="140">
        <f t="shared" si="280"/>
        <v>10003</v>
      </c>
      <c r="BF138" s="140">
        <f t="shared" si="280"/>
        <v>10183</v>
      </c>
      <c r="BG138" s="140">
        <f t="shared" si="280"/>
        <v>10362</v>
      </c>
      <c r="BH138" s="140">
        <f t="shared" si="280"/>
        <v>10542</v>
      </c>
      <c r="BI138" s="140">
        <f t="shared" si="280"/>
        <v>10722</v>
      </c>
      <c r="BJ138" s="140">
        <f t="shared" si="280"/>
        <v>10902</v>
      </c>
      <c r="BK138" s="140">
        <f t="shared" si="280"/>
        <v>11082</v>
      </c>
      <c r="BL138" s="140">
        <f t="shared" si="280"/>
        <v>11262</v>
      </c>
      <c r="BM138" s="140">
        <f t="shared" si="280"/>
        <v>11442</v>
      </c>
      <c r="BN138" s="140">
        <f t="shared" ref="BN138:CB138" si="281">DAYS360($B$3,BN46)</f>
        <v>11622</v>
      </c>
      <c r="BO138" s="140">
        <f t="shared" si="281"/>
        <v>11801</v>
      </c>
      <c r="BP138" s="140">
        <f t="shared" si="281"/>
        <v>11981</v>
      </c>
      <c r="BQ138" s="140">
        <f t="shared" si="281"/>
        <v>12161</v>
      </c>
      <c r="BR138" s="140">
        <f t="shared" si="281"/>
        <v>12341</v>
      </c>
      <c r="BS138" s="140">
        <f t="shared" si="281"/>
        <v>12521</v>
      </c>
      <c r="BT138" s="140">
        <f t="shared" si="281"/>
        <v>12701</v>
      </c>
      <c r="BU138" s="140">
        <f t="shared" si="281"/>
        <v>12881</v>
      </c>
      <c r="BV138" s="140">
        <f t="shared" si="281"/>
        <v>13061</v>
      </c>
      <c r="BW138" s="140">
        <f t="shared" si="281"/>
        <v>13240</v>
      </c>
      <c r="BX138" s="140">
        <f t="shared" si="281"/>
        <v>13420</v>
      </c>
      <c r="BY138" s="140">
        <f t="shared" si="281"/>
        <v>13600</v>
      </c>
      <c r="BZ138" s="140">
        <f t="shared" si="281"/>
        <v>13780</v>
      </c>
      <c r="CA138" s="140">
        <f t="shared" si="281"/>
        <v>13960</v>
      </c>
      <c r="CB138" s="140">
        <f t="shared" si="281"/>
        <v>14140</v>
      </c>
      <c r="CC138" s="17"/>
      <c r="CD138" s="17"/>
      <c r="CE138" s="17"/>
    </row>
    <row r="139" spans="1:83">
      <c r="A139" s="16" t="s">
        <v>41</v>
      </c>
      <c r="B139" s="140">
        <f>B138/360</f>
        <v>0.30555555555555558</v>
      </c>
      <c r="C139" s="140">
        <f t="shared" ref="C139:BN139" si="282">C138/360</f>
        <v>0.80277777777777781</v>
      </c>
      <c r="D139" s="140">
        <f t="shared" si="282"/>
        <v>1.3027777777777778</v>
      </c>
      <c r="E139" s="140">
        <f t="shared" si="282"/>
        <v>1.8027777777777778</v>
      </c>
      <c r="F139" s="140">
        <f t="shared" si="282"/>
        <v>2.3027777777777776</v>
      </c>
      <c r="G139" s="140">
        <f t="shared" si="282"/>
        <v>2.8027777777777776</v>
      </c>
      <c r="H139" s="140">
        <f t="shared" si="282"/>
        <v>3.3027777777777776</v>
      </c>
      <c r="I139" s="140">
        <f t="shared" si="282"/>
        <v>3.8027777777777776</v>
      </c>
      <c r="J139" s="140">
        <f t="shared" si="282"/>
        <v>4.302777777777778</v>
      </c>
      <c r="K139" s="140">
        <f t="shared" si="282"/>
        <v>4.8</v>
      </c>
      <c r="L139" s="140">
        <f t="shared" si="282"/>
        <v>5.3</v>
      </c>
      <c r="M139" s="140">
        <f t="shared" si="282"/>
        <v>5.8</v>
      </c>
      <c r="N139" s="140">
        <f t="shared" si="282"/>
        <v>6.3</v>
      </c>
      <c r="O139" s="140">
        <f t="shared" si="282"/>
        <v>6.8</v>
      </c>
      <c r="P139" s="140">
        <f t="shared" si="282"/>
        <v>7.3</v>
      </c>
      <c r="Q139" s="140">
        <f t="shared" si="282"/>
        <v>7.8</v>
      </c>
      <c r="R139" s="140">
        <f t="shared" si="282"/>
        <v>8.3000000000000007</v>
      </c>
      <c r="S139" s="140">
        <f t="shared" si="282"/>
        <v>8.7972222222222225</v>
      </c>
      <c r="T139" s="140">
        <f t="shared" si="282"/>
        <v>9.2972222222222225</v>
      </c>
      <c r="U139" s="140">
        <f t="shared" si="282"/>
        <v>9.7972222222222225</v>
      </c>
      <c r="V139" s="140">
        <f t="shared" si="282"/>
        <v>10.297222222222222</v>
      </c>
      <c r="W139" s="140">
        <f t="shared" si="282"/>
        <v>10.797222222222222</v>
      </c>
      <c r="X139" s="140">
        <f t="shared" si="282"/>
        <v>11.297222222222222</v>
      </c>
      <c r="Y139" s="140">
        <f t="shared" si="282"/>
        <v>11.797222222222222</v>
      </c>
      <c r="Z139" s="140">
        <f t="shared" si="282"/>
        <v>12.297222222222222</v>
      </c>
      <c r="AA139" s="140">
        <f t="shared" si="282"/>
        <v>12.794444444444444</v>
      </c>
      <c r="AB139" s="140">
        <f t="shared" si="282"/>
        <v>13.294444444444444</v>
      </c>
      <c r="AC139" s="140">
        <f t="shared" si="282"/>
        <v>13.794444444444444</v>
      </c>
      <c r="AD139" s="140">
        <f t="shared" si="282"/>
        <v>14.294444444444444</v>
      </c>
      <c r="AE139" s="140">
        <f t="shared" si="282"/>
        <v>14.794444444444444</v>
      </c>
      <c r="AF139" s="140">
        <f t="shared" si="282"/>
        <v>15.294444444444444</v>
      </c>
      <c r="AG139" s="140">
        <f t="shared" si="282"/>
        <v>15.794444444444444</v>
      </c>
      <c r="AH139" s="140">
        <f t="shared" si="282"/>
        <v>16.294444444444444</v>
      </c>
      <c r="AI139" s="140">
        <f t="shared" si="282"/>
        <v>16.791666666666668</v>
      </c>
      <c r="AJ139" s="140">
        <f t="shared" si="282"/>
        <v>17.291666666666668</v>
      </c>
      <c r="AK139" s="140">
        <f t="shared" si="282"/>
        <v>17.791666666666668</v>
      </c>
      <c r="AL139" s="140">
        <f t="shared" si="282"/>
        <v>18.291666666666668</v>
      </c>
      <c r="AM139" s="140">
        <f t="shared" si="282"/>
        <v>18.791666666666668</v>
      </c>
      <c r="AN139" s="140">
        <f t="shared" si="282"/>
        <v>19.291666666666668</v>
      </c>
      <c r="AO139" s="140">
        <f t="shared" si="282"/>
        <v>19.791666666666668</v>
      </c>
      <c r="AP139" s="140">
        <f t="shared" si="282"/>
        <v>20.291666666666668</v>
      </c>
      <c r="AQ139" s="140">
        <f t="shared" si="282"/>
        <v>20.788888888888888</v>
      </c>
      <c r="AR139" s="140">
        <f t="shared" si="282"/>
        <v>21.288888888888888</v>
      </c>
      <c r="AS139" s="140">
        <f t="shared" si="282"/>
        <v>21.788888888888888</v>
      </c>
      <c r="AT139" s="140">
        <f t="shared" si="282"/>
        <v>22.288888888888888</v>
      </c>
      <c r="AU139" s="140">
        <f t="shared" si="282"/>
        <v>22.788888888888888</v>
      </c>
      <c r="AV139" s="140">
        <f t="shared" si="282"/>
        <v>23.288888888888888</v>
      </c>
      <c r="AW139" s="140">
        <f t="shared" si="282"/>
        <v>23.788888888888888</v>
      </c>
      <c r="AX139" s="140">
        <f t="shared" si="282"/>
        <v>24.288888888888888</v>
      </c>
      <c r="AY139" s="140">
        <f t="shared" si="282"/>
        <v>24.786111111111111</v>
      </c>
      <c r="AZ139" s="140">
        <f t="shared" si="282"/>
        <v>25.286111111111111</v>
      </c>
      <c r="BA139" s="140">
        <f t="shared" si="282"/>
        <v>25.786111111111111</v>
      </c>
      <c r="BB139" s="140">
        <f t="shared" si="282"/>
        <v>26.286111111111111</v>
      </c>
      <c r="BC139" s="140">
        <f t="shared" si="282"/>
        <v>26.786111111111111</v>
      </c>
      <c r="BD139" s="140">
        <f t="shared" si="282"/>
        <v>27.286111111111111</v>
      </c>
      <c r="BE139" s="140">
        <f t="shared" si="282"/>
        <v>27.786111111111111</v>
      </c>
      <c r="BF139" s="140">
        <f t="shared" si="282"/>
        <v>28.286111111111111</v>
      </c>
      <c r="BG139" s="140">
        <f t="shared" si="282"/>
        <v>28.783333333333335</v>
      </c>
      <c r="BH139" s="140">
        <f t="shared" si="282"/>
        <v>29.283333333333335</v>
      </c>
      <c r="BI139" s="140">
        <f t="shared" si="282"/>
        <v>29.783333333333335</v>
      </c>
      <c r="BJ139" s="140">
        <f t="shared" si="282"/>
        <v>30.283333333333335</v>
      </c>
      <c r="BK139" s="140">
        <f t="shared" si="282"/>
        <v>30.783333333333335</v>
      </c>
      <c r="BL139" s="140">
        <f t="shared" si="282"/>
        <v>31.283333333333335</v>
      </c>
      <c r="BM139" s="140">
        <f t="shared" si="282"/>
        <v>31.783333333333335</v>
      </c>
      <c r="BN139" s="140">
        <f t="shared" si="282"/>
        <v>32.283333333333331</v>
      </c>
      <c r="BO139" s="140">
        <f t="shared" ref="BO139:CB139" si="283">BO138/360</f>
        <v>32.780555555555559</v>
      </c>
      <c r="BP139" s="140">
        <f t="shared" si="283"/>
        <v>33.280555555555559</v>
      </c>
      <c r="BQ139" s="140">
        <f t="shared" si="283"/>
        <v>33.780555555555559</v>
      </c>
      <c r="BR139" s="140">
        <f t="shared" si="283"/>
        <v>34.280555555555559</v>
      </c>
      <c r="BS139" s="140">
        <f t="shared" si="283"/>
        <v>34.780555555555559</v>
      </c>
      <c r="BT139" s="140">
        <f t="shared" si="283"/>
        <v>35.280555555555559</v>
      </c>
      <c r="BU139" s="140">
        <f t="shared" si="283"/>
        <v>35.780555555555559</v>
      </c>
      <c r="BV139" s="140">
        <f t="shared" si="283"/>
        <v>36.280555555555559</v>
      </c>
      <c r="BW139" s="140">
        <f t="shared" si="283"/>
        <v>36.777777777777779</v>
      </c>
      <c r="BX139" s="140">
        <f t="shared" si="283"/>
        <v>37.277777777777779</v>
      </c>
      <c r="BY139" s="140">
        <f t="shared" si="283"/>
        <v>37.777777777777779</v>
      </c>
      <c r="BZ139" s="140">
        <f t="shared" si="283"/>
        <v>38.277777777777779</v>
      </c>
      <c r="CA139" s="140">
        <f t="shared" si="283"/>
        <v>38.777777777777779</v>
      </c>
      <c r="CB139" s="140">
        <f t="shared" si="283"/>
        <v>39.277777777777779</v>
      </c>
      <c r="CC139" s="17"/>
      <c r="CD139" s="17"/>
      <c r="CE139" s="17"/>
    </row>
    <row r="140" spans="1:83">
      <c r="A140" s="16" t="s">
        <v>43</v>
      </c>
      <c r="B140" s="140">
        <f>IF(B138&lt;0,0,$B$5+$B$6*((1-EXP(-B139/$B$9))/(B139/$B$9))+$B$7*((1-EXP(-B139/$B$9))/(B139/$B$9)-EXP(-B139/$B$9))+$B$8*((1-EXP(-B139/$B$10))/(B139/$B$10)-EXP(-B139/$B$10)))</f>
        <v>7.7562787004154098E-3</v>
      </c>
      <c r="C140" s="140">
        <f t="shared" ref="C140:BN140" si="284">IF(C138&lt;0,0,$B$5+$B$6*((1-EXP(-C139/$B$9))/(C139/$B$9))+$B$7*((1-EXP(-C139/$B$9))/(C139/$B$9)-EXP(-C139/$B$9))+$B$8*((1-EXP(-C139/$B$10))/(C139/$B$10)-EXP(-C139/$B$10)))</f>
        <v>6.8875473106704849E-3</v>
      </c>
      <c r="D140" s="140">
        <f t="shared" si="284"/>
        <v>6.2120821171723168E-3</v>
      </c>
      <c r="E140" s="140">
        <f t="shared" si="284"/>
        <v>5.7087012329096378E-3</v>
      </c>
      <c r="F140" s="140">
        <f t="shared" si="284"/>
        <v>5.3538463465165427E-3</v>
      </c>
      <c r="G140" s="140">
        <f t="shared" si="284"/>
        <v>5.1267051812525577E-3</v>
      </c>
      <c r="H140" s="140">
        <f t="shared" si="284"/>
        <v>5.0089105576271555E-3</v>
      </c>
      <c r="I140" s="140">
        <f t="shared" si="284"/>
        <v>4.9842714585118467E-3</v>
      </c>
      <c r="J140" s="140">
        <f t="shared" si="284"/>
        <v>5.0385327508095119E-3</v>
      </c>
      <c r="K140" s="140">
        <f t="shared" si="284"/>
        <v>5.1583279479113699E-3</v>
      </c>
      <c r="L140" s="140">
        <f t="shared" si="284"/>
        <v>5.3340382803903187E-3</v>
      </c>
      <c r="M140" s="140">
        <f t="shared" si="284"/>
        <v>5.5555152436901727E-3</v>
      </c>
      <c r="N140" s="140">
        <f t="shared" si="284"/>
        <v>5.8143125896128597E-3</v>
      </c>
      <c r="O140" s="140">
        <f t="shared" si="284"/>
        <v>6.1030543553024742E-3</v>
      </c>
      <c r="P140" s="140">
        <f t="shared" si="284"/>
        <v>6.4153132708914713E-3</v>
      </c>
      <c r="Q140" s="140">
        <f t="shared" si="284"/>
        <v>6.7455023459570256E-3</v>
      </c>
      <c r="R140" s="140">
        <f t="shared" si="284"/>
        <v>7.0887782411930573E-3</v>
      </c>
      <c r="S140" s="140">
        <f t="shared" si="284"/>
        <v>7.4389809194312486E-3</v>
      </c>
      <c r="T140" s="140">
        <f t="shared" si="284"/>
        <v>7.7964335670878231E-3</v>
      </c>
      <c r="U140" s="140">
        <f t="shared" si="284"/>
        <v>8.1561059792953812E-3</v>
      </c>
      <c r="V140" s="140">
        <f t="shared" si="284"/>
        <v>8.515355436482519E-3</v>
      </c>
      <c r="W140" s="140">
        <f t="shared" si="284"/>
        <v>8.8719373824813104E-3</v>
      </c>
      <c r="X140" s="140">
        <f t="shared" si="284"/>
        <v>9.2239573759328036E-3</v>
      </c>
      <c r="Y140" s="140">
        <f t="shared" si="284"/>
        <v>9.5698284013169786E-3</v>
      </c>
      <c r="Z140" s="140">
        <f t="shared" si="284"/>
        <v>9.9082329636714789E-3</v>
      </c>
      <c r="AA140" s="140">
        <f t="shared" si="284"/>
        <v>1.023628222382687E-2</v>
      </c>
      <c r="AB140" s="140">
        <f t="shared" si="284"/>
        <v>1.0556769511273618E-2</v>
      </c>
      <c r="AC140" s="140">
        <f t="shared" si="284"/>
        <v>1.086714064425098E-2</v>
      </c>
      <c r="AD140" s="140">
        <f t="shared" si="284"/>
        <v>1.1166855088687829E-2</v>
      </c>
      <c r="AE140" s="140">
        <f t="shared" si="284"/>
        <v>1.1455507918914386E-2</v>
      </c>
      <c r="AF140" s="140">
        <f t="shared" si="284"/>
        <v>1.1732811495668294E-2</v>
      </c>
      <c r="AG140" s="140">
        <f t="shared" si="284"/>
        <v>1.1998579284124972E-2</v>
      </c>
      <c r="AH140" s="140">
        <f t="shared" si="284"/>
        <v>1.2252711576490894E-2</v>
      </c>
      <c r="AI140" s="140">
        <f t="shared" si="284"/>
        <v>1.2493868014590027E-2</v>
      </c>
      <c r="AJ140" s="140">
        <f t="shared" si="284"/>
        <v>1.2724780457279957E-2</v>
      </c>
      <c r="AK140" s="140">
        <f t="shared" si="284"/>
        <v>1.2944160137574313E-2</v>
      </c>
      <c r="AL140" s="140">
        <f t="shared" si="284"/>
        <v>1.3152142839828809E-2</v>
      </c>
      <c r="AM140" s="140">
        <f t="shared" si="284"/>
        <v>1.3348901773607494E-2</v>
      </c>
      <c r="AN140" s="140">
        <f t="shared" si="284"/>
        <v>1.3534641011413405E-2</v>
      </c>
      <c r="AO140" s="140">
        <f t="shared" si="284"/>
        <v>1.3709589756998148E-2</v>
      </c>
      <c r="AP140" s="140">
        <f t="shared" si="284"/>
        <v>1.3873997349471449E-2</v>
      </c>
      <c r="AQ140" s="140">
        <f t="shared" si="284"/>
        <v>1.4027300513803074E-2</v>
      </c>
      <c r="AR140" s="140">
        <f t="shared" si="284"/>
        <v>1.4171487978334013E-2</v>
      </c>
      <c r="AS140" s="140">
        <f t="shared" si="284"/>
        <v>1.4305960879824813E-2</v>
      </c>
      <c r="AT140" s="140">
        <f t="shared" si="284"/>
        <v>1.4431011060444702E-2</v>
      </c>
      <c r="AU140" s="140">
        <f t="shared" si="284"/>
        <v>1.4546933914281808E-2</v>
      </c>
      <c r="AV140" s="140">
        <f t="shared" si="284"/>
        <v>1.4654026321222322E-2</v>
      </c>
      <c r="AW140" s="140">
        <f t="shared" si="284"/>
        <v>1.4752584888332381E-2</v>
      </c>
      <c r="AX140" s="140">
        <f t="shared" si="284"/>
        <v>1.4842904461465443E-2</v>
      </c>
      <c r="AY140" s="140">
        <f t="shared" si="284"/>
        <v>1.4924840671670712E-2</v>
      </c>
      <c r="AZ140" s="140">
        <f t="shared" si="284"/>
        <v>1.49995954668496E-2</v>
      </c>
      <c r="BA140" s="140">
        <f t="shared" si="284"/>
        <v>1.5066972181919075E-2</v>
      </c>
      <c r="BB140" s="140">
        <f t="shared" si="284"/>
        <v>1.512724808846423E-2</v>
      </c>
      <c r="BC140" s="140">
        <f t="shared" si="284"/>
        <v>1.5180694274984408E-2</v>
      </c>
      <c r="BD140" s="140">
        <f t="shared" si="284"/>
        <v>1.5227575201449682E-2</v>
      </c>
      <c r="BE140" s="140">
        <f t="shared" si="284"/>
        <v>1.5268148358079678E-2</v>
      </c>
      <c r="BF140" s="140">
        <f t="shared" si="284"/>
        <v>1.5302664014216696E-2</v>
      </c>
      <c r="BG140" s="140">
        <f t="shared" si="284"/>
        <v>1.5331221220929572E-2</v>
      </c>
      <c r="BH140" s="140">
        <f t="shared" si="284"/>
        <v>1.5354373359261098E-2</v>
      </c>
      <c r="BI140" s="140">
        <f t="shared" si="284"/>
        <v>1.5372172823590432E-2</v>
      </c>
      <c r="BJ140" s="140">
        <f t="shared" si="284"/>
        <v>1.5384839925814511E-2</v>
      </c>
      <c r="BK140" s="140">
        <f t="shared" si="284"/>
        <v>1.5392587464463484E-2</v>
      </c>
      <c r="BL140" s="140">
        <f t="shared" si="284"/>
        <v>1.5395620798486987E-2</v>
      </c>
      <c r="BM140" s="140">
        <f t="shared" si="284"/>
        <v>1.5394137949759629E-2</v>
      </c>
      <c r="BN140" s="140">
        <f t="shared" si="284"/>
        <v>1.5388329729286986E-2</v>
      </c>
      <c r="BO140" s="140">
        <f t="shared" ref="BO140:CB140" si="285">IF(BO138&lt;0,0,$B$5+$B$6*((1-EXP(-BO139/$B$9))/(BO139/$B$9))+$B$7*((1-EXP(-BO139/$B$9))/(BO139/$B$9)-EXP(-BO139/$B$9))+$B$8*((1-EXP(-BO139/$B$10))/(BO139/$B$10)-EXP(-BO139/$B$10)))</f>
        <v>1.5378446272361599E-2</v>
      </c>
      <c r="BP140" s="140">
        <f t="shared" si="285"/>
        <v>1.5364553191621614E-2</v>
      </c>
      <c r="BQ140" s="140">
        <f t="shared" si="285"/>
        <v>1.5346864509676745E-2</v>
      </c>
      <c r="BR140" s="140">
        <f t="shared" si="285"/>
        <v>1.5325543824216376E-2</v>
      </c>
      <c r="BS140" s="140">
        <f t="shared" si="285"/>
        <v>1.5300748372822037E-2</v>
      </c>
      <c r="BT140" s="140">
        <f t="shared" si="285"/>
        <v>1.5272629227117055E-2</v>
      </c>
      <c r="BU140" s="140">
        <f t="shared" si="285"/>
        <v>1.5241331489828387E-2</v>
      </c>
      <c r="BV140" s="140">
        <f t="shared" si="285"/>
        <v>1.5206994493202102E-2</v>
      </c>
      <c r="BW140" s="140">
        <f t="shared" si="285"/>
        <v>1.5169966687993326E-2</v>
      </c>
      <c r="BX140" s="140">
        <f t="shared" si="285"/>
        <v>1.5129962161995157E-2</v>
      </c>
      <c r="BY140" s="140">
        <f t="shared" si="285"/>
        <v>1.508730305801953E-2</v>
      </c>
      <c r="BZ140" s="140">
        <f t="shared" si="285"/>
        <v>1.5042107622547238E-2</v>
      </c>
      <c r="CA140" s="140">
        <f t="shared" si="285"/>
        <v>1.4994489303223023E-2</v>
      </c>
      <c r="CB140" s="140">
        <f t="shared" si="285"/>
        <v>1.4944556933962228E-2</v>
      </c>
      <c r="CC140" s="17"/>
      <c r="CD140" s="17"/>
      <c r="CE140" s="17"/>
    </row>
    <row r="141" spans="1:83">
      <c r="A141" s="16" t="s">
        <v>44</v>
      </c>
      <c r="B141" s="140">
        <f>EXP(-B140*B139)</f>
        <v>0.99763283212385467</v>
      </c>
      <c r="C141" s="140">
        <f t="shared" ref="C141:AR141" si="286">EXP(-C140*C139)</f>
        <v>0.99448608780182113</v>
      </c>
      <c r="D141" s="140">
        <f t="shared" si="286"/>
        <v>0.99193969732093501</v>
      </c>
      <c r="E141" s="140">
        <f t="shared" si="286"/>
        <v>0.98976125676119731</v>
      </c>
      <c r="F141" s="140">
        <f t="shared" si="286"/>
        <v>0.98774696889448921</v>
      </c>
      <c r="G141" s="140">
        <f t="shared" si="286"/>
        <v>0.985733726258615</v>
      </c>
      <c r="H141" s="140">
        <f t="shared" si="286"/>
        <v>0.98359277072344342</v>
      </c>
      <c r="I141" s="140">
        <f t="shared" si="286"/>
        <v>0.98122442223158268</v>
      </c>
      <c r="J141" s="140">
        <f t="shared" si="286"/>
        <v>0.9785536285468166</v>
      </c>
      <c r="K141" s="140">
        <f t="shared" si="286"/>
        <v>0.97554403971623005</v>
      </c>
      <c r="L141" s="140">
        <f t="shared" si="286"/>
        <v>0.97212546572669079</v>
      </c>
      <c r="M141" s="140">
        <f t="shared" si="286"/>
        <v>0.96829160870135378</v>
      </c>
      <c r="N141" s="140">
        <f t="shared" si="286"/>
        <v>0.9640325982661303</v>
      </c>
      <c r="O141" s="140">
        <f t="shared" si="286"/>
        <v>0.95934859701110387</v>
      </c>
      <c r="P141" s="140">
        <f t="shared" si="286"/>
        <v>0.95424790110967095</v>
      </c>
      <c r="Q141" s="140">
        <f t="shared" si="286"/>
        <v>0.94874528659688184</v>
      </c>
      <c r="R141" s="140">
        <f t="shared" si="286"/>
        <v>0.94286057544893487</v>
      </c>
      <c r="S141" s="140">
        <f t="shared" si="286"/>
        <v>0.93665302615240542</v>
      </c>
      <c r="T141" s="140">
        <f t="shared" si="286"/>
        <v>0.9300795346021179</v>
      </c>
      <c r="U141" s="140">
        <f t="shared" si="286"/>
        <v>0.92320203148643254</v>
      </c>
      <c r="V141" s="140">
        <f t="shared" si="286"/>
        <v>0.91604983823860597</v>
      </c>
      <c r="W141" s="140">
        <f t="shared" si="286"/>
        <v>0.90865274230490911</v>
      </c>
      <c r="X141" s="140">
        <f t="shared" si="286"/>
        <v>0.901040478450995</v>
      </c>
      <c r="Y141" s="140">
        <f t="shared" si="286"/>
        <v>0.89324230897173551</v>
      </c>
      <c r="Z141" s="140">
        <f t="shared" si="286"/>
        <v>0.88528669030625151</v>
      </c>
      <c r="AA141" s="140">
        <f t="shared" si="286"/>
        <v>0.87724624563103748</v>
      </c>
      <c r="AB141" s="140">
        <f t="shared" si="286"/>
        <v>0.86905715421609275</v>
      </c>
      <c r="AC141" s="140">
        <f t="shared" si="286"/>
        <v>0.86078874226224444</v>
      </c>
      <c r="AD141" s="140">
        <f t="shared" si="286"/>
        <v>0.85246426406842501</v>
      </c>
      <c r="AE141" s="140">
        <f t="shared" si="286"/>
        <v>0.84410542969340641</v>
      </c>
      <c r="AF141" s="140">
        <f t="shared" si="286"/>
        <v>0.83573238264613314</v>
      </c>
      <c r="AG141" s="140">
        <f t="shared" si="286"/>
        <v>0.82736370361819067</v>
      </c>
      <c r="AH141" s="140">
        <f t="shared" si="286"/>
        <v>0.81901643508060018</v>
      </c>
      <c r="AI141" s="140">
        <f t="shared" si="286"/>
        <v>0.81075216204319234</v>
      </c>
      <c r="AJ141" s="140">
        <f t="shared" si="286"/>
        <v>0.80249258646233745</v>
      </c>
      <c r="AK141" s="140">
        <f t="shared" si="286"/>
        <v>0.79429672184756051</v>
      </c>
      <c r="AL141" s="140">
        <f t="shared" si="286"/>
        <v>0.78617598448509507</v>
      </c>
      <c r="AM141" s="140">
        <f t="shared" si="286"/>
        <v>0.77814055241012725</v>
      </c>
      <c r="AN141" s="140">
        <f t="shared" si="286"/>
        <v>0.77019944141738539</v>
      </c>
      <c r="AO141" s="140">
        <f t="shared" si="286"/>
        <v>0.76236058191604428</v>
      </c>
      <c r="AP141" s="140">
        <f t="shared" si="286"/>
        <v>0.75463089539188066</v>
      </c>
      <c r="AQ141" s="140">
        <f t="shared" si="286"/>
        <v>0.74705834451482345</v>
      </c>
      <c r="AR141" s="140">
        <f t="shared" si="286"/>
        <v>0.73956342510184292</v>
      </c>
      <c r="AS141" s="140">
        <f>EXP(-AS140*AS139)</f>
        <v>0.73219310727496034</v>
      </c>
      <c r="AT141" s="140">
        <f t="shared" ref="AT141:CA141" si="287">EXP(-AT140*AT139)</f>
        <v>0.724951007639411</v>
      </c>
      <c r="AU141" s="140">
        <f t="shared" si="287"/>
        <v>0.71784008279980305</v>
      </c>
      <c r="AV141" s="140">
        <f t="shared" si="287"/>
        <v>0.71086268958946985</v>
      </c>
      <c r="AW141" s="140">
        <f t="shared" si="287"/>
        <v>0.70402064164713063</v>
      </c>
      <c r="AX141" s="140">
        <f t="shared" si="287"/>
        <v>0.69731526232234164</v>
      </c>
      <c r="AY141" s="140">
        <f t="shared" si="287"/>
        <v>0.69078354085399496</v>
      </c>
      <c r="AZ141" s="140">
        <f t="shared" si="287"/>
        <v>0.68435298290227053</v>
      </c>
      <c r="BA141" s="140">
        <f t="shared" si="287"/>
        <v>0.6780605970938216</v>
      </c>
      <c r="BB141" s="140">
        <f t="shared" si="287"/>
        <v>0.67190620502335019</v>
      </c>
      <c r="BC141" s="140">
        <f t="shared" si="287"/>
        <v>0.66588934986170578</v>
      </c>
      <c r="BD141" s="140">
        <f t="shared" si="287"/>
        <v>0.66000932920692668</v>
      </c>
      <c r="BE141" s="140">
        <f t="shared" si="287"/>
        <v>0.65426522511986995</v>
      </c>
      <c r="BF141" s="140">
        <f t="shared" si="287"/>
        <v>0.64865593151816725</v>
      </c>
      <c r="BG141" s="140">
        <f t="shared" si="287"/>
        <v>0.64321023359170226</v>
      </c>
      <c r="BH141" s="140">
        <f t="shared" si="287"/>
        <v>0.63786588253142862</v>
      </c>
      <c r="BI141" s="140">
        <f t="shared" si="287"/>
        <v>0.63265214157718352</v>
      </c>
      <c r="BJ141" s="140">
        <f t="shared" si="287"/>
        <v>0.62756737968708431</v>
      </c>
      <c r="BK141" s="140">
        <f t="shared" si="287"/>
        <v>0.62260988086091684</v>
      </c>
      <c r="BL141" s="140">
        <f t="shared" si="287"/>
        <v>0.61777785917683825</v>
      </c>
      <c r="BM141" s="140">
        <f t="shared" si="287"/>
        <v>0.61306947228976794</v>
      </c>
      <c r="BN141" s="140">
        <f t="shared" si="287"/>
        <v>0.60848283352050803</v>
      </c>
      <c r="BO141" s="140">
        <f t="shared" si="287"/>
        <v>0.6040405108279483</v>
      </c>
      <c r="BP141" s="140">
        <f t="shared" si="287"/>
        <v>0.59969093424027953</v>
      </c>
      <c r="BQ141" s="140">
        <f t="shared" si="287"/>
        <v>0.59545729287534865</v>
      </c>
      <c r="BR141" s="140">
        <f t="shared" si="287"/>
        <v>0.59133761950764807</v>
      </c>
      <c r="BS141" s="140">
        <f t="shared" si="287"/>
        <v>0.58732994579920061</v>
      </c>
      <c r="BT141" s="140">
        <f t="shared" si="287"/>
        <v>0.58343230819913194</v>
      </c>
      <c r="BU141" s="140">
        <f t="shared" si="287"/>
        <v>0.57964275311799218</v>
      </c>
      <c r="BV141" s="140">
        <f t="shared" si="287"/>
        <v>0.57595934144680305</v>
      </c>
      <c r="BW141" s="140">
        <f t="shared" si="287"/>
        <v>0.57239975246712227</v>
      </c>
      <c r="BX141" s="140">
        <f t="shared" si="287"/>
        <v>0.56892232405379506</v>
      </c>
      <c r="BY141" s="140">
        <f t="shared" si="287"/>
        <v>0.56554535561665487</v>
      </c>
      <c r="BZ141" s="140">
        <f t="shared" si="287"/>
        <v>0.56226700003048979</v>
      </c>
      <c r="CA141" s="140">
        <f t="shared" si="287"/>
        <v>0.55908543946884759</v>
      </c>
      <c r="CB141" s="140">
        <f>EXP(-CB140*CB139)</f>
        <v>0.55599888716268697</v>
      </c>
      <c r="CC141" s="17"/>
      <c r="CD141" s="17"/>
      <c r="CE141" s="17"/>
    </row>
    <row r="142" spans="1:83">
      <c r="A142" s="17"/>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17"/>
      <c r="CD142" s="17"/>
      <c r="CE142" s="17"/>
    </row>
    <row r="143" spans="1:83">
      <c r="A143" s="16" t="s">
        <v>40</v>
      </c>
      <c r="B143" s="140">
        <f t="shared" ref="B143:AG143" si="288">DAYS360($B$3,B48)</f>
        <v>155</v>
      </c>
      <c r="C143" s="140">
        <f t="shared" si="288"/>
        <v>334</v>
      </c>
      <c r="D143" s="140">
        <f t="shared" si="288"/>
        <v>514</v>
      </c>
      <c r="E143" s="140">
        <f t="shared" si="288"/>
        <v>694</v>
      </c>
      <c r="F143" s="140">
        <f t="shared" si="288"/>
        <v>874</v>
      </c>
      <c r="G143" s="140">
        <f t="shared" si="288"/>
        <v>1054</v>
      </c>
      <c r="H143" s="140">
        <f t="shared" si="288"/>
        <v>1234</v>
      </c>
      <c r="I143" s="140">
        <f t="shared" si="288"/>
        <v>1414</v>
      </c>
      <c r="J143" s="140">
        <f t="shared" si="288"/>
        <v>1594</v>
      </c>
      <c r="K143" s="140">
        <f t="shared" si="288"/>
        <v>1773</v>
      </c>
      <c r="L143" s="140">
        <f t="shared" si="288"/>
        <v>1953</v>
      </c>
      <c r="M143" s="140">
        <f t="shared" si="288"/>
        <v>2133</v>
      </c>
      <c r="N143" s="140">
        <f t="shared" si="288"/>
        <v>2313</v>
      </c>
      <c r="O143" s="140">
        <f t="shared" si="288"/>
        <v>2493</v>
      </c>
      <c r="P143" s="140">
        <f t="shared" si="288"/>
        <v>2673</v>
      </c>
      <c r="Q143" s="140">
        <f t="shared" si="288"/>
        <v>2853</v>
      </c>
      <c r="R143" s="140">
        <f t="shared" si="288"/>
        <v>3033</v>
      </c>
      <c r="S143" s="140">
        <f t="shared" si="288"/>
        <v>3212</v>
      </c>
      <c r="T143" s="140">
        <f t="shared" si="288"/>
        <v>3392</v>
      </c>
      <c r="U143" s="140">
        <f t="shared" si="288"/>
        <v>3572</v>
      </c>
      <c r="V143" s="140">
        <f t="shared" si="288"/>
        <v>3752</v>
      </c>
      <c r="W143" s="140">
        <f t="shared" si="288"/>
        <v>3932</v>
      </c>
      <c r="X143" s="140">
        <f t="shared" si="288"/>
        <v>4112</v>
      </c>
      <c r="Y143" s="140">
        <f t="shared" si="288"/>
        <v>4292</v>
      </c>
      <c r="Z143" s="140">
        <f t="shared" si="288"/>
        <v>4472</v>
      </c>
      <c r="AA143" s="140">
        <f t="shared" si="288"/>
        <v>4651</v>
      </c>
      <c r="AB143" s="140">
        <f t="shared" si="288"/>
        <v>4831</v>
      </c>
      <c r="AC143" s="140">
        <f t="shared" si="288"/>
        <v>5011</v>
      </c>
      <c r="AD143" s="140">
        <f t="shared" si="288"/>
        <v>5191</v>
      </c>
      <c r="AE143" s="140">
        <f t="shared" si="288"/>
        <v>5371</v>
      </c>
      <c r="AF143" s="140">
        <f t="shared" si="288"/>
        <v>5551</v>
      </c>
      <c r="AG143" s="140">
        <f t="shared" si="288"/>
        <v>5731</v>
      </c>
      <c r="AH143" s="140">
        <f t="shared" ref="AH143:BM143" si="289">DAYS360($B$3,AH48)</f>
        <v>5911</v>
      </c>
      <c r="AI143" s="140">
        <f t="shared" si="289"/>
        <v>6090</v>
      </c>
      <c r="AJ143" s="140">
        <f t="shared" si="289"/>
        <v>6270</v>
      </c>
      <c r="AK143" s="140">
        <f t="shared" si="289"/>
        <v>6450</v>
      </c>
      <c r="AL143" s="140">
        <f t="shared" si="289"/>
        <v>6630</v>
      </c>
      <c r="AM143" s="140">
        <f t="shared" si="289"/>
        <v>6810</v>
      </c>
      <c r="AN143" s="140">
        <f t="shared" si="289"/>
        <v>6990</v>
      </c>
      <c r="AO143" s="140">
        <f t="shared" si="289"/>
        <v>7170</v>
      </c>
      <c r="AP143" s="140">
        <f t="shared" si="289"/>
        <v>7350</v>
      </c>
      <c r="AQ143" s="140">
        <f t="shared" si="289"/>
        <v>7529</v>
      </c>
      <c r="AR143" s="140">
        <f t="shared" si="289"/>
        <v>7709</v>
      </c>
      <c r="AS143" s="140">
        <f t="shared" si="289"/>
        <v>7889</v>
      </c>
      <c r="AT143" s="140">
        <f t="shared" si="289"/>
        <v>8069</v>
      </c>
      <c r="AU143" s="140">
        <f t="shared" si="289"/>
        <v>8249</v>
      </c>
      <c r="AV143" s="140">
        <f t="shared" si="289"/>
        <v>8429</v>
      </c>
      <c r="AW143" s="140">
        <f t="shared" si="289"/>
        <v>8609</v>
      </c>
      <c r="AX143" s="140">
        <f t="shared" si="289"/>
        <v>8789</v>
      </c>
      <c r="AY143" s="140">
        <f t="shared" si="289"/>
        <v>8969</v>
      </c>
      <c r="AZ143" s="140">
        <f t="shared" si="289"/>
        <v>9148</v>
      </c>
      <c r="BA143" s="140">
        <f t="shared" si="289"/>
        <v>9329</v>
      </c>
      <c r="BB143" s="140">
        <f t="shared" si="289"/>
        <v>9508</v>
      </c>
      <c r="BC143" s="140">
        <f t="shared" si="289"/>
        <v>9689</v>
      </c>
      <c r="BD143" s="140">
        <f t="shared" si="289"/>
        <v>9868</v>
      </c>
      <c r="BE143" s="140">
        <f t="shared" si="289"/>
        <v>10049</v>
      </c>
      <c r="BF143" s="140">
        <f t="shared" si="289"/>
        <v>10228</v>
      </c>
      <c r="BG143" s="140">
        <f t="shared" si="289"/>
        <v>10408</v>
      </c>
      <c r="BH143" s="140">
        <f t="shared" si="289"/>
        <v>10587</v>
      </c>
      <c r="BI143" s="140">
        <f t="shared" si="289"/>
        <v>10768</v>
      </c>
      <c r="BJ143" s="140">
        <f t="shared" si="289"/>
        <v>10947</v>
      </c>
      <c r="BK143" s="140">
        <f t="shared" si="289"/>
        <v>11128</v>
      </c>
      <c r="BL143" s="140">
        <f t="shared" si="289"/>
        <v>11307</v>
      </c>
      <c r="BM143" s="140">
        <f t="shared" si="289"/>
        <v>11488</v>
      </c>
      <c r="BN143" s="140">
        <f t="shared" ref="BN143:CB143" si="290">DAYS360($B$3,BN48)</f>
        <v>11667</v>
      </c>
      <c r="BO143" s="140">
        <f t="shared" si="290"/>
        <v>11847</v>
      </c>
      <c r="BP143" s="140">
        <f t="shared" si="290"/>
        <v>12026</v>
      </c>
      <c r="BQ143" s="140">
        <f t="shared" si="290"/>
        <v>12207</v>
      </c>
      <c r="BR143" s="140">
        <f t="shared" si="290"/>
        <v>12386</v>
      </c>
      <c r="BS143" s="140">
        <f t="shared" si="290"/>
        <v>12567</v>
      </c>
      <c r="BT143" s="140">
        <f t="shared" si="290"/>
        <v>12746</v>
      </c>
      <c r="BU143" s="140">
        <f t="shared" si="290"/>
        <v>12927</v>
      </c>
      <c r="BV143" s="140">
        <f t="shared" si="290"/>
        <v>13106</v>
      </c>
      <c r="BW143" s="140">
        <f t="shared" si="290"/>
        <v>13286</v>
      </c>
      <c r="BX143" s="140">
        <f t="shared" si="290"/>
        <v>13465</v>
      </c>
      <c r="BY143" s="140">
        <f t="shared" si="290"/>
        <v>13646</v>
      </c>
      <c r="BZ143" s="140">
        <f t="shared" si="290"/>
        <v>13825</v>
      </c>
      <c r="CA143" s="140">
        <f t="shared" si="290"/>
        <v>14006</v>
      </c>
      <c r="CB143" s="140">
        <f t="shared" si="290"/>
        <v>14185</v>
      </c>
      <c r="CC143" s="17"/>
      <c r="CD143" s="17"/>
      <c r="CE143" s="17"/>
    </row>
    <row r="144" spans="1:83">
      <c r="A144" s="16" t="s">
        <v>41</v>
      </c>
      <c r="B144" s="140">
        <f>B143/360</f>
        <v>0.43055555555555558</v>
      </c>
      <c r="C144" s="140">
        <f t="shared" ref="C144:BN144" si="291">C143/360</f>
        <v>0.92777777777777781</v>
      </c>
      <c r="D144" s="140">
        <f t="shared" si="291"/>
        <v>1.4277777777777778</v>
      </c>
      <c r="E144" s="140">
        <f t="shared" si="291"/>
        <v>1.9277777777777778</v>
      </c>
      <c r="F144" s="140">
        <f t="shared" si="291"/>
        <v>2.4277777777777776</v>
      </c>
      <c r="G144" s="140">
        <f t="shared" si="291"/>
        <v>2.9277777777777776</v>
      </c>
      <c r="H144" s="140">
        <f t="shared" si="291"/>
        <v>3.4277777777777776</v>
      </c>
      <c r="I144" s="140">
        <f t="shared" si="291"/>
        <v>3.9277777777777776</v>
      </c>
      <c r="J144" s="140">
        <f t="shared" si="291"/>
        <v>4.427777777777778</v>
      </c>
      <c r="K144" s="140">
        <f t="shared" si="291"/>
        <v>4.9249999999999998</v>
      </c>
      <c r="L144" s="140">
        <f t="shared" si="291"/>
        <v>5.4249999999999998</v>
      </c>
      <c r="M144" s="140">
        <f t="shared" si="291"/>
        <v>5.9249999999999998</v>
      </c>
      <c r="N144" s="140">
        <f t="shared" si="291"/>
        <v>6.4249999999999998</v>
      </c>
      <c r="O144" s="140">
        <f t="shared" si="291"/>
        <v>6.9249999999999998</v>
      </c>
      <c r="P144" s="140">
        <f t="shared" si="291"/>
        <v>7.4249999999999998</v>
      </c>
      <c r="Q144" s="140">
        <f t="shared" si="291"/>
        <v>7.9249999999999998</v>
      </c>
      <c r="R144" s="140">
        <f t="shared" si="291"/>
        <v>8.4250000000000007</v>
      </c>
      <c r="S144" s="140">
        <f t="shared" si="291"/>
        <v>8.9222222222222225</v>
      </c>
      <c r="T144" s="140">
        <f t="shared" si="291"/>
        <v>9.4222222222222225</v>
      </c>
      <c r="U144" s="140">
        <f t="shared" si="291"/>
        <v>9.9222222222222225</v>
      </c>
      <c r="V144" s="140">
        <f t="shared" si="291"/>
        <v>10.422222222222222</v>
      </c>
      <c r="W144" s="140">
        <f t="shared" si="291"/>
        <v>10.922222222222222</v>
      </c>
      <c r="X144" s="140">
        <f t="shared" si="291"/>
        <v>11.422222222222222</v>
      </c>
      <c r="Y144" s="140">
        <f t="shared" si="291"/>
        <v>11.922222222222222</v>
      </c>
      <c r="Z144" s="140">
        <f t="shared" si="291"/>
        <v>12.422222222222222</v>
      </c>
      <c r="AA144" s="140">
        <f t="shared" si="291"/>
        <v>12.919444444444444</v>
      </c>
      <c r="AB144" s="140">
        <f t="shared" si="291"/>
        <v>13.419444444444444</v>
      </c>
      <c r="AC144" s="140">
        <f t="shared" si="291"/>
        <v>13.919444444444444</v>
      </c>
      <c r="AD144" s="140">
        <f t="shared" si="291"/>
        <v>14.419444444444444</v>
      </c>
      <c r="AE144" s="140">
        <f t="shared" si="291"/>
        <v>14.919444444444444</v>
      </c>
      <c r="AF144" s="140">
        <f t="shared" si="291"/>
        <v>15.419444444444444</v>
      </c>
      <c r="AG144" s="140">
        <f t="shared" si="291"/>
        <v>15.919444444444444</v>
      </c>
      <c r="AH144" s="140">
        <f t="shared" si="291"/>
        <v>16.419444444444444</v>
      </c>
      <c r="AI144" s="140">
        <f t="shared" si="291"/>
        <v>16.916666666666668</v>
      </c>
      <c r="AJ144" s="140">
        <f t="shared" si="291"/>
        <v>17.416666666666668</v>
      </c>
      <c r="AK144" s="140">
        <f t="shared" si="291"/>
        <v>17.916666666666668</v>
      </c>
      <c r="AL144" s="140">
        <f t="shared" si="291"/>
        <v>18.416666666666668</v>
      </c>
      <c r="AM144" s="140">
        <f t="shared" si="291"/>
        <v>18.916666666666668</v>
      </c>
      <c r="AN144" s="140">
        <f t="shared" si="291"/>
        <v>19.416666666666668</v>
      </c>
      <c r="AO144" s="140">
        <f t="shared" si="291"/>
        <v>19.916666666666668</v>
      </c>
      <c r="AP144" s="140">
        <f t="shared" si="291"/>
        <v>20.416666666666668</v>
      </c>
      <c r="AQ144" s="140">
        <f t="shared" si="291"/>
        <v>20.913888888888888</v>
      </c>
      <c r="AR144" s="140">
        <f t="shared" si="291"/>
        <v>21.413888888888888</v>
      </c>
      <c r="AS144" s="140">
        <f t="shared" si="291"/>
        <v>21.913888888888888</v>
      </c>
      <c r="AT144" s="140">
        <f t="shared" si="291"/>
        <v>22.413888888888888</v>
      </c>
      <c r="AU144" s="140">
        <f t="shared" si="291"/>
        <v>22.913888888888888</v>
      </c>
      <c r="AV144" s="140">
        <f t="shared" si="291"/>
        <v>23.413888888888888</v>
      </c>
      <c r="AW144" s="140">
        <f t="shared" si="291"/>
        <v>23.913888888888888</v>
      </c>
      <c r="AX144" s="140">
        <f t="shared" si="291"/>
        <v>24.413888888888888</v>
      </c>
      <c r="AY144" s="140">
        <f t="shared" si="291"/>
        <v>24.913888888888888</v>
      </c>
      <c r="AZ144" s="140">
        <f t="shared" si="291"/>
        <v>25.411111111111111</v>
      </c>
      <c r="BA144" s="140">
        <f t="shared" si="291"/>
        <v>25.913888888888888</v>
      </c>
      <c r="BB144" s="140">
        <f t="shared" si="291"/>
        <v>26.411111111111111</v>
      </c>
      <c r="BC144" s="140">
        <f t="shared" si="291"/>
        <v>26.913888888888888</v>
      </c>
      <c r="BD144" s="140">
        <f t="shared" si="291"/>
        <v>27.411111111111111</v>
      </c>
      <c r="BE144" s="140">
        <f t="shared" si="291"/>
        <v>27.913888888888888</v>
      </c>
      <c r="BF144" s="140">
        <f t="shared" si="291"/>
        <v>28.411111111111111</v>
      </c>
      <c r="BG144" s="140">
        <f t="shared" si="291"/>
        <v>28.911111111111111</v>
      </c>
      <c r="BH144" s="140">
        <f t="shared" si="291"/>
        <v>29.408333333333335</v>
      </c>
      <c r="BI144" s="140">
        <f t="shared" si="291"/>
        <v>29.911111111111111</v>
      </c>
      <c r="BJ144" s="140">
        <f t="shared" si="291"/>
        <v>30.408333333333335</v>
      </c>
      <c r="BK144" s="140">
        <f t="shared" si="291"/>
        <v>30.911111111111111</v>
      </c>
      <c r="BL144" s="140">
        <f t="shared" si="291"/>
        <v>31.408333333333335</v>
      </c>
      <c r="BM144" s="140">
        <f t="shared" si="291"/>
        <v>31.911111111111111</v>
      </c>
      <c r="BN144" s="140">
        <f t="shared" si="291"/>
        <v>32.408333333333331</v>
      </c>
      <c r="BO144" s="140">
        <f t="shared" ref="BO144:CB144" si="292">BO143/360</f>
        <v>32.908333333333331</v>
      </c>
      <c r="BP144" s="140">
        <f t="shared" si="292"/>
        <v>33.405555555555559</v>
      </c>
      <c r="BQ144" s="140">
        <f t="shared" si="292"/>
        <v>33.908333333333331</v>
      </c>
      <c r="BR144" s="140">
        <f t="shared" si="292"/>
        <v>34.405555555555559</v>
      </c>
      <c r="BS144" s="140">
        <f t="shared" si="292"/>
        <v>34.908333333333331</v>
      </c>
      <c r="BT144" s="140">
        <f t="shared" si="292"/>
        <v>35.405555555555559</v>
      </c>
      <c r="BU144" s="140">
        <f t="shared" si="292"/>
        <v>35.908333333333331</v>
      </c>
      <c r="BV144" s="140">
        <f t="shared" si="292"/>
        <v>36.405555555555559</v>
      </c>
      <c r="BW144" s="140">
        <f t="shared" si="292"/>
        <v>36.905555555555559</v>
      </c>
      <c r="BX144" s="140">
        <f t="shared" si="292"/>
        <v>37.402777777777779</v>
      </c>
      <c r="BY144" s="140">
        <f t="shared" si="292"/>
        <v>37.905555555555559</v>
      </c>
      <c r="BZ144" s="140">
        <f t="shared" si="292"/>
        <v>38.402777777777779</v>
      </c>
      <c r="CA144" s="140">
        <f t="shared" si="292"/>
        <v>38.905555555555559</v>
      </c>
      <c r="CB144" s="140">
        <f t="shared" si="292"/>
        <v>39.402777777777779</v>
      </c>
      <c r="CC144" s="17"/>
      <c r="CD144" s="17"/>
      <c r="CE144" s="17"/>
    </row>
    <row r="145" spans="1:83">
      <c r="A145" s="16" t="s">
        <v>43</v>
      </c>
      <c r="B145" s="140">
        <f>IF(B143&lt;0,0,$B$5+$B$6*((1-EXP(-B144/$B$9))/(B144/$B$9))+$B$7*((1-EXP(-B144/$B$9))/(B144/$B$9)-EXP(-B144/$B$9))+$B$8*((1-EXP(-B144/$B$10))/(B144/$B$10)-EXP(-B144/$B$10)))</f>
        <v>7.5178291275441846E-3</v>
      </c>
      <c r="C145" s="140">
        <f t="shared" ref="C145:BN145" si="293">IF(C143&lt;0,0,$B$5+$B$6*((1-EXP(-C144/$B$9))/(C144/$B$9))+$B$7*((1-EXP(-C144/$B$9))/(C144/$B$9)-EXP(-C144/$B$9))+$B$8*((1-EXP(-C144/$B$10))/(C144/$B$10)-EXP(-C144/$B$10)))</f>
        <v>6.7011472511378069E-3</v>
      </c>
      <c r="D145" s="140">
        <f t="shared" si="293"/>
        <v>6.071074199007832E-3</v>
      </c>
      <c r="E145" s="140">
        <f t="shared" si="293"/>
        <v>5.6069206740007056E-3</v>
      </c>
      <c r="F145" s="140">
        <f t="shared" si="293"/>
        <v>5.2858449728529003E-3</v>
      </c>
      <c r="G145" s="140">
        <f t="shared" si="293"/>
        <v>5.0876729952586902E-3</v>
      </c>
      <c r="H145" s="140">
        <f t="shared" si="293"/>
        <v>4.9946056411776336E-3</v>
      </c>
      <c r="I145" s="140">
        <f t="shared" si="293"/>
        <v>4.9909573396096762E-3</v>
      </c>
      <c r="J145" s="140">
        <f t="shared" si="293"/>
        <v>5.0629224529646338E-3</v>
      </c>
      <c r="K145" s="140">
        <f t="shared" si="293"/>
        <v>5.1974590140624792E-3</v>
      </c>
      <c r="L145" s="140">
        <f t="shared" si="293"/>
        <v>5.3854663484793983E-3</v>
      </c>
      <c r="M145" s="140">
        <f t="shared" si="293"/>
        <v>5.6170212245023766E-3</v>
      </c>
      <c r="N145" s="140">
        <f t="shared" si="293"/>
        <v>5.883957142125423E-3</v>
      </c>
      <c r="O145" s="140">
        <f t="shared" si="293"/>
        <v>6.1791461709493935E-3</v>
      </c>
      <c r="P145" s="140">
        <f t="shared" si="293"/>
        <v>6.4963807917341639E-3</v>
      </c>
      <c r="Q145" s="140">
        <f t="shared" si="293"/>
        <v>6.8302685538631971E-3</v>
      </c>
      <c r="R145" s="140">
        <f t="shared" si="293"/>
        <v>7.1761381929329035E-3</v>
      </c>
      <c r="S145" s="140">
        <f t="shared" si="293"/>
        <v>7.5279749985583087E-3</v>
      </c>
      <c r="T145" s="140">
        <f t="shared" si="293"/>
        <v>7.8862540885951942E-3</v>
      </c>
      <c r="U145" s="140">
        <f t="shared" si="293"/>
        <v>8.2460520885848342E-3</v>
      </c>
      <c r="V145" s="140">
        <f t="shared" si="293"/>
        <v>8.6048306409827729E-3</v>
      </c>
      <c r="W145" s="140">
        <f t="shared" si="293"/>
        <v>8.9604370030668505E-3</v>
      </c>
      <c r="X145" s="140">
        <f t="shared" si="293"/>
        <v>9.3110573958131541E-3</v>
      </c>
      <c r="Y145" s="140">
        <f t="shared" si="293"/>
        <v>9.6551755623593243E-3</v>
      </c>
      <c r="Z145" s="140">
        <f t="shared" si="293"/>
        <v>9.9915359759063689E-3</v>
      </c>
      <c r="AA145" s="140">
        <f t="shared" si="293"/>
        <v>1.0317317206989076E-2</v>
      </c>
      <c r="AB145" s="140">
        <f t="shared" si="293"/>
        <v>1.0635334301942485E-2</v>
      </c>
      <c r="AC145" s="140">
        <f t="shared" si="293"/>
        <v>1.0943086305924174E-2</v>
      </c>
      <c r="AD145" s="140">
        <f t="shared" si="293"/>
        <v>1.1240068431308023E-2</v>
      </c>
      <c r="AE145" s="140">
        <f t="shared" si="293"/>
        <v>1.1525906703841415E-2</v>
      </c>
      <c r="AF145" s="140">
        <f t="shared" si="293"/>
        <v>1.1800340199213361E-2</v>
      </c>
      <c r="AG145" s="140">
        <f t="shared" si="293"/>
        <v>1.206320535827007E-2</v>
      </c>
      <c r="AH145" s="140">
        <f t="shared" si="293"/>
        <v>1.2314422151963982E-2</v>
      </c>
      <c r="AI145" s="140">
        <f t="shared" si="293"/>
        <v>1.255268313484419E-2</v>
      </c>
      <c r="AJ145" s="140">
        <f t="shared" si="293"/>
        <v>1.2780701976313534E-2</v>
      </c>
      <c r="AK145" s="140">
        <f t="shared" si="293"/>
        <v>1.2997218099835794E-2</v>
      </c>
      <c r="AL145" s="140">
        <f t="shared" si="293"/>
        <v>1.3202377310585484E-2</v>
      </c>
      <c r="AM145" s="140">
        <f t="shared" si="293"/>
        <v>1.3396361114905693E-2</v>
      </c>
      <c r="AN145" s="140">
        <f t="shared" si="293"/>
        <v>1.3579380375178902E-2</v>
      </c>
      <c r="AO145" s="140">
        <f t="shared" si="293"/>
        <v>1.375166977054984E-2</v>
      </c>
      <c r="AP145" s="140">
        <f t="shared" si="293"/>
        <v>1.3913482971407133E-2</v>
      </c>
      <c r="AQ145" s="140">
        <f t="shared" si="293"/>
        <v>1.4064273880915284E-2</v>
      </c>
      <c r="AR145" s="140">
        <f t="shared" si="293"/>
        <v>1.4206005625997213E-2</v>
      </c>
      <c r="AS145" s="140">
        <f t="shared" si="293"/>
        <v>1.4338095309882903E-2</v>
      </c>
      <c r="AT145" s="140">
        <f t="shared" si="293"/>
        <v>1.4460835874767411E-2</v>
      </c>
      <c r="AU145" s="140">
        <f t="shared" si="293"/>
        <v>1.4574523267195862E-2</v>
      </c>
      <c r="AV145" s="140">
        <f t="shared" si="293"/>
        <v>1.4679454452561039E-2</v>
      </c>
      <c r="AW145" s="140">
        <f t="shared" si="293"/>
        <v>1.4775925727364806E-2</v>
      </c>
      <c r="AX145" s="140">
        <f t="shared" si="293"/>
        <v>1.4864231293055865E-2</v>
      </c>
      <c r="AY145" s="140">
        <f t="shared" si="293"/>
        <v>1.4944662059320197E-2</v>
      </c>
      <c r="AZ145" s="140">
        <f t="shared" si="293"/>
        <v>1.5017120408898682E-2</v>
      </c>
      <c r="BA145" s="140">
        <f t="shared" si="293"/>
        <v>1.5083040574628941E-2</v>
      </c>
      <c r="BB145" s="140">
        <f t="shared" si="293"/>
        <v>1.5141239474631481E-2</v>
      </c>
      <c r="BC145" s="140">
        <f t="shared" si="293"/>
        <v>1.5193289092222268E-2</v>
      </c>
      <c r="BD145" s="140">
        <f t="shared" si="293"/>
        <v>1.5238299942890596E-2</v>
      </c>
      <c r="BE145" s="140">
        <f t="shared" si="293"/>
        <v>1.527753543762804E-2</v>
      </c>
      <c r="BF145" s="140">
        <f t="shared" si="293"/>
        <v>1.5310375069961416E-2</v>
      </c>
      <c r="BG145" s="140">
        <f t="shared" si="293"/>
        <v>1.5337659515849889E-2</v>
      </c>
      <c r="BH145" s="140">
        <f t="shared" si="293"/>
        <v>1.5359316303692631E-2</v>
      </c>
      <c r="BI145" s="140">
        <f t="shared" si="293"/>
        <v>1.537588957827214E-2</v>
      </c>
      <c r="BJ145" s="140">
        <f t="shared" si="293"/>
        <v>1.5387229871282472E-2</v>
      </c>
      <c r="BK145" s="140">
        <f t="shared" si="293"/>
        <v>1.5393803071355523E-2</v>
      </c>
      <c r="BL145" s="140">
        <f t="shared" si="293"/>
        <v>1.5395665902708204E-2</v>
      </c>
      <c r="BM145" s="140">
        <f t="shared" si="293"/>
        <v>1.5393057634520075E-2</v>
      </c>
      <c r="BN145" s="140">
        <f t="shared" si="293"/>
        <v>1.5386223520528881E-2</v>
      </c>
      <c r="BO145" s="140">
        <f t="shared" ref="BO145:CB145" si="294">IF(BO143&lt;0,0,$B$5+$B$6*((1-EXP(-BO144/$B$9))/(BO144/$B$9))+$B$7*((1-EXP(-BO144/$B$9))/(BO144/$B$9)-EXP(-BO144/$B$9))+$B$8*((1-EXP(-BO144/$B$10))/(BO144/$B$10)-EXP(-BO144/$B$10)))</f>
        <v>1.5375266164892858E-2</v>
      </c>
      <c r="BP145" s="140">
        <f t="shared" si="294"/>
        <v>1.5360480357719589E-2</v>
      </c>
      <c r="BQ145" s="140">
        <f t="shared" si="294"/>
        <v>1.5341755010097264E-2</v>
      </c>
      <c r="BR145" s="140">
        <f t="shared" si="294"/>
        <v>1.5319664715571486E-2</v>
      </c>
      <c r="BS145" s="140">
        <f t="shared" si="294"/>
        <v>1.5293872651457237E-2</v>
      </c>
      <c r="BT145" s="140">
        <f t="shared" si="294"/>
        <v>1.5265097246001452E-2</v>
      </c>
      <c r="BU145" s="140">
        <f t="shared" si="294"/>
        <v>1.5232840164125322E-2</v>
      </c>
      <c r="BV145" s="140">
        <f t="shared" si="294"/>
        <v>1.5197951154405212E-2</v>
      </c>
      <c r="BW145" s="140">
        <f t="shared" si="294"/>
        <v>1.5160002549743055E-2</v>
      </c>
      <c r="BX145" s="140">
        <f t="shared" si="294"/>
        <v>1.5119541549907991E-2</v>
      </c>
      <c r="BY145" s="140">
        <f t="shared" si="294"/>
        <v>1.5075989779709816E-2</v>
      </c>
      <c r="BZ145" s="140">
        <f t="shared" si="294"/>
        <v>1.5030425859310428E-2</v>
      </c>
      <c r="CA145" s="140">
        <f t="shared" si="294"/>
        <v>1.4981944697418547E-2</v>
      </c>
      <c r="CB145" s="140">
        <f t="shared" si="294"/>
        <v>1.4931724600696372E-2</v>
      </c>
      <c r="CC145" s="17"/>
      <c r="CD145" s="17"/>
      <c r="CE145" s="17"/>
    </row>
    <row r="146" spans="1:83">
      <c r="A146" s="16" t="s">
        <v>44</v>
      </c>
      <c r="B146" s="140">
        <f>EXP(-B145*B144)</f>
        <v>0.99676838983245508</v>
      </c>
      <c r="C146" s="140">
        <f t="shared" ref="C146:AR146" si="295">EXP(-C145*C144)</f>
        <v>0.99380211114022299</v>
      </c>
      <c r="D146" s="140">
        <f t="shared" si="295"/>
        <v>0.99136931522427463</v>
      </c>
      <c r="E146" s="140">
        <f t="shared" si="295"/>
        <v>0.98924930914711862</v>
      </c>
      <c r="F146" s="140">
        <f t="shared" si="295"/>
        <v>0.98724913305025608</v>
      </c>
      <c r="G146" s="140">
        <f t="shared" si="295"/>
        <v>0.98521481436638114</v>
      </c>
      <c r="H146" s="140">
        <f t="shared" si="295"/>
        <v>0.98302532300518553</v>
      </c>
      <c r="I146" s="140">
        <f t="shared" si="295"/>
        <v>0.98058752531432636</v>
      </c>
      <c r="J146" s="140">
        <f t="shared" si="295"/>
        <v>0.97783190937091802</v>
      </c>
      <c r="K146" s="140">
        <f t="shared" si="295"/>
        <v>0.9747273524100285</v>
      </c>
      <c r="L146" s="140">
        <f t="shared" si="295"/>
        <v>0.97120651069061703</v>
      </c>
      <c r="M146" s="140">
        <f t="shared" si="295"/>
        <v>0.96726686380867744</v>
      </c>
      <c r="N146" s="140">
        <f t="shared" si="295"/>
        <v>0.962901242235918</v>
      </c>
      <c r="O146" s="140">
        <f t="shared" si="295"/>
        <v>0.95811200994642431</v>
      </c>
      <c r="P146" s="140">
        <f t="shared" si="295"/>
        <v>0.95290922911881615</v>
      </c>
      <c r="Q146" s="140">
        <f t="shared" si="295"/>
        <v>0.94730906363098732</v>
      </c>
      <c r="R146" s="140">
        <f t="shared" si="295"/>
        <v>0.94133239648277012</v>
      </c>
      <c r="S146" s="140">
        <f t="shared" si="295"/>
        <v>0.93503972326502927</v>
      </c>
      <c r="T146" s="140">
        <f t="shared" si="295"/>
        <v>0.92838752801220947</v>
      </c>
      <c r="U146" s="140">
        <f t="shared" si="295"/>
        <v>0.92143857540401286</v>
      </c>
      <c r="V146" s="140">
        <f t="shared" si="295"/>
        <v>0.91422235791164241</v>
      </c>
      <c r="W146" s="140">
        <f t="shared" si="295"/>
        <v>0.90676869435225049</v>
      </c>
      <c r="X146" s="140">
        <f t="shared" si="295"/>
        <v>0.89910723714807328</v>
      </c>
      <c r="Y146" s="140">
        <f t="shared" si="295"/>
        <v>0.89126707526993099</v>
      </c>
      <c r="Z146" s="140">
        <f t="shared" si="295"/>
        <v>0.88327642061858935</v>
      </c>
      <c r="AA146" s="140">
        <f t="shared" si="295"/>
        <v>0.87520773754000913</v>
      </c>
      <c r="AB146" s="140">
        <f t="shared" si="295"/>
        <v>0.86699655315175372</v>
      </c>
      <c r="AC146" s="140">
        <f t="shared" si="295"/>
        <v>0.85871200420982086</v>
      </c>
      <c r="AD146" s="140">
        <f t="shared" si="295"/>
        <v>0.85037696268469787</v>
      </c>
      <c r="AE146" s="140">
        <f t="shared" si="295"/>
        <v>0.84201274797650072</v>
      </c>
      <c r="AF146" s="140">
        <f t="shared" si="295"/>
        <v>0.83363911164203797</v>
      </c>
      <c r="AG146" s="140">
        <f t="shared" si="295"/>
        <v>0.82527424680026606</v>
      </c>
      <c r="AH146" s="140">
        <f t="shared" si="295"/>
        <v>0.81693481721985328</v>
      </c>
      <c r="AI146" s="140">
        <f t="shared" si="295"/>
        <v>0.80868196822565119</v>
      </c>
      <c r="AJ146" s="140">
        <f t="shared" si="295"/>
        <v>0.80043717959164518</v>
      </c>
      <c r="AK146" s="140">
        <f t="shared" si="295"/>
        <v>0.79225907616494606</v>
      </c>
      <c r="AL146" s="140">
        <f t="shared" si="295"/>
        <v>0.78415875764397203</v>
      </c>
      <c r="AM146" s="140">
        <f t="shared" si="295"/>
        <v>0.77614610432099929</v>
      </c>
      <c r="AN146" s="140">
        <f t="shared" si="295"/>
        <v>0.76822985343556505</v>
      </c>
      <c r="AO146" s="140">
        <f t="shared" si="295"/>
        <v>0.76041767603630428</v>
      </c>
      <c r="AP146" s="140">
        <f t="shared" si="295"/>
        <v>0.75271625318298629</v>
      </c>
      <c r="AQ146" s="140">
        <f t="shared" si="295"/>
        <v>0.74517315763897118</v>
      </c>
      <c r="AR146" s="140">
        <f t="shared" si="295"/>
        <v>0.73770901110615905</v>
      </c>
      <c r="AS146" s="140">
        <f>EXP(-AS145*AS144)</f>
        <v>0.73037043561491855</v>
      </c>
      <c r="AT146" s="140">
        <f t="shared" ref="AT146:CA146" si="296">EXP(-AT145*AT144)</f>
        <v>0.72316087692664144</v>
      </c>
      <c r="AU146" s="140">
        <f t="shared" si="296"/>
        <v>0.71608313619838471</v>
      </c>
      <c r="AV146" s="140">
        <f t="shared" si="296"/>
        <v>0.70913942930432949</v>
      </c>
      <c r="AW146" s="140">
        <f t="shared" si="296"/>
        <v>0.70233144249397861</v>
      </c>
      <c r="AX146" s="140">
        <f t="shared" si="296"/>
        <v>0.69566038438372657</v>
      </c>
      <c r="AY146" s="140">
        <f t="shared" si="296"/>
        <v>0.68912703433059475</v>
      </c>
      <c r="AZ146" s="140">
        <f t="shared" si="296"/>
        <v>0.68276693469645455</v>
      </c>
      <c r="BA146" s="140">
        <f t="shared" si="296"/>
        <v>0.67647469518828796</v>
      </c>
      <c r="BB146" s="140">
        <f t="shared" si="296"/>
        <v>0.67038912062913925</v>
      </c>
      <c r="BC146" s="140">
        <f t="shared" si="296"/>
        <v>0.66437369477087937</v>
      </c>
      <c r="BD146" s="140">
        <f t="shared" si="296"/>
        <v>0.6585606011980486</v>
      </c>
      <c r="BE146" s="140">
        <f t="shared" si="296"/>
        <v>0.65281896322123945</v>
      </c>
      <c r="BF146" s="140">
        <f t="shared" si="296"/>
        <v>0.64727452676398056</v>
      </c>
      <c r="BG146" s="140">
        <f t="shared" si="296"/>
        <v>0.64183194437422786</v>
      </c>
      <c r="BH146" s="140">
        <f t="shared" si="296"/>
        <v>0.63655026470516396</v>
      </c>
      <c r="BI146" s="140">
        <f t="shared" si="296"/>
        <v>0.63134050045711043</v>
      </c>
      <c r="BJ146" s="140">
        <f t="shared" si="296"/>
        <v>0.62631614274493486</v>
      </c>
      <c r="BK146" s="140">
        <f t="shared" si="296"/>
        <v>0.62136316752085541</v>
      </c>
      <c r="BL146" s="140">
        <f t="shared" si="296"/>
        <v>0.61658924472100729</v>
      </c>
      <c r="BM146" s="140">
        <f t="shared" si="296"/>
        <v>0.61188582611178854</v>
      </c>
      <c r="BN146" s="140">
        <f t="shared" si="296"/>
        <v>0.60735497254141013</v>
      </c>
      <c r="BO146" s="140">
        <f t="shared" si="296"/>
        <v>0.60291781562286328</v>
      </c>
      <c r="BP146" s="140">
        <f t="shared" si="296"/>
        <v>0.59862173173763877</v>
      </c>
      <c r="BQ146" s="140">
        <f t="shared" si="296"/>
        <v>0.59439372482029196</v>
      </c>
      <c r="BR146" s="140">
        <f t="shared" si="296"/>
        <v>0.59032527793772882</v>
      </c>
      <c r="BS146" s="140">
        <f t="shared" si="296"/>
        <v>0.58632349382674909</v>
      </c>
      <c r="BT146" s="140">
        <f t="shared" si="296"/>
        <v>0.58247486271880033</v>
      </c>
      <c r="BU146" s="140">
        <f t="shared" si="296"/>
        <v>0.57869141688683901</v>
      </c>
      <c r="BV146" s="140">
        <f t="shared" si="296"/>
        <v>0.57505484789965888</v>
      </c>
      <c r="BW146" s="140">
        <f t="shared" si="296"/>
        <v>0.571501416993353</v>
      </c>
      <c r="BX146" s="140">
        <f t="shared" si="296"/>
        <v>0.56806873645729872</v>
      </c>
      <c r="BY146" s="140">
        <f t="shared" si="296"/>
        <v>0.56469824613124342</v>
      </c>
      <c r="BZ146" s="140">
        <f t="shared" si="296"/>
        <v>0.56146260569514594</v>
      </c>
      <c r="CA146" s="140">
        <f t="shared" si="296"/>
        <v>0.55828768677911844</v>
      </c>
      <c r="CB146" s="140">
        <f>EXP(-CB145*CB144)</f>
        <v>0.55524188781643957</v>
      </c>
      <c r="CC146" s="17"/>
      <c r="CD146" s="17"/>
      <c r="CE146" s="17"/>
    </row>
    <row r="147" spans="1:83">
      <c r="A147" s="17"/>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17"/>
      <c r="CD147" s="17"/>
      <c r="CE147" s="17"/>
    </row>
    <row r="148" spans="1:83">
      <c r="A148" s="16" t="s">
        <v>40</v>
      </c>
      <c r="B148" s="140">
        <f t="shared" ref="B148:AG148" si="297">DAYS360($B$3,B50)</f>
        <v>65</v>
      </c>
      <c r="C148" s="140">
        <f t="shared" si="297"/>
        <v>245</v>
      </c>
      <c r="D148" s="140">
        <f t="shared" si="297"/>
        <v>424</v>
      </c>
      <c r="E148" s="140">
        <f t="shared" si="297"/>
        <v>605</v>
      </c>
      <c r="F148" s="140">
        <f t="shared" si="297"/>
        <v>784</v>
      </c>
      <c r="G148" s="140">
        <f t="shared" si="297"/>
        <v>965</v>
      </c>
      <c r="H148" s="140">
        <f t="shared" si="297"/>
        <v>1144</v>
      </c>
      <c r="I148" s="140">
        <f t="shared" si="297"/>
        <v>1325</v>
      </c>
      <c r="J148" s="140">
        <f t="shared" si="297"/>
        <v>1504</v>
      </c>
      <c r="K148" s="140">
        <f t="shared" si="297"/>
        <v>1684</v>
      </c>
      <c r="L148" s="140">
        <f t="shared" si="297"/>
        <v>1863</v>
      </c>
      <c r="M148" s="140">
        <f t="shared" si="297"/>
        <v>2044</v>
      </c>
      <c r="N148" s="140">
        <f t="shared" si="297"/>
        <v>2223</v>
      </c>
      <c r="O148" s="140">
        <f t="shared" si="297"/>
        <v>2404</v>
      </c>
      <c r="P148" s="140">
        <f t="shared" si="297"/>
        <v>2583</v>
      </c>
      <c r="Q148" s="140">
        <f t="shared" si="297"/>
        <v>2764</v>
      </c>
      <c r="R148" s="140">
        <f t="shared" si="297"/>
        <v>2943</v>
      </c>
      <c r="S148" s="140">
        <f t="shared" si="297"/>
        <v>3123</v>
      </c>
      <c r="T148" s="140">
        <f t="shared" si="297"/>
        <v>3302</v>
      </c>
      <c r="U148" s="140">
        <f t="shared" si="297"/>
        <v>3483</v>
      </c>
      <c r="V148" s="140">
        <f t="shared" si="297"/>
        <v>3662</v>
      </c>
      <c r="W148" s="140">
        <f t="shared" si="297"/>
        <v>3843</v>
      </c>
      <c r="X148" s="140">
        <f t="shared" si="297"/>
        <v>4022</v>
      </c>
      <c r="Y148" s="140">
        <f t="shared" si="297"/>
        <v>4203</v>
      </c>
      <c r="Z148" s="140">
        <f t="shared" si="297"/>
        <v>4382</v>
      </c>
      <c r="AA148" s="140">
        <f t="shared" si="297"/>
        <v>4562</v>
      </c>
      <c r="AB148" s="140">
        <f t="shared" si="297"/>
        <v>4741</v>
      </c>
      <c r="AC148" s="140">
        <f t="shared" si="297"/>
        <v>4922</v>
      </c>
      <c r="AD148" s="140">
        <f t="shared" si="297"/>
        <v>5101</v>
      </c>
      <c r="AE148" s="140">
        <f t="shared" si="297"/>
        <v>5282</v>
      </c>
      <c r="AF148" s="140">
        <f t="shared" si="297"/>
        <v>5461</v>
      </c>
      <c r="AG148" s="140">
        <f t="shared" si="297"/>
        <v>5642</v>
      </c>
      <c r="AH148" s="140">
        <f t="shared" ref="AH148:BM148" si="298">DAYS360($B$3,AH50)</f>
        <v>5821</v>
      </c>
      <c r="AI148" s="140">
        <f t="shared" si="298"/>
        <v>6001</v>
      </c>
      <c r="AJ148" s="140">
        <f t="shared" si="298"/>
        <v>6180</v>
      </c>
      <c r="AK148" s="140">
        <f t="shared" si="298"/>
        <v>6361</v>
      </c>
      <c r="AL148" s="140">
        <f t="shared" si="298"/>
        <v>6540</v>
      </c>
      <c r="AM148" s="140">
        <f t="shared" si="298"/>
        <v>6721</v>
      </c>
      <c r="AN148" s="140">
        <f t="shared" si="298"/>
        <v>6900</v>
      </c>
      <c r="AO148" s="140">
        <f t="shared" si="298"/>
        <v>7081</v>
      </c>
      <c r="AP148" s="140">
        <f t="shared" si="298"/>
        <v>7260</v>
      </c>
      <c r="AQ148" s="140">
        <f t="shared" si="298"/>
        <v>7440</v>
      </c>
      <c r="AR148" s="140">
        <f t="shared" si="298"/>
        <v>7619</v>
      </c>
      <c r="AS148" s="140">
        <f t="shared" si="298"/>
        <v>7800</v>
      </c>
      <c r="AT148" s="140">
        <f t="shared" si="298"/>
        <v>7979</v>
      </c>
      <c r="AU148" s="140">
        <f t="shared" si="298"/>
        <v>8160</v>
      </c>
      <c r="AV148" s="140">
        <f t="shared" si="298"/>
        <v>8339</v>
      </c>
      <c r="AW148" s="140">
        <f t="shared" si="298"/>
        <v>8520</v>
      </c>
      <c r="AX148" s="140">
        <f t="shared" si="298"/>
        <v>8699</v>
      </c>
      <c r="AY148" s="140">
        <f t="shared" si="298"/>
        <v>8879</v>
      </c>
      <c r="AZ148" s="140">
        <f t="shared" si="298"/>
        <v>9059</v>
      </c>
      <c r="BA148" s="140">
        <f t="shared" si="298"/>
        <v>9239</v>
      </c>
      <c r="BB148" s="140">
        <f t="shared" si="298"/>
        <v>9419</v>
      </c>
      <c r="BC148" s="140">
        <f t="shared" si="298"/>
        <v>9599</v>
      </c>
      <c r="BD148" s="140">
        <f t="shared" si="298"/>
        <v>9779</v>
      </c>
      <c r="BE148" s="140">
        <f t="shared" si="298"/>
        <v>9959</v>
      </c>
      <c r="BF148" s="140">
        <f t="shared" si="298"/>
        <v>10139</v>
      </c>
      <c r="BG148" s="140">
        <f t="shared" si="298"/>
        <v>10317</v>
      </c>
      <c r="BH148" s="140">
        <f t="shared" si="298"/>
        <v>10498</v>
      </c>
      <c r="BI148" s="140">
        <f t="shared" si="298"/>
        <v>10676</v>
      </c>
      <c r="BJ148" s="140">
        <f t="shared" si="298"/>
        <v>10858</v>
      </c>
      <c r="BK148" s="140">
        <f t="shared" si="298"/>
        <v>11036</v>
      </c>
      <c r="BL148" s="140">
        <f t="shared" si="298"/>
        <v>11218</v>
      </c>
      <c r="BM148" s="140">
        <f t="shared" si="298"/>
        <v>11396</v>
      </c>
      <c r="BN148" s="140">
        <f t="shared" ref="BN148:CB148" si="299">DAYS360($B$3,BN50)</f>
        <v>11578</v>
      </c>
      <c r="BO148" s="140">
        <f t="shared" si="299"/>
        <v>11756</v>
      </c>
      <c r="BP148" s="140">
        <f t="shared" si="299"/>
        <v>11937</v>
      </c>
      <c r="BQ148" s="140">
        <f t="shared" si="299"/>
        <v>12115</v>
      </c>
      <c r="BR148" s="140">
        <f t="shared" si="299"/>
        <v>12297</v>
      </c>
      <c r="BS148" s="140">
        <f t="shared" si="299"/>
        <v>12475</v>
      </c>
      <c r="BT148" s="140">
        <f t="shared" si="299"/>
        <v>12657</v>
      </c>
      <c r="BU148" s="140">
        <f t="shared" si="299"/>
        <v>12835</v>
      </c>
      <c r="BV148" s="140">
        <f t="shared" si="299"/>
        <v>13017</v>
      </c>
      <c r="BW148" s="140">
        <f t="shared" si="299"/>
        <v>13195</v>
      </c>
      <c r="BX148" s="140">
        <f t="shared" si="299"/>
        <v>13376</v>
      </c>
      <c r="BY148" s="140">
        <f t="shared" si="299"/>
        <v>13554</v>
      </c>
      <c r="BZ148" s="140">
        <f t="shared" si="299"/>
        <v>13736</v>
      </c>
      <c r="CA148" s="140">
        <f t="shared" si="299"/>
        <v>13914</v>
      </c>
      <c r="CB148" s="140">
        <f t="shared" si="299"/>
        <v>14096</v>
      </c>
      <c r="CC148" s="17"/>
      <c r="CD148" s="17"/>
      <c r="CE148" s="17"/>
    </row>
    <row r="149" spans="1:83">
      <c r="A149" s="16" t="s">
        <v>41</v>
      </c>
      <c r="B149" s="140">
        <f>B148/360</f>
        <v>0.18055555555555555</v>
      </c>
      <c r="C149" s="140">
        <f t="shared" ref="C149:BN149" si="300">C148/360</f>
        <v>0.68055555555555558</v>
      </c>
      <c r="D149" s="140">
        <f t="shared" si="300"/>
        <v>1.1777777777777778</v>
      </c>
      <c r="E149" s="140">
        <f t="shared" si="300"/>
        <v>1.6805555555555556</v>
      </c>
      <c r="F149" s="140">
        <f t="shared" si="300"/>
        <v>2.1777777777777776</v>
      </c>
      <c r="G149" s="140">
        <f t="shared" si="300"/>
        <v>2.6805555555555554</v>
      </c>
      <c r="H149" s="140">
        <f t="shared" si="300"/>
        <v>3.1777777777777776</v>
      </c>
      <c r="I149" s="140">
        <f t="shared" si="300"/>
        <v>3.6805555555555554</v>
      </c>
      <c r="J149" s="140">
        <f t="shared" si="300"/>
        <v>4.177777777777778</v>
      </c>
      <c r="K149" s="140">
        <f t="shared" si="300"/>
        <v>4.677777777777778</v>
      </c>
      <c r="L149" s="140">
        <f t="shared" si="300"/>
        <v>5.1749999999999998</v>
      </c>
      <c r="M149" s="140">
        <f t="shared" si="300"/>
        <v>5.677777777777778</v>
      </c>
      <c r="N149" s="140">
        <f t="shared" si="300"/>
        <v>6.1749999999999998</v>
      </c>
      <c r="O149" s="140">
        <f t="shared" si="300"/>
        <v>6.677777777777778</v>
      </c>
      <c r="P149" s="140">
        <f t="shared" si="300"/>
        <v>7.1749999999999998</v>
      </c>
      <c r="Q149" s="140">
        <f t="shared" si="300"/>
        <v>7.677777777777778</v>
      </c>
      <c r="R149" s="140">
        <f t="shared" si="300"/>
        <v>8.1750000000000007</v>
      </c>
      <c r="S149" s="140">
        <f t="shared" si="300"/>
        <v>8.6750000000000007</v>
      </c>
      <c r="T149" s="140">
        <f t="shared" si="300"/>
        <v>9.1722222222222225</v>
      </c>
      <c r="U149" s="140">
        <f t="shared" si="300"/>
        <v>9.6750000000000007</v>
      </c>
      <c r="V149" s="140">
        <f t="shared" si="300"/>
        <v>10.172222222222222</v>
      </c>
      <c r="W149" s="140">
        <f t="shared" si="300"/>
        <v>10.675000000000001</v>
      </c>
      <c r="X149" s="140">
        <f t="shared" si="300"/>
        <v>11.172222222222222</v>
      </c>
      <c r="Y149" s="140">
        <f t="shared" si="300"/>
        <v>11.675000000000001</v>
      </c>
      <c r="Z149" s="140">
        <f t="shared" si="300"/>
        <v>12.172222222222222</v>
      </c>
      <c r="AA149" s="140">
        <f t="shared" si="300"/>
        <v>12.672222222222222</v>
      </c>
      <c r="AB149" s="140">
        <f t="shared" si="300"/>
        <v>13.169444444444444</v>
      </c>
      <c r="AC149" s="140">
        <f t="shared" si="300"/>
        <v>13.672222222222222</v>
      </c>
      <c r="AD149" s="140">
        <f t="shared" si="300"/>
        <v>14.169444444444444</v>
      </c>
      <c r="AE149" s="140">
        <f t="shared" si="300"/>
        <v>14.672222222222222</v>
      </c>
      <c r="AF149" s="140">
        <f t="shared" si="300"/>
        <v>15.169444444444444</v>
      </c>
      <c r="AG149" s="140">
        <f t="shared" si="300"/>
        <v>15.672222222222222</v>
      </c>
      <c r="AH149" s="140">
        <f t="shared" si="300"/>
        <v>16.169444444444444</v>
      </c>
      <c r="AI149" s="140">
        <f t="shared" si="300"/>
        <v>16.669444444444444</v>
      </c>
      <c r="AJ149" s="140">
        <f t="shared" si="300"/>
        <v>17.166666666666668</v>
      </c>
      <c r="AK149" s="140">
        <f t="shared" si="300"/>
        <v>17.669444444444444</v>
      </c>
      <c r="AL149" s="140">
        <f t="shared" si="300"/>
        <v>18.166666666666668</v>
      </c>
      <c r="AM149" s="140">
        <f t="shared" si="300"/>
        <v>18.669444444444444</v>
      </c>
      <c r="AN149" s="140">
        <f t="shared" si="300"/>
        <v>19.166666666666668</v>
      </c>
      <c r="AO149" s="140">
        <f t="shared" si="300"/>
        <v>19.669444444444444</v>
      </c>
      <c r="AP149" s="140">
        <f t="shared" si="300"/>
        <v>20.166666666666668</v>
      </c>
      <c r="AQ149" s="140">
        <f t="shared" si="300"/>
        <v>20.666666666666668</v>
      </c>
      <c r="AR149" s="140">
        <f t="shared" si="300"/>
        <v>21.163888888888888</v>
      </c>
      <c r="AS149" s="140">
        <f t="shared" si="300"/>
        <v>21.666666666666668</v>
      </c>
      <c r="AT149" s="140">
        <f t="shared" si="300"/>
        <v>22.163888888888888</v>
      </c>
      <c r="AU149" s="140">
        <f t="shared" si="300"/>
        <v>22.666666666666668</v>
      </c>
      <c r="AV149" s="140">
        <f t="shared" si="300"/>
        <v>23.163888888888888</v>
      </c>
      <c r="AW149" s="140">
        <f t="shared" si="300"/>
        <v>23.666666666666668</v>
      </c>
      <c r="AX149" s="140">
        <f t="shared" si="300"/>
        <v>24.163888888888888</v>
      </c>
      <c r="AY149" s="140">
        <f t="shared" si="300"/>
        <v>24.663888888888888</v>
      </c>
      <c r="AZ149" s="140">
        <f t="shared" si="300"/>
        <v>25.163888888888888</v>
      </c>
      <c r="BA149" s="140">
        <f t="shared" si="300"/>
        <v>25.663888888888888</v>
      </c>
      <c r="BB149" s="140">
        <f t="shared" si="300"/>
        <v>26.163888888888888</v>
      </c>
      <c r="BC149" s="140">
        <f t="shared" si="300"/>
        <v>26.663888888888888</v>
      </c>
      <c r="BD149" s="140">
        <f t="shared" si="300"/>
        <v>27.163888888888888</v>
      </c>
      <c r="BE149" s="140">
        <f t="shared" si="300"/>
        <v>27.663888888888888</v>
      </c>
      <c r="BF149" s="140">
        <f t="shared" si="300"/>
        <v>28.163888888888888</v>
      </c>
      <c r="BG149" s="140">
        <f t="shared" si="300"/>
        <v>28.658333333333335</v>
      </c>
      <c r="BH149" s="140">
        <f t="shared" si="300"/>
        <v>29.161111111111111</v>
      </c>
      <c r="BI149" s="140">
        <f t="shared" si="300"/>
        <v>29.655555555555555</v>
      </c>
      <c r="BJ149" s="140">
        <f t="shared" si="300"/>
        <v>30.161111111111111</v>
      </c>
      <c r="BK149" s="140">
        <f t="shared" si="300"/>
        <v>30.655555555555555</v>
      </c>
      <c r="BL149" s="140">
        <f t="shared" si="300"/>
        <v>31.161111111111111</v>
      </c>
      <c r="BM149" s="140">
        <f t="shared" si="300"/>
        <v>31.655555555555555</v>
      </c>
      <c r="BN149" s="140">
        <f t="shared" si="300"/>
        <v>32.161111111111111</v>
      </c>
      <c r="BO149" s="140">
        <f t="shared" ref="BO149:CB149" si="301">BO148/360</f>
        <v>32.655555555555559</v>
      </c>
      <c r="BP149" s="140">
        <f t="shared" si="301"/>
        <v>33.158333333333331</v>
      </c>
      <c r="BQ149" s="140">
        <f t="shared" si="301"/>
        <v>33.652777777777779</v>
      </c>
      <c r="BR149" s="140">
        <f t="shared" si="301"/>
        <v>34.158333333333331</v>
      </c>
      <c r="BS149" s="140">
        <f t="shared" si="301"/>
        <v>34.652777777777779</v>
      </c>
      <c r="BT149" s="140">
        <f t="shared" si="301"/>
        <v>35.158333333333331</v>
      </c>
      <c r="BU149" s="140">
        <f t="shared" si="301"/>
        <v>35.652777777777779</v>
      </c>
      <c r="BV149" s="140">
        <f t="shared" si="301"/>
        <v>36.158333333333331</v>
      </c>
      <c r="BW149" s="140">
        <f t="shared" si="301"/>
        <v>36.652777777777779</v>
      </c>
      <c r="BX149" s="140">
        <f t="shared" si="301"/>
        <v>37.155555555555559</v>
      </c>
      <c r="BY149" s="140">
        <f t="shared" si="301"/>
        <v>37.65</v>
      </c>
      <c r="BZ149" s="140">
        <f t="shared" si="301"/>
        <v>38.155555555555559</v>
      </c>
      <c r="CA149" s="140">
        <f t="shared" si="301"/>
        <v>38.65</v>
      </c>
      <c r="CB149" s="140">
        <f t="shared" si="301"/>
        <v>39.155555555555559</v>
      </c>
      <c r="CC149" s="17"/>
      <c r="CD149" s="17"/>
      <c r="CE149" s="17"/>
    </row>
    <row r="150" spans="1:83">
      <c r="A150" s="16" t="s">
        <v>43</v>
      </c>
      <c r="B150" s="140">
        <f>IF(B148&lt;0,0,$B$5+$B$6*((1-EXP(-B149/$B$9))/(B149/$B$9))+$B$7*((1-EXP(-B149/$B$9))/(B149/$B$9)-EXP(-B149/$B$9))+$B$8*((1-EXP(-B149/$B$10))/(B149/$B$10)-EXP(-B149/$B$10)))</f>
        <v>8.0089998754231621E-3</v>
      </c>
      <c r="C150" s="140">
        <f t="shared" ref="C150:BN150" si="302">IF(C148&lt;0,0,$B$5+$B$6*((1-EXP(-C149/$B$9))/(C149/$B$9))+$B$7*((1-EXP(-C149/$B$9))/(C149/$B$9)-EXP(-C149/$B$9))+$B$8*((1-EXP(-C149/$B$10))/(C149/$B$10)-EXP(-C149/$B$10)))</f>
        <v>7.081795042908642E-3</v>
      </c>
      <c r="D150" s="140">
        <f t="shared" si="302"/>
        <v>6.3638302779074722E-3</v>
      </c>
      <c r="E150" s="140">
        <f t="shared" si="302"/>
        <v>5.8171803039087011E-3</v>
      </c>
      <c r="F150" s="140">
        <f t="shared" si="302"/>
        <v>5.4298179092680289E-3</v>
      </c>
      <c r="G150" s="140">
        <f t="shared" si="302"/>
        <v>5.1714658281912067E-3</v>
      </c>
      <c r="H150" s="140">
        <f t="shared" si="302"/>
        <v>5.0290282582097934E-3</v>
      </c>
      <c r="I150" s="140">
        <f t="shared" si="302"/>
        <v>4.9824926512625906E-3</v>
      </c>
      <c r="J150" s="140">
        <f t="shared" si="302"/>
        <v>5.0182835005601594E-3</v>
      </c>
      <c r="K150" s="140">
        <f t="shared" si="302"/>
        <v>5.1234080092308681E-3</v>
      </c>
      <c r="L150" s="140">
        <f t="shared" si="302"/>
        <v>5.2854647456019397E-3</v>
      </c>
      <c r="M150" s="140">
        <f t="shared" si="302"/>
        <v>5.4976254783836625E-3</v>
      </c>
      <c r="N150" s="140">
        <f t="shared" si="302"/>
        <v>5.7465349394749659E-3</v>
      </c>
      <c r="O150" s="140">
        <f t="shared" si="302"/>
        <v>6.0300700245206965E-3</v>
      </c>
      <c r="P150" s="140">
        <f t="shared" si="302"/>
        <v>6.3353627606468369E-3</v>
      </c>
      <c r="Q150" s="140">
        <f t="shared" si="302"/>
        <v>6.6634070893834031E-3</v>
      </c>
      <c r="R150" s="140">
        <f t="shared" si="302"/>
        <v>7.0019717735072739E-3</v>
      </c>
      <c r="S150" s="140">
        <f t="shared" si="302"/>
        <v>7.3522828708339301E-3</v>
      </c>
      <c r="T150" s="140">
        <f t="shared" si="302"/>
        <v>7.7067495770819904E-3</v>
      </c>
      <c r="U150" s="140">
        <f t="shared" si="302"/>
        <v>8.0681309614575349E-3</v>
      </c>
      <c r="V150" s="140">
        <f t="shared" si="302"/>
        <v>8.4257118064160769E-3</v>
      </c>
      <c r="W150" s="140">
        <f t="shared" si="302"/>
        <v>8.7851270874777752E-3</v>
      </c>
      <c r="X150" s="140">
        <f t="shared" si="302"/>
        <v>9.1364717322600306E-3</v>
      </c>
      <c r="Y150" s="140">
        <f t="shared" si="302"/>
        <v>9.485925383519965E-3</v>
      </c>
      <c r="Z150" s="140">
        <f t="shared" si="302"/>
        <v>9.8243946928387067E-3</v>
      </c>
      <c r="AA150" s="140">
        <f t="shared" si="302"/>
        <v>1.0156477855414897E-2</v>
      </c>
      <c r="AB150" s="140">
        <f t="shared" si="302"/>
        <v>1.0477571699326754E-2</v>
      </c>
      <c r="AC150" s="140">
        <f t="shared" si="302"/>
        <v>1.0792237965840369E-2</v>
      </c>
      <c r="AD150" s="140">
        <f t="shared" si="302"/>
        <v>1.1092949823860582E-2</v>
      </c>
      <c r="AE150" s="140">
        <f t="shared" si="302"/>
        <v>1.138598718925311E-2</v>
      </c>
      <c r="AF150" s="140">
        <f t="shared" si="302"/>
        <v>1.1664561382477897E-2</v>
      </c>
      <c r="AG150" s="140">
        <f t="shared" si="302"/>
        <v>1.1934685830730572E-2</v>
      </c>
      <c r="AH150" s="140">
        <f t="shared" si="302"/>
        <v>1.219027188343912E-2</v>
      </c>
      <c r="AI150" s="140">
        <f t="shared" si="302"/>
        <v>1.2435657212417798E-2</v>
      </c>
      <c r="AJ150" s="140">
        <f t="shared" si="302"/>
        <v>1.2668137921914711E-2</v>
      </c>
      <c r="AK150" s="140">
        <f t="shared" si="302"/>
        <v>1.2891592338949657E-2</v>
      </c>
      <c r="AL150" s="140">
        <f t="shared" si="302"/>
        <v>1.3101206733375564E-2</v>
      </c>
      <c r="AM150" s="140">
        <f t="shared" si="302"/>
        <v>1.3301831047005688E-2</v>
      </c>
      <c r="AN150" s="140">
        <f t="shared" si="302"/>
        <v>1.3489227143983259E-2</v>
      </c>
      <c r="AO150" s="140">
        <f t="shared" si="302"/>
        <v>1.3667807785446977E-2</v>
      </c>
      <c r="AP150" s="140">
        <f t="shared" si="302"/>
        <v>1.3833869417708181E-2</v>
      </c>
      <c r="AQ150" s="140">
        <f t="shared" si="302"/>
        <v>1.3990544419982943E-2</v>
      </c>
      <c r="AR150" s="140">
        <f t="shared" si="302"/>
        <v>1.4136363141596298E-2</v>
      </c>
      <c r="AS150" s="140">
        <f t="shared" si="302"/>
        <v>1.4273971129756785E-2</v>
      </c>
      <c r="AT150" s="140">
        <f t="shared" si="302"/>
        <v>1.4400615781139818E-2</v>
      </c>
      <c r="AU150" s="140">
        <f t="shared" si="302"/>
        <v>1.4519424050370417E-2</v>
      </c>
      <c r="AV150" s="140">
        <f t="shared" si="302"/>
        <v>1.4628064833645354E-2</v>
      </c>
      <c r="AW150" s="140">
        <f t="shared" si="302"/>
        <v>1.4729264882145186E-2</v>
      </c>
      <c r="AX150" s="140">
        <f t="shared" si="302"/>
        <v>1.4821080952257993E-2</v>
      </c>
      <c r="AY150" s="140">
        <f t="shared" si="302"/>
        <v>1.4905413001331793E-2</v>
      </c>
      <c r="AZ150" s="140">
        <f t="shared" si="302"/>
        <v>1.4982014153097989E-2</v>
      </c>
      <c r="BA150" s="140">
        <f t="shared" si="302"/>
        <v>1.50511685683575E-2</v>
      </c>
      <c r="BB150" s="140">
        <f t="shared" si="302"/>
        <v>1.5113154949056969E-2</v>
      </c>
      <c r="BC150" s="140">
        <f t="shared" si="302"/>
        <v>1.5168245940572563E-2</v>
      </c>
      <c r="BD150" s="140">
        <f t="shared" si="302"/>
        <v>1.5216707658433481E-2</v>
      </c>
      <c r="BE150" s="140">
        <f t="shared" si="302"/>
        <v>1.5258799322996279E-2</v>
      </c>
      <c r="BF150" s="140">
        <f t="shared" si="302"/>
        <v>1.529477298750683E-2</v>
      </c>
      <c r="BG150" s="140">
        <f t="shared" si="302"/>
        <v>1.5324570294269646E-2</v>
      </c>
      <c r="BH150" s="140">
        <f t="shared" si="302"/>
        <v>1.5349216845527952E-2</v>
      </c>
      <c r="BI150" s="140">
        <f t="shared" si="302"/>
        <v>1.5368120919552475E-2</v>
      </c>
      <c r="BJ150" s="140">
        <f t="shared" si="302"/>
        <v>1.5382205849282505E-2</v>
      </c>
      <c r="BK150" s="140">
        <f t="shared" si="302"/>
        <v>1.5391064016608424E-2</v>
      </c>
      <c r="BL150" s="140">
        <f t="shared" si="302"/>
        <v>1.5395303830038976E-2</v>
      </c>
      <c r="BM150" s="140">
        <f t="shared" si="302"/>
        <v>1.5394935816795817E-2</v>
      </c>
      <c r="BN150" s="140">
        <f t="shared" si="302"/>
        <v>1.5390138899073744E-2</v>
      </c>
      <c r="BO150" s="140">
        <f t="shared" ref="BO150:CB150" si="303">IF(BO148&lt;0,0,$B$5+$B$6*((1-EXP(-BO149/$B$9))/(BO149/$B$9))+$B$7*((1-EXP(-BO149/$B$9))/(BO149/$B$9)-EXP(-BO149/$B$9))+$B$8*((1-EXP(-BO149/$B$10))/(BO149/$B$10)-EXP(-BO149/$B$10)))</f>
        <v>1.5381306687284699E-2</v>
      </c>
      <c r="BP150" s="140">
        <f t="shared" si="303"/>
        <v>1.5368306191597521E-2</v>
      </c>
      <c r="BQ150" s="140">
        <f t="shared" si="303"/>
        <v>1.5351736840395678E-2</v>
      </c>
      <c r="BR150" s="140">
        <f t="shared" si="303"/>
        <v>1.5331082345005648E-2</v>
      </c>
      <c r="BS150" s="140">
        <f t="shared" si="303"/>
        <v>1.5307407058589489E-2</v>
      </c>
      <c r="BT150" s="140">
        <f t="shared" si="303"/>
        <v>1.527980178510787E-2</v>
      </c>
      <c r="BU150" s="140">
        <f t="shared" si="303"/>
        <v>1.5249624353975411E-2</v>
      </c>
      <c r="BV150" s="140">
        <f t="shared" si="303"/>
        <v>1.521566132357817E-2</v>
      </c>
      <c r="BW150" s="140">
        <f t="shared" si="303"/>
        <v>1.5179538712487679E-2</v>
      </c>
      <c r="BX150" s="140">
        <f t="shared" si="303"/>
        <v>1.5139990820294533E-2</v>
      </c>
      <c r="BY150" s="140">
        <f t="shared" si="303"/>
        <v>1.5098450716372475E-2</v>
      </c>
      <c r="BZ150" s="140">
        <f t="shared" si="303"/>
        <v>1.5053383405333541E-2</v>
      </c>
      <c r="CA150" s="140">
        <f t="shared" si="303"/>
        <v>1.5006882804115943E-2</v>
      </c>
      <c r="CB150" s="140">
        <f t="shared" si="303"/>
        <v>1.4956970602103221E-2</v>
      </c>
      <c r="CC150" s="17"/>
      <c r="CD150" s="17"/>
      <c r="CE150" s="17"/>
    </row>
    <row r="151" spans="1:83">
      <c r="A151" s="16" t="s">
        <v>44</v>
      </c>
      <c r="B151" s="140">
        <f>EXP(-B150*B149)</f>
        <v>0.99855497563263396</v>
      </c>
      <c r="C151" s="140">
        <f t="shared" ref="C151:AR151" si="304">EXP(-C150*C149)</f>
        <v>0.99519204045951504</v>
      </c>
      <c r="D151" s="140">
        <f t="shared" si="304"/>
        <v>0.99253284091721428</v>
      </c>
      <c r="E151" s="140">
        <f t="shared" si="304"/>
        <v>0.99027153599581197</v>
      </c>
      <c r="F151" s="140">
        <f t="shared" si="304"/>
        <v>0.98824470301905865</v>
      </c>
      <c r="G151" s="140">
        <f t="shared" si="304"/>
        <v>0.98623323918457029</v>
      </c>
      <c r="H151" s="140">
        <f t="shared" si="304"/>
        <v>0.98414588653753776</v>
      </c>
      <c r="I151" s="140">
        <f t="shared" si="304"/>
        <v>0.98182878321440181</v>
      </c>
      <c r="J151" s="140">
        <f t="shared" si="304"/>
        <v>0.97925297021171376</v>
      </c>
      <c r="K151" s="140">
        <f t="shared" si="304"/>
        <v>0.97631874379111216</v>
      </c>
      <c r="L151" s="140">
        <f t="shared" si="304"/>
        <v>0.97301840615981727</v>
      </c>
      <c r="M151" s="140">
        <f t="shared" si="304"/>
        <v>0.96926784081880513</v>
      </c>
      <c r="N151" s="140">
        <f t="shared" si="304"/>
        <v>0.96513735281227286</v>
      </c>
      <c r="O151" s="140">
        <f t="shared" si="304"/>
        <v>0.96053249346291691</v>
      </c>
      <c r="P151" s="140">
        <f t="shared" si="304"/>
        <v>0.95556142867520444</v>
      </c>
      <c r="Q151" s="140">
        <f t="shared" si="304"/>
        <v>0.95012648715655534</v>
      </c>
      <c r="R151" s="140">
        <f t="shared" si="304"/>
        <v>0.94436633701088435</v>
      </c>
      <c r="S151" s="140">
        <f t="shared" si="304"/>
        <v>0.93821039454734889</v>
      </c>
      <c r="T151" s="140">
        <f t="shared" si="304"/>
        <v>0.93175253519341095</v>
      </c>
      <c r="U151" s="140">
        <f t="shared" si="304"/>
        <v>0.92490970074411993</v>
      </c>
      <c r="V151" s="140">
        <f t="shared" si="304"/>
        <v>0.91786201246821175</v>
      </c>
      <c r="W151" s="140">
        <f t="shared" si="304"/>
        <v>0.91048192507512948</v>
      </c>
      <c r="X151" s="140">
        <f t="shared" si="304"/>
        <v>0.90296210463507987</v>
      </c>
      <c r="Y151" s="140">
        <f t="shared" si="304"/>
        <v>0.89516414180979886</v>
      </c>
      <c r="Z151" s="140">
        <f t="shared" si="304"/>
        <v>0.88728883760621746</v>
      </c>
      <c r="AA151" s="140">
        <f t="shared" si="304"/>
        <v>0.87923317417281033</v>
      </c>
      <c r="AB151" s="140">
        <f t="shared" si="304"/>
        <v>0.87111280504662225</v>
      </c>
      <c r="AC151" s="140">
        <f t="shared" si="304"/>
        <v>0.86281595221772611</v>
      </c>
      <c r="AD151" s="140">
        <f t="shared" si="304"/>
        <v>0.85454942585660731</v>
      </c>
      <c r="AE151" s="140">
        <f t="shared" si="304"/>
        <v>0.84615075803900142</v>
      </c>
      <c r="AF151" s="140">
        <f t="shared" si="304"/>
        <v>0.83782593417271878</v>
      </c>
      <c r="AG151" s="140">
        <f t="shared" si="304"/>
        <v>0.82940803085221204</v>
      </c>
      <c r="AH151" s="140">
        <f t="shared" si="304"/>
        <v>0.82110036972946787</v>
      </c>
      <c r="AI151" s="140">
        <f t="shared" si="304"/>
        <v>0.81277944058592266</v>
      </c>
      <c r="AJ151" s="140">
        <f t="shared" si="304"/>
        <v>0.80455198167676012</v>
      </c>
      <c r="AK151" s="140">
        <f t="shared" si="304"/>
        <v>0.79629363367482675</v>
      </c>
      <c r="AL151" s="140">
        <f t="shared" si="304"/>
        <v>0.78819854858219918</v>
      </c>
      <c r="AM151" s="140">
        <f t="shared" si="304"/>
        <v>0.78009638552923855</v>
      </c>
      <c r="AN151" s="140">
        <f t="shared" si="304"/>
        <v>0.77217542504290337</v>
      </c>
      <c r="AO151" s="140">
        <f t="shared" si="304"/>
        <v>0.76426691479592634</v>
      </c>
      <c r="AP151" s="140">
        <f t="shared" si="304"/>
        <v>0.75655273934196077</v>
      </c>
      <c r="AQ151" s="140">
        <f t="shared" si="304"/>
        <v>0.74890891025089656</v>
      </c>
      <c r="AR151" s="140">
        <f t="shared" si="304"/>
        <v>0.74142563022862495</v>
      </c>
      <c r="AS151" s="140">
        <f>EXP(-AS150*AS149)</f>
        <v>0.73398302709917784</v>
      </c>
      <c r="AT151" s="140">
        <f t="shared" ref="AT151:CA151" si="305">EXP(-AT150*AT149)</f>
        <v>0.72674933970314914</v>
      </c>
      <c r="AU151" s="140">
        <f t="shared" si="305"/>
        <v>0.71956605853788136</v>
      </c>
      <c r="AV151" s="140">
        <f t="shared" si="305"/>
        <v>0.71259441134551837</v>
      </c>
      <c r="AW151" s="140">
        <f t="shared" si="305"/>
        <v>0.70568056441780747</v>
      </c>
      <c r="AX151" s="140">
        <f t="shared" si="305"/>
        <v>0.6989787391232547</v>
      </c>
      <c r="AY151" s="140">
        <f t="shared" si="305"/>
        <v>0.69237646265828745</v>
      </c>
      <c r="AZ151" s="140">
        <f t="shared" si="305"/>
        <v>0.68591213710551135</v>
      </c>
      <c r="BA151" s="140">
        <f t="shared" si="305"/>
        <v>0.6795859809467435</v>
      </c>
      <c r="BB151" s="140">
        <f t="shared" si="305"/>
        <v>0.67339788916870214</v>
      </c>
      <c r="BC151" s="140">
        <f t="shared" si="305"/>
        <v>0.66734746985618942</v>
      </c>
      <c r="BD151" s="140">
        <f t="shared" si="305"/>
        <v>0.66143407775755492</v>
      </c>
      <c r="BE151" s="140">
        <f t="shared" si="305"/>
        <v>0.65565684499254229</v>
      </c>
      <c r="BF151" s="140">
        <f t="shared" si="305"/>
        <v>0.65001470907592218</v>
      </c>
      <c r="BG151" s="140">
        <f t="shared" si="305"/>
        <v>0.64456691089974116</v>
      </c>
      <c r="BH151" s="140">
        <f t="shared" si="305"/>
        <v>0.63916015775108004</v>
      </c>
      <c r="BI151" s="140">
        <f t="shared" si="305"/>
        <v>0.63397220657584241</v>
      </c>
      <c r="BJ151" s="140">
        <f t="shared" si="305"/>
        <v>0.62879850227120504</v>
      </c>
      <c r="BK151" s="140">
        <f t="shared" si="305"/>
        <v>0.62386478922881072</v>
      </c>
      <c r="BL151" s="140">
        <f t="shared" si="305"/>
        <v>0.61894753148820547</v>
      </c>
      <c r="BM151" s="140">
        <f t="shared" si="305"/>
        <v>0.61426106984178386</v>
      </c>
      <c r="BN151" s="140">
        <f t="shared" si="305"/>
        <v>0.60959287226999181</v>
      </c>
      <c r="BO151" s="140">
        <f t="shared" si="305"/>
        <v>0.60514624974811937</v>
      </c>
      <c r="BP151" s="140">
        <f t="shared" si="305"/>
        <v>0.60074338271261962</v>
      </c>
      <c r="BQ151" s="140">
        <f t="shared" si="305"/>
        <v>0.59652830403065815</v>
      </c>
      <c r="BR151" s="140">
        <f t="shared" si="305"/>
        <v>0.59233423272946117</v>
      </c>
      <c r="BS151" s="140">
        <f t="shared" si="305"/>
        <v>0.58834358402934772</v>
      </c>
      <c r="BT151" s="140">
        <f t="shared" si="305"/>
        <v>0.58437500847992496</v>
      </c>
      <c r="BU151" s="140">
        <f t="shared" si="305"/>
        <v>0.580601021337107</v>
      </c>
      <c r="BV151" s="140">
        <f t="shared" si="305"/>
        <v>0.57685003321721084</v>
      </c>
      <c r="BW151" s="140">
        <f t="shared" si="305"/>
        <v>0.57328502552493288</v>
      </c>
      <c r="BX151" s="140">
        <f t="shared" si="305"/>
        <v>0.56976301370712035</v>
      </c>
      <c r="BY151" s="140">
        <f t="shared" si="305"/>
        <v>0.56639890522417169</v>
      </c>
      <c r="BZ151" s="140">
        <f t="shared" si="305"/>
        <v>0.56305936811386703</v>
      </c>
      <c r="CA151" s="140">
        <f t="shared" si="305"/>
        <v>0.55988939685317196</v>
      </c>
      <c r="CB151" s="140">
        <f>EXP(-CB150*CB149)</f>
        <v>0.55674469948195526</v>
      </c>
      <c r="CC151" s="17"/>
      <c r="CD151" s="17"/>
      <c r="CE151" s="17"/>
    </row>
    <row r="152" spans="1:83">
      <c r="A152" s="17"/>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17"/>
      <c r="CD152" s="17"/>
      <c r="CE152" s="17"/>
    </row>
    <row r="153" spans="1:83">
      <c r="A153" s="16" t="s">
        <v>40</v>
      </c>
      <c r="B153" s="140">
        <f t="shared" ref="B153:AG153" si="306">DAYS360($B$3,B52)</f>
        <v>65</v>
      </c>
      <c r="C153" s="140">
        <f t="shared" si="306"/>
        <v>245</v>
      </c>
      <c r="D153" s="140">
        <f t="shared" si="306"/>
        <v>424</v>
      </c>
      <c r="E153" s="140">
        <f t="shared" si="306"/>
        <v>605</v>
      </c>
      <c r="F153" s="140">
        <f t="shared" si="306"/>
        <v>784</v>
      </c>
      <c r="G153" s="140">
        <f t="shared" si="306"/>
        <v>965</v>
      </c>
      <c r="H153" s="140">
        <f t="shared" si="306"/>
        <v>1144</v>
      </c>
      <c r="I153" s="140">
        <f t="shared" si="306"/>
        <v>1325</v>
      </c>
      <c r="J153" s="140">
        <f t="shared" si="306"/>
        <v>1504</v>
      </c>
      <c r="K153" s="140">
        <f t="shared" si="306"/>
        <v>1684</v>
      </c>
      <c r="L153" s="140">
        <f t="shared" si="306"/>
        <v>1863</v>
      </c>
      <c r="M153" s="140">
        <f t="shared" si="306"/>
        <v>2044</v>
      </c>
      <c r="N153" s="140">
        <f t="shared" si="306"/>
        <v>2223</v>
      </c>
      <c r="O153" s="140">
        <f t="shared" si="306"/>
        <v>2404</v>
      </c>
      <c r="P153" s="140">
        <f t="shared" si="306"/>
        <v>2583</v>
      </c>
      <c r="Q153" s="140">
        <f t="shared" si="306"/>
        <v>2764</v>
      </c>
      <c r="R153" s="140">
        <f t="shared" si="306"/>
        <v>2943</v>
      </c>
      <c r="S153" s="140">
        <f t="shared" si="306"/>
        <v>3123</v>
      </c>
      <c r="T153" s="140">
        <f t="shared" si="306"/>
        <v>3302</v>
      </c>
      <c r="U153" s="140">
        <f t="shared" si="306"/>
        <v>3483</v>
      </c>
      <c r="V153" s="140">
        <f t="shared" si="306"/>
        <v>3662</v>
      </c>
      <c r="W153" s="140">
        <f t="shared" si="306"/>
        <v>3843</v>
      </c>
      <c r="X153" s="140">
        <f t="shared" si="306"/>
        <v>4022</v>
      </c>
      <c r="Y153" s="140">
        <f t="shared" si="306"/>
        <v>4203</v>
      </c>
      <c r="Z153" s="140">
        <f t="shared" si="306"/>
        <v>4382</v>
      </c>
      <c r="AA153" s="140">
        <f t="shared" si="306"/>
        <v>4562</v>
      </c>
      <c r="AB153" s="140">
        <f t="shared" si="306"/>
        <v>4741</v>
      </c>
      <c r="AC153" s="140">
        <f t="shared" si="306"/>
        <v>4922</v>
      </c>
      <c r="AD153" s="140">
        <f t="shared" si="306"/>
        <v>5101</v>
      </c>
      <c r="AE153" s="140">
        <f t="shared" si="306"/>
        <v>5282</v>
      </c>
      <c r="AF153" s="140">
        <f t="shared" si="306"/>
        <v>5461</v>
      </c>
      <c r="AG153" s="140">
        <f t="shared" si="306"/>
        <v>5642</v>
      </c>
      <c r="AH153" s="140">
        <f t="shared" ref="AH153:BM153" si="307">DAYS360($B$3,AH52)</f>
        <v>5821</v>
      </c>
      <c r="AI153" s="140">
        <f t="shared" si="307"/>
        <v>6001</v>
      </c>
      <c r="AJ153" s="140">
        <f t="shared" si="307"/>
        <v>6180</v>
      </c>
      <c r="AK153" s="140">
        <f t="shared" si="307"/>
        <v>6361</v>
      </c>
      <c r="AL153" s="140">
        <f t="shared" si="307"/>
        <v>6540</v>
      </c>
      <c r="AM153" s="140">
        <f t="shared" si="307"/>
        <v>6721</v>
      </c>
      <c r="AN153" s="140">
        <f t="shared" si="307"/>
        <v>6900</v>
      </c>
      <c r="AO153" s="140">
        <f t="shared" si="307"/>
        <v>7081</v>
      </c>
      <c r="AP153" s="140">
        <f t="shared" si="307"/>
        <v>7260</v>
      </c>
      <c r="AQ153" s="140">
        <f t="shared" si="307"/>
        <v>7440</v>
      </c>
      <c r="AR153" s="140">
        <f t="shared" si="307"/>
        <v>7619</v>
      </c>
      <c r="AS153" s="140">
        <f t="shared" si="307"/>
        <v>7800</v>
      </c>
      <c r="AT153" s="140">
        <f t="shared" si="307"/>
        <v>7979</v>
      </c>
      <c r="AU153" s="140">
        <f t="shared" si="307"/>
        <v>8160</v>
      </c>
      <c r="AV153" s="140">
        <f t="shared" si="307"/>
        <v>8339</v>
      </c>
      <c r="AW153" s="140">
        <f t="shared" si="307"/>
        <v>8520</v>
      </c>
      <c r="AX153" s="140">
        <f t="shared" si="307"/>
        <v>8699</v>
      </c>
      <c r="AY153" s="140">
        <f t="shared" si="307"/>
        <v>8879</v>
      </c>
      <c r="AZ153" s="140">
        <f t="shared" si="307"/>
        <v>9059</v>
      </c>
      <c r="BA153" s="140">
        <f t="shared" si="307"/>
        <v>9239</v>
      </c>
      <c r="BB153" s="140">
        <f t="shared" si="307"/>
        <v>9419</v>
      </c>
      <c r="BC153" s="140">
        <f t="shared" si="307"/>
        <v>9599</v>
      </c>
      <c r="BD153" s="140">
        <f t="shared" si="307"/>
        <v>9779</v>
      </c>
      <c r="BE153" s="140">
        <f t="shared" si="307"/>
        <v>9959</v>
      </c>
      <c r="BF153" s="140">
        <f t="shared" si="307"/>
        <v>10139</v>
      </c>
      <c r="BG153" s="140">
        <f t="shared" si="307"/>
        <v>10317</v>
      </c>
      <c r="BH153" s="140">
        <f t="shared" si="307"/>
        <v>10498</v>
      </c>
      <c r="BI153" s="140">
        <f t="shared" si="307"/>
        <v>10676</v>
      </c>
      <c r="BJ153" s="140">
        <f t="shared" si="307"/>
        <v>10858</v>
      </c>
      <c r="BK153" s="140">
        <f t="shared" si="307"/>
        <v>11036</v>
      </c>
      <c r="BL153" s="140">
        <f t="shared" si="307"/>
        <v>11218</v>
      </c>
      <c r="BM153" s="140">
        <f t="shared" si="307"/>
        <v>11396</v>
      </c>
      <c r="BN153" s="140">
        <f t="shared" ref="BN153:CB153" si="308">DAYS360($B$3,BN52)</f>
        <v>11578</v>
      </c>
      <c r="BO153" s="140">
        <f t="shared" si="308"/>
        <v>11756</v>
      </c>
      <c r="BP153" s="140">
        <f t="shared" si="308"/>
        <v>11937</v>
      </c>
      <c r="BQ153" s="140">
        <f t="shared" si="308"/>
        <v>12115</v>
      </c>
      <c r="BR153" s="140">
        <f t="shared" si="308"/>
        <v>12297</v>
      </c>
      <c r="BS153" s="140">
        <f t="shared" si="308"/>
        <v>12475</v>
      </c>
      <c r="BT153" s="140">
        <f t="shared" si="308"/>
        <v>12657</v>
      </c>
      <c r="BU153" s="140">
        <f t="shared" si="308"/>
        <v>12835</v>
      </c>
      <c r="BV153" s="140">
        <f t="shared" si="308"/>
        <v>13017</v>
      </c>
      <c r="BW153" s="140">
        <f t="shared" si="308"/>
        <v>13195</v>
      </c>
      <c r="BX153" s="140">
        <f t="shared" si="308"/>
        <v>13376</v>
      </c>
      <c r="BY153" s="140">
        <f t="shared" si="308"/>
        <v>13554</v>
      </c>
      <c r="BZ153" s="140">
        <f t="shared" si="308"/>
        <v>13736</v>
      </c>
      <c r="CA153" s="140">
        <f t="shared" si="308"/>
        <v>13914</v>
      </c>
      <c r="CB153" s="140">
        <f t="shared" si="308"/>
        <v>14096</v>
      </c>
      <c r="CC153" s="17"/>
      <c r="CD153" s="17"/>
      <c r="CE153" s="17"/>
    </row>
    <row r="154" spans="1:83">
      <c r="A154" s="16" t="s">
        <v>41</v>
      </c>
      <c r="B154" s="140">
        <f>B153/360</f>
        <v>0.18055555555555555</v>
      </c>
      <c r="C154" s="140">
        <f t="shared" ref="C154:BN154" si="309">C153/360</f>
        <v>0.68055555555555558</v>
      </c>
      <c r="D154" s="140">
        <f t="shared" si="309"/>
        <v>1.1777777777777778</v>
      </c>
      <c r="E154" s="140">
        <f t="shared" si="309"/>
        <v>1.6805555555555556</v>
      </c>
      <c r="F154" s="140">
        <f t="shared" si="309"/>
        <v>2.1777777777777776</v>
      </c>
      <c r="G154" s="140">
        <f t="shared" si="309"/>
        <v>2.6805555555555554</v>
      </c>
      <c r="H154" s="140">
        <f t="shared" si="309"/>
        <v>3.1777777777777776</v>
      </c>
      <c r="I154" s="140">
        <f t="shared" si="309"/>
        <v>3.6805555555555554</v>
      </c>
      <c r="J154" s="140">
        <f t="shared" si="309"/>
        <v>4.177777777777778</v>
      </c>
      <c r="K154" s="140">
        <f t="shared" si="309"/>
        <v>4.677777777777778</v>
      </c>
      <c r="L154" s="140">
        <f t="shared" si="309"/>
        <v>5.1749999999999998</v>
      </c>
      <c r="M154" s="140">
        <f t="shared" si="309"/>
        <v>5.677777777777778</v>
      </c>
      <c r="N154" s="140">
        <f t="shared" si="309"/>
        <v>6.1749999999999998</v>
      </c>
      <c r="O154" s="140">
        <f t="shared" si="309"/>
        <v>6.677777777777778</v>
      </c>
      <c r="P154" s="140">
        <f t="shared" si="309"/>
        <v>7.1749999999999998</v>
      </c>
      <c r="Q154" s="140">
        <f t="shared" si="309"/>
        <v>7.677777777777778</v>
      </c>
      <c r="R154" s="140">
        <f t="shared" si="309"/>
        <v>8.1750000000000007</v>
      </c>
      <c r="S154" s="140">
        <f t="shared" si="309"/>
        <v>8.6750000000000007</v>
      </c>
      <c r="T154" s="140">
        <f t="shared" si="309"/>
        <v>9.1722222222222225</v>
      </c>
      <c r="U154" s="140">
        <f t="shared" si="309"/>
        <v>9.6750000000000007</v>
      </c>
      <c r="V154" s="140">
        <f t="shared" si="309"/>
        <v>10.172222222222222</v>
      </c>
      <c r="W154" s="140">
        <f t="shared" si="309"/>
        <v>10.675000000000001</v>
      </c>
      <c r="X154" s="140">
        <f t="shared" si="309"/>
        <v>11.172222222222222</v>
      </c>
      <c r="Y154" s="140">
        <f t="shared" si="309"/>
        <v>11.675000000000001</v>
      </c>
      <c r="Z154" s="140">
        <f t="shared" si="309"/>
        <v>12.172222222222222</v>
      </c>
      <c r="AA154" s="140">
        <f t="shared" si="309"/>
        <v>12.672222222222222</v>
      </c>
      <c r="AB154" s="140">
        <f t="shared" si="309"/>
        <v>13.169444444444444</v>
      </c>
      <c r="AC154" s="140">
        <f t="shared" si="309"/>
        <v>13.672222222222222</v>
      </c>
      <c r="AD154" s="140">
        <f t="shared" si="309"/>
        <v>14.169444444444444</v>
      </c>
      <c r="AE154" s="140">
        <f t="shared" si="309"/>
        <v>14.672222222222222</v>
      </c>
      <c r="AF154" s="140">
        <f t="shared" si="309"/>
        <v>15.169444444444444</v>
      </c>
      <c r="AG154" s="140">
        <f t="shared" si="309"/>
        <v>15.672222222222222</v>
      </c>
      <c r="AH154" s="140">
        <f t="shared" si="309"/>
        <v>16.169444444444444</v>
      </c>
      <c r="AI154" s="140">
        <f t="shared" si="309"/>
        <v>16.669444444444444</v>
      </c>
      <c r="AJ154" s="140">
        <f t="shared" si="309"/>
        <v>17.166666666666668</v>
      </c>
      <c r="AK154" s="140">
        <f t="shared" si="309"/>
        <v>17.669444444444444</v>
      </c>
      <c r="AL154" s="140">
        <f t="shared" si="309"/>
        <v>18.166666666666668</v>
      </c>
      <c r="AM154" s="140">
        <f t="shared" si="309"/>
        <v>18.669444444444444</v>
      </c>
      <c r="AN154" s="140">
        <f t="shared" si="309"/>
        <v>19.166666666666668</v>
      </c>
      <c r="AO154" s="140">
        <f t="shared" si="309"/>
        <v>19.669444444444444</v>
      </c>
      <c r="AP154" s="140">
        <f t="shared" si="309"/>
        <v>20.166666666666668</v>
      </c>
      <c r="AQ154" s="140">
        <f t="shared" si="309"/>
        <v>20.666666666666668</v>
      </c>
      <c r="AR154" s="140">
        <f t="shared" si="309"/>
        <v>21.163888888888888</v>
      </c>
      <c r="AS154" s="140">
        <f t="shared" si="309"/>
        <v>21.666666666666668</v>
      </c>
      <c r="AT154" s="140">
        <f t="shared" si="309"/>
        <v>22.163888888888888</v>
      </c>
      <c r="AU154" s="140">
        <f t="shared" si="309"/>
        <v>22.666666666666668</v>
      </c>
      <c r="AV154" s="140">
        <f t="shared" si="309"/>
        <v>23.163888888888888</v>
      </c>
      <c r="AW154" s="140">
        <f t="shared" si="309"/>
        <v>23.666666666666668</v>
      </c>
      <c r="AX154" s="140">
        <f t="shared" si="309"/>
        <v>24.163888888888888</v>
      </c>
      <c r="AY154" s="140">
        <f t="shared" si="309"/>
        <v>24.663888888888888</v>
      </c>
      <c r="AZ154" s="140">
        <f t="shared" si="309"/>
        <v>25.163888888888888</v>
      </c>
      <c r="BA154" s="140">
        <f t="shared" si="309"/>
        <v>25.663888888888888</v>
      </c>
      <c r="BB154" s="140">
        <f t="shared" si="309"/>
        <v>26.163888888888888</v>
      </c>
      <c r="BC154" s="140">
        <f t="shared" si="309"/>
        <v>26.663888888888888</v>
      </c>
      <c r="BD154" s="140">
        <f t="shared" si="309"/>
        <v>27.163888888888888</v>
      </c>
      <c r="BE154" s="140">
        <f t="shared" si="309"/>
        <v>27.663888888888888</v>
      </c>
      <c r="BF154" s="140">
        <f t="shared" si="309"/>
        <v>28.163888888888888</v>
      </c>
      <c r="BG154" s="140">
        <f t="shared" si="309"/>
        <v>28.658333333333335</v>
      </c>
      <c r="BH154" s="140">
        <f t="shared" si="309"/>
        <v>29.161111111111111</v>
      </c>
      <c r="BI154" s="140">
        <f t="shared" si="309"/>
        <v>29.655555555555555</v>
      </c>
      <c r="BJ154" s="140">
        <f t="shared" si="309"/>
        <v>30.161111111111111</v>
      </c>
      <c r="BK154" s="140">
        <f t="shared" si="309"/>
        <v>30.655555555555555</v>
      </c>
      <c r="BL154" s="140">
        <f t="shared" si="309"/>
        <v>31.161111111111111</v>
      </c>
      <c r="BM154" s="140">
        <f t="shared" si="309"/>
        <v>31.655555555555555</v>
      </c>
      <c r="BN154" s="140">
        <f t="shared" si="309"/>
        <v>32.161111111111111</v>
      </c>
      <c r="BO154" s="140">
        <f t="shared" ref="BO154:CB154" si="310">BO153/360</f>
        <v>32.655555555555559</v>
      </c>
      <c r="BP154" s="140">
        <f t="shared" si="310"/>
        <v>33.158333333333331</v>
      </c>
      <c r="BQ154" s="140">
        <f t="shared" si="310"/>
        <v>33.652777777777779</v>
      </c>
      <c r="BR154" s="140">
        <f t="shared" si="310"/>
        <v>34.158333333333331</v>
      </c>
      <c r="BS154" s="140">
        <f t="shared" si="310"/>
        <v>34.652777777777779</v>
      </c>
      <c r="BT154" s="140">
        <f t="shared" si="310"/>
        <v>35.158333333333331</v>
      </c>
      <c r="BU154" s="140">
        <f t="shared" si="310"/>
        <v>35.652777777777779</v>
      </c>
      <c r="BV154" s="140">
        <f t="shared" si="310"/>
        <v>36.158333333333331</v>
      </c>
      <c r="BW154" s="140">
        <f t="shared" si="310"/>
        <v>36.652777777777779</v>
      </c>
      <c r="BX154" s="140">
        <f t="shared" si="310"/>
        <v>37.155555555555559</v>
      </c>
      <c r="BY154" s="140">
        <f t="shared" si="310"/>
        <v>37.65</v>
      </c>
      <c r="BZ154" s="140">
        <f t="shared" si="310"/>
        <v>38.155555555555559</v>
      </c>
      <c r="CA154" s="140">
        <f t="shared" si="310"/>
        <v>38.65</v>
      </c>
      <c r="CB154" s="140">
        <f t="shared" si="310"/>
        <v>39.155555555555559</v>
      </c>
      <c r="CC154" s="17"/>
      <c r="CD154" s="17"/>
      <c r="CE154" s="17"/>
    </row>
    <row r="155" spans="1:83">
      <c r="A155" s="16" t="s">
        <v>43</v>
      </c>
      <c r="B155" s="140">
        <f>IF(B153&lt;0,0,$B$5+$B$6*((1-EXP(-B154/$B$9))/(B154/$B$9))+$B$7*((1-EXP(-B154/$B$9))/(B154/$B$9)-EXP(-B154/$B$9))+$B$8*((1-EXP(-B154/$B$10))/(B154/$B$10)-EXP(-B154/$B$10)))</f>
        <v>8.0089998754231621E-3</v>
      </c>
      <c r="C155" s="140">
        <f t="shared" ref="C155:BN155" si="311">IF(C153&lt;0,0,$B$5+$B$6*((1-EXP(-C154/$B$9))/(C154/$B$9))+$B$7*((1-EXP(-C154/$B$9))/(C154/$B$9)-EXP(-C154/$B$9))+$B$8*((1-EXP(-C154/$B$10))/(C154/$B$10)-EXP(-C154/$B$10)))</f>
        <v>7.081795042908642E-3</v>
      </c>
      <c r="D155" s="140">
        <f t="shared" si="311"/>
        <v>6.3638302779074722E-3</v>
      </c>
      <c r="E155" s="140">
        <f t="shared" si="311"/>
        <v>5.8171803039087011E-3</v>
      </c>
      <c r="F155" s="140">
        <f t="shared" si="311"/>
        <v>5.4298179092680289E-3</v>
      </c>
      <c r="G155" s="140">
        <f t="shared" si="311"/>
        <v>5.1714658281912067E-3</v>
      </c>
      <c r="H155" s="140">
        <f t="shared" si="311"/>
        <v>5.0290282582097934E-3</v>
      </c>
      <c r="I155" s="140">
        <f t="shared" si="311"/>
        <v>4.9824926512625906E-3</v>
      </c>
      <c r="J155" s="140">
        <f t="shared" si="311"/>
        <v>5.0182835005601594E-3</v>
      </c>
      <c r="K155" s="140">
        <f t="shared" si="311"/>
        <v>5.1234080092308681E-3</v>
      </c>
      <c r="L155" s="140">
        <f t="shared" si="311"/>
        <v>5.2854647456019397E-3</v>
      </c>
      <c r="M155" s="140">
        <f t="shared" si="311"/>
        <v>5.4976254783836625E-3</v>
      </c>
      <c r="N155" s="140">
        <f t="shared" si="311"/>
        <v>5.7465349394749659E-3</v>
      </c>
      <c r="O155" s="140">
        <f t="shared" si="311"/>
        <v>6.0300700245206965E-3</v>
      </c>
      <c r="P155" s="140">
        <f t="shared" si="311"/>
        <v>6.3353627606468369E-3</v>
      </c>
      <c r="Q155" s="140">
        <f t="shared" si="311"/>
        <v>6.6634070893834031E-3</v>
      </c>
      <c r="R155" s="140">
        <f t="shared" si="311"/>
        <v>7.0019717735072739E-3</v>
      </c>
      <c r="S155" s="140">
        <f t="shared" si="311"/>
        <v>7.3522828708339301E-3</v>
      </c>
      <c r="T155" s="140">
        <f t="shared" si="311"/>
        <v>7.7067495770819904E-3</v>
      </c>
      <c r="U155" s="140">
        <f t="shared" si="311"/>
        <v>8.0681309614575349E-3</v>
      </c>
      <c r="V155" s="140">
        <f t="shared" si="311"/>
        <v>8.4257118064160769E-3</v>
      </c>
      <c r="W155" s="140">
        <f t="shared" si="311"/>
        <v>8.7851270874777752E-3</v>
      </c>
      <c r="X155" s="140">
        <f t="shared" si="311"/>
        <v>9.1364717322600306E-3</v>
      </c>
      <c r="Y155" s="140">
        <f t="shared" si="311"/>
        <v>9.485925383519965E-3</v>
      </c>
      <c r="Z155" s="140">
        <f t="shared" si="311"/>
        <v>9.8243946928387067E-3</v>
      </c>
      <c r="AA155" s="140">
        <f t="shared" si="311"/>
        <v>1.0156477855414897E-2</v>
      </c>
      <c r="AB155" s="140">
        <f t="shared" si="311"/>
        <v>1.0477571699326754E-2</v>
      </c>
      <c r="AC155" s="140">
        <f t="shared" si="311"/>
        <v>1.0792237965840369E-2</v>
      </c>
      <c r="AD155" s="140">
        <f t="shared" si="311"/>
        <v>1.1092949823860582E-2</v>
      </c>
      <c r="AE155" s="140">
        <f t="shared" si="311"/>
        <v>1.138598718925311E-2</v>
      </c>
      <c r="AF155" s="140">
        <f t="shared" si="311"/>
        <v>1.1664561382477897E-2</v>
      </c>
      <c r="AG155" s="140">
        <f t="shared" si="311"/>
        <v>1.1934685830730572E-2</v>
      </c>
      <c r="AH155" s="140">
        <f t="shared" si="311"/>
        <v>1.219027188343912E-2</v>
      </c>
      <c r="AI155" s="140">
        <f t="shared" si="311"/>
        <v>1.2435657212417798E-2</v>
      </c>
      <c r="AJ155" s="140">
        <f t="shared" si="311"/>
        <v>1.2668137921914711E-2</v>
      </c>
      <c r="AK155" s="140">
        <f t="shared" si="311"/>
        <v>1.2891592338949657E-2</v>
      </c>
      <c r="AL155" s="140">
        <f t="shared" si="311"/>
        <v>1.3101206733375564E-2</v>
      </c>
      <c r="AM155" s="140">
        <f t="shared" si="311"/>
        <v>1.3301831047005688E-2</v>
      </c>
      <c r="AN155" s="140">
        <f t="shared" si="311"/>
        <v>1.3489227143983259E-2</v>
      </c>
      <c r="AO155" s="140">
        <f t="shared" si="311"/>
        <v>1.3667807785446977E-2</v>
      </c>
      <c r="AP155" s="140">
        <f t="shared" si="311"/>
        <v>1.3833869417708181E-2</v>
      </c>
      <c r="AQ155" s="140">
        <f t="shared" si="311"/>
        <v>1.3990544419982943E-2</v>
      </c>
      <c r="AR155" s="140">
        <f t="shared" si="311"/>
        <v>1.4136363141596298E-2</v>
      </c>
      <c r="AS155" s="140">
        <f t="shared" si="311"/>
        <v>1.4273971129756785E-2</v>
      </c>
      <c r="AT155" s="140">
        <f t="shared" si="311"/>
        <v>1.4400615781139818E-2</v>
      </c>
      <c r="AU155" s="140">
        <f t="shared" si="311"/>
        <v>1.4519424050370417E-2</v>
      </c>
      <c r="AV155" s="140">
        <f t="shared" si="311"/>
        <v>1.4628064833645354E-2</v>
      </c>
      <c r="AW155" s="140">
        <f t="shared" si="311"/>
        <v>1.4729264882145186E-2</v>
      </c>
      <c r="AX155" s="140">
        <f t="shared" si="311"/>
        <v>1.4821080952257993E-2</v>
      </c>
      <c r="AY155" s="140">
        <f t="shared" si="311"/>
        <v>1.4905413001331793E-2</v>
      </c>
      <c r="AZ155" s="140">
        <f t="shared" si="311"/>
        <v>1.4982014153097989E-2</v>
      </c>
      <c r="BA155" s="140">
        <f t="shared" si="311"/>
        <v>1.50511685683575E-2</v>
      </c>
      <c r="BB155" s="140">
        <f t="shared" si="311"/>
        <v>1.5113154949056969E-2</v>
      </c>
      <c r="BC155" s="140">
        <f t="shared" si="311"/>
        <v>1.5168245940572563E-2</v>
      </c>
      <c r="BD155" s="140">
        <f t="shared" si="311"/>
        <v>1.5216707658433481E-2</v>
      </c>
      <c r="BE155" s="140">
        <f t="shared" si="311"/>
        <v>1.5258799322996279E-2</v>
      </c>
      <c r="BF155" s="140">
        <f t="shared" si="311"/>
        <v>1.529477298750683E-2</v>
      </c>
      <c r="BG155" s="140">
        <f t="shared" si="311"/>
        <v>1.5324570294269646E-2</v>
      </c>
      <c r="BH155" s="140">
        <f t="shared" si="311"/>
        <v>1.5349216845527952E-2</v>
      </c>
      <c r="BI155" s="140">
        <f t="shared" si="311"/>
        <v>1.5368120919552475E-2</v>
      </c>
      <c r="BJ155" s="140">
        <f t="shared" si="311"/>
        <v>1.5382205849282505E-2</v>
      </c>
      <c r="BK155" s="140">
        <f t="shared" si="311"/>
        <v>1.5391064016608424E-2</v>
      </c>
      <c r="BL155" s="140">
        <f t="shared" si="311"/>
        <v>1.5395303830038976E-2</v>
      </c>
      <c r="BM155" s="140">
        <f t="shared" si="311"/>
        <v>1.5394935816795817E-2</v>
      </c>
      <c r="BN155" s="140">
        <f t="shared" si="311"/>
        <v>1.5390138899073744E-2</v>
      </c>
      <c r="BO155" s="140">
        <f t="shared" ref="BO155:CB155" si="312">IF(BO153&lt;0,0,$B$5+$B$6*((1-EXP(-BO154/$B$9))/(BO154/$B$9))+$B$7*((1-EXP(-BO154/$B$9))/(BO154/$B$9)-EXP(-BO154/$B$9))+$B$8*((1-EXP(-BO154/$B$10))/(BO154/$B$10)-EXP(-BO154/$B$10)))</f>
        <v>1.5381306687284699E-2</v>
      </c>
      <c r="BP155" s="140">
        <f t="shared" si="312"/>
        <v>1.5368306191597521E-2</v>
      </c>
      <c r="BQ155" s="140">
        <f t="shared" si="312"/>
        <v>1.5351736840395678E-2</v>
      </c>
      <c r="BR155" s="140">
        <f t="shared" si="312"/>
        <v>1.5331082345005648E-2</v>
      </c>
      <c r="BS155" s="140">
        <f t="shared" si="312"/>
        <v>1.5307407058589489E-2</v>
      </c>
      <c r="BT155" s="140">
        <f t="shared" si="312"/>
        <v>1.527980178510787E-2</v>
      </c>
      <c r="BU155" s="140">
        <f t="shared" si="312"/>
        <v>1.5249624353975411E-2</v>
      </c>
      <c r="BV155" s="140">
        <f t="shared" si="312"/>
        <v>1.521566132357817E-2</v>
      </c>
      <c r="BW155" s="140">
        <f t="shared" si="312"/>
        <v>1.5179538712487679E-2</v>
      </c>
      <c r="BX155" s="140">
        <f t="shared" si="312"/>
        <v>1.5139990820294533E-2</v>
      </c>
      <c r="BY155" s="140">
        <f t="shared" si="312"/>
        <v>1.5098450716372475E-2</v>
      </c>
      <c r="BZ155" s="140">
        <f t="shared" si="312"/>
        <v>1.5053383405333541E-2</v>
      </c>
      <c r="CA155" s="140">
        <f t="shared" si="312"/>
        <v>1.5006882804115943E-2</v>
      </c>
      <c r="CB155" s="140">
        <f t="shared" si="312"/>
        <v>1.4956970602103221E-2</v>
      </c>
      <c r="CC155" s="17"/>
      <c r="CD155" s="17"/>
      <c r="CE155" s="17"/>
    </row>
    <row r="156" spans="1:83">
      <c r="A156" s="16" t="s">
        <v>44</v>
      </c>
      <c r="B156" s="140">
        <f>EXP(-B155*B154)</f>
        <v>0.99855497563263396</v>
      </c>
      <c r="C156" s="140">
        <f t="shared" ref="C156:AR156" si="313">EXP(-C155*C154)</f>
        <v>0.99519204045951504</v>
      </c>
      <c r="D156" s="140">
        <f t="shared" si="313"/>
        <v>0.99253284091721428</v>
      </c>
      <c r="E156" s="140">
        <f t="shared" si="313"/>
        <v>0.99027153599581197</v>
      </c>
      <c r="F156" s="140">
        <f t="shared" si="313"/>
        <v>0.98824470301905865</v>
      </c>
      <c r="G156" s="140">
        <f t="shared" si="313"/>
        <v>0.98623323918457029</v>
      </c>
      <c r="H156" s="140">
        <f t="shared" si="313"/>
        <v>0.98414588653753776</v>
      </c>
      <c r="I156" s="140">
        <f t="shared" si="313"/>
        <v>0.98182878321440181</v>
      </c>
      <c r="J156" s="140">
        <f t="shared" si="313"/>
        <v>0.97925297021171376</v>
      </c>
      <c r="K156" s="140">
        <f t="shared" si="313"/>
        <v>0.97631874379111216</v>
      </c>
      <c r="L156" s="140">
        <f t="shared" si="313"/>
        <v>0.97301840615981727</v>
      </c>
      <c r="M156" s="140">
        <f t="shared" si="313"/>
        <v>0.96926784081880513</v>
      </c>
      <c r="N156" s="140">
        <f t="shared" si="313"/>
        <v>0.96513735281227286</v>
      </c>
      <c r="O156" s="140">
        <f t="shared" si="313"/>
        <v>0.96053249346291691</v>
      </c>
      <c r="P156" s="140">
        <f t="shared" si="313"/>
        <v>0.95556142867520444</v>
      </c>
      <c r="Q156" s="140">
        <f t="shared" si="313"/>
        <v>0.95012648715655534</v>
      </c>
      <c r="R156" s="140">
        <f t="shared" si="313"/>
        <v>0.94436633701088435</v>
      </c>
      <c r="S156" s="140">
        <f t="shared" si="313"/>
        <v>0.93821039454734889</v>
      </c>
      <c r="T156" s="140">
        <f t="shared" si="313"/>
        <v>0.93175253519341095</v>
      </c>
      <c r="U156" s="140">
        <f t="shared" si="313"/>
        <v>0.92490970074411993</v>
      </c>
      <c r="V156" s="140">
        <f t="shared" si="313"/>
        <v>0.91786201246821175</v>
      </c>
      <c r="W156" s="140">
        <f t="shared" si="313"/>
        <v>0.91048192507512948</v>
      </c>
      <c r="X156" s="140">
        <f t="shared" si="313"/>
        <v>0.90296210463507987</v>
      </c>
      <c r="Y156" s="140">
        <f t="shared" si="313"/>
        <v>0.89516414180979886</v>
      </c>
      <c r="Z156" s="140">
        <f t="shared" si="313"/>
        <v>0.88728883760621746</v>
      </c>
      <c r="AA156" s="140">
        <f t="shared" si="313"/>
        <v>0.87923317417281033</v>
      </c>
      <c r="AB156" s="140">
        <f t="shared" si="313"/>
        <v>0.87111280504662225</v>
      </c>
      <c r="AC156" s="140">
        <f t="shared" si="313"/>
        <v>0.86281595221772611</v>
      </c>
      <c r="AD156" s="140">
        <f t="shared" si="313"/>
        <v>0.85454942585660731</v>
      </c>
      <c r="AE156" s="140">
        <f t="shared" si="313"/>
        <v>0.84615075803900142</v>
      </c>
      <c r="AF156" s="140">
        <f t="shared" si="313"/>
        <v>0.83782593417271878</v>
      </c>
      <c r="AG156" s="140">
        <f t="shared" si="313"/>
        <v>0.82940803085221204</v>
      </c>
      <c r="AH156" s="140">
        <f t="shared" si="313"/>
        <v>0.82110036972946787</v>
      </c>
      <c r="AI156" s="140">
        <f t="shared" si="313"/>
        <v>0.81277944058592266</v>
      </c>
      <c r="AJ156" s="140">
        <f t="shared" si="313"/>
        <v>0.80455198167676012</v>
      </c>
      <c r="AK156" s="140">
        <f t="shared" si="313"/>
        <v>0.79629363367482675</v>
      </c>
      <c r="AL156" s="140">
        <f t="shared" si="313"/>
        <v>0.78819854858219918</v>
      </c>
      <c r="AM156" s="140">
        <f t="shared" si="313"/>
        <v>0.78009638552923855</v>
      </c>
      <c r="AN156" s="140">
        <f t="shared" si="313"/>
        <v>0.77217542504290337</v>
      </c>
      <c r="AO156" s="140">
        <f t="shared" si="313"/>
        <v>0.76426691479592634</v>
      </c>
      <c r="AP156" s="140">
        <f t="shared" si="313"/>
        <v>0.75655273934196077</v>
      </c>
      <c r="AQ156" s="140">
        <f t="shared" si="313"/>
        <v>0.74890891025089656</v>
      </c>
      <c r="AR156" s="140">
        <f t="shared" si="313"/>
        <v>0.74142563022862495</v>
      </c>
      <c r="AS156" s="140">
        <f>EXP(-AS155*AS154)</f>
        <v>0.73398302709917784</v>
      </c>
      <c r="AT156" s="140">
        <f t="shared" ref="AT156:CA156" si="314">EXP(-AT155*AT154)</f>
        <v>0.72674933970314914</v>
      </c>
      <c r="AU156" s="140">
        <f t="shared" si="314"/>
        <v>0.71956605853788136</v>
      </c>
      <c r="AV156" s="140">
        <f t="shared" si="314"/>
        <v>0.71259441134551837</v>
      </c>
      <c r="AW156" s="140">
        <f t="shared" si="314"/>
        <v>0.70568056441780747</v>
      </c>
      <c r="AX156" s="140">
        <f t="shared" si="314"/>
        <v>0.6989787391232547</v>
      </c>
      <c r="AY156" s="140">
        <f t="shared" si="314"/>
        <v>0.69237646265828745</v>
      </c>
      <c r="AZ156" s="140">
        <f t="shared" si="314"/>
        <v>0.68591213710551135</v>
      </c>
      <c r="BA156" s="140">
        <f t="shared" si="314"/>
        <v>0.6795859809467435</v>
      </c>
      <c r="BB156" s="140">
        <f t="shared" si="314"/>
        <v>0.67339788916870214</v>
      </c>
      <c r="BC156" s="140">
        <f t="shared" si="314"/>
        <v>0.66734746985618942</v>
      </c>
      <c r="BD156" s="140">
        <f t="shared" si="314"/>
        <v>0.66143407775755492</v>
      </c>
      <c r="BE156" s="140">
        <f t="shared" si="314"/>
        <v>0.65565684499254229</v>
      </c>
      <c r="BF156" s="140">
        <f t="shared" si="314"/>
        <v>0.65001470907592218</v>
      </c>
      <c r="BG156" s="140">
        <f t="shared" si="314"/>
        <v>0.64456691089974116</v>
      </c>
      <c r="BH156" s="140">
        <f t="shared" si="314"/>
        <v>0.63916015775108004</v>
      </c>
      <c r="BI156" s="140">
        <f t="shared" si="314"/>
        <v>0.63397220657584241</v>
      </c>
      <c r="BJ156" s="140">
        <f t="shared" si="314"/>
        <v>0.62879850227120504</v>
      </c>
      <c r="BK156" s="140">
        <f t="shared" si="314"/>
        <v>0.62386478922881072</v>
      </c>
      <c r="BL156" s="140">
        <f t="shared" si="314"/>
        <v>0.61894753148820547</v>
      </c>
      <c r="BM156" s="140">
        <f t="shared" si="314"/>
        <v>0.61426106984178386</v>
      </c>
      <c r="BN156" s="140">
        <f t="shared" si="314"/>
        <v>0.60959287226999181</v>
      </c>
      <c r="BO156" s="140">
        <f t="shared" si="314"/>
        <v>0.60514624974811937</v>
      </c>
      <c r="BP156" s="140">
        <f t="shared" si="314"/>
        <v>0.60074338271261962</v>
      </c>
      <c r="BQ156" s="140">
        <f t="shared" si="314"/>
        <v>0.59652830403065815</v>
      </c>
      <c r="BR156" s="140">
        <f t="shared" si="314"/>
        <v>0.59233423272946117</v>
      </c>
      <c r="BS156" s="140">
        <f t="shared" si="314"/>
        <v>0.58834358402934772</v>
      </c>
      <c r="BT156" s="140">
        <f t="shared" si="314"/>
        <v>0.58437500847992496</v>
      </c>
      <c r="BU156" s="140">
        <f t="shared" si="314"/>
        <v>0.580601021337107</v>
      </c>
      <c r="BV156" s="140">
        <f t="shared" si="314"/>
        <v>0.57685003321721084</v>
      </c>
      <c r="BW156" s="140">
        <f t="shared" si="314"/>
        <v>0.57328502552493288</v>
      </c>
      <c r="BX156" s="140">
        <f t="shared" si="314"/>
        <v>0.56976301370712035</v>
      </c>
      <c r="BY156" s="140">
        <f t="shared" si="314"/>
        <v>0.56639890522417169</v>
      </c>
      <c r="BZ156" s="140">
        <f t="shared" si="314"/>
        <v>0.56305936811386703</v>
      </c>
      <c r="CA156" s="140">
        <f t="shared" si="314"/>
        <v>0.55988939685317196</v>
      </c>
      <c r="CB156" s="140">
        <f>EXP(-CB155*CB154)</f>
        <v>0.55674469948195526</v>
      </c>
      <c r="CC156" s="17"/>
      <c r="CD156" s="17"/>
      <c r="CE156" s="17"/>
    </row>
    <row r="157" spans="1:83">
      <c r="A157" s="17"/>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17"/>
      <c r="CD157" s="17"/>
      <c r="CE157" s="17"/>
    </row>
    <row r="158" spans="1:83">
      <c r="A158" s="16" t="s">
        <v>40</v>
      </c>
      <c r="B158" s="140">
        <f t="shared" ref="B158:AG158" si="315">DAYS360($B$3,B54)</f>
        <v>20</v>
      </c>
      <c r="C158" s="140">
        <f t="shared" si="315"/>
        <v>198</v>
      </c>
      <c r="D158" s="140">
        <f t="shared" si="315"/>
        <v>379</v>
      </c>
      <c r="E158" s="140">
        <f t="shared" si="315"/>
        <v>557</v>
      </c>
      <c r="F158" s="140">
        <f t="shared" si="315"/>
        <v>739</v>
      </c>
      <c r="G158" s="140">
        <f t="shared" si="315"/>
        <v>917</v>
      </c>
      <c r="H158" s="140">
        <f t="shared" si="315"/>
        <v>1099</v>
      </c>
      <c r="I158" s="140">
        <f t="shared" si="315"/>
        <v>1277</v>
      </c>
      <c r="J158" s="140">
        <f t="shared" si="315"/>
        <v>1459</v>
      </c>
      <c r="K158" s="140">
        <f t="shared" si="315"/>
        <v>1637</v>
      </c>
      <c r="L158" s="140">
        <f t="shared" si="315"/>
        <v>1818</v>
      </c>
      <c r="M158" s="140">
        <f t="shared" si="315"/>
        <v>1996</v>
      </c>
      <c r="N158" s="140">
        <f t="shared" si="315"/>
        <v>2178</v>
      </c>
      <c r="O158" s="140">
        <f t="shared" si="315"/>
        <v>2356</v>
      </c>
      <c r="P158" s="140">
        <f t="shared" si="315"/>
        <v>2538</v>
      </c>
      <c r="Q158" s="140">
        <f t="shared" si="315"/>
        <v>2716</v>
      </c>
      <c r="R158" s="140">
        <f t="shared" si="315"/>
        <v>2898</v>
      </c>
      <c r="S158" s="140">
        <f t="shared" si="315"/>
        <v>3076</v>
      </c>
      <c r="T158" s="140">
        <f t="shared" si="315"/>
        <v>3257</v>
      </c>
      <c r="U158" s="140">
        <f t="shared" si="315"/>
        <v>3435</v>
      </c>
      <c r="V158" s="140">
        <f t="shared" si="315"/>
        <v>3617</v>
      </c>
      <c r="W158" s="140">
        <f t="shared" si="315"/>
        <v>3795</v>
      </c>
      <c r="X158" s="140">
        <f t="shared" si="315"/>
        <v>3977</v>
      </c>
      <c r="Y158" s="140">
        <f t="shared" si="315"/>
        <v>4155</v>
      </c>
      <c r="Z158" s="140">
        <f t="shared" si="315"/>
        <v>4337</v>
      </c>
      <c r="AA158" s="140">
        <f t="shared" si="315"/>
        <v>4515</v>
      </c>
      <c r="AB158" s="140">
        <f t="shared" si="315"/>
        <v>4696</v>
      </c>
      <c r="AC158" s="140">
        <f t="shared" si="315"/>
        <v>4874</v>
      </c>
      <c r="AD158" s="140">
        <f t="shared" si="315"/>
        <v>5056</v>
      </c>
      <c r="AE158" s="140">
        <f t="shared" si="315"/>
        <v>5234</v>
      </c>
      <c r="AF158" s="140">
        <f t="shared" si="315"/>
        <v>5416</v>
      </c>
      <c r="AG158" s="140">
        <f t="shared" si="315"/>
        <v>5594</v>
      </c>
      <c r="AH158" s="140">
        <f t="shared" ref="AH158:BM158" si="316">DAYS360($B$3,AH54)</f>
        <v>5776</v>
      </c>
      <c r="AI158" s="140">
        <f t="shared" si="316"/>
        <v>5954</v>
      </c>
      <c r="AJ158" s="140">
        <f t="shared" si="316"/>
        <v>6135</v>
      </c>
      <c r="AK158" s="140">
        <f t="shared" si="316"/>
        <v>6313</v>
      </c>
      <c r="AL158" s="140">
        <f t="shared" si="316"/>
        <v>6495</v>
      </c>
      <c r="AM158" s="140">
        <f t="shared" si="316"/>
        <v>6673</v>
      </c>
      <c r="AN158" s="140">
        <f t="shared" si="316"/>
        <v>6855</v>
      </c>
      <c r="AO158" s="140">
        <f t="shared" si="316"/>
        <v>7033</v>
      </c>
      <c r="AP158" s="140">
        <f t="shared" si="316"/>
        <v>7215</v>
      </c>
      <c r="AQ158" s="140">
        <f t="shared" si="316"/>
        <v>7393</v>
      </c>
      <c r="AR158" s="140">
        <f t="shared" si="316"/>
        <v>7574</v>
      </c>
      <c r="AS158" s="140">
        <f t="shared" si="316"/>
        <v>7752</v>
      </c>
      <c r="AT158" s="140">
        <f t="shared" si="316"/>
        <v>7934</v>
      </c>
      <c r="AU158" s="140">
        <f t="shared" si="316"/>
        <v>8112</v>
      </c>
      <c r="AV158" s="140">
        <f t="shared" si="316"/>
        <v>8294</v>
      </c>
      <c r="AW158" s="140">
        <f t="shared" si="316"/>
        <v>8472</v>
      </c>
      <c r="AX158" s="140">
        <f t="shared" si="316"/>
        <v>8654</v>
      </c>
      <c r="AY158" s="140">
        <f t="shared" si="316"/>
        <v>8832</v>
      </c>
      <c r="AZ158" s="140">
        <f t="shared" si="316"/>
        <v>9013</v>
      </c>
      <c r="BA158" s="140">
        <f t="shared" si="316"/>
        <v>9191</v>
      </c>
      <c r="BB158" s="140">
        <f t="shared" si="316"/>
        <v>9373</v>
      </c>
      <c r="BC158" s="140">
        <f t="shared" si="316"/>
        <v>9551</v>
      </c>
      <c r="BD158" s="140">
        <f t="shared" si="316"/>
        <v>9733</v>
      </c>
      <c r="BE158" s="140">
        <f t="shared" si="316"/>
        <v>9911</v>
      </c>
      <c r="BF158" s="140">
        <f t="shared" si="316"/>
        <v>10093</v>
      </c>
      <c r="BG158" s="140">
        <f t="shared" si="316"/>
        <v>10271</v>
      </c>
      <c r="BH158" s="140">
        <f t="shared" si="316"/>
        <v>10452</v>
      </c>
      <c r="BI158" s="140">
        <f t="shared" si="316"/>
        <v>10630</v>
      </c>
      <c r="BJ158" s="140">
        <f t="shared" si="316"/>
        <v>10812</v>
      </c>
      <c r="BK158" s="140">
        <f t="shared" si="316"/>
        <v>10990</v>
      </c>
      <c r="BL158" s="140">
        <f t="shared" si="316"/>
        <v>11172</v>
      </c>
      <c r="BM158" s="140">
        <f t="shared" si="316"/>
        <v>11350</v>
      </c>
      <c r="BN158" s="140">
        <f t="shared" ref="BN158:CB158" si="317">DAYS360($B$3,BN54)</f>
        <v>11532</v>
      </c>
      <c r="BO158" s="140">
        <f t="shared" si="317"/>
        <v>11710</v>
      </c>
      <c r="BP158" s="140">
        <f t="shared" si="317"/>
        <v>11891</v>
      </c>
      <c r="BQ158" s="140">
        <f t="shared" si="317"/>
        <v>12069</v>
      </c>
      <c r="BR158" s="140">
        <f t="shared" si="317"/>
        <v>12251</v>
      </c>
      <c r="BS158" s="140">
        <f t="shared" si="317"/>
        <v>12429</v>
      </c>
      <c r="BT158" s="140">
        <f t="shared" si="317"/>
        <v>12611</v>
      </c>
      <c r="BU158" s="140">
        <f t="shared" si="317"/>
        <v>12789</v>
      </c>
      <c r="BV158" s="140">
        <f t="shared" si="317"/>
        <v>12971</v>
      </c>
      <c r="BW158" s="140">
        <f t="shared" si="317"/>
        <v>13149</v>
      </c>
      <c r="BX158" s="140">
        <f t="shared" si="317"/>
        <v>13330</v>
      </c>
      <c r="BY158" s="140">
        <f t="shared" si="317"/>
        <v>13508</v>
      </c>
      <c r="BZ158" s="140">
        <f t="shared" si="317"/>
        <v>13690</v>
      </c>
      <c r="CA158" s="140">
        <f t="shared" si="317"/>
        <v>13868</v>
      </c>
      <c r="CB158" s="140">
        <f t="shared" si="317"/>
        <v>14050</v>
      </c>
      <c r="CC158" s="17"/>
      <c r="CD158" s="17"/>
      <c r="CE158" s="17"/>
    </row>
    <row r="159" spans="1:83">
      <c r="A159" s="16" t="s">
        <v>41</v>
      </c>
      <c r="B159" s="140">
        <f>B158/360</f>
        <v>5.5555555555555552E-2</v>
      </c>
      <c r="C159" s="140">
        <f t="shared" ref="C159:BN159" si="318">C158/360</f>
        <v>0.55000000000000004</v>
      </c>
      <c r="D159" s="140">
        <f t="shared" si="318"/>
        <v>1.0527777777777778</v>
      </c>
      <c r="E159" s="140">
        <f t="shared" si="318"/>
        <v>1.5472222222222223</v>
      </c>
      <c r="F159" s="140">
        <f t="shared" si="318"/>
        <v>2.0527777777777776</v>
      </c>
      <c r="G159" s="140">
        <f t="shared" si="318"/>
        <v>2.5472222222222221</v>
      </c>
      <c r="H159" s="140">
        <f t="shared" si="318"/>
        <v>3.0527777777777776</v>
      </c>
      <c r="I159" s="140">
        <f t="shared" si="318"/>
        <v>3.5472222222222221</v>
      </c>
      <c r="J159" s="140">
        <f t="shared" si="318"/>
        <v>4.052777777777778</v>
      </c>
      <c r="K159" s="140">
        <f t="shared" si="318"/>
        <v>4.5472222222222225</v>
      </c>
      <c r="L159" s="140">
        <f t="shared" si="318"/>
        <v>5.05</v>
      </c>
      <c r="M159" s="140">
        <f t="shared" si="318"/>
        <v>5.5444444444444443</v>
      </c>
      <c r="N159" s="140">
        <f t="shared" si="318"/>
        <v>6.05</v>
      </c>
      <c r="O159" s="140">
        <f t="shared" si="318"/>
        <v>6.5444444444444443</v>
      </c>
      <c r="P159" s="140">
        <f t="shared" si="318"/>
        <v>7.05</v>
      </c>
      <c r="Q159" s="140">
        <f t="shared" si="318"/>
        <v>7.5444444444444443</v>
      </c>
      <c r="R159" s="140">
        <f t="shared" si="318"/>
        <v>8.0500000000000007</v>
      </c>
      <c r="S159" s="140">
        <f t="shared" si="318"/>
        <v>8.5444444444444443</v>
      </c>
      <c r="T159" s="140">
        <f t="shared" si="318"/>
        <v>9.0472222222222225</v>
      </c>
      <c r="U159" s="140">
        <f t="shared" si="318"/>
        <v>9.5416666666666661</v>
      </c>
      <c r="V159" s="140">
        <f t="shared" si="318"/>
        <v>10.047222222222222</v>
      </c>
      <c r="W159" s="140">
        <f t="shared" si="318"/>
        <v>10.541666666666666</v>
      </c>
      <c r="X159" s="140">
        <f t="shared" si="318"/>
        <v>11.047222222222222</v>
      </c>
      <c r="Y159" s="140">
        <f t="shared" si="318"/>
        <v>11.541666666666666</v>
      </c>
      <c r="Z159" s="140">
        <f t="shared" si="318"/>
        <v>12.047222222222222</v>
      </c>
      <c r="AA159" s="140">
        <f t="shared" si="318"/>
        <v>12.541666666666666</v>
      </c>
      <c r="AB159" s="140">
        <f t="shared" si="318"/>
        <v>13.044444444444444</v>
      </c>
      <c r="AC159" s="140">
        <f t="shared" si="318"/>
        <v>13.53888888888889</v>
      </c>
      <c r="AD159" s="140">
        <f t="shared" si="318"/>
        <v>14.044444444444444</v>
      </c>
      <c r="AE159" s="140">
        <f t="shared" si="318"/>
        <v>14.53888888888889</v>
      </c>
      <c r="AF159" s="140">
        <f t="shared" si="318"/>
        <v>15.044444444444444</v>
      </c>
      <c r="AG159" s="140">
        <f t="shared" si="318"/>
        <v>15.53888888888889</v>
      </c>
      <c r="AH159" s="140">
        <f t="shared" si="318"/>
        <v>16.044444444444444</v>
      </c>
      <c r="AI159" s="140">
        <f t="shared" si="318"/>
        <v>16.538888888888888</v>
      </c>
      <c r="AJ159" s="140">
        <f t="shared" si="318"/>
        <v>17.041666666666668</v>
      </c>
      <c r="AK159" s="140">
        <f t="shared" si="318"/>
        <v>17.536111111111111</v>
      </c>
      <c r="AL159" s="140">
        <f t="shared" si="318"/>
        <v>18.041666666666668</v>
      </c>
      <c r="AM159" s="140">
        <f t="shared" si="318"/>
        <v>18.536111111111111</v>
      </c>
      <c r="AN159" s="140">
        <f t="shared" si="318"/>
        <v>19.041666666666668</v>
      </c>
      <c r="AO159" s="140">
        <f t="shared" si="318"/>
        <v>19.536111111111111</v>
      </c>
      <c r="AP159" s="140">
        <f t="shared" si="318"/>
        <v>20.041666666666668</v>
      </c>
      <c r="AQ159" s="140">
        <f t="shared" si="318"/>
        <v>20.536111111111111</v>
      </c>
      <c r="AR159" s="140">
        <f t="shared" si="318"/>
        <v>21.038888888888888</v>
      </c>
      <c r="AS159" s="140">
        <f t="shared" si="318"/>
        <v>21.533333333333335</v>
      </c>
      <c r="AT159" s="140">
        <f t="shared" si="318"/>
        <v>22.038888888888888</v>
      </c>
      <c r="AU159" s="140">
        <f t="shared" si="318"/>
        <v>22.533333333333335</v>
      </c>
      <c r="AV159" s="140">
        <f t="shared" si="318"/>
        <v>23.038888888888888</v>
      </c>
      <c r="AW159" s="140">
        <f t="shared" si="318"/>
        <v>23.533333333333335</v>
      </c>
      <c r="AX159" s="140">
        <f t="shared" si="318"/>
        <v>24.038888888888888</v>
      </c>
      <c r="AY159" s="140">
        <f t="shared" si="318"/>
        <v>24.533333333333335</v>
      </c>
      <c r="AZ159" s="140">
        <f t="shared" si="318"/>
        <v>25.036111111111111</v>
      </c>
      <c r="BA159" s="140">
        <f t="shared" si="318"/>
        <v>25.530555555555555</v>
      </c>
      <c r="BB159" s="140">
        <f t="shared" si="318"/>
        <v>26.036111111111111</v>
      </c>
      <c r="BC159" s="140">
        <f t="shared" si="318"/>
        <v>26.530555555555555</v>
      </c>
      <c r="BD159" s="140">
        <f t="shared" si="318"/>
        <v>27.036111111111111</v>
      </c>
      <c r="BE159" s="140">
        <f t="shared" si="318"/>
        <v>27.530555555555555</v>
      </c>
      <c r="BF159" s="140">
        <f t="shared" si="318"/>
        <v>28.036111111111111</v>
      </c>
      <c r="BG159" s="140">
        <f t="shared" si="318"/>
        <v>28.530555555555555</v>
      </c>
      <c r="BH159" s="140">
        <f t="shared" si="318"/>
        <v>29.033333333333335</v>
      </c>
      <c r="BI159" s="140">
        <f t="shared" si="318"/>
        <v>29.527777777777779</v>
      </c>
      <c r="BJ159" s="140">
        <f t="shared" si="318"/>
        <v>30.033333333333335</v>
      </c>
      <c r="BK159" s="140">
        <f t="shared" si="318"/>
        <v>30.527777777777779</v>
      </c>
      <c r="BL159" s="140">
        <f t="shared" si="318"/>
        <v>31.033333333333335</v>
      </c>
      <c r="BM159" s="140">
        <f t="shared" si="318"/>
        <v>31.527777777777779</v>
      </c>
      <c r="BN159" s="140">
        <f t="shared" si="318"/>
        <v>32.033333333333331</v>
      </c>
      <c r="BO159" s="140">
        <f t="shared" ref="BO159:CB159" si="319">BO158/360</f>
        <v>32.527777777777779</v>
      </c>
      <c r="BP159" s="140">
        <f t="shared" si="319"/>
        <v>33.030555555555559</v>
      </c>
      <c r="BQ159" s="140">
        <f t="shared" si="319"/>
        <v>33.524999999999999</v>
      </c>
      <c r="BR159" s="140">
        <f t="shared" si="319"/>
        <v>34.030555555555559</v>
      </c>
      <c r="BS159" s="140">
        <f t="shared" si="319"/>
        <v>34.524999999999999</v>
      </c>
      <c r="BT159" s="140">
        <f t="shared" si="319"/>
        <v>35.030555555555559</v>
      </c>
      <c r="BU159" s="140">
        <f t="shared" si="319"/>
        <v>35.524999999999999</v>
      </c>
      <c r="BV159" s="140">
        <f t="shared" si="319"/>
        <v>36.030555555555559</v>
      </c>
      <c r="BW159" s="140">
        <f t="shared" si="319"/>
        <v>36.524999999999999</v>
      </c>
      <c r="BX159" s="140">
        <f t="shared" si="319"/>
        <v>37.027777777777779</v>
      </c>
      <c r="BY159" s="140">
        <f t="shared" si="319"/>
        <v>37.522222222222226</v>
      </c>
      <c r="BZ159" s="140">
        <f t="shared" si="319"/>
        <v>38.027777777777779</v>
      </c>
      <c r="CA159" s="140">
        <f t="shared" si="319"/>
        <v>38.522222222222226</v>
      </c>
      <c r="CB159" s="140">
        <f t="shared" si="319"/>
        <v>39.027777777777779</v>
      </c>
      <c r="CC159" s="17"/>
      <c r="CD159" s="17"/>
      <c r="CE159" s="17"/>
    </row>
    <row r="160" spans="1:83">
      <c r="A160" s="16" t="s">
        <v>43</v>
      </c>
      <c r="B160" s="140">
        <f>IF(B158&lt;0,0,$B$5+$B$6*((1-EXP(-B159/$B$9))/(B159/$B$9))+$B$7*((1-EXP(-B159/$B$9))/(B159/$B$9)-EXP(-B159/$B$9))+$B$8*((1-EXP(-B159/$B$10))/(B159/$B$10)-EXP(-B159/$B$10)))</f>
        <v>8.2764988792857052E-3</v>
      </c>
      <c r="C160" s="140">
        <f t="shared" ref="C160:BN160" si="320">IF(C158&lt;0,0,$B$5+$B$6*((1-EXP(-C159/$B$9))/(C159/$B$9))+$B$7*((1-EXP(-C159/$B$9))/(C159/$B$9)-EXP(-C159/$B$9))+$B$8*((1-EXP(-C159/$B$10))/(C159/$B$10)-EXP(-C159/$B$10)))</f>
        <v>7.3028593642107077E-3</v>
      </c>
      <c r="D160" s="140">
        <f t="shared" si="320"/>
        <v>6.5267155698988354E-3</v>
      </c>
      <c r="E160" s="140">
        <f t="shared" si="320"/>
        <v>5.9460137474415357E-3</v>
      </c>
      <c r="F160" s="140">
        <f t="shared" si="320"/>
        <v>5.5140694759139696E-3</v>
      </c>
      <c r="G160" s="140">
        <f t="shared" si="320"/>
        <v>5.2280360977632967E-3</v>
      </c>
      <c r="H160" s="140">
        <f t="shared" si="320"/>
        <v>5.0551995460983599E-3</v>
      </c>
      <c r="I160" s="140">
        <f t="shared" si="320"/>
        <v>4.9861527216115116E-3</v>
      </c>
      <c r="J160" s="140">
        <f t="shared" si="320"/>
        <v>5.0023609128132755E-3</v>
      </c>
      <c r="K160" s="140">
        <f t="shared" si="320"/>
        <v>5.0899307052893073E-3</v>
      </c>
      <c r="L160" s="140">
        <f t="shared" si="320"/>
        <v>5.2398889671694121E-3</v>
      </c>
      <c r="M160" s="140">
        <f t="shared" si="320"/>
        <v>5.4371482234945511E-3</v>
      </c>
      <c r="N160" s="140">
        <f t="shared" si="320"/>
        <v>5.6807334584393285E-3</v>
      </c>
      <c r="O160" s="140">
        <f t="shared" si="320"/>
        <v>5.95215345634411E-3</v>
      </c>
      <c r="P160" s="140">
        <f t="shared" si="320"/>
        <v>6.2566118635969687E-3</v>
      </c>
      <c r="Q160" s="140">
        <f t="shared" si="320"/>
        <v>6.5748155631721265E-3</v>
      </c>
      <c r="R160" s="140">
        <f t="shared" si="320"/>
        <v>6.9157805219007508E-3</v>
      </c>
      <c r="S160" s="140">
        <f t="shared" si="320"/>
        <v>7.260077850214171E-3</v>
      </c>
      <c r="T160" s="140">
        <f t="shared" si="320"/>
        <v>7.6172476155674544E-3</v>
      </c>
      <c r="U160" s="140">
        <f t="shared" si="320"/>
        <v>7.9721698767895692E-3</v>
      </c>
      <c r="V160" s="140">
        <f t="shared" si="320"/>
        <v>8.3359326032474354E-3</v>
      </c>
      <c r="W160" s="140">
        <f t="shared" si="320"/>
        <v>8.6901428084512136E-3</v>
      </c>
      <c r="X160" s="140">
        <f t="shared" si="320"/>
        <v>9.0486235507974896E-3</v>
      </c>
      <c r="Y160" s="140">
        <f t="shared" si="320"/>
        <v>9.3939057133490562E-3</v>
      </c>
      <c r="Z160" s="140">
        <f t="shared" si="320"/>
        <v>9.7400367525031662E-3</v>
      </c>
      <c r="AA160" s="140">
        <f t="shared" si="320"/>
        <v>1.0070622910259175E-2</v>
      </c>
      <c r="AB160" s="140">
        <f t="shared" si="320"/>
        <v>1.0397750757242721E-2</v>
      </c>
      <c r="AC160" s="140">
        <f t="shared" si="320"/>
        <v>1.0709807329030634E-2</v>
      </c>
      <c r="AD160" s="140">
        <f t="shared" si="320"/>
        <v>1.1018358212941337E-2</v>
      </c>
      <c r="AE160" s="140">
        <f t="shared" si="320"/>
        <v>1.130937665343161E-2</v>
      </c>
      <c r="AF160" s="140">
        <f t="shared" si="320"/>
        <v>1.1595592215962999E-2</v>
      </c>
      <c r="AG160" s="140">
        <f t="shared" si="320"/>
        <v>1.1864191737822716E-2</v>
      </c>
      <c r="AH160" s="140">
        <f t="shared" si="320"/>
        <v>1.2127103062173969E-2</v>
      </c>
      <c r="AI160" s="140">
        <f t="shared" si="320"/>
        <v>1.2372709039067236E-2</v>
      </c>
      <c r="AJ160" s="140">
        <f t="shared" si="320"/>
        <v>1.2610772657688596E-2</v>
      </c>
      <c r="AK160" s="140">
        <f t="shared" si="320"/>
        <v>1.2833466169370927E-2</v>
      </c>
      <c r="AL160" s="140">
        <f t="shared" si="320"/>
        <v>1.3049566081308386E-2</v>
      </c>
      <c r="AM160" s="140">
        <f t="shared" si="320"/>
        <v>1.3249726373084639E-2</v>
      </c>
      <c r="AN160" s="140">
        <f t="shared" si="320"/>
        <v>1.3443135056364425E-2</v>
      </c>
      <c r="AO160" s="140">
        <f t="shared" si="320"/>
        <v>1.3621504612100384E-2</v>
      </c>
      <c r="AP160" s="140">
        <f t="shared" si="320"/>
        <v>1.3793094950048511E-2</v>
      </c>
      <c r="AQ160" s="140">
        <f t="shared" si="320"/>
        <v>1.3950617485761027E-2</v>
      </c>
      <c r="AR160" s="140">
        <f t="shared" si="320"/>
        <v>1.4100626604374807E-2</v>
      </c>
      <c r="AS160" s="140">
        <f t="shared" si="320"/>
        <v>1.4238426020167743E-2</v>
      </c>
      <c r="AT160" s="140">
        <f t="shared" si="320"/>
        <v>1.4369645405550177E-2</v>
      </c>
      <c r="AU160" s="140">
        <f t="shared" si="320"/>
        <v>1.448880641252626E-2</v>
      </c>
      <c r="AV160" s="140">
        <f t="shared" si="320"/>
        <v>1.4601565360601755E-2</v>
      </c>
      <c r="AW160" s="140">
        <f t="shared" si="320"/>
        <v>1.470325837352756E-2</v>
      </c>
      <c r="AX160" s="140">
        <f t="shared" si="320"/>
        <v>1.4798756225779149E-2</v>
      </c>
      <c r="AY160" s="140">
        <f t="shared" si="320"/>
        <v>1.4884150373285318E-2</v>
      </c>
      <c r="AZ160" s="140">
        <f t="shared" si="320"/>
        <v>1.4963157885705559E-2</v>
      </c>
      <c r="BA160" s="140">
        <f t="shared" si="320"/>
        <v>1.5033439667369799E-2</v>
      </c>
      <c r="BB160" s="140">
        <f t="shared" si="320"/>
        <v>1.5097980642543961E-2</v>
      </c>
      <c r="BC160" s="140">
        <f t="shared" si="320"/>
        <v>1.5154214070689797E-2</v>
      </c>
      <c r="BD160" s="140">
        <f t="shared" si="320"/>
        <v>1.5204939135880982E-2</v>
      </c>
      <c r="BE160" s="140">
        <f t="shared" si="320"/>
        <v>1.5248183358952731E-2</v>
      </c>
      <c r="BF160" s="140">
        <f t="shared" si="320"/>
        <v>1.5286148019166047E-2</v>
      </c>
      <c r="BG160" s="140">
        <f t="shared" si="320"/>
        <v>1.531740732721551E-2</v>
      </c>
      <c r="BH160" s="140">
        <f t="shared" si="320"/>
        <v>1.5343480438668613E-2</v>
      </c>
      <c r="BI160" s="140">
        <f t="shared" si="320"/>
        <v>1.5363730236046409E-2</v>
      </c>
      <c r="BJ160" s="140">
        <f t="shared" si="320"/>
        <v>1.5379134444674199E-2</v>
      </c>
      <c r="BK160" s="140">
        <f t="shared" si="320"/>
        <v>1.5389229346375407E-2</v>
      </c>
      <c r="BL160" s="140">
        <f t="shared" si="320"/>
        <v>1.5394680860098169E-2</v>
      </c>
      <c r="BM160" s="140">
        <f t="shared" si="320"/>
        <v>1.5395448095484043E-2</v>
      </c>
      <c r="BN160" s="140">
        <f t="shared" si="320"/>
        <v>1.5391762863113476E-2</v>
      </c>
      <c r="BO160" s="140">
        <f t="shared" ref="BO160:CB160" si="321">IF(BO158&lt;0,0,$B$5+$B$6*((1-EXP(-BO159/$B$9))/(BO159/$B$9))+$B$7*((1-EXP(-BO159/$B$9))/(BO159/$B$9)-EXP(-BO159/$B$9))+$B$8*((1-EXP(-BO159/$B$10))/(BO159/$B$10)-EXP(-BO159/$B$10)))</f>
        <v>1.538397168240571E-2</v>
      </c>
      <c r="BP160" s="140">
        <f t="shared" si="321"/>
        <v>1.5371984660659961E-2</v>
      </c>
      <c r="BQ160" s="140">
        <f t="shared" si="321"/>
        <v>1.5356369312070416E-2</v>
      </c>
      <c r="BR160" s="140">
        <f t="shared" si="321"/>
        <v>1.5336648193228927E-2</v>
      </c>
      <c r="BS160" s="140">
        <f t="shared" si="321"/>
        <v>1.5313846225229246E-2</v>
      </c>
      <c r="BT160" s="140">
        <f t="shared" si="321"/>
        <v>1.5287095055264001E-2</v>
      </c>
      <c r="BU160" s="140">
        <f t="shared" si="321"/>
        <v>1.5257716466501932E-2</v>
      </c>
      <c r="BV160" s="140">
        <f t="shared" si="321"/>
        <v>1.5224534410645293E-2</v>
      </c>
      <c r="BW160" s="140">
        <f t="shared" si="321"/>
        <v>1.518914197453728E-2</v>
      </c>
      <c r="BX160" s="140">
        <f t="shared" si="321"/>
        <v>1.5150303830246129E-2</v>
      </c>
      <c r="BY160" s="140">
        <f t="shared" si="321"/>
        <v>1.5109430811779897E-2</v>
      </c>
      <c r="BZ160" s="140">
        <f t="shared" si="321"/>
        <v>1.5065015180959696E-2</v>
      </c>
      <c r="CA160" s="140">
        <f t="shared" si="321"/>
        <v>1.5019123411897956E-2</v>
      </c>
      <c r="CB160" s="140">
        <f t="shared" si="321"/>
        <v>1.4969805747965741E-2</v>
      </c>
      <c r="CC160" s="17"/>
      <c r="CD160" s="17"/>
      <c r="CE160" s="17"/>
    </row>
    <row r="161" spans="1:83">
      <c r="A161" s="16" t="s">
        <v>44</v>
      </c>
      <c r="B161" s="140">
        <f>EXP(-B160*B159)</f>
        <v>0.999540300201052</v>
      </c>
      <c r="C161" s="140">
        <f t="shared" ref="C161:AR161" si="322">EXP(-C160*C159)</f>
        <v>0.9959914829886497</v>
      </c>
      <c r="D161" s="140">
        <f t="shared" si="322"/>
        <v>0.99315237147550717</v>
      </c>
      <c r="E161" s="140">
        <f t="shared" si="322"/>
        <v>0.99084238412355163</v>
      </c>
      <c r="F161" s="140">
        <f t="shared" si="322"/>
        <v>0.9887446613724884</v>
      </c>
      <c r="G161" s="140">
        <f t="shared" si="322"/>
        <v>0.98677130881251696</v>
      </c>
      <c r="H161" s="140">
        <f t="shared" si="322"/>
        <v>0.98468606845642714</v>
      </c>
      <c r="I161" s="140">
        <f t="shared" si="322"/>
        <v>0.98246850499476757</v>
      </c>
      <c r="J161" s="140">
        <f t="shared" si="322"/>
        <v>0.97993066762282843</v>
      </c>
      <c r="K161" s="140">
        <f t="shared" si="322"/>
        <v>0.97712074602617682</v>
      </c>
      <c r="L161" s="140">
        <f t="shared" si="322"/>
        <v>0.9738855968372111</v>
      </c>
      <c r="M161" s="140">
        <f t="shared" si="322"/>
        <v>0.97030389157983354</v>
      </c>
      <c r="N161" s="140">
        <f t="shared" si="322"/>
        <v>0.96621544911877022</v>
      </c>
      <c r="O161" s="140">
        <f t="shared" si="322"/>
        <v>0.96179539541152981</v>
      </c>
      <c r="P161" s="140">
        <f t="shared" si="322"/>
        <v>0.95684954644144249</v>
      </c>
      <c r="Q161" s="140">
        <f t="shared" si="322"/>
        <v>0.95160682281043429</v>
      </c>
      <c r="R161" s="140">
        <f t="shared" si="322"/>
        <v>0.94584929219154334</v>
      </c>
      <c r="S161" s="140">
        <f t="shared" si="322"/>
        <v>0.93985155927450736</v>
      </c>
      <c r="T161" s="140">
        <f t="shared" si="322"/>
        <v>0.93340607978294965</v>
      </c>
      <c r="U161" s="140">
        <f t="shared" si="322"/>
        <v>0.92675338206623947</v>
      </c>
      <c r="V161" s="140">
        <f t="shared" si="322"/>
        <v>0.91965841374255708</v>
      </c>
      <c r="W161" s="140">
        <f t="shared" si="322"/>
        <v>0.91246222761897777</v>
      </c>
      <c r="X161" s="140">
        <f t="shared" si="322"/>
        <v>0.90487166210139069</v>
      </c>
      <c r="Y161" s="140">
        <f t="shared" si="322"/>
        <v>0.89724948005530536</v>
      </c>
      <c r="Z161" s="140">
        <f t="shared" si="322"/>
        <v>0.88928244127079692</v>
      </c>
      <c r="AA161" s="140">
        <f t="shared" si="322"/>
        <v>0.88134829057927178</v>
      </c>
      <c r="AB161" s="140">
        <f t="shared" si="322"/>
        <v>0.87316312746908287</v>
      </c>
      <c r="AC161" s="140">
        <f t="shared" si="322"/>
        <v>0.86502325203246788</v>
      </c>
      <c r="AD161" s="140">
        <f t="shared" si="322"/>
        <v>0.85663211797126959</v>
      </c>
      <c r="AE161" s="140">
        <f t="shared" si="322"/>
        <v>0.84838072942775711</v>
      </c>
      <c r="AF161" s="140">
        <f t="shared" si="322"/>
        <v>0.83991948503005653</v>
      </c>
      <c r="AG161" s="140">
        <f t="shared" si="322"/>
        <v>0.83163939035525158</v>
      </c>
      <c r="AH161" s="140">
        <f t="shared" si="322"/>
        <v>0.82318638694404833</v>
      </c>
      <c r="AI161" s="140">
        <f t="shared" si="322"/>
        <v>0.81494809079019415</v>
      </c>
      <c r="AJ161" s="140">
        <f t="shared" si="322"/>
        <v>0.80661517430638319</v>
      </c>
      <c r="AK161" s="140">
        <f t="shared" si="322"/>
        <v>0.79847702160890655</v>
      </c>
      <c r="AL161" s="140">
        <f t="shared" si="322"/>
        <v>0.790226297994296</v>
      </c>
      <c r="AM161" s="140">
        <f t="shared" si="322"/>
        <v>0.78223630776432751</v>
      </c>
      <c r="AN161" s="140">
        <f t="shared" si="322"/>
        <v>0.77415768658978157</v>
      </c>
      <c r="AO161" s="140">
        <f t="shared" si="322"/>
        <v>0.76635388305525631</v>
      </c>
      <c r="AP161" s="140">
        <f t="shared" si="322"/>
        <v>0.75848169678376054</v>
      </c>
      <c r="AQ161" s="140">
        <f t="shared" si="322"/>
        <v>0.75089351309310359</v>
      </c>
      <c r="AR161" s="140">
        <f t="shared" si="322"/>
        <v>0.74329556314979806</v>
      </c>
      <c r="AS161" s="140">
        <f>EXP(-AS160*AS159)</f>
        <v>0.73594435065551489</v>
      </c>
      <c r="AT161" s="140">
        <f t="shared" ref="AT161:CA161" si="323">EXP(-AT160*AT159)</f>
        <v>0.72855583065023233</v>
      </c>
      <c r="AU161" s="140">
        <f t="shared" si="323"/>
        <v>0.72145800723277476</v>
      </c>
      <c r="AV161" s="140">
        <f t="shared" si="323"/>
        <v>0.7143345692953067</v>
      </c>
      <c r="AW161" s="140">
        <f t="shared" si="323"/>
        <v>0.7075006856204672</v>
      </c>
      <c r="AX161" s="140">
        <f t="shared" si="323"/>
        <v>0.70065080347831199</v>
      </c>
      <c r="AY161" s="140">
        <f t="shared" si="323"/>
        <v>0.6940870996781574</v>
      </c>
      <c r="AZ161" s="140">
        <f t="shared" si="323"/>
        <v>0.68755099104460782</v>
      </c>
      <c r="BA161" s="140">
        <f t="shared" si="323"/>
        <v>0.68125944654082482</v>
      </c>
      <c r="BB161" s="140">
        <f t="shared" si="323"/>
        <v>0.67496617426674554</v>
      </c>
      <c r="BC161" s="140">
        <f t="shared" si="323"/>
        <v>0.66894748592960218</v>
      </c>
      <c r="BD161" s="140">
        <f t="shared" si="323"/>
        <v>0.66293228787399827</v>
      </c>
      <c r="BE161" s="140">
        <f t="shared" si="323"/>
        <v>0.65718418384035493</v>
      </c>
      <c r="BF161" s="140">
        <f t="shared" si="323"/>
        <v>0.65144380279016512</v>
      </c>
      <c r="BG161" s="140">
        <f t="shared" si="323"/>
        <v>0.64596229697652618</v>
      </c>
      <c r="BH161" s="140">
        <f t="shared" si="323"/>
        <v>0.64052163362177172</v>
      </c>
      <c r="BI161" s="140">
        <f t="shared" si="323"/>
        <v>0.63530072326528586</v>
      </c>
      <c r="BJ161" s="140">
        <f t="shared" si="323"/>
        <v>0.63009374369196736</v>
      </c>
      <c r="BK161" s="140">
        <f t="shared" si="323"/>
        <v>0.62512792283232144</v>
      </c>
      <c r="BL161" s="140">
        <f t="shared" si="323"/>
        <v>0.62017829934851065</v>
      </c>
      <c r="BM161" s="140">
        <f t="shared" si="323"/>
        <v>0.61546065050493159</v>
      </c>
      <c r="BN161" s="140">
        <f t="shared" si="323"/>
        <v>0.61076105373603129</v>
      </c>
      <c r="BO161" s="140">
        <f t="shared" si="323"/>
        <v>0.60628420832155927</v>
      </c>
      <c r="BP161" s="140">
        <f t="shared" si="323"/>
        <v>0.60185110790053276</v>
      </c>
      <c r="BQ161" s="140">
        <f t="shared" si="323"/>
        <v>0.59760679115086524</v>
      </c>
      <c r="BR161" s="140">
        <f t="shared" si="323"/>
        <v>0.59338333325975112</v>
      </c>
      <c r="BS161" s="140">
        <f t="shared" si="323"/>
        <v>0.58936444124600584</v>
      </c>
      <c r="BT161" s="140">
        <f t="shared" si="323"/>
        <v>0.58536749487442441</v>
      </c>
      <c r="BU161" s="140">
        <f t="shared" si="323"/>
        <v>0.58156625380793137</v>
      </c>
      <c r="BV161" s="140">
        <f t="shared" si="323"/>
        <v>0.5777878998736411</v>
      </c>
      <c r="BW161" s="140">
        <f t="shared" si="323"/>
        <v>0.57419661261769106</v>
      </c>
      <c r="BX161" s="140">
        <f t="shared" si="323"/>
        <v>0.57064836422861775</v>
      </c>
      <c r="BY161" s="140">
        <f t="shared" si="323"/>
        <v>0.56725892560788971</v>
      </c>
      <c r="BZ161" s="140">
        <f t="shared" si="323"/>
        <v>0.5638939655402434</v>
      </c>
      <c r="CA161" s="140">
        <f t="shared" si="323"/>
        <v>0.56069958855647062</v>
      </c>
      <c r="CB161" s="140">
        <f>EXP(-CB160*CB159)</f>
        <v>0.55753039770210144</v>
      </c>
      <c r="CC161" s="17"/>
      <c r="CD161" s="17"/>
      <c r="CE161" s="17"/>
    </row>
    <row r="162" spans="1:83">
      <c r="A162" s="17"/>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17"/>
      <c r="CD162" s="17"/>
      <c r="CE162" s="17"/>
    </row>
    <row r="163" spans="1:83">
      <c r="A163" s="16" t="s">
        <v>40</v>
      </c>
      <c r="B163" s="140">
        <f t="shared" ref="B163:AG163" si="324">DAYS360($B$3,B56)</f>
        <v>20</v>
      </c>
      <c r="C163" s="140">
        <f t="shared" si="324"/>
        <v>198</v>
      </c>
      <c r="D163" s="140">
        <f t="shared" si="324"/>
        <v>379</v>
      </c>
      <c r="E163" s="140">
        <f t="shared" si="324"/>
        <v>557</v>
      </c>
      <c r="F163" s="140">
        <f t="shared" si="324"/>
        <v>739</v>
      </c>
      <c r="G163" s="140">
        <f t="shared" si="324"/>
        <v>917</v>
      </c>
      <c r="H163" s="140">
        <f t="shared" si="324"/>
        <v>1099</v>
      </c>
      <c r="I163" s="140">
        <f t="shared" si="324"/>
        <v>1277</v>
      </c>
      <c r="J163" s="140">
        <f t="shared" si="324"/>
        <v>1459</v>
      </c>
      <c r="K163" s="140">
        <f t="shared" si="324"/>
        <v>1637</v>
      </c>
      <c r="L163" s="140">
        <f t="shared" si="324"/>
        <v>1818</v>
      </c>
      <c r="M163" s="140">
        <f t="shared" si="324"/>
        <v>1996</v>
      </c>
      <c r="N163" s="140">
        <f t="shared" si="324"/>
        <v>2178</v>
      </c>
      <c r="O163" s="140">
        <f t="shared" si="324"/>
        <v>2356</v>
      </c>
      <c r="P163" s="140">
        <f t="shared" si="324"/>
        <v>2538</v>
      </c>
      <c r="Q163" s="140">
        <f t="shared" si="324"/>
        <v>2716</v>
      </c>
      <c r="R163" s="140">
        <f t="shared" si="324"/>
        <v>2898</v>
      </c>
      <c r="S163" s="140">
        <f t="shared" si="324"/>
        <v>3076</v>
      </c>
      <c r="T163" s="140">
        <f t="shared" si="324"/>
        <v>3257</v>
      </c>
      <c r="U163" s="140">
        <f t="shared" si="324"/>
        <v>3435</v>
      </c>
      <c r="V163" s="140">
        <f t="shared" si="324"/>
        <v>3617</v>
      </c>
      <c r="W163" s="140">
        <f t="shared" si="324"/>
        <v>3795</v>
      </c>
      <c r="X163" s="140">
        <f t="shared" si="324"/>
        <v>3977</v>
      </c>
      <c r="Y163" s="140">
        <f t="shared" si="324"/>
        <v>4155</v>
      </c>
      <c r="Z163" s="140">
        <f t="shared" si="324"/>
        <v>4337</v>
      </c>
      <c r="AA163" s="140">
        <f t="shared" si="324"/>
        <v>4515</v>
      </c>
      <c r="AB163" s="140">
        <f t="shared" si="324"/>
        <v>4696</v>
      </c>
      <c r="AC163" s="140">
        <f t="shared" si="324"/>
        <v>4874</v>
      </c>
      <c r="AD163" s="140">
        <f t="shared" si="324"/>
        <v>5056</v>
      </c>
      <c r="AE163" s="140">
        <f t="shared" si="324"/>
        <v>5234</v>
      </c>
      <c r="AF163" s="140">
        <f t="shared" si="324"/>
        <v>5416</v>
      </c>
      <c r="AG163" s="140">
        <f t="shared" si="324"/>
        <v>5594</v>
      </c>
      <c r="AH163" s="140">
        <f t="shared" ref="AH163:BM163" si="325">DAYS360($B$3,AH56)</f>
        <v>5776</v>
      </c>
      <c r="AI163" s="140">
        <f t="shared" si="325"/>
        <v>5954</v>
      </c>
      <c r="AJ163" s="140">
        <f t="shared" si="325"/>
        <v>6135</v>
      </c>
      <c r="AK163" s="140">
        <f t="shared" si="325"/>
        <v>6313</v>
      </c>
      <c r="AL163" s="140">
        <f t="shared" si="325"/>
        <v>6495</v>
      </c>
      <c r="AM163" s="140">
        <f t="shared" si="325"/>
        <v>6673</v>
      </c>
      <c r="AN163" s="140">
        <f t="shared" si="325"/>
        <v>6855</v>
      </c>
      <c r="AO163" s="140">
        <f t="shared" si="325"/>
        <v>7033</v>
      </c>
      <c r="AP163" s="140">
        <f t="shared" si="325"/>
        <v>7215</v>
      </c>
      <c r="AQ163" s="140">
        <f t="shared" si="325"/>
        <v>7393</v>
      </c>
      <c r="AR163" s="140">
        <f t="shared" si="325"/>
        <v>7574</v>
      </c>
      <c r="AS163" s="140">
        <f t="shared" si="325"/>
        <v>7752</v>
      </c>
      <c r="AT163" s="140">
        <f t="shared" si="325"/>
        <v>7934</v>
      </c>
      <c r="AU163" s="140">
        <f t="shared" si="325"/>
        <v>8112</v>
      </c>
      <c r="AV163" s="140">
        <f t="shared" si="325"/>
        <v>8294</v>
      </c>
      <c r="AW163" s="140">
        <f t="shared" si="325"/>
        <v>8472</v>
      </c>
      <c r="AX163" s="140">
        <f t="shared" si="325"/>
        <v>8654</v>
      </c>
      <c r="AY163" s="140">
        <f t="shared" si="325"/>
        <v>8832</v>
      </c>
      <c r="AZ163" s="140">
        <f t="shared" si="325"/>
        <v>9013</v>
      </c>
      <c r="BA163" s="140">
        <f t="shared" si="325"/>
        <v>9191</v>
      </c>
      <c r="BB163" s="140">
        <f t="shared" si="325"/>
        <v>9373</v>
      </c>
      <c r="BC163" s="140">
        <f t="shared" si="325"/>
        <v>9551</v>
      </c>
      <c r="BD163" s="140">
        <f t="shared" si="325"/>
        <v>9733</v>
      </c>
      <c r="BE163" s="140">
        <f t="shared" si="325"/>
        <v>9911</v>
      </c>
      <c r="BF163" s="140">
        <f t="shared" si="325"/>
        <v>10093</v>
      </c>
      <c r="BG163" s="140">
        <f t="shared" si="325"/>
        <v>10271</v>
      </c>
      <c r="BH163" s="140">
        <f t="shared" si="325"/>
        <v>10452</v>
      </c>
      <c r="BI163" s="140">
        <f t="shared" si="325"/>
        <v>10630</v>
      </c>
      <c r="BJ163" s="140">
        <f t="shared" si="325"/>
        <v>10812</v>
      </c>
      <c r="BK163" s="140">
        <f t="shared" si="325"/>
        <v>10990</v>
      </c>
      <c r="BL163" s="140">
        <f t="shared" si="325"/>
        <v>11172</v>
      </c>
      <c r="BM163" s="140">
        <f t="shared" si="325"/>
        <v>11350</v>
      </c>
      <c r="BN163" s="140">
        <f t="shared" ref="BN163:CB163" si="326">DAYS360($B$3,BN56)</f>
        <v>11532</v>
      </c>
      <c r="BO163" s="140">
        <f t="shared" si="326"/>
        <v>11710</v>
      </c>
      <c r="BP163" s="140">
        <f t="shared" si="326"/>
        <v>11891</v>
      </c>
      <c r="BQ163" s="140">
        <f t="shared" si="326"/>
        <v>12069</v>
      </c>
      <c r="BR163" s="140">
        <f t="shared" si="326"/>
        <v>12251</v>
      </c>
      <c r="BS163" s="140">
        <f t="shared" si="326"/>
        <v>12429</v>
      </c>
      <c r="BT163" s="140">
        <f t="shared" si="326"/>
        <v>12611</v>
      </c>
      <c r="BU163" s="140">
        <f t="shared" si="326"/>
        <v>12789</v>
      </c>
      <c r="BV163" s="140">
        <f t="shared" si="326"/>
        <v>12971</v>
      </c>
      <c r="BW163" s="140">
        <f t="shared" si="326"/>
        <v>13149</v>
      </c>
      <c r="BX163" s="140">
        <f t="shared" si="326"/>
        <v>13330</v>
      </c>
      <c r="BY163" s="140">
        <f t="shared" si="326"/>
        <v>13508</v>
      </c>
      <c r="BZ163" s="140">
        <f t="shared" si="326"/>
        <v>13690</v>
      </c>
      <c r="CA163" s="140">
        <f t="shared" si="326"/>
        <v>13868</v>
      </c>
      <c r="CB163" s="140">
        <f t="shared" si="326"/>
        <v>14050</v>
      </c>
      <c r="CC163" s="17"/>
      <c r="CD163" s="17"/>
      <c r="CE163" s="17"/>
    </row>
    <row r="164" spans="1:83">
      <c r="A164" s="16" t="s">
        <v>41</v>
      </c>
      <c r="B164" s="140">
        <f>B163/360</f>
        <v>5.5555555555555552E-2</v>
      </c>
      <c r="C164" s="140">
        <f t="shared" ref="C164:BN164" si="327">C163/360</f>
        <v>0.55000000000000004</v>
      </c>
      <c r="D164" s="140">
        <f t="shared" si="327"/>
        <v>1.0527777777777778</v>
      </c>
      <c r="E164" s="140">
        <f t="shared" si="327"/>
        <v>1.5472222222222223</v>
      </c>
      <c r="F164" s="140">
        <f t="shared" si="327"/>
        <v>2.0527777777777776</v>
      </c>
      <c r="G164" s="140">
        <f t="shared" si="327"/>
        <v>2.5472222222222221</v>
      </c>
      <c r="H164" s="140">
        <f t="shared" si="327"/>
        <v>3.0527777777777776</v>
      </c>
      <c r="I164" s="140">
        <f t="shared" si="327"/>
        <v>3.5472222222222221</v>
      </c>
      <c r="J164" s="140">
        <f t="shared" si="327"/>
        <v>4.052777777777778</v>
      </c>
      <c r="K164" s="140">
        <f t="shared" si="327"/>
        <v>4.5472222222222225</v>
      </c>
      <c r="L164" s="140">
        <f t="shared" si="327"/>
        <v>5.05</v>
      </c>
      <c r="M164" s="140">
        <f t="shared" si="327"/>
        <v>5.5444444444444443</v>
      </c>
      <c r="N164" s="140">
        <f t="shared" si="327"/>
        <v>6.05</v>
      </c>
      <c r="O164" s="140">
        <f t="shared" si="327"/>
        <v>6.5444444444444443</v>
      </c>
      <c r="P164" s="140">
        <f t="shared" si="327"/>
        <v>7.05</v>
      </c>
      <c r="Q164" s="140">
        <f t="shared" si="327"/>
        <v>7.5444444444444443</v>
      </c>
      <c r="R164" s="140">
        <f t="shared" si="327"/>
        <v>8.0500000000000007</v>
      </c>
      <c r="S164" s="140">
        <f t="shared" si="327"/>
        <v>8.5444444444444443</v>
      </c>
      <c r="T164" s="140">
        <f t="shared" si="327"/>
        <v>9.0472222222222225</v>
      </c>
      <c r="U164" s="140">
        <f t="shared" si="327"/>
        <v>9.5416666666666661</v>
      </c>
      <c r="V164" s="140">
        <f t="shared" si="327"/>
        <v>10.047222222222222</v>
      </c>
      <c r="W164" s="140">
        <f t="shared" si="327"/>
        <v>10.541666666666666</v>
      </c>
      <c r="X164" s="140">
        <f t="shared" si="327"/>
        <v>11.047222222222222</v>
      </c>
      <c r="Y164" s="140">
        <f t="shared" si="327"/>
        <v>11.541666666666666</v>
      </c>
      <c r="Z164" s="140">
        <f t="shared" si="327"/>
        <v>12.047222222222222</v>
      </c>
      <c r="AA164" s="140">
        <f t="shared" si="327"/>
        <v>12.541666666666666</v>
      </c>
      <c r="AB164" s="140">
        <f t="shared" si="327"/>
        <v>13.044444444444444</v>
      </c>
      <c r="AC164" s="140">
        <f t="shared" si="327"/>
        <v>13.53888888888889</v>
      </c>
      <c r="AD164" s="140">
        <f t="shared" si="327"/>
        <v>14.044444444444444</v>
      </c>
      <c r="AE164" s="140">
        <f t="shared" si="327"/>
        <v>14.53888888888889</v>
      </c>
      <c r="AF164" s="140">
        <f t="shared" si="327"/>
        <v>15.044444444444444</v>
      </c>
      <c r="AG164" s="140">
        <f t="shared" si="327"/>
        <v>15.53888888888889</v>
      </c>
      <c r="AH164" s="140">
        <f t="shared" si="327"/>
        <v>16.044444444444444</v>
      </c>
      <c r="AI164" s="140">
        <f t="shared" si="327"/>
        <v>16.538888888888888</v>
      </c>
      <c r="AJ164" s="140">
        <f t="shared" si="327"/>
        <v>17.041666666666668</v>
      </c>
      <c r="AK164" s="140">
        <f t="shared" si="327"/>
        <v>17.536111111111111</v>
      </c>
      <c r="AL164" s="140">
        <f t="shared" si="327"/>
        <v>18.041666666666668</v>
      </c>
      <c r="AM164" s="140">
        <f t="shared" si="327"/>
        <v>18.536111111111111</v>
      </c>
      <c r="AN164" s="140">
        <f t="shared" si="327"/>
        <v>19.041666666666668</v>
      </c>
      <c r="AO164" s="140">
        <f t="shared" si="327"/>
        <v>19.536111111111111</v>
      </c>
      <c r="AP164" s="140">
        <f t="shared" si="327"/>
        <v>20.041666666666668</v>
      </c>
      <c r="AQ164" s="140">
        <f t="shared" si="327"/>
        <v>20.536111111111111</v>
      </c>
      <c r="AR164" s="140">
        <f t="shared" si="327"/>
        <v>21.038888888888888</v>
      </c>
      <c r="AS164" s="140">
        <f t="shared" si="327"/>
        <v>21.533333333333335</v>
      </c>
      <c r="AT164" s="140">
        <f t="shared" si="327"/>
        <v>22.038888888888888</v>
      </c>
      <c r="AU164" s="140">
        <f t="shared" si="327"/>
        <v>22.533333333333335</v>
      </c>
      <c r="AV164" s="140">
        <f t="shared" si="327"/>
        <v>23.038888888888888</v>
      </c>
      <c r="AW164" s="140">
        <f t="shared" si="327"/>
        <v>23.533333333333335</v>
      </c>
      <c r="AX164" s="140">
        <f t="shared" si="327"/>
        <v>24.038888888888888</v>
      </c>
      <c r="AY164" s="140">
        <f t="shared" si="327"/>
        <v>24.533333333333335</v>
      </c>
      <c r="AZ164" s="140">
        <f t="shared" si="327"/>
        <v>25.036111111111111</v>
      </c>
      <c r="BA164" s="140">
        <f t="shared" si="327"/>
        <v>25.530555555555555</v>
      </c>
      <c r="BB164" s="140">
        <f t="shared" si="327"/>
        <v>26.036111111111111</v>
      </c>
      <c r="BC164" s="140">
        <f t="shared" si="327"/>
        <v>26.530555555555555</v>
      </c>
      <c r="BD164" s="140">
        <f t="shared" si="327"/>
        <v>27.036111111111111</v>
      </c>
      <c r="BE164" s="140">
        <f t="shared" si="327"/>
        <v>27.530555555555555</v>
      </c>
      <c r="BF164" s="140">
        <f t="shared" si="327"/>
        <v>28.036111111111111</v>
      </c>
      <c r="BG164" s="140">
        <f t="shared" si="327"/>
        <v>28.530555555555555</v>
      </c>
      <c r="BH164" s="140">
        <f t="shared" si="327"/>
        <v>29.033333333333335</v>
      </c>
      <c r="BI164" s="140">
        <f t="shared" si="327"/>
        <v>29.527777777777779</v>
      </c>
      <c r="BJ164" s="140">
        <f t="shared" si="327"/>
        <v>30.033333333333335</v>
      </c>
      <c r="BK164" s="140">
        <f t="shared" si="327"/>
        <v>30.527777777777779</v>
      </c>
      <c r="BL164" s="140">
        <f t="shared" si="327"/>
        <v>31.033333333333335</v>
      </c>
      <c r="BM164" s="140">
        <f t="shared" si="327"/>
        <v>31.527777777777779</v>
      </c>
      <c r="BN164" s="140">
        <f t="shared" si="327"/>
        <v>32.033333333333331</v>
      </c>
      <c r="BO164" s="140">
        <f t="shared" ref="BO164:CB164" si="328">BO163/360</f>
        <v>32.527777777777779</v>
      </c>
      <c r="BP164" s="140">
        <f t="shared" si="328"/>
        <v>33.030555555555559</v>
      </c>
      <c r="BQ164" s="140">
        <f t="shared" si="328"/>
        <v>33.524999999999999</v>
      </c>
      <c r="BR164" s="140">
        <f t="shared" si="328"/>
        <v>34.030555555555559</v>
      </c>
      <c r="BS164" s="140">
        <f t="shared" si="328"/>
        <v>34.524999999999999</v>
      </c>
      <c r="BT164" s="140">
        <f t="shared" si="328"/>
        <v>35.030555555555559</v>
      </c>
      <c r="BU164" s="140">
        <f t="shared" si="328"/>
        <v>35.524999999999999</v>
      </c>
      <c r="BV164" s="140">
        <f t="shared" si="328"/>
        <v>36.030555555555559</v>
      </c>
      <c r="BW164" s="140">
        <f t="shared" si="328"/>
        <v>36.524999999999999</v>
      </c>
      <c r="BX164" s="140">
        <f t="shared" si="328"/>
        <v>37.027777777777779</v>
      </c>
      <c r="BY164" s="140">
        <f t="shared" si="328"/>
        <v>37.522222222222226</v>
      </c>
      <c r="BZ164" s="140">
        <f t="shared" si="328"/>
        <v>38.027777777777779</v>
      </c>
      <c r="CA164" s="140">
        <f t="shared" si="328"/>
        <v>38.522222222222226</v>
      </c>
      <c r="CB164" s="140">
        <f t="shared" si="328"/>
        <v>39.027777777777779</v>
      </c>
      <c r="CC164" s="17"/>
      <c r="CD164" s="17"/>
      <c r="CE164" s="17"/>
    </row>
    <row r="165" spans="1:83">
      <c r="A165" s="16" t="s">
        <v>43</v>
      </c>
      <c r="B165" s="140">
        <f>IF(B163&lt;0,0,$B$5+$B$6*((1-EXP(-B164/$B$9))/(B164/$B$9))+$B$7*((1-EXP(-B164/$B$9))/(B164/$B$9)-EXP(-B164/$B$9))+$B$8*((1-EXP(-B164/$B$10))/(B164/$B$10)-EXP(-B164/$B$10)))</f>
        <v>8.2764988792857052E-3</v>
      </c>
      <c r="C165" s="140">
        <f t="shared" ref="C165:BN165" si="329">IF(C163&lt;0,0,$B$5+$B$6*((1-EXP(-C164/$B$9))/(C164/$B$9))+$B$7*((1-EXP(-C164/$B$9))/(C164/$B$9)-EXP(-C164/$B$9))+$B$8*((1-EXP(-C164/$B$10))/(C164/$B$10)-EXP(-C164/$B$10)))</f>
        <v>7.3028593642107077E-3</v>
      </c>
      <c r="D165" s="140">
        <f t="shared" si="329"/>
        <v>6.5267155698988354E-3</v>
      </c>
      <c r="E165" s="140">
        <f t="shared" si="329"/>
        <v>5.9460137474415357E-3</v>
      </c>
      <c r="F165" s="140">
        <f t="shared" si="329"/>
        <v>5.5140694759139696E-3</v>
      </c>
      <c r="G165" s="140">
        <f t="shared" si="329"/>
        <v>5.2280360977632967E-3</v>
      </c>
      <c r="H165" s="140">
        <f t="shared" si="329"/>
        <v>5.0551995460983599E-3</v>
      </c>
      <c r="I165" s="140">
        <f t="shared" si="329"/>
        <v>4.9861527216115116E-3</v>
      </c>
      <c r="J165" s="140">
        <f t="shared" si="329"/>
        <v>5.0023609128132755E-3</v>
      </c>
      <c r="K165" s="140">
        <f t="shared" si="329"/>
        <v>5.0899307052893073E-3</v>
      </c>
      <c r="L165" s="140">
        <f t="shared" si="329"/>
        <v>5.2398889671694121E-3</v>
      </c>
      <c r="M165" s="140">
        <f t="shared" si="329"/>
        <v>5.4371482234945511E-3</v>
      </c>
      <c r="N165" s="140">
        <f t="shared" si="329"/>
        <v>5.6807334584393285E-3</v>
      </c>
      <c r="O165" s="140">
        <f t="shared" si="329"/>
        <v>5.95215345634411E-3</v>
      </c>
      <c r="P165" s="140">
        <f t="shared" si="329"/>
        <v>6.2566118635969687E-3</v>
      </c>
      <c r="Q165" s="140">
        <f t="shared" si="329"/>
        <v>6.5748155631721265E-3</v>
      </c>
      <c r="R165" s="140">
        <f t="shared" si="329"/>
        <v>6.9157805219007508E-3</v>
      </c>
      <c r="S165" s="140">
        <f t="shared" si="329"/>
        <v>7.260077850214171E-3</v>
      </c>
      <c r="T165" s="140">
        <f t="shared" si="329"/>
        <v>7.6172476155674544E-3</v>
      </c>
      <c r="U165" s="140">
        <f t="shared" si="329"/>
        <v>7.9721698767895692E-3</v>
      </c>
      <c r="V165" s="140">
        <f t="shared" si="329"/>
        <v>8.3359326032474354E-3</v>
      </c>
      <c r="W165" s="140">
        <f t="shared" si="329"/>
        <v>8.6901428084512136E-3</v>
      </c>
      <c r="X165" s="140">
        <f t="shared" si="329"/>
        <v>9.0486235507974896E-3</v>
      </c>
      <c r="Y165" s="140">
        <f t="shared" si="329"/>
        <v>9.3939057133490562E-3</v>
      </c>
      <c r="Z165" s="140">
        <f t="shared" si="329"/>
        <v>9.7400367525031662E-3</v>
      </c>
      <c r="AA165" s="140">
        <f t="shared" si="329"/>
        <v>1.0070622910259175E-2</v>
      </c>
      <c r="AB165" s="140">
        <f t="shared" si="329"/>
        <v>1.0397750757242721E-2</v>
      </c>
      <c r="AC165" s="140">
        <f t="shared" si="329"/>
        <v>1.0709807329030634E-2</v>
      </c>
      <c r="AD165" s="140">
        <f t="shared" si="329"/>
        <v>1.1018358212941337E-2</v>
      </c>
      <c r="AE165" s="140">
        <f t="shared" si="329"/>
        <v>1.130937665343161E-2</v>
      </c>
      <c r="AF165" s="140">
        <f t="shared" si="329"/>
        <v>1.1595592215962999E-2</v>
      </c>
      <c r="AG165" s="140">
        <f t="shared" si="329"/>
        <v>1.1864191737822716E-2</v>
      </c>
      <c r="AH165" s="140">
        <f t="shared" si="329"/>
        <v>1.2127103062173969E-2</v>
      </c>
      <c r="AI165" s="140">
        <f t="shared" si="329"/>
        <v>1.2372709039067236E-2</v>
      </c>
      <c r="AJ165" s="140">
        <f t="shared" si="329"/>
        <v>1.2610772657688596E-2</v>
      </c>
      <c r="AK165" s="140">
        <f t="shared" si="329"/>
        <v>1.2833466169370927E-2</v>
      </c>
      <c r="AL165" s="140">
        <f t="shared" si="329"/>
        <v>1.3049566081308386E-2</v>
      </c>
      <c r="AM165" s="140">
        <f t="shared" si="329"/>
        <v>1.3249726373084639E-2</v>
      </c>
      <c r="AN165" s="140">
        <f t="shared" si="329"/>
        <v>1.3443135056364425E-2</v>
      </c>
      <c r="AO165" s="140">
        <f t="shared" si="329"/>
        <v>1.3621504612100384E-2</v>
      </c>
      <c r="AP165" s="140">
        <f t="shared" si="329"/>
        <v>1.3793094950048511E-2</v>
      </c>
      <c r="AQ165" s="140">
        <f t="shared" si="329"/>
        <v>1.3950617485761027E-2</v>
      </c>
      <c r="AR165" s="140">
        <f t="shared" si="329"/>
        <v>1.4100626604374807E-2</v>
      </c>
      <c r="AS165" s="140">
        <f t="shared" si="329"/>
        <v>1.4238426020167743E-2</v>
      </c>
      <c r="AT165" s="140">
        <f t="shared" si="329"/>
        <v>1.4369645405550177E-2</v>
      </c>
      <c r="AU165" s="140">
        <f t="shared" si="329"/>
        <v>1.448880641252626E-2</v>
      </c>
      <c r="AV165" s="140">
        <f t="shared" si="329"/>
        <v>1.4601565360601755E-2</v>
      </c>
      <c r="AW165" s="140">
        <f t="shared" si="329"/>
        <v>1.470325837352756E-2</v>
      </c>
      <c r="AX165" s="140">
        <f t="shared" si="329"/>
        <v>1.4798756225779149E-2</v>
      </c>
      <c r="AY165" s="140">
        <f t="shared" si="329"/>
        <v>1.4884150373285318E-2</v>
      </c>
      <c r="AZ165" s="140">
        <f t="shared" si="329"/>
        <v>1.4963157885705559E-2</v>
      </c>
      <c r="BA165" s="140">
        <f t="shared" si="329"/>
        <v>1.5033439667369799E-2</v>
      </c>
      <c r="BB165" s="140">
        <f t="shared" si="329"/>
        <v>1.5097980642543961E-2</v>
      </c>
      <c r="BC165" s="140">
        <f t="shared" si="329"/>
        <v>1.5154214070689797E-2</v>
      </c>
      <c r="BD165" s="140">
        <f t="shared" si="329"/>
        <v>1.5204939135880982E-2</v>
      </c>
      <c r="BE165" s="140">
        <f t="shared" si="329"/>
        <v>1.5248183358952731E-2</v>
      </c>
      <c r="BF165" s="140">
        <f t="shared" si="329"/>
        <v>1.5286148019166047E-2</v>
      </c>
      <c r="BG165" s="140">
        <f t="shared" si="329"/>
        <v>1.531740732721551E-2</v>
      </c>
      <c r="BH165" s="140">
        <f t="shared" si="329"/>
        <v>1.5343480438668613E-2</v>
      </c>
      <c r="BI165" s="140">
        <f t="shared" si="329"/>
        <v>1.5363730236046409E-2</v>
      </c>
      <c r="BJ165" s="140">
        <f t="shared" si="329"/>
        <v>1.5379134444674199E-2</v>
      </c>
      <c r="BK165" s="140">
        <f t="shared" si="329"/>
        <v>1.5389229346375407E-2</v>
      </c>
      <c r="BL165" s="140">
        <f t="shared" si="329"/>
        <v>1.5394680860098169E-2</v>
      </c>
      <c r="BM165" s="140">
        <f t="shared" si="329"/>
        <v>1.5395448095484043E-2</v>
      </c>
      <c r="BN165" s="140">
        <f t="shared" si="329"/>
        <v>1.5391762863113476E-2</v>
      </c>
      <c r="BO165" s="140">
        <f t="shared" ref="BO165:CB165" si="330">IF(BO163&lt;0,0,$B$5+$B$6*((1-EXP(-BO164/$B$9))/(BO164/$B$9))+$B$7*((1-EXP(-BO164/$B$9))/(BO164/$B$9)-EXP(-BO164/$B$9))+$B$8*((1-EXP(-BO164/$B$10))/(BO164/$B$10)-EXP(-BO164/$B$10)))</f>
        <v>1.538397168240571E-2</v>
      </c>
      <c r="BP165" s="140">
        <f t="shared" si="330"/>
        <v>1.5371984660659961E-2</v>
      </c>
      <c r="BQ165" s="140">
        <f t="shared" si="330"/>
        <v>1.5356369312070416E-2</v>
      </c>
      <c r="BR165" s="140">
        <f t="shared" si="330"/>
        <v>1.5336648193228927E-2</v>
      </c>
      <c r="BS165" s="140">
        <f t="shared" si="330"/>
        <v>1.5313846225229246E-2</v>
      </c>
      <c r="BT165" s="140">
        <f t="shared" si="330"/>
        <v>1.5287095055264001E-2</v>
      </c>
      <c r="BU165" s="140">
        <f t="shared" si="330"/>
        <v>1.5257716466501932E-2</v>
      </c>
      <c r="BV165" s="140">
        <f t="shared" si="330"/>
        <v>1.5224534410645293E-2</v>
      </c>
      <c r="BW165" s="140">
        <f t="shared" si="330"/>
        <v>1.518914197453728E-2</v>
      </c>
      <c r="BX165" s="140">
        <f t="shared" si="330"/>
        <v>1.5150303830246129E-2</v>
      </c>
      <c r="BY165" s="140">
        <f t="shared" si="330"/>
        <v>1.5109430811779897E-2</v>
      </c>
      <c r="BZ165" s="140">
        <f t="shared" si="330"/>
        <v>1.5065015180959696E-2</v>
      </c>
      <c r="CA165" s="140">
        <f t="shared" si="330"/>
        <v>1.5019123411897956E-2</v>
      </c>
      <c r="CB165" s="140">
        <f t="shared" si="330"/>
        <v>1.4969805747965741E-2</v>
      </c>
      <c r="CC165" s="17"/>
      <c r="CD165" s="17"/>
      <c r="CE165" s="17"/>
    </row>
    <row r="166" spans="1:83">
      <c r="A166" s="16" t="s">
        <v>44</v>
      </c>
      <c r="B166" s="140">
        <f>EXP(-B165*B164)</f>
        <v>0.999540300201052</v>
      </c>
      <c r="C166" s="140">
        <f t="shared" ref="C166:AR166" si="331">EXP(-C165*C164)</f>
        <v>0.9959914829886497</v>
      </c>
      <c r="D166" s="140">
        <f t="shared" si="331"/>
        <v>0.99315237147550717</v>
      </c>
      <c r="E166" s="140">
        <f t="shared" si="331"/>
        <v>0.99084238412355163</v>
      </c>
      <c r="F166" s="140">
        <f t="shared" si="331"/>
        <v>0.9887446613724884</v>
      </c>
      <c r="G166" s="140">
        <f t="shared" si="331"/>
        <v>0.98677130881251696</v>
      </c>
      <c r="H166" s="140">
        <f t="shared" si="331"/>
        <v>0.98468606845642714</v>
      </c>
      <c r="I166" s="140">
        <f t="shared" si="331"/>
        <v>0.98246850499476757</v>
      </c>
      <c r="J166" s="140">
        <f t="shared" si="331"/>
        <v>0.97993066762282843</v>
      </c>
      <c r="K166" s="140">
        <f t="shared" si="331"/>
        <v>0.97712074602617682</v>
      </c>
      <c r="L166" s="140">
        <f t="shared" si="331"/>
        <v>0.9738855968372111</v>
      </c>
      <c r="M166" s="140">
        <f t="shared" si="331"/>
        <v>0.97030389157983354</v>
      </c>
      <c r="N166" s="140">
        <f t="shared" si="331"/>
        <v>0.96621544911877022</v>
      </c>
      <c r="O166" s="140">
        <f t="shared" si="331"/>
        <v>0.96179539541152981</v>
      </c>
      <c r="P166" s="140">
        <f t="shared" si="331"/>
        <v>0.95684954644144249</v>
      </c>
      <c r="Q166" s="140">
        <f t="shared" si="331"/>
        <v>0.95160682281043429</v>
      </c>
      <c r="R166" s="140">
        <f t="shared" si="331"/>
        <v>0.94584929219154334</v>
      </c>
      <c r="S166" s="140">
        <f t="shared" si="331"/>
        <v>0.93985155927450736</v>
      </c>
      <c r="T166" s="140">
        <f t="shared" si="331"/>
        <v>0.93340607978294965</v>
      </c>
      <c r="U166" s="140">
        <f t="shared" si="331"/>
        <v>0.92675338206623947</v>
      </c>
      <c r="V166" s="140">
        <f t="shared" si="331"/>
        <v>0.91965841374255708</v>
      </c>
      <c r="W166" s="140">
        <f t="shared" si="331"/>
        <v>0.91246222761897777</v>
      </c>
      <c r="X166" s="140">
        <f t="shared" si="331"/>
        <v>0.90487166210139069</v>
      </c>
      <c r="Y166" s="140">
        <f t="shared" si="331"/>
        <v>0.89724948005530536</v>
      </c>
      <c r="Z166" s="140">
        <f t="shared" si="331"/>
        <v>0.88928244127079692</v>
      </c>
      <c r="AA166" s="140">
        <f t="shared" si="331"/>
        <v>0.88134829057927178</v>
      </c>
      <c r="AB166" s="140">
        <f t="shared" si="331"/>
        <v>0.87316312746908287</v>
      </c>
      <c r="AC166" s="140">
        <f t="shared" si="331"/>
        <v>0.86502325203246788</v>
      </c>
      <c r="AD166" s="140">
        <f t="shared" si="331"/>
        <v>0.85663211797126959</v>
      </c>
      <c r="AE166" s="140">
        <f t="shared" si="331"/>
        <v>0.84838072942775711</v>
      </c>
      <c r="AF166" s="140">
        <f t="shared" si="331"/>
        <v>0.83991948503005653</v>
      </c>
      <c r="AG166" s="140">
        <f t="shared" si="331"/>
        <v>0.83163939035525158</v>
      </c>
      <c r="AH166" s="140">
        <f t="shared" si="331"/>
        <v>0.82318638694404833</v>
      </c>
      <c r="AI166" s="140">
        <f t="shared" si="331"/>
        <v>0.81494809079019415</v>
      </c>
      <c r="AJ166" s="140">
        <f t="shared" si="331"/>
        <v>0.80661517430638319</v>
      </c>
      <c r="AK166" s="140">
        <f t="shared" si="331"/>
        <v>0.79847702160890655</v>
      </c>
      <c r="AL166" s="140">
        <f t="shared" si="331"/>
        <v>0.790226297994296</v>
      </c>
      <c r="AM166" s="140">
        <f t="shared" si="331"/>
        <v>0.78223630776432751</v>
      </c>
      <c r="AN166" s="140">
        <f t="shared" si="331"/>
        <v>0.77415768658978157</v>
      </c>
      <c r="AO166" s="140">
        <f t="shared" si="331"/>
        <v>0.76635388305525631</v>
      </c>
      <c r="AP166" s="140">
        <f t="shared" si="331"/>
        <v>0.75848169678376054</v>
      </c>
      <c r="AQ166" s="140">
        <f t="shared" si="331"/>
        <v>0.75089351309310359</v>
      </c>
      <c r="AR166" s="140">
        <f t="shared" si="331"/>
        <v>0.74329556314979806</v>
      </c>
      <c r="AS166" s="140">
        <f>EXP(-AS165*AS164)</f>
        <v>0.73594435065551489</v>
      </c>
      <c r="AT166" s="140">
        <f t="shared" ref="AT166:CA166" si="332">EXP(-AT165*AT164)</f>
        <v>0.72855583065023233</v>
      </c>
      <c r="AU166" s="140">
        <f t="shared" si="332"/>
        <v>0.72145800723277476</v>
      </c>
      <c r="AV166" s="140">
        <f t="shared" si="332"/>
        <v>0.7143345692953067</v>
      </c>
      <c r="AW166" s="140">
        <f t="shared" si="332"/>
        <v>0.7075006856204672</v>
      </c>
      <c r="AX166" s="140">
        <f t="shared" si="332"/>
        <v>0.70065080347831199</v>
      </c>
      <c r="AY166" s="140">
        <f t="shared" si="332"/>
        <v>0.6940870996781574</v>
      </c>
      <c r="AZ166" s="140">
        <f t="shared" si="332"/>
        <v>0.68755099104460782</v>
      </c>
      <c r="BA166" s="140">
        <f t="shared" si="332"/>
        <v>0.68125944654082482</v>
      </c>
      <c r="BB166" s="140">
        <f t="shared" si="332"/>
        <v>0.67496617426674554</v>
      </c>
      <c r="BC166" s="140">
        <f t="shared" si="332"/>
        <v>0.66894748592960218</v>
      </c>
      <c r="BD166" s="140">
        <f t="shared" si="332"/>
        <v>0.66293228787399827</v>
      </c>
      <c r="BE166" s="140">
        <f t="shared" si="332"/>
        <v>0.65718418384035493</v>
      </c>
      <c r="BF166" s="140">
        <f t="shared" si="332"/>
        <v>0.65144380279016512</v>
      </c>
      <c r="BG166" s="140">
        <f t="shared" si="332"/>
        <v>0.64596229697652618</v>
      </c>
      <c r="BH166" s="140">
        <f t="shared" si="332"/>
        <v>0.64052163362177172</v>
      </c>
      <c r="BI166" s="140">
        <f t="shared" si="332"/>
        <v>0.63530072326528586</v>
      </c>
      <c r="BJ166" s="140">
        <f t="shared" si="332"/>
        <v>0.63009374369196736</v>
      </c>
      <c r="BK166" s="140">
        <f t="shared" si="332"/>
        <v>0.62512792283232144</v>
      </c>
      <c r="BL166" s="140">
        <f t="shared" si="332"/>
        <v>0.62017829934851065</v>
      </c>
      <c r="BM166" s="140">
        <f t="shared" si="332"/>
        <v>0.61546065050493159</v>
      </c>
      <c r="BN166" s="140">
        <f t="shared" si="332"/>
        <v>0.61076105373603129</v>
      </c>
      <c r="BO166" s="140">
        <f t="shared" si="332"/>
        <v>0.60628420832155927</v>
      </c>
      <c r="BP166" s="140">
        <f t="shared" si="332"/>
        <v>0.60185110790053276</v>
      </c>
      <c r="BQ166" s="140">
        <f t="shared" si="332"/>
        <v>0.59760679115086524</v>
      </c>
      <c r="BR166" s="140">
        <f t="shared" si="332"/>
        <v>0.59338333325975112</v>
      </c>
      <c r="BS166" s="140">
        <f t="shared" si="332"/>
        <v>0.58936444124600584</v>
      </c>
      <c r="BT166" s="140">
        <f t="shared" si="332"/>
        <v>0.58536749487442441</v>
      </c>
      <c r="BU166" s="140">
        <f t="shared" si="332"/>
        <v>0.58156625380793137</v>
      </c>
      <c r="BV166" s="140">
        <f t="shared" si="332"/>
        <v>0.5777878998736411</v>
      </c>
      <c r="BW166" s="140">
        <f t="shared" si="332"/>
        <v>0.57419661261769106</v>
      </c>
      <c r="BX166" s="140">
        <f t="shared" si="332"/>
        <v>0.57064836422861775</v>
      </c>
      <c r="BY166" s="140">
        <f t="shared" si="332"/>
        <v>0.56725892560788971</v>
      </c>
      <c r="BZ166" s="140">
        <f t="shared" si="332"/>
        <v>0.5638939655402434</v>
      </c>
      <c r="CA166" s="140">
        <f t="shared" si="332"/>
        <v>0.56069958855647062</v>
      </c>
      <c r="CB166" s="140">
        <f>EXP(-CB165*CB164)</f>
        <v>0.55753039770210144</v>
      </c>
      <c r="CC166" s="17"/>
      <c r="CD166" s="17"/>
      <c r="CE166" s="17"/>
    </row>
    <row r="167" spans="1:83">
      <c r="A167" s="17"/>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17"/>
      <c r="CD167" s="17"/>
      <c r="CE167" s="17"/>
    </row>
    <row r="168" spans="1:83">
      <c r="A168" s="16" t="s">
        <v>40</v>
      </c>
      <c r="B168" s="140">
        <f t="shared" ref="B168:AG168" si="333">DAYS360($B$3,B58)</f>
        <v>-43022</v>
      </c>
      <c r="C168" s="140">
        <f t="shared" si="333"/>
        <v>-43022</v>
      </c>
      <c r="D168" s="140">
        <f t="shared" si="333"/>
        <v>-43022</v>
      </c>
      <c r="E168" s="140">
        <f t="shared" si="333"/>
        <v>-43022</v>
      </c>
      <c r="F168" s="140">
        <f t="shared" si="333"/>
        <v>-43022</v>
      </c>
      <c r="G168" s="140">
        <f t="shared" si="333"/>
        <v>-43022</v>
      </c>
      <c r="H168" s="140">
        <f t="shared" si="333"/>
        <v>-43022</v>
      </c>
      <c r="I168" s="140">
        <f t="shared" si="333"/>
        <v>-43022</v>
      </c>
      <c r="J168" s="140">
        <f t="shared" si="333"/>
        <v>-43022</v>
      </c>
      <c r="K168" s="140">
        <f t="shared" si="333"/>
        <v>-43022</v>
      </c>
      <c r="L168" s="140">
        <f t="shared" si="333"/>
        <v>-43022</v>
      </c>
      <c r="M168" s="140">
        <f t="shared" si="333"/>
        <v>-43022</v>
      </c>
      <c r="N168" s="140">
        <f t="shared" si="333"/>
        <v>-43022</v>
      </c>
      <c r="O168" s="140">
        <f t="shared" si="333"/>
        <v>-43022</v>
      </c>
      <c r="P168" s="140">
        <f t="shared" si="333"/>
        <v>-43022</v>
      </c>
      <c r="Q168" s="140">
        <f t="shared" si="333"/>
        <v>-43022</v>
      </c>
      <c r="R168" s="140">
        <f t="shared" si="333"/>
        <v>-43022</v>
      </c>
      <c r="S168" s="140">
        <f t="shared" si="333"/>
        <v>-43022</v>
      </c>
      <c r="T168" s="140">
        <f t="shared" si="333"/>
        <v>-43022</v>
      </c>
      <c r="U168" s="140">
        <f t="shared" si="333"/>
        <v>-43022</v>
      </c>
      <c r="V168" s="140">
        <f t="shared" si="333"/>
        <v>-43022</v>
      </c>
      <c r="W168" s="140">
        <f t="shared" si="333"/>
        <v>-43022</v>
      </c>
      <c r="X168" s="140">
        <f t="shared" si="333"/>
        <v>-43022</v>
      </c>
      <c r="Y168" s="140">
        <f t="shared" si="333"/>
        <v>-43022</v>
      </c>
      <c r="Z168" s="140">
        <f t="shared" si="333"/>
        <v>-43022</v>
      </c>
      <c r="AA168" s="140">
        <f t="shared" si="333"/>
        <v>-43022</v>
      </c>
      <c r="AB168" s="140">
        <f t="shared" si="333"/>
        <v>-43022</v>
      </c>
      <c r="AC168" s="140">
        <f t="shared" si="333"/>
        <v>-43022</v>
      </c>
      <c r="AD168" s="140">
        <f t="shared" si="333"/>
        <v>-43022</v>
      </c>
      <c r="AE168" s="140">
        <f t="shared" si="333"/>
        <v>-43022</v>
      </c>
      <c r="AF168" s="140">
        <f t="shared" si="333"/>
        <v>-43022</v>
      </c>
      <c r="AG168" s="140">
        <f t="shared" si="333"/>
        <v>-43022</v>
      </c>
      <c r="AH168" s="140">
        <f t="shared" ref="AH168:BM168" si="334">DAYS360($B$3,AH58)</f>
        <v>-43022</v>
      </c>
      <c r="AI168" s="140">
        <f t="shared" si="334"/>
        <v>-43022</v>
      </c>
      <c r="AJ168" s="140">
        <f t="shared" si="334"/>
        <v>-43022</v>
      </c>
      <c r="AK168" s="140">
        <f t="shared" si="334"/>
        <v>-43022</v>
      </c>
      <c r="AL168" s="140">
        <f t="shared" si="334"/>
        <v>-43022</v>
      </c>
      <c r="AM168" s="140">
        <f t="shared" si="334"/>
        <v>-43022</v>
      </c>
      <c r="AN168" s="140">
        <f t="shared" si="334"/>
        <v>-43022</v>
      </c>
      <c r="AO168" s="140">
        <f t="shared" si="334"/>
        <v>-43022</v>
      </c>
      <c r="AP168" s="140">
        <f t="shared" si="334"/>
        <v>-43022</v>
      </c>
      <c r="AQ168" s="140">
        <f t="shared" si="334"/>
        <v>-43022</v>
      </c>
      <c r="AR168" s="140">
        <f t="shared" si="334"/>
        <v>-43022</v>
      </c>
      <c r="AS168" s="140">
        <f t="shared" si="334"/>
        <v>-43022</v>
      </c>
      <c r="AT168" s="140">
        <f t="shared" si="334"/>
        <v>-43022</v>
      </c>
      <c r="AU168" s="140">
        <f t="shared" si="334"/>
        <v>-43022</v>
      </c>
      <c r="AV168" s="140">
        <f t="shared" si="334"/>
        <v>-43022</v>
      </c>
      <c r="AW168" s="140">
        <f t="shared" si="334"/>
        <v>-43022</v>
      </c>
      <c r="AX168" s="140">
        <f t="shared" si="334"/>
        <v>-43022</v>
      </c>
      <c r="AY168" s="140">
        <f t="shared" si="334"/>
        <v>-43022</v>
      </c>
      <c r="AZ168" s="140">
        <f t="shared" si="334"/>
        <v>-43022</v>
      </c>
      <c r="BA168" s="140">
        <f t="shared" si="334"/>
        <v>-43022</v>
      </c>
      <c r="BB168" s="140">
        <f t="shared" si="334"/>
        <v>-43022</v>
      </c>
      <c r="BC168" s="140">
        <f t="shared" si="334"/>
        <v>-43022</v>
      </c>
      <c r="BD168" s="140">
        <f t="shared" si="334"/>
        <v>-43022</v>
      </c>
      <c r="BE168" s="140">
        <f t="shared" si="334"/>
        <v>-43022</v>
      </c>
      <c r="BF168" s="140">
        <f t="shared" si="334"/>
        <v>-43022</v>
      </c>
      <c r="BG168" s="140">
        <f t="shared" si="334"/>
        <v>-43022</v>
      </c>
      <c r="BH168" s="140">
        <f t="shared" si="334"/>
        <v>-43022</v>
      </c>
      <c r="BI168" s="140">
        <f t="shared" si="334"/>
        <v>-43022</v>
      </c>
      <c r="BJ168" s="140">
        <f t="shared" si="334"/>
        <v>-43022</v>
      </c>
      <c r="BK168" s="140">
        <f t="shared" si="334"/>
        <v>-43022</v>
      </c>
      <c r="BL168" s="140">
        <f t="shared" si="334"/>
        <v>-43022</v>
      </c>
      <c r="BM168" s="140">
        <f t="shared" si="334"/>
        <v>-43022</v>
      </c>
      <c r="BN168" s="140">
        <f t="shared" ref="BN168:CB168" si="335">DAYS360($B$3,BN58)</f>
        <v>-43022</v>
      </c>
      <c r="BO168" s="140">
        <f t="shared" si="335"/>
        <v>-43022</v>
      </c>
      <c r="BP168" s="140">
        <f t="shared" si="335"/>
        <v>-43022</v>
      </c>
      <c r="BQ168" s="140">
        <f t="shared" si="335"/>
        <v>-43022</v>
      </c>
      <c r="BR168" s="140">
        <f t="shared" si="335"/>
        <v>-43022</v>
      </c>
      <c r="BS168" s="140">
        <f t="shared" si="335"/>
        <v>-43022</v>
      </c>
      <c r="BT168" s="140">
        <f t="shared" si="335"/>
        <v>-43022</v>
      </c>
      <c r="BU168" s="140">
        <f t="shared" si="335"/>
        <v>-43022</v>
      </c>
      <c r="BV168" s="140">
        <f t="shared" si="335"/>
        <v>-43022</v>
      </c>
      <c r="BW168" s="140">
        <f t="shared" si="335"/>
        <v>-43022</v>
      </c>
      <c r="BX168" s="140">
        <f t="shared" si="335"/>
        <v>-43022</v>
      </c>
      <c r="BY168" s="140">
        <f t="shared" si="335"/>
        <v>-43022</v>
      </c>
      <c r="BZ168" s="140">
        <f t="shared" si="335"/>
        <v>-43022</v>
      </c>
      <c r="CA168" s="140">
        <f t="shared" si="335"/>
        <v>-43022</v>
      </c>
      <c r="CB168" s="140">
        <f t="shared" si="335"/>
        <v>-43022</v>
      </c>
      <c r="CC168" s="17"/>
      <c r="CD168" s="17"/>
      <c r="CE168" s="17"/>
    </row>
    <row r="169" spans="1:83">
      <c r="A169" s="16" t="s">
        <v>41</v>
      </c>
      <c r="B169" s="140">
        <f>B168/360</f>
        <v>-119.50555555555556</v>
      </c>
      <c r="C169" s="140">
        <f t="shared" ref="C169:BN169" si="336">C168/360</f>
        <v>-119.50555555555556</v>
      </c>
      <c r="D169" s="140">
        <f t="shared" si="336"/>
        <v>-119.50555555555556</v>
      </c>
      <c r="E169" s="140">
        <f t="shared" si="336"/>
        <v>-119.50555555555556</v>
      </c>
      <c r="F169" s="140">
        <f t="shared" si="336"/>
        <v>-119.50555555555556</v>
      </c>
      <c r="G169" s="140">
        <f t="shared" si="336"/>
        <v>-119.50555555555556</v>
      </c>
      <c r="H169" s="140">
        <f t="shared" si="336"/>
        <v>-119.50555555555556</v>
      </c>
      <c r="I169" s="140">
        <f t="shared" si="336"/>
        <v>-119.50555555555556</v>
      </c>
      <c r="J169" s="140">
        <f t="shared" si="336"/>
        <v>-119.50555555555556</v>
      </c>
      <c r="K169" s="140">
        <f t="shared" si="336"/>
        <v>-119.50555555555556</v>
      </c>
      <c r="L169" s="140">
        <f t="shared" si="336"/>
        <v>-119.50555555555556</v>
      </c>
      <c r="M169" s="140">
        <f t="shared" si="336"/>
        <v>-119.50555555555556</v>
      </c>
      <c r="N169" s="140">
        <f t="shared" si="336"/>
        <v>-119.50555555555556</v>
      </c>
      <c r="O169" s="140">
        <f t="shared" si="336"/>
        <v>-119.50555555555556</v>
      </c>
      <c r="P169" s="140">
        <f t="shared" si="336"/>
        <v>-119.50555555555556</v>
      </c>
      <c r="Q169" s="140">
        <f t="shared" si="336"/>
        <v>-119.50555555555556</v>
      </c>
      <c r="R169" s="140">
        <f t="shared" si="336"/>
        <v>-119.50555555555556</v>
      </c>
      <c r="S169" s="140">
        <f t="shared" si="336"/>
        <v>-119.50555555555556</v>
      </c>
      <c r="T169" s="140">
        <f t="shared" si="336"/>
        <v>-119.50555555555556</v>
      </c>
      <c r="U169" s="140">
        <f t="shared" si="336"/>
        <v>-119.50555555555556</v>
      </c>
      <c r="V169" s="140">
        <f t="shared" si="336"/>
        <v>-119.50555555555556</v>
      </c>
      <c r="W169" s="140">
        <f t="shared" si="336"/>
        <v>-119.50555555555556</v>
      </c>
      <c r="X169" s="140">
        <f t="shared" si="336"/>
        <v>-119.50555555555556</v>
      </c>
      <c r="Y169" s="140">
        <f t="shared" si="336"/>
        <v>-119.50555555555556</v>
      </c>
      <c r="Z169" s="140">
        <f t="shared" si="336"/>
        <v>-119.50555555555556</v>
      </c>
      <c r="AA169" s="140">
        <f t="shared" si="336"/>
        <v>-119.50555555555556</v>
      </c>
      <c r="AB169" s="140">
        <f t="shared" si="336"/>
        <v>-119.50555555555556</v>
      </c>
      <c r="AC169" s="140">
        <f t="shared" si="336"/>
        <v>-119.50555555555556</v>
      </c>
      <c r="AD169" s="140">
        <f t="shared" si="336"/>
        <v>-119.50555555555556</v>
      </c>
      <c r="AE169" s="140">
        <f t="shared" si="336"/>
        <v>-119.50555555555556</v>
      </c>
      <c r="AF169" s="140">
        <f t="shared" si="336"/>
        <v>-119.50555555555556</v>
      </c>
      <c r="AG169" s="140">
        <f t="shared" si="336"/>
        <v>-119.50555555555556</v>
      </c>
      <c r="AH169" s="140">
        <f t="shared" si="336"/>
        <v>-119.50555555555556</v>
      </c>
      <c r="AI169" s="140">
        <f t="shared" si="336"/>
        <v>-119.50555555555556</v>
      </c>
      <c r="AJ169" s="140">
        <f t="shared" si="336"/>
        <v>-119.50555555555556</v>
      </c>
      <c r="AK169" s="140">
        <f t="shared" si="336"/>
        <v>-119.50555555555556</v>
      </c>
      <c r="AL169" s="140">
        <f t="shared" si="336"/>
        <v>-119.50555555555556</v>
      </c>
      <c r="AM169" s="140">
        <f t="shared" si="336"/>
        <v>-119.50555555555556</v>
      </c>
      <c r="AN169" s="140">
        <f t="shared" si="336"/>
        <v>-119.50555555555556</v>
      </c>
      <c r="AO169" s="140">
        <f t="shared" si="336"/>
        <v>-119.50555555555556</v>
      </c>
      <c r="AP169" s="140">
        <f t="shared" si="336"/>
        <v>-119.50555555555556</v>
      </c>
      <c r="AQ169" s="140">
        <f t="shared" si="336"/>
        <v>-119.50555555555556</v>
      </c>
      <c r="AR169" s="140">
        <f t="shared" si="336"/>
        <v>-119.50555555555556</v>
      </c>
      <c r="AS169" s="140">
        <f t="shared" si="336"/>
        <v>-119.50555555555556</v>
      </c>
      <c r="AT169" s="140">
        <f t="shared" si="336"/>
        <v>-119.50555555555556</v>
      </c>
      <c r="AU169" s="140">
        <f t="shared" si="336"/>
        <v>-119.50555555555556</v>
      </c>
      <c r="AV169" s="140">
        <f t="shared" si="336"/>
        <v>-119.50555555555556</v>
      </c>
      <c r="AW169" s="140">
        <f t="shared" si="336"/>
        <v>-119.50555555555556</v>
      </c>
      <c r="AX169" s="140">
        <f t="shared" si="336"/>
        <v>-119.50555555555556</v>
      </c>
      <c r="AY169" s="140">
        <f t="shared" si="336"/>
        <v>-119.50555555555556</v>
      </c>
      <c r="AZ169" s="140">
        <f t="shared" si="336"/>
        <v>-119.50555555555556</v>
      </c>
      <c r="BA169" s="140">
        <f t="shared" si="336"/>
        <v>-119.50555555555556</v>
      </c>
      <c r="BB169" s="140">
        <f t="shared" si="336"/>
        <v>-119.50555555555556</v>
      </c>
      <c r="BC169" s="140">
        <f t="shared" si="336"/>
        <v>-119.50555555555556</v>
      </c>
      <c r="BD169" s="140">
        <f t="shared" si="336"/>
        <v>-119.50555555555556</v>
      </c>
      <c r="BE169" s="140">
        <f t="shared" si="336"/>
        <v>-119.50555555555556</v>
      </c>
      <c r="BF169" s="140">
        <f t="shared" si="336"/>
        <v>-119.50555555555556</v>
      </c>
      <c r="BG169" s="140">
        <f t="shared" si="336"/>
        <v>-119.50555555555556</v>
      </c>
      <c r="BH169" s="140">
        <f t="shared" si="336"/>
        <v>-119.50555555555556</v>
      </c>
      <c r="BI169" s="140">
        <f t="shared" si="336"/>
        <v>-119.50555555555556</v>
      </c>
      <c r="BJ169" s="140">
        <f t="shared" si="336"/>
        <v>-119.50555555555556</v>
      </c>
      <c r="BK169" s="140">
        <f t="shared" si="336"/>
        <v>-119.50555555555556</v>
      </c>
      <c r="BL169" s="140">
        <f t="shared" si="336"/>
        <v>-119.50555555555556</v>
      </c>
      <c r="BM169" s="140">
        <f t="shared" si="336"/>
        <v>-119.50555555555556</v>
      </c>
      <c r="BN169" s="140">
        <f t="shared" si="336"/>
        <v>-119.50555555555556</v>
      </c>
      <c r="BO169" s="140">
        <f t="shared" ref="BO169:CB169" si="337">BO168/360</f>
        <v>-119.50555555555556</v>
      </c>
      <c r="BP169" s="140">
        <f t="shared" si="337"/>
        <v>-119.50555555555556</v>
      </c>
      <c r="BQ169" s="140">
        <f t="shared" si="337"/>
        <v>-119.50555555555556</v>
      </c>
      <c r="BR169" s="140">
        <f t="shared" si="337"/>
        <v>-119.50555555555556</v>
      </c>
      <c r="BS169" s="140">
        <f t="shared" si="337"/>
        <v>-119.50555555555556</v>
      </c>
      <c r="BT169" s="140">
        <f t="shared" si="337"/>
        <v>-119.50555555555556</v>
      </c>
      <c r="BU169" s="140">
        <f t="shared" si="337"/>
        <v>-119.50555555555556</v>
      </c>
      <c r="BV169" s="140">
        <f t="shared" si="337"/>
        <v>-119.50555555555556</v>
      </c>
      <c r="BW169" s="140">
        <f t="shared" si="337"/>
        <v>-119.50555555555556</v>
      </c>
      <c r="BX169" s="140">
        <f t="shared" si="337"/>
        <v>-119.50555555555556</v>
      </c>
      <c r="BY169" s="140">
        <f t="shared" si="337"/>
        <v>-119.50555555555556</v>
      </c>
      <c r="BZ169" s="140">
        <f t="shared" si="337"/>
        <v>-119.50555555555556</v>
      </c>
      <c r="CA169" s="140">
        <f t="shared" si="337"/>
        <v>-119.50555555555556</v>
      </c>
      <c r="CB169" s="140">
        <f t="shared" si="337"/>
        <v>-119.50555555555556</v>
      </c>
      <c r="CC169" s="17"/>
      <c r="CD169" s="17"/>
      <c r="CE169" s="17"/>
    </row>
    <row r="170" spans="1:83">
      <c r="A170" s="16" t="s">
        <v>43</v>
      </c>
      <c r="B170" s="140">
        <f>IF(B168&lt;0,0,$B$5+$B$6*((1-EXP(-B169/$B$9))/(B169/$B$9))+$B$7*((1-EXP(-B169/$B$9))/(B169/$B$9)-EXP(-B169/$B$9))+$B$8*((1-EXP(-B169/$B$10))/(B169/$B$10)-EXP(-B169/$B$10)))</f>
        <v>0</v>
      </c>
      <c r="C170" s="140">
        <f t="shared" ref="C170:BN170" si="338">IF(C168&lt;0,0,$B$5+$B$6*((1-EXP(-C169/$B$9))/(C169/$B$9))+$B$7*((1-EXP(-C169/$B$9))/(C169/$B$9)-EXP(-C169/$B$9))+$B$8*((1-EXP(-C169/$B$10))/(C169/$B$10)-EXP(-C169/$B$10)))</f>
        <v>0</v>
      </c>
      <c r="D170" s="140">
        <f t="shared" si="338"/>
        <v>0</v>
      </c>
      <c r="E170" s="140">
        <f t="shared" si="338"/>
        <v>0</v>
      </c>
      <c r="F170" s="140">
        <f t="shared" si="338"/>
        <v>0</v>
      </c>
      <c r="G170" s="140">
        <f t="shared" si="338"/>
        <v>0</v>
      </c>
      <c r="H170" s="140">
        <f t="shared" si="338"/>
        <v>0</v>
      </c>
      <c r="I170" s="140">
        <f t="shared" si="338"/>
        <v>0</v>
      </c>
      <c r="J170" s="140">
        <f t="shared" si="338"/>
        <v>0</v>
      </c>
      <c r="K170" s="140">
        <f t="shared" si="338"/>
        <v>0</v>
      </c>
      <c r="L170" s="140">
        <f t="shared" si="338"/>
        <v>0</v>
      </c>
      <c r="M170" s="140">
        <f t="shared" si="338"/>
        <v>0</v>
      </c>
      <c r="N170" s="140">
        <f t="shared" si="338"/>
        <v>0</v>
      </c>
      <c r="O170" s="140">
        <f t="shared" si="338"/>
        <v>0</v>
      </c>
      <c r="P170" s="140">
        <f t="shared" si="338"/>
        <v>0</v>
      </c>
      <c r="Q170" s="140">
        <f t="shared" si="338"/>
        <v>0</v>
      </c>
      <c r="R170" s="140">
        <f t="shared" si="338"/>
        <v>0</v>
      </c>
      <c r="S170" s="140">
        <f t="shared" si="338"/>
        <v>0</v>
      </c>
      <c r="T170" s="140">
        <f t="shared" si="338"/>
        <v>0</v>
      </c>
      <c r="U170" s="140">
        <f t="shared" si="338"/>
        <v>0</v>
      </c>
      <c r="V170" s="140">
        <f t="shared" si="338"/>
        <v>0</v>
      </c>
      <c r="W170" s="140">
        <f t="shared" si="338"/>
        <v>0</v>
      </c>
      <c r="X170" s="140">
        <f t="shared" si="338"/>
        <v>0</v>
      </c>
      <c r="Y170" s="140">
        <f t="shared" si="338"/>
        <v>0</v>
      </c>
      <c r="Z170" s="140">
        <f t="shared" si="338"/>
        <v>0</v>
      </c>
      <c r="AA170" s="140">
        <f t="shared" si="338"/>
        <v>0</v>
      </c>
      <c r="AB170" s="140">
        <f t="shared" si="338"/>
        <v>0</v>
      </c>
      <c r="AC170" s="140">
        <f t="shared" si="338"/>
        <v>0</v>
      </c>
      <c r="AD170" s="140">
        <f t="shared" si="338"/>
        <v>0</v>
      </c>
      <c r="AE170" s="140">
        <f t="shared" si="338"/>
        <v>0</v>
      </c>
      <c r="AF170" s="140">
        <f t="shared" si="338"/>
        <v>0</v>
      </c>
      <c r="AG170" s="140">
        <f t="shared" si="338"/>
        <v>0</v>
      </c>
      <c r="AH170" s="140">
        <f t="shared" si="338"/>
        <v>0</v>
      </c>
      <c r="AI170" s="140">
        <f t="shared" si="338"/>
        <v>0</v>
      </c>
      <c r="AJ170" s="140">
        <f t="shared" si="338"/>
        <v>0</v>
      </c>
      <c r="AK170" s="140">
        <f t="shared" si="338"/>
        <v>0</v>
      </c>
      <c r="AL170" s="140">
        <f t="shared" si="338"/>
        <v>0</v>
      </c>
      <c r="AM170" s="140">
        <f t="shared" si="338"/>
        <v>0</v>
      </c>
      <c r="AN170" s="140">
        <f t="shared" si="338"/>
        <v>0</v>
      </c>
      <c r="AO170" s="140">
        <f t="shared" si="338"/>
        <v>0</v>
      </c>
      <c r="AP170" s="140">
        <f t="shared" si="338"/>
        <v>0</v>
      </c>
      <c r="AQ170" s="140">
        <f t="shared" si="338"/>
        <v>0</v>
      </c>
      <c r="AR170" s="140">
        <f t="shared" si="338"/>
        <v>0</v>
      </c>
      <c r="AS170" s="140">
        <f t="shared" si="338"/>
        <v>0</v>
      </c>
      <c r="AT170" s="140">
        <f t="shared" si="338"/>
        <v>0</v>
      </c>
      <c r="AU170" s="140">
        <f t="shared" si="338"/>
        <v>0</v>
      </c>
      <c r="AV170" s="140">
        <f t="shared" si="338"/>
        <v>0</v>
      </c>
      <c r="AW170" s="140">
        <f t="shared" si="338"/>
        <v>0</v>
      </c>
      <c r="AX170" s="140">
        <f t="shared" si="338"/>
        <v>0</v>
      </c>
      <c r="AY170" s="140">
        <f t="shared" si="338"/>
        <v>0</v>
      </c>
      <c r="AZ170" s="140">
        <f t="shared" si="338"/>
        <v>0</v>
      </c>
      <c r="BA170" s="140">
        <f t="shared" si="338"/>
        <v>0</v>
      </c>
      <c r="BB170" s="140">
        <f t="shared" si="338"/>
        <v>0</v>
      </c>
      <c r="BC170" s="140">
        <f t="shared" si="338"/>
        <v>0</v>
      </c>
      <c r="BD170" s="140">
        <f t="shared" si="338"/>
        <v>0</v>
      </c>
      <c r="BE170" s="140">
        <f t="shared" si="338"/>
        <v>0</v>
      </c>
      <c r="BF170" s="140">
        <f t="shared" si="338"/>
        <v>0</v>
      </c>
      <c r="BG170" s="140">
        <f t="shared" si="338"/>
        <v>0</v>
      </c>
      <c r="BH170" s="140">
        <f t="shared" si="338"/>
        <v>0</v>
      </c>
      <c r="BI170" s="140">
        <f t="shared" si="338"/>
        <v>0</v>
      </c>
      <c r="BJ170" s="140">
        <f t="shared" si="338"/>
        <v>0</v>
      </c>
      <c r="BK170" s="140">
        <f t="shared" si="338"/>
        <v>0</v>
      </c>
      <c r="BL170" s="140">
        <f t="shared" si="338"/>
        <v>0</v>
      </c>
      <c r="BM170" s="140">
        <f t="shared" si="338"/>
        <v>0</v>
      </c>
      <c r="BN170" s="140">
        <f t="shared" si="338"/>
        <v>0</v>
      </c>
      <c r="BO170" s="140">
        <f t="shared" ref="BO170:CB170" si="339">IF(BO168&lt;0,0,$B$5+$B$6*((1-EXP(-BO169/$B$9))/(BO169/$B$9))+$B$7*((1-EXP(-BO169/$B$9))/(BO169/$B$9)-EXP(-BO169/$B$9))+$B$8*((1-EXP(-BO169/$B$10))/(BO169/$B$10)-EXP(-BO169/$B$10)))</f>
        <v>0</v>
      </c>
      <c r="BP170" s="140">
        <f t="shared" si="339"/>
        <v>0</v>
      </c>
      <c r="BQ170" s="140">
        <f t="shared" si="339"/>
        <v>0</v>
      </c>
      <c r="BR170" s="140">
        <f t="shared" si="339"/>
        <v>0</v>
      </c>
      <c r="BS170" s="140">
        <f t="shared" si="339"/>
        <v>0</v>
      </c>
      <c r="BT170" s="140">
        <f t="shared" si="339"/>
        <v>0</v>
      </c>
      <c r="BU170" s="140">
        <f t="shared" si="339"/>
        <v>0</v>
      </c>
      <c r="BV170" s="140">
        <f t="shared" si="339"/>
        <v>0</v>
      </c>
      <c r="BW170" s="140">
        <f t="shared" si="339"/>
        <v>0</v>
      </c>
      <c r="BX170" s="140">
        <f t="shared" si="339"/>
        <v>0</v>
      </c>
      <c r="BY170" s="140">
        <f t="shared" si="339"/>
        <v>0</v>
      </c>
      <c r="BZ170" s="140">
        <f t="shared" si="339"/>
        <v>0</v>
      </c>
      <c r="CA170" s="140">
        <f t="shared" si="339"/>
        <v>0</v>
      </c>
      <c r="CB170" s="140">
        <f t="shared" si="339"/>
        <v>0</v>
      </c>
      <c r="CC170" s="17"/>
      <c r="CD170" s="17"/>
      <c r="CE170" s="17"/>
    </row>
    <row r="171" spans="1:83">
      <c r="A171" s="16" t="s">
        <v>44</v>
      </c>
      <c r="B171" s="140">
        <f>EXP(-B170*B169)</f>
        <v>1</v>
      </c>
      <c r="C171" s="140">
        <f t="shared" ref="C171:AR171" si="340">EXP(-C170*C169)</f>
        <v>1</v>
      </c>
      <c r="D171" s="140">
        <f t="shared" si="340"/>
        <v>1</v>
      </c>
      <c r="E171" s="140">
        <f t="shared" si="340"/>
        <v>1</v>
      </c>
      <c r="F171" s="140">
        <f t="shared" si="340"/>
        <v>1</v>
      </c>
      <c r="G171" s="140">
        <f t="shared" si="340"/>
        <v>1</v>
      </c>
      <c r="H171" s="140">
        <f t="shared" si="340"/>
        <v>1</v>
      </c>
      <c r="I171" s="140">
        <f t="shared" si="340"/>
        <v>1</v>
      </c>
      <c r="J171" s="140">
        <f t="shared" si="340"/>
        <v>1</v>
      </c>
      <c r="K171" s="140">
        <f t="shared" si="340"/>
        <v>1</v>
      </c>
      <c r="L171" s="140">
        <f t="shared" si="340"/>
        <v>1</v>
      </c>
      <c r="M171" s="140">
        <f t="shared" si="340"/>
        <v>1</v>
      </c>
      <c r="N171" s="140">
        <f t="shared" si="340"/>
        <v>1</v>
      </c>
      <c r="O171" s="140">
        <f t="shared" si="340"/>
        <v>1</v>
      </c>
      <c r="P171" s="140">
        <f t="shared" si="340"/>
        <v>1</v>
      </c>
      <c r="Q171" s="140">
        <f t="shared" si="340"/>
        <v>1</v>
      </c>
      <c r="R171" s="140">
        <f t="shared" si="340"/>
        <v>1</v>
      </c>
      <c r="S171" s="140">
        <f t="shared" si="340"/>
        <v>1</v>
      </c>
      <c r="T171" s="140">
        <f t="shared" si="340"/>
        <v>1</v>
      </c>
      <c r="U171" s="140">
        <f t="shared" si="340"/>
        <v>1</v>
      </c>
      <c r="V171" s="140">
        <f t="shared" si="340"/>
        <v>1</v>
      </c>
      <c r="W171" s="140">
        <f t="shared" si="340"/>
        <v>1</v>
      </c>
      <c r="X171" s="140">
        <f t="shared" si="340"/>
        <v>1</v>
      </c>
      <c r="Y171" s="140">
        <f t="shared" si="340"/>
        <v>1</v>
      </c>
      <c r="Z171" s="140">
        <f t="shared" si="340"/>
        <v>1</v>
      </c>
      <c r="AA171" s="140">
        <f t="shared" si="340"/>
        <v>1</v>
      </c>
      <c r="AB171" s="140">
        <f t="shared" si="340"/>
        <v>1</v>
      </c>
      <c r="AC171" s="140">
        <f t="shared" si="340"/>
        <v>1</v>
      </c>
      <c r="AD171" s="140">
        <f t="shared" si="340"/>
        <v>1</v>
      </c>
      <c r="AE171" s="140">
        <f t="shared" si="340"/>
        <v>1</v>
      </c>
      <c r="AF171" s="140">
        <f t="shared" si="340"/>
        <v>1</v>
      </c>
      <c r="AG171" s="140">
        <f t="shared" si="340"/>
        <v>1</v>
      </c>
      <c r="AH171" s="140">
        <f t="shared" si="340"/>
        <v>1</v>
      </c>
      <c r="AI171" s="140">
        <f t="shared" si="340"/>
        <v>1</v>
      </c>
      <c r="AJ171" s="140">
        <f t="shared" si="340"/>
        <v>1</v>
      </c>
      <c r="AK171" s="140">
        <f t="shared" si="340"/>
        <v>1</v>
      </c>
      <c r="AL171" s="140">
        <f t="shared" si="340"/>
        <v>1</v>
      </c>
      <c r="AM171" s="140">
        <f t="shared" si="340"/>
        <v>1</v>
      </c>
      <c r="AN171" s="140">
        <f t="shared" si="340"/>
        <v>1</v>
      </c>
      <c r="AO171" s="140">
        <f t="shared" si="340"/>
        <v>1</v>
      </c>
      <c r="AP171" s="140">
        <f t="shared" si="340"/>
        <v>1</v>
      </c>
      <c r="AQ171" s="140">
        <f t="shared" si="340"/>
        <v>1</v>
      </c>
      <c r="AR171" s="140">
        <f t="shared" si="340"/>
        <v>1</v>
      </c>
      <c r="AS171" s="140">
        <f>EXP(-AS170*AS169)</f>
        <v>1</v>
      </c>
      <c r="AT171" s="140">
        <f t="shared" ref="AT171:CA171" si="341">EXP(-AT170*AT169)</f>
        <v>1</v>
      </c>
      <c r="AU171" s="140">
        <f t="shared" si="341"/>
        <v>1</v>
      </c>
      <c r="AV171" s="140">
        <f t="shared" si="341"/>
        <v>1</v>
      </c>
      <c r="AW171" s="140">
        <f t="shared" si="341"/>
        <v>1</v>
      </c>
      <c r="AX171" s="140">
        <f t="shared" si="341"/>
        <v>1</v>
      </c>
      <c r="AY171" s="140">
        <f t="shared" si="341"/>
        <v>1</v>
      </c>
      <c r="AZ171" s="140">
        <f t="shared" si="341"/>
        <v>1</v>
      </c>
      <c r="BA171" s="140">
        <f t="shared" si="341"/>
        <v>1</v>
      </c>
      <c r="BB171" s="140">
        <f t="shared" si="341"/>
        <v>1</v>
      </c>
      <c r="BC171" s="140">
        <f t="shared" si="341"/>
        <v>1</v>
      </c>
      <c r="BD171" s="140">
        <f t="shared" si="341"/>
        <v>1</v>
      </c>
      <c r="BE171" s="140">
        <f t="shared" si="341"/>
        <v>1</v>
      </c>
      <c r="BF171" s="140">
        <f t="shared" si="341"/>
        <v>1</v>
      </c>
      <c r="BG171" s="140">
        <f t="shared" si="341"/>
        <v>1</v>
      </c>
      <c r="BH171" s="140">
        <f t="shared" si="341"/>
        <v>1</v>
      </c>
      <c r="BI171" s="140">
        <f t="shared" si="341"/>
        <v>1</v>
      </c>
      <c r="BJ171" s="140">
        <f t="shared" si="341"/>
        <v>1</v>
      </c>
      <c r="BK171" s="140">
        <f t="shared" si="341"/>
        <v>1</v>
      </c>
      <c r="BL171" s="140">
        <f t="shared" si="341"/>
        <v>1</v>
      </c>
      <c r="BM171" s="140">
        <f t="shared" si="341"/>
        <v>1</v>
      </c>
      <c r="BN171" s="140">
        <f t="shared" si="341"/>
        <v>1</v>
      </c>
      <c r="BO171" s="140">
        <f t="shared" si="341"/>
        <v>1</v>
      </c>
      <c r="BP171" s="140">
        <f t="shared" si="341"/>
        <v>1</v>
      </c>
      <c r="BQ171" s="140">
        <f t="shared" si="341"/>
        <v>1</v>
      </c>
      <c r="BR171" s="140">
        <f t="shared" si="341"/>
        <v>1</v>
      </c>
      <c r="BS171" s="140">
        <f t="shared" si="341"/>
        <v>1</v>
      </c>
      <c r="BT171" s="140">
        <f t="shared" si="341"/>
        <v>1</v>
      </c>
      <c r="BU171" s="140">
        <f t="shared" si="341"/>
        <v>1</v>
      </c>
      <c r="BV171" s="140">
        <f t="shared" si="341"/>
        <v>1</v>
      </c>
      <c r="BW171" s="140">
        <f t="shared" si="341"/>
        <v>1</v>
      </c>
      <c r="BX171" s="140">
        <f t="shared" si="341"/>
        <v>1</v>
      </c>
      <c r="BY171" s="140">
        <f t="shared" si="341"/>
        <v>1</v>
      </c>
      <c r="BZ171" s="140">
        <f t="shared" si="341"/>
        <v>1</v>
      </c>
      <c r="CA171" s="140">
        <f t="shared" si="341"/>
        <v>1</v>
      </c>
      <c r="CB171" s="140">
        <f>EXP(-CB170*CB169)</f>
        <v>1</v>
      </c>
      <c r="CC171" s="17"/>
      <c r="CD171" s="17"/>
      <c r="CE171" s="17"/>
    </row>
    <row r="172" spans="1:83">
      <c r="A172" s="17"/>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17"/>
      <c r="CD172" s="17"/>
      <c r="CE172" s="17"/>
    </row>
    <row r="173" spans="1:83">
      <c r="A173" s="16" t="s">
        <v>40</v>
      </c>
      <c r="B173" s="140">
        <f t="shared" ref="B173:AG173" si="342">DAYS360($B$3,B60)</f>
        <v>-43022</v>
      </c>
      <c r="C173" s="140">
        <f t="shared" si="342"/>
        <v>-43022</v>
      </c>
      <c r="D173" s="140">
        <f t="shared" si="342"/>
        <v>-43022</v>
      </c>
      <c r="E173" s="140">
        <f t="shared" si="342"/>
        <v>-43022</v>
      </c>
      <c r="F173" s="140">
        <f t="shared" si="342"/>
        <v>-43022</v>
      </c>
      <c r="G173" s="140">
        <f t="shared" si="342"/>
        <v>-43022</v>
      </c>
      <c r="H173" s="140">
        <f t="shared" si="342"/>
        <v>-43022</v>
      </c>
      <c r="I173" s="140">
        <f t="shared" si="342"/>
        <v>-43022</v>
      </c>
      <c r="J173" s="140">
        <f t="shared" si="342"/>
        <v>-43022</v>
      </c>
      <c r="K173" s="140">
        <f t="shared" si="342"/>
        <v>-43022</v>
      </c>
      <c r="L173" s="140">
        <f t="shared" si="342"/>
        <v>-43022</v>
      </c>
      <c r="M173" s="140">
        <f t="shared" si="342"/>
        <v>-43022</v>
      </c>
      <c r="N173" s="140">
        <f t="shared" si="342"/>
        <v>-43022</v>
      </c>
      <c r="O173" s="140">
        <f t="shared" si="342"/>
        <v>-43022</v>
      </c>
      <c r="P173" s="140">
        <f t="shared" si="342"/>
        <v>-43022</v>
      </c>
      <c r="Q173" s="140">
        <f t="shared" si="342"/>
        <v>-43022</v>
      </c>
      <c r="R173" s="140">
        <f t="shared" si="342"/>
        <v>-43022</v>
      </c>
      <c r="S173" s="140">
        <f t="shared" si="342"/>
        <v>-43022</v>
      </c>
      <c r="T173" s="140">
        <f t="shared" si="342"/>
        <v>-43022</v>
      </c>
      <c r="U173" s="140">
        <f t="shared" si="342"/>
        <v>-43022</v>
      </c>
      <c r="V173" s="140">
        <f t="shared" si="342"/>
        <v>-43022</v>
      </c>
      <c r="W173" s="140">
        <f t="shared" si="342"/>
        <v>-43022</v>
      </c>
      <c r="X173" s="140">
        <f t="shared" si="342"/>
        <v>-43022</v>
      </c>
      <c r="Y173" s="140">
        <f t="shared" si="342"/>
        <v>-43022</v>
      </c>
      <c r="Z173" s="140">
        <f t="shared" si="342"/>
        <v>-43022</v>
      </c>
      <c r="AA173" s="140">
        <f t="shared" si="342"/>
        <v>-43022</v>
      </c>
      <c r="AB173" s="140">
        <f t="shared" si="342"/>
        <v>-43022</v>
      </c>
      <c r="AC173" s="140">
        <f t="shared" si="342"/>
        <v>-43022</v>
      </c>
      <c r="AD173" s="140">
        <f t="shared" si="342"/>
        <v>-43022</v>
      </c>
      <c r="AE173" s="140">
        <f t="shared" si="342"/>
        <v>-43022</v>
      </c>
      <c r="AF173" s="140">
        <f t="shared" si="342"/>
        <v>-43022</v>
      </c>
      <c r="AG173" s="140">
        <f t="shared" si="342"/>
        <v>-43022</v>
      </c>
      <c r="AH173" s="140">
        <f t="shared" ref="AH173:BM173" si="343">DAYS360($B$3,AH60)</f>
        <v>-43022</v>
      </c>
      <c r="AI173" s="140">
        <f t="shared" si="343"/>
        <v>-43022</v>
      </c>
      <c r="AJ173" s="140">
        <f t="shared" si="343"/>
        <v>-43022</v>
      </c>
      <c r="AK173" s="140">
        <f t="shared" si="343"/>
        <v>-43022</v>
      </c>
      <c r="AL173" s="140">
        <f t="shared" si="343"/>
        <v>-43022</v>
      </c>
      <c r="AM173" s="140">
        <f t="shared" si="343"/>
        <v>-43022</v>
      </c>
      <c r="AN173" s="140">
        <f t="shared" si="343"/>
        <v>-43022</v>
      </c>
      <c r="AO173" s="140">
        <f t="shared" si="343"/>
        <v>-43022</v>
      </c>
      <c r="AP173" s="140">
        <f t="shared" si="343"/>
        <v>-43022</v>
      </c>
      <c r="AQ173" s="140">
        <f t="shared" si="343"/>
        <v>-43022</v>
      </c>
      <c r="AR173" s="140">
        <f t="shared" si="343"/>
        <v>-43022</v>
      </c>
      <c r="AS173" s="140">
        <f t="shared" si="343"/>
        <v>-43022</v>
      </c>
      <c r="AT173" s="140">
        <f t="shared" si="343"/>
        <v>-43022</v>
      </c>
      <c r="AU173" s="140">
        <f t="shared" si="343"/>
        <v>-43022</v>
      </c>
      <c r="AV173" s="140">
        <f t="shared" si="343"/>
        <v>-43022</v>
      </c>
      <c r="AW173" s="140">
        <f t="shared" si="343"/>
        <v>-43022</v>
      </c>
      <c r="AX173" s="140">
        <f t="shared" si="343"/>
        <v>-43022</v>
      </c>
      <c r="AY173" s="140">
        <f t="shared" si="343"/>
        <v>-43022</v>
      </c>
      <c r="AZ173" s="140">
        <f t="shared" si="343"/>
        <v>-43022</v>
      </c>
      <c r="BA173" s="140">
        <f t="shared" si="343"/>
        <v>-43022</v>
      </c>
      <c r="BB173" s="140">
        <f t="shared" si="343"/>
        <v>-43022</v>
      </c>
      <c r="BC173" s="140">
        <f t="shared" si="343"/>
        <v>-43022</v>
      </c>
      <c r="BD173" s="140">
        <f t="shared" si="343"/>
        <v>-43022</v>
      </c>
      <c r="BE173" s="140">
        <f t="shared" si="343"/>
        <v>-43022</v>
      </c>
      <c r="BF173" s="140">
        <f t="shared" si="343"/>
        <v>-43022</v>
      </c>
      <c r="BG173" s="140">
        <f t="shared" si="343"/>
        <v>-43022</v>
      </c>
      <c r="BH173" s="140">
        <f t="shared" si="343"/>
        <v>-43022</v>
      </c>
      <c r="BI173" s="140">
        <f t="shared" si="343"/>
        <v>-43022</v>
      </c>
      <c r="BJ173" s="140">
        <f t="shared" si="343"/>
        <v>-43022</v>
      </c>
      <c r="BK173" s="140">
        <f t="shared" si="343"/>
        <v>-43022</v>
      </c>
      <c r="BL173" s="140">
        <f t="shared" si="343"/>
        <v>-43022</v>
      </c>
      <c r="BM173" s="140">
        <f t="shared" si="343"/>
        <v>-43022</v>
      </c>
      <c r="BN173" s="140">
        <f t="shared" ref="BN173:CB173" si="344">DAYS360($B$3,BN60)</f>
        <v>-43022</v>
      </c>
      <c r="BO173" s="140">
        <f t="shared" si="344"/>
        <v>-43022</v>
      </c>
      <c r="BP173" s="140">
        <f t="shared" si="344"/>
        <v>-43022</v>
      </c>
      <c r="BQ173" s="140">
        <f t="shared" si="344"/>
        <v>-43022</v>
      </c>
      <c r="BR173" s="140">
        <f t="shared" si="344"/>
        <v>-43022</v>
      </c>
      <c r="BS173" s="140">
        <f t="shared" si="344"/>
        <v>-43022</v>
      </c>
      <c r="BT173" s="140">
        <f t="shared" si="344"/>
        <v>-43022</v>
      </c>
      <c r="BU173" s="140">
        <f t="shared" si="344"/>
        <v>-43022</v>
      </c>
      <c r="BV173" s="140">
        <f t="shared" si="344"/>
        <v>-43022</v>
      </c>
      <c r="BW173" s="140">
        <f t="shared" si="344"/>
        <v>-43022</v>
      </c>
      <c r="BX173" s="140">
        <f t="shared" si="344"/>
        <v>-43022</v>
      </c>
      <c r="BY173" s="140">
        <f t="shared" si="344"/>
        <v>-43022</v>
      </c>
      <c r="BZ173" s="140">
        <f t="shared" si="344"/>
        <v>-43022</v>
      </c>
      <c r="CA173" s="140">
        <f t="shared" si="344"/>
        <v>-43022</v>
      </c>
      <c r="CB173" s="140">
        <f t="shared" si="344"/>
        <v>-43022</v>
      </c>
      <c r="CC173" s="17"/>
      <c r="CD173" s="17"/>
      <c r="CE173" s="17"/>
    </row>
    <row r="174" spans="1:83">
      <c r="A174" s="16" t="s">
        <v>41</v>
      </c>
      <c r="B174" s="140">
        <f>B173/360</f>
        <v>-119.50555555555556</v>
      </c>
      <c r="C174" s="140">
        <f t="shared" ref="C174:BN174" si="345">C173/360</f>
        <v>-119.50555555555556</v>
      </c>
      <c r="D174" s="140">
        <f t="shared" si="345"/>
        <v>-119.50555555555556</v>
      </c>
      <c r="E174" s="140">
        <f t="shared" si="345"/>
        <v>-119.50555555555556</v>
      </c>
      <c r="F174" s="140">
        <f t="shared" si="345"/>
        <v>-119.50555555555556</v>
      </c>
      <c r="G174" s="140">
        <f t="shared" si="345"/>
        <v>-119.50555555555556</v>
      </c>
      <c r="H174" s="140">
        <f t="shared" si="345"/>
        <v>-119.50555555555556</v>
      </c>
      <c r="I174" s="140">
        <f t="shared" si="345"/>
        <v>-119.50555555555556</v>
      </c>
      <c r="J174" s="140">
        <f t="shared" si="345"/>
        <v>-119.50555555555556</v>
      </c>
      <c r="K174" s="140">
        <f t="shared" si="345"/>
        <v>-119.50555555555556</v>
      </c>
      <c r="L174" s="140">
        <f t="shared" si="345"/>
        <v>-119.50555555555556</v>
      </c>
      <c r="M174" s="140">
        <f t="shared" si="345"/>
        <v>-119.50555555555556</v>
      </c>
      <c r="N174" s="140">
        <f t="shared" si="345"/>
        <v>-119.50555555555556</v>
      </c>
      <c r="O174" s="140">
        <f t="shared" si="345"/>
        <v>-119.50555555555556</v>
      </c>
      <c r="P174" s="140">
        <f t="shared" si="345"/>
        <v>-119.50555555555556</v>
      </c>
      <c r="Q174" s="140">
        <f t="shared" si="345"/>
        <v>-119.50555555555556</v>
      </c>
      <c r="R174" s="140">
        <f t="shared" si="345"/>
        <v>-119.50555555555556</v>
      </c>
      <c r="S174" s="140">
        <f t="shared" si="345"/>
        <v>-119.50555555555556</v>
      </c>
      <c r="T174" s="140">
        <f t="shared" si="345"/>
        <v>-119.50555555555556</v>
      </c>
      <c r="U174" s="140">
        <f t="shared" si="345"/>
        <v>-119.50555555555556</v>
      </c>
      <c r="V174" s="140">
        <f t="shared" si="345"/>
        <v>-119.50555555555556</v>
      </c>
      <c r="W174" s="140">
        <f t="shared" si="345"/>
        <v>-119.50555555555556</v>
      </c>
      <c r="X174" s="140">
        <f t="shared" si="345"/>
        <v>-119.50555555555556</v>
      </c>
      <c r="Y174" s="140">
        <f t="shared" si="345"/>
        <v>-119.50555555555556</v>
      </c>
      <c r="Z174" s="140">
        <f t="shared" si="345"/>
        <v>-119.50555555555556</v>
      </c>
      <c r="AA174" s="140">
        <f t="shared" si="345"/>
        <v>-119.50555555555556</v>
      </c>
      <c r="AB174" s="140">
        <f t="shared" si="345"/>
        <v>-119.50555555555556</v>
      </c>
      <c r="AC174" s="140">
        <f t="shared" si="345"/>
        <v>-119.50555555555556</v>
      </c>
      <c r="AD174" s="140">
        <f t="shared" si="345"/>
        <v>-119.50555555555556</v>
      </c>
      <c r="AE174" s="140">
        <f t="shared" si="345"/>
        <v>-119.50555555555556</v>
      </c>
      <c r="AF174" s="140">
        <f t="shared" si="345"/>
        <v>-119.50555555555556</v>
      </c>
      <c r="AG174" s="140">
        <f t="shared" si="345"/>
        <v>-119.50555555555556</v>
      </c>
      <c r="AH174" s="140">
        <f t="shared" si="345"/>
        <v>-119.50555555555556</v>
      </c>
      <c r="AI174" s="140">
        <f t="shared" si="345"/>
        <v>-119.50555555555556</v>
      </c>
      <c r="AJ174" s="140">
        <f t="shared" si="345"/>
        <v>-119.50555555555556</v>
      </c>
      <c r="AK174" s="140">
        <f t="shared" si="345"/>
        <v>-119.50555555555556</v>
      </c>
      <c r="AL174" s="140">
        <f t="shared" si="345"/>
        <v>-119.50555555555556</v>
      </c>
      <c r="AM174" s="140">
        <f t="shared" si="345"/>
        <v>-119.50555555555556</v>
      </c>
      <c r="AN174" s="140">
        <f t="shared" si="345"/>
        <v>-119.50555555555556</v>
      </c>
      <c r="AO174" s="140">
        <f t="shared" si="345"/>
        <v>-119.50555555555556</v>
      </c>
      <c r="AP174" s="140">
        <f t="shared" si="345"/>
        <v>-119.50555555555556</v>
      </c>
      <c r="AQ174" s="140">
        <f t="shared" si="345"/>
        <v>-119.50555555555556</v>
      </c>
      <c r="AR174" s="140">
        <f t="shared" si="345"/>
        <v>-119.50555555555556</v>
      </c>
      <c r="AS174" s="140">
        <f t="shared" si="345"/>
        <v>-119.50555555555556</v>
      </c>
      <c r="AT174" s="140">
        <f t="shared" si="345"/>
        <v>-119.50555555555556</v>
      </c>
      <c r="AU174" s="140">
        <f t="shared" si="345"/>
        <v>-119.50555555555556</v>
      </c>
      <c r="AV174" s="140">
        <f t="shared" si="345"/>
        <v>-119.50555555555556</v>
      </c>
      <c r="AW174" s="140">
        <f t="shared" si="345"/>
        <v>-119.50555555555556</v>
      </c>
      <c r="AX174" s="140">
        <f t="shared" si="345"/>
        <v>-119.50555555555556</v>
      </c>
      <c r="AY174" s="140">
        <f t="shared" si="345"/>
        <v>-119.50555555555556</v>
      </c>
      <c r="AZ174" s="140">
        <f t="shared" si="345"/>
        <v>-119.50555555555556</v>
      </c>
      <c r="BA174" s="140">
        <f t="shared" si="345"/>
        <v>-119.50555555555556</v>
      </c>
      <c r="BB174" s="140">
        <f t="shared" si="345"/>
        <v>-119.50555555555556</v>
      </c>
      <c r="BC174" s="140">
        <f t="shared" si="345"/>
        <v>-119.50555555555556</v>
      </c>
      <c r="BD174" s="140">
        <f t="shared" si="345"/>
        <v>-119.50555555555556</v>
      </c>
      <c r="BE174" s="140">
        <f t="shared" si="345"/>
        <v>-119.50555555555556</v>
      </c>
      <c r="BF174" s="140">
        <f t="shared" si="345"/>
        <v>-119.50555555555556</v>
      </c>
      <c r="BG174" s="140">
        <f t="shared" si="345"/>
        <v>-119.50555555555556</v>
      </c>
      <c r="BH174" s="140">
        <f t="shared" si="345"/>
        <v>-119.50555555555556</v>
      </c>
      <c r="BI174" s="140">
        <f t="shared" si="345"/>
        <v>-119.50555555555556</v>
      </c>
      <c r="BJ174" s="140">
        <f t="shared" si="345"/>
        <v>-119.50555555555556</v>
      </c>
      <c r="BK174" s="140">
        <f t="shared" si="345"/>
        <v>-119.50555555555556</v>
      </c>
      <c r="BL174" s="140">
        <f t="shared" si="345"/>
        <v>-119.50555555555556</v>
      </c>
      <c r="BM174" s="140">
        <f t="shared" si="345"/>
        <v>-119.50555555555556</v>
      </c>
      <c r="BN174" s="140">
        <f t="shared" si="345"/>
        <v>-119.50555555555556</v>
      </c>
      <c r="BO174" s="140">
        <f t="shared" ref="BO174:CB174" si="346">BO173/360</f>
        <v>-119.50555555555556</v>
      </c>
      <c r="BP174" s="140">
        <f t="shared" si="346"/>
        <v>-119.50555555555556</v>
      </c>
      <c r="BQ174" s="140">
        <f t="shared" si="346"/>
        <v>-119.50555555555556</v>
      </c>
      <c r="BR174" s="140">
        <f t="shared" si="346"/>
        <v>-119.50555555555556</v>
      </c>
      <c r="BS174" s="140">
        <f t="shared" si="346"/>
        <v>-119.50555555555556</v>
      </c>
      <c r="BT174" s="140">
        <f t="shared" si="346"/>
        <v>-119.50555555555556</v>
      </c>
      <c r="BU174" s="140">
        <f t="shared" si="346"/>
        <v>-119.50555555555556</v>
      </c>
      <c r="BV174" s="140">
        <f t="shared" si="346"/>
        <v>-119.50555555555556</v>
      </c>
      <c r="BW174" s="140">
        <f t="shared" si="346"/>
        <v>-119.50555555555556</v>
      </c>
      <c r="BX174" s="140">
        <f t="shared" si="346"/>
        <v>-119.50555555555556</v>
      </c>
      <c r="BY174" s="140">
        <f t="shared" si="346"/>
        <v>-119.50555555555556</v>
      </c>
      <c r="BZ174" s="140">
        <f t="shared" si="346"/>
        <v>-119.50555555555556</v>
      </c>
      <c r="CA174" s="140">
        <f t="shared" si="346"/>
        <v>-119.50555555555556</v>
      </c>
      <c r="CB174" s="140">
        <f t="shared" si="346"/>
        <v>-119.50555555555556</v>
      </c>
      <c r="CC174" s="17"/>
      <c r="CD174" s="17"/>
      <c r="CE174" s="17"/>
    </row>
    <row r="175" spans="1:83">
      <c r="A175" s="16" t="s">
        <v>43</v>
      </c>
      <c r="B175" s="140">
        <f>IF(B173&lt;0,0,$B$5+$B$6*((1-EXP(-B174/$B$9))/(B174/$B$9))+$B$7*((1-EXP(-B174/$B$9))/(B174/$B$9)-EXP(-B174/$B$9))+$B$8*((1-EXP(-B174/$B$10))/(B174/$B$10)-EXP(-B174/$B$10)))</f>
        <v>0</v>
      </c>
      <c r="C175" s="140">
        <f t="shared" ref="C175:BN175" si="347">IF(C173&lt;0,0,$B$5+$B$6*((1-EXP(-C174/$B$9))/(C174/$B$9))+$B$7*((1-EXP(-C174/$B$9))/(C174/$B$9)-EXP(-C174/$B$9))+$B$8*((1-EXP(-C174/$B$10))/(C174/$B$10)-EXP(-C174/$B$10)))</f>
        <v>0</v>
      </c>
      <c r="D175" s="140">
        <f t="shared" si="347"/>
        <v>0</v>
      </c>
      <c r="E175" s="140">
        <f t="shared" si="347"/>
        <v>0</v>
      </c>
      <c r="F175" s="140">
        <f t="shared" si="347"/>
        <v>0</v>
      </c>
      <c r="G175" s="140">
        <f t="shared" si="347"/>
        <v>0</v>
      </c>
      <c r="H175" s="140">
        <f t="shared" si="347"/>
        <v>0</v>
      </c>
      <c r="I175" s="140">
        <f t="shared" si="347"/>
        <v>0</v>
      </c>
      <c r="J175" s="140">
        <f t="shared" si="347"/>
        <v>0</v>
      </c>
      <c r="K175" s="140">
        <f t="shared" si="347"/>
        <v>0</v>
      </c>
      <c r="L175" s="140">
        <f t="shared" si="347"/>
        <v>0</v>
      </c>
      <c r="M175" s="140">
        <f t="shared" si="347"/>
        <v>0</v>
      </c>
      <c r="N175" s="140">
        <f t="shared" si="347"/>
        <v>0</v>
      </c>
      <c r="O175" s="140">
        <f t="shared" si="347"/>
        <v>0</v>
      </c>
      <c r="P175" s="140">
        <f t="shared" si="347"/>
        <v>0</v>
      </c>
      <c r="Q175" s="140">
        <f t="shared" si="347"/>
        <v>0</v>
      </c>
      <c r="R175" s="140">
        <f t="shared" si="347"/>
        <v>0</v>
      </c>
      <c r="S175" s="140">
        <f t="shared" si="347"/>
        <v>0</v>
      </c>
      <c r="T175" s="140">
        <f t="shared" si="347"/>
        <v>0</v>
      </c>
      <c r="U175" s="140">
        <f t="shared" si="347"/>
        <v>0</v>
      </c>
      <c r="V175" s="140">
        <f t="shared" si="347"/>
        <v>0</v>
      </c>
      <c r="W175" s="140">
        <f t="shared" si="347"/>
        <v>0</v>
      </c>
      <c r="X175" s="140">
        <f t="shared" si="347"/>
        <v>0</v>
      </c>
      <c r="Y175" s="140">
        <f t="shared" si="347"/>
        <v>0</v>
      </c>
      <c r="Z175" s="140">
        <f t="shared" si="347"/>
        <v>0</v>
      </c>
      <c r="AA175" s="140">
        <f t="shared" si="347"/>
        <v>0</v>
      </c>
      <c r="AB175" s="140">
        <f t="shared" si="347"/>
        <v>0</v>
      </c>
      <c r="AC175" s="140">
        <f t="shared" si="347"/>
        <v>0</v>
      </c>
      <c r="AD175" s="140">
        <f t="shared" si="347"/>
        <v>0</v>
      </c>
      <c r="AE175" s="140">
        <f t="shared" si="347"/>
        <v>0</v>
      </c>
      <c r="AF175" s="140">
        <f t="shared" si="347"/>
        <v>0</v>
      </c>
      <c r="AG175" s="140">
        <f t="shared" si="347"/>
        <v>0</v>
      </c>
      <c r="AH175" s="140">
        <f t="shared" si="347"/>
        <v>0</v>
      </c>
      <c r="AI175" s="140">
        <f t="shared" si="347"/>
        <v>0</v>
      </c>
      <c r="AJ175" s="140">
        <f t="shared" si="347"/>
        <v>0</v>
      </c>
      <c r="AK175" s="140">
        <f t="shared" si="347"/>
        <v>0</v>
      </c>
      <c r="AL175" s="140">
        <f t="shared" si="347"/>
        <v>0</v>
      </c>
      <c r="AM175" s="140">
        <f t="shared" si="347"/>
        <v>0</v>
      </c>
      <c r="AN175" s="140">
        <f t="shared" si="347"/>
        <v>0</v>
      </c>
      <c r="AO175" s="140">
        <f t="shared" si="347"/>
        <v>0</v>
      </c>
      <c r="AP175" s="140">
        <f t="shared" si="347"/>
        <v>0</v>
      </c>
      <c r="AQ175" s="140">
        <f t="shared" si="347"/>
        <v>0</v>
      </c>
      <c r="AR175" s="140">
        <f t="shared" si="347"/>
        <v>0</v>
      </c>
      <c r="AS175" s="140">
        <f t="shared" si="347"/>
        <v>0</v>
      </c>
      <c r="AT175" s="140">
        <f t="shared" si="347"/>
        <v>0</v>
      </c>
      <c r="AU175" s="140">
        <f t="shared" si="347"/>
        <v>0</v>
      </c>
      <c r="AV175" s="140">
        <f t="shared" si="347"/>
        <v>0</v>
      </c>
      <c r="AW175" s="140">
        <f t="shared" si="347"/>
        <v>0</v>
      </c>
      <c r="AX175" s="140">
        <f t="shared" si="347"/>
        <v>0</v>
      </c>
      <c r="AY175" s="140">
        <f t="shared" si="347"/>
        <v>0</v>
      </c>
      <c r="AZ175" s="140">
        <f t="shared" si="347"/>
        <v>0</v>
      </c>
      <c r="BA175" s="140">
        <f t="shared" si="347"/>
        <v>0</v>
      </c>
      <c r="BB175" s="140">
        <f t="shared" si="347"/>
        <v>0</v>
      </c>
      <c r="BC175" s="140">
        <f t="shared" si="347"/>
        <v>0</v>
      </c>
      <c r="BD175" s="140">
        <f t="shared" si="347"/>
        <v>0</v>
      </c>
      <c r="BE175" s="140">
        <f t="shared" si="347"/>
        <v>0</v>
      </c>
      <c r="BF175" s="140">
        <f t="shared" si="347"/>
        <v>0</v>
      </c>
      <c r="BG175" s="140">
        <f t="shared" si="347"/>
        <v>0</v>
      </c>
      <c r="BH175" s="140">
        <f t="shared" si="347"/>
        <v>0</v>
      </c>
      <c r="BI175" s="140">
        <f t="shared" si="347"/>
        <v>0</v>
      </c>
      <c r="BJ175" s="140">
        <f t="shared" si="347"/>
        <v>0</v>
      </c>
      <c r="BK175" s="140">
        <f t="shared" si="347"/>
        <v>0</v>
      </c>
      <c r="BL175" s="140">
        <f t="shared" si="347"/>
        <v>0</v>
      </c>
      <c r="BM175" s="140">
        <f t="shared" si="347"/>
        <v>0</v>
      </c>
      <c r="BN175" s="140">
        <f t="shared" si="347"/>
        <v>0</v>
      </c>
      <c r="BO175" s="140">
        <f t="shared" ref="BO175:CB175" si="348">IF(BO173&lt;0,0,$B$5+$B$6*((1-EXP(-BO174/$B$9))/(BO174/$B$9))+$B$7*((1-EXP(-BO174/$B$9))/(BO174/$B$9)-EXP(-BO174/$B$9))+$B$8*((1-EXP(-BO174/$B$10))/(BO174/$B$10)-EXP(-BO174/$B$10)))</f>
        <v>0</v>
      </c>
      <c r="BP175" s="140">
        <f t="shared" si="348"/>
        <v>0</v>
      </c>
      <c r="BQ175" s="140">
        <f t="shared" si="348"/>
        <v>0</v>
      </c>
      <c r="BR175" s="140">
        <f t="shared" si="348"/>
        <v>0</v>
      </c>
      <c r="BS175" s="140">
        <f t="shared" si="348"/>
        <v>0</v>
      </c>
      <c r="BT175" s="140">
        <f t="shared" si="348"/>
        <v>0</v>
      </c>
      <c r="BU175" s="140">
        <f t="shared" si="348"/>
        <v>0</v>
      </c>
      <c r="BV175" s="140">
        <f t="shared" si="348"/>
        <v>0</v>
      </c>
      <c r="BW175" s="140">
        <f t="shared" si="348"/>
        <v>0</v>
      </c>
      <c r="BX175" s="140">
        <f t="shared" si="348"/>
        <v>0</v>
      </c>
      <c r="BY175" s="140">
        <f t="shared" si="348"/>
        <v>0</v>
      </c>
      <c r="BZ175" s="140">
        <f t="shared" si="348"/>
        <v>0</v>
      </c>
      <c r="CA175" s="140">
        <f t="shared" si="348"/>
        <v>0</v>
      </c>
      <c r="CB175" s="140">
        <f t="shared" si="348"/>
        <v>0</v>
      </c>
      <c r="CC175" s="17"/>
      <c r="CD175" s="17"/>
      <c r="CE175" s="17"/>
    </row>
    <row r="176" spans="1:83">
      <c r="A176" s="16" t="s">
        <v>44</v>
      </c>
      <c r="B176" s="140">
        <f>EXP(-B175*B174)</f>
        <v>1</v>
      </c>
      <c r="C176" s="140">
        <f t="shared" ref="C176:AR176" si="349">EXP(-C175*C174)</f>
        <v>1</v>
      </c>
      <c r="D176" s="140">
        <f t="shared" si="349"/>
        <v>1</v>
      </c>
      <c r="E176" s="140">
        <f t="shared" si="349"/>
        <v>1</v>
      </c>
      <c r="F176" s="140">
        <f t="shared" si="349"/>
        <v>1</v>
      </c>
      <c r="G176" s="140">
        <f t="shared" si="349"/>
        <v>1</v>
      </c>
      <c r="H176" s="140">
        <f t="shared" si="349"/>
        <v>1</v>
      </c>
      <c r="I176" s="140">
        <f t="shared" si="349"/>
        <v>1</v>
      </c>
      <c r="J176" s="140">
        <f t="shared" si="349"/>
        <v>1</v>
      </c>
      <c r="K176" s="140">
        <f t="shared" si="349"/>
        <v>1</v>
      </c>
      <c r="L176" s="140">
        <f t="shared" si="349"/>
        <v>1</v>
      </c>
      <c r="M176" s="140">
        <f t="shared" si="349"/>
        <v>1</v>
      </c>
      <c r="N176" s="140">
        <f t="shared" si="349"/>
        <v>1</v>
      </c>
      <c r="O176" s="140">
        <f t="shared" si="349"/>
        <v>1</v>
      </c>
      <c r="P176" s="140">
        <f t="shared" si="349"/>
        <v>1</v>
      </c>
      <c r="Q176" s="140">
        <f t="shared" si="349"/>
        <v>1</v>
      </c>
      <c r="R176" s="140">
        <f t="shared" si="349"/>
        <v>1</v>
      </c>
      <c r="S176" s="140">
        <f t="shared" si="349"/>
        <v>1</v>
      </c>
      <c r="T176" s="140">
        <f t="shared" si="349"/>
        <v>1</v>
      </c>
      <c r="U176" s="140">
        <f t="shared" si="349"/>
        <v>1</v>
      </c>
      <c r="V176" s="140">
        <f t="shared" si="349"/>
        <v>1</v>
      </c>
      <c r="W176" s="140">
        <f t="shared" si="349"/>
        <v>1</v>
      </c>
      <c r="X176" s="140">
        <f t="shared" si="349"/>
        <v>1</v>
      </c>
      <c r="Y176" s="140">
        <f t="shared" si="349"/>
        <v>1</v>
      </c>
      <c r="Z176" s="140">
        <f t="shared" si="349"/>
        <v>1</v>
      </c>
      <c r="AA176" s="140">
        <f t="shared" si="349"/>
        <v>1</v>
      </c>
      <c r="AB176" s="140">
        <f t="shared" si="349"/>
        <v>1</v>
      </c>
      <c r="AC176" s="140">
        <f t="shared" si="349"/>
        <v>1</v>
      </c>
      <c r="AD176" s="140">
        <f t="shared" si="349"/>
        <v>1</v>
      </c>
      <c r="AE176" s="140">
        <f t="shared" si="349"/>
        <v>1</v>
      </c>
      <c r="AF176" s="140">
        <f t="shared" si="349"/>
        <v>1</v>
      </c>
      <c r="AG176" s="140">
        <f t="shared" si="349"/>
        <v>1</v>
      </c>
      <c r="AH176" s="140">
        <f t="shared" si="349"/>
        <v>1</v>
      </c>
      <c r="AI176" s="140">
        <f t="shared" si="349"/>
        <v>1</v>
      </c>
      <c r="AJ176" s="140">
        <f t="shared" si="349"/>
        <v>1</v>
      </c>
      <c r="AK176" s="140">
        <f t="shared" si="349"/>
        <v>1</v>
      </c>
      <c r="AL176" s="140">
        <f t="shared" si="349"/>
        <v>1</v>
      </c>
      <c r="AM176" s="140">
        <f t="shared" si="349"/>
        <v>1</v>
      </c>
      <c r="AN176" s="140">
        <f t="shared" si="349"/>
        <v>1</v>
      </c>
      <c r="AO176" s="140">
        <f t="shared" si="349"/>
        <v>1</v>
      </c>
      <c r="AP176" s="140">
        <f t="shared" si="349"/>
        <v>1</v>
      </c>
      <c r="AQ176" s="140">
        <f t="shared" si="349"/>
        <v>1</v>
      </c>
      <c r="AR176" s="140">
        <f t="shared" si="349"/>
        <v>1</v>
      </c>
      <c r="AS176" s="140">
        <f>EXP(-AS175*AS174)</f>
        <v>1</v>
      </c>
      <c r="AT176" s="140">
        <f t="shared" ref="AT176:CA176" si="350">EXP(-AT175*AT174)</f>
        <v>1</v>
      </c>
      <c r="AU176" s="140">
        <f t="shared" si="350"/>
        <v>1</v>
      </c>
      <c r="AV176" s="140">
        <f t="shared" si="350"/>
        <v>1</v>
      </c>
      <c r="AW176" s="140">
        <f t="shared" si="350"/>
        <v>1</v>
      </c>
      <c r="AX176" s="140">
        <f t="shared" si="350"/>
        <v>1</v>
      </c>
      <c r="AY176" s="140">
        <f t="shared" si="350"/>
        <v>1</v>
      </c>
      <c r="AZ176" s="140">
        <f t="shared" si="350"/>
        <v>1</v>
      </c>
      <c r="BA176" s="140">
        <f t="shared" si="350"/>
        <v>1</v>
      </c>
      <c r="BB176" s="140">
        <f t="shared" si="350"/>
        <v>1</v>
      </c>
      <c r="BC176" s="140">
        <f t="shared" si="350"/>
        <v>1</v>
      </c>
      <c r="BD176" s="140">
        <f t="shared" si="350"/>
        <v>1</v>
      </c>
      <c r="BE176" s="140">
        <f t="shared" si="350"/>
        <v>1</v>
      </c>
      <c r="BF176" s="140">
        <f t="shared" si="350"/>
        <v>1</v>
      </c>
      <c r="BG176" s="140">
        <f t="shared" si="350"/>
        <v>1</v>
      </c>
      <c r="BH176" s="140">
        <f t="shared" si="350"/>
        <v>1</v>
      </c>
      <c r="BI176" s="140">
        <f t="shared" si="350"/>
        <v>1</v>
      </c>
      <c r="BJ176" s="140">
        <f t="shared" si="350"/>
        <v>1</v>
      </c>
      <c r="BK176" s="140">
        <f t="shared" si="350"/>
        <v>1</v>
      </c>
      <c r="BL176" s="140">
        <f t="shared" si="350"/>
        <v>1</v>
      </c>
      <c r="BM176" s="140">
        <f t="shared" si="350"/>
        <v>1</v>
      </c>
      <c r="BN176" s="140">
        <f t="shared" si="350"/>
        <v>1</v>
      </c>
      <c r="BO176" s="140">
        <f t="shared" si="350"/>
        <v>1</v>
      </c>
      <c r="BP176" s="140">
        <f t="shared" si="350"/>
        <v>1</v>
      </c>
      <c r="BQ176" s="140">
        <f t="shared" si="350"/>
        <v>1</v>
      </c>
      <c r="BR176" s="140">
        <f t="shared" si="350"/>
        <v>1</v>
      </c>
      <c r="BS176" s="140">
        <f t="shared" si="350"/>
        <v>1</v>
      </c>
      <c r="BT176" s="140">
        <f t="shared" si="350"/>
        <v>1</v>
      </c>
      <c r="BU176" s="140">
        <f t="shared" si="350"/>
        <v>1</v>
      </c>
      <c r="BV176" s="140">
        <f t="shared" si="350"/>
        <v>1</v>
      </c>
      <c r="BW176" s="140">
        <f t="shared" si="350"/>
        <v>1</v>
      </c>
      <c r="BX176" s="140">
        <f t="shared" si="350"/>
        <v>1</v>
      </c>
      <c r="BY176" s="140">
        <f t="shared" si="350"/>
        <v>1</v>
      </c>
      <c r="BZ176" s="140">
        <f t="shared" si="350"/>
        <v>1</v>
      </c>
      <c r="CA176" s="140">
        <f t="shared" si="350"/>
        <v>1</v>
      </c>
      <c r="CB176" s="140">
        <f>EXP(-CB175*CB174)</f>
        <v>1</v>
      </c>
      <c r="CC176" s="17"/>
      <c r="CD176" s="17"/>
      <c r="CE176" s="17"/>
    </row>
    <row r="177" spans="1:83">
      <c r="A177" s="17"/>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17"/>
      <c r="CD177" s="17"/>
      <c r="CE177" s="17"/>
    </row>
    <row r="178" spans="1:83">
      <c r="A178" s="16" t="s">
        <v>40</v>
      </c>
      <c r="B178" s="140">
        <f t="shared" ref="B178:AG178" si="351">DAYS360($B$3,B62)</f>
        <v>-43022</v>
      </c>
      <c r="C178" s="140">
        <f t="shared" si="351"/>
        <v>-43022</v>
      </c>
      <c r="D178" s="140">
        <f t="shared" si="351"/>
        <v>-43022</v>
      </c>
      <c r="E178" s="140">
        <f t="shared" si="351"/>
        <v>-43022</v>
      </c>
      <c r="F178" s="140">
        <f t="shared" si="351"/>
        <v>-43022</v>
      </c>
      <c r="G178" s="140">
        <f t="shared" si="351"/>
        <v>-43022</v>
      </c>
      <c r="H178" s="140">
        <f t="shared" si="351"/>
        <v>-43022</v>
      </c>
      <c r="I178" s="140">
        <f t="shared" si="351"/>
        <v>-43022</v>
      </c>
      <c r="J178" s="140">
        <f t="shared" si="351"/>
        <v>-43022</v>
      </c>
      <c r="K178" s="140">
        <f t="shared" si="351"/>
        <v>-43022</v>
      </c>
      <c r="L178" s="140">
        <f t="shared" si="351"/>
        <v>-43022</v>
      </c>
      <c r="M178" s="140">
        <f t="shared" si="351"/>
        <v>-43022</v>
      </c>
      <c r="N178" s="140">
        <f t="shared" si="351"/>
        <v>-43022</v>
      </c>
      <c r="O178" s="140">
        <f t="shared" si="351"/>
        <v>-43022</v>
      </c>
      <c r="P178" s="140">
        <f t="shared" si="351"/>
        <v>-43022</v>
      </c>
      <c r="Q178" s="140">
        <f t="shared" si="351"/>
        <v>-43022</v>
      </c>
      <c r="R178" s="140">
        <f t="shared" si="351"/>
        <v>-43022</v>
      </c>
      <c r="S178" s="140">
        <f t="shared" si="351"/>
        <v>-43022</v>
      </c>
      <c r="T178" s="140">
        <f t="shared" si="351"/>
        <v>-43022</v>
      </c>
      <c r="U178" s="140">
        <f t="shared" si="351"/>
        <v>-43022</v>
      </c>
      <c r="V178" s="140">
        <f t="shared" si="351"/>
        <v>-43022</v>
      </c>
      <c r="W178" s="140">
        <f t="shared" si="351"/>
        <v>-43022</v>
      </c>
      <c r="X178" s="140">
        <f t="shared" si="351"/>
        <v>-43022</v>
      </c>
      <c r="Y178" s="140">
        <f t="shared" si="351"/>
        <v>-43022</v>
      </c>
      <c r="Z178" s="140">
        <f t="shared" si="351"/>
        <v>-43022</v>
      </c>
      <c r="AA178" s="140">
        <f t="shared" si="351"/>
        <v>-43022</v>
      </c>
      <c r="AB178" s="140">
        <f t="shared" si="351"/>
        <v>-43022</v>
      </c>
      <c r="AC178" s="140">
        <f t="shared" si="351"/>
        <v>-43022</v>
      </c>
      <c r="AD178" s="140">
        <f t="shared" si="351"/>
        <v>-43022</v>
      </c>
      <c r="AE178" s="140">
        <f t="shared" si="351"/>
        <v>-43022</v>
      </c>
      <c r="AF178" s="140">
        <f t="shared" si="351"/>
        <v>-43022</v>
      </c>
      <c r="AG178" s="140">
        <f t="shared" si="351"/>
        <v>-43022</v>
      </c>
      <c r="AH178" s="140">
        <f t="shared" ref="AH178:BM178" si="352">DAYS360($B$3,AH62)</f>
        <v>-43022</v>
      </c>
      <c r="AI178" s="140">
        <f t="shared" si="352"/>
        <v>-43022</v>
      </c>
      <c r="AJ178" s="140">
        <f t="shared" si="352"/>
        <v>-43022</v>
      </c>
      <c r="AK178" s="140">
        <f t="shared" si="352"/>
        <v>-43022</v>
      </c>
      <c r="AL178" s="140">
        <f t="shared" si="352"/>
        <v>-43022</v>
      </c>
      <c r="AM178" s="140">
        <f t="shared" si="352"/>
        <v>-43022</v>
      </c>
      <c r="AN178" s="140">
        <f t="shared" si="352"/>
        <v>-43022</v>
      </c>
      <c r="AO178" s="140">
        <f t="shared" si="352"/>
        <v>-43022</v>
      </c>
      <c r="AP178" s="140">
        <f t="shared" si="352"/>
        <v>-43022</v>
      </c>
      <c r="AQ178" s="140">
        <f t="shared" si="352"/>
        <v>-43022</v>
      </c>
      <c r="AR178" s="140">
        <f t="shared" si="352"/>
        <v>-43022</v>
      </c>
      <c r="AS178" s="140">
        <f t="shared" si="352"/>
        <v>-43022</v>
      </c>
      <c r="AT178" s="140">
        <f t="shared" si="352"/>
        <v>-43022</v>
      </c>
      <c r="AU178" s="140">
        <f t="shared" si="352"/>
        <v>-43022</v>
      </c>
      <c r="AV178" s="140">
        <f t="shared" si="352"/>
        <v>-43022</v>
      </c>
      <c r="AW178" s="140">
        <f t="shared" si="352"/>
        <v>-43022</v>
      </c>
      <c r="AX178" s="140">
        <f t="shared" si="352"/>
        <v>-43022</v>
      </c>
      <c r="AY178" s="140">
        <f t="shared" si="352"/>
        <v>-43022</v>
      </c>
      <c r="AZ178" s="140">
        <f t="shared" si="352"/>
        <v>-43022</v>
      </c>
      <c r="BA178" s="140">
        <f t="shared" si="352"/>
        <v>-43022</v>
      </c>
      <c r="BB178" s="140">
        <f t="shared" si="352"/>
        <v>-43022</v>
      </c>
      <c r="BC178" s="140">
        <f t="shared" si="352"/>
        <v>-43022</v>
      </c>
      <c r="BD178" s="140">
        <f t="shared" si="352"/>
        <v>-43022</v>
      </c>
      <c r="BE178" s="140">
        <f t="shared" si="352"/>
        <v>-43022</v>
      </c>
      <c r="BF178" s="140">
        <f t="shared" si="352"/>
        <v>-43022</v>
      </c>
      <c r="BG178" s="140">
        <f t="shared" si="352"/>
        <v>-43022</v>
      </c>
      <c r="BH178" s="140">
        <f t="shared" si="352"/>
        <v>-43022</v>
      </c>
      <c r="BI178" s="140">
        <f t="shared" si="352"/>
        <v>-43022</v>
      </c>
      <c r="BJ178" s="140">
        <f t="shared" si="352"/>
        <v>-43022</v>
      </c>
      <c r="BK178" s="140">
        <f t="shared" si="352"/>
        <v>-43022</v>
      </c>
      <c r="BL178" s="140">
        <f t="shared" si="352"/>
        <v>-43022</v>
      </c>
      <c r="BM178" s="140">
        <f t="shared" si="352"/>
        <v>-43022</v>
      </c>
      <c r="BN178" s="140">
        <f t="shared" ref="BN178:CB178" si="353">DAYS360($B$3,BN62)</f>
        <v>-43022</v>
      </c>
      <c r="BO178" s="140">
        <f t="shared" si="353"/>
        <v>-43022</v>
      </c>
      <c r="BP178" s="140">
        <f t="shared" si="353"/>
        <v>-43022</v>
      </c>
      <c r="BQ178" s="140">
        <f t="shared" si="353"/>
        <v>-43022</v>
      </c>
      <c r="BR178" s="140">
        <f t="shared" si="353"/>
        <v>-43022</v>
      </c>
      <c r="BS178" s="140">
        <f t="shared" si="353"/>
        <v>-43022</v>
      </c>
      <c r="BT178" s="140">
        <f t="shared" si="353"/>
        <v>-43022</v>
      </c>
      <c r="BU178" s="140">
        <f t="shared" si="353"/>
        <v>-43022</v>
      </c>
      <c r="BV178" s="140">
        <f t="shared" si="353"/>
        <v>-43022</v>
      </c>
      <c r="BW178" s="140">
        <f t="shared" si="353"/>
        <v>-43022</v>
      </c>
      <c r="BX178" s="140">
        <f t="shared" si="353"/>
        <v>-43022</v>
      </c>
      <c r="BY178" s="140">
        <f t="shared" si="353"/>
        <v>-43022</v>
      </c>
      <c r="BZ178" s="140">
        <f t="shared" si="353"/>
        <v>-43022</v>
      </c>
      <c r="CA178" s="140">
        <f t="shared" si="353"/>
        <v>-43022</v>
      </c>
      <c r="CB178" s="140">
        <f t="shared" si="353"/>
        <v>-43022</v>
      </c>
      <c r="CC178" s="17"/>
      <c r="CD178" s="17"/>
      <c r="CE178" s="17"/>
    </row>
    <row r="179" spans="1:83">
      <c r="A179" s="16" t="s">
        <v>41</v>
      </c>
      <c r="B179" s="140">
        <f>B178/360</f>
        <v>-119.50555555555556</v>
      </c>
      <c r="C179" s="140">
        <f t="shared" ref="C179:BN179" si="354">C178/360</f>
        <v>-119.50555555555556</v>
      </c>
      <c r="D179" s="140">
        <f t="shared" si="354"/>
        <v>-119.50555555555556</v>
      </c>
      <c r="E179" s="140">
        <f t="shared" si="354"/>
        <v>-119.50555555555556</v>
      </c>
      <c r="F179" s="140">
        <f t="shared" si="354"/>
        <v>-119.50555555555556</v>
      </c>
      <c r="G179" s="140">
        <f t="shared" si="354"/>
        <v>-119.50555555555556</v>
      </c>
      <c r="H179" s="140">
        <f t="shared" si="354"/>
        <v>-119.50555555555556</v>
      </c>
      <c r="I179" s="140">
        <f t="shared" si="354"/>
        <v>-119.50555555555556</v>
      </c>
      <c r="J179" s="140">
        <f t="shared" si="354"/>
        <v>-119.50555555555556</v>
      </c>
      <c r="K179" s="140">
        <f t="shared" si="354"/>
        <v>-119.50555555555556</v>
      </c>
      <c r="L179" s="140">
        <f t="shared" si="354"/>
        <v>-119.50555555555556</v>
      </c>
      <c r="M179" s="140">
        <f t="shared" si="354"/>
        <v>-119.50555555555556</v>
      </c>
      <c r="N179" s="140">
        <f t="shared" si="354"/>
        <v>-119.50555555555556</v>
      </c>
      <c r="O179" s="140">
        <f t="shared" si="354"/>
        <v>-119.50555555555556</v>
      </c>
      <c r="P179" s="140">
        <f t="shared" si="354"/>
        <v>-119.50555555555556</v>
      </c>
      <c r="Q179" s="140">
        <f t="shared" si="354"/>
        <v>-119.50555555555556</v>
      </c>
      <c r="R179" s="140">
        <f t="shared" si="354"/>
        <v>-119.50555555555556</v>
      </c>
      <c r="S179" s="140">
        <f t="shared" si="354"/>
        <v>-119.50555555555556</v>
      </c>
      <c r="T179" s="140">
        <f t="shared" si="354"/>
        <v>-119.50555555555556</v>
      </c>
      <c r="U179" s="140">
        <f t="shared" si="354"/>
        <v>-119.50555555555556</v>
      </c>
      <c r="V179" s="140">
        <f t="shared" si="354"/>
        <v>-119.50555555555556</v>
      </c>
      <c r="W179" s="140">
        <f t="shared" si="354"/>
        <v>-119.50555555555556</v>
      </c>
      <c r="X179" s="140">
        <f t="shared" si="354"/>
        <v>-119.50555555555556</v>
      </c>
      <c r="Y179" s="140">
        <f t="shared" si="354"/>
        <v>-119.50555555555556</v>
      </c>
      <c r="Z179" s="140">
        <f t="shared" si="354"/>
        <v>-119.50555555555556</v>
      </c>
      <c r="AA179" s="140">
        <f t="shared" si="354"/>
        <v>-119.50555555555556</v>
      </c>
      <c r="AB179" s="140">
        <f t="shared" si="354"/>
        <v>-119.50555555555556</v>
      </c>
      <c r="AC179" s="140">
        <f t="shared" si="354"/>
        <v>-119.50555555555556</v>
      </c>
      <c r="AD179" s="140">
        <f t="shared" si="354"/>
        <v>-119.50555555555556</v>
      </c>
      <c r="AE179" s="140">
        <f t="shared" si="354"/>
        <v>-119.50555555555556</v>
      </c>
      <c r="AF179" s="140">
        <f t="shared" si="354"/>
        <v>-119.50555555555556</v>
      </c>
      <c r="AG179" s="140">
        <f t="shared" si="354"/>
        <v>-119.50555555555556</v>
      </c>
      <c r="AH179" s="140">
        <f t="shared" si="354"/>
        <v>-119.50555555555556</v>
      </c>
      <c r="AI179" s="140">
        <f t="shared" si="354"/>
        <v>-119.50555555555556</v>
      </c>
      <c r="AJ179" s="140">
        <f t="shared" si="354"/>
        <v>-119.50555555555556</v>
      </c>
      <c r="AK179" s="140">
        <f t="shared" si="354"/>
        <v>-119.50555555555556</v>
      </c>
      <c r="AL179" s="140">
        <f t="shared" si="354"/>
        <v>-119.50555555555556</v>
      </c>
      <c r="AM179" s="140">
        <f t="shared" si="354"/>
        <v>-119.50555555555556</v>
      </c>
      <c r="AN179" s="140">
        <f t="shared" si="354"/>
        <v>-119.50555555555556</v>
      </c>
      <c r="AO179" s="140">
        <f t="shared" si="354"/>
        <v>-119.50555555555556</v>
      </c>
      <c r="AP179" s="140">
        <f t="shared" si="354"/>
        <v>-119.50555555555556</v>
      </c>
      <c r="AQ179" s="140">
        <f t="shared" si="354"/>
        <v>-119.50555555555556</v>
      </c>
      <c r="AR179" s="140">
        <f t="shared" si="354"/>
        <v>-119.50555555555556</v>
      </c>
      <c r="AS179" s="140">
        <f t="shared" si="354"/>
        <v>-119.50555555555556</v>
      </c>
      <c r="AT179" s="140">
        <f t="shared" si="354"/>
        <v>-119.50555555555556</v>
      </c>
      <c r="AU179" s="140">
        <f t="shared" si="354"/>
        <v>-119.50555555555556</v>
      </c>
      <c r="AV179" s="140">
        <f t="shared" si="354"/>
        <v>-119.50555555555556</v>
      </c>
      <c r="AW179" s="140">
        <f t="shared" si="354"/>
        <v>-119.50555555555556</v>
      </c>
      <c r="AX179" s="140">
        <f t="shared" si="354"/>
        <v>-119.50555555555556</v>
      </c>
      <c r="AY179" s="140">
        <f t="shared" si="354"/>
        <v>-119.50555555555556</v>
      </c>
      <c r="AZ179" s="140">
        <f t="shared" si="354"/>
        <v>-119.50555555555556</v>
      </c>
      <c r="BA179" s="140">
        <f t="shared" si="354"/>
        <v>-119.50555555555556</v>
      </c>
      <c r="BB179" s="140">
        <f t="shared" si="354"/>
        <v>-119.50555555555556</v>
      </c>
      <c r="BC179" s="140">
        <f t="shared" si="354"/>
        <v>-119.50555555555556</v>
      </c>
      <c r="BD179" s="140">
        <f t="shared" si="354"/>
        <v>-119.50555555555556</v>
      </c>
      <c r="BE179" s="140">
        <f t="shared" si="354"/>
        <v>-119.50555555555556</v>
      </c>
      <c r="BF179" s="140">
        <f t="shared" si="354"/>
        <v>-119.50555555555556</v>
      </c>
      <c r="BG179" s="140">
        <f t="shared" si="354"/>
        <v>-119.50555555555556</v>
      </c>
      <c r="BH179" s="140">
        <f t="shared" si="354"/>
        <v>-119.50555555555556</v>
      </c>
      <c r="BI179" s="140">
        <f t="shared" si="354"/>
        <v>-119.50555555555556</v>
      </c>
      <c r="BJ179" s="140">
        <f t="shared" si="354"/>
        <v>-119.50555555555556</v>
      </c>
      <c r="BK179" s="140">
        <f t="shared" si="354"/>
        <v>-119.50555555555556</v>
      </c>
      <c r="BL179" s="140">
        <f t="shared" si="354"/>
        <v>-119.50555555555556</v>
      </c>
      <c r="BM179" s="140">
        <f t="shared" si="354"/>
        <v>-119.50555555555556</v>
      </c>
      <c r="BN179" s="140">
        <f t="shared" si="354"/>
        <v>-119.50555555555556</v>
      </c>
      <c r="BO179" s="140">
        <f t="shared" ref="BO179:CB179" si="355">BO178/360</f>
        <v>-119.50555555555556</v>
      </c>
      <c r="BP179" s="140">
        <f t="shared" si="355"/>
        <v>-119.50555555555556</v>
      </c>
      <c r="BQ179" s="140">
        <f t="shared" si="355"/>
        <v>-119.50555555555556</v>
      </c>
      <c r="BR179" s="140">
        <f t="shared" si="355"/>
        <v>-119.50555555555556</v>
      </c>
      <c r="BS179" s="140">
        <f t="shared" si="355"/>
        <v>-119.50555555555556</v>
      </c>
      <c r="BT179" s="140">
        <f t="shared" si="355"/>
        <v>-119.50555555555556</v>
      </c>
      <c r="BU179" s="140">
        <f t="shared" si="355"/>
        <v>-119.50555555555556</v>
      </c>
      <c r="BV179" s="140">
        <f t="shared" si="355"/>
        <v>-119.50555555555556</v>
      </c>
      <c r="BW179" s="140">
        <f t="shared" si="355"/>
        <v>-119.50555555555556</v>
      </c>
      <c r="BX179" s="140">
        <f t="shared" si="355"/>
        <v>-119.50555555555556</v>
      </c>
      <c r="BY179" s="140">
        <f t="shared" si="355"/>
        <v>-119.50555555555556</v>
      </c>
      <c r="BZ179" s="140">
        <f t="shared" si="355"/>
        <v>-119.50555555555556</v>
      </c>
      <c r="CA179" s="140">
        <f t="shared" si="355"/>
        <v>-119.50555555555556</v>
      </c>
      <c r="CB179" s="140">
        <f t="shared" si="355"/>
        <v>-119.50555555555556</v>
      </c>
      <c r="CC179" s="17"/>
      <c r="CD179" s="17"/>
      <c r="CE179" s="17"/>
    </row>
    <row r="180" spans="1:83">
      <c r="A180" s="16" t="s">
        <v>43</v>
      </c>
      <c r="B180" s="140">
        <f>IF(B178&lt;0,0,$B$5+$B$6*((1-EXP(-B179/$B$9))/(B179/$B$9))+$B$7*((1-EXP(-B179/$B$9))/(B179/$B$9)-EXP(-B179/$B$9))+$B$8*((1-EXP(-B179/$B$10))/(B179/$B$10)-EXP(-B179/$B$10)))</f>
        <v>0</v>
      </c>
      <c r="C180" s="140">
        <f t="shared" ref="C180:BN180" si="356">IF(C178&lt;0,0,$B$5+$B$6*((1-EXP(-C179/$B$9))/(C179/$B$9))+$B$7*((1-EXP(-C179/$B$9))/(C179/$B$9)-EXP(-C179/$B$9))+$B$8*((1-EXP(-C179/$B$10))/(C179/$B$10)-EXP(-C179/$B$10)))</f>
        <v>0</v>
      </c>
      <c r="D180" s="140">
        <f t="shared" si="356"/>
        <v>0</v>
      </c>
      <c r="E180" s="140">
        <f t="shared" si="356"/>
        <v>0</v>
      </c>
      <c r="F180" s="140">
        <f t="shared" si="356"/>
        <v>0</v>
      </c>
      <c r="G180" s="140">
        <f t="shared" si="356"/>
        <v>0</v>
      </c>
      <c r="H180" s="140">
        <f t="shared" si="356"/>
        <v>0</v>
      </c>
      <c r="I180" s="140">
        <f t="shared" si="356"/>
        <v>0</v>
      </c>
      <c r="J180" s="140">
        <f t="shared" si="356"/>
        <v>0</v>
      </c>
      <c r="K180" s="140">
        <f t="shared" si="356"/>
        <v>0</v>
      </c>
      <c r="L180" s="140">
        <f t="shared" si="356"/>
        <v>0</v>
      </c>
      <c r="M180" s="140">
        <f t="shared" si="356"/>
        <v>0</v>
      </c>
      <c r="N180" s="140">
        <f t="shared" si="356"/>
        <v>0</v>
      </c>
      <c r="O180" s="140">
        <f t="shared" si="356"/>
        <v>0</v>
      </c>
      <c r="P180" s="140">
        <f t="shared" si="356"/>
        <v>0</v>
      </c>
      <c r="Q180" s="140">
        <f t="shared" si="356"/>
        <v>0</v>
      </c>
      <c r="R180" s="140">
        <f t="shared" si="356"/>
        <v>0</v>
      </c>
      <c r="S180" s="140">
        <f t="shared" si="356"/>
        <v>0</v>
      </c>
      <c r="T180" s="140">
        <f t="shared" si="356"/>
        <v>0</v>
      </c>
      <c r="U180" s="140">
        <f t="shared" si="356"/>
        <v>0</v>
      </c>
      <c r="V180" s="140">
        <f t="shared" si="356"/>
        <v>0</v>
      </c>
      <c r="W180" s="140">
        <f t="shared" si="356"/>
        <v>0</v>
      </c>
      <c r="X180" s="140">
        <f t="shared" si="356"/>
        <v>0</v>
      </c>
      <c r="Y180" s="140">
        <f t="shared" si="356"/>
        <v>0</v>
      </c>
      <c r="Z180" s="140">
        <f t="shared" si="356"/>
        <v>0</v>
      </c>
      <c r="AA180" s="140">
        <f t="shared" si="356"/>
        <v>0</v>
      </c>
      <c r="AB180" s="140">
        <f t="shared" si="356"/>
        <v>0</v>
      </c>
      <c r="AC180" s="140">
        <f t="shared" si="356"/>
        <v>0</v>
      </c>
      <c r="AD180" s="140">
        <f t="shared" si="356"/>
        <v>0</v>
      </c>
      <c r="AE180" s="140">
        <f t="shared" si="356"/>
        <v>0</v>
      </c>
      <c r="AF180" s="140">
        <f t="shared" si="356"/>
        <v>0</v>
      </c>
      <c r="AG180" s="140">
        <f t="shared" si="356"/>
        <v>0</v>
      </c>
      <c r="AH180" s="140">
        <f t="shared" si="356"/>
        <v>0</v>
      </c>
      <c r="AI180" s="140">
        <f t="shared" si="356"/>
        <v>0</v>
      </c>
      <c r="AJ180" s="140">
        <f t="shared" si="356"/>
        <v>0</v>
      </c>
      <c r="AK180" s="140">
        <f t="shared" si="356"/>
        <v>0</v>
      </c>
      <c r="AL180" s="140">
        <f t="shared" si="356"/>
        <v>0</v>
      </c>
      <c r="AM180" s="140">
        <f t="shared" si="356"/>
        <v>0</v>
      </c>
      <c r="AN180" s="140">
        <f t="shared" si="356"/>
        <v>0</v>
      </c>
      <c r="AO180" s="140">
        <f t="shared" si="356"/>
        <v>0</v>
      </c>
      <c r="AP180" s="140">
        <f t="shared" si="356"/>
        <v>0</v>
      </c>
      <c r="AQ180" s="140">
        <f t="shared" si="356"/>
        <v>0</v>
      </c>
      <c r="AR180" s="140">
        <f t="shared" si="356"/>
        <v>0</v>
      </c>
      <c r="AS180" s="140">
        <f t="shared" si="356"/>
        <v>0</v>
      </c>
      <c r="AT180" s="140">
        <f t="shared" si="356"/>
        <v>0</v>
      </c>
      <c r="AU180" s="140">
        <f t="shared" si="356"/>
        <v>0</v>
      </c>
      <c r="AV180" s="140">
        <f t="shared" si="356"/>
        <v>0</v>
      </c>
      <c r="AW180" s="140">
        <f t="shared" si="356"/>
        <v>0</v>
      </c>
      <c r="AX180" s="140">
        <f t="shared" si="356"/>
        <v>0</v>
      </c>
      <c r="AY180" s="140">
        <f t="shared" si="356"/>
        <v>0</v>
      </c>
      <c r="AZ180" s="140">
        <f t="shared" si="356"/>
        <v>0</v>
      </c>
      <c r="BA180" s="140">
        <f t="shared" si="356"/>
        <v>0</v>
      </c>
      <c r="BB180" s="140">
        <f t="shared" si="356"/>
        <v>0</v>
      </c>
      <c r="BC180" s="140">
        <f t="shared" si="356"/>
        <v>0</v>
      </c>
      <c r="BD180" s="140">
        <f t="shared" si="356"/>
        <v>0</v>
      </c>
      <c r="BE180" s="140">
        <f t="shared" si="356"/>
        <v>0</v>
      </c>
      <c r="BF180" s="140">
        <f t="shared" si="356"/>
        <v>0</v>
      </c>
      <c r="BG180" s="140">
        <f t="shared" si="356"/>
        <v>0</v>
      </c>
      <c r="BH180" s="140">
        <f t="shared" si="356"/>
        <v>0</v>
      </c>
      <c r="BI180" s="140">
        <f t="shared" si="356"/>
        <v>0</v>
      </c>
      <c r="BJ180" s="140">
        <f t="shared" si="356"/>
        <v>0</v>
      </c>
      <c r="BK180" s="140">
        <f t="shared" si="356"/>
        <v>0</v>
      </c>
      <c r="BL180" s="140">
        <f t="shared" si="356"/>
        <v>0</v>
      </c>
      <c r="BM180" s="140">
        <f t="shared" si="356"/>
        <v>0</v>
      </c>
      <c r="BN180" s="140">
        <f t="shared" si="356"/>
        <v>0</v>
      </c>
      <c r="BO180" s="140">
        <f t="shared" ref="BO180:CB180" si="357">IF(BO178&lt;0,0,$B$5+$B$6*((1-EXP(-BO179/$B$9))/(BO179/$B$9))+$B$7*((1-EXP(-BO179/$B$9))/(BO179/$B$9)-EXP(-BO179/$B$9))+$B$8*((1-EXP(-BO179/$B$10))/(BO179/$B$10)-EXP(-BO179/$B$10)))</f>
        <v>0</v>
      </c>
      <c r="BP180" s="140">
        <f t="shared" si="357"/>
        <v>0</v>
      </c>
      <c r="BQ180" s="140">
        <f t="shared" si="357"/>
        <v>0</v>
      </c>
      <c r="BR180" s="140">
        <f t="shared" si="357"/>
        <v>0</v>
      </c>
      <c r="BS180" s="140">
        <f t="shared" si="357"/>
        <v>0</v>
      </c>
      <c r="BT180" s="140">
        <f t="shared" si="357"/>
        <v>0</v>
      </c>
      <c r="BU180" s="140">
        <f t="shared" si="357"/>
        <v>0</v>
      </c>
      <c r="BV180" s="140">
        <f t="shared" si="357"/>
        <v>0</v>
      </c>
      <c r="BW180" s="140">
        <f t="shared" si="357"/>
        <v>0</v>
      </c>
      <c r="BX180" s="140">
        <f t="shared" si="357"/>
        <v>0</v>
      </c>
      <c r="BY180" s="140">
        <f t="shared" si="357"/>
        <v>0</v>
      </c>
      <c r="BZ180" s="140">
        <f t="shared" si="357"/>
        <v>0</v>
      </c>
      <c r="CA180" s="140">
        <f t="shared" si="357"/>
        <v>0</v>
      </c>
      <c r="CB180" s="140">
        <f t="shared" si="357"/>
        <v>0</v>
      </c>
      <c r="CC180" s="17"/>
      <c r="CD180" s="17"/>
      <c r="CE180" s="17"/>
    </row>
    <row r="181" spans="1:83">
      <c r="A181" s="16" t="s">
        <v>44</v>
      </c>
      <c r="B181" s="140">
        <f>EXP(-B180*B179)</f>
        <v>1</v>
      </c>
      <c r="C181" s="140">
        <f t="shared" ref="C181:AR181" si="358">EXP(-C180*C179)</f>
        <v>1</v>
      </c>
      <c r="D181" s="140">
        <f t="shared" si="358"/>
        <v>1</v>
      </c>
      <c r="E181" s="140">
        <f t="shared" si="358"/>
        <v>1</v>
      </c>
      <c r="F181" s="140">
        <f t="shared" si="358"/>
        <v>1</v>
      </c>
      <c r="G181" s="140">
        <f t="shared" si="358"/>
        <v>1</v>
      </c>
      <c r="H181" s="140">
        <f t="shared" si="358"/>
        <v>1</v>
      </c>
      <c r="I181" s="140">
        <f t="shared" si="358"/>
        <v>1</v>
      </c>
      <c r="J181" s="140">
        <f t="shared" si="358"/>
        <v>1</v>
      </c>
      <c r="K181" s="140">
        <f t="shared" si="358"/>
        <v>1</v>
      </c>
      <c r="L181" s="140">
        <f t="shared" si="358"/>
        <v>1</v>
      </c>
      <c r="M181" s="140">
        <f t="shared" si="358"/>
        <v>1</v>
      </c>
      <c r="N181" s="140">
        <f t="shared" si="358"/>
        <v>1</v>
      </c>
      <c r="O181" s="140">
        <f t="shared" si="358"/>
        <v>1</v>
      </c>
      <c r="P181" s="140">
        <f t="shared" si="358"/>
        <v>1</v>
      </c>
      <c r="Q181" s="140">
        <f t="shared" si="358"/>
        <v>1</v>
      </c>
      <c r="R181" s="140">
        <f t="shared" si="358"/>
        <v>1</v>
      </c>
      <c r="S181" s="140">
        <f t="shared" si="358"/>
        <v>1</v>
      </c>
      <c r="T181" s="140">
        <f t="shared" si="358"/>
        <v>1</v>
      </c>
      <c r="U181" s="140">
        <f t="shared" si="358"/>
        <v>1</v>
      </c>
      <c r="V181" s="140">
        <f t="shared" si="358"/>
        <v>1</v>
      </c>
      <c r="W181" s="140">
        <f t="shared" si="358"/>
        <v>1</v>
      </c>
      <c r="X181" s="140">
        <f t="shared" si="358"/>
        <v>1</v>
      </c>
      <c r="Y181" s="140">
        <f t="shared" si="358"/>
        <v>1</v>
      </c>
      <c r="Z181" s="140">
        <f t="shared" si="358"/>
        <v>1</v>
      </c>
      <c r="AA181" s="140">
        <f t="shared" si="358"/>
        <v>1</v>
      </c>
      <c r="AB181" s="140">
        <f t="shared" si="358"/>
        <v>1</v>
      </c>
      <c r="AC181" s="140">
        <f t="shared" si="358"/>
        <v>1</v>
      </c>
      <c r="AD181" s="140">
        <f t="shared" si="358"/>
        <v>1</v>
      </c>
      <c r="AE181" s="140">
        <f t="shared" si="358"/>
        <v>1</v>
      </c>
      <c r="AF181" s="140">
        <f t="shared" si="358"/>
        <v>1</v>
      </c>
      <c r="AG181" s="140">
        <f t="shared" si="358"/>
        <v>1</v>
      </c>
      <c r="AH181" s="140">
        <f t="shared" si="358"/>
        <v>1</v>
      </c>
      <c r="AI181" s="140">
        <f t="shared" si="358"/>
        <v>1</v>
      </c>
      <c r="AJ181" s="140">
        <f t="shared" si="358"/>
        <v>1</v>
      </c>
      <c r="AK181" s="140">
        <f t="shared" si="358"/>
        <v>1</v>
      </c>
      <c r="AL181" s="140">
        <f t="shared" si="358"/>
        <v>1</v>
      </c>
      <c r="AM181" s="140">
        <f t="shared" si="358"/>
        <v>1</v>
      </c>
      <c r="AN181" s="140">
        <f t="shared" si="358"/>
        <v>1</v>
      </c>
      <c r="AO181" s="140">
        <f t="shared" si="358"/>
        <v>1</v>
      </c>
      <c r="AP181" s="140">
        <f t="shared" si="358"/>
        <v>1</v>
      </c>
      <c r="AQ181" s="140">
        <f t="shared" si="358"/>
        <v>1</v>
      </c>
      <c r="AR181" s="140">
        <f t="shared" si="358"/>
        <v>1</v>
      </c>
      <c r="AS181" s="140">
        <f>EXP(-AS180*AS179)</f>
        <v>1</v>
      </c>
      <c r="AT181" s="140">
        <f t="shared" ref="AT181:CA181" si="359">EXP(-AT180*AT179)</f>
        <v>1</v>
      </c>
      <c r="AU181" s="140">
        <f t="shared" si="359"/>
        <v>1</v>
      </c>
      <c r="AV181" s="140">
        <f t="shared" si="359"/>
        <v>1</v>
      </c>
      <c r="AW181" s="140">
        <f t="shared" si="359"/>
        <v>1</v>
      </c>
      <c r="AX181" s="140">
        <f t="shared" si="359"/>
        <v>1</v>
      </c>
      <c r="AY181" s="140">
        <f t="shared" si="359"/>
        <v>1</v>
      </c>
      <c r="AZ181" s="140">
        <f t="shared" si="359"/>
        <v>1</v>
      </c>
      <c r="BA181" s="140">
        <f t="shared" si="359"/>
        <v>1</v>
      </c>
      <c r="BB181" s="140">
        <f t="shared" si="359"/>
        <v>1</v>
      </c>
      <c r="BC181" s="140">
        <f t="shared" si="359"/>
        <v>1</v>
      </c>
      <c r="BD181" s="140">
        <f t="shared" si="359"/>
        <v>1</v>
      </c>
      <c r="BE181" s="140">
        <f t="shared" si="359"/>
        <v>1</v>
      </c>
      <c r="BF181" s="140">
        <f t="shared" si="359"/>
        <v>1</v>
      </c>
      <c r="BG181" s="140">
        <f t="shared" si="359"/>
        <v>1</v>
      </c>
      <c r="BH181" s="140">
        <f t="shared" si="359"/>
        <v>1</v>
      </c>
      <c r="BI181" s="140">
        <f t="shared" si="359"/>
        <v>1</v>
      </c>
      <c r="BJ181" s="140">
        <f t="shared" si="359"/>
        <v>1</v>
      </c>
      <c r="BK181" s="140">
        <f t="shared" si="359"/>
        <v>1</v>
      </c>
      <c r="BL181" s="140">
        <f t="shared" si="359"/>
        <v>1</v>
      </c>
      <c r="BM181" s="140">
        <f t="shared" si="359"/>
        <v>1</v>
      </c>
      <c r="BN181" s="140">
        <f t="shared" si="359"/>
        <v>1</v>
      </c>
      <c r="BO181" s="140">
        <f t="shared" si="359"/>
        <v>1</v>
      </c>
      <c r="BP181" s="140">
        <f t="shared" si="359"/>
        <v>1</v>
      </c>
      <c r="BQ181" s="140">
        <f t="shared" si="359"/>
        <v>1</v>
      </c>
      <c r="BR181" s="140">
        <f t="shared" si="359"/>
        <v>1</v>
      </c>
      <c r="BS181" s="140">
        <f t="shared" si="359"/>
        <v>1</v>
      </c>
      <c r="BT181" s="140">
        <f t="shared" si="359"/>
        <v>1</v>
      </c>
      <c r="BU181" s="140">
        <f t="shared" si="359"/>
        <v>1</v>
      </c>
      <c r="BV181" s="140">
        <f t="shared" si="359"/>
        <v>1</v>
      </c>
      <c r="BW181" s="140">
        <f t="shared" si="359"/>
        <v>1</v>
      </c>
      <c r="BX181" s="140">
        <f t="shared" si="359"/>
        <v>1</v>
      </c>
      <c r="BY181" s="140">
        <f t="shared" si="359"/>
        <v>1</v>
      </c>
      <c r="BZ181" s="140">
        <f t="shared" si="359"/>
        <v>1</v>
      </c>
      <c r="CA181" s="140">
        <f t="shared" si="359"/>
        <v>1</v>
      </c>
      <c r="CB181" s="140">
        <f>EXP(-CB180*CB179)</f>
        <v>1</v>
      </c>
      <c r="CC181" s="17"/>
      <c r="CD181" s="17"/>
      <c r="CE181" s="17"/>
    </row>
    <row r="182" spans="1:83">
      <c r="A182" s="17"/>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c r="AY182" s="5"/>
      <c r="AZ182" s="5"/>
      <c r="BA182" s="5"/>
      <c r="BB182" s="5"/>
      <c r="BC182" s="5"/>
      <c r="BD182" s="5"/>
      <c r="BE182" s="5"/>
      <c r="BF182" s="5"/>
      <c r="BG182" s="5"/>
      <c r="BH182" s="5"/>
      <c r="BI182" s="5"/>
      <c r="BJ182" s="5"/>
      <c r="BK182" s="5"/>
      <c r="BL182" s="5"/>
      <c r="BM182" s="5"/>
      <c r="BN182" s="5"/>
      <c r="BO182" s="5"/>
      <c r="BP182" s="5"/>
      <c r="BQ182" s="5"/>
      <c r="BR182" s="5"/>
      <c r="BS182" s="5"/>
      <c r="BT182" s="5"/>
      <c r="BU182" s="5"/>
      <c r="BV182" s="5"/>
      <c r="BW182" s="5"/>
      <c r="BX182" s="5"/>
      <c r="BY182" s="5"/>
      <c r="BZ182" s="5"/>
      <c r="CA182" s="5"/>
      <c r="CB182" s="5"/>
      <c r="CC182" s="17"/>
      <c r="CD182" s="17"/>
      <c r="CE182" s="17"/>
    </row>
    <row r="183" spans="1:83">
      <c r="A183" s="16" t="s">
        <v>40</v>
      </c>
      <c r="B183" s="140">
        <f t="shared" ref="B183:AG183" si="360">DAYS360($B$3,B64)</f>
        <v>-43022</v>
      </c>
      <c r="C183" s="140">
        <f t="shared" si="360"/>
        <v>-43022</v>
      </c>
      <c r="D183" s="140">
        <f t="shared" si="360"/>
        <v>-43022</v>
      </c>
      <c r="E183" s="140">
        <f t="shared" si="360"/>
        <v>-43022</v>
      </c>
      <c r="F183" s="140">
        <f t="shared" si="360"/>
        <v>-43022</v>
      </c>
      <c r="G183" s="140">
        <f t="shared" si="360"/>
        <v>-43022</v>
      </c>
      <c r="H183" s="140">
        <f t="shared" si="360"/>
        <v>-43022</v>
      </c>
      <c r="I183" s="140">
        <f t="shared" si="360"/>
        <v>-43022</v>
      </c>
      <c r="J183" s="140">
        <f t="shared" si="360"/>
        <v>-43022</v>
      </c>
      <c r="K183" s="140">
        <f t="shared" si="360"/>
        <v>-43022</v>
      </c>
      <c r="L183" s="140">
        <f t="shared" si="360"/>
        <v>-43022</v>
      </c>
      <c r="M183" s="140">
        <f t="shared" si="360"/>
        <v>-43022</v>
      </c>
      <c r="N183" s="140">
        <f t="shared" si="360"/>
        <v>-43022</v>
      </c>
      <c r="O183" s="140">
        <f t="shared" si="360"/>
        <v>-43022</v>
      </c>
      <c r="P183" s="140">
        <f t="shared" si="360"/>
        <v>-43022</v>
      </c>
      <c r="Q183" s="140">
        <f t="shared" si="360"/>
        <v>-43022</v>
      </c>
      <c r="R183" s="140">
        <f t="shared" si="360"/>
        <v>-43022</v>
      </c>
      <c r="S183" s="140">
        <f t="shared" si="360"/>
        <v>-43022</v>
      </c>
      <c r="T183" s="140">
        <f t="shared" si="360"/>
        <v>-43022</v>
      </c>
      <c r="U183" s="140">
        <f t="shared" si="360"/>
        <v>-43022</v>
      </c>
      <c r="V183" s="140">
        <f t="shared" si="360"/>
        <v>-43022</v>
      </c>
      <c r="W183" s="140">
        <f t="shared" si="360"/>
        <v>-43022</v>
      </c>
      <c r="X183" s="140">
        <f t="shared" si="360"/>
        <v>-43022</v>
      </c>
      <c r="Y183" s="140">
        <f t="shared" si="360"/>
        <v>-43022</v>
      </c>
      <c r="Z183" s="140">
        <f t="shared" si="360"/>
        <v>-43022</v>
      </c>
      <c r="AA183" s="140">
        <f t="shared" si="360"/>
        <v>-43022</v>
      </c>
      <c r="AB183" s="140">
        <f t="shared" si="360"/>
        <v>-43022</v>
      </c>
      <c r="AC183" s="140">
        <f t="shared" si="360"/>
        <v>-43022</v>
      </c>
      <c r="AD183" s="140">
        <f t="shared" si="360"/>
        <v>-43022</v>
      </c>
      <c r="AE183" s="140">
        <f t="shared" si="360"/>
        <v>-43022</v>
      </c>
      <c r="AF183" s="140">
        <f t="shared" si="360"/>
        <v>-43022</v>
      </c>
      <c r="AG183" s="140">
        <f t="shared" si="360"/>
        <v>-43022</v>
      </c>
      <c r="AH183" s="140">
        <f t="shared" ref="AH183:BM183" si="361">DAYS360($B$3,AH64)</f>
        <v>-43022</v>
      </c>
      <c r="AI183" s="140">
        <f t="shared" si="361"/>
        <v>-43022</v>
      </c>
      <c r="AJ183" s="140">
        <f t="shared" si="361"/>
        <v>-43022</v>
      </c>
      <c r="AK183" s="140">
        <f t="shared" si="361"/>
        <v>-43022</v>
      </c>
      <c r="AL183" s="140">
        <f t="shared" si="361"/>
        <v>-43022</v>
      </c>
      <c r="AM183" s="140">
        <f t="shared" si="361"/>
        <v>-43022</v>
      </c>
      <c r="AN183" s="140">
        <f t="shared" si="361"/>
        <v>-43022</v>
      </c>
      <c r="AO183" s="140">
        <f t="shared" si="361"/>
        <v>-43022</v>
      </c>
      <c r="AP183" s="140">
        <f t="shared" si="361"/>
        <v>-43022</v>
      </c>
      <c r="AQ183" s="140">
        <f t="shared" si="361"/>
        <v>-43022</v>
      </c>
      <c r="AR183" s="140">
        <f t="shared" si="361"/>
        <v>-43022</v>
      </c>
      <c r="AS183" s="140">
        <f t="shared" si="361"/>
        <v>-43022</v>
      </c>
      <c r="AT183" s="140">
        <f t="shared" si="361"/>
        <v>-43022</v>
      </c>
      <c r="AU183" s="140">
        <f t="shared" si="361"/>
        <v>-43022</v>
      </c>
      <c r="AV183" s="140">
        <f t="shared" si="361"/>
        <v>-43022</v>
      </c>
      <c r="AW183" s="140">
        <f t="shared" si="361"/>
        <v>-43022</v>
      </c>
      <c r="AX183" s="140">
        <f t="shared" si="361"/>
        <v>-43022</v>
      </c>
      <c r="AY183" s="140">
        <f t="shared" si="361"/>
        <v>-43022</v>
      </c>
      <c r="AZ183" s="140">
        <f t="shared" si="361"/>
        <v>-43022</v>
      </c>
      <c r="BA183" s="140">
        <f t="shared" si="361"/>
        <v>-43022</v>
      </c>
      <c r="BB183" s="140">
        <f t="shared" si="361"/>
        <v>-43022</v>
      </c>
      <c r="BC183" s="140">
        <f t="shared" si="361"/>
        <v>-43022</v>
      </c>
      <c r="BD183" s="140">
        <f t="shared" si="361"/>
        <v>-43022</v>
      </c>
      <c r="BE183" s="140">
        <f t="shared" si="361"/>
        <v>-43022</v>
      </c>
      <c r="BF183" s="140">
        <f t="shared" si="361"/>
        <v>-43022</v>
      </c>
      <c r="BG183" s="140">
        <f t="shared" si="361"/>
        <v>-43022</v>
      </c>
      <c r="BH183" s="140">
        <f t="shared" si="361"/>
        <v>-43022</v>
      </c>
      <c r="BI183" s="140">
        <f t="shared" si="361"/>
        <v>-43022</v>
      </c>
      <c r="BJ183" s="140">
        <f t="shared" si="361"/>
        <v>-43022</v>
      </c>
      <c r="BK183" s="140">
        <f t="shared" si="361"/>
        <v>-43022</v>
      </c>
      <c r="BL183" s="140">
        <f t="shared" si="361"/>
        <v>-43022</v>
      </c>
      <c r="BM183" s="140">
        <f t="shared" si="361"/>
        <v>-43022</v>
      </c>
      <c r="BN183" s="140">
        <f t="shared" ref="BN183:CB183" si="362">DAYS360($B$3,BN64)</f>
        <v>-43022</v>
      </c>
      <c r="BO183" s="140">
        <f t="shared" si="362"/>
        <v>-43022</v>
      </c>
      <c r="BP183" s="140">
        <f t="shared" si="362"/>
        <v>-43022</v>
      </c>
      <c r="BQ183" s="140">
        <f t="shared" si="362"/>
        <v>-43022</v>
      </c>
      <c r="BR183" s="140">
        <f t="shared" si="362"/>
        <v>-43022</v>
      </c>
      <c r="BS183" s="140">
        <f t="shared" si="362"/>
        <v>-43022</v>
      </c>
      <c r="BT183" s="140">
        <f t="shared" si="362"/>
        <v>-43022</v>
      </c>
      <c r="BU183" s="140">
        <f t="shared" si="362"/>
        <v>-43022</v>
      </c>
      <c r="BV183" s="140">
        <f t="shared" si="362"/>
        <v>-43022</v>
      </c>
      <c r="BW183" s="140">
        <f t="shared" si="362"/>
        <v>-43022</v>
      </c>
      <c r="BX183" s="140">
        <f t="shared" si="362"/>
        <v>-43022</v>
      </c>
      <c r="BY183" s="140">
        <f t="shared" si="362"/>
        <v>-43022</v>
      </c>
      <c r="BZ183" s="140">
        <f t="shared" si="362"/>
        <v>-43022</v>
      </c>
      <c r="CA183" s="140">
        <f t="shared" si="362"/>
        <v>-43022</v>
      </c>
      <c r="CB183" s="140">
        <f t="shared" si="362"/>
        <v>-43022</v>
      </c>
      <c r="CC183" s="17"/>
      <c r="CD183" s="17"/>
      <c r="CE183" s="17"/>
    </row>
    <row r="184" spans="1:83">
      <c r="A184" s="16" t="s">
        <v>41</v>
      </c>
      <c r="B184" s="140">
        <f>B183/360</f>
        <v>-119.50555555555556</v>
      </c>
      <c r="C184" s="140">
        <f t="shared" ref="C184:BN184" si="363">C183/360</f>
        <v>-119.50555555555556</v>
      </c>
      <c r="D184" s="140">
        <f t="shared" si="363"/>
        <v>-119.50555555555556</v>
      </c>
      <c r="E184" s="140">
        <f t="shared" si="363"/>
        <v>-119.50555555555556</v>
      </c>
      <c r="F184" s="140">
        <f t="shared" si="363"/>
        <v>-119.50555555555556</v>
      </c>
      <c r="G184" s="140">
        <f t="shared" si="363"/>
        <v>-119.50555555555556</v>
      </c>
      <c r="H184" s="140">
        <f t="shared" si="363"/>
        <v>-119.50555555555556</v>
      </c>
      <c r="I184" s="140">
        <f t="shared" si="363"/>
        <v>-119.50555555555556</v>
      </c>
      <c r="J184" s="140">
        <f t="shared" si="363"/>
        <v>-119.50555555555556</v>
      </c>
      <c r="K184" s="140">
        <f t="shared" si="363"/>
        <v>-119.50555555555556</v>
      </c>
      <c r="L184" s="140">
        <f t="shared" si="363"/>
        <v>-119.50555555555556</v>
      </c>
      <c r="M184" s="140">
        <f t="shared" si="363"/>
        <v>-119.50555555555556</v>
      </c>
      <c r="N184" s="140">
        <f t="shared" si="363"/>
        <v>-119.50555555555556</v>
      </c>
      <c r="O184" s="140">
        <f t="shared" si="363"/>
        <v>-119.50555555555556</v>
      </c>
      <c r="P184" s="140">
        <f t="shared" si="363"/>
        <v>-119.50555555555556</v>
      </c>
      <c r="Q184" s="140">
        <f t="shared" si="363"/>
        <v>-119.50555555555556</v>
      </c>
      <c r="R184" s="140">
        <f t="shared" si="363"/>
        <v>-119.50555555555556</v>
      </c>
      <c r="S184" s="140">
        <f t="shared" si="363"/>
        <v>-119.50555555555556</v>
      </c>
      <c r="T184" s="140">
        <f t="shared" si="363"/>
        <v>-119.50555555555556</v>
      </c>
      <c r="U184" s="140">
        <f t="shared" si="363"/>
        <v>-119.50555555555556</v>
      </c>
      <c r="V184" s="140">
        <f t="shared" si="363"/>
        <v>-119.50555555555556</v>
      </c>
      <c r="W184" s="140">
        <f t="shared" si="363"/>
        <v>-119.50555555555556</v>
      </c>
      <c r="X184" s="140">
        <f t="shared" si="363"/>
        <v>-119.50555555555556</v>
      </c>
      <c r="Y184" s="140">
        <f t="shared" si="363"/>
        <v>-119.50555555555556</v>
      </c>
      <c r="Z184" s="140">
        <f t="shared" si="363"/>
        <v>-119.50555555555556</v>
      </c>
      <c r="AA184" s="140">
        <f t="shared" si="363"/>
        <v>-119.50555555555556</v>
      </c>
      <c r="AB184" s="140">
        <f t="shared" si="363"/>
        <v>-119.50555555555556</v>
      </c>
      <c r="AC184" s="140">
        <f t="shared" si="363"/>
        <v>-119.50555555555556</v>
      </c>
      <c r="AD184" s="140">
        <f t="shared" si="363"/>
        <v>-119.50555555555556</v>
      </c>
      <c r="AE184" s="140">
        <f t="shared" si="363"/>
        <v>-119.50555555555556</v>
      </c>
      <c r="AF184" s="140">
        <f t="shared" si="363"/>
        <v>-119.50555555555556</v>
      </c>
      <c r="AG184" s="140">
        <f t="shared" si="363"/>
        <v>-119.50555555555556</v>
      </c>
      <c r="AH184" s="140">
        <f t="shared" si="363"/>
        <v>-119.50555555555556</v>
      </c>
      <c r="AI184" s="140">
        <f t="shared" si="363"/>
        <v>-119.50555555555556</v>
      </c>
      <c r="AJ184" s="140">
        <f t="shared" si="363"/>
        <v>-119.50555555555556</v>
      </c>
      <c r="AK184" s="140">
        <f t="shared" si="363"/>
        <v>-119.50555555555556</v>
      </c>
      <c r="AL184" s="140">
        <f t="shared" si="363"/>
        <v>-119.50555555555556</v>
      </c>
      <c r="AM184" s="140">
        <f t="shared" si="363"/>
        <v>-119.50555555555556</v>
      </c>
      <c r="AN184" s="140">
        <f t="shared" si="363"/>
        <v>-119.50555555555556</v>
      </c>
      <c r="AO184" s="140">
        <f t="shared" si="363"/>
        <v>-119.50555555555556</v>
      </c>
      <c r="AP184" s="140">
        <f t="shared" si="363"/>
        <v>-119.50555555555556</v>
      </c>
      <c r="AQ184" s="140">
        <f t="shared" si="363"/>
        <v>-119.50555555555556</v>
      </c>
      <c r="AR184" s="140">
        <f t="shared" si="363"/>
        <v>-119.50555555555556</v>
      </c>
      <c r="AS184" s="140">
        <f t="shared" si="363"/>
        <v>-119.50555555555556</v>
      </c>
      <c r="AT184" s="140">
        <f t="shared" si="363"/>
        <v>-119.50555555555556</v>
      </c>
      <c r="AU184" s="140">
        <f t="shared" si="363"/>
        <v>-119.50555555555556</v>
      </c>
      <c r="AV184" s="140">
        <f t="shared" si="363"/>
        <v>-119.50555555555556</v>
      </c>
      <c r="AW184" s="140">
        <f t="shared" si="363"/>
        <v>-119.50555555555556</v>
      </c>
      <c r="AX184" s="140">
        <f t="shared" si="363"/>
        <v>-119.50555555555556</v>
      </c>
      <c r="AY184" s="140">
        <f t="shared" si="363"/>
        <v>-119.50555555555556</v>
      </c>
      <c r="AZ184" s="140">
        <f t="shared" si="363"/>
        <v>-119.50555555555556</v>
      </c>
      <c r="BA184" s="140">
        <f t="shared" si="363"/>
        <v>-119.50555555555556</v>
      </c>
      <c r="BB184" s="140">
        <f t="shared" si="363"/>
        <v>-119.50555555555556</v>
      </c>
      <c r="BC184" s="140">
        <f t="shared" si="363"/>
        <v>-119.50555555555556</v>
      </c>
      <c r="BD184" s="140">
        <f t="shared" si="363"/>
        <v>-119.50555555555556</v>
      </c>
      <c r="BE184" s="140">
        <f t="shared" si="363"/>
        <v>-119.50555555555556</v>
      </c>
      <c r="BF184" s="140">
        <f t="shared" si="363"/>
        <v>-119.50555555555556</v>
      </c>
      <c r="BG184" s="140">
        <f t="shared" si="363"/>
        <v>-119.50555555555556</v>
      </c>
      <c r="BH184" s="140">
        <f t="shared" si="363"/>
        <v>-119.50555555555556</v>
      </c>
      <c r="BI184" s="140">
        <f t="shared" si="363"/>
        <v>-119.50555555555556</v>
      </c>
      <c r="BJ184" s="140">
        <f t="shared" si="363"/>
        <v>-119.50555555555556</v>
      </c>
      <c r="BK184" s="140">
        <f t="shared" si="363"/>
        <v>-119.50555555555556</v>
      </c>
      <c r="BL184" s="140">
        <f t="shared" si="363"/>
        <v>-119.50555555555556</v>
      </c>
      <c r="BM184" s="140">
        <f t="shared" si="363"/>
        <v>-119.50555555555556</v>
      </c>
      <c r="BN184" s="140">
        <f t="shared" si="363"/>
        <v>-119.50555555555556</v>
      </c>
      <c r="BO184" s="140">
        <f t="shared" ref="BO184:CB184" si="364">BO183/360</f>
        <v>-119.50555555555556</v>
      </c>
      <c r="BP184" s="140">
        <f t="shared" si="364"/>
        <v>-119.50555555555556</v>
      </c>
      <c r="BQ184" s="140">
        <f t="shared" si="364"/>
        <v>-119.50555555555556</v>
      </c>
      <c r="BR184" s="140">
        <f t="shared" si="364"/>
        <v>-119.50555555555556</v>
      </c>
      <c r="BS184" s="140">
        <f t="shared" si="364"/>
        <v>-119.50555555555556</v>
      </c>
      <c r="BT184" s="140">
        <f t="shared" si="364"/>
        <v>-119.50555555555556</v>
      </c>
      <c r="BU184" s="140">
        <f t="shared" si="364"/>
        <v>-119.50555555555556</v>
      </c>
      <c r="BV184" s="140">
        <f t="shared" si="364"/>
        <v>-119.50555555555556</v>
      </c>
      <c r="BW184" s="140">
        <f t="shared" si="364"/>
        <v>-119.50555555555556</v>
      </c>
      <c r="BX184" s="140">
        <f t="shared" si="364"/>
        <v>-119.50555555555556</v>
      </c>
      <c r="BY184" s="140">
        <f t="shared" si="364"/>
        <v>-119.50555555555556</v>
      </c>
      <c r="BZ184" s="140">
        <f t="shared" si="364"/>
        <v>-119.50555555555556</v>
      </c>
      <c r="CA184" s="140">
        <f t="shared" si="364"/>
        <v>-119.50555555555556</v>
      </c>
      <c r="CB184" s="140">
        <f t="shared" si="364"/>
        <v>-119.50555555555556</v>
      </c>
      <c r="CC184" s="17"/>
      <c r="CD184" s="17"/>
      <c r="CE184" s="17"/>
    </row>
    <row r="185" spans="1:83">
      <c r="A185" s="16" t="s">
        <v>43</v>
      </c>
      <c r="B185" s="140">
        <f>IF(B183&lt;0,0,$B$5+$B$6*((1-EXP(-B184/$B$9))/(B184/$B$9))+$B$7*((1-EXP(-B184/$B$9))/(B184/$B$9)-EXP(-B184/$B$9))+$B$8*((1-EXP(-B184/$B$10))/(B184/$B$10)-EXP(-B184/$B$10)))</f>
        <v>0</v>
      </c>
      <c r="C185" s="140">
        <f t="shared" ref="C185:BN185" si="365">IF(C183&lt;0,0,$B$5+$B$6*((1-EXP(-C184/$B$9))/(C184/$B$9))+$B$7*((1-EXP(-C184/$B$9))/(C184/$B$9)-EXP(-C184/$B$9))+$B$8*((1-EXP(-C184/$B$10))/(C184/$B$10)-EXP(-C184/$B$10)))</f>
        <v>0</v>
      </c>
      <c r="D185" s="140">
        <f t="shared" si="365"/>
        <v>0</v>
      </c>
      <c r="E185" s="140">
        <f t="shared" si="365"/>
        <v>0</v>
      </c>
      <c r="F185" s="140">
        <f t="shared" si="365"/>
        <v>0</v>
      </c>
      <c r="G185" s="140">
        <f t="shared" si="365"/>
        <v>0</v>
      </c>
      <c r="H185" s="140">
        <f t="shared" si="365"/>
        <v>0</v>
      </c>
      <c r="I185" s="140">
        <f t="shared" si="365"/>
        <v>0</v>
      </c>
      <c r="J185" s="140">
        <f t="shared" si="365"/>
        <v>0</v>
      </c>
      <c r="K185" s="140">
        <f t="shared" si="365"/>
        <v>0</v>
      </c>
      <c r="L185" s="140">
        <f t="shared" si="365"/>
        <v>0</v>
      </c>
      <c r="M185" s="140">
        <f t="shared" si="365"/>
        <v>0</v>
      </c>
      <c r="N185" s="140">
        <f t="shared" si="365"/>
        <v>0</v>
      </c>
      <c r="O185" s="140">
        <f t="shared" si="365"/>
        <v>0</v>
      </c>
      <c r="P185" s="140">
        <f t="shared" si="365"/>
        <v>0</v>
      </c>
      <c r="Q185" s="140">
        <f t="shared" si="365"/>
        <v>0</v>
      </c>
      <c r="R185" s="140">
        <f t="shared" si="365"/>
        <v>0</v>
      </c>
      <c r="S185" s="140">
        <f t="shared" si="365"/>
        <v>0</v>
      </c>
      <c r="T185" s="140">
        <f t="shared" si="365"/>
        <v>0</v>
      </c>
      <c r="U185" s="140">
        <f t="shared" si="365"/>
        <v>0</v>
      </c>
      <c r="V185" s="140">
        <f t="shared" si="365"/>
        <v>0</v>
      </c>
      <c r="W185" s="140">
        <f t="shared" si="365"/>
        <v>0</v>
      </c>
      <c r="X185" s="140">
        <f t="shared" si="365"/>
        <v>0</v>
      </c>
      <c r="Y185" s="140">
        <f t="shared" si="365"/>
        <v>0</v>
      </c>
      <c r="Z185" s="140">
        <f t="shared" si="365"/>
        <v>0</v>
      </c>
      <c r="AA185" s="140">
        <f t="shared" si="365"/>
        <v>0</v>
      </c>
      <c r="AB185" s="140">
        <f t="shared" si="365"/>
        <v>0</v>
      </c>
      <c r="AC185" s="140">
        <f t="shared" si="365"/>
        <v>0</v>
      </c>
      <c r="AD185" s="140">
        <f t="shared" si="365"/>
        <v>0</v>
      </c>
      <c r="AE185" s="140">
        <f t="shared" si="365"/>
        <v>0</v>
      </c>
      <c r="AF185" s="140">
        <f t="shared" si="365"/>
        <v>0</v>
      </c>
      <c r="AG185" s="140">
        <f t="shared" si="365"/>
        <v>0</v>
      </c>
      <c r="AH185" s="140">
        <f t="shared" si="365"/>
        <v>0</v>
      </c>
      <c r="AI185" s="140">
        <f t="shared" si="365"/>
        <v>0</v>
      </c>
      <c r="AJ185" s="140">
        <f t="shared" si="365"/>
        <v>0</v>
      </c>
      <c r="AK185" s="140">
        <f t="shared" si="365"/>
        <v>0</v>
      </c>
      <c r="AL185" s="140">
        <f t="shared" si="365"/>
        <v>0</v>
      </c>
      <c r="AM185" s="140">
        <f t="shared" si="365"/>
        <v>0</v>
      </c>
      <c r="AN185" s="140">
        <f t="shared" si="365"/>
        <v>0</v>
      </c>
      <c r="AO185" s="140">
        <f t="shared" si="365"/>
        <v>0</v>
      </c>
      <c r="AP185" s="140">
        <f t="shared" si="365"/>
        <v>0</v>
      </c>
      <c r="AQ185" s="140">
        <f t="shared" si="365"/>
        <v>0</v>
      </c>
      <c r="AR185" s="140">
        <f t="shared" si="365"/>
        <v>0</v>
      </c>
      <c r="AS185" s="140">
        <f t="shared" si="365"/>
        <v>0</v>
      </c>
      <c r="AT185" s="140">
        <f t="shared" si="365"/>
        <v>0</v>
      </c>
      <c r="AU185" s="140">
        <f t="shared" si="365"/>
        <v>0</v>
      </c>
      <c r="AV185" s="140">
        <f t="shared" si="365"/>
        <v>0</v>
      </c>
      <c r="AW185" s="140">
        <f t="shared" si="365"/>
        <v>0</v>
      </c>
      <c r="AX185" s="140">
        <f t="shared" si="365"/>
        <v>0</v>
      </c>
      <c r="AY185" s="140">
        <f t="shared" si="365"/>
        <v>0</v>
      </c>
      <c r="AZ185" s="140">
        <f t="shared" si="365"/>
        <v>0</v>
      </c>
      <c r="BA185" s="140">
        <f t="shared" si="365"/>
        <v>0</v>
      </c>
      <c r="BB185" s="140">
        <f t="shared" si="365"/>
        <v>0</v>
      </c>
      <c r="BC185" s="140">
        <f t="shared" si="365"/>
        <v>0</v>
      </c>
      <c r="BD185" s="140">
        <f t="shared" si="365"/>
        <v>0</v>
      </c>
      <c r="BE185" s="140">
        <f t="shared" si="365"/>
        <v>0</v>
      </c>
      <c r="BF185" s="140">
        <f t="shared" si="365"/>
        <v>0</v>
      </c>
      <c r="BG185" s="140">
        <f t="shared" si="365"/>
        <v>0</v>
      </c>
      <c r="BH185" s="140">
        <f t="shared" si="365"/>
        <v>0</v>
      </c>
      <c r="BI185" s="140">
        <f t="shared" si="365"/>
        <v>0</v>
      </c>
      <c r="BJ185" s="140">
        <f t="shared" si="365"/>
        <v>0</v>
      </c>
      <c r="BK185" s="140">
        <f t="shared" si="365"/>
        <v>0</v>
      </c>
      <c r="BL185" s="140">
        <f t="shared" si="365"/>
        <v>0</v>
      </c>
      <c r="BM185" s="140">
        <f t="shared" si="365"/>
        <v>0</v>
      </c>
      <c r="BN185" s="140">
        <f t="shared" si="365"/>
        <v>0</v>
      </c>
      <c r="BO185" s="140">
        <f t="shared" ref="BO185:CB185" si="366">IF(BO183&lt;0,0,$B$5+$B$6*((1-EXP(-BO184/$B$9))/(BO184/$B$9))+$B$7*((1-EXP(-BO184/$B$9))/(BO184/$B$9)-EXP(-BO184/$B$9))+$B$8*((1-EXP(-BO184/$B$10))/(BO184/$B$10)-EXP(-BO184/$B$10)))</f>
        <v>0</v>
      </c>
      <c r="BP185" s="140">
        <f t="shared" si="366"/>
        <v>0</v>
      </c>
      <c r="BQ185" s="140">
        <f t="shared" si="366"/>
        <v>0</v>
      </c>
      <c r="BR185" s="140">
        <f t="shared" si="366"/>
        <v>0</v>
      </c>
      <c r="BS185" s="140">
        <f t="shared" si="366"/>
        <v>0</v>
      </c>
      <c r="BT185" s="140">
        <f t="shared" si="366"/>
        <v>0</v>
      </c>
      <c r="BU185" s="140">
        <f t="shared" si="366"/>
        <v>0</v>
      </c>
      <c r="BV185" s="140">
        <f t="shared" si="366"/>
        <v>0</v>
      </c>
      <c r="BW185" s="140">
        <f t="shared" si="366"/>
        <v>0</v>
      </c>
      <c r="BX185" s="140">
        <f t="shared" si="366"/>
        <v>0</v>
      </c>
      <c r="BY185" s="140">
        <f t="shared" si="366"/>
        <v>0</v>
      </c>
      <c r="BZ185" s="140">
        <f t="shared" si="366"/>
        <v>0</v>
      </c>
      <c r="CA185" s="140">
        <f t="shared" si="366"/>
        <v>0</v>
      </c>
      <c r="CB185" s="140">
        <f t="shared" si="366"/>
        <v>0</v>
      </c>
      <c r="CC185" s="17"/>
      <c r="CD185" s="17"/>
      <c r="CE185" s="17"/>
    </row>
    <row r="186" spans="1:83">
      <c r="A186" s="16" t="s">
        <v>44</v>
      </c>
      <c r="B186" s="140">
        <f>EXP(-B185*B184)</f>
        <v>1</v>
      </c>
      <c r="C186" s="140">
        <f t="shared" ref="C186:AR186" si="367">EXP(-C185*C184)</f>
        <v>1</v>
      </c>
      <c r="D186" s="140">
        <f t="shared" si="367"/>
        <v>1</v>
      </c>
      <c r="E186" s="140">
        <f t="shared" si="367"/>
        <v>1</v>
      </c>
      <c r="F186" s="140">
        <f t="shared" si="367"/>
        <v>1</v>
      </c>
      <c r="G186" s="140">
        <f t="shared" si="367"/>
        <v>1</v>
      </c>
      <c r="H186" s="140">
        <f t="shared" si="367"/>
        <v>1</v>
      </c>
      <c r="I186" s="140">
        <f t="shared" si="367"/>
        <v>1</v>
      </c>
      <c r="J186" s="140">
        <f t="shared" si="367"/>
        <v>1</v>
      </c>
      <c r="K186" s="140">
        <f t="shared" si="367"/>
        <v>1</v>
      </c>
      <c r="L186" s="140">
        <f t="shared" si="367"/>
        <v>1</v>
      </c>
      <c r="M186" s="140">
        <f t="shared" si="367"/>
        <v>1</v>
      </c>
      <c r="N186" s="140">
        <f t="shared" si="367"/>
        <v>1</v>
      </c>
      <c r="O186" s="140">
        <f t="shared" si="367"/>
        <v>1</v>
      </c>
      <c r="P186" s="140">
        <f t="shared" si="367"/>
        <v>1</v>
      </c>
      <c r="Q186" s="140">
        <f t="shared" si="367"/>
        <v>1</v>
      </c>
      <c r="R186" s="140">
        <f t="shared" si="367"/>
        <v>1</v>
      </c>
      <c r="S186" s="140">
        <f t="shared" si="367"/>
        <v>1</v>
      </c>
      <c r="T186" s="140">
        <f t="shared" si="367"/>
        <v>1</v>
      </c>
      <c r="U186" s="140">
        <f t="shared" si="367"/>
        <v>1</v>
      </c>
      <c r="V186" s="140">
        <f t="shared" si="367"/>
        <v>1</v>
      </c>
      <c r="W186" s="140">
        <f t="shared" si="367"/>
        <v>1</v>
      </c>
      <c r="X186" s="140">
        <f t="shared" si="367"/>
        <v>1</v>
      </c>
      <c r="Y186" s="140">
        <f t="shared" si="367"/>
        <v>1</v>
      </c>
      <c r="Z186" s="140">
        <f t="shared" si="367"/>
        <v>1</v>
      </c>
      <c r="AA186" s="140">
        <f t="shared" si="367"/>
        <v>1</v>
      </c>
      <c r="AB186" s="140">
        <f t="shared" si="367"/>
        <v>1</v>
      </c>
      <c r="AC186" s="140">
        <f t="shared" si="367"/>
        <v>1</v>
      </c>
      <c r="AD186" s="140">
        <f t="shared" si="367"/>
        <v>1</v>
      </c>
      <c r="AE186" s="140">
        <f t="shared" si="367"/>
        <v>1</v>
      </c>
      <c r="AF186" s="140">
        <f t="shared" si="367"/>
        <v>1</v>
      </c>
      <c r="AG186" s="140">
        <f t="shared" si="367"/>
        <v>1</v>
      </c>
      <c r="AH186" s="140">
        <f t="shared" si="367"/>
        <v>1</v>
      </c>
      <c r="AI186" s="140">
        <f t="shared" si="367"/>
        <v>1</v>
      </c>
      <c r="AJ186" s="140">
        <f t="shared" si="367"/>
        <v>1</v>
      </c>
      <c r="AK186" s="140">
        <f t="shared" si="367"/>
        <v>1</v>
      </c>
      <c r="AL186" s="140">
        <f t="shared" si="367"/>
        <v>1</v>
      </c>
      <c r="AM186" s="140">
        <f t="shared" si="367"/>
        <v>1</v>
      </c>
      <c r="AN186" s="140">
        <f t="shared" si="367"/>
        <v>1</v>
      </c>
      <c r="AO186" s="140">
        <f t="shared" si="367"/>
        <v>1</v>
      </c>
      <c r="AP186" s="140">
        <f t="shared" si="367"/>
        <v>1</v>
      </c>
      <c r="AQ186" s="140">
        <f t="shared" si="367"/>
        <v>1</v>
      </c>
      <c r="AR186" s="140">
        <f t="shared" si="367"/>
        <v>1</v>
      </c>
      <c r="AS186" s="140">
        <f>EXP(-AS185*AS184)</f>
        <v>1</v>
      </c>
      <c r="AT186" s="140">
        <f t="shared" ref="AT186:CA186" si="368">EXP(-AT185*AT184)</f>
        <v>1</v>
      </c>
      <c r="AU186" s="140">
        <f t="shared" si="368"/>
        <v>1</v>
      </c>
      <c r="AV186" s="140">
        <f t="shared" si="368"/>
        <v>1</v>
      </c>
      <c r="AW186" s="140">
        <f t="shared" si="368"/>
        <v>1</v>
      </c>
      <c r="AX186" s="140">
        <f t="shared" si="368"/>
        <v>1</v>
      </c>
      <c r="AY186" s="140">
        <f t="shared" si="368"/>
        <v>1</v>
      </c>
      <c r="AZ186" s="140">
        <f t="shared" si="368"/>
        <v>1</v>
      </c>
      <c r="BA186" s="140">
        <f t="shared" si="368"/>
        <v>1</v>
      </c>
      <c r="BB186" s="140">
        <f t="shared" si="368"/>
        <v>1</v>
      </c>
      <c r="BC186" s="140">
        <f t="shared" si="368"/>
        <v>1</v>
      </c>
      <c r="BD186" s="140">
        <f t="shared" si="368"/>
        <v>1</v>
      </c>
      <c r="BE186" s="140">
        <f t="shared" si="368"/>
        <v>1</v>
      </c>
      <c r="BF186" s="140">
        <f t="shared" si="368"/>
        <v>1</v>
      </c>
      <c r="BG186" s="140">
        <f t="shared" si="368"/>
        <v>1</v>
      </c>
      <c r="BH186" s="140">
        <f t="shared" si="368"/>
        <v>1</v>
      </c>
      <c r="BI186" s="140">
        <f t="shared" si="368"/>
        <v>1</v>
      </c>
      <c r="BJ186" s="140">
        <f t="shared" si="368"/>
        <v>1</v>
      </c>
      <c r="BK186" s="140">
        <f t="shared" si="368"/>
        <v>1</v>
      </c>
      <c r="BL186" s="140">
        <f t="shared" si="368"/>
        <v>1</v>
      </c>
      <c r="BM186" s="140">
        <f t="shared" si="368"/>
        <v>1</v>
      </c>
      <c r="BN186" s="140">
        <f t="shared" si="368"/>
        <v>1</v>
      </c>
      <c r="BO186" s="140">
        <f t="shared" si="368"/>
        <v>1</v>
      </c>
      <c r="BP186" s="140">
        <f t="shared" si="368"/>
        <v>1</v>
      </c>
      <c r="BQ186" s="140">
        <f t="shared" si="368"/>
        <v>1</v>
      </c>
      <c r="BR186" s="140">
        <f t="shared" si="368"/>
        <v>1</v>
      </c>
      <c r="BS186" s="140">
        <f t="shared" si="368"/>
        <v>1</v>
      </c>
      <c r="BT186" s="140">
        <f t="shared" si="368"/>
        <v>1</v>
      </c>
      <c r="BU186" s="140">
        <f t="shared" si="368"/>
        <v>1</v>
      </c>
      <c r="BV186" s="140">
        <f t="shared" si="368"/>
        <v>1</v>
      </c>
      <c r="BW186" s="140">
        <f t="shared" si="368"/>
        <v>1</v>
      </c>
      <c r="BX186" s="140">
        <f t="shared" si="368"/>
        <v>1</v>
      </c>
      <c r="BY186" s="140">
        <f t="shared" si="368"/>
        <v>1</v>
      </c>
      <c r="BZ186" s="140">
        <f t="shared" si="368"/>
        <v>1</v>
      </c>
      <c r="CA186" s="140">
        <f t="shared" si="368"/>
        <v>1</v>
      </c>
      <c r="CB186" s="140">
        <f>EXP(-CB185*CB184)</f>
        <v>1</v>
      </c>
      <c r="CC186" s="17"/>
      <c r="CD186" s="17"/>
      <c r="CE186" s="17"/>
    </row>
    <row r="187" spans="1:83">
      <c r="A187" s="17"/>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c r="BE187" s="17"/>
      <c r="BF187" s="17"/>
      <c r="BG187" s="17"/>
      <c r="BH187" s="17"/>
      <c r="BI187" s="17"/>
      <c r="BJ187" s="17"/>
      <c r="BK187" s="17"/>
      <c r="BL187" s="17"/>
      <c r="BM187" s="17"/>
      <c r="BN187" s="17"/>
      <c r="BO187" s="17"/>
      <c r="BP187" s="17"/>
      <c r="BQ187" s="17"/>
      <c r="BR187" s="17"/>
      <c r="BS187" s="17"/>
      <c r="BT187" s="17"/>
      <c r="BU187" s="17"/>
      <c r="BV187" s="17"/>
      <c r="BW187" s="17"/>
      <c r="BX187" s="17"/>
      <c r="BY187" s="17"/>
      <c r="BZ187" s="17"/>
      <c r="CA187" s="17"/>
      <c r="CB187" s="17"/>
      <c r="CC187" s="17"/>
      <c r="CD187" s="17"/>
      <c r="CE187" s="17"/>
    </row>
    <row r="188" spans="1:83">
      <c r="A188" s="16" t="s">
        <v>40</v>
      </c>
      <c r="B188" s="140">
        <f t="shared" ref="B188:AG188" si="369">DAYS360($B$3,B66)</f>
        <v>-43022</v>
      </c>
      <c r="C188" s="140">
        <f t="shared" si="369"/>
        <v>-43022</v>
      </c>
      <c r="D188" s="140">
        <f t="shared" si="369"/>
        <v>-43022</v>
      </c>
      <c r="E188" s="140">
        <f t="shared" si="369"/>
        <v>-43022</v>
      </c>
      <c r="F188" s="140">
        <f t="shared" si="369"/>
        <v>-43022</v>
      </c>
      <c r="G188" s="140">
        <f t="shared" si="369"/>
        <v>-43022</v>
      </c>
      <c r="H188" s="140">
        <f t="shared" si="369"/>
        <v>-43022</v>
      </c>
      <c r="I188" s="140">
        <f t="shared" si="369"/>
        <v>-43022</v>
      </c>
      <c r="J188" s="140">
        <f t="shared" si="369"/>
        <v>-43022</v>
      </c>
      <c r="K188" s="140">
        <f t="shared" si="369"/>
        <v>-43022</v>
      </c>
      <c r="L188" s="140">
        <f t="shared" si="369"/>
        <v>-43022</v>
      </c>
      <c r="M188" s="140">
        <f t="shared" si="369"/>
        <v>-43022</v>
      </c>
      <c r="N188" s="140">
        <f t="shared" si="369"/>
        <v>-43022</v>
      </c>
      <c r="O188" s="140">
        <f t="shared" si="369"/>
        <v>-43022</v>
      </c>
      <c r="P188" s="140">
        <f t="shared" si="369"/>
        <v>-43022</v>
      </c>
      <c r="Q188" s="140">
        <f t="shared" si="369"/>
        <v>-43022</v>
      </c>
      <c r="R188" s="140">
        <f t="shared" si="369"/>
        <v>-43022</v>
      </c>
      <c r="S188" s="140">
        <f t="shared" si="369"/>
        <v>-43022</v>
      </c>
      <c r="T188" s="140">
        <f t="shared" si="369"/>
        <v>-43022</v>
      </c>
      <c r="U188" s="140">
        <f t="shared" si="369"/>
        <v>-43022</v>
      </c>
      <c r="V188" s="140">
        <f t="shared" si="369"/>
        <v>-43022</v>
      </c>
      <c r="W188" s="140">
        <f t="shared" si="369"/>
        <v>-43022</v>
      </c>
      <c r="X188" s="140">
        <f t="shared" si="369"/>
        <v>-43022</v>
      </c>
      <c r="Y188" s="140">
        <f t="shared" si="369"/>
        <v>-43022</v>
      </c>
      <c r="Z188" s="140">
        <f t="shared" si="369"/>
        <v>-43022</v>
      </c>
      <c r="AA188" s="140">
        <f t="shared" si="369"/>
        <v>-43022</v>
      </c>
      <c r="AB188" s="140">
        <f t="shared" si="369"/>
        <v>-43022</v>
      </c>
      <c r="AC188" s="140">
        <f t="shared" si="369"/>
        <v>-43022</v>
      </c>
      <c r="AD188" s="140">
        <f t="shared" si="369"/>
        <v>-43022</v>
      </c>
      <c r="AE188" s="140">
        <f t="shared" si="369"/>
        <v>-43022</v>
      </c>
      <c r="AF188" s="140">
        <f t="shared" si="369"/>
        <v>-43022</v>
      </c>
      <c r="AG188" s="140">
        <f t="shared" si="369"/>
        <v>-43022</v>
      </c>
      <c r="AH188" s="140">
        <f t="shared" ref="AH188:BM188" si="370">DAYS360($B$3,AH66)</f>
        <v>-43022</v>
      </c>
      <c r="AI188" s="140">
        <f t="shared" si="370"/>
        <v>-43022</v>
      </c>
      <c r="AJ188" s="140">
        <f t="shared" si="370"/>
        <v>-43022</v>
      </c>
      <c r="AK188" s="140">
        <f t="shared" si="370"/>
        <v>-43022</v>
      </c>
      <c r="AL188" s="140">
        <f t="shared" si="370"/>
        <v>-43022</v>
      </c>
      <c r="AM188" s="140">
        <f t="shared" si="370"/>
        <v>-43022</v>
      </c>
      <c r="AN188" s="140">
        <f t="shared" si="370"/>
        <v>-43022</v>
      </c>
      <c r="AO188" s="140">
        <f t="shared" si="370"/>
        <v>-43022</v>
      </c>
      <c r="AP188" s="140">
        <f t="shared" si="370"/>
        <v>-43022</v>
      </c>
      <c r="AQ188" s="140">
        <f t="shared" si="370"/>
        <v>-43022</v>
      </c>
      <c r="AR188" s="140">
        <f t="shared" si="370"/>
        <v>-43022</v>
      </c>
      <c r="AS188" s="140">
        <f t="shared" si="370"/>
        <v>-43022</v>
      </c>
      <c r="AT188" s="140">
        <f t="shared" si="370"/>
        <v>-43022</v>
      </c>
      <c r="AU188" s="140">
        <f t="shared" si="370"/>
        <v>-43022</v>
      </c>
      <c r="AV188" s="140">
        <f t="shared" si="370"/>
        <v>-43022</v>
      </c>
      <c r="AW188" s="140">
        <f t="shared" si="370"/>
        <v>-43022</v>
      </c>
      <c r="AX188" s="140">
        <f t="shared" si="370"/>
        <v>-43022</v>
      </c>
      <c r="AY188" s="140">
        <f t="shared" si="370"/>
        <v>-43022</v>
      </c>
      <c r="AZ188" s="140">
        <f t="shared" si="370"/>
        <v>-43022</v>
      </c>
      <c r="BA188" s="140">
        <f t="shared" si="370"/>
        <v>-43022</v>
      </c>
      <c r="BB188" s="140">
        <f t="shared" si="370"/>
        <v>-43022</v>
      </c>
      <c r="BC188" s="140">
        <f t="shared" si="370"/>
        <v>-43022</v>
      </c>
      <c r="BD188" s="140">
        <f t="shared" si="370"/>
        <v>-43022</v>
      </c>
      <c r="BE188" s="140">
        <f t="shared" si="370"/>
        <v>-43022</v>
      </c>
      <c r="BF188" s="140">
        <f t="shared" si="370"/>
        <v>-43022</v>
      </c>
      <c r="BG188" s="140">
        <f t="shared" si="370"/>
        <v>-43022</v>
      </c>
      <c r="BH188" s="140">
        <f t="shared" si="370"/>
        <v>-43022</v>
      </c>
      <c r="BI188" s="140">
        <f t="shared" si="370"/>
        <v>-43022</v>
      </c>
      <c r="BJ188" s="140">
        <f t="shared" si="370"/>
        <v>-43022</v>
      </c>
      <c r="BK188" s="140">
        <f t="shared" si="370"/>
        <v>-43022</v>
      </c>
      <c r="BL188" s="140">
        <f t="shared" si="370"/>
        <v>-43022</v>
      </c>
      <c r="BM188" s="140">
        <f t="shared" si="370"/>
        <v>-43022</v>
      </c>
      <c r="BN188" s="140">
        <f t="shared" ref="BN188:CB188" si="371">DAYS360($B$3,BN66)</f>
        <v>-43022</v>
      </c>
      <c r="BO188" s="140">
        <f t="shared" si="371"/>
        <v>-43022</v>
      </c>
      <c r="BP188" s="140">
        <f t="shared" si="371"/>
        <v>-43022</v>
      </c>
      <c r="BQ188" s="140">
        <f t="shared" si="371"/>
        <v>-43022</v>
      </c>
      <c r="BR188" s="140">
        <f t="shared" si="371"/>
        <v>-43022</v>
      </c>
      <c r="BS188" s="140">
        <f t="shared" si="371"/>
        <v>-43022</v>
      </c>
      <c r="BT188" s="140">
        <f t="shared" si="371"/>
        <v>-43022</v>
      </c>
      <c r="BU188" s="140">
        <f t="shared" si="371"/>
        <v>-43022</v>
      </c>
      <c r="BV188" s="140">
        <f t="shared" si="371"/>
        <v>-43022</v>
      </c>
      <c r="BW188" s="140">
        <f t="shared" si="371"/>
        <v>-43022</v>
      </c>
      <c r="BX188" s="140">
        <f t="shared" si="371"/>
        <v>-43022</v>
      </c>
      <c r="BY188" s="140">
        <f t="shared" si="371"/>
        <v>-43022</v>
      </c>
      <c r="BZ188" s="140">
        <f t="shared" si="371"/>
        <v>-43022</v>
      </c>
      <c r="CA188" s="140">
        <f t="shared" si="371"/>
        <v>-43022</v>
      </c>
      <c r="CB188" s="140">
        <f t="shared" si="371"/>
        <v>-43022</v>
      </c>
      <c r="CC188" s="17"/>
      <c r="CD188" s="17"/>
      <c r="CE188" s="17"/>
    </row>
    <row r="189" spans="1:83">
      <c r="A189" s="16" t="s">
        <v>41</v>
      </c>
      <c r="B189" s="140">
        <f>B188/360</f>
        <v>-119.50555555555556</v>
      </c>
      <c r="C189" s="140">
        <f t="shared" ref="C189:BN189" si="372">C188/360</f>
        <v>-119.50555555555556</v>
      </c>
      <c r="D189" s="140">
        <f t="shared" si="372"/>
        <v>-119.50555555555556</v>
      </c>
      <c r="E189" s="140">
        <f t="shared" si="372"/>
        <v>-119.50555555555556</v>
      </c>
      <c r="F189" s="140">
        <f t="shared" si="372"/>
        <v>-119.50555555555556</v>
      </c>
      <c r="G189" s="140">
        <f t="shared" si="372"/>
        <v>-119.50555555555556</v>
      </c>
      <c r="H189" s="140">
        <f t="shared" si="372"/>
        <v>-119.50555555555556</v>
      </c>
      <c r="I189" s="140">
        <f t="shared" si="372"/>
        <v>-119.50555555555556</v>
      </c>
      <c r="J189" s="140">
        <f t="shared" si="372"/>
        <v>-119.50555555555556</v>
      </c>
      <c r="K189" s="140">
        <f t="shared" si="372"/>
        <v>-119.50555555555556</v>
      </c>
      <c r="L189" s="140">
        <f t="shared" si="372"/>
        <v>-119.50555555555556</v>
      </c>
      <c r="M189" s="140">
        <f t="shared" si="372"/>
        <v>-119.50555555555556</v>
      </c>
      <c r="N189" s="140">
        <f t="shared" si="372"/>
        <v>-119.50555555555556</v>
      </c>
      <c r="O189" s="140">
        <f t="shared" si="372"/>
        <v>-119.50555555555556</v>
      </c>
      <c r="P189" s="140">
        <f t="shared" si="372"/>
        <v>-119.50555555555556</v>
      </c>
      <c r="Q189" s="140">
        <f t="shared" si="372"/>
        <v>-119.50555555555556</v>
      </c>
      <c r="R189" s="140">
        <f t="shared" si="372"/>
        <v>-119.50555555555556</v>
      </c>
      <c r="S189" s="140">
        <f t="shared" si="372"/>
        <v>-119.50555555555556</v>
      </c>
      <c r="T189" s="140">
        <f t="shared" si="372"/>
        <v>-119.50555555555556</v>
      </c>
      <c r="U189" s="140">
        <f t="shared" si="372"/>
        <v>-119.50555555555556</v>
      </c>
      <c r="V189" s="140">
        <f t="shared" si="372"/>
        <v>-119.50555555555556</v>
      </c>
      <c r="W189" s="140">
        <f t="shared" si="372"/>
        <v>-119.50555555555556</v>
      </c>
      <c r="X189" s="140">
        <f t="shared" si="372"/>
        <v>-119.50555555555556</v>
      </c>
      <c r="Y189" s="140">
        <f t="shared" si="372"/>
        <v>-119.50555555555556</v>
      </c>
      <c r="Z189" s="140">
        <f t="shared" si="372"/>
        <v>-119.50555555555556</v>
      </c>
      <c r="AA189" s="140">
        <f t="shared" si="372"/>
        <v>-119.50555555555556</v>
      </c>
      <c r="AB189" s="140">
        <f t="shared" si="372"/>
        <v>-119.50555555555556</v>
      </c>
      <c r="AC189" s="140">
        <f t="shared" si="372"/>
        <v>-119.50555555555556</v>
      </c>
      <c r="AD189" s="140">
        <f t="shared" si="372"/>
        <v>-119.50555555555556</v>
      </c>
      <c r="AE189" s="140">
        <f t="shared" si="372"/>
        <v>-119.50555555555556</v>
      </c>
      <c r="AF189" s="140">
        <f t="shared" si="372"/>
        <v>-119.50555555555556</v>
      </c>
      <c r="AG189" s="140">
        <f t="shared" si="372"/>
        <v>-119.50555555555556</v>
      </c>
      <c r="AH189" s="140">
        <f t="shared" si="372"/>
        <v>-119.50555555555556</v>
      </c>
      <c r="AI189" s="140">
        <f t="shared" si="372"/>
        <v>-119.50555555555556</v>
      </c>
      <c r="AJ189" s="140">
        <f t="shared" si="372"/>
        <v>-119.50555555555556</v>
      </c>
      <c r="AK189" s="140">
        <f t="shared" si="372"/>
        <v>-119.50555555555556</v>
      </c>
      <c r="AL189" s="140">
        <f t="shared" si="372"/>
        <v>-119.50555555555556</v>
      </c>
      <c r="AM189" s="140">
        <f t="shared" si="372"/>
        <v>-119.50555555555556</v>
      </c>
      <c r="AN189" s="140">
        <f t="shared" si="372"/>
        <v>-119.50555555555556</v>
      </c>
      <c r="AO189" s="140">
        <f t="shared" si="372"/>
        <v>-119.50555555555556</v>
      </c>
      <c r="AP189" s="140">
        <f t="shared" si="372"/>
        <v>-119.50555555555556</v>
      </c>
      <c r="AQ189" s="140">
        <f t="shared" si="372"/>
        <v>-119.50555555555556</v>
      </c>
      <c r="AR189" s="140">
        <f t="shared" si="372"/>
        <v>-119.50555555555556</v>
      </c>
      <c r="AS189" s="140">
        <f t="shared" si="372"/>
        <v>-119.50555555555556</v>
      </c>
      <c r="AT189" s="140">
        <f t="shared" si="372"/>
        <v>-119.50555555555556</v>
      </c>
      <c r="AU189" s="140">
        <f t="shared" si="372"/>
        <v>-119.50555555555556</v>
      </c>
      <c r="AV189" s="140">
        <f t="shared" si="372"/>
        <v>-119.50555555555556</v>
      </c>
      <c r="AW189" s="140">
        <f t="shared" si="372"/>
        <v>-119.50555555555556</v>
      </c>
      <c r="AX189" s="140">
        <f t="shared" si="372"/>
        <v>-119.50555555555556</v>
      </c>
      <c r="AY189" s="140">
        <f t="shared" si="372"/>
        <v>-119.50555555555556</v>
      </c>
      <c r="AZ189" s="140">
        <f t="shared" si="372"/>
        <v>-119.50555555555556</v>
      </c>
      <c r="BA189" s="140">
        <f t="shared" si="372"/>
        <v>-119.50555555555556</v>
      </c>
      <c r="BB189" s="140">
        <f t="shared" si="372"/>
        <v>-119.50555555555556</v>
      </c>
      <c r="BC189" s="140">
        <f t="shared" si="372"/>
        <v>-119.50555555555556</v>
      </c>
      <c r="BD189" s="140">
        <f t="shared" si="372"/>
        <v>-119.50555555555556</v>
      </c>
      <c r="BE189" s="140">
        <f t="shared" si="372"/>
        <v>-119.50555555555556</v>
      </c>
      <c r="BF189" s="140">
        <f t="shared" si="372"/>
        <v>-119.50555555555556</v>
      </c>
      <c r="BG189" s="140">
        <f t="shared" si="372"/>
        <v>-119.50555555555556</v>
      </c>
      <c r="BH189" s="140">
        <f t="shared" si="372"/>
        <v>-119.50555555555556</v>
      </c>
      <c r="BI189" s="140">
        <f t="shared" si="372"/>
        <v>-119.50555555555556</v>
      </c>
      <c r="BJ189" s="140">
        <f t="shared" si="372"/>
        <v>-119.50555555555556</v>
      </c>
      <c r="BK189" s="140">
        <f t="shared" si="372"/>
        <v>-119.50555555555556</v>
      </c>
      <c r="BL189" s="140">
        <f t="shared" si="372"/>
        <v>-119.50555555555556</v>
      </c>
      <c r="BM189" s="140">
        <f t="shared" si="372"/>
        <v>-119.50555555555556</v>
      </c>
      <c r="BN189" s="140">
        <f t="shared" si="372"/>
        <v>-119.50555555555556</v>
      </c>
      <c r="BO189" s="140">
        <f t="shared" ref="BO189:CB189" si="373">BO188/360</f>
        <v>-119.50555555555556</v>
      </c>
      <c r="BP189" s="140">
        <f t="shared" si="373"/>
        <v>-119.50555555555556</v>
      </c>
      <c r="BQ189" s="140">
        <f t="shared" si="373"/>
        <v>-119.50555555555556</v>
      </c>
      <c r="BR189" s="140">
        <f t="shared" si="373"/>
        <v>-119.50555555555556</v>
      </c>
      <c r="BS189" s="140">
        <f t="shared" si="373"/>
        <v>-119.50555555555556</v>
      </c>
      <c r="BT189" s="140">
        <f t="shared" si="373"/>
        <v>-119.50555555555556</v>
      </c>
      <c r="BU189" s="140">
        <f t="shared" si="373"/>
        <v>-119.50555555555556</v>
      </c>
      <c r="BV189" s="140">
        <f t="shared" si="373"/>
        <v>-119.50555555555556</v>
      </c>
      <c r="BW189" s="140">
        <f t="shared" si="373"/>
        <v>-119.50555555555556</v>
      </c>
      <c r="BX189" s="140">
        <f t="shared" si="373"/>
        <v>-119.50555555555556</v>
      </c>
      <c r="BY189" s="140">
        <f t="shared" si="373"/>
        <v>-119.50555555555556</v>
      </c>
      <c r="BZ189" s="140">
        <f t="shared" si="373"/>
        <v>-119.50555555555556</v>
      </c>
      <c r="CA189" s="140">
        <f t="shared" si="373"/>
        <v>-119.50555555555556</v>
      </c>
      <c r="CB189" s="140">
        <f t="shared" si="373"/>
        <v>-119.50555555555556</v>
      </c>
      <c r="CC189" s="17"/>
      <c r="CD189" s="17"/>
      <c r="CE189" s="17"/>
    </row>
    <row r="190" spans="1:83">
      <c r="A190" s="16" t="s">
        <v>43</v>
      </c>
      <c r="B190" s="140">
        <f>IF(B188&lt;0,0,$B$5+$B$6*((1-EXP(-B189/$B$9))/(B189/$B$9))+$B$7*((1-EXP(-B189/$B$9))/(B189/$B$9)-EXP(-B189/$B$9))+$B$8*((1-EXP(-B189/$B$10))/(B189/$B$10)-EXP(-B189/$B$10)))</f>
        <v>0</v>
      </c>
      <c r="C190" s="140">
        <f t="shared" ref="C190:BN190" si="374">IF(C188&lt;0,0,$B$5+$B$6*((1-EXP(-C189/$B$9))/(C189/$B$9))+$B$7*((1-EXP(-C189/$B$9))/(C189/$B$9)-EXP(-C189/$B$9))+$B$8*((1-EXP(-C189/$B$10))/(C189/$B$10)-EXP(-C189/$B$10)))</f>
        <v>0</v>
      </c>
      <c r="D190" s="140">
        <f t="shared" si="374"/>
        <v>0</v>
      </c>
      <c r="E190" s="140">
        <f t="shared" si="374"/>
        <v>0</v>
      </c>
      <c r="F190" s="140">
        <f t="shared" si="374"/>
        <v>0</v>
      </c>
      <c r="G190" s="140">
        <f t="shared" si="374"/>
        <v>0</v>
      </c>
      <c r="H190" s="140">
        <f t="shared" si="374"/>
        <v>0</v>
      </c>
      <c r="I190" s="140">
        <f t="shared" si="374"/>
        <v>0</v>
      </c>
      <c r="J190" s="140">
        <f t="shared" si="374"/>
        <v>0</v>
      </c>
      <c r="K190" s="140">
        <f t="shared" si="374"/>
        <v>0</v>
      </c>
      <c r="L190" s="140">
        <f t="shared" si="374"/>
        <v>0</v>
      </c>
      <c r="M190" s="140">
        <f t="shared" si="374"/>
        <v>0</v>
      </c>
      <c r="N190" s="140">
        <f t="shared" si="374"/>
        <v>0</v>
      </c>
      <c r="O190" s="140">
        <f t="shared" si="374"/>
        <v>0</v>
      </c>
      <c r="P190" s="140">
        <f t="shared" si="374"/>
        <v>0</v>
      </c>
      <c r="Q190" s="140">
        <f t="shared" si="374"/>
        <v>0</v>
      </c>
      <c r="R190" s="140">
        <f t="shared" si="374"/>
        <v>0</v>
      </c>
      <c r="S190" s="140">
        <f t="shared" si="374"/>
        <v>0</v>
      </c>
      <c r="T190" s="140">
        <f t="shared" si="374"/>
        <v>0</v>
      </c>
      <c r="U190" s="140">
        <f t="shared" si="374"/>
        <v>0</v>
      </c>
      <c r="V190" s="140">
        <f t="shared" si="374"/>
        <v>0</v>
      </c>
      <c r="W190" s="140">
        <f t="shared" si="374"/>
        <v>0</v>
      </c>
      <c r="X190" s="140">
        <f t="shared" si="374"/>
        <v>0</v>
      </c>
      <c r="Y190" s="140">
        <f t="shared" si="374"/>
        <v>0</v>
      </c>
      <c r="Z190" s="140">
        <f t="shared" si="374"/>
        <v>0</v>
      </c>
      <c r="AA190" s="140">
        <f t="shared" si="374"/>
        <v>0</v>
      </c>
      <c r="AB190" s="140">
        <f t="shared" si="374"/>
        <v>0</v>
      </c>
      <c r="AC190" s="140">
        <f t="shared" si="374"/>
        <v>0</v>
      </c>
      <c r="AD190" s="140">
        <f t="shared" si="374"/>
        <v>0</v>
      </c>
      <c r="AE190" s="140">
        <f t="shared" si="374"/>
        <v>0</v>
      </c>
      <c r="AF190" s="140">
        <f t="shared" si="374"/>
        <v>0</v>
      </c>
      <c r="AG190" s="140">
        <f t="shared" si="374"/>
        <v>0</v>
      </c>
      <c r="AH190" s="140">
        <f t="shared" si="374"/>
        <v>0</v>
      </c>
      <c r="AI190" s="140">
        <f t="shared" si="374"/>
        <v>0</v>
      </c>
      <c r="AJ190" s="140">
        <f t="shared" si="374"/>
        <v>0</v>
      </c>
      <c r="AK190" s="140">
        <f t="shared" si="374"/>
        <v>0</v>
      </c>
      <c r="AL190" s="140">
        <f t="shared" si="374"/>
        <v>0</v>
      </c>
      <c r="AM190" s="140">
        <f t="shared" si="374"/>
        <v>0</v>
      </c>
      <c r="AN190" s="140">
        <f t="shared" si="374"/>
        <v>0</v>
      </c>
      <c r="AO190" s="140">
        <f t="shared" si="374"/>
        <v>0</v>
      </c>
      <c r="AP190" s="140">
        <f t="shared" si="374"/>
        <v>0</v>
      </c>
      <c r="AQ190" s="140">
        <f t="shared" si="374"/>
        <v>0</v>
      </c>
      <c r="AR190" s="140">
        <f t="shared" si="374"/>
        <v>0</v>
      </c>
      <c r="AS190" s="140">
        <f t="shared" si="374"/>
        <v>0</v>
      </c>
      <c r="AT190" s="140">
        <f t="shared" si="374"/>
        <v>0</v>
      </c>
      <c r="AU190" s="140">
        <f t="shared" si="374"/>
        <v>0</v>
      </c>
      <c r="AV190" s="140">
        <f t="shared" si="374"/>
        <v>0</v>
      </c>
      <c r="AW190" s="140">
        <f t="shared" si="374"/>
        <v>0</v>
      </c>
      <c r="AX190" s="140">
        <f t="shared" si="374"/>
        <v>0</v>
      </c>
      <c r="AY190" s="140">
        <f t="shared" si="374"/>
        <v>0</v>
      </c>
      <c r="AZ190" s="140">
        <f t="shared" si="374"/>
        <v>0</v>
      </c>
      <c r="BA190" s="140">
        <f t="shared" si="374"/>
        <v>0</v>
      </c>
      <c r="BB190" s="140">
        <f t="shared" si="374"/>
        <v>0</v>
      </c>
      <c r="BC190" s="140">
        <f t="shared" si="374"/>
        <v>0</v>
      </c>
      <c r="BD190" s="140">
        <f t="shared" si="374"/>
        <v>0</v>
      </c>
      <c r="BE190" s="140">
        <f t="shared" si="374"/>
        <v>0</v>
      </c>
      <c r="BF190" s="140">
        <f t="shared" si="374"/>
        <v>0</v>
      </c>
      <c r="BG190" s="140">
        <f t="shared" si="374"/>
        <v>0</v>
      </c>
      <c r="BH190" s="140">
        <f t="shared" si="374"/>
        <v>0</v>
      </c>
      <c r="BI190" s="140">
        <f t="shared" si="374"/>
        <v>0</v>
      </c>
      <c r="BJ190" s="140">
        <f t="shared" si="374"/>
        <v>0</v>
      </c>
      <c r="BK190" s="140">
        <f t="shared" si="374"/>
        <v>0</v>
      </c>
      <c r="BL190" s="140">
        <f t="shared" si="374"/>
        <v>0</v>
      </c>
      <c r="BM190" s="140">
        <f t="shared" si="374"/>
        <v>0</v>
      </c>
      <c r="BN190" s="140">
        <f t="shared" si="374"/>
        <v>0</v>
      </c>
      <c r="BO190" s="140">
        <f t="shared" ref="BO190:CB190" si="375">IF(BO188&lt;0,0,$B$5+$B$6*((1-EXP(-BO189/$B$9))/(BO189/$B$9))+$B$7*((1-EXP(-BO189/$B$9))/(BO189/$B$9)-EXP(-BO189/$B$9))+$B$8*((1-EXP(-BO189/$B$10))/(BO189/$B$10)-EXP(-BO189/$B$10)))</f>
        <v>0</v>
      </c>
      <c r="BP190" s="140">
        <f t="shared" si="375"/>
        <v>0</v>
      </c>
      <c r="BQ190" s="140">
        <f t="shared" si="375"/>
        <v>0</v>
      </c>
      <c r="BR190" s="140">
        <f t="shared" si="375"/>
        <v>0</v>
      </c>
      <c r="BS190" s="140">
        <f t="shared" si="375"/>
        <v>0</v>
      </c>
      <c r="BT190" s="140">
        <f t="shared" si="375"/>
        <v>0</v>
      </c>
      <c r="BU190" s="140">
        <f t="shared" si="375"/>
        <v>0</v>
      </c>
      <c r="BV190" s="140">
        <f t="shared" si="375"/>
        <v>0</v>
      </c>
      <c r="BW190" s="140">
        <f t="shared" si="375"/>
        <v>0</v>
      </c>
      <c r="BX190" s="140">
        <f t="shared" si="375"/>
        <v>0</v>
      </c>
      <c r="BY190" s="140">
        <f t="shared" si="375"/>
        <v>0</v>
      </c>
      <c r="BZ190" s="140">
        <f t="shared" si="375"/>
        <v>0</v>
      </c>
      <c r="CA190" s="140">
        <f t="shared" si="375"/>
        <v>0</v>
      </c>
      <c r="CB190" s="140">
        <f t="shared" si="375"/>
        <v>0</v>
      </c>
      <c r="CC190" s="17"/>
      <c r="CD190" s="17"/>
      <c r="CE190" s="17"/>
    </row>
    <row r="191" spans="1:83">
      <c r="A191" s="16" t="s">
        <v>44</v>
      </c>
      <c r="B191" s="140">
        <f>EXP(-B190*B189)</f>
        <v>1</v>
      </c>
      <c r="C191" s="140">
        <f t="shared" ref="C191:BN191" si="376">EXP(-C190*C189)</f>
        <v>1</v>
      </c>
      <c r="D191" s="140">
        <f t="shared" si="376"/>
        <v>1</v>
      </c>
      <c r="E191" s="140">
        <f t="shared" si="376"/>
        <v>1</v>
      </c>
      <c r="F191" s="140">
        <f t="shared" si="376"/>
        <v>1</v>
      </c>
      <c r="G191" s="140">
        <f t="shared" si="376"/>
        <v>1</v>
      </c>
      <c r="H191" s="140">
        <f t="shared" si="376"/>
        <v>1</v>
      </c>
      <c r="I191" s="140">
        <f t="shared" si="376"/>
        <v>1</v>
      </c>
      <c r="J191" s="140">
        <f t="shared" si="376"/>
        <v>1</v>
      </c>
      <c r="K191" s="140">
        <f t="shared" si="376"/>
        <v>1</v>
      </c>
      <c r="L191" s="140">
        <f t="shared" si="376"/>
        <v>1</v>
      </c>
      <c r="M191" s="140">
        <f t="shared" si="376"/>
        <v>1</v>
      </c>
      <c r="N191" s="140">
        <f t="shared" si="376"/>
        <v>1</v>
      </c>
      <c r="O191" s="140">
        <f t="shared" si="376"/>
        <v>1</v>
      </c>
      <c r="P191" s="140">
        <f t="shared" si="376"/>
        <v>1</v>
      </c>
      <c r="Q191" s="140">
        <f t="shared" si="376"/>
        <v>1</v>
      </c>
      <c r="R191" s="140">
        <f t="shared" si="376"/>
        <v>1</v>
      </c>
      <c r="S191" s="140">
        <f t="shared" si="376"/>
        <v>1</v>
      </c>
      <c r="T191" s="140">
        <f t="shared" si="376"/>
        <v>1</v>
      </c>
      <c r="U191" s="140">
        <f t="shared" si="376"/>
        <v>1</v>
      </c>
      <c r="V191" s="140">
        <f t="shared" si="376"/>
        <v>1</v>
      </c>
      <c r="W191" s="140">
        <f t="shared" si="376"/>
        <v>1</v>
      </c>
      <c r="X191" s="140">
        <f t="shared" si="376"/>
        <v>1</v>
      </c>
      <c r="Y191" s="140">
        <f t="shared" si="376"/>
        <v>1</v>
      </c>
      <c r="Z191" s="140">
        <f t="shared" si="376"/>
        <v>1</v>
      </c>
      <c r="AA191" s="140">
        <f t="shared" si="376"/>
        <v>1</v>
      </c>
      <c r="AB191" s="140">
        <f t="shared" si="376"/>
        <v>1</v>
      </c>
      <c r="AC191" s="140">
        <f t="shared" si="376"/>
        <v>1</v>
      </c>
      <c r="AD191" s="140">
        <f t="shared" si="376"/>
        <v>1</v>
      </c>
      <c r="AE191" s="140">
        <f t="shared" si="376"/>
        <v>1</v>
      </c>
      <c r="AF191" s="140">
        <f t="shared" si="376"/>
        <v>1</v>
      </c>
      <c r="AG191" s="140">
        <f t="shared" si="376"/>
        <v>1</v>
      </c>
      <c r="AH191" s="140">
        <f t="shared" si="376"/>
        <v>1</v>
      </c>
      <c r="AI191" s="140">
        <f t="shared" si="376"/>
        <v>1</v>
      </c>
      <c r="AJ191" s="140">
        <f t="shared" si="376"/>
        <v>1</v>
      </c>
      <c r="AK191" s="140">
        <f t="shared" si="376"/>
        <v>1</v>
      </c>
      <c r="AL191" s="140">
        <f t="shared" si="376"/>
        <v>1</v>
      </c>
      <c r="AM191" s="140">
        <f t="shared" si="376"/>
        <v>1</v>
      </c>
      <c r="AN191" s="140">
        <f t="shared" si="376"/>
        <v>1</v>
      </c>
      <c r="AO191" s="140">
        <f t="shared" si="376"/>
        <v>1</v>
      </c>
      <c r="AP191" s="140">
        <f t="shared" si="376"/>
        <v>1</v>
      </c>
      <c r="AQ191" s="140">
        <f t="shared" si="376"/>
        <v>1</v>
      </c>
      <c r="AR191" s="140">
        <f t="shared" si="376"/>
        <v>1</v>
      </c>
      <c r="AS191" s="140">
        <f t="shared" si="376"/>
        <v>1</v>
      </c>
      <c r="AT191" s="140">
        <f t="shared" si="376"/>
        <v>1</v>
      </c>
      <c r="AU191" s="140">
        <f t="shared" si="376"/>
        <v>1</v>
      </c>
      <c r="AV191" s="140">
        <f t="shared" si="376"/>
        <v>1</v>
      </c>
      <c r="AW191" s="140">
        <f t="shared" si="376"/>
        <v>1</v>
      </c>
      <c r="AX191" s="140">
        <f t="shared" si="376"/>
        <v>1</v>
      </c>
      <c r="AY191" s="140">
        <f t="shared" si="376"/>
        <v>1</v>
      </c>
      <c r="AZ191" s="140">
        <f t="shared" si="376"/>
        <v>1</v>
      </c>
      <c r="BA191" s="140">
        <f t="shared" si="376"/>
        <v>1</v>
      </c>
      <c r="BB191" s="140">
        <f t="shared" si="376"/>
        <v>1</v>
      </c>
      <c r="BC191" s="140">
        <f t="shared" si="376"/>
        <v>1</v>
      </c>
      <c r="BD191" s="140">
        <f t="shared" si="376"/>
        <v>1</v>
      </c>
      <c r="BE191" s="140">
        <f t="shared" si="376"/>
        <v>1</v>
      </c>
      <c r="BF191" s="140">
        <f t="shared" si="376"/>
        <v>1</v>
      </c>
      <c r="BG191" s="140">
        <f t="shared" si="376"/>
        <v>1</v>
      </c>
      <c r="BH191" s="140">
        <f t="shared" si="376"/>
        <v>1</v>
      </c>
      <c r="BI191" s="140">
        <f t="shared" si="376"/>
        <v>1</v>
      </c>
      <c r="BJ191" s="140">
        <f t="shared" si="376"/>
        <v>1</v>
      </c>
      <c r="BK191" s="140">
        <f t="shared" si="376"/>
        <v>1</v>
      </c>
      <c r="BL191" s="140">
        <f t="shared" si="376"/>
        <v>1</v>
      </c>
      <c r="BM191" s="140">
        <f t="shared" si="376"/>
        <v>1</v>
      </c>
      <c r="BN191" s="140">
        <f t="shared" si="376"/>
        <v>1</v>
      </c>
      <c r="BO191" s="140">
        <f t="shared" ref="BO191:CB191" si="377">EXP(-BO190*BO189)</f>
        <v>1</v>
      </c>
      <c r="BP191" s="140">
        <f t="shared" si="377"/>
        <v>1</v>
      </c>
      <c r="BQ191" s="140">
        <f t="shared" si="377"/>
        <v>1</v>
      </c>
      <c r="BR191" s="140">
        <f t="shared" si="377"/>
        <v>1</v>
      </c>
      <c r="BS191" s="140">
        <f t="shared" si="377"/>
        <v>1</v>
      </c>
      <c r="BT191" s="140">
        <f t="shared" si="377"/>
        <v>1</v>
      </c>
      <c r="BU191" s="140">
        <f t="shared" si="377"/>
        <v>1</v>
      </c>
      <c r="BV191" s="140">
        <f t="shared" si="377"/>
        <v>1</v>
      </c>
      <c r="BW191" s="140">
        <f t="shared" si="377"/>
        <v>1</v>
      </c>
      <c r="BX191" s="140">
        <f t="shared" si="377"/>
        <v>1</v>
      </c>
      <c r="BY191" s="140">
        <f t="shared" si="377"/>
        <v>1</v>
      </c>
      <c r="BZ191" s="140">
        <f t="shared" si="377"/>
        <v>1</v>
      </c>
      <c r="CA191" s="140">
        <f t="shared" si="377"/>
        <v>1</v>
      </c>
      <c r="CB191" s="140">
        <f t="shared" si="377"/>
        <v>1</v>
      </c>
      <c r="CC191" s="17"/>
      <c r="CD191" s="17"/>
      <c r="CE191" s="17"/>
    </row>
    <row r="192" spans="1:83">
      <c r="A192" s="17"/>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c r="BE192" s="17"/>
      <c r="BF192" s="17"/>
      <c r="BG192" s="17"/>
      <c r="BH192" s="17"/>
      <c r="BI192" s="17"/>
      <c r="BJ192" s="17"/>
      <c r="BK192" s="17"/>
      <c r="BL192" s="17"/>
      <c r="BM192" s="17"/>
      <c r="BN192" s="17"/>
      <c r="BO192" s="17"/>
      <c r="BP192" s="17"/>
      <c r="BQ192" s="17"/>
      <c r="BR192" s="17"/>
      <c r="BS192" s="17"/>
      <c r="BT192" s="17"/>
      <c r="BU192" s="17"/>
      <c r="BV192" s="17"/>
      <c r="BW192" s="17"/>
      <c r="BX192" s="17"/>
      <c r="BY192" s="17"/>
      <c r="BZ192" s="17"/>
      <c r="CA192" s="17"/>
      <c r="CB192" s="17"/>
      <c r="CC192" s="17"/>
      <c r="CD192" s="17"/>
      <c r="CE192" s="17"/>
    </row>
    <row r="193" spans="1:83">
      <c r="A193" s="16" t="s">
        <v>40</v>
      </c>
      <c r="B193" s="140">
        <f t="shared" ref="B193:AG193" si="378">DAYS360($B$3,B68)</f>
        <v>-43022</v>
      </c>
      <c r="C193" s="140">
        <f t="shared" si="378"/>
        <v>-43022</v>
      </c>
      <c r="D193" s="140">
        <f t="shared" si="378"/>
        <v>-43022</v>
      </c>
      <c r="E193" s="140">
        <f t="shared" si="378"/>
        <v>-43022</v>
      </c>
      <c r="F193" s="140">
        <f t="shared" si="378"/>
        <v>-43022</v>
      </c>
      <c r="G193" s="140">
        <f t="shared" si="378"/>
        <v>-43022</v>
      </c>
      <c r="H193" s="140">
        <f t="shared" si="378"/>
        <v>-43022</v>
      </c>
      <c r="I193" s="140">
        <f t="shared" si="378"/>
        <v>-43022</v>
      </c>
      <c r="J193" s="140">
        <f t="shared" si="378"/>
        <v>-43022</v>
      </c>
      <c r="K193" s="140">
        <f t="shared" si="378"/>
        <v>-43022</v>
      </c>
      <c r="L193" s="140">
        <f t="shared" si="378"/>
        <v>-43022</v>
      </c>
      <c r="M193" s="140">
        <f t="shared" si="378"/>
        <v>-43022</v>
      </c>
      <c r="N193" s="140">
        <f t="shared" si="378"/>
        <v>-43022</v>
      </c>
      <c r="O193" s="140">
        <f t="shared" si="378"/>
        <v>-43022</v>
      </c>
      <c r="P193" s="140">
        <f t="shared" si="378"/>
        <v>-43022</v>
      </c>
      <c r="Q193" s="140">
        <f t="shared" si="378"/>
        <v>-43022</v>
      </c>
      <c r="R193" s="140">
        <f t="shared" si="378"/>
        <v>-43022</v>
      </c>
      <c r="S193" s="140">
        <f t="shared" si="378"/>
        <v>-43022</v>
      </c>
      <c r="T193" s="140">
        <f t="shared" si="378"/>
        <v>-43022</v>
      </c>
      <c r="U193" s="140">
        <f t="shared" si="378"/>
        <v>-43022</v>
      </c>
      <c r="V193" s="140">
        <f t="shared" si="378"/>
        <v>-43022</v>
      </c>
      <c r="W193" s="140">
        <f t="shared" si="378"/>
        <v>-43022</v>
      </c>
      <c r="X193" s="140">
        <f t="shared" si="378"/>
        <v>-43022</v>
      </c>
      <c r="Y193" s="140">
        <f t="shared" si="378"/>
        <v>-43022</v>
      </c>
      <c r="Z193" s="140">
        <f t="shared" si="378"/>
        <v>-43022</v>
      </c>
      <c r="AA193" s="140">
        <f t="shared" si="378"/>
        <v>-43022</v>
      </c>
      <c r="AB193" s="140">
        <f t="shared" si="378"/>
        <v>-43022</v>
      </c>
      <c r="AC193" s="140">
        <f t="shared" si="378"/>
        <v>-43022</v>
      </c>
      <c r="AD193" s="140">
        <f t="shared" si="378"/>
        <v>-43022</v>
      </c>
      <c r="AE193" s="140">
        <f t="shared" si="378"/>
        <v>-43022</v>
      </c>
      <c r="AF193" s="140">
        <f t="shared" si="378"/>
        <v>-43022</v>
      </c>
      <c r="AG193" s="140">
        <f t="shared" si="378"/>
        <v>-43022</v>
      </c>
      <c r="AH193" s="140">
        <f t="shared" ref="AH193:BM193" si="379">DAYS360($B$3,AH68)</f>
        <v>-43022</v>
      </c>
      <c r="AI193" s="140">
        <f t="shared" si="379"/>
        <v>-43022</v>
      </c>
      <c r="AJ193" s="140">
        <f t="shared" si="379"/>
        <v>-43022</v>
      </c>
      <c r="AK193" s="140">
        <f t="shared" si="379"/>
        <v>-43022</v>
      </c>
      <c r="AL193" s="140">
        <f t="shared" si="379"/>
        <v>-43022</v>
      </c>
      <c r="AM193" s="140">
        <f t="shared" si="379"/>
        <v>-43022</v>
      </c>
      <c r="AN193" s="140">
        <f t="shared" si="379"/>
        <v>-43022</v>
      </c>
      <c r="AO193" s="140">
        <f t="shared" si="379"/>
        <v>-43022</v>
      </c>
      <c r="AP193" s="140">
        <f t="shared" si="379"/>
        <v>-43022</v>
      </c>
      <c r="AQ193" s="140">
        <f t="shared" si="379"/>
        <v>-43022</v>
      </c>
      <c r="AR193" s="140">
        <f t="shared" si="379"/>
        <v>-43022</v>
      </c>
      <c r="AS193" s="140">
        <f t="shared" si="379"/>
        <v>-43022</v>
      </c>
      <c r="AT193" s="140">
        <f t="shared" si="379"/>
        <v>-43022</v>
      </c>
      <c r="AU193" s="140">
        <f t="shared" si="379"/>
        <v>-43022</v>
      </c>
      <c r="AV193" s="140">
        <f t="shared" si="379"/>
        <v>-43022</v>
      </c>
      <c r="AW193" s="140">
        <f t="shared" si="379"/>
        <v>-43022</v>
      </c>
      <c r="AX193" s="140">
        <f t="shared" si="379"/>
        <v>-43022</v>
      </c>
      <c r="AY193" s="140">
        <f t="shared" si="379"/>
        <v>-43022</v>
      </c>
      <c r="AZ193" s="140">
        <f t="shared" si="379"/>
        <v>-43022</v>
      </c>
      <c r="BA193" s="140">
        <f t="shared" si="379"/>
        <v>-43022</v>
      </c>
      <c r="BB193" s="140">
        <f t="shared" si="379"/>
        <v>-43022</v>
      </c>
      <c r="BC193" s="140">
        <f t="shared" si="379"/>
        <v>-43022</v>
      </c>
      <c r="BD193" s="140">
        <f t="shared" si="379"/>
        <v>-43022</v>
      </c>
      <c r="BE193" s="140">
        <f t="shared" si="379"/>
        <v>-43022</v>
      </c>
      <c r="BF193" s="140">
        <f t="shared" si="379"/>
        <v>-43022</v>
      </c>
      <c r="BG193" s="140">
        <f t="shared" si="379"/>
        <v>-43022</v>
      </c>
      <c r="BH193" s="140">
        <f t="shared" si="379"/>
        <v>-43022</v>
      </c>
      <c r="BI193" s="140">
        <f t="shared" si="379"/>
        <v>-43022</v>
      </c>
      <c r="BJ193" s="140">
        <f t="shared" si="379"/>
        <v>-43022</v>
      </c>
      <c r="BK193" s="140">
        <f t="shared" si="379"/>
        <v>-43022</v>
      </c>
      <c r="BL193" s="140">
        <f t="shared" si="379"/>
        <v>-43022</v>
      </c>
      <c r="BM193" s="140">
        <f t="shared" si="379"/>
        <v>-43022</v>
      </c>
      <c r="BN193" s="140">
        <f t="shared" ref="BN193:CB193" si="380">DAYS360($B$3,BN68)</f>
        <v>-43022</v>
      </c>
      <c r="BO193" s="140">
        <f t="shared" si="380"/>
        <v>-43022</v>
      </c>
      <c r="BP193" s="140">
        <f t="shared" si="380"/>
        <v>-43022</v>
      </c>
      <c r="BQ193" s="140">
        <f t="shared" si="380"/>
        <v>-43022</v>
      </c>
      <c r="BR193" s="140">
        <f t="shared" si="380"/>
        <v>-43022</v>
      </c>
      <c r="BS193" s="140">
        <f t="shared" si="380"/>
        <v>-43022</v>
      </c>
      <c r="BT193" s="140">
        <f t="shared" si="380"/>
        <v>-43022</v>
      </c>
      <c r="BU193" s="140">
        <f t="shared" si="380"/>
        <v>-43022</v>
      </c>
      <c r="BV193" s="140">
        <f t="shared" si="380"/>
        <v>-43022</v>
      </c>
      <c r="BW193" s="140">
        <f t="shared" si="380"/>
        <v>-43022</v>
      </c>
      <c r="BX193" s="140">
        <f t="shared" si="380"/>
        <v>-43022</v>
      </c>
      <c r="BY193" s="140">
        <f t="shared" si="380"/>
        <v>-43022</v>
      </c>
      <c r="BZ193" s="140">
        <f t="shared" si="380"/>
        <v>-43022</v>
      </c>
      <c r="CA193" s="140">
        <f t="shared" si="380"/>
        <v>-43022</v>
      </c>
      <c r="CB193" s="140">
        <f t="shared" si="380"/>
        <v>-43022</v>
      </c>
      <c r="CC193" s="17"/>
      <c r="CD193" s="17"/>
      <c r="CE193" s="17"/>
    </row>
    <row r="194" spans="1:83">
      <c r="A194" s="16" t="s">
        <v>41</v>
      </c>
      <c r="B194" s="140">
        <f>B193/360</f>
        <v>-119.50555555555556</v>
      </c>
      <c r="C194" s="140">
        <f t="shared" ref="C194:BN194" si="381">C193/360</f>
        <v>-119.50555555555556</v>
      </c>
      <c r="D194" s="140">
        <f t="shared" si="381"/>
        <v>-119.50555555555556</v>
      </c>
      <c r="E194" s="140">
        <f t="shared" si="381"/>
        <v>-119.50555555555556</v>
      </c>
      <c r="F194" s="140">
        <f t="shared" si="381"/>
        <v>-119.50555555555556</v>
      </c>
      <c r="G194" s="140">
        <f t="shared" si="381"/>
        <v>-119.50555555555556</v>
      </c>
      <c r="H194" s="140">
        <f t="shared" si="381"/>
        <v>-119.50555555555556</v>
      </c>
      <c r="I194" s="140">
        <f t="shared" si="381"/>
        <v>-119.50555555555556</v>
      </c>
      <c r="J194" s="140">
        <f t="shared" si="381"/>
        <v>-119.50555555555556</v>
      </c>
      <c r="K194" s="140">
        <f t="shared" si="381"/>
        <v>-119.50555555555556</v>
      </c>
      <c r="L194" s="140">
        <f t="shared" si="381"/>
        <v>-119.50555555555556</v>
      </c>
      <c r="M194" s="140">
        <f t="shared" si="381"/>
        <v>-119.50555555555556</v>
      </c>
      <c r="N194" s="140">
        <f t="shared" si="381"/>
        <v>-119.50555555555556</v>
      </c>
      <c r="O194" s="140">
        <f t="shared" si="381"/>
        <v>-119.50555555555556</v>
      </c>
      <c r="P194" s="140">
        <f t="shared" si="381"/>
        <v>-119.50555555555556</v>
      </c>
      <c r="Q194" s="140">
        <f t="shared" si="381"/>
        <v>-119.50555555555556</v>
      </c>
      <c r="R194" s="140">
        <f t="shared" si="381"/>
        <v>-119.50555555555556</v>
      </c>
      <c r="S194" s="140">
        <f t="shared" si="381"/>
        <v>-119.50555555555556</v>
      </c>
      <c r="T194" s="140">
        <f t="shared" si="381"/>
        <v>-119.50555555555556</v>
      </c>
      <c r="U194" s="140">
        <f t="shared" si="381"/>
        <v>-119.50555555555556</v>
      </c>
      <c r="V194" s="140">
        <f t="shared" si="381"/>
        <v>-119.50555555555556</v>
      </c>
      <c r="W194" s="140">
        <f t="shared" si="381"/>
        <v>-119.50555555555556</v>
      </c>
      <c r="X194" s="140">
        <f t="shared" si="381"/>
        <v>-119.50555555555556</v>
      </c>
      <c r="Y194" s="140">
        <f t="shared" si="381"/>
        <v>-119.50555555555556</v>
      </c>
      <c r="Z194" s="140">
        <f t="shared" si="381"/>
        <v>-119.50555555555556</v>
      </c>
      <c r="AA194" s="140">
        <f t="shared" si="381"/>
        <v>-119.50555555555556</v>
      </c>
      <c r="AB194" s="140">
        <f t="shared" si="381"/>
        <v>-119.50555555555556</v>
      </c>
      <c r="AC194" s="140">
        <f t="shared" si="381"/>
        <v>-119.50555555555556</v>
      </c>
      <c r="AD194" s="140">
        <f t="shared" si="381"/>
        <v>-119.50555555555556</v>
      </c>
      <c r="AE194" s="140">
        <f t="shared" si="381"/>
        <v>-119.50555555555556</v>
      </c>
      <c r="AF194" s="140">
        <f t="shared" si="381"/>
        <v>-119.50555555555556</v>
      </c>
      <c r="AG194" s="140">
        <f t="shared" si="381"/>
        <v>-119.50555555555556</v>
      </c>
      <c r="AH194" s="140">
        <f t="shared" si="381"/>
        <v>-119.50555555555556</v>
      </c>
      <c r="AI194" s="140">
        <f t="shared" si="381"/>
        <v>-119.50555555555556</v>
      </c>
      <c r="AJ194" s="140">
        <f t="shared" si="381"/>
        <v>-119.50555555555556</v>
      </c>
      <c r="AK194" s="140">
        <f t="shared" si="381"/>
        <v>-119.50555555555556</v>
      </c>
      <c r="AL194" s="140">
        <f t="shared" si="381"/>
        <v>-119.50555555555556</v>
      </c>
      <c r="AM194" s="140">
        <f t="shared" si="381"/>
        <v>-119.50555555555556</v>
      </c>
      <c r="AN194" s="140">
        <f t="shared" si="381"/>
        <v>-119.50555555555556</v>
      </c>
      <c r="AO194" s="140">
        <f t="shared" si="381"/>
        <v>-119.50555555555556</v>
      </c>
      <c r="AP194" s="140">
        <f t="shared" si="381"/>
        <v>-119.50555555555556</v>
      </c>
      <c r="AQ194" s="140">
        <f t="shared" si="381"/>
        <v>-119.50555555555556</v>
      </c>
      <c r="AR194" s="140">
        <f t="shared" si="381"/>
        <v>-119.50555555555556</v>
      </c>
      <c r="AS194" s="140">
        <f t="shared" si="381"/>
        <v>-119.50555555555556</v>
      </c>
      <c r="AT194" s="140">
        <f t="shared" si="381"/>
        <v>-119.50555555555556</v>
      </c>
      <c r="AU194" s="140">
        <f t="shared" si="381"/>
        <v>-119.50555555555556</v>
      </c>
      <c r="AV194" s="140">
        <f t="shared" si="381"/>
        <v>-119.50555555555556</v>
      </c>
      <c r="AW194" s="140">
        <f t="shared" si="381"/>
        <v>-119.50555555555556</v>
      </c>
      <c r="AX194" s="140">
        <f t="shared" si="381"/>
        <v>-119.50555555555556</v>
      </c>
      <c r="AY194" s="140">
        <f t="shared" si="381"/>
        <v>-119.50555555555556</v>
      </c>
      <c r="AZ194" s="140">
        <f t="shared" si="381"/>
        <v>-119.50555555555556</v>
      </c>
      <c r="BA194" s="140">
        <f t="shared" si="381"/>
        <v>-119.50555555555556</v>
      </c>
      <c r="BB194" s="140">
        <f t="shared" si="381"/>
        <v>-119.50555555555556</v>
      </c>
      <c r="BC194" s="140">
        <f t="shared" si="381"/>
        <v>-119.50555555555556</v>
      </c>
      <c r="BD194" s="140">
        <f t="shared" si="381"/>
        <v>-119.50555555555556</v>
      </c>
      <c r="BE194" s="140">
        <f t="shared" si="381"/>
        <v>-119.50555555555556</v>
      </c>
      <c r="BF194" s="140">
        <f t="shared" si="381"/>
        <v>-119.50555555555556</v>
      </c>
      <c r="BG194" s="140">
        <f t="shared" si="381"/>
        <v>-119.50555555555556</v>
      </c>
      <c r="BH194" s="140">
        <f t="shared" si="381"/>
        <v>-119.50555555555556</v>
      </c>
      <c r="BI194" s="140">
        <f t="shared" si="381"/>
        <v>-119.50555555555556</v>
      </c>
      <c r="BJ194" s="140">
        <f t="shared" si="381"/>
        <v>-119.50555555555556</v>
      </c>
      <c r="BK194" s="140">
        <f t="shared" si="381"/>
        <v>-119.50555555555556</v>
      </c>
      <c r="BL194" s="140">
        <f t="shared" si="381"/>
        <v>-119.50555555555556</v>
      </c>
      <c r="BM194" s="140">
        <f t="shared" si="381"/>
        <v>-119.50555555555556</v>
      </c>
      <c r="BN194" s="140">
        <f t="shared" si="381"/>
        <v>-119.50555555555556</v>
      </c>
      <c r="BO194" s="140">
        <f t="shared" ref="BO194:CB194" si="382">BO193/360</f>
        <v>-119.50555555555556</v>
      </c>
      <c r="BP194" s="140">
        <f t="shared" si="382"/>
        <v>-119.50555555555556</v>
      </c>
      <c r="BQ194" s="140">
        <f t="shared" si="382"/>
        <v>-119.50555555555556</v>
      </c>
      <c r="BR194" s="140">
        <f t="shared" si="382"/>
        <v>-119.50555555555556</v>
      </c>
      <c r="BS194" s="140">
        <f t="shared" si="382"/>
        <v>-119.50555555555556</v>
      </c>
      <c r="BT194" s="140">
        <f t="shared" si="382"/>
        <v>-119.50555555555556</v>
      </c>
      <c r="BU194" s="140">
        <f t="shared" si="382"/>
        <v>-119.50555555555556</v>
      </c>
      <c r="BV194" s="140">
        <f t="shared" si="382"/>
        <v>-119.50555555555556</v>
      </c>
      <c r="BW194" s="140">
        <f t="shared" si="382"/>
        <v>-119.50555555555556</v>
      </c>
      <c r="BX194" s="140">
        <f t="shared" si="382"/>
        <v>-119.50555555555556</v>
      </c>
      <c r="BY194" s="140">
        <f t="shared" si="382"/>
        <v>-119.50555555555556</v>
      </c>
      <c r="BZ194" s="140">
        <f t="shared" si="382"/>
        <v>-119.50555555555556</v>
      </c>
      <c r="CA194" s="140">
        <f t="shared" si="382"/>
        <v>-119.50555555555556</v>
      </c>
      <c r="CB194" s="140">
        <f t="shared" si="382"/>
        <v>-119.50555555555556</v>
      </c>
      <c r="CC194" s="17"/>
      <c r="CD194" s="17"/>
      <c r="CE194" s="17"/>
    </row>
    <row r="195" spans="1:83">
      <c r="A195" s="16" t="s">
        <v>43</v>
      </c>
      <c r="B195" s="140">
        <f>IF(B193&lt;0,0,$B$5+$B$6*((1-EXP(-B194/$B$9))/(B194/$B$9))+$B$7*((1-EXP(-B194/$B$9))/(B194/$B$9)-EXP(-B194/$B$9))+$B$8*((1-EXP(-B194/$B$10))/(B194/$B$10)-EXP(-B194/$B$10)))</f>
        <v>0</v>
      </c>
      <c r="C195" s="140">
        <f t="shared" ref="C195:BN195" si="383">IF(C193&lt;0,0,$B$5+$B$6*((1-EXP(-C194/$B$9))/(C194/$B$9))+$B$7*((1-EXP(-C194/$B$9))/(C194/$B$9)-EXP(-C194/$B$9))+$B$8*((1-EXP(-C194/$B$10))/(C194/$B$10)-EXP(-C194/$B$10)))</f>
        <v>0</v>
      </c>
      <c r="D195" s="140">
        <f t="shared" si="383"/>
        <v>0</v>
      </c>
      <c r="E195" s="140">
        <f t="shared" si="383"/>
        <v>0</v>
      </c>
      <c r="F195" s="140">
        <f t="shared" si="383"/>
        <v>0</v>
      </c>
      <c r="G195" s="140">
        <f t="shared" si="383"/>
        <v>0</v>
      </c>
      <c r="H195" s="140">
        <f t="shared" si="383"/>
        <v>0</v>
      </c>
      <c r="I195" s="140">
        <f t="shared" si="383"/>
        <v>0</v>
      </c>
      <c r="J195" s="140">
        <f t="shared" si="383"/>
        <v>0</v>
      </c>
      <c r="K195" s="140">
        <f t="shared" si="383"/>
        <v>0</v>
      </c>
      <c r="L195" s="140">
        <f t="shared" si="383"/>
        <v>0</v>
      </c>
      <c r="M195" s="140">
        <f t="shared" si="383"/>
        <v>0</v>
      </c>
      <c r="N195" s="140">
        <f t="shared" si="383"/>
        <v>0</v>
      </c>
      <c r="O195" s="140">
        <f t="shared" si="383"/>
        <v>0</v>
      </c>
      <c r="P195" s="140">
        <f t="shared" si="383"/>
        <v>0</v>
      </c>
      <c r="Q195" s="140">
        <f t="shared" si="383"/>
        <v>0</v>
      </c>
      <c r="R195" s="140">
        <f t="shared" si="383"/>
        <v>0</v>
      </c>
      <c r="S195" s="140">
        <f t="shared" si="383"/>
        <v>0</v>
      </c>
      <c r="T195" s="140">
        <f t="shared" si="383"/>
        <v>0</v>
      </c>
      <c r="U195" s="140">
        <f t="shared" si="383"/>
        <v>0</v>
      </c>
      <c r="V195" s="140">
        <f t="shared" si="383"/>
        <v>0</v>
      </c>
      <c r="W195" s="140">
        <f t="shared" si="383"/>
        <v>0</v>
      </c>
      <c r="X195" s="140">
        <f t="shared" si="383"/>
        <v>0</v>
      </c>
      <c r="Y195" s="140">
        <f t="shared" si="383"/>
        <v>0</v>
      </c>
      <c r="Z195" s="140">
        <f t="shared" si="383"/>
        <v>0</v>
      </c>
      <c r="AA195" s="140">
        <f t="shared" si="383"/>
        <v>0</v>
      </c>
      <c r="AB195" s="140">
        <f t="shared" si="383"/>
        <v>0</v>
      </c>
      <c r="AC195" s="140">
        <f t="shared" si="383"/>
        <v>0</v>
      </c>
      <c r="AD195" s="140">
        <f t="shared" si="383"/>
        <v>0</v>
      </c>
      <c r="AE195" s="140">
        <f t="shared" si="383"/>
        <v>0</v>
      </c>
      <c r="AF195" s="140">
        <f t="shared" si="383"/>
        <v>0</v>
      </c>
      <c r="AG195" s="140">
        <f t="shared" si="383"/>
        <v>0</v>
      </c>
      <c r="AH195" s="140">
        <f t="shared" si="383"/>
        <v>0</v>
      </c>
      <c r="AI195" s="140">
        <f t="shared" si="383"/>
        <v>0</v>
      </c>
      <c r="AJ195" s="140">
        <f t="shared" si="383"/>
        <v>0</v>
      </c>
      <c r="AK195" s="140">
        <f t="shared" si="383"/>
        <v>0</v>
      </c>
      <c r="AL195" s="140">
        <f t="shared" si="383"/>
        <v>0</v>
      </c>
      <c r="AM195" s="140">
        <f t="shared" si="383"/>
        <v>0</v>
      </c>
      <c r="AN195" s="140">
        <f t="shared" si="383"/>
        <v>0</v>
      </c>
      <c r="AO195" s="140">
        <f t="shared" si="383"/>
        <v>0</v>
      </c>
      <c r="AP195" s="140">
        <f t="shared" si="383"/>
        <v>0</v>
      </c>
      <c r="AQ195" s="140">
        <f t="shared" si="383"/>
        <v>0</v>
      </c>
      <c r="AR195" s="140">
        <f t="shared" si="383"/>
        <v>0</v>
      </c>
      <c r="AS195" s="140">
        <f t="shared" si="383"/>
        <v>0</v>
      </c>
      <c r="AT195" s="140">
        <f t="shared" si="383"/>
        <v>0</v>
      </c>
      <c r="AU195" s="140">
        <f t="shared" si="383"/>
        <v>0</v>
      </c>
      <c r="AV195" s="140">
        <f t="shared" si="383"/>
        <v>0</v>
      </c>
      <c r="AW195" s="140">
        <f t="shared" si="383"/>
        <v>0</v>
      </c>
      <c r="AX195" s="140">
        <f t="shared" si="383"/>
        <v>0</v>
      </c>
      <c r="AY195" s="140">
        <f t="shared" si="383"/>
        <v>0</v>
      </c>
      <c r="AZ195" s="140">
        <f t="shared" si="383"/>
        <v>0</v>
      </c>
      <c r="BA195" s="140">
        <f t="shared" si="383"/>
        <v>0</v>
      </c>
      <c r="BB195" s="140">
        <f t="shared" si="383"/>
        <v>0</v>
      </c>
      <c r="BC195" s="140">
        <f t="shared" si="383"/>
        <v>0</v>
      </c>
      <c r="BD195" s="140">
        <f t="shared" si="383"/>
        <v>0</v>
      </c>
      <c r="BE195" s="140">
        <f t="shared" si="383"/>
        <v>0</v>
      </c>
      <c r="BF195" s="140">
        <f t="shared" si="383"/>
        <v>0</v>
      </c>
      <c r="BG195" s="140">
        <f t="shared" si="383"/>
        <v>0</v>
      </c>
      <c r="BH195" s="140">
        <f t="shared" si="383"/>
        <v>0</v>
      </c>
      <c r="BI195" s="140">
        <f t="shared" si="383"/>
        <v>0</v>
      </c>
      <c r="BJ195" s="140">
        <f t="shared" si="383"/>
        <v>0</v>
      </c>
      <c r="BK195" s="140">
        <f t="shared" si="383"/>
        <v>0</v>
      </c>
      <c r="BL195" s="140">
        <f t="shared" si="383"/>
        <v>0</v>
      </c>
      <c r="BM195" s="140">
        <f t="shared" si="383"/>
        <v>0</v>
      </c>
      <c r="BN195" s="140">
        <f t="shared" si="383"/>
        <v>0</v>
      </c>
      <c r="BO195" s="140">
        <f t="shared" ref="BO195:CB195" si="384">IF(BO193&lt;0,0,$B$5+$B$6*((1-EXP(-BO194/$B$9))/(BO194/$B$9))+$B$7*((1-EXP(-BO194/$B$9))/(BO194/$B$9)-EXP(-BO194/$B$9))+$B$8*((1-EXP(-BO194/$B$10))/(BO194/$B$10)-EXP(-BO194/$B$10)))</f>
        <v>0</v>
      </c>
      <c r="BP195" s="140">
        <f t="shared" si="384"/>
        <v>0</v>
      </c>
      <c r="BQ195" s="140">
        <f t="shared" si="384"/>
        <v>0</v>
      </c>
      <c r="BR195" s="140">
        <f t="shared" si="384"/>
        <v>0</v>
      </c>
      <c r="BS195" s="140">
        <f t="shared" si="384"/>
        <v>0</v>
      </c>
      <c r="BT195" s="140">
        <f t="shared" si="384"/>
        <v>0</v>
      </c>
      <c r="BU195" s="140">
        <f t="shared" si="384"/>
        <v>0</v>
      </c>
      <c r="BV195" s="140">
        <f t="shared" si="384"/>
        <v>0</v>
      </c>
      <c r="BW195" s="140">
        <f t="shared" si="384"/>
        <v>0</v>
      </c>
      <c r="BX195" s="140">
        <f t="shared" si="384"/>
        <v>0</v>
      </c>
      <c r="BY195" s="140">
        <f t="shared" si="384"/>
        <v>0</v>
      </c>
      <c r="BZ195" s="140">
        <f t="shared" si="384"/>
        <v>0</v>
      </c>
      <c r="CA195" s="140">
        <f t="shared" si="384"/>
        <v>0</v>
      </c>
      <c r="CB195" s="140">
        <f t="shared" si="384"/>
        <v>0</v>
      </c>
      <c r="CC195" s="17"/>
      <c r="CD195" s="17"/>
      <c r="CE195" s="17"/>
    </row>
    <row r="196" spans="1:83">
      <c r="A196" s="16" t="s">
        <v>44</v>
      </c>
      <c r="B196" s="140">
        <f>EXP(-B195*B194)</f>
        <v>1</v>
      </c>
      <c r="C196" s="140">
        <f t="shared" ref="C196:BN196" si="385">EXP(-C195*C194)</f>
        <v>1</v>
      </c>
      <c r="D196" s="140">
        <f t="shared" si="385"/>
        <v>1</v>
      </c>
      <c r="E196" s="140">
        <f t="shared" si="385"/>
        <v>1</v>
      </c>
      <c r="F196" s="140">
        <f t="shared" si="385"/>
        <v>1</v>
      </c>
      <c r="G196" s="140">
        <f t="shared" si="385"/>
        <v>1</v>
      </c>
      <c r="H196" s="140">
        <f t="shared" si="385"/>
        <v>1</v>
      </c>
      <c r="I196" s="140">
        <f t="shared" si="385"/>
        <v>1</v>
      </c>
      <c r="J196" s="140">
        <f t="shared" si="385"/>
        <v>1</v>
      </c>
      <c r="K196" s="140">
        <f t="shared" si="385"/>
        <v>1</v>
      </c>
      <c r="L196" s="140">
        <f t="shared" si="385"/>
        <v>1</v>
      </c>
      <c r="M196" s="140">
        <f t="shared" si="385"/>
        <v>1</v>
      </c>
      <c r="N196" s="140">
        <f t="shared" si="385"/>
        <v>1</v>
      </c>
      <c r="O196" s="140">
        <f t="shared" si="385"/>
        <v>1</v>
      </c>
      <c r="P196" s="140">
        <f t="shared" si="385"/>
        <v>1</v>
      </c>
      <c r="Q196" s="140">
        <f t="shared" si="385"/>
        <v>1</v>
      </c>
      <c r="R196" s="140">
        <f t="shared" si="385"/>
        <v>1</v>
      </c>
      <c r="S196" s="140">
        <f t="shared" si="385"/>
        <v>1</v>
      </c>
      <c r="T196" s="140">
        <f t="shared" si="385"/>
        <v>1</v>
      </c>
      <c r="U196" s="140">
        <f t="shared" si="385"/>
        <v>1</v>
      </c>
      <c r="V196" s="140">
        <f t="shared" si="385"/>
        <v>1</v>
      </c>
      <c r="W196" s="140">
        <f t="shared" si="385"/>
        <v>1</v>
      </c>
      <c r="X196" s="140">
        <f t="shared" si="385"/>
        <v>1</v>
      </c>
      <c r="Y196" s="140">
        <f t="shared" si="385"/>
        <v>1</v>
      </c>
      <c r="Z196" s="140">
        <f t="shared" si="385"/>
        <v>1</v>
      </c>
      <c r="AA196" s="140">
        <f t="shared" si="385"/>
        <v>1</v>
      </c>
      <c r="AB196" s="140">
        <f t="shared" si="385"/>
        <v>1</v>
      </c>
      <c r="AC196" s="140">
        <f t="shared" si="385"/>
        <v>1</v>
      </c>
      <c r="AD196" s="140">
        <f t="shared" si="385"/>
        <v>1</v>
      </c>
      <c r="AE196" s="140">
        <f t="shared" si="385"/>
        <v>1</v>
      </c>
      <c r="AF196" s="140">
        <f t="shared" si="385"/>
        <v>1</v>
      </c>
      <c r="AG196" s="140">
        <f t="shared" si="385"/>
        <v>1</v>
      </c>
      <c r="AH196" s="140">
        <f t="shared" si="385"/>
        <v>1</v>
      </c>
      <c r="AI196" s="140">
        <f t="shared" si="385"/>
        <v>1</v>
      </c>
      <c r="AJ196" s="140">
        <f t="shared" si="385"/>
        <v>1</v>
      </c>
      <c r="AK196" s="140">
        <f t="shared" si="385"/>
        <v>1</v>
      </c>
      <c r="AL196" s="140">
        <f t="shared" si="385"/>
        <v>1</v>
      </c>
      <c r="AM196" s="140">
        <f t="shared" si="385"/>
        <v>1</v>
      </c>
      <c r="AN196" s="140">
        <f t="shared" si="385"/>
        <v>1</v>
      </c>
      <c r="AO196" s="140">
        <f t="shared" si="385"/>
        <v>1</v>
      </c>
      <c r="AP196" s="140">
        <f t="shared" si="385"/>
        <v>1</v>
      </c>
      <c r="AQ196" s="140">
        <f t="shared" si="385"/>
        <v>1</v>
      </c>
      <c r="AR196" s="140">
        <f t="shared" si="385"/>
        <v>1</v>
      </c>
      <c r="AS196" s="140">
        <f t="shared" si="385"/>
        <v>1</v>
      </c>
      <c r="AT196" s="140">
        <f t="shared" si="385"/>
        <v>1</v>
      </c>
      <c r="AU196" s="140">
        <f t="shared" si="385"/>
        <v>1</v>
      </c>
      <c r="AV196" s="140">
        <f t="shared" si="385"/>
        <v>1</v>
      </c>
      <c r="AW196" s="140">
        <f t="shared" si="385"/>
        <v>1</v>
      </c>
      <c r="AX196" s="140">
        <f t="shared" si="385"/>
        <v>1</v>
      </c>
      <c r="AY196" s="140">
        <f t="shared" si="385"/>
        <v>1</v>
      </c>
      <c r="AZ196" s="140">
        <f t="shared" si="385"/>
        <v>1</v>
      </c>
      <c r="BA196" s="140">
        <f t="shared" si="385"/>
        <v>1</v>
      </c>
      <c r="BB196" s="140">
        <f t="shared" si="385"/>
        <v>1</v>
      </c>
      <c r="BC196" s="140">
        <f t="shared" si="385"/>
        <v>1</v>
      </c>
      <c r="BD196" s="140">
        <f t="shared" si="385"/>
        <v>1</v>
      </c>
      <c r="BE196" s="140">
        <f t="shared" si="385"/>
        <v>1</v>
      </c>
      <c r="BF196" s="140">
        <f t="shared" si="385"/>
        <v>1</v>
      </c>
      <c r="BG196" s="140">
        <f t="shared" si="385"/>
        <v>1</v>
      </c>
      <c r="BH196" s="140">
        <f t="shared" si="385"/>
        <v>1</v>
      </c>
      <c r="BI196" s="140">
        <f t="shared" si="385"/>
        <v>1</v>
      </c>
      <c r="BJ196" s="140">
        <f t="shared" si="385"/>
        <v>1</v>
      </c>
      <c r="BK196" s="140">
        <f t="shared" si="385"/>
        <v>1</v>
      </c>
      <c r="BL196" s="140">
        <f t="shared" si="385"/>
        <v>1</v>
      </c>
      <c r="BM196" s="140">
        <f t="shared" si="385"/>
        <v>1</v>
      </c>
      <c r="BN196" s="140">
        <f t="shared" si="385"/>
        <v>1</v>
      </c>
      <c r="BO196" s="140">
        <f t="shared" ref="BO196:CB196" si="386">EXP(-BO195*BO194)</f>
        <v>1</v>
      </c>
      <c r="BP196" s="140">
        <f t="shared" si="386"/>
        <v>1</v>
      </c>
      <c r="BQ196" s="140">
        <f t="shared" si="386"/>
        <v>1</v>
      </c>
      <c r="BR196" s="140">
        <f t="shared" si="386"/>
        <v>1</v>
      </c>
      <c r="BS196" s="140">
        <f t="shared" si="386"/>
        <v>1</v>
      </c>
      <c r="BT196" s="140">
        <f t="shared" si="386"/>
        <v>1</v>
      </c>
      <c r="BU196" s="140">
        <f t="shared" si="386"/>
        <v>1</v>
      </c>
      <c r="BV196" s="140">
        <f t="shared" si="386"/>
        <v>1</v>
      </c>
      <c r="BW196" s="140">
        <f t="shared" si="386"/>
        <v>1</v>
      </c>
      <c r="BX196" s="140">
        <f t="shared" si="386"/>
        <v>1</v>
      </c>
      <c r="BY196" s="140">
        <f t="shared" si="386"/>
        <v>1</v>
      </c>
      <c r="BZ196" s="140">
        <f t="shared" si="386"/>
        <v>1</v>
      </c>
      <c r="CA196" s="140">
        <f t="shared" si="386"/>
        <v>1</v>
      </c>
      <c r="CB196" s="140">
        <f t="shared" si="386"/>
        <v>1</v>
      </c>
      <c r="CC196" s="17"/>
      <c r="CD196" s="17"/>
      <c r="CE196" s="17"/>
    </row>
    <row r="197" spans="1:83">
      <c r="A197" s="17"/>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c r="BE197" s="17"/>
      <c r="BF197" s="17"/>
      <c r="BG197" s="17"/>
      <c r="BH197" s="17"/>
      <c r="BI197" s="17"/>
      <c r="BJ197" s="17"/>
      <c r="BK197" s="17"/>
      <c r="BL197" s="17"/>
      <c r="BM197" s="17"/>
      <c r="BN197" s="17"/>
      <c r="BO197" s="17"/>
      <c r="BP197" s="17"/>
      <c r="BQ197" s="17"/>
      <c r="BR197" s="17"/>
      <c r="BS197" s="17"/>
      <c r="BT197" s="17"/>
      <c r="BU197" s="17"/>
      <c r="BV197" s="17"/>
      <c r="BW197" s="17"/>
      <c r="BX197" s="17"/>
      <c r="BY197" s="17"/>
      <c r="BZ197" s="17"/>
      <c r="CA197" s="17"/>
      <c r="CB197" s="17"/>
      <c r="CC197" s="17"/>
      <c r="CD197" s="17"/>
      <c r="CE197" s="17"/>
    </row>
    <row r="198" spans="1:83">
      <c r="A198" s="16" t="s">
        <v>40</v>
      </c>
      <c r="B198" s="140">
        <f t="shared" ref="B198:AG198" si="387">DAYS360($B$3,B70)</f>
        <v>-43022</v>
      </c>
      <c r="C198" s="140">
        <f t="shared" si="387"/>
        <v>-43022</v>
      </c>
      <c r="D198" s="140">
        <f t="shared" si="387"/>
        <v>-43022</v>
      </c>
      <c r="E198" s="140">
        <f t="shared" si="387"/>
        <v>-43022</v>
      </c>
      <c r="F198" s="140">
        <f t="shared" si="387"/>
        <v>-43022</v>
      </c>
      <c r="G198" s="140">
        <f t="shared" si="387"/>
        <v>-43022</v>
      </c>
      <c r="H198" s="140">
        <f t="shared" si="387"/>
        <v>-43022</v>
      </c>
      <c r="I198" s="140">
        <f t="shared" si="387"/>
        <v>-43022</v>
      </c>
      <c r="J198" s="140">
        <f t="shared" si="387"/>
        <v>-43022</v>
      </c>
      <c r="K198" s="140">
        <f t="shared" si="387"/>
        <v>-43022</v>
      </c>
      <c r="L198" s="140">
        <f t="shared" si="387"/>
        <v>-43022</v>
      </c>
      <c r="M198" s="140">
        <f t="shared" si="387"/>
        <v>-43022</v>
      </c>
      <c r="N198" s="140">
        <f t="shared" si="387"/>
        <v>-43022</v>
      </c>
      <c r="O198" s="140">
        <f t="shared" si="387"/>
        <v>-43022</v>
      </c>
      <c r="P198" s="140">
        <f t="shared" si="387"/>
        <v>-43022</v>
      </c>
      <c r="Q198" s="140">
        <f t="shared" si="387"/>
        <v>-43022</v>
      </c>
      <c r="R198" s="140">
        <f t="shared" si="387"/>
        <v>-43022</v>
      </c>
      <c r="S198" s="140">
        <f t="shared" si="387"/>
        <v>-43022</v>
      </c>
      <c r="T198" s="140">
        <f t="shared" si="387"/>
        <v>-43022</v>
      </c>
      <c r="U198" s="140">
        <f t="shared" si="387"/>
        <v>-43022</v>
      </c>
      <c r="V198" s="140">
        <f t="shared" si="387"/>
        <v>-43022</v>
      </c>
      <c r="W198" s="140">
        <f t="shared" si="387"/>
        <v>-43022</v>
      </c>
      <c r="X198" s="140">
        <f t="shared" si="387"/>
        <v>-43022</v>
      </c>
      <c r="Y198" s="140">
        <f t="shared" si="387"/>
        <v>-43022</v>
      </c>
      <c r="Z198" s="140">
        <f t="shared" si="387"/>
        <v>-43022</v>
      </c>
      <c r="AA198" s="140">
        <f t="shared" si="387"/>
        <v>-43022</v>
      </c>
      <c r="AB198" s="140">
        <f t="shared" si="387"/>
        <v>-43022</v>
      </c>
      <c r="AC198" s="140">
        <f t="shared" si="387"/>
        <v>-43022</v>
      </c>
      <c r="AD198" s="140">
        <f t="shared" si="387"/>
        <v>-43022</v>
      </c>
      <c r="AE198" s="140">
        <f t="shared" si="387"/>
        <v>-43022</v>
      </c>
      <c r="AF198" s="140">
        <f t="shared" si="387"/>
        <v>-43022</v>
      </c>
      <c r="AG198" s="140">
        <f t="shared" si="387"/>
        <v>-43022</v>
      </c>
      <c r="AH198" s="140">
        <f t="shared" ref="AH198:BM198" si="388">DAYS360($B$3,AH70)</f>
        <v>-43022</v>
      </c>
      <c r="AI198" s="140">
        <f t="shared" si="388"/>
        <v>-43022</v>
      </c>
      <c r="AJ198" s="140">
        <f t="shared" si="388"/>
        <v>-43022</v>
      </c>
      <c r="AK198" s="140">
        <f t="shared" si="388"/>
        <v>-43022</v>
      </c>
      <c r="AL198" s="140">
        <f t="shared" si="388"/>
        <v>-43022</v>
      </c>
      <c r="AM198" s="140">
        <f t="shared" si="388"/>
        <v>-43022</v>
      </c>
      <c r="AN198" s="140">
        <f t="shared" si="388"/>
        <v>-43022</v>
      </c>
      <c r="AO198" s="140">
        <f t="shared" si="388"/>
        <v>-43022</v>
      </c>
      <c r="AP198" s="140">
        <f t="shared" si="388"/>
        <v>-43022</v>
      </c>
      <c r="AQ198" s="140">
        <f t="shared" si="388"/>
        <v>-43022</v>
      </c>
      <c r="AR198" s="140">
        <f t="shared" si="388"/>
        <v>-43022</v>
      </c>
      <c r="AS198" s="140">
        <f t="shared" si="388"/>
        <v>-43022</v>
      </c>
      <c r="AT198" s="140">
        <f t="shared" si="388"/>
        <v>-43022</v>
      </c>
      <c r="AU198" s="140">
        <f t="shared" si="388"/>
        <v>-43022</v>
      </c>
      <c r="AV198" s="140">
        <f t="shared" si="388"/>
        <v>-43022</v>
      </c>
      <c r="AW198" s="140">
        <f t="shared" si="388"/>
        <v>-43022</v>
      </c>
      <c r="AX198" s="140">
        <f t="shared" si="388"/>
        <v>-43022</v>
      </c>
      <c r="AY198" s="140">
        <f t="shared" si="388"/>
        <v>-43022</v>
      </c>
      <c r="AZ198" s="140">
        <f t="shared" si="388"/>
        <v>-43022</v>
      </c>
      <c r="BA198" s="140">
        <f t="shared" si="388"/>
        <v>-43022</v>
      </c>
      <c r="BB198" s="140">
        <f t="shared" si="388"/>
        <v>-43022</v>
      </c>
      <c r="BC198" s="140">
        <f t="shared" si="388"/>
        <v>-43022</v>
      </c>
      <c r="BD198" s="140">
        <f t="shared" si="388"/>
        <v>-43022</v>
      </c>
      <c r="BE198" s="140">
        <f t="shared" si="388"/>
        <v>-43022</v>
      </c>
      <c r="BF198" s="140">
        <f t="shared" si="388"/>
        <v>-43022</v>
      </c>
      <c r="BG198" s="140">
        <f t="shared" si="388"/>
        <v>-43022</v>
      </c>
      <c r="BH198" s="140">
        <f t="shared" si="388"/>
        <v>-43022</v>
      </c>
      <c r="BI198" s="140">
        <f t="shared" si="388"/>
        <v>-43022</v>
      </c>
      <c r="BJ198" s="140">
        <f t="shared" si="388"/>
        <v>-43022</v>
      </c>
      <c r="BK198" s="140">
        <f t="shared" si="388"/>
        <v>-43022</v>
      </c>
      <c r="BL198" s="140">
        <f t="shared" si="388"/>
        <v>-43022</v>
      </c>
      <c r="BM198" s="140">
        <f t="shared" si="388"/>
        <v>-43022</v>
      </c>
      <c r="BN198" s="140">
        <f t="shared" ref="BN198:CB198" si="389">DAYS360($B$3,BN70)</f>
        <v>-43022</v>
      </c>
      <c r="BO198" s="140">
        <f t="shared" si="389"/>
        <v>-43022</v>
      </c>
      <c r="BP198" s="140">
        <f t="shared" si="389"/>
        <v>-43022</v>
      </c>
      <c r="BQ198" s="140">
        <f t="shared" si="389"/>
        <v>-43022</v>
      </c>
      <c r="BR198" s="140">
        <f t="shared" si="389"/>
        <v>-43022</v>
      </c>
      <c r="BS198" s="140">
        <f t="shared" si="389"/>
        <v>-43022</v>
      </c>
      <c r="BT198" s="140">
        <f t="shared" si="389"/>
        <v>-43022</v>
      </c>
      <c r="BU198" s="140">
        <f t="shared" si="389"/>
        <v>-43022</v>
      </c>
      <c r="BV198" s="140">
        <f t="shared" si="389"/>
        <v>-43022</v>
      </c>
      <c r="BW198" s="140">
        <f t="shared" si="389"/>
        <v>-43022</v>
      </c>
      <c r="BX198" s="140">
        <f t="shared" si="389"/>
        <v>-43022</v>
      </c>
      <c r="BY198" s="140">
        <f t="shared" si="389"/>
        <v>-43022</v>
      </c>
      <c r="BZ198" s="140">
        <f t="shared" si="389"/>
        <v>-43022</v>
      </c>
      <c r="CA198" s="140">
        <f t="shared" si="389"/>
        <v>-43022</v>
      </c>
      <c r="CB198" s="140">
        <f t="shared" si="389"/>
        <v>-43022</v>
      </c>
      <c r="CC198" s="17"/>
      <c r="CD198" s="17"/>
      <c r="CE198" s="17"/>
    </row>
    <row r="199" spans="1:83">
      <c r="A199" s="16" t="s">
        <v>41</v>
      </c>
      <c r="B199" s="140">
        <f>B198/360</f>
        <v>-119.50555555555556</v>
      </c>
      <c r="C199" s="140">
        <f t="shared" ref="C199:BN199" si="390">C198/360</f>
        <v>-119.50555555555556</v>
      </c>
      <c r="D199" s="140">
        <f t="shared" si="390"/>
        <v>-119.50555555555556</v>
      </c>
      <c r="E199" s="140">
        <f t="shared" si="390"/>
        <v>-119.50555555555556</v>
      </c>
      <c r="F199" s="140">
        <f t="shared" si="390"/>
        <v>-119.50555555555556</v>
      </c>
      <c r="G199" s="140">
        <f t="shared" si="390"/>
        <v>-119.50555555555556</v>
      </c>
      <c r="H199" s="140">
        <f t="shared" si="390"/>
        <v>-119.50555555555556</v>
      </c>
      <c r="I199" s="140">
        <f t="shared" si="390"/>
        <v>-119.50555555555556</v>
      </c>
      <c r="J199" s="140">
        <f t="shared" si="390"/>
        <v>-119.50555555555556</v>
      </c>
      <c r="K199" s="140">
        <f t="shared" si="390"/>
        <v>-119.50555555555556</v>
      </c>
      <c r="L199" s="140">
        <f t="shared" si="390"/>
        <v>-119.50555555555556</v>
      </c>
      <c r="M199" s="140">
        <f t="shared" si="390"/>
        <v>-119.50555555555556</v>
      </c>
      <c r="N199" s="140">
        <f t="shared" si="390"/>
        <v>-119.50555555555556</v>
      </c>
      <c r="O199" s="140">
        <f t="shared" si="390"/>
        <v>-119.50555555555556</v>
      </c>
      <c r="P199" s="140">
        <f t="shared" si="390"/>
        <v>-119.50555555555556</v>
      </c>
      <c r="Q199" s="140">
        <f t="shared" si="390"/>
        <v>-119.50555555555556</v>
      </c>
      <c r="R199" s="140">
        <f t="shared" si="390"/>
        <v>-119.50555555555556</v>
      </c>
      <c r="S199" s="140">
        <f t="shared" si="390"/>
        <v>-119.50555555555556</v>
      </c>
      <c r="T199" s="140">
        <f t="shared" si="390"/>
        <v>-119.50555555555556</v>
      </c>
      <c r="U199" s="140">
        <f t="shared" si="390"/>
        <v>-119.50555555555556</v>
      </c>
      <c r="V199" s="140">
        <f t="shared" si="390"/>
        <v>-119.50555555555556</v>
      </c>
      <c r="W199" s="140">
        <f t="shared" si="390"/>
        <v>-119.50555555555556</v>
      </c>
      <c r="X199" s="140">
        <f t="shared" si="390"/>
        <v>-119.50555555555556</v>
      </c>
      <c r="Y199" s="140">
        <f t="shared" si="390"/>
        <v>-119.50555555555556</v>
      </c>
      <c r="Z199" s="140">
        <f t="shared" si="390"/>
        <v>-119.50555555555556</v>
      </c>
      <c r="AA199" s="140">
        <f t="shared" si="390"/>
        <v>-119.50555555555556</v>
      </c>
      <c r="AB199" s="140">
        <f t="shared" si="390"/>
        <v>-119.50555555555556</v>
      </c>
      <c r="AC199" s="140">
        <f t="shared" si="390"/>
        <v>-119.50555555555556</v>
      </c>
      <c r="AD199" s="140">
        <f t="shared" si="390"/>
        <v>-119.50555555555556</v>
      </c>
      <c r="AE199" s="140">
        <f t="shared" si="390"/>
        <v>-119.50555555555556</v>
      </c>
      <c r="AF199" s="140">
        <f t="shared" si="390"/>
        <v>-119.50555555555556</v>
      </c>
      <c r="AG199" s="140">
        <f t="shared" si="390"/>
        <v>-119.50555555555556</v>
      </c>
      <c r="AH199" s="140">
        <f t="shared" si="390"/>
        <v>-119.50555555555556</v>
      </c>
      <c r="AI199" s="140">
        <f t="shared" si="390"/>
        <v>-119.50555555555556</v>
      </c>
      <c r="AJ199" s="140">
        <f t="shared" si="390"/>
        <v>-119.50555555555556</v>
      </c>
      <c r="AK199" s="140">
        <f t="shared" si="390"/>
        <v>-119.50555555555556</v>
      </c>
      <c r="AL199" s="140">
        <f t="shared" si="390"/>
        <v>-119.50555555555556</v>
      </c>
      <c r="AM199" s="140">
        <f t="shared" si="390"/>
        <v>-119.50555555555556</v>
      </c>
      <c r="AN199" s="140">
        <f t="shared" si="390"/>
        <v>-119.50555555555556</v>
      </c>
      <c r="AO199" s="140">
        <f t="shared" si="390"/>
        <v>-119.50555555555556</v>
      </c>
      <c r="AP199" s="140">
        <f t="shared" si="390"/>
        <v>-119.50555555555556</v>
      </c>
      <c r="AQ199" s="140">
        <f t="shared" si="390"/>
        <v>-119.50555555555556</v>
      </c>
      <c r="AR199" s="140">
        <f t="shared" si="390"/>
        <v>-119.50555555555556</v>
      </c>
      <c r="AS199" s="140">
        <f t="shared" si="390"/>
        <v>-119.50555555555556</v>
      </c>
      <c r="AT199" s="140">
        <f t="shared" si="390"/>
        <v>-119.50555555555556</v>
      </c>
      <c r="AU199" s="140">
        <f t="shared" si="390"/>
        <v>-119.50555555555556</v>
      </c>
      <c r="AV199" s="140">
        <f t="shared" si="390"/>
        <v>-119.50555555555556</v>
      </c>
      <c r="AW199" s="140">
        <f t="shared" si="390"/>
        <v>-119.50555555555556</v>
      </c>
      <c r="AX199" s="140">
        <f t="shared" si="390"/>
        <v>-119.50555555555556</v>
      </c>
      <c r="AY199" s="140">
        <f t="shared" si="390"/>
        <v>-119.50555555555556</v>
      </c>
      <c r="AZ199" s="140">
        <f t="shared" si="390"/>
        <v>-119.50555555555556</v>
      </c>
      <c r="BA199" s="140">
        <f t="shared" si="390"/>
        <v>-119.50555555555556</v>
      </c>
      <c r="BB199" s="140">
        <f t="shared" si="390"/>
        <v>-119.50555555555556</v>
      </c>
      <c r="BC199" s="140">
        <f t="shared" si="390"/>
        <v>-119.50555555555556</v>
      </c>
      <c r="BD199" s="140">
        <f t="shared" si="390"/>
        <v>-119.50555555555556</v>
      </c>
      <c r="BE199" s="140">
        <f t="shared" si="390"/>
        <v>-119.50555555555556</v>
      </c>
      <c r="BF199" s="140">
        <f t="shared" si="390"/>
        <v>-119.50555555555556</v>
      </c>
      <c r="BG199" s="140">
        <f t="shared" si="390"/>
        <v>-119.50555555555556</v>
      </c>
      <c r="BH199" s="140">
        <f t="shared" si="390"/>
        <v>-119.50555555555556</v>
      </c>
      <c r="BI199" s="140">
        <f t="shared" si="390"/>
        <v>-119.50555555555556</v>
      </c>
      <c r="BJ199" s="140">
        <f t="shared" si="390"/>
        <v>-119.50555555555556</v>
      </c>
      <c r="BK199" s="140">
        <f t="shared" si="390"/>
        <v>-119.50555555555556</v>
      </c>
      <c r="BL199" s="140">
        <f t="shared" si="390"/>
        <v>-119.50555555555556</v>
      </c>
      <c r="BM199" s="140">
        <f t="shared" si="390"/>
        <v>-119.50555555555556</v>
      </c>
      <c r="BN199" s="140">
        <f t="shared" si="390"/>
        <v>-119.50555555555556</v>
      </c>
      <c r="BO199" s="140">
        <f t="shared" ref="BO199:CB199" si="391">BO198/360</f>
        <v>-119.50555555555556</v>
      </c>
      <c r="BP199" s="140">
        <f t="shared" si="391"/>
        <v>-119.50555555555556</v>
      </c>
      <c r="BQ199" s="140">
        <f t="shared" si="391"/>
        <v>-119.50555555555556</v>
      </c>
      <c r="BR199" s="140">
        <f t="shared" si="391"/>
        <v>-119.50555555555556</v>
      </c>
      <c r="BS199" s="140">
        <f t="shared" si="391"/>
        <v>-119.50555555555556</v>
      </c>
      <c r="BT199" s="140">
        <f t="shared" si="391"/>
        <v>-119.50555555555556</v>
      </c>
      <c r="BU199" s="140">
        <f t="shared" si="391"/>
        <v>-119.50555555555556</v>
      </c>
      <c r="BV199" s="140">
        <f t="shared" si="391"/>
        <v>-119.50555555555556</v>
      </c>
      <c r="BW199" s="140">
        <f t="shared" si="391"/>
        <v>-119.50555555555556</v>
      </c>
      <c r="BX199" s="140">
        <f t="shared" si="391"/>
        <v>-119.50555555555556</v>
      </c>
      <c r="BY199" s="140">
        <f t="shared" si="391"/>
        <v>-119.50555555555556</v>
      </c>
      <c r="BZ199" s="140">
        <f t="shared" si="391"/>
        <v>-119.50555555555556</v>
      </c>
      <c r="CA199" s="140">
        <f t="shared" si="391"/>
        <v>-119.50555555555556</v>
      </c>
      <c r="CB199" s="140">
        <f t="shared" si="391"/>
        <v>-119.50555555555556</v>
      </c>
      <c r="CC199" s="17"/>
      <c r="CD199" s="17"/>
      <c r="CE199" s="17"/>
    </row>
    <row r="200" spans="1:83">
      <c r="A200" s="16" t="s">
        <v>43</v>
      </c>
      <c r="B200" s="140">
        <f>IF(B198&lt;0,0,$B$5+$B$6*((1-EXP(-B199/$B$9))/(B199/$B$9))+$B$7*((1-EXP(-B199/$B$9))/(B199/$B$9)-EXP(-B199/$B$9))+$B$8*((1-EXP(-B199/$B$10))/(B199/$B$10)-EXP(-B199/$B$10)))</f>
        <v>0</v>
      </c>
      <c r="C200" s="140">
        <f t="shared" ref="C200:BN200" si="392">IF(C198&lt;0,0,$B$5+$B$6*((1-EXP(-C199/$B$9))/(C199/$B$9))+$B$7*((1-EXP(-C199/$B$9))/(C199/$B$9)-EXP(-C199/$B$9))+$B$8*((1-EXP(-C199/$B$10))/(C199/$B$10)-EXP(-C199/$B$10)))</f>
        <v>0</v>
      </c>
      <c r="D200" s="140">
        <f t="shared" si="392"/>
        <v>0</v>
      </c>
      <c r="E200" s="140">
        <f t="shared" si="392"/>
        <v>0</v>
      </c>
      <c r="F200" s="140">
        <f t="shared" si="392"/>
        <v>0</v>
      </c>
      <c r="G200" s="140">
        <f t="shared" si="392"/>
        <v>0</v>
      </c>
      <c r="H200" s="140">
        <f t="shared" si="392"/>
        <v>0</v>
      </c>
      <c r="I200" s="140">
        <f t="shared" si="392"/>
        <v>0</v>
      </c>
      <c r="J200" s="140">
        <f t="shared" si="392"/>
        <v>0</v>
      </c>
      <c r="K200" s="140">
        <f t="shared" si="392"/>
        <v>0</v>
      </c>
      <c r="L200" s="140">
        <f t="shared" si="392"/>
        <v>0</v>
      </c>
      <c r="M200" s="140">
        <f t="shared" si="392"/>
        <v>0</v>
      </c>
      <c r="N200" s="140">
        <f t="shared" si="392"/>
        <v>0</v>
      </c>
      <c r="O200" s="140">
        <f t="shared" si="392"/>
        <v>0</v>
      </c>
      <c r="P200" s="140">
        <f t="shared" si="392"/>
        <v>0</v>
      </c>
      <c r="Q200" s="140">
        <f t="shared" si="392"/>
        <v>0</v>
      </c>
      <c r="R200" s="140">
        <f t="shared" si="392"/>
        <v>0</v>
      </c>
      <c r="S200" s="140">
        <f t="shared" si="392"/>
        <v>0</v>
      </c>
      <c r="T200" s="140">
        <f t="shared" si="392"/>
        <v>0</v>
      </c>
      <c r="U200" s="140">
        <f t="shared" si="392"/>
        <v>0</v>
      </c>
      <c r="V200" s="140">
        <f t="shared" si="392"/>
        <v>0</v>
      </c>
      <c r="W200" s="140">
        <f t="shared" si="392"/>
        <v>0</v>
      </c>
      <c r="X200" s="140">
        <f t="shared" si="392"/>
        <v>0</v>
      </c>
      <c r="Y200" s="140">
        <f t="shared" si="392"/>
        <v>0</v>
      </c>
      <c r="Z200" s="140">
        <f t="shared" si="392"/>
        <v>0</v>
      </c>
      <c r="AA200" s="140">
        <f t="shared" si="392"/>
        <v>0</v>
      </c>
      <c r="AB200" s="140">
        <f t="shared" si="392"/>
        <v>0</v>
      </c>
      <c r="AC200" s="140">
        <f t="shared" si="392"/>
        <v>0</v>
      </c>
      <c r="AD200" s="140">
        <f t="shared" si="392"/>
        <v>0</v>
      </c>
      <c r="AE200" s="140">
        <f t="shared" si="392"/>
        <v>0</v>
      </c>
      <c r="AF200" s="140">
        <f t="shared" si="392"/>
        <v>0</v>
      </c>
      <c r="AG200" s="140">
        <f t="shared" si="392"/>
        <v>0</v>
      </c>
      <c r="AH200" s="140">
        <f t="shared" si="392"/>
        <v>0</v>
      </c>
      <c r="AI200" s="140">
        <f t="shared" si="392"/>
        <v>0</v>
      </c>
      <c r="AJ200" s="140">
        <f t="shared" si="392"/>
        <v>0</v>
      </c>
      <c r="AK200" s="140">
        <f t="shared" si="392"/>
        <v>0</v>
      </c>
      <c r="AL200" s="140">
        <f t="shared" si="392"/>
        <v>0</v>
      </c>
      <c r="AM200" s="140">
        <f t="shared" si="392"/>
        <v>0</v>
      </c>
      <c r="AN200" s="140">
        <f t="shared" si="392"/>
        <v>0</v>
      </c>
      <c r="AO200" s="140">
        <f t="shared" si="392"/>
        <v>0</v>
      </c>
      <c r="AP200" s="140">
        <f t="shared" si="392"/>
        <v>0</v>
      </c>
      <c r="AQ200" s="140">
        <f t="shared" si="392"/>
        <v>0</v>
      </c>
      <c r="AR200" s="140">
        <f t="shared" si="392"/>
        <v>0</v>
      </c>
      <c r="AS200" s="140">
        <f t="shared" si="392"/>
        <v>0</v>
      </c>
      <c r="AT200" s="140">
        <f t="shared" si="392"/>
        <v>0</v>
      </c>
      <c r="AU200" s="140">
        <f t="shared" si="392"/>
        <v>0</v>
      </c>
      <c r="AV200" s="140">
        <f t="shared" si="392"/>
        <v>0</v>
      </c>
      <c r="AW200" s="140">
        <f t="shared" si="392"/>
        <v>0</v>
      </c>
      <c r="AX200" s="140">
        <f t="shared" si="392"/>
        <v>0</v>
      </c>
      <c r="AY200" s="140">
        <f t="shared" si="392"/>
        <v>0</v>
      </c>
      <c r="AZ200" s="140">
        <f t="shared" si="392"/>
        <v>0</v>
      </c>
      <c r="BA200" s="140">
        <f t="shared" si="392"/>
        <v>0</v>
      </c>
      <c r="BB200" s="140">
        <f t="shared" si="392"/>
        <v>0</v>
      </c>
      <c r="BC200" s="140">
        <f t="shared" si="392"/>
        <v>0</v>
      </c>
      <c r="BD200" s="140">
        <f t="shared" si="392"/>
        <v>0</v>
      </c>
      <c r="BE200" s="140">
        <f t="shared" si="392"/>
        <v>0</v>
      </c>
      <c r="BF200" s="140">
        <f t="shared" si="392"/>
        <v>0</v>
      </c>
      <c r="BG200" s="140">
        <f t="shared" si="392"/>
        <v>0</v>
      </c>
      <c r="BH200" s="140">
        <f t="shared" si="392"/>
        <v>0</v>
      </c>
      <c r="BI200" s="140">
        <f t="shared" si="392"/>
        <v>0</v>
      </c>
      <c r="BJ200" s="140">
        <f t="shared" si="392"/>
        <v>0</v>
      </c>
      <c r="BK200" s="140">
        <f t="shared" si="392"/>
        <v>0</v>
      </c>
      <c r="BL200" s="140">
        <f t="shared" si="392"/>
        <v>0</v>
      </c>
      <c r="BM200" s="140">
        <f t="shared" si="392"/>
        <v>0</v>
      </c>
      <c r="BN200" s="140">
        <f t="shared" si="392"/>
        <v>0</v>
      </c>
      <c r="BO200" s="140">
        <f t="shared" ref="BO200:CB200" si="393">IF(BO198&lt;0,0,$B$5+$B$6*((1-EXP(-BO199/$B$9))/(BO199/$B$9))+$B$7*((1-EXP(-BO199/$B$9))/(BO199/$B$9)-EXP(-BO199/$B$9))+$B$8*((1-EXP(-BO199/$B$10))/(BO199/$B$10)-EXP(-BO199/$B$10)))</f>
        <v>0</v>
      </c>
      <c r="BP200" s="140">
        <f t="shared" si="393"/>
        <v>0</v>
      </c>
      <c r="BQ200" s="140">
        <f t="shared" si="393"/>
        <v>0</v>
      </c>
      <c r="BR200" s="140">
        <f t="shared" si="393"/>
        <v>0</v>
      </c>
      <c r="BS200" s="140">
        <f t="shared" si="393"/>
        <v>0</v>
      </c>
      <c r="BT200" s="140">
        <f t="shared" si="393"/>
        <v>0</v>
      </c>
      <c r="BU200" s="140">
        <f t="shared" si="393"/>
        <v>0</v>
      </c>
      <c r="BV200" s="140">
        <f t="shared" si="393"/>
        <v>0</v>
      </c>
      <c r="BW200" s="140">
        <f t="shared" si="393"/>
        <v>0</v>
      </c>
      <c r="BX200" s="140">
        <f t="shared" si="393"/>
        <v>0</v>
      </c>
      <c r="BY200" s="140">
        <f t="shared" si="393"/>
        <v>0</v>
      </c>
      <c r="BZ200" s="140">
        <f t="shared" si="393"/>
        <v>0</v>
      </c>
      <c r="CA200" s="140">
        <f t="shared" si="393"/>
        <v>0</v>
      </c>
      <c r="CB200" s="140">
        <f t="shared" si="393"/>
        <v>0</v>
      </c>
      <c r="CC200" s="17"/>
      <c r="CD200" s="17"/>
      <c r="CE200" s="17"/>
    </row>
    <row r="201" spans="1:83">
      <c r="A201" s="16" t="s">
        <v>44</v>
      </c>
      <c r="B201" s="140">
        <f>EXP(-B200*B199)</f>
        <v>1</v>
      </c>
      <c r="C201" s="140">
        <f t="shared" ref="C201:BN201" si="394">EXP(-C200*C199)</f>
        <v>1</v>
      </c>
      <c r="D201" s="140">
        <f t="shared" si="394"/>
        <v>1</v>
      </c>
      <c r="E201" s="140">
        <f t="shared" si="394"/>
        <v>1</v>
      </c>
      <c r="F201" s="140">
        <f t="shared" si="394"/>
        <v>1</v>
      </c>
      <c r="G201" s="140">
        <f t="shared" si="394"/>
        <v>1</v>
      </c>
      <c r="H201" s="140">
        <f t="shared" si="394"/>
        <v>1</v>
      </c>
      <c r="I201" s="140">
        <f t="shared" si="394"/>
        <v>1</v>
      </c>
      <c r="J201" s="140">
        <f t="shared" si="394"/>
        <v>1</v>
      </c>
      <c r="K201" s="140">
        <f t="shared" si="394"/>
        <v>1</v>
      </c>
      <c r="L201" s="140">
        <f t="shared" si="394"/>
        <v>1</v>
      </c>
      <c r="M201" s="140">
        <f t="shared" si="394"/>
        <v>1</v>
      </c>
      <c r="N201" s="140">
        <f t="shared" si="394"/>
        <v>1</v>
      </c>
      <c r="O201" s="140">
        <f t="shared" si="394"/>
        <v>1</v>
      </c>
      <c r="P201" s="140">
        <f t="shared" si="394"/>
        <v>1</v>
      </c>
      <c r="Q201" s="140">
        <f t="shared" si="394"/>
        <v>1</v>
      </c>
      <c r="R201" s="140">
        <f t="shared" si="394"/>
        <v>1</v>
      </c>
      <c r="S201" s="140">
        <f t="shared" si="394"/>
        <v>1</v>
      </c>
      <c r="T201" s="140">
        <f t="shared" si="394"/>
        <v>1</v>
      </c>
      <c r="U201" s="140">
        <f t="shared" si="394"/>
        <v>1</v>
      </c>
      <c r="V201" s="140">
        <f t="shared" si="394"/>
        <v>1</v>
      </c>
      <c r="W201" s="140">
        <f t="shared" si="394"/>
        <v>1</v>
      </c>
      <c r="X201" s="140">
        <f t="shared" si="394"/>
        <v>1</v>
      </c>
      <c r="Y201" s="140">
        <f t="shared" si="394"/>
        <v>1</v>
      </c>
      <c r="Z201" s="140">
        <f t="shared" si="394"/>
        <v>1</v>
      </c>
      <c r="AA201" s="140">
        <f t="shared" si="394"/>
        <v>1</v>
      </c>
      <c r="AB201" s="140">
        <f t="shared" si="394"/>
        <v>1</v>
      </c>
      <c r="AC201" s="140">
        <f t="shared" si="394"/>
        <v>1</v>
      </c>
      <c r="AD201" s="140">
        <f t="shared" si="394"/>
        <v>1</v>
      </c>
      <c r="AE201" s="140">
        <f t="shared" si="394"/>
        <v>1</v>
      </c>
      <c r="AF201" s="140">
        <f t="shared" si="394"/>
        <v>1</v>
      </c>
      <c r="AG201" s="140">
        <f t="shared" si="394"/>
        <v>1</v>
      </c>
      <c r="AH201" s="140">
        <f t="shared" si="394"/>
        <v>1</v>
      </c>
      <c r="AI201" s="140">
        <f t="shared" si="394"/>
        <v>1</v>
      </c>
      <c r="AJ201" s="140">
        <f t="shared" si="394"/>
        <v>1</v>
      </c>
      <c r="AK201" s="140">
        <f t="shared" si="394"/>
        <v>1</v>
      </c>
      <c r="AL201" s="140">
        <f t="shared" si="394"/>
        <v>1</v>
      </c>
      <c r="AM201" s="140">
        <f t="shared" si="394"/>
        <v>1</v>
      </c>
      <c r="AN201" s="140">
        <f t="shared" si="394"/>
        <v>1</v>
      </c>
      <c r="AO201" s="140">
        <f t="shared" si="394"/>
        <v>1</v>
      </c>
      <c r="AP201" s="140">
        <f t="shared" si="394"/>
        <v>1</v>
      </c>
      <c r="AQ201" s="140">
        <f t="shared" si="394"/>
        <v>1</v>
      </c>
      <c r="AR201" s="140">
        <f t="shared" si="394"/>
        <v>1</v>
      </c>
      <c r="AS201" s="140">
        <f t="shared" si="394"/>
        <v>1</v>
      </c>
      <c r="AT201" s="140">
        <f t="shared" si="394"/>
        <v>1</v>
      </c>
      <c r="AU201" s="140">
        <f t="shared" si="394"/>
        <v>1</v>
      </c>
      <c r="AV201" s="140">
        <f t="shared" si="394"/>
        <v>1</v>
      </c>
      <c r="AW201" s="140">
        <f t="shared" si="394"/>
        <v>1</v>
      </c>
      <c r="AX201" s="140">
        <f t="shared" si="394"/>
        <v>1</v>
      </c>
      <c r="AY201" s="140">
        <f t="shared" si="394"/>
        <v>1</v>
      </c>
      <c r="AZ201" s="140">
        <f t="shared" si="394"/>
        <v>1</v>
      </c>
      <c r="BA201" s="140">
        <f t="shared" si="394"/>
        <v>1</v>
      </c>
      <c r="BB201" s="140">
        <f t="shared" si="394"/>
        <v>1</v>
      </c>
      <c r="BC201" s="140">
        <f t="shared" si="394"/>
        <v>1</v>
      </c>
      <c r="BD201" s="140">
        <f t="shared" si="394"/>
        <v>1</v>
      </c>
      <c r="BE201" s="140">
        <f t="shared" si="394"/>
        <v>1</v>
      </c>
      <c r="BF201" s="140">
        <f t="shared" si="394"/>
        <v>1</v>
      </c>
      <c r="BG201" s="140">
        <f t="shared" si="394"/>
        <v>1</v>
      </c>
      <c r="BH201" s="140">
        <f t="shared" si="394"/>
        <v>1</v>
      </c>
      <c r="BI201" s="140">
        <f t="shared" si="394"/>
        <v>1</v>
      </c>
      <c r="BJ201" s="140">
        <f t="shared" si="394"/>
        <v>1</v>
      </c>
      <c r="BK201" s="140">
        <f t="shared" si="394"/>
        <v>1</v>
      </c>
      <c r="BL201" s="140">
        <f t="shared" si="394"/>
        <v>1</v>
      </c>
      <c r="BM201" s="140">
        <f t="shared" si="394"/>
        <v>1</v>
      </c>
      <c r="BN201" s="140">
        <f t="shared" si="394"/>
        <v>1</v>
      </c>
      <c r="BO201" s="140">
        <f t="shared" ref="BO201:CB201" si="395">EXP(-BO200*BO199)</f>
        <v>1</v>
      </c>
      <c r="BP201" s="140">
        <f t="shared" si="395"/>
        <v>1</v>
      </c>
      <c r="BQ201" s="140">
        <f t="shared" si="395"/>
        <v>1</v>
      </c>
      <c r="BR201" s="140">
        <f t="shared" si="395"/>
        <v>1</v>
      </c>
      <c r="BS201" s="140">
        <f t="shared" si="395"/>
        <v>1</v>
      </c>
      <c r="BT201" s="140">
        <f t="shared" si="395"/>
        <v>1</v>
      </c>
      <c r="BU201" s="140">
        <f t="shared" si="395"/>
        <v>1</v>
      </c>
      <c r="BV201" s="140">
        <f t="shared" si="395"/>
        <v>1</v>
      </c>
      <c r="BW201" s="140">
        <f t="shared" si="395"/>
        <v>1</v>
      </c>
      <c r="BX201" s="140">
        <f t="shared" si="395"/>
        <v>1</v>
      </c>
      <c r="BY201" s="140">
        <f t="shared" si="395"/>
        <v>1</v>
      </c>
      <c r="BZ201" s="140">
        <f t="shared" si="395"/>
        <v>1</v>
      </c>
      <c r="CA201" s="140">
        <f t="shared" si="395"/>
        <v>1</v>
      </c>
      <c r="CB201" s="140">
        <f t="shared" si="395"/>
        <v>1</v>
      </c>
      <c r="CC201" s="17"/>
      <c r="CD201" s="17"/>
      <c r="CE201" s="17"/>
    </row>
    <row r="202" spans="1:83">
      <c r="A202" s="17"/>
      <c r="B202" s="17"/>
      <c r="C202" s="17"/>
      <c r="D202" s="17"/>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c r="AP202" s="17"/>
      <c r="AQ202" s="17"/>
      <c r="AR202" s="17"/>
      <c r="AS202" s="17"/>
      <c r="AT202" s="17"/>
      <c r="AU202" s="17"/>
      <c r="AV202" s="17"/>
      <c r="AW202" s="17"/>
      <c r="AX202" s="17"/>
      <c r="AY202" s="17"/>
      <c r="AZ202" s="17"/>
      <c r="BA202" s="17"/>
      <c r="BB202" s="17"/>
      <c r="BC202" s="17"/>
      <c r="BD202" s="17"/>
      <c r="BE202" s="17"/>
      <c r="BF202" s="17"/>
      <c r="BG202" s="17"/>
      <c r="BH202" s="17"/>
      <c r="BI202" s="17"/>
      <c r="BJ202" s="17"/>
      <c r="BK202" s="17"/>
      <c r="BL202" s="17"/>
      <c r="BM202" s="17"/>
      <c r="BN202" s="17"/>
      <c r="BO202" s="17"/>
      <c r="BP202" s="17"/>
      <c r="BQ202" s="17"/>
      <c r="BR202" s="17"/>
      <c r="BS202" s="17"/>
      <c r="BT202" s="17"/>
      <c r="BU202" s="17"/>
      <c r="BV202" s="17"/>
      <c r="BW202" s="17"/>
      <c r="BX202" s="17"/>
      <c r="BY202" s="17"/>
      <c r="BZ202" s="17"/>
      <c r="CA202" s="17"/>
      <c r="CB202" s="17"/>
      <c r="CC202" s="17"/>
      <c r="CD202" s="17"/>
      <c r="CE202" s="17"/>
    </row>
    <row r="203" spans="1:83">
      <c r="A203" s="16" t="s">
        <v>40</v>
      </c>
      <c r="B203" s="140">
        <f t="shared" ref="B203:AG203" si="396">DAYS360($B$3,B72)</f>
        <v>-43022</v>
      </c>
      <c r="C203" s="140">
        <f t="shared" si="396"/>
        <v>-43022</v>
      </c>
      <c r="D203" s="140">
        <f t="shared" si="396"/>
        <v>-43022</v>
      </c>
      <c r="E203" s="140">
        <f t="shared" si="396"/>
        <v>-43022</v>
      </c>
      <c r="F203" s="140">
        <f t="shared" si="396"/>
        <v>-43022</v>
      </c>
      <c r="G203" s="140">
        <f t="shared" si="396"/>
        <v>-43022</v>
      </c>
      <c r="H203" s="140">
        <f t="shared" si="396"/>
        <v>-43022</v>
      </c>
      <c r="I203" s="140">
        <f t="shared" si="396"/>
        <v>-43022</v>
      </c>
      <c r="J203" s="140">
        <f t="shared" si="396"/>
        <v>-43022</v>
      </c>
      <c r="K203" s="140">
        <f t="shared" si="396"/>
        <v>-43022</v>
      </c>
      <c r="L203" s="140">
        <f t="shared" si="396"/>
        <v>-43022</v>
      </c>
      <c r="M203" s="140">
        <f t="shared" si="396"/>
        <v>-43022</v>
      </c>
      <c r="N203" s="140">
        <f t="shared" si="396"/>
        <v>-43022</v>
      </c>
      <c r="O203" s="140">
        <f t="shared" si="396"/>
        <v>-43022</v>
      </c>
      <c r="P203" s="140">
        <f t="shared" si="396"/>
        <v>-43022</v>
      </c>
      <c r="Q203" s="140">
        <f t="shared" si="396"/>
        <v>-43022</v>
      </c>
      <c r="R203" s="140">
        <f t="shared" si="396"/>
        <v>-43022</v>
      </c>
      <c r="S203" s="140">
        <f t="shared" si="396"/>
        <v>-43022</v>
      </c>
      <c r="T203" s="140">
        <f t="shared" si="396"/>
        <v>-43022</v>
      </c>
      <c r="U203" s="140">
        <f t="shared" si="396"/>
        <v>-43022</v>
      </c>
      <c r="V203" s="140">
        <f t="shared" si="396"/>
        <v>-43022</v>
      </c>
      <c r="W203" s="140">
        <f t="shared" si="396"/>
        <v>-43022</v>
      </c>
      <c r="X203" s="140">
        <f t="shared" si="396"/>
        <v>-43022</v>
      </c>
      <c r="Y203" s="140">
        <f t="shared" si="396"/>
        <v>-43022</v>
      </c>
      <c r="Z203" s="140">
        <f t="shared" si="396"/>
        <v>-43022</v>
      </c>
      <c r="AA203" s="140">
        <f t="shared" si="396"/>
        <v>-43022</v>
      </c>
      <c r="AB203" s="140">
        <f t="shared" si="396"/>
        <v>-43022</v>
      </c>
      <c r="AC203" s="140">
        <f t="shared" si="396"/>
        <v>-43022</v>
      </c>
      <c r="AD203" s="140">
        <f t="shared" si="396"/>
        <v>-43022</v>
      </c>
      <c r="AE203" s="140">
        <f t="shared" si="396"/>
        <v>-43022</v>
      </c>
      <c r="AF203" s="140">
        <f t="shared" si="396"/>
        <v>-43022</v>
      </c>
      <c r="AG203" s="140">
        <f t="shared" si="396"/>
        <v>-43022</v>
      </c>
      <c r="AH203" s="140">
        <f t="shared" ref="AH203:BM203" si="397">DAYS360($B$3,AH72)</f>
        <v>-43022</v>
      </c>
      <c r="AI203" s="140">
        <f t="shared" si="397"/>
        <v>-43022</v>
      </c>
      <c r="AJ203" s="140">
        <f t="shared" si="397"/>
        <v>-43022</v>
      </c>
      <c r="AK203" s="140">
        <f t="shared" si="397"/>
        <v>-43022</v>
      </c>
      <c r="AL203" s="140">
        <f t="shared" si="397"/>
        <v>-43022</v>
      </c>
      <c r="AM203" s="140">
        <f t="shared" si="397"/>
        <v>-43022</v>
      </c>
      <c r="AN203" s="140">
        <f t="shared" si="397"/>
        <v>-43022</v>
      </c>
      <c r="AO203" s="140">
        <f t="shared" si="397"/>
        <v>-43022</v>
      </c>
      <c r="AP203" s="140">
        <f t="shared" si="397"/>
        <v>-43022</v>
      </c>
      <c r="AQ203" s="140">
        <f t="shared" si="397"/>
        <v>-43022</v>
      </c>
      <c r="AR203" s="140">
        <f t="shared" si="397"/>
        <v>-43022</v>
      </c>
      <c r="AS203" s="140">
        <f t="shared" si="397"/>
        <v>-43022</v>
      </c>
      <c r="AT203" s="140">
        <f t="shared" si="397"/>
        <v>-43022</v>
      </c>
      <c r="AU203" s="140">
        <f t="shared" si="397"/>
        <v>-43022</v>
      </c>
      <c r="AV203" s="140">
        <f t="shared" si="397"/>
        <v>-43022</v>
      </c>
      <c r="AW203" s="140">
        <f t="shared" si="397"/>
        <v>-43022</v>
      </c>
      <c r="AX203" s="140">
        <f t="shared" si="397"/>
        <v>-43022</v>
      </c>
      <c r="AY203" s="140">
        <f t="shared" si="397"/>
        <v>-43022</v>
      </c>
      <c r="AZ203" s="140">
        <f t="shared" si="397"/>
        <v>-43022</v>
      </c>
      <c r="BA203" s="140">
        <f t="shared" si="397"/>
        <v>-43022</v>
      </c>
      <c r="BB203" s="140">
        <f t="shared" si="397"/>
        <v>-43022</v>
      </c>
      <c r="BC203" s="140">
        <f t="shared" si="397"/>
        <v>-43022</v>
      </c>
      <c r="BD203" s="140">
        <f t="shared" si="397"/>
        <v>-43022</v>
      </c>
      <c r="BE203" s="140">
        <f t="shared" si="397"/>
        <v>-43022</v>
      </c>
      <c r="BF203" s="140">
        <f t="shared" si="397"/>
        <v>-43022</v>
      </c>
      <c r="BG203" s="140">
        <f t="shared" si="397"/>
        <v>-43022</v>
      </c>
      <c r="BH203" s="140">
        <f t="shared" si="397"/>
        <v>-43022</v>
      </c>
      <c r="BI203" s="140">
        <f t="shared" si="397"/>
        <v>-43022</v>
      </c>
      <c r="BJ203" s="140">
        <f t="shared" si="397"/>
        <v>-43022</v>
      </c>
      <c r="BK203" s="140">
        <f t="shared" si="397"/>
        <v>-43022</v>
      </c>
      <c r="BL203" s="140">
        <f t="shared" si="397"/>
        <v>-43022</v>
      </c>
      <c r="BM203" s="140">
        <f t="shared" si="397"/>
        <v>-43022</v>
      </c>
      <c r="BN203" s="140">
        <f t="shared" ref="BN203:CB203" si="398">DAYS360($B$3,BN72)</f>
        <v>-43022</v>
      </c>
      <c r="BO203" s="140">
        <f t="shared" si="398"/>
        <v>-43022</v>
      </c>
      <c r="BP203" s="140">
        <f t="shared" si="398"/>
        <v>-43022</v>
      </c>
      <c r="BQ203" s="140">
        <f t="shared" si="398"/>
        <v>-43022</v>
      </c>
      <c r="BR203" s="140">
        <f t="shared" si="398"/>
        <v>-43022</v>
      </c>
      <c r="BS203" s="140">
        <f t="shared" si="398"/>
        <v>-43022</v>
      </c>
      <c r="BT203" s="140">
        <f t="shared" si="398"/>
        <v>-43022</v>
      </c>
      <c r="BU203" s="140">
        <f t="shared" si="398"/>
        <v>-43022</v>
      </c>
      <c r="BV203" s="140">
        <f t="shared" si="398"/>
        <v>-43022</v>
      </c>
      <c r="BW203" s="140">
        <f t="shared" si="398"/>
        <v>-43022</v>
      </c>
      <c r="BX203" s="140">
        <f t="shared" si="398"/>
        <v>-43022</v>
      </c>
      <c r="BY203" s="140">
        <f t="shared" si="398"/>
        <v>-43022</v>
      </c>
      <c r="BZ203" s="140">
        <f t="shared" si="398"/>
        <v>-43022</v>
      </c>
      <c r="CA203" s="140">
        <f t="shared" si="398"/>
        <v>-43022</v>
      </c>
      <c r="CB203" s="140">
        <f t="shared" si="398"/>
        <v>-43022</v>
      </c>
      <c r="CC203" s="17"/>
      <c r="CD203" s="17"/>
      <c r="CE203" s="17"/>
    </row>
    <row r="204" spans="1:83">
      <c r="A204" s="16" t="s">
        <v>41</v>
      </c>
      <c r="B204" s="140">
        <f>B203/360</f>
        <v>-119.50555555555556</v>
      </c>
      <c r="C204" s="140">
        <f t="shared" ref="C204:BN204" si="399">C203/360</f>
        <v>-119.50555555555556</v>
      </c>
      <c r="D204" s="140">
        <f t="shared" si="399"/>
        <v>-119.50555555555556</v>
      </c>
      <c r="E204" s="140">
        <f t="shared" si="399"/>
        <v>-119.50555555555556</v>
      </c>
      <c r="F204" s="140">
        <f t="shared" si="399"/>
        <v>-119.50555555555556</v>
      </c>
      <c r="G204" s="140">
        <f t="shared" si="399"/>
        <v>-119.50555555555556</v>
      </c>
      <c r="H204" s="140">
        <f t="shared" si="399"/>
        <v>-119.50555555555556</v>
      </c>
      <c r="I204" s="140">
        <f t="shared" si="399"/>
        <v>-119.50555555555556</v>
      </c>
      <c r="J204" s="140">
        <f t="shared" si="399"/>
        <v>-119.50555555555556</v>
      </c>
      <c r="K204" s="140">
        <f t="shared" si="399"/>
        <v>-119.50555555555556</v>
      </c>
      <c r="L204" s="140">
        <f t="shared" si="399"/>
        <v>-119.50555555555556</v>
      </c>
      <c r="M204" s="140">
        <f t="shared" si="399"/>
        <v>-119.50555555555556</v>
      </c>
      <c r="N204" s="140">
        <f t="shared" si="399"/>
        <v>-119.50555555555556</v>
      </c>
      <c r="O204" s="140">
        <f t="shared" si="399"/>
        <v>-119.50555555555556</v>
      </c>
      <c r="P204" s="140">
        <f t="shared" si="399"/>
        <v>-119.50555555555556</v>
      </c>
      <c r="Q204" s="140">
        <f t="shared" si="399"/>
        <v>-119.50555555555556</v>
      </c>
      <c r="R204" s="140">
        <f t="shared" si="399"/>
        <v>-119.50555555555556</v>
      </c>
      <c r="S204" s="140">
        <f t="shared" si="399"/>
        <v>-119.50555555555556</v>
      </c>
      <c r="T204" s="140">
        <f t="shared" si="399"/>
        <v>-119.50555555555556</v>
      </c>
      <c r="U204" s="140">
        <f t="shared" si="399"/>
        <v>-119.50555555555556</v>
      </c>
      <c r="V204" s="140">
        <f t="shared" si="399"/>
        <v>-119.50555555555556</v>
      </c>
      <c r="W204" s="140">
        <f t="shared" si="399"/>
        <v>-119.50555555555556</v>
      </c>
      <c r="X204" s="140">
        <f t="shared" si="399"/>
        <v>-119.50555555555556</v>
      </c>
      <c r="Y204" s="140">
        <f t="shared" si="399"/>
        <v>-119.50555555555556</v>
      </c>
      <c r="Z204" s="140">
        <f t="shared" si="399"/>
        <v>-119.50555555555556</v>
      </c>
      <c r="AA204" s="140">
        <f t="shared" si="399"/>
        <v>-119.50555555555556</v>
      </c>
      <c r="AB204" s="140">
        <f t="shared" si="399"/>
        <v>-119.50555555555556</v>
      </c>
      <c r="AC204" s="140">
        <f t="shared" si="399"/>
        <v>-119.50555555555556</v>
      </c>
      <c r="AD204" s="140">
        <f t="shared" si="399"/>
        <v>-119.50555555555556</v>
      </c>
      <c r="AE204" s="140">
        <f t="shared" si="399"/>
        <v>-119.50555555555556</v>
      </c>
      <c r="AF204" s="140">
        <f t="shared" si="399"/>
        <v>-119.50555555555556</v>
      </c>
      <c r="AG204" s="140">
        <f t="shared" si="399"/>
        <v>-119.50555555555556</v>
      </c>
      <c r="AH204" s="140">
        <f t="shared" si="399"/>
        <v>-119.50555555555556</v>
      </c>
      <c r="AI204" s="140">
        <f t="shared" si="399"/>
        <v>-119.50555555555556</v>
      </c>
      <c r="AJ204" s="140">
        <f t="shared" si="399"/>
        <v>-119.50555555555556</v>
      </c>
      <c r="AK204" s="140">
        <f t="shared" si="399"/>
        <v>-119.50555555555556</v>
      </c>
      <c r="AL204" s="140">
        <f t="shared" si="399"/>
        <v>-119.50555555555556</v>
      </c>
      <c r="AM204" s="140">
        <f t="shared" si="399"/>
        <v>-119.50555555555556</v>
      </c>
      <c r="AN204" s="140">
        <f t="shared" si="399"/>
        <v>-119.50555555555556</v>
      </c>
      <c r="AO204" s="140">
        <f t="shared" si="399"/>
        <v>-119.50555555555556</v>
      </c>
      <c r="AP204" s="140">
        <f t="shared" si="399"/>
        <v>-119.50555555555556</v>
      </c>
      <c r="AQ204" s="140">
        <f t="shared" si="399"/>
        <v>-119.50555555555556</v>
      </c>
      <c r="AR204" s="140">
        <f t="shared" si="399"/>
        <v>-119.50555555555556</v>
      </c>
      <c r="AS204" s="140">
        <f t="shared" si="399"/>
        <v>-119.50555555555556</v>
      </c>
      <c r="AT204" s="140">
        <f t="shared" si="399"/>
        <v>-119.50555555555556</v>
      </c>
      <c r="AU204" s="140">
        <f t="shared" si="399"/>
        <v>-119.50555555555556</v>
      </c>
      <c r="AV204" s="140">
        <f t="shared" si="399"/>
        <v>-119.50555555555556</v>
      </c>
      <c r="AW204" s="140">
        <f t="shared" si="399"/>
        <v>-119.50555555555556</v>
      </c>
      <c r="AX204" s="140">
        <f t="shared" si="399"/>
        <v>-119.50555555555556</v>
      </c>
      <c r="AY204" s="140">
        <f t="shared" si="399"/>
        <v>-119.50555555555556</v>
      </c>
      <c r="AZ204" s="140">
        <f t="shared" si="399"/>
        <v>-119.50555555555556</v>
      </c>
      <c r="BA204" s="140">
        <f t="shared" si="399"/>
        <v>-119.50555555555556</v>
      </c>
      <c r="BB204" s="140">
        <f t="shared" si="399"/>
        <v>-119.50555555555556</v>
      </c>
      <c r="BC204" s="140">
        <f t="shared" si="399"/>
        <v>-119.50555555555556</v>
      </c>
      <c r="BD204" s="140">
        <f t="shared" si="399"/>
        <v>-119.50555555555556</v>
      </c>
      <c r="BE204" s="140">
        <f t="shared" si="399"/>
        <v>-119.50555555555556</v>
      </c>
      <c r="BF204" s="140">
        <f t="shared" si="399"/>
        <v>-119.50555555555556</v>
      </c>
      <c r="BG204" s="140">
        <f t="shared" si="399"/>
        <v>-119.50555555555556</v>
      </c>
      <c r="BH204" s="140">
        <f t="shared" si="399"/>
        <v>-119.50555555555556</v>
      </c>
      <c r="BI204" s="140">
        <f t="shared" si="399"/>
        <v>-119.50555555555556</v>
      </c>
      <c r="BJ204" s="140">
        <f t="shared" si="399"/>
        <v>-119.50555555555556</v>
      </c>
      <c r="BK204" s="140">
        <f t="shared" si="399"/>
        <v>-119.50555555555556</v>
      </c>
      <c r="BL204" s="140">
        <f t="shared" si="399"/>
        <v>-119.50555555555556</v>
      </c>
      <c r="BM204" s="140">
        <f t="shared" si="399"/>
        <v>-119.50555555555556</v>
      </c>
      <c r="BN204" s="140">
        <f t="shared" si="399"/>
        <v>-119.50555555555556</v>
      </c>
      <c r="BO204" s="140">
        <f t="shared" ref="BO204:CB204" si="400">BO203/360</f>
        <v>-119.50555555555556</v>
      </c>
      <c r="BP204" s="140">
        <f t="shared" si="400"/>
        <v>-119.50555555555556</v>
      </c>
      <c r="BQ204" s="140">
        <f t="shared" si="400"/>
        <v>-119.50555555555556</v>
      </c>
      <c r="BR204" s="140">
        <f t="shared" si="400"/>
        <v>-119.50555555555556</v>
      </c>
      <c r="BS204" s="140">
        <f t="shared" si="400"/>
        <v>-119.50555555555556</v>
      </c>
      <c r="BT204" s="140">
        <f t="shared" si="400"/>
        <v>-119.50555555555556</v>
      </c>
      <c r="BU204" s="140">
        <f t="shared" si="400"/>
        <v>-119.50555555555556</v>
      </c>
      <c r="BV204" s="140">
        <f t="shared" si="400"/>
        <v>-119.50555555555556</v>
      </c>
      <c r="BW204" s="140">
        <f t="shared" si="400"/>
        <v>-119.50555555555556</v>
      </c>
      <c r="BX204" s="140">
        <f t="shared" si="400"/>
        <v>-119.50555555555556</v>
      </c>
      <c r="BY204" s="140">
        <f t="shared" si="400"/>
        <v>-119.50555555555556</v>
      </c>
      <c r="BZ204" s="140">
        <f t="shared" si="400"/>
        <v>-119.50555555555556</v>
      </c>
      <c r="CA204" s="140">
        <f t="shared" si="400"/>
        <v>-119.50555555555556</v>
      </c>
      <c r="CB204" s="140">
        <f t="shared" si="400"/>
        <v>-119.50555555555556</v>
      </c>
      <c r="CC204" s="17"/>
      <c r="CD204" s="17"/>
      <c r="CE204" s="17"/>
    </row>
    <row r="205" spans="1:83">
      <c r="A205" s="16" t="s">
        <v>43</v>
      </c>
      <c r="B205" s="140">
        <f>IF(B203&lt;0,0,$B$5+$B$6*((1-EXP(-B204/$B$9))/(B204/$B$9))+$B$7*((1-EXP(-B204/$B$9))/(B204/$B$9)-EXP(-B204/$B$9))+$B$8*((1-EXP(-B204/$B$10))/(B204/$B$10)-EXP(-B204/$B$10)))</f>
        <v>0</v>
      </c>
      <c r="C205" s="140">
        <f t="shared" ref="C205:BN205" si="401">IF(C203&lt;0,0,$B$5+$B$6*((1-EXP(-C204/$B$9))/(C204/$B$9))+$B$7*((1-EXP(-C204/$B$9))/(C204/$B$9)-EXP(-C204/$B$9))+$B$8*((1-EXP(-C204/$B$10))/(C204/$B$10)-EXP(-C204/$B$10)))</f>
        <v>0</v>
      </c>
      <c r="D205" s="140">
        <f t="shared" si="401"/>
        <v>0</v>
      </c>
      <c r="E205" s="140">
        <f t="shared" si="401"/>
        <v>0</v>
      </c>
      <c r="F205" s="140">
        <f t="shared" si="401"/>
        <v>0</v>
      </c>
      <c r="G205" s="140">
        <f t="shared" si="401"/>
        <v>0</v>
      </c>
      <c r="H205" s="140">
        <f t="shared" si="401"/>
        <v>0</v>
      </c>
      <c r="I205" s="140">
        <f t="shared" si="401"/>
        <v>0</v>
      </c>
      <c r="J205" s="140">
        <f t="shared" si="401"/>
        <v>0</v>
      </c>
      <c r="K205" s="140">
        <f t="shared" si="401"/>
        <v>0</v>
      </c>
      <c r="L205" s="140">
        <f t="shared" si="401"/>
        <v>0</v>
      </c>
      <c r="M205" s="140">
        <f t="shared" si="401"/>
        <v>0</v>
      </c>
      <c r="N205" s="140">
        <f t="shared" si="401"/>
        <v>0</v>
      </c>
      <c r="O205" s="140">
        <f t="shared" si="401"/>
        <v>0</v>
      </c>
      <c r="P205" s="140">
        <f t="shared" si="401"/>
        <v>0</v>
      </c>
      <c r="Q205" s="140">
        <f t="shared" si="401"/>
        <v>0</v>
      </c>
      <c r="R205" s="140">
        <f t="shared" si="401"/>
        <v>0</v>
      </c>
      <c r="S205" s="140">
        <f t="shared" si="401"/>
        <v>0</v>
      </c>
      <c r="T205" s="140">
        <f t="shared" si="401"/>
        <v>0</v>
      </c>
      <c r="U205" s="140">
        <f t="shared" si="401"/>
        <v>0</v>
      </c>
      <c r="V205" s="140">
        <f t="shared" si="401"/>
        <v>0</v>
      </c>
      <c r="W205" s="140">
        <f t="shared" si="401"/>
        <v>0</v>
      </c>
      <c r="X205" s="140">
        <f t="shared" si="401"/>
        <v>0</v>
      </c>
      <c r="Y205" s="140">
        <f t="shared" si="401"/>
        <v>0</v>
      </c>
      <c r="Z205" s="140">
        <f t="shared" si="401"/>
        <v>0</v>
      </c>
      <c r="AA205" s="140">
        <f t="shared" si="401"/>
        <v>0</v>
      </c>
      <c r="AB205" s="140">
        <f t="shared" si="401"/>
        <v>0</v>
      </c>
      <c r="AC205" s="140">
        <f t="shared" si="401"/>
        <v>0</v>
      </c>
      <c r="AD205" s="140">
        <f t="shared" si="401"/>
        <v>0</v>
      </c>
      <c r="AE205" s="140">
        <f t="shared" si="401"/>
        <v>0</v>
      </c>
      <c r="AF205" s="140">
        <f t="shared" si="401"/>
        <v>0</v>
      </c>
      <c r="AG205" s="140">
        <f t="shared" si="401"/>
        <v>0</v>
      </c>
      <c r="AH205" s="140">
        <f t="shared" si="401"/>
        <v>0</v>
      </c>
      <c r="AI205" s="140">
        <f t="shared" si="401"/>
        <v>0</v>
      </c>
      <c r="AJ205" s="140">
        <f t="shared" si="401"/>
        <v>0</v>
      </c>
      <c r="AK205" s="140">
        <f t="shared" si="401"/>
        <v>0</v>
      </c>
      <c r="AL205" s="140">
        <f t="shared" si="401"/>
        <v>0</v>
      </c>
      <c r="AM205" s="140">
        <f t="shared" si="401"/>
        <v>0</v>
      </c>
      <c r="AN205" s="140">
        <f t="shared" si="401"/>
        <v>0</v>
      </c>
      <c r="AO205" s="140">
        <f t="shared" si="401"/>
        <v>0</v>
      </c>
      <c r="AP205" s="140">
        <f t="shared" si="401"/>
        <v>0</v>
      </c>
      <c r="AQ205" s="140">
        <f t="shared" si="401"/>
        <v>0</v>
      </c>
      <c r="AR205" s="140">
        <f t="shared" si="401"/>
        <v>0</v>
      </c>
      <c r="AS205" s="140">
        <f t="shared" si="401"/>
        <v>0</v>
      </c>
      <c r="AT205" s="140">
        <f t="shared" si="401"/>
        <v>0</v>
      </c>
      <c r="AU205" s="140">
        <f t="shared" si="401"/>
        <v>0</v>
      </c>
      <c r="AV205" s="140">
        <f t="shared" si="401"/>
        <v>0</v>
      </c>
      <c r="AW205" s="140">
        <f t="shared" si="401"/>
        <v>0</v>
      </c>
      <c r="AX205" s="140">
        <f t="shared" si="401"/>
        <v>0</v>
      </c>
      <c r="AY205" s="140">
        <f t="shared" si="401"/>
        <v>0</v>
      </c>
      <c r="AZ205" s="140">
        <f t="shared" si="401"/>
        <v>0</v>
      </c>
      <c r="BA205" s="140">
        <f t="shared" si="401"/>
        <v>0</v>
      </c>
      <c r="BB205" s="140">
        <f t="shared" si="401"/>
        <v>0</v>
      </c>
      <c r="BC205" s="140">
        <f t="shared" si="401"/>
        <v>0</v>
      </c>
      <c r="BD205" s="140">
        <f t="shared" si="401"/>
        <v>0</v>
      </c>
      <c r="BE205" s="140">
        <f t="shared" si="401"/>
        <v>0</v>
      </c>
      <c r="BF205" s="140">
        <f t="shared" si="401"/>
        <v>0</v>
      </c>
      <c r="BG205" s="140">
        <f t="shared" si="401"/>
        <v>0</v>
      </c>
      <c r="BH205" s="140">
        <f t="shared" si="401"/>
        <v>0</v>
      </c>
      <c r="BI205" s="140">
        <f t="shared" si="401"/>
        <v>0</v>
      </c>
      <c r="BJ205" s="140">
        <f t="shared" si="401"/>
        <v>0</v>
      </c>
      <c r="BK205" s="140">
        <f t="shared" si="401"/>
        <v>0</v>
      </c>
      <c r="BL205" s="140">
        <f t="shared" si="401"/>
        <v>0</v>
      </c>
      <c r="BM205" s="140">
        <f t="shared" si="401"/>
        <v>0</v>
      </c>
      <c r="BN205" s="140">
        <f t="shared" si="401"/>
        <v>0</v>
      </c>
      <c r="BO205" s="140">
        <f t="shared" ref="BO205:CB205" si="402">IF(BO203&lt;0,0,$B$5+$B$6*((1-EXP(-BO204/$B$9))/(BO204/$B$9))+$B$7*((1-EXP(-BO204/$B$9))/(BO204/$B$9)-EXP(-BO204/$B$9))+$B$8*((1-EXP(-BO204/$B$10))/(BO204/$B$10)-EXP(-BO204/$B$10)))</f>
        <v>0</v>
      </c>
      <c r="BP205" s="140">
        <f t="shared" si="402"/>
        <v>0</v>
      </c>
      <c r="BQ205" s="140">
        <f t="shared" si="402"/>
        <v>0</v>
      </c>
      <c r="BR205" s="140">
        <f t="shared" si="402"/>
        <v>0</v>
      </c>
      <c r="BS205" s="140">
        <f t="shared" si="402"/>
        <v>0</v>
      </c>
      <c r="BT205" s="140">
        <f t="shared" si="402"/>
        <v>0</v>
      </c>
      <c r="BU205" s="140">
        <f t="shared" si="402"/>
        <v>0</v>
      </c>
      <c r="BV205" s="140">
        <f t="shared" si="402"/>
        <v>0</v>
      </c>
      <c r="BW205" s="140">
        <f t="shared" si="402"/>
        <v>0</v>
      </c>
      <c r="BX205" s="140">
        <f t="shared" si="402"/>
        <v>0</v>
      </c>
      <c r="BY205" s="140">
        <f t="shared" si="402"/>
        <v>0</v>
      </c>
      <c r="BZ205" s="140">
        <f t="shared" si="402"/>
        <v>0</v>
      </c>
      <c r="CA205" s="140">
        <f t="shared" si="402"/>
        <v>0</v>
      </c>
      <c r="CB205" s="140">
        <f t="shared" si="402"/>
        <v>0</v>
      </c>
      <c r="CC205" s="17"/>
      <c r="CD205" s="17"/>
      <c r="CE205" s="17"/>
    </row>
    <row r="206" spans="1:83">
      <c r="A206" s="16" t="s">
        <v>44</v>
      </c>
      <c r="B206" s="140">
        <f>EXP(-B205*B204)</f>
        <v>1</v>
      </c>
      <c r="C206" s="140">
        <f t="shared" ref="C206:BN206" si="403">EXP(-C205*C204)</f>
        <v>1</v>
      </c>
      <c r="D206" s="140">
        <f t="shared" si="403"/>
        <v>1</v>
      </c>
      <c r="E206" s="140">
        <f t="shared" si="403"/>
        <v>1</v>
      </c>
      <c r="F206" s="140">
        <f t="shared" si="403"/>
        <v>1</v>
      </c>
      <c r="G206" s="140">
        <f t="shared" si="403"/>
        <v>1</v>
      </c>
      <c r="H206" s="140">
        <f t="shared" si="403"/>
        <v>1</v>
      </c>
      <c r="I206" s="140">
        <f t="shared" si="403"/>
        <v>1</v>
      </c>
      <c r="J206" s="140">
        <f t="shared" si="403"/>
        <v>1</v>
      </c>
      <c r="K206" s="140">
        <f t="shared" si="403"/>
        <v>1</v>
      </c>
      <c r="L206" s="140">
        <f t="shared" si="403"/>
        <v>1</v>
      </c>
      <c r="M206" s="140">
        <f t="shared" si="403"/>
        <v>1</v>
      </c>
      <c r="N206" s="140">
        <f t="shared" si="403"/>
        <v>1</v>
      </c>
      <c r="O206" s="140">
        <f t="shared" si="403"/>
        <v>1</v>
      </c>
      <c r="P206" s="140">
        <f t="shared" si="403"/>
        <v>1</v>
      </c>
      <c r="Q206" s="140">
        <f t="shared" si="403"/>
        <v>1</v>
      </c>
      <c r="R206" s="140">
        <f t="shared" si="403"/>
        <v>1</v>
      </c>
      <c r="S206" s="140">
        <f t="shared" si="403"/>
        <v>1</v>
      </c>
      <c r="T206" s="140">
        <f t="shared" si="403"/>
        <v>1</v>
      </c>
      <c r="U206" s="140">
        <f t="shared" si="403"/>
        <v>1</v>
      </c>
      <c r="V206" s="140">
        <f t="shared" si="403"/>
        <v>1</v>
      </c>
      <c r="W206" s="140">
        <f t="shared" si="403"/>
        <v>1</v>
      </c>
      <c r="X206" s="140">
        <f t="shared" si="403"/>
        <v>1</v>
      </c>
      <c r="Y206" s="140">
        <f t="shared" si="403"/>
        <v>1</v>
      </c>
      <c r="Z206" s="140">
        <f t="shared" si="403"/>
        <v>1</v>
      </c>
      <c r="AA206" s="140">
        <f t="shared" si="403"/>
        <v>1</v>
      </c>
      <c r="AB206" s="140">
        <f t="shared" si="403"/>
        <v>1</v>
      </c>
      <c r="AC206" s="140">
        <f t="shared" si="403"/>
        <v>1</v>
      </c>
      <c r="AD206" s="140">
        <f t="shared" si="403"/>
        <v>1</v>
      </c>
      <c r="AE206" s="140">
        <f t="shared" si="403"/>
        <v>1</v>
      </c>
      <c r="AF206" s="140">
        <f t="shared" si="403"/>
        <v>1</v>
      </c>
      <c r="AG206" s="140">
        <f t="shared" si="403"/>
        <v>1</v>
      </c>
      <c r="AH206" s="140">
        <f t="shared" si="403"/>
        <v>1</v>
      </c>
      <c r="AI206" s="140">
        <f t="shared" si="403"/>
        <v>1</v>
      </c>
      <c r="AJ206" s="140">
        <f t="shared" si="403"/>
        <v>1</v>
      </c>
      <c r="AK206" s="140">
        <f t="shared" si="403"/>
        <v>1</v>
      </c>
      <c r="AL206" s="140">
        <f t="shared" si="403"/>
        <v>1</v>
      </c>
      <c r="AM206" s="140">
        <f t="shared" si="403"/>
        <v>1</v>
      </c>
      <c r="AN206" s="140">
        <f t="shared" si="403"/>
        <v>1</v>
      </c>
      <c r="AO206" s="140">
        <f t="shared" si="403"/>
        <v>1</v>
      </c>
      <c r="AP206" s="140">
        <f t="shared" si="403"/>
        <v>1</v>
      </c>
      <c r="AQ206" s="140">
        <f t="shared" si="403"/>
        <v>1</v>
      </c>
      <c r="AR206" s="140">
        <f t="shared" si="403"/>
        <v>1</v>
      </c>
      <c r="AS206" s="140">
        <f t="shared" si="403"/>
        <v>1</v>
      </c>
      <c r="AT206" s="140">
        <f t="shared" si="403"/>
        <v>1</v>
      </c>
      <c r="AU206" s="140">
        <f t="shared" si="403"/>
        <v>1</v>
      </c>
      <c r="AV206" s="140">
        <f t="shared" si="403"/>
        <v>1</v>
      </c>
      <c r="AW206" s="140">
        <f t="shared" si="403"/>
        <v>1</v>
      </c>
      <c r="AX206" s="140">
        <f t="shared" si="403"/>
        <v>1</v>
      </c>
      <c r="AY206" s="140">
        <f t="shared" si="403"/>
        <v>1</v>
      </c>
      <c r="AZ206" s="140">
        <f t="shared" si="403"/>
        <v>1</v>
      </c>
      <c r="BA206" s="140">
        <f t="shared" si="403"/>
        <v>1</v>
      </c>
      <c r="BB206" s="140">
        <f t="shared" si="403"/>
        <v>1</v>
      </c>
      <c r="BC206" s="140">
        <f t="shared" si="403"/>
        <v>1</v>
      </c>
      <c r="BD206" s="140">
        <f t="shared" si="403"/>
        <v>1</v>
      </c>
      <c r="BE206" s="140">
        <f t="shared" si="403"/>
        <v>1</v>
      </c>
      <c r="BF206" s="140">
        <f t="shared" si="403"/>
        <v>1</v>
      </c>
      <c r="BG206" s="140">
        <f t="shared" si="403"/>
        <v>1</v>
      </c>
      <c r="BH206" s="140">
        <f t="shared" si="403"/>
        <v>1</v>
      </c>
      <c r="BI206" s="140">
        <f t="shared" si="403"/>
        <v>1</v>
      </c>
      <c r="BJ206" s="140">
        <f t="shared" si="403"/>
        <v>1</v>
      </c>
      <c r="BK206" s="140">
        <f t="shared" si="403"/>
        <v>1</v>
      </c>
      <c r="BL206" s="140">
        <f t="shared" si="403"/>
        <v>1</v>
      </c>
      <c r="BM206" s="140">
        <f t="shared" si="403"/>
        <v>1</v>
      </c>
      <c r="BN206" s="140">
        <f t="shared" si="403"/>
        <v>1</v>
      </c>
      <c r="BO206" s="140">
        <f t="shared" ref="BO206:CB206" si="404">EXP(-BO205*BO204)</f>
        <v>1</v>
      </c>
      <c r="BP206" s="140">
        <f t="shared" si="404"/>
        <v>1</v>
      </c>
      <c r="BQ206" s="140">
        <f t="shared" si="404"/>
        <v>1</v>
      </c>
      <c r="BR206" s="140">
        <f t="shared" si="404"/>
        <v>1</v>
      </c>
      <c r="BS206" s="140">
        <f t="shared" si="404"/>
        <v>1</v>
      </c>
      <c r="BT206" s="140">
        <f t="shared" si="404"/>
        <v>1</v>
      </c>
      <c r="BU206" s="140">
        <f t="shared" si="404"/>
        <v>1</v>
      </c>
      <c r="BV206" s="140">
        <f t="shared" si="404"/>
        <v>1</v>
      </c>
      <c r="BW206" s="140">
        <f t="shared" si="404"/>
        <v>1</v>
      </c>
      <c r="BX206" s="140">
        <f t="shared" si="404"/>
        <v>1</v>
      </c>
      <c r="BY206" s="140">
        <f t="shared" si="404"/>
        <v>1</v>
      </c>
      <c r="BZ206" s="140">
        <f t="shared" si="404"/>
        <v>1</v>
      </c>
      <c r="CA206" s="140">
        <f t="shared" si="404"/>
        <v>1</v>
      </c>
      <c r="CB206" s="140">
        <f t="shared" si="404"/>
        <v>1</v>
      </c>
      <c r="CC206" s="17"/>
      <c r="CD206" s="17"/>
      <c r="CE206" s="17"/>
    </row>
    <row r="207" spans="1:83" s="6" customFormat="1">
      <c r="A207" s="130"/>
      <c r="B207" s="7"/>
      <c r="C207" s="7"/>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c r="AU207" s="7"/>
      <c r="AV207" s="7"/>
      <c r="AW207" s="7"/>
      <c r="AX207" s="7"/>
      <c r="AY207" s="7"/>
      <c r="AZ207" s="7"/>
      <c r="BA207" s="7"/>
      <c r="BB207" s="7"/>
      <c r="BC207" s="7"/>
      <c r="BD207" s="7"/>
      <c r="BE207" s="7"/>
      <c r="BF207" s="7"/>
      <c r="BG207" s="7"/>
      <c r="BH207" s="7"/>
      <c r="BI207" s="7"/>
      <c r="BJ207" s="7"/>
      <c r="BK207" s="7"/>
      <c r="BL207" s="7"/>
      <c r="BM207" s="7"/>
      <c r="BN207" s="7"/>
      <c r="BO207" s="7"/>
      <c r="BP207" s="7"/>
      <c r="BQ207" s="7"/>
      <c r="BR207" s="7"/>
      <c r="BS207" s="7"/>
      <c r="BT207" s="7"/>
      <c r="BU207" s="7"/>
      <c r="BV207" s="7"/>
      <c r="BW207" s="7"/>
      <c r="BX207" s="7"/>
      <c r="BY207" s="7"/>
      <c r="BZ207" s="7"/>
      <c r="CA207" s="7"/>
      <c r="CB207" s="7"/>
      <c r="CC207" s="19"/>
      <c r="CD207" s="19"/>
      <c r="CE207" s="19"/>
    </row>
    <row r="208" spans="1:83">
      <c r="A208" s="16" t="s">
        <v>40</v>
      </c>
      <c r="B208" s="140">
        <f>DAYS360($B$3,B74)</f>
        <v>-43022</v>
      </c>
      <c r="C208" s="140">
        <f t="shared" ref="C208:BN208" si="405">DAYS360($B$3,C74)</f>
        <v>-43022</v>
      </c>
      <c r="D208" s="140">
        <f t="shared" si="405"/>
        <v>-43022</v>
      </c>
      <c r="E208" s="140">
        <f t="shared" si="405"/>
        <v>-43022</v>
      </c>
      <c r="F208" s="140">
        <f t="shared" si="405"/>
        <v>-43022</v>
      </c>
      <c r="G208" s="140">
        <f t="shared" si="405"/>
        <v>-43022</v>
      </c>
      <c r="H208" s="140">
        <f t="shared" si="405"/>
        <v>-43022</v>
      </c>
      <c r="I208" s="140">
        <f t="shared" si="405"/>
        <v>-43022</v>
      </c>
      <c r="J208" s="140">
        <f t="shared" si="405"/>
        <v>-43022</v>
      </c>
      <c r="K208" s="140">
        <f t="shared" si="405"/>
        <v>-43022</v>
      </c>
      <c r="L208" s="140">
        <f t="shared" si="405"/>
        <v>-43022</v>
      </c>
      <c r="M208" s="140">
        <f t="shared" si="405"/>
        <v>-43022</v>
      </c>
      <c r="N208" s="140">
        <f t="shared" si="405"/>
        <v>-43022</v>
      </c>
      <c r="O208" s="140">
        <f t="shared" si="405"/>
        <v>-43022</v>
      </c>
      <c r="P208" s="140">
        <f t="shared" si="405"/>
        <v>-43022</v>
      </c>
      <c r="Q208" s="140">
        <f t="shared" si="405"/>
        <v>-43022</v>
      </c>
      <c r="R208" s="140">
        <f t="shared" si="405"/>
        <v>-43022</v>
      </c>
      <c r="S208" s="140">
        <f t="shared" si="405"/>
        <v>-43022</v>
      </c>
      <c r="T208" s="140">
        <f t="shared" si="405"/>
        <v>-43022</v>
      </c>
      <c r="U208" s="140">
        <f t="shared" si="405"/>
        <v>-43022</v>
      </c>
      <c r="V208" s="140">
        <f t="shared" si="405"/>
        <v>-43022</v>
      </c>
      <c r="W208" s="140">
        <f t="shared" si="405"/>
        <v>-43022</v>
      </c>
      <c r="X208" s="140">
        <f t="shared" si="405"/>
        <v>-43022</v>
      </c>
      <c r="Y208" s="140">
        <f t="shared" si="405"/>
        <v>-43022</v>
      </c>
      <c r="Z208" s="140">
        <f t="shared" si="405"/>
        <v>-43022</v>
      </c>
      <c r="AA208" s="140">
        <f t="shared" si="405"/>
        <v>-43022</v>
      </c>
      <c r="AB208" s="140">
        <f t="shared" si="405"/>
        <v>-43022</v>
      </c>
      <c r="AC208" s="140">
        <f t="shared" si="405"/>
        <v>-43022</v>
      </c>
      <c r="AD208" s="140">
        <f t="shared" si="405"/>
        <v>-43022</v>
      </c>
      <c r="AE208" s="140">
        <f t="shared" si="405"/>
        <v>-43022</v>
      </c>
      <c r="AF208" s="140">
        <f t="shared" si="405"/>
        <v>-43022</v>
      </c>
      <c r="AG208" s="140">
        <f t="shared" si="405"/>
        <v>-43022</v>
      </c>
      <c r="AH208" s="140">
        <f t="shared" si="405"/>
        <v>-43022</v>
      </c>
      <c r="AI208" s="140">
        <f t="shared" si="405"/>
        <v>-43022</v>
      </c>
      <c r="AJ208" s="140">
        <f t="shared" si="405"/>
        <v>-43022</v>
      </c>
      <c r="AK208" s="140">
        <f t="shared" si="405"/>
        <v>-43022</v>
      </c>
      <c r="AL208" s="140">
        <f t="shared" si="405"/>
        <v>-43022</v>
      </c>
      <c r="AM208" s="140">
        <f t="shared" si="405"/>
        <v>-43022</v>
      </c>
      <c r="AN208" s="140">
        <f t="shared" si="405"/>
        <v>-43022</v>
      </c>
      <c r="AO208" s="140">
        <f t="shared" si="405"/>
        <v>-43022</v>
      </c>
      <c r="AP208" s="140">
        <f t="shared" si="405"/>
        <v>-43022</v>
      </c>
      <c r="AQ208" s="140">
        <f t="shared" si="405"/>
        <v>-43022</v>
      </c>
      <c r="AR208" s="140">
        <f t="shared" si="405"/>
        <v>-43022</v>
      </c>
      <c r="AS208" s="140">
        <f t="shared" si="405"/>
        <v>-43022</v>
      </c>
      <c r="AT208" s="140">
        <f t="shared" si="405"/>
        <v>-43022</v>
      </c>
      <c r="AU208" s="140">
        <f t="shared" si="405"/>
        <v>-43022</v>
      </c>
      <c r="AV208" s="140">
        <f t="shared" si="405"/>
        <v>-43022</v>
      </c>
      <c r="AW208" s="140">
        <f t="shared" si="405"/>
        <v>-43022</v>
      </c>
      <c r="AX208" s="140">
        <f t="shared" si="405"/>
        <v>-43022</v>
      </c>
      <c r="AY208" s="140">
        <f t="shared" si="405"/>
        <v>-43022</v>
      </c>
      <c r="AZ208" s="140">
        <f t="shared" si="405"/>
        <v>-43022</v>
      </c>
      <c r="BA208" s="140">
        <f t="shared" si="405"/>
        <v>-43022</v>
      </c>
      <c r="BB208" s="140">
        <f t="shared" si="405"/>
        <v>-43022</v>
      </c>
      <c r="BC208" s="140">
        <f t="shared" si="405"/>
        <v>-43022</v>
      </c>
      <c r="BD208" s="140">
        <f t="shared" si="405"/>
        <v>-43022</v>
      </c>
      <c r="BE208" s="140">
        <f t="shared" si="405"/>
        <v>-43022</v>
      </c>
      <c r="BF208" s="140">
        <f t="shared" si="405"/>
        <v>-43022</v>
      </c>
      <c r="BG208" s="140">
        <f t="shared" si="405"/>
        <v>-43022</v>
      </c>
      <c r="BH208" s="140">
        <f t="shared" si="405"/>
        <v>-43022</v>
      </c>
      <c r="BI208" s="140">
        <f t="shared" si="405"/>
        <v>-43022</v>
      </c>
      <c r="BJ208" s="140">
        <f t="shared" si="405"/>
        <v>-43022</v>
      </c>
      <c r="BK208" s="140">
        <f t="shared" si="405"/>
        <v>-43022</v>
      </c>
      <c r="BL208" s="140">
        <f t="shared" si="405"/>
        <v>-43022</v>
      </c>
      <c r="BM208" s="140">
        <f t="shared" si="405"/>
        <v>-43022</v>
      </c>
      <c r="BN208" s="140">
        <f t="shared" si="405"/>
        <v>-43022</v>
      </c>
      <c r="BO208" s="140">
        <f t="shared" ref="BO208:CB208" si="406">DAYS360($B$3,BO74)</f>
        <v>-43022</v>
      </c>
      <c r="BP208" s="140">
        <f t="shared" si="406"/>
        <v>-43022</v>
      </c>
      <c r="BQ208" s="140">
        <f t="shared" si="406"/>
        <v>-43022</v>
      </c>
      <c r="BR208" s="140">
        <f t="shared" si="406"/>
        <v>-43022</v>
      </c>
      <c r="BS208" s="140">
        <f t="shared" si="406"/>
        <v>-43022</v>
      </c>
      <c r="BT208" s="140">
        <f t="shared" si="406"/>
        <v>-43022</v>
      </c>
      <c r="BU208" s="140">
        <f t="shared" si="406"/>
        <v>-43022</v>
      </c>
      <c r="BV208" s="140">
        <f t="shared" si="406"/>
        <v>-43022</v>
      </c>
      <c r="BW208" s="140">
        <f t="shared" si="406"/>
        <v>-43022</v>
      </c>
      <c r="BX208" s="140">
        <f t="shared" si="406"/>
        <v>-43022</v>
      </c>
      <c r="BY208" s="140">
        <f t="shared" si="406"/>
        <v>-43022</v>
      </c>
      <c r="BZ208" s="140">
        <f t="shared" si="406"/>
        <v>-43022</v>
      </c>
      <c r="CA208" s="140">
        <f t="shared" si="406"/>
        <v>-43022</v>
      </c>
      <c r="CB208" s="140">
        <f t="shared" si="406"/>
        <v>-43022</v>
      </c>
      <c r="CC208" s="17"/>
      <c r="CD208" s="17"/>
      <c r="CE208" s="17"/>
    </row>
    <row r="209" spans="1:134">
      <c r="A209" s="16" t="s">
        <v>41</v>
      </c>
      <c r="B209" s="140">
        <f>B208/360</f>
        <v>-119.50555555555556</v>
      </c>
      <c r="C209" s="140">
        <f t="shared" ref="C209:BN209" si="407">C208/360</f>
        <v>-119.50555555555556</v>
      </c>
      <c r="D209" s="140">
        <f t="shared" si="407"/>
        <v>-119.50555555555556</v>
      </c>
      <c r="E209" s="140">
        <f t="shared" si="407"/>
        <v>-119.50555555555556</v>
      </c>
      <c r="F209" s="140">
        <f t="shared" si="407"/>
        <v>-119.50555555555556</v>
      </c>
      <c r="G209" s="140">
        <f t="shared" si="407"/>
        <v>-119.50555555555556</v>
      </c>
      <c r="H209" s="140">
        <f t="shared" si="407"/>
        <v>-119.50555555555556</v>
      </c>
      <c r="I209" s="140">
        <f t="shared" si="407"/>
        <v>-119.50555555555556</v>
      </c>
      <c r="J209" s="140">
        <f t="shared" si="407"/>
        <v>-119.50555555555556</v>
      </c>
      <c r="K209" s="140">
        <f t="shared" si="407"/>
        <v>-119.50555555555556</v>
      </c>
      <c r="L209" s="140">
        <f t="shared" si="407"/>
        <v>-119.50555555555556</v>
      </c>
      <c r="M209" s="140">
        <f t="shared" si="407"/>
        <v>-119.50555555555556</v>
      </c>
      <c r="N209" s="140">
        <f t="shared" si="407"/>
        <v>-119.50555555555556</v>
      </c>
      <c r="O209" s="140">
        <f t="shared" si="407"/>
        <v>-119.50555555555556</v>
      </c>
      <c r="P209" s="140">
        <f t="shared" si="407"/>
        <v>-119.50555555555556</v>
      </c>
      <c r="Q209" s="140">
        <f t="shared" si="407"/>
        <v>-119.50555555555556</v>
      </c>
      <c r="R209" s="140">
        <f t="shared" si="407"/>
        <v>-119.50555555555556</v>
      </c>
      <c r="S209" s="140">
        <f t="shared" si="407"/>
        <v>-119.50555555555556</v>
      </c>
      <c r="T209" s="140">
        <f t="shared" si="407"/>
        <v>-119.50555555555556</v>
      </c>
      <c r="U209" s="140">
        <f t="shared" si="407"/>
        <v>-119.50555555555556</v>
      </c>
      <c r="V209" s="140">
        <f t="shared" si="407"/>
        <v>-119.50555555555556</v>
      </c>
      <c r="W209" s="140">
        <f t="shared" si="407"/>
        <v>-119.50555555555556</v>
      </c>
      <c r="X209" s="140">
        <f t="shared" si="407"/>
        <v>-119.50555555555556</v>
      </c>
      <c r="Y209" s="140">
        <f t="shared" si="407"/>
        <v>-119.50555555555556</v>
      </c>
      <c r="Z209" s="140">
        <f t="shared" si="407"/>
        <v>-119.50555555555556</v>
      </c>
      <c r="AA209" s="140">
        <f t="shared" si="407"/>
        <v>-119.50555555555556</v>
      </c>
      <c r="AB209" s="140">
        <f t="shared" si="407"/>
        <v>-119.50555555555556</v>
      </c>
      <c r="AC209" s="140">
        <f t="shared" si="407"/>
        <v>-119.50555555555556</v>
      </c>
      <c r="AD209" s="140">
        <f t="shared" si="407"/>
        <v>-119.50555555555556</v>
      </c>
      <c r="AE209" s="140">
        <f t="shared" si="407"/>
        <v>-119.50555555555556</v>
      </c>
      <c r="AF209" s="140">
        <f t="shared" si="407"/>
        <v>-119.50555555555556</v>
      </c>
      <c r="AG209" s="140">
        <f t="shared" si="407"/>
        <v>-119.50555555555556</v>
      </c>
      <c r="AH209" s="140">
        <f t="shared" si="407"/>
        <v>-119.50555555555556</v>
      </c>
      <c r="AI209" s="140">
        <f t="shared" si="407"/>
        <v>-119.50555555555556</v>
      </c>
      <c r="AJ209" s="140">
        <f t="shared" si="407"/>
        <v>-119.50555555555556</v>
      </c>
      <c r="AK209" s="140">
        <f t="shared" si="407"/>
        <v>-119.50555555555556</v>
      </c>
      <c r="AL209" s="140">
        <f t="shared" si="407"/>
        <v>-119.50555555555556</v>
      </c>
      <c r="AM209" s="140">
        <f t="shared" si="407"/>
        <v>-119.50555555555556</v>
      </c>
      <c r="AN209" s="140">
        <f t="shared" si="407"/>
        <v>-119.50555555555556</v>
      </c>
      <c r="AO209" s="140">
        <f t="shared" si="407"/>
        <v>-119.50555555555556</v>
      </c>
      <c r="AP209" s="140">
        <f t="shared" si="407"/>
        <v>-119.50555555555556</v>
      </c>
      <c r="AQ209" s="140">
        <f t="shared" si="407"/>
        <v>-119.50555555555556</v>
      </c>
      <c r="AR209" s="140">
        <f t="shared" si="407"/>
        <v>-119.50555555555556</v>
      </c>
      <c r="AS209" s="140">
        <f t="shared" si="407"/>
        <v>-119.50555555555556</v>
      </c>
      <c r="AT209" s="140">
        <f t="shared" si="407"/>
        <v>-119.50555555555556</v>
      </c>
      <c r="AU209" s="140">
        <f t="shared" si="407"/>
        <v>-119.50555555555556</v>
      </c>
      <c r="AV209" s="140">
        <f t="shared" si="407"/>
        <v>-119.50555555555556</v>
      </c>
      <c r="AW209" s="140">
        <f t="shared" si="407"/>
        <v>-119.50555555555556</v>
      </c>
      <c r="AX209" s="140">
        <f t="shared" si="407"/>
        <v>-119.50555555555556</v>
      </c>
      <c r="AY209" s="140">
        <f t="shared" si="407"/>
        <v>-119.50555555555556</v>
      </c>
      <c r="AZ209" s="140">
        <f t="shared" si="407"/>
        <v>-119.50555555555556</v>
      </c>
      <c r="BA209" s="140">
        <f t="shared" si="407"/>
        <v>-119.50555555555556</v>
      </c>
      <c r="BB209" s="140">
        <f t="shared" si="407"/>
        <v>-119.50555555555556</v>
      </c>
      <c r="BC209" s="140">
        <f t="shared" si="407"/>
        <v>-119.50555555555556</v>
      </c>
      <c r="BD209" s="140">
        <f t="shared" si="407"/>
        <v>-119.50555555555556</v>
      </c>
      <c r="BE209" s="140">
        <f t="shared" si="407"/>
        <v>-119.50555555555556</v>
      </c>
      <c r="BF209" s="140">
        <f t="shared" si="407"/>
        <v>-119.50555555555556</v>
      </c>
      <c r="BG209" s="140">
        <f t="shared" si="407"/>
        <v>-119.50555555555556</v>
      </c>
      <c r="BH209" s="140">
        <f t="shared" si="407"/>
        <v>-119.50555555555556</v>
      </c>
      <c r="BI209" s="140">
        <f t="shared" si="407"/>
        <v>-119.50555555555556</v>
      </c>
      <c r="BJ209" s="140">
        <f t="shared" si="407"/>
        <v>-119.50555555555556</v>
      </c>
      <c r="BK209" s="140">
        <f t="shared" si="407"/>
        <v>-119.50555555555556</v>
      </c>
      <c r="BL209" s="140">
        <f t="shared" si="407"/>
        <v>-119.50555555555556</v>
      </c>
      <c r="BM209" s="140">
        <f t="shared" si="407"/>
        <v>-119.50555555555556</v>
      </c>
      <c r="BN209" s="140">
        <f t="shared" si="407"/>
        <v>-119.50555555555556</v>
      </c>
      <c r="BO209" s="140">
        <f t="shared" ref="BO209:CB209" si="408">BO208/360</f>
        <v>-119.50555555555556</v>
      </c>
      <c r="BP209" s="140">
        <f t="shared" si="408"/>
        <v>-119.50555555555556</v>
      </c>
      <c r="BQ209" s="140">
        <f t="shared" si="408"/>
        <v>-119.50555555555556</v>
      </c>
      <c r="BR209" s="140">
        <f t="shared" si="408"/>
        <v>-119.50555555555556</v>
      </c>
      <c r="BS209" s="140">
        <f t="shared" si="408"/>
        <v>-119.50555555555556</v>
      </c>
      <c r="BT209" s="140">
        <f t="shared" si="408"/>
        <v>-119.50555555555556</v>
      </c>
      <c r="BU209" s="140">
        <f t="shared" si="408"/>
        <v>-119.50555555555556</v>
      </c>
      <c r="BV209" s="140">
        <f t="shared" si="408"/>
        <v>-119.50555555555556</v>
      </c>
      <c r="BW209" s="140">
        <f t="shared" si="408"/>
        <v>-119.50555555555556</v>
      </c>
      <c r="BX209" s="140">
        <f t="shared" si="408"/>
        <v>-119.50555555555556</v>
      </c>
      <c r="BY209" s="140">
        <f t="shared" si="408"/>
        <v>-119.50555555555556</v>
      </c>
      <c r="BZ209" s="140">
        <f t="shared" si="408"/>
        <v>-119.50555555555556</v>
      </c>
      <c r="CA209" s="140">
        <f t="shared" si="408"/>
        <v>-119.50555555555556</v>
      </c>
      <c r="CB209" s="140">
        <f t="shared" si="408"/>
        <v>-119.50555555555556</v>
      </c>
      <c r="CC209" s="17"/>
      <c r="CD209" s="17"/>
      <c r="CE209" s="17"/>
    </row>
    <row r="210" spans="1:134">
      <c r="A210" s="16" t="s">
        <v>43</v>
      </c>
      <c r="B210" s="140">
        <f>IF(B208&lt;0,0,$B$5+$B$6*((1-EXP(-B209/$B$9))/(B209/$B$9))+$B$7*((1-EXP(-B209/$B$9))/(B209/$B$9)-EXP(-B209/$B$9))+$B$8*((1-EXP(-B209/$B$10))/(B209/$B$10)-EXP(-B209/$B$10)))</f>
        <v>0</v>
      </c>
      <c r="C210" s="140">
        <f t="shared" ref="C210:BN210" si="409">IF(C208&lt;0,0,$B$5+$B$6*((1-EXP(-C209/$B$9))/(C209/$B$9))+$B$7*((1-EXP(-C209/$B$9))/(C209/$B$9)-EXP(-C209/$B$9))+$B$8*((1-EXP(-C209/$B$10))/(C209/$B$10)-EXP(-C209/$B$10)))</f>
        <v>0</v>
      </c>
      <c r="D210" s="140">
        <f t="shared" si="409"/>
        <v>0</v>
      </c>
      <c r="E210" s="140">
        <f t="shared" si="409"/>
        <v>0</v>
      </c>
      <c r="F210" s="140">
        <f t="shared" si="409"/>
        <v>0</v>
      </c>
      <c r="G210" s="140">
        <f t="shared" si="409"/>
        <v>0</v>
      </c>
      <c r="H210" s="140">
        <f t="shared" si="409"/>
        <v>0</v>
      </c>
      <c r="I210" s="140">
        <f t="shared" si="409"/>
        <v>0</v>
      </c>
      <c r="J210" s="140">
        <f t="shared" si="409"/>
        <v>0</v>
      </c>
      <c r="K210" s="140">
        <f t="shared" si="409"/>
        <v>0</v>
      </c>
      <c r="L210" s="140">
        <f t="shared" si="409"/>
        <v>0</v>
      </c>
      <c r="M210" s="140">
        <f t="shared" si="409"/>
        <v>0</v>
      </c>
      <c r="N210" s="140">
        <f t="shared" si="409"/>
        <v>0</v>
      </c>
      <c r="O210" s="140">
        <f t="shared" si="409"/>
        <v>0</v>
      </c>
      <c r="P210" s="140">
        <f t="shared" si="409"/>
        <v>0</v>
      </c>
      <c r="Q210" s="140">
        <f t="shared" si="409"/>
        <v>0</v>
      </c>
      <c r="R210" s="140">
        <f t="shared" si="409"/>
        <v>0</v>
      </c>
      <c r="S210" s="140">
        <f t="shared" si="409"/>
        <v>0</v>
      </c>
      <c r="T210" s="140">
        <f t="shared" si="409"/>
        <v>0</v>
      </c>
      <c r="U210" s="140">
        <f t="shared" si="409"/>
        <v>0</v>
      </c>
      <c r="V210" s="140">
        <f t="shared" si="409"/>
        <v>0</v>
      </c>
      <c r="W210" s="140">
        <f t="shared" si="409"/>
        <v>0</v>
      </c>
      <c r="X210" s="140">
        <f t="shared" si="409"/>
        <v>0</v>
      </c>
      <c r="Y210" s="140">
        <f t="shared" si="409"/>
        <v>0</v>
      </c>
      <c r="Z210" s="140">
        <f t="shared" si="409"/>
        <v>0</v>
      </c>
      <c r="AA210" s="140">
        <f t="shared" si="409"/>
        <v>0</v>
      </c>
      <c r="AB210" s="140">
        <f t="shared" si="409"/>
        <v>0</v>
      </c>
      <c r="AC210" s="140">
        <f t="shared" si="409"/>
        <v>0</v>
      </c>
      <c r="AD210" s="140">
        <f t="shared" si="409"/>
        <v>0</v>
      </c>
      <c r="AE210" s="140">
        <f t="shared" si="409"/>
        <v>0</v>
      </c>
      <c r="AF210" s="140">
        <f t="shared" si="409"/>
        <v>0</v>
      </c>
      <c r="AG210" s="140">
        <f t="shared" si="409"/>
        <v>0</v>
      </c>
      <c r="AH210" s="140">
        <f t="shared" si="409"/>
        <v>0</v>
      </c>
      <c r="AI210" s="140">
        <f t="shared" si="409"/>
        <v>0</v>
      </c>
      <c r="AJ210" s="140">
        <f t="shared" si="409"/>
        <v>0</v>
      </c>
      <c r="AK210" s="140">
        <f t="shared" si="409"/>
        <v>0</v>
      </c>
      <c r="AL210" s="140">
        <f t="shared" si="409"/>
        <v>0</v>
      </c>
      <c r="AM210" s="140">
        <f t="shared" si="409"/>
        <v>0</v>
      </c>
      <c r="AN210" s="140">
        <f t="shared" si="409"/>
        <v>0</v>
      </c>
      <c r="AO210" s="140">
        <f t="shared" si="409"/>
        <v>0</v>
      </c>
      <c r="AP210" s="140">
        <f t="shared" si="409"/>
        <v>0</v>
      </c>
      <c r="AQ210" s="140">
        <f t="shared" si="409"/>
        <v>0</v>
      </c>
      <c r="AR210" s="140">
        <f t="shared" si="409"/>
        <v>0</v>
      </c>
      <c r="AS210" s="140">
        <f t="shared" si="409"/>
        <v>0</v>
      </c>
      <c r="AT210" s="140">
        <f t="shared" si="409"/>
        <v>0</v>
      </c>
      <c r="AU210" s="140">
        <f t="shared" si="409"/>
        <v>0</v>
      </c>
      <c r="AV210" s="140">
        <f t="shared" si="409"/>
        <v>0</v>
      </c>
      <c r="AW210" s="140">
        <f t="shared" si="409"/>
        <v>0</v>
      </c>
      <c r="AX210" s="140">
        <f t="shared" si="409"/>
        <v>0</v>
      </c>
      <c r="AY210" s="140">
        <f t="shared" si="409"/>
        <v>0</v>
      </c>
      <c r="AZ210" s="140">
        <f t="shared" si="409"/>
        <v>0</v>
      </c>
      <c r="BA210" s="140">
        <f t="shared" si="409"/>
        <v>0</v>
      </c>
      <c r="BB210" s="140">
        <f t="shared" si="409"/>
        <v>0</v>
      </c>
      <c r="BC210" s="140">
        <f t="shared" si="409"/>
        <v>0</v>
      </c>
      <c r="BD210" s="140">
        <f t="shared" si="409"/>
        <v>0</v>
      </c>
      <c r="BE210" s="140">
        <f t="shared" si="409"/>
        <v>0</v>
      </c>
      <c r="BF210" s="140">
        <f t="shared" si="409"/>
        <v>0</v>
      </c>
      <c r="BG210" s="140">
        <f t="shared" si="409"/>
        <v>0</v>
      </c>
      <c r="BH210" s="140">
        <f t="shared" si="409"/>
        <v>0</v>
      </c>
      <c r="BI210" s="140">
        <f t="shared" si="409"/>
        <v>0</v>
      </c>
      <c r="BJ210" s="140">
        <f t="shared" si="409"/>
        <v>0</v>
      </c>
      <c r="BK210" s="140">
        <f t="shared" si="409"/>
        <v>0</v>
      </c>
      <c r="BL210" s="140">
        <f t="shared" si="409"/>
        <v>0</v>
      </c>
      <c r="BM210" s="140">
        <f t="shared" si="409"/>
        <v>0</v>
      </c>
      <c r="BN210" s="140">
        <f t="shared" si="409"/>
        <v>0</v>
      </c>
      <c r="BO210" s="140">
        <f t="shared" ref="BO210:CB210" si="410">IF(BO208&lt;0,0,$B$5+$B$6*((1-EXP(-BO209/$B$9))/(BO209/$B$9))+$B$7*((1-EXP(-BO209/$B$9))/(BO209/$B$9)-EXP(-BO209/$B$9))+$B$8*((1-EXP(-BO209/$B$10))/(BO209/$B$10)-EXP(-BO209/$B$10)))</f>
        <v>0</v>
      </c>
      <c r="BP210" s="140">
        <f t="shared" si="410"/>
        <v>0</v>
      </c>
      <c r="BQ210" s="140">
        <f t="shared" si="410"/>
        <v>0</v>
      </c>
      <c r="BR210" s="140">
        <f t="shared" si="410"/>
        <v>0</v>
      </c>
      <c r="BS210" s="140">
        <f t="shared" si="410"/>
        <v>0</v>
      </c>
      <c r="BT210" s="140">
        <f t="shared" si="410"/>
        <v>0</v>
      </c>
      <c r="BU210" s="140">
        <f t="shared" si="410"/>
        <v>0</v>
      </c>
      <c r="BV210" s="140">
        <f t="shared" si="410"/>
        <v>0</v>
      </c>
      <c r="BW210" s="140">
        <f t="shared" si="410"/>
        <v>0</v>
      </c>
      <c r="BX210" s="140">
        <f t="shared" si="410"/>
        <v>0</v>
      </c>
      <c r="BY210" s="140">
        <f t="shared" si="410"/>
        <v>0</v>
      </c>
      <c r="BZ210" s="140">
        <f t="shared" si="410"/>
        <v>0</v>
      </c>
      <c r="CA210" s="140">
        <f t="shared" si="410"/>
        <v>0</v>
      </c>
      <c r="CB210" s="140">
        <f t="shared" si="410"/>
        <v>0</v>
      </c>
      <c r="CC210" s="17"/>
      <c r="CD210" s="17"/>
      <c r="CE210" s="17"/>
    </row>
    <row r="211" spans="1:134">
      <c r="A211" s="16" t="s">
        <v>44</v>
      </c>
      <c r="B211" s="140">
        <f>EXP(-B210*B209)</f>
        <v>1</v>
      </c>
      <c r="C211" s="140">
        <f t="shared" ref="C211:BN211" si="411">EXP(-C210*C209)</f>
        <v>1</v>
      </c>
      <c r="D211" s="140">
        <f t="shared" si="411"/>
        <v>1</v>
      </c>
      <c r="E211" s="140">
        <f t="shared" si="411"/>
        <v>1</v>
      </c>
      <c r="F211" s="140">
        <f t="shared" si="411"/>
        <v>1</v>
      </c>
      <c r="G211" s="140">
        <f t="shared" si="411"/>
        <v>1</v>
      </c>
      <c r="H211" s="140">
        <f t="shared" si="411"/>
        <v>1</v>
      </c>
      <c r="I211" s="140">
        <f t="shared" si="411"/>
        <v>1</v>
      </c>
      <c r="J211" s="140">
        <f t="shared" si="411"/>
        <v>1</v>
      </c>
      <c r="K211" s="140">
        <f t="shared" si="411"/>
        <v>1</v>
      </c>
      <c r="L211" s="140">
        <f t="shared" si="411"/>
        <v>1</v>
      </c>
      <c r="M211" s="140">
        <f t="shared" si="411"/>
        <v>1</v>
      </c>
      <c r="N211" s="140">
        <f t="shared" si="411"/>
        <v>1</v>
      </c>
      <c r="O211" s="140">
        <f t="shared" si="411"/>
        <v>1</v>
      </c>
      <c r="P211" s="140">
        <f t="shared" si="411"/>
        <v>1</v>
      </c>
      <c r="Q211" s="140">
        <f t="shared" si="411"/>
        <v>1</v>
      </c>
      <c r="R211" s="140">
        <f t="shared" si="411"/>
        <v>1</v>
      </c>
      <c r="S211" s="140">
        <f t="shared" si="411"/>
        <v>1</v>
      </c>
      <c r="T211" s="140">
        <f t="shared" si="411"/>
        <v>1</v>
      </c>
      <c r="U211" s="140">
        <f t="shared" si="411"/>
        <v>1</v>
      </c>
      <c r="V211" s="140">
        <f t="shared" si="411"/>
        <v>1</v>
      </c>
      <c r="W211" s="140">
        <f t="shared" si="411"/>
        <v>1</v>
      </c>
      <c r="X211" s="140">
        <f t="shared" si="411"/>
        <v>1</v>
      </c>
      <c r="Y211" s="140">
        <f t="shared" si="411"/>
        <v>1</v>
      </c>
      <c r="Z211" s="140">
        <f t="shared" si="411"/>
        <v>1</v>
      </c>
      <c r="AA211" s="140">
        <f t="shared" si="411"/>
        <v>1</v>
      </c>
      <c r="AB211" s="140">
        <f t="shared" si="411"/>
        <v>1</v>
      </c>
      <c r="AC211" s="140">
        <f t="shared" si="411"/>
        <v>1</v>
      </c>
      <c r="AD211" s="140">
        <f t="shared" si="411"/>
        <v>1</v>
      </c>
      <c r="AE211" s="140">
        <f t="shared" si="411"/>
        <v>1</v>
      </c>
      <c r="AF211" s="140">
        <f t="shared" si="411"/>
        <v>1</v>
      </c>
      <c r="AG211" s="140">
        <f t="shared" si="411"/>
        <v>1</v>
      </c>
      <c r="AH211" s="140">
        <f t="shared" si="411"/>
        <v>1</v>
      </c>
      <c r="AI211" s="140">
        <f t="shared" si="411"/>
        <v>1</v>
      </c>
      <c r="AJ211" s="140">
        <f t="shared" si="411"/>
        <v>1</v>
      </c>
      <c r="AK211" s="140">
        <f t="shared" si="411"/>
        <v>1</v>
      </c>
      <c r="AL211" s="140">
        <f t="shared" si="411"/>
        <v>1</v>
      </c>
      <c r="AM211" s="140">
        <f t="shared" si="411"/>
        <v>1</v>
      </c>
      <c r="AN211" s="140">
        <f t="shared" si="411"/>
        <v>1</v>
      </c>
      <c r="AO211" s="140">
        <f t="shared" si="411"/>
        <v>1</v>
      </c>
      <c r="AP211" s="140">
        <f t="shared" si="411"/>
        <v>1</v>
      </c>
      <c r="AQ211" s="140">
        <f t="shared" si="411"/>
        <v>1</v>
      </c>
      <c r="AR211" s="140">
        <f t="shared" si="411"/>
        <v>1</v>
      </c>
      <c r="AS211" s="140">
        <f t="shared" si="411"/>
        <v>1</v>
      </c>
      <c r="AT211" s="140">
        <f t="shared" si="411"/>
        <v>1</v>
      </c>
      <c r="AU211" s="140">
        <f t="shared" si="411"/>
        <v>1</v>
      </c>
      <c r="AV211" s="140">
        <f t="shared" si="411"/>
        <v>1</v>
      </c>
      <c r="AW211" s="140">
        <f t="shared" si="411"/>
        <v>1</v>
      </c>
      <c r="AX211" s="140">
        <f t="shared" si="411"/>
        <v>1</v>
      </c>
      <c r="AY211" s="140">
        <f t="shared" si="411"/>
        <v>1</v>
      </c>
      <c r="AZ211" s="140">
        <f t="shared" si="411"/>
        <v>1</v>
      </c>
      <c r="BA211" s="140">
        <f t="shared" si="411"/>
        <v>1</v>
      </c>
      <c r="BB211" s="140">
        <f t="shared" si="411"/>
        <v>1</v>
      </c>
      <c r="BC211" s="140">
        <f t="shared" si="411"/>
        <v>1</v>
      </c>
      <c r="BD211" s="140">
        <f t="shared" si="411"/>
        <v>1</v>
      </c>
      <c r="BE211" s="140">
        <f t="shared" si="411"/>
        <v>1</v>
      </c>
      <c r="BF211" s="140">
        <f t="shared" si="411"/>
        <v>1</v>
      </c>
      <c r="BG211" s="140">
        <f t="shared" si="411"/>
        <v>1</v>
      </c>
      <c r="BH211" s="140">
        <f t="shared" si="411"/>
        <v>1</v>
      </c>
      <c r="BI211" s="140">
        <f t="shared" si="411"/>
        <v>1</v>
      </c>
      <c r="BJ211" s="140">
        <f t="shared" si="411"/>
        <v>1</v>
      </c>
      <c r="BK211" s="140">
        <f t="shared" si="411"/>
        <v>1</v>
      </c>
      <c r="BL211" s="140">
        <f t="shared" si="411"/>
        <v>1</v>
      </c>
      <c r="BM211" s="140">
        <f t="shared" si="411"/>
        <v>1</v>
      </c>
      <c r="BN211" s="140">
        <f t="shared" si="411"/>
        <v>1</v>
      </c>
      <c r="BO211" s="140">
        <f t="shared" ref="BO211:CB211" si="412">EXP(-BO210*BO209)</f>
        <v>1</v>
      </c>
      <c r="BP211" s="140">
        <f t="shared" si="412"/>
        <v>1</v>
      </c>
      <c r="BQ211" s="140">
        <f t="shared" si="412"/>
        <v>1</v>
      </c>
      <c r="BR211" s="140">
        <f t="shared" si="412"/>
        <v>1</v>
      </c>
      <c r="BS211" s="140">
        <f t="shared" si="412"/>
        <v>1</v>
      </c>
      <c r="BT211" s="140">
        <f t="shared" si="412"/>
        <v>1</v>
      </c>
      <c r="BU211" s="140">
        <f t="shared" si="412"/>
        <v>1</v>
      </c>
      <c r="BV211" s="140">
        <f t="shared" si="412"/>
        <v>1</v>
      </c>
      <c r="BW211" s="140">
        <f t="shared" si="412"/>
        <v>1</v>
      </c>
      <c r="BX211" s="140">
        <f t="shared" si="412"/>
        <v>1</v>
      </c>
      <c r="BY211" s="140">
        <f t="shared" si="412"/>
        <v>1</v>
      </c>
      <c r="BZ211" s="140">
        <f t="shared" si="412"/>
        <v>1</v>
      </c>
      <c r="CA211" s="140">
        <f t="shared" si="412"/>
        <v>1</v>
      </c>
      <c r="CB211" s="140">
        <f t="shared" si="412"/>
        <v>1</v>
      </c>
      <c r="CC211" s="17"/>
      <c r="CD211" s="17"/>
      <c r="CE211" s="17"/>
    </row>
    <row r="212" spans="1:134">
      <c r="A212" s="17"/>
      <c r="B212" s="17"/>
      <c r="C212" s="17"/>
      <c r="D212" s="17"/>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c r="AP212" s="17"/>
      <c r="AQ212" s="17"/>
      <c r="AR212" s="17"/>
      <c r="AS212" s="17"/>
      <c r="AT212" s="17"/>
      <c r="AU212" s="17"/>
      <c r="AV212" s="17"/>
      <c r="AW212" s="17"/>
      <c r="AX212" s="17"/>
      <c r="AY212" s="17"/>
      <c r="AZ212" s="17"/>
      <c r="BA212" s="17"/>
      <c r="BB212" s="17"/>
      <c r="BC212" s="17"/>
      <c r="BD212" s="17"/>
      <c r="BE212" s="17"/>
      <c r="BF212" s="17"/>
      <c r="BG212" s="17"/>
      <c r="BH212" s="17"/>
      <c r="BI212" s="17"/>
      <c r="BJ212" s="17"/>
      <c r="BK212" s="17"/>
      <c r="BL212" s="17"/>
      <c r="BM212" s="17"/>
      <c r="BN212" s="17"/>
      <c r="BO212" s="17"/>
      <c r="BP212" s="17"/>
      <c r="BQ212" s="17"/>
      <c r="BR212" s="17"/>
      <c r="BS212" s="17"/>
      <c r="BT212" s="17"/>
      <c r="BU212" s="17"/>
      <c r="BV212" s="17"/>
      <c r="BW212" s="17"/>
      <c r="BX212" s="17"/>
      <c r="BY212" s="17"/>
      <c r="BZ212" s="17"/>
      <c r="CA212" s="17"/>
      <c r="CB212" s="17"/>
      <c r="CC212" s="17"/>
      <c r="CD212" s="17"/>
      <c r="CE212" s="17"/>
    </row>
    <row r="213" spans="1:134">
      <c r="A213" s="16" t="s">
        <v>45</v>
      </c>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7"/>
      <c r="CD213" s="17"/>
      <c r="CE213" s="17"/>
    </row>
    <row r="214" spans="1:134">
      <c r="A214" s="18" t="str">
        <f>A23</f>
        <v>Bond 1</v>
      </c>
      <c r="B214" s="18">
        <f t="shared" ref="B214:AG214" si="413">B23*B81</f>
        <v>99.938264840662029</v>
      </c>
      <c r="C214" s="18">
        <f t="shared" si="413"/>
        <v>0</v>
      </c>
      <c r="D214" s="18">
        <f t="shared" si="413"/>
        <v>0</v>
      </c>
      <c r="E214" s="18">
        <f t="shared" si="413"/>
        <v>0</v>
      </c>
      <c r="F214" s="18">
        <f t="shared" si="413"/>
        <v>0</v>
      </c>
      <c r="G214" s="18">
        <f t="shared" si="413"/>
        <v>0</v>
      </c>
      <c r="H214" s="18">
        <f t="shared" si="413"/>
        <v>0</v>
      </c>
      <c r="I214" s="18">
        <f t="shared" si="413"/>
        <v>0</v>
      </c>
      <c r="J214" s="18">
        <f t="shared" si="413"/>
        <v>0</v>
      </c>
      <c r="K214" s="18">
        <f t="shared" si="413"/>
        <v>0</v>
      </c>
      <c r="L214" s="18">
        <f t="shared" si="413"/>
        <v>0</v>
      </c>
      <c r="M214" s="18">
        <f t="shared" si="413"/>
        <v>0</v>
      </c>
      <c r="N214" s="18">
        <f t="shared" si="413"/>
        <v>0</v>
      </c>
      <c r="O214" s="18">
        <f t="shared" si="413"/>
        <v>0</v>
      </c>
      <c r="P214" s="18">
        <f t="shared" si="413"/>
        <v>0</v>
      </c>
      <c r="Q214" s="18">
        <f t="shared" si="413"/>
        <v>0</v>
      </c>
      <c r="R214" s="18">
        <f t="shared" si="413"/>
        <v>0</v>
      </c>
      <c r="S214" s="18">
        <f t="shared" si="413"/>
        <v>0</v>
      </c>
      <c r="T214" s="18">
        <f t="shared" si="413"/>
        <v>0</v>
      </c>
      <c r="U214" s="18">
        <f t="shared" si="413"/>
        <v>0</v>
      </c>
      <c r="V214" s="18">
        <f t="shared" si="413"/>
        <v>0</v>
      </c>
      <c r="W214" s="18">
        <f t="shared" si="413"/>
        <v>0</v>
      </c>
      <c r="X214" s="18">
        <f t="shared" si="413"/>
        <v>0</v>
      </c>
      <c r="Y214" s="18">
        <f t="shared" si="413"/>
        <v>0</v>
      </c>
      <c r="Z214" s="18">
        <f t="shared" si="413"/>
        <v>0</v>
      </c>
      <c r="AA214" s="18">
        <f t="shared" si="413"/>
        <v>0</v>
      </c>
      <c r="AB214" s="18">
        <f t="shared" si="413"/>
        <v>0</v>
      </c>
      <c r="AC214" s="18">
        <f t="shared" si="413"/>
        <v>0</v>
      </c>
      <c r="AD214" s="18">
        <f t="shared" si="413"/>
        <v>0</v>
      </c>
      <c r="AE214" s="18">
        <f t="shared" si="413"/>
        <v>0</v>
      </c>
      <c r="AF214" s="18">
        <f t="shared" si="413"/>
        <v>0</v>
      </c>
      <c r="AG214" s="18">
        <f t="shared" si="413"/>
        <v>0</v>
      </c>
      <c r="AH214" s="18">
        <f t="shared" ref="AH214:BM214" si="414">AH23*AH81</f>
        <v>0</v>
      </c>
      <c r="AI214" s="18">
        <f t="shared" si="414"/>
        <v>0</v>
      </c>
      <c r="AJ214" s="18">
        <f t="shared" si="414"/>
        <v>0</v>
      </c>
      <c r="AK214" s="18">
        <f t="shared" si="414"/>
        <v>0</v>
      </c>
      <c r="AL214" s="18">
        <f t="shared" si="414"/>
        <v>0</v>
      </c>
      <c r="AM214" s="18">
        <f t="shared" si="414"/>
        <v>0</v>
      </c>
      <c r="AN214" s="18">
        <f t="shared" si="414"/>
        <v>0</v>
      </c>
      <c r="AO214" s="18">
        <f t="shared" si="414"/>
        <v>0</v>
      </c>
      <c r="AP214" s="18">
        <f t="shared" si="414"/>
        <v>0</v>
      </c>
      <c r="AQ214" s="18">
        <f t="shared" si="414"/>
        <v>0</v>
      </c>
      <c r="AR214" s="18">
        <f t="shared" si="414"/>
        <v>0</v>
      </c>
      <c r="AS214" s="18">
        <f t="shared" si="414"/>
        <v>0</v>
      </c>
      <c r="AT214" s="18">
        <f t="shared" si="414"/>
        <v>0</v>
      </c>
      <c r="AU214" s="18">
        <f t="shared" si="414"/>
        <v>0</v>
      </c>
      <c r="AV214" s="18">
        <f t="shared" si="414"/>
        <v>0</v>
      </c>
      <c r="AW214" s="18">
        <f t="shared" si="414"/>
        <v>0</v>
      </c>
      <c r="AX214" s="18">
        <f t="shared" si="414"/>
        <v>0</v>
      </c>
      <c r="AY214" s="18">
        <f t="shared" si="414"/>
        <v>0</v>
      </c>
      <c r="AZ214" s="18">
        <f t="shared" si="414"/>
        <v>0</v>
      </c>
      <c r="BA214" s="18">
        <f t="shared" si="414"/>
        <v>0</v>
      </c>
      <c r="BB214" s="18">
        <f t="shared" si="414"/>
        <v>0</v>
      </c>
      <c r="BC214" s="18">
        <f t="shared" si="414"/>
        <v>0</v>
      </c>
      <c r="BD214" s="18">
        <f t="shared" si="414"/>
        <v>0</v>
      </c>
      <c r="BE214" s="18">
        <f t="shared" si="414"/>
        <v>0</v>
      </c>
      <c r="BF214" s="18">
        <f t="shared" si="414"/>
        <v>0</v>
      </c>
      <c r="BG214" s="18">
        <f t="shared" si="414"/>
        <v>0</v>
      </c>
      <c r="BH214" s="18">
        <f t="shared" si="414"/>
        <v>0</v>
      </c>
      <c r="BI214" s="18">
        <f t="shared" si="414"/>
        <v>0</v>
      </c>
      <c r="BJ214" s="18">
        <f t="shared" si="414"/>
        <v>0</v>
      </c>
      <c r="BK214" s="18">
        <f t="shared" si="414"/>
        <v>0</v>
      </c>
      <c r="BL214" s="18">
        <f t="shared" si="414"/>
        <v>0</v>
      </c>
      <c r="BM214" s="18">
        <f t="shared" si="414"/>
        <v>0</v>
      </c>
      <c r="BN214" s="18">
        <f t="shared" ref="BN214:CB214" si="415">BN23*BN81</f>
        <v>0</v>
      </c>
      <c r="BO214" s="18">
        <f t="shared" si="415"/>
        <v>0</v>
      </c>
      <c r="BP214" s="18">
        <f t="shared" si="415"/>
        <v>0</v>
      </c>
      <c r="BQ214" s="18">
        <f t="shared" si="415"/>
        <v>0</v>
      </c>
      <c r="BR214" s="18">
        <f t="shared" si="415"/>
        <v>0</v>
      </c>
      <c r="BS214" s="18">
        <f t="shared" si="415"/>
        <v>0</v>
      </c>
      <c r="BT214" s="18">
        <f t="shared" si="415"/>
        <v>0</v>
      </c>
      <c r="BU214" s="18">
        <f t="shared" si="415"/>
        <v>0</v>
      </c>
      <c r="BV214" s="18">
        <f t="shared" si="415"/>
        <v>0</v>
      </c>
      <c r="BW214" s="18">
        <f t="shared" si="415"/>
        <v>0</v>
      </c>
      <c r="BX214" s="18">
        <f t="shared" si="415"/>
        <v>0</v>
      </c>
      <c r="BY214" s="18">
        <f t="shared" si="415"/>
        <v>0</v>
      </c>
      <c r="BZ214" s="18">
        <f t="shared" si="415"/>
        <v>0</v>
      </c>
      <c r="CA214" s="18">
        <f t="shared" si="415"/>
        <v>0</v>
      </c>
      <c r="CB214" s="18">
        <f t="shared" si="415"/>
        <v>0</v>
      </c>
      <c r="CC214" s="17"/>
      <c r="CD214" s="17"/>
      <c r="CE214" s="17"/>
    </row>
    <row r="215" spans="1:134">
      <c r="A215" s="18" t="str">
        <f>A25</f>
        <v>Bond 2</v>
      </c>
      <c r="B215" s="18">
        <f t="shared" ref="B215:AG215" si="416">B25*B86</f>
        <v>99.807611551105936</v>
      </c>
      <c r="C215" s="18">
        <f t="shared" si="416"/>
        <v>0</v>
      </c>
      <c r="D215" s="18">
        <f t="shared" si="416"/>
        <v>0</v>
      </c>
      <c r="E215" s="18">
        <f t="shared" si="416"/>
        <v>0</v>
      </c>
      <c r="F215" s="18">
        <f t="shared" si="416"/>
        <v>0</v>
      </c>
      <c r="G215" s="18">
        <f t="shared" si="416"/>
        <v>0</v>
      </c>
      <c r="H215" s="18">
        <f t="shared" si="416"/>
        <v>0</v>
      </c>
      <c r="I215" s="18">
        <f t="shared" si="416"/>
        <v>0</v>
      </c>
      <c r="J215" s="18">
        <f t="shared" si="416"/>
        <v>0</v>
      </c>
      <c r="K215" s="18">
        <f t="shared" si="416"/>
        <v>0</v>
      </c>
      <c r="L215" s="18">
        <f t="shared" si="416"/>
        <v>0</v>
      </c>
      <c r="M215" s="18">
        <f t="shared" si="416"/>
        <v>0</v>
      </c>
      <c r="N215" s="18">
        <f t="shared" si="416"/>
        <v>0</v>
      </c>
      <c r="O215" s="18">
        <f t="shared" si="416"/>
        <v>0</v>
      </c>
      <c r="P215" s="18">
        <f t="shared" si="416"/>
        <v>0</v>
      </c>
      <c r="Q215" s="18">
        <f t="shared" si="416"/>
        <v>0</v>
      </c>
      <c r="R215" s="18">
        <f t="shared" si="416"/>
        <v>0</v>
      </c>
      <c r="S215" s="18">
        <f t="shared" si="416"/>
        <v>0</v>
      </c>
      <c r="T215" s="18">
        <f t="shared" si="416"/>
        <v>0</v>
      </c>
      <c r="U215" s="18">
        <f t="shared" si="416"/>
        <v>0</v>
      </c>
      <c r="V215" s="18">
        <f t="shared" si="416"/>
        <v>0</v>
      </c>
      <c r="W215" s="18">
        <f t="shared" si="416"/>
        <v>0</v>
      </c>
      <c r="X215" s="18">
        <f t="shared" si="416"/>
        <v>0</v>
      </c>
      <c r="Y215" s="18">
        <f t="shared" si="416"/>
        <v>0</v>
      </c>
      <c r="Z215" s="18">
        <f t="shared" si="416"/>
        <v>0</v>
      </c>
      <c r="AA215" s="18">
        <f t="shared" si="416"/>
        <v>0</v>
      </c>
      <c r="AB215" s="18">
        <f t="shared" si="416"/>
        <v>0</v>
      </c>
      <c r="AC215" s="18">
        <f t="shared" si="416"/>
        <v>0</v>
      </c>
      <c r="AD215" s="18">
        <f t="shared" si="416"/>
        <v>0</v>
      </c>
      <c r="AE215" s="18">
        <f t="shared" si="416"/>
        <v>0</v>
      </c>
      <c r="AF215" s="18">
        <f t="shared" si="416"/>
        <v>0</v>
      </c>
      <c r="AG215" s="18">
        <f t="shared" si="416"/>
        <v>0</v>
      </c>
      <c r="AH215" s="18">
        <f t="shared" ref="AH215:BM215" si="417">AH25*AH86</f>
        <v>0</v>
      </c>
      <c r="AI215" s="18">
        <f t="shared" si="417"/>
        <v>0</v>
      </c>
      <c r="AJ215" s="18">
        <f t="shared" si="417"/>
        <v>0</v>
      </c>
      <c r="AK215" s="18">
        <f t="shared" si="417"/>
        <v>0</v>
      </c>
      <c r="AL215" s="18">
        <f t="shared" si="417"/>
        <v>0</v>
      </c>
      <c r="AM215" s="18">
        <f t="shared" si="417"/>
        <v>0</v>
      </c>
      <c r="AN215" s="18">
        <f t="shared" si="417"/>
        <v>0</v>
      </c>
      <c r="AO215" s="18">
        <f t="shared" si="417"/>
        <v>0</v>
      </c>
      <c r="AP215" s="18">
        <f t="shared" si="417"/>
        <v>0</v>
      </c>
      <c r="AQ215" s="18">
        <f t="shared" si="417"/>
        <v>0</v>
      </c>
      <c r="AR215" s="18">
        <f t="shared" si="417"/>
        <v>0</v>
      </c>
      <c r="AS215" s="18">
        <f t="shared" si="417"/>
        <v>0</v>
      </c>
      <c r="AT215" s="18">
        <f t="shared" si="417"/>
        <v>0</v>
      </c>
      <c r="AU215" s="18">
        <f t="shared" si="417"/>
        <v>0</v>
      </c>
      <c r="AV215" s="18">
        <f t="shared" si="417"/>
        <v>0</v>
      </c>
      <c r="AW215" s="18">
        <f t="shared" si="417"/>
        <v>0</v>
      </c>
      <c r="AX215" s="18">
        <f t="shared" si="417"/>
        <v>0</v>
      </c>
      <c r="AY215" s="18">
        <f t="shared" si="417"/>
        <v>0</v>
      </c>
      <c r="AZ215" s="18">
        <f t="shared" si="417"/>
        <v>0</v>
      </c>
      <c r="BA215" s="18">
        <f t="shared" si="417"/>
        <v>0</v>
      </c>
      <c r="BB215" s="18">
        <f t="shared" si="417"/>
        <v>0</v>
      </c>
      <c r="BC215" s="18">
        <f t="shared" si="417"/>
        <v>0</v>
      </c>
      <c r="BD215" s="18">
        <f t="shared" si="417"/>
        <v>0</v>
      </c>
      <c r="BE215" s="18">
        <f t="shared" si="417"/>
        <v>0</v>
      </c>
      <c r="BF215" s="18">
        <f t="shared" si="417"/>
        <v>0</v>
      </c>
      <c r="BG215" s="18">
        <f t="shared" si="417"/>
        <v>0</v>
      </c>
      <c r="BH215" s="18">
        <f t="shared" si="417"/>
        <v>0</v>
      </c>
      <c r="BI215" s="18">
        <f t="shared" si="417"/>
        <v>0</v>
      </c>
      <c r="BJ215" s="18">
        <f t="shared" si="417"/>
        <v>0</v>
      </c>
      <c r="BK215" s="18">
        <f t="shared" si="417"/>
        <v>0</v>
      </c>
      <c r="BL215" s="18">
        <f t="shared" si="417"/>
        <v>0</v>
      </c>
      <c r="BM215" s="18">
        <f t="shared" si="417"/>
        <v>0</v>
      </c>
      <c r="BN215" s="18">
        <f t="shared" ref="BN215:CB215" si="418">BN25*BN86</f>
        <v>0</v>
      </c>
      <c r="BO215" s="18">
        <f t="shared" si="418"/>
        <v>0</v>
      </c>
      <c r="BP215" s="18">
        <f t="shared" si="418"/>
        <v>0</v>
      </c>
      <c r="BQ215" s="18">
        <f t="shared" si="418"/>
        <v>0</v>
      </c>
      <c r="BR215" s="18">
        <f t="shared" si="418"/>
        <v>0</v>
      </c>
      <c r="BS215" s="18">
        <f t="shared" si="418"/>
        <v>0</v>
      </c>
      <c r="BT215" s="18">
        <f t="shared" si="418"/>
        <v>0</v>
      </c>
      <c r="BU215" s="18">
        <f t="shared" si="418"/>
        <v>0</v>
      </c>
      <c r="BV215" s="18">
        <f t="shared" si="418"/>
        <v>0</v>
      </c>
      <c r="BW215" s="18">
        <f t="shared" si="418"/>
        <v>0</v>
      </c>
      <c r="BX215" s="18">
        <f t="shared" si="418"/>
        <v>0</v>
      </c>
      <c r="BY215" s="18">
        <f t="shared" si="418"/>
        <v>0</v>
      </c>
      <c r="BZ215" s="18">
        <f t="shared" si="418"/>
        <v>0</v>
      </c>
      <c r="CA215" s="18">
        <f t="shared" si="418"/>
        <v>0</v>
      </c>
      <c r="CB215" s="18">
        <f t="shared" si="418"/>
        <v>0</v>
      </c>
      <c r="CC215" s="17"/>
      <c r="CD215" s="17"/>
      <c r="CE215" s="17"/>
      <c r="CH215" s="11"/>
      <c r="CI215" s="11"/>
      <c r="CJ215" s="11"/>
      <c r="CK215" s="11"/>
      <c r="CL215" s="11"/>
      <c r="CM215" s="11"/>
      <c r="CN215" s="11"/>
      <c r="CO215" s="11"/>
      <c r="CP215" s="11"/>
      <c r="CQ215" s="11"/>
      <c r="CR215" s="11"/>
      <c r="CS215" s="11"/>
      <c r="CT215" s="11"/>
      <c r="CU215" s="11"/>
      <c r="CV215" s="11"/>
      <c r="CW215" s="11"/>
      <c r="CX215" s="11"/>
      <c r="CY215" s="11"/>
      <c r="CZ215" s="11"/>
      <c r="DA215" s="11"/>
      <c r="DB215" s="11"/>
      <c r="DC215" s="11"/>
      <c r="DD215" s="11"/>
      <c r="DE215" s="11"/>
      <c r="DF215" s="11"/>
      <c r="DG215" s="11"/>
      <c r="DH215" s="11"/>
      <c r="DI215" s="11"/>
      <c r="DJ215" s="11"/>
      <c r="DK215" s="11"/>
      <c r="DL215" s="11"/>
      <c r="DM215" s="11"/>
      <c r="DN215" s="11"/>
      <c r="DO215" s="11"/>
      <c r="DP215" s="11"/>
      <c r="DQ215" s="11"/>
      <c r="DR215" s="11"/>
      <c r="DS215" s="11"/>
      <c r="DT215" s="11"/>
      <c r="DU215" s="11"/>
      <c r="DV215" s="11"/>
      <c r="DW215" s="11"/>
      <c r="DX215" s="11"/>
      <c r="DY215" s="11"/>
      <c r="DZ215" s="11"/>
      <c r="EA215" s="11"/>
      <c r="EB215" s="11"/>
      <c r="EC215" s="11"/>
      <c r="ED215" s="11"/>
    </row>
    <row r="216" spans="1:134">
      <c r="A216" s="18" t="str">
        <f>A27</f>
        <v>Bond 3</v>
      </c>
      <c r="B216" s="18">
        <f t="shared" ref="B216:AG216" si="419">B27*B91</f>
        <v>99.634715287188996</v>
      </c>
      <c r="C216" s="18">
        <f t="shared" si="419"/>
        <v>0</v>
      </c>
      <c r="D216" s="18">
        <f t="shared" si="419"/>
        <v>0</v>
      </c>
      <c r="E216" s="18">
        <f t="shared" si="419"/>
        <v>0</v>
      </c>
      <c r="F216" s="18">
        <f t="shared" si="419"/>
        <v>0</v>
      </c>
      <c r="G216" s="18">
        <f t="shared" si="419"/>
        <v>0</v>
      </c>
      <c r="H216" s="18">
        <f t="shared" si="419"/>
        <v>0</v>
      </c>
      <c r="I216" s="18">
        <f t="shared" si="419"/>
        <v>0</v>
      </c>
      <c r="J216" s="18">
        <f t="shared" si="419"/>
        <v>0</v>
      </c>
      <c r="K216" s="18">
        <f t="shared" si="419"/>
        <v>0</v>
      </c>
      <c r="L216" s="18">
        <f t="shared" si="419"/>
        <v>0</v>
      </c>
      <c r="M216" s="18">
        <f t="shared" si="419"/>
        <v>0</v>
      </c>
      <c r="N216" s="18">
        <f t="shared" si="419"/>
        <v>0</v>
      </c>
      <c r="O216" s="18">
        <f t="shared" si="419"/>
        <v>0</v>
      </c>
      <c r="P216" s="18">
        <f t="shared" si="419"/>
        <v>0</v>
      </c>
      <c r="Q216" s="18">
        <f t="shared" si="419"/>
        <v>0</v>
      </c>
      <c r="R216" s="18">
        <f t="shared" si="419"/>
        <v>0</v>
      </c>
      <c r="S216" s="18">
        <f t="shared" si="419"/>
        <v>0</v>
      </c>
      <c r="T216" s="18">
        <f t="shared" si="419"/>
        <v>0</v>
      </c>
      <c r="U216" s="18">
        <f t="shared" si="419"/>
        <v>0</v>
      </c>
      <c r="V216" s="18">
        <f t="shared" si="419"/>
        <v>0</v>
      </c>
      <c r="W216" s="18">
        <f t="shared" si="419"/>
        <v>0</v>
      </c>
      <c r="X216" s="18">
        <f t="shared" si="419"/>
        <v>0</v>
      </c>
      <c r="Y216" s="18">
        <f t="shared" si="419"/>
        <v>0</v>
      </c>
      <c r="Z216" s="18">
        <f t="shared" si="419"/>
        <v>0</v>
      </c>
      <c r="AA216" s="18">
        <f t="shared" si="419"/>
        <v>0</v>
      </c>
      <c r="AB216" s="18">
        <f t="shared" si="419"/>
        <v>0</v>
      </c>
      <c r="AC216" s="18">
        <f t="shared" si="419"/>
        <v>0</v>
      </c>
      <c r="AD216" s="18">
        <f t="shared" si="419"/>
        <v>0</v>
      </c>
      <c r="AE216" s="18">
        <f t="shared" si="419"/>
        <v>0</v>
      </c>
      <c r="AF216" s="18">
        <f t="shared" si="419"/>
        <v>0</v>
      </c>
      <c r="AG216" s="18">
        <f t="shared" si="419"/>
        <v>0</v>
      </c>
      <c r="AH216" s="18">
        <f t="shared" ref="AH216:BM216" si="420">AH27*AH91</f>
        <v>0</v>
      </c>
      <c r="AI216" s="18">
        <f t="shared" si="420"/>
        <v>0</v>
      </c>
      <c r="AJ216" s="18">
        <f t="shared" si="420"/>
        <v>0</v>
      </c>
      <c r="AK216" s="18">
        <f t="shared" si="420"/>
        <v>0</v>
      </c>
      <c r="AL216" s="18">
        <f t="shared" si="420"/>
        <v>0</v>
      </c>
      <c r="AM216" s="18">
        <f t="shared" si="420"/>
        <v>0</v>
      </c>
      <c r="AN216" s="18">
        <f t="shared" si="420"/>
        <v>0</v>
      </c>
      <c r="AO216" s="18">
        <f t="shared" si="420"/>
        <v>0</v>
      </c>
      <c r="AP216" s="18">
        <f t="shared" si="420"/>
        <v>0</v>
      </c>
      <c r="AQ216" s="18">
        <f t="shared" si="420"/>
        <v>0</v>
      </c>
      <c r="AR216" s="18">
        <f t="shared" si="420"/>
        <v>0</v>
      </c>
      <c r="AS216" s="18">
        <f t="shared" si="420"/>
        <v>0</v>
      </c>
      <c r="AT216" s="18">
        <f t="shared" si="420"/>
        <v>0</v>
      </c>
      <c r="AU216" s="18">
        <f t="shared" si="420"/>
        <v>0</v>
      </c>
      <c r="AV216" s="18">
        <f t="shared" si="420"/>
        <v>0</v>
      </c>
      <c r="AW216" s="18">
        <f t="shared" si="420"/>
        <v>0</v>
      </c>
      <c r="AX216" s="18">
        <f t="shared" si="420"/>
        <v>0</v>
      </c>
      <c r="AY216" s="18">
        <f t="shared" si="420"/>
        <v>0</v>
      </c>
      <c r="AZ216" s="18">
        <f t="shared" si="420"/>
        <v>0</v>
      </c>
      <c r="BA216" s="18">
        <f t="shared" si="420"/>
        <v>0</v>
      </c>
      <c r="BB216" s="18">
        <f t="shared" si="420"/>
        <v>0</v>
      </c>
      <c r="BC216" s="18">
        <f t="shared" si="420"/>
        <v>0</v>
      </c>
      <c r="BD216" s="18">
        <f t="shared" si="420"/>
        <v>0</v>
      </c>
      <c r="BE216" s="18">
        <f t="shared" si="420"/>
        <v>0</v>
      </c>
      <c r="BF216" s="18">
        <f t="shared" si="420"/>
        <v>0</v>
      </c>
      <c r="BG216" s="18">
        <f t="shared" si="420"/>
        <v>0</v>
      </c>
      <c r="BH216" s="18">
        <f t="shared" si="420"/>
        <v>0</v>
      </c>
      <c r="BI216" s="18">
        <f t="shared" si="420"/>
        <v>0</v>
      </c>
      <c r="BJ216" s="18">
        <f t="shared" si="420"/>
        <v>0</v>
      </c>
      <c r="BK216" s="18">
        <f t="shared" si="420"/>
        <v>0</v>
      </c>
      <c r="BL216" s="18">
        <f t="shared" si="420"/>
        <v>0</v>
      </c>
      <c r="BM216" s="18">
        <f t="shared" si="420"/>
        <v>0</v>
      </c>
      <c r="BN216" s="18">
        <f t="shared" ref="BN216:CB216" si="421">BN27*BN91</f>
        <v>0</v>
      </c>
      <c r="BO216" s="18">
        <f t="shared" si="421"/>
        <v>0</v>
      </c>
      <c r="BP216" s="18">
        <f t="shared" si="421"/>
        <v>0</v>
      </c>
      <c r="BQ216" s="18">
        <f t="shared" si="421"/>
        <v>0</v>
      </c>
      <c r="BR216" s="18">
        <f t="shared" si="421"/>
        <v>0</v>
      </c>
      <c r="BS216" s="18">
        <f t="shared" si="421"/>
        <v>0</v>
      </c>
      <c r="BT216" s="18">
        <f t="shared" si="421"/>
        <v>0</v>
      </c>
      <c r="BU216" s="18">
        <f t="shared" si="421"/>
        <v>0</v>
      </c>
      <c r="BV216" s="18">
        <f t="shared" si="421"/>
        <v>0</v>
      </c>
      <c r="BW216" s="18">
        <f t="shared" si="421"/>
        <v>0</v>
      </c>
      <c r="BX216" s="18">
        <f t="shared" si="421"/>
        <v>0</v>
      </c>
      <c r="BY216" s="18">
        <f t="shared" si="421"/>
        <v>0</v>
      </c>
      <c r="BZ216" s="18">
        <f t="shared" si="421"/>
        <v>0</v>
      </c>
      <c r="CA216" s="18">
        <f t="shared" si="421"/>
        <v>0</v>
      </c>
      <c r="CB216" s="18">
        <f t="shared" si="421"/>
        <v>0</v>
      </c>
      <c r="CC216" s="17"/>
      <c r="CD216" s="17"/>
      <c r="CE216" s="17"/>
      <c r="CH216" s="11"/>
      <c r="CI216" s="11"/>
      <c r="CJ216" s="11"/>
      <c r="CK216" s="11"/>
      <c r="CL216" s="11"/>
      <c r="CM216" s="11"/>
      <c r="CN216" s="11"/>
      <c r="CO216" s="11"/>
      <c r="CP216" s="11"/>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11"/>
      <c r="DM216" s="11"/>
      <c r="DN216" s="11"/>
      <c r="DO216" s="11"/>
      <c r="DP216" s="11"/>
      <c r="DQ216" s="11"/>
      <c r="DR216" s="11"/>
      <c r="DS216" s="11"/>
      <c r="DT216" s="11"/>
      <c r="DU216" s="11"/>
      <c r="DV216" s="11"/>
      <c r="DW216" s="11"/>
      <c r="DX216" s="11"/>
      <c r="DY216" s="11"/>
      <c r="DZ216" s="11"/>
      <c r="EA216" s="11"/>
      <c r="EB216" s="11"/>
      <c r="EC216" s="11"/>
      <c r="ED216" s="11"/>
    </row>
    <row r="217" spans="1:134">
      <c r="A217" s="18" t="str">
        <f>A29</f>
        <v>Bond 4</v>
      </c>
      <c r="B217" s="18">
        <f t="shared" ref="B217:AG217" si="422">B29*B96</f>
        <v>0.999540300201052</v>
      </c>
      <c r="C217" s="18">
        <f t="shared" si="422"/>
        <v>0.9959914829886497</v>
      </c>
      <c r="D217" s="18">
        <f t="shared" si="422"/>
        <v>100.30838951902622</v>
      </c>
      <c r="E217" s="18">
        <f t="shared" si="422"/>
        <v>0</v>
      </c>
      <c r="F217" s="18">
        <f t="shared" si="422"/>
        <v>0</v>
      </c>
      <c r="G217" s="18">
        <f t="shared" si="422"/>
        <v>0</v>
      </c>
      <c r="H217" s="18">
        <f t="shared" si="422"/>
        <v>0</v>
      </c>
      <c r="I217" s="18">
        <f t="shared" si="422"/>
        <v>0</v>
      </c>
      <c r="J217" s="18">
        <f t="shared" si="422"/>
        <v>0</v>
      </c>
      <c r="K217" s="18">
        <f t="shared" si="422"/>
        <v>0</v>
      </c>
      <c r="L217" s="18">
        <f t="shared" si="422"/>
        <v>0</v>
      </c>
      <c r="M217" s="18">
        <f t="shared" si="422"/>
        <v>0</v>
      </c>
      <c r="N217" s="18">
        <f t="shared" si="422"/>
        <v>0</v>
      </c>
      <c r="O217" s="18">
        <f t="shared" si="422"/>
        <v>0</v>
      </c>
      <c r="P217" s="18">
        <f t="shared" si="422"/>
        <v>0</v>
      </c>
      <c r="Q217" s="18">
        <f t="shared" si="422"/>
        <v>0</v>
      </c>
      <c r="R217" s="18">
        <f t="shared" si="422"/>
        <v>0</v>
      </c>
      <c r="S217" s="18">
        <f t="shared" si="422"/>
        <v>0</v>
      </c>
      <c r="T217" s="18">
        <f t="shared" si="422"/>
        <v>0</v>
      </c>
      <c r="U217" s="18">
        <f t="shared" si="422"/>
        <v>0</v>
      </c>
      <c r="V217" s="18">
        <f t="shared" si="422"/>
        <v>0</v>
      </c>
      <c r="W217" s="18">
        <f t="shared" si="422"/>
        <v>0</v>
      </c>
      <c r="X217" s="18">
        <f t="shared" si="422"/>
        <v>0</v>
      </c>
      <c r="Y217" s="18">
        <f t="shared" si="422"/>
        <v>0</v>
      </c>
      <c r="Z217" s="18">
        <f t="shared" si="422"/>
        <v>0</v>
      </c>
      <c r="AA217" s="18">
        <f t="shared" si="422"/>
        <v>0</v>
      </c>
      <c r="AB217" s="18">
        <f t="shared" si="422"/>
        <v>0</v>
      </c>
      <c r="AC217" s="18">
        <f t="shared" si="422"/>
        <v>0</v>
      </c>
      <c r="AD217" s="18">
        <f t="shared" si="422"/>
        <v>0</v>
      </c>
      <c r="AE217" s="18">
        <f t="shared" si="422"/>
        <v>0</v>
      </c>
      <c r="AF217" s="18">
        <f t="shared" si="422"/>
        <v>0</v>
      </c>
      <c r="AG217" s="18">
        <f t="shared" si="422"/>
        <v>0</v>
      </c>
      <c r="AH217" s="18">
        <f t="shared" ref="AH217:BM217" si="423">AH29*AH96</f>
        <v>0</v>
      </c>
      <c r="AI217" s="18">
        <f t="shared" si="423"/>
        <v>0</v>
      </c>
      <c r="AJ217" s="18">
        <f t="shared" si="423"/>
        <v>0</v>
      </c>
      <c r="AK217" s="18">
        <f t="shared" si="423"/>
        <v>0</v>
      </c>
      <c r="AL217" s="18">
        <f t="shared" si="423"/>
        <v>0</v>
      </c>
      <c r="AM217" s="18">
        <f t="shared" si="423"/>
        <v>0</v>
      </c>
      <c r="AN217" s="18">
        <f t="shared" si="423"/>
        <v>0</v>
      </c>
      <c r="AO217" s="18">
        <f t="shared" si="423"/>
        <v>0</v>
      </c>
      <c r="AP217" s="18">
        <f t="shared" si="423"/>
        <v>0</v>
      </c>
      <c r="AQ217" s="18">
        <f t="shared" si="423"/>
        <v>0</v>
      </c>
      <c r="AR217" s="18">
        <f t="shared" si="423"/>
        <v>0</v>
      </c>
      <c r="AS217" s="18">
        <f t="shared" si="423"/>
        <v>0</v>
      </c>
      <c r="AT217" s="18">
        <f t="shared" si="423"/>
        <v>0</v>
      </c>
      <c r="AU217" s="18">
        <f t="shared" si="423"/>
        <v>0</v>
      </c>
      <c r="AV217" s="18">
        <f t="shared" si="423"/>
        <v>0</v>
      </c>
      <c r="AW217" s="18">
        <f t="shared" si="423"/>
        <v>0</v>
      </c>
      <c r="AX217" s="18">
        <f t="shared" si="423"/>
        <v>0</v>
      </c>
      <c r="AY217" s="18">
        <f t="shared" si="423"/>
        <v>0</v>
      </c>
      <c r="AZ217" s="18">
        <f t="shared" si="423"/>
        <v>0</v>
      </c>
      <c r="BA217" s="18">
        <f t="shared" si="423"/>
        <v>0</v>
      </c>
      <c r="BB217" s="18">
        <f t="shared" si="423"/>
        <v>0</v>
      </c>
      <c r="BC217" s="18">
        <f t="shared" si="423"/>
        <v>0</v>
      </c>
      <c r="BD217" s="18">
        <f t="shared" si="423"/>
        <v>0</v>
      </c>
      <c r="BE217" s="18">
        <f t="shared" si="423"/>
        <v>0</v>
      </c>
      <c r="BF217" s="18">
        <f t="shared" si="423"/>
        <v>0</v>
      </c>
      <c r="BG217" s="18">
        <f t="shared" si="423"/>
        <v>0</v>
      </c>
      <c r="BH217" s="18">
        <f t="shared" si="423"/>
        <v>0</v>
      </c>
      <c r="BI217" s="18">
        <f t="shared" si="423"/>
        <v>0</v>
      </c>
      <c r="BJ217" s="18">
        <f t="shared" si="423"/>
        <v>0</v>
      </c>
      <c r="BK217" s="18">
        <f t="shared" si="423"/>
        <v>0</v>
      </c>
      <c r="BL217" s="18">
        <f t="shared" si="423"/>
        <v>0</v>
      </c>
      <c r="BM217" s="18">
        <f t="shared" si="423"/>
        <v>0</v>
      </c>
      <c r="BN217" s="18">
        <f t="shared" ref="BN217:CB217" si="424">BN29*BN96</f>
        <v>0</v>
      </c>
      <c r="BO217" s="18">
        <f t="shared" si="424"/>
        <v>0</v>
      </c>
      <c r="BP217" s="18">
        <f t="shared" si="424"/>
        <v>0</v>
      </c>
      <c r="BQ217" s="18">
        <f t="shared" si="424"/>
        <v>0</v>
      </c>
      <c r="BR217" s="18">
        <f t="shared" si="424"/>
        <v>0</v>
      </c>
      <c r="BS217" s="18">
        <f t="shared" si="424"/>
        <v>0</v>
      </c>
      <c r="BT217" s="18">
        <f t="shared" si="424"/>
        <v>0</v>
      </c>
      <c r="BU217" s="18">
        <f t="shared" si="424"/>
        <v>0</v>
      </c>
      <c r="BV217" s="18">
        <f t="shared" si="424"/>
        <v>0</v>
      </c>
      <c r="BW217" s="18">
        <f t="shared" si="424"/>
        <v>0</v>
      </c>
      <c r="BX217" s="18">
        <f t="shared" si="424"/>
        <v>0</v>
      </c>
      <c r="BY217" s="18">
        <f t="shared" si="424"/>
        <v>0</v>
      </c>
      <c r="BZ217" s="18">
        <f t="shared" si="424"/>
        <v>0</v>
      </c>
      <c r="CA217" s="18">
        <f t="shared" si="424"/>
        <v>0</v>
      </c>
      <c r="CB217" s="18">
        <f t="shared" si="424"/>
        <v>0</v>
      </c>
      <c r="CC217" s="17"/>
      <c r="CD217" s="17"/>
      <c r="CE217" s="17"/>
      <c r="CH217" s="5"/>
      <c r="CI217" s="11"/>
      <c r="CJ217" s="11"/>
      <c r="CK217" s="11"/>
      <c r="CL217" s="11"/>
      <c r="CM217" s="11"/>
      <c r="CN217" s="11"/>
      <c r="CO217" s="11"/>
      <c r="CP217" s="11"/>
      <c r="CQ217" s="11"/>
      <c r="CR217" s="11"/>
      <c r="CS217" s="11"/>
      <c r="CT217" s="11"/>
      <c r="CU217" s="11"/>
      <c r="CV217" s="11"/>
      <c r="CW217" s="11"/>
      <c r="CX217" s="11"/>
      <c r="CY217" s="11"/>
      <c r="CZ217" s="11"/>
      <c r="DA217" s="11"/>
      <c r="DB217" s="11"/>
      <c r="DC217" s="11"/>
      <c r="DD217" s="11"/>
      <c r="DE217" s="11"/>
      <c r="DF217" s="11"/>
      <c r="DG217" s="11"/>
      <c r="DH217" s="11"/>
      <c r="DI217" s="11"/>
      <c r="DJ217" s="11"/>
      <c r="DK217" s="11"/>
      <c r="DL217" s="11"/>
      <c r="DM217" s="11"/>
      <c r="DN217" s="11"/>
      <c r="DO217" s="11"/>
      <c r="DP217" s="11"/>
      <c r="DQ217" s="11"/>
      <c r="DR217" s="11"/>
      <c r="DS217" s="11"/>
      <c r="DT217" s="11"/>
      <c r="DU217" s="11"/>
      <c r="DV217" s="11"/>
      <c r="DW217" s="11"/>
      <c r="DX217" s="11"/>
      <c r="DY217" s="11"/>
      <c r="DZ217" s="11"/>
      <c r="EA217" s="11"/>
      <c r="EB217" s="11"/>
      <c r="EC217" s="11"/>
      <c r="ED217" s="11"/>
    </row>
    <row r="218" spans="1:134">
      <c r="A218" s="18" t="str">
        <f>A31</f>
        <v>Bond 5</v>
      </c>
      <c r="B218" s="18">
        <f t="shared" ref="B218:AG218" si="425">B31*B101</f>
        <v>0.74965522515078897</v>
      </c>
      <c r="C218" s="18">
        <f t="shared" si="425"/>
        <v>0.7469936122414873</v>
      </c>
      <c r="D218" s="18">
        <f t="shared" si="425"/>
        <v>0.7448642786066304</v>
      </c>
      <c r="E218" s="18">
        <f t="shared" si="425"/>
        <v>99.827370200447831</v>
      </c>
      <c r="F218" s="18">
        <f t="shared" si="425"/>
        <v>0</v>
      </c>
      <c r="G218" s="18">
        <f t="shared" si="425"/>
        <v>0</v>
      </c>
      <c r="H218" s="18">
        <f t="shared" si="425"/>
        <v>0</v>
      </c>
      <c r="I218" s="18">
        <f t="shared" si="425"/>
        <v>0</v>
      </c>
      <c r="J218" s="18">
        <f t="shared" si="425"/>
        <v>0</v>
      </c>
      <c r="K218" s="18">
        <f t="shared" si="425"/>
        <v>0</v>
      </c>
      <c r="L218" s="18">
        <f t="shared" si="425"/>
        <v>0</v>
      </c>
      <c r="M218" s="18">
        <f t="shared" si="425"/>
        <v>0</v>
      </c>
      <c r="N218" s="18">
        <f t="shared" si="425"/>
        <v>0</v>
      </c>
      <c r="O218" s="18">
        <f t="shared" si="425"/>
        <v>0</v>
      </c>
      <c r="P218" s="18">
        <f t="shared" si="425"/>
        <v>0</v>
      </c>
      <c r="Q218" s="18">
        <f t="shared" si="425"/>
        <v>0</v>
      </c>
      <c r="R218" s="18">
        <f t="shared" si="425"/>
        <v>0</v>
      </c>
      <c r="S218" s="18">
        <f t="shared" si="425"/>
        <v>0</v>
      </c>
      <c r="T218" s="18">
        <f t="shared" si="425"/>
        <v>0</v>
      </c>
      <c r="U218" s="18">
        <f t="shared" si="425"/>
        <v>0</v>
      </c>
      <c r="V218" s="18">
        <f t="shared" si="425"/>
        <v>0</v>
      </c>
      <c r="W218" s="18">
        <f t="shared" si="425"/>
        <v>0</v>
      </c>
      <c r="X218" s="18">
        <f t="shared" si="425"/>
        <v>0</v>
      </c>
      <c r="Y218" s="18">
        <f t="shared" si="425"/>
        <v>0</v>
      </c>
      <c r="Z218" s="18">
        <f t="shared" si="425"/>
        <v>0</v>
      </c>
      <c r="AA218" s="18">
        <f t="shared" si="425"/>
        <v>0</v>
      </c>
      <c r="AB218" s="18">
        <f t="shared" si="425"/>
        <v>0</v>
      </c>
      <c r="AC218" s="18">
        <f t="shared" si="425"/>
        <v>0</v>
      </c>
      <c r="AD218" s="18">
        <f t="shared" si="425"/>
        <v>0</v>
      </c>
      <c r="AE218" s="18">
        <f t="shared" si="425"/>
        <v>0</v>
      </c>
      <c r="AF218" s="18">
        <f t="shared" si="425"/>
        <v>0</v>
      </c>
      <c r="AG218" s="18">
        <f t="shared" si="425"/>
        <v>0</v>
      </c>
      <c r="AH218" s="18">
        <f t="shared" ref="AH218:BM218" si="426">AH31*AH101</f>
        <v>0</v>
      </c>
      <c r="AI218" s="18">
        <f t="shared" si="426"/>
        <v>0</v>
      </c>
      <c r="AJ218" s="18">
        <f t="shared" si="426"/>
        <v>0</v>
      </c>
      <c r="AK218" s="18">
        <f t="shared" si="426"/>
        <v>0</v>
      </c>
      <c r="AL218" s="18">
        <f t="shared" si="426"/>
        <v>0</v>
      </c>
      <c r="AM218" s="18">
        <f t="shared" si="426"/>
        <v>0</v>
      </c>
      <c r="AN218" s="18">
        <f t="shared" si="426"/>
        <v>0</v>
      </c>
      <c r="AO218" s="18">
        <f t="shared" si="426"/>
        <v>0</v>
      </c>
      <c r="AP218" s="18">
        <f t="shared" si="426"/>
        <v>0</v>
      </c>
      <c r="AQ218" s="18">
        <f t="shared" si="426"/>
        <v>0</v>
      </c>
      <c r="AR218" s="18">
        <f t="shared" si="426"/>
        <v>0</v>
      </c>
      <c r="AS218" s="18">
        <f t="shared" si="426"/>
        <v>0</v>
      </c>
      <c r="AT218" s="18">
        <f t="shared" si="426"/>
        <v>0</v>
      </c>
      <c r="AU218" s="18">
        <f t="shared" si="426"/>
        <v>0</v>
      </c>
      <c r="AV218" s="18">
        <f t="shared" si="426"/>
        <v>0</v>
      </c>
      <c r="AW218" s="18">
        <f t="shared" si="426"/>
        <v>0</v>
      </c>
      <c r="AX218" s="18">
        <f t="shared" si="426"/>
        <v>0</v>
      </c>
      <c r="AY218" s="18">
        <f t="shared" si="426"/>
        <v>0</v>
      </c>
      <c r="AZ218" s="18">
        <f t="shared" si="426"/>
        <v>0</v>
      </c>
      <c r="BA218" s="18">
        <f t="shared" si="426"/>
        <v>0</v>
      </c>
      <c r="BB218" s="18">
        <f t="shared" si="426"/>
        <v>0</v>
      </c>
      <c r="BC218" s="18">
        <f t="shared" si="426"/>
        <v>0</v>
      </c>
      <c r="BD218" s="18">
        <f t="shared" si="426"/>
        <v>0</v>
      </c>
      <c r="BE218" s="18">
        <f t="shared" si="426"/>
        <v>0</v>
      </c>
      <c r="BF218" s="18">
        <f t="shared" si="426"/>
        <v>0</v>
      </c>
      <c r="BG218" s="18">
        <f t="shared" si="426"/>
        <v>0</v>
      </c>
      <c r="BH218" s="18">
        <f t="shared" si="426"/>
        <v>0</v>
      </c>
      <c r="BI218" s="18">
        <f t="shared" si="426"/>
        <v>0</v>
      </c>
      <c r="BJ218" s="18">
        <f t="shared" si="426"/>
        <v>0</v>
      </c>
      <c r="BK218" s="18">
        <f t="shared" si="426"/>
        <v>0</v>
      </c>
      <c r="BL218" s="18">
        <f t="shared" si="426"/>
        <v>0</v>
      </c>
      <c r="BM218" s="18">
        <f t="shared" si="426"/>
        <v>0</v>
      </c>
      <c r="BN218" s="18">
        <f t="shared" ref="BN218:CB218" si="427">BN31*BN101</f>
        <v>0</v>
      </c>
      <c r="BO218" s="18">
        <f t="shared" si="427"/>
        <v>0</v>
      </c>
      <c r="BP218" s="18">
        <f t="shared" si="427"/>
        <v>0</v>
      </c>
      <c r="BQ218" s="18">
        <f t="shared" si="427"/>
        <v>0</v>
      </c>
      <c r="BR218" s="18">
        <f t="shared" si="427"/>
        <v>0</v>
      </c>
      <c r="BS218" s="18">
        <f t="shared" si="427"/>
        <v>0</v>
      </c>
      <c r="BT218" s="18">
        <f t="shared" si="427"/>
        <v>0</v>
      </c>
      <c r="BU218" s="18">
        <f t="shared" si="427"/>
        <v>0</v>
      </c>
      <c r="BV218" s="18">
        <f t="shared" si="427"/>
        <v>0</v>
      </c>
      <c r="BW218" s="18">
        <f t="shared" si="427"/>
        <v>0</v>
      </c>
      <c r="BX218" s="18">
        <f t="shared" si="427"/>
        <v>0</v>
      </c>
      <c r="BY218" s="18">
        <f t="shared" si="427"/>
        <v>0</v>
      </c>
      <c r="BZ218" s="18">
        <f t="shared" si="427"/>
        <v>0</v>
      </c>
      <c r="CA218" s="18">
        <f t="shared" si="427"/>
        <v>0</v>
      </c>
      <c r="CB218" s="18">
        <f t="shared" si="427"/>
        <v>0</v>
      </c>
      <c r="CC218" s="17"/>
      <c r="CD218" s="17"/>
      <c r="CE218" s="17"/>
      <c r="CH218" s="11"/>
      <c r="CI218" s="11"/>
      <c r="CJ218" s="11"/>
      <c r="CK218" s="11"/>
      <c r="CL218" s="11"/>
      <c r="CM218" s="11"/>
      <c r="CN218" s="11"/>
      <c r="CO218" s="11"/>
      <c r="CP218" s="11"/>
      <c r="CQ218" s="11"/>
      <c r="CR218" s="11"/>
      <c r="CS218" s="11"/>
      <c r="CT218" s="11"/>
      <c r="CU218" s="11"/>
      <c r="CV218" s="11"/>
      <c r="CW218" s="11"/>
      <c r="CX218" s="11"/>
      <c r="CY218" s="11"/>
      <c r="CZ218" s="11"/>
      <c r="DA218" s="11"/>
      <c r="DB218" s="11"/>
      <c r="DC218" s="11"/>
      <c r="DD218" s="11"/>
      <c r="DE218" s="11"/>
      <c r="DF218" s="11"/>
      <c r="DG218" s="11"/>
      <c r="DH218" s="11"/>
      <c r="DI218" s="11"/>
      <c r="DJ218" s="11"/>
      <c r="DK218" s="11"/>
      <c r="DL218" s="11"/>
      <c r="DM218" s="11"/>
      <c r="DN218" s="11"/>
      <c r="DO218" s="11"/>
      <c r="DP218" s="11"/>
      <c r="DQ218" s="11"/>
      <c r="DR218" s="11"/>
      <c r="DS218" s="11"/>
      <c r="DT218" s="11"/>
      <c r="DU218" s="11"/>
      <c r="DV218" s="11"/>
      <c r="DW218" s="11"/>
      <c r="DX218" s="11"/>
      <c r="DY218" s="11"/>
      <c r="DZ218" s="11"/>
      <c r="EA218" s="11"/>
      <c r="EB218" s="11"/>
      <c r="EC218" s="11"/>
      <c r="ED218" s="11"/>
    </row>
    <row r="219" spans="1:134">
      <c r="A219" s="18" t="str">
        <f>A33</f>
        <v>Bond 6</v>
      </c>
      <c r="B219" s="18">
        <f t="shared" ref="B219:AG219" si="428">B33*B106</f>
        <v>0.249885075050263</v>
      </c>
      <c r="C219" s="18">
        <f t="shared" si="428"/>
        <v>0.24899787074716243</v>
      </c>
      <c r="D219" s="18">
        <f t="shared" si="428"/>
        <v>0.24828809286887679</v>
      </c>
      <c r="E219" s="18">
        <f t="shared" si="428"/>
        <v>0.24771059603088791</v>
      </c>
      <c r="F219" s="18">
        <f t="shared" si="428"/>
        <v>0.2471861653431221</v>
      </c>
      <c r="G219" s="18">
        <f t="shared" si="428"/>
        <v>0.24669282720312924</v>
      </c>
      <c r="H219" s="18">
        <f t="shared" si="428"/>
        <v>98.714778362756817</v>
      </c>
      <c r="I219" s="18">
        <f t="shared" si="428"/>
        <v>0</v>
      </c>
      <c r="J219" s="18">
        <f t="shared" si="428"/>
        <v>0</v>
      </c>
      <c r="K219" s="18">
        <f t="shared" si="428"/>
        <v>0</v>
      </c>
      <c r="L219" s="18">
        <f t="shared" si="428"/>
        <v>0</v>
      </c>
      <c r="M219" s="18">
        <f t="shared" si="428"/>
        <v>0</v>
      </c>
      <c r="N219" s="18">
        <f t="shared" si="428"/>
        <v>0</v>
      </c>
      <c r="O219" s="18">
        <f t="shared" si="428"/>
        <v>0</v>
      </c>
      <c r="P219" s="18">
        <f t="shared" si="428"/>
        <v>0</v>
      </c>
      <c r="Q219" s="18">
        <f t="shared" si="428"/>
        <v>0</v>
      </c>
      <c r="R219" s="18">
        <f t="shared" si="428"/>
        <v>0</v>
      </c>
      <c r="S219" s="18">
        <f t="shared" si="428"/>
        <v>0</v>
      </c>
      <c r="T219" s="18">
        <f t="shared" si="428"/>
        <v>0</v>
      </c>
      <c r="U219" s="18">
        <f t="shared" si="428"/>
        <v>0</v>
      </c>
      <c r="V219" s="18">
        <f t="shared" si="428"/>
        <v>0</v>
      </c>
      <c r="W219" s="18">
        <f t="shared" si="428"/>
        <v>0</v>
      </c>
      <c r="X219" s="18">
        <f t="shared" si="428"/>
        <v>0</v>
      </c>
      <c r="Y219" s="18">
        <f t="shared" si="428"/>
        <v>0</v>
      </c>
      <c r="Z219" s="18">
        <f t="shared" si="428"/>
        <v>0</v>
      </c>
      <c r="AA219" s="18">
        <f t="shared" si="428"/>
        <v>0</v>
      </c>
      <c r="AB219" s="18">
        <f t="shared" si="428"/>
        <v>0</v>
      </c>
      <c r="AC219" s="18">
        <f t="shared" si="428"/>
        <v>0</v>
      </c>
      <c r="AD219" s="18">
        <f t="shared" si="428"/>
        <v>0</v>
      </c>
      <c r="AE219" s="18">
        <f t="shared" si="428"/>
        <v>0</v>
      </c>
      <c r="AF219" s="18">
        <f t="shared" si="428"/>
        <v>0</v>
      </c>
      <c r="AG219" s="18">
        <f t="shared" si="428"/>
        <v>0</v>
      </c>
      <c r="AH219" s="18">
        <f t="shared" ref="AH219:BM219" si="429">AH33*AH106</f>
        <v>0</v>
      </c>
      <c r="AI219" s="18">
        <f t="shared" si="429"/>
        <v>0</v>
      </c>
      <c r="AJ219" s="18">
        <f t="shared" si="429"/>
        <v>0</v>
      </c>
      <c r="AK219" s="18">
        <f t="shared" si="429"/>
        <v>0</v>
      </c>
      <c r="AL219" s="18">
        <f t="shared" si="429"/>
        <v>0</v>
      </c>
      <c r="AM219" s="18">
        <f t="shared" si="429"/>
        <v>0</v>
      </c>
      <c r="AN219" s="18">
        <f t="shared" si="429"/>
        <v>0</v>
      </c>
      <c r="AO219" s="18">
        <f t="shared" si="429"/>
        <v>0</v>
      </c>
      <c r="AP219" s="18">
        <f t="shared" si="429"/>
        <v>0</v>
      </c>
      <c r="AQ219" s="18">
        <f t="shared" si="429"/>
        <v>0</v>
      </c>
      <c r="AR219" s="18">
        <f t="shared" si="429"/>
        <v>0</v>
      </c>
      <c r="AS219" s="18">
        <f t="shared" si="429"/>
        <v>0</v>
      </c>
      <c r="AT219" s="18">
        <f t="shared" si="429"/>
        <v>0</v>
      </c>
      <c r="AU219" s="18">
        <f t="shared" si="429"/>
        <v>0</v>
      </c>
      <c r="AV219" s="18">
        <f t="shared" si="429"/>
        <v>0</v>
      </c>
      <c r="AW219" s="18">
        <f t="shared" si="429"/>
        <v>0</v>
      </c>
      <c r="AX219" s="18">
        <f t="shared" si="429"/>
        <v>0</v>
      </c>
      <c r="AY219" s="18">
        <f t="shared" si="429"/>
        <v>0</v>
      </c>
      <c r="AZ219" s="18">
        <f t="shared" si="429"/>
        <v>0</v>
      </c>
      <c r="BA219" s="18">
        <f t="shared" si="429"/>
        <v>0</v>
      </c>
      <c r="BB219" s="18">
        <f t="shared" si="429"/>
        <v>0</v>
      </c>
      <c r="BC219" s="18">
        <f t="shared" si="429"/>
        <v>0</v>
      </c>
      <c r="BD219" s="18">
        <f t="shared" si="429"/>
        <v>0</v>
      </c>
      <c r="BE219" s="18">
        <f t="shared" si="429"/>
        <v>0</v>
      </c>
      <c r="BF219" s="18">
        <f t="shared" si="429"/>
        <v>0</v>
      </c>
      <c r="BG219" s="18">
        <f t="shared" si="429"/>
        <v>0</v>
      </c>
      <c r="BH219" s="18">
        <f t="shared" si="429"/>
        <v>0</v>
      </c>
      <c r="BI219" s="18">
        <f t="shared" si="429"/>
        <v>0</v>
      </c>
      <c r="BJ219" s="18">
        <f t="shared" si="429"/>
        <v>0</v>
      </c>
      <c r="BK219" s="18">
        <f t="shared" si="429"/>
        <v>0</v>
      </c>
      <c r="BL219" s="18">
        <f t="shared" si="429"/>
        <v>0</v>
      </c>
      <c r="BM219" s="18">
        <f t="shared" si="429"/>
        <v>0</v>
      </c>
      <c r="BN219" s="18">
        <f t="shared" ref="BN219:CB219" si="430">BN33*BN106</f>
        <v>0</v>
      </c>
      <c r="BO219" s="18">
        <f t="shared" si="430"/>
        <v>0</v>
      </c>
      <c r="BP219" s="18">
        <f t="shared" si="430"/>
        <v>0</v>
      </c>
      <c r="BQ219" s="18">
        <f t="shared" si="430"/>
        <v>0</v>
      </c>
      <c r="BR219" s="18">
        <f t="shared" si="430"/>
        <v>0</v>
      </c>
      <c r="BS219" s="18">
        <f t="shared" si="430"/>
        <v>0</v>
      </c>
      <c r="BT219" s="18">
        <f t="shared" si="430"/>
        <v>0</v>
      </c>
      <c r="BU219" s="18">
        <f t="shared" si="430"/>
        <v>0</v>
      </c>
      <c r="BV219" s="18">
        <f t="shared" si="430"/>
        <v>0</v>
      </c>
      <c r="BW219" s="18">
        <f t="shared" si="430"/>
        <v>0</v>
      </c>
      <c r="BX219" s="18">
        <f t="shared" si="430"/>
        <v>0</v>
      </c>
      <c r="BY219" s="18">
        <f t="shared" si="430"/>
        <v>0</v>
      </c>
      <c r="BZ219" s="18">
        <f t="shared" si="430"/>
        <v>0</v>
      </c>
      <c r="CA219" s="18">
        <f t="shared" si="430"/>
        <v>0</v>
      </c>
      <c r="CB219" s="18">
        <f t="shared" si="430"/>
        <v>0</v>
      </c>
      <c r="CC219" s="17"/>
      <c r="CD219" s="17"/>
      <c r="CE219" s="17"/>
      <c r="CH219" s="5"/>
      <c r="CI219" s="11"/>
      <c r="CJ219" s="11"/>
      <c r="CK219" s="11"/>
      <c r="CL219" s="11"/>
      <c r="CM219" s="11"/>
      <c r="CN219" s="11"/>
      <c r="CO219" s="11"/>
      <c r="CP219" s="11"/>
      <c r="CQ219" s="11"/>
      <c r="CR219" s="11"/>
      <c r="CS219" s="11"/>
      <c r="CT219" s="11"/>
      <c r="CU219" s="11"/>
      <c r="CV219" s="11"/>
      <c r="CW219" s="11"/>
      <c r="CX219" s="11"/>
      <c r="CY219" s="11"/>
      <c r="CZ219" s="11"/>
      <c r="DA219" s="11"/>
      <c r="DB219" s="11"/>
      <c r="DC219" s="11"/>
      <c r="DD219" s="11"/>
      <c r="DE219" s="11"/>
      <c r="DF219" s="11"/>
      <c r="DG219" s="11"/>
      <c r="DH219" s="11"/>
      <c r="DI219" s="11"/>
      <c r="DJ219" s="11"/>
      <c r="DK219" s="11"/>
      <c r="DL219" s="11"/>
      <c r="DM219" s="11"/>
      <c r="DN219" s="11"/>
      <c r="DO219" s="11"/>
      <c r="DP219" s="11"/>
      <c r="DQ219" s="11"/>
      <c r="DR219" s="11"/>
      <c r="DS219" s="11"/>
      <c r="DT219" s="11"/>
      <c r="DU219" s="11"/>
      <c r="DV219" s="11"/>
      <c r="DW219" s="11"/>
      <c r="DX219" s="11"/>
      <c r="DY219" s="11"/>
      <c r="DZ219" s="11"/>
      <c r="EA219" s="11"/>
      <c r="EB219" s="11"/>
      <c r="EC219" s="11"/>
      <c r="ED219" s="11"/>
    </row>
    <row r="220" spans="1:134">
      <c r="A220" s="18" t="str">
        <f>A35</f>
        <v>Bond 7</v>
      </c>
      <c r="B220" s="18">
        <f t="shared" ref="B220:AG220" si="431">B35*B111</f>
        <v>0.37482761257539449</v>
      </c>
      <c r="C220" s="18">
        <f t="shared" si="431"/>
        <v>0.37349680612074365</v>
      </c>
      <c r="D220" s="18">
        <f t="shared" si="431"/>
        <v>0.3724321393033152</v>
      </c>
      <c r="E220" s="18">
        <f t="shared" si="431"/>
        <v>0.37156589404633189</v>
      </c>
      <c r="F220" s="18">
        <f t="shared" si="431"/>
        <v>0.37077924801468315</v>
      </c>
      <c r="G220" s="18">
        <f t="shared" si="431"/>
        <v>0.37003924080469386</v>
      </c>
      <c r="H220" s="18">
        <f t="shared" si="431"/>
        <v>0.36925727567116018</v>
      </c>
      <c r="I220" s="18">
        <f t="shared" si="431"/>
        <v>0.36842568937303782</v>
      </c>
      <c r="J220" s="18">
        <f t="shared" si="431"/>
        <v>98.360540762641406</v>
      </c>
      <c r="K220" s="18">
        <f t="shared" si="431"/>
        <v>0</v>
      </c>
      <c r="L220" s="18">
        <f t="shared" si="431"/>
        <v>0</v>
      </c>
      <c r="M220" s="18">
        <f t="shared" si="431"/>
        <v>0</v>
      </c>
      <c r="N220" s="18">
        <f t="shared" si="431"/>
        <v>0</v>
      </c>
      <c r="O220" s="18">
        <f t="shared" si="431"/>
        <v>0</v>
      </c>
      <c r="P220" s="18">
        <f t="shared" si="431"/>
        <v>0</v>
      </c>
      <c r="Q220" s="18">
        <f t="shared" si="431"/>
        <v>0</v>
      </c>
      <c r="R220" s="18">
        <f t="shared" si="431"/>
        <v>0</v>
      </c>
      <c r="S220" s="18">
        <f t="shared" si="431"/>
        <v>0</v>
      </c>
      <c r="T220" s="18">
        <f t="shared" si="431"/>
        <v>0</v>
      </c>
      <c r="U220" s="18">
        <f t="shared" si="431"/>
        <v>0</v>
      </c>
      <c r="V220" s="18">
        <f t="shared" si="431"/>
        <v>0</v>
      </c>
      <c r="W220" s="18">
        <f t="shared" si="431"/>
        <v>0</v>
      </c>
      <c r="X220" s="18">
        <f t="shared" si="431"/>
        <v>0</v>
      </c>
      <c r="Y220" s="18">
        <f t="shared" si="431"/>
        <v>0</v>
      </c>
      <c r="Z220" s="18">
        <f t="shared" si="431"/>
        <v>0</v>
      </c>
      <c r="AA220" s="18">
        <f t="shared" si="431"/>
        <v>0</v>
      </c>
      <c r="AB220" s="18">
        <f t="shared" si="431"/>
        <v>0</v>
      </c>
      <c r="AC220" s="18">
        <f t="shared" si="431"/>
        <v>0</v>
      </c>
      <c r="AD220" s="18">
        <f t="shared" si="431"/>
        <v>0</v>
      </c>
      <c r="AE220" s="18">
        <f t="shared" si="431"/>
        <v>0</v>
      </c>
      <c r="AF220" s="18">
        <f t="shared" si="431"/>
        <v>0</v>
      </c>
      <c r="AG220" s="18">
        <f t="shared" si="431"/>
        <v>0</v>
      </c>
      <c r="AH220" s="18">
        <f t="shared" ref="AH220:BM220" si="432">AH35*AH111</f>
        <v>0</v>
      </c>
      <c r="AI220" s="18">
        <f t="shared" si="432"/>
        <v>0</v>
      </c>
      <c r="AJ220" s="18">
        <f t="shared" si="432"/>
        <v>0</v>
      </c>
      <c r="AK220" s="18">
        <f t="shared" si="432"/>
        <v>0</v>
      </c>
      <c r="AL220" s="18">
        <f t="shared" si="432"/>
        <v>0</v>
      </c>
      <c r="AM220" s="18">
        <f t="shared" si="432"/>
        <v>0</v>
      </c>
      <c r="AN220" s="18">
        <f t="shared" si="432"/>
        <v>0</v>
      </c>
      <c r="AO220" s="18">
        <f t="shared" si="432"/>
        <v>0</v>
      </c>
      <c r="AP220" s="18">
        <f t="shared" si="432"/>
        <v>0</v>
      </c>
      <c r="AQ220" s="18">
        <f t="shared" si="432"/>
        <v>0</v>
      </c>
      <c r="AR220" s="18">
        <f t="shared" si="432"/>
        <v>0</v>
      </c>
      <c r="AS220" s="18">
        <f t="shared" si="432"/>
        <v>0</v>
      </c>
      <c r="AT220" s="18">
        <f t="shared" si="432"/>
        <v>0</v>
      </c>
      <c r="AU220" s="18">
        <f t="shared" si="432"/>
        <v>0</v>
      </c>
      <c r="AV220" s="18">
        <f t="shared" si="432"/>
        <v>0</v>
      </c>
      <c r="AW220" s="18">
        <f t="shared" si="432"/>
        <v>0</v>
      </c>
      <c r="AX220" s="18">
        <f t="shared" si="432"/>
        <v>0</v>
      </c>
      <c r="AY220" s="18">
        <f t="shared" si="432"/>
        <v>0</v>
      </c>
      <c r="AZ220" s="18">
        <f t="shared" si="432"/>
        <v>0</v>
      </c>
      <c r="BA220" s="18">
        <f t="shared" si="432"/>
        <v>0</v>
      </c>
      <c r="BB220" s="18">
        <f t="shared" si="432"/>
        <v>0</v>
      </c>
      <c r="BC220" s="18">
        <f t="shared" si="432"/>
        <v>0</v>
      </c>
      <c r="BD220" s="18">
        <f t="shared" si="432"/>
        <v>0</v>
      </c>
      <c r="BE220" s="18">
        <f t="shared" si="432"/>
        <v>0</v>
      </c>
      <c r="BF220" s="18">
        <f t="shared" si="432"/>
        <v>0</v>
      </c>
      <c r="BG220" s="18">
        <f t="shared" si="432"/>
        <v>0</v>
      </c>
      <c r="BH220" s="18">
        <f t="shared" si="432"/>
        <v>0</v>
      </c>
      <c r="BI220" s="18">
        <f t="shared" si="432"/>
        <v>0</v>
      </c>
      <c r="BJ220" s="18">
        <f t="shared" si="432"/>
        <v>0</v>
      </c>
      <c r="BK220" s="18">
        <f t="shared" si="432"/>
        <v>0</v>
      </c>
      <c r="BL220" s="18">
        <f t="shared" si="432"/>
        <v>0</v>
      </c>
      <c r="BM220" s="18">
        <f t="shared" si="432"/>
        <v>0</v>
      </c>
      <c r="BN220" s="18">
        <f t="shared" ref="BN220:CB220" si="433">BN35*BN111</f>
        <v>0</v>
      </c>
      <c r="BO220" s="18">
        <f t="shared" si="433"/>
        <v>0</v>
      </c>
      <c r="BP220" s="18">
        <f t="shared" si="433"/>
        <v>0</v>
      </c>
      <c r="BQ220" s="18">
        <f t="shared" si="433"/>
        <v>0</v>
      </c>
      <c r="BR220" s="18">
        <f t="shared" si="433"/>
        <v>0</v>
      </c>
      <c r="BS220" s="18">
        <f t="shared" si="433"/>
        <v>0</v>
      </c>
      <c r="BT220" s="18">
        <f t="shared" si="433"/>
        <v>0</v>
      </c>
      <c r="BU220" s="18">
        <f t="shared" si="433"/>
        <v>0</v>
      </c>
      <c r="BV220" s="18">
        <f t="shared" si="433"/>
        <v>0</v>
      </c>
      <c r="BW220" s="18">
        <f t="shared" si="433"/>
        <v>0</v>
      </c>
      <c r="BX220" s="18">
        <f t="shared" si="433"/>
        <v>0</v>
      </c>
      <c r="BY220" s="18">
        <f t="shared" si="433"/>
        <v>0</v>
      </c>
      <c r="BZ220" s="18">
        <f t="shared" si="433"/>
        <v>0</v>
      </c>
      <c r="CA220" s="18">
        <f t="shared" si="433"/>
        <v>0</v>
      </c>
      <c r="CB220" s="18">
        <f t="shared" si="433"/>
        <v>0</v>
      </c>
      <c r="CC220" s="17"/>
      <c r="CD220" s="17"/>
      <c r="CE220" s="17"/>
      <c r="CH220" s="5"/>
      <c r="CI220" s="11"/>
      <c r="CJ220" s="11"/>
      <c r="CK220" s="11"/>
      <c r="CL220" s="11"/>
      <c r="CM220" s="11"/>
      <c r="CN220" s="11"/>
      <c r="CO220" s="11"/>
      <c r="CP220" s="11"/>
      <c r="CQ220" s="11"/>
      <c r="CR220" s="11"/>
      <c r="CS220" s="11"/>
      <c r="CT220" s="11"/>
      <c r="CU220" s="11"/>
      <c r="CV220" s="11"/>
      <c r="CW220" s="11"/>
      <c r="CX220" s="11"/>
      <c r="CY220" s="11"/>
      <c r="CZ220" s="11"/>
      <c r="DA220" s="11"/>
      <c r="DB220" s="11"/>
      <c r="DC220" s="11"/>
      <c r="DD220" s="11"/>
      <c r="DE220" s="11"/>
      <c r="DF220" s="11"/>
      <c r="DG220" s="11"/>
      <c r="DH220" s="11"/>
      <c r="DI220" s="11"/>
      <c r="DJ220" s="11"/>
      <c r="DK220" s="11"/>
      <c r="DL220" s="11"/>
      <c r="DM220" s="11"/>
      <c r="DN220" s="11"/>
      <c r="DO220" s="11"/>
      <c r="DP220" s="11"/>
      <c r="DQ220" s="11"/>
      <c r="DR220" s="11"/>
      <c r="DS220" s="11"/>
      <c r="DT220" s="11"/>
      <c r="DU220" s="11"/>
      <c r="DV220" s="11"/>
      <c r="DW220" s="11"/>
      <c r="DX220" s="11"/>
      <c r="DY220" s="11"/>
      <c r="DZ220" s="11"/>
      <c r="EA220" s="11"/>
      <c r="EB220" s="11"/>
      <c r="EC220" s="11"/>
      <c r="ED220" s="11"/>
    </row>
    <row r="221" spans="1:134">
      <c r="A221" s="18" t="str">
        <f>A37</f>
        <v>Bond 8</v>
      </c>
      <c r="B221" s="18">
        <f t="shared" ref="B221:AG221" si="434">B37*B116</f>
        <v>0.49881641606192734</v>
      </c>
      <c r="C221" s="18">
        <f t="shared" si="434"/>
        <v>0.49724304390091056</v>
      </c>
      <c r="D221" s="18">
        <f t="shared" si="434"/>
        <v>0.4959698486604675</v>
      </c>
      <c r="E221" s="18">
        <f t="shared" si="434"/>
        <v>0.49488062838059865</v>
      </c>
      <c r="F221" s="18">
        <f t="shared" si="434"/>
        <v>0.4938734844472446</v>
      </c>
      <c r="G221" s="18">
        <f t="shared" si="434"/>
        <v>0.4928668631293075</v>
      </c>
      <c r="H221" s="18">
        <f t="shared" si="434"/>
        <v>0.49179638536172171</v>
      </c>
      <c r="I221" s="18">
        <f t="shared" si="434"/>
        <v>0.49061221111579134</v>
      </c>
      <c r="J221" s="18">
        <f t="shared" si="434"/>
        <v>0.4892768142734083</v>
      </c>
      <c r="K221" s="18">
        <f t="shared" si="434"/>
        <v>98.042175991481116</v>
      </c>
      <c r="L221" s="18">
        <f t="shared" si="434"/>
        <v>0</v>
      </c>
      <c r="M221" s="18">
        <f t="shared" si="434"/>
        <v>0</v>
      </c>
      <c r="N221" s="18">
        <f t="shared" si="434"/>
        <v>0</v>
      </c>
      <c r="O221" s="18">
        <f t="shared" si="434"/>
        <v>0</v>
      </c>
      <c r="P221" s="18">
        <f t="shared" si="434"/>
        <v>0</v>
      </c>
      <c r="Q221" s="18">
        <f t="shared" si="434"/>
        <v>0</v>
      </c>
      <c r="R221" s="18">
        <f t="shared" si="434"/>
        <v>0</v>
      </c>
      <c r="S221" s="18">
        <f t="shared" si="434"/>
        <v>0</v>
      </c>
      <c r="T221" s="18">
        <f t="shared" si="434"/>
        <v>0</v>
      </c>
      <c r="U221" s="18">
        <f t="shared" si="434"/>
        <v>0</v>
      </c>
      <c r="V221" s="18">
        <f t="shared" si="434"/>
        <v>0</v>
      </c>
      <c r="W221" s="18">
        <f t="shared" si="434"/>
        <v>0</v>
      </c>
      <c r="X221" s="18">
        <f t="shared" si="434"/>
        <v>0</v>
      </c>
      <c r="Y221" s="18">
        <f t="shared" si="434"/>
        <v>0</v>
      </c>
      <c r="Z221" s="18">
        <f t="shared" si="434"/>
        <v>0</v>
      </c>
      <c r="AA221" s="18">
        <f t="shared" si="434"/>
        <v>0</v>
      </c>
      <c r="AB221" s="18">
        <f t="shared" si="434"/>
        <v>0</v>
      </c>
      <c r="AC221" s="18">
        <f t="shared" si="434"/>
        <v>0</v>
      </c>
      <c r="AD221" s="18">
        <f t="shared" si="434"/>
        <v>0</v>
      </c>
      <c r="AE221" s="18">
        <f t="shared" si="434"/>
        <v>0</v>
      </c>
      <c r="AF221" s="18">
        <f t="shared" si="434"/>
        <v>0</v>
      </c>
      <c r="AG221" s="18">
        <f t="shared" si="434"/>
        <v>0</v>
      </c>
      <c r="AH221" s="18">
        <f t="shared" ref="AH221:BM221" si="435">AH37*AH116</f>
        <v>0</v>
      </c>
      <c r="AI221" s="18">
        <f t="shared" si="435"/>
        <v>0</v>
      </c>
      <c r="AJ221" s="18">
        <f t="shared" si="435"/>
        <v>0</v>
      </c>
      <c r="AK221" s="18">
        <f t="shared" si="435"/>
        <v>0</v>
      </c>
      <c r="AL221" s="18">
        <f t="shared" si="435"/>
        <v>0</v>
      </c>
      <c r="AM221" s="18">
        <f t="shared" si="435"/>
        <v>0</v>
      </c>
      <c r="AN221" s="18">
        <f t="shared" si="435"/>
        <v>0</v>
      </c>
      <c r="AO221" s="18">
        <f t="shared" si="435"/>
        <v>0</v>
      </c>
      <c r="AP221" s="18">
        <f t="shared" si="435"/>
        <v>0</v>
      </c>
      <c r="AQ221" s="18">
        <f t="shared" si="435"/>
        <v>0</v>
      </c>
      <c r="AR221" s="18">
        <f t="shared" si="435"/>
        <v>0</v>
      </c>
      <c r="AS221" s="18">
        <f t="shared" si="435"/>
        <v>0</v>
      </c>
      <c r="AT221" s="18">
        <f t="shared" si="435"/>
        <v>0</v>
      </c>
      <c r="AU221" s="18">
        <f t="shared" si="435"/>
        <v>0</v>
      </c>
      <c r="AV221" s="18">
        <f t="shared" si="435"/>
        <v>0</v>
      </c>
      <c r="AW221" s="18">
        <f t="shared" si="435"/>
        <v>0</v>
      </c>
      <c r="AX221" s="18">
        <f t="shared" si="435"/>
        <v>0</v>
      </c>
      <c r="AY221" s="18">
        <f t="shared" si="435"/>
        <v>0</v>
      </c>
      <c r="AZ221" s="18">
        <f t="shared" si="435"/>
        <v>0</v>
      </c>
      <c r="BA221" s="18">
        <f t="shared" si="435"/>
        <v>0</v>
      </c>
      <c r="BB221" s="18">
        <f t="shared" si="435"/>
        <v>0</v>
      </c>
      <c r="BC221" s="18">
        <f t="shared" si="435"/>
        <v>0</v>
      </c>
      <c r="BD221" s="18">
        <f t="shared" si="435"/>
        <v>0</v>
      </c>
      <c r="BE221" s="18">
        <f t="shared" si="435"/>
        <v>0</v>
      </c>
      <c r="BF221" s="18">
        <f t="shared" si="435"/>
        <v>0</v>
      </c>
      <c r="BG221" s="18">
        <f t="shared" si="435"/>
        <v>0</v>
      </c>
      <c r="BH221" s="18">
        <f t="shared" si="435"/>
        <v>0</v>
      </c>
      <c r="BI221" s="18">
        <f t="shared" si="435"/>
        <v>0</v>
      </c>
      <c r="BJ221" s="18">
        <f t="shared" si="435"/>
        <v>0</v>
      </c>
      <c r="BK221" s="18">
        <f t="shared" si="435"/>
        <v>0</v>
      </c>
      <c r="BL221" s="18">
        <f t="shared" si="435"/>
        <v>0</v>
      </c>
      <c r="BM221" s="18">
        <f t="shared" si="435"/>
        <v>0</v>
      </c>
      <c r="BN221" s="18">
        <f t="shared" ref="BN221:CB221" si="436">BN37*BN116</f>
        <v>0</v>
      </c>
      <c r="BO221" s="18">
        <f t="shared" si="436"/>
        <v>0</v>
      </c>
      <c r="BP221" s="18">
        <f t="shared" si="436"/>
        <v>0</v>
      </c>
      <c r="BQ221" s="18">
        <f t="shared" si="436"/>
        <v>0</v>
      </c>
      <c r="BR221" s="18">
        <f t="shared" si="436"/>
        <v>0</v>
      </c>
      <c r="BS221" s="18">
        <f t="shared" si="436"/>
        <v>0</v>
      </c>
      <c r="BT221" s="18">
        <f t="shared" si="436"/>
        <v>0</v>
      </c>
      <c r="BU221" s="18">
        <f t="shared" si="436"/>
        <v>0</v>
      </c>
      <c r="BV221" s="18">
        <f t="shared" si="436"/>
        <v>0</v>
      </c>
      <c r="BW221" s="18">
        <f t="shared" si="436"/>
        <v>0</v>
      </c>
      <c r="BX221" s="18">
        <f t="shared" si="436"/>
        <v>0</v>
      </c>
      <c r="BY221" s="18">
        <f t="shared" si="436"/>
        <v>0</v>
      </c>
      <c r="BZ221" s="18">
        <f t="shared" si="436"/>
        <v>0</v>
      </c>
      <c r="CA221" s="18">
        <f t="shared" si="436"/>
        <v>0</v>
      </c>
      <c r="CB221" s="18">
        <f t="shared" si="436"/>
        <v>0</v>
      </c>
      <c r="CC221" s="17"/>
      <c r="CD221" s="17"/>
      <c r="CE221" s="17"/>
      <c r="CH221" s="5"/>
      <c r="CI221" s="11"/>
      <c r="CJ221" s="11"/>
      <c r="CK221" s="11"/>
      <c r="CL221" s="11"/>
      <c r="CM221" s="11"/>
      <c r="CN221" s="11"/>
      <c r="CO221" s="11"/>
      <c r="CP221" s="11"/>
      <c r="CQ221" s="11"/>
      <c r="CR221" s="11"/>
      <c r="CS221" s="11"/>
      <c r="CT221" s="11"/>
      <c r="CU221" s="11"/>
      <c r="CV221" s="11"/>
      <c r="CW221" s="11"/>
      <c r="CX221" s="11"/>
      <c r="CY221" s="11"/>
      <c r="CZ221" s="11"/>
      <c r="DA221" s="11"/>
      <c r="DB221" s="11"/>
      <c r="DC221" s="11"/>
      <c r="DD221" s="11"/>
      <c r="DE221" s="11"/>
      <c r="DF221" s="11"/>
      <c r="DG221" s="11"/>
      <c r="DH221" s="11"/>
      <c r="DI221" s="11"/>
      <c r="DJ221" s="11"/>
      <c r="DK221" s="11"/>
      <c r="DL221" s="11"/>
      <c r="DM221" s="11"/>
      <c r="DN221" s="11"/>
      <c r="DO221" s="11"/>
      <c r="DP221" s="11"/>
      <c r="DQ221" s="11"/>
      <c r="DR221" s="11"/>
      <c r="DS221" s="11"/>
      <c r="DT221" s="11"/>
      <c r="DU221" s="11"/>
      <c r="DV221" s="11"/>
      <c r="DW221" s="11"/>
      <c r="DX221" s="11"/>
      <c r="DY221" s="11"/>
      <c r="DZ221" s="11"/>
      <c r="EA221" s="11"/>
      <c r="EB221" s="11"/>
      <c r="EC221" s="11"/>
      <c r="ED221" s="11"/>
    </row>
    <row r="222" spans="1:134">
      <c r="A222" s="18" t="str">
        <f>A39</f>
        <v>Bond 9</v>
      </c>
      <c r="B222" s="18">
        <f t="shared" ref="B222:AG222" si="437">B39*B121</f>
        <v>0.99855497563263396</v>
      </c>
      <c r="C222" s="18">
        <f t="shared" si="437"/>
        <v>0.99519204045951504</v>
      </c>
      <c r="D222" s="18">
        <f t="shared" si="437"/>
        <v>0.99253284091721428</v>
      </c>
      <c r="E222" s="18">
        <f t="shared" si="437"/>
        <v>0.99027153599581197</v>
      </c>
      <c r="F222" s="18">
        <f t="shared" si="437"/>
        <v>0.98824470301905865</v>
      </c>
      <c r="G222" s="18">
        <f t="shared" si="437"/>
        <v>0.98623323918457029</v>
      </c>
      <c r="H222" s="18">
        <f t="shared" si="437"/>
        <v>0.98414588653753776</v>
      </c>
      <c r="I222" s="18">
        <f t="shared" si="437"/>
        <v>0.98182878321440181</v>
      </c>
      <c r="J222" s="18">
        <f t="shared" si="437"/>
        <v>0.97925297021171376</v>
      </c>
      <c r="K222" s="18">
        <f t="shared" si="437"/>
        <v>0.97631874379111216</v>
      </c>
      <c r="L222" s="18">
        <f t="shared" si="437"/>
        <v>0.97301840615981727</v>
      </c>
      <c r="M222" s="18">
        <f t="shared" si="437"/>
        <v>0.96926784081880513</v>
      </c>
      <c r="N222" s="18">
        <f t="shared" si="437"/>
        <v>97.478872634039561</v>
      </c>
      <c r="O222" s="18">
        <f t="shared" si="437"/>
        <v>0</v>
      </c>
      <c r="P222" s="18">
        <f t="shared" si="437"/>
        <v>0</v>
      </c>
      <c r="Q222" s="18">
        <f t="shared" si="437"/>
        <v>0</v>
      </c>
      <c r="R222" s="18">
        <f t="shared" si="437"/>
        <v>0</v>
      </c>
      <c r="S222" s="18">
        <f t="shared" si="437"/>
        <v>0</v>
      </c>
      <c r="T222" s="18">
        <f t="shared" si="437"/>
        <v>0</v>
      </c>
      <c r="U222" s="18">
        <f t="shared" si="437"/>
        <v>0</v>
      </c>
      <c r="V222" s="18">
        <f t="shared" si="437"/>
        <v>0</v>
      </c>
      <c r="W222" s="18">
        <f t="shared" si="437"/>
        <v>0</v>
      </c>
      <c r="X222" s="18">
        <f t="shared" si="437"/>
        <v>0</v>
      </c>
      <c r="Y222" s="18">
        <f t="shared" si="437"/>
        <v>0</v>
      </c>
      <c r="Z222" s="18">
        <f t="shared" si="437"/>
        <v>0</v>
      </c>
      <c r="AA222" s="18">
        <f t="shared" si="437"/>
        <v>0</v>
      </c>
      <c r="AB222" s="18">
        <f t="shared" si="437"/>
        <v>0</v>
      </c>
      <c r="AC222" s="18">
        <f t="shared" si="437"/>
        <v>0</v>
      </c>
      <c r="AD222" s="18">
        <f t="shared" si="437"/>
        <v>0</v>
      </c>
      <c r="AE222" s="18">
        <f t="shared" si="437"/>
        <v>0</v>
      </c>
      <c r="AF222" s="18">
        <f t="shared" si="437"/>
        <v>0</v>
      </c>
      <c r="AG222" s="18">
        <f t="shared" si="437"/>
        <v>0</v>
      </c>
      <c r="AH222" s="18">
        <f t="shared" ref="AH222:BM222" si="438">AH39*AH121</f>
        <v>0</v>
      </c>
      <c r="AI222" s="18">
        <f t="shared" si="438"/>
        <v>0</v>
      </c>
      <c r="AJ222" s="18">
        <f t="shared" si="438"/>
        <v>0</v>
      </c>
      <c r="AK222" s="18">
        <f t="shared" si="438"/>
        <v>0</v>
      </c>
      <c r="AL222" s="18">
        <f t="shared" si="438"/>
        <v>0</v>
      </c>
      <c r="AM222" s="18">
        <f t="shared" si="438"/>
        <v>0</v>
      </c>
      <c r="AN222" s="18">
        <f t="shared" si="438"/>
        <v>0</v>
      </c>
      <c r="AO222" s="18">
        <f t="shared" si="438"/>
        <v>0</v>
      </c>
      <c r="AP222" s="18">
        <f t="shared" si="438"/>
        <v>0</v>
      </c>
      <c r="AQ222" s="18">
        <f t="shared" si="438"/>
        <v>0</v>
      </c>
      <c r="AR222" s="18">
        <f t="shared" si="438"/>
        <v>0</v>
      </c>
      <c r="AS222" s="18">
        <f t="shared" si="438"/>
        <v>0</v>
      </c>
      <c r="AT222" s="18">
        <f t="shared" si="438"/>
        <v>0</v>
      </c>
      <c r="AU222" s="18">
        <f t="shared" si="438"/>
        <v>0</v>
      </c>
      <c r="AV222" s="18">
        <f t="shared" si="438"/>
        <v>0</v>
      </c>
      <c r="AW222" s="18">
        <f t="shared" si="438"/>
        <v>0</v>
      </c>
      <c r="AX222" s="18">
        <f t="shared" si="438"/>
        <v>0</v>
      </c>
      <c r="AY222" s="18">
        <f t="shared" si="438"/>
        <v>0</v>
      </c>
      <c r="AZ222" s="18">
        <f t="shared" si="438"/>
        <v>0</v>
      </c>
      <c r="BA222" s="18">
        <f t="shared" si="438"/>
        <v>0</v>
      </c>
      <c r="BB222" s="18">
        <f t="shared" si="438"/>
        <v>0</v>
      </c>
      <c r="BC222" s="18">
        <f t="shared" si="438"/>
        <v>0</v>
      </c>
      <c r="BD222" s="18">
        <f t="shared" si="438"/>
        <v>0</v>
      </c>
      <c r="BE222" s="18">
        <f t="shared" si="438"/>
        <v>0</v>
      </c>
      <c r="BF222" s="18">
        <f t="shared" si="438"/>
        <v>0</v>
      </c>
      <c r="BG222" s="18">
        <f t="shared" si="438"/>
        <v>0</v>
      </c>
      <c r="BH222" s="18">
        <f t="shared" si="438"/>
        <v>0</v>
      </c>
      <c r="BI222" s="18">
        <f t="shared" si="438"/>
        <v>0</v>
      </c>
      <c r="BJ222" s="18">
        <f t="shared" si="438"/>
        <v>0</v>
      </c>
      <c r="BK222" s="18">
        <f t="shared" si="438"/>
        <v>0</v>
      </c>
      <c r="BL222" s="18">
        <f t="shared" si="438"/>
        <v>0</v>
      </c>
      <c r="BM222" s="18">
        <f t="shared" si="438"/>
        <v>0</v>
      </c>
      <c r="BN222" s="18">
        <f t="shared" ref="BN222:CB222" si="439">BN39*BN121</f>
        <v>0</v>
      </c>
      <c r="BO222" s="18">
        <f t="shared" si="439"/>
        <v>0</v>
      </c>
      <c r="BP222" s="18">
        <f t="shared" si="439"/>
        <v>0</v>
      </c>
      <c r="BQ222" s="18">
        <f t="shared" si="439"/>
        <v>0</v>
      </c>
      <c r="BR222" s="18">
        <f t="shared" si="439"/>
        <v>0</v>
      </c>
      <c r="BS222" s="18">
        <f t="shared" si="439"/>
        <v>0</v>
      </c>
      <c r="BT222" s="18">
        <f t="shared" si="439"/>
        <v>0</v>
      </c>
      <c r="BU222" s="18">
        <f t="shared" si="439"/>
        <v>0</v>
      </c>
      <c r="BV222" s="18">
        <f t="shared" si="439"/>
        <v>0</v>
      </c>
      <c r="BW222" s="18">
        <f t="shared" si="439"/>
        <v>0</v>
      </c>
      <c r="BX222" s="18">
        <f t="shared" si="439"/>
        <v>0</v>
      </c>
      <c r="BY222" s="18">
        <f t="shared" si="439"/>
        <v>0</v>
      </c>
      <c r="BZ222" s="18">
        <f t="shared" si="439"/>
        <v>0</v>
      </c>
      <c r="CA222" s="18">
        <f t="shared" si="439"/>
        <v>0</v>
      </c>
      <c r="CB222" s="18">
        <f t="shared" si="439"/>
        <v>0</v>
      </c>
      <c r="CC222" s="17"/>
      <c r="CD222" s="17"/>
      <c r="CE222" s="17"/>
      <c r="CH222" s="5"/>
      <c r="CI222" s="11"/>
      <c r="CJ222" s="11"/>
      <c r="CK222" s="11"/>
      <c r="CL222" s="11"/>
      <c r="CM222" s="11"/>
      <c r="CN222" s="11"/>
      <c r="CO222" s="11"/>
      <c r="CP222" s="11"/>
      <c r="CQ222" s="11"/>
      <c r="CR222" s="11"/>
      <c r="CS222" s="11"/>
      <c r="CT222" s="11"/>
      <c r="CU222" s="11"/>
      <c r="CV222" s="11"/>
      <c r="CW222" s="11"/>
      <c r="CX222" s="11"/>
      <c r="CY222" s="11"/>
      <c r="CZ222" s="11"/>
      <c r="DA222" s="11"/>
      <c r="DB222" s="11"/>
      <c r="DC222" s="11"/>
      <c r="DD222" s="11"/>
      <c r="DE222" s="11"/>
      <c r="DF222" s="11"/>
      <c r="DG222" s="11"/>
      <c r="DH222" s="11"/>
      <c r="DI222" s="11"/>
      <c r="DJ222" s="11"/>
      <c r="DK222" s="11"/>
      <c r="DL222" s="11"/>
      <c r="DM222" s="11"/>
      <c r="DN222" s="11"/>
      <c r="DO222" s="11"/>
      <c r="DP222" s="11"/>
      <c r="DQ222" s="11"/>
      <c r="DR222" s="11"/>
      <c r="DS222" s="11"/>
      <c r="DT222" s="11"/>
      <c r="DU222" s="11"/>
      <c r="DV222" s="11"/>
      <c r="DW222" s="11"/>
      <c r="DX222" s="11"/>
      <c r="DY222" s="11"/>
      <c r="DZ222" s="11"/>
      <c r="EA222" s="11"/>
      <c r="EB222" s="11"/>
      <c r="EC222" s="11"/>
      <c r="ED222" s="11"/>
    </row>
    <row r="223" spans="1:134">
      <c r="A223" s="18" t="str">
        <f>A41</f>
        <v>Bond 10</v>
      </c>
      <c r="B223" s="18">
        <f t="shared" ref="B223:AG223" si="440">B41*B126</f>
        <v>0.74965522515078897</v>
      </c>
      <c r="C223" s="18">
        <f t="shared" si="440"/>
        <v>0.7469936122414873</v>
      </c>
      <c r="D223" s="18">
        <f t="shared" si="440"/>
        <v>0.7448642786066304</v>
      </c>
      <c r="E223" s="18">
        <f t="shared" si="440"/>
        <v>0.74313178809266378</v>
      </c>
      <c r="F223" s="18">
        <f t="shared" si="440"/>
        <v>0.7415584960293663</v>
      </c>
      <c r="G223" s="18">
        <f t="shared" si="440"/>
        <v>0.74007848160938772</v>
      </c>
      <c r="H223" s="18">
        <f t="shared" si="440"/>
        <v>0.73851455134232036</v>
      </c>
      <c r="I223" s="18">
        <f t="shared" si="440"/>
        <v>0.73685137874607565</v>
      </c>
      <c r="J223" s="18">
        <f t="shared" si="440"/>
        <v>0.7349480007171213</v>
      </c>
      <c r="K223" s="18">
        <f t="shared" si="440"/>
        <v>0.73284055951963256</v>
      </c>
      <c r="L223" s="18">
        <f t="shared" si="440"/>
        <v>0.73041419762790838</v>
      </c>
      <c r="M223" s="18">
        <f t="shared" si="440"/>
        <v>0.72772791868487519</v>
      </c>
      <c r="N223" s="18">
        <f t="shared" si="440"/>
        <v>0.72466158683907766</v>
      </c>
      <c r="O223" s="18">
        <f t="shared" si="440"/>
        <v>0.72134654655864738</v>
      </c>
      <c r="P223" s="18">
        <f t="shared" si="440"/>
        <v>96.402591803975326</v>
      </c>
      <c r="Q223" s="18">
        <f t="shared" si="440"/>
        <v>0</v>
      </c>
      <c r="R223" s="18">
        <f t="shared" si="440"/>
        <v>0</v>
      </c>
      <c r="S223" s="18">
        <f t="shared" si="440"/>
        <v>0</v>
      </c>
      <c r="T223" s="18">
        <f t="shared" si="440"/>
        <v>0</v>
      </c>
      <c r="U223" s="18">
        <f t="shared" si="440"/>
        <v>0</v>
      </c>
      <c r="V223" s="18">
        <f t="shared" si="440"/>
        <v>0</v>
      </c>
      <c r="W223" s="18">
        <f t="shared" si="440"/>
        <v>0</v>
      </c>
      <c r="X223" s="18">
        <f t="shared" si="440"/>
        <v>0</v>
      </c>
      <c r="Y223" s="18">
        <f t="shared" si="440"/>
        <v>0</v>
      </c>
      <c r="Z223" s="18">
        <f t="shared" si="440"/>
        <v>0</v>
      </c>
      <c r="AA223" s="18">
        <f t="shared" si="440"/>
        <v>0</v>
      </c>
      <c r="AB223" s="18">
        <f t="shared" si="440"/>
        <v>0</v>
      </c>
      <c r="AC223" s="18">
        <f t="shared" si="440"/>
        <v>0</v>
      </c>
      <c r="AD223" s="18">
        <f t="shared" si="440"/>
        <v>0</v>
      </c>
      <c r="AE223" s="18">
        <f t="shared" si="440"/>
        <v>0</v>
      </c>
      <c r="AF223" s="18">
        <f t="shared" si="440"/>
        <v>0</v>
      </c>
      <c r="AG223" s="18">
        <f t="shared" si="440"/>
        <v>0</v>
      </c>
      <c r="AH223" s="18">
        <f t="shared" ref="AH223:BM223" si="441">AH41*AH126</f>
        <v>0</v>
      </c>
      <c r="AI223" s="18">
        <f t="shared" si="441"/>
        <v>0</v>
      </c>
      <c r="AJ223" s="18">
        <f t="shared" si="441"/>
        <v>0</v>
      </c>
      <c r="AK223" s="18">
        <f t="shared" si="441"/>
        <v>0</v>
      </c>
      <c r="AL223" s="18">
        <f t="shared" si="441"/>
        <v>0</v>
      </c>
      <c r="AM223" s="18">
        <f t="shared" si="441"/>
        <v>0</v>
      </c>
      <c r="AN223" s="18">
        <f t="shared" si="441"/>
        <v>0</v>
      </c>
      <c r="AO223" s="18">
        <f t="shared" si="441"/>
        <v>0</v>
      </c>
      <c r="AP223" s="18">
        <f t="shared" si="441"/>
        <v>0</v>
      </c>
      <c r="AQ223" s="18">
        <f t="shared" si="441"/>
        <v>0</v>
      </c>
      <c r="AR223" s="18">
        <f t="shared" si="441"/>
        <v>0</v>
      </c>
      <c r="AS223" s="18">
        <f t="shared" si="441"/>
        <v>0</v>
      </c>
      <c r="AT223" s="18">
        <f t="shared" si="441"/>
        <v>0</v>
      </c>
      <c r="AU223" s="18">
        <f t="shared" si="441"/>
        <v>0</v>
      </c>
      <c r="AV223" s="18">
        <f t="shared" si="441"/>
        <v>0</v>
      </c>
      <c r="AW223" s="18">
        <f t="shared" si="441"/>
        <v>0</v>
      </c>
      <c r="AX223" s="18">
        <f t="shared" si="441"/>
        <v>0</v>
      </c>
      <c r="AY223" s="18">
        <f t="shared" si="441"/>
        <v>0</v>
      </c>
      <c r="AZ223" s="18">
        <f t="shared" si="441"/>
        <v>0</v>
      </c>
      <c r="BA223" s="18">
        <f t="shared" si="441"/>
        <v>0</v>
      </c>
      <c r="BB223" s="18">
        <f t="shared" si="441"/>
        <v>0</v>
      </c>
      <c r="BC223" s="18">
        <f t="shared" si="441"/>
        <v>0</v>
      </c>
      <c r="BD223" s="18">
        <f t="shared" si="441"/>
        <v>0</v>
      </c>
      <c r="BE223" s="18">
        <f t="shared" si="441"/>
        <v>0</v>
      </c>
      <c r="BF223" s="18">
        <f t="shared" si="441"/>
        <v>0</v>
      </c>
      <c r="BG223" s="18">
        <f t="shared" si="441"/>
        <v>0</v>
      </c>
      <c r="BH223" s="18">
        <f t="shared" si="441"/>
        <v>0</v>
      </c>
      <c r="BI223" s="18">
        <f t="shared" si="441"/>
        <v>0</v>
      </c>
      <c r="BJ223" s="18">
        <f t="shared" si="441"/>
        <v>0</v>
      </c>
      <c r="BK223" s="18">
        <f t="shared" si="441"/>
        <v>0</v>
      </c>
      <c r="BL223" s="18">
        <f t="shared" si="441"/>
        <v>0</v>
      </c>
      <c r="BM223" s="18">
        <f t="shared" si="441"/>
        <v>0</v>
      </c>
      <c r="BN223" s="18">
        <f t="shared" ref="BN223:CB223" si="442">BN41*BN126</f>
        <v>0</v>
      </c>
      <c r="BO223" s="18">
        <f t="shared" si="442"/>
        <v>0</v>
      </c>
      <c r="BP223" s="18">
        <f t="shared" si="442"/>
        <v>0</v>
      </c>
      <c r="BQ223" s="18">
        <f t="shared" si="442"/>
        <v>0</v>
      </c>
      <c r="BR223" s="18">
        <f t="shared" si="442"/>
        <v>0</v>
      </c>
      <c r="BS223" s="18">
        <f t="shared" si="442"/>
        <v>0</v>
      </c>
      <c r="BT223" s="18">
        <f t="shared" si="442"/>
        <v>0</v>
      </c>
      <c r="BU223" s="18">
        <f t="shared" si="442"/>
        <v>0</v>
      </c>
      <c r="BV223" s="18">
        <f t="shared" si="442"/>
        <v>0</v>
      </c>
      <c r="BW223" s="18">
        <f t="shared" si="442"/>
        <v>0</v>
      </c>
      <c r="BX223" s="18">
        <f t="shared" si="442"/>
        <v>0</v>
      </c>
      <c r="BY223" s="18">
        <f t="shared" si="442"/>
        <v>0</v>
      </c>
      <c r="BZ223" s="18">
        <f t="shared" si="442"/>
        <v>0</v>
      </c>
      <c r="CA223" s="18">
        <f t="shared" si="442"/>
        <v>0</v>
      </c>
      <c r="CB223" s="18">
        <f t="shared" si="442"/>
        <v>0</v>
      </c>
      <c r="CC223" s="17"/>
      <c r="CD223" s="17"/>
      <c r="CE223" s="17"/>
      <c r="CH223" s="5"/>
      <c r="CI223" s="11"/>
      <c r="CJ223" s="11"/>
      <c r="CK223" s="11"/>
      <c r="CL223" s="11"/>
      <c r="CM223" s="11"/>
      <c r="CN223" s="11"/>
      <c r="CO223" s="11"/>
      <c r="CP223" s="11"/>
      <c r="CQ223" s="11"/>
      <c r="CR223" s="11"/>
      <c r="CS223" s="11"/>
      <c r="CT223" s="11"/>
      <c r="CU223" s="11"/>
      <c r="CV223" s="11"/>
      <c r="CW223" s="11"/>
      <c r="CX223" s="11"/>
      <c r="CY223" s="11"/>
      <c r="CZ223" s="11"/>
      <c r="DA223" s="11"/>
      <c r="DB223" s="11"/>
      <c r="DC223" s="11"/>
      <c r="DD223" s="11"/>
      <c r="DE223" s="11"/>
      <c r="DF223" s="11"/>
      <c r="DG223" s="11"/>
      <c r="DH223" s="11"/>
      <c r="DI223" s="11"/>
      <c r="DJ223" s="11"/>
      <c r="DK223" s="11"/>
      <c r="DL223" s="11"/>
      <c r="DM223" s="11"/>
      <c r="DN223" s="11"/>
      <c r="DO223" s="11"/>
      <c r="DP223" s="11"/>
      <c r="DQ223" s="11"/>
      <c r="DR223" s="11"/>
      <c r="DS223" s="11"/>
      <c r="DT223" s="11"/>
      <c r="DU223" s="11"/>
      <c r="DV223" s="11"/>
      <c r="DW223" s="11"/>
      <c r="DX223" s="11"/>
      <c r="DY223" s="11"/>
      <c r="DZ223" s="11"/>
      <c r="EA223" s="11"/>
      <c r="EB223" s="11"/>
      <c r="EC223" s="11"/>
      <c r="ED223" s="11"/>
    </row>
    <row r="224" spans="1:134">
      <c r="A224" s="18" t="str">
        <f>A43</f>
        <v>Bond 11</v>
      </c>
      <c r="B224" s="18">
        <f t="shared" ref="B224:AG224" si="443">B43*B131</f>
        <v>0.62471268762565746</v>
      </c>
      <c r="C224" s="18">
        <f t="shared" si="443"/>
        <v>0.62249467686790605</v>
      </c>
      <c r="D224" s="18">
        <f t="shared" si="443"/>
        <v>0.62072023217219197</v>
      </c>
      <c r="E224" s="18">
        <f t="shared" si="443"/>
        <v>0.61927649007721974</v>
      </c>
      <c r="F224" s="18">
        <f t="shared" si="443"/>
        <v>0.61796541335780519</v>
      </c>
      <c r="G224" s="18">
        <f t="shared" si="443"/>
        <v>0.6167320680078231</v>
      </c>
      <c r="H224" s="18">
        <f t="shared" si="443"/>
        <v>0.61542879278526696</v>
      </c>
      <c r="I224" s="18">
        <f t="shared" si="443"/>
        <v>0.61404281562172969</v>
      </c>
      <c r="J224" s="18">
        <f t="shared" si="443"/>
        <v>0.61245666726426773</v>
      </c>
      <c r="K224" s="18">
        <f t="shared" si="443"/>
        <v>0.61070046626636054</v>
      </c>
      <c r="L224" s="18">
        <f t="shared" si="443"/>
        <v>0.60867849802325691</v>
      </c>
      <c r="M224" s="18">
        <f t="shared" si="443"/>
        <v>0.60643993223739601</v>
      </c>
      <c r="N224" s="18">
        <f t="shared" si="443"/>
        <v>0.60388465569923144</v>
      </c>
      <c r="O224" s="18">
        <f t="shared" si="443"/>
        <v>0.60112212213220617</v>
      </c>
      <c r="P224" s="18">
        <f t="shared" si="443"/>
        <v>0.5980309665259016</v>
      </c>
      <c r="Q224" s="18">
        <f t="shared" si="443"/>
        <v>0.59475426425652145</v>
      </c>
      <c r="R224" s="18">
        <f t="shared" si="443"/>
        <v>95.176085026774047</v>
      </c>
      <c r="S224" s="18">
        <f t="shared" si="443"/>
        <v>0</v>
      </c>
      <c r="T224" s="18">
        <f t="shared" si="443"/>
        <v>0</v>
      </c>
      <c r="U224" s="18">
        <f t="shared" si="443"/>
        <v>0</v>
      </c>
      <c r="V224" s="18">
        <f t="shared" si="443"/>
        <v>0</v>
      </c>
      <c r="W224" s="18">
        <f t="shared" si="443"/>
        <v>0</v>
      </c>
      <c r="X224" s="18">
        <f t="shared" si="443"/>
        <v>0</v>
      </c>
      <c r="Y224" s="18">
        <f t="shared" si="443"/>
        <v>0</v>
      </c>
      <c r="Z224" s="18">
        <f t="shared" si="443"/>
        <v>0</v>
      </c>
      <c r="AA224" s="18">
        <f t="shared" si="443"/>
        <v>0</v>
      </c>
      <c r="AB224" s="18">
        <f t="shared" si="443"/>
        <v>0</v>
      </c>
      <c r="AC224" s="18">
        <f t="shared" si="443"/>
        <v>0</v>
      </c>
      <c r="AD224" s="18">
        <f t="shared" si="443"/>
        <v>0</v>
      </c>
      <c r="AE224" s="18">
        <f t="shared" si="443"/>
        <v>0</v>
      </c>
      <c r="AF224" s="18">
        <f t="shared" si="443"/>
        <v>0</v>
      </c>
      <c r="AG224" s="18">
        <f t="shared" si="443"/>
        <v>0</v>
      </c>
      <c r="AH224" s="18">
        <f t="shared" ref="AH224:BM224" si="444">AH43*AH131</f>
        <v>0</v>
      </c>
      <c r="AI224" s="18">
        <f t="shared" si="444"/>
        <v>0</v>
      </c>
      <c r="AJ224" s="18">
        <f t="shared" si="444"/>
        <v>0</v>
      </c>
      <c r="AK224" s="18">
        <f t="shared" si="444"/>
        <v>0</v>
      </c>
      <c r="AL224" s="18">
        <f t="shared" si="444"/>
        <v>0</v>
      </c>
      <c r="AM224" s="18">
        <f t="shared" si="444"/>
        <v>0</v>
      </c>
      <c r="AN224" s="18">
        <f t="shared" si="444"/>
        <v>0</v>
      </c>
      <c r="AO224" s="18">
        <f t="shared" si="444"/>
        <v>0</v>
      </c>
      <c r="AP224" s="18">
        <f t="shared" si="444"/>
        <v>0</v>
      </c>
      <c r="AQ224" s="18">
        <f t="shared" si="444"/>
        <v>0</v>
      </c>
      <c r="AR224" s="18">
        <f t="shared" si="444"/>
        <v>0</v>
      </c>
      <c r="AS224" s="18">
        <f t="shared" si="444"/>
        <v>0</v>
      </c>
      <c r="AT224" s="18">
        <f t="shared" si="444"/>
        <v>0</v>
      </c>
      <c r="AU224" s="18">
        <f t="shared" si="444"/>
        <v>0</v>
      </c>
      <c r="AV224" s="18">
        <f t="shared" si="444"/>
        <v>0</v>
      </c>
      <c r="AW224" s="18">
        <f t="shared" si="444"/>
        <v>0</v>
      </c>
      <c r="AX224" s="18">
        <f t="shared" si="444"/>
        <v>0</v>
      </c>
      <c r="AY224" s="18">
        <f t="shared" si="444"/>
        <v>0</v>
      </c>
      <c r="AZ224" s="18">
        <f t="shared" si="444"/>
        <v>0</v>
      </c>
      <c r="BA224" s="18">
        <f t="shared" si="444"/>
        <v>0</v>
      </c>
      <c r="BB224" s="18">
        <f t="shared" si="444"/>
        <v>0</v>
      </c>
      <c r="BC224" s="18">
        <f t="shared" si="444"/>
        <v>0</v>
      </c>
      <c r="BD224" s="18">
        <f t="shared" si="444"/>
        <v>0</v>
      </c>
      <c r="BE224" s="18">
        <f t="shared" si="444"/>
        <v>0</v>
      </c>
      <c r="BF224" s="18">
        <f t="shared" si="444"/>
        <v>0</v>
      </c>
      <c r="BG224" s="18">
        <f t="shared" si="444"/>
        <v>0</v>
      </c>
      <c r="BH224" s="18">
        <f t="shared" si="444"/>
        <v>0</v>
      </c>
      <c r="BI224" s="18">
        <f t="shared" si="444"/>
        <v>0</v>
      </c>
      <c r="BJ224" s="18">
        <f t="shared" si="444"/>
        <v>0</v>
      </c>
      <c r="BK224" s="18">
        <f t="shared" si="444"/>
        <v>0</v>
      </c>
      <c r="BL224" s="18">
        <f t="shared" si="444"/>
        <v>0</v>
      </c>
      <c r="BM224" s="18">
        <f t="shared" si="444"/>
        <v>0</v>
      </c>
      <c r="BN224" s="18">
        <f t="shared" ref="BN224:CB224" si="445">BN43*BN131</f>
        <v>0</v>
      </c>
      <c r="BO224" s="18">
        <f t="shared" si="445"/>
        <v>0</v>
      </c>
      <c r="BP224" s="18">
        <f t="shared" si="445"/>
        <v>0</v>
      </c>
      <c r="BQ224" s="18">
        <f t="shared" si="445"/>
        <v>0</v>
      </c>
      <c r="BR224" s="18">
        <f t="shared" si="445"/>
        <v>0</v>
      </c>
      <c r="BS224" s="18">
        <f t="shared" si="445"/>
        <v>0</v>
      </c>
      <c r="BT224" s="18">
        <f t="shared" si="445"/>
        <v>0</v>
      </c>
      <c r="BU224" s="18">
        <f t="shared" si="445"/>
        <v>0</v>
      </c>
      <c r="BV224" s="18">
        <f t="shared" si="445"/>
        <v>0</v>
      </c>
      <c r="BW224" s="18">
        <f t="shared" si="445"/>
        <v>0</v>
      </c>
      <c r="BX224" s="18">
        <f t="shared" si="445"/>
        <v>0</v>
      </c>
      <c r="BY224" s="18">
        <f t="shared" si="445"/>
        <v>0</v>
      </c>
      <c r="BZ224" s="18">
        <f t="shared" si="445"/>
        <v>0</v>
      </c>
      <c r="CA224" s="18">
        <f t="shared" si="445"/>
        <v>0</v>
      </c>
      <c r="CB224" s="18">
        <f t="shared" si="445"/>
        <v>0</v>
      </c>
      <c r="CC224" s="17"/>
      <c r="CD224" s="17"/>
      <c r="CE224" s="17"/>
      <c r="CH224" s="5"/>
      <c r="CI224" s="11"/>
      <c r="CJ224" s="11"/>
      <c r="CK224" s="11"/>
      <c r="CL224" s="11"/>
      <c r="CM224" s="11"/>
      <c r="CN224" s="11"/>
      <c r="CO224" s="11"/>
      <c r="CP224" s="11"/>
      <c r="CQ224" s="11"/>
      <c r="CR224" s="11"/>
      <c r="CS224" s="11"/>
      <c r="CT224" s="11"/>
      <c r="CU224" s="11"/>
      <c r="CV224" s="11"/>
      <c r="CW224" s="11"/>
      <c r="CX224" s="11"/>
      <c r="CY224" s="11"/>
      <c r="CZ224" s="11"/>
      <c r="DA224" s="11"/>
      <c r="DB224" s="11"/>
      <c r="DC224" s="11"/>
      <c r="DD224" s="11"/>
      <c r="DE224" s="11"/>
      <c r="DF224" s="11"/>
      <c r="DG224" s="11"/>
      <c r="DH224" s="11"/>
      <c r="DI224" s="11"/>
      <c r="DJ224" s="11"/>
      <c r="DK224" s="11"/>
      <c r="DL224" s="11"/>
      <c r="DM224" s="11"/>
      <c r="DN224" s="11"/>
      <c r="DO224" s="11"/>
      <c r="DP224" s="11"/>
      <c r="DQ224" s="11"/>
      <c r="DR224" s="11"/>
      <c r="DS224" s="11"/>
      <c r="DT224" s="11"/>
      <c r="DU224" s="11"/>
      <c r="DV224" s="11"/>
      <c r="DW224" s="11"/>
      <c r="DX224" s="11"/>
      <c r="DY224" s="11"/>
      <c r="DZ224" s="11"/>
      <c r="EA224" s="11"/>
      <c r="EB224" s="11"/>
      <c r="EC224" s="11"/>
      <c r="ED224" s="11"/>
    </row>
    <row r="225" spans="1:256">
      <c r="A225" s="18" t="str">
        <f>A45</f>
        <v>Bond 12</v>
      </c>
      <c r="B225" s="18">
        <f t="shared" ref="B225:AG225" si="446">B45*B136</f>
        <v>2.1181328283939669</v>
      </c>
      <c r="C225" s="18">
        <f t="shared" si="446"/>
        <v>2.1118294861729741</v>
      </c>
      <c r="D225" s="18">
        <f t="shared" si="446"/>
        <v>2.1066597948515837</v>
      </c>
      <c r="E225" s="18">
        <f t="shared" si="446"/>
        <v>2.1021547819376272</v>
      </c>
      <c r="F225" s="18">
        <f t="shared" si="446"/>
        <v>2.0979044077317943</v>
      </c>
      <c r="G225" s="18">
        <f t="shared" si="446"/>
        <v>2.09358148052856</v>
      </c>
      <c r="H225" s="18">
        <f t="shared" si="446"/>
        <v>2.0889288113860194</v>
      </c>
      <c r="I225" s="18">
        <f t="shared" si="446"/>
        <v>2.0837484912929436</v>
      </c>
      <c r="J225" s="18">
        <f t="shared" si="446"/>
        <v>2.0778928074132006</v>
      </c>
      <c r="K225" s="18">
        <f t="shared" si="446"/>
        <v>2.0712956238713107</v>
      </c>
      <c r="L225" s="18">
        <f t="shared" si="446"/>
        <v>2.063813835217561</v>
      </c>
      <c r="M225" s="18">
        <f t="shared" si="446"/>
        <v>2.0554420855934397</v>
      </c>
      <c r="N225" s="18">
        <f t="shared" si="446"/>
        <v>2.0461651397513259</v>
      </c>
      <c r="O225" s="18">
        <f t="shared" si="446"/>
        <v>2.0359880211361516</v>
      </c>
      <c r="P225" s="18">
        <f t="shared" si="446"/>
        <v>2.0249321118774843</v>
      </c>
      <c r="Q225" s="18">
        <f t="shared" si="446"/>
        <v>2.0130317602158483</v>
      </c>
      <c r="R225" s="18">
        <f t="shared" si="446"/>
        <v>96.133570990802895</v>
      </c>
      <c r="S225" s="18">
        <f t="shared" si="446"/>
        <v>0</v>
      </c>
      <c r="T225" s="18">
        <f t="shared" si="446"/>
        <v>0</v>
      </c>
      <c r="U225" s="18">
        <f t="shared" si="446"/>
        <v>0</v>
      </c>
      <c r="V225" s="18">
        <f t="shared" si="446"/>
        <v>0</v>
      </c>
      <c r="W225" s="18">
        <f t="shared" si="446"/>
        <v>0</v>
      </c>
      <c r="X225" s="18">
        <f t="shared" si="446"/>
        <v>0</v>
      </c>
      <c r="Y225" s="18">
        <f t="shared" si="446"/>
        <v>0</v>
      </c>
      <c r="Z225" s="18">
        <f t="shared" si="446"/>
        <v>0</v>
      </c>
      <c r="AA225" s="18">
        <f t="shared" si="446"/>
        <v>0</v>
      </c>
      <c r="AB225" s="18">
        <f t="shared" si="446"/>
        <v>0</v>
      </c>
      <c r="AC225" s="18">
        <f t="shared" si="446"/>
        <v>0</v>
      </c>
      <c r="AD225" s="18">
        <f t="shared" si="446"/>
        <v>0</v>
      </c>
      <c r="AE225" s="18">
        <f t="shared" si="446"/>
        <v>0</v>
      </c>
      <c r="AF225" s="18">
        <f t="shared" si="446"/>
        <v>0</v>
      </c>
      <c r="AG225" s="18">
        <f t="shared" si="446"/>
        <v>0</v>
      </c>
      <c r="AH225" s="18">
        <f t="shared" ref="AH225:BM225" si="447">AH45*AH136</f>
        <v>0</v>
      </c>
      <c r="AI225" s="18">
        <f t="shared" si="447"/>
        <v>0</v>
      </c>
      <c r="AJ225" s="18">
        <f t="shared" si="447"/>
        <v>0</v>
      </c>
      <c r="AK225" s="18">
        <f t="shared" si="447"/>
        <v>0</v>
      </c>
      <c r="AL225" s="18">
        <f t="shared" si="447"/>
        <v>0</v>
      </c>
      <c r="AM225" s="18">
        <f t="shared" si="447"/>
        <v>0</v>
      </c>
      <c r="AN225" s="18">
        <f t="shared" si="447"/>
        <v>0</v>
      </c>
      <c r="AO225" s="18">
        <f t="shared" si="447"/>
        <v>0</v>
      </c>
      <c r="AP225" s="18">
        <f t="shared" si="447"/>
        <v>0</v>
      </c>
      <c r="AQ225" s="18">
        <f t="shared" si="447"/>
        <v>0</v>
      </c>
      <c r="AR225" s="18">
        <f t="shared" si="447"/>
        <v>0</v>
      </c>
      <c r="AS225" s="18">
        <f t="shared" si="447"/>
        <v>0</v>
      </c>
      <c r="AT225" s="18">
        <f t="shared" si="447"/>
        <v>0</v>
      </c>
      <c r="AU225" s="18">
        <f t="shared" si="447"/>
        <v>0</v>
      </c>
      <c r="AV225" s="18">
        <f t="shared" si="447"/>
        <v>0</v>
      </c>
      <c r="AW225" s="18">
        <f t="shared" si="447"/>
        <v>0</v>
      </c>
      <c r="AX225" s="18">
        <f t="shared" si="447"/>
        <v>0</v>
      </c>
      <c r="AY225" s="18">
        <f t="shared" si="447"/>
        <v>0</v>
      </c>
      <c r="AZ225" s="18">
        <f t="shared" si="447"/>
        <v>0</v>
      </c>
      <c r="BA225" s="18">
        <f t="shared" si="447"/>
        <v>0</v>
      </c>
      <c r="BB225" s="18">
        <f t="shared" si="447"/>
        <v>0</v>
      </c>
      <c r="BC225" s="18">
        <f t="shared" si="447"/>
        <v>0</v>
      </c>
      <c r="BD225" s="18">
        <f t="shared" si="447"/>
        <v>0</v>
      </c>
      <c r="BE225" s="18">
        <f t="shared" si="447"/>
        <v>0</v>
      </c>
      <c r="BF225" s="18">
        <f t="shared" si="447"/>
        <v>0</v>
      </c>
      <c r="BG225" s="18">
        <f t="shared" si="447"/>
        <v>0</v>
      </c>
      <c r="BH225" s="18">
        <f t="shared" si="447"/>
        <v>0</v>
      </c>
      <c r="BI225" s="18">
        <f t="shared" si="447"/>
        <v>0</v>
      </c>
      <c r="BJ225" s="18">
        <f t="shared" si="447"/>
        <v>0</v>
      </c>
      <c r="BK225" s="18">
        <f t="shared" si="447"/>
        <v>0</v>
      </c>
      <c r="BL225" s="18">
        <f t="shared" si="447"/>
        <v>0</v>
      </c>
      <c r="BM225" s="18">
        <f t="shared" si="447"/>
        <v>0</v>
      </c>
      <c r="BN225" s="18">
        <f t="shared" ref="BN225:CB225" si="448">BN45*BN136</f>
        <v>0</v>
      </c>
      <c r="BO225" s="18">
        <f t="shared" si="448"/>
        <v>0</v>
      </c>
      <c r="BP225" s="18">
        <f t="shared" si="448"/>
        <v>0</v>
      </c>
      <c r="BQ225" s="18">
        <f t="shared" si="448"/>
        <v>0</v>
      </c>
      <c r="BR225" s="18">
        <f t="shared" si="448"/>
        <v>0</v>
      </c>
      <c r="BS225" s="18">
        <f t="shared" si="448"/>
        <v>0</v>
      </c>
      <c r="BT225" s="18">
        <f t="shared" si="448"/>
        <v>0</v>
      </c>
      <c r="BU225" s="18">
        <f t="shared" si="448"/>
        <v>0</v>
      </c>
      <c r="BV225" s="18">
        <f t="shared" si="448"/>
        <v>0</v>
      </c>
      <c r="BW225" s="18">
        <f t="shared" si="448"/>
        <v>0</v>
      </c>
      <c r="BX225" s="18">
        <f t="shared" si="448"/>
        <v>0</v>
      </c>
      <c r="BY225" s="18">
        <f t="shared" si="448"/>
        <v>0</v>
      </c>
      <c r="BZ225" s="18">
        <f t="shared" si="448"/>
        <v>0</v>
      </c>
      <c r="CA225" s="18">
        <f t="shared" si="448"/>
        <v>0</v>
      </c>
      <c r="CB225" s="18">
        <f t="shared" si="448"/>
        <v>0</v>
      </c>
      <c r="CC225" s="17"/>
      <c r="CD225" s="17"/>
      <c r="CE225" s="17"/>
      <c r="CH225" s="5"/>
      <c r="CI225" s="11"/>
      <c r="CJ225" s="11"/>
      <c r="CK225" s="11"/>
      <c r="CL225" s="11"/>
      <c r="CM225" s="11"/>
      <c r="CN225" s="11"/>
      <c r="CO225" s="11"/>
      <c r="CP225" s="11"/>
      <c r="CQ225" s="11"/>
      <c r="CR225" s="11"/>
      <c r="CS225" s="11"/>
      <c r="CT225" s="11"/>
      <c r="CU225" s="11"/>
      <c r="CV225" s="11"/>
      <c r="CW225" s="11"/>
      <c r="CX225" s="11"/>
      <c r="CY225" s="11"/>
      <c r="CZ225" s="11"/>
      <c r="DA225" s="11"/>
      <c r="DB225" s="11"/>
      <c r="DC225" s="11"/>
      <c r="DD225" s="11"/>
      <c r="DE225" s="11"/>
      <c r="DF225" s="11"/>
      <c r="DG225" s="11"/>
      <c r="DH225" s="11"/>
      <c r="DI225" s="11"/>
      <c r="DJ225" s="11"/>
      <c r="DK225" s="11"/>
      <c r="DL225" s="11"/>
      <c r="DM225" s="11"/>
      <c r="DN225" s="11"/>
      <c r="DO225" s="11"/>
      <c r="DP225" s="11"/>
      <c r="DQ225" s="11"/>
      <c r="DR225" s="11"/>
      <c r="DS225" s="11"/>
      <c r="DT225" s="11"/>
      <c r="DU225" s="11"/>
      <c r="DV225" s="11"/>
      <c r="DW225" s="11"/>
      <c r="DX225" s="11"/>
      <c r="DY225" s="11"/>
      <c r="DZ225" s="11"/>
      <c r="EA225" s="11"/>
      <c r="EB225" s="11"/>
      <c r="EC225" s="11"/>
      <c r="ED225" s="11"/>
    </row>
    <row r="226" spans="1:256">
      <c r="A226" s="18" t="str">
        <f>A47</f>
        <v>Bond 13</v>
      </c>
      <c r="B226" s="18">
        <f t="shared" ref="B226:AG226" si="449">B47*B141</f>
        <v>0.81057667610063189</v>
      </c>
      <c r="C226" s="18">
        <f t="shared" si="449"/>
        <v>0.80801994633897967</v>
      </c>
      <c r="D226" s="18">
        <f t="shared" si="449"/>
        <v>0.8059510040732597</v>
      </c>
      <c r="E226" s="18">
        <f t="shared" si="449"/>
        <v>0.80418102111847278</v>
      </c>
      <c r="F226" s="18">
        <f t="shared" si="449"/>
        <v>0.80254441222677253</v>
      </c>
      <c r="G226" s="18">
        <f t="shared" si="449"/>
        <v>0.80090865258512467</v>
      </c>
      <c r="H226" s="18">
        <f t="shared" si="449"/>
        <v>0.79916912621279779</v>
      </c>
      <c r="I226" s="18">
        <f t="shared" si="449"/>
        <v>0.7972448430631609</v>
      </c>
      <c r="J226" s="18">
        <f t="shared" si="449"/>
        <v>0.79507482319428846</v>
      </c>
      <c r="K226" s="18">
        <f t="shared" si="449"/>
        <v>0.79262953226943689</v>
      </c>
      <c r="L226" s="18">
        <f t="shared" si="449"/>
        <v>0.78985194090293631</v>
      </c>
      <c r="M226" s="18">
        <f t="shared" si="449"/>
        <v>0.78673693206984996</v>
      </c>
      <c r="N226" s="18">
        <f t="shared" si="449"/>
        <v>0.78327648609123091</v>
      </c>
      <c r="O226" s="18">
        <f t="shared" si="449"/>
        <v>0.77947073507152187</v>
      </c>
      <c r="P226" s="18">
        <f t="shared" si="449"/>
        <v>0.77532641965160765</v>
      </c>
      <c r="Q226" s="18">
        <f t="shared" si="449"/>
        <v>0.77085554535996648</v>
      </c>
      <c r="R226" s="18">
        <f t="shared" si="449"/>
        <v>0.76607421755225957</v>
      </c>
      <c r="S226" s="18">
        <f t="shared" si="449"/>
        <v>0.76103058374882937</v>
      </c>
      <c r="T226" s="18">
        <f t="shared" si="449"/>
        <v>93.763643082076015</v>
      </c>
      <c r="U226" s="18">
        <f t="shared" si="449"/>
        <v>0</v>
      </c>
      <c r="V226" s="18">
        <f t="shared" si="449"/>
        <v>0</v>
      </c>
      <c r="W226" s="18">
        <f t="shared" si="449"/>
        <v>0</v>
      </c>
      <c r="X226" s="18">
        <f t="shared" si="449"/>
        <v>0</v>
      </c>
      <c r="Y226" s="18">
        <f t="shared" si="449"/>
        <v>0</v>
      </c>
      <c r="Z226" s="18">
        <f t="shared" si="449"/>
        <v>0</v>
      </c>
      <c r="AA226" s="18">
        <f t="shared" si="449"/>
        <v>0</v>
      </c>
      <c r="AB226" s="18">
        <f t="shared" si="449"/>
        <v>0</v>
      </c>
      <c r="AC226" s="18">
        <f t="shared" si="449"/>
        <v>0</v>
      </c>
      <c r="AD226" s="18">
        <f t="shared" si="449"/>
        <v>0</v>
      </c>
      <c r="AE226" s="18">
        <f t="shared" si="449"/>
        <v>0</v>
      </c>
      <c r="AF226" s="18">
        <f t="shared" si="449"/>
        <v>0</v>
      </c>
      <c r="AG226" s="18">
        <f t="shared" si="449"/>
        <v>0</v>
      </c>
      <c r="AH226" s="18">
        <f t="shared" ref="AH226:BM226" si="450">AH47*AH141</f>
        <v>0</v>
      </c>
      <c r="AI226" s="18">
        <f t="shared" si="450"/>
        <v>0</v>
      </c>
      <c r="AJ226" s="18">
        <f t="shared" si="450"/>
        <v>0</v>
      </c>
      <c r="AK226" s="18">
        <f t="shared" si="450"/>
        <v>0</v>
      </c>
      <c r="AL226" s="18">
        <f t="shared" si="450"/>
        <v>0</v>
      </c>
      <c r="AM226" s="18">
        <f t="shared" si="450"/>
        <v>0</v>
      </c>
      <c r="AN226" s="18">
        <f t="shared" si="450"/>
        <v>0</v>
      </c>
      <c r="AO226" s="18">
        <f t="shared" si="450"/>
        <v>0</v>
      </c>
      <c r="AP226" s="18">
        <f t="shared" si="450"/>
        <v>0</v>
      </c>
      <c r="AQ226" s="18">
        <f t="shared" si="450"/>
        <v>0</v>
      </c>
      <c r="AR226" s="18">
        <f t="shared" si="450"/>
        <v>0</v>
      </c>
      <c r="AS226" s="18">
        <f t="shared" si="450"/>
        <v>0</v>
      </c>
      <c r="AT226" s="18">
        <f t="shared" si="450"/>
        <v>0</v>
      </c>
      <c r="AU226" s="18">
        <f t="shared" si="450"/>
        <v>0</v>
      </c>
      <c r="AV226" s="18">
        <f t="shared" si="450"/>
        <v>0</v>
      </c>
      <c r="AW226" s="18">
        <f t="shared" si="450"/>
        <v>0</v>
      </c>
      <c r="AX226" s="18">
        <f t="shared" si="450"/>
        <v>0</v>
      </c>
      <c r="AY226" s="18">
        <f t="shared" si="450"/>
        <v>0</v>
      </c>
      <c r="AZ226" s="18">
        <f t="shared" si="450"/>
        <v>0</v>
      </c>
      <c r="BA226" s="18">
        <f t="shared" si="450"/>
        <v>0</v>
      </c>
      <c r="BB226" s="18">
        <f t="shared" si="450"/>
        <v>0</v>
      </c>
      <c r="BC226" s="18">
        <f t="shared" si="450"/>
        <v>0</v>
      </c>
      <c r="BD226" s="18">
        <f t="shared" si="450"/>
        <v>0</v>
      </c>
      <c r="BE226" s="18">
        <f t="shared" si="450"/>
        <v>0</v>
      </c>
      <c r="BF226" s="18">
        <f t="shared" si="450"/>
        <v>0</v>
      </c>
      <c r="BG226" s="18">
        <f t="shared" si="450"/>
        <v>0</v>
      </c>
      <c r="BH226" s="18">
        <f t="shared" si="450"/>
        <v>0</v>
      </c>
      <c r="BI226" s="18">
        <f t="shared" si="450"/>
        <v>0</v>
      </c>
      <c r="BJ226" s="18">
        <f t="shared" si="450"/>
        <v>0</v>
      </c>
      <c r="BK226" s="18">
        <f t="shared" si="450"/>
        <v>0</v>
      </c>
      <c r="BL226" s="18">
        <f t="shared" si="450"/>
        <v>0</v>
      </c>
      <c r="BM226" s="18">
        <f t="shared" si="450"/>
        <v>0</v>
      </c>
      <c r="BN226" s="18">
        <f t="shared" ref="BN226:CB226" si="451">BN47*BN141</f>
        <v>0</v>
      </c>
      <c r="BO226" s="18">
        <f t="shared" si="451"/>
        <v>0</v>
      </c>
      <c r="BP226" s="18">
        <f t="shared" si="451"/>
        <v>0</v>
      </c>
      <c r="BQ226" s="18">
        <f t="shared" si="451"/>
        <v>0</v>
      </c>
      <c r="BR226" s="18">
        <f t="shared" si="451"/>
        <v>0</v>
      </c>
      <c r="BS226" s="18">
        <f t="shared" si="451"/>
        <v>0</v>
      </c>
      <c r="BT226" s="18">
        <f t="shared" si="451"/>
        <v>0</v>
      </c>
      <c r="BU226" s="18">
        <f t="shared" si="451"/>
        <v>0</v>
      </c>
      <c r="BV226" s="18">
        <f t="shared" si="451"/>
        <v>0</v>
      </c>
      <c r="BW226" s="18">
        <f t="shared" si="451"/>
        <v>0</v>
      </c>
      <c r="BX226" s="18">
        <f t="shared" si="451"/>
        <v>0</v>
      </c>
      <c r="BY226" s="18">
        <f t="shared" si="451"/>
        <v>0</v>
      </c>
      <c r="BZ226" s="18">
        <f t="shared" si="451"/>
        <v>0</v>
      </c>
      <c r="CA226" s="18">
        <f t="shared" si="451"/>
        <v>0</v>
      </c>
      <c r="CB226" s="18">
        <f t="shared" si="451"/>
        <v>0</v>
      </c>
      <c r="CC226" s="17"/>
      <c r="CD226" s="17"/>
      <c r="CE226" s="17"/>
      <c r="CH226" s="5"/>
      <c r="CI226" s="11"/>
      <c r="CJ226" s="11"/>
      <c r="CK226" s="11"/>
      <c r="CL226" s="11"/>
      <c r="CM226" s="11"/>
      <c r="CN226" s="11"/>
      <c r="CO226" s="11"/>
      <c r="CP226" s="11"/>
      <c r="CQ226" s="11"/>
      <c r="CR226" s="11"/>
      <c r="CS226" s="11"/>
      <c r="CT226" s="11"/>
      <c r="CU226" s="11"/>
      <c r="CV226" s="11"/>
      <c r="CW226" s="11"/>
      <c r="CX226" s="11"/>
      <c r="CY226" s="11"/>
      <c r="CZ226" s="11"/>
      <c r="DA226" s="11"/>
      <c r="DB226" s="11"/>
      <c r="DC226" s="11"/>
      <c r="DD226" s="11"/>
      <c r="DE226" s="11"/>
      <c r="DF226" s="11"/>
      <c r="DG226" s="11"/>
      <c r="DH226" s="11"/>
      <c r="DI226" s="11"/>
      <c r="DJ226" s="11"/>
      <c r="DK226" s="11"/>
      <c r="DL226" s="11"/>
      <c r="DM226" s="11"/>
      <c r="DN226" s="11"/>
      <c r="DO226" s="11"/>
      <c r="DP226" s="11"/>
      <c r="DQ226" s="11"/>
      <c r="DR226" s="11"/>
      <c r="DS226" s="11"/>
      <c r="DT226" s="11"/>
      <c r="DU226" s="11"/>
      <c r="DV226" s="11"/>
      <c r="DW226" s="11"/>
      <c r="DX226" s="11"/>
      <c r="DY226" s="11"/>
      <c r="DZ226" s="11"/>
      <c r="EA226" s="11"/>
      <c r="EB226" s="11"/>
      <c r="EC226" s="11"/>
      <c r="ED226" s="11"/>
    </row>
    <row r="227" spans="1:256">
      <c r="A227" s="18" t="str">
        <f>A49</f>
        <v>Bond 14</v>
      </c>
      <c r="B227" s="18">
        <f t="shared" ref="B227:AG227" si="452">B49*B146</f>
        <v>2.3673249258520808</v>
      </c>
      <c r="C227" s="18">
        <f t="shared" si="452"/>
        <v>2.3602800139580298</v>
      </c>
      <c r="D227" s="18">
        <f t="shared" si="452"/>
        <v>2.3545021236576522</v>
      </c>
      <c r="E227" s="18">
        <f t="shared" si="452"/>
        <v>2.3494671092244066</v>
      </c>
      <c r="F227" s="18">
        <f t="shared" si="452"/>
        <v>2.3447166909943582</v>
      </c>
      <c r="G227" s="18">
        <f t="shared" si="452"/>
        <v>2.3398851841201553</v>
      </c>
      <c r="H227" s="18">
        <f t="shared" si="452"/>
        <v>2.3346851421373156</v>
      </c>
      <c r="I227" s="18">
        <f t="shared" si="452"/>
        <v>2.3288953726215249</v>
      </c>
      <c r="J227" s="18">
        <f t="shared" si="452"/>
        <v>2.3223507847559302</v>
      </c>
      <c r="K227" s="18">
        <f t="shared" si="452"/>
        <v>2.3149774619738177</v>
      </c>
      <c r="L227" s="18">
        <f t="shared" si="452"/>
        <v>2.3066154628902154</v>
      </c>
      <c r="M227" s="18">
        <f t="shared" si="452"/>
        <v>2.2972588015456088</v>
      </c>
      <c r="N227" s="18">
        <f t="shared" si="452"/>
        <v>2.2868904503103051</v>
      </c>
      <c r="O227" s="18">
        <f t="shared" si="452"/>
        <v>2.2755160236227576</v>
      </c>
      <c r="P227" s="18">
        <f t="shared" si="452"/>
        <v>2.2631594191571884</v>
      </c>
      <c r="Q227" s="18">
        <f t="shared" si="452"/>
        <v>2.2498590261235947</v>
      </c>
      <c r="R227" s="18">
        <f t="shared" si="452"/>
        <v>2.2356644416465792</v>
      </c>
      <c r="S227" s="18">
        <f t="shared" si="452"/>
        <v>2.2207193427544447</v>
      </c>
      <c r="T227" s="18">
        <f t="shared" si="452"/>
        <v>2.2049203790289975</v>
      </c>
      <c r="U227" s="18">
        <f t="shared" si="452"/>
        <v>2.1884166165845307</v>
      </c>
      <c r="V227" s="18">
        <f t="shared" si="452"/>
        <v>2.1712781000401509</v>
      </c>
      <c r="W227" s="18">
        <f t="shared" si="452"/>
        <v>2.1535756490865947</v>
      </c>
      <c r="X227" s="18">
        <f t="shared" si="452"/>
        <v>92.046103403033996</v>
      </c>
      <c r="Y227" s="18">
        <f t="shared" si="452"/>
        <v>0</v>
      </c>
      <c r="Z227" s="18">
        <f t="shared" si="452"/>
        <v>0</v>
      </c>
      <c r="AA227" s="18">
        <f t="shared" si="452"/>
        <v>0</v>
      </c>
      <c r="AB227" s="18">
        <f t="shared" si="452"/>
        <v>0</v>
      </c>
      <c r="AC227" s="18">
        <f t="shared" si="452"/>
        <v>0</v>
      </c>
      <c r="AD227" s="18">
        <f t="shared" si="452"/>
        <v>0</v>
      </c>
      <c r="AE227" s="18">
        <f t="shared" si="452"/>
        <v>0</v>
      </c>
      <c r="AF227" s="18">
        <f t="shared" si="452"/>
        <v>0</v>
      </c>
      <c r="AG227" s="18">
        <f t="shared" si="452"/>
        <v>0</v>
      </c>
      <c r="AH227" s="18">
        <f t="shared" ref="AH227:BM227" si="453">AH49*AH146</f>
        <v>0</v>
      </c>
      <c r="AI227" s="18">
        <f t="shared" si="453"/>
        <v>0</v>
      </c>
      <c r="AJ227" s="18">
        <f t="shared" si="453"/>
        <v>0</v>
      </c>
      <c r="AK227" s="18">
        <f t="shared" si="453"/>
        <v>0</v>
      </c>
      <c r="AL227" s="18">
        <f t="shared" si="453"/>
        <v>0</v>
      </c>
      <c r="AM227" s="18">
        <f t="shared" si="453"/>
        <v>0</v>
      </c>
      <c r="AN227" s="18">
        <f t="shared" si="453"/>
        <v>0</v>
      </c>
      <c r="AO227" s="18">
        <f t="shared" si="453"/>
        <v>0</v>
      </c>
      <c r="AP227" s="18">
        <f t="shared" si="453"/>
        <v>0</v>
      </c>
      <c r="AQ227" s="18">
        <f t="shared" si="453"/>
        <v>0</v>
      </c>
      <c r="AR227" s="18">
        <f t="shared" si="453"/>
        <v>0</v>
      </c>
      <c r="AS227" s="18">
        <f t="shared" si="453"/>
        <v>0</v>
      </c>
      <c r="AT227" s="18">
        <f t="shared" si="453"/>
        <v>0</v>
      </c>
      <c r="AU227" s="18">
        <f t="shared" si="453"/>
        <v>0</v>
      </c>
      <c r="AV227" s="18">
        <f t="shared" si="453"/>
        <v>0</v>
      </c>
      <c r="AW227" s="18">
        <f t="shared" si="453"/>
        <v>0</v>
      </c>
      <c r="AX227" s="18">
        <f t="shared" si="453"/>
        <v>0</v>
      </c>
      <c r="AY227" s="18">
        <f t="shared" si="453"/>
        <v>0</v>
      </c>
      <c r="AZ227" s="18">
        <f t="shared" si="453"/>
        <v>0</v>
      </c>
      <c r="BA227" s="18">
        <f t="shared" si="453"/>
        <v>0</v>
      </c>
      <c r="BB227" s="18">
        <f t="shared" si="453"/>
        <v>0</v>
      </c>
      <c r="BC227" s="18">
        <f t="shared" si="453"/>
        <v>0</v>
      </c>
      <c r="BD227" s="18">
        <f t="shared" si="453"/>
        <v>0</v>
      </c>
      <c r="BE227" s="18">
        <f t="shared" si="453"/>
        <v>0</v>
      </c>
      <c r="BF227" s="18">
        <f t="shared" si="453"/>
        <v>0</v>
      </c>
      <c r="BG227" s="18">
        <f t="shared" si="453"/>
        <v>0</v>
      </c>
      <c r="BH227" s="18">
        <f t="shared" si="453"/>
        <v>0</v>
      </c>
      <c r="BI227" s="18">
        <f t="shared" si="453"/>
        <v>0</v>
      </c>
      <c r="BJ227" s="18">
        <f t="shared" si="453"/>
        <v>0</v>
      </c>
      <c r="BK227" s="18">
        <f t="shared" si="453"/>
        <v>0</v>
      </c>
      <c r="BL227" s="18">
        <f t="shared" si="453"/>
        <v>0</v>
      </c>
      <c r="BM227" s="18">
        <f t="shared" si="453"/>
        <v>0</v>
      </c>
      <c r="BN227" s="18">
        <f t="shared" ref="BN227:CB227" si="454">BN49*BN146</f>
        <v>0</v>
      </c>
      <c r="BO227" s="18">
        <f t="shared" si="454"/>
        <v>0</v>
      </c>
      <c r="BP227" s="18">
        <f t="shared" si="454"/>
        <v>0</v>
      </c>
      <c r="BQ227" s="18">
        <f t="shared" si="454"/>
        <v>0</v>
      </c>
      <c r="BR227" s="18">
        <f t="shared" si="454"/>
        <v>0</v>
      </c>
      <c r="BS227" s="18">
        <f t="shared" si="454"/>
        <v>0</v>
      </c>
      <c r="BT227" s="18">
        <f t="shared" si="454"/>
        <v>0</v>
      </c>
      <c r="BU227" s="18">
        <f t="shared" si="454"/>
        <v>0</v>
      </c>
      <c r="BV227" s="18">
        <f t="shared" si="454"/>
        <v>0</v>
      </c>
      <c r="BW227" s="18">
        <f t="shared" si="454"/>
        <v>0</v>
      </c>
      <c r="BX227" s="18">
        <f t="shared" si="454"/>
        <v>0</v>
      </c>
      <c r="BY227" s="18">
        <f t="shared" si="454"/>
        <v>0</v>
      </c>
      <c r="BZ227" s="18">
        <f t="shared" si="454"/>
        <v>0</v>
      </c>
      <c r="CA227" s="18">
        <f t="shared" si="454"/>
        <v>0</v>
      </c>
      <c r="CB227" s="18">
        <f t="shared" si="454"/>
        <v>0</v>
      </c>
      <c r="CC227" s="17"/>
      <c r="CD227" s="17"/>
      <c r="CE227" s="17"/>
      <c r="CH227" s="5"/>
      <c r="CI227" s="11"/>
      <c r="CJ227" s="11"/>
      <c r="CK227" s="11"/>
      <c r="CL227" s="11"/>
      <c r="CM227" s="11"/>
      <c r="CN227" s="11"/>
      <c r="CO227" s="11"/>
      <c r="CP227" s="11"/>
      <c r="CQ227" s="11"/>
      <c r="CR227" s="11"/>
      <c r="CS227" s="11"/>
      <c r="CT227" s="11"/>
      <c r="CU227" s="11"/>
      <c r="CV227" s="11"/>
      <c r="CW227" s="11"/>
      <c r="CX227" s="11"/>
      <c r="CY227" s="11"/>
      <c r="CZ227" s="11"/>
      <c r="DA227" s="11"/>
      <c r="DB227" s="11"/>
      <c r="DC227" s="11"/>
      <c r="DD227" s="11"/>
      <c r="DE227" s="11"/>
      <c r="DF227" s="11"/>
      <c r="DG227" s="11"/>
      <c r="DH227" s="11"/>
      <c r="DI227" s="11"/>
      <c r="DJ227" s="11"/>
      <c r="DK227" s="11"/>
      <c r="DL227" s="11"/>
      <c r="DM227" s="11"/>
      <c r="DN227" s="11"/>
      <c r="DO227" s="11"/>
      <c r="DP227" s="11"/>
      <c r="DQ227" s="11"/>
      <c r="DR227" s="11"/>
      <c r="DS227" s="11"/>
      <c r="DT227" s="11"/>
      <c r="DU227" s="11"/>
      <c r="DV227" s="11"/>
      <c r="DW227" s="11"/>
      <c r="DX227" s="11"/>
      <c r="DY227" s="11"/>
      <c r="DZ227" s="11"/>
      <c r="EA227" s="11"/>
      <c r="EB227" s="11"/>
      <c r="EC227" s="11"/>
      <c r="ED227" s="11"/>
    </row>
    <row r="228" spans="1:256">
      <c r="A228" s="18" t="str">
        <f>A51</f>
        <v>Bond 15</v>
      </c>
      <c r="B228" s="18">
        <f t="shared" ref="B228:AG228" si="455">B51*B151</f>
        <v>2.2467486951734266</v>
      </c>
      <c r="C228" s="18">
        <f t="shared" si="455"/>
        <v>2.2391820910339089</v>
      </c>
      <c r="D228" s="18">
        <f t="shared" si="455"/>
        <v>2.233198892063732</v>
      </c>
      <c r="E228" s="18">
        <f t="shared" si="455"/>
        <v>2.228110955990577</v>
      </c>
      <c r="F228" s="18">
        <f t="shared" si="455"/>
        <v>2.2235505817928818</v>
      </c>
      <c r="G228" s="18">
        <f t="shared" si="455"/>
        <v>2.2190247881652834</v>
      </c>
      <c r="H228" s="18">
        <f t="shared" si="455"/>
        <v>2.2143282447094599</v>
      </c>
      <c r="I228" s="18">
        <f t="shared" si="455"/>
        <v>2.2091147622324039</v>
      </c>
      <c r="J228" s="18">
        <f t="shared" si="455"/>
        <v>2.2033191829763559</v>
      </c>
      <c r="K228" s="18">
        <f t="shared" si="455"/>
        <v>2.1967171735300024</v>
      </c>
      <c r="L228" s="18">
        <f t="shared" si="455"/>
        <v>2.1892914138595887</v>
      </c>
      <c r="M228" s="18">
        <f t="shared" si="455"/>
        <v>2.1808526418423115</v>
      </c>
      <c r="N228" s="18">
        <f t="shared" si="455"/>
        <v>2.1715590438276138</v>
      </c>
      <c r="O228" s="18">
        <f t="shared" si="455"/>
        <v>2.1611981102915632</v>
      </c>
      <c r="P228" s="18">
        <f t="shared" si="455"/>
        <v>2.1500132145192099</v>
      </c>
      <c r="Q228" s="18">
        <f t="shared" si="455"/>
        <v>2.1377845961022497</v>
      </c>
      <c r="R228" s="18">
        <f t="shared" si="455"/>
        <v>2.1248242582744896</v>
      </c>
      <c r="S228" s="18">
        <f t="shared" si="455"/>
        <v>2.1109733877315349</v>
      </c>
      <c r="T228" s="18">
        <f t="shared" si="455"/>
        <v>2.0964432041851748</v>
      </c>
      <c r="U228" s="18">
        <f t="shared" si="455"/>
        <v>2.0810468266742697</v>
      </c>
      <c r="V228" s="18">
        <f t="shared" si="455"/>
        <v>2.0651895280534767</v>
      </c>
      <c r="W228" s="18">
        <f t="shared" si="455"/>
        <v>2.0485843314190415</v>
      </c>
      <c r="X228" s="18">
        <f t="shared" si="455"/>
        <v>2.0316647354289299</v>
      </c>
      <c r="Y228" s="18">
        <f t="shared" si="455"/>
        <v>2.0141193190720474</v>
      </c>
      <c r="Z228" s="18">
        <f t="shared" si="455"/>
        <v>1.9963998846139892</v>
      </c>
      <c r="AA228" s="18">
        <f t="shared" si="455"/>
        <v>1.9782746418888233</v>
      </c>
      <c r="AB228" s="18">
        <f t="shared" si="455"/>
        <v>1.9600038113549001</v>
      </c>
      <c r="AC228" s="18">
        <f t="shared" si="455"/>
        <v>1.9413358924898838</v>
      </c>
      <c r="AD228" s="18">
        <f t="shared" si="455"/>
        <v>1.9227362081773665</v>
      </c>
      <c r="AE228" s="18">
        <f t="shared" si="455"/>
        <v>1.9038392055877531</v>
      </c>
      <c r="AF228" s="18">
        <f t="shared" si="455"/>
        <v>85.667701769160502</v>
      </c>
      <c r="AG228" s="18">
        <f t="shared" si="455"/>
        <v>0</v>
      </c>
      <c r="AH228" s="18">
        <f t="shared" ref="AH228:BM228" si="456">AH51*AH151</f>
        <v>0</v>
      </c>
      <c r="AI228" s="18">
        <f t="shared" si="456"/>
        <v>0</v>
      </c>
      <c r="AJ228" s="18">
        <f t="shared" si="456"/>
        <v>0</v>
      </c>
      <c r="AK228" s="18">
        <f t="shared" si="456"/>
        <v>0</v>
      </c>
      <c r="AL228" s="18">
        <f t="shared" si="456"/>
        <v>0</v>
      </c>
      <c r="AM228" s="18">
        <f t="shared" si="456"/>
        <v>0</v>
      </c>
      <c r="AN228" s="18">
        <f t="shared" si="456"/>
        <v>0</v>
      </c>
      <c r="AO228" s="18">
        <f t="shared" si="456"/>
        <v>0</v>
      </c>
      <c r="AP228" s="18">
        <f t="shared" si="456"/>
        <v>0</v>
      </c>
      <c r="AQ228" s="18">
        <f t="shared" si="456"/>
        <v>0</v>
      </c>
      <c r="AR228" s="18">
        <f t="shared" si="456"/>
        <v>0</v>
      </c>
      <c r="AS228" s="18">
        <f t="shared" si="456"/>
        <v>0</v>
      </c>
      <c r="AT228" s="18">
        <f t="shared" si="456"/>
        <v>0</v>
      </c>
      <c r="AU228" s="18">
        <f t="shared" si="456"/>
        <v>0</v>
      </c>
      <c r="AV228" s="18">
        <f t="shared" si="456"/>
        <v>0</v>
      </c>
      <c r="AW228" s="18">
        <f t="shared" si="456"/>
        <v>0</v>
      </c>
      <c r="AX228" s="18">
        <f t="shared" si="456"/>
        <v>0</v>
      </c>
      <c r="AY228" s="18">
        <f t="shared" si="456"/>
        <v>0</v>
      </c>
      <c r="AZ228" s="18">
        <f t="shared" si="456"/>
        <v>0</v>
      </c>
      <c r="BA228" s="18">
        <f t="shared" si="456"/>
        <v>0</v>
      </c>
      <c r="BB228" s="18">
        <f t="shared" si="456"/>
        <v>0</v>
      </c>
      <c r="BC228" s="18">
        <f t="shared" si="456"/>
        <v>0</v>
      </c>
      <c r="BD228" s="18">
        <f t="shared" si="456"/>
        <v>0</v>
      </c>
      <c r="BE228" s="18">
        <f t="shared" si="456"/>
        <v>0</v>
      </c>
      <c r="BF228" s="18">
        <f t="shared" si="456"/>
        <v>0</v>
      </c>
      <c r="BG228" s="18">
        <f t="shared" si="456"/>
        <v>0</v>
      </c>
      <c r="BH228" s="18">
        <f t="shared" si="456"/>
        <v>0</v>
      </c>
      <c r="BI228" s="18">
        <f t="shared" si="456"/>
        <v>0</v>
      </c>
      <c r="BJ228" s="18">
        <f t="shared" si="456"/>
        <v>0</v>
      </c>
      <c r="BK228" s="18">
        <f t="shared" si="456"/>
        <v>0</v>
      </c>
      <c r="BL228" s="18">
        <f t="shared" si="456"/>
        <v>0</v>
      </c>
      <c r="BM228" s="18">
        <f t="shared" si="456"/>
        <v>0</v>
      </c>
      <c r="BN228" s="18">
        <f t="shared" ref="BN228:CB228" si="457">BN51*BN151</f>
        <v>0</v>
      </c>
      <c r="BO228" s="18">
        <f t="shared" si="457"/>
        <v>0</v>
      </c>
      <c r="BP228" s="18">
        <f t="shared" si="457"/>
        <v>0</v>
      </c>
      <c r="BQ228" s="18">
        <f t="shared" si="457"/>
        <v>0</v>
      </c>
      <c r="BR228" s="18">
        <f t="shared" si="457"/>
        <v>0</v>
      </c>
      <c r="BS228" s="18">
        <f t="shared" si="457"/>
        <v>0</v>
      </c>
      <c r="BT228" s="18">
        <f t="shared" si="457"/>
        <v>0</v>
      </c>
      <c r="BU228" s="18">
        <f t="shared" si="457"/>
        <v>0</v>
      </c>
      <c r="BV228" s="18">
        <f t="shared" si="457"/>
        <v>0</v>
      </c>
      <c r="BW228" s="18">
        <f t="shared" si="457"/>
        <v>0</v>
      </c>
      <c r="BX228" s="18">
        <f t="shared" si="457"/>
        <v>0</v>
      </c>
      <c r="BY228" s="18">
        <f t="shared" si="457"/>
        <v>0</v>
      </c>
      <c r="BZ228" s="18">
        <f t="shared" si="457"/>
        <v>0</v>
      </c>
      <c r="CA228" s="18">
        <f t="shared" si="457"/>
        <v>0</v>
      </c>
      <c r="CB228" s="18">
        <f t="shared" si="457"/>
        <v>0</v>
      </c>
      <c r="CC228" s="17"/>
      <c r="CD228" s="17"/>
      <c r="CE228" s="17"/>
      <c r="CH228" s="5"/>
      <c r="CI228" s="11"/>
      <c r="CJ228" s="11"/>
      <c r="CK228" s="11"/>
      <c r="CL228" s="11"/>
      <c r="CM228" s="11"/>
      <c r="CN228" s="11"/>
      <c r="CO228" s="11"/>
      <c r="CP228" s="11"/>
      <c r="CQ228" s="11"/>
      <c r="CR228" s="11"/>
      <c r="CS228" s="11"/>
      <c r="CT228" s="11"/>
      <c r="CU228" s="11"/>
      <c r="CV228" s="11"/>
      <c r="CW228" s="11"/>
      <c r="CX228" s="11"/>
      <c r="CY228" s="11"/>
      <c r="CZ228" s="11"/>
      <c r="DA228" s="11"/>
      <c r="DB228" s="11"/>
      <c r="DC228" s="11"/>
      <c r="DD228" s="11"/>
      <c r="DE228" s="11"/>
      <c r="DF228" s="11"/>
      <c r="DG228" s="11"/>
      <c r="DH228" s="11"/>
      <c r="DI228" s="11"/>
      <c r="DJ228" s="11"/>
      <c r="DK228" s="11"/>
      <c r="DL228" s="11"/>
      <c r="DM228" s="11"/>
      <c r="DN228" s="11"/>
      <c r="DO228" s="11"/>
      <c r="DP228" s="11"/>
      <c r="DQ228" s="11"/>
      <c r="DR228" s="11"/>
      <c r="DS228" s="11"/>
      <c r="DT228" s="11"/>
      <c r="DU228" s="11"/>
      <c r="DV228" s="11"/>
      <c r="DW228" s="11"/>
      <c r="DX228" s="11"/>
      <c r="DY228" s="11"/>
      <c r="DZ228" s="11"/>
      <c r="EA228" s="11"/>
      <c r="EB228" s="11"/>
      <c r="EC228" s="11"/>
      <c r="ED228" s="11"/>
    </row>
    <row r="229" spans="1:256">
      <c r="A229" s="18" t="str">
        <f>A53</f>
        <v>Bond 16</v>
      </c>
      <c r="B229" s="18">
        <f t="shared" ref="B229:AG229" si="458">B53*B156</f>
        <v>0.87373560367855485</v>
      </c>
      <c r="C229" s="18">
        <f t="shared" si="458"/>
        <v>0.87079303540207575</v>
      </c>
      <c r="D229" s="18">
        <f t="shared" si="458"/>
        <v>0.86846623580256255</v>
      </c>
      <c r="E229" s="18">
        <f t="shared" si="458"/>
        <v>0.86648759399633557</v>
      </c>
      <c r="F229" s="18">
        <f t="shared" si="458"/>
        <v>0.8647141151416764</v>
      </c>
      <c r="G229" s="18">
        <f t="shared" si="458"/>
        <v>0.86295408428649911</v>
      </c>
      <c r="H229" s="18">
        <f t="shared" si="458"/>
        <v>0.86112765072034569</v>
      </c>
      <c r="I229" s="18">
        <f t="shared" si="458"/>
        <v>0.85910018531260168</v>
      </c>
      <c r="J229" s="18">
        <f t="shared" si="458"/>
        <v>0.85684634893524969</v>
      </c>
      <c r="K229" s="18">
        <f t="shared" si="458"/>
        <v>0.85427890081722324</v>
      </c>
      <c r="L229" s="18">
        <f t="shared" si="458"/>
        <v>0.8513911053898402</v>
      </c>
      <c r="M229" s="18">
        <f t="shared" si="458"/>
        <v>0.8481093607164546</v>
      </c>
      <c r="N229" s="18">
        <f t="shared" si="458"/>
        <v>0.84449518371073884</v>
      </c>
      <c r="O229" s="18">
        <f t="shared" si="458"/>
        <v>0.84046593178005236</v>
      </c>
      <c r="P229" s="18">
        <f t="shared" si="458"/>
        <v>0.83611625009080404</v>
      </c>
      <c r="Q229" s="18">
        <f t="shared" si="458"/>
        <v>0.83136067626198606</v>
      </c>
      <c r="R229" s="18">
        <f t="shared" si="458"/>
        <v>0.82632054488452389</v>
      </c>
      <c r="S229" s="18">
        <f t="shared" si="458"/>
        <v>0.82093409522893035</v>
      </c>
      <c r="T229" s="18">
        <f t="shared" si="458"/>
        <v>0.8152834682942347</v>
      </c>
      <c r="U229" s="18">
        <f t="shared" si="458"/>
        <v>0.80929598815110504</v>
      </c>
      <c r="V229" s="18">
        <f t="shared" si="458"/>
        <v>0.80312926090968539</v>
      </c>
      <c r="W229" s="18">
        <f t="shared" si="458"/>
        <v>0.79667168444073844</v>
      </c>
      <c r="X229" s="18">
        <f t="shared" si="458"/>
        <v>0.79009184155569501</v>
      </c>
      <c r="Y229" s="18">
        <f t="shared" si="458"/>
        <v>0.78326862408357412</v>
      </c>
      <c r="Z229" s="18">
        <f t="shared" si="458"/>
        <v>0.77637773290544043</v>
      </c>
      <c r="AA229" s="18">
        <f t="shared" si="458"/>
        <v>0.76932902740120912</v>
      </c>
      <c r="AB229" s="18">
        <f t="shared" si="458"/>
        <v>0.76222370441579457</v>
      </c>
      <c r="AC229" s="18">
        <f t="shared" si="458"/>
        <v>0.75496395819051043</v>
      </c>
      <c r="AD229" s="18">
        <f t="shared" si="458"/>
        <v>0.74773074762453151</v>
      </c>
      <c r="AE229" s="18">
        <f t="shared" si="458"/>
        <v>0.74038191328412628</v>
      </c>
      <c r="AF229" s="18">
        <f t="shared" si="458"/>
        <v>0.73309769240112899</v>
      </c>
      <c r="AG229" s="18">
        <f t="shared" si="458"/>
        <v>0.72573202699568562</v>
      </c>
      <c r="AH229" s="18">
        <f t="shared" ref="AH229:BM229" si="459">AH53*AH156</f>
        <v>0.7184628235132845</v>
      </c>
      <c r="AI229" s="18">
        <f t="shared" si="459"/>
        <v>0.71118201051268237</v>
      </c>
      <c r="AJ229" s="18">
        <f t="shared" si="459"/>
        <v>0.70398298396716519</v>
      </c>
      <c r="AK229" s="18">
        <f t="shared" si="459"/>
        <v>0.69675692946547352</v>
      </c>
      <c r="AL229" s="18">
        <f t="shared" si="459"/>
        <v>79.509528588229344</v>
      </c>
      <c r="AM229" s="18">
        <f t="shared" si="459"/>
        <v>0</v>
      </c>
      <c r="AN229" s="18">
        <f t="shared" si="459"/>
        <v>0</v>
      </c>
      <c r="AO229" s="18">
        <f t="shared" si="459"/>
        <v>0</v>
      </c>
      <c r="AP229" s="18">
        <f t="shared" si="459"/>
        <v>0</v>
      </c>
      <c r="AQ229" s="18">
        <f t="shared" si="459"/>
        <v>0</v>
      </c>
      <c r="AR229" s="18">
        <f t="shared" si="459"/>
        <v>0</v>
      </c>
      <c r="AS229" s="18">
        <f t="shared" si="459"/>
        <v>0</v>
      </c>
      <c r="AT229" s="18">
        <f t="shared" si="459"/>
        <v>0</v>
      </c>
      <c r="AU229" s="18">
        <f t="shared" si="459"/>
        <v>0</v>
      </c>
      <c r="AV229" s="18">
        <f t="shared" si="459"/>
        <v>0</v>
      </c>
      <c r="AW229" s="18">
        <f t="shared" si="459"/>
        <v>0</v>
      </c>
      <c r="AX229" s="18">
        <f t="shared" si="459"/>
        <v>0</v>
      </c>
      <c r="AY229" s="18">
        <f t="shared" si="459"/>
        <v>0</v>
      </c>
      <c r="AZ229" s="18">
        <f t="shared" si="459"/>
        <v>0</v>
      </c>
      <c r="BA229" s="18">
        <f t="shared" si="459"/>
        <v>0</v>
      </c>
      <c r="BB229" s="18">
        <f t="shared" si="459"/>
        <v>0</v>
      </c>
      <c r="BC229" s="18">
        <f t="shared" si="459"/>
        <v>0</v>
      </c>
      <c r="BD229" s="18">
        <f t="shared" si="459"/>
        <v>0</v>
      </c>
      <c r="BE229" s="18">
        <f t="shared" si="459"/>
        <v>0</v>
      </c>
      <c r="BF229" s="18">
        <f t="shared" si="459"/>
        <v>0</v>
      </c>
      <c r="BG229" s="18">
        <f t="shared" si="459"/>
        <v>0</v>
      </c>
      <c r="BH229" s="18">
        <f t="shared" si="459"/>
        <v>0</v>
      </c>
      <c r="BI229" s="18">
        <f t="shared" si="459"/>
        <v>0</v>
      </c>
      <c r="BJ229" s="18">
        <f t="shared" si="459"/>
        <v>0</v>
      </c>
      <c r="BK229" s="18">
        <f t="shared" si="459"/>
        <v>0</v>
      </c>
      <c r="BL229" s="18">
        <f t="shared" si="459"/>
        <v>0</v>
      </c>
      <c r="BM229" s="18">
        <f t="shared" si="459"/>
        <v>0</v>
      </c>
      <c r="BN229" s="18">
        <f t="shared" ref="BN229:CB229" si="460">BN53*BN156</f>
        <v>0</v>
      </c>
      <c r="BO229" s="18">
        <f t="shared" si="460"/>
        <v>0</v>
      </c>
      <c r="BP229" s="18">
        <f t="shared" si="460"/>
        <v>0</v>
      </c>
      <c r="BQ229" s="18">
        <f t="shared" si="460"/>
        <v>0</v>
      </c>
      <c r="BR229" s="18">
        <f t="shared" si="460"/>
        <v>0</v>
      </c>
      <c r="BS229" s="18">
        <f t="shared" si="460"/>
        <v>0</v>
      </c>
      <c r="BT229" s="18">
        <f t="shared" si="460"/>
        <v>0</v>
      </c>
      <c r="BU229" s="18">
        <f t="shared" si="460"/>
        <v>0</v>
      </c>
      <c r="BV229" s="18">
        <f t="shared" si="460"/>
        <v>0</v>
      </c>
      <c r="BW229" s="18">
        <f t="shared" si="460"/>
        <v>0</v>
      </c>
      <c r="BX229" s="18">
        <f t="shared" si="460"/>
        <v>0</v>
      </c>
      <c r="BY229" s="18">
        <f t="shared" si="460"/>
        <v>0</v>
      </c>
      <c r="BZ229" s="18">
        <f t="shared" si="460"/>
        <v>0</v>
      </c>
      <c r="CA229" s="18">
        <f t="shared" si="460"/>
        <v>0</v>
      </c>
      <c r="CB229" s="18">
        <f t="shared" si="460"/>
        <v>0</v>
      </c>
      <c r="CC229" s="17"/>
      <c r="CD229" s="17"/>
      <c r="CE229" s="17"/>
      <c r="CH229" s="5"/>
      <c r="CI229" s="11"/>
      <c r="CJ229" s="11"/>
      <c r="CK229" s="11"/>
      <c r="CL229" s="11"/>
      <c r="CM229" s="11"/>
      <c r="CN229" s="11"/>
      <c r="CO229" s="11"/>
      <c r="CP229" s="11"/>
      <c r="CQ229" s="11"/>
      <c r="CR229" s="11"/>
      <c r="CS229" s="11"/>
      <c r="CT229" s="11"/>
      <c r="CU229" s="11"/>
      <c r="CV229" s="11"/>
      <c r="CW229" s="11"/>
      <c r="CX229" s="11"/>
      <c r="CY229" s="11"/>
      <c r="CZ229" s="11"/>
      <c r="DA229" s="11"/>
      <c r="DB229" s="11"/>
      <c r="DC229" s="11"/>
      <c r="DD229" s="11"/>
      <c r="DE229" s="11"/>
      <c r="DF229" s="11"/>
      <c r="DG229" s="11"/>
      <c r="DH229" s="11"/>
      <c r="DI229" s="11"/>
      <c r="DJ229" s="11"/>
      <c r="DK229" s="11"/>
      <c r="DL229" s="11"/>
      <c r="DM229" s="11"/>
      <c r="DN229" s="11"/>
      <c r="DO229" s="11"/>
      <c r="DP229" s="11"/>
      <c r="DQ229" s="11"/>
      <c r="DR229" s="11"/>
      <c r="DS229" s="11"/>
      <c r="DT229" s="11"/>
      <c r="DU229" s="11"/>
      <c r="DV229" s="11"/>
      <c r="DW229" s="11"/>
      <c r="DX229" s="11"/>
      <c r="DY229" s="11"/>
      <c r="DZ229" s="11"/>
      <c r="EA229" s="11"/>
      <c r="EB229" s="11"/>
      <c r="EC229" s="11"/>
      <c r="ED229" s="11"/>
      <c r="EE229" s="11"/>
      <c r="EF229" s="11"/>
      <c r="EG229" s="11"/>
      <c r="EH229" s="11"/>
      <c r="EI229" s="11"/>
      <c r="EJ229" s="11"/>
      <c r="EK229" s="11"/>
      <c r="EL229" s="11"/>
      <c r="EM229" s="11"/>
      <c r="EN229" s="11"/>
      <c r="EO229" s="11"/>
      <c r="EP229" s="11"/>
      <c r="EQ229" s="11"/>
      <c r="ER229" s="11"/>
      <c r="ES229" s="11"/>
      <c r="ET229" s="11"/>
      <c r="EU229" s="11"/>
      <c r="EV229" s="11"/>
      <c r="EW229" s="11"/>
      <c r="EX229" s="11"/>
      <c r="EY229" s="11"/>
      <c r="EZ229" s="11"/>
      <c r="FA229" s="11"/>
      <c r="FB229" s="11"/>
      <c r="FC229" s="11"/>
      <c r="FD229" s="11"/>
      <c r="FE229" s="11"/>
      <c r="FF229" s="11"/>
      <c r="FG229" s="11"/>
      <c r="FH229" s="11"/>
      <c r="FI229" s="11"/>
      <c r="FJ229" s="11"/>
      <c r="FK229" s="11"/>
      <c r="FL229" s="11"/>
    </row>
    <row r="230" spans="1:256">
      <c r="A230" s="18" t="str">
        <f>A55</f>
        <v>Bond 17</v>
      </c>
      <c r="B230" s="18">
        <f t="shared" ref="B230:AG230" si="461">B55*B161</f>
        <v>1.6242529878267096</v>
      </c>
      <c r="C230" s="18">
        <f t="shared" si="461"/>
        <v>1.6184861598565559</v>
      </c>
      <c r="D230" s="18">
        <f t="shared" si="461"/>
        <v>1.6138726036476991</v>
      </c>
      <c r="E230" s="18">
        <f t="shared" si="461"/>
        <v>1.6101188742007715</v>
      </c>
      <c r="F230" s="18">
        <f t="shared" si="461"/>
        <v>1.6067100747302936</v>
      </c>
      <c r="G230" s="18">
        <f t="shared" si="461"/>
        <v>1.6035033768203402</v>
      </c>
      <c r="H230" s="18">
        <f t="shared" si="461"/>
        <v>1.600114861241694</v>
      </c>
      <c r="I230" s="18">
        <f t="shared" si="461"/>
        <v>1.5965113206164974</v>
      </c>
      <c r="J230" s="18">
        <f t="shared" si="461"/>
        <v>1.5923873348870963</v>
      </c>
      <c r="K230" s="18">
        <f t="shared" si="461"/>
        <v>1.5878212122925373</v>
      </c>
      <c r="L230" s="18">
        <f t="shared" si="461"/>
        <v>1.582564094860468</v>
      </c>
      <c r="M230" s="18">
        <f t="shared" si="461"/>
        <v>1.5767438238172296</v>
      </c>
      <c r="N230" s="18">
        <f t="shared" si="461"/>
        <v>1.5701001048180017</v>
      </c>
      <c r="O230" s="18">
        <f t="shared" si="461"/>
        <v>1.562917517543736</v>
      </c>
      <c r="P230" s="18">
        <f t="shared" si="461"/>
        <v>1.554880512967344</v>
      </c>
      <c r="Q230" s="18">
        <f t="shared" si="461"/>
        <v>1.5463610870669557</v>
      </c>
      <c r="R230" s="18">
        <f t="shared" si="461"/>
        <v>1.5370050998112579</v>
      </c>
      <c r="S230" s="18">
        <f t="shared" si="461"/>
        <v>1.5272587838210745</v>
      </c>
      <c r="T230" s="18">
        <f t="shared" si="461"/>
        <v>1.5167848796472931</v>
      </c>
      <c r="U230" s="18">
        <f t="shared" si="461"/>
        <v>1.5059742458576391</v>
      </c>
      <c r="V230" s="18">
        <f t="shared" si="461"/>
        <v>1.4944449223316552</v>
      </c>
      <c r="W230" s="18">
        <f t="shared" si="461"/>
        <v>1.482751119880839</v>
      </c>
      <c r="X230" s="18">
        <f t="shared" si="461"/>
        <v>1.4704164509147599</v>
      </c>
      <c r="Y230" s="18">
        <f t="shared" si="461"/>
        <v>1.4580304050898711</v>
      </c>
      <c r="Z230" s="18">
        <f t="shared" si="461"/>
        <v>1.445083967065045</v>
      </c>
      <c r="AA230" s="18">
        <f t="shared" si="461"/>
        <v>1.4321909721913166</v>
      </c>
      <c r="AB230" s="18">
        <f t="shared" si="461"/>
        <v>1.4188900821372596</v>
      </c>
      <c r="AC230" s="18">
        <f t="shared" si="461"/>
        <v>1.4056627845527603</v>
      </c>
      <c r="AD230" s="18">
        <f t="shared" si="461"/>
        <v>1.3920271917033131</v>
      </c>
      <c r="AE230" s="18">
        <f t="shared" si="461"/>
        <v>1.3786186853201052</v>
      </c>
      <c r="AF230" s="18">
        <f t="shared" si="461"/>
        <v>1.3648691631738419</v>
      </c>
      <c r="AG230" s="18">
        <f t="shared" si="461"/>
        <v>1.3514140093272837</v>
      </c>
      <c r="AH230" s="18">
        <f t="shared" ref="AH230:BM230" si="462">AH55*AH161</f>
        <v>1.3376778787840786</v>
      </c>
      <c r="AI230" s="18">
        <f t="shared" si="462"/>
        <v>1.3242906475340654</v>
      </c>
      <c r="AJ230" s="18">
        <f t="shared" si="462"/>
        <v>1.3107496582478726</v>
      </c>
      <c r="AK230" s="18">
        <f t="shared" si="462"/>
        <v>1.2975251601144731</v>
      </c>
      <c r="AL230" s="18">
        <f t="shared" si="462"/>
        <v>1.2841177342407311</v>
      </c>
      <c r="AM230" s="18">
        <f t="shared" si="462"/>
        <v>1.2711340001170321</v>
      </c>
      <c r="AN230" s="18">
        <f t="shared" si="462"/>
        <v>1.258006240708395</v>
      </c>
      <c r="AO230" s="18">
        <f t="shared" si="462"/>
        <v>1.2453250599647916</v>
      </c>
      <c r="AP230" s="18">
        <f t="shared" si="462"/>
        <v>1.2325327572736109</v>
      </c>
      <c r="AQ230" s="18">
        <f t="shared" si="462"/>
        <v>1.2202019587762933</v>
      </c>
      <c r="AR230" s="18">
        <f t="shared" si="462"/>
        <v>1.2078552901184219</v>
      </c>
      <c r="AS230" s="18">
        <f t="shared" si="462"/>
        <v>1.1959095698152118</v>
      </c>
      <c r="AT230" s="18">
        <f t="shared" si="462"/>
        <v>1.1839032248066275</v>
      </c>
      <c r="AU230" s="18">
        <f t="shared" si="462"/>
        <v>1.1723692617532591</v>
      </c>
      <c r="AV230" s="18">
        <f t="shared" si="462"/>
        <v>1.1607936751048733</v>
      </c>
      <c r="AW230" s="18">
        <f t="shared" si="462"/>
        <v>1.1496886141332592</v>
      </c>
      <c r="AX230" s="18">
        <f t="shared" si="462"/>
        <v>1.1385575556522569</v>
      </c>
      <c r="AY230" s="18">
        <f t="shared" si="462"/>
        <v>70.536601504792742</v>
      </c>
      <c r="AZ230" s="18">
        <f t="shared" si="462"/>
        <v>0</v>
      </c>
      <c r="BA230" s="18">
        <f t="shared" si="462"/>
        <v>0</v>
      </c>
      <c r="BB230" s="18">
        <f t="shared" si="462"/>
        <v>0</v>
      </c>
      <c r="BC230" s="18">
        <f t="shared" si="462"/>
        <v>0</v>
      </c>
      <c r="BD230" s="18">
        <f t="shared" si="462"/>
        <v>0</v>
      </c>
      <c r="BE230" s="18">
        <f t="shared" si="462"/>
        <v>0</v>
      </c>
      <c r="BF230" s="18">
        <f t="shared" si="462"/>
        <v>0</v>
      </c>
      <c r="BG230" s="18">
        <f t="shared" si="462"/>
        <v>0</v>
      </c>
      <c r="BH230" s="18">
        <f t="shared" si="462"/>
        <v>0</v>
      </c>
      <c r="BI230" s="18">
        <f t="shared" si="462"/>
        <v>0</v>
      </c>
      <c r="BJ230" s="18">
        <f t="shared" si="462"/>
        <v>0</v>
      </c>
      <c r="BK230" s="18">
        <f t="shared" si="462"/>
        <v>0</v>
      </c>
      <c r="BL230" s="18">
        <f t="shared" si="462"/>
        <v>0</v>
      </c>
      <c r="BM230" s="18">
        <f t="shared" si="462"/>
        <v>0</v>
      </c>
      <c r="BN230" s="18">
        <f t="shared" ref="BN230:CB230" si="463">BN55*BN161</f>
        <v>0</v>
      </c>
      <c r="BO230" s="18">
        <f t="shared" si="463"/>
        <v>0</v>
      </c>
      <c r="BP230" s="18">
        <f t="shared" si="463"/>
        <v>0</v>
      </c>
      <c r="BQ230" s="18">
        <f t="shared" si="463"/>
        <v>0</v>
      </c>
      <c r="BR230" s="18">
        <f t="shared" si="463"/>
        <v>0</v>
      </c>
      <c r="BS230" s="18">
        <f t="shared" si="463"/>
        <v>0</v>
      </c>
      <c r="BT230" s="18">
        <f t="shared" si="463"/>
        <v>0</v>
      </c>
      <c r="BU230" s="18">
        <f t="shared" si="463"/>
        <v>0</v>
      </c>
      <c r="BV230" s="18">
        <f t="shared" si="463"/>
        <v>0</v>
      </c>
      <c r="BW230" s="18">
        <f t="shared" si="463"/>
        <v>0</v>
      </c>
      <c r="BX230" s="18">
        <f t="shared" si="463"/>
        <v>0</v>
      </c>
      <c r="BY230" s="18">
        <f t="shared" si="463"/>
        <v>0</v>
      </c>
      <c r="BZ230" s="18">
        <f t="shared" si="463"/>
        <v>0</v>
      </c>
      <c r="CA230" s="18">
        <f t="shared" si="463"/>
        <v>0</v>
      </c>
      <c r="CB230" s="18">
        <f t="shared" si="463"/>
        <v>0</v>
      </c>
      <c r="CC230" s="17"/>
      <c r="CD230" s="17"/>
      <c r="CE230" s="17"/>
      <c r="CH230" s="5"/>
      <c r="CI230" s="11"/>
      <c r="CJ230" s="11"/>
      <c r="CK230" s="11"/>
      <c r="CL230" s="11"/>
      <c r="CM230" s="11"/>
      <c r="CN230" s="11"/>
      <c r="CO230" s="11"/>
      <c r="CP230" s="11"/>
      <c r="CQ230" s="11"/>
      <c r="CR230" s="11"/>
      <c r="CS230" s="11"/>
      <c r="CT230" s="11"/>
      <c r="CU230" s="11"/>
      <c r="CV230" s="11"/>
      <c r="CW230" s="11"/>
      <c r="CX230" s="11"/>
      <c r="CY230" s="11"/>
      <c r="CZ230" s="11"/>
      <c r="DA230" s="11"/>
      <c r="DB230" s="11"/>
      <c r="DC230" s="11"/>
      <c r="DD230" s="11"/>
      <c r="DE230" s="11"/>
      <c r="DF230" s="11"/>
      <c r="DG230" s="11"/>
      <c r="DH230" s="11"/>
      <c r="DI230" s="11"/>
      <c r="DJ230" s="11"/>
      <c r="DK230" s="11"/>
      <c r="DL230" s="11"/>
      <c r="DM230" s="11"/>
      <c r="DN230" s="11"/>
      <c r="DO230" s="11"/>
      <c r="DP230" s="11"/>
      <c r="DQ230" s="11"/>
      <c r="DR230" s="11"/>
      <c r="DS230" s="11"/>
      <c r="DT230" s="11"/>
      <c r="DU230" s="11"/>
      <c r="DV230" s="11"/>
      <c r="DW230" s="11"/>
      <c r="DX230" s="11"/>
      <c r="DY230" s="11"/>
      <c r="DZ230" s="11"/>
      <c r="EA230" s="11"/>
      <c r="EB230" s="11"/>
      <c r="EC230" s="11"/>
      <c r="ED230" s="11"/>
      <c r="EE230" s="11"/>
      <c r="EF230" s="11"/>
      <c r="EG230" s="11"/>
      <c r="EH230" s="11"/>
      <c r="EI230" s="11"/>
      <c r="EJ230" s="11"/>
      <c r="EK230" s="11"/>
      <c r="EL230" s="11"/>
      <c r="EM230" s="11"/>
    </row>
    <row r="231" spans="1:256">
      <c r="A231" s="18" t="str">
        <f>A57</f>
        <v>Bond 18</v>
      </c>
      <c r="B231" s="18">
        <f t="shared" ref="B231:AG231" si="464">B57*B166</f>
        <v>1.6242529878267096</v>
      </c>
      <c r="C231" s="18">
        <f t="shared" si="464"/>
        <v>1.6184861598565559</v>
      </c>
      <c r="D231" s="18">
        <f t="shared" si="464"/>
        <v>1.6138726036476991</v>
      </c>
      <c r="E231" s="18">
        <f t="shared" si="464"/>
        <v>1.6101188742007715</v>
      </c>
      <c r="F231" s="18">
        <f t="shared" si="464"/>
        <v>1.6067100747302936</v>
      </c>
      <c r="G231" s="18">
        <f t="shared" si="464"/>
        <v>1.6035033768203402</v>
      </c>
      <c r="H231" s="18">
        <f t="shared" si="464"/>
        <v>1.600114861241694</v>
      </c>
      <c r="I231" s="18">
        <f t="shared" si="464"/>
        <v>1.5965113206164974</v>
      </c>
      <c r="J231" s="18">
        <f t="shared" si="464"/>
        <v>1.5923873348870963</v>
      </c>
      <c r="K231" s="18">
        <f t="shared" si="464"/>
        <v>1.5878212122925373</v>
      </c>
      <c r="L231" s="18">
        <f t="shared" si="464"/>
        <v>1.582564094860468</v>
      </c>
      <c r="M231" s="18">
        <f t="shared" si="464"/>
        <v>1.5767438238172296</v>
      </c>
      <c r="N231" s="18">
        <f t="shared" si="464"/>
        <v>1.5701001048180017</v>
      </c>
      <c r="O231" s="18">
        <f t="shared" si="464"/>
        <v>1.562917517543736</v>
      </c>
      <c r="P231" s="18">
        <f t="shared" si="464"/>
        <v>1.554880512967344</v>
      </c>
      <c r="Q231" s="18">
        <f t="shared" si="464"/>
        <v>1.5463610870669557</v>
      </c>
      <c r="R231" s="18">
        <f t="shared" si="464"/>
        <v>1.5370050998112579</v>
      </c>
      <c r="S231" s="18">
        <f t="shared" si="464"/>
        <v>1.5272587838210745</v>
      </c>
      <c r="T231" s="18">
        <f t="shared" si="464"/>
        <v>1.5167848796472931</v>
      </c>
      <c r="U231" s="18">
        <f t="shared" si="464"/>
        <v>1.5059742458576391</v>
      </c>
      <c r="V231" s="18">
        <f t="shared" si="464"/>
        <v>1.4944449223316552</v>
      </c>
      <c r="W231" s="18">
        <f t="shared" si="464"/>
        <v>1.482751119880839</v>
      </c>
      <c r="X231" s="18">
        <f t="shared" si="464"/>
        <v>1.4704164509147599</v>
      </c>
      <c r="Y231" s="18">
        <f t="shared" si="464"/>
        <v>1.4580304050898711</v>
      </c>
      <c r="Z231" s="18">
        <f t="shared" si="464"/>
        <v>1.445083967065045</v>
      </c>
      <c r="AA231" s="18">
        <f t="shared" si="464"/>
        <v>1.4321909721913166</v>
      </c>
      <c r="AB231" s="18">
        <f t="shared" si="464"/>
        <v>1.4188900821372596</v>
      </c>
      <c r="AC231" s="18">
        <f t="shared" si="464"/>
        <v>1.4056627845527603</v>
      </c>
      <c r="AD231" s="18">
        <f t="shared" si="464"/>
        <v>1.3920271917033131</v>
      </c>
      <c r="AE231" s="18">
        <f t="shared" si="464"/>
        <v>1.3786186853201052</v>
      </c>
      <c r="AF231" s="18">
        <f t="shared" si="464"/>
        <v>1.3648691631738419</v>
      </c>
      <c r="AG231" s="18">
        <f t="shared" si="464"/>
        <v>1.3514140093272837</v>
      </c>
      <c r="AH231" s="18">
        <f t="shared" ref="AH231:BM231" si="465">AH57*AH166</f>
        <v>1.3376778787840786</v>
      </c>
      <c r="AI231" s="18">
        <f t="shared" si="465"/>
        <v>1.3242906475340654</v>
      </c>
      <c r="AJ231" s="18">
        <f t="shared" si="465"/>
        <v>1.3107496582478726</v>
      </c>
      <c r="AK231" s="18">
        <f t="shared" si="465"/>
        <v>1.2975251601144731</v>
      </c>
      <c r="AL231" s="18">
        <f t="shared" si="465"/>
        <v>1.2841177342407311</v>
      </c>
      <c r="AM231" s="18">
        <f t="shared" si="465"/>
        <v>1.2711340001170321</v>
      </c>
      <c r="AN231" s="18">
        <f t="shared" si="465"/>
        <v>1.258006240708395</v>
      </c>
      <c r="AO231" s="18">
        <f t="shared" si="465"/>
        <v>1.2453250599647916</v>
      </c>
      <c r="AP231" s="18">
        <f t="shared" si="465"/>
        <v>1.2325327572736109</v>
      </c>
      <c r="AQ231" s="18">
        <f t="shared" si="465"/>
        <v>1.2202019587762933</v>
      </c>
      <c r="AR231" s="18">
        <f t="shared" si="465"/>
        <v>1.2078552901184219</v>
      </c>
      <c r="AS231" s="18">
        <f t="shared" si="465"/>
        <v>1.1959095698152118</v>
      </c>
      <c r="AT231" s="18">
        <f t="shared" si="465"/>
        <v>1.1839032248066275</v>
      </c>
      <c r="AU231" s="18">
        <f t="shared" si="465"/>
        <v>1.1723692617532591</v>
      </c>
      <c r="AV231" s="18">
        <f t="shared" si="465"/>
        <v>1.1607936751048733</v>
      </c>
      <c r="AW231" s="18">
        <f t="shared" si="465"/>
        <v>1.1496886141332592</v>
      </c>
      <c r="AX231" s="18">
        <f t="shared" si="465"/>
        <v>1.1385575556522569</v>
      </c>
      <c r="AY231" s="18">
        <f t="shared" si="465"/>
        <v>70.536601504792742</v>
      </c>
      <c r="AZ231" s="18">
        <f t="shared" si="465"/>
        <v>0</v>
      </c>
      <c r="BA231" s="18">
        <f t="shared" si="465"/>
        <v>0</v>
      </c>
      <c r="BB231" s="18">
        <f t="shared" si="465"/>
        <v>0</v>
      </c>
      <c r="BC231" s="18">
        <f t="shared" si="465"/>
        <v>0</v>
      </c>
      <c r="BD231" s="18">
        <f t="shared" si="465"/>
        <v>0</v>
      </c>
      <c r="BE231" s="18">
        <f t="shared" si="465"/>
        <v>0</v>
      </c>
      <c r="BF231" s="18">
        <f t="shared" si="465"/>
        <v>0</v>
      </c>
      <c r="BG231" s="18">
        <f t="shared" si="465"/>
        <v>0</v>
      </c>
      <c r="BH231" s="18">
        <f t="shared" si="465"/>
        <v>0</v>
      </c>
      <c r="BI231" s="18">
        <f t="shared" si="465"/>
        <v>0</v>
      </c>
      <c r="BJ231" s="18">
        <f t="shared" si="465"/>
        <v>0</v>
      </c>
      <c r="BK231" s="18">
        <f t="shared" si="465"/>
        <v>0</v>
      </c>
      <c r="BL231" s="18">
        <f t="shared" si="465"/>
        <v>0</v>
      </c>
      <c r="BM231" s="18">
        <f t="shared" si="465"/>
        <v>0</v>
      </c>
      <c r="BN231" s="18">
        <f t="shared" ref="BN231:CB231" si="466">BN57*BN166</f>
        <v>0</v>
      </c>
      <c r="BO231" s="18">
        <f t="shared" si="466"/>
        <v>0</v>
      </c>
      <c r="BP231" s="18">
        <f t="shared" si="466"/>
        <v>0</v>
      </c>
      <c r="BQ231" s="18">
        <f t="shared" si="466"/>
        <v>0</v>
      </c>
      <c r="BR231" s="18">
        <f t="shared" si="466"/>
        <v>0</v>
      </c>
      <c r="BS231" s="18">
        <f t="shared" si="466"/>
        <v>0</v>
      </c>
      <c r="BT231" s="18">
        <f t="shared" si="466"/>
        <v>0</v>
      </c>
      <c r="BU231" s="18">
        <f t="shared" si="466"/>
        <v>0</v>
      </c>
      <c r="BV231" s="18">
        <f t="shared" si="466"/>
        <v>0</v>
      </c>
      <c r="BW231" s="18">
        <f t="shared" si="466"/>
        <v>0</v>
      </c>
      <c r="BX231" s="18">
        <f t="shared" si="466"/>
        <v>0</v>
      </c>
      <c r="BY231" s="18">
        <f t="shared" si="466"/>
        <v>0</v>
      </c>
      <c r="BZ231" s="18">
        <f t="shared" si="466"/>
        <v>0</v>
      </c>
      <c r="CA231" s="18">
        <f t="shared" si="466"/>
        <v>0</v>
      </c>
      <c r="CB231" s="18">
        <f t="shared" si="466"/>
        <v>0</v>
      </c>
      <c r="CC231" s="17"/>
      <c r="CD231" s="17"/>
      <c r="CE231" s="17"/>
      <c r="CH231" s="5"/>
      <c r="CI231" s="11"/>
      <c r="CJ231" s="11"/>
      <c r="CK231" s="11"/>
      <c r="CL231" s="11"/>
      <c r="CM231" s="11"/>
      <c r="CN231" s="11"/>
      <c r="CO231" s="11"/>
      <c r="CP231" s="11"/>
      <c r="CQ231" s="11"/>
      <c r="CR231" s="11"/>
      <c r="CS231" s="11"/>
      <c r="CT231" s="11"/>
      <c r="CU231" s="11"/>
      <c r="CV231" s="11"/>
      <c r="CW231" s="11"/>
      <c r="CX231" s="11"/>
      <c r="CY231" s="11"/>
      <c r="CZ231" s="11"/>
      <c r="DA231" s="11"/>
      <c r="DB231" s="11"/>
      <c r="DC231" s="11"/>
      <c r="DD231" s="11"/>
      <c r="DE231" s="11"/>
      <c r="DF231" s="11"/>
      <c r="DG231" s="11"/>
      <c r="DH231" s="11"/>
      <c r="DI231" s="11"/>
      <c r="DJ231" s="11"/>
      <c r="DK231" s="11"/>
      <c r="DL231" s="11"/>
      <c r="DM231" s="11"/>
      <c r="DN231" s="11"/>
      <c r="DO231" s="11"/>
      <c r="DP231" s="11"/>
      <c r="DQ231" s="11"/>
      <c r="DR231" s="11"/>
      <c r="DS231" s="11"/>
      <c r="DT231" s="11"/>
      <c r="DU231" s="11"/>
      <c r="DV231" s="11"/>
      <c r="DW231" s="11"/>
      <c r="DX231" s="11"/>
      <c r="DY231" s="11"/>
      <c r="DZ231" s="11"/>
      <c r="EA231" s="11"/>
      <c r="EB231" s="11"/>
      <c r="EC231" s="11"/>
      <c r="ED231" s="11"/>
      <c r="EE231" s="11"/>
      <c r="EF231" s="11"/>
    </row>
    <row r="232" spans="1:256">
      <c r="A232" s="18" t="str">
        <f>A59</f>
        <v>Bond 19</v>
      </c>
      <c r="B232" s="18">
        <f t="shared" ref="B232:AG232" si="467">B59*B171</f>
        <v>0</v>
      </c>
      <c r="C232" s="18">
        <f t="shared" si="467"/>
        <v>0</v>
      </c>
      <c r="D232" s="18">
        <f t="shared" si="467"/>
        <v>0</v>
      </c>
      <c r="E232" s="18">
        <f t="shared" si="467"/>
        <v>0</v>
      </c>
      <c r="F232" s="18">
        <f t="shared" si="467"/>
        <v>0</v>
      </c>
      <c r="G232" s="18">
        <f t="shared" si="467"/>
        <v>0</v>
      </c>
      <c r="H232" s="18">
        <f t="shared" si="467"/>
        <v>0</v>
      </c>
      <c r="I232" s="18">
        <f t="shared" si="467"/>
        <v>0</v>
      </c>
      <c r="J232" s="18">
        <f t="shared" si="467"/>
        <v>0</v>
      </c>
      <c r="K232" s="18">
        <f t="shared" si="467"/>
        <v>0</v>
      </c>
      <c r="L232" s="18">
        <f t="shared" si="467"/>
        <v>0</v>
      </c>
      <c r="M232" s="18">
        <f t="shared" si="467"/>
        <v>0</v>
      </c>
      <c r="N232" s="18">
        <f t="shared" si="467"/>
        <v>0</v>
      </c>
      <c r="O232" s="18">
        <f t="shared" si="467"/>
        <v>0</v>
      </c>
      <c r="P232" s="18">
        <f t="shared" si="467"/>
        <v>0</v>
      </c>
      <c r="Q232" s="18">
        <f t="shared" si="467"/>
        <v>0</v>
      </c>
      <c r="R232" s="18">
        <f t="shared" si="467"/>
        <v>0</v>
      </c>
      <c r="S232" s="18">
        <f t="shared" si="467"/>
        <v>0</v>
      </c>
      <c r="T232" s="18">
        <f t="shared" si="467"/>
        <v>0</v>
      </c>
      <c r="U232" s="18">
        <f t="shared" si="467"/>
        <v>0</v>
      </c>
      <c r="V232" s="18">
        <f t="shared" si="467"/>
        <v>0</v>
      </c>
      <c r="W232" s="18">
        <f t="shared" si="467"/>
        <v>0</v>
      </c>
      <c r="X232" s="18">
        <f t="shared" si="467"/>
        <v>0</v>
      </c>
      <c r="Y232" s="18">
        <f t="shared" si="467"/>
        <v>0</v>
      </c>
      <c r="Z232" s="18">
        <f t="shared" si="467"/>
        <v>0</v>
      </c>
      <c r="AA232" s="18">
        <f t="shared" si="467"/>
        <v>0</v>
      </c>
      <c r="AB232" s="18">
        <f t="shared" si="467"/>
        <v>0</v>
      </c>
      <c r="AC232" s="18">
        <f t="shared" si="467"/>
        <v>0</v>
      </c>
      <c r="AD232" s="18">
        <f t="shared" si="467"/>
        <v>0</v>
      </c>
      <c r="AE232" s="18">
        <f t="shared" si="467"/>
        <v>0</v>
      </c>
      <c r="AF232" s="18">
        <f t="shared" si="467"/>
        <v>0</v>
      </c>
      <c r="AG232" s="18">
        <f t="shared" si="467"/>
        <v>0</v>
      </c>
      <c r="AH232" s="18">
        <f t="shared" ref="AH232:BM232" si="468">AH59*AH171</f>
        <v>0</v>
      </c>
      <c r="AI232" s="18">
        <f t="shared" si="468"/>
        <v>0</v>
      </c>
      <c r="AJ232" s="18">
        <f t="shared" si="468"/>
        <v>0</v>
      </c>
      <c r="AK232" s="18">
        <f t="shared" si="468"/>
        <v>0</v>
      </c>
      <c r="AL232" s="18">
        <f t="shared" si="468"/>
        <v>0</v>
      </c>
      <c r="AM232" s="18">
        <f t="shared" si="468"/>
        <v>0</v>
      </c>
      <c r="AN232" s="18">
        <f t="shared" si="468"/>
        <v>0</v>
      </c>
      <c r="AO232" s="18">
        <f t="shared" si="468"/>
        <v>0</v>
      </c>
      <c r="AP232" s="18">
        <f t="shared" si="468"/>
        <v>0</v>
      </c>
      <c r="AQ232" s="18">
        <f t="shared" si="468"/>
        <v>0</v>
      </c>
      <c r="AR232" s="18">
        <f t="shared" si="468"/>
        <v>0</v>
      </c>
      <c r="AS232" s="18">
        <f t="shared" si="468"/>
        <v>0</v>
      </c>
      <c r="AT232" s="18">
        <f t="shared" si="468"/>
        <v>0</v>
      </c>
      <c r="AU232" s="18">
        <f t="shared" si="468"/>
        <v>0</v>
      </c>
      <c r="AV232" s="18">
        <f t="shared" si="468"/>
        <v>0</v>
      </c>
      <c r="AW232" s="18">
        <f t="shared" si="468"/>
        <v>0</v>
      </c>
      <c r="AX232" s="18">
        <f t="shared" si="468"/>
        <v>0</v>
      </c>
      <c r="AY232" s="18">
        <f t="shared" si="468"/>
        <v>0</v>
      </c>
      <c r="AZ232" s="18">
        <f t="shared" si="468"/>
        <v>0</v>
      </c>
      <c r="BA232" s="18">
        <f t="shared" si="468"/>
        <v>0</v>
      </c>
      <c r="BB232" s="18">
        <f t="shared" si="468"/>
        <v>0</v>
      </c>
      <c r="BC232" s="18">
        <f t="shared" si="468"/>
        <v>0</v>
      </c>
      <c r="BD232" s="18">
        <f t="shared" si="468"/>
        <v>0</v>
      </c>
      <c r="BE232" s="18">
        <f t="shared" si="468"/>
        <v>0</v>
      </c>
      <c r="BF232" s="18">
        <f t="shared" si="468"/>
        <v>0</v>
      </c>
      <c r="BG232" s="18">
        <f t="shared" si="468"/>
        <v>0</v>
      </c>
      <c r="BH232" s="18">
        <f t="shared" si="468"/>
        <v>0</v>
      </c>
      <c r="BI232" s="18">
        <f t="shared" si="468"/>
        <v>0</v>
      </c>
      <c r="BJ232" s="18">
        <f t="shared" si="468"/>
        <v>0</v>
      </c>
      <c r="BK232" s="18">
        <f t="shared" si="468"/>
        <v>0</v>
      </c>
      <c r="BL232" s="18">
        <f t="shared" si="468"/>
        <v>0</v>
      </c>
      <c r="BM232" s="18">
        <f t="shared" si="468"/>
        <v>0</v>
      </c>
      <c r="BN232" s="18">
        <f t="shared" ref="BN232:CB232" si="469">BN59*BN171</f>
        <v>0</v>
      </c>
      <c r="BO232" s="18">
        <f t="shared" si="469"/>
        <v>0</v>
      </c>
      <c r="BP232" s="18">
        <f t="shared" si="469"/>
        <v>0</v>
      </c>
      <c r="BQ232" s="18">
        <f t="shared" si="469"/>
        <v>0</v>
      </c>
      <c r="BR232" s="18">
        <f t="shared" si="469"/>
        <v>0</v>
      </c>
      <c r="BS232" s="18">
        <f t="shared" si="469"/>
        <v>0</v>
      </c>
      <c r="BT232" s="18">
        <f t="shared" si="469"/>
        <v>0</v>
      </c>
      <c r="BU232" s="18">
        <f t="shared" si="469"/>
        <v>0</v>
      </c>
      <c r="BV232" s="18">
        <f t="shared" si="469"/>
        <v>0</v>
      </c>
      <c r="BW232" s="18">
        <f t="shared" si="469"/>
        <v>0</v>
      </c>
      <c r="BX232" s="18">
        <f t="shared" si="469"/>
        <v>0</v>
      </c>
      <c r="BY232" s="18">
        <f t="shared" si="469"/>
        <v>0</v>
      </c>
      <c r="BZ232" s="18">
        <f t="shared" si="469"/>
        <v>0</v>
      </c>
      <c r="CA232" s="18">
        <f t="shared" si="469"/>
        <v>0</v>
      </c>
      <c r="CB232" s="18">
        <f t="shared" si="469"/>
        <v>0</v>
      </c>
      <c r="CC232" s="17"/>
      <c r="CD232" s="17"/>
      <c r="CE232" s="17"/>
      <c r="CH232" s="5"/>
      <c r="CI232" s="11"/>
      <c r="CJ232" s="11"/>
      <c r="CK232" s="11"/>
      <c r="CL232" s="11"/>
      <c r="CM232" s="11"/>
      <c r="CN232" s="11"/>
      <c r="CO232" s="11"/>
      <c r="CP232" s="11"/>
      <c r="CQ232" s="11"/>
      <c r="CR232" s="11"/>
      <c r="CS232" s="11"/>
      <c r="CT232" s="11"/>
      <c r="CU232" s="11"/>
      <c r="CV232" s="11"/>
      <c r="CW232" s="11"/>
      <c r="CX232" s="11"/>
      <c r="CY232" s="11"/>
      <c r="CZ232" s="11"/>
      <c r="DA232" s="11"/>
      <c r="DB232" s="11"/>
      <c r="DC232" s="11"/>
      <c r="DD232" s="11"/>
      <c r="DE232" s="11"/>
      <c r="DF232" s="11"/>
      <c r="DG232" s="11"/>
      <c r="DH232" s="11"/>
      <c r="DI232" s="11"/>
      <c r="DJ232" s="11"/>
      <c r="DK232" s="11"/>
      <c r="DL232" s="11"/>
      <c r="DM232" s="11"/>
      <c r="DN232" s="11"/>
      <c r="DO232" s="11"/>
      <c r="DP232" s="11"/>
      <c r="DQ232" s="11"/>
      <c r="DR232" s="11"/>
      <c r="DS232" s="11"/>
      <c r="DT232" s="11"/>
      <c r="DU232" s="11"/>
      <c r="DV232" s="11"/>
      <c r="DW232" s="11"/>
      <c r="DX232" s="11"/>
      <c r="DY232" s="11"/>
      <c r="DZ232" s="11"/>
      <c r="EA232" s="11"/>
      <c r="EB232" s="11"/>
      <c r="EC232" s="11"/>
      <c r="ED232" s="11"/>
      <c r="EE232" s="11"/>
      <c r="EF232" s="11"/>
      <c r="EG232" s="11"/>
      <c r="EH232" s="11"/>
      <c r="EI232" s="11"/>
      <c r="EJ232" s="11"/>
      <c r="EK232" s="11"/>
      <c r="EL232" s="11"/>
      <c r="EM232" s="11"/>
      <c r="EN232" s="11"/>
      <c r="EO232" s="11"/>
      <c r="EP232" s="11"/>
      <c r="EQ232" s="11"/>
      <c r="ER232" s="11"/>
      <c r="ES232" s="11"/>
      <c r="ET232" s="11"/>
      <c r="EU232" s="11"/>
      <c r="EV232" s="11"/>
      <c r="EW232" s="11"/>
      <c r="EX232" s="11"/>
      <c r="EY232" s="11"/>
      <c r="EZ232" s="11"/>
      <c r="FA232" s="11"/>
      <c r="FB232" s="11"/>
      <c r="FC232" s="11"/>
      <c r="FD232" s="11"/>
    </row>
    <row r="233" spans="1:256">
      <c r="A233" s="18" t="str">
        <f>A61</f>
        <v>Bond 20</v>
      </c>
      <c r="B233" s="18">
        <f t="shared" ref="B233:AG233" si="470">B61*B176</f>
        <v>0</v>
      </c>
      <c r="C233" s="18">
        <f t="shared" si="470"/>
        <v>0</v>
      </c>
      <c r="D233" s="18">
        <f t="shared" si="470"/>
        <v>0</v>
      </c>
      <c r="E233" s="18">
        <f t="shared" si="470"/>
        <v>0</v>
      </c>
      <c r="F233" s="18">
        <f t="shared" si="470"/>
        <v>0</v>
      </c>
      <c r="G233" s="18">
        <f t="shared" si="470"/>
        <v>0</v>
      </c>
      <c r="H233" s="18">
        <f t="shared" si="470"/>
        <v>0</v>
      </c>
      <c r="I233" s="18">
        <f t="shared" si="470"/>
        <v>0</v>
      </c>
      <c r="J233" s="18">
        <f t="shared" si="470"/>
        <v>0</v>
      </c>
      <c r="K233" s="18">
        <f t="shared" si="470"/>
        <v>0</v>
      </c>
      <c r="L233" s="18">
        <f t="shared" si="470"/>
        <v>0</v>
      </c>
      <c r="M233" s="18">
        <f t="shared" si="470"/>
        <v>0</v>
      </c>
      <c r="N233" s="18">
        <f t="shared" si="470"/>
        <v>0</v>
      </c>
      <c r="O233" s="18">
        <f t="shared" si="470"/>
        <v>0</v>
      </c>
      <c r="P233" s="18">
        <f t="shared" si="470"/>
        <v>0</v>
      </c>
      <c r="Q233" s="18">
        <f t="shared" si="470"/>
        <v>0</v>
      </c>
      <c r="R233" s="18">
        <f t="shared" si="470"/>
        <v>0</v>
      </c>
      <c r="S233" s="18">
        <f t="shared" si="470"/>
        <v>0</v>
      </c>
      <c r="T233" s="18">
        <f t="shared" si="470"/>
        <v>0</v>
      </c>
      <c r="U233" s="18">
        <f t="shared" si="470"/>
        <v>0</v>
      </c>
      <c r="V233" s="18">
        <f t="shared" si="470"/>
        <v>0</v>
      </c>
      <c r="W233" s="18">
        <f t="shared" si="470"/>
        <v>0</v>
      </c>
      <c r="X233" s="18">
        <f t="shared" si="470"/>
        <v>0</v>
      </c>
      <c r="Y233" s="18">
        <f t="shared" si="470"/>
        <v>0</v>
      </c>
      <c r="Z233" s="18">
        <f t="shared" si="470"/>
        <v>0</v>
      </c>
      <c r="AA233" s="18">
        <f t="shared" si="470"/>
        <v>0</v>
      </c>
      <c r="AB233" s="18">
        <f t="shared" si="470"/>
        <v>0</v>
      </c>
      <c r="AC233" s="18">
        <f t="shared" si="470"/>
        <v>0</v>
      </c>
      <c r="AD233" s="18">
        <f t="shared" si="470"/>
        <v>0</v>
      </c>
      <c r="AE233" s="18">
        <f t="shared" si="470"/>
        <v>0</v>
      </c>
      <c r="AF233" s="18">
        <f t="shared" si="470"/>
        <v>0</v>
      </c>
      <c r="AG233" s="18">
        <f t="shared" si="470"/>
        <v>0</v>
      </c>
      <c r="AH233" s="18">
        <f t="shared" ref="AH233:BM233" si="471">AH61*AH176</f>
        <v>0</v>
      </c>
      <c r="AI233" s="18">
        <f t="shared" si="471"/>
        <v>0</v>
      </c>
      <c r="AJ233" s="18">
        <f t="shared" si="471"/>
        <v>0</v>
      </c>
      <c r="AK233" s="18">
        <f t="shared" si="471"/>
        <v>0</v>
      </c>
      <c r="AL233" s="18">
        <f t="shared" si="471"/>
        <v>0</v>
      </c>
      <c r="AM233" s="18">
        <f t="shared" si="471"/>
        <v>0</v>
      </c>
      <c r="AN233" s="18">
        <f t="shared" si="471"/>
        <v>0</v>
      </c>
      <c r="AO233" s="18">
        <f t="shared" si="471"/>
        <v>0</v>
      </c>
      <c r="AP233" s="18">
        <f t="shared" si="471"/>
        <v>0</v>
      </c>
      <c r="AQ233" s="18">
        <f t="shared" si="471"/>
        <v>0</v>
      </c>
      <c r="AR233" s="18">
        <f t="shared" si="471"/>
        <v>0</v>
      </c>
      <c r="AS233" s="18">
        <f t="shared" si="471"/>
        <v>0</v>
      </c>
      <c r="AT233" s="18">
        <f t="shared" si="471"/>
        <v>0</v>
      </c>
      <c r="AU233" s="18">
        <f t="shared" si="471"/>
        <v>0</v>
      </c>
      <c r="AV233" s="18">
        <f t="shared" si="471"/>
        <v>0</v>
      </c>
      <c r="AW233" s="18">
        <f t="shared" si="471"/>
        <v>0</v>
      </c>
      <c r="AX233" s="18">
        <f t="shared" si="471"/>
        <v>0</v>
      </c>
      <c r="AY233" s="18">
        <f t="shared" si="471"/>
        <v>0</v>
      </c>
      <c r="AZ233" s="18">
        <f t="shared" si="471"/>
        <v>0</v>
      </c>
      <c r="BA233" s="18">
        <f t="shared" si="471"/>
        <v>0</v>
      </c>
      <c r="BB233" s="18">
        <f t="shared" si="471"/>
        <v>0</v>
      </c>
      <c r="BC233" s="18">
        <f t="shared" si="471"/>
        <v>0</v>
      </c>
      <c r="BD233" s="18">
        <f t="shared" si="471"/>
        <v>0</v>
      </c>
      <c r="BE233" s="18">
        <f t="shared" si="471"/>
        <v>0</v>
      </c>
      <c r="BF233" s="18">
        <f t="shared" si="471"/>
        <v>0</v>
      </c>
      <c r="BG233" s="18">
        <f t="shared" si="471"/>
        <v>0</v>
      </c>
      <c r="BH233" s="18">
        <f t="shared" si="471"/>
        <v>0</v>
      </c>
      <c r="BI233" s="18">
        <f t="shared" si="471"/>
        <v>0</v>
      </c>
      <c r="BJ233" s="18">
        <f t="shared" si="471"/>
        <v>0</v>
      </c>
      <c r="BK233" s="18">
        <f t="shared" si="471"/>
        <v>0</v>
      </c>
      <c r="BL233" s="18">
        <f t="shared" si="471"/>
        <v>0</v>
      </c>
      <c r="BM233" s="18">
        <f t="shared" si="471"/>
        <v>0</v>
      </c>
      <c r="BN233" s="18">
        <f t="shared" ref="BN233:CB233" si="472">BN61*BN176</f>
        <v>0</v>
      </c>
      <c r="BO233" s="18">
        <f t="shared" si="472"/>
        <v>0</v>
      </c>
      <c r="BP233" s="18">
        <f t="shared" si="472"/>
        <v>0</v>
      </c>
      <c r="BQ233" s="18">
        <f t="shared" si="472"/>
        <v>0</v>
      </c>
      <c r="BR233" s="18">
        <f t="shared" si="472"/>
        <v>0</v>
      </c>
      <c r="BS233" s="18">
        <f t="shared" si="472"/>
        <v>0</v>
      </c>
      <c r="BT233" s="18">
        <f t="shared" si="472"/>
        <v>0</v>
      </c>
      <c r="BU233" s="18">
        <f t="shared" si="472"/>
        <v>0</v>
      </c>
      <c r="BV233" s="18">
        <f t="shared" si="472"/>
        <v>0</v>
      </c>
      <c r="BW233" s="18">
        <f t="shared" si="472"/>
        <v>0</v>
      </c>
      <c r="BX233" s="18">
        <f t="shared" si="472"/>
        <v>0</v>
      </c>
      <c r="BY233" s="18">
        <f t="shared" si="472"/>
        <v>0</v>
      </c>
      <c r="BZ233" s="18">
        <f t="shared" si="472"/>
        <v>0</v>
      </c>
      <c r="CA233" s="18">
        <f t="shared" si="472"/>
        <v>0</v>
      </c>
      <c r="CB233" s="18">
        <f t="shared" si="472"/>
        <v>0</v>
      </c>
      <c r="CC233" s="17"/>
      <c r="CD233" s="17"/>
      <c r="CE233" s="17"/>
      <c r="CH233" s="5"/>
      <c r="CI233" s="11"/>
      <c r="CJ233" s="11"/>
      <c r="CK233" s="11"/>
      <c r="CL233" s="11"/>
      <c r="CM233" s="11"/>
      <c r="CN233" s="11"/>
      <c r="CO233" s="11"/>
      <c r="CP233" s="11"/>
      <c r="CQ233" s="11"/>
      <c r="CR233" s="11"/>
      <c r="CS233" s="11"/>
      <c r="CT233" s="11"/>
      <c r="CU233" s="11"/>
      <c r="CV233" s="11"/>
      <c r="CW233" s="11"/>
      <c r="CX233" s="11"/>
      <c r="CY233" s="11"/>
      <c r="CZ233" s="11"/>
      <c r="DA233" s="11"/>
      <c r="DB233" s="11"/>
      <c r="DC233" s="11"/>
      <c r="DD233" s="11"/>
      <c r="DE233" s="11"/>
      <c r="DF233" s="11"/>
      <c r="DG233" s="11"/>
      <c r="DH233" s="11"/>
      <c r="DI233" s="11"/>
      <c r="DJ233" s="11"/>
      <c r="DK233" s="11"/>
      <c r="DL233" s="11"/>
      <c r="DM233" s="11"/>
      <c r="DN233" s="11"/>
      <c r="DO233" s="11"/>
      <c r="DP233" s="11"/>
      <c r="DQ233" s="11"/>
      <c r="DR233" s="11"/>
      <c r="DS233" s="11"/>
      <c r="DT233" s="11"/>
      <c r="DU233" s="11"/>
      <c r="DV233" s="11"/>
      <c r="DW233" s="11"/>
      <c r="DX233" s="11"/>
      <c r="DY233" s="11"/>
      <c r="DZ233" s="11"/>
      <c r="EA233" s="11"/>
      <c r="EB233" s="11"/>
      <c r="EC233" s="11"/>
      <c r="ED233" s="11"/>
    </row>
    <row r="234" spans="1:256">
      <c r="A234" s="18" t="str">
        <f>A63</f>
        <v>Bond 21</v>
      </c>
      <c r="B234" s="18">
        <f t="shared" ref="B234:AG234" si="473">B63*B181</f>
        <v>0</v>
      </c>
      <c r="C234" s="18">
        <f t="shared" si="473"/>
        <v>0</v>
      </c>
      <c r="D234" s="18">
        <f t="shared" si="473"/>
        <v>0</v>
      </c>
      <c r="E234" s="18">
        <f t="shared" si="473"/>
        <v>0</v>
      </c>
      <c r="F234" s="18">
        <f t="shared" si="473"/>
        <v>0</v>
      </c>
      <c r="G234" s="18">
        <f t="shared" si="473"/>
        <v>0</v>
      </c>
      <c r="H234" s="18">
        <f t="shared" si="473"/>
        <v>0</v>
      </c>
      <c r="I234" s="18">
        <f t="shared" si="473"/>
        <v>0</v>
      </c>
      <c r="J234" s="18">
        <f t="shared" si="473"/>
        <v>0</v>
      </c>
      <c r="K234" s="18">
        <f t="shared" si="473"/>
        <v>0</v>
      </c>
      <c r="L234" s="18">
        <f t="shared" si="473"/>
        <v>0</v>
      </c>
      <c r="M234" s="18">
        <f t="shared" si="473"/>
        <v>0</v>
      </c>
      <c r="N234" s="18">
        <f t="shared" si="473"/>
        <v>0</v>
      </c>
      <c r="O234" s="18">
        <f t="shared" si="473"/>
        <v>0</v>
      </c>
      <c r="P234" s="18">
        <f t="shared" si="473"/>
        <v>0</v>
      </c>
      <c r="Q234" s="18">
        <f t="shared" si="473"/>
        <v>0</v>
      </c>
      <c r="R234" s="18">
        <f t="shared" si="473"/>
        <v>0</v>
      </c>
      <c r="S234" s="18">
        <f t="shared" si="473"/>
        <v>0</v>
      </c>
      <c r="T234" s="18">
        <f t="shared" si="473"/>
        <v>0</v>
      </c>
      <c r="U234" s="18">
        <f t="shared" si="473"/>
        <v>0</v>
      </c>
      <c r="V234" s="18">
        <f t="shared" si="473"/>
        <v>0</v>
      </c>
      <c r="W234" s="18">
        <f t="shared" si="473"/>
        <v>0</v>
      </c>
      <c r="X234" s="18">
        <f t="shared" si="473"/>
        <v>0</v>
      </c>
      <c r="Y234" s="18">
        <f t="shared" si="473"/>
        <v>0</v>
      </c>
      <c r="Z234" s="18">
        <f t="shared" si="473"/>
        <v>0</v>
      </c>
      <c r="AA234" s="18">
        <f t="shared" si="473"/>
        <v>0</v>
      </c>
      <c r="AB234" s="18">
        <f t="shared" si="473"/>
        <v>0</v>
      </c>
      <c r="AC234" s="18">
        <f t="shared" si="473"/>
        <v>0</v>
      </c>
      <c r="AD234" s="18">
        <f t="shared" si="473"/>
        <v>0</v>
      </c>
      <c r="AE234" s="18">
        <f t="shared" si="473"/>
        <v>0</v>
      </c>
      <c r="AF234" s="18">
        <f t="shared" si="473"/>
        <v>0</v>
      </c>
      <c r="AG234" s="18">
        <f t="shared" si="473"/>
        <v>0</v>
      </c>
      <c r="AH234" s="18">
        <f t="shared" ref="AH234:BM234" si="474">AH63*AH181</f>
        <v>0</v>
      </c>
      <c r="AI234" s="18">
        <f t="shared" si="474"/>
        <v>0</v>
      </c>
      <c r="AJ234" s="18">
        <f t="shared" si="474"/>
        <v>0</v>
      </c>
      <c r="AK234" s="18">
        <f t="shared" si="474"/>
        <v>0</v>
      </c>
      <c r="AL234" s="18">
        <f t="shared" si="474"/>
        <v>0</v>
      </c>
      <c r="AM234" s="18">
        <f t="shared" si="474"/>
        <v>0</v>
      </c>
      <c r="AN234" s="18">
        <f t="shared" si="474"/>
        <v>0</v>
      </c>
      <c r="AO234" s="18">
        <f t="shared" si="474"/>
        <v>0</v>
      </c>
      <c r="AP234" s="18">
        <f t="shared" si="474"/>
        <v>0</v>
      </c>
      <c r="AQ234" s="18">
        <f t="shared" si="474"/>
        <v>0</v>
      </c>
      <c r="AR234" s="18">
        <f t="shared" si="474"/>
        <v>0</v>
      </c>
      <c r="AS234" s="18">
        <f t="shared" si="474"/>
        <v>0</v>
      </c>
      <c r="AT234" s="18">
        <f t="shared" si="474"/>
        <v>0</v>
      </c>
      <c r="AU234" s="18">
        <f t="shared" si="474"/>
        <v>0</v>
      </c>
      <c r="AV234" s="18">
        <f t="shared" si="474"/>
        <v>0</v>
      </c>
      <c r="AW234" s="18">
        <f t="shared" si="474"/>
        <v>0</v>
      </c>
      <c r="AX234" s="18">
        <f t="shared" si="474"/>
        <v>0</v>
      </c>
      <c r="AY234" s="18">
        <f t="shared" si="474"/>
        <v>0</v>
      </c>
      <c r="AZ234" s="18">
        <f t="shared" si="474"/>
        <v>0</v>
      </c>
      <c r="BA234" s="18">
        <f t="shared" si="474"/>
        <v>0</v>
      </c>
      <c r="BB234" s="18">
        <f t="shared" si="474"/>
        <v>0</v>
      </c>
      <c r="BC234" s="18">
        <f t="shared" si="474"/>
        <v>0</v>
      </c>
      <c r="BD234" s="18">
        <f t="shared" si="474"/>
        <v>0</v>
      </c>
      <c r="BE234" s="18">
        <f t="shared" si="474"/>
        <v>0</v>
      </c>
      <c r="BF234" s="18">
        <f t="shared" si="474"/>
        <v>0</v>
      </c>
      <c r="BG234" s="18">
        <f t="shared" si="474"/>
        <v>0</v>
      </c>
      <c r="BH234" s="18">
        <f t="shared" si="474"/>
        <v>0</v>
      </c>
      <c r="BI234" s="18">
        <f t="shared" si="474"/>
        <v>0</v>
      </c>
      <c r="BJ234" s="18">
        <f t="shared" si="474"/>
        <v>0</v>
      </c>
      <c r="BK234" s="18">
        <f t="shared" si="474"/>
        <v>0</v>
      </c>
      <c r="BL234" s="18">
        <f t="shared" si="474"/>
        <v>0</v>
      </c>
      <c r="BM234" s="18">
        <f t="shared" si="474"/>
        <v>0</v>
      </c>
      <c r="BN234" s="18">
        <f t="shared" ref="BN234:CB234" si="475">BN63*BN181</f>
        <v>0</v>
      </c>
      <c r="BO234" s="18">
        <f t="shared" si="475"/>
        <v>0</v>
      </c>
      <c r="BP234" s="18">
        <f t="shared" si="475"/>
        <v>0</v>
      </c>
      <c r="BQ234" s="18">
        <f t="shared" si="475"/>
        <v>0</v>
      </c>
      <c r="BR234" s="18">
        <f t="shared" si="475"/>
        <v>0</v>
      </c>
      <c r="BS234" s="18">
        <f t="shared" si="475"/>
        <v>0</v>
      </c>
      <c r="BT234" s="18">
        <f t="shared" si="475"/>
        <v>0</v>
      </c>
      <c r="BU234" s="18">
        <f t="shared" si="475"/>
        <v>0</v>
      </c>
      <c r="BV234" s="18">
        <f t="shared" si="475"/>
        <v>0</v>
      </c>
      <c r="BW234" s="18">
        <f t="shared" si="475"/>
        <v>0</v>
      </c>
      <c r="BX234" s="18">
        <f t="shared" si="475"/>
        <v>0</v>
      </c>
      <c r="BY234" s="18">
        <f t="shared" si="475"/>
        <v>0</v>
      </c>
      <c r="BZ234" s="18">
        <f t="shared" si="475"/>
        <v>0</v>
      </c>
      <c r="CA234" s="18">
        <f t="shared" si="475"/>
        <v>0</v>
      </c>
      <c r="CB234" s="18">
        <f t="shared" si="475"/>
        <v>0</v>
      </c>
      <c r="CC234" s="17"/>
      <c r="CD234" s="17"/>
      <c r="CE234" s="17"/>
      <c r="CH234" s="5"/>
      <c r="CI234" s="5"/>
      <c r="CJ234" s="5"/>
      <c r="CK234" s="5"/>
      <c r="CL234" s="5"/>
      <c r="CM234" s="5"/>
      <c r="CN234" s="5"/>
      <c r="CO234" s="5"/>
      <c r="CP234" s="5"/>
      <c r="CQ234" s="5"/>
      <c r="CR234" s="5"/>
      <c r="CS234" s="5"/>
      <c r="CT234" s="5"/>
      <c r="CU234" s="5"/>
      <c r="CV234" s="5"/>
      <c r="CW234" s="5"/>
      <c r="CX234" s="5"/>
      <c r="CY234" s="5"/>
      <c r="CZ234" s="5"/>
      <c r="DA234" s="5"/>
      <c r="DB234" s="5"/>
      <c r="DC234" s="5"/>
      <c r="DD234" s="5"/>
      <c r="DE234" s="5"/>
      <c r="DF234" s="5"/>
      <c r="DG234" s="5"/>
      <c r="DH234" s="5"/>
      <c r="DI234" s="5"/>
      <c r="DJ234" s="5"/>
      <c r="DK234" s="5"/>
      <c r="DL234" s="5"/>
      <c r="DM234" s="5"/>
      <c r="DN234" s="5"/>
      <c r="DO234" s="5"/>
      <c r="DP234" s="5"/>
      <c r="DQ234" s="5"/>
      <c r="DR234" s="5"/>
      <c r="DS234" s="5"/>
      <c r="DT234" s="5"/>
      <c r="DU234" s="5"/>
      <c r="DV234" s="5"/>
      <c r="DW234" s="5"/>
      <c r="DX234" s="5"/>
      <c r="DY234" s="5"/>
      <c r="DZ234" s="5"/>
      <c r="EA234" s="5"/>
      <c r="EB234" s="5"/>
      <c r="EC234" s="5"/>
      <c r="ED234" s="5"/>
      <c r="EE234" s="5"/>
      <c r="EF234" s="5"/>
      <c r="EG234" s="5"/>
      <c r="EH234" s="5"/>
      <c r="EI234" s="5"/>
      <c r="EJ234" s="5"/>
      <c r="EK234" s="5"/>
      <c r="EL234" s="5"/>
      <c r="EM234" s="5"/>
      <c r="EN234" s="5"/>
      <c r="EO234" s="5"/>
      <c r="EP234" s="5"/>
      <c r="EQ234" s="5"/>
      <c r="ER234" s="5"/>
      <c r="ES234" s="5"/>
      <c r="ET234" s="5"/>
      <c r="EU234" s="5"/>
      <c r="EV234" s="5"/>
      <c r="EW234" s="5"/>
      <c r="EX234" s="5"/>
      <c r="EY234" s="5"/>
      <c r="EZ234" s="5"/>
      <c r="FA234" s="5"/>
      <c r="FB234" s="5"/>
      <c r="FC234" s="5"/>
      <c r="FD234" s="5"/>
      <c r="FE234" s="5"/>
      <c r="FF234" s="5"/>
      <c r="FG234" s="5"/>
      <c r="FH234" s="5"/>
      <c r="FI234" s="5"/>
      <c r="FJ234" s="5"/>
      <c r="FK234" s="5"/>
      <c r="FL234" s="5"/>
      <c r="FM234" s="5"/>
      <c r="FN234" s="5"/>
      <c r="FO234" s="5"/>
      <c r="FP234" s="5"/>
      <c r="FQ234" s="5"/>
      <c r="FR234" s="5"/>
      <c r="FS234" s="5"/>
      <c r="FT234" s="5"/>
      <c r="FU234" s="5"/>
      <c r="FV234" s="5"/>
      <c r="FW234" s="5"/>
      <c r="FX234" s="5"/>
      <c r="FY234" s="5"/>
      <c r="FZ234" s="5"/>
      <c r="GA234" s="5"/>
      <c r="GB234" s="5"/>
      <c r="GC234" s="5"/>
      <c r="GD234" s="5"/>
      <c r="GE234" s="5"/>
      <c r="GF234" s="5"/>
      <c r="GG234" s="5"/>
      <c r="GH234" s="5"/>
      <c r="GI234" s="5"/>
      <c r="GJ234" s="5"/>
      <c r="GK234" s="5"/>
      <c r="GL234" s="5"/>
      <c r="GM234" s="5"/>
      <c r="GN234" s="5"/>
      <c r="GO234" s="5"/>
      <c r="GP234" s="5"/>
      <c r="GQ234" s="5"/>
      <c r="GR234" s="5"/>
      <c r="GS234" s="5"/>
    </row>
    <row r="235" spans="1:256">
      <c r="A235" s="18" t="str">
        <f>A65</f>
        <v>Bond 22</v>
      </c>
      <c r="B235" s="18">
        <f t="shared" ref="B235:AG235" si="476">B65*B186</f>
        <v>0</v>
      </c>
      <c r="C235" s="18">
        <f t="shared" si="476"/>
        <v>0</v>
      </c>
      <c r="D235" s="18">
        <f t="shared" si="476"/>
        <v>0</v>
      </c>
      <c r="E235" s="18">
        <f t="shared" si="476"/>
        <v>0</v>
      </c>
      <c r="F235" s="18">
        <f t="shared" si="476"/>
        <v>0</v>
      </c>
      <c r="G235" s="18">
        <f t="shared" si="476"/>
        <v>0</v>
      </c>
      <c r="H235" s="18">
        <f t="shared" si="476"/>
        <v>0</v>
      </c>
      <c r="I235" s="18">
        <f t="shared" si="476"/>
        <v>0</v>
      </c>
      <c r="J235" s="18">
        <f t="shared" si="476"/>
        <v>0</v>
      </c>
      <c r="K235" s="18">
        <f t="shared" si="476"/>
        <v>0</v>
      </c>
      <c r="L235" s="18">
        <f t="shared" si="476"/>
        <v>0</v>
      </c>
      <c r="M235" s="18">
        <f t="shared" si="476"/>
        <v>0</v>
      </c>
      <c r="N235" s="18">
        <f t="shared" si="476"/>
        <v>0</v>
      </c>
      <c r="O235" s="18">
        <f t="shared" si="476"/>
        <v>0</v>
      </c>
      <c r="P235" s="18">
        <f t="shared" si="476"/>
        <v>0</v>
      </c>
      <c r="Q235" s="18">
        <f t="shared" si="476"/>
        <v>0</v>
      </c>
      <c r="R235" s="18">
        <f t="shared" si="476"/>
        <v>0</v>
      </c>
      <c r="S235" s="18">
        <f t="shared" si="476"/>
        <v>0</v>
      </c>
      <c r="T235" s="18">
        <f t="shared" si="476"/>
        <v>0</v>
      </c>
      <c r="U235" s="18">
        <f t="shared" si="476"/>
        <v>0</v>
      </c>
      <c r="V235" s="18">
        <f t="shared" si="476"/>
        <v>0</v>
      </c>
      <c r="W235" s="18">
        <f t="shared" si="476"/>
        <v>0</v>
      </c>
      <c r="X235" s="18">
        <f t="shared" si="476"/>
        <v>0</v>
      </c>
      <c r="Y235" s="18">
        <f t="shared" si="476"/>
        <v>0</v>
      </c>
      <c r="Z235" s="18">
        <f t="shared" si="476"/>
        <v>0</v>
      </c>
      <c r="AA235" s="18">
        <f t="shared" si="476"/>
        <v>0</v>
      </c>
      <c r="AB235" s="18">
        <f t="shared" si="476"/>
        <v>0</v>
      </c>
      <c r="AC235" s="18">
        <f t="shared" si="476"/>
        <v>0</v>
      </c>
      <c r="AD235" s="18">
        <f t="shared" si="476"/>
        <v>0</v>
      </c>
      <c r="AE235" s="18">
        <f t="shared" si="476"/>
        <v>0</v>
      </c>
      <c r="AF235" s="18">
        <f t="shared" si="476"/>
        <v>0</v>
      </c>
      <c r="AG235" s="18">
        <f t="shared" si="476"/>
        <v>0</v>
      </c>
      <c r="AH235" s="18">
        <f t="shared" ref="AH235:BM235" si="477">AH65*AH186</f>
        <v>0</v>
      </c>
      <c r="AI235" s="18">
        <f t="shared" si="477"/>
        <v>0</v>
      </c>
      <c r="AJ235" s="18">
        <f t="shared" si="477"/>
        <v>0</v>
      </c>
      <c r="AK235" s="18">
        <f t="shared" si="477"/>
        <v>0</v>
      </c>
      <c r="AL235" s="18">
        <f t="shared" si="477"/>
        <v>0</v>
      </c>
      <c r="AM235" s="18">
        <f t="shared" si="477"/>
        <v>0</v>
      </c>
      <c r="AN235" s="18">
        <f t="shared" si="477"/>
        <v>0</v>
      </c>
      <c r="AO235" s="18">
        <f t="shared" si="477"/>
        <v>0</v>
      </c>
      <c r="AP235" s="18">
        <f t="shared" si="477"/>
        <v>0</v>
      </c>
      <c r="AQ235" s="18">
        <f t="shared" si="477"/>
        <v>0</v>
      </c>
      <c r="AR235" s="18">
        <f t="shared" si="477"/>
        <v>0</v>
      </c>
      <c r="AS235" s="18">
        <f t="shared" si="477"/>
        <v>0</v>
      </c>
      <c r="AT235" s="18">
        <f t="shared" si="477"/>
        <v>0</v>
      </c>
      <c r="AU235" s="18">
        <f t="shared" si="477"/>
        <v>0</v>
      </c>
      <c r="AV235" s="18">
        <f t="shared" si="477"/>
        <v>0</v>
      </c>
      <c r="AW235" s="18">
        <f t="shared" si="477"/>
        <v>0</v>
      </c>
      <c r="AX235" s="18">
        <f t="shared" si="477"/>
        <v>0</v>
      </c>
      <c r="AY235" s="18">
        <f t="shared" si="477"/>
        <v>0</v>
      </c>
      <c r="AZ235" s="18">
        <f t="shared" si="477"/>
        <v>0</v>
      </c>
      <c r="BA235" s="18">
        <f t="shared" si="477"/>
        <v>0</v>
      </c>
      <c r="BB235" s="18">
        <f t="shared" si="477"/>
        <v>0</v>
      </c>
      <c r="BC235" s="18">
        <f t="shared" si="477"/>
        <v>0</v>
      </c>
      <c r="BD235" s="18">
        <f t="shared" si="477"/>
        <v>0</v>
      </c>
      <c r="BE235" s="18">
        <f t="shared" si="477"/>
        <v>0</v>
      </c>
      <c r="BF235" s="18">
        <f t="shared" si="477"/>
        <v>0</v>
      </c>
      <c r="BG235" s="18">
        <f t="shared" si="477"/>
        <v>0</v>
      </c>
      <c r="BH235" s="18">
        <f t="shared" si="477"/>
        <v>0</v>
      </c>
      <c r="BI235" s="18">
        <f t="shared" si="477"/>
        <v>0</v>
      </c>
      <c r="BJ235" s="18">
        <f t="shared" si="477"/>
        <v>0</v>
      </c>
      <c r="BK235" s="18">
        <f t="shared" si="477"/>
        <v>0</v>
      </c>
      <c r="BL235" s="18">
        <f t="shared" si="477"/>
        <v>0</v>
      </c>
      <c r="BM235" s="18">
        <f t="shared" si="477"/>
        <v>0</v>
      </c>
      <c r="BN235" s="18">
        <f t="shared" ref="BN235:CB235" si="478">BN65*BN186</f>
        <v>0</v>
      </c>
      <c r="BO235" s="18">
        <f t="shared" si="478"/>
        <v>0</v>
      </c>
      <c r="BP235" s="18">
        <f t="shared" si="478"/>
        <v>0</v>
      </c>
      <c r="BQ235" s="18">
        <f t="shared" si="478"/>
        <v>0</v>
      </c>
      <c r="BR235" s="18">
        <f t="shared" si="478"/>
        <v>0</v>
      </c>
      <c r="BS235" s="18">
        <f t="shared" si="478"/>
        <v>0</v>
      </c>
      <c r="BT235" s="18">
        <f t="shared" si="478"/>
        <v>0</v>
      </c>
      <c r="BU235" s="18">
        <f t="shared" si="478"/>
        <v>0</v>
      </c>
      <c r="BV235" s="18">
        <f t="shared" si="478"/>
        <v>0</v>
      </c>
      <c r="BW235" s="18">
        <f t="shared" si="478"/>
        <v>0</v>
      </c>
      <c r="BX235" s="18">
        <f t="shared" si="478"/>
        <v>0</v>
      </c>
      <c r="BY235" s="18">
        <f t="shared" si="478"/>
        <v>0</v>
      </c>
      <c r="BZ235" s="18">
        <f t="shared" si="478"/>
        <v>0</v>
      </c>
      <c r="CA235" s="18">
        <f t="shared" si="478"/>
        <v>0</v>
      </c>
      <c r="CB235" s="18">
        <f t="shared" si="478"/>
        <v>0</v>
      </c>
      <c r="CC235" s="17"/>
      <c r="CD235" s="17"/>
      <c r="CE235" s="17"/>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K235" s="5"/>
      <c r="DL235" s="5"/>
      <c r="DM235" s="5"/>
      <c r="DN235" s="5"/>
      <c r="DO235" s="5"/>
      <c r="DP235" s="5"/>
      <c r="DQ235" s="5"/>
      <c r="DR235" s="5"/>
      <c r="DS235" s="5"/>
      <c r="DT235" s="5"/>
      <c r="DU235" s="5"/>
      <c r="DV235" s="5"/>
      <c r="DW235" s="5"/>
      <c r="DX235" s="5"/>
      <c r="DY235" s="5"/>
      <c r="DZ235" s="5"/>
      <c r="EA235" s="5"/>
      <c r="EB235" s="5"/>
      <c r="EC235" s="5"/>
      <c r="ED235" s="5"/>
      <c r="EE235" s="5"/>
      <c r="EF235" s="5"/>
      <c r="EG235" s="5"/>
      <c r="EH235" s="5"/>
      <c r="EI235" s="5"/>
      <c r="EJ235" s="5"/>
      <c r="EK235" s="5"/>
      <c r="EL235" s="5"/>
      <c r="EM235" s="5"/>
      <c r="EN235" s="5"/>
      <c r="EO235" s="5"/>
      <c r="EP235" s="5"/>
      <c r="EQ235" s="5"/>
      <c r="ER235" s="5"/>
      <c r="ES235" s="5"/>
      <c r="ET235" s="5"/>
      <c r="EU235" s="5"/>
      <c r="EV235" s="5"/>
      <c r="EW235" s="5"/>
      <c r="EX235" s="5"/>
      <c r="EY235" s="5"/>
      <c r="EZ235" s="5"/>
      <c r="FA235" s="5"/>
      <c r="FB235" s="5"/>
      <c r="FC235" s="5"/>
      <c r="FD235" s="5"/>
      <c r="FE235" s="5"/>
      <c r="FF235" s="5"/>
      <c r="FG235" s="5"/>
      <c r="FH235" s="5"/>
      <c r="FI235" s="5"/>
      <c r="FJ235" s="5"/>
      <c r="FK235" s="5"/>
      <c r="FL235" s="5"/>
      <c r="FM235" s="5"/>
      <c r="FN235" s="5"/>
      <c r="FO235" s="5"/>
      <c r="FP235" s="5"/>
      <c r="FQ235" s="5"/>
      <c r="FR235" s="5"/>
      <c r="FS235" s="5"/>
      <c r="FT235" s="5"/>
      <c r="FU235" s="5"/>
      <c r="FV235" s="5"/>
      <c r="FW235" s="5"/>
      <c r="FX235" s="5"/>
      <c r="FY235" s="5"/>
      <c r="FZ235" s="5"/>
      <c r="GA235" s="5"/>
      <c r="GB235" s="5"/>
      <c r="GC235" s="5"/>
      <c r="GD235" s="5"/>
      <c r="GE235" s="5"/>
      <c r="GF235" s="5"/>
      <c r="GG235" s="5"/>
      <c r="GH235" s="5"/>
      <c r="GI235" s="5"/>
      <c r="GJ235" s="5"/>
      <c r="GK235" s="5"/>
      <c r="GL235" s="5"/>
      <c r="GM235" s="5"/>
      <c r="GN235" s="5"/>
      <c r="GO235" s="5"/>
      <c r="GP235" s="5"/>
      <c r="GQ235" s="5"/>
      <c r="GR235" s="5"/>
      <c r="GS235" s="5"/>
      <c r="GT235" s="5"/>
      <c r="GU235" s="5"/>
      <c r="GV235" s="5"/>
      <c r="GW235" s="5"/>
      <c r="GX235" s="5"/>
      <c r="GY235" s="5"/>
      <c r="GZ235" s="5"/>
      <c r="HA235" s="5"/>
      <c r="HB235" s="5"/>
      <c r="HC235" s="5"/>
      <c r="HD235" s="5"/>
      <c r="HE235" s="5"/>
      <c r="HF235" s="5"/>
      <c r="HG235" s="5"/>
      <c r="HH235" s="5"/>
      <c r="HI235" s="5"/>
      <c r="HJ235" s="5"/>
      <c r="HK235" s="5"/>
      <c r="HL235" s="5"/>
      <c r="HM235" s="5"/>
      <c r="HN235" s="5"/>
      <c r="HO235" s="5"/>
      <c r="HP235" s="5"/>
      <c r="HQ235" s="5"/>
      <c r="HR235" s="5"/>
      <c r="HS235" s="5"/>
      <c r="HT235" s="5"/>
      <c r="HU235" s="5"/>
      <c r="HV235" s="5"/>
      <c r="HW235" s="5"/>
      <c r="HX235" s="5"/>
      <c r="HY235" s="5"/>
      <c r="HZ235" s="5"/>
      <c r="IA235" s="5"/>
      <c r="IB235" s="5"/>
      <c r="IC235" s="5"/>
      <c r="ID235" s="5"/>
      <c r="IE235" s="5"/>
      <c r="IF235" s="5"/>
      <c r="IG235" s="5"/>
      <c r="IH235" s="5"/>
      <c r="II235" s="5"/>
      <c r="IJ235" s="5"/>
      <c r="IK235" s="5"/>
      <c r="IL235" s="5"/>
      <c r="IM235" s="5"/>
      <c r="IN235" s="5"/>
      <c r="IO235" s="5"/>
      <c r="IP235" s="5"/>
      <c r="IQ235" s="5"/>
      <c r="IR235" s="5"/>
      <c r="IS235" s="5"/>
      <c r="IT235" s="5"/>
      <c r="IU235" s="5"/>
      <c r="IV235" s="5"/>
    </row>
    <row r="236" spans="1:256">
      <c r="A236" s="18" t="str">
        <f>A67</f>
        <v>Bond 23</v>
      </c>
      <c r="B236" s="18">
        <f t="shared" ref="B236:AG236" si="479">B67*B191</f>
        <v>0</v>
      </c>
      <c r="C236" s="18">
        <f t="shared" si="479"/>
        <v>0</v>
      </c>
      <c r="D236" s="18">
        <f t="shared" si="479"/>
        <v>0</v>
      </c>
      <c r="E236" s="18">
        <f t="shared" si="479"/>
        <v>0</v>
      </c>
      <c r="F236" s="18">
        <f t="shared" si="479"/>
        <v>0</v>
      </c>
      <c r="G236" s="18">
        <f t="shared" si="479"/>
        <v>0</v>
      </c>
      <c r="H236" s="18">
        <f t="shared" si="479"/>
        <v>0</v>
      </c>
      <c r="I236" s="18">
        <f t="shared" si="479"/>
        <v>0</v>
      </c>
      <c r="J236" s="18">
        <f t="shared" si="479"/>
        <v>0</v>
      </c>
      <c r="K236" s="18">
        <f t="shared" si="479"/>
        <v>0</v>
      </c>
      <c r="L236" s="18">
        <f t="shared" si="479"/>
        <v>0</v>
      </c>
      <c r="M236" s="18">
        <f t="shared" si="479"/>
        <v>0</v>
      </c>
      <c r="N236" s="18">
        <f t="shared" si="479"/>
        <v>0</v>
      </c>
      <c r="O236" s="18">
        <f t="shared" si="479"/>
        <v>0</v>
      </c>
      <c r="P236" s="18">
        <f t="shared" si="479"/>
        <v>0</v>
      </c>
      <c r="Q236" s="18">
        <f t="shared" si="479"/>
        <v>0</v>
      </c>
      <c r="R236" s="18">
        <f t="shared" si="479"/>
        <v>0</v>
      </c>
      <c r="S236" s="18">
        <f t="shared" si="479"/>
        <v>0</v>
      </c>
      <c r="T236" s="18">
        <f t="shared" si="479"/>
        <v>0</v>
      </c>
      <c r="U236" s="18">
        <f t="shared" si="479"/>
        <v>0</v>
      </c>
      <c r="V236" s="18">
        <f t="shared" si="479"/>
        <v>0</v>
      </c>
      <c r="W236" s="18">
        <f t="shared" si="479"/>
        <v>0</v>
      </c>
      <c r="X236" s="18">
        <f t="shared" si="479"/>
        <v>0</v>
      </c>
      <c r="Y236" s="18">
        <f t="shared" si="479"/>
        <v>0</v>
      </c>
      <c r="Z236" s="18">
        <f t="shared" si="479"/>
        <v>0</v>
      </c>
      <c r="AA236" s="18">
        <f t="shared" si="479"/>
        <v>0</v>
      </c>
      <c r="AB236" s="18">
        <f t="shared" si="479"/>
        <v>0</v>
      </c>
      <c r="AC236" s="18">
        <f t="shared" si="479"/>
        <v>0</v>
      </c>
      <c r="AD236" s="18">
        <f t="shared" si="479"/>
        <v>0</v>
      </c>
      <c r="AE236" s="18">
        <f t="shared" si="479"/>
        <v>0</v>
      </c>
      <c r="AF236" s="18">
        <f t="shared" si="479"/>
        <v>0</v>
      </c>
      <c r="AG236" s="18">
        <f t="shared" si="479"/>
        <v>0</v>
      </c>
      <c r="AH236" s="18">
        <f t="shared" ref="AH236:BM236" si="480">AH67*AH191</f>
        <v>0</v>
      </c>
      <c r="AI236" s="18">
        <f t="shared" si="480"/>
        <v>0</v>
      </c>
      <c r="AJ236" s="18">
        <f t="shared" si="480"/>
        <v>0</v>
      </c>
      <c r="AK236" s="18">
        <f t="shared" si="480"/>
        <v>0</v>
      </c>
      <c r="AL236" s="18">
        <f t="shared" si="480"/>
        <v>0</v>
      </c>
      <c r="AM236" s="18">
        <f t="shared" si="480"/>
        <v>0</v>
      </c>
      <c r="AN236" s="18">
        <f t="shared" si="480"/>
        <v>0</v>
      </c>
      <c r="AO236" s="18">
        <f t="shared" si="480"/>
        <v>0</v>
      </c>
      <c r="AP236" s="18">
        <f t="shared" si="480"/>
        <v>0</v>
      </c>
      <c r="AQ236" s="18">
        <f t="shared" si="480"/>
        <v>0</v>
      </c>
      <c r="AR236" s="18">
        <f t="shared" si="480"/>
        <v>0</v>
      </c>
      <c r="AS236" s="18">
        <f t="shared" si="480"/>
        <v>0</v>
      </c>
      <c r="AT236" s="18">
        <f t="shared" si="480"/>
        <v>0</v>
      </c>
      <c r="AU236" s="18">
        <f t="shared" si="480"/>
        <v>0</v>
      </c>
      <c r="AV236" s="18">
        <f t="shared" si="480"/>
        <v>0</v>
      </c>
      <c r="AW236" s="18">
        <f t="shared" si="480"/>
        <v>0</v>
      </c>
      <c r="AX236" s="18">
        <f t="shared" si="480"/>
        <v>0</v>
      </c>
      <c r="AY236" s="18">
        <f t="shared" si="480"/>
        <v>0</v>
      </c>
      <c r="AZ236" s="18">
        <f t="shared" si="480"/>
        <v>0</v>
      </c>
      <c r="BA236" s="18">
        <f t="shared" si="480"/>
        <v>0</v>
      </c>
      <c r="BB236" s="18">
        <f t="shared" si="480"/>
        <v>0</v>
      </c>
      <c r="BC236" s="18">
        <f t="shared" si="480"/>
        <v>0</v>
      </c>
      <c r="BD236" s="18">
        <f t="shared" si="480"/>
        <v>0</v>
      </c>
      <c r="BE236" s="18">
        <f t="shared" si="480"/>
        <v>0</v>
      </c>
      <c r="BF236" s="18">
        <f t="shared" si="480"/>
        <v>0</v>
      </c>
      <c r="BG236" s="18">
        <f t="shared" si="480"/>
        <v>0</v>
      </c>
      <c r="BH236" s="18">
        <f t="shared" si="480"/>
        <v>0</v>
      </c>
      <c r="BI236" s="18">
        <f t="shared" si="480"/>
        <v>0</v>
      </c>
      <c r="BJ236" s="18">
        <f t="shared" si="480"/>
        <v>0</v>
      </c>
      <c r="BK236" s="18">
        <f t="shared" si="480"/>
        <v>0</v>
      </c>
      <c r="BL236" s="18">
        <f t="shared" si="480"/>
        <v>0</v>
      </c>
      <c r="BM236" s="18">
        <f t="shared" si="480"/>
        <v>0</v>
      </c>
      <c r="BN236" s="18">
        <f t="shared" ref="BN236:CB236" si="481">BN67*BN191</f>
        <v>0</v>
      </c>
      <c r="BO236" s="18">
        <f t="shared" si="481"/>
        <v>0</v>
      </c>
      <c r="BP236" s="18">
        <f t="shared" si="481"/>
        <v>0</v>
      </c>
      <c r="BQ236" s="18">
        <f t="shared" si="481"/>
        <v>0</v>
      </c>
      <c r="BR236" s="18">
        <f t="shared" si="481"/>
        <v>0</v>
      </c>
      <c r="BS236" s="18">
        <f t="shared" si="481"/>
        <v>0</v>
      </c>
      <c r="BT236" s="18">
        <f t="shared" si="481"/>
        <v>0</v>
      </c>
      <c r="BU236" s="18">
        <f t="shared" si="481"/>
        <v>0</v>
      </c>
      <c r="BV236" s="18">
        <f t="shared" si="481"/>
        <v>0</v>
      </c>
      <c r="BW236" s="18">
        <f t="shared" si="481"/>
        <v>0</v>
      </c>
      <c r="BX236" s="18">
        <f t="shared" si="481"/>
        <v>0</v>
      </c>
      <c r="BY236" s="18">
        <f t="shared" si="481"/>
        <v>0</v>
      </c>
      <c r="BZ236" s="18">
        <f t="shared" si="481"/>
        <v>0</v>
      </c>
      <c r="CA236" s="18">
        <f t="shared" si="481"/>
        <v>0</v>
      </c>
      <c r="CB236" s="18">
        <f t="shared" si="481"/>
        <v>0</v>
      </c>
      <c r="CC236" s="17"/>
      <c r="CD236" s="17"/>
      <c r="CE236" s="17"/>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c r="DG236" s="5"/>
      <c r="DH236" s="5"/>
      <c r="DI236" s="5"/>
      <c r="DJ236" s="5"/>
      <c r="DK236" s="5"/>
      <c r="DL236" s="5"/>
      <c r="DM236" s="5"/>
      <c r="DN236" s="5"/>
      <c r="DO236" s="5"/>
      <c r="DP236" s="5"/>
      <c r="DQ236" s="5"/>
      <c r="DR236" s="5"/>
      <c r="DS236" s="5"/>
      <c r="DT236" s="5"/>
      <c r="DU236" s="5"/>
      <c r="DV236" s="5"/>
      <c r="DW236" s="5"/>
      <c r="DX236" s="5"/>
      <c r="DY236" s="5"/>
      <c r="DZ236" s="5"/>
      <c r="EA236" s="5"/>
      <c r="EB236" s="5"/>
      <c r="EC236" s="5"/>
      <c r="ED236" s="5"/>
      <c r="EE236" s="5"/>
      <c r="EF236" s="5"/>
      <c r="EG236" s="5"/>
      <c r="EH236" s="5"/>
      <c r="EI236" s="5"/>
      <c r="EJ236" s="5"/>
      <c r="EK236" s="5"/>
      <c r="EL236" s="5"/>
      <c r="EM236" s="5"/>
      <c r="EN236" s="5"/>
      <c r="EO236" s="5"/>
      <c r="EP236" s="5"/>
      <c r="EQ236" s="5"/>
      <c r="ER236" s="5"/>
      <c r="ES236" s="5"/>
      <c r="ET236" s="5"/>
      <c r="EU236" s="5"/>
      <c r="EV236" s="5"/>
      <c r="EW236" s="5"/>
      <c r="EX236" s="5"/>
      <c r="EY236" s="5"/>
      <c r="EZ236" s="5"/>
      <c r="FA236" s="5"/>
      <c r="FB236" s="5"/>
      <c r="FC236" s="5"/>
      <c r="FD236" s="5"/>
      <c r="FE236" s="5"/>
      <c r="FF236" s="5"/>
      <c r="FG236" s="5"/>
      <c r="FH236" s="5"/>
      <c r="FI236" s="5"/>
      <c r="FJ236" s="5"/>
      <c r="FK236" s="5"/>
      <c r="FL236" s="5"/>
      <c r="FM236" s="5"/>
      <c r="FN236" s="5"/>
      <c r="FO236" s="5"/>
      <c r="FP236" s="5"/>
      <c r="FQ236" s="5"/>
      <c r="FR236" s="5"/>
      <c r="FS236" s="5"/>
      <c r="FT236" s="5"/>
      <c r="FU236" s="5"/>
      <c r="FV236" s="5"/>
      <c r="FW236" s="5"/>
      <c r="FX236" s="5"/>
      <c r="FY236" s="5"/>
      <c r="FZ236" s="5"/>
      <c r="GA236" s="5"/>
      <c r="GB236" s="5"/>
      <c r="GC236" s="5"/>
      <c r="GD236" s="5"/>
      <c r="GE236" s="5"/>
      <c r="GF236" s="5"/>
      <c r="GG236" s="5"/>
      <c r="GH236" s="5"/>
      <c r="GI236" s="5"/>
      <c r="GJ236" s="5"/>
      <c r="GK236" s="5"/>
      <c r="GL236" s="5"/>
      <c r="GM236" s="5"/>
      <c r="GN236" s="5"/>
      <c r="GO236" s="5"/>
      <c r="GP236" s="5"/>
      <c r="GQ236" s="5"/>
      <c r="GR236" s="5"/>
      <c r="GS236" s="5"/>
      <c r="GT236" s="5"/>
      <c r="GU236" s="5"/>
      <c r="GV236" s="5"/>
      <c r="GW236" s="5"/>
      <c r="GX236" s="5"/>
      <c r="GY236" s="5"/>
      <c r="GZ236" s="5"/>
      <c r="HA236" s="5"/>
      <c r="HB236" s="5"/>
      <c r="HC236" s="5"/>
      <c r="HD236" s="5"/>
      <c r="HE236" s="5"/>
      <c r="HF236" s="5"/>
      <c r="HG236" s="5"/>
      <c r="HH236" s="5"/>
      <c r="HI236" s="5"/>
      <c r="HJ236" s="5"/>
      <c r="HK236" s="5"/>
      <c r="HL236" s="5"/>
      <c r="HM236" s="5"/>
      <c r="HN236" s="5"/>
      <c r="HO236" s="5"/>
      <c r="HP236" s="5"/>
      <c r="HQ236" s="5"/>
      <c r="HR236" s="5"/>
      <c r="HS236" s="5"/>
      <c r="HT236" s="5"/>
      <c r="HU236" s="5"/>
      <c r="HV236" s="5"/>
      <c r="HW236" s="5"/>
      <c r="HX236" s="5"/>
      <c r="HY236" s="5"/>
      <c r="HZ236" s="5"/>
      <c r="IA236" s="5"/>
      <c r="IB236" s="5"/>
      <c r="IC236" s="5"/>
      <c r="ID236" s="5"/>
      <c r="IE236" s="5"/>
      <c r="IF236" s="5"/>
      <c r="IG236" s="5"/>
      <c r="IH236" s="5"/>
      <c r="II236" s="5"/>
      <c r="IJ236" s="5"/>
      <c r="IK236" s="5"/>
      <c r="IL236" s="5"/>
      <c r="IM236" s="5"/>
      <c r="IN236" s="5"/>
      <c r="IO236" s="5"/>
      <c r="IP236" s="5"/>
      <c r="IQ236" s="5"/>
      <c r="IR236" s="5"/>
      <c r="IS236" s="5"/>
      <c r="IT236" s="5"/>
      <c r="IU236" s="5"/>
      <c r="IV236" s="5"/>
    </row>
    <row r="237" spans="1:256">
      <c r="A237" s="18" t="str">
        <f>A69</f>
        <v>Bond 24</v>
      </c>
      <c r="B237" s="18">
        <f t="shared" ref="B237:AG237" si="482">B69*B196</f>
        <v>0</v>
      </c>
      <c r="C237" s="18">
        <f t="shared" si="482"/>
        <v>0</v>
      </c>
      <c r="D237" s="18">
        <f t="shared" si="482"/>
        <v>0</v>
      </c>
      <c r="E237" s="18">
        <f t="shared" si="482"/>
        <v>0</v>
      </c>
      <c r="F237" s="18">
        <f t="shared" si="482"/>
        <v>0</v>
      </c>
      <c r="G237" s="18">
        <f t="shared" si="482"/>
        <v>0</v>
      </c>
      <c r="H237" s="18">
        <f t="shared" si="482"/>
        <v>0</v>
      </c>
      <c r="I237" s="18">
        <f t="shared" si="482"/>
        <v>0</v>
      </c>
      <c r="J237" s="18">
        <f t="shared" si="482"/>
        <v>0</v>
      </c>
      <c r="K237" s="18">
        <f t="shared" si="482"/>
        <v>0</v>
      </c>
      <c r="L237" s="18">
        <f t="shared" si="482"/>
        <v>0</v>
      </c>
      <c r="M237" s="18">
        <f t="shared" si="482"/>
        <v>0</v>
      </c>
      <c r="N237" s="18">
        <f t="shared" si="482"/>
        <v>0</v>
      </c>
      <c r="O237" s="18">
        <f t="shared" si="482"/>
        <v>0</v>
      </c>
      <c r="P237" s="18">
        <f t="shared" si="482"/>
        <v>0</v>
      </c>
      <c r="Q237" s="18">
        <f t="shared" si="482"/>
        <v>0</v>
      </c>
      <c r="R237" s="18">
        <f t="shared" si="482"/>
        <v>0</v>
      </c>
      <c r="S237" s="18">
        <f t="shared" si="482"/>
        <v>0</v>
      </c>
      <c r="T237" s="18">
        <f t="shared" si="482"/>
        <v>0</v>
      </c>
      <c r="U237" s="18">
        <f t="shared" si="482"/>
        <v>0</v>
      </c>
      <c r="V237" s="18">
        <f t="shared" si="482"/>
        <v>0</v>
      </c>
      <c r="W237" s="18">
        <f t="shared" si="482"/>
        <v>0</v>
      </c>
      <c r="X237" s="18">
        <f t="shared" si="482"/>
        <v>0</v>
      </c>
      <c r="Y237" s="18">
        <f t="shared" si="482"/>
        <v>0</v>
      </c>
      <c r="Z237" s="18">
        <f t="shared" si="482"/>
        <v>0</v>
      </c>
      <c r="AA237" s="18">
        <f t="shared" si="482"/>
        <v>0</v>
      </c>
      <c r="AB237" s="18">
        <f t="shared" si="482"/>
        <v>0</v>
      </c>
      <c r="AC237" s="18">
        <f t="shared" si="482"/>
        <v>0</v>
      </c>
      <c r="AD237" s="18">
        <f t="shared" si="482"/>
        <v>0</v>
      </c>
      <c r="AE237" s="18">
        <f t="shared" si="482"/>
        <v>0</v>
      </c>
      <c r="AF237" s="18">
        <f t="shared" si="482"/>
        <v>0</v>
      </c>
      <c r="AG237" s="18">
        <f t="shared" si="482"/>
        <v>0</v>
      </c>
      <c r="AH237" s="18">
        <f t="shared" ref="AH237:BM237" si="483">AH69*AH196</f>
        <v>0</v>
      </c>
      <c r="AI237" s="18">
        <f t="shared" si="483"/>
        <v>0</v>
      </c>
      <c r="AJ237" s="18">
        <f t="shared" si="483"/>
        <v>0</v>
      </c>
      <c r="AK237" s="18">
        <f t="shared" si="483"/>
        <v>0</v>
      </c>
      <c r="AL237" s="18">
        <f t="shared" si="483"/>
        <v>0</v>
      </c>
      <c r="AM237" s="18">
        <f t="shared" si="483"/>
        <v>0</v>
      </c>
      <c r="AN237" s="18">
        <f t="shared" si="483"/>
        <v>0</v>
      </c>
      <c r="AO237" s="18">
        <f t="shared" si="483"/>
        <v>0</v>
      </c>
      <c r="AP237" s="18">
        <f t="shared" si="483"/>
        <v>0</v>
      </c>
      <c r="AQ237" s="18">
        <f t="shared" si="483"/>
        <v>0</v>
      </c>
      <c r="AR237" s="18">
        <f t="shared" si="483"/>
        <v>0</v>
      </c>
      <c r="AS237" s="18">
        <f t="shared" si="483"/>
        <v>0</v>
      </c>
      <c r="AT237" s="18">
        <f t="shared" si="483"/>
        <v>0</v>
      </c>
      <c r="AU237" s="18">
        <f t="shared" si="483"/>
        <v>0</v>
      </c>
      <c r="AV237" s="18">
        <f t="shared" si="483"/>
        <v>0</v>
      </c>
      <c r="AW237" s="18">
        <f t="shared" si="483"/>
        <v>0</v>
      </c>
      <c r="AX237" s="18">
        <f t="shared" si="483"/>
        <v>0</v>
      </c>
      <c r="AY237" s="18">
        <f t="shared" si="483"/>
        <v>0</v>
      </c>
      <c r="AZ237" s="18">
        <f t="shared" si="483"/>
        <v>0</v>
      </c>
      <c r="BA237" s="18">
        <f t="shared" si="483"/>
        <v>0</v>
      </c>
      <c r="BB237" s="18">
        <f t="shared" si="483"/>
        <v>0</v>
      </c>
      <c r="BC237" s="18">
        <f t="shared" si="483"/>
        <v>0</v>
      </c>
      <c r="BD237" s="18">
        <f t="shared" si="483"/>
        <v>0</v>
      </c>
      <c r="BE237" s="18">
        <f t="shared" si="483"/>
        <v>0</v>
      </c>
      <c r="BF237" s="18">
        <f t="shared" si="483"/>
        <v>0</v>
      </c>
      <c r="BG237" s="18">
        <f t="shared" si="483"/>
        <v>0</v>
      </c>
      <c r="BH237" s="18">
        <f t="shared" si="483"/>
        <v>0</v>
      </c>
      <c r="BI237" s="18">
        <f t="shared" si="483"/>
        <v>0</v>
      </c>
      <c r="BJ237" s="18">
        <f t="shared" si="483"/>
        <v>0</v>
      </c>
      <c r="BK237" s="18">
        <f t="shared" si="483"/>
        <v>0</v>
      </c>
      <c r="BL237" s="18">
        <f t="shared" si="483"/>
        <v>0</v>
      </c>
      <c r="BM237" s="18">
        <f t="shared" si="483"/>
        <v>0</v>
      </c>
      <c r="BN237" s="18">
        <f t="shared" ref="BN237:CB237" si="484">BN69*BN196</f>
        <v>0</v>
      </c>
      <c r="BO237" s="18">
        <f t="shared" si="484"/>
        <v>0</v>
      </c>
      <c r="BP237" s="18">
        <f t="shared" si="484"/>
        <v>0</v>
      </c>
      <c r="BQ237" s="18">
        <f t="shared" si="484"/>
        <v>0</v>
      </c>
      <c r="BR237" s="18">
        <f t="shared" si="484"/>
        <v>0</v>
      </c>
      <c r="BS237" s="18">
        <f t="shared" si="484"/>
        <v>0</v>
      </c>
      <c r="BT237" s="18">
        <f t="shared" si="484"/>
        <v>0</v>
      </c>
      <c r="BU237" s="18">
        <f t="shared" si="484"/>
        <v>0</v>
      </c>
      <c r="BV237" s="18">
        <f t="shared" si="484"/>
        <v>0</v>
      </c>
      <c r="BW237" s="18">
        <f t="shared" si="484"/>
        <v>0</v>
      </c>
      <c r="BX237" s="18">
        <f t="shared" si="484"/>
        <v>0</v>
      </c>
      <c r="BY237" s="18">
        <f t="shared" si="484"/>
        <v>0</v>
      </c>
      <c r="BZ237" s="18">
        <f t="shared" si="484"/>
        <v>0</v>
      </c>
      <c r="CA237" s="18">
        <f t="shared" si="484"/>
        <v>0</v>
      </c>
      <c r="CB237" s="18">
        <f t="shared" si="484"/>
        <v>0</v>
      </c>
      <c r="CC237" s="17"/>
      <c r="CD237" s="17"/>
      <c r="CE237" s="17"/>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c r="DG237" s="5"/>
      <c r="DH237" s="5"/>
      <c r="DI237" s="5"/>
      <c r="DJ237" s="5"/>
      <c r="DK237" s="5"/>
      <c r="DL237" s="5"/>
      <c r="DM237" s="5"/>
      <c r="DN237" s="5"/>
      <c r="DO237" s="5"/>
      <c r="DP237" s="5"/>
      <c r="DQ237" s="5"/>
      <c r="DR237" s="5"/>
      <c r="DS237" s="5"/>
      <c r="DT237" s="5"/>
      <c r="DU237" s="5"/>
      <c r="DV237" s="5"/>
      <c r="DW237" s="5"/>
      <c r="DX237" s="5"/>
      <c r="DY237" s="5"/>
      <c r="DZ237" s="5"/>
      <c r="EA237" s="5"/>
      <c r="EB237" s="5"/>
      <c r="EC237" s="5"/>
      <c r="ED237" s="5"/>
      <c r="EE237" s="5"/>
      <c r="EF237" s="5"/>
      <c r="EG237" s="5"/>
      <c r="EH237" s="5"/>
      <c r="EI237" s="5"/>
      <c r="EJ237" s="5"/>
      <c r="EK237" s="5"/>
      <c r="EL237" s="5"/>
      <c r="EM237" s="5"/>
      <c r="EN237" s="5"/>
      <c r="EO237" s="5"/>
      <c r="EP237" s="5"/>
      <c r="EQ237" s="5"/>
      <c r="ER237" s="5"/>
      <c r="ES237" s="5"/>
      <c r="ET237" s="5"/>
      <c r="EU237" s="5"/>
      <c r="EV237" s="5"/>
      <c r="EW237" s="5"/>
      <c r="EX237" s="5"/>
      <c r="EY237" s="5"/>
      <c r="EZ237" s="5"/>
      <c r="FA237" s="5"/>
      <c r="FB237" s="5"/>
      <c r="FC237" s="5"/>
      <c r="FD237" s="5"/>
      <c r="FE237" s="5"/>
      <c r="FF237" s="5"/>
      <c r="FG237" s="5"/>
      <c r="FH237" s="5"/>
      <c r="FI237" s="5"/>
      <c r="FJ237" s="5"/>
      <c r="FK237" s="5"/>
      <c r="FL237" s="5"/>
      <c r="FM237" s="5"/>
      <c r="FN237" s="5"/>
      <c r="FO237" s="5"/>
      <c r="FP237" s="5"/>
      <c r="FQ237" s="5"/>
      <c r="FR237" s="5"/>
      <c r="FS237" s="5"/>
      <c r="FT237" s="5"/>
      <c r="FU237" s="5"/>
      <c r="FV237" s="5"/>
      <c r="FW237" s="5"/>
      <c r="FX237" s="5"/>
      <c r="FY237" s="5"/>
      <c r="FZ237" s="5"/>
      <c r="GA237" s="5"/>
      <c r="GB237" s="5"/>
      <c r="GC237" s="5"/>
      <c r="GD237" s="5"/>
      <c r="GE237" s="5"/>
      <c r="GF237" s="5"/>
      <c r="GG237" s="5"/>
      <c r="GH237" s="5"/>
      <c r="GI237" s="5"/>
      <c r="GJ237" s="5"/>
      <c r="GK237" s="5"/>
      <c r="GL237" s="5"/>
      <c r="GM237" s="5"/>
      <c r="GN237" s="5"/>
      <c r="GO237" s="5"/>
      <c r="GP237" s="5"/>
      <c r="GQ237" s="5"/>
      <c r="GR237" s="5"/>
      <c r="GS237" s="5"/>
      <c r="GT237" s="5"/>
      <c r="GU237" s="5"/>
      <c r="GV237" s="5"/>
      <c r="GW237" s="5"/>
      <c r="GX237" s="5"/>
      <c r="GY237" s="5"/>
      <c r="GZ237" s="5"/>
      <c r="HA237" s="5"/>
      <c r="HB237" s="5"/>
      <c r="HC237" s="5"/>
      <c r="HD237" s="5"/>
      <c r="HE237" s="5"/>
      <c r="HF237" s="5"/>
      <c r="HG237" s="5"/>
      <c r="HH237" s="5"/>
      <c r="HI237" s="5"/>
      <c r="HJ237" s="5"/>
      <c r="HK237" s="5"/>
      <c r="HL237" s="5"/>
      <c r="HM237" s="5"/>
      <c r="HN237" s="5"/>
      <c r="HO237" s="5"/>
      <c r="HP237" s="5"/>
      <c r="HQ237" s="5"/>
      <c r="HR237" s="5"/>
      <c r="HS237" s="5"/>
      <c r="HT237" s="5"/>
      <c r="HU237" s="5"/>
      <c r="HV237" s="5"/>
      <c r="HW237" s="5"/>
      <c r="HX237" s="5"/>
      <c r="HY237" s="5"/>
      <c r="HZ237" s="5"/>
      <c r="IA237" s="5"/>
      <c r="IB237" s="5"/>
      <c r="IC237" s="5"/>
      <c r="ID237" s="5"/>
      <c r="IE237" s="5"/>
      <c r="IF237" s="5"/>
      <c r="IG237" s="5"/>
      <c r="IH237" s="5"/>
      <c r="II237" s="5"/>
      <c r="IJ237" s="5"/>
      <c r="IK237" s="5"/>
      <c r="IL237" s="5"/>
      <c r="IM237" s="5"/>
      <c r="IN237" s="5"/>
      <c r="IO237" s="5"/>
      <c r="IP237" s="5"/>
      <c r="IQ237" s="5"/>
      <c r="IR237" s="5"/>
      <c r="IS237" s="5"/>
      <c r="IT237" s="5"/>
      <c r="IU237" s="5"/>
      <c r="IV237" s="5"/>
    </row>
    <row r="238" spans="1:256">
      <c r="A238" s="18" t="str">
        <f>A71</f>
        <v>Bond 25</v>
      </c>
      <c r="B238" s="18">
        <f t="shared" ref="B238:AG238" si="485">B71*B201</f>
        <v>0</v>
      </c>
      <c r="C238" s="18">
        <f t="shared" si="485"/>
        <v>0</v>
      </c>
      <c r="D238" s="18">
        <f t="shared" si="485"/>
        <v>0</v>
      </c>
      <c r="E238" s="18">
        <f t="shared" si="485"/>
        <v>0</v>
      </c>
      <c r="F238" s="18">
        <f t="shared" si="485"/>
        <v>0</v>
      </c>
      <c r="G238" s="18">
        <f t="shared" si="485"/>
        <v>0</v>
      </c>
      <c r="H238" s="18">
        <f t="shared" si="485"/>
        <v>0</v>
      </c>
      <c r="I238" s="18">
        <f t="shared" si="485"/>
        <v>0</v>
      </c>
      <c r="J238" s="18">
        <f t="shared" si="485"/>
        <v>0</v>
      </c>
      <c r="K238" s="18">
        <f t="shared" si="485"/>
        <v>0</v>
      </c>
      <c r="L238" s="18">
        <f t="shared" si="485"/>
        <v>0</v>
      </c>
      <c r="M238" s="18">
        <f t="shared" si="485"/>
        <v>0</v>
      </c>
      <c r="N238" s="18">
        <f t="shared" si="485"/>
        <v>0</v>
      </c>
      <c r="O238" s="18">
        <f t="shared" si="485"/>
        <v>0</v>
      </c>
      <c r="P238" s="18">
        <f t="shared" si="485"/>
        <v>0</v>
      </c>
      <c r="Q238" s="18">
        <f t="shared" si="485"/>
        <v>0</v>
      </c>
      <c r="R238" s="18">
        <f t="shared" si="485"/>
        <v>0</v>
      </c>
      <c r="S238" s="18">
        <f t="shared" si="485"/>
        <v>0</v>
      </c>
      <c r="T238" s="18">
        <f t="shared" si="485"/>
        <v>0</v>
      </c>
      <c r="U238" s="18">
        <f t="shared" si="485"/>
        <v>0</v>
      </c>
      <c r="V238" s="18">
        <f t="shared" si="485"/>
        <v>0</v>
      </c>
      <c r="W238" s="18">
        <f t="shared" si="485"/>
        <v>0</v>
      </c>
      <c r="X238" s="18">
        <f t="shared" si="485"/>
        <v>0</v>
      </c>
      <c r="Y238" s="18">
        <f t="shared" si="485"/>
        <v>0</v>
      </c>
      <c r="Z238" s="18">
        <f t="shared" si="485"/>
        <v>0</v>
      </c>
      <c r="AA238" s="18">
        <f t="shared" si="485"/>
        <v>0</v>
      </c>
      <c r="AB238" s="18">
        <f t="shared" si="485"/>
        <v>0</v>
      </c>
      <c r="AC238" s="18">
        <f t="shared" si="485"/>
        <v>0</v>
      </c>
      <c r="AD238" s="18">
        <f t="shared" si="485"/>
        <v>0</v>
      </c>
      <c r="AE238" s="18">
        <f t="shared" si="485"/>
        <v>0</v>
      </c>
      <c r="AF238" s="18">
        <f t="shared" si="485"/>
        <v>0</v>
      </c>
      <c r="AG238" s="18">
        <f t="shared" si="485"/>
        <v>0</v>
      </c>
      <c r="AH238" s="18">
        <f t="shared" ref="AH238:BM238" si="486">AH71*AH201</f>
        <v>0</v>
      </c>
      <c r="AI238" s="18">
        <f t="shared" si="486"/>
        <v>0</v>
      </c>
      <c r="AJ238" s="18">
        <f t="shared" si="486"/>
        <v>0</v>
      </c>
      <c r="AK238" s="18">
        <f t="shared" si="486"/>
        <v>0</v>
      </c>
      <c r="AL238" s="18">
        <f t="shared" si="486"/>
        <v>0</v>
      </c>
      <c r="AM238" s="18">
        <f t="shared" si="486"/>
        <v>0</v>
      </c>
      <c r="AN238" s="18">
        <f t="shared" si="486"/>
        <v>0</v>
      </c>
      <c r="AO238" s="18">
        <f t="shared" si="486"/>
        <v>0</v>
      </c>
      <c r="AP238" s="18">
        <f t="shared" si="486"/>
        <v>0</v>
      </c>
      <c r="AQ238" s="18">
        <f t="shared" si="486"/>
        <v>0</v>
      </c>
      <c r="AR238" s="18">
        <f t="shared" si="486"/>
        <v>0</v>
      </c>
      <c r="AS238" s="18">
        <f t="shared" si="486"/>
        <v>0</v>
      </c>
      <c r="AT238" s="18">
        <f t="shared" si="486"/>
        <v>0</v>
      </c>
      <c r="AU238" s="18">
        <f t="shared" si="486"/>
        <v>0</v>
      </c>
      <c r="AV238" s="18">
        <f t="shared" si="486"/>
        <v>0</v>
      </c>
      <c r="AW238" s="18">
        <f t="shared" si="486"/>
        <v>0</v>
      </c>
      <c r="AX238" s="18">
        <f t="shared" si="486"/>
        <v>0</v>
      </c>
      <c r="AY238" s="18">
        <f t="shared" si="486"/>
        <v>0</v>
      </c>
      <c r="AZ238" s="18">
        <f t="shared" si="486"/>
        <v>0</v>
      </c>
      <c r="BA238" s="18">
        <f t="shared" si="486"/>
        <v>0</v>
      </c>
      <c r="BB238" s="18">
        <f t="shared" si="486"/>
        <v>0</v>
      </c>
      <c r="BC238" s="18">
        <f t="shared" si="486"/>
        <v>0</v>
      </c>
      <c r="BD238" s="18">
        <f t="shared" si="486"/>
        <v>0</v>
      </c>
      <c r="BE238" s="18">
        <f t="shared" si="486"/>
        <v>0</v>
      </c>
      <c r="BF238" s="18">
        <f t="shared" si="486"/>
        <v>0</v>
      </c>
      <c r="BG238" s="18">
        <f t="shared" si="486"/>
        <v>0</v>
      </c>
      <c r="BH238" s="18">
        <f t="shared" si="486"/>
        <v>0</v>
      </c>
      <c r="BI238" s="18">
        <f t="shared" si="486"/>
        <v>0</v>
      </c>
      <c r="BJ238" s="18">
        <f t="shared" si="486"/>
        <v>0</v>
      </c>
      <c r="BK238" s="18">
        <f t="shared" si="486"/>
        <v>0</v>
      </c>
      <c r="BL238" s="18">
        <f t="shared" si="486"/>
        <v>0</v>
      </c>
      <c r="BM238" s="18">
        <f t="shared" si="486"/>
        <v>0</v>
      </c>
      <c r="BN238" s="18">
        <f t="shared" ref="BN238:CB238" si="487">BN71*BN201</f>
        <v>0</v>
      </c>
      <c r="BO238" s="18">
        <f t="shared" si="487"/>
        <v>0</v>
      </c>
      <c r="BP238" s="18">
        <f t="shared" si="487"/>
        <v>0</v>
      </c>
      <c r="BQ238" s="18">
        <f t="shared" si="487"/>
        <v>0</v>
      </c>
      <c r="BR238" s="18">
        <f t="shared" si="487"/>
        <v>0</v>
      </c>
      <c r="BS238" s="18">
        <f t="shared" si="487"/>
        <v>0</v>
      </c>
      <c r="BT238" s="18">
        <f t="shared" si="487"/>
        <v>0</v>
      </c>
      <c r="BU238" s="18">
        <f t="shared" si="487"/>
        <v>0</v>
      </c>
      <c r="BV238" s="18">
        <f t="shared" si="487"/>
        <v>0</v>
      </c>
      <c r="BW238" s="18">
        <f t="shared" si="487"/>
        <v>0</v>
      </c>
      <c r="BX238" s="18">
        <f t="shared" si="487"/>
        <v>0</v>
      </c>
      <c r="BY238" s="18">
        <f t="shared" si="487"/>
        <v>0</v>
      </c>
      <c r="BZ238" s="18">
        <f t="shared" si="487"/>
        <v>0</v>
      </c>
      <c r="CA238" s="18">
        <f t="shared" si="487"/>
        <v>0</v>
      </c>
      <c r="CB238" s="18">
        <f t="shared" si="487"/>
        <v>0</v>
      </c>
      <c r="CC238" s="17"/>
      <c r="CD238" s="17"/>
      <c r="CE238" s="17"/>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c r="DG238" s="5"/>
      <c r="DH238" s="5"/>
      <c r="DI238" s="5"/>
      <c r="DJ238" s="5"/>
      <c r="DK238" s="5"/>
      <c r="DL238" s="5"/>
      <c r="DM238" s="5"/>
      <c r="DN238" s="5"/>
      <c r="DO238" s="5"/>
      <c r="DP238" s="5"/>
      <c r="DQ238" s="5"/>
      <c r="DR238" s="5"/>
      <c r="DS238" s="5"/>
      <c r="DT238" s="5"/>
      <c r="DU238" s="5"/>
      <c r="DV238" s="5"/>
      <c r="DW238" s="5"/>
      <c r="DX238" s="5"/>
      <c r="DY238" s="5"/>
      <c r="DZ238" s="5"/>
      <c r="EA238" s="5"/>
      <c r="EB238" s="5"/>
      <c r="EC238" s="5"/>
      <c r="ED238" s="5"/>
      <c r="EE238" s="5"/>
      <c r="EF238" s="5"/>
      <c r="EG238" s="5"/>
      <c r="EH238" s="5"/>
      <c r="EI238" s="5"/>
      <c r="EJ238" s="5"/>
      <c r="EK238" s="5"/>
      <c r="EL238" s="5"/>
      <c r="EM238" s="5"/>
      <c r="EN238" s="5"/>
      <c r="EO238" s="5"/>
      <c r="EP238" s="5"/>
      <c r="EQ238" s="5"/>
      <c r="ER238" s="5"/>
      <c r="ES238" s="5"/>
      <c r="ET238" s="5"/>
      <c r="EU238" s="5"/>
      <c r="EV238" s="5"/>
      <c r="EW238" s="5"/>
      <c r="EX238" s="5"/>
      <c r="EY238" s="5"/>
      <c r="EZ238" s="5"/>
      <c r="FA238" s="5"/>
      <c r="FB238" s="5"/>
      <c r="FC238" s="5"/>
      <c r="FD238" s="5"/>
      <c r="FE238" s="5"/>
      <c r="FF238" s="5"/>
      <c r="FG238" s="5"/>
      <c r="FH238" s="5"/>
      <c r="FI238" s="5"/>
      <c r="FJ238" s="5"/>
      <c r="FK238" s="5"/>
      <c r="FL238" s="5"/>
      <c r="FM238" s="5"/>
      <c r="FN238" s="5"/>
      <c r="FO238" s="5"/>
      <c r="FP238" s="5"/>
      <c r="FQ238" s="5"/>
      <c r="FR238" s="5"/>
      <c r="FS238" s="5"/>
      <c r="FT238" s="5"/>
      <c r="FU238" s="5"/>
      <c r="FV238" s="5"/>
      <c r="FW238" s="5"/>
      <c r="FX238" s="5"/>
      <c r="FY238" s="5"/>
      <c r="FZ238" s="5"/>
      <c r="GA238" s="5"/>
      <c r="GB238" s="5"/>
      <c r="GC238" s="5"/>
      <c r="GD238" s="5"/>
      <c r="GE238" s="5"/>
      <c r="GF238" s="5"/>
      <c r="GG238" s="5"/>
      <c r="GH238" s="5"/>
      <c r="GI238" s="5"/>
      <c r="GJ238" s="5"/>
      <c r="GK238" s="5"/>
      <c r="GL238" s="5"/>
      <c r="GM238" s="5"/>
      <c r="GN238" s="5"/>
      <c r="GO238" s="5"/>
      <c r="GP238" s="5"/>
      <c r="GQ238" s="5"/>
      <c r="GR238" s="5"/>
      <c r="GS238" s="5"/>
      <c r="GT238" s="5"/>
      <c r="GU238" s="5"/>
      <c r="GV238" s="5"/>
      <c r="GW238" s="5"/>
      <c r="GX238" s="5"/>
      <c r="GY238" s="5"/>
      <c r="GZ238" s="5"/>
      <c r="HA238" s="5"/>
      <c r="HB238" s="5"/>
      <c r="HC238" s="5"/>
      <c r="HD238" s="5"/>
      <c r="HE238" s="5"/>
      <c r="HF238" s="5"/>
      <c r="HG238" s="5"/>
      <c r="HH238" s="5"/>
      <c r="HI238" s="5"/>
      <c r="HJ238" s="5"/>
      <c r="HK238" s="5"/>
      <c r="HL238" s="5"/>
      <c r="HM238" s="5"/>
      <c r="HN238" s="5"/>
      <c r="HO238" s="5"/>
      <c r="HP238" s="5"/>
      <c r="HQ238" s="5"/>
      <c r="HR238" s="5"/>
      <c r="HS238" s="5"/>
      <c r="HT238" s="5"/>
      <c r="HU238" s="5"/>
      <c r="HV238" s="5"/>
      <c r="HW238" s="5"/>
      <c r="HX238" s="5"/>
      <c r="HY238" s="5"/>
      <c r="HZ238" s="5"/>
      <c r="IA238" s="5"/>
      <c r="IB238" s="5"/>
      <c r="IC238" s="5"/>
      <c r="ID238" s="5"/>
      <c r="IE238" s="5"/>
      <c r="IF238" s="5"/>
      <c r="IG238" s="5"/>
      <c r="IH238" s="5"/>
      <c r="II238" s="5"/>
      <c r="IJ238" s="5"/>
      <c r="IK238" s="5"/>
      <c r="IL238" s="5"/>
      <c r="IM238" s="5"/>
      <c r="IN238" s="5"/>
      <c r="IO238" s="5"/>
      <c r="IP238" s="5"/>
      <c r="IQ238" s="5"/>
      <c r="IR238" s="5"/>
      <c r="IS238" s="5"/>
      <c r="IT238" s="5"/>
      <c r="IU238" s="5"/>
      <c r="IV238" s="5"/>
    </row>
    <row r="239" spans="1:256">
      <c r="A239" s="140" t="str">
        <f>A73</f>
        <v>Bond 26</v>
      </c>
      <c r="B239" s="18">
        <f t="shared" ref="B239:AG239" si="488">B73*B206</f>
        <v>0</v>
      </c>
      <c r="C239" s="18">
        <f t="shared" si="488"/>
        <v>0</v>
      </c>
      <c r="D239" s="18">
        <f t="shared" si="488"/>
        <v>0</v>
      </c>
      <c r="E239" s="18">
        <f t="shared" si="488"/>
        <v>0</v>
      </c>
      <c r="F239" s="18">
        <f t="shared" si="488"/>
        <v>0</v>
      </c>
      <c r="G239" s="18">
        <f t="shared" si="488"/>
        <v>0</v>
      </c>
      <c r="H239" s="18">
        <f t="shared" si="488"/>
        <v>0</v>
      </c>
      <c r="I239" s="18">
        <f t="shared" si="488"/>
        <v>0</v>
      </c>
      <c r="J239" s="18">
        <f t="shared" si="488"/>
        <v>0</v>
      </c>
      <c r="K239" s="18">
        <f t="shared" si="488"/>
        <v>0</v>
      </c>
      <c r="L239" s="18">
        <f t="shared" si="488"/>
        <v>0</v>
      </c>
      <c r="M239" s="18">
        <f t="shared" si="488"/>
        <v>0</v>
      </c>
      <c r="N239" s="18">
        <f t="shared" si="488"/>
        <v>0</v>
      </c>
      <c r="O239" s="18">
        <f t="shared" si="488"/>
        <v>0</v>
      </c>
      <c r="P239" s="18">
        <f t="shared" si="488"/>
        <v>0</v>
      </c>
      <c r="Q239" s="18">
        <f t="shared" si="488"/>
        <v>0</v>
      </c>
      <c r="R239" s="18">
        <f t="shared" si="488"/>
        <v>0</v>
      </c>
      <c r="S239" s="18">
        <f t="shared" si="488"/>
        <v>0</v>
      </c>
      <c r="T239" s="18">
        <f t="shared" si="488"/>
        <v>0</v>
      </c>
      <c r="U239" s="18">
        <f t="shared" si="488"/>
        <v>0</v>
      </c>
      <c r="V239" s="18">
        <f t="shared" si="488"/>
        <v>0</v>
      </c>
      <c r="W239" s="18">
        <f t="shared" si="488"/>
        <v>0</v>
      </c>
      <c r="X239" s="18">
        <f t="shared" si="488"/>
        <v>0</v>
      </c>
      <c r="Y239" s="18">
        <f t="shared" si="488"/>
        <v>0</v>
      </c>
      <c r="Z239" s="18">
        <f t="shared" si="488"/>
        <v>0</v>
      </c>
      <c r="AA239" s="18">
        <f t="shared" si="488"/>
        <v>0</v>
      </c>
      <c r="AB239" s="18">
        <f t="shared" si="488"/>
        <v>0</v>
      </c>
      <c r="AC239" s="18">
        <f t="shared" si="488"/>
        <v>0</v>
      </c>
      <c r="AD239" s="18">
        <f t="shared" si="488"/>
        <v>0</v>
      </c>
      <c r="AE239" s="18">
        <f t="shared" si="488"/>
        <v>0</v>
      </c>
      <c r="AF239" s="18">
        <f t="shared" si="488"/>
        <v>0</v>
      </c>
      <c r="AG239" s="18">
        <f t="shared" si="488"/>
        <v>0</v>
      </c>
      <c r="AH239" s="18">
        <f t="shared" ref="AH239:BM239" si="489">AH73*AH206</f>
        <v>0</v>
      </c>
      <c r="AI239" s="18">
        <f t="shared" si="489"/>
        <v>0</v>
      </c>
      <c r="AJ239" s="18">
        <f t="shared" si="489"/>
        <v>0</v>
      </c>
      <c r="AK239" s="18">
        <f t="shared" si="489"/>
        <v>0</v>
      </c>
      <c r="AL239" s="18">
        <f t="shared" si="489"/>
        <v>0</v>
      </c>
      <c r="AM239" s="18">
        <f t="shared" si="489"/>
        <v>0</v>
      </c>
      <c r="AN239" s="18">
        <f t="shared" si="489"/>
        <v>0</v>
      </c>
      <c r="AO239" s="18">
        <f t="shared" si="489"/>
        <v>0</v>
      </c>
      <c r="AP239" s="18">
        <f t="shared" si="489"/>
        <v>0</v>
      </c>
      <c r="AQ239" s="18">
        <f t="shared" si="489"/>
        <v>0</v>
      </c>
      <c r="AR239" s="18">
        <f t="shared" si="489"/>
        <v>0</v>
      </c>
      <c r="AS239" s="18">
        <f t="shared" si="489"/>
        <v>0</v>
      </c>
      <c r="AT239" s="18">
        <f t="shared" si="489"/>
        <v>0</v>
      </c>
      <c r="AU239" s="18">
        <f t="shared" si="489"/>
        <v>0</v>
      </c>
      <c r="AV239" s="18">
        <f t="shared" si="489"/>
        <v>0</v>
      </c>
      <c r="AW239" s="18">
        <f t="shared" si="489"/>
        <v>0</v>
      </c>
      <c r="AX239" s="18">
        <f t="shared" si="489"/>
        <v>0</v>
      </c>
      <c r="AY239" s="18">
        <f t="shared" si="489"/>
        <v>0</v>
      </c>
      <c r="AZ239" s="18">
        <f t="shared" si="489"/>
        <v>0</v>
      </c>
      <c r="BA239" s="18">
        <f t="shared" si="489"/>
        <v>0</v>
      </c>
      <c r="BB239" s="18">
        <f t="shared" si="489"/>
        <v>0</v>
      </c>
      <c r="BC239" s="18">
        <f t="shared" si="489"/>
        <v>0</v>
      </c>
      <c r="BD239" s="18">
        <f t="shared" si="489"/>
        <v>0</v>
      </c>
      <c r="BE239" s="18">
        <f t="shared" si="489"/>
        <v>0</v>
      </c>
      <c r="BF239" s="18">
        <f t="shared" si="489"/>
        <v>0</v>
      </c>
      <c r="BG239" s="18">
        <f t="shared" si="489"/>
        <v>0</v>
      </c>
      <c r="BH239" s="18">
        <f t="shared" si="489"/>
        <v>0</v>
      </c>
      <c r="BI239" s="18">
        <f t="shared" si="489"/>
        <v>0</v>
      </c>
      <c r="BJ239" s="18">
        <f t="shared" si="489"/>
        <v>0</v>
      </c>
      <c r="BK239" s="18">
        <f t="shared" si="489"/>
        <v>0</v>
      </c>
      <c r="BL239" s="18">
        <f t="shared" si="489"/>
        <v>0</v>
      </c>
      <c r="BM239" s="18">
        <f t="shared" si="489"/>
        <v>0</v>
      </c>
      <c r="BN239" s="18">
        <f t="shared" ref="BN239:CB239" si="490">BN73*BN206</f>
        <v>0</v>
      </c>
      <c r="BO239" s="18">
        <f t="shared" si="490"/>
        <v>0</v>
      </c>
      <c r="BP239" s="18">
        <f t="shared" si="490"/>
        <v>0</v>
      </c>
      <c r="BQ239" s="18">
        <f t="shared" si="490"/>
        <v>0</v>
      </c>
      <c r="BR239" s="18">
        <f t="shared" si="490"/>
        <v>0</v>
      </c>
      <c r="BS239" s="18">
        <f t="shared" si="490"/>
        <v>0</v>
      </c>
      <c r="BT239" s="18">
        <f t="shared" si="490"/>
        <v>0</v>
      </c>
      <c r="BU239" s="18">
        <f t="shared" si="490"/>
        <v>0</v>
      </c>
      <c r="BV239" s="18">
        <f t="shared" si="490"/>
        <v>0</v>
      </c>
      <c r="BW239" s="18">
        <f t="shared" si="490"/>
        <v>0</v>
      </c>
      <c r="BX239" s="18">
        <f t="shared" si="490"/>
        <v>0</v>
      </c>
      <c r="BY239" s="18">
        <f t="shared" si="490"/>
        <v>0</v>
      </c>
      <c r="BZ239" s="18">
        <f t="shared" si="490"/>
        <v>0</v>
      </c>
      <c r="CA239" s="18">
        <f t="shared" si="490"/>
        <v>0</v>
      </c>
      <c r="CB239" s="18">
        <f t="shared" si="490"/>
        <v>0</v>
      </c>
      <c r="CC239" s="17"/>
      <c r="CD239" s="17"/>
      <c r="CE239" s="17"/>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c r="DG239" s="5"/>
      <c r="DH239" s="5"/>
      <c r="DI239" s="5"/>
      <c r="DJ239" s="5"/>
      <c r="DK239" s="5"/>
      <c r="DL239" s="5"/>
      <c r="DM239" s="5"/>
      <c r="DN239" s="5"/>
      <c r="DO239" s="5"/>
      <c r="DP239" s="5"/>
      <c r="DQ239" s="5"/>
      <c r="DR239" s="5"/>
      <c r="DS239" s="5"/>
      <c r="DT239" s="5"/>
      <c r="DU239" s="5"/>
      <c r="DV239" s="5"/>
      <c r="DW239" s="5"/>
      <c r="DX239" s="5"/>
      <c r="DY239" s="5"/>
      <c r="DZ239" s="5"/>
      <c r="EA239" s="5"/>
      <c r="EB239" s="5"/>
      <c r="EC239" s="5"/>
      <c r="ED239" s="5"/>
      <c r="EE239" s="5"/>
      <c r="EF239" s="5"/>
      <c r="EG239" s="5"/>
      <c r="EH239" s="5"/>
      <c r="EI239" s="5"/>
      <c r="EJ239" s="5"/>
      <c r="EK239" s="5"/>
      <c r="EL239" s="5"/>
      <c r="EM239" s="5"/>
      <c r="EN239" s="5"/>
      <c r="EO239" s="5"/>
      <c r="EP239" s="5"/>
      <c r="EQ239" s="5"/>
      <c r="ER239" s="5"/>
      <c r="ES239" s="5"/>
      <c r="ET239" s="5"/>
      <c r="EU239" s="5"/>
      <c r="EV239" s="5"/>
      <c r="EW239" s="5"/>
      <c r="EX239" s="5"/>
      <c r="EY239" s="5"/>
      <c r="EZ239" s="5"/>
      <c r="FA239" s="5"/>
      <c r="FB239" s="5"/>
      <c r="FC239" s="5"/>
      <c r="FD239" s="5"/>
      <c r="FE239" s="5"/>
      <c r="FF239" s="5"/>
      <c r="FG239" s="5"/>
      <c r="FH239" s="5"/>
      <c r="FI239" s="5"/>
      <c r="FJ239" s="5"/>
      <c r="FK239" s="5"/>
      <c r="FL239" s="5"/>
      <c r="FM239" s="5"/>
      <c r="FN239" s="5"/>
      <c r="FO239" s="5"/>
      <c r="FP239" s="5"/>
      <c r="FQ239" s="5"/>
      <c r="FR239" s="5"/>
      <c r="FS239" s="5"/>
      <c r="FT239" s="5"/>
      <c r="FU239" s="5"/>
      <c r="FV239" s="5"/>
      <c r="FW239" s="5"/>
      <c r="FX239" s="5"/>
      <c r="FY239" s="5"/>
      <c r="FZ239" s="5"/>
      <c r="GA239" s="5"/>
      <c r="GB239" s="5"/>
      <c r="GC239" s="5"/>
      <c r="GD239" s="5"/>
      <c r="GE239" s="5"/>
      <c r="GF239" s="5"/>
      <c r="GG239" s="5"/>
      <c r="GH239" s="5"/>
      <c r="GI239" s="5"/>
      <c r="GJ239" s="5"/>
      <c r="GK239" s="5"/>
      <c r="GL239" s="5"/>
      <c r="GM239" s="5"/>
      <c r="GN239" s="5"/>
      <c r="GO239" s="5"/>
      <c r="GP239" s="5"/>
      <c r="GQ239" s="5"/>
      <c r="GR239" s="5"/>
      <c r="GS239" s="5"/>
      <c r="GT239" s="5"/>
      <c r="GU239" s="5"/>
      <c r="GV239" s="5"/>
      <c r="GW239" s="5"/>
      <c r="GX239" s="5"/>
      <c r="GY239" s="5"/>
      <c r="GZ239" s="5"/>
      <c r="HA239" s="5"/>
      <c r="HB239" s="5"/>
      <c r="HC239" s="5"/>
      <c r="HD239" s="5"/>
      <c r="HE239" s="5"/>
      <c r="HF239" s="5"/>
      <c r="HG239" s="5"/>
      <c r="HH239" s="5"/>
      <c r="HI239" s="5"/>
      <c r="HJ239" s="5"/>
      <c r="HK239" s="5"/>
      <c r="HL239" s="5"/>
      <c r="HM239" s="5"/>
      <c r="HN239" s="5"/>
      <c r="HO239" s="5"/>
      <c r="HP239" s="5"/>
      <c r="HQ239" s="5"/>
      <c r="HR239" s="5"/>
      <c r="HS239" s="5"/>
      <c r="HT239" s="5"/>
      <c r="HU239" s="5"/>
      <c r="HV239" s="5"/>
      <c r="HW239" s="5"/>
      <c r="HX239" s="5"/>
      <c r="HY239" s="5"/>
      <c r="HZ239" s="5"/>
      <c r="IA239" s="5"/>
      <c r="IB239" s="5"/>
      <c r="IC239" s="5"/>
      <c r="ID239" s="5"/>
      <c r="IE239" s="5"/>
      <c r="IF239" s="5"/>
      <c r="IG239" s="5"/>
      <c r="IH239" s="5"/>
      <c r="II239" s="5"/>
      <c r="IJ239" s="5"/>
      <c r="IK239" s="5"/>
      <c r="IL239" s="5"/>
      <c r="IM239" s="5"/>
      <c r="IN239" s="5"/>
      <c r="IO239" s="5"/>
      <c r="IP239" s="5"/>
      <c r="IQ239" s="5"/>
      <c r="IR239" s="5"/>
      <c r="IS239" s="5"/>
      <c r="IT239" s="5"/>
      <c r="IU239" s="5"/>
      <c r="IV239" s="5"/>
    </row>
    <row r="240" spans="1:256">
      <c r="A240" s="140" t="s">
        <v>225</v>
      </c>
      <c r="B240" s="18">
        <f>B75*B211</f>
        <v>0</v>
      </c>
      <c r="C240" s="18">
        <f t="shared" ref="C240:BN240" si="491">C75*C211</f>
        <v>0</v>
      </c>
      <c r="D240" s="18">
        <f t="shared" si="491"/>
        <v>0</v>
      </c>
      <c r="E240" s="18">
        <f t="shared" si="491"/>
        <v>0</v>
      </c>
      <c r="F240" s="18">
        <f t="shared" si="491"/>
        <v>0</v>
      </c>
      <c r="G240" s="18">
        <f t="shared" si="491"/>
        <v>0</v>
      </c>
      <c r="H240" s="18">
        <f t="shared" si="491"/>
        <v>0</v>
      </c>
      <c r="I240" s="18">
        <f t="shared" si="491"/>
        <v>0</v>
      </c>
      <c r="J240" s="18">
        <f t="shared" si="491"/>
        <v>0</v>
      </c>
      <c r="K240" s="18">
        <f t="shared" si="491"/>
        <v>0</v>
      </c>
      <c r="L240" s="18">
        <f t="shared" si="491"/>
        <v>0</v>
      </c>
      <c r="M240" s="18">
        <f t="shared" si="491"/>
        <v>0</v>
      </c>
      <c r="N240" s="18">
        <f t="shared" si="491"/>
        <v>0</v>
      </c>
      <c r="O240" s="18">
        <f t="shared" si="491"/>
        <v>0</v>
      </c>
      <c r="P240" s="18">
        <f t="shared" si="491"/>
        <v>0</v>
      </c>
      <c r="Q240" s="18">
        <f t="shared" si="491"/>
        <v>0</v>
      </c>
      <c r="R240" s="18">
        <f t="shared" si="491"/>
        <v>0</v>
      </c>
      <c r="S240" s="18">
        <f t="shared" si="491"/>
        <v>0</v>
      </c>
      <c r="T240" s="18">
        <f t="shared" si="491"/>
        <v>0</v>
      </c>
      <c r="U240" s="18">
        <f t="shared" si="491"/>
        <v>0</v>
      </c>
      <c r="V240" s="18">
        <f t="shared" si="491"/>
        <v>0</v>
      </c>
      <c r="W240" s="18">
        <f t="shared" si="491"/>
        <v>0</v>
      </c>
      <c r="X240" s="18">
        <f t="shared" si="491"/>
        <v>0</v>
      </c>
      <c r="Y240" s="18">
        <f t="shared" si="491"/>
        <v>0</v>
      </c>
      <c r="Z240" s="18">
        <f t="shared" si="491"/>
        <v>0</v>
      </c>
      <c r="AA240" s="18">
        <f t="shared" si="491"/>
        <v>0</v>
      </c>
      <c r="AB240" s="18">
        <f t="shared" si="491"/>
        <v>0</v>
      </c>
      <c r="AC240" s="18">
        <f t="shared" si="491"/>
        <v>0</v>
      </c>
      <c r="AD240" s="18">
        <f t="shared" si="491"/>
        <v>0</v>
      </c>
      <c r="AE240" s="18">
        <f t="shared" si="491"/>
        <v>0</v>
      </c>
      <c r="AF240" s="18">
        <f t="shared" si="491"/>
        <v>0</v>
      </c>
      <c r="AG240" s="18">
        <f t="shared" si="491"/>
        <v>0</v>
      </c>
      <c r="AH240" s="18">
        <f t="shared" si="491"/>
        <v>0</v>
      </c>
      <c r="AI240" s="18">
        <f t="shared" si="491"/>
        <v>0</v>
      </c>
      <c r="AJ240" s="18">
        <f t="shared" si="491"/>
        <v>0</v>
      </c>
      <c r="AK240" s="18">
        <f t="shared" si="491"/>
        <v>0</v>
      </c>
      <c r="AL240" s="18">
        <f t="shared" si="491"/>
        <v>0</v>
      </c>
      <c r="AM240" s="18">
        <f t="shared" si="491"/>
        <v>0</v>
      </c>
      <c r="AN240" s="18">
        <f t="shared" si="491"/>
        <v>0</v>
      </c>
      <c r="AO240" s="18">
        <f t="shared" si="491"/>
        <v>0</v>
      </c>
      <c r="AP240" s="18">
        <f t="shared" si="491"/>
        <v>0</v>
      </c>
      <c r="AQ240" s="18">
        <f t="shared" si="491"/>
        <v>0</v>
      </c>
      <c r="AR240" s="18">
        <f t="shared" si="491"/>
        <v>0</v>
      </c>
      <c r="AS240" s="18">
        <f t="shared" si="491"/>
        <v>0</v>
      </c>
      <c r="AT240" s="18">
        <f t="shared" si="491"/>
        <v>0</v>
      </c>
      <c r="AU240" s="18">
        <f t="shared" si="491"/>
        <v>0</v>
      </c>
      <c r="AV240" s="18">
        <f t="shared" si="491"/>
        <v>0</v>
      </c>
      <c r="AW240" s="18">
        <f t="shared" si="491"/>
        <v>0</v>
      </c>
      <c r="AX240" s="18">
        <f t="shared" si="491"/>
        <v>0</v>
      </c>
      <c r="AY240" s="18">
        <f t="shared" si="491"/>
        <v>0</v>
      </c>
      <c r="AZ240" s="18">
        <f t="shared" si="491"/>
        <v>0</v>
      </c>
      <c r="BA240" s="18">
        <f t="shared" si="491"/>
        <v>0</v>
      </c>
      <c r="BB240" s="18">
        <f t="shared" si="491"/>
        <v>0</v>
      </c>
      <c r="BC240" s="18">
        <f t="shared" si="491"/>
        <v>0</v>
      </c>
      <c r="BD240" s="18">
        <f t="shared" si="491"/>
        <v>0</v>
      </c>
      <c r="BE240" s="18">
        <f t="shared" si="491"/>
        <v>0</v>
      </c>
      <c r="BF240" s="18">
        <f t="shared" si="491"/>
        <v>0</v>
      </c>
      <c r="BG240" s="18">
        <f t="shared" si="491"/>
        <v>0</v>
      </c>
      <c r="BH240" s="18">
        <f t="shared" si="491"/>
        <v>0</v>
      </c>
      <c r="BI240" s="18">
        <f t="shared" si="491"/>
        <v>0</v>
      </c>
      <c r="BJ240" s="18">
        <f t="shared" si="491"/>
        <v>0</v>
      </c>
      <c r="BK240" s="18">
        <f t="shared" si="491"/>
        <v>0</v>
      </c>
      <c r="BL240" s="18">
        <f t="shared" si="491"/>
        <v>0</v>
      </c>
      <c r="BM240" s="18">
        <f t="shared" si="491"/>
        <v>0</v>
      </c>
      <c r="BN240" s="18">
        <f t="shared" si="491"/>
        <v>0</v>
      </c>
      <c r="BO240" s="18">
        <f t="shared" ref="BO240:CB240" si="492">BO75*BO211</f>
        <v>0</v>
      </c>
      <c r="BP240" s="18">
        <f t="shared" si="492"/>
        <v>0</v>
      </c>
      <c r="BQ240" s="18">
        <f t="shared" si="492"/>
        <v>0</v>
      </c>
      <c r="BR240" s="18">
        <f t="shared" si="492"/>
        <v>0</v>
      </c>
      <c r="BS240" s="18">
        <f t="shared" si="492"/>
        <v>0</v>
      </c>
      <c r="BT240" s="18">
        <f t="shared" si="492"/>
        <v>0</v>
      </c>
      <c r="BU240" s="18">
        <f t="shared" si="492"/>
        <v>0</v>
      </c>
      <c r="BV240" s="18">
        <f t="shared" si="492"/>
        <v>0</v>
      </c>
      <c r="BW240" s="18">
        <f t="shared" si="492"/>
        <v>0</v>
      </c>
      <c r="BX240" s="18">
        <f t="shared" si="492"/>
        <v>0</v>
      </c>
      <c r="BY240" s="18">
        <f t="shared" si="492"/>
        <v>0</v>
      </c>
      <c r="BZ240" s="18">
        <f t="shared" si="492"/>
        <v>0</v>
      </c>
      <c r="CA240" s="18">
        <f t="shared" si="492"/>
        <v>0</v>
      </c>
      <c r="CB240" s="18">
        <f t="shared" si="492"/>
        <v>0</v>
      </c>
      <c r="CC240" s="17"/>
      <c r="CD240" s="17"/>
      <c r="CE240" s="17"/>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c r="DI240" s="5"/>
      <c r="DJ240" s="5"/>
      <c r="DK240" s="5"/>
      <c r="DL240" s="5"/>
      <c r="DM240" s="5"/>
      <c r="DN240" s="5"/>
      <c r="DO240" s="5"/>
      <c r="DP240" s="5"/>
      <c r="DQ240" s="5"/>
      <c r="DR240" s="5"/>
      <c r="DS240" s="5"/>
      <c r="DT240" s="5"/>
      <c r="DU240" s="5"/>
      <c r="DV240" s="5"/>
      <c r="DW240" s="5"/>
      <c r="DX240" s="5"/>
      <c r="DY240" s="5"/>
      <c r="DZ240" s="5"/>
      <c r="EA240" s="5"/>
      <c r="EB240" s="5"/>
      <c r="EC240" s="5"/>
      <c r="ED240" s="5"/>
      <c r="EE240" s="5"/>
      <c r="EF240" s="5"/>
      <c r="EG240" s="5"/>
      <c r="EH240" s="5"/>
      <c r="EI240" s="5"/>
      <c r="EJ240" s="5"/>
      <c r="EK240" s="5"/>
      <c r="EL240" s="5"/>
      <c r="EM240" s="5"/>
      <c r="EN240" s="5"/>
      <c r="EO240" s="5"/>
      <c r="EP240" s="5"/>
      <c r="EQ240" s="5"/>
      <c r="ER240" s="5"/>
      <c r="ES240" s="5"/>
      <c r="ET240" s="5"/>
      <c r="EU240" s="5"/>
      <c r="EV240" s="5"/>
      <c r="EW240" s="5"/>
      <c r="EX240" s="5"/>
      <c r="EY240" s="5"/>
      <c r="EZ240" s="5"/>
      <c r="FA240" s="5"/>
      <c r="FB240" s="5"/>
      <c r="FC240" s="5"/>
      <c r="FD240" s="5"/>
      <c r="FE240" s="5"/>
      <c r="FF240" s="5"/>
      <c r="FG240" s="5"/>
      <c r="FH240" s="5"/>
      <c r="FI240" s="5"/>
      <c r="FJ240" s="5"/>
      <c r="FK240" s="5"/>
      <c r="FL240" s="5"/>
      <c r="FM240" s="5"/>
      <c r="FN240" s="5"/>
      <c r="FO240" s="5"/>
      <c r="FP240" s="5"/>
      <c r="FQ240" s="5"/>
      <c r="FR240" s="5"/>
      <c r="FS240" s="5"/>
      <c r="FT240" s="5"/>
      <c r="FU240" s="5"/>
      <c r="FV240" s="5"/>
      <c r="FW240" s="5"/>
      <c r="FX240" s="5"/>
      <c r="FY240" s="5"/>
      <c r="FZ240" s="5"/>
      <c r="GA240" s="5"/>
      <c r="GB240" s="5"/>
      <c r="GC240" s="5"/>
      <c r="GD240" s="5"/>
      <c r="GE240" s="5"/>
      <c r="GF240" s="5"/>
      <c r="GG240" s="5"/>
      <c r="GH240" s="5"/>
      <c r="GI240" s="5"/>
      <c r="GJ240" s="5"/>
      <c r="GK240" s="5"/>
      <c r="GL240" s="5"/>
      <c r="GM240" s="5"/>
      <c r="GN240" s="5"/>
      <c r="GO240" s="5"/>
      <c r="GP240" s="5"/>
      <c r="GQ240" s="5"/>
      <c r="GR240" s="5"/>
      <c r="GS240" s="5"/>
      <c r="GT240" s="5"/>
      <c r="GU240" s="5"/>
      <c r="GV240" s="5"/>
      <c r="GW240" s="5"/>
      <c r="GX240" s="5"/>
      <c r="GY240" s="5"/>
      <c r="GZ240" s="5"/>
      <c r="HA240" s="5"/>
      <c r="HB240" s="5"/>
      <c r="HC240" s="5"/>
      <c r="HD240" s="5"/>
      <c r="HE240" s="5"/>
      <c r="HF240" s="5"/>
      <c r="HG240" s="5"/>
      <c r="HH240" s="5"/>
      <c r="HI240" s="5"/>
      <c r="HJ240" s="5"/>
      <c r="HK240" s="5"/>
      <c r="HL240" s="5"/>
      <c r="HM240" s="5"/>
      <c r="HN240" s="5"/>
      <c r="HO240" s="5"/>
      <c r="HP240" s="5"/>
      <c r="HQ240" s="5"/>
      <c r="HR240" s="5"/>
      <c r="HS240" s="5"/>
      <c r="HT240" s="5"/>
      <c r="HU240" s="5"/>
      <c r="HV240" s="5"/>
      <c r="HW240" s="5"/>
      <c r="HX240" s="5"/>
      <c r="HY240" s="5"/>
      <c r="HZ240" s="5"/>
      <c r="IA240" s="5"/>
      <c r="IB240" s="5"/>
      <c r="IC240" s="5"/>
      <c r="ID240" s="5"/>
      <c r="IE240" s="5"/>
      <c r="IF240" s="5"/>
      <c r="IG240" s="5"/>
      <c r="IH240" s="5"/>
      <c r="II240" s="5"/>
      <c r="IJ240" s="5"/>
      <c r="IK240" s="5"/>
      <c r="IL240" s="5"/>
      <c r="IM240" s="5"/>
      <c r="IN240" s="5"/>
      <c r="IO240" s="5"/>
      <c r="IP240" s="5"/>
      <c r="IQ240" s="5"/>
      <c r="IR240" s="5"/>
      <c r="IS240" s="5"/>
      <c r="IT240" s="5"/>
      <c r="IU240" s="5"/>
      <c r="IV240" s="5"/>
    </row>
    <row r="241" spans="1:256">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7"/>
      <c r="AB241" s="17"/>
      <c r="AC241" s="17"/>
      <c r="AD241" s="17"/>
      <c r="AE241" s="17"/>
      <c r="AF241" s="17"/>
      <c r="AG241" s="17"/>
      <c r="AH241" s="17"/>
      <c r="AI241" s="17"/>
      <c r="AJ241" s="17"/>
      <c r="AK241" s="17"/>
      <c r="AL241" s="17"/>
      <c r="AM241" s="17"/>
      <c r="AN241" s="17"/>
      <c r="AO241" s="17"/>
      <c r="AP241" s="17"/>
      <c r="AQ241" s="17"/>
      <c r="AR241" s="17"/>
      <c r="AS241" s="17"/>
      <c r="AT241" s="17"/>
      <c r="AU241" s="17"/>
      <c r="AV241" s="17"/>
      <c r="AW241" s="17"/>
      <c r="AX241" s="17"/>
      <c r="AY241" s="17"/>
      <c r="AZ241" s="17"/>
      <c r="BA241" s="17"/>
      <c r="BB241" s="17"/>
      <c r="BC241" s="17"/>
      <c r="BD241" s="17"/>
      <c r="BE241" s="17"/>
      <c r="BF241" s="17"/>
      <c r="BG241" s="17"/>
      <c r="BH241" s="17"/>
      <c r="BI241" s="17"/>
      <c r="BJ241" s="17"/>
      <c r="BK241" s="17"/>
      <c r="BL241" s="17"/>
      <c r="BM241" s="17"/>
      <c r="BN241" s="17"/>
      <c r="BO241" s="17"/>
      <c r="BP241" s="17"/>
      <c r="BQ241" s="17"/>
      <c r="BR241" s="17"/>
      <c r="BS241" s="17"/>
      <c r="BT241" s="17"/>
      <c r="BU241" s="17"/>
      <c r="BV241" s="17"/>
      <c r="BW241" s="17"/>
      <c r="BX241" s="17"/>
      <c r="BY241" s="17"/>
      <c r="BZ241" s="17"/>
      <c r="CA241" s="17"/>
      <c r="CB241" s="17"/>
      <c r="CC241" s="17"/>
      <c r="CD241" s="17"/>
      <c r="CE241" s="17"/>
      <c r="CH241" s="11"/>
      <c r="CI241" s="11"/>
      <c r="CJ241" s="11"/>
      <c r="CK241" s="11"/>
      <c r="CL241" s="11"/>
      <c r="CM241" s="11"/>
      <c r="CN241" s="11"/>
      <c r="CO241" s="11"/>
      <c r="CP241" s="11"/>
      <c r="CQ241" s="11"/>
      <c r="CR241" s="11"/>
      <c r="CS241" s="11"/>
      <c r="CT241" s="11"/>
      <c r="CU241" s="11"/>
      <c r="CV241" s="11"/>
      <c r="CW241" s="11"/>
      <c r="CX241" s="11"/>
      <c r="CY241" s="11"/>
      <c r="CZ241" s="11"/>
      <c r="DA241" s="11"/>
      <c r="DB241" s="11"/>
      <c r="DC241" s="11"/>
      <c r="DD241" s="11"/>
      <c r="DE241" s="11"/>
      <c r="DF241" s="11"/>
      <c r="DG241" s="11"/>
      <c r="DH241" s="11"/>
      <c r="DI241" s="5"/>
      <c r="DJ241" s="5"/>
      <c r="DK241" s="5"/>
      <c r="DL241" s="5"/>
      <c r="DM241" s="5"/>
      <c r="DN241" s="5"/>
      <c r="DO241" s="5"/>
      <c r="DP241" s="5"/>
      <c r="DQ241" s="5"/>
      <c r="DR241" s="5"/>
      <c r="DS241" s="5"/>
      <c r="DT241" s="5"/>
      <c r="DU241" s="5"/>
      <c r="DV241" s="5"/>
      <c r="DW241" s="5"/>
      <c r="DX241" s="5"/>
      <c r="DY241" s="5"/>
      <c r="DZ241" s="5"/>
      <c r="EA241" s="5"/>
      <c r="EB241" s="5"/>
      <c r="EC241" s="5"/>
      <c r="ED241" s="5"/>
      <c r="EE241" s="5"/>
      <c r="EF241" s="5"/>
      <c r="EG241" s="5"/>
      <c r="EH241" s="5"/>
      <c r="EI241" s="5"/>
      <c r="EJ241" s="5"/>
      <c r="EK241" s="5"/>
      <c r="EL241" s="5"/>
      <c r="EM241" s="5"/>
      <c r="EN241" s="5"/>
      <c r="EO241" s="5"/>
      <c r="EP241" s="5"/>
      <c r="EQ241" s="5"/>
      <c r="ER241" s="5"/>
      <c r="ES241" s="5"/>
      <c r="ET241" s="5"/>
      <c r="EU241" s="5"/>
      <c r="EV241" s="5"/>
      <c r="EW241" s="5"/>
      <c r="EX241" s="5"/>
      <c r="EY241" s="5"/>
      <c r="EZ241" s="5"/>
      <c r="FA241" s="5"/>
      <c r="FB241" s="5"/>
      <c r="FC241" s="5"/>
      <c r="FD241" s="5"/>
      <c r="FE241" s="5"/>
      <c r="FF241" s="5"/>
      <c r="FG241" s="5"/>
      <c r="FH241" s="5"/>
      <c r="FI241" s="5"/>
      <c r="FJ241" s="5"/>
      <c r="FK241" s="5"/>
      <c r="FL241" s="5"/>
      <c r="FM241" s="5"/>
      <c r="FN241" s="5"/>
      <c r="FO241" s="5"/>
      <c r="FP241" s="5"/>
      <c r="FQ241" s="5"/>
      <c r="FR241" s="5"/>
      <c r="FS241" s="5"/>
      <c r="FT241" s="5"/>
      <c r="FU241" s="5"/>
      <c r="FV241" s="5"/>
      <c r="FW241" s="5"/>
      <c r="FX241" s="5"/>
      <c r="FY241" s="5"/>
      <c r="FZ241" s="5"/>
      <c r="GA241" s="5"/>
      <c r="GB241" s="5"/>
      <c r="GC241" s="5"/>
      <c r="GD241" s="5"/>
      <c r="GE241" s="5"/>
      <c r="GF241" s="5"/>
      <c r="GG241" s="5"/>
      <c r="GH241" s="5"/>
      <c r="GI241" s="5"/>
      <c r="GJ241" s="5"/>
      <c r="GK241" s="5"/>
      <c r="GL241" s="5"/>
      <c r="GM241" s="5"/>
      <c r="GN241" s="5"/>
      <c r="GO241" s="5"/>
      <c r="GP241" s="5"/>
      <c r="GQ241" s="5"/>
      <c r="GR241" s="5"/>
      <c r="GS241" s="5"/>
      <c r="GT241" s="5"/>
      <c r="GU241" s="5"/>
      <c r="GV241" s="5"/>
      <c r="GW241" s="5"/>
      <c r="GX241" s="5"/>
      <c r="GY241" s="5"/>
      <c r="GZ241" s="5"/>
      <c r="HA241" s="5"/>
      <c r="HB241" s="5"/>
      <c r="HC241" s="5"/>
      <c r="HD241" s="5"/>
      <c r="HE241" s="5"/>
      <c r="HF241" s="5"/>
      <c r="HG241" s="5"/>
      <c r="HH241" s="5"/>
      <c r="HI241" s="5"/>
      <c r="HJ241" s="5"/>
      <c r="HK241" s="5"/>
      <c r="HL241" s="5"/>
      <c r="HM241" s="5"/>
      <c r="HN241" s="5"/>
      <c r="HO241" s="5"/>
      <c r="HP241" s="5"/>
      <c r="HQ241" s="5"/>
      <c r="HR241" s="5"/>
      <c r="HS241" s="5"/>
      <c r="HT241" s="5"/>
      <c r="HU241" s="5"/>
      <c r="HV241" s="5"/>
      <c r="HW241" s="5"/>
      <c r="HX241" s="5"/>
      <c r="HY241" s="5"/>
      <c r="HZ241" s="5"/>
      <c r="IA241" s="5"/>
      <c r="IB241" s="5"/>
      <c r="IC241" s="5"/>
      <c r="ID241" s="5"/>
      <c r="IE241" s="5"/>
      <c r="IF241" s="5"/>
      <c r="IG241" s="5"/>
      <c r="IH241" s="5"/>
      <c r="II241" s="5"/>
      <c r="IJ241" s="5"/>
      <c r="IK241" s="5"/>
      <c r="IL241" s="5"/>
      <c r="IM241" s="5"/>
      <c r="IN241" s="5"/>
      <c r="IO241" s="5"/>
      <c r="IP241" s="5"/>
      <c r="IQ241" s="5"/>
      <c r="IR241" s="5"/>
      <c r="IS241" s="5"/>
      <c r="IT241" s="5"/>
      <c r="IU241" s="5"/>
      <c r="IV241" s="5"/>
    </row>
    <row r="242" spans="1:256">
      <c r="A242" s="190"/>
      <c r="B242" s="18" t="s">
        <v>13</v>
      </c>
      <c r="C242" s="18" t="s">
        <v>47</v>
      </c>
      <c r="D242" s="18" t="s">
        <v>14</v>
      </c>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c r="AS242" s="17"/>
      <c r="AT242" s="17"/>
      <c r="AU242" s="17"/>
      <c r="AV242" s="17"/>
      <c r="AW242" s="17"/>
      <c r="AX242" s="17"/>
      <c r="AY242" s="17"/>
      <c r="AZ242" s="17"/>
      <c r="BA242" s="17"/>
      <c r="BB242" s="17"/>
      <c r="BC242" s="17"/>
      <c r="BD242" s="17"/>
      <c r="BE242" s="17"/>
      <c r="BF242" s="17"/>
      <c r="BG242" s="17"/>
      <c r="BH242" s="17"/>
      <c r="BI242" s="17"/>
      <c r="BJ242" s="17"/>
      <c r="BK242" s="17"/>
      <c r="BL242" s="17"/>
      <c r="BM242" s="17"/>
      <c r="BN242" s="17"/>
      <c r="BO242" s="17"/>
      <c r="BP242" s="17"/>
      <c r="BQ242" s="17"/>
      <c r="BR242" s="17"/>
      <c r="BS242" s="17"/>
      <c r="BT242" s="17"/>
      <c r="BU242" s="17"/>
      <c r="BV242" s="17"/>
      <c r="BW242" s="17"/>
      <c r="BX242" s="17"/>
      <c r="BY242" s="17"/>
      <c r="BZ242" s="17"/>
      <c r="CA242" s="17"/>
      <c r="CB242" s="17"/>
      <c r="CC242" s="17"/>
      <c r="CD242" s="17"/>
      <c r="CE242" s="17"/>
      <c r="CH242" s="5"/>
    </row>
    <row r="243" spans="1:256">
      <c r="A243" s="18" t="str">
        <f t="shared" ref="A243:A260" si="493">A214</f>
        <v>Bond 1</v>
      </c>
      <c r="B243" s="18">
        <f t="shared" ref="B243:B260" si="494">SUM(B214:CB214)</f>
        <v>99.938264840662029</v>
      </c>
      <c r="C243" s="18">
        <f>K2</f>
        <v>99.9495</v>
      </c>
      <c r="D243" s="18">
        <f>P2*(B243-K2)^2</f>
        <v>7.3454334102153568E-5</v>
      </c>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c r="AI243" s="19"/>
      <c r="AJ243" s="19"/>
      <c r="AK243" s="19"/>
      <c r="AL243" s="19"/>
      <c r="AM243" s="19"/>
      <c r="AN243" s="19"/>
      <c r="AO243" s="19"/>
      <c r="AP243" s="19"/>
      <c r="AQ243" s="19"/>
      <c r="AR243" s="19"/>
      <c r="AS243" s="19"/>
      <c r="AT243" s="19"/>
      <c r="AU243" s="19"/>
      <c r="AV243" s="19"/>
      <c r="AW243" s="19"/>
      <c r="AX243" s="19"/>
      <c r="AY243" s="19"/>
      <c r="AZ243" s="19"/>
      <c r="BA243" s="19"/>
      <c r="BB243" s="19"/>
      <c r="BC243" s="19"/>
      <c r="BD243" s="19"/>
      <c r="BE243" s="19"/>
      <c r="BF243" s="19"/>
      <c r="BG243" s="19"/>
      <c r="BH243" s="19"/>
      <c r="BI243" s="19"/>
      <c r="BJ243" s="19"/>
      <c r="BK243" s="19"/>
      <c r="BL243" s="19"/>
      <c r="BM243" s="19"/>
      <c r="BN243" s="19"/>
      <c r="BO243" s="19"/>
      <c r="BP243" s="19"/>
      <c r="BQ243" s="19"/>
      <c r="BR243" s="19"/>
      <c r="BS243" s="19"/>
      <c r="BT243" s="19"/>
      <c r="BU243" s="19"/>
      <c r="BV243" s="19"/>
      <c r="BW243" s="19"/>
      <c r="BX243" s="19"/>
      <c r="BY243" s="19"/>
      <c r="BZ243" s="19"/>
      <c r="CA243" s="19"/>
      <c r="CB243" s="19"/>
      <c r="CC243" s="19"/>
      <c r="CD243" s="19"/>
      <c r="CE243" s="19"/>
      <c r="CF243" s="7"/>
      <c r="CH243" s="5"/>
    </row>
    <row r="244" spans="1:256">
      <c r="A244" s="18" t="str">
        <f t="shared" si="493"/>
        <v>Bond 2</v>
      </c>
      <c r="B244" s="18">
        <f t="shared" si="494"/>
        <v>99.807611551105936</v>
      </c>
      <c r="C244" s="18">
        <f t="shared" ref="C244:C260" si="495">K3</f>
        <v>99.817999999999998</v>
      </c>
      <c r="D244" s="18">
        <f t="shared" ref="D244:D260" si="496">P3*(B244-K3)^2</f>
        <v>1.9282038202888013E-5</v>
      </c>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c r="AI244" s="19"/>
      <c r="AJ244" s="19"/>
      <c r="AK244" s="19"/>
      <c r="AL244" s="19"/>
      <c r="AM244" s="19"/>
      <c r="AN244" s="19"/>
      <c r="AO244" s="19"/>
      <c r="AP244" s="19"/>
      <c r="AQ244" s="19"/>
      <c r="AR244" s="19"/>
      <c r="AS244" s="19"/>
      <c r="AT244" s="19"/>
      <c r="AU244" s="19"/>
      <c r="AV244" s="19"/>
      <c r="AW244" s="19"/>
      <c r="AX244" s="19"/>
      <c r="AY244" s="19"/>
      <c r="AZ244" s="19"/>
      <c r="BA244" s="19"/>
      <c r="BB244" s="19"/>
      <c r="BC244" s="19"/>
      <c r="BD244" s="19"/>
      <c r="BE244" s="19"/>
      <c r="BF244" s="19"/>
      <c r="BG244" s="19"/>
      <c r="BH244" s="19"/>
      <c r="BI244" s="19"/>
      <c r="BJ244" s="19"/>
      <c r="BK244" s="19"/>
      <c r="BL244" s="19"/>
      <c r="BM244" s="19"/>
      <c r="BN244" s="19"/>
      <c r="BO244" s="19"/>
      <c r="BP244" s="19"/>
      <c r="BQ244" s="19"/>
      <c r="BR244" s="19"/>
      <c r="BS244" s="19"/>
      <c r="BT244" s="19"/>
      <c r="BU244" s="19"/>
      <c r="BV244" s="19"/>
      <c r="BW244" s="19"/>
      <c r="BX244" s="19"/>
      <c r="BY244" s="19"/>
      <c r="BZ244" s="19"/>
      <c r="CA244" s="19"/>
      <c r="CB244" s="19"/>
      <c r="CC244" s="19"/>
      <c r="CD244" s="19"/>
      <c r="CE244" s="19"/>
      <c r="CF244" s="7"/>
    </row>
    <row r="245" spans="1:256">
      <c r="A245" s="18" t="str">
        <f t="shared" si="493"/>
        <v>Bond 3</v>
      </c>
      <c r="B245" s="18">
        <f t="shared" si="494"/>
        <v>99.634715287188996</v>
      </c>
      <c r="C245" s="18">
        <f t="shared" si="495"/>
        <v>99.646000000000001</v>
      </c>
      <c r="D245" s="18">
        <f t="shared" si="496"/>
        <v>1.1245455846317995E-5</v>
      </c>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c r="AI245" s="19"/>
      <c r="AJ245" s="19"/>
      <c r="AK245" s="19"/>
      <c r="AL245" s="19"/>
      <c r="AM245" s="19"/>
      <c r="AN245" s="19"/>
      <c r="AO245" s="19"/>
      <c r="AP245" s="19"/>
      <c r="AQ245" s="19"/>
      <c r="AR245" s="19"/>
      <c r="AS245" s="19"/>
      <c r="AT245" s="19"/>
      <c r="AU245" s="19"/>
      <c r="AV245" s="19"/>
      <c r="AW245" s="19"/>
      <c r="AX245" s="19"/>
      <c r="AY245" s="19"/>
      <c r="AZ245" s="19"/>
      <c r="BA245" s="19"/>
      <c r="BB245" s="19"/>
      <c r="BC245" s="19"/>
      <c r="BD245" s="19"/>
      <c r="BE245" s="19"/>
      <c r="BF245" s="19"/>
      <c r="BG245" s="19"/>
      <c r="BH245" s="19"/>
      <c r="BI245" s="19"/>
      <c r="BJ245" s="19"/>
      <c r="BK245" s="19"/>
      <c r="BL245" s="19"/>
      <c r="BM245" s="19"/>
      <c r="BN245" s="19"/>
      <c r="BO245" s="19"/>
      <c r="BP245" s="19"/>
      <c r="BQ245" s="19"/>
      <c r="BR245" s="19"/>
      <c r="BS245" s="19"/>
      <c r="BT245" s="19"/>
      <c r="BU245" s="19"/>
      <c r="BV245" s="19"/>
      <c r="BW245" s="19"/>
      <c r="BX245" s="19"/>
      <c r="BY245" s="19"/>
      <c r="BZ245" s="19"/>
      <c r="CA245" s="19"/>
      <c r="CB245" s="19"/>
      <c r="CC245" s="19"/>
      <c r="CD245" s="19"/>
      <c r="CE245" s="19"/>
      <c r="CF245" s="12"/>
    </row>
    <row r="246" spans="1:256">
      <c r="A246" s="18" t="str">
        <f t="shared" si="493"/>
        <v>Bond 4</v>
      </c>
      <c r="B246" s="18">
        <f t="shared" si="494"/>
        <v>102.30392130221593</v>
      </c>
      <c r="C246" s="18">
        <f t="shared" si="495"/>
        <v>102.3185276243094</v>
      </c>
      <c r="D246" s="18">
        <f t="shared" si="496"/>
        <v>8.9139017978487143E-6</v>
      </c>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c r="AI246" s="19"/>
      <c r="AJ246" s="19"/>
      <c r="AK246" s="19"/>
      <c r="AL246" s="19"/>
      <c r="AM246" s="19"/>
      <c r="AN246" s="19"/>
      <c r="AO246" s="19"/>
      <c r="AP246" s="19"/>
      <c r="AQ246" s="19"/>
      <c r="AR246" s="19"/>
      <c r="AS246" s="19"/>
      <c r="AT246" s="19"/>
      <c r="AU246" s="19"/>
      <c r="AV246" s="19"/>
      <c r="AW246" s="19"/>
      <c r="AX246" s="19"/>
      <c r="AY246" s="19"/>
      <c r="AZ246" s="19"/>
      <c r="BA246" s="19"/>
      <c r="BB246" s="19"/>
      <c r="BC246" s="19"/>
      <c r="BD246" s="19"/>
      <c r="BE246" s="19"/>
      <c r="BF246" s="19"/>
      <c r="BG246" s="19"/>
      <c r="BH246" s="19"/>
      <c r="BI246" s="19"/>
      <c r="BJ246" s="19"/>
      <c r="BK246" s="19"/>
      <c r="BL246" s="19"/>
      <c r="BM246" s="19"/>
      <c r="BN246" s="19"/>
      <c r="BO246" s="19"/>
      <c r="BP246" s="19"/>
      <c r="BQ246" s="19"/>
      <c r="BR246" s="19"/>
      <c r="BS246" s="19"/>
      <c r="BT246" s="19"/>
      <c r="BU246" s="19"/>
      <c r="BV246" s="19"/>
      <c r="BW246" s="19"/>
      <c r="BX246" s="19"/>
      <c r="BY246" s="19"/>
      <c r="BZ246" s="19"/>
      <c r="CA246" s="19"/>
      <c r="CB246" s="19"/>
      <c r="CC246" s="19"/>
      <c r="CD246" s="19"/>
      <c r="CE246" s="19"/>
      <c r="CF246" s="6"/>
    </row>
    <row r="247" spans="1:256">
      <c r="A247" s="18" t="str">
        <f t="shared" si="493"/>
        <v>Bond 5</v>
      </c>
      <c r="B247" s="18">
        <f t="shared" si="494"/>
        <v>102.06888331644674</v>
      </c>
      <c r="C247" s="18">
        <f t="shared" si="495"/>
        <v>102.11827071823204</v>
      </c>
      <c r="D247" s="18">
        <f t="shared" si="496"/>
        <v>6.9144378789604216E-5</v>
      </c>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c r="AI247" s="19"/>
      <c r="AJ247" s="19"/>
      <c r="AK247" s="19"/>
      <c r="AL247" s="19"/>
      <c r="AM247" s="19"/>
      <c r="AN247" s="19"/>
      <c r="AO247" s="19"/>
      <c r="AP247" s="19"/>
      <c r="AQ247" s="19"/>
      <c r="AR247" s="19"/>
      <c r="AS247" s="19"/>
      <c r="AT247" s="19"/>
      <c r="AU247" s="19"/>
      <c r="AV247" s="19"/>
      <c r="AW247" s="19"/>
      <c r="AX247" s="19"/>
      <c r="AY247" s="19"/>
      <c r="AZ247" s="19"/>
      <c r="BA247" s="19"/>
      <c r="BB247" s="19"/>
      <c r="BC247" s="19"/>
      <c r="BD247" s="19"/>
      <c r="BE247" s="19"/>
      <c r="BF247" s="19"/>
      <c r="BG247" s="19"/>
      <c r="BH247" s="19"/>
      <c r="BI247" s="19"/>
      <c r="BJ247" s="19"/>
      <c r="BK247" s="19"/>
      <c r="BL247" s="19"/>
      <c r="BM247" s="19"/>
      <c r="BN247" s="19"/>
      <c r="BO247" s="19"/>
      <c r="BP247" s="19"/>
      <c r="BQ247" s="19"/>
      <c r="BR247" s="19"/>
      <c r="BS247" s="19"/>
      <c r="BT247" s="19"/>
      <c r="BU247" s="19"/>
      <c r="BV247" s="19"/>
      <c r="BW247" s="19"/>
      <c r="BX247" s="19"/>
      <c r="BY247" s="19"/>
      <c r="BZ247" s="19"/>
      <c r="CA247" s="19"/>
      <c r="CB247" s="19"/>
      <c r="CC247" s="19"/>
      <c r="CD247" s="19"/>
      <c r="CE247" s="19"/>
      <c r="CF247" s="6"/>
    </row>
    <row r="248" spans="1:256">
      <c r="A248" s="18" t="str">
        <f t="shared" si="493"/>
        <v>Bond 6</v>
      </c>
      <c r="B248" s="18">
        <f t="shared" si="494"/>
        <v>100.20353899000025</v>
      </c>
      <c r="C248" s="18">
        <f t="shared" si="495"/>
        <v>100.19075690607734</v>
      </c>
      <c r="D248" s="18">
        <f t="shared" si="496"/>
        <v>2.3439505024741887E-6</v>
      </c>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c r="AI248" s="19"/>
      <c r="AJ248" s="19"/>
      <c r="AK248" s="19"/>
      <c r="AL248" s="19"/>
      <c r="AM248" s="19"/>
      <c r="AN248" s="19"/>
      <c r="AO248" s="19"/>
      <c r="AP248" s="19"/>
      <c r="AQ248" s="19"/>
      <c r="AR248" s="19"/>
      <c r="AS248" s="19"/>
      <c r="AT248" s="19"/>
      <c r="AU248" s="19"/>
      <c r="AV248" s="19"/>
      <c r="AW248" s="19"/>
      <c r="AX248" s="19"/>
      <c r="AY248" s="19"/>
      <c r="AZ248" s="19"/>
      <c r="BA248" s="19"/>
      <c r="BB248" s="19"/>
      <c r="BC248" s="19"/>
      <c r="BD248" s="19"/>
      <c r="BE248" s="19"/>
      <c r="BF248" s="19"/>
      <c r="BG248" s="19"/>
      <c r="BH248" s="19"/>
      <c r="BI248" s="19"/>
      <c r="BJ248" s="19"/>
      <c r="BK248" s="19"/>
      <c r="BL248" s="19"/>
      <c r="BM248" s="19"/>
      <c r="BN248" s="19"/>
      <c r="BO248" s="19"/>
      <c r="BP248" s="19"/>
      <c r="BQ248" s="19"/>
      <c r="BR248" s="19"/>
      <c r="BS248" s="19"/>
      <c r="BT248" s="19"/>
      <c r="BU248" s="19"/>
      <c r="BV248" s="19"/>
      <c r="BW248" s="19"/>
      <c r="BX248" s="19"/>
      <c r="BY248" s="19"/>
      <c r="BZ248" s="19"/>
      <c r="CA248" s="19"/>
      <c r="CB248" s="19"/>
      <c r="CC248" s="19"/>
      <c r="CD248" s="19"/>
      <c r="CE248" s="19"/>
      <c r="CF248" s="12"/>
    </row>
    <row r="249" spans="1:256">
      <c r="A249" s="18" t="str">
        <f t="shared" si="493"/>
        <v>Bond 7</v>
      </c>
      <c r="B249" s="18">
        <f t="shared" si="494"/>
        <v>101.33136466855076</v>
      </c>
      <c r="C249" s="18">
        <f t="shared" si="495"/>
        <v>101.13763535911602</v>
      </c>
      <c r="D249" s="18">
        <f t="shared" si="496"/>
        <v>4.0897324061784838E-4</v>
      </c>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c r="AS249" s="19"/>
      <c r="AT249" s="19"/>
      <c r="AU249" s="19"/>
      <c r="AV249" s="19"/>
      <c r="AW249" s="19"/>
      <c r="AX249" s="19"/>
      <c r="AY249" s="19"/>
      <c r="AZ249" s="19"/>
      <c r="BA249" s="19"/>
      <c r="BB249" s="19"/>
      <c r="BC249" s="19"/>
      <c r="BD249" s="19"/>
      <c r="BE249" s="19"/>
      <c r="BF249" s="19"/>
      <c r="BG249" s="19"/>
      <c r="BH249" s="19"/>
      <c r="BI249" s="19"/>
      <c r="BJ249" s="19"/>
      <c r="BK249" s="19"/>
      <c r="BL249" s="19"/>
      <c r="BM249" s="19"/>
      <c r="BN249" s="19"/>
      <c r="BO249" s="19"/>
      <c r="BP249" s="19"/>
      <c r="BQ249" s="19"/>
      <c r="BR249" s="19"/>
      <c r="BS249" s="19"/>
      <c r="BT249" s="19"/>
      <c r="BU249" s="19"/>
      <c r="BV249" s="19"/>
      <c r="BW249" s="19"/>
      <c r="BX249" s="19"/>
      <c r="BY249" s="19"/>
      <c r="BZ249" s="19"/>
      <c r="CA249" s="19"/>
      <c r="CB249" s="19"/>
      <c r="CC249" s="19"/>
      <c r="CD249" s="19"/>
      <c r="CE249" s="19"/>
      <c r="CF249" s="12"/>
    </row>
    <row r="250" spans="1:256">
      <c r="A250" s="18" t="str">
        <f t="shared" si="493"/>
        <v>Bond 8</v>
      </c>
      <c r="B250" s="18">
        <f t="shared" si="494"/>
        <v>102.4875116868125</v>
      </c>
      <c r="C250" s="18">
        <f t="shared" si="495"/>
        <v>102.22272131147542</v>
      </c>
      <c r="D250" s="18">
        <f t="shared" si="496"/>
        <v>6.4904152018646221E-4</v>
      </c>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c r="AK250" s="19"/>
      <c r="AL250" s="19"/>
      <c r="AM250" s="19"/>
      <c r="AN250" s="19"/>
      <c r="AO250" s="19"/>
      <c r="AP250" s="19"/>
      <c r="AQ250" s="19"/>
      <c r="AR250" s="19"/>
      <c r="AS250" s="19"/>
      <c r="AT250" s="19"/>
      <c r="AU250" s="19"/>
      <c r="AV250" s="19"/>
      <c r="AW250" s="19"/>
      <c r="AX250" s="19"/>
      <c r="AY250" s="19"/>
      <c r="AZ250" s="19"/>
      <c r="BA250" s="19"/>
      <c r="BB250" s="19"/>
      <c r="BC250" s="19"/>
      <c r="BD250" s="19"/>
      <c r="BE250" s="19"/>
      <c r="BF250" s="19"/>
      <c r="BG250" s="19"/>
      <c r="BH250" s="19"/>
      <c r="BI250" s="19"/>
      <c r="BJ250" s="19"/>
      <c r="BK250" s="19"/>
      <c r="BL250" s="19"/>
      <c r="BM250" s="19"/>
      <c r="BN250" s="19"/>
      <c r="BO250" s="19"/>
      <c r="BP250" s="19"/>
      <c r="BQ250" s="19"/>
      <c r="BR250" s="19"/>
      <c r="BS250" s="19"/>
      <c r="BT250" s="19"/>
      <c r="BU250" s="19"/>
      <c r="BV250" s="19"/>
      <c r="BW250" s="19"/>
      <c r="BX250" s="19"/>
      <c r="BY250" s="19"/>
      <c r="BZ250" s="19"/>
      <c r="CA250" s="19"/>
      <c r="CB250" s="19"/>
      <c r="CC250" s="19"/>
      <c r="CD250" s="19"/>
      <c r="CE250" s="19"/>
      <c r="CF250" s="12"/>
    </row>
    <row r="251" spans="1:256">
      <c r="A251" s="18" t="str">
        <f t="shared" si="493"/>
        <v>Bond 9</v>
      </c>
      <c r="B251" s="18">
        <f t="shared" si="494"/>
        <v>109.29373459998175</v>
      </c>
      <c r="C251" s="18">
        <f t="shared" si="495"/>
        <v>109.27630434782608</v>
      </c>
      <c r="D251" s="18">
        <f t="shared" si="496"/>
        <v>2.2665182949800301E-6</v>
      </c>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c r="AK251" s="19"/>
      <c r="AL251" s="19"/>
      <c r="AM251" s="19"/>
      <c r="AN251" s="19"/>
      <c r="AO251" s="19"/>
      <c r="AP251" s="19"/>
      <c r="AQ251" s="19"/>
      <c r="AR251" s="19"/>
      <c r="AS251" s="19"/>
      <c r="AT251" s="19"/>
      <c r="AU251" s="19"/>
      <c r="AV251" s="19"/>
      <c r="AW251" s="19"/>
      <c r="AX251" s="19"/>
      <c r="AY251" s="19"/>
      <c r="AZ251" s="19"/>
      <c r="BA251" s="19"/>
      <c r="BB251" s="19"/>
      <c r="BC251" s="19"/>
      <c r="BD251" s="19"/>
      <c r="BE251" s="19"/>
      <c r="BF251" s="19"/>
      <c r="BG251" s="19"/>
      <c r="BH251" s="19"/>
      <c r="BI251" s="19"/>
      <c r="BJ251" s="19"/>
      <c r="BK251" s="19"/>
      <c r="BL251" s="19"/>
      <c r="BM251" s="19"/>
      <c r="BN251" s="19"/>
      <c r="BO251" s="19"/>
      <c r="BP251" s="19"/>
      <c r="BQ251" s="19"/>
      <c r="BR251" s="19"/>
      <c r="BS251" s="19"/>
      <c r="BT251" s="19"/>
      <c r="BU251" s="19"/>
      <c r="BV251" s="19"/>
      <c r="BW251" s="19"/>
      <c r="BX251" s="19"/>
      <c r="BY251" s="19"/>
      <c r="BZ251" s="19"/>
      <c r="CA251" s="19"/>
      <c r="CB251" s="19"/>
      <c r="CC251" s="19"/>
      <c r="CD251" s="19"/>
      <c r="CE251" s="19"/>
      <c r="CF251" s="6"/>
    </row>
    <row r="252" spans="1:256">
      <c r="A252" s="18" t="str">
        <f t="shared" si="493"/>
        <v>Bond 10</v>
      </c>
      <c r="B252" s="18">
        <f t="shared" si="494"/>
        <v>106.7161784257413</v>
      </c>
      <c r="C252" s="18">
        <f t="shared" si="495"/>
        <v>106.71977071823203</v>
      </c>
      <c r="D252" s="18">
        <f t="shared" si="496"/>
        <v>8.3862091766269573E-8</v>
      </c>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19"/>
      <c r="AE252" s="19"/>
      <c r="AF252" s="19"/>
      <c r="AG252" s="19"/>
      <c r="AH252" s="19"/>
      <c r="AI252" s="19"/>
      <c r="AJ252" s="19"/>
      <c r="AK252" s="19"/>
      <c r="AL252" s="19"/>
      <c r="AM252" s="19"/>
      <c r="AN252" s="19"/>
      <c r="AO252" s="19"/>
      <c r="AP252" s="19"/>
      <c r="AQ252" s="19"/>
      <c r="AR252" s="19"/>
      <c r="AS252" s="19"/>
      <c r="AT252" s="19"/>
      <c r="AU252" s="19"/>
      <c r="AV252" s="19"/>
      <c r="AW252" s="19"/>
      <c r="AX252" s="19"/>
      <c r="AY252" s="19"/>
      <c r="AZ252" s="19"/>
      <c r="BA252" s="19"/>
      <c r="BB252" s="19"/>
      <c r="BC252" s="19"/>
      <c r="BD252" s="19"/>
      <c r="BE252" s="19"/>
      <c r="BF252" s="19"/>
      <c r="BG252" s="19"/>
      <c r="BH252" s="19"/>
      <c r="BI252" s="19"/>
      <c r="BJ252" s="19"/>
      <c r="BK252" s="19"/>
      <c r="BL252" s="19"/>
      <c r="BM252" s="19"/>
      <c r="BN252" s="19"/>
      <c r="BO252" s="19"/>
      <c r="BP252" s="19"/>
      <c r="BQ252" s="19"/>
      <c r="BR252" s="19"/>
      <c r="BS252" s="19"/>
      <c r="BT252" s="19"/>
      <c r="BU252" s="19"/>
      <c r="BV252" s="19"/>
      <c r="BW252" s="19"/>
      <c r="BX252" s="19"/>
      <c r="BY252" s="19"/>
      <c r="BZ252" s="19"/>
      <c r="CA252" s="19"/>
      <c r="CB252" s="19"/>
      <c r="CC252" s="19"/>
      <c r="CD252" s="19"/>
      <c r="CE252" s="19"/>
      <c r="CF252" s="6"/>
    </row>
    <row r="253" spans="1:256">
      <c r="A253" s="18" t="str">
        <f t="shared" si="493"/>
        <v>Bond 11</v>
      </c>
      <c r="B253" s="18">
        <f t="shared" si="494"/>
        <v>104.96352577569479</v>
      </c>
      <c r="C253" s="18">
        <f t="shared" si="495"/>
        <v>105.00039226519337</v>
      </c>
      <c r="D253" s="18">
        <f t="shared" si="496"/>
        <v>7.7205298089081918E-6</v>
      </c>
      <c r="E253" s="19"/>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19"/>
      <c r="AE253" s="19"/>
      <c r="AF253" s="19"/>
      <c r="AG253" s="19"/>
      <c r="AH253" s="19"/>
      <c r="AI253" s="19"/>
      <c r="AJ253" s="19"/>
      <c r="AK253" s="19"/>
      <c r="AL253" s="19"/>
      <c r="AM253" s="19"/>
      <c r="AN253" s="19"/>
      <c r="AO253" s="19"/>
      <c r="AP253" s="19"/>
      <c r="AQ253" s="19"/>
      <c r="AR253" s="19"/>
      <c r="AS253" s="19"/>
      <c r="AT253" s="19"/>
      <c r="AU253" s="19"/>
      <c r="AV253" s="19"/>
      <c r="AW253" s="19"/>
      <c r="AX253" s="19"/>
      <c r="AY253" s="19"/>
      <c r="AZ253" s="19"/>
      <c r="BA253" s="19"/>
      <c r="BB253" s="19"/>
      <c r="BC253" s="19"/>
      <c r="BD253" s="19"/>
      <c r="BE253" s="19"/>
      <c r="BF253" s="19"/>
      <c r="BG253" s="19"/>
      <c r="BH253" s="19"/>
      <c r="BI253" s="19"/>
      <c r="BJ253" s="19"/>
      <c r="BK253" s="19"/>
      <c r="BL253" s="19"/>
      <c r="BM253" s="19"/>
      <c r="BN253" s="19"/>
      <c r="BO253" s="19"/>
      <c r="BP253" s="19"/>
      <c r="BQ253" s="19"/>
      <c r="BR253" s="19"/>
      <c r="BS253" s="19"/>
      <c r="BT253" s="19"/>
      <c r="BU253" s="19"/>
      <c r="BV253" s="19"/>
      <c r="BW253" s="19"/>
      <c r="BX253" s="19"/>
      <c r="BY253" s="19"/>
      <c r="BZ253" s="19"/>
      <c r="CA253" s="19"/>
      <c r="CB253" s="19"/>
      <c r="CC253" s="19"/>
      <c r="CD253" s="19"/>
      <c r="CE253" s="19"/>
      <c r="CF253" s="12"/>
    </row>
    <row r="254" spans="1:256">
      <c r="A254" s="18" t="str">
        <f t="shared" si="493"/>
        <v>Bond 12</v>
      </c>
      <c r="B254" s="18">
        <f t="shared" si="494"/>
        <v>129.3250724581747</v>
      </c>
      <c r="C254" s="18">
        <f t="shared" si="495"/>
        <v>129.74891256830603</v>
      </c>
      <c r="D254" s="18">
        <f t="shared" si="496"/>
        <v>1.064777036982276E-3</v>
      </c>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19"/>
      <c r="AE254" s="19"/>
      <c r="AF254" s="19"/>
      <c r="AG254" s="19"/>
      <c r="AH254" s="19"/>
      <c r="AI254" s="19"/>
      <c r="AJ254" s="19"/>
      <c r="AK254" s="19"/>
      <c r="AL254" s="19"/>
      <c r="AM254" s="19"/>
      <c r="AN254" s="19"/>
      <c r="AO254" s="19"/>
      <c r="AP254" s="19"/>
      <c r="AQ254" s="19"/>
      <c r="AR254" s="19"/>
      <c r="AS254" s="19"/>
      <c r="AT254" s="19"/>
      <c r="AU254" s="19"/>
      <c r="AV254" s="19"/>
      <c r="AW254" s="19"/>
      <c r="AX254" s="19"/>
      <c r="AY254" s="19"/>
      <c r="AZ254" s="19"/>
      <c r="BA254" s="19"/>
      <c r="BB254" s="19"/>
      <c r="BC254" s="19"/>
      <c r="BD254" s="19"/>
      <c r="BE254" s="19"/>
      <c r="BF254" s="19"/>
      <c r="BG254" s="19"/>
      <c r="BH254" s="19"/>
      <c r="BI254" s="19"/>
      <c r="BJ254" s="19"/>
      <c r="BK254" s="19"/>
      <c r="BL254" s="19"/>
      <c r="BM254" s="19"/>
      <c r="BN254" s="19"/>
      <c r="BO254" s="19"/>
      <c r="BP254" s="19"/>
      <c r="BQ254" s="19"/>
      <c r="BR254" s="19"/>
      <c r="BS254" s="19"/>
      <c r="BT254" s="19"/>
      <c r="BU254" s="19"/>
      <c r="BV254" s="19"/>
      <c r="BW254" s="19"/>
      <c r="BX254" s="19"/>
      <c r="BY254" s="19"/>
      <c r="BZ254" s="19"/>
      <c r="CA254" s="19"/>
      <c r="CB254" s="19"/>
      <c r="CC254" s="19"/>
      <c r="CD254" s="19"/>
      <c r="CE254" s="19"/>
      <c r="CF254" s="12"/>
    </row>
    <row r="255" spans="1:256">
      <c r="A255" s="18" t="str">
        <f t="shared" si="493"/>
        <v>Bond 13</v>
      </c>
      <c r="B255" s="18">
        <f t="shared" si="494"/>
        <v>107.99256597970714</v>
      </c>
      <c r="C255" s="18">
        <f t="shared" si="495"/>
        <v>108.02917213114753</v>
      </c>
      <c r="D255" s="18">
        <f t="shared" si="496"/>
        <v>6.7200086236343833E-6</v>
      </c>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9"/>
      <c r="AE255" s="19"/>
      <c r="AF255" s="19"/>
      <c r="AG255" s="19"/>
      <c r="AH255" s="19"/>
      <c r="AI255" s="19"/>
      <c r="AJ255" s="19"/>
      <c r="AK255" s="19"/>
      <c r="AL255" s="19"/>
      <c r="AM255" s="19"/>
      <c r="AN255" s="19"/>
      <c r="AO255" s="19"/>
      <c r="AP255" s="19"/>
      <c r="AQ255" s="19"/>
      <c r="AR255" s="19"/>
      <c r="AS255" s="19"/>
      <c r="AT255" s="19"/>
      <c r="AU255" s="19"/>
      <c r="AV255" s="19"/>
      <c r="AW255" s="19"/>
      <c r="AX255" s="19"/>
      <c r="AY255" s="19"/>
      <c r="AZ255" s="19"/>
      <c r="BA255" s="19"/>
      <c r="BB255" s="19"/>
      <c r="BC255" s="19"/>
      <c r="BD255" s="19"/>
      <c r="BE255" s="19"/>
      <c r="BF255" s="19"/>
      <c r="BG255" s="19"/>
      <c r="BH255" s="19"/>
      <c r="BI255" s="19"/>
      <c r="BJ255" s="19"/>
      <c r="BK255" s="19"/>
      <c r="BL255" s="19"/>
      <c r="BM255" s="19"/>
      <c r="BN255" s="19"/>
      <c r="BO255" s="19"/>
      <c r="BP255" s="19"/>
      <c r="BQ255" s="19"/>
      <c r="BR255" s="19"/>
      <c r="BS255" s="19"/>
      <c r="BT255" s="19"/>
      <c r="BU255" s="19"/>
      <c r="BV255" s="19"/>
      <c r="BW255" s="19"/>
      <c r="BX255" s="19"/>
      <c r="BY255" s="19"/>
      <c r="BZ255" s="19"/>
      <c r="CA255" s="19"/>
      <c r="CB255" s="19"/>
      <c r="CC255" s="19"/>
      <c r="CD255" s="19"/>
      <c r="CE255" s="19"/>
      <c r="CF255" s="12"/>
    </row>
    <row r="256" spans="1:256">
      <c r="A256" s="18" t="str">
        <f t="shared" si="493"/>
        <v>Bond 14</v>
      </c>
      <c r="B256" s="18">
        <f t="shared" si="494"/>
        <v>142.31706192512024</v>
      </c>
      <c r="C256" s="18">
        <f t="shared" si="495"/>
        <v>142.57043169398906</v>
      </c>
      <c r="D256" s="18">
        <f t="shared" si="496"/>
        <v>2.9757174440258363E-4</v>
      </c>
      <c r="E256" s="19"/>
      <c r="F256" s="19"/>
      <c r="G256" s="19"/>
      <c r="H256" s="19"/>
      <c r="I256" s="19"/>
      <c r="J256" s="19"/>
      <c r="K256" s="19"/>
      <c r="L256" s="19"/>
      <c r="M256" s="19"/>
      <c r="N256" s="19"/>
      <c r="O256" s="19"/>
      <c r="P256" s="19"/>
      <c r="Q256" s="19"/>
      <c r="R256" s="19"/>
      <c r="S256" s="19"/>
      <c r="T256" s="19"/>
      <c r="U256" s="19"/>
      <c r="V256" s="19"/>
      <c r="W256" s="19"/>
      <c r="X256" s="19"/>
      <c r="Y256" s="19"/>
      <c r="Z256" s="19"/>
      <c r="AA256" s="19"/>
      <c r="AB256" s="19"/>
      <c r="AC256" s="19"/>
      <c r="AD256" s="19"/>
      <c r="AE256" s="19"/>
      <c r="AF256" s="19"/>
      <c r="AG256" s="19"/>
      <c r="AH256" s="19"/>
      <c r="AI256" s="19"/>
      <c r="AJ256" s="19"/>
      <c r="AK256" s="19"/>
      <c r="AL256" s="19"/>
      <c r="AM256" s="19"/>
      <c r="AN256" s="19"/>
      <c r="AO256" s="19"/>
      <c r="AP256" s="19"/>
      <c r="AQ256" s="19"/>
      <c r="AR256" s="19"/>
      <c r="AS256" s="19"/>
      <c r="AT256" s="19"/>
      <c r="AU256" s="19"/>
      <c r="AV256" s="19"/>
      <c r="AW256" s="19"/>
      <c r="AX256" s="19"/>
      <c r="AY256" s="19"/>
      <c r="AZ256" s="19"/>
      <c r="BA256" s="19"/>
      <c r="BB256" s="19"/>
      <c r="BC256" s="19"/>
      <c r="BD256" s="19"/>
      <c r="BE256" s="19"/>
      <c r="BF256" s="19"/>
      <c r="BG256" s="19"/>
      <c r="BH256" s="19"/>
      <c r="BI256" s="19"/>
      <c r="BJ256" s="19"/>
      <c r="BK256" s="19"/>
      <c r="BL256" s="19"/>
      <c r="BM256" s="19"/>
      <c r="BN256" s="19"/>
      <c r="BO256" s="19"/>
      <c r="BP256" s="19"/>
      <c r="BQ256" s="19"/>
      <c r="BR256" s="19"/>
      <c r="BS256" s="19"/>
      <c r="BT256" s="19"/>
      <c r="BU256" s="19"/>
      <c r="BV256" s="19"/>
      <c r="BW256" s="19"/>
      <c r="BX256" s="19"/>
      <c r="BY256" s="19"/>
      <c r="BZ256" s="19"/>
      <c r="CA256" s="19"/>
      <c r="CB256" s="19"/>
      <c r="CC256" s="19"/>
      <c r="CD256" s="19"/>
      <c r="CE256" s="19"/>
      <c r="CF256" s="6"/>
    </row>
    <row r="257" spans="1:84">
      <c r="A257" s="18" t="str">
        <f t="shared" si="493"/>
        <v>Bond 15</v>
      </c>
      <c r="B257" s="18">
        <f t="shared" si="494"/>
        <v>149.14713139222275</v>
      </c>
      <c r="C257" s="18">
        <f t="shared" si="495"/>
        <v>148.68493478260871</v>
      </c>
      <c r="D257" s="18">
        <f t="shared" si="496"/>
        <v>7.858956795698547E-4</v>
      </c>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9"/>
      <c r="AD257" s="19"/>
      <c r="AE257" s="19"/>
      <c r="AF257" s="19"/>
      <c r="AG257" s="19"/>
      <c r="AH257" s="19"/>
      <c r="AI257" s="19"/>
      <c r="AJ257" s="19"/>
      <c r="AK257" s="19"/>
      <c r="AL257" s="19"/>
      <c r="AM257" s="19"/>
      <c r="AN257" s="19"/>
      <c r="AO257" s="19"/>
      <c r="AP257" s="19"/>
      <c r="AQ257" s="19"/>
      <c r="AR257" s="19"/>
      <c r="AS257" s="19"/>
      <c r="AT257" s="19"/>
      <c r="AU257" s="19"/>
      <c r="AV257" s="19"/>
      <c r="AW257" s="19"/>
      <c r="AX257" s="19"/>
      <c r="AY257" s="19"/>
      <c r="AZ257" s="19"/>
      <c r="BA257" s="19"/>
      <c r="BB257" s="19"/>
      <c r="BC257" s="19"/>
      <c r="BD257" s="19"/>
      <c r="BE257" s="19"/>
      <c r="BF257" s="19"/>
      <c r="BG257" s="19"/>
      <c r="BH257" s="19"/>
      <c r="BI257" s="19"/>
      <c r="BJ257" s="19"/>
      <c r="BK257" s="19"/>
      <c r="BL257" s="19"/>
      <c r="BM257" s="19"/>
      <c r="BN257" s="19"/>
      <c r="BO257" s="19"/>
      <c r="BP257" s="19"/>
      <c r="BQ257" s="19"/>
      <c r="BR257" s="19"/>
      <c r="BS257" s="19"/>
      <c r="BT257" s="19"/>
      <c r="BU257" s="19"/>
      <c r="BV257" s="19"/>
      <c r="BW257" s="19"/>
      <c r="BX257" s="19"/>
      <c r="BY257" s="19"/>
      <c r="BZ257" s="19"/>
      <c r="CA257" s="19"/>
      <c r="CB257" s="19"/>
      <c r="CC257" s="19"/>
      <c r="CD257" s="19"/>
      <c r="CE257" s="19"/>
      <c r="CF257" s="6"/>
    </row>
    <row r="258" spans="1:84">
      <c r="A258" s="18" t="str">
        <f t="shared" si="493"/>
        <v>Bond 16</v>
      </c>
      <c r="B258" s="18">
        <f t="shared" si="494"/>
        <v>108.48518790849786</v>
      </c>
      <c r="C258" s="18">
        <f t="shared" si="495"/>
        <v>108.31714130434783</v>
      </c>
      <c r="D258" s="18">
        <f t="shared" si="496"/>
        <v>7.8551318168169207E-5</v>
      </c>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9"/>
      <c r="AD258" s="19"/>
      <c r="AE258" s="19"/>
      <c r="AF258" s="19"/>
      <c r="AG258" s="19"/>
      <c r="AH258" s="19"/>
      <c r="AI258" s="19"/>
      <c r="AJ258" s="19"/>
      <c r="AK258" s="19"/>
      <c r="AL258" s="19"/>
      <c r="AM258" s="19"/>
      <c r="AN258" s="19"/>
      <c r="AO258" s="19"/>
      <c r="AP258" s="19"/>
      <c r="AQ258" s="19"/>
      <c r="AR258" s="19"/>
      <c r="AS258" s="19"/>
      <c r="AT258" s="19"/>
      <c r="AU258" s="19"/>
      <c r="AV258" s="19"/>
      <c r="AW258" s="19"/>
      <c r="AX258" s="19"/>
      <c r="AY258" s="19"/>
      <c r="AZ258" s="19"/>
      <c r="BA258" s="19"/>
      <c r="BB258" s="19"/>
      <c r="BC258" s="19"/>
      <c r="BD258" s="19"/>
      <c r="BE258" s="19"/>
      <c r="BF258" s="19"/>
      <c r="BG258" s="19"/>
      <c r="BH258" s="19"/>
      <c r="BI258" s="19"/>
      <c r="BJ258" s="19"/>
      <c r="BK258" s="19"/>
      <c r="BL258" s="19"/>
      <c r="BM258" s="19"/>
      <c r="BN258" s="19"/>
      <c r="BO258" s="19"/>
      <c r="BP258" s="19"/>
      <c r="BQ258" s="19"/>
      <c r="BR258" s="19"/>
      <c r="BS258" s="19"/>
      <c r="BT258" s="19"/>
      <c r="BU258" s="19"/>
      <c r="BV258" s="19"/>
      <c r="BW258" s="19"/>
      <c r="BX258" s="19"/>
      <c r="BY258" s="19"/>
      <c r="BZ258" s="19"/>
      <c r="CA258" s="19"/>
      <c r="CB258" s="19"/>
      <c r="CC258" s="19"/>
      <c r="CD258" s="19"/>
      <c r="CE258" s="19"/>
      <c r="CF258" s="6"/>
    </row>
    <row r="259" spans="1:84">
      <c r="A259" s="18" t="str">
        <f t="shared" si="493"/>
        <v>Bond 17</v>
      </c>
      <c r="B259" s="18">
        <f t="shared" si="494"/>
        <v>140.15600850195722</v>
      </c>
      <c r="C259" s="18">
        <f t="shared" si="495"/>
        <v>140.25441988950277</v>
      </c>
      <c r="D259" s="18">
        <f t="shared" si="496"/>
        <v>2.3249338043962069E-5</v>
      </c>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c r="BP259" s="19"/>
      <c r="BQ259" s="19"/>
      <c r="BR259" s="19"/>
      <c r="BS259" s="19"/>
      <c r="BT259" s="19"/>
      <c r="BU259" s="19"/>
      <c r="BV259" s="19"/>
      <c r="BW259" s="19"/>
      <c r="BX259" s="19"/>
      <c r="BY259" s="19"/>
      <c r="BZ259" s="19"/>
      <c r="CA259" s="19"/>
      <c r="CB259" s="19"/>
      <c r="CC259" s="19"/>
      <c r="CD259" s="19"/>
      <c r="CE259" s="19"/>
      <c r="CF259" s="6"/>
    </row>
    <row r="260" spans="1:84">
      <c r="A260" s="18" t="str">
        <f t="shared" si="493"/>
        <v>Bond 18</v>
      </c>
      <c r="B260" s="18">
        <f t="shared" si="494"/>
        <v>140.15600850195722</v>
      </c>
      <c r="C260" s="18">
        <f t="shared" si="495"/>
        <v>140.25441988950277</v>
      </c>
      <c r="D260" s="18">
        <f t="shared" si="496"/>
        <v>2.3249338043962069E-5</v>
      </c>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c r="AG260" s="19"/>
      <c r="AH260" s="19"/>
      <c r="AI260" s="19"/>
      <c r="AJ260" s="19"/>
      <c r="AK260" s="19"/>
      <c r="AL260" s="19"/>
      <c r="AM260" s="19"/>
      <c r="AN260" s="19"/>
      <c r="AO260" s="19"/>
      <c r="AP260" s="19"/>
      <c r="AQ260" s="19"/>
      <c r="AR260" s="19"/>
      <c r="AS260" s="19"/>
      <c r="AT260" s="19"/>
      <c r="AU260" s="19"/>
      <c r="AV260" s="19"/>
      <c r="AW260" s="19"/>
      <c r="AX260" s="19"/>
      <c r="AY260" s="19"/>
      <c r="AZ260" s="19"/>
      <c r="BA260" s="19"/>
      <c r="BB260" s="19"/>
      <c r="BC260" s="19"/>
      <c r="BD260" s="19"/>
      <c r="BE260" s="19"/>
      <c r="BF260" s="19"/>
      <c r="BG260" s="19"/>
      <c r="BH260" s="19"/>
      <c r="BI260" s="19"/>
      <c r="BJ260" s="19"/>
      <c r="BK260" s="19"/>
      <c r="BL260" s="19"/>
      <c r="BM260" s="19"/>
      <c r="BN260" s="19"/>
      <c r="BO260" s="19"/>
      <c r="BP260" s="19"/>
      <c r="BQ260" s="19"/>
      <c r="BR260" s="19"/>
      <c r="BS260" s="19"/>
      <c r="BT260" s="19"/>
      <c r="BU260" s="19"/>
      <c r="BV260" s="19"/>
      <c r="BW260" s="19"/>
      <c r="BX260" s="19"/>
      <c r="BY260" s="19"/>
      <c r="BZ260" s="19"/>
      <c r="CA260" s="19"/>
      <c r="CB260" s="19"/>
      <c r="CC260" s="19"/>
      <c r="CD260" s="19"/>
      <c r="CE260" s="19"/>
      <c r="CF260" s="6"/>
    </row>
    <row r="261" spans="1:84">
      <c r="A261" s="18"/>
      <c r="B261" s="18"/>
      <c r="C261" s="18"/>
      <c r="D261" s="18"/>
      <c r="E261" s="19"/>
      <c r="F261" s="19"/>
      <c r="G261" s="19"/>
      <c r="H261" s="19"/>
      <c r="I261" s="19"/>
      <c r="J261" s="19"/>
      <c r="K261" s="19"/>
      <c r="L261" s="19"/>
      <c r="M261" s="19"/>
      <c r="N261" s="19"/>
      <c r="O261" s="19"/>
      <c r="P261" s="19"/>
      <c r="Q261" s="19"/>
      <c r="R261" s="19"/>
      <c r="S261" s="19"/>
      <c r="T261" s="19"/>
      <c r="U261" s="19"/>
      <c r="V261" s="19"/>
      <c r="W261" s="19"/>
      <c r="X261" s="19"/>
      <c r="Y261" s="19"/>
      <c r="Z261" s="19"/>
      <c r="AA261" s="19"/>
      <c r="AB261" s="19"/>
      <c r="AC261" s="19"/>
      <c r="AD261" s="19"/>
      <c r="AE261" s="19"/>
      <c r="AF261" s="19"/>
      <c r="AG261" s="19"/>
      <c r="AH261" s="19"/>
      <c r="AI261" s="19"/>
      <c r="AJ261" s="19"/>
      <c r="AK261" s="19"/>
      <c r="AL261" s="19"/>
      <c r="AM261" s="19"/>
      <c r="AN261" s="19"/>
      <c r="AO261" s="19"/>
      <c r="AP261" s="19"/>
      <c r="AQ261" s="19"/>
      <c r="AR261" s="19"/>
      <c r="AS261" s="19"/>
      <c r="AT261" s="19"/>
      <c r="AU261" s="19"/>
      <c r="AV261" s="19"/>
      <c r="AW261" s="19"/>
      <c r="AX261" s="19"/>
      <c r="AY261" s="19"/>
      <c r="AZ261" s="19"/>
      <c r="BA261" s="19"/>
      <c r="BB261" s="19"/>
      <c r="BC261" s="19"/>
      <c r="BD261" s="19"/>
      <c r="BE261" s="19"/>
      <c r="BF261" s="19"/>
      <c r="BG261" s="19"/>
      <c r="BH261" s="19"/>
      <c r="BI261" s="19"/>
      <c r="BJ261" s="19"/>
      <c r="BK261" s="19"/>
      <c r="BL261" s="19"/>
      <c r="BM261" s="19"/>
      <c r="BN261" s="19"/>
      <c r="BO261" s="19"/>
      <c r="BP261" s="19"/>
      <c r="BQ261" s="19"/>
      <c r="BR261" s="19"/>
      <c r="BS261" s="19"/>
      <c r="BT261" s="19"/>
      <c r="BU261" s="19"/>
      <c r="BV261" s="19"/>
      <c r="BW261" s="19"/>
      <c r="BX261" s="19"/>
      <c r="BY261" s="19"/>
      <c r="BZ261" s="19"/>
      <c r="CA261" s="19"/>
      <c r="CB261" s="19"/>
      <c r="CC261" s="19"/>
      <c r="CD261" s="19"/>
      <c r="CE261" s="19"/>
      <c r="CF261" s="6"/>
    </row>
    <row r="262" spans="1:84">
      <c r="A262" s="18"/>
      <c r="B262" s="18"/>
      <c r="C262" s="18"/>
      <c r="D262" s="18"/>
      <c r="E262" s="19"/>
      <c r="F262" s="19"/>
      <c r="G262" s="19"/>
      <c r="H262" s="19"/>
      <c r="I262" s="19"/>
      <c r="J262" s="19"/>
      <c r="K262" s="19"/>
      <c r="L262" s="19"/>
      <c r="M262" s="19"/>
      <c r="N262" s="19"/>
      <c r="O262" s="19"/>
      <c r="P262" s="19"/>
      <c r="Q262" s="19"/>
      <c r="R262" s="19"/>
      <c r="S262" s="19"/>
      <c r="T262" s="19"/>
      <c r="U262" s="19"/>
      <c r="V262" s="19"/>
      <c r="W262" s="19"/>
      <c r="X262" s="19"/>
      <c r="Y262" s="19"/>
      <c r="Z262" s="19"/>
      <c r="AA262" s="19"/>
      <c r="AB262" s="19"/>
      <c r="AC262" s="19"/>
      <c r="AD262" s="19"/>
      <c r="AE262" s="19"/>
      <c r="AF262" s="19"/>
      <c r="AG262" s="19"/>
      <c r="AH262" s="19"/>
      <c r="AI262" s="19"/>
      <c r="AJ262" s="19"/>
      <c r="AK262" s="19"/>
      <c r="AL262" s="19"/>
      <c r="AM262" s="19"/>
      <c r="AN262" s="19"/>
      <c r="AO262" s="19"/>
      <c r="AP262" s="19"/>
      <c r="AQ262" s="19"/>
      <c r="AR262" s="19"/>
      <c r="AS262" s="19"/>
      <c r="AT262" s="19"/>
      <c r="AU262" s="19"/>
      <c r="AV262" s="19"/>
      <c r="AW262" s="19"/>
      <c r="AX262" s="19"/>
      <c r="AY262" s="19"/>
      <c r="AZ262" s="19"/>
      <c r="BA262" s="19"/>
      <c r="BB262" s="19"/>
      <c r="BC262" s="19"/>
      <c r="BD262" s="19"/>
      <c r="BE262" s="19"/>
      <c r="BF262" s="19"/>
      <c r="BG262" s="19"/>
      <c r="BH262" s="19"/>
      <c r="BI262" s="19"/>
      <c r="BJ262" s="19"/>
      <c r="BK262" s="19"/>
      <c r="BL262" s="19"/>
      <c r="BM262" s="19"/>
      <c r="BN262" s="19"/>
      <c r="BO262" s="19"/>
      <c r="BP262" s="19"/>
      <c r="BQ262" s="19"/>
      <c r="BR262" s="19"/>
      <c r="BS262" s="19"/>
      <c r="BT262" s="19"/>
      <c r="BU262" s="19"/>
      <c r="BV262" s="19"/>
      <c r="BW262" s="19"/>
      <c r="BX262" s="19"/>
      <c r="BY262" s="19"/>
      <c r="BZ262" s="19"/>
      <c r="CA262" s="19"/>
      <c r="CB262" s="19"/>
      <c r="CC262" s="19"/>
      <c r="CD262" s="19"/>
      <c r="CE262" s="19"/>
      <c r="CF262" s="6"/>
    </row>
    <row r="263" spans="1:84">
      <c r="A263" s="18"/>
      <c r="B263" s="18"/>
      <c r="C263" s="18"/>
      <c r="D263" s="18"/>
      <c r="E263" s="20"/>
      <c r="F263" s="19"/>
      <c r="G263" s="19"/>
      <c r="H263" s="19"/>
      <c r="I263" s="19"/>
      <c r="J263" s="19"/>
      <c r="K263" s="19"/>
      <c r="L263" s="19"/>
      <c r="M263" s="19"/>
      <c r="N263" s="19"/>
      <c r="O263" s="19"/>
      <c r="P263" s="19"/>
      <c r="Q263" s="19"/>
      <c r="R263" s="19"/>
      <c r="S263" s="19"/>
      <c r="T263" s="19"/>
      <c r="U263" s="19"/>
      <c r="V263" s="19"/>
      <c r="W263" s="19"/>
      <c r="X263" s="19"/>
      <c r="Y263" s="19"/>
      <c r="Z263" s="19"/>
      <c r="AA263" s="19"/>
      <c r="AB263" s="19"/>
      <c r="AC263" s="19"/>
      <c r="AD263" s="19"/>
      <c r="AE263" s="19"/>
      <c r="AF263" s="19"/>
      <c r="AG263" s="19"/>
      <c r="AH263" s="19"/>
      <c r="AI263" s="19"/>
      <c r="AJ263" s="19"/>
      <c r="AK263" s="19"/>
      <c r="AL263" s="19"/>
      <c r="AM263" s="19"/>
      <c r="AN263" s="19"/>
      <c r="AO263" s="19"/>
      <c r="AP263" s="19"/>
      <c r="AQ263" s="19"/>
      <c r="AR263" s="19"/>
      <c r="AS263" s="19"/>
      <c r="AT263" s="19"/>
      <c r="AU263" s="19"/>
      <c r="AV263" s="19"/>
      <c r="AW263" s="19"/>
      <c r="AX263" s="19"/>
      <c r="AY263" s="19"/>
      <c r="AZ263" s="19"/>
      <c r="BA263" s="19"/>
      <c r="BB263" s="19"/>
      <c r="BC263" s="19"/>
      <c r="BD263" s="19"/>
      <c r="BE263" s="19"/>
      <c r="BF263" s="19"/>
      <c r="BG263" s="19"/>
      <c r="BH263" s="19"/>
      <c r="BI263" s="19"/>
      <c r="BJ263" s="19"/>
      <c r="BK263" s="19"/>
      <c r="BL263" s="19"/>
      <c r="BM263" s="19"/>
      <c r="BN263" s="19"/>
      <c r="BO263" s="19"/>
      <c r="BP263" s="19"/>
      <c r="BQ263" s="19"/>
      <c r="BR263" s="19"/>
      <c r="BS263" s="19"/>
      <c r="BT263" s="19"/>
      <c r="BU263" s="19"/>
      <c r="BV263" s="19"/>
      <c r="BW263" s="19"/>
      <c r="BX263" s="19"/>
      <c r="BY263" s="19"/>
      <c r="BZ263" s="19"/>
      <c r="CA263" s="19"/>
      <c r="CB263" s="19"/>
      <c r="CC263" s="19"/>
      <c r="CD263" s="19"/>
      <c r="CE263" s="19"/>
      <c r="CF263" s="6"/>
    </row>
    <row r="264" spans="1:84">
      <c r="A264" s="18"/>
      <c r="B264" s="18"/>
      <c r="C264" s="18"/>
      <c r="D264" s="18"/>
      <c r="E264" s="20"/>
      <c r="F264" s="19"/>
      <c r="G264" s="19"/>
      <c r="H264" s="19"/>
      <c r="I264" s="19"/>
      <c r="J264" s="19"/>
      <c r="K264" s="19"/>
      <c r="L264" s="19"/>
      <c r="M264" s="19"/>
      <c r="N264" s="19"/>
      <c r="O264" s="19"/>
      <c r="P264" s="19"/>
      <c r="Q264" s="19"/>
      <c r="R264" s="19"/>
      <c r="S264" s="19"/>
      <c r="T264" s="19"/>
      <c r="U264" s="19"/>
      <c r="V264" s="19"/>
      <c r="W264" s="19"/>
      <c r="X264" s="19"/>
      <c r="Y264" s="19"/>
      <c r="Z264" s="19"/>
      <c r="AA264" s="19"/>
      <c r="AB264" s="19"/>
      <c r="AC264" s="19"/>
      <c r="AD264" s="19"/>
      <c r="AE264" s="19"/>
      <c r="AF264" s="19"/>
      <c r="AG264" s="19"/>
      <c r="AH264" s="19"/>
      <c r="AI264" s="19"/>
      <c r="AJ264" s="19"/>
      <c r="AK264" s="19"/>
      <c r="AL264" s="19"/>
      <c r="AM264" s="19"/>
      <c r="AN264" s="19"/>
      <c r="AO264" s="19"/>
      <c r="AP264" s="19"/>
      <c r="AQ264" s="19"/>
      <c r="AR264" s="19"/>
      <c r="AS264" s="19"/>
      <c r="AT264" s="19"/>
      <c r="AU264" s="19"/>
      <c r="AV264" s="19"/>
      <c r="AW264" s="19"/>
      <c r="AX264" s="19"/>
      <c r="AY264" s="19"/>
      <c r="AZ264" s="19"/>
      <c r="BA264" s="19"/>
      <c r="BB264" s="19"/>
      <c r="BC264" s="19"/>
      <c r="BD264" s="19"/>
      <c r="BE264" s="19"/>
      <c r="BF264" s="19"/>
      <c r="BG264" s="19"/>
      <c r="BH264" s="19"/>
      <c r="BI264" s="19"/>
      <c r="BJ264" s="19"/>
      <c r="BK264" s="19"/>
      <c r="BL264" s="19"/>
      <c r="BM264" s="19"/>
      <c r="BN264" s="19"/>
      <c r="BO264" s="19"/>
      <c r="BP264" s="19"/>
      <c r="BQ264" s="19"/>
      <c r="BR264" s="19"/>
      <c r="BS264" s="19"/>
      <c r="BT264" s="19"/>
      <c r="BU264" s="19"/>
      <c r="BV264" s="19"/>
      <c r="BW264" s="19"/>
      <c r="BX264" s="19"/>
      <c r="BY264" s="19"/>
      <c r="BZ264" s="19"/>
      <c r="CA264" s="19"/>
      <c r="CB264" s="19"/>
      <c r="CC264" s="19"/>
      <c r="CD264" s="19"/>
      <c r="CE264" s="19"/>
      <c r="CF264" s="6"/>
    </row>
    <row r="265" spans="1:84">
      <c r="A265" s="18"/>
      <c r="B265" s="18"/>
      <c r="C265" s="18"/>
      <c r="D265" s="18"/>
      <c r="E265" s="20"/>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19"/>
      <c r="AE265" s="19"/>
      <c r="AF265" s="19"/>
      <c r="AG265" s="19"/>
      <c r="AH265" s="19"/>
      <c r="AI265" s="19"/>
      <c r="AJ265" s="19"/>
      <c r="AK265" s="19"/>
      <c r="AL265" s="19"/>
      <c r="AM265" s="19"/>
      <c r="AN265" s="19"/>
      <c r="AO265" s="19"/>
      <c r="AP265" s="19"/>
      <c r="AQ265" s="19"/>
      <c r="AR265" s="19"/>
      <c r="AS265" s="19"/>
      <c r="AT265" s="19"/>
      <c r="AU265" s="19"/>
      <c r="AV265" s="19"/>
      <c r="AW265" s="19"/>
      <c r="AX265" s="19"/>
      <c r="AY265" s="19"/>
      <c r="AZ265" s="19"/>
      <c r="BA265" s="19"/>
      <c r="BB265" s="19"/>
      <c r="BC265" s="19"/>
      <c r="BD265" s="19"/>
      <c r="BE265" s="19"/>
      <c r="BF265" s="19"/>
      <c r="BG265" s="19"/>
      <c r="BH265" s="19"/>
      <c r="BI265" s="19"/>
      <c r="BJ265" s="19"/>
      <c r="BK265" s="19"/>
      <c r="BL265" s="19"/>
      <c r="BM265" s="19"/>
      <c r="BN265" s="19"/>
      <c r="BO265" s="19"/>
      <c r="BP265" s="19"/>
      <c r="BQ265" s="19"/>
      <c r="BR265" s="19"/>
      <c r="BS265" s="19"/>
      <c r="BT265" s="19"/>
      <c r="BU265" s="19"/>
      <c r="BV265" s="19"/>
      <c r="BW265" s="19"/>
      <c r="BX265" s="19"/>
      <c r="BY265" s="19"/>
      <c r="BZ265" s="19"/>
      <c r="CA265" s="19"/>
      <c r="CB265" s="19"/>
      <c r="CC265" s="19"/>
      <c r="CD265" s="19"/>
      <c r="CE265" s="19"/>
      <c r="CF265" s="6"/>
    </row>
    <row r="266" spans="1:84">
      <c r="A266" s="18"/>
      <c r="B266" s="18"/>
      <c r="C266" s="18"/>
      <c r="D266" s="18"/>
      <c r="E266" s="20"/>
      <c r="F266" s="19"/>
      <c r="G266" s="19"/>
      <c r="H266" s="19"/>
      <c r="I266" s="19"/>
      <c r="J266" s="19"/>
      <c r="K266" s="19"/>
      <c r="L266" s="19"/>
      <c r="M266" s="19"/>
      <c r="N266" s="19"/>
      <c r="O266" s="19"/>
      <c r="P266" s="19"/>
      <c r="Q266" s="19"/>
      <c r="R266" s="19"/>
      <c r="S266" s="19"/>
      <c r="T266" s="19"/>
      <c r="U266" s="19"/>
      <c r="V266" s="19"/>
      <c r="W266" s="19"/>
      <c r="X266" s="19"/>
      <c r="Y266" s="19"/>
      <c r="Z266" s="19"/>
      <c r="AA266" s="19"/>
      <c r="AB266" s="19"/>
      <c r="AC266" s="19"/>
      <c r="AD266" s="19"/>
      <c r="AE266" s="19"/>
      <c r="AF266" s="19"/>
      <c r="AG266" s="19"/>
      <c r="AH266" s="19"/>
      <c r="AI266" s="19"/>
      <c r="AJ266" s="19"/>
      <c r="AK266" s="19"/>
      <c r="AL266" s="19"/>
      <c r="AM266" s="19"/>
      <c r="AN266" s="19"/>
      <c r="AO266" s="19"/>
      <c r="AP266" s="19"/>
      <c r="AQ266" s="19"/>
      <c r="AR266" s="19"/>
      <c r="AS266" s="19"/>
      <c r="AT266" s="19"/>
      <c r="AU266" s="19"/>
      <c r="AV266" s="19"/>
      <c r="AW266" s="19"/>
      <c r="AX266" s="19"/>
      <c r="AY266" s="19"/>
      <c r="AZ266" s="19"/>
      <c r="BA266" s="19"/>
      <c r="BB266" s="19"/>
      <c r="BC266" s="19"/>
      <c r="BD266" s="19"/>
      <c r="BE266" s="19"/>
      <c r="BF266" s="19"/>
      <c r="BG266" s="19"/>
      <c r="BH266" s="19"/>
      <c r="BI266" s="19"/>
      <c r="BJ266" s="19"/>
      <c r="BK266" s="19"/>
      <c r="BL266" s="19"/>
      <c r="BM266" s="19"/>
      <c r="BN266" s="19"/>
      <c r="BO266" s="19"/>
      <c r="BP266" s="19"/>
      <c r="BQ266" s="19"/>
      <c r="BR266" s="19"/>
      <c r="BS266" s="19"/>
      <c r="BT266" s="19"/>
      <c r="BU266" s="19"/>
      <c r="BV266" s="19"/>
      <c r="BW266" s="19"/>
      <c r="BX266" s="19"/>
      <c r="BY266" s="19"/>
      <c r="BZ266" s="19"/>
      <c r="CA266" s="19"/>
      <c r="CB266" s="19"/>
      <c r="CC266" s="19"/>
      <c r="CD266" s="19"/>
      <c r="CE266" s="19"/>
      <c r="CF266" s="6"/>
    </row>
    <row r="267" spans="1:84">
      <c r="A267" s="18"/>
      <c r="B267" s="18"/>
      <c r="C267" s="18"/>
      <c r="D267" s="18"/>
      <c r="E267" s="20"/>
      <c r="F267" s="19"/>
      <c r="G267" s="19"/>
      <c r="H267" s="19"/>
      <c r="I267" s="19"/>
      <c r="J267" s="19"/>
      <c r="K267" s="19"/>
      <c r="L267" s="19"/>
      <c r="M267" s="19"/>
      <c r="N267" s="19"/>
      <c r="O267" s="19"/>
      <c r="P267" s="19"/>
      <c r="Q267" s="19"/>
      <c r="R267" s="19"/>
      <c r="S267" s="19"/>
      <c r="T267" s="19"/>
      <c r="U267" s="19"/>
      <c r="V267" s="19"/>
      <c r="W267" s="19"/>
      <c r="X267" s="19"/>
      <c r="Y267" s="19"/>
      <c r="Z267" s="19"/>
      <c r="AA267" s="19"/>
      <c r="AB267" s="19"/>
      <c r="AC267" s="19"/>
      <c r="AD267" s="19"/>
      <c r="AE267" s="19"/>
      <c r="AF267" s="19"/>
      <c r="AG267" s="19"/>
      <c r="AH267" s="19"/>
      <c r="AI267" s="19"/>
      <c r="AJ267" s="19"/>
      <c r="AK267" s="19"/>
      <c r="AL267" s="19"/>
      <c r="AM267" s="19"/>
      <c r="AN267" s="19"/>
      <c r="AO267" s="19"/>
      <c r="AP267" s="19"/>
      <c r="AQ267" s="19"/>
      <c r="AR267" s="19"/>
      <c r="AS267" s="19"/>
      <c r="AT267" s="19"/>
      <c r="AU267" s="19"/>
      <c r="AV267" s="19"/>
      <c r="AW267" s="19"/>
      <c r="AX267" s="19"/>
      <c r="AY267" s="19"/>
      <c r="AZ267" s="19"/>
      <c r="BA267" s="19"/>
      <c r="BB267" s="19"/>
      <c r="BC267" s="19"/>
      <c r="BD267" s="19"/>
      <c r="BE267" s="19"/>
      <c r="BF267" s="19"/>
      <c r="BG267" s="19"/>
      <c r="BH267" s="19"/>
      <c r="BI267" s="19"/>
      <c r="BJ267" s="19"/>
      <c r="BK267" s="19"/>
      <c r="BL267" s="19"/>
      <c r="BM267" s="19"/>
      <c r="BN267" s="19"/>
      <c r="BO267" s="19"/>
      <c r="BP267" s="19"/>
      <c r="BQ267" s="19"/>
      <c r="BR267" s="19"/>
      <c r="BS267" s="19"/>
      <c r="BT267" s="19"/>
      <c r="BU267" s="19"/>
      <c r="BV267" s="19"/>
      <c r="BW267" s="19"/>
      <c r="BX267" s="19"/>
      <c r="BY267" s="19"/>
      <c r="BZ267" s="19"/>
      <c r="CA267" s="19"/>
      <c r="CB267" s="19"/>
      <c r="CC267" s="19"/>
      <c r="CD267" s="19"/>
      <c r="CE267" s="19"/>
      <c r="CF267" s="6"/>
    </row>
    <row r="268" spans="1:84">
      <c r="A268" s="18"/>
      <c r="B268" s="18"/>
      <c r="C268" s="18"/>
      <c r="D268" s="18"/>
      <c r="E268" s="20"/>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c r="AG268" s="19"/>
      <c r="AH268" s="19"/>
      <c r="AI268" s="19"/>
      <c r="AJ268" s="19"/>
      <c r="AK268" s="19"/>
      <c r="AL268" s="19"/>
      <c r="AM268" s="19"/>
      <c r="AN268" s="19"/>
      <c r="AO268" s="19"/>
      <c r="AP268" s="19"/>
      <c r="AQ268" s="19"/>
      <c r="AR268" s="19"/>
      <c r="AS268" s="19"/>
      <c r="AT268" s="19"/>
      <c r="AU268" s="19"/>
      <c r="AV268" s="19"/>
      <c r="AW268" s="19"/>
      <c r="AX268" s="19"/>
      <c r="AY268" s="19"/>
      <c r="AZ268" s="19"/>
      <c r="BA268" s="19"/>
      <c r="BB268" s="19"/>
      <c r="BC268" s="19"/>
      <c r="BD268" s="19"/>
      <c r="BE268" s="19"/>
      <c r="BF268" s="19"/>
      <c r="BG268" s="19"/>
      <c r="BH268" s="19"/>
      <c r="BI268" s="19"/>
      <c r="BJ268" s="19"/>
      <c r="BK268" s="19"/>
      <c r="BL268" s="19"/>
      <c r="BM268" s="19"/>
      <c r="BN268" s="19"/>
      <c r="BO268" s="19"/>
      <c r="BP268" s="19"/>
      <c r="BQ268" s="19"/>
      <c r="BR268" s="19"/>
      <c r="BS268" s="19"/>
      <c r="BT268" s="19"/>
      <c r="BU268" s="19"/>
      <c r="BV268" s="19"/>
      <c r="BW268" s="19"/>
      <c r="BX268" s="19"/>
      <c r="BY268" s="19"/>
      <c r="BZ268" s="19"/>
      <c r="CA268" s="19"/>
      <c r="CB268" s="19"/>
      <c r="CC268" s="19"/>
      <c r="CD268" s="19"/>
      <c r="CE268" s="19"/>
      <c r="CF268" s="6"/>
    </row>
    <row r="269" spans="1:84">
      <c r="A269" s="18"/>
      <c r="B269" s="18"/>
      <c r="C269" s="18"/>
      <c r="D269" s="18"/>
      <c r="E269" s="20"/>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c r="AG269" s="19"/>
      <c r="AH269" s="19"/>
      <c r="AI269" s="19"/>
      <c r="AJ269" s="19"/>
      <c r="AK269" s="19"/>
      <c r="AL269" s="19"/>
      <c r="AM269" s="19"/>
      <c r="AN269" s="19"/>
      <c r="AO269" s="19"/>
      <c r="AP269" s="19"/>
      <c r="AQ269" s="19"/>
      <c r="AR269" s="19"/>
      <c r="AS269" s="19"/>
      <c r="AT269" s="19"/>
      <c r="AU269" s="19"/>
      <c r="AV269" s="19"/>
      <c r="AW269" s="19"/>
      <c r="AX269" s="19"/>
      <c r="AY269" s="19"/>
      <c r="AZ269" s="19"/>
      <c r="BA269" s="19"/>
      <c r="BB269" s="19"/>
      <c r="BC269" s="19"/>
      <c r="BD269" s="19"/>
      <c r="BE269" s="19"/>
      <c r="BF269" s="19"/>
      <c r="BG269" s="19"/>
      <c r="BH269" s="19"/>
      <c r="BI269" s="19"/>
      <c r="BJ269" s="19"/>
      <c r="BK269" s="19"/>
      <c r="BL269" s="19"/>
      <c r="BM269" s="19"/>
      <c r="BN269" s="19"/>
      <c r="BO269" s="19"/>
      <c r="BP269" s="19"/>
      <c r="BQ269" s="19"/>
      <c r="BR269" s="19"/>
      <c r="BS269" s="19"/>
      <c r="BT269" s="19"/>
      <c r="BU269" s="19"/>
      <c r="BV269" s="19"/>
      <c r="BW269" s="19"/>
      <c r="BX269" s="19"/>
      <c r="BY269" s="19"/>
      <c r="BZ269" s="19"/>
      <c r="CA269" s="19"/>
      <c r="CB269" s="19"/>
      <c r="CC269" s="19"/>
      <c r="CD269" s="19"/>
      <c r="CE269" s="19"/>
      <c r="CF269" s="6"/>
    </row>
    <row r="270" spans="1:84">
      <c r="B270" s="17"/>
      <c r="C270" s="21" t="s">
        <v>15</v>
      </c>
      <c r="D270" s="21">
        <f>SUM(D243:D269)</f>
        <v>3.5324841940756945E-3</v>
      </c>
      <c r="E270" s="20"/>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9"/>
      <c r="AD270" s="19"/>
      <c r="AE270" s="19"/>
      <c r="AF270" s="19"/>
      <c r="AG270" s="19"/>
      <c r="AH270" s="19"/>
      <c r="AI270" s="19"/>
      <c r="AJ270" s="19"/>
      <c r="AK270" s="19"/>
      <c r="AL270" s="19"/>
      <c r="AM270" s="19"/>
      <c r="AN270" s="19"/>
      <c r="AO270" s="19"/>
      <c r="AP270" s="19"/>
      <c r="AQ270" s="19"/>
      <c r="AR270" s="19"/>
      <c r="AS270" s="19"/>
      <c r="AT270" s="19"/>
      <c r="AU270" s="19"/>
      <c r="AV270" s="19"/>
      <c r="AW270" s="19"/>
      <c r="AX270" s="19"/>
      <c r="AY270" s="19"/>
      <c r="AZ270" s="19"/>
      <c r="BA270" s="19"/>
      <c r="BB270" s="19"/>
      <c r="BC270" s="19"/>
      <c r="BD270" s="19"/>
      <c r="BE270" s="19"/>
      <c r="BF270" s="19"/>
      <c r="BG270" s="19"/>
      <c r="BH270" s="19"/>
      <c r="BI270" s="19"/>
      <c r="BJ270" s="19"/>
      <c r="BK270" s="19"/>
      <c r="BL270" s="19"/>
      <c r="BM270" s="19"/>
      <c r="BN270" s="19"/>
      <c r="BO270" s="19"/>
      <c r="BP270" s="19"/>
      <c r="BQ270" s="19"/>
      <c r="BR270" s="19"/>
      <c r="BS270" s="19"/>
      <c r="BT270" s="19"/>
      <c r="BU270" s="19"/>
      <c r="BV270" s="19"/>
      <c r="BW270" s="19"/>
      <c r="BX270" s="19"/>
      <c r="BY270" s="19"/>
      <c r="BZ270" s="19"/>
      <c r="CA270" s="19"/>
      <c r="CB270" s="19"/>
      <c r="CC270" s="19"/>
      <c r="CD270" s="19"/>
      <c r="CE270" s="19"/>
      <c r="CF270" s="6"/>
    </row>
    <row r="271" spans="1:84">
      <c r="A271" s="17"/>
      <c r="B271" s="17"/>
      <c r="C271" s="17"/>
      <c r="D271" s="19"/>
      <c r="E271" s="20"/>
      <c r="F271" s="19"/>
      <c r="G271" s="19"/>
      <c r="H271" s="19"/>
      <c r="I271" s="19"/>
      <c r="J271" s="19"/>
      <c r="K271" s="19"/>
      <c r="L271" s="19"/>
      <c r="M271" s="19"/>
      <c r="N271" s="19"/>
      <c r="O271" s="19"/>
      <c r="P271" s="19"/>
      <c r="Q271" s="19"/>
      <c r="R271" s="19"/>
      <c r="S271" s="19"/>
      <c r="T271" s="19"/>
      <c r="U271" s="19"/>
      <c r="V271" s="19"/>
      <c r="W271" s="19"/>
      <c r="X271" s="19"/>
      <c r="Y271" s="19"/>
      <c r="Z271" s="19"/>
      <c r="AA271" s="19"/>
      <c r="AB271" s="19"/>
      <c r="AC271" s="19"/>
      <c r="AD271" s="19"/>
      <c r="AE271" s="19"/>
      <c r="AF271" s="19"/>
      <c r="AG271" s="19"/>
      <c r="AH271" s="19"/>
      <c r="AI271" s="19"/>
      <c r="AJ271" s="19"/>
      <c r="AK271" s="19"/>
      <c r="AL271" s="19"/>
      <c r="AM271" s="19"/>
      <c r="AN271" s="19"/>
      <c r="AO271" s="19"/>
      <c r="AP271" s="19"/>
      <c r="AQ271" s="19"/>
      <c r="AR271" s="19"/>
      <c r="AS271" s="19"/>
      <c r="AT271" s="19"/>
      <c r="AU271" s="19"/>
      <c r="AV271" s="19"/>
      <c r="AW271" s="19"/>
      <c r="AX271" s="19"/>
      <c r="AY271" s="19"/>
      <c r="AZ271" s="19"/>
      <c r="BA271" s="19"/>
      <c r="BB271" s="19"/>
      <c r="BC271" s="19"/>
      <c r="BD271" s="19"/>
      <c r="BE271" s="19"/>
      <c r="BF271" s="19"/>
      <c r="BG271" s="19"/>
      <c r="BH271" s="19"/>
      <c r="BI271" s="19"/>
      <c r="BJ271" s="19"/>
      <c r="BK271" s="19"/>
      <c r="BL271" s="19"/>
      <c r="BM271" s="19"/>
      <c r="BN271" s="19"/>
      <c r="BO271" s="19"/>
      <c r="BP271" s="19"/>
      <c r="BQ271" s="19"/>
      <c r="BR271" s="19"/>
      <c r="BS271" s="19"/>
      <c r="BT271" s="19"/>
      <c r="BU271" s="19"/>
      <c r="BV271" s="19"/>
      <c r="BW271" s="19"/>
      <c r="BX271" s="19"/>
      <c r="BY271" s="19"/>
      <c r="BZ271" s="19"/>
      <c r="CA271" s="19"/>
      <c r="CB271" s="19"/>
      <c r="CC271" s="19"/>
      <c r="CD271" s="19"/>
      <c r="CE271" s="19"/>
      <c r="CF271" s="6"/>
    </row>
    <row r="272" spans="1:84">
      <c r="A272" s="17"/>
      <c r="B272" s="17"/>
      <c r="C272" s="17"/>
      <c r="D272" s="19"/>
      <c r="E272" s="20"/>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9"/>
      <c r="AD272" s="19"/>
      <c r="AE272" s="19"/>
      <c r="AF272" s="19"/>
      <c r="AG272" s="19"/>
      <c r="AH272" s="19"/>
      <c r="AI272" s="19"/>
      <c r="AJ272" s="19"/>
      <c r="AK272" s="19"/>
      <c r="AL272" s="19"/>
      <c r="AM272" s="19"/>
      <c r="AN272" s="19"/>
      <c r="AO272" s="19"/>
      <c r="AP272" s="19"/>
      <c r="AQ272" s="19"/>
      <c r="AR272" s="19"/>
      <c r="AS272" s="19"/>
      <c r="AT272" s="19"/>
      <c r="AU272" s="19"/>
      <c r="AV272" s="19"/>
      <c r="AW272" s="19"/>
      <c r="AX272" s="19"/>
      <c r="AY272" s="19"/>
      <c r="AZ272" s="19"/>
      <c r="BA272" s="19"/>
      <c r="BB272" s="19"/>
      <c r="BC272" s="19"/>
      <c r="BD272" s="19"/>
      <c r="BE272" s="19"/>
      <c r="BF272" s="19"/>
      <c r="BG272" s="19"/>
      <c r="BH272" s="19"/>
      <c r="BI272" s="19"/>
      <c r="BJ272" s="19"/>
      <c r="BK272" s="19"/>
      <c r="BL272" s="19"/>
      <c r="BM272" s="19"/>
      <c r="BN272" s="19"/>
      <c r="BO272" s="19"/>
      <c r="BP272" s="19"/>
      <c r="BQ272" s="19"/>
      <c r="BR272" s="19"/>
      <c r="BS272" s="19"/>
      <c r="BT272" s="19"/>
      <c r="BU272" s="19"/>
      <c r="BV272" s="19"/>
      <c r="BW272" s="19"/>
      <c r="BX272" s="19"/>
      <c r="BY272" s="19"/>
      <c r="BZ272" s="19"/>
      <c r="CA272" s="19"/>
      <c r="CB272" s="19"/>
      <c r="CC272" s="19"/>
      <c r="CD272" s="19"/>
      <c r="CE272" s="19"/>
      <c r="CF272" s="6"/>
    </row>
    <row r="273" spans="1:84">
      <c r="A273" s="17"/>
      <c r="B273" s="17"/>
      <c r="C273" s="17"/>
      <c r="D273" s="19"/>
      <c r="E273" s="20"/>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9"/>
      <c r="AD273" s="19"/>
      <c r="AE273" s="19"/>
      <c r="AF273" s="19"/>
      <c r="AG273" s="19"/>
      <c r="AH273" s="19"/>
      <c r="AI273" s="19"/>
      <c r="AJ273" s="19"/>
      <c r="AK273" s="19"/>
      <c r="AL273" s="19"/>
      <c r="AM273" s="19"/>
      <c r="AN273" s="19"/>
      <c r="AO273" s="19"/>
      <c r="AP273" s="19"/>
      <c r="AQ273" s="19"/>
      <c r="AR273" s="19"/>
      <c r="AS273" s="19"/>
      <c r="AT273" s="19"/>
      <c r="AU273" s="19"/>
      <c r="AV273" s="19"/>
      <c r="AW273" s="19"/>
      <c r="AX273" s="19"/>
      <c r="AY273" s="19"/>
      <c r="AZ273" s="19"/>
      <c r="BA273" s="19"/>
      <c r="BB273" s="19"/>
      <c r="BC273" s="19"/>
      <c r="BD273" s="19"/>
      <c r="BE273" s="19"/>
      <c r="BF273" s="19"/>
      <c r="BG273" s="19"/>
      <c r="BH273" s="19"/>
      <c r="BI273" s="19"/>
      <c r="BJ273" s="19"/>
      <c r="BK273" s="19"/>
      <c r="BL273" s="19"/>
      <c r="BM273" s="19"/>
      <c r="BN273" s="19"/>
      <c r="BO273" s="19"/>
      <c r="BP273" s="19"/>
      <c r="BQ273" s="19"/>
      <c r="BR273" s="19"/>
      <c r="BS273" s="19"/>
      <c r="BT273" s="19"/>
      <c r="BU273" s="19"/>
      <c r="BV273" s="19"/>
      <c r="BW273" s="19"/>
      <c r="BX273" s="19"/>
      <c r="BY273" s="19"/>
      <c r="BZ273" s="19"/>
      <c r="CA273" s="19"/>
      <c r="CB273" s="19"/>
      <c r="CC273" s="19"/>
      <c r="CD273" s="19"/>
      <c r="CE273" s="19"/>
      <c r="CF273" s="6"/>
    </row>
    <row r="274" spans="1:84">
      <c r="A274" s="17"/>
      <c r="B274" s="17"/>
      <c r="C274" s="17"/>
      <c r="D274" s="19"/>
      <c r="E274" s="20"/>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9"/>
      <c r="AD274" s="19"/>
      <c r="AE274" s="19"/>
      <c r="AF274" s="19"/>
      <c r="AG274" s="19"/>
      <c r="AH274" s="19"/>
      <c r="AI274" s="19"/>
      <c r="AJ274" s="19"/>
      <c r="AK274" s="19"/>
      <c r="AL274" s="19"/>
      <c r="AM274" s="19"/>
      <c r="AN274" s="19"/>
      <c r="AO274" s="19"/>
      <c r="AP274" s="19"/>
      <c r="AQ274" s="19"/>
      <c r="AR274" s="19"/>
      <c r="AS274" s="19"/>
      <c r="AT274" s="19"/>
      <c r="AU274" s="19"/>
      <c r="AV274" s="19"/>
      <c r="AW274" s="19"/>
      <c r="AX274" s="19"/>
      <c r="AY274" s="19"/>
      <c r="AZ274" s="19"/>
      <c r="BA274" s="19"/>
      <c r="BB274" s="19"/>
      <c r="BC274" s="19"/>
      <c r="BD274" s="19"/>
      <c r="BE274" s="19"/>
      <c r="BF274" s="19"/>
      <c r="BG274" s="19"/>
      <c r="BH274" s="19"/>
      <c r="BI274" s="19"/>
      <c r="BJ274" s="19"/>
      <c r="BK274" s="19"/>
      <c r="BL274" s="19"/>
      <c r="BM274" s="19"/>
      <c r="BN274" s="19"/>
      <c r="BO274" s="19"/>
      <c r="BP274" s="19"/>
      <c r="BQ274" s="19"/>
      <c r="BR274" s="19"/>
      <c r="BS274" s="19"/>
      <c r="BT274" s="19"/>
      <c r="BU274" s="19"/>
      <c r="BV274" s="19"/>
      <c r="BW274" s="19"/>
      <c r="BX274" s="19"/>
      <c r="BY274" s="19"/>
      <c r="BZ274" s="19"/>
      <c r="CA274" s="19"/>
      <c r="CB274" s="19"/>
      <c r="CC274" s="19"/>
      <c r="CD274" s="19"/>
      <c r="CE274" s="19"/>
      <c r="CF274" s="6"/>
    </row>
    <row r="275" spans="1:84">
      <c r="A275" s="17"/>
      <c r="B275" s="17"/>
      <c r="C275" s="17"/>
      <c r="D275" s="19"/>
      <c r="E275" s="20"/>
      <c r="F275" s="19"/>
      <c r="G275" s="19"/>
      <c r="H275" s="19"/>
      <c r="I275" s="19"/>
      <c r="J275" s="19"/>
      <c r="K275" s="19"/>
      <c r="L275" s="19"/>
      <c r="M275" s="19"/>
      <c r="N275" s="19"/>
      <c r="O275" s="19"/>
      <c r="P275" s="19"/>
      <c r="Q275" s="19"/>
      <c r="R275" s="19"/>
      <c r="S275" s="19"/>
      <c r="T275" s="19"/>
      <c r="U275" s="19"/>
      <c r="V275" s="19"/>
      <c r="W275" s="19"/>
      <c r="X275" s="19"/>
      <c r="Y275" s="19"/>
      <c r="Z275" s="19"/>
      <c r="AA275" s="19"/>
      <c r="AB275" s="19"/>
      <c r="AC275" s="19"/>
      <c r="AD275" s="19"/>
      <c r="AE275" s="19"/>
      <c r="AF275" s="19"/>
      <c r="AG275" s="19"/>
      <c r="AH275" s="19"/>
      <c r="AI275" s="19"/>
      <c r="AJ275" s="19"/>
      <c r="AK275" s="19"/>
      <c r="AL275" s="19"/>
      <c r="AM275" s="19"/>
      <c r="AN275" s="19"/>
      <c r="AO275" s="19"/>
      <c r="AP275" s="19"/>
      <c r="AQ275" s="19"/>
      <c r="AR275" s="19"/>
      <c r="AS275" s="19"/>
      <c r="AT275" s="19"/>
      <c r="AU275" s="19"/>
      <c r="AV275" s="19"/>
      <c r="AW275" s="19"/>
      <c r="AX275" s="19"/>
      <c r="AY275" s="19"/>
      <c r="AZ275" s="19"/>
      <c r="BA275" s="19"/>
      <c r="BB275" s="19"/>
      <c r="BC275" s="19"/>
      <c r="BD275" s="19"/>
      <c r="BE275" s="19"/>
      <c r="BF275" s="19"/>
      <c r="BG275" s="19"/>
      <c r="BH275" s="19"/>
      <c r="BI275" s="19"/>
      <c r="BJ275" s="19"/>
      <c r="BK275" s="19"/>
      <c r="BL275" s="19"/>
      <c r="BM275" s="19"/>
      <c r="BN275" s="19"/>
      <c r="BO275" s="19"/>
      <c r="BP275" s="19"/>
      <c r="BQ275" s="19"/>
      <c r="BR275" s="19"/>
      <c r="BS275" s="19"/>
      <c r="BT275" s="19"/>
      <c r="BU275" s="19"/>
      <c r="BV275" s="19"/>
      <c r="BW275" s="19"/>
      <c r="BX275" s="19"/>
      <c r="BY275" s="19"/>
      <c r="BZ275" s="19"/>
      <c r="CA275" s="19"/>
      <c r="CB275" s="19"/>
      <c r="CC275" s="19"/>
      <c r="CD275" s="19"/>
      <c r="CE275" s="19"/>
      <c r="CF275" s="6"/>
    </row>
    <row r="276" spans="1:84">
      <c r="A276" s="17"/>
      <c r="B276" s="17"/>
      <c r="C276" s="17"/>
      <c r="D276" s="19"/>
      <c r="E276" s="20"/>
      <c r="F276" s="19"/>
      <c r="G276" s="19"/>
      <c r="H276" s="19"/>
      <c r="I276" s="19"/>
      <c r="J276" s="19"/>
      <c r="K276" s="19"/>
      <c r="L276" s="19"/>
      <c r="M276" s="19"/>
      <c r="N276" s="19"/>
      <c r="O276" s="19"/>
      <c r="P276" s="19"/>
      <c r="Q276" s="19"/>
      <c r="R276" s="19"/>
      <c r="S276" s="19"/>
      <c r="T276" s="19"/>
      <c r="U276" s="19"/>
      <c r="V276" s="19"/>
      <c r="W276" s="19"/>
      <c r="X276" s="19"/>
      <c r="Y276" s="19"/>
      <c r="Z276" s="19"/>
      <c r="AA276" s="19"/>
      <c r="AB276" s="19"/>
      <c r="AC276" s="19"/>
      <c r="AD276" s="19"/>
      <c r="AE276" s="19"/>
      <c r="AF276" s="19"/>
      <c r="AG276" s="19"/>
      <c r="AH276" s="19"/>
      <c r="AI276" s="19"/>
      <c r="AJ276" s="19"/>
      <c r="AK276" s="19"/>
      <c r="AL276" s="19"/>
      <c r="AM276" s="19"/>
      <c r="AN276" s="19"/>
      <c r="AO276" s="19"/>
      <c r="AP276" s="19"/>
      <c r="AQ276" s="19"/>
      <c r="AR276" s="19"/>
      <c r="AS276" s="19"/>
      <c r="AT276" s="19"/>
      <c r="AU276" s="19"/>
      <c r="AV276" s="19"/>
      <c r="AW276" s="19"/>
      <c r="AX276" s="19"/>
      <c r="AY276" s="19"/>
      <c r="AZ276" s="19"/>
      <c r="BA276" s="19"/>
      <c r="BB276" s="19"/>
      <c r="BC276" s="19"/>
      <c r="BD276" s="19"/>
      <c r="BE276" s="19"/>
      <c r="BF276" s="19"/>
      <c r="BG276" s="19"/>
      <c r="BH276" s="19"/>
      <c r="BI276" s="19"/>
      <c r="BJ276" s="19"/>
      <c r="BK276" s="19"/>
      <c r="BL276" s="19"/>
      <c r="BM276" s="19"/>
      <c r="BN276" s="19"/>
      <c r="BO276" s="19"/>
      <c r="BP276" s="19"/>
      <c r="BQ276" s="19"/>
      <c r="BR276" s="19"/>
      <c r="BS276" s="19"/>
      <c r="BT276" s="19"/>
      <c r="BU276" s="19"/>
      <c r="BV276" s="19"/>
      <c r="BW276" s="19"/>
      <c r="BX276" s="19"/>
      <c r="BY276" s="19"/>
      <c r="BZ276" s="19"/>
      <c r="CA276" s="19"/>
      <c r="CB276" s="19"/>
      <c r="CC276" s="19"/>
      <c r="CD276" s="19"/>
      <c r="CE276" s="19"/>
      <c r="CF276" s="6"/>
    </row>
    <row r="277" spans="1:84">
      <c r="A277" s="17"/>
      <c r="B277" s="17"/>
      <c r="C277" s="17"/>
      <c r="D277" s="19"/>
      <c r="E277" s="20"/>
      <c r="F277" s="19"/>
      <c r="G277" s="19"/>
      <c r="H277" s="19"/>
      <c r="I277" s="19"/>
      <c r="J277" s="19"/>
      <c r="K277" s="19"/>
      <c r="L277" s="19"/>
      <c r="M277" s="19"/>
      <c r="N277" s="19"/>
      <c r="O277" s="19"/>
      <c r="P277" s="19"/>
      <c r="Q277" s="19"/>
      <c r="R277" s="19"/>
      <c r="S277" s="19"/>
      <c r="T277" s="19"/>
      <c r="U277" s="19"/>
      <c r="V277" s="19"/>
      <c r="W277" s="19"/>
      <c r="X277" s="19"/>
      <c r="Y277" s="19"/>
      <c r="Z277" s="19"/>
      <c r="AA277" s="19"/>
      <c r="AB277" s="19"/>
      <c r="AC277" s="19"/>
      <c r="AD277" s="19"/>
      <c r="AE277" s="19"/>
      <c r="AF277" s="19"/>
      <c r="AG277" s="19"/>
      <c r="AH277" s="19"/>
      <c r="AI277" s="19"/>
      <c r="AJ277" s="19"/>
      <c r="AK277" s="19"/>
      <c r="AL277" s="19"/>
      <c r="AM277" s="19"/>
      <c r="AN277" s="19"/>
      <c r="AO277" s="19"/>
      <c r="AP277" s="19"/>
      <c r="AQ277" s="19"/>
      <c r="AR277" s="19"/>
      <c r="AS277" s="19"/>
      <c r="AT277" s="19"/>
      <c r="AU277" s="19"/>
      <c r="AV277" s="19"/>
      <c r="AW277" s="19"/>
      <c r="AX277" s="19"/>
      <c r="AY277" s="19"/>
      <c r="AZ277" s="19"/>
      <c r="BA277" s="19"/>
      <c r="BB277" s="19"/>
      <c r="BC277" s="19"/>
      <c r="BD277" s="19"/>
      <c r="BE277" s="19"/>
      <c r="BF277" s="19"/>
      <c r="BG277" s="19"/>
      <c r="BH277" s="19"/>
      <c r="BI277" s="19"/>
      <c r="BJ277" s="19"/>
      <c r="BK277" s="19"/>
      <c r="BL277" s="19"/>
      <c r="BM277" s="19"/>
      <c r="BN277" s="19"/>
      <c r="BO277" s="19"/>
      <c r="BP277" s="19"/>
      <c r="BQ277" s="19"/>
      <c r="BR277" s="19"/>
      <c r="BS277" s="19"/>
      <c r="BT277" s="19"/>
      <c r="BU277" s="19"/>
      <c r="BV277" s="19"/>
      <c r="BW277" s="19"/>
      <c r="BX277" s="19"/>
      <c r="BY277" s="19"/>
      <c r="BZ277" s="19"/>
      <c r="CA277" s="19"/>
      <c r="CB277" s="19"/>
      <c r="CC277" s="19"/>
      <c r="CD277" s="19"/>
      <c r="CE277" s="19"/>
      <c r="CF277" s="6"/>
    </row>
    <row r="278" spans="1:84">
      <c r="A278" s="17"/>
      <c r="B278" s="17"/>
      <c r="C278" s="17"/>
      <c r="D278" s="19"/>
      <c r="E278" s="20"/>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19"/>
      <c r="AE278" s="19"/>
      <c r="AF278" s="19"/>
      <c r="AG278" s="19"/>
      <c r="AH278" s="19"/>
      <c r="AI278" s="19"/>
      <c r="AJ278" s="19"/>
      <c r="AK278" s="19"/>
      <c r="AL278" s="19"/>
      <c r="AM278" s="19"/>
      <c r="AN278" s="19"/>
      <c r="AO278" s="19"/>
      <c r="AP278" s="19"/>
      <c r="AQ278" s="19"/>
      <c r="AR278" s="19"/>
      <c r="AS278" s="19"/>
      <c r="AT278" s="19"/>
      <c r="AU278" s="19"/>
      <c r="AV278" s="19"/>
      <c r="AW278" s="19"/>
      <c r="AX278" s="19"/>
      <c r="AY278" s="19"/>
      <c r="AZ278" s="19"/>
      <c r="BA278" s="19"/>
      <c r="BB278" s="19"/>
      <c r="BC278" s="19"/>
      <c r="BD278" s="19"/>
      <c r="BE278" s="19"/>
      <c r="BF278" s="19"/>
      <c r="BG278" s="19"/>
      <c r="BH278" s="19"/>
      <c r="BI278" s="19"/>
      <c r="BJ278" s="19"/>
      <c r="BK278" s="19"/>
      <c r="BL278" s="19"/>
      <c r="BM278" s="19"/>
      <c r="BN278" s="19"/>
      <c r="BO278" s="19"/>
      <c r="BP278" s="19"/>
      <c r="BQ278" s="19"/>
      <c r="BR278" s="19"/>
      <c r="BS278" s="19"/>
      <c r="BT278" s="19"/>
      <c r="BU278" s="19"/>
      <c r="BV278" s="19"/>
      <c r="BW278" s="19"/>
      <c r="BX278" s="19"/>
      <c r="BY278" s="19"/>
      <c r="BZ278" s="19"/>
      <c r="CA278" s="19"/>
      <c r="CB278" s="19"/>
      <c r="CC278" s="19"/>
      <c r="CD278" s="19"/>
      <c r="CE278" s="19"/>
      <c r="CF278" s="6"/>
    </row>
    <row r="279" spans="1:84">
      <c r="A279" s="17"/>
      <c r="B279" s="17"/>
      <c r="C279" s="17"/>
      <c r="D279" s="19"/>
      <c r="E279" s="20"/>
      <c r="F279" s="19"/>
      <c r="G279" s="19"/>
      <c r="H279" s="19"/>
      <c r="I279" s="19"/>
      <c r="J279" s="19"/>
      <c r="K279" s="19"/>
      <c r="L279" s="19"/>
      <c r="M279" s="19"/>
      <c r="N279" s="19"/>
      <c r="O279" s="19"/>
      <c r="P279" s="19"/>
      <c r="Q279" s="19"/>
      <c r="R279" s="19"/>
      <c r="S279" s="19"/>
      <c r="T279" s="19"/>
      <c r="U279" s="19"/>
      <c r="V279" s="19"/>
      <c r="W279" s="19"/>
      <c r="X279" s="19"/>
      <c r="Y279" s="19"/>
      <c r="Z279" s="19"/>
      <c r="AA279" s="19"/>
      <c r="AB279" s="19"/>
      <c r="AC279" s="19"/>
      <c r="AD279" s="19"/>
      <c r="AE279" s="19"/>
      <c r="AF279" s="19"/>
      <c r="AG279" s="19"/>
      <c r="AH279" s="19"/>
      <c r="AI279" s="19"/>
      <c r="AJ279" s="19"/>
      <c r="AK279" s="19"/>
      <c r="AL279" s="19"/>
      <c r="AM279" s="19"/>
      <c r="AN279" s="19"/>
      <c r="AO279" s="19"/>
      <c r="AP279" s="19"/>
      <c r="AQ279" s="19"/>
      <c r="AR279" s="19"/>
      <c r="AS279" s="19"/>
      <c r="AT279" s="19"/>
      <c r="AU279" s="19"/>
      <c r="AV279" s="19"/>
      <c r="AW279" s="19"/>
      <c r="AX279" s="19"/>
      <c r="AY279" s="19"/>
      <c r="AZ279" s="19"/>
      <c r="BA279" s="19"/>
      <c r="BB279" s="19"/>
      <c r="BC279" s="19"/>
      <c r="BD279" s="19"/>
      <c r="BE279" s="19"/>
      <c r="BF279" s="19"/>
      <c r="BG279" s="19"/>
      <c r="BH279" s="19"/>
      <c r="BI279" s="19"/>
      <c r="BJ279" s="19"/>
      <c r="BK279" s="19"/>
      <c r="BL279" s="19"/>
      <c r="BM279" s="19"/>
      <c r="BN279" s="19"/>
      <c r="BO279" s="19"/>
      <c r="BP279" s="19"/>
      <c r="BQ279" s="19"/>
      <c r="BR279" s="19"/>
      <c r="BS279" s="19"/>
      <c r="BT279" s="19"/>
      <c r="BU279" s="19"/>
      <c r="BV279" s="19"/>
      <c r="BW279" s="19"/>
      <c r="BX279" s="19"/>
      <c r="BY279" s="19"/>
      <c r="BZ279" s="19"/>
      <c r="CA279" s="19"/>
      <c r="CB279" s="19"/>
      <c r="CC279" s="19"/>
      <c r="CD279" s="19"/>
      <c r="CE279" s="19"/>
      <c r="CF279" s="6"/>
    </row>
    <row r="280" spans="1:84">
      <c r="A280" s="17"/>
      <c r="B280" s="17"/>
      <c r="C280" s="17"/>
      <c r="D280" s="19"/>
      <c r="E280" s="20"/>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9"/>
      <c r="AE280" s="19"/>
      <c r="AF280" s="19"/>
      <c r="AG280" s="19"/>
      <c r="AH280" s="19"/>
      <c r="AI280" s="19"/>
      <c r="AJ280" s="19"/>
      <c r="AK280" s="19"/>
      <c r="AL280" s="19"/>
      <c r="AM280" s="19"/>
      <c r="AN280" s="19"/>
      <c r="AO280" s="19"/>
      <c r="AP280" s="19"/>
      <c r="AQ280" s="19"/>
      <c r="AR280" s="19"/>
      <c r="AS280" s="19"/>
      <c r="AT280" s="19"/>
      <c r="AU280" s="19"/>
      <c r="AV280" s="19"/>
      <c r="AW280" s="19"/>
      <c r="AX280" s="19"/>
      <c r="AY280" s="19"/>
      <c r="AZ280" s="19"/>
      <c r="BA280" s="19"/>
      <c r="BB280" s="19"/>
      <c r="BC280" s="19"/>
      <c r="BD280" s="19"/>
      <c r="BE280" s="19"/>
      <c r="BF280" s="19"/>
      <c r="BG280" s="19"/>
      <c r="BH280" s="19"/>
      <c r="BI280" s="19"/>
      <c r="BJ280" s="19"/>
      <c r="BK280" s="19"/>
      <c r="BL280" s="19"/>
      <c r="BM280" s="19"/>
      <c r="BN280" s="19"/>
      <c r="BO280" s="19"/>
      <c r="BP280" s="19"/>
      <c r="BQ280" s="19"/>
      <c r="BR280" s="19"/>
      <c r="BS280" s="19"/>
      <c r="BT280" s="19"/>
      <c r="BU280" s="19"/>
      <c r="BV280" s="19"/>
      <c r="BW280" s="19"/>
      <c r="BX280" s="19"/>
      <c r="BY280" s="19"/>
      <c r="BZ280" s="19"/>
      <c r="CA280" s="19"/>
      <c r="CB280" s="19"/>
      <c r="CC280" s="19"/>
      <c r="CD280" s="19"/>
      <c r="CE280" s="19"/>
      <c r="CF280" s="6"/>
    </row>
    <row r="281" spans="1:84">
      <c r="A281" s="17"/>
      <c r="B281" s="17"/>
      <c r="C281" s="17"/>
      <c r="D281" s="19"/>
      <c r="E281" s="20"/>
      <c r="F281" s="19"/>
      <c r="G281" s="19"/>
      <c r="H281" s="19"/>
      <c r="I281" s="19"/>
      <c r="J281" s="19"/>
      <c r="K281" s="19"/>
      <c r="L281" s="19"/>
      <c r="M281" s="19"/>
      <c r="N281" s="19"/>
      <c r="O281" s="19"/>
      <c r="P281" s="19"/>
      <c r="Q281" s="19"/>
      <c r="R281" s="19"/>
      <c r="S281" s="19"/>
      <c r="T281" s="19"/>
      <c r="U281" s="19"/>
      <c r="V281" s="19"/>
      <c r="W281" s="19"/>
      <c r="X281" s="19"/>
      <c r="Y281" s="19"/>
      <c r="Z281" s="19"/>
      <c r="AA281" s="19"/>
      <c r="AB281" s="19"/>
      <c r="AC281" s="19"/>
      <c r="AD281" s="19"/>
      <c r="AE281" s="19"/>
      <c r="AF281" s="19"/>
      <c r="AG281" s="19"/>
      <c r="AH281" s="19"/>
      <c r="AI281" s="19"/>
      <c r="AJ281" s="19"/>
      <c r="AK281" s="19"/>
      <c r="AL281" s="19"/>
      <c r="AM281" s="19"/>
      <c r="AN281" s="19"/>
      <c r="AO281" s="19"/>
      <c r="AP281" s="19"/>
      <c r="AQ281" s="19"/>
      <c r="AR281" s="19"/>
      <c r="AS281" s="19"/>
      <c r="AT281" s="19"/>
      <c r="AU281" s="19"/>
      <c r="AV281" s="19"/>
      <c r="AW281" s="19"/>
      <c r="AX281" s="19"/>
      <c r="AY281" s="19"/>
      <c r="AZ281" s="19"/>
      <c r="BA281" s="19"/>
      <c r="BB281" s="19"/>
      <c r="BC281" s="19"/>
      <c r="BD281" s="19"/>
      <c r="BE281" s="19"/>
      <c r="BF281" s="19"/>
      <c r="BG281" s="19"/>
      <c r="BH281" s="19"/>
      <c r="BI281" s="19"/>
      <c r="BJ281" s="19"/>
      <c r="BK281" s="19"/>
      <c r="BL281" s="19"/>
      <c r="BM281" s="19"/>
      <c r="BN281" s="19"/>
      <c r="BO281" s="19"/>
      <c r="BP281" s="19"/>
      <c r="BQ281" s="19"/>
      <c r="BR281" s="19"/>
      <c r="BS281" s="19"/>
      <c r="BT281" s="19"/>
      <c r="BU281" s="19"/>
      <c r="BV281" s="19"/>
      <c r="BW281" s="19"/>
      <c r="BX281" s="19"/>
      <c r="BY281" s="19"/>
      <c r="BZ281" s="19"/>
      <c r="CA281" s="19"/>
      <c r="CB281" s="19"/>
      <c r="CC281" s="19"/>
      <c r="CD281" s="19"/>
      <c r="CE281" s="19"/>
      <c r="CF281" s="6"/>
    </row>
    <row r="282" spans="1:84">
      <c r="A282" s="17"/>
      <c r="B282" s="17"/>
      <c r="C282" s="17"/>
      <c r="D282" s="19"/>
      <c r="E282" s="20"/>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9"/>
      <c r="AE282" s="19"/>
      <c r="AF282" s="19"/>
      <c r="AG282" s="19"/>
      <c r="AH282" s="19"/>
      <c r="AI282" s="19"/>
      <c r="AJ282" s="19"/>
      <c r="AK282" s="19"/>
      <c r="AL282" s="19"/>
      <c r="AM282" s="19"/>
      <c r="AN282" s="19"/>
      <c r="AO282" s="19"/>
      <c r="AP282" s="19"/>
      <c r="AQ282" s="19"/>
      <c r="AR282" s="19"/>
      <c r="AS282" s="19"/>
      <c r="AT282" s="19"/>
      <c r="AU282" s="19"/>
      <c r="AV282" s="19"/>
      <c r="AW282" s="19"/>
      <c r="AX282" s="19"/>
      <c r="AY282" s="19"/>
      <c r="AZ282" s="19"/>
      <c r="BA282" s="19"/>
      <c r="BB282" s="19"/>
      <c r="BC282" s="19"/>
      <c r="BD282" s="19"/>
      <c r="BE282" s="19"/>
      <c r="BF282" s="19"/>
      <c r="BG282" s="19"/>
      <c r="BH282" s="19"/>
      <c r="BI282" s="19"/>
      <c r="BJ282" s="19"/>
      <c r="BK282" s="19"/>
      <c r="BL282" s="19"/>
      <c r="BM282" s="19"/>
      <c r="BN282" s="19"/>
      <c r="BO282" s="19"/>
      <c r="BP282" s="19"/>
      <c r="BQ282" s="19"/>
      <c r="BR282" s="19"/>
      <c r="BS282" s="19"/>
      <c r="BT282" s="19"/>
      <c r="BU282" s="19"/>
      <c r="BV282" s="19"/>
      <c r="BW282" s="19"/>
      <c r="BX282" s="19"/>
      <c r="BY282" s="19"/>
      <c r="BZ282" s="19"/>
      <c r="CA282" s="19"/>
      <c r="CB282" s="19"/>
      <c r="CC282" s="19"/>
      <c r="CD282" s="19"/>
      <c r="CE282" s="19"/>
      <c r="CF282" s="6"/>
    </row>
    <row r="283" spans="1:84">
      <c r="A283" s="17"/>
      <c r="B283" s="17"/>
      <c r="C283" s="17"/>
      <c r="D283" s="19"/>
      <c r="E283" s="20"/>
      <c r="F283" s="19"/>
      <c r="G283" s="19"/>
      <c r="H283" s="19"/>
      <c r="I283" s="19"/>
      <c r="J283" s="19"/>
      <c r="K283" s="19"/>
      <c r="L283" s="19"/>
      <c r="M283" s="19"/>
      <c r="N283" s="19"/>
      <c r="O283" s="19"/>
      <c r="P283" s="19"/>
      <c r="Q283" s="19"/>
      <c r="R283" s="19"/>
      <c r="S283" s="19"/>
      <c r="T283" s="19"/>
      <c r="U283" s="19"/>
      <c r="V283" s="19"/>
      <c r="W283" s="19"/>
      <c r="X283" s="19"/>
      <c r="Y283" s="19"/>
      <c r="Z283" s="19"/>
      <c r="AA283" s="19"/>
      <c r="AB283" s="19"/>
      <c r="AC283" s="19"/>
      <c r="AD283" s="19"/>
      <c r="AE283" s="19"/>
      <c r="AF283" s="19"/>
      <c r="AG283" s="19"/>
      <c r="AH283" s="19"/>
      <c r="AI283" s="19"/>
      <c r="AJ283" s="19"/>
      <c r="AK283" s="19"/>
      <c r="AL283" s="19"/>
      <c r="AM283" s="19"/>
      <c r="AN283" s="19"/>
      <c r="AO283" s="19"/>
      <c r="AP283" s="19"/>
      <c r="AQ283" s="19"/>
      <c r="AR283" s="19"/>
      <c r="AS283" s="19"/>
      <c r="AT283" s="19"/>
      <c r="AU283" s="19"/>
      <c r="AV283" s="19"/>
      <c r="AW283" s="19"/>
      <c r="AX283" s="19"/>
      <c r="AY283" s="19"/>
      <c r="AZ283" s="19"/>
      <c r="BA283" s="19"/>
      <c r="BB283" s="19"/>
      <c r="BC283" s="19"/>
      <c r="BD283" s="19"/>
      <c r="BE283" s="19"/>
      <c r="BF283" s="19"/>
      <c r="BG283" s="19"/>
      <c r="BH283" s="19"/>
      <c r="BI283" s="19"/>
      <c r="BJ283" s="19"/>
      <c r="BK283" s="19"/>
      <c r="BL283" s="19"/>
      <c r="BM283" s="19"/>
      <c r="BN283" s="19"/>
      <c r="BO283" s="19"/>
      <c r="BP283" s="19"/>
      <c r="BQ283" s="19"/>
      <c r="BR283" s="19"/>
      <c r="BS283" s="19"/>
      <c r="BT283" s="19"/>
      <c r="BU283" s="19"/>
      <c r="BV283" s="19"/>
      <c r="BW283" s="19"/>
      <c r="BX283" s="19"/>
      <c r="BY283" s="19"/>
      <c r="BZ283" s="19"/>
      <c r="CA283" s="19"/>
      <c r="CB283" s="19"/>
      <c r="CC283" s="19"/>
      <c r="CD283" s="19"/>
      <c r="CE283" s="19"/>
      <c r="CF283" s="6"/>
    </row>
    <row r="284" spans="1:84">
      <c r="A284" s="17"/>
      <c r="B284" s="17"/>
      <c r="C284" s="17"/>
      <c r="D284" s="19"/>
      <c r="E284" s="20"/>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9"/>
      <c r="AD284" s="19"/>
      <c r="AE284" s="19"/>
      <c r="AF284" s="19"/>
      <c r="AG284" s="19"/>
      <c r="AH284" s="19"/>
      <c r="AI284" s="19"/>
      <c r="AJ284" s="19"/>
      <c r="AK284" s="19"/>
      <c r="AL284" s="19"/>
      <c r="AM284" s="19"/>
      <c r="AN284" s="19"/>
      <c r="AO284" s="19"/>
      <c r="AP284" s="19"/>
      <c r="AQ284" s="19"/>
      <c r="AR284" s="19"/>
      <c r="AS284" s="19"/>
      <c r="AT284" s="19"/>
      <c r="AU284" s="19"/>
      <c r="AV284" s="19"/>
      <c r="AW284" s="19"/>
      <c r="AX284" s="19"/>
      <c r="AY284" s="19"/>
      <c r="AZ284" s="19"/>
      <c r="BA284" s="19"/>
      <c r="BB284" s="19"/>
      <c r="BC284" s="19"/>
      <c r="BD284" s="19"/>
      <c r="BE284" s="19"/>
      <c r="BF284" s="19"/>
      <c r="BG284" s="19"/>
      <c r="BH284" s="19"/>
      <c r="BI284" s="19"/>
      <c r="BJ284" s="19"/>
      <c r="BK284" s="19"/>
      <c r="BL284" s="19"/>
      <c r="BM284" s="19"/>
      <c r="BN284" s="19"/>
      <c r="BO284" s="19"/>
      <c r="BP284" s="19"/>
      <c r="BQ284" s="19"/>
      <c r="BR284" s="19"/>
      <c r="BS284" s="19"/>
      <c r="BT284" s="19"/>
      <c r="BU284" s="19"/>
      <c r="BV284" s="19"/>
      <c r="BW284" s="19"/>
      <c r="BX284" s="19"/>
      <c r="BY284" s="19"/>
      <c r="BZ284" s="19"/>
      <c r="CA284" s="19"/>
      <c r="CB284" s="19"/>
      <c r="CC284" s="19"/>
      <c r="CD284" s="19"/>
      <c r="CE284" s="19"/>
      <c r="CF284" s="6"/>
    </row>
    <row r="285" spans="1:84">
      <c r="A285" s="17"/>
      <c r="B285" s="17"/>
      <c r="C285" s="17"/>
      <c r="D285" s="19"/>
      <c r="E285" s="20"/>
      <c r="F285" s="19"/>
      <c r="G285" s="19"/>
      <c r="H285" s="19"/>
      <c r="I285" s="19"/>
      <c r="J285" s="19"/>
      <c r="K285" s="19"/>
      <c r="L285" s="19"/>
      <c r="M285" s="19"/>
      <c r="N285" s="19"/>
      <c r="O285" s="19"/>
      <c r="P285" s="19"/>
      <c r="Q285" s="19"/>
      <c r="R285" s="19"/>
      <c r="S285" s="19"/>
      <c r="T285" s="19"/>
      <c r="U285" s="19"/>
      <c r="V285" s="19"/>
      <c r="W285" s="19"/>
      <c r="X285" s="19"/>
      <c r="Y285" s="19"/>
      <c r="Z285" s="19"/>
      <c r="AA285" s="19"/>
      <c r="AB285" s="19"/>
      <c r="AC285" s="19"/>
      <c r="AD285" s="19"/>
      <c r="AE285" s="19"/>
      <c r="AF285" s="19"/>
      <c r="AG285" s="19"/>
      <c r="AH285" s="19"/>
      <c r="AI285" s="19"/>
      <c r="AJ285" s="19"/>
      <c r="AK285" s="19"/>
      <c r="AL285" s="19"/>
      <c r="AM285" s="19"/>
      <c r="AN285" s="19"/>
      <c r="AO285" s="19"/>
      <c r="AP285" s="19"/>
      <c r="AQ285" s="19"/>
      <c r="AR285" s="19"/>
      <c r="AS285" s="19"/>
      <c r="AT285" s="19"/>
      <c r="AU285" s="19"/>
      <c r="AV285" s="19"/>
      <c r="AW285" s="19"/>
      <c r="AX285" s="19"/>
      <c r="AY285" s="19"/>
      <c r="AZ285" s="19"/>
      <c r="BA285" s="19"/>
      <c r="BB285" s="19"/>
      <c r="BC285" s="19"/>
      <c r="BD285" s="19"/>
      <c r="BE285" s="19"/>
      <c r="BF285" s="19"/>
      <c r="BG285" s="19"/>
      <c r="BH285" s="19"/>
      <c r="BI285" s="19"/>
      <c r="BJ285" s="19"/>
      <c r="BK285" s="19"/>
      <c r="BL285" s="19"/>
      <c r="BM285" s="19"/>
      <c r="BN285" s="19"/>
      <c r="BO285" s="19"/>
      <c r="BP285" s="19"/>
      <c r="BQ285" s="19"/>
      <c r="BR285" s="19"/>
      <c r="BS285" s="19"/>
      <c r="BT285" s="19"/>
      <c r="BU285" s="19"/>
      <c r="BV285" s="19"/>
      <c r="BW285" s="19"/>
      <c r="BX285" s="19"/>
      <c r="BY285" s="19"/>
      <c r="BZ285" s="19"/>
      <c r="CA285" s="19"/>
      <c r="CB285" s="19"/>
      <c r="CC285" s="19"/>
      <c r="CD285" s="19"/>
      <c r="CE285" s="19"/>
      <c r="CF285" s="6"/>
    </row>
    <row r="286" spans="1:84">
      <c r="A286" s="17"/>
      <c r="B286" s="17"/>
      <c r="C286" s="17"/>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9"/>
      <c r="AD286" s="19"/>
      <c r="AE286" s="19"/>
      <c r="AF286" s="19"/>
      <c r="AG286" s="19"/>
      <c r="AH286" s="19"/>
      <c r="AI286" s="19"/>
      <c r="AJ286" s="19"/>
      <c r="AK286" s="19"/>
      <c r="AL286" s="19"/>
      <c r="AM286" s="19"/>
      <c r="AN286" s="19"/>
      <c r="AO286" s="19"/>
      <c r="AP286" s="19"/>
      <c r="AQ286" s="19"/>
      <c r="AR286" s="19"/>
      <c r="AS286" s="19"/>
      <c r="AT286" s="19"/>
      <c r="AU286" s="19"/>
      <c r="AV286" s="19"/>
      <c r="AW286" s="19"/>
      <c r="AX286" s="19"/>
      <c r="AY286" s="19"/>
      <c r="AZ286" s="19"/>
      <c r="BA286" s="19"/>
      <c r="BB286" s="19"/>
      <c r="BC286" s="19"/>
      <c r="BD286" s="19"/>
      <c r="BE286" s="19"/>
      <c r="BF286" s="19"/>
      <c r="BG286" s="19"/>
      <c r="BH286" s="19"/>
      <c r="BI286" s="19"/>
      <c r="BJ286" s="19"/>
      <c r="BK286" s="19"/>
      <c r="BL286" s="19"/>
      <c r="BM286" s="19"/>
      <c r="BN286" s="19"/>
      <c r="BO286" s="19"/>
      <c r="BP286" s="19"/>
      <c r="BQ286" s="19"/>
      <c r="BR286" s="19"/>
      <c r="BS286" s="19"/>
      <c r="BT286" s="19"/>
      <c r="BU286" s="19"/>
      <c r="BV286" s="19"/>
      <c r="BW286" s="19"/>
      <c r="BX286" s="19"/>
      <c r="BY286" s="19"/>
      <c r="BZ286" s="19"/>
      <c r="CA286" s="19"/>
      <c r="CB286" s="19"/>
      <c r="CC286" s="19"/>
      <c r="CD286" s="19"/>
      <c r="CE286" s="19"/>
      <c r="CF286" s="6"/>
    </row>
    <row r="287" spans="1:84">
      <c r="A287" s="17"/>
      <c r="B287" s="17"/>
      <c r="C287" s="17"/>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19"/>
      <c r="AG287" s="19"/>
      <c r="AH287" s="19"/>
      <c r="AI287" s="19"/>
      <c r="AJ287" s="19"/>
      <c r="AK287" s="19"/>
      <c r="AL287" s="19"/>
      <c r="AM287" s="19"/>
      <c r="AN287" s="19"/>
      <c r="AO287" s="19"/>
      <c r="AP287" s="19"/>
      <c r="AQ287" s="19"/>
      <c r="AR287" s="19"/>
      <c r="AS287" s="19"/>
      <c r="AT287" s="19"/>
      <c r="AU287" s="19"/>
      <c r="AV287" s="19"/>
      <c r="AW287" s="19"/>
      <c r="AX287" s="19"/>
      <c r="AY287" s="19"/>
      <c r="AZ287" s="19"/>
      <c r="BA287" s="19"/>
      <c r="BB287" s="19"/>
      <c r="BC287" s="19"/>
      <c r="BD287" s="19"/>
      <c r="BE287" s="19"/>
      <c r="BF287" s="19"/>
      <c r="BG287" s="19"/>
      <c r="BH287" s="19"/>
      <c r="BI287" s="19"/>
      <c r="BJ287" s="19"/>
      <c r="BK287" s="19"/>
      <c r="BL287" s="19"/>
      <c r="BM287" s="19"/>
      <c r="BN287" s="19"/>
      <c r="BO287" s="19"/>
      <c r="BP287" s="19"/>
      <c r="BQ287" s="19"/>
      <c r="BR287" s="19"/>
      <c r="BS287" s="19"/>
      <c r="BT287" s="19"/>
      <c r="BU287" s="19"/>
      <c r="BV287" s="19"/>
      <c r="BW287" s="19"/>
      <c r="BX287" s="19"/>
      <c r="BY287" s="19"/>
      <c r="BZ287" s="19"/>
      <c r="CA287" s="19"/>
      <c r="CB287" s="19"/>
      <c r="CC287" s="19"/>
      <c r="CD287" s="19"/>
      <c r="CE287" s="19"/>
      <c r="CF287" s="6"/>
    </row>
    <row r="288" spans="1:84">
      <c r="A288" s="17"/>
      <c r="B288" s="17"/>
      <c r="C288" s="17"/>
      <c r="D288" s="19"/>
      <c r="E288" s="19"/>
      <c r="F288" s="19"/>
      <c r="G288" s="19"/>
      <c r="H288" s="19"/>
      <c r="I288" s="19"/>
      <c r="J288" s="19"/>
      <c r="K288" s="19"/>
      <c r="L288" s="19"/>
      <c r="M288" s="19"/>
      <c r="N288" s="19"/>
      <c r="O288" s="19"/>
      <c r="P288" s="19"/>
      <c r="Q288" s="19"/>
      <c r="R288" s="19"/>
      <c r="S288" s="19"/>
      <c r="T288" s="19"/>
      <c r="U288" s="19"/>
      <c r="V288" s="19"/>
      <c r="W288" s="19"/>
      <c r="X288" s="19"/>
      <c r="Y288" s="19"/>
      <c r="Z288" s="19"/>
      <c r="AA288" s="19"/>
      <c r="AB288" s="19"/>
      <c r="AC288" s="19"/>
      <c r="AD288" s="19"/>
      <c r="AE288" s="19"/>
      <c r="AF288" s="19"/>
      <c r="AG288" s="19"/>
      <c r="AH288" s="19"/>
      <c r="AI288" s="19"/>
      <c r="AJ288" s="19"/>
      <c r="AK288" s="19"/>
      <c r="AL288" s="19"/>
      <c r="AM288" s="19"/>
      <c r="AN288" s="19"/>
      <c r="AO288" s="19"/>
      <c r="AP288" s="19"/>
      <c r="AQ288" s="19"/>
      <c r="AR288" s="19"/>
      <c r="AS288" s="19"/>
      <c r="AT288" s="19"/>
      <c r="AU288" s="19"/>
      <c r="AV288" s="19"/>
      <c r="AW288" s="19"/>
      <c r="AX288" s="19"/>
      <c r="AY288" s="19"/>
      <c r="AZ288" s="19"/>
      <c r="BA288" s="19"/>
      <c r="BB288" s="19"/>
      <c r="BC288" s="19"/>
      <c r="BD288" s="19"/>
      <c r="BE288" s="19"/>
      <c r="BF288" s="19"/>
      <c r="BG288" s="19"/>
      <c r="BH288" s="19"/>
      <c r="BI288" s="19"/>
      <c r="BJ288" s="19"/>
      <c r="BK288" s="19"/>
      <c r="BL288" s="19"/>
      <c r="BM288" s="19"/>
      <c r="BN288" s="19"/>
      <c r="BO288" s="19"/>
      <c r="BP288" s="19"/>
      <c r="BQ288" s="19"/>
      <c r="BR288" s="19"/>
      <c r="BS288" s="19"/>
      <c r="BT288" s="19"/>
      <c r="BU288" s="19"/>
      <c r="BV288" s="19"/>
      <c r="BW288" s="19"/>
      <c r="BX288" s="19"/>
      <c r="BY288" s="19"/>
      <c r="BZ288" s="19"/>
      <c r="CA288" s="19"/>
      <c r="CB288" s="19"/>
      <c r="CC288" s="19"/>
      <c r="CD288" s="19"/>
      <c r="CE288" s="19"/>
      <c r="CF288" s="6"/>
    </row>
    <row r="289" spans="1:84">
      <c r="A289" s="17"/>
      <c r="B289" s="17"/>
      <c r="C289" s="17"/>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19"/>
      <c r="AE289" s="19"/>
      <c r="AF289" s="19"/>
      <c r="AG289" s="19"/>
      <c r="AH289" s="19"/>
      <c r="AI289" s="19"/>
      <c r="AJ289" s="19"/>
      <c r="AK289" s="19"/>
      <c r="AL289" s="19"/>
      <c r="AM289" s="19"/>
      <c r="AN289" s="19"/>
      <c r="AO289" s="19"/>
      <c r="AP289" s="19"/>
      <c r="AQ289" s="19"/>
      <c r="AR289" s="19"/>
      <c r="AS289" s="19"/>
      <c r="AT289" s="19"/>
      <c r="AU289" s="19"/>
      <c r="AV289" s="19"/>
      <c r="AW289" s="19"/>
      <c r="AX289" s="19"/>
      <c r="AY289" s="19"/>
      <c r="AZ289" s="19"/>
      <c r="BA289" s="19"/>
      <c r="BB289" s="19"/>
      <c r="BC289" s="19"/>
      <c r="BD289" s="19"/>
      <c r="BE289" s="19"/>
      <c r="BF289" s="19"/>
      <c r="BG289" s="19"/>
      <c r="BH289" s="19"/>
      <c r="BI289" s="19"/>
      <c r="BJ289" s="19"/>
      <c r="BK289" s="19"/>
      <c r="BL289" s="19"/>
      <c r="BM289" s="19"/>
      <c r="BN289" s="19"/>
      <c r="BO289" s="19"/>
      <c r="BP289" s="19"/>
      <c r="BQ289" s="19"/>
      <c r="BR289" s="19"/>
      <c r="BS289" s="19"/>
      <c r="BT289" s="19"/>
      <c r="BU289" s="19"/>
      <c r="BV289" s="19"/>
      <c r="BW289" s="19"/>
      <c r="BX289" s="19"/>
      <c r="BY289" s="19"/>
      <c r="BZ289" s="19"/>
      <c r="CA289" s="19"/>
      <c r="CB289" s="19"/>
      <c r="CC289" s="19"/>
      <c r="CD289" s="19"/>
      <c r="CE289" s="19"/>
      <c r="CF289" s="6"/>
    </row>
    <row r="290" spans="1:84">
      <c r="A290" s="17"/>
      <c r="B290" s="17"/>
      <c r="C290" s="17"/>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19"/>
      <c r="AE290" s="19"/>
      <c r="AF290" s="19"/>
      <c r="AG290" s="19"/>
      <c r="AH290" s="19"/>
      <c r="AI290" s="19"/>
      <c r="AJ290" s="19"/>
      <c r="AK290" s="19"/>
      <c r="AL290" s="19"/>
      <c r="AM290" s="19"/>
      <c r="AN290" s="19"/>
      <c r="AO290" s="19"/>
      <c r="AP290" s="19"/>
      <c r="AQ290" s="19"/>
      <c r="AR290" s="19"/>
      <c r="AS290" s="19"/>
      <c r="AT290" s="19"/>
      <c r="AU290" s="19"/>
      <c r="AV290" s="19"/>
      <c r="AW290" s="19"/>
      <c r="AX290" s="19"/>
      <c r="AY290" s="19"/>
      <c r="AZ290" s="19"/>
      <c r="BA290" s="19"/>
      <c r="BB290" s="19"/>
      <c r="BC290" s="19"/>
      <c r="BD290" s="19"/>
      <c r="BE290" s="19"/>
      <c r="BF290" s="19"/>
      <c r="BG290" s="19"/>
      <c r="BH290" s="19"/>
      <c r="BI290" s="19"/>
      <c r="BJ290" s="19"/>
      <c r="BK290" s="19"/>
      <c r="BL290" s="19"/>
      <c r="BM290" s="19"/>
      <c r="BN290" s="19"/>
      <c r="BO290" s="19"/>
      <c r="BP290" s="19"/>
      <c r="BQ290" s="19"/>
      <c r="BR290" s="19"/>
      <c r="BS290" s="19"/>
      <c r="BT290" s="19"/>
      <c r="BU290" s="19"/>
      <c r="BV290" s="19"/>
      <c r="BW290" s="19"/>
      <c r="BX290" s="19"/>
      <c r="BY290" s="19"/>
      <c r="BZ290" s="19"/>
      <c r="CA290" s="19"/>
      <c r="CB290" s="19"/>
      <c r="CC290" s="19"/>
      <c r="CD290" s="19"/>
      <c r="CE290" s="19"/>
      <c r="CF290" s="6"/>
    </row>
    <row r="291" spans="1:84">
      <c r="A291" s="17"/>
      <c r="B291" s="17"/>
      <c r="C291" s="17"/>
      <c r="D291" s="19"/>
      <c r="E291" s="19"/>
      <c r="F291" s="19"/>
      <c r="G291" s="19"/>
      <c r="H291" s="19"/>
      <c r="I291" s="19"/>
      <c r="J291" s="19"/>
      <c r="K291" s="19"/>
      <c r="L291" s="19"/>
      <c r="M291" s="19"/>
      <c r="N291" s="19"/>
      <c r="O291" s="19"/>
      <c r="P291" s="19"/>
      <c r="Q291" s="19"/>
      <c r="R291" s="19"/>
      <c r="S291" s="19"/>
      <c r="T291" s="19"/>
      <c r="U291" s="19"/>
      <c r="V291" s="19"/>
      <c r="W291" s="19"/>
      <c r="X291" s="19"/>
      <c r="Y291" s="19"/>
      <c r="Z291" s="19"/>
      <c r="AA291" s="19"/>
      <c r="AB291" s="19"/>
      <c r="AC291" s="19"/>
      <c r="AD291" s="19"/>
      <c r="AE291" s="19"/>
      <c r="AF291" s="19"/>
      <c r="AG291" s="19"/>
      <c r="AH291" s="19"/>
      <c r="AI291" s="19"/>
      <c r="AJ291" s="19"/>
      <c r="AK291" s="19"/>
      <c r="AL291" s="19"/>
      <c r="AM291" s="19"/>
      <c r="AN291" s="19"/>
      <c r="AO291" s="19"/>
      <c r="AP291" s="19"/>
      <c r="AQ291" s="19"/>
      <c r="AR291" s="19"/>
      <c r="AS291" s="19"/>
      <c r="AT291" s="19"/>
      <c r="AU291" s="19"/>
      <c r="AV291" s="19"/>
      <c r="AW291" s="19"/>
      <c r="AX291" s="19"/>
      <c r="AY291" s="19"/>
      <c r="AZ291" s="19"/>
      <c r="BA291" s="19"/>
      <c r="BB291" s="19"/>
      <c r="BC291" s="19"/>
      <c r="BD291" s="19"/>
      <c r="BE291" s="19"/>
      <c r="BF291" s="19"/>
      <c r="BG291" s="19"/>
      <c r="BH291" s="19"/>
      <c r="BI291" s="19"/>
      <c r="BJ291" s="19"/>
      <c r="BK291" s="19"/>
      <c r="BL291" s="19"/>
      <c r="BM291" s="19"/>
      <c r="BN291" s="19"/>
      <c r="BO291" s="19"/>
      <c r="BP291" s="19"/>
      <c r="BQ291" s="19"/>
      <c r="BR291" s="19"/>
      <c r="BS291" s="19"/>
      <c r="BT291" s="19"/>
      <c r="BU291" s="19"/>
      <c r="BV291" s="19"/>
      <c r="BW291" s="19"/>
      <c r="BX291" s="19"/>
      <c r="BY291" s="19"/>
      <c r="BZ291" s="19"/>
      <c r="CA291" s="19"/>
      <c r="CB291" s="19"/>
      <c r="CC291" s="19"/>
      <c r="CD291" s="19"/>
      <c r="CE291" s="19"/>
      <c r="CF291" s="6"/>
    </row>
    <row r="292" spans="1:84">
      <c r="A292" s="17"/>
      <c r="B292" s="17"/>
      <c r="C292" s="17"/>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19"/>
      <c r="AE292" s="19"/>
      <c r="AF292" s="19"/>
      <c r="AG292" s="19"/>
      <c r="AH292" s="19"/>
      <c r="AI292" s="19"/>
      <c r="AJ292" s="19"/>
      <c r="AK292" s="19"/>
      <c r="AL292" s="19"/>
      <c r="AM292" s="19"/>
      <c r="AN292" s="19"/>
      <c r="AO292" s="19"/>
      <c r="AP292" s="19"/>
      <c r="AQ292" s="19"/>
      <c r="AR292" s="19"/>
      <c r="AS292" s="19"/>
      <c r="AT292" s="19"/>
      <c r="AU292" s="19"/>
      <c r="AV292" s="19"/>
      <c r="AW292" s="19"/>
      <c r="AX292" s="19"/>
      <c r="AY292" s="19"/>
      <c r="AZ292" s="19"/>
      <c r="BA292" s="19"/>
      <c r="BB292" s="19"/>
      <c r="BC292" s="19"/>
      <c r="BD292" s="19"/>
      <c r="BE292" s="19"/>
      <c r="BF292" s="19"/>
      <c r="BG292" s="19"/>
      <c r="BH292" s="19"/>
      <c r="BI292" s="19"/>
      <c r="BJ292" s="19"/>
      <c r="BK292" s="19"/>
      <c r="BL292" s="19"/>
      <c r="BM292" s="19"/>
      <c r="BN292" s="19"/>
      <c r="BO292" s="19"/>
      <c r="BP292" s="19"/>
      <c r="BQ292" s="19"/>
      <c r="BR292" s="19"/>
      <c r="BS292" s="19"/>
      <c r="BT292" s="19"/>
      <c r="BU292" s="19"/>
      <c r="BV292" s="19"/>
      <c r="BW292" s="19"/>
      <c r="BX292" s="19"/>
      <c r="BY292" s="19"/>
      <c r="BZ292" s="19"/>
      <c r="CA292" s="19"/>
      <c r="CB292" s="19"/>
      <c r="CC292" s="19"/>
      <c r="CD292" s="19"/>
      <c r="CE292" s="19"/>
      <c r="CF292" s="6"/>
    </row>
    <row r="293" spans="1:84">
      <c r="A293" s="17"/>
      <c r="B293" s="17"/>
      <c r="C293" s="17"/>
      <c r="D293" s="19"/>
      <c r="E293" s="19"/>
      <c r="F293" s="19"/>
      <c r="G293" s="19"/>
      <c r="H293" s="19"/>
      <c r="I293" s="19"/>
      <c r="J293" s="19"/>
      <c r="K293" s="19"/>
      <c r="L293" s="19"/>
      <c r="M293" s="19"/>
      <c r="N293" s="19"/>
      <c r="O293" s="19"/>
      <c r="P293" s="19"/>
      <c r="Q293" s="19"/>
      <c r="R293" s="19"/>
      <c r="S293" s="19"/>
      <c r="T293" s="19"/>
      <c r="U293" s="19"/>
      <c r="V293" s="19"/>
      <c r="W293" s="19"/>
      <c r="X293" s="19"/>
      <c r="Y293" s="19"/>
      <c r="Z293" s="19"/>
      <c r="AA293" s="19"/>
      <c r="AB293" s="19"/>
      <c r="AC293" s="19"/>
      <c r="AD293" s="19"/>
      <c r="AE293" s="19"/>
      <c r="AF293" s="19"/>
      <c r="AG293" s="19"/>
      <c r="AH293" s="19"/>
      <c r="AI293" s="19"/>
      <c r="AJ293" s="19"/>
      <c r="AK293" s="19"/>
      <c r="AL293" s="19"/>
      <c r="AM293" s="19"/>
      <c r="AN293" s="19"/>
      <c r="AO293" s="19"/>
      <c r="AP293" s="19"/>
      <c r="AQ293" s="19"/>
      <c r="AR293" s="19"/>
      <c r="AS293" s="19"/>
      <c r="AT293" s="19"/>
      <c r="AU293" s="19"/>
      <c r="AV293" s="19"/>
      <c r="AW293" s="19"/>
      <c r="AX293" s="19"/>
      <c r="AY293" s="19"/>
      <c r="AZ293" s="19"/>
      <c r="BA293" s="19"/>
      <c r="BB293" s="19"/>
      <c r="BC293" s="19"/>
      <c r="BD293" s="19"/>
      <c r="BE293" s="19"/>
      <c r="BF293" s="19"/>
      <c r="BG293" s="19"/>
      <c r="BH293" s="19"/>
      <c r="BI293" s="19"/>
      <c r="BJ293" s="19"/>
      <c r="BK293" s="19"/>
      <c r="BL293" s="19"/>
      <c r="BM293" s="19"/>
      <c r="BN293" s="19"/>
      <c r="BO293" s="19"/>
      <c r="BP293" s="19"/>
      <c r="BQ293" s="19"/>
      <c r="BR293" s="19"/>
      <c r="BS293" s="19"/>
      <c r="BT293" s="19"/>
      <c r="BU293" s="19"/>
      <c r="BV293" s="19"/>
      <c r="BW293" s="19"/>
      <c r="BX293" s="19"/>
      <c r="BY293" s="19"/>
      <c r="BZ293" s="19"/>
      <c r="CA293" s="19"/>
      <c r="CB293" s="19"/>
      <c r="CC293" s="19"/>
      <c r="CD293" s="19"/>
      <c r="CE293" s="19"/>
      <c r="CF293" s="6"/>
    </row>
    <row r="294" spans="1:84">
      <c r="A294" s="17"/>
      <c r="B294" s="17"/>
      <c r="C294" s="17"/>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c r="AB294" s="19"/>
      <c r="AC294" s="19"/>
      <c r="AD294" s="19"/>
      <c r="AE294" s="19"/>
      <c r="AF294" s="19"/>
      <c r="AG294" s="19"/>
      <c r="AH294" s="19"/>
      <c r="AI294" s="19"/>
      <c r="AJ294" s="19"/>
      <c r="AK294" s="19"/>
      <c r="AL294" s="19"/>
      <c r="AM294" s="19"/>
      <c r="AN294" s="19"/>
      <c r="AO294" s="19"/>
      <c r="AP294" s="19"/>
      <c r="AQ294" s="19"/>
      <c r="AR294" s="19"/>
      <c r="AS294" s="19"/>
      <c r="AT294" s="19"/>
      <c r="AU294" s="19"/>
      <c r="AV294" s="19"/>
      <c r="AW294" s="19"/>
      <c r="AX294" s="19"/>
      <c r="AY294" s="19"/>
      <c r="AZ294" s="19"/>
      <c r="BA294" s="19"/>
      <c r="BB294" s="19"/>
      <c r="BC294" s="19"/>
      <c r="BD294" s="19"/>
      <c r="BE294" s="19"/>
      <c r="BF294" s="19"/>
      <c r="BG294" s="19"/>
      <c r="BH294" s="19"/>
      <c r="BI294" s="19"/>
      <c r="BJ294" s="19"/>
      <c r="BK294" s="19"/>
      <c r="BL294" s="19"/>
      <c r="BM294" s="19"/>
      <c r="BN294" s="19"/>
      <c r="BO294" s="19"/>
      <c r="BP294" s="19"/>
      <c r="BQ294" s="19"/>
      <c r="BR294" s="19"/>
      <c r="BS294" s="19"/>
      <c r="BT294" s="19"/>
      <c r="BU294" s="19"/>
      <c r="BV294" s="19"/>
      <c r="BW294" s="19"/>
      <c r="BX294" s="19"/>
      <c r="BY294" s="19"/>
      <c r="BZ294" s="19"/>
      <c r="CA294" s="19"/>
      <c r="CB294" s="19"/>
      <c r="CC294" s="19"/>
      <c r="CD294" s="19"/>
      <c r="CE294" s="19"/>
      <c r="CF294" s="6"/>
    </row>
    <row r="295" spans="1:84">
      <c r="A295" s="17"/>
      <c r="B295" s="17"/>
      <c r="C295" s="17"/>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9"/>
      <c r="AG295" s="19"/>
      <c r="AH295" s="19"/>
      <c r="AI295" s="19"/>
      <c r="AJ295" s="19"/>
      <c r="AK295" s="19"/>
      <c r="AL295" s="19"/>
      <c r="AM295" s="19"/>
      <c r="AN295" s="19"/>
      <c r="AO295" s="19"/>
      <c r="AP295" s="19"/>
      <c r="AQ295" s="19"/>
      <c r="AR295" s="19"/>
      <c r="AS295" s="19"/>
      <c r="AT295" s="19"/>
      <c r="AU295" s="19"/>
      <c r="AV295" s="19"/>
      <c r="AW295" s="19"/>
      <c r="AX295" s="19"/>
      <c r="AY295" s="19"/>
      <c r="AZ295" s="19"/>
      <c r="BA295" s="19"/>
      <c r="BB295" s="19"/>
      <c r="BC295" s="19"/>
      <c r="BD295" s="19"/>
      <c r="BE295" s="19"/>
      <c r="BF295" s="19"/>
      <c r="BG295" s="19"/>
      <c r="BH295" s="19"/>
      <c r="BI295" s="19"/>
      <c r="BJ295" s="19"/>
      <c r="BK295" s="19"/>
      <c r="BL295" s="19"/>
      <c r="BM295" s="19"/>
      <c r="BN295" s="19"/>
      <c r="BO295" s="19"/>
      <c r="BP295" s="19"/>
      <c r="BQ295" s="19"/>
      <c r="BR295" s="19"/>
      <c r="BS295" s="19"/>
      <c r="BT295" s="19"/>
      <c r="BU295" s="19"/>
      <c r="BV295" s="19"/>
      <c r="BW295" s="19"/>
      <c r="BX295" s="19"/>
      <c r="BY295" s="19"/>
      <c r="BZ295" s="19"/>
      <c r="CA295" s="19"/>
      <c r="CB295" s="19"/>
      <c r="CC295" s="19"/>
      <c r="CD295" s="19"/>
      <c r="CE295" s="19"/>
      <c r="CF295" s="6"/>
    </row>
    <row r="296" spans="1:84">
      <c r="A296" s="17"/>
      <c r="B296" s="17"/>
      <c r="C296" s="17"/>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19"/>
      <c r="AG296" s="19"/>
      <c r="AH296" s="19"/>
      <c r="AI296" s="19"/>
      <c r="AJ296" s="19"/>
      <c r="AK296" s="19"/>
      <c r="AL296" s="19"/>
      <c r="AM296" s="19"/>
      <c r="AN296" s="19"/>
      <c r="AO296" s="19"/>
      <c r="AP296" s="19"/>
      <c r="AQ296" s="19"/>
      <c r="AR296" s="19"/>
      <c r="AS296" s="19"/>
      <c r="AT296" s="19"/>
      <c r="AU296" s="19"/>
      <c r="AV296" s="19"/>
      <c r="AW296" s="19"/>
      <c r="AX296" s="19"/>
      <c r="AY296" s="19"/>
      <c r="AZ296" s="19"/>
      <c r="BA296" s="19"/>
      <c r="BB296" s="19"/>
      <c r="BC296" s="19"/>
      <c r="BD296" s="19"/>
      <c r="BE296" s="19"/>
      <c r="BF296" s="19"/>
      <c r="BG296" s="19"/>
      <c r="BH296" s="19"/>
      <c r="BI296" s="19"/>
      <c r="BJ296" s="19"/>
      <c r="BK296" s="19"/>
      <c r="BL296" s="19"/>
      <c r="BM296" s="19"/>
      <c r="BN296" s="19"/>
      <c r="BO296" s="19"/>
      <c r="BP296" s="19"/>
      <c r="BQ296" s="19"/>
      <c r="BR296" s="19"/>
      <c r="BS296" s="19"/>
      <c r="BT296" s="19"/>
      <c r="BU296" s="19"/>
      <c r="BV296" s="19"/>
      <c r="BW296" s="19"/>
      <c r="BX296" s="19"/>
      <c r="BY296" s="19"/>
      <c r="BZ296" s="19"/>
      <c r="CA296" s="19"/>
      <c r="CB296" s="19"/>
      <c r="CC296" s="19"/>
      <c r="CD296" s="19"/>
      <c r="CE296" s="19"/>
      <c r="CF296" s="6"/>
    </row>
    <row r="297" spans="1:84">
      <c r="A297" s="17"/>
      <c r="B297" s="17"/>
      <c r="C297" s="17"/>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r="AE297" s="19"/>
      <c r="AF297" s="19"/>
      <c r="AG297" s="19"/>
      <c r="AH297" s="19"/>
      <c r="AI297" s="19"/>
      <c r="AJ297" s="19"/>
      <c r="AK297" s="19"/>
      <c r="AL297" s="19"/>
      <c r="AM297" s="19"/>
      <c r="AN297" s="19"/>
      <c r="AO297" s="19"/>
      <c r="AP297" s="19"/>
      <c r="AQ297" s="19"/>
      <c r="AR297" s="19"/>
      <c r="AS297" s="19"/>
      <c r="AT297" s="19"/>
      <c r="AU297" s="19"/>
      <c r="AV297" s="19"/>
      <c r="AW297" s="19"/>
      <c r="AX297" s="19"/>
      <c r="AY297" s="19"/>
      <c r="AZ297" s="19"/>
      <c r="BA297" s="19"/>
      <c r="BB297" s="19"/>
      <c r="BC297" s="19"/>
      <c r="BD297" s="19"/>
      <c r="BE297" s="19"/>
      <c r="BF297" s="19"/>
      <c r="BG297" s="19"/>
      <c r="BH297" s="19"/>
      <c r="BI297" s="19"/>
      <c r="BJ297" s="19"/>
      <c r="BK297" s="19"/>
      <c r="BL297" s="19"/>
      <c r="BM297" s="19"/>
      <c r="BN297" s="19"/>
      <c r="BO297" s="19"/>
      <c r="BP297" s="19"/>
      <c r="BQ297" s="19"/>
      <c r="BR297" s="19"/>
      <c r="BS297" s="19"/>
      <c r="BT297" s="19"/>
      <c r="BU297" s="19"/>
      <c r="BV297" s="19"/>
      <c r="BW297" s="19"/>
      <c r="BX297" s="19"/>
      <c r="BY297" s="19"/>
      <c r="BZ297" s="19"/>
      <c r="CA297" s="19"/>
      <c r="CB297" s="19"/>
      <c r="CC297" s="19"/>
      <c r="CD297" s="19"/>
      <c r="CE297" s="19"/>
      <c r="CF297" s="6"/>
    </row>
    <row r="298" spans="1:84">
      <c r="A298" s="17"/>
      <c r="B298" s="17"/>
      <c r="C298" s="17"/>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19"/>
      <c r="AE298" s="19"/>
      <c r="AF298" s="19"/>
      <c r="AG298" s="19"/>
      <c r="AH298" s="19"/>
      <c r="AI298" s="19"/>
      <c r="AJ298" s="19"/>
      <c r="AK298" s="19"/>
      <c r="AL298" s="19"/>
      <c r="AM298" s="19"/>
      <c r="AN298" s="19"/>
      <c r="AO298" s="19"/>
      <c r="AP298" s="19"/>
      <c r="AQ298" s="19"/>
      <c r="AR298" s="19"/>
      <c r="AS298" s="19"/>
      <c r="AT298" s="19"/>
      <c r="AU298" s="19"/>
      <c r="AV298" s="19"/>
      <c r="AW298" s="19"/>
      <c r="AX298" s="19"/>
      <c r="AY298" s="19"/>
      <c r="AZ298" s="19"/>
      <c r="BA298" s="19"/>
      <c r="BB298" s="19"/>
      <c r="BC298" s="19"/>
      <c r="BD298" s="19"/>
      <c r="BE298" s="19"/>
      <c r="BF298" s="19"/>
      <c r="BG298" s="19"/>
      <c r="BH298" s="19"/>
      <c r="BI298" s="19"/>
      <c r="BJ298" s="19"/>
      <c r="BK298" s="19"/>
      <c r="BL298" s="19"/>
      <c r="BM298" s="19"/>
      <c r="BN298" s="19"/>
      <c r="BO298" s="19"/>
      <c r="BP298" s="19"/>
      <c r="BQ298" s="19"/>
      <c r="BR298" s="19"/>
      <c r="BS298" s="19"/>
      <c r="BT298" s="19"/>
      <c r="BU298" s="19"/>
      <c r="BV298" s="19"/>
      <c r="BW298" s="19"/>
      <c r="BX298" s="19"/>
      <c r="BY298" s="19"/>
      <c r="BZ298" s="19"/>
      <c r="CA298" s="19"/>
      <c r="CB298" s="19"/>
      <c r="CC298" s="19"/>
      <c r="CD298" s="19"/>
      <c r="CE298" s="19"/>
      <c r="CF298" s="6"/>
    </row>
    <row r="299" spans="1:84">
      <c r="A299" s="17"/>
      <c r="B299" s="17"/>
      <c r="C299" s="17"/>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19"/>
      <c r="AE299" s="19"/>
      <c r="AF299" s="19"/>
      <c r="AG299" s="19"/>
      <c r="AH299" s="19"/>
      <c r="AI299" s="19"/>
      <c r="AJ299" s="19"/>
      <c r="AK299" s="19"/>
      <c r="AL299" s="19"/>
      <c r="AM299" s="19"/>
      <c r="AN299" s="19"/>
      <c r="AO299" s="19"/>
      <c r="AP299" s="19"/>
      <c r="AQ299" s="19"/>
      <c r="AR299" s="19"/>
      <c r="AS299" s="19"/>
      <c r="AT299" s="19"/>
      <c r="AU299" s="19"/>
      <c r="AV299" s="19"/>
      <c r="AW299" s="19"/>
      <c r="AX299" s="19"/>
      <c r="AY299" s="19"/>
      <c r="AZ299" s="19"/>
      <c r="BA299" s="19"/>
      <c r="BB299" s="19"/>
      <c r="BC299" s="19"/>
      <c r="BD299" s="19"/>
      <c r="BE299" s="19"/>
      <c r="BF299" s="19"/>
      <c r="BG299" s="19"/>
      <c r="BH299" s="19"/>
      <c r="BI299" s="19"/>
      <c r="BJ299" s="19"/>
      <c r="BK299" s="19"/>
      <c r="BL299" s="19"/>
      <c r="BM299" s="19"/>
      <c r="BN299" s="19"/>
      <c r="BO299" s="19"/>
      <c r="BP299" s="19"/>
      <c r="BQ299" s="19"/>
      <c r="BR299" s="19"/>
      <c r="BS299" s="19"/>
      <c r="BT299" s="19"/>
      <c r="BU299" s="19"/>
      <c r="BV299" s="19"/>
      <c r="BW299" s="19"/>
      <c r="BX299" s="19"/>
      <c r="BY299" s="19"/>
      <c r="BZ299" s="19"/>
      <c r="CA299" s="19"/>
      <c r="CB299" s="19"/>
      <c r="CC299" s="19"/>
      <c r="CD299" s="19"/>
      <c r="CE299" s="19"/>
      <c r="CF299" s="6"/>
    </row>
    <row r="300" spans="1:84">
      <c r="A300" s="17"/>
      <c r="B300" s="17"/>
      <c r="C300" s="17"/>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19"/>
      <c r="AE300" s="19"/>
      <c r="AF300" s="19"/>
      <c r="AG300" s="19"/>
      <c r="AH300" s="19"/>
      <c r="AI300" s="19"/>
      <c r="AJ300" s="19"/>
      <c r="AK300" s="19"/>
      <c r="AL300" s="19"/>
      <c r="AM300" s="19"/>
      <c r="AN300" s="19"/>
      <c r="AO300" s="19"/>
      <c r="AP300" s="19"/>
      <c r="AQ300" s="19"/>
      <c r="AR300" s="19"/>
      <c r="AS300" s="19"/>
      <c r="AT300" s="19"/>
      <c r="AU300" s="19"/>
      <c r="AV300" s="19"/>
      <c r="AW300" s="19"/>
      <c r="AX300" s="19"/>
      <c r="AY300" s="19"/>
      <c r="AZ300" s="19"/>
      <c r="BA300" s="19"/>
      <c r="BB300" s="19"/>
      <c r="BC300" s="19"/>
      <c r="BD300" s="19"/>
      <c r="BE300" s="19"/>
      <c r="BF300" s="19"/>
      <c r="BG300" s="19"/>
      <c r="BH300" s="19"/>
      <c r="BI300" s="19"/>
      <c r="BJ300" s="19"/>
      <c r="BK300" s="19"/>
      <c r="BL300" s="19"/>
      <c r="BM300" s="19"/>
      <c r="BN300" s="19"/>
      <c r="BO300" s="19"/>
      <c r="BP300" s="19"/>
      <c r="BQ300" s="19"/>
      <c r="BR300" s="19"/>
      <c r="BS300" s="19"/>
      <c r="BT300" s="19"/>
      <c r="BU300" s="19"/>
      <c r="BV300" s="19"/>
      <c r="BW300" s="19"/>
      <c r="BX300" s="19"/>
      <c r="BY300" s="19"/>
      <c r="BZ300" s="19"/>
      <c r="CA300" s="19"/>
      <c r="CB300" s="19"/>
      <c r="CC300" s="19"/>
      <c r="CD300" s="19"/>
      <c r="CE300" s="19"/>
      <c r="CF300" s="6"/>
    </row>
    <row r="301" spans="1:84">
      <c r="A301" s="17"/>
      <c r="B301" s="17"/>
      <c r="C301" s="17"/>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19"/>
      <c r="AE301" s="19"/>
      <c r="AF301" s="19"/>
      <c r="AG301" s="19"/>
      <c r="AH301" s="19"/>
      <c r="AI301" s="19"/>
      <c r="AJ301" s="19"/>
      <c r="AK301" s="19"/>
      <c r="AL301" s="19"/>
      <c r="AM301" s="19"/>
      <c r="AN301" s="19"/>
      <c r="AO301" s="19"/>
      <c r="AP301" s="19"/>
      <c r="AQ301" s="19"/>
      <c r="AR301" s="19"/>
      <c r="AS301" s="19"/>
      <c r="AT301" s="19"/>
      <c r="AU301" s="19"/>
      <c r="AV301" s="19"/>
      <c r="AW301" s="19"/>
      <c r="AX301" s="19"/>
      <c r="AY301" s="19"/>
      <c r="AZ301" s="19"/>
      <c r="BA301" s="19"/>
      <c r="BB301" s="19"/>
      <c r="BC301" s="19"/>
      <c r="BD301" s="19"/>
      <c r="BE301" s="19"/>
      <c r="BF301" s="19"/>
      <c r="BG301" s="19"/>
      <c r="BH301" s="19"/>
      <c r="BI301" s="19"/>
      <c r="BJ301" s="19"/>
      <c r="BK301" s="19"/>
      <c r="BL301" s="19"/>
      <c r="BM301" s="19"/>
      <c r="BN301" s="19"/>
      <c r="BO301" s="19"/>
      <c r="BP301" s="19"/>
      <c r="BQ301" s="19"/>
      <c r="BR301" s="19"/>
      <c r="BS301" s="19"/>
      <c r="BT301" s="19"/>
      <c r="BU301" s="19"/>
      <c r="BV301" s="19"/>
      <c r="BW301" s="19"/>
      <c r="BX301" s="19"/>
      <c r="BY301" s="19"/>
      <c r="BZ301" s="19"/>
      <c r="CA301" s="19"/>
      <c r="CB301" s="19"/>
      <c r="CC301" s="19"/>
      <c r="CD301" s="19"/>
      <c r="CE301" s="19"/>
      <c r="CF301" s="6"/>
    </row>
    <row r="302" spans="1:84">
      <c r="A302" s="17"/>
      <c r="B302" s="17"/>
      <c r="C302" s="17"/>
      <c r="D302" s="19"/>
      <c r="E302" s="19"/>
      <c r="F302" s="19"/>
      <c r="G302" s="19"/>
      <c r="H302" s="19"/>
      <c r="I302" s="19"/>
      <c r="J302" s="19"/>
      <c r="K302" s="19"/>
      <c r="L302" s="19"/>
      <c r="M302" s="19"/>
      <c r="N302" s="19"/>
      <c r="O302" s="19"/>
      <c r="P302" s="19"/>
      <c r="Q302" s="19"/>
      <c r="R302" s="19"/>
      <c r="S302" s="19"/>
      <c r="T302" s="19"/>
      <c r="U302" s="19"/>
      <c r="V302" s="19"/>
      <c r="W302" s="19"/>
      <c r="X302" s="19"/>
      <c r="Y302" s="19"/>
      <c r="Z302" s="19"/>
      <c r="AA302" s="19"/>
      <c r="AB302" s="19"/>
      <c r="AC302" s="19"/>
      <c r="AD302" s="19"/>
      <c r="AE302" s="19"/>
      <c r="AF302" s="19"/>
      <c r="AG302" s="19"/>
      <c r="AH302" s="19"/>
      <c r="AI302" s="19"/>
      <c r="AJ302" s="19"/>
      <c r="AK302" s="19"/>
      <c r="AL302" s="19"/>
      <c r="AM302" s="19"/>
      <c r="AN302" s="19"/>
      <c r="AO302" s="19"/>
      <c r="AP302" s="19"/>
      <c r="AQ302" s="19"/>
      <c r="AR302" s="19"/>
      <c r="AS302" s="19"/>
      <c r="AT302" s="19"/>
      <c r="AU302" s="19"/>
      <c r="AV302" s="19"/>
      <c r="AW302" s="19"/>
      <c r="AX302" s="19"/>
      <c r="AY302" s="19"/>
      <c r="AZ302" s="19"/>
      <c r="BA302" s="19"/>
      <c r="BB302" s="19"/>
      <c r="BC302" s="19"/>
      <c r="BD302" s="19"/>
      <c r="BE302" s="19"/>
      <c r="BF302" s="19"/>
      <c r="BG302" s="19"/>
      <c r="BH302" s="19"/>
      <c r="BI302" s="19"/>
      <c r="BJ302" s="19"/>
      <c r="BK302" s="19"/>
      <c r="BL302" s="19"/>
      <c r="BM302" s="19"/>
      <c r="BN302" s="19"/>
      <c r="BO302" s="19"/>
      <c r="BP302" s="19"/>
      <c r="BQ302" s="19"/>
      <c r="BR302" s="19"/>
      <c r="BS302" s="19"/>
      <c r="BT302" s="19"/>
      <c r="BU302" s="19"/>
      <c r="BV302" s="19"/>
      <c r="BW302" s="19"/>
      <c r="BX302" s="19"/>
      <c r="BY302" s="19"/>
      <c r="BZ302" s="19"/>
      <c r="CA302" s="19"/>
      <c r="CB302" s="19"/>
      <c r="CC302" s="19"/>
      <c r="CD302" s="19"/>
      <c r="CE302" s="19"/>
      <c r="CF302" s="6"/>
    </row>
    <row r="303" spans="1:84">
      <c r="A303" s="17"/>
      <c r="B303" s="17"/>
      <c r="C303" s="17"/>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c r="AR303" s="19"/>
      <c r="AS303" s="19"/>
      <c r="AT303" s="19"/>
      <c r="AU303" s="19"/>
      <c r="AV303" s="19"/>
      <c r="AW303" s="19"/>
      <c r="AX303" s="19"/>
      <c r="AY303" s="19"/>
      <c r="AZ303" s="19"/>
      <c r="BA303" s="19"/>
      <c r="BB303" s="19"/>
      <c r="BC303" s="19"/>
      <c r="BD303" s="19"/>
      <c r="BE303" s="19"/>
      <c r="BF303" s="19"/>
      <c r="BG303" s="19"/>
      <c r="BH303" s="19"/>
      <c r="BI303" s="19"/>
      <c r="BJ303" s="19"/>
      <c r="BK303" s="19"/>
      <c r="BL303" s="19"/>
      <c r="BM303" s="19"/>
      <c r="BN303" s="19"/>
      <c r="BO303" s="19"/>
      <c r="BP303" s="19"/>
      <c r="BQ303" s="19"/>
      <c r="BR303" s="19"/>
      <c r="BS303" s="19"/>
      <c r="BT303" s="19"/>
      <c r="BU303" s="19"/>
      <c r="BV303" s="19"/>
      <c r="BW303" s="19"/>
      <c r="BX303" s="19"/>
      <c r="BY303" s="19"/>
      <c r="BZ303" s="19"/>
      <c r="CA303" s="19"/>
      <c r="CB303" s="19"/>
      <c r="CC303" s="19"/>
      <c r="CD303" s="19"/>
      <c r="CE303" s="19"/>
      <c r="CF303" s="6"/>
    </row>
    <row r="304" spans="1:84">
      <c r="A304" s="17"/>
      <c r="B304" s="17"/>
      <c r="C304" s="17"/>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c r="AS304" s="19"/>
      <c r="AT304" s="19"/>
      <c r="AU304" s="19"/>
      <c r="AV304" s="19"/>
      <c r="AW304" s="19"/>
      <c r="AX304" s="19"/>
      <c r="AY304" s="19"/>
      <c r="AZ304" s="19"/>
      <c r="BA304" s="19"/>
      <c r="BB304" s="19"/>
      <c r="BC304" s="19"/>
      <c r="BD304" s="19"/>
      <c r="BE304" s="19"/>
      <c r="BF304" s="19"/>
      <c r="BG304" s="19"/>
      <c r="BH304" s="19"/>
      <c r="BI304" s="19"/>
      <c r="BJ304" s="19"/>
      <c r="BK304" s="19"/>
      <c r="BL304" s="19"/>
      <c r="BM304" s="19"/>
      <c r="BN304" s="19"/>
      <c r="BO304" s="19"/>
      <c r="BP304" s="19"/>
      <c r="BQ304" s="19"/>
      <c r="BR304" s="19"/>
      <c r="BS304" s="19"/>
      <c r="BT304" s="19"/>
      <c r="BU304" s="19"/>
      <c r="BV304" s="19"/>
      <c r="BW304" s="19"/>
      <c r="BX304" s="19"/>
      <c r="BY304" s="19"/>
      <c r="BZ304" s="19"/>
      <c r="CA304" s="19"/>
      <c r="CB304" s="19"/>
      <c r="CC304" s="19"/>
      <c r="CD304" s="19"/>
      <c r="CE304" s="19"/>
      <c r="CF304" s="6"/>
    </row>
    <row r="305" spans="1:84">
      <c r="A305" s="17"/>
      <c r="B305" s="17"/>
      <c r="C305" s="17"/>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c r="AR305" s="19"/>
      <c r="AS305" s="19"/>
      <c r="AT305" s="19"/>
      <c r="AU305" s="19"/>
      <c r="AV305" s="19"/>
      <c r="AW305" s="19"/>
      <c r="AX305" s="19"/>
      <c r="AY305" s="19"/>
      <c r="AZ305" s="19"/>
      <c r="BA305" s="19"/>
      <c r="BB305" s="19"/>
      <c r="BC305" s="19"/>
      <c r="BD305" s="19"/>
      <c r="BE305" s="19"/>
      <c r="BF305" s="19"/>
      <c r="BG305" s="19"/>
      <c r="BH305" s="19"/>
      <c r="BI305" s="19"/>
      <c r="BJ305" s="19"/>
      <c r="BK305" s="19"/>
      <c r="BL305" s="19"/>
      <c r="BM305" s="19"/>
      <c r="BN305" s="19"/>
      <c r="BO305" s="19"/>
      <c r="BP305" s="19"/>
      <c r="BQ305" s="19"/>
      <c r="BR305" s="19"/>
      <c r="BS305" s="19"/>
      <c r="BT305" s="19"/>
      <c r="BU305" s="19"/>
      <c r="BV305" s="19"/>
      <c r="BW305" s="19"/>
      <c r="BX305" s="19"/>
      <c r="BY305" s="19"/>
      <c r="BZ305" s="19"/>
      <c r="CA305" s="19"/>
      <c r="CB305" s="19"/>
      <c r="CC305" s="19"/>
      <c r="CD305" s="19"/>
      <c r="CE305" s="19"/>
      <c r="CF305" s="6"/>
    </row>
    <row r="306" spans="1:84">
      <c r="A306" s="17"/>
      <c r="B306" s="17"/>
      <c r="C306" s="17"/>
      <c r="D306" s="19"/>
      <c r="E306" s="19"/>
      <c r="F306" s="19"/>
      <c r="G306" s="19"/>
      <c r="H306" s="19"/>
      <c r="I306" s="19"/>
      <c r="J306" s="19"/>
      <c r="K306" s="19"/>
      <c r="L306" s="19"/>
      <c r="M306" s="19"/>
      <c r="N306" s="19"/>
      <c r="O306" s="19"/>
      <c r="P306" s="19"/>
      <c r="Q306" s="19"/>
      <c r="R306" s="19"/>
      <c r="S306" s="19"/>
      <c r="T306" s="19"/>
      <c r="U306" s="19"/>
      <c r="V306" s="19"/>
      <c r="W306" s="19"/>
      <c r="X306" s="19"/>
      <c r="Y306" s="19"/>
      <c r="Z306" s="19"/>
      <c r="AA306" s="19"/>
      <c r="AB306" s="19"/>
      <c r="AC306" s="19"/>
      <c r="AD306" s="19"/>
      <c r="AE306" s="19"/>
      <c r="AF306" s="19"/>
      <c r="AG306" s="19"/>
      <c r="AH306" s="19"/>
      <c r="AI306" s="19"/>
      <c r="AJ306" s="19"/>
      <c r="AK306" s="19"/>
      <c r="AL306" s="19"/>
      <c r="AM306" s="19"/>
      <c r="AN306" s="19"/>
      <c r="AO306" s="19"/>
      <c r="AP306" s="19"/>
      <c r="AQ306" s="19"/>
      <c r="AR306" s="19"/>
      <c r="AS306" s="19"/>
      <c r="AT306" s="19"/>
      <c r="AU306" s="19"/>
      <c r="AV306" s="19"/>
      <c r="AW306" s="19"/>
      <c r="AX306" s="19"/>
      <c r="AY306" s="19"/>
      <c r="AZ306" s="19"/>
      <c r="BA306" s="19"/>
      <c r="BB306" s="19"/>
      <c r="BC306" s="19"/>
      <c r="BD306" s="19"/>
      <c r="BE306" s="19"/>
      <c r="BF306" s="19"/>
      <c r="BG306" s="19"/>
      <c r="BH306" s="19"/>
      <c r="BI306" s="19"/>
      <c r="BJ306" s="19"/>
      <c r="BK306" s="19"/>
      <c r="BL306" s="19"/>
      <c r="BM306" s="19"/>
      <c r="BN306" s="19"/>
      <c r="BO306" s="19"/>
      <c r="BP306" s="19"/>
      <c r="BQ306" s="19"/>
      <c r="BR306" s="19"/>
      <c r="BS306" s="19"/>
      <c r="BT306" s="19"/>
      <c r="BU306" s="19"/>
      <c r="BV306" s="19"/>
      <c r="BW306" s="19"/>
      <c r="BX306" s="19"/>
      <c r="BY306" s="19"/>
      <c r="BZ306" s="19"/>
      <c r="CA306" s="19"/>
      <c r="CB306" s="19"/>
      <c r="CC306" s="19"/>
      <c r="CD306" s="19"/>
      <c r="CE306" s="19"/>
      <c r="CF306" s="6"/>
    </row>
    <row r="307" spans="1:84">
      <c r="A307" s="17"/>
      <c r="B307" s="17"/>
      <c r="C307" s="17"/>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19"/>
      <c r="AG307" s="19"/>
      <c r="AH307" s="19"/>
      <c r="AI307" s="19"/>
      <c r="AJ307" s="19"/>
      <c r="AK307" s="19"/>
      <c r="AL307" s="19"/>
      <c r="AM307" s="19"/>
      <c r="AN307" s="19"/>
      <c r="AO307" s="19"/>
      <c r="AP307" s="19"/>
      <c r="AQ307" s="19"/>
      <c r="AR307" s="19"/>
      <c r="AS307" s="19"/>
      <c r="AT307" s="19"/>
      <c r="AU307" s="19"/>
      <c r="AV307" s="19"/>
      <c r="AW307" s="19"/>
      <c r="AX307" s="19"/>
      <c r="AY307" s="19"/>
      <c r="AZ307" s="19"/>
      <c r="BA307" s="19"/>
      <c r="BB307" s="19"/>
      <c r="BC307" s="19"/>
      <c r="BD307" s="19"/>
      <c r="BE307" s="19"/>
      <c r="BF307" s="19"/>
      <c r="BG307" s="19"/>
      <c r="BH307" s="19"/>
      <c r="BI307" s="19"/>
      <c r="BJ307" s="19"/>
      <c r="BK307" s="19"/>
      <c r="BL307" s="19"/>
      <c r="BM307" s="19"/>
      <c r="BN307" s="19"/>
      <c r="BO307" s="19"/>
      <c r="BP307" s="19"/>
      <c r="BQ307" s="19"/>
      <c r="BR307" s="19"/>
      <c r="BS307" s="19"/>
      <c r="BT307" s="19"/>
      <c r="BU307" s="19"/>
      <c r="BV307" s="19"/>
      <c r="BW307" s="19"/>
      <c r="BX307" s="19"/>
      <c r="BY307" s="19"/>
      <c r="BZ307" s="19"/>
      <c r="CA307" s="19"/>
      <c r="CB307" s="19"/>
      <c r="CC307" s="19"/>
      <c r="CD307" s="19"/>
      <c r="CE307" s="19"/>
      <c r="CF307" s="6"/>
    </row>
    <row r="308" spans="1:84">
      <c r="A308" s="17"/>
      <c r="B308" s="17"/>
      <c r="C308" s="17"/>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19"/>
      <c r="AE308" s="19"/>
      <c r="AF308" s="19"/>
      <c r="AG308" s="19"/>
      <c r="AH308" s="19"/>
      <c r="AI308" s="19"/>
      <c r="AJ308" s="19"/>
      <c r="AK308" s="19"/>
      <c r="AL308" s="19"/>
      <c r="AM308" s="19"/>
      <c r="AN308" s="19"/>
      <c r="AO308" s="19"/>
      <c r="AP308" s="19"/>
      <c r="AQ308" s="19"/>
      <c r="AR308" s="19"/>
      <c r="AS308" s="19"/>
      <c r="AT308" s="19"/>
      <c r="AU308" s="19"/>
      <c r="AV308" s="19"/>
      <c r="AW308" s="19"/>
      <c r="AX308" s="19"/>
      <c r="AY308" s="19"/>
      <c r="AZ308" s="19"/>
      <c r="BA308" s="19"/>
      <c r="BB308" s="19"/>
      <c r="BC308" s="19"/>
      <c r="BD308" s="19"/>
      <c r="BE308" s="19"/>
      <c r="BF308" s="19"/>
      <c r="BG308" s="19"/>
      <c r="BH308" s="19"/>
      <c r="BI308" s="19"/>
      <c r="BJ308" s="19"/>
      <c r="BK308" s="19"/>
      <c r="BL308" s="19"/>
      <c r="BM308" s="19"/>
      <c r="BN308" s="19"/>
      <c r="BO308" s="19"/>
      <c r="BP308" s="19"/>
      <c r="BQ308" s="19"/>
      <c r="BR308" s="19"/>
      <c r="BS308" s="19"/>
      <c r="BT308" s="19"/>
      <c r="BU308" s="19"/>
      <c r="BV308" s="19"/>
      <c r="BW308" s="19"/>
      <c r="BX308" s="19"/>
      <c r="BY308" s="19"/>
      <c r="BZ308" s="19"/>
      <c r="CA308" s="19"/>
      <c r="CB308" s="19"/>
      <c r="CC308" s="19"/>
      <c r="CD308" s="19"/>
      <c r="CE308" s="19"/>
      <c r="CF308" s="6"/>
    </row>
    <row r="309" spans="1:84">
      <c r="A309" s="17"/>
      <c r="B309" s="17"/>
      <c r="C309" s="17"/>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19"/>
      <c r="AE309" s="19"/>
      <c r="AF309" s="19"/>
      <c r="AG309" s="19"/>
      <c r="AH309" s="19"/>
      <c r="AI309" s="19"/>
      <c r="AJ309" s="19"/>
      <c r="AK309" s="19"/>
      <c r="AL309" s="19"/>
      <c r="AM309" s="19"/>
      <c r="AN309" s="19"/>
      <c r="AO309" s="19"/>
      <c r="AP309" s="19"/>
      <c r="AQ309" s="19"/>
      <c r="AR309" s="19"/>
      <c r="AS309" s="19"/>
      <c r="AT309" s="19"/>
      <c r="AU309" s="19"/>
      <c r="AV309" s="19"/>
      <c r="AW309" s="19"/>
      <c r="AX309" s="19"/>
      <c r="AY309" s="19"/>
      <c r="AZ309" s="19"/>
      <c r="BA309" s="19"/>
      <c r="BB309" s="19"/>
      <c r="BC309" s="19"/>
      <c r="BD309" s="19"/>
      <c r="BE309" s="19"/>
      <c r="BF309" s="19"/>
      <c r="BG309" s="19"/>
      <c r="BH309" s="19"/>
      <c r="BI309" s="19"/>
      <c r="BJ309" s="19"/>
      <c r="BK309" s="19"/>
      <c r="BL309" s="19"/>
      <c r="BM309" s="19"/>
      <c r="BN309" s="19"/>
      <c r="BO309" s="19"/>
      <c r="BP309" s="19"/>
      <c r="BQ309" s="19"/>
      <c r="BR309" s="19"/>
      <c r="BS309" s="19"/>
      <c r="BT309" s="19"/>
      <c r="BU309" s="19"/>
      <c r="BV309" s="19"/>
      <c r="BW309" s="19"/>
      <c r="BX309" s="19"/>
      <c r="BY309" s="19"/>
      <c r="BZ309" s="19"/>
      <c r="CA309" s="19"/>
      <c r="CB309" s="19"/>
      <c r="CC309" s="19"/>
      <c r="CD309" s="19"/>
      <c r="CE309" s="19"/>
      <c r="CF309" s="6"/>
    </row>
    <row r="310" spans="1:84">
      <c r="A310" s="17"/>
      <c r="B310" s="17"/>
      <c r="C310" s="17"/>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19"/>
      <c r="AE310" s="19"/>
      <c r="AF310" s="19"/>
      <c r="AG310" s="19"/>
      <c r="AH310" s="19"/>
      <c r="AI310" s="19"/>
      <c r="AJ310" s="19"/>
      <c r="AK310" s="19"/>
      <c r="AL310" s="19"/>
      <c r="AM310" s="19"/>
      <c r="AN310" s="19"/>
      <c r="AO310" s="19"/>
      <c r="AP310" s="19"/>
      <c r="AQ310" s="19"/>
      <c r="AR310" s="19"/>
      <c r="AS310" s="19"/>
      <c r="AT310" s="19"/>
      <c r="AU310" s="19"/>
      <c r="AV310" s="19"/>
      <c r="AW310" s="19"/>
      <c r="AX310" s="19"/>
      <c r="AY310" s="19"/>
      <c r="AZ310" s="19"/>
      <c r="BA310" s="19"/>
      <c r="BB310" s="19"/>
      <c r="BC310" s="19"/>
      <c r="BD310" s="19"/>
      <c r="BE310" s="19"/>
      <c r="BF310" s="19"/>
      <c r="BG310" s="19"/>
      <c r="BH310" s="19"/>
      <c r="BI310" s="19"/>
      <c r="BJ310" s="19"/>
      <c r="BK310" s="19"/>
      <c r="BL310" s="19"/>
      <c r="BM310" s="19"/>
      <c r="BN310" s="19"/>
      <c r="BO310" s="19"/>
      <c r="BP310" s="19"/>
      <c r="BQ310" s="19"/>
      <c r="BR310" s="19"/>
      <c r="BS310" s="19"/>
      <c r="BT310" s="19"/>
      <c r="BU310" s="19"/>
      <c r="BV310" s="19"/>
      <c r="BW310" s="19"/>
      <c r="BX310" s="19"/>
      <c r="BY310" s="19"/>
      <c r="BZ310" s="19"/>
      <c r="CA310" s="19"/>
      <c r="CB310" s="19"/>
      <c r="CC310" s="19"/>
      <c r="CD310" s="19"/>
      <c r="CE310" s="19"/>
      <c r="CF310" s="6"/>
    </row>
    <row r="311" spans="1:84">
      <c r="A311" s="17"/>
      <c r="B311" s="17"/>
      <c r="C311" s="17"/>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r="AE311" s="19"/>
      <c r="AF311" s="19"/>
      <c r="AG311" s="19"/>
      <c r="AH311" s="19"/>
      <c r="AI311" s="19"/>
      <c r="AJ311" s="19"/>
      <c r="AK311" s="19"/>
      <c r="AL311" s="19"/>
      <c r="AM311" s="19"/>
      <c r="AN311" s="19"/>
      <c r="AO311" s="19"/>
      <c r="AP311" s="19"/>
      <c r="AQ311" s="19"/>
      <c r="AR311" s="19"/>
      <c r="AS311" s="19"/>
      <c r="AT311" s="19"/>
      <c r="AU311" s="19"/>
      <c r="AV311" s="19"/>
      <c r="AW311" s="19"/>
      <c r="AX311" s="19"/>
      <c r="AY311" s="19"/>
      <c r="AZ311" s="19"/>
      <c r="BA311" s="19"/>
      <c r="BB311" s="19"/>
      <c r="BC311" s="19"/>
      <c r="BD311" s="19"/>
      <c r="BE311" s="19"/>
      <c r="BF311" s="19"/>
      <c r="BG311" s="19"/>
      <c r="BH311" s="19"/>
      <c r="BI311" s="19"/>
      <c r="BJ311" s="19"/>
      <c r="BK311" s="19"/>
      <c r="BL311" s="19"/>
      <c r="BM311" s="19"/>
      <c r="BN311" s="19"/>
      <c r="BO311" s="19"/>
      <c r="BP311" s="19"/>
      <c r="BQ311" s="19"/>
      <c r="BR311" s="19"/>
      <c r="BS311" s="19"/>
      <c r="BT311" s="19"/>
      <c r="BU311" s="19"/>
      <c r="BV311" s="19"/>
      <c r="BW311" s="19"/>
      <c r="BX311" s="19"/>
      <c r="BY311" s="19"/>
      <c r="BZ311" s="19"/>
      <c r="CA311" s="19"/>
      <c r="CB311" s="19"/>
      <c r="CC311" s="19"/>
      <c r="CD311" s="19"/>
      <c r="CE311" s="19"/>
      <c r="CF311" s="6"/>
    </row>
    <row r="312" spans="1:84">
      <c r="A312" s="17"/>
      <c r="B312" s="17"/>
      <c r="C312" s="17"/>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19"/>
      <c r="AE312" s="19"/>
      <c r="AF312" s="19"/>
      <c r="AG312" s="19"/>
      <c r="AH312" s="19"/>
      <c r="AI312" s="19"/>
      <c r="AJ312" s="19"/>
      <c r="AK312" s="19"/>
      <c r="AL312" s="19"/>
      <c r="AM312" s="19"/>
      <c r="AN312" s="19"/>
      <c r="AO312" s="19"/>
      <c r="AP312" s="19"/>
      <c r="AQ312" s="19"/>
      <c r="AR312" s="19"/>
      <c r="AS312" s="19"/>
      <c r="AT312" s="19"/>
      <c r="AU312" s="19"/>
      <c r="AV312" s="19"/>
      <c r="AW312" s="19"/>
      <c r="AX312" s="19"/>
      <c r="AY312" s="19"/>
      <c r="AZ312" s="19"/>
      <c r="BA312" s="19"/>
      <c r="BB312" s="19"/>
      <c r="BC312" s="19"/>
      <c r="BD312" s="19"/>
      <c r="BE312" s="19"/>
      <c r="BF312" s="19"/>
      <c r="BG312" s="19"/>
      <c r="BH312" s="19"/>
      <c r="BI312" s="19"/>
      <c r="BJ312" s="19"/>
      <c r="BK312" s="19"/>
      <c r="BL312" s="19"/>
      <c r="BM312" s="19"/>
      <c r="BN312" s="19"/>
      <c r="BO312" s="19"/>
      <c r="BP312" s="19"/>
      <c r="BQ312" s="19"/>
      <c r="BR312" s="19"/>
      <c r="BS312" s="19"/>
      <c r="BT312" s="19"/>
      <c r="BU312" s="19"/>
      <c r="BV312" s="19"/>
      <c r="BW312" s="19"/>
      <c r="BX312" s="19"/>
      <c r="BY312" s="19"/>
      <c r="BZ312" s="19"/>
      <c r="CA312" s="19"/>
      <c r="CB312" s="19"/>
      <c r="CC312" s="19"/>
      <c r="CD312" s="19"/>
      <c r="CE312" s="19"/>
      <c r="CF312" s="6"/>
    </row>
    <row r="313" spans="1:84">
      <c r="A313" s="17"/>
      <c r="B313" s="17"/>
      <c r="C313" s="17"/>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19"/>
      <c r="AE313" s="19"/>
      <c r="AF313" s="19"/>
      <c r="AG313" s="19"/>
      <c r="AH313" s="19"/>
      <c r="AI313" s="19"/>
      <c r="AJ313" s="19"/>
      <c r="AK313" s="19"/>
      <c r="AL313" s="19"/>
      <c r="AM313" s="19"/>
      <c r="AN313" s="19"/>
      <c r="AO313" s="19"/>
      <c r="AP313" s="19"/>
      <c r="AQ313" s="19"/>
      <c r="AR313" s="19"/>
      <c r="AS313" s="19"/>
      <c r="AT313" s="19"/>
      <c r="AU313" s="19"/>
      <c r="AV313" s="19"/>
      <c r="AW313" s="19"/>
      <c r="AX313" s="19"/>
      <c r="AY313" s="19"/>
      <c r="AZ313" s="19"/>
      <c r="BA313" s="19"/>
      <c r="BB313" s="19"/>
      <c r="BC313" s="19"/>
      <c r="BD313" s="19"/>
      <c r="BE313" s="19"/>
      <c r="BF313" s="19"/>
      <c r="BG313" s="19"/>
      <c r="BH313" s="19"/>
      <c r="BI313" s="19"/>
      <c r="BJ313" s="19"/>
      <c r="BK313" s="19"/>
      <c r="BL313" s="19"/>
      <c r="BM313" s="19"/>
      <c r="BN313" s="19"/>
      <c r="BO313" s="19"/>
      <c r="BP313" s="19"/>
      <c r="BQ313" s="19"/>
      <c r="BR313" s="19"/>
      <c r="BS313" s="19"/>
      <c r="BT313" s="19"/>
      <c r="BU313" s="19"/>
      <c r="BV313" s="19"/>
      <c r="BW313" s="19"/>
      <c r="BX313" s="19"/>
      <c r="BY313" s="19"/>
      <c r="BZ313" s="19"/>
      <c r="CA313" s="19"/>
      <c r="CB313" s="19"/>
      <c r="CC313" s="19"/>
      <c r="CD313" s="19"/>
      <c r="CE313" s="19"/>
      <c r="CF313" s="6"/>
    </row>
    <row r="314" spans="1:84">
      <c r="A314" s="17"/>
      <c r="B314" s="17"/>
      <c r="C314" s="17"/>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9"/>
      <c r="AG314" s="19"/>
      <c r="AH314" s="19"/>
      <c r="AI314" s="19"/>
      <c r="AJ314" s="19"/>
      <c r="AK314" s="19"/>
      <c r="AL314" s="19"/>
      <c r="AM314" s="19"/>
      <c r="AN314" s="19"/>
      <c r="AO314" s="19"/>
      <c r="AP314" s="19"/>
      <c r="AQ314" s="19"/>
      <c r="AR314" s="19"/>
      <c r="AS314" s="19"/>
      <c r="AT314" s="19"/>
      <c r="AU314" s="19"/>
      <c r="AV314" s="19"/>
      <c r="AW314" s="19"/>
      <c r="AX314" s="19"/>
      <c r="AY314" s="19"/>
      <c r="AZ314" s="19"/>
      <c r="BA314" s="19"/>
      <c r="BB314" s="19"/>
      <c r="BC314" s="19"/>
      <c r="BD314" s="19"/>
      <c r="BE314" s="19"/>
      <c r="BF314" s="19"/>
      <c r="BG314" s="19"/>
      <c r="BH314" s="19"/>
      <c r="BI314" s="19"/>
      <c r="BJ314" s="19"/>
      <c r="BK314" s="19"/>
      <c r="BL314" s="19"/>
      <c r="BM314" s="19"/>
      <c r="BN314" s="19"/>
      <c r="BO314" s="19"/>
      <c r="BP314" s="19"/>
      <c r="BQ314" s="19"/>
      <c r="BR314" s="19"/>
      <c r="BS314" s="19"/>
      <c r="BT314" s="19"/>
      <c r="BU314" s="19"/>
      <c r="BV314" s="19"/>
      <c r="BW314" s="19"/>
      <c r="BX314" s="19"/>
      <c r="BY314" s="19"/>
      <c r="BZ314" s="19"/>
      <c r="CA314" s="19"/>
      <c r="CB314" s="19"/>
      <c r="CC314" s="19"/>
      <c r="CD314" s="19"/>
      <c r="CE314" s="19"/>
      <c r="CF314" s="6"/>
    </row>
    <row r="315" spans="1:84">
      <c r="A315" s="17"/>
      <c r="B315" s="17"/>
      <c r="C315" s="17"/>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19"/>
      <c r="AE315" s="19"/>
      <c r="AF315" s="19"/>
      <c r="AG315" s="19"/>
      <c r="AH315" s="19"/>
      <c r="AI315" s="19"/>
      <c r="AJ315" s="19"/>
      <c r="AK315" s="19"/>
      <c r="AL315" s="19"/>
      <c r="AM315" s="19"/>
      <c r="AN315" s="19"/>
      <c r="AO315" s="19"/>
      <c r="AP315" s="19"/>
      <c r="AQ315" s="19"/>
      <c r="AR315" s="19"/>
      <c r="AS315" s="19"/>
      <c r="AT315" s="19"/>
      <c r="AU315" s="19"/>
      <c r="AV315" s="19"/>
      <c r="AW315" s="19"/>
      <c r="AX315" s="19"/>
      <c r="AY315" s="19"/>
      <c r="AZ315" s="19"/>
      <c r="BA315" s="19"/>
      <c r="BB315" s="19"/>
      <c r="BC315" s="19"/>
      <c r="BD315" s="19"/>
      <c r="BE315" s="19"/>
      <c r="BF315" s="19"/>
      <c r="BG315" s="19"/>
      <c r="BH315" s="19"/>
      <c r="BI315" s="19"/>
      <c r="BJ315" s="19"/>
      <c r="BK315" s="19"/>
      <c r="BL315" s="19"/>
      <c r="BM315" s="19"/>
      <c r="BN315" s="19"/>
      <c r="BO315" s="19"/>
      <c r="BP315" s="19"/>
      <c r="BQ315" s="19"/>
      <c r="BR315" s="19"/>
      <c r="BS315" s="19"/>
      <c r="BT315" s="19"/>
      <c r="BU315" s="19"/>
      <c r="BV315" s="19"/>
      <c r="BW315" s="19"/>
      <c r="BX315" s="19"/>
      <c r="BY315" s="19"/>
      <c r="BZ315" s="19"/>
      <c r="CA315" s="19"/>
      <c r="CB315" s="19"/>
      <c r="CC315" s="19"/>
      <c r="CD315" s="19"/>
      <c r="CE315" s="19"/>
      <c r="CF315" s="6"/>
    </row>
    <row r="316" spans="1:84">
      <c r="A316" s="17"/>
      <c r="B316" s="17"/>
      <c r="C316" s="17"/>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c r="AB316" s="19"/>
      <c r="AC316" s="19"/>
      <c r="AD316" s="19"/>
      <c r="AE316" s="19"/>
      <c r="AF316" s="19"/>
      <c r="AG316" s="19"/>
      <c r="AH316" s="19"/>
      <c r="AI316" s="19"/>
      <c r="AJ316" s="19"/>
      <c r="AK316" s="19"/>
      <c r="AL316" s="19"/>
      <c r="AM316" s="19"/>
      <c r="AN316" s="19"/>
      <c r="AO316" s="19"/>
      <c r="AP316" s="19"/>
      <c r="AQ316" s="19"/>
      <c r="AR316" s="19"/>
      <c r="AS316" s="19"/>
      <c r="AT316" s="19"/>
      <c r="AU316" s="19"/>
      <c r="AV316" s="19"/>
      <c r="AW316" s="19"/>
      <c r="AX316" s="19"/>
      <c r="AY316" s="19"/>
      <c r="AZ316" s="19"/>
      <c r="BA316" s="19"/>
      <c r="BB316" s="19"/>
      <c r="BC316" s="19"/>
      <c r="BD316" s="19"/>
      <c r="BE316" s="19"/>
      <c r="BF316" s="19"/>
      <c r="BG316" s="19"/>
      <c r="BH316" s="19"/>
      <c r="BI316" s="19"/>
      <c r="BJ316" s="19"/>
      <c r="BK316" s="19"/>
      <c r="BL316" s="19"/>
      <c r="BM316" s="19"/>
      <c r="BN316" s="19"/>
      <c r="BO316" s="19"/>
      <c r="BP316" s="19"/>
      <c r="BQ316" s="19"/>
      <c r="BR316" s="19"/>
      <c r="BS316" s="19"/>
      <c r="BT316" s="19"/>
      <c r="BU316" s="19"/>
      <c r="BV316" s="19"/>
      <c r="BW316" s="19"/>
      <c r="BX316" s="19"/>
      <c r="BY316" s="19"/>
      <c r="BZ316" s="19"/>
      <c r="CA316" s="19"/>
      <c r="CB316" s="19"/>
      <c r="CC316" s="19"/>
      <c r="CD316" s="19"/>
      <c r="CE316" s="19"/>
      <c r="CF316" s="6"/>
    </row>
    <row r="317" spans="1:84">
      <c r="A317" s="17"/>
      <c r="B317" s="17"/>
      <c r="C317" s="17"/>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c r="AB317" s="19"/>
      <c r="AC317" s="19"/>
      <c r="AD317" s="19"/>
      <c r="AE317" s="19"/>
      <c r="AF317" s="19"/>
      <c r="AG317" s="19"/>
      <c r="AH317" s="19"/>
      <c r="AI317" s="19"/>
      <c r="AJ317" s="19"/>
      <c r="AK317" s="19"/>
      <c r="AL317" s="19"/>
      <c r="AM317" s="19"/>
      <c r="AN317" s="19"/>
      <c r="AO317" s="19"/>
      <c r="AP317" s="19"/>
      <c r="AQ317" s="19"/>
      <c r="AR317" s="19"/>
      <c r="AS317" s="19"/>
      <c r="AT317" s="19"/>
      <c r="AU317" s="19"/>
      <c r="AV317" s="19"/>
      <c r="AW317" s="19"/>
      <c r="AX317" s="19"/>
      <c r="AY317" s="19"/>
      <c r="AZ317" s="19"/>
      <c r="BA317" s="19"/>
      <c r="BB317" s="19"/>
      <c r="BC317" s="19"/>
      <c r="BD317" s="19"/>
      <c r="BE317" s="19"/>
      <c r="BF317" s="19"/>
      <c r="BG317" s="19"/>
      <c r="BH317" s="19"/>
      <c r="BI317" s="19"/>
      <c r="BJ317" s="19"/>
      <c r="BK317" s="19"/>
      <c r="BL317" s="19"/>
      <c r="BM317" s="19"/>
      <c r="BN317" s="19"/>
      <c r="BO317" s="19"/>
      <c r="BP317" s="19"/>
      <c r="BQ317" s="19"/>
      <c r="BR317" s="19"/>
      <c r="BS317" s="19"/>
      <c r="BT317" s="19"/>
      <c r="BU317" s="19"/>
      <c r="BV317" s="19"/>
      <c r="BW317" s="19"/>
      <c r="BX317" s="19"/>
      <c r="BY317" s="19"/>
      <c r="BZ317" s="19"/>
      <c r="CA317" s="19"/>
      <c r="CB317" s="19"/>
      <c r="CC317" s="19"/>
      <c r="CD317" s="19"/>
      <c r="CE317" s="19"/>
      <c r="CF317" s="6"/>
    </row>
    <row r="318" spans="1:84">
      <c r="A318" s="17"/>
      <c r="B318" s="17"/>
      <c r="C318" s="17"/>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9"/>
      <c r="AB318" s="19"/>
      <c r="AC318" s="19"/>
      <c r="AD318" s="19"/>
      <c r="AE318" s="19"/>
      <c r="AF318" s="19"/>
      <c r="AG318" s="19"/>
      <c r="AH318" s="19"/>
      <c r="AI318" s="19"/>
      <c r="AJ318" s="19"/>
      <c r="AK318" s="19"/>
      <c r="AL318" s="19"/>
      <c r="AM318" s="19"/>
      <c r="AN318" s="19"/>
      <c r="AO318" s="19"/>
      <c r="AP318" s="19"/>
      <c r="AQ318" s="19"/>
      <c r="AR318" s="19"/>
      <c r="AS318" s="19"/>
      <c r="AT318" s="19"/>
      <c r="AU318" s="19"/>
      <c r="AV318" s="19"/>
      <c r="AW318" s="19"/>
      <c r="AX318" s="19"/>
      <c r="AY318" s="19"/>
      <c r="AZ318" s="19"/>
      <c r="BA318" s="19"/>
      <c r="BB318" s="19"/>
      <c r="BC318" s="19"/>
      <c r="BD318" s="19"/>
      <c r="BE318" s="19"/>
      <c r="BF318" s="19"/>
      <c r="BG318" s="19"/>
      <c r="BH318" s="19"/>
      <c r="BI318" s="19"/>
      <c r="BJ318" s="19"/>
      <c r="BK318" s="19"/>
      <c r="BL318" s="19"/>
      <c r="BM318" s="19"/>
      <c r="BN318" s="19"/>
      <c r="BO318" s="19"/>
      <c r="BP318" s="19"/>
      <c r="BQ318" s="19"/>
      <c r="BR318" s="19"/>
      <c r="BS318" s="19"/>
      <c r="BT318" s="19"/>
      <c r="BU318" s="19"/>
      <c r="BV318" s="19"/>
      <c r="BW318" s="19"/>
      <c r="BX318" s="19"/>
      <c r="BY318" s="19"/>
      <c r="BZ318" s="19"/>
      <c r="CA318" s="19"/>
      <c r="CB318" s="19"/>
      <c r="CC318" s="19"/>
      <c r="CD318" s="19"/>
      <c r="CE318" s="19"/>
      <c r="CF318" s="6"/>
    </row>
    <row r="319" spans="1:84">
      <c r="A319" s="17"/>
      <c r="B319" s="17"/>
      <c r="C319" s="17"/>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9"/>
      <c r="AB319" s="19"/>
      <c r="AC319" s="19"/>
      <c r="AD319" s="19"/>
      <c r="AE319" s="19"/>
      <c r="AF319" s="19"/>
      <c r="AG319" s="19"/>
      <c r="AH319" s="19"/>
      <c r="AI319" s="19"/>
      <c r="AJ319" s="19"/>
      <c r="AK319" s="19"/>
      <c r="AL319" s="19"/>
      <c r="AM319" s="19"/>
      <c r="AN319" s="19"/>
      <c r="AO319" s="19"/>
      <c r="AP319" s="19"/>
      <c r="AQ319" s="19"/>
      <c r="AR319" s="19"/>
      <c r="AS319" s="19"/>
      <c r="AT319" s="19"/>
      <c r="AU319" s="19"/>
      <c r="AV319" s="19"/>
      <c r="AW319" s="19"/>
      <c r="AX319" s="19"/>
      <c r="AY319" s="19"/>
      <c r="AZ319" s="19"/>
      <c r="BA319" s="19"/>
      <c r="BB319" s="19"/>
      <c r="BC319" s="19"/>
      <c r="BD319" s="19"/>
      <c r="BE319" s="19"/>
      <c r="BF319" s="19"/>
      <c r="BG319" s="19"/>
      <c r="BH319" s="19"/>
      <c r="BI319" s="19"/>
      <c r="BJ319" s="19"/>
      <c r="BK319" s="19"/>
      <c r="BL319" s="19"/>
      <c r="BM319" s="19"/>
      <c r="BN319" s="19"/>
      <c r="BO319" s="19"/>
      <c r="BP319" s="19"/>
      <c r="BQ319" s="19"/>
      <c r="BR319" s="19"/>
      <c r="BS319" s="19"/>
      <c r="BT319" s="19"/>
      <c r="BU319" s="19"/>
      <c r="BV319" s="19"/>
      <c r="BW319" s="19"/>
      <c r="BX319" s="19"/>
      <c r="BY319" s="19"/>
      <c r="BZ319" s="19"/>
      <c r="CA319" s="19"/>
      <c r="CB319" s="19"/>
      <c r="CC319" s="19"/>
      <c r="CD319" s="19"/>
      <c r="CE319" s="19"/>
      <c r="CF319" s="6"/>
    </row>
    <row r="320" spans="1:84">
      <c r="A320" s="17"/>
      <c r="B320" s="17"/>
      <c r="C320" s="17"/>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9"/>
      <c r="AB320" s="19"/>
      <c r="AC320" s="19"/>
      <c r="AD320" s="19"/>
      <c r="AE320" s="19"/>
      <c r="AF320" s="19"/>
      <c r="AG320" s="19"/>
      <c r="AH320" s="19"/>
      <c r="AI320" s="19"/>
      <c r="AJ320" s="19"/>
      <c r="AK320" s="19"/>
      <c r="AL320" s="19"/>
      <c r="AM320" s="19"/>
      <c r="AN320" s="19"/>
      <c r="AO320" s="19"/>
      <c r="AP320" s="19"/>
      <c r="AQ320" s="19"/>
      <c r="AR320" s="19"/>
      <c r="AS320" s="19"/>
      <c r="AT320" s="19"/>
      <c r="AU320" s="19"/>
      <c r="AV320" s="19"/>
      <c r="AW320" s="19"/>
      <c r="AX320" s="19"/>
      <c r="AY320" s="19"/>
      <c r="AZ320" s="19"/>
      <c r="BA320" s="19"/>
      <c r="BB320" s="19"/>
      <c r="BC320" s="19"/>
      <c r="BD320" s="19"/>
      <c r="BE320" s="19"/>
      <c r="BF320" s="19"/>
      <c r="BG320" s="19"/>
      <c r="BH320" s="19"/>
      <c r="BI320" s="19"/>
      <c r="BJ320" s="19"/>
      <c r="BK320" s="19"/>
      <c r="BL320" s="19"/>
      <c r="BM320" s="19"/>
      <c r="BN320" s="19"/>
      <c r="BO320" s="19"/>
      <c r="BP320" s="19"/>
      <c r="BQ320" s="19"/>
      <c r="BR320" s="19"/>
      <c r="BS320" s="19"/>
      <c r="BT320" s="19"/>
      <c r="BU320" s="19"/>
      <c r="BV320" s="19"/>
      <c r="BW320" s="19"/>
      <c r="BX320" s="19"/>
      <c r="BY320" s="19"/>
      <c r="BZ320" s="19"/>
      <c r="CA320" s="19"/>
      <c r="CB320" s="19"/>
      <c r="CC320" s="19"/>
      <c r="CD320" s="19"/>
      <c r="CE320" s="19"/>
      <c r="CF320" s="6"/>
    </row>
    <row r="321" spans="1:84">
      <c r="A321" s="17"/>
      <c r="B321" s="17"/>
      <c r="C321" s="17"/>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9"/>
      <c r="AB321" s="19"/>
      <c r="AC321" s="19"/>
      <c r="AD321" s="19"/>
      <c r="AE321" s="19"/>
      <c r="AF321" s="19"/>
      <c r="AG321" s="19"/>
      <c r="AH321" s="19"/>
      <c r="AI321" s="19"/>
      <c r="AJ321" s="19"/>
      <c r="AK321" s="19"/>
      <c r="AL321" s="19"/>
      <c r="AM321" s="19"/>
      <c r="AN321" s="19"/>
      <c r="AO321" s="19"/>
      <c r="AP321" s="19"/>
      <c r="AQ321" s="19"/>
      <c r="AR321" s="19"/>
      <c r="AS321" s="19"/>
      <c r="AT321" s="19"/>
      <c r="AU321" s="19"/>
      <c r="AV321" s="19"/>
      <c r="AW321" s="19"/>
      <c r="AX321" s="19"/>
      <c r="AY321" s="19"/>
      <c r="AZ321" s="19"/>
      <c r="BA321" s="19"/>
      <c r="BB321" s="19"/>
      <c r="BC321" s="19"/>
      <c r="BD321" s="19"/>
      <c r="BE321" s="19"/>
      <c r="BF321" s="19"/>
      <c r="BG321" s="19"/>
      <c r="BH321" s="19"/>
      <c r="BI321" s="19"/>
      <c r="BJ321" s="19"/>
      <c r="BK321" s="19"/>
      <c r="BL321" s="19"/>
      <c r="BM321" s="19"/>
      <c r="BN321" s="19"/>
      <c r="BO321" s="19"/>
      <c r="BP321" s="19"/>
      <c r="BQ321" s="19"/>
      <c r="BR321" s="19"/>
      <c r="BS321" s="19"/>
      <c r="BT321" s="19"/>
      <c r="BU321" s="19"/>
      <c r="BV321" s="19"/>
      <c r="BW321" s="19"/>
      <c r="BX321" s="19"/>
      <c r="BY321" s="19"/>
      <c r="BZ321" s="19"/>
      <c r="CA321" s="19"/>
      <c r="CB321" s="19"/>
      <c r="CC321" s="19"/>
      <c r="CD321" s="19"/>
      <c r="CE321" s="19"/>
      <c r="CF321" s="6"/>
    </row>
    <row r="322" spans="1:84">
      <c r="A322" s="17"/>
      <c r="B322" s="17"/>
      <c r="C322" s="17"/>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9"/>
      <c r="AB322" s="19"/>
      <c r="AC322" s="19"/>
      <c r="AD322" s="19"/>
      <c r="AE322" s="19"/>
      <c r="AF322" s="19"/>
      <c r="AG322" s="19"/>
      <c r="AH322" s="19"/>
      <c r="AI322" s="19"/>
      <c r="AJ322" s="19"/>
      <c r="AK322" s="19"/>
      <c r="AL322" s="19"/>
      <c r="AM322" s="19"/>
      <c r="AN322" s="19"/>
      <c r="AO322" s="19"/>
      <c r="AP322" s="19"/>
      <c r="AQ322" s="19"/>
      <c r="AR322" s="19"/>
      <c r="AS322" s="19"/>
      <c r="AT322" s="19"/>
      <c r="AU322" s="19"/>
      <c r="AV322" s="19"/>
      <c r="AW322" s="19"/>
      <c r="AX322" s="19"/>
      <c r="AY322" s="19"/>
      <c r="AZ322" s="19"/>
      <c r="BA322" s="19"/>
      <c r="BB322" s="19"/>
      <c r="BC322" s="19"/>
      <c r="BD322" s="19"/>
      <c r="BE322" s="19"/>
      <c r="BF322" s="19"/>
      <c r="BG322" s="19"/>
      <c r="BH322" s="19"/>
      <c r="BI322" s="19"/>
      <c r="BJ322" s="19"/>
      <c r="BK322" s="19"/>
      <c r="BL322" s="19"/>
      <c r="BM322" s="19"/>
      <c r="BN322" s="19"/>
      <c r="BO322" s="19"/>
      <c r="BP322" s="19"/>
      <c r="BQ322" s="19"/>
      <c r="BR322" s="19"/>
      <c r="BS322" s="19"/>
      <c r="BT322" s="19"/>
      <c r="BU322" s="19"/>
      <c r="BV322" s="19"/>
      <c r="BW322" s="19"/>
      <c r="BX322" s="19"/>
      <c r="BY322" s="19"/>
      <c r="BZ322" s="19"/>
      <c r="CA322" s="19"/>
      <c r="CB322" s="19"/>
      <c r="CC322" s="19"/>
      <c r="CD322" s="19"/>
      <c r="CE322" s="19"/>
      <c r="CF322" s="6"/>
    </row>
    <row r="323" spans="1:84">
      <c r="A323" s="17"/>
      <c r="B323" s="17"/>
      <c r="C323" s="17"/>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9"/>
      <c r="AB323" s="19"/>
      <c r="AC323" s="19"/>
      <c r="AD323" s="19"/>
      <c r="AE323" s="19"/>
      <c r="AF323" s="19"/>
      <c r="AG323" s="19"/>
      <c r="AH323" s="19"/>
      <c r="AI323" s="19"/>
      <c r="AJ323" s="19"/>
      <c r="AK323" s="19"/>
      <c r="AL323" s="19"/>
      <c r="AM323" s="19"/>
      <c r="AN323" s="19"/>
      <c r="AO323" s="19"/>
      <c r="AP323" s="19"/>
      <c r="AQ323" s="19"/>
      <c r="AR323" s="19"/>
      <c r="AS323" s="19"/>
      <c r="AT323" s="19"/>
      <c r="AU323" s="19"/>
      <c r="AV323" s="19"/>
      <c r="AW323" s="19"/>
      <c r="AX323" s="19"/>
      <c r="AY323" s="19"/>
      <c r="AZ323" s="19"/>
      <c r="BA323" s="19"/>
      <c r="BB323" s="19"/>
      <c r="BC323" s="19"/>
      <c r="BD323" s="19"/>
      <c r="BE323" s="19"/>
      <c r="BF323" s="19"/>
      <c r="BG323" s="19"/>
      <c r="BH323" s="19"/>
      <c r="BI323" s="19"/>
      <c r="BJ323" s="19"/>
      <c r="BK323" s="19"/>
      <c r="BL323" s="19"/>
      <c r="BM323" s="19"/>
      <c r="BN323" s="19"/>
      <c r="BO323" s="19"/>
      <c r="BP323" s="19"/>
      <c r="BQ323" s="19"/>
      <c r="BR323" s="19"/>
      <c r="BS323" s="19"/>
      <c r="BT323" s="19"/>
      <c r="BU323" s="19"/>
      <c r="BV323" s="19"/>
      <c r="BW323" s="19"/>
      <c r="BX323" s="19"/>
      <c r="BY323" s="19"/>
      <c r="BZ323" s="19"/>
      <c r="CA323" s="19"/>
      <c r="CB323" s="19"/>
      <c r="CC323" s="19"/>
      <c r="CD323" s="19"/>
      <c r="CE323" s="19"/>
      <c r="CF323" s="6"/>
    </row>
    <row r="324" spans="1:84">
      <c r="A324" s="17"/>
      <c r="B324" s="17"/>
      <c r="C324" s="17"/>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9"/>
      <c r="AB324" s="19"/>
      <c r="AC324" s="19"/>
      <c r="AD324" s="19"/>
      <c r="AE324" s="19"/>
      <c r="AF324" s="19"/>
      <c r="AG324" s="19"/>
      <c r="AH324" s="19"/>
      <c r="AI324" s="19"/>
      <c r="AJ324" s="19"/>
      <c r="AK324" s="19"/>
      <c r="AL324" s="19"/>
      <c r="AM324" s="19"/>
      <c r="AN324" s="19"/>
      <c r="AO324" s="19"/>
      <c r="AP324" s="19"/>
      <c r="AQ324" s="19"/>
      <c r="AR324" s="19"/>
      <c r="AS324" s="19"/>
      <c r="AT324" s="19"/>
      <c r="AU324" s="19"/>
      <c r="AV324" s="19"/>
      <c r="AW324" s="19"/>
      <c r="AX324" s="19"/>
      <c r="AY324" s="19"/>
      <c r="AZ324" s="19"/>
      <c r="BA324" s="19"/>
      <c r="BB324" s="19"/>
      <c r="BC324" s="19"/>
      <c r="BD324" s="19"/>
      <c r="BE324" s="19"/>
      <c r="BF324" s="19"/>
      <c r="BG324" s="19"/>
      <c r="BH324" s="19"/>
      <c r="BI324" s="19"/>
      <c r="BJ324" s="19"/>
      <c r="BK324" s="19"/>
      <c r="BL324" s="19"/>
      <c r="BM324" s="19"/>
      <c r="BN324" s="19"/>
      <c r="BO324" s="19"/>
      <c r="BP324" s="19"/>
      <c r="BQ324" s="19"/>
      <c r="BR324" s="19"/>
      <c r="BS324" s="19"/>
      <c r="BT324" s="19"/>
      <c r="BU324" s="19"/>
      <c r="BV324" s="19"/>
      <c r="BW324" s="19"/>
      <c r="BX324" s="19"/>
      <c r="BY324" s="19"/>
      <c r="BZ324" s="19"/>
      <c r="CA324" s="19"/>
      <c r="CB324" s="19"/>
      <c r="CC324" s="19"/>
      <c r="CD324" s="19"/>
      <c r="CE324" s="19"/>
      <c r="CF324" s="6"/>
    </row>
    <row r="325" spans="1:84">
      <c r="A325" s="17"/>
      <c r="B325" s="17"/>
      <c r="C325" s="17"/>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9"/>
      <c r="AB325" s="19"/>
      <c r="AC325" s="19"/>
      <c r="AD325" s="19"/>
      <c r="AE325" s="19"/>
      <c r="AF325" s="19"/>
      <c r="AG325" s="19"/>
      <c r="AH325" s="19"/>
      <c r="AI325" s="19"/>
      <c r="AJ325" s="19"/>
      <c r="AK325" s="19"/>
      <c r="AL325" s="19"/>
      <c r="AM325" s="19"/>
      <c r="AN325" s="19"/>
      <c r="AO325" s="19"/>
      <c r="AP325" s="19"/>
      <c r="AQ325" s="19"/>
      <c r="AR325" s="19"/>
      <c r="AS325" s="19"/>
      <c r="AT325" s="19"/>
      <c r="AU325" s="19"/>
      <c r="AV325" s="19"/>
      <c r="AW325" s="19"/>
      <c r="AX325" s="19"/>
      <c r="AY325" s="19"/>
      <c r="AZ325" s="19"/>
      <c r="BA325" s="19"/>
      <c r="BB325" s="19"/>
      <c r="BC325" s="19"/>
      <c r="BD325" s="19"/>
      <c r="BE325" s="19"/>
      <c r="BF325" s="19"/>
      <c r="BG325" s="19"/>
      <c r="BH325" s="19"/>
      <c r="BI325" s="19"/>
      <c r="BJ325" s="19"/>
      <c r="BK325" s="19"/>
      <c r="BL325" s="19"/>
      <c r="BM325" s="19"/>
      <c r="BN325" s="19"/>
      <c r="BO325" s="19"/>
      <c r="BP325" s="19"/>
      <c r="BQ325" s="19"/>
      <c r="BR325" s="19"/>
      <c r="BS325" s="19"/>
      <c r="BT325" s="19"/>
      <c r="BU325" s="19"/>
      <c r="BV325" s="19"/>
      <c r="BW325" s="19"/>
      <c r="BX325" s="19"/>
      <c r="BY325" s="19"/>
      <c r="BZ325" s="19"/>
      <c r="CA325" s="19"/>
      <c r="CB325" s="19"/>
      <c r="CC325" s="19"/>
      <c r="CD325" s="19"/>
      <c r="CE325" s="19"/>
      <c r="CF325" s="6"/>
    </row>
    <row r="326" spans="1:84">
      <c r="A326" s="17"/>
      <c r="B326" s="17"/>
      <c r="C326" s="17"/>
      <c r="D326" s="19"/>
      <c r="E326" s="19"/>
      <c r="F326" s="19"/>
      <c r="G326" s="19"/>
      <c r="H326" s="19"/>
      <c r="I326" s="19"/>
      <c r="J326" s="19"/>
      <c r="K326" s="19"/>
      <c r="L326" s="19"/>
      <c r="M326" s="19"/>
      <c r="N326" s="19"/>
      <c r="O326" s="19"/>
      <c r="P326" s="19"/>
      <c r="Q326" s="19"/>
      <c r="R326" s="19"/>
      <c r="S326" s="19"/>
      <c r="T326" s="19"/>
      <c r="U326" s="19"/>
      <c r="V326" s="19"/>
      <c r="W326" s="19"/>
      <c r="X326" s="19"/>
      <c r="Y326" s="19"/>
      <c r="Z326" s="19"/>
      <c r="AA326" s="19"/>
      <c r="AB326" s="19"/>
      <c r="AC326" s="19"/>
      <c r="AD326" s="19"/>
      <c r="AE326" s="19"/>
      <c r="AF326" s="19"/>
      <c r="AG326" s="19"/>
      <c r="AH326" s="19"/>
      <c r="AI326" s="19"/>
      <c r="AJ326" s="19"/>
      <c r="AK326" s="19"/>
      <c r="AL326" s="19"/>
      <c r="AM326" s="19"/>
      <c r="AN326" s="19"/>
      <c r="AO326" s="19"/>
      <c r="AP326" s="19"/>
      <c r="AQ326" s="19"/>
      <c r="AR326" s="19"/>
      <c r="AS326" s="19"/>
      <c r="AT326" s="19"/>
      <c r="AU326" s="19"/>
      <c r="AV326" s="19"/>
      <c r="AW326" s="19"/>
      <c r="AX326" s="19"/>
      <c r="AY326" s="19"/>
      <c r="AZ326" s="19"/>
      <c r="BA326" s="19"/>
      <c r="BB326" s="19"/>
      <c r="BC326" s="19"/>
      <c r="BD326" s="19"/>
      <c r="BE326" s="19"/>
      <c r="BF326" s="19"/>
      <c r="BG326" s="19"/>
      <c r="BH326" s="19"/>
      <c r="BI326" s="19"/>
      <c r="BJ326" s="19"/>
      <c r="BK326" s="19"/>
      <c r="BL326" s="19"/>
      <c r="BM326" s="19"/>
      <c r="BN326" s="19"/>
      <c r="BO326" s="19"/>
      <c r="BP326" s="19"/>
      <c r="BQ326" s="19"/>
      <c r="BR326" s="19"/>
      <c r="BS326" s="19"/>
      <c r="BT326" s="19"/>
      <c r="BU326" s="19"/>
      <c r="BV326" s="19"/>
      <c r="BW326" s="19"/>
      <c r="BX326" s="19"/>
      <c r="BY326" s="19"/>
      <c r="BZ326" s="19"/>
      <c r="CA326" s="19"/>
      <c r="CB326" s="19"/>
      <c r="CC326" s="19"/>
      <c r="CD326" s="19"/>
      <c r="CE326" s="19"/>
      <c r="CF326" s="6"/>
    </row>
    <row r="327" spans="1:84">
      <c r="A327" s="17"/>
      <c r="B327" s="17"/>
      <c r="C327" s="17"/>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9"/>
      <c r="AB327" s="19"/>
      <c r="AC327" s="19"/>
      <c r="AD327" s="19"/>
      <c r="AE327" s="19"/>
      <c r="AF327" s="19"/>
      <c r="AG327" s="19"/>
      <c r="AH327" s="19"/>
      <c r="AI327" s="19"/>
      <c r="AJ327" s="19"/>
      <c r="AK327" s="19"/>
      <c r="AL327" s="19"/>
      <c r="AM327" s="19"/>
      <c r="AN327" s="19"/>
      <c r="AO327" s="19"/>
      <c r="AP327" s="19"/>
      <c r="AQ327" s="19"/>
      <c r="AR327" s="19"/>
      <c r="AS327" s="19"/>
      <c r="AT327" s="19"/>
      <c r="AU327" s="19"/>
      <c r="AV327" s="19"/>
      <c r="AW327" s="19"/>
      <c r="AX327" s="19"/>
      <c r="AY327" s="19"/>
      <c r="AZ327" s="19"/>
      <c r="BA327" s="19"/>
      <c r="BB327" s="19"/>
      <c r="BC327" s="19"/>
      <c r="BD327" s="19"/>
      <c r="BE327" s="19"/>
      <c r="BF327" s="19"/>
      <c r="BG327" s="19"/>
      <c r="BH327" s="19"/>
      <c r="BI327" s="19"/>
      <c r="BJ327" s="19"/>
      <c r="BK327" s="19"/>
      <c r="BL327" s="19"/>
      <c r="BM327" s="19"/>
      <c r="BN327" s="19"/>
      <c r="BO327" s="19"/>
      <c r="BP327" s="19"/>
      <c r="BQ327" s="19"/>
      <c r="BR327" s="19"/>
      <c r="BS327" s="19"/>
      <c r="BT327" s="19"/>
      <c r="BU327" s="19"/>
      <c r="BV327" s="19"/>
      <c r="BW327" s="19"/>
      <c r="BX327" s="19"/>
      <c r="BY327" s="19"/>
      <c r="BZ327" s="19"/>
      <c r="CA327" s="19"/>
      <c r="CB327" s="19"/>
      <c r="CC327" s="19"/>
      <c r="CD327" s="19"/>
      <c r="CE327" s="19"/>
      <c r="CF327" s="6"/>
    </row>
    <row r="328" spans="1:84">
      <c r="A328" s="17"/>
      <c r="B328" s="17"/>
      <c r="C328" s="17"/>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9"/>
      <c r="AB328" s="19"/>
      <c r="AC328" s="19"/>
      <c r="AD328" s="19"/>
      <c r="AE328" s="19"/>
      <c r="AF328" s="19"/>
      <c r="AG328" s="19"/>
      <c r="AH328" s="19"/>
      <c r="AI328" s="19"/>
      <c r="AJ328" s="19"/>
      <c r="AK328" s="19"/>
      <c r="AL328" s="19"/>
      <c r="AM328" s="19"/>
      <c r="AN328" s="19"/>
      <c r="AO328" s="19"/>
      <c r="AP328" s="19"/>
      <c r="AQ328" s="19"/>
      <c r="AR328" s="19"/>
      <c r="AS328" s="19"/>
      <c r="AT328" s="19"/>
      <c r="AU328" s="19"/>
      <c r="AV328" s="19"/>
      <c r="AW328" s="19"/>
      <c r="AX328" s="19"/>
      <c r="AY328" s="19"/>
      <c r="AZ328" s="19"/>
      <c r="BA328" s="19"/>
      <c r="BB328" s="19"/>
      <c r="BC328" s="19"/>
      <c r="BD328" s="19"/>
      <c r="BE328" s="19"/>
      <c r="BF328" s="19"/>
      <c r="BG328" s="19"/>
      <c r="BH328" s="19"/>
      <c r="BI328" s="19"/>
      <c r="BJ328" s="19"/>
      <c r="BK328" s="19"/>
      <c r="BL328" s="19"/>
      <c r="BM328" s="19"/>
      <c r="BN328" s="19"/>
      <c r="BO328" s="19"/>
      <c r="BP328" s="19"/>
      <c r="BQ328" s="19"/>
      <c r="BR328" s="19"/>
      <c r="BS328" s="19"/>
      <c r="BT328" s="19"/>
      <c r="BU328" s="19"/>
      <c r="BV328" s="19"/>
      <c r="BW328" s="19"/>
      <c r="BX328" s="19"/>
      <c r="BY328" s="19"/>
      <c r="BZ328" s="19"/>
      <c r="CA328" s="19"/>
      <c r="CB328" s="19"/>
      <c r="CC328" s="19"/>
      <c r="CD328" s="19"/>
      <c r="CE328" s="19"/>
      <c r="CF328" s="6"/>
    </row>
    <row r="329" spans="1:84">
      <c r="A329" s="17"/>
      <c r="B329" s="17"/>
      <c r="C329" s="17"/>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9"/>
      <c r="AB329" s="19"/>
      <c r="AC329" s="19"/>
      <c r="AD329" s="19"/>
      <c r="AE329" s="19"/>
      <c r="AF329" s="19"/>
      <c r="AG329" s="19"/>
      <c r="AH329" s="19"/>
      <c r="AI329" s="19"/>
      <c r="AJ329" s="19"/>
      <c r="AK329" s="19"/>
      <c r="AL329" s="19"/>
      <c r="AM329" s="19"/>
      <c r="AN329" s="19"/>
      <c r="AO329" s="19"/>
      <c r="AP329" s="19"/>
      <c r="AQ329" s="19"/>
      <c r="AR329" s="19"/>
      <c r="AS329" s="19"/>
      <c r="AT329" s="19"/>
      <c r="AU329" s="19"/>
      <c r="AV329" s="19"/>
      <c r="AW329" s="19"/>
      <c r="AX329" s="19"/>
      <c r="AY329" s="19"/>
      <c r="AZ329" s="19"/>
      <c r="BA329" s="19"/>
      <c r="BB329" s="19"/>
      <c r="BC329" s="19"/>
      <c r="BD329" s="19"/>
      <c r="BE329" s="19"/>
      <c r="BF329" s="19"/>
      <c r="BG329" s="19"/>
      <c r="BH329" s="19"/>
      <c r="BI329" s="19"/>
      <c r="BJ329" s="19"/>
      <c r="BK329" s="19"/>
      <c r="BL329" s="19"/>
      <c r="BM329" s="19"/>
      <c r="BN329" s="19"/>
      <c r="BO329" s="19"/>
      <c r="BP329" s="19"/>
      <c r="BQ329" s="19"/>
      <c r="BR329" s="19"/>
      <c r="BS329" s="19"/>
      <c r="BT329" s="19"/>
      <c r="BU329" s="19"/>
      <c r="BV329" s="19"/>
      <c r="BW329" s="19"/>
      <c r="BX329" s="19"/>
      <c r="BY329" s="19"/>
      <c r="BZ329" s="19"/>
      <c r="CA329" s="19"/>
      <c r="CB329" s="19"/>
      <c r="CC329" s="19"/>
      <c r="CD329" s="19"/>
      <c r="CE329" s="19"/>
      <c r="CF329" s="6"/>
    </row>
    <row r="330" spans="1:84">
      <c r="A330" s="17"/>
      <c r="B330" s="17"/>
      <c r="C330" s="17"/>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9"/>
      <c r="AB330" s="19"/>
      <c r="AC330" s="19"/>
      <c r="AD330" s="19"/>
      <c r="AE330" s="19"/>
      <c r="AF330" s="19"/>
      <c r="AG330" s="19"/>
      <c r="AH330" s="19"/>
      <c r="AI330" s="19"/>
      <c r="AJ330" s="19"/>
      <c r="AK330" s="19"/>
      <c r="AL330" s="19"/>
      <c r="AM330" s="19"/>
      <c r="AN330" s="19"/>
      <c r="AO330" s="19"/>
      <c r="AP330" s="19"/>
      <c r="AQ330" s="19"/>
      <c r="AR330" s="19"/>
      <c r="AS330" s="19"/>
      <c r="AT330" s="19"/>
      <c r="AU330" s="19"/>
      <c r="AV330" s="19"/>
      <c r="AW330" s="19"/>
      <c r="AX330" s="19"/>
      <c r="AY330" s="19"/>
      <c r="AZ330" s="19"/>
      <c r="BA330" s="19"/>
      <c r="BB330" s="19"/>
      <c r="BC330" s="19"/>
      <c r="BD330" s="19"/>
      <c r="BE330" s="19"/>
      <c r="BF330" s="19"/>
      <c r="BG330" s="19"/>
      <c r="BH330" s="19"/>
      <c r="BI330" s="19"/>
      <c r="BJ330" s="19"/>
      <c r="BK330" s="19"/>
      <c r="BL330" s="19"/>
      <c r="BM330" s="19"/>
      <c r="BN330" s="19"/>
      <c r="BO330" s="19"/>
      <c r="BP330" s="19"/>
      <c r="BQ330" s="19"/>
      <c r="BR330" s="19"/>
      <c r="BS330" s="19"/>
      <c r="BT330" s="19"/>
      <c r="BU330" s="19"/>
      <c r="BV330" s="19"/>
      <c r="BW330" s="19"/>
      <c r="BX330" s="19"/>
      <c r="BY330" s="19"/>
      <c r="BZ330" s="19"/>
      <c r="CA330" s="19"/>
      <c r="CB330" s="19"/>
      <c r="CC330" s="19"/>
      <c r="CD330" s="19"/>
      <c r="CE330" s="19"/>
      <c r="CF330" s="6"/>
    </row>
    <row r="331" spans="1:84">
      <c r="A331" s="17"/>
      <c r="B331" s="17"/>
      <c r="C331" s="17"/>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9"/>
      <c r="AB331" s="19"/>
      <c r="AC331" s="19"/>
      <c r="AD331" s="19"/>
      <c r="AE331" s="19"/>
      <c r="AF331" s="19"/>
      <c r="AG331" s="19"/>
      <c r="AH331" s="19"/>
      <c r="AI331" s="19"/>
      <c r="AJ331" s="19"/>
      <c r="AK331" s="19"/>
      <c r="AL331" s="19"/>
      <c r="AM331" s="19"/>
      <c r="AN331" s="19"/>
      <c r="AO331" s="19"/>
      <c r="AP331" s="19"/>
      <c r="AQ331" s="19"/>
      <c r="AR331" s="19"/>
      <c r="AS331" s="19"/>
      <c r="AT331" s="19"/>
      <c r="AU331" s="19"/>
      <c r="AV331" s="19"/>
      <c r="AW331" s="19"/>
      <c r="AX331" s="19"/>
      <c r="AY331" s="19"/>
      <c r="AZ331" s="19"/>
      <c r="BA331" s="19"/>
      <c r="BB331" s="19"/>
      <c r="BC331" s="19"/>
      <c r="BD331" s="19"/>
      <c r="BE331" s="19"/>
      <c r="BF331" s="19"/>
      <c r="BG331" s="19"/>
      <c r="BH331" s="19"/>
      <c r="BI331" s="19"/>
      <c r="BJ331" s="19"/>
      <c r="BK331" s="19"/>
      <c r="BL331" s="19"/>
      <c r="BM331" s="19"/>
      <c r="BN331" s="19"/>
      <c r="BO331" s="19"/>
      <c r="BP331" s="19"/>
      <c r="BQ331" s="19"/>
      <c r="BR331" s="19"/>
      <c r="BS331" s="19"/>
      <c r="BT331" s="19"/>
      <c r="BU331" s="19"/>
      <c r="BV331" s="19"/>
      <c r="BW331" s="19"/>
      <c r="BX331" s="19"/>
      <c r="BY331" s="19"/>
      <c r="BZ331" s="19"/>
      <c r="CA331" s="19"/>
      <c r="CB331" s="19"/>
      <c r="CC331" s="19"/>
      <c r="CD331" s="19"/>
      <c r="CE331" s="19"/>
      <c r="CF331" s="6"/>
    </row>
    <row r="332" spans="1:84">
      <c r="A332" s="17"/>
      <c r="B332" s="17"/>
      <c r="C332" s="17"/>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9"/>
      <c r="AB332" s="19"/>
      <c r="AC332" s="19"/>
      <c r="AD332" s="19"/>
      <c r="AE332" s="19"/>
      <c r="AF332" s="19"/>
      <c r="AG332" s="19"/>
      <c r="AH332" s="19"/>
      <c r="AI332" s="19"/>
      <c r="AJ332" s="19"/>
      <c r="AK332" s="19"/>
      <c r="AL332" s="19"/>
      <c r="AM332" s="19"/>
      <c r="AN332" s="19"/>
      <c r="AO332" s="19"/>
      <c r="AP332" s="19"/>
      <c r="AQ332" s="19"/>
      <c r="AR332" s="19"/>
      <c r="AS332" s="19"/>
      <c r="AT332" s="19"/>
      <c r="AU332" s="19"/>
      <c r="AV332" s="19"/>
      <c r="AW332" s="19"/>
      <c r="AX332" s="19"/>
      <c r="AY332" s="19"/>
      <c r="AZ332" s="19"/>
      <c r="BA332" s="19"/>
      <c r="BB332" s="19"/>
      <c r="BC332" s="19"/>
      <c r="BD332" s="19"/>
      <c r="BE332" s="19"/>
      <c r="BF332" s="19"/>
      <c r="BG332" s="19"/>
      <c r="BH332" s="19"/>
      <c r="BI332" s="19"/>
      <c r="BJ332" s="19"/>
      <c r="BK332" s="19"/>
      <c r="BL332" s="19"/>
      <c r="BM332" s="19"/>
      <c r="BN332" s="19"/>
      <c r="BO332" s="19"/>
      <c r="BP332" s="19"/>
      <c r="BQ332" s="19"/>
      <c r="BR332" s="19"/>
      <c r="BS332" s="19"/>
      <c r="BT332" s="19"/>
      <c r="BU332" s="19"/>
      <c r="BV332" s="19"/>
      <c r="BW332" s="19"/>
      <c r="BX332" s="19"/>
      <c r="BY332" s="19"/>
      <c r="BZ332" s="19"/>
      <c r="CA332" s="19"/>
      <c r="CB332" s="19"/>
      <c r="CC332" s="19"/>
      <c r="CD332" s="19"/>
      <c r="CE332" s="19"/>
      <c r="CF332" s="6"/>
    </row>
    <row r="333" spans="1:84">
      <c r="A333" s="17"/>
      <c r="B333" s="17"/>
      <c r="C333" s="17"/>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9"/>
      <c r="AB333" s="19"/>
      <c r="AC333" s="19"/>
      <c r="AD333" s="19"/>
      <c r="AE333" s="19"/>
      <c r="AF333" s="19"/>
      <c r="AG333" s="19"/>
      <c r="AH333" s="19"/>
      <c r="AI333" s="19"/>
      <c r="AJ333" s="19"/>
      <c r="AK333" s="19"/>
      <c r="AL333" s="19"/>
      <c r="AM333" s="19"/>
      <c r="AN333" s="19"/>
      <c r="AO333" s="19"/>
      <c r="AP333" s="19"/>
      <c r="AQ333" s="19"/>
      <c r="AR333" s="19"/>
      <c r="AS333" s="19"/>
      <c r="AT333" s="19"/>
      <c r="AU333" s="19"/>
      <c r="AV333" s="19"/>
      <c r="AW333" s="19"/>
      <c r="AX333" s="19"/>
      <c r="AY333" s="19"/>
      <c r="AZ333" s="19"/>
      <c r="BA333" s="19"/>
      <c r="BB333" s="19"/>
      <c r="BC333" s="19"/>
      <c r="BD333" s="19"/>
      <c r="BE333" s="19"/>
      <c r="BF333" s="19"/>
      <c r="BG333" s="19"/>
      <c r="BH333" s="19"/>
      <c r="BI333" s="19"/>
      <c r="BJ333" s="19"/>
      <c r="BK333" s="19"/>
      <c r="BL333" s="19"/>
      <c r="BM333" s="19"/>
      <c r="BN333" s="19"/>
      <c r="BO333" s="19"/>
      <c r="BP333" s="19"/>
      <c r="BQ333" s="19"/>
      <c r="BR333" s="19"/>
      <c r="BS333" s="19"/>
      <c r="BT333" s="19"/>
      <c r="BU333" s="19"/>
      <c r="BV333" s="19"/>
      <c r="BW333" s="19"/>
      <c r="BX333" s="19"/>
      <c r="BY333" s="19"/>
      <c r="BZ333" s="19"/>
      <c r="CA333" s="19"/>
      <c r="CB333" s="19"/>
      <c r="CC333" s="19"/>
      <c r="CD333" s="19"/>
      <c r="CE333" s="19"/>
      <c r="CF333" s="6"/>
    </row>
    <row r="334" spans="1:84">
      <c r="A334" s="17"/>
      <c r="B334" s="17"/>
      <c r="C334" s="17"/>
      <c r="D334" s="19"/>
      <c r="E334" s="19"/>
      <c r="F334" s="19"/>
      <c r="G334" s="19"/>
      <c r="H334" s="19"/>
      <c r="I334" s="19"/>
      <c r="J334" s="19"/>
      <c r="K334" s="19"/>
      <c r="L334" s="19"/>
      <c r="M334" s="19"/>
      <c r="N334" s="19"/>
      <c r="O334" s="19"/>
      <c r="P334" s="19"/>
      <c r="Q334" s="19"/>
      <c r="R334" s="19"/>
      <c r="S334" s="19"/>
      <c r="T334" s="19"/>
      <c r="U334" s="19"/>
      <c r="V334" s="19"/>
      <c r="W334" s="19"/>
      <c r="X334" s="19"/>
      <c r="Y334" s="19"/>
      <c r="Z334" s="19"/>
      <c r="AA334" s="19"/>
      <c r="AB334" s="19"/>
      <c r="AC334" s="19"/>
      <c r="AD334" s="19"/>
      <c r="AE334" s="19"/>
      <c r="AF334" s="19"/>
      <c r="AG334" s="19"/>
      <c r="AH334" s="19"/>
      <c r="AI334" s="19"/>
      <c r="AJ334" s="19"/>
      <c r="AK334" s="19"/>
      <c r="AL334" s="19"/>
      <c r="AM334" s="19"/>
      <c r="AN334" s="19"/>
      <c r="AO334" s="19"/>
      <c r="AP334" s="19"/>
      <c r="AQ334" s="19"/>
      <c r="AR334" s="19"/>
      <c r="AS334" s="19"/>
      <c r="AT334" s="19"/>
      <c r="AU334" s="19"/>
      <c r="AV334" s="19"/>
      <c r="AW334" s="19"/>
      <c r="AX334" s="19"/>
      <c r="AY334" s="19"/>
      <c r="AZ334" s="19"/>
      <c r="BA334" s="19"/>
      <c r="BB334" s="19"/>
      <c r="BC334" s="19"/>
      <c r="BD334" s="19"/>
      <c r="BE334" s="19"/>
      <c r="BF334" s="19"/>
      <c r="BG334" s="19"/>
      <c r="BH334" s="19"/>
      <c r="BI334" s="19"/>
      <c r="BJ334" s="19"/>
      <c r="BK334" s="19"/>
      <c r="BL334" s="19"/>
      <c r="BM334" s="19"/>
      <c r="BN334" s="19"/>
      <c r="BO334" s="19"/>
      <c r="BP334" s="19"/>
      <c r="BQ334" s="19"/>
      <c r="BR334" s="19"/>
      <c r="BS334" s="19"/>
      <c r="BT334" s="19"/>
      <c r="BU334" s="19"/>
      <c r="BV334" s="19"/>
      <c r="BW334" s="19"/>
      <c r="BX334" s="19"/>
      <c r="BY334" s="19"/>
      <c r="BZ334" s="19"/>
      <c r="CA334" s="19"/>
      <c r="CB334" s="19"/>
      <c r="CC334" s="19"/>
      <c r="CD334" s="19"/>
      <c r="CE334" s="19"/>
      <c r="CF334" s="6"/>
    </row>
    <row r="335" spans="1:84">
      <c r="D335" s="6"/>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6"/>
      <c r="AZ335" s="6"/>
      <c r="BA335" s="6"/>
      <c r="BB335" s="6"/>
      <c r="BC335" s="6"/>
      <c r="BD335" s="6"/>
      <c r="BE335" s="6"/>
      <c r="BF335" s="6"/>
      <c r="BG335" s="6"/>
      <c r="BH335" s="6"/>
      <c r="BI335" s="6"/>
      <c r="BJ335" s="6"/>
      <c r="BK335" s="6"/>
      <c r="BL335" s="6"/>
      <c r="BM335" s="6"/>
      <c r="BN335" s="6"/>
      <c r="BO335" s="6"/>
      <c r="BP335" s="6"/>
      <c r="BQ335" s="6"/>
      <c r="BR335" s="6"/>
      <c r="BS335" s="6"/>
      <c r="BT335" s="6"/>
      <c r="BU335" s="6"/>
      <c r="BV335" s="6"/>
      <c r="BW335" s="6"/>
      <c r="BX335" s="6"/>
      <c r="BY335" s="6"/>
      <c r="BZ335" s="6"/>
      <c r="CA335" s="6"/>
      <c r="CB335" s="6"/>
      <c r="CC335" s="6"/>
      <c r="CD335" s="6"/>
      <c r="CE335" s="6"/>
      <c r="CF335" s="6"/>
    </row>
    <row r="336" spans="1:84">
      <c r="D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c r="AZ336" s="6"/>
      <c r="BA336" s="6"/>
      <c r="BB336" s="6"/>
      <c r="BC336" s="6"/>
      <c r="BD336" s="6"/>
      <c r="BE336" s="6"/>
      <c r="BF336" s="6"/>
      <c r="BG336" s="6"/>
      <c r="BH336" s="6"/>
      <c r="BI336" s="6"/>
      <c r="BJ336" s="6"/>
      <c r="BK336" s="6"/>
      <c r="BL336" s="6"/>
      <c r="BM336" s="6"/>
      <c r="BN336" s="6"/>
      <c r="BO336" s="6"/>
      <c r="BP336" s="6"/>
      <c r="BQ336" s="6"/>
      <c r="BR336" s="6"/>
      <c r="BS336" s="6"/>
      <c r="BT336" s="6"/>
      <c r="BU336" s="6"/>
      <c r="BV336" s="6"/>
      <c r="BW336" s="6"/>
      <c r="BX336" s="6"/>
      <c r="BY336" s="6"/>
      <c r="BZ336" s="6"/>
      <c r="CA336" s="6"/>
      <c r="CB336" s="6"/>
      <c r="CC336" s="6"/>
      <c r="CD336" s="6"/>
      <c r="CE336" s="6"/>
      <c r="CF336" s="6"/>
    </row>
    <row r="337" spans="4:84">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c r="AZ337" s="6"/>
      <c r="BA337" s="6"/>
      <c r="BB337" s="6"/>
      <c r="BC337" s="6"/>
      <c r="BD337" s="6"/>
      <c r="BE337" s="6"/>
      <c r="BF337" s="6"/>
      <c r="BG337" s="6"/>
      <c r="BH337" s="6"/>
      <c r="BI337" s="6"/>
      <c r="BJ337" s="6"/>
      <c r="BK337" s="6"/>
      <c r="BL337" s="6"/>
      <c r="BM337" s="6"/>
      <c r="BN337" s="6"/>
      <c r="BO337" s="6"/>
      <c r="BP337" s="6"/>
      <c r="BQ337" s="6"/>
      <c r="BR337" s="6"/>
      <c r="BS337" s="6"/>
      <c r="BT337" s="6"/>
      <c r="BU337" s="6"/>
      <c r="BV337" s="6"/>
      <c r="BW337" s="6"/>
      <c r="BX337" s="6"/>
      <c r="BY337" s="6"/>
      <c r="BZ337" s="6"/>
      <c r="CA337" s="6"/>
      <c r="CB337" s="6"/>
      <c r="CC337" s="6"/>
      <c r="CD337" s="6"/>
      <c r="CE337" s="6"/>
      <c r="CF337" s="6"/>
    </row>
    <row r="338" spans="4:84">
      <c r="D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c r="AZ338" s="6"/>
      <c r="BA338" s="6"/>
      <c r="BB338" s="6"/>
      <c r="BC338" s="6"/>
      <c r="BD338" s="6"/>
      <c r="BE338" s="6"/>
      <c r="BF338" s="6"/>
      <c r="BG338" s="6"/>
      <c r="BH338" s="6"/>
      <c r="BI338" s="6"/>
      <c r="BJ338" s="6"/>
      <c r="BK338" s="6"/>
      <c r="BL338" s="6"/>
      <c r="BM338" s="6"/>
      <c r="BN338" s="6"/>
      <c r="BO338" s="6"/>
      <c r="BP338" s="6"/>
      <c r="BQ338" s="6"/>
      <c r="BR338" s="6"/>
      <c r="BS338" s="6"/>
      <c r="BT338" s="6"/>
      <c r="BU338" s="6"/>
      <c r="BV338" s="6"/>
      <c r="BW338" s="6"/>
      <c r="BX338" s="6"/>
      <c r="BY338" s="6"/>
      <c r="BZ338" s="6"/>
      <c r="CA338" s="6"/>
      <c r="CB338" s="6"/>
      <c r="CC338" s="6"/>
      <c r="CD338" s="6"/>
      <c r="CE338" s="6"/>
      <c r="CF338" s="6"/>
    </row>
    <row r="339" spans="4:84">
      <c r="D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c r="AZ339" s="6"/>
      <c r="BA339" s="6"/>
      <c r="BB339" s="6"/>
      <c r="BC339" s="6"/>
      <c r="BD339" s="6"/>
      <c r="BE339" s="6"/>
      <c r="BF339" s="6"/>
      <c r="BG339" s="6"/>
      <c r="BH339" s="6"/>
      <c r="BI339" s="6"/>
      <c r="BJ339" s="6"/>
      <c r="BK339" s="6"/>
      <c r="BL339" s="6"/>
      <c r="BM339" s="6"/>
      <c r="BN339" s="6"/>
      <c r="BO339" s="6"/>
      <c r="BP339" s="6"/>
      <c r="BQ339" s="6"/>
      <c r="BR339" s="6"/>
      <c r="BS339" s="6"/>
      <c r="BT339" s="6"/>
      <c r="BU339" s="6"/>
      <c r="BV339" s="6"/>
      <c r="BW339" s="6"/>
      <c r="BX339" s="6"/>
      <c r="BY339" s="6"/>
      <c r="BZ339" s="6"/>
      <c r="CA339" s="6"/>
      <c r="CB339" s="6"/>
      <c r="CC339" s="6"/>
      <c r="CD339" s="6"/>
      <c r="CE339" s="6"/>
      <c r="CF339" s="6"/>
    </row>
    <row r="340" spans="4:84">
      <c r="D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c r="AZ340" s="6"/>
      <c r="BA340" s="6"/>
      <c r="BB340" s="6"/>
      <c r="BC340" s="6"/>
      <c r="BD340" s="6"/>
      <c r="BE340" s="6"/>
      <c r="BF340" s="6"/>
      <c r="BG340" s="6"/>
      <c r="BH340" s="6"/>
      <c r="BI340" s="6"/>
      <c r="BJ340" s="6"/>
      <c r="BK340" s="6"/>
      <c r="BL340" s="6"/>
      <c r="BM340" s="6"/>
      <c r="BN340" s="6"/>
      <c r="BO340" s="6"/>
      <c r="BP340" s="6"/>
      <c r="BQ340" s="6"/>
      <c r="BR340" s="6"/>
      <c r="BS340" s="6"/>
      <c r="BT340" s="6"/>
      <c r="BU340" s="6"/>
      <c r="BV340" s="6"/>
      <c r="BW340" s="6"/>
      <c r="BX340" s="6"/>
      <c r="BY340" s="6"/>
      <c r="BZ340" s="6"/>
      <c r="CA340" s="6"/>
      <c r="CB340" s="6"/>
      <c r="CC340" s="6"/>
      <c r="CD340" s="6"/>
      <c r="CE340" s="6"/>
      <c r="CF340" s="6"/>
    </row>
    <row r="341" spans="4:84">
      <c r="D341" s="6"/>
      <c r="E341" s="6"/>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6"/>
      <c r="AZ341" s="6"/>
      <c r="BA341" s="6"/>
      <c r="BB341" s="6"/>
      <c r="BC341" s="6"/>
      <c r="BD341" s="6"/>
      <c r="BE341" s="6"/>
      <c r="BF341" s="6"/>
      <c r="BG341" s="6"/>
      <c r="BH341" s="6"/>
      <c r="BI341" s="6"/>
      <c r="BJ341" s="6"/>
      <c r="BK341" s="6"/>
      <c r="BL341" s="6"/>
      <c r="BM341" s="6"/>
      <c r="BN341" s="6"/>
      <c r="BO341" s="6"/>
      <c r="BP341" s="6"/>
      <c r="BQ341" s="6"/>
      <c r="BR341" s="6"/>
      <c r="BS341" s="6"/>
      <c r="BT341" s="6"/>
      <c r="BU341" s="6"/>
      <c r="BV341" s="6"/>
      <c r="BW341" s="6"/>
      <c r="BX341" s="6"/>
      <c r="BY341" s="6"/>
      <c r="BZ341" s="6"/>
      <c r="CA341" s="6"/>
      <c r="CB341" s="6"/>
      <c r="CC341" s="6"/>
      <c r="CD341" s="6"/>
      <c r="CE341" s="6"/>
      <c r="CF341" s="6"/>
    </row>
    <row r="342" spans="4:84">
      <c r="D342" s="6"/>
      <c r="E342" s="6"/>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6"/>
      <c r="AZ342" s="6"/>
      <c r="BA342" s="6"/>
      <c r="BB342" s="6"/>
      <c r="BC342" s="6"/>
      <c r="BD342" s="6"/>
      <c r="BE342" s="6"/>
      <c r="BF342" s="6"/>
      <c r="BG342" s="6"/>
      <c r="BH342" s="6"/>
      <c r="BI342" s="6"/>
      <c r="BJ342" s="6"/>
      <c r="BK342" s="6"/>
      <c r="BL342" s="6"/>
      <c r="BM342" s="6"/>
      <c r="BN342" s="6"/>
      <c r="BO342" s="6"/>
      <c r="BP342" s="6"/>
      <c r="BQ342" s="6"/>
      <c r="BR342" s="6"/>
      <c r="BS342" s="6"/>
      <c r="BT342" s="6"/>
      <c r="BU342" s="6"/>
      <c r="BV342" s="6"/>
      <c r="BW342" s="6"/>
      <c r="BX342" s="6"/>
      <c r="BY342" s="6"/>
      <c r="BZ342" s="6"/>
      <c r="CA342" s="6"/>
      <c r="CB342" s="6"/>
      <c r="CC342" s="6"/>
      <c r="CD342" s="6"/>
      <c r="CE342" s="6"/>
      <c r="CF342" s="6"/>
    </row>
    <row r="343" spans="4:84">
      <c r="D343" s="6"/>
      <c r="E343" s="6"/>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6"/>
      <c r="AZ343" s="6"/>
      <c r="BA343" s="6"/>
      <c r="BB343" s="6"/>
      <c r="BC343" s="6"/>
      <c r="BD343" s="6"/>
      <c r="BE343" s="6"/>
      <c r="BF343" s="6"/>
      <c r="BG343" s="6"/>
      <c r="BH343" s="6"/>
      <c r="BI343" s="6"/>
      <c r="BJ343" s="6"/>
      <c r="BK343" s="6"/>
      <c r="BL343" s="6"/>
      <c r="BM343" s="6"/>
      <c r="BN343" s="6"/>
      <c r="BO343" s="6"/>
      <c r="BP343" s="6"/>
      <c r="BQ343" s="6"/>
      <c r="BR343" s="6"/>
      <c r="BS343" s="6"/>
      <c r="BT343" s="6"/>
      <c r="BU343" s="6"/>
      <c r="BV343" s="6"/>
      <c r="BW343" s="6"/>
      <c r="BX343" s="6"/>
      <c r="BY343" s="6"/>
      <c r="BZ343" s="6"/>
      <c r="CA343" s="6"/>
      <c r="CB343" s="6"/>
      <c r="CC343" s="6"/>
      <c r="CD343" s="6"/>
      <c r="CE343" s="6"/>
      <c r="CF343" s="6"/>
    </row>
    <row r="344" spans="4:84">
      <c r="D344" s="6"/>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c r="AZ344" s="6"/>
      <c r="BA344" s="6"/>
      <c r="BB344" s="6"/>
      <c r="BC344" s="6"/>
      <c r="BD344" s="6"/>
      <c r="BE344" s="6"/>
      <c r="BF344" s="6"/>
      <c r="BG344" s="6"/>
      <c r="BH344" s="6"/>
      <c r="BI344" s="6"/>
      <c r="BJ344" s="6"/>
      <c r="BK344" s="6"/>
      <c r="BL344" s="6"/>
      <c r="BM344" s="6"/>
      <c r="BN344" s="6"/>
      <c r="BO344" s="6"/>
      <c r="BP344" s="6"/>
      <c r="BQ344" s="6"/>
      <c r="BR344" s="6"/>
      <c r="BS344" s="6"/>
      <c r="BT344" s="6"/>
      <c r="BU344" s="6"/>
      <c r="BV344" s="6"/>
      <c r="BW344" s="6"/>
      <c r="BX344" s="6"/>
      <c r="BY344" s="6"/>
      <c r="BZ344" s="6"/>
      <c r="CA344" s="6"/>
      <c r="CB344" s="6"/>
      <c r="CC344" s="6"/>
      <c r="CD344" s="6"/>
      <c r="CE344" s="6"/>
      <c r="CF344" s="6"/>
    </row>
    <row r="345" spans="4:84">
      <c r="D345" s="6"/>
      <c r="E345" s="6"/>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c r="AZ345" s="6"/>
      <c r="BA345" s="6"/>
      <c r="BB345" s="6"/>
      <c r="BC345" s="6"/>
      <c r="BD345" s="6"/>
      <c r="BE345" s="6"/>
      <c r="BF345" s="6"/>
      <c r="BG345" s="6"/>
      <c r="BH345" s="6"/>
      <c r="BI345" s="6"/>
      <c r="BJ345" s="6"/>
      <c r="BK345" s="6"/>
      <c r="BL345" s="6"/>
      <c r="BM345" s="6"/>
      <c r="BN345" s="6"/>
      <c r="BO345" s="6"/>
      <c r="BP345" s="6"/>
      <c r="BQ345" s="6"/>
      <c r="BR345" s="6"/>
      <c r="BS345" s="6"/>
      <c r="BT345" s="6"/>
      <c r="BU345" s="6"/>
      <c r="BV345" s="6"/>
      <c r="BW345" s="6"/>
      <c r="BX345" s="6"/>
      <c r="BY345" s="6"/>
      <c r="BZ345" s="6"/>
      <c r="CA345" s="6"/>
      <c r="CB345" s="6"/>
      <c r="CC345" s="6"/>
      <c r="CD345" s="6"/>
      <c r="CE345" s="6"/>
      <c r="CF345" s="6"/>
    </row>
    <row r="346" spans="4:84">
      <c r="D346" s="6"/>
      <c r="E346" s="6"/>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6"/>
      <c r="AZ346" s="6"/>
      <c r="BA346" s="6"/>
      <c r="BB346" s="6"/>
      <c r="BC346" s="6"/>
      <c r="BD346" s="6"/>
      <c r="BE346" s="6"/>
      <c r="BF346" s="6"/>
      <c r="BG346" s="6"/>
      <c r="BH346" s="6"/>
      <c r="BI346" s="6"/>
      <c r="BJ346" s="6"/>
      <c r="BK346" s="6"/>
      <c r="BL346" s="6"/>
      <c r="BM346" s="6"/>
      <c r="BN346" s="6"/>
      <c r="BO346" s="6"/>
      <c r="BP346" s="6"/>
      <c r="BQ346" s="6"/>
      <c r="BR346" s="6"/>
      <c r="BS346" s="6"/>
      <c r="BT346" s="6"/>
      <c r="BU346" s="6"/>
      <c r="BV346" s="6"/>
      <c r="BW346" s="6"/>
      <c r="BX346" s="6"/>
      <c r="BY346" s="6"/>
      <c r="BZ346" s="6"/>
      <c r="CA346" s="6"/>
      <c r="CB346" s="6"/>
      <c r="CC346" s="6"/>
      <c r="CD346" s="6"/>
      <c r="CE346" s="6"/>
      <c r="CF346" s="6"/>
    </row>
    <row r="347" spans="4:84">
      <c r="D347" s="6"/>
      <c r="E347" s="6"/>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c r="AZ347" s="6"/>
      <c r="BA347" s="6"/>
      <c r="BB347" s="6"/>
      <c r="BC347" s="6"/>
      <c r="BD347" s="6"/>
      <c r="BE347" s="6"/>
      <c r="BF347" s="6"/>
      <c r="BG347" s="6"/>
      <c r="BH347" s="6"/>
      <c r="BI347" s="6"/>
      <c r="BJ347" s="6"/>
      <c r="BK347" s="6"/>
      <c r="BL347" s="6"/>
      <c r="BM347" s="6"/>
      <c r="BN347" s="6"/>
      <c r="BO347" s="6"/>
      <c r="BP347" s="6"/>
      <c r="BQ347" s="6"/>
      <c r="BR347" s="6"/>
      <c r="BS347" s="6"/>
      <c r="BT347" s="6"/>
      <c r="BU347" s="6"/>
      <c r="BV347" s="6"/>
      <c r="BW347" s="6"/>
      <c r="BX347" s="6"/>
      <c r="BY347" s="6"/>
      <c r="BZ347" s="6"/>
      <c r="CA347" s="6"/>
      <c r="CB347" s="6"/>
      <c r="CC347" s="6"/>
      <c r="CD347" s="6"/>
      <c r="CE347" s="6"/>
      <c r="CF347" s="6"/>
    </row>
    <row r="348" spans="4:84">
      <c r="D348" s="6"/>
      <c r="E348" s="6"/>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6"/>
      <c r="AZ348" s="6"/>
      <c r="BA348" s="6"/>
      <c r="BB348" s="6"/>
      <c r="BC348" s="6"/>
      <c r="BD348" s="6"/>
      <c r="BE348" s="6"/>
      <c r="BF348" s="6"/>
      <c r="BG348" s="6"/>
      <c r="BH348" s="6"/>
      <c r="BI348" s="6"/>
      <c r="BJ348" s="6"/>
      <c r="BK348" s="6"/>
      <c r="BL348" s="6"/>
      <c r="BM348" s="6"/>
      <c r="BN348" s="6"/>
      <c r="BO348" s="6"/>
      <c r="BP348" s="6"/>
      <c r="BQ348" s="6"/>
      <c r="BR348" s="6"/>
      <c r="BS348" s="6"/>
      <c r="BT348" s="6"/>
      <c r="BU348" s="6"/>
      <c r="BV348" s="6"/>
      <c r="BW348" s="6"/>
      <c r="BX348" s="6"/>
      <c r="BY348" s="6"/>
      <c r="BZ348" s="6"/>
      <c r="CA348" s="6"/>
      <c r="CB348" s="6"/>
      <c r="CC348" s="6"/>
      <c r="CD348" s="6"/>
      <c r="CE348" s="6"/>
      <c r="CF348" s="6"/>
    </row>
    <row r="349" spans="4:84">
      <c r="D349" s="6"/>
      <c r="E349" s="6"/>
      <c r="F349" s="6"/>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c r="AZ349" s="6"/>
      <c r="BA349" s="6"/>
      <c r="BB349" s="6"/>
      <c r="BC349" s="6"/>
      <c r="BD349" s="6"/>
      <c r="BE349" s="6"/>
      <c r="BF349" s="6"/>
      <c r="BG349" s="6"/>
      <c r="BH349" s="6"/>
      <c r="BI349" s="6"/>
      <c r="BJ349" s="6"/>
      <c r="BK349" s="6"/>
      <c r="BL349" s="6"/>
      <c r="BM349" s="6"/>
      <c r="BN349" s="6"/>
      <c r="BO349" s="6"/>
      <c r="BP349" s="6"/>
      <c r="BQ349" s="6"/>
      <c r="BR349" s="6"/>
      <c r="BS349" s="6"/>
      <c r="BT349" s="6"/>
      <c r="BU349" s="6"/>
      <c r="BV349" s="6"/>
      <c r="BW349" s="6"/>
      <c r="BX349" s="6"/>
      <c r="BY349" s="6"/>
      <c r="BZ349" s="6"/>
      <c r="CA349" s="6"/>
      <c r="CB349" s="6"/>
      <c r="CC349" s="6"/>
      <c r="CD349" s="6"/>
      <c r="CE349" s="6"/>
      <c r="CF349" s="6"/>
    </row>
    <row r="350" spans="4:84">
      <c r="D350" s="6"/>
      <c r="E350" s="6"/>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c r="AZ350" s="6"/>
      <c r="BA350" s="6"/>
      <c r="BB350" s="6"/>
      <c r="BC350" s="6"/>
      <c r="BD350" s="6"/>
      <c r="BE350" s="6"/>
      <c r="BF350" s="6"/>
      <c r="BG350" s="6"/>
      <c r="BH350" s="6"/>
      <c r="BI350" s="6"/>
      <c r="BJ350" s="6"/>
      <c r="BK350" s="6"/>
      <c r="BL350" s="6"/>
      <c r="BM350" s="6"/>
      <c r="BN350" s="6"/>
      <c r="BO350" s="6"/>
      <c r="BP350" s="6"/>
      <c r="BQ350" s="6"/>
      <c r="BR350" s="6"/>
      <c r="BS350" s="6"/>
      <c r="BT350" s="6"/>
      <c r="BU350" s="6"/>
      <c r="BV350" s="6"/>
      <c r="BW350" s="6"/>
      <c r="BX350" s="6"/>
      <c r="BY350" s="6"/>
      <c r="BZ350" s="6"/>
      <c r="CA350" s="6"/>
      <c r="CB350" s="6"/>
      <c r="CC350" s="6"/>
      <c r="CD350" s="6"/>
      <c r="CE350" s="6"/>
      <c r="CF350" s="6"/>
    </row>
    <row r="351" spans="4:84">
      <c r="D351" s="6"/>
      <c r="E351" s="6"/>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6"/>
      <c r="AZ351" s="6"/>
      <c r="BA351" s="6"/>
      <c r="BB351" s="6"/>
      <c r="BC351" s="6"/>
      <c r="BD351" s="6"/>
      <c r="BE351" s="6"/>
      <c r="BF351" s="6"/>
      <c r="BG351" s="6"/>
      <c r="BH351" s="6"/>
      <c r="BI351" s="6"/>
      <c r="BJ351" s="6"/>
      <c r="BK351" s="6"/>
      <c r="BL351" s="6"/>
      <c r="BM351" s="6"/>
      <c r="BN351" s="6"/>
      <c r="BO351" s="6"/>
      <c r="BP351" s="6"/>
      <c r="BQ351" s="6"/>
      <c r="BR351" s="6"/>
      <c r="BS351" s="6"/>
      <c r="BT351" s="6"/>
      <c r="BU351" s="6"/>
      <c r="BV351" s="6"/>
      <c r="BW351" s="6"/>
      <c r="BX351" s="6"/>
      <c r="BY351" s="6"/>
      <c r="BZ351" s="6"/>
      <c r="CA351" s="6"/>
      <c r="CB351" s="6"/>
      <c r="CC351" s="6"/>
      <c r="CD351" s="6"/>
      <c r="CE351" s="6"/>
      <c r="CF351" s="6"/>
    </row>
    <row r="352" spans="4:84">
      <c r="D352" s="6"/>
      <c r="E352" s="6"/>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c r="AZ352" s="6"/>
      <c r="BA352" s="6"/>
      <c r="BB352" s="6"/>
      <c r="BC352" s="6"/>
      <c r="BD352" s="6"/>
      <c r="BE352" s="6"/>
      <c r="BF352" s="6"/>
      <c r="BG352" s="6"/>
      <c r="BH352" s="6"/>
      <c r="BI352" s="6"/>
      <c r="BJ352" s="6"/>
      <c r="BK352" s="6"/>
      <c r="BL352" s="6"/>
      <c r="BM352" s="6"/>
      <c r="BN352" s="6"/>
      <c r="BO352" s="6"/>
      <c r="BP352" s="6"/>
      <c r="BQ352" s="6"/>
      <c r="BR352" s="6"/>
      <c r="BS352" s="6"/>
      <c r="BT352" s="6"/>
      <c r="BU352" s="6"/>
      <c r="BV352" s="6"/>
      <c r="BW352" s="6"/>
      <c r="BX352" s="6"/>
      <c r="BY352" s="6"/>
      <c r="BZ352" s="6"/>
      <c r="CA352" s="6"/>
      <c r="CB352" s="6"/>
      <c r="CC352" s="6"/>
      <c r="CD352" s="6"/>
      <c r="CE352" s="6"/>
      <c r="CF352" s="6"/>
    </row>
    <row r="353" spans="4:84">
      <c r="D353" s="6"/>
      <c r="E353" s="6"/>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c r="AZ353" s="6"/>
      <c r="BA353" s="6"/>
      <c r="BB353" s="6"/>
      <c r="BC353" s="6"/>
      <c r="BD353" s="6"/>
      <c r="BE353" s="6"/>
      <c r="BF353" s="6"/>
      <c r="BG353" s="6"/>
      <c r="BH353" s="6"/>
      <c r="BI353" s="6"/>
      <c r="BJ353" s="6"/>
      <c r="BK353" s="6"/>
      <c r="BL353" s="6"/>
      <c r="BM353" s="6"/>
      <c r="BN353" s="6"/>
      <c r="BO353" s="6"/>
      <c r="BP353" s="6"/>
      <c r="BQ353" s="6"/>
      <c r="BR353" s="6"/>
      <c r="BS353" s="6"/>
      <c r="BT353" s="6"/>
      <c r="BU353" s="6"/>
      <c r="BV353" s="6"/>
      <c r="BW353" s="6"/>
      <c r="BX353" s="6"/>
      <c r="BY353" s="6"/>
      <c r="BZ353" s="6"/>
      <c r="CA353" s="6"/>
      <c r="CB353" s="6"/>
      <c r="CC353" s="6"/>
      <c r="CD353" s="6"/>
      <c r="CE353" s="6"/>
      <c r="CF353" s="6"/>
    </row>
    <row r="354" spans="4:84">
      <c r="D354" s="6"/>
      <c r="E354" s="6"/>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6"/>
      <c r="AZ354" s="6"/>
      <c r="BA354" s="6"/>
      <c r="BB354" s="6"/>
      <c r="BC354" s="6"/>
      <c r="BD354" s="6"/>
      <c r="BE354" s="6"/>
      <c r="BF354" s="6"/>
      <c r="BG354" s="6"/>
      <c r="BH354" s="6"/>
      <c r="BI354" s="6"/>
      <c r="BJ354" s="6"/>
      <c r="BK354" s="6"/>
      <c r="BL354" s="6"/>
      <c r="BM354" s="6"/>
      <c r="BN354" s="6"/>
      <c r="BO354" s="6"/>
      <c r="BP354" s="6"/>
      <c r="BQ354" s="6"/>
      <c r="BR354" s="6"/>
      <c r="BS354" s="6"/>
      <c r="BT354" s="6"/>
      <c r="BU354" s="6"/>
      <c r="BV354" s="6"/>
      <c r="BW354" s="6"/>
      <c r="BX354" s="6"/>
      <c r="BY354" s="6"/>
      <c r="BZ354" s="6"/>
      <c r="CA354" s="6"/>
      <c r="CB354" s="6"/>
      <c r="CC354" s="6"/>
      <c r="CD354" s="6"/>
      <c r="CE354" s="6"/>
      <c r="CF354" s="6"/>
    </row>
    <row r="355" spans="4:84">
      <c r="D355" s="6"/>
      <c r="E355" s="6"/>
      <c r="F355" s="6"/>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6"/>
      <c r="AZ355" s="6"/>
      <c r="BA355" s="6"/>
      <c r="BB355" s="6"/>
      <c r="BC355" s="6"/>
      <c r="BD355" s="6"/>
      <c r="BE355" s="6"/>
      <c r="BF355" s="6"/>
      <c r="BG355" s="6"/>
      <c r="BH355" s="6"/>
      <c r="BI355" s="6"/>
      <c r="BJ355" s="6"/>
      <c r="BK355" s="6"/>
      <c r="BL355" s="6"/>
      <c r="BM355" s="6"/>
      <c r="BN355" s="6"/>
      <c r="BO355" s="6"/>
      <c r="BP355" s="6"/>
      <c r="BQ355" s="6"/>
      <c r="BR355" s="6"/>
      <c r="BS355" s="6"/>
      <c r="BT355" s="6"/>
      <c r="BU355" s="6"/>
      <c r="BV355" s="6"/>
      <c r="BW355" s="6"/>
      <c r="BX355" s="6"/>
      <c r="BY355" s="6"/>
      <c r="BZ355" s="6"/>
      <c r="CA355" s="6"/>
      <c r="CB355" s="6"/>
      <c r="CC355" s="6"/>
      <c r="CD355" s="6"/>
      <c r="CE355" s="6"/>
      <c r="CF355" s="6"/>
    </row>
    <row r="356" spans="4:84">
      <c r="D356" s="6"/>
      <c r="E356" s="6"/>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6"/>
      <c r="AZ356" s="6"/>
      <c r="BA356" s="6"/>
      <c r="BB356" s="6"/>
      <c r="BC356" s="6"/>
      <c r="BD356" s="6"/>
      <c r="BE356" s="6"/>
      <c r="BF356" s="6"/>
      <c r="BG356" s="6"/>
      <c r="BH356" s="6"/>
      <c r="BI356" s="6"/>
      <c r="BJ356" s="6"/>
      <c r="BK356" s="6"/>
      <c r="BL356" s="6"/>
      <c r="BM356" s="6"/>
      <c r="BN356" s="6"/>
      <c r="BO356" s="6"/>
      <c r="BP356" s="6"/>
      <c r="BQ356" s="6"/>
      <c r="BR356" s="6"/>
      <c r="BS356" s="6"/>
      <c r="BT356" s="6"/>
      <c r="BU356" s="6"/>
      <c r="BV356" s="6"/>
      <c r="BW356" s="6"/>
      <c r="BX356" s="6"/>
      <c r="BY356" s="6"/>
      <c r="BZ356" s="6"/>
      <c r="CA356" s="6"/>
      <c r="CB356" s="6"/>
      <c r="CC356" s="6"/>
      <c r="CD356" s="6"/>
      <c r="CE356" s="6"/>
      <c r="CF356" s="6"/>
    </row>
    <row r="357" spans="4:84">
      <c r="D357" s="6"/>
      <c r="E357" s="6"/>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6"/>
      <c r="AZ357" s="6"/>
      <c r="BA357" s="6"/>
      <c r="BB357" s="6"/>
      <c r="BC357" s="6"/>
      <c r="BD357" s="6"/>
      <c r="BE357" s="6"/>
      <c r="BF357" s="6"/>
      <c r="BG357" s="6"/>
      <c r="BH357" s="6"/>
      <c r="BI357" s="6"/>
      <c r="BJ357" s="6"/>
      <c r="BK357" s="6"/>
      <c r="BL357" s="6"/>
      <c r="BM357" s="6"/>
      <c r="BN357" s="6"/>
      <c r="BO357" s="6"/>
      <c r="BP357" s="6"/>
      <c r="BQ357" s="6"/>
      <c r="BR357" s="6"/>
      <c r="BS357" s="6"/>
      <c r="BT357" s="6"/>
      <c r="BU357" s="6"/>
      <c r="BV357" s="6"/>
      <c r="BW357" s="6"/>
      <c r="BX357" s="6"/>
      <c r="BY357" s="6"/>
      <c r="BZ357" s="6"/>
      <c r="CA357" s="6"/>
      <c r="CB357" s="6"/>
      <c r="CC357" s="6"/>
      <c r="CD357" s="6"/>
      <c r="CE357" s="6"/>
      <c r="CF357" s="6"/>
    </row>
    <row r="358" spans="4:84">
      <c r="D358" s="6"/>
      <c r="E358" s="6"/>
      <c r="F358" s="6"/>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6"/>
      <c r="AZ358" s="6"/>
      <c r="BA358" s="6"/>
      <c r="BB358" s="6"/>
      <c r="BC358" s="6"/>
      <c r="BD358" s="6"/>
      <c r="BE358" s="6"/>
      <c r="BF358" s="6"/>
      <c r="BG358" s="6"/>
      <c r="BH358" s="6"/>
      <c r="BI358" s="6"/>
      <c r="BJ358" s="6"/>
      <c r="BK358" s="6"/>
      <c r="BL358" s="6"/>
      <c r="BM358" s="6"/>
      <c r="BN358" s="6"/>
      <c r="BO358" s="6"/>
      <c r="BP358" s="6"/>
      <c r="BQ358" s="6"/>
      <c r="BR358" s="6"/>
      <c r="BS358" s="6"/>
      <c r="BT358" s="6"/>
      <c r="BU358" s="6"/>
      <c r="BV358" s="6"/>
      <c r="BW358" s="6"/>
      <c r="BX358" s="6"/>
      <c r="BY358" s="6"/>
      <c r="BZ358" s="6"/>
      <c r="CA358" s="6"/>
      <c r="CB358" s="6"/>
      <c r="CC358" s="6"/>
      <c r="CD358" s="6"/>
      <c r="CE358" s="6"/>
      <c r="CF358" s="6"/>
    </row>
    <row r="359" spans="4:84">
      <c r="D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c r="AZ359" s="6"/>
      <c r="BA359" s="6"/>
      <c r="BB359" s="6"/>
      <c r="BC359" s="6"/>
      <c r="BD359" s="6"/>
      <c r="BE359" s="6"/>
      <c r="BF359" s="6"/>
      <c r="BG359" s="6"/>
      <c r="BH359" s="6"/>
      <c r="BI359" s="6"/>
      <c r="BJ359" s="6"/>
      <c r="BK359" s="6"/>
      <c r="BL359" s="6"/>
      <c r="BM359" s="6"/>
      <c r="BN359" s="6"/>
      <c r="BO359" s="6"/>
      <c r="BP359" s="6"/>
      <c r="BQ359" s="6"/>
      <c r="BR359" s="6"/>
      <c r="BS359" s="6"/>
      <c r="BT359" s="6"/>
      <c r="BU359" s="6"/>
      <c r="BV359" s="6"/>
      <c r="BW359" s="6"/>
      <c r="BX359" s="6"/>
      <c r="BY359" s="6"/>
      <c r="BZ359" s="6"/>
      <c r="CA359" s="6"/>
      <c r="CB359" s="6"/>
      <c r="CC359" s="6"/>
      <c r="CD359" s="6"/>
      <c r="CE359" s="6"/>
      <c r="CF359" s="6"/>
    </row>
    <row r="360" spans="4:84">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c r="AU360" s="6"/>
      <c r="AV360" s="6"/>
      <c r="AW360" s="6"/>
      <c r="AX360" s="6"/>
      <c r="AY360" s="6"/>
      <c r="AZ360" s="6"/>
      <c r="BA360" s="6"/>
      <c r="BB360" s="6"/>
      <c r="BC360" s="6"/>
      <c r="BD360" s="6"/>
      <c r="BE360" s="6"/>
      <c r="BF360" s="6"/>
      <c r="BG360" s="6"/>
      <c r="BH360" s="6"/>
      <c r="BI360" s="6"/>
      <c r="BJ360" s="6"/>
      <c r="BK360" s="6"/>
      <c r="BL360" s="6"/>
      <c r="BM360" s="6"/>
      <c r="BN360" s="6"/>
      <c r="BO360" s="6"/>
      <c r="BP360" s="6"/>
      <c r="BQ360" s="6"/>
      <c r="BR360" s="6"/>
      <c r="BS360" s="6"/>
      <c r="BT360" s="6"/>
      <c r="BU360" s="6"/>
      <c r="BV360" s="6"/>
      <c r="BW360" s="6"/>
      <c r="BX360" s="6"/>
      <c r="BY360" s="6"/>
      <c r="BZ360" s="6"/>
      <c r="CA360" s="6"/>
      <c r="CB360" s="6"/>
      <c r="CC360" s="6"/>
      <c r="CD360" s="6"/>
      <c r="CE360" s="6"/>
      <c r="CF360" s="6"/>
    </row>
    <row r="361" spans="4:84">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c r="AZ361" s="6"/>
      <c r="BA361" s="6"/>
      <c r="BB361" s="6"/>
      <c r="BC361" s="6"/>
      <c r="BD361" s="6"/>
      <c r="BE361" s="6"/>
      <c r="BF361" s="6"/>
      <c r="BG361" s="6"/>
      <c r="BH361" s="6"/>
      <c r="BI361" s="6"/>
      <c r="BJ361" s="6"/>
      <c r="BK361" s="6"/>
      <c r="BL361" s="6"/>
      <c r="BM361" s="6"/>
      <c r="BN361" s="6"/>
      <c r="BO361" s="6"/>
      <c r="BP361" s="6"/>
      <c r="BQ361" s="6"/>
      <c r="BR361" s="6"/>
      <c r="BS361" s="6"/>
      <c r="BT361" s="6"/>
      <c r="BU361" s="6"/>
      <c r="BV361" s="6"/>
      <c r="BW361" s="6"/>
      <c r="BX361" s="6"/>
      <c r="BY361" s="6"/>
      <c r="BZ361" s="6"/>
      <c r="CA361" s="6"/>
      <c r="CB361" s="6"/>
      <c r="CC361" s="6"/>
      <c r="CD361" s="6"/>
      <c r="CE361" s="6"/>
      <c r="CF361" s="6"/>
    </row>
    <row r="362" spans="4:84">
      <c r="D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6"/>
      <c r="AX362" s="6"/>
      <c r="AY362" s="6"/>
      <c r="AZ362" s="6"/>
      <c r="BA362" s="6"/>
      <c r="BB362" s="6"/>
      <c r="BC362" s="6"/>
      <c r="BD362" s="6"/>
      <c r="BE362" s="6"/>
      <c r="BF362" s="6"/>
      <c r="BG362" s="6"/>
      <c r="BH362" s="6"/>
      <c r="BI362" s="6"/>
      <c r="BJ362" s="6"/>
      <c r="BK362" s="6"/>
      <c r="BL362" s="6"/>
      <c r="BM362" s="6"/>
      <c r="BN362" s="6"/>
      <c r="BO362" s="6"/>
      <c r="BP362" s="6"/>
      <c r="BQ362" s="6"/>
      <c r="BR362" s="6"/>
      <c r="BS362" s="6"/>
      <c r="BT362" s="6"/>
      <c r="BU362" s="6"/>
      <c r="BV362" s="6"/>
      <c r="BW362" s="6"/>
      <c r="BX362" s="6"/>
      <c r="BY362" s="6"/>
      <c r="BZ362" s="6"/>
      <c r="CA362" s="6"/>
      <c r="CB362" s="6"/>
      <c r="CC362" s="6"/>
      <c r="CD362" s="6"/>
      <c r="CE362" s="6"/>
      <c r="CF362" s="6"/>
    </row>
    <row r="363" spans="4:84">
      <c r="D363" s="6"/>
      <c r="E363" s="6"/>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c r="AU363" s="6"/>
      <c r="AV363" s="6"/>
      <c r="AW363" s="6"/>
      <c r="AX363" s="6"/>
      <c r="AY363" s="6"/>
      <c r="AZ363" s="6"/>
      <c r="BA363" s="6"/>
      <c r="BB363" s="6"/>
      <c r="BC363" s="6"/>
      <c r="BD363" s="6"/>
      <c r="BE363" s="6"/>
      <c r="BF363" s="6"/>
      <c r="BG363" s="6"/>
      <c r="BH363" s="6"/>
      <c r="BI363" s="6"/>
      <c r="BJ363" s="6"/>
      <c r="BK363" s="6"/>
      <c r="BL363" s="6"/>
      <c r="BM363" s="6"/>
      <c r="BN363" s="6"/>
      <c r="BO363" s="6"/>
      <c r="BP363" s="6"/>
      <c r="BQ363" s="6"/>
      <c r="BR363" s="6"/>
      <c r="BS363" s="6"/>
      <c r="BT363" s="6"/>
      <c r="BU363" s="6"/>
      <c r="BV363" s="6"/>
      <c r="BW363" s="6"/>
      <c r="BX363" s="6"/>
      <c r="BY363" s="6"/>
      <c r="BZ363" s="6"/>
      <c r="CA363" s="6"/>
      <c r="CB363" s="6"/>
      <c r="CC363" s="6"/>
      <c r="CD363" s="6"/>
      <c r="CE363" s="6"/>
      <c r="CF363" s="6"/>
    </row>
    <row r="364" spans="4:84">
      <c r="D364" s="6"/>
      <c r="E364" s="6"/>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c r="AU364" s="6"/>
      <c r="AV364" s="6"/>
      <c r="AW364" s="6"/>
      <c r="AX364" s="6"/>
      <c r="AY364" s="6"/>
      <c r="AZ364" s="6"/>
      <c r="BA364" s="6"/>
      <c r="BB364" s="6"/>
      <c r="BC364" s="6"/>
      <c r="BD364" s="6"/>
      <c r="BE364" s="6"/>
      <c r="BF364" s="6"/>
      <c r="BG364" s="6"/>
      <c r="BH364" s="6"/>
      <c r="BI364" s="6"/>
      <c r="BJ364" s="6"/>
      <c r="BK364" s="6"/>
      <c r="BL364" s="6"/>
      <c r="BM364" s="6"/>
      <c r="BN364" s="6"/>
      <c r="BO364" s="6"/>
      <c r="BP364" s="6"/>
      <c r="BQ364" s="6"/>
      <c r="BR364" s="6"/>
      <c r="BS364" s="6"/>
      <c r="BT364" s="6"/>
      <c r="BU364" s="6"/>
      <c r="BV364" s="6"/>
      <c r="BW364" s="6"/>
      <c r="BX364" s="6"/>
      <c r="BY364" s="6"/>
      <c r="BZ364" s="6"/>
      <c r="CA364" s="6"/>
      <c r="CB364" s="6"/>
      <c r="CC364" s="6"/>
      <c r="CD364" s="6"/>
      <c r="CE364" s="6"/>
      <c r="CF364" s="6"/>
    </row>
    <row r="365" spans="4:84">
      <c r="D365" s="6"/>
      <c r="E365" s="6"/>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c r="AU365" s="6"/>
      <c r="AV365" s="6"/>
      <c r="AW365" s="6"/>
      <c r="AX365" s="6"/>
      <c r="AY365" s="6"/>
      <c r="AZ365" s="6"/>
      <c r="BA365" s="6"/>
      <c r="BB365" s="6"/>
      <c r="BC365" s="6"/>
      <c r="BD365" s="6"/>
      <c r="BE365" s="6"/>
      <c r="BF365" s="6"/>
      <c r="BG365" s="6"/>
      <c r="BH365" s="6"/>
      <c r="BI365" s="6"/>
      <c r="BJ365" s="6"/>
      <c r="BK365" s="6"/>
      <c r="BL365" s="6"/>
      <c r="BM365" s="6"/>
      <c r="BN365" s="6"/>
      <c r="BO365" s="6"/>
      <c r="BP365" s="6"/>
      <c r="BQ365" s="6"/>
      <c r="BR365" s="6"/>
      <c r="BS365" s="6"/>
      <c r="BT365" s="6"/>
      <c r="BU365" s="6"/>
      <c r="BV365" s="6"/>
      <c r="BW365" s="6"/>
      <c r="BX365" s="6"/>
      <c r="BY365" s="6"/>
      <c r="BZ365" s="6"/>
      <c r="CA365" s="6"/>
      <c r="CB365" s="6"/>
      <c r="CC365" s="6"/>
      <c r="CD365" s="6"/>
      <c r="CE365" s="6"/>
      <c r="CF365" s="6"/>
    </row>
    <row r="366" spans="4:84">
      <c r="D366" s="6"/>
      <c r="E366" s="6"/>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c r="AU366" s="6"/>
      <c r="AV366" s="6"/>
      <c r="AW366" s="6"/>
      <c r="AX366" s="6"/>
      <c r="AY366" s="6"/>
      <c r="AZ366" s="6"/>
      <c r="BA366" s="6"/>
      <c r="BB366" s="6"/>
      <c r="BC366" s="6"/>
      <c r="BD366" s="6"/>
      <c r="BE366" s="6"/>
      <c r="BF366" s="6"/>
      <c r="BG366" s="6"/>
      <c r="BH366" s="6"/>
      <c r="BI366" s="6"/>
      <c r="BJ366" s="6"/>
      <c r="BK366" s="6"/>
      <c r="BL366" s="6"/>
      <c r="BM366" s="6"/>
      <c r="BN366" s="6"/>
      <c r="BO366" s="6"/>
      <c r="BP366" s="6"/>
      <c r="BQ366" s="6"/>
      <c r="BR366" s="6"/>
      <c r="BS366" s="6"/>
      <c r="BT366" s="6"/>
      <c r="BU366" s="6"/>
      <c r="BV366" s="6"/>
      <c r="BW366" s="6"/>
      <c r="BX366" s="6"/>
      <c r="BY366" s="6"/>
      <c r="BZ366" s="6"/>
      <c r="CA366" s="6"/>
      <c r="CB366" s="6"/>
      <c r="CC366" s="6"/>
      <c r="CD366" s="6"/>
      <c r="CE366" s="6"/>
      <c r="CF366" s="6"/>
    </row>
    <row r="367" spans="4:84">
      <c r="D367" s="6"/>
      <c r="E367" s="6"/>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c r="AU367" s="6"/>
      <c r="AV367" s="6"/>
      <c r="AW367" s="6"/>
      <c r="AX367" s="6"/>
      <c r="AY367" s="6"/>
      <c r="AZ367" s="6"/>
      <c r="BA367" s="6"/>
      <c r="BB367" s="6"/>
      <c r="BC367" s="6"/>
      <c r="BD367" s="6"/>
      <c r="BE367" s="6"/>
      <c r="BF367" s="6"/>
      <c r="BG367" s="6"/>
      <c r="BH367" s="6"/>
      <c r="BI367" s="6"/>
      <c r="BJ367" s="6"/>
      <c r="BK367" s="6"/>
      <c r="BL367" s="6"/>
      <c r="BM367" s="6"/>
      <c r="BN367" s="6"/>
      <c r="BO367" s="6"/>
      <c r="BP367" s="6"/>
      <c r="BQ367" s="6"/>
      <c r="BR367" s="6"/>
      <c r="BS367" s="6"/>
      <c r="BT367" s="6"/>
      <c r="BU367" s="6"/>
      <c r="BV367" s="6"/>
      <c r="BW367" s="6"/>
      <c r="BX367" s="6"/>
      <c r="BY367" s="6"/>
      <c r="BZ367" s="6"/>
      <c r="CA367" s="6"/>
      <c r="CB367" s="6"/>
      <c r="CC367" s="6"/>
      <c r="CD367" s="6"/>
      <c r="CE367" s="6"/>
      <c r="CF367" s="6"/>
    </row>
    <row r="368" spans="4:84">
      <c r="D368" s="6"/>
      <c r="E368" s="6"/>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c r="AU368" s="6"/>
      <c r="AV368" s="6"/>
      <c r="AW368" s="6"/>
      <c r="AX368" s="6"/>
      <c r="AY368" s="6"/>
      <c r="AZ368" s="6"/>
      <c r="BA368" s="6"/>
      <c r="BB368" s="6"/>
      <c r="BC368" s="6"/>
      <c r="BD368" s="6"/>
      <c r="BE368" s="6"/>
      <c r="BF368" s="6"/>
      <c r="BG368" s="6"/>
      <c r="BH368" s="6"/>
      <c r="BI368" s="6"/>
      <c r="BJ368" s="6"/>
      <c r="BK368" s="6"/>
      <c r="BL368" s="6"/>
      <c r="BM368" s="6"/>
      <c r="BN368" s="6"/>
      <c r="BO368" s="6"/>
      <c r="BP368" s="6"/>
      <c r="BQ368" s="6"/>
      <c r="BR368" s="6"/>
      <c r="BS368" s="6"/>
      <c r="BT368" s="6"/>
      <c r="BU368" s="6"/>
      <c r="BV368" s="6"/>
      <c r="BW368" s="6"/>
      <c r="BX368" s="6"/>
      <c r="BY368" s="6"/>
      <c r="BZ368" s="6"/>
      <c r="CA368" s="6"/>
      <c r="CB368" s="6"/>
      <c r="CC368" s="6"/>
      <c r="CD368" s="6"/>
      <c r="CE368" s="6"/>
      <c r="CF368" s="6"/>
    </row>
    <row r="369" spans="4:84">
      <c r="D369" s="6"/>
      <c r="E369" s="6"/>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c r="AU369" s="6"/>
      <c r="AV369" s="6"/>
      <c r="AW369" s="6"/>
      <c r="AX369" s="6"/>
      <c r="AY369" s="6"/>
      <c r="AZ369" s="6"/>
      <c r="BA369" s="6"/>
      <c r="BB369" s="6"/>
      <c r="BC369" s="6"/>
      <c r="BD369" s="6"/>
      <c r="BE369" s="6"/>
      <c r="BF369" s="6"/>
      <c r="BG369" s="6"/>
      <c r="BH369" s="6"/>
      <c r="BI369" s="6"/>
      <c r="BJ369" s="6"/>
      <c r="BK369" s="6"/>
      <c r="BL369" s="6"/>
      <c r="BM369" s="6"/>
      <c r="BN369" s="6"/>
      <c r="BO369" s="6"/>
      <c r="BP369" s="6"/>
      <c r="BQ369" s="6"/>
      <c r="BR369" s="6"/>
      <c r="BS369" s="6"/>
      <c r="BT369" s="6"/>
      <c r="BU369" s="6"/>
      <c r="BV369" s="6"/>
      <c r="BW369" s="6"/>
      <c r="BX369" s="6"/>
      <c r="BY369" s="6"/>
      <c r="BZ369" s="6"/>
      <c r="CA369" s="6"/>
      <c r="CB369" s="6"/>
      <c r="CC369" s="6"/>
      <c r="CD369" s="6"/>
      <c r="CE369" s="6"/>
      <c r="CF369" s="6"/>
    </row>
    <row r="370" spans="4:84">
      <c r="D370" s="6"/>
      <c r="E370" s="6"/>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c r="AU370" s="6"/>
      <c r="AV370" s="6"/>
      <c r="AW370" s="6"/>
      <c r="AX370" s="6"/>
      <c r="AY370" s="6"/>
      <c r="AZ370" s="6"/>
      <c r="BA370" s="6"/>
      <c r="BB370" s="6"/>
      <c r="BC370" s="6"/>
      <c r="BD370" s="6"/>
      <c r="BE370" s="6"/>
      <c r="BF370" s="6"/>
      <c r="BG370" s="6"/>
      <c r="BH370" s="6"/>
      <c r="BI370" s="6"/>
      <c r="BJ370" s="6"/>
      <c r="BK370" s="6"/>
      <c r="BL370" s="6"/>
      <c r="BM370" s="6"/>
      <c r="BN370" s="6"/>
      <c r="BO370" s="6"/>
      <c r="BP370" s="6"/>
      <c r="BQ370" s="6"/>
      <c r="BR370" s="6"/>
      <c r="BS370" s="6"/>
      <c r="BT370" s="6"/>
      <c r="BU370" s="6"/>
      <c r="BV370" s="6"/>
      <c r="BW370" s="6"/>
      <c r="BX370" s="6"/>
      <c r="BY370" s="6"/>
      <c r="BZ370" s="6"/>
      <c r="CA370" s="6"/>
      <c r="CB370" s="6"/>
      <c r="CC370" s="6"/>
      <c r="CD370" s="6"/>
      <c r="CE370" s="6"/>
      <c r="CF370" s="6"/>
    </row>
    <row r="371" spans="4:84">
      <c r="D371" s="6"/>
      <c r="E371" s="6"/>
      <c r="F371" s="6"/>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c r="AU371" s="6"/>
      <c r="AV371" s="6"/>
      <c r="AW371" s="6"/>
      <c r="AX371" s="6"/>
      <c r="AY371" s="6"/>
      <c r="AZ371" s="6"/>
      <c r="BA371" s="6"/>
      <c r="BB371" s="6"/>
      <c r="BC371" s="6"/>
      <c r="BD371" s="6"/>
      <c r="BE371" s="6"/>
      <c r="BF371" s="6"/>
      <c r="BG371" s="6"/>
      <c r="BH371" s="6"/>
      <c r="BI371" s="6"/>
      <c r="BJ371" s="6"/>
      <c r="BK371" s="6"/>
      <c r="BL371" s="6"/>
      <c r="BM371" s="6"/>
      <c r="BN371" s="6"/>
      <c r="BO371" s="6"/>
      <c r="BP371" s="6"/>
      <c r="BQ371" s="6"/>
      <c r="BR371" s="6"/>
      <c r="BS371" s="6"/>
      <c r="BT371" s="6"/>
      <c r="BU371" s="6"/>
      <c r="BV371" s="6"/>
      <c r="BW371" s="6"/>
      <c r="BX371" s="6"/>
      <c r="BY371" s="6"/>
      <c r="BZ371" s="6"/>
      <c r="CA371" s="6"/>
      <c r="CB371" s="6"/>
      <c r="CC371" s="6"/>
      <c r="CD371" s="6"/>
      <c r="CE371" s="6"/>
      <c r="CF371" s="6"/>
    </row>
    <row r="372" spans="4:84">
      <c r="D372" s="6"/>
      <c r="E372" s="6"/>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c r="AU372" s="6"/>
      <c r="AV372" s="6"/>
      <c r="AW372" s="6"/>
      <c r="AX372" s="6"/>
      <c r="AY372" s="6"/>
      <c r="AZ372" s="6"/>
      <c r="BA372" s="6"/>
      <c r="BB372" s="6"/>
      <c r="BC372" s="6"/>
      <c r="BD372" s="6"/>
      <c r="BE372" s="6"/>
      <c r="BF372" s="6"/>
      <c r="BG372" s="6"/>
      <c r="BH372" s="6"/>
      <c r="BI372" s="6"/>
      <c r="BJ372" s="6"/>
      <c r="BK372" s="6"/>
      <c r="BL372" s="6"/>
      <c r="BM372" s="6"/>
      <c r="BN372" s="6"/>
      <c r="BO372" s="6"/>
      <c r="BP372" s="6"/>
      <c r="BQ372" s="6"/>
      <c r="BR372" s="6"/>
      <c r="BS372" s="6"/>
      <c r="BT372" s="6"/>
      <c r="BU372" s="6"/>
      <c r="BV372" s="6"/>
      <c r="BW372" s="6"/>
      <c r="BX372" s="6"/>
      <c r="BY372" s="6"/>
      <c r="BZ372" s="6"/>
      <c r="CA372" s="6"/>
      <c r="CB372" s="6"/>
      <c r="CC372" s="6"/>
      <c r="CD372" s="6"/>
      <c r="CE372" s="6"/>
      <c r="CF372" s="6"/>
    </row>
    <row r="373" spans="4:84">
      <c r="D373" s="6"/>
      <c r="E373" s="6"/>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c r="AU373" s="6"/>
      <c r="AV373" s="6"/>
      <c r="AW373" s="6"/>
      <c r="AX373" s="6"/>
      <c r="AY373" s="6"/>
      <c r="AZ373" s="6"/>
      <c r="BA373" s="6"/>
      <c r="BB373" s="6"/>
      <c r="BC373" s="6"/>
      <c r="BD373" s="6"/>
      <c r="BE373" s="6"/>
      <c r="BF373" s="6"/>
      <c r="BG373" s="6"/>
      <c r="BH373" s="6"/>
      <c r="BI373" s="6"/>
      <c r="BJ373" s="6"/>
      <c r="BK373" s="6"/>
      <c r="BL373" s="6"/>
      <c r="BM373" s="6"/>
      <c r="BN373" s="6"/>
      <c r="BO373" s="6"/>
      <c r="BP373" s="6"/>
      <c r="BQ373" s="6"/>
      <c r="BR373" s="6"/>
      <c r="BS373" s="6"/>
      <c r="BT373" s="6"/>
      <c r="BU373" s="6"/>
      <c r="BV373" s="6"/>
      <c r="BW373" s="6"/>
      <c r="BX373" s="6"/>
      <c r="BY373" s="6"/>
      <c r="BZ373" s="6"/>
      <c r="CA373" s="6"/>
      <c r="CB373" s="6"/>
      <c r="CC373" s="6"/>
      <c r="CD373" s="6"/>
      <c r="CE373" s="6"/>
      <c r="CF373" s="6"/>
    </row>
    <row r="374" spans="4:84">
      <c r="D374" s="6"/>
      <c r="E374" s="6"/>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c r="AU374" s="6"/>
      <c r="AV374" s="6"/>
      <c r="AW374" s="6"/>
      <c r="AX374" s="6"/>
      <c r="AY374" s="6"/>
      <c r="AZ374" s="6"/>
      <c r="BA374" s="6"/>
      <c r="BB374" s="6"/>
      <c r="BC374" s="6"/>
      <c r="BD374" s="6"/>
      <c r="BE374" s="6"/>
      <c r="BF374" s="6"/>
      <c r="BG374" s="6"/>
      <c r="BH374" s="6"/>
      <c r="BI374" s="6"/>
      <c r="BJ374" s="6"/>
      <c r="BK374" s="6"/>
      <c r="BL374" s="6"/>
      <c r="BM374" s="6"/>
      <c r="BN374" s="6"/>
      <c r="BO374" s="6"/>
      <c r="BP374" s="6"/>
      <c r="BQ374" s="6"/>
      <c r="BR374" s="6"/>
      <c r="BS374" s="6"/>
      <c r="BT374" s="6"/>
      <c r="BU374" s="6"/>
      <c r="BV374" s="6"/>
      <c r="BW374" s="6"/>
      <c r="BX374" s="6"/>
      <c r="BY374" s="6"/>
      <c r="BZ374" s="6"/>
      <c r="CA374" s="6"/>
      <c r="CB374" s="6"/>
      <c r="CC374" s="6"/>
      <c r="CD374" s="6"/>
      <c r="CE374" s="6"/>
      <c r="CF374" s="6"/>
    </row>
    <row r="375" spans="4:84">
      <c r="D375" s="6"/>
      <c r="E375" s="6"/>
      <c r="F375" s="6"/>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c r="AU375" s="6"/>
      <c r="AV375" s="6"/>
      <c r="AW375" s="6"/>
      <c r="AX375" s="6"/>
      <c r="AY375" s="6"/>
      <c r="AZ375" s="6"/>
      <c r="BA375" s="6"/>
      <c r="BB375" s="6"/>
      <c r="BC375" s="6"/>
      <c r="BD375" s="6"/>
      <c r="BE375" s="6"/>
      <c r="BF375" s="6"/>
      <c r="BG375" s="6"/>
      <c r="BH375" s="6"/>
      <c r="BI375" s="6"/>
      <c r="BJ375" s="6"/>
      <c r="BK375" s="6"/>
      <c r="BL375" s="6"/>
      <c r="BM375" s="6"/>
      <c r="BN375" s="6"/>
      <c r="BO375" s="6"/>
      <c r="BP375" s="6"/>
      <c r="BQ375" s="6"/>
      <c r="BR375" s="6"/>
      <c r="BS375" s="6"/>
      <c r="BT375" s="6"/>
      <c r="BU375" s="6"/>
      <c r="BV375" s="6"/>
      <c r="BW375" s="6"/>
      <c r="BX375" s="6"/>
      <c r="BY375" s="6"/>
      <c r="BZ375" s="6"/>
      <c r="CA375" s="6"/>
      <c r="CB375" s="6"/>
      <c r="CC375" s="6"/>
      <c r="CD375" s="6"/>
      <c r="CE375" s="6"/>
      <c r="CF375" s="6"/>
    </row>
    <row r="376" spans="4:84">
      <c r="D376" s="6"/>
      <c r="E376" s="6"/>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c r="AU376" s="6"/>
      <c r="AV376" s="6"/>
      <c r="AW376" s="6"/>
      <c r="AX376" s="6"/>
      <c r="AY376" s="6"/>
      <c r="AZ376" s="6"/>
      <c r="BA376" s="6"/>
      <c r="BB376" s="6"/>
      <c r="BC376" s="6"/>
      <c r="BD376" s="6"/>
      <c r="BE376" s="6"/>
      <c r="BF376" s="6"/>
      <c r="BG376" s="6"/>
      <c r="BH376" s="6"/>
      <c r="BI376" s="6"/>
      <c r="BJ376" s="6"/>
      <c r="BK376" s="6"/>
      <c r="BL376" s="6"/>
      <c r="BM376" s="6"/>
      <c r="BN376" s="6"/>
      <c r="BO376" s="6"/>
      <c r="BP376" s="6"/>
      <c r="BQ376" s="6"/>
      <c r="BR376" s="6"/>
      <c r="BS376" s="6"/>
      <c r="BT376" s="6"/>
      <c r="BU376" s="6"/>
      <c r="BV376" s="6"/>
      <c r="BW376" s="6"/>
      <c r="BX376" s="6"/>
      <c r="BY376" s="6"/>
      <c r="BZ376" s="6"/>
      <c r="CA376" s="6"/>
      <c r="CB376" s="6"/>
      <c r="CC376" s="6"/>
      <c r="CD376" s="6"/>
      <c r="CE376" s="6"/>
      <c r="CF376" s="6"/>
    </row>
    <row r="377" spans="4:84">
      <c r="D377" s="6"/>
      <c r="E377" s="6"/>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c r="AU377" s="6"/>
      <c r="AV377" s="6"/>
      <c r="AW377" s="6"/>
      <c r="AX377" s="6"/>
      <c r="AY377" s="6"/>
      <c r="AZ377" s="6"/>
      <c r="BA377" s="6"/>
      <c r="BB377" s="6"/>
      <c r="BC377" s="6"/>
      <c r="BD377" s="6"/>
      <c r="BE377" s="6"/>
      <c r="BF377" s="6"/>
      <c r="BG377" s="6"/>
      <c r="BH377" s="6"/>
      <c r="BI377" s="6"/>
      <c r="BJ377" s="6"/>
      <c r="BK377" s="6"/>
      <c r="BL377" s="6"/>
      <c r="BM377" s="6"/>
      <c r="BN377" s="6"/>
      <c r="BO377" s="6"/>
      <c r="BP377" s="6"/>
      <c r="BQ377" s="6"/>
      <c r="BR377" s="6"/>
      <c r="BS377" s="6"/>
      <c r="BT377" s="6"/>
      <c r="BU377" s="6"/>
      <c r="BV377" s="6"/>
      <c r="BW377" s="6"/>
      <c r="BX377" s="6"/>
      <c r="BY377" s="6"/>
      <c r="BZ377" s="6"/>
      <c r="CA377" s="6"/>
      <c r="CB377" s="6"/>
      <c r="CC377" s="6"/>
      <c r="CD377" s="6"/>
      <c r="CE377" s="6"/>
      <c r="CF377" s="6"/>
    </row>
    <row r="378" spans="4:84">
      <c r="D378" s="6"/>
      <c r="E378" s="6"/>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c r="AU378" s="6"/>
      <c r="AV378" s="6"/>
      <c r="AW378" s="6"/>
      <c r="AX378" s="6"/>
      <c r="AY378" s="6"/>
      <c r="AZ378" s="6"/>
      <c r="BA378" s="6"/>
      <c r="BB378" s="6"/>
      <c r="BC378" s="6"/>
      <c r="BD378" s="6"/>
      <c r="BE378" s="6"/>
      <c r="BF378" s="6"/>
      <c r="BG378" s="6"/>
      <c r="BH378" s="6"/>
      <c r="BI378" s="6"/>
      <c r="BJ378" s="6"/>
      <c r="BK378" s="6"/>
      <c r="BL378" s="6"/>
      <c r="BM378" s="6"/>
      <c r="BN378" s="6"/>
      <c r="BO378" s="6"/>
      <c r="BP378" s="6"/>
      <c r="BQ378" s="6"/>
      <c r="BR378" s="6"/>
      <c r="BS378" s="6"/>
      <c r="BT378" s="6"/>
      <c r="BU378" s="6"/>
      <c r="BV378" s="6"/>
      <c r="BW378" s="6"/>
      <c r="BX378" s="6"/>
      <c r="BY378" s="6"/>
      <c r="BZ378" s="6"/>
      <c r="CA378" s="6"/>
      <c r="CB378" s="6"/>
      <c r="CC378" s="6"/>
      <c r="CD378" s="6"/>
      <c r="CE378" s="6"/>
      <c r="CF378" s="6"/>
    </row>
    <row r="379" spans="4:84">
      <c r="D379" s="6"/>
      <c r="E379" s="6"/>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c r="AU379" s="6"/>
      <c r="AV379" s="6"/>
      <c r="AW379" s="6"/>
      <c r="AX379" s="6"/>
      <c r="AY379" s="6"/>
      <c r="AZ379" s="6"/>
      <c r="BA379" s="6"/>
      <c r="BB379" s="6"/>
      <c r="BC379" s="6"/>
      <c r="BD379" s="6"/>
      <c r="BE379" s="6"/>
      <c r="BF379" s="6"/>
      <c r="BG379" s="6"/>
      <c r="BH379" s="6"/>
      <c r="BI379" s="6"/>
      <c r="BJ379" s="6"/>
      <c r="BK379" s="6"/>
      <c r="BL379" s="6"/>
      <c r="BM379" s="6"/>
      <c r="BN379" s="6"/>
      <c r="BO379" s="6"/>
      <c r="BP379" s="6"/>
      <c r="BQ379" s="6"/>
      <c r="BR379" s="6"/>
      <c r="BS379" s="6"/>
      <c r="BT379" s="6"/>
      <c r="BU379" s="6"/>
      <c r="BV379" s="6"/>
      <c r="BW379" s="6"/>
      <c r="BX379" s="6"/>
      <c r="BY379" s="6"/>
      <c r="BZ379" s="6"/>
      <c r="CA379" s="6"/>
      <c r="CB379" s="6"/>
      <c r="CC379" s="6"/>
      <c r="CD379" s="6"/>
      <c r="CE379" s="6"/>
      <c r="CF379" s="6"/>
    </row>
    <row r="380" spans="4:84">
      <c r="D380" s="6"/>
      <c r="E380" s="6"/>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c r="AU380" s="6"/>
      <c r="AV380" s="6"/>
      <c r="AW380" s="6"/>
      <c r="AX380" s="6"/>
      <c r="AY380" s="6"/>
      <c r="AZ380" s="6"/>
      <c r="BA380" s="6"/>
      <c r="BB380" s="6"/>
      <c r="BC380" s="6"/>
      <c r="BD380" s="6"/>
      <c r="BE380" s="6"/>
      <c r="BF380" s="6"/>
      <c r="BG380" s="6"/>
      <c r="BH380" s="6"/>
      <c r="BI380" s="6"/>
      <c r="BJ380" s="6"/>
      <c r="BK380" s="6"/>
      <c r="BL380" s="6"/>
      <c r="BM380" s="6"/>
      <c r="BN380" s="6"/>
      <c r="BO380" s="6"/>
      <c r="BP380" s="6"/>
      <c r="BQ380" s="6"/>
      <c r="BR380" s="6"/>
      <c r="BS380" s="6"/>
      <c r="BT380" s="6"/>
      <c r="BU380" s="6"/>
      <c r="BV380" s="6"/>
      <c r="BW380" s="6"/>
      <c r="BX380" s="6"/>
      <c r="BY380" s="6"/>
      <c r="BZ380" s="6"/>
      <c r="CA380" s="6"/>
      <c r="CB380" s="6"/>
      <c r="CC380" s="6"/>
      <c r="CD380" s="6"/>
      <c r="CE380" s="6"/>
      <c r="CF380" s="6"/>
    </row>
    <row r="381" spans="4:84">
      <c r="D381" s="6"/>
      <c r="E381" s="6"/>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c r="AU381" s="6"/>
      <c r="AV381" s="6"/>
      <c r="AW381" s="6"/>
      <c r="AX381" s="6"/>
      <c r="AY381" s="6"/>
      <c r="AZ381" s="6"/>
      <c r="BA381" s="6"/>
      <c r="BB381" s="6"/>
      <c r="BC381" s="6"/>
      <c r="BD381" s="6"/>
      <c r="BE381" s="6"/>
      <c r="BF381" s="6"/>
      <c r="BG381" s="6"/>
      <c r="BH381" s="6"/>
      <c r="BI381" s="6"/>
      <c r="BJ381" s="6"/>
      <c r="BK381" s="6"/>
      <c r="BL381" s="6"/>
      <c r="BM381" s="6"/>
      <c r="BN381" s="6"/>
      <c r="BO381" s="6"/>
      <c r="BP381" s="6"/>
      <c r="BQ381" s="6"/>
      <c r="BR381" s="6"/>
      <c r="BS381" s="6"/>
      <c r="BT381" s="6"/>
      <c r="BU381" s="6"/>
      <c r="BV381" s="6"/>
      <c r="BW381" s="6"/>
      <c r="BX381" s="6"/>
      <c r="BY381" s="6"/>
      <c r="BZ381" s="6"/>
      <c r="CA381" s="6"/>
      <c r="CB381" s="6"/>
      <c r="CC381" s="6"/>
      <c r="CD381" s="6"/>
      <c r="CE381" s="6"/>
      <c r="CF381" s="6"/>
    </row>
    <row r="382" spans="4:84">
      <c r="D382" s="6"/>
      <c r="E382" s="6"/>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c r="AU382" s="6"/>
      <c r="AV382" s="6"/>
      <c r="AW382" s="6"/>
      <c r="AX382" s="6"/>
      <c r="AY382" s="6"/>
      <c r="AZ382" s="6"/>
      <c r="BA382" s="6"/>
      <c r="BB382" s="6"/>
      <c r="BC382" s="6"/>
      <c r="BD382" s="6"/>
      <c r="BE382" s="6"/>
      <c r="BF382" s="6"/>
      <c r="BG382" s="6"/>
      <c r="BH382" s="6"/>
      <c r="BI382" s="6"/>
      <c r="BJ382" s="6"/>
      <c r="BK382" s="6"/>
      <c r="BL382" s="6"/>
      <c r="BM382" s="6"/>
      <c r="BN382" s="6"/>
      <c r="BO382" s="6"/>
      <c r="BP382" s="6"/>
      <c r="BQ382" s="6"/>
      <c r="BR382" s="6"/>
      <c r="BS382" s="6"/>
      <c r="BT382" s="6"/>
      <c r="BU382" s="6"/>
      <c r="BV382" s="6"/>
      <c r="BW382" s="6"/>
      <c r="BX382" s="6"/>
      <c r="BY382" s="6"/>
      <c r="BZ382" s="6"/>
      <c r="CA382" s="6"/>
      <c r="CB382" s="6"/>
      <c r="CC382" s="6"/>
      <c r="CD382" s="6"/>
      <c r="CE382" s="6"/>
      <c r="CF382" s="6"/>
    </row>
    <row r="383" spans="4:84">
      <c r="D383" s="6"/>
      <c r="E383" s="6"/>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c r="AU383" s="6"/>
      <c r="AV383" s="6"/>
      <c r="AW383" s="6"/>
      <c r="AX383" s="6"/>
      <c r="AY383" s="6"/>
      <c r="AZ383" s="6"/>
      <c r="BA383" s="6"/>
      <c r="BB383" s="6"/>
      <c r="BC383" s="6"/>
      <c r="BD383" s="6"/>
      <c r="BE383" s="6"/>
      <c r="BF383" s="6"/>
      <c r="BG383" s="6"/>
      <c r="BH383" s="6"/>
      <c r="BI383" s="6"/>
      <c r="BJ383" s="6"/>
      <c r="BK383" s="6"/>
      <c r="BL383" s="6"/>
      <c r="BM383" s="6"/>
      <c r="BN383" s="6"/>
      <c r="BO383" s="6"/>
      <c r="BP383" s="6"/>
      <c r="BQ383" s="6"/>
      <c r="BR383" s="6"/>
      <c r="BS383" s="6"/>
      <c r="BT383" s="6"/>
      <c r="BU383" s="6"/>
      <c r="BV383" s="6"/>
      <c r="BW383" s="6"/>
      <c r="BX383" s="6"/>
      <c r="BY383" s="6"/>
      <c r="BZ383" s="6"/>
      <c r="CA383" s="6"/>
      <c r="CB383" s="6"/>
      <c r="CC383" s="6"/>
      <c r="CD383" s="6"/>
      <c r="CE383" s="6"/>
      <c r="CF383" s="6"/>
    </row>
    <row r="384" spans="4:84">
      <c r="D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6"/>
      <c r="AX384" s="6"/>
      <c r="AY384" s="6"/>
      <c r="AZ384" s="6"/>
      <c r="BA384" s="6"/>
      <c r="BB384" s="6"/>
      <c r="BC384" s="6"/>
      <c r="BD384" s="6"/>
      <c r="BE384" s="6"/>
      <c r="BF384" s="6"/>
      <c r="BG384" s="6"/>
      <c r="BH384" s="6"/>
      <c r="BI384" s="6"/>
      <c r="BJ384" s="6"/>
      <c r="BK384" s="6"/>
      <c r="BL384" s="6"/>
      <c r="BM384" s="6"/>
      <c r="BN384" s="6"/>
      <c r="BO384" s="6"/>
      <c r="BP384" s="6"/>
      <c r="BQ384" s="6"/>
      <c r="BR384" s="6"/>
      <c r="BS384" s="6"/>
      <c r="BT384" s="6"/>
      <c r="BU384" s="6"/>
      <c r="BV384" s="6"/>
      <c r="BW384" s="6"/>
      <c r="BX384" s="6"/>
      <c r="BY384" s="6"/>
      <c r="BZ384" s="6"/>
      <c r="CA384" s="6"/>
      <c r="CB384" s="6"/>
      <c r="CC384" s="6"/>
      <c r="CD384" s="6"/>
      <c r="CE384" s="6"/>
      <c r="CF384" s="6"/>
    </row>
    <row r="385" spans="4:84">
      <c r="D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6"/>
      <c r="AX385" s="6"/>
      <c r="AY385" s="6"/>
      <c r="AZ385" s="6"/>
      <c r="BA385" s="6"/>
      <c r="BB385" s="6"/>
      <c r="BC385" s="6"/>
      <c r="BD385" s="6"/>
      <c r="BE385" s="6"/>
      <c r="BF385" s="6"/>
      <c r="BG385" s="6"/>
      <c r="BH385" s="6"/>
      <c r="BI385" s="6"/>
      <c r="BJ385" s="6"/>
      <c r="BK385" s="6"/>
      <c r="BL385" s="6"/>
      <c r="BM385" s="6"/>
      <c r="BN385" s="6"/>
      <c r="BO385" s="6"/>
      <c r="BP385" s="6"/>
      <c r="BQ385" s="6"/>
      <c r="BR385" s="6"/>
      <c r="BS385" s="6"/>
      <c r="BT385" s="6"/>
      <c r="BU385" s="6"/>
      <c r="BV385" s="6"/>
      <c r="BW385" s="6"/>
      <c r="BX385" s="6"/>
      <c r="BY385" s="6"/>
      <c r="BZ385" s="6"/>
      <c r="CA385" s="6"/>
      <c r="CB385" s="6"/>
      <c r="CC385" s="6"/>
      <c r="CD385" s="6"/>
      <c r="CE385" s="6"/>
      <c r="CF385" s="6"/>
    </row>
    <row r="386" spans="4:84">
      <c r="D386" s="6"/>
      <c r="E386" s="6"/>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c r="AU386" s="6"/>
      <c r="AV386" s="6"/>
      <c r="AW386" s="6"/>
      <c r="AX386" s="6"/>
      <c r="AY386" s="6"/>
      <c r="AZ386" s="6"/>
      <c r="BA386" s="6"/>
      <c r="BB386" s="6"/>
      <c r="BC386" s="6"/>
      <c r="BD386" s="6"/>
      <c r="BE386" s="6"/>
      <c r="BF386" s="6"/>
      <c r="BG386" s="6"/>
      <c r="BH386" s="6"/>
      <c r="BI386" s="6"/>
      <c r="BJ386" s="6"/>
      <c r="BK386" s="6"/>
      <c r="BL386" s="6"/>
      <c r="BM386" s="6"/>
      <c r="BN386" s="6"/>
      <c r="BO386" s="6"/>
      <c r="BP386" s="6"/>
      <c r="BQ386" s="6"/>
      <c r="BR386" s="6"/>
      <c r="BS386" s="6"/>
      <c r="BT386" s="6"/>
      <c r="BU386" s="6"/>
      <c r="BV386" s="6"/>
      <c r="BW386" s="6"/>
      <c r="BX386" s="6"/>
      <c r="BY386" s="6"/>
      <c r="BZ386" s="6"/>
      <c r="CA386" s="6"/>
      <c r="CB386" s="6"/>
      <c r="CC386" s="6"/>
      <c r="CD386" s="6"/>
      <c r="CE386" s="6"/>
      <c r="CF386" s="6"/>
    </row>
    <row r="387" spans="4:84">
      <c r="D387" s="6"/>
      <c r="E387" s="6"/>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c r="AU387" s="6"/>
      <c r="AV387" s="6"/>
      <c r="AW387" s="6"/>
      <c r="AX387" s="6"/>
      <c r="AY387" s="6"/>
      <c r="AZ387" s="6"/>
      <c r="BA387" s="6"/>
      <c r="BB387" s="6"/>
      <c r="BC387" s="6"/>
      <c r="BD387" s="6"/>
      <c r="BE387" s="6"/>
      <c r="BF387" s="6"/>
      <c r="BG387" s="6"/>
      <c r="BH387" s="6"/>
      <c r="BI387" s="6"/>
      <c r="BJ387" s="6"/>
      <c r="BK387" s="6"/>
      <c r="BL387" s="6"/>
      <c r="BM387" s="6"/>
      <c r="BN387" s="6"/>
      <c r="BO387" s="6"/>
      <c r="BP387" s="6"/>
      <c r="BQ387" s="6"/>
      <c r="BR387" s="6"/>
      <c r="BS387" s="6"/>
      <c r="BT387" s="6"/>
      <c r="BU387" s="6"/>
      <c r="BV387" s="6"/>
      <c r="BW387" s="6"/>
      <c r="BX387" s="6"/>
      <c r="BY387" s="6"/>
      <c r="BZ387" s="6"/>
      <c r="CA387" s="6"/>
      <c r="CB387" s="6"/>
      <c r="CC387" s="6"/>
      <c r="CD387" s="6"/>
      <c r="CE387" s="6"/>
      <c r="CF387" s="6"/>
    </row>
    <row r="388" spans="4:84">
      <c r="D388" s="6"/>
      <c r="E388" s="6"/>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c r="AU388" s="6"/>
      <c r="AV388" s="6"/>
      <c r="AW388" s="6"/>
      <c r="AX388" s="6"/>
      <c r="AY388" s="6"/>
      <c r="AZ388" s="6"/>
      <c r="BA388" s="6"/>
      <c r="BB388" s="6"/>
      <c r="BC388" s="6"/>
      <c r="BD388" s="6"/>
      <c r="BE388" s="6"/>
      <c r="BF388" s="6"/>
      <c r="BG388" s="6"/>
      <c r="BH388" s="6"/>
      <c r="BI388" s="6"/>
      <c r="BJ388" s="6"/>
      <c r="BK388" s="6"/>
      <c r="BL388" s="6"/>
      <c r="BM388" s="6"/>
      <c r="BN388" s="6"/>
      <c r="BO388" s="6"/>
      <c r="BP388" s="6"/>
      <c r="BQ388" s="6"/>
      <c r="BR388" s="6"/>
      <c r="BS388" s="6"/>
      <c r="BT388" s="6"/>
      <c r="BU388" s="6"/>
      <c r="BV388" s="6"/>
      <c r="BW388" s="6"/>
      <c r="BX388" s="6"/>
      <c r="BY388" s="6"/>
      <c r="BZ388" s="6"/>
      <c r="CA388" s="6"/>
      <c r="CB388" s="6"/>
      <c r="CC388" s="6"/>
      <c r="CD388" s="6"/>
      <c r="CE388" s="6"/>
      <c r="CF388" s="6"/>
    </row>
    <row r="389" spans="4:84">
      <c r="D389" s="6"/>
      <c r="E389" s="6"/>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c r="AU389" s="6"/>
      <c r="AV389" s="6"/>
      <c r="AW389" s="6"/>
      <c r="AX389" s="6"/>
      <c r="AY389" s="6"/>
      <c r="AZ389" s="6"/>
      <c r="BA389" s="6"/>
      <c r="BB389" s="6"/>
      <c r="BC389" s="6"/>
      <c r="BD389" s="6"/>
      <c r="BE389" s="6"/>
      <c r="BF389" s="6"/>
      <c r="BG389" s="6"/>
      <c r="BH389" s="6"/>
      <c r="BI389" s="6"/>
      <c r="BJ389" s="6"/>
      <c r="BK389" s="6"/>
      <c r="BL389" s="6"/>
      <c r="BM389" s="6"/>
      <c r="BN389" s="6"/>
      <c r="BO389" s="6"/>
      <c r="BP389" s="6"/>
      <c r="BQ389" s="6"/>
      <c r="BR389" s="6"/>
      <c r="BS389" s="6"/>
      <c r="BT389" s="6"/>
      <c r="BU389" s="6"/>
      <c r="BV389" s="6"/>
      <c r="BW389" s="6"/>
      <c r="BX389" s="6"/>
      <c r="BY389" s="6"/>
      <c r="BZ389" s="6"/>
      <c r="CA389" s="6"/>
      <c r="CB389" s="6"/>
      <c r="CC389" s="6"/>
      <c r="CD389" s="6"/>
      <c r="CE389" s="6"/>
      <c r="CF389" s="6"/>
    </row>
    <row r="390" spans="4:84">
      <c r="D390" s="6"/>
      <c r="E390" s="6"/>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c r="AU390" s="6"/>
      <c r="AV390" s="6"/>
      <c r="AW390" s="6"/>
      <c r="AX390" s="6"/>
      <c r="AY390" s="6"/>
      <c r="AZ390" s="6"/>
      <c r="BA390" s="6"/>
      <c r="BB390" s="6"/>
      <c r="BC390" s="6"/>
      <c r="BD390" s="6"/>
      <c r="BE390" s="6"/>
      <c r="BF390" s="6"/>
      <c r="BG390" s="6"/>
      <c r="BH390" s="6"/>
      <c r="BI390" s="6"/>
      <c r="BJ390" s="6"/>
      <c r="BK390" s="6"/>
      <c r="BL390" s="6"/>
      <c r="BM390" s="6"/>
      <c r="BN390" s="6"/>
      <c r="BO390" s="6"/>
      <c r="BP390" s="6"/>
      <c r="BQ390" s="6"/>
      <c r="BR390" s="6"/>
      <c r="BS390" s="6"/>
      <c r="BT390" s="6"/>
      <c r="BU390" s="6"/>
      <c r="BV390" s="6"/>
      <c r="BW390" s="6"/>
      <c r="BX390" s="6"/>
      <c r="BY390" s="6"/>
      <c r="BZ390" s="6"/>
      <c r="CA390" s="6"/>
      <c r="CB390" s="6"/>
      <c r="CC390" s="6"/>
      <c r="CD390" s="6"/>
      <c r="CE390" s="6"/>
      <c r="CF390" s="6"/>
    </row>
    <row r="391" spans="4:84">
      <c r="D391" s="6"/>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6"/>
      <c r="AX391" s="6"/>
      <c r="AY391" s="6"/>
      <c r="AZ391" s="6"/>
      <c r="BA391" s="6"/>
      <c r="BB391" s="6"/>
      <c r="BC391" s="6"/>
      <c r="BD391" s="6"/>
      <c r="BE391" s="6"/>
      <c r="BF391" s="6"/>
      <c r="BG391" s="6"/>
      <c r="BH391" s="6"/>
      <c r="BI391" s="6"/>
      <c r="BJ391" s="6"/>
      <c r="BK391" s="6"/>
      <c r="BL391" s="6"/>
      <c r="BM391" s="6"/>
      <c r="BN391" s="6"/>
      <c r="BO391" s="6"/>
      <c r="BP391" s="6"/>
      <c r="BQ391" s="6"/>
      <c r="BR391" s="6"/>
      <c r="BS391" s="6"/>
      <c r="BT391" s="6"/>
      <c r="BU391" s="6"/>
      <c r="BV391" s="6"/>
      <c r="BW391" s="6"/>
      <c r="BX391" s="6"/>
      <c r="BY391" s="6"/>
      <c r="BZ391" s="6"/>
      <c r="CA391" s="6"/>
      <c r="CB391" s="6"/>
      <c r="CC391" s="6"/>
      <c r="CD391" s="6"/>
      <c r="CE391" s="6"/>
      <c r="CF391" s="6"/>
    </row>
    <row r="392" spans="4:84">
      <c r="D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6"/>
      <c r="AX392" s="6"/>
      <c r="AY392" s="6"/>
      <c r="AZ392" s="6"/>
      <c r="BA392" s="6"/>
      <c r="BB392" s="6"/>
      <c r="BC392" s="6"/>
      <c r="BD392" s="6"/>
      <c r="BE392" s="6"/>
      <c r="BF392" s="6"/>
      <c r="BG392" s="6"/>
      <c r="BH392" s="6"/>
      <c r="BI392" s="6"/>
      <c r="BJ392" s="6"/>
      <c r="BK392" s="6"/>
      <c r="BL392" s="6"/>
      <c r="BM392" s="6"/>
      <c r="BN392" s="6"/>
      <c r="BO392" s="6"/>
      <c r="BP392" s="6"/>
      <c r="BQ392" s="6"/>
      <c r="BR392" s="6"/>
      <c r="BS392" s="6"/>
      <c r="BT392" s="6"/>
      <c r="BU392" s="6"/>
      <c r="BV392" s="6"/>
      <c r="BW392" s="6"/>
      <c r="BX392" s="6"/>
      <c r="BY392" s="6"/>
      <c r="BZ392" s="6"/>
      <c r="CA392" s="6"/>
      <c r="CB392" s="6"/>
      <c r="CC392" s="6"/>
      <c r="CD392" s="6"/>
      <c r="CE392" s="6"/>
      <c r="CF392" s="6"/>
    </row>
    <row r="393" spans="4:84">
      <c r="D393" s="6"/>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6"/>
      <c r="AX393" s="6"/>
      <c r="AY393" s="6"/>
      <c r="AZ393" s="6"/>
      <c r="BA393" s="6"/>
      <c r="BB393" s="6"/>
      <c r="BC393" s="6"/>
      <c r="BD393" s="6"/>
      <c r="BE393" s="6"/>
      <c r="BF393" s="6"/>
      <c r="BG393" s="6"/>
      <c r="BH393" s="6"/>
      <c r="BI393" s="6"/>
      <c r="BJ393" s="6"/>
      <c r="BK393" s="6"/>
      <c r="BL393" s="6"/>
      <c r="BM393" s="6"/>
      <c r="BN393" s="6"/>
      <c r="BO393" s="6"/>
      <c r="BP393" s="6"/>
      <c r="BQ393" s="6"/>
      <c r="BR393" s="6"/>
      <c r="BS393" s="6"/>
      <c r="BT393" s="6"/>
      <c r="BU393" s="6"/>
      <c r="BV393" s="6"/>
      <c r="BW393" s="6"/>
      <c r="BX393" s="6"/>
      <c r="BY393" s="6"/>
      <c r="BZ393" s="6"/>
      <c r="CA393" s="6"/>
      <c r="CB393" s="6"/>
      <c r="CC393" s="6"/>
      <c r="CD393" s="6"/>
      <c r="CE393" s="6"/>
      <c r="CF393" s="6"/>
    </row>
    <row r="394" spans="4:84">
      <c r="D394" s="6"/>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6"/>
      <c r="AX394" s="6"/>
      <c r="AY394" s="6"/>
      <c r="AZ394" s="6"/>
      <c r="BA394" s="6"/>
      <c r="BB394" s="6"/>
      <c r="BC394" s="6"/>
      <c r="BD394" s="6"/>
      <c r="BE394" s="6"/>
      <c r="BF394" s="6"/>
      <c r="BG394" s="6"/>
      <c r="BH394" s="6"/>
      <c r="BI394" s="6"/>
      <c r="BJ394" s="6"/>
      <c r="BK394" s="6"/>
      <c r="BL394" s="6"/>
      <c r="BM394" s="6"/>
      <c r="BN394" s="6"/>
      <c r="BO394" s="6"/>
      <c r="BP394" s="6"/>
      <c r="BQ394" s="6"/>
      <c r="BR394" s="6"/>
      <c r="BS394" s="6"/>
      <c r="BT394" s="6"/>
      <c r="BU394" s="6"/>
      <c r="BV394" s="6"/>
      <c r="BW394" s="6"/>
      <c r="BX394" s="6"/>
      <c r="BY394" s="6"/>
      <c r="BZ394" s="6"/>
      <c r="CA394" s="6"/>
      <c r="CB394" s="6"/>
      <c r="CC394" s="6"/>
      <c r="CD394" s="6"/>
      <c r="CE394" s="6"/>
      <c r="CF394" s="6"/>
    </row>
    <row r="395" spans="4:84">
      <c r="D395" s="6"/>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c r="AZ395" s="6"/>
      <c r="BA395" s="6"/>
      <c r="BB395" s="6"/>
      <c r="BC395" s="6"/>
      <c r="BD395" s="6"/>
      <c r="BE395" s="6"/>
      <c r="BF395" s="6"/>
      <c r="BG395" s="6"/>
      <c r="BH395" s="6"/>
      <c r="BI395" s="6"/>
      <c r="BJ395" s="6"/>
      <c r="BK395" s="6"/>
      <c r="BL395" s="6"/>
      <c r="BM395" s="6"/>
      <c r="BN395" s="6"/>
      <c r="BO395" s="6"/>
      <c r="BP395" s="6"/>
      <c r="BQ395" s="6"/>
      <c r="BR395" s="6"/>
      <c r="BS395" s="6"/>
      <c r="BT395" s="6"/>
      <c r="BU395" s="6"/>
      <c r="BV395" s="6"/>
      <c r="BW395" s="6"/>
      <c r="BX395" s="6"/>
      <c r="BY395" s="6"/>
      <c r="BZ395" s="6"/>
      <c r="CA395" s="6"/>
      <c r="CB395" s="6"/>
      <c r="CC395" s="6"/>
      <c r="CD395" s="6"/>
      <c r="CE395" s="6"/>
      <c r="CF395" s="6"/>
    </row>
    <row r="396" spans="4:84">
      <c r="D396" s="6"/>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c r="AU396" s="6"/>
      <c r="AV396" s="6"/>
      <c r="AW396" s="6"/>
      <c r="AX396" s="6"/>
      <c r="AY396" s="6"/>
      <c r="AZ396" s="6"/>
      <c r="BA396" s="6"/>
      <c r="BB396" s="6"/>
      <c r="BC396" s="6"/>
      <c r="BD396" s="6"/>
      <c r="BE396" s="6"/>
      <c r="BF396" s="6"/>
      <c r="BG396" s="6"/>
      <c r="BH396" s="6"/>
      <c r="BI396" s="6"/>
      <c r="BJ396" s="6"/>
      <c r="BK396" s="6"/>
      <c r="BL396" s="6"/>
      <c r="BM396" s="6"/>
      <c r="BN396" s="6"/>
      <c r="BO396" s="6"/>
      <c r="BP396" s="6"/>
      <c r="BQ396" s="6"/>
      <c r="BR396" s="6"/>
      <c r="BS396" s="6"/>
      <c r="BT396" s="6"/>
      <c r="BU396" s="6"/>
      <c r="BV396" s="6"/>
      <c r="BW396" s="6"/>
      <c r="BX396" s="6"/>
      <c r="BY396" s="6"/>
      <c r="BZ396" s="6"/>
      <c r="CA396" s="6"/>
      <c r="CB396" s="6"/>
      <c r="CC396" s="6"/>
      <c r="CD396" s="6"/>
      <c r="CE396" s="6"/>
      <c r="CF396" s="6"/>
    </row>
    <row r="397" spans="4:84">
      <c r="D397" s="6"/>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6"/>
      <c r="AX397" s="6"/>
      <c r="AY397" s="6"/>
      <c r="AZ397" s="6"/>
      <c r="BA397" s="6"/>
      <c r="BB397" s="6"/>
      <c r="BC397" s="6"/>
      <c r="BD397" s="6"/>
      <c r="BE397" s="6"/>
      <c r="BF397" s="6"/>
      <c r="BG397" s="6"/>
      <c r="BH397" s="6"/>
      <c r="BI397" s="6"/>
      <c r="BJ397" s="6"/>
      <c r="BK397" s="6"/>
      <c r="BL397" s="6"/>
      <c r="BM397" s="6"/>
      <c r="BN397" s="6"/>
      <c r="BO397" s="6"/>
      <c r="BP397" s="6"/>
      <c r="BQ397" s="6"/>
      <c r="BR397" s="6"/>
      <c r="BS397" s="6"/>
      <c r="BT397" s="6"/>
      <c r="BU397" s="6"/>
      <c r="BV397" s="6"/>
      <c r="BW397" s="6"/>
      <c r="BX397" s="6"/>
      <c r="BY397" s="6"/>
      <c r="BZ397" s="6"/>
      <c r="CA397" s="6"/>
      <c r="CB397" s="6"/>
      <c r="CC397" s="6"/>
      <c r="CD397" s="6"/>
      <c r="CE397" s="6"/>
      <c r="CF397" s="6"/>
    </row>
    <row r="398" spans="4:84">
      <c r="D398" s="6"/>
      <c r="E398" s="6"/>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c r="AU398" s="6"/>
      <c r="AV398" s="6"/>
      <c r="AW398" s="6"/>
      <c r="AX398" s="6"/>
      <c r="AY398" s="6"/>
      <c r="AZ398" s="6"/>
      <c r="BA398" s="6"/>
      <c r="BB398" s="6"/>
      <c r="BC398" s="6"/>
      <c r="BD398" s="6"/>
      <c r="BE398" s="6"/>
      <c r="BF398" s="6"/>
      <c r="BG398" s="6"/>
      <c r="BH398" s="6"/>
      <c r="BI398" s="6"/>
      <c r="BJ398" s="6"/>
      <c r="BK398" s="6"/>
      <c r="BL398" s="6"/>
      <c r="BM398" s="6"/>
      <c r="BN398" s="6"/>
      <c r="BO398" s="6"/>
      <c r="BP398" s="6"/>
      <c r="BQ398" s="6"/>
      <c r="BR398" s="6"/>
      <c r="BS398" s="6"/>
      <c r="BT398" s="6"/>
      <c r="BU398" s="6"/>
      <c r="BV398" s="6"/>
      <c r="BW398" s="6"/>
      <c r="BX398" s="6"/>
      <c r="BY398" s="6"/>
      <c r="BZ398" s="6"/>
      <c r="CA398" s="6"/>
      <c r="CB398" s="6"/>
      <c r="CC398" s="6"/>
      <c r="CD398" s="6"/>
      <c r="CE398" s="6"/>
      <c r="CF398" s="6"/>
    </row>
    <row r="399" spans="4:84">
      <c r="D399" s="6"/>
      <c r="E399" s="6"/>
      <c r="F399" s="6"/>
      <c r="G399" s="6"/>
      <c r="H399" s="6"/>
      <c r="I399" s="6"/>
      <c r="J399" s="6"/>
      <c r="K399" s="6"/>
      <c r="L399" s="6"/>
      <c r="M399" s="6"/>
      <c r="N399" s="6"/>
      <c r="O399" s="6"/>
      <c r="P399" s="6"/>
      <c r="Q399" s="6"/>
      <c r="R399" s="6"/>
      <c r="S399" s="6"/>
      <c r="T399" s="6"/>
      <c r="U399" s="6"/>
      <c r="V399" s="6"/>
      <c r="W399" s="6"/>
      <c r="X399" s="6"/>
      <c r="Y399" s="6"/>
      <c r="Z399" s="6"/>
      <c r="AA399" s="6"/>
      <c r="AB399" s="6"/>
      <c r="AC399" s="6"/>
      <c r="AD399" s="6"/>
      <c r="AE399" s="6"/>
      <c r="AF399" s="6"/>
      <c r="AG399" s="6"/>
      <c r="AH399" s="6"/>
      <c r="AI399" s="6"/>
      <c r="AJ399" s="6"/>
      <c r="AK399" s="6"/>
      <c r="AL399" s="6"/>
      <c r="AM399" s="6"/>
      <c r="AN399" s="6"/>
      <c r="AO399" s="6"/>
      <c r="AP399" s="6"/>
      <c r="AQ399" s="6"/>
      <c r="AR399" s="6"/>
      <c r="AS399" s="6"/>
      <c r="AT399" s="6"/>
      <c r="AU399" s="6"/>
      <c r="AV399" s="6"/>
      <c r="AW399" s="6"/>
      <c r="AX399" s="6"/>
      <c r="AY399" s="6"/>
      <c r="AZ399" s="6"/>
      <c r="BA399" s="6"/>
      <c r="BB399" s="6"/>
      <c r="BC399" s="6"/>
      <c r="BD399" s="6"/>
      <c r="BE399" s="6"/>
      <c r="BF399" s="6"/>
      <c r="BG399" s="6"/>
      <c r="BH399" s="6"/>
      <c r="BI399" s="6"/>
      <c r="BJ399" s="6"/>
      <c r="BK399" s="6"/>
      <c r="BL399" s="6"/>
      <c r="BM399" s="6"/>
      <c r="BN399" s="6"/>
      <c r="BO399" s="6"/>
      <c r="BP399" s="6"/>
      <c r="BQ399" s="6"/>
      <c r="BR399" s="6"/>
      <c r="BS399" s="6"/>
      <c r="BT399" s="6"/>
      <c r="BU399" s="6"/>
      <c r="BV399" s="6"/>
      <c r="BW399" s="6"/>
      <c r="BX399" s="6"/>
      <c r="BY399" s="6"/>
      <c r="BZ399" s="6"/>
      <c r="CA399" s="6"/>
      <c r="CB399" s="6"/>
      <c r="CC399" s="6"/>
      <c r="CD399" s="6"/>
      <c r="CE399" s="6"/>
      <c r="CF399" s="6"/>
    </row>
  </sheetData>
  <pageMargins left="0.75" right="0.75" top="1" bottom="1" header="0.5" footer="0.5"/>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92D050"/>
    <pageSetUpPr autoPageBreaks="0"/>
  </sheetPr>
  <dimension ref="A1:IV398"/>
  <sheetViews>
    <sheetView topLeftCell="A238" zoomScaleNormal="100" workbookViewId="0">
      <selection activeCell="D255" sqref="D255"/>
    </sheetView>
  </sheetViews>
  <sheetFormatPr defaultRowHeight="12.75"/>
  <cols>
    <col min="1" max="1" width="29" style="4" bestFit="1" customWidth="1"/>
    <col min="2" max="2" width="14.42578125" style="4" bestFit="1" customWidth="1"/>
    <col min="3" max="4" width="17.85546875" style="4" bestFit="1" customWidth="1"/>
    <col min="5" max="5" width="12.5703125" style="4" bestFit="1" customWidth="1"/>
    <col min="6" max="6" width="10.140625" style="4" bestFit="1" customWidth="1"/>
    <col min="7" max="7" width="16.7109375" style="4" customWidth="1"/>
    <col min="8" max="8" width="12" style="4" bestFit="1" customWidth="1"/>
    <col min="9" max="9" width="11" style="4" bestFit="1" customWidth="1"/>
    <col min="10" max="10" width="11.7109375" style="4" bestFit="1" customWidth="1"/>
    <col min="11" max="11" width="12" style="4" bestFit="1" customWidth="1"/>
    <col min="12" max="12" width="14.7109375" style="4" bestFit="1" customWidth="1"/>
    <col min="13" max="13" width="16.5703125" style="4" bestFit="1" customWidth="1"/>
    <col min="14" max="14" width="12" style="4" bestFit="1" customWidth="1"/>
    <col min="15" max="15" width="25.140625" style="4" bestFit="1" customWidth="1"/>
    <col min="16" max="16" width="21.85546875" style="4" bestFit="1" customWidth="1"/>
    <col min="17" max="17" width="15.28515625" style="4" bestFit="1" customWidth="1"/>
    <col min="18" max="80" width="10.140625" style="4" bestFit="1" customWidth="1"/>
    <col min="81" max="82" width="17.85546875" style="4" bestFit="1" customWidth="1"/>
    <col min="83" max="83" width="17.85546875" style="4" customWidth="1"/>
    <col min="84" max="84" width="24.140625" style="4" customWidth="1"/>
    <col min="85" max="85" width="24.7109375" style="4" customWidth="1"/>
    <col min="86" max="102" width="15.7109375" style="4" bestFit="1" customWidth="1"/>
    <col min="103" max="103" width="20.85546875" style="4" customWidth="1"/>
    <col min="104" max="104" width="13.85546875" style="4" customWidth="1"/>
    <col min="105" max="142" width="9.140625" style="4"/>
    <col min="143" max="143" width="13.28515625" style="4" customWidth="1"/>
    <col min="144" max="16384" width="9.140625" style="4"/>
  </cols>
  <sheetData>
    <row r="1" spans="1:152">
      <c r="C1" s="156"/>
      <c r="D1" s="4" t="s">
        <v>109</v>
      </c>
      <c r="E1" s="4" t="s">
        <v>108</v>
      </c>
      <c r="F1" s="1" t="s">
        <v>3</v>
      </c>
      <c r="G1" s="4" t="s">
        <v>107</v>
      </c>
      <c r="H1" s="1" t="s">
        <v>0</v>
      </c>
      <c r="I1" s="1" t="s">
        <v>1</v>
      </c>
      <c r="J1" s="1" t="s">
        <v>2</v>
      </c>
      <c r="K1" s="2" t="s">
        <v>4</v>
      </c>
      <c r="L1" s="2" t="s">
        <v>6</v>
      </c>
      <c r="M1" s="2" t="s">
        <v>7</v>
      </c>
      <c r="N1" s="2" t="s">
        <v>5</v>
      </c>
      <c r="O1" s="2" t="s">
        <v>9</v>
      </c>
      <c r="P1" s="2" t="s">
        <v>10</v>
      </c>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3"/>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row>
    <row r="2" spans="1:152">
      <c r="A2" s="14" t="s">
        <v>20</v>
      </c>
      <c r="B2" s="14"/>
      <c r="C2" s="1"/>
      <c r="D2" t="str">
        <f>'Bond Data'!B71</f>
        <v>CTCHF12M GOVT</v>
      </c>
      <c r="E2" s="192" t="str">
        <f>'Bond Data'!C71</f>
        <v>7/6/2019</v>
      </c>
      <c r="F2" s="192" t="str">
        <f>'Bond Data'!D71</f>
        <v>7/6/2020</v>
      </c>
      <c r="G2">
        <f>'Bond Data'!E71</f>
        <v>1</v>
      </c>
      <c r="H2">
        <f>'Bond Data'!F71</f>
        <v>103.24250000000001</v>
      </c>
      <c r="I2">
        <f>'Bond Data'!G71</f>
        <v>2.2374999999999998</v>
      </c>
      <c r="J2">
        <f>'Bond Data'!H71/100</f>
        <v>2.2499999999999999E-2</v>
      </c>
      <c r="K2">
        <f>'Bond Data'!I71</f>
        <v>105.48</v>
      </c>
      <c r="L2" s="4">
        <f>YIELD($B$3,F2,J2,H2,100,G2,0)</f>
        <v>-9.2686749064318594E-3</v>
      </c>
      <c r="M2" s="4" t="e">
        <f>MDURATION($B$3,F2,J2,L2,G2,0)</f>
        <v>#NUM!</v>
      </c>
      <c r="N2" s="4" t="e">
        <f>DURATION($B$3,F2,J2,L2,G2,0)</f>
        <v>#NUM!</v>
      </c>
      <c r="O2" s="4" t="e">
        <f>1/M2</f>
        <v>#NUM!</v>
      </c>
      <c r="P2" s="4" t="e">
        <f t="shared" ref="P2:P11" si="0">O2/$O$28</f>
        <v>#NUM!</v>
      </c>
      <c r="BO2" s="3"/>
    </row>
    <row r="3" spans="1:152">
      <c r="A3" s="14" t="s">
        <v>21</v>
      </c>
      <c r="B3" s="229">
        <f>'Instructions &amp; Dashboard'!$D$45</f>
        <v>43648</v>
      </c>
      <c r="C3" s="1"/>
      <c r="D3" t="str">
        <f>'Bond Data'!B72</f>
        <v>CTCHF2Y GOVT</v>
      </c>
      <c r="E3" s="192" t="str">
        <f>'Bond Data'!C72</f>
        <v>4/28/2020</v>
      </c>
      <c r="F3" s="192" t="str">
        <f>'Bond Data'!D72</f>
        <v>4/28/2021</v>
      </c>
      <c r="G3">
        <f>'Bond Data'!E72</f>
        <v>1</v>
      </c>
      <c r="H3">
        <f>'Bond Data'!F72</f>
        <v>105.4285</v>
      </c>
      <c r="I3">
        <f>'Bond Data'!G72</f>
        <v>0.36666666666666664</v>
      </c>
      <c r="J3">
        <f>'Bond Data'!H72/100</f>
        <v>0.02</v>
      </c>
      <c r="K3">
        <f>'Bond Data'!I72</f>
        <v>105.79516666666666</v>
      </c>
      <c r="L3" s="549">
        <f t="shared" ref="L3:L14" si="1">YIELD($B$3,F3,J3,H3,100,G3,0)</f>
        <v>-9.3888962079390331E-3</v>
      </c>
      <c r="M3" s="549" t="e">
        <f t="shared" ref="M3:M14" si="2">MDURATION($B$3,F3,J3,L3,G3,0)</f>
        <v>#NUM!</v>
      </c>
      <c r="N3" s="549" t="e">
        <f t="shared" ref="N3:N14" si="3">DURATION($B$3,F3,J3,L3,G3,0)</f>
        <v>#NUM!</v>
      </c>
      <c r="O3" s="4" t="e">
        <f>1/M3</f>
        <v>#NUM!</v>
      </c>
      <c r="P3" s="4" t="e">
        <f t="shared" ref="P3" si="4">O3/$O$28</f>
        <v>#NUM!</v>
      </c>
      <c r="BO3" s="3"/>
    </row>
    <row r="4" spans="1:152">
      <c r="A4" s="14" t="s">
        <v>46</v>
      </c>
      <c r="B4" s="14"/>
      <c r="C4" s="1"/>
      <c r="D4" t="str">
        <f>'Bond Data'!B73</f>
        <v>CTCHF3Y GOVT</v>
      </c>
      <c r="E4" s="192" t="str">
        <f>'Bond Data'!C73</f>
        <v>5/25/2020</v>
      </c>
      <c r="F4" s="192" t="str">
        <f>'Bond Data'!D73</f>
        <v>5/25/2022</v>
      </c>
      <c r="G4">
        <f>'Bond Data'!E73</f>
        <v>1</v>
      </c>
      <c r="H4">
        <f>'Bond Data'!F73</f>
        <v>108.655</v>
      </c>
      <c r="I4">
        <f>'Bond Data'!G73</f>
        <v>0.2166666666666667</v>
      </c>
      <c r="J4">
        <f>'Bond Data'!H73/100</f>
        <v>0.02</v>
      </c>
      <c r="K4">
        <f>'Bond Data'!I73</f>
        <v>108.87166666666667</v>
      </c>
      <c r="L4" s="549">
        <f t="shared" si="1"/>
        <v>-9.3290581202395764E-3</v>
      </c>
      <c r="M4" s="549" t="e">
        <f t="shared" si="2"/>
        <v>#NUM!</v>
      </c>
      <c r="N4" s="549" t="e">
        <f t="shared" si="3"/>
        <v>#NUM!</v>
      </c>
      <c r="O4" s="4" t="e">
        <f>1/M4</f>
        <v>#NUM!</v>
      </c>
      <c r="P4" s="4" t="e">
        <f t="shared" si="0"/>
        <v>#NUM!</v>
      </c>
      <c r="BO4" s="3"/>
    </row>
    <row r="5" spans="1:152">
      <c r="A5" s="14" t="s">
        <v>50</v>
      </c>
      <c r="B5" s="238">
        <f>'Instructions &amp; Dashboard'!$D$40/100</f>
        <v>4.2000000000000003E-2</v>
      </c>
      <c r="C5" s="1"/>
      <c r="D5" t="str">
        <f>'Bond Data'!B74</f>
        <v>CTCHF4Y GOVT</v>
      </c>
      <c r="E5" s="192" t="str">
        <f>'Bond Data'!C74</f>
        <v>2/11/2020</v>
      </c>
      <c r="F5" s="192" t="str">
        <f>'Bond Data'!D74</f>
        <v>2/11/2023</v>
      </c>
      <c r="G5">
        <f>'Bond Data'!E74</f>
        <v>1</v>
      </c>
      <c r="H5">
        <f>'Bond Data'!F74</f>
        <v>118.0765</v>
      </c>
      <c r="I5">
        <f>'Bond Data'!G74</f>
        <v>1.588888888888889</v>
      </c>
      <c r="J5">
        <f>'Bond Data'!H74/100</f>
        <v>0.04</v>
      </c>
      <c r="K5">
        <f>'Bond Data'!I74</f>
        <v>119.66538888888888</v>
      </c>
      <c r="L5" s="549">
        <f t="shared" si="1"/>
        <v>-9.0448514547750592E-3</v>
      </c>
      <c r="M5" s="549" t="e">
        <f t="shared" si="2"/>
        <v>#NUM!</v>
      </c>
      <c r="N5" s="549" t="e">
        <f t="shared" si="3"/>
        <v>#NUM!</v>
      </c>
      <c r="O5" s="4" t="e">
        <f t="shared" ref="O5:O11" si="5">1/M5</f>
        <v>#NUM!</v>
      </c>
      <c r="P5" s="4" t="e">
        <f t="shared" si="0"/>
        <v>#NUM!</v>
      </c>
      <c r="BO5" s="3"/>
    </row>
    <row r="6" spans="1:152">
      <c r="A6" s="14" t="s">
        <v>11</v>
      </c>
      <c r="B6" s="14">
        <v>-5.6283927767546767E-2</v>
      </c>
      <c r="C6" s="1"/>
      <c r="D6" t="str">
        <f>'Bond Data'!B75</f>
        <v>CTCHF5Y GOVT</v>
      </c>
      <c r="E6" s="192" t="str">
        <f>'Bond Data'!C75</f>
        <v>6/11/2020</v>
      </c>
      <c r="F6" s="192" t="str">
        <f>'Bond Data'!D75</f>
        <v>6/11/2024</v>
      </c>
      <c r="G6">
        <f>'Bond Data'!E75</f>
        <v>1</v>
      </c>
      <c r="H6">
        <f>'Bond Data'!F75</f>
        <v>110.83449999999999</v>
      </c>
      <c r="I6">
        <f>'Bond Data'!G75</f>
        <v>7.9861111111111105E-2</v>
      </c>
      <c r="J6">
        <f>'Bond Data'!H75/100</f>
        <v>1.2500000000000001E-2</v>
      </c>
      <c r="K6">
        <f>'Bond Data'!I75</f>
        <v>110.91436111111111</v>
      </c>
      <c r="L6" s="549">
        <f t="shared" si="1"/>
        <v>-8.8510422318151677E-3</v>
      </c>
      <c r="M6" s="549" t="e">
        <f t="shared" si="2"/>
        <v>#NUM!</v>
      </c>
      <c r="N6" s="549" t="e">
        <f t="shared" si="3"/>
        <v>#NUM!</v>
      </c>
      <c r="O6" s="4" t="e">
        <f t="shared" si="5"/>
        <v>#NUM!</v>
      </c>
      <c r="P6" s="4" t="e">
        <f t="shared" si="0"/>
        <v>#NUM!</v>
      </c>
      <c r="BO6" s="3"/>
    </row>
    <row r="7" spans="1:152">
      <c r="A7" s="14" t="s">
        <v>12</v>
      </c>
      <c r="B7" s="14">
        <v>-0.35060106157291315</v>
      </c>
      <c r="C7" s="1"/>
      <c r="D7" t="str">
        <f>'Bond Data'!B76</f>
        <v>CTCHF6Y GOVT</v>
      </c>
      <c r="E7" s="192" t="str">
        <f>'Bond Data'!C76</f>
        <v>7/24/2019</v>
      </c>
      <c r="F7" s="192" t="str">
        <f>'Bond Data'!D76</f>
        <v>7/24/2025</v>
      </c>
      <c r="G7">
        <f>'Bond Data'!E76</f>
        <v>1</v>
      </c>
      <c r="H7">
        <f>'Bond Data'!F76</f>
        <v>114.3565</v>
      </c>
      <c r="I7">
        <f>'Bond Data'!G76</f>
        <v>1.4166666666666665</v>
      </c>
      <c r="J7">
        <f>'Bond Data'!H76/100</f>
        <v>1.4999999999999999E-2</v>
      </c>
      <c r="K7">
        <f>'Bond Data'!I76</f>
        <v>115.77316666666667</v>
      </c>
      <c r="L7" s="549">
        <f t="shared" si="1"/>
        <v>-8.0196064096931183E-3</v>
      </c>
      <c r="M7" s="549" t="e">
        <f t="shared" si="2"/>
        <v>#NUM!</v>
      </c>
      <c r="N7" s="549" t="e">
        <f t="shared" si="3"/>
        <v>#NUM!</v>
      </c>
      <c r="O7" s="4" t="e">
        <f t="shared" si="5"/>
        <v>#NUM!</v>
      </c>
      <c r="P7" s="4" t="e">
        <f t="shared" si="0"/>
        <v>#NUM!</v>
      </c>
      <c r="BO7" s="3"/>
    </row>
    <row r="8" spans="1:152">
      <c r="A8" s="14" t="s">
        <v>51</v>
      </c>
      <c r="B8" s="14">
        <v>0.23542902199977092</v>
      </c>
      <c r="C8" s="1"/>
      <c r="D8" t="str">
        <f>'Bond Data'!B77</f>
        <v>CTCHF7Y GOVT</v>
      </c>
      <c r="E8" s="192" t="str">
        <f>'Bond Data'!C77</f>
        <v>5/28/2020</v>
      </c>
      <c r="F8" s="192" t="str">
        <f>'Bond Data'!D77</f>
        <v>5/28/2026</v>
      </c>
      <c r="G8">
        <f>'Bond Data'!E77</f>
        <v>1</v>
      </c>
      <c r="H8">
        <f>'Bond Data'!F77</f>
        <v>114.29499999999999</v>
      </c>
      <c r="I8">
        <f>'Bond Data'!G77</f>
        <v>0.12500000000000003</v>
      </c>
      <c r="J8">
        <f>'Bond Data'!H77/100</f>
        <v>1.2500000000000001E-2</v>
      </c>
      <c r="K8">
        <f>'Bond Data'!I77</f>
        <v>114.41999999999999</v>
      </c>
      <c r="L8" s="549">
        <f t="shared" si="1"/>
        <v>-7.5842201230439882E-3</v>
      </c>
      <c r="M8" s="549" t="e">
        <f t="shared" si="2"/>
        <v>#NUM!</v>
      </c>
      <c r="N8" s="549" t="e">
        <f t="shared" si="3"/>
        <v>#NUM!</v>
      </c>
      <c r="O8" s="4" t="e">
        <f t="shared" si="5"/>
        <v>#NUM!</v>
      </c>
      <c r="P8" s="4" t="e">
        <f t="shared" si="0"/>
        <v>#NUM!</v>
      </c>
      <c r="BO8" s="3"/>
    </row>
    <row r="9" spans="1:152">
      <c r="A9" s="14" t="s">
        <v>53</v>
      </c>
      <c r="B9" s="14">
        <v>90.026227563865291</v>
      </c>
      <c r="C9" s="1"/>
      <c r="D9" t="str">
        <f>'Bond Data'!B78</f>
        <v>CTCHF8Y GOVT</v>
      </c>
      <c r="E9" s="192" t="str">
        <f>'Bond Data'!C78</f>
        <v>6/27/2020</v>
      </c>
      <c r="F9" s="192" t="str">
        <f>'Bond Data'!D78</f>
        <v>6/27/2027</v>
      </c>
      <c r="G9">
        <f>'Bond Data'!E78</f>
        <v>1</v>
      </c>
      <c r="H9">
        <f>'Bond Data'!F78</f>
        <v>132.63150000000002</v>
      </c>
      <c r="I9">
        <f>'Bond Data'!G78</f>
        <v>6.3194444444444456E-2</v>
      </c>
      <c r="J9">
        <f>'Bond Data'!H78/100</f>
        <v>3.2500000000000001E-2</v>
      </c>
      <c r="K9">
        <f>'Bond Data'!I78</f>
        <v>132.69469444444445</v>
      </c>
      <c r="L9" s="549">
        <f t="shared" si="1"/>
        <v>-7.0724384406871642E-3</v>
      </c>
      <c r="M9" s="549" t="e">
        <f t="shared" si="2"/>
        <v>#NUM!</v>
      </c>
      <c r="N9" s="549" t="e">
        <f t="shared" si="3"/>
        <v>#NUM!</v>
      </c>
      <c r="O9" s="4" t="e">
        <f t="shared" si="5"/>
        <v>#NUM!</v>
      </c>
      <c r="P9" s="4" t="e">
        <f t="shared" si="0"/>
        <v>#NUM!</v>
      </c>
      <c r="BO9" s="3"/>
    </row>
    <row r="10" spans="1:152">
      <c r="A10" s="14" t="s">
        <v>52</v>
      </c>
      <c r="B10" s="14">
        <v>41.219840265800102</v>
      </c>
      <c r="C10" s="1"/>
      <c r="D10" t="str">
        <f>'Bond Data'!B79</f>
        <v>CTCHF9Y GOVT</v>
      </c>
      <c r="E10" s="192" t="str">
        <f>'Bond Data'!C79</f>
        <v>4/8/2020</v>
      </c>
      <c r="F10" s="192" t="str">
        <f>'Bond Data'!D79</f>
        <v>4/8/2028</v>
      </c>
      <c r="G10">
        <f>'Bond Data'!E79</f>
        <v>1</v>
      </c>
      <c r="H10">
        <f>'Bond Data'!F79</f>
        <v>142.74</v>
      </c>
      <c r="I10">
        <f>'Bond Data'!G79</f>
        <v>0.95555555555555571</v>
      </c>
      <c r="J10">
        <f>'Bond Data'!H79/100</f>
        <v>0.04</v>
      </c>
      <c r="K10">
        <f>'Bond Data'!I79</f>
        <v>143.69555555555556</v>
      </c>
      <c r="L10" s="549">
        <f t="shared" si="1"/>
        <v>-7.0799758468451674E-3</v>
      </c>
      <c r="M10" s="549" t="e">
        <f t="shared" si="2"/>
        <v>#NUM!</v>
      </c>
      <c r="N10" s="549" t="e">
        <f t="shared" si="3"/>
        <v>#NUM!</v>
      </c>
      <c r="O10" s="4" t="e">
        <f t="shared" si="5"/>
        <v>#NUM!</v>
      </c>
      <c r="P10" s="4" t="e">
        <f t="shared" si="0"/>
        <v>#NUM!</v>
      </c>
      <c r="BO10" s="3"/>
    </row>
    <row r="11" spans="1:152">
      <c r="A11" s="14"/>
      <c r="B11" s="14"/>
      <c r="C11" s="1"/>
      <c r="D11" t="str">
        <f>'Bond Data'!B80</f>
        <v>CTCHF10Y GOVT</v>
      </c>
      <c r="E11" s="192" t="str">
        <f>'Bond Data'!C80</f>
        <v>6/22/2020</v>
      </c>
      <c r="F11" s="192" t="str">
        <f>'Bond Data'!D80</f>
        <v>6/22/2029</v>
      </c>
      <c r="G11">
        <f>'Bond Data'!E80</f>
        <v>1</v>
      </c>
      <c r="H11">
        <f>'Bond Data'!F80</f>
        <v>106.03749999999999</v>
      </c>
      <c r="I11">
        <f>'Bond Data'!G80</f>
        <v>0</v>
      </c>
      <c r="J11">
        <f>'Bond Data'!H80/100</f>
        <v>0</v>
      </c>
      <c r="K11">
        <f>'Bond Data'!I80</f>
        <v>106.03749999999999</v>
      </c>
      <c r="L11" s="549">
        <f t="shared" si="1"/>
        <v>-5.8613462257736289E-3</v>
      </c>
      <c r="M11" s="549" t="e">
        <f t="shared" si="2"/>
        <v>#NUM!</v>
      </c>
      <c r="N11" s="549" t="e">
        <f t="shared" si="3"/>
        <v>#NUM!</v>
      </c>
      <c r="O11" s="4" t="e">
        <f t="shared" si="5"/>
        <v>#NUM!</v>
      </c>
      <c r="P11" s="4" t="e">
        <f t="shared" si="0"/>
        <v>#NUM!</v>
      </c>
      <c r="BO11" s="3"/>
    </row>
    <row r="12" spans="1:152">
      <c r="C12" s="1"/>
      <c r="D12" t="str">
        <f>'Bond Data'!B81</f>
        <v>CTCHF15Y GOVT</v>
      </c>
      <c r="E12" s="192" t="str">
        <f>'Bond Data'!C81</f>
        <v>4/8/2020</v>
      </c>
      <c r="F12" s="192" t="str">
        <f>'Bond Data'!D81</f>
        <v>4/8/2033</v>
      </c>
      <c r="G12">
        <f>'Bond Data'!E81</f>
        <v>1</v>
      </c>
      <c r="H12">
        <f>'Bond Data'!F81</f>
        <v>153.47250000000003</v>
      </c>
      <c r="I12">
        <f>'Bond Data'!G81</f>
        <v>0.83611111111111125</v>
      </c>
      <c r="J12">
        <f>'Bond Data'!H81/100</f>
        <v>3.5000000000000003E-2</v>
      </c>
      <c r="K12">
        <f>'Bond Data'!I81</f>
        <v>154.30861111111113</v>
      </c>
      <c r="L12" s="549">
        <f t="shared" si="1"/>
        <v>-2.9894733968911821E-3</v>
      </c>
      <c r="M12" s="549" t="e">
        <f t="shared" si="2"/>
        <v>#NUM!</v>
      </c>
      <c r="N12" s="549" t="e">
        <f t="shared" si="3"/>
        <v>#NUM!</v>
      </c>
      <c r="O12" s="4" t="e">
        <f>1/M12</f>
        <v>#NUM!</v>
      </c>
      <c r="P12" s="4" t="e">
        <f>O12/$O$28</f>
        <v>#NUM!</v>
      </c>
      <c r="BO12" s="3"/>
    </row>
    <row r="13" spans="1:152">
      <c r="C13" s="1"/>
      <c r="D13" t="str">
        <f>'Bond Data'!B82</f>
        <v>CTCHF20Y GOVT</v>
      </c>
      <c r="E13" s="192" t="str">
        <f>'Bond Data'!C82</f>
        <v>6/27/2020</v>
      </c>
      <c r="F13" s="192" t="str">
        <f>'Bond Data'!D82</f>
        <v>6/27/2037</v>
      </c>
      <c r="G13">
        <f>'Bond Data'!E82</f>
        <v>1</v>
      </c>
      <c r="H13">
        <f>'Bond Data'!F82</f>
        <v>125.4235</v>
      </c>
      <c r="I13">
        <f>'Bond Data'!G82</f>
        <v>2.4305555555555556E-2</v>
      </c>
      <c r="J13">
        <f>'Bond Data'!H82/100</f>
        <v>1.2500000000000001E-2</v>
      </c>
      <c r="K13">
        <f>'Bond Data'!I82</f>
        <v>125.44780555555556</v>
      </c>
      <c r="L13" s="549">
        <f t="shared" si="1"/>
        <v>-1.4423196835311044E-3</v>
      </c>
      <c r="M13" s="549" t="e">
        <f t="shared" si="2"/>
        <v>#NUM!</v>
      </c>
      <c r="N13" s="549" t="e">
        <f t="shared" si="3"/>
        <v>#NUM!</v>
      </c>
      <c r="O13" s="4" t="e">
        <f>1/M13</f>
        <v>#NUM!</v>
      </c>
      <c r="P13" s="4" t="e">
        <f>O13/$O$28</f>
        <v>#NUM!</v>
      </c>
      <c r="BO13" s="3"/>
    </row>
    <row r="14" spans="1:152">
      <c r="B14" s="227"/>
      <c r="C14" s="1"/>
      <c r="D14" t="str">
        <f>'Bond Data'!B83</f>
        <v>CTCHF30Y GOVT</v>
      </c>
      <c r="E14" s="192" t="str">
        <f>'Bond Data'!C83</f>
        <v>1/6/2020</v>
      </c>
      <c r="F14" s="192" t="str">
        <f>'Bond Data'!D83</f>
        <v>1/6/2049</v>
      </c>
      <c r="G14">
        <f>'Bond Data'!E83</f>
        <v>1</v>
      </c>
      <c r="H14">
        <f>'Bond Data'!F83</f>
        <v>218.37700000000001</v>
      </c>
      <c r="I14">
        <f>'Bond Data'!G83</f>
        <v>1.9777777777777779</v>
      </c>
      <c r="J14">
        <f>'Bond Data'!H83/100</f>
        <v>0.04</v>
      </c>
      <c r="K14">
        <f>'Bond Data'!I83</f>
        <v>220.3547777777778</v>
      </c>
      <c r="L14" s="549">
        <f t="shared" si="1"/>
        <v>-6.990989048934853E-5</v>
      </c>
      <c r="M14" s="549" t="e">
        <f t="shared" si="2"/>
        <v>#NUM!</v>
      </c>
      <c r="N14" s="549" t="e">
        <f t="shared" si="3"/>
        <v>#NUM!</v>
      </c>
      <c r="O14" s="4" t="e">
        <f>1/M14</f>
        <v>#NUM!</v>
      </c>
      <c r="P14" s="4" t="e">
        <f>O14/$O$28</f>
        <v>#NUM!</v>
      </c>
      <c r="BO14" s="3"/>
    </row>
    <row r="15" spans="1:152">
      <c r="B15" s="227"/>
      <c r="C15" s="1"/>
      <c r="BO15" s="3"/>
    </row>
    <row r="16" spans="1:152">
      <c r="B16" s="227"/>
      <c r="C16" s="1"/>
      <c r="D16"/>
      <c r="E16"/>
      <c r="F16"/>
      <c r="G16"/>
      <c r="H16"/>
      <c r="I16"/>
      <c r="J16"/>
      <c r="K16"/>
      <c r="BO16" s="3"/>
    </row>
    <row r="17" spans="1:83">
      <c r="B17" s="227"/>
      <c r="C17" s="1"/>
      <c r="D17"/>
      <c r="E17"/>
      <c r="F17"/>
      <c r="G17"/>
      <c r="H17"/>
      <c r="I17"/>
      <c r="J17"/>
      <c r="K17"/>
      <c r="BO17" s="3"/>
    </row>
    <row r="18" spans="1:83">
      <c r="B18" s="227"/>
      <c r="C18" s="1"/>
      <c r="BO18" s="3"/>
    </row>
    <row r="19" spans="1:83">
      <c r="B19" s="227"/>
      <c r="C19" s="1"/>
      <c r="D19"/>
      <c r="E19"/>
      <c r="F19"/>
      <c r="G19"/>
      <c r="H19"/>
      <c r="I19"/>
      <c r="J19"/>
      <c r="K19"/>
      <c r="BO19" s="3"/>
    </row>
    <row r="20" spans="1:83">
      <c r="C20" s="1"/>
      <c r="D20"/>
      <c r="E20"/>
      <c r="F20"/>
      <c r="G20"/>
      <c r="H20"/>
      <c r="I20"/>
      <c r="J20"/>
      <c r="K20"/>
      <c r="BO20" s="3"/>
    </row>
    <row r="21" spans="1:83">
      <c r="C21" s="1"/>
      <c r="D21"/>
      <c r="E21"/>
      <c r="F21"/>
      <c r="G21"/>
      <c r="H21"/>
      <c r="I21"/>
      <c r="J21"/>
      <c r="K21"/>
      <c r="BO21" s="3"/>
    </row>
    <row r="22" spans="1:83">
      <c r="C22" s="1"/>
      <c r="BO22" s="3"/>
    </row>
    <row r="23" spans="1:83">
      <c r="C23" s="1"/>
      <c r="D23"/>
      <c r="E23"/>
      <c r="F23"/>
      <c r="G23"/>
      <c r="H23"/>
      <c r="I23"/>
      <c r="J23"/>
      <c r="K23"/>
    </row>
    <row r="24" spans="1:83">
      <c r="C24" s="1"/>
      <c r="D24"/>
      <c r="E24"/>
      <c r="F24"/>
      <c r="G24"/>
      <c r="H24"/>
      <c r="I24"/>
      <c r="J24"/>
      <c r="K24"/>
    </row>
    <row r="25" spans="1:83">
      <c r="C25" s="1"/>
      <c r="D25"/>
      <c r="E25"/>
      <c r="F25"/>
      <c r="G25"/>
      <c r="H25"/>
      <c r="I25"/>
      <c r="J25"/>
      <c r="K25"/>
    </row>
    <row r="26" spans="1:83">
      <c r="C26" s="1"/>
      <c r="D26"/>
      <c r="E26"/>
      <c r="F26"/>
      <c r="G26"/>
      <c r="H26"/>
      <c r="I26"/>
      <c r="J26"/>
      <c r="K26"/>
    </row>
    <row r="27" spans="1:83">
      <c r="C27" s="1"/>
      <c r="D27"/>
      <c r="E27"/>
      <c r="F27"/>
      <c r="G27"/>
      <c r="H27"/>
      <c r="I27"/>
      <c r="J27"/>
      <c r="K27"/>
    </row>
    <row r="28" spans="1:83">
      <c r="D28"/>
      <c r="N28" s="13" t="s">
        <v>48</v>
      </c>
      <c r="O28" s="13" t="e">
        <f>SUM(O2:O27)</f>
        <v>#NUM!</v>
      </c>
      <c r="P28" s="6"/>
    </row>
    <row r="29" spans="1:83">
      <c r="A29" s="6"/>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row>
    <row r="30" spans="1:83" s="22" customFormat="1">
      <c r="A30" s="161" t="s">
        <v>49</v>
      </c>
      <c r="B30" s="142" t="str">
        <f>IF(E2=0,F2,E2)</f>
        <v>7/6/2019</v>
      </c>
      <c r="C30" s="24">
        <f t="shared" ref="C30:BN30" si="6">B30+IF($G2=1,365,182.5)</f>
        <v>44017</v>
      </c>
      <c r="D30" s="24">
        <f t="shared" si="6"/>
        <v>44382</v>
      </c>
      <c r="E30" s="24">
        <f t="shared" si="6"/>
        <v>44747</v>
      </c>
      <c r="F30" s="24">
        <f t="shared" si="6"/>
        <v>45112</v>
      </c>
      <c r="G30" s="24">
        <f t="shared" si="6"/>
        <v>45477</v>
      </c>
      <c r="H30" s="24">
        <f t="shared" si="6"/>
        <v>45842</v>
      </c>
      <c r="I30" s="24">
        <f t="shared" si="6"/>
        <v>46207</v>
      </c>
      <c r="J30" s="24">
        <f t="shared" si="6"/>
        <v>46572</v>
      </c>
      <c r="K30" s="24">
        <f t="shared" si="6"/>
        <v>46937</v>
      </c>
      <c r="L30" s="24">
        <f t="shared" si="6"/>
        <v>47302</v>
      </c>
      <c r="M30" s="24">
        <f t="shared" si="6"/>
        <v>47667</v>
      </c>
      <c r="N30" s="24">
        <f t="shared" si="6"/>
        <v>48032</v>
      </c>
      <c r="O30" s="24">
        <f t="shared" si="6"/>
        <v>48397</v>
      </c>
      <c r="P30" s="24">
        <f t="shared" si="6"/>
        <v>48762</v>
      </c>
      <c r="Q30" s="24">
        <f t="shared" si="6"/>
        <v>49127</v>
      </c>
      <c r="R30" s="24">
        <f t="shared" si="6"/>
        <v>49492</v>
      </c>
      <c r="S30" s="24">
        <f t="shared" si="6"/>
        <v>49857</v>
      </c>
      <c r="T30" s="24">
        <f t="shared" si="6"/>
        <v>50222</v>
      </c>
      <c r="U30" s="24">
        <f t="shared" si="6"/>
        <v>50587</v>
      </c>
      <c r="V30" s="24">
        <f t="shared" si="6"/>
        <v>50952</v>
      </c>
      <c r="W30" s="24">
        <f t="shared" si="6"/>
        <v>51317</v>
      </c>
      <c r="X30" s="24">
        <f t="shared" si="6"/>
        <v>51682</v>
      </c>
      <c r="Y30" s="24">
        <f t="shared" si="6"/>
        <v>52047</v>
      </c>
      <c r="Z30" s="24">
        <f t="shared" si="6"/>
        <v>52412</v>
      </c>
      <c r="AA30" s="24">
        <f t="shared" si="6"/>
        <v>52777</v>
      </c>
      <c r="AB30" s="24">
        <f t="shared" si="6"/>
        <v>53142</v>
      </c>
      <c r="AC30" s="24">
        <f t="shared" si="6"/>
        <v>53507</v>
      </c>
      <c r="AD30" s="24">
        <f t="shared" si="6"/>
        <v>53872</v>
      </c>
      <c r="AE30" s="24">
        <f t="shared" si="6"/>
        <v>54237</v>
      </c>
      <c r="AF30" s="24">
        <f t="shared" si="6"/>
        <v>54602</v>
      </c>
      <c r="AG30" s="24">
        <f t="shared" si="6"/>
        <v>54967</v>
      </c>
      <c r="AH30" s="24">
        <f t="shared" si="6"/>
        <v>55332</v>
      </c>
      <c r="AI30" s="24">
        <f t="shared" si="6"/>
        <v>55697</v>
      </c>
      <c r="AJ30" s="24">
        <f t="shared" si="6"/>
        <v>56062</v>
      </c>
      <c r="AK30" s="24">
        <f t="shared" si="6"/>
        <v>56427</v>
      </c>
      <c r="AL30" s="24">
        <f t="shared" si="6"/>
        <v>56792</v>
      </c>
      <c r="AM30" s="24">
        <f t="shared" si="6"/>
        <v>57157</v>
      </c>
      <c r="AN30" s="24">
        <f t="shared" si="6"/>
        <v>57522</v>
      </c>
      <c r="AO30" s="24">
        <f t="shared" si="6"/>
        <v>57887</v>
      </c>
      <c r="AP30" s="24">
        <f t="shared" si="6"/>
        <v>58252</v>
      </c>
      <c r="AQ30" s="24">
        <f t="shared" si="6"/>
        <v>58617</v>
      </c>
      <c r="AR30" s="24">
        <f t="shared" si="6"/>
        <v>58982</v>
      </c>
      <c r="AS30" s="24">
        <f t="shared" si="6"/>
        <v>59347</v>
      </c>
      <c r="AT30" s="24">
        <f t="shared" si="6"/>
        <v>59712</v>
      </c>
      <c r="AU30" s="24">
        <f t="shared" si="6"/>
        <v>60077</v>
      </c>
      <c r="AV30" s="24">
        <f t="shared" si="6"/>
        <v>60442</v>
      </c>
      <c r="AW30" s="24">
        <f t="shared" si="6"/>
        <v>60807</v>
      </c>
      <c r="AX30" s="24">
        <f t="shared" si="6"/>
        <v>61172</v>
      </c>
      <c r="AY30" s="24">
        <f t="shared" si="6"/>
        <v>61537</v>
      </c>
      <c r="AZ30" s="24">
        <f t="shared" si="6"/>
        <v>61902</v>
      </c>
      <c r="BA30" s="24">
        <f t="shared" si="6"/>
        <v>62267</v>
      </c>
      <c r="BB30" s="24">
        <f t="shared" si="6"/>
        <v>62632</v>
      </c>
      <c r="BC30" s="24">
        <f t="shared" si="6"/>
        <v>62997</v>
      </c>
      <c r="BD30" s="24">
        <f t="shared" si="6"/>
        <v>63362</v>
      </c>
      <c r="BE30" s="24">
        <f t="shared" si="6"/>
        <v>63727</v>
      </c>
      <c r="BF30" s="24">
        <f t="shared" si="6"/>
        <v>64092</v>
      </c>
      <c r="BG30" s="24">
        <f t="shared" si="6"/>
        <v>64457</v>
      </c>
      <c r="BH30" s="24">
        <f t="shared" si="6"/>
        <v>64822</v>
      </c>
      <c r="BI30" s="24">
        <f t="shared" si="6"/>
        <v>65187</v>
      </c>
      <c r="BJ30" s="24">
        <f t="shared" si="6"/>
        <v>65552</v>
      </c>
      <c r="BK30" s="24">
        <f t="shared" si="6"/>
        <v>65917</v>
      </c>
      <c r="BL30" s="24">
        <f t="shared" si="6"/>
        <v>66282</v>
      </c>
      <c r="BM30" s="24">
        <f t="shared" si="6"/>
        <v>66647</v>
      </c>
      <c r="BN30" s="24">
        <f t="shared" si="6"/>
        <v>67012</v>
      </c>
      <c r="BO30" s="24">
        <f t="shared" ref="BO30:CB30" si="7">BN30+IF($G2=1,365,182.5)</f>
        <v>67377</v>
      </c>
      <c r="BP30" s="24">
        <f t="shared" si="7"/>
        <v>67742</v>
      </c>
      <c r="BQ30" s="24">
        <f t="shared" si="7"/>
        <v>68107</v>
      </c>
      <c r="BR30" s="24">
        <f t="shared" si="7"/>
        <v>68472</v>
      </c>
      <c r="BS30" s="24">
        <f t="shared" si="7"/>
        <v>68837</v>
      </c>
      <c r="BT30" s="24">
        <f t="shared" si="7"/>
        <v>69202</v>
      </c>
      <c r="BU30" s="24">
        <f t="shared" si="7"/>
        <v>69567</v>
      </c>
      <c r="BV30" s="24">
        <f t="shared" si="7"/>
        <v>69932</v>
      </c>
      <c r="BW30" s="24">
        <f t="shared" si="7"/>
        <v>70297</v>
      </c>
      <c r="BX30" s="24">
        <f t="shared" si="7"/>
        <v>70662</v>
      </c>
      <c r="BY30" s="24">
        <f t="shared" si="7"/>
        <v>71027</v>
      </c>
      <c r="BZ30" s="24">
        <f t="shared" si="7"/>
        <v>71392</v>
      </c>
      <c r="CA30" s="24">
        <f t="shared" si="7"/>
        <v>71757</v>
      </c>
      <c r="CB30" s="25">
        <f t="shared" si="7"/>
        <v>72122</v>
      </c>
    </row>
    <row r="31" spans="1:83">
      <c r="A31" s="162" t="s">
        <v>22</v>
      </c>
      <c r="B31" s="104">
        <f>(IF(B30=F2,100,0)+IF(G2=1,1,0.5)*J2*100)*IF(ISBLANK(F2)=TRUE,0,1)</f>
        <v>2.25</v>
      </c>
      <c r="C31" s="26">
        <f>IF(C30&gt;$F2+1,0,1)*(IF(D31=0,100,0)+IF($G2=1,1,0.5)*$J2*100)</f>
        <v>102.25</v>
      </c>
      <c r="D31" s="26">
        <f t="shared" ref="D31:BO31" si="8">IF(D30&gt;$F2+1,0,1)*(IF(E31=0,100,0)+IF($G2=1,1,0.5)*$J2*100)</f>
        <v>0</v>
      </c>
      <c r="E31" s="26">
        <f t="shared" si="8"/>
        <v>0</v>
      </c>
      <c r="F31" s="26">
        <f t="shared" si="8"/>
        <v>0</v>
      </c>
      <c r="G31" s="26">
        <f t="shared" si="8"/>
        <v>0</v>
      </c>
      <c r="H31" s="26">
        <f t="shared" si="8"/>
        <v>0</v>
      </c>
      <c r="I31" s="26">
        <f t="shared" si="8"/>
        <v>0</v>
      </c>
      <c r="J31" s="26">
        <f t="shared" si="8"/>
        <v>0</v>
      </c>
      <c r="K31" s="26">
        <f t="shared" si="8"/>
        <v>0</v>
      </c>
      <c r="L31" s="26">
        <f t="shared" si="8"/>
        <v>0</v>
      </c>
      <c r="M31" s="26">
        <f t="shared" si="8"/>
        <v>0</v>
      </c>
      <c r="N31" s="26">
        <f t="shared" si="8"/>
        <v>0</v>
      </c>
      <c r="O31" s="26">
        <f t="shared" si="8"/>
        <v>0</v>
      </c>
      <c r="P31" s="26">
        <f t="shared" si="8"/>
        <v>0</v>
      </c>
      <c r="Q31" s="26">
        <f t="shared" si="8"/>
        <v>0</v>
      </c>
      <c r="R31" s="26">
        <f t="shared" si="8"/>
        <v>0</v>
      </c>
      <c r="S31" s="26">
        <f t="shared" si="8"/>
        <v>0</v>
      </c>
      <c r="T31" s="26">
        <f t="shared" si="8"/>
        <v>0</v>
      </c>
      <c r="U31" s="26">
        <f t="shared" si="8"/>
        <v>0</v>
      </c>
      <c r="V31" s="26">
        <f t="shared" si="8"/>
        <v>0</v>
      </c>
      <c r="W31" s="26">
        <f t="shared" si="8"/>
        <v>0</v>
      </c>
      <c r="X31" s="26">
        <f t="shared" si="8"/>
        <v>0</v>
      </c>
      <c r="Y31" s="26">
        <f t="shared" si="8"/>
        <v>0</v>
      </c>
      <c r="Z31" s="26">
        <f t="shared" si="8"/>
        <v>0</v>
      </c>
      <c r="AA31" s="26">
        <f t="shared" si="8"/>
        <v>0</v>
      </c>
      <c r="AB31" s="26">
        <f t="shared" si="8"/>
        <v>0</v>
      </c>
      <c r="AC31" s="26">
        <f t="shared" si="8"/>
        <v>0</v>
      </c>
      <c r="AD31" s="26">
        <f t="shared" si="8"/>
        <v>0</v>
      </c>
      <c r="AE31" s="26">
        <f t="shared" si="8"/>
        <v>0</v>
      </c>
      <c r="AF31" s="26">
        <f t="shared" si="8"/>
        <v>0</v>
      </c>
      <c r="AG31" s="26">
        <f t="shared" si="8"/>
        <v>0</v>
      </c>
      <c r="AH31" s="26">
        <f t="shared" si="8"/>
        <v>0</v>
      </c>
      <c r="AI31" s="26">
        <f t="shared" si="8"/>
        <v>0</v>
      </c>
      <c r="AJ31" s="26">
        <f t="shared" si="8"/>
        <v>0</v>
      </c>
      <c r="AK31" s="26">
        <f t="shared" si="8"/>
        <v>0</v>
      </c>
      <c r="AL31" s="26">
        <f t="shared" si="8"/>
        <v>0</v>
      </c>
      <c r="AM31" s="26">
        <f t="shared" si="8"/>
        <v>0</v>
      </c>
      <c r="AN31" s="26">
        <f t="shared" si="8"/>
        <v>0</v>
      </c>
      <c r="AO31" s="26">
        <f t="shared" si="8"/>
        <v>0</v>
      </c>
      <c r="AP31" s="26">
        <f t="shared" si="8"/>
        <v>0</v>
      </c>
      <c r="AQ31" s="26">
        <f t="shared" si="8"/>
        <v>0</v>
      </c>
      <c r="AR31" s="26">
        <f t="shared" si="8"/>
        <v>0</v>
      </c>
      <c r="AS31" s="26">
        <f t="shared" si="8"/>
        <v>0</v>
      </c>
      <c r="AT31" s="26">
        <f t="shared" si="8"/>
        <v>0</v>
      </c>
      <c r="AU31" s="26">
        <f t="shared" si="8"/>
        <v>0</v>
      </c>
      <c r="AV31" s="26">
        <f t="shared" si="8"/>
        <v>0</v>
      </c>
      <c r="AW31" s="26">
        <f t="shared" si="8"/>
        <v>0</v>
      </c>
      <c r="AX31" s="26">
        <f t="shared" si="8"/>
        <v>0</v>
      </c>
      <c r="AY31" s="26">
        <f t="shared" si="8"/>
        <v>0</v>
      </c>
      <c r="AZ31" s="26">
        <f t="shared" si="8"/>
        <v>0</v>
      </c>
      <c r="BA31" s="26">
        <f t="shared" si="8"/>
        <v>0</v>
      </c>
      <c r="BB31" s="26">
        <f t="shared" si="8"/>
        <v>0</v>
      </c>
      <c r="BC31" s="26">
        <f t="shared" si="8"/>
        <v>0</v>
      </c>
      <c r="BD31" s="26">
        <f t="shared" si="8"/>
        <v>0</v>
      </c>
      <c r="BE31" s="26">
        <f t="shared" si="8"/>
        <v>0</v>
      </c>
      <c r="BF31" s="26">
        <f t="shared" si="8"/>
        <v>0</v>
      </c>
      <c r="BG31" s="26">
        <f t="shared" si="8"/>
        <v>0</v>
      </c>
      <c r="BH31" s="26">
        <f t="shared" si="8"/>
        <v>0</v>
      </c>
      <c r="BI31" s="26">
        <f t="shared" si="8"/>
        <v>0</v>
      </c>
      <c r="BJ31" s="26">
        <f t="shared" si="8"/>
        <v>0</v>
      </c>
      <c r="BK31" s="26">
        <f t="shared" si="8"/>
        <v>0</v>
      </c>
      <c r="BL31" s="26">
        <f t="shared" si="8"/>
        <v>0</v>
      </c>
      <c r="BM31" s="26">
        <f t="shared" si="8"/>
        <v>0</v>
      </c>
      <c r="BN31" s="26">
        <f t="shared" si="8"/>
        <v>0</v>
      </c>
      <c r="BO31" s="26">
        <f t="shared" si="8"/>
        <v>0</v>
      </c>
      <c r="BP31" s="26">
        <f t="shared" ref="BP31:CB31" si="9">IF(BP30&gt;$F2+1,0,1)*(IF(BQ31=0,100,0)+IF($G2=1,1,0.5)*$J2*100)</f>
        <v>0</v>
      </c>
      <c r="BQ31" s="26">
        <f t="shared" si="9"/>
        <v>0</v>
      </c>
      <c r="BR31" s="26">
        <f t="shared" si="9"/>
        <v>0</v>
      </c>
      <c r="BS31" s="26">
        <f t="shared" si="9"/>
        <v>0</v>
      </c>
      <c r="BT31" s="26">
        <f t="shared" si="9"/>
        <v>0</v>
      </c>
      <c r="BU31" s="26">
        <f t="shared" si="9"/>
        <v>0</v>
      </c>
      <c r="BV31" s="26">
        <f t="shared" si="9"/>
        <v>0</v>
      </c>
      <c r="BW31" s="26">
        <f t="shared" si="9"/>
        <v>0</v>
      </c>
      <c r="BX31" s="26">
        <f t="shared" si="9"/>
        <v>0</v>
      </c>
      <c r="BY31" s="26">
        <f t="shared" si="9"/>
        <v>0</v>
      </c>
      <c r="BZ31" s="26">
        <f t="shared" si="9"/>
        <v>0</v>
      </c>
      <c r="CA31" s="26">
        <f t="shared" si="9"/>
        <v>0</v>
      </c>
      <c r="CB31" s="27">
        <f t="shared" si="9"/>
        <v>0</v>
      </c>
    </row>
    <row r="32" spans="1:83" s="22" customFormat="1">
      <c r="A32" s="264" t="s">
        <v>49</v>
      </c>
      <c r="B32" s="142" t="str">
        <f>IF(E3=0,F3,E3)</f>
        <v>4/28/2020</v>
      </c>
      <c r="C32" s="28">
        <f t="shared" ref="C32:BN32" si="10">B32+IF($G3=1,365,182.5)</f>
        <v>44314</v>
      </c>
      <c r="D32" s="28">
        <f t="shared" si="10"/>
        <v>44679</v>
      </c>
      <c r="E32" s="28">
        <f t="shared" si="10"/>
        <v>45044</v>
      </c>
      <c r="F32" s="28">
        <f t="shared" si="10"/>
        <v>45409</v>
      </c>
      <c r="G32" s="28">
        <f t="shared" si="10"/>
        <v>45774</v>
      </c>
      <c r="H32" s="28">
        <f t="shared" si="10"/>
        <v>46139</v>
      </c>
      <c r="I32" s="28">
        <f t="shared" si="10"/>
        <v>46504</v>
      </c>
      <c r="J32" s="28">
        <f t="shared" si="10"/>
        <v>46869</v>
      </c>
      <c r="K32" s="28">
        <f t="shared" si="10"/>
        <v>47234</v>
      </c>
      <c r="L32" s="28">
        <f t="shared" si="10"/>
        <v>47599</v>
      </c>
      <c r="M32" s="28">
        <f t="shared" si="10"/>
        <v>47964</v>
      </c>
      <c r="N32" s="28">
        <f t="shared" si="10"/>
        <v>48329</v>
      </c>
      <c r="O32" s="28">
        <f t="shared" si="10"/>
        <v>48694</v>
      </c>
      <c r="P32" s="28">
        <f t="shared" si="10"/>
        <v>49059</v>
      </c>
      <c r="Q32" s="28">
        <f t="shared" si="10"/>
        <v>49424</v>
      </c>
      <c r="R32" s="28">
        <f t="shared" si="10"/>
        <v>49789</v>
      </c>
      <c r="S32" s="28">
        <f t="shared" si="10"/>
        <v>50154</v>
      </c>
      <c r="T32" s="28">
        <f t="shared" si="10"/>
        <v>50519</v>
      </c>
      <c r="U32" s="28">
        <f t="shared" si="10"/>
        <v>50884</v>
      </c>
      <c r="V32" s="28">
        <f t="shared" si="10"/>
        <v>51249</v>
      </c>
      <c r="W32" s="28">
        <f t="shared" si="10"/>
        <v>51614</v>
      </c>
      <c r="X32" s="28">
        <f t="shared" si="10"/>
        <v>51979</v>
      </c>
      <c r="Y32" s="28">
        <f t="shared" si="10"/>
        <v>52344</v>
      </c>
      <c r="Z32" s="28">
        <f t="shared" si="10"/>
        <v>52709</v>
      </c>
      <c r="AA32" s="28">
        <f t="shared" si="10"/>
        <v>53074</v>
      </c>
      <c r="AB32" s="28">
        <f t="shared" si="10"/>
        <v>53439</v>
      </c>
      <c r="AC32" s="28">
        <f t="shared" si="10"/>
        <v>53804</v>
      </c>
      <c r="AD32" s="28">
        <f t="shared" si="10"/>
        <v>54169</v>
      </c>
      <c r="AE32" s="28">
        <f t="shared" si="10"/>
        <v>54534</v>
      </c>
      <c r="AF32" s="28">
        <f t="shared" si="10"/>
        <v>54899</v>
      </c>
      <c r="AG32" s="28">
        <f t="shared" si="10"/>
        <v>55264</v>
      </c>
      <c r="AH32" s="28">
        <f t="shared" si="10"/>
        <v>55629</v>
      </c>
      <c r="AI32" s="28">
        <f t="shared" si="10"/>
        <v>55994</v>
      </c>
      <c r="AJ32" s="28">
        <f t="shared" si="10"/>
        <v>56359</v>
      </c>
      <c r="AK32" s="28">
        <f t="shared" si="10"/>
        <v>56724</v>
      </c>
      <c r="AL32" s="28">
        <f t="shared" si="10"/>
        <v>57089</v>
      </c>
      <c r="AM32" s="28">
        <f t="shared" si="10"/>
        <v>57454</v>
      </c>
      <c r="AN32" s="28">
        <f t="shared" si="10"/>
        <v>57819</v>
      </c>
      <c r="AO32" s="28">
        <f t="shared" si="10"/>
        <v>58184</v>
      </c>
      <c r="AP32" s="28">
        <f t="shared" si="10"/>
        <v>58549</v>
      </c>
      <c r="AQ32" s="28">
        <f t="shared" si="10"/>
        <v>58914</v>
      </c>
      <c r="AR32" s="28">
        <f t="shared" si="10"/>
        <v>59279</v>
      </c>
      <c r="AS32" s="28">
        <f t="shared" si="10"/>
        <v>59644</v>
      </c>
      <c r="AT32" s="28">
        <f t="shared" si="10"/>
        <v>60009</v>
      </c>
      <c r="AU32" s="28">
        <f t="shared" si="10"/>
        <v>60374</v>
      </c>
      <c r="AV32" s="28">
        <f t="shared" si="10"/>
        <v>60739</v>
      </c>
      <c r="AW32" s="28">
        <f t="shared" si="10"/>
        <v>61104</v>
      </c>
      <c r="AX32" s="28">
        <f t="shared" si="10"/>
        <v>61469</v>
      </c>
      <c r="AY32" s="28">
        <f t="shared" si="10"/>
        <v>61834</v>
      </c>
      <c r="AZ32" s="28">
        <f t="shared" si="10"/>
        <v>62199</v>
      </c>
      <c r="BA32" s="28">
        <f t="shared" si="10"/>
        <v>62564</v>
      </c>
      <c r="BB32" s="28">
        <f t="shared" si="10"/>
        <v>62929</v>
      </c>
      <c r="BC32" s="28">
        <f t="shared" si="10"/>
        <v>63294</v>
      </c>
      <c r="BD32" s="28">
        <f t="shared" si="10"/>
        <v>63659</v>
      </c>
      <c r="BE32" s="28">
        <f t="shared" si="10"/>
        <v>64024</v>
      </c>
      <c r="BF32" s="28">
        <f t="shared" si="10"/>
        <v>64389</v>
      </c>
      <c r="BG32" s="28">
        <f t="shared" si="10"/>
        <v>64754</v>
      </c>
      <c r="BH32" s="28">
        <f t="shared" si="10"/>
        <v>65119</v>
      </c>
      <c r="BI32" s="28">
        <f t="shared" si="10"/>
        <v>65484</v>
      </c>
      <c r="BJ32" s="28">
        <f t="shared" si="10"/>
        <v>65849</v>
      </c>
      <c r="BK32" s="28">
        <f t="shared" si="10"/>
        <v>66214</v>
      </c>
      <c r="BL32" s="28">
        <f t="shared" si="10"/>
        <v>66579</v>
      </c>
      <c r="BM32" s="28">
        <f t="shared" si="10"/>
        <v>66944</v>
      </c>
      <c r="BN32" s="28">
        <f t="shared" si="10"/>
        <v>67309</v>
      </c>
      <c r="BO32" s="28">
        <f t="shared" ref="BO32:CB32" si="11">BN32+IF($G3=1,365,182.5)</f>
        <v>67674</v>
      </c>
      <c r="BP32" s="28">
        <f t="shared" si="11"/>
        <v>68039</v>
      </c>
      <c r="BQ32" s="28">
        <f t="shared" si="11"/>
        <v>68404</v>
      </c>
      <c r="BR32" s="28">
        <f t="shared" si="11"/>
        <v>68769</v>
      </c>
      <c r="BS32" s="28">
        <f t="shared" si="11"/>
        <v>69134</v>
      </c>
      <c r="BT32" s="28">
        <f t="shared" si="11"/>
        <v>69499</v>
      </c>
      <c r="BU32" s="28">
        <f t="shared" si="11"/>
        <v>69864</v>
      </c>
      <c r="BV32" s="28">
        <f t="shared" si="11"/>
        <v>70229</v>
      </c>
      <c r="BW32" s="28">
        <f t="shared" si="11"/>
        <v>70594</v>
      </c>
      <c r="BX32" s="28">
        <f t="shared" si="11"/>
        <v>70959</v>
      </c>
      <c r="BY32" s="28">
        <f t="shared" si="11"/>
        <v>71324</v>
      </c>
      <c r="BZ32" s="28">
        <f t="shared" si="11"/>
        <v>71689</v>
      </c>
      <c r="CA32" s="28">
        <f t="shared" si="11"/>
        <v>72054</v>
      </c>
      <c r="CB32" s="29">
        <f t="shared" si="11"/>
        <v>72419</v>
      </c>
    </row>
    <row r="33" spans="1:80" s="5" customFormat="1">
      <c r="A33" s="163" t="s">
        <v>23</v>
      </c>
      <c r="B33" s="30">
        <f>(IF(B32=F3,100,0)+IF(G3=1,1,0.5)*J3*100)*IF(ISBLANK(F3)=TRUE,0,1)</f>
        <v>2</v>
      </c>
      <c r="C33" s="31">
        <f>IF(C32&gt;$F3+1,0,1)*(IF(D33=0,100,0)+IF($G3=1,1,0.5)*$J3*100)</f>
        <v>102</v>
      </c>
      <c r="D33" s="31">
        <f t="shared" ref="D33:BO33" si="12">IF(D32&gt;$F3+1,0,1)*(IF(E33=0,100,0)+IF($G3=1,1,0.5)*$J3*100)</f>
        <v>0</v>
      </c>
      <c r="E33" s="31">
        <f t="shared" si="12"/>
        <v>0</v>
      </c>
      <c r="F33" s="31">
        <f t="shared" si="12"/>
        <v>0</v>
      </c>
      <c r="G33" s="31">
        <f t="shared" si="12"/>
        <v>0</v>
      </c>
      <c r="H33" s="31">
        <f t="shared" si="12"/>
        <v>0</v>
      </c>
      <c r="I33" s="31">
        <f t="shared" si="12"/>
        <v>0</v>
      </c>
      <c r="J33" s="31">
        <f t="shared" si="12"/>
        <v>0</v>
      </c>
      <c r="K33" s="31">
        <f t="shared" si="12"/>
        <v>0</v>
      </c>
      <c r="L33" s="31">
        <f t="shared" si="12"/>
        <v>0</v>
      </c>
      <c r="M33" s="31">
        <f t="shared" si="12"/>
        <v>0</v>
      </c>
      <c r="N33" s="31">
        <f t="shared" si="12"/>
        <v>0</v>
      </c>
      <c r="O33" s="31">
        <f t="shared" si="12"/>
        <v>0</v>
      </c>
      <c r="P33" s="31">
        <f t="shared" si="12"/>
        <v>0</v>
      </c>
      <c r="Q33" s="31">
        <f t="shared" si="12"/>
        <v>0</v>
      </c>
      <c r="R33" s="31">
        <f t="shared" si="12"/>
        <v>0</v>
      </c>
      <c r="S33" s="31">
        <f t="shared" si="12"/>
        <v>0</v>
      </c>
      <c r="T33" s="31">
        <f t="shared" si="12"/>
        <v>0</v>
      </c>
      <c r="U33" s="31">
        <f t="shared" si="12"/>
        <v>0</v>
      </c>
      <c r="V33" s="31">
        <f t="shared" si="12"/>
        <v>0</v>
      </c>
      <c r="W33" s="31">
        <f t="shared" si="12"/>
        <v>0</v>
      </c>
      <c r="X33" s="31">
        <f t="shared" si="12"/>
        <v>0</v>
      </c>
      <c r="Y33" s="31">
        <f t="shared" si="12"/>
        <v>0</v>
      </c>
      <c r="Z33" s="31">
        <f t="shared" si="12"/>
        <v>0</v>
      </c>
      <c r="AA33" s="31">
        <f t="shared" si="12"/>
        <v>0</v>
      </c>
      <c r="AB33" s="31">
        <f t="shared" si="12"/>
        <v>0</v>
      </c>
      <c r="AC33" s="31">
        <f t="shared" si="12"/>
        <v>0</v>
      </c>
      <c r="AD33" s="31">
        <f t="shared" si="12"/>
        <v>0</v>
      </c>
      <c r="AE33" s="31">
        <f t="shared" si="12"/>
        <v>0</v>
      </c>
      <c r="AF33" s="31">
        <f t="shared" si="12"/>
        <v>0</v>
      </c>
      <c r="AG33" s="31">
        <f t="shared" si="12"/>
        <v>0</v>
      </c>
      <c r="AH33" s="31">
        <f t="shared" si="12"/>
        <v>0</v>
      </c>
      <c r="AI33" s="31">
        <f t="shared" si="12"/>
        <v>0</v>
      </c>
      <c r="AJ33" s="31">
        <f t="shared" si="12"/>
        <v>0</v>
      </c>
      <c r="AK33" s="31">
        <f t="shared" si="12"/>
        <v>0</v>
      </c>
      <c r="AL33" s="31">
        <f t="shared" si="12"/>
        <v>0</v>
      </c>
      <c r="AM33" s="31">
        <f t="shared" si="12"/>
        <v>0</v>
      </c>
      <c r="AN33" s="31">
        <f t="shared" si="12"/>
        <v>0</v>
      </c>
      <c r="AO33" s="31">
        <f t="shared" si="12"/>
        <v>0</v>
      </c>
      <c r="AP33" s="31">
        <f t="shared" si="12"/>
        <v>0</v>
      </c>
      <c r="AQ33" s="31">
        <f t="shared" si="12"/>
        <v>0</v>
      </c>
      <c r="AR33" s="31">
        <f t="shared" si="12"/>
        <v>0</v>
      </c>
      <c r="AS33" s="31">
        <f t="shared" si="12"/>
        <v>0</v>
      </c>
      <c r="AT33" s="31">
        <f t="shared" si="12"/>
        <v>0</v>
      </c>
      <c r="AU33" s="31">
        <f t="shared" si="12"/>
        <v>0</v>
      </c>
      <c r="AV33" s="31">
        <f t="shared" si="12"/>
        <v>0</v>
      </c>
      <c r="AW33" s="31">
        <f t="shared" si="12"/>
        <v>0</v>
      </c>
      <c r="AX33" s="31">
        <f t="shared" si="12"/>
        <v>0</v>
      </c>
      <c r="AY33" s="31">
        <f t="shared" si="12"/>
        <v>0</v>
      </c>
      <c r="AZ33" s="31">
        <f t="shared" si="12"/>
        <v>0</v>
      </c>
      <c r="BA33" s="31">
        <f t="shared" si="12"/>
        <v>0</v>
      </c>
      <c r="BB33" s="31">
        <f t="shared" si="12"/>
        <v>0</v>
      </c>
      <c r="BC33" s="31">
        <f t="shared" si="12"/>
        <v>0</v>
      </c>
      <c r="BD33" s="31">
        <f t="shared" si="12"/>
        <v>0</v>
      </c>
      <c r="BE33" s="31">
        <f t="shared" si="12"/>
        <v>0</v>
      </c>
      <c r="BF33" s="31">
        <f t="shared" si="12"/>
        <v>0</v>
      </c>
      <c r="BG33" s="31">
        <f t="shared" si="12"/>
        <v>0</v>
      </c>
      <c r="BH33" s="31">
        <f t="shared" si="12"/>
        <v>0</v>
      </c>
      <c r="BI33" s="31">
        <f t="shared" si="12"/>
        <v>0</v>
      </c>
      <c r="BJ33" s="31">
        <f t="shared" si="12"/>
        <v>0</v>
      </c>
      <c r="BK33" s="31">
        <f t="shared" si="12"/>
        <v>0</v>
      </c>
      <c r="BL33" s="31">
        <f t="shared" si="12"/>
        <v>0</v>
      </c>
      <c r="BM33" s="31">
        <f t="shared" si="12"/>
        <v>0</v>
      </c>
      <c r="BN33" s="31">
        <f t="shared" si="12"/>
        <v>0</v>
      </c>
      <c r="BO33" s="31">
        <f t="shared" si="12"/>
        <v>0</v>
      </c>
      <c r="BP33" s="31">
        <f t="shared" ref="BP33:CB33" si="13">IF(BP32&gt;$F3+1,0,1)*(IF(BQ33=0,100,0)+IF($G3=1,1,0.5)*$J3*100)</f>
        <v>0</v>
      </c>
      <c r="BQ33" s="31">
        <f t="shared" si="13"/>
        <v>0</v>
      </c>
      <c r="BR33" s="31">
        <f t="shared" si="13"/>
        <v>0</v>
      </c>
      <c r="BS33" s="31">
        <f t="shared" si="13"/>
        <v>0</v>
      </c>
      <c r="BT33" s="31">
        <f t="shared" si="13"/>
        <v>0</v>
      </c>
      <c r="BU33" s="31">
        <f t="shared" si="13"/>
        <v>0</v>
      </c>
      <c r="BV33" s="31">
        <f t="shared" si="13"/>
        <v>0</v>
      </c>
      <c r="BW33" s="31">
        <f t="shared" si="13"/>
        <v>0</v>
      </c>
      <c r="BX33" s="31">
        <f t="shared" si="13"/>
        <v>0</v>
      </c>
      <c r="BY33" s="31">
        <f t="shared" si="13"/>
        <v>0</v>
      </c>
      <c r="BZ33" s="31">
        <f t="shared" si="13"/>
        <v>0</v>
      </c>
      <c r="CA33" s="31">
        <f t="shared" si="13"/>
        <v>0</v>
      </c>
      <c r="CB33" s="32">
        <f t="shared" si="13"/>
        <v>0</v>
      </c>
    </row>
    <row r="34" spans="1:80" s="6" customFormat="1">
      <c r="A34" s="263" t="s">
        <v>49</v>
      </c>
      <c r="B34" s="142" t="str">
        <f>IF(E4=0,F4,E4)</f>
        <v>5/25/2020</v>
      </c>
      <c r="C34" s="33">
        <f t="shared" ref="C34:BN34" si="14">B34+IF($G4=1,365,182.5)</f>
        <v>44341</v>
      </c>
      <c r="D34" s="33">
        <f t="shared" si="14"/>
        <v>44706</v>
      </c>
      <c r="E34" s="33">
        <f t="shared" si="14"/>
        <v>45071</v>
      </c>
      <c r="F34" s="33">
        <f t="shared" si="14"/>
        <v>45436</v>
      </c>
      <c r="G34" s="33">
        <f t="shared" si="14"/>
        <v>45801</v>
      </c>
      <c r="H34" s="33">
        <f t="shared" si="14"/>
        <v>46166</v>
      </c>
      <c r="I34" s="33">
        <f t="shared" si="14"/>
        <v>46531</v>
      </c>
      <c r="J34" s="33">
        <f t="shared" si="14"/>
        <v>46896</v>
      </c>
      <c r="K34" s="33">
        <f t="shared" si="14"/>
        <v>47261</v>
      </c>
      <c r="L34" s="33">
        <f t="shared" si="14"/>
        <v>47626</v>
      </c>
      <c r="M34" s="33">
        <f t="shared" si="14"/>
        <v>47991</v>
      </c>
      <c r="N34" s="33">
        <f t="shared" si="14"/>
        <v>48356</v>
      </c>
      <c r="O34" s="33">
        <f t="shared" si="14"/>
        <v>48721</v>
      </c>
      <c r="P34" s="33">
        <f t="shared" si="14"/>
        <v>49086</v>
      </c>
      <c r="Q34" s="33">
        <f t="shared" si="14"/>
        <v>49451</v>
      </c>
      <c r="R34" s="33">
        <f t="shared" si="14"/>
        <v>49816</v>
      </c>
      <c r="S34" s="33">
        <f t="shared" si="14"/>
        <v>50181</v>
      </c>
      <c r="T34" s="33">
        <f t="shared" si="14"/>
        <v>50546</v>
      </c>
      <c r="U34" s="33">
        <f t="shared" si="14"/>
        <v>50911</v>
      </c>
      <c r="V34" s="33">
        <f t="shared" si="14"/>
        <v>51276</v>
      </c>
      <c r="W34" s="33">
        <f t="shared" si="14"/>
        <v>51641</v>
      </c>
      <c r="X34" s="33">
        <f t="shared" si="14"/>
        <v>52006</v>
      </c>
      <c r="Y34" s="33">
        <f t="shared" si="14"/>
        <v>52371</v>
      </c>
      <c r="Z34" s="33">
        <f t="shared" si="14"/>
        <v>52736</v>
      </c>
      <c r="AA34" s="33">
        <f t="shared" si="14"/>
        <v>53101</v>
      </c>
      <c r="AB34" s="33">
        <f t="shared" si="14"/>
        <v>53466</v>
      </c>
      <c r="AC34" s="33">
        <f t="shared" si="14"/>
        <v>53831</v>
      </c>
      <c r="AD34" s="33">
        <f t="shared" si="14"/>
        <v>54196</v>
      </c>
      <c r="AE34" s="33">
        <f t="shared" si="14"/>
        <v>54561</v>
      </c>
      <c r="AF34" s="33">
        <f t="shared" si="14"/>
        <v>54926</v>
      </c>
      <c r="AG34" s="33">
        <f t="shared" si="14"/>
        <v>55291</v>
      </c>
      <c r="AH34" s="33">
        <f t="shared" si="14"/>
        <v>55656</v>
      </c>
      <c r="AI34" s="33">
        <f t="shared" si="14"/>
        <v>56021</v>
      </c>
      <c r="AJ34" s="33">
        <f t="shared" si="14"/>
        <v>56386</v>
      </c>
      <c r="AK34" s="33">
        <f t="shared" si="14"/>
        <v>56751</v>
      </c>
      <c r="AL34" s="33">
        <f t="shared" si="14"/>
        <v>57116</v>
      </c>
      <c r="AM34" s="33">
        <f t="shared" si="14"/>
        <v>57481</v>
      </c>
      <c r="AN34" s="33">
        <f t="shared" si="14"/>
        <v>57846</v>
      </c>
      <c r="AO34" s="33">
        <f t="shared" si="14"/>
        <v>58211</v>
      </c>
      <c r="AP34" s="33">
        <f t="shared" si="14"/>
        <v>58576</v>
      </c>
      <c r="AQ34" s="33">
        <f t="shared" si="14"/>
        <v>58941</v>
      </c>
      <c r="AR34" s="33">
        <f t="shared" si="14"/>
        <v>59306</v>
      </c>
      <c r="AS34" s="33">
        <f t="shared" si="14"/>
        <v>59671</v>
      </c>
      <c r="AT34" s="33">
        <f t="shared" si="14"/>
        <v>60036</v>
      </c>
      <c r="AU34" s="33">
        <f t="shared" si="14"/>
        <v>60401</v>
      </c>
      <c r="AV34" s="33">
        <f t="shared" si="14"/>
        <v>60766</v>
      </c>
      <c r="AW34" s="33">
        <f t="shared" si="14"/>
        <v>61131</v>
      </c>
      <c r="AX34" s="33">
        <f t="shared" si="14"/>
        <v>61496</v>
      </c>
      <c r="AY34" s="33">
        <f t="shared" si="14"/>
        <v>61861</v>
      </c>
      <c r="AZ34" s="33">
        <f t="shared" si="14"/>
        <v>62226</v>
      </c>
      <c r="BA34" s="33">
        <f t="shared" si="14"/>
        <v>62591</v>
      </c>
      <c r="BB34" s="33">
        <f t="shared" si="14"/>
        <v>62956</v>
      </c>
      <c r="BC34" s="33">
        <f t="shared" si="14"/>
        <v>63321</v>
      </c>
      <c r="BD34" s="33">
        <f t="shared" si="14"/>
        <v>63686</v>
      </c>
      <c r="BE34" s="33">
        <f t="shared" si="14"/>
        <v>64051</v>
      </c>
      <c r="BF34" s="33">
        <f t="shared" si="14"/>
        <v>64416</v>
      </c>
      <c r="BG34" s="33">
        <f t="shared" si="14"/>
        <v>64781</v>
      </c>
      <c r="BH34" s="33">
        <f t="shared" si="14"/>
        <v>65146</v>
      </c>
      <c r="BI34" s="33">
        <f t="shared" si="14"/>
        <v>65511</v>
      </c>
      <c r="BJ34" s="33">
        <f t="shared" si="14"/>
        <v>65876</v>
      </c>
      <c r="BK34" s="33">
        <f t="shared" si="14"/>
        <v>66241</v>
      </c>
      <c r="BL34" s="33">
        <f t="shared" si="14"/>
        <v>66606</v>
      </c>
      <c r="BM34" s="33">
        <f t="shared" si="14"/>
        <v>66971</v>
      </c>
      <c r="BN34" s="33">
        <f t="shared" si="14"/>
        <v>67336</v>
      </c>
      <c r="BO34" s="33">
        <f t="shared" ref="BO34:CB34" si="15">BN34+IF($G4=1,365,182.5)</f>
        <v>67701</v>
      </c>
      <c r="BP34" s="33">
        <f t="shared" si="15"/>
        <v>68066</v>
      </c>
      <c r="BQ34" s="33">
        <f t="shared" si="15"/>
        <v>68431</v>
      </c>
      <c r="BR34" s="33">
        <f t="shared" si="15"/>
        <v>68796</v>
      </c>
      <c r="BS34" s="33">
        <f t="shared" si="15"/>
        <v>69161</v>
      </c>
      <c r="BT34" s="33">
        <f t="shared" si="15"/>
        <v>69526</v>
      </c>
      <c r="BU34" s="33">
        <f t="shared" si="15"/>
        <v>69891</v>
      </c>
      <c r="BV34" s="33">
        <f t="shared" si="15"/>
        <v>70256</v>
      </c>
      <c r="BW34" s="33">
        <f t="shared" si="15"/>
        <v>70621</v>
      </c>
      <c r="BX34" s="33">
        <f t="shared" si="15"/>
        <v>70986</v>
      </c>
      <c r="BY34" s="33">
        <f t="shared" si="15"/>
        <v>71351</v>
      </c>
      <c r="BZ34" s="33">
        <f t="shared" si="15"/>
        <v>71716</v>
      </c>
      <c r="CA34" s="33">
        <f t="shared" si="15"/>
        <v>72081</v>
      </c>
      <c r="CB34" s="34">
        <f t="shared" si="15"/>
        <v>72446</v>
      </c>
    </row>
    <row r="35" spans="1:80">
      <c r="A35" s="164" t="s">
        <v>19</v>
      </c>
      <c r="B35" s="105">
        <f>(IF(B34=F4,100,0)+IF(G4=1,1,0.5)*J4*100)*IF(ISBLANK(F4)=TRUE,0,1)</f>
        <v>2</v>
      </c>
      <c r="C35" s="35">
        <f>IF(C34&gt;$F4+1,0,1)*(IF(D35=0,100,0)+IF($G4=1,1,0.5)*$J4*100)</f>
        <v>2</v>
      </c>
      <c r="D35" s="35">
        <f t="shared" ref="D35:BO35" si="16">IF(D34&gt;$F4+1,0,1)*(IF(E35=0,100,0)+IF($G4=1,1,0.5)*$J4*100)</f>
        <v>102</v>
      </c>
      <c r="E35" s="35">
        <f t="shared" si="16"/>
        <v>0</v>
      </c>
      <c r="F35" s="35">
        <f t="shared" si="16"/>
        <v>0</v>
      </c>
      <c r="G35" s="35">
        <f t="shared" si="16"/>
        <v>0</v>
      </c>
      <c r="H35" s="35">
        <f t="shared" si="16"/>
        <v>0</v>
      </c>
      <c r="I35" s="35">
        <f t="shared" si="16"/>
        <v>0</v>
      </c>
      <c r="J35" s="35">
        <f t="shared" si="16"/>
        <v>0</v>
      </c>
      <c r="K35" s="35">
        <f t="shared" si="16"/>
        <v>0</v>
      </c>
      <c r="L35" s="35">
        <f t="shared" si="16"/>
        <v>0</v>
      </c>
      <c r="M35" s="35">
        <f t="shared" si="16"/>
        <v>0</v>
      </c>
      <c r="N35" s="35">
        <f t="shared" si="16"/>
        <v>0</v>
      </c>
      <c r="O35" s="35">
        <f t="shared" si="16"/>
        <v>0</v>
      </c>
      <c r="P35" s="35">
        <f t="shared" si="16"/>
        <v>0</v>
      </c>
      <c r="Q35" s="35">
        <f t="shared" si="16"/>
        <v>0</v>
      </c>
      <c r="R35" s="35">
        <f t="shared" si="16"/>
        <v>0</v>
      </c>
      <c r="S35" s="35">
        <f t="shared" si="16"/>
        <v>0</v>
      </c>
      <c r="T35" s="35">
        <f t="shared" si="16"/>
        <v>0</v>
      </c>
      <c r="U35" s="35">
        <f t="shared" si="16"/>
        <v>0</v>
      </c>
      <c r="V35" s="35">
        <f t="shared" si="16"/>
        <v>0</v>
      </c>
      <c r="W35" s="35">
        <f t="shared" si="16"/>
        <v>0</v>
      </c>
      <c r="X35" s="35">
        <f t="shared" si="16"/>
        <v>0</v>
      </c>
      <c r="Y35" s="35">
        <f t="shared" si="16"/>
        <v>0</v>
      </c>
      <c r="Z35" s="35">
        <f t="shared" si="16"/>
        <v>0</v>
      </c>
      <c r="AA35" s="35">
        <f t="shared" si="16"/>
        <v>0</v>
      </c>
      <c r="AB35" s="35">
        <f t="shared" si="16"/>
        <v>0</v>
      </c>
      <c r="AC35" s="35">
        <f t="shared" si="16"/>
        <v>0</v>
      </c>
      <c r="AD35" s="35">
        <f t="shared" si="16"/>
        <v>0</v>
      </c>
      <c r="AE35" s="35">
        <f t="shared" si="16"/>
        <v>0</v>
      </c>
      <c r="AF35" s="35">
        <f t="shared" si="16"/>
        <v>0</v>
      </c>
      <c r="AG35" s="35">
        <f t="shared" si="16"/>
        <v>0</v>
      </c>
      <c r="AH35" s="35">
        <f t="shared" si="16"/>
        <v>0</v>
      </c>
      <c r="AI35" s="35">
        <f t="shared" si="16"/>
        <v>0</v>
      </c>
      <c r="AJ35" s="35">
        <f t="shared" si="16"/>
        <v>0</v>
      </c>
      <c r="AK35" s="35">
        <f t="shared" si="16"/>
        <v>0</v>
      </c>
      <c r="AL35" s="35">
        <f t="shared" si="16"/>
        <v>0</v>
      </c>
      <c r="AM35" s="35">
        <f t="shared" si="16"/>
        <v>0</v>
      </c>
      <c r="AN35" s="35">
        <f t="shared" si="16"/>
        <v>0</v>
      </c>
      <c r="AO35" s="35">
        <f t="shared" si="16"/>
        <v>0</v>
      </c>
      <c r="AP35" s="35">
        <f t="shared" si="16"/>
        <v>0</v>
      </c>
      <c r="AQ35" s="35">
        <f t="shared" si="16"/>
        <v>0</v>
      </c>
      <c r="AR35" s="35">
        <f t="shared" si="16"/>
        <v>0</v>
      </c>
      <c r="AS35" s="35">
        <f t="shared" si="16"/>
        <v>0</v>
      </c>
      <c r="AT35" s="35">
        <f t="shared" si="16"/>
        <v>0</v>
      </c>
      <c r="AU35" s="35">
        <f t="shared" si="16"/>
        <v>0</v>
      </c>
      <c r="AV35" s="35">
        <f t="shared" si="16"/>
        <v>0</v>
      </c>
      <c r="AW35" s="35">
        <f t="shared" si="16"/>
        <v>0</v>
      </c>
      <c r="AX35" s="35">
        <f t="shared" si="16"/>
        <v>0</v>
      </c>
      <c r="AY35" s="35">
        <f t="shared" si="16"/>
        <v>0</v>
      </c>
      <c r="AZ35" s="35">
        <f t="shared" si="16"/>
        <v>0</v>
      </c>
      <c r="BA35" s="35">
        <f t="shared" si="16"/>
        <v>0</v>
      </c>
      <c r="BB35" s="35">
        <f t="shared" si="16"/>
        <v>0</v>
      </c>
      <c r="BC35" s="35">
        <f t="shared" si="16"/>
        <v>0</v>
      </c>
      <c r="BD35" s="35">
        <f t="shared" si="16"/>
        <v>0</v>
      </c>
      <c r="BE35" s="35">
        <f t="shared" si="16"/>
        <v>0</v>
      </c>
      <c r="BF35" s="35">
        <f t="shared" si="16"/>
        <v>0</v>
      </c>
      <c r="BG35" s="35">
        <f t="shared" si="16"/>
        <v>0</v>
      </c>
      <c r="BH35" s="35">
        <f t="shared" si="16"/>
        <v>0</v>
      </c>
      <c r="BI35" s="35">
        <f t="shared" si="16"/>
        <v>0</v>
      </c>
      <c r="BJ35" s="35">
        <f t="shared" si="16"/>
        <v>0</v>
      </c>
      <c r="BK35" s="35">
        <f t="shared" si="16"/>
        <v>0</v>
      </c>
      <c r="BL35" s="35">
        <f t="shared" si="16"/>
        <v>0</v>
      </c>
      <c r="BM35" s="35">
        <f t="shared" si="16"/>
        <v>0</v>
      </c>
      <c r="BN35" s="35">
        <f t="shared" si="16"/>
        <v>0</v>
      </c>
      <c r="BO35" s="35">
        <f t="shared" si="16"/>
        <v>0</v>
      </c>
      <c r="BP35" s="35">
        <f t="shared" ref="BP35:CB35" si="17">IF(BP34&gt;$F4+1,0,1)*(IF(BQ35=0,100,0)+IF($G4=1,1,0.5)*$J4*100)</f>
        <v>0</v>
      </c>
      <c r="BQ35" s="35">
        <f t="shared" si="17"/>
        <v>0</v>
      </c>
      <c r="BR35" s="35">
        <f t="shared" si="17"/>
        <v>0</v>
      </c>
      <c r="BS35" s="35">
        <f t="shared" si="17"/>
        <v>0</v>
      </c>
      <c r="BT35" s="35">
        <f t="shared" si="17"/>
        <v>0</v>
      </c>
      <c r="BU35" s="35">
        <f t="shared" si="17"/>
        <v>0</v>
      </c>
      <c r="BV35" s="35">
        <f t="shared" si="17"/>
        <v>0</v>
      </c>
      <c r="BW35" s="35">
        <f t="shared" si="17"/>
        <v>0</v>
      </c>
      <c r="BX35" s="35">
        <f t="shared" si="17"/>
        <v>0</v>
      </c>
      <c r="BY35" s="35">
        <f t="shared" si="17"/>
        <v>0</v>
      </c>
      <c r="BZ35" s="35">
        <f t="shared" si="17"/>
        <v>0</v>
      </c>
      <c r="CA35" s="35">
        <f t="shared" si="17"/>
        <v>0</v>
      </c>
      <c r="CB35" s="36">
        <f t="shared" si="17"/>
        <v>0</v>
      </c>
    </row>
    <row r="36" spans="1:80">
      <c r="A36" s="262" t="s">
        <v>49</v>
      </c>
      <c r="B36" s="144" t="str">
        <f>IF(E5=0,F5,E5)</f>
        <v>2/11/2020</v>
      </c>
      <c r="C36" s="145">
        <f>B36+IF($G5=1,365,182.5)</f>
        <v>44237</v>
      </c>
      <c r="D36" s="145">
        <f t="shared" ref="D36:BO36" si="18">C36+IF($G5=1,365,182.5)</f>
        <v>44602</v>
      </c>
      <c r="E36" s="141">
        <f t="shared" si="18"/>
        <v>44967</v>
      </c>
      <c r="F36" s="145">
        <f t="shared" si="18"/>
        <v>45332</v>
      </c>
      <c r="G36" s="145">
        <f t="shared" si="18"/>
        <v>45697</v>
      </c>
      <c r="H36" s="145">
        <f t="shared" si="18"/>
        <v>46062</v>
      </c>
      <c r="I36" s="145">
        <f t="shared" si="18"/>
        <v>46427</v>
      </c>
      <c r="J36" s="145">
        <f t="shared" si="18"/>
        <v>46792</v>
      </c>
      <c r="K36" s="145">
        <f t="shared" si="18"/>
        <v>47157</v>
      </c>
      <c r="L36" s="145">
        <f t="shared" si="18"/>
        <v>47522</v>
      </c>
      <c r="M36" s="145">
        <f t="shared" si="18"/>
        <v>47887</v>
      </c>
      <c r="N36" s="145">
        <f t="shared" si="18"/>
        <v>48252</v>
      </c>
      <c r="O36" s="145">
        <f t="shared" si="18"/>
        <v>48617</v>
      </c>
      <c r="P36" s="145">
        <f t="shared" si="18"/>
        <v>48982</v>
      </c>
      <c r="Q36" s="145">
        <f t="shared" si="18"/>
        <v>49347</v>
      </c>
      <c r="R36" s="145">
        <f t="shared" si="18"/>
        <v>49712</v>
      </c>
      <c r="S36" s="145">
        <f t="shared" si="18"/>
        <v>50077</v>
      </c>
      <c r="T36" s="145">
        <f t="shared" si="18"/>
        <v>50442</v>
      </c>
      <c r="U36" s="145">
        <f t="shared" si="18"/>
        <v>50807</v>
      </c>
      <c r="V36" s="145">
        <f t="shared" si="18"/>
        <v>51172</v>
      </c>
      <c r="W36" s="145">
        <f t="shared" si="18"/>
        <v>51537</v>
      </c>
      <c r="X36" s="145">
        <f t="shared" si="18"/>
        <v>51902</v>
      </c>
      <c r="Y36" s="145">
        <f t="shared" si="18"/>
        <v>52267</v>
      </c>
      <c r="Z36" s="145">
        <f t="shared" si="18"/>
        <v>52632</v>
      </c>
      <c r="AA36" s="145">
        <f t="shared" si="18"/>
        <v>52997</v>
      </c>
      <c r="AB36" s="145">
        <f t="shared" si="18"/>
        <v>53362</v>
      </c>
      <c r="AC36" s="145">
        <f t="shared" si="18"/>
        <v>53727</v>
      </c>
      <c r="AD36" s="145">
        <f t="shared" si="18"/>
        <v>54092</v>
      </c>
      <c r="AE36" s="145">
        <f t="shared" si="18"/>
        <v>54457</v>
      </c>
      <c r="AF36" s="145">
        <f t="shared" si="18"/>
        <v>54822</v>
      </c>
      <c r="AG36" s="145">
        <f t="shared" si="18"/>
        <v>55187</v>
      </c>
      <c r="AH36" s="145">
        <f t="shared" si="18"/>
        <v>55552</v>
      </c>
      <c r="AI36" s="145">
        <f t="shared" si="18"/>
        <v>55917</v>
      </c>
      <c r="AJ36" s="145">
        <f t="shared" si="18"/>
        <v>56282</v>
      </c>
      <c r="AK36" s="145">
        <f t="shared" si="18"/>
        <v>56647</v>
      </c>
      <c r="AL36" s="145">
        <f t="shared" si="18"/>
        <v>57012</v>
      </c>
      <c r="AM36" s="145">
        <f t="shared" si="18"/>
        <v>57377</v>
      </c>
      <c r="AN36" s="145">
        <f t="shared" si="18"/>
        <v>57742</v>
      </c>
      <c r="AO36" s="145">
        <f t="shared" si="18"/>
        <v>58107</v>
      </c>
      <c r="AP36" s="145">
        <f t="shared" si="18"/>
        <v>58472</v>
      </c>
      <c r="AQ36" s="145">
        <f t="shared" si="18"/>
        <v>58837</v>
      </c>
      <c r="AR36" s="145">
        <f t="shared" si="18"/>
        <v>59202</v>
      </c>
      <c r="AS36" s="145">
        <f t="shared" si="18"/>
        <v>59567</v>
      </c>
      <c r="AT36" s="145">
        <f t="shared" si="18"/>
        <v>59932</v>
      </c>
      <c r="AU36" s="145">
        <f t="shared" si="18"/>
        <v>60297</v>
      </c>
      <c r="AV36" s="145">
        <f t="shared" si="18"/>
        <v>60662</v>
      </c>
      <c r="AW36" s="145">
        <f t="shared" si="18"/>
        <v>61027</v>
      </c>
      <c r="AX36" s="145">
        <f t="shared" si="18"/>
        <v>61392</v>
      </c>
      <c r="AY36" s="145">
        <f t="shared" si="18"/>
        <v>61757</v>
      </c>
      <c r="AZ36" s="145">
        <f t="shared" si="18"/>
        <v>62122</v>
      </c>
      <c r="BA36" s="145">
        <f t="shared" si="18"/>
        <v>62487</v>
      </c>
      <c r="BB36" s="145">
        <f t="shared" si="18"/>
        <v>62852</v>
      </c>
      <c r="BC36" s="145">
        <f t="shared" si="18"/>
        <v>63217</v>
      </c>
      <c r="BD36" s="145">
        <f t="shared" si="18"/>
        <v>63582</v>
      </c>
      <c r="BE36" s="145">
        <f t="shared" si="18"/>
        <v>63947</v>
      </c>
      <c r="BF36" s="145">
        <f t="shared" si="18"/>
        <v>64312</v>
      </c>
      <c r="BG36" s="145">
        <f t="shared" si="18"/>
        <v>64677</v>
      </c>
      <c r="BH36" s="145">
        <f t="shared" si="18"/>
        <v>65042</v>
      </c>
      <c r="BI36" s="145">
        <f t="shared" si="18"/>
        <v>65407</v>
      </c>
      <c r="BJ36" s="145">
        <f t="shared" si="18"/>
        <v>65772</v>
      </c>
      <c r="BK36" s="145">
        <f t="shared" si="18"/>
        <v>66137</v>
      </c>
      <c r="BL36" s="145">
        <f t="shared" si="18"/>
        <v>66502</v>
      </c>
      <c r="BM36" s="145">
        <f t="shared" si="18"/>
        <v>66867</v>
      </c>
      <c r="BN36" s="145">
        <f t="shared" si="18"/>
        <v>67232</v>
      </c>
      <c r="BO36" s="145">
        <f t="shared" si="18"/>
        <v>67597</v>
      </c>
      <c r="BP36" s="145">
        <f t="shared" ref="BP36:CB36" si="19">BO36+IF($G5=1,365,182.5)</f>
        <v>67962</v>
      </c>
      <c r="BQ36" s="145">
        <f t="shared" si="19"/>
        <v>68327</v>
      </c>
      <c r="BR36" s="145">
        <f t="shared" si="19"/>
        <v>68692</v>
      </c>
      <c r="BS36" s="145">
        <f t="shared" si="19"/>
        <v>69057</v>
      </c>
      <c r="BT36" s="145">
        <f t="shared" si="19"/>
        <v>69422</v>
      </c>
      <c r="BU36" s="145">
        <f t="shared" si="19"/>
        <v>69787</v>
      </c>
      <c r="BV36" s="145">
        <f t="shared" si="19"/>
        <v>70152</v>
      </c>
      <c r="BW36" s="145">
        <f t="shared" si="19"/>
        <v>70517</v>
      </c>
      <c r="BX36" s="145">
        <f t="shared" si="19"/>
        <v>70882</v>
      </c>
      <c r="BY36" s="145">
        <f t="shared" si="19"/>
        <v>71247</v>
      </c>
      <c r="BZ36" s="145">
        <f t="shared" si="19"/>
        <v>71612</v>
      </c>
      <c r="CA36" s="145">
        <f t="shared" si="19"/>
        <v>71977</v>
      </c>
      <c r="CB36" s="146">
        <f t="shared" si="19"/>
        <v>72342</v>
      </c>
    </row>
    <row r="37" spans="1:80">
      <c r="A37" s="165" t="s">
        <v>24</v>
      </c>
      <c r="B37" s="147">
        <f>(IF(B36=F5,100,0)+IF(G5=1,1,0.5)*J5*100)*IF(ISBLANK(F5)=TRUE,0,1)</f>
        <v>4</v>
      </c>
      <c r="C37" s="148">
        <f>IF(C36&gt;$F5+1,0,1)*(IF(D37=0,100,0)+IF($G5=1,1,0.5)*$J5*100)</f>
        <v>4</v>
      </c>
      <c r="D37" s="148">
        <f t="shared" ref="D37:BO37" si="20">IF(D36&gt;$F5+1,0,1)*(IF(E37=0,100,0)+IF($G5=1,1,0.5)*$J5*100)</f>
        <v>4</v>
      </c>
      <c r="E37" s="148">
        <f t="shared" si="20"/>
        <v>104</v>
      </c>
      <c r="F37" s="148">
        <f t="shared" si="20"/>
        <v>0</v>
      </c>
      <c r="G37" s="148">
        <f t="shared" si="20"/>
        <v>0</v>
      </c>
      <c r="H37" s="148">
        <f t="shared" si="20"/>
        <v>0</v>
      </c>
      <c r="I37" s="148">
        <f t="shared" si="20"/>
        <v>0</v>
      </c>
      <c r="J37" s="148">
        <f t="shared" si="20"/>
        <v>0</v>
      </c>
      <c r="K37" s="148">
        <f t="shared" si="20"/>
        <v>0</v>
      </c>
      <c r="L37" s="148">
        <f t="shared" si="20"/>
        <v>0</v>
      </c>
      <c r="M37" s="148">
        <f t="shared" si="20"/>
        <v>0</v>
      </c>
      <c r="N37" s="148">
        <f t="shared" si="20"/>
        <v>0</v>
      </c>
      <c r="O37" s="148">
        <f t="shared" si="20"/>
        <v>0</v>
      </c>
      <c r="P37" s="148">
        <f t="shared" si="20"/>
        <v>0</v>
      </c>
      <c r="Q37" s="148">
        <f t="shared" si="20"/>
        <v>0</v>
      </c>
      <c r="R37" s="148">
        <f t="shared" si="20"/>
        <v>0</v>
      </c>
      <c r="S37" s="148">
        <f t="shared" si="20"/>
        <v>0</v>
      </c>
      <c r="T37" s="148">
        <f t="shared" si="20"/>
        <v>0</v>
      </c>
      <c r="U37" s="148">
        <f t="shared" si="20"/>
        <v>0</v>
      </c>
      <c r="V37" s="148">
        <f t="shared" si="20"/>
        <v>0</v>
      </c>
      <c r="W37" s="148">
        <f t="shared" si="20"/>
        <v>0</v>
      </c>
      <c r="X37" s="148">
        <f t="shared" si="20"/>
        <v>0</v>
      </c>
      <c r="Y37" s="148">
        <f t="shared" si="20"/>
        <v>0</v>
      </c>
      <c r="Z37" s="148">
        <f t="shared" si="20"/>
        <v>0</v>
      </c>
      <c r="AA37" s="148">
        <f t="shared" si="20"/>
        <v>0</v>
      </c>
      <c r="AB37" s="148">
        <f t="shared" si="20"/>
        <v>0</v>
      </c>
      <c r="AC37" s="148">
        <f t="shared" si="20"/>
        <v>0</v>
      </c>
      <c r="AD37" s="148">
        <f t="shared" si="20"/>
        <v>0</v>
      </c>
      <c r="AE37" s="148">
        <f t="shared" si="20"/>
        <v>0</v>
      </c>
      <c r="AF37" s="148">
        <f t="shared" si="20"/>
        <v>0</v>
      </c>
      <c r="AG37" s="148">
        <f t="shared" si="20"/>
        <v>0</v>
      </c>
      <c r="AH37" s="148">
        <f t="shared" si="20"/>
        <v>0</v>
      </c>
      <c r="AI37" s="148">
        <f t="shared" si="20"/>
        <v>0</v>
      </c>
      <c r="AJ37" s="148">
        <f t="shared" si="20"/>
        <v>0</v>
      </c>
      <c r="AK37" s="148">
        <f t="shared" si="20"/>
        <v>0</v>
      </c>
      <c r="AL37" s="148">
        <f t="shared" si="20"/>
        <v>0</v>
      </c>
      <c r="AM37" s="148">
        <f t="shared" si="20"/>
        <v>0</v>
      </c>
      <c r="AN37" s="148">
        <f t="shared" si="20"/>
        <v>0</v>
      </c>
      <c r="AO37" s="148">
        <f t="shared" si="20"/>
        <v>0</v>
      </c>
      <c r="AP37" s="148">
        <f t="shared" si="20"/>
        <v>0</v>
      </c>
      <c r="AQ37" s="148">
        <f t="shared" si="20"/>
        <v>0</v>
      </c>
      <c r="AR37" s="148">
        <f t="shared" si="20"/>
        <v>0</v>
      </c>
      <c r="AS37" s="148">
        <f t="shared" si="20"/>
        <v>0</v>
      </c>
      <c r="AT37" s="148">
        <f t="shared" si="20"/>
        <v>0</v>
      </c>
      <c r="AU37" s="148">
        <f t="shared" si="20"/>
        <v>0</v>
      </c>
      <c r="AV37" s="148">
        <f t="shared" si="20"/>
        <v>0</v>
      </c>
      <c r="AW37" s="148">
        <f t="shared" si="20"/>
        <v>0</v>
      </c>
      <c r="AX37" s="148">
        <f t="shared" si="20"/>
        <v>0</v>
      </c>
      <c r="AY37" s="148">
        <f t="shared" si="20"/>
        <v>0</v>
      </c>
      <c r="AZ37" s="148">
        <f t="shared" si="20"/>
        <v>0</v>
      </c>
      <c r="BA37" s="148">
        <f t="shared" si="20"/>
        <v>0</v>
      </c>
      <c r="BB37" s="148">
        <f t="shared" si="20"/>
        <v>0</v>
      </c>
      <c r="BC37" s="148">
        <f t="shared" si="20"/>
        <v>0</v>
      </c>
      <c r="BD37" s="148">
        <f t="shared" si="20"/>
        <v>0</v>
      </c>
      <c r="BE37" s="148">
        <f t="shared" si="20"/>
        <v>0</v>
      </c>
      <c r="BF37" s="148">
        <f t="shared" si="20"/>
        <v>0</v>
      </c>
      <c r="BG37" s="148">
        <f t="shared" si="20"/>
        <v>0</v>
      </c>
      <c r="BH37" s="148">
        <f t="shared" si="20"/>
        <v>0</v>
      </c>
      <c r="BI37" s="148">
        <f t="shared" si="20"/>
        <v>0</v>
      </c>
      <c r="BJ37" s="148">
        <f t="shared" si="20"/>
        <v>0</v>
      </c>
      <c r="BK37" s="148">
        <f t="shared" si="20"/>
        <v>0</v>
      </c>
      <c r="BL37" s="148">
        <f t="shared" si="20"/>
        <v>0</v>
      </c>
      <c r="BM37" s="148">
        <f t="shared" si="20"/>
        <v>0</v>
      </c>
      <c r="BN37" s="148">
        <f t="shared" si="20"/>
        <v>0</v>
      </c>
      <c r="BO37" s="148">
        <f t="shared" si="20"/>
        <v>0</v>
      </c>
      <c r="BP37" s="148">
        <f t="shared" ref="BP37:CB37" si="21">IF(BP36&gt;$F5+1,0,1)*(IF(BQ37=0,100,0)+IF($G5=1,1,0.5)*$J5*100)</f>
        <v>0</v>
      </c>
      <c r="BQ37" s="148">
        <f t="shared" si="21"/>
        <v>0</v>
      </c>
      <c r="BR37" s="148">
        <f t="shared" si="21"/>
        <v>0</v>
      </c>
      <c r="BS37" s="148">
        <f t="shared" si="21"/>
        <v>0</v>
      </c>
      <c r="BT37" s="148">
        <f t="shared" si="21"/>
        <v>0</v>
      </c>
      <c r="BU37" s="148">
        <f t="shared" si="21"/>
        <v>0</v>
      </c>
      <c r="BV37" s="148">
        <f t="shared" si="21"/>
        <v>0</v>
      </c>
      <c r="BW37" s="148">
        <f t="shared" si="21"/>
        <v>0</v>
      </c>
      <c r="BX37" s="148">
        <f t="shared" si="21"/>
        <v>0</v>
      </c>
      <c r="BY37" s="148">
        <f t="shared" si="21"/>
        <v>0</v>
      </c>
      <c r="BZ37" s="148">
        <f t="shared" si="21"/>
        <v>0</v>
      </c>
      <c r="CA37" s="148">
        <f t="shared" si="21"/>
        <v>0</v>
      </c>
      <c r="CB37" s="154">
        <f t="shared" si="21"/>
        <v>0</v>
      </c>
    </row>
    <row r="38" spans="1:80">
      <c r="A38" s="261" t="s">
        <v>49</v>
      </c>
      <c r="B38" s="37" t="str">
        <f>IF(E6=0,F6,E6)</f>
        <v>6/11/2020</v>
      </c>
      <c r="C38" s="38">
        <f>B38+IF($G6=1,365,182.5)</f>
        <v>44358</v>
      </c>
      <c r="D38" s="38">
        <f t="shared" ref="D38:BO38" si="22">C38+IF($G6=1,365,182.5)</f>
        <v>44723</v>
      </c>
      <c r="E38" s="38">
        <f t="shared" si="22"/>
        <v>45088</v>
      </c>
      <c r="F38" s="38">
        <f t="shared" si="22"/>
        <v>45453</v>
      </c>
      <c r="G38" s="141">
        <f t="shared" si="22"/>
        <v>45818</v>
      </c>
      <c r="H38" s="38">
        <f t="shared" si="22"/>
        <v>46183</v>
      </c>
      <c r="I38" s="38">
        <f t="shared" si="22"/>
        <v>46548</v>
      </c>
      <c r="J38" s="38">
        <f t="shared" si="22"/>
        <v>46913</v>
      </c>
      <c r="K38" s="38">
        <f t="shared" si="22"/>
        <v>47278</v>
      </c>
      <c r="L38" s="38">
        <f t="shared" si="22"/>
        <v>47643</v>
      </c>
      <c r="M38" s="38">
        <f t="shared" si="22"/>
        <v>48008</v>
      </c>
      <c r="N38" s="38">
        <f t="shared" si="22"/>
        <v>48373</v>
      </c>
      <c r="O38" s="38">
        <f t="shared" si="22"/>
        <v>48738</v>
      </c>
      <c r="P38" s="38">
        <f t="shared" si="22"/>
        <v>49103</v>
      </c>
      <c r="Q38" s="38">
        <f t="shared" si="22"/>
        <v>49468</v>
      </c>
      <c r="R38" s="38">
        <f t="shared" si="22"/>
        <v>49833</v>
      </c>
      <c r="S38" s="38">
        <f t="shared" si="22"/>
        <v>50198</v>
      </c>
      <c r="T38" s="38">
        <f t="shared" si="22"/>
        <v>50563</v>
      </c>
      <c r="U38" s="38">
        <f t="shared" si="22"/>
        <v>50928</v>
      </c>
      <c r="V38" s="38">
        <f t="shared" si="22"/>
        <v>51293</v>
      </c>
      <c r="W38" s="38">
        <f t="shared" si="22"/>
        <v>51658</v>
      </c>
      <c r="X38" s="38">
        <f t="shared" si="22"/>
        <v>52023</v>
      </c>
      <c r="Y38" s="38">
        <f t="shared" si="22"/>
        <v>52388</v>
      </c>
      <c r="Z38" s="38">
        <f t="shared" si="22"/>
        <v>52753</v>
      </c>
      <c r="AA38" s="38">
        <f t="shared" si="22"/>
        <v>53118</v>
      </c>
      <c r="AB38" s="38">
        <f t="shared" si="22"/>
        <v>53483</v>
      </c>
      <c r="AC38" s="38">
        <f t="shared" si="22"/>
        <v>53848</v>
      </c>
      <c r="AD38" s="38">
        <f t="shared" si="22"/>
        <v>54213</v>
      </c>
      <c r="AE38" s="38">
        <f t="shared" si="22"/>
        <v>54578</v>
      </c>
      <c r="AF38" s="38">
        <f t="shared" si="22"/>
        <v>54943</v>
      </c>
      <c r="AG38" s="38">
        <f t="shared" si="22"/>
        <v>55308</v>
      </c>
      <c r="AH38" s="38">
        <f t="shared" si="22"/>
        <v>55673</v>
      </c>
      <c r="AI38" s="38">
        <f t="shared" si="22"/>
        <v>56038</v>
      </c>
      <c r="AJ38" s="38">
        <f t="shared" si="22"/>
        <v>56403</v>
      </c>
      <c r="AK38" s="38">
        <f t="shared" si="22"/>
        <v>56768</v>
      </c>
      <c r="AL38" s="38">
        <f t="shared" si="22"/>
        <v>57133</v>
      </c>
      <c r="AM38" s="38">
        <f t="shared" si="22"/>
        <v>57498</v>
      </c>
      <c r="AN38" s="38">
        <f t="shared" si="22"/>
        <v>57863</v>
      </c>
      <c r="AO38" s="38">
        <f t="shared" si="22"/>
        <v>58228</v>
      </c>
      <c r="AP38" s="38">
        <f t="shared" si="22"/>
        <v>58593</v>
      </c>
      <c r="AQ38" s="38">
        <f t="shared" si="22"/>
        <v>58958</v>
      </c>
      <c r="AR38" s="38">
        <f t="shared" si="22"/>
        <v>59323</v>
      </c>
      <c r="AS38" s="38">
        <f t="shared" si="22"/>
        <v>59688</v>
      </c>
      <c r="AT38" s="38">
        <f t="shared" si="22"/>
        <v>60053</v>
      </c>
      <c r="AU38" s="38">
        <f t="shared" si="22"/>
        <v>60418</v>
      </c>
      <c r="AV38" s="38">
        <f t="shared" si="22"/>
        <v>60783</v>
      </c>
      <c r="AW38" s="38">
        <f t="shared" si="22"/>
        <v>61148</v>
      </c>
      <c r="AX38" s="38">
        <f t="shared" si="22"/>
        <v>61513</v>
      </c>
      <c r="AY38" s="38">
        <f t="shared" si="22"/>
        <v>61878</v>
      </c>
      <c r="AZ38" s="38">
        <f t="shared" si="22"/>
        <v>62243</v>
      </c>
      <c r="BA38" s="38">
        <f t="shared" si="22"/>
        <v>62608</v>
      </c>
      <c r="BB38" s="38">
        <f t="shared" si="22"/>
        <v>62973</v>
      </c>
      <c r="BC38" s="38">
        <f t="shared" si="22"/>
        <v>63338</v>
      </c>
      <c r="BD38" s="38">
        <f t="shared" si="22"/>
        <v>63703</v>
      </c>
      <c r="BE38" s="38">
        <f t="shared" si="22"/>
        <v>64068</v>
      </c>
      <c r="BF38" s="38">
        <f t="shared" si="22"/>
        <v>64433</v>
      </c>
      <c r="BG38" s="38">
        <f t="shared" si="22"/>
        <v>64798</v>
      </c>
      <c r="BH38" s="38">
        <f t="shared" si="22"/>
        <v>65163</v>
      </c>
      <c r="BI38" s="38">
        <f t="shared" si="22"/>
        <v>65528</v>
      </c>
      <c r="BJ38" s="38">
        <f t="shared" si="22"/>
        <v>65893</v>
      </c>
      <c r="BK38" s="38">
        <f t="shared" si="22"/>
        <v>66258</v>
      </c>
      <c r="BL38" s="38">
        <f t="shared" si="22"/>
        <v>66623</v>
      </c>
      <c r="BM38" s="38">
        <f t="shared" si="22"/>
        <v>66988</v>
      </c>
      <c r="BN38" s="38">
        <f t="shared" si="22"/>
        <v>67353</v>
      </c>
      <c r="BO38" s="38">
        <f t="shared" si="22"/>
        <v>67718</v>
      </c>
      <c r="BP38" s="38">
        <f t="shared" ref="BP38:CB38" si="23">BO38+IF($G6=1,365,182.5)</f>
        <v>68083</v>
      </c>
      <c r="BQ38" s="38">
        <f t="shared" si="23"/>
        <v>68448</v>
      </c>
      <c r="BR38" s="38">
        <f t="shared" si="23"/>
        <v>68813</v>
      </c>
      <c r="BS38" s="38">
        <f t="shared" si="23"/>
        <v>69178</v>
      </c>
      <c r="BT38" s="38">
        <f t="shared" si="23"/>
        <v>69543</v>
      </c>
      <c r="BU38" s="38">
        <f t="shared" si="23"/>
        <v>69908</v>
      </c>
      <c r="BV38" s="38">
        <f t="shared" si="23"/>
        <v>70273</v>
      </c>
      <c r="BW38" s="38">
        <f t="shared" si="23"/>
        <v>70638</v>
      </c>
      <c r="BX38" s="38">
        <f t="shared" si="23"/>
        <v>71003</v>
      </c>
      <c r="BY38" s="38">
        <f t="shared" si="23"/>
        <v>71368</v>
      </c>
      <c r="BZ38" s="38">
        <f t="shared" si="23"/>
        <v>71733</v>
      </c>
      <c r="CA38" s="38">
        <f t="shared" si="23"/>
        <v>72098</v>
      </c>
      <c r="CB38" s="39">
        <f t="shared" si="23"/>
        <v>72463</v>
      </c>
    </row>
    <row r="39" spans="1:80">
      <c r="A39" s="166" t="s">
        <v>25</v>
      </c>
      <c r="B39" s="106">
        <f>(IF(B38=F6,100,0)+IF(G6=1,1,0.5)*J6*100)*IF(ISBLANK(F6)=TRUE,0,1)</f>
        <v>1.25</v>
      </c>
      <c r="C39" s="40">
        <f>IF(C38&gt;$F6+1,0,1)*(IF(D39=0,100,0)+IF($G6=1,1,0.5)*$J6*100)</f>
        <v>1.25</v>
      </c>
      <c r="D39" s="40">
        <f t="shared" ref="D39:BO39" si="24">IF(D38&gt;$F6+1,0,1)*(IF(E39=0,100,0)+IF($G6=1,1,0.5)*$J6*100)</f>
        <v>1.25</v>
      </c>
      <c r="E39" s="40">
        <f t="shared" si="24"/>
        <v>1.25</v>
      </c>
      <c r="F39" s="40">
        <f t="shared" si="24"/>
        <v>101.25</v>
      </c>
      <c r="G39" s="40">
        <f t="shared" si="24"/>
        <v>0</v>
      </c>
      <c r="H39" s="40">
        <f t="shared" si="24"/>
        <v>0</v>
      </c>
      <c r="I39" s="40">
        <f t="shared" si="24"/>
        <v>0</v>
      </c>
      <c r="J39" s="40">
        <f t="shared" si="24"/>
        <v>0</v>
      </c>
      <c r="K39" s="40">
        <f t="shared" si="24"/>
        <v>0</v>
      </c>
      <c r="L39" s="40">
        <f t="shared" si="24"/>
        <v>0</v>
      </c>
      <c r="M39" s="40">
        <f t="shared" si="24"/>
        <v>0</v>
      </c>
      <c r="N39" s="40">
        <f t="shared" si="24"/>
        <v>0</v>
      </c>
      <c r="O39" s="40">
        <f t="shared" si="24"/>
        <v>0</v>
      </c>
      <c r="P39" s="40">
        <f t="shared" si="24"/>
        <v>0</v>
      </c>
      <c r="Q39" s="40">
        <f t="shared" si="24"/>
        <v>0</v>
      </c>
      <c r="R39" s="40">
        <f t="shared" si="24"/>
        <v>0</v>
      </c>
      <c r="S39" s="40">
        <f t="shared" si="24"/>
        <v>0</v>
      </c>
      <c r="T39" s="40">
        <f t="shared" si="24"/>
        <v>0</v>
      </c>
      <c r="U39" s="40">
        <f t="shared" si="24"/>
        <v>0</v>
      </c>
      <c r="V39" s="40">
        <f t="shared" si="24"/>
        <v>0</v>
      </c>
      <c r="W39" s="40">
        <f t="shared" si="24"/>
        <v>0</v>
      </c>
      <c r="X39" s="40">
        <f t="shared" si="24"/>
        <v>0</v>
      </c>
      <c r="Y39" s="40">
        <f t="shared" si="24"/>
        <v>0</v>
      </c>
      <c r="Z39" s="40">
        <f t="shared" si="24"/>
        <v>0</v>
      </c>
      <c r="AA39" s="40">
        <f t="shared" si="24"/>
        <v>0</v>
      </c>
      <c r="AB39" s="40">
        <f t="shared" si="24"/>
        <v>0</v>
      </c>
      <c r="AC39" s="40">
        <f t="shared" si="24"/>
        <v>0</v>
      </c>
      <c r="AD39" s="40">
        <f t="shared" si="24"/>
        <v>0</v>
      </c>
      <c r="AE39" s="40">
        <f t="shared" si="24"/>
        <v>0</v>
      </c>
      <c r="AF39" s="40">
        <f t="shared" si="24"/>
        <v>0</v>
      </c>
      <c r="AG39" s="40">
        <f t="shared" si="24"/>
        <v>0</v>
      </c>
      <c r="AH39" s="40">
        <f t="shared" si="24"/>
        <v>0</v>
      </c>
      <c r="AI39" s="40">
        <f t="shared" si="24"/>
        <v>0</v>
      </c>
      <c r="AJ39" s="40">
        <f t="shared" si="24"/>
        <v>0</v>
      </c>
      <c r="AK39" s="40">
        <f t="shared" si="24"/>
        <v>0</v>
      </c>
      <c r="AL39" s="40">
        <f t="shared" si="24"/>
        <v>0</v>
      </c>
      <c r="AM39" s="40">
        <f t="shared" si="24"/>
        <v>0</v>
      </c>
      <c r="AN39" s="40">
        <f t="shared" si="24"/>
        <v>0</v>
      </c>
      <c r="AO39" s="40">
        <f t="shared" si="24"/>
        <v>0</v>
      </c>
      <c r="AP39" s="40">
        <f t="shared" si="24"/>
        <v>0</v>
      </c>
      <c r="AQ39" s="40">
        <f t="shared" si="24"/>
        <v>0</v>
      </c>
      <c r="AR39" s="40">
        <f t="shared" si="24"/>
        <v>0</v>
      </c>
      <c r="AS39" s="40">
        <f t="shared" si="24"/>
        <v>0</v>
      </c>
      <c r="AT39" s="40">
        <f t="shared" si="24"/>
        <v>0</v>
      </c>
      <c r="AU39" s="40">
        <f t="shared" si="24"/>
        <v>0</v>
      </c>
      <c r="AV39" s="40">
        <f t="shared" si="24"/>
        <v>0</v>
      </c>
      <c r="AW39" s="40">
        <f t="shared" si="24"/>
        <v>0</v>
      </c>
      <c r="AX39" s="40">
        <f t="shared" si="24"/>
        <v>0</v>
      </c>
      <c r="AY39" s="40">
        <f t="shared" si="24"/>
        <v>0</v>
      </c>
      <c r="AZ39" s="40">
        <f t="shared" si="24"/>
        <v>0</v>
      </c>
      <c r="BA39" s="40">
        <f t="shared" si="24"/>
        <v>0</v>
      </c>
      <c r="BB39" s="40">
        <f t="shared" si="24"/>
        <v>0</v>
      </c>
      <c r="BC39" s="40">
        <f t="shared" si="24"/>
        <v>0</v>
      </c>
      <c r="BD39" s="40">
        <f t="shared" si="24"/>
        <v>0</v>
      </c>
      <c r="BE39" s="40">
        <f t="shared" si="24"/>
        <v>0</v>
      </c>
      <c r="BF39" s="40">
        <f t="shared" si="24"/>
        <v>0</v>
      </c>
      <c r="BG39" s="40">
        <f t="shared" si="24"/>
        <v>0</v>
      </c>
      <c r="BH39" s="40">
        <f t="shared" si="24"/>
        <v>0</v>
      </c>
      <c r="BI39" s="40">
        <f t="shared" si="24"/>
        <v>0</v>
      </c>
      <c r="BJ39" s="40">
        <f t="shared" si="24"/>
        <v>0</v>
      </c>
      <c r="BK39" s="40">
        <f t="shared" si="24"/>
        <v>0</v>
      </c>
      <c r="BL39" s="40">
        <f t="shared" si="24"/>
        <v>0</v>
      </c>
      <c r="BM39" s="40">
        <f t="shared" si="24"/>
        <v>0</v>
      </c>
      <c r="BN39" s="40">
        <f t="shared" si="24"/>
        <v>0</v>
      </c>
      <c r="BO39" s="40">
        <f t="shared" si="24"/>
        <v>0</v>
      </c>
      <c r="BP39" s="40">
        <f t="shared" ref="BP39:CB39" si="25">IF(BP38&gt;$F6+1,0,1)*(IF(BQ39=0,100,0)+IF($G6=1,1,0.5)*$J6*100)</f>
        <v>0</v>
      </c>
      <c r="BQ39" s="40">
        <f t="shared" si="25"/>
        <v>0</v>
      </c>
      <c r="BR39" s="40">
        <f t="shared" si="25"/>
        <v>0</v>
      </c>
      <c r="BS39" s="40">
        <f t="shared" si="25"/>
        <v>0</v>
      </c>
      <c r="BT39" s="40">
        <f t="shared" si="25"/>
        <v>0</v>
      </c>
      <c r="BU39" s="40">
        <f t="shared" si="25"/>
        <v>0</v>
      </c>
      <c r="BV39" s="40">
        <f t="shared" si="25"/>
        <v>0</v>
      </c>
      <c r="BW39" s="40">
        <f t="shared" si="25"/>
        <v>0</v>
      </c>
      <c r="BX39" s="40">
        <f t="shared" si="25"/>
        <v>0</v>
      </c>
      <c r="BY39" s="40">
        <f t="shared" si="25"/>
        <v>0</v>
      </c>
      <c r="BZ39" s="40">
        <f t="shared" si="25"/>
        <v>0</v>
      </c>
      <c r="CA39" s="40">
        <f t="shared" si="25"/>
        <v>0</v>
      </c>
      <c r="CB39" s="41">
        <f t="shared" si="25"/>
        <v>0</v>
      </c>
    </row>
    <row r="40" spans="1:80">
      <c r="A40" s="260" t="s">
        <v>49</v>
      </c>
      <c r="B40" s="42" t="str">
        <f>IF(E7=0,F7,E7)</f>
        <v>7/24/2019</v>
      </c>
      <c r="C40" s="43">
        <f t="shared" ref="C40:BN40" si="26">B40+IF($G7=1,365,182.5)</f>
        <v>44035</v>
      </c>
      <c r="D40" s="43">
        <f t="shared" si="26"/>
        <v>44400</v>
      </c>
      <c r="E40" s="43">
        <f t="shared" si="26"/>
        <v>44765</v>
      </c>
      <c r="F40" s="43">
        <f t="shared" si="26"/>
        <v>45130</v>
      </c>
      <c r="G40" s="43">
        <f t="shared" si="26"/>
        <v>45495</v>
      </c>
      <c r="H40" s="43">
        <f t="shared" si="26"/>
        <v>45860</v>
      </c>
      <c r="I40" s="43">
        <f t="shared" si="26"/>
        <v>46225</v>
      </c>
      <c r="J40" s="43">
        <f t="shared" si="26"/>
        <v>46590</v>
      </c>
      <c r="K40" s="100">
        <f t="shared" si="26"/>
        <v>46955</v>
      </c>
      <c r="L40" s="43">
        <f t="shared" si="26"/>
        <v>47320</v>
      </c>
      <c r="M40" s="43">
        <f t="shared" si="26"/>
        <v>47685</v>
      </c>
      <c r="N40" s="43">
        <f t="shared" si="26"/>
        <v>48050</v>
      </c>
      <c r="O40" s="43">
        <f t="shared" si="26"/>
        <v>48415</v>
      </c>
      <c r="P40" s="43">
        <f t="shared" si="26"/>
        <v>48780</v>
      </c>
      <c r="Q40" s="43">
        <f t="shared" si="26"/>
        <v>49145</v>
      </c>
      <c r="R40" s="43">
        <f t="shared" si="26"/>
        <v>49510</v>
      </c>
      <c r="S40" s="43">
        <f t="shared" si="26"/>
        <v>49875</v>
      </c>
      <c r="T40" s="43">
        <f t="shared" si="26"/>
        <v>50240</v>
      </c>
      <c r="U40" s="43">
        <f t="shared" si="26"/>
        <v>50605</v>
      </c>
      <c r="V40" s="43">
        <f t="shared" si="26"/>
        <v>50970</v>
      </c>
      <c r="W40" s="43">
        <f t="shared" si="26"/>
        <v>51335</v>
      </c>
      <c r="X40" s="43">
        <f t="shared" si="26"/>
        <v>51700</v>
      </c>
      <c r="Y40" s="43">
        <f t="shared" si="26"/>
        <v>52065</v>
      </c>
      <c r="Z40" s="43">
        <f t="shared" si="26"/>
        <v>52430</v>
      </c>
      <c r="AA40" s="43">
        <f t="shared" si="26"/>
        <v>52795</v>
      </c>
      <c r="AB40" s="43">
        <f t="shared" si="26"/>
        <v>53160</v>
      </c>
      <c r="AC40" s="43">
        <f t="shared" si="26"/>
        <v>53525</v>
      </c>
      <c r="AD40" s="43">
        <f t="shared" si="26"/>
        <v>53890</v>
      </c>
      <c r="AE40" s="43">
        <f t="shared" si="26"/>
        <v>54255</v>
      </c>
      <c r="AF40" s="43">
        <f t="shared" si="26"/>
        <v>54620</v>
      </c>
      <c r="AG40" s="43">
        <f t="shared" si="26"/>
        <v>54985</v>
      </c>
      <c r="AH40" s="43">
        <f t="shared" si="26"/>
        <v>55350</v>
      </c>
      <c r="AI40" s="43">
        <f t="shared" si="26"/>
        <v>55715</v>
      </c>
      <c r="AJ40" s="43">
        <f t="shared" si="26"/>
        <v>56080</v>
      </c>
      <c r="AK40" s="43">
        <f t="shared" si="26"/>
        <v>56445</v>
      </c>
      <c r="AL40" s="43">
        <f t="shared" si="26"/>
        <v>56810</v>
      </c>
      <c r="AM40" s="43">
        <f t="shared" si="26"/>
        <v>57175</v>
      </c>
      <c r="AN40" s="43">
        <f t="shared" si="26"/>
        <v>57540</v>
      </c>
      <c r="AO40" s="43">
        <f t="shared" si="26"/>
        <v>57905</v>
      </c>
      <c r="AP40" s="43">
        <f t="shared" si="26"/>
        <v>58270</v>
      </c>
      <c r="AQ40" s="43">
        <f t="shared" si="26"/>
        <v>58635</v>
      </c>
      <c r="AR40" s="43">
        <f t="shared" si="26"/>
        <v>59000</v>
      </c>
      <c r="AS40" s="43">
        <f t="shared" si="26"/>
        <v>59365</v>
      </c>
      <c r="AT40" s="43">
        <f t="shared" si="26"/>
        <v>59730</v>
      </c>
      <c r="AU40" s="43">
        <f t="shared" si="26"/>
        <v>60095</v>
      </c>
      <c r="AV40" s="43">
        <f t="shared" si="26"/>
        <v>60460</v>
      </c>
      <c r="AW40" s="43">
        <f t="shared" si="26"/>
        <v>60825</v>
      </c>
      <c r="AX40" s="43">
        <f t="shared" si="26"/>
        <v>61190</v>
      </c>
      <c r="AY40" s="43">
        <f t="shared" si="26"/>
        <v>61555</v>
      </c>
      <c r="AZ40" s="43">
        <f t="shared" si="26"/>
        <v>61920</v>
      </c>
      <c r="BA40" s="43">
        <f t="shared" si="26"/>
        <v>62285</v>
      </c>
      <c r="BB40" s="43">
        <f t="shared" si="26"/>
        <v>62650</v>
      </c>
      <c r="BC40" s="43">
        <f t="shared" si="26"/>
        <v>63015</v>
      </c>
      <c r="BD40" s="43">
        <f t="shared" si="26"/>
        <v>63380</v>
      </c>
      <c r="BE40" s="43">
        <f t="shared" si="26"/>
        <v>63745</v>
      </c>
      <c r="BF40" s="43">
        <f t="shared" si="26"/>
        <v>64110</v>
      </c>
      <c r="BG40" s="43">
        <f t="shared" si="26"/>
        <v>64475</v>
      </c>
      <c r="BH40" s="43">
        <f t="shared" si="26"/>
        <v>64840</v>
      </c>
      <c r="BI40" s="43">
        <f t="shared" si="26"/>
        <v>65205</v>
      </c>
      <c r="BJ40" s="43">
        <f t="shared" si="26"/>
        <v>65570</v>
      </c>
      <c r="BK40" s="43">
        <f t="shared" si="26"/>
        <v>65935</v>
      </c>
      <c r="BL40" s="43">
        <f t="shared" si="26"/>
        <v>66300</v>
      </c>
      <c r="BM40" s="43">
        <f t="shared" si="26"/>
        <v>66665</v>
      </c>
      <c r="BN40" s="43">
        <f t="shared" si="26"/>
        <v>67030</v>
      </c>
      <c r="BO40" s="43">
        <f t="shared" ref="BO40:CB40" si="27">BN40+IF($G7=1,365,182.5)</f>
        <v>67395</v>
      </c>
      <c r="BP40" s="43">
        <f t="shared" si="27"/>
        <v>67760</v>
      </c>
      <c r="BQ40" s="43">
        <f t="shared" si="27"/>
        <v>68125</v>
      </c>
      <c r="BR40" s="43">
        <f t="shared" si="27"/>
        <v>68490</v>
      </c>
      <c r="BS40" s="43">
        <f t="shared" si="27"/>
        <v>68855</v>
      </c>
      <c r="BT40" s="43">
        <f t="shared" si="27"/>
        <v>69220</v>
      </c>
      <c r="BU40" s="43">
        <f t="shared" si="27"/>
        <v>69585</v>
      </c>
      <c r="BV40" s="43">
        <f t="shared" si="27"/>
        <v>69950</v>
      </c>
      <c r="BW40" s="43">
        <f t="shared" si="27"/>
        <v>70315</v>
      </c>
      <c r="BX40" s="43">
        <f t="shared" si="27"/>
        <v>70680</v>
      </c>
      <c r="BY40" s="43">
        <f t="shared" si="27"/>
        <v>71045</v>
      </c>
      <c r="BZ40" s="43">
        <f t="shared" si="27"/>
        <v>71410</v>
      </c>
      <c r="CA40" s="43">
        <f t="shared" si="27"/>
        <v>71775</v>
      </c>
      <c r="CB40" s="44">
        <f t="shared" si="27"/>
        <v>72140</v>
      </c>
    </row>
    <row r="41" spans="1:80">
      <c r="A41" s="167" t="s">
        <v>16</v>
      </c>
      <c r="B41" s="107">
        <f>(IF(B40=F7,100,0)+IF(G7=1,1,0.5)*J7*100)*IF(ISBLANK(F7)=TRUE,0,1)</f>
        <v>1.5</v>
      </c>
      <c r="C41" s="45">
        <f>IF(C40&gt;$F7+1,0,1)*(IF(D41=0,100,0)+IF($G7=1,1,0.5)*$J7*100)</f>
        <v>1.5</v>
      </c>
      <c r="D41" s="45">
        <f t="shared" ref="D41:BO41" si="28">IF(D40&gt;$F7+1,0,1)*(IF(E41=0,100,0)+IF($G7=1,1,0.5)*$J7*100)</f>
        <v>1.5</v>
      </c>
      <c r="E41" s="45">
        <f t="shared" si="28"/>
        <v>1.5</v>
      </c>
      <c r="F41" s="45">
        <f t="shared" si="28"/>
        <v>1.5</v>
      </c>
      <c r="G41" s="45">
        <f t="shared" si="28"/>
        <v>1.5</v>
      </c>
      <c r="H41" s="45">
        <f t="shared" si="28"/>
        <v>101.5</v>
      </c>
      <c r="I41" s="45">
        <f t="shared" si="28"/>
        <v>0</v>
      </c>
      <c r="J41" s="45">
        <f t="shared" si="28"/>
        <v>0</v>
      </c>
      <c r="K41" s="45">
        <f t="shared" si="28"/>
        <v>0</v>
      </c>
      <c r="L41" s="45">
        <f t="shared" si="28"/>
        <v>0</v>
      </c>
      <c r="M41" s="45">
        <f t="shared" si="28"/>
        <v>0</v>
      </c>
      <c r="N41" s="45">
        <f t="shared" si="28"/>
        <v>0</v>
      </c>
      <c r="O41" s="45">
        <f t="shared" si="28"/>
        <v>0</v>
      </c>
      <c r="P41" s="45">
        <f t="shared" si="28"/>
        <v>0</v>
      </c>
      <c r="Q41" s="45">
        <f t="shared" si="28"/>
        <v>0</v>
      </c>
      <c r="R41" s="45">
        <f t="shared" si="28"/>
        <v>0</v>
      </c>
      <c r="S41" s="45">
        <f t="shared" si="28"/>
        <v>0</v>
      </c>
      <c r="T41" s="45">
        <f t="shared" si="28"/>
        <v>0</v>
      </c>
      <c r="U41" s="45">
        <f t="shared" si="28"/>
        <v>0</v>
      </c>
      <c r="V41" s="45">
        <f t="shared" si="28"/>
        <v>0</v>
      </c>
      <c r="W41" s="45">
        <f t="shared" si="28"/>
        <v>0</v>
      </c>
      <c r="X41" s="45">
        <f t="shared" si="28"/>
        <v>0</v>
      </c>
      <c r="Y41" s="45">
        <f t="shared" si="28"/>
        <v>0</v>
      </c>
      <c r="Z41" s="45">
        <f t="shared" si="28"/>
        <v>0</v>
      </c>
      <c r="AA41" s="45">
        <f t="shared" si="28"/>
        <v>0</v>
      </c>
      <c r="AB41" s="45">
        <f t="shared" si="28"/>
        <v>0</v>
      </c>
      <c r="AC41" s="45">
        <f t="shared" si="28"/>
        <v>0</v>
      </c>
      <c r="AD41" s="45">
        <f t="shared" si="28"/>
        <v>0</v>
      </c>
      <c r="AE41" s="45">
        <f t="shared" si="28"/>
        <v>0</v>
      </c>
      <c r="AF41" s="45">
        <f t="shared" si="28"/>
        <v>0</v>
      </c>
      <c r="AG41" s="45">
        <f t="shared" si="28"/>
        <v>0</v>
      </c>
      <c r="AH41" s="45">
        <f t="shared" si="28"/>
        <v>0</v>
      </c>
      <c r="AI41" s="45">
        <f t="shared" si="28"/>
        <v>0</v>
      </c>
      <c r="AJ41" s="45">
        <f t="shared" si="28"/>
        <v>0</v>
      </c>
      <c r="AK41" s="45">
        <f t="shared" si="28"/>
        <v>0</v>
      </c>
      <c r="AL41" s="45">
        <f t="shared" si="28"/>
        <v>0</v>
      </c>
      <c r="AM41" s="45">
        <f t="shared" si="28"/>
        <v>0</v>
      </c>
      <c r="AN41" s="45">
        <f t="shared" si="28"/>
        <v>0</v>
      </c>
      <c r="AO41" s="45">
        <f t="shared" si="28"/>
        <v>0</v>
      </c>
      <c r="AP41" s="45">
        <f t="shared" si="28"/>
        <v>0</v>
      </c>
      <c r="AQ41" s="45">
        <f t="shared" si="28"/>
        <v>0</v>
      </c>
      <c r="AR41" s="45">
        <f t="shared" si="28"/>
        <v>0</v>
      </c>
      <c r="AS41" s="45">
        <f t="shared" si="28"/>
        <v>0</v>
      </c>
      <c r="AT41" s="45">
        <f t="shared" si="28"/>
        <v>0</v>
      </c>
      <c r="AU41" s="45">
        <f t="shared" si="28"/>
        <v>0</v>
      </c>
      <c r="AV41" s="45">
        <f t="shared" si="28"/>
        <v>0</v>
      </c>
      <c r="AW41" s="45">
        <f t="shared" si="28"/>
        <v>0</v>
      </c>
      <c r="AX41" s="45">
        <f t="shared" si="28"/>
        <v>0</v>
      </c>
      <c r="AY41" s="45">
        <f t="shared" si="28"/>
        <v>0</v>
      </c>
      <c r="AZ41" s="45">
        <f t="shared" si="28"/>
        <v>0</v>
      </c>
      <c r="BA41" s="45">
        <f t="shared" si="28"/>
        <v>0</v>
      </c>
      <c r="BB41" s="45">
        <f t="shared" si="28"/>
        <v>0</v>
      </c>
      <c r="BC41" s="45">
        <f t="shared" si="28"/>
        <v>0</v>
      </c>
      <c r="BD41" s="45">
        <f t="shared" si="28"/>
        <v>0</v>
      </c>
      <c r="BE41" s="45">
        <f t="shared" si="28"/>
        <v>0</v>
      </c>
      <c r="BF41" s="45">
        <f t="shared" si="28"/>
        <v>0</v>
      </c>
      <c r="BG41" s="45">
        <f t="shared" si="28"/>
        <v>0</v>
      </c>
      <c r="BH41" s="45">
        <f t="shared" si="28"/>
        <v>0</v>
      </c>
      <c r="BI41" s="45">
        <f t="shared" si="28"/>
        <v>0</v>
      </c>
      <c r="BJ41" s="45">
        <f t="shared" si="28"/>
        <v>0</v>
      </c>
      <c r="BK41" s="45">
        <f t="shared" si="28"/>
        <v>0</v>
      </c>
      <c r="BL41" s="45">
        <f t="shared" si="28"/>
        <v>0</v>
      </c>
      <c r="BM41" s="45">
        <f t="shared" si="28"/>
        <v>0</v>
      </c>
      <c r="BN41" s="45">
        <f t="shared" si="28"/>
        <v>0</v>
      </c>
      <c r="BO41" s="45">
        <f t="shared" si="28"/>
        <v>0</v>
      </c>
      <c r="BP41" s="45">
        <f t="shared" ref="BP41:CB41" si="29">IF(BP40&gt;$F7+1,0,1)*(IF(BQ41=0,100,0)+IF($G7=1,1,0.5)*$J7*100)</f>
        <v>0</v>
      </c>
      <c r="BQ41" s="45">
        <f t="shared" si="29"/>
        <v>0</v>
      </c>
      <c r="BR41" s="45">
        <f t="shared" si="29"/>
        <v>0</v>
      </c>
      <c r="BS41" s="45">
        <f t="shared" si="29"/>
        <v>0</v>
      </c>
      <c r="BT41" s="45">
        <f t="shared" si="29"/>
        <v>0</v>
      </c>
      <c r="BU41" s="45">
        <f t="shared" si="29"/>
        <v>0</v>
      </c>
      <c r="BV41" s="45">
        <f t="shared" si="29"/>
        <v>0</v>
      </c>
      <c r="BW41" s="45">
        <f t="shared" si="29"/>
        <v>0</v>
      </c>
      <c r="BX41" s="45">
        <f t="shared" si="29"/>
        <v>0</v>
      </c>
      <c r="BY41" s="45">
        <f t="shared" si="29"/>
        <v>0</v>
      </c>
      <c r="BZ41" s="45">
        <f t="shared" si="29"/>
        <v>0</v>
      </c>
      <c r="CA41" s="45">
        <f t="shared" si="29"/>
        <v>0</v>
      </c>
      <c r="CB41" s="46">
        <f t="shared" si="29"/>
        <v>0</v>
      </c>
    </row>
    <row r="42" spans="1:80">
      <c r="A42" s="252" t="s">
        <v>49</v>
      </c>
      <c r="B42" s="47" t="str">
        <f>IF(E8=0,F8,E8)</f>
        <v>5/28/2020</v>
      </c>
      <c r="C42" s="48">
        <f t="shared" ref="C42:BN42" si="30">B42+IF($G8=1,365,182.5)</f>
        <v>44344</v>
      </c>
      <c r="D42" s="48">
        <f t="shared" si="30"/>
        <v>44709</v>
      </c>
      <c r="E42" s="48">
        <f t="shared" si="30"/>
        <v>45074</v>
      </c>
      <c r="F42" s="48">
        <f t="shared" si="30"/>
        <v>45439</v>
      </c>
      <c r="G42" s="48">
        <f t="shared" si="30"/>
        <v>45804</v>
      </c>
      <c r="H42" s="48">
        <f t="shared" si="30"/>
        <v>46169</v>
      </c>
      <c r="I42" s="48">
        <f t="shared" si="30"/>
        <v>46534</v>
      </c>
      <c r="J42" s="48">
        <f t="shared" si="30"/>
        <v>46899</v>
      </c>
      <c r="K42" s="141">
        <f t="shared" si="30"/>
        <v>47264</v>
      </c>
      <c r="L42" s="48">
        <f t="shared" si="30"/>
        <v>47629</v>
      </c>
      <c r="M42" s="48">
        <f t="shared" si="30"/>
        <v>47994</v>
      </c>
      <c r="N42" s="48">
        <f t="shared" si="30"/>
        <v>48359</v>
      </c>
      <c r="O42" s="48">
        <f t="shared" si="30"/>
        <v>48724</v>
      </c>
      <c r="P42" s="48">
        <f t="shared" si="30"/>
        <v>49089</v>
      </c>
      <c r="Q42" s="48">
        <f t="shared" si="30"/>
        <v>49454</v>
      </c>
      <c r="R42" s="48">
        <f t="shared" si="30"/>
        <v>49819</v>
      </c>
      <c r="S42" s="48">
        <f t="shared" si="30"/>
        <v>50184</v>
      </c>
      <c r="T42" s="48">
        <f t="shared" si="30"/>
        <v>50549</v>
      </c>
      <c r="U42" s="48">
        <f t="shared" si="30"/>
        <v>50914</v>
      </c>
      <c r="V42" s="48">
        <f t="shared" si="30"/>
        <v>51279</v>
      </c>
      <c r="W42" s="48">
        <f t="shared" si="30"/>
        <v>51644</v>
      </c>
      <c r="X42" s="48">
        <f t="shared" si="30"/>
        <v>52009</v>
      </c>
      <c r="Y42" s="48">
        <f t="shared" si="30"/>
        <v>52374</v>
      </c>
      <c r="Z42" s="48">
        <f t="shared" si="30"/>
        <v>52739</v>
      </c>
      <c r="AA42" s="48">
        <f t="shared" si="30"/>
        <v>53104</v>
      </c>
      <c r="AB42" s="48">
        <f t="shared" si="30"/>
        <v>53469</v>
      </c>
      <c r="AC42" s="48">
        <f t="shared" si="30"/>
        <v>53834</v>
      </c>
      <c r="AD42" s="48">
        <f t="shared" si="30"/>
        <v>54199</v>
      </c>
      <c r="AE42" s="48">
        <f t="shared" si="30"/>
        <v>54564</v>
      </c>
      <c r="AF42" s="48">
        <f t="shared" si="30"/>
        <v>54929</v>
      </c>
      <c r="AG42" s="48">
        <f t="shared" si="30"/>
        <v>55294</v>
      </c>
      <c r="AH42" s="48">
        <f t="shared" si="30"/>
        <v>55659</v>
      </c>
      <c r="AI42" s="48">
        <f t="shared" si="30"/>
        <v>56024</v>
      </c>
      <c r="AJ42" s="48">
        <f t="shared" si="30"/>
        <v>56389</v>
      </c>
      <c r="AK42" s="48">
        <f t="shared" si="30"/>
        <v>56754</v>
      </c>
      <c r="AL42" s="48">
        <f t="shared" si="30"/>
        <v>57119</v>
      </c>
      <c r="AM42" s="48">
        <f t="shared" si="30"/>
        <v>57484</v>
      </c>
      <c r="AN42" s="48">
        <f t="shared" si="30"/>
        <v>57849</v>
      </c>
      <c r="AO42" s="48">
        <f t="shared" si="30"/>
        <v>58214</v>
      </c>
      <c r="AP42" s="48">
        <f t="shared" si="30"/>
        <v>58579</v>
      </c>
      <c r="AQ42" s="48">
        <f t="shared" si="30"/>
        <v>58944</v>
      </c>
      <c r="AR42" s="48">
        <f t="shared" si="30"/>
        <v>59309</v>
      </c>
      <c r="AS42" s="48">
        <f t="shared" si="30"/>
        <v>59674</v>
      </c>
      <c r="AT42" s="48">
        <f t="shared" si="30"/>
        <v>60039</v>
      </c>
      <c r="AU42" s="48">
        <f t="shared" si="30"/>
        <v>60404</v>
      </c>
      <c r="AV42" s="48">
        <f t="shared" si="30"/>
        <v>60769</v>
      </c>
      <c r="AW42" s="48">
        <f t="shared" si="30"/>
        <v>61134</v>
      </c>
      <c r="AX42" s="48">
        <f t="shared" si="30"/>
        <v>61499</v>
      </c>
      <c r="AY42" s="48">
        <f t="shared" si="30"/>
        <v>61864</v>
      </c>
      <c r="AZ42" s="48">
        <f t="shared" si="30"/>
        <v>62229</v>
      </c>
      <c r="BA42" s="48">
        <f t="shared" si="30"/>
        <v>62594</v>
      </c>
      <c r="BB42" s="48">
        <f t="shared" si="30"/>
        <v>62959</v>
      </c>
      <c r="BC42" s="48">
        <f t="shared" si="30"/>
        <v>63324</v>
      </c>
      <c r="BD42" s="48">
        <f t="shared" si="30"/>
        <v>63689</v>
      </c>
      <c r="BE42" s="48">
        <f t="shared" si="30"/>
        <v>64054</v>
      </c>
      <c r="BF42" s="48">
        <f t="shared" si="30"/>
        <v>64419</v>
      </c>
      <c r="BG42" s="48">
        <f t="shared" si="30"/>
        <v>64784</v>
      </c>
      <c r="BH42" s="48">
        <f t="shared" si="30"/>
        <v>65149</v>
      </c>
      <c r="BI42" s="48">
        <f t="shared" si="30"/>
        <v>65514</v>
      </c>
      <c r="BJ42" s="48">
        <f t="shared" si="30"/>
        <v>65879</v>
      </c>
      <c r="BK42" s="48">
        <f t="shared" si="30"/>
        <v>66244</v>
      </c>
      <c r="BL42" s="48">
        <f t="shared" si="30"/>
        <v>66609</v>
      </c>
      <c r="BM42" s="48">
        <f t="shared" si="30"/>
        <v>66974</v>
      </c>
      <c r="BN42" s="48">
        <f t="shared" si="30"/>
        <v>67339</v>
      </c>
      <c r="BO42" s="48">
        <f t="shared" ref="BO42:CB42" si="31">BN42+IF($G8=1,365,182.5)</f>
        <v>67704</v>
      </c>
      <c r="BP42" s="48">
        <f t="shared" si="31"/>
        <v>68069</v>
      </c>
      <c r="BQ42" s="48">
        <f t="shared" si="31"/>
        <v>68434</v>
      </c>
      <c r="BR42" s="48">
        <f t="shared" si="31"/>
        <v>68799</v>
      </c>
      <c r="BS42" s="48">
        <f t="shared" si="31"/>
        <v>69164</v>
      </c>
      <c r="BT42" s="48">
        <f t="shared" si="31"/>
        <v>69529</v>
      </c>
      <c r="BU42" s="48">
        <f t="shared" si="31"/>
        <v>69894</v>
      </c>
      <c r="BV42" s="48">
        <f t="shared" si="31"/>
        <v>70259</v>
      </c>
      <c r="BW42" s="48">
        <f t="shared" si="31"/>
        <v>70624</v>
      </c>
      <c r="BX42" s="48">
        <f t="shared" si="31"/>
        <v>70989</v>
      </c>
      <c r="BY42" s="48">
        <f t="shared" si="31"/>
        <v>71354</v>
      </c>
      <c r="BZ42" s="48">
        <f t="shared" si="31"/>
        <v>71719</v>
      </c>
      <c r="CA42" s="48">
        <f t="shared" si="31"/>
        <v>72084</v>
      </c>
      <c r="CB42" s="49">
        <f t="shared" si="31"/>
        <v>72449</v>
      </c>
    </row>
    <row r="43" spans="1:80">
      <c r="A43" s="168" t="s">
        <v>26</v>
      </c>
      <c r="B43" s="108">
        <f>(IF(B42=F8,100,0)+IF(G8=1,1,0.5)*J8*100)*IF(ISBLANK(F8)=TRUE,0,1)</f>
        <v>1.25</v>
      </c>
      <c r="C43" s="50">
        <f>IF(C42&gt;$F8+1,0,1)*(IF(D43=0,100,0)+IF($G8=1,1,0.5)*$J8*100)</f>
        <v>1.25</v>
      </c>
      <c r="D43" s="50">
        <f t="shared" ref="D43:BO43" si="32">IF(D42&gt;$F8+1,0,1)*(IF(E43=0,100,0)+IF($G8=1,1,0.5)*$J8*100)</f>
        <v>1.25</v>
      </c>
      <c r="E43" s="50">
        <f t="shared" si="32"/>
        <v>1.25</v>
      </c>
      <c r="F43" s="50">
        <f t="shared" si="32"/>
        <v>1.25</v>
      </c>
      <c r="G43" s="50">
        <f t="shared" si="32"/>
        <v>1.25</v>
      </c>
      <c r="H43" s="50">
        <f t="shared" si="32"/>
        <v>101.25</v>
      </c>
      <c r="I43" s="50">
        <f t="shared" si="32"/>
        <v>0</v>
      </c>
      <c r="J43" s="50">
        <f t="shared" si="32"/>
        <v>0</v>
      </c>
      <c r="K43" s="50">
        <f t="shared" si="32"/>
        <v>0</v>
      </c>
      <c r="L43" s="50">
        <f t="shared" si="32"/>
        <v>0</v>
      </c>
      <c r="M43" s="50">
        <f t="shared" si="32"/>
        <v>0</v>
      </c>
      <c r="N43" s="50">
        <f t="shared" si="32"/>
        <v>0</v>
      </c>
      <c r="O43" s="50">
        <f t="shared" si="32"/>
        <v>0</v>
      </c>
      <c r="P43" s="50">
        <f t="shared" si="32"/>
        <v>0</v>
      </c>
      <c r="Q43" s="50">
        <f t="shared" si="32"/>
        <v>0</v>
      </c>
      <c r="R43" s="50">
        <f t="shared" si="32"/>
        <v>0</v>
      </c>
      <c r="S43" s="50">
        <f t="shared" si="32"/>
        <v>0</v>
      </c>
      <c r="T43" s="50">
        <f t="shared" si="32"/>
        <v>0</v>
      </c>
      <c r="U43" s="50">
        <f t="shared" si="32"/>
        <v>0</v>
      </c>
      <c r="V43" s="50">
        <f t="shared" si="32"/>
        <v>0</v>
      </c>
      <c r="W43" s="50">
        <f t="shared" si="32"/>
        <v>0</v>
      </c>
      <c r="X43" s="50">
        <f t="shared" si="32"/>
        <v>0</v>
      </c>
      <c r="Y43" s="50">
        <f t="shared" si="32"/>
        <v>0</v>
      </c>
      <c r="Z43" s="50">
        <f t="shared" si="32"/>
        <v>0</v>
      </c>
      <c r="AA43" s="50">
        <f t="shared" si="32"/>
        <v>0</v>
      </c>
      <c r="AB43" s="50">
        <f t="shared" si="32"/>
        <v>0</v>
      </c>
      <c r="AC43" s="50">
        <f t="shared" si="32"/>
        <v>0</v>
      </c>
      <c r="AD43" s="50">
        <f t="shared" si="32"/>
        <v>0</v>
      </c>
      <c r="AE43" s="50">
        <f t="shared" si="32"/>
        <v>0</v>
      </c>
      <c r="AF43" s="50">
        <f t="shared" si="32"/>
        <v>0</v>
      </c>
      <c r="AG43" s="50">
        <f t="shared" si="32"/>
        <v>0</v>
      </c>
      <c r="AH43" s="50">
        <f t="shared" si="32"/>
        <v>0</v>
      </c>
      <c r="AI43" s="50">
        <f t="shared" si="32"/>
        <v>0</v>
      </c>
      <c r="AJ43" s="50">
        <f t="shared" si="32"/>
        <v>0</v>
      </c>
      <c r="AK43" s="50">
        <f t="shared" si="32"/>
        <v>0</v>
      </c>
      <c r="AL43" s="50">
        <f t="shared" si="32"/>
        <v>0</v>
      </c>
      <c r="AM43" s="50">
        <f t="shared" si="32"/>
        <v>0</v>
      </c>
      <c r="AN43" s="50">
        <f t="shared" si="32"/>
        <v>0</v>
      </c>
      <c r="AO43" s="50">
        <f t="shared" si="32"/>
        <v>0</v>
      </c>
      <c r="AP43" s="50">
        <f t="shared" si="32"/>
        <v>0</v>
      </c>
      <c r="AQ43" s="50">
        <f t="shared" si="32"/>
        <v>0</v>
      </c>
      <c r="AR43" s="50">
        <f t="shared" si="32"/>
        <v>0</v>
      </c>
      <c r="AS43" s="50">
        <f t="shared" si="32"/>
        <v>0</v>
      </c>
      <c r="AT43" s="50">
        <f t="shared" si="32"/>
        <v>0</v>
      </c>
      <c r="AU43" s="50">
        <f t="shared" si="32"/>
        <v>0</v>
      </c>
      <c r="AV43" s="50">
        <f t="shared" si="32"/>
        <v>0</v>
      </c>
      <c r="AW43" s="50">
        <f t="shared" si="32"/>
        <v>0</v>
      </c>
      <c r="AX43" s="50">
        <f t="shared" si="32"/>
        <v>0</v>
      </c>
      <c r="AY43" s="50">
        <f t="shared" si="32"/>
        <v>0</v>
      </c>
      <c r="AZ43" s="50">
        <f t="shared" si="32"/>
        <v>0</v>
      </c>
      <c r="BA43" s="50">
        <f t="shared" si="32"/>
        <v>0</v>
      </c>
      <c r="BB43" s="50">
        <f t="shared" si="32"/>
        <v>0</v>
      </c>
      <c r="BC43" s="50">
        <f t="shared" si="32"/>
        <v>0</v>
      </c>
      <c r="BD43" s="50">
        <f t="shared" si="32"/>
        <v>0</v>
      </c>
      <c r="BE43" s="50">
        <f t="shared" si="32"/>
        <v>0</v>
      </c>
      <c r="BF43" s="50">
        <f t="shared" si="32"/>
        <v>0</v>
      </c>
      <c r="BG43" s="50">
        <f t="shared" si="32"/>
        <v>0</v>
      </c>
      <c r="BH43" s="50">
        <f t="shared" si="32"/>
        <v>0</v>
      </c>
      <c r="BI43" s="50">
        <f t="shared" si="32"/>
        <v>0</v>
      </c>
      <c r="BJ43" s="50">
        <f t="shared" si="32"/>
        <v>0</v>
      </c>
      <c r="BK43" s="50">
        <f t="shared" si="32"/>
        <v>0</v>
      </c>
      <c r="BL43" s="50">
        <f t="shared" si="32"/>
        <v>0</v>
      </c>
      <c r="BM43" s="50">
        <f t="shared" si="32"/>
        <v>0</v>
      </c>
      <c r="BN43" s="50">
        <f t="shared" si="32"/>
        <v>0</v>
      </c>
      <c r="BO43" s="50">
        <f t="shared" si="32"/>
        <v>0</v>
      </c>
      <c r="BP43" s="50">
        <f t="shared" ref="BP43:CB43" si="33">IF(BP42&gt;$F8+1,0,1)*(IF(BQ43=0,100,0)+IF($G8=1,1,0.5)*$J8*100)</f>
        <v>0</v>
      </c>
      <c r="BQ43" s="50">
        <f t="shared" si="33"/>
        <v>0</v>
      </c>
      <c r="BR43" s="50">
        <f t="shared" si="33"/>
        <v>0</v>
      </c>
      <c r="BS43" s="50">
        <f t="shared" si="33"/>
        <v>0</v>
      </c>
      <c r="BT43" s="50">
        <f t="shared" si="33"/>
        <v>0</v>
      </c>
      <c r="BU43" s="50">
        <f t="shared" si="33"/>
        <v>0</v>
      </c>
      <c r="BV43" s="50">
        <f t="shared" si="33"/>
        <v>0</v>
      </c>
      <c r="BW43" s="50">
        <f t="shared" si="33"/>
        <v>0</v>
      </c>
      <c r="BX43" s="50">
        <f t="shared" si="33"/>
        <v>0</v>
      </c>
      <c r="BY43" s="50">
        <f t="shared" si="33"/>
        <v>0</v>
      </c>
      <c r="BZ43" s="50">
        <f t="shared" si="33"/>
        <v>0</v>
      </c>
      <c r="CA43" s="50">
        <f t="shared" si="33"/>
        <v>0</v>
      </c>
      <c r="CB43" s="51">
        <f t="shared" si="33"/>
        <v>0</v>
      </c>
    </row>
    <row r="44" spans="1:80">
      <c r="A44" s="259" t="s">
        <v>49</v>
      </c>
      <c r="B44" s="52" t="str">
        <f>IF(E9=0,F9,E9)</f>
        <v>6/27/2020</v>
      </c>
      <c r="C44" s="53">
        <f t="shared" ref="C44:BN44" si="34">B44+IF($G9=1,365,182.5)</f>
        <v>44374</v>
      </c>
      <c r="D44" s="53">
        <f t="shared" si="34"/>
        <v>44739</v>
      </c>
      <c r="E44" s="53">
        <f t="shared" si="34"/>
        <v>45104</v>
      </c>
      <c r="F44" s="53">
        <f t="shared" si="34"/>
        <v>45469</v>
      </c>
      <c r="G44" s="53">
        <f t="shared" si="34"/>
        <v>45834</v>
      </c>
      <c r="H44" s="53">
        <f t="shared" si="34"/>
        <v>46199</v>
      </c>
      <c r="I44" s="53">
        <f t="shared" si="34"/>
        <v>46564</v>
      </c>
      <c r="J44" s="53">
        <f t="shared" si="34"/>
        <v>46929</v>
      </c>
      <c r="K44" s="53">
        <f t="shared" si="34"/>
        <v>47294</v>
      </c>
      <c r="L44" s="53">
        <f t="shared" si="34"/>
        <v>47659</v>
      </c>
      <c r="M44" s="53">
        <f t="shared" si="34"/>
        <v>48024</v>
      </c>
      <c r="N44" s="53">
        <f t="shared" si="34"/>
        <v>48389</v>
      </c>
      <c r="O44" s="53">
        <f t="shared" si="34"/>
        <v>48754</v>
      </c>
      <c r="P44" s="53">
        <f t="shared" si="34"/>
        <v>49119</v>
      </c>
      <c r="Q44" s="53">
        <f t="shared" si="34"/>
        <v>49484</v>
      </c>
      <c r="R44" s="53">
        <f t="shared" si="34"/>
        <v>49849</v>
      </c>
      <c r="S44" s="53">
        <f t="shared" si="34"/>
        <v>50214</v>
      </c>
      <c r="T44" s="53">
        <f t="shared" si="34"/>
        <v>50579</v>
      </c>
      <c r="U44" s="53">
        <f t="shared" si="34"/>
        <v>50944</v>
      </c>
      <c r="V44" s="53">
        <f t="shared" si="34"/>
        <v>51309</v>
      </c>
      <c r="W44" s="53">
        <f t="shared" si="34"/>
        <v>51674</v>
      </c>
      <c r="X44" s="53">
        <f t="shared" si="34"/>
        <v>52039</v>
      </c>
      <c r="Y44" s="53">
        <f t="shared" si="34"/>
        <v>52404</v>
      </c>
      <c r="Z44" s="53">
        <f t="shared" si="34"/>
        <v>52769</v>
      </c>
      <c r="AA44" s="53">
        <f t="shared" si="34"/>
        <v>53134</v>
      </c>
      <c r="AB44" s="53">
        <f t="shared" si="34"/>
        <v>53499</v>
      </c>
      <c r="AC44" s="53">
        <f t="shared" si="34"/>
        <v>53864</v>
      </c>
      <c r="AD44" s="53">
        <f t="shared" si="34"/>
        <v>54229</v>
      </c>
      <c r="AE44" s="53">
        <f t="shared" si="34"/>
        <v>54594</v>
      </c>
      <c r="AF44" s="53">
        <f t="shared" si="34"/>
        <v>54959</v>
      </c>
      <c r="AG44" s="53">
        <f t="shared" si="34"/>
        <v>55324</v>
      </c>
      <c r="AH44" s="53">
        <f t="shared" si="34"/>
        <v>55689</v>
      </c>
      <c r="AI44" s="53">
        <f t="shared" si="34"/>
        <v>56054</v>
      </c>
      <c r="AJ44" s="53">
        <f t="shared" si="34"/>
        <v>56419</v>
      </c>
      <c r="AK44" s="53">
        <f t="shared" si="34"/>
        <v>56784</v>
      </c>
      <c r="AL44" s="53">
        <f t="shared" si="34"/>
        <v>57149</v>
      </c>
      <c r="AM44" s="53">
        <f t="shared" si="34"/>
        <v>57514</v>
      </c>
      <c r="AN44" s="53">
        <f t="shared" si="34"/>
        <v>57879</v>
      </c>
      <c r="AO44" s="53">
        <f t="shared" si="34"/>
        <v>58244</v>
      </c>
      <c r="AP44" s="53">
        <f t="shared" si="34"/>
        <v>58609</v>
      </c>
      <c r="AQ44" s="53">
        <f t="shared" si="34"/>
        <v>58974</v>
      </c>
      <c r="AR44" s="53">
        <f t="shared" si="34"/>
        <v>59339</v>
      </c>
      <c r="AS44" s="53">
        <f t="shared" si="34"/>
        <v>59704</v>
      </c>
      <c r="AT44" s="53">
        <f t="shared" si="34"/>
        <v>60069</v>
      </c>
      <c r="AU44" s="53">
        <f t="shared" si="34"/>
        <v>60434</v>
      </c>
      <c r="AV44" s="53">
        <f t="shared" si="34"/>
        <v>60799</v>
      </c>
      <c r="AW44" s="53">
        <f t="shared" si="34"/>
        <v>61164</v>
      </c>
      <c r="AX44" s="53">
        <f t="shared" si="34"/>
        <v>61529</v>
      </c>
      <c r="AY44" s="53">
        <f t="shared" si="34"/>
        <v>61894</v>
      </c>
      <c r="AZ44" s="53">
        <f t="shared" si="34"/>
        <v>62259</v>
      </c>
      <c r="BA44" s="53">
        <f t="shared" si="34"/>
        <v>62624</v>
      </c>
      <c r="BB44" s="53">
        <f t="shared" si="34"/>
        <v>62989</v>
      </c>
      <c r="BC44" s="53">
        <f t="shared" si="34"/>
        <v>63354</v>
      </c>
      <c r="BD44" s="53">
        <f t="shared" si="34"/>
        <v>63719</v>
      </c>
      <c r="BE44" s="53">
        <f t="shared" si="34"/>
        <v>64084</v>
      </c>
      <c r="BF44" s="53">
        <f t="shared" si="34"/>
        <v>64449</v>
      </c>
      <c r="BG44" s="53">
        <f t="shared" si="34"/>
        <v>64814</v>
      </c>
      <c r="BH44" s="53">
        <f t="shared" si="34"/>
        <v>65179</v>
      </c>
      <c r="BI44" s="53">
        <f t="shared" si="34"/>
        <v>65544</v>
      </c>
      <c r="BJ44" s="53">
        <f t="shared" si="34"/>
        <v>65909</v>
      </c>
      <c r="BK44" s="53">
        <f t="shared" si="34"/>
        <v>66274</v>
      </c>
      <c r="BL44" s="53">
        <f t="shared" si="34"/>
        <v>66639</v>
      </c>
      <c r="BM44" s="53">
        <f t="shared" si="34"/>
        <v>67004</v>
      </c>
      <c r="BN44" s="53">
        <f t="shared" si="34"/>
        <v>67369</v>
      </c>
      <c r="BO44" s="53">
        <f t="shared" ref="BO44:CB44" si="35">BN44+IF($G9=1,365,182.5)</f>
        <v>67734</v>
      </c>
      <c r="BP44" s="53">
        <f t="shared" si="35"/>
        <v>68099</v>
      </c>
      <c r="BQ44" s="53">
        <f t="shared" si="35"/>
        <v>68464</v>
      </c>
      <c r="BR44" s="53">
        <f t="shared" si="35"/>
        <v>68829</v>
      </c>
      <c r="BS44" s="53">
        <f t="shared" si="35"/>
        <v>69194</v>
      </c>
      <c r="BT44" s="53">
        <f t="shared" si="35"/>
        <v>69559</v>
      </c>
      <c r="BU44" s="53">
        <f t="shared" si="35"/>
        <v>69924</v>
      </c>
      <c r="BV44" s="53">
        <f t="shared" si="35"/>
        <v>70289</v>
      </c>
      <c r="BW44" s="53">
        <f t="shared" si="35"/>
        <v>70654</v>
      </c>
      <c r="BX44" s="53">
        <f t="shared" si="35"/>
        <v>71019</v>
      </c>
      <c r="BY44" s="53">
        <f t="shared" si="35"/>
        <v>71384</v>
      </c>
      <c r="BZ44" s="53">
        <f t="shared" si="35"/>
        <v>71749</v>
      </c>
      <c r="CA44" s="53">
        <f t="shared" si="35"/>
        <v>72114</v>
      </c>
      <c r="CB44" s="54">
        <f t="shared" si="35"/>
        <v>72479</v>
      </c>
    </row>
    <row r="45" spans="1:80">
      <c r="A45" s="169" t="s">
        <v>27</v>
      </c>
      <c r="B45" s="109">
        <f>(IF(B44=F9,100,0)+IF(G9=1,1,0.5)*J9*100)*IF(ISBLANK(F9)=TRUE,0,1)</f>
        <v>3.25</v>
      </c>
      <c r="C45" s="55">
        <f>IF(C44&gt;$F9+1,0,1)*(IF(D45=0,100,0)+IF($G9=1,1,0.5)*$J9*100)</f>
        <v>3.25</v>
      </c>
      <c r="D45" s="55">
        <f t="shared" ref="D45:BO45" si="36">IF(D44&gt;$F9+1,0,1)*(IF(E45=0,100,0)+IF($G9=1,1,0.5)*$J9*100)</f>
        <v>3.25</v>
      </c>
      <c r="E45" s="55">
        <f t="shared" si="36"/>
        <v>3.25</v>
      </c>
      <c r="F45" s="55">
        <f t="shared" si="36"/>
        <v>3.25</v>
      </c>
      <c r="G45" s="55">
        <f t="shared" si="36"/>
        <v>3.25</v>
      </c>
      <c r="H45" s="55">
        <f t="shared" si="36"/>
        <v>3.25</v>
      </c>
      <c r="I45" s="55">
        <f t="shared" si="36"/>
        <v>103.25</v>
      </c>
      <c r="J45" s="55">
        <f t="shared" si="36"/>
        <v>0</v>
      </c>
      <c r="K45" s="55">
        <f t="shared" si="36"/>
        <v>0</v>
      </c>
      <c r="L45" s="55">
        <f t="shared" si="36"/>
        <v>0</v>
      </c>
      <c r="M45" s="55">
        <f t="shared" si="36"/>
        <v>0</v>
      </c>
      <c r="N45" s="55">
        <f t="shared" si="36"/>
        <v>0</v>
      </c>
      <c r="O45" s="55">
        <f t="shared" si="36"/>
        <v>0</v>
      </c>
      <c r="P45" s="55">
        <f t="shared" si="36"/>
        <v>0</v>
      </c>
      <c r="Q45" s="55">
        <f t="shared" si="36"/>
        <v>0</v>
      </c>
      <c r="R45" s="55">
        <f t="shared" si="36"/>
        <v>0</v>
      </c>
      <c r="S45" s="55">
        <f t="shared" si="36"/>
        <v>0</v>
      </c>
      <c r="T45" s="55">
        <f t="shared" si="36"/>
        <v>0</v>
      </c>
      <c r="U45" s="55">
        <f t="shared" si="36"/>
        <v>0</v>
      </c>
      <c r="V45" s="55">
        <f t="shared" si="36"/>
        <v>0</v>
      </c>
      <c r="W45" s="55">
        <f t="shared" si="36"/>
        <v>0</v>
      </c>
      <c r="X45" s="55">
        <f t="shared" si="36"/>
        <v>0</v>
      </c>
      <c r="Y45" s="55">
        <f t="shared" si="36"/>
        <v>0</v>
      </c>
      <c r="Z45" s="55">
        <f t="shared" si="36"/>
        <v>0</v>
      </c>
      <c r="AA45" s="55">
        <f t="shared" si="36"/>
        <v>0</v>
      </c>
      <c r="AB45" s="55">
        <f t="shared" si="36"/>
        <v>0</v>
      </c>
      <c r="AC45" s="55">
        <f t="shared" si="36"/>
        <v>0</v>
      </c>
      <c r="AD45" s="55">
        <f t="shared" si="36"/>
        <v>0</v>
      </c>
      <c r="AE45" s="55">
        <f t="shared" si="36"/>
        <v>0</v>
      </c>
      <c r="AF45" s="55">
        <f t="shared" si="36"/>
        <v>0</v>
      </c>
      <c r="AG45" s="55">
        <f t="shared" si="36"/>
        <v>0</v>
      </c>
      <c r="AH45" s="55">
        <f t="shared" si="36"/>
        <v>0</v>
      </c>
      <c r="AI45" s="55">
        <f t="shared" si="36"/>
        <v>0</v>
      </c>
      <c r="AJ45" s="55">
        <f t="shared" si="36"/>
        <v>0</v>
      </c>
      <c r="AK45" s="55">
        <f t="shared" si="36"/>
        <v>0</v>
      </c>
      <c r="AL45" s="55">
        <f t="shared" si="36"/>
        <v>0</v>
      </c>
      <c r="AM45" s="55">
        <f t="shared" si="36"/>
        <v>0</v>
      </c>
      <c r="AN45" s="55">
        <f t="shared" si="36"/>
        <v>0</v>
      </c>
      <c r="AO45" s="55">
        <f t="shared" si="36"/>
        <v>0</v>
      </c>
      <c r="AP45" s="55">
        <f t="shared" si="36"/>
        <v>0</v>
      </c>
      <c r="AQ45" s="55">
        <f t="shared" si="36"/>
        <v>0</v>
      </c>
      <c r="AR45" s="55">
        <f t="shared" si="36"/>
        <v>0</v>
      </c>
      <c r="AS45" s="55">
        <f t="shared" si="36"/>
        <v>0</v>
      </c>
      <c r="AT45" s="55">
        <f t="shared" si="36"/>
        <v>0</v>
      </c>
      <c r="AU45" s="55">
        <f t="shared" si="36"/>
        <v>0</v>
      </c>
      <c r="AV45" s="55">
        <f t="shared" si="36"/>
        <v>0</v>
      </c>
      <c r="AW45" s="55">
        <f t="shared" si="36"/>
        <v>0</v>
      </c>
      <c r="AX45" s="55">
        <f t="shared" si="36"/>
        <v>0</v>
      </c>
      <c r="AY45" s="55">
        <f t="shared" si="36"/>
        <v>0</v>
      </c>
      <c r="AZ45" s="55">
        <f t="shared" si="36"/>
        <v>0</v>
      </c>
      <c r="BA45" s="55">
        <f t="shared" si="36"/>
        <v>0</v>
      </c>
      <c r="BB45" s="55">
        <f t="shared" si="36"/>
        <v>0</v>
      </c>
      <c r="BC45" s="55">
        <f t="shared" si="36"/>
        <v>0</v>
      </c>
      <c r="BD45" s="55">
        <f t="shared" si="36"/>
        <v>0</v>
      </c>
      <c r="BE45" s="55">
        <f t="shared" si="36"/>
        <v>0</v>
      </c>
      <c r="BF45" s="55">
        <f t="shared" si="36"/>
        <v>0</v>
      </c>
      <c r="BG45" s="55">
        <f t="shared" si="36"/>
        <v>0</v>
      </c>
      <c r="BH45" s="55">
        <f t="shared" si="36"/>
        <v>0</v>
      </c>
      <c r="BI45" s="55">
        <f t="shared" si="36"/>
        <v>0</v>
      </c>
      <c r="BJ45" s="55">
        <f t="shared" si="36"/>
        <v>0</v>
      </c>
      <c r="BK45" s="55">
        <f t="shared" si="36"/>
        <v>0</v>
      </c>
      <c r="BL45" s="55">
        <f t="shared" si="36"/>
        <v>0</v>
      </c>
      <c r="BM45" s="55">
        <f t="shared" si="36"/>
        <v>0</v>
      </c>
      <c r="BN45" s="55">
        <f t="shared" si="36"/>
        <v>0</v>
      </c>
      <c r="BO45" s="55">
        <f t="shared" si="36"/>
        <v>0</v>
      </c>
      <c r="BP45" s="55">
        <f t="shared" ref="BP45:CB45" si="37">IF(BP44&gt;$F9+1,0,1)*(IF(BQ45=0,100,0)+IF($G9=1,1,0.5)*$J9*100)</f>
        <v>0</v>
      </c>
      <c r="BQ45" s="55">
        <f t="shared" si="37"/>
        <v>0</v>
      </c>
      <c r="BR45" s="55">
        <f t="shared" si="37"/>
        <v>0</v>
      </c>
      <c r="BS45" s="55">
        <f t="shared" si="37"/>
        <v>0</v>
      </c>
      <c r="BT45" s="55">
        <f t="shared" si="37"/>
        <v>0</v>
      </c>
      <c r="BU45" s="55">
        <f t="shared" si="37"/>
        <v>0</v>
      </c>
      <c r="BV45" s="55">
        <f t="shared" si="37"/>
        <v>0</v>
      </c>
      <c r="BW45" s="55">
        <f t="shared" si="37"/>
        <v>0</v>
      </c>
      <c r="BX45" s="55">
        <f t="shared" si="37"/>
        <v>0</v>
      </c>
      <c r="BY45" s="55">
        <f t="shared" si="37"/>
        <v>0</v>
      </c>
      <c r="BZ45" s="55">
        <f t="shared" si="37"/>
        <v>0</v>
      </c>
      <c r="CA45" s="55">
        <f t="shared" si="37"/>
        <v>0</v>
      </c>
      <c r="CB45" s="56">
        <f t="shared" si="37"/>
        <v>0</v>
      </c>
    </row>
    <row r="46" spans="1:80">
      <c r="A46" s="258" t="s">
        <v>49</v>
      </c>
      <c r="B46" s="149" t="str">
        <f>IF(E10=0,F10,E10)</f>
        <v>4/8/2020</v>
      </c>
      <c r="C46" s="150">
        <f t="shared" ref="C46:BN46" si="38">B46+IF($G10=1,365,182.5)</f>
        <v>44294</v>
      </c>
      <c r="D46" s="150">
        <f t="shared" si="38"/>
        <v>44659</v>
      </c>
      <c r="E46" s="150">
        <f t="shared" si="38"/>
        <v>45024</v>
      </c>
      <c r="F46" s="150">
        <f t="shared" si="38"/>
        <v>45389</v>
      </c>
      <c r="G46" s="150">
        <f t="shared" si="38"/>
        <v>45754</v>
      </c>
      <c r="H46" s="150">
        <f t="shared" si="38"/>
        <v>46119</v>
      </c>
      <c r="I46" s="150">
        <f t="shared" si="38"/>
        <v>46484</v>
      </c>
      <c r="J46" s="150">
        <f t="shared" si="38"/>
        <v>46849</v>
      </c>
      <c r="K46" s="150">
        <f t="shared" si="38"/>
        <v>47214</v>
      </c>
      <c r="L46" s="150">
        <f t="shared" si="38"/>
        <v>47579</v>
      </c>
      <c r="M46" s="150">
        <f t="shared" si="38"/>
        <v>47944</v>
      </c>
      <c r="N46" s="150">
        <f t="shared" si="38"/>
        <v>48309</v>
      </c>
      <c r="O46" s="150">
        <f t="shared" si="38"/>
        <v>48674</v>
      </c>
      <c r="P46" s="150">
        <f t="shared" si="38"/>
        <v>49039</v>
      </c>
      <c r="Q46" s="150">
        <f t="shared" si="38"/>
        <v>49404</v>
      </c>
      <c r="R46" s="150">
        <f t="shared" si="38"/>
        <v>49769</v>
      </c>
      <c r="S46" s="150">
        <f t="shared" si="38"/>
        <v>50134</v>
      </c>
      <c r="T46" s="150">
        <f t="shared" si="38"/>
        <v>50499</v>
      </c>
      <c r="U46" s="150">
        <f t="shared" si="38"/>
        <v>50864</v>
      </c>
      <c r="V46" s="150">
        <f t="shared" si="38"/>
        <v>51229</v>
      </c>
      <c r="W46" s="150">
        <f t="shared" si="38"/>
        <v>51594</v>
      </c>
      <c r="X46" s="150">
        <f t="shared" si="38"/>
        <v>51959</v>
      </c>
      <c r="Y46" s="150">
        <f t="shared" si="38"/>
        <v>52324</v>
      </c>
      <c r="Z46" s="150">
        <f t="shared" si="38"/>
        <v>52689</v>
      </c>
      <c r="AA46" s="150">
        <f t="shared" si="38"/>
        <v>53054</v>
      </c>
      <c r="AB46" s="150">
        <f t="shared" si="38"/>
        <v>53419</v>
      </c>
      <c r="AC46" s="150">
        <f t="shared" si="38"/>
        <v>53784</v>
      </c>
      <c r="AD46" s="150">
        <f t="shared" si="38"/>
        <v>54149</v>
      </c>
      <c r="AE46" s="150">
        <f t="shared" si="38"/>
        <v>54514</v>
      </c>
      <c r="AF46" s="150">
        <f t="shared" si="38"/>
        <v>54879</v>
      </c>
      <c r="AG46" s="150">
        <f t="shared" si="38"/>
        <v>55244</v>
      </c>
      <c r="AH46" s="150">
        <f t="shared" si="38"/>
        <v>55609</v>
      </c>
      <c r="AI46" s="150">
        <f t="shared" si="38"/>
        <v>55974</v>
      </c>
      <c r="AJ46" s="150">
        <f t="shared" si="38"/>
        <v>56339</v>
      </c>
      <c r="AK46" s="150">
        <f t="shared" si="38"/>
        <v>56704</v>
      </c>
      <c r="AL46" s="150">
        <f t="shared" si="38"/>
        <v>57069</v>
      </c>
      <c r="AM46" s="150">
        <f t="shared" si="38"/>
        <v>57434</v>
      </c>
      <c r="AN46" s="150">
        <f t="shared" si="38"/>
        <v>57799</v>
      </c>
      <c r="AO46" s="150">
        <f t="shared" si="38"/>
        <v>58164</v>
      </c>
      <c r="AP46" s="150">
        <f t="shared" si="38"/>
        <v>58529</v>
      </c>
      <c r="AQ46" s="150">
        <f t="shared" si="38"/>
        <v>58894</v>
      </c>
      <c r="AR46" s="150">
        <f t="shared" si="38"/>
        <v>59259</v>
      </c>
      <c r="AS46" s="150">
        <f t="shared" si="38"/>
        <v>59624</v>
      </c>
      <c r="AT46" s="150">
        <f t="shared" si="38"/>
        <v>59989</v>
      </c>
      <c r="AU46" s="150">
        <f t="shared" si="38"/>
        <v>60354</v>
      </c>
      <c r="AV46" s="150">
        <f t="shared" si="38"/>
        <v>60719</v>
      </c>
      <c r="AW46" s="150">
        <f t="shared" si="38"/>
        <v>61084</v>
      </c>
      <c r="AX46" s="150">
        <f t="shared" si="38"/>
        <v>61449</v>
      </c>
      <c r="AY46" s="150">
        <f t="shared" si="38"/>
        <v>61814</v>
      </c>
      <c r="AZ46" s="150">
        <f t="shared" si="38"/>
        <v>62179</v>
      </c>
      <c r="BA46" s="150">
        <f t="shared" si="38"/>
        <v>62544</v>
      </c>
      <c r="BB46" s="150">
        <f t="shared" si="38"/>
        <v>62909</v>
      </c>
      <c r="BC46" s="150">
        <f t="shared" si="38"/>
        <v>63274</v>
      </c>
      <c r="BD46" s="150">
        <f t="shared" si="38"/>
        <v>63639</v>
      </c>
      <c r="BE46" s="150">
        <f t="shared" si="38"/>
        <v>64004</v>
      </c>
      <c r="BF46" s="150">
        <f t="shared" si="38"/>
        <v>64369</v>
      </c>
      <c r="BG46" s="150">
        <f t="shared" si="38"/>
        <v>64734</v>
      </c>
      <c r="BH46" s="150">
        <f t="shared" si="38"/>
        <v>65099</v>
      </c>
      <c r="BI46" s="150">
        <f t="shared" si="38"/>
        <v>65464</v>
      </c>
      <c r="BJ46" s="150">
        <f t="shared" si="38"/>
        <v>65829</v>
      </c>
      <c r="BK46" s="150">
        <f t="shared" si="38"/>
        <v>66194</v>
      </c>
      <c r="BL46" s="150">
        <f t="shared" si="38"/>
        <v>66559</v>
      </c>
      <c r="BM46" s="150">
        <f t="shared" si="38"/>
        <v>66924</v>
      </c>
      <c r="BN46" s="150">
        <f t="shared" si="38"/>
        <v>67289</v>
      </c>
      <c r="BO46" s="150">
        <f t="shared" ref="BO46:CB46" si="39">BN46+IF($G10=1,365,182.5)</f>
        <v>67654</v>
      </c>
      <c r="BP46" s="150">
        <f t="shared" si="39"/>
        <v>68019</v>
      </c>
      <c r="BQ46" s="150">
        <f t="shared" si="39"/>
        <v>68384</v>
      </c>
      <c r="BR46" s="150">
        <f t="shared" si="39"/>
        <v>68749</v>
      </c>
      <c r="BS46" s="150">
        <f t="shared" si="39"/>
        <v>69114</v>
      </c>
      <c r="BT46" s="150">
        <f t="shared" si="39"/>
        <v>69479</v>
      </c>
      <c r="BU46" s="150">
        <f t="shared" si="39"/>
        <v>69844</v>
      </c>
      <c r="BV46" s="150">
        <f t="shared" si="39"/>
        <v>70209</v>
      </c>
      <c r="BW46" s="150">
        <f t="shared" si="39"/>
        <v>70574</v>
      </c>
      <c r="BX46" s="150">
        <f t="shared" si="39"/>
        <v>70939</v>
      </c>
      <c r="BY46" s="150">
        <f t="shared" si="39"/>
        <v>71304</v>
      </c>
      <c r="BZ46" s="150">
        <f t="shared" si="39"/>
        <v>71669</v>
      </c>
      <c r="CA46" s="150">
        <f t="shared" si="39"/>
        <v>72034</v>
      </c>
      <c r="CB46" s="151">
        <f t="shared" si="39"/>
        <v>72399</v>
      </c>
    </row>
    <row r="47" spans="1:80">
      <c r="A47" s="170" t="s">
        <v>17</v>
      </c>
      <c r="B47" s="152">
        <f>(IF(B46=F10,100,0)+IF(G10=1,1,0.5)*J10*100)*IF(ISBLANK(F10)=TRUE,0,1)</f>
        <v>4</v>
      </c>
      <c r="C47" s="153">
        <f>IF(C46&gt;$F10+1,0,1)*(IF(D47=0,100,0)+IF($G10=1,1,0.5)*$J10*100)</f>
        <v>4</v>
      </c>
      <c r="D47" s="153">
        <f t="shared" ref="D47:BO47" si="40">IF(D46&gt;$F10+1,0,1)*(IF(E47=0,100,0)+IF($G10=1,1,0.5)*$J10*100)</f>
        <v>4</v>
      </c>
      <c r="E47" s="153">
        <f t="shared" si="40"/>
        <v>4</v>
      </c>
      <c r="F47" s="153">
        <f t="shared" si="40"/>
        <v>4</v>
      </c>
      <c r="G47" s="153">
        <f t="shared" si="40"/>
        <v>4</v>
      </c>
      <c r="H47" s="153">
        <f t="shared" si="40"/>
        <v>4</v>
      </c>
      <c r="I47" s="153">
        <f t="shared" si="40"/>
        <v>4</v>
      </c>
      <c r="J47" s="153">
        <f t="shared" si="40"/>
        <v>104</v>
      </c>
      <c r="K47" s="153">
        <f t="shared" si="40"/>
        <v>0</v>
      </c>
      <c r="L47" s="153">
        <f t="shared" si="40"/>
        <v>0</v>
      </c>
      <c r="M47" s="153">
        <f t="shared" si="40"/>
        <v>0</v>
      </c>
      <c r="N47" s="153">
        <f t="shared" si="40"/>
        <v>0</v>
      </c>
      <c r="O47" s="153">
        <f t="shared" si="40"/>
        <v>0</v>
      </c>
      <c r="P47" s="153">
        <f t="shared" si="40"/>
        <v>0</v>
      </c>
      <c r="Q47" s="153">
        <f t="shared" si="40"/>
        <v>0</v>
      </c>
      <c r="R47" s="153">
        <f t="shared" si="40"/>
        <v>0</v>
      </c>
      <c r="S47" s="153">
        <f t="shared" si="40"/>
        <v>0</v>
      </c>
      <c r="T47" s="153">
        <f t="shared" si="40"/>
        <v>0</v>
      </c>
      <c r="U47" s="153">
        <f t="shared" si="40"/>
        <v>0</v>
      </c>
      <c r="V47" s="153">
        <f t="shared" si="40"/>
        <v>0</v>
      </c>
      <c r="W47" s="153">
        <f t="shared" si="40"/>
        <v>0</v>
      </c>
      <c r="X47" s="153">
        <f t="shared" si="40"/>
        <v>0</v>
      </c>
      <c r="Y47" s="153">
        <f t="shared" si="40"/>
        <v>0</v>
      </c>
      <c r="Z47" s="153">
        <f t="shared" si="40"/>
        <v>0</v>
      </c>
      <c r="AA47" s="153">
        <f t="shared" si="40"/>
        <v>0</v>
      </c>
      <c r="AB47" s="153">
        <f t="shared" si="40"/>
        <v>0</v>
      </c>
      <c r="AC47" s="153">
        <f t="shared" si="40"/>
        <v>0</v>
      </c>
      <c r="AD47" s="153">
        <f t="shared" si="40"/>
        <v>0</v>
      </c>
      <c r="AE47" s="153">
        <f t="shared" si="40"/>
        <v>0</v>
      </c>
      <c r="AF47" s="153">
        <f t="shared" si="40"/>
        <v>0</v>
      </c>
      <c r="AG47" s="153">
        <f t="shared" si="40"/>
        <v>0</v>
      </c>
      <c r="AH47" s="153">
        <f t="shared" si="40"/>
        <v>0</v>
      </c>
      <c r="AI47" s="153">
        <f t="shared" si="40"/>
        <v>0</v>
      </c>
      <c r="AJ47" s="153">
        <f t="shared" si="40"/>
        <v>0</v>
      </c>
      <c r="AK47" s="153">
        <f t="shared" si="40"/>
        <v>0</v>
      </c>
      <c r="AL47" s="153">
        <f t="shared" si="40"/>
        <v>0</v>
      </c>
      <c r="AM47" s="153">
        <f t="shared" si="40"/>
        <v>0</v>
      </c>
      <c r="AN47" s="153">
        <f t="shared" si="40"/>
        <v>0</v>
      </c>
      <c r="AO47" s="153">
        <f t="shared" si="40"/>
        <v>0</v>
      </c>
      <c r="AP47" s="153">
        <f t="shared" si="40"/>
        <v>0</v>
      </c>
      <c r="AQ47" s="153">
        <f t="shared" si="40"/>
        <v>0</v>
      </c>
      <c r="AR47" s="153">
        <f t="shared" si="40"/>
        <v>0</v>
      </c>
      <c r="AS47" s="153">
        <f t="shared" si="40"/>
        <v>0</v>
      </c>
      <c r="AT47" s="153">
        <f t="shared" si="40"/>
        <v>0</v>
      </c>
      <c r="AU47" s="153">
        <f t="shared" si="40"/>
        <v>0</v>
      </c>
      <c r="AV47" s="153">
        <f t="shared" si="40"/>
        <v>0</v>
      </c>
      <c r="AW47" s="153">
        <f t="shared" si="40"/>
        <v>0</v>
      </c>
      <c r="AX47" s="153">
        <f t="shared" si="40"/>
        <v>0</v>
      </c>
      <c r="AY47" s="153">
        <f t="shared" si="40"/>
        <v>0</v>
      </c>
      <c r="AZ47" s="153">
        <f t="shared" si="40"/>
        <v>0</v>
      </c>
      <c r="BA47" s="153">
        <f t="shared" si="40"/>
        <v>0</v>
      </c>
      <c r="BB47" s="153">
        <f t="shared" si="40"/>
        <v>0</v>
      </c>
      <c r="BC47" s="153">
        <f t="shared" si="40"/>
        <v>0</v>
      </c>
      <c r="BD47" s="153">
        <f t="shared" si="40"/>
        <v>0</v>
      </c>
      <c r="BE47" s="153">
        <f t="shared" si="40"/>
        <v>0</v>
      </c>
      <c r="BF47" s="153">
        <f t="shared" si="40"/>
        <v>0</v>
      </c>
      <c r="BG47" s="153">
        <f t="shared" si="40"/>
        <v>0</v>
      </c>
      <c r="BH47" s="153">
        <f t="shared" si="40"/>
        <v>0</v>
      </c>
      <c r="BI47" s="153">
        <f t="shared" si="40"/>
        <v>0</v>
      </c>
      <c r="BJ47" s="153">
        <f t="shared" si="40"/>
        <v>0</v>
      </c>
      <c r="BK47" s="153">
        <f t="shared" si="40"/>
        <v>0</v>
      </c>
      <c r="BL47" s="153">
        <f t="shared" si="40"/>
        <v>0</v>
      </c>
      <c r="BM47" s="153">
        <f t="shared" si="40"/>
        <v>0</v>
      </c>
      <c r="BN47" s="153">
        <f t="shared" si="40"/>
        <v>0</v>
      </c>
      <c r="BO47" s="153">
        <f t="shared" si="40"/>
        <v>0</v>
      </c>
      <c r="BP47" s="153">
        <f t="shared" ref="BP47:CB47" si="41">IF(BP46&gt;$F10+1,0,1)*(IF(BQ47=0,100,0)+IF($G10=1,1,0.5)*$J10*100)</f>
        <v>0</v>
      </c>
      <c r="BQ47" s="153">
        <f t="shared" si="41"/>
        <v>0</v>
      </c>
      <c r="BR47" s="153">
        <f t="shared" si="41"/>
        <v>0</v>
      </c>
      <c r="BS47" s="153">
        <f t="shared" si="41"/>
        <v>0</v>
      </c>
      <c r="BT47" s="153">
        <f t="shared" si="41"/>
        <v>0</v>
      </c>
      <c r="BU47" s="153">
        <f t="shared" si="41"/>
        <v>0</v>
      </c>
      <c r="BV47" s="153">
        <f t="shared" si="41"/>
        <v>0</v>
      </c>
      <c r="BW47" s="153">
        <f t="shared" si="41"/>
        <v>0</v>
      </c>
      <c r="BX47" s="153">
        <f t="shared" si="41"/>
        <v>0</v>
      </c>
      <c r="BY47" s="153">
        <f t="shared" si="41"/>
        <v>0</v>
      </c>
      <c r="BZ47" s="153">
        <f t="shared" si="41"/>
        <v>0</v>
      </c>
      <c r="CA47" s="153">
        <f t="shared" si="41"/>
        <v>0</v>
      </c>
      <c r="CB47" s="155">
        <f t="shared" si="41"/>
        <v>0</v>
      </c>
    </row>
    <row r="48" spans="1:80">
      <c r="A48" s="257" t="s">
        <v>49</v>
      </c>
      <c r="B48" s="57" t="str">
        <f>IF(E11=0,F11,E11)</f>
        <v>6/22/2020</v>
      </c>
      <c r="C48" s="58">
        <f t="shared" ref="C48:BN48" si="42">B48+IF($G11=1,365,182.5)</f>
        <v>44369</v>
      </c>
      <c r="D48" s="58">
        <f t="shared" si="42"/>
        <v>44734</v>
      </c>
      <c r="E48" s="58">
        <f t="shared" si="42"/>
        <v>45099</v>
      </c>
      <c r="F48" s="58">
        <f t="shared" si="42"/>
        <v>45464</v>
      </c>
      <c r="G48" s="58">
        <f t="shared" si="42"/>
        <v>45829</v>
      </c>
      <c r="H48" s="58">
        <f t="shared" si="42"/>
        <v>46194</v>
      </c>
      <c r="I48" s="58">
        <f t="shared" si="42"/>
        <v>46559</v>
      </c>
      <c r="J48" s="58">
        <f t="shared" si="42"/>
        <v>46924</v>
      </c>
      <c r="K48" s="58">
        <f t="shared" si="42"/>
        <v>47289</v>
      </c>
      <c r="L48" s="58">
        <f t="shared" si="42"/>
        <v>47654</v>
      </c>
      <c r="M48" s="58">
        <f t="shared" si="42"/>
        <v>48019</v>
      </c>
      <c r="N48" s="58">
        <f t="shared" si="42"/>
        <v>48384</v>
      </c>
      <c r="O48" s="58">
        <f t="shared" si="42"/>
        <v>48749</v>
      </c>
      <c r="P48" s="58">
        <f t="shared" si="42"/>
        <v>49114</v>
      </c>
      <c r="Q48" s="58">
        <f t="shared" si="42"/>
        <v>49479</v>
      </c>
      <c r="R48" s="58">
        <f t="shared" si="42"/>
        <v>49844</v>
      </c>
      <c r="S48" s="58">
        <f t="shared" si="42"/>
        <v>50209</v>
      </c>
      <c r="T48" s="58">
        <f t="shared" si="42"/>
        <v>50574</v>
      </c>
      <c r="U48" s="58">
        <f t="shared" si="42"/>
        <v>50939</v>
      </c>
      <c r="V48" s="58">
        <f t="shared" si="42"/>
        <v>51304</v>
      </c>
      <c r="W48" s="58">
        <f t="shared" si="42"/>
        <v>51669</v>
      </c>
      <c r="X48" s="58">
        <f t="shared" si="42"/>
        <v>52034</v>
      </c>
      <c r="Y48" s="58">
        <f t="shared" si="42"/>
        <v>52399</v>
      </c>
      <c r="Z48" s="58">
        <f t="shared" si="42"/>
        <v>52764</v>
      </c>
      <c r="AA48" s="58">
        <f t="shared" si="42"/>
        <v>53129</v>
      </c>
      <c r="AB48" s="58">
        <f t="shared" si="42"/>
        <v>53494</v>
      </c>
      <c r="AC48" s="58">
        <f t="shared" si="42"/>
        <v>53859</v>
      </c>
      <c r="AD48" s="58">
        <f t="shared" si="42"/>
        <v>54224</v>
      </c>
      <c r="AE48" s="58">
        <f t="shared" si="42"/>
        <v>54589</v>
      </c>
      <c r="AF48" s="58">
        <f t="shared" si="42"/>
        <v>54954</v>
      </c>
      <c r="AG48" s="58">
        <f t="shared" si="42"/>
        <v>55319</v>
      </c>
      <c r="AH48" s="58">
        <f t="shared" si="42"/>
        <v>55684</v>
      </c>
      <c r="AI48" s="58">
        <f t="shared" si="42"/>
        <v>56049</v>
      </c>
      <c r="AJ48" s="58">
        <f t="shared" si="42"/>
        <v>56414</v>
      </c>
      <c r="AK48" s="58">
        <f t="shared" si="42"/>
        <v>56779</v>
      </c>
      <c r="AL48" s="58">
        <f t="shared" si="42"/>
        <v>57144</v>
      </c>
      <c r="AM48" s="58">
        <f t="shared" si="42"/>
        <v>57509</v>
      </c>
      <c r="AN48" s="58">
        <f t="shared" si="42"/>
        <v>57874</v>
      </c>
      <c r="AO48" s="58">
        <f t="shared" si="42"/>
        <v>58239</v>
      </c>
      <c r="AP48" s="58">
        <f t="shared" si="42"/>
        <v>58604</v>
      </c>
      <c r="AQ48" s="58">
        <f t="shared" si="42"/>
        <v>58969</v>
      </c>
      <c r="AR48" s="58">
        <f t="shared" si="42"/>
        <v>59334</v>
      </c>
      <c r="AS48" s="58">
        <f t="shared" si="42"/>
        <v>59699</v>
      </c>
      <c r="AT48" s="58">
        <f t="shared" si="42"/>
        <v>60064</v>
      </c>
      <c r="AU48" s="58">
        <f t="shared" si="42"/>
        <v>60429</v>
      </c>
      <c r="AV48" s="58">
        <f t="shared" si="42"/>
        <v>60794</v>
      </c>
      <c r="AW48" s="58">
        <f t="shared" si="42"/>
        <v>61159</v>
      </c>
      <c r="AX48" s="58">
        <f t="shared" si="42"/>
        <v>61524</v>
      </c>
      <c r="AY48" s="58">
        <f t="shared" si="42"/>
        <v>61889</v>
      </c>
      <c r="AZ48" s="58">
        <f t="shared" si="42"/>
        <v>62254</v>
      </c>
      <c r="BA48" s="58">
        <f t="shared" si="42"/>
        <v>62619</v>
      </c>
      <c r="BB48" s="58">
        <f t="shared" si="42"/>
        <v>62984</v>
      </c>
      <c r="BC48" s="58">
        <f t="shared" si="42"/>
        <v>63349</v>
      </c>
      <c r="BD48" s="58">
        <f t="shared" si="42"/>
        <v>63714</v>
      </c>
      <c r="BE48" s="58">
        <f t="shared" si="42"/>
        <v>64079</v>
      </c>
      <c r="BF48" s="58">
        <f t="shared" si="42"/>
        <v>64444</v>
      </c>
      <c r="BG48" s="58">
        <f t="shared" si="42"/>
        <v>64809</v>
      </c>
      <c r="BH48" s="58">
        <f t="shared" si="42"/>
        <v>65174</v>
      </c>
      <c r="BI48" s="58">
        <f t="shared" si="42"/>
        <v>65539</v>
      </c>
      <c r="BJ48" s="58">
        <f t="shared" si="42"/>
        <v>65904</v>
      </c>
      <c r="BK48" s="58">
        <f t="shared" si="42"/>
        <v>66269</v>
      </c>
      <c r="BL48" s="58">
        <f t="shared" si="42"/>
        <v>66634</v>
      </c>
      <c r="BM48" s="58">
        <f t="shared" si="42"/>
        <v>66999</v>
      </c>
      <c r="BN48" s="58">
        <f t="shared" si="42"/>
        <v>67364</v>
      </c>
      <c r="BO48" s="58">
        <f t="shared" ref="BO48:CB48" si="43">BN48+IF($G11=1,365,182.5)</f>
        <v>67729</v>
      </c>
      <c r="BP48" s="58">
        <f t="shared" si="43"/>
        <v>68094</v>
      </c>
      <c r="BQ48" s="58">
        <f t="shared" si="43"/>
        <v>68459</v>
      </c>
      <c r="BR48" s="58">
        <f t="shared" si="43"/>
        <v>68824</v>
      </c>
      <c r="BS48" s="58">
        <f t="shared" si="43"/>
        <v>69189</v>
      </c>
      <c r="BT48" s="58">
        <f t="shared" si="43"/>
        <v>69554</v>
      </c>
      <c r="BU48" s="58">
        <f t="shared" si="43"/>
        <v>69919</v>
      </c>
      <c r="BV48" s="58">
        <f t="shared" si="43"/>
        <v>70284</v>
      </c>
      <c r="BW48" s="58">
        <f t="shared" si="43"/>
        <v>70649</v>
      </c>
      <c r="BX48" s="58">
        <f t="shared" si="43"/>
        <v>71014</v>
      </c>
      <c r="BY48" s="58">
        <f t="shared" si="43"/>
        <v>71379</v>
      </c>
      <c r="BZ48" s="58">
        <f t="shared" si="43"/>
        <v>71744</v>
      </c>
      <c r="CA48" s="58">
        <f t="shared" si="43"/>
        <v>72109</v>
      </c>
      <c r="CB48" s="59">
        <f t="shared" si="43"/>
        <v>72474</v>
      </c>
    </row>
    <row r="49" spans="1:80">
      <c r="A49" s="171" t="s">
        <v>28</v>
      </c>
      <c r="B49" s="112">
        <f>(IF(B48=F11,100,0)+IF(G11=1,1,0.5)*J11*100)*IF(ISBLANK(F11)=TRUE,0,1)</f>
        <v>0</v>
      </c>
      <c r="C49" s="60">
        <f>IF(C48&gt;$F11+1,0,1)*(IF(D49=0,100,0)+IF($G11=1,1,0.5)*$J11*100)</f>
        <v>100</v>
      </c>
      <c r="D49" s="60">
        <f t="shared" ref="D49:BO49" si="44">IF(D48&gt;$F11+1,0,1)*(IF(E49=0,100,0)+IF($G11=1,1,0.5)*$J11*100)</f>
        <v>0</v>
      </c>
      <c r="E49" s="60">
        <f t="shared" si="44"/>
        <v>100</v>
      </c>
      <c r="F49" s="60">
        <f t="shared" si="44"/>
        <v>0</v>
      </c>
      <c r="G49" s="60">
        <f t="shared" si="44"/>
        <v>100</v>
      </c>
      <c r="H49" s="60">
        <f t="shared" si="44"/>
        <v>0</v>
      </c>
      <c r="I49" s="60">
        <f t="shared" si="44"/>
        <v>100</v>
      </c>
      <c r="J49" s="60">
        <f t="shared" si="44"/>
        <v>0</v>
      </c>
      <c r="K49" s="60">
        <f t="shared" si="44"/>
        <v>100</v>
      </c>
      <c r="L49" s="60">
        <f t="shared" si="44"/>
        <v>0</v>
      </c>
      <c r="M49" s="60">
        <f t="shared" si="44"/>
        <v>0</v>
      </c>
      <c r="N49" s="60">
        <f t="shared" si="44"/>
        <v>0</v>
      </c>
      <c r="O49" s="60">
        <f t="shared" si="44"/>
        <v>0</v>
      </c>
      <c r="P49" s="60">
        <f t="shared" si="44"/>
        <v>0</v>
      </c>
      <c r="Q49" s="60">
        <f t="shared" si="44"/>
        <v>0</v>
      </c>
      <c r="R49" s="60">
        <f t="shared" si="44"/>
        <v>0</v>
      </c>
      <c r="S49" s="60">
        <f t="shared" si="44"/>
        <v>0</v>
      </c>
      <c r="T49" s="60">
        <f t="shared" si="44"/>
        <v>0</v>
      </c>
      <c r="U49" s="60">
        <f t="shared" si="44"/>
        <v>0</v>
      </c>
      <c r="V49" s="60">
        <f t="shared" si="44"/>
        <v>0</v>
      </c>
      <c r="W49" s="60">
        <f t="shared" si="44"/>
        <v>0</v>
      </c>
      <c r="X49" s="60">
        <f t="shared" si="44"/>
        <v>0</v>
      </c>
      <c r="Y49" s="60">
        <f t="shared" si="44"/>
        <v>0</v>
      </c>
      <c r="Z49" s="60">
        <f t="shared" si="44"/>
        <v>0</v>
      </c>
      <c r="AA49" s="60">
        <f t="shared" si="44"/>
        <v>0</v>
      </c>
      <c r="AB49" s="60">
        <f t="shared" si="44"/>
        <v>0</v>
      </c>
      <c r="AC49" s="60">
        <f t="shared" si="44"/>
        <v>0</v>
      </c>
      <c r="AD49" s="60">
        <f t="shared" si="44"/>
        <v>0</v>
      </c>
      <c r="AE49" s="60">
        <f t="shared" si="44"/>
        <v>0</v>
      </c>
      <c r="AF49" s="60">
        <f t="shared" si="44"/>
        <v>0</v>
      </c>
      <c r="AG49" s="60">
        <f t="shared" si="44"/>
        <v>0</v>
      </c>
      <c r="AH49" s="60">
        <f t="shared" si="44"/>
        <v>0</v>
      </c>
      <c r="AI49" s="60">
        <f t="shared" si="44"/>
        <v>0</v>
      </c>
      <c r="AJ49" s="60">
        <f t="shared" si="44"/>
        <v>0</v>
      </c>
      <c r="AK49" s="60">
        <f t="shared" si="44"/>
        <v>0</v>
      </c>
      <c r="AL49" s="60">
        <f t="shared" si="44"/>
        <v>0</v>
      </c>
      <c r="AM49" s="60">
        <f t="shared" si="44"/>
        <v>0</v>
      </c>
      <c r="AN49" s="60">
        <f t="shared" si="44"/>
        <v>0</v>
      </c>
      <c r="AO49" s="60">
        <f t="shared" si="44"/>
        <v>0</v>
      </c>
      <c r="AP49" s="60">
        <f t="shared" si="44"/>
        <v>0</v>
      </c>
      <c r="AQ49" s="60">
        <f t="shared" si="44"/>
        <v>0</v>
      </c>
      <c r="AR49" s="60">
        <f t="shared" si="44"/>
        <v>0</v>
      </c>
      <c r="AS49" s="60">
        <f t="shared" si="44"/>
        <v>0</v>
      </c>
      <c r="AT49" s="60">
        <f t="shared" si="44"/>
        <v>0</v>
      </c>
      <c r="AU49" s="60">
        <f t="shared" si="44"/>
        <v>0</v>
      </c>
      <c r="AV49" s="60">
        <f t="shared" si="44"/>
        <v>0</v>
      </c>
      <c r="AW49" s="60">
        <f t="shared" si="44"/>
        <v>0</v>
      </c>
      <c r="AX49" s="60">
        <f t="shared" si="44"/>
        <v>0</v>
      </c>
      <c r="AY49" s="60">
        <f t="shared" si="44"/>
        <v>0</v>
      </c>
      <c r="AZ49" s="60">
        <f t="shared" si="44"/>
        <v>0</v>
      </c>
      <c r="BA49" s="60">
        <f t="shared" si="44"/>
        <v>0</v>
      </c>
      <c r="BB49" s="60">
        <f t="shared" si="44"/>
        <v>0</v>
      </c>
      <c r="BC49" s="60">
        <f t="shared" si="44"/>
        <v>0</v>
      </c>
      <c r="BD49" s="60">
        <f t="shared" si="44"/>
        <v>0</v>
      </c>
      <c r="BE49" s="60">
        <f t="shared" si="44"/>
        <v>0</v>
      </c>
      <c r="BF49" s="60">
        <f t="shared" si="44"/>
        <v>0</v>
      </c>
      <c r="BG49" s="60">
        <f t="shared" si="44"/>
        <v>0</v>
      </c>
      <c r="BH49" s="60">
        <f t="shared" si="44"/>
        <v>0</v>
      </c>
      <c r="BI49" s="60">
        <f t="shared" si="44"/>
        <v>0</v>
      </c>
      <c r="BJ49" s="60">
        <f t="shared" si="44"/>
        <v>0</v>
      </c>
      <c r="BK49" s="60">
        <f t="shared" si="44"/>
        <v>0</v>
      </c>
      <c r="BL49" s="60">
        <f t="shared" si="44"/>
        <v>0</v>
      </c>
      <c r="BM49" s="60">
        <f t="shared" si="44"/>
        <v>0</v>
      </c>
      <c r="BN49" s="60">
        <f t="shared" si="44"/>
        <v>0</v>
      </c>
      <c r="BO49" s="60">
        <f t="shared" si="44"/>
        <v>0</v>
      </c>
      <c r="BP49" s="60">
        <f t="shared" ref="BP49:CB49" si="45">IF(BP48&gt;$F11+1,0,1)*(IF(BQ49=0,100,0)+IF($G11=1,1,0.5)*$J11*100)</f>
        <v>0</v>
      </c>
      <c r="BQ49" s="60">
        <f t="shared" si="45"/>
        <v>0</v>
      </c>
      <c r="BR49" s="60">
        <f t="shared" si="45"/>
        <v>0</v>
      </c>
      <c r="BS49" s="60">
        <f t="shared" si="45"/>
        <v>0</v>
      </c>
      <c r="BT49" s="60">
        <f t="shared" si="45"/>
        <v>0</v>
      </c>
      <c r="BU49" s="60">
        <f t="shared" si="45"/>
        <v>0</v>
      </c>
      <c r="BV49" s="60">
        <f t="shared" si="45"/>
        <v>0</v>
      </c>
      <c r="BW49" s="60">
        <f t="shared" si="45"/>
        <v>0</v>
      </c>
      <c r="BX49" s="60">
        <f t="shared" si="45"/>
        <v>0</v>
      </c>
      <c r="BY49" s="60">
        <f t="shared" si="45"/>
        <v>0</v>
      </c>
      <c r="BZ49" s="60">
        <f t="shared" si="45"/>
        <v>0</v>
      </c>
      <c r="CA49" s="60">
        <f t="shared" si="45"/>
        <v>0</v>
      </c>
      <c r="CB49" s="61">
        <f t="shared" si="45"/>
        <v>0</v>
      </c>
    </row>
    <row r="50" spans="1:80">
      <c r="A50" s="256" t="s">
        <v>49</v>
      </c>
      <c r="B50" s="62" t="str">
        <f>IF(E12=0,F12,E12)</f>
        <v>4/8/2020</v>
      </c>
      <c r="C50" s="63">
        <f>B50+IF($G12=1,365,182.5)</f>
        <v>44294</v>
      </c>
      <c r="D50" s="63">
        <f t="shared" ref="D50:BO50" si="46">C50+IF($G12=1,365,182.5)</f>
        <v>44659</v>
      </c>
      <c r="E50" s="63">
        <f t="shared" si="46"/>
        <v>45024</v>
      </c>
      <c r="F50" s="63">
        <f t="shared" si="46"/>
        <v>45389</v>
      </c>
      <c r="G50" s="63">
        <f t="shared" si="46"/>
        <v>45754</v>
      </c>
      <c r="H50" s="63">
        <f t="shared" si="46"/>
        <v>46119</v>
      </c>
      <c r="I50" s="63">
        <f t="shared" si="46"/>
        <v>46484</v>
      </c>
      <c r="J50" s="63">
        <f t="shared" si="46"/>
        <v>46849</v>
      </c>
      <c r="K50" s="63">
        <f t="shared" si="46"/>
        <v>47214</v>
      </c>
      <c r="L50" s="63">
        <f t="shared" si="46"/>
        <v>47579</v>
      </c>
      <c r="M50" s="63">
        <f t="shared" si="46"/>
        <v>47944</v>
      </c>
      <c r="N50" s="63">
        <f t="shared" si="46"/>
        <v>48309</v>
      </c>
      <c r="O50" s="63">
        <f t="shared" si="46"/>
        <v>48674</v>
      </c>
      <c r="P50" s="63">
        <f t="shared" si="46"/>
        <v>49039</v>
      </c>
      <c r="Q50" s="63">
        <f t="shared" si="46"/>
        <v>49404</v>
      </c>
      <c r="R50" s="63">
        <f t="shared" si="46"/>
        <v>49769</v>
      </c>
      <c r="S50" s="63">
        <f t="shared" si="46"/>
        <v>50134</v>
      </c>
      <c r="T50" s="63">
        <f t="shared" si="46"/>
        <v>50499</v>
      </c>
      <c r="U50" s="63">
        <f t="shared" si="46"/>
        <v>50864</v>
      </c>
      <c r="V50" s="63">
        <f t="shared" si="46"/>
        <v>51229</v>
      </c>
      <c r="W50" s="63">
        <f t="shared" si="46"/>
        <v>51594</v>
      </c>
      <c r="X50" s="63">
        <f t="shared" si="46"/>
        <v>51959</v>
      </c>
      <c r="Y50" s="63">
        <f t="shared" si="46"/>
        <v>52324</v>
      </c>
      <c r="Z50" s="63">
        <f t="shared" si="46"/>
        <v>52689</v>
      </c>
      <c r="AA50" s="63">
        <f t="shared" si="46"/>
        <v>53054</v>
      </c>
      <c r="AB50" s="63">
        <f t="shared" si="46"/>
        <v>53419</v>
      </c>
      <c r="AC50" s="63">
        <f t="shared" si="46"/>
        <v>53784</v>
      </c>
      <c r="AD50" s="63">
        <f t="shared" si="46"/>
        <v>54149</v>
      </c>
      <c r="AE50" s="63">
        <f t="shared" si="46"/>
        <v>54514</v>
      </c>
      <c r="AF50" s="63">
        <f t="shared" si="46"/>
        <v>54879</v>
      </c>
      <c r="AG50" s="63">
        <f t="shared" si="46"/>
        <v>55244</v>
      </c>
      <c r="AH50" s="63">
        <f t="shared" si="46"/>
        <v>55609</v>
      </c>
      <c r="AI50" s="63">
        <f t="shared" si="46"/>
        <v>55974</v>
      </c>
      <c r="AJ50" s="63">
        <f t="shared" si="46"/>
        <v>56339</v>
      </c>
      <c r="AK50" s="63">
        <f t="shared" si="46"/>
        <v>56704</v>
      </c>
      <c r="AL50" s="63">
        <f t="shared" si="46"/>
        <v>57069</v>
      </c>
      <c r="AM50" s="63">
        <f t="shared" si="46"/>
        <v>57434</v>
      </c>
      <c r="AN50" s="63">
        <f t="shared" si="46"/>
        <v>57799</v>
      </c>
      <c r="AO50" s="63">
        <f t="shared" si="46"/>
        <v>58164</v>
      </c>
      <c r="AP50" s="63">
        <f t="shared" si="46"/>
        <v>58529</v>
      </c>
      <c r="AQ50" s="63">
        <f t="shared" si="46"/>
        <v>58894</v>
      </c>
      <c r="AR50" s="63">
        <f t="shared" si="46"/>
        <v>59259</v>
      </c>
      <c r="AS50" s="63">
        <f t="shared" si="46"/>
        <v>59624</v>
      </c>
      <c r="AT50" s="63">
        <f t="shared" si="46"/>
        <v>59989</v>
      </c>
      <c r="AU50" s="63">
        <f t="shared" si="46"/>
        <v>60354</v>
      </c>
      <c r="AV50" s="63">
        <f t="shared" si="46"/>
        <v>60719</v>
      </c>
      <c r="AW50" s="63">
        <f t="shared" si="46"/>
        <v>61084</v>
      </c>
      <c r="AX50" s="63">
        <f t="shared" si="46"/>
        <v>61449</v>
      </c>
      <c r="AY50" s="63">
        <f t="shared" si="46"/>
        <v>61814</v>
      </c>
      <c r="AZ50" s="63">
        <f t="shared" si="46"/>
        <v>62179</v>
      </c>
      <c r="BA50" s="63">
        <f t="shared" si="46"/>
        <v>62544</v>
      </c>
      <c r="BB50" s="63">
        <f t="shared" si="46"/>
        <v>62909</v>
      </c>
      <c r="BC50" s="63">
        <f t="shared" si="46"/>
        <v>63274</v>
      </c>
      <c r="BD50" s="63">
        <f t="shared" si="46"/>
        <v>63639</v>
      </c>
      <c r="BE50" s="63">
        <f t="shared" si="46"/>
        <v>64004</v>
      </c>
      <c r="BF50" s="63">
        <f t="shared" si="46"/>
        <v>64369</v>
      </c>
      <c r="BG50" s="63">
        <f t="shared" si="46"/>
        <v>64734</v>
      </c>
      <c r="BH50" s="63">
        <f t="shared" si="46"/>
        <v>65099</v>
      </c>
      <c r="BI50" s="63">
        <f t="shared" si="46"/>
        <v>65464</v>
      </c>
      <c r="BJ50" s="63">
        <f t="shared" si="46"/>
        <v>65829</v>
      </c>
      <c r="BK50" s="63">
        <f t="shared" si="46"/>
        <v>66194</v>
      </c>
      <c r="BL50" s="63">
        <f t="shared" si="46"/>
        <v>66559</v>
      </c>
      <c r="BM50" s="63">
        <f t="shared" si="46"/>
        <v>66924</v>
      </c>
      <c r="BN50" s="63">
        <f t="shared" si="46"/>
        <v>67289</v>
      </c>
      <c r="BO50" s="63">
        <f t="shared" si="46"/>
        <v>67654</v>
      </c>
      <c r="BP50" s="63">
        <f t="shared" ref="BP50:CB50" si="47">BO50+IF($G12=1,365,182.5)</f>
        <v>68019</v>
      </c>
      <c r="BQ50" s="63">
        <f t="shared" si="47"/>
        <v>68384</v>
      </c>
      <c r="BR50" s="63">
        <f t="shared" si="47"/>
        <v>68749</v>
      </c>
      <c r="BS50" s="63">
        <f t="shared" si="47"/>
        <v>69114</v>
      </c>
      <c r="BT50" s="63">
        <f t="shared" si="47"/>
        <v>69479</v>
      </c>
      <c r="BU50" s="63">
        <f t="shared" si="47"/>
        <v>69844</v>
      </c>
      <c r="BV50" s="63">
        <f t="shared" si="47"/>
        <v>70209</v>
      </c>
      <c r="BW50" s="63">
        <f t="shared" si="47"/>
        <v>70574</v>
      </c>
      <c r="BX50" s="63">
        <f t="shared" si="47"/>
        <v>70939</v>
      </c>
      <c r="BY50" s="63">
        <f t="shared" si="47"/>
        <v>71304</v>
      </c>
      <c r="BZ50" s="63">
        <f t="shared" si="47"/>
        <v>71669</v>
      </c>
      <c r="CA50" s="63">
        <f t="shared" si="47"/>
        <v>72034</v>
      </c>
      <c r="CB50" s="64">
        <f t="shared" si="47"/>
        <v>72399</v>
      </c>
    </row>
    <row r="51" spans="1:80">
      <c r="A51" s="172" t="s">
        <v>29</v>
      </c>
      <c r="B51" s="135">
        <f>(IF(B50=F12,100,0)+IF(G12=1,1,0.5)*J12*100)*IF(ISBLANK(F12)=TRUE,0,1)</f>
        <v>3.5000000000000004</v>
      </c>
      <c r="C51" s="136">
        <f>IF(C50&gt;$F12+1,0,1)*(IF(D51=0,100,0)+IF($G12=1,1,0.5)*$J12*100)</f>
        <v>3.5000000000000004</v>
      </c>
      <c r="D51" s="136">
        <f t="shared" ref="D51:BO51" si="48">IF(D50&gt;$F12+1,0,1)*(IF(E51=0,100,0)+IF($G12=1,1,0.5)*$J12*100)</f>
        <v>3.5000000000000004</v>
      </c>
      <c r="E51" s="136">
        <f t="shared" si="48"/>
        <v>3.5000000000000004</v>
      </c>
      <c r="F51" s="136">
        <f t="shared" si="48"/>
        <v>3.5000000000000004</v>
      </c>
      <c r="G51" s="136">
        <f t="shared" si="48"/>
        <v>3.5000000000000004</v>
      </c>
      <c r="H51" s="136">
        <f t="shared" si="48"/>
        <v>3.5000000000000004</v>
      </c>
      <c r="I51" s="136">
        <f t="shared" si="48"/>
        <v>3.5000000000000004</v>
      </c>
      <c r="J51" s="136">
        <f t="shared" si="48"/>
        <v>3.5000000000000004</v>
      </c>
      <c r="K51" s="136">
        <f t="shared" si="48"/>
        <v>3.5000000000000004</v>
      </c>
      <c r="L51" s="136">
        <f t="shared" si="48"/>
        <v>3.5000000000000004</v>
      </c>
      <c r="M51" s="136">
        <f t="shared" si="48"/>
        <v>3.5000000000000004</v>
      </c>
      <c r="N51" s="136">
        <f t="shared" si="48"/>
        <v>3.5000000000000004</v>
      </c>
      <c r="O51" s="136">
        <f t="shared" si="48"/>
        <v>103.5</v>
      </c>
      <c r="P51" s="136">
        <f t="shared" si="48"/>
        <v>0</v>
      </c>
      <c r="Q51" s="136">
        <f t="shared" si="48"/>
        <v>0</v>
      </c>
      <c r="R51" s="136">
        <f t="shared" si="48"/>
        <v>0</v>
      </c>
      <c r="S51" s="136">
        <f t="shared" si="48"/>
        <v>0</v>
      </c>
      <c r="T51" s="136">
        <f t="shared" si="48"/>
        <v>0</v>
      </c>
      <c r="U51" s="136">
        <f t="shared" si="48"/>
        <v>0</v>
      </c>
      <c r="V51" s="136">
        <f t="shared" si="48"/>
        <v>0</v>
      </c>
      <c r="W51" s="136">
        <f t="shared" si="48"/>
        <v>0</v>
      </c>
      <c r="X51" s="136">
        <f t="shared" si="48"/>
        <v>0</v>
      </c>
      <c r="Y51" s="136">
        <f t="shared" si="48"/>
        <v>0</v>
      </c>
      <c r="Z51" s="136">
        <f t="shared" si="48"/>
        <v>0</v>
      </c>
      <c r="AA51" s="136">
        <f t="shared" si="48"/>
        <v>0</v>
      </c>
      <c r="AB51" s="136">
        <f t="shared" si="48"/>
        <v>0</v>
      </c>
      <c r="AC51" s="136">
        <f t="shared" si="48"/>
        <v>0</v>
      </c>
      <c r="AD51" s="136">
        <f t="shared" si="48"/>
        <v>0</v>
      </c>
      <c r="AE51" s="136">
        <f t="shared" si="48"/>
        <v>0</v>
      </c>
      <c r="AF51" s="136">
        <f t="shared" si="48"/>
        <v>0</v>
      </c>
      <c r="AG51" s="136">
        <f t="shared" si="48"/>
        <v>0</v>
      </c>
      <c r="AH51" s="136">
        <f t="shared" si="48"/>
        <v>0</v>
      </c>
      <c r="AI51" s="136">
        <f t="shared" si="48"/>
        <v>0</v>
      </c>
      <c r="AJ51" s="136">
        <f t="shared" si="48"/>
        <v>0</v>
      </c>
      <c r="AK51" s="136">
        <f t="shared" si="48"/>
        <v>0</v>
      </c>
      <c r="AL51" s="136">
        <f t="shared" si="48"/>
        <v>0</v>
      </c>
      <c r="AM51" s="136">
        <f t="shared" si="48"/>
        <v>0</v>
      </c>
      <c r="AN51" s="136">
        <f t="shared" si="48"/>
        <v>0</v>
      </c>
      <c r="AO51" s="136">
        <f t="shared" si="48"/>
        <v>0</v>
      </c>
      <c r="AP51" s="136">
        <f t="shared" si="48"/>
        <v>0</v>
      </c>
      <c r="AQ51" s="136">
        <f t="shared" si="48"/>
        <v>0</v>
      </c>
      <c r="AR51" s="136">
        <f t="shared" si="48"/>
        <v>0</v>
      </c>
      <c r="AS51" s="136">
        <f t="shared" si="48"/>
        <v>0</v>
      </c>
      <c r="AT51" s="136">
        <f t="shared" si="48"/>
        <v>0</v>
      </c>
      <c r="AU51" s="136">
        <f t="shared" si="48"/>
        <v>0</v>
      </c>
      <c r="AV51" s="136">
        <f t="shared" si="48"/>
        <v>0</v>
      </c>
      <c r="AW51" s="136">
        <f t="shared" si="48"/>
        <v>0</v>
      </c>
      <c r="AX51" s="136">
        <f t="shared" si="48"/>
        <v>0</v>
      </c>
      <c r="AY51" s="136">
        <f t="shared" si="48"/>
        <v>0</v>
      </c>
      <c r="AZ51" s="136">
        <f t="shared" si="48"/>
        <v>0</v>
      </c>
      <c r="BA51" s="136">
        <f t="shared" si="48"/>
        <v>0</v>
      </c>
      <c r="BB51" s="136">
        <f t="shared" si="48"/>
        <v>0</v>
      </c>
      <c r="BC51" s="136">
        <f t="shared" si="48"/>
        <v>0</v>
      </c>
      <c r="BD51" s="136">
        <f t="shared" si="48"/>
        <v>0</v>
      </c>
      <c r="BE51" s="136">
        <f t="shared" si="48"/>
        <v>0</v>
      </c>
      <c r="BF51" s="136">
        <f t="shared" si="48"/>
        <v>0</v>
      </c>
      <c r="BG51" s="136">
        <f t="shared" si="48"/>
        <v>0</v>
      </c>
      <c r="BH51" s="136">
        <f t="shared" si="48"/>
        <v>0</v>
      </c>
      <c r="BI51" s="136">
        <f t="shared" si="48"/>
        <v>0</v>
      </c>
      <c r="BJ51" s="136">
        <f t="shared" si="48"/>
        <v>0</v>
      </c>
      <c r="BK51" s="136">
        <f t="shared" si="48"/>
        <v>0</v>
      </c>
      <c r="BL51" s="136">
        <f t="shared" si="48"/>
        <v>0</v>
      </c>
      <c r="BM51" s="136">
        <f t="shared" si="48"/>
        <v>0</v>
      </c>
      <c r="BN51" s="136">
        <f t="shared" si="48"/>
        <v>0</v>
      </c>
      <c r="BO51" s="136">
        <f t="shared" si="48"/>
        <v>0</v>
      </c>
      <c r="BP51" s="136">
        <f t="shared" ref="BP51:CB51" si="49">IF(BP50&gt;$F12+1,0,1)*(IF(BQ51=0,100,0)+IF($G12=1,1,0.5)*$J12*100)</f>
        <v>0</v>
      </c>
      <c r="BQ51" s="136">
        <f t="shared" si="49"/>
        <v>0</v>
      </c>
      <c r="BR51" s="136">
        <f t="shared" si="49"/>
        <v>0</v>
      </c>
      <c r="BS51" s="136">
        <f t="shared" si="49"/>
        <v>0</v>
      </c>
      <c r="BT51" s="136">
        <f t="shared" si="49"/>
        <v>0</v>
      </c>
      <c r="BU51" s="136">
        <f t="shared" si="49"/>
        <v>0</v>
      </c>
      <c r="BV51" s="136">
        <f t="shared" si="49"/>
        <v>0</v>
      </c>
      <c r="BW51" s="136">
        <f t="shared" si="49"/>
        <v>0</v>
      </c>
      <c r="BX51" s="136">
        <f t="shared" si="49"/>
        <v>0</v>
      </c>
      <c r="BY51" s="136">
        <f t="shared" si="49"/>
        <v>0</v>
      </c>
      <c r="BZ51" s="136">
        <f t="shared" si="49"/>
        <v>0</v>
      </c>
      <c r="CA51" s="136">
        <f t="shared" si="49"/>
        <v>0</v>
      </c>
      <c r="CB51" s="137">
        <f t="shared" si="49"/>
        <v>0</v>
      </c>
    </row>
    <row r="52" spans="1:80">
      <c r="A52" s="255" t="s">
        <v>49</v>
      </c>
      <c r="B52" s="65" t="str">
        <f>IF(E13=0,F13,E13)</f>
        <v>6/27/2020</v>
      </c>
      <c r="C52" s="66">
        <f>B52+IF($G13=1,365,182.5)</f>
        <v>44374</v>
      </c>
      <c r="D52" s="66">
        <f t="shared" ref="D52:BO52" si="50">C52+IF($G13=1,365,182.5)</f>
        <v>44739</v>
      </c>
      <c r="E52" s="66">
        <f t="shared" si="50"/>
        <v>45104</v>
      </c>
      <c r="F52" s="66">
        <f t="shared" si="50"/>
        <v>45469</v>
      </c>
      <c r="G52" s="66">
        <f t="shared" si="50"/>
        <v>45834</v>
      </c>
      <c r="H52" s="66">
        <f t="shared" si="50"/>
        <v>46199</v>
      </c>
      <c r="I52" s="66">
        <f t="shared" si="50"/>
        <v>46564</v>
      </c>
      <c r="J52" s="66">
        <f t="shared" si="50"/>
        <v>46929</v>
      </c>
      <c r="K52" s="66">
        <f t="shared" si="50"/>
        <v>47294</v>
      </c>
      <c r="L52" s="66">
        <f t="shared" si="50"/>
        <v>47659</v>
      </c>
      <c r="M52" s="66">
        <f t="shared" si="50"/>
        <v>48024</v>
      </c>
      <c r="N52" s="66">
        <f t="shared" si="50"/>
        <v>48389</v>
      </c>
      <c r="O52" s="66">
        <f t="shared" si="50"/>
        <v>48754</v>
      </c>
      <c r="P52" s="66">
        <f t="shared" si="50"/>
        <v>49119</v>
      </c>
      <c r="Q52" s="66">
        <f t="shared" si="50"/>
        <v>49484</v>
      </c>
      <c r="R52" s="66">
        <f t="shared" si="50"/>
        <v>49849</v>
      </c>
      <c r="S52" s="66">
        <f t="shared" si="50"/>
        <v>50214</v>
      </c>
      <c r="T52" s="66">
        <f t="shared" si="50"/>
        <v>50579</v>
      </c>
      <c r="U52" s="66">
        <f t="shared" si="50"/>
        <v>50944</v>
      </c>
      <c r="V52" s="66">
        <f t="shared" si="50"/>
        <v>51309</v>
      </c>
      <c r="W52" s="66">
        <f t="shared" si="50"/>
        <v>51674</v>
      </c>
      <c r="X52" s="66">
        <f t="shared" si="50"/>
        <v>52039</v>
      </c>
      <c r="Y52" s="66">
        <f t="shared" si="50"/>
        <v>52404</v>
      </c>
      <c r="Z52" s="66">
        <f t="shared" si="50"/>
        <v>52769</v>
      </c>
      <c r="AA52" s="66">
        <f t="shared" si="50"/>
        <v>53134</v>
      </c>
      <c r="AB52" s="66">
        <f t="shared" si="50"/>
        <v>53499</v>
      </c>
      <c r="AC52" s="66">
        <f t="shared" si="50"/>
        <v>53864</v>
      </c>
      <c r="AD52" s="66">
        <f t="shared" si="50"/>
        <v>54229</v>
      </c>
      <c r="AE52" s="66">
        <f t="shared" si="50"/>
        <v>54594</v>
      </c>
      <c r="AF52" s="66">
        <f t="shared" si="50"/>
        <v>54959</v>
      </c>
      <c r="AG52" s="66">
        <f t="shared" si="50"/>
        <v>55324</v>
      </c>
      <c r="AH52" s="66">
        <f t="shared" si="50"/>
        <v>55689</v>
      </c>
      <c r="AI52" s="66">
        <f t="shared" si="50"/>
        <v>56054</v>
      </c>
      <c r="AJ52" s="66">
        <f t="shared" si="50"/>
        <v>56419</v>
      </c>
      <c r="AK52" s="66">
        <f t="shared" si="50"/>
        <v>56784</v>
      </c>
      <c r="AL52" s="66">
        <f t="shared" si="50"/>
        <v>57149</v>
      </c>
      <c r="AM52" s="66">
        <f t="shared" si="50"/>
        <v>57514</v>
      </c>
      <c r="AN52" s="66">
        <f t="shared" si="50"/>
        <v>57879</v>
      </c>
      <c r="AO52" s="66">
        <f t="shared" si="50"/>
        <v>58244</v>
      </c>
      <c r="AP52" s="66">
        <f t="shared" si="50"/>
        <v>58609</v>
      </c>
      <c r="AQ52" s="66">
        <f t="shared" si="50"/>
        <v>58974</v>
      </c>
      <c r="AR52" s="66">
        <f t="shared" si="50"/>
        <v>59339</v>
      </c>
      <c r="AS52" s="66">
        <f t="shared" si="50"/>
        <v>59704</v>
      </c>
      <c r="AT52" s="66">
        <f t="shared" si="50"/>
        <v>60069</v>
      </c>
      <c r="AU52" s="66">
        <f t="shared" si="50"/>
        <v>60434</v>
      </c>
      <c r="AV52" s="66">
        <f t="shared" si="50"/>
        <v>60799</v>
      </c>
      <c r="AW52" s="66">
        <f t="shared" si="50"/>
        <v>61164</v>
      </c>
      <c r="AX52" s="66">
        <f t="shared" si="50"/>
        <v>61529</v>
      </c>
      <c r="AY52" s="66">
        <f t="shared" si="50"/>
        <v>61894</v>
      </c>
      <c r="AZ52" s="66">
        <f t="shared" si="50"/>
        <v>62259</v>
      </c>
      <c r="BA52" s="66">
        <f t="shared" si="50"/>
        <v>62624</v>
      </c>
      <c r="BB52" s="66">
        <f t="shared" si="50"/>
        <v>62989</v>
      </c>
      <c r="BC52" s="66">
        <f t="shared" si="50"/>
        <v>63354</v>
      </c>
      <c r="BD52" s="66">
        <f t="shared" si="50"/>
        <v>63719</v>
      </c>
      <c r="BE52" s="66">
        <f t="shared" si="50"/>
        <v>64084</v>
      </c>
      <c r="BF52" s="66">
        <f t="shared" si="50"/>
        <v>64449</v>
      </c>
      <c r="BG52" s="66">
        <f t="shared" si="50"/>
        <v>64814</v>
      </c>
      <c r="BH52" s="66">
        <f t="shared" si="50"/>
        <v>65179</v>
      </c>
      <c r="BI52" s="66">
        <f t="shared" si="50"/>
        <v>65544</v>
      </c>
      <c r="BJ52" s="66">
        <f t="shared" si="50"/>
        <v>65909</v>
      </c>
      <c r="BK52" s="66">
        <f t="shared" si="50"/>
        <v>66274</v>
      </c>
      <c r="BL52" s="66">
        <f t="shared" si="50"/>
        <v>66639</v>
      </c>
      <c r="BM52" s="66">
        <f t="shared" si="50"/>
        <v>67004</v>
      </c>
      <c r="BN52" s="66">
        <f t="shared" si="50"/>
        <v>67369</v>
      </c>
      <c r="BO52" s="66">
        <f t="shared" si="50"/>
        <v>67734</v>
      </c>
      <c r="BP52" s="66">
        <f t="shared" ref="BP52:CB52" si="51">BO52+IF($G13=1,365,182.5)</f>
        <v>68099</v>
      </c>
      <c r="BQ52" s="66">
        <f t="shared" si="51"/>
        <v>68464</v>
      </c>
      <c r="BR52" s="66">
        <f t="shared" si="51"/>
        <v>68829</v>
      </c>
      <c r="BS52" s="66">
        <f t="shared" si="51"/>
        <v>69194</v>
      </c>
      <c r="BT52" s="66">
        <f t="shared" si="51"/>
        <v>69559</v>
      </c>
      <c r="BU52" s="66">
        <f t="shared" si="51"/>
        <v>69924</v>
      </c>
      <c r="BV52" s="66">
        <f t="shared" si="51"/>
        <v>70289</v>
      </c>
      <c r="BW52" s="66">
        <f t="shared" si="51"/>
        <v>70654</v>
      </c>
      <c r="BX52" s="66">
        <f t="shared" si="51"/>
        <v>71019</v>
      </c>
      <c r="BY52" s="66">
        <f t="shared" si="51"/>
        <v>71384</v>
      </c>
      <c r="BZ52" s="66">
        <f t="shared" si="51"/>
        <v>71749</v>
      </c>
      <c r="CA52" s="66">
        <f t="shared" si="51"/>
        <v>72114</v>
      </c>
      <c r="CB52" s="67">
        <f t="shared" si="51"/>
        <v>72479</v>
      </c>
    </row>
    <row r="53" spans="1:80">
      <c r="A53" s="173" t="s">
        <v>30</v>
      </c>
      <c r="B53" s="111">
        <f>(IF(B52=F13,100,0)+IF(G13=1,1,0.5)*J13*100)*IF(ISBLANK(F13)=TRUE,0,1)</f>
        <v>1.25</v>
      </c>
      <c r="C53" s="68">
        <f>IF(C52&gt;$F13+1,0,1)*(IF(D53=0,100,0)+IF($G13=1,1,0.5)*$J13*100)</f>
        <v>1.25</v>
      </c>
      <c r="D53" s="68">
        <f>IF(D52&gt;$F13+1,0,1)*(IF(E53=0,100,0)+IF($G13=1,1,0.5)*$J13*100)</f>
        <v>1.25</v>
      </c>
      <c r="E53" s="68">
        <f t="shared" ref="E53:BP53" si="52">IF(E52&gt;$F13+1,0,1)*(IF(F53=0,100,0)+IF($G13=1,1,0.5)*$J13*100)</f>
        <v>1.25</v>
      </c>
      <c r="F53" s="68">
        <f t="shared" si="52"/>
        <v>1.25</v>
      </c>
      <c r="G53" s="68">
        <f t="shared" si="52"/>
        <v>1.25</v>
      </c>
      <c r="H53" s="68">
        <f t="shared" si="52"/>
        <v>1.25</v>
      </c>
      <c r="I53" s="68">
        <f t="shared" si="52"/>
        <v>1.25</v>
      </c>
      <c r="J53" s="68">
        <f t="shared" si="52"/>
        <v>1.25</v>
      </c>
      <c r="K53" s="68">
        <f t="shared" si="52"/>
        <v>1.25</v>
      </c>
      <c r="L53" s="68">
        <f t="shared" si="52"/>
        <v>1.25</v>
      </c>
      <c r="M53" s="68">
        <f t="shared" si="52"/>
        <v>1.25</v>
      </c>
      <c r="N53" s="68">
        <f t="shared" si="52"/>
        <v>1.25</v>
      </c>
      <c r="O53" s="68">
        <f t="shared" si="52"/>
        <v>1.25</v>
      </c>
      <c r="P53" s="68">
        <f t="shared" si="52"/>
        <v>1.25</v>
      </c>
      <c r="Q53" s="68">
        <f t="shared" si="52"/>
        <v>1.25</v>
      </c>
      <c r="R53" s="68">
        <f t="shared" si="52"/>
        <v>1.25</v>
      </c>
      <c r="S53" s="68">
        <f t="shared" si="52"/>
        <v>101.25</v>
      </c>
      <c r="T53" s="68">
        <f t="shared" si="52"/>
        <v>0</v>
      </c>
      <c r="U53" s="68">
        <f t="shared" si="52"/>
        <v>0</v>
      </c>
      <c r="V53" s="68">
        <f t="shared" si="52"/>
        <v>0</v>
      </c>
      <c r="W53" s="68">
        <f t="shared" si="52"/>
        <v>0</v>
      </c>
      <c r="X53" s="68">
        <f t="shared" si="52"/>
        <v>0</v>
      </c>
      <c r="Y53" s="68">
        <f t="shared" si="52"/>
        <v>0</v>
      </c>
      <c r="Z53" s="68">
        <f t="shared" si="52"/>
        <v>0</v>
      </c>
      <c r="AA53" s="68">
        <f t="shared" si="52"/>
        <v>0</v>
      </c>
      <c r="AB53" s="68">
        <f t="shared" si="52"/>
        <v>0</v>
      </c>
      <c r="AC53" s="68">
        <f t="shared" si="52"/>
        <v>0</v>
      </c>
      <c r="AD53" s="68">
        <f t="shared" si="52"/>
        <v>0</v>
      </c>
      <c r="AE53" s="68">
        <f t="shared" si="52"/>
        <v>0</v>
      </c>
      <c r="AF53" s="68">
        <f t="shared" si="52"/>
        <v>0</v>
      </c>
      <c r="AG53" s="68">
        <f t="shared" si="52"/>
        <v>0</v>
      </c>
      <c r="AH53" s="68">
        <f t="shared" si="52"/>
        <v>0</v>
      </c>
      <c r="AI53" s="68">
        <f t="shared" si="52"/>
        <v>0</v>
      </c>
      <c r="AJ53" s="68">
        <f t="shared" si="52"/>
        <v>0</v>
      </c>
      <c r="AK53" s="68">
        <f t="shared" si="52"/>
        <v>0</v>
      </c>
      <c r="AL53" s="68">
        <f t="shared" si="52"/>
        <v>0</v>
      </c>
      <c r="AM53" s="68">
        <f t="shared" si="52"/>
        <v>0</v>
      </c>
      <c r="AN53" s="68">
        <f t="shared" si="52"/>
        <v>0</v>
      </c>
      <c r="AO53" s="68">
        <f t="shared" si="52"/>
        <v>0</v>
      </c>
      <c r="AP53" s="68">
        <f t="shared" si="52"/>
        <v>0</v>
      </c>
      <c r="AQ53" s="68">
        <f t="shared" si="52"/>
        <v>0</v>
      </c>
      <c r="AR53" s="68">
        <f t="shared" si="52"/>
        <v>0</v>
      </c>
      <c r="AS53" s="68">
        <f t="shared" si="52"/>
        <v>0</v>
      </c>
      <c r="AT53" s="68">
        <f t="shared" si="52"/>
        <v>0</v>
      </c>
      <c r="AU53" s="68">
        <f t="shared" si="52"/>
        <v>0</v>
      </c>
      <c r="AV53" s="68">
        <f t="shared" si="52"/>
        <v>0</v>
      </c>
      <c r="AW53" s="68">
        <f t="shared" si="52"/>
        <v>0</v>
      </c>
      <c r="AX53" s="68">
        <f t="shared" si="52"/>
        <v>0</v>
      </c>
      <c r="AY53" s="68">
        <f t="shared" si="52"/>
        <v>0</v>
      </c>
      <c r="AZ53" s="68">
        <f t="shared" si="52"/>
        <v>0</v>
      </c>
      <c r="BA53" s="68">
        <f t="shared" si="52"/>
        <v>0</v>
      </c>
      <c r="BB53" s="68">
        <f t="shared" si="52"/>
        <v>0</v>
      </c>
      <c r="BC53" s="68">
        <f t="shared" si="52"/>
        <v>0</v>
      </c>
      <c r="BD53" s="68">
        <f t="shared" si="52"/>
        <v>0</v>
      </c>
      <c r="BE53" s="68">
        <f t="shared" si="52"/>
        <v>0</v>
      </c>
      <c r="BF53" s="68">
        <f t="shared" si="52"/>
        <v>0</v>
      </c>
      <c r="BG53" s="68">
        <f t="shared" si="52"/>
        <v>0</v>
      </c>
      <c r="BH53" s="68">
        <f t="shared" si="52"/>
        <v>0</v>
      </c>
      <c r="BI53" s="68">
        <f t="shared" si="52"/>
        <v>0</v>
      </c>
      <c r="BJ53" s="68">
        <f t="shared" si="52"/>
        <v>0</v>
      </c>
      <c r="BK53" s="68">
        <f t="shared" si="52"/>
        <v>0</v>
      </c>
      <c r="BL53" s="68">
        <f t="shared" si="52"/>
        <v>0</v>
      </c>
      <c r="BM53" s="68">
        <f t="shared" si="52"/>
        <v>0</v>
      </c>
      <c r="BN53" s="68">
        <f t="shared" si="52"/>
        <v>0</v>
      </c>
      <c r="BO53" s="68">
        <f t="shared" si="52"/>
        <v>0</v>
      </c>
      <c r="BP53" s="68">
        <f t="shared" si="52"/>
        <v>0</v>
      </c>
      <c r="BQ53" s="68">
        <f t="shared" ref="BQ53:CB53" si="53">IF(BQ52&gt;$F13+1,0,1)*(IF(BR53=0,100,0)+IF($G13=1,1,0.5)*$J13*100)</f>
        <v>0</v>
      </c>
      <c r="BR53" s="68">
        <f t="shared" si="53"/>
        <v>0</v>
      </c>
      <c r="BS53" s="68">
        <f t="shared" si="53"/>
        <v>0</v>
      </c>
      <c r="BT53" s="68">
        <f t="shared" si="53"/>
        <v>0</v>
      </c>
      <c r="BU53" s="68">
        <f t="shared" si="53"/>
        <v>0</v>
      </c>
      <c r="BV53" s="68">
        <f t="shared" si="53"/>
        <v>0</v>
      </c>
      <c r="BW53" s="68">
        <f t="shared" si="53"/>
        <v>0</v>
      </c>
      <c r="BX53" s="68">
        <f t="shared" si="53"/>
        <v>0</v>
      </c>
      <c r="BY53" s="68">
        <f t="shared" si="53"/>
        <v>0</v>
      </c>
      <c r="BZ53" s="68">
        <f t="shared" si="53"/>
        <v>0</v>
      </c>
      <c r="CA53" s="68">
        <f t="shared" si="53"/>
        <v>0</v>
      </c>
      <c r="CB53" s="69">
        <f t="shared" si="53"/>
        <v>0</v>
      </c>
    </row>
    <row r="54" spans="1:80">
      <c r="A54" s="254" t="s">
        <v>49</v>
      </c>
      <c r="B54" s="138" t="str">
        <f>IF(E14=0,F14,E14)</f>
        <v>1/6/2020</v>
      </c>
      <c r="C54" s="70">
        <f>B54+IF($G14=1,365,182.5)</f>
        <v>44201</v>
      </c>
      <c r="D54" s="70">
        <f t="shared" ref="D54:BO54" si="54">C54+IF($G14=1,365,182.5)</f>
        <v>44566</v>
      </c>
      <c r="E54" s="70">
        <f t="shared" si="54"/>
        <v>44931</v>
      </c>
      <c r="F54" s="70">
        <f t="shared" si="54"/>
        <v>45296</v>
      </c>
      <c r="G54" s="70">
        <f t="shared" si="54"/>
        <v>45661</v>
      </c>
      <c r="H54" s="70">
        <f t="shared" si="54"/>
        <v>46026</v>
      </c>
      <c r="I54" s="70">
        <f t="shared" si="54"/>
        <v>46391</v>
      </c>
      <c r="J54" s="70">
        <f t="shared" si="54"/>
        <v>46756</v>
      </c>
      <c r="K54" s="70">
        <f t="shared" si="54"/>
        <v>47121</v>
      </c>
      <c r="L54" s="70">
        <f t="shared" si="54"/>
        <v>47486</v>
      </c>
      <c r="M54" s="70">
        <f t="shared" si="54"/>
        <v>47851</v>
      </c>
      <c r="N54" s="70">
        <f t="shared" si="54"/>
        <v>48216</v>
      </c>
      <c r="O54" s="70">
        <f t="shared" si="54"/>
        <v>48581</v>
      </c>
      <c r="P54" s="70">
        <f t="shared" si="54"/>
        <v>48946</v>
      </c>
      <c r="Q54" s="70">
        <f t="shared" si="54"/>
        <v>49311</v>
      </c>
      <c r="R54" s="70">
        <f t="shared" si="54"/>
        <v>49676</v>
      </c>
      <c r="S54" s="70">
        <f t="shared" si="54"/>
        <v>50041</v>
      </c>
      <c r="T54" s="70">
        <f t="shared" si="54"/>
        <v>50406</v>
      </c>
      <c r="U54" s="70">
        <f t="shared" si="54"/>
        <v>50771</v>
      </c>
      <c r="V54" s="70">
        <f t="shared" si="54"/>
        <v>51136</v>
      </c>
      <c r="W54" s="70">
        <f t="shared" si="54"/>
        <v>51501</v>
      </c>
      <c r="X54" s="70">
        <f t="shared" si="54"/>
        <v>51866</v>
      </c>
      <c r="Y54" s="70">
        <f t="shared" si="54"/>
        <v>52231</v>
      </c>
      <c r="Z54" s="70">
        <f t="shared" si="54"/>
        <v>52596</v>
      </c>
      <c r="AA54" s="70">
        <f t="shared" si="54"/>
        <v>52961</v>
      </c>
      <c r="AB54" s="70">
        <f t="shared" si="54"/>
        <v>53326</v>
      </c>
      <c r="AC54" s="70">
        <f t="shared" si="54"/>
        <v>53691</v>
      </c>
      <c r="AD54" s="70">
        <f t="shared" si="54"/>
        <v>54056</v>
      </c>
      <c r="AE54" s="70">
        <f t="shared" si="54"/>
        <v>54421</v>
      </c>
      <c r="AF54" s="70">
        <f t="shared" si="54"/>
        <v>54786</v>
      </c>
      <c r="AG54" s="70">
        <f t="shared" si="54"/>
        <v>55151</v>
      </c>
      <c r="AH54" s="70">
        <f t="shared" si="54"/>
        <v>55516</v>
      </c>
      <c r="AI54" s="70">
        <f t="shared" si="54"/>
        <v>55881</v>
      </c>
      <c r="AJ54" s="70">
        <f t="shared" si="54"/>
        <v>56246</v>
      </c>
      <c r="AK54" s="70">
        <f t="shared" si="54"/>
        <v>56611</v>
      </c>
      <c r="AL54" s="70">
        <f t="shared" si="54"/>
        <v>56976</v>
      </c>
      <c r="AM54" s="70">
        <f t="shared" si="54"/>
        <v>57341</v>
      </c>
      <c r="AN54" s="70">
        <f t="shared" si="54"/>
        <v>57706</v>
      </c>
      <c r="AO54" s="70">
        <f t="shared" si="54"/>
        <v>58071</v>
      </c>
      <c r="AP54" s="70">
        <f t="shared" si="54"/>
        <v>58436</v>
      </c>
      <c r="AQ54" s="70">
        <f t="shared" si="54"/>
        <v>58801</v>
      </c>
      <c r="AR54" s="70">
        <f t="shared" si="54"/>
        <v>59166</v>
      </c>
      <c r="AS54" s="70">
        <f t="shared" si="54"/>
        <v>59531</v>
      </c>
      <c r="AT54" s="70">
        <f t="shared" si="54"/>
        <v>59896</v>
      </c>
      <c r="AU54" s="70">
        <f t="shared" si="54"/>
        <v>60261</v>
      </c>
      <c r="AV54" s="70">
        <f t="shared" si="54"/>
        <v>60626</v>
      </c>
      <c r="AW54" s="70">
        <f t="shared" si="54"/>
        <v>60991</v>
      </c>
      <c r="AX54" s="70">
        <f t="shared" si="54"/>
        <v>61356</v>
      </c>
      <c r="AY54" s="70">
        <f t="shared" si="54"/>
        <v>61721</v>
      </c>
      <c r="AZ54" s="70">
        <f t="shared" si="54"/>
        <v>62086</v>
      </c>
      <c r="BA54" s="70">
        <f t="shared" si="54"/>
        <v>62451</v>
      </c>
      <c r="BB54" s="70">
        <f t="shared" si="54"/>
        <v>62816</v>
      </c>
      <c r="BC54" s="70">
        <f t="shared" si="54"/>
        <v>63181</v>
      </c>
      <c r="BD54" s="70">
        <f t="shared" si="54"/>
        <v>63546</v>
      </c>
      <c r="BE54" s="70">
        <f t="shared" si="54"/>
        <v>63911</v>
      </c>
      <c r="BF54" s="70">
        <f t="shared" si="54"/>
        <v>64276</v>
      </c>
      <c r="BG54" s="70">
        <f t="shared" si="54"/>
        <v>64641</v>
      </c>
      <c r="BH54" s="70">
        <f t="shared" si="54"/>
        <v>65006</v>
      </c>
      <c r="BI54" s="70">
        <f t="shared" si="54"/>
        <v>65371</v>
      </c>
      <c r="BJ54" s="70">
        <f t="shared" si="54"/>
        <v>65736</v>
      </c>
      <c r="BK54" s="70">
        <f t="shared" si="54"/>
        <v>66101</v>
      </c>
      <c r="BL54" s="70">
        <f t="shared" si="54"/>
        <v>66466</v>
      </c>
      <c r="BM54" s="70">
        <f t="shared" si="54"/>
        <v>66831</v>
      </c>
      <c r="BN54" s="70">
        <f t="shared" si="54"/>
        <v>67196</v>
      </c>
      <c r="BO54" s="70">
        <f t="shared" si="54"/>
        <v>67561</v>
      </c>
      <c r="BP54" s="70">
        <f t="shared" ref="BP54:CB54" si="55">BO54+IF($G14=1,365,182.5)</f>
        <v>67926</v>
      </c>
      <c r="BQ54" s="70">
        <f t="shared" si="55"/>
        <v>68291</v>
      </c>
      <c r="BR54" s="70">
        <f t="shared" si="55"/>
        <v>68656</v>
      </c>
      <c r="BS54" s="70">
        <f t="shared" si="55"/>
        <v>69021</v>
      </c>
      <c r="BT54" s="70">
        <f t="shared" si="55"/>
        <v>69386</v>
      </c>
      <c r="BU54" s="70">
        <f t="shared" si="55"/>
        <v>69751</v>
      </c>
      <c r="BV54" s="70">
        <f t="shared" si="55"/>
        <v>70116</v>
      </c>
      <c r="BW54" s="70">
        <f t="shared" si="55"/>
        <v>70481</v>
      </c>
      <c r="BX54" s="70">
        <f t="shared" si="55"/>
        <v>70846</v>
      </c>
      <c r="BY54" s="70">
        <f t="shared" si="55"/>
        <v>71211</v>
      </c>
      <c r="BZ54" s="70">
        <f t="shared" si="55"/>
        <v>71576</v>
      </c>
      <c r="CA54" s="70">
        <f t="shared" si="55"/>
        <v>71941</v>
      </c>
      <c r="CB54" s="71">
        <f t="shared" si="55"/>
        <v>72306</v>
      </c>
    </row>
    <row r="55" spans="1:80">
      <c r="A55" s="174" t="s">
        <v>31</v>
      </c>
      <c r="B55" s="139">
        <f>(IF(B54=F14,100,0)+IF(G14=1,1,0.5)*J14*100)*IF(ISBLANK(F14)=TRUE,0,1)</f>
        <v>4</v>
      </c>
      <c r="C55" s="72">
        <f>IF(C54&gt;$F14+1,0,1)*(IF(D55=0,100,0)+IF($G14=1,1,0.5)*$J14*100)</f>
        <v>4</v>
      </c>
      <c r="D55" s="72">
        <f t="shared" ref="D55:BO55" si="56">IF(D54&gt;$F14+1,0,1)*(IF(E55=0,100,0)+IF($G14=1,1,0.5)*$J14*100)</f>
        <v>4</v>
      </c>
      <c r="E55" s="72">
        <f t="shared" si="56"/>
        <v>4</v>
      </c>
      <c r="F55" s="72">
        <f t="shared" si="56"/>
        <v>4</v>
      </c>
      <c r="G55" s="72">
        <f t="shared" si="56"/>
        <v>4</v>
      </c>
      <c r="H55" s="72">
        <f t="shared" si="56"/>
        <v>4</v>
      </c>
      <c r="I55" s="72">
        <f t="shared" si="56"/>
        <v>4</v>
      </c>
      <c r="J55" s="72">
        <f t="shared" si="56"/>
        <v>4</v>
      </c>
      <c r="K55" s="72">
        <f t="shared" si="56"/>
        <v>4</v>
      </c>
      <c r="L55" s="72">
        <f t="shared" si="56"/>
        <v>4</v>
      </c>
      <c r="M55" s="72">
        <f t="shared" si="56"/>
        <v>4</v>
      </c>
      <c r="N55" s="72">
        <f t="shared" si="56"/>
        <v>4</v>
      </c>
      <c r="O55" s="72">
        <f t="shared" si="56"/>
        <v>4</v>
      </c>
      <c r="P55" s="72">
        <f t="shared" si="56"/>
        <v>4</v>
      </c>
      <c r="Q55" s="72">
        <f t="shared" si="56"/>
        <v>4</v>
      </c>
      <c r="R55" s="72">
        <f t="shared" si="56"/>
        <v>4</v>
      </c>
      <c r="S55" s="72">
        <f t="shared" si="56"/>
        <v>4</v>
      </c>
      <c r="T55" s="72">
        <f t="shared" si="56"/>
        <v>4</v>
      </c>
      <c r="U55" s="72">
        <f t="shared" si="56"/>
        <v>4</v>
      </c>
      <c r="V55" s="72">
        <f t="shared" si="56"/>
        <v>4</v>
      </c>
      <c r="W55" s="72">
        <f t="shared" si="56"/>
        <v>4</v>
      </c>
      <c r="X55" s="72">
        <f t="shared" si="56"/>
        <v>4</v>
      </c>
      <c r="Y55" s="72">
        <f t="shared" si="56"/>
        <v>4</v>
      </c>
      <c r="Z55" s="72">
        <f t="shared" si="56"/>
        <v>4</v>
      </c>
      <c r="AA55" s="72">
        <f t="shared" si="56"/>
        <v>4</v>
      </c>
      <c r="AB55" s="72">
        <f t="shared" si="56"/>
        <v>4</v>
      </c>
      <c r="AC55" s="72">
        <f t="shared" si="56"/>
        <v>4</v>
      </c>
      <c r="AD55" s="72">
        <f t="shared" si="56"/>
        <v>4</v>
      </c>
      <c r="AE55" s="72">
        <f t="shared" si="56"/>
        <v>104</v>
      </c>
      <c r="AF55" s="72">
        <f t="shared" si="56"/>
        <v>0</v>
      </c>
      <c r="AG55" s="72">
        <f t="shared" si="56"/>
        <v>0</v>
      </c>
      <c r="AH55" s="72">
        <f t="shared" si="56"/>
        <v>0</v>
      </c>
      <c r="AI55" s="72">
        <f t="shared" si="56"/>
        <v>0</v>
      </c>
      <c r="AJ55" s="72">
        <f t="shared" si="56"/>
        <v>0</v>
      </c>
      <c r="AK55" s="72">
        <f t="shared" si="56"/>
        <v>0</v>
      </c>
      <c r="AL55" s="72">
        <f t="shared" si="56"/>
        <v>0</v>
      </c>
      <c r="AM55" s="72">
        <f t="shared" si="56"/>
        <v>0</v>
      </c>
      <c r="AN55" s="72">
        <f t="shared" si="56"/>
        <v>0</v>
      </c>
      <c r="AO55" s="72">
        <f t="shared" si="56"/>
        <v>0</v>
      </c>
      <c r="AP55" s="72">
        <f t="shared" si="56"/>
        <v>0</v>
      </c>
      <c r="AQ55" s="72">
        <f t="shared" si="56"/>
        <v>0</v>
      </c>
      <c r="AR55" s="72">
        <f t="shared" si="56"/>
        <v>0</v>
      </c>
      <c r="AS55" s="72">
        <f t="shared" si="56"/>
        <v>0</v>
      </c>
      <c r="AT55" s="72">
        <f t="shared" si="56"/>
        <v>0</v>
      </c>
      <c r="AU55" s="72">
        <f t="shared" si="56"/>
        <v>0</v>
      </c>
      <c r="AV55" s="72">
        <f t="shared" si="56"/>
        <v>0</v>
      </c>
      <c r="AW55" s="72">
        <f t="shared" si="56"/>
        <v>0</v>
      </c>
      <c r="AX55" s="72">
        <f t="shared" si="56"/>
        <v>0</v>
      </c>
      <c r="AY55" s="72">
        <f t="shared" si="56"/>
        <v>0</v>
      </c>
      <c r="AZ55" s="72">
        <f t="shared" si="56"/>
        <v>0</v>
      </c>
      <c r="BA55" s="72">
        <f t="shared" si="56"/>
        <v>0</v>
      </c>
      <c r="BB55" s="72">
        <f t="shared" si="56"/>
        <v>0</v>
      </c>
      <c r="BC55" s="72">
        <f t="shared" si="56"/>
        <v>0</v>
      </c>
      <c r="BD55" s="72">
        <f t="shared" si="56"/>
        <v>0</v>
      </c>
      <c r="BE55" s="72">
        <f t="shared" si="56"/>
        <v>0</v>
      </c>
      <c r="BF55" s="72">
        <f t="shared" si="56"/>
        <v>0</v>
      </c>
      <c r="BG55" s="72">
        <f t="shared" si="56"/>
        <v>0</v>
      </c>
      <c r="BH55" s="72">
        <f t="shared" si="56"/>
        <v>0</v>
      </c>
      <c r="BI55" s="72">
        <f t="shared" si="56"/>
        <v>0</v>
      </c>
      <c r="BJ55" s="72">
        <f t="shared" si="56"/>
        <v>0</v>
      </c>
      <c r="BK55" s="72">
        <f t="shared" si="56"/>
        <v>0</v>
      </c>
      <c r="BL55" s="72">
        <f t="shared" si="56"/>
        <v>0</v>
      </c>
      <c r="BM55" s="72">
        <f t="shared" si="56"/>
        <v>0</v>
      </c>
      <c r="BN55" s="72">
        <f t="shared" si="56"/>
        <v>0</v>
      </c>
      <c r="BO55" s="72">
        <f t="shared" si="56"/>
        <v>0</v>
      </c>
      <c r="BP55" s="72">
        <f t="shared" ref="BP55:CB55" si="57">IF(BP54&gt;$F14+1,0,1)*(IF(BQ55=0,100,0)+IF($G14=1,1,0.5)*$J14*100)</f>
        <v>0</v>
      </c>
      <c r="BQ55" s="72">
        <f t="shared" si="57"/>
        <v>0</v>
      </c>
      <c r="BR55" s="72">
        <f t="shared" si="57"/>
        <v>0</v>
      </c>
      <c r="BS55" s="72">
        <f t="shared" si="57"/>
        <v>0</v>
      </c>
      <c r="BT55" s="72">
        <f t="shared" si="57"/>
        <v>0</v>
      </c>
      <c r="BU55" s="72">
        <f t="shared" si="57"/>
        <v>0</v>
      </c>
      <c r="BV55" s="72">
        <f t="shared" si="57"/>
        <v>0</v>
      </c>
      <c r="BW55" s="72">
        <f t="shared" si="57"/>
        <v>0</v>
      </c>
      <c r="BX55" s="72">
        <f t="shared" si="57"/>
        <v>0</v>
      </c>
      <c r="BY55" s="72">
        <f t="shared" si="57"/>
        <v>0</v>
      </c>
      <c r="BZ55" s="72">
        <f t="shared" si="57"/>
        <v>0</v>
      </c>
      <c r="CA55" s="72">
        <f t="shared" si="57"/>
        <v>0</v>
      </c>
      <c r="CB55" s="73">
        <f t="shared" si="57"/>
        <v>0</v>
      </c>
    </row>
    <row r="56" spans="1:80">
      <c r="A56" s="253" t="s">
        <v>49</v>
      </c>
      <c r="B56" s="74">
        <f>IF(E15=0,F15,E15)</f>
        <v>0</v>
      </c>
      <c r="C56" s="75">
        <f>B56+IF($G15=1,365,182.5)</f>
        <v>182.5</v>
      </c>
      <c r="D56" s="75">
        <f t="shared" ref="D56:BO56" si="58">C56+IF($G15=1,365,182.5)</f>
        <v>365</v>
      </c>
      <c r="E56" s="75">
        <f t="shared" si="58"/>
        <v>547.5</v>
      </c>
      <c r="F56" s="75">
        <f t="shared" si="58"/>
        <v>730</v>
      </c>
      <c r="G56" s="75">
        <f t="shared" si="58"/>
        <v>912.5</v>
      </c>
      <c r="H56" s="75">
        <f t="shared" si="58"/>
        <v>1095</v>
      </c>
      <c r="I56" s="75">
        <f t="shared" si="58"/>
        <v>1277.5</v>
      </c>
      <c r="J56" s="75">
        <f t="shared" si="58"/>
        <v>1460</v>
      </c>
      <c r="K56" s="75">
        <f t="shared" si="58"/>
        <v>1642.5</v>
      </c>
      <c r="L56" s="75">
        <f t="shared" si="58"/>
        <v>1825</v>
      </c>
      <c r="M56" s="75">
        <f t="shared" si="58"/>
        <v>2007.5</v>
      </c>
      <c r="N56" s="75">
        <f t="shared" si="58"/>
        <v>2190</v>
      </c>
      <c r="O56" s="75">
        <f t="shared" si="58"/>
        <v>2372.5</v>
      </c>
      <c r="P56" s="75">
        <f t="shared" si="58"/>
        <v>2555</v>
      </c>
      <c r="Q56" s="75">
        <f t="shared" si="58"/>
        <v>2737.5</v>
      </c>
      <c r="R56" s="75">
        <f t="shared" si="58"/>
        <v>2920</v>
      </c>
      <c r="S56" s="75">
        <f t="shared" si="58"/>
        <v>3102.5</v>
      </c>
      <c r="T56" s="75">
        <f t="shared" si="58"/>
        <v>3285</v>
      </c>
      <c r="U56" s="75">
        <f t="shared" si="58"/>
        <v>3467.5</v>
      </c>
      <c r="V56" s="75">
        <f t="shared" si="58"/>
        <v>3650</v>
      </c>
      <c r="W56" s="75">
        <f t="shared" si="58"/>
        <v>3832.5</v>
      </c>
      <c r="X56" s="75">
        <f t="shared" si="58"/>
        <v>4015</v>
      </c>
      <c r="Y56" s="75">
        <f t="shared" si="58"/>
        <v>4197.5</v>
      </c>
      <c r="Z56" s="75">
        <f t="shared" si="58"/>
        <v>4380</v>
      </c>
      <c r="AA56" s="75">
        <f t="shared" si="58"/>
        <v>4562.5</v>
      </c>
      <c r="AB56" s="75">
        <f t="shared" si="58"/>
        <v>4745</v>
      </c>
      <c r="AC56" s="75">
        <f t="shared" si="58"/>
        <v>4927.5</v>
      </c>
      <c r="AD56" s="75">
        <f t="shared" si="58"/>
        <v>5110</v>
      </c>
      <c r="AE56" s="75">
        <f t="shared" si="58"/>
        <v>5292.5</v>
      </c>
      <c r="AF56" s="75">
        <f t="shared" si="58"/>
        <v>5475</v>
      </c>
      <c r="AG56" s="75">
        <f t="shared" si="58"/>
        <v>5657.5</v>
      </c>
      <c r="AH56" s="75">
        <f t="shared" si="58"/>
        <v>5840</v>
      </c>
      <c r="AI56" s="75">
        <f t="shared" si="58"/>
        <v>6022.5</v>
      </c>
      <c r="AJ56" s="75">
        <f t="shared" si="58"/>
        <v>6205</v>
      </c>
      <c r="AK56" s="75">
        <f t="shared" si="58"/>
        <v>6387.5</v>
      </c>
      <c r="AL56" s="75">
        <f t="shared" si="58"/>
        <v>6570</v>
      </c>
      <c r="AM56" s="75">
        <f t="shared" si="58"/>
        <v>6752.5</v>
      </c>
      <c r="AN56" s="75">
        <f t="shared" si="58"/>
        <v>6935</v>
      </c>
      <c r="AO56" s="75">
        <f t="shared" si="58"/>
        <v>7117.5</v>
      </c>
      <c r="AP56" s="75">
        <f t="shared" si="58"/>
        <v>7300</v>
      </c>
      <c r="AQ56" s="75">
        <f t="shared" si="58"/>
        <v>7482.5</v>
      </c>
      <c r="AR56" s="75">
        <f t="shared" si="58"/>
        <v>7665</v>
      </c>
      <c r="AS56" s="75">
        <f t="shared" si="58"/>
        <v>7847.5</v>
      </c>
      <c r="AT56" s="75">
        <f t="shared" si="58"/>
        <v>8030</v>
      </c>
      <c r="AU56" s="75">
        <f t="shared" si="58"/>
        <v>8212.5</v>
      </c>
      <c r="AV56" s="75">
        <f t="shared" si="58"/>
        <v>8395</v>
      </c>
      <c r="AW56" s="75">
        <f t="shared" si="58"/>
        <v>8577.5</v>
      </c>
      <c r="AX56" s="75">
        <f t="shared" si="58"/>
        <v>8760</v>
      </c>
      <c r="AY56" s="75">
        <f t="shared" si="58"/>
        <v>8942.5</v>
      </c>
      <c r="AZ56" s="75">
        <f t="shared" si="58"/>
        <v>9125</v>
      </c>
      <c r="BA56" s="75">
        <f t="shared" si="58"/>
        <v>9307.5</v>
      </c>
      <c r="BB56" s="75">
        <f t="shared" si="58"/>
        <v>9490</v>
      </c>
      <c r="BC56" s="75">
        <f t="shared" si="58"/>
        <v>9672.5</v>
      </c>
      <c r="BD56" s="75">
        <f t="shared" si="58"/>
        <v>9855</v>
      </c>
      <c r="BE56" s="75">
        <f t="shared" si="58"/>
        <v>10037.5</v>
      </c>
      <c r="BF56" s="75">
        <f t="shared" si="58"/>
        <v>10220</v>
      </c>
      <c r="BG56" s="75">
        <f t="shared" si="58"/>
        <v>10402.5</v>
      </c>
      <c r="BH56" s="75">
        <f t="shared" si="58"/>
        <v>10585</v>
      </c>
      <c r="BI56" s="75">
        <f t="shared" si="58"/>
        <v>10767.5</v>
      </c>
      <c r="BJ56" s="75">
        <f t="shared" si="58"/>
        <v>10950</v>
      </c>
      <c r="BK56" s="75">
        <f t="shared" si="58"/>
        <v>11132.5</v>
      </c>
      <c r="BL56" s="75">
        <f t="shared" si="58"/>
        <v>11315</v>
      </c>
      <c r="BM56" s="75">
        <f t="shared" si="58"/>
        <v>11497.5</v>
      </c>
      <c r="BN56" s="75">
        <f t="shared" si="58"/>
        <v>11680</v>
      </c>
      <c r="BO56" s="75">
        <f t="shared" si="58"/>
        <v>11862.5</v>
      </c>
      <c r="BP56" s="75">
        <f t="shared" ref="BP56:CB56" si="59">BO56+IF($G15=1,365,182.5)</f>
        <v>12045</v>
      </c>
      <c r="BQ56" s="75">
        <f t="shared" si="59"/>
        <v>12227.5</v>
      </c>
      <c r="BR56" s="75">
        <f t="shared" si="59"/>
        <v>12410</v>
      </c>
      <c r="BS56" s="75">
        <f t="shared" si="59"/>
        <v>12592.5</v>
      </c>
      <c r="BT56" s="75">
        <f t="shared" si="59"/>
        <v>12775</v>
      </c>
      <c r="BU56" s="75">
        <f t="shared" si="59"/>
        <v>12957.5</v>
      </c>
      <c r="BV56" s="75">
        <f t="shared" si="59"/>
        <v>13140</v>
      </c>
      <c r="BW56" s="75">
        <f t="shared" si="59"/>
        <v>13322.5</v>
      </c>
      <c r="BX56" s="75">
        <f t="shared" si="59"/>
        <v>13505</v>
      </c>
      <c r="BY56" s="75">
        <f t="shared" si="59"/>
        <v>13687.5</v>
      </c>
      <c r="BZ56" s="75">
        <f t="shared" si="59"/>
        <v>13870</v>
      </c>
      <c r="CA56" s="75">
        <f t="shared" si="59"/>
        <v>14052.5</v>
      </c>
      <c r="CB56" s="76">
        <f t="shared" si="59"/>
        <v>14235</v>
      </c>
    </row>
    <row r="57" spans="1:80">
      <c r="A57" s="175" t="s">
        <v>32</v>
      </c>
      <c r="B57" s="110">
        <f>(IF(B56=F15,100,0)+IF(G15=1,1,0.5)*J15*100)*IF(ISBLANK(F15)=TRUE,0,1)</f>
        <v>0</v>
      </c>
      <c r="C57" s="77">
        <f>IF(C56&gt;$F15+1,0,1)*(IF(D57=0,100,0)+IF($G15=1,1,0.5)*$J15*100)</f>
        <v>0</v>
      </c>
      <c r="D57" s="77">
        <f t="shared" ref="D57:BO57" si="60">IF(D56&gt;$F15+1,0,1)*(IF(E57=0,100,0)+IF($G15=1,1,0.5)*$J15*100)</f>
        <v>0</v>
      </c>
      <c r="E57" s="77">
        <f t="shared" si="60"/>
        <v>0</v>
      </c>
      <c r="F57" s="77">
        <f t="shared" si="60"/>
        <v>0</v>
      </c>
      <c r="G57" s="77">
        <f t="shared" si="60"/>
        <v>0</v>
      </c>
      <c r="H57" s="77">
        <f t="shared" si="60"/>
        <v>0</v>
      </c>
      <c r="I57" s="77">
        <f t="shared" si="60"/>
        <v>0</v>
      </c>
      <c r="J57" s="77">
        <f t="shared" si="60"/>
        <v>0</v>
      </c>
      <c r="K57" s="77">
        <f t="shared" si="60"/>
        <v>0</v>
      </c>
      <c r="L57" s="77">
        <f t="shared" si="60"/>
        <v>0</v>
      </c>
      <c r="M57" s="77">
        <f t="shared" si="60"/>
        <v>0</v>
      </c>
      <c r="N57" s="77">
        <f t="shared" si="60"/>
        <v>0</v>
      </c>
      <c r="O57" s="77">
        <f t="shared" si="60"/>
        <v>0</v>
      </c>
      <c r="P57" s="77">
        <f t="shared" si="60"/>
        <v>0</v>
      </c>
      <c r="Q57" s="77">
        <f t="shared" si="60"/>
        <v>0</v>
      </c>
      <c r="R57" s="77">
        <f t="shared" si="60"/>
        <v>0</v>
      </c>
      <c r="S57" s="77">
        <f t="shared" si="60"/>
        <v>0</v>
      </c>
      <c r="T57" s="77">
        <f t="shared" si="60"/>
        <v>0</v>
      </c>
      <c r="U57" s="77">
        <f t="shared" si="60"/>
        <v>0</v>
      </c>
      <c r="V57" s="77">
        <f t="shared" si="60"/>
        <v>0</v>
      </c>
      <c r="W57" s="77">
        <f t="shared" si="60"/>
        <v>0</v>
      </c>
      <c r="X57" s="77">
        <f t="shared" si="60"/>
        <v>0</v>
      </c>
      <c r="Y57" s="77">
        <f t="shared" si="60"/>
        <v>0</v>
      </c>
      <c r="Z57" s="77">
        <f t="shared" si="60"/>
        <v>0</v>
      </c>
      <c r="AA57" s="77">
        <f t="shared" si="60"/>
        <v>0</v>
      </c>
      <c r="AB57" s="77">
        <f t="shared" si="60"/>
        <v>0</v>
      </c>
      <c r="AC57" s="77">
        <f t="shared" si="60"/>
        <v>0</v>
      </c>
      <c r="AD57" s="77">
        <f t="shared" si="60"/>
        <v>0</v>
      </c>
      <c r="AE57" s="77">
        <f t="shared" si="60"/>
        <v>0</v>
      </c>
      <c r="AF57" s="77">
        <f t="shared" si="60"/>
        <v>0</v>
      </c>
      <c r="AG57" s="77">
        <f t="shared" si="60"/>
        <v>0</v>
      </c>
      <c r="AH57" s="77">
        <f t="shared" si="60"/>
        <v>0</v>
      </c>
      <c r="AI57" s="77">
        <f t="shared" si="60"/>
        <v>0</v>
      </c>
      <c r="AJ57" s="77">
        <f t="shared" si="60"/>
        <v>0</v>
      </c>
      <c r="AK57" s="77">
        <f t="shared" si="60"/>
        <v>0</v>
      </c>
      <c r="AL57" s="77">
        <f t="shared" si="60"/>
        <v>0</v>
      </c>
      <c r="AM57" s="77">
        <f t="shared" si="60"/>
        <v>0</v>
      </c>
      <c r="AN57" s="77">
        <f t="shared" si="60"/>
        <v>0</v>
      </c>
      <c r="AO57" s="77">
        <f t="shared" si="60"/>
        <v>0</v>
      </c>
      <c r="AP57" s="77">
        <f t="shared" si="60"/>
        <v>0</v>
      </c>
      <c r="AQ57" s="77">
        <f t="shared" si="60"/>
        <v>0</v>
      </c>
      <c r="AR57" s="77">
        <f t="shared" si="60"/>
        <v>0</v>
      </c>
      <c r="AS57" s="77">
        <f t="shared" si="60"/>
        <v>0</v>
      </c>
      <c r="AT57" s="77">
        <f t="shared" si="60"/>
        <v>0</v>
      </c>
      <c r="AU57" s="77">
        <f t="shared" si="60"/>
        <v>0</v>
      </c>
      <c r="AV57" s="77">
        <f t="shared" si="60"/>
        <v>0</v>
      </c>
      <c r="AW57" s="77">
        <f t="shared" si="60"/>
        <v>0</v>
      </c>
      <c r="AX57" s="77">
        <f t="shared" si="60"/>
        <v>0</v>
      </c>
      <c r="AY57" s="77">
        <f t="shared" si="60"/>
        <v>0</v>
      </c>
      <c r="AZ57" s="77">
        <f t="shared" si="60"/>
        <v>0</v>
      </c>
      <c r="BA57" s="77">
        <f t="shared" si="60"/>
        <v>0</v>
      </c>
      <c r="BB57" s="77">
        <f t="shared" si="60"/>
        <v>0</v>
      </c>
      <c r="BC57" s="77">
        <f t="shared" si="60"/>
        <v>0</v>
      </c>
      <c r="BD57" s="77">
        <f t="shared" si="60"/>
        <v>0</v>
      </c>
      <c r="BE57" s="77">
        <f t="shared" si="60"/>
        <v>0</v>
      </c>
      <c r="BF57" s="77">
        <f t="shared" si="60"/>
        <v>0</v>
      </c>
      <c r="BG57" s="77">
        <f t="shared" si="60"/>
        <v>0</v>
      </c>
      <c r="BH57" s="77">
        <f t="shared" si="60"/>
        <v>0</v>
      </c>
      <c r="BI57" s="77">
        <f t="shared" si="60"/>
        <v>0</v>
      </c>
      <c r="BJ57" s="77">
        <f t="shared" si="60"/>
        <v>0</v>
      </c>
      <c r="BK57" s="77">
        <f t="shared" si="60"/>
        <v>0</v>
      </c>
      <c r="BL57" s="77">
        <f t="shared" si="60"/>
        <v>0</v>
      </c>
      <c r="BM57" s="77">
        <f t="shared" si="60"/>
        <v>0</v>
      </c>
      <c r="BN57" s="77">
        <f t="shared" si="60"/>
        <v>0</v>
      </c>
      <c r="BO57" s="77">
        <f t="shared" si="60"/>
        <v>0</v>
      </c>
      <c r="BP57" s="77">
        <f t="shared" ref="BP57:CB57" si="61">IF(BP56&gt;$F15+1,0,1)*(IF(BQ57=0,100,0)+IF($G15=1,1,0.5)*$J15*100)</f>
        <v>0</v>
      </c>
      <c r="BQ57" s="77">
        <f t="shared" si="61"/>
        <v>0</v>
      </c>
      <c r="BR57" s="77">
        <f t="shared" si="61"/>
        <v>0</v>
      </c>
      <c r="BS57" s="77">
        <f t="shared" si="61"/>
        <v>0</v>
      </c>
      <c r="BT57" s="77">
        <f t="shared" si="61"/>
        <v>0</v>
      </c>
      <c r="BU57" s="77">
        <f t="shared" si="61"/>
        <v>0</v>
      </c>
      <c r="BV57" s="77">
        <f t="shared" si="61"/>
        <v>0</v>
      </c>
      <c r="BW57" s="77">
        <f t="shared" si="61"/>
        <v>0</v>
      </c>
      <c r="BX57" s="77">
        <f t="shared" si="61"/>
        <v>0</v>
      </c>
      <c r="BY57" s="77">
        <f t="shared" si="61"/>
        <v>0</v>
      </c>
      <c r="BZ57" s="77">
        <f t="shared" si="61"/>
        <v>0</v>
      </c>
      <c r="CA57" s="77">
        <f t="shared" si="61"/>
        <v>0</v>
      </c>
      <c r="CB57" s="78">
        <f t="shared" si="61"/>
        <v>0</v>
      </c>
    </row>
    <row r="58" spans="1:80">
      <c r="A58" s="252" t="s">
        <v>49</v>
      </c>
      <c r="B58" s="47">
        <f>IF(E16=0,F16,E16)</f>
        <v>0</v>
      </c>
      <c r="C58" s="48">
        <f t="shared" ref="C58:BN58" si="62">B58+IF($G16=1,365,182.5)</f>
        <v>182.5</v>
      </c>
      <c r="D58" s="48">
        <f t="shared" si="62"/>
        <v>365</v>
      </c>
      <c r="E58" s="48">
        <f t="shared" si="62"/>
        <v>547.5</v>
      </c>
      <c r="F58" s="48">
        <f t="shared" si="62"/>
        <v>730</v>
      </c>
      <c r="G58" s="48">
        <f t="shared" si="62"/>
        <v>912.5</v>
      </c>
      <c r="H58" s="48">
        <f t="shared" si="62"/>
        <v>1095</v>
      </c>
      <c r="I58" s="48">
        <f t="shared" si="62"/>
        <v>1277.5</v>
      </c>
      <c r="J58" s="48">
        <f t="shared" si="62"/>
        <v>1460</v>
      </c>
      <c r="K58" s="48">
        <f t="shared" si="62"/>
        <v>1642.5</v>
      </c>
      <c r="L58" s="48">
        <f t="shared" si="62"/>
        <v>1825</v>
      </c>
      <c r="M58" s="48">
        <f t="shared" si="62"/>
        <v>2007.5</v>
      </c>
      <c r="N58" s="48">
        <f t="shared" si="62"/>
        <v>2190</v>
      </c>
      <c r="O58" s="48">
        <f t="shared" si="62"/>
        <v>2372.5</v>
      </c>
      <c r="P58" s="48">
        <f t="shared" si="62"/>
        <v>2555</v>
      </c>
      <c r="Q58" s="48">
        <f t="shared" si="62"/>
        <v>2737.5</v>
      </c>
      <c r="R58" s="48">
        <f t="shared" si="62"/>
        <v>2920</v>
      </c>
      <c r="S58" s="48">
        <f t="shared" si="62"/>
        <v>3102.5</v>
      </c>
      <c r="T58" s="48">
        <f t="shared" si="62"/>
        <v>3285</v>
      </c>
      <c r="U58" s="48">
        <f t="shared" si="62"/>
        <v>3467.5</v>
      </c>
      <c r="V58" s="48">
        <f t="shared" si="62"/>
        <v>3650</v>
      </c>
      <c r="W58" s="48">
        <f t="shared" si="62"/>
        <v>3832.5</v>
      </c>
      <c r="X58" s="48">
        <f t="shared" si="62"/>
        <v>4015</v>
      </c>
      <c r="Y58" s="48">
        <f t="shared" si="62"/>
        <v>4197.5</v>
      </c>
      <c r="Z58" s="48">
        <f t="shared" si="62"/>
        <v>4380</v>
      </c>
      <c r="AA58" s="48">
        <f t="shared" si="62"/>
        <v>4562.5</v>
      </c>
      <c r="AB58" s="48">
        <f t="shared" si="62"/>
        <v>4745</v>
      </c>
      <c r="AC58" s="48">
        <f t="shared" si="62"/>
        <v>4927.5</v>
      </c>
      <c r="AD58" s="48">
        <f t="shared" si="62"/>
        <v>5110</v>
      </c>
      <c r="AE58" s="48">
        <f t="shared" si="62"/>
        <v>5292.5</v>
      </c>
      <c r="AF58" s="48">
        <f t="shared" si="62"/>
        <v>5475</v>
      </c>
      <c r="AG58" s="48">
        <f t="shared" si="62"/>
        <v>5657.5</v>
      </c>
      <c r="AH58" s="48">
        <f t="shared" si="62"/>
        <v>5840</v>
      </c>
      <c r="AI58" s="48">
        <f t="shared" si="62"/>
        <v>6022.5</v>
      </c>
      <c r="AJ58" s="48">
        <f t="shared" si="62"/>
        <v>6205</v>
      </c>
      <c r="AK58" s="48">
        <f t="shared" si="62"/>
        <v>6387.5</v>
      </c>
      <c r="AL58" s="48">
        <f t="shared" si="62"/>
        <v>6570</v>
      </c>
      <c r="AM58" s="48">
        <f t="shared" si="62"/>
        <v>6752.5</v>
      </c>
      <c r="AN58" s="48">
        <f t="shared" si="62"/>
        <v>6935</v>
      </c>
      <c r="AO58" s="48">
        <f t="shared" si="62"/>
        <v>7117.5</v>
      </c>
      <c r="AP58" s="48">
        <f t="shared" si="62"/>
        <v>7300</v>
      </c>
      <c r="AQ58" s="48">
        <f t="shared" si="62"/>
        <v>7482.5</v>
      </c>
      <c r="AR58" s="48">
        <f t="shared" si="62"/>
        <v>7665</v>
      </c>
      <c r="AS58" s="48">
        <f t="shared" si="62"/>
        <v>7847.5</v>
      </c>
      <c r="AT58" s="48">
        <f t="shared" si="62"/>
        <v>8030</v>
      </c>
      <c r="AU58" s="48">
        <f t="shared" si="62"/>
        <v>8212.5</v>
      </c>
      <c r="AV58" s="48">
        <f t="shared" si="62"/>
        <v>8395</v>
      </c>
      <c r="AW58" s="48">
        <f t="shared" si="62"/>
        <v>8577.5</v>
      </c>
      <c r="AX58" s="48">
        <f t="shared" si="62"/>
        <v>8760</v>
      </c>
      <c r="AY58" s="48">
        <f t="shared" si="62"/>
        <v>8942.5</v>
      </c>
      <c r="AZ58" s="48">
        <f t="shared" si="62"/>
        <v>9125</v>
      </c>
      <c r="BA58" s="48">
        <f t="shared" si="62"/>
        <v>9307.5</v>
      </c>
      <c r="BB58" s="48">
        <f t="shared" si="62"/>
        <v>9490</v>
      </c>
      <c r="BC58" s="48">
        <f t="shared" si="62"/>
        <v>9672.5</v>
      </c>
      <c r="BD58" s="48">
        <f t="shared" si="62"/>
        <v>9855</v>
      </c>
      <c r="BE58" s="48">
        <f t="shared" si="62"/>
        <v>10037.5</v>
      </c>
      <c r="BF58" s="48">
        <f t="shared" si="62"/>
        <v>10220</v>
      </c>
      <c r="BG58" s="48">
        <f t="shared" si="62"/>
        <v>10402.5</v>
      </c>
      <c r="BH58" s="48">
        <f t="shared" si="62"/>
        <v>10585</v>
      </c>
      <c r="BI58" s="48">
        <f t="shared" si="62"/>
        <v>10767.5</v>
      </c>
      <c r="BJ58" s="48">
        <f t="shared" si="62"/>
        <v>10950</v>
      </c>
      <c r="BK58" s="48">
        <f t="shared" si="62"/>
        <v>11132.5</v>
      </c>
      <c r="BL58" s="48">
        <f t="shared" si="62"/>
        <v>11315</v>
      </c>
      <c r="BM58" s="48">
        <f t="shared" si="62"/>
        <v>11497.5</v>
      </c>
      <c r="BN58" s="48">
        <f t="shared" si="62"/>
        <v>11680</v>
      </c>
      <c r="BO58" s="48">
        <f t="shared" ref="BO58:CB58" si="63">BN58+IF($G16=1,365,182.5)</f>
        <v>11862.5</v>
      </c>
      <c r="BP58" s="48">
        <f t="shared" si="63"/>
        <v>12045</v>
      </c>
      <c r="BQ58" s="48">
        <f t="shared" si="63"/>
        <v>12227.5</v>
      </c>
      <c r="BR58" s="48">
        <f t="shared" si="63"/>
        <v>12410</v>
      </c>
      <c r="BS58" s="48">
        <f t="shared" si="63"/>
        <v>12592.5</v>
      </c>
      <c r="BT58" s="48">
        <f t="shared" si="63"/>
        <v>12775</v>
      </c>
      <c r="BU58" s="48">
        <f t="shared" si="63"/>
        <v>12957.5</v>
      </c>
      <c r="BV58" s="48">
        <f t="shared" si="63"/>
        <v>13140</v>
      </c>
      <c r="BW58" s="48">
        <f t="shared" si="63"/>
        <v>13322.5</v>
      </c>
      <c r="BX58" s="48">
        <f t="shared" si="63"/>
        <v>13505</v>
      </c>
      <c r="BY58" s="48">
        <f t="shared" si="63"/>
        <v>13687.5</v>
      </c>
      <c r="BZ58" s="48">
        <f t="shared" si="63"/>
        <v>13870</v>
      </c>
      <c r="CA58" s="48">
        <f t="shared" si="63"/>
        <v>14052.5</v>
      </c>
      <c r="CB58" s="49">
        <f t="shared" si="63"/>
        <v>14235</v>
      </c>
    </row>
    <row r="59" spans="1:80">
      <c r="A59" s="168" t="s">
        <v>18</v>
      </c>
      <c r="B59" s="108">
        <f>(IF(B58=F16,100,0)+IF(G16=1,1,0.5)*J16*100)*IF(ISBLANK(F16)=TRUE,0,1)</f>
        <v>0</v>
      </c>
      <c r="C59" s="50">
        <f>IF(C58&gt;$F16+1,0,1)*(IF(D59=0,100,0)+IF($G16=1,1,0.5)*$J16*100)</f>
        <v>0</v>
      </c>
      <c r="D59" s="50">
        <f t="shared" ref="D59:BO59" si="64">IF(D58&gt;$F16+1,0,1)*(IF(E59=0,100,0)+IF($G16=1,1,0.5)*$J16*100)</f>
        <v>0</v>
      </c>
      <c r="E59" s="50">
        <f t="shared" si="64"/>
        <v>0</v>
      </c>
      <c r="F59" s="50">
        <f t="shared" si="64"/>
        <v>0</v>
      </c>
      <c r="G59" s="50">
        <f t="shared" si="64"/>
        <v>0</v>
      </c>
      <c r="H59" s="50">
        <f t="shared" si="64"/>
        <v>0</v>
      </c>
      <c r="I59" s="50">
        <f t="shared" si="64"/>
        <v>0</v>
      </c>
      <c r="J59" s="50">
        <f t="shared" si="64"/>
        <v>0</v>
      </c>
      <c r="K59" s="50">
        <f t="shared" si="64"/>
        <v>0</v>
      </c>
      <c r="L59" s="50">
        <f t="shared" si="64"/>
        <v>0</v>
      </c>
      <c r="M59" s="50">
        <f t="shared" si="64"/>
        <v>0</v>
      </c>
      <c r="N59" s="50">
        <f t="shared" si="64"/>
        <v>0</v>
      </c>
      <c r="O59" s="50">
        <f t="shared" si="64"/>
        <v>0</v>
      </c>
      <c r="P59" s="50">
        <f t="shared" si="64"/>
        <v>0</v>
      </c>
      <c r="Q59" s="50">
        <f t="shared" si="64"/>
        <v>0</v>
      </c>
      <c r="R59" s="50">
        <f t="shared" si="64"/>
        <v>0</v>
      </c>
      <c r="S59" s="50">
        <f t="shared" si="64"/>
        <v>0</v>
      </c>
      <c r="T59" s="50">
        <f t="shared" si="64"/>
        <v>0</v>
      </c>
      <c r="U59" s="50">
        <f t="shared" si="64"/>
        <v>0</v>
      </c>
      <c r="V59" s="50">
        <f t="shared" si="64"/>
        <v>0</v>
      </c>
      <c r="W59" s="50">
        <f t="shared" si="64"/>
        <v>0</v>
      </c>
      <c r="X59" s="50">
        <f t="shared" si="64"/>
        <v>0</v>
      </c>
      <c r="Y59" s="50">
        <f t="shared" si="64"/>
        <v>0</v>
      </c>
      <c r="Z59" s="50">
        <f t="shared" si="64"/>
        <v>0</v>
      </c>
      <c r="AA59" s="50">
        <f t="shared" si="64"/>
        <v>0</v>
      </c>
      <c r="AB59" s="50">
        <f t="shared" si="64"/>
        <v>0</v>
      </c>
      <c r="AC59" s="50">
        <f t="shared" si="64"/>
        <v>0</v>
      </c>
      <c r="AD59" s="50">
        <f t="shared" si="64"/>
        <v>0</v>
      </c>
      <c r="AE59" s="50">
        <f t="shared" si="64"/>
        <v>0</v>
      </c>
      <c r="AF59" s="50">
        <f t="shared" si="64"/>
        <v>0</v>
      </c>
      <c r="AG59" s="50">
        <f t="shared" si="64"/>
        <v>0</v>
      </c>
      <c r="AH59" s="50">
        <f t="shared" si="64"/>
        <v>0</v>
      </c>
      <c r="AI59" s="50">
        <f t="shared" si="64"/>
        <v>0</v>
      </c>
      <c r="AJ59" s="50">
        <f t="shared" si="64"/>
        <v>0</v>
      </c>
      <c r="AK59" s="50">
        <f t="shared" si="64"/>
        <v>0</v>
      </c>
      <c r="AL59" s="50">
        <f t="shared" si="64"/>
        <v>0</v>
      </c>
      <c r="AM59" s="50">
        <f t="shared" si="64"/>
        <v>0</v>
      </c>
      <c r="AN59" s="50">
        <f t="shared" si="64"/>
        <v>0</v>
      </c>
      <c r="AO59" s="50">
        <f t="shared" si="64"/>
        <v>0</v>
      </c>
      <c r="AP59" s="50">
        <f t="shared" si="64"/>
        <v>0</v>
      </c>
      <c r="AQ59" s="50">
        <f t="shared" si="64"/>
        <v>0</v>
      </c>
      <c r="AR59" s="50">
        <f t="shared" si="64"/>
        <v>0</v>
      </c>
      <c r="AS59" s="50">
        <f t="shared" si="64"/>
        <v>0</v>
      </c>
      <c r="AT59" s="50">
        <f t="shared" si="64"/>
        <v>0</v>
      </c>
      <c r="AU59" s="50">
        <f t="shared" si="64"/>
        <v>0</v>
      </c>
      <c r="AV59" s="50">
        <f t="shared" si="64"/>
        <v>0</v>
      </c>
      <c r="AW59" s="50">
        <f t="shared" si="64"/>
        <v>0</v>
      </c>
      <c r="AX59" s="50">
        <f t="shared" si="64"/>
        <v>0</v>
      </c>
      <c r="AY59" s="50">
        <f t="shared" si="64"/>
        <v>0</v>
      </c>
      <c r="AZ59" s="50">
        <f t="shared" si="64"/>
        <v>0</v>
      </c>
      <c r="BA59" s="50">
        <f t="shared" si="64"/>
        <v>0</v>
      </c>
      <c r="BB59" s="50">
        <f t="shared" si="64"/>
        <v>0</v>
      </c>
      <c r="BC59" s="50">
        <f t="shared" si="64"/>
        <v>0</v>
      </c>
      <c r="BD59" s="50">
        <f t="shared" si="64"/>
        <v>0</v>
      </c>
      <c r="BE59" s="50">
        <f t="shared" si="64"/>
        <v>0</v>
      </c>
      <c r="BF59" s="50">
        <f t="shared" si="64"/>
        <v>0</v>
      </c>
      <c r="BG59" s="50">
        <f t="shared" si="64"/>
        <v>0</v>
      </c>
      <c r="BH59" s="50">
        <f t="shared" si="64"/>
        <v>0</v>
      </c>
      <c r="BI59" s="50">
        <f t="shared" si="64"/>
        <v>0</v>
      </c>
      <c r="BJ59" s="50">
        <f t="shared" si="64"/>
        <v>0</v>
      </c>
      <c r="BK59" s="50">
        <f t="shared" si="64"/>
        <v>0</v>
      </c>
      <c r="BL59" s="50">
        <f t="shared" si="64"/>
        <v>0</v>
      </c>
      <c r="BM59" s="50">
        <f t="shared" si="64"/>
        <v>0</v>
      </c>
      <c r="BN59" s="50">
        <f t="shared" si="64"/>
        <v>0</v>
      </c>
      <c r="BO59" s="50">
        <f t="shared" si="64"/>
        <v>0</v>
      </c>
      <c r="BP59" s="50">
        <f t="shared" ref="BP59:CB59" si="65">IF(BP58&gt;$F16+1,0,1)*(IF(BQ59=0,100,0)+IF($G16=1,1,0.5)*$J16*100)</f>
        <v>0</v>
      </c>
      <c r="BQ59" s="50">
        <f t="shared" si="65"/>
        <v>0</v>
      </c>
      <c r="BR59" s="50">
        <f t="shared" si="65"/>
        <v>0</v>
      </c>
      <c r="BS59" s="50">
        <f t="shared" si="65"/>
        <v>0</v>
      </c>
      <c r="BT59" s="50">
        <f t="shared" si="65"/>
        <v>0</v>
      </c>
      <c r="BU59" s="50">
        <f t="shared" si="65"/>
        <v>0</v>
      </c>
      <c r="BV59" s="50">
        <f t="shared" si="65"/>
        <v>0</v>
      </c>
      <c r="BW59" s="50">
        <f t="shared" si="65"/>
        <v>0</v>
      </c>
      <c r="BX59" s="50">
        <f t="shared" si="65"/>
        <v>0</v>
      </c>
      <c r="BY59" s="50">
        <f t="shared" si="65"/>
        <v>0</v>
      </c>
      <c r="BZ59" s="50">
        <f t="shared" si="65"/>
        <v>0</v>
      </c>
      <c r="CA59" s="50">
        <f t="shared" si="65"/>
        <v>0</v>
      </c>
      <c r="CB59" s="51">
        <f t="shared" si="65"/>
        <v>0</v>
      </c>
    </row>
    <row r="60" spans="1:80">
      <c r="A60" s="251" t="s">
        <v>49</v>
      </c>
      <c r="B60" s="79">
        <f>IF(E17=0,F17,E17)</f>
        <v>0</v>
      </c>
      <c r="C60" s="80">
        <f t="shared" ref="C60:BN60" si="66">B60+IF($G17=1,365,182.5)</f>
        <v>182.5</v>
      </c>
      <c r="D60" s="80">
        <f t="shared" si="66"/>
        <v>365</v>
      </c>
      <c r="E60" s="80">
        <f t="shared" si="66"/>
        <v>547.5</v>
      </c>
      <c r="F60" s="80">
        <f t="shared" si="66"/>
        <v>730</v>
      </c>
      <c r="G60" s="80">
        <f t="shared" si="66"/>
        <v>912.5</v>
      </c>
      <c r="H60" s="80">
        <f t="shared" si="66"/>
        <v>1095</v>
      </c>
      <c r="I60" s="80">
        <f t="shared" si="66"/>
        <v>1277.5</v>
      </c>
      <c r="J60" s="80">
        <f t="shared" si="66"/>
        <v>1460</v>
      </c>
      <c r="K60" s="80">
        <f t="shared" si="66"/>
        <v>1642.5</v>
      </c>
      <c r="L60" s="80">
        <f t="shared" si="66"/>
        <v>1825</v>
      </c>
      <c r="M60" s="80">
        <f t="shared" si="66"/>
        <v>2007.5</v>
      </c>
      <c r="N60" s="80">
        <f t="shared" si="66"/>
        <v>2190</v>
      </c>
      <c r="O60" s="80">
        <f t="shared" si="66"/>
        <v>2372.5</v>
      </c>
      <c r="P60" s="80">
        <f t="shared" si="66"/>
        <v>2555</v>
      </c>
      <c r="Q60" s="80">
        <f t="shared" si="66"/>
        <v>2737.5</v>
      </c>
      <c r="R60" s="80">
        <f t="shared" si="66"/>
        <v>2920</v>
      </c>
      <c r="S60" s="80">
        <f t="shared" si="66"/>
        <v>3102.5</v>
      </c>
      <c r="T60" s="80">
        <f t="shared" si="66"/>
        <v>3285</v>
      </c>
      <c r="U60" s="80">
        <f t="shared" si="66"/>
        <v>3467.5</v>
      </c>
      <c r="V60" s="80">
        <f t="shared" si="66"/>
        <v>3650</v>
      </c>
      <c r="W60" s="80">
        <f t="shared" si="66"/>
        <v>3832.5</v>
      </c>
      <c r="X60" s="80">
        <f t="shared" si="66"/>
        <v>4015</v>
      </c>
      <c r="Y60" s="80">
        <f t="shared" si="66"/>
        <v>4197.5</v>
      </c>
      <c r="Z60" s="80">
        <f t="shared" si="66"/>
        <v>4380</v>
      </c>
      <c r="AA60" s="80">
        <f t="shared" si="66"/>
        <v>4562.5</v>
      </c>
      <c r="AB60" s="80">
        <f t="shared" si="66"/>
        <v>4745</v>
      </c>
      <c r="AC60" s="80">
        <f t="shared" si="66"/>
        <v>4927.5</v>
      </c>
      <c r="AD60" s="80">
        <f t="shared" si="66"/>
        <v>5110</v>
      </c>
      <c r="AE60" s="80">
        <f t="shared" si="66"/>
        <v>5292.5</v>
      </c>
      <c r="AF60" s="80">
        <f t="shared" si="66"/>
        <v>5475</v>
      </c>
      <c r="AG60" s="80">
        <f t="shared" si="66"/>
        <v>5657.5</v>
      </c>
      <c r="AH60" s="80">
        <f t="shared" si="66"/>
        <v>5840</v>
      </c>
      <c r="AI60" s="80">
        <f t="shared" si="66"/>
        <v>6022.5</v>
      </c>
      <c r="AJ60" s="80">
        <f t="shared" si="66"/>
        <v>6205</v>
      </c>
      <c r="AK60" s="80">
        <f t="shared" si="66"/>
        <v>6387.5</v>
      </c>
      <c r="AL60" s="80">
        <f t="shared" si="66"/>
        <v>6570</v>
      </c>
      <c r="AM60" s="80">
        <f t="shared" si="66"/>
        <v>6752.5</v>
      </c>
      <c r="AN60" s="80">
        <f t="shared" si="66"/>
        <v>6935</v>
      </c>
      <c r="AO60" s="80">
        <f t="shared" si="66"/>
        <v>7117.5</v>
      </c>
      <c r="AP60" s="80">
        <f t="shared" si="66"/>
        <v>7300</v>
      </c>
      <c r="AQ60" s="80">
        <f t="shared" si="66"/>
        <v>7482.5</v>
      </c>
      <c r="AR60" s="80">
        <f t="shared" si="66"/>
        <v>7665</v>
      </c>
      <c r="AS60" s="80">
        <f t="shared" si="66"/>
        <v>7847.5</v>
      </c>
      <c r="AT60" s="80">
        <f t="shared" si="66"/>
        <v>8030</v>
      </c>
      <c r="AU60" s="80">
        <f t="shared" si="66"/>
        <v>8212.5</v>
      </c>
      <c r="AV60" s="80">
        <f t="shared" si="66"/>
        <v>8395</v>
      </c>
      <c r="AW60" s="80">
        <f t="shared" si="66"/>
        <v>8577.5</v>
      </c>
      <c r="AX60" s="80">
        <f t="shared" si="66"/>
        <v>8760</v>
      </c>
      <c r="AY60" s="80">
        <f t="shared" si="66"/>
        <v>8942.5</v>
      </c>
      <c r="AZ60" s="80">
        <f t="shared" si="66"/>
        <v>9125</v>
      </c>
      <c r="BA60" s="80">
        <f t="shared" si="66"/>
        <v>9307.5</v>
      </c>
      <c r="BB60" s="80">
        <f t="shared" si="66"/>
        <v>9490</v>
      </c>
      <c r="BC60" s="80">
        <f t="shared" si="66"/>
        <v>9672.5</v>
      </c>
      <c r="BD60" s="80">
        <f t="shared" si="66"/>
        <v>9855</v>
      </c>
      <c r="BE60" s="80">
        <f t="shared" si="66"/>
        <v>10037.5</v>
      </c>
      <c r="BF60" s="80">
        <f t="shared" si="66"/>
        <v>10220</v>
      </c>
      <c r="BG60" s="80">
        <f t="shared" si="66"/>
        <v>10402.5</v>
      </c>
      <c r="BH60" s="80">
        <f t="shared" si="66"/>
        <v>10585</v>
      </c>
      <c r="BI60" s="80">
        <f t="shared" si="66"/>
        <v>10767.5</v>
      </c>
      <c r="BJ60" s="80">
        <f t="shared" si="66"/>
        <v>10950</v>
      </c>
      <c r="BK60" s="80">
        <f t="shared" si="66"/>
        <v>11132.5</v>
      </c>
      <c r="BL60" s="80">
        <f t="shared" si="66"/>
        <v>11315</v>
      </c>
      <c r="BM60" s="80">
        <f t="shared" si="66"/>
        <v>11497.5</v>
      </c>
      <c r="BN60" s="80">
        <f t="shared" si="66"/>
        <v>11680</v>
      </c>
      <c r="BO60" s="80">
        <f t="shared" ref="BO60:CB60" si="67">BN60+IF($G17=1,365,182.5)</f>
        <v>11862.5</v>
      </c>
      <c r="BP60" s="80">
        <f t="shared" si="67"/>
        <v>12045</v>
      </c>
      <c r="BQ60" s="80">
        <f t="shared" si="67"/>
        <v>12227.5</v>
      </c>
      <c r="BR60" s="80">
        <f t="shared" si="67"/>
        <v>12410</v>
      </c>
      <c r="BS60" s="80">
        <f t="shared" si="67"/>
        <v>12592.5</v>
      </c>
      <c r="BT60" s="80">
        <f t="shared" si="67"/>
        <v>12775</v>
      </c>
      <c r="BU60" s="80">
        <f t="shared" si="67"/>
        <v>12957.5</v>
      </c>
      <c r="BV60" s="80">
        <f t="shared" si="67"/>
        <v>13140</v>
      </c>
      <c r="BW60" s="80">
        <f t="shared" si="67"/>
        <v>13322.5</v>
      </c>
      <c r="BX60" s="80">
        <f t="shared" si="67"/>
        <v>13505</v>
      </c>
      <c r="BY60" s="80">
        <f t="shared" si="67"/>
        <v>13687.5</v>
      </c>
      <c r="BZ60" s="80">
        <f t="shared" si="67"/>
        <v>13870</v>
      </c>
      <c r="CA60" s="80">
        <f t="shared" si="67"/>
        <v>14052.5</v>
      </c>
      <c r="CB60" s="81">
        <f t="shared" si="67"/>
        <v>14235</v>
      </c>
    </row>
    <row r="61" spans="1:80">
      <c r="A61" s="176" t="s">
        <v>33</v>
      </c>
      <c r="B61" s="114">
        <f>(IF(B60=F17,100,0)+IF(G17=1,1,0.5)*J17*100)*IF(ISBLANK(F17)=TRUE,0,1)</f>
        <v>0</v>
      </c>
      <c r="C61" s="82">
        <f>IF(C60&gt;$F17+1,0,1)*(IF(D61=0,100,0)+IF($G17=1,1,0.5)*$J17*100)</f>
        <v>0</v>
      </c>
      <c r="D61" s="82">
        <f t="shared" ref="D61:BO61" si="68">IF(D60&gt;$F17+1,0,1)*(IF(E61=0,100,0)+IF($G17=1,1,0.5)*$J17*100)</f>
        <v>0</v>
      </c>
      <c r="E61" s="82">
        <f t="shared" si="68"/>
        <v>0</v>
      </c>
      <c r="F61" s="82">
        <f t="shared" si="68"/>
        <v>0</v>
      </c>
      <c r="G61" s="82">
        <f t="shared" si="68"/>
        <v>0</v>
      </c>
      <c r="H61" s="82">
        <f t="shared" si="68"/>
        <v>0</v>
      </c>
      <c r="I61" s="82">
        <f t="shared" si="68"/>
        <v>0</v>
      </c>
      <c r="J61" s="82">
        <f t="shared" si="68"/>
        <v>0</v>
      </c>
      <c r="K61" s="82">
        <f t="shared" si="68"/>
        <v>0</v>
      </c>
      <c r="L61" s="82">
        <f t="shared" si="68"/>
        <v>0</v>
      </c>
      <c r="M61" s="82">
        <f t="shared" si="68"/>
        <v>0</v>
      </c>
      <c r="N61" s="82">
        <f t="shared" si="68"/>
        <v>0</v>
      </c>
      <c r="O61" s="82">
        <f t="shared" si="68"/>
        <v>0</v>
      </c>
      <c r="P61" s="82">
        <f t="shared" si="68"/>
        <v>0</v>
      </c>
      <c r="Q61" s="82">
        <f t="shared" si="68"/>
        <v>0</v>
      </c>
      <c r="R61" s="82">
        <f t="shared" si="68"/>
        <v>0</v>
      </c>
      <c r="S61" s="82">
        <f t="shared" si="68"/>
        <v>0</v>
      </c>
      <c r="T61" s="82">
        <f t="shared" si="68"/>
        <v>0</v>
      </c>
      <c r="U61" s="82">
        <f t="shared" si="68"/>
        <v>0</v>
      </c>
      <c r="V61" s="82">
        <f t="shared" si="68"/>
        <v>0</v>
      </c>
      <c r="W61" s="82">
        <f t="shared" si="68"/>
        <v>0</v>
      </c>
      <c r="X61" s="82">
        <f t="shared" si="68"/>
        <v>0</v>
      </c>
      <c r="Y61" s="82">
        <f t="shared" si="68"/>
        <v>0</v>
      </c>
      <c r="Z61" s="82">
        <f t="shared" si="68"/>
        <v>0</v>
      </c>
      <c r="AA61" s="82">
        <f t="shared" si="68"/>
        <v>0</v>
      </c>
      <c r="AB61" s="82">
        <f t="shared" si="68"/>
        <v>0</v>
      </c>
      <c r="AC61" s="82">
        <f t="shared" si="68"/>
        <v>0</v>
      </c>
      <c r="AD61" s="82">
        <f t="shared" si="68"/>
        <v>0</v>
      </c>
      <c r="AE61" s="82">
        <f t="shared" si="68"/>
        <v>0</v>
      </c>
      <c r="AF61" s="82">
        <f t="shared" si="68"/>
        <v>0</v>
      </c>
      <c r="AG61" s="82">
        <f t="shared" si="68"/>
        <v>0</v>
      </c>
      <c r="AH61" s="82">
        <f t="shared" si="68"/>
        <v>0</v>
      </c>
      <c r="AI61" s="82">
        <f t="shared" si="68"/>
        <v>0</v>
      </c>
      <c r="AJ61" s="82">
        <f t="shared" si="68"/>
        <v>0</v>
      </c>
      <c r="AK61" s="82">
        <f t="shared" si="68"/>
        <v>0</v>
      </c>
      <c r="AL61" s="82">
        <f t="shared" si="68"/>
        <v>0</v>
      </c>
      <c r="AM61" s="82">
        <f t="shared" si="68"/>
        <v>0</v>
      </c>
      <c r="AN61" s="82">
        <f t="shared" si="68"/>
        <v>0</v>
      </c>
      <c r="AO61" s="82">
        <f t="shared" si="68"/>
        <v>0</v>
      </c>
      <c r="AP61" s="82">
        <f t="shared" si="68"/>
        <v>0</v>
      </c>
      <c r="AQ61" s="82">
        <f t="shared" si="68"/>
        <v>0</v>
      </c>
      <c r="AR61" s="82">
        <f t="shared" si="68"/>
        <v>0</v>
      </c>
      <c r="AS61" s="82">
        <f t="shared" si="68"/>
        <v>0</v>
      </c>
      <c r="AT61" s="82">
        <f t="shared" si="68"/>
        <v>0</v>
      </c>
      <c r="AU61" s="82">
        <f t="shared" si="68"/>
        <v>0</v>
      </c>
      <c r="AV61" s="82">
        <f t="shared" si="68"/>
        <v>0</v>
      </c>
      <c r="AW61" s="82">
        <f t="shared" si="68"/>
        <v>0</v>
      </c>
      <c r="AX61" s="82">
        <f t="shared" si="68"/>
        <v>0</v>
      </c>
      <c r="AY61" s="82">
        <f t="shared" si="68"/>
        <v>0</v>
      </c>
      <c r="AZ61" s="82">
        <f t="shared" si="68"/>
        <v>0</v>
      </c>
      <c r="BA61" s="82">
        <f t="shared" si="68"/>
        <v>0</v>
      </c>
      <c r="BB61" s="82">
        <f t="shared" si="68"/>
        <v>0</v>
      </c>
      <c r="BC61" s="82">
        <f t="shared" si="68"/>
        <v>0</v>
      </c>
      <c r="BD61" s="82">
        <f t="shared" si="68"/>
        <v>0</v>
      </c>
      <c r="BE61" s="82">
        <f t="shared" si="68"/>
        <v>0</v>
      </c>
      <c r="BF61" s="82">
        <f t="shared" si="68"/>
        <v>0</v>
      </c>
      <c r="BG61" s="82">
        <f t="shared" si="68"/>
        <v>0</v>
      </c>
      <c r="BH61" s="82">
        <f t="shared" si="68"/>
        <v>0</v>
      </c>
      <c r="BI61" s="82">
        <f t="shared" si="68"/>
        <v>0</v>
      </c>
      <c r="BJ61" s="82">
        <f t="shared" si="68"/>
        <v>0</v>
      </c>
      <c r="BK61" s="82">
        <f t="shared" si="68"/>
        <v>0</v>
      </c>
      <c r="BL61" s="82">
        <f t="shared" si="68"/>
        <v>0</v>
      </c>
      <c r="BM61" s="82">
        <f t="shared" si="68"/>
        <v>0</v>
      </c>
      <c r="BN61" s="82">
        <f t="shared" si="68"/>
        <v>0</v>
      </c>
      <c r="BO61" s="82">
        <f t="shared" si="68"/>
        <v>0</v>
      </c>
      <c r="BP61" s="82">
        <f t="shared" ref="BP61:CB61" si="69">IF(BP60&gt;$F17+1,0,1)*(IF(BQ61=0,100,0)+IF($G17=1,1,0.5)*$J17*100)</f>
        <v>0</v>
      </c>
      <c r="BQ61" s="82">
        <f t="shared" si="69"/>
        <v>0</v>
      </c>
      <c r="BR61" s="82">
        <f t="shared" si="69"/>
        <v>0</v>
      </c>
      <c r="BS61" s="82">
        <f t="shared" si="69"/>
        <v>0</v>
      </c>
      <c r="BT61" s="82">
        <f t="shared" si="69"/>
        <v>0</v>
      </c>
      <c r="BU61" s="82">
        <f t="shared" si="69"/>
        <v>0</v>
      </c>
      <c r="BV61" s="82">
        <f t="shared" si="69"/>
        <v>0</v>
      </c>
      <c r="BW61" s="82">
        <f t="shared" si="69"/>
        <v>0</v>
      </c>
      <c r="BX61" s="82">
        <f t="shared" si="69"/>
        <v>0</v>
      </c>
      <c r="BY61" s="82">
        <f t="shared" si="69"/>
        <v>0</v>
      </c>
      <c r="BZ61" s="82">
        <f t="shared" si="69"/>
        <v>0</v>
      </c>
      <c r="CA61" s="82">
        <f t="shared" si="69"/>
        <v>0</v>
      </c>
      <c r="CB61" s="83">
        <f t="shared" si="69"/>
        <v>0</v>
      </c>
    </row>
    <row r="62" spans="1:80">
      <c r="A62" s="250" t="s">
        <v>49</v>
      </c>
      <c r="B62" s="84">
        <f>IF(E18=0,F18,E18)</f>
        <v>0</v>
      </c>
      <c r="C62" s="85">
        <f>B62+IF($G18=1,365,182.5)</f>
        <v>182.5</v>
      </c>
      <c r="D62" s="85">
        <f t="shared" ref="D62:BO62" si="70">C62+IF($G18=1,365,182.5)</f>
        <v>365</v>
      </c>
      <c r="E62" s="85">
        <f t="shared" si="70"/>
        <v>547.5</v>
      </c>
      <c r="F62" s="85">
        <f t="shared" si="70"/>
        <v>730</v>
      </c>
      <c r="G62" s="85">
        <f t="shared" si="70"/>
        <v>912.5</v>
      </c>
      <c r="H62" s="85">
        <f t="shared" si="70"/>
        <v>1095</v>
      </c>
      <c r="I62" s="85">
        <f t="shared" si="70"/>
        <v>1277.5</v>
      </c>
      <c r="J62" s="85">
        <f t="shared" si="70"/>
        <v>1460</v>
      </c>
      <c r="K62" s="85">
        <f t="shared" si="70"/>
        <v>1642.5</v>
      </c>
      <c r="L62" s="85">
        <f t="shared" si="70"/>
        <v>1825</v>
      </c>
      <c r="M62" s="85">
        <f t="shared" si="70"/>
        <v>2007.5</v>
      </c>
      <c r="N62" s="85">
        <f t="shared" si="70"/>
        <v>2190</v>
      </c>
      <c r="O62" s="85">
        <f t="shared" si="70"/>
        <v>2372.5</v>
      </c>
      <c r="P62" s="85">
        <f t="shared" si="70"/>
        <v>2555</v>
      </c>
      <c r="Q62" s="85">
        <f t="shared" si="70"/>
        <v>2737.5</v>
      </c>
      <c r="R62" s="85">
        <f t="shared" si="70"/>
        <v>2920</v>
      </c>
      <c r="S62" s="85">
        <f t="shared" si="70"/>
        <v>3102.5</v>
      </c>
      <c r="T62" s="85">
        <f t="shared" si="70"/>
        <v>3285</v>
      </c>
      <c r="U62" s="85">
        <f t="shared" si="70"/>
        <v>3467.5</v>
      </c>
      <c r="V62" s="85">
        <f t="shared" si="70"/>
        <v>3650</v>
      </c>
      <c r="W62" s="85">
        <f t="shared" si="70"/>
        <v>3832.5</v>
      </c>
      <c r="X62" s="85">
        <f t="shared" si="70"/>
        <v>4015</v>
      </c>
      <c r="Y62" s="85">
        <f t="shared" si="70"/>
        <v>4197.5</v>
      </c>
      <c r="Z62" s="85">
        <f t="shared" si="70"/>
        <v>4380</v>
      </c>
      <c r="AA62" s="85">
        <f t="shared" si="70"/>
        <v>4562.5</v>
      </c>
      <c r="AB62" s="85">
        <f t="shared" si="70"/>
        <v>4745</v>
      </c>
      <c r="AC62" s="85">
        <f t="shared" si="70"/>
        <v>4927.5</v>
      </c>
      <c r="AD62" s="85">
        <f t="shared" si="70"/>
        <v>5110</v>
      </c>
      <c r="AE62" s="85">
        <f t="shared" si="70"/>
        <v>5292.5</v>
      </c>
      <c r="AF62" s="85">
        <f t="shared" si="70"/>
        <v>5475</v>
      </c>
      <c r="AG62" s="85">
        <f t="shared" si="70"/>
        <v>5657.5</v>
      </c>
      <c r="AH62" s="85">
        <f t="shared" si="70"/>
        <v>5840</v>
      </c>
      <c r="AI62" s="85">
        <f t="shared" si="70"/>
        <v>6022.5</v>
      </c>
      <c r="AJ62" s="85">
        <f t="shared" si="70"/>
        <v>6205</v>
      </c>
      <c r="AK62" s="85">
        <f t="shared" si="70"/>
        <v>6387.5</v>
      </c>
      <c r="AL62" s="85">
        <f t="shared" si="70"/>
        <v>6570</v>
      </c>
      <c r="AM62" s="85">
        <f t="shared" si="70"/>
        <v>6752.5</v>
      </c>
      <c r="AN62" s="85">
        <f t="shared" si="70"/>
        <v>6935</v>
      </c>
      <c r="AO62" s="85">
        <f t="shared" si="70"/>
        <v>7117.5</v>
      </c>
      <c r="AP62" s="85">
        <f t="shared" si="70"/>
        <v>7300</v>
      </c>
      <c r="AQ62" s="85">
        <f t="shared" si="70"/>
        <v>7482.5</v>
      </c>
      <c r="AR62" s="85">
        <f t="shared" si="70"/>
        <v>7665</v>
      </c>
      <c r="AS62" s="85">
        <f t="shared" si="70"/>
        <v>7847.5</v>
      </c>
      <c r="AT62" s="85">
        <f t="shared" si="70"/>
        <v>8030</v>
      </c>
      <c r="AU62" s="85">
        <f t="shared" si="70"/>
        <v>8212.5</v>
      </c>
      <c r="AV62" s="85">
        <f t="shared" si="70"/>
        <v>8395</v>
      </c>
      <c r="AW62" s="85">
        <f t="shared" si="70"/>
        <v>8577.5</v>
      </c>
      <c r="AX62" s="85">
        <f t="shared" si="70"/>
        <v>8760</v>
      </c>
      <c r="AY62" s="85">
        <f t="shared" si="70"/>
        <v>8942.5</v>
      </c>
      <c r="AZ62" s="85">
        <f t="shared" si="70"/>
        <v>9125</v>
      </c>
      <c r="BA62" s="85">
        <f t="shared" si="70"/>
        <v>9307.5</v>
      </c>
      <c r="BB62" s="85">
        <f t="shared" si="70"/>
        <v>9490</v>
      </c>
      <c r="BC62" s="85">
        <f t="shared" si="70"/>
        <v>9672.5</v>
      </c>
      <c r="BD62" s="85">
        <f t="shared" si="70"/>
        <v>9855</v>
      </c>
      <c r="BE62" s="85">
        <f t="shared" si="70"/>
        <v>10037.5</v>
      </c>
      <c r="BF62" s="85">
        <f t="shared" si="70"/>
        <v>10220</v>
      </c>
      <c r="BG62" s="85">
        <f t="shared" si="70"/>
        <v>10402.5</v>
      </c>
      <c r="BH62" s="85">
        <f t="shared" si="70"/>
        <v>10585</v>
      </c>
      <c r="BI62" s="85">
        <f t="shared" si="70"/>
        <v>10767.5</v>
      </c>
      <c r="BJ62" s="85">
        <f t="shared" si="70"/>
        <v>10950</v>
      </c>
      <c r="BK62" s="85">
        <f t="shared" si="70"/>
        <v>11132.5</v>
      </c>
      <c r="BL62" s="85">
        <f t="shared" si="70"/>
        <v>11315</v>
      </c>
      <c r="BM62" s="85">
        <f t="shared" si="70"/>
        <v>11497.5</v>
      </c>
      <c r="BN62" s="85">
        <f t="shared" si="70"/>
        <v>11680</v>
      </c>
      <c r="BO62" s="85">
        <f t="shared" si="70"/>
        <v>11862.5</v>
      </c>
      <c r="BP62" s="85">
        <f t="shared" ref="BP62:CB62" si="71">BO62+IF($G18=1,365,182.5)</f>
        <v>12045</v>
      </c>
      <c r="BQ62" s="85">
        <f t="shared" si="71"/>
        <v>12227.5</v>
      </c>
      <c r="BR62" s="85">
        <f t="shared" si="71"/>
        <v>12410</v>
      </c>
      <c r="BS62" s="85">
        <f t="shared" si="71"/>
        <v>12592.5</v>
      </c>
      <c r="BT62" s="85">
        <f t="shared" si="71"/>
        <v>12775</v>
      </c>
      <c r="BU62" s="85">
        <f t="shared" si="71"/>
        <v>12957.5</v>
      </c>
      <c r="BV62" s="85">
        <f t="shared" si="71"/>
        <v>13140</v>
      </c>
      <c r="BW62" s="85">
        <f t="shared" si="71"/>
        <v>13322.5</v>
      </c>
      <c r="BX62" s="85">
        <f t="shared" si="71"/>
        <v>13505</v>
      </c>
      <c r="BY62" s="85">
        <f t="shared" si="71"/>
        <v>13687.5</v>
      </c>
      <c r="BZ62" s="85">
        <f t="shared" si="71"/>
        <v>13870</v>
      </c>
      <c r="CA62" s="85">
        <f t="shared" si="71"/>
        <v>14052.5</v>
      </c>
      <c r="CB62" s="86">
        <f t="shared" si="71"/>
        <v>14235</v>
      </c>
    </row>
    <row r="63" spans="1:80">
      <c r="A63" s="177" t="s">
        <v>34</v>
      </c>
      <c r="B63" s="115">
        <f>(IF(B62=F18,100,0)+IF(G18=1,1,0.5)*J18*100)*IF(ISBLANK(F18)=TRUE,0,1)</f>
        <v>0</v>
      </c>
      <c r="C63" s="87">
        <f>IF(C62&gt;$F18+1,0,1)*(IF(D63=0,100,0)+IF($G18=1,1,0.5)*$J18*100)</f>
        <v>0</v>
      </c>
      <c r="D63" s="87">
        <f t="shared" ref="D63:BO63" si="72">IF(D62&gt;$F18+1,0,1)*(IF(E63=0,100,0)+IF($G18=1,1,0.5)*$J18*100)</f>
        <v>0</v>
      </c>
      <c r="E63" s="87">
        <f t="shared" si="72"/>
        <v>0</v>
      </c>
      <c r="F63" s="87">
        <f t="shared" si="72"/>
        <v>0</v>
      </c>
      <c r="G63" s="87">
        <f t="shared" si="72"/>
        <v>0</v>
      </c>
      <c r="H63" s="87">
        <f t="shared" si="72"/>
        <v>0</v>
      </c>
      <c r="I63" s="87">
        <f t="shared" si="72"/>
        <v>0</v>
      </c>
      <c r="J63" s="87">
        <f t="shared" si="72"/>
        <v>0</v>
      </c>
      <c r="K63" s="87">
        <f t="shared" si="72"/>
        <v>0</v>
      </c>
      <c r="L63" s="87">
        <f t="shared" si="72"/>
        <v>0</v>
      </c>
      <c r="M63" s="87">
        <f t="shared" si="72"/>
        <v>0</v>
      </c>
      <c r="N63" s="87">
        <f t="shared" si="72"/>
        <v>0</v>
      </c>
      <c r="O63" s="87">
        <f t="shared" si="72"/>
        <v>0</v>
      </c>
      <c r="P63" s="87">
        <f t="shared" si="72"/>
        <v>0</v>
      </c>
      <c r="Q63" s="87">
        <f t="shared" si="72"/>
        <v>0</v>
      </c>
      <c r="R63" s="87">
        <f t="shared" si="72"/>
        <v>0</v>
      </c>
      <c r="S63" s="87">
        <f t="shared" si="72"/>
        <v>0</v>
      </c>
      <c r="T63" s="87">
        <f t="shared" si="72"/>
        <v>0</v>
      </c>
      <c r="U63" s="87">
        <f t="shared" si="72"/>
        <v>0</v>
      </c>
      <c r="V63" s="87">
        <f t="shared" si="72"/>
        <v>0</v>
      </c>
      <c r="W63" s="87">
        <f t="shared" si="72"/>
        <v>0</v>
      </c>
      <c r="X63" s="87">
        <f t="shared" si="72"/>
        <v>0</v>
      </c>
      <c r="Y63" s="87">
        <f t="shared" si="72"/>
        <v>0</v>
      </c>
      <c r="Z63" s="87">
        <f t="shared" si="72"/>
        <v>0</v>
      </c>
      <c r="AA63" s="87">
        <f t="shared" si="72"/>
        <v>0</v>
      </c>
      <c r="AB63" s="87">
        <f t="shared" si="72"/>
        <v>0</v>
      </c>
      <c r="AC63" s="87">
        <f t="shared" si="72"/>
        <v>0</v>
      </c>
      <c r="AD63" s="87">
        <f t="shared" si="72"/>
        <v>0</v>
      </c>
      <c r="AE63" s="87">
        <f t="shared" si="72"/>
        <v>0</v>
      </c>
      <c r="AF63" s="87">
        <f t="shared" si="72"/>
        <v>0</v>
      </c>
      <c r="AG63" s="87">
        <f t="shared" si="72"/>
        <v>0</v>
      </c>
      <c r="AH63" s="87">
        <f t="shared" si="72"/>
        <v>0</v>
      </c>
      <c r="AI63" s="87">
        <f t="shared" si="72"/>
        <v>0</v>
      </c>
      <c r="AJ63" s="87">
        <f t="shared" si="72"/>
        <v>0</v>
      </c>
      <c r="AK63" s="87">
        <f t="shared" si="72"/>
        <v>0</v>
      </c>
      <c r="AL63" s="87">
        <f t="shared" si="72"/>
        <v>0</v>
      </c>
      <c r="AM63" s="87">
        <f t="shared" si="72"/>
        <v>0</v>
      </c>
      <c r="AN63" s="87">
        <f t="shared" si="72"/>
        <v>0</v>
      </c>
      <c r="AO63" s="87">
        <f t="shared" si="72"/>
        <v>0</v>
      </c>
      <c r="AP63" s="87">
        <f t="shared" si="72"/>
        <v>0</v>
      </c>
      <c r="AQ63" s="87">
        <f t="shared" si="72"/>
        <v>0</v>
      </c>
      <c r="AR63" s="87">
        <f t="shared" si="72"/>
        <v>0</v>
      </c>
      <c r="AS63" s="87">
        <f t="shared" si="72"/>
        <v>0</v>
      </c>
      <c r="AT63" s="87">
        <f t="shared" si="72"/>
        <v>0</v>
      </c>
      <c r="AU63" s="87">
        <f t="shared" si="72"/>
        <v>0</v>
      </c>
      <c r="AV63" s="87">
        <f t="shared" si="72"/>
        <v>0</v>
      </c>
      <c r="AW63" s="87">
        <f t="shared" si="72"/>
        <v>0</v>
      </c>
      <c r="AX63" s="87">
        <f t="shared" si="72"/>
        <v>0</v>
      </c>
      <c r="AY63" s="87">
        <f t="shared" si="72"/>
        <v>0</v>
      </c>
      <c r="AZ63" s="87">
        <f t="shared" si="72"/>
        <v>0</v>
      </c>
      <c r="BA63" s="87">
        <f t="shared" si="72"/>
        <v>0</v>
      </c>
      <c r="BB63" s="87">
        <f t="shared" si="72"/>
        <v>0</v>
      </c>
      <c r="BC63" s="87">
        <f t="shared" si="72"/>
        <v>0</v>
      </c>
      <c r="BD63" s="87">
        <f t="shared" si="72"/>
        <v>0</v>
      </c>
      <c r="BE63" s="87">
        <f t="shared" si="72"/>
        <v>0</v>
      </c>
      <c r="BF63" s="87">
        <f t="shared" si="72"/>
        <v>0</v>
      </c>
      <c r="BG63" s="87">
        <f t="shared" si="72"/>
        <v>0</v>
      </c>
      <c r="BH63" s="87">
        <f t="shared" si="72"/>
        <v>0</v>
      </c>
      <c r="BI63" s="87">
        <f t="shared" si="72"/>
        <v>0</v>
      </c>
      <c r="BJ63" s="87">
        <f t="shared" si="72"/>
        <v>0</v>
      </c>
      <c r="BK63" s="87">
        <f t="shared" si="72"/>
        <v>0</v>
      </c>
      <c r="BL63" s="87">
        <f t="shared" si="72"/>
        <v>0</v>
      </c>
      <c r="BM63" s="87">
        <f t="shared" si="72"/>
        <v>0</v>
      </c>
      <c r="BN63" s="87">
        <f t="shared" si="72"/>
        <v>0</v>
      </c>
      <c r="BO63" s="87">
        <f t="shared" si="72"/>
        <v>0</v>
      </c>
      <c r="BP63" s="87">
        <f t="shared" ref="BP63:CB63" si="73">IF(BP62&gt;$F18+1,0,1)*(IF(BQ63=0,100,0)+IF($G18=1,1,0.5)*$J18*100)</f>
        <v>0</v>
      </c>
      <c r="BQ63" s="87">
        <f t="shared" si="73"/>
        <v>0</v>
      </c>
      <c r="BR63" s="87">
        <f t="shared" si="73"/>
        <v>0</v>
      </c>
      <c r="BS63" s="87">
        <f t="shared" si="73"/>
        <v>0</v>
      </c>
      <c r="BT63" s="87">
        <f t="shared" si="73"/>
        <v>0</v>
      </c>
      <c r="BU63" s="87">
        <f t="shared" si="73"/>
        <v>0</v>
      </c>
      <c r="BV63" s="87">
        <f t="shared" si="73"/>
        <v>0</v>
      </c>
      <c r="BW63" s="87">
        <f t="shared" si="73"/>
        <v>0</v>
      </c>
      <c r="BX63" s="87">
        <f t="shared" si="73"/>
        <v>0</v>
      </c>
      <c r="BY63" s="87">
        <f t="shared" si="73"/>
        <v>0</v>
      </c>
      <c r="BZ63" s="87">
        <f t="shared" si="73"/>
        <v>0</v>
      </c>
      <c r="CA63" s="87">
        <f t="shared" si="73"/>
        <v>0</v>
      </c>
      <c r="CB63" s="88">
        <f t="shared" si="73"/>
        <v>0</v>
      </c>
    </row>
    <row r="64" spans="1:80">
      <c r="A64" s="249" t="s">
        <v>49</v>
      </c>
      <c r="B64" s="118">
        <f>IF(E19=0,F19,E19)</f>
        <v>0</v>
      </c>
      <c r="C64" s="119">
        <f t="shared" ref="C64:BN64" si="74">B64+IF($G19=1,365,182.5)</f>
        <v>182.5</v>
      </c>
      <c r="D64" s="119">
        <f t="shared" si="74"/>
        <v>365</v>
      </c>
      <c r="E64" s="119">
        <f t="shared" si="74"/>
        <v>547.5</v>
      </c>
      <c r="F64" s="119">
        <f t="shared" si="74"/>
        <v>730</v>
      </c>
      <c r="G64" s="119">
        <f t="shared" si="74"/>
        <v>912.5</v>
      </c>
      <c r="H64" s="119">
        <f t="shared" si="74"/>
        <v>1095</v>
      </c>
      <c r="I64" s="119">
        <f t="shared" si="74"/>
        <v>1277.5</v>
      </c>
      <c r="J64" s="119">
        <f t="shared" si="74"/>
        <v>1460</v>
      </c>
      <c r="K64" s="119">
        <f t="shared" si="74"/>
        <v>1642.5</v>
      </c>
      <c r="L64" s="119">
        <f t="shared" si="74"/>
        <v>1825</v>
      </c>
      <c r="M64" s="119">
        <f t="shared" si="74"/>
        <v>2007.5</v>
      </c>
      <c r="N64" s="119">
        <f t="shared" si="74"/>
        <v>2190</v>
      </c>
      <c r="O64" s="119">
        <f t="shared" si="74"/>
        <v>2372.5</v>
      </c>
      <c r="P64" s="119">
        <f t="shared" si="74"/>
        <v>2555</v>
      </c>
      <c r="Q64" s="119">
        <f t="shared" si="74"/>
        <v>2737.5</v>
      </c>
      <c r="R64" s="119">
        <f t="shared" si="74"/>
        <v>2920</v>
      </c>
      <c r="S64" s="119">
        <f t="shared" si="74"/>
        <v>3102.5</v>
      </c>
      <c r="T64" s="119">
        <f t="shared" si="74"/>
        <v>3285</v>
      </c>
      <c r="U64" s="119">
        <f t="shared" si="74"/>
        <v>3467.5</v>
      </c>
      <c r="V64" s="119">
        <f t="shared" si="74"/>
        <v>3650</v>
      </c>
      <c r="W64" s="119">
        <f t="shared" si="74"/>
        <v>3832.5</v>
      </c>
      <c r="X64" s="119">
        <f t="shared" si="74"/>
        <v>4015</v>
      </c>
      <c r="Y64" s="119">
        <f t="shared" si="74"/>
        <v>4197.5</v>
      </c>
      <c r="Z64" s="119">
        <f t="shared" si="74"/>
        <v>4380</v>
      </c>
      <c r="AA64" s="119">
        <f t="shared" si="74"/>
        <v>4562.5</v>
      </c>
      <c r="AB64" s="119">
        <f t="shared" si="74"/>
        <v>4745</v>
      </c>
      <c r="AC64" s="119">
        <f t="shared" si="74"/>
        <v>4927.5</v>
      </c>
      <c r="AD64" s="119">
        <f t="shared" si="74"/>
        <v>5110</v>
      </c>
      <c r="AE64" s="119">
        <f t="shared" si="74"/>
        <v>5292.5</v>
      </c>
      <c r="AF64" s="119">
        <f t="shared" si="74"/>
        <v>5475</v>
      </c>
      <c r="AG64" s="119">
        <f t="shared" si="74"/>
        <v>5657.5</v>
      </c>
      <c r="AH64" s="119">
        <f t="shared" si="74"/>
        <v>5840</v>
      </c>
      <c r="AI64" s="119">
        <f t="shared" si="74"/>
        <v>6022.5</v>
      </c>
      <c r="AJ64" s="119">
        <f t="shared" si="74"/>
        <v>6205</v>
      </c>
      <c r="AK64" s="119">
        <f t="shared" si="74"/>
        <v>6387.5</v>
      </c>
      <c r="AL64" s="119">
        <f t="shared" si="74"/>
        <v>6570</v>
      </c>
      <c r="AM64" s="119">
        <f t="shared" si="74"/>
        <v>6752.5</v>
      </c>
      <c r="AN64" s="119">
        <f t="shared" si="74"/>
        <v>6935</v>
      </c>
      <c r="AO64" s="119">
        <f t="shared" si="74"/>
        <v>7117.5</v>
      </c>
      <c r="AP64" s="119">
        <f t="shared" si="74"/>
        <v>7300</v>
      </c>
      <c r="AQ64" s="119">
        <f t="shared" si="74"/>
        <v>7482.5</v>
      </c>
      <c r="AR64" s="119">
        <f t="shared" si="74"/>
        <v>7665</v>
      </c>
      <c r="AS64" s="119">
        <f t="shared" si="74"/>
        <v>7847.5</v>
      </c>
      <c r="AT64" s="119">
        <f t="shared" si="74"/>
        <v>8030</v>
      </c>
      <c r="AU64" s="119">
        <f t="shared" si="74"/>
        <v>8212.5</v>
      </c>
      <c r="AV64" s="119">
        <f t="shared" si="74"/>
        <v>8395</v>
      </c>
      <c r="AW64" s="119">
        <f t="shared" si="74"/>
        <v>8577.5</v>
      </c>
      <c r="AX64" s="119">
        <f t="shared" si="74"/>
        <v>8760</v>
      </c>
      <c r="AY64" s="119">
        <f t="shared" si="74"/>
        <v>8942.5</v>
      </c>
      <c r="AZ64" s="119">
        <f t="shared" si="74"/>
        <v>9125</v>
      </c>
      <c r="BA64" s="119">
        <f t="shared" si="74"/>
        <v>9307.5</v>
      </c>
      <c r="BB64" s="119">
        <f t="shared" si="74"/>
        <v>9490</v>
      </c>
      <c r="BC64" s="119">
        <f t="shared" si="74"/>
        <v>9672.5</v>
      </c>
      <c r="BD64" s="119">
        <f t="shared" si="74"/>
        <v>9855</v>
      </c>
      <c r="BE64" s="119">
        <f t="shared" si="74"/>
        <v>10037.5</v>
      </c>
      <c r="BF64" s="119">
        <f t="shared" si="74"/>
        <v>10220</v>
      </c>
      <c r="BG64" s="119">
        <f t="shared" si="74"/>
        <v>10402.5</v>
      </c>
      <c r="BH64" s="119">
        <f t="shared" si="74"/>
        <v>10585</v>
      </c>
      <c r="BI64" s="119">
        <f t="shared" si="74"/>
        <v>10767.5</v>
      </c>
      <c r="BJ64" s="119">
        <f t="shared" si="74"/>
        <v>10950</v>
      </c>
      <c r="BK64" s="119">
        <f t="shared" si="74"/>
        <v>11132.5</v>
      </c>
      <c r="BL64" s="119">
        <f t="shared" si="74"/>
        <v>11315</v>
      </c>
      <c r="BM64" s="119">
        <f t="shared" si="74"/>
        <v>11497.5</v>
      </c>
      <c r="BN64" s="119">
        <f t="shared" si="74"/>
        <v>11680</v>
      </c>
      <c r="BO64" s="119">
        <f t="shared" ref="BO64:CB64" si="75">BN64+IF($G19=1,365,182.5)</f>
        <v>11862.5</v>
      </c>
      <c r="BP64" s="119">
        <f t="shared" si="75"/>
        <v>12045</v>
      </c>
      <c r="BQ64" s="119">
        <f t="shared" si="75"/>
        <v>12227.5</v>
      </c>
      <c r="BR64" s="119">
        <f t="shared" si="75"/>
        <v>12410</v>
      </c>
      <c r="BS64" s="119">
        <f t="shared" si="75"/>
        <v>12592.5</v>
      </c>
      <c r="BT64" s="119">
        <f t="shared" si="75"/>
        <v>12775</v>
      </c>
      <c r="BU64" s="119">
        <f t="shared" si="75"/>
        <v>12957.5</v>
      </c>
      <c r="BV64" s="119">
        <f t="shared" si="75"/>
        <v>13140</v>
      </c>
      <c r="BW64" s="119">
        <f t="shared" si="75"/>
        <v>13322.5</v>
      </c>
      <c r="BX64" s="119">
        <f t="shared" si="75"/>
        <v>13505</v>
      </c>
      <c r="BY64" s="119">
        <f t="shared" si="75"/>
        <v>13687.5</v>
      </c>
      <c r="BZ64" s="119">
        <f t="shared" si="75"/>
        <v>13870</v>
      </c>
      <c r="CA64" s="119">
        <f t="shared" si="75"/>
        <v>14052.5</v>
      </c>
      <c r="CB64" s="120">
        <f t="shared" si="75"/>
        <v>14235</v>
      </c>
    </row>
    <row r="65" spans="1:115">
      <c r="A65" s="178" t="s">
        <v>35</v>
      </c>
      <c r="B65" s="121">
        <f>(IF(B64=F19,100,0)+IF(G19=1,1,0.5)*J19*100)*IF(ISBLANK(F19)=TRUE,0,1)</f>
        <v>0</v>
      </c>
      <c r="C65" s="122">
        <f>IF(C64&gt;$F19+1,0,1)*(IF(D65=0,100,0)+IF($G19=1,1,0.5)*$J19*100)</f>
        <v>0</v>
      </c>
      <c r="D65" s="122">
        <f t="shared" ref="D65:BO65" si="76">IF(D64&gt;$F19+1,0,1)*(IF(E65=0,100,0)+IF($G19=1,1,0.5)*$J19*100)</f>
        <v>0</v>
      </c>
      <c r="E65" s="122">
        <f t="shared" si="76"/>
        <v>0</v>
      </c>
      <c r="F65" s="122">
        <f t="shared" si="76"/>
        <v>0</v>
      </c>
      <c r="G65" s="122">
        <f t="shared" si="76"/>
        <v>0</v>
      </c>
      <c r="H65" s="122">
        <f t="shared" si="76"/>
        <v>0</v>
      </c>
      <c r="I65" s="122">
        <f t="shared" si="76"/>
        <v>0</v>
      </c>
      <c r="J65" s="122">
        <f t="shared" si="76"/>
        <v>0</v>
      </c>
      <c r="K65" s="122">
        <f t="shared" si="76"/>
        <v>0</v>
      </c>
      <c r="L65" s="122">
        <f t="shared" si="76"/>
        <v>0</v>
      </c>
      <c r="M65" s="122">
        <f t="shared" si="76"/>
        <v>0</v>
      </c>
      <c r="N65" s="122">
        <f t="shared" si="76"/>
        <v>0</v>
      </c>
      <c r="O65" s="122">
        <f t="shared" si="76"/>
        <v>0</v>
      </c>
      <c r="P65" s="122">
        <f t="shared" si="76"/>
        <v>0</v>
      </c>
      <c r="Q65" s="122">
        <f t="shared" si="76"/>
        <v>0</v>
      </c>
      <c r="R65" s="122">
        <f t="shared" si="76"/>
        <v>0</v>
      </c>
      <c r="S65" s="122">
        <f t="shared" si="76"/>
        <v>0</v>
      </c>
      <c r="T65" s="122">
        <f t="shared" si="76"/>
        <v>0</v>
      </c>
      <c r="U65" s="122">
        <f t="shared" si="76"/>
        <v>0</v>
      </c>
      <c r="V65" s="122">
        <f t="shared" si="76"/>
        <v>0</v>
      </c>
      <c r="W65" s="122">
        <f t="shared" si="76"/>
        <v>0</v>
      </c>
      <c r="X65" s="122">
        <f t="shared" si="76"/>
        <v>0</v>
      </c>
      <c r="Y65" s="122">
        <f t="shared" si="76"/>
        <v>0</v>
      </c>
      <c r="Z65" s="122">
        <f t="shared" si="76"/>
        <v>0</v>
      </c>
      <c r="AA65" s="122">
        <f t="shared" si="76"/>
        <v>0</v>
      </c>
      <c r="AB65" s="122">
        <f t="shared" si="76"/>
        <v>0</v>
      </c>
      <c r="AC65" s="122">
        <f t="shared" si="76"/>
        <v>0</v>
      </c>
      <c r="AD65" s="122">
        <f t="shared" si="76"/>
        <v>0</v>
      </c>
      <c r="AE65" s="122">
        <f t="shared" si="76"/>
        <v>0</v>
      </c>
      <c r="AF65" s="122">
        <f t="shared" si="76"/>
        <v>0</v>
      </c>
      <c r="AG65" s="122">
        <f t="shared" si="76"/>
        <v>0</v>
      </c>
      <c r="AH65" s="122">
        <f t="shared" si="76"/>
        <v>0</v>
      </c>
      <c r="AI65" s="122">
        <f t="shared" si="76"/>
        <v>0</v>
      </c>
      <c r="AJ65" s="122">
        <f t="shared" si="76"/>
        <v>0</v>
      </c>
      <c r="AK65" s="122">
        <f t="shared" si="76"/>
        <v>0</v>
      </c>
      <c r="AL65" s="122">
        <f t="shared" si="76"/>
        <v>0</v>
      </c>
      <c r="AM65" s="122">
        <f t="shared" si="76"/>
        <v>0</v>
      </c>
      <c r="AN65" s="122">
        <f t="shared" si="76"/>
        <v>0</v>
      </c>
      <c r="AO65" s="122">
        <f t="shared" si="76"/>
        <v>0</v>
      </c>
      <c r="AP65" s="122">
        <f t="shared" si="76"/>
        <v>0</v>
      </c>
      <c r="AQ65" s="122">
        <f t="shared" si="76"/>
        <v>0</v>
      </c>
      <c r="AR65" s="122">
        <f t="shared" si="76"/>
        <v>0</v>
      </c>
      <c r="AS65" s="122">
        <f t="shared" si="76"/>
        <v>0</v>
      </c>
      <c r="AT65" s="122">
        <f t="shared" si="76"/>
        <v>0</v>
      </c>
      <c r="AU65" s="122">
        <f t="shared" si="76"/>
        <v>0</v>
      </c>
      <c r="AV65" s="122">
        <f t="shared" si="76"/>
        <v>0</v>
      </c>
      <c r="AW65" s="122">
        <f t="shared" si="76"/>
        <v>0</v>
      </c>
      <c r="AX65" s="122">
        <f t="shared" si="76"/>
        <v>0</v>
      </c>
      <c r="AY65" s="122">
        <f t="shared" si="76"/>
        <v>0</v>
      </c>
      <c r="AZ65" s="122">
        <f t="shared" si="76"/>
        <v>0</v>
      </c>
      <c r="BA65" s="122">
        <f t="shared" si="76"/>
        <v>0</v>
      </c>
      <c r="BB65" s="122">
        <f t="shared" si="76"/>
        <v>0</v>
      </c>
      <c r="BC65" s="122">
        <f t="shared" si="76"/>
        <v>0</v>
      </c>
      <c r="BD65" s="122">
        <f t="shared" si="76"/>
        <v>0</v>
      </c>
      <c r="BE65" s="122">
        <f t="shared" si="76"/>
        <v>0</v>
      </c>
      <c r="BF65" s="122">
        <f t="shared" si="76"/>
        <v>0</v>
      </c>
      <c r="BG65" s="122">
        <f t="shared" si="76"/>
        <v>0</v>
      </c>
      <c r="BH65" s="122">
        <f t="shared" si="76"/>
        <v>0</v>
      </c>
      <c r="BI65" s="122">
        <f t="shared" si="76"/>
        <v>0</v>
      </c>
      <c r="BJ65" s="122">
        <f t="shared" si="76"/>
        <v>0</v>
      </c>
      <c r="BK65" s="122">
        <f t="shared" si="76"/>
        <v>0</v>
      </c>
      <c r="BL65" s="122">
        <f t="shared" si="76"/>
        <v>0</v>
      </c>
      <c r="BM65" s="122">
        <f t="shared" si="76"/>
        <v>0</v>
      </c>
      <c r="BN65" s="122">
        <f t="shared" si="76"/>
        <v>0</v>
      </c>
      <c r="BO65" s="122">
        <f t="shared" si="76"/>
        <v>0</v>
      </c>
      <c r="BP65" s="122">
        <f t="shared" ref="BP65:CB65" si="77">IF(BP64&gt;$F19+1,0,1)*(IF(BQ65=0,100,0)+IF($G19=1,1,0.5)*$J19*100)</f>
        <v>0</v>
      </c>
      <c r="BQ65" s="122">
        <f t="shared" si="77"/>
        <v>0</v>
      </c>
      <c r="BR65" s="122">
        <f t="shared" si="77"/>
        <v>0</v>
      </c>
      <c r="BS65" s="122">
        <f t="shared" si="77"/>
        <v>0</v>
      </c>
      <c r="BT65" s="122">
        <f t="shared" si="77"/>
        <v>0</v>
      </c>
      <c r="BU65" s="122">
        <f t="shared" si="77"/>
        <v>0</v>
      </c>
      <c r="BV65" s="122">
        <f t="shared" si="77"/>
        <v>0</v>
      </c>
      <c r="BW65" s="122">
        <f t="shared" si="77"/>
        <v>0</v>
      </c>
      <c r="BX65" s="122">
        <f t="shared" si="77"/>
        <v>0</v>
      </c>
      <c r="BY65" s="122">
        <f t="shared" si="77"/>
        <v>0</v>
      </c>
      <c r="BZ65" s="122">
        <f t="shared" si="77"/>
        <v>0</v>
      </c>
      <c r="CA65" s="122">
        <f t="shared" si="77"/>
        <v>0</v>
      </c>
      <c r="CB65" s="123">
        <f t="shared" si="77"/>
        <v>0</v>
      </c>
    </row>
    <row r="66" spans="1:115">
      <c r="A66" s="248" t="s">
        <v>49</v>
      </c>
      <c r="B66" s="89">
        <f>IF(E20=0,F20,E20)</f>
        <v>0</v>
      </c>
      <c r="C66" s="90">
        <f t="shared" ref="C66:BN66" si="78">B66+IF($G20=1,365,182.5)</f>
        <v>182.5</v>
      </c>
      <c r="D66" s="90">
        <f t="shared" si="78"/>
        <v>365</v>
      </c>
      <c r="E66" s="90">
        <f t="shared" si="78"/>
        <v>547.5</v>
      </c>
      <c r="F66" s="90">
        <f t="shared" si="78"/>
        <v>730</v>
      </c>
      <c r="G66" s="90">
        <f t="shared" si="78"/>
        <v>912.5</v>
      </c>
      <c r="H66" s="90">
        <f t="shared" si="78"/>
        <v>1095</v>
      </c>
      <c r="I66" s="90">
        <f t="shared" si="78"/>
        <v>1277.5</v>
      </c>
      <c r="J66" s="90">
        <f t="shared" si="78"/>
        <v>1460</v>
      </c>
      <c r="K66" s="90">
        <f t="shared" si="78"/>
        <v>1642.5</v>
      </c>
      <c r="L66" s="90">
        <f t="shared" si="78"/>
        <v>1825</v>
      </c>
      <c r="M66" s="90">
        <f t="shared" si="78"/>
        <v>2007.5</v>
      </c>
      <c r="N66" s="90">
        <f t="shared" si="78"/>
        <v>2190</v>
      </c>
      <c r="O66" s="90">
        <f t="shared" si="78"/>
        <v>2372.5</v>
      </c>
      <c r="P66" s="90">
        <f t="shared" si="78"/>
        <v>2555</v>
      </c>
      <c r="Q66" s="90">
        <f t="shared" si="78"/>
        <v>2737.5</v>
      </c>
      <c r="R66" s="90">
        <f t="shared" si="78"/>
        <v>2920</v>
      </c>
      <c r="S66" s="90">
        <f t="shared" si="78"/>
        <v>3102.5</v>
      </c>
      <c r="T66" s="90">
        <f t="shared" si="78"/>
        <v>3285</v>
      </c>
      <c r="U66" s="90">
        <f t="shared" si="78"/>
        <v>3467.5</v>
      </c>
      <c r="V66" s="90">
        <f t="shared" si="78"/>
        <v>3650</v>
      </c>
      <c r="W66" s="90">
        <f t="shared" si="78"/>
        <v>3832.5</v>
      </c>
      <c r="X66" s="90">
        <f t="shared" si="78"/>
        <v>4015</v>
      </c>
      <c r="Y66" s="90">
        <f t="shared" si="78"/>
        <v>4197.5</v>
      </c>
      <c r="Z66" s="90">
        <f t="shared" si="78"/>
        <v>4380</v>
      </c>
      <c r="AA66" s="90">
        <f t="shared" si="78"/>
        <v>4562.5</v>
      </c>
      <c r="AB66" s="90">
        <f t="shared" si="78"/>
        <v>4745</v>
      </c>
      <c r="AC66" s="90">
        <f t="shared" si="78"/>
        <v>4927.5</v>
      </c>
      <c r="AD66" s="90">
        <f t="shared" si="78"/>
        <v>5110</v>
      </c>
      <c r="AE66" s="90">
        <f t="shared" si="78"/>
        <v>5292.5</v>
      </c>
      <c r="AF66" s="90">
        <f t="shared" si="78"/>
        <v>5475</v>
      </c>
      <c r="AG66" s="90">
        <f t="shared" si="78"/>
        <v>5657.5</v>
      </c>
      <c r="AH66" s="90">
        <f t="shared" si="78"/>
        <v>5840</v>
      </c>
      <c r="AI66" s="90">
        <f t="shared" si="78"/>
        <v>6022.5</v>
      </c>
      <c r="AJ66" s="90">
        <f t="shared" si="78"/>
        <v>6205</v>
      </c>
      <c r="AK66" s="90">
        <f t="shared" si="78"/>
        <v>6387.5</v>
      </c>
      <c r="AL66" s="90">
        <f t="shared" si="78"/>
        <v>6570</v>
      </c>
      <c r="AM66" s="90">
        <f t="shared" si="78"/>
        <v>6752.5</v>
      </c>
      <c r="AN66" s="90">
        <f t="shared" si="78"/>
        <v>6935</v>
      </c>
      <c r="AO66" s="90">
        <f t="shared" si="78"/>
        <v>7117.5</v>
      </c>
      <c r="AP66" s="90">
        <f t="shared" si="78"/>
        <v>7300</v>
      </c>
      <c r="AQ66" s="90">
        <f t="shared" si="78"/>
        <v>7482.5</v>
      </c>
      <c r="AR66" s="90">
        <f t="shared" si="78"/>
        <v>7665</v>
      </c>
      <c r="AS66" s="90">
        <f t="shared" si="78"/>
        <v>7847.5</v>
      </c>
      <c r="AT66" s="90">
        <f t="shared" si="78"/>
        <v>8030</v>
      </c>
      <c r="AU66" s="90">
        <f t="shared" si="78"/>
        <v>8212.5</v>
      </c>
      <c r="AV66" s="90">
        <f t="shared" si="78"/>
        <v>8395</v>
      </c>
      <c r="AW66" s="90">
        <f t="shared" si="78"/>
        <v>8577.5</v>
      </c>
      <c r="AX66" s="90">
        <f t="shared" si="78"/>
        <v>8760</v>
      </c>
      <c r="AY66" s="90">
        <f t="shared" si="78"/>
        <v>8942.5</v>
      </c>
      <c r="AZ66" s="90">
        <f t="shared" si="78"/>
        <v>9125</v>
      </c>
      <c r="BA66" s="90">
        <f t="shared" si="78"/>
        <v>9307.5</v>
      </c>
      <c r="BB66" s="90">
        <f t="shared" si="78"/>
        <v>9490</v>
      </c>
      <c r="BC66" s="90">
        <f t="shared" si="78"/>
        <v>9672.5</v>
      </c>
      <c r="BD66" s="90">
        <f t="shared" si="78"/>
        <v>9855</v>
      </c>
      <c r="BE66" s="90">
        <f t="shared" si="78"/>
        <v>10037.5</v>
      </c>
      <c r="BF66" s="90">
        <f t="shared" si="78"/>
        <v>10220</v>
      </c>
      <c r="BG66" s="90">
        <f t="shared" si="78"/>
        <v>10402.5</v>
      </c>
      <c r="BH66" s="90">
        <f t="shared" si="78"/>
        <v>10585</v>
      </c>
      <c r="BI66" s="90">
        <f t="shared" si="78"/>
        <v>10767.5</v>
      </c>
      <c r="BJ66" s="90">
        <f t="shared" si="78"/>
        <v>10950</v>
      </c>
      <c r="BK66" s="90">
        <f t="shared" si="78"/>
        <v>11132.5</v>
      </c>
      <c r="BL66" s="90">
        <f t="shared" si="78"/>
        <v>11315</v>
      </c>
      <c r="BM66" s="90">
        <f t="shared" si="78"/>
        <v>11497.5</v>
      </c>
      <c r="BN66" s="90">
        <f t="shared" si="78"/>
        <v>11680</v>
      </c>
      <c r="BO66" s="90">
        <f t="shared" ref="BO66:CB66" si="79">BN66+IF($G20=1,365,182.5)</f>
        <v>11862.5</v>
      </c>
      <c r="BP66" s="90">
        <f t="shared" si="79"/>
        <v>12045</v>
      </c>
      <c r="BQ66" s="90">
        <f t="shared" si="79"/>
        <v>12227.5</v>
      </c>
      <c r="BR66" s="90">
        <f t="shared" si="79"/>
        <v>12410</v>
      </c>
      <c r="BS66" s="90">
        <f t="shared" si="79"/>
        <v>12592.5</v>
      </c>
      <c r="BT66" s="90">
        <f t="shared" si="79"/>
        <v>12775</v>
      </c>
      <c r="BU66" s="90">
        <f t="shared" si="79"/>
        <v>12957.5</v>
      </c>
      <c r="BV66" s="90">
        <f t="shared" si="79"/>
        <v>13140</v>
      </c>
      <c r="BW66" s="90">
        <f t="shared" si="79"/>
        <v>13322.5</v>
      </c>
      <c r="BX66" s="90">
        <f t="shared" si="79"/>
        <v>13505</v>
      </c>
      <c r="BY66" s="90">
        <f t="shared" si="79"/>
        <v>13687.5</v>
      </c>
      <c r="BZ66" s="90">
        <f t="shared" si="79"/>
        <v>13870</v>
      </c>
      <c r="CA66" s="90">
        <f t="shared" si="79"/>
        <v>14052.5</v>
      </c>
      <c r="CB66" s="91">
        <f t="shared" si="79"/>
        <v>14235</v>
      </c>
    </row>
    <row r="67" spans="1:115">
      <c r="A67" s="179" t="s">
        <v>36</v>
      </c>
      <c r="B67" s="113">
        <f>(IF(B66=F20,100,0)+IF(G20=1,1,0.5)*J20*100)*IF(ISBLANK(F20)=TRUE,0,1)</f>
        <v>0</v>
      </c>
      <c r="C67" s="92">
        <f>IF(C66&gt;$F20+1,0,1)*(IF(D67=0,100,0)+IF($G20=1,1,0.5)*$J20*100)</f>
        <v>0</v>
      </c>
      <c r="D67" s="92">
        <f t="shared" ref="D67:BO67" si="80">IF(D66&gt;$F20+1,0,1)*(IF(E67=0,100,0)+IF($G20=1,1,0.5)*$J20*100)</f>
        <v>0</v>
      </c>
      <c r="E67" s="92">
        <f t="shared" si="80"/>
        <v>0</v>
      </c>
      <c r="F67" s="92">
        <f t="shared" si="80"/>
        <v>0</v>
      </c>
      <c r="G67" s="92">
        <f t="shared" si="80"/>
        <v>0</v>
      </c>
      <c r="H67" s="92">
        <f t="shared" si="80"/>
        <v>0</v>
      </c>
      <c r="I67" s="92">
        <f t="shared" si="80"/>
        <v>0</v>
      </c>
      <c r="J67" s="92">
        <f t="shared" si="80"/>
        <v>0</v>
      </c>
      <c r="K67" s="92">
        <f t="shared" si="80"/>
        <v>0</v>
      </c>
      <c r="L67" s="92">
        <f t="shared" si="80"/>
        <v>0</v>
      </c>
      <c r="M67" s="92">
        <f t="shared" si="80"/>
        <v>0</v>
      </c>
      <c r="N67" s="92">
        <f t="shared" si="80"/>
        <v>0</v>
      </c>
      <c r="O67" s="92">
        <f t="shared" si="80"/>
        <v>0</v>
      </c>
      <c r="P67" s="92">
        <f t="shared" si="80"/>
        <v>0</v>
      </c>
      <c r="Q67" s="92">
        <f t="shared" si="80"/>
        <v>0</v>
      </c>
      <c r="R67" s="92">
        <f t="shared" si="80"/>
        <v>0</v>
      </c>
      <c r="S67" s="92">
        <f t="shared" si="80"/>
        <v>0</v>
      </c>
      <c r="T67" s="92">
        <f t="shared" si="80"/>
        <v>0</v>
      </c>
      <c r="U67" s="92">
        <f t="shared" si="80"/>
        <v>0</v>
      </c>
      <c r="V67" s="92">
        <f t="shared" si="80"/>
        <v>0</v>
      </c>
      <c r="W67" s="92">
        <f t="shared" si="80"/>
        <v>0</v>
      </c>
      <c r="X67" s="92">
        <f t="shared" si="80"/>
        <v>0</v>
      </c>
      <c r="Y67" s="92">
        <f t="shared" si="80"/>
        <v>0</v>
      </c>
      <c r="Z67" s="92">
        <f t="shared" si="80"/>
        <v>0</v>
      </c>
      <c r="AA67" s="92">
        <f t="shared" si="80"/>
        <v>0</v>
      </c>
      <c r="AB67" s="92">
        <f t="shared" si="80"/>
        <v>0</v>
      </c>
      <c r="AC67" s="92">
        <f t="shared" si="80"/>
        <v>0</v>
      </c>
      <c r="AD67" s="92">
        <f t="shared" si="80"/>
        <v>0</v>
      </c>
      <c r="AE67" s="92">
        <f t="shared" si="80"/>
        <v>0</v>
      </c>
      <c r="AF67" s="92">
        <f t="shared" si="80"/>
        <v>0</v>
      </c>
      <c r="AG67" s="92">
        <f t="shared" si="80"/>
        <v>0</v>
      </c>
      <c r="AH67" s="92">
        <f t="shared" si="80"/>
        <v>0</v>
      </c>
      <c r="AI67" s="92">
        <f t="shared" si="80"/>
        <v>0</v>
      </c>
      <c r="AJ67" s="92">
        <f t="shared" si="80"/>
        <v>0</v>
      </c>
      <c r="AK67" s="92">
        <f t="shared" si="80"/>
        <v>0</v>
      </c>
      <c r="AL67" s="92">
        <f t="shared" si="80"/>
        <v>0</v>
      </c>
      <c r="AM67" s="92">
        <f t="shared" si="80"/>
        <v>0</v>
      </c>
      <c r="AN67" s="92">
        <f t="shared" si="80"/>
        <v>0</v>
      </c>
      <c r="AO67" s="92">
        <f t="shared" si="80"/>
        <v>0</v>
      </c>
      <c r="AP67" s="92">
        <f t="shared" si="80"/>
        <v>0</v>
      </c>
      <c r="AQ67" s="92">
        <f t="shared" si="80"/>
        <v>0</v>
      </c>
      <c r="AR67" s="92">
        <f t="shared" si="80"/>
        <v>0</v>
      </c>
      <c r="AS67" s="92">
        <f t="shared" si="80"/>
        <v>0</v>
      </c>
      <c r="AT67" s="92">
        <f t="shared" si="80"/>
        <v>0</v>
      </c>
      <c r="AU67" s="92">
        <f t="shared" si="80"/>
        <v>0</v>
      </c>
      <c r="AV67" s="92">
        <f t="shared" si="80"/>
        <v>0</v>
      </c>
      <c r="AW67" s="92">
        <f t="shared" si="80"/>
        <v>0</v>
      </c>
      <c r="AX67" s="92">
        <f t="shared" si="80"/>
        <v>0</v>
      </c>
      <c r="AY67" s="92">
        <f t="shared" si="80"/>
        <v>0</v>
      </c>
      <c r="AZ67" s="92">
        <f t="shared" si="80"/>
        <v>0</v>
      </c>
      <c r="BA67" s="92">
        <f t="shared" si="80"/>
        <v>0</v>
      </c>
      <c r="BB67" s="92">
        <f t="shared" si="80"/>
        <v>0</v>
      </c>
      <c r="BC67" s="92">
        <f t="shared" si="80"/>
        <v>0</v>
      </c>
      <c r="BD67" s="92">
        <f t="shared" si="80"/>
        <v>0</v>
      </c>
      <c r="BE67" s="92">
        <f t="shared" si="80"/>
        <v>0</v>
      </c>
      <c r="BF67" s="92">
        <f t="shared" si="80"/>
        <v>0</v>
      </c>
      <c r="BG67" s="92">
        <f t="shared" si="80"/>
        <v>0</v>
      </c>
      <c r="BH67" s="92">
        <f t="shared" si="80"/>
        <v>0</v>
      </c>
      <c r="BI67" s="92">
        <f t="shared" si="80"/>
        <v>0</v>
      </c>
      <c r="BJ67" s="92">
        <f t="shared" si="80"/>
        <v>0</v>
      </c>
      <c r="BK67" s="92">
        <f t="shared" si="80"/>
        <v>0</v>
      </c>
      <c r="BL67" s="92">
        <f t="shared" si="80"/>
        <v>0</v>
      </c>
      <c r="BM67" s="92">
        <f t="shared" si="80"/>
        <v>0</v>
      </c>
      <c r="BN67" s="92">
        <f t="shared" si="80"/>
        <v>0</v>
      </c>
      <c r="BO67" s="92">
        <f t="shared" si="80"/>
        <v>0</v>
      </c>
      <c r="BP67" s="92">
        <f t="shared" ref="BP67:CB67" si="81">IF(BP66&gt;$F20+1,0,1)*(IF(BQ67=0,100,0)+IF($G20=1,1,0.5)*$J20*100)</f>
        <v>0</v>
      </c>
      <c r="BQ67" s="92">
        <f t="shared" si="81"/>
        <v>0</v>
      </c>
      <c r="BR67" s="92">
        <f t="shared" si="81"/>
        <v>0</v>
      </c>
      <c r="BS67" s="92">
        <f t="shared" si="81"/>
        <v>0</v>
      </c>
      <c r="BT67" s="92">
        <f t="shared" si="81"/>
        <v>0</v>
      </c>
      <c r="BU67" s="92">
        <f t="shared" si="81"/>
        <v>0</v>
      </c>
      <c r="BV67" s="92">
        <f t="shared" si="81"/>
        <v>0</v>
      </c>
      <c r="BW67" s="92">
        <f t="shared" si="81"/>
        <v>0</v>
      </c>
      <c r="BX67" s="92">
        <f t="shared" si="81"/>
        <v>0</v>
      </c>
      <c r="BY67" s="92">
        <f t="shared" si="81"/>
        <v>0</v>
      </c>
      <c r="BZ67" s="92">
        <f t="shared" si="81"/>
        <v>0</v>
      </c>
      <c r="CA67" s="92">
        <f t="shared" si="81"/>
        <v>0</v>
      </c>
      <c r="CB67" s="93">
        <f t="shared" si="81"/>
        <v>0</v>
      </c>
    </row>
    <row r="68" spans="1:115">
      <c r="A68" s="247" t="s">
        <v>49</v>
      </c>
      <c r="B68" s="124">
        <f>IF(E21=0,F21,E21)</f>
        <v>0</v>
      </c>
      <c r="C68" s="125">
        <f t="shared" ref="C68:BN68" si="82">B68+IF($G21=1,365,182.5)</f>
        <v>182.5</v>
      </c>
      <c r="D68" s="125">
        <f t="shared" si="82"/>
        <v>365</v>
      </c>
      <c r="E68" s="125">
        <f t="shared" si="82"/>
        <v>547.5</v>
      </c>
      <c r="F68" s="125">
        <f t="shared" si="82"/>
        <v>730</v>
      </c>
      <c r="G68" s="125">
        <f t="shared" si="82"/>
        <v>912.5</v>
      </c>
      <c r="H68" s="125">
        <f t="shared" si="82"/>
        <v>1095</v>
      </c>
      <c r="I68" s="125">
        <f t="shared" si="82"/>
        <v>1277.5</v>
      </c>
      <c r="J68" s="125">
        <f t="shared" si="82"/>
        <v>1460</v>
      </c>
      <c r="K68" s="125">
        <f t="shared" si="82"/>
        <v>1642.5</v>
      </c>
      <c r="L68" s="125">
        <f t="shared" si="82"/>
        <v>1825</v>
      </c>
      <c r="M68" s="125">
        <f t="shared" si="82"/>
        <v>2007.5</v>
      </c>
      <c r="N68" s="125">
        <f t="shared" si="82"/>
        <v>2190</v>
      </c>
      <c r="O68" s="125">
        <f t="shared" si="82"/>
        <v>2372.5</v>
      </c>
      <c r="P68" s="125">
        <f t="shared" si="82"/>
        <v>2555</v>
      </c>
      <c r="Q68" s="125">
        <f t="shared" si="82"/>
        <v>2737.5</v>
      </c>
      <c r="R68" s="125">
        <f t="shared" si="82"/>
        <v>2920</v>
      </c>
      <c r="S68" s="125">
        <f t="shared" si="82"/>
        <v>3102.5</v>
      </c>
      <c r="T68" s="125">
        <f t="shared" si="82"/>
        <v>3285</v>
      </c>
      <c r="U68" s="125">
        <f t="shared" si="82"/>
        <v>3467.5</v>
      </c>
      <c r="V68" s="125">
        <f t="shared" si="82"/>
        <v>3650</v>
      </c>
      <c r="W68" s="125">
        <f t="shared" si="82"/>
        <v>3832.5</v>
      </c>
      <c r="X68" s="125">
        <f t="shared" si="82"/>
        <v>4015</v>
      </c>
      <c r="Y68" s="125">
        <f t="shared" si="82"/>
        <v>4197.5</v>
      </c>
      <c r="Z68" s="125">
        <f t="shared" si="82"/>
        <v>4380</v>
      </c>
      <c r="AA68" s="125">
        <f t="shared" si="82"/>
        <v>4562.5</v>
      </c>
      <c r="AB68" s="125">
        <f t="shared" si="82"/>
        <v>4745</v>
      </c>
      <c r="AC68" s="125">
        <f t="shared" si="82"/>
        <v>4927.5</v>
      </c>
      <c r="AD68" s="125">
        <f t="shared" si="82"/>
        <v>5110</v>
      </c>
      <c r="AE68" s="125">
        <f t="shared" si="82"/>
        <v>5292.5</v>
      </c>
      <c r="AF68" s="125">
        <f t="shared" si="82"/>
        <v>5475</v>
      </c>
      <c r="AG68" s="125">
        <f t="shared" si="82"/>
        <v>5657.5</v>
      </c>
      <c r="AH68" s="125">
        <f t="shared" si="82"/>
        <v>5840</v>
      </c>
      <c r="AI68" s="125">
        <f t="shared" si="82"/>
        <v>6022.5</v>
      </c>
      <c r="AJ68" s="125">
        <f t="shared" si="82"/>
        <v>6205</v>
      </c>
      <c r="AK68" s="125">
        <f t="shared" si="82"/>
        <v>6387.5</v>
      </c>
      <c r="AL68" s="125">
        <f t="shared" si="82"/>
        <v>6570</v>
      </c>
      <c r="AM68" s="125">
        <f t="shared" si="82"/>
        <v>6752.5</v>
      </c>
      <c r="AN68" s="125">
        <f t="shared" si="82"/>
        <v>6935</v>
      </c>
      <c r="AO68" s="125">
        <f t="shared" si="82"/>
        <v>7117.5</v>
      </c>
      <c r="AP68" s="125">
        <f t="shared" si="82"/>
        <v>7300</v>
      </c>
      <c r="AQ68" s="125">
        <f t="shared" si="82"/>
        <v>7482.5</v>
      </c>
      <c r="AR68" s="125">
        <f t="shared" si="82"/>
        <v>7665</v>
      </c>
      <c r="AS68" s="125">
        <f t="shared" si="82"/>
        <v>7847.5</v>
      </c>
      <c r="AT68" s="125">
        <f t="shared" si="82"/>
        <v>8030</v>
      </c>
      <c r="AU68" s="125">
        <f t="shared" si="82"/>
        <v>8212.5</v>
      </c>
      <c r="AV68" s="125">
        <f t="shared" si="82"/>
        <v>8395</v>
      </c>
      <c r="AW68" s="125">
        <f t="shared" si="82"/>
        <v>8577.5</v>
      </c>
      <c r="AX68" s="125">
        <f t="shared" si="82"/>
        <v>8760</v>
      </c>
      <c r="AY68" s="125">
        <f t="shared" si="82"/>
        <v>8942.5</v>
      </c>
      <c r="AZ68" s="125">
        <f t="shared" si="82"/>
        <v>9125</v>
      </c>
      <c r="BA68" s="125">
        <f t="shared" si="82"/>
        <v>9307.5</v>
      </c>
      <c r="BB68" s="125">
        <f t="shared" si="82"/>
        <v>9490</v>
      </c>
      <c r="BC68" s="125">
        <f t="shared" si="82"/>
        <v>9672.5</v>
      </c>
      <c r="BD68" s="125">
        <f t="shared" si="82"/>
        <v>9855</v>
      </c>
      <c r="BE68" s="125">
        <f t="shared" si="82"/>
        <v>10037.5</v>
      </c>
      <c r="BF68" s="125">
        <f t="shared" si="82"/>
        <v>10220</v>
      </c>
      <c r="BG68" s="125">
        <f t="shared" si="82"/>
        <v>10402.5</v>
      </c>
      <c r="BH68" s="125">
        <f t="shared" si="82"/>
        <v>10585</v>
      </c>
      <c r="BI68" s="125">
        <f t="shared" si="82"/>
        <v>10767.5</v>
      </c>
      <c r="BJ68" s="125">
        <f t="shared" si="82"/>
        <v>10950</v>
      </c>
      <c r="BK68" s="125">
        <f t="shared" si="82"/>
        <v>11132.5</v>
      </c>
      <c r="BL68" s="125">
        <f t="shared" si="82"/>
        <v>11315</v>
      </c>
      <c r="BM68" s="125">
        <f t="shared" si="82"/>
        <v>11497.5</v>
      </c>
      <c r="BN68" s="125">
        <f t="shared" si="82"/>
        <v>11680</v>
      </c>
      <c r="BO68" s="125">
        <f t="shared" ref="BO68:CB68" si="83">BN68+IF($G21=1,365,182.5)</f>
        <v>11862.5</v>
      </c>
      <c r="BP68" s="125">
        <f t="shared" si="83"/>
        <v>12045</v>
      </c>
      <c r="BQ68" s="125">
        <f t="shared" si="83"/>
        <v>12227.5</v>
      </c>
      <c r="BR68" s="125">
        <f t="shared" si="83"/>
        <v>12410</v>
      </c>
      <c r="BS68" s="125">
        <f t="shared" si="83"/>
        <v>12592.5</v>
      </c>
      <c r="BT68" s="125">
        <f t="shared" si="83"/>
        <v>12775</v>
      </c>
      <c r="BU68" s="125">
        <f t="shared" si="83"/>
        <v>12957.5</v>
      </c>
      <c r="BV68" s="125">
        <f t="shared" si="83"/>
        <v>13140</v>
      </c>
      <c r="BW68" s="125">
        <f t="shared" si="83"/>
        <v>13322.5</v>
      </c>
      <c r="BX68" s="125">
        <f t="shared" si="83"/>
        <v>13505</v>
      </c>
      <c r="BY68" s="125">
        <f t="shared" si="83"/>
        <v>13687.5</v>
      </c>
      <c r="BZ68" s="125">
        <f t="shared" si="83"/>
        <v>13870</v>
      </c>
      <c r="CA68" s="125">
        <f t="shared" si="83"/>
        <v>14052.5</v>
      </c>
      <c r="CB68" s="126">
        <f t="shared" si="83"/>
        <v>14235</v>
      </c>
    </row>
    <row r="69" spans="1:115">
      <c r="A69" s="180" t="s">
        <v>37</v>
      </c>
      <c r="B69" s="127">
        <f>(IF(B68=F21,100,0)+IF(G21=1,1,0.5)*J21*100)*IF(ISBLANK(F21)=TRUE,0,1)</f>
        <v>0</v>
      </c>
      <c r="C69" s="128">
        <f>IF(C68&gt;$F21+1,0,1)*(IF(D69=0,100,0)+IF($G21=1,1,0.5)*$J21*100)</f>
        <v>0</v>
      </c>
      <c r="D69" s="128">
        <f t="shared" ref="D69:BO69" si="84">IF(D68&gt;$F21+1,0,1)*(IF(E69=0,100,0)+IF($G21=1,1,0.5)*$J21*100)</f>
        <v>0</v>
      </c>
      <c r="E69" s="128">
        <f t="shared" si="84"/>
        <v>0</v>
      </c>
      <c r="F69" s="128">
        <f t="shared" si="84"/>
        <v>0</v>
      </c>
      <c r="G69" s="128">
        <f t="shared" si="84"/>
        <v>0</v>
      </c>
      <c r="H69" s="128">
        <f t="shared" si="84"/>
        <v>0</v>
      </c>
      <c r="I69" s="128">
        <f t="shared" si="84"/>
        <v>0</v>
      </c>
      <c r="J69" s="128">
        <f t="shared" si="84"/>
        <v>0</v>
      </c>
      <c r="K69" s="128">
        <f t="shared" si="84"/>
        <v>0</v>
      </c>
      <c r="L69" s="128">
        <f t="shared" si="84"/>
        <v>0</v>
      </c>
      <c r="M69" s="128">
        <f t="shared" si="84"/>
        <v>0</v>
      </c>
      <c r="N69" s="128">
        <f t="shared" si="84"/>
        <v>0</v>
      </c>
      <c r="O69" s="128">
        <f t="shared" si="84"/>
        <v>0</v>
      </c>
      <c r="P69" s="128">
        <f t="shared" si="84"/>
        <v>0</v>
      </c>
      <c r="Q69" s="128">
        <f t="shared" si="84"/>
        <v>0</v>
      </c>
      <c r="R69" s="128">
        <f t="shared" si="84"/>
        <v>0</v>
      </c>
      <c r="S69" s="128">
        <f t="shared" si="84"/>
        <v>0</v>
      </c>
      <c r="T69" s="128">
        <f t="shared" si="84"/>
        <v>0</v>
      </c>
      <c r="U69" s="128">
        <f t="shared" si="84"/>
        <v>0</v>
      </c>
      <c r="V69" s="128">
        <f t="shared" si="84"/>
        <v>0</v>
      </c>
      <c r="W69" s="128">
        <f t="shared" si="84"/>
        <v>0</v>
      </c>
      <c r="X69" s="128">
        <f t="shared" si="84"/>
        <v>0</v>
      </c>
      <c r="Y69" s="128">
        <f t="shared" si="84"/>
        <v>0</v>
      </c>
      <c r="Z69" s="128">
        <f t="shared" si="84"/>
        <v>0</v>
      </c>
      <c r="AA69" s="128">
        <f t="shared" si="84"/>
        <v>0</v>
      </c>
      <c r="AB69" s="128">
        <f t="shared" si="84"/>
        <v>0</v>
      </c>
      <c r="AC69" s="128">
        <f t="shared" si="84"/>
        <v>0</v>
      </c>
      <c r="AD69" s="128">
        <f t="shared" si="84"/>
        <v>0</v>
      </c>
      <c r="AE69" s="128">
        <f t="shared" si="84"/>
        <v>0</v>
      </c>
      <c r="AF69" s="128">
        <f t="shared" si="84"/>
        <v>0</v>
      </c>
      <c r="AG69" s="128">
        <f t="shared" si="84"/>
        <v>0</v>
      </c>
      <c r="AH69" s="128">
        <f t="shared" si="84"/>
        <v>0</v>
      </c>
      <c r="AI69" s="128">
        <f t="shared" si="84"/>
        <v>0</v>
      </c>
      <c r="AJ69" s="128">
        <f t="shared" si="84"/>
        <v>0</v>
      </c>
      <c r="AK69" s="128">
        <f t="shared" si="84"/>
        <v>0</v>
      </c>
      <c r="AL69" s="128">
        <f t="shared" si="84"/>
        <v>0</v>
      </c>
      <c r="AM69" s="128">
        <f t="shared" si="84"/>
        <v>0</v>
      </c>
      <c r="AN69" s="128">
        <f t="shared" si="84"/>
        <v>0</v>
      </c>
      <c r="AO69" s="128">
        <f t="shared" si="84"/>
        <v>0</v>
      </c>
      <c r="AP69" s="128">
        <f t="shared" si="84"/>
        <v>0</v>
      </c>
      <c r="AQ69" s="128">
        <f t="shared" si="84"/>
        <v>0</v>
      </c>
      <c r="AR69" s="128">
        <f t="shared" si="84"/>
        <v>0</v>
      </c>
      <c r="AS69" s="128">
        <f t="shared" si="84"/>
        <v>0</v>
      </c>
      <c r="AT69" s="128">
        <f t="shared" si="84"/>
        <v>0</v>
      </c>
      <c r="AU69" s="128">
        <f t="shared" si="84"/>
        <v>0</v>
      </c>
      <c r="AV69" s="128">
        <f t="shared" si="84"/>
        <v>0</v>
      </c>
      <c r="AW69" s="128">
        <f t="shared" si="84"/>
        <v>0</v>
      </c>
      <c r="AX69" s="128">
        <f t="shared" si="84"/>
        <v>0</v>
      </c>
      <c r="AY69" s="128">
        <f t="shared" si="84"/>
        <v>0</v>
      </c>
      <c r="AZ69" s="128">
        <f t="shared" si="84"/>
        <v>0</v>
      </c>
      <c r="BA69" s="128">
        <f t="shared" si="84"/>
        <v>0</v>
      </c>
      <c r="BB69" s="128">
        <f t="shared" si="84"/>
        <v>0</v>
      </c>
      <c r="BC69" s="128">
        <f t="shared" si="84"/>
        <v>0</v>
      </c>
      <c r="BD69" s="128">
        <f t="shared" si="84"/>
        <v>0</v>
      </c>
      <c r="BE69" s="128">
        <f t="shared" si="84"/>
        <v>0</v>
      </c>
      <c r="BF69" s="128">
        <f t="shared" si="84"/>
        <v>0</v>
      </c>
      <c r="BG69" s="128">
        <f t="shared" si="84"/>
        <v>0</v>
      </c>
      <c r="BH69" s="128">
        <f t="shared" si="84"/>
        <v>0</v>
      </c>
      <c r="BI69" s="128">
        <f t="shared" si="84"/>
        <v>0</v>
      </c>
      <c r="BJ69" s="128">
        <f t="shared" si="84"/>
        <v>0</v>
      </c>
      <c r="BK69" s="128">
        <f t="shared" si="84"/>
        <v>0</v>
      </c>
      <c r="BL69" s="128">
        <f t="shared" si="84"/>
        <v>0</v>
      </c>
      <c r="BM69" s="128">
        <f t="shared" si="84"/>
        <v>0</v>
      </c>
      <c r="BN69" s="128">
        <f t="shared" si="84"/>
        <v>0</v>
      </c>
      <c r="BO69" s="128">
        <f t="shared" si="84"/>
        <v>0</v>
      </c>
      <c r="BP69" s="128">
        <f t="shared" ref="BP69:CB69" si="85">IF(BP68&gt;$F21+1,0,1)*(IF(BQ69=0,100,0)+IF($G21=1,1,0.5)*$J21*100)</f>
        <v>0</v>
      </c>
      <c r="BQ69" s="128">
        <f t="shared" si="85"/>
        <v>0</v>
      </c>
      <c r="BR69" s="128">
        <f t="shared" si="85"/>
        <v>0</v>
      </c>
      <c r="BS69" s="128">
        <f t="shared" si="85"/>
        <v>0</v>
      </c>
      <c r="BT69" s="128">
        <f t="shared" si="85"/>
        <v>0</v>
      </c>
      <c r="BU69" s="128">
        <f t="shared" si="85"/>
        <v>0</v>
      </c>
      <c r="BV69" s="128">
        <f t="shared" si="85"/>
        <v>0</v>
      </c>
      <c r="BW69" s="128">
        <f t="shared" si="85"/>
        <v>0</v>
      </c>
      <c r="BX69" s="128">
        <f t="shared" si="85"/>
        <v>0</v>
      </c>
      <c r="BY69" s="128">
        <f t="shared" si="85"/>
        <v>0</v>
      </c>
      <c r="BZ69" s="128">
        <f t="shared" si="85"/>
        <v>0</v>
      </c>
      <c r="CA69" s="128">
        <f t="shared" si="85"/>
        <v>0</v>
      </c>
      <c r="CB69" s="129">
        <f t="shared" si="85"/>
        <v>0</v>
      </c>
    </row>
    <row r="70" spans="1:115">
      <c r="A70" s="246" t="s">
        <v>49</v>
      </c>
      <c r="B70" s="94">
        <f>IF(E22=0,F22,E22)</f>
        <v>0</v>
      </c>
      <c r="C70" s="95">
        <f>B70+IF($G22=1,365,182.5)</f>
        <v>182.5</v>
      </c>
      <c r="D70" s="95">
        <f t="shared" ref="D70:BO70" si="86">C70+IF($G22=1,365,182.5)</f>
        <v>365</v>
      </c>
      <c r="E70" s="95">
        <f t="shared" si="86"/>
        <v>547.5</v>
      </c>
      <c r="F70" s="95">
        <f t="shared" si="86"/>
        <v>730</v>
      </c>
      <c r="G70" s="95">
        <f t="shared" si="86"/>
        <v>912.5</v>
      </c>
      <c r="H70" s="95">
        <f t="shared" si="86"/>
        <v>1095</v>
      </c>
      <c r="I70" s="95">
        <f t="shared" si="86"/>
        <v>1277.5</v>
      </c>
      <c r="J70" s="95">
        <f t="shared" si="86"/>
        <v>1460</v>
      </c>
      <c r="K70" s="95">
        <f t="shared" si="86"/>
        <v>1642.5</v>
      </c>
      <c r="L70" s="95">
        <f t="shared" si="86"/>
        <v>1825</v>
      </c>
      <c r="M70" s="95">
        <f t="shared" si="86"/>
        <v>2007.5</v>
      </c>
      <c r="N70" s="95">
        <f t="shared" si="86"/>
        <v>2190</v>
      </c>
      <c r="O70" s="95">
        <f t="shared" si="86"/>
        <v>2372.5</v>
      </c>
      <c r="P70" s="95">
        <f t="shared" si="86"/>
        <v>2555</v>
      </c>
      <c r="Q70" s="95">
        <f t="shared" si="86"/>
        <v>2737.5</v>
      </c>
      <c r="R70" s="95">
        <f t="shared" si="86"/>
        <v>2920</v>
      </c>
      <c r="S70" s="95">
        <f t="shared" si="86"/>
        <v>3102.5</v>
      </c>
      <c r="T70" s="95">
        <f t="shared" si="86"/>
        <v>3285</v>
      </c>
      <c r="U70" s="95">
        <f t="shared" si="86"/>
        <v>3467.5</v>
      </c>
      <c r="V70" s="95">
        <f t="shared" si="86"/>
        <v>3650</v>
      </c>
      <c r="W70" s="95">
        <f t="shared" si="86"/>
        <v>3832.5</v>
      </c>
      <c r="X70" s="95">
        <f t="shared" si="86"/>
        <v>4015</v>
      </c>
      <c r="Y70" s="95">
        <f t="shared" si="86"/>
        <v>4197.5</v>
      </c>
      <c r="Z70" s="95">
        <f t="shared" si="86"/>
        <v>4380</v>
      </c>
      <c r="AA70" s="95">
        <f t="shared" si="86"/>
        <v>4562.5</v>
      </c>
      <c r="AB70" s="95">
        <f t="shared" si="86"/>
        <v>4745</v>
      </c>
      <c r="AC70" s="95">
        <f t="shared" si="86"/>
        <v>4927.5</v>
      </c>
      <c r="AD70" s="95">
        <f t="shared" si="86"/>
        <v>5110</v>
      </c>
      <c r="AE70" s="95">
        <f t="shared" si="86"/>
        <v>5292.5</v>
      </c>
      <c r="AF70" s="95">
        <f t="shared" si="86"/>
        <v>5475</v>
      </c>
      <c r="AG70" s="95">
        <f t="shared" si="86"/>
        <v>5657.5</v>
      </c>
      <c r="AH70" s="95">
        <f t="shared" si="86"/>
        <v>5840</v>
      </c>
      <c r="AI70" s="95">
        <f t="shared" si="86"/>
        <v>6022.5</v>
      </c>
      <c r="AJ70" s="95">
        <f t="shared" si="86"/>
        <v>6205</v>
      </c>
      <c r="AK70" s="95">
        <f t="shared" si="86"/>
        <v>6387.5</v>
      </c>
      <c r="AL70" s="95">
        <f t="shared" si="86"/>
        <v>6570</v>
      </c>
      <c r="AM70" s="95">
        <f t="shared" si="86"/>
        <v>6752.5</v>
      </c>
      <c r="AN70" s="95">
        <f t="shared" si="86"/>
        <v>6935</v>
      </c>
      <c r="AO70" s="95">
        <f t="shared" si="86"/>
        <v>7117.5</v>
      </c>
      <c r="AP70" s="95">
        <f t="shared" si="86"/>
        <v>7300</v>
      </c>
      <c r="AQ70" s="95">
        <f t="shared" si="86"/>
        <v>7482.5</v>
      </c>
      <c r="AR70" s="95">
        <f t="shared" si="86"/>
        <v>7665</v>
      </c>
      <c r="AS70" s="95">
        <f t="shared" si="86"/>
        <v>7847.5</v>
      </c>
      <c r="AT70" s="95">
        <f t="shared" si="86"/>
        <v>8030</v>
      </c>
      <c r="AU70" s="95">
        <f t="shared" si="86"/>
        <v>8212.5</v>
      </c>
      <c r="AV70" s="95">
        <f t="shared" si="86"/>
        <v>8395</v>
      </c>
      <c r="AW70" s="95">
        <f t="shared" si="86"/>
        <v>8577.5</v>
      </c>
      <c r="AX70" s="95">
        <f t="shared" si="86"/>
        <v>8760</v>
      </c>
      <c r="AY70" s="95">
        <f t="shared" si="86"/>
        <v>8942.5</v>
      </c>
      <c r="AZ70" s="95">
        <f t="shared" si="86"/>
        <v>9125</v>
      </c>
      <c r="BA70" s="95">
        <f t="shared" si="86"/>
        <v>9307.5</v>
      </c>
      <c r="BB70" s="95">
        <f t="shared" si="86"/>
        <v>9490</v>
      </c>
      <c r="BC70" s="95">
        <f t="shared" si="86"/>
        <v>9672.5</v>
      </c>
      <c r="BD70" s="95">
        <f t="shared" si="86"/>
        <v>9855</v>
      </c>
      <c r="BE70" s="95">
        <f t="shared" si="86"/>
        <v>10037.5</v>
      </c>
      <c r="BF70" s="95">
        <f t="shared" si="86"/>
        <v>10220</v>
      </c>
      <c r="BG70" s="95">
        <f t="shared" si="86"/>
        <v>10402.5</v>
      </c>
      <c r="BH70" s="95">
        <f t="shared" si="86"/>
        <v>10585</v>
      </c>
      <c r="BI70" s="95">
        <f t="shared" si="86"/>
        <v>10767.5</v>
      </c>
      <c r="BJ70" s="95">
        <f t="shared" si="86"/>
        <v>10950</v>
      </c>
      <c r="BK70" s="95">
        <f t="shared" si="86"/>
        <v>11132.5</v>
      </c>
      <c r="BL70" s="95">
        <f t="shared" si="86"/>
        <v>11315</v>
      </c>
      <c r="BM70" s="95">
        <f t="shared" si="86"/>
        <v>11497.5</v>
      </c>
      <c r="BN70" s="95">
        <f t="shared" si="86"/>
        <v>11680</v>
      </c>
      <c r="BO70" s="95">
        <f t="shared" si="86"/>
        <v>11862.5</v>
      </c>
      <c r="BP70" s="95">
        <f t="shared" ref="BP70:BX70" si="87">BO70+IF($G22=1,365,182.5)</f>
        <v>12045</v>
      </c>
      <c r="BQ70" s="95">
        <f t="shared" si="87"/>
        <v>12227.5</v>
      </c>
      <c r="BR70" s="95">
        <f t="shared" si="87"/>
        <v>12410</v>
      </c>
      <c r="BS70" s="95">
        <f t="shared" si="87"/>
        <v>12592.5</v>
      </c>
      <c r="BT70" s="95">
        <f t="shared" si="87"/>
        <v>12775</v>
      </c>
      <c r="BU70" s="95">
        <f t="shared" si="87"/>
        <v>12957.5</v>
      </c>
      <c r="BV70" s="95">
        <f t="shared" si="87"/>
        <v>13140</v>
      </c>
      <c r="BW70" s="95">
        <f t="shared" si="87"/>
        <v>13322.5</v>
      </c>
      <c r="BX70" s="95">
        <f t="shared" si="87"/>
        <v>13505</v>
      </c>
      <c r="BY70" s="95">
        <f>BX70+IF($G22=1,365,182.5)</f>
        <v>13687.5</v>
      </c>
      <c r="BZ70" s="95">
        <f t="shared" ref="BZ70:CB70" si="88">BY70+IF($G22=1,365,182.5)</f>
        <v>13870</v>
      </c>
      <c r="CA70" s="95">
        <f t="shared" si="88"/>
        <v>14052.5</v>
      </c>
      <c r="CB70" s="96">
        <f t="shared" si="88"/>
        <v>14235</v>
      </c>
    </row>
    <row r="71" spans="1:115">
      <c r="A71" s="181" t="s">
        <v>38</v>
      </c>
      <c r="B71" s="116">
        <f>(IF(B70=F22,100,0)+IF(G22=1,1,0.5)*J22*100)*IF(ISBLANK(F22)=TRUE,0,1)</f>
        <v>0</v>
      </c>
      <c r="C71" s="97">
        <f>IF(C70&gt;$F22+1,0,1)*(  IF(D71=0,100,0)+IF($G22=1,1,0.5)*$J22*100)</f>
        <v>0</v>
      </c>
      <c r="D71" s="97">
        <f t="shared" ref="D71:BO71" si="89">IF(D70&gt;$F22+1,0,1)*(  IF(E71=0,100,0)+IF($G22=1,1,0.5)*$J22*100)</f>
        <v>0</v>
      </c>
      <c r="E71" s="97">
        <f t="shared" si="89"/>
        <v>0</v>
      </c>
      <c r="F71" s="97">
        <f t="shared" si="89"/>
        <v>0</v>
      </c>
      <c r="G71" s="97">
        <f t="shared" si="89"/>
        <v>0</v>
      </c>
      <c r="H71" s="97">
        <f t="shared" si="89"/>
        <v>0</v>
      </c>
      <c r="I71" s="97">
        <f t="shared" si="89"/>
        <v>0</v>
      </c>
      <c r="J71" s="97">
        <f t="shared" si="89"/>
        <v>0</v>
      </c>
      <c r="K71" s="97">
        <f t="shared" si="89"/>
        <v>0</v>
      </c>
      <c r="L71" s="97">
        <f t="shared" si="89"/>
        <v>0</v>
      </c>
      <c r="M71" s="97">
        <f t="shared" si="89"/>
        <v>0</v>
      </c>
      <c r="N71" s="97">
        <f t="shared" si="89"/>
        <v>0</v>
      </c>
      <c r="O71" s="97">
        <f t="shared" si="89"/>
        <v>0</v>
      </c>
      <c r="P71" s="97">
        <f t="shared" si="89"/>
        <v>0</v>
      </c>
      <c r="Q71" s="97">
        <f t="shared" si="89"/>
        <v>0</v>
      </c>
      <c r="R71" s="97">
        <f t="shared" si="89"/>
        <v>0</v>
      </c>
      <c r="S71" s="97">
        <f t="shared" si="89"/>
        <v>0</v>
      </c>
      <c r="T71" s="97">
        <f t="shared" si="89"/>
        <v>0</v>
      </c>
      <c r="U71" s="97">
        <f t="shared" si="89"/>
        <v>0</v>
      </c>
      <c r="V71" s="97">
        <f t="shared" si="89"/>
        <v>0</v>
      </c>
      <c r="W71" s="97">
        <f t="shared" si="89"/>
        <v>0</v>
      </c>
      <c r="X71" s="97">
        <f t="shared" si="89"/>
        <v>0</v>
      </c>
      <c r="Y71" s="97">
        <f t="shared" si="89"/>
        <v>0</v>
      </c>
      <c r="Z71" s="97">
        <f t="shared" si="89"/>
        <v>0</v>
      </c>
      <c r="AA71" s="97">
        <f t="shared" si="89"/>
        <v>0</v>
      </c>
      <c r="AB71" s="97">
        <f t="shared" si="89"/>
        <v>0</v>
      </c>
      <c r="AC71" s="97">
        <f t="shared" si="89"/>
        <v>0</v>
      </c>
      <c r="AD71" s="97">
        <f t="shared" si="89"/>
        <v>0</v>
      </c>
      <c r="AE71" s="97">
        <f t="shared" si="89"/>
        <v>0</v>
      </c>
      <c r="AF71" s="97">
        <f t="shared" si="89"/>
        <v>0</v>
      </c>
      <c r="AG71" s="97">
        <f t="shared" si="89"/>
        <v>0</v>
      </c>
      <c r="AH71" s="97">
        <f t="shared" si="89"/>
        <v>0</v>
      </c>
      <c r="AI71" s="97">
        <f t="shared" si="89"/>
        <v>0</v>
      </c>
      <c r="AJ71" s="97">
        <f t="shared" si="89"/>
        <v>0</v>
      </c>
      <c r="AK71" s="97">
        <f t="shared" si="89"/>
        <v>0</v>
      </c>
      <c r="AL71" s="97">
        <f t="shared" si="89"/>
        <v>0</v>
      </c>
      <c r="AM71" s="97">
        <f t="shared" si="89"/>
        <v>0</v>
      </c>
      <c r="AN71" s="97">
        <f t="shared" si="89"/>
        <v>0</v>
      </c>
      <c r="AO71" s="97">
        <f t="shared" si="89"/>
        <v>0</v>
      </c>
      <c r="AP71" s="97">
        <f t="shared" si="89"/>
        <v>0</v>
      </c>
      <c r="AQ71" s="97">
        <f t="shared" si="89"/>
        <v>0</v>
      </c>
      <c r="AR71" s="97">
        <f t="shared" si="89"/>
        <v>0</v>
      </c>
      <c r="AS71" s="97">
        <f t="shared" si="89"/>
        <v>0</v>
      </c>
      <c r="AT71" s="97">
        <f t="shared" si="89"/>
        <v>0</v>
      </c>
      <c r="AU71" s="97">
        <f t="shared" si="89"/>
        <v>0</v>
      </c>
      <c r="AV71" s="97">
        <f t="shared" si="89"/>
        <v>0</v>
      </c>
      <c r="AW71" s="97">
        <f t="shared" si="89"/>
        <v>0</v>
      </c>
      <c r="AX71" s="97">
        <f t="shared" si="89"/>
        <v>0</v>
      </c>
      <c r="AY71" s="97">
        <f t="shared" si="89"/>
        <v>0</v>
      </c>
      <c r="AZ71" s="97">
        <f t="shared" si="89"/>
        <v>0</v>
      </c>
      <c r="BA71" s="97">
        <f t="shared" si="89"/>
        <v>0</v>
      </c>
      <c r="BB71" s="97">
        <f t="shared" si="89"/>
        <v>0</v>
      </c>
      <c r="BC71" s="97">
        <f t="shared" si="89"/>
        <v>0</v>
      </c>
      <c r="BD71" s="97">
        <f t="shared" si="89"/>
        <v>0</v>
      </c>
      <c r="BE71" s="97">
        <f t="shared" si="89"/>
        <v>0</v>
      </c>
      <c r="BF71" s="97">
        <f t="shared" si="89"/>
        <v>0</v>
      </c>
      <c r="BG71" s="97">
        <f t="shared" si="89"/>
        <v>0</v>
      </c>
      <c r="BH71" s="97">
        <f t="shared" si="89"/>
        <v>0</v>
      </c>
      <c r="BI71" s="97">
        <f t="shared" si="89"/>
        <v>0</v>
      </c>
      <c r="BJ71" s="97">
        <f t="shared" si="89"/>
        <v>0</v>
      </c>
      <c r="BK71" s="97">
        <f t="shared" si="89"/>
        <v>0</v>
      </c>
      <c r="BL71" s="97">
        <f t="shared" si="89"/>
        <v>0</v>
      </c>
      <c r="BM71" s="97">
        <f t="shared" si="89"/>
        <v>0</v>
      </c>
      <c r="BN71" s="97">
        <f t="shared" si="89"/>
        <v>0</v>
      </c>
      <c r="BO71" s="97">
        <f t="shared" si="89"/>
        <v>0</v>
      </c>
      <c r="BP71" s="97">
        <f t="shared" ref="BP71:BZ71" si="90">IF(BP70&gt;$F22+1,0,1)*(  IF(BQ71=0,100,0)+IF($G22=1,1,0.5)*$J22*100)</f>
        <v>0</v>
      </c>
      <c r="BQ71" s="97">
        <f t="shared" si="90"/>
        <v>0</v>
      </c>
      <c r="BR71" s="97">
        <f t="shared" si="90"/>
        <v>0</v>
      </c>
      <c r="BS71" s="97">
        <f t="shared" si="90"/>
        <v>0</v>
      </c>
      <c r="BT71" s="97">
        <f t="shared" si="90"/>
        <v>0</v>
      </c>
      <c r="BU71" s="97">
        <f t="shared" si="90"/>
        <v>0</v>
      </c>
      <c r="BV71" s="97">
        <f t="shared" si="90"/>
        <v>0</v>
      </c>
      <c r="BW71" s="97">
        <f t="shared" si="90"/>
        <v>0</v>
      </c>
      <c r="BX71" s="97">
        <f t="shared" si="90"/>
        <v>0</v>
      </c>
      <c r="BY71" s="97">
        <f t="shared" si="90"/>
        <v>0</v>
      </c>
      <c r="BZ71" s="97">
        <f t="shared" si="90"/>
        <v>0</v>
      </c>
      <c r="CA71" s="97">
        <f>IF(CA70&gt;$F22+1,0,1)*(  IF(CB71=0,100,0)+IF($G22=1,1,0.5)*$J22*100)</f>
        <v>0</v>
      </c>
      <c r="CB71" s="98">
        <f t="shared" ref="CB71" si="91">IF(CB70&gt;$F22+1,0,1)*(  IF(CC71=0,100,0)+IF($G22=1,1,0.5)*$J22*100)</f>
        <v>0</v>
      </c>
    </row>
    <row r="72" spans="1:115">
      <c r="A72" s="245" t="s">
        <v>49</v>
      </c>
      <c r="B72" s="99">
        <f>IF(E23=0,F23,E23)</f>
        <v>0</v>
      </c>
      <c r="C72" s="100">
        <f t="shared" ref="C72:BN72" si="92">B72+IF($G23=1,365,182.5)</f>
        <v>182.5</v>
      </c>
      <c r="D72" s="100">
        <f t="shared" si="92"/>
        <v>365</v>
      </c>
      <c r="E72" s="100">
        <f t="shared" si="92"/>
        <v>547.5</v>
      </c>
      <c r="F72" s="100">
        <f t="shared" si="92"/>
        <v>730</v>
      </c>
      <c r="G72" s="100">
        <f t="shared" si="92"/>
        <v>912.5</v>
      </c>
      <c r="H72" s="100">
        <f t="shared" si="92"/>
        <v>1095</v>
      </c>
      <c r="I72" s="100">
        <f t="shared" si="92"/>
        <v>1277.5</v>
      </c>
      <c r="J72" s="100">
        <f t="shared" si="92"/>
        <v>1460</v>
      </c>
      <c r="K72" s="100">
        <f t="shared" si="92"/>
        <v>1642.5</v>
      </c>
      <c r="L72" s="100">
        <f t="shared" si="92"/>
        <v>1825</v>
      </c>
      <c r="M72" s="100">
        <f t="shared" si="92"/>
        <v>2007.5</v>
      </c>
      <c r="N72" s="100">
        <f t="shared" si="92"/>
        <v>2190</v>
      </c>
      <c r="O72" s="100">
        <f t="shared" si="92"/>
        <v>2372.5</v>
      </c>
      <c r="P72" s="100">
        <f t="shared" si="92"/>
        <v>2555</v>
      </c>
      <c r="Q72" s="100">
        <f t="shared" si="92"/>
        <v>2737.5</v>
      </c>
      <c r="R72" s="100">
        <f t="shared" si="92"/>
        <v>2920</v>
      </c>
      <c r="S72" s="100">
        <f t="shared" si="92"/>
        <v>3102.5</v>
      </c>
      <c r="T72" s="100">
        <f t="shared" si="92"/>
        <v>3285</v>
      </c>
      <c r="U72" s="100">
        <f t="shared" si="92"/>
        <v>3467.5</v>
      </c>
      <c r="V72" s="100">
        <f t="shared" si="92"/>
        <v>3650</v>
      </c>
      <c r="W72" s="100">
        <f t="shared" si="92"/>
        <v>3832.5</v>
      </c>
      <c r="X72" s="100">
        <f t="shared" si="92"/>
        <v>4015</v>
      </c>
      <c r="Y72" s="100">
        <f t="shared" si="92"/>
        <v>4197.5</v>
      </c>
      <c r="Z72" s="100">
        <f t="shared" si="92"/>
        <v>4380</v>
      </c>
      <c r="AA72" s="100">
        <f t="shared" si="92"/>
        <v>4562.5</v>
      </c>
      <c r="AB72" s="100">
        <f t="shared" si="92"/>
        <v>4745</v>
      </c>
      <c r="AC72" s="100">
        <f t="shared" si="92"/>
        <v>4927.5</v>
      </c>
      <c r="AD72" s="100">
        <f t="shared" si="92"/>
        <v>5110</v>
      </c>
      <c r="AE72" s="100">
        <f t="shared" si="92"/>
        <v>5292.5</v>
      </c>
      <c r="AF72" s="100">
        <f t="shared" si="92"/>
        <v>5475</v>
      </c>
      <c r="AG72" s="100">
        <f t="shared" si="92"/>
        <v>5657.5</v>
      </c>
      <c r="AH72" s="100">
        <f t="shared" si="92"/>
        <v>5840</v>
      </c>
      <c r="AI72" s="100">
        <f t="shared" si="92"/>
        <v>6022.5</v>
      </c>
      <c r="AJ72" s="100">
        <f t="shared" si="92"/>
        <v>6205</v>
      </c>
      <c r="AK72" s="100">
        <f t="shared" si="92"/>
        <v>6387.5</v>
      </c>
      <c r="AL72" s="100">
        <f t="shared" si="92"/>
        <v>6570</v>
      </c>
      <c r="AM72" s="100">
        <f t="shared" si="92"/>
        <v>6752.5</v>
      </c>
      <c r="AN72" s="100">
        <f t="shared" si="92"/>
        <v>6935</v>
      </c>
      <c r="AO72" s="100">
        <f t="shared" si="92"/>
        <v>7117.5</v>
      </c>
      <c r="AP72" s="100">
        <f t="shared" si="92"/>
        <v>7300</v>
      </c>
      <c r="AQ72" s="100">
        <f t="shared" si="92"/>
        <v>7482.5</v>
      </c>
      <c r="AR72" s="100">
        <f t="shared" si="92"/>
        <v>7665</v>
      </c>
      <c r="AS72" s="100">
        <f t="shared" si="92"/>
        <v>7847.5</v>
      </c>
      <c r="AT72" s="100">
        <f t="shared" si="92"/>
        <v>8030</v>
      </c>
      <c r="AU72" s="100">
        <f t="shared" si="92"/>
        <v>8212.5</v>
      </c>
      <c r="AV72" s="100">
        <f t="shared" si="92"/>
        <v>8395</v>
      </c>
      <c r="AW72" s="100">
        <f t="shared" si="92"/>
        <v>8577.5</v>
      </c>
      <c r="AX72" s="100">
        <f t="shared" si="92"/>
        <v>8760</v>
      </c>
      <c r="AY72" s="100">
        <f t="shared" si="92"/>
        <v>8942.5</v>
      </c>
      <c r="AZ72" s="100">
        <f t="shared" si="92"/>
        <v>9125</v>
      </c>
      <c r="BA72" s="100">
        <f t="shared" si="92"/>
        <v>9307.5</v>
      </c>
      <c r="BB72" s="100">
        <f t="shared" si="92"/>
        <v>9490</v>
      </c>
      <c r="BC72" s="100">
        <f t="shared" si="92"/>
        <v>9672.5</v>
      </c>
      <c r="BD72" s="100">
        <f t="shared" si="92"/>
        <v>9855</v>
      </c>
      <c r="BE72" s="100">
        <f t="shared" si="92"/>
        <v>10037.5</v>
      </c>
      <c r="BF72" s="100">
        <f t="shared" si="92"/>
        <v>10220</v>
      </c>
      <c r="BG72" s="100">
        <f t="shared" si="92"/>
        <v>10402.5</v>
      </c>
      <c r="BH72" s="100">
        <f t="shared" si="92"/>
        <v>10585</v>
      </c>
      <c r="BI72" s="100">
        <f t="shared" si="92"/>
        <v>10767.5</v>
      </c>
      <c r="BJ72" s="100">
        <f t="shared" si="92"/>
        <v>10950</v>
      </c>
      <c r="BK72" s="100">
        <f t="shared" si="92"/>
        <v>11132.5</v>
      </c>
      <c r="BL72" s="100">
        <f t="shared" si="92"/>
        <v>11315</v>
      </c>
      <c r="BM72" s="100">
        <f t="shared" si="92"/>
        <v>11497.5</v>
      </c>
      <c r="BN72" s="100">
        <f t="shared" si="92"/>
        <v>11680</v>
      </c>
      <c r="BO72" s="100">
        <f t="shared" ref="BO72:CB72" si="93">BN72+IF($G23=1,365,182.5)</f>
        <v>11862.5</v>
      </c>
      <c r="BP72" s="100">
        <f t="shared" si="93"/>
        <v>12045</v>
      </c>
      <c r="BQ72" s="100">
        <f t="shared" si="93"/>
        <v>12227.5</v>
      </c>
      <c r="BR72" s="100">
        <f t="shared" si="93"/>
        <v>12410</v>
      </c>
      <c r="BS72" s="100">
        <f t="shared" si="93"/>
        <v>12592.5</v>
      </c>
      <c r="BT72" s="100">
        <f t="shared" si="93"/>
        <v>12775</v>
      </c>
      <c r="BU72" s="100">
        <f t="shared" si="93"/>
        <v>12957.5</v>
      </c>
      <c r="BV72" s="100">
        <f t="shared" si="93"/>
        <v>13140</v>
      </c>
      <c r="BW72" s="100">
        <f t="shared" si="93"/>
        <v>13322.5</v>
      </c>
      <c r="BX72" s="100">
        <f t="shared" si="93"/>
        <v>13505</v>
      </c>
      <c r="BY72" s="100">
        <f t="shared" si="93"/>
        <v>13687.5</v>
      </c>
      <c r="BZ72" s="100">
        <f t="shared" si="93"/>
        <v>13870</v>
      </c>
      <c r="CA72" s="100">
        <f t="shared" si="93"/>
        <v>14052.5</v>
      </c>
      <c r="CB72" s="101">
        <f t="shared" si="93"/>
        <v>14235</v>
      </c>
    </row>
    <row r="73" spans="1:115">
      <c r="A73" s="182" t="s">
        <v>39</v>
      </c>
      <c r="B73" s="117">
        <f>(IF(B72=F23,100,0)+IF(G23=1,1,0.5)*J23*100)*IF(ISBLANK(F23)=TRUE,0,1)</f>
        <v>0</v>
      </c>
      <c r="C73" s="102">
        <f>IF(C72&gt;$F23+1,0,1)*(IF(D73=0,100,0)+IF($G23=1,1,0.5)*$J23*100)</f>
        <v>0</v>
      </c>
      <c r="D73" s="102">
        <f t="shared" ref="D73:BO73" si="94">IF(D72&gt;$F23+1,0,1)*(IF(E73=0,100,0)+IF($G23=1,1,0.5)*$J23*100)</f>
        <v>0</v>
      </c>
      <c r="E73" s="102">
        <f t="shared" si="94"/>
        <v>0</v>
      </c>
      <c r="F73" s="102">
        <f t="shared" si="94"/>
        <v>0</v>
      </c>
      <c r="G73" s="102">
        <f t="shared" si="94"/>
        <v>0</v>
      </c>
      <c r="H73" s="102">
        <f t="shared" si="94"/>
        <v>0</v>
      </c>
      <c r="I73" s="102">
        <f t="shared" si="94"/>
        <v>0</v>
      </c>
      <c r="J73" s="102">
        <f t="shared" si="94"/>
        <v>0</v>
      </c>
      <c r="K73" s="102">
        <f t="shared" si="94"/>
        <v>0</v>
      </c>
      <c r="L73" s="102">
        <f t="shared" si="94"/>
        <v>0</v>
      </c>
      <c r="M73" s="102">
        <f t="shared" si="94"/>
        <v>0</v>
      </c>
      <c r="N73" s="102">
        <f t="shared" si="94"/>
        <v>0</v>
      </c>
      <c r="O73" s="102">
        <f t="shared" si="94"/>
        <v>0</v>
      </c>
      <c r="P73" s="102">
        <f t="shared" si="94"/>
        <v>0</v>
      </c>
      <c r="Q73" s="102">
        <f t="shared" si="94"/>
        <v>0</v>
      </c>
      <c r="R73" s="102">
        <f t="shared" si="94"/>
        <v>0</v>
      </c>
      <c r="S73" s="102">
        <f t="shared" si="94"/>
        <v>0</v>
      </c>
      <c r="T73" s="102">
        <f t="shared" si="94"/>
        <v>0</v>
      </c>
      <c r="U73" s="102">
        <f t="shared" si="94"/>
        <v>0</v>
      </c>
      <c r="V73" s="102">
        <f t="shared" si="94"/>
        <v>0</v>
      </c>
      <c r="W73" s="102">
        <f t="shared" si="94"/>
        <v>0</v>
      </c>
      <c r="X73" s="102">
        <f t="shared" si="94"/>
        <v>0</v>
      </c>
      <c r="Y73" s="102">
        <f t="shared" si="94"/>
        <v>0</v>
      </c>
      <c r="Z73" s="102">
        <f t="shared" si="94"/>
        <v>0</v>
      </c>
      <c r="AA73" s="102">
        <f t="shared" si="94"/>
        <v>0</v>
      </c>
      <c r="AB73" s="102">
        <f t="shared" si="94"/>
        <v>0</v>
      </c>
      <c r="AC73" s="102">
        <f t="shared" si="94"/>
        <v>0</v>
      </c>
      <c r="AD73" s="102">
        <f t="shared" si="94"/>
        <v>0</v>
      </c>
      <c r="AE73" s="102">
        <f t="shared" si="94"/>
        <v>0</v>
      </c>
      <c r="AF73" s="102">
        <f t="shared" si="94"/>
        <v>0</v>
      </c>
      <c r="AG73" s="102">
        <f t="shared" si="94"/>
        <v>0</v>
      </c>
      <c r="AH73" s="102">
        <f t="shared" si="94"/>
        <v>0</v>
      </c>
      <c r="AI73" s="102">
        <f t="shared" si="94"/>
        <v>0</v>
      </c>
      <c r="AJ73" s="102">
        <f t="shared" si="94"/>
        <v>0</v>
      </c>
      <c r="AK73" s="102">
        <f t="shared" si="94"/>
        <v>0</v>
      </c>
      <c r="AL73" s="102">
        <f t="shared" si="94"/>
        <v>0</v>
      </c>
      <c r="AM73" s="102">
        <f t="shared" si="94"/>
        <v>0</v>
      </c>
      <c r="AN73" s="102">
        <f t="shared" si="94"/>
        <v>0</v>
      </c>
      <c r="AO73" s="102">
        <f t="shared" si="94"/>
        <v>0</v>
      </c>
      <c r="AP73" s="102">
        <f t="shared" si="94"/>
        <v>0</v>
      </c>
      <c r="AQ73" s="102">
        <f t="shared" si="94"/>
        <v>0</v>
      </c>
      <c r="AR73" s="102">
        <f t="shared" si="94"/>
        <v>0</v>
      </c>
      <c r="AS73" s="102">
        <f t="shared" si="94"/>
        <v>0</v>
      </c>
      <c r="AT73" s="102">
        <f t="shared" si="94"/>
        <v>0</v>
      </c>
      <c r="AU73" s="102">
        <f t="shared" si="94"/>
        <v>0</v>
      </c>
      <c r="AV73" s="102">
        <f t="shared" si="94"/>
        <v>0</v>
      </c>
      <c r="AW73" s="102">
        <f t="shared" si="94"/>
        <v>0</v>
      </c>
      <c r="AX73" s="102">
        <f t="shared" si="94"/>
        <v>0</v>
      </c>
      <c r="AY73" s="102">
        <f t="shared" si="94"/>
        <v>0</v>
      </c>
      <c r="AZ73" s="102">
        <f t="shared" si="94"/>
        <v>0</v>
      </c>
      <c r="BA73" s="102">
        <f t="shared" si="94"/>
        <v>0</v>
      </c>
      <c r="BB73" s="102">
        <f t="shared" si="94"/>
        <v>0</v>
      </c>
      <c r="BC73" s="102">
        <f t="shared" si="94"/>
        <v>0</v>
      </c>
      <c r="BD73" s="102">
        <f t="shared" si="94"/>
        <v>0</v>
      </c>
      <c r="BE73" s="102">
        <f t="shared" si="94"/>
        <v>0</v>
      </c>
      <c r="BF73" s="102">
        <f t="shared" si="94"/>
        <v>0</v>
      </c>
      <c r="BG73" s="102">
        <f t="shared" si="94"/>
        <v>0</v>
      </c>
      <c r="BH73" s="102">
        <f t="shared" si="94"/>
        <v>0</v>
      </c>
      <c r="BI73" s="102">
        <f t="shared" si="94"/>
        <v>0</v>
      </c>
      <c r="BJ73" s="102">
        <f t="shared" si="94"/>
        <v>0</v>
      </c>
      <c r="BK73" s="102">
        <f t="shared" si="94"/>
        <v>0</v>
      </c>
      <c r="BL73" s="102">
        <f t="shared" si="94"/>
        <v>0</v>
      </c>
      <c r="BM73" s="102">
        <f t="shared" si="94"/>
        <v>0</v>
      </c>
      <c r="BN73" s="102">
        <f t="shared" si="94"/>
        <v>0</v>
      </c>
      <c r="BO73" s="102">
        <f t="shared" si="94"/>
        <v>0</v>
      </c>
      <c r="BP73" s="102">
        <f t="shared" ref="BP73:CB73" si="95">IF(BP72&gt;$F23+1,0,1)*(IF(BQ73=0,100,0)+IF($G23=1,1,0.5)*$J23*100)</f>
        <v>0</v>
      </c>
      <c r="BQ73" s="102">
        <f t="shared" si="95"/>
        <v>0</v>
      </c>
      <c r="BR73" s="102">
        <f t="shared" si="95"/>
        <v>0</v>
      </c>
      <c r="BS73" s="102">
        <f t="shared" si="95"/>
        <v>0</v>
      </c>
      <c r="BT73" s="102">
        <f t="shared" si="95"/>
        <v>0</v>
      </c>
      <c r="BU73" s="102">
        <f t="shared" si="95"/>
        <v>0</v>
      </c>
      <c r="BV73" s="102">
        <f t="shared" si="95"/>
        <v>0</v>
      </c>
      <c r="BW73" s="102">
        <f t="shared" si="95"/>
        <v>0</v>
      </c>
      <c r="BX73" s="102">
        <f t="shared" si="95"/>
        <v>0</v>
      </c>
      <c r="BY73" s="102">
        <f t="shared" si="95"/>
        <v>0</v>
      </c>
      <c r="BZ73" s="102">
        <f t="shared" si="95"/>
        <v>0</v>
      </c>
      <c r="CA73" s="102">
        <f t="shared" si="95"/>
        <v>0</v>
      </c>
      <c r="CB73" s="103">
        <f t="shared" si="95"/>
        <v>0</v>
      </c>
      <c r="CF73" s="9"/>
      <c r="CG73" s="9"/>
      <c r="CH73" s="9"/>
      <c r="CI73" s="9"/>
      <c r="CJ73" s="9"/>
      <c r="CK73" s="9"/>
      <c r="CL73" s="9"/>
      <c r="CM73" s="9"/>
      <c r="CN73" s="9"/>
      <c r="CO73" s="9"/>
      <c r="CP73" s="9"/>
      <c r="CQ73" s="9"/>
      <c r="CR73" s="9"/>
      <c r="CS73" s="9"/>
      <c r="CT73" s="9"/>
      <c r="CU73" s="9"/>
      <c r="CV73" s="9"/>
      <c r="CW73" s="9"/>
      <c r="CX73" s="9"/>
      <c r="CY73" s="9"/>
      <c r="CZ73" s="9"/>
      <c r="DA73" s="9"/>
      <c r="DB73" s="9"/>
      <c r="DC73" s="9"/>
      <c r="DD73" s="9"/>
      <c r="DE73" s="9"/>
      <c r="DF73" s="9"/>
      <c r="DG73" s="9"/>
      <c r="DH73" s="9"/>
      <c r="DI73" s="9"/>
      <c r="DJ73" s="9"/>
      <c r="DK73" s="9"/>
    </row>
    <row r="74" spans="1:115">
      <c r="A74" s="244" t="s">
        <v>49</v>
      </c>
      <c r="B74" s="216">
        <f>IF(E24=0,F24,E24)</f>
        <v>0</v>
      </c>
      <c r="C74" s="188">
        <f>B74+IF($G24=1,365,182.5)</f>
        <v>182.5</v>
      </c>
      <c r="D74" s="188">
        <f>C74+IF($G24=1,365,182.5)</f>
        <v>365</v>
      </c>
      <c r="E74" s="188">
        <f t="shared" ref="E74:BP74" si="96">D74+IF($G24=1,365,182.5)</f>
        <v>547.5</v>
      </c>
      <c r="F74" s="188">
        <f t="shared" si="96"/>
        <v>730</v>
      </c>
      <c r="G74" s="188">
        <f t="shared" si="96"/>
        <v>912.5</v>
      </c>
      <c r="H74" s="188">
        <f t="shared" si="96"/>
        <v>1095</v>
      </c>
      <c r="I74" s="188">
        <f t="shared" si="96"/>
        <v>1277.5</v>
      </c>
      <c r="J74" s="188">
        <f t="shared" si="96"/>
        <v>1460</v>
      </c>
      <c r="K74" s="188">
        <f t="shared" si="96"/>
        <v>1642.5</v>
      </c>
      <c r="L74" s="188">
        <f t="shared" si="96"/>
        <v>1825</v>
      </c>
      <c r="M74" s="188">
        <f t="shared" si="96"/>
        <v>2007.5</v>
      </c>
      <c r="N74" s="188">
        <f t="shared" si="96"/>
        <v>2190</v>
      </c>
      <c r="O74" s="188">
        <f t="shared" si="96"/>
        <v>2372.5</v>
      </c>
      <c r="P74" s="188">
        <f t="shared" si="96"/>
        <v>2555</v>
      </c>
      <c r="Q74" s="188">
        <f t="shared" si="96"/>
        <v>2737.5</v>
      </c>
      <c r="R74" s="188">
        <f t="shared" si="96"/>
        <v>2920</v>
      </c>
      <c r="S74" s="188">
        <f t="shared" si="96"/>
        <v>3102.5</v>
      </c>
      <c r="T74" s="188">
        <f t="shared" si="96"/>
        <v>3285</v>
      </c>
      <c r="U74" s="188">
        <f t="shared" si="96"/>
        <v>3467.5</v>
      </c>
      <c r="V74" s="188">
        <f t="shared" si="96"/>
        <v>3650</v>
      </c>
      <c r="W74" s="188">
        <f t="shared" si="96"/>
        <v>3832.5</v>
      </c>
      <c r="X74" s="188">
        <f t="shared" si="96"/>
        <v>4015</v>
      </c>
      <c r="Y74" s="188">
        <f t="shared" si="96"/>
        <v>4197.5</v>
      </c>
      <c r="Z74" s="188">
        <f t="shared" si="96"/>
        <v>4380</v>
      </c>
      <c r="AA74" s="188">
        <f t="shared" si="96"/>
        <v>4562.5</v>
      </c>
      <c r="AB74" s="188">
        <f t="shared" si="96"/>
        <v>4745</v>
      </c>
      <c r="AC74" s="188">
        <f t="shared" si="96"/>
        <v>4927.5</v>
      </c>
      <c r="AD74" s="188">
        <f t="shared" si="96"/>
        <v>5110</v>
      </c>
      <c r="AE74" s="188">
        <f t="shared" si="96"/>
        <v>5292.5</v>
      </c>
      <c r="AF74" s="188">
        <f t="shared" si="96"/>
        <v>5475</v>
      </c>
      <c r="AG74" s="188">
        <f t="shared" si="96"/>
        <v>5657.5</v>
      </c>
      <c r="AH74" s="188">
        <f t="shared" si="96"/>
        <v>5840</v>
      </c>
      <c r="AI74" s="188">
        <f t="shared" si="96"/>
        <v>6022.5</v>
      </c>
      <c r="AJ74" s="188">
        <f t="shared" si="96"/>
        <v>6205</v>
      </c>
      <c r="AK74" s="188">
        <f t="shared" si="96"/>
        <v>6387.5</v>
      </c>
      <c r="AL74" s="188">
        <f t="shared" si="96"/>
        <v>6570</v>
      </c>
      <c r="AM74" s="188">
        <f t="shared" si="96"/>
        <v>6752.5</v>
      </c>
      <c r="AN74" s="188">
        <f t="shared" si="96"/>
        <v>6935</v>
      </c>
      <c r="AO74" s="188">
        <f t="shared" si="96"/>
        <v>7117.5</v>
      </c>
      <c r="AP74" s="188">
        <f t="shared" si="96"/>
        <v>7300</v>
      </c>
      <c r="AQ74" s="188">
        <f t="shared" si="96"/>
        <v>7482.5</v>
      </c>
      <c r="AR74" s="188">
        <f t="shared" si="96"/>
        <v>7665</v>
      </c>
      <c r="AS74" s="188">
        <f t="shared" si="96"/>
        <v>7847.5</v>
      </c>
      <c r="AT74" s="188">
        <f t="shared" si="96"/>
        <v>8030</v>
      </c>
      <c r="AU74" s="188">
        <f t="shared" si="96"/>
        <v>8212.5</v>
      </c>
      <c r="AV74" s="188">
        <f t="shared" si="96"/>
        <v>8395</v>
      </c>
      <c r="AW74" s="188">
        <f t="shared" si="96"/>
        <v>8577.5</v>
      </c>
      <c r="AX74" s="188">
        <f t="shared" si="96"/>
        <v>8760</v>
      </c>
      <c r="AY74" s="188">
        <f t="shared" si="96"/>
        <v>8942.5</v>
      </c>
      <c r="AZ74" s="188">
        <f t="shared" si="96"/>
        <v>9125</v>
      </c>
      <c r="BA74" s="188">
        <f t="shared" si="96"/>
        <v>9307.5</v>
      </c>
      <c r="BB74" s="188">
        <f t="shared" si="96"/>
        <v>9490</v>
      </c>
      <c r="BC74" s="188">
        <f t="shared" si="96"/>
        <v>9672.5</v>
      </c>
      <c r="BD74" s="188">
        <f t="shared" si="96"/>
        <v>9855</v>
      </c>
      <c r="BE74" s="188">
        <f t="shared" si="96"/>
        <v>10037.5</v>
      </c>
      <c r="BF74" s="188">
        <f t="shared" si="96"/>
        <v>10220</v>
      </c>
      <c r="BG74" s="188">
        <f t="shared" si="96"/>
        <v>10402.5</v>
      </c>
      <c r="BH74" s="188">
        <f t="shared" si="96"/>
        <v>10585</v>
      </c>
      <c r="BI74" s="188">
        <f t="shared" si="96"/>
        <v>10767.5</v>
      </c>
      <c r="BJ74" s="188">
        <f t="shared" si="96"/>
        <v>10950</v>
      </c>
      <c r="BK74" s="188">
        <f t="shared" si="96"/>
        <v>11132.5</v>
      </c>
      <c r="BL74" s="188">
        <f t="shared" si="96"/>
        <v>11315</v>
      </c>
      <c r="BM74" s="188">
        <f t="shared" si="96"/>
        <v>11497.5</v>
      </c>
      <c r="BN74" s="188">
        <f t="shared" si="96"/>
        <v>11680</v>
      </c>
      <c r="BO74" s="188">
        <f t="shared" si="96"/>
        <v>11862.5</v>
      </c>
      <c r="BP74" s="188">
        <f t="shared" si="96"/>
        <v>12045</v>
      </c>
      <c r="BQ74" s="188">
        <f t="shared" ref="BQ74:CB74" si="97">BP74+IF($G24=1,365,182.5)</f>
        <v>12227.5</v>
      </c>
      <c r="BR74" s="188">
        <f t="shared" si="97"/>
        <v>12410</v>
      </c>
      <c r="BS74" s="188">
        <f t="shared" si="97"/>
        <v>12592.5</v>
      </c>
      <c r="BT74" s="188">
        <f t="shared" si="97"/>
        <v>12775</v>
      </c>
      <c r="BU74" s="188">
        <f t="shared" si="97"/>
        <v>12957.5</v>
      </c>
      <c r="BV74" s="188">
        <f t="shared" si="97"/>
        <v>13140</v>
      </c>
      <c r="BW74" s="188">
        <f t="shared" si="97"/>
        <v>13322.5</v>
      </c>
      <c r="BX74" s="188">
        <f t="shared" si="97"/>
        <v>13505</v>
      </c>
      <c r="BY74" s="188">
        <f t="shared" si="97"/>
        <v>13687.5</v>
      </c>
      <c r="BZ74" s="188">
        <f t="shared" si="97"/>
        <v>13870</v>
      </c>
      <c r="CA74" s="188">
        <f t="shared" si="97"/>
        <v>14052.5</v>
      </c>
      <c r="CB74" s="189">
        <f t="shared" si="97"/>
        <v>14235</v>
      </c>
      <c r="CF74" s="9"/>
      <c r="CG74" s="9"/>
      <c r="CH74" s="9"/>
      <c r="CI74" s="9"/>
      <c r="CJ74" s="9"/>
      <c r="CK74" s="9"/>
      <c r="CL74" s="9"/>
      <c r="CM74" s="9"/>
      <c r="CN74" s="9"/>
      <c r="CO74" s="9"/>
      <c r="CP74" s="9"/>
      <c r="CQ74" s="9"/>
      <c r="CR74" s="9"/>
      <c r="CS74" s="9"/>
      <c r="CT74" s="9"/>
      <c r="CU74" s="9"/>
      <c r="CV74" s="9"/>
      <c r="CW74" s="9"/>
      <c r="CX74" s="9"/>
      <c r="CY74" s="9"/>
      <c r="CZ74" s="9"/>
      <c r="DA74" s="9"/>
      <c r="DB74" s="9"/>
      <c r="DC74" s="9"/>
      <c r="DD74" s="9"/>
      <c r="DE74" s="9"/>
      <c r="DF74" s="9"/>
      <c r="DG74" s="9"/>
      <c r="DH74" s="9"/>
      <c r="DI74" s="9"/>
      <c r="DJ74" s="9"/>
      <c r="DK74" s="9"/>
    </row>
    <row r="75" spans="1:115">
      <c r="A75" s="183" t="s">
        <v>127</v>
      </c>
      <c r="B75" s="158">
        <f>(IF(B74=F24,100,0)+IF(G24=1,1,0.5)*J24*100)*IF(ISBLANK(F24)=TRUE,0,1)</f>
        <v>0</v>
      </c>
      <c r="C75" s="159">
        <f>IF(C74&gt;$F24+1,0,1)*(IF(D75=0,100,0)+IF($G24=1,1,0.5)*$J24*100)</f>
        <v>0</v>
      </c>
      <c r="D75" s="159">
        <f t="shared" ref="D75:F75" si="98">IF(D74&gt;$F24+1,0,1)*(IF(E75=0,100,0)+IF($G24=1,1,0.5)*$J24*100)</f>
        <v>0</v>
      </c>
      <c r="E75" s="159">
        <f t="shared" si="98"/>
        <v>0</v>
      </c>
      <c r="F75" s="159">
        <f t="shared" si="98"/>
        <v>0</v>
      </c>
      <c r="G75" s="159">
        <f>IF(G74&gt;$F24+1,0,1)*(IF(H75=0,100,0)+IF($G24=1,1,0.5)*$J24*100)</f>
        <v>0</v>
      </c>
      <c r="H75" s="159">
        <f t="shared" ref="H75:AM75" si="99">IF(H74&gt;$F24+1,0,1)*(IF(I75=0,100,0)+IF($G24=1,1,0.5)*$J24*100)</f>
        <v>0</v>
      </c>
      <c r="I75" s="159">
        <f t="shared" si="99"/>
        <v>0</v>
      </c>
      <c r="J75" s="159">
        <f t="shared" si="99"/>
        <v>0</v>
      </c>
      <c r="K75" s="159">
        <f t="shared" si="99"/>
        <v>0</v>
      </c>
      <c r="L75" s="159">
        <f t="shared" si="99"/>
        <v>0</v>
      </c>
      <c r="M75" s="159">
        <f t="shared" si="99"/>
        <v>0</v>
      </c>
      <c r="N75" s="159">
        <f t="shared" si="99"/>
        <v>0</v>
      </c>
      <c r="O75" s="159">
        <f t="shared" si="99"/>
        <v>0</v>
      </c>
      <c r="P75" s="159">
        <f t="shared" si="99"/>
        <v>0</v>
      </c>
      <c r="Q75" s="159">
        <f t="shared" si="99"/>
        <v>0</v>
      </c>
      <c r="R75" s="159">
        <f t="shared" si="99"/>
        <v>0</v>
      </c>
      <c r="S75" s="159">
        <f t="shared" si="99"/>
        <v>0</v>
      </c>
      <c r="T75" s="159">
        <f t="shared" si="99"/>
        <v>0</v>
      </c>
      <c r="U75" s="159">
        <f t="shared" si="99"/>
        <v>0</v>
      </c>
      <c r="V75" s="159">
        <f t="shared" si="99"/>
        <v>0</v>
      </c>
      <c r="W75" s="159">
        <f t="shared" si="99"/>
        <v>0</v>
      </c>
      <c r="X75" s="159">
        <f t="shared" si="99"/>
        <v>0</v>
      </c>
      <c r="Y75" s="159">
        <f t="shared" si="99"/>
        <v>0</v>
      </c>
      <c r="Z75" s="159">
        <f t="shared" si="99"/>
        <v>0</v>
      </c>
      <c r="AA75" s="159">
        <f t="shared" si="99"/>
        <v>0</v>
      </c>
      <c r="AB75" s="159">
        <f t="shared" si="99"/>
        <v>0</v>
      </c>
      <c r="AC75" s="159">
        <f t="shared" si="99"/>
        <v>0</v>
      </c>
      <c r="AD75" s="159">
        <f t="shared" si="99"/>
        <v>0</v>
      </c>
      <c r="AE75" s="159">
        <f t="shared" si="99"/>
        <v>0</v>
      </c>
      <c r="AF75" s="159">
        <f t="shared" si="99"/>
        <v>0</v>
      </c>
      <c r="AG75" s="159">
        <f t="shared" si="99"/>
        <v>0</v>
      </c>
      <c r="AH75" s="159">
        <f t="shared" si="99"/>
        <v>0</v>
      </c>
      <c r="AI75" s="159">
        <f t="shared" si="99"/>
        <v>0</v>
      </c>
      <c r="AJ75" s="159">
        <f t="shared" si="99"/>
        <v>0</v>
      </c>
      <c r="AK75" s="159">
        <f t="shared" si="99"/>
        <v>0</v>
      </c>
      <c r="AL75" s="159">
        <f t="shared" si="99"/>
        <v>0</v>
      </c>
      <c r="AM75" s="159">
        <f t="shared" si="99"/>
        <v>0</v>
      </c>
      <c r="AN75" s="159">
        <f>IF(AN74&gt;$F24+1,0,1)*(IF(AO75=0,100,0)+IF($G24=1,1,0.5)*$J24*100)</f>
        <v>0</v>
      </c>
      <c r="AO75" s="159">
        <f t="shared" ref="AO75:AQ75" si="100">IF(AO74&gt;$F24+1,0,1)*(IF(AP75=0,100,0)+IF($G24=1,1,0.5)*$J24*100)</f>
        <v>0</v>
      </c>
      <c r="AP75" s="159">
        <f t="shared" si="100"/>
        <v>0</v>
      </c>
      <c r="AQ75" s="159">
        <f t="shared" si="100"/>
        <v>0</v>
      </c>
      <c r="AR75" s="159">
        <f>IF(AR74&gt;$F24+1,0,1)*(IF(AS75=0,100,0)+IF($G24=1,1,0.5)*$J24*100)</f>
        <v>0</v>
      </c>
      <c r="AS75" s="159">
        <f t="shared" ref="AS75" si="101">IF(AS74&gt;$F24+1,0,1)*(IF(AT75=0,100,0)+IF($G24=1,1,0.5)*$J24*100)</f>
        <v>0</v>
      </c>
      <c r="AT75" s="159">
        <f>IF(AT74&gt;$F24+1,0,1)*(IF(AU75=0,100,0)+IF($G24=1,1,0.5)*$J24*100)</f>
        <v>0</v>
      </c>
      <c r="AU75" s="159">
        <f t="shared" ref="AU75:AW75" si="102">IF(AU74&gt;$F24+1,0,1)*(IF(AV75=0,100,0)+IF($G24=1,1,0.5)*$J24*100)</f>
        <v>0</v>
      </c>
      <c r="AV75" s="159">
        <f t="shared" si="102"/>
        <v>0</v>
      </c>
      <c r="AW75" s="159">
        <f t="shared" si="102"/>
        <v>0</v>
      </c>
      <c r="AX75" s="159">
        <f>IF(AX74&gt;$F24+1,0,1)*(IF(AY75=0,100,0)+IF($G24=1,1,0.5)*$J24*100)</f>
        <v>0</v>
      </c>
      <c r="AY75" s="159">
        <f t="shared" ref="AY75:BG75" si="103">IF(AY74&gt;$F24+1,0,1)*(IF(AZ75=0,100,0)+IF($G24=1,1,0.5)*$J24*100)</f>
        <v>0</v>
      </c>
      <c r="AZ75" s="159">
        <f t="shared" si="103"/>
        <v>0</v>
      </c>
      <c r="BA75" s="159">
        <f t="shared" si="103"/>
        <v>0</v>
      </c>
      <c r="BB75" s="159">
        <f t="shared" si="103"/>
        <v>0</v>
      </c>
      <c r="BC75" s="159">
        <f t="shared" si="103"/>
        <v>0</v>
      </c>
      <c r="BD75" s="160">
        <f t="shared" si="103"/>
        <v>0</v>
      </c>
      <c r="BE75" s="159">
        <f t="shared" si="103"/>
        <v>0</v>
      </c>
      <c r="BF75" s="159">
        <f t="shared" si="103"/>
        <v>0</v>
      </c>
      <c r="BG75" s="159">
        <f t="shared" si="103"/>
        <v>0</v>
      </c>
      <c r="BH75" s="159">
        <f>IF(BH74&gt;$F24+1,0,1)*(IF(BI75=0,100,0)+IF($G24=1,1,0.5)*$J24*100)</f>
        <v>0</v>
      </c>
      <c r="BI75" s="159">
        <f t="shared" ref="BI75:BK75" si="104">IF(BI74&gt;$F24+1,0,1)*(IF(BJ75=0,100,0)+IF($G24=1,1,0.5)*$J24*100)</f>
        <v>0</v>
      </c>
      <c r="BJ75" s="159">
        <f t="shared" si="104"/>
        <v>0</v>
      </c>
      <c r="BK75" s="159">
        <f t="shared" si="104"/>
        <v>0</v>
      </c>
      <c r="BL75" s="159">
        <f>IF(BL74&gt;$F24+1,0,1)*(IF(BM75=0,100,0)+IF($G24=1,1,0.5)*$J24*100)</f>
        <v>0</v>
      </c>
      <c r="BM75" s="159">
        <f t="shared" ref="BM75:CB75" si="105">IF(BM74&gt;$F24+1,0,1)*(IF(BN75=0,100,0)+IF($G24=1,1,0.5)*$J24*100)</f>
        <v>0</v>
      </c>
      <c r="BN75" s="159">
        <f t="shared" si="105"/>
        <v>0</v>
      </c>
      <c r="BO75" s="159">
        <f t="shared" si="105"/>
        <v>0</v>
      </c>
      <c r="BP75" s="159">
        <f t="shared" si="105"/>
        <v>0</v>
      </c>
      <c r="BQ75" s="159">
        <f t="shared" si="105"/>
        <v>0</v>
      </c>
      <c r="BR75" s="159">
        <f t="shared" si="105"/>
        <v>0</v>
      </c>
      <c r="BS75" s="159">
        <f t="shared" si="105"/>
        <v>0</v>
      </c>
      <c r="BT75" s="159">
        <f t="shared" si="105"/>
        <v>0</v>
      </c>
      <c r="BU75" s="159">
        <f t="shared" si="105"/>
        <v>0</v>
      </c>
      <c r="BV75" s="159">
        <f t="shared" si="105"/>
        <v>0</v>
      </c>
      <c r="BW75" s="159">
        <f t="shared" si="105"/>
        <v>0</v>
      </c>
      <c r="BX75" s="159">
        <f t="shared" si="105"/>
        <v>0</v>
      </c>
      <c r="BY75" s="159">
        <f t="shared" si="105"/>
        <v>0</v>
      </c>
      <c r="BZ75" s="159">
        <f t="shared" si="105"/>
        <v>0</v>
      </c>
      <c r="CA75" s="159">
        <f t="shared" si="105"/>
        <v>0</v>
      </c>
      <c r="CB75" s="187">
        <f t="shared" si="105"/>
        <v>0</v>
      </c>
      <c r="CF75" s="9"/>
      <c r="CG75" s="9"/>
      <c r="CH75" s="9"/>
      <c r="CI75" s="9"/>
      <c r="CJ75" s="9"/>
      <c r="CK75" s="9"/>
      <c r="CL75" s="9"/>
      <c r="CM75" s="9"/>
      <c r="CN75" s="9"/>
      <c r="CO75" s="9"/>
      <c r="CP75" s="9"/>
      <c r="CQ75" s="9"/>
      <c r="CR75" s="9"/>
      <c r="CS75" s="9"/>
      <c r="CT75" s="9"/>
      <c r="CU75" s="9"/>
      <c r="CV75" s="9"/>
      <c r="CW75" s="9"/>
      <c r="CX75" s="9"/>
      <c r="CY75" s="9"/>
      <c r="CZ75" s="9"/>
      <c r="DA75" s="9"/>
      <c r="DB75" s="9"/>
      <c r="DC75" s="9"/>
      <c r="DD75" s="9"/>
      <c r="DE75" s="9"/>
      <c r="DF75" s="9"/>
      <c r="DG75" s="9"/>
      <c r="DH75" s="9"/>
      <c r="DI75" s="9"/>
      <c r="DJ75" s="9"/>
      <c r="DK75" s="9"/>
    </row>
    <row r="76" spans="1:115">
      <c r="A76" s="221" t="s">
        <v>49</v>
      </c>
      <c r="B76" s="144">
        <f>IF(E25=0,F25,E25)</f>
        <v>0</v>
      </c>
      <c r="C76" s="145">
        <f>B76+IF($G25=1,365,182.5)</f>
        <v>182.5</v>
      </c>
      <c r="D76" s="145">
        <f>C76+IF($G25=1,365,182.5)</f>
        <v>365</v>
      </c>
      <c r="E76" s="145">
        <f t="shared" ref="E76:BP76" si="106">D76+IF($G25=1,365,182.5)</f>
        <v>547.5</v>
      </c>
      <c r="F76" s="145">
        <f t="shared" si="106"/>
        <v>730</v>
      </c>
      <c r="G76" s="145">
        <f t="shared" si="106"/>
        <v>912.5</v>
      </c>
      <c r="H76" s="145">
        <f t="shared" si="106"/>
        <v>1095</v>
      </c>
      <c r="I76" s="145">
        <f t="shared" si="106"/>
        <v>1277.5</v>
      </c>
      <c r="J76" s="145">
        <f t="shared" si="106"/>
        <v>1460</v>
      </c>
      <c r="K76" s="145">
        <f t="shared" si="106"/>
        <v>1642.5</v>
      </c>
      <c r="L76" s="145">
        <f t="shared" si="106"/>
        <v>1825</v>
      </c>
      <c r="M76" s="145">
        <f t="shared" si="106"/>
        <v>2007.5</v>
      </c>
      <c r="N76" s="145">
        <f t="shared" si="106"/>
        <v>2190</v>
      </c>
      <c r="O76" s="145">
        <f t="shared" si="106"/>
        <v>2372.5</v>
      </c>
      <c r="P76" s="145">
        <f t="shared" si="106"/>
        <v>2555</v>
      </c>
      <c r="Q76" s="145">
        <f t="shared" si="106"/>
        <v>2737.5</v>
      </c>
      <c r="R76" s="145">
        <f t="shared" si="106"/>
        <v>2920</v>
      </c>
      <c r="S76" s="145">
        <f t="shared" si="106"/>
        <v>3102.5</v>
      </c>
      <c r="T76" s="145">
        <f t="shared" si="106"/>
        <v>3285</v>
      </c>
      <c r="U76" s="145">
        <f t="shared" si="106"/>
        <v>3467.5</v>
      </c>
      <c r="V76" s="145">
        <f t="shared" si="106"/>
        <v>3650</v>
      </c>
      <c r="W76" s="145">
        <f t="shared" si="106"/>
        <v>3832.5</v>
      </c>
      <c r="X76" s="145">
        <f t="shared" si="106"/>
        <v>4015</v>
      </c>
      <c r="Y76" s="145">
        <f t="shared" si="106"/>
        <v>4197.5</v>
      </c>
      <c r="Z76" s="145">
        <f t="shared" si="106"/>
        <v>4380</v>
      </c>
      <c r="AA76" s="145">
        <f t="shared" si="106"/>
        <v>4562.5</v>
      </c>
      <c r="AB76" s="145">
        <f t="shared" si="106"/>
        <v>4745</v>
      </c>
      <c r="AC76" s="145">
        <f t="shared" si="106"/>
        <v>4927.5</v>
      </c>
      <c r="AD76" s="145">
        <f t="shared" si="106"/>
        <v>5110</v>
      </c>
      <c r="AE76" s="145">
        <f t="shared" si="106"/>
        <v>5292.5</v>
      </c>
      <c r="AF76" s="145">
        <f t="shared" si="106"/>
        <v>5475</v>
      </c>
      <c r="AG76" s="145">
        <f t="shared" si="106"/>
        <v>5657.5</v>
      </c>
      <c r="AH76" s="145">
        <f t="shared" si="106"/>
        <v>5840</v>
      </c>
      <c r="AI76" s="145">
        <f t="shared" si="106"/>
        <v>6022.5</v>
      </c>
      <c r="AJ76" s="145">
        <f t="shared" si="106"/>
        <v>6205</v>
      </c>
      <c r="AK76" s="145">
        <f t="shared" si="106"/>
        <v>6387.5</v>
      </c>
      <c r="AL76" s="145">
        <f t="shared" si="106"/>
        <v>6570</v>
      </c>
      <c r="AM76" s="145">
        <f t="shared" si="106"/>
        <v>6752.5</v>
      </c>
      <c r="AN76" s="145">
        <f t="shared" si="106"/>
        <v>6935</v>
      </c>
      <c r="AO76" s="145">
        <f t="shared" si="106"/>
        <v>7117.5</v>
      </c>
      <c r="AP76" s="145">
        <f t="shared" si="106"/>
        <v>7300</v>
      </c>
      <c r="AQ76" s="145">
        <f t="shared" si="106"/>
        <v>7482.5</v>
      </c>
      <c r="AR76" s="145">
        <f t="shared" si="106"/>
        <v>7665</v>
      </c>
      <c r="AS76" s="145">
        <f t="shared" si="106"/>
        <v>7847.5</v>
      </c>
      <c r="AT76" s="145">
        <f t="shared" si="106"/>
        <v>8030</v>
      </c>
      <c r="AU76" s="145">
        <f t="shared" si="106"/>
        <v>8212.5</v>
      </c>
      <c r="AV76" s="145">
        <f t="shared" si="106"/>
        <v>8395</v>
      </c>
      <c r="AW76" s="145">
        <f t="shared" si="106"/>
        <v>8577.5</v>
      </c>
      <c r="AX76" s="145">
        <f t="shared" si="106"/>
        <v>8760</v>
      </c>
      <c r="AY76" s="145">
        <f t="shared" si="106"/>
        <v>8942.5</v>
      </c>
      <c r="AZ76" s="145">
        <f t="shared" si="106"/>
        <v>9125</v>
      </c>
      <c r="BA76" s="145">
        <f t="shared" si="106"/>
        <v>9307.5</v>
      </c>
      <c r="BB76" s="145">
        <f t="shared" si="106"/>
        <v>9490</v>
      </c>
      <c r="BC76" s="145">
        <f t="shared" si="106"/>
        <v>9672.5</v>
      </c>
      <c r="BD76" s="145">
        <f t="shared" si="106"/>
        <v>9855</v>
      </c>
      <c r="BE76" s="145">
        <f t="shared" si="106"/>
        <v>10037.5</v>
      </c>
      <c r="BF76" s="145">
        <f t="shared" si="106"/>
        <v>10220</v>
      </c>
      <c r="BG76" s="145">
        <f t="shared" si="106"/>
        <v>10402.5</v>
      </c>
      <c r="BH76" s="145">
        <f t="shared" si="106"/>
        <v>10585</v>
      </c>
      <c r="BI76" s="145">
        <f t="shared" si="106"/>
        <v>10767.5</v>
      </c>
      <c r="BJ76" s="145">
        <f t="shared" si="106"/>
        <v>10950</v>
      </c>
      <c r="BK76" s="145">
        <f t="shared" si="106"/>
        <v>11132.5</v>
      </c>
      <c r="BL76" s="145">
        <f t="shared" si="106"/>
        <v>11315</v>
      </c>
      <c r="BM76" s="145">
        <f t="shared" si="106"/>
        <v>11497.5</v>
      </c>
      <c r="BN76" s="145">
        <f t="shared" si="106"/>
        <v>11680</v>
      </c>
      <c r="BO76" s="145">
        <f t="shared" si="106"/>
        <v>11862.5</v>
      </c>
      <c r="BP76" s="145">
        <f t="shared" si="106"/>
        <v>12045</v>
      </c>
      <c r="BQ76" s="145">
        <f t="shared" ref="BQ76:CB76" si="107">BP76+IF($G25=1,365,182.5)</f>
        <v>12227.5</v>
      </c>
      <c r="BR76" s="145">
        <f t="shared" si="107"/>
        <v>12410</v>
      </c>
      <c r="BS76" s="145">
        <f t="shared" si="107"/>
        <v>12592.5</v>
      </c>
      <c r="BT76" s="145">
        <f t="shared" si="107"/>
        <v>12775</v>
      </c>
      <c r="BU76" s="145">
        <f t="shared" si="107"/>
        <v>12957.5</v>
      </c>
      <c r="BV76" s="145">
        <f t="shared" si="107"/>
        <v>13140</v>
      </c>
      <c r="BW76" s="145">
        <f t="shared" si="107"/>
        <v>13322.5</v>
      </c>
      <c r="BX76" s="145">
        <f t="shared" si="107"/>
        <v>13505</v>
      </c>
      <c r="BY76" s="145">
        <f t="shared" si="107"/>
        <v>13687.5</v>
      </c>
      <c r="BZ76" s="145">
        <f t="shared" si="107"/>
        <v>13870</v>
      </c>
      <c r="CA76" s="145">
        <f t="shared" si="107"/>
        <v>14052.5</v>
      </c>
      <c r="CB76" s="146">
        <f t="shared" si="107"/>
        <v>14235</v>
      </c>
      <c r="CF76" s="9"/>
      <c r="CG76" s="9"/>
      <c r="CH76" s="9"/>
      <c r="CI76" s="9"/>
      <c r="CJ76" s="9"/>
      <c r="CK76" s="9"/>
      <c r="CL76" s="9"/>
      <c r="CM76" s="9"/>
      <c r="CN76" s="9"/>
      <c r="CO76" s="9"/>
      <c r="CP76" s="9"/>
      <c r="CQ76" s="9"/>
      <c r="CR76" s="9"/>
      <c r="CS76" s="9"/>
      <c r="CT76" s="9"/>
      <c r="CU76" s="9"/>
      <c r="CV76" s="9"/>
      <c r="CW76" s="9"/>
      <c r="CX76" s="9"/>
      <c r="CY76" s="9"/>
      <c r="CZ76" s="9"/>
      <c r="DA76" s="9"/>
      <c r="DB76" s="9"/>
      <c r="DC76" s="9"/>
      <c r="DD76" s="9"/>
      <c r="DE76" s="9"/>
      <c r="DF76" s="9"/>
      <c r="DG76" s="9"/>
      <c r="DH76" s="9"/>
      <c r="DI76" s="9"/>
      <c r="DJ76" s="9"/>
      <c r="DK76" s="9"/>
    </row>
    <row r="77" spans="1:115">
      <c r="A77" s="143" t="s">
        <v>128</v>
      </c>
      <c r="B77" s="147">
        <f>(IF(B76=F25,100,0)+IF(G25=1,1,0.5)*J25*100)*IF(ISBLANK(F25)=TRUE,0,1)</f>
        <v>0</v>
      </c>
      <c r="C77" s="148">
        <f>IF(C76&gt;$F25+1,0,1)*(IF(D77=0,100,0)+IF($G25=1,1,0.5)*$J25*100)</f>
        <v>0</v>
      </c>
      <c r="D77" s="148">
        <f t="shared" ref="D77:BO77" si="108">IF(D76&gt;$F25+1,0,1)*(IF(E77=0,100,0)+IF($G25=1,1,0.5)*$J25*100)</f>
        <v>0</v>
      </c>
      <c r="E77" s="148">
        <f t="shared" si="108"/>
        <v>0</v>
      </c>
      <c r="F77" s="148">
        <f t="shared" si="108"/>
        <v>0</v>
      </c>
      <c r="G77" s="148">
        <f t="shared" si="108"/>
        <v>0</v>
      </c>
      <c r="H77" s="148">
        <f t="shared" si="108"/>
        <v>0</v>
      </c>
      <c r="I77" s="148">
        <f t="shared" si="108"/>
        <v>0</v>
      </c>
      <c r="J77" s="148">
        <f t="shared" si="108"/>
        <v>0</v>
      </c>
      <c r="K77" s="148">
        <f t="shared" si="108"/>
        <v>0</v>
      </c>
      <c r="L77" s="148">
        <f t="shared" si="108"/>
        <v>0</v>
      </c>
      <c r="M77" s="148">
        <f t="shared" si="108"/>
        <v>0</v>
      </c>
      <c r="N77" s="148">
        <f t="shared" si="108"/>
        <v>0</v>
      </c>
      <c r="O77" s="148">
        <f t="shared" si="108"/>
        <v>0</v>
      </c>
      <c r="P77" s="148">
        <f t="shared" si="108"/>
        <v>0</v>
      </c>
      <c r="Q77" s="148">
        <f t="shared" si="108"/>
        <v>0</v>
      </c>
      <c r="R77" s="148">
        <f t="shared" si="108"/>
        <v>0</v>
      </c>
      <c r="S77" s="148">
        <f t="shared" si="108"/>
        <v>0</v>
      </c>
      <c r="T77" s="148">
        <f t="shared" si="108"/>
        <v>0</v>
      </c>
      <c r="U77" s="148">
        <f t="shared" si="108"/>
        <v>0</v>
      </c>
      <c r="V77" s="148">
        <f t="shared" si="108"/>
        <v>0</v>
      </c>
      <c r="W77" s="148">
        <f t="shared" si="108"/>
        <v>0</v>
      </c>
      <c r="X77" s="148">
        <f t="shared" si="108"/>
        <v>0</v>
      </c>
      <c r="Y77" s="148">
        <f t="shared" si="108"/>
        <v>0</v>
      </c>
      <c r="Z77" s="148">
        <f t="shared" si="108"/>
        <v>0</v>
      </c>
      <c r="AA77" s="148">
        <f t="shared" si="108"/>
        <v>0</v>
      </c>
      <c r="AB77" s="148">
        <f t="shared" si="108"/>
        <v>0</v>
      </c>
      <c r="AC77" s="148">
        <f t="shared" si="108"/>
        <v>0</v>
      </c>
      <c r="AD77" s="148">
        <f t="shared" si="108"/>
        <v>0</v>
      </c>
      <c r="AE77" s="148">
        <f t="shared" si="108"/>
        <v>0</v>
      </c>
      <c r="AF77" s="148">
        <f t="shared" si="108"/>
        <v>0</v>
      </c>
      <c r="AG77" s="148">
        <f t="shared" si="108"/>
        <v>0</v>
      </c>
      <c r="AH77" s="148">
        <f t="shared" si="108"/>
        <v>0</v>
      </c>
      <c r="AI77" s="148">
        <f t="shared" si="108"/>
        <v>0</v>
      </c>
      <c r="AJ77" s="148">
        <f t="shared" si="108"/>
        <v>0</v>
      </c>
      <c r="AK77" s="148">
        <f t="shared" si="108"/>
        <v>0</v>
      </c>
      <c r="AL77" s="148">
        <f t="shared" si="108"/>
        <v>0</v>
      </c>
      <c r="AM77" s="148">
        <f t="shared" si="108"/>
        <v>0</v>
      </c>
      <c r="AN77" s="148">
        <f t="shared" si="108"/>
        <v>0</v>
      </c>
      <c r="AO77" s="148">
        <f t="shared" si="108"/>
        <v>0</v>
      </c>
      <c r="AP77" s="148">
        <f t="shared" si="108"/>
        <v>0</v>
      </c>
      <c r="AQ77" s="148">
        <f t="shared" si="108"/>
        <v>0</v>
      </c>
      <c r="AR77" s="148">
        <f t="shared" si="108"/>
        <v>0</v>
      </c>
      <c r="AS77" s="148">
        <f t="shared" si="108"/>
        <v>0</v>
      </c>
      <c r="AT77" s="148">
        <f t="shared" si="108"/>
        <v>0</v>
      </c>
      <c r="AU77" s="148">
        <f t="shared" si="108"/>
        <v>0</v>
      </c>
      <c r="AV77" s="148">
        <f t="shared" si="108"/>
        <v>0</v>
      </c>
      <c r="AW77" s="148">
        <f t="shared" si="108"/>
        <v>0</v>
      </c>
      <c r="AX77" s="148">
        <f t="shared" si="108"/>
        <v>0</v>
      </c>
      <c r="AY77" s="148">
        <f t="shared" si="108"/>
        <v>0</v>
      </c>
      <c r="AZ77" s="148">
        <f t="shared" si="108"/>
        <v>0</v>
      </c>
      <c r="BA77" s="148">
        <f t="shared" si="108"/>
        <v>0</v>
      </c>
      <c r="BB77" s="148">
        <f t="shared" si="108"/>
        <v>0</v>
      </c>
      <c r="BC77" s="148">
        <f t="shared" si="108"/>
        <v>0</v>
      </c>
      <c r="BD77" s="148">
        <f t="shared" si="108"/>
        <v>0</v>
      </c>
      <c r="BE77" s="148">
        <f t="shared" si="108"/>
        <v>0</v>
      </c>
      <c r="BF77" s="148">
        <f t="shared" si="108"/>
        <v>0</v>
      </c>
      <c r="BG77" s="148">
        <f t="shared" si="108"/>
        <v>0</v>
      </c>
      <c r="BH77" s="148">
        <f t="shared" si="108"/>
        <v>0</v>
      </c>
      <c r="BI77" s="148">
        <f t="shared" si="108"/>
        <v>0</v>
      </c>
      <c r="BJ77" s="148">
        <f t="shared" si="108"/>
        <v>0</v>
      </c>
      <c r="BK77" s="148">
        <f t="shared" si="108"/>
        <v>0</v>
      </c>
      <c r="BL77" s="148">
        <f t="shared" si="108"/>
        <v>0</v>
      </c>
      <c r="BM77" s="148">
        <f t="shared" si="108"/>
        <v>0</v>
      </c>
      <c r="BN77" s="148">
        <f t="shared" si="108"/>
        <v>0</v>
      </c>
      <c r="BO77" s="148">
        <f t="shared" si="108"/>
        <v>0</v>
      </c>
      <c r="BP77" s="148">
        <f t="shared" ref="BP77:CB77" si="109">IF(BP76&gt;$F25+1,0,1)*(IF(BQ77=0,100,0)+IF($G25=1,1,0.5)*$J25*100)</f>
        <v>0</v>
      </c>
      <c r="BQ77" s="148">
        <f t="shared" si="109"/>
        <v>0</v>
      </c>
      <c r="BR77" s="148">
        <f t="shared" si="109"/>
        <v>0</v>
      </c>
      <c r="BS77" s="148">
        <f t="shared" si="109"/>
        <v>0</v>
      </c>
      <c r="BT77" s="148">
        <f t="shared" si="109"/>
        <v>0</v>
      </c>
      <c r="BU77" s="148">
        <f t="shared" si="109"/>
        <v>0</v>
      </c>
      <c r="BV77" s="148">
        <f t="shared" si="109"/>
        <v>0</v>
      </c>
      <c r="BW77" s="148">
        <f t="shared" si="109"/>
        <v>0</v>
      </c>
      <c r="BX77" s="148">
        <f t="shared" si="109"/>
        <v>0</v>
      </c>
      <c r="BY77" s="148">
        <f t="shared" si="109"/>
        <v>0</v>
      </c>
      <c r="BZ77" s="148">
        <f t="shared" si="109"/>
        <v>0</v>
      </c>
      <c r="CA77" s="148">
        <f t="shared" si="109"/>
        <v>0</v>
      </c>
      <c r="CB77" s="154">
        <f t="shared" si="109"/>
        <v>0</v>
      </c>
      <c r="CF77" s="9"/>
      <c r="CG77" s="9"/>
      <c r="CH77" s="9"/>
      <c r="CI77" s="9"/>
      <c r="CJ77" s="9"/>
      <c r="CK77" s="9"/>
      <c r="CL77" s="9"/>
      <c r="CM77" s="9"/>
      <c r="CN77" s="9"/>
      <c r="CO77" s="9"/>
      <c r="CP77" s="9"/>
      <c r="CQ77" s="9"/>
      <c r="CR77" s="9"/>
      <c r="CS77" s="9"/>
      <c r="CT77" s="9"/>
      <c r="CU77" s="9"/>
      <c r="CV77" s="9"/>
      <c r="CW77" s="9"/>
      <c r="CX77" s="9"/>
      <c r="CY77" s="9"/>
      <c r="CZ77" s="9"/>
      <c r="DA77" s="9"/>
      <c r="DB77" s="9"/>
      <c r="DC77" s="9"/>
      <c r="DD77" s="9"/>
      <c r="DE77" s="9"/>
      <c r="DF77" s="9"/>
      <c r="DG77" s="9"/>
      <c r="DH77" s="9"/>
      <c r="DI77" s="9"/>
      <c r="DJ77" s="9"/>
      <c r="DK77" s="9"/>
    </row>
    <row r="78" spans="1:115">
      <c r="A78" s="243" t="s">
        <v>49</v>
      </c>
      <c r="B78" s="37">
        <f>IF(E26=0,F26,E26)</f>
        <v>0</v>
      </c>
      <c r="C78" s="38">
        <f>B78+IF($G26=1,365,182.5)</f>
        <v>182.5</v>
      </c>
      <c r="D78" s="38">
        <f>C78+IF($G26=1,365,182.5)</f>
        <v>365</v>
      </c>
      <c r="E78" s="38">
        <f t="shared" ref="E78:BP78" si="110">D78+IF($G26=1,365,182.5)</f>
        <v>547.5</v>
      </c>
      <c r="F78" s="38">
        <f t="shared" si="110"/>
        <v>730</v>
      </c>
      <c r="G78" s="38">
        <f t="shared" si="110"/>
        <v>912.5</v>
      </c>
      <c r="H78" s="38">
        <f t="shared" si="110"/>
        <v>1095</v>
      </c>
      <c r="I78" s="38">
        <f t="shared" si="110"/>
        <v>1277.5</v>
      </c>
      <c r="J78" s="38">
        <f t="shared" si="110"/>
        <v>1460</v>
      </c>
      <c r="K78" s="38">
        <f t="shared" si="110"/>
        <v>1642.5</v>
      </c>
      <c r="L78" s="38">
        <f t="shared" si="110"/>
        <v>1825</v>
      </c>
      <c r="M78" s="38">
        <f t="shared" si="110"/>
        <v>2007.5</v>
      </c>
      <c r="N78" s="38">
        <f t="shared" si="110"/>
        <v>2190</v>
      </c>
      <c r="O78" s="38">
        <f t="shared" si="110"/>
        <v>2372.5</v>
      </c>
      <c r="P78" s="38">
        <f t="shared" si="110"/>
        <v>2555</v>
      </c>
      <c r="Q78" s="38">
        <f t="shared" si="110"/>
        <v>2737.5</v>
      </c>
      <c r="R78" s="38">
        <f t="shared" si="110"/>
        <v>2920</v>
      </c>
      <c r="S78" s="38">
        <f t="shared" si="110"/>
        <v>3102.5</v>
      </c>
      <c r="T78" s="38">
        <f t="shared" si="110"/>
        <v>3285</v>
      </c>
      <c r="U78" s="38">
        <f t="shared" si="110"/>
        <v>3467.5</v>
      </c>
      <c r="V78" s="38">
        <f t="shared" si="110"/>
        <v>3650</v>
      </c>
      <c r="W78" s="38">
        <f t="shared" si="110"/>
        <v>3832.5</v>
      </c>
      <c r="X78" s="38">
        <f t="shared" si="110"/>
        <v>4015</v>
      </c>
      <c r="Y78" s="38">
        <f t="shared" si="110"/>
        <v>4197.5</v>
      </c>
      <c r="Z78" s="38">
        <f t="shared" si="110"/>
        <v>4380</v>
      </c>
      <c r="AA78" s="38">
        <f t="shared" si="110"/>
        <v>4562.5</v>
      </c>
      <c r="AB78" s="38">
        <f t="shared" si="110"/>
        <v>4745</v>
      </c>
      <c r="AC78" s="38">
        <f t="shared" si="110"/>
        <v>4927.5</v>
      </c>
      <c r="AD78" s="38">
        <f t="shared" si="110"/>
        <v>5110</v>
      </c>
      <c r="AE78" s="38">
        <f t="shared" si="110"/>
        <v>5292.5</v>
      </c>
      <c r="AF78" s="38">
        <f t="shared" si="110"/>
        <v>5475</v>
      </c>
      <c r="AG78" s="38">
        <f t="shared" si="110"/>
        <v>5657.5</v>
      </c>
      <c r="AH78" s="38">
        <f t="shared" si="110"/>
        <v>5840</v>
      </c>
      <c r="AI78" s="38">
        <f t="shared" si="110"/>
        <v>6022.5</v>
      </c>
      <c r="AJ78" s="38">
        <f t="shared" si="110"/>
        <v>6205</v>
      </c>
      <c r="AK78" s="38">
        <f t="shared" si="110"/>
        <v>6387.5</v>
      </c>
      <c r="AL78" s="38">
        <f t="shared" si="110"/>
        <v>6570</v>
      </c>
      <c r="AM78" s="38">
        <f t="shared" si="110"/>
        <v>6752.5</v>
      </c>
      <c r="AN78" s="38">
        <f t="shared" si="110"/>
        <v>6935</v>
      </c>
      <c r="AO78" s="38">
        <f t="shared" si="110"/>
        <v>7117.5</v>
      </c>
      <c r="AP78" s="38">
        <f t="shared" si="110"/>
        <v>7300</v>
      </c>
      <c r="AQ78" s="38">
        <f t="shared" si="110"/>
        <v>7482.5</v>
      </c>
      <c r="AR78" s="38">
        <f t="shared" si="110"/>
        <v>7665</v>
      </c>
      <c r="AS78" s="38">
        <f t="shared" si="110"/>
        <v>7847.5</v>
      </c>
      <c r="AT78" s="38">
        <f t="shared" si="110"/>
        <v>8030</v>
      </c>
      <c r="AU78" s="38">
        <f t="shared" si="110"/>
        <v>8212.5</v>
      </c>
      <c r="AV78" s="38">
        <f t="shared" si="110"/>
        <v>8395</v>
      </c>
      <c r="AW78" s="38">
        <f t="shared" si="110"/>
        <v>8577.5</v>
      </c>
      <c r="AX78" s="38">
        <f t="shared" si="110"/>
        <v>8760</v>
      </c>
      <c r="AY78" s="38">
        <f t="shared" si="110"/>
        <v>8942.5</v>
      </c>
      <c r="AZ78" s="38">
        <f t="shared" si="110"/>
        <v>9125</v>
      </c>
      <c r="BA78" s="38">
        <f t="shared" si="110"/>
        <v>9307.5</v>
      </c>
      <c r="BB78" s="38">
        <f t="shared" si="110"/>
        <v>9490</v>
      </c>
      <c r="BC78" s="38">
        <f t="shared" si="110"/>
        <v>9672.5</v>
      </c>
      <c r="BD78" s="38">
        <f t="shared" si="110"/>
        <v>9855</v>
      </c>
      <c r="BE78" s="38">
        <f t="shared" si="110"/>
        <v>10037.5</v>
      </c>
      <c r="BF78" s="38">
        <f t="shared" si="110"/>
        <v>10220</v>
      </c>
      <c r="BG78" s="38">
        <f t="shared" si="110"/>
        <v>10402.5</v>
      </c>
      <c r="BH78" s="38">
        <f t="shared" si="110"/>
        <v>10585</v>
      </c>
      <c r="BI78" s="38">
        <f t="shared" si="110"/>
        <v>10767.5</v>
      </c>
      <c r="BJ78" s="38">
        <f t="shared" si="110"/>
        <v>10950</v>
      </c>
      <c r="BK78" s="38">
        <f t="shared" si="110"/>
        <v>11132.5</v>
      </c>
      <c r="BL78" s="38">
        <f t="shared" si="110"/>
        <v>11315</v>
      </c>
      <c r="BM78" s="38">
        <f t="shared" si="110"/>
        <v>11497.5</v>
      </c>
      <c r="BN78" s="38">
        <f t="shared" si="110"/>
        <v>11680</v>
      </c>
      <c r="BO78" s="38">
        <f t="shared" si="110"/>
        <v>11862.5</v>
      </c>
      <c r="BP78" s="38">
        <f t="shared" si="110"/>
        <v>12045</v>
      </c>
      <c r="BQ78" s="38">
        <f t="shared" ref="BQ78:CB78" si="111">BP78+IF($G26=1,365,182.5)</f>
        <v>12227.5</v>
      </c>
      <c r="BR78" s="38">
        <f t="shared" si="111"/>
        <v>12410</v>
      </c>
      <c r="BS78" s="38">
        <f t="shared" si="111"/>
        <v>12592.5</v>
      </c>
      <c r="BT78" s="38">
        <f t="shared" si="111"/>
        <v>12775</v>
      </c>
      <c r="BU78" s="38">
        <f t="shared" si="111"/>
        <v>12957.5</v>
      </c>
      <c r="BV78" s="38">
        <f t="shared" si="111"/>
        <v>13140</v>
      </c>
      <c r="BW78" s="38">
        <f t="shared" si="111"/>
        <v>13322.5</v>
      </c>
      <c r="BX78" s="38">
        <f t="shared" si="111"/>
        <v>13505</v>
      </c>
      <c r="BY78" s="38">
        <f t="shared" si="111"/>
        <v>13687.5</v>
      </c>
      <c r="BZ78" s="38">
        <f t="shared" si="111"/>
        <v>13870</v>
      </c>
      <c r="CA78" s="38">
        <f t="shared" si="111"/>
        <v>14052.5</v>
      </c>
      <c r="CB78" s="39">
        <f t="shared" si="111"/>
        <v>14235</v>
      </c>
      <c r="CF78" s="9"/>
      <c r="CG78" s="9"/>
      <c r="CH78" s="9"/>
      <c r="CI78" s="9"/>
      <c r="CJ78" s="9"/>
      <c r="CK78" s="9"/>
      <c r="CL78" s="9"/>
      <c r="CM78" s="9"/>
      <c r="CN78" s="9"/>
      <c r="CO78" s="9"/>
      <c r="CP78" s="9"/>
      <c r="CQ78" s="9"/>
      <c r="CR78" s="9"/>
      <c r="CS78" s="9"/>
      <c r="CT78" s="9"/>
      <c r="CU78" s="9"/>
      <c r="CV78" s="9"/>
      <c r="CW78" s="9"/>
      <c r="CX78" s="9"/>
      <c r="CY78" s="9"/>
      <c r="CZ78" s="9"/>
      <c r="DA78" s="9"/>
      <c r="DB78" s="9"/>
      <c r="DC78" s="9"/>
      <c r="DD78" s="9"/>
      <c r="DE78" s="9"/>
      <c r="DF78" s="9"/>
      <c r="DG78" s="9"/>
      <c r="DH78" s="9"/>
      <c r="DI78" s="9"/>
      <c r="DJ78" s="9"/>
      <c r="DK78" s="9"/>
    </row>
    <row r="79" spans="1:115">
      <c r="A79" s="23" t="s">
        <v>129</v>
      </c>
      <c r="B79" s="106">
        <f>(IF(B78=F26,100,0)+IF(G26=1,1,0.5)*J26*100)*IF(ISBLANK(F26)=TRUE,0,1)</f>
        <v>0</v>
      </c>
      <c r="C79" s="40">
        <f>IF(C78&gt;$F26+1,0,1)*(IF(D79=0,100,0)+IF($G26=1,1,0.5)*$J26*100)</f>
        <v>0</v>
      </c>
      <c r="D79" s="40">
        <f t="shared" ref="D79:BO79" si="112">IF(D78&gt;$F26+1,0,1)*(IF(E79=0,100,0)+IF($G26=1,1,0.5)*$J26*100)</f>
        <v>0</v>
      </c>
      <c r="E79" s="40">
        <f t="shared" si="112"/>
        <v>0</v>
      </c>
      <c r="F79" s="40">
        <f t="shared" si="112"/>
        <v>0</v>
      </c>
      <c r="G79" s="40">
        <f t="shared" si="112"/>
        <v>0</v>
      </c>
      <c r="H79" s="40">
        <f t="shared" si="112"/>
        <v>0</v>
      </c>
      <c r="I79" s="40">
        <f t="shared" si="112"/>
        <v>0</v>
      </c>
      <c r="J79" s="40">
        <f t="shared" si="112"/>
        <v>0</v>
      </c>
      <c r="K79" s="40">
        <f t="shared" si="112"/>
        <v>0</v>
      </c>
      <c r="L79" s="40">
        <f t="shared" si="112"/>
        <v>0</v>
      </c>
      <c r="M79" s="40">
        <f t="shared" si="112"/>
        <v>0</v>
      </c>
      <c r="N79" s="40">
        <f t="shared" si="112"/>
        <v>0</v>
      </c>
      <c r="O79" s="40">
        <f t="shared" si="112"/>
        <v>0</v>
      </c>
      <c r="P79" s="40">
        <f t="shared" si="112"/>
        <v>0</v>
      </c>
      <c r="Q79" s="40">
        <f t="shared" si="112"/>
        <v>0</v>
      </c>
      <c r="R79" s="40">
        <f t="shared" si="112"/>
        <v>0</v>
      </c>
      <c r="S79" s="40">
        <f t="shared" si="112"/>
        <v>0</v>
      </c>
      <c r="T79" s="40">
        <f t="shared" si="112"/>
        <v>0</v>
      </c>
      <c r="U79" s="40">
        <f t="shared" si="112"/>
        <v>0</v>
      </c>
      <c r="V79" s="40">
        <f t="shared" si="112"/>
        <v>0</v>
      </c>
      <c r="W79" s="40">
        <f t="shared" si="112"/>
        <v>0</v>
      </c>
      <c r="X79" s="40">
        <f t="shared" si="112"/>
        <v>0</v>
      </c>
      <c r="Y79" s="40">
        <f t="shared" si="112"/>
        <v>0</v>
      </c>
      <c r="Z79" s="40">
        <f t="shared" si="112"/>
        <v>0</v>
      </c>
      <c r="AA79" s="40">
        <f t="shared" si="112"/>
        <v>0</v>
      </c>
      <c r="AB79" s="40">
        <f t="shared" si="112"/>
        <v>0</v>
      </c>
      <c r="AC79" s="40">
        <f t="shared" si="112"/>
        <v>0</v>
      </c>
      <c r="AD79" s="40">
        <f t="shared" si="112"/>
        <v>0</v>
      </c>
      <c r="AE79" s="40">
        <f t="shared" si="112"/>
        <v>0</v>
      </c>
      <c r="AF79" s="40">
        <f t="shared" si="112"/>
        <v>0</v>
      </c>
      <c r="AG79" s="40">
        <f t="shared" si="112"/>
        <v>0</v>
      </c>
      <c r="AH79" s="40">
        <f t="shared" si="112"/>
        <v>0</v>
      </c>
      <c r="AI79" s="40">
        <f t="shared" si="112"/>
        <v>0</v>
      </c>
      <c r="AJ79" s="40">
        <f t="shared" si="112"/>
        <v>0</v>
      </c>
      <c r="AK79" s="40">
        <f t="shared" si="112"/>
        <v>0</v>
      </c>
      <c r="AL79" s="40">
        <f t="shared" si="112"/>
        <v>0</v>
      </c>
      <c r="AM79" s="40">
        <f t="shared" si="112"/>
        <v>0</v>
      </c>
      <c r="AN79" s="40">
        <f t="shared" si="112"/>
        <v>0</v>
      </c>
      <c r="AO79" s="40">
        <f t="shared" si="112"/>
        <v>0</v>
      </c>
      <c r="AP79" s="40">
        <f t="shared" si="112"/>
        <v>0</v>
      </c>
      <c r="AQ79" s="40">
        <f t="shared" si="112"/>
        <v>0</v>
      </c>
      <c r="AR79" s="40">
        <f t="shared" si="112"/>
        <v>0</v>
      </c>
      <c r="AS79" s="40">
        <f t="shared" si="112"/>
        <v>0</v>
      </c>
      <c r="AT79" s="40">
        <f t="shared" si="112"/>
        <v>0</v>
      </c>
      <c r="AU79" s="40">
        <f t="shared" si="112"/>
        <v>0</v>
      </c>
      <c r="AV79" s="40">
        <f t="shared" si="112"/>
        <v>0</v>
      </c>
      <c r="AW79" s="40">
        <f t="shared" si="112"/>
        <v>0</v>
      </c>
      <c r="AX79" s="40">
        <f t="shared" si="112"/>
        <v>0</v>
      </c>
      <c r="AY79" s="40">
        <f t="shared" si="112"/>
        <v>0</v>
      </c>
      <c r="AZ79" s="40">
        <f t="shared" si="112"/>
        <v>0</v>
      </c>
      <c r="BA79" s="40">
        <f t="shared" si="112"/>
        <v>0</v>
      </c>
      <c r="BB79" s="40">
        <f t="shared" si="112"/>
        <v>0</v>
      </c>
      <c r="BC79" s="40">
        <f t="shared" si="112"/>
        <v>0</v>
      </c>
      <c r="BD79" s="40">
        <f t="shared" si="112"/>
        <v>0</v>
      </c>
      <c r="BE79" s="40">
        <f t="shared" si="112"/>
        <v>0</v>
      </c>
      <c r="BF79" s="40">
        <f t="shared" si="112"/>
        <v>0</v>
      </c>
      <c r="BG79" s="40">
        <f t="shared" si="112"/>
        <v>0</v>
      </c>
      <c r="BH79" s="40">
        <f t="shared" si="112"/>
        <v>0</v>
      </c>
      <c r="BI79" s="40">
        <f t="shared" si="112"/>
        <v>0</v>
      </c>
      <c r="BJ79" s="40">
        <f t="shared" si="112"/>
        <v>0</v>
      </c>
      <c r="BK79" s="40">
        <f t="shared" si="112"/>
        <v>0</v>
      </c>
      <c r="BL79" s="40">
        <f t="shared" si="112"/>
        <v>0</v>
      </c>
      <c r="BM79" s="40">
        <f t="shared" si="112"/>
        <v>0</v>
      </c>
      <c r="BN79" s="40">
        <f t="shared" si="112"/>
        <v>0</v>
      </c>
      <c r="BO79" s="40">
        <f t="shared" si="112"/>
        <v>0</v>
      </c>
      <c r="BP79" s="40">
        <f t="shared" ref="BP79:CB79" si="113">IF(BP78&gt;$F26+1,0,1)*(IF(BQ79=0,100,0)+IF($G26=1,1,0.5)*$J26*100)</f>
        <v>0</v>
      </c>
      <c r="BQ79" s="40">
        <f t="shared" si="113"/>
        <v>0</v>
      </c>
      <c r="BR79" s="40">
        <f t="shared" si="113"/>
        <v>0</v>
      </c>
      <c r="BS79" s="40">
        <f t="shared" si="113"/>
        <v>0</v>
      </c>
      <c r="BT79" s="40">
        <f t="shared" si="113"/>
        <v>0</v>
      </c>
      <c r="BU79" s="40">
        <f t="shared" si="113"/>
        <v>0</v>
      </c>
      <c r="BV79" s="40">
        <f t="shared" si="113"/>
        <v>0</v>
      </c>
      <c r="BW79" s="40">
        <f t="shared" si="113"/>
        <v>0</v>
      </c>
      <c r="BX79" s="40">
        <f t="shared" si="113"/>
        <v>0</v>
      </c>
      <c r="BY79" s="40">
        <f t="shared" si="113"/>
        <v>0</v>
      </c>
      <c r="BZ79" s="40">
        <f t="shared" si="113"/>
        <v>0</v>
      </c>
      <c r="CA79" s="40">
        <f t="shared" si="113"/>
        <v>0</v>
      </c>
      <c r="CB79" s="41">
        <f t="shared" si="113"/>
        <v>0</v>
      </c>
      <c r="CF79" s="9"/>
      <c r="CG79" s="9"/>
      <c r="CH79" s="9"/>
      <c r="CI79" s="9"/>
      <c r="CJ79" s="9"/>
      <c r="CK79" s="9"/>
      <c r="CL79" s="9"/>
      <c r="CM79" s="9"/>
      <c r="CN79" s="9"/>
      <c r="CO79" s="9"/>
      <c r="CP79" s="9"/>
      <c r="CQ79" s="9"/>
      <c r="CR79" s="9"/>
      <c r="CS79" s="9"/>
      <c r="CT79" s="9"/>
      <c r="CU79" s="9"/>
      <c r="CV79" s="9"/>
      <c r="CW79" s="9"/>
      <c r="CX79" s="9"/>
      <c r="CY79" s="9"/>
      <c r="CZ79" s="9"/>
      <c r="DA79" s="9"/>
      <c r="DB79" s="9"/>
      <c r="DC79" s="9"/>
      <c r="DD79" s="9"/>
      <c r="DE79" s="9"/>
      <c r="DF79" s="9"/>
      <c r="DG79" s="9"/>
      <c r="DH79" s="9"/>
      <c r="DI79" s="9"/>
      <c r="DJ79" s="9"/>
      <c r="DK79" s="9"/>
    </row>
    <row r="80" spans="1:115">
      <c r="A80" s="520" t="s">
        <v>49</v>
      </c>
      <c r="B80" s="79">
        <f>IF(E27=0,F27,E27)</f>
        <v>0</v>
      </c>
      <c r="C80" s="80">
        <f>B80+IF($G27=1,365,182.5)</f>
        <v>182.5</v>
      </c>
      <c r="D80" s="80">
        <f>C80+IF($G27=1,365,182.5)</f>
        <v>365</v>
      </c>
      <c r="E80" s="80">
        <f t="shared" ref="E80:BP80" si="114">D80+IF($G27=1,365,182.5)</f>
        <v>547.5</v>
      </c>
      <c r="F80" s="80">
        <f t="shared" si="114"/>
        <v>730</v>
      </c>
      <c r="G80" s="80">
        <f t="shared" si="114"/>
        <v>912.5</v>
      </c>
      <c r="H80" s="80">
        <f t="shared" si="114"/>
        <v>1095</v>
      </c>
      <c r="I80" s="80">
        <f t="shared" si="114"/>
        <v>1277.5</v>
      </c>
      <c r="J80" s="80">
        <f t="shared" si="114"/>
        <v>1460</v>
      </c>
      <c r="K80" s="80">
        <f t="shared" si="114"/>
        <v>1642.5</v>
      </c>
      <c r="L80" s="80">
        <f t="shared" si="114"/>
        <v>1825</v>
      </c>
      <c r="M80" s="80">
        <f t="shared" si="114"/>
        <v>2007.5</v>
      </c>
      <c r="N80" s="80">
        <f t="shared" si="114"/>
        <v>2190</v>
      </c>
      <c r="O80" s="80">
        <f t="shared" si="114"/>
        <v>2372.5</v>
      </c>
      <c r="P80" s="80">
        <f t="shared" si="114"/>
        <v>2555</v>
      </c>
      <c r="Q80" s="80">
        <f t="shared" si="114"/>
        <v>2737.5</v>
      </c>
      <c r="R80" s="80">
        <f t="shared" si="114"/>
        <v>2920</v>
      </c>
      <c r="S80" s="80">
        <f t="shared" si="114"/>
        <v>3102.5</v>
      </c>
      <c r="T80" s="80">
        <f t="shared" si="114"/>
        <v>3285</v>
      </c>
      <c r="U80" s="80">
        <f t="shared" si="114"/>
        <v>3467.5</v>
      </c>
      <c r="V80" s="80">
        <f t="shared" si="114"/>
        <v>3650</v>
      </c>
      <c r="W80" s="80">
        <f t="shared" si="114"/>
        <v>3832.5</v>
      </c>
      <c r="X80" s="80">
        <f t="shared" si="114"/>
        <v>4015</v>
      </c>
      <c r="Y80" s="80">
        <f t="shared" si="114"/>
        <v>4197.5</v>
      </c>
      <c r="Z80" s="80">
        <f t="shared" si="114"/>
        <v>4380</v>
      </c>
      <c r="AA80" s="80">
        <f t="shared" si="114"/>
        <v>4562.5</v>
      </c>
      <c r="AB80" s="80">
        <f t="shared" si="114"/>
        <v>4745</v>
      </c>
      <c r="AC80" s="80">
        <f t="shared" si="114"/>
        <v>4927.5</v>
      </c>
      <c r="AD80" s="80">
        <f t="shared" si="114"/>
        <v>5110</v>
      </c>
      <c r="AE80" s="80">
        <f t="shared" si="114"/>
        <v>5292.5</v>
      </c>
      <c r="AF80" s="80">
        <f t="shared" si="114"/>
        <v>5475</v>
      </c>
      <c r="AG80" s="80">
        <f t="shared" si="114"/>
        <v>5657.5</v>
      </c>
      <c r="AH80" s="80">
        <f t="shared" si="114"/>
        <v>5840</v>
      </c>
      <c r="AI80" s="80">
        <f t="shared" si="114"/>
        <v>6022.5</v>
      </c>
      <c r="AJ80" s="80">
        <f t="shared" si="114"/>
        <v>6205</v>
      </c>
      <c r="AK80" s="80">
        <f t="shared" si="114"/>
        <v>6387.5</v>
      </c>
      <c r="AL80" s="80">
        <f t="shared" si="114"/>
        <v>6570</v>
      </c>
      <c r="AM80" s="80">
        <f t="shared" si="114"/>
        <v>6752.5</v>
      </c>
      <c r="AN80" s="80">
        <f t="shared" si="114"/>
        <v>6935</v>
      </c>
      <c r="AO80" s="80">
        <f t="shared" si="114"/>
        <v>7117.5</v>
      </c>
      <c r="AP80" s="80">
        <f t="shared" si="114"/>
        <v>7300</v>
      </c>
      <c r="AQ80" s="80">
        <f t="shared" si="114"/>
        <v>7482.5</v>
      </c>
      <c r="AR80" s="80">
        <f t="shared" si="114"/>
        <v>7665</v>
      </c>
      <c r="AS80" s="80">
        <f t="shared" si="114"/>
        <v>7847.5</v>
      </c>
      <c r="AT80" s="80">
        <f t="shared" si="114"/>
        <v>8030</v>
      </c>
      <c r="AU80" s="80">
        <f t="shared" si="114"/>
        <v>8212.5</v>
      </c>
      <c r="AV80" s="80">
        <f t="shared" si="114"/>
        <v>8395</v>
      </c>
      <c r="AW80" s="80">
        <f t="shared" si="114"/>
        <v>8577.5</v>
      </c>
      <c r="AX80" s="80">
        <f t="shared" si="114"/>
        <v>8760</v>
      </c>
      <c r="AY80" s="80">
        <f t="shared" si="114"/>
        <v>8942.5</v>
      </c>
      <c r="AZ80" s="80">
        <f t="shared" si="114"/>
        <v>9125</v>
      </c>
      <c r="BA80" s="80">
        <f t="shared" si="114"/>
        <v>9307.5</v>
      </c>
      <c r="BB80" s="80">
        <f t="shared" si="114"/>
        <v>9490</v>
      </c>
      <c r="BC80" s="80">
        <f t="shared" si="114"/>
        <v>9672.5</v>
      </c>
      <c r="BD80" s="80">
        <f t="shared" si="114"/>
        <v>9855</v>
      </c>
      <c r="BE80" s="80">
        <f t="shared" si="114"/>
        <v>10037.5</v>
      </c>
      <c r="BF80" s="80">
        <f t="shared" si="114"/>
        <v>10220</v>
      </c>
      <c r="BG80" s="80">
        <f t="shared" si="114"/>
        <v>10402.5</v>
      </c>
      <c r="BH80" s="80">
        <f t="shared" si="114"/>
        <v>10585</v>
      </c>
      <c r="BI80" s="80">
        <f t="shared" si="114"/>
        <v>10767.5</v>
      </c>
      <c r="BJ80" s="80">
        <f t="shared" si="114"/>
        <v>10950</v>
      </c>
      <c r="BK80" s="80">
        <f t="shared" si="114"/>
        <v>11132.5</v>
      </c>
      <c r="BL80" s="80">
        <f t="shared" si="114"/>
        <v>11315</v>
      </c>
      <c r="BM80" s="80">
        <f t="shared" si="114"/>
        <v>11497.5</v>
      </c>
      <c r="BN80" s="80">
        <f t="shared" si="114"/>
        <v>11680</v>
      </c>
      <c r="BO80" s="80">
        <f t="shared" si="114"/>
        <v>11862.5</v>
      </c>
      <c r="BP80" s="80">
        <f t="shared" si="114"/>
        <v>12045</v>
      </c>
      <c r="BQ80" s="80">
        <f t="shared" ref="BQ80:CB80" si="115">BP80+IF($G27=1,365,182.5)</f>
        <v>12227.5</v>
      </c>
      <c r="BR80" s="80">
        <f t="shared" si="115"/>
        <v>12410</v>
      </c>
      <c r="BS80" s="80">
        <f t="shared" si="115"/>
        <v>12592.5</v>
      </c>
      <c r="BT80" s="80">
        <f t="shared" si="115"/>
        <v>12775</v>
      </c>
      <c r="BU80" s="80">
        <f t="shared" si="115"/>
        <v>12957.5</v>
      </c>
      <c r="BV80" s="80">
        <f t="shared" si="115"/>
        <v>13140</v>
      </c>
      <c r="BW80" s="80">
        <f t="shared" si="115"/>
        <v>13322.5</v>
      </c>
      <c r="BX80" s="80">
        <f t="shared" si="115"/>
        <v>13505</v>
      </c>
      <c r="BY80" s="80">
        <f t="shared" si="115"/>
        <v>13687.5</v>
      </c>
      <c r="BZ80" s="80">
        <f t="shared" si="115"/>
        <v>13870</v>
      </c>
      <c r="CA80" s="80">
        <f t="shared" si="115"/>
        <v>14052.5</v>
      </c>
      <c r="CB80" s="81">
        <f t="shared" si="115"/>
        <v>14235</v>
      </c>
      <c r="CF80" s="9"/>
      <c r="CG80" s="9"/>
      <c r="CH80" s="9"/>
      <c r="CI80" s="9"/>
      <c r="CJ80" s="9"/>
      <c r="CK80" s="9"/>
      <c r="CL80" s="9"/>
      <c r="CM80" s="9"/>
      <c r="CN80" s="9"/>
      <c r="CO80" s="9"/>
      <c r="CP80" s="9"/>
      <c r="CQ80" s="9"/>
      <c r="CR80" s="9"/>
      <c r="CS80" s="9"/>
      <c r="CT80" s="9"/>
      <c r="CU80" s="9"/>
      <c r="CV80" s="9"/>
      <c r="CW80" s="9"/>
      <c r="CX80" s="9"/>
      <c r="CY80" s="9"/>
      <c r="CZ80" s="9"/>
      <c r="DA80" s="9"/>
      <c r="DB80" s="9"/>
      <c r="DC80" s="9"/>
      <c r="DD80" s="9"/>
      <c r="DE80" s="9"/>
      <c r="DF80" s="9"/>
      <c r="DG80" s="9"/>
      <c r="DH80" s="9"/>
      <c r="DI80" s="9"/>
      <c r="DJ80" s="9"/>
      <c r="DK80" s="9"/>
    </row>
    <row r="81" spans="1:115">
      <c r="A81" s="222" t="s">
        <v>130</v>
      </c>
      <c r="B81" s="114">
        <f>(IF(B80=F27,100,0)+IF(G27=1,1,0.5)*J27*100)*IF(ISBLANK(F27)=TRUE,0,1)</f>
        <v>0</v>
      </c>
      <c r="C81" s="82">
        <f>IF(C80&gt;$F27+1,0,1)*(IF(D81=0,100,0)+IF($G27=1,1,0.5)*$J27*100)</f>
        <v>0</v>
      </c>
      <c r="D81" s="82">
        <f t="shared" ref="D81:BO81" si="116">IF(D80&gt;$F27+1,0,1)*(IF(E81=0,100,0)+IF($G27=1,1,0.5)*$J27*100)</f>
        <v>0</v>
      </c>
      <c r="E81" s="82">
        <f t="shared" si="116"/>
        <v>0</v>
      </c>
      <c r="F81" s="82">
        <f t="shared" si="116"/>
        <v>0</v>
      </c>
      <c r="G81" s="82">
        <f t="shared" si="116"/>
        <v>0</v>
      </c>
      <c r="H81" s="82">
        <f t="shared" si="116"/>
        <v>0</v>
      </c>
      <c r="I81" s="82">
        <f t="shared" si="116"/>
        <v>0</v>
      </c>
      <c r="J81" s="82">
        <f t="shared" si="116"/>
        <v>0</v>
      </c>
      <c r="K81" s="82">
        <f t="shared" si="116"/>
        <v>0</v>
      </c>
      <c r="L81" s="82">
        <f t="shared" si="116"/>
        <v>0</v>
      </c>
      <c r="M81" s="82">
        <f t="shared" si="116"/>
        <v>0</v>
      </c>
      <c r="N81" s="82">
        <f t="shared" si="116"/>
        <v>0</v>
      </c>
      <c r="O81" s="82">
        <f t="shared" si="116"/>
        <v>0</v>
      </c>
      <c r="P81" s="82">
        <f t="shared" si="116"/>
        <v>0</v>
      </c>
      <c r="Q81" s="82">
        <f t="shared" si="116"/>
        <v>0</v>
      </c>
      <c r="R81" s="82">
        <f t="shared" si="116"/>
        <v>0</v>
      </c>
      <c r="S81" s="82">
        <f t="shared" si="116"/>
        <v>0</v>
      </c>
      <c r="T81" s="82">
        <f t="shared" si="116"/>
        <v>0</v>
      </c>
      <c r="U81" s="82">
        <f t="shared" si="116"/>
        <v>0</v>
      </c>
      <c r="V81" s="82">
        <f t="shared" si="116"/>
        <v>0</v>
      </c>
      <c r="W81" s="82">
        <f t="shared" si="116"/>
        <v>0</v>
      </c>
      <c r="X81" s="82">
        <f t="shared" si="116"/>
        <v>0</v>
      </c>
      <c r="Y81" s="82">
        <f t="shared" si="116"/>
        <v>0</v>
      </c>
      <c r="Z81" s="82">
        <f t="shared" si="116"/>
        <v>0</v>
      </c>
      <c r="AA81" s="82">
        <f t="shared" si="116"/>
        <v>0</v>
      </c>
      <c r="AB81" s="82">
        <f t="shared" si="116"/>
        <v>0</v>
      </c>
      <c r="AC81" s="82">
        <f t="shared" si="116"/>
        <v>0</v>
      </c>
      <c r="AD81" s="82">
        <f t="shared" si="116"/>
        <v>0</v>
      </c>
      <c r="AE81" s="82">
        <f t="shared" si="116"/>
        <v>0</v>
      </c>
      <c r="AF81" s="82">
        <f t="shared" si="116"/>
        <v>0</v>
      </c>
      <c r="AG81" s="82">
        <f t="shared" si="116"/>
        <v>0</v>
      </c>
      <c r="AH81" s="82">
        <f t="shared" si="116"/>
        <v>0</v>
      </c>
      <c r="AI81" s="82">
        <f t="shared" si="116"/>
        <v>0</v>
      </c>
      <c r="AJ81" s="82">
        <f t="shared" si="116"/>
        <v>0</v>
      </c>
      <c r="AK81" s="82">
        <f t="shared" si="116"/>
        <v>0</v>
      </c>
      <c r="AL81" s="82">
        <f t="shared" si="116"/>
        <v>0</v>
      </c>
      <c r="AM81" s="82">
        <f t="shared" si="116"/>
        <v>0</v>
      </c>
      <c r="AN81" s="82">
        <f t="shared" si="116"/>
        <v>0</v>
      </c>
      <c r="AO81" s="82">
        <f t="shared" si="116"/>
        <v>0</v>
      </c>
      <c r="AP81" s="82">
        <f t="shared" si="116"/>
        <v>0</v>
      </c>
      <c r="AQ81" s="82">
        <f t="shared" si="116"/>
        <v>0</v>
      </c>
      <c r="AR81" s="82">
        <f t="shared" si="116"/>
        <v>0</v>
      </c>
      <c r="AS81" s="82">
        <f t="shared" si="116"/>
        <v>0</v>
      </c>
      <c r="AT81" s="82">
        <f t="shared" si="116"/>
        <v>0</v>
      </c>
      <c r="AU81" s="82">
        <f t="shared" si="116"/>
        <v>0</v>
      </c>
      <c r="AV81" s="82">
        <f t="shared" si="116"/>
        <v>0</v>
      </c>
      <c r="AW81" s="82">
        <f t="shared" si="116"/>
        <v>0</v>
      </c>
      <c r="AX81" s="82">
        <f t="shared" si="116"/>
        <v>0</v>
      </c>
      <c r="AY81" s="82">
        <f t="shared" si="116"/>
        <v>0</v>
      </c>
      <c r="AZ81" s="82">
        <f t="shared" si="116"/>
        <v>0</v>
      </c>
      <c r="BA81" s="82">
        <f t="shared" si="116"/>
        <v>0</v>
      </c>
      <c r="BB81" s="82">
        <f t="shared" si="116"/>
        <v>0</v>
      </c>
      <c r="BC81" s="82">
        <f t="shared" si="116"/>
        <v>0</v>
      </c>
      <c r="BD81" s="82">
        <f t="shared" si="116"/>
        <v>0</v>
      </c>
      <c r="BE81" s="82">
        <f t="shared" si="116"/>
        <v>0</v>
      </c>
      <c r="BF81" s="82">
        <f t="shared" si="116"/>
        <v>0</v>
      </c>
      <c r="BG81" s="82">
        <f t="shared" si="116"/>
        <v>0</v>
      </c>
      <c r="BH81" s="82">
        <f t="shared" si="116"/>
        <v>0</v>
      </c>
      <c r="BI81" s="82">
        <f t="shared" si="116"/>
        <v>0</v>
      </c>
      <c r="BJ81" s="82">
        <f t="shared" si="116"/>
        <v>0</v>
      </c>
      <c r="BK81" s="82">
        <f t="shared" si="116"/>
        <v>0</v>
      </c>
      <c r="BL81" s="82">
        <f t="shared" si="116"/>
        <v>0</v>
      </c>
      <c r="BM81" s="82">
        <f t="shared" si="116"/>
        <v>0</v>
      </c>
      <c r="BN81" s="82">
        <f t="shared" si="116"/>
        <v>0</v>
      </c>
      <c r="BO81" s="82">
        <f t="shared" si="116"/>
        <v>0</v>
      </c>
      <c r="BP81" s="82">
        <f t="shared" ref="BP81:CB81" si="117">IF(BP80&gt;$F27+1,0,1)*(IF(BQ81=0,100,0)+IF($G27=1,1,0.5)*$J27*100)</f>
        <v>0</v>
      </c>
      <c r="BQ81" s="82">
        <f t="shared" si="117"/>
        <v>0</v>
      </c>
      <c r="BR81" s="82">
        <f t="shared" si="117"/>
        <v>0</v>
      </c>
      <c r="BS81" s="82">
        <f t="shared" si="117"/>
        <v>0</v>
      </c>
      <c r="BT81" s="82">
        <f t="shared" si="117"/>
        <v>0</v>
      </c>
      <c r="BU81" s="82">
        <f t="shared" si="117"/>
        <v>0</v>
      </c>
      <c r="BV81" s="82">
        <f t="shared" si="117"/>
        <v>0</v>
      </c>
      <c r="BW81" s="82">
        <f t="shared" si="117"/>
        <v>0</v>
      </c>
      <c r="BX81" s="82">
        <f t="shared" si="117"/>
        <v>0</v>
      </c>
      <c r="BY81" s="82">
        <f t="shared" si="117"/>
        <v>0</v>
      </c>
      <c r="BZ81" s="82">
        <f t="shared" si="117"/>
        <v>0</v>
      </c>
      <c r="CA81" s="82">
        <f t="shared" si="117"/>
        <v>0</v>
      </c>
      <c r="CB81" s="83">
        <f t="shared" si="117"/>
        <v>0</v>
      </c>
      <c r="CF81" s="9"/>
      <c r="CG81" s="9"/>
      <c r="CH81" s="9"/>
      <c r="CI81" s="9"/>
      <c r="CJ81" s="9"/>
      <c r="CK81" s="9"/>
      <c r="CL81" s="9"/>
      <c r="CM81" s="9"/>
      <c r="CN81" s="9"/>
      <c r="CO81" s="9"/>
      <c r="CP81" s="9"/>
      <c r="CQ81" s="9"/>
      <c r="CR81" s="9"/>
      <c r="CS81" s="9"/>
      <c r="CT81" s="9"/>
      <c r="CU81" s="9"/>
      <c r="CV81" s="9"/>
      <c r="CW81" s="9"/>
      <c r="CX81" s="9"/>
      <c r="CY81" s="9"/>
      <c r="CZ81" s="9"/>
      <c r="DA81" s="9"/>
      <c r="DB81" s="9"/>
      <c r="DC81" s="9"/>
      <c r="DD81" s="9"/>
      <c r="DE81" s="9"/>
      <c r="DF81" s="9"/>
      <c r="DG81" s="9"/>
      <c r="DH81" s="9"/>
      <c r="DI81" s="9"/>
      <c r="DJ81" s="9"/>
      <c r="DK81" s="9"/>
    </row>
    <row r="82" spans="1:115" s="6" customForma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10"/>
      <c r="CF82" s="10"/>
      <c r="CG82" s="10"/>
      <c r="CH82" s="10"/>
      <c r="CI82" s="10"/>
      <c r="CJ82" s="10"/>
      <c r="CK82" s="10"/>
      <c r="CL82" s="10"/>
      <c r="CM82" s="10"/>
      <c r="CN82" s="10"/>
      <c r="CO82" s="10"/>
      <c r="CP82" s="10"/>
      <c r="CQ82" s="10"/>
      <c r="CR82" s="10"/>
      <c r="CS82" s="10"/>
      <c r="CT82" s="10"/>
      <c r="CU82" s="10"/>
      <c r="CV82" s="10"/>
      <c r="CW82" s="10"/>
      <c r="CX82" s="10"/>
      <c r="CY82" s="10"/>
      <c r="CZ82" s="10"/>
      <c r="DA82" s="10"/>
      <c r="DB82" s="10"/>
      <c r="DC82" s="10"/>
      <c r="DD82" s="10"/>
      <c r="DE82" s="10"/>
      <c r="DF82" s="10"/>
      <c r="DG82" s="10"/>
      <c r="DH82" s="10"/>
      <c r="DI82" s="10"/>
      <c r="DJ82" s="10"/>
      <c r="DK82" s="10"/>
    </row>
    <row r="83" spans="1:115">
      <c r="A83" s="16" t="s">
        <v>42</v>
      </c>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7"/>
      <c r="CD83" s="17"/>
      <c r="CE83" s="17"/>
      <c r="CF83" s="9"/>
      <c r="CG83" s="9"/>
      <c r="CH83" s="9"/>
      <c r="CI83" s="9"/>
      <c r="CJ83" s="9"/>
      <c r="CK83" s="9"/>
      <c r="CL83" s="9"/>
      <c r="CM83" s="9"/>
      <c r="CN83" s="9"/>
      <c r="CO83" s="9"/>
      <c r="CP83" s="9"/>
      <c r="CQ83" s="9"/>
      <c r="CR83" s="9"/>
      <c r="CS83" s="9"/>
      <c r="CT83" s="9"/>
      <c r="CU83" s="9"/>
      <c r="CV83" s="9"/>
      <c r="CW83" s="9"/>
      <c r="CX83" s="9"/>
      <c r="CY83" s="9"/>
      <c r="CZ83" s="9"/>
      <c r="DA83" s="9"/>
      <c r="DB83" s="9"/>
      <c r="DC83" s="9"/>
      <c r="DD83" s="9"/>
      <c r="DE83" s="9"/>
      <c r="DF83" s="9"/>
      <c r="DG83" s="9"/>
      <c r="DH83" s="9"/>
      <c r="DI83" s="9"/>
      <c r="DJ83" s="9"/>
      <c r="DK83" s="9"/>
    </row>
    <row r="84" spans="1:115">
      <c r="A84" s="16" t="s">
        <v>40</v>
      </c>
      <c r="B84" s="140">
        <f t="shared" ref="B84:BM84" si="118">DAYS360($B$3,B30)</f>
        <v>4</v>
      </c>
      <c r="C84" s="140">
        <f>DAYS360($B$3,C30)</f>
        <v>363</v>
      </c>
      <c r="D84" s="140">
        <f t="shared" si="118"/>
        <v>723</v>
      </c>
      <c r="E84" s="140">
        <f t="shared" si="118"/>
        <v>1083</v>
      </c>
      <c r="F84" s="140">
        <f t="shared" si="118"/>
        <v>1443</v>
      </c>
      <c r="G84" s="140">
        <f t="shared" si="118"/>
        <v>1802</v>
      </c>
      <c r="H84" s="140">
        <f t="shared" si="118"/>
        <v>2162</v>
      </c>
      <c r="I84" s="140">
        <f t="shared" si="118"/>
        <v>2522</v>
      </c>
      <c r="J84" s="140">
        <f t="shared" si="118"/>
        <v>2882</v>
      </c>
      <c r="K84" s="140">
        <f t="shared" si="118"/>
        <v>3241</v>
      </c>
      <c r="L84" s="140">
        <f t="shared" si="118"/>
        <v>3601</v>
      </c>
      <c r="M84" s="140">
        <f t="shared" si="118"/>
        <v>3961</v>
      </c>
      <c r="N84" s="140">
        <f t="shared" si="118"/>
        <v>4321</v>
      </c>
      <c r="O84" s="140">
        <f t="shared" si="118"/>
        <v>4680</v>
      </c>
      <c r="P84" s="140">
        <f t="shared" si="118"/>
        <v>5040</v>
      </c>
      <c r="Q84" s="140">
        <f t="shared" si="118"/>
        <v>5400</v>
      </c>
      <c r="R84" s="140">
        <f t="shared" si="118"/>
        <v>5760</v>
      </c>
      <c r="S84" s="140">
        <f t="shared" si="118"/>
        <v>6119</v>
      </c>
      <c r="T84" s="140">
        <f t="shared" si="118"/>
        <v>6479</v>
      </c>
      <c r="U84" s="140">
        <f t="shared" si="118"/>
        <v>6839</v>
      </c>
      <c r="V84" s="140">
        <f t="shared" si="118"/>
        <v>7199</v>
      </c>
      <c r="W84" s="140">
        <f t="shared" si="118"/>
        <v>7558</v>
      </c>
      <c r="X84" s="140">
        <f t="shared" si="118"/>
        <v>7918</v>
      </c>
      <c r="Y84" s="140">
        <f t="shared" si="118"/>
        <v>8278</v>
      </c>
      <c r="Z84" s="140">
        <f t="shared" si="118"/>
        <v>8638</v>
      </c>
      <c r="AA84" s="140">
        <f t="shared" si="118"/>
        <v>8997</v>
      </c>
      <c r="AB84" s="140">
        <f t="shared" si="118"/>
        <v>9357</v>
      </c>
      <c r="AC84" s="140">
        <f t="shared" si="118"/>
        <v>9717</v>
      </c>
      <c r="AD84" s="140">
        <f t="shared" si="118"/>
        <v>10077</v>
      </c>
      <c r="AE84" s="140">
        <f t="shared" si="118"/>
        <v>10436</v>
      </c>
      <c r="AF84" s="140">
        <f t="shared" si="118"/>
        <v>10796</v>
      </c>
      <c r="AG84" s="140">
        <f t="shared" si="118"/>
        <v>11156</v>
      </c>
      <c r="AH84" s="140">
        <f t="shared" si="118"/>
        <v>11516</v>
      </c>
      <c r="AI84" s="140">
        <f t="shared" si="118"/>
        <v>11875</v>
      </c>
      <c r="AJ84" s="140">
        <f t="shared" si="118"/>
        <v>12235</v>
      </c>
      <c r="AK84" s="140">
        <f t="shared" si="118"/>
        <v>12595</v>
      </c>
      <c r="AL84" s="140">
        <f t="shared" si="118"/>
        <v>12955</v>
      </c>
      <c r="AM84" s="140">
        <f t="shared" si="118"/>
        <v>13314</v>
      </c>
      <c r="AN84" s="140">
        <f t="shared" si="118"/>
        <v>13674</v>
      </c>
      <c r="AO84" s="140">
        <f t="shared" si="118"/>
        <v>14034</v>
      </c>
      <c r="AP84" s="140">
        <f t="shared" si="118"/>
        <v>14394</v>
      </c>
      <c r="AQ84" s="140">
        <f t="shared" si="118"/>
        <v>14753</v>
      </c>
      <c r="AR84" s="140">
        <f t="shared" si="118"/>
        <v>15113</v>
      </c>
      <c r="AS84" s="140">
        <f t="shared" si="118"/>
        <v>15473</v>
      </c>
      <c r="AT84" s="140">
        <f t="shared" si="118"/>
        <v>15833</v>
      </c>
      <c r="AU84" s="140">
        <f t="shared" si="118"/>
        <v>16192</v>
      </c>
      <c r="AV84" s="140">
        <f t="shared" si="118"/>
        <v>16552</v>
      </c>
      <c r="AW84" s="140">
        <f t="shared" si="118"/>
        <v>16912</v>
      </c>
      <c r="AX84" s="140">
        <f t="shared" si="118"/>
        <v>17272</v>
      </c>
      <c r="AY84" s="140">
        <f t="shared" si="118"/>
        <v>17631</v>
      </c>
      <c r="AZ84" s="140">
        <f t="shared" si="118"/>
        <v>17991</v>
      </c>
      <c r="BA84" s="140">
        <f t="shared" si="118"/>
        <v>18351</v>
      </c>
      <c r="BB84" s="140">
        <f t="shared" si="118"/>
        <v>18711</v>
      </c>
      <c r="BC84" s="140">
        <f t="shared" si="118"/>
        <v>19070</v>
      </c>
      <c r="BD84" s="140">
        <f t="shared" si="118"/>
        <v>19430</v>
      </c>
      <c r="BE84" s="140">
        <f t="shared" si="118"/>
        <v>19790</v>
      </c>
      <c r="BF84" s="140">
        <f t="shared" si="118"/>
        <v>20150</v>
      </c>
      <c r="BG84" s="140">
        <f t="shared" si="118"/>
        <v>20509</v>
      </c>
      <c r="BH84" s="140">
        <f t="shared" si="118"/>
        <v>20869</v>
      </c>
      <c r="BI84" s="140">
        <f t="shared" si="118"/>
        <v>21229</v>
      </c>
      <c r="BJ84" s="140">
        <f t="shared" si="118"/>
        <v>21589</v>
      </c>
      <c r="BK84" s="140">
        <f t="shared" si="118"/>
        <v>21948</v>
      </c>
      <c r="BL84" s="140">
        <f t="shared" si="118"/>
        <v>22308</v>
      </c>
      <c r="BM84" s="140">
        <f t="shared" si="118"/>
        <v>22668</v>
      </c>
      <c r="BN84" s="140">
        <f t="shared" ref="BN84:CB84" si="119">DAYS360($B$3,BN30)</f>
        <v>23028</v>
      </c>
      <c r="BO84" s="140">
        <f t="shared" si="119"/>
        <v>23387</v>
      </c>
      <c r="BP84" s="140">
        <f t="shared" si="119"/>
        <v>23747</v>
      </c>
      <c r="BQ84" s="140">
        <f t="shared" si="119"/>
        <v>24107</v>
      </c>
      <c r="BR84" s="140">
        <f t="shared" si="119"/>
        <v>24467</v>
      </c>
      <c r="BS84" s="140">
        <f t="shared" si="119"/>
        <v>24826</v>
      </c>
      <c r="BT84" s="140">
        <f t="shared" si="119"/>
        <v>25186</v>
      </c>
      <c r="BU84" s="140">
        <f t="shared" si="119"/>
        <v>25546</v>
      </c>
      <c r="BV84" s="140">
        <f t="shared" si="119"/>
        <v>25906</v>
      </c>
      <c r="BW84" s="140">
        <f t="shared" si="119"/>
        <v>26265</v>
      </c>
      <c r="BX84" s="140">
        <f t="shared" si="119"/>
        <v>26625</v>
      </c>
      <c r="BY84" s="140">
        <f t="shared" si="119"/>
        <v>26985</v>
      </c>
      <c r="BZ84" s="140">
        <f t="shared" si="119"/>
        <v>27345</v>
      </c>
      <c r="CA84" s="140">
        <f t="shared" si="119"/>
        <v>27704</v>
      </c>
      <c r="CB84" s="140">
        <f t="shared" si="119"/>
        <v>28064</v>
      </c>
      <c r="CC84" s="17"/>
      <c r="CD84" s="17"/>
      <c r="CE84" s="17"/>
    </row>
    <row r="85" spans="1:115">
      <c r="A85" s="16" t="s">
        <v>41</v>
      </c>
      <c r="B85" s="140">
        <f>B84/360</f>
        <v>1.1111111111111112E-2</v>
      </c>
      <c r="C85" s="140">
        <f t="shared" ref="C85:BN85" si="120">C84/360</f>
        <v>1.0083333333333333</v>
      </c>
      <c r="D85" s="140">
        <f t="shared" si="120"/>
        <v>2.0083333333333333</v>
      </c>
      <c r="E85" s="140">
        <f t="shared" si="120"/>
        <v>3.0083333333333333</v>
      </c>
      <c r="F85" s="140">
        <f t="shared" si="120"/>
        <v>4.0083333333333337</v>
      </c>
      <c r="G85" s="140">
        <f t="shared" si="120"/>
        <v>5.0055555555555555</v>
      </c>
      <c r="H85" s="140">
        <f t="shared" si="120"/>
        <v>6.0055555555555555</v>
      </c>
      <c r="I85" s="140">
        <f t="shared" si="120"/>
        <v>7.0055555555555555</v>
      </c>
      <c r="J85" s="140">
        <f t="shared" si="120"/>
        <v>8.0055555555555564</v>
      </c>
      <c r="K85" s="140">
        <f t="shared" si="120"/>
        <v>9.0027777777777782</v>
      </c>
      <c r="L85" s="140">
        <f t="shared" si="120"/>
        <v>10.002777777777778</v>
      </c>
      <c r="M85" s="140">
        <f t="shared" si="120"/>
        <v>11.002777777777778</v>
      </c>
      <c r="N85" s="140">
        <f t="shared" si="120"/>
        <v>12.002777777777778</v>
      </c>
      <c r="O85" s="140">
        <f t="shared" si="120"/>
        <v>13</v>
      </c>
      <c r="P85" s="140">
        <f t="shared" si="120"/>
        <v>14</v>
      </c>
      <c r="Q85" s="140">
        <f t="shared" si="120"/>
        <v>15</v>
      </c>
      <c r="R85" s="140">
        <f t="shared" si="120"/>
        <v>16</v>
      </c>
      <c r="S85" s="140">
        <f t="shared" si="120"/>
        <v>16.997222222222224</v>
      </c>
      <c r="T85" s="140">
        <f t="shared" si="120"/>
        <v>17.997222222222224</v>
      </c>
      <c r="U85" s="140">
        <f t="shared" si="120"/>
        <v>18.997222222222224</v>
      </c>
      <c r="V85" s="140">
        <f t="shared" si="120"/>
        <v>19.997222222222224</v>
      </c>
      <c r="W85" s="140">
        <f t="shared" si="120"/>
        <v>20.994444444444444</v>
      </c>
      <c r="X85" s="140">
        <f t="shared" si="120"/>
        <v>21.994444444444444</v>
      </c>
      <c r="Y85" s="140">
        <f t="shared" si="120"/>
        <v>22.994444444444444</v>
      </c>
      <c r="Z85" s="140">
        <f t="shared" si="120"/>
        <v>23.994444444444444</v>
      </c>
      <c r="AA85" s="140">
        <f t="shared" si="120"/>
        <v>24.991666666666667</v>
      </c>
      <c r="AB85" s="140">
        <f t="shared" si="120"/>
        <v>25.991666666666667</v>
      </c>
      <c r="AC85" s="140">
        <f t="shared" si="120"/>
        <v>26.991666666666667</v>
      </c>
      <c r="AD85" s="140">
        <f t="shared" si="120"/>
        <v>27.991666666666667</v>
      </c>
      <c r="AE85" s="140">
        <f t="shared" si="120"/>
        <v>28.988888888888887</v>
      </c>
      <c r="AF85" s="140">
        <f t="shared" si="120"/>
        <v>29.988888888888887</v>
      </c>
      <c r="AG85" s="140">
        <f t="shared" si="120"/>
        <v>30.988888888888887</v>
      </c>
      <c r="AH85" s="140">
        <f t="shared" si="120"/>
        <v>31.988888888888887</v>
      </c>
      <c r="AI85" s="140">
        <f t="shared" si="120"/>
        <v>32.986111111111114</v>
      </c>
      <c r="AJ85" s="140">
        <f t="shared" si="120"/>
        <v>33.986111111111114</v>
      </c>
      <c r="AK85" s="140">
        <f t="shared" si="120"/>
        <v>34.986111111111114</v>
      </c>
      <c r="AL85" s="140">
        <f t="shared" si="120"/>
        <v>35.986111111111114</v>
      </c>
      <c r="AM85" s="140">
        <f t="shared" si="120"/>
        <v>36.983333333333334</v>
      </c>
      <c r="AN85" s="140">
        <f t="shared" si="120"/>
        <v>37.983333333333334</v>
      </c>
      <c r="AO85" s="140">
        <f t="shared" si="120"/>
        <v>38.983333333333334</v>
      </c>
      <c r="AP85" s="140">
        <f t="shared" si="120"/>
        <v>39.983333333333334</v>
      </c>
      <c r="AQ85" s="140">
        <f t="shared" si="120"/>
        <v>40.980555555555554</v>
      </c>
      <c r="AR85" s="140">
        <f t="shared" si="120"/>
        <v>41.980555555555554</v>
      </c>
      <c r="AS85" s="140">
        <f t="shared" si="120"/>
        <v>42.980555555555554</v>
      </c>
      <c r="AT85" s="140">
        <f t="shared" si="120"/>
        <v>43.980555555555554</v>
      </c>
      <c r="AU85" s="140">
        <f t="shared" si="120"/>
        <v>44.977777777777774</v>
      </c>
      <c r="AV85" s="140">
        <f t="shared" si="120"/>
        <v>45.977777777777774</v>
      </c>
      <c r="AW85" s="140">
        <f t="shared" si="120"/>
        <v>46.977777777777774</v>
      </c>
      <c r="AX85" s="140">
        <f t="shared" si="120"/>
        <v>47.977777777777774</v>
      </c>
      <c r="AY85" s="140">
        <f t="shared" si="120"/>
        <v>48.975000000000001</v>
      </c>
      <c r="AZ85" s="140">
        <f t="shared" si="120"/>
        <v>49.975000000000001</v>
      </c>
      <c r="BA85" s="140">
        <f t="shared" si="120"/>
        <v>50.975000000000001</v>
      </c>
      <c r="BB85" s="140">
        <f t="shared" si="120"/>
        <v>51.975000000000001</v>
      </c>
      <c r="BC85" s="140">
        <f t="shared" si="120"/>
        <v>52.972222222222221</v>
      </c>
      <c r="BD85" s="140">
        <f t="shared" si="120"/>
        <v>53.972222222222221</v>
      </c>
      <c r="BE85" s="140">
        <f t="shared" si="120"/>
        <v>54.972222222222221</v>
      </c>
      <c r="BF85" s="140">
        <f t="shared" si="120"/>
        <v>55.972222222222221</v>
      </c>
      <c r="BG85" s="140">
        <f t="shared" si="120"/>
        <v>56.969444444444441</v>
      </c>
      <c r="BH85" s="140">
        <f t="shared" si="120"/>
        <v>57.969444444444441</v>
      </c>
      <c r="BI85" s="140">
        <f t="shared" si="120"/>
        <v>58.969444444444441</v>
      </c>
      <c r="BJ85" s="140">
        <f t="shared" si="120"/>
        <v>59.969444444444441</v>
      </c>
      <c r="BK85" s="140">
        <f t="shared" si="120"/>
        <v>60.966666666666669</v>
      </c>
      <c r="BL85" s="140">
        <f t="shared" si="120"/>
        <v>61.966666666666669</v>
      </c>
      <c r="BM85" s="140">
        <f t="shared" si="120"/>
        <v>62.966666666666669</v>
      </c>
      <c r="BN85" s="140">
        <f t="shared" si="120"/>
        <v>63.966666666666669</v>
      </c>
      <c r="BO85" s="140">
        <f t="shared" ref="BO85:CB85" si="121">BO84/360</f>
        <v>64.963888888888889</v>
      </c>
      <c r="BP85" s="140">
        <f t="shared" si="121"/>
        <v>65.963888888888889</v>
      </c>
      <c r="BQ85" s="140">
        <f t="shared" si="121"/>
        <v>66.963888888888889</v>
      </c>
      <c r="BR85" s="140">
        <f t="shared" si="121"/>
        <v>67.963888888888889</v>
      </c>
      <c r="BS85" s="140">
        <f t="shared" si="121"/>
        <v>68.961111111111109</v>
      </c>
      <c r="BT85" s="140">
        <f t="shared" si="121"/>
        <v>69.961111111111109</v>
      </c>
      <c r="BU85" s="140">
        <f t="shared" si="121"/>
        <v>70.961111111111109</v>
      </c>
      <c r="BV85" s="140">
        <f t="shared" si="121"/>
        <v>71.961111111111109</v>
      </c>
      <c r="BW85" s="140">
        <f t="shared" si="121"/>
        <v>72.958333333333329</v>
      </c>
      <c r="BX85" s="140">
        <f t="shared" si="121"/>
        <v>73.958333333333329</v>
      </c>
      <c r="BY85" s="140">
        <f t="shared" si="121"/>
        <v>74.958333333333329</v>
      </c>
      <c r="BZ85" s="140">
        <f t="shared" si="121"/>
        <v>75.958333333333329</v>
      </c>
      <c r="CA85" s="140">
        <f t="shared" si="121"/>
        <v>76.955555555555549</v>
      </c>
      <c r="CB85" s="140">
        <f t="shared" si="121"/>
        <v>77.955555555555549</v>
      </c>
      <c r="CC85" s="17"/>
      <c r="CD85" s="17"/>
      <c r="CE85" s="17"/>
    </row>
    <row r="86" spans="1:115">
      <c r="A86" s="16" t="s">
        <v>43</v>
      </c>
      <c r="B86" s="140">
        <f>IF(B84&lt;0,0,$B$5+$B$6*((1-EXP(-B85/$B$9))/(B85/$B$9))+$B$7*((1-EXP(-B85/$B$9))/(B85/$B$9)-EXP(-B85/$B$9))+$B$8*((1-EXP(-B85/$B$10))/(B85/$B$10)-EXP(-B85/$B$10)))</f>
        <v>-1.427036345110288E-2</v>
      </c>
      <c r="C86" s="140">
        <f t="shared" ref="C86:BN86" si="122">IF(C84&lt;0,0,$B$5+$B$6*((1-EXP(-C85/$B$9))/(C85/$B$9))+$B$7*((1-EXP(-C85/$B$9))/(C85/$B$9)-EXP(-C85/$B$9))+$B$8*((1-EXP(-C85/$B$10))/(C85/$B$10)-EXP(-C85/$B$10)))</f>
        <v>-1.3085703861275451E-2</v>
      </c>
      <c r="D86" s="140">
        <f t="shared" si="122"/>
        <v>-1.1961342465589515E-2</v>
      </c>
      <c r="E86" s="140">
        <f t="shared" si="122"/>
        <v>-1.0898579743909845E-2</v>
      </c>
      <c r="F86" s="140">
        <f t="shared" si="122"/>
        <v>-9.8953838737490286E-3</v>
      </c>
      <c r="G86" s="140">
        <f t="shared" si="122"/>
        <v>-8.9523282407994956E-3</v>
      </c>
      <c r="H86" s="140">
        <f t="shared" si="122"/>
        <v>-8.0622431585149149E-3</v>
      </c>
      <c r="I86" s="140">
        <f t="shared" si="122"/>
        <v>-7.2259678246422467E-3</v>
      </c>
      <c r="J86" s="140">
        <f t="shared" si="122"/>
        <v>-6.4416876807187225E-3</v>
      </c>
      <c r="K86" s="140">
        <f t="shared" si="122"/>
        <v>-5.7096100858852646E-3</v>
      </c>
      <c r="L86" s="140">
        <f t="shared" si="122"/>
        <v>-5.023946377939334E-3</v>
      </c>
      <c r="M86" s="140">
        <f t="shared" si="122"/>
        <v>-4.3851387303320659E-3</v>
      </c>
      <c r="N86" s="140">
        <f t="shared" si="122"/>
        <v>-3.7915681442552349E-3</v>
      </c>
      <c r="O86" s="140">
        <f t="shared" si="122"/>
        <v>-3.2431298640321106E-3</v>
      </c>
      <c r="P86" s="140">
        <f t="shared" si="122"/>
        <v>-2.7352433661130063E-3</v>
      </c>
      <c r="Q86" s="140">
        <f t="shared" si="122"/>
        <v>-2.2680109321716393E-3</v>
      </c>
      <c r="R86" s="140">
        <f t="shared" si="122"/>
        <v>-1.8399895178974821E-3</v>
      </c>
      <c r="S86" s="140">
        <f t="shared" si="122"/>
        <v>-1.4508100800888629E-3</v>
      </c>
      <c r="T86" s="140">
        <f t="shared" si="122"/>
        <v>-1.0969458209509897E-3</v>
      </c>
      <c r="U86" s="140">
        <f t="shared" si="122"/>
        <v>-7.7820986094272876E-4</v>
      </c>
      <c r="V86" s="140">
        <f t="shared" si="122"/>
        <v>-4.9331740462496554E-4</v>
      </c>
      <c r="W86" s="140">
        <f t="shared" si="122"/>
        <v>-2.4167748639352532E-4</v>
      </c>
      <c r="X86" s="140">
        <f t="shared" si="122"/>
        <v>-2.0679249330239624E-5</v>
      </c>
      <c r="Y86" s="140">
        <f t="shared" si="122"/>
        <v>1.7010836593589485E-4</v>
      </c>
      <c r="Z86" s="140">
        <f t="shared" si="122"/>
        <v>3.3182789293501047E-4</v>
      </c>
      <c r="AA86" s="140">
        <f t="shared" si="122"/>
        <v>4.6525475534239802E-4</v>
      </c>
      <c r="AB86" s="140">
        <f t="shared" si="122"/>
        <v>5.7220669243505939E-4</v>
      </c>
      <c r="AC86" s="140">
        <f t="shared" si="122"/>
        <v>6.5331912221698596E-4</v>
      </c>
      <c r="AD86" s="140">
        <f t="shared" si="122"/>
        <v>7.0960674841556021E-4</v>
      </c>
      <c r="AE86" s="140">
        <f t="shared" si="122"/>
        <v>7.4199638291173181E-4</v>
      </c>
      <c r="AF86" s="140">
        <f t="shared" si="122"/>
        <v>7.5162201389934041E-4</v>
      </c>
      <c r="AG86" s="140">
        <f t="shared" si="122"/>
        <v>7.3928822568907621E-4</v>
      </c>
      <c r="AH86" s="140">
        <f t="shared" si="122"/>
        <v>7.0589491780572583E-4</v>
      </c>
      <c r="AI86" s="140">
        <f t="shared" si="122"/>
        <v>6.5249115839984689E-4</v>
      </c>
      <c r="AJ86" s="140">
        <f t="shared" si="122"/>
        <v>5.7962445336535301E-4</v>
      </c>
      <c r="AK86" s="140">
        <f t="shared" si="122"/>
        <v>4.8823751071064292E-4</v>
      </c>
      <c r="AL86" s="140">
        <f t="shared" si="122"/>
        <v>3.7912717918998917E-4</v>
      </c>
      <c r="AM86" s="140">
        <f t="shared" si="122"/>
        <v>2.5343917768584634E-4</v>
      </c>
      <c r="AN86" s="140">
        <f t="shared" si="122"/>
        <v>1.1122092757406832E-4</v>
      </c>
      <c r="AO86" s="140">
        <f t="shared" si="122"/>
        <v>-4.6474064336735066E-5</v>
      </c>
      <c r="AP86" s="140">
        <f t="shared" si="122"/>
        <v>-2.1894139714807165E-4</v>
      </c>
      <c r="AQ86" s="140">
        <f t="shared" si="122"/>
        <v>-4.0496115123856563E-4</v>
      </c>
      <c r="AR86" s="140">
        <f t="shared" si="122"/>
        <v>-6.0490935572737881E-4</v>
      </c>
      <c r="AS86" s="140">
        <f t="shared" si="122"/>
        <v>-8.1764570156593608E-4</v>
      </c>
      <c r="AT86" s="140">
        <f t="shared" si="122"/>
        <v>-1.0425486731692885E-3</v>
      </c>
      <c r="AU86" s="140">
        <f t="shared" si="122"/>
        <v>-1.2783437787084323E-3</v>
      </c>
      <c r="AV86" s="140">
        <f t="shared" si="122"/>
        <v>-1.5257626284079784E-3</v>
      </c>
      <c r="AW86" s="140">
        <f t="shared" si="122"/>
        <v>-1.7835991300483439E-3</v>
      </c>
      <c r="AX86" s="140">
        <f t="shared" si="122"/>
        <v>-2.0513060314621828E-3</v>
      </c>
      <c r="AY86" s="140">
        <f t="shared" si="122"/>
        <v>-2.3275713765466277E-3</v>
      </c>
      <c r="AZ86" s="140">
        <f t="shared" si="122"/>
        <v>-2.6134223505241694E-3</v>
      </c>
      <c r="BA86" s="140">
        <f t="shared" si="122"/>
        <v>-2.9076054356100139E-3</v>
      </c>
      <c r="BB86" s="140">
        <f t="shared" si="122"/>
        <v>-3.2096398715213137E-3</v>
      </c>
      <c r="BC86" s="140">
        <f t="shared" si="122"/>
        <v>-3.5181910960633694E-3</v>
      </c>
      <c r="BD86" s="140">
        <f t="shared" si="122"/>
        <v>-3.834528913701743E-3</v>
      </c>
      <c r="BE86" s="140">
        <f t="shared" si="122"/>
        <v>-4.1573683617939644E-3</v>
      </c>
      <c r="BF86" s="140">
        <f t="shared" si="122"/>
        <v>-4.4862881690399536E-3</v>
      </c>
      <c r="BG86" s="140">
        <f t="shared" si="122"/>
        <v>-4.8199440193184145E-3</v>
      </c>
      <c r="BH86" s="140">
        <f t="shared" si="122"/>
        <v>-5.1598016979494399E-3</v>
      </c>
      <c r="BI86" s="140">
        <f t="shared" si="122"/>
        <v>-5.5045586573831268E-3</v>
      </c>
      <c r="BJ86" s="140">
        <f t="shared" si="122"/>
        <v>-5.8538468070532257E-3</v>
      </c>
      <c r="BK86" s="140">
        <f t="shared" si="122"/>
        <v>-6.2063231423046816E-3</v>
      </c>
      <c r="BL86" s="140">
        <f t="shared" si="122"/>
        <v>-6.5636084475768491E-3</v>
      </c>
      <c r="BM86" s="140">
        <f t="shared" si="122"/>
        <v>-6.9243945600742096E-3</v>
      </c>
      <c r="BN86" s="140">
        <f t="shared" si="122"/>
        <v>-7.2883608894065421E-3</v>
      </c>
      <c r="BO86" s="140">
        <f t="shared" ref="BO86:CB86" si="123">IF(BO84&lt;0,0,$B$5+$B$6*((1-EXP(-BO85/$B$9))/(BO85/$B$9))+$B$7*((1-EXP(-BO85/$B$9))/(BO85/$B$9)-EXP(-BO85/$B$9))+$B$8*((1-EXP(-BO85/$B$10))/(BO85/$B$10)-EXP(-BO85/$B$10)))</f>
        <v>-7.6541752181410322E-3</v>
      </c>
      <c r="BP86" s="140">
        <f t="shared" si="123"/>
        <v>-8.0235774093675161E-3</v>
      </c>
      <c r="BQ86" s="140">
        <f t="shared" si="123"/>
        <v>-8.395263971701955E-3</v>
      </c>
      <c r="BR86" s="140">
        <f t="shared" si="123"/>
        <v>-8.7689567014621189E-3</v>
      </c>
      <c r="BS86" s="140">
        <f t="shared" si="123"/>
        <v>-9.1433422317283991E-3</v>
      </c>
      <c r="BT86" s="140">
        <f t="shared" si="123"/>
        <v>-9.5202481086946594E-3</v>
      </c>
      <c r="BU86" s="140">
        <f t="shared" si="123"/>
        <v>-9.8983843023878887E-3</v>
      </c>
      <c r="BV86" s="140">
        <f t="shared" si="123"/>
        <v>-1.0277510394615802E-2</v>
      </c>
      <c r="BW86" s="140">
        <f t="shared" si="123"/>
        <v>-1.0656338678952063E-2</v>
      </c>
      <c r="BX86" s="140">
        <f t="shared" si="123"/>
        <v>-1.1036757031075692E-2</v>
      </c>
      <c r="BY86" s="140">
        <f t="shared" si="123"/>
        <v>-1.1417496343217828E-2</v>
      </c>
      <c r="BZ86" s="140">
        <f t="shared" si="123"/>
        <v>-1.1798349844084427E-2</v>
      </c>
      <c r="CA86" s="140">
        <f t="shared" si="123"/>
        <v>-1.2178061187306369E-2</v>
      </c>
      <c r="CB86" s="140">
        <f t="shared" si="123"/>
        <v>-1.2558554831564497E-2</v>
      </c>
      <c r="CC86" s="17"/>
      <c r="CD86" s="17"/>
      <c r="CE86" s="17"/>
    </row>
    <row r="87" spans="1:115">
      <c r="A87" s="16" t="s">
        <v>44</v>
      </c>
      <c r="B87" s="140">
        <f>EXP(-B86*B85)</f>
        <v>1.000158572165138</v>
      </c>
      <c r="C87" s="140">
        <f t="shared" ref="C87:BN87" si="124">EXP(-C86*C85)</f>
        <v>1.0132821862628554</v>
      </c>
      <c r="D87" s="140">
        <f t="shared" si="124"/>
        <v>1.0243132241309612</v>
      </c>
      <c r="E87" s="140">
        <f t="shared" si="124"/>
        <v>1.0333299625089893</v>
      </c>
      <c r="F87" s="140">
        <f t="shared" si="124"/>
        <v>1.0404611174243643</v>
      </c>
      <c r="G87" s="140">
        <f t="shared" si="124"/>
        <v>1.0458305729342499</v>
      </c>
      <c r="H87" s="140">
        <f t="shared" si="124"/>
        <v>1.049609561881891</v>
      </c>
      <c r="I87" s="140">
        <f t="shared" si="124"/>
        <v>1.0519251052343574</v>
      </c>
      <c r="J87" s="140">
        <f t="shared" si="124"/>
        <v>1.0529221392651449</v>
      </c>
      <c r="K87" s="140">
        <f t="shared" si="124"/>
        <v>1.0527463814318947</v>
      </c>
      <c r="L87" s="140">
        <f t="shared" si="124"/>
        <v>1.0515375424013731</v>
      </c>
      <c r="M87" s="140">
        <f t="shared" si="124"/>
        <v>1.0494316238349635</v>
      </c>
      <c r="N87" s="140">
        <f t="shared" si="124"/>
        <v>1.0465607897700897</v>
      </c>
      <c r="O87" s="140">
        <f t="shared" si="124"/>
        <v>1.0430620730860096</v>
      </c>
      <c r="P87" s="140">
        <f t="shared" si="124"/>
        <v>1.039036048739175</v>
      </c>
      <c r="Q87" s="140">
        <f t="shared" si="124"/>
        <v>1.0346054682844252</v>
      </c>
      <c r="R87" s="140">
        <f t="shared" si="124"/>
        <v>1.0298774682351035</v>
      </c>
      <c r="S87" s="140">
        <f t="shared" si="124"/>
        <v>1.0249663075154776</v>
      </c>
      <c r="T87" s="140">
        <f t="shared" si="124"/>
        <v>1.0199381392933298</v>
      </c>
      <c r="U87" s="140">
        <f t="shared" si="124"/>
        <v>1.0148936469399519</v>
      </c>
      <c r="V87" s="140">
        <f t="shared" si="124"/>
        <v>1.0099137970612351</v>
      </c>
      <c r="W87" s="140">
        <f t="shared" si="124"/>
        <v>1.0050867785120823</v>
      </c>
      <c r="X87" s="140">
        <f t="shared" si="124"/>
        <v>1.0004549320507581</v>
      </c>
      <c r="Y87" s="140">
        <f t="shared" si="124"/>
        <v>0.99609609276653421</v>
      </c>
      <c r="Z87" s="140">
        <f t="shared" si="124"/>
        <v>0.99206958702966597</v>
      </c>
      <c r="AA87" s="140">
        <f t="shared" si="124"/>
        <v>0.98843984627819936</v>
      </c>
      <c r="AB87" s="140">
        <f t="shared" si="124"/>
        <v>0.98523744532773749</v>
      </c>
      <c r="AC87" s="140">
        <f t="shared" si="124"/>
        <v>0.98252040011953101</v>
      </c>
      <c r="AD87" s="140">
        <f t="shared" si="124"/>
        <v>0.98033289564419024</v>
      </c>
      <c r="AE87" s="140">
        <f t="shared" si="124"/>
        <v>0.97872003208997504</v>
      </c>
      <c r="AF87" s="140">
        <f t="shared" si="124"/>
        <v>0.97771182575313376</v>
      </c>
      <c r="AG87" s="140">
        <f t="shared" si="124"/>
        <v>0.9773507143457314</v>
      </c>
      <c r="AH87" s="140">
        <f t="shared" si="124"/>
        <v>0.97767224386016749</v>
      </c>
      <c r="AI87" s="140">
        <f t="shared" si="124"/>
        <v>0.97870682420564192</v>
      </c>
      <c r="AJ87" s="140">
        <f t="shared" si="124"/>
        <v>0.98049357997267905</v>
      </c>
      <c r="AK87" s="140">
        <f t="shared" si="124"/>
        <v>0.98306353042988248</v>
      </c>
      <c r="AL87" s="140">
        <f t="shared" si="124"/>
        <v>0.98644933537518176</v>
      </c>
      <c r="AM87" s="140">
        <f t="shared" si="124"/>
        <v>0.99067076429489431</v>
      </c>
      <c r="AN87" s="140">
        <f t="shared" si="124"/>
        <v>0.99578436925756775</v>
      </c>
      <c r="AO87" s="140">
        <f t="shared" si="124"/>
        <v>1.0018133560866458</v>
      </c>
      <c r="AP87" s="140">
        <f t="shared" si="124"/>
        <v>1.0087924352329354</v>
      </c>
      <c r="AQ87" s="140">
        <f t="shared" si="124"/>
        <v>1.0167340037515893</v>
      </c>
      <c r="AR87" s="140">
        <f t="shared" si="124"/>
        <v>1.0257196161697464</v>
      </c>
      <c r="AS87" s="140">
        <f>EXP(-AS86*AS85)</f>
        <v>1.035767674733135</v>
      </c>
      <c r="AT87" s="140">
        <f t="shared" si="124"/>
        <v>1.0469193191437596</v>
      </c>
      <c r="AU87" s="140">
        <f t="shared" si="124"/>
        <v>1.059182159199143</v>
      </c>
      <c r="AV87" s="140">
        <f t="shared" si="124"/>
        <v>1.0726703300103313</v>
      </c>
      <c r="AW87" s="140">
        <f t="shared" si="124"/>
        <v>1.0873999976581379</v>
      </c>
      <c r="AX87" s="140">
        <f t="shared" si="124"/>
        <v>1.1034229322838236</v>
      </c>
      <c r="AY87" s="140">
        <f t="shared" si="124"/>
        <v>1.1207440646503155</v>
      </c>
      <c r="AZ87" s="140">
        <f t="shared" si="124"/>
        <v>1.1395184740244022</v>
      </c>
      <c r="BA87" s="140">
        <f t="shared" si="124"/>
        <v>1.1597624354054463</v>
      </c>
      <c r="BB87" s="140">
        <f t="shared" si="124"/>
        <v>1.1815427884162397</v>
      </c>
      <c r="BC87" s="140">
        <f t="shared" si="124"/>
        <v>1.2048636422257477</v>
      </c>
      <c r="BD87" s="140">
        <f t="shared" si="124"/>
        <v>1.2299309709711976</v>
      </c>
      <c r="BE87" s="140">
        <f t="shared" si="124"/>
        <v>1.2567635149782137</v>
      </c>
      <c r="BF87" s="140">
        <f t="shared" si="124"/>
        <v>1.2854482861807388</v>
      </c>
      <c r="BG87" s="140">
        <f t="shared" si="124"/>
        <v>1.3159903934071531</v>
      </c>
      <c r="BH87" s="140">
        <f t="shared" si="124"/>
        <v>1.3486590976956956</v>
      </c>
      <c r="BI87" s="140">
        <f t="shared" si="124"/>
        <v>1.3834782040878124</v>
      </c>
      <c r="BJ87" s="140">
        <f t="shared" si="124"/>
        <v>1.4205611091927517</v>
      </c>
      <c r="BK87" s="140">
        <f t="shared" si="124"/>
        <v>1.4599159042645475</v>
      </c>
      <c r="BL87" s="140">
        <f t="shared" si="124"/>
        <v>1.5018909339163216</v>
      </c>
      <c r="BM87" s="140">
        <f t="shared" si="124"/>
        <v>1.5465181420819607</v>
      </c>
      <c r="BN87" s="140">
        <f t="shared" si="124"/>
        <v>1.5939451214231857</v>
      </c>
      <c r="BO87" s="140">
        <f t="shared" ref="BO87:CA87" si="125">EXP(-BO86*BO85)</f>
        <v>1.6441852757148188</v>
      </c>
      <c r="BP87" s="140">
        <f t="shared" si="125"/>
        <v>1.6976863758228182</v>
      </c>
      <c r="BQ87" s="140">
        <f t="shared" si="125"/>
        <v>1.7544922938192271</v>
      </c>
      <c r="BR87" s="140">
        <f t="shared" si="125"/>
        <v>1.8147947917528378</v>
      </c>
      <c r="BS87" s="140">
        <f t="shared" si="125"/>
        <v>1.8786154440169096</v>
      </c>
      <c r="BT87" s="140">
        <f t="shared" si="125"/>
        <v>1.9465277332859743</v>
      </c>
      <c r="BU87" s="140">
        <f t="shared" si="125"/>
        <v>2.018592221298714</v>
      </c>
      <c r="BV87" s="140">
        <f t="shared" si="125"/>
        <v>2.0950576427873351</v>
      </c>
      <c r="BW87" s="140">
        <f t="shared" si="125"/>
        <v>2.1759573082957999</v>
      </c>
      <c r="BX87" s="140">
        <f t="shared" si="125"/>
        <v>2.2620243793552288</v>
      </c>
      <c r="BY87" s="140">
        <f t="shared" si="125"/>
        <v>2.3533421204375271</v>
      </c>
      <c r="BZ87" s="140">
        <f t="shared" si="125"/>
        <v>2.4502326769728349</v>
      </c>
      <c r="CA87" s="140">
        <f t="shared" si="125"/>
        <v>2.5527455449578613</v>
      </c>
      <c r="CB87" s="140">
        <f>EXP(-CB86*CB85)</f>
        <v>2.6618173901264317</v>
      </c>
      <c r="CC87" s="17"/>
      <c r="CD87" s="17"/>
      <c r="CE87" s="17"/>
    </row>
    <row r="88" spans="1:115" s="6" customFormat="1">
      <c r="A88" s="130"/>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19"/>
      <c r="CD88" s="19"/>
      <c r="CE88" s="19"/>
    </row>
    <row r="89" spans="1:115">
      <c r="A89" s="16" t="s">
        <v>40</v>
      </c>
      <c r="B89" s="140">
        <f t="shared" ref="B89:BM89" si="126">DAYS360($B$3,B32)</f>
        <v>296</v>
      </c>
      <c r="C89" s="140">
        <f t="shared" si="126"/>
        <v>656</v>
      </c>
      <c r="D89" s="140">
        <f t="shared" si="126"/>
        <v>1016</v>
      </c>
      <c r="E89" s="140">
        <f t="shared" si="126"/>
        <v>1376</v>
      </c>
      <c r="F89" s="140">
        <f t="shared" si="126"/>
        <v>1735</v>
      </c>
      <c r="G89" s="140">
        <f t="shared" si="126"/>
        <v>2095</v>
      </c>
      <c r="H89" s="140">
        <f t="shared" si="126"/>
        <v>2455</v>
      </c>
      <c r="I89" s="140">
        <f t="shared" si="126"/>
        <v>2815</v>
      </c>
      <c r="J89" s="140">
        <f t="shared" si="126"/>
        <v>3174</v>
      </c>
      <c r="K89" s="140">
        <f t="shared" si="126"/>
        <v>3534</v>
      </c>
      <c r="L89" s="140">
        <f t="shared" si="126"/>
        <v>3894</v>
      </c>
      <c r="M89" s="140">
        <f t="shared" si="126"/>
        <v>4254</v>
      </c>
      <c r="N89" s="140">
        <f t="shared" si="126"/>
        <v>4613</v>
      </c>
      <c r="O89" s="140">
        <f t="shared" si="126"/>
        <v>4973</v>
      </c>
      <c r="P89" s="140">
        <f t="shared" si="126"/>
        <v>5333</v>
      </c>
      <c r="Q89" s="140">
        <f t="shared" si="126"/>
        <v>5693</v>
      </c>
      <c r="R89" s="140">
        <f t="shared" si="126"/>
        <v>6052</v>
      </c>
      <c r="S89" s="140">
        <f t="shared" si="126"/>
        <v>6412</v>
      </c>
      <c r="T89" s="140">
        <f t="shared" si="126"/>
        <v>6772</v>
      </c>
      <c r="U89" s="140">
        <f t="shared" si="126"/>
        <v>7132</v>
      </c>
      <c r="V89" s="140">
        <f t="shared" si="126"/>
        <v>7491</v>
      </c>
      <c r="W89" s="140">
        <f t="shared" si="126"/>
        <v>7851</v>
      </c>
      <c r="X89" s="140">
        <f t="shared" si="126"/>
        <v>8211</v>
      </c>
      <c r="Y89" s="140">
        <f t="shared" si="126"/>
        <v>8571</v>
      </c>
      <c r="Z89" s="140">
        <f t="shared" si="126"/>
        <v>8930</v>
      </c>
      <c r="AA89" s="140">
        <f t="shared" si="126"/>
        <v>9290</v>
      </c>
      <c r="AB89" s="140">
        <f t="shared" si="126"/>
        <v>9650</v>
      </c>
      <c r="AC89" s="140">
        <f t="shared" si="126"/>
        <v>10010</v>
      </c>
      <c r="AD89" s="140">
        <f t="shared" si="126"/>
        <v>10369</v>
      </c>
      <c r="AE89" s="140">
        <f t="shared" si="126"/>
        <v>10729</v>
      </c>
      <c r="AF89" s="140">
        <f t="shared" si="126"/>
        <v>11089</v>
      </c>
      <c r="AG89" s="140">
        <f t="shared" si="126"/>
        <v>11449</v>
      </c>
      <c r="AH89" s="140">
        <f t="shared" si="126"/>
        <v>11808</v>
      </c>
      <c r="AI89" s="140">
        <f t="shared" si="126"/>
        <v>12168</v>
      </c>
      <c r="AJ89" s="140">
        <f t="shared" si="126"/>
        <v>12528</v>
      </c>
      <c r="AK89" s="140">
        <f t="shared" si="126"/>
        <v>12888</v>
      </c>
      <c r="AL89" s="140">
        <f t="shared" si="126"/>
        <v>13247</v>
      </c>
      <c r="AM89" s="140">
        <f t="shared" si="126"/>
        <v>13607</v>
      </c>
      <c r="AN89" s="140">
        <f t="shared" si="126"/>
        <v>13967</v>
      </c>
      <c r="AO89" s="140">
        <f t="shared" si="126"/>
        <v>14327</v>
      </c>
      <c r="AP89" s="140">
        <f t="shared" si="126"/>
        <v>14686</v>
      </c>
      <c r="AQ89" s="140">
        <f t="shared" si="126"/>
        <v>15046</v>
      </c>
      <c r="AR89" s="140">
        <f t="shared" si="126"/>
        <v>15406</v>
      </c>
      <c r="AS89" s="140">
        <f t="shared" si="126"/>
        <v>15766</v>
      </c>
      <c r="AT89" s="140">
        <f t="shared" si="126"/>
        <v>16125</v>
      </c>
      <c r="AU89" s="140">
        <f t="shared" si="126"/>
        <v>16485</v>
      </c>
      <c r="AV89" s="140">
        <f t="shared" si="126"/>
        <v>16845</v>
      </c>
      <c r="AW89" s="140">
        <f t="shared" si="126"/>
        <v>17205</v>
      </c>
      <c r="AX89" s="140">
        <f t="shared" si="126"/>
        <v>17564</v>
      </c>
      <c r="AY89" s="140">
        <f t="shared" si="126"/>
        <v>17924</v>
      </c>
      <c r="AZ89" s="140">
        <f t="shared" si="126"/>
        <v>18284</v>
      </c>
      <c r="BA89" s="140">
        <f t="shared" si="126"/>
        <v>18644</v>
      </c>
      <c r="BB89" s="140">
        <f t="shared" si="126"/>
        <v>19003</v>
      </c>
      <c r="BC89" s="140">
        <f t="shared" si="126"/>
        <v>19363</v>
      </c>
      <c r="BD89" s="140">
        <f t="shared" si="126"/>
        <v>19723</v>
      </c>
      <c r="BE89" s="140">
        <f t="shared" si="126"/>
        <v>20083</v>
      </c>
      <c r="BF89" s="140">
        <f t="shared" si="126"/>
        <v>20442</v>
      </c>
      <c r="BG89" s="140">
        <f t="shared" si="126"/>
        <v>20802</v>
      </c>
      <c r="BH89" s="140">
        <f t="shared" si="126"/>
        <v>21162</v>
      </c>
      <c r="BI89" s="140">
        <f t="shared" si="126"/>
        <v>21522</v>
      </c>
      <c r="BJ89" s="140">
        <f t="shared" si="126"/>
        <v>21881</v>
      </c>
      <c r="BK89" s="140">
        <f t="shared" si="126"/>
        <v>22241</v>
      </c>
      <c r="BL89" s="140">
        <f t="shared" si="126"/>
        <v>22601</v>
      </c>
      <c r="BM89" s="140">
        <f t="shared" si="126"/>
        <v>22961</v>
      </c>
      <c r="BN89" s="140">
        <f t="shared" ref="BN89:CB89" si="127">DAYS360($B$3,BN32)</f>
        <v>23320</v>
      </c>
      <c r="BO89" s="140">
        <f t="shared" si="127"/>
        <v>23680</v>
      </c>
      <c r="BP89" s="140">
        <f t="shared" si="127"/>
        <v>24040</v>
      </c>
      <c r="BQ89" s="140">
        <f t="shared" si="127"/>
        <v>24400</v>
      </c>
      <c r="BR89" s="140">
        <f t="shared" si="127"/>
        <v>24759</v>
      </c>
      <c r="BS89" s="140">
        <f t="shared" si="127"/>
        <v>25119</v>
      </c>
      <c r="BT89" s="140">
        <f t="shared" si="127"/>
        <v>25479</v>
      </c>
      <c r="BU89" s="140">
        <f t="shared" si="127"/>
        <v>25839</v>
      </c>
      <c r="BV89" s="140">
        <f t="shared" si="127"/>
        <v>26198</v>
      </c>
      <c r="BW89" s="140">
        <f t="shared" si="127"/>
        <v>26558</v>
      </c>
      <c r="BX89" s="140">
        <f t="shared" si="127"/>
        <v>26918</v>
      </c>
      <c r="BY89" s="140">
        <f t="shared" si="127"/>
        <v>27278</v>
      </c>
      <c r="BZ89" s="140">
        <f t="shared" si="127"/>
        <v>27637</v>
      </c>
      <c r="CA89" s="140">
        <f t="shared" si="127"/>
        <v>27997</v>
      </c>
      <c r="CB89" s="140">
        <f t="shared" si="127"/>
        <v>28357</v>
      </c>
      <c r="CC89" s="17"/>
      <c r="CD89" s="17"/>
      <c r="CE89" s="17"/>
    </row>
    <row r="90" spans="1:115">
      <c r="A90" s="16" t="s">
        <v>41</v>
      </c>
      <c r="B90" s="140">
        <f>B89/360</f>
        <v>0.82222222222222219</v>
      </c>
      <c r="C90" s="140">
        <f t="shared" ref="C90:BN90" si="128">C89/360</f>
        <v>1.8222222222222222</v>
      </c>
      <c r="D90" s="140">
        <f t="shared" si="128"/>
        <v>2.8222222222222224</v>
      </c>
      <c r="E90" s="140">
        <f t="shared" si="128"/>
        <v>3.8222222222222224</v>
      </c>
      <c r="F90" s="140">
        <f t="shared" si="128"/>
        <v>4.8194444444444446</v>
      </c>
      <c r="G90" s="140">
        <f t="shared" si="128"/>
        <v>5.8194444444444446</v>
      </c>
      <c r="H90" s="140">
        <f t="shared" si="128"/>
        <v>6.8194444444444446</v>
      </c>
      <c r="I90" s="140">
        <f t="shared" si="128"/>
        <v>7.8194444444444446</v>
      </c>
      <c r="J90" s="140">
        <f t="shared" si="128"/>
        <v>8.8166666666666664</v>
      </c>
      <c r="K90" s="140">
        <f t="shared" si="128"/>
        <v>9.8166666666666664</v>
      </c>
      <c r="L90" s="140">
        <f t="shared" si="128"/>
        <v>10.816666666666666</v>
      </c>
      <c r="M90" s="140">
        <f t="shared" si="128"/>
        <v>11.816666666666666</v>
      </c>
      <c r="N90" s="140">
        <f t="shared" si="128"/>
        <v>12.813888888888888</v>
      </c>
      <c r="O90" s="140">
        <f t="shared" si="128"/>
        <v>13.813888888888888</v>
      </c>
      <c r="P90" s="140">
        <f t="shared" si="128"/>
        <v>14.813888888888888</v>
      </c>
      <c r="Q90" s="140">
        <f t="shared" si="128"/>
        <v>15.813888888888888</v>
      </c>
      <c r="R90" s="140">
        <f t="shared" si="128"/>
        <v>16.81111111111111</v>
      </c>
      <c r="S90" s="140">
        <f t="shared" si="128"/>
        <v>17.81111111111111</v>
      </c>
      <c r="T90" s="140">
        <f t="shared" si="128"/>
        <v>18.81111111111111</v>
      </c>
      <c r="U90" s="140">
        <f t="shared" si="128"/>
        <v>19.81111111111111</v>
      </c>
      <c r="V90" s="140">
        <f t="shared" si="128"/>
        <v>20.808333333333334</v>
      </c>
      <c r="W90" s="140">
        <f t="shared" si="128"/>
        <v>21.808333333333334</v>
      </c>
      <c r="X90" s="140">
        <f t="shared" si="128"/>
        <v>22.808333333333334</v>
      </c>
      <c r="Y90" s="140">
        <f t="shared" si="128"/>
        <v>23.808333333333334</v>
      </c>
      <c r="Z90" s="140">
        <f t="shared" si="128"/>
        <v>24.805555555555557</v>
      </c>
      <c r="AA90" s="140">
        <f t="shared" si="128"/>
        <v>25.805555555555557</v>
      </c>
      <c r="AB90" s="140">
        <f t="shared" si="128"/>
        <v>26.805555555555557</v>
      </c>
      <c r="AC90" s="140">
        <f t="shared" si="128"/>
        <v>27.805555555555557</v>
      </c>
      <c r="AD90" s="140">
        <f t="shared" si="128"/>
        <v>28.802777777777777</v>
      </c>
      <c r="AE90" s="140">
        <f t="shared" si="128"/>
        <v>29.802777777777777</v>
      </c>
      <c r="AF90" s="140">
        <f t="shared" si="128"/>
        <v>30.802777777777777</v>
      </c>
      <c r="AG90" s="140">
        <f t="shared" si="128"/>
        <v>31.802777777777777</v>
      </c>
      <c r="AH90" s="140">
        <f t="shared" si="128"/>
        <v>32.799999999999997</v>
      </c>
      <c r="AI90" s="140">
        <f t="shared" si="128"/>
        <v>33.799999999999997</v>
      </c>
      <c r="AJ90" s="140">
        <f t="shared" si="128"/>
        <v>34.799999999999997</v>
      </c>
      <c r="AK90" s="140">
        <f t="shared" si="128"/>
        <v>35.799999999999997</v>
      </c>
      <c r="AL90" s="140">
        <f t="shared" si="128"/>
        <v>36.797222222222224</v>
      </c>
      <c r="AM90" s="140">
        <f t="shared" si="128"/>
        <v>37.797222222222224</v>
      </c>
      <c r="AN90" s="140">
        <f t="shared" si="128"/>
        <v>38.797222222222224</v>
      </c>
      <c r="AO90" s="140">
        <f t="shared" si="128"/>
        <v>39.797222222222224</v>
      </c>
      <c r="AP90" s="140">
        <f t="shared" si="128"/>
        <v>40.794444444444444</v>
      </c>
      <c r="AQ90" s="140">
        <f t="shared" si="128"/>
        <v>41.794444444444444</v>
      </c>
      <c r="AR90" s="140">
        <f t="shared" si="128"/>
        <v>42.794444444444444</v>
      </c>
      <c r="AS90" s="140">
        <f t="shared" si="128"/>
        <v>43.794444444444444</v>
      </c>
      <c r="AT90" s="140">
        <f t="shared" si="128"/>
        <v>44.791666666666664</v>
      </c>
      <c r="AU90" s="140">
        <f t="shared" si="128"/>
        <v>45.791666666666664</v>
      </c>
      <c r="AV90" s="140">
        <f t="shared" si="128"/>
        <v>46.791666666666664</v>
      </c>
      <c r="AW90" s="140">
        <f t="shared" si="128"/>
        <v>47.791666666666664</v>
      </c>
      <c r="AX90" s="140">
        <f t="shared" si="128"/>
        <v>48.788888888888891</v>
      </c>
      <c r="AY90" s="140">
        <f t="shared" si="128"/>
        <v>49.788888888888891</v>
      </c>
      <c r="AZ90" s="140">
        <f t="shared" si="128"/>
        <v>50.788888888888891</v>
      </c>
      <c r="BA90" s="140">
        <f t="shared" si="128"/>
        <v>51.788888888888891</v>
      </c>
      <c r="BB90" s="140">
        <f t="shared" si="128"/>
        <v>52.786111111111111</v>
      </c>
      <c r="BC90" s="140">
        <f t="shared" si="128"/>
        <v>53.786111111111111</v>
      </c>
      <c r="BD90" s="140">
        <f t="shared" si="128"/>
        <v>54.786111111111111</v>
      </c>
      <c r="BE90" s="140">
        <f t="shared" si="128"/>
        <v>55.786111111111111</v>
      </c>
      <c r="BF90" s="140">
        <f t="shared" si="128"/>
        <v>56.783333333333331</v>
      </c>
      <c r="BG90" s="140">
        <f t="shared" si="128"/>
        <v>57.783333333333331</v>
      </c>
      <c r="BH90" s="140">
        <f t="shared" si="128"/>
        <v>58.783333333333331</v>
      </c>
      <c r="BI90" s="140">
        <f t="shared" si="128"/>
        <v>59.783333333333331</v>
      </c>
      <c r="BJ90" s="140">
        <f t="shared" si="128"/>
        <v>60.780555555555559</v>
      </c>
      <c r="BK90" s="140">
        <f t="shared" si="128"/>
        <v>61.780555555555559</v>
      </c>
      <c r="BL90" s="140">
        <f t="shared" si="128"/>
        <v>62.780555555555559</v>
      </c>
      <c r="BM90" s="140">
        <f t="shared" si="128"/>
        <v>63.780555555555559</v>
      </c>
      <c r="BN90" s="140">
        <f t="shared" si="128"/>
        <v>64.777777777777771</v>
      </c>
      <c r="BO90" s="140">
        <f t="shared" ref="BO90:CB90" si="129">BO89/360</f>
        <v>65.777777777777771</v>
      </c>
      <c r="BP90" s="140">
        <f t="shared" si="129"/>
        <v>66.777777777777771</v>
      </c>
      <c r="BQ90" s="140">
        <f t="shared" si="129"/>
        <v>67.777777777777771</v>
      </c>
      <c r="BR90" s="140">
        <f t="shared" si="129"/>
        <v>68.775000000000006</v>
      </c>
      <c r="BS90" s="140">
        <f t="shared" si="129"/>
        <v>69.775000000000006</v>
      </c>
      <c r="BT90" s="140">
        <f t="shared" si="129"/>
        <v>70.775000000000006</v>
      </c>
      <c r="BU90" s="140">
        <f t="shared" si="129"/>
        <v>71.775000000000006</v>
      </c>
      <c r="BV90" s="140">
        <f t="shared" si="129"/>
        <v>72.772222222222226</v>
      </c>
      <c r="BW90" s="140">
        <f t="shared" si="129"/>
        <v>73.772222222222226</v>
      </c>
      <c r="BX90" s="140">
        <f t="shared" si="129"/>
        <v>74.772222222222226</v>
      </c>
      <c r="BY90" s="140">
        <f t="shared" si="129"/>
        <v>75.772222222222226</v>
      </c>
      <c r="BZ90" s="140">
        <f t="shared" si="129"/>
        <v>76.769444444444446</v>
      </c>
      <c r="CA90" s="140">
        <f t="shared" si="129"/>
        <v>77.769444444444446</v>
      </c>
      <c r="CB90" s="140">
        <f t="shared" si="129"/>
        <v>78.769444444444446</v>
      </c>
      <c r="CC90" s="17"/>
      <c r="CD90" s="17"/>
      <c r="CE90" s="17"/>
    </row>
    <row r="91" spans="1:115">
      <c r="A91" s="16" t="s">
        <v>43</v>
      </c>
      <c r="B91" s="140">
        <f>IF(B89&lt;0,0,$B$5+$B$6*((1-EXP(-B90/$B$9))/(B90/$B$9))+$B$7*((1-EXP(-B90/$B$9))/(B90/$B$9)-EXP(-B90/$B$9))+$B$8*((1-EXP(-B90/$B$10))/(B90/$B$10)-EXP(-B90/$B$10)))</f>
        <v>-1.3301926036494636E-2</v>
      </c>
      <c r="C91" s="140">
        <f t="shared" ref="C91:BN91" si="130">IF(C89&lt;0,0,$B$5+$B$6*((1-EXP(-C90/$B$9))/(C90/$B$9))+$B$7*((1-EXP(-C90/$B$9))/(C90/$B$9)-EXP(-C90/$B$9))+$B$8*((1-EXP(-C90/$B$10))/(C90/$B$10)-EXP(-C90/$B$10)))</f>
        <v>-1.2165871541158352E-2</v>
      </c>
      <c r="D91" s="140">
        <f t="shared" si="130"/>
        <v>-1.1091800222291287E-2</v>
      </c>
      <c r="E91" s="140">
        <f t="shared" si="130"/>
        <v>-1.0077669575141742E-2</v>
      </c>
      <c r="F91" s="140">
        <f t="shared" si="130"/>
        <v>-9.1240714508240076E-3</v>
      </c>
      <c r="G91" s="140">
        <f t="shared" si="130"/>
        <v>-8.223767317590381E-3</v>
      </c>
      <c r="H91" s="140">
        <f t="shared" si="130"/>
        <v>-7.3776163660370098E-3</v>
      </c>
      <c r="I91" s="140">
        <f t="shared" si="130"/>
        <v>-6.5837944207133153E-3</v>
      </c>
      <c r="J91" s="140">
        <f t="shared" si="130"/>
        <v>-5.8425246366290221E-3</v>
      </c>
      <c r="K91" s="140">
        <f t="shared" si="130"/>
        <v>-5.1479580391352517E-3</v>
      </c>
      <c r="L91" s="140">
        <f t="shared" si="130"/>
        <v>-4.5005539667351685E-3</v>
      </c>
      <c r="M91" s="140">
        <f t="shared" si="130"/>
        <v>-3.8986847659693152E-3</v>
      </c>
      <c r="N91" s="140">
        <f t="shared" si="130"/>
        <v>-3.3422591070197405E-3</v>
      </c>
      <c r="O91" s="140">
        <f t="shared" si="130"/>
        <v>-2.8266437784082582E-3</v>
      </c>
      <c r="P91" s="140">
        <f t="shared" si="130"/>
        <v>-2.3519557141857272E-3</v>
      </c>
      <c r="Q91" s="140">
        <f t="shared" si="130"/>
        <v>-1.9167440845733949E-3</v>
      </c>
      <c r="R91" s="140">
        <f t="shared" si="130"/>
        <v>-1.5206511712030774E-3</v>
      </c>
      <c r="S91" s="140">
        <f t="shared" si="130"/>
        <v>-1.1601042951724025E-3</v>
      </c>
      <c r="T91" s="140">
        <f t="shared" si="130"/>
        <v>-8.349289997103132E-4</v>
      </c>
      <c r="U91" s="140">
        <f t="shared" si="130"/>
        <v>-5.4383348880456678E-4</v>
      </c>
      <c r="V91" s="140">
        <f t="shared" si="130"/>
        <v>-2.862362620672243E-4</v>
      </c>
      <c r="W91" s="140">
        <f t="shared" si="130"/>
        <v>-5.948665239474682E-5</v>
      </c>
      <c r="X91" s="140">
        <f t="shared" si="130"/>
        <v>1.3683595228315693E-4</v>
      </c>
      <c r="Y91" s="140">
        <f t="shared" si="130"/>
        <v>3.0388037743388913E-4</v>
      </c>
      <c r="Z91" s="140">
        <f t="shared" si="130"/>
        <v>4.4241422459546237E-4</v>
      </c>
      <c r="AA91" s="140">
        <f t="shared" si="130"/>
        <v>5.5428963433162837E-4</v>
      </c>
      <c r="AB91" s="140">
        <f t="shared" si="130"/>
        <v>6.4013332477259183E-4</v>
      </c>
      <c r="AC91" s="140">
        <f t="shared" si="130"/>
        <v>7.0096565193550342E-4</v>
      </c>
      <c r="AD91" s="140">
        <f t="shared" si="130"/>
        <v>7.3770705453594931E-4</v>
      </c>
      <c r="AE91" s="140">
        <f t="shared" si="130"/>
        <v>7.5152110846104375E-4</v>
      </c>
      <c r="AF91" s="140">
        <f t="shared" si="130"/>
        <v>7.4320524107452518E-4</v>
      </c>
      <c r="AG91" s="140">
        <f t="shared" si="130"/>
        <v>7.1366442694478782E-4</v>
      </c>
      <c r="AH91" s="140">
        <f t="shared" si="130"/>
        <v>6.6394263614474869E-4</v>
      </c>
      <c r="AI91" s="140">
        <f t="shared" si="130"/>
        <v>5.946126837387683E-4</v>
      </c>
      <c r="AJ91" s="140">
        <f t="shared" si="130"/>
        <v>5.0661148043943532E-4</v>
      </c>
      <c r="AK91" s="140">
        <f t="shared" si="130"/>
        <v>4.0074042923793352E-4</v>
      </c>
      <c r="AL91" s="140">
        <f t="shared" si="130"/>
        <v>2.7814127036688424E-4</v>
      </c>
      <c r="AM91" s="140">
        <f t="shared" si="130"/>
        <v>1.3888293654893552E-4</v>
      </c>
      <c r="AN91" s="140">
        <f t="shared" si="130"/>
        <v>-1.5985667192429387E-5</v>
      </c>
      <c r="AO91" s="140">
        <f t="shared" si="130"/>
        <v>-1.857560554912735E-4</v>
      </c>
      <c r="AP91" s="140">
        <f t="shared" si="130"/>
        <v>-3.6921130718246126E-4</v>
      </c>
      <c r="AQ91" s="140">
        <f t="shared" si="130"/>
        <v>-5.6670930623543836E-4</v>
      </c>
      <c r="AR91" s="140">
        <f t="shared" si="130"/>
        <v>-7.771132967721861E-4</v>
      </c>
      <c r="AS91" s="140">
        <f t="shared" si="130"/>
        <v>-9.9979810235954758E-4</v>
      </c>
      <c r="AT91" s="140">
        <f t="shared" si="130"/>
        <v>-1.2334913738773073E-3</v>
      </c>
      <c r="AU91" s="140">
        <f t="shared" si="130"/>
        <v>-1.4789095552406456E-3</v>
      </c>
      <c r="AV91" s="140">
        <f t="shared" si="130"/>
        <v>-1.7348491901479912E-3</v>
      </c>
      <c r="AW91" s="140">
        <f t="shared" si="130"/>
        <v>-2.0007597474800826E-3</v>
      </c>
      <c r="AX91" s="140">
        <f t="shared" si="130"/>
        <v>-2.2753306692217118E-3</v>
      </c>
      <c r="AY91" s="140">
        <f t="shared" si="130"/>
        <v>-2.5595766057063957E-3</v>
      </c>
      <c r="AZ91" s="140">
        <f t="shared" si="130"/>
        <v>-2.8522458751847612E-3</v>
      </c>
      <c r="BA91" s="140">
        <f t="shared" si="130"/>
        <v>-3.1528547826020215E-3</v>
      </c>
      <c r="BB91" s="140">
        <f t="shared" si="130"/>
        <v>-3.4600695183697183E-3</v>
      </c>
      <c r="BC91" s="140">
        <f t="shared" si="130"/>
        <v>-3.7751496720779126E-3</v>
      </c>
      <c r="BD91" s="140">
        <f t="shared" si="130"/>
        <v>-4.0968114220108209E-3</v>
      </c>
      <c r="BE91" s="140">
        <f t="shared" si="130"/>
        <v>-4.4246308721887645E-3</v>
      </c>
      <c r="BF91" s="140">
        <f t="shared" si="130"/>
        <v>-4.7572639019679841E-3</v>
      </c>
      <c r="BG91" s="140">
        <f t="shared" si="130"/>
        <v>-5.0961681228673672E-3</v>
      </c>
      <c r="BH91" s="140">
        <f t="shared" si="130"/>
        <v>-5.440041526592998E-3</v>
      </c>
      <c r="BI91" s="140">
        <f t="shared" si="130"/>
        <v>-5.7885136771859691E-3</v>
      </c>
      <c r="BJ91" s="140">
        <f t="shared" si="130"/>
        <v>-6.140241286994641E-3</v>
      </c>
      <c r="BK91" s="140">
        <f t="shared" si="130"/>
        <v>-6.4968387580528336E-3</v>
      </c>
      <c r="BL91" s="140">
        <f t="shared" si="130"/>
        <v>-6.8569979483914939E-3</v>
      </c>
      <c r="BM91" s="140">
        <f t="shared" si="130"/>
        <v>-7.2203961736808236E-3</v>
      </c>
      <c r="BN91" s="140">
        <f t="shared" si="130"/>
        <v>-7.5857005249515691E-3</v>
      </c>
      <c r="BO91" s="140">
        <f t="shared" ref="BO91:CB91" si="131">IF(BO89&lt;0,0,$B$5+$B$6*((1-EXP(-BO90/$B$9))/(BO90/$B$9))+$B$7*((1-EXP(-BO90/$B$9))/(BO90/$B$9)-EXP(-BO90/$B$9))+$B$8*((1-EXP(-BO90/$B$10))/(BO90/$B$10)-EXP(-BO90/$B$10)))</f>
        <v>-7.9546460509703765E-3</v>
      </c>
      <c r="BP91" s="140">
        <f t="shared" si="131"/>
        <v>-8.3259288368199985E-3</v>
      </c>
      <c r="BQ91" s="140">
        <f t="shared" si="131"/>
        <v>-8.6992688111884875E-3</v>
      </c>
      <c r="BR91" s="140">
        <f t="shared" si="131"/>
        <v>-9.0733515691790861E-3</v>
      </c>
      <c r="BS91" s="140">
        <f t="shared" si="131"/>
        <v>-9.4500012111769643E-3</v>
      </c>
      <c r="BT91" s="140">
        <f t="shared" si="131"/>
        <v>-9.8279269051454315E-3</v>
      </c>
      <c r="BU91" s="140">
        <f t="shared" si="131"/>
        <v>-1.0206886568861706E-2</v>
      </c>
      <c r="BV91" s="140">
        <f t="shared" si="131"/>
        <v>-1.0585591166543881E-2</v>
      </c>
      <c r="BW91" s="140">
        <f t="shared" si="131"/>
        <v>-1.0965926318390995E-2</v>
      </c>
      <c r="BX91" s="140">
        <f t="shared" si="131"/>
        <v>-1.1346621794463593E-2</v>
      </c>
      <c r="BY91" s="140">
        <f t="shared" si="131"/>
        <v>-1.172746934252783E-2</v>
      </c>
      <c r="BZ91" s="140">
        <f t="shared" si="131"/>
        <v>-1.210721104422828E-2</v>
      </c>
      <c r="CA91" s="140">
        <f t="shared" si="131"/>
        <v>-1.2487770134149576E-2</v>
      </c>
      <c r="CB91" s="140">
        <f t="shared" si="131"/>
        <v>-1.2867903318206211E-2</v>
      </c>
      <c r="CC91" s="17"/>
      <c r="CD91" s="17"/>
      <c r="CE91" s="17"/>
    </row>
    <row r="92" spans="1:115">
      <c r="A92" s="16" t="s">
        <v>44</v>
      </c>
      <c r="B92" s="140">
        <f>EXP(-B91*B90)</f>
        <v>1.0109971683418129</v>
      </c>
      <c r="C92" s="140">
        <f t="shared" ref="C92:AR92" si="132">EXP(-C91*C90)</f>
        <v>1.022416477983731</v>
      </c>
      <c r="D92" s="140">
        <f t="shared" si="132"/>
        <v>1.0317986331170326</v>
      </c>
      <c r="E92" s="140">
        <f t="shared" si="132"/>
        <v>1.0392705705441128</v>
      </c>
      <c r="F92" s="140">
        <f t="shared" si="132"/>
        <v>1.0449540942080833</v>
      </c>
      <c r="G92" s="140">
        <f t="shared" si="132"/>
        <v>1.0490214287865789</v>
      </c>
      <c r="H92" s="140">
        <f t="shared" si="132"/>
        <v>1.0515983501113773</v>
      </c>
      <c r="I92" s="140">
        <f t="shared" si="132"/>
        <v>1.0528298295286789</v>
      </c>
      <c r="J92" s="140">
        <f t="shared" si="132"/>
        <v>1.0528613912148417</v>
      </c>
      <c r="K92" s="140">
        <f t="shared" si="132"/>
        <v>1.0518345058232588</v>
      </c>
      <c r="L92" s="140">
        <f t="shared" si="132"/>
        <v>1.0498853755563002</v>
      </c>
      <c r="M92" s="140">
        <f t="shared" si="132"/>
        <v>1.0471471415100495</v>
      </c>
      <c r="N92" s="140">
        <f t="shared" si="132"/>
        <v>1.0437576607902017</v>
      </c>
      <c r="O92" s="140">
        <f t="shared" si="132"/>
        <v>1.039819294828354</v>
      </c>
      <c r="P92" s="140">
        <f t="shared" si="132"/>
        <v>1.0354556906273311</v>
      </c>
      <c r="Q92" s="140">
        <f t="shared" si="132"/>
        <v>1.0307752386113365</v>
      </c>
      <c r="R92" s="140">
        <f t="shared" si="132"/>
        <v>1.0258933929060221</v>
      </c>
      <c r="S92" s="140">
        <f t="shared" si="132"/>
        <v>1.0208776989984976</v>
      </c>
      <c r="T92" s="140">
        <f t="shared" si="132"/>
        <v>1.0158299287515373</v>
      </c>
      <c r="U92" s="140">
        <f t="shared" si="132"/>
        <v>1.0108321936241353</v>
      </c>
      <c r="V92" s="140">
        <f t="shared" si="132"/>
        <v>1.0059738723821849</v>
      </c>
      <c r="W92" s="140">
        <f t="shared" si="132"/>
        <v>1.0012981466081206</v>
      </c>
      <c r="X92" s="140">
        <f t="shared" si="132"/>
        <v>0.99688386524607209</v>
      </c>
      <c r="Y92" s="140">
        <f t="shared" si="132"/>
        <v>0.99279122346076698</v>
      </c>
      <c r="Z92" s="140">
        <f t="shared" si="132"/>
        <v>0.98908566765866779</v>
      </c>
      <c r="AA92" s="140">
        <f t="shared" si="132"/>
        <v>0.98579806069498666</v>
      </c>
      <c r="AB92" s="140">
        <f t="shared" si="132"/>
        <v>0.98298725001711185</v>
      </c>
      <c r="AC92" s="140">
        <f t="shared" si="132"/>
        <v>0.98069797702043593</v>
      </c>
      <c r="AD92" s="140">
        <f t="shared" si="132"/>
        <v>0.97897613627959046</v>
      </c>
      <c r="AE92" s="140">
        <f t="shared" si="132"/>
        <v>0.97785154339341085</v>
      </c>
      <c r="AF92" s="140">
        <f t="shared" si="132"/>
        <v>0.97736726572343036</v>
      </c>
      <c r="AG92" s="140">
        <f t="shared" si="132"/>
        <v>0.97755911702339371</v>
      </c>
      <c r="AH92" s="140">
        <f t="shared" si="132"/>
        <v>0.97845809534364603</v>
      </c>
      <c r="AI92" s="140">
        <f t="shared" si="132"/>
        <v>0.9801027080167406</v>
      </c>
      <c r="AJ92" s="140">
        <f t="shared" si="132"/>
        <v>0.98252442104783855</v>
      </c>
      <c r="AK92" s="140">
        <f t="shared" si="132"/>
        <v>0.98575591339169732</v>
      </c>
      <c r="AL92" s="140">
        <f t="shared" si="132"/>
        <v>0.98981737146856619</v>
      </c>
      <c r="AM92" s="140">
        <f t="shared" si="132"/>
        <v>0.99476436475078844</v>
      </c>
      <c r="AN92" s="140">
        <f t="shared" si="132"/>
        <v>1.0006203918459</v>
      </c>
      <c r="AO92" s="140">
        <f t="shared" si="132"/>
        <v>1.007419967561088</v>
      </c>
      <c r="AP92" s="140">
        <f t="shared" si="132"/>
        <v>1.0151757702478892</v>
      </c>
      <c r="AQ92" s="140">
        <f t="shared" si="132"/>
        <v>1.0239680250734768</v>
      </c>
      <c r="AR92" s="140">
        <f t="shared" si="132"/>
        <v>1.0338152983124238</v>
      </c>
      <c r="AS92" s="140">
        <f>EXP(-AS91*AS90)</f>
        <v>1.0447583372464586</v>
      </c>
      <c r="AT92" s="140">
        <f t="shared" ref="AT92:CA92" si="133">EXP(-AT91*AT90)</f>
        <v>1.0568049249414222</v>
      </c>
      <c r="AU92" s="140">
        <f t="shared" si="133"/>
        <v>1.0700675029827944</v>
      </c>
      <c r="AV92" s="140">
        <f t="shared" si="133"/>
        <v>1.0845622886770909</v>
      </c>
      <c r="AW92" s="140">
        <f t="shared" si="133"/>
        <v>1.100340462117579</v>
      </c>
      <c r="AX92" s="140">
        <f t="shared" si="133"/>
        <v>1.1174070364723458</v>
      </c>
      <c r="AY92" s="140">
        <f t="shared" si="133"/>
        <v>1.1359149791767114</v>
      </c>
      <c r="AZ92" s="140">
        <f t="shared" si="133"/>
        <v>1.1558805088242419</v>
      </c>
      <c r="BA92" s="140">
        <f t="shared" si="133"/>
        <v>1.1773696569173442</v>
      </c>
      <c r="BB92" s="140">
        <f t="shared" si="133"/>
        <v>1.2003865309450603</v>
      </c>
      <c r="BC92" s="140">
        <f t="shared" si="133"/>
        <v>1.2251344826466197</v>
      </c>
      <c r="BD92" s="140">
        <f t="shared" si="133"/>
        <v>1.2516320826176173</v>
      </c>
      <c r="BE92" s="140">
        <f t="shared" si="133"/>
        <v>1.2799652760294691</v>
      </c>
      <c r="BF92" s="140">
        <f t="shared" si="133"/>
        <v>1.310139083122726</v>
      </c>
      <c r="BG92" s="140">
        <f t="shared" si="133"/>
        <v>1.34241949801236</v>
      </c>
      <c r="BH92" s="140">
        <f t="shared" si="133"/>
        <v>1.3768300262560302</v>
      </c>
      <c r="BI92" s="140">
        <f t="shared" si="133"/>
        <v>1.4134826769798845</v>
      </c>
      <c r="BJ92" s="140">
        <f t="shared" si="133"/>
        <v>1.4523853542329515</v>
      </c>
      <c r="BK92" s="140">
        <f t="shared" si="133"/>
        <v>1.4938823089842599</v>
      </c>
      <c r="BL92" s="140">
        <f t="shared" si="133"/>
        <v>1.5380050285913014</v>
      </c>
      <c r="BM92" s="140">
        <f t="shared" si="133"/>
        <v>1.5848993112538459</v>
      </c>
      <c r="BN92" s="140">
        <f t="shared" si="133"/>
        <v>1.6345782547244285</v>
      </c>
      <c r="BO92" s="140">
        <f t="shared" si="133"/>
        <v>1.6874844691265067</v>
      </c>
      <c r="BP92" s="140">
        <f t="shared" si="133"/>
        <v>1.7436611740178962</v>
      </c>
      <c r="BQ92" s="140">
        <f t="shared" si="133"/>
        <v>1.8032978154526818</v>
      </c>
      <c r="BR92" s="140">
        <f t="shared" si="133"/>
        <v>1.8664155144122183</v>
      </c>
      <c r="BS92" s="140">
        <f t="shared" si="133"/>
        <v>1.9335812134323158</v>
      </c>
      <c r="BT92" s="140">
        <f t="shared" si="133"/>
        <v>2.00485457451025</v>
      </c>
      <c r="BU92" s="140">
        <f t="shared" si="133"/>
        <v>2.0804813464021588</v>
      </c>
      <c r="BV92" s="140">
        <f t="shared" si="133"/>
        <v>2.16049420195057</v>
      </c>
      <c r="BW92" s="140">
        <f t="shared" si="133"/>
        <v>2.2456179809669221</v>
      </c>
      <c r="BX92" s="140">
        <f t="shared" si="133"/>
        <v>2.3359347361579292</v>
      </c>
      <c r="BY92" s="140">
        <f t="shared" si="133"/>
        <v>2.4317627675937832</v>
      </c>
      <c r="BZ92" s="140">
        <f t="shared" si="133"/>
        <v>2.5331507043491546</v>
      </c>
      <c r="CA92" s="140">
        <f t="shared" si="133"/>
        <v>2.6410245940777233</v>
      </c>
      <c r="CB92" s="140">
        <f>EXP(-CB91*CB90)</f>
        <v>2.7554963660456169</v>
      </c>
      <c r="CC92" s="17"/>
      <c r="CD92" s="17"/>
      <c r="CE92" s="17"/>
    </row>
    <row r="93" spans="1:115" s="6" customFormat="1">
      <c r="A93" s="130"/>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19"/>
      <c r="CD93" s="19"/>
      <c r="CE93" s="19"/>
    </row>
    <row r="94" spans="1:115">
      <c r="A94" s="16" t="s">
        <v>40</v>
      </c>
      <c r="B94" s="140">
        <f t="shared" ref="B94:BM94" si="134">DAYS360($B$3,B34)</f>
        <v>323</v>
      </c>
      <c r="C94" s="140">
        <f t="shared" si="134"/>
        <v>683</v>
      </c>
      <c r="D94" s="140">
        <f t="shared" si="134"/>
        <v>1043</v>
      </c>
      <c r="E94" s="140">
        <f t="shared" si="134"/>
        <v>1403</v>
      </c>
      <c r="F94" s="140">
        <f t="shared" si="134"/>
        <v>1762</v>
      </c>
      <c r="G94" s="140">
        <f t="shared" si="134"/>
        <v>2122</v>
      </c>
      <c r="H94" s="140">
        <f t="shared" si="134"/>
        <v>2482</v>
      </c>
      <c r="I94" s="140">
        <f t="shared" si="134"/>
        <v>2842</v>
      </c>
      <c r="J94" s="140">
        <f t="shared" si="134"/>
        <v>3201</v>
      </c>
      <c r="K94" s="140">
        <f t="shared" si="134"/>
        <v>3561</v>
      </c>
      <c r="L94" s="140">
        <f t="shared" si="134"/>
        <v>3921</v>
      </c>
      <c r="M94" s="140">
        <f t="shared" si="134"/>
        <v>4281</v>
      </c>
      <c r="N94" s="140">
        <f t="shared" si="134"/>
        <v>4640</v>
      </c>
      <c r="O94" s="140">
        <f t="shared" si="134"/>
        <v>5000</v>
      </c>
      <c r="P94" s="140">
        <f t="shared" si="134"/>
        <v>5360</v>
      </c>
      <c r="Q94" s="140">
        <f t="shared" si="134"/>
        <v>5720</v>
      </c>
      <c r="R94" s="140">
        <f t="shared" si="134"/>
        <v>6079</v>
      </c>
      <c r="S94" s="140">
        <f t="shared" si="134"/>
        <v>6439</v>
      </c>
      <c r="T94" s="140">
        <f t="shared" si="134"/>
        <v>6799</v>
      </c>
      <c r="U94" s="140">
        <f t="shared" si="134"/>
        <v>7159</v>
      </c>
      <c r="V94" s="140">
        <f t="shared" si="134"/>
        <v>7518</v>
      </c>
      <c r="W94" s="140">
        <f t="shared" si="134"/>
        <v>7878</v>
      </c>
      <c r="X94" s="140">
        <f t="shared" si="134"/>
        <v>8238</v>
      </c>
      <c r="Y94" s="140">
        <f t="shared" si="134"/>
        <v>8598</v>
      </c>
      <c r="Z94" s="140">
        <f t="shared" si="134"/>
        <v>8957</v>
      </c>
      <c r="AA94" s="140">
        <f t="shared" si="134"/>
        <v>9317</v>
      </c>
      <c r="AB94" s="140">
        <f t="shared" si="134"/>
        <v>9677</v>
      </c>
      <c r="AC94" s="140">
        <f t="shared" si="134"/>
        <v>10037</v>
      </c>
      <c r="AD94" s="140">
        <f t="shared" si="134"/>
        <v>10396</v>
      </c>
      <c r="AE94" s="140">
        <f t="shared" si="134"/>
        <v>10756</v>
      </c>
      <c r="AF94" s="140">
        <f t="shared" si="134"/>
        <v>11116</v>
      </c>
      <c r="AG94" s="140">
        <f t="shared" si="134"/>
        <v>11476</v>
      </c>
      <c r="AH94" s="140">
        <f t="shared" si="134"/>
        <v>11835</v>
      </c>
      <c r="AI94" s="140">
        <f t="shared" si="134"/>
        <v>12195</v>
      </c>
      <c r="AJ94" s="140">
        <f t="shared" si="134"/>
        <v>12555</v>
      </c>
      <c r="AK94" s="140">
        <f t="shared" si="134"/>
        <v>12915</v>
      </c>
      <c r="AL94" s="140">
        <f t="shared" si="134"/>
        <v>13274</v>
      </c>
      <c r="AM94" s="140">
        <f t="shared" si="134"/>
        <v>13634</v>
      </c>
      <c r="AN94" s="140">
        <f t="shared" si="134"/>
        <v>13994</v>
      </c>
      <c r="AO94" s="140">
        <f t="shared" si="134"/>
        <v>14354</v>
      </c>
      <c r="AP94" s="140">
        <f t="shared" si="134"/>
        <v>14713</v>
      </c>
      <c r="AQ94" s="140">
        <f t="shared" si="134"/>
        <v>15073</v>
      </c>
      <c r="AR94" s="140">
        <f t="shared" si="134"/>
        <v>15433</v>
      </c>
      <c r="AS94" s="140">
        <f t="shared" si="134"/>
        <v>15793</v>
      </c>
      <c r="AT94" s="140">
        <f t="shared" si="134"/>
        <v>16152</v>
      </c>
      <c r="AU94" s="140">
        <f t="shared" si="134"/>
        <v>16512</v>
      </c>
      <c r="AV94" s="140">
        <f t="shared" si="134"/>
        <v>16872</v>
      </c>
      <c r="AW94" s="140">
        <f t="shared" si="134"/>
        <v>17232</v>
      </c>
      <c r="AX94" s="140">
        <f t="shared" si="134"/>
        <v>17591</v>
      </c>
      <c r="AY94" s="140">
        <f t="shared" si="134"/>
        <v>17951</v>
      </c>
      <c r="AZ94" s="140">
        <f t="shared" si="134"/>
        <v>18311</v>
      </c>
      <c r="BA94" s="140">
        <f t="shared" si="134"/>
        <v>18671</v>
      </c>
      <c r="BB94" s="140">
        <f t="shared" si="134"/>
        <v>19030</v>
      </c>
      <c r="BC94" s="140">
        <f t="shared" si="134"/>
        <v>19390</v>
      </c>
      <c r="BD94" s="140">
        <f t="shared" si="134"/>
        <v>19750</v>
      </c>
      <c r="BE94" s="140">
        <f t="shared" si="134"/>
        <v>20110</v>
      </c>
      <c r="BF94" s="140">
        <f t="shared" si="134"/>
        <v>20469</v>
      </c>
      <c r="BG94" s="140">
        <f t="shared" si="134"/>
        <v>20829</v>
      </c>
      <c r="BH94" s="140">
        <f t="shared" si="134"/>
        <v>21189</v>
      </c>
      <c r="BI94" s="140">
        <f t="shared" si="134"/>
        <v>21549</v>
      </c>
      <c r="BJ94" s="140">
        <f t="shared" si="134"/>
        <v>21908</v>
      </c>
      <c r="BK94" s="140">
        <f t="shared" si="134"/>
        <v>22268</v>
      </c>
      <c r="BL94" s="140">
        <f t="shared" si="134"/>
        <v>22628</v>
      </c>
      <c r="BM94" s="140">
        <f t="shared" si="134"/>
        <v>22988</v>
      </c>
      <c r="BN94" s="140">
        <f t="shared" ref="BN94:CB94" si="135">DAYS360($B$3,BN34)</f>
        <v>23347</v>
      </c>
      <c r="BO94" s="140">
        <f t="shared" si="135"/>
        <v>23707</v>
      </c>
      <c r="BP94" s="140">
        <f t="shared" si="135"/>
        <v>24067</v>
      </c>
      <c r="BQ94" s="140">
        <f t="shared" si="135"/>
        <v>24427</v>
      </c>
      <c r="BR94" s="140">
        <f t="shared" si="135"/>
        <v>24786</v>
      </c>
      <c r="BS94" s="140">
        <f t="shared" si="135"/>
        <v>25146</v>
      </c>
      <c r="BT94" s="140">
        <f t="shared" si="135"/>
        <v>25506</v>
      </c>
      <c r="BU94" s="140">
        <f t="shared" si="135"/>
        <v>25866</v>
      </c>
      <c r="BV94" s="140">
        <f t="shared" si="135"/>
        <v>26225</v>
      </c>
      <c r="BW94" s="140">
        <f t="shared" si="135"/>
        <v>26585</v>
      </c>
      <c r="BX94" s="140">
        <f t="shared" si="135"/>
        <v>26945</v>
      </c>
      <c r="BY94" s="140">
        <f t="shared" si="135"/>
        <v>27305</v>
      </c>
      <c r="BZ94" s="140">
        <f t="shared" si="135"/>
        <v>27664</v>
      </c>
      <c r="CA94" s="140">
        <f t="shared" si="135"/>
        <v>28024</v>
      </c>
      <c r="CB94" s="140">
        <f t="shared" si="135"/>
        <v>28384</v>
      </c>
      <c r="CC94" s="17"/>
      <c r="CD94" s="17"/>
      <c r="CE94" s="17"/>
    </row>
    <row r="95" spans="1:115">
      <c r="A95" s="16" t="s">
        <v>41</v>
      </c>
      <c r="B95" s="140">
        <f>B94/360</f>
        <v>0.89722222222222225</v>
      </c>
      <c r="C95" s="140">
        <f t="shared" ref="C95:BN95" si="136">C94/360</f>
        <v>1.8972222222222221</v>
      </c>
      <c r="D95" s="140">
        <f t="shared" si="136"/>
        <v>2.8972222222222221</v>
      </c>
      <c r="E95" s="140">
        <f t="shared" si="136"/>
        <v>3.8972222222222221</v>
      </c>
      <c r="F95" s="140">
        <f t="shared" si="136"/>
        <v>4.8944444444444448</v>
      </c>
      <c r="G95" s="140">
        <f t="shared" si="136"/>
        <v>5.8944444444444448</v>
      </c>
      <c r="H95" s="140">
        <f t="shared" si="136"/>
        <v>6.8944444444444448</v>
      </c>
      <c r="I95" s="140">
        <f t="shared" si="136"/>
        <v>7.8944444444444448</v>
      </c>
      <c r="J95" s="140">
        <f t="shared" si="136"/>
        <v>8.8916666666666675</v>
      </c>
      <c r="K95" s="140">
        <f t="shared" si="136"/>
        <v>9.8916666666666675</v>
      </c>
      <c r="L95" s="140">
        <f t="shared" si="136"/>
        <v>10.891666666666667</v>
      </c>
      <c r="M95" s="140">
        <f t="shared" si="136"/>
        <v>11.891666666666667</v>
      </c>
      <c r="N95" s="140">
        <f t="shared" si="136"/>
        <v>12.888888888888889</v>
      </c>
      <c r="O95" s="140">
        <f t="shared" si="136"/>
        <v>13.888888888888889</v>
      </c>
      <c r="P95" s="140">
        <f t="shared" si="136"/>
        <v>14.888888888888889</v>
      </c>
      <c r="Q95" s="140">
        <f t="shared" si="136"/>
        <v>15.888888888888889</v>
      </c>
      <c r="R95" s="140">
        <f t="shared" si="136"/>
        <v>16.886111111111113</v>
      </c>
      <c r="S95" s="140">
        <f t="shared" si="136"/>
        <v>17.886111111111113</v>
      </c>
      <c r="T95" s="140">
        <f t="shared" si="136"/>
        <v>18.886111111111113</v>
      </c>
      <c r="U95" s="140">
        <f t="shared" si="136"/>
        <v>19.886111111111113</v>
      </c>
      <c r="V95" s="140">
        <f t="shared" si="136"/>
        <v>20.883333333333333</v>
      </c>
      <c r="W95" s="140">
        <f t="shared" si="136"/>
        <v>21.883333333333333</v>
      </c>
      <c r="X95" s="140">
        <f t="shared" si="136"/>
        <v>22.883333333333333</v>
      </c>
      <c r="Y95" s="140">
        <f t="shared" si="136"/>
        <v>23.883333333333333</v>
      </c>
      <c r="Z95" s="140">
        <f t="shared" si="136"/>
        <v>24.880555555555556</v>
      </c>
      <c r="AA95" s="140">
        <f t="shared" si="136"/>
        <v>25.880555555555556</v>
      </c>
      <c r="AB95" s="140">
        <f t="shared" si="136"/>
        <v>26.880555555555556</v>
      </c>
      <c r="AC95" s="140">
        <f t="shared" si="136"/>
        <v>27.880555555555556</v>
      </c>
      <c r="AD95" s="140">
        <f t="shared" si="136"/>
        <v>28.877777777777776</v>
      </c>
      <c r="AE95" s="140">
        <f t="shared" si="136"/>
        <v>29.877777777777776</v>
      </c>
      <c r="AF95" s="140">
        <f t="shared" si="136"/>
        <v>30.877777777777776</v>
      </c>
      <c r="AG95" s="140">
        <f t="shared" si="136"/>
        <v>31.877777777777776</v>
      </c>
      <c r="AH95" s="140">
        <f t="shared" si="136"/>
        <v>32.875</v>
      </c>
      <c r="AI95" s="140">
        <f t="shared" si="136"/>
        <v>33.875</v>
      </c>
      <c r="AJ95" s="140">
        <f t="shared" si="136"/>
        <v>34.875</v>
      </c>
      <c r="AK95" s="140">
        <f t="shared" si="136"/>
        <v>35.875</v>
      </c>
      <c r="AL95" s="140">
        <f t="shared" si="136"/>
        <v>36.87222222222222</v>
      </c>
      <c r="AM95" s="140">
        <f t="shared" si="136"/>
        <v>37.87222222222222</v>
      </c>
      <c r="AN95" s="140">
        <f t="shared" si="136"/>
        <v>38.87222222222222</v>
      </c>
      <c r="AO95" s="140">
        <f t="shared" si="136"/>
        <v>39.87222222222222</v>
      </c>
      <c r="AP95" s="140">
        <f t="shared" si="136"/>
        <v>40.869444444444447</v>
      </c>
      <c r="AQ95" s="140">
        <f t="shared" si="136"/>
        <v>41.869444444444447</v>
      </c>
      <c r="AR95" s="140">
        <f t="shared" si="136"/>
        <v>42.869444444444447</v>
      </c>
      <c r="AS95" s="140">
        <f t="shared" si="136"/>
        <v>43.869444444444447</v>
      </c>
      <c r="AT95" s="140">
        <f t="shared" si="136"/>
        <v>44.866666666666667</v>
      </c>
      <c r="AU95" s="140">
        <f t="shared" si="136"/>
        <v>45.866666666666667</v>
      </c>
      <c r="AV95" s="140">
        <f t="shared" si="136"/>
        <v>46.866666666666667</v>
      </c>
      <c r="AW95" s="140">
        <f t="shared" si="136"/>
        <v>47.866666666666667</v>
      </c>
      <c r="AX95" s="140">
        <f t="shared" si="136"/>
        <v>48.863888888888887</v>
      </c>
      <c r="AY95" s="140">
        <f t="shared" si="136"/>
        <v>49.863888888888887</v>
      </c>
      <c r="AZ95" s="140">
        <f t="shared" si="136"/>
        <v>50.863888888888887</v>
      </c>
      <c r="BA95" s="140">
        <f t="shared" si="136"/>
        <v>51.863888888888887</v>
      </c>
      <c r="BB95" s="140">
        <f t="shared" si="136"/>
        <v>52.861111111111114</v>
      </c>
      <c r="BC95" s="140">
        <f t="shared" si="136"/>
        <v>53.861111111111114</v>
      </c>
      <c r="BD95" s="140">
        <f t="shared" si="136"/>
        <v>54.861111111111114</v>
      </c>
      <c r="BE95" s="140">
        <f t="shared" si="136"/>
        <v>55.861111111111114</v>
      </c>
      <c r="BF95" s="140">
        <f t="shared" si="136"/>
        <v>56.858333333333334</v>
      </c>
      <c r="BG95" s="140">
        <f t="shared" si="136"/>
        <v>57.858333333333334</v>
      </c>
      <c r="BH95" s="140">
        <f t="shared" si="136"/>
        <v>58.858333333333334</v>
      </c>
      <c r="BI95" s="140">
        <f t="shared" si="136"/>
        <v>59.858333333333334</v>
      </c>
      <c r="BJ95" s="140">
        <f t="shared" si="136"/>
        <v>60.855555555555554</v>
      </c>
      <c r="BK95" s="140">
        <f t="shared" si="136"/>
        <v>61.855555555555554</v>
      </c>
      <c r="BL95" s="140">
        <f t="shared" si="136"/>
        <v>62.855555555555554</v>
      </c>
      <c r="BM95" s="140">
        <f t="shared" si="136"/>
        <v>63.855555555555554</v>
      </c>
      <c r="BN95" s="140">
        <f t="shared" si="136"/>
        <v>64.852777777777774</v>
      </c>
      <c r="BO95" s="140">
        <f t="shared" ref="BO95:CB95" si="137">BO94/360</f>
        <v>65.852777777777774</v>
      </c>
      <c r="BP95" s="140">
        <f t="shared" si="137"/>
        <v>66.852777777777774</v>
      </c>
      <c r="BQ95" s="140">
        <f t="shared" si="137"/>
        <v>67.852777777777774</v>
      </c>
      <c r="BR95" s="140">
        <f t="shared" si="137"/>
        <v>68.849999999999994</v>
      </c>
      <c r="BS95" s="140">
        <f t="shared" si="137"/>
        <v>69.849999999999994</v>
      </c>
      <c r="BT95" s="140">
        <f t="shared" si="137"/>
        <v>70.849999999999994</v>
      </c>
      <c r="BU95" s="140">
        <f t="shared" si="137"/>
        <v>71.849999999999994</v>
      </c>
      <c r="BV95" s="140">
        <f t="shared" si="137"/>
        <v>72.847222222222229</v>
      </c>
      <c r="BW95" s="140">
        <f t="shared" si="137"/>
        <v>73.847222222222229</v>
      </c>
      <c r="BX95" s="140">
        <f t="shared" si="137"/>
        <v>74.847222222222229</v>
      </c>
      <c r="BY95" s="140">
        <f t="shared" si="137"/>
        <v>75.847222222222229</v>
      </c>
      <c r="BZ95" s="140">
        <f t="shared" si="137"/>
        <v>76.844444444444449</v>
      </c>
      <c r="CA95" s="140">
        <f t="shared" si="137"/>
        <v>77.844444444444449</v>
      </c>
      <c r="CB95" s="140">
        <f t="shared" si="137"/>
        <v>78.844444444444449</v>
      </c>
      <c r="CC95" s="17"/>
      <c r="CD95" s="17"/>
      <c r="CE95" s="17"/>
    </row>
    <row r="96" spans="1:115">
      <c r="A96" s="16" t="s">
        <v>43</v>
      </c>
      <c r="B96" s="140">
        <f>IF(B94&lt;0,0,$B$5+$B$6*((1-EXP(-B95/$B$9))/(B95/$B$9))+$B$7*((1-EXP(-B95/$B$9))/(B95/$B$9)-EXP(-B95/$B$9))+$B$8*((1-EXP(-B95/$B$10))/(B95/$B$10)-EXP(-B95/$B$10)))</f>
        <v>-1.3214525502723503E-2</v>
      </c>
      <c r="C96" s="140">
        <f t="shared" ref="C96:BN96" si="138">IF(C94&lt;0,0,$B$5+$B$6*((1-EXP(-C95/$B$9))/(C95/$B$9))+$B$7*((1-EXP(-C95/$B$9))/(C95/$B$9)-EXP(-C95/$B$9))+$B$8*((1-EXP(-C95/$B$10))/(C95/$B$10)-EXP(-C95/$B$10)))</f>
        <v>-1.2083191883442729E-2</v>
      </c>
      <c r="D96" s="140">
        <f t="shared" si="138"/>
        <v>-1.1013686249531843E-2</v>
      </c>
      <c r="E96" s="140">
        <f t="shared" si="138"/>
        <v>-1.0003970407310414E-2</v>
      </c>
      <c r="F96" s="140">
        <f t="shared" si="138"/>
        <v>-9.0546287507469823E-3</v>
      </c>
      <c r="G96" s="140">
        <f t="shared" si="138"/>
        <v>-8.158450542208125E-3</v>
      </c>
      <c r="H96" s="140">
        <f t="shared" si="138"/>
        <v>-7.31628689868076E-3</v>
      </c>
      <c r="I96" s="140">
        <f t="shared" si="138"/>
        <v>-6.5263175258888952E-3</v>
      </c>
      <c r="J96" s="140">
        <f t="shared" si="138"/>
        <v>-5.7887591992544785E-3</v>
      </c>
      <c r="K96" s="140">
        <f t="shared" si="138"/>
        <v>-5.0977872943125599E-3</v>
      </c>
      <c r="L96" s="140">
        <f t="shared" si="138"/>
        <v>-4.4538542173791253E-3</v>
      </c>
      <c r="M96" s="140">
        <f t="shared" si="138"/>
        <v>-3.855335807811399E-3</v>
      </c>
      <c r="N96" s="140">
        <f t="shared" si="138"/>
        <v>-3.3021353128740612E-3</v>
      </c>
      <c r="O96" s="140">
        <f t="shared" si="138"/>
        <v>-2.7896407938787018E-3</v>
      </c>
      <c r="P96" s="140">
        <f t="shared" si="138"/>
        <v>-2.3179632669331346E-3</v>
      </c>
      <c r="Q96" s="140">
        <f t="shared" si="138"/>
        <v>-1.8856550443100417E-3</v>
      </c>
      <c r="R96" s="140">
        <f t="shared" si="138"/>
        <v>-1.4923538328339217E-3</v>
      </c>
      <c r="S96" s="140">
        <f t="shared" si="138"/>
        <v>-1.1345054790010689E-3</v>
      </c>
      <c r="T96" s="140">
        <f t="shared" si="138"/>
        <v>-8.1193050809659495E-4</v>
      </c>
      <c r="U96" s="140">
        <f t="shared" si="138"/>
        <v>-5.2333994941081152E-4</v>
      </c>
      <c r="V96" s="140">
        <f t="shared" si="138"/>
        <v>-2.6814847842616257E-4</v>
      </c>
      <c r="W96" s="140">
        <f t="shared" si="138"/>
        <v>-4.3721503038399168E-5</v>
      </c>
      <c r="X96" s="140">
        <f t="shared" si="138"/>
        <v>1.5036580933337762E-4</v>
      </c>
      <c r="Y96" s="140">
        <f t="shared" si="138"/>
        <v>3.152597448304803E-4</v>
      </c>
      <c r="Z96" s="140">
        <f t="shared" si="138"/>
        <v>4.5173106583579897E-4</v>
      </c>
      <c r="AA96" s="140">
        <f t="shared" si="138"/>
        <v>5.6161802113494086E-4</v>
      </c>
      <c r="AB96" s="140">
        <f t="shared" si="138"/>
        <v>6.4555084397217855E-4</v>
      </c>
      <c r="AC96" s="140">
        <f t="shared" si="138"/>
        <v>7.0454760917462028E-4</v>
      </c>
      <c r="AD96" s="140">
        <f t="shared" si="138"/>
        <v>7.3953133135968435E-4</v>
      </c>
      <c r="AE96" s="140">
        <f t="shared" si="138"/>
        <v>7.5165363760285042E-4</v>
      </c>
      <c r="AF96" s="140">
        <f t="shared" si="138"/>
        <v>7.4171484752198064E-4</v>
      </c>
      <c r="AG96" s="140">
        <f t="shared" si="138"/>
        <v>7.1061788744836152E-4</v>
      </c>
      <c r="AH96" s="140">
        <f t="shared" si="138"/>
        <v>6.5940878859507834E-4</v>
      </c>
      <c r="AI96" s="140">
        <f t="shared" si="138"/>
        <v>5.886501442350367E-4</v>
      </c>
      <c r="AJ96" s="140">
        <f t="shared" si="138"/>
        <v>4.9928120844502238E-4</v>
      </c>
      <c r="AK96" s="140">
        <f t="shared" si="138"/>
        <v>3.9210154615639675E-4</v>
      </c>
      <c r="AL96" s="140">
        <f t="shared" si="138"/>
        <v>2.6825450680532936E-4</v>
      </c>
      <c r="AM96" s="140">
        <f t="shared" si="138"/>
        <v>1.2780033433990728E-4</v>
      </c>
      <c r="AN96" s="140">
        <f t="shared" si="138"/>
        <v>-2.821020549521186E-5</v>
      </c>
      <c r="AO96" s="140">
        <f t="shared" si="138"/>
        <v>-1.990702758112653E-4</v>
      </c>
      <c r="AP96" s="140">
        <f t="shared" si="138"/>
        <v>-3.8356174198066195E-4</v>
      </c>
      <c r="AQ96" s="140">
        <f t="shared" si="138"/>
        <v>-5.8204981793048838E-4</v>
      </c>
      <c r="AR96" s="140">
        <f t="shared" si="138"/>
        <v>-7.9339631041515368E-4</v>
      </c>
      <c r="AS96" s="140">
        <f t="shared" si="138"/>
        <v>-1.0169775205209758E-3</v>
      </c>
      <c r="AT96" s="140">
        <f t="shared" si="138"/>
        <v>-1.251520231177361E-3</v>
      </c>
      <c r="AU96" s="140">
        <f t="shared" si="138"/>
        <v>-1.4977470137742394E-3</v>
      </c>
      <c r="AV96" s="140">
        <f t="shared" si="138"/>
        <v>-1.7544533449774108E-3</v>
      </c>
      <c r="AW96" s="140">
        <f t="shared" si="138"/>
        <v>-2.0210900170663376E-3</v>
      </c>
      <c r="AX96" s="140">
        <f t="shared" si="138"/>
        <v>-2.2963459047342372E-3</v>
      </c>
      <c r="AY96" s="140">
        <f t="shared" si="138"/>
        <v>-2.5812407235245166E-3</v>
      </c>
      <c r="AZ96" s="140">
        <f t="shared" si="138"/>
        <v>-2.8745220476168593E-3</v>
      </c>
      <c r="BA96" s="140">
        <f t="shared" si="138"/>
        <v>-3.1757073664550745E-3</v>
      </c>
      <c r="BB96" s="140">
        <f t="shared" si="138"/>
        <v>-3.4834625638022337E-3</v>
      </c>
      <c r="BC96" s="140">
        <f t="shared" si="138"/>
        <v>-3.7990513578777252E-3</v>
      </c>
      <c r="BD96" s="140">
        <f t="shared" si="138"/>
        <v>-4.1211894635669183E-3</v>
      </c>
      <c r="BE96" s="140">
        <f t="shared" si="138"/>
        <v>-4.4494540442445857E-3</v>
      </c>
      <c r="BF96" s="140">
        <f t="shared" si="138"/>
        <v>-4.7825008976002809E-3</v>
      </c>
      <c r="BG96" s="140">
        <f t="shared" si="138"/>
        <v>-5.1217909397817535E-3</v>
      </c>
      <c r="BH96" s="140">
        <f t="shared" si="138"/>
        <v>-5.4660219420542833E-3</v>
      </c>
      <c r="BI96" s="140">
        <f t="shared" si="138"/>
        <v>-5.8148244151012413E-3</v>
      </c>
      <c r="BJ96" s="140">
        <f t="shared" si="138"/>
        <v>-6.1668551828373969E-3</v>
      </c>
      <c r="BK96" s="140">
        <f t="shared" si="138"/>
        <v>-6.5237312286974963E-3</v>
      </c>
      <c r="BL96" s="140">
        <f t="shared" si="138"/>
        <v>-6.8841443996306845E-3</v>
      </c>
      <c r="BM96" s="140">
        <f t="shared" si="138"/>
        <v>-7.2477728564696586E-3</v>
      </c>
      <c r="BN96" s="140">
        <f t="shared" si="138"/>
        <v>-7.6132839668159452E-3</v>
      </c>
      <c r="BO96" s="140">
        <f t="shared" ref="BO96:CB96" si="139">IF(BO94&lt;0,0,$B$5+$B$6*((1-EXP(-BO95/$B$9))/(BO95/$B$9))+$B$7*((1-EXP(-BO95/$B$9))/(BO95/$B$9)-EXP(-BO95/$B$9))+$B$8*((1-EXP(-BO95/$B$10))/(BO95/$B$10)-EXP(-BO95/$B$10)))</f>
        <v>-7.9824147277410967E-3</v>
      </c>
      <c r="BP96" s="140">
        <f t="shared" si="139"/>
        <v>-8.3538613927076483E-3</v>
      </c>
      <c r="BQ96" s="140">
        <f t="shared" si="139"/>
        <v>-8.7273446442325819E-3</v>
      </c>
      <c r="BR96" s="140">
        <f t="shared" si="139"/>
        <v>-9.1015504939279124E-3</v>
      </c>
      <c r="BS96" s="140">
        <f t="shared" si="139"/>
        <v>-9.4783044379371101E-3</v>
      </c>
      <c r="BT96" s="140">
        <f t="shared" si="139"/>
        <v>-9.8563159654923016E-3</v>
      </c>
      <c r="BU96" s="140">
        <f t="shared" si="139"/>
        <v>-1.0235343666031405E-2</v>
      </c>
      <c r="BV96" s="140">
        <f t="shared" si="139"/>
        <v>-1.0614099037992888E-2</v>
      </c>
      <c r="BW96" s="140">
        <f t="shared" si="139"/>
        <v>-1.0994468616706388E-2</v>
      </c>
      <c r="BX96" s="140">
        <f t="shared" si="139"/>
        <v>-1.1375182622808108E-2</v>
      </c>
      <c r="BY96" s="140">
        <f t="shared" si="139"/>
        <v>-1.1756033401832899E-2</v>
      </c>
      <c r="BZ96" s="140">
        <f t="shared" si="139"/>
        <v>-1.2135763667678684E-2</v>
      </c>
      <c r="CA96" s="140">
        <f t="shared" si="139"/>
        <v>-1.2516297153588499E-2</v>
      </c>
      <c r="CB96" s="140">
        <f t="shared" si="139"/>
        <v>-1.289639112445802E-2</v>
      </c>
      <c r="CC96" s="17"/>
      <c r="CD96" s="17"/>
      <c r="CE96" s="17"/>
    </row>
    <row r="97" spans="1:83">
      <c r="A97" s="16" t="s">
        <v>44</v>
      </c>
      <c r="B97" s="140">
        <f>EXP(-B96*B95)</f>
        <v>1.0119269312507484</v>
      </c>
      <c r="C97" s="140">
        <f t="shared" ref="C97:AR97" si="140">EXP(-C96*C95)</f>
        <v>1.023189286000121</v>
      </c>
      <c r="D97" s="140">
        <f t="shared" si="140"/>
        <v>1.0324236501683939</v>
      </c>
      <c r="E97" s="140">
        <f t="shared" si="140"/>
        <v>1.0397576901659806</v>
      </c>
      <c r="F97" s="140">
        <f t="shared" si="140"/>
        <v>1.0453140612915082</v>
      </c>
      <c r="G97" s="140">
        <f t="shared" si="140"/>
        <v>1.0492645954231727</v>
      </c>
      <c r="H97" s="140">
        <f t="shared" si="140"/>
        <v>1.0517355806842557</v>
      </c>
      <c r="I97" s="140">
        <f t="shared" si="140"/>
        <v>1.0528719819187056</v>
      </c>
      <c r="J97" s="140">
        <f t="shared" si="140"/>
        <v>1.0528194092043364</v>
      </c>
      <c r="K97" s="140">
        <f t="shared" si="140"/>
        <v>1.051718625886634</v>
      </c>
      <c r="L97" s="140">
        <f t="shared" si="140"/>
        <v>1.0497057591507675</v>
      </c>
      <c r="M97" s="140">
        <f t="shared" si="140"/>
        <v>1.0469135595066539</v>
      </c>
      <c r="N97" s="140">
        <f t="shared" si="140"/>
        <v>1.0434795555398442</v>
      </c>
      <c r="O97" s="140">
        <f t="shared" si="140"/>
        <v>1.0395053874411746</v>
      </c>
      <c r="P97" s="140">
        <f t="shared" si="140"/>
        <v>1.0351143436066998</v>
      </c>
      <c r="Q97" s="140">
        <f t="shared" si="140"/>
        <v>1.0304143093814822</v>
      </c>
      <c r="R97" s="140">
        <f t="shared" si="140"/>
        <v>1.0255202580378717</v>
      </c>
      <c r="S97" s="140">
        <f t="shared" si="140"/>
        <v>1.0204991711357609</v>
      </c>
      <c r="T97" s="140">
        <f t="shared" si="140"/>
        <v>1.015452382038734</v>
      </c>
      <c r="U97" s="140">
        <f t="shared" si="140"/>
        <v>1.0104615396077363</v>
      </c>
      <c r="V97" s="140">
        <f t="shared" si="140"/>
        <v>1.0056155424362867</v>
      </c>
      <c r="W97" s="140">
        <f t="shared" si="140"/>
        <v>1.0009572300773772</v>
      </c>
      <c r="X97" s="140">
        <f t="shared" si="140"/>
        <v>0.99656504207557495</v>
      </c>
      <c r="Y97" s="140">
        <f t="shared" si="140"/>
        <v>0.99249882175275983</v>
      </c>
      <c r="Z97" s="140">
        <f t="shared" si="140"/>
        <v>0.98882360530990043</v>
      </c>
      <c r="AA97" s="140">
        <f t="shared" si="140"/>
        <v>0.9855701365811288</v>
      </c>
      <c r="AB97" s="140">
        <f t="shared" si="140"/>
        <v>0.9827969267988198</v>
      </c>
      <c r="AC97" s="140">
        <f t="shared" si="140"/>
        <v>0.98054849142122202</v>
      </c>
      <c r="AD97" s="140">
        <f t="shared" si="140"/>
        <v>0.97887040366830846</v>
      </c>
      <c r="AE97" s="140">
        <f t="shared" si="140"/>
        <v>0.97779255749133898</v>
      </c>
      <c r="AF97" s="140">
        <f t="shared" si="140"/>
        <v>0.9773577654155875</v>
      </c>
      <c r="AG97" s="140">
        <f t="shared" si="140"/>
        <v>0.97760173178455789</v>
      </c>
      <c r="AH97" s="140">
        <f t="shared" si="140"/>
        <v>0.97855521657206446</v>
      </c>
      <c r="AI97" s="140">
        <f t="shared" si="140"/>
        <v>0.98025697369360887</v>
      </c>
      <c r="AJ97" s="140">
        <f t="shared" si="140"/>
        <v>0.98273828818169495</v>
      </c>
      <c r="AK97" s="140">
        <f t="shared" si="140"/>
        <v>0.98603182998514061</v>
      </c>
      <c r="AL97" s="140">
        <f t="shared" si="140"/>
        <v>0.99015761665144064</v>
      </c>
      <c r="AM97" s="140">
        <f t="shared" si="140"/>
        <v>0.99517161166311863</v>
      </c>
      <c r="AN97" s="140">
        <f t="shared" si="140"/>
        <v>1.0010971948553007</v>
      </c>
      <c r="AO97" s="140">
        <f t="shared" si="140"/>
        <v>1.0079689587407814</v>
      </c>
      <c r="AP97" s="140">
        <f t="shared" si="140"/>
        <v>1.0157994676395592</v>
      </c>
      <c r="AQ97" s="140">
        <f t="shared" si="140"/>
        <v>1.0246694804743055</v>
      </c>
      <c r="AR97" s="140">
        <f t="shared" si="140"/>
        <v>1.0345974967515918</v>
      </c>
      <c r="AS97" s="140">
        <f>EXP(-AS96*AS95)</f>
        <v>1.0456244208062977</v>
      </c>
      <c r="AT97" s="140">
        <f t="shared" ref="AT97:CA97" si="141">EXP(-AT96*AT95)</f>
        <v>1.0577579653325759</v>
      </c>
      <c r="AU97" s="140">
        <f t="shared" si="141"/>
        <v>1.071111252225236</v>
      </c>
      <c r="AV97" s="140">
        <f t="shared" si="141"/>
        <v>1.0857004775404786</v>
      </c>
      <c r="AW97" s="140">
        <f t="shared" si="141"/>
        <v>1.1015770580065751</v>
      </c>
      <c r="AX97" s="140">
        <f t="shared" si="141"/>
        <v>1.1187459731029379</v>
      </c>
      <c r="AY97" s="140">
        <f t="shared" si="141"/>
        <v>1.1373610387377096</v>
      </c>
      <c r="AZ97" s="140">
        <f t="shared" si="141"/>
        <v>1.1574384956264967</v>
      </c>
      <c r="BA97" s="140">
        <f t="shared" si="141"/>
        <v>1.1790446996167054</v>
      </c>
      <c r="BB97" s="140">
        <f t="shared" si="141"/>
        <v>1.2021837584040875</v>
      </c>
      <c r="BC97" s="140">
        <f t="shared" si="141"/>
        <v>1.2270600773228793</v>
      </c>
      <c r="BD97" s="140">
        <f t="shared" si="141"/>
        <v>1.2536922946967763</v>
      </c>
      <c r="BE97" s="140">
        <f t="shared" si="141"/>
        <v>1.2821667839856745</v>
      </c>
      <c r="BF97" s="140">
        <f t="shared" si="141"/>
        <v>1.3124886006182972</v>
      </c>
      <c r="BG97" s="140">
        <f t="shared" si="141"/>
        <v>1.3449250511613298</v>
      </c>
      <c r="BH97" s="140">
        <f t="shared" si="141"/>
        <v>1.379499761067229</v>
      </c>
      <c r="BI97" s="140">
        <f t="shared" si="141"/>
        <v>1.416325296584193</v>
      </c>
      <c r="BJ97" s="140">
        <f t="shared" si="141"/>
        <v>1.4554096366011584</v>
      </c>
      <c r="BK97" s="140">
        <f t="shared" si="141"/>
        <v>1.4970986765230998</v>
      </c>
      <c r="BL97" s="140">
        <f t="shared" si="141"/>
        <v>1.5414240867237701</v>
      </c>
      <c r="BM97" s="140">
        <f t="shared" si="141"/>
        <v>1.5885323859738203</v>
      </c>
      <c r="BN97" s="140">
        <f t="shared" si="141"/>
        <v>1.6384367946107299</v>
      </c>
      <c r="BO97" s="140">
        <f t="shared" si="141"/>
        <v>1.691581995686201</v>
      </c>
      <c r="BP97" s="140">
        <f t="shared" si="141"/>
        <v>1.7480114704830267</v>
      </c>
      <c r="BQ97" s="140">
        <f t="shared" si="141"/>
        <v>1.8079155950657428</v>
      </c>
      <c r="BR97" s="140">
        <f t="shared" si="141"/>
        <v>1.871315672213103</v>
      </c>
      <c r="BS97" s="140">
        <f t="shared" si="141"/>
        <v>1.9387812712840558</v>
      </c>
      <c r="BT97" s="140">
        <f t="shared" si="141"/>
        <v>2.0103724153056568</v>
      </c>
      <c r="BU97" s="140">
        <f t="shared" si="141"/>
        <v>2.0863360520984564</v>
      </c>
      <c r="BV97" s="140">
        <f t="shared" si="141"/>
        <v>2.1667051103387531</v>
      </c>
      <c r="BW97" s="140">
        <f t="shared" si="141"/>
        <v>2.2522077720681768</v>
      </c>
      <c r="BX97" s="140">
        <f t="shared" si="141"/>
        <v>2.3429265763617928</v>
      </c>
      <c r="BY97" s="140">
        <f t="shared" si="141"/>
        <v>2.4391813674828353</v>
      </c>
      <c r="BZ97" s="140">
        <f t="shared" si="141"/>
        <v>2.5410211224394952</v>
      </c>
      <c r="CA97" s="140">
        <f t="shared" si="141"/>
        <v>2.6493761532676605</v>
      </c>
      <c r="CB97" s="140">
        <f>EXP(-CB96*CB95)</f>
        <v>2.7643590327554413</v>
      </c>
      <c r="CC97" s="17"/>
      <c r="CD97" s="17"/>
      <c r="CE97" s="17"/>
    </row>
    <row r="98" spans="1:83" s="6" customFormat="1">
      <c r="A98" s="130"/>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19"/>
      <c r="CD98" s="19"/>
      <c r="CE98" s="19"/>
    </row>
    <row r="99" spans="1:83">
      <c r="A99" s="16" t="s">
        <v>40</v>
      </c>
      <c r="B99" s="140">
        <f t="shared" ref="B99:BM99" si="142">DAYS360($B$3,B36)</f>
        <v>219</v>
      </c>
      <c r="C99" s="140">
        <f t="shared" si="142"/>
        <v>578</v>
      </c>
      <c r="D99" s="140">
        <f t="shared" si="142"/>
        <v>938</v>
      </c>
      <c r="E99" s="140">
        <f t="shared" si="142"/>
        <v>1298</v>
      </c>
      <c r="F99" s="140">
        <f t="shared" si="142"/>
        <v>1658</v>
      </c>
      <c r="G99" s="140">
        <f t="shared" si="142"/>
        <v>2017</v>
      </c>
      <c r="H99" s="140">
        <f t="shared" si="142"/>
        <v>2377</v>
      </c>
      <c r="I99" s="140">
        <f t="shared" si="142"/>
        <v>2737</v>
      </c>
      <c r="J99" s="140">
        <f t="shared" si="142"/>
        <v>3097</v>
      </c>
      <c r="K99" s="140">
        <f t="shared" si="142"/>
        <v>3456</v>
      </c>
      <c r="L99" s="140">
        <f t="shared" si="142"/>
        <v>3816</v>
      </c>
      <c r="M99" s="140">
        <f t="shared" si="142"/>
        <v>4176</v>
      </c>
      <c r="N99" s="140">
        <f t="shared" si="142"/>
        <v>4536</v>
      </c>
      <c r="O99" s="140">
        <f t="shared" si="142"/>
        <v>4895</v>
      </c>
      <c r="P99" s="140">
        <f t="shared" si="142"/>
        <v>5255</v>
      </c>
      <c r="Q99" s="140">
        <f t="shared" si="142"/>
        <v>5615</v>
      </c>
      <c r="R99" s="140">
        <f t="shared" si="142"/>
        <v>5975</v>
      </c>
      <c r="S99" s="140">
        <f t="shared" si="142"/>
        <v>6334</v>
      </c>
      <c r="T99" s="140">
        <f t="shared" si="142"/>
        <v>6694</v>
      </c>
      <c r="U99" s="140">
        <f t="shared" si="142"/>
        <v>7054</v>
      </c>
      <c r="V99" s="140">
        <f t="shared" si="142"/>
        <v>7414</v>
      </c>
      <c r="W99" s="140">
        <f t="shared" si="142"/>
        <v>7773</v>
      </c>
      <c r="X99" s="140">
        <f t="shared" si="142"/>
        <v>8133</v>
      </c>
      <c r="Y99" s="140">
        <f t="shared" si="142"/>
        <v>8493</v>
      </c>
      <c r="Z99" s="140">
        <f t="shared" si="142"/>
        <v>8853</v>
      </c>
      <c r="AA99" s="140">
        <f t="shared" si="142"/>
        <v>9212</v>
      </c>
      <c r="AB99" s="140">
        <f t="shared" si="142"/>
        <v>9572</v>
      </c>
      <c r="AC99" s="140">
        <f t="shared" si="142"/>
        <v>9932</v>
      </c>
      <c r="AD99" s="140">
        <f t="shared" si="142"/>
        <v>10292</v>
      </c>
      <c r="AE99" s="140">
        <f t="shared" si="142"/>
        <v>10651</v>
      </c>
      <c r="AF99" s="140">
        <f t="shared" si="142"/>
        <v>11011</v>
      </c>
      <c r="AG99" s="140">
        <f t="shared" si="142"/>
        <v>11371</v>
      </c>
      <c r="AH99" s="140">
        <f t="shared" si="142"/>
        <v>11731</v>
      </c>
      <c r="AI99" s="140">
        <f t="shared" si="142"/>
        <v>12090</v>
      </c>
      <c r="AJ99" s="140">
        <f t="shared" si="142"/>
        <v>12450</v>
      </c>
      <c r="AK99" s="140">
        <f t="shared" si="142"/>
        <v>12810</v>
      </c>
      <c r="AL99" s="140">
        <f t="shared" si="142"/>
        <v>13170</v>
      </c>
      <c r="AM99" s="140">
        <f t="shared" si="142"/>
        <v>13529</v>
      </c>
      <c r="AN99" s="140">
        <f t="shared" si="142"/>
        <v>13889</v>
      </c>
      <c r="AO99" s="140">
        <f t="shared" si="142"/>
        <v>14249</v>
      </c>
      <c r="AP99" s="140">
        <f t="shared" si="142"/>
        <v>14609</v>
      </c>
      <c r="AQ99" s="140">
        <f t="shared" si="142"/>
        <v>14969</v>
      </c>
      <c r="AR99" s="140">
        <f t="shared" si="142"/>
        <v>15329</v>
      </c>
      <c r="AS99" s="140">
        <f t="shared" si="142"/>
        <v>15689</v>
      </c>
      <c r="AT99" s="140">
        <f t="shared" si="142"/>
        <v>16049</v>
      </c>
      <c r="AU99" s="140">
        <f t="shared" si="142"/>
        <v>16408</v>
      </c>
      <c r="AV99" s="140">
        <f t="shared" si="142"/>
        <v>16768</v>
      </c>
      <c r="AW99" s="140">
        <f t="shared" si="142"/>
        <v>17128</v>
      </c>
      <c r="AX99" s="140">
        <f t="shared" si="142"/>
        <v>17488</v>
      </c>
      <c r="AY99" s="140">
        <f t="shared" si="142"/>
        <v>17847</v>
      </c>
      <c r="AZ99" s="140">
        <f t="shared" si="142"/>
        <v>18207</v>
      </c>
      <c r="BA99" s="140">
        <f t="shared" si="142"/>
        <v>18567</v>
      </c>
      <c r="BB99" s="140">
        <f t="shared" si="142"/>
        <v>18927</v>
      </c>
      <c r="BC99" s="140">
        <f t="shared" si="142"/>
        <v>19286</v>
      </c>
      <c r="BD99" s="140">
        <f t="shared" si="142"/>
        <v>19646</v>
      </c>
      <c r="BE99" s="140">
        <f t="shared" si="142"/>
        <v>20006</v>
      </c>
      <c r="BF99" s="140">
        <f t="shared" si="142"/>
        <v>20366</v>
      </c>
      <c r="BG99" s="140">
        <f t="shared" si="142"/>
        <v>20725</v>
      </c>
      <c r="BH99" s="140">
        <f t="shared" si="142"/>
        <v>21085</v>
      </c>
      <c r="BI99" s="140">
        <f t="shared" si="142"/>
        <v>21445</v>
      </c>
      <c r="BJ99" s="140">
        <f t="shared" si="142"/>
        <v>21805</v>
      </c>
      <c r="BK99" s="140">
        <f t="shared" si="142"/>
        <v>22164</v>
      </c>
      <c r="BL99" s="140">
        <f t="shared" si="142"/>
        <v>22524</v>
      </c>
      <c r="BM99" s="140">
        <f t="shared" si="142"/>
        <v>22884</v>
      </c>
      <c r="BN99" s="140">
        <f t="shared" ref="BN99:CB99" si="143">DAYS360($B$3,BN36)</f>
        <v>23244</v>
      </c>
      <c r="BO99" s="140">
        <f t="shared" si="143"/>
        <v>23603</v>
      </c>
      <c r="BP99" s="140">
        <f t="shared" si="143"/>
        <v>23963</v>
      </c>
      <c r="BQ99" s="140">
        <f t="shared" si="143"/>
        <v>24323</v>
      </c>
      <c r="BR99" s="140">
        <f t="shared" si="143"/>
        <v>24683</v>
      </c>
      <c r="BS99" s="140">
        <f t="shared" si="143"/>
        <v>25042</v>
      </c>
      <c r="BT99" s="140">
        <f t="shared" si="143"/>
        <v>25402</v>
      </c>
      <c r="BU99" s="140">
        <f t="shared" si="143"/>
        <v>25762</v>
      </c>
      <c r="BV99" s="140">
        <f t="shared" si="143"/>
        <v>26122</v>
      </c>
      <c r="BW99" s="140">
        <f t="shared" si="143"/>
        <v>26481</v>
      </c>
      <c r="BX99" s="140">
        <f t="shared" si="143"/>
        <v>26841</v>
      </c>
      <c r="BY99" s="140">
        <f t="shared" si="143"/>
        <v>27201</v>
      </c>
      <c r="BZ99" s="140">
        <f t="shared" si="143"/>
        <v>27561</v>
      </c>
      <c r="CA99" s="140">
        <f t="shared" si="143"/>
        <v>27920</v>
      </c>
      <c r="CB99" s="140">
        <f t="shared" si="143"/>
        <v>28280</v>
      </c>
      <c r="CC99" s="17"/>
      <c r="CD99" s="17"/>
      <c r="CE99" s="17"/>
    </row>
    <row r="100" spans="1:83">
      <c r="A100" s="16" t="s">
        <v>41</v>
      </c>
      <c r="B100" s="140">
        <f>B99/360</f>
        <v>0.60833333333333328</v>
      </c>
      <c r="C100" s="140">
        <f t="shared" ref="C100:BN100" si="144">C99/360</f>
        <v>1.6055555555555556</v>
      </c>
      <c r="D100" s="140">
        <f t="shared" si="144"/>
        <v>2.6055555555555556</v>
      </c>
      <c r="E100" s="140">
        <f t="shared" si="144"/>
        <v>3.6055555555555556</v>
      </c>
      <c r="F100" s="140">
        <f t="shared" si="144"/>
        <v>4.6055555555555552</v>
      </c>
      <c r="G100" s="140">
        <f t="shared" si="144"/>
        <v>5.6027777777777779</v>
      </c>
      <c r="H100" s="140">
        <f t="shared" si="144"/>
        <v>6.6027777777777779</v>
      </c>
      <c r="I100" s="140">
        <f t="shared" si="144"/>
        <v>7.6027777777777779</v>
      </c>
      <c r="J100" s="140">
        <f t="shared" si="144"/>
        <v>8.6027777777777779</v>
      </c>
      <c r="K100" s="140">
        <f t="shared" si="144"/>
        <v>9.6</v>
      </c>
      <c r="L100" s="140">
        <f t="shared" si="144"/>
        <v>10.6</v>
      </c>
      <c r="M100" s="140">
        <f t="shared" si="144"/>
        <v>11.6</v>
      </c>
      <c r="N100" s="140">
        <f t="shared" si="144"/>
        <v>12.6</v>
      </c>
      <c r="O100" s="140">
        <f t="shared" si="144"/>
        <v>13.597222222222221</v>
      </c>
      <c r="P100" s="140">
        <f t="shared" si="144"/>
        <v>14.597222222222221</v>
      </c>
      <c r="Q100" s="140">
        <f t="shared" si="144"/>
        <v>15.597222222222221</v>
      </c>
      <c r="R100" s="140">
        <f t="shared" si="144"/>
        <v>16.597222222222221</v>
      </c>
      <c r="S100" s="140">
        <f t="shared" si="144"/>
        <v>17.594444444444445</v>
      </c>
      <c r="T100" s="140">
        <f t="shared" si="144"/>
        <v>18.594444444444445</v>
      </c>
      <c r="U100" s="140">
        <f t="shared" si="144"/>
        <v>19.594444444444445</v>
      </c>
      <c r="V100" s="140">
        <f t="shared" si="144"/>
        <v>20.594444444444445</v>
      </c>
      <c r="W100" s="140">
        <f t="shared" si="144"/>
        <v>21.591666666666665</v>
      </c>
      <c r="X100" s="140">
        <f t="shared" si="144"/>
        <v>22.591666666666665</v>
      </c>
      <c r="Y100" s="140">
        <f t="shared" si="144"/>
        <v>23.591666666666665</v>
      </c>
      <c r="Z100" s="140">
        <f t="shared" si="144"/>
        <v>24.591666666666665</v>
      </c>
      <c r="AA100" s="140">
        <f t="shared" si="144"/>
        <v>25.588888888888889</v>
      </c>
      <c r="AB100" s="140">
        <f t="shared" si="144"/>
        <v>26.588888888888889</v>
      </c>
      <c r="AC100" s="140">
        <f t="shared" si="144"/>
        <v>27.588888888888889</v>
      </c>
      <c r="AD100" s="140">
        <f t="shared" si="144"/>
        <v>28.588888888888889</v>
      </c>
      <c r="AE100" s="140">
        <f t="shared" si="144"/>
        <v>29.586111111111112</v>
      </c>
      <c r="AF100" s="140">
        <f t="shared" si="144"/>
        <v>30.586111111111112</v>
      </c>
      <c r="AG100" s="140">
        <f t="shared" si="144"/>
        <v>31.586111111111112</v>
      </c>
      <c r="AH100" s="140">
        <f t="shared" si="144"/>
        <v>32.586111111111109</v>
      </c>
      <c r="AI100" s="140">
        <f t="shared" si="144"/>
        <v>33.583333333333336</v>
      </c>
      <c r="AJ100" s="140">
        <f t="shared" si="144"/>
        <v>34.583333333333336</v>
      </c>
      <c r="AK100" s="140">
        <f t="shared" si="144"/>
        <v>35.583333333333336</v>
      </c>
      <c r="AL100" s="140">
        <f t="shared" si="144"/>
        <v>36.583333333333336</v>
      </c>
      <c r="AM100" s="140">
        <f t="shared" si="144"/>
        <v>37.580555555555556</v>
      </c>
      <c r="AN100" s="140">
        <f t="shared" si="144"/>
        <v>38.580555555555556</v>
      </c>
      <c r="AO100" s="140">
        <f t="shared" si="144"/>
        <v>39.580555555555556</v>
      </c>
      <c r="AP100" s="140">
        <f t="shared" si="144"/>
        <v>40.580555555555556</v>
      </c>
      <c r="AQ100" s="140">
        <f t="shared" si="144"/>
        <v>41.580555555555556</v>
      </c>
      <c r="AR100" s="140">
        <f t="shared" si="144"/>
        <v>42.580555555555556</v>
      </c>
      <c r="AS100" s="140">
        <f t="shared" si="144"/>
        <v>43.580555555555556</v>
      </c>
      <c r="AT100" s="140">
        <f t="shared" si="144"/>
        <v>44.580555555555556</v>
      </c>
      <c r="AU100" s="140">
        <f t="shared" si="144"/>
        <v>45.577777777777776</v>
      </c>
      <c r="AV100" s="140">
        <f t="shared" si="144"/>
        <v>46.577777777777776</v>
      </c>
      <c r="AW100" s="140">
        <f t="shared" si="144"/>
        <v>47.577777777777776</v>
      </c>
      <c r="AX100" s="140">
        <f t="shared" si="144"/>
        <v>48.577777777777776</v>
      </c>
      <c r="AY100" s="140">
        <f t="shared" si="144"/>
        <v>49.575000000000003</v>
      </c>
      <c r="AZ100" s="140">
        <f t="shared" si="144"/>
        <v>50.575000000000003</v>
      </c>
      <c r="BA100" s="140">
        <f t="shared" si="144"/>
        <v>51.575000000000003</v>
      </c>
      <c r="BB100" s="140">
        <f t="shared" si="144"/>
        <v>52.575000000000003</v>
      </c>
      <c r="BC100" s="140">
        <f t="shared" si="144"/>
        <v>53.572222222222223</v>
      </c>
      <c r="BD100" s="140">
        <f t="shared" si="144"/>
        <v>54.572222222222223</v>
      </c>
      <c r="BE100" s="140">
        <f t="shared" si="144"/>
        <v>55.572222222222223</v>
      </c>
      <c r="BF100" s="140">
        <f t="shared" si="144"/>
        <v>56.572222222222223</v>
      </c>
      <c r="BG100" s="140">
        <f t="shared" si="144"/>
        <v>57.569444444444443</v>
      </c>
      <c r="BH100" s="140">
        <f t="shared" si="144"/>
        <v>58.569444444444443</v>
      </c>
      <c r="BI100" s="140">
        <f t="shared" si="144"/>
        <v>59.569444444444443</v>
      </c>
      <c r="BJ100" s="140">
        <f t="shared" si="144"/>
        <v>60.569444444444443</v>
      </c>
      <c r="BK100" s="140">
        <f t="shared" si="144"/>
        <v>61.56666666666667</v>
      </c>
      <c r="BL100" s="140">
        <f t="shared" si="144"/>
        <v>62.56666666666667</v>
      </c>
      <c r="BM100" s="140">
        <f t="shared" si="144"/>
        <v>63.56666666666667</v>
      </c>
      <c r="BN100" s="140">
        <f t="shared" si="144"/>
        <v>64.566666666666663</v>
      </c>
      <c r="BO100" s="140">
        <f t="shared" ref="BO100:CB100" si="145">BO99/360</f>
        <v>65.563888888888883</v>
      </c>
      <c r="BP100" s="140">
        <f t="shared" si="145"/>
        <v>66.563888888888883</v>
      </c>
      <c r="BQ100" s="140">
        <f t="shared" si="145"/>
        <v>67.563888888888883</v>
      </c>
      <c r="BR100" s="140">
        <f t="shared" si="145"/>
        <v>68.563888888888883</v>
      </c>
      <c r="BS100" s="140">
        <f t="shared" si="145"/>
        <v>69.561111111111117</v>
      </c>
      <c r="BT100" s="140">
        <f t="shared" si="145"/>
        <v>70.561111111111117</v>
      </c>
      <c r="BU100" s="140">
        <f t="shared" si="145"/>
        <v>71.561111111111117</v>
      </c>
      <c r="BV100" s="140">
        <f t="shared" si="145"/>
        <v>72.561111111111117</v>
      </c>
      <c r="BW100" s="140">
        <f t="shared" si="145"/>
        <v>73.558333333333337</v>
      </c>
      <c r="BX100" s="140">
        <f t="shared" si="145"/>
        <v>74.558333333333337</v>
      </c>
      <c r="BY100" s="140">
        <f t="shared" si="145"/>
        <v>75.558333333333337</v>
      </c>
      <c r="BZ100" s="140">
        <f t="shared" si="145"/>
        <v>76.558333333333337</v>
      </c>
      <c r="CA100" s="140">
        <f t="shared" si="145"/>
        <v>77.555555555555557</v>
      </c>
      <c r="CB100" s="140">
        <f t="shared" si="145"/>
        <v>78.555555555555557</v>
      </c>
      <c r="CC100" s="17"/>
      <c r="CD100" s="17"/>
      <c r="CE100" s="17"/>
    </row>
    <row r="101" spans="1:83">
      <c r="A101" s="16" t="s">
        <v>43</v>
      </c>
      <c r="B101" s="140">
        <f>IF(B99&lt;0,0,$B$5+$B$6*((1-EXP(-B100/$B$9))/(B100/$B$9))+$B$7*((1-EXP(-B100/$B$9))/(B100/$B$9)-EXP(-B100/$B$9))+$B$8*((1-EXP(-B100/$B$10))/(B100/$B$10)-EXP(-B100/$B$10)))</f>
        <v>-1.3553162187559087E-2</v>
      </c>
      <c r="C101" s="140">
        <f t="shared" ref="C101:BN101" si="146">IF(C99&lt;0,0,$B$5+$B$6*((1-EXP(-C100/$B$9))/(C100/$B$9))+$B$7*((1-EXP(-C100/$B$9))/(C100/$B$9)-EXP(-C100/$B$9))+$B$8*((1-EXP(-C100/$B$10))/(C100/$B$10)-EXP(-C100/$B$10)))</f>
        <v>-1.2406685324487975E-2</v>
      </c>
      <c r="D101" s="140">
        <f t="shared" si="146"/>
        <v>-1.1319359629587055E-2</v>
      </c>
      <c r="E101" s="140">
        <f t="shared" si="146"/>
        <v>-1.0292412278546027E-2</v>
      </c>
      <c r="F101" s="140">
        <f t="shared" si="146"/>
        <v>-9.323845377608277E-3</v>
      </c>
      <c r="G101" s="140">
        <f t="shared" si="146"/>
        <v>-8.4141739416753267E-3</v>
      </c>
      <c r="H101" s="140">
        <f t="shared" si="146"/>
        <v>-7.5564463875654082E-3</v>
      </c>
      <c r="I101" s="140">
        <f t="shared" si="146"/>
        <v>-6.7514386928577037E-3</v>
      </c>
      <c r="J101" s="140">
        <f t="shared" si="146"/>
        <v>-5.9973668432029559E-3</v>
      </c>
      <c r="K101" s="140">
        <f t="shared" si="146"/>
        <v>-5.2943882947192704E-3</v>
      </c>
      <c r="L101" s="140">
        <f t="shared" si="146"/>
        <v>-4.6369054063274164E-3</v>
      </c>
      <c r="M101" s="140">
        <f t="shared" si="146"/>
        <v>-4.0253061017541149E-3</v>
      </c>
      <c r="N101" s="140">
        <f t="shared" si="146"/>
        <v>-3.4579988688051982E-3</v>
      </c>
      <c r="O101" s="140">
        <f t="shared" si="146"/>
        <v>-2.9348365653725367E-3</v>
      </c>
      <c r="P101" s="140">
        <f t="shared" si="146"/>
        <v>-2.4514054915253103E-3</v>
      </c>
      <c r="Q101" s="140">
        <f t="shared" si="146"/>
        <v>-2.007761648978014E-3</v>
      </c>
      <c r="R101" s="140">
        <f t="shared" si="146"/>
        <v>-1.6024867185531894E-3</v>
      </c>
      <c r="S101" s="140">
        <f t="shared" si="146"/>
        <v>-1.2351759331215434E-3</v>
      </c>
      <c r="T101" s="140">
        <f t="shared" si="146"/>
        <v>-9.0244771805949447E-4</v>
      </c>
      <c r="U101" s="140">
        <f t="shared" si="146"/>
        <v>-6.0407598479896712E-4</v>
      </c>
      <c r="V101" s="140">
        <f t="shared" si="146"/>
        <v>-3.3879816939495766E-4</v>
      </c>
      <c r="W101" s="140">
        <f t="shared" si="146"/>
        <v>-1.059934783272376E-4</v>
      </c>
      <c r="X101" s="140">
        <f t="shared" si="146"/>
        <v>9.682298541575235E-5</v>
      </c>
      <c r="Y101" s="140">
        <f t="shared" si="146"/>
        <v>2.7011522623685003E-4</v>
      </c>
      <c r="Z101" s="140">
        <f t="shared" si="146"/>
        <v>4.1500579748530997E-4</v>
      </c>
      <c r="AA101" s="140">
        <f t="shared" si="146"/>
        <v>5.3229474221966333E-4</v>
      </c>
      <c r="AB101" s="140">
        <f t="shared" si="146"/>
        <v>6.23691000613949E-4</v>
      </c>
      <c r="AC101" s="140">
        <f t="shared" si="146"/>
        <v>6.8985739573665383E-4</v>
      </c>
      <c r="AD101" s="140">
        <f t="shared" si="146"/>
        <v>7.3179068323261931E-4</v>
      </c>
      <c r="AE101" s="140">
        <f t="shared" si="146"/>
        <v>7.5043770205969473E-4</v>
      </c>
      <c r="AF101" s="140">
        <f t="shared" si="146"/>
        <v>7.4683891160876731E-4</v>
      </c>
      <c r="AG101" s="140">
        <f t="shared" si="146"/>
        <v>7.2182141054114024E-4</v>
      </c>
      <c r="AH101" s="140">
        <f t="shared" si="146"/>
        <v>6.7626898410903802E-4</v>
      </c>
      <c r="AI101" s="140">
        <f t="shared" si="146"/>
        <v>6.112466872234823E-4</v>
      </c>
      <c r="AJ101" s="140">
        <f t="shared" si="146"/>
        <v>5.2722206814075079E-4</v>
      </c>
      <c r="AK101" s="140">
        <f t="shared" si="146"/>
        <v>4.2515604032934695E-4</v>
      </c>
      <c r="AL101" s="140">
        <f t="shared" si="146"/>
        <v>3.0583099274747449E-4</v>
      </c>
      <c r="AM101" s="140">
        <f t="shared" si="146"/>
        <v>1.7040508481590277E-4</v>
      </c>
      <c r="AN101" s="140">
        <f t="shared" si="146"/>
        <v>1.8857825039651777E-5</v>
      </c>
      <c r="AO101" s="140">
        <f t="shared" si="146"/>
        <v>-1.477428621581775E-4</v>
      </c>
      <c r="AP101" s="140">
        <f t="shared" si="146"/>
        <v>-3.2870554337426083E-4</v>
      </c>
      <c r="AQ101" s="140">
        <f t="shared" si="146"/>
        <v>-5.2336002961212574E-4</v>
      </c>
      <c r="AR101" s="140">
        <f t="shared" si="146"/>
        <v>-7.3105680249903326E-4</v>
      </c>
      <c r="AS101" s="140">
        <f t="shared" si="146"/>
        <v>-9.5116645517739906E-4</v>
      </c>
      <c r="AT101" s="140">
        <f t="shared" si="146"/>
        <v>-1.1830791475045677E-3</v>
      </c>
      <c r="AU101" s="140">
        <f t="shared" si="146"/>
        <v>-1.4255137307898763E-3</v>
      </c>
      <c r="AV101" s="140">
        <f t="shared" si="146"/>
        <v>-1.6792498287028362E-3</v>
      </c>
      <c r="AW101" s="140">
        <f t="shared" si="146"/>
        <v>-1.9430731204757856E-3</v>
      </c>
      <c r="AX101" s="140">
        <f t="shared" si="146"/>
        <v>-2.2164468106932872E-3</v>
      </c>
      <c r="AY101" s="140">
        <f t="shared" si="146"/>
        <v>-2.4980546539171145E-3</v>
      </c>
      <c r="AZ101" s="140">
        <f t="shared" si="146"/>
        <v>-2.7889634690037163E-3</v>
      </c>
      <c r="BA101" s="140">
        <f t="shared" si="146"/>
        <v>-3.0879140534348509E-3</v>
      </c>
      <c r="BB101" s="140">
        <f t="shared" si="146"/>
        <v>-3.3944350053790595E-3</v>
      </c>
      <c r="BC101" s="140">
        <f t="shared" si="146"/>
        <v>-3.7071895248013964E-3</v>
      </c>
      <c r="BD101" s="140">
        <f t="shared" si="146"/>
        <v>-4.0274796631577514E-3</v>
      </c>
      <c r="BE101" s="140">
        <f t="shared" si="146"/>
        <v>-4.3540169828718139E-3</v>
      </c>
      <c r="BF101" s="140">
        <f t="shared" si="146"/>
        <v>-4.6863885816039175E-3</v>
      </c>
      <c r="BG101" s="140">
        <f t="shared" si="146"/>
        <v>-5.0232496752669886E-3</v>
      </c>
      <c r="BH101" s="140">
        <f t="shared" si="146"/>
        <v>-5.3660917990874385E-3</v>
      </c>
      <c r="BI101" s="140">
        <f t="shared" si="146"/>
        <v>-5.7136108425339394E-3</v>
      </c>
      <c r="BJ101" s="140">
        <f t="shared" si="146"/>
        <v>-6.0654461928372483E-3</v>
      </c>
      <c r="BK101" s="140">
        <f t="shared" si="146"/>
        <v>-6.4202558965767154E-3</v>
      </c>
      <c r="BL101" s="140">
        <f t="shared" si="146"/>
        <v>-6.7796807871973452E-3</v>
      </c>
      <c r="BM101" s="140">
        <f t="shared" si="146"/>
        <v>-7.1424127855627129E-3</v>
      </c>
      <c r="BN101" s="140">
        <f t="shared" si="146"/>
        <v>-7.5081379767570344E-3</v>
      </c>
      <c r="BO101" s="140">
        <f t="shared" ref="BO101:CB101" si="147">IF(BO99&lt;0,0,$B$5+$B$6*((1-EXP(-BO100/$B$9))/(BO100/$B$9))+$B$7*((1-EXP(-BO100/$B$9))/(BO100/$B$9)-EXP(-BO100/$B$9))+$B$8*((1-EXP(-BO100/$B$10))/(BO100/$B$10)-EXP(-BO100/$B$10)))</f>
        <v>-7.875526490925655E-3</v>
      </c>
      <c r="BP101" s="140">
        <f t="shared" si="147"/>
        <v>-8.2463332513187243E-3</v>
      </c>
      <c r="BQ101" s="140">
        <f t="shared" si="147"/>
        <v>-8.6192562607948359E-3</v>
      </c>
      <c r="BR101" s="140">
        <f t="shared" si="147"/>
        <v>-8.9940232690791655E-3</v>
      </c>
      <c r="BS101" s="140">
        <f t="shared" si="147"/>
        <v>-9.3693243553113204E-3</v>
      </c>
      <c r="BT101" s="140">
        <f t="shared" si="147"/>
        <v>-9.7469977732847907E-3</v>
      </c>
      <c r="BU101" s="140">
        <f t="shared" si="147"/>
        <v>-1.0125756188088919E-2</v>
      </c>
      <c r="BV101" s="140">
        <f t="shared" si="147"/>
        <v>-1.0505364485358853E-2</v>
      </c>
      <c r="BW101" s="140">
        <f t="shared" si="147"/>
        <v>-1.0884539327791307E-2</v>
      </c>
      <c r="BX101" s="140">
        <f t="shared" si="147"/>
        <v>-1.1265175514169071E-2</v>
      </c>
      <c r="BY101" s="140">
        <f t="shared" si="147"/>
        <v>-1.1646007646462286E-2</v>
      </c>
      <c r="BZ101" s="140">
        <f t="shared" si="147"/>
        <v>-1.2026833673080994E-2</v>
      </c>
      <c r="CA101" s="140">
        <f t="shared" si="147"/>
        <v>-1.240640238457251E-2</v>
      </c>
      <c r="CB101" s="140">
        <f t="shared" si="147"/>
        <v>-1.2786641884892563E-2</v>
      </c>
      <c r="CC101" s="17"/>
      <c r="CD101" s="17"/>
      <c r="CE101" s="17"/>
    </row>
    <row r="102" spans="1:83">
      <c r="A102" s="16" t="s">
        <v>44</v>
      </c>
      <c r="B102" s="140">
        <f>EXP(-B101*B100)</f>
        <v>1.0082789226301188</v>
      </c>
      <c r="C102" s="140">
        <f t="shared" ref="C102:AR102" si="148">EXP(-C101*C100)</f>
        <v>1.0201193421387289</v>
      </c>
      <c r="D102" s="140">
        <f t="shared" si="148"/>
        <v>1.0299324528854146</v>
      </c>
      <c r="E102" s="140">
        <f t="shared" si="148"/>
        <v>1.037807032488181</v>
      </c>
      <c r="F102" s="140">
        <f t="shared" si="148"/>
        <v>1.0438768136161465</v>
      </c>
      <c r="G102" s="140">
        <f t="shared" si="148"/>
        <v>1.0482716357993274</v>
      </c>
      <c r="H102" s="140">
        <f t="shared" si="148"/>
        <v>1.0511591801091258</v>
      </c>
      <c r="I102" s="140">
        <f t="shared" si="148"/>
        <v>1.0526698887755737</v>
      </c>
      <c r="J102" s="140">
        <f t="shared" si="148"/>
        <v>1.0529481737232356</v>
      </c>
      <c r="K102" s="140">
        <f t="shared" si="148"/>
        <v>1.0521399393127933</v>
      </c>
      <c r="L102" s="140">
        <f t="shared" si="148"/>
        <v>1.0503791532338429</v>
      </c>
      <c r="M102" s="140">
        <f t="shared" si="148"/>
        <v>1.0478008621180039</v>
      </c>
      <c r="N102" s="140">
        <f t="shared" si="148"/>
        <v>1.044533929809637</v>
      </c>
      <c r="O102" s="140">
        <f t="shared" si="148"/>
        <v>1.0407125522743517</v>
      </c>
      <c r="P102" s="140">
        <f t="shared" si="148"/>
        <v>1.036431653186902</v>
      </c>
      <c r="Q102" s="140">
        <f t="shared" si="148"/>
        <v>1.0318109936605229</v>
      </c>
      <c r="R102" s="140">
        <f t="shared" si="148"/>
        <v>1.0269536804993409</v>
      </c>
      <c r="S102" s="140">
        <f t="shared" si="148"/>
        <v>1.021970099326484</v>
      </c>
      <c r="T102" s="140">
        <f t="shared" si="148"/>
        <v>1.0169220976220181</v>
      </c>
      <c r="U102" s="140">
        <f t="shared" si="148"/>
        <v>1.0119068622947502</v>
      </c>
      <c r="V102" s="140">
        <f t="shared" si="148"/>
        <v>1.0070017585669817</v>
      </c>
      <c r="W102" s="140">
        <f t="shared" si="148"/>
        <v>1.0022911966415093</v>
      </c>
      <c r="X102" s="140">
        <f t="shared" si="148"/>
        <v>0.99781499798765794</v>
      </c>
      <c r="Y102" s="140">
        <f t="shared" si="148"/>
        <v>0.99364779273703074</v>
      </c>
      <c r="Z102" s="140">
        <f t="shared" si="148"/>
        <v>0.98984621704611431</v>
      </c>
      <c r="AA102" s="140">
        <f t="shared" si="148"/>
        <v>0.98647151276217726</v>
      </c>
      <c r="AB102" s="140">
        <f t="shared" si="148"/>
        <v>0.98355349444927354</v>
      </c>
      <c r="AC102" s="140">
        <f t="shared" si="148"/>
        <v>0.98114757348821302</v>
      </c>
      <c r="AD102" s="140">
        <f t="shared" si="148"/>
        <v>0.97929624509926916</v>
      </c>
      <c r="AE102" s="140">
        <f t="shared" si="148"/>
        <v>0.97804212895390685</v>
      </c>
      <c r="AF102" s="140">
        <f t="shared" si="148"/>
        <v>0.97741602579047093</v>
      </c>
      <c r="AG102" s="140">
        <f t="shared" si="148"/>
        <v>0.97745841397495725</v>
      </c>
      <c r="AH102" s="140">
        <f t="shared" si="148"/>
        <v>0.97820406405743765</v>
      </c>
      <c r="AI102" s="140">
        <f t="shared" si="148"/>
        <v>0.97968155769887566</v>
      </c>
      <c r="AJ102" s="140">
        <f t="shared" si="148"/>
        <v>0.98193212071672487</v>
      </c>
      <c r="AK102" s="140">
        <f t="shared" si="148"/>
        <v>0.98498539128603724</v>
      </c>
      <c r="AL102" s="140">
        <f t="shared" si="148"/>
        <v>0.98887403929775541</v>
      </c>
      <c r="AM102" s="140">
        <f t="shared" si="148"/>
        <v>0.99361654362348051</v>
      </c>
      <c r="AN102" s="140">
        <f t="shared" si="148"/>
        <v>0.99927271923035832</v>
      </c>
      <c r="AO102" s="140">
        <f t="shared" si="148"/>
        <v>1.005864875998969</v>
      </c>
      <c r="AP102" s="140">
        <f t="shared" si="148"/>
        <v>1.0134284156323865</v>
      </c>
      <c r="AQ102" s="140">
        <f t="shared" si="148"/>
        <v>1.0220001114034549</v>
      </c>
      <c r="AR102" s="140">
        <f t="shared" si="148"/>
        <v>1.0316183727203003</v>
      </c>
      <c r="AS102" s="140">
        <f>EXP(-AS101*AS100)</f>
        <v>1.0423235070269377</v>
      </c>
      <c r="AT102" s="140">
        <f t="shared" ref="AT102:CA102" si="149">EXP(-AT101*AT100)</f>
        <v>1.0541579806605088</v>
      </c>
      <c r="AU102" s="140">
        <f t="shared" si="149"/>
        <v>1.0671288754771935</v>
      </c>
      <c r="AV102" s="140">
        <f t="shared" si="149"/>
        <v>1.0813559093972338</v>
      </c>
      <c r="AW102" s="140">
        <f t="shared" si="149"/>
        <v>1.096855117631502</v>
      </c>
      <c r="AX102" s="140">
        <f t="shared" si="149"/>
        <v>1.1136802378018305</v>
      </c>
      <c r="AY102" s="140">
        <f t="shared" si="149"/>
        <v>1.1318359620921268</v>
      </c>
      <c r="AZ102" s="140">
        <f t="shared" si="149"/>
        <v>1.1514843249286399</v>
      </c>
      <c r="BA102" s="140">
        <f t="shared" si="149"/>
        <v>1.1726418177229849</v>
      </c>
      <c r="BB102" s="140">
        <f t="shared" si="149"/>
        <v>1.1953779606131165</v>
      </c>
      <c r="BC102" s="140">
        <f t="shared" si="149"/>
        <v>1.219696894861809</v>
      </c>
      <c r="BD102" s="140">
        <f t="shared" si="149"/>
        <v>1.2458132321299342</v>
      </c>
      <c r="BE102" s="140">
        <f t="shared" si="149"/>
        <v>1.2737462982034309</v>
      </c>
      <c r="BF102" s="140">
        <f t="shared" si="149"/>
        <v>1.3035866359222852</v>
      </c>
      <c r="BG102" s="140">
        <f t="shared" si="149"/>
        <v>1.3353396688845531</v>
      </c>
      <c r="BH102" s="140">
        <f t="shared" si="149"/>
        <v>1.369285424090485</v>
      </c>
      <c r="BI102" s="140">
        <f t="shared" si="149"/>
        <v>1.4054487174691022</v>
      </c>
      <c r="BJ102" s="140">
        <f t="shared" si="149"/>
        <v>1.4439475342776573</v>
      </c>
      <c r="BK102" s="140">
        <f t="shared" si="149"/>
        <v>1.4847906036948213</v>
      </c>
      <c r="BL102" s="140">
        <f t="shared" si="149"/>
        <v>1.5283397689731051</v>
      </c>
      <c r="BM102" s="140">
        <f t="shared" si="149"/>
        <v>1.5746285020411825</v>
      </c>
      <c r="BN102" s="140">
        <f t="shared" si="149"/>
        <v>1.6238103283530489</v>
      </c>
      <c r="BO102" s="140">
        <f t="shared" si="149"/>
        <v>1.6758996805464412</v>
      </c>
      <c r="BP102" s="140">
        <f t="shared" si="149"/>
        <v>1.7313613564177774</v>
      </c>
      <c r="BQ102" s="140">
        <f t="shared" si="149"/>
        <v>1.7902414021736761</v>
      </c>
      <c r="BR102" s="140">
        <f t="shared" si="149"/>
        <v>1.8527392359908206</v>
      </c>
      <c r="BS102" s="140">
        <f t="shared" si="149"/>
        <v>1.9188779468274688</v>
      </c>
      <c r="BT102" s="140">
        <f t="shared" si="149"/>
        <v>1.9892526051334394</v>
      </c>
      <c r="BU102" s="140">
        <f t="shared" si="149"/>
        <v>2.0639267624070534</v>
      </c>
      <c r="BV102" s="140">
        <f t="shared" si="149"/>
        <v>2.1431590233434128</v>
      </c>
      <c r="BW102" s="140">
        <f t="shared" si="149"/>
        <v>2.2269848203258262</v>
      </c>
      <c r="BX102" s="140">
        <f t="shared" si="149"/>
        <v>2.316164792350158</v>
      </c>
      <c r="BY102" s="140">
        <f t="shared" si="149"/>
        <v>2.410786222624008</v>
      </c>
      <c r="BZ102" s="140">
        <f t="shared" si="149"/>
        <v>2.511183965393025</v>
      </c>
      <c r="CA102" s="140">
        <f t="shared" si="149"/>
        <v>2.6174103930408679</v>
      </c>
      <c r="CB102" s="140">
        <f>EXP(-CB101*CB100)</f>
        <v>2.7304372383974331</v>
      </c>
      <c r="CC102" s="17"/>
      <c r="CD102" s="17"/>
      <c r="CE102" s="17"/>
    </row>
    <row r="103" spans="1:83">
      <c r="A103" s="17"/>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c r="BJ103" s="5"/>
      <c r="BK103" s="5"/>
      <c r="BL103" s="5"/>
      <c r="BM103" s="5"/>
      <c r="BN103" s="5"/>
      <c r="BO103" s="5"/>
      <c r="BP103" s="5"/>
      <c r="BQ103" s="5"/>
      <c r="BR103" s="5"/>
      <c r="BS103" s="5"/>
      <c r="BT103" s="5"/>
      <c r="BU103" s="5"/>
      <c r="BV103" s="5"/>
      <c r="BW103" s="5"/>
      <c r="BX103" s="5"/>
      <c r="BY103" s="5"/>
      <c r="BZ103" s="5"/>
      <c r="CA103" s="5"/>
      <c r="CB103" s="5"/>
      <c r="CC103" s="17"/>
      <c r="CD103" s="17"/>
      <c r="CE103" s="17"/>
    </row>
    <row r="104" spans="1:83">
      <c r="A104" s="16" t="s">
        <v>40</v>
      </c>
      <c r="B104" s="140">
        <f t="shared" ref="B104:BM104" si="150">DAYS360($B$3,B38)</f>
        <v>339</v>
      </c>
      <c r="C104" s="140">
        <f t="shared" si="150"/>
        <v>699</v>
      </c>
      <c r="D104" s="140">
        <f t="shared" si="150"/>
        <v>1059</v>
      </c>
      <c r="E104" s="140">
        <f t="shared" si="150"/>
        <v>1419</v>
      </c>
      <c r="F104" s="140">
        <f t="shared" si="150"/>
        <v>1778</v>
      </c>
      <c r="G104" s="140">
        <f t="shared" si="150"/>
        <v>2138</v>
      </c>
      <c r="H104" s="140">
        <f t="shared" si="150"/>
        <v>2498</v>
      </c>
      <c r="I104" s="140">
        <f t="shared" si="150"/>
        <v>2858</v>
      </c>
      <c r="J104" s="140">
        <f t="shared" si="150"/>
        <v>3217</v>
      </c>
      <c r="K104" s="140">
        <f t="shared" si="150"/>
        <v>3577</v>
      </c>
      <c r="L104" s="140">
        <f t="shared" si="150"/>
        <v>3937</v>
      </c>
      <c r="M104" s="140">
        <f t="shared" si="150"/>
        <v>4297</v>
      </c>
      <c r="N104" s="140">
        <f t="shared" si="150"/>
        <v>4656</v>
      </c>
      <c r="O104" s="140">
        <f t="shared" si="150"/>
        <v>5016</v>
      </c>
      <c r="P104" s="140">
        <f t="shared" si="150"/>
        <v>5376</v>
      </c>
      <c r="Q104" s="140">
        <f t="shared" si="150"/>
        <v>5736</v>
      </c>
      <c r="R104" s="140">
        <f t="shared" si="150"/>
        <v>6095</v>
      </c>
      <c r="S104" s="140">
        <f t="shared" si="150"/>
        <v>6455</v>
      </c>
      <c r="T104" s="140">
        <f t="shared" si="150"/>
        <v>6815</v>
      </c>
      <c r="U104" s="140">
        <f t="shared" si="150"/>
        <v>7175</v>
      </c>
      <c r="V104" s="140">
        <f t="shared" si="150"/>
        <v>7534</v>
      </c>
      <c r="W104" s="140">
        <f t="shared" si="150"/>
        <v>7894</v>
      </c>
      <c r="X104" s="140">
        <f t="shared" si="150"/>
        <v>8254</v>
      </c>
      <c r="Y104" s="140">
        <f t="shared" si="150"/>
        <v>8614</v>
      </c>
      <c r="Z104" s="140">
        <f t="shared" si="150"/>
        <v>8973</v>
      </c>
      <c r="AA104" s="140">
        <f t="shared" si="150"/>
        <v>9333</v>
      </c>
      <c r="AB104" s="140">
        <f t="shared" si="150"/>
        <v>9693</v>
      </c>
      <c r="AC104" s="140">
        <f t="shared" si="150"/>
        <v>10053</v>
      </c>
      <c r="AD104" s="140">
        <f t="shared" si="150"/>
        <v>10412</v>
      </c>
      <c r="AE104" s="140">
        <f t="shared" si="150"/>
        <v>10772</v>
      </c>
      <c r="AF104" s="140">
        <f t="shared" si="150"/>
        <v>11132</v>
      </c>
      <c r="AG104" s="140">
        <f t="shared" si="150"/>
        <v>11492</v>
      </c>
      <c r="AH104" s="140">
        <f t="shared" si="150"/>
        <v>11851</v>
      </c>
      <c r="AI104" s="140">
        <f t="shared" si="150"/>
        <v>12211</v>
      </c>
      <c r="AJ104" s="140">
        <f t="shared" si="150"/>
        <v>12571</v>
      </c>
      <c r="AK104" s="140">
        <f t="shared" si="150"/>
        <v>12931</v>
      </c>
      <c r="AL104" s="140">
        <f t="shared" si="150"/>
        <v>13290</v>
      </c>
      <c r="AM104" s="140">
        <f t="shared" si="150"/>
        <v>13650</v>
      </c>
      <c r="AN104" s="140">
        <f t="shared" si="150"/>
        <v>14010</v>
      </c>
      <c r="AO104" s="140">
        <f t="shared" si="150"/>
        <v>14370</v>
      </c>
      <c r="AP104" s="140">
        <f t="shared" si="150"/>
        <v>14729</v>
      </c>
      <c r="AQ104" s="140">
        <f t="shared" si="150"/>
        <v>15089</v>
      </c>
      <c r="AR104" s="140">
        <f t="shared" si="150"/>
        <v>15449</v>
      </c>
      <c r="AS104" s="140">
        <f t="shared" si="150"/>
        <v>15809</v>
      </c>
      <c r="AT104" s="140">
        <f t="shared" si="150"/>
        <v>16169</v>
      </c>
      <c r="AU104" s="140">
        <f t="shared" si="150"/>
        <v>16529</v>
      </c>
      <c r="AV104" s="140">
        <f t="shared" si="150"/>
        <v>16889</v>
      </c>
      <c r="AW104" s="140">
        <f t="shared" si="150"/>
        <v>17249</v>
      </c>
      <c r="AX104" s="140">
        <f t="shared" si="150"/>
        <v>17608</v>
      </c>
      <c r="AY104" s="140">
        <f t="shared" si="150"/>
        <v>17968</v>
      </c>
      <c r="AZ104" s="140">
        <f t="shared" si="150"/>
        <v>18328</v>
      </c>
      <c r="BA104" s="140">
        <f t="shared" si="150"/>
        <v>18688</v>
      </c>
      <c r="BB104" s="140">
        <f t="shared" si="150"/>
        <v>19047</v>
      </c>
      <c r="BC104" s="140">
        <f t="shared" si="150"/>
        <v>19407</v>
      </c>
      <c r="BD104" s="140">
        <f t="shared" si="150"/>
        <v>19767</v>
      </c>
      <c r="BE104" s="140">
        <f t="shared" si="150"/>
        <v>20127</v>
      </c>
      <c r="BF104" s="140">
        <f t="shared" si="150"/>
        <v>20486</v>
      </c>
      <c r="BG104" s="140">
        <f t="shared" si="150"/>
        <v>20846</v>
      </c>
      <c r="BH104" s="140">
        <f t="shared" si="150"/>
        <v>21206</v>
      </c>
      <c r="BI104" s="140">
        <f t="shared" si="150"/>
        <v>21566</v>
      </c>
      <c r="BJ104" s="140">
        <f t="shared" si="150"/>
        <v>21925</v>
      </c>
      <c r="BK104" s="140">
        <f t="shared" si="150"/>
        <v>22285</v>
      </c>
      <c r="BL104" s="140">
        <f t="shared" si="150"/>
        <v>22645</v>
      </c>
      <c r="BM104" s="140">
        <f t="shared" si="150"/>
        <v>23005</v>
      </c>
      <c r="BN104" s="140">
        <f t="shared" ref="BN104:CB104" si="151">DAYS360($B$3,BN38)</f>
        <v>23364</v>
      </c>
      <c r="BO104" s="140">
        <f t="shared" si="151"/>
        <v>23724</v>
      </c>
      <c r="BP104" s="140">
        <f t="shared" si="151"/>
        <v>24084</v>
      </c>
      <c r="BQ104" s="140">
        <f t="shared" si="151"/>
        <v>24444</v>
      </c>
      <c r="BR104" s="140">
        <f t="shared" si="151"/>
        <v>24803</v>
      </c>
      <c r="BS104" s="140">
        <f t="shared" si="151"/>
        <v>25163</v>
      </c>
      <c r="BT104" s="140">
        <f t="shared" si="151"/>
        <v>25523</v>
      </c>
      <c r="BU104" s="140">
        <f t="shared" si="151"/>
        <v>25883</v>
      </c>
      <c r="BV104" s="140">
        <f t="shared" si="151"/>
        <v>26242</v>
      </c>
      <c r="BW104" s="140">
        <f t="shared" si="151"/>
        <v>26602</v>
      </c>
      <c r="BX104" s="140">
        <f t="shared" si="151"/>
        <v>26962</v>
      </c>
      <c r="BY104" s="140">
        <f t="shared" si="151"/>
        <v>27322</v>
      </c>
      <c r="BZ104" s="140">
        <f t="shared" si="151"/>
        <v>27681</v>
      </c>
      <c r="CA104" s="140">
        <f t="shared" si="151"/>
        <v>28041</v>
      </c>
      <c r="CB104" s="140">
        <f t="shared" si="151"/>
        <v>28401</v>
      </c>
      <c r="CC104" s="17"/>
      <c r="CD104" s="17"/>
      <c r="CE104" s="17"/>
    </row>
    <row r="105" spans="1:83">
      <c r="A105" s="16" t="s">
        <v>41</v>
      </c>
      <c r="B105" s="140">
        <f>B104/360</f>
        <v>0.94166666666666665</v>
      </c>
      <c r="C105" s="140">
        <f t="shared" ref="C105:BN105" si="152">C104/360</f>
        <v>1.9416666666666667</v>
      </c>
      <c r="D105" s="140">
        <f t="shared" si="152"/>
        <v>2.9416666666666669</v>
      </c>
      <c r="E105" s="140">
        <f t="shared" si="152"/>
        <v>3.9416666666666669</v>
      </c>
      <c r="F105" s="140">
        <f t="shared" si="152"/>
        <v>4.9388888888888891</v>
      </c>
      <c r="G105" s="140">
        <f t="shared" si="152"/>
        <v>5.9388888888888891</v>
      </c>
      <c r="H105" s="140">
        <f t="shared" si="152"/>
        <v>6.9388888888888891</v>
      </c>
      <c r="I105" s="140">
        <f t="shared" si="152"/>
        <v>7.9388888888888891</v>
      </c>
      <c r="J105" s="140">
        <f t="shared" si="152"/>
        <v>8.9361111111111118</v>
      </c>
      <c r="K105" s="140">
        <f t="shared" si="152"/>
        <v>9.9361111111111118</v>
      </c>
      <c r="L105" s="140">
        <f t="shared" si="152"/>
        <v>10.936111111111112</v>
      </c>
      <c r="M105" s="140">
        <f t="shared" si="152"/>
        <v>11.936111111111112</v>
      </c>
      <c r="N105" s="140">
        <f t="shared" si="152"/>
        <v>12.933333333333334</v>
      </c>
      <c r="O105" s="140">
        <f t="shared" si="152"/>
        <v>13.933333333333334</v>
      </c>
      <c r="P105" s="140">
        <f t="shared" si="152"/>
        <v>14.933333333333334</v>
      </c>
      <c r="Q105" s="140">
        <f t="shared" si="152"/>
        <v>15.933333333333334</v>
      </c>
      <c r="R105" s="140">
        <f t="shared" si="152"/>
        <v>16.930555555555557</v>
      </c>
      <c r="S105" s="140">
        <f t="shared" si="152"/>
        <v>17.930555555555557</v>
      </c>
      <c r="T105" s="140">
        <f t="shared" si="152"/>
        <v>18.930555555555557</v>
      </c>
      <c r="U105" s="140">
        <f t="shared" si="152"/>
        <v>19.930555555555557</v>
      </c>
      <c r="V105" s="140">
        <f t="shared" si="152"/>
        <v>20.927777777777777</v>
      </c>
      <c r="W105" s="140">
        <f t="shared" si="152"/>
        <v>21.927777777777777</v>
      </c>
      <c r="X105" s="140">
        <f t="shared" si="152"/>
        <v>22.927777777777777</v>
      </c>
      <c r="Y105" s="140">
        <f t="shared" si="152"/>
        <v>23.927777777777777</v>
      </c>
      <c r="Z105" s="140">
        <f t="shared" si="152"/>
        <v>24.925000000000001</v>
      </c>
      <c r="AA105" s="140">
        <f t="shared" si="152"/>
        <v>25.925000000000001</v>
      </c>
      <c r="AB105" s="140">
        <f t="shared" si="152"/>
        <v>26.925000000000001</v>
      </c>
      <c r="AC105" s="140">
        <f t="shared" si="152"/>
        <v>27.925000000000001</v>
      </c>
      <c r="AD105" s="140">
        <f t="shared" si="152"/>
        <v>28.922222222222221</v>
      </c>
      <c r="AE105" s="140">
        <f t="shared" si="152"/>
        <v>29.922222222222221</v>
      </c>
      <c r="AF105" s="140">
        <f t="shared" si="152"/>
        <v>30.922222222222221</v>
      </c>
      <c r="AG105" s="140">
        <f t="shared" si="152"/>
        <v>31.922222222222221</v>
      </c>
      <c r="AH105" s="140">
        <f t="shared" si="152"/>
        <v>32.919444444444444</v>
      </c>
      <c r="AI105" s="140">
        <f t="shared" si="152"/>
        <v>33.919444444444444</v>
      </c>
      <c r="AJ105" s="140">
        <f t="shared" si="152"/>
        <v>34.919444444444444</v>
      </c>
      <c r="AK105" s="140">
        <f t="shared" si="152"/>
        <v>35.919444444444444</v>
      </c>
      <c r="AL105" s="140">
        <f t="shared" si="152"/>
        <v>36.916666666666664</v>
      </c>
      <c r="AM105" s="140">
        <f t="shared" si="152"/>
        <v>37.916666666666664</v>
      </c>
      <c r="AN105" s="140">
        <f t="shared" si="152"/>
        <v>38.916666666666664</v>
      </c>
      <c r="AO105" s="140">
        <f t="shared" si="152"/>
        <v>39.916666666666664</v>
      </c>
      <c r="AP105" s="140">
        <f t="shared" si="152"/>
        <v>40.913888888888891</v>
      </c>
      <c r="AQ105" s="140">
        <f t="shared" si="152"/>
        <v>41.913888888888891</v>
      </c>
      <c r="AR105" s="140">
        <f t="shared" si="152"/>
        <v>42.913888888888891</v>
      </c>
      <c r="AS105" s="140">
        <f t="shared" si="152"/>
        <v>43.913888888888891</v>
      </c>
      <c r="AT105" s="140">
        <f t="shared" si="152"/>
        <v>44.913888888888891</v>
      </c>
      <c r="AU105" s="140">
        <f t="shared" si="152"/>
        <v>45.913888888888891</v>
      </c>
      <c r="AV105" s="140">
        <f t="shared" si="152"/>
        <v>46.913888888888891</v>
      </c>
      <c r="AW105" s="140">
        <f t="shared" si="152"/>
        <v>47.913888888888891</v>
      </c>
      <c r="AX105" s="140">
        <f t="shared" si="152"/>
        <v>48.911111111111111</v>
      </c>
      <c r="AY105" s="140">
        <f t="shared" si="152"/>
        <v>49.911111111111111</v>
      </c>
      <c r="AZ105" s="140">
        <f t="shared" si="152"/>
        <v>50.911111111111111</v>
      </c>
      <c r="BA105" s="140">
        <f t="shared" si="152"/>
        <v>51.911111111111111</v>
      </c>
      <c r="BB105" s="140">
        <f t="shared" si="152"/>
        <v>52.908333333333331</v>
      </c>
      <c r="BC105" s="140">
        <f t="shared" si="152"/>
        <v>53.908333333333331</v>
      </c>
      <c r="BD105" s="140">
        <f t="shared" si="152"/>
        <v>54.908333333333331</v>
      </c>
      <c r="BE105" s="140">
        <f t="shared" si="152"/>
        <v>55.908333333333331</v>
      </c>
      <c r="BF105" s="140">
        <f t="shared" si="152"/>
        <v>56.905555555555559</v>
      </c>
      <c r="BG105" s="140">
        <f t="shared" si="152"/>
        <v>57.905555555555559</v>
      </c>
      <c r="BH105" s="140">
        <f t="shared" si="152"/>
        <v>58.905555555555559</v>
      </c>
      <c r="BI105" s="140">
        <f t="shared" si="152"/>
        <v>59.905555555555559</v>
      </c>
      <c r="BJ105" s="140">
        <f t="shared" si="152"/>
        <v>60.902777777777779</v>
      </c>
      <c r="BK105" s="140">
        <f t="shared" si="152"/>
        <v>61.902777777777779</v>
      </c>
      <c r="BL105" s="140">
        <f t="shared" si="152"/>
        <v>62.902777777777779</v>
      </c>
      <c r="BM105" s="140">
        <f t="shared" si="152"/>
        <v>63.902777777777779</v>
      </c>
      <c r="BN105" s="140">
        <f t="shared" si="152"/>
        <v>64.900000000000006</v>
      </c>
      <c r="BO105" s="140">
        <f t="shared" ref="BO105:CB105" si="153">BO104/360</f>
        <v>65.900000000000006</v>
      </c>
      <c r="BP105" s="140">
        <f t="shared" si="153"/>
        <v>66.900000000000006</v>
      </c>
      <c r="BQ105" s="140">
        <f t="shared" si="153"/>
        <v>67.900000000000006</v>
      </c>
      <c r="BR105" s="140">
        <f t="shared" si="153"/>
        <v>68.897222222222226</v>
      </c>
      <c r="BS105" s="140">
        <f t="shared" si="153"/>
        <v>69.897222222222226</v>
      </c>
      <c r="BT105" s="140">
        <f t="shared" si="153"/>
        <v>70.897222222222226</v>
      </c>
      <c r="BU105" s="140">
        <f t="shared" si="153"/>
        <v>71.897222222222226</v>
      </c>
      <c r="BV105" s="140">
        <f t="shared" si="153"/>
        <v>72.894444444444446</v>
      </c>
      <c r="BW105" s="140">
        <f t="shared" si="153"/>
        <v>73.894444444444446</v>
      </c>
      <c r="BX105" s="140">
        <f t="shared" si="153"/>
        <v>74.894444444444446</v>
      </c>
      <c r="BY105" s="140">
        <f t="shared" si="153"/>
        <v>75.894444444444446</v>
      </c>
      <c r="BZ105" s="140">
        <f t="shared" si="153"/>
        <v>76.891666666666666</v>
      </c>
      <c r="CA105" s="140">
        <f t="shared" si="153"/>
        <v>77.891666666666666</v>
      </c>
      <c r="CB105" s="140">
        <f t="shared" si="153"/>
        <v>78.891666666666666</v>
      </c>
      <c r="CC105" s="17"/>
      <c r="CD105" s="17"/>
      <c r="CE105" s="17"/>
    </row>
    <row r="106" spans="1:83">
      <c r="A106" s="16" t="s">
        <v>43</v>
      </c>
      <c r="B106" s="140">
        <f>IF(B104&lt;0,0,$B$5+$B$6*((1-EXP(-B105/$B$9))/(B105/$B$9))+$B$7*((1-EXP(-B105/$B$9))/(B105/$B$9)-EXP(-B105/$B$9))+$B$8*((1-EXP(-B105/$B$10))/(B105/$B$10)-EXP(-B105/$B$10)))</f>
        <v>-1.3162902313920716E-2</v>
      </c>
      <c r="C106" s="140">
        <f t="shared" ref="C106:BN106" si="154">IF(C104&lt;0,0,$B$5+$B$6*((1-EXP(-C105/$B$9))/(C105/$B$9))+$B$7*((1-EXP(-C105/$B$9))/(C105/$B$9)-EXP(-C105/$B$9))+$B$8*((1-EXP(-C105/$B$10))/(C105/$B$10)-EXP(-C105/$B$10)))</f>
        <v>-1.2034360685103798E-2</v>
      </c>
      <c r="D106" s="140">
        <f t="shared" si="154"/>
        <v>-1.0967555231039757E-2</v>
      </c>
      <c r="E106" s="140">
        <f t="shared" si="154"/>
        <v>-9.960450308747466E-3</v>
      </c>
      <c r="F106" s="140">
        <f t="shared" si="154"/>
        <v>-9.0136259032560263E-3</v>
      </c>
      <c r="G106" s="140">
        <f t="shared" si="154"/>
        <v>-8.1198877153111776E-3</v>
      </c>
      <c r="H106" s="140">
        <f t="shared" si="154"/>
        <v>-7.2800820882422783E-3</v>
      </c>
      <c r="I106" s="140">
        <f t="shared" si="154"/>
        <v>-6.4923910241115809E-3</v>
      </c>
      <c r="J106" s="140">
        <f t="shared" si="154"/>
        <v>-5.7570275268270035E-3</v>
      </c>
      <c r="K106" s="140">
        <f t="shared" si="154"/>
        <v>-5.0681813728694763E-3</v>
      </c>
      <c r="L106" s="140">
        <f t="shared" si="154"/>
        <v>-4.4263008701076294E-3</v>
      </c>
      <c r="M106" s="140">
        <f t="shared" si="154"/>
        <v>-3.8297639244519351E-3</v>
      </c>
      <c r="N106" s="140">
        <f t="shared" si="154"/>
        <v>-3.2784705775528999E-3</v>
      </c>
      <c r="O106" s="140">
        <f t="shared" si="154"/>
        <v>-2.767821471104652E-3</v>
      </c>
      <c r="P106" s="140">
        <f t="shared" si="154"/>
        <v>-2.2979241227342323E-3</v>
      </c>
      <c r="Q106" s="140">
        <f t="shared" si="154"/>
        <v>-1.8673327037234191E-3</v>
      </c>
      <c r="R106" s="140">
        <f t="shared" si="154"/>
        <v>-1.4756822169561118E-3</v>
      </c>
      <c r="S106" s="140">
        <f t="shared" si="154"/>
        <v>-1.1194294639958469E-3</v>
      </c>
      <c r="T106" s="140">
        <f t="shared" si="154"/>
        <v>-7.9839200402399835E-4</v>
      </c>
      <c r="U106" s="140">
        <f t="shared" si="154"/>
        <v>-5.1128253792226408E-4</v>
      </c>
      <c r="V106" s="140">
        <f t="shared" si="154"/>
        <v>-2.5751348126223927E-4</v>
      </c>
      <c r="W106" s="140">
        <f t="shared" si="154"/>
        <v>-3.4459747410509056E-5</v>
      </c>
      <c r="X106" s="140">
        <f t="shared" si="154"/>
        <v>1.5830599062504475E-4</v>
      </c>
      <c r="Y106" s="140">
        <f t="shared" si="154"/>
        <v>3.2192851660198946E-4</v>
      </c>
      <c r="Z106" s="140">
        <f t="shared" si="154"/>
        <v>4.5718046048881522E-4</v>
      </c>
      <c r="AA106" s="140">
        <f t="shared" si="154"/>
        <v>5.6589185712000584E-4</v>
      </c>
      <c r="AB106" s="140">
        <f t="shared" si="154"/>
        <v>6.4869501690906911E-4</v>
      </c>
      <c r="AC106" s="140">
        <f t="shared" si="154"/>
        <v>7.0660666503443575E-4</v>
      </c>
      <c r="AD106" s="140">
        <f t="shared" si="154"/>
        <v>7.4055133772257808E-4</v>
      </c>
      <c r="AE106" s="140">
        <f t="shared" si="154"/>
        <v>7.516735974707825E-4</v>
      </c>
      <c r="AF106" s="140">
        <f t="shared" si="154"/>
        <v>7.4077547265428978E-4</v>
      </c>
      <c r="AG106" s="140">
        <f t="shared" si="154"/>
        <v>7.0875867779147256E-4</v>
      </c>
      <c r="AH106" s="140">
        <f t="shared" si="154"/>
        <v>6.5667046124639333E-4</v>
      </c>
      <c r="AI106" s="140">
        <f t="shared" si="154"/>
        <v>5.8506737332376241E-4</v>
      </c>
      <c r="AJ106" s="140">
        <f t="shared" si="154"/>
        <v>4.9489005220830495E-4</v>
      </c>
      <c r="AK106" s="140">
        <f t="shared" si="154"/>
        <v>3.8693697537681149E-4</v>
      </c>
      <c r="AL106" s="140">
        <f t="shared" si="154"/>
        <v>2.6235244212727271E-4</v>
      </c>
      <c r="AM106" s="140">
        <f t="shared" si="154"/>
        <v>1.2119156026794975E-4</v>
      </c>
      <c r="AN106" s="140">
        <f t="shared" si="154"/>
        <v>-3.5493805803976652E-5</v>
      </c>
      <c r="AO106" s="140">
        <f t="shared" si="154"/>
        <v>-2.0699779448316719E-4</v>
      </c>
      <c r="AP106" s="140">
        <f t="shared" si="154"/>
        <v>-3.9210155532340418E-4</v>
      </c>
      <c r="AQ106" s="140">
        <f t="shared" si="154"/>
        <v>-5.911746346256852E-4</v>
      </c>
      <c r="AR106" s="140">
        <f t="shared" si="154"/>
        <v>-8.0307799087331322E-4</v>
      </c>
      <c r="AS106" s="140">
        <f t="shared" si="154"/>
        <v>-1.0271887992835405E-3</v>
      </c>
      <c r="AT106" s="140">
        <f t="shared" si="154"/>
        <v>-1.2629036233072488E-3</v>
      </c>
      <c r="AU106" s="140">
        <f t="shared" si="154"/>
        <v>-1.5096378883525524E-3</v>
      </c>
      <c r="AV106" s="140">
        <f t="shared" si="154"/>
        <v>-1.7668253690012181E-3</v>
      </c>
      <c r="AW106" s="140">
        <f t="shared" si="154"/>
        <v>-2.0339176893770378E-3</v>
      </c>
      <c r="AX106" s="140">
        <f t="shared" si="154"/>
        <v>-2.3096033696812512E-3</v>
      </c>
      <c r="AY106" s="140">
        <f t="shared" si="154"/>
        <v>-2.5949053050736415E-3</v>
      </c>
      <c r="AZ106" s="140">
        <f t="shared" si="154"/>
        <v>-2.8885706041393566E-3</v>
      </c>
      <c r="BA106" s="140">
        <f t="shared" si="154"/>
        <v>-3.1901175008497984E-3</v>
      </c>
      <c r="BB106" s="140">
        <f t="shared" si="154"/>
        <v>-3.4982116882219805E-3</v>
      </c>
      <c r="BC106" s="140">
        <f t="shared" si="154"/>
        <v>-3.8141194755358793E-3</v>
      </c>
      <c r="BD106" s="140">
        <f t="shared" si="154"/>
        <v>-4.1365562884180251E-3</v>
      </c>
      <c r="BE106" s="140">
        <f t="shared" si="154"/>
        <v>-4.4650999561026555E-3</v>
      </c>
      <c r="BF106" s="140">
        <f t="shared" si="154"/>
        <v>-4.7984062268640604E-3</v>
      </c>
      <c r="BG106" s="140">
        <f t="shared" si="154"/>
        <v>-5.1379380901199478E-3</v>
      </c>
      <c r="BH106" s="140">
        <f t="shared" si="154"/>
        <v>-5.482393180508402E-3</v>
      </c>
      <c r="BI106" s="140">
        <f t="shared" si="154"/>
        <v>-5.8314026037182415E-3</v>
      </c>
      <c r="BJ106" s="140">
        <f t="shared" si="154"/>
        <v>-6.183623255626991E-3</v>
      </c>
      <c r="BK106" s="140">
        <f t="shared" si="154"/>
        <v>-6.5406737384896413E-3</v>
      </c>
      <c r="BL106" s="140">
        <f t="shared" si="154"/>
        <v>-6.9012458941424271E-3</v>
      </c>
      <c r="BM106" s="140">
        <f t="shared" si="154"/>
        <v>-7.2650184146310637E-3</v>
      </c>
      <c r="BN106" s="140">
        <f t="shared" si="154"/>
        <v>-7.6306588431556549E-3</v>
      </c>
      <c r="BO106" s="140">
        <f t="shared" ref="BO106:CB106" si="155">IF(BO104&lt;0,0,$B$5+$B$6*((1-EXP(-BO105/$B$9))/(BO105/$B$9))+$B$7*((1-EXP(-BO105/$B$9))/(BO105/$B$9)-EXP(-BO105/$B$9))+$B$8*((1-EXP(-BO105/$B$10))/(BO105/$B$10)-EXP(-BO105/$B$10)))</f>
        <v>-7.9999053978119794E-3</v>
      </c>
      <c r="BP106" s="140">
        <f t="shared" si="155"/>
        <v>-8.3714544396720492E-3</v>
      </c>
      <c r="BQ106" s="140">
        <f t="shared" si="155"/>
        <v>-8.7450271250528594E-3</v>
      </c>
      <c r="BR106" s="140">
        <f t="shared" si="155"/>
        <v>-9.1193097290471342E-3</v>
      </c>
      <c r="BS106" s="140">
        <f t="shared" si="155"/>
        <v>-9.4961286216539431E-3</v>
      </c>
      <c r="BT106" s="140">
        <f t="shared" si="155"/>
        <v>-9.8741934957385091E-3</v>
      </c>
      <c r="BU106" s="140">
        <f t="shared" si="155"/>
        <v>-1.0253263362886844E-2</v>
      </c>
      <c r="BV106" s="140">
        <f t="shared" si="155"/>
        <v>-1.0632050058931308E-2</v>
      </c>
      <c r="BW106" s="140">
        <f t="shared" si="155"/>
        <v>-1.1012440691093514E-2</v>
      </c>
      <c r="BX106" s="140">
        <f t="shared" si="155"/>
        <v>-1.1393165764844004E-2</v>
      </c>
      <c r="BY106" s="140">
        <f t="shared" si="155"/>
        <v>-1.1774018001416975E-2</v>
      </c>
      <c r="BZ106" s="140">
        <f t="shared" si="155"/>
        <v>-1.2153740513650965E-2</v>
      </c>
      <c r="CA106" s="140">
        <f t="shared" si="155"/>
        <v>-1.2534257345039837E-2</v>
      </c>
      <c r="CB106" s="140">
        <f t="shared" si="155"/>
        <v>-1.2914326113380267E-2</v>
      </c>
      <c r="CC106" s="17"/>
      <c r="CD106" s="17"/>
      <c r="CE106" s="17"/>
    </row>
    <row r="107" spans="1:83">
      <c r="A107" s="16" t="s">
        <v>44</v>
      </c>
      <c r="B107" s="140">
        <f>EXP(-B106*B105)</f>
        <v>1.0124722035579483</v>
      </c>
      <c r="C107" s="140">
        <f t="shared" ref="C107:AR107" si="156">EXP(-C106*C105)</f>
        <v>1.0236418575931858</v>
      </c>
      <c r="D107" s="140">
        <f t="shared" si="156"/>
        <v>1.0327889812061348</v>
      </c>
      <c r="E107" s="140">
        <f t="shared" si="156"/>
        <v>1.0400416651208308</v>
      </c>
      <c r="F107" s="140">
        <f t="shared" si="156"/>
        <v>1.0455230607805368</v>
      </c>
      <c r="G107" s="140">
        <f t="shared" si="156"/>
        <v>1.0494047628816752</v>
      </c>
      <c r="H107" s="140">
        <f t="shared" si="156"/>
        <v>1.0518133564083303</v>
      </c>
      <c r="I107" s="140">
        <f t="shared" si="156"/>
        <v>1.0528937974718282</v>
      </c>
      <c r="J107" s="140">
        <f t="shared" si="156"/>
        <v>1.0527917419329198</v>
      </c>
      <c r="K107" s="140">
        <f t="shared" si="156"/>
        <v>1.0516475327406536</v>
      </c>
      <c r="L107" s="140">
        <f t="shared" si="156"/>
        <v>1.049597248917006</v>
      </c>
      <c r="M107" s="140">
        <f t="shared" si="156"/>
        <v>1.04677340749101</v>
      </c>
      <c r="N107" s="140">
        <f t="shared" si="156"/>
        <v>1.0433133400437919</v>
      </c>
      <c r="O107" s="140">
        <f t="shared" si="156"/>
        <v>1.039318260195617</v>
      </c>
      <c r="P107" s="140">
        <f t="shared" si="156"/>
        <v>1.0349112423945137</v>
      </c>
      <c r="Q107" s="140">
        <f t="shared" si="156"/>
        <v>1.0301998725264718</v>
      </c>
      <c r="R107" s="140">
        <f t="shared" si="156"/>
        <v>1.0252988383999544</v>
      </c>
      <c r="S107" s="140">
        <f t="shared" si="156"/>
        <v>1.0202747892041155</v>
      </c>
      <c r="T107" s="140">
        <f t="shared" si="156"/>
        <v>1.0152287983525956</v>
      </c>
      <c r="U107" s="140">
        <f t="shared" si="156"/>
        <v>1.0102422413605068</v>
      </c>
      <c r="V107" s="140">
        <f t="shared" si="156"/>
        <v>1.0054037326894545</v>
      </c>
      <c r="W107" s="140">
        <f t="shared" si="156"/>
        <v>1.0007559112405029</v>
      </c>
      <c r="X107" s="140">
        <f t="shared" si="156"/>
        <v>0.99637697447854623</v>
      </c>
      <c r="Y107" s="140">
        <f t="shared" si="156"/>
        <v>0.9923265583285279</v>
      </c>
      <c r="Z107" s="140">
        <f t="shared" si="156"/>
        <v>0.98866945666290917</v>
      </c>
      <c r="AA107" s="140">
        <f t="shared" si="156"/>
        <v>0.98543634466251862</v>
      </c>
      <c r="AB107" s="140">
        <f t="shared" si="156"/>
        <v>0.98268553504103529</v>
      </c>
      <c r="AC107" s="140">
        <f t="shared" si="156"/>
        <v>0.98046141046067303</v>
      </c>
      <c r="AD107" s="140">
        <f t="shared" si="156"/>
        <v>0.97880935449213546</v>
      </c>
      <c r="AE107" s="140">
        <f t="shared" si="156"/>
        <v>0.977759309128163</v>
      </c>
      <c r="AF107" s="140">
        <f t="shared" si="156"/>
        <v>0.97735393657915559</v>
      </c>
      <c r="AG107" s="140">
        <f t="shared" si="156"/>
        <v>0.97762887731338388</v>
      </c>
      <c r="AH107" s="140">
        <f t="shared" si="156"/>
        <v>0.97861475090107819</v>
      </c>
      <c r="AI107" s="140">
        <f t="shared" si="156"/>
        <v>0.98035045875978555</v>
      </c>
      <c r="AJ107" s="140">
        <f t="shared" si="156"/>
        <v>0.9828671792812359</v>
      </c>
      <c r="AK107" s="140">
        <f t="shared" si="156"/>
        <v>0.98619757789731533</v>
      </c>
      <c r="AL107" s="140">
        <f t="shared" si="156"/>
        <v>0.99036157262790692</v>
      </c>
      <c r="AM107" s="140">
        <f t="shared" si="156"/>
        <v>0.99541536169292977</v>
      </c>
      <c r="AN107" s="140">
        <f t="shared" si="156"/>
        <v>1.0013822550442946</v>
      </c>
      <c r="AO107" s="140">
        <f t="shared" si="156"/>
        <v>1.0082968919665098</v>
      </c>
      <c r="AP107" s="140">
        <f t="shared" si="156"/>
        <v>1.0161717696348</v>
      </c>
      <c r="AQ107" s="140">
        <f t="shared" si="156"/>
        <v>1.0250879645175397</v>
      </c>
      <c r="AR107" s="140">
        <f t="shared" si="156"/>
        <v>1.0350639369802088</v>
      </c>
      <c r="AS107" s="140">
        <f>EXP(-AS106*AS105)</f>
        <v>1.0461406851182351</v>
      </c>
      <c r="AT107" s="140">
        <f t="shared" ref="AT107:CA107" si="157">EXP(-AT106*AT105)</f>
        <v>1.0583614529229959</v>
      </c>
      <c r="AU107" s="140">
        <f t="shared" si="157"/>
        <v>1.0717719922916287</v>
      </c>
      <c r="AV107" s="140">
        <f t="shared" si="157"/>
        <v>1.0864208278185938</v>
      </c>
      <c r="AW107" s="140">
        <f t="shared" si="157"/>
        <v>1.1023595260175394</v>
      </c>
      <c r="AX107" s="140">
        <f t="shared" si="157"/>
        <v>1.1195930454895129</v>
      </c>
      <c r="AY107" s="140">
        <f t="shared" si="157"/>
        <v>1.1382757381400013</v>
      </c>
      <c r="AZ107" s="140">
        <f t="shared" si="157"/>
        <v>1.1584238590347384</v>
      </c>
      <c r="BA107" s="140">
        <f t="shared" si="157"/>
        <v>1.1801039691485811</v>
      </c>
      <c r="BB107" s="140">
        <f t="shared" si="157"/>
        <v>1.2033201766331041</v>
      </c>
      <c r="BC107" s="140">
        <f t="shared" si="157"/>
        <v>1.2282775524053207</v>
      </c>
      <c r="BD107" s="140">
        <f t="shared" si="157"/>
        <v>1.2549947778966362</v>
      </c>
      <c r="BE107" s="140">
        <f t="shared" si="157"/>
        <v>1.2835584973375789</v>
      </c>
      <c r="BF107" s="140">
        <f t="shared" si="157"/>
        <v>1.3139737886663243</v>
      </c>
      <c r="BG107" s="140">
        <f t="shared" si="157"/>
        <v>1.3465087876228581</v>
      </c>
      <c r="BH107" s="140">
        <f t="shared" si="157"/>
        <v>1.3811871956974251</v>
      </c>
      <c r="BI107" s="140">
        <f t="shared" si="157"/>
        <v>1.4181219313111251</v>
      </c>
      <c r="BJ107" s="140">
        <f t="shared" si="157"/>
        <v>1.4573210208901108</v>
      </c>
      <c r="BK107" s="140">
        <f t="shared" si="157"/>
        <v>1.499131398850208</v>
      </c>
      <c r="BL107" s="140">
        <f t="shared" si="157"/>
        <v>1.5435848514736905</v>
      </c>
      <c r="BM107" s="140">
        <f t="shared" si="157"/>
        <v>1.5908283530018983</v>
      </c>
      <c r="BN107" s="140">
        <f t="shared" si="157"/>
        <v>1.6408752014656072</v>
      </c>
      <c r="BO107" s="140">
        <f t="shared" si="157"/>
        <v>1.6941713897787556</v>
      </c>
      <c r="BP107" s="140">
        <f t="shared" si="157"/>
        <v>1.7507605648637197</v>
      </c>
      <c r="BQ107" s="140">
        <f t="shared" si="157"/>
        <v>1.8108336906302538</v>
      </c>
      <c r="BR107" s="140">
        <f t="shared" si="157"/>
        <v>1.8744121849591544</v>
      </c>
      <c r="BS107" s="140">
        <f t="shared" si="157"/>
        <v>1.9420672771904917</v>
      </c>
      <c r="BT107" s="140">
        <f t="shared" si="157"/>
        <v>2.0138592187403819</v>
      </c>
      <c r="BU107" s="140">
        <f t="shared" si="157"/>
        <v>2.0900357153281064</v>
      </c>
      <c r="BV107" s="140">
        <f t="shared" si="157"/>
        <v>2.1706298575062908</v>
      </c>
      <c r="BW107" s="140">
        <f t="shared" si="157"/>
        <v>2.2563719394984849</v>
      </c>
      <c r="BX107" s="140">
        <f t="shared" si="157"/>
        <v>2.3473448079640176</v>
      </c>
      <c r="BY107" s="140">
        <f t="shared" si="157"/>
        <v>2.4438692831914297</v>
      </c>
      <c r="BZ107" s="140">
        <f t="shared" si="157"/>
        <v>2.545994562242706</v>
      </c>
      <c r="CA107" s="140">
        <f t="shared" si="157"/>
        <v>2.6546536521958219</v>
      </c>
      <c r="CB107" s="140">
        <f>EXP(-CB106*CB105)</f>
        <v>2.7699595327068312</v>
      </c>
      <c r="CC107" s="17"/>
      <c r="CD107" s="17"/>
      <c r="CE107" s="17"/>
    </row>
    <row r="108" spans="1:83">
      <c r="A108" s="17"/>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17"/>
      <c r="CD108" s="17"/>
      <c r="CE108" s="17"/>
    </row>
    <row r="109" spans="1:83">
      <c r="A109" s="16" t="s">
        <v>40</v>
      </c>
      <c r="B109" s="140">
        <f t="shared" ref="B109:BM109" si="158">DAYS360($B$3,B40)</f>
        <v>22</v>
      </c>
      <c r="C109" s="140">
        <f t="shared" si="158"/>
        <v>381</v>
      </c>
      <c r="D109" s="140">
        <f t="shared" si="158"/>
        <v>741</v>
      </c>
      <c r="E109" s="140">
        <f t="shared" si="158"/>
        <v>1101</v>
      </c>
      <c r="F109" s="140">
        <f t="shared" si="158"/>
        <v>1461</v>
      </c>
      <c r="G109" s="140">
        <f t="shared" si="158"/>
        <v>1820</v>
      </c>
      <c r="H109" s="140">
        <f t="shared" si="158"/>
        <v>2180</v>
      </c>
      <c r="I109" s="140">
        <f t="shared" si="158"/>
        <v>2540</v>
      </c>
      <c r="J109" s="140">
        <f t="shared" si="158"/>
        <v>2900</v>
      </c>
      <c r="K109" s="140">
        <f t="shared" si="158"/>
        <v>3259</v>
      </c>
      <c r="L109" s="140">
        <f t="shared" si="158"/>
        <v>3619</v>
      </c>
      <c r="M109" s="140">
        <f t="shared" si="158"/>
        <v>3979</v>
      </c>
      <c r="N109" s="140">
        <f t="shared" si="158"/>
        <v>4339</v>
      </c>
      <c r="O109" s="140">
        <f t="shared" si="158"/>
        <v>4698</v>
      </c>
      <c r="P109" s="140">
        <f t="shared" si="158"/>
        <v>5058</v>
      </c>
      <c r="Q109" s="140">
        <f t="shared" si="158"/>
        <v>5418</v>
      </c>
      <c r="R109" s="140">
        <f t="shared" si="158"/>
        <v>5778</v>
      </c>
      <c r="S109" s="140">
        <f t="shared" si="158"/>
        <v>6137</v>
      </c>
      <c r="T109" s="140">
        <f t="shared" si="158"/>
        <v>6497</v>
      </c>
      <c r="U109" s="140">
        <f t="shared" si="158"/>
        <v>6857</v>
      </c>
      <c r="V109" s="140">
        <f t="shared" si="158"/>
        <v>7217</v>
      </c>
      <c r="W109" s="140">
        <f t="shared" si="158"/>
        <v>7576</v>
      </c>
      <c r="X109" s="140">
        <f t="shared" si="158"/>
        <v>7936</v>
      </c>
      <c r="Y109" s="140">
        <f t="shared" si="158"/>
        <v>8296</v>
      </c>
      <c r="Z109" s="140">
        <f t="shared" si="158"/>
        <v>8656</v>
      </c>
      <c r="AA109" s="140">
        <f t="shared" si="158"/>
        <v>9015</v>
      </c>
      <c r="AB109" s="140">
        <f t="shared" si="158"/>
        <v>9375</v>
      </c>
      <c r="AC109" s="140">
        <f t="shared" si="158"/>
        <v>9735</v>
      </c>
      <c r="AD109" s="140">
        <f t="shared" si="158"/>
        <v>10095</v>
      </c>
      <c r="AE109" s="140">
        <f t="shared" si="158"/>
        <v>10454</v>
      </c>
      <c r="AF109" s="140">
        <f t="shared" si="158"/>
        <v>10814</v>
      </c>
      <c r="AG109" s="140">
        <f t="shared" si="158"/>
        <v>11174</v>
      </c>
      <c r="AH109" s="140">
        <f t="shared" si="158"/>
        <v>11534</v>
      </c>
      <c r="AI109" s="140">
        <f t="shared" si="158"/>
        <v>11893</v>
      </c>
      <c r="AJ109" s="140">
        <f t="shared" si="158"/>
        <v>12253</v>
      </c>
      <c r="AK109" s="140">
        <f t="shared" si="158"/>
        <v>12613</v>
      </c>
      <c r="AL109" s="140">
        <f t="shared" si="158"/>
        <v>12973</v>
      </c>
      <c r="AM109" s="140">
        <f t="shared" si="158"/>
        <v>13332</v>
      </c>
      <c r="AN109" s="140">
        <f t="shared" si="158"/>
        <v>13692</v>
      </c>
      <c r="AO109" s="140">
        <f t="shared" si="158"/>
        <v>14052</v>
      </c>
      <c r="AP109" s="140">
        <f t="shared" si="158"/>
        <v>14412</v>
      </c>
      <c r="AQ109" s="140">
        <f t="shared" si="158"/>
        <v>14771</v>
      </c>
      <c r="AR109" s="140">
        <f t="shared" si="158"/>
        <v>15131</v>
      </c>
      <c r="AS109" s="140">
        <f t="shared" si="158"/>
        <v>15491</v>
      </c>
      <c r="AT109" s="140">
        <f t="shared" si="158"/>
        <v>15851</v>
      </c>
      <c r="AU109" s="140">
        <f t="shared" si="158"/>
        <v>16210</v>
      </c>
      <c r="AV109" s="140">
        <f t="shared" si="158"/>
        <v>16570</v>
      </c>
      <c r="AW109" s="140">
        <f t="shared" si="158"/>
        <v>16930</v>
      </c>
      <c r="AX109" s="140">
        <f t="shared" si="158"/>
        <v>17290</v>
      </c>
      <c r="AY109" s="140">
        <f t="shared" si="158"/>
        <v>17649</v>
      </c>
      <c r="AZ109" s="140">
        <f t="shared" si="158"/>
        <v>18009</v>
      </c>
      <c r="BA109" s="140">
        <f t="shared" si="158"/>
        <v>18369</v>
      </c>
      <c r="BB109" s="140">
        <f t="shared" si="158"/>
        <v>18729</v>
      </c>
      <c r="BC109" s="140">
        <f t="shared" si="158"/>
        <v>19088</v>
      </c>
      <c r="BD109" s="140">
        <f t="shared" si="158"/>
        <v>19448</v>
      </c>
      <c r="BE109" s="140">
        <f t="shared" si="158"/>
        <v>19808</v>
      </c>
      <c r="BF109" s="140">
        <f t="shared" si="158"/>
        <v>20168</v>
      </c>
      <c r="BG109" s="140">
        <f t="shared" si="158"/>
        <v>20527</v>
      </c>
      <c r="BH109" s="140">
        <f t="shared" si="158"/>
        <v>20887</v>
      </c>
      <c r="BI109" s="140">
        <f t="shared" si="158"/>
        <v>21247</v>
      </c>
      <c r="BJ109" s="140">
        <f t="shared" si="158"/>
        <v>21607</v>
      </c>
      <c r="BK109" s="140">
        <f t="shared" si="158"/>
        <v>21966</v>
      </c>
      <c r="BL109" s="140">
        <f t="shared" si="158"/>
        <v>22326</v>
      </c>
      <c r="BM109" s="140">
        <f t="shared" si="158"/>
        <v>22686</v>
      </c>
      <c r="BN109" s="140">
        <f t="shared" ref="BN109:CB109" si="159">DAYS360($B$3,BN40)</f>
        <v>23046</v>
      </c>
      <c r="BO109" s="140">
        <f t="shared" si="159"/>
        <v>23405</v>
      </c>
      <c r="BP109" s="140">
        <f t="shared" si="159"/>
        <v>23765</v>
      </c>
      <c r="BQ109" s="140">
        <f t="shared" si="159"/>
        <v>24125</v>
      </c>
      <c r="BR109" s="140">
        <f t="shared" si="159"/>
        <v>24485</v>
      </c>
      <c r="BS109" s="140">
        <f t="shared" si="159"/>
        <v>24844</v>
      </c>
      <c r="BT109" s="140">
        <f t="shared" si="159"/>
        <v>25204</v>
      </c>
      <c r="BU109" s="140">
        <f t="shared" si="159"/>
        <v>25564</v>
      </c>
      <c r="BV109" s="140">
        <f t="shared" si="159"/>
        <v>25924</v>
      </c>
      <c r="BW109" s="140">
        <f t="shared" si="159"/>
        <v>26283</v>
      </c>
      <c r="BX109" s="140">
        <f t="shared" si="159"/>
        <v>26643</v>
      </c>
      <c r="BY109" s="140">
        <f t="shared" si="159"/>
        <v>27003</v>
      </c>
      <c r="BZ109" s="140">
        <f t="shared" si="159"/>
        <v>27363</v>
      </c>
      <c r="CA109" s="140">
        <f t="shared" si="159"/>
        <v>27722</v>
      </c>
      <c r="CB109" s="140">
        <f t="shared" si="159"/>
        <v>28082</v>
      </c>
      <c r="CC109" s="17"/>
      <c r="CD109" s="17"/>
      <c r="CE109" s="17"/>
    </row>
    <row r="110" spans="1:83">
      <c r="A110" s="16" t="s">
        <v>41</v>
      </c>
      <c r="B110" s="140">
        <f>B109/360</f>
        <v>6.1111111111111109E-2</v>
      </c>
      <c r="C110" s="140">
        <f t="shared" ref="C110:BN110" si="160">C109/360</f>
        <v>1.0583333333333333</v>
      </c>
      <c r="D110" s="140">
        <f t="shared" si="160"/>
        <v>2.0583333333333331</v>
      </c>
      <c r="E110" s="140">
        <f t="shared" si="160"/>
        <v>3.0583333333333331</v>
      </c>
      <c r="F110" s="140">
        <f t="shared" si="160"/>
        <v>4.0583333333333336</v>
      </c>
      <c r="G110" s="140">
        <f t="shared" si="160"/>
        <v>5.0555555555555554</v>
      </c>
      <c r="H110" s="140">
        <f t="shared" si="160"/>
        <v>6.0555555555555554</v>
      </c>
      <c r="I110" s="140">
        <f t="shared" si="160"/>
        <v>7.0555555555555554</v>
      </c>
      <c r="J110" s="140">
        <f t="shared" si="160"/>
        <v>8.0555555555555554</v>
      </c>
      <c r="K110" s="140">
        <f t="shared" si="160"/>
        <v>9.0527777777777771</v>
      </c>
      <c r="L110" s="140">
        <f t="shared" si="160"/>
        <v>10.052777777777777</v>
      </c>
      <c r="M110" s="140">
        <f t="shared" si="160"/>
        <v>11.052777777777777</v>
      </c>
      <c r="N110" s="140">
        <f t="shared" si="160"/>
        <v>12.052777777777777</v>
      </c>
      <c r="O110" s="140">
        <f t="shared" si="160"/>
        <v>13.05</v>
      </c>
      <c r="P110" s="140">
        <f t="shared" si="160"/>
        <v>14.05</v>
      </c>
      <c r="Q110" s="140">
        <f t="shared" si="160"/>
        <v>15.05</v>
      </c>
      <c r="R110" s="140">
        <f t="shared" si="160"/>
        <v>16.05</v>
      </c>
      <c r="S110" s="140">
        <f t="shared" si="160"/>
        <v>17.047222222222221</v>
      </c>
      <c r="T110" s="140">
        <f t="shared" si="160"/>
        <v>18.047222222222221</v>
      </c>
      <c r="U110" s="140">
        <f t="shared" si="160"/>
        <v>19.047222222222221</v>
      </c>
      <c r="V110" s="140">
        <f t="shared" si="160"/>
        <v>20.047222222222221</v>
      </c>
      <c r="W110" s="140">
        <f t="shared" si="160"/>
        <v>21.044444444444444</v>
      </c>
      <c r="X110" s="140">
        <f t="shared" si="160"/>
        <v>22.044444444444444</v>
      </c>
      <c r="Y110" s="140">
        <f t="shared" si="160"/>
        <v>23.044444444444444</v>
      </c>
      <c r="Z110" s="140">
        <f t="shared" si="160"/>
        <v>24.044444444444444</v>
      </c>
      <c r="AA110" s="140">
        <f t="shared" si="160"/>
        <v>25.041666666666668</v>
      </c>
      <c r="AB110" s="140">
        <f t="shared" si="160"/>
        <v>26.041666666666668</v>
      </c>
      <c r="AC110" s="140">
        <f t="shared" si="160"/>
        <v>27.041666666666668</v>
      </c>
      <c r="AD110" s="140">
        <f t="shared" si="160"/>
        <v>28.041666666666668</v>
      </c>
      <c r="AE110" s="140">
        <f t="shared" si="160"/>
        <v>29.038888888888888</v>
      </c>
      <c r="AF110" s="140">
        <f t="shared" si="160"/>
        <v>30.038888888888888</v>
      </c>
      <c r="AG110" s="140">
        <f t="shared" si="160"/>
        <v>31.038888888888888</v>
      </c>
      <c r="AH110" s="140">
        <f t="shared" si="160"/>
        <v>32.038888888888891</v>
      </c>
      <c r="AI110" s="140">
        <f t="shared" si="160"/>
        <v>33.036111111111111</v>
      </c>
      <c r="AJ110" s="140">
        <f t="shared" si="160"/>
        <v>34.036111111111111</v>
      </c>
      <c r="AK110" s="140">
        <f t="shared" si="160"/>
        <v>35.036111111111111</v>
      </c>
      <c r="AL110" s="140">
        <f t="shared" si="160"/>
        <v>36.036111111111111</v>
      </c>
      <c r="AM110" s="140">
        <f t="shared" si="160"/>
        <v>37.033333333333331</v>
      </c>
      <c r="AN110" s="140">
        <f t="shared" si="160"/>
        <v>38.033333333333331</v>
      </c>
      <c r="AO110" s="140">
        <f t="shared" si="160"/>
        <v>39.033333333333331</v>
      </c>
      <c r="AP110" s="140">
        <f t="shared" si="160"/>
        <v>40.033333333333331</v>
      </c>
      <c r="AQ110" s="140">
        <f t="shared" si="160"/>
        <v>41.030555555555559</v>
      </c>
      <c r="AR110" s="140">
        <f t="shared" si="160"/>
        <v>42.030555555555559</v>
      </c>
      <c r="AS110" s="140">
        <f t="shared" si="160"/>
        <v>43.030555555555559</v>
      </c>
      <c r="AT110" s="140">
        <f t="shared" si="160"/>
        <v>44.030555555555559</v>
      </c>
      <c r="AU110" s="140">
        <f t="shared" si="160"/>
        <v>45.027777777777779</v>
      </c>
      <c r="AV110" s="140">
        <f t="shared" si="160"/>
        <v>46.027777777777779</v>
      </c>
      <c r="AW110" s="140">
        <f t="shared" si="160"/>
        <v>47.027777777777779</v>
      </c>
      <c r="AX110" s="140">
        <f t="shared" si="160"/>
        <v>48.027777777777779</v>
      </c>
      <c r="AY110" s="140">
        <f t="shared" si="160"/>
        <v>49.024999999999999</v>
      </c>
      <c r="AZ110" s="140">
        <f t="shared" si="160"/>
        <v>50.024999999999999</v>
      </c>
      <c r="BA110" s="140">
        <f t="shared" si="160"/>
        <v>51.024999999999999</v>
      </c>
      <c r="BB110" s="140">
        <f t="shared" si="160"/>
        <v>52.024999999999999</v>
      </c>
      <c r="BC110" s="140">
        <f t="shared" si="160"/>
        <v>53.022222222222226</v>
      </c>
      <c r="BD110" s="140">
        <f t="shared" si="160"/>
        <v>54.022222222222226</v>
      </c>
      <c r="BE110" s="140">
        <f t="shared" si="160"/>
        <v>55.022222222222226</v>
      </c>
      <c r="BF110" s="140">
        <f t="shared" si="160"/>
        <v>56.022222222222226</v>
      </c>
      <c r="BG110" s="140">
        <f t="shared" si="160"/>
        <v>57.019444444444446</v>
      </c>
      <c r="BH110" s="140">
        <f t="shared" si="160"/>
        <v>58.019444444444446</v>
      </c>
      <c r="BI110" s="140">
        <f t="shared" si="160"/>
        <v>59.019444444444446</v>
      </c>
      <c r="BJ110" s="140">
        <f t="shared" si="160"/>
        <v>60.019444444444446</v>
      </c>
      <c r="BK110" s="140">
        <f t="shared" si="160"/>
        <v>61.016666666666666</v>
      </c>
      <c r="BL110" s="140">
        <f t="shared" si="160"/>
        <v>62.016666666666666</v>
      </c>
      <c r="BM110" s="140">
        <f t="shared" si="160"/>
        <v>63.016666666666666</v>
      </c>
      <c r="BN110" s="140">
        <f t="shared" si="160"/>
        <v>64.016666666666666</v>
      </c>
      <c r="BO110" s="140">
        <f t="shared" ref="BO110:CB110" si="161">BO109/360</f>
        <v>65.013888888888886</v>
      </c>
      <c r="BP110" s="140">
        <f t="shared" si="161"/>
        <v>66.013888888888886</v>
      </c>
      <c r="BQ110" s="140">
        <f t="shared" si="161"/>
        <v>67.013888888888886</v>
      </c>
      <c r="BR110" s="140">
        <f t="shared" si="161"/>
        <v>68.013888888888886</v>
      </c>
      <c r="BS110" s="140">
        <f t="shared" si="161"/>
        <v>69.011111111111106</v>
      </c>
      <c r="BT110" s="140">
        <f t="shared" si="161"/>
        <v>70.011111111111106</v>
      </c>
      <c r="BU110" s="140">
        <f t="shared" si="161"/>
        <v>71.011111111111106</v>
      </c>
      <c r="BV110" s="140">
        <f t="shared" si="161"/>
        <v>72.011111111111106</v>
      </c>
      <c r="BW110" s="140">
        <f t="shared" si="161"/>
        <v>73.00833333333334</v>
      </c>
      <c r="BX110" s="140">
        <f t="shared" si="161"/>
        <v>74.00833333333334</v>
      </c>
      <c r="BY110" s="140">
        <f t="shared" si="161"/>
        <v>75.00833333333334</v>
      </c>
      <c r="BZ110" s="140">
        <f t="shared" si="161"/>
        <v>76.00833333333334</v>
      </c>
      <c r="CA110" s="140">
        <f t="shared" si="161"/>
        <v>77.00555555555556</v>
      </c>
      <c r="CB110" s="140">
        <f t="shared" si="161"/>
        <v>78.00555555555556</v>
      </c>
      <c r="CC110" s="17"/>
      <c r="CD110" s="17"/>
      <c r="CE110" s="17"/>
    </row>
    <row r="111" spans="1:83">
      <c r="A111" s="16" t="s">
        <v>43</v>
      </c>
      <c r="B111" s="140">
        <f>IF(B109&lt;0,0,$B$5+$B$6*((1-EXP(-B110/$B$9))/(B110/$B$9))+$B$7*((1-EXP(-B110/$B$9))/(B110/$B$9)-EXP(-B110/$B$9))+$B$8*((1-EXP(-B110/$B$10))/(B110/$B$10)-EXP(-B110/$B$10)))</f>
        <v>-1.4209424552963534E-2</v>
      </c>
      <c r="C111" s="140">
        <f t="shared" ref="C111:BN111" si="162">IF(C109&lt;0,0,$B$5+$B$6*((1-EXP(-C110/$B$9))/(C110/$B$9))+$B$7*((1-EXP(-C110/$B$9))/(C110/$B$9)-EXP(-C110/$B$9))+$B$8*((1-EXP(-C110/$B$10))/(C110/$B$10)-EXP(-C110/$B$10)))</f>
        <v>-1.3027990799867094E-2</v>
      </c>
      <c r="D111" s="140">
        <f t="shared" si="162"/>
        <v>-1.1906758483090387E-2</v>
      </c>
      <c r="E111" s="140">
        <f t="shared" si="162"/>
        <v>-1.0847021883986181E-2</v>
      </c>
      <c r="F111" s="140">
        <f t="shared" si="162"/>
        <v>-9.846752041054908E-3</v>
      </c>
      <c r="G111" s="140">
        <f t="shared" si="162"/>
        <v>-8.9065174015526948E-3</v>
      </c>
      <c r="H111" s="140">
        <f t="shared" si="162"/>
        <v>-8.0191667031894939E-3</v>
      </c>
      <c r="I111" s="140">
        <f t="shared" si="162"/>
        <v>-7.1855337962445087E-3</v>
      </c>
      <c r="J111" s="140">
        <f t="shared" si="162"/>
        <v>-6.4038066979040555E-3</v>
      </c>
      <c r="K111" s="140">
        <f t="shared" si="162"/>
        <v>-5.6741885435646587E-3</v>
      </c>
      <c r="L111" s="140">
        <f t="shared" si="162"/>
        <v>-4.9909068104774489E-3</v>
      </c>
      <c r="M111" s="140">
        <f t="shared" si="162"/>
        <v>-4.3543990817015849E-3</v>
      </c>
      <c r="N111" s="140">
        <f t="shared" si="162"/>
        <v>-3.7630486763127607E-3</v>
      </c>
      <c r="O111" s="140">
        <f t="shared" si="162"/>
        <v>-3.2167472493620994E-3</v>
      </c>
      <c r="P111" s="140">
        <f t="shared" si="162"/>
        <v>-2.7109283752029811E-3</v>
      </c>
      <c r="Q111" s="140">
        <f t="shared" si="162"/>
        <v>-2.2456904177967918E-3</v>
      </c>
      <c r="R111" s="140">
        <f t="shared" si="162"/>
        <v>-1.8195924179072939E-3</v>
      </c>
      <c r="S111" s="140">
        <f t="shared" si="162"/>
        <v>-1.4322623054969855E-3</v>
      </c>
      <c r="T111" s="140">
        <f t="shared" si="162"/>
        <v>-1.0801855581206443E-3</v>
      </c>
      <c r="U111" s="140">
        <f t="shared" si="162"/>
        <v>-7.6317197539950421E-4</v>
      </c>
      <c r="V111" s="140">
        <f t="shared" si="162"/>
        <v>-4.7993863673662096E-4</v>
      </c>
      <c r="W111" s="140">
        <f t="shared" si="162"/>
        <v>-2.2989204747888431E-4</v>
      </c>
      <c r="X111" s="140">
        <f t="shared" si="162"/>
        <v>-1.043200059352295E-5</v>
      </c>
      <c r="Y111" s="140">
        <f t="shared" si="162"/>
        <v>1.788753553127187E-4</v>
      </c>
      <c r="Z111" s="140">
        <f t="shared" si="162"/>
        <v>3.3917086873224561E-4</v>
      </c>
      <c r="AA111" s="140">
        <f t="shared" si="162"/>
        <v>4.712320525891156E-4</v>
      </c>
      <c r="AB111" s="140">
        <f t="shared" si="162"/>
        <v>5.7686744443978533E-4</v>
      </c>
      <c r="AC111" s="140">
        <f t="shared" si="162"/>
        <v>6.5671478656247062E-4</v>
      </c>
      <c r="AD111" s="140">
        <f t="shared" si="162"/>
        <v>7.1178726897260652E-4</v>
      </c>
      <c r="AE111" s="140">
        <f t="shared" si="162"/>
        <v>7.4301340497957835E-4</v>
      </c>
      <c r="AF111" s="140">
        <f t="shared" si="162"/>
        <v>7.5151926978926642E-4</v>
      </c>
      <c r="AG111" s="140">
        <f t="shared" si="162"/>
        <v>7.3811135900328506E-4</v>
      </c>
      <c r="AH111" s="140">
        <f t="shared" si="162"/>
        <v>7.0368821304502005E-4</v>
      </c>
      <c r="AI111" s="140">
        <f t="shared" si="162"/>
        <v>6.4930026023611587E-4</v>
      </c>
      <c r="AJ111" s="140">
        <f t="shared" si="162"/>
        <v>5.7548823891896694E-4</v>
      </c>
      <c r="AK111" s="140">
        <f t="shared" si="162"/>
        <v>4.8319640448695605E-4</v>
      </c>
      <c r="AL111" s="140">
        <f t="shared" si="162"/>
        <v>3.7322038608651742E-4</v>
      </c>
      <c r="AM111" s="140">
        <f t="shared" si="162"/>
        <v>2.4670696319479407E-4</v>
      </c>
      <c r="AN111" s="140">
        <f t="shared" si="162"/>
        <v>1.036978063394256E-4</v>
      </c>
      <c r="AO111" s="140">
        <f t="shared" si="162"/>
        <v>-5.4752350238052028E-5</v>
      </c>
      <c r="AP111" s="140">
        <f t="shared" si="162"/>
        <v>-2.2794019942509736E-4</v>
      </c>
      <c r="AQ111" s="140">
        <f t="shared" si="162"/>
        <v>-4.1464502329798675E-4</v>
      </c>
      <c r="AR111" s="140">
        <f t="shared" si="162"/>
        <v>-6.1524770071214041E-4</v>
      </c>
      <c r="AS111" s="140">
        <f t="shared" si="162"/>
        <v>-8.2860697580289244E-4</v>
      </c>
      <c r="AT111" s="140">
        <f t="shared" si="162"/>
        <v>-1.0541023133105454E-3</v>
      </c>
      <c r="AU111" s="140">
        <f t="shared" si="162"/>
        <v>-1.2904586520750827E-3</v>
      </c>
      <c r="AV111" s="140">
        <f t="shared" si="162"/>
        <v>-1.5384116546771909E-3</v>
      </c>
      <c r="AW111" s="140">
        <f t="shared" si="162"/>
        <v>-1.7967545275239249E-3</v>
      </c>
      <c r="AX111" s="140">
        <f t="shared" si="162"/>
        <v>-2.0649408964886207E-3</v>
      </c>
      <c r="AY111" s="140">
        <f t="shared" si="162"/>
        <v>-2.3416584353534442E-3</v>
      </c>
      <c r="AZ111" s="140">
        <f t="shared" si="162"/>
        <v>-2.6279376773532259E-3</v>
      </c>
      <c r="BA111" s="140">
        <f t="shared" si="162"/>
        <v>-2.9225246173459618E-3</v>
      </c>
      <c r="BB111" s="140">
        <f t="shared" si="162"/>
        <v>-3.2249392809064886E-3</v>
      </c>
      <c r="BC111" s="140">
        <f t="shared" si="162"/>
        <v>-3.5338469083971008E-3</v>
      </c>
      <c r="BD111" s="140">
        <f t="shared" si="162"/>
        <v>-3.850520031343424E-3</v>
      </c>
      <c r="BE111" s="140">
        <f t="shared" si="162"/>
        <v>-4.1736733857069969E-3</v>
      </c>
      <c r="BF111" s="140">
        <f t="shared" si="162"/>
        <v>-4.5028864029944549E-3</v>
      </c>
      <c r="BG111" s="140">
        <f t="shared" si="162"/>
        <v>-4.8368147186570037E-3</v>
      </c>
      <c r="BH111" s="140">
        <f t="shared" si="162"/>
        <v>-5.1769262988170112E-3</v>
      </c>
      <c r="BI111" s="140">
        <f t="shared" si="162"/>
        <v>-5.5219184554732015E-3</v>
      </c>
      <c r="BJ111" s="140">
        <f t="shared" si="162"/>
        <v>-5.8714237260653335E-3</v>
      </c>
      <c r="BK111" s="140">
        <f t="shared" si="162"/>
        <v>-6.2240991854688454E-3</v>
      </c>
      <c r="BL111" s="140">
        <f t="shared" si="162"/>
        <v>-6.58156731952525E-3</v>
      </c>
      <c r="BM111" s="140">
        <f t="shared" si="162"/>
        <v>-6.9425199636454632E-3</v>
      </c>
      <c r="BN111" s="140">
        <f t="shared" si="162"/>
        <v>-7.3066370881000181E-3</v>
      </c>
      <c r="BO111" s="140">
        <f t="shared" ref="BO111:CB111" si="163">IF(BO109&lt;0,0,$B$5+$B$6*((1-EXP(-BO110/$B$9))/(BO110/$B$9))+$B$7*((1-EXP(-BO110/$B$9))/(BO110/$B$9)-EXP(-BO110/$B$9))+$B$8*((1-EXP(-BO110/$B$10))/(BO110/$B$10)-EXP(-BO110/$B$10)))</f>
        <v>-7.6725866642217838E-3</v>
      </c>
      <c r="BP111" s="140">
        <f t="shared" si="163"/>
        <v>-8.0421098368990279E-3</v>
      </c>
      <c r="BQ111" s="140">
        <f t="shared" si="163"/>
        <v>-8.4139032317810114E-3</v>
      </c>
      <c r="BR111" s="140">
        <f t="shared" si="163"/>
        <v>-8.787689145236241E-3</v>
      </c>
      <c r="BS111" s="140">
        <f t="shared" si="163"/>
        <v>-9.1621544917212389E-3</v>
      </c>
      <c r="BT111" s="140">
        <f t="shared" si="163"/>
        <v>-9.5391277330611757E-3</v>
      </c>
      <c r="BU111" s="140">
        <f t="shared" si="163"/>
        <v>-9.9173190575199688E-3</v>
      </c>
      <c r="BV111" s="140">
        <f t="shared" si="163"/>
        <v>-1.0296488492428799E-2</v>
      </c>
      <c r="BW111" s="140">
        <f t="shared" si="163"/>
        <v>-1.0675348690607711E-2</v>
      </c>
      <c r="BX111" s="140">
        <f t="shared" si="163"/>
        <v>-1.1055788124910468E-2</v>
      </c>
      <c r="BY111" s="140">
        <f t="shared" si="163"/>
        <v>-1.1436537991368248E-2</v>
      </c>
      <c r="BZ111" s="140">
        <f t="shared" si="163"/>
        <v>-1.1817391915176459E-2</v>
      </c>
      <c r="CA111" s="140">
        <f t="shared" si="163"/>
        <v>-1.2197093974033582E-2</v>
      </c>
      <c r="CB111" s="140">
        <f t="shared" si="163"/>
        <v>-1.2577568947895398E-2</v>
      </c>
      <c r="CC111" s="17"/>
      <c r="CD111" s="17"/>
      <c r="CE111" s="17"/>
    </row>
    <row r="112" spans="1:83">
      <c r="A112" s="16" t="s">
        <v>44</v>
      </c>
      <c r="B112" s="140">
        <f>EXP(-B111*B110)</f>
        <v>1.0008687308509272</v>
      </c>
      <c r="C112" s="140">
        <f t="shared" ref="C112:AR112" si="164">EXP(-C111*C110)</f>
        <v>1.0138834491843038</v>
      </c>
      <c r="D112" s="140">
        <f t="shared" si="164"/>
        <v>1.0248108693706259</v>
      </c>
      <c r="E112" s="140">
        <f t="shared" si="164"/>
        <v>1.0337301948209796</v>
      </c>
      <c r="F112" s="140">
        <f t="shared" si="164"/>
        <v>1.0407706017880569</v>
      </c>
      <c r="G112" s="140">
        <f t="shared" si="164"/>
        <v>1.0460565146968295</v>
      </c>
      <c r="H112" s="140">
        <f t="shared" si="164"/>
        <v>1.0497588902635935</v>
      </c>
      <c r="I112" s="140">
        <f t="shared" si="164"/>
        <v>1.0520050691585909</v>
      </c>
      <c r="J112" s="140">
        <f t="shared" si="164"/>
        <v>1.0529399675174034</v>
      </c>
      <c r="K112" s="140">
        <f t="shared" si="164"/>
        <v>1.0527093434687074</v>
      </c>
      <c r="L112" s="140">
        <f t="shared" si="164"/>
        <v>1.0514524321777881</v>
      </c>
      <c r="M112" s="140">
        <f t="shared" si="164"/>
        <v>1.0493051732968788</v>
      </c>
      <c r="N112" s="140">
        <f t="shared" si="164"/>
        <v>1.0463994639731162</v>
      </c>
      <c r="O112" s="140">
        <f t="shared" si="164"/>
        <v>1.0428721105770613</v>
      </c>
      <c r="P112" s="140">
        <f t="shared" si="164"/>
        <v>1.0388232100276016</v>
      </c>
      <c r="Q112" s="140">
        <f t="shared" si="164"/>
        <v>1.0343752701834927</v>
      </c>
      <c r="R112" s="140">
        <f t="shared" si="164"/>
        <v>1.0296350904034128</v>
      </c>
      <c r="S112" s="140">
        <f t="shared" si="164"/>
        <v>1.0247166074257379</v>
      </c>
      <c r="T112" s="140">
        <f t="shared" si="164"/>
        <v>1.0196856044058968</v>
      </c>
      <c r="U112" s="140">
        <f t="shared" si="164"/>
        <v>1.0146424721045482</v>
      </c>
      <c r="V112" s="140">
        <f t="shared" si="164"/>
        <v>1.0096678713276424</v>
      </c>
      <c r="W112" s="140">
        <f t="shared" si="164"/>
        <v>1.0048496721990317</v>
      </c>
      <c r="X112" s="140">
        <f t="shared" si="164"/>
        <v>1.0002299941021171</v>
      </c>
      <c r="Y112" s="140">
        <f t="shared" si="164"/>
        <v>0.99588640093549585</v>
      </c>
      <c r="Z112" s="140">
        <f t="shared" si="164"/>
        <v>0.99187798811825578</v>
      </c>
      <c r="AA112" s="140">
        <f t="shared" si="164"/>
        <v>0.98826891609813505</v>
      </c>
      <c r="AB112" s="140">
        <f t="shared" si="164"/>
        <v>0.98508968647225903</v>
      </c>
      <c r="AC112" s="140">
        <f t="shared" si="164"/>
        <v>0.98239809339526274</v>
      </c>
      <c r="AD112" s="140">
        <f t="shared" si="164"/>
        <v>0.9802381748015232</v>
      </c>
      <c r="AE112" s="140">
        <f t="shared" si="164"/>
        <v>0.97865481920100728</v>
      </c>
      <c r="AF112" s="140">
        <f t="shared" si="164"/>
        <v>0.97767810037873037</v>
      </c>
      <c r="AG112" s="140">
        <f t="shared" si="164"/>
        <v>0.9773502884388745</v>
      </c>
      <c r="AH112" s="140">
        <f t="shared" si="164"/>
        <v>0.97770685956759706</v>
      </c>
      <c r="AI112" s="140">
        <f t="shared" si="164"/>
        <v>0.97877806717003835</v>
      </c>
      <c r="AJ112" s="140">
        <f t="shared" si="164"/>
        <v>0.98060320472569007</v>
      </c>
      <c r="AK112" s="140">
        <f t="shared" si="164"/>
        <v>0.98321317281918208</v>
      </c>
      <c r="AL112" s="140">
        <f t="shared" si="164"/>
        <v>0.98664062792005458</v>
      </c>
      <c r="AM112" s="140">
        <f t="shared" si="164"/>
        <v>0.99090522870933728</v>
      </c>
      <c r="AN112" s="140">
        <f t="shared" si="164"/>
        <v>0.99606379401336653</v>
      </c>
      <c r="AO112" s="140">
        <f t="shared" si="164"/>
        <v>1.0021394521062388</v>
      </c>
      <c r="AP112" s="140">
        <f t="shared" si="164"/>
        <v>1.0091669676069233</v>
      </c>
      <c r="AQ112" s="140">
        <f t="shared" si="164"/>
        <v>1.0171586629492801</v>
      </c>
      <c r="AR112" s="140">
        <f t="shared" si="164"/>
        <v>1.026196452575868</v>
      </c>
      <c r="AS112" s="140">
        <f>EXP(-AS111*AS110)</f>
        <v>1.0362986956079099</v>
      </c>
      <c r="AT112" s="140">
        <f t="shared" ref="AT112:CA112" si="165">EXP(-AT111*AT110)</f>
        <v>1.0475066387128726</v>
      </c>
      <c r="AU112" s="140">
        <f t="shared" si="165"/>
        <v>1.059827845911901</v>
      </c>
      <c r="AV112" s="140">
        <f t="shared" si="165"/>
        <v>1.0733769103534292</v>
      </c>
      <c r="AW112" s="140">
        <f t="shared" si="165"/>
        <v>1.0881699852157092</v>
      </c>
      <c r="AX112" s="140">
        <f t="shared" si="165"/>
        <v>1.1042590007853916</v>
      </c>
      <c r="AY112" s="140">
        <f t="shared" si="165"/>
        <v>1.1216488663668926</v>
      </c>
      <c r="AZ112" s="140">
        <f t="shared" si="165"/>
        <v>1.1404952322264592</v>
      </c>
      <c r="BA112" s="140">
        <f t="shared" si="165"/>
        <v>1.1608143893801897</v>
      </c>
      <c r="BB112" s="140">
        <f t="shared" si="165"/>
        <v>1.182673396425699</v>
      </c>
      <c r="BC112" s="140">
        <f t="shared" si="165"/>
        <v>1.2060763636498111</v>
      </c>
      <c r="BD112" s="140">
        <f t="shared" si="165"/>
        <v>1.2312299742512169</v>
      </c>
      <c r="BE112" s="140">
        <f t="shared" si="165"/>
        <v>1.2581530151063718</v>
      </c>
      <c r="BF112" s="140">
        <f t="shared" si="165"/>
        <v>1.286932787016682</v>
      </c>
      <c r="BG112" s="140">
        <f t="shared" si="165"/>
        <v>1.317574423335985</v>
      </c>
      <c r="BH112" s="140">
        <f t="shared" si="165"/>
        <v>1.3503480685680587</v>
      </c>
      <c r="BI112" s="140">
        <f t="shared" si="165"/>
        <v>1.3852776093385826</v>
      </c>
      <c r="BJ112" s="140">
        <f t="shared" si="165"/>
        <v>1.4224768178742855</v>
      </c>
      <c r="BK112" s="140">
        <f t="shared" si="165"/>
        <v>1.4619538365765359</v>
      </c>
      <c r="BL112" s="140">
        <f t="shared" si="165"/>
        <v>1.5040581172945007</v>
      </c>
      <c r="BM112" s="140">
        <f t="shared" si="165"/>
        <v>1.548821728012908</v>
      </c>
      <c r="BN112" s="140">
        <f t="shared" si="165"/>
        <v>1.5963927471414627</v>
      </c>
      <c r="BO112" s="140">
        <f t="shared" si="165"/>
        <v>1.6467846617177251</v>
      </c>
      <c r="BP112" s="140">
        <f t="shared" si="165"/>
        <v>1.7004466387054256</v>
      </c>
      <c r="BQ112" s="140">
        <f t="shared" si="165"/>
        <v>1.7574227272248135</v>
      </c>
      <c r="BR112" s="140">
        <f t="shared" si="165"/>
        <v>1.8179053162242023</v>
      </c>
      <c r="BS112" s="140">
        <f t="shared" si="165"/>
        <v>1.8819161032174634</v>
      </c>
      <c r="BT112" s="140">
        <f t="shared" si="165"/>
        <v>1.9500303403772383</v>
      </c>
      <c r="BU112" s="140">
        <f t="shared" si="165"/>
        <v>2.0223088333701282</v>
      </c>
      <c r="BV112" s="140">
        <f t="shared" si="165"/>
        <v>2.099001125156807</v>
      </c>
      <c r="BW112" s="140">
        <f t="shared" si="165"/>
        <v>2.1801406992385837</v>
      </c>
      <c r="BX112" s="140">
        <f t="shared" si="165"/>
        <v>2.2664629688935314</v>
      </c>
      <c r="BY112" s="140">
        <f t="shared" si="165"/>
        <v>2.3580515269203866</v>
      </c>
      <c r="BZ112" s="140">
        <f t="shared" si="165"/>
        <v>2.4552295595484743</v>
      </c>
      <c r="CA112" s="140">
        <f t="shared" si="165"/>
        <v>2.5580467977005519</v>
      </c>
      <c r="CB112" s="140">
        <f>EXP(-CB111*CB110)</f>
        <v>2.6674427804049481</v>
      </c>
      <c r="CC112" s="17"/>
      <c r="CD112" s="17"/>
      <c r="CE112" s="17"/>
    </row>
    <row r="113" spans="1:83">
      <c r="A113" s="17"/>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17"/>
      <c r="CD113" s="17"/>
      <c r="CE113" s="17"/>
    </row>
    <row r="114" spans="1:83">
      <c r="A114" s="16" t="s">
        <v>40</v>
      </c>
      <c r="B114" s="140">
        <f t="shared" ref="B114:BM114" si="166">DAYS360($B$3,B42)</f>
        <v>326</v>
      </c>
      <c r="C114" s="140">
        <f t="shared" si="166"/>
        <v>686</v>
      </c>
      <c r="D114" s="140">
        <f t="shared" si="166"/>
        <v>1046</v>
      </c>
      <c r="E114" s="140">
        <f t="shared" si="166"/>
        <v>1406</v>
      </c>
      <c r="F114" s="140">
        <f t="shared" si="166"/>
        <v>1765</v>
      </c>
      <c r="G114" s="140">
        <f t="shared" si="166"/>
        <v>2125</v>
      </c>
      <c r="H114" s="140">
        <f t="shared" si="166"/>
        <v>2485</v>
      </c>
      <c r="I114" s="140">
        <f t="shared" si="166"/>
        <v>2845</v>
      </c>
      <c r="J114" s="140">
        <f t="shared" si="166"/>
        <v>3204</v>
      </c>
      <c r="K114" s="140">
        <f t="shared" si="166"/>
        <v>3564</v>
      </c>
      <c r="L114" s="140">
        <f t="shared" si="166"/>
        <v>3924</v>
      </c>
      <c r="M114" s="140">
        <f t="shared" si="166"/>
        <v>4284</v>
      </c>
      <c r="N114" s="140">
        <f t="shared" si="166"/>
        <v>4643</v>
      </c>
      <c r="O114" s="140">
        <f t="shared" si="166"/>
        <v>5003</v>
      </c>
      <c r="P114" s="140">
        <f t="shared" si="166"/>
        <v>5363</v>
      </c>
      <c r="Q114" s="140">
        <f t="shared" si="166"/>
        <v>5723</v>
      </c>
      <c r="R114" s="140">
        <f t="shared" si="166"/>
        <v>6082</v>
      </c>
      <c r="S114" s="140">
        <f t="shared" si="166"/>
        <v>6442</v>
      </c>
      <c r="T114" s="140">
        <f t="shared" si="166"/>
        <v>6802</v>
      </c>
      <c r="U114" s="140">
        <f t="shared" si="166"/>
        <v>7162</v>
      </c>
      <c r="V114" s="140">
        <f t="shared" si="166"/>
        <v>7521</v>
      </c>
      <c r="W114" s="140">
        <f t="shared" si="166"/>
        <v>7881</v>
      </c>
      <c r="X114" s="140">
        <f t="shared" si="166"/>
        <v>8241</v>
      </c>
      <c r="Y114" s="140">
        <f t="shared" si="166"/>
        <v>8601</v>
      </c>
      <c r="Z114" s="140">
        <f t="shared" si="166"/>
        <v>8960</v>
      </c>
      <c r="AA114" s="140">
        <f t="shared" si="166"/>
        <v>9320</v>
      </c>
      <c r="AB114" s="140">
        <f t="shared" si="166"/>
        <v>9680</v>
      </c>
      <c r="AC114" s="140">
        <f t="shared" si="166"/>
        <v>10040</v>
      </c>
      <c r="AD114" s="140">
        <f t="shared" si="166"/>
        <v>10399</v>
      </c>
      <c r="AE114" s="140">
        <f t="shared" si="166"/>
        <v>10759</v>
      </c>
      <c r="AF114" s="140">
        <f t="shared" si="166"/>
        <v>11119</v>
      </c>
      <c r="AG114" s="140">
        <f t="shared" si="166"/>
        <v>11479</v>
      </c>
      <c r="AH114" s="140">
        <f t="shared" si="166"/>
        <v>11838</v>
      </c>
      <c r="AI114" s="140">
        <f t="shared" si="166"/>
        <v>12198</v>
      </c>
      <c r="AJ114" s="140">
        <f t="shared" si="166"/>
        <v>12558</v>
      </c>
      <c r="AK114" s="140">
        <f t="shared" si="166"/>
        <v>12918</v>
      </c>
      <c r="AL114" s="140">
        <f t="shared" si="166"/>
        <v>13277</v>
      </c>
      <c r="AM114" s="140">
        <f t="shared" si="166"/>
        <v>13637</v>
      </c>
      <c r="AN114" s="140">
        <f t="shared" si="166"/>
        <v>13997</v>
      </c>
      <c r="AO114" s="140">
        <f t="shared" si="166"/>
        <v>14357</v>
      </c>
      <c r="AP114" s="140">
        <f t="shared" si="166"/>
        <v>14716</v>
      </c>
      <c r="AQ114" s="140">
        <f t="shared" si="166"/>
        <v>15076</v>
      </c>
      <c r="AR114" s="140">
        <f t="shared" si="166"/>
        <v>15436</v>
      </c>
      <c r="AS114" s="140">
        <f t="shared" si="166"/>
        <v>15796</v>
      </c>
      <c r="AT114" s="140">
        <f t="shared" si="166"/>
        <v>16155</v>
      </c>
      <c r="AU114" s="140">
        <f t="shared" si="166"/>
        <v>16515</v>
      </c>
      <c r="AV114" s="140">
        <f t="shared" si="166"/>
        <v>16875</v>
      </c>
      <c r="AW114" s="140">
        <f t="shared" si="166"/>
        <v>17235</v>
      </c>
      <c r="AX114" s="140">
        <f t="shared" si="166"/>
        <v>17594</v>
      </c>
      <c r="AY114" s="140">
        <f t="shared" si="166"/>
        <v>17954</v>
      </c>
      <c r="AZ114" s="140">
        <f t="shared" si="166"/>
        <v>18314</v>
      </c>
      <c r="BA114" s="140">
        <f t="shared" si="166"/>
        <v>18674</v>
      </c>
      <c r="BB114" s="140">
        <f t="shared" si="166"/>
        <v>19033</v>
      </c>
      <c r="BC114" s="140">
        <f t="shared" si="166"/>
        <v>19393</v>
      </c>
      <c r="BD114" s="140">
        <f t="shared" si="166"/>
        <v>19753</v>
      </c>
      <c r="BE114" s="140">
        <f t="shared" si="166"/>
        <v>20113</v>
      </c>
      <c r="BF114" s="140">
        <f t="shared" si="166"/>
        <v>20472</v>
      </c>
      <c r="BG114" s="140">
        <f t="shared" si="166"/>
        <v>20832</v>
      </c>
      <c r="BH114" s="140">
        <f t="shared" si="166"/>
        <v>21192</v>
      </c>
      <c r="BI114" s="140">
        <f t="shared" si="166"/>
        <v>21552</v>
      </c>
      <c r="BJ114" s="140">
        <f t="shared" si="166"/>
        <v>21911</v>
      </c>
      <c r="BK114" s="140">
        <f t="shared" si="166"/>
        <v>22271</v>
      </c>
      <c r="BL114" s="140">
        <f t="shared" si="166"/>
        <v>22631</v>
      </c>
      <c r="BM114" s="140">
        <f t="shared" si="166"/>
        <v>22991</v>
      </c>
      <c r="BN114" s="140">
        <f t="shared" ref="BN114:CB114" si="167">DAYS360($B$3,BN42)</f>
        <v>23350</v>
      </c>
      <c r="BO114" s="140">
        <f t="shared" si="167"/>
        <v>23710</v>
      </c>
      <c r="BP114" s="140">
        <f t="shared" si="167"/>
        <v>24070</v>
      </c>
      <c r="BQ114" s="140">
        <f t="shared" si="167"/>
        <v>24430</v>
      </c>
      <c r="BR114" s="140">
        <f t="shared" si="167"/>
        <v>24789</v>
      </c>
      <c r="BS114" s="140">
        <f t="shared" si="167"/>
        <v>25149</v>
      </c>
      <c r="BT114" s="140">
        <f t="shared" si="167"/>
        <v>25509</v>
      </c>
      <c r="BU114" s="140">
        <f t="shared" si="167"/>
        <v>25869</v>
      </c>
      <c r="BV114" s="140">
        <f t="shared" si="167"/>
        <v>26228</v>
      </c>
      <c r="BW114" s="140">
        <f t="shared" si="167"/>
        <v>26588</v>
      </c>
      <c r="BX114" s="140">
        <f t="shared" si="167"/>
        <v>26948</v>
      </c>
      <c r="BY114" s="140">
        <f t="shared" si="167"/>
        <v>27308</v>
      </c>
      <c r="BZ114" s="140">
        <f t="shared" si="167"/>
        <v>27667</v>
      </c>
      <c r="CA114" s="140">
        <f t="shared" si="167"/>
        <v>28027</v>
      </c>
      <c r="CB114" s="140">
        <f t="shared" si="167"/>
        <v>28387</v>
      </c>
      <c r="CC114" s="17"/>
      <c r="CD114" s="17"/>
      <c r="CE114" s="17"/>
    </row>
    <row r="115" spans="1:83">
      <c r="A115" s="16" t="s">
        <v>41</v>
      </c>
      <c r="B115" s="140">
        <f>B114/360</f>
        <v>0.90555555555555556</v>
      </c>
      <c r="C115" s="140">
        <f t="shared" ref="C115:BN115" si="168">C114/360</f>
        <v>1.9055555555555554</v>
      </c>
      <c r="D115" s="140">
        <f t="shared" si="168"/>
        <v>2.9055555555555554</v>
      </c>
      <c r="E115" s="140">
        <f t="shared" si="168"/>
        <v>3.9055555555555554</v>
      </c>
      <c r="F115" s="140">
        <f t="shared" si="168"/>
        <v>4.9027777777777777</v>
      </c>
      <c r="G115" s="140">
        <f t="shared" si="168"/>
        <v>5.9027777777777777</v>
      </c>
      <c r="H115" s="140">
        <f t="shared" si="168"/>
        <v>6.9027777777777777</v>
      </c>
      <c r="I115" s="140">
        <f t="shared" si="168"/>
        <v>7.9027777777777777</v>
      </c>
      <c r="J115" s="140">
        <f t="shared" si="168"/>
        <v>8.9</v>
      </c>
      <c r="K115" s="140">
        <f t="shared" si="168"/>
        <v>9.9</v>
      </c>
      <c r="L115" s="140">
        <f t="shared" si="168"/>
        <v>10.9</v>
      </c>
      <c r="M115" s="140">
        <f t="shared" si="168"/>
        <v>11.9</v>
      </c>
      <c r="N115" s="140">
        <f t="shared" si="168"/>
        <v>12.897222222222222</v>
      </c>
      <c r="O115" s="140">
        <f t="shared" si="168"/>
        <v>13.897222222222222</v>
      </c>
      <c r="P115" s="140">
        <f t="shared" si="168"/>
        <v>14.897222222222222</v>
      </c>
      <c r="Q115" s="140">
        <f t="shared" si="168"/>
        <v>15.897222222222222</v>
      </c>
      <c r="R115" s="140">
        <f t="shared" si="168"/>
        <v>16.894444444444446</v>
      </c>
      <c r="S115" s="140">
        <f t="shared" si="168"/>
        <v>17.894444444444446</v>
      </c>
      <c r="T115" s="140">
        <f t="shared" si="168"/>
        <v>18.894444444444446</v>
      </c>
      <c r="U115" s="140">
        <f t="shared" si="168"/>
        <v>19.894444444444446</v>
      </c>
      <c r="V115" s="140">
        <f t="shared" si="168"/>
        <v>20.891666666666666</v>
      </c>
      <c r="W115" s="140">
        <f t="shared" si="168"/>
        <v>21.891666666666666</v>
      </c>
      <c r="X115" s="140">
        <f t="shared" si="168"/>
        <v>22.891666666666666</v>
      </c>
      <c r="Y115" s="140">
        <f t="shared" si="168"/>
        <v>23.891666666666666</v>
      </c>
      <c r="Z115" s="140">
        <f t="shared" si="168"/>
        <v>24.888888888888889</v>
      </c>
      <c r="AA115" s="140">
        <f t="shared" si="168"/>
        <v>25.888888888888889</v>
      </c>
      <c r="AB115" s="140">
        <f t="shared" si="168"/>
        <v>26.888888888888889</v>
      </c>
      <c r="AC115" s="140">
        <f t="shared" si="168"/>
        <v>27.888888888888889</v>
      </c>
      <c r="AD115" s="140">
        <f t="shared" si="168"/>
        <v>28.886111111111113</v>
      </c>
      <c r="AE115" s="140">
        <f t="shared" si="168"/>
        <v>29.886111111111113</v>
      </c>
      <c r="AF115" s="140">
        <f t="shared" si="168"/>
        <v>30.886111111111113</v>
      </c>
      <c r="AG115" s="140">
        <f t="shared" si="168"/>
        <v>31.886111111111113</v>
      </c>
      <c r="AH115" s="140">
        <f t="shared" si="168"/>
        <v>32.883333333333333</v>
      </c>
      <c r="AI115" s="140">
        <f t="shared" si="168"/>
        <v>33.883333333333333</v>
      </c>
      <c r="AJ115" s="140">
        <f t="shared" si="168"/>
        <v>34.883333333333333</v>
      </c>
      <c r="AK115" s="140">
        <f t="shared" si="168"/>
        <v>35.883333333333333</v>
      </c>
      <c r="AL115" s="140">
        <f t="shared" si="168"/>
        <v>36.880555555555553</v>
      </c>
      <c r="AM115" s="140">
        <f t="shared" si="168"/>
        <v>37.880555555555553</v>
      </c>
      <c r="AN115" s="140">
        <f t="shared" si="168"/>
        <v>38.880555555555553</v>
      </c>
      <c r="AO115" s="140">
        <f t="shared" si="168"/>
        <v>39.880555555555553</v>
      </c>
      <c r="AP115" s="140">
        <f t="shared" si="168"/>
        <v>40.87777777777778</v>
      </c>
      <c r="AQ115" s="140">
        <f t="shared" si="168"/>
        <v>41.87777777777778</v>
      </c>
      <c r="AR115" s="140">
        <f t="shared" si="168"/>
        <v>42.87777777777778</v>
      </c>
      <c r="AS115" s="140">
        <f t="shared" si="168"/>
        <v>43.87777777777778</v>
      </c>
      <c r="AT115" s="140">
        <f t="shared" si="168"/>
        <v>44.875</v>
      </c>
      <c r="AU115" s="140">
        <f t="shared" si="168"/>
        <v>45.875</v>
      </c>
      <c r="AV115" s="140">
        <f t="shared" si="168"/>
        <v>46.875</v>
      </c>
      <c r="AW115" s="140">
        <f t="shared" si="168"/>
        <v>47.875</v>
      </c>
      <c r="AX115" s="140">
        <f t="shared" si="168"/>
        <v>48.87222222222222</v>
      </c>
      <c r="AY115" s="140">
        <f t="shared" si="168"/>
        <v>49.87222222222222</v>
      </c>
      <c r="AZ115" s="140">
        <f t="shared" si="168"/>
        <v>50.87222222222222</v>
      </c>
      <c r="BA115" s="140">
        <f t="shared" si="168"/>
        <v>51.87222222222222</v>
      </c>
      <c r="BB115" s="140">
        <f t="shared" si="168"/>
        <v>52.869444444444447</v>
      </c>
      <c r="BC115" s="140">
        <f t="shared" si="168"/>
        <v>53.869444444444447</v>
      </c>
      <c r="BD115" s="140">
        <f t="shared" si="168"/>
        <v>54.869444444444447</v>
      </c>
      <c r="BE115" s="140">
        <f t="shared" si="168"/>
        <v>55.869444444444447</v>
      </c>
      <c r="BF115" s="140">
        <f t="shared" si="168"/>
        <v>56.866666666666667</v>
      </c>
      <c r="BG115" s="140">
        <f t="shared" si="168"/>
        <v>57.866666666666667</v>
      </c>
      <c r="BH115" s="140">
        <f t="shared" si="168"/>
        <v>58.866666666666667</v>
      </c>
      <c r="BI115" s="140">
        <f t="shared" si="168"/>
        <v>59.866666666666667</v>
      </c>
      <c r="BJ115" s="140">
        <f t="shared" si="168"/>
        <v>60.863888888888887</v>
      </c>
      <c r="BK115" s="140">
        <f t="shared" si="168"/>
        <v>61.863888888888887</v>
      </c>
      <c r="BL115" s="140">
        <f t="shared" si="168"/>
        <v>62.863888888888887</v>
      </c>
      <c r="BM115" s="140">
        <f t="shared" si="168"/>
        <v>63.863888888888887</v>
      </c>
      <c r="BN115" s="140">
        <f t="shared" si="168"/>
        <v>64.861111111111114</v>
      </c>
      <c r="BO115" s="140">
        <f t="shared" ref="BO115:CB115" si="169">BO114/360</f>
        <v>65.861111111111114</v>
      </c>
      <c r="BP115" s="140">
        <f t="shared" si="169"/>
        <v>66.861111111111114</v>
      </c>
      <c r="BQ115" s="140">
        <f t="shared" si="169"/>
        <v>67.861111111111114</v>
      </c>
      <c r="BR115" s="140">
        <f t="shared" si="169"/>
        <v>68.858333333333334</v>
      </c>
      <c r="BS115" s="140">
        <f t="shared" si="169"/>
        <v>69.858333333333334</v>
      </c>
      <c r="BT115" s="140">
        <f t="shared" si="169"/>
        <v>70.858333333333334</v>
      </c>
      <c r="BU115" s="140">
        <f t="shared" si="169"/>
        <v>71.858333333333334</v>
      </c>
      <c r="BV115" s="140">
        <f t="shared" si="169"/>
        <v>72.855555555555554</v>
      </c>
      <c r="BW115" s="140">
        <f t="shared" si="169"/>
        <v>73.855555555555554</v>
      </c>
      <c r="BX115" s="140">
        <f t="shared" si="169"/>
        <v>74.855555555555554</v>
      </c>
      <c r="BY115" s="140">
        <f t="shared" si="169"/>
        <v>75.855555555555554</v>
      </c>
      <c r="BZ115" s="140">
        <f t="shared" si="169"/>
        <v>76.852777777777774</v>
      </c>
      <c r="CA115" s="140">
        <f t="shared" si="169"/>
        <v>77.852777777777774</v>
      </c>
      <c r="CB115" s="140">
        <f t="shared" si="169"/>
        <v>78.852777777777774</v>
      </c>
      <c r="CC115" s="17"/>
      <c r="CD115" s="17"/>
      <c r="CE115" s="17"/>
    </row>
    <row r="116" spans="1:83">
      <c r="A116" s="16" t="s">
        <v>43</v>
      </c>
      <c r="B116" s="140">
        <f>IF(B114&lt;0,0,$B$5+$B$6*((1-EXP(-B115/$B$9))/(B115/$B$9))+$B$7*((1-EXP(-B115/$B$9))/(B115/$B$9)-EXP(-B115/$B$9))+$B$8*((1-EXP(-B115/$B$10))/(B115/$B$10)-EXP(-B115/$B$10)))</f>
        <v>-1.3204836542945216E-2</v>
      </c>
      <c r="C116" s="140">
        <f t="shared" ref="C116:BN116" si="170">IF(C114&lt;0,0,$B$5+$B$6*((1-EXP(-C115/$B$9))/(C115/$B$9))+$B$7*((1-EXP(-C115/$B$9))/(C115/$B$9)-EXP(-C115/$B$9))+$B$8*((1-EXP(-C115/$B$10))/(C115/$B$10)-EXP(-C115/$B$10)))</f>
        <v>-1.2074026737130827E-2</v>
      </c>
      <c r="D116" s="140">
        <f t="shared" si="170"/>
        <v>-1.100502769344429E-2</v>
      </c>
      <c r="E116" s="140">
        <f t="shared" si="170"/>
        <v>-9.9958016966872724E-3</v>
      </c>
      <c r="F116" s="140">
        <f t="shared" si="170"/>
        <v>-9.0469323135823222E-3</v>
      </c>
      <c r="G116" s="140">
        <f t="shared" si="170"/>
        <v>-8.1512118905150959E-3</v>
      </c>
      <c r="H116" s="140">
        <f t="shared" si="170"/>
        <v>-7.3094906488076379E-3</v>
      </c>
      <c r="I116" s="140">
        <f t="shared" si="170"/>
        <v>-6.5199487249488451E-3</v>
      </c>
      <c r="J116" s="140">
        <f t="shared" si="170"/>
        <v>-5.7828021866961378E-3</v>
      </c>
      <c r="K116" s="140">
        <f t="shared" si="170"/>
        <v>-5.0922291113908065E-3</v>
      </c>
      <c r="L116" s="140">
        <f t="shared" si="170"/>
        <v>-4.4486811363524913E-3</v>
      </c>
      <c r="M116" s="140">
        <f t="shared" si="170"/>
        <v>-3.8505344886003712E-3</v>
      </c>
      <c r="N116" s="140">
        <f t="shared" si="170"/>
        <v>-3.2976918138969205E-3</v>
      </c>
      <c r="O116" s="140">
        <f t="shared" si="170"/>
        <v>-2.7855435338311405E-3</v>
      </c>
      <c r="P116" s="140">
        <f t="shared" si="170"/>
        <v>-2.3142000080667857E-3</v>
      </c>
      <c r="Q116" s="140">
        <f t="shared" si="170"/>
        <v>-1.8822138976089461E-3</v>
      </c>
      <c r="R116" s="140">
        <f t="shared" si="170"/>
        <v>-1.4892224018923858E-3</v>
      </c>
      <c r="S116" s="140">
        <f t="shared" si="170"/>
        <v>-1.1316734227886441E-3</v>
      </c>
      <c r="T116" s="140">
        <f t="shared" si="170"/>
        <v>-8.0938692901416642E-4</v>
      </c>
      <c r="U116" s="140">
        <f t="shared" si="170"/>
        <v>-5.2107426343363933E-4</v>
      </c>
      <c r="V116" s="140">
        <f t="shared" si="170"/>
        <v>-2.6614967744222756E-4</v>
      </c>
      <c r="W116" s="140">
        <f t="shared" si="170"/>
        <v>-4.1980362370561131E-5</v>
      </c>
      <c r="X116" s="140">
        <f t="shared" si="170"/>
        <v>1.5185898244060581E-4</v>
      </c>
      <c r="Y116" s="140">
        <f t="shared" si="170"/>
        <v>3.1651436129895988E-4</v>
      </c>
      <c r="Z116" s="140">
        <f t="shared" si="170"/>
        <v>4.5275688707197004E-4</v>
      </c>
      <c r="AA116" s="140">
        <f t="shared" si="170"/>
        <v>5.6242326739761039E-4</v>
      </c>
      <c r="AB116" s="140">
        <f t="shared" si="170"/>
        <v>6.4614412532148363E-4</v>
      </c>
      <c r="AC116" s="140">
        <f t="shared" si="170"/>
        <v>7.0493728248830628E-4</v>
      </c>
      <c r="AD116" s="140">
        <f t="shared" si="170"/>
        <v>7.3972603909282925E-4</v>
      </c>
      <c r="AE116" s="140">
        <f t="shared" si="170"/>
        <v>7.5166069668396174E-4</v>
      </c>
      <c r="AF116" s="140">
        <f t="shared" si="170"/>
        <v>7.4154189556464856E-4</v>
      </c>
      <c r="AG116" s="140">
        <f t="shared" si="170"/>
        <v>7.1027233474033058E-4</v>
      </c>
      <c r="AH116" s="140">
        <f t="shared" si="170"/>
        <v>6.5889827388145028E-4</v>
      </c>
      <c r="AI116" s="140">
        <f t="shared" si="170"/>
        <v>5.8798117238959002E-4</v>
      </c>
      <c r="AJ116" s="140">
        <f t="shared" si="170"/>
        <v>4.9846054411904761E-4</v>
      </c>
      <c r="AK116" s="140">
        <f t="shared" si="170"/>
        <v>3.9113575000417761E-4</v>
      </c>
      <c r="AL116" s="140">
        <f t="shared" si="170"/>
        <v>2.6715031779149523E-4</v>
      </c>
      <c r="AM116" s="140">
        <f t="shared" si="170"/>
        <v>1.2656352768006252E-4</v>
      </c>
      <c r="AN116" s="140">
        <f t="shared" si="170"/>
        <v>-2.9573648361688742E-5</v>
      </c>
      <c r="AO116" s="140">
        <f t="shared" si="170"/>
        <v>-2.0055455640060477E-4</v>
      </c>
      <c r="AP116" s="140">
        <f t="shared" si="170"/>
        <v>-3.8516092740823599E-4</v>
      </c>
      <c r="AQ116" s="140">
        <f t="shared" si="170"/>
        <v>-5.8375878827200689E-4</v>
      </c>
      <c r="AR116" s="140">
        <f t="shared" si="170"/>
        <v>-7.9520978649688656E-4</v>
      </c>
      <c r="AS116" s="140">
        <f t="shared" si="170"/>
        <v>-1.0188903871503063E-3</v>
      </c>
      <c r="AT116" s="140">
        <f t="shared" si="170"/>
        <v>-1.2535272770956146E-3</v>
      </c>
      <c r="AU116" s="140">
        <f t="shared" si="170"/>
        <v>-1.4998437072458043E-3</v>
      </c>
      <c r="AV116" s="140">
        <f t="shared" si="170"/>
        <v>-1.7566350361072347E-3</v>
      </c>
      <c r="AW116" s="140">
        <f t="shared" si="170"/>
        <v>-2.0233522028343803E-3</v>
      </c>
      <c r="AX116" s="140">
        <f t="shared" si="170"/>
        <v>-2.2986840194121894E-3</v>
      </c>
      <c r="AY116" s="140">
        <f t="shared" si="170"/>
        <v>-2.5836507630309091E-3</v>
      </c>
      <c r="AZ116" s="140">
        <f t="shared" si="170"/>
        <v>-2.8769999255440215E-3</v>
      </c>
      <c r="BA116" s="140">
        <f t="shared" si="170"/>
        <v>-3.1782491278537078E-3</v>
      </c>
      <c r="BB116" s="140">
        <f t="shared" si="170"/>
        <v>-3.486064219931348E-3</v>
      </c>
      <c r="BC116" s="140">
        <f t="shared" si="170"/>
        <v>-3.8017093777160532E-3</v>
      </c>
      <c r="BD116" s="140">
        <f t="shared" si="170"/>
        <v>-4.1239002649068046E-3</v>
      </c>
      <c r="BE116" s="140">
        <f t="shared" si="170"/>
        <v>-4.4522141624470657E-3</v>
      </c>
      <c r="BF116" s="140">
        <f t="shared" si="170"/>
        <v>-4.7853068591935111E-3</v>
      </c>
      <c r="BG116" s="140">
        <f t="shared" si="170"/>
        <v>-5.1246396375814324E-3</v>
      </c>
      <c r="BH116" s="140">
        <f t="shared" si="170"/>
        <v>-5.4689102446440069E-3</v>
      </c>
      <c r="BI116" s="140">
        <f t="shared" si="170"/>
        <v>-5.8177492961230537E-3</v>
      </c>
      <c r="BJ116" s="140">
        <f t="shared" si="170"/>
        <v>-6.1698136285363858E-3</v>
      </c>
      <c r="BK116" s="140">
        <f t="shared" si="170"/>
        <v>-6.5267205113577892E-3</v>
      </c>
      <c r="BL116" s="140">
        <f t="shared" si="170"/>
        <v>-6.8871617905297694E-3</v>
      </c>
      <c r="BM116" s="140">
        <f t="shared" si="170"/>
        <v>-7.2508157206802176E-3</v>
      </c>
      <c r="BN116" s="140">
        <f t="shared" si="170"/>
        <v>-7.6163497003168962E-3</v>
      </c>
      <c r="BO116" s="140">
        <f t="shared" ref="BO116:CB116" si="171">IF(BO114&lt;0,0,$B$5+$B$6*((1-EXP(-BO115/$B$9))/(BO115/$B$9))+$B$7*((1-EXP(-BO115/$B$9))/(BO115/$B$9)-EXP(-BO115/$B$9))+$B$8*((1-EXP(-BO115/$B$10))/(BO115/$B$10)-EXP(-BO115/$B$10)))</f>
        <v>-7.9855009423052403E-3</v>
      </c>
      <c r="BP116" s="140">
        <f t="shared" si="171"/>
        <v>-8.3569657190082497E-3</v>
      </c>
      <c r="BQ116" s="140">
        <f t="shared" si="171"/>
        <v>-8.730464796601306E-3</v>
      </c>
      <c r="BR116" s="140">
        <f t="shared" si="171"/>
        <v>-9.1046842331239802E-3</v>
      </c>
      <c r="BS116" s="140">
        <f t="shared" si="171"/>
        <v>-9.481449679207346E-3</v>
      </c>
      <c r="BT116" s="140">
        <f t="shared" si="171"/>
        <v>-9.8594706599430676E-3</v>
      </c>
      <c r="BU116" s="140">
        <f t="shared" si="171"/>
        <v>-1.023850583930784E-2</v>
      </c>
      <c r="BV116" s="140">
        <f t="shared" si="171"/>
        <v>-1.0617266775222109E-2</v>
      </c>
      <c r="BW116" s="140">
        <f t="shared" si="171"/>
        <v>-1.0997640104179071E-2</v>
      </c>
      <c r="BX116" s="140">
        <f t="shared" si="171"/>
        <v>-1.1378356097016068E-2</v>
      </c>
      <c r="BY116" s="140">
        <f t="shared" si="171"/>
        <v>-1.1759207165605384E-2</v>
      </c>
      <c r="BZ116" s="140">
        <f t="shared" si="171"/>
        <v>-1.2138936094198347E-2</v>
      </c>
      <c r="CA116" s="140">
        <f t="shared" si="171"/>
        <v>-1.2519466670996737E-2</v>
      </c>
      <c r="CB116" s="140">
        <f t="shared" si="171"/>
        <v>-1.2899556223119835E-2</v>
      </c>
      <c r="CC116" s="17"/>
      <c r="CD116" s="17"/>
      <c r="CE116" s="17"/>
    </row>
    <row r="117" spans="1:83">
      <c r="A117" s="16" t="s">
        <v>44</v>
      </c>
      <c r="B117" s="140">
        <f>EXP(-B116*B115)</f>
        <v>1.0120294923628443</v>
      </c>
      <c r="C117" s="140">
        <f t="shared" ref="C117:AR117" si="172">EXP(-C116*C115)</f>
        <v>1.0232744481253744</v>
      </c>
      <c r="D117" s="140">
        <f t="shared" si="172"/>
        <v>1.0324924354171621</v>
      </c>
      <c r="E117" s="140">
        <f t="shared" si="172"/>
        <v>1.03981120066245</v>
      </c>
      <c r="F117" s="140">
        <f t="shared" si="172"/>
        <v>1.0453534926598336</v>
      </c>
      <c r="G117" s="140">
        <f t="shared" si="172"/>
        <v>1.0492910990646334</v>
      </c>
      <c r="H117" s="140">
        <f t="shared" si="172"/>
        <v>1.0517503640412078</v>
      </c>
      <c r="I117" s="140">
        <f t="shared" si="172"/>
        <v>1.0528762510714449</v>
      </c>
      <c r="J117" s="140">
        <f t="shared" si="172"/>
        <v>1.0528143791065512</v>
      </c>
      <c r="K117" s="140">
        <f t="shared" si="172"/>
        <v>1.0517054327375215</v>
      </c>
      <c r="L117" s="140">
        <f t="shared" si="172"/>
        <v>1.0496855303280905</v>
      </c>
      <c r="M117" s="140">
        <f t="shared" si="172"/>
        <v>1.046887378724191</v>
      </c>
      <c r="N117" s="140">
        <f t="shared" si="172"/>
        <v>1.0434484697039905</v>
      </c>
      <c r="O117" s="140">
        <f t="shared" si="172"/>
        <v>1.0394703634286224</v>
      </c>
      <c r="P117" s="140">
        <f t="shared" si="172"/>
        <v>1.0350763082598211</v>
      </c>
      <c r="Q117" s="140">
        <f t="shared" si="172"/>
        <v>1.0303741334022238</v>
      </c>
      <c r="R117" s="140">
        <f t="shared" si="172"/>
        <v>1.0254787586322853</v>
      </c>
      <c r="S117" s="140">
        <f t="shared" si="172"/>
        <v>1.020457103087673</v>
      </c>
      <c r="T117" s="140">
        <f t="shared" si="172"/>
        <v>1.0154104513965785</v>
      </c>
      <c r="U117" s="140">
        <f t="shared" si="172"/>
        <v>1.0104204011228084</v>
      </c>
      <c r="V117" s="140">
        <f t="shared" si="172"/>
        <v>1.0055757975613997</v>
      </c>
      <c r="W117" s="140">
        <f t="shared" si="172"/>
        <v>1.0009194425279306</v>
      </c>
      <c r="X117" s="140">
        <f t="shared" si="172"/>
        <v>0.9965297301469721</v>
      </c>
      <c r="Y117" s="140">
        <f t="shared" si="172"/>
        <v>0.99246646479095024</v>
      </c>
      <c r="Z117" s="140">
        <f t="shared" si="172"/>
        <v>0.98879463718130589</v>
      </c>
      <c r="AA117" s="140">
        <f t="shared" si="172"/>
        <v>0.98554497817333708</v>
      </c>
      <c r="AB117" s="140">
        <f t="shared" si="172"/>
        <v>0.98277596173633364</v>
      </c>
      <c r="AC117" s="140">
        <f t="shared" si="172"/>
        <v>0.98053207836740097</v>
      </c>
      <c r="AD117" s="140">
        <f t="shared" si="172"/>
        <v>0.97885886568288261</v>
      </c>
      <c r="AE117" s="140">
        <f t="shared" si="172"/>
        <v>0.97778622655065039</v>
      </c>
      <c r="AF117" s="140">
        <f t="shared" si="172"/>
        <v>0.9773569452723283</v>
      </c>
      <c r="AG117" s="140">
        <f t="shared" si="172"/>
        <v>0.97760671416042921</v>
      </c>
      <c r="AH117" s="140">
        <f t="shared" si="172"/>
        <v>0.97856626682466885</v>
      </c>
      <c r="AI117" s="140">
        <f t="shared" si="172"/>
        <v>0.98027438475908879</v>
      </c>
      <c r="AJ117" s="140">
        <f t="shared" si="172"/>
        <v>0.98276233296696713</v>
      </c>
      <c r="AK117" s="140">
        <f t="shared" si="172"/>
        <v>0.98606278050374163</v>
      </c>
      <c r="AL117" s="140">
        <f t="shared" si="172"/>
        <v>0.99019572622464913</v>
      </c>
      <c r="AM117" s="140">
        <f t="shared" si="172"/>
        <v>0.99521717755464745</v>
      </c>
      <c r="AN117" s="140">
        <f t="shared" si="172"/>
        <v>1.001150501197426</v>
      </c>
      <c r="AO117" s="140">
        <f t="shared" si="172"/>
        <v>1.0080302983944558</v>
      </c>
      <c r="AP117" s="140">
        <f t="shared" si="172"/>
        <v>1.0158691208517971</v>
      </c>
      <c r="AQ117" s="140">
        <f t="shared" si="172"/>
        <v>1.0247477869612767</v>
      </c>
      <c r="AR117" s="140">
        <f t="shared" si="172"/>
        <v>1.034684788866423</v>
      </c>
      <c r="AS117" s="140">
        <f>EXP(-AS116*AS115)</f>
        <v>1.0457210484429993</v>
      </c>
      <c r="AT117" s="140">
        <f t="shared" ref="AT117:CA117" si="173">EXP(-AT116*AT115)</f>
        <v>1.0578642706117389</v>
      </c>
      <c r="AU117" s="140">
        <f t="shared" si="173"/>
        <v>1.0712276530368665</v>
      </c>
      <c r="AV117" s="140">
        <f t="shared" si="173"/>
        <v>1.085827389464028</v>
      </c>
      <c r="AW117" s="140">
        <f t="shared" si="173"/>
        <v>1.1017149230096532</v>
      </c>
      <c r="AX117" s="140">
        <f t="shared" si="173"/>
        <v>1.118895229450054</v>
      </c>
      <c r="AY117" s="140">
        <f t="shared" si="173"/>
        <v>1.1375222191814121</v>
      </c>
      <c r="AZ117" s="140">
        <f t="shared" si="173"/>
        <v>1.157612135428032</v>
      </c>
      <c r="BA117" s="140">
        <f t="shared" si="173"/>
        <v>1.1792313701851125</v>
      </c>
      <c r="BB117" s="140">
        <f t="shared" si="173"/>
        <v>1.2023840312105549</v>
      </c>
      <c r="BC117" s="140">
        <f t="shared" si="173"/>
        <v>1.2272746411701831</v>
      </c>
      <c r="BD117" s="140">
        <f t="shared" si="173"/>
        <v>1.2539218459688608</v>
      </c>
      <c r="BE117" s="140">
        <f t="shared" si="173"/>
        <v>1.2824120667872587</v>
      </c>
      <c r="BF117" s="140">
        <f t="shared" si="173"/>
        <v>1.3127503630064579</v>
      </c>
      <c r="BG117" s="140">
        <f t="shared" si="173"/>
        <v>1.3452041873595175</v>
      </c>
      <c r="BH117" s="140">
        <f t="shared" si="173"/>
        <v>1.3797971786865084</v>
      </c>
      <c r="BI117" s="140">
        <f t="shared" si="173"/>
        <v>1.4166419653054605</v>
      </c>
      <c r="BJ117" s="140">
        <f t="shared" si="173"/>
        <v>1.4557465344708576</v>
      </c>
      <c r="BK117" s="140">
        <f t="shared" si="173"/>
        <v>1.4974569647386016</v>
      </c>
      <c r="BL117" s="140">
        <f t="shared" si="173"/>
        <v>1.5418049468988912</v>
      </c>
      <c r="BM117" s="140">
        <f t="shared" si="173"/>
        <v>1.5889370799995317</v>
      </c>
      <c r="BN117" s="140">
        <f t="shared" si="173"/>
        <v>1.6388665980599153</v>
      </c>
      <c r="BO117" s="140">
        <f t="shared" si="173"/>
        <v>1.6920384150203669</v>
      </c>
      <c r="BP117" s="140">
        <f t="shared" si="173"/>
        <v>1.7484960413463893</v>
      </c>
      <c r="BQ117" s="140">
        <f t="shared" si="173"/>
        <v>1.8084299567114788</v>
      </c>
      <c r="BR117" s="140">
        <f t="shared" si="173"/>
        <v>1.8718614841707126</v>
      </c>
      <c r="BS117" s="140">
        <f t="shared" si="173"/>
        <v>1.9393604856802467</v>
      </c>
      <c r="BT117" s="140">
        <f t="shared" si="173"/>
        <v>2.0109870245107038</v>
      </c>
      <c r="BU117" s="140">
        <f t="shared" si="173"/>
        <v>2.0869881820645424</v>
      </c>
      <c r="BV117" s="140">
        <f t="shared" si="173"/>
        <v>2.1673969155396895</v>
      </c>
      <c r="BW117" s="140">
        <f t="shared" si="173"/>
        <v>2.2529417792762136</v>
      </c>
      <c r="BX117" s="140">
        <f t="shared" si="173"/>
        <v>2.3437053665527228</v>
      </c>
      <c r="BY117" s="140">
        <f t="shared" si="173"/>
        <v>2.4400076936609336</v>
      </c>
      <c r="BZ117" s="140">
        <f t="shared" si="173"/>
        <v>2.5418977763867097</v>
      </c>
      <c r="CA117" s="140">
        <f t="shared" si="173"/>
        <v>2.6503064017957056</v>
      </c>
      <c r="CB117" s="140">
        <f>EXP(-CB116*CB115)</f>
        <v>2.7653462143814105</v>
      </c>
      <c r="CC117" s="17"/>
      <c r="CD117" s="17"/>
      <c r="CE117" s="17"/>
    </row>
    <row r="118" spans="1:83">
      <c r="A118" s="17"/>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17"/>
      <c r="CD118" s="17"/>
      <c r="CE118" s="17"/>
    </row>
    <row r="119" spans="1:83">
      <c r="A119" s="16" t="s">
        <v>40</v>
      </c>
      <c r="B119" s="140">
        <f t="shared" ref="B119:BM119" si="174">DAYS360($B$3,B44)</f>
        <v>355</v>
      </c>
      <c r="C119" s="140">
        <f t="shared" si="174"/>
        <v>715</v>
      </c>
      <c r="D119" s="140">
        <f t="shared" si="174"/>
        <v>1075</v>
      </c>
      <c r="E119" s="140">
        <f t="shared" si="174"/>
        <v>1435</v>
      </c>
      <c r="F119" s="140">
        <f t="shared" si="174"/>
        <v>1794</v>
      </c>
      <c r="G119" s="140">
        <f t="shared" si="174"/>
        <v>2154</v>
      </c>
      <c r="H119" s="140">
        <f t="shared" si="174"/>
        <v>2514</v>
      </c>
      <c r="I119" s="140">
        <f t="shared" si="174"/>
        <v>2874</v>
      </c>
      <c r="J119" s="140">
        <f t="shared" si="174"/>
        <v>3233</v>
      </c>
      <c r="K119" s="140">
        <f t="shared" si="174"/>
        <v>3593</v>
      </c>
      <c r="L119" s="140">
        <f t="shared" si="174"/>
        <v>3953</v>
      </c>
      <c r="M119" s="140">
        <f t="shared" si="174"/>
        <v>4313</v>
      </c>
      <c r="N119" s="140">
        <f t="shared" si="174"/>
        <v>4672</v>
      </c>
      <c r="O119" s="140">
        <f t="shared" si="174"/>
        <v>5032</v>
      </c>
      <c r="P119" s="140">
        <f t="shared" si="174"/>
        <v>5392</v>
      </c>
      <c r="Q119" s="140">
        <f t="shared" si="174"/>
        <v>5752</v>
      </c>
      <c r="R119" s="140">
        <f t="shared" si="174"/>
        <v>6111</v>
      </c>
      <c r="S119" s="140">
        <f t="shared" si="174"/>
        <v>6471</v>
      </c>
      <c r="T119" s="140">
        <f t="shared" si="174"/>
        <v>6831</v>
      </c>
      <c r="U119" s="140">
        <f t="shared" si="174"/>
        <v>7191</v>
      </c>
      <c r="V119" s="140">
        <f t="shared" si="174"/>
        <v>7550</v>
      </c>
      <c r="W119" s="140">
        <f t="shared" si="174"/>
        <v>7910</v>
      </c>
      <c r="X119" s="140">
        <f t="shared" si="174"/>
        <v>8270</v>
      </c>
      <c r="Y119" s="140">
        <f t="shared" si="174"/>
        <v>8630</v>
      </c>
      <c r="Z119" s="140">
        <f t="shared" si="174"/>
        <v>8989</v>
      </c>
      <c r="AA119" s="140">
        <f t="shared" si="174"/>
        <v>9349</v>
      </c>
      <c r="AB119" s="140">
        <f t="shared" si="174"/>
        <v>9709</v>
      </c>
      <c r="AC119" s="140">
        <f t="shared" si="174"/>
        <v>10069</v>
      </c>
      <c r="AD119" s="140">
        <f t="shared" si="174"/>
        <v>10428</v>
      </c>
      <c r="AE119" s="140">
        <f t="shared" si="174"/>
        <v>10788</v>
      </c>
      <c r="AF119" s="140">
        <f t="shared" si="174"/>
        <v>11148</v>
      </c>
      <c r="AG119" s="140">
        <f t="shared" si="174"/>
        <v>11508</v>
      </c>
      <c r="AH119" s="140">
        <f t="shared" si="174"/>
        <v>11867</v>
      </c>
      <c r="AI119" s="140">
        <f t="shared" si="174"/>
        <v>12227</v>
      </c>
      <c r="AJ119" s="140">
        <f t="shared" si="174"/>
        <v>12587</v>
      </c>
      <c r="AK119" s="140">
        <f t="shared" si="174"/>
        <v>12947</v>
      </c>
      <c r="AL119" s="140">
        <f t="shared" si="174"/>
        <v>13306</v>
      </c>
      <c r="AM119" s="140">
        <f t="shared" si="174"/>
        <v>13666</v>
      </c>
      <c r="AN119" s="140">
        <f t="shared" si="174"/>
        <v>14026</v>
      </c>
      <c r="AO119" s="140">
        <f t="shared" si="174"/>
        <v>14386</v>
      </c>
      <c r="AP119" s="140">
        <f t="shared" si="174"/>
        <v>14745</v>
      </c>
      <c r="AQ119" s="140">
        <f t="shared" si="174"/>
        <v>15105</v>
      </c>
      <c r="AR119" s="140">
        <f t="shared" si="174"/>
        <v>15465</v>
      </c>
      <c r="AS119" s="140">
        <f t="shared" si="174"/>
        <v>15825</v>
      </c>
      <c r="AT119" s="140">
        <f t="shared" si="174"/>
        <v>16184</v>
      </c>
      <c r="AU119" s="140">
        <f t="shared" si="174"/>
        <v>16544</v>
      </c>
      <c r="AV119" s="140">
        <f t="shared" si="174"/>
        <v>16904</v>
      </c>
      <c r="AW119" s="140">
        <f t="shared" si="174"/>
        <v>17264</v>
      </c>
      <c r="AX119" s="140">
        <f t="shared" si="174"/>
        <v>17623</v>
      </c>
      <c r="AY119" s="140">
        <f t="shared" si="174"/>
        <v>17983</v>
      </c>
      <c r="AZ119" s="140">
        <f t="shared" si="174"/>
        <v>18343</v>
      </c>
      <c r="BA119" s="140">
        <f t="shared" si="174"/>
        <v>18703</v>
      </c>
      <c r="BB119" s="140">
        <f t="shared" si="174"/>
        <v>19062</v>
      </c>
      <c r="BC119" s="140">
        <f t="shared" si="174"/>
        <v>19422</v>
      </c>
      <c r="BD119" s="140">
        <f t="shared" si="174"/>
        <v>19782</v>
      </c>
      <c r="BE119" s="140">
        <f t="shared" si="174"/>
        <v>20142</v>
      </c>
      <c r="BF119" s="140">
        <f t="shared" si="174"/>
        <v>20501</v>
      </c>
      <c r="BG119" s="140">
        <f t="shared" si="174"/>
        <v>20861</v>
      </c>
      <c r="BH119" s="140">
        <f t="shared" si="174"/>
        <v>21221</v>
      </c>
      <c r="BI119" s="140">
        <f t="shared" si="174"/>
        <v>21581</v>
      </c>
      <c r="BJ119" s="140">
        <f t="shared" si="174"/>
        <v>21940</v>
      </c>
      <c r="BK119" s="140">
        <f t="shared" si="174"/>
        <v>22300</v>
      </c>
      <c r="BL119" s="140">
        <f t="shared" si="174"/>
        <v>22660</v>
      </c>
      <c r="BM119" s="140">
        <f t="shared" si="174"/>
        <v>23020</v>
      </c>
      <c r="BN119" s="140">
        <f t="shared" ref="BN119:CB119" si="175">DAYS360($B$3,BN44)</f>
        <v>23379</v>
      </c>
      <c r="BO119" s="140">
        <f t="shared" si="175"/>
        <v>23739</v>
      </c>
      <c r="BP119" s="140">
        <f t="shared" si="175"/>
        <v>24099</v>
      </c>
      <c r="BQ119" s="140">
        <f t="shared" si="175"/>
        <v>24459</v>
      </c>
      <c r="BR119" s="140">
        <f t="shared" si="175"/>
        <v>24818</v>
      </c>
      <c r="BS119" s="140">
        <f t="shared" si="175"/>
        <v>25178</v>
      </c>
      <c r="BT119" s="140">
        <f t="shared" si="175"/>
        <v>25538</v>
      </c>
      <c r="BU119" s="140">
        <f t="shared" si="175"/>
        <v>25898</v>
      </c>
      <c r="BV119" s="140">
        <f t="shared" si="175"/>
        <v>26257</v>
      </c>
      <c r="BW119" s="140">
        <f t="shared" si="175"/>
        <v>26617</v>
      </c>
      <c r="BX119" s="140">
        <f t="shared" si="175"/>
        <v>26977</v>
      </c>
      <c r="BY119" s="140">
        <f t="shared" si="175"/>
        <v>27337</v>
      </c>
      <c r="BZ119" s="140">
        <f t="shared" si="175"/>
        <v>27696</v>
      </c>
      <c r="CA119" s="140">
        <f t="shared" si="175"/>
        <v>28056</v>
      </c>
      <c r="CB119" s="140">
        <f t="shared" si="175"/>
        <v>28416</v>
      </c>
      <c r="CC119" s="17"/>
      <c r="CD119" s="17"/>
      <c r="CE119" s="17"/>
    </row>
    <row r="120" spans="1:83">
      <c r="A120" s="16" t="s">
        <v>41</v>
      </c>
      <c r="B120" s="140">
        <f>B119/360</f>
        <v>0.98611111111111116</v>
      </c>
      <c r="C120" s="140">
        <f t="shared" ref="C120:BN120" si="176">C119/360</f>
        <v>1.9861111111111112</v>
      </c>
      <c r="D120" s="140">
        <f t="shared" si="176"/>
        <v>2.9861111111111112</v>
      </c>
      <c r="E120" s="140">
        <f t="shared" si="176"/>
        <v>3.9861111111111112</v>
      </c>
      <c r="F120" s="140">
        <f t="shared" si="176"/>
        <v>4.9833333333333334</v>
      </c>
      <c r="G120" s="140">
        <f t="shared" si="176"/>
        <v>5.9833333333333334</v>
      </c>
      <c r="H120" s="140">
        <f t="shared" si="176"/>
        <v>6.9833333333333334</v>
      </c>
      <c r="I120" s="140">
        <f t="shared" si="176"/>
        <v>7.9833333333333334</v>
      </c>
      <c r="J120" s="140">
        <f t="shared" si="176"/>
        <v>8.9805555555555561</v>
      </c>
      <c r="K120" s="140">
        <f t="shared" si="176"/>
        <v>9.9805555555555561</v>
      </c>
      <c r="L120" s="140">
        <f t="shared" si="176"/>
        <v>10.980555555555556</v>
      </c>
      <c r="M120" s="140">
        <f t="shared" si="176"/>
        <v>11.980555555555556</v>
      </c>
      <c r="N120" s="140">
        <f t="shared" si="176"/>
        <v>12.977777777777778</v>
      </c>
      <c r="O120" s="140">
        <f t="shared" si="176"/>
        <v>13.977777777777778</v>
      </c>
      <c r="P120" s="140">
        <f t="shared" si="176"/>
        <v>14.977777777777778</v>
      </c>
      <c r="Q120" s="140">
        <f t="shared" si="176"/>
        <v>15.977777777777778</v>
      </c>
      <c r="R120" s="140">
        <f t="shared" si="176"/>
        <v>16.975000000000001</v>
      </c>
      <c r="S120" s="140">
        <f t="shared" si="176"/>
        <v>17.975000000000001</v>
      </c>
      <c r="T120" s="140">
        <f t="shared" si="176"/>
        <v>18.975000000000001</v>
      </c>
      <c r="U120" s="140">
        <f t="shared" si="176"/>
        <v>19.975000000000001</v>
      </c>
      <c r="V120" s="140">
        <f t="shared" si="176"/>
        <v>20.972222222222221</v>
      </c>
      <c r="W120" s="140">
        <f t="shared" si="176"/>
        <v>21.972222222222221</v>
      </c>
      <c r="X120" s="140">
        <f t="shared" si="176"/>
        <v>22.972222222222221</v>
      </c>
      <c r="Y120" s="140">
        <f t="shared" si="176"/>
        <v>23.972222222222221</v>
      </c>
      <c r="Z120" s="140">
        <f t="shared" si="176"/>
        <v>24.969444444444445</v>
      </c>
      <c r="AA120" s="140">
        <f t="shared" si="176"/>
        <v>25.969444444444445</v>
      </c>
      <c r="AB120" s="140">
        <f t="shared" si="176"/>
        <v>26.969444444444445</v>
      </c>
      <c r="AC120" s="140">
        <f t="shared" si="176"/>
        <v>27.969444444444445</v>
      </c>
      <c r="AD120" s="140">
        <f t="shared" si="176"/>
        <v>28.966666666666665</v>
      </c>
      <c r="AE120" s="140">
        <f t="shared" si="176"/>
        <v>29.966666666666665</v>
      </c>
      <c r="AF120" s="140">
        <f t="shared" si="176"/>
        <v>30.966666666666665</v>
      </c>
      <c r="AG120" s="140">
        <f t="shared" si="176"/>
        <v>31.966666666666665</v>
      </c>
      <c r="AH120" s="140">
        <f t="shared" si="176"/>
        <v>32.963888888888889</v>
      </c>
      <c r="AI120" s="140">
        <f t="shared" si="176"/>
        <v>33.963888888888889</v>
      </c>
      <c r="AJ120" s="140">
        <f t="shared" si="176"/>
        <v>34.963888888888889</v>
      </c>
      <c r="AK120" s="140">
        <f t="shared" si="176"/>
        <v>35.963888888888889</v>
      </c>
      <c r="AL120" s="140">
        <f t="shared" si="176"/>
        <v>36.961111111111109</v>
      </c>
      <c r="AM120" s="140">
        <f t="shared" si="176"/>
        <v>37.961111111111109</v>
      </c>
      <c r="AN120" s="140">
        <f t="shared" si="176"/>
        <v>38.961111111111109</v>
      </c>
      <c r="AO120" s="140">
        <f t="shared" si="176"/>
        <v>39.961111111111109</v>
      </c>
      <c r="AP120" s="140">
        <f t="shared" si="176"/>
        <v>40.958333333333336</v>
      </c>
      <c r="AQ120" s="140">
        <f t="shared" si="176"/>
        <v>41.958333333333336</v>
      </c>
      <c r="AR120" s="140">
        <f t="shared" si="176"/>
        <v>42.958333333333336</v>
      </c>
      <c r="AS120" s="140">
        <f t="shared" si="176"/>
        <v>43.958333333333336</v>
      </c>
      <c r="AT120" s="140">
        <f t="shared" si="176"/>
        <v>44.955555555555556</v>
      </c>
      <c r="AU120" s="140">
        <f t="shared" si="176"/>
        <v>45.955555555555556</v>
      </c>
      <c r="AV120" s="140">
        <f t="shared" si="176"/>
        <v>46.955555555555556</v>
      </c>
      <c r="AW120" s="140">
        <f t="shared" si="176"/>
        <v>47.955555555555556</v>
      </c>
      <c r="AX120" s="140">
        <f t="shared" si="176"/>
        <v>48.952777777777776</v>
      </c>
      <c r="AY120" s="140">
        <f t="shared" si="176"/>
        <v>49.952777777777776</v>
      </c>
      <c r="AZ120" s="140">
        <f t="shared" si="176"/>
        <v>50.952777777777776</v>
      </c>
      <c r="BA120" s="140">
        <f t="shared" si="176"/>
        <v>51.952777777777776</v>
      </c>
      <c r="BB120" s="140">
        <f t="shared" si="176"/>
        <v>52.95</v>
      </c>
      <c r="BC120" s="140">
        <f t="shared" si="176"/>
        <v>53.95</v>
      </c>
      <c r="BD120" s="140">
        <f t="shared" si="176"/>
        <v>54.95</v>
      </c>
      <c r="BE120" s="140">
        <f t="shared" si="176"/>
        <v>55.95</v>
      </c>
      <c r="BF120" s="140">
        <f t="shared" si="176"/>
        <v>56.947222222222223</v>
      </c>
      <c r="BG120" s="140">
        <f t="shared" si="176"/>
        <v>57.947222222222223</v>
      </c>
      <c r="BH120" s="140">
        <f t="shared" si="176"/>
        <v>58.947222222222223</v>
      </c>
      <c r="BI120" s="140">
        <f t="shared" si="176"/>
        <v>59.947222222222223</v>
      </c>
      <c r="BJ120" s="140">
        <f t="shared" si="176"/>
        <v>60.944444444444443</v>
      </c>
      <c r="BK120" s="140">
        <f t="shared" si="176"/>
        <v>61.944444444444443</v>
      </c>
      <c r="BL120" s="140">
        <f t="shared" si="176"/>
        <v>62.944444444444443</v>
      </c>
      <c r="BM120" s="140">
        <f t="shared" si="176"/>
        <v>63.944444444444443</v>
      </c>
      <c r="BN120" s="140">
        <f t="shared" si="176"/>
        <v>64.941666666666663</v>
      </c>
      <c r="BO120" s="140">
        <f t="shared" ref="BO120:CB120" si="177">BO119/360</f>
        <v>65.941666666666663</v>
      </c>
      <c r="BP120" s="140">
        <f t="shared" si="177"/>
        <v>66.941666666666663</v>
      </c>
      <c r="BQ120" s="140">
        <f t="shared" si="177"/>
        <v>67.941666666666663</v>
      </c>
      <c r="BR120" s="140">
        <f t="shared" si="177"/>
        <v>68.938888888888883</v>
      </c>
      <c r="BS120" s="140">
        <f t="shared" si="177"/>
        <v>69.938888888888883</v>
      </c>
      <c r="BT120" s="140">
        <f t="shared" si="177"/>
        <v>70.938888888888883</v>
      </c>
      <c r="BU120" s="140">
        <f t="shared" si="177"/>
        <v>71.938888888888883</v>
      </c>
      <c r="BV120" s="140">
        <f t="shared" si="177"/>
        <v>72.936111111111117</v>
      </c>
      <c r="BW120" s="140">
        <f t="shared" si="177"/>
        <v>73.936111111111117</v>
      </c>
      <c r="BX120" s="140">
        <f t="shared" si="177"/>
        <v>74.936111111111117</v>
      </c>
      <c r="BY120" s="140">
        <f t="shared" si="177"/>
        <v>75.936111111111117</v>
      </c>
      <c r="BZ120" s="140">
        <f t="shared" si="177"/>
        <v>76.933333333333337</v>
      </c>
      <c r="CA120" s="140">
        <f t="shared" si="177"/>
        <v>77.933333333333337</v>
      </c>
      <c r="CB120" s="140">
        <f t="shared" si="177"/>
        <v>78.933333333333337</v>
      </c>
      <c r="CC120" s="17"/>
      <c r="CD120" s="17"/>
      <c r="CE120" s="17"/>
    </row>
    <row r="121" spans="1:83">
      <c r="A121" s="16" t="s">
        <v>43</v>
      </c>
      <c r="B121" s="140">
        <f>IF(B119&lt;0,0,$B$5+$B$6*((1-EXP(-B120/$B$9))/(B120/$B$9))+$B$7*((1-EXP(-B120/$B$9))/(B120/$B$9)-EXP(-B120/$B$9))+$B$8*((1-EXP(-B120/$B$10))/(B120/$B$10)-EXP(-B120/$B$10)))</f>
        <v>-1.3111405199133964E-2</v>
      </c>
      <c r="C121" s="140">
        <f t="shared" ref="C121:BN121" si="178">IF(C119&lt;0,0,$B$5+$B$6*((1-EXP(-C120/$B$9))/(C120/$B$9))+$B$7*((1-EXP(-C120/$B$9))/(C120/$B$9)-EXP(-C120/$B$9))+$B$8*((1-EXP(-C120/$B$10))/(C120/$B$10)-EXP(-C120/$B$10)))</f>
        <v>-1.1985651425219332E-2</v>
      </c>
      <c r="D121" s="140">
        <f t="shared" si="178"/>
        <v>-1.0921542130223226E-2</v>
      </c>
      <c r="E121" s="140">
        <f t="shared" si="178"/>
        <v>-9.917044218903508E-3</v>
      </c>
      <c r="F121" s="140">
        <f t="shared" si="178"/>
        <v>-8.9727332748552619E-3</v>
      </c>
      <c r="G121" s="140">
        <f t="shared" si="178"/>
        <v>-8.0814314132734676E-3</v>
      </c>
      <c r="H121" s="140">
        <f t="shared" si="178"/>
        <v>-7.2439802117786091E-3</v>
      </c>
      <c r="I121" s="140">
        <f t="shared" si="178"/>
        <v>-6.4585639660886263E-3</v>
      </c>
      <c r="J121" s="140">
        <f t="shared" si="178"/>
        <v>-5.7253919152665048E-3</v>
      </c>
      <c r="K121" s="140">
        <f t="shared" si="178"/>
        <v>-5.0386682153474409E-3</v>
      </c>
      <c r="L121" s="140">
        <f t="shared" si="178"/>
        <v>-4.3988370828229803E-3</v>
      </c>
      <c r="M121" s="140">
        <f t="shared" si="178"/>
        <v>-3.8042784877297155E-3</v>
      </c>
      <c r="N121" s="140">
        <f t="shared" si="178"/>
        <v>-3.2548892720227589E-3</v>
      </c>
      <c r="O121" s="140">
        <f t="shared" si="178"/>
        <v>-2.7460826386716888E-3</v>
      </c>
      <c r="P121" s="140">
        <f t="shared" si="178"/>
        <v>-2.2779626131003428E-3</v>
      </c>
      <c r="Q121" s="140">
        <f t="shared" si="178"/>
        <v>-1.8490852234097424E-3</v>
      </c>
      <c r="R121" s="140">
        <f t="shared" si="178"/>
        <v>-1.4590827737840026E-3</v>
      </c>
      <c r="S121" s="140">
        <f t="shared" si="178"/>
        <v>-1.1044230038054353E-3</v>
      </c>
      <c r="T121" s="140">
        <f t="shared" si="178"/>
        <v>-7.8492051211784958E-4</v>
      </c>
      <c r="U121" s="140">
        <f t="shared" si="178"/>
        <v>-4.9928966921586326E-4</v>
      </c>
      <c r="V121" s="140">
        <f t="shared" si="178"/>
        <v>-2.4694063539598687E-4</v>
      </c>
      <c r="W121" s="140">
        <f t="shared" si="178"/>
        <v>-2.5257814297852121E-5</v>
      </c>
      <c r="X121" s="140">
        <f t="shared" si="178"/>
        <v>1.661886105538829E-4</v>
      </c>
      <c r="Y121" s="140">
        <f t="shared" si="178"/>
        <v>3.2854192231970836E-4</v>
      </c>
      <c r="Z121" s="140">
        <f t="shared" si="178"/>
        <v>4.6257661446093973E-4</v>
      </c>
      <c r="AA121" s="140">
        <f t="shared" si="178"/>
        <v>5.7011452139402174E-4</v>
      </c>
      <c r="AB121" s="140">
        <f t="shared" si="178"/>
        <v>6.5179002634666722E-4</v>
      </c>
      <c r="AC121" s="140">
        <f t="shared" si="178"/>
        <v>7.0861850646106866E-4</v>
      </c>
      <c r="AD121" s="140">
        <f t="shared" si="178"/>
        <v>7.4152601596694234E-4</v>
      </c>
      <c r="AE121" s="140">
        <f t="shared" si="178"/>
        <v>7.5165006481980878E-4</v>
      </c>
      <c r="AF121" s="140">
        <f t="shared" si="178"/>
        <v>7.3979438631150557E-4</v>
      </c>
      <c r="AG121" s="140">
        <f t="shared" si="178"/>
        <v>7.0685948460100928E-4</v>
      </c>
      <c r="AH121" s="140">
        <f t="shared" si="178"/>
        <v>6.5389382203501212E-4</v>
      </c>
      <c r="AI121" s="140">
        <f t="shared" si="178"/>
        <v>5.8144791664087314E-4</v>
      </c>
      <c r="AJ121" s="140">
        <f t="shared" si="178"/>
        <v>4.9046378733031554E-4</v>
      </c>
      <c r="AK121" s="140">
        <f t="shared" si="178"/>
        <v>3.8173882543741933E-4</v>
      </c>
      <c r="AL121" s="140">
        <f t="shared" si="178"/>
        <v>2.5641827734342731E-4</v>
      </c>
      <c r="AM121" s="140">
        <f t="shared" si="178"/>
        <v>1.1455212420034833E-4</v>
      </c>
      <c r="AN121" s="140">
        <f t="shared" si="178"/>
        <v>-4.2806673912341997E-5</v>
      </c>
      <c r="AO121" s="140">
        <f t="shared" si="178"/>
        <v>-2.1495322948920925E-4</v>
      </c>
      <c r="AP121" s="140">
        <f t="shared" si="178"/>
        <v>-4.0066797869423715E-4</v>
      </c>
      <c r="AQ121" s="140">
        <f t="shared" si="178"/>
        <v>-6.0032479180439913E-4</v>
      </c>
      <c r="AR121" s="140">
        <f t="shared" si="178"/>
        <v>-8.1278378163235354E-4</v>
      </c>
      <c r="AS121" s="140">
        <f t="shared" si="178"/>
        <v>-1.0374229964600495E-3</v>
      </c>
      <c r="AT121" s="140">
        <f t="shared" si="178"/>
        <v>-1.2729681983528474E-3</v>
      </c>
      <c r="AU121" s="140">
        <f t="shared" si="178"/>
        <v>-1.5201491934784955E-3</v>
      </c>
      <c r="AV121" s="140">
        <f t="shared" si="178"/>
        <v>-1.7777602022592265E-3</v>
      </c>
      <c r="AW121" s="140">
        <f t="shared" si="178"/>
        <v>-2.0452535818979711E-3</v>
      </c>
      <c r="AX121" s="140">
        <f t="shared" si="178"/>
        <v>-2.3213175415320864E-3</v>
      </c>
      <c r="AY121" s="140">
        <f t="shared" si="178"/>
        <v>-2.6069777757226215E-3</v>
      </c>
      <c r="AZ121" s="140">
        <f t="shared" si="178"/>
        <v>-2.9009809840896544E-3</v>
      </c>
      <c r="BA121" s="140">
        <f t="shared" si="178"/>
        <v>-3.2028460567285894E-3</v>
      </c>
      <c r="BB121" s="140">
        <f t="shared" si="178"/>
        <v>-3.5112385198416418E-3</v>
      </c>
      <c r="BC121" s="140">
        <f t="shared" si="178"/>
        <v>-3.8274269635287933E-3</v>
      </c>
      <c r="BD121" s="140">
        <f t="shared" si="178"/>
        <v>-4.1501265597961717E-3</v>
      </c>
      <c r="BE121" s="140">
        <f t="shared" si="178"/>
        <v>-4.4789157246689359E-3</v>
      </c>
      <c r="BF121" s="140">
        <f t="shared" si="178"/>
        <v>-4.8124501641036016E-3</v>
      </c>
      <c r="BG121" s="140">
        <f t="shared" si="178"/>
        <v>-5.1521946921197076E-3</v>
      </c>
      <c r="BH121" s="140">
        <f t="shared" si="178"/>
        <v>-5.4968468241902296E-3</v>
      </c>
      <c r="BI121" s="140">
        <f t="shared" si="178"/>
        <v>-5.8460381903502751E-3</v>
      </c>
      <c r="BJ121" s="140">
        <f t="shared" si="178"/>
        <v>-6.1984257510727947E-3</v>
      </c>
      <c r="BK121" s="140">
        <f t="shared" si="178"/>
        <v>-6.555629532817131E-3</v>
      </c>
      <c r="BL121" s="140">
        <f t="shared" si="178"/>
        <v>-6.9163413741008123E-3</v>
      </c>
      <c r="BM121" s="140">
        <f t="shared" si="178"/>
        <v>-7.2802404350941763E-3</v>
      </c>
      <c r="BN121" s="140">
        <f t="shared" si="178"/>
        <v>-7.6459944148729725E-3</v>
      </c>
      <c r="BO121" s="140">
        <f t="shared" ref="BO121:CB121" si="179">IF(BO119&lt;0,0,$B$5+$B$6*((1-EXP(-BO120/$B$9))/(BO120/$B$9))+$B$7*((1-EXP(-BO120/$B$9))/(BO120/$B$9)-EXP(-BO120/$B$9))+$B$8*((1-EXP(-BO120/$B$10))/(BO120/$B$10)-EXP(-BO120/$B$10)))</f>
        <v>-8.0153426052643195E-3</v>
      </c>
      <c r="BP121" s="140">
        <f t="shared" si="179"/>
        <v>-8.3869814633103501E-3</v>
      </c>
      <c r="BQ121" s="140">
        <f t="shared" si="179"/>
        <v>-8.7606325628527965E-3</v>
      </c>
      <c r="BR121" s="140">
        <f t="shared" si="179"/>
        <v>-9.1349824122576445E-3</v>
      </c>
      <c r="BS121" s="140">
        <f t="shared" si="179"/>
        <v>-9.5118581493996573E-3</v>
      </c>
      <c r="BT121" s="140">
        <f t="shared" si="179"/>
        <v>-9.889969647685723E-3</v>
      </c>
      <c r="BU121" s="140">
        <f t="shared" si="179"/>
        <v>-1.0269076290705573E-2</v>
      </c>
      <c r="BV121" s="140">
        <f t="shared" si="179"/>
        <v>-1.0647890212653305E-2</v>
      </c>
      <c r="BW121" s="140">
        <f t="shared" si="179"/>
        <v>-1.1028299022606297E-2</v>
      </c>
      <c r="BX121" s="140">
        <f t="shared" si="179"/>
        <v>-1.1409033478088387E-2</v>
      </c>
      <c r="BY121" s="140">
        <f t="shared" si="179"/>
        <v>-1.1789886631401333E-2</v>
      </c>
      <c r="BZ121" s="140">
        <f t="shared" si="179"/>
        <v>-1.21696019479378E-2</v>
      </c>
      <c r="CA121" s="140">
        <f t="shared" si="179"/>
        <v>-1.2550103742560229E-2</v>
      </c>
      <c r="CB121" s="140">
        <f t="shared" si="179"/>
        <v>-1.2930149945056424E-2</v>
      </c>
      <c r="CC121" s="17"/>
      <c r="CD121" s="17"/>
      <c r="CE121" s="17"/>
    </row>
    <row r="122" spans="1:83">
      <c r="A122" s="16" t="s">
        <v>44</v>
      </c>
      <c r="B122" s="140">
        <f>EXP(-B121*B120)</f>
        <v>1.0130132471712905</v>
      </c>
      <c r="C122" s="140">
        <f t="shared" ref="C122:AR122" si="180">EXP(-C121*C120)</f>
        <v>1.0240904322575957</v>
      </c>
      <c r="D122" s="140">
        <f t="shared" si="180"/>
        <v>1.0331505688298701</v>
      </c>
      <c r="E122" s="140">
        <f t="shared" si="180"/>
        <v>1.0403221659661261</v>
      </c>
      <c r="F122" s="140">
        <f t="shared" si="180"/>
        <v>1.0457288650617877</v>
      </c>
      <c r="G122" s="140">
        <f t="shared" si="180"/>
        <v>1.0495420203837673</v>
      </c>
      <c r="H122" s="140">
        <f t="shared" si="180"/>
        <v>1.0518885088082475</v>
      </c>
      <c r="I122" s="140">
        <f t="shared" si="180"/>
        <v>1.052913274115441</v>
      </c>
      <c r="J122" s="140">
        <f t="shared" si="180"/>
        <v>1.0527620141699661</v>
      </c>
      <c r="K122" s="140">
        <f t="shared" si="180"/>
        <v>1.0515746506206991</v>
      </c>
      <c r="L122" s="140">
        <f t="shared" si="180"/>
        <v>1.0494872115942573</v>
      </c>
      <c r="M122" s="140">
        <f t="shared" si="180"/>
        <v>1.0466319791580192</v>
      </c>
      <c r="N122" s="140">
        <f t="shared" si="180"/>
        <v>1.0431460861813939</v>
      </c>
      <c r="O122" s="140">
        <f t="shared" si="180"/>
        <v>1.0391303203478055</v>
      </c>
      <c r="P122" s="140">
        <f t="shared" si="180"/>
        <v>1.0347075411035342</v>
      </c>
      <c r="Q122" s="140">
        <f t="shared" si="180"/>
        <v>1.0299850347754955</v>
      </c>
      <c r="R122" s="140">
        <f t="shared" si="180"/>
        <v>1.0250772033393218</v>
      </c>
      <c r="S122" s="140">
        <f t="shared" si="180"/>
        <v>1.0200503649645725</v>
      </c>
      <c r="T122" s="140">
        <f t="shared" si="180"/>
        <v>1.0150053330510513</v>
      </c>
      <c r="U122" s="140">
        <f t="shared" si="180"/>
        <v>1.0100232103590023</v>
      </c>
      <c r="V122" s="140">
        <f t="shared" si="180"/>
        <v>1.0051923275326109</v>
      </c>
      <c r="W122" s="140">
        <f t="shared" si="180"/>
        <v>1.0005551243331134</v>
      </c>
      <c r="X122" s="140">
        <f t="shared" si="180"/>
        <v>0.99618955654197727</v>
      </c>
      <c r="Y122" s="140">
        <f t="shared" si="180"/>
        <v>0.99215505350876598</v>
      </c>
      <c r="Z122" s="140">
        <f t="shared" si="180"/>
        <v>0.98851616734169734</v>
      </c>
      <c r="AA122" s="140">
        <f t="shared" si="180"/>
        <v>0.98530350596316074</v>
      </c>
      <c r="AB122" s="140">
        <f t="shared" si="180"/>
        <v>0.98257518410440092</v>
      </c>
      <c r="AC122" s="140">
        <f t="shared" si="180"/>
        <v>0.98037545244369473</v>
      </c>
      <c r="AD122" s="140">
        <f t="shared" si="180"/>
        <v>0.97874950548467943</v>
      </c>
      <c r="AE122" s="140">
        <f t="shared" si="180"/>
        <v>0.97772733445730187</v>
      </c>
      <c r="AF122" s="140">
        <f t="shared" si="180"/>
        <v>0.97735145177663441</v>
      </c>
      <c r="AG122" s="140">
        <f t="shared" si="180"/>
        <v>0.97765743474899081</v>
      </c>
      <c r="AH122" s="140">
        <f t="shared" si="180"/>
        <v>0.97867576304483672</v>
      </c>
      <c r="AI122" s="140">
        <f t="shared" si="180"/>
        <v>0.98044548660798081</v>
      </c>
      <c r="AJ122" s="140">
        <f t="shared" si="180"/>
        <v>0.98299767763647061</v>
      </c>
      <c r="AK122" s="140">
        <f t="shared" si="180"/>
        <v>0.98636499765419916</v>
      </c>
      <c r="AL122" s="140">
        <f t="shared" si="180"/>
        <v>0.99056726555780839</v>
      </c>
      <c r="AM122" s="140">
        <f t="shared" si="180"/>
        <v>0.99566091523404809</v>
      </c>
      <c r="AN122" s="140">
        <f t="shared" si="180"/>
        <v>1.0016691871231382</v>
      </c>
      <c r="AO122" s="140">
        <f t="shared" si="180"/>
        <v>1.0086267678193703</v>
      </c>
      <c r="AP122" s="140">
        <f t="shared" si="180"/>
        <v>1.0165460876717811</v>
      </c>
      <c r="AQ122" s="140">
        <f t="shared" si="180"/>
        <v>1.0255085416224756</v>
      </c>
      <c r="AR122" s="140">
        <f t="shared" si="180"/>
        <v>1.0355325512115907</v>
      </c>
      <c r="AS122" s="140">
        <f>EXP(-AS121*AS120)</f>
        <v>1.0466592088101609</v>
      </c>
      <c r="AT122" s="140">
        <f t="shared" ref="AT122:CA122" si="181">EXP(-AT121*AT120)</f>
        <v>1.0588961446656697</v>
      </c>
      <c r="AU122" s="140">
        <f t="shared" si="181"/>
        <v>1.0723572907338355</v>
      </c>
      <c r="AV122" s="140">
        <f t="shared" si="181"/>
        <v>1.0870588189467161</v>
      </c>
      <c r="AW122" s="140">
        <f t="shared" si="181"/>
        <v>1.1030524284910901</v>
      </c>
      <c r="AX122" s="140">
        <f t="shared" si="181"/>
        <v>1.1203430597593589</v>
      </c>
      <c r="AY122" s="140">
        <f t="shared" si="181"/>
        <v>1.1390855387372203</v>
      </c>
      <c r="AZ122" s="140">
        <f t="shared" si="181"/>
        <v>1.1592961334229064</v>
      </c>
      <c r="BA122" s="140">
        <f t="shared" si="181"/>
        <v>1.1810415863715804</v>
      </c>
      <c r="BB122" s="140">
        <f t="shared" si="181"/>
        <v>1.204326006346043</v>
      </c>
      <c r="BC122" s="140">
        <f t="shared" si="181"/>
        <v>1.229355052963816</v>
      </c>
      <c r="BD122" s="140">
        <f t="shared" si="181"/>
        <v>1.2561474459908886</v>
      </c>
      <c r="BE122" s="140">
        <f t="shared" si="181"/>
        <v>1.2847900692858163</v>
      </c>
      <c r="BF122" s="140">
        <f t="shared" si="181"/>
        <v>1.315288020875597</v>
      </c>
      <c r="BG122" s="140">
        <f t="shared" si="181"/>
        <v>1.3479101699362201</v>
      </c>
      <c r="BH122" s="140">
        <f t="shared" si="181"/>
        <v>1.3826802854029341</v>
      </c>
      <c r="BI122" s="140">
        <f t="shared" si="181"/>
        <v>1.4197115973340906</v>
      </c>
      <c r="BJ122" s="140">
        <f t="shared" si="181"/>
        <v>1.4590121743678914</v>
      </c>
      <c r="BK122" s="140">
        <f t="shared" si="181"/>
        <v>1.5009298700290434</v>
      </c>
      <c r="BL122" s="140">
        <f t="shared" si="181"/>
        <v>1.545496573307084</v>
      </c>
      <c r="BM122" s="140">
        <f t="shared" si="181"/>
        <v>1.5928596614741175</v>
      </c>
      <c r="BN122" s="140">
        <f t="shared" si="181"/>
        <v>1.6430325014421971</v>
      </c>
      <c r="BO122" s="140">
        <f t="shared" si="181"/>
        <v>1.6964622449030837</v>
      </c>
      <c r="BP122" s="140">
        <f t="shared" si="181"/>
        <v>1.7531926854788731</v>
      </c>
      <c r="BQ122" s="140">
        <f t="shared" si="181"/>
        <v>1.8134153072363528</v>
      </c>
      <c r="BR122" s="140">
        <f t="shared" si="181"/>
        <v>1.8771516300269782</v>
      </c>
      <c r="BS122" s="140">
        <f t="shared" si="181"/>
        <v>1.9449743517795575</v>
      </c>
      <c r="BT122" s="140">
        <f t="shared" si="181"/>
        <v>2.0169439261212845</v>
      </c>
      <c r="BU122" s="140">
        <f t="shared" si="181"/>
        <v>2.0933087293937285</v>
      </c>
      <c r="BV122" s="140">
        <f t="shared" si="181"/>
        <v>2.1741019954937864</v>
      </c>
      <c r="BW122" s="140">
        <f t="shared" si="181"/>
        <v>2.2600558873671948</v>
      </c>
      <c r="BX122" s="140">
        <f t="shared" si="181"/>
        <v>2.3512535239416699</v>
      </c>
      <c r="BY122" s="140">
        <f t="shared" si="181"/>
        <v>2.4480165891226182</v>
      </c>
      <c r="BZ122" s="140">
        <f t="shared" si="181"/>
        <v>2.5503944747707701</v>
      </c>
      <c r="CA122" s="140">
        <f t="shared" si="181"/>
        <v>2.6593225724206264</v>
      </c>
      <c r="CB122" s="140">
        <f>EXP(-CB121*CB120)</f>
        <v>2.7749142218153797</v>
      </c>
      <c r="CC122" s="17"/>
      <c r="CD122" s="17"/>
      <c r="CE122" s="17"/>
    </row>
    <row r="123" spans="1:83">
      <c r="A123" s="17"/>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17"/>
      <c r="CD123" s="17"/>
      <c r="CE123" s="17"/>
    </row>
    <row r="124" spans="1:83">
      <c r="A124" s="16" t="s">
        <v>40</v>
      </c>
      <c r="B124" s="140">
        <f t="shared" ref="B124:BM124" si="182">DAYS360($B$3,B46)</f>
        <v>276</v>
      </c>
      <c r="C124" s="140">
        <f t="shared" si="182"/>
        <v>636</v>
      </c>
      <c r="D124" s="140">
        <f t="shared" si="182"/>
        <v>996</v>
      </c>
      <c r="E124" s="140">
        <f t="shared" si="182"/>
        <v>1356</v>
      </c>
      <c r="F124" s="140">
        <f t="shared" si="182"/>
        <v>1715</v>
      </c>
      <c r="G124" s="140">
        <f t="shared" si="182"/>
        <v>2075</v>
      </c>
      <c r="H124" s="140">
        <f t="shared" si="182"/>
        <v>2435</v>
      </c>
      <c r="I124" s="140">
        <f t="shared" si="182"/>
        <v>2795</v>
      </c>
      <c r="J124" s="140">
        <f t="shared" si="182"/>
        <v>3154</v>
      </c>
      <c r="K124" s="140">
        <f t="shared" si="182"/>
        <v>3514</v>
      </c>
      <c r="L124" s="140">
        <f t="shared" si="182"/>
        <v>3874</v>
      </c>
      <c r="M124" s="140">
        <f t="shared" si="182"/>
        <v>4234</v>
      </c>
      <c r="N124" s="140">
        <f t="shared" si="182"/>
        <v>4593</v>
      </c>
      <c r="O124" s="140">
        <f t="shared" si="182"/>
        <v>4953</v>
      </c>
      <c r="P124" s="140">
        <f t="shared" si="182"/>
        <v>5313</v>
      </c>
      <c r="Q124" s="140">
        <f t="shared" si="182"/>
        <v>5673</v>
      </c>
      <c r="R124" s="140">
        <f t="shared" si="182"/>
        <v>6032</v>
      </c>
      <c r="S124" s="140">
        <f t="shared" si="182"/>
        <v>6392</v>
      </c>
      <c r="T124" s="140">
        <f t="shared" si="182"/>
        <v>6752</v>
      </c>
      <c r="U124" s="140">
        <f t="shared" si="182"/>
        <v>7112</v>
      </c>
      <c r="V124" s="140">
        <f t="shared" si="182"/>
        <v>7471</v>
      </c>
      <c r="W124" s="140">
        <f t="shared" si="182"/>
        <v>7831</v>
      </c>
      <c r="X124" s="140">
        <f t="shared" si="182"/>
        <v>8191</v>
      </c>
      <c r="Y124" s="140">
        <f t="shared" si="182"/>
        <v>8551</v>
      </c>
      <c r="Z124" s="140">
        <f t="shared" si="182"/>
        <v>8910</v>
      </c>
      <c r="AA124" s="140">
        <f t="shared" si="182"/>
        <v>9270</v>
      </c>
      <c r="AB124" s="140">
        <f t="shared" si="182"/>
        <v>9630</v>
      </c>
      <c r="AC124" s="140">
        <f t="shared" si="182"/>
        <v>9990</v>
      </c>
      <c r="AD124" s="140">
        <f t="shared" si="182"/>
        <v>10349</v>
      </c>
      <c r="AE124" s="140">
        <f t="shared" si="182"/>
        <v>10709</v>
      </c>
      <c r="AF124" s="140">
        <f t="shared" si="182"/>
        <v>11069</v>
      </c>
      <c r="AG124" s="140">
        <f t="shared" si="182"/>
        <v>11429</v>
      </c>
      <c r="AH124" s="140">
        <f t="shared" si="182"/>
        <v>11789</v>
      </c>
      <c r="AI124" s="140">
        <f t="shared" si="182"/>
        <v>12149</v>
      </c>
      <c r="AJ124" s="140">
        <f t="shared" si="182"/>
        <v>12509</v>
      </c>
      <c r="AK124" s="140">
        <f t="shared" si="182"/>
        <v>12869</v>
      </c>
      <c r="AL124" s="140">
        <f t="shared" si="182"/>
        <v>13228</v>
      </c>
      <c r="AM124" s="140">
        <f t="shared" si="182"/>
        <v>13588</v>
      </c>
      <c r="AN124" s="140">
        <f t="shared" si="182"/>
        <v>13948</v>
      </c>
      <c r="AO124" s="140">
        <f t="shared" si="182"/>
        <v>14308</v>
      </c>
      <c r="AP124" s="140">
        <f t="shared" si="182"/>
        <v>14667</v>
      </c>
      <c r="AQ124" s="140">
        <f t="shared" si="182"/>
        <v>15027</v>
      </c>
      <c r="AR124" s="140">
        <f t="shared" si="182"/>
        <v>15387</v>
      </c>
      <c r="AS124" s="140">
        <f t="shared" si="182"/>
        <v>15747</v>
      </c>
      <c r="AT124" s="140">
        <f t="shared" si="182"/>
        <v>16106</v>
      </c>
      <c r="AU124" s="140">
        <f t="shared" si="182"/>
        <v>16466</v>
      </c>
      <c r="AV124" s="140">
        <f t="shared" si="182"/>
        <v>16826</v>
      </c>
      <c r="AW124" s="140">
        <f t="shared" si="182"/>
        <v>17186</v>
      </c>
      <c r="AX124" s="140">
        <f t="shared" si="182"/>
        <v>17545</v>
      </c>
      <c r="AY124" s="140">
        <f t="shared" si="182"/>
        <v>17905</v>
      </c>
      <c r="AZ124" s="140">
        <f t="shared" si="182"/>
        <v>18265</v>
      </c>
      <c r="BA124" s="140">
        <f t="shared" si="182"/>
        <v>18625</v>
      </c>
      <c r="BB124" s="140">
        <f t="shared" si="182"/>
        <v>18984</v>
      </c>
      <c r="BC124" s="140">
        <f t="shared" si="182"/>
        <v>19344</v>
      </c>
      <c r="BD124" s="140">
        <f t="shared" si="182"/>
        <v>19704</v>
      </c>
      <c r="BE124" s="140">
        <f t="shared" si="182"/>
        <v>20064</v>
      </c>
      <c r="BF124" s="140">
        <f t="shared" si="182"/>
        <v>20423</v>
      </c>
      <c r="BG124" s="140">
        <f t="shared" si="182"/>
        <v>20783</v>
      </c>
      <c r="BH124" s="140">
        <f t="shared" si="182"/>
        <v>21143</v>
      </c>
      <c r="BI124" s="140">
        <f t="shared" si="182"/>
        <v>21503</v>
      </c>
      <c r="BJ124" s="140">
        <f t="shared" si="182"/>
        <v>21862</v>
      </c>
      <c r="BK124" s="140">
        <f t="shared" si="182"/>
        <v>22222</v>
      </c>
      <c r="BL124" s="140">
        <f t="shared" si="182"/>
        <v>22582</v>
      </c>
      <c r="BM124" s="140">
        <f t="shared" si="182"/>
        <v>22942</v>
      </c>
      <c r="BN124" s="140">
        <f t="shared" ref="BN124:CB124" si="183">DAYS360($B$3,BN46)</f>
        <v>23301</v>
      </c>
      <c r="BO124" s="140">
        <f t="shared" si="183"/>
        <v>23661</v>
      </c>
      <c r="BP124" s="140">
        <f t="shared" si="183"/>
        <v>24021</v>
      </c>
      <c r="BQ124" s="140">
        <f t="shared" si="183"/>
        <v>24381</v>
      </c>
      <c r="BR124" s="140">
        <f t="shared" si="183"/>
        <v>24740</v>
      </c>
      <c r="BS124" s="140">
        <f t="shared" si="183"/>
        <v>25100</v>
      </c>
      <c r="BT124" s="140">
        <f t="shared" si="183"/>
        <v>25460</v>
      </c>
      <c r="BU124" s="140">
        <f t="shared" si="183"/>
        <v>25820</v>
      </c>
      <c r="BV124" s="140">
        <f t="shared" si="183"/>
        <v>26179</v>
      </c>
      <c r="BW124" s="140">
        <f t="shared" si="183"/>
        <v>26539</v>
      </c>
      <c r="BX124" s="140">
        <f t="shared" si="183"/>
        <v>26899</v>
      </c>
      <c r="BY124" s="140">
        <f t="shared" si="183"/>
        <v>27259</v>
      </c>
      <c r="BZ124" s="140">
        <f t="shared" si="183"/>
        <v>27618</v>
      </c>
      <c r="CA124" s="140">
        <f t="shared" si="183"/>
        <v>27978</v>
      </c>
      <c r="CB124" s="140">
        <f t="shared" si="183"/>
        <v>28338</v>
      </c>
      <c r="CC124" s="17"/>
      <c r="CD124" s="17"/>
      <c r="CE124" s="17"/>
    </row>
    <row r="125" spans="1:83">
      <c r="A125" s="16" t="s">
        <v>41</v>
      </c>
      <c r="B125" s="140">
        <f>B124/360</f>
        <v>0.76666666666666672</v>
      </c>
      <c r="C125" s="140">
        <f t="shared" ref="C125:BN125" si="184">C124/360</f>
        <v>1.7666666666666666</v>
      </c>
      <c r="D125" s="140">
        <f t="shared" si="184"/>
        <v>2.7666666666666666</v>
      </c>
      <c r="E125" s="140">
        <f t="shared" si="184"/>
        <v>3.7666666666666666</v>
      </c>
      <c r="F125" s="140">
        <f t="shared" si="184"/>
        <v>4.7638888888888893</v>
      </c>
      <c r="G125" s="140">
        <f t="shared" si="184"/>
        <v>5.7638888888888893</v>
      </c>
      <c r="H125" s="140">
        <f t="shared" si="184"/>
        <v>6.7638888888888893</v>
      </c>
      <c r="I125" s="140">
        <f t="shared" si="184"/>
        <v>7.7638888888888893</v>
      </c>
      <c r="J125" s="140">
        <f t="shared" si="184"/>
        <v>8.7611111111111111</v>
      </c>
      <c r="K125" s="140">
        <f t="shared" si="184"/>
        <v>9.7611111111111111</v>
      </c>
      <c r="L125" s="140">
        <f t="shared" si="184"/>
        <v>10.761111111111111</v>
      </c>
      <c r="M125" s="140">
        <f t="shared" si="184"/>
        <v>11.761111111111111</v>
      </c>
      <c r="N125" s="140">
        <f t="shared" si="184"/>
        <v>12.758333333333333</v>
      </c>
      <c r="O125" s="140">
        <f t="shared" si="184"/>
        <v>13.758333333333333</v>
      </c>
      <c r="P125" s="140">
        <f t="shared" si="184"/>
        <v>14.758333333333333</v>
      </c>
      <c r="Q125" s="140">
        <f t="shared" si="184"/>
        <v>15.758333333333333</v>
      </c>
      <c r="R125" s="140">
        <f t="shared" si="184"/>
        <v>16.755555555555556</v>
      </c>
      <c r="S125" s="140">
        <f t="shared" si="184"/>
        <v>17.755555555555556</v>
      </c>
      <c r="T125" s="140">
        <f t="shared" si="184"/>
        <v>18.755555555555556</v>
      </c>
      <c r="U125" s="140">
        <f t="shared" si="184"/>
        <v>19.755555555555556</v>
      </c>
      <c r="V125" s="140">
        <f t="shared" si="184"/>
        <v>20.752777777777776</v>
      </c>
      <c r="W125" s="140">
        <f t="shared" si="184"/>
        <v>21.752777777777776</v>
      </c>
      <c r="X125" s="140">
        <f t="shared" si="184"/>
        <v>22.752777777777776</v>
      </c>
      <c r="Y125" s="140">
        <f t="shared" si="184"/>
        <v>23.752777777777776</v>
      </c>
      <c r="Z125" s="140">
        <f t="shared" si="184"/>
        <v>24.75</v>
      </c>
      <c r="AA125" s="140">
        <f t="shared" si="184"/>
        <v>25.75</v>
      </c>
      <c r="AB125" s="140">
        <f t="shared" si="184"/>
        <v>26.75</v>
      </c>
      <c r="AC125" s="140">
        <f t="shared" si="184"/>
        <v>27.75</v>
      </c>
      <c r="AD125" s="140">
        <f t="shared" si="184"/>
        <v>28.747222222222224</v>
      </c>
      <c r="AE125" s="140">
        <f t="shared" si="184"/>
        <v>29.747222222222224</v>
      </c>
      <c r="AF125" s="140">
        <f t="shared" si="184"/>
        <v>30.747222222222224</v>
      </c>
      <c r="AG125" s="140">
        <f t="shared" si="184"/>
        <v>31.747222222222224</v>
      </c>
      <c r="AH125" s="140">
        <f t="shared" si="184"/>
        <v>32.74722222222222</v>
      </c>
      <c r="AI125" s="140">
        <f t="shared" si="184"/>
        <v>33.74722222222222</v>
      </c>
      <c r="AJ125" s="140">
        <f t="shared" si="184"/>
        <v>34.74722222222222</v>
      </c>
      <c r="AK125" s="140">
        <f t="shared" si="184"/>
        <v>35.74722222222222</v>
      </c>
      <c r="AL125" s="140">
        <f t="shared" si="184"/>
        <v>36.744444444444447</v>
      </c>
      <c r="AM125" s="140">
        <f t="shared" si="184"/>
        <v>37.744444444444447</v>
      </c>
      <c r="AN125" s="140">
        <f t="shared" si="184"/>
        <v>38.744444444444447</v>
      </c>
      <c r="AO125" s="140">
        <f t="shared" si="184"/>
        <v>39.744444444444447</v>
      </c>
      <c r="AP125" s="140">
        <f t="shared" si="184"/>
        <v>40.741666666666667</v>
      </c>
      <c r="AQ125" s="140">
        <f t="shared" si="184"/>
        <v>41.741666666666667</v>
      </c>
      <c r="AR125" s="140">
        <f t="shared" si="184"/>
        <v>42.741666666666667</v>
      </c>
      <c r="AS125" s="140">
        <f t="shared" si="184"/>
        <v>43.741666666666667</v>
      </c>
      <c r="AT125" s="140">
        <f t="shared" si="184"/>
        <v>44.738888888888887</v>
      </c>
      <c r="AU125" s="140">
        <f t="shared" si="184"/>
        <v>45.738888888888887</v>
      </c>
      <c r="AV125" s="140">
        <f t="shared" si="184"/>
        <v>46.738888888888887</v>
      </c>
      <c r="AW125" s="140">
        <f t="shared" si="184"/>
        <v>47.738888888888887</v>
      </c>
      <c r="AX125" s="140">
        <f t="shared" si="184"/>
        <v>48.736111111111114</v>
      </c>
      <c r="AY125" s="140">
        <f t="shared" si="184"/>
        <v>49.736111111111114</v>
      </c>
      <c r="AZ125" s="140">
        <f t="shared" si="184"/>
        <v>50.736111111111114</v>
      </c>
      <c r="BA125" s="140">
        <f t="shared" si="184"/>
        <v>51.736111111111114</v>
      </c>
      <c r="BB125" s="140">
        <f t="shared" si="184"/>
        <v>52.733333333333334</v>
      </c>
      <c r="BC125" s="140">
        <f t="shared" si="184"/>
        <v>53.733333333333334</v>
      </c>
      <c r="BD125" s="140">
        <f t="shared" si="184"/>
        <v>54.733333333333334</v>
      </c>
      <c r="BE125" s="140">
        <f t="shared" si="184"/>
        <v>55.733333333333334</v>
      </c>
      <c r="BF125" s="140">
        <f t="shared" si="184"/>
        <v>56.730555555555554</v>
      </c>
      <c r="BG125" s="140">
        <f t="shared" si="184"/>
        <v>57.730555555555554</v>
      </c>
      <c r="BH125" s="140">
        <f t="shared" si="184"/>
        <v>58.730555555555554</v>
      </c>
      <c r="BI125" s="140">
        <f t="shared" si="184"/>
        <v>59.730555555555554</v>
      </c>
      <c r="BJ125" s="140">
        <f t="shared" si="184"/>
        <v>60.727777777777774</v>
      </c>
      <c r="BK125" s="140">
        <f t="shared" si="184"/>
        <v>61.727777777777774</v>
      </c>
      <c r="BL125" s="140">
        <f t="shared" si="184"/>
        <v>62.727777777777774</v>
      </c>
      <c r="BM125" s="140">
        <f t="shared" si="184"/>
        <v>63.727777777777774</v>
      </c>
      <c r="BN125" s="140">
        <f t="shared" si="184"/>
        <v>64.724999999999994</v>
      </c>
      <c r="BO125" s="140">
        <f t="shared" ref="BO125:CB125" si="185">BO124/360</f>
        <v>65.724999999999994</v>
      </c>
      <c r="BP125" s="140">
        <f t="shared" si="185"/>
        <v>66.724999999999994</v>
      </c>
      <c r="BQ125" s="140">
        <f t="shared" si="185"/>
        <v>67.724999999999994</v>
      </c>
      <c r="BR125" s="140">
        <f t="shared" si="185"/>
        <v>68.722222222222229</v>
      </c>
      <c r="BS125" s="140">
        <f t="shared" si="185"/>
        <v>69.722222222222229</v>
      </c>
      <c r="BT125" s="140">
        <f t="shared" si="185"/>
        <v>70.722222222222229</v>
      </c>
      <c r="BU125" s="140">
        <f t="shared" si="185"/>
        <v>71.722222222222229</v>
      </c>
      <c r="BV125" s="140">
        <f t="shared" si="185"/>
        <v>72.719444444444449</v>
      </c>
      <c r="BW125" s="140">
        <f t="shared" si="185"/>
        <v>73.719444444444449</v>
      </c>
      <c r="BX125" s="140">
        <f t="shared" si="185"/>
        <v>74.719444444444449</v>
      </c>
      <c r="BY125" s="140">
        <f t="shared" si="185"/>
        <v>75.719444444444449</v>
      </c>
      <c r="BZ125" s="140">
        <f t="shared" si="185"/>
        <v>76.716666666666669</v>
      </c>
      <c r="CA125" s="140">
        <f t="shared" si="185"/>
        <v>77.716666666666669</v>
      </c>
      <c r="CB125" s="140">
        <f t="shared" si="185"/>
        <v>78.716666666666669</v>
      </c>
      <c r="CC125" s="17"/>
      <c r="CD125" s="17"/>
      <c r="CE125" s="17"/>
    </row>
    <row r="126" spans="1:83">
      <c r="A126" s="16" t="s">
        <v>43</v>
      </c>
      <c r="B126" s="140">
        <f>IF(B124&lt;0,0,$B$5+$B$6*((1-EXP(-B125/$B$9))/(B125/$B$9))+$B$7*((1-EXP(-B125/$B$9))/(B125/$B$9)-EXP(-B125/$B$9))+$B$8*((1-EXP(-B125/$B$10))/(B125/$B$10)-EXP(-B125/$B$10)))</f>
        <v>-1.3366899507867727E-2</v>
      </c>
      <c r="C126" s="140">
        <f t="shared" ref="C126:BN126" si="186">IF(C124&lt;0,0,$B$5+$B$6*((1-EXP(-C125/$B$9))/(C125/$B$9))+$B$7*((1-EXP(-C125/$B$9))/(C125/$B$9)-EXP(-C125/$B$9))+$B$8*((1-EXP(-C125/$B$10))/(C125/$B$10)-EXP(-C125/$B$10)))</f>
        <v>-1.222734045050284E-2</v>
      </c>
      <c r="D126" s="140">
        <f t="shared" si="186"/>
        <v>-1.1149879737356571E-2</v>
      </c>
      <c r="E126" s="140">
        <f t="shared" si="186"/>
        <v>-1.0132471664808651E-2</v>
      </c>
      <c r="F126" s="140">
        <f t="shared" si="186"/>
        <v>-9.1757136216251527E-3</v>
      </c>
      <c r="G126" s="140">
        <f t="shared" si="186"/>
        <v>-8.2723464437471309E-3</v>
      </c>
      <c r="H126" s="140">
        <f t="shared" si="186"/>
        <v>-7.4232353168695621E-3</v>
      </c>
      <c r="I126" s="140">
        <f t="shared" si="186"/>
        <v>-6.6265531856538468E-3</v>
      </c>
      <c r="J126" s="140">
        <f t="shared" si="186"/>
        <v>-5.8825279430165175E-3</v>
      </c>
      <c r="K126" s="140">
        <f t="shared" si="186"/>
        <v>-5.1852925377371753E-3</v>
      </c>
      <c r="L126" s="140">
        <f t="shared" si="186"/>
        <v>-4.5353114562947903E-3</v>
      </c>
      <c r="M126" s="140">
        <f t="shared" si="186"/>
        <v>-3.930954453492088E-3</v>
      </c>
      <c r="N126" s="140">
        <f t="shared" si="186"/>
        <v>-3.3721342273882425E-3</v>
      </c>
      <c r="O126" s="140">
        <f t="shared" si="186"/>
        <v>-2.8542017736922776E-3</v>
      </c>
      <c r="P126" s="140">
        <f t="shared" si="186"/>
        <v>-2.3772784216805412E-3</v>
      </c>
      <c r="Q126" s="140">
        <f t="shared" si="186"/>
        <v>-1.9399110100953507E-3</v>
      </c>
      <c r="R126" s="140">
        <f t="shared" si="186"/>
        <v>-1.5417452189717962E-3</v>
      </c>
      <c r="S126" s="140">
        <f t="shared" si="186"/>
        <v>-1.1791946154877941E-3</v>
      </c>
      <c r="T126" s="140">
        <f t="shared" si="186"/>
        <v>-8.5208847012130384E-4</v>
      </c>
      <c r="U126" s="140">
        <f t="shared" si="186"/>
        <v>-5.5913289040093739E-4</v>
      </c>
      <c r="V126" s="140">
        <f t="shared" si="186"/>
        <v>-2.9974921716893754E-4</v>
      </c>
      <c r="W126" s="140">
        <f t="shared" si="186"/>
        <v>-7.1274847920695106E-5</v>
      </c>
      <c r="X126" s="140">
        <f t="shared" si="186"/>
        <v>1.2670769403151649E-4</v>
      </c>
      <c r="Y126" s="140">
        <f t="shared" si="186"/>
        <v>2.9534911842579725E-4</v>
      </c>
      <c r="Z126" s="140">
        <f t="shared" si="186"/>
        <v>4.3541467789335458E-4</v>
      </c>
      <c r="AA126" s="140">
        <f t="shared" si="186"/>
        <v>5.4876682813230493E-4</v>
      </c>
      <c r="AB126" s="140">
        <f t="shared" si="186"/>
        <v>6.3602967546042E-4</v>
      </c>
      <c r="AC126" s="140">
        <f t="shared" si="186"/>
        <v>6.982252686340909E-4</v>
      </c>
      <c r="AD126" s="140">
        <f t="shared" si="186"/>
        <v>7.3627213165021466E-4</v>
      </c>
      <c r="AE126" s="140">
        <f t="shared" si="186"/>
        <v>7.513427135388967E-4</v>
      </c>
      <c r="AF126" s="140">
        <f t="shared" si="186"/>
        <v>7.4423229217581571E-4</v>
      </c>
      <c r="AG126" s="140">
        <f t="shared" si="186"/>
        <v>7.1584736202003757E-4</v>
      </c>
      <c r="AH126" s="140">
        <f t="shared" si="186"/>
        <v>6.6706740559713956E-4</v>
      </c>
      <c r="AI126" s="140">
        <f t="shared" si="186"/>
        <v>5.9874561430565271E-4</v>
      </c>
      <c r="AJ126" s="140">
        <f t="shared" si="186"/>
        <v>5.1170959088842755E-4</v>
      </c>
      <c r="AK126" s="140">
        <f t="shared" si="186"/>
        <v>4.0676203403162969E-4</v>
      </c>
      <c r="AL126" s="140">
        <f t="shared" si="186"/>
        <v>2.8504354680600197E-4</v>
      </c>
      <c r="AM126" s="140">
        <f t="shared" si="186"/>
        <v>1.4662919249879697E-4</v>
      </c>
      <c r="AN126" s="140">
        <f t="shared" si="186"/>
        <v>-7.4334383502183687E-6</v>
      </c>
      <c r="AO126" s="140">
        <f t="shared" si="186"/>
        <v>-1.7643469830994074E-4</v>
      </c>
      <c r="AP126" s="140">
        <f t="shared" si="186"/>
        <v>-3.5915852429566075E-4</v>
      </c>
      <c r="AQ126" s="140">
        <f t="shared" si="186"/>
        <v>-5.5595762777285729E-4</v>
      </c>
      <c r="AR126" s="140">
        <f t="shared" si="186"/>
        <v>-7.6569626880142183E-4</v>
      </c>
      <c r="AS126" s="140">
        <f t="shared" si="186"/>
        <v>-9.8774822938534068E-4</v>
      </c>
      <c r="AT126" s="140">
        <f t="shared" si="186"/>
        <v>-1.2208417748131722E-3</v>
      </c>
      <c r="AU126" s="140">
        <f t="shared" si="186"/>
        <v>-1.465689024353331E-3</v>
      </c>
      <c r="AV126" s="140">
        <f t="shared" si="186"/>
        <v>-1.7210872764721885E-3</v>
      </c>
      <c r="AW126" s="140">
        <f t="shared" si="186"/>
        <v>-1.9864850671233031E-3</v>
      </c>
      <c r="AX126" s="140">
        <f t="shared" si="186"/>
        <v>-2.2605722406483925E-3</v>
      </c>
      <c r="AY126" s="140">
        <f t="shared" si="186"/>
        <v>-2.5443598717480725E-3</v>
      </c>
      <c r="AZ126" s="140">
        <f t="shared" si="186"/>
        <v>-2.8365968056676683E-3</v>
      </c>
      <c r="BA126" s="140">
        <f t="shared" si="186"/>
        <v>-3.136798512333186E-3</v>
      </c>
      <c r="BB126" s="140">
        <f t="shared" si="186"/>
        <v>-3.4436314006716096E-3</v>
      </c>
      <c r="BC126" s="140">
        <f t="shared" si="186"/>
        <v>-3.7583521450543639E-3</v>
      </c>
      <c r="BD126" s="140">
        <f t="shared" si="186"/>
        <v>-4.0796772528007147E-3</v>
      </c>
      <c r="BE126" s="140">
        <f t="shared" si="186"/>
        <v>-4.4071820811230622E-3</v>
      </c>
      <c r="BF126" s="140">
        <f t="shared" si="186"/>
        <v>-4.739522569194507E-3</v>
      </c>
      <c r="BG126" s="140">
        <f t="shared" si="186"/>
        <v>-5.0781539943655779E-3</v>
      </c>
      <c r="BH126" s="140">
        <f t="shared" si="186"/>
        <v>-5.4217745060066713E-3</v>
      </c>
      <c r="BI126" s="140">
        <f t="shared" si="186"/>
        <v>-5.7700130007999062E-3</v>
      </c>
      <c r="BJ126" s="140">
        <f t="shared" si="186"/>
        <v>-6.1215261145944888E-3</v>
      </c>
      <c r="BK126" s="140">
        <f t="shared" si="186"/>
        <v>-6.4779264252668028E-3</v>
      </c>
      <c r="BL126" s="140">
        <f t="shared" si="186"/>
        <v>-6.8379058008282423E-3</v>
      </c>
      <c r="BM126" s="140">
        <f t="shared" si="186"/>
        <v>-7.2011409611222876E-3</v>
      </c>
      <c r="BN126" s="140">
        <f t="shared" si="186"/>
        <v>-7.5662988042668189E-3</v>
      </c>
      <c r="BO126" s="140">
        <f t="shared" ref="BO126:CB126" si="187">IF(BO124&lt;0,0,$B$5+$B$6*((1-EXP(-BO125/$B$9))/(BO125/$B$9))+$B$7*((1-EXP(-BO125/$B$9))/(BO125/$B$9)-EXP(-BO125/$B$9))+$B$8*((1-EXP(-BO125/$B$10))/(BO125/$B$10)-EXP(-BO125/$B$10)))</f>
        <v>-7.9351130013417676E-3</v>
      </c>
      <c r="BP126" s="140">
        <f t="shared" si="187"/>
        <v>-8.3062795208058149E-3</v>
      </c>
      <c r="BQ126" s="140">
        <f t="shared" si="187"/>
        <v>-8.6795177598999879E-3</v>
      </c>
      <c r="BR126" s="140">
        <f t="shared" si="187"/>
        <v>-9.053513022074286E-3</v>
      </c>
      <c r="BS126" s="140">
        <f t="shared" si="187"/>
        <v>-9.4300884197132673E-3</v>
      </c>
      <c r="BT126" s="140">
        <f t="shared" si="187"/>
        <v>-9.8079528962851936E-3</v>
      </c>
      <c r="BU126" s="140">
        <f t="shared" si="187"/>
        <v>-1.0186863896040455E-2</v>
      </c>
      <c r="BV126" s="140">
        <f t="shared" si="187"/>
        <v>-1.0565532008475154E-2</v>
      </c>
      <c r="BW126" s="140">
        <f t="shared" si="187"/>
        <v>-1.0945842204770406E-2</v>
      </c>
      <c r="BX126" s="140">
        <f t="shared" si="187"/>
        <v>-1.1326523939249003E-2</v>
      </c>
      <c r="BY126" s="140">
        <f t="shared" si="187"/>
        <v>-1.170736853823677E-2</v>
      </c>
      <c r="BZ126" s="140">
        <f t="shared" si="187"/>
        <v>-1.2087117639461492E-2</v>
      </c>
      <c r="CA126" s="140">
        <f t="shared" si="187"/>
        <v>-1.2467694122244924E-2</v>
      </c>
      <c r="CB126" s="140">
        <f t="shared" si="187"/>
        <v>-1.2847854300256867E-2</v>
      </c>
      <c r="CC126" s="17"/>
      <c r="CD126" s="17"/>
      <c r="CE126" s="17"/>
    </row>
    <row r="127" spans="1:83">
      <c r="A127" s="16" t="s">
        <v>44</v>
      </c>
      <c r="B127" s="140">
        <f>EXP(-B126*B125)</f>
        <v>1.0103006464283519</v>
      </c>
      <c r="C127" s="140">
        <f t="shared" ref="C127:AR127" si="188">EXP(-C126*C125)</f>
        <v>1.0218366392182208</v>
      </c>
      <c r="D127" s="140">
        <f t="shared" si="188"/>
        <v>1.0313287306307419</v>
      </c>
      <c r="E127" s="140">
        <f t="shared" si="188"/>
        <v>1.0389033059683535</v>
      </c>
      <c r="F127" s="140">
        <f t="shared" si="188"/>
        <v>1.0446815270553711</v>
      </c>
      <c r="G127" s="140">
        <f t="shared" si="188"/>
        <v>1.0488359034348236</v>
      </c>
      <c r="H127" s="140">
        <f t="shared" si="188"/>
        <v>1.0514918222205811</v>
      </c>
      <c r="I127" s="140">
        <f t="shared" si="188"/>
        <v>1.0527942528445111</v>
      </c>
      <c r="J127" s="140">
        <f t="shared" si="188"/>
        <v>1.0528886487909388</v>
      </c>
      <c r="K127" s="140">
        <f t="shared" si="188"/>
        <v>1.0519170028821596</v>
      </c>
      <c r="L127" s="140">
        <f t="shared" si="188"/>
        <v>1.0500155677674201</v>
      </c>
      <c r="M127" s="140">
        <f t="shared" si="188"/>
        <v>1.0473177710547914</v>
      </c>
      <c r="N127" s="140">
        <f t="shared" si="188"/>
        <v>1.0439617099740213</v>
      </c>
      <c r="O127" s="140">
        <f t="shared" si="188"/>
        <v>1.0400502813152057</v>
      </c>
      <c r="P127" s="140">
        <f t="shared" si="188"/>
        <v>1.035707395712165</v>
      </c>
      <c r="Q127" s="140">
        <f t="shared" si="188"/>
        <v>1.0310418174855784</v>
      </c>
      <c r="R127" s="140">
        <f t="shared" si="188"/>
        <v>1.0261693562201626</v>
      </c>
      <c r="S127" s="140">
        <f t="shared" si="188"/>
        <v>1.0211579775869126</v>
      </c>
      <c r="T127" s="140">
        <f t="shared" si="188"/>
        <v>1.0161097781093493</v>
      </c>
      <c r="U127" s="140">
        <f t="shared" si="188"/>
        <v>1.0111072129745464</v>
      </c>
      <c r="V127" s="140">
        <f t="shared" si="188"/>
        <v>1.0062400171864925</v>
      </c>
      <c r="W127" s="140">
        <f t="shared" si="188"/>
        <v>1.0015516284596413</v>
      </c>
      <c r="X127" s="140">
        <f t="shared" si="188"/>
        <v>0.99712119971040747</v>
      </c>
      <c r="Y127" s="140">
        <f t="shared" si="188"/>
        <v>0.99300918823192208</v>
      </c>
      <c r="Z127" s="140">
        <f t="shared" si="188"/>
        <v>0.98928134531686884</v>
      </c>
      <c r="AA127" s="140">
        <f t="shared" si="188"/>
        <v>0.98596862455453216</v>
      </c>
      <c r="AB127" s="140">
        <f t="shared" si="188"/>
        <v>0.9831301234228299</v>
      </c>
      <c r="AC127" s="140">
        <f t="shared" si="188"/>
        <v>0.98081075217269442</v>
      </c>
      <c r="AD127" s="140">
        <f t="shared" si="188"/>
        <v>0.97905664449048957</v>
      </c>
      <c r="AE127" s="140">
        <f t="shared" si="188"/>
        <v>0.97789756014177964</v>
      </c>
      <c r="AF127" s="140">
        <f t="shared" si="188"/>
        <v>0.9773767562124831</v>
      </c>
      <c r="AG127" s="140">
        <f t="shared" si="188"/>
        <v>0.97753012881620904</v>
      </c>
      <c r="AH127" s="140">
        <f t="shared" si="188"/>
        <v>0.97839226092660847</v>
      </c>
      <c r="AI127" s="140">
        <f t="shared" si="188"/>
        <v>0.97999677190194301</v>
      </c>
      <c r="AJ127" s="140">
        <f t="shared" si="188"/>
        <v>0.98237665326774137</v>
      </c>
      <c r="AK127" s="140">
        <f t="shared" si="188"/>
        <v>0.98556459136016672</v>
      </c>
      <c r="AL127" s="140">
        <f t="shared" si="188"/>
        <v>0.98958089213068101</v>
      </c>
      <c r="AM127" s="140">
        <f t="shared" si="188"/>
        <v>0.99448084937426684</v>
      </c>
      <c r="AN127" s="140">
        <f t="shared" si="188"/>
        <v>1.0002880459164516</v>
      </c>
      <c r="AO127" s="140">
        <f t="shared" si="188"/>
        <v>1.0070369428035522</v>
      </c>
      <c r="AP127" s="140">
        <f t="shared" si="188"/>
        <v>1.0147402991789169</v>
      </c>
      <c r="AQ127" s="140">
        <f t="shared" si="188"/>
        <v>1.0234779661859643</v>
      </c>
      <c r="AR127" s="140">
        <f t="shared" si="188"/>
        <v>1.0332685576252529</v>
      </c>
      <c r="AS127" s="140">
        <f>EXP(-AS126*AS125)</f>
        <v>1.0441527111386979</v>
      </c>
      <c r="AT127" s="140">
        <f t="shared" ref="AT127:CA127" si="189">EXP(-AT126*AT125)</f>
        <v>1.0561382597573354</v>
      </c>
      <c r="AU127" s="140">
        <f t="shared" si="189"/>
        <v>1.0693371680704904</v>
      </c>
      <c r="AV127" s="140">
        <f t="shared" si="189"/>
        <v>1.0837656688304225</v>
      </c>
      <c r="AW127" s="140">
        <f t="shared" si="189"/>
        <v>1.0994747765346584</v>
      </c>
      <c r="AX127" s="140">
        <f t="shared" si="189"/>
        <v>1.1164695284477146</v>
      </c>
      <c r="AY127" s="140">
        <f t="shared" si="189"/>
        <v>1.1349022969978859</v>
      </c>
      <c r="AZ127" s="140">
        <f t="shared" si="189"/>
        <v>1.1547892857034441</v>
      </c>
      <c r="BA127" s="140">
        <f t="shared" si="189"/>
        <v>1.1761962988849464</v>
      </c>
      <c r="BB127" s="140">
        <f t="shared" si="189"/>
        <v>1.199127444266245</v>
      </c>
      <c r="BC127" s="140">
        <f t="shared" si="189"/>
        <v>1.2237853347392533</v>
      </c>
      <c r="BD127" s="140">
        <f t="shared" si="189"/>
        <v>1.2501884937802201</v>
      </c>
      <c r="BE127" s="140">
        <f t="shared" si="189"/>
        <v>1.2784225664623445</v>
      </c>
      <c r="BF127" s="140">
        <f t="shared" si="189"/>
        <v>1.3084925486769401</v>
      </c>
      <c r="BG127" s="140">
        <f t="shared" si="189"/>
        <v>1.3406635142388896</v>
      </c>
      <c r="BH127" s="140">
        <f t="shared" si="189"/>
        <v>1.374958884974474</v>
      </c>
      <c r="BI127" s="140">
        <f t="shared" si="189"/>
        <v>1.4114902795822553</v>
      </c>
      <c r="BJ127" s="140">
        <f t="shared" si="189"/>
        <v>1.4502655499305956</v>
      </c>
      <c r="BK127" s="140">
        <f t="shared" si="189"/>
        <v>1.4916277940131077</v>
      </c>
      <c r="BL127" s="140">
        <f t="shared" si="189"/>
        <v>1.5356083711853263</v>
      </c>
      <c r="BM127" s="140">
        <f t="shared" si="189"/>
        <v>1.5823525746486276</v>
      </c>
      <c r="BN127" s="140">
        <f t="shared" si="189"/>
        <v>1.631873416486243</v>
      </c>
      <c r="BO127" s="140">
        <f t="shared" si="189"/>
        <v>1.68461205354827</v>
      </c>
      <c r="BP127" s="140">
        <f t="shared" si="189"/>
        <v>1.7406115222052634</v>
      </c>
      <c r="BQ127" s="140">
        <f t="shared" si="189"/>
        <v>1.8000606167174336</v>
      </c>
      <c r="BR127" s="140">
        <f t="shared" si="189"/>
        <v>1.8629803308764536</v>
      </c>
      <c r="BS127" s="140">
        <f t="shared" si="189"/>
        <v>1.9299357657622267</v>
      </c>
      <c r="BT127" s="140">
        <f t="shared" si="189"/>
        <v>2.000986330564511</v>
      </c>
      <c r="BU127" s="140">
        <f t="shared" si="189"/>
        <v>2.0763769336671491</v>
      </c>
      <c r="BV127" s="140">
        <f t="shared" si="189"/>
        <v>2.1561400688084933</v>
      </c>
      <c r="BW127" s="140">
        <f t="shared" si="189"/>
        <v>2.24099823295749</v>
      </c>
      <c r="BX127" s="140">
        <f t="shared" si="189"/>
        <v>2.3310331381365965</v>
      </c>
      <c r="BY127" s="140">
        <f t="shared" si="189"/>
        <v>2.4265620021341823</v>
      </c>
      <c r="BZ127" s="140">
        <f t="shared" si="189"/>
        <v>2.5276332103297814</v>
      </c>
      <c r="CA127" s="140">
        <f t="shared" si="189"/>
        <v>2.6351698212279282</v>
      </c>
      <c r="CB127" s="140">
        <f>EXP(-CB126*CB125)</f>
        <v>2.7492833132113454</v>
      </c>
      <c r="CC127" s="17"/>
      <c r="CD127" s="17"/>
      <c r="CE127" s="17"/>
    </row>
    <row r="128" spans="1:83">
      <c r="A128" s="17"/>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17"/>
      <c r="CD128" s="17"/>
      <c r="CE128" s="17"/>
    </row>
    <row r="129" spans="1:83">
      <c r="A129" s="16" t="s">
        <v>40</v>
      </c>
      <c r="B129" s="140">
        <f t="shared" ref="B129:BM129" si="190">DAYS360($B$3,B48)</f>
        <v>350</v>
      </c>
      <c r="C129" s="140">
        <f t="shared" si="190"/>
        <v>710</v>
      </c>
      <c r="D129" s="140">
        <f t="shared" si="190"/>
        <v>1070</v>
      </c>
      <c r="E129" s="140">
        <f t="shared" si="190"/>
        <v>1430</v>
      </c>
      <c r="F129" s="140">
        <f t="shared" si="190"/>
        <v>1789</v>
      </c>
      <c r="G129" s="140">
        <f t="shared" si="190"/>
        <v>2149</v>
      </c>
      <c r="H129" s="140">
        <f t="shared" si="190"/>
        <v>2509</v>
      </c>
      <c r="I129" s="140">
        <f t="shared" si="190"/>
        <v>2869</v>
      </c>
      <c r="J129" s="140">
        <f t="shared" si="190"/>
        <v>3228</v>
      </c>
      <c r="K129" s="140">
        <f t="shared" si="190"/>
        <v>3588</v>
      </c>
      <c r="L129" s="140">
        <f t="shared" si="190"/>
        <v>3948</v>
      </c>
      <c r="M129" s="140">
        <f t="shared" si="190"/>
        <v>4308</v>
      </c>
      <c r="N129" s="140">
        <f t="shared" si="190"/>
        <v>4667</v>
      </c>
      <c r="O129" s="140">
        <f t="shared" si="190"/>
        <v>5027</v>
      </c>
      <c r="P129" s="140">
        <f t="shared" si="190"/>
        <v>5387</v>
      </c>
      <c r="Q129" s="140">
        <f t="shared" si="190"/>
        <v>5747</v>
      </c>
      <c r="R129" s="140">
        <f t="shared" si="190"/>
        <v>6106</v>
      </c>
      <c r="S129" s="140">
        <f t="shared" si="190"/>
        <v>6466</v>
      </c>
      <c r="T129" s="140">
        <f t="shared" si="190"/>
        <v>6826</v>
      </c>
      <c r="U129" s="140">
        <f t="shared" si="190"/>
        <v>7186</v>
      </c>
      <c r="V129" s="140">
        <f t="shared" si="190"/>
        <v>7545</v>
      </c>
      <c r="W129" s="140">
        <f t="shared" si="190"/>
        <v>7905</v>
      </c>
      <c r="X129" s="140">
        <f t="shared" si="190"/>
        <v>8265</v>
      </c>
      <c r="Y129" s="140">
        <f t="shared" si="190"/>
        <v>8625</v>
      </c>
      <c r="Z129" s="140">
        <f t="shared" si="190"/>
        <v>8984</v>
      </c>
      <c r="AA129" s="140">
        <f t="shared" si="190"/>
        <v>9344</v>
      </c>
      <c r="AB129" s="140">
        <f t="shared" si="190"/>
        <v>9704</v>
      </c>
      <c r="AC129" s="140">
        <f t="shared" si="190"/>
        <v>10064</v>
      </c>
      <c r="AD129" s="140">
        <f t="shared" si="190"/>
        <v>10423</v>
      </c>
      <c r="AE129" s="140">
        <f t="shared" si="190"/>
        <v>10783</v>
      </c>
      <c r="AF129" s="140">
        <f t="shared" si="190"/>
        <v>11143</v>
      </c>
      <c r="AG129" s="140">
        <f t="shared" si="190"/>
        <v>11503</v>
      </c>
      <c r="AH129" s="140">
        <f t="shared" si="190"/>
        <v>11862</v>
      </c>
      <c r="AI129" s="140">
        <f t="shared" si="190"/>
        <v>12222</v>
      </c>
      <c r="AJ129" s="140">
        <f t="shared" si="190"/>
        <v>12582</v>
      </c>
      <c r="AK129" s="140">
        <f t="shared" si="190"/>
        <v>12942</v>
      </c>
      <c r="AL129" s="140">
        <f t="shared" si="190"/>
        <v>13301</v>
      </c>
      <c r="AM129" s="140">
        <f t="shared" si="190"/>
        <v>13661</v>
      </c>
      <c r="AN129" s="140">
        <f t="shared" si="190"/>
        <v>14021</v>
      </c>
      <c r="AO129" s="140">
        <f t="shared" si="190"/>
        <v>14381</v>
      </c>
      <c r="AP129" s="140">
        <f t="shared" si="190"/>
        <v>14740</v>
      </c>
      <c r="AQ129" s="140">
        <f t="shared" si="190"/>
        <v>15100</v>
      </c>
      <c r="AR129" s="140">
        <f t="shared" si="190"/>
        <v>15460</v>
      </c>
      <c r="AS129" s="140">
        <f t="shared" si="190"/>
        <v>15820</v>
      </c>
      <c r="AT129" s="140">
        <f t="shared" si="190"/>
        <v>16179</v>
      </c>
      <c r="AU129" s="140">
        <f t="shared" si="190"/>
        <v>16539</v>
      </c>
      <c r="AV129" s="140">
        <f t="shared" si="190"/>
        <v>16899</v>
      </c>
      <c r="AW129" s="140">
        <f t="shared" si="190"/>
        <v>17259</v>
      </c>
      <c r="AX129" s="140">
        <f t="shared" si="190"/>
        <v>17618</v>
      </c>
      <c r="AY129" s="140">
        <f t="shared" si="190"/>
        <v>17978</v>
      </c>
      <c r="AZ129" s="140">
        <f t="shared" si="190"/>
        <v>18338</v>
      </c>
      <c r="BA129" s="140">
        <f t="shared" si="190"/>
        <v>18698</v>
      </c>
      <c r="BB129" s="140">
        <f t="shared" si="190"/>
        <v>19057</v>
      </c>
      <c r="BC129" s="140">
        <f t="shared" si="190"/>
        <v>19417</v>
      </c>
      <c r="BD129" s="140">
        <f t="shared" si="190"/>
        <v>19777</v>
      </c>
      <c r="BE129" s="140">
        <f t="shared" si="190"/>
        <v>20137</v>
      </c>
      <c r="BF129" s="140">
        <f t="shared" si="190"/>
        <v>20496</v>
      </c>
      <c r="BG129" s="140">
        <f t="shared" si="190"/>
        <v>20856</v>
      </c>
      <c r="BH129" s="140">
        <f t="shared" si="190"/>
        <v>21216</v>
      </c>
      <c r="BI129" s="140">
        <f t="shared" si="190"/>
        <v>21576</v>
      </c>
      <c r="BJ129" s="140">
        <f t="shared" si="190"/>
        <v>21935</v>
      </c>
      <c r="BK129" s="140">
        <f t="shared" si="190"/>
        <v>22295</v>
      </c>
      <c r="BL129" s="140">
        <f t="shared" si="190"/>
        <v>22655</v>
      </c>
      <c r="BM129" s="140">
        <f t="shared" si="190"/>
        <v>23015</v>
      </c>
      <c r="BN129" s="140">
        <f t="shared" ref="BN129:CB129" si="191">DAYS360($B$3,BN48)</f>
        <v>23374</v>
      </c>
      <c r="BO129" s="140">
        <f t="shared" si="191"/>
        <v>23734</v>
      </c>
      <c r="BP129" s="140">
        <f t="shared" si="191"/>
        <v>24094</v>
      </c>
      <c r="BQ129" s="140">
        <f t="shared" si="191"/>
        <v>24454</v>
      </c>
      <c r="BR129" s="140">
        <f t="shared" si="191"/>
        <v>24813</v>
      </c>
      <c r="BS129" s="140">
        <f t="shared" si="191"/>
        <v>25173</v>
      </c>
      <c r="BT129" s="140">
        <f t="shared" si="191"/>
        <v>25533</v>
      </c>
      <c r="BU129" s="140">
        <f t="shared" si="191"/>
        <v>25893</v>
      </c>
      <c r="BV129" s="140">
        <f t="shared" si="191"/>
        <v>26252</v>
      </c>
      <c r="BW129" s="140">
        <f t="shared" si="191"/>
        <v>26612</v>
      </c>
      <c r="BX129" s="140">
        <f t="shared" si="191"/>
        <v>26972</v>
      </c>
      <c r="BY129" s="140">
        <f t="shared" si="191"/>
        <v>27332</v>
      </c>
      <c r="BZ129" s="140">
        <f t="shared" si="191"/>
        <v>27691</v>
      </c>
      <c r="CA129" s="140">
        <f t="shared" si="191"/>
        <v>28051</v>
      </c>
      <c r="CB129" s="140">
        <f t="shared" si="191"/>
        <v>28411</v>
      </c>
      <c r="CC129" s="17"/>
      <c r="CD129" s="17"/>
      <c r="CE129" s="17"/>
    </row>
    <row r="130" spans="1:83">
      <c r="A130" s="16" t="s">
        <v>41</v>
      </c>
      <c r="B130" s="140">
        <f>B129/360</f>
        <v>0.97222222222222221</v>
      </c>
      <c r="C130" s="140">
        <f t="shared" ref="C130:BN130" si="192">C129/360</f>
        <v>1.9722222222222223</v>
      </c>
      <c r="D130" s="140">
        <f t="shared" si="192"/>
        <v>2.9722222222222223</v>
      </c>
      <c r="E130" s="140">
        <f t="shared" si="192"/>
        <v>3.9722222222222223</v>
      </c>
      <c r="F130" s="140">
        <f t="shared" si="192"/>
        <v>4.9694444444444441</v>
      </c>
      <c r="G130" s="140">
        <f t="shared" si="192"/>
        <v>5.9694444444444441</v>
      </c>
      <c r="H130" s="140">
        <f t="shared" si="192"/>
        <v>6.9694444444444441</v>
      </c>
      <c r="I130" s="140">
        <f t="shared" si="192"/>
        <v>7.9694444444444441</v>
      </c>
      <c r="J130" s="140">
        <f t="shared" si="192"/>
        <v>8.9666666666666668</v>
      </c>
      <c r="K130" s="140">
        <f t="shared" si="192"/>
        <v>9.9666666666666668</v>
      </c>
      <c r="L130" s="140">
        <f t="shared" si="192"/>
        <v>10.966666666666667</v>
      </c>
      <c r="M130" s="140">
        <f t="shared" si="192"/>
        <v>11.966666666666667</v>
      </c>
      <c r="N130" s="140">
        <f t="shared" si="192"/>
        <v>12.963888888888889</v>
      </c>
      <c r="O130" s="140">
        <f t="shared" si="192"/>
        <v>13.963888888888889</v>
      </c>
      <c r="P130" s="140">
        <f t="shared" si="192"/>
        <v>14.963888888888889</v>
      </c>
      <c r="Q130" s="140">
        <f t="shared" si="192"/>
        <v>15.963888888888889</v>
      </c>
      <c r="R130" s="140">
        <f t="shared" si="192"/>
        <v>16.961111111111112</v>
      </c>
      <c r="S130" s="140">
        <f t="shared" si="192"/>
        <v>17.961111111111112</v>
      </c>
      <c r="T130" s="140">
        <f t="shared" si="192"/>
        <v>18.961111111111112</v>
      </c>
      <c r="U130" s="140">
        <f t="shared" si="192"/>
        <v>19.961111111111112</v>
      </c>
      <c r="V130" s="140">
        <f t="shared" si="192"/>
        <v>20.958333333333332</v>
      </c>
      <c r="W130" s="140">
        <f t="shared" si="192"/>
        <v>21.958333333333332</v>
      </c>
      <c r="X130" s="140">
        <f t="shared" si="192"/>
        <v>22.958333333333332</v>
      </c>
      <c r="Y130" s="140">
        <f t="shared" si="192"/>
        <v>23.958333333333332</v>
      </c>
      <c r="Z130" s="140">
        <f t="shared" si="192"/>
        <v>24.955555555555556</v>
      </c>
      <c r="AA130" s="140">
        <f t="shared" si="192"/>
        <v>25.955555555555556</v>
      </c>
      <c r="AB130" s="140">
        <f t="shared" si="192"/>
        <v>26.955555555555556</v>
      </c>
      <c r="AC130" s="140">
        <f t="shared" si="192"/>
        <v>27.955555555555556</v>
      </c>
      <c r="AD130" s="140">
        <f t="shared" si="192"/>
        <v>28.952777777777779</v>
      </c>
      <c r="AE130" s="140">
        <f t="shared" si="192"/>
        <v>29.952777777777779</v>
      </c>
      <c r="AF130" s="140">
        <f t="shared" si="192"/>
        <v>30.952777777777779</v>
      </c>
      <c r="AG130" s="140">
        <f t="shared" si="192"/>
        <v>31.952777777777779</v>
      </c>
      <c r="AH130" s="140">
        <f t="shared" si="192"/>
        <v>32.950000000000003</v>
      </c>
      <c r="AI130" s="140">
        <f t="shared" si="192"/>
        <v>33.950000000000003</v>
      </c>
      <c r="AJ130" s="140">
        <f t="shared" si="192"/>
        <v>34.950000000000003</v>
      </c>
      <c r="AK130" s="140">
        <f t="shared" si="192"/>
        <v>35.950000000000003</v>
      </c>
      <c r="AL130" s="140">
        <f t="shared" si="192"/>
        <v>36.947222222222223</v>
      </c>
      <c r="AM130" s="140">
        <f t="shared" si="192"/>
        <v>37.947222222222223</v>
      </c>
      <c r="AN130" s="140">
        <f t="shared" si="192"/>
        <v>38.947222222222223</v>
      </c>
      <c r="AO130" s="140">
        <f t="shared" si="192"/>
        <v>39.947222222222223</v>
      </c>
      <c r="AP130" s="140">
        <f t="shared" si="192"/>
        <v>40.944444444444443</v>
      </c>
      <c r="AQ130" s="140">
        <f t="shared" si="192"/>
        <v>41.944444444444443</v>
      </c>
      <c r="AR130" s="140">
        <f t="shared" si="192"/>
        <v>42.944444444444443</v>
      </c>
      <c r="AS130" s="140">
        <f t="shared" si="192"/>
        <v>43.944444444444443</v>
      </c>
      <c r="AT130" s="140">
        <f t="shared" si="192"/>
        <v>44.94166666666667</v>
      </c>
      <c r="AU130" s="140">
        <f t="shared" si="192"/>
        <v>45.94166666666667</v>
      </c>
      <c r="AV130" s="140">
        <f t="shared" si="192"/>
        <v>46.94166666666667</v>
      </c>
      <c r="AW130" s="140">
        <f t="shared" si="192"/>
        <v>47.94166666666667</v>
      </c>
      <c r="AX130" s="140">
        <f t="shared" si="192"/>
        <v>48.93888888888889</v>
      </c>
      <c r="AY130" s="140">
        <f t="shared" si="192"/>
        <v>49.93888888888889</v>
      </c>
      <c r="AZ130" s="140">
        <f t="shared" si="192"/>
        <v>50.93888888888889</v>
      </c>
      <c r="BA130" s="140">
        <f t="shared" si="192"/>
        <v>51.93888888888889</v>
      </c>
      <c r="BB130" s="140">
        <f t="shared" si="192"/>
        <v>52.93611111111111</v>
      </c>
      <c r="BC130" s="140">
        <f t="shared" si="192"/>
        <v>53.93611111111111</v>
      </c>
      <c r="BD130" s="140">
        <f t="shared" si="192"/>
        <v>54.93611111111111</v>
      </c>
      <c r="BE130" s="140">
        <f t="shared" si="192"/>
        <v>55.93611111111111</v>
      </c>
      <c r="BF130" s="140">
        <f t="shared" si="192"/>
        <v>56.93333333333333</v>
      </c>
      <c r="BG130" s="140">
        <f t="shared" si="192"/>
        <v>57.93333333333333</v>
      </c>
      <c r="BH130" s="140">
        <f t="shared" si="192"/>
        <v>58.93333333333333</v>
      </c>
      <c r="BI130" s="140">
        <f t="shared" si="192"/>
        <v>59.93333333333333</v>
      </c>
      <c r="BJ130" s="140">
        <f t="shared" si="192"/>
        <v>60.930555555555557</v>
      </c>
      <c r="BK130" s="140">
        <f t="shared" si="192"/>
        <v>61.930555555555557</v>
      </c>
      <c r="BL130" s="140">
        <f t="shared" si="192"/>
        <v>62.930555555555557</v>
      </c>
      <c r="BM130" s="140">
        <f t="shared" si="192"/>
        <v>63.930555555555557</v>
      </c>
      <c r="BN130" s="140">
        <f t="shared" si="192"/>
        <v>64.927777777777777</v>
      </c>
      <c r="BO130" s="140">
        <f t="shared" ref="BO130:CB130" si="193">BO129/360</f>
        <v>65.927777777777777</v>
      </c>
      <c r="BP130" s="140">
        <f t="shared" si="193"/>
        <v>66.927777777777777</v>
      </c>
      <c r="BQ130" s="140">
        <f t="shared" si="193"/>
        <v>67.927777777777777</v>
      </c>
      <c r="BR130" s="140">
        <f t="shared" si="193"/>
        <v>68.924999999999997</v>
      </c>
      <c r="BS130" s="140">
        <f t="shared" si="193"/>
        <v>69.924999999999997</v>
      </c>
      <c r="BT130" s="140">
        <f t="shared" si="193"/>
        <v>70.924999999999997</v>
      </c>
      <c r="BU130" s="140">
        <f t="shared" si="193"/>
        <v>71.924999999999997</v>
      </c>
      <c r="BV130" s="140">
        <f t="shared" si="193"/>
        <v>72.922222222222217</v>
      </c>
      <c r="BW130" s="140">
        <f t="shared" si="193"/>
        <v>73.922222222222217</v>
      </c>
      <c r="BX130" s="140">
        <f t="shared" si="193"/>
        <v>74.922222222222217</v>
      </c>
      <c r="BY130" s="140">
        <f t="shared" si="193"/>
        <v>75.922222222222217</v>
      </c>
      <c r="BZ130" s="140">
        <f t="shared" si="193"/>
        <v>76.919444444444451</v>
      </c>
      <c r="CA130" s="140">
        <f t="shared" si="193"/>
        <v>77.919444444444451</v>
      </c>
      <c r="CB130" s="140">
        <f t="shared" si="193"/>
        <v>78.919444444444451</v>
      </c>
      <c r="CC130" s="17"/>
      <c r="CD130" s="17"/>
      <c r="CE130" s="17"/>
    </row>
    <row r="131" spans="1:83">
      <c r="A131" s="16" t="s">
        <v>43</v>
      </c>
      <c r="B131" s="140">
        <f>IF(B129&lt;0,0,$B$5+$B$6*((1-EXP(-B130/$B$9))/(B130/$B$9))+$B$7*((1-EXP(-B130/$B$9))/(B130/$B$9)-EXP(-B130/$B$9))+$B$8*((1-EXP(-B130/$B$10))/(B130/$B$10)-EXP(-B130/$B$10)))</f>
        <v>-1.3127484515657777E-2</v>
      </c>
      <c r="C131" s="140">
        <f t="shared" ref="C131:BN131" si="194">IF(C129&lt;0,0,$B$5+$B$6*((1-EXP(-C130/$B$9))/(C130/$B$9))+$B$7*((1-EXP(-C130/$B$9))/(C130/$B$9)-EXP(-C130/$B$9))+$B$8*((1-EXP(-C130/$B$10))/(C130/$B$10)-EXP(-C130/$B$10)))</f>
        <v>-1.2000859981024285E-2</v>
      </c>
      <c r="D131" s="140">
        <f t="shared" si="194"/>
        <v>-1.0935908567935112E-2</v>
      </c>
      <c r="E131" s="140">
        <f t="shared" si="194"/>
        <v>-9.9305963852968186E-3</v>
      </c>
      <c r="F131" s="140">
        <f t="shared" si="194"/>
        <v>-8.985500391349488E-3</v>
      </c>
      <c r="G131" s="140">
        <f t="shared" si="194"/>
        <v>-8.0934375743386879E-3</v>
      </c>
      <c r="H131" s="140">
        <f t="shared" si="194"/>
        <v>-7.2552510003179443E-3</v>
      </c>
      <c r="I131" s="140">
        <f t="shared" si="194"/>
        <v>-6.4691242485242009E-3</v>
      </c>
      <c r="J131" s="140">
        <f t="shared" si="194"/>
        <v>-5.7352677338202186E-3</v>
      </c>
      <c r="K131" s="140">
        <f t="shared" si="194"/>
        <v>-5.0478811209246875E-3</v>
      </c>
      <c r="L131" s="140">
        <f t="shared" si="194"/>
        <v>-4.4074099041275829E-3</v>
      </c>
      <c r="M131" s="140">
        <f t="shared" si="194"/>
        <v>-3.8122334086856322E-3</v>
      </c>
      <c r="N131" s="140">
        <f t="shared" si="194"/>
        <v>-3.262249475823039E-3</v>
      </c>
      <c r="O131" s="140">
        <f t="shared" si="194"/>
        <v>-2.7528673851625954E-3</v>
      </c>
      <c r="P131" s="140">
        <f t="shared" si="194"/>
        <v>-2.2841922527675404E-3</v>
      </c>
      <c r="Q131" s="140">
        <f t="shared" si="194"/>
        <v>-1.8547795267184614E-3</v>
      </c>
      <c r="R131" s="140">
        <f t="shared" si="194"/>
        <v>-1.4642623539795618E-3</v>
      </c>
      <c r="S131" s="140">
        <f t="shared" si="194"/>
        <v>-1.1091050578333136E-3</v>
      </c>
      <c r="T131" s="140">
        <f t="shared" si="194"/>
        <v>-7.8912316149353651E-4</v>
      </c>
      <c r="U131" s="140">
        <f t="shared" si="194"/>
        <v>-5.0303051391348969E-4</v>
      </c>
      <c r="V131" s="140">
        <f t="shared" si="194"/>
        <v>-2.5023797966534922E-4</v>
      </c>
      <c r="W131" s="140">
        <f t="shared" si="194"/>
        <v>-2.8126998309799256E-5</v>
      </c>
      <c r="X131" s="140">
        <f t="shared" si="194"/>
        <v>1.6373146919388543E-4</v>
      </c>
      <c r="Y131" s="140">
        <f t="shared" si="194"/>
        <v>3.2648117475083532E-4</v>
      </c>
      <c r="Z131" s="140">
        <f t="shared" si="194"/>
        <v>4.608960299203671E-4</v>
      </c>
      <c r="AA131" s="140">
        <f t="shared" si="194"/>
        <v>5.6880043029671618E-4</v>
      </c>
      <c r="AB131" s="140">
        <f t="shared" si="194"/>
        <v>6.5082811182073236E-4</v>
      </c>
      <c r="AC131" s="140">
        <f t="shared" si="194"/>
        <v>7.0799487272301537E-4</v>
      </c>
      <c r="AD131" s="140">
        <f t="shared" si="194"/>
        <v>7.4122629324404471E-4</v>
      </c>
      <c r="AE131" s="140">
        <f t="shared" si="194"/>
        <v>7.5166208596652573E-4</v>
      </c>
      <c r="AF131" s="140">
        <f t="shared" si="194"/>
        <v>7.4010545180843573E-4</v>
      </c>
      <c r="AG131" s="140">
        <f t="shared" si="194"/>
        <v>7.0745727300976224E-4</v>
      </c>
      <c r="AH131" s="140">
        <f t="shared" si="194"/>
        <v>6.5476563288788259E-4</v>
      </c>
      <c r="AI131" s="140">
        <f t="shared" si="194"/>
        <v>5.8258293340906347E-4</v>
      </c>
      <c r="AJ131" s="140">
        <f t="shared" si="194"/>
        <v>4.9185076237075881E-4</v>
      </c>
      <c r="AK131" s="140">
        <f t="shared" si="194"/>
        <v>3.8336685038611873E-4</v>
      </c>
      <c r="AL131" s="140">
        <f t="shared" si="194"/>
        <v>2.5827614817066497E-4</v>
      </c>
      <c r="AM131" s="140">
        <f t="shared" si="194"/>
        <v>1.166302379387793E-4</v>
      </c>
      <c r="AN131" s="140">
        <f t="shared" si="194"/>
        <v>-4.0518262311939335E-5</v>
      </c>
      <c r="AO131" s="140">
        <f t="shared" si="194"/>
        <v>-2.1246416079710034E-4</v>
      </c>
      <c r="AP131" s="140">
        <f t="shared" si="194"/>
        <v>-3.979881163541435E-4</v>
      </c>
      <c r="AQ131" s="140">
        <f t="shared" si="194"/>
        <v>-5.9746264891917533E-4</v>
      </c>
      <c r="AR131" s="140">
        <f t="shared" si="194"/>
        <v>-8.0974813529735568E-4</v>
      </c>
      <c r="AS131" s="140">
        <f t="shared" si="194"/>
        <v>-1.0342223510529935E-3</v>
      </c>
      <c r="AT131" s="140">
        <f t="shared" si="194"/>
        <v>-1.2696112172031759E-3</v>
      </c>
      <c r="AU131" s="140">
        <f t="shared" si="194"/>
        <v>-1.51664341143877E-3</v>
      </c>
      <c r="AV131" s="140">
        <f t="shared" si="194"/>
        <v>-1.7741133498715839E-3</v>
      </c>
      <c r="AW131" s="140">
        <f t="shared" si="194"/>
        <v>-2.0414731454383994E-3</v>
      </c>
      <c r="AX131" s="140">
        <f t="shared" si="194"/>
        <v>-2.3174111107851503E-3</v>
      </c>
      <c r="AY131" s="140">
        <f t="shared" si="194"/>
        <v>-2.602952007978776E-3</v>
      </c>
      <c r="AZ131" s="140">
        <f t="shared" si="194"/>
        <v>-2.8968426727678243E-3</v>
      </c>
      <c r="BA131" s="140">
        <f t="shared" si="194"/>
        <v>-3.1986017766245101E-3</v>
      </c>
      <c r="BB131" s="140">
        <f t="shared" si="194"/>
        <v>-3.5068949012008049E-3</v>
      </c>
      <c r="BC131" s="140">
        <f t="shared" si="194"/>
        <v>-3.822989876886132E-3</v>
      </c>
      <c r="BD131" s="140">
        <f t="shared" si="194"/>
        <v>-4.1456019600599192E-3</v>
      </c>
      <c r="BE131" s="140">
        <f t="shared" si="194"/>
        <v>-4.4743093712260873E-3</v>
      </c>
      <c r="BF131" s="140">
        <f t="shared" si="194"/>
        <v>-4.8077678303135862E-3</v>
      </c>
      <c r="BG131" s="140">
        <f t="shared" si="194"/>
        <v>-5.1474415436364024E-3</v>
      </c>
      <c r="BH131" s="140">
        <f t="shared" si="194"/>
        <v>-5.4920280662444504E-3</v>
      </c>
      <c r="BI131" s="140">
        <f t="shared" si="194"/>
        <v>-5.8411588534595105E-3</v>
      </c>
      <c r="BJ131" s="140">
        <f t="shared" si="194"/>
        <v>-6.1934908441080572E-3</v>
      </c>
      <c r="BK131" s="140">
        <f t="shared" si="194"/>
        <v>-6.550643590348737E-3</v>
      </c>
      <c r="BL131" s="140">
        <f t="shared" si="194"/>
        <v>-6.911308931680793E-3</v>
      </c>
      <c r="BM131" s="140">
        <f t="shared" si="194"/>
        <v>-7.2751658722949725E-3</v>
      </c>
      <c r="BN131" s="140">
        <f t="shared" si="194"/>
        <v>-7.6408820592110266E-3</v>
      </c>
      <c r="BO131" s="140">
        <f t="shared" ref="BO131:CB131" si="195">IF(BO129&lt;0,0,$B$5+$B$6*((1-EXP(-BO130/$B$9))/(BO130/$B$9))+$B$7*((1-EXP(-BO130/$B$9))/(BO130/$B$9)-EXP(-BO130/$B$9))+$B$8*((1-EXP(-BO130/$B$10))/(BO130/$B$10)-EXP(-BO130/$B$10)))</f>
        <v>-8.0101964267246945E-3</v>
      </c>
      <c r="BP131" s="140">
        <f t="shared" si="195"/>
        <v>-8.3818053997818526E-3</v>
      </c>
      <c r="BQ131" s="140">
        <f t="shared" si="195"/>
        <v>-8.7554304131051974E-3</v>
      </c>
      <c r="BR131" s="140">
        <f t="shared" si="195"/>
        <v>-9.1297578972205223E-3</v>
      </c>
      <c r="BS131" s="140">
        <f t="shared" si="195"/>
        <v>-9.5066147343742108E-3</v>
      </c>
      <c r="BT131" s="140">
        <f t="shared" si="195"/>
        <v>-9.8847107377026955E-3</v>
      </c>
      <c r="BU131" s="140">
        <f t="shared" si="195"/>
        <v>-1.02638051668444E-2</v>
      </c>
      <c r="BV131" s="140">
        <f t="shared" si="195"/>
        <v>-1.0642610056470658E-2</v>
      </c>
      <c r="BW131" s="140">
        <f t="shared" si="195"/>
        <v>-1.1023012848660321E-2</v>
      </c>
      <c r="BX131" s="140">
        <f t="shared" si="195"/>
        <v>-1.1403744216843661E-2</v>
      </c>
      <c r="BY131" s="140">
        <f t="shared" si="195"/>
        <v>-1.1784597103011524E-2</v>
      </c>
      <c r="BZ131" s="140">
        <f t="shared" si="195"/>
        <v>-1.2164314854981359E-2</v>
      </c>
      <c r="CA131" s="140">
        <f t="shared" si="195"/>
        <v>-1.2544821697407685E-2</v>
      </c>
      <c r="CB131" s="140">
        <f t="shared" si="195"/>
        <v>-1.2924875456017754E-2</v>
      </c>
      <c r="CC131" s="17"/>
      <c r="CD131" s="17"/>
      <c r="CE131" s="17"/>
    </row>
    <row r="132" spans="1:83">
      <c r="A132" s="16" t="s">
        <v>44</v>
      </c>
      <c r="B132" s="140">
        <f>EXP(-B131*B130)</f>
        <v>1.0128446247082266</v>
      </c>
      <c r="C132" s="140">
        <f t="shared" ref="C132:AR132" si="196">EXP(-C131*C130)</f>
        <v>1.023950681377688</v>
      </c>
      <c r="D132" s="140">
        <f t="shared" si="196"/>
        <v>1.0330379741171059</v>
      </c>
      <c r="E132" s="140">
        <f t="shared" si="196"/>
        <v>1.0402348819076572</v>
      </c>
      <c r="F132" s="140">
        <f t="shared" si="196"/>
        <v>1.0456648936984194</v>
      </c>
      <c r="G132" s="140">
        <f t="shared" si="196"/>
        <v>1.0494994392376524</v>
      </c>
      <c r="H132" s="140">
        <f t="shared" si="196"/>
        <v>1.0518653047174551</v>
      </c>
      <c r="I132" s="140">
        <f t="shared" si="196"/>
        <v>1.0529074381564554</v>
      </c>
      <c r="J132" s="140">
        <f t="shared" si="196"/>
        <v>1.0527715246974396</v>
      </c>
      <c r="K132" s="140">
        <f t="shared" si="196"/>
        <v>1.0515976177413173</v>
      </c>
      <c r="L132" s="140">
        <f t="shared" si="196"/>
        <v>1.0495217616116621</v>
      </c>
      <c r="M132" s="140">
        <f t="shared" si="196"/>
        <v>1.0466763119592375</v>
      </c>
      <c r="N132" s="140">
        <f t="shared" si="196"/>
        <v>1.0431984639331064</v>
      </c>
      <c r="O132" s="140">
        <f t="shared" si="196"/>
        <v>1.0391891382531537</v>
      </c>
      <c r="P132" s="140">
        <f t="shared" si="196"/>
        <v>1.0347712616660087</v>
      </c>
      <c r="Q132" s="140">
        <f t="shared" si="196"/>
        <v>1.0300522141208752</v>
      </c>
      <c r="R132" s="140">
        <f t="shared" si="196"/>
        <v>1.0251464869551039</v>
      </c>
      <c r="S132" s="140">
        <f t="shared" si="196"/>
        <v>1.0201205016364914</v>
      </c>
      <c r="T132" s="140">
        <f t="shared" si="196"/>
        <v>1.0150751528255575</v>
      </c>
      <c r="U132" s="140">
        <f t="shared" si="196"/>
        <v>1.0100916284546841</v>
      </c>
      <c r="V132" s="140">
        <f t="shared" si="196"/>
        <v>1.0052583478269259</v>
      </c>
      <c r="W132" s="140">
        <f t="shared" si="196"/>
        <v>1.0006178127722951</v>
      </c>
      <c r="X132" s="140">
        <f t="shared" si="196"/>
        <v>0.99624805455558663</v>
      </c>
      <c r="Y132" s="140">
        <f t="shared" si="196"/>
        <v>0.99220856699286786</v>
      </c>
      <c r="Z132" s="140">
        <f t="shared" si="196"/>
        <v>0.98856397768299309</v>
      </c>
      <c r="AA132" s="140">
        <f t="shared" si="196"/>
        <v>0.98534491541690195</v>
      </c>
      <c r="AB132" s="140">
        <f t="shared" si="196"/>
        <v>0.98260955673771422</v>
      </c>
      <c r="AC132" s="140">
        <f t="shared" si="196"/>
        <v>0.98040219348149438</v>
      </c>
      <c r="AD132" s="140">
        <f t="shared" si="196"/>
        <v>0.97876807917283493</v>
      </c>
      <c r="AE132" s="140">
        <f t="shared" si="196"/>
        <v>0.97773718952674427</v>
      </c>
      <c r="AF132" s="140">
        <f t="shared" si="196"/>
        <v>0.97735208371355287</v>
      </c>
      <c r="AG132" s="140">
        <f t="shared" si="196"/>
        <v>0.97764835870114686</v>
      </c>
      <c r="AH132" s="140">
        <f t="shared" si="196"/>
        <v>0.97865653782460682</v>
      </c>
      <c r="AI132" s="140">
        <f t="shared" si="196"/>
        <v>0.98041562450336006</v>
      </c>
      <c r="AJ132" s="140">
        <f t="shared" si="196"/>
        <v>0.98295672407300561</v>
      </c>
      <c r="AK132" s="140">
        <f t="shared" si="196"/>
        <v>0.98631249921332176</v>
      </c>
      <c r="AL132" s="140">
        <f t="shared" si="196"/>
        <v>0.99050279975360467</v>
      </c>
      <c r="AM132" s="140">
        <f t="shared" si="196"/>
        <v>0.99558398583490149</v>
      </c>
      <c r="AN132" s="140">
        <f t="shared" si="196"/>
        <v>1.0015793195799698</v>
      </c>
      <c r="AO132" s="140">
        <f t="shared" si="196"/>
        <v>1.0085234727410337</v>
      </c>
      <c r="AP132" s="140">
        <f t="shared" si="196"/>
        <v>1.0164288965161334</v>
      </c>
      <c r="AQ132" s="140">
        <f t="shared" si="196"/>
        <v>1.0253768862246193</v>
      </c>
      <c r="AR132" s="140">
        <f t="shared" si="196"/>
        <v>1.035385875505638</v>
      </c>
      <c r="AS132" s="140">
        <f>EXP(-AS131*AS130)</f>
        <v>1.0464969272137936</v>
      </c>
      <c r="AT132" s="140">
        <f t="shared" ref="AT132:CA132" si="197">EXP(-AT131*AT130)</f>
        <v>1.0587176844105848</v>
      </c>
      <c r="AU132" s="140">
        <f t="shared" si="197"/>
        <v>1.0721619522097818</v>
      </c>
      <c r="AV132" s="140">
        <f t="shared" si="197"/>
        <v>1.0868459062370017</v>
      </c>
      <c r="AW132" s="140">
        <f t="shared" si="197"/>
        <v>1.1028212014015208</v>
      </c>
      <c r="AX132" s="140">
        <f t="shared" si="197"/>
        <v>1.1200927841430639</v>
      </c>
      <c r="AY132" s="140">
        <f t="shared" si="197"/>
        <v>1.138815322301564</v>
      </c>
      <c r="AZ132" s="140">
        <f t="shared" si="197"/>
        <v>1.159005079536205</v>
      </c>
      <c r="BA132" s="140">
        <f t="shared" si="197"/>
        <v>1.1807287378143416</v>
      </c>
      <c r="BB132" s="140">
        <f t="shared" si="197"/>
        <v>1.2039904056732513</v>
      </c>
      <c r="BC132" s="140">
        <f t="shared" si="197"/>
        <v>1.2289955463486344</v>
      </c>
      <c r="BD132" s="140">
        <f t="shared" si="197"/>
        <v>1.2557628667972121</v>
      </c>
      <c r="BE132" s="140">
        <f t="shared" si="197"/>
        <v>1.2843791709271519</v>
      </c>
      <c r="BF132" s="140">
        <f t="shared" si="197"/>
        <v>1.314849550045464</v>
      </c>
      <c r="BG132" s="140">
        <f t="shared" si="197"/>
        <v>1.3474426286603913</v>
      </c>
      <c r="BH132" s="140">
        <f t="shared" si="197"/>
        <v>1.3821821531886946</v>
      </c>
      <c r="BI132" s="140">
        <f t="shared" si="197"/>
        <v>1.4191812497161389</v>
      </c>
      <c r="BJ132" s="140">
        <f t="shared" si="197"/>
        <v>1.4584479727823243</v>
      </c>
      <c r="BK132" s="140">
        <f t="shared" si="197"/>
        <v>1.5003298692987925</v>
      </c>
      <c r="BL132" s="140">
        <f t="shared" si="197"/>
        <v>1.5448587939739116</v>
      </c>
      <c r="BM132" s="140">
        <f t="shared" si="197"/>
        <v>1.5921819896167779</v>
      </c>
      <c r="BN132" s="140">
        <f t="shared" si="197"/>
        <v>1.6423128001447607</v>
      </c>
      <c r="BO132" s="140">
        <f t="shared" si="197"/>
        <v>1.6956979906755585</v>
      </c>
      <c r="BP132" s="140">
        <f t="shared" si="197"/>
        <v>1.7523813058742799</v>
      </c>
      <c r="BQ132" s="140">
        <f t="shared" si="197"/>
        <v>1.8125540562686944</v>
      </c>
      <c r="BR132" s="140">
        <f t="shared" si="197"/>
        <v>1.8762377276772424</v>
      </c>
      <c r="BS132" s="140">
        <f t="shared" si="197"/>
        <v>1.9440045280922915</v>
      </c>
      <c r="BT132" s="140">
        <f t="shared" si="197"/>
        <v>2.0159148436652448</v>
      </c>
      <c r="BU132" s="140">
        <f t="shared" si="197"/>
        <v>2.0922168269999206</v>
      </c>
      <c r="BV132" s="140">
        <f t="shared" si="197"/>
        <v>2.1729436641583564</v>
      </c>
      <c r="BW132" s="140">
        <f t="shared" si="197"/>
        <v>2.2588268946538701</v>
      </c>
      <c r="BX132" s="140">
        <f t="shared" si="197"/>
        <v>2.3499495465672493</v>
      </c>
      <c r="BY132" s="140">
        <f t="shared" si="197"/>
        <v>2.4466330156793425</v>
      </c>
      <c r="BZ132" s="140">
        <f t="shared" si="197"/>
        <v>2.5489266288518406</v>
      </c>
      <c r="CA132" s="140">
        <f t="shared" si="197"/>
        <v>2.657764982124597</v>
      </c>
      <c r="CB132" s="140">
        <f>EXP(-CB131*CB130)</f>
        <v>2.7732612950984277</v>
      </c>
      <c r="CC132" s="17"/>
      <c r="CD132" s="17"/>
      <c r="CE132" s="17"/>
    </row>
    <row r="133" spans="1:83">
      <c r="A133" s="17"/>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17"/>
      <c r="CD133" s="17"/>
      <c r="CE133" s="17"/>
    </row>
    <row r="134" spans="1:83">
      <c r="A134" s="16" t="s">
        <v>40</v>
      </c>
      <c r="B134" s="140">
        <f t="shared" ref="B134:BM134" si="198">DAYS360($B$3,B50)</f>
        <v>276</v>
      </c>
      <c r="C134" s="140">
        <f t="shared" si="198"/>
        <v>636</v>
      </c>
      <c r="D134" s="140">
        <f t="shared" si="198"/>
        <v>996</v>
      </c>
      <c r="E134" s="140">
        <f t="shared" si="198"/>
        <v>1356</v>
      </c>
      <c r="F134" s="140">
        <f t="shared" si="198"/>
        <v>1715</v>
      </c>
      <c r="G134" s="140">
        <f t="shared" si="198"/>
        <v>2075</v>
      </c>
      <c r="H134" s="140">
        <f t="shared" si="198"/>
        <v>2435</v>
      </c>
      <c r="I134" s="140">
        <f t="shared" si="198"/>
        <v>2795</v>
      </c>
      <c r="J134" s="140">
        <f t="shared" si="198"/>
        <v>3154</v>
      </c>
      <c r="K134" s="140">
        <f t="shared" si="198"/>
        <v>3514</v>
      </c>
      <c r="L134" s="140">
        <f t="shared" si="198"/>
        <v>3874</v>
      </c>
      <c r="M134" s="140">
        <f t="shared" si="198"/>
        <v>4234</v>
      </c>
      <c r="N134" s="140">
        <f t="shared" si="198"/>
        <v>4593</v>
      </c>
      <c r="O134" s="140">
        <f t="shared" si="198"/>
        <v>4953</v>
      </c>
      <c r="P134" s="140">
        <f t="shared" si="198"/>
        <v>5313</v>
      </c>
      <c r="Q134" s="140">
        <f t="shared" si="198"/>
        <v>5673</v>
      </c>
      <c r="R134" s="140">
        <f t="shared" si="198"/>
        <v>6032</v>
      </c>
      <c r="S134" s="140">
        <f t="shared" si="198"/>
        <v>6392</v>
      </c>
      <c r="T134" s="140">
        <f t="shared" si="198"/>
        <v>6752</v>
      </c>
      <c r="U134" s="140">
        <f t="shared" si="198"/>
        <v>7112</v>
      </c>
      <c r="V134" s="140">
        <f t="shared" si="198"/>
        <v>7471</v>
      </c>
      <c r="W134" s="140">
        <f t="shared" si="198"/>
        <v>7831</v>
      </c>
      <c r="X134" s="140">
        <f t="shared" si="198"/>
        <v>8191</v>
      </c>
      <c r="Y134" s="140">
        <f t="shared" si="198"/>
        <v>8551</v>
      </c>
      <c r="Z134" s="140">
        <f t="shared" si="198"/>
        <v>8910</v>
      </c>
      <c r="AA134" s="140">
        <f t="shared" si="198"/>
        <v>9270</v>
      </c>
      <c r="AB134" s="140">
        <f t="shared" si="198"/>
        <v>9630</v>
      </c>
      <c r="AC134" s="140">
        <f t="shared" si="198"/>
        <v>9990</v>
      </c>
      <c r="AD134" s="140">
        <f t="shared" si="198"/>
        <v>10349</v>
      </c>
      <c r="AE134" s="140">
        <f t="shared" si="198"/>
        <v>10709</v>
      </c>
      <c r="AF134" s="140">
        <f t="shared" si="198"/>
        <v>11069</v>
      </c>
      <c r="AG134" s="140">
        <f t="shared" si="198"/>
        <v>11429</v>
      </c>
      <c r="AH134" s="140">
        <f t="shared" si="198"/>
        <v>11789</v>
      </c>
      <c r="AI134" s="140">
        <f t="shared" si="198"/>
        <v>12149</v>
      </c>
      <c r="AJ134" s="140">
        <f t="shared" si="198"/>
        <v>12509</v>
      </c>
      <c r="AK134" s="140">
        <f t="shared" si="198"/>
        <v>12869</v>
      </c>
      <c r="AL134" s="140">
        <f t="shared" si="198"/>
        <v>13228</v>
      </c>
      <c r="AM134" s="140">
        <f t="shared" si="198"/>
        <v>13588</v>
      </c>
      <c r="AN134" s="140">
        <f t="shared" si="198"/>
        <v>13948</v>
      </c>
      <c r="AO134" s="140">
        <f t="shared" si="198"/>
        <v>14308</v>
      </c>
      <c r="AP134" s="140">
        <f t="shared" si="198"/>
        <v>14667</v>
      </c>
      <c r="AQ134" s="140">
        <f t="shared" si="198"/>
        <v>15027</v>
      </c>
      <c r="AR134" s="140">
        <f t="shared" si="198"/>
        <v>15387</v>
      </c>
      <c r="AS134" s="140">
        <f t="shared" si="198"/>
        <v>15747</v>
      </c>
      <c r="AT134" s="140">
        <f t="shared" si="198"/>
        <v>16106</v>
      </c>
      <c r="AU134" s="140">
        <f t="shared" si="198"/>
        <v>16466</v>
      </c>
      <c r="AV134" s="140">
        <f t="shared" si="198"/>
        <v>16826</v>
      </c>
      <c r="AW134" s="140">
        <f t="shared" si="198"/>
        <v>17186</v>
      </c>
      <c r="AX134" s="140">
        <f t="shared" si="198"/>
        <v>17545</v>
      </c>
      <c r="AY134" s="140">
        <f t="shared" si="198"/>
        <v>17905</v>
      </c>
      <c r="AZ134" s="140">
        <f t="shared" si="198"/>
        <v>18265</v>
      </c>
      <c r="BA134" s="140">
        <f t="shared" si="198"/>
        <v>18625</v>
      </c>
      <c r="BB134" s="140">
        <f t="shared" si="198"/>
        <v>18984</v>
      </c>
      <c r="BC134" s="140">
        <f t="shared" si="198"/>
        <v>19344</v>
      </c>
      <c r="BD134" s="140">
        <f t="shared" si="198"/>
        <v>19704</v>
      </c>
      <c r="BE134" s="140">
        <f t="shared" si="198"/>
        <v>20064</v>
      </c>
      <c r="BF134" s="140">
        <f t="shared" si="198"/>
        <v>20423</v>
      </c>
      <c r="BG134" s="140">
        <f t="shared" si="198"/>
        <v>20783</v>
      </c>
      <c r="BH134" s="140">
        <f t="shared" si="198"/>
        <v>21143</v>
      </c>
      <c r="BI134" s="140">
        <f t="shared" si="198"/>
        <v>21503</v>
      </c>
      <c r="BJ134" s="140">
        <f t="shared" si="198"/>
        <v>21862</v>
      </c>
      <c r="BK134" s="140">
        <f t="shared" si="198"/>
        <v>22222</v>
      </c>
      <c r="BL134" s="140">
        <f t="shared" si="198"/>
        <v>22582</v>
      </c>
      <c r="BM134" s="140">
        <f t="shared" si="198"/>
        <v>22942</v>
      </c>
      <c r="BN134" s="140">
        <f t="shared" ref="BN134:CB134" si="199">DAYS360($B$3,BN50)</f>
        <v>23301</v>
      </c>
      <c r="BO134" s="140">
        <f t="shared" si="199"/>
        <v>23661</v>
      </c>
      <c r="BP134" s="140">
        <f t="shared" si="199"/>
        <v>24021</v>
      </c>
      <c r="BQ134" s="140">
        <f t="shared" si="199"/>
        <v>24381</v>
      </c>
      <c r="BR134" s="140">
        <f t="shared" si="199"/>
        <v>24740</v>
      </c>
      <c r="BS134" s="140">
        <f t="shared" si="199"/>
        <v>25100</v>
      </c>
      <c r="BT134" s="140">
        <f t="shared" si="199"/>
        <v>25460</v>
      </c>
      <c r="BU134" s="140">
        <f t="shared" si="199"/>
        <v>25820</v>
      </c>
      <c r="BV134" s="140">
        <f t="shared" si="199"/>
        <v>26179</v>
      </c>
      <c r="BW134" s="140">
        <f t="shared" si="199"/>
        <v>26539</v>
      </c>
      <c r="BX134" s="140">
        <f t="shared" si="199"/>
        <v>26899</v>
      </c>
      <c r="BY134" s="140">
        <f t="shared" si="199"/>
        <v>27259</v>
      </c>
      <c r="BZ134" s="140">
        <f t="shared" si="199"/>
        <v>27618</v>
      </c>
      <c r="CA134" s="140">
        <f t="shared" si="199"/>
        <v>27978</v>
      </c>
      <c r="CB134" s="140">
        <f t="shared" si="199"/>
        <v>28338</v>
      </c>
      <c r="CC134" s="17"/>
      <c r="CD134" s="17"/>
      <c r="CE134" s="17"/>
    </row>
    <row r="135" spans="1:83">
      <c r="A135" s="16" t="s">
        <v>41</v>
      </c>
      <c r="B135" s="140">
        <f>B134/360</f>
        <v>0.76666666666666672</v>
      </c>
      <c r="C135" s="140">
        <f t="shared" ref="C135:BN135" si="200">C134/360</f>
        <v>1.7666666666666666</v>
      </c>
      <c r="D135" s="140">
        <f t="shared" si="200"/>
        <v>2.7666666666666666</v>
      </c>
      <c r="E135" s="140">
        <f t="shared" si="200"/>
        <v>3.7666666666666666</v>
      </c>
      <c r="F135" s="140">
        <f t="shared" si="200"/>
        <v>4.7638888888888893</v>
      </c>
      <c r="G135" s="140">
        <f t="shared" si="200"/>
        <v>5.7638888888888893</v>
      </c>
      <c r="H135" s="140">
        <f t="shared" si="200"/>
        <v>6.7638888888888893</v>
      </c>
      <c r="I135" s="140">
        <f t="shared" si="200"/>
        <v>7.7638888888888893</v>
      </c>
      <c r="J135" s="140">
        <f t="shared" si="200"/>
        <v>8.7611111111111111</v>
      </c>
      <c r="K135" s="140">
        <f t="shared" si="200"/>
        <v>9.7611111111111111</v>
      </c>
      <c r="L135" s="140">
        <f t="shared" si="200"/>
        <v>10.761111111111111</v>
      </c>
      <c r="M135" s="140">
        <f t="shared" si="200"/>
        <v>11.761111111111111</v>
      </c>
      <c r="N135" s="140">
        <f t="shared" si="200"/>
        <v>12.758333333333333</v>
      </c>
      <c r="O135" s="140">
        <f t="shared" si="200"/>
        <v>13.758333333333333</v>
      </c>
      <c r="P135" s="140">
        <f t="shared" si="200"/>
        <v>14.758333333333333</v>
      </c>
      <c r="Q135" s="140">
        <f t="shared" si="200"/>
        <v>15.758333333333333</v>
      </c>
      <c r="R135" s="140">
        <f t="shared" si="200"/>
        <v>16.755555555555556</v>
      </c>
      <c r="S135" s="140">
        <f t="shared" si="200"/>
        <v>17.755555555555556</v>
      </c>
      <c r="T135" s="140">
        <f t="shared" si="200"/>
        <v>18.755555555555556</v>
      </c>
      <c r="U135" s="140">
        <f t="shared" si="200"/>
        <v>19.755555555555556</v>
      </c>
      <c r="V135" s="140">
        <f t="shared" si="200"/>
        <v>20.752777777777776</v>
      </c>
      <c r="W135" s="140">
        <f t="shared" si="200"/>
        <v>21.752777777777776</v>
      </c>
      <c r="X135" s="140">
        <f t="shared" si="200"/>
        <v>22.752777777777776</v>
      </c>
      <c r="Y135" s="140">
        <f t="shared" si="200"/>
        <v>23.752777777777776</v>
      </c>
      <c r="Z135" s="140">
        <f t="shared" si="200"/>
        <v>24.75</v>
      </c>
      <c r="AA135" s="140">
        <f t="shared" si="200"/>
        <v>25.75</v>
      </c>
      <c r="AB135" s="140">
        <f t="shared" si="200"/>
        <v>26.75</v>
      </c>
      <c r="AC135" s="140">
        <f t="shared" si="200"/>
        <v>27.75</v>
      </c>
      <c r="AD135" s="140">
        <f t="shared" si="200"/>
        <v>28.747222222222224</v>
      </c>
      <c r="AE135" s="140">
        <f t="shared" si="200"/>
        <v>29.747222222222224</v>
      </c>
      <c r="AF135" s="140">
        <f t="shared" si="200"/>
        <v>30.747222222222224</v>
      </c>
      <c r="AG135" s="140">
        <f t="shared" si="200"/>
        <v>31.747222222222224</v>
      </c>
      <c r="AH135" s="140">
        <f t="shared" si="200"/>
        <v>32.74722222222222</v>
      </c>
      <c r="AI135" s="140">
        <f t="shared" si="200"/>
        <v>33.74722222222222</v>
      </c>
      <c r="AJ135" s="140">
        <f t="shared" si="200"/>
        <v>34.74722222222222</v>
      </c>
      <c r="AK135" s="140">
        <f t="shared" si="200"/>
        <v>35.74722222222222</v>
      </c>
      <c r="AL135" s="140">
        <f t="shared" si="200"/>
        <v>36.744444444444447</v>
      </c>
      <c r="AM135" s="140">
        <f t="shared" si="200"/>
        <v>37.744444444444447</v>
      </c>
      <c r="AN135" s="140">
        <f t="shared" si="200"/>
        <v>38.744444444444447</v>
      </c>
      <c r="AO135" s="140">
        <f t="shared" si="200"/>
        <v>39.744444444444447</v>
      </c>
      <c r="AP135" s="140">
        <f t="shared" si="200"/>
        <v>40.741666666666667</v>
      </c>
      <c r="AQ135" s="140">
        <f t="shared" si="200"/>
        <v>41.741666666666667</v>
      </c>
      <c r="AR135" s="140">
        <f t="shared" si="200"/>
        <v>42.741666666666667</v>
      </c>
      <c r="AS135" s="140">
        <f t="shared" si="200"/>
        <v>43.741666666666667</v>
      </c>
      <c r="AT135" s="140">
        <f t="shared" si="200"/>
        <v>44.738888888888887</v>
      </c>
      <c r="AU135" s="140">
        <f t="shared" si="200"/>
        <v>45.738888888888887</v>
      </c>
      <c r="AV135" s="140">
        <f t="shared" si="200"/>
        <v>46.738888888888887</v>
      </c>
      <c r="AW135" s="140">
        <f t="shared" si="200"/>
        <v>47.738888888888887</v>
      </c>
      <c r="AX135" s="140">
        <f t="shared" si="200"/>
        <v>48.736111111111114</v>
      </c>
      <c r="AY135" s="140">
        <f t="shared" si="200"/>
        <v>49.736111111111114</v>
      </c>
      <c r="AZ135" s="140">
        <f t="shared" si="200"/>
        <v>50.736111111111114</v>
      </c>
      <c r="BA135" s="140">
        <f t="shared" si="200"/>
        <v>51.736111111111114</v>
      </c>
      <c r="BB135" s="140">
        <f t="shared" si="200"/>
        <v>52.733333333333334</v>
      </c>
      <c r="BC135" s="140">
        <f t="shared" si="200"/>
        <v>53.733333333333334</v>
      </c>
      <c r="BD135" s="140">
        <f t="shared" si="200"/>
        <v>54.733333333333334</v>
      </c>
      <c r="BE135" s="140">
        <f t="shared" si="200"/>
        <v>55.733333333333334</v>
      </c>
      <c r="BF135" s="140">
        <f t="shared" si="200"/>
        <v>56.730555555555554</v>
      </c>
      <c r="BG135" s="140">
        <f t="shared" si="200"/>
        <v>57.730555555555554</v>
      </c>
      <c r="BH135" s="140">
        <f t="shared" si="200"/>
        <v>58.730555555555554</v>
      </c>
      <c r="BI135" s="140">
        <f t="shared" si="200"/>
        <v>59.730555555555554</v>
      </c>
      <c r="BJ135" s="140">
        <f t="shared" si="200"/>
        <v>60.727777777777774</v>
      </c>
      <c r="BK135" s="140">
        <f t="shared" si="200"/>
        <v>61.727777777777774</v>
      </c>
      <c r="BL135" s="140">
        <f t="shared" si="200"/>
        <v>62.727777777777774</v>
      </c>
      <c r="BM135" s="140">
        <f t="shared" si="200"/>
        <v>63.727777777777774</v>
      </c>
      <c r="BN135" s="140">
        <f t="shared" si="200"/>
        <v>64.724999999999994</v>
      </c>
      <c r="BO135" s="140">
        <f t="shared" ref="BO135:CB135" si="201">BO134/360</f>
        <v>65.724999999999994</v>
      </c>
      <c r="BP135" s="140">
        <f t="shared" si="201"/>
        <v>66.724999999999994</v>
      </c>
      <c r="BQ135" s="140">
        <f t="shared" si="201"/>
        <v>67.724999999999994</v>
      </c>
      <c r="BR135" s="140">
        <f t="shared" si="201"/>
        <v>68.722222222222229</v>
      </c>
      <c r="BS135" s="140">
        <f t="shared" si="201"/>
        <v>69.722222222222229</v>
      </c>
      <c r="BT135" s="140">
        <f t="shared" si="201"/>
        <v>70.722222222222229</v>
      </c>
      <c r="BU135" s="140">
        <f t="shared" si="201"/>
        <v>71.722222222222229</v>
      </c>
      <c r="BV135" s="140">
        <f t="shared" si="201"/>
        <v>72.719444444444449</v>
      </c>
      <c r="BW135" s="140">
        <f t="shared" si="201"/>
        <v>73.719444444444449</v>
      </c>
      <c r="BX135" s="140">
        <f t="shared" si="201"/>
        <v>74.719444444444449</v>
      </c>
      <c r="BY135" s="140">
        <f t="shared" si="201"/>
        <v>75.719444444444449</v>
      </c>
      <c r="BZ135" s="140">
        <f t="shared" si="201"/>
        <v>76.716666666666669</v>
      </c>
      <c r="CA135" s="140">
        <f t="shared" si="201"/>
        <v>77.716666666666669</v>
      </c>
      <c r="CB135" s="140">
        <f t="shared" si="201"/>
        <v>78.716666666666669</v>
      </c>
      <c r="CC135" s="17"/>
      <c r="CD135" s="17"/>
      <c r="CE135" s="17"/>
    </row>
    <row r="136" spans="1:83">
      <c r="A136" s="16" t="s">
        <v>43</v>
      </c>
      <c r="B136" s="140">
        <f>IF(B134&lt;0,0,$B$5+$B$6*((1-EXP(-B135/$B$9))/(B135/$B$9))+$B$7*((1-EXP(-B135/$B$9))/(B135/$B$9)-EXP(-B135/$B$9))+$B$8*((1-EXP(-B135/$B$10))/(B135/$B$10)-EXP(-B135/$B$10)))</f>
        <v>-1.3366899507867727E-2</v>
      </c>
      <c r="C136" s="140">
        <f t="shared" ref="C136:BN136" si="202">IF(C134&lt;0,0,$B$5+$B$6*((1-EXP(-C135/$B$9))/(C135/$B$9))+$B$7*((1-EXP(-C135/$B$9))/(C135/$B$9)-EXP(-C135/$B$9))+$B$8*((1-EXP(-C135/$B$10))/(C135/$B$10)-EXP(-C135/$B$10)))</f>
        <v>-1.222734045050284E-2</v>
      </c>
      <c r="D136" s="140">
        <f t="shared" si="202"/>
        <v>-1.1149879737356571E-2</v>
      </c>
      <c r="E136" s="140">
        <f t="shared" si="202"/>
        <v>-1.0132471664808651E-2</v>
      </c>
      <c r="F136" s="140">
        <f t="shared" si="202"/>
        <v>-9.1757136216251527E-3</v>
      </c>
      <c r="G136" s="140">
        <f t="shared" si="202"/>
        <v>-8.2723464437471309E-3</v>
      </c>
      <c r="H136" s="140">
        <f t="shared" si="202"/>
        <v>-7.4232353168695621E-3</v>
      </c>
      <c r="I136" s="140">
        <f t="shared" si="202"/>
        <v>-6.6265531856538468E-3</v>
      </c>
      <c r="J136" s="140">
        <f t="shared" si="202"/>
        <v>-5.8825279430165175E-3</v>
      </c>
      <c r="K136" s="140">
        <f t="shared" si="202"/>
        <v>-5.1852925377371753E-3</v>
      </c>
      <c r="L136" s="140">
        <f t="shared" si="202"/>
        <v>-4.5353114562947903E-3</v>
      </c>
      <c r="M136" s="140">
        <f t="shared" si="202"/>
        <v>-3.930954453492088E-3</v>
      </c>
      <c r="N136" s="140">
        <f t="shared" si="202"/>
        <v>-3.3721342273882425E-3</v>
      </c>
      <c r="O136" s="140">
        <f t="shared" si="202"/>
        <v>-2.8542017736922776E-3</v>
      </c>
      <c r="P136" s="140">
        <f t="shared" si="202"/>
        <v>-2.3772784216805412E-3</v>
      </c>
      <c r="Q136" s="140">
        <f t="shared" si="202"/>
        <v>-1.9399110100953507E-3</v>
      </c>
      <c r="R136" s="140">
        <f t="shared" si="202"/>
        <v>-1.5417452189717962E-3</v>
      </c>
      <c r="S136" s="140">
        <f t="shared" si="202"/>
        <v>-1.1791946154877941E-3</v>
      </c>
      <c r="T136" s="140">
        <f t="shared" si="202"/>
        <v>-8.5208847012130384E-4</v>
      </c>
      <c r="U136" s="140">
        <f t="shared" si="202"/>
        <v>-5.5913289040093739E-4</v>
      </c>
      <c r="V136" s="140">
        <f t="shared" si="202"/>
        <v>-2.9974921716893754E-4</v>
      </c>
      <c r="W136" s="140">
        <f t="shared" si="202"/>
        <v>-7.1274847920695106E-5</v>
      </c>
      <c r="X136" s="140">
        <f t="shared" si="202"/>
        <v>1.2670769403151649E-4</v>
      </c>
      <c r="Y136" s="140">
        <f t="shared" si="202"/>
        <v>2.9534911842579725E-4</v>
      </c>
      <c r="Z136" s="140">
        <f t="shared" si="202"/>
        <v>4.3541467789335458E-4</v>
      </c>
      <c r="AA136" s="140">
        <f t="shared" si="202"/>
        <v>5.4876682813230493E-4</v>
      </c>
      <c r="AB136" s="140">
        <f t="shared" si="202"/>
        <v>6.3602967546042E-4</v>
      </c>
      <c r="AC136" s="140">
        <f t="shared" si="202"/>
        <v>6.982252686340909E-4</v>
      </c>
      <c r="AD136" s="140">
        <f t="shared" si="202"/>
        <v>7.3627213165021466E-4</v>
      </c>
      <c r="AE136" s="140">
        <f t="shared" si="202"/>
        <v>7.513427135388967E-4</v>
      </c>
      <c r="AF136" s="140">
        <f t="shared" si="202"/>
        <v>7.4423229217581571E-4</v>
      </c>
      <c r="AG136" s="140">
        <f t="shared" si="202"/>
        <v>7.1584736202003757E-4</v>
      </c>
      <c r="AH136" s="140">
        <f t="shared" si="202"/>
        <v>6.6706740559713956E-4</v>
      </c>
      <c r="AI136" s="140">
        <f t="shared" si="202"/>
        <v>5.9874561430565271E-4</v>
      </c>
      <c r="AJ136" s="140">
        <f t="shared" si="202"/>
        <v>5.1170959088842755E-4</v>
      </c>
      <c r="AK136" s="140">
        <f t="shared" si="202"/>
        <v>4.0676203403162969E-4</v>
      </c>
      <c r="AL136" s="140">
        <f t="shared" si="202"/>
        <v>2.8504354680600197E-4</v>
      </c>
      <c r="AM136" s="140">
        <f t="shared" si="202"/>
        <v>1.4662919249879697E-4</v>
      </c>
      <c r="AN136" s="140">
        <f t="shared" si="202"/>
        <v>-7.4334383502183687E-6</v>
      </c>
      <c r="AO136" s="140">
        <f t="shared" si="202"/>
        <v>-1.7643469830994074E-4</v>
      </c>
      <c r="AP136" s="140">
        <f t="shared" si="202"/>
        <v>-3.5915852429566075E-4</v>
      </c>
      <c r="AQ136" s="140">
        <f t="shared" si="202"/>
        <v>-5.5595762777285729E-4</v>
      </c>
      <c r="AR136" s="140">
        <f t="shared" si="202"/>
        <v>-7.6569626880142183E-4</v>
      </c>
      <c r="AS136" s="140">
        <f t="shared" si="202"/>
        <v>-9.8774822938534068E-4</v>
      </c>
      <c r="AT136" s="140">
        <f t="shared" si="202"/>
        <v>-1.2208417748131722E-3</v>
      </c>
      <c r="AU136" s="140">
        <f t="shared" si="202"/>
        <v>-1.465689024353331E-3</v>
      </c>
      <c r="AV136" s="140">
        <f t="shared" si="202"/>
        <v>-1.7210872764721885E-3</v>
      </c>
      <c r="AW136" s="140">
        <f t="shared" si="202"/>
        <v>-1.9864850671233031E-3</v>
      </c>
      <c r="AX136" s="140">
        <f t="shared" si="202"/>
        <v>-2.2605722406483925E-3</v>
      </c>
      <c r="AY136" s="140">
        <f t="shared" si="202"/>
        <v>-2.5443598717480725E-3</v>
      </c>
      <c r="AZ136" s="140">
        <f t="shared" si="202"/>
        <v>-2.8365968056676683E-3</v>
      </c>
      <c r="BA136" s="140">
        <f t="shared" si="202"/>
        <v>-3.136798512333186E-3</v>
      </c>
      <c r="BB136" s="140">
        <f t="shared" si="202"/>
        <v>-3.4436314006716096E-3</v>
      </c>
      <c r="BC136" s="140">
        <f t="shared" si="202"/>
        <v>-3.7583521450543639E-3</v>
      </c>
      <c r="BD136" s="140">
        <f t="shared" si="202"/>
        <v>-4.0796772528007147E-3</v>
      </c>
      <c r="BE136" s="140">
        <f t="shared" si="202"/>
        <v>-4.4071820811230622E-3</v>
      </c>
      <c r="BF136" s="140">
        <f t="shared" si="202"/>
        <v>-4.739522569194507E-3</v>
      </c>
      <c r="BG136" s="140">
        <f t="shared" si="202"/>
        <v>-5.0781539943655779E-3</v>
      </c>
      <c r="BH136" s="140">
        <f t="shared" si="202"/>
        <v>-5.4217745060066713E-3</v>
      </c>
      <c r="BI136" s="140">
        <f t="shared" si="202"/>
        <v>-5.7700130007999062E-3</v>
      </c>
      <c r="BJ136" s="140">
        <f t="shared" si="202"/>
        <v>-6.1215261145944888E-3</v>
      </c>
      <c r="BK136" s="140">
        <f t="shared" si="202"/>
        <v>-6.4779264252668028E-3</v>
      </c>
      <c r="BL136" s="140">
        <f t="shared" si="202"/>
        <v>-6.8379058008282423E-3</v>
      </c>
      <c r="BM136" s="140">
        <f t="shared" si="202"/>
        <v>-7.2011409611222876E-3</v>
      </c>
      <c r="BN136" s="140">
        <f t="shared" si="202"/>
        <v>-7.5662988042668189E-3</v>
      </c>
      <c r="BO136" s="140">
        <f t="shared" ref="BO136:CB136" si="203">IF(BO134&lt;0,0,$B$5+$B$6*((1-EXP(-BO135/$B$9))/(BO135/$B$9))+$B$7*((1-EXP(-BO135/$B$9))/(BO135/$B$9)-EXP(-BO135/$B$9))+$B$8*((1-EXP(-BO135/$B$10))/(BO135/$B$10)-EXP(-BO135/$B$10)))</f>
        <v>-7.9351130013417676E-3</v>
      </c>
      <c r="BP136" s="140">
        <f t="shared" si="203"/>
        <v>-8.3062795208058149E-3</v>
      </c>
      <c r="BQ136" s="140">
        <f t="shared" si="203"/>
        <v>-8.6795177598999879E-3</v>
      </c>
      <c r="BR136" s="140">
        <f t="shared" si="203"/>
        <v>-9.053513022074286E-3</v>
      </c>
      <c r="BS136" s="140">
        <f t="shared" si="203"/>
        <v>-9.4300884197132673E-3</v>
      </c>
      <c r="BT136" s="140">
        <f t="shared" si="203"/>
        <v>-9.8079528962851936E-3</v>
      </c>
      <c r="BU136" s="140">
        <f t="shared" si="203"/>
        <v>-1.0186863896040455E-2</v>
      </c>
      <c r="BV136" s="140">
        <f t="shared" si="203"/>
        <v>-1.0565532008475154E-2</v>
      </c>
      <c r="BW136" s="140">
        <f t="shared" si="203"/>
        <v>-1.0945842204770406E-2</v>
      </c>
      <c r="BX136" s="140">
        <f t="shared" si="203"/>
        <v>-1.1326523939249003E-2</v>
      </c>
      <c r="BY136" s="140">
        <f t="shared" si="203"/>
        <v>-1.170736853823677E-2</v>
      </c>
      <c r="BZ136" s="140">
        <f t="shared" si="203"/>
        <v>-1.2087117639461492E-2</v>
      </c>
      <c r="CA136" s="140">
        <f t="shared" si="203"/>
        <v>-1.2467694122244924E-2</v>
      </c>
      <c r="CB136" s="140">
        <f t="shared" si="203"/>
        <v>-1.2847854300256867E-2</v>
      </c>
      <c r="CC136" s="17"/>
      <c r="CD136" s="17"/>
      <c r="CE136" s="17"/>
    </row>
    <row r="137" spans="1:83">
      <c r="A137" s="16" t="s">
        <v>44</v>
      </c>
      <c r="B137" s="140">
        <f>EXP(-B136*B135)</f>
        <v>1.0103006464283519</v>
      </c>
      <c r="C137" s="140">
        <f t="shared" ref="C137:AR137" si="204">EXP(-C136*C135)</f>
        <v>1.0218366392182208</v>
      </c>
      <c r="D137" s="140">
        <f t="shared" si="204"/>
        <v>1.0313287306307419</v>
      </c>
      <c r="E137" s="140">
        <f t="shared" si="204"/>
        <v>1.0389033059683535</v>
      </c>
      <c r="F137" s="140">
        <f t="shared" si="204"/>
        <v>1.0446815270553711</v>
      </c>
      <c r="G137" s="140">
        <f t="shared" si="204"/>
        <v>1.0488359034348236</v>
      </c>
      <c r="H137" s="140">
        <f t="shared" si="204"/>
        <v>1.0514918222205811</v>
      </c>
      <c r="I137" s="140">
        <f t="shared" si="204"/>
        <v>1.0527942528445111</v>
      </c>
      <c r="J137" s="140">
        <f t="shared" si="204"/>
        <v>1.0528886487909388</v>
      </c>
      <c r="K137" s="140">
        <f t="shared" si="204"/>
        <v>1.0519170028821596</v>
      </c>
      <c r="L137" s="140">
        <f t="shared" si="204"/>
        <v>1.0500155677674201</v>
      </c>
      <c r="M137" s="140">
        <f t="shared" si="204"/>
        <v>1.0473177710547914</v>
      </c>
      <c r="N137" s="140">
        <f t="shared" si="204"/>
        <v>1.0439617099740213</v>
      </c>
      <c r="O137" s="140">
        <f t="shared" si="204"/>
        <v>1.0400502813152057</v>
      </c>
      <c r="P137" s="140">
        <f t="shared" si="204"/>
        <v>1.035707395712165</v>
      </c>
      <c r="Q137" s="140">
        <f t="shared" si="204"/>
        <v>1.0310418174855784</v>
      </c>
      <c r="R137" s="140">
        <f t="shared" si="204"/>
        <v>1.0261693562201626</v>
      </c>
      <c r="S137" s="140">
        <f t="shared" si="204"/>
        <v>1.0211579775869126</v>
      </c>
      <c r="T137" s="140">
        <f t="shared" si="204"/>
        <v>1.0161097781093493</v>
      </c>
      <c r="U137" s="140">
        <f t="shared" si="204"/>
        <v>1.0111072129745464</v>
      </c>
      <c r="V137" s="140">
        <f t="shared" si="204"/>
        <v>1.0062400171864925</v>
      </c>
      <c r="W137" s="140">
        <f t="shared" si="204"/>
        <v>1.0015516284596413</v>
      </c>
      <c r="X137" s="140">
        <f t="shared" si="204"/>
        <v>0.99712119971040747</v>
      </c>
      <c r="Y137" s="140">
        <f t="shared" si="204"/>
        <v>0.99300918823192208</v>
      </c>
      <c r="Z137" s="140">
        <f t="shared" si="204"/>
        <v>0.98928134531686884</v>
      </c>
      <c r="AA137" s="140">
        <f t="shared" si="204"/>
        <v>0.98596862455453216</v>
      </c>
      <c r="AB137" s="140">
        <f t="shared" si="204"/>
        <v>0.9831301234228299</v>
      </c>
      <c r="AC137" s="140">
        <f t="shared" si="204"/>
        <v>0.98081075217269442</v>
      </c>
      <c r="AD137" s="140">
        <f t="shared" si="204"/>
        <v>0.97905664449048957</v>
      </c>
      <c r="AE137" s="140">
        <f t="shared" si="204"/>
        <v>0.97789756014177964</v>
      </c>
      <c r="AF137" s="140">
        <f t="shared" si="204"/>
        <v>0.9773767562124831</v>
      </c>
      <c r="AG137" s="140">
        <f t="shared" si="204"/>
        <v>0.97753012881620904</v>
      </c>
      <c r="AH137" s="140">
        <f t="shared" si="204"/>
        <v>0.97839226092660847</v>
      </c>
      <c r="AI137" s="140">
        <f t="shared" si="204"/>
        <v>0.97999677190194301</v>
      </c>
      <c r="AJ137" s="140">
        <f t="shared" si="204"/>
        <v>0.98237665326774137</v>
      </c>
      <c r="AK137" s="140">
        <f t="shared" si="204"/>
        <v>0.98556459136016672</v>
      </c>
      <c r="AL137" s="140">
        <f t="shared" si="204"/>
        <v>0.98958089213068101</v>
      </c>
      <c r="AM137" s="140">
        <f t="shared" si="204"/>
        <v>0.99448084937426684</v>
      </c>
      <c r="AN137" s="140">
        <f t="shared" si="204"/>
        <v>1.0002880459164516</v>
      </c>
      <c r="AO137" s="140">
        <f t="shared" si="204"/>
        <v>1.0070369428035522</v>
      </c>
      <c r="AP137" s="140">
        <f t="shared" si="204"/>
        <v>1.0147402991789169</v>
      </c>
      <c r="AQ137" s="140">
        <f t="shared" si="204"/>
        <v>1.0234779661859643</v>
      </c>
      <c r="AR137" s="140">
        <f t="shared" si="204"/>
        <v>1.0332685576252529</v>
      </c>
      <c r="AS137" s="140">
        <f>EXP(-AS136*AS135)</f>
        <v>1.0441527111386979</v>
      </c>
      <c r="AT137" s="140">
        <f t="shared" ref="AT137:CA137" si="205">EXP(-AT136*AT135)</f>
        <v>1.0561382597573354</v>
      </c>
      <c r="AU137" s="140">
        <f t="shared" si="205"/>
        <v>1.0693371680704904</v>
      </c>
      <c r="AV137" s="140">
        <f t="shared" si="205"/>
        <v>1.0837656688304225</v>
      </c>
      <c r="AW137" s="140">
        <f t="shared" si="205"/>
        <v>1.0994747765346584</v>
      </c>
      <c r="AX137" s="140">
        <f t="shared" si="205"/>
        <v>1.1164695284477146</v>
      </c>
      <c r="AY137" s="140">
        <f t="shared" si="205"/>
        <v>1.1349022969978859</v>
      </c>
      <c r="AZ137" s="140">
        <f t="shared" si="205"/>
        <v>1.1547892857034441</v>
      </c>
      <c r="BA137" s="140">
        <f t="shared" si="205"/>
        <v>1.1761962988849464</v>
      </c>
      <c r="BB137" s="140">
        <f t="shared" si="205"/>
        <v>1.199127444266245</v>
      </c>
      <c r="BC137" s="140">
        <f t="shared" si="205"/>
        <v>1.2237853347392533</v>
      </c>
      <c r="BD137" s="140">
        <f t="shared" si="205"/>
        <v>1.2501884937802201</v>
      </c>
      <c r="BE137" s="140">
        <f t="shared" si="205"/>
        <v>1.2784225664623445</v>
      </c>
      <c r="BF137" s="140">
        <f t="shared" si="205"/>
        <v>1.3084925486769401</v>
      </c>
      <c r="BG137" s="140">
        <f t="shared" si="205"/>
        <v>1.3406635142388896</v>
      </c>
      <c r="BH137" s="140">
        <f t="shared" si="205"/>
        <v>1.374958884974474</v>
      </c>
      <c r="BI137" s="140">
        <f t="shared" si="205"/>
        <v>1.4114902795822553</v>
      </c>
      <c r="BJ137" s="140">
        <f t="shared" si="205"/>
        <v>1.4502655499305956</v>
      </c>
      <c r="BK137" s="140">
        <f t="shared" si="205"/>
        <v>1.4916277940131077</v>
      </c>
      <c r="BL137" s="140">
        <f t="shared" si="205"/>
        <v>1.5356083711853263</v>
      </c>
      <c r="BM137" s="140">
        <f t="shared" si="205"/>
        <v>1.5823525746486276</v>
      </c>
      <c r="BN137" s="140">
        <f t="shared" si="205"/>
        <v>1.631873416486243</v>
      </c>
      <c r="BO137" s="140">
        <f t="shared" si="205"/>
        <v>1.68461205354827</v>
      </c>
      <c r="BP137" s="140">
        <f t="shared" si="205"/>
        <v>1.7406115222052634</v>
      </c>
      <c r="BQ137" s="140">
        <f t="shared" si="205"/>
        <v>1.8000606167174336</v>
      </c>
      <c r="BR137" s="140">
        <f t="shared" si="205"/>
        <v>1.8629803308764536</v>
      </c>
      <c r="BS137" s="140">
        <f t="shared" si="205"/>
        <v>1.9299357657622267</v>
      </c>
      <c r="BT137" s="140">
        <f t="shared" si="205"/>
        <v>2.000986330564511</v>
      </c>
      <c r="BU137" s="140">
        <f t="shared" si="205"/>
        <v>2.0763769336671491</v>
      </c>
      <c r="BV137" s="140">
        <f t="shared" si="205"/>
        <v>2.1561400688084933</v>
      </c>
      <c r="BW137" s="140">
        <f t="shared" si="205"/>
        <v>2.24099823295749</v>
      </c>
      <c r="BX137" s="140">
        <f t="shared" si="205"/>
        <v>2.3310331381365965</v>
      </c>
      <c r="BY137" s="140">
        <f t="shared" si="205"/>
        <v>2.4265620021341823</v>
      </c>
      <c r="BZ137" s="140">
        <f t="shared" si="205"/>
        <v>2.5276332103297814</v>
      </c>
      <c r="CA137" s="140">
        <f t="shared" si="205"/>
        <v>2.6351698212279282</v>
      </c>
      <c r="CB137" s="140">
        <f>EXP(-CB136*CB135)</f>
        <v>2.7492833132113454</v>
      </c>
      <c r="CC137" s="17"/>
      <c r="CD137" s="17"/>
      <c r="CE137" s="17"/>
    </row>
    <row r="138" spans="1:83">
      <c r="A138" s="17"/>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17"/>
      <c r="CD138" s="17"/>
      <c r="CE138" s="17"/>
    </row>
    <row r="139" spans="1:83">
      <c r="A139" s="16" t="s">
        <v>40</v>
      </c>
      <c r="B139" s="140">
        <f t="shared" ref="B139:BM139" si="206">DAYS360($B$3,B52)</f>
        <v>355</v>
      </c>
      <c r="C139" s="140">
        <f t="shared" si="206"/>
        <v>715</v>
      </c>
      <c r="D139" s="140">
        <f t="shared" si="206"/>
        <v>1075</v>
      </c>
      <c r="E139" s="140">
        <f t="shared" si="206"/>
        <v>1435</v>
      </c>
      <c r="F139" s="140">
        <f t="shared" si="206"/>
        <v>1794</v>
      </c>
      <c r="G139" s="140">
        <f t="shared" si="206"/>
        <v>2154</v>
      </c>
      <c r="H139" s="140">
        <f t="shared" si="206"/>
        <v>2514</v>
      </c>
      <c r="I139" s="140">
        <f t="shared" si="206"/>
        <v>2874</v>
      </c>
      <c r="J139" s="140">
        <f t="shared" si="206"/>
        <v>3233</v>
      </c>
      <c r="K139" s="140">
        <f t="shared" si="206"/>
        <v>3593</v>
      </c>
      <c r="L139" s="140">
        <f t="shared" si="206"/>
        <v>3953</v>
      </c>
      <c r="M139" s="140">
        <f t="shared" si="206"/>
        <v>4313</v>
      </c>
      <c r="N139" s="140">
        <f t="shared" si="206"/>
        <v>4672</v>
      </c>
      <c r="O139" s="140">
        <f t="shared" si="206"/>
        <v>5032</v>
      </c>
      <c r="P139" s="140">
        <f t="shared" si="206"/>
        <v>5392</v>
      </c>
      <c r="Q139" s="140">
        <f t="shared" si="206"/>
        <v>5752</v>
      </c>
      <c r="R139" s="140">
        <f t="shared" si="206"/>
        <v>6111</v>
      </c>
      <c r="S139" s="140">
        <f t="shared" si="206"/>
        <v>6471</v>
      </c>
      <c r="T139" s="140">
        <f t="shared" si="206"/>
        <v>6831</v>
      </c>
      <c r="U139" s="140">
        <f t="shared" si="206"/>
        <v>7191</v>
      </c>
      <c r="V139" s="140">
        <f t="shared" si="206"/>
        <v>7550</v>
      </c>
      <c r="W139" s="140">
        <f t="shared" si="206"/>
        <v>7910</v>
      </c>
      <c r="X139" s="140">
        <f t="shared" si="206"/>
        <v>8270</v>
      </c>
      <c r="Y139" s="140">
        <f t="shared" si="206"/>
        <v>8630</v>
      </c>
      <c r="Z139" s="140">
        <f t="shared" si="206"/>
        <v>8989</v>
      </c>
      <c r="AA139" s="140">
        <f t="shared" si="206"/>
        <v>9349</v>
      </c>
      <c r="AB139" s="140">
        <f t="shared" si="206"/>
        <v>9709</v>
      </c>
      <c r="AC139" s="140">
        <f t="shared" si="206"/>
        <v>10069</v>
      </c>
      <c r="AD139" s="140">
        <f t="shared" si="206"/>
        <v>10428</v>
      </c>
      <c r="AE139" s="140">
        <f t="shared" si="206"/>
        <v>10788</v>
      </c>
      <c r="AF139" s="140">
        <f t="shared" si="206"/>
        <v>11148</v>
      </c>
      <c r="AG139" s="140">
        <f t="shared" si="206"/>
        <v>11508</v>
      </c>
      <c r="AH139" s="140">
        <f t="shared" si="206"/>
        <v>11867</v>
      </c>
      <c r="AI139" s="140">
        <f t="shared" si="206"/>
        <v>12227</v>
      </c>
      <c r="AJ139" s="140">
        <f t="shared" si="206"/>
        <v>12587</v>
      </c>
      <c r="AK139" s="140">
        <f t="shared" si="206"/>
        <v>12947</v>
      </c>
      <c r="AL139" s="140">
        <f t="shared" si="206"/>
        <v>13306</v>
      </c>
      <c r="AM139" s="140">
        <f t="shared" si="206"/>
        <v>13666</v>
      </c>
      <c r="AN139" s="140">
        <f t="shared" si="206"/>
        <v>14026</v>
      </c>
      <c r="AO139" s="140">
        <f t="shared" si="206"/>
        <v>14386</v>
      </c>
      <c r="AP139" s="140">
        <f t="shared" si="206"/>
        <v>14745</v>
      </c>
      <c r="AQ139" s="140">
        <f t="shared" si="206"/>
        <v>15105</v>
      </c>
      <c r="AR139" s="140">
        <f t="shared" si="206"/>
        <v>15465</v>
      </c>
      <c r="AS139" s="140">
        <f t="shared" si="206"/>
        <v>15825</v>
      </c>
      <c r="AT139" s="140">
        <f t="shared" si="206"/>
        <v>16184</v>
      </c>
      <c r="AU139" s="140">
        <f t="shared" si="206"/>
        <v>16544</v>
      </c>
      <c r="AV139" s="140">
        <f t="shared" si="206"/>
        <v>16904</v>
      </c>
      <c r="AW139" s="140">
        <f t="shared" si="206"/>
        <v>17264</v>
      </c>
      <c r="AX139" s="140">
        <f t="shared" si="206"/>
        <v>17623</v>
      </c>
      <c r="AY139" s="140">
        <f t="shared" si="206"/>
        <v>17983</v>
      </c>
      <c r="AZ139" s="140">
        <f t="shared" si="206"/>
        <v>18343</v>
      </c>
      <c r="BA139" s="140">
        <f t="shared" si="206"/>
        <v>18703</v>
      </c>
      <c r="BB139" s="140">
        <f t="shared" si="206"/>
        <v>19062</v>
      </c>
      <c r="BC139" s="140">
        <f t="shared" si="206"/>
        <v>19422</v>
      </c>
      <c r="BD139" s="140">
        <f t="shared" si="206"/>
        <v>19782</v>
      </c>
      <c r="BE139" s="140">
        <f t="shared" si="206"/>
        <v>20142</v>
      </c>
      <c r="BF139" s="140">
        <f t="shared" si="206"/>
        <v>20501</v>
      </c>
      <c r="BG139" s="140">
        <f t="shared" si="206"/>
        <v>20861</v>
      </c>
      <c r="BH139" s="140">
        <f t="shared" si="206"/>
        <v>21221</v>
      </c>
      <c r="BI139" s="140">
        <f t="shared" si="206"/>
        <v>21581</v>
      </c>
      <c r="BJ139" s="140">
        <f t="shared" si="206"/>
        <v>21940</v>
      </c>
      <c r="BK139" s="140">
        <f t="shared" si="206"/>
        <v>22300</v>
      </c>
      <c r="BL139" s="140">
        <f t="shared" si="206"/>
        <v>22660</v>
      </c>
      <c r="BM139" s="140">
        <f t="shared" si="206"/>
        <v>23020</v>
      </c>
      <c r="BN139" s="140">
        <f t="shared" ref="BN139:CB139" si="207">DAYS360($B$3,BN52)</f>
        <v>23379</v>
      </c>
      <c r="BO139" s="140">
        <f t="shared" si="207"/>
        <v>23739</v>
      </c>
      <c r="BP139" s="140">
        <f t="shared" si="207"/>
        <v>24099</v>
      </c>
      <c r="BQ139" s="140">
        <f t="shared" si="207"/>
        <v>24459</v>
      </c>
      <c r="BR139" s="140">
        <f t="shared" si="207"/>
        <v>24818</v>
      </c>
      <c r="BS139" s="140">
        <f t="shared" si="207"/>
        <v>25178</v>
      </c>
      <c r="BT139" s="140">
        <f t="shared" si="207"/>
        <v>25538</v>
      </c>
      <c r="BU139" s="140">
        <f t="shared" si="207"/>
        <v>25898</v>
      </c>
      <c r="BV139" s="140">
        <f t="shared" si="207"/>
        <v>26257</v>
      </c>
      <c r="BW139" s="140">
        <f t="shared" si="207"/>
        <v>26617</v>
      </c>
      <c r="BX139" s="140">
        <f t="shared" si="207"/>
        <v>26977</v>
      </c>
      <c r="BY139" s="140">
        <f t="shared" si="207"/>
        <v>27337</v>
      </c>
      <c r="BZ139" s="140">
        <f t="shared" si="207"/>
        <v>27696</v>
      </c>
      <c r="CA139" s="140">
        <f t="shared" si="207"/>
        <v>28056</v>
      </c>
      <c r="CB139" s="140">
        <f t="shared" si="207"/>
        <v>28416</v>
      </c>
      <c r="CC139" s="17"/>
      <c r="CD139" s="17"/>
      <c r="CE139" s="17"/>
    </row>
    <row r="140" spans="1:83">
      <c r="A140" s="16" t="s">
        <v>41</v>
      </c>
      <c r="B140" s="140">
        <f>B139/360</f>
        <v>0.98611111111111116</v>
      </c>
      <c r="C140" s="140">
        <f t="shared" ref="C140:BN140" si="208">C139/360</f>
        <v>1.9861111111111112</v>
      </c>
      <c r="D140" s="140">
        <f t="shared" si="208"/>
        <v>2.9861111111111112</v>
      </c>
      <c r="E140" s="140">
        <f t="shared" si="208"/>
        <v>3.9861111111111112</v>
      </c>
      <c r="F140" s="140">
        <f t="shared" si="208"/>
        <v>4.9833333333333334</v>
      </c>
      <c r="G140" s="140">
        <f t="shared" si="208"/>
        <v>5.9833333333333334</v>
      </c>
      <c r="H140" s="140">
        <f t="shared" si="208"/>
        <v>6.9833333333333334</v>
      </c>
      <c r="I140" s="140">
        <f t="shared" si="208"/>
        <v>7.9833333333333334</v>
      </c>
      <c r="J140" s="140">
        <f t="shared" si="208"/>
        <v>8.9805555555555561</v>
      </c>
      <c r="K140" s="140">
        <f t="shared" si="208"/>
        <v>9.9805555555555561</v>
      </c>
      <c r="L140" s="140">
        <f t="shared" si="208"/>
        <v>10.980555555555556</v>
      </c>
      <c r="M140" s="140">
        <f t="shared" si="208"/>
        <v>11.980555555555556</v>
      </c>
      <c r="N140" s="140">
        <f t="shared" si="208"/>
        <v>12.977777777777778</v>
      </c>
      <c r="O140" s="140">
        <f t="shared" si="208"/>
        <v>13.977777777777778</v>
      </c>
      <c r="P140" s="140">
        <f t="shared" si="208"/>
        <v>14.977777777777778</v>
      </c>
      <c r="Q140" s="140">
        <f t="shared" si="208"/>
        <v>15.977777777777778</v>
      </c>
      <c r="R140" s="140">
        <f t="shared" si="208"/>
        <v>16.975000000000001</v>
      </c>
      <c r="S140" s="140">
        <f t="shared" si="208"/>
        <v>17.975000000000001</v>
      </c>
      <c r="T140" s="140">
        <f t="shared" si="208"/>
        <v>18.975000000000001</v>
      </c>
      <c r="U140" s="140">
        <f t="shared" si="208"/>
        <v>19.975000000000001</v>
      </c>
      <c r="V140" s="140">
        <f t="shared" si="208"/>
        <v>20.972222222222221</v>
      </c>
      <c r="W140" s="140">
        <f t="shared" si="208"/>
        <v>21.972222222222221</v>
      </c>
      <c r="X140" s="140">
        <f t="shared" si="208"/>
        <v>22.972222222222221</v>
      </c>
      <c r="Y140" s="140">
        <f t="shared" si="208"/>
        <v>23.972222222222221</v>
      </c>
      <c r="Z140" s="140">
        <f t="shared" si="208"/>
        <v>24.969444444444445</v>
      </c>
      <c r="AA140" s="140">
        <f t="shared" si="208"/>
        <v>25.969444444444445</v>
      </c>
      <c r="AB140" s="140">
        <f t="shared" si="208"/>
        <v>26.969444444444445</v>
      </c>
      <c r="AC140" s="140">
        <f t="shared" si="208"/>
        <v>27.969444444444445</v>
      </c>
      <c r="AD140" s="140">
        <f t="shared" si="208"/>
        <v>28.966666666666665</v>
      </c>
      <c r="AE140" s="140">
        <f t="shared" si="208"/>
        <v>29.966666666666665</v>
      </c>
      <c r="AF140" s="140">
        <f t="shared" si="208"/>
        <v>30.966666666666665</v>
      </c>
      <c r="AG140" s="140">
        <f t="shared" si="208"/>
        <v>31.966666666666665</v>
      </c>
      <c r="AH140" s="140">
        <f t="shared" si="208"/>
        <v>32.963888888888889</v>
      </c>
      <c r="AI140" s="140">
        <f t="shared" si="208"/>
        <v>33.963888888888889</v>
      </c>
      <c r="AJ140" s="140">
        <f t="shared" si="208"/>
        <v>34.963888888888889</v>
      </c>
      <c r="AK140" s="140">
        <f t="shared" si="208"/>
        <v>35.963888888888889</v>
      </c>
      <c r="AL140" s="140">
        <f t="shared" si="208"/>
        <v>36.961111111111109</v>
      </c>
      <c r="AM140" s="140">
        <f t="shared" si="208"/>
        <v>37.961111111111109</v>
      </c>
      <c r="AN140" s="140">
        <f t="shared" si="208"/>
        <v>38.961111111111109</v>
      </c>
      <c r="AO140" s="140">
        <f t="shared" si="208"/>
        <v>39.961111111111109</v>
      </c>
      <c r="AP140" s="140">
        <f t="shared" si="208"/>
        <v>40.958333333333336</v>
      </c>
      <c r="AQ140" s="140">
        <f t="shared" si="208"/>
        <v>41.958333333333336</v>
      </c>
      <c r="AR140" s="140">
        <f t="shared" si="208"/>
        <v>42.958333333333336</v>
      </c>
      <c r="AS140" s="140">
        <f t="shared" si="208"/>
        <v>43.958333333333336</v>
      </c>
      <c r="AT140" s="140">
        <f t="shared" si="208"/>
        <v>44.955555555555556</v>
      </c>
      <c r="AU140" s="140">
        <f t="shared" si="208"/>
        <v>45.955555555555556</v>
      </c>
      <c r="AV140" s="140">
        <f t="shared" si="208"/>
        <v>46.955555555555556</v>
      </c>
      <c r="AW140" s="140">
        <f t="shared" si="208"/>
        <v>47.955555555555556</v>
      </c>
      <c r="AX140" s="140">
        <f t="shared" si="208"/>
        <v>48.952777777777776</v>
      </c>
      <c r="AY140" s="140">
        <f t="shared" si="208"/>
        <v>49.952777777777776</v>
      </c>
      <c r="AZ140" s="140">
        <f t="shared" si="208"/>
        <v>50.952777777777776</v>
      </c>
      <c r="BA140" s="140">
        <f t="shared" si="208"/>
        <v>51.952777777777776</v>
      </c>
      <c r="BB140" s="140">
        <f t="shared" si="208"/>
        <v>52.95</v>
      </c>
      <c r="BC140" s="140">
        <f t="shared" si="208"/>
        <v>53.95</v>
      </c>
      <c r="BD140" s="140">
        <f t="shared" si="208"/>
        <v>54.95</v>
      </c>
      <c r="BE140" s="140">
        <f t="shared" si="208"/>
        <v>55.95</v>
      </c>
      <c r="BF140" s="140">
        <f t="shared" si="208"/>
        <v>56.947222222222223</v>
      </c>
      <c r="BG140" s="140">
        <f t="shared" si="208"/>
        <v>57.947222222222223</v>
      </c>
      <c r="BH140" s="140">
        <f t="shared" si="208"/>
        <v>58.947222222222223</v>
      </c>
      <c r="BI140" s="140">
        <f t="shared" si="208"/>
        <v>59.947222222222223</v>
      </c>
      <c r="BJ140" s="140">
        <f t="shared" si="208"/>
        <v>60.944444444444443</v>
      </c>
      <c r="BK140" s="140">
        <f t="shared" si="208"/>
        <v>61.944444444444443</v>
      </c>
      <c r="BL140" s="140">
        <f t="shared" si="208"/>
        <v>62.944444444444443</v>
      </c>
      <c r="BM140" s="140">
        <f t="shared" si="208"/>
        <v>63.944444444444443</v>
      </c>
      <c r="BN140" s="140">
        <f t="shared" si="208"/>
        <v>64.941666666666663</v>
      </c>
      <c r="BO140" s="140">
        <f t="shared" ref="BO140:CB140" si="209">BO139/360</f>
        <v>65.941666666666663</v>
      </c>
      <c r="BP140" s="140">
        <f t="shared" si="209"/>
        <v>66.941666666666663</v>
      </c>
      <c r="BQ140" s="140">
        <f t="shared" si="209"/>
        <v>67.941666666666663</v>
      </c>
      <c r="BR140" s="140">
        <f t="shared" si="209"/>
        <v>68.938888888888883</v>
      </c>
      <c r="BS140" s="140">
        <f t="shared" si="209"/>
        <v>69.938888888888883</v>
      </c>
      <c r="BT140" s="140">
        <f t="shared" si="209"/>
        <v>70.938888888888883</v>
      </c>
      <c r="BU140" s="140">
        <f t="shared" si="209"/>
        <v>71.938888888888883</v>
      </c>
      <c r="BV140" s="140">
        <f t="shared" si="209"/>
        <v>72.936111111111117</v>
      </c>
      <c r="BW140" s="140">
        <f t="shared" si="209"/>
        <v>73.936111111111117</v>
      </c>
      <c r="BX140" s="140">
        <f t="shared" si="209"/>
        <v>74.936111111111117</v>
      </c>
      <c r="BY140" s="140">
        <f t="shared" si="209"/>
        <v>75.936111111111117</v>
      </c>
      <c r="BZ140" s="140">
        <f t="shared" si="209"/>
        <v>76.933333333333337</v>
      </c>
      <c r="CA140" s="140">
        <f t="shared" si="209"/>
        <v>77.933333333333337</v>
      </c>
      <c r="CB140" s="140">
        <f t="shared" si="209"/>
        <v>78.933333333333337</v>
      </c>
      <c r="CC140" s="17"/>
      <c r="CD140" s="17"/>
      <c r="CE140" s="17"/>
    </row>
    <row r="141" spans="1:83">
      <c r="A141" s="16" t="s">
        <v>43</v>
      </c>
      <c r="B141" s="140">
        <f>IF(B139&lt;0,0,$B$5+$B$6*((1-EXP(-B140/$B$9))/(B140/$B$9))+$B$7*((1-EXP(-B140/$B$9))/(B140/$B$9)-EXP(-B140/$B$9))+$B$8*((1-EXP(-B140/$B$10))/(B140/$B$10)-EXP(-B140/$B$10)))</f>
        <v>-1.3111405199133964E-2</v>
      </c>
      <c r="C141" s="140">
        <f t="shared" ref="C141:BN141" si="210">IF(C139&lt;0,0,$B$5+$B$6*((1-EXP(-C140/$B$9))/(C140/$B$9))+$B$7*((1-EXP(-C140/$B$9))/(C140/$B$9)-EXP(-C140/$B$9))+$B$8*((1-EXP(-C140/$B$10))/(C140/$B$10)-EXP(-C140/$B$10)))</f>
        <v>-1.1985651425219332E-2</v>
      </c>
      <c r="D141" s="140">
        <f t="shared" si="210"/>
        <v>-1.0921542130223226E-2</v>
      </c>
      <c r="E141" s="140">
        <f t="shared" si="210"/>
        <v>-9.917044218903508E-3</v>
      </c>
      <c r="F141" s="140">
        <f t="shared" si="210"/>
        <v>-8.9727332748552619E-3</v>
      </c>
      <c r="G141" s="140">
        <f t="shared" si="210"/>
        <v>-8.0814314132734676E-3</v>
      </c>
      <c r="H141" s="140">
        <f t="shared" si="210"/>
        <v>-7.2439802117786091E-3</v>
      </c>
      <c r="I141" s="140">
        <f t="shared" si="210"/>
        <v>-6.4585639660886263E-3</v>
      </c>
      <c r="J141" s="140">
        <f t="shared" si="210"/>
        <v>-5.7253919152665048E-3</v>
      </c>
      <c r="K141" s="140">
        <f t="shared" si="210"/>
        <v>-5.0386682153474409E-3</v>
      </c>
      <c r="L141" s="140">
        <f t="shared" si="210"/>
        <v>-4.3988370828229803E-3</v>
      </c>
      <c r="M141" s="140">
        <f t="shared" si="210"/>
        <v>-3.8042784877297155E-3</v>
      </c>
      <c r="N141" s="140">
        <f t="shared" si="210"/>
        <v>-3.2548892720227589E-3</v>
      </c>
      <c r="O141" s="140">
        <f t="shared" si="210"/>
        <v>-2.7460826386716888E-3</v>
      </c>
      <c r="P141" s="140">
        <f t="shared" si="210"/>
        <v>-2.2779626131003428E-3</v>
      </c>
      <c r="Q141" s="140">
        <f t="shared" si="210"/>
        <v>-1.8490852234097424E-3</v>
      </c>
      <c r="R141" s="140">
        <f t="shared" si="210"/>
        <v>-1.4590827737840026E-3</v>
      </c>
      <c r="S141" s="140">
        <f t="shared" si="210"/>
        <v>-1.1044230038054353E-3</v>
      </c>
      <c r="T141" s="140">
        <f t="shared" si="210"/>
        <v>-7.8492051211784958E-4</v>
      </c>
      <c r="U141" s="140">
        <f t="shared" si="210"/>
        <v>-4.9928966921586326E-4</v>
      </c>
      <c r="V141" s="140">
        <f t="shared" si="210"/>
        <v>-2.4694063539598687E-4</v>
      </c>
      <c r="W141" s="140">
        <f t="shared" si="210"/>
        <v>-2.5257814297852121E-5</v>
      </c>
      <c r="X141" s="140">
        <f t="shared" si="210"/>
        <v>1.661886105538829E-4</v>
      </c>
      <c r="Y141" s="140">
        <f t="shared" si="210"/>
        <v>3.2854192231970836E-4</v>
      </c>
      <c r="Z141" s="140">
        <f t="shared" si="210"/>
        <v>4.6257661446093973E-4</v>
      </c>
      <c r="AA141" s="140">
        <f t="shared" si="210"/>
        <v>5.7011452139402174E-4</v>
      </c>
      <c r="AB141" s="140">
        <f t="shared" si="210"/>
        <v>6.5179002634666722E-4</v>
      </c>
      <c r="AC141" s="140">
        <f t="shared" si="210"/>
        <v>7.0861850646106866E-4</v>
      </c>
      <c r="AD141" s="140">
        <f t="shared" si="210"/>
        <v>7.4152601596694234E-4</v>
      </c>
      <c r="AE141" s="140">
        <f t="shared" si="210"/>
        <v>7.5165006481980878E-4</v>
      </c>
      <c r="AF141" s="140">
        <f t="shared" si="210"/>
        <v>7.3979438631150557E-4</v>
      </c>
      <c r="AG141" s="140">
        <f t="shared" si="210"/>
        <v>7.0685948460100928E-4</v>
      </c>
      <c r="AH141" s="140">
        <f t="shared" si="210"/>
        <v>6.5389382203501212E-4</v>
      </c>
      <c r="AI141" s="140">
        <f t="shared" si="210"/>
        <v>5.8144791664087314E-4</v>
      </c>
      <c r="AJ141" s="140">
        <f t="shared" si="210"/>
        <v>4.9046378733031554E-4</v>
      </c>
      <c r="AK141" s="140">
        <f t="shared" si="210"/>
        <v>3.8173882543741933E-4</v>
      </c>
      <c r="AL141" s="140">
        <f t="shared" si="210"/>
        <v>2.5641827734342731E-4</v>
      </c>
      <c r="AM141" s="140">
        <f t="shared" si="210"/>
        <v>1.1455212420034833E-4</v>
      </c>
      <c r="AN141" s="140">
        <f t="shared" si="210"/>
        <v>-4.2806673912341997E-5</v>
      </c>
      <c r="AO141" s="140">
        <f t="shared" si="210"/>
        <v>-2.1495322948920925E-4</v>
      </c>
      <c r="AP141" s="140">
        <f t="shared" si="210"/>
        <v>-4.0066797869423715E-4</v>
      </c>
      <c r="AQ141" s="140">
        <f t="shared" si="210"/>
        <v>-6.0032479180439913E-4</v>
      </c>
      <c r="AR141" s="140">
        <f t="shared" si="210"/>
        <v>-8.1278378163235354E-4</v>
      </c>
      <c r="AS141" s="140">
        <f t="shared" si="210"/>
        <v>-1.0374229964600495E-3</v>
      </c>
      <c r="AT141" s="140">
        <f t="shared" si="210"/>
        <v>-1.2729681983528474E-3</v>
      </c>
      <c r="AU141" s="140">
        <f t="shared" si="210"/>
        <v>-1.5201491934784955E-3</v>
      </c>
      <c r="AV141" s="140">
        <f t="shared" si="210"/>
        <v>-1.7777602022592265E-3</v>
      </c>
      <c r="AW141" s="140">
        <f t="shared" si="210"/>
        <v>-2.0452535818979711E-3</v>
      </c>
      <c r="AX141" s="140">
        <f t="shared" si="210"/>
        <v>-2.3213175415320864E-3</v>
      </c>
      <c r="AY141" s="140">
        <f t="shared" si="210"/>
        <v>-2.6069777757226215E-3</v>
      </c>
      <c r="AZ141" s="140">
        <f t="shared" si="210"/>
        <v>-2.9009809840896544E-3</v>
      </c>
      <c r="BA141" s="140">
        <f t="shared" si="210"/>
        <v>-3.2028460567285894E-3</v>
      </c>
      <c r="BB141" s="140">
        <f t="shared" si="210"/>
        <v>-3.5112385198416418E-3</v>
      </c>
      <c r="BC141" s="140">
        <f t="shared" si="210"/>
        <v>-3.8274269635287933E-3</v>
      </c>
      <c r="BD141" s="140">
        <f t="shared" si="210"/>
        <v>-4.1501265597961717E-3</v>
      </c>
      <c r="BE141" s="140">
        <f t="shared" si="210"/>
        <v>-4.4789157246689359E-3</v>
      </c>
      <c r="BF141" s="140">
        <f t="shared" si="210"/>
        <v>-4.8124501641036016E-3</v>
      </c>
      <c r="BG141" s="140">
        <f t="shared" si="210"/>
        <v>-5.1521946921197076E-3</v>
      </c>
      <c r="BH141" s="140">
        <f t="shared" si="210"/>
        <v>-5.4968468241902296E-3</v>
      </c>
      <c r="BI141" s="140">
        <f t="shared" si="210"/>
        <v>-5.8460381903502751E-3</v>
      </c>
      <c r="BJ141" s="140">
        <f t="shared" si="210"/>
        <v>-6.1984257510727947E-3</v>
      </c>
      <c r="BK141" s="140">
        <f t="shared" si="210"/>
        <v>-6.555629532817131E-3</v>
      </c>
      <c r="BL141" s="140">
        <f t="shared" si="210"/>
        <v>-6.9163413741008123E-3</v>
      </c>
      <c r="BM141" s="140">
        <f t="shared" si="210"/>
        <v>-7.2802404350941763E-3</v>
      </c>
      <c r="BN141" s="140">
        <f t="shared" si="210"/>
        <v>-7.6459944148729725E-3</v>
      </c>
      <c r="BO141" s="140">
        <f t="shared" ref="BO141:CB141" si="211">IF(BO139&lt;0,0,$B$5+$B$6*((1-EXP(-BO140/$B$9))/(BO140/$B$9))+$B$7*((1-EXP(-BO140/$B$9))/(BO140/$B$9)-EXP(-BO140/$B$9))+$B$8*((1-EXP(-BO140/$B$10))/(BO140/$B$10)-EXP(-BO140/$B$10)))</f>
        <v>-8.0153426052643195E-3</v>
      </c>
      <c r="BP141" s="140">
        <f t="shared" si="211"/>
        <v>-8.3869814633103501E-3</v>
      </c>
      <c r="BQ141" s="140">
        <f t="shared" si="211"/>
        <v>-8.7606325628527965E-3</v>
      </c>
      <c r="BR141" s="140">
        <f t="shared" si="211"/>
        <v>-9.1349824122576445E-3</v>
      </c>
      <c r="BS141" s="140">
        <f t="shared" si="211"/>
        <v>-9.5118581493996573E-3</v>
      </c>
      <c r="BT141" s="140">
        <f t="shared" si="211"/>
        <v>-9.889969647685723E-3</v>
      </c>
      <c r="BU141" s="140">
        <f t="shared" si="211"/>
        <v>-1.0269076290705573E-2</v>
      </c>
      <c r="BV141" s="140">
        <f t="shared" si="211"/>
        <v>-1.0647890212653305E-2</v>
      </c>
      <c r="BW141" s="140">
        <f t="shared" si="211"/>
        <v>-1.1028299022606297E-2</v>
      </c>
      <c r="BX141" s="140">
        <f t="shared" si="211"/>
        <v>-1.1409033478088387E-2</v>
      </c>
      <c r="BY141" s="140">
        <f t="shared" si="211"/>
        <v>-1.1789886631401333E-2</v>
      </c>
      <c r="BZ141" s="140">
        <f t="shared" si="211"/>
        <v>-1.21696019479378E-2</v>
      </c>
      <c r="CA141" s="140">
        <f t="shared" si="211"/>
        <v>-1.2550103742560229E-2</v>
      </c>
      <c r="CB141" s="140">
        <f t="shared" si="211"/>
        <v>-1.2930149945056424E-2</v>
      </c>
      <c r="CC141" s="17"/>
      <c r="CD141" s="17"/>
      <c r="CE141" s="17"/>
    </row>
    <row r="142" spans="1:83">
      <c r="A142" s="16" t="s">
        <v>44</v>
      </c>
      <c r="B142" s="140">
        <f>EXP(-B141*B140)</f>
        <v>1.0130132471712905</v>
      </c>
      <c r="C142" s="140">
        <f t="shared" ref="C142:AR142" si="212">EXP(-C141*C140)</f>
        <v>1.0240904322575957</v>
      </c>
      <c r="D142" s="140">
        <f t="shared" si="212"/>
        <v>1.0331505688298701</v>
      </c>
      <c r="E142" s="140">
        <f t="shared" si="212"/>
        <v>1.0403221659661261</v>
      </c>
      <c r="F142" s="140">
        <f t="shared" si="212"/>
        <v>1.0457288650617877</v>
      </c>
      <c r="G142" s="140">
        <f t="shared" si="212"/>
        <v>1.0495420203837673</v>
      </c>
      <c r="H142" s="140">
        <f t="shared" si="212"/>
        <v>1.0518885088082475</v>
      </c>
      <c r="I142" s="140">
        <f t="shared" si="212"/>
        <v>1.052913274115441</v>
      </c>
      <c r="J142" s="140">
        <f t="shared" si="212"/>
        <v>1.0527620141699661</v>
      </c>
      <c r="K142" s="140">
        <f t="shared" si="212"/>
        <v>1.0515746506206991</v>
      </c>
      <c r="L142" s="140">
        <f t="shared" si="212"/>
        <v>1.0494872115942573</v>
      </c>
      <c r="M142" s="140">
        <f t="shared" si="212"/>
        <v>1.0466319791580192</v>
      </c>
      <c r="N142" s="140">
        <f t="shared" si="212"/>
        <v>1.0431460861813939</v>
      </c>
      <c r="O142" s="140">
        <f t="shared" si="212"/>
        <v>1.0391303203478055</v>
      </c>
      <c r="P142" s="140">
        <f t="shared" si="212"/>
        <v>1.0347075411035342</v>
      </c>
      <c r="Q142" s="140">
        <f t="shared" si="212"/>
        <v>1.0299850347754955</v>
      </c>
      <c r="R142" s="140">
        <f t="shared" si="212"/>
        <v>1.0250772033393218</v>
      </c>
      <c r="S142" s="140">
        <f t="shared" si="212"/>
        <v>1.0200503649645725</v>
      </c>
      <c r="T142" s="140">
        <f t="shared" si="212"/>
        <v>1.0150053330510513</v>
      </c>
      <c r="U142" s="140">
        <f t="shared" si="212"/>
        <v>1.0100232103590023</v>
      </c>
      <c r="V142" s="140">
        <f t="shared" si="212"/>
        <v>1.0051923275326109</v>
      </c>
      <c r="W142" s="140">
        <f t="shared" si="212"/>
        <v>1.0005551243331134</v>
      </c>
      <c r="X142" s="140">
        <f t="shared" si="212"/>
        <v>0.99618955654197727</v>
      </c>
      <c r="Y142" s="140">
        <f t="shared" si="212"/>
        <v>0.99215505350876598</v>
      </c>
      <c r="Z142" s="140">
        <f t="shared" si="212"/>
        <v>0.98851616734169734</v>
      </c>
      <c r="AA142" s="140">
        <f t="shared" si="212"/>
        <v>0.98530350596316074</v>
      </c>
      <c r="AB142" s="140">
        <f t="shared" si="212"/>
        <v>0.98257518410440092</v>
      </c>
      <c r="AC142" s="140">
        <f t="shared" si="212"/>
        <v>0.98037545244369473</v>
      </c>
      <c r="AD142" s="140">
        <f t="shared" si="212"/>
        <v>0.97874950548467943</v>
      </c>
      <c r="AE142" s="140">
        <f t="shared" si="212"/>
        <v>0.97772733445730187</v>
      </c>
      <c r="AF142" s="140">
        <f t="shared" si="212"/>
        <v>0.97735145177663441</v>
      </c>
      <c r="AG142" s="140">
        <f t="shared" si="212"/>
        <v>0.97765743474899081</v>
      </c>
      <c r="AH142" s="140">
        <f t="shared" si="212"/>
        <v>0.97867576304483672</v>
      </c>
      <c r="AI142" s="140">
        <f t="shared" si="212"/>
        <v>0.98044548660798081</v>
      </c>
      <c r="AJ142" s="140">
        <f t="shared" si="212"/>
        <v>0.98299767763647061</v>
      </c>
      <c r="AK142" s="140">
        <f t="shared" si="212"/>
        <v>0.98636499765419916</v>
      </c>
      <c r="AL142" s="140">
        <f t="shared" si="212"/>
        <v>0.99056726555780839</v>
      </c>
      <c r="AM142" s="140">
        <f t="shared" si="212"/>
        <v>0.99566091523404809</v>
      </c>
      <c r="AN142" s="140">
        <f t="shared" si="212"/>
        <v>1.0016691871231382</v>
      </c>
      <c r="AO142" s="140">
        <f t="shared" si="212"/>
        <v>1.0086267678193703</v>
      </c>
      <c r="AP142" s="140">
        <f t="shared" si="212"/>
        <v>1.0165460876717811</v>
      </c>
      <c r="AQ142" s="140">
        <f t="shared" si="212"/>
        <v>1.0255085416224756</v>
      </c>
      <c r="AR142" s="140">
        <f t="shared" si="212"/>
        <v>1.0355325512115907</v>
      </c>
      <c r="AS142" s="140">
        <f>EXP(-AS141*AS140)</f>
        <v>1.0466592088101609</v>
      </c>
      <c r="AT142" s="140">
        <f t="shared" ref="AT142:CA142" si="213">EXP(-AT141*AT140)</f>
        <v>1.0588961446656697</v>
      </c>
      <c r="AU142" s="140">
        <f t="shared" si="213"/>
        <v>1.0723572907338355</v>
      </c>
      <c r="AV142" s="140">
        <f t="shared" si="213"/>
        <v>1.0870588189467161</v>
      </c>
      <c r="AW142" s="140">
        <f t="shared" si="213"/>
        <v>1.1030524284910901</v>
      </c>
      <c r="AX142" s="140">
        <f t="shared" si="213"/>
        <v>1.1203430597593589</v>
      </c>
      <c r="AY142" s="140">
        <f t="shared" si="213"/>
        <v>1.1390855387372203</v>
      </c>
      <c r="AZ142" s="140">
        <f t="shared" si="213"/>
        <v>1.1592961334229064</v>
      </c>
      <c r="BA142" s="140">
        <f t="shared" si="213"/>
        <v>1.1810415863715804</v>
      </c>
      <c r="BB142" s="140">
        <f t="shared" si="213"/>
        <v>1.204326006346043</v>
      </c>
      <c r="BC142" s="140">
        <f t="shared" si="213"/>
        <v>1.229355052963816</v>
      </c>
      <c r="BD142" s="140">
        <f t="shared" si="213"/>
        <v>1.2561474459908886</v>
      </c>
      <c r="BE142" s="140">
        <f t="shared" si="213"/>
        <v>1.2847900692858163</v>
      </c>
      <c r="BF142" s="140">
        <f t="shared" si="213"/>
        <v>1.315288020875597</v>
      </c>
      <c r="BG142" s="140">
        <f t="shared" si="213"/>
        <v>1.3479101699362201</v>
      </c>
      <c r="BH142" s="140">
        <f t="shared" si="213"/>
        <v>1.3826802854029341</v>
      </c>
      <c r="BI142" s="140">
        <f t="shared" si="213"/>
        <v>1.4197115973340906</v>
      </c>
      <c r="BJ142" s="140">
        <f t="shared" si="213"/>
        <v>1.4590121743678914</v>
      </c>
      <c r="BK142" s="140">
        <f t="shared" si="213"/>
        <v>1.5009298700290434</v>
      </c>
      <c r="BL142" s="140">
        <f t="shared" si="213"/>
        <v>1.545496573307084</v>
      </c>
      <c r="BM142" s="140">
        <f t="shared" si="213"/>
        <v>1.5928596614741175</v>
      </c>
      <c r="BN142" s="140">
        <f t="shared" si="213"/>
        <v>1.6430325014421971</v>
      </c>
      <c r="BO142" s="140">
        <f t="shared" si="213"/>
        <v>1.6964622449030837</v>
      </c>
      <c r="BP142" s="140">
        <f t="shared" si="213"/>
        <v>1.7531926854788731</v>
      </c>
      <c r="BQ142" s="140">
        <f t="shared" si="213"/>
        <v>1.8134153072363528</v>
      </c>
      <c r="BR142" s="140">
        <f t="shared" si="213"/>
        <v>1.8771516300269782</v>
      </c>
      <c r="BS142" s="140">
        <f t="shared" si="213"/>
        <v>1.9449743517795575</v>
      </c>
      <c r="BT142" s="140">
        <f t="shared" si="213"/>
        <v>2.0169439261212845</v>
      </c>
      <c r="BU142" s="140">
        <f t="shared" si="213"/>
        <v>2.0933087293937285</v>
      </c>
      <c r="BV142" s="140">
        <f t="shared" si="213"/>
        <v>2.1741019954937864</v>
      </c>
      <c r="BW142" s="140">
        <f t="shared" si="213"/>
        <v>2.2600558873671948</v>
      </c>
      <c r="BX142" s="140">
        <f t="shared" si="213"/>
        <v>2.3512535239416699</v>
      </c>
      <c r="BY142" s="140">
        <f t="shared" si="213"/>
        <v>2.4480165891226182</v>
      </c>
      <c r="BZ142" s="140">
        <f t="shared" si="213"/>
        <v>2.5503944747707701</v>
      </c>
      <c r="CA142" s="140">
        <f t="shared" si="213"/>
        <v>2.6593225724206264</v>
      </c>
      <c r="CB142" s="140">
        <f>EXP(-CB141*CB140)</f>
        <v>2.7749142218153797</v>
      </c>
      <c r="CC142" s="17"/>
      <c r="CD142" s="17"/>
      <c r="CE142" s="17"/>
    </row>
    <row r="143" spans="1:83">
      <c r="A143" s="17"/>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17"/>
      <c r="CD143" s="17"/>
      <c r="CE143" s="17"/>
    </row>
    <row r="144" spans="1:83">
      <c r="A144" s="16" t="s">
        <v>40</v>
      </c>
      <c r="B144" s="140">
        <f t="shared" ref="B144:BM144" si="214">DAYS360($B$3,B54)</f>
        <v>184</v>
      </c>
      <c r="C144" s="140">
        <f t="shared" si="214"/>
        <v>543</v>
      </c>
      <c r="D144" s="140">
        <f t="shared" si="214"/>
        <v>903</v>
      </c>
      <c r="E144" s="140">
        <f t="shared" si="214"/>
        <v>1263</v>
      </c>
      <c r="F144" s="140">
        <f t="shared" si="214"/>
        <v>1623</v>
      </c>
      <c r="G144" s="140">
        <f t="shared" si="214"/>
        <v>1982</v>
      </c>
      <c r="H144" s="140">
        <f t="shared" si="214"/>
        <v>2342</v>
      </c>
      <c r="I144" s="140">
        <f t="shared" si="214"/>
        <v>2702</v>
      </c>
      <c r="J144" s="140">
        <f t="shared" si="214"/>
        <v>3062</v>
      </c>
      <c r="K144" s="140">
        <f t="shared" si="214"/>
        <v>3421</v>
      </c>
      <c r="L144" s="140">
        <f t="shared" si="214"/>
        <v>3781</v>
      </c>
      <c r="M144" s="140">
        <f t="shared" si="214"/>
        <v>4141</v>
      </c>
      <c r="N144" s="140">
        <f t="shared" si="214"/>
        <v>4501</v>
      </c>
      <c r="O144" s="140">
        <f t="shared" si="214"/>
        <v>4860</v>
      </c>
      <c r="P144" s="140">
        <f t="shared" si="214"/>
        <v>5220</v>
      </c>
      <c r="Q144" s="140">
        <f t="shared" si="214"/>
        <v>5580</v>
      </c>
      <c r="R144" s="140">
        <f t="shared" si="214"/>
        <v>5940</v>
      </c>
      <c r="S144" s="140">
        <f t="shared" si="214"/>
        <v>6299</v>
      </c>
      <c r="T144" s="140">
        <f t="shared" si="214"/>
        <v>6659</v>
      </c>
      <c r="U144" s="140">
        <f t="shared" si="214"/>
        <v>7019</v>
      </c>
      <c r="V144" s="140">
        <f t="shared" si="214"/>
        <v>7379</v>
      </c>
      <c r="W144" s="140">
        <f t="shared" si="214"/>
        <v>7739</v>
      </c>
      <c r="X144" s="140">
        <f t="shared" si="214"/>
        <v>8099</v>
      </c>
      <c r="Y144" s="140">
        <f t="shared" si="214"/>
        <v>8459</v>
      </c>
      <c r="Z144" s="140">
        <f t="shared" si="214"/>
        <v>8819</v>
      </c>
      <c r="AA144" s="140">
        <f t="shared" si="214"/>
        <v>9178</v>
      </c>
      <c r="AB144" s="140">
        <f t="shared" si="214"/>
        <v>9538</v>
      </c>
      <c r="AC144" s="140">
        <f t="shared" si="214"/>
        <v>9898</v>
      </c>
      <c r="AD144" s="140">
        <f t="shared" si="214"/>
        <v>10258</v>
      </c>
      <c r="AE144" s="140">
        <f t="shared" si="214"/>
        <v>10617</v>
      </c>
      <c r="AF144" s="140">
        <f t="shared" si="214"/>
        <v>10977</v>
      </c>
      <c r="AG144" s="140">
        <f t="shared" si="214"/>
        <v>11337</v>
      </c>
      <c r="AH144" s="140">
        <f t="shared" si="214"/>
        <v>11697</v>
      </c>
      <c r="AI144" s="140">
        <f t="shared" si="214"/>
        <v>12056</v>
      </c>
      <c r="AJ144" s="140">
        <f t="shared" si="214"/>
        <v>12416</v>
      </c>
      <c r="AK144" s="140">
        <f t="shared" si="214"/>
        <v>12776</v>
      </c>
      <c r="AL144" s="140">
        <f t="shared" si="214"/>
        <v>13136</v>
      </c>
      <c r="AM144" s="140">
        <f t="shared" si="214"/>
        <v>13495</v>
      </c>
      <c r="AN144" s="140">
        <f t="shared" si="214"/>
        <v>13855</v>
      </c>
      <c r="AO144" s="140">
        <f t="shared" si="214"/>
        <v>14215</v>
      </c>
      <c r="AP144" s="140">
        <f t="shared" si="214"/>
        <v>14575</v>
      </c>
      <c r="AQ144" s="140">
        <f t="shared" si="214"/>
        <v>14934</v>
      </c>
      <c r="AR144" s="140">
        <f t="shared" si="214"/>
        <v>15294</v>
      </c>
      <c r="AS144" s="140">
        <f t="shared" si="214"/>
        <v>15654</v>
      </c>
      <c r="AT144" s="140">
        <f t="shared" si="214"/>
        <v>16014</v>
      </c>
      <c r="AU144" s="140">
        <f t="shared" si="214"/>
        <v>16373</v>
      </c>
      <c r="AV144" s="140">
        <f t="shared" si="214"/>
        <v>16733</v>
      </c>
      <c r="AW144" s="140">
        <f t="shared" si="214"/>
        <v>17093</v>
      </c>
      <c r="AX144" s="140">
        <f t="shared" si="214"/>
        <v>17453</v>
      </c>
      <c r="AY144" s="140">
        <f t="shared" si="214"/>
        <v>17812</v>
      </c>
      <c r="AZ144" s="140">
        <f t="shared" si="214"/>
        <v>18172</v>
      </c>
      <c r="BA144" s="140">
        <f t="shared" si="214"/>
        <v>18532</v>
      </c>
      <c r="BB144" s="140">
        <f t="shared" si="214"/>
        <v>18892</v>
      </c>
      <c r="BC144" s="140">
        <f t="shared" si="214"/>
        <v>19251</v>
      </c>
      <c r="BD144" s="140">
        <f t="shared" si="214"/>
        <v>19611</v>
      </c>
      <c r="BE144" s="140">
        <f t="shared" si="214"/>
        <v>19971</v>
      </c>
      <c r="BF144" s="140">
        <f t="shared" si="214"/>
        <v>20331</v>
      </c>
      <c r="BG144" s="140">
        <f t="shared" si="214"/>
        <v>20690</v>
      </c>
      <c r="BH144" s="140">
        <f t="shared" si="214"/>
        <v>21050</v>
      </c>
      <c r="BI144" s="140">
        <f t="shared" si="214"/>
        <v>21410</v>
      </c>
      <c r="BJ144" s="140">
        <f t="shared" si="214"/>
        <v>21770</v>
      </c>
      <c r="BK144" s="140">
        <f t="shared" si="214"/>
        <v>22129</v>
      </c>
      <c r="BL144" s="140">
        <f t="shared" si="214"/>
        <v>22489</v>
      </c>
      <c r="BM144" s="140">
        <f t="shared" si="214"/>
        <v>22849</v>
      </c>
      <c r="BN144" s="140">
        <f t="shared" ref="BN144:CB144" si="215">DAYS360($B$3,BN54)</f>
        <v>23209</v>
      </c>
      <c r="BO144" s="140">
        <f t="shared" si="215"/>
        <v>23568</v>
      </c>
      <c r="BP144" s="140">
        <f t="shared" si="215"/>
        <v>23928</v>
      </c>
      <c r="BQ144" s="140">
        <f t="shared" si="215"/>
        <v>24288</v>
      </c>
      <c r="BR144" s="140">
        <f t="shared" si="215"/>
        <v>24648</v>
      </c>
      <c r="BS144" s="140">
        <f t="shared" si="215"/>
        <v>25007</v>
      </c>
      <c r="BT144" s="140">
        <f t="shared" si="215"/>
        <v>25367</v>
      </c>
      <c r="BU144" s="140">
        <f t="shared" si="215"/>
        <v>25727</v>
      </c>
      <c r="BV144" s="140">
        <f t="shared" si="215"/>
        <v>26087</v>
      </c>
      <c r="BW144" s="140">
        <f t="shared" si="215"/>
        <v>26446</v>
      </c>
      <c r="BX144" s="140">
        <f t="shared" si="215"/>
        <v>26806</v>
      </c>
      <c r="BY144" s="140">
        <f t="shared" si="215"/>
        <v>27166</v>
      </c>
      <c r="BZ144" s="140">
        <f t="shared" si="215"/>
        <v>27526</v>
      </c>
      <c r="CA144" s="140">
        <f t="shared" si="215"/>
        <v>27885</v>
      </c>
      <c r="CB144" s="140">
        <f t="shared" si="215"/>
        <v>28245</v>
      </c>
      <c r="CC144" s="17"/>
      <c r="CD144" s="17"/>
      <c r="CE144" s="17"/>
    </row>
    <row r="145" spans="1:83">
      <c r="A145" s="16" t="s">
        <v>41</v>
      </c>
      <c r="B145" s="140">
        <f>B144/360</f>
        <v>0.51111111111111107</v>
      </c>
      <c r="C145" s="140">
        <f t="shared" ref="C145:BN145" si="216">C144/360</f>
        <v>1.5083333333333333</v>
      </c>
      <c r="D145" s="140">
        <f t="shared" si="216"/>
        <v>2.5083333333333333</v>
      </c>
      <c r="E145" s="140">
        <f t="shared" si="216"/>
        <v>3.5083333333333333</v>
      </c>
      <c r="F145" s="140">
        <f t="shared" si="216"/>
        <v>4.5083333333333337</v>
      </c>
      <c r="G145" s="140">
        <f t="shared" si="216"/>
        <v>5.5055555555555555</v>
      </c>
      <c r="H145" s="140">
        <f t="shared" si="216"/>
        <v>6.5055555555555555</v>
      </c>
      <c r="I145" s="140">
        <f t="shared" si="216"/>
        <v>7.5055555555555555</v>
      </c>
      <c r="J145" s="140">
        <f t="shared" si="216"/>
        <v>8.5055555555555564</v>
      </c>
      <c r="K145" s="140">
        <f t="shared" si="216"/>
        <v>9.5027777777777782</v>
      </c>
      <c r="L145" s="140">
        <f t="shared" si="216"/>
        <v>10.502777777777778</v>
      </c>
      <c r="M145" s="140">
        <f t="shared" si="216"/>
        <v>11.502777777777778</v>
      </c>
      <c r="N145" s="140">
        <f t="shared" si="216"/>
        <v>12.502777777777778</v>
      </c>
      <c r="O145" s="140">
        <f t="shared" si="216"/>
        <v>13.5</v>
      </c>
      <c r="P145" s="140">
        <f t="shared" si="216"/>
        <v>14.5</v>
      </c>
      <c r="Q145" s="140">
        <f t="shared" si="216"/>
        <v>15.5</v>
      </c>
      <c r="R145" s="140">
        <f t="shared" si="216"/>
        <v>16.5</v>
      </c>
      <c r="S145" s="140">
        <f t="shared" si="216"/>
        <v>17.497222222222224</v>
      </c>
      <c r="T145" s="140">
        <f t="shared" si="216"/>
        <v>18.497222222222224</v>
      </c>
      <c r="U145" s="140">
        <f t="shared" si="216"/>
        <v>19.497222222222224</v>
      </c>
      <c r="V145" s="140">
        <f t="shared" si="216"/>
        <v>20.497222222222224</v>
      </c>
      <c r="W145" s="140">
        <f t="shared" si="216"/>
        <v>21.497222222222224</v>
      </c>
      <c r="X145" s="140">
        <f t="shared" si="216"/>
        <v>22.497222222222224</v>
      </c>
      <c r="Y145" s="140">
        <f t="shared" si="216"/>
        <v>23.497222222222224</v>
      </c>
      <c r="Z145" s="140">
        <f t="shared" si="216"/>
        <v>24.497222222222224</v>
      </c>
      <c r="AA145" s="140">
        <f t="shared" si="216"/>
        <v>25.494444444444444</v>
      </c>
      <c r="AB145" s="140">
        <f t="shared" si="216"/>
        <v>26.494444444444444</v>
      </c>
      <c r="AC145" s="140">
        <f t="shared" si="216"/>
        <v>27.494444444444444</v>
      </c>
      <c r="AD145" s="140">
        <f t="shared" si="216"/>
        <v>28.494444444444444</v>
      </c>
      <c r="AE145" s="140">
        <f t="shared" si="216"/>
        <v>29.491666666666667</v>
      </c>
      <c r="AF145" s="140">
        <f t="shared" si="216"/>
        <v>30.491666666666667</v>
      </c>
      <c r="AG145" s="140">
        <f t="shared" si="216"/>
        <v>31.491666666666667</v>
      </c>
      <c r="AH145" s="140">
        <f t="shared" si="216"/>
        <v>32.491666666666667</v>
      </c>
      <c r="AI145" s="140">
        <f t="shared" si="216"/>
        <v>33.488888888888887</v>
      </c>
      <c r="AJ145" s="140">
        <f t="shared" si="216"/>
        <v>34.488888888888887</v>
      </c>
      <c r="AK145" s="140">
        <f t="shared" si="216"/>
        <v>35.488888888888887</v>
      </c>
      <c r="AL145" s="140">
        <f t="shared" si="216"/>
        <v>36.488888888888887</v>
      </c>
      <c r="AM145" s="140">
        <f t="shared" si="216"/>
        <v>37.486111111111114</v>
      </c>
      <c r="AN145" s="140">
        <f t="shared" si="216"/>
        <v>38.486111111111114</v>
      </c>
      <c r="AO145" s="140">
        <f t="shared" si="216"/>
        <v>39.486111111111114</v>
      </c>
      <c r="AP145" s="140">
        <f t="shared" si="216"/>
        <v>40.486111111111114</v>
      </c>
      <c r="AQ145" s="140">
        <f t="shared" si="216"/>
        <v>41.483333333333334</v>
      </c>
      <c r="AR145" s="140">
        <f t="shared" si="216"/>
        <v>42.483333333333334</v>
      </c>
      <c r="AS145" s="140">
        <f t="shared" si="216"/>
        <v>43.483333333333334</v>
      </c>
      <c r="AT145" s="140">
        <f t="shared" si="216"/>
        <v>44.483333333333334</v>
      </c>
      <c r="AU145" s="140">
        <f t="shared" si="216"/>
        <v>45.480555555555554</v>
      </c>
      <c r="AV145" s="140">
        <f t="shared" si="216"/>
        <v>46.480555555555554</v>
      </c>
      <c r="AW145" s="140">
        <f t="shared" si="216"/>
        <v>47.480555555555554</v>
      </c>
      <c r="AX145" s="140">
        <f t="shared" si="216"/>
        <v>48.480555555555554</v>
      </c>
      <c r="AY145" s="140">
        <f t="shared" si="216"/>
        <v>49.477777777777774</v>
      </c>
      <c r="AZ145" s="140">
        <f t="shared" si="216"/>
        <v>50.477777777777774</v>
      </c>
      <c r="BA145" s="140">
        <f t="shared" si="216"/>
        <v>51.477777777777774</v>
      </c>
      <c r="BB145" s="140">
        <f t="shared" si="216"/>
        <v>52.477777777777774</v>
      </c>
      <c r="BC145" s="140">
        <f t="shared" si="216"/>
        <v>53.475000000000001</v>
      </c>
      <c r="BD145" s="140">
        <f t="shared" si="216"/>
        <v>54.475000000000001</v>
      </c>
      <c r="BE145" s="140">
        <f t="shared" si="216"/>
        <v>55.475000000000001</v>
      </c>
      <c r="BF145" s="140">
        <f t="shared" si="216"/>
        <v>56.475000000000001</v>
      </c>
      <c r="BG145" s="140">
        <f t="shared" si="216"/>
        <v>57.472222222222221</v>
      </c>
      <c r="BH145" s="140">
        <f t="shared" si="216"/>
        <v>58.472222222222221</v>
      </c>
      <c r="BI145" s="140">
        <f t="shared" si="216"/>
        <v>59.472222222222221</v>
      </c>
      <c r="BJ145" s="140">
        <f t="shared" si="216"/>
        <v>60.472222222222221</v>
      </c>
      <c r="BK145" s="140">
        <f t="shared" si="216"/>
        <v>61.469444444444441</v>
      </c>
      <c r="BL145" s="140">
        <f t="shared" si="216"/>
        <v>62.469444444444441</v>
      </c>
      <c r="BM145" s="140">
        <f t="shared" si="216"/>
        <v>63.469444444444441</v>
      </c>
      <c r="BN145" s="140">
        <f t="shared" si="216"/>
        <v>64.469444444444449</v>
      </c>
      <c r="BO145" s="140">
        <f t="shared" ref="BO145:CB145" si="217">BO144/360</f>
        <v>65.466666666666669</v>
      </c>
      <c r="BP145" s="140">
        <f t="shared" si="217"/>
        <v>66.466666666666669</v>
      </c>
      <c r="BQ145" s="140">
        <f t="shared" si="217"/>
        <v>67.466666666666669</v>
      </c>
      <c r="BR145" s="140">
        <f t="shared" si="217"/>
        <v>68.466666666666669</v>
      </c>
      <c r="BS145" s="140">
        <f t="shared" si="217"/>
        <v>69.463888888888889</v>
      </c>
      <c r="BT145" s="140">
        <f t="shared" si="217"/>
        <v>70.463888888888889</v>
      </c>
      <c r="BU145" s="140">
        <f t="shared" si="217"/>
        <v>71.463888888888889</v>
      </c>
      <c r="BV145" s="140">
        <f t="shared" si="217"/>
        <v>72.463888888888889</v>
      </c>
      <c r="BW145" s="140">
        <f t="shared" si="217"/>
        <v>73.461111111111109</v>
      </c>
      <c r="BX145" s="140">
        <f t="shared" si="217"/>
        <v>74.461111111111109</v>
      </c>
      <c r="BY145" s="140">
        <f t="shared" si="217"/>
        <v>75.461111111111109</v>
      </c>
      <c r="BZ145" s="140">
        <f t="shared" si="217"/>
        <v>76.461111111111109</v>
      </c>
      <c r="CA145" s="140">
        <f t="shared" si="217"/>
        <v>77.458333333333329</v>
      </c>
      <c r="CB145" s="140">
        <f t="shared" si="217"/>
        <v>78.458333333333329</v>
      </c>
      <c r="CC145" s="17"/>
      <c r="CD145" s="17"/>
      <c r="CE145" s="17"/>
    </row>
    <row r="146" spans="1:83">
      <c r="A146" s="16" t="s">
        <v>43</v>
      </c>
      <c r="B146" s="140">
        <f>IF(B144&lt;0,0,$B$5+$B$6*((1-EXP(-B145/$B$9))/(B145/$B$9))+$B$7*((1-EXP(-B145/$B$9))/(B145/$B$9)-EXP(-B145/$B$9))+$B$8*((1-EXP(-B145/$B$10))/(B145/$B$10)-EXP(-B145/$B$10)))</f>
        <v>-1.3668335187873333E-2</v>
      </c>
      <c r="C146" s="140">
        <f t="shared" ref="C146:BN146" si="218">IF(C144&lt;0,0,$B$5+$B$6*((1-EXP(-C145/$B$9))/(C145/$B$9))+$B$7*((1-EXP(-C145/$B$9))/(C145/$B$9)-EXP(-C145/$B$9))+$B$8*((1-EXP(-C145/$B$10))/(C145/$B$10)-EXP(-C145/$B$10)))</f>
        <v>-1.2515694091940671E-2</v>
      </c>
      <c r="D146" s="140">
        <f t="shared" si="218"/>
        <v>-1.142238960133355E-2</v>
      </c>
      <c r="E146" s="140">
        <f t="shared" si="218"/>
        <v>-1.0389660716432735E-2</v>
      </c>
      <c r="F146" s="140">
        <f t="shared" si="218"/>
        <v>-9.4155040563767643E-3</v>
      </c>
      <c r="G146" s="140">
        <f t="shared" si="218"/>
        <v>-8.5004440470598814E-3</v>
      </c>
      <c r="H146" s="140">
        <f t="shared" si="218"/>
        <v>-7.6374938910273096E-3</v>
      </c>
      <c r="I146" s="140">
        <f t="shared" si="218"/>
        <v>-6.8274397609051317E-3</v>
      </c>
      <c r="J146" s="140">
        <f t="shared" si="218"/>
        <v>-6.0684927027307017E-3</v>
      </c>
      <c r="K146" s="140">
        <f t="shared" si="218"/>
        <v>-5.360818215332127E-3</v>
      </c>
      <c r="L146" s="140">
        <f t="shared" si="218"/>
        <v>-4.6987878212149704E-3</v>
      </c>
      <c r="M146" s="140">
        <f t="shared" si="218"/>
        <v>-4.082798189571215E-3</v>
      </c>
      <c r="N146" s="140">
        <f t="shared" si="218"/>
        <v>-3.5112533631627973E-3</v>
      </c>
      <c r="O146" s="140">
        <f t="shared" si="218"/>
        <v>-2.9840130281194623E-3</v>
      </c>
      <c r="P146" s="140">
        <f t="shared" si="218"/>
        <v>-2.4966365594145182E-3</v>
      </c>
      <c r="Q146" s="140">
        <f t="shared" si="218"/>
        <v>-2.0491874164590557E-3</v>
      </c>
      <c r="R146" s="140">
        <f t="shared" si="218"/>
        <v>-1.6402432817142557E-3</v>
      </c>
      <c r="S146" s="140">
        <f t="shared" si="218"/>
        <v>-1.2694051399151016E-3</v>
      </c>
      <c r="T146" s="140">
        <f t="shared" si="218"/>
        <v>-9.3326798266373662E-4</v>
      </c>
      <c r="U146" s="140">
        <f t="shared" si="218"/>
        <v>-6.3161203665901972E-4</v>
      </c>
      <c r="V146" s="140">
        <f t="shared" si="218"/>
        <v>-3.6317114294784347E-4</v>
      </c>
      <c r="W146" s="140">
        <f t="shared" si="218"/>
        <v>-1.2671567841245762E-4</v>
      </c>
      <c r="X146" s="140">
        <f t="shared" si="218"/>
        <v>7.894840636827466E-5</v>
      </c>
      <c r="Y146" s="140">
        <f t="shared" si="218"/>
        <v>2.5498052494014184E-4</v>
      </c>
      <c r="Z146" s="140">
        <f t="shared" si="218"/>
        <v>4.0250636908225473E-4</v>
      </c>
      <c r="AA146" s="140">
        <f t="shared" si="218"/>
        <v>5.2232213707596037E-4</v>
      </c>
      <c r="AB146" s="140">
        <f t="shared" si="218"/>
        <v>6.1615381391669916E-4</v>
      </c>
      <c r="AC146" s="140">
        <f t="shared" si="218"/>
        <v>6.8465994049028006E-4</v>
      </c>
      <c r="AD146" s="140">
        <f t="shared" si="218"/>
        <v>7.2884009158551144E-4</v>
      </c>
      <c r="AE146" s="140">
        <f t="shared" si="218"/>
        <v>7.496379818207749E-4</v>
      </c>
      <c r="AF146" s="140">
        <f t="shared" si="218"/>
        <v>7.4810871835584436E-4</v>
      </c>
      <c r="AG146" s="140">
        <f t="shared" si="218"/>
        <v>7.2507588498554876E-4</v>
      </c>
      <c r="AH146" s="140">
        <f t="shared" si="218"/>
        <v>6.8142579797992459E-4</v>
      </c>
      <c r="AI146" s="140">
        <f t="shared" si="218"/>
        <v>6.1822102166231296E-4</v>
      </c>
      <c r="AJ146" s="140">
        <f t="shared" si="218"/>
        <v>5.3594162190096634E-4</v>
      </c>
      <c r="AK146" s="140">
        <f t="shared" si="218"/>
        <v>4.3554567324053522E-4</v>
      </c>
      <c r="AL146" s="140">
        <f t="shared" si="218"/>
        <v>3.1781783571127598E-4</v>
      </c>
      <c r="AM146" s="140">
        <f t="shared" si="218"/>
        <v>1.839143343075611E-4</v>
      </c>
      <c r="AN146" s="140">
        <f t="shared" si="218"/>
        <v>3.3825304745063733E-5</v>
      </c>
      <c r="AO146" s="140">
        <f t="shared" si="218"/>
        <v>-1.3138357335951145E-4</v>
      </c>
      <c r="AP146" s="140">
        <f t="shared" si="218"/>
        <v>-3.110188299923905E-4</v>
      </c>
      <c r="AQ146" s="140">
        <f t="shared" si="218"/>
        <v>-5.0385265694208314E-4</v>
      </c>
      <c r="AR146" s="140">
        <f t="shared" si="218"/>
        <v>-7.1030936987331872E-4</v>
      </c>
      <c r="AS146" s="140">
        <f t="shared" si="218"/>
        <v>-9.2923928760683949E-4</v>
      </c>
      <c r="AT146" s="140">
        <f t="shared" si="218"/>
        <v>-1.1600306911979941E-3</v>
      </c>
      <c r="AU146" s="140">
        <f t="shared" si="218"/>
        <v>-1.4014034848118806E-3</v>
      </c>
      <c r="AV146" s="140">
        <f t="shared" si="218"/>
        <v>-1.6541296028072389E-3</v>
      </c>
      <c r="AW146" s="140">
        <f t="shared" si="218"/>
        <v>-1.9169960300524092E-3</v>
      </c>
      <c r="AX146" s="140">
        <f t="shared" si="218"/>
        <v>-2.1894642885151999E-3</v>
      </c>
      <c r="AY146" s="140">
        <f t="shared" si="218"/>
        <v>-2.4702188053884466E-3</v>
      </c>
      <c r="AZ146" s="140">
        <f t="shared" si="218"/>
        <v>-2.7603200573906028E-3</v>
      </c>
      <c r="BA146" s="140">
        <f t="shared" si="218"/>
        <v>-3.0585097390420368E-3</v>
      </c>
      <c r="BB146" s="140">
        <f t="shared" si="218"/>
        <v>-3.3643149426958868E-3</v>
      </c>
      <c r="BC146" s="140">
        <f t="shared" si="218"/>
        <v>-3.6763992115631527E-3</v>
      </c>
      <c r="BD146" s="140">
        <f t="shared" si="218"/>
        <v>-3.9960594423147505E-3</v>
      </c>
      <c r="BE146" s="140">
        <f t="shared" si="218"/>
        <v>-4.3220077395503403E-3</v>
      </c>
      <c r="BF146" s="140">
        <f t="shared" si="218"/>
        <v>-4.6538298543972456E-3</v>
      </c>
      <c r="BG146" s="140">
        <f t="shared" si="218"/>
        <v>-4.9901810619301795E-3</v>
      </c>
      <c r="BH146" s="140">
        <f t="shared" si="218"/>
        <v>-5.3325487868024352E-3</v>
      </c>
      <c r="BI146" s="140">
        <f t="shared" si="218"/>
        <v>-5.6796291537090648E-3</v>
      </c>
      <c r="BJ146" s="140">
        <f t="shared" si="218"/>
        <v>-6.0310603467991081E-3</v>
      </c>
      <c r="BK146" s="140">
        <f t="shared" si="218"/>
        <v>-6.385500228050317E-3</v>
      </c>
      <c r="BL146" s="140">
        <f t="shared" si="218"/>
        <v>-6.7445864364352737E-3</v>
      </c>
      <c r="BM146" s="140">
        <f t="shared" si="218"/>
        <v>-7.1070108637723423E-3</v>
      </c>
      <c r="BN146" s="140">
        <f t="shared" si="218"/>
        <v>-7.4724585212107564E-3</v>
      </c>
      <c r="BO146" s="140">
        <f t="shared" ref="BO146:CB146" si="219">IF(BO144&lt;0,0,$B$5+$B$6*((1-EXP(-BO145/$B$9))/(BO145/$B$9))+$B$7*((1-EXP(-BO145/$B$9))/(BO145/$B$9)-EXP(-BO145/$B$9))+$B$8*((1-EXP(-BO145/$B$10))/(BO145/$B$10)-EXP(-BO145/$B$10)))</f>
        <v>-7.8395991463735548E-3</v>
      </c>
      <c r="BP146" s="140">
        <f t="shared" si="219"/>
        <v>-8.2101852695726923E-3</v>
      </c>
      <c r="BQ146" s="140">
        <f t="shared" si="219"/>
        <v>-8.5829146383165356E-3</v>
      </c>
      <c r="BR146" s="140">
        <f t="shared" si="219"/>
        <v>-8.9575140446219031E-3</v>
      </c>
      <c r="BS146" s="140">
        <f t="shared" si="219"/>
        <v>-9.3326729990050455E-3</v>
      </c>
      <c r="BT146" s="140">
        <f t="shared" si="219"/>
        <v>-9.7102280614848324E-3</v>
      </c>
      <c r="BU146" s="140">
        <f t="shared" si="219"/>
        <v>-1.0088891449232223E-2</v>
      </c>
      <c r="BV146" s="140">
        <f t="shared" si="219"/>
        <v>-1.0468427194729166E-2</v>
      </c>
      <c r="BW146" s="140">
        <f t="shared" si="219"/>
        <v>-1.0847551244156498E-2</v>
      </c>
      <c r="BX146" s="140">
        <f t="shared" si="219"/>
        <v>-1.1228157310296472E-2</v>
      </c>
      <c r="BY146" s="140">
        <f t="shared" si="219"/>
        <v>-1.1608979384566551E-2</v>
      </c>
      <c r="BZ146" s="140">
        <f t="shared" si="219"/>
        <v>-1.1989814656241299E-2</v>
      </c>
      <c r="CA146" s="140">
        <f t="shared" si="219"/>
        <v>-1.2369411076424489E-2</v>
      </c>
      <c r="CB146" s="140">
        <f t="shared" si="219"/>
        <v>-1.2749696189338647E-2</v>
      </c>
      <c r="CC146" s="17"/>
      <c r="CD146" s="17"/>
      <c r="CE146" s="17"/>
    </row>
    <row r="147" spans="1:83">
      <c r="A147" s="16" t="s">
        <v>44</v>
      </c>
      <c r="B147" s="140">
        <f>EXP(-B146*B145)</f>
        <v>1.0070104972729401</v>
      </c>
      <c r="C147" s="140">
        <f t="shared" ref="C147:AR147" si="220">EXP(-C146*C145)</f>
        <v>1.019057151553342</v>
      </c>
      <c r="D147" s="140">
        <f t="shared" si="220"/>
        <v>1.0290655532276145</v>
      </c>
      <c r="E147" s="140">
        <f t="shared" si="220"/>
        <v>1.0371228542021822</v>
      </c>
      <c r="F147" s="140">
        <f t="shared" si="220"/>
        <v>1.0433620409443085</v>
      </c>
      <c r="G147" s="140">
        <f t="shared" si="220"/>
        <v>1.0479120566295967</v>
      </c>
      <c r="H147" s="140">
        <f t="shared" si="220"/>
        <v>1.0509411970583822</v>
      </c>
      <c r="I147" s="140">
        <f t="shared" si="220"/>
        <v>1.0525794055457935</v>
      </c>
      <c r="J147" s="140">
        <f t="shared" si="220"/>
        <v>1.052971220502509</v>
      </c>
      <c r="K147" s="140">
        <f t="shared" si="220"/>
        <v>1.0522625592456754</v>
      </c>
      <c r="L147" s="140">
        <f t="shared" si="220"/>
        <v>1.0505883329137435</v>
      </c>
      <c r="M147" s="140">
        <f t="shared" si="220"/>
        <v>1.0480837745860816</v>
      </c>
      <c r="N147" s="140">
        <f t="shared" si="220"/>
        <v>1.0448783012709721</v>
      </c>
      <c r="O147" s="140">
        <f t="shared" si="220"/>
        <v>1.0411065895394573</v>
      </c>
      <c r="P147" s="140">
        <f t="shared" si="220"/>
        <v>1.0368644738528607</v>
      </c>
      <c r="Q147" s="140">
        <f t="shared" si="220"/>
        <v>1.0322722134033253</v>
      </c>
      <c r="R147" s="140">
        <f t="shared" si="220"/>
        <v>1.0274335709433835</v>
      </c>
      <c r="S147" s="140">
        <f t="shared" si="220"/>
        <v>1.0224595659227831</v>
      </c>
      <c r="T147" s="140">
        <f t="shared" si="220"/>
        <v>1.0174127296477176</v>
      </c>
      <c r="U147" s="140">
        <f t="shared" si="220"/>
        <v>1.0123908181285737</v>
      </c>
      <c r="V147" s="140">
        <f t="shared" si="220"/>
        <v>1.0074717750642377</v>
      </c>
      <c r="W147" s="140">
        <f t="shared" si="220"/>
        <v>1.0027277486526651</v>
      </c>
      <c r="X147" s="140">
        <f t="shared" si="220"/>
        <v>0.99822545652527883</v>
      </c>
      <c r="Y147" s="140">
        <f t="shared" si="220"/>
        <v>0.99402657819441931</v>
      </c>
      <c r="Z147" s="140">
        <f t="shared" si="220"/>
        <v>0.99018816528503206</v>
      </c>
      <c r="AA147" s="140">
        <f t="shared" si="220"/>
        <v>0.98677195714221788</v>
      </c>
      <c r="AB147" s="140">
        <f t="shared" si="220"/>
        <v>0.98380787203395625</v>
      </c>
      <c r="AC147" s="140">
        <f t="shared" si="220"/>
        <v>0.98135172673875992</v>
      </c>
      <c r="AD147" s="140">
        <f t="shared" si="220"/>
        <v>0.97944627403644458</v>
      </c>
      <c r="AE147" s="140">
        <f t="shared" si="220"/>
        <v>0.97813451893686965</v>
      </c>
      <c r="AF147" s="140">
        <f t="shared" si="220"/>
        <v>0.97744712400957501</v>
      </c>
      <c r="AG147" s="140">
        <f t="shared" si="220"/>
        <v>0.97742487130337785</v>
      </c>
      <c r="AH147" s="140">
        <f t="shared" si="220"/>
        <v>0.9781026455681241</v>
      </c>
      <c r="AI147" s="140">
        <f t="shared" si="220"/>
        <v>0.97950931165544408</v>
      </c>
      <c r="AJ147" s="140">
        <f t="shared" si="220"/>
        <v>0.98168575095859878</v>
      </c>
      <c r="AK147" s="140">
        <f t="shared" si="220"/>
        <v>0.98466181478802517</v>
      </c>
      <c r="AL147" s="140">
        <f t="shared" si="220"/>
        <v>0.98847016423577427</v>
      </c>
      <c r="AM147" s="140">
        <f t="shared" si="220"/>
        <v>0.99312947753439329</v>
      </c>
      <c r="AN147" s="140">
        <f t="shared" si="220"/>
        <v>0.99869904254303621</v>
      </c>
      <c r="AO147" s="140">
        <f t="shared" si="220"/>
        <v>1.0052013064477778</v>
      </c>
      <c r="AP147" s="140">
        <f t="shared" si="220"/>
        <v>1.0126715552288224</v>
      </c>
      <c r="AQ147" s="140">
        <f t="shared" si="220"/>
        <v>1.0211214536787729</v>
      </c>
      <c r="AR147" s="140">
        <f t="shared" si="220"/>
        <v>1.0306362291311404</v>
      </c>
      <c r="AS147" s="140">
        <f>EXP(-AS146*AS145)</f>
        <v>1.0412338682370945</v>
      </c>
      <c r="AT147" s="140">
        <f t="shared" ref="AT147:CA147" si="221">EXP(-AT146*AT145)</f>
        <v>1.0529566159897283</v>
      </c>
      <c r="AU147" s="140">
        <f t="shared" si="221"/>
        <v>1.0658116366450516</v>
      </c>
      <c r="AV147" s="140">
        <f t="shared" si="221"/>
        <v>1.0799177306379093</v>
      </c>
      <c r="AW147" s="140">
        <f t="shared" si="221"/>
        <v>1.0952909508408739</v>
      </c>
      <c r="AX147" s="140">
        <f t="shared" si="221"/>
        <v>1.1119847092687674</v>
      </c>
      <c r="AY147" s="140">
        <f t="shared" si="221"/>
        <v>1.1300037339682796</v>
      </c>
      <c r="AZ147" s="140">
        <f t="shared" si="221"/>
        <v>1.1495089169720871</v>
      </c>
      <c r="BA147" s="140">
        <f t="shared" si="221"/>
        <v>1.1705167110302872</v>
      </c>
      <c r="BB147" s="140">
        <f t="shared" si="221"/>
        <v>1.193096194061972</v>
      </c>
      <c r="BC147" s="140">
        <f t="shared" si="221"/>
        <v>1.2172514993579429</v>
      </c>
      <c r="BD147" s="140">
        <f t="shared" si="221"/>
        <v>1.2431958197331665</v>
      </c>
      <c r="BE147" s="140">
        <f t="shared" si="221"/>
        <v>1.2709483821085088</v>
      </c>
      <c r="BF147" s="140">
        <f t="shared" si="221"/>
        <v>1.3005991475534449</v>
      </c>
      <c r="BG147" s="140">
        <f t="shared" si="221"/>
        <v>1.3321534856148536</v>
      </c>
      <c r="BH147" s="140">
        <f t="shared" si="221"/>
        <v>1.3658896542291135</v>
      </c>
      <c r="BI147" s="140">
        <f t="shared" si="221"/>
        <v>1.4018323007670443</v>
      </c>
      <c r="BJ147" s="140">
        <f t="shared" si="221"/>
        <v>1.4400986548119574</v>
      </c>
      <c r="BK147" s="140">
        <f t="shared" si="221"/>
        <v>1.480697338570875</v>
      </c>
      <c r="BL147" s="140">
        <f t="shared" si="221"/>
        <v>1.5239879763384718</v>
      </c>
      <c r="BM147" s="140">
        <f t="shared" si="221"/>
        <v>1.570003786568317</v>
      </c>
      <c r="BN147" s="140">
        <f t="shared" si="221"/>
        <v>1.6188973178593562</v>
      </c>
      <c r="BO147" s="140">
        <f t="shared" si="221"/>
        <v>1.6706828316982216</v>
      </c>
      <c r="BP147" s="140">
        <f t="shared" si="221"/>
        <v>1.7258223259426393</v>
      </c>
      <c r="BQ147" s="140">
        <f t="shared" si="221"/>
        <v>1.7843614871033366</v>
      </c>
      <c r="BR147" s="140">
        <f t="shared" si="221"/>
        <v>1.8464984728428948</v>
      </c>
      <c r="BS147" s="140">
        <f t="shared" si="221"/>
        <v>1.9122561211591094</v>
      </c>
      <c r="BT147" s="140">
        <f t="shared" si="221"/>
        <v>1.9822259515679037</v>
      </c>
      <c r="BU147" s="140">
        <f t="shared" si="221"/>
        <v>2.0564710217575892</v>
      </c>
      <c r="BV147" s="140">
        <f t="shared" si="221"/>
        <v>2.1352483115221728</v>
      </c>
      <c r="BW147" s="140">
        <f t="shared" si="221"/>
        <v>2.2185929025059075</v>
      </c>
      <c r="BX147" s="140">
        <f t="shared" si="221"/>
        <v>2.3072609130679052</v>
      </c>
      <c r="BY147" s="140">
        <f t="shared" si="221"/>
        <v>2.4013389634574991</v>
      </c>
      <c r="BZ147" s="140">
        <f t="shared" si="221"/>
        <v>2.5011598158472288</v>
      </c>
      <c r="CA147" s="140">
        <f t="shared" si="221"/>
        <v>2.6067753679903687</v>
      </c>
      <c r="CB147" s="140">
        <f>EXP(-CB146*CB145)</f>
        <v>2.7191515826878505</v>
      </c>
      <c r="CC147" s="17"/>
      <c r="CD147" s="17"/>
      <c r="CE147" s="17"/>
    </row>
    <row r="148" spans="1:83">
      <c r="A148" s="17"/>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17"/>
      <c r="CD148" s="17"/>
      <c r="CE148" s="17"/>
    </row>
    <row r="149" spans="1:83">
      <c r="A149" s="16" t="s">
        <v>40</v>
      </c>
      <c r="B149" s="140">
        <f t="shared" ref="B149:BM149" si="222">DAYS360($B$3,B56)</f>
        <v>-43022</v>
      </c>
      <c r="C149" s="140">
        <f t="shared" si="222"/>
        <v>-42842</v>
      </c>
      <c r="D149" s="140">
        <f t="shared" si="222"/>
        <v>-42662</v>
      </c>
      <c r="E149" s="140">
        <f t="shared" si="222"/>
        <v>-42482</v>
      </c>
      <c r="F149" s="140">
        <f t="shared" si="222"/>
        <v>-42302</v>
      </c>
      <c r="G149" s="140">
        <f t="shared" si="222"/>
        <v>-42122</v>
      </c>
      <c r="H149" s="140">
        <f t="shared" si="222"/>
        <v>-41942</v>
      </c>
      <c r="I149" s="140">
        <f t="shared" si="222"/>
        <v>-41762</v>
      </c>
      <c r="J149" s="140">
        <f t="shared" si="222"/>
        <v>-41582</v>
      </c>
      <c r="K149" s="140">
        <f t="shared" si="222"/>
        <v>-41403</v>
      </c>
      <c r="L149" s="140">
        <f t="shared" si="222"/>
        <v>-41223</v>
      </c>
      <c r="M149" s="140">
        <f t="shared" si="222"/>
        <v>-41043</v>
      </c>
      <c r="N149" s="140">
        <f t="shared" si="222"/>
        <v>-40863</v>
      </c>
      <c r="O149" s="140">
        <f t="shared" si="222"/>
        <v>-40683</v>
      </c>
      <c r="P149" s="140">
        <f t="shared" si="222"/>
        <v>-40503</v>
      </c>
      <c r="Q149" s="140">
        <f t="shared" si="222"/>
        <v>-40323</v>
      </c>
      <c r="R149" s="140">
        <f t="shared" si="222"/>
        <v>-40143</v>
      </c>
      <c r="S149" s="140">
        <f t="shared" si="222"/>
        <v>-39964</v>
      </c>
      <c r="T149" s="140">
        <f t="shared" si="222"/>
        <v>-39784</v>
      </c>
      <c r="U149" s="140">
        <f t="shared" si="222"/>
        <v>-39604</v>
      </c>
      <c r="V149" s="140">
        <f t="shared" si="222"/>
        <v>-39424</v>
      </c>
      <c r="W149" s="140">
        <f t="shared" si="222"/>
        <v>-39244</v>
      </c>
      <c r="X149" s="140">
        <f t="shared" si="222"/>
        <v>-39064</v>
      </c>
      <c r="Y149" s="140">
        <f t="shared" si="222"/>
        <v>-38884</v>
      </c>
      <c r="Z149" s="140">
        <f t="shared" si="222"/>
        <v>-38704</v>
      </c>
      <c r="AA149" s="140">
        <f t="shared" si="222"/>
        <v>-38525</v>
      </c>
      <c r="AB149" s="140">
        <f t="shared" si="222"/>
        <v>-38345</v>
      </c>
      <c r="AC149" s="140">
        <f t="shared" si="222"/>
        <v>-38165</v>
      </c>
      <c r="AD149" s="140">
        <f t="shared" si="222"/>
        <v>-37985</v>
      </c>
      <c r="AE149" s="140">
        <f t="shared" si="222"/>
        <v>-37805</v>
      </c>
      <c r="AF149" s="140">
        <f t="shared" si="222"/>
        <v>-37625</v>
      </c>
      <c r="AG149" s="140">
        <f t="shared" si="222"/>
        <v>-37445</v>
      </c>
      <c r="AH149" s="140">
        <f t="shared" si="222"/>
        <v>-37265</v>
      </c>
      <c r="AI149" s="140">
        <f t="shared" si="222"/>
        <v>-37086</v>
      </c>
      <c r="AJ149" s="140">
        <f t="shared" si="222"/>
        <v>-36906</v>
      </c>
      <c r="AK149" s="140">
        <f t="shared" si="222"/>
        <v>-36726</v>
      </c>
      <c r="AL149" s="140">
        <f t="shared" si="222"/>
        <v>-36546</v>
      </c>
      <c r="AM149" s="140">
        <f t="shared" si="222"/>
        <v>-36366</v>
      </c>
      <c r="AN149" s="140">
        <f t="shared" si="222"/>
        <v>-36186</v>
      </c>
      <c r="AO149" s="140">
        <f t="shared" si="222"/>
        <v>-36006</v>
      </c>
      <c r="AP149" s="140">
        <f t="shared" si="222"/>
        <v>-35826</v>
      </c>
      <c r="AQ149" s="140">
        <f t="shared" si="222"/>
        <v>-35647</v>
      </c>
      <c r="AR149" s="140">
        <f t="shared" si="222"/>
        <v>-35467</v>
      </c>
      <c r="AS149" s="140">
        <f t="shared" si="222"/>
        <v>-35287</v>
      </c>
      <c r="AT149" s="140">
        <f t="shared" si="222"/>
        <v>-35107</v>
      </c>
      <c r="AU149" s="140">
        <f t="shared" si="222"/>
        <v>-34927</v>
      </c>
      <c r="AV149" s="140">
        <f t="shared" si="222"/>
        <v>-34747</v>
      </c>
      <c r="AW149" s="140">
        <f t="shared" si="222"/>
        <v>-34567</v>
      </c>
      <c r="AX149" s="140">
        <f t="shared" si="222"/>
        <v>-34387</v>
      </c>
      <c r="AY149" s="140">
        <f t="shared" si="222"/>
        <v>-34208</v>
      </c>
      <c r="AZ149" s="140">
        <f t="shared" si="222"/>
        <v>-34028</v>
      </c>
      <c r="BA149" s="140">
        <f t="shared" si="222"/>
        <v>-33848</v>
      </c>
      <c r="BB149" s="140">
        <f t="shared" si="222"/>
        <v>-33668</v>
      </c>
      <c r="BC149" s="140">
        <f t="shared" si="222"/>
        <v>-33488</v>
      </c>
      <c r="BD149" s="140">
        <f t="shared" si="222"/>
        <v>-33308</v>
      </c>
      <c r="BE149" s="140">
        <f t="shared" si="222"/>
        <v>-33128</v>
      </c>
      <c r="BF149" s="140">
        <f t="shared" si="222"/>
        <v>-32948</v>
      </c>
      <c r="BG149" s="140">
        <f t="shared" si="222"/>
        <v>-32769</v>
      </c>
      <c r="BH149" s="140">
        <f t="shared" si="222"/>
        <v>-32589</v>
      </c>
      <c r="BI149" s="140">
        <f t="shared" si="222"/>
        <v>-32409</v>
      </c>
      <c r="BJ149" s="140">
        <f t="shared" si="222"/>
        <v>-32229</v>
      </c>
      <c r="BK149" s="140">
        <f t="shared" si="222"/>
        <v>-32049</v>
      </c>
      <c r="BL149" s="140">
        <f t="shared" si="222"/>
        <v>-31869</v>
      </c>
      <c r="BM149" s="140">
        <f t="shared" si="222"/>
        <v>-31689</v>
      </c>
      <c r="BN149" s="140">
        <f t="shared" ref="BN149:CB149" si="223">DAYS360($B$3,BN56)</f>
        <v>-31509</v>
      </c>
      <c r="BO149" s="140">
        <f t="shared" si="223"/>
        <v>-31330</v>
      </c>
      <c r="BP149" s="140">
        <f t="shared" si="223"/>
        <v>-31150</v>
      </c>
      <c r="BQ149" s="140">
        <f t="shared" si="223"/>
        <v>-30970</v>
      </c>
      <c r="BR149" s="140">
        <f t="shared" si="223"/>
        <v>-30790</v>
      </c>
      <c r="BS149" s="140">
        <f t="shared" si="223"/>
        <v>-30610</v>
      </c>
      <c r="BT149" s="140">
        <f t="shared" si="223"/>
        <v>-30430</v>
      </c>
      <c r="BU149" s="140">
        <f t="shared" si="223"/>
        <v>-30250</v>
      </c>
      <c r="BV149" s="140">
        <f t="shared" si="223"/>
        <v>-30070</v>
      </c>
      <c r="BW149" s="140">
        <f t="shared" si="223"/>
        <v>-29891</v>
      </c>
      <c r="BX149" s="140">
        <f t="shared" si="223"/>
        <v>-29711</v>
      </c>
      <c r="BY149" s="140">
        <f t="shared" si="223"/>
        <v>-29531</v>
      </c>
      <c r="BZ149" s="140">
        <f t="shared" si="223"/>
        <v>-29351</v>
      </c>
      <c r="CA149" s="140">
        <f t="shared" si="223"/>
        <v>-29171</v>
      </c>
      <c r="CB149" s="140">
        <f t="shared" si="223"/>
        <v>-28991</v>
      </c>
      <c r="CC149" s="17"/>
      <c r="CD149" s="17"/>
      <c r="CE149" s="17"/>
    </row>
    <row r="150" spans="1:83">
      <c r="A150" s="16" t="s">
        <v>41</v>
      </c>
      <c r="B150" s="140">
        <f>B149/360</f>
        <v>-119.50555555555556</v>
      </c>
      <c r="C150" s="140">
        <f t="shared" ref="C150:BN150" si="224">C149/360</f>
        <v>-119.00555555555556</v>
      </c>
      <c r="D150" s="140">
        <f t="shared" si="224"/>
        <v>-118.50555555555556</v>
      </c>
      <c r="E150" s="140">
        <f t="shared" si="224"/>
        <v>-118.00555555555556</v>
      </c>
      <c r="F150" s="140">
        <f t="shared" si="224"/>
        <v>-117.50555555555556</v>
      </c>
      <c r="G150" s="140">
        <f t="shared" si="224"/>
        <v>-117.00555555555556</v>
      </c>
      <c r="H150" s="140">
        <f t="shared" si="224"/>
        <v>-116.50555555555556</v>
      </c>
      <c r="I150" s="140">
        <f t="shared" si="224"/>
        <v>-116.00555555555556</v>
      </c>
      <c r="J150" s="140">
        <f t="shared" si="224"/>
        <v>-115.50555555555556</v>
      </c>
      <c r="K150" s="140">
        <f t="shared" si="224"/>
        <v>-115.00833333333334</v>
      </c>
      <c r="L150" s="140">
        <f t="shared" si="224"/>
        <v>-114.50833333333334</v>
      </c>
      <c r="M150" s="140">
        <f t="shared" si="224"/>
        <v>-114.00833333333334</v>
      </c>
      <c r="N150" s="140">
        <f t="shared" si="224"/>
        <v>-113.50833333333334</v>
      </c>
      <c r="O150" s="140">
        <f t="shared" si="224"/>
        <v>-113.00833333333334</v>
      </c>
      <c r="P150" s="140">
        <f t="shared" si="224"/>
        <v>-112.50833333333334</v>
      </c>
      <c r="Q150" s="140">
        <f t="shared" si="224"/>
        <v>-112.00833333333334</v>
      </c>
      <c r="R150" s="140">
        <f t="shared" si="224"/>
        <v>-111.50833333333334</v>
      </c>
      <c r="S150" s="140">
        <f t="shared" si="224"/>
        <v>-111.01111111111111</v>
      </c>
      <c r="T150" s="140">
        <f t="shared" si="224"/>
        <v>-110.51111111111111</v>
      </c>
      <c r="U150" s="140">
        <f t="shared" si="224"/>
        <v>-110.01111111111111</v>
      </c>
      <c r="V150" s="140">
        <f t="shared" si="224"/>
        <v>-109.51111111111111</v>
      </c>
      <c r="W150" s="140">
        <f t="shared" si="224"/>
        <v>-109.01111111111111</v>
      </c>
      <c r="X150" s="140">
        <f t="shared" si="224"/>
        <v>-108.51111111111111</v>
      </c>
      <c r="Y150" s="140">
        <f t="shared" si="224"/>
        <v>-108.01111111111111</v>
      </c>
      <c r="Z150" s="140">
        <f t="shared" si="224"/>
        <v>-107.51111111111111</v>
      </c>
      <c r="AA150" s="140">
        <f t="shared" si="224"/>
        <v>-107.01388888888889</v>
      </c>
      <c r="AB150" s="140">
        <f t="shared" si="224"/>
        <v>-106.51388888888889</v>
      </c>
      <c r="AC150" s="140">
        <f t="shared" si="224"/>
        <v>-106.01388888888889</v>
      </c>
      <c r="AD150" s="140">
        <f t="shared" si="224"/>
        <v>-105.51388888888889</v>
      </c>
      <c r="AE150" s="140">
        <f t="shared" si="224"/>
        <v>-105.01388888888889</v>
      </c>
      <c r="AF150" s="140">
        <f t="shared" si="224"/>
        <v>-104.51388888888889</v>
      </c>
      <c r="AG150" s="140">
        <f t="shared" si="224"/>
        <v>-104.01388888888889</v>
      </c>
      <c r="AH150" s="140">
        <f t="shared" si="224"/>
        <v>-103.51388888888889</v>
      </c>
      <c r="AI150" s="140">
        <f t="shared" si="224"/>
        <v>-103.01666666666667</v>
      </c>
      <c r="AJ150" s="140">
        <f t="shared" si="224"/>
        <v>-102.51666666666667</v>
      </c>
      <c r="AK150" s="140">
        <f t="shared" si="224"/>
        <v>-102.01666666666667</v>
      </c>
      <c r="AL150" s="140">
        <f t="shared" si="224"/>
        <v>-101.51666666666667</v>
      </c>
      <c r="AM150" s="140">
        <f t="shared" si="224"/>
        <v>-101.01666666666667</v>
      </c>
      <c r="AN150" s="140">
        <f t="shared" si="224"/>
        <v>-100.51666666666667</v>
      </c>
      <c r="AO150" s="140">
        <f t="shared" si="224"/>
        <v>-100.01666666666667</v>
      </c>
      <c r="AP150" s="140">
        <f t="shared" si="224"/>
        <v>-99.516666666666666</v>
      </c>
      <c r="AQ150" s="140">
        <f t="shared" si="224"/>
        <v>-99.019444444444446</v>
      </c>
      <c r="AR150" s="140">
        <f t="shared" si="224"/>
        <v>-98.519444444444446</v>
      </c>
      <c r="AS150" s="140">
        <f t="shared" si="224"/>
        <v>-98.019444444444446</v>
      </c>
      <c r="AT150" s="140">
        <f t="shared" si="224"/>
        <v>-97.519444444444446</v>
      </c>
      <c r="AU150" s="140">
        <f t="shared" si="224"/>
        <v>-97.019444444444446</v>
      </c>
      <c r="AV150" s="140">
        <f t="shared" si="224"/>
        <v>-96.519444444444446</v>
      </c>
      <c r="AW150" s="140">
        <f t="shared" si="224"/>
        <v>-96.019444444444446</v>
      </c>
      <c r="AX150" s="140">
        <f t="shared" si="224"/>
        <v>-95.519444444444446</v>
      </c>
      <c r="AY150" s="140">
        <f t="shared" si="224"/>
        <v>-95.022222222222226</v>
      </c>
      <c r="AZ150" s="140">
        <f t="shared" si="224"/>
        <v>-94.522222222222226</v>
      </c>
      <c r="BA150" s="140">
        <f t="shared" si="224"/>
        <v>-94.022222222222226</v>
      </c>
      <c r="BB150" s="140">
        <f t="shared" si="224"/>
        <v>-93.522222222222226</v>
      </c>
      <c r="BC150" s="140">
        <f t="shared" si="224"/>
        <v>-93.022222222222226</v>
      </c>
      <c r="BD150" s="140">
        <f t="shared" si="224"/>
        <v>-92.522222222222226</v>
      </c>
      <c r="BE150" s="140">
        <f t="shared" si="224"/>
        <v>-92.022222222222226</v>
      </c>
      <c r="BF150" s="140">
        <f t="shared" si="224"/>
        <v>-91.522222222222226</v>
      </c>
      <c r="BG150" s="140">
        <f t="shared" si="224"/>
        <v>-91.025000000000006</v>
      </c>
      <c r="BH150" s="140">
        <f t="shared" si="224"/>
        <v>-90.525000000000006</v>
      </c>
      <c r="BI150" s="140">
        <f t="shared" si="224"/>
        <v>-90.025000000000006</v>
      </c>
      <c r="BJ150" s="140">
        <f t="shared" si="224"/>
        <v>-89.525000000000006</v>
      </c>
      <c r="BK150" s="140">
        <f t="shared" si="224"/>
        <v>-89.025000000000006</v>
      </c>
      <c r="BL150" s="140">
        <f t="shared" si="224"/>
        <v>-88.525000000000006</v>
      </c>
      <c r="BM150" s="140">
        <f t="shared" si="224"/>
        <v>-88.025000000000006</v>
      </c>
      <c r="BN150" s="140">
        <f t="shared" si="224"/>
        <v>-87.525000000000006</v>
      </c>
      <c r="BO150" s="140">
        <f t="shared" ref="BO150:CB150" si="225">BO149/360</f>
        <v>-87.027777777777771</v>
      </c>
      <c r="BP150" s="140">
        <f t="shared" si="225"/>
        <v>-86.527777777777771</v>
      </c>
      <c r="BQ150" s="140">
        <f t="shared" si="225"/>
        <v>-86.027777777777771</v>
      </c>
      <c r="BR150" s="140">
        <f t="shared" si="225"/>
        <v>-85.527777777777771</v>
      </c>
      <c r="BS150" s="140">
        <f t="shared" si="225"/>
        <v>-85.027777777777771</v>
      </c>
      <c r="BT150" s="140">
        <f t="shared" si="225"/>
        <v>-84.527777777777771</v>
      </c>
      <c r="BU150" s="140">
        <f t="shared" si="225"/>
        <v>-84.027777777777771</v>
      </c>
      <c r="BV150" s="140">
        <f t="shared" si="225"/>
        <v>-83.527777777777771</v>
      </c>
      <c r="BW150" s="140">
        <f t="shared" si="225"/>
        <v>-83.030555555555551</v>
      </c>
      <c r="BX150" s="140">
        <f t="shared" si="225"/>
        <v>-82.530555555555551</v>
      </c>
      <c r="BY150" s="140">
        <f t="shared" si="225"/>
        <v>-82.030555555555551</v>
      </c>
      <c r="BZ150" s="140">
        <f t="shared" si="225"/>
        <v>-81.530555555555551</v>
      </c>
      <c r="CA150" s="140">
        <f t="shared" si="225"/>
        <v>-81.030555555555551</v>
      </c>
      <c r="CB150" s="140">
        <f t="shared" si="225"/>
        <v>-80.530555555555551</v>
      </c>
      <c r="CC150" s="17"/>
      <c r="CD150" s="17"/>
      <c r="CE150" s="17"/>
    </row>
    <row r="151" spans="1:83">
      <c r="A151" s="16" t="s">
        <v>43</v>
      </c>
      <c r="B151" s="140">
        <f>IF(B149&lt;0,0,$B$5+$B$6*((1-EXP(-B150/$B$9))/(B150/$B$9))+$B$7*((1-EXP(-B150/$B$9))/(B150/$B$9)-EXP(-B150/$B$9))+$B$8*((1-EXP(-B150/$B$10))/(B150/$B$10)-EXP(-B150/$B$10)))</f>
        <v>0</v>
      </c>
      <c r="C151" s="140">
        <f t="shared" ref="C151:BN151" si="226">IF(C149&lt;0,0,$B$5+$B$6*((1-EXP(-C150/$B$9))/(C150/$B$9))+$B$7*((1-EXP(-C150/$B$9))/(C150/$B$9)-EXP(-C150/$B$9))+$B$8*((1-EXP(-C150/$B$10))/(C150/$B$10)-EXP(-C150/$B$10)))</f>
        <v>0</v>
      </c>
      <c r="D151" s="140">
        <f t="shared" si="226"/>
        <v>0</v>
      </c>
      <c r="E151" s="140">
        <f t="shared" si="226"/>
        <v>0</v>
      </c>
      <c r="F151" s="140">
        <f t="shared" si="226"/>
        <v>0</v>
      </c>
      <c r="G151" s="140">
        <f t="shared" si="226"/>
        <v>0</v>
      </c>
      <c r="H151" s="140">
        <f t="shared" si="226"/>
        <v>0</v>
      </c>
      <c r="I151" s="140">
        <f t="shared" si="226"/>
        <v>0</v>
      </c>
      <c r="J151" s="140">
        <f t="shared" si="226"/>
        <v>0</v>
      </c>
      <c r="K151" s="140">
        <f t="shared" si="226"/>
        <v>0</v>
      </c>
      <c r="L151" s="140">
        <f t="shared" si="226"/>
        <v>0</v>
      </c>
      <c r="M151" s="140">
        <f t="shared" si="226"/>
        <v>0</v>
      </c>
      <c r="N151" s="140">
        <f t="shared" si="226"/>
        <v>0</v>
      </c>
      <c r="O151" s="140">
        <f t="shared" si="226"/>
        <v>0</v>
      </c>
      <c r="P151" s="140">
        <f t="shared" si="226"/>
        <v>0</v>
      </c>
      <c r="Q151" s="140">
        <f t="shared" si="226"/>
        <v>0</v>
      </c>
      <c r="R151" s="140">
        <f t="shared" si="226"/>
        <v>0</v>
      </c>
      <c r="S151" s="140">
        <f t="shared" si="226"/>
        <v>0</v>
      </c>
      <c r="T151" s="140">
        <f t="shared" si="226"/>
        <v>0</v>
      </c>
      <c r="U151" s="140">
        <f t="shared" si="226"/>
        <v>0</v>
      </c>
      <c r="V151" s="140">
        <f t="shared" si="226"/>
        <v>0</v>
      </c>
      <c r="W151" s="140">
        <f t="shared" si="226"/>
        <v>0</v>
      </c>
      <c r="X151" s="140">
        <f t="shared" si="226"/>
        <v>0</v>
      </c>
      <c r="Y151" s="140">
        <f t="shared" si="226"/>
        <v>0</v>
      </c>
      <c r="Z151" s="140">
        <f t="shared" si="226"/>
        <v>0</v>
      </c>
      <c r="AA151" s="140">
        <f t="shared" si="226"/>
        <v>0</v>
      </c>
      <c r="AB151" s="140">
        <f t="shared" si="226"/>
        <v>0</v>
      </c>
      <c r="AC151" s="140">
        <f t="shared" si="226"/>
        <v>0</v>
      </c>
      <c r="AD151" s="140">
        <f t="shared" si="226"/>
        <v>0</v>
      </c>
      <c r="AE151" s="140">
        <f t="shared" si="226"/>
        <v>0</v>
      </c>
      <c r="AF151" s="140">
        <f t="shared" si="226"/>
        <v>0</v>
      </c>
      <c r="AG151" s="140">
        <f t="shared" si="226"/>
        <v>0</v>
      </c>
      <c r="AH151" s="140">
        <f t="shared" si="226"/>
        <v>0</v>
      </c>
      <c r="AI151" s="140">
        <f t="shared" si="226"/>
        <v>0</v>
      </c>
      <c r="AJ151" s="140">
        <f t="shared" si="226"/>
        <v>0</v>
      </c>
      <c r="AK151" s="140">
        <f t="shared" si="226"/>
        <v>0</v>
      </c>
      <c r="AL151" s="140">
        <f t="shared" si="226"/>
        <v>0</v>
      </c>
      <c r="AM151" s="140">
        <f t="shared" si="226"/>
        <v>0</v>
      </c>
      <c r="AN151" s="140">
        <f t="shared" si="226"/>
        <v>0</v>
      </c>
      <c r="AO151" s="140">
        <f t="shared" si="226"/>
        <v>0</v>
      </c>
      <c r="AP151" s="140">
        <f t="shared" si="226"/>
        <v>0</v>
      </c>
      <c r="AQ151" s="140">
        <f t="shared" si="226"/>
        <v>0</v>
      </c>
      <c r="AR151" s="140">
        <f t="shared" si="226"/>
        <v>0</v>
      </c>
      <c r="AS151" s="140">
        <f t="shared" si="226"/>
        <v>0</v>
      </c>
      <c r="AT151" s="140">
        <f t="shared" si="226"/>
        <v>0</v>
      </c>
      <c r="AU151" s="140">
        <f t="shared" si="226"/>
        <v>0</v>
      </c>
      <c r="AV151" s="140">
        <f t="shared" si="226"/>
        <v>0</v>
      </c>
      <c r="AW151" s="140">
        <f t="shared" si="226"/>
        <v>0</v>
      </c>
      <c r="AX151" s="140">
        <f t="shared" si="226"/>
        <v>0</v>
      </c>
      <c r="AY151" s="140">
        <f t="shared" si="226"/>
        <v>0</v>
      </c>
      <c r="AZ151" s="140">
        <f t="shared" si="226"/>
        <v>0</v>
      </c>
      <c r="BA151" s="140">
        <f t="shared" si="226"/>
        <v>0</v>
      </c>
      <c r="BB151" s="140">
        <f t="shared" si="226"/>
        <v>0</v>
      </c>
      <c r="BC151" s="140">
        <f t="shared" si="226"/>
        <v>0</v>
      </c>
      <c r="BD151" s="140">
        <f t="shared" si="226"/>
        <v>0</v>
      </c>
      <c r="BE151" s="140">
        <f t="shared" si="226"/>
        <v>0</v>
      </c>
      <c r="BF151" s="140">
        <f t="shared" si="226"/>
        <v>0</v>
      </c>
      <c r="BG151" s="140">
        <f t="shared" si="226"/>
        <v>0</v>
      </c>
      <c r="BH151" s="140">
        <f t="shared" si="226"/>
        <v>0</v>
      </c>
      <c r="BI151" s="140">
        <f t="shared" si="226"/>
        <v>0</v>
      </c>
      <c r="BJ151" s="140">
        <f t="shared" si="226"/>
        <v>0</v>
      </c>
      <c r="BK151" s="140">
        <f t="shared" si="226"/>
        <v>0</v>
      </c>
      <c r="BL151" s="140">
        <f t="shared" si="226"/>
        <v>0</v>
      </c>
      <c r="BM151" s="140">
        <f t="shared" si="226"/>
        <v>0</v>
      </c>
      <c r="BN151" s="140">
        <f t="shared" si="226"/>
        <v>0</v>
      </c>
      <c r="BO151" s="140">
        <f t="shared" ref="BO151:CB151" si="227">IF(BO149&lt;0,0,$B$5+$B$6*((1-EXP(-BO150/$B$9))/(BO150/$B$9))+$B$7*((1-EXP(-BO150/$B$9))/(BO150/$B$9)-EXP(-BO150/$B$9))+$B$8*((1-EXP(-BO150/$B$10))/(BO150/$B$10)-EXP(-BO150/$B$10)))</f>
        <v>0</v>
      </c>
      <c r="BP151" s="140">
        <f t="shared" si="227"/>
        <v>0</v>
      </c>
      <c r="BQ151" s="140">
        <f t="shared" si="227"/>
        <v>0</v>
      </c>
      <c r="BR151" s="140">
        <f t="shared" si="227"/>
        <v>0</v>
      </c>
      <c r="BS151" s="140">
        <f t="shared" si="227"/>
        <v>0</v>
      </c>
      <c r="BT151" s="140">
        <f t="shared" si="227"/>
        <v>0</v>
      </c>
      <c r="BU151" s="140">
        <f t="shared" si="227"/>
        <v>0</v>
      </c>
      <c r="BV151" s="140">
        <f t="shared" si="227"/>
        <v>0</v>
      </c>
      <c r="BW151" s="140">
        <f t="shared" si="227"/>
        <v>0</v>
      </c>
      <c r="BX151" s="140">
        <f t="shared" si="227"/>
        <v>0</v>
      </c>
      <c r="BY151" s="140">
        <f t="shared" si="227"/>
        <v>0</v>
      </c>
      <c r="BZ151" s="140">
        <f t="shared" si="227"/>
        <v>0</v>
      </c>
      <c r="CA151" s="140">
        <f t="shared" si="227"/>
        <v>0</v>
      </c>
      <c r="CB151" s="140">
        <f t="shared" si="227"/>
        <v>0</v>
      </c>
      <c r="CC151" s="17"/>
      <c r="CD151" s="17"/>
      <c r="CE151" s="17"/>
    </row>
    <row r="152" spans="1:83">
      <c r="A152" s="16" t="s">
        <v>44</v>
      </c>
      <c r="B152" s="140">
        <f>EXP(-B151*B150)</f>
        <v>1</v>
      </c>
      <c r="C152" s="140">
        <f t="shared" ref="C152:AR152" si="228">EXP(-C151*C150)</f>
        <v>1</v>
      </c>
      <c r="D152" s="140">
        <f t="shared" si="228"/>
        <v>1</v>
      </c>
      <c r="E152" s="140">
        <f t="shared" si="228"/>
        <v>1</v>
      </c>
      <c r="F152" s="140">
        <f t="shared" si="228"/>
        <v>1</v>
      </c>
      <c r="G152" s="140">
        <f t="shared" si="228"/>
        <v>1</v>
      </c>
      <c r="H152" s="140">
        <f t="shared" si="228"/>
        <v>1</v>
      </c>
      <c r="I152" s="140">
        <f t="shared" si="228"/>
        <v>1</v>
      </c>
      <c r="J152" s="140">
        <f t="shared" si="228"/>
        <v>1</v>
      </c>
      <c r="K152" s="140">
        <f t="shared" si="228"/>
        <v>1</v>
      </c>
      <c r="L152" s="140">
        <f t="shared" si="228"/>
        <v>1</v>
      </c>
      <c r="M152" s="140">
        <f t="shared" si="228"/>
        <v>1</v>
      </c>
      <c r="N152" s="140">
        <f t="shared" si="228"/>
        <v>1</v>
      </c>
      <c r="O152" s="140">
        <f t="shared" si="228"/>
        <v>1</v>
      </c>
      <c r="P152" s="140">
        <f t="shared" si="228"/>
        <v>1</v>
      </c>
      <c r="Q152" s="140">
        <f t="shared" si="228"/>
        <v>1</v>
      </c>
      <c r="R152" s="140">
        <f t="shared" si="228"/>
        <v>1</v>
      </c>
      <c r="S152" s="140">
        <f t="shared" si="228"/>
        <v>1</v>
      </c>
      <c r="T152" s="140">
        <f t="shared" si="228"/>
        <v>1</v>
      </c>
      <c r="U152" s="140">
        <f t="shared" si="228"/>
        <v>1</v>
      </c>
      <c r="V152" s="140">
        <f t="shared" si="228"/>
        <v>1</v>
      </c>
      <c r="W152" s="140">
        <f t="shared" si="228"/>
        <v>1</v>
      </c>
      <c r="X152" s="140">
        <f t="shared" si="228"/>
        <v>1</v>
      </c>
      <c r="Y152" s="140">
        <f t="shared" si="228"/>
        <v>1</v>
      </c>
      <c r="Z152" s="140">
        <f t="shared" si="228"/>
        <v>1</v>
      </c>
      <c r="AA152" s="140">
        <f t="shared" si="228"/>
        <v>1</v>
      </c>
      <c r="AB152" s="140">
        <f t="shared" si="228"/>
        <v>1</v>
      </c>
      <c r="AC152" s="140">
        <f t="shared" si="228"/>
        <v>1</v>
      </c>
      <c r="AD152" s="140">
        <f t="shared" si="228"/>
        <v>1</v>
      </c>
      <c r="AE152" s="140">
        <f t="shared" si="228"/>
        <v>1</v>
      </c>
      <c r="AF152" s="140">
        <f t="shared" si="228"/>
        <v>1</v>
      </c>
      <c r="AG152" s="140">
        <f t="shared" si="228"/>
        <v>1</v>
      </c>
      <c r="AH152" s="140">
        <f t="shared" si="228"/>
        <v>1</v>
      </c>
      <c r="AI152" s="140">
        <f t="shared" si="228"/>
        <v>1</v>
      </c>
      <c r="AJ152" s="140">
        <f t="shared" si="228"/>
        <v>1</v>
      </c>
      <c r="AK152" s="140">
        <f t="shared" si="228"/>
        <v>1</v>
      </c>
      <c r="AL152" s="140">
        <f t="shared" si="228"/>
        <v>1</v>
      </c>
      <c r="AM152" s="140">
        <f t="shared" si="228"/>
        <v>1</v>
      </c>
      <c r="AN152" s="140">
        <f t="shared" si="228"/>
        <v>1</v>
      </c>
      <c r="AO152" s="140">
        <f t="shared" si="228"/>
        <v>1</v>
      </c>
      <c r="AP152" s="140">
        <f t="shared" si="228"/>
        <v>1</v>
      </c>
      <c r="AQ152" s="140">
        <f t="shared" si="228"/>
        <v>1</v>
      </c>
      <c r="AR152" s="140">
        <f t="shared" si="228"/>
        <v>1</v>
      </c>
      <c r="AS152" s="140">
        <f>EXP(-AS151*AS150)</f>
        <v>1</v>
      </c>
      <c r="AT152" s="140">
        <f t="shared" ref="AT152:CA152" si="229">EXP(-AT151*AT150)</f>
        <v>1</v>
      </c>
      <c r="AU152" s="140">
        <f t="shared" si="229"/>
        <v>1</v>
      </c>
      <c r="AV152" s="140">
        <f t="shared" si="229"/>
        <v>1</v>
      </c>
      <c r="AW152" s="140">
        <f t="shared" si="229"/>
        <v>1</v>
      </c>
      <c r="AX152" s="140">
        <f t="shared" si="229"/>
        <v>1</v>
      </c>
      <c r="AY152" s="140">
        <f t="shared" si="229"/>
        <v>1</v>
      </c>
      <c r="AZ152" s="140">
        <f t="shared" si="229"/>
        <v>1</v>
      </c>
      <c r="BA152" s="140">
        <f t="shared" si="229"/>
        <v>1</v>
      </c>
      <c r="BB152" s="140">
        <f t="shared" si="229"/>
        <v>1</v>
      </c>
      <c r="BC152" s="140">
        <f t="shared" si="229"/>
        <v>1</v>
      </c>
      <c r="BD152" s="140">
        <f t="shared" si="229"/>
        <v>1</v>
      </c>
      <c r="BE152" s="140">
        <f t="shared" si="229"/>
        <v>1</v>
      </c>
      <c r="BF152" s="140">
        <f t="shared" si="229"/>
        <v>1</v>
      </c>
      <c r="BG152" s="140">
        <f t="shared" si="229"/>
        <v>1</v>
      </c>
      <c r="BH152" s="140">
        <f t="shared" si="229"/>
        <v>1</v>
      </c>
      <c r="BI152" s="140">
        <f t="shared" si="229"/>
        <v>1</v>
      </c>
      <c r="BJ152" s="140">
        <f t="shared" si="229"/>
        <v>1</v>
      </c>
      <c r="BK152" s="140">
        <f t="shared" si="229"/>
        <v>1</v>
      </c>
      <c r="BL152" s="140">
        <f t="shared" si="229"/>
        <v>1</v>
      </c>
      <c r="BM152" s="140">
        <f t="shared" si="229"/>
        <v>1</v>
      </c>
      <c r="BN152" s="140">
        <f t="shared" si="229"/>
        <v>1</v>
      </c>
      <c r="BO152" s="140">
        <f t="shared" si="229"/>
        <v>1</v>
      </c>
      <c r="BP152" s="140">
        <f t="shared" si="229"/>
        <v>1</v>
      </c>
      <c r="BQ152" s="140">
        <f t="shared" si="229"/>
        <v>1</v>
      </c>
      <c r="BR152" s="140">
        <f t="shared" si="229"/>
        <v>1</v>
      </c>
      <c r="BS152" s="140">
        <f t="shared" si="229"/>
        <v>1</v>
      </c>
      <c r="BT152" s="140">
        <f t="shared" si="229"/>
        <v>1</v>
      </c>
      <c r="BU152" s="140">
        <f t="shared" si="229"/>
        <v>1</v>
      </c>
      <c r="BV152" s="140">
        <f t="shared" si="229"/>
        <v>1</v>
      </c>
      <c r="BW152" s="140">
        <f t="shared" si="229"/>
        <v>1</v>
      </c>
      <c r="BX152" s="140">
        <f t="shared" si="229"/>
        <v>1</v>
      </c>
      <c r="BY152" s="140">
        <f t="shared" si="229"/>
        <v>1</v>
      </c>
      <c r="BZ152" s="140">
        <f t="shared" si="229"/>
        <v>1</v>
      </c>
      <c r="CA152" s="140">
        <f t="shared" si="229"/>
        <v>1</v>
      </c>
      <c r="CB152" s="140">
        <f>EXP(-CB151*CB150)</f>
        <v>1</v>
      </c>
      <c r="CC152" s="17"/>
      <c r="CD152" s="17"/>
      <c r="CE152" s="17"/>
    </row>
    <row r="153" spans="1:83">
      <c r="A153" s="17"/>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17"/>
      <c r="CD153" s="17"/>
      <c r="CE153" s="17"/>
    </row>
    <row r="154" spans="1:83">
      <c r="A154" s="16" t="s">
        <v>40</v>
      </c>
      <c r="B154" s="140">
        <f t="shared" ref="B154:BM154" si="230">DAYS360($B$3,B58)</f>
        <v>-43022</v>
      </c>
      <c r="C154" s="140">
        <f t="shared" si="230"/>
        <v>-42842</v>
      </c>
      <c r="D154" s="140">
        <f t="shared" si="230"/>
        <v>-42662</v>
      </c>
      <c r="E154" s="140">
        <f t="shared" si="230"/>
        <v>-42482</v>
      </c>
      <c r="F154" s="140">
        <f t="shared" si="230"/>
        <v>-42302</v>
      </c>
      <c r="G154" s="140">
        <f t="shared" si="230"/>
        <v>-42122</v>
      </c>
      <c r="H154" s="140">
        <f t="shared" si="230"/>
        <v>-41942</v>
      </c>
      <c r="I154" s="140">
        <f t="shared" si="230"/>
        <v>-41762</v>
      </c>
      <c r="J154" s="140">
        <f t="shared" si="230"/>
        <v>-41582</v>
      </c>
      <c r="K154" s="140">
        <f t="shared" si="230"/>
        <v>-41403</v>
      </c>
      <c r="L154" s="140">
        <f t="shared" si="230"/>
        <v>-41223</v>
      </c>
      <c r="M154" s="140">
        <f t="shared" si="230"/>
        <v>-41043</v>
      </c>
      <c r="N154" s="140">
        <f t="shared" si="230"/>
        <v>-40863</v>
      </c>
      <c r="O154" s="140">
        <f t="shared" si="230"/>
        <v>-40683</v>
      </c>
      <c r="P154" s="140">
        <f t="shared" si="230"/>
        <v>-40503</v>
      </c>
      <c r="Q154" s="140">
        <f t="shared" si="230"/>
        <v>-40323</v>
      </c>
      <c r="R154" s="140">
        <f t="shared" si="230"/>
        <v>-40143</v>
      </c>
      <c r="S154" s="140">
        <f t="shared" si="230"/>
        <v>-39964</v>
      </c>
      <c r="T154" s="140">
        <f t="shared" si="230"/>
        <v>-39784</v>
      </c>
      <c r="U154" s="140">
        <f t="shared" si="230"/>
        <v>-39604</v>
      </c>
      <c r="V154" s="140">
        <f t="shared" si="230"/>
        <v>-39424</v>
      </c>
      <c r="W154" s="140">
        <f t="shared" si="230"/>
        <v>-39244</v>
      </c>
      <c r="X154" s="140">
        <f t="shared" si="230"/>
        <v>-39064</v>
      </c>
      <c r="Y154" s="140">
        <f t="shared" si="230"/>
        <v>-38884</v>
      </c>
      <c r="Z154" s="140">
        <f t="shared" si="230"/>
        <v>-38704</v>
      </c>
      <c r="AA154" s="140">
        <f t="shared" si="230"/>
        <v>-38525</v>
      </c>
      <c r="AB154" s="140">
        <f t="shared" si="230"/>
        <v>-38345</v>
      </c>
      <c r="AC154" s="140">
        <f t="shared" si="230"/>
        <v>-38165</v>
      </c>
      <c r="AD154" s="140">
        <f t="shared" si="230"/>
        <v>-37985</v>
      </c>
      <c r="AE154" s="140">
        <f t="shared" si="230"/>
        <v>-37805</v>
      </c>
      <c r="AF154" s="140">
        <f t="shared" si="230"/>
        <v>-37625</v>
      </c>
      <c r="AG154" s="140">
        <f t="shared" si="230"/>
        <v>-37445</v>
      </c>
      <c r="AH154" s="140">
        <f t="shared" si="230"/>
        <v>-37265</v>
      </c>
      <c r="AI154" s="140">
        <f t="shared" si="230"/>
        <v>-37086</v>
      </c>
      <c r="AJ154" s="140">
        <f t="shared" si="230"/>
        <v>-36906</v>
      </c>
      <c r="AK154" s="140">
        <f t="shared" si="230"/>
        <v>-36726</v>
      </c>
      <c r="AL154" s="140">
        <f t="shared" si="230"/>
        <v>-36546</v>
      </c>
      <c r="AM154" s="140">
        <f t="shared" si="230"/>
        <v>-36366</v>
      </c>
      <c r="AN154" s="140">
        <f t="shared" si="230"/>
        <v>-36186</v>
      </c>
      <c r="AO154" s="140">
        <f t="shared" si="230"/>
        <v>-36006</v>
      </c>
      <c r="AP154" s="140">
        <f t="shared" si="230"/>
        <v>-35826</v>
      </c>
      <c r="AQ154" s="140">
        <f t="shared" si="230"/>
        <v>-35647</v>
      </c>
      <c r="AR154" s="140">
        <f t="shared" si="230"/>
        <v>-35467</v>
      </c>
      <c r="AS154" s="140">
        <f t="shared" si="230"/>
        <v>-35287</v>
      </c>
      <c r="AT154" s="140">
        <f t="shared" si="230"/>
        <v>-35107</v>
      </c>
      <c r="AU154" s="140">
        <f t="shared" si="230"/>
        <v>-34927</v>
      </c>
      <c r="AV154" s="140">
        <f t="shared" si="230"/>
        <v>-34747</v>
      </c>
      <c r="AW154" s="140">
        <f t="shared" si="230"/>
        <v>-34567</v>
      </c>
      <c r="AX154" s="140">
        <f t="shared" si="230"/>
        <v>-34387</v>
      </c>
      <c r="AY154" s="140">
        <f t="shared" si="230"/>
        <v>-34208</v>
      </c>
      <c r="AZ154" s="140">
        <f t="shared" si="230"/>
        <v>-34028</v>
      </c>
      <c r="BA154" s="140">
        <f t="shared" si="230"/>
        <v>-33848</v>
      </c>
      <c r="BB154" s="140">
        <f t="shared" si="230"/>
        <v>-33668</v>
      </c>
      <c r="BC154" s="140">
        <f t="shared" si="230"/>
        <v>-33488</v>
      </c>
      <c r="BD154" s="140">
        <f t="shared" si="230"/>
        <v>-33308</v>
      </c>
      <c r="BE154" s="140">
        <f t="shared" si="230"/>
        <v>-33128</v>
      </c>
      <c r="BF154" s="140">
        <f t="shared" si="230"/>
        <v>-32948</v>
      </c>
      <c r="BG154" s="140">
        <f t="shared" si="230"/>
        <v>-32769</v>
      </c>
      <c r="BH154" s="140">
        <f t="shared" si="230"/>
        <v>-32589</v>
      </c>
      <c r="BI154" s="140">
        <f t="shared" si="230"/>
        <v>-32409</v>
      </c>
      <c r="BJ154" s="140">
        <f t="shared" si="230"/>
        <v>-32229</v>
      </c>
      <c r="BK154" s="140">
        <f t="shared" si="230"/>
        <v>-32049</v>
      </c>
      <c r="BL154" s="140">
        <f t="shared" si="230"/>
        <v>-31869</v>
      </c>
      <c r="BM154" s="140">
        <f t="shared" si="230"/>
        <v>-31689</v>
      </c>
      <c r="BN154" s="140">
        <f t="shared" ref="BN154:CB154" si="231">DAYS360($B$3,BN58)</f>
        <v>-31509</v>
      </c>
      <c r="BO154" s="140">
        <f t="shared" si="231"/>
        <v>-31330</v>
      </c>
      <c r="BP154" s="140">
        <f t="shared" si="231"/>
        <v>-31150</v>
      </c>
      <c r="BQ154" s="140">
        <f t="shared" si="231"/>
        <v>-30970</v>
      </c>
      <c r="BR154" s="140">
        <f t="shared" si="231"/>
        <v>-30790</v>
      </c>
      <c r="BS154" s="140">
        <f t="shared" si="231"/>
        <v>-30610</v>
      </c>
      <c r="BT154" s="140">
        <f t="shared" si="231"/>
        <v>-30430</v>
      </c>
      <c r="BU154" s="140">
        <f t="shared" si="231"/>
        <v>-30250</v>
      </c>
      <c r="BV154" s="140">
        <f t="shared" si="231"/>
        <v>-30070</v>
      </c>
      <c r="BW154" s="140">
        <f t="shared" si="231"/>
        <v>-29891</v>
      </c>
      <c r="BX154" s="140">
        <f t="shared" si="231"/>
        <v>-29711</v>
      </c>
      <c r="BY154" s="140">
        <f t="shared" si="231"/>
        <v>-29531</v>
      </c>
      <c r="BZ154" s="140">
        <f t="shared" si="231"/>
        <v>-29351</v>
      </c>
      <c r="CA154" s="140">
        <f t="shared" si="231"/>
        <v>-29171</v>
      </c>
      <c r="CB154" s="140">
        <f t="shared" si="231"/>
        <v>-28991</v>
      </c>
      <c r="CC154" s="17"/>
      <c r="CD154" s="17"/>
      <c r="CE154" s="17"/>
    </row>
    <row r="155" spans="1:83">
      <c r="A155" s="16" t="s">
        <v>41</v>
      </c>
      <c r="B155" s="140">
        <f>B154/360</f>
        <v>-119.50555555555556</v>
      </c>
      <c r="C155" s="140">
        <f t="shared" ref="C155:BN155" si="232">C154/360</f>
        <v>-119.00555555555556</v>
      </c>
      <c r="D155" s="140">
        <f t="shared" si="232"/>
        <v>-118.50555555555556</v>
      </c>
      <c r="E155" s="140">
        <f t="shared" si="232"/>
        <v>-118.00555555555556</v>
      </c>
      <c r="F155" s="140">
        <f t="shared" si="232"/>
        <v>-117.50555555555556</v>
      </c>
      <c r="G155" s="140">
        <f t="shared" si="232"/>
        <v>-117.00555555555556</v>
      </c>
      <c r="H155" s="140">
        <f t="shared" si="232"/>
        <v>-116.50555555555556</v>
      </c>
      <c r="I155" s="140">
        <f t="shared" si="232"/>
        <v>-116.00555555555556</v>
      </c>
      <c r="J155" s="140">
        <f t="shared" si="232"/>
        <v>-115.50555555555556</v>
      </c>
      <c r="K155" s="140">
        <f t="shared" si="232"/>
        <v>-115.00833333333334</v>
      </c>
      <c r="L155" s="140">
        <f t="shared" si="232"/>
        <v>-114.50833333333334</v>
      </c>
      <c r="M155" s="140">
        <f t="shared" si="232"/>
        <v>-114.00833333333334</v>
      </c>
      <c r="N155" s="140">
        <f t="shared" si="232"/>
        <v>-113.50833333333334</v>
      </c>
      <c r="O155" s="140">
        <f t="shared" si="232"/>
        <v>-113.00833333333334</v>
      </c>
      <c r="P155" s="140">
        <f t="shared" si="232"/>
        <v>-112.50833333333334</v>
      </c>
      <c r="Q155" s="140">
        <f t="shared" si="232"/>
        <v>-112.00833333333334</v>
      </c>
      <c r="R155" s="140">
        <f t="shared" si="232"/>
        <v>-111.50833333333334</v>
      </c>
      <c r="S155" s="140">
        <f t="shared" si="232"/>
        <v>-111.01111111111111</v>
      </c>
      <c r="T155" s="140">
        <f t="shared" si="232"/>
        <v>-110.51111111111111</v>
      </c>
      <c r="U155" s="140">
        <f t="shared" si="232"/>
        <v>-110.01111111111111</v>
      </c>
      <c r="V155" s="140">
        <f t="shared" si="232"/>
        <v>-109.51111111111111</v>
      </c>
      <c r="W155" s="140">
        <f t="shared" si="232"/>
        <v>-109.01111111111111</v>
      </c>
      <c r="X155" s="140">
        <f t="shared" si="232"/>
        <v>-108.51111111111111</v>
      </c>
      <c r="Y155" s="140">
        <f t="shared" si="232"/>
        <v>-108.01111111111111</v>
      </c>
      <c r="Z155" s="140">
        <f t="shared" si="232"/>
        <v>-107.51111111111111</v>
      </c>
      <c r="AA155" s="140">
        <f t="shared" si="232"/>
        <v>-107.01388888888889</v>
      </c>
      <c r="AB155" s="140">
        <f t="shared" si="232"/>
        <v>-106.51388888888889</v>
      </c>
      <c r="AC155" s="140">
        <f t="shared" si="232"/>
        <v>-106.01388888888889</v>
      </c>
      <c r="AD155" s="140">
        <f t="shared" si="232"/>
        <v>-105.51388888888889</v>
      </c>
      <c r="AE155" s="140">
        <f t="shared" si="232"/>
        <v>-105.01388888888889</v>
      </c>
      <c r="AF155" s="140">
        <f t="shared" si="232"/>
        <v>-104.51388888888889</v>
      </c>
      <c r="AG155" s="140">
        <f t="shared" si="232"/>
        <v>-104.01388888888889</v>
      </c>
      <c r="AH155" s="140">
        <f t="shared" si="232"/>
        <v>-103.51388888888889</v>
      </c>
      <c r="AI155" s="140">
        <f t="shared" si="232"/>
        <v>-103.01666666666667</v>
      </c>
      <c r="AJ155" s="140">
        <f t="shared" si="232"/>
        <v>-102.51666666666667</v>
      </c>
      <c r="AK155" s="140">
        <f t="shared" si="232"/>
        <v>-102.01666666666667</v>
      </c>
      <c r="AL155" s="140">
        <f t="shared" si="232"/>
        <v>-101.51666666666667</v>
      </c>
      <c r="AM155" s="140">
        <f t="shared" si="232"/>
        <v>-101.01666666666667</v>
      </c>
      <c r="AN155" s="140">
        <f t="shared" si="232"/>
        <v>-100.51666666666667</v>
      </c>
      <c r="AO155" s="140">
        <f t="shared" si="232"/>
        <v>-100.01666666666667</v>
      </c>
      <c r="AP155" s="140">
        <f t="shared" si="232"/>
        <v>-99.516666666666666</v>
      </c>
      <c r="AQ155" s="140">
        <f t="shared" si="232"/>
        <v>-99.019444444444446</v>
      </c>
      <c r="AR155" s="140">
        <f t="shared" si="232"/>
        <v>-98.519444444444446</v>
      </c>
      <c r="AS155" s="140">
        <f t="shared" si="232"/>
        <v>-98.019444444444446</v>
      </c>
      <c r="AT155" s="140">
        <f t="shared" si="232"/>
        <v>-97.519444444444446</v>
      </c>
      <c r="AU155" s="140">
        <f t="shared" si="232"/>
        <v>-97.019444444444446</v>
      </c>
      <c r="AV155" s="140">
        <f t="shared" si="232"/>
        <v>-96.519444444444446</v>
      </c>
      <c r="AW155" s="140">
        <f t="shared" si="232"/>
        <v>-96.019444444444446</v>
      </c>
      <c r="AX155" s="140">
        <f t="shared" si="232"/>
        <v>-95.519444444444446</v>
      </c>
      <c r="AY155" s="140">
        <f t="shared" si="232"/>
        <v>-95.022222222222226</v>
      </c>
      <c r="AZ155" s="140">
        <f t="shared" si="232"/>
        <v>-94.522222222222226</v>
      </c>
      <c r="BA155" s="140">
        <f t="shared" si="232"/>
        <v>-94.022222222222226</v>
      </c>
      <c r="BB155" s="140">
        <f t="shared" si="232"/>
        <v>-93.522222222222226</v>
      </c>
      <c r="BC155" s="140">
        <f t="shared" si="232"/>
        <v>-93.022222222222226</v>
      </c>
      <c r="BD155" s="140">
        <f t="shared" si="232"/>
        <v>-92.522222222222226</v>
      </c>
      <c r="BE155" s="140">
        <f t="shared" si="232"/>
        <v>-92.022222222222226</v>
      </c>
      <c r="BF155" s="140">
        <f t="shared" si="232"/>
        <v>-91.522222222222226</v>
      </c>
      <c r="BG155" s="140">
        <f t="shared" si="232"/>
        <v>-91.025000000000006</v>
      </c>
      <c r="BH155" s="140">
        <f t="shared" si="232"/>
        <v>-90.525000000000006</v>
      </c>
      <c r="BI155" s="140">
        <f t="shared" si="232"/>
        <v>-90.025000000000006</v>
      </c>
      <c r="BJ155" s="140">
        <f t="shared" si="232"/>
        <v>-89.525000000000006</v>
      </c>
      <c r="BK155" s="140">
        <f t="shared" si="232"/>
        <v>-89.025000000000006</v>
      </c>
      <c r="BL155" s="140">
        <f t="shared" si="232"/>
        <v>-88.525000000000006</v>
      </c>
      <c r="BM155" s="140">
        <f t="shared" si="232"/>
        <v>-88.025000000000006</v>
      </c>
      <c r="BN155" s="140">
        <f t="shared" si="232"/>
        <v>-87.525000000000006</v>
      </c>
      <c r="BO155" s="140">
        <f t="shared" ref="BO155:CB155" si="233">BO154/360</f>
        <v>-87.027777777777771</v>
      </c>
      <c r="BP155" s="140">
        <f t="shared" si="233"/>
        <v>-86.527777777777771</v>
      </c>
      <c r="BQ155" s="140">
        <f t="shared" si="233"/>
        <v>-86.027777777777771</v>
      </c>
      <c r="BR155" s="140">
        <f t="shared" si="233"/>
        <v>-85.527777777777771</v>
      </c>
      <c r="BS155" s="140">
        <f t="shared" si="233"/>
        <v>-85.027777777777771</v>
      </c>
      <c r="BT155" s="140">
        <f t="shared" si="233"/>
        <v>-84.527777777777771</v>
      </c>
      <c r="BU155" s="140">
        <f t="shared" si="233"/>
        <v>-84.027777777777771</v>
      </c>
      <c r="BV155" s="140">
        <f t="shared" si="233"/>
        <v>-83.527777777777771</v>
      </c>
      <c r="BW155" s="140">
        <f t="shared" si="233"/>
        <v>-83.030555555555551</v>
      </c>
      <c r="BX155" s="140">
        <f t="shared" si="233"/>
        <v>-82.530555555555551</v>
      </c>
      <c r="BY155" s="140">
        <f t="shared" si="233"/>
        <v>-82.030555555555551</v>
      </c>
      <c r="BZ155" s="140">
        <f t="shared" si="233"/>
        <v>-81.530555555555551</v>
      </c>
      <c r="CA155" s="140">
        <f t="shared" si="233"/>
        <v>-81.030555555555551</v>
      </c>
      <c r="CB155" s="140">
        <f t="shared" si="233"/>
        <v>-80.530555555555551</v>
      </c>
      <c r="CC155" s="17"/>
      <c r="CD155" s="17"/>
      <c r="CE155" s="17"/>
    </row>
    <row r="156" spans="1:83">
      <c r="A156" s="16" t="s">
        <v>43</v>
      </c>
      <c r="B156" s="140">
        <f>IF(B154&lt;0,0,$B$5+$B$6*((1-EXP(-B155/$B$9))/(B155/$B$9))+$B$7*((1-EXP(-B155/$B$9))/(B155/$B$9)-EXP(-B155/$B$9))+$B$8*((1-EXP(-B155/$B$10))/(B155/$B$10)-EXP(-B155/$B$10)))</f>
        <v>0</v>
      </c>
      <c r="C156" s="140">
        <f t="shared" ref="C156:BN156" si="234">IF(C154&lt;0,0,$B$5+$B$6*((1-EXP(-C155/$B$9))/(C155/$B$9))+$B$7*((1-EXP(-C155/$B$9))/(C155/$B$9)-EXP(-C155/$B$9))+$B$8*((1-EXP(-C155/$B$10))/(C155/$B$10)-EXP(-C155/$B$10)))</f>
        <v>0</v>
      </c>
      <c r="D156" s="140">
        <f t="shared" si="234"/>
        <v>0</v>
      </c>
      <c r="E156" s="140">
        <f t="shared" si="234"/>
        <v>0</v>
      </c>
      <c r="F156" s="140">
        <f t="shared" si="234"/>
        <v>0</v>
      </c>
      <c r="G156" s="140">
        <f t="shared" si="234"/>
        <v>0</v>
      </c>
      <c r="H156" s="140">
        <f t="shared" si="234"/>
        <v>0</v>
      </c>
      <c r="I156" s="140">
        <f t="shared" si="234"/>
        <v>0</v>
      </c>
      <c r="J156" s="140">
        <f t="shared" si="234"/>
        <v>0</v>
      </c>
      <c r="K156" s="140">
        <f t="shared" si="234"/>
        <v>0</v>
      </c>
      <c r="L156" s="140">
        <f t="shared" si="234"/>
        <v>0</v>
      </c>
      <c r="M156" s="140">
        <f t="shared" si="234"/>
        <v>0</v>
      </c>
      <c r="N156" s="140">
        <f t="shared" si="234"/>
        <v>0</v>
      </c>
      <c r="O156" s="140">
        <f t="shared" si="234"/>
        <v>0</v>
      </c>
      <c r="P156" s="140">
        <f t="shared" si="234"/>
        <v>0</v>
      </c>
      <c r="Q156" s="140">
        <f t="shared" si="234"/>
        <v>0</v>
      </c>
      <c r="R156" s="140">
        <f t="shared" si="234"/>
        <v>0</v>
      </c>
      <c r="S156" s="140">
        <f t="shared" si="234"/>
        <v>0</v>
      </c>
      <c r="T156" s="140">
        <f t="shared" si="234"/>
        <v>0</v>
      </c>
      <c r="U156" s="140">
        <f t="shared" si="234"/>
        <v>0</v>
      </c>
      <c r="V156" s="140">
        <f t="shared" si="234"/>
        <v>0</v>
      </c>
      <c r="W156" s="140">
        <f t="shared" si="234"/>
        <v>0</v>
      </c>
      <c r="X156" s="140">
        <f t="shared" si="234"/>
        <v>0</v>
      </c>
      <c r="Y156" s="140">
        <f t="shared" si="234"/>
        <v>0</v>
      </c>
      <c r="Z156" s="140">
        <f t="shared" si="234"/>
        <v>0</v>
      </c>
      <c r="AA156" s="140">
        <f t="shared" si="234"/>
        <v>0</v>
      </c>
      <c r="AB156" s="140">
        <f t="shared" si="234"/>
        <v>0</v>
      </c>
      <c r="AC156" s="140">
        <f t="shared" si="234"/>
        <v>0</v>
      </c>
      <c r="AD156" s="140">
        <f t="shared" si="234"/>
        <v>0</v>
      </c>
      <c r="AE156" s="140">
        <f t="shared" si="234"/>
        <v>0</v>
      </c>
      <c r="AF156" s="140">
        <f t="shared" si="234"/>
        <v>0</v>
      </c>
      <c r="AG156" s="140">
        <f t="shared" si="234"/>
        <v>0</v>
      </c>
      <c r="AH156" s="140">
        <f t="shared" si="234"/>
        <v>0</v>
      </c>
      <c r="AI156" s="140">
        <f t="shared" si="234"/>
        <v>0</v>
      </c>
      <c r="AJ156" s="140">
        <f t="shared" si="234"/>
        <v>0</v>
      </c>
      <c r="AK156" s="140">
        <f t="shared" si="234"/>
        <v>0</v>
      </c>
      <c r="AL156" s="140">
        <f t="shared" si="234"/>
        <v>0</v>
      </c>
      <c r="AM156" s="140">
        <f t="shared" si="234"/>
        <v>0</v>
      </c>
      <c r="AN156" s="140">
        <f t="shared" si="234"/>
        <v>0</v>
      </c>
      <c r="AO156" s="140">
        <f t="shared" si="234"/>
        <v>0</v>
      </c>
      <c r="AP156" s="140">
        <f t="shared" si="234"/>
        <v>0</v>
      </c>
      <c r="AQ156" s="140">
        <f t="shared" si="234"/>
        <v>0</v>
      </c>
      <c r="AR156" s="140">
        <f t="shared" si="234"/>
        <v>0</v>
      </c>
      <c r="AS156" s="140">
        <f t="shared" si="234"/>
        <v>0</v>
      </c>
      <c r="AT156" s="140">
        <f t="shared" si="234"/>
        <v>0</v>
      </c>
      <c r="AU156" s="140">
        <f t="shared" si="234"/>
        <v>0</v>
      </c>
      <c r="AV156" s="140">
        <f t="shared" si="234"/>
        <v>0</v>
      </c>
      <c r="AW156" s="140">
        <f t="shared" si="234"/>
        <v>0</v>
      </c>
      <c r="AX156" s="140">
        <f t="shared" si="234"/>
        <v>0</v>
      </c>
      <c r="AY156" s="140">
        <f t="shared" si="234"/>
        <v>0</v>
      </c>
      <c r="AZ156" s="140">
        <f t="shared" si="234"/>
        <v>0</v>
      </c>
      <c r="BA156" s="140">
        <f t="shared" si="234"/>
        <v>0</v>
      </c>
      <c r="BB156" s="140">
        <f t="shared" si="234"/>
        <v>0</v>
      </c>
      <c r="BC156" s="140">
        <f t="shared" si="234"/>
        <v>0</v>
      </c>
      <c r="BD156" s="140">
        <f t="shared" si="234"/>
        <v>0</v>
      </c>
      <c r="BE156" s="140">
        <f t="shared" si="234"/>
        <v>0</v>
      </c>
      <c r="BF156" s="140">
        <f t="shared" si="234"/>
        <v>0</v>
      </c>
      <c r="BG156" s="140">
        <f t="shared" si="234"/>
        <v>0</v>
      </c>
      <c r="BH156" s="140">
        <f t="shared" si="234"/>
        <v>0</v>
      </c>
      <c r="BI156" s="140">
        <f t="shared" si="234"/>
        <v>0</v>
      </c>
      <c r="BJ156" s="140">
        <f t="shared" si="234"/>
        <v>0</v>
      </c>
      <c r="BK156" s="140">
        <f t="shared" si="234"/>
        <v>0</v>
      </c>
      <c r="BL156" s="140">
        <f t="shared" si="234"/>
        <v>0</v>
      </c>
      <c r="BM156" s="140">
        <f t="shared" si="234"/>
        <v>0</v>
      </c>
      <c r="BN156" s="140">
        <f t="shared" si="234"/>
        <v>0</v>
      </c>
      <c r="BO156" s="140">
        <f t="shared" ref="BO156:CB156" si="235">IF(BO154&lt;0,0,$B$5+$B$6*((1-EXP(-BO155/$B$9))/(BO155/$B$9))+$B$7*((1-EXP(-BO155/$B$9))/(BO155/$B$9)-EXP(-BO155/$B$9))+$B$8*((1-EXP(-BO155/$B$10))/(BO155/$B$10)-EXP(-BO155/$B$10)))</f>
        <v>0</v>
      </c>
      <c r="BP156" s="140">
        <f t="shared" si="235"/>
        <v>0</v>
      </c>
      <c r="BQ156" s="140">
        <f t="shared" si="235"/>
        <v>0</v>
      </c>
      <c r="BR156" s="140">
        <f t="shared" si="235"/>
        <v>0</v>
      </c>
      <c r="BS156" s="140">
        <f t="shared" si="235"/>
        <v>0</v>
      </c>
      <c r="BT156" s="140">
        <f t="shared" si="235"/>
        <v>0</v>
      </c>
      <c r="BU156" s="140">
        <f t="shared" si="235"/>
        <v>0</v>
      </c>
      <c r="BV156" s="140">
        <f t="shared" si="235"/>
        <v>0</v>
      </c>
      <c r="BW156" s="140">
        <f t="shared" si="235"/>
        <v>0</v>
      </c>
      <c r="BX156" s="140">
        <f t="shared" si="235"/>
        <v>0</v>
      </c>
      <c r="BY156" s="140">
        <f t="shared" si="235"/>
        <v>0</v>
      </c>
      <c r="BZ156" s="140">
        <f t="shared" si="235"/>
        <v>0</v>
      </c>
      <c r="CA156" s="140">
        <f t="shared" si="235"/>
        <v>0</v>
      </c>
      <c r="CB156" s="140">
        <f t="shared" si="235"/>
        <v>0</v>
      </c>
      <c r="CC156" s="17"/>
      <c r="CD156" s="17"/>
      <c r="CE156" s="17"/>
    </row>
    <row r="157" spans="1:83">
      <c r="A157" s="16" t="s">
        <v>44</v>
      </c>
      <c r="B157" s="140">
        <f>EXP(-B156*B155)</f>
        <v>1</v>
      </c>
      <c r="C157" s="140">
        <f t="shared" ref="C157:AR157" si="236">EXP(-C156*C155)</f>
        <v>1</v>
      </c>
      <c r="D157" s="140">
        <f t="shared" si="236"/>
        <v>1</v>
      </c>
      <c r="E157" s="140">
        <f t="shared" si="236"/>
        <v>1</v>
      </c>
      <c r="F157" s="140">
        <f t="shared" si="236"/>
        <v>1</v>
      </c>
      <c r="G157" s="140">
        <f t="shared" si="236"/>
        <v>1</v>
      </c>
      <c r="H157" s="140">
        <f t="shared" si="236"/>
        <v>1</v>
      </c>
      <c r="I157" s="140">
        <f t="shared" si="236"/>
        <v>1</v>
      </c>
      <c r="J157" s="140">
        <f t="shared" si="236"/>
        <v>1</v>
      </c>
      <c r="K157" s="140">
        <f t="shared" si="236"/>
        <v>1</v>
      </c>
      <c r="L157" s="140">
        <f t="shared" si="236"/>
        <v>1</v>
      </c>
      <c r="M157" s="140">
        <f t="shared" si="236"/>
        <v>1</v>
      </c>
      <c r="N157" s="140">
        <f t="shared" si="236"/>
        <v>1</v>
      </c>
      <c r="O157" s="140">
        <f t="shared" si="236"/>
        <v>1</v>
      </c>
      <c r="P157" s="140">
        <f t="shared" si="236"/>
        <v>1</v>
      </c>
      <c r="Q157" s="140">
        <f t="shared" si="236"/>
        <v>1</v>
      </c>
      <c r="R157" s="140">
        <f t="shared" si="236"/>
        <v>1</v>
      </c>
      <c r="S157" s="140">
        <f t="shared" si="236"/>
        <v>1</v>
      </c>
      <c r="T157" s="140">
        <f t="shared" si="236"/>
        <v>1</v>
      </c>
      <c r="U157" s="140">
        <f t="shared" si="236"/>
        <v>1</v>
      </c>
      <c r="V157" s="140">
        <f t="shared" si="236"/>
        <v>1</v>
      </c>
      <c r="W157" s="140">
        <f t="shared" si="236"/>
        <v>1</v>
      </c>
      <c r="X157" s="140">
        <f t="shared" si="236"/>
        <v>1</v>
      </c>
      <c r="Y157" s="140">
        <f t="shared" si="236"/>
        <v>1</v>
      </c>
      <c r="Z157" s="140">
        <f t="shared" si="236"/>
        <v>1</v>
      </c>
      <c r="AA157" s="140">
        <f t="shared" si="236"/>
        <v>1</v>
      </c>
      <c r="AB157" s="140">
        <f t="shared" si="236"/>
        <v>1</v>
      </c>
      <c r="AC157" s="140">
        <f t="shared" si="236"/>
        <v>1</v>
      </c>
      <c r="AD157" s="140">
        <f t="shared" si="236"/>
        <v>1</v>
      </c>
      <c r="AE157" s="140">
        <f t="shared" si="236"/>
        <v>1</v>
      </c>
      <c r="AF157" s="140">
        <f t="shared" si="236"/>
        <v>1</v>
      </c>
      <c r="AG157" s="140">
        <f t="shared" si="236"/>
        <v>1</v>
      </c>
      <c r="AH157" s="140">
        <f t="shared" si="236"/>
        <v>1</v>
      </c>
      <c r="AI157" s="140">
        <f t="shared" si="236"/>
        <v>1</v>
      </c>
      <c r="AJ157" s="140">
        <f t="shared" si="236"/>
        <v>1</v>
      </c>
      <c r="AK157" s="140">
        <f t="shared" si="236"/>
        <v>1</v>
      </c>
      <c r="AL157" s="140">
        <f t="shared" si="236"/>
        <v>1</v>
      </c>
      <c r="AM157" s="140">
        <f t="shared" si="236"/>
        <v>1</v>
      </c>
      <c r="AN157" s="140">
        <f t="shared" si="236"/>
        <v>1</v>
      </c>
      <c r="AO157" s="140">
        <f t="shared" si="236"/>
        <v>1</v>
      </c>
      <c r="AP157" s="140">
        <f t="shared" si="236"/>
        <v>1</v>
      </c>
      <c r="AQ157" s="140">
        <f t="shared" si="236"/>
        <v>1</v>
      </c>
      <c r="AR157" s="140">
        <f t="shared" si="236"/>
        <v>1</v>
      </c>
      <c r="AS157" s="140">
        <f>EXP(-AS156*AS155)</f>
        <v>1</v>
      </c>
      <c r="AT157" s="140">
        <f t="shared" ref="AT157:CA157" si="237">EXP(-AT156*AT155)</f>
        <v>1</v>
      </c>
      <c r="AU157" s="140">
        <f t="shared" si="237"/>
        <v>1</v>
      </c>
      <c r="AV157" s="140">
        <f t="shared" si="237"/>
        <v>1</v>
      </c>
      <c r="AW157" s="140">
        <f t="shared" si="237"/>
        <v>1</v>
      </c>
      <c r="AX157" s="140">
        <f t="shared" si="237"/>
        <v>1</v>
      </c>
      <c r="AY157" s="140">
        <f t="shared" si="237"/>
        <v>1</v>
      </c>
      <c r="AZ157" s="140">
        <f t="shared" si="237"/>
        <v>1</v>
      </c>
      <c r="BA157" s="140">
        <f t="shared" si="237"/>
        <v>1</v>
      </c>
      <c r="BB157" s="140">
        <f t="shared" si="237"/>
        <v>1</v>
      </c>
      <c r="BC157" s="140">
        <f t="shared" si="237"/>
        <v>1</v>
      </c>
      <c r="BD157" s="140">
        <f t="shared" si="237"/>
        <v>1</v>
      </c>
      <c r="BE157" s="140">
        <f t="shared" si="237"/>
        <v>1</v>
      </c>
      <c r="BF157" s="140">
        <f t="shared" si="237"/>
        <v>1</v>
      </c>
      <c r="BG157" s="140">
        <f t="shared" si="237"/>
        <v>1</v>
      </c>
      <c r="BH157" s="140">
        <f t="shared" si="237"/>
        <v>1</v>
      </c>
      <c r="BI157" s="140">
        <f t="shared" si="237"/>
        <v>1</v>
      </c>
      <c r="BJ157" s="140">
        <f t="shared" si="237"/>
        <v>1</v>
      </c>
      <c r="BK157" s="140">
        <f t="shared" si="237"/>
        <v>1</v>
      </c>
      <c r="BL157" s="140">
        <f t="shared" si="237"/>
        <v>1</v>
      </c>
      <c r="BM157" s="140">
        <f t="shared" si="237"/>
        <v>1</v>
      </c>
      <c r="BN157" s="140">
        <f t="shared" si="237"/>
        <v>1</v>
      </c>
      <c r="BO157" s="140">
        <f t="shared" si="237"/>
        <v>1</v>
      </c>
      <c r="BP157" s="140">
        <f t="shared" si="237"/>
        <v>1</v>
      </c>
      <c r="BQ157" s="140">
        <f t="shared" si="237"/>
        <v>1</v>
      </c>
      <c r="BR157" s="140">
        <f t="shared" si="237"/>
        <v>1</v>
      </c>
      <c r="BS157" s="140">
        <f t="shared" si="237"/>
        <v>1</v>
      </c>
      <c r="BT157" s="140">
        <f t="shared" si="237"/>
        <v>1</v>
      </c>
      <c r="BU157" s="140">
        <f t="shared" si="237"/>
        <v>1</v>
      </c>
      <c r="BV157" s="140">
        <f t="shared" si="237"/>
        <v>1</v>
      </c>
      <c r="BW157" s="140">
        <f t="shared" si="237"/>
        <v>1</v>
      </c>
      <c r="BX157" s="140">
        <f t="shared" si="237"/>
        <v>1</v>
      </c>
      <c r="BY157" s="140">
        <f t="shared" si="237"/>
        <v>1</v>
      </c>
      <c r="BZ157" s="140">
        <f t="shared" si="237"/>
        <v>1</v>
      </c>
      <c r="CA157" s="140">
        <f t="shared" si="237"/>
        <v>1</v>
      </c>
      <c r="CB157" s="140">
        <f>EXP(-CB156*CB155)</f>
        <v>1</v>
      </c>
      <c r="CC157" s="17"/>
      <c r="CD157" s="17"/>
      <c r="CE157" s="17"/>
    </row>
    <row r="158" spans="1:83">
      <c r="A158" s="17"/>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17"/>
      <c r="CD158" s="17"/>
      <c r="CE158" s="17"/>
    </row>
    <row r="159" spans="1:83">
      <c r="A159" s="16" t="s">
        <v>40</v>
      </c>
      <c r="B159" s="140">
        <f t="shared" ref="B159:BM159" si="238">DAYS360($B$3,B60)</f>
        <v>-43022</v>
      </c>
      <c r="C159" s="140">
        <f t="shared" si="238"/>
        <v>-42842</v>
      </c>
      <c r="D159" s="140">
        <f t="shared" si="238"/>
        <v>-42662</v>
      </c>
      <c r="E159" s="140">
        <f t="shared" si="238"/>
        <v>-42482</v>
      </c>
      <c r="F159" s="140">
        <f t="shared" si="238"/>
        <v>-42302</v>
      </c>
      <c r="G159" s="140">
        <f t="shared" si="238"/>
        <v>-42122</v>
      </c>
      <c r="H159" s="140">
        <f t="shared" si="238"/>
        <v>-41942</v>
      </c>
      <c r="I159" s="140">
        <f t="shared" si="238"/>
        <v>-41762</v>
      </c>
      <c r="J159" s="140">
        <f t="shared" si="238"/>
        <v>-41582</v>
      </c>
      <c r="K159" s="140">
        <f t="shared" si="238"/>
        <v>-41403</v>
      </c>
      <c r="L159" s="140">
        <f t="shared" si="238"/>
        <v>-41223</v>
      </c>
      <c r="M159" s="140">
        <f t="shared" si="238"/>
        <v>-41043</v>
      </c>
      <c r="N159" s="140">
        <f t="shared" si="238"/>
        <v>-40863</v>
      </c>
      <c r="O159" s="140">
        <f t="shared" si="238"/>
        <v>-40683</v>
      </c>
      <c r="P159" s="140">
        <f t="shared" si="238"/>
        <v>-40503</v>
      </c>
      <c r="Q159" s="140">
        <f t="shared" si="238"/>
        <v>-40323</v>
      </c>
      <c r="R159" s="140">
        <f t="shared" si="238"/>
        <v>-40143</v>
      </c>
      <c r="S159" s="140">
        <f t="shared" si="238"/>
        <v>-39964</v>
      </c>
      <c r="T159" s="140">
        <f t="shared" si="238"/>
        <v>-39784</v>
      </c>
      <c r="U159" s="140">
        <f t="shared" si="238"/>
        <v>-39604</v>
      </c>
      <c r="V159" s="140">
        <f t="shared" si="238"/>
        <v>-39424</v>
      </c>
      <c r="W159" s="140">
        <f t="shared" si="238"/>
        <v>-39244</v>
      </c>
      <c r="X159" s="140">
        <f t="shared" si="238"/>
        <v>-39064</v>
      </c>
      <c r="Y159" s="140">
        <f t="shared" si="238"/>
        <v>-38884</v>
      </c>
      <c r="Z159" s="140">
        <f t="shared" si="238"/>
        <v>-38704</v>
      </c>
      <c r="AA159" s="140">
        <f t="shared" si="238"/>
        <v>-38525</v>
      </c>
      <c r="AB159" s="140">
        <f t="shared" si="238"/>
        <v>-38345</v>
      </c>
      <c r="AC159" s="140">
        <f t="shared" si="238"/>
        <v>-38165</v>
      </c>
      <c r="AD159" s="140">
        <f t="shared" si="238"/>
        <v>-37985</v>
      </c>
      <c r="AE159" s="140">
        <f t="shared" si="238"/>
        <v>-37805</v>
      </c>
      <c r="AF159" s="140">
        <f t="shared" si="238"/>
        <v>-37625</v>
      </c>
      <c r="AG159" s="140">
        <f t="shared" si="238"/>
        <v>-37445</v>
      </c>
      <c r="AH159" s="140">
        <f t="shared" si="238"/>
        <v>-37265</v>
      </c>
      <c r="AI159" s="140">
        <f t="shared" si="238"/>
        <v>-37086</v>
      </c>
      <c r="AJ159" s="140">
        <f t="shared" si="238"/>
        <v>-36906</v>
      </c>
      <c r="AK159" s="140">
        <f t="shared" si="238"/>
        <v>-36726</v>
      </c>
      <c r="AL159" s="140">
        <f t="shared" si="238"/>
        <v>-36546</v>
      </c>
      <c r="AM159" s="140">
        <f t="shared" si="238"/>
        <v>-36366</v>
      </c>
      <c r="AN159" s="140">
        <f t="shared" si="238"/>
        <v>-36186</v>
      </c>
      <c r="AO159" s="140">
        <f t="shared" si="238"/>
        <v>-36006</v>
      </c>
      <c r="AP159" s="140">
        <f t="shared" si="238"/>
        <v>-35826</v>
      </c>
      <c r="AQ159" s="140">
        <f t="shared" si="238"/>
        <v>-35647</v>
      </c>
      <c r="AR159" s="140">
        <f t="shared" si="238"/>
        <v>-35467</v>
      </c>
      <c r="AS159" s="140">
        <f t="shared" si="238"/>
        <v>-35287</v>
      </c>
      <c r="AT159" s="140">
        <f t="shared" si="238"/>
        <v>-35107</v>
      </c>
      <c r="AU159" s="140">
        <f t="shared" si="238"/>
        <v>-34927</v>
      </c>
      <c r="AV159" s="140">
        <f t="shared" si="238"/>
        <v>-34747</v>
      </c>
      <c r="AW159" s="140">
        <f t="shared" si="238"/>
        <v>-34567</v>
      </c>
      <c r="AX159" s="140">
        <f t="shared" si="238"/>
        <v>-34387</v>
      </c>
      <c r="AY159" s="140">
        <f t="shared" si="238"/>
        <v>-34208</v>
      </c>
      <c r="AZ159" s="140">
        <f t="shared" si="238"/>
        <v>-34028</v>
      </c>
      <c r="BA159" s="140">
        <f t="shared" si="238"/>
        <v>-33848</v>
      </c>
      <c r="BB159" s="140">
        <f t="shared" si="238"/>
        <v>-33668</v>
      </c>
      <c r="BC159" s="140">
        <f t="shared" si="238"/>
        <v>-33488</v>
      </c>
      <c r="BD159" s="140">
        <f t="shared" si="238"/>
        <v>-33308</v>
      </c>
      <c r="BE159" s="140">
        <f t="shared" si="238"/>
        <v>-33128</v>
      </c>
      <c r="BF159" s="140">
        <f t="shared" si="238"/>
        <v>-32948</v>
      </c>
      <c r="BG159" s="140">
        <f t="shared" si="238"/>
        <v>-32769</v>
      </c>
      <c r="BH159" s="140">
        <f t="shared" si="238"/>
        <v>-32589</v>
      </c>
      <c r="BI159" s="140">
        <f t="shared" si="238"/>
        <v>-32409</v>
      </c>
      <c r="BJ159" s="140">
        <f t="shared" si="238"/>
        <v>-32229</v>
      </c>
      <c r="BK159" s="140">
        <f t="shared" si="238"/>
        <v>-32049</v>
      </c>
      <c r="BL159" s="140">
        <f t="shared" si="238"/>
        <v>-31869</v>
      </c>
      <c r="BM159" s="140">
        <f t="shared" si="238"/>
        <v>-31689</v>
      </c>
      <c r="BN159" s="140">
        <f t="shared" ref="BN159:CB159" si="239">DAYS360($B$3,BN60)</f>
        <v>-31509</v>
      </c>
      <c r="BO159" s="140">
        <f t="shared" si="239"/>
        <v>-31330</v>
      </c>
      <c r="BP159" s="140">
        <f t="shared" si="239"/>
        <v>-31150</v>
      </c>
      <c r="BQ159" s="140">
        <f t="shared" si="239"/>
        <v>-30970</v>
      </c>
      <c r="BR159" s="140">
        <f t="shared" si="239"/>
        <v>-30790</v>
      </c>
      <c r="BS159" s="140">
        <f t="shared" si="239"/>
        <v>-30610</v>
      </c>
      <c r="BT159" s="140">
        <f t="shared" si="239"/>
        <v>-30430</v>
      </c>
      <c r="BU159" s="140">
        <f t="shared" si="239"/>
        <v>-30250</v>
      </c>
      <c r="BV159" s="140">
        <f t="shared" si="239"/>
        <v>-30070</v>
      </c>
      <c r="BW159" s="140">
        <f t="shared" si="239"/>
        <v>-29891</v>
      </c>
      <c r="BX159" s="140">
        <f t="shared" si="239"/>
        <v>-29711</v>
      </c>
      <c r="BY159" s="140">
        <f t="shared" si="239"/>
        <v>-29531</v>
      </c>
      <c r="BZ159" s="140">
        <f t="shared" si="239"/>
        <v>-29351</v>
      </c>
      <c r="CA159" s="140">
        <f t="shared" si="239"/>
        <v>-29171</v>
      </c>
      <c r="CB159" s="140">
        <f t="shared" si="239"/>
        <v>-28991</v>
      </c>
      <c r="CC159" s="17"/>
      <c r="CD159" s="17"/>
      <c r="CE159" s="17"/>
    </row>
    <row r="160" spans="1:83">
      <c r="A160" s="16" t="s">
        <v>41</v>
      </c>
      <c r="B160" s="140">
        <f>B159/360</f>
        <v>-119.50555555555556</v>
      </c>
      <c r="C160" s="140">
        <f t="shared" ref="C160:BN160" si="240">C159/360</f>
        <v>-119.00555555555556</v>
      </c>
      <c r="D160" s="140">
        <f t="shared" si="240"/>
        <v>-118.50555555555556</v>
      </c>
      <c r="E160" s="140">
        <f t="shared" si="240"/>
        <v>-118.00555555555556</v>
      </c>
      <c r="F160" s="140">
        <f t="shared" si="240"/>
        <v>-117.50555555555556</v>
      </c>
      <c r="G160" s="140">
        <f t="shared" si="240"/>
        <v>-117.00555555555556</v>
      </c>
      <c r="H160" s="140">
        <f t="shared" si="240"/>
        <v>-116.50555555555556</v>
      </c>
      <c r="I160" s="140">
        <f t="shared" si="240"/>
        <v>-116.00555555555556</v>
      </c>
      <c r="J160" s="140">
        <f t="shared" si="240"/>
        <v>-115.50555555555556</v>
      </c>
      <c r="K160" s="140">
        <f t="shared" si="240"/>
        <v>-115.00833333333334</v>
      </c>
      <c r="L160" s="140">
        <f t="shared" si="240"/>
        <v>-114.50833333333334</v>
      </c>
      <c r="M160" s="140">
        <f t="shared" si="240"/>
        <v>-114.00833333333334</v>
      </c>
      <c r="N160" s="140">
        <f t="shared" si="240"/>
        <v>-113.50833333333334</v>
      </c>
      <c r="O160" s="140">
        <f t="shared" si="240"/>
        <v>-113.00833333333334</v>
      </c>
      <c r="P160" s="140">
        <f t="shared" si="240"/>
        <v>-112.50833333333334</v>
      </c>
      <c r="Q160" s="140">
        <f t="shared" si="240"/>
        <v>-112.00833333333334</v>
      </c>
      <c r="R160" s="140">
        <f t="shared" si="240"/>
        <v>-111.50833333333334</v>
      </c>
      <c r="S160" s="140">
        <f t="shared" si="240"/>
        <v>-111.01111111111111</v>
      </c>
      <c r="T160" s="140">
        <f t="shared" si="240"/>
        <v>-110.51111111111111</v>
      </c>
      <c r="U160" s="140">
        <f t="shared" si="240"/>
        <v>-110.01111111111111</v>
      </c>
      <c r="V160" s="140">
        <f t="shared" si="240"/>
        <v>-109.51111111111111</v>
      </c>
      <c r="W160" s="140">
        <f t="shared" si="240"/>
        <v>-109.01111111111111</v>
      </c>
      <c r="X160" s="140">
        <f t="shared" si="240"/>
        <v>-108.51111111111111</v>
      </c>
      <c r="Y160" s="140">
        <f t="shared" si="240"/>
        <v>-108.01111111111111</v>
      </c>
      <c r="Z160" s="140">
        <f t="shared" si="240"/>
        <v>-107.51111111111111</v>
      </c>
      <c r="AA160" s="140">
        <f t="shared" si="240"/>
        <v>-107.01388888888889</v>
      </c>
      <c r="AB160" s="140">
        <f t="shared" si="240"/>
        <v>-106.51388888888889</v>
      </c>
      <c r="AC160" s="140">
        <f t="shared" si="240"/>
        <v>-106.01388888888889</v>
      </c>
      <c r="AD160" s="140">
        <f t="shared" si="240"/>
        <v>-105.51388888888889</v>
      </c>
      <c r="AE160" s="140">
        <f t="shared" si="240"/>
        <v>-105.01388888888889</v>
      </c>
      <c r="AF160" s="140">
        <f t="shared" si="240"/>
        <v>-104.51388888888889</v>
      </c>
      <c r="AG160" s="140">
        <f t="shared" si="240"/>
        <v>-104.01388888888889</v>
      </c>
      <c r="AH160" s="140">
        <f t="shared" si="240"/>
        <v>-103.51388888888889</v>
      </c>
      <c r="AI160" s="140">
        <f t="shared" si="240"/>
        <v>-103.01666666666667</v>
      </c>
      <c r="AJ160" s="140">
        <f t="shared" si="240"/>
        <v>-102.51666666666667</v>
      </c>
      <c r="AK160" s="140">
        <f t="shared" si="240"/>
        <v>-102.01666666666667</v>
      </c>
      <c r="AL160" s="140">
        <f t="shared" si="240"/>
        <v>-101.51666666666667</v>
      </c>
      <c r="AM160" s="140">
        <f t="shared" si="240"/>
        <v>-101.01666666666667</v>
      </c>
      <c r="AN160" s="140">
        <f t="shared" si="240"/>
        <v>-100.51666666666667</v>
      </c>
      <c r="AO160" s="140">
        <f t="shared" si="240"/>
        <v>-100.01666666666667</v>
      </c>
      <c r="AP160" s="140">
        <f t="shared" si="240"/>
        <v>-99.516666666666666</v>
      </c>
      <c r="AQ160" s="140">
        <f t="shared" si="240"/>
        <v>-99.019444444444446</v>
      </c>
      <c r="AR160" s="140">
        <f t="shared" si="240"/>
        <v>-98.519444444444446</v>
      </c>
      <c r="AS160" s="140">
        <f t="shared" si="240"/>
        <v>-98.019444444444446</v>
      </c>
      <c r="AT160" s="140">
        <f t="shared" si="240"/>
        <v>-97.519444444444446</v>
      </c>
      <c r="AU160" s="140">
        <f t="shared" si="240"/>
        <v>-97.019444444444446</v>
      </c>
      <c r="AV160" s="140">
        <f t="shared" si="240"/>
        <v>-96.519444444444446</v>
      </c>
      <c r="AW160" s="140">
        <f t="shared" si="240"/>
        <v>-96.019444444444446</v>
      </c>
      <c r="AX160" s="140">
        <f t="shared" si="240"/>
        <v>-95.519444444444446</v>
      </c>
      <c r="AY160" s="140">
        <f t="shared" si="240"/>
        <v>-95.022222222222226</v>
      </c>
      <c r="AZ160" s="140">
        <f t="shared" si="240"/>
        <v>-94.522222222222226</v>
      </c>
      <c r="BA160" s="140">
        <f t="shared" si="240"/>
        <v>-94.022222222222226</v>
      </c>
      <c r="BB160" s="140">
        <f t="shared" si="240"/>
        <v>-93.522222222222226</v>
      </c>
      <c r="BC160" s="140">
        <f t="shared" si="240"/>
        <v>-93.022222222222226</v>
      </c>
      <c r="BD160" s="140">
        <f t="shared" si="240"/>
        <v>-92.522222222222226</v>
      </c>
      <c r="BE160" s="140">
        <f t="shared" si="240"/>
        <v>-92.022222222222226</v>
      </c>
      <c r="BF160" s="140">
        <f t="shared" si="240"/>
        <v>-91.522222222222226</v>
      </c>
      <c r="BG160" s="140">
        <f t="shared" si="240"/>
        <v>-91.025000000000006</v>
      </c>
      <c r="BH160" s="140">
        <f t="shared" si="240"/>
        <v>-90.525000000000006</v>
      </c>
      <c r="BI160" s="140">
        <f t="shared" si="240"/>
        <v>-90.025000000000006</v>
      </c>
      <c r="BJ160" s="140">
        <f t="shared" si="240"/>
        <v>-89.525000000000006</v>
      </c>
      <c r="BK160" s="140">
        <f t="shared" si="240"/>
        <v>-89.025000000000006</v>
      </c>
      <c r="BL160" s="140">
        <f t="shared" si="240"/>
        <v>-88.525000000000006</v>
      </c>
      <c r="BM160" s="140">
        <f t="shared" si="240"/>
        <v>-88.025000000000006</v>
      </c>
      <c r="BN160" s="140">
        <f t="shared" si="240"/>
        <v>-87.525000000000006</v>
      </c>
      <c r="BO160" s="140">
        <f t="shared" ref="BO160:CB160" si="241">BO159/360</f>
        <v>-87.027777777777771</v>
      </c>
      <c r="BP160" s="140">
        <f t="shared" si="241"/>
        <v>-86.527777777777771</v>
      </c>
      <c r="BQ160" s="140">
        <f t="shared" si="241"/>
        <v>-86.027777777777771</v>
      </c>
      <c r="BR160" s="140">
        <f t="shared" si="241"/>
        <v>-85.527777777777771</v>
      </c>
      <c r="BS160" s="140">
        <f t="shared" si="241"/>
        <v>-85.027777777777771</v>
      </c>
      <c r="BT160" s="140">
        <f t="shared" si="241"/>
        <v>-84.527777777777771</v>
      </c>
      <c r="BU160" s="140">
        <f t="shared" si="241"/>
        <v>-84.027777777777771</v>
      </c>
      <c r="BV160" s="140">
        <f t="shared" si="241"/>
        <v>-83.527777777777771</v>
      </c>
      <c r="BW160" s="140">
        <f t="shared" si="241"/>
        <v>-83.030555555555551</v>
      </c>
      <c r="BX160" s="140">
        <f t="shared" si="241"/>
        <v>-82.530555555555551</v>
      </c>
      <c r="BY160" s="140">
        <f t="shared" si="241"/>
        <v>-82.030555555555551</v>
      </c>
      <c r="BZ160" s="140">
        <f t="shared" si="241"/>
        <v>-81.530555555555551</v>
      </c>
      <c r="CA160" s="140">
        <f t="shared" si="241"/>
        <v>-81.030555555555551</v>
      </c>
      <c r="CB160" s="140">
        <f t="shared" si="241"/>
        <v>-80.530555555555551</v>
      </c>
      <c r="CC160" s="17"/>
      <c r="CD160" s="17"/>
      <c r="CE160" s="17"/>
    </row>
    <row r="161" spans="1:83">
      <c r="A161" s="16" t="s">
        <v>43</v>
      </c>
      <c r="B161" s="140">
        <f>IF(B159&lt;0,0,$B$5+$B$6*((1-EXP(-B160/$B$9))/(B160/$B$9))+$B$7*((1-EXP(-B160/$B$9))/(B160/$B$9)-EXP(-B160/$B$9))+$B$8*((1-EXP(-B160/$B$10))/(B160/$B$10)-EXP(-B160/$B$10)))</f>
        <v>0</v>
      </c>
      <c r="C161" s="140">
        <f t="shared" ref="C161:BN161" si="242">IF(C159&lt;0,0,$B$5+$B$6*((1-EXP(-C160/$B$9))/(C160/$B$9))+$B$7*((1-EXP(-C160/$B$9))/(C160/$B$9)-EXP(-C160/$B$9))+$B$8*((1-EXP(-C160/$B$10))/(C160/$B$10)-EXP(-C160/$B$10)))</f>
        <v>0</v>
      </c>
      <c r="D161" s="140">
        <f t="shared" si="242"/>
        <v>0</v>
      </c>
      <c r="E161" s="140">
        <f t="shared" si="242"/>
        <v>0</v>
      </c>
      <c r="F161" s="140">
        <f t="shared" si="242"/>
        <v>0</v>
      </c>
      <c r="G161" s="140">
        <f t="shared" si="242"/>
        <v>0</v>
      </c>
      <c r="H161" s="140">
        <f t="shared" si="242"/>
        <v>0</v>
      </c>
      <c r="I161" s="140">
        <f t="shared" si="242"/>
        <v>0</v>
      </c>
      <c r="J161" s="140">
        <f t="shared" si="242"/>
        <v>0</v>
      </c>
      <c r="K161" s="140">
        <f t="shared" si="242"/>
        <v>0</v>
      </c>
      <c r="L161" s="140">
        <f t="shared" si="242"/>
        <v>0</v>
      </c>
      <c r="M161" s="140">
        <f t="shared" si="242"/>
        <v>0</v>
      </c>
      <c r="N161" s="140">
        <f t="shared" si="242"/>
        <v>0</v>
      </c>
      <c r="O161" s="140">
        <f t="shared" si="242"/>
        <v>0</v>
      </c>
      <c r="P161" s="140">
        <f t="shared" si="242"/>
        <v>0</v>
      </c>
      <c r="Q161" s="140">
        <f t="shared" si="242"/>
        <v>0</v>
      </c>
      <c r="R161" s="140">
        <f t="shared" si="242"/>
        <v>0</v>
      </c>
      <c r="S161" s="140">
        <f t="shared" si="242"/>
        <v>0</v>
      </c>
      <c r="T161" s="140">
        <f t="shared" si="242"/>
        <v>0</v>
      </c>
      <c r="U161" s="140">
        <f t="shared" si="242"/>
        <v>0</v>
      </c>
      <c r="V161" s="140">
        <f t="shared" si="242"/>
        <v>0</v>
      </c>
      <c r="W161" s="140">
        <f t="shared" si="242"/>
        <v>0</v>
      </c>
      <c r="X161" s="140">
        <f t="shared" si="242"/>
        <v>0</v>
      </c>
      <c r="Y161" s="140">
        <f t="shared" si="242"/>
        <v>0</v>
      </c>
      <c r="Z161" s="140">
        <f t="shared" si="242"/>
        <v>0</v>
      </c>
      <c r="AA161" s="140">
        <f t="shared" si="242"/>
        <v>0</v>
      </c>
      <c r="AB161" s="140">
        <f t="shared" si="242"/>
        <v>0</v>
      </c>
      <c r="AC161" s="140">
        <f t="shared" si="242"/>
        <v>0</v>
      </c>
      <c r="AD161" s="140">
        <f t="shared" si="242"/>
        <v>0</v>
      </c>
      <c r="AE161" s="140">
        <f t="shared" si="242"/>
        <v>0</v>
      </c>
      <c r="AF161" s="140">
        <f t="shared" si="242"/>
        <v>0</v>
      </c>
      <c r="AG161" s="140">
        <f t="shared" si="242"/>
        <v>0</v>
      </c>
      <c r="AH161" s="140">
        <f t="shared" si="242"/>
        <v>0</v>
      </c>
      <c r="AI161" s="140">
        <f t="shared" si="242"/>
        <v>0</v>
      </c>
      <c r="AJ161" s="140">
        <f t="shared" si="242"/>
        <v>0</v>
      </c>
      <c r="AK161" s="140">
        <f t="shared" si="242"/>
        <v>0</v>
      </c>
      <c r="AL161" s="140">
        <f t="shared" si="242"/>
        <v>0</v>
      </c>
      <c r="AM161" s="140">
        <f t="shared" si="242"/>
        <v>0</v>
      </c>
      <c r="AN161" s="140">
        <f t="shared" si="242"/>
        <v>0</v>
      </c>
      <c r="AO161" s="140">
        <f t="shared" si="242"/>
        <v>0</v>
      </c>
      <c r="AP161" s="140">
        <f t="shared" si="242"/>
        <v>0</v>
      </c>
      <c r="AQ161" s="140">
        <f t="shared" si="242"/>
        <v>0</v>
      </c>
      <c r="AR161" s="140">
        <f t="shared" si="242"/>
        <v>0</v>
      </c>
      <c r="AS161" s="140">
        <f t="shared" si="242"/>
        <v>0</v>
      </c>
      <c r="AT161" s="140">
        <f t="shared" si="242"/>
        <v>0</v>
      </c>
      <c r="AU161" s="140">
        <f t="shared" si="242"/>
        <v>0</v>
      </c>
      <c r="AV161" s="140">
        <f t="shared" si="242"/>
        <v>0</v>
      </c>
      <c r="AW161" s="140">
        <f t="shared" si="242"/>
        <v>0</v>
      </c>
      <c r="AX161" s="140">
        <f t="shared" si="242"/>
        <v>0</v>
      </c>
      <c r="AY161" s="140">
        <f t="shared" si="242"/>
        <v>0</v>
      </c>
      <c r="AZ161" s="140">
        <f t="shared" si="242"/>
        <v>0</v>
      </c>
      <c r="BA161" s="140">
        <f t="shared" si="242"/>
        <v>0</v>
      </c>
      <c r="BB161" s="140">
        <f t="shared" si="242"/>
        <v>0</v>
      </c>
      <c r="BC161" s="140">
        <f t="shared" si="242"/>
        <v>0</v>
      </c>
      <c r="BD161" s="140">
        <f t="shared" si="242"/>
        <v>0</v>
      </c>
      <c r="BE161" s="140">
        <f t="shared" si="242"/>
        <v>0</v>
      </c>
      <c r="BF161" s="140">
        <f t="shared" si="242"/>
        <v>0</v>
      </c>
      <c r="BG161" s="140">
        <f t="shared" si="242"/>
        <v>0</v>
      </c>
      <c r="BH161" s="140">
        <f t="shared" si="242"/>
        <v>0</v>
      </c>
      <c r="BI161" s="140">
        <f t="shared" si="242"/>
        <v>0</v>
      </c>
      <c r="BJ161" s="140">
        <f t="shared" si="242"/>
        <v>0</v>
      </c>
      <c r="BK161" s="140">
        <f t="shared" si="242"/>
        <v>0</v>
      </c>
      <c r="BL161" s="140">
        <f t="shared" si="242"/>
        <v>0</v>
      </c>
      <c r="BM161" s="140">
        <f t="shared" si="242"/>
        <v>0</v>
      </c>
      <c r="BN161" s="140">
        <f t="shared" si="242"/>
        <v>0</v>
      </c>
      <c r="BO161" s="140">
        <f t="shared" ref="BO161:CB161" si="243">IF(BO159&lt;0,0,$B$5+$B$6*((1-EXP(-BO160/$B$9))/(BO160/$B$9))+$B$7*((1-EXP(-BO160/$B$9))/(BO160/$B$9)-EXP(-BO160/$B$9))+$B$8*((1-EXP(-BO160/$B$10))/(BO160/$B$10)-EXP(-BO160/$B$10)))</f>
        <v>0</v>
      </c>
      <c r="BP161" s="140">
        <f t="shared" si="243"/>
        <v>0</v>
      </c>
      <c r="BQ161" s="140">
        <f t="shared" si="243"/>
        <v>0</v>
      </c>
      <c r="BR161" s="140">
        <f t="shared" si="243"/>
        <v>0</v>
      </c>
      <c r="BS161" s="140">
        <f t="shared" si="243"/>
        <v>0</v>
      </c>
      <c r="BT161" s="140">
        <f t="shared" si="243"/>
        <v>0</v>
      </c>
      <c r="BU161" s="140">
        <f t="shared" si="243"/>
        <v>0</v>
      </c>
      <c r="BV161" s="140">
        <f t="shared" si="243"/>
        <v>0</v>
      </c>
      <c r="BW161" s="140">
        <f t="shared" si="243"/>
        <v>0</v>
      </c>
      <c r="BX161" s="140">
        <f t="shared" si="243"/>
        <v>0</v>
      </c>
      <c r="BY161" s="140">
        <f t="shared" si="243"/>
        <v>0</v>
      </c>
      <c r="BZ161" s="140">
        <f t="shared" si="243"/>
        <v>0</v>
      </c>
      <c r="CA161" s="140">
        <f t="shared" si="243"/>
        <v>0</v>
      </c>
      <c r="CB161" s="140">
        <f t="shared" si="243"/>
        <v>0</v>
      </c>
      <c r="CC161" s="17"/>
      <c r="CD161" s="17"/>
      <c r="CE161" s="17"/>
    </row>
    <row r="162" spans="1:83">
      <c r="A162" s="16" t="s">
        <v>44</v>
      </c>
      <c r="B162" s="140">
        <f>EXP(-B161*B160)</f>
        <v>1</v>
      </c>
      <c r="C162" s="140">
        <f t="shared" ref="C162:AR162" si="244">EXP(-C161*C160)</f>
        <v>1</v>
      </c>
      <c r="D162" s="140">
        <f t="shared" si="244"/>
        <v>1</v>
      </c>
      <c r="E162" s="140">
        <f t="shared" si="244"/>
        <v>1</v>
      </c>
      <c r="F162" s="140">
        <f t="shared" si="244"/>
        <v>1</v>
      </c>
      <c r="G162" s="140">
        <f t="shared" si="244"/>
        <v>1</v>
      </c>
      <c r="H162" s="140">
        <f t="shared" si="244"/>
        <v>1</v>
      </c>
      <c r="I162" s="140">
        <f t="shared" si="244"/>
        <v>1</v>
      </c>
      <c r="J162" s="140">
        <f t="shared" si="244"/>
        <v>1</v>
      </c>
      <c r="K162" s="140">
        <f t="shared" si="244"/>
        <v>1</v>
      </c>
      <c r="L162" s="140">
        <f t="shared" si="244"/>
        <v>1</v>
      </c>
      <c r="M162" s="140">
        <f t="shared" si="244"/>
        <v>1</v>
      </c>
      <c r="N162" s="140">
        <f t="shared" si="244"/>
        <v>1</v>
      </c>
      <c r="O162" s="140">
        <f t="shared" si="244"/>
        <v>1</v>
      </c>
      <c r="P162" s="140">
        <f t="shared" si="244"/>
        <v>1</v>
      </c>
      <c r="Q162" s="140">
        <f t="shared" si="244"/>
        <v>1</v>
      </c>
      <c r="R162" s="140">
        <f t="shared" si="244"/>
        <v>1</v>
      </c>
      <c r="S162" s="140">
        <f t="shared" si="244"/>
        <v>1</v>
      </c>
      <c r="T162" s="140">
        <f t="shared" si="244"/>
        <v>1</v>
      </c>
      <c r="U162" s="140">
        <f t="shared" si="244"/>
        <v>1</v>
      </c>
      <c r="V162" s="140">
        <f t="shared" si="244"/>
        <v>1</v>
      </c>
      <c r="W162" s="140">
        <f t="shared" si="244"/>
        <v>1</v>
      </c>
      <c r="X162" s="140">
        <f t="shared" si="244"/>
        <v>1</v>
      </c>
      <c r="Y162" s="140">
        <f t="shared" si="244"/>
        <v>1</v>
      </c>
      <c r="Z162" s="140">
        <f t="shared" si="244"/>
        <v>1</v>
      </c>
      <c r="AA162" s="140">
        <f t="shared" si="244"/>
        <v>1</v>
      </c>
      <c r="AB162" s="140">
        <f t="shared" si="244"/>
        <v>1</v>
      </c>
      <c r="AC162" s="140">
        <f t="shared" si="244"/>
        <v>1</v>
      </c>
      <c r="AD162" s="140">
        <f t="shared" si="244"/>
        <v>1</v>
      </c>
      <c r="AE162" s="140">
        <f t="shared" si="244"/>
        <v>1</v>
      </c>
      <c r="AF162" s="140">
        <f t="shared" si="244"/>
        <v>1</v>
      </c>
      <c r="AG162" s="140">
        <f t="shared" si="244"/>
        <v>1</v>
      </c>
      <c r="AH162" s="140">
        <f t="shared" si="244"/>
        <v>1</v>
      </c>
      <c r="AI162" s="140">
        <f t="shared" si="244"/>
        <v>1</v>
      </c>
      <c r="AJ162" s="140">
        <f t="shared" si="244"/>
        <v>1</v>
      </c>
      <c r="AK162" s="140">
        <f t="shared" si="244"/>
        <v>1</v>
      </c>
      <c r="AL162" s="140">
        <f t="shared" si="244"/>
        <v>1</v>
      </c>
      <c r="AM162" s="140">
        <f t="shared" si="244"/>
        <v>1</v>
      </c>
      <c r="AN162" s="140">
        <f t="shared" si="244"/>
        <v>1</v>
      </c>
      <c r="AO162" s="140">
        <f t="shared" si="244"/>
        <v>1</v>
      </c>
      <c r="AP162" s="140">
        <f t="shared" si="244"/>
        <v>1</v>
      </c>
      <c r="AQ162" s="140">
        <f t="shared" si="244"/>
        <v>1</v>
      </c>
      <c r="AR162" s="140">
        <f t="shared" si="244"/>
        <v>1</v>
      </c>
      <c r="AS162" s="140">
        <f>EXP(-AS161*AS160)</f>
        <v>1</v>
      </c>
      <c r="AT162" s="140">
        <f t="shared" ref="AT162:CA162" si="245">EXP(-AT161*AT160)</f>
        <v>1</v>
      </c>
      <c r="AU162" s="140">
        <f t="shared" si="245"/>
        <v>1</v>
      </c>
      <c r="AV162" s="140">
        <f t="shared" si="245"/>
        <v>1</v>
      </c>
      <c r="AW162" s="140">
        <f t="shared" si="245"/>
        <v>1</v>
      </c>
      <c r="AX162" s="140">
        <f t="shared" si="245"/>
        <v>1</v>
      </c>
      <c r="AY162" s="140">
        <f t="shared" si="245"/>
        <v>1</v>
      </c>
      <c r="AZ162" s="140">
        <f t="shared" si="245"/>
        <v>1</v>
      </c>
      <c r="BA162" s="140">
        <f t="shared" si="245"/>
        <v>1</v>
      </c>
      <c r="BB162" s="140">
        <f t="shared" si="245"/>
        <v>1</v>
      </c>
      <c r="BC162" s="140">
        <f t="shared" si="245"/>
        <v>1</v>
      </c>
      <c r="BD162" s="140">
        <f t="shared" si="245"/>
        <v>1</v>
      </c>
      <c r="BE162" s="140">
        <f t="shared" si="245"/>
        <v>1</v>
      </c>
      <c r="BF162" s="140">
        <f t="shared" si="245"/>
        <v>1</v>
      </c>
      <c r="BG162" s="140">
        <f t="shared" si="245"/>
        <v>1</v>
      </c>
      <c r="BH162" s="140">
        <f t="shared" si="245"/>
        <v>1</v>
      </c>
      <c r="BI162" s="140">
        <f t="shared" si="245"/>
        <v>1</v>
      </c>
      <c r="BJ162" s="140">
        <f t="shared" si="245"/>
        <v>1</v>
      </c>
      <c r="BK162" s="140">
        <f t="shared" si="245"/>
        <v>1</v>
      </c>
      <c r="BL162" s="140">
        <f t="shared" si="245"/>
        <v>1</v>
      </c>
      <c r="BM162" s="140">
        <f t="shared" si="245"/>
        <v>1</v>
      </c>
      <c r="BN162" s="140">
        <f t="shared" si="245"/>
        <v>1</v>
      </c>
      <c r="BO162" s="140">
        <f t="shared" si="245"/>
        <v>1</v>
      </c>
      <c r="BP162" s="140">
        <f t="shared" si="245"/>
        <v>1</v>
      </c>
      <c r="BQ162" s="140">
        <f t="shared" si="245"/>
        <v>1</v>
      </c>
      <c r="BR162" s="140">
        <f t="shared" si="245"/>
        <v>1</v>
      </c>
      <c r="BS162" s="140">
        <f t="shared" si="245"/>
        <v>1</v>
      </c>
      <c r="BT162" s="140">
        <f t="shared" si="245"/>
        <v>1</v>
      </c>
      <c r="BU162" s="140">
        <f t="shared" si="245"/>
        <v>1</v>
      </c>
      <c r="BV162" s="140">
        <f t="shared" si="245"/>
        <v>1</v>
      </c>
      <c r="BW162" s="140">
        <f t="shared" si="245"/>
        <v>1</v>
      </c>
      <c r="BX162" s="140">
        <f t="shared" si="245"/>
        <v>1</v>
      </c>
      <c r="BY162" s="140">
        <f t="shared" si="245"/>
        <v>1</v>
      </c>
      <c r="BZ162" s="140">
        <f t="shared" si="245"/>
        <v>1</v>
      </c>
      <c r="CA162" s="140">
        <f t="shared" si="245"/>
        <v>1</v>
      </c>
      <c r="CB162" s="140">
        <f>EXP(-CB161*CB160)</f>
        <v>1</v>
      </c>
      <c r="CC162" s="17"/>
      <c r="CD162" s="17"/>
      <c r="CE162" s="17"/>
    </row>
    <row r="163" spans="1:83">
      <c r="A163" s="17"/>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17"/>
      <c r="CD163" s="17"/>
      <c r="CE163" s="17"/>
    </row>
    <row r="164" spans="1:83">
      <c r="A164" s="16" t="s">
        <v>40</v>
      </c>
      <c r="B164" s="140">
        <f t="shared" ref="B164:BM164" si="246">DAYS360($B$3,B62)</f>
        <v>-43022</v>
      </c>
      <c r="C164" s="140">
        <f t="shared" si="246"/>
        <v>-42842</v>
      </c>
      <c r="D164" s="140">
        <f t="shared" si="246"/>
        <v>-42662</v>
      </c>
      <c r="E164" s="140">
        <f t="shared" si="246"/>
        <v>-42482</v>
      </c>
      <c r="F164" s="140">
        <f t="shared" si="246"/>
        <v>-42302</v>
      </c>
      <c r="G164" s="140">
        <f t="shared" si="246"/>
        <v>-42122</v>
      </c>
      <c r="H164" s="140">
        <f t="shared" si="246"/>
        <v>-41942</v>
      </c>
      <c r="I164" s="140">
        <f t="shared" si="246"/>
        <v>-41762</v>
      </c>
      <c r="J164" s="140">
        <f t="shared" si="246"/>
        <v>-41582</v>
      </c>
      <c r="K164" s="140">
        <f t="shared" si="246"/>
        <v>-41403</v>
      </c>
      <c r="L164" s="140">
        <f t="shared" si="246"/>
        <v>-41223</v>
      </c>
      <c r="M164" s="140">
        <f t="shared" si="246"/>
        <v>-41043</v>
      </c>
      <c r="N164" s="140">
        <f t="shared" si="246"/>
        <v>-40863</v>
      </c>
      <c r="O164" s="140">
        <f t="shared" si="246"/>
        <v>-40683</v>
      </c>
      <c r="P164" s="140">
        <f t="shared" si="246"/>
        <v>-40503</v>
      </c>
      <c r="Q164" s="140">
        <f t="shared" si="246"/>
        <v>-40323</v>
      </c>
      <c r="R164" s="140">
        <f t="shared" si="246"/>
        <v>-40143</v>
      </c>
      <c r="S164" s="140">
        <f t="shared" si="246"/>
        <v>-39964</v>
      </c>
      <c r="T164" s="140">
        <f t="shared" si="246"/>
        <v>-39784</v>
      </c>
      <c r="U164" s="140">
        <f t="shared" si="246"/>
        <v>-39604</v>
      </c>
      <c r="V164" s="140">
        <f t="shared" si="246"/>
        <v>-39424</v>
      </c>
      <c r="W164" s="140">
        <f t="shared" si="246"/>
        <v>-39244</v>
      </c>
      <c r="X164" s="140">
        <f t="shared" si="246"/>
        <v>-39064</v>
      </c>
      <c r="Y164" s="140">
        <f t="shared" si="246"/>
        <v>-38884</v>
      </c>
      <c r="Z164" s="140">
        <f t="shared" si="246"/>
        <v>-38704</v>
      </c>
      <c r="AA164" s="140">
        <f t="shared" si="246"/>
        <v>-38525</v>
      </c>
      <c r="AB164" s="140">
        <f t="shared" si="246"/>
        <v>-38345</v>
      </c>
      <c r="AC164" s="140">
        <f t="shared" si="246"/>
        <v>-38165</v>
      </c>
      <c r="AD164" s="140">
        <f t="shared" si="246"/>
        <v>-37985</v>
      </c>
      <c r="AE164" s="140">
        <f t="shared" si="246"/>
        <v>-37805</v>
      </c>
      <c r="AF164" s="140">
        <f t="shared" si="246"/>
        <v>-37625</v>
      </c>
      <c r="AG164" s="140">
        <f t="shared" si="246"/>
        <v>-37445</v>
      </c>
      <c r="AH164" s="140">
        <f t="shared" si="246"/>
        <v>-37265</v>
      </c>
      <c r="AI164" s="140">
        <f t="shared" si="246"/>
        <v>-37086</v>
      </c>
      <c r="AJ164" s="140">
        <f t="shared" si="246"/>
        <v>-36906</v>
      </c>
      <c r="AK164" s="140">
        <f t="shared" si="246"/>
        <v>-36726</v>
      </c>
      <c r="AL164" s="140">
        <f t="shared" si="246"/>
        <v>-36546</v>
      </c>
      <c r="AM164" s="140">
        <f t="shared" si="246"/>
        <v>-36366</v>
      </c>
      <c r="AN164" s="140">
        <f t="shared" si="246"/>
        <v>-36186</v>
      </c>
      <c r="AO164" s="140">
        <f t="shared" si="246"/>
        <v>-36006</v>
      </c>
      <c r="AP164" s="140">
        <f t="shared" si="246"/>
        <v>-35826</v>
      </c>
      <c r="AQ164" s="140">
        <f t="shared" si="246"/>
        <v>-35647</v>
      </c>
      <c r="AR164" s="140">
        <f t="shared" si="246"/>
        <v>-35467</v>
      </c>
      <c r="AS164" s="140">
        <f t="shared" si="246"/>
        <v>-35287</v>
      </c>
      <c r="AT164" s="140">
        <f t="shared" si="246"/>
        <v>-35107</v>
      </c>
      <c r="AU164" s="140">
        <f t="shared" si="246"/>
        <v>-34927</v>
      </c>
      <c r="AV164" s="140">
        <f t="shared" si="246"/>
        <v>-34747</v>
      </c>
      <c r="AW164" s="140">
        <f t="shared" si="246"/>
        <v>-34567</v>
      </c>
      <c r="AX164" s="140">
        <f t="shared" si="246"/>
        <v>-34387</v>
      </c>
      <c r="AY164" s="140">
        <f t="shared" si="246"/>
        <v>-34208</v>
      </c>
      <c r="AZ164" s="140">
        <f t="shared" si="246"/>
        <v>-34028</v>
      </c>
      <c r="BA164" s="140">
        <f t="shared" si="246"/>
        <v>-33848</v>
      </c>
      <c r="BB164" s="140">
        <f t="shared" si="246"/>
        <v>-33668</v>
      </c>
      <c r="BC164" s="140">
        <f t="shared" si="246"/>
        <v>-33488</v>
      </c>
      <c r="BD164" s="140">
        <f t="shared" si="246"/>
        <v>-33308</v>
      </c>
      <c r="BE164" s="140">
        <f t="shared" si="246"/>
        <v>-33128</v>
      </c>
      <c r="BF164" s="140">
        <f t="shared" si="246"/>
        <v>-32948</v>
      </c>
      <c r="BG164" s="140">
        <f t="shared" si="246"/>
        <v>-32769</v>
      </c>
      <c r="BH164" s="140">
        <f t="shared" si="246"/>
        <v>-32589</v>
      </c>
      <c r="BI164" s="140">
        <f t="shared" si="246"/>
        <v>-32409</v>
      </c>
      <c r="BJ164" s="140">
        <f t="shared" si="246"/>
        <v>-32229</v>
      </c>
      <c r="BK164" s="140">
        <f t="shared" si="246"/>
        <v>-32049</v>
      </c>
      <c r="BL164" s="140">
        <f t="shared" si="246"/>
        <v>-31869</v>
      </c>
      <c r="BM164" s="140">
        <f t="shared" si="246"/>
        <v>-31689</v>
      </c>
      <c r="BN164" s="140">
        <f t="shared" ref="BN164:CB164" si="247">DAYS360($B$3,BN62)</f>
        <v>-31509</v>
      </c>
      <c r="BO164" s="140">
        <f t="shared" si="247"/>
        <v>-31330</v>
      </c>
      <c r="BP164" s="140">
        <f t="shared" si="247"/>
        <v>-31150</v>
      </c>
      <c r="BQ164" s="140">
        <f t="shared" si="247"/>
        <v>-30970</v>
      </c>
      <c r="BR164" s="140">
        <f t="shared" si="247"/>
        <v>-30790</v>
      </c>
      <c r="BS164" s="140">
        <f t="shared" si="247"/>
        <v>-30610</v>
      </c>
      <c r="BT164" s="140">
        <f t="shared" si="247"/>
        <v>-30430</v>
      </c>
      <c r="BU164" s="140">
        <f t="shared" si="247"/>
        <v>-30250</v>
      </c>
      <c r="BV164" s="140">
        <f t="shared" si="247"/>
        <v>-30070</v>
      </c>
      <c r="BW164" s="140">
        <f t="shared" si="247"/>
        <v>-29891</v>
      </c>
      <c r="BX164" s="140">
        <f t="shared" si="247"/>
        <v>-29711</v>
      </c>
      <c r="BY164" s="140">
        <f t="shared" si="247"/>
        <v>-29531</v>
      </c>
      <c r="BZ164" s="140">
        <f t="shared" si="247"/>
        <v>-29351</v>
      </c>
      <c r="CA164" s="140">
        <f t="shared" si="247"/>
        <v>-29171</v>
      </c>
      <c r="CB164" s="140">
        <f t="shared" si="247"/>
        <v>-28991</v>
      </c>
      <c r="CC164" s="17"/>
      <c r="CD164" s="17"/>
      <c r="CE164" s="17"/>
    </row>
    <row r="165" spans="1:83">
      <c r="A165" s="16" t="s">
        <v>41</v>
      </c>
      <c r="B165" s="140">
        <f>B164/360</f>
        <v>-119.50555555555556</v>
      </c>
      <c r="C165" s="140">
        <f t="shared" ref="C165:BN165" si="248">C164/360</f>
        <v>-119.00555555555556</v>
      </c>
      <c r="D165" s="140">
        <f t="shared" si="248"/>
        <v>-118.50555555555556</v>
      </c>
      <c r="E165" s="140">
        <f t="shared" si="248"/>
        <v>-118.00555555555556</v>
      </c>
      <c r="F165" s="140">
        <f t="shared" si="248"/>
        <v>-117.50555555555556</v>
      </c>
      <c r="G165" s="140">
        <f t="shared" si="248"/>
        <v>-117.00555555555556</v>
      </c>
      <c r="H165" s="140">
        <f t="shared" si="248"/>
        <v>-116.50555555555556</v>
      </c>
      <c r="I165" s="140">
        <f t="shared" si="248"/>
        <v>-116.00555555555556</v>
      </c>
      <c r="J165" s="140">
        <f t="shared" si="248"/>
        <v>-115.50555555555556</v>
      </c>
      <c r="K165" s="140">
        <f t="shared" si="248"/>
        <v>-115.00833333333334</v>
      </c>
      <c r="L165" s="140">
        <f t="shared" si="248"/>
        <v>-114.50833333333334</v>
      </c>
      <c r="M165" s="140">
        <f t="shared" si="248"/>
        <v>-114.00833333333334</v>
      </c>
      <c r="N165" s="140">
        <f t="shared" si="248"/>
        <v>-113.50833333333334</v>
      </c>
      <c r="O165" s="140">
        <f t="shared" si="248"/>
        <v>-113.00833333333334</v>
      </c>
      <c r="P165" s="140">
        <f t="shared" si="248"/>
        <v>-112.50833333333334</v>
      </c>
      <c r="Q165" s="140">
        <f t="shared" si="248"/>
        <v>-112.00833333333334</v>
      </c>
      <c r="R165" s="140">
        <f t="shared" si="248"/>
        <v>-111.50833333333334</v>
      </c>
      <c r="S165" s="140">
        <f t="shared" si="248"/>
        <v>-111.01111111111111</v>
      </c>
      <c r="T165" s="140">
        <f t="shared" si="248"/>
        <v>-110.51111111111111</v>
      </c>
      <c r="U165" s="140">
        <f t="shared" si="248"/>
        <v>-110.01111111111111</v>
      </c>
      <c r="V165" s="140">
        <f t="shared" si="248"/>
        <v>-109.51111111111111</v>
      </c>
      <c r="W165" s="140">
        <f t="shared" si="248"/>
        <v>-109.01111111111111</v>
      </c>
      <c r="X165" s="140">
        <f t="shared" si="248"/>
        <v>-108.51111111111111</v>
      </c>
      <c r="Y165" s="140">
        <f t="shared" si="248"/>
        <v>-108.01111111111111</v>
      </c>
      <c r="Z165" s="140">
        <f t="shared" si="248"/>
        <v>-107.51111111111111</v>
      </c>
      <c r="AA165" s="140">
        <f t="shared" si="248"/>
        <v>-107.01388888888889</v>
      </c>
      <c r="AB165" s="140">
        <f t="shared" si="248"/>
        <v>-106.51388888888889</v>
      </c>
      <c r="AC165" s="140">
        <f t="shared" si="248"/>
        <v>-106.01388888888889</v>
      </c>
      <c r="AD165" s="140">
        <f t="shared" si="248"/>
        <v>-105.51388888888889</v>
      </c>
      <c r="AE165" s="140">
        <f t="shared" si="248"/>
        <v>-105.01388888888889</v>
      </c>
      <c r="AF165" s="140">
        <f t="shared" si="248"/>
        <v>-104.51388888888889</v>
      </c>
      <c r="AG165" s="140">
        <f t="shared" si="248"/>
        <v>-104.01388888888889</v>
      </c>
      <c r="AH165" s="140">
        <f t="shared" si="248"/>
        <v>-103.51388888888889</v>
      </c>
      <c r="AI165" s="140">
        <f t="shared" si="248"/>
        <v>-103.01666666666667</v>
      </c>
      <c r="AJ165" s="140">
        <f t="shared" si="248"/>
        <v>-102.51666666666667</v>
      </c>
      <c r="AK165" s="140">
        <f t="shared" si="248"/>
        <v>-102.01666666666667</v>
      </c>
      <c r="AL165" s="140">
        <f t="shared" si="248"/>
        <v>-101.51666666666667</v>
      </c>
      <c r="AM165" s="140">
        <f t="shared" si="248"/>
        <v>-101.01666666666667</v>
      </c>
      <c r="AN165" s="140">
        <f t="shared" si="248"/>
        <v>-100.51666666666667</v>
      </c>
      <c r="AO165" s="140">
        <f t="shared" si="248"/>
        <v>-100.01666666666667</v>
      </c>
      <c r="AP165" s="140">
        <f t="shared" si="248"/>
        <v>-99.516666666666666</v>
      </c>
      <c r="AQ165" s="140">
        <f t="shared" si="248"/>
        <v>-99.019444444444446</v>
      </c>
      <c r="AR165" s="140">
        <f t="shared" si="248"/>
        <v>-98.519444444444446</v>
      </c>
      <c r="AS165" s="140">
        <f t="shared" si="248"/>
        <v>-98.019444444444446</v>
      </c>
      <c r="AT165" s="140">
        <f t="shared" si="248"/>
        <v>-97.519444444444446</v>
      </c>
      <c r="AU165" s="140">
        <f t="shared" si="248"/>
        <v>-97.019444444444446</v>
      </c>
      <c r="AV165" s="140">
        <f t="shared" si="248"/>
        <v>-96.519444444444446</v>
      </c>
      <c r="AW165" s="140">
        <f t="shared" si="248"/>
        <v>-96.019444444444446</v>
      </c>
      <c r="AX165" s="140">
        <f t="shared" si="248"/>
        <v>-95.519444444444446</v>
      </c>
      <c r="AY165" s="140">
        <f t="shared" si="248"/>
        <v>-95.022222222222226</v>
      </c>
      <c r="AZ165" s="140">
        <f t="shared" si="248"/>
        <v>-94.522222222222226</v>
      </c>
      <c r="BA165" s="140">
        <f t="shared" si="248"/>
        <v>-94.022222222222226</v>
      </c>
      <c r="BB165" s="140">
        <f t="shared" si="248"/>
        <v>-93.522222222222226</v>
      </c>
      <c r="BC165" s="140">
        <f t="shared" si="248"/>
        <v>-93.022222222222226</v>
      </c>
      <c r="BD165" s="140">
        <f t="shared" si="248"/>
        <v>-92.522222222222226</v>
      </c>
      <c r="BE165" s="140">
        <f t="shared" si="248"/>
        <v>-92.022222222222226</v>
      </c>
      <c r="BF165" s="140">
        <f t="shared" si="248"/>
        <v>-91.522222222222226</v>
      </c>
      <c r="BG165" s="140">
        <f t="shared" si="248"/>
        <v>-91.025000000000006</v>
      </c>
      <c r="BH165" s="140">
        <f t="shared" si="248"/>
        <v>-90.525000000000006</v>
      </c>
      <c r="BI165" s="140">
        <f t="shared" si="248"/>
        <v>-90.025000000000006</v>
      </c>
      <c r="BJ165" s="140">
        <f t="shared" si="248"/>
        <v>-89.525000000000006</v>
      </c>
      <c r="BK165" s="140">
        <f t="shared" si="248"/>
        <v>-89.025000000000006</v>
      </c>
      <c r="BL165" s="140">
        <f t="shared" si="248"/>
        <v>-88.525000000000006</v>
      </c>
      <c r="BM165" s="140">
        <f t="shared" si="248"/>
        <v>-88.025000000000006</v>
      </c>
      <c r="BN165" s="140">
        <f t="shared" si="248"/>
        <v>-87.525000000000006</v>
      </c>
      <c r="BO165" s="140">
        <f t="shared" ref="BO165:CB165" si="249">BO164/360</f>
        <v>-87.027777777777771</v>
      </c>
      <c r="BP165" s="140">
        <f t="shared" si="249"/>
        <v>-86.527777777777771</v>
      </c>
      <c r="BQ165" s="140">
        <f t="shared" si="249"/>
        <v>-86.027777777777771</v>
      </c>
      <c r="BR165" s="140">
        <f t="shared" si="249"/>
        <v>-85.527777777777771</v>
      </c>
      <c r="BS165" s="140">
        <f t="shared" si="249"/>
        <v>-85.027777777777771</v>
      </c>
      <c r="BT165" s="140">
        <f t="shared" si="249"/>
        <v>-84.527777777777771</v>
      </c>
      <c r="BU165" s="140">
        <f t="shared" si="249"/>
        <v>-84.027777777777771</v>
      </c>
      <c r="BV165" s="140">
        <f t="shared" si="249"/>
        <v>-83.527777777777771</v>
      </c>
      <c r="BW165" s="140">
        <f t="shared" si="249"/>
        <v>-83.030555555555551</v>
      </c>
      <c r="BX165" s="140">
        <f t="shared" si="249"/>
        <v>-82.530555555555551</v>
      </c>
      <c r="BY165" s="140">
        <f t="shared" si="249"/>
        <v>-82.030555555555551</v>
      </c>
      <c r="BZ165" s="140">
        <f t="shared" si="249"/>
        <v>-81.530555555555551</v>
      </c>
      <c r="CA165" s="140">
        <f t="shared" si="249"/>
        <v>-81.030555555555551</v>
      </c>
      <c r="CB165" s="140">
        <f t="shared" si="249"/>
        <v>-80.530555555555551</v>
      </c>
      <c r="CC165" s="17"/>
      <c r="CD165" s="17"/>
      <c r="CE165" s="17"/>
    </row>
    <row r="166" spans="1:83">
      <c r="A166" s="16" t="s">
        <v>43</v>
      </c>
      <c r="B166" s="140">
        <f>IF(B164&lt;0,0,$B$5+$B$6*((1-EXP(-B165/$B$9))/(B165/$B$9))+$B$7*((1-EXP(-B165/$B$9))/(B165/$B$9)-EXP(-B165/$B$9))+$B$8*((1-EXP(-B165/$B$10))/(B165/$B$10)-EXP(-B165/$B$10)))</f>
        <v>0</v>
      </c>
      <c r="C166" s="140">
        <f t="shared" ref="C166:BN166" si="250">IF(C164&lt;0,0,$B$5+$B$6*((1-EXP(-C165/$B$9))/(C165/$B$9))+$B$7*((1-EXP(-C165/$B$9))/(C165/$B$9)-EXP(-C165/$B$9))+$B$8*((1-EXP(-C165/$B$10))/(C165/$B$10)-EXP(-C165/$B$10)))</f>
        <v>0</v>
      </c>
      <c r="D166" s="140">
        <f t="shared" si="250"/>
        <v>0</v>
      </c>
      <c r="E166" s="140">
        <f t="shared" si="250"/>
        <v>0</v>
      </c>
      <c r="F166" s="140">
        <f t="shared" si="250"/>
        <v>0</v>
      </c>
      <c r="G166" s="140">
        <f t="shared" si="250"/>
        <v>0</v>
      </c>
      <c r="H166" s="140">
        <f t="shared" si="250"/>
        <v>0</v>
      </c>
      <c r="I166" s="140">
        <f t="shared" si="250"/>
        <v>0</v>
      </c>
      <c r="J166" s="140">
        <f t="shared" si="250"/>
        <v>0</v>
      </c>
      <c r="K166" s="140">
        <f t="shared" si="250"/>
        <v>0</v>
      </c>
      <c r="L166" s="140">
        <f t="shared" si="250"/>
        <v>0</v>
      </c>
      <c r="M166" s="140">
        <f t="shared" si="250"/>
        <v>0</v>
      </c>
      <c r="N166" s="140">
        <f t="shared" si="250"/>
        <v>0</v>
      </c>
      <c r="O166" s="140">
        <f t="shared" si="250"/>
        <v>0</v>
      </c>
      <c r="P166" s="140">
        <f t="shared" si="250"/>
        <v>0</v>
      </c>
      <c r="Q166" s="140">
        <f t="shared" si="250"/>
        <v>0</v>
      </c>
      <c r="R166" s="140">
        <f t="shared" si="250"/>
        <v>0</v>
      </c>
      <c r="S166" s="140">
        <f t="shared" si="250"/>
        <v>0</v>
      </c>
      <c r="T166" s="140">
        <f t="shared" si="250"/>
        <v>0</v>
      </c>
      <c r="U166" s="140">
        <f t="shared" si="250"/>
        <v>0</v>
      </c>
      <c r="V166" s="140">
        <f t="shared" si="250"/>
        <v>0</v>
      </c>
      <c r="W166" s="140">
        <f t="shared" si="250"/>
        <v>0</v>
      </c>
      <c r="X166" s="140">
        <f t="shared" si="250"/>
        <v>0</v>
      </c>
      <c r="Y166" s="140">
        <f t="shared" si="250"/>
        <v>0</v>
      </c>
      <c r="Z166" s="140">
        <f t="shared" si="250"/>
        <v>0</v>
      </c>
      <c r="AA166" s="140">
        <f t="shared" si="250"/>
        <v>0</v>
      </c>
      <c r="AB166" s="140">
        <f t="shared" si="250"/>
        <v>0</v>
      </c>
      <c r="AC166" s="140">
        <f t="shared" si="250"/>
        <v>0</v>
      </c>
      <c r="AD166" s="140">
        <f t="shared" si="250"/>
        <v>0</v>
      </c>
      <c r="AE166" s="140">
        <f t="shared" si="250"/>
        <v>0</v>
      </c>
      <c r="AF166" s="140">
        <f t="shared" si="250"/>
        <v>0</v>
      </c>
      <c r="AG166" s="140">
        <f t="shared" si="250"/>
        <v>0</v>
      </c>
      <c r="AH166" s="140">
        <f t="shared" si="250"/>
        <v>0</v>
      </c>
      <c r="AI166" s="140">
        <f t="shared" si="250"/>
        <v>0</v>
      </c>
      <c r="AJ166" s="140">
        <f t="shared" si="250"/>
        <v>0</v>
      </c>
      <c r="AK166" s="140">
        <f t="shared" si="250"/>
        <v>0</v>
      </c>
      <c r="AL166" s="140">
        <f t="shared" si="250"/>
        <v>0</v>
      </c>
      <c r="AM166" s="140">
        <f t="shared" si="250"/>
        <v>0</v>
      </c>
      <c r="AN166" s="140">
        <f t="shared" si="250"/>
        <v>0</v>
      </c>
      <c r="AO166" s="140">
        <f t="shared" si="250"/>
        <v>0</v>
      </c>
      <c r="AP166" s="140">
        <f t="shared" si="250"/>
        <v>0</v>
      </c>
      <c r="AQ166" s="140">
        <f t="shared" si="250"/>
        <v>0</v>
      </c>
      <c r="AR166" s="140">
        <f t="shared" si="250"/>
        <v>0</v>
      </c>
      <c r="AS166" s="140">
        <f t="shared" si="250"/>
        <v>0</v>
      </c>
      <c r="AT166" s="140">
        <f t="shared" si="250"/>
        <v>0</v>
      </c>
      <c r="AU166" s="140">
        <f t="shared" si="250"/>
        <v>0</v>
      </c>
      <c r="AV166" s="140">
        <f t="shared" si="250"/>
        <v>0</v>
      </c>
      <c r="AW166" s="140">
        <f t="shared" si="250"/>
        <v>0</v>
      </c>
      <c r="AX166" s="140">
        <f t="shared" si="250"/>
        <v>0</v>
      </c>
      <c r="AY166" s="140">
        <f t="shared" si="250"/>
        <v>0</v>
      </c>
      <c r="AZ166" s="140">
        <f t="shared" si="250"/>
        <v>0</v>
      </c>
      <c r="BA166" s="140">
        <f t="shared" si="250"/>
        <v>0</v>
      </c>
      <c r="BB166" s="140">
        <f t="shared" si="250"/>
        <v>0</v>
      </c>
      <c r="BC166" s="140">
        <f t="shared" si="250"/>
        <v>0</v>
      </c>
      <c r="BD166" s="140">
        <f t="shared" si="250"/>
        <v>0</v>
      </c>
      <c r="BE166" s="140">
        <f t="shared" si="250"/>
        <v>0</v>
      </c>
      <c r="BF166" s="140">
        <f t="shared" si="250"/>
        <v>0</v>
      </c>
      <c r="BG166" s="140">
        <f t="shared" si="250"/>
        <v>0</v>
      </c>
      <c r="BH166" s="140">
        <f t="shared" si="250"/>
        <v>0</v>
      </c>
      <c r="BI166" s="140">
        <f t="shared" si="250"/>
        <v>0</v>
      </c>
      <c r="BJ166" s="140">
        <f t="shared" si="250"/>
        <v>0</v>
      </c>
      <c r="BK166" s="140">
        <f t="shared" si="250"/>
        <v>0</v>
      </c>
      <c r="BL166" s="140">
        <f t="shared" si="250"/>
        <v>0</v>
      </c>
      <c r="BM166" s="140">
        <f t="shared" si="250"/>
        <v>0</v>
      </c>
      <c r="BN166" s="140">
        <f t="shared" si="250"/>
        <v>0</v>
      </c>
      <c r="BO166" s="140">
        <f t="shared" ref="BO166:CB166" si="251">IF(BO164&lt;0,0,$B$5+$B$6*((1-EXP(-BO165/$B$9))/(BO165/$B$9))+$B$7*((1-EXP(-BO165/$B$9))/(BO165/$B$9)-EXP(-BO165/$B$9))+$B$8*((1-EXP(-BO165/$B$10))/(BO165/$B$10)-EXP(-BO165/$B$10)))</f>
        <v>0</v>
      </c>
      <c r="BP166" s="140">
        <f t="shared" si="251"/>
        <v>0</v>
      </c>
      <c r="BQ166" s="140">
        <f t="shared" si="251"/>
        <v>0</v>
      </c>
      <c r="BR166" s="140">
        <f t="shared" si="251"/>
        <v>0</v>
      </c>
      <c r="BS166" s="140">
        <f t="shared" si="251"/>
        <v>0</v>
      </c>
      <c r="BT166" s="140">
        <f t="shared" si="251"/>
        <v>0</v>
      </c>
      <c r="BU166" s="140">
        <f t="shared" si="251"/>
        <v>0</v>
      </c>
      <c r="BV166" s="140">
        <f t="shared" si="251"/>
        <v>0</v>
      </c>
      <c r="BW166" s="140">
        <f t="shared" si="251"/>
        <v>0</v>
      </c>
      <c r="BX166" s="140">
        <f t="shared" si="251"/>
        <v>0</v>
      </c>
      <c r="BY166" s="140">
        <f t="shared" si="251"/>
        <v>0</v>
      </c>
      <c r="BZ166" s="140">
        <f t="shared" si="251"/>
        <v>0</v>
      </c>
      <c r="CA166" s="140">
        <f t="shared" si="251"/>
        <v>0</v>
      </c>
      <c r="CB166" s="140">
        <f t="shared" si="251"/>
        <v>0</v>
      </c>
      <c r="CC166" s="17"/>
      <c r="CD166" s="17"/>
      <c r="CE166" s="17"/>
    </row>
    <row r="167" spans="1:83">
      <c r="A167" s="16" t="s">
        <v>44</v>
      </c>
      <c r="B167" s="140">
        <f>EXP(-B166*B165)</f>
        <v>1</v>
      </c>
      <c r="C167" s="140">
        <f t="shared" ref="C167:AR167" si="252">EXP(-C166*C165)</f>
        <v>1</v>
      </c>
      <c r="D167" s="140">
        <f t="shared" si="252"/>
        <v>1</v>
      </c>
      <c r="E167" s="140">
        <f t="shared" si="252"/>
        <v>1</v>
      </c>
      <c r="F167" s="140">
        <f t="shared" si="252"/>
        <v>1</v>
      </c>
      <c r="G167" s="140">
        <f t="shared" si="252"/>
        <v>1</v>
      </c>
      <c r="H167" s="140">
        <f t="shared" si="252"/>
        <v>1</v>
      </c>
      <c r="I167" s="140">
        <f t="shared" si="252"/>
        <v>1</v>
      </c>
      <c r="J167" s="140">
        <f t="shared" si="252"/>
        <v>1</v>
      </c>
      <c r="K167" s="140">
        <f t="shared" si="252"/>
        <v>1</v>
      </c>
      <c r="L167" s="140">
        <f t="shared" si="252"/>
        <v>1</v>
      </c>
      <c r="M167" s="140">
        <f t="shared" si="252"/>
        <v>1</v>
      </c>
      <c r="N167" s="140">
        <f t="shared" si="252"/>
        <v>1</v>
      </c>
      <c r="O167" s="140">
        <f t="shared" si="252"/>
        <v>1</v>
      </c>
      <c r="P167" s="140">
        <f t="shared" si="252"/>
        <v>1</v>
      </c>
      <c r="Q167" s="140">
        <f t="shared" si="252"/>
        <v>1</v>
      </c>
      <c r="R167" s="140">
        <f t="shared" si="252"/>
        <v>1</v>
      </c>
      <c r="S167" s="140">
        <f t="shared" si="252"/>
        <v>1</v>
      </c>
      <c r="T167" s="140">
        <f t="shared" si="252"/>
        <v>1</v>
      </c>
      <c r="U167" s="140">
        <f t="shared" si="252"/>
        <v>1</v>
      </c>
      <c r="V167" s="140">
        <f t="shared" si="252"/>
        <v>1</v>
      </c>
      <c r="W167" s="140">
        <f t="shared" si="252"/>
        <v>1</v>
      </c>
      <c r="X167" s="140">
        <f t="shared" si="252"/>
        <v>1</v>
      </c>
      <c r="Y167" s="140">
        <f t="shared" si="252"/>
        <v>1</v>
      </c>
      <c r="Z167" s="140">
        <f t="shared" si="252"/>
        <v>1</v>
      </c>
      <c r="AA167" s="140">
        <f t="shared" si="252"/>
        <v>1</v>
      </c>
      <c r="AB167" s="140">
        <f t="shared" si="252"/>
        <v>1</v>
      </c>
      <c r="AC167" s="140">
        <f t="shared" si="252"/>
        <v>1</v>
      </c>
      <c r="AD167" s="140">
        <f t="shared" si="252"/>
        <v>1</v>
      </c>
      <c r="AE167" s="140">
        <f t="shared" si="252"/>
        <v>1</v>
      </c>
      <c r="AF167" s="140">
        <f t="shared" si="252"/>
        <v>1</v>
      </c>
      <c r="AG167" s="140">
        <f t="shared" si="252"/>
        <v>1</v>
      </c>
      <c r="AH167" s="140">
        <f t="shared" si="252"/>
        <v>1</v>
      </c>
      <c r="AI167" s="140">
        <f t="shared" si="252"/>
        <v>1</v>
      </c>
      <c r="AJ167" s="140">
        <f t="shared" si="252"/>
        <v>1</v>
      </c>
      <c r="AK167" s="140">
        <f t="shared" si="252"/>
        <v>1</v>
      </c>
      <c r="AL167" s="140">
        <f t="shared" si="252"/>
        <v>1</v>
      </c>
      <c r="AM167" s="140">
        <f t="shared" si="252"/>
        <v>1</v>
      </c>
      <c r="AN167" s="140">
        <f t="shared" si="252"/>
        <v>1</v>
      </c>
      <c r="AO167" s="140">
        <f t="shared" si="252"/>
        <v>1</v>
      </c>
      <c r="AP167" s="140">
        <f t="shared" si="252"/>
        <v>1</v>
      </c>
      <c r="AQ167" s="140">
        <f t="shared" si="252"/>
        <v>1</v>
      </c>
      <c r="AR167" s="140">
        <f t="shared" si="252"/>
        <v>1</v>
      </c>
      <c r="AS167" s="140">
        <f>EXP(-AS166*AS165)</f>
        <v>1</v>
      </c>
      <c r="AT167" s="140">
        <f t="shared" ref="AT167:CA167" si="253">EXP(-AT166*AT165)</f>
        <v>1</v>
      </c>
      <c r="AU167" s="140">
        <f t="shared" si="253"/>
        <v>1</v>
      </c>
      <c r="AV167" s="140">
        <f t="shared" si="253"/>
        <v>1</v>
      </c>
      <c r="AW167" s="140">
        <f t="shared" si="253"/>
        <v>1</v>
      </c>
      <c r="AX167" s="140">
        <f t="shared" si="253"/>
        <v>1</v>
      </c>
      <c r="AY167" s="140">
        <f t="shared" si="253"/>
        <v>1</v>
      </c>
      <c r="AZ167" s="140">
        <f t="shared" si="253"/>
        <v>1</v>
      </c>
      <c r="BA167" s="140">
        <f t="shared" si="253"/>
        <v>1</v>
      </c>
      <c r="BB167" s="140">
        <f t="shared" si="253"/>
        <v>1</v>
      </c>
      <c r="BC167" s="140">
        <f t="shared" si="253"/>
        <v>1</v>
      </c>
      <c r="BD167" s="140">
        <f t="shared" si="253"/>
        <v>1</v>
      </c>
      <c r="BE167" s="140">
        <f t="shared" si="253"/>
        <v>1</v>
      </c>
      <c r="BF167" s="140">
        <f t="shared" si="253"/>
        <v>1</v>
      </c>
      <c r="BG167" s="140">
        <f t="shared" si="253"/>
        <v>1</v>
      </c>
      <c r="BH167" s="140">
        <f t="shared" si="253"/>
        <v>1</v>
      </c>
      <c r="BI167" s="140">
        <f t="shared" si="253"/>
        <v>1</v>
      </c>
      <c r="BJ167" s="140">
        <f t="shared" si="253"/>
        <v>1</v>
      </c>
      <c r="BK167" s="140">
        <f t="shared" si="253"/>
        <v>1</v>
      </c>
      <c r="BL167" s="140">
        <f t="shared" si="253"/>
        <v>1</v>
      </c>
      <c r="BM167" s="140">
        <f t="shared" si="253"/>
        <v>1</v>
      </c>
      <c r="BN167" s="140">
        <f t="shared" si="253"/>
        <v>1</v>
      </c>
      <c r="BO167" s="140">
        <f t="shared" si="253"/>
        <v>1</v>
      </c>
      <c r="BP167" s="140">
        <f t="shared" si="253"/>
        <v>1</v>
      </c>
      <c r="BQ167" s="140">
        <f t="shared" si="253"/>
        <v>1</v>
      </c>
      <c r="BR167" s="140">
        <f t="shared" si="253"/>
        <v>1</v>
      </c>
      <c r="BS167" s="140">
        <f t="shared" si="253"/>
        <v>1</v>
      </c>
      <c r="BT167" s="140">
        <f t="shared" si="253"/>
        <v>1</v>
      </c>
      <c r="BU167" s="140">
        <f t="shared" si="253"/>
        <v>1</v>
      </c>
      <c r="BV167" s="140">
        <f t="shared" si="253"/>
        <v>1</v>
      </c>
      <c r="BW167" s="140">
        <f t="shared" si="253"/>
        <v>1</v>
      </c>
      <c r="BX167" s="140">
        <f t="shared" si="253"/>
        <v>1</v>
      </c>
      <c r="BY167" s="140">
        <f t="shared" si="253"/>
        <v>1</v>
      </c>
      <c r="BZ167" s="140">
        <f t="shared" si="253"/>
        <v>1</v>
      </c>
      <c r="CA167" s="140">
        <f t="shared" si="253"/>
        <v>1</v>
      </c>
      <c r="CB167" s="140">
        <f>EXP(-CB166*CB165)</f>
        <v>1</v>
      </c>
      <c r="CC167" s="17"/>
      <c r="CD167" s="17"/>
      <c r="CE167" s="17"/>
    </row>
    <row r="168" spans="1:83">
      <c r="A168" s="17"/>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17"/>
      <c r="CD168" s="17"/>
      <c r="CE168" s="17"/>
    </row>
    <row r="169" spans="1:83">
      <c r="A169" s="16" t="s">
        <v>40</v>
      </c>
      <c r="B169" s="140">
        <f t="shared" ref="B169:BM169" si="254">DAYS360($B$3,B64)</f>
        <v>-43022</v>
      </c>
      <c r="C169" s="140">
        <f t="shared" si="254"/>
        <v>-42842</v>
      </c>
      <c r="D169" s="140">
        <f t="shared" si="254"/>
        <v>-42662</v>
      </c>
      <c r="E169" s="140">
        <f t="shared" si="254"/>
        <v>-42482</v>
      </c>
      <c r="F169" s="140">
        <f t="shared" si="254"/>
        <v>-42302</v>
      </c>
      <c r="G169" s="140">
        <f t="shared" si="254"/>
        <v>-42122</v>
      </c>
      <c r="H169" s="140">
        <f t="shared" si="254"/>
        <v>-41942</v>
      </c>
      <c r="I169" s="140">
        <f t="shared" si="254"/>
        <v>-41762</v>
      </c>
      <c r="J169" s="140">
        <f t="shared" si="254"/>
        <v>-41582</v>
      </c>
      <c r="K169" s="140">
        <f t="shared" si="254"/>
        <v>-41403</v>
      </c>
      <c r="L169" s="140">
        <f t="shared" si="254"/>
        <v>-41223</v>
      </c>
      <c r="M169" s="140">
        <f t="shared" si="254"/>
        <v>-41043</v>
      </c>
      <c r="N169" s="140">
        <f t="shared" si="254"/>
        <v>-40863</v>
      </c>
      <c r="O169" s="140">
        <f t="shared" si="254"/>
        <v>-40683</v>
      </c>
      <c r="P169" s="140">
        <f t="shared" si="254"/>
        <v>-40503</v>
      </c>
      <c r="Q169" s="140">
        <f t="shared" si="254"/>
        <v>-40323</v>
      </c>
      <c r="R169" s="140">
        <f t="shared" si="254"/>
        <v>-40143</v>
      </c>
      <c r="S169" s="140">
        <f t="shared" si="254"/>
        <v>-39964</v>
      </c>
      <c r="T169" s="140">
        <f t="shared" si="254"/>
        <v>-39784</v>
      </c>
      <c r="U169" s="140">
        <f t="shared" si="254"/>
        <v>-39604</v>
      </c>
      <c r="V169" s="140">
        <f t="shared" si="254"/>
        <v>-39424</v>
      </c>
      <c r="W169" s="140">
        <f t="shared" si="254"/>
        <v>-39244</v>
      </c>
      <c r="X169" s="140">
        <f t="shared" si="254"/>
        <v>-39064</v>
      </c>
      <c r="Y169" s="140">
        <f t="shared" si="254"/>
        <v>-38884</v>
      </c>
      <c r="Z169" s="140">
        <f t="shared" si="254"/>
        <v>-38704</v>
      </c>
      <c r="AA169" s="140">
        <f t="shared" si="254"/>
        <v>-38525</v>
      </c>
      <c r="AB169" s="140">
        <f t="shared" si="254"/>
        <v>-38345</v>
      </c>
      <c r="AC169" s="140">
        <f t="shared" si="254"/>
        <v>-38165</v>
      </c>
      <c r="AD169" s="140">
        <f t="shared" si="254"/>
        <v>-37985</v>
      </c>
      <c r="AE169" s="140">
        <f t="shared" si="254"/>
        <v>-37805</v>
      </c>
      <c r="AF169" s="140">
        <f t="shared" si="254"/>
        <v>-37625</v>
      </c>
      <c r="AG169" s="140">
        <f t="shared" si="254"/>
        <v>-37445</v>
      </c>
      <c r="AH169" s="140">
        <f t="shared" si="254"/>
        <v>-37265</v>
      </c>
      <c r="AI169" s="140">
        <f t="shared" si="254"/>
        <v>-37086</v>
      </c>
      <c r="AJ169" s="140">
        <f t="shared" si="254"/>
        <v>-36906</v>
      </c>
      <c r="AK169" s="140">
        <f t="shared" si="254"/>
        <v>-36726</v>
      </c>
      <c r="AL169" s="140">
        <f t="shared" si="254"/>
        <v>-36546</v>
      </c>
      <c r="AM169" s="140">
        <f t="shared" si="254"/>
        <v>-36366</v>
      </c>
      <c r="AN169" s="140">
        <f t="shared" si="254"/>
        <v>-36186</v>
      </c>
      <c r="AO169" s="140">
        <f t="shared" si="254"/>
        <v>-36006</v>
      </c>
      <c r="AP169" s="140">
        <f t="shared" si="254"/>
        <v>-35826</v>
      </c>
      <c r="AQ169" s="140">
        <f t="shared" si="254"/>
        <v>-35647</v>
      </c>
      <c r="AR169" s="140">
        <f t="shared" si="254"/>
        <v>-35467</v>
      </c>
      <c r="AS169" s="140">
        <f t="shared" si="254"/>
        <v>-35287</v>
      </c>
      <c r="AT169" s="140">
        <f t="shared" si="254"/>
        <v>-35107</v>
      </c>
      <c r="AU169" s="140">
        <f t="shared" si="254"/>
        <v>-34927</v>
      </c>
      <c r="AV169" s="140">
        <f t="shared" si="254"/>
        <v>-34747</v>
      </c>
      <c r="AW169" s="140">
        <f t="shared" si="254"/>
        <v>-34567</v>
      </c>
      <c r="AX169" s="140">
        <f t="shared" si="254"/>
        <v>-34387</v>
      </c>
      <c r="AY169" s="140">
        <f t="shared" si="254"/>
        <v>-34208</v>
      </c>
      <c r="AZ169" s="140">
        <f t="shared" si="254"/>
        <v>-34028</v>
      </c>
      <c r="BA169" s="140">
        <f t="shared" si="254"/>
        <v>-33848</v>
      </c>
      <c r="BB169" s="140">
        <f t="shared" si="254"/>
        <v>-33668</v>
      </c>
      <c r="BC169" s="140">
        <f t="shared" si="254"/>
        <v>-33488</v>
      </c>
      <c r="BD169" s="140">
        <f t="shared" si="254"/>
        <v>-33308</v>
      </c>
      <c r="BE169" s="140">
        <f t="shared" si="254"/>
        <v>-33128</v>
      </c>
      <c r="BF169" s="140">
        <f t="shared" si="254"/>
        <v>-32948</v>
      </c>
      <c r="BG169" s="140">
        <f t="shared" si="254"/>
        <v>-32769</v>
      </c>
      <c r="BH169" s="140">
        <f t="shared" si="254"/>
        <v>-32589</v>
      </c>
      <c r="BI169" s="140">
        <f t="shared" si="254"/>
        <v>-32409</v>
      </c>
      <c r="BJ169" s="140">
        <f t="shared" si="254"/>
        <v>-32229</v>
      </c>
      <c r="BK169" s="140">
        <f t="shared" si="254"/>
        <v>-32049</v>
      </c>
      <c r="BL169" s="140">
        <f t="shared" si="254"/>
        <v>-31869</v>
      </c>
      <c r="BM169" s="140">
        <f t="shared" si="254"/>
        <v>-31689</v>
      </c>
      <c r="BN169" s="140">
        <f t="shared" ref="BN169:CB169" si="255">DAYS360($B$3,BN64)</f>
        <v>-31509</v>
      </c>
      <c r="BO169" s="140">
        <f t="shared" si="255"/>
        <v>-31330</v>
      </c>
      <c r="BP169" s="140">
        <f t="shared" si="255"/>
        <v>-31150</v>
      </c>
      <c r="BQ169" s="140">
        <f t="shared" si="255"/>
        <v>-30970</v>
      </c>
      <c r="BR169" s="140">
        <f t="shared" si="255"/>
        <v>-30790</v>
      </c>
      <c r="BS169" s="140">
        <f t="shared" si="255"/>
        <v>-30610</v>
      </c>
      <c r="BT169" s="140">
        <f t="shared" si="255"/>
        <v>-30430</v>
      </c>
      <c r="BU169" s="140">
        <f t="shared" si="255"/>
        <v>-30250</v>
      </c>
      <c r="BV169" s="140">
        <f t="shared" si="255"/>
        <v>-30070</v>
      </c>
      <c r="BW169" s="140">
        <f t="shared" si="255"/>
        <v>-29891</v>
      </c>
      <c r="BX169" s="140">
        <f t="shared" si="255"/>
        <v>-29711</v>
      </c>
      <c r="BY169" s="140">
        <f t="shared" si="255"/>
        <v>-29531</v>
      </c>
      <c r="BZ169" s="140">
        <f t="shared" si="255"/>
        <v>-29351</v>
      </c>
      <c r="CA169" s="140">
        <f t="shared" si="255"/>
        <v>-29171</v>
      </c>
      <c r="CB169" s="140">
        <f t="shared" si="255"/>
        <v>-28991</v>
      </c>
      <c r="CC169" s="17"/>
      <c r="CD169" s="17"/>
      <c r="CE169" s="17"/>
    </row>
    <row r="170" spans="1:83">
      <c r="A170" s="16" t="s">
        <v>41</v>
      </c>
      <c r="B170" s="140">
        <f>B169/360</f>
        <v>-119.50555555555556</v>
      </c>
      <c r="C170" s="140">
        <f t="shared" ref="C170:BN170" si="256">C169/360</f>
        <v>-119.00555555555556</v>
      </c>
      <c r="D170" s="140">
        <f t="shared" si="256"/>
        <v>-118.50555555555556</v>
      </c>
      <c r="E170" s="140">
        <f t="shared" si="256"/>
        <v>-118.00555555555556</v>
      </c>
      <c r="F170" s="140">
        <f t="shared" si="256"/>
        <v>-117.50555555555556</v>
      </c>
      <c r="G170" s="140">
        <f t="shared" si="256"/>
        <v>-117.00555555555556</v>
      </c>
      <c r="H170" s="140">
        <f t="shared" si="256"/>
        <v>-116.50555555555556</v>
      </c>
      <c r="I170" s="140">
        <f t="shared" si="256"/>
        <v>-116.00555555555556</v>
      </c>
      <c r="J170" s="140">
        <f t="shared" si="256"/>
        <v>-115.50555555555556</v>
      </c>
      <c r="K170" s="140">
        <f t="shared" si="256"/>
        <v>-115.00833333333334</v>
      </c>
      <c r="L170" s="140">
        <f t="shared" si="256"/>
        <v>-114.50833333333334</v>
      </c>
      <c r="M170" s="140">
        <f t="shared" si="256"/>
        <v>-114.00833333333334</v>
      </c>
      <c r="N170" s="140">
        <f t="shared" si="256"/>
        <v>-113.50833333333334</v>
      </c>
      <c r="O170" s="140">
        <f t="shared" si="256"/>
        <v>-113.00833333333334</v>
      </c>
      <c r="P170" s="140">
        <f t="shared" si="256"/>
        <v>-112.50833333333334</v>
      </c>
      <c r="Q170" s="140">
        <f t="shared" si="256"/>
        <v>-112.00833333333334</v>
      </c>
      <c r="R170" s="140">
        <f t="shared" si="256"/>
        <v>-111.50833333333334</v>
      </c>
      <c r="S170" s="140">
        <f t="shared" si="256"/>
        <v>-111.01111111111111</v>
      </c>
      <c r="T170" s="140">
        <f t="shared" si="256"/>
        <v>-110.51111111111111</v>
      </c>
      <c r="U170" s="140">
        <f t="shared" si="256"/>
        <v>-110.01111111111111</v>
      </c>
      <c r="V170" s="140">
        <f t="shared" si="256"/>
        <v>-109.51111111111111</v>
      </c>
      <c r="W170" s="140">
        <f t="shared" si="256"/>
        <v>-109.01111111111111</v>
      </c>
      <c r="X170" s="140">
        <f t="shared" si="256"/>
        <v>-108.51111111111111</v>
      </c>
      <c r="Y170" s="140">
        <f t="shared" si="256"/>
        <v>-108.01111111111111</v>
      </c>
      <c r="Z170" s="140">
        <f t="shared" si="256"/>
        <v>-107.51111111111111</v>
      </c>
      <c r="AA170" s="140">
        <f t="shared" si="256"/>
        <v>-107.01388888888889</v>
      </c>
      <c r="AB170" s="140">
        <f t="shared" si="256"/>
        <v>-106.51388888888889</v>
      </c>
      <c r="AC170" s="140">
        <f t="shared" si="256"/>
        <v>-106.01388888888889</v>
      </c>
      <c r="AD170" s="140">
        <f t="shared" si="256"/>
        <v>-105.51388888888889</v>
      </c>
      <c r="AE170" s="140">
        <f t="shared" si="256"/>
        <v>-105.01388888888889</v>
      </c>
      <c r="AF170" s="140">
        <f t="shared" si="256"/>
        <v>-104.51388888888889</v>
      </c>
      <c r="AG170" s="140">
        <f t="shared" si="256"/>
        <v>-104.01388888888889</v>
      </c>
      <c r="AH170" s="140">
        <f t="shared" si="256"/>
        <v>-103.51388888888889</v>
      </c>
      <c r="AI170" s="140">
        <f t="shared" si="256"/>
        <v>-103.01666666666667</v>
      </c>
      <c r="AJ170" s="140">
        <f t="shared" si="256"/>
        <v>-102.51666666666667</v>
      </c>
      <c r="AK170" s="140">
        <f t="shared" si="256"/>
        <v>-102.01666666666667</v>
      </c>
      <c r="AL170" s="140">
        <f t="shared" si="256"/>
        <v>-101.51666666666667</v>
      </c>
      <c r="AM170" s="140">
        <f t="shared" si="256"/>
        <v>-101.01666666666667</v>
      </c>
      <c r="AN170" s="140">
        <f t="shared" si="256"/>
        <v>-100.51666666666667</v>
      </c>
      <c r="AO170" s="140">
        <f t="shared" si="256"/>
        <v>-100.01666666666667</v>
      </c>
      <c r="AP170" s="140">
        <f t="shared" si="256"/>
        <v>-99.516666666666666</v>
      </c>
      <c r="AQ170" s="140">
        <f t="shared" si="256"/>
        <v>-99.019444444444446</v>
      </c>
      <c r="AR170" s="140">
        <f t="shared" si="256"/>
        <v>-98.519444444444446</v>
      </c>
      <c r="AS170" s="140">
        <f t="shared" si="256"/>
        <v>-98.019444444444446</v>
      </c>
      <c r="AT170" s="140">
        <f t="shared" si="256"/>
        <v>-97.519444444444446</v>
      </c>
      <c r="AU170" s="140">
        <f t="shared" si="256"/>
        <v>-97.019444444444446</v>
      </c>
      <c r="AV170" s="140">
        <f t="shared" si="256"/>
        <v>-96.519444444444446</v>
      </c>
      <c r="AW170" s="140">
        <f t="shared" si="256"/>
        <v>-96.019444444444446</v>
      </c>
      <c r="AX170" s="140">
        <f t="shared" si="256"/>
        <v>-95.519444444444446</v>
      </c>
      <c r="AY170" s="140">
        <f t="shared" si="256"/>
        <v>-95.022222222222226</v>
      </c>
      <c r="AZ170" s="140">
        <f t="shared" si="256"/>
        <v>-94.522222222222226</v>
      </c>
      <c r="BA170" s="140">
        <f t="shared" si="256"/>
        <v>-94.022222222222226</v>
      </c>
      <c r="BB170" s="140">
        <f t="shared" si="256"/>
        <v>-93.522222222222226</v>
      </c>
      <c r="BC170" s="140">
        <f t="shared" si="256"/>
        <v>-93.022222222222226</v>
      </c>
      <c r="BD170" s="140">
        <f t="shared" si="256"/>
        <v>-92.522222222222226</v>
      </c>
      <c r="BE170" s="140">
        <f t="shared" si="256"/>
        <v>-92.022222222222226</v>
      </c>
      <c r="BF170" s="140">
        <f t="shared" si="256"/>
        <v>-91.522222222222226</v>
      </c>
      <c r="BG170" s="140">
        <f t="shared" si="256"/>
        <v>-91.025000000000006</v>
      </c>
      <c r="BH170" s="140">
        <f t="shared" si="256"/>
        <v>-90.525000000000006</v>
      </c>
      <c r="BI170" s="140">
        <f t="shared" si="256"/>
        <v>-90.025000000000006</v>
      </c>
      <c r="BJ170" s="140">
        <f t="shared" si="256"/>
        <v>-89.525000000000006</v>
      </c>
      <c r="BK170" s="140">
        <f t="shared" si="256"/>
        <v>-89.025000000000006</v>
      </c>
      <c r="BL170" s="140">
        <f t="shared" si="256"/>
        <v>-88.525000000000006</v>
      </c>
      <c r="BM170" s="140">
        <f t="shared" si="256"/>
        <v>-88.025000000000006</v>
      </c>
      <c r="BN170" s="140">
        <f t="shared" si="256"/>
        <v>-87.525000000000006</v>
      </c>
      <c r="BO170" s="140">
        <f t="shared" ref="BO170:CB170" si="257">BO169/360</f>
        <v>-87.027777777777771</v>
      </c>
      <c r="BP170" s="140">
        <f t="shared" si="257"/>
        <v>-86.527777777777771</v>
      </c>
      <c r="BQ170" s="140">
        <f t="shared" si="257"/>
        <v>-86.027777777777771</v>
      </c>
      <c r="BR170" s="140">
        <f t="shared" si="257"/>
        <v>-85.527777777777771</v>
      </c>
      <c r="BS170" s="140">
        <f t="shared" si="257"/>
        <v>-85.027777777777771</v>
      </c>
      <c r="BT170" s="140">
        <f t="shared" si="257"/>
        <v>-84.527777777777771</v>
      </c>
      <c r="BU170" s="140">
        <f t="shared" si="257"/>
        <v>-84.027777777777771</v>
      </c>
      <c r="BV170" s="140">
        <f t="shared" si="257"/>
        <v>-83.527777777777771</v>
      </c>
      <c r="BW170" s="140">
        <f t="shared" si="257"/>
        <v>-83.030555555555551</v>
      </c>
      <c r="BX170" s="140">
        <f t="shared" si="257"/>
        <v>-82.530555555555551</v>
      </c>
      <c r="BY170" s="140">
        <f t="shared" si="257"/>
        <v>-82.030555555555551</v>
      </c>
      <c r="BZ170" s="140">
        <f t="shared" si="257"/>
        <v>-81.530555555555551</v>
      </c>
      <c r="CA170" s="140">
        <f t="shared" si="257"/>
        <v>-81.030555555555551</v>
      </c>
      <c r="CB170" s="140">
        <f t="shared" si="257"/>
        <v>-80.530555555555551</v>
      </c>
      <c r="CC170" s="17"/>
      <c r="CD170" s="17"/>
      <c r="CE170" s="17"/>
    </row>
    <row r="171" spans="1:83">
      <c r="A171" s="16" t="s">
        <v>43</v>
      </c>
      <c r="B171" s="140">
        <f>IF(B169&lt;0,0,$B$5+$B$6*((1-EXP(-B170/$B$9))/(B170/$B$9))+$B$7*((1-EXP(-B170/$B$9))/(B170/$B$9)-EXP(-B170/$B$9))+$B$8*((1-EXP(-B170/$B$10))/(B170/$B$10)-EXP(-B170/$B$10)))</f>
        <v>0</v>
      </c>
      <c r="C171" s="140">
        <f t="shared" ref="C171:BN171" si="258">IF(C169&lt;0,0,$B$5+$B$6*((1-EXP(-C170/$B$9))/(C170/$B$9))+$B$7*((1-EXP(-C170/$B$9))/(C170/$B$9)-EXP(-C170/$B$9))+$B$8*((1-EXP(-C170/$B$10))/(C170/$B$10)-EXP(-C170/$B$10)))</f>
        <v>0</v>
      </c>
      <c r="D171" s="140">
        <f t="shared" si="258"/>
        <v>0</v>
      </c>
      <c r="E171" s="140">
        <f t="shared" si="258"/>
        <v>0</v>
      </c>
      <c r="F171" s="140">
        <f t="shared" si="258"/>
        <v>0</v>
      </c>
      <c r="G171" s="140">
        <f t="shared" si="258"/>
        <v>0</v>
      </c>
      <c r="H171" s="140">
        <f t="shared" si="258"/>
        <v>0</v>
      </c>
      <c r="I171" s="140">
        <f t="shared" si="258"/>
        <v>0</v>
      </c>
      <c r="J171" s="140">
        <f t="shared" si="258"/>
        <v>0</v>
      </c>
      <c r="K171" s="140">
        <f t="shared" si="258"/>
        <v>0</v>
      </c>
      <c r="L171" s="140">
        <f t="shared" si="258"/>
        <v>0</v>
      </c>
      <c r="M171" s="140">
        <f t="shared" si="258"/>
        <v>0</v>
      </c>
      <c r="N171" s="140">
        <f t="shared" si="258"/>
        <v>0</v>
      </c>
      <c r="O171" s="140">
        <f t="shared" si="258"/>
        <v>0</v>
      </c>
      <c r="P171" s="140">
        <f t="shared" si="258"/>
        <v>0</v>
      </c>
      <c r="Q171" s="140">
        <f t="shared" si="258"/>
        <v>0</v>
      </c>
      <c r="R171" s="140">
        <f t="shared" si="258"/>
        <v>0</v>
      </c>
      <c r="S171" s="140">
        <f t="shared" si="258"/>
        <v>0</v>
      </c>
      <c r="T171" s="140">
        <f t="shared" si="258"/>
        <v>0</v>
      </c>
      <c r="U171" s="140">
        <f t="shared" si="258"/>
        <v>0</v>
      </c>
      <c r="V171" s="140">
        <f t="shared" si="258"/>
        <v>0</v>
      </c>
      <c r="W171" s="140">
        <f t="shared" si="258"/>
        <v>0</v>
      </c>
      <c r="X171" s="140">
        <f t="shared" si="258"/>
        <v>0</v>
      </c>
      <c r="Y171" s="140">
        <f t="shared" si="258"/>
        <v>0</v>
      </c>
      <c r="Z171" s="140">
        <f t="shared" si="258"/>
        <v>0</v>
      </c>
      <c r="AA171" s="140">
        <f t="shared" si="258"/>
        <v>0</v>
      </c>
      <c r="AB171" s="140">
        <f t="shared" si="258"/>
        <v>0</v>
      </c>
      <c r="AC171" s="140">
        <f t="shared" si="258"/>
        <v>0</v>
      </c>
      <c r="AD171" s="140">
        <f t="shared" si="258"/>
        <v>0</v>
      </c>
      <c r="AE171" s="140">
        <f t="shared" si="258"/>
        <v>0</v>
      </c>
      <c r="AF171" s="140">
        <f t="shared" si="258"/>
        <v>0</v>
      </c>
      <c r="AG171" s="140">
        <f t="shared" si="258"/>
        <v>0</v>
      </c>
      <c r="AH171" s="140">
        <f t="shared" si="258"/>
        <v>0</v>
      </c>
      <c r="AI171" s="140">
        <f t="shared" si="258"/>
        <v>0</v>
      </c>
      <c r="AJ171" s="140">
        <f t="shared" si="258"/>
        <v>0</v>
      </c>
      <c r="AK171" s="140">
        <f t="shared" si="258"/>
        <v>0</v>
      </c>
      <c r="AL171" s="140">
        <f t="shared" si="258"/>
        <v>0</v>
      </c>
      <c r="AM171" s="140">
        <f t="shared" si="258"/>
        <v>0</v>
      </c>
      <c r="AN171" s="140">
        <f t="shared" si="258"/>
        <v>0</v>
      </c>
      <c r="AO171" s="140">
        <f t="shared" si="258"/>
        <v>0</v>
      </c>
      <c r="AP171" s="140">
        <f t="shared" si="258"/>
        <v>0</v>
      </c>
      <c r="AQ171" s="140">
        <f t="shared" si="258"/>
        <v>0</v>
      </c>
      <c r="AR171" s="140">
        <f t="shared" si="258"/>
        <v>0</v>
      </c>
      <c r="AS171" s="140">
        <f t="shared" si="258"/>
        <v>0</v>
      </c>
      <c r="AT171" s="140">
        <f t="shared" si="258"/>
        <v>0</v>
      </c>
      <c r="AU171" s="140">
        <f t="shared" si="258"/>
        <v>0</v>
      </c>
      <c r="AV171" s="140">
        <f t="shared" si="258"/>
        <v>0</v>
      </c>
      <c r="AW171" s="140">
        <f t="shared" si="258"/>
        <v>0</v>
      </c>
      <c r="AX171" s="140">
        <f t="shared" si="258"/>
        <v>0</v>
      </c>
      <c r="AY171" s="140">
        <f t="shared" si="258"/>
        <v>0</v>
      </c>
      <c r="AZ171" s="140">
        <f t="shared" si="258"/>
        <v>0</v>
      </c>
      <c r="BA171" s="140">
        <f t="shared" si="258"/>
        <v>0</v>
      </c>
      <c r="BB171" s="140">
        <f t="shared" si="258"/>
        <v>0</v>
      </c>
      <c r="BC171" s="140">
        <f t="shared" si="258"/>
        <v>0</v>
      </c>
      <c r="BD171" s="140">
        <f t="shared" si="258"/>
        <v>0</v>
      </c>
      <c r="BE171" s="140">
        <f t="shared" si="258"/>
        <v>0</v>
      </c>
      <c r="BF171" s="140">
        <f t="shared" si="258"/>
        <v>0</v>
      </c>
      <c r="BG171" s="140">
        <f t="shared" si="258"/>
        <v>0</v>
      </c>
      <c r="BH171" s="140">
        <f t="shared" si="258"/>
        <v>0</v>
      </c>
      <c r="BI171" s="140">
        <f t="shared" si="258"/>
        <v>0</v>
      </c>
      <c r="BJ171" s="140">
        <f t="shared" si="258"/>
        <v>0</v>
      </c>
      <c r="BK171" s="140">
        <f t="shared" si="258"/>
        <v>0</v>
      </c>
      <c r="BL171" s="140">
        <f t="shared" si="258"/>
        <v>0</v>
      </c>
      <c r="BM171" s="140">
        <f t="shared" si="258"/>
        <v>0</v>
      </c>
      <c r="BN171" s="140">
        <f t="shared" si="258"/>
        <v>0</v>
      </c>
      <c r="BO171" s="140">
        <f t="shared" ref="BO171:CB171" si="259">IF(BO169&lt;0,0,$B$5+$B$6*((1-EXP(-BO170/$B$9))/(BO170/$B$9))+$B$7*((1-EXP(-BO170/$B$9))/(BO170/$B$9)-EXP(-BO170/$B$9))+$B$8*((1-EXP(-BO170/$B$10))/(BO170/$B$10)-EXP(-BO170/$B$10)))</f>
        <v>0</v>
      </c>
      <c r="BP171" s="140">
        <f t="shared" si="259"/>
        <v>0</v>
      </c>
      <c r="BQ171" s="140">
        <f t="shared" si="259"/>
        <v>0</v>
      </c>
      <c r="BR171" s="140">
        <f t="shared" si="259"/>
        <v>0</v>
      </c>
      <c r="BS171" s="140">
        <f t="shared" si="259"/>
        <v>0</v>
      </c>
      <c r="BT171" s="140">
        <f t="shared" si="259"/>
        <v>0</v>
      </c>
      <c r="BU171" s="140">
        <f t="shared" si="259"/>
        <v>0</v>
      </c>
      <c r="BV171" s="140">
        <f t="shared" si="259"/>
        <v>0</v>
      </c>
      <c r="BW171" s="140">
        <f t="shared" si="259"/>
        <v>0</v>
      </c>
      <c r="BX171" s="140">
        <f t="shared" si="259"/>
        <v>0</v>
      </c>
      <c r="BY171" s="140">
        <f t="shared" si="259"/>
        <v>0</v>
      </c>
      <c r="BZ171" s="140">
        <f t="shared" si="259"/>
        <v>0</v>
      </c>
      <c r="CA171" s="140">
        <f t="shared" si="259"/>
        <v>0</v>
      </c>
      <c r="CB171" s="140">
        <f t="shared" si="259"/>
        <v>0</v>
      </c>
      <c r="CC171" s="17"/>
      <c r="CD171" s="17"/>
      <c r="CE171" s="17"/>
    </row>
    <row r="172" spans="1:83">
      <c r="A172" s="16" t="s">
        <v>44</v>
      </c>
      <c r="B172" s="140">
        <f>EXP(-B171*B170)</f>
        <v>1</v>
      </c>
      <c r="C172" s="140">
        <f t="shared" ref="C172:AR172" si="260">EXP(-C171*C170)</f>
        <v>1</v>
      </c>
      <c r="D172" s="140">
        <f t="shared" si="260"/>
        <v>1</v>
      </c>
      <c r="E172" s="140">
        <f t="shared" si="260"/>
        <v>1</v>
      </c>
      <c r="F172" s="140">
        <f t="shared" si="260"/>
        <v>1</v>
      </c>
      <c r="G172" s="140">
        <f t="shared" si="260"/>
        <v>1</v>
      </c>
      <c r="H172" s="140">
        <f t="shared" si="260"/>
        <v>1</v>
      </c>
      <c r="I172" s="140">
        <f t="shared" si="260"/>
        <v>1</v>
      </c>
      <c r="J172" s="140">
        <f t="shared" si="260"/>
        <v>1</v>
      </c>
      <c r="K172" s="140">
        <f t="shared" si="260"/>
        <v>1</v>
      </c>
      <c r="L172" s="140">
        <f t="shared" si="260"/>
        <v>1</v>
      </c>
      <c r="M172" s="140">
        <f t="shared" si="260"/>
        <v>1</v>
      </c>
      <c r="N172" s="140">
        <f t="shared" si="260"/>
        <v>1</v>
      </c>
      <c r="O172" s="140">
        <f t="shared" si="260"/>
        <v>1</v>
      </c>
      <c r="P172" s="140">
        <f t="shared" si="260"/>
        <v>1</v>
      </c>
      <c r="Q172" s="140">
        <f t="shared" si="260"/>
        <v>1</v>
      </c>
      <c r="R172" s="140">
        <f t="shared" si="260"/>
        <v>1</v>
      </c>
      <c r="S172" s="140">
        <f t="shared" si="260"/>
        <v>1</v>
      </c>
      <c r="T172" s="140">
        <f t="shared" si="260"/>
        <v>1</v>
      </c>
      <c r="U172" s="140">
        <f t="shared" si="260"/>
        <v>1</v>
      </c>
      <c r="V172" s="140">
        <f t="shared" si="260"/>
        <v>1</v>
      </c>
      <c r="W172" s="140">
        <f t="shared" si="260"/>
        <v>1</v>
      </c>
      <c r="X172" s="140">
        <f t="shared" si="260"/>
        <v>1</v>
      </c>
      <c r="Y172" s="140">
        <f t="shared" si="260"/>
        <v>1</v>
      </c>
      <c r="Z172" s="140">
        <f t="shared" si="260"/>
        <v>1</v>
      </c>
      <c r="AA172" s="140">
        <f t="shared" si="260"/>
        <v>1</v>
      </c>
      <c r="AB172" s="140">
        <f t="shared" si="260"/>
        <v>1</v>
      </c>
      <c r="AC172" s="140">
        <f t="shared" si="260"/>
        <v>1</v>
      </c>
      <c r="AD172" s="140">
        <f t="shared" si="260"/>
        <v>1</v>
      </c>
      <c r="AE172" s="140">
        <f t="shared" si="260"/>
        <v>1</v>
      </c>
      <c r="AF172" s="140">
        <f t="shared" si="260"/>
        <v>1</v>
      </c>
      <c r="AG172" s="140">
        <f t="shared" si="260"/>
        <v>1</v>
      </c>
      <c r="AH172" s="140">
        <f t="shared" si="260"/>
        <v>1</v>
      </c>
      <c r="AI172" s="140">
        <f t="shared" si="260"/>
        <v>1</v>
      </c>
      <c r="AJ172" s="140">
        <f t="shared" si="260"/>
        <v>1</v>
      </c>
      <c r="AK172" s="140">
        <f t="shared" si="260"/>
        <v>1</v>
      </c>
      <c r="AL172" s="140">
        <f t="shared" si="260"/>
        <v>1</v>
      </c>
      <c r="AM172" s="140">
        <f t="shared" si="260"/>
        <v>1</v>
      </c>
      <c r="AN172" s="140">
        <f t="shared" si="260"/>
        <v>1</v>
      </c>
      <c r="AO172" s="140">
        <f t="shared" si="260"/>
        <v>1</v>
      </c>
      <c r="AP172" s="140">
        <f t="shared" si="260"/>
        <v>1</v>
      </c>
      <c r="AQ172" s="140">
        <f t="shared" si="260"/>
        <v>1</v>
      </c>
      <c r="AR172" s="140">
        <f t="shared" si="260"/>
        <v>1</v>
      </c>
      <c r="AS172" s="140">
        <f>EXP(-AS171*AS170)</f>
        <v>1</v>
      </c>
      <c r="AT172" s="140">
        <f t="shared" ref="AT172:CA172" si="261">EXP(-AT171*AT170)</f>
        <v>1</v>
      </c>
      <c r="AU172" s="140">
        <f t="shared" si="261"/>
        <v>1</v>
      </c>
      <c r="AV172" s="140">
        <f t="shared" si="261"/>
        <v>1</v>
      </c>
      <c r="AW172" s="140">
        <f t="shared" si="261"/>
        <v>1</v>
      </c>
      <c r="AX172" s="140">
        <f t="shared" si="261"/>
        <v>1</v>
      </c>
      <c r="AY172" s="140">
        <f t="shared" si="261"/>
        <v>1</v>
      </c>
      <c r="AZ172" s="140">
        <f t="shared" si="261"/>
        <v>1</v>
      </c>
      <c r="BA172" s="140">
        <f t="shared" si="261"/>
        <v>1</v>
      </c>
      <c r="BB172" s="140">
        <f t="shared" si="261"/>
        <v>1</v>
      </c>
      <c r="BC172" s="140">
        <f t="shared" si="261"/>
        <v>1</v>
      </c>
      <c r="BD172" s="140">
        <f t="shared" si="261"/>
        <v>1</v>
      </c>
      <c r="BE172" s="140">
        <f t="shared" si="261"/>
        <v>1</v>
      </c>
      <c r="BF172" s="140">
        <f t="shared" si="261"/>
        <v>1</v>
      </c>
      <c r="BG172" s="140">
        <f t="shared" si="261"/>
        <v>1</v>
      </c>
      <c r="BH172" s="140">
        <f t="shared" si="261"/>
        <v>1</v>
      </c>
      <c r="BI172" s="140">
        <f t="shared" si="261"/>
        <v>1</v>
      </c>
      <c r="BJ172" s="140">
        <f t="shared" si="261"/>
        <v>1</v>
      </c>
      <c r="BK172" s="140">
        <f t="shared" si="261"/>
        <v>1</v>
      </c>
      <c r="BL172" s="140">
        <f t="shared" si="261"/>
        <v>1</v>
      </c>
      <c r="BM172" s="140">
        <f t="shared" si="261"/>
        <v>1</v>
      </c>
      <c r="BN172" s="140">
        <f t="shared" si="261"/>
        <v>1</v>
      </c>
      <c r="BO172" s="140">
        <f t="shared" si="261"/>
        <v>1</v>
      </c>
      <c r="BP172" s="140">
        <f t="shared" si="261"/>
        <v>1</v>
      </c>
      <c r="BQ172" s="140">
        <f t="shared" si="261"/>
        <v>1</v>
      </c>
      <c r="BR172" s="140">
        <f t="shared" si="261"/>
        <v>1</v>
      </c>
      <c r="BS172" s="140">
        <f t="shared" si="261"/>
        <v>1</v>
      </c>
      <c r="BT172" s="140">
        <f t="shared" si="261"/>
        <v>1</v>
      </c>
      <c r="BU172" s="140">
        <f t="shared" si="261"/>
        <v>1</v>
      </c>
      <c r="BV172" s="140">
        <f t="shared" si="261"/>
        <v>1</v>
      </c>
      <c r="BW172" s="140">
        <f t="shared" si="261"/>
        <v>1</v>
      </c>
      <c r="BX172" s="140">
        <f t="shared" si="261"/>
        <v>1</v>
      </c>
      <c r="BY172" s="140">
        <f t="shared" si="261"/>
        <v>1</v>
      </c>
      <c r="BZ172" s="140">
        <f t="shared" si="261"/>
        <v>1</v>
      </c>
      <c r="CA172" s="140">
        <f t="shared" si="261"/>
        <v>1</v>
      </c>
      <c r="CB172" s="140">
        <f>EXP(-CB171*CB170)</f>
        <v>1</v>
      </c>
      <c r="CC172" s="17"/>
      <c r="CD172" s="17"/>
      <c r="CE172" s="17"/>
    </row>
    <row r="173" spans="1:83">
      <c r="A173" s="17"/>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17"/>
      <c r="CD173" s="17"/>
      <c r="CE173" s="17"/>
    </row>
    <row r="174" spans="1:83">
      <c r="A174" s="16" t="s">
        <v>40</v>
      </c>
      <c r="B174" s="140">
        <f t="shared" ref="B174:BM174" si="262">DAYS360($B$3,B66)</f>
        <v>-43022</v>
      </c>
      <c r="C174" s="140">
        <f t="shared" si="262"/>
        <v>-42842</v>
      </c>
      <c r="D174" s="140">
        <f t="shared" si="262"/>
        <v>-42662</v>
      </c>
      <c r="E174" s="140">
        <f t="shared" si="262"/>
        <v>-42482</v>
      </c>
      <c r="F174" s="140">
        <f t="shared" si="262"/>
        <v>-42302</v>
      </c>
      <c r="G174" s="140">
        <f t="shared" si="262"/>
        <v>-42122</v>
      </c>
      <c r="H174" s="140">
        <f t="shared" si="262"/>
        <v>-41942</v>
      </c>
      <c r="I174" s="140">
        <f t="shared" si="262"/>
        <v>-41762</v>
      </c>
      <c r="J174" s="140">
        <f t="shared" si="262"/>
        <v>-41582</v>
      </c>
      <c r="K174" s="140">
        <f t="shared" si="262"/>
        <v>-41403</v>
      </c>
      <c r="L174" s="140">
        <f t="shared" si="262"/>
        <v>-41223</v>
      </c>
      <c r="M174" s="140">
        <f t="shared" si="262"/>
        <v>-41043</v>
      </c>
      <c r="N174" s="140">
        <f t="shared" si="262"/>
        <v>-40863</v>
      </c>
      <c r="O174" s="140">
        <f t="shared" si="262"/>
        <v>-40683</v>
      </c>
      <c r="P174" s="140">
        <f t="shared" si="262"/>
        <v>-40503</v>
      </c>
      <c r="Q174" s="140">
        <f t="shared" si="262"/>
        <v>-40323</v>
      </c>
      <c r="R174" s="140">
        <f t="shared" si="262"/>
        <v>-40143</v>
      </c>
      <c r="S174" s="140">
        <f t="shared" si="262"/>
        <v>-39964</v>
      </c>
      <c r="T174" s="140">
        <f t="shared" si="262"/>
        <v>-39784</v>
      </c>
      <c r="U174" s="140">
        <f t="shared" si="262"/>
        <v>-39604</v>
      </c>
      <c r="V174" s="140">
        <f t="shared" si="262"/>
        <v>-39424</v>
      </c>
      <c r="W174" s="140">
        <f t="shared" si="262"/>
        <v>-39244</v>
      </c>
      <c r="X174" s="140">
        <f t="shared" si="262"/>
        <v>-39064</v>
      </c>
      <c r="Y174" s="140">
        <f t="shared" si="262"/>
        <v>-38884</v>
      </c>
      <c r="Z174" s="140">
        <f t="shared" si="262"/>
        <v>-38704</v>
      </c>
      <c r="AA174" s="140">
        <f t="shared" si="262"/>
        <v>-38525</v>
      </c>
      <c r="AB174" s="140">
        <f t="shared" si="262"/>
        <v>-38345</v>
      </c>
      <c r="AC174" s="140">
        <f t="shared" si="262"/>
        <v>-38165</v>
      </c>
      <c r="AD174" s="140">
        <f t="shared" si="262"/>
        <v>-37985</v>
      </c>
      <c r="AE174" s="140">
        <f t="shared" si="262"/>
        <v>-37805</v>
      </c>
      <c r="AF174" s="140">
        <f t="shared" si="262"/>
        <v>-37625</v>
      </c>
      <c r="AG174" s="140">
        <f t="shared" si="262"/>
        <v>-37445</v>
      </c>
      <c r="AH174" s="140">
        <f t="shared" si="262"/>
        <v>-37265</v>
      </c>
      <c r="AI174" s="140">
        <f t="shared" si="262"/>
        <v>-37086</v>
      </c>
      <c r="AJ174" s="140">
        <f t="shared" si="262"/>
        <v>-36906</v>
      </c>
      <c r="AK174" s="140">
        <f t="shared" si="262"/>
        <v>-36726</v>
      </c>
      <c r="AL174" s="140">
        <f t="shared" si="262"/>
        <v>-36546</v>
      </c>
      <c r="AM174" s="140">
        <f t="shared" si="262"/>
        <v>-36366</v>
      </c>
      <c r="AN174" s="140">
        <f t="shared" si="262"/>
        <v>-36186</v>
      </c>
      <c r="AO174" s="140">
        <f t="shared" si="262"/>
        <v>-36006</v>
      </c>
      <c r="AP174" s="140">
        <f t="shared" si="262"/>
        <v>-35826</v>
      </c>
      <c r="AQ174" s="140">
        <f t="shared" si="262"/>
        <v>-35647</v>
      </c>
      <c r="AR174" s="140">
        <f t="shared" si="262"/>
        <v>-35467</v>
      </c>
      <c r="AS174" s="140">
        <f t="shared" si="262"/>
        <v>-35287</v>
      </c>
      <c r="AT174" s="140">
        <f t="shared" si="262"/>
        <v>-35107</v>
      </c>
      <c r="AU174" s="140">
        <f t="shared" si="262"/>
        <v>-34927</v>
      </c>
      <c r="AV174" s="140">
        <f t="shared" si="262"/>
        <v>-34747</v>
      </c>
      <c r="AW174" s="140">
        <f t="shared" si="262"/>
        <v>-34567</v>
      </c>
      <c r="AX174" s="140">
        <f t="shared" si="262"/>
        <v>-34387</v>
      </c>
      <c r="AY174" s="140">
        <f t="shared" si="262"/>
        <v>-34208</v>
      </c>
      <c r="AZ174" s="140">
        <f t="shared" si="262"/>
        <v>-34028</v>
      </c>
      <c r="BA174" s="140">
        <f t="shared" si="262"/>
        <v>-33848</v>
      </c>
      <c r="BB174" s="140">
        <f t="shared" si="262"/>
        <v>-33668</v>
      </c>
      <c r="BC174" s="140">
        <f t="shared" si="262"/>
        <v>-33488</v>
      </c>
      <c r="BD174" s="140">
        <f t="shared" si="262"/>
        <v>-33308</v>
      </c>
      <c r="BE174" s="140">
        <f t="shared" si="262"/>
        <v>-33128</v>
      </c>
      <c r="BF174" s="140">
        <f t="shared" si="262"/>
        <v>-32948</v>
      </c>
      <c r="BG174" s="140">
        <f t="shared" si="262"/>
        <v>-32769</v>
      </c>
      <c r="BH174" s="140">
        <f t="shared" si="262"/>
        <v>-32589</v>
      </c>
      <c r="BI174" s="140">
        <f t="shared" si="262"/>
        <v>-32409</v>
      </c>
      <c r="BJ174" s="140">
        <f t="shared" si="262"/>
        <v>-32229</v>
      </c>
      <c r="BK174" s="140">
        <f t="shared" si="262"/>
        <v>-32049</v>
      </c>
      <c r="BL174" s="140">
        <f t="shared" si="262"/>
        <v>-31869</v>
      </c>
      <c r="BM174" s="140">
        <f t="shared" si="262"/>
        <v>-31689</v>
      </c>
      <c r="BN174" s="140">
        <f t="shared" ref="BN174:CB174" si="263">DAYS360($B$3,BN66)</f>
        <v>-31509</v>
      </c>
      <c r="BO174" s="140">
        <f t="shared" si="263"/>
        <v>-31330</v>
      </c>
      <c r="BP174" s="140">
        <f t="shared" si="263"/>
        <v>-31150</v>
      </c>
      <c r="BQ174" s="140">
        <f t="shared" si="263"/>
        <v>-30970</v>
      </c>
      <c r="BR174" s="140">
        <f t="shared" si="263"/>
        <v>-30790</v>
      </c>
      <c r="BS174" s="140">
        <f t="shared" si="263"/>
        <v>-30610</v>
      </c>
      <c r="BT174" s="140">
        <f t="shared" si="263"/>
        <v>-30430</v>
      </c>
      <c r="BU174" s="140">
        <f t="shared" si="263"/>
        <v>-30250</v>
      </c>
      <c r="BV174" s="140">
        <f t="shared" si="263"/>
        <v>-30070</v>
      </c>
      <c r="BW174" s="140">
        <f t="shared" si="263"/>
        <v>-29891</v>
      </c>
      <c r="BX174" s="140">
        <f t="shared" si="263"/>
        <v>-29711</v>
      </c>
      <c r="BY174" s="140">
        <f t="shared" si="263"/>
        <v>-29531</v>
      </c>
      <c r="BZ174" s="140">
        <f t="shared" si="263"/>
        <v>-29351</v>
      </c>
      <c r="CA174" s="140">
        <f t="shared" si="263"/>
        <v>-29171</v>
      </c>
      <c r="CB174" s="140">
        <f t="shared" si="263"/>
        <v>-28991</v>
      </c>
      <c r="CC174" s="17"/>
      <c r="CD174" s="17"/>
      <c r="CE174" s="17"/>
    </row>
    <row r="175" spans="1:83">
      <c r="A175" s="16" t="s">
        <v>41</v>
      </c>
      <c r="B175" s="140">
        <f>B174/360</f>
        <v>-119.50555555555556</v>
      </c>
      <c r="C175" s="140">
        <f t="shared" ref="C175:BN175" si="264">C174/360</f>
        <v>-119.00555555555556</v>
      </c>
      <c r="D175" s="140">
        <f t="shared" si="264"/>
        <v>-118.50555555555556</v>
      </c>
      <c r="E175" s="140">
        <f t="shared" si="264"/>
        <v>-118.00555555555556</v>
      </c>
      <c r="F175" s="140">
        <f t="shared" si="264"/>
        <v>-117.50555555555556</v>
      </c>
      <c r="G175" s="140">
        <f t="shared" si="264"/>
        <v>-117.00555555555556</v>
      </c>
      <c r="H175" s="140">
        <f t="shared" si="264"/>
        <v>-116.50555555555556</v>
      </c>
      <c r="I175" s="140">
        <f t="shared" si="264"/>
        <v>-116.00555555555556</v>
      </c>
      <c r="J175" s="140">
        <f t="shared" si="264"/>
        <v>-115.50555555555556</v>
      </c>
      <c r="K175" s="140">
        <f t="shared" si="264"/>
        <v>-115.00833333333334</v>
      </c>
      <c r="L175" s="140">
        <f t="shared" si="264"/>
        <v>-114.50833333333334</v>
      </c>
      <c r="M175" s="140">
        <f t="shared" si="264"/>
        <v>-114.00833333333334</v>
      </c>
      <c r="N175" s="140">
        <f t="shared" si="264"/>
        <v>-113.50833333333334</v>
      </c>
      <c r="O175" s="140">
        <f t="shared" si="264"/>
        <v>-113.00833333333334</v>
      </c>
      <c r="P175" s="140">
        <f t="shared" si="264"/>
        <v>-112.50833333333334</v>
      </c>
      <c r="Q175" s="140">
        <f t="shared" si="264"/>
        <v>-112.00833333333334</v>
      </c>
      <c r="R175" s="140">
        <f t="shared" si="264"/>
        <v>-111.50833333333334</v>
      </c>
      <c r="S175" s="140">
        <f t="shared" si="264"/>
        <v>-111.01111111111111</v>
      </c>
      <c r="T175" s="140">
        <f t="shared" si="264"/>
        <v>-110.51111111111111</v>
      </c>
      <c r="U175" s="140">
        <f t="shared" si="264"/>
        <v>-110.01111111111111</v>
      </c>
      <c r="V175" s="140">
        <f t="shared" si="264"/>
        <v>-109.51111111111111</v>
      </c>
      <c r="W175" s="140">
        <f t="shared" si="264"/>
        <v>-109.01111111111111</v>
      </c>
      <c r="X175" s="140">
        <f t="shared" si="264"/>
        <v>-108.51111111111111</v>
      </c>
      <c r="Y175" s="140">
        <f t="shared" si="264"/>
        <v>-108.01111111111111</v>
      </c>
      <c r="Z175" s="140">
        <f t="shared" si="264"/>
        <v>-107.51111111111111</v>
      </c>
      <c r="AA175" s="140">
        <f t="shared" si="264"/>
        <v>-107.01388888888889</v>
      </c>
      <c r="AB175" s="140">
        <f t="shared" si="264"/>
        <v>-106.51388888888889</v>
      </c>
      <c r="AC175" s="140">
        <f t="shared" si="264"/>
        <v>-106.01388888888889</v>
      </c>
      <c r="AD175" s="140">
        <f t="shared" si="264"/>
        <v>-105.51388888888889</v>
      </c>
      <c r="AE175" s="140">
        <f t="shared" si="264"/>
        <v>-105.01388888888889</v>
      </c>
      <c r="AF175" s="140">
        <f t="shared" si="264"/>
        <v>-104.51388888888889</v>
      </c>
      <c r="AG175" s="140">
        <f t="shared" si="264"/>
        <v>-104.01388888888889</v>
      </c>
      <c r="AH175" s="140">
        <f t="shared" si="264"/>
        <v>-103.51388888888889</v>
      </c>
      <c r="AI175" s="140">
        <f t="shared" si="264"/>
        <v>-103.01666666666667</v>
      </c>
      <c r="AJ175" s="140">
        <f t="shared" si="264"/>
        <v>-102.51666666666667</v>
      </c>
      <c r="AK175" s="140">
        <f t="shared" si="264"/>
        <v>-102.01666666666667</v>
      </c>
      <c r="AL175" s="140">
        <f t="shared" si="264"/>
        <v>-101.51666666666667</v>
      </c>
      <c r="AM175" s="140">
        <f t="shared" si="264"/>
        <v>-101.01666666666667</v>
      </c>
      <c r="AN175" s="140">
        <f t="shared" si="264"/>
        <v>-100.51666666666667</v>
      </c>
      <c r="AO175" s="140">
        <f t="shared" si="264"/>
        <v>-100.01666666666667</v>
      </c>
      <c r="AP175" s="140">
        <f t="shared" si="264"/>
        <v>-99.516666666666666</v>
      </c>
      <c r="AQ175" s="140">
        <f t="shared" si="264"/>
        <v>-99.019444444444446</v>
      </c>
      <c r="AR175" s="140">
        <f t="shared" si="264"/>
        <v>-98.519444444444446</v>
      </c>
      <c r="AS175" s="140">
        <f t="shared" si="264"/>
        <v>-98.019444444444446</v>
      </c>
      <c r="AT175" s="140">
        <f t="shared" si="264"/>
        <v>-97.519444444444446</v>
      </c>
      <c r="AU175" s="140">
        <f t="shared" si="264"/>
        <v>-97.019444444444446</v>
      </c>
      <c r="AV175" s="140">
        <f t="shared" si="264"/>
        <v>-96.519444444444446</v>
      </c>
      <c r="AW175" s="140">
        <f t="shared" si="264"/>
        <v>-96.019444444444446</v>
      </c>
      <c r="AX175" s="140">
        <f t="shared" si="264"/>
        <v>-95.519444444444446</v>
      </c>
      <c r="AY175" s="140">
        <f t="shared" si="264"/>
        <v>-95.022222222222226</v>
      </c>
      <c r="AZ175" s="140">
        <f t="shared" si="264"/>
        <v>-94.522222222222226</v>
      </c>
      <c r="BA175" s="140">
        <f t="shared" si="264"/>
        <v>-94.022222222222226</v>
      </c>
      <c r="BB175" s="140">
        <f t="shared" si="264"/>
        <v>-93.522222222222226</v>
      </c>
      <c r="BC175" s="140">
        <f t="shared" si="264"/>
        <v>-93.022222222222226</v>
      </c>
      <c r="BD175" s="140">
        <f t="shared" si="264"/>
        <v>-92.522222222222226</v>
      </c>
      <c r="BE175" s="140">
        <f t="shared" si="264"/>
        <v>-92.022222222222226</v>
      </c>
      <c r="BF175" s="140">
        <f t="shared" si="264"/>
        <v>-91.522222222222226</v>
      </c>
      <c r="BG175" s="140">
        <f t="shared" si="264"/>
        <v>-91.025000000000006</v>
      </c>
      <c r="BH175" s="140">
        <f t="shared" si="264"/>
        <v>-90.525000000000006</v>
      </c>
      <c r="BI175" s="140">
        <f t="shared" si="264"/>
        <v>-90.025000000000006</v>
      </c>
      <c r="BJ175" s="140">
        <f t="shared" si="264"/>
        <v>-89.525000000000006</v>
      </c>
      <c r="BK175" s="140">
        <f t="shared" si="264"/>
        <v>-89.025000000000006</v>
      </c>
      <c r="BL175" s="140">
        <f t="shared" si="264"/>
        <v>-88.525000000000006</v>
      </c>
      <c r="BM175" s="140">
        <f t="shared" si="264"/>
        <v>-88.025000000000006</v>
      </c>
      <c r="BN175" s="140">
        <f t="shared" si="264"/>
        <v>-87.525000000000006</v>
      </c>
      <c r="BO175" s="140">
        <f t="shared" ref="BO175:CB175" si="265">BO174/360</f>
        <v>-87.027777777777771</v>
      </c>
      <c r="BP175" s="140">
        <f t="shared" si="265"/>
        <v>-86.527777777777771</v>
      </c>
      <c r="BQ175" s="140">
        <f t="shared" si="265"/>
        <v>-86.027777777777771</v>
      </c>
      <c r="BR175" s="140">
        <f t="shared" si="265"/>
        <v>-85.527777777777771</v>
      </c>
      <c r="BS175" s="140">
        <f t="shared" si="265"/>
        <v>-85.027777777777771</v>
      </c>
      <c r="BT175" s="140">
        <f t="shared" si="265"/>
        <v>-84.527777777777771</v>
      </c>
      <c r="BU175" s="140">
        <f t="shared" si="265"/>
        <v>-84.027777777777771</v>
      </c>
      <c r="BV175" s="140">
        <f t="shared" si="265"/>
        <v>-83.527777777777771</v>
      </c>
      <c r="BW175" s="140">
        <f t="shared" si="265"/>
        <v>-83.030555555555551</v>
      </c>
      <c r="BX175" s="140">
        <f t="shared" si="265"/>
        <v>-82.530555555555551</v>
      </c>
      <c r="BY175" s="140">
        <f t="shared" si="265"/>
        <v>-82.030555555555551</v>
      </c>
      <c r="BZ175" s="140">
        <f t="shared" si="265"/>
        <v>-81.530555555555551</v>
      </c>
      <c r="CA175" s="140">
        <f t="shared" si="265"/>
        <v>-81.030555555555551</v>
      </c>
      <c r="CB175" s="140">
        <f t="shared" si="265"/>
        <v>-80.530555555555551</v>
      </c>
      <c r="CC175" s="17"/>
      <c r="CD175" s="17"/>
      <c r="CE175" s="17"/>
    </row>
    <row r="176" spans="1:83">
      <c r="A176" s="16" t="s">
        <v>43</v>
      </c>
      <c r="B176" s="140">
        <f>IF(B174&lt;0,0,$B$5+$B$6*((1-EXP(-B175/$B$9))/(B175/$B$9))+$B$7*((1-EXP(-B175/$B$9))/(B175/$B$9)-EXP(-B175/$B$9))+$B$8*((1-EXP(-B175/$B$10))/(B175/$B$10)-EXP(-B175/$B$10)))</f>
        <v>0</v>
      </c>
      <c r="C176" s="140">
        <f t="shared" ref="C176:BN176" si="266">IF(C174&lt;0,0,$B$5+$B$6*((1-EXP(-C175/$B$9))/(C175/$B$9))+$B$7*((1-EXP(-C175/$B$9))/(C175/$B$9)-EXP(-C175/$B$9))+$B$8*((1-EXP(-C175/$B$10))/(C175/$B$10)-EXP(-C175/$B$10)))</f>
        <v>0</v>
      </c>
      <c r="D176" s="140">
        <f t="shared" si="266"/>
        <v>0</v>
      </c>
      <c r="E176" s="140">
        <f t="shared" si="266"/>
        <v>0</v>
      </c>
      <c r="F176" s="140">
        <f t="shared" si="266"/>
        <v>0</v>
      </c>
      <c r="G176" s="140">
        <f t="shared" si="266"/>
        <v>0</v>
      </c>
      <c r="H176" s="140">
        <f t="shared" si="266"/>
        <v>0</v>
      </c>
      <c r="I176" s="140">
        <f t="shared" si="266"/>
        <v>0</v>
      </c>
      <c r="J176" s="140">
        <f t="shared" si="266"/>
        <v>0</v>
      </c>
      <c r="K176" s="140">
        <f t="shared" si="266"/>
        <v>0</v>
      </c>
      <c r="L176" s="140">
        <f t="shared" si="266"/>
        <v>0</v>
      </c>
      <c r="M176" s="140">
        <f t="shared" si="266"/>
        <v>0</v>
      </c>
      <c r="N176" s="140">
        <f t="shared" si="266"/>
        <v>0</v>
      </c>
      <c r="O176" s="140">
        <f t="shared" si="266"/>
        <v>0</v>
      </c>
      <c r="P176" s="140">
        <f t="shared" si="266"/>
        <v>0</v>
      </c>
      <c r="Q176" s="140">
        <f t="shared" si="266"/>
        <v>0</v>
      </c>
      <c r="R176" s="140">
        <f t="shared" si="266"/>
        <v>0</v>
      </c>
      <c r="S176" s="140">
        <f t="shared" si="266"/>
        <v>0</v>
      </c>
      <c r="T176" s="140">
        <f t="shared" si="266"/>
        <v>0</v>
      </c>
      <c r="U176" s="140">
        <f t="shared" si="266"/>
        <v>0</v>
      </c>
      <c r="V176" s="140">
        <f t="shared" si="266"/>
        <v>0</v>
      </c>
      <c r="W176" s="140">
        <f t="shared" si="266"/>
        <v>0</v>
      </c>
      <c r="X176" s="140">
        <f t="shared" si="266"/>
        <v>0</v>
      </c>
      <c r="Y176" s="140">
        <f t="shared" si="266"/>
        <v>0</v>
      </c>
      <c r="Z176" s="140">
        <f t="shared" si="266"/>
        <v>0</v>
      </c>
      <c r="AA176" s="140">
        <f t="shared" si="266"/>
        <v>0</v>
      </c>
      <c r="AB176" s="140">
        <f t="shared" si="266"/>
        <v>0</v>
      </c>
      <c r="AC176" s="140">
        <f t="shared" si="266"/>
        <v>0</v>
      </c>
      <c r="AD176" s="140">
        <f t="shared" si="266"/>
        <v>0</v>
      </c>
      <c r="AE176" s="140">
        <f t="shared" si="266"/>
        <v>0</v>
      </c>
      <c r="AF176" s="140">
        <f t="shared" si="266"/>
        <v>0</v>
      </c>
      <c r="AG176" s="140">
        <f t="shared" si="266"/>
        <v>0</v>
      </c>
      <c r="AH176" s="140">
        <f t="shared" si="266"/>
        <v>0</v>
      </c>
      <c r="AI176" s="140">
        <f t="shared" si="266"/>
        <v>0</v>
      </c>
      <c r="AJ176" s="140">
        <f t="shared" si="266"/>
        <v>0</v>
      </c>
      <c r="AK176" s="140">
        <f t="shared" si="266"/>
        <v>0</v>
      </c>
      <c r="AL176" s="140">
        <f t="shared" si="266"/>
        <v>0</v>
      </c>
      <c r="AM176" s="140">
        <f t="shared" si="266"/>
        <v>0</v>
      </c>
      <c r="AN176" s="140">
        <f t="shared" si="266"/>
        <v>0</v>
      </c>
      <c r="AO176" s="140">
        <f t="shared" si="266"/>
        <v>0</v>
      </c>
      <c r="AP176" s="140">
        <f t="shared" si="266"/>
        <v>0</v>
      </c>
      <c r="AQ176" s="140">
        <f t="shared" si="266"/>
        <v>0</v>
      </c>
      <c r="AR176" s="140">
        <f t="shared" si="266"/>
        <v>0</v>
      </c>
      <c r="AS176" s="140">
        <f t="shared" si="266"/>
        <v>0</v>
      </c>
      <c r="AT176" s="140">
        <f t="shared" si="266"/>
        <v>0</v>
      </c>
      <c r="AU176" s="140">
        <f t="shared" si="266"/>
        <v>0</v>
      </c>
      <c r="AV176" s="140">
        <f t="shared" si="266"/>
        <v>0</v>
      </c>
      <c r="AW176" s="140">
        <f t="shared" si="266"/>
        <v>0</v>
      </c>
      <c r="AX176" s="140">
        <f t="shared" si="266"/>
        <v>0</v>
      </c>
      <c r="AY176" s="140">
        <f t="shared" si="266"/>
        <v>0</v>
      </c>
      <c r="AZ176" s="140">
        <f t="shared" si="266"/>
        <v>0</v>
      </c>
      <c r="BA176" s="140">
        <f t="shared" si="266"/>
        <v>0</v>
      </c>
      <c r="BB176" s="140">
        <f t="shared" si="266"/>
        <v>0</v>
      </c>
      <c r="BC176" s="140">
        <f t="shared" si="266"/>
        <v>0</v>
      </c>
      <c r="BD176" s="140">
        <f t="shared" si="266"/>
        <v>0</v>
      </c>
      <c r="BE176" s="140">
        <f t="shared" si="266"/>
        <v>0</v>
      </c>
      <c r="BF176" s="140">
        <f t="shared" si="266"/>
        <v>0</v>
      </c>
      <c r="BG176" s="140">
        <f t="shared" si="266"/>
        <v>0</v>
      </c>
      <c r="BH176" s="140">
        <f t="shared" si="266"/>
        <v>0</v>
      </c>
      <c r="BI176" s="140">
        <f t="shared" si="266"/>
        <v>0</v>
      </c>
      <c r="BJ176" s="140">
        <f t="shared" si="266"/>
        <v>0</v>
      </c>
      <c r="BK176" s="140">
        <f t="shared" si="266"/>
        <v>0</v>
      </c>
      <c r="BL176" s="140">
        <f t="shared" si="266"/>
        <v>0</v>
      </c>
      <c r="BM176" s="140">
        <f t="shared" si="266"/>
        <v>0</v>
      </c>
      <c r="BN176" s="140">
        <f t="shared" si="266"/>
        <v>0</v>
      </c>
      <c r="BO176" s="140">
        <f t="shared" ref="BO176:CB176" si="267">IF(BO174&lt;0,0,$B$5+$B$6*((1-EXP(-BO175/$B$9))/(BO175/$B$9))+$B$7*((1-EXP(-BO175/$B$9))/(BO175/$B$9)-EXP(-BO175/$B$9))+$B$8*((1-EXP(-BO175/$B$10))/(BO175/$B$10)-EXP(-BO175/$B$10)))</f>
        <v>0</v>
      </c>
      <c r="BP176" s="140">
        <f t="shared" si="267"/>
        <v>0</v>
      </c>
      <c r="BQ176" s="140">
        <f t="shared" si="267"/>
        <v>0</v>
      </c>
      <c r="BR176" s="140">
        <f t="shared" si="267"/>
        <v>0</v>
      </c>
      <c r="BS176" s="140">
        <f t="shared" si="267"/>
        <v>0</v>
      </c>
      <c r="BT176" s="140">
        <f t="shared" si="267"/>
        <v>0</v>
      </c>
      <c r="BU176" s="140">
        <f t="shared" si="267"/>
        <v>0</v>
      </c>
      <c r="BV176" s="140">
        <f t="shared" si="267"/>
        <v>0</v>
      </c>
      <c r="BW176" s="140">
        <f t="shared" si="267"/>
        <v>0</v>
      </c>
      <c r="BX176" s="140">
        <f t="shared" si="267"/>
        <v>0</v>
      </c>
      <c r="BY176" s="140">
        <f t="shared" si="267"/>
        <v>0</v>
      </c>
      <c r="BZ176" s="140">
        <f t="shared" si="267"/>
        <v>0</v>
      </c>
      <c r="CA176" s="140">
        <f t="shared" si="267"/>
        <v>0</v>
      </c>
      <c r="CB176" s="140">
        <f t="shared" si="267"/>
        <v>0</v>
      </c>
      <c r="CC176" s="17"/>
      <c r="CD176" s="17"/>
      <c r="CE176" s="17"/>
    </row>
    <row r="177" spans="1:83">
      <c r="A177" s="16" t="s">
        <v>44</v>
      </c>
      <c r="B177" s="140">
        <f>EXP(-B176*B175)</f>
        <v>1</v>
      </c>
      <c r="C177" s="140">
        <f t="shared" ref="C177:AR177" si="268">EXP(-C176*C175)</f>
        <v>1</v>
      </c>
      <c r="D177" s="140">
        <f t="shared" si="268"/>
        <v>1</v>
      </c>
      <c r="E177" s="140">
        <f t="shared" si="268"/>
        <v>1</v>
      </c>
      <c r="F177" s="140">
        <f t="shared" si="268"/>
        <v>1</v>
      </c>
      <c r="G177" s="140">
        <f t="shared" si="268"/>
        <v>1</v>
      </c>
      <c r="H177" s="140">
        <f t="shared" si="268"/>
        <v>1</v>
      </c>
      <c r="I177" s="140">
        <f t="shared" si="268"/>
        <v>1</v>
      </c>
      <c r="J177" s="140">
        <f t="shared" si="268"/>
        <v>1</v>
      </c>
      <c r="K177" s="140">
        <f t="shared" si="268"/>
        <v>1</v>
      </c>
      <c r="L177" s="140">
        <f t="shared" si="268"/>
        <v>1</v>
      </c>
      <c r="M177" s="140">
        <f t="shared" si="268"/>
        <v>1</v>
      </c>
      <c r="N177" s="140">
        <f t="shared" si="268"/>
        <v>1</v>
      </c>
      <c r="O177" s="140">
        <f t="shared" si="268"/>
        <v>1</v>
      </c>
      <c r="P177" s="140">
        <f t="shared" si="268"/>
        <v>1</v>
      </c>
      <c r="Q177" s="140">
        <f t="shared" si="268"/>
        <v>1</v>
      </c>
      <c r="R177" s="140">
        <f t="shared" si="268"/>
        <v>1</v>
      </c>
      <c r="S177" s="140">
        <f t="shared" si="268"/>
        <v>1</v>
      </c>
      <c r="T177" s="140">
        <f t="shared" si="268"/>
        <v>1</v>
      </c>
      <c r="U177" s="140">
        <f t="shared" si="268"/>
        <v>1</v>
      </c>
      <c r="V177" s="140">
        <f t="shared" si="268"/>
        <v>1</v>
      </c>
      <c r="W177" s="140">
        <f t="shared" si="268"/>
        <v>1</v>
      </c>
      <c r="X177" s="140">
        <f t="shared" si="268"/>
        <v>1</v>
      </c>
      <c r="Y177" s="140">
        <f t="shared" si="268"/>
        <v>1</v>
      </c>
      <c r="Z177" s="140">
        <f t="shared" si="268"/>
        <v>1</v>
      </c>
      <c r="AA177" s="140">
        <f t="shared" si="268"/>
        <v>1</v>
      </c>
      <c r="AB177" s="140">
        <f t="shared" si="268"/>
        <v>1</v>
      </c>
      <c r="AC177" s="140">
        <f t="shared" si="268"/>
        <v>1</v>
      </c>
      <c r="AD177" s="140">
        <f t="shared" si="268"/>
        <v>1</v>
      </c>
      <c r="AE177" s="140">
        <f t="shared" si="268"/>
        <v>1</v>
      </c>
      <c r="AF177" s="140">
        <f t="shared" si="268"/>
        <v>1</v>
      </c>
      <c r="AG177" s="140">
        <f t="shared" si="268"/>
        <v>1</v>
      </c>
      <c r="AH177" s="140">
        <f t="shared" si="268"/>
        <v>1</v>
      </c>
      <c r="AI177" s="140">
        <f t="shared" si="268"/>
        <v>1</v>
      </c>
      <c r="AJ177" s="140">
        <f t="shared" si="268"/>
        <v>1</v>
      </c>
      <c r="AK177" s="140">
        <f t="shared" si="268"/>
        <v>1</v>
      </c>
      <c r="AL177" s="140">
        <f t="shared" si="268"/>
        <v>1</v>
      </c>
      <c r="AM177" s="140">
        <f t="shared" si="268"/>
        <v>1</v>
      </c>
      <c r="AN177" s="140">
        <f t="shared" si="268"/>
        <v>1</v>
      </c>
      <c r="AO177" s="140">
        <f t="shared" si="268"/>
        <v>1</v>
      </c>
      <c r="AP177" s="140">
        <f t="shared" si="268"/>
        <v>1</v>
      </c>
      <c r="AQ177" s="140">
        <f t="shared" si="268"/>
        <v>1</v>
      </c>
      <c r="AR177" s="140">
        <f t="shared" si="268"/>
        <v>1</v>
      </c>
      <c r="AS177" s="140">
        <f>EXP(-AS176*AS175)</f>
        <v>1</v>
      </c>
      <c r="AT177" s="140">
        <f t="shared" ref="AT177:CA177" si="269">EXP(-AT176*AT175)</f>
        <v>1</v>
      </c>
      <c r="AU177" s="140">
        <f t="shared" si="269"/>
        <v>1</v>
      </c>
      <c r="AV177" s="140">
        <f t="shared" si="269"/>
        <v>1</v>
      </c>
      <c r="AW177" s="140">
        <f t="shared" si="269"/>
        <v>1</v>
      </c>
      <c r="AX177" s="140">
        <f t="shared" si="269"/>
        <v>1</v>
      </c>
      <c r="AY177" s="140">
        <f t="shared" si="269"/>
        <v>1</v>
      </c>
      <c r="AZ177" s="140">
        <f t="shared" si="269"/>
        <v>1</v>
      </c>
      <c r="BA177" s="140">
        <f t="shared" si="269"/>
        <v>1</v>
      </c>
      <c r="BB177" s="140">
        <f t="shared" si="269"/>
        <v>1</v>
      </c>
      <c r="BC177" s="140">
        <f t="shared" si="269"/>
        <v>1</v>
      </c>
      <c r="BD177" s="140">
        <f t="shared" si="269"/>
        <v>1</v>
      </c>
      <c r="BE177" s="140">
        <f t="shared" si="269"/>
        <v>1</v>
      </c>
      <c r="BF177" s="140">
        <f t="shared" si="269"/>
        <v>1</v>
      </c>
      <c r="BG177" s="140">
        <f t="shared" si="269"/>
        <v>1</v>
      </c>
      <c r="BH177" s="140">
        <f t="shared" si="269"/>
        <v>1</v>
      </c>
      <c r="BI177" s="140">
        <f t="shared" si="269"/>
        <v>1</v>
      </c>
      <c r="BJ177" s="140">
        <f t="shared" si="269"/>
        <v>1</v>
      </c>
      <c r="BK177" s="140">
        <f t="shared" si="269"/>
        <v>1</v>
      </c>
      <c r="BL177" s="140">
        <f t="shared" si="269"/>
        <v>1</v>
      </c>
      <c r="BM177" s="140">
        <f t="shared" si="269"/>
        <v>1</v>
      </c>
      <c r="BN177" s="140">
        <f t="shared" si="269"/>
        <v>1</v>
      </c>
      <c r="BO177" s="140">
        <f t="shared" si="269"/>
        <v>1</v>
      </c>
      <c r="BP177" s="140">
        <f t="shared" si="269"/>
        <v>1</v>
      </c>
      <c r="BQ177" s="140">
        <f t="shared" si="269"/>
        <v>1</v>
      </c>
      <c r="BR177" s="140">
        <f t="shared" si="269"/>
        <v>1</v>
      </c>
      <c r="BS177" s="140">
        <f t="shared" si="269"/>
        <v>1</v>
      </c>
      <c r="BT177" s="140">
        <f t="shared" si="269"/>
        <v>1</v>
      </c>
      <c r="BU177" s="140">
        <f t="shared" si="269"/>
        <v>1</v>
      </c>
      <c r="BV177" s="140">
        <f t="shared" si="269"/>
        <v>1</v>
      </c>
      <c r="BW177" s="140">
        <f t="shared" si="269"/>
        <v>1</v>
      </c>
      <c r="BX177" s="140">
        <f t="shared" si="269"/>
        <v>1</v>
      </c>
      <c r="BY177" s="140">
        <f t="shared" si="269"/>
        <v>1</v>
      </c>
      <c r="BZ177" s="140">
        <f t="shared" si="269"/>
        <v>1</v>
      </c>
      <c r="CA177" s="140">
        <f t="shared" si="269"/>
        <v>1</v>
      </c>
      <c r="CB177" s="140">
        <f>EXP(-CB176*CB175)</f>
        <v>1</v>
      </c>
      <c r="CC177" s="17"/>
      <c r="CD177" s="17"/>
      <c r="CE177" s="17"/>
    </row>
    <row r="178" spans="1:83">
      <c r="A178" s="17"/>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17"/>
      <c r="CD178" s="17"/>
      <c r="CE178" s="17"/>
    </row>
    <row r="179" spans="1:83">
      <c r="A179" s="16" t="s">
        <v>40</v>
      </c>
      <c r="B179" s="140">
        <f t="shared" ref="B179:BM179" si="270">DAYS360($B$3,B68)</f>
        <v>-43022</v>
      </c>
      <c r="C179" s="140">
        <f t="shared" si="270"/>
        <v>-42842</v>
      </c>
      <c r="D179" s="140">
        <f t="shared" si="270"/>
        <v>-42662</v>
      </c>
      <c r="E179" s="140">
        <f t="shared" si="270"/>
        <v>-42482</v>
      </c>
      <c r="F179" s="140">
        <f t="shared" si="270"/>
        <v>-42302</v>
      </c>
      <c r="G179" s="140">
        <f t="shared" si="270"/>
        <v>-42122</v>
      </c>
      <c r="H179" s="140">
        <f t="shared" si="270"/>
        <v>-41942</v>
      </c>
      <c r="I179" s="140">
        <f t="shared" si="270"/>
        <v>-41762</v>
      </c>
      <c r="J179" s="140">
        <f t="shared" si="270"/>
        <v>-41582</v>
      </c>
      <c r="K179" s="140">
        <f t="shared" si="270"/>
        <v>-41403</v>
      </c>
      <c r="L179" s="140">
        <f t="shared" si="270"/>
        <v>-41223</v>
      </c>
      <c r="M179" s="140">
        <f t="shared" si="270"/>
        <v>-41043</v>
      </c>
      <c r="N179" s="140">
        <f t="shared" si="270"/>
        <v>-40863</v>
      </c>
      <c r="O179" s="140">
        <f t="shared" si="270"/>
        <v>-40683</v>
      </c>
      <c r="P179" s="140">
        <f t="shared" si="270"/>
        <v>-40503</v>
      </c>
      <c r="Q179" s="140">
        <f t="shared" si="270"/>
        <v>-40323</v>
      </c>
      <c r="R179" s="140">
        <f t="shared" si="270"/>
        <v>-40143</v>
      </c>
      <c r="S179" s="140">
        <f t="shared" si="270"/>
        <v>-39964</v>
      </c>
      <c r="T179" s="140">
        <f t="shared" si="270"/>
        <v>-39784</v>
      </c>
      <c r="U179" s="140">
        <f t="shared" si="270"/>
        <v>-39604</v>
      </c>
      <c r="V179" s="140">
        <f t="shared" si="270"/>
        <v>-39424</v>
      </c>
      <c r="W179" s="140">
        <f t="shared" si="270"/>
        <v>-39244</v>
      </c>
      <c r="X179" s="140">
        <f t="shared" si="270"/>
        <v>-39064</v>
      </c>
      <c r="Y179" s="140">
        <f t="shared" si="270"/>
        <v>-38884</v>
      </c>
      <c r="Z179" s="140">
        <f t="shared" si="270"/>
        <v>-38704</v>
      </c>
      <c r="AA179" s="140">
        <f t="shared" si="270"/>
        <v>-38525</v>
      </c>
      <c r="AB179" s="140">
        <f t="shared" si="270"/>
        <v>-38345</v>
      </c>
      <c r="AC179" s="140">
        <f t="shared" si="270"/>
        <v>-38165</v>
      </c>
      <c r="AD179" s="140">
        <f t="shared" si="270"/>
        <v>-37985</v>
      </c>
      <c r="AE179" s="140">
        <f t="shared" si="270"/>
        <v>-37805</v>
      </c>
      <c r="AF179" s="140">
        <f t="shared" si="270"/>
        <v>-37625</v>
      </c>
      <c r="AG179" s="140">
        <f t="shared" si="270"/>
        <v>-37445</v>
      </c>
      <c r="AH179" s="140">
        <f t="shared" si="270"/>
        <v>-37265</v>
      </c>
      <c r="AI179" s="140">
        <f t="shared" si="270"/>
        <v>-37086</v>
      </c>
      <c r="AJ179" s="140">
        <f t="shared" si="270"/>
        <v>-36906</v>
      </c>
      <c r="AK179" s="140">
        <f t="shared" si="270"/>
        <v>-36726</v>
      </c>
      <c r="AL179" s="140">
        <f t="shared" si="270"/>
        <v>-36546</v>
      </c>
      <c r="AM179" s="140">
        <f t="shared" si="270"/>
        <v>-36366</v>
      </c>
      <c r="AN179" s="140">
        <f t="shared" si="270"/>
        <v>-36186</v>
      </c>
      <c r="AO179" s="140">
        <f t="shared" si="270"/>
        <v>-36006</v>
      </c>
      <c r="AP179" s="140">
        <f t="shared" si="270"/>
        <v>-35826</v>
      </c>
      <c r="AQ179" s="140">
        <f t="shared" si="270"/>
        <v>-35647</v>
      </c>
      <c r="AR179" s="140">
        <f t="shared" si="270"/>
        <v>-35467</v>
      </c>
      <c r="AS179" s="140">
        <f t="shared" si="270"/>
        <v>-35287</v>
      </c>
      <c r="AT179" s="140">
        <f t="shared" si="270"/>
        <v>-35107</v>
      </c>
      <c r="AU179" s="140">
        <f t="shared" si="270"/>
        <v>-34927</v>
      </c>
      <c r="AV179" s="140">
        <f t="shared" si="270"/>
        <v>-34747</v>
      </c>
      <c r="AW179" s="140">
        <f t="shared" si="270"/>
        <v>-34567</v>
      </c>
      <c r="AX179" s="140">
        <f t="shared" si="270"/>
        <v>-34387</v>
      </c>
      <c r="AY179" s="140">
        <f t="shared" si="270"/>
        <v>-34208</v>
      </c>
      <c r="AZ179" s="140">
        <f t="shared" si="270"/>
        <v>-34028</v>
      </c>
      <c r="BA179" s="140">
        <f t="shared" si="270"/>
        <v>-33848</v>
      </c>
      <c r="BB179" s="140">
        <f t="shared" si="270"/>
        <v>-33668</v>
      </c>
      <c r="BC179" s="140">
        <f t="shared" si="270"/>
        <v>-33488</v>
      </c>
      <c r="BD179" s="140">
        <f t="shared" si="270"/>
        <v>-33308</v>
      </c>
      <c r="BE179" s="140">
        <f t="shared" si="270"/>
        <v>-33128</v>
      </c>
      <c r="BF179" s="140">
        <f t="shared" si="270"/>
        <v>-32948</v>
      </c>
      <c r="BG179" s="140">
        <f t="shared" si="270"/>
        <v>-32769</v>
      </c>
      <c r="BH179" s="140">
        <f t="shared" si="270"/>
        <v>-32589</v>
      </c>
      <c r="BI179" s="140">
        <f t="shared" si="270"/>
        <v>-32409</v>
      </c>
      <c r="BJ179" s="140">
        <f t="shared" si="270"/>
        <v>-32229</v>
      </c>
      <c r="BK179" s="140">
        <f t="shared" si="270"/>
        <v>-32049</v>
      </c>
      <c r="BL179" s="140">
        <f t="shared" si="270"/>
        <v>-31869</v>
      </c>
      <c r="BM179" s="140">
        <f t="shared" si="270"/>
        <v>-31689</v>
      </c>
      <c r="BN179" s="140">
        <f t="shared" ref="BN179:CB179" si="271">DAYS360($B$3,BN68)</f>
        <v>-31509</v>
      </c>
      <c r="BO179" s="140">
        <f t="shared" si="271"/>
        <v>-31330</v>
      </c>
      <c r="BP179" s="140">
        <f t="shared" si="271"/>
        <v>-31150</v>
      </c>
      <c r="BQ179" s="140">
        <f t="shared" si="271"/>
        <v>-30970</v>
      </c>
      <c r="BR179" s="140">
        <f t="shared" si="271"/>
        <v>-30790</v>
      </c>
      <c r="BS179" s="140">
        <f t="shared" si="271"/>
        <v>-30610</v>
      </c>
      <c r="BT179" s="140">
        <f t="shared" si="271"/>
        <v>-30430</v>
      </c>
      <c r="BU179" s="140">
        <f t="shared" si="271"/>
        <v>-30250</v>
      </c>
      <c r="BV179" s="140">
        <f t="shared" si="271"/>
        <v>-30070</v>
      </c>
      <c r="BW179" s="140">
        <f t="shared" si="271"/>
        <v>-29891</v>
      </c>
      <c r="BX179" s="140">
        <f t="shared" si="271"/>
        <v>-29711</v>
      </c>
      <c r="BY179" s="140">
        <f t="shared" si="271"/>
        <v>-29531</v>
      </c>
      <c r="BZ179" s="140">
        <f t="shared" si="271"/>
        <v>-29351</v>
      </c>
      <c r="CA179" s="140">
        <f t="shared" si="271"/>
        <v>-29171</v>
      </c>
      <c r="CB179" s="140">
        <f t="shared" si="271"/>
        <v>-28991</v>
      </c>
      <c r="CC179" s="17"/>
      <c r="CD179" s="17"/>
      <c r="CE179" s="17"/>
    </row>
    <row r="180" spans="1:83">
      <c r="A180" s="16" t="s">
        <v>41</v>
      </c>
      <c r="B180" s="140">
        <f>B179/360</f>
        <v>-119.50555555555556</v>
      </c>
      <c r="C180" s="140">
        <f t="shared" ref="C180:BN180" si="272">C179/360</f>
        <v>-119.00555555555556</v>
      </c>
      <c r="D180" s="140">
        <f t="shared" si="272"/>
        <v>-118.50555555555556</v>
      </c>
      <c r="E180" s="140">
        <f t="shared" si="272"/>
        <v>-118.00555555555556</v>
      </c>
      <c r="F180" s="140">
        <f t="shared" si="272"/>
        <v>-117.50555555555556</v>
      </c>
      <c r="G180" s="140">
        <f t="shared" si="272"/>
        <v>-117.00555555555556</v>
      </c>
      <c r="H180" s="140">
        <f t="shared" si="272"/>
        <v>-116.50555555555556</v>
      </c>
      <c r="I180" s="140">
        <f t="shared" si="272"/>
        <v>-116.00555555555556</v>
      </c>
      <c r="J180" s="140">
        <f t="shared" si="272"/>
        <v>-115.50555555555556</v>
      </c>
      <c r="K180" s="140">
        <f t="shared" si="272"/>
        <v>-115.00833333333334</v>
      </c>
      <c r="L180" s="140">
        <f t="shared" si="272"/>
        <v>-114.50833333333334</v>
      </c>
      <c r="M180" s="140">
        <f t="shared" si="272"/>
        <v>-114.00833333333334</v>
      </c>
      <c r="N180" s="140">
        <f t="shared" si="272"/>
        <v>-113.50833333333334</v>
      </c>
      <c r="O180" s="140">
        <f t="shared" si="272"/>
        <v>-113.00833333333334</v>
      </c>
      <c r="P180" s="140">
        <f t="shared" si="272"/>
        <v>-112.50833333333334</v>
      </c>
      <c r="Q180" s="140">
        <f t="shared" si="272"/>
        <v>-112.00833333333334</v>
      </c>
      <c r="R180" s="140">
        <f t="shared" si="272"/>
        <v>-111.50833333333334</v>
      </c>
      <c r="S180" s="140">
        <f t="shared" si="272"/>
        <v>-111.01111111111111</v>
      </c>
      <c r="T180" s="140">
        <f t="shared" si="272"/>
        <v>-110.51111111111111</v>
      </c>
      <c r="U180" s="140">
        <f t="shared" si="272"/>
        <v>-110.01111111111111</v>
      </c>
      <c r="V180" s="140">
        <f t="shared" si="272"/>
        <v>-109.51111111111111</v>
      </c>
      <c r="W180" s="140">
        <f t="shared" si="272"/>
        <v>-109.01111111111111</v>
      </c>
      <c r="X180" s="140">
        <f t="shared" si="272"/>
        <v>-108.51111111111111</v>
      </c>
      <c r="Y180" s="140">
        <f t="shared" si="272"/>
        <v>-108.01111111111111</v>
      </c>
      <c r="Z180" s="140">
        <f t="shared" si="272"/>
        <v>-107.51111111111111</v>
      </c>
      <c r="AA180" s="140">
        <f t="shared" si="272"/>
        <v>-107.01388888888889</v>
      </c>
      <c r="AB180" s="140">
        <f t="shared" si="272"/>
        <v>-106.51388888888889</v>
      </c>
      <c r="AC180" s="140">
        <f t="shared" si="272"/>
        <v>-106.01388888888889</v>
      </c>
      <c r="AD180" s="140">
        <f t="shared" si="272"/>
        <v>-105.51388888888889</v>
      </c>
      <c r="AE180" s="140">
        <f t="shared" si="272"/>
        <v>-105.01388888888889</v>
      </c>
      <c r="AF180" s="140">
        <f t="shared" si="272"/>
        <v>-104.51388888888889</v>
      </c>
      <c r="AG180" s="140">
        <f t="shared" si="272"/>
        <v>-104.01388888888889</v>
      </c>
      <c r="AH180" s="140">
        <f t="shared" si="272"/>
        <v>-103.51388888888889</v>
      </c>
      <c r="AI180" s="140">
        <f t="shared" si="272"/>
        <v>-103.01666666666667</v>
      </c>
      <c r="AJ180" s="140">
        <f t="shared" si="272"/>
        <v>-102.51666666666667</v>
      </c>
      <c r="AK180" s="140">
        <f t="shared" si="272"/>
        <v>-102.01666666666667</v>
      </c>
      <c r="AL180" s="140">
        <f t="shared" si="272"/>
        <v>-101.51666666666667</v>
      </c>
      <c r="AM180" s="140">
        <f t="shared" si="272"/>
        <v>-101.01666666666667</v>
      </c>
      <c r="AN180" s="140">
        <f t="shared" si="272"/>
        <v>-100.51666666666667</v>
      </c>
      <c r="AO180" s="140">
        <f t="shared" si="272"/>
        <v>-100.01666666666667</v>
      </c>
      <c r="AP180" s="140">
        <f t="shared" si="272"/>
        <v>-99.516666666666666</v>
      </c>
      <c r="AQ180" s="140">
        <f t="shared" si="272"/>
        <v>-99.019444444444446</v>
      </c>
      <c r="AR180" s="140">
        <f t="shared" si="272"/>
        <v>-98.519444444444446</v>
      </c>
      <c r="AS180" s="140">
        <f t="shared" si="272"/>
        <v>-98.019444444444446</v>
      </c>
      <c r="AT180" s="140">
        <f t="shared" si="272"/>
        <v>-97.519444444444446</v>
      </c>
      <c r="AU180" s="140">
        <f t="shared" si="272"/>
        <v>-97.019444444444446</v>
      </c>
      <c r="AV180" s="140">
        <f t="shared" si="272"/>
        <v>-96.519444444444446</v>
      </c>
      <c r="AW180" s="140">
        <f t="shared" si="272"/>
        <v>-96.019444444444446</v>
      </c>
      <c r="AX180" s="140">
        <f t="shared" si="272"/>
        <v>-95.519444444444446</v>
      </c>
      <c r="AY180" s="140">
        <f t="shared" si="272"/>
        <v>-95.022222222222226</v>
      </c>
      <c r="AZ180" s="140">
        <f t="shared" si="272"/>
        <v>-94.522222222222226</v>
      </c>
      <c r="BA180" s="140">
        <f t="shared" si="272"/>
        <v>-94.022222222222226</v>
      </c>
      <c r="BB180" s="140">
        <f t="shared" si="272"/>
        <v>-93.522222222222226</v>
      </c>
      <c r="BC180" s="140">
        <f t="shared" si="272"/>
        <v>-93.022222222222226</v>
      </c>
      <c r="BD180" s="140">
        <f t="shared" si="272"/>
        <v>-92.522222222222226</v>
      </c>
      <c r="BE180" s="140">
        <f t="shared" si="272"/>
        <v>-92.022222222222226</v>
      </c>
      <c r="BF180" s="140">
        <f t="shared" si="272"/>
        <v>-91.522222222222226</v>
      </c>
      <c r="BG180" s="140">
        <f t="shared" si="272"/>
        <v>-91.025000000000006</v>
      </c>
      <c r="BH180" s="140">
        <f t="shared" si="272"/>
        <v>-90.525000000000006</v>
      </c>
      <c r="BI180" s="140">
        <f t="shared" si="272"/>
        <v>-90.025000000000006</v>
      </c>
      <c r="BJ180" s="140">
        <f t="shared" si="272"/>
        <v>-89.525000000000006</v>
      </c>
      <c r="BK180" s="140">
        <f t="shared" si="272"/>
        <v>-89.025000000000006</v>
      </c>
      <c r="BL180" s="140">
        <f t="shared" si="272"/>
        <v>-88.525000000000006</v>
      </c>
      <c r="BM180" s="140">
        <f t="shared" si="272"/>
        <v>-88.025000000000006</v>
      </c>
      <c r="BN180" s="140">
        <f t="shared" si="272"/>
        <v>-87.525000000000006</v>
      </c>
      <c r="BO180" s="140">
        <f t="shared" ref="BO180:CB180" si="273">BO179/360</f>
        <v>-87.027777777777771</v>
      </c>
      <c r="BP180" s="140">
        <f t="shared" si="273"/>
        <v>-86.527777777777771</v>
      </c>
      <c r="BQ180" s="140">
        <f t="shared" si="273"/>
        <v>-86.027777777777771</v>
      </c>
      <c r="BR180" s="140">
        <f t="shared" si="273"/>
        <v>-85.527777777777771</v>
      </c>
      <c r="BS180" s="140">
        <f t="shared" si="273"/>
        <v>-85.027777777777771</v>
      </c>
      <c r="BT180" s="140">
        <f t="shared" si="273"/>
        <v>-84.527777777777771</v>
      </c>
      <c r="BU180" s="140">
        <f t="shared" si="273"/>
        <v>-84.027777777777771</v>
      </c>
      <c r="BV180" s="140">
        <f t="shared" si="273"/>
        <v>-83.527777777777771</v>
      </c>
      <c r="BW180" s="140">
        <f t="shared" si="273"/>
        <v>-83.030555555555551</v>
      </c>
      <c r="BX180" s="140">
        <f t="shared" si="273"/>
        <v>-82.530555555555551</v>
      </c>
      <c r="BY180" s="140">
        <f t="shared" si="273"/>
        <v>-82.030555555555551</v>
      </c>
      <c r="BZ180" s="140">
        <f t="shared" si="273"/>
        <v>-81.530555555555551</v>
      </c>
      <c r="CA180" s="140">
        <f t="shared" si="273"/>
        <v>-81.030555555555551</v>
      </c>
      <c r="CB180" s="140">
        <f t="shared" si="273"/>
        <v>-80.530555555555551</v>
      </c>
      <c r="CC180" s="17"/>
      <c r="CD180" s="17"/>
      <c r="CE180" s="17"/>
    </row>
    <row r="181" spans="1:83">
      <c r="A181" s="16" t="s">
        <v>43</v>
      </c>
      <c r="B181" s="140">
        <f>IF(B179&lt;0,0,$B$5+$B$6*((1-EXP(-B180/$B$9))/(B180/$B$9))+$B$7*((1-EXP(-B180/$B$9))/(B180/$B$9)-EXP(-B180/$B$9))+$B$8*((1-EXP(-B180/$B$10))/(B180/$B$10)-EXP(-B180/$B$10)))</f>
        <v>0</v>
      </c>
      <c r="C181" s="140">
        <f t="shared" ref="C181:BN181" si="274">IF(C179&lt;0,0,$B$5+$B$6*((1-EXP(-C180/$B$9))/(C180/$B$9))+$B$7*((1-EXP(-C180/$B$9))/(C180/$B$9)-EXP(-C180/$B$9))+$B$8*((1-EXP(-C180/$B$10))/(C180/$B$10)-EXP(-C180/$B$10)))</f>
        <v>0</v>
      </c>
      <c r="D181" s="140">
        <f t="shared" si="274"/>
        <v>0</v>
      </c>
      <c r="E181" s="140">
        <f t="shared" si="274"/>
        <v>0</v>
      </c>
      <c r="F181" s="140">
        <f t="shared" si="274"/>
        <v>0</v>
      </c>
      <c r="G181" s="140">
        <f t="shared" si="274"/>
        <v>0</v>
      </c>
      <c r="H181" s="140">
        <f t="shared" si="274"/>
        <v>0</v>
      </c>
      <c r="I181" s="140">
        <f t="shared" si="274"/>
        <v>0</v>
      </c>
      <c r="J181" s="140">
        <f t="shared" si="274"/>
        <v>0</v>
      </c>
      <c r="K181" s="140">
        <f t="shared" si="274"/>
        <v>0</v>
      </c>
      <c r="L181" s="140">
        <f t="shared" si="274"/>
        <v>0</v>
      </c>
      <c r="M181" s="140">
        <f t="shared" si="274"/>
        <v>0</v>
      </c>
      <c r="N181" s="140">
        <f t="shared" si="274"/>
        <v>0</v>
      </c>
      <c r="O181" s="140">
        <f t="shared" si="274"/>
        <v>0</v>
      </c>
      <c r="P181" s="140">
        <f t="shared" si="274"/>
        <v>0</v>
      </c>
      <c r="Q181" s="140">
        <f t="shared" si="274"/>
        <v>0</v>
      </c>
      <c r="R181" s="140">
        <f t="shared" si="274"/>
        <v>0</v>
      </c>
      <c r="S181" s="140">
        <f t="shared" si="274"/>
        <v>0</v>
      </c>
      <c r="T181" s="140">
        <f t="shared" si="274"/>
        <v>0</v>
      </c>
      <c r="U181" s="140">
        <f t="shared" si="274"/>
        <v>0</v>
      </c>
      <c r="V181" s="140">
        <f t="shared" si="274"/>
        <v>0</v>
      </c>
      <c r="W181" s="140">
        <f t="shared" si="274"/>
        <v>0</v>
      </c>
      <c r="X181" s="140">
        <f t="shared" si="274"/>
        <v>0</v>
      </c>
      <c r="Y181" s="140">
        <f t="shared" si="274"/>
        <v>0</v>
      </c>
      <c r="Z181" s="140">
        <f t="shared" si="274"/>
        <v>0</v>
      </c>
      <c r="AA181" s="140">
        <f t="shared" si="274"/>
        <v>0</v>
      </c>
      <c r="AB181" s="140">
        <f t="shared" si="274"/>
        <v>0</v>
      </c>
      <c r="AC181" s="140">
        <f t="shared" si="274"/>
        <v>0</v>
      </c>
      <c r="AD181" s="140">
        <f t="shared" si="274"/>
        <v>0</v>
      </c>
      <c r="AE181" s="140">
        <f t="shared" si="274"/>
        <v>0</v>
      </c>
      <c r="AF181" s="140">
        <f t="shared" si="274"/>
        <v>0</v>
      </c>
      <c r="AG181" s="140">
        <f t="shared" si="274"/>
        <v>0</v>
      </c>
      <c r="AH181" s="140">
        <f t="shared" si="274"/>
        <v>0</v>
      </c>
      <c r="AI181" s="140">
        <f t="shared" si="274"/>
        <v>0</v>
      </c>
      <c r="AJ181" s="140">
        <f t="shared" si="274"/>
        <v>0</v>
      </c>
      <c r="AK181" s="140">
        <f t="shared" si="274"/>
        <v>0</v>
      </c>
      <c r="AL181" s="140">
        <f t="shared" si="274"/>
        <v>0</v>
      </c>
      <c r="AM181" s="140">
        <f t="shared" si="274"/>
        <v>0</v>
      </c>
      <c r="AN181" s="140">
        <f t="shared" si="274"/>
        <v>0</v>
      </c>
      <c r="AO181" s="140">
        <f t="shared" si="274"/>
        <v>0</v>
      </c>
      <c r="AP181" s="140">
        <f t="shared" si="274"/>
        <v>0</v>
      </c>
      <c r="AQ181" s="140">
        <f t="shared" si="274"/>
        <v>0</v>
      </c>
      <c r="AR181" s="140">
        <f t="shared" si="274"/>
        <v>0</v>
      </c>
      <c r="AS181" s="140">
        <f t="shared" si="274"/>
        <v>0</v>
      </c>
      <c r="AT181" s="140">
        <f t="shared" si="274"/>
        <v>0</v>
      </c>
      <c r="AU181" s="140">
        <f t="shared" si="274"/>
        <v>0</v>
      </c>
      <c r="AV181" s="140">
        <f t="shared" si="274"/>
        <v>0</v>
      </c>
      <c r="AW181" s="140">
        <f t="shared" si="274"/>
        <v>0</v>
      </c>
      <c r="AX181" s="140">
        <f t="shared" si="274"/>
        <v>0</v>
      </c>
      <c r="AY181" s="140">
        <f t="shared" si="274"/>
        <v>0</v>
      </c>
      <c r="AZ181" s="140">
        <f t="shared" si="274"/>
        <v>0</v>
      </c>
      <c r="BA181" s="140">
        <f t="shared" si="274"/>
        <v>0</v>
      </c>
      <c r="BB181" s="140">
        <f t="shared" si="274"/>
        <v>0</v>
      </c>
      <c r="BC181" s="140">
        <f t="shared" si="274"/>
        <v>0</v>
      </c>
      <c r="BD181" s="140">
        <f t="shared" si="274"/>
        <v>0</v>
      </c>
      <c r="BE181" s="140">
        <f t="shared" si="274"/>
        <v>0</v>
      </c>
      <c r="BF181" s="140">
        <f t="shared" si="274"/>
        <v>0</v>
      </c>
      <c r="BG181" s="140">
        <f t="shared" si="274"/>
        <v>0</v>
      </c>
      <c r="BH181" s="140">
        <f t="shared" si="274"/>
        <v>0</v>
      </c>
      <c r="BI181" s="140">
        <f t="shared" si="274"/>
        <v>0</v>
      </c>
      <c r="BJ181" s="140">
        <f t="shared" si="274"/>
        <v>0</v>
      </c>
      <c r="BK181" s="140">
        <f t="shared" si="274"/>
        <v>0</v>
      </c>
      <c r="BL181" s="140">
        <f t="shared" si="274"/>
        <v>0</v>
      </c>
      <c r="BM181" s="140">
        <f t="shared" si="274"/>
        <v>0</v>
      </c>
      <c r="BN181" s="140">
        <f t="shared" si="274"/>
        <v>0</v>
      </c>
      <c r="BO181" s="140">
        <f t="shared" ref="BO181:CB181" si="275">IF(BO179&lt;0,0,$B$5+$B$6*((1-EXP(-BO180/$B$9))/(BO180/$B$9))+$B$7*((1-EXP(-BO180/$B$9))/(BO180/$B$9)-EXP(-BO180/$B$9))+$B$8*((1-EXP(-BO180/$B$10))/(BO180/$B$10)-EXP(-BO180/$B$10)))</f>
        <v>0</v>
      </c>
      <c r="BP181" s="140">
        <f t="shared" si="275"/>
        <v>0</v>
      </c>
      <c r="BQ181" s="140">
        <f t="shared" si="275"/>
        <v>0</v>
      </c>
      <c r="BR181" s="140">
        <f t="shared" si="275"/>
        <v>0</v>
      </c>
      <c r="BS181" s="140">
        <f t="shared" si="275"/>
        <v>0</v>
      </c>
      <c r="BT181" s="140">
        <f t="shared" si="275"/>
        <v>0</v>
      </c>
      <c r="BU181" s="140">
        <f t="shared" si="275"/>
        <v>0</v>
      </c>
      <c r="BV181" s="140">
        <f t="shared" si="275"/>
        <v>0</v>
      </c>
      <c r="BW181" s="140">
        <f t="shared" si="275"/>
        <v>0</v>
      </c>
      <c r="BX181" s="140">
        <f t="shared" si="275"/>
        <v>0</v>
      </c>
      <c r="BY181" s="140">
        <f t="shared" si="275"/>
        <v>0</v>
      </c>
      <c r="BZ181" s="140">
        <f t="shared" si="275"/>
        <v>0</v>
      </c>
      <c r="CA181" s="140">
        <f t="shared" si="275"/>
        <v>0</v>
      </c>
      <c r="CB181" s="140">
        <f t="shared" si="275"/>
        <v>0</v>
      </c>
      <c r="CC181" s="17"/>
      <c r="CD181" s="17"/>
      <c r="CE181" s="17"/>
    </row>
    <row r="182" spans="1:83">
      <c r="A182" s="16" t="s">
        <v>44</v>
      </c>
      <c r="B182" s="140">
        <f>EXP(-B181*B180)</f>
        <v>1</v>
      </c>
      <c r="C182" s="140">
        <f t="shared" ref="C182:AR182" si="276">EXP(-C181*C180)</f>
        <v>1</v>
      </c>
      <c r="D182" s="140">
        <f t="shared" si="276"/>
        <v>1</v>
      </c>
      <c r="E182" s="140">
        <f t="shared" si="276"/>
        <v>1</v>
      </c>
      <c r="F182" s="140">
        <f t="shared" si="276"/>
        <v>1</v>
      </c>
      <c r="G182" s="140">
        <f t="shared" si="276"/>
        <v>1</v>
      </c>
      <c r="H182" s="140">
        <f t="shared" si="276"/>
        <v>1</v>
      </c>
      <c r="I182" s="140">
        <f t="shared" si="276"/>
        <v>1</v>
      </c>
      <c r="J182" s="140">
        <f t="shared" si="276"/>
        <v>1</v>
      </c>
      <c r="K182" s="140">
        <f t="shared" si="276"/>
        <v>1</v>
      </c>
      <c r="L182" s="140">
        <f t="shared" si="276"/>
        <v>1</v>
      </c>
      <c r="M182" s="140">
        <f t="shared" si="276"/>
        <v>1</v>
      </c>
      <c r="N182" s="140">
        <f t="shared" si="276"/>
        <v>1</v>
      </c>
      <c r="O182" s="140">
        <f t="shared" si="276"/>
        <v>1</v>
      </c>
      <c r="P182" s="140">
        <f t="shared" si="276"/>
        <v>1</v>
      </c>
      <c r="Q182" s="140">
        <f t="shared" si="276"/>
        <v>1</v>
      </c>
      <c r="R182" s="140">
        <f t="shared" si="276"/>
        <v>1</v>
      </c>
      <c r="S182" s="140">
        <f t="shared" si="276"/>
        <v>1</v>
      </c>
      <c r="T182" s="140">
        <f t="shared" si="276"/>
        <v>1</v>
      </c>
      <c r="U182" s="140">
        <f t="shared" si="276"/>
        <v>1</v>
      </c>
      <c r="V182" s="140">
        <f t="shared" si="276"/>
        <v>1</v>
      </c>
      <c r="W182" s="140">
        <f t="shared" si="276"/>
        <v>1</v>
      </c>
      <c r="X182" s="140">
        <f t="shared" si="276"/>
        <v>1</v>
      </c>
      <c r="Y182" s="140">
        <f t="shared" si="276"/>
        <v>1</v>
      </c>
      <c r="Z182" s="140">
        <f t="shared" si="276"/>
        <v>1</v>
      </c>
      <c r="AA182" s="140">
        <f t="shared" si="276"/>
        <v>1</v>
      </c>
      <c r="AB182" s="140">
        <f t="shared" si="276"/>
        <v>1</v>
      </c>
      <c r="AC182" s="140">
        <f t="shared" si="276"/>
        <v>1</v>
      </c>
      <c r="AD182" s="140">
        <f t="shared" si="276"/>
        <v>1</v>
      </c>
      <c r="AE182" s="140">
        <f t="shared" si="276"/>
        <v>1</v>
      </c>
      <c r="AF182" s="140">
        <f t="shared" si="276"/>
        <v>1</v>
      </c>
      <c r="AG182" s="140">
        <f t="shared" si="276"/>
        <v>1</v>
      </c>
      <c r="AH182" s="140">
        <f t="shared" si="276"/>
        <v>1</v>
      </c>
      <c r="AI182" s="140">
        <f t="shared" si="276"/>
        <v>1</v>
      </c>
      <c r="AJ182" s="140">
        <f t="shared" si="276"/>
        <v>1</v>
      </c>
      <c r="AK182" s="140">
        <f t="shared" si="276"/>
        <v>1</v>
      </c>
      <c r="AL182" s="140">
        <f t="shared" si="276"/>
        <v>1</v>
      </c>
      <c r="AM182" s="140">
        <f t="shared" si="276"/>
        <v>1</v>
      </c>
      <c r="AN182" s="140">
        <f t="shared" si="276"/>
        <v>1</v>
      </c>
      <c r="AO182" s="140">
        <f t="shared" si="276"/>
        <v>1</v>
      </c>
      <c r="AP182" s="140">
        <f t="shared" si="276"/>
        <v>1</v>
      </c>
      <c r="AQ182" s="140">
        <f t="shared" si="276"/>
        <v>1</v>
      </c>
      <c r="AR182" s="140">
        <f t="shared" si="276"/>
        <v>1</v>
      </c>
      <c r="AS182" s="140">
        <f>EXP(-AS181*AS180)</f>
        <v>1</v>
      </c>
      <c r="AT182" s="140">
        <f t="shared" ref="AT182:CA182" si="277">EXP(-AT181*AT180)</f>
        <v>1</v>
      </c>
      <c r="AU182" s="140">
        <f t="shared" si="277"/>
        <v>1</v>
      </c>
      <c r="AV182" s="140">
        <f t="shared" si="277"/>
        <v>1</v>
      </c>
      <c r="AW182" s="140">
        <f t="shared" si="277"/>
        <v>1</v>
      </c>
      <c r="AX182" s="140">
        <f t="shared" si="277"/>
        <v>1</v>
      </c>
      <c r="AY182" s="140">
        <f t="shared" si="277"/>
        <v>1</v>
      </c>
      <c r="AZ182" s="140">
        <f t="shared" si="277"/>
        <v>1</v>
      </c>
      <c r="BA182" s="140">
        <f t="shared" si="277"/>
        <v>1</v>
      </c>
      <c r="BB182" s="140">
        <f t="shared" si="277"/>
        <v>1</v>
      </c>
      <c r="BC182" s="140">
        <f t="shared" si="277"/>
        <v>1</v>
      </c>
      <c r="BD182" s="140">
        <f t="shared" si="277"/>
        <v>1</v>
      </c>
      <c r="BE182" s="140">
        <f t="shared" si="277"/>
        <v>1</v>
      </c>
      <c r="BF182" s="140">
        <f t="shared" si="277"/>
        <v>1</v>
      </c>
      <c r="BG182" s="140">
        <f t="shared" si="277"/>
        <v>1</v>
      </c>
      <c r="BH182" s="140">
        <f t="shared" si="277"/>
        <v>1</v>
      </c>
      <c r="BI182" s="140">
        <f t="shared" si="277"/>
        <v>1</v>
      </c>
      <c r="BJ182" s="140">
        <f t="shared" si="277"/>
        <v>1</v>
      </c>
      <c r="BK182" s="140">
        <f t="shared" si="277"/>
        <v>1</v>
      </c>
      <c r="BL182" s="140">
        <f t="shared" si="277"/>
        <v>1</v>
      </c>
      <c r="BM182" s="140">
        <f t="shared" si="277"/>
        <v>1</v>
      </c>
      <c r="BN182" s="140">
        <f t="shared" si="277"/>
        <v>1</v>
      </c>
      <c r="BO182" s="140">
        <f t="shared" si="277"/>
        <v>1</v>
      </c>
      <c r="BP182" s="140">
        <f t="shared" si="277"/>
        <v>1</v>
      </c>
      <c r="BQ182" s="140">
        <f t="shared" si="277"/>
        <v>1</v>
      </c>
      <c r="BR182" s="140">
        <f t="shared" si="277"/>
        <v>1</v>
      </c>
      <c r="BS182" s="140">
        <f t="shared" si="277"/>
        <v>1</v>
      </c>
      <c r="BT182" s="140">
        <f t="shared" si="277"/>
        <v>1</v>
      </c>
      <c r="BU182" s="140">
        <f t="shared" si="277"/>
        <v>1</v>
      </c>
      <c r="BV182" s="140">
        <f t="shared" si="277"/>
        <v>1</v>
      </c>
      <c r="BW182" s="140">
        <f t="shared" si="277"/>
        <v>1</v>
      </c>
      <c r="BX182" s="140">
        <f t="shared" si="277"/>
        <v>1</v>
      </c>
      <c r="BY182" s="140">
        <f t="shared" si="277"/>
        <v>1</v>
      </c>
      <c r="BZ182" s="140">
        <f t="shared" si="277"/>
        <v>1</v>
      </c>
      <c r="CA182" s="140">
        <f t="shared" si="277"/>
        <v>1</v>
      </c>
      <c r="CB182" s="140">
        <f>EXP(-CB181*CB180)</f>
        <v>1</v>
      </c>
      <c r="CC182" s="17"/>
      <c r="CD182" s="17"/>
      <c r="CE182" s="17"/>
    </row>
    <row r="183" spans="1:83">
      <c r="A183" s="17"/>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17"/>
      <c r="CD183" s="17"/>
      <c r="CE183" s="17"/>
    </row>
    <row r="184" spans="1:83">
      <c r="A184" s="16" t="s">
        <v>40</v>
      </c>
      <c r="B184" s="140">
        <f t="shared" ref="B184:BM184" si="278">DAYS360($B$3,B70)</f>
        <v>-43022</v>
      </c>
      <c r="C184" s="140">
        <f t="shared" si="278"/>
        <v>-42842</v>
      </c>
      <c r="D184" s="140">
        <f t="shared" si="278"/>
        <v>-42662</v>
      </c>
      <c r="E184" s="140">
        <f t="shared" si="278"/>
        <v>-42482</v>
      </c>
      <c r="F184" s="140">
        <f t="shared" si="278"/>
        <v>-42302</v>
      </c>
      <c r="G184" s="140">
        <f t="shared" si="278"/>
        <v>-42122</v>
      </c>
      <c r="H184" s="140">
        <f t="shared" si="278"/>
        <v>-41942</v>
      </c>
      <c r="I184" s="140">
        <f t="shared" si="278"/>
        <v>-41762</v>
      </c>
      <c r="J184" s="140">
        <f t="shared" si="278"/>
        <v>-41582</v>
      </c>
      <c r="K184" s="140">
        <f t="shared" si="278"/>
        <v>-41403</v>
      </c>
      <c r="L184" s="140">
        <f t="shared" si="278"/>
        <v>-41223</v>
      </c>
      <c r="M184" s="140">
        <f t="shared" si="278"/>
        <v>-41043</v>
      </c>
      <c r="N184" s="140">
        <f t="shared" si="278"/>
        <v>-40863</v>
      </c>
      <c r="O184" s="140">
        <f t="shared" si="278"/>
        <v>-40683</v>
      </c>
      <c r="P184" s="140">
        <f t="shared" si="278"/>
        <v>-40503</v>
      </c>
      <c r="Q184" s="140">
        <f t="shared" si="278"/>
        <v>-40323</v>
      </c>
      <c r="R184" s="140">
        <f t="shared" si="278"/>
        <v>-40143</v>
      </c>
      <c r="S184" s="140">
        <f t="shared" si="278"/>
        <v>-39964</v>
      </c>
      <c r="T184" s="140">
        <f t="shared" si="278"/>
        <v>-39784</v>
      </c>
      <c r="U184" s="140">
        <f t="shared" si="278"/>
        <v>-39604</v>
      </c>
      <c r="V184" s="140">
        <f t="shared" si="278"/>
        <v>-39424</v>
      </c>
      <c r="W184" s="140">
        <f t="shared" si="278"/>
        <v>-39244</v>
      </c>
      <c r="X184" s="140">
        <f t="shared" si="278"/>
        <v>-39064</v>
      </c>
      <c r="Y184" s="140">
        <f t="shared" si="278"/>
        <v>-38884</v>
      </c>
      <c r="Z184" s="140">
        <f t="shared" si="278"/>
        <v>-38704</v>
      </c>
      <c r="AA184" s="140">
        <f t="shared" si="278"/>
        <v>-38525</v>
      </c>
      <c r="AB184" s="140">
        <f t="shared" si="278"/>
        <v>-38345</v>
      </c>
      <c r="AC184" s="140">
        <f t="shared" si="278"/>
        <v>-38165</v>
      </c>
      <c r="AD184" s="140">
        <f t="shared" si="278"/>
        <v>-37985</v>
      </c>
      <c r="AE184" s="140">
        <f t="shared" si="278"/>
        <v>-37805</v>
      </c>
      <c r="AF184" s="140">
        <f t="shared" si="278"/>
        <v>-37625</v>
      </c>
      <c r="AG184" s="140">
        <f t="shared" si="278"/>
        <v>-37445</v>
      </c>
      <c r="AH184" s="140">
        <f t="shared" si="278"/>
        <v>-37265</v>
      </c>
      <c r="AI184" s="140">
        <f t="shared" si="278"/>
        <v>-37086</v>
      </c>
      <c r="AJ184" s="140">
        <f t="shared" si="278"/>
        <v>-36906</v>
      </c>
      <c r="AK184" s="140">
        <f t="shared" si="278"/>
        <v>-36726</v>
      </c>
      <c r="AL184" s="140">
        <f t="shared" si="278"/>
        <v>-36546</v>
      </c>
      <c r="AM184" s="140">
        <f t="shared" si="278"/>
        <v>-36366</v>
      </c>
      <c r="AN184" s="140">
        <f t="shared" si="278"/>
        <v>-36186</v>
      </c>
      <c r="AO184" s="140">
        <f t="shared" si="278"/>
        <v>-36006</v>
      </c>
      <c r="AP184" s="140">
        <f t="shared" si="278"/>
        <v>-35826</v>
      </c>
      <c r="AQ184" s="140">
        <f t="shared" si="278"/>
        <v>-35647</v>
      </c>
      <c r="AR184" s="140">
        <f t="shared" si="278"/>
        <v>-35467</v>
      </c>
      <c r="AS184" s="140">
        <f t="shared" si="278"/>
        <v>-35287</v>
      </c>
      <c r="AT184" s="140">
        <f t="shared" si="278"/>
        <v>-35107</v>
      </c>
      <c r="AU184" s="140">
        <f t="shared" si="278"/>
        <v>-34927</v>
      </c>
      <c r="AV184" s="140">
        <f t="shared" si="278"/>
        <v>-34747</v>
      </c>
      <c r="AW184" s="140">
        <f t="shared" si="278"/>
        <v>-34567</v>
      </c>
      <c r="AX184" s="140">
        <f t="shared" si="278"/>
        <v>-34387</v>
      </c>
      <c r="AY184" s="140">
        <f t="shared" si="278"/>
        <v>-34208</v>
      </c>
      <c r="AZ184" s="140">
        <f t="shared" si="278"/>
        <v>-34028</v>
      </c>
      <c r="BA184" s="140">
        <f t="shared" si="278"/>
        <v>-33848</v>
      </c>
      <c r="BB184" s="140">
        <f t="shared" si="278"/>
        <v>-33668</v>
      </c>
      <c r="BC184" s="140">
        <f t="shared" si="278"/>
        <v>-33488</v>
      </c>
      <c r="BD184" s="140">
        <f t="shared" si="278"/>
        <v>-33308</v>
      </c>
      <c r="BE184" s="140">
        <f t="shared" si="278"/>
        <v>-33128</v>
      </c>
      <c r="BF184" s="140">
        <f t="shared" si="278"/>
        <v>-32948</v>
      </c>
      <c r="BG184" s="140">
        <f t="shared" si="278"/>
        <v>-32769</v>
      </c>
      <c r="BH184" s="140">
        <f t="shared" si="278"/>
        <v>-32589</v>
      </c>
      <c r="BI184" s="140">
        <f t="shared" si="278"/>
        <v>-32409</v>
      </c>
      <c r="BJ184" s="140">
        <f t="shared" si="278"/>
        <v>-32229</v>
      </c>
      <c r="BK184" s="140">
        <f t="shared" si="278"/>
        <v>-32049</v>
      </c>
      <c r="BL184" s="140">
        <f t="shared" si="278"/>
        <v>-31869</v>
      </c>
      <c r="BM184" s="140">
        <f t="shared" si="278"/>
        <v>-31689</v>
      </c>
      <c r="BN184" s="140">
        <f t="shared" ref="BN184:CB184" si="279">DAYS360($B$3,BN70)</f>
        <v>-31509</v>
      </c>
      <c r="BO184" s="140">
        <f t="shared" si="279"/>
        <v>-31330</v>
      </c>
      <c r="BP184" s="140">
        <f t="shared" si="279"/>
        <v>-31150</v>
      </c>
      <c r="BQ184" s="140">
        <f t="shared" si="279"/>
        <v>-30970</v>
      </c>
      <c r="BR184" s="140">
        <f t="shared" si="279"/>
        <v>-30790</v>
      </c>
      <c r="BS184" s="140">
        <f t="shared" si="279"/>
        <v>-30610</v>
      </c>
      <c r="BT184" s="140">
        <f t="shared" si="279"/>
        <v>-30430</v>
      </c>
      <c r="BU184" s="140">
        <f t="shared" si="279"/>
        <v>-30250</v>
      </c>
      <c r="BV184" s="140">
        <f t="shared" si="279"/>
        <v>-30070</v>
      </c>
      <c r="BW184" s="140">
        <f t="shared" si="279"/>
        <v>-29891</v>
      </c>
      <c r="BX184" s="140">
        <f t="shared" si="279"/>
        <v>-29711</v>
      </c>
      <c r="BY184" s="140">
        <f t="shared" si="279"/>
        <v>-29531</v>
      </c>
      <c r="BZ184" s="140">
        <f t="shared" si="279"/>
        <v>-29351</v>
      </c>
      <c r="CA184" s="140">
        <f t="shared" si="279"/>
        <v>-29171</v>
      </c>
      <c r="CB184" s="140">
        <f t="shared" si="279"/>
        <v>-28991</v>
      </c>
      <c r="CC184" s="17"/>
      <c r="CD184" s="17"/>
      <c r="CE184" s="17"/>
    </row>
    <row r="185" spans="1:83">
      <c r="A185" s="16" t="s">
        <v>41</v>
      </c>
      <c r="B185" s="140">
        <f>B184/360</f>
        <v>-119.50555555555556</v>
      </c>
      <c r="C185" s="140">
        <f t="shared" ref="C185:BN185" si="280">C184/360</f>
        <v>-119.00555555555556</v>
      </c>
      <c r="D185" s="140">
        <f t="shared" si="280"/>
        <v>-118.50555555555556</v>
      </c>
      <c r="E185" s="140">
        <f t="shared" si="280"/>
        <v>-118.00555555555556</v>
      </c>
      <c r="F185" s="140">
        <f t="shared" si="280"/>
        <v>-117.50555555555556</v>
      </c>
      <c r="G185" s="140">
        <f t="shared" si="280"/>
        <v>-117.00555555555556</v>
      </c>
      <c r="H185" s="140">
        <f t="shared" si="280"/>
        <v>-116.50555555555556</v>
      </c>
      <c r="I185" s="140">
        <f t="shared" si="280"/>
        <v>-116.00555555555556</v>
      </c>
      <c r="J185" s="140">
        <f t="shared" si="280"/>
        <v>-115.50555555555556</v>
      </c>
      <c r="K185" s="140">
        <f t="shared" si="280"/>
        <v>-115.00833333333334</v>
      </c>
      <c r="L185" s="140">
        <f t="shared" si="280"/>
        <v>-114.50833333333334</v>
      </c>
      <c r="M185" s="140">
        <f t="shared" si="280"/>
        <v>-114.00833333333334</v>
      </c>
      <c r="N185" s="140">
        <f t="shared" si="280"/>
        <v>-113.50833333333334</v>
      </c>
      <c r="O185" s="140">
        <f t="shared" si="280"/>
        <v>-113.00833333333334</v>
      </c>
      <c r="P185" s="140">
        <f t="shared" si="280"/>
        <v>-112.50833333333334</v>
      </c>
      <c r="Q185" s="140">
        <f t="shared" si="280"/>
        <v>-112.00833333333334</v>
      </c>
      <c r="R185" s="140">
        <f t="shared" si="280"/>
        <v>-111.50833333333334</v>
      </c>
      <c r="S185" s="140">
        <f t="shared" si="280"/>
        <v>-111.01111111111111</v>
      </c>
      <c r="T185" s="140">
        <f t="shared" si="280"/>
        <v>-110.51111111111111</v>
      </c>
      <c r="U185" s="140">
        <f t="shared" si="280"/>
        <v>-110.01111111111111</v>
      </c>
      <c r="V185" s="140">
        <f t="shared" si="280"/>
        <v>-109.51111111111111</v>
      </c>
      <c r="W185" s="140">
        <f t="shared" si="280"/>
        <v>-109.01111111111111</v>
      </c>
      <c r="X185" s="140">
        <f t="shared" si="280"/>
        <v>-108.51111111111111</v>
      </c>
      <c r="Y185" s="140">
        <f t="shared" si="280"/>
        <v>-108.01111111111111</v>
      </c>
      <c r="Z185" s="140">
        <f t="shared" si="280"/>
        <v>-107.51111111111111</v>
      </c>
      <c r="AA185" s="140">
        <f t="shared" si="280"/>
        <v>-107.01388888888889</v>
      </c>
      <c r="AB185" s="140">
        <f t="shared" si="280"/>
        <v>-106.51388888888889</v>
      </c>
      <c r="AC185" s="140">
        <f t="shared" si="280"/>
        <v>-106.01388888888889</v>
      </c>
      <c r="AD185" s="140">
        <f t="shared" si="280"/>
        <v>-105.51388888888889</v>
      </c>
      <c r="AE185" s="140">
        <f t="shared" si="280"/>
        <v>-105.01388888888889</v>
      </c>
      <c r="AF185" s="140">
        <f t="shared" si="280"/>
        <v>-104.51388888888889</v>
      </c>
      <c r="AG185" s="140">
        <f t="shared" si="280"/>
        <v>-104.01388888888889</v>
      </c>
      <c r="AH185" s="140">
        <f t="shared" si="280"/>
        <v>-103.51388888888889</v>
      </c>
      <c r="AI185" s="140">
        <f t="shared" si="280"/>
        <v>-103.01666666666667</v>
      </c>
      <c r="AJ185" s="140">
        <f t="shared" si="280"/>
        <v>-102.51666666666667</v>
      </c>
      <c r="AK185" s="140">
        <f t="shared" si="280"/>
        <v>-102.01666666666667</v>
      </c>
      <c r="AL185" s="140">
        <f t="shared" si="280"/>
        <v>-101.51666666666667</v>
      </c>
      <c r="AM185" s="140">
        <f t="shared" si="280"/>
        <v>-101.01666666666667</v>
      </c>
      <c r="AN185" s="140">
        <f t="shared" si="280"/>
        <v>-100.51666666666667</v>
      </c>
      <c r="AO185" s="140">
        <f t="shared" si="280"/>
        <v>-100.01666666666667</v>
      </c>
      <c r="AP185" s="140">
        <f t="shared" si="280"/>
        <v>-99.516666666666666</v>
      </c>
      <c r="AQ185" s="140">
        <f t="shared" si="280"/>
        <v>-99.019444444444446</v>
      </c>
      <c r="AR185" s="140">
        <f t="shared" si="280"/>
        <v>-98.519444444444446</v>
      </c>
      <c r="AS185" s="140">
        <f t="shared" si="280"/>
        <v>-98.019444444444446</v>
      </c>
      <c r="AT185" s="140">
        <f t="shared" si="280"/>
        <v>-97.519444444444446</v>
      </c>
      <c r="AU185" s="140">
        <f t="shared" si="280"/>
        <v>-97.019444444444446</v>
      </c>
      <c r="AV185" s="140">
        <f t="shared" si="280"/>
        <v>-96.519444444444446</v>
      </c>
      <c r="AW185" s="140">
        <f t="shared" si="280"/>
        <v>-96.019444444444446</v>
      </c>
      <c r="AX185" s="140">
        <f t="shared" si="280"/>
        <v>-95.519444444444446</v>
      </c>
      <c r="AY185" s="140">
        <f t="shared" si="280"/>
        <v>-95.022222222222226</v>
      </c>
      <c r="AZ185" s="140">
        <f t="shared" si="280"/>
        <v>-94.522222222222226</v>
      </c>
      <c r="BA185" s="140">
        <f t="shared" si="280"/>
        <v>-94.022222222222226</v>
      </c>
      <c r="BB185" s="140">
        <f t="shared" si="280"/>
        <v>-93.522222222222226</v>
      </c>
      <c r="BC185" s="140">
        <f t="shared" si="280"/>
        <v>-93.022222222222226</v>
      </c>
      <c r="BD185" s="140">
        <f t="shared" si="280"/>
        <v>-92.522222222222226</v>
      </c>
      <c r="BE185" s="140">
        <f t="shared" si="280"/>
        <v>-92.022222222222226</v>
      </c>
      <c r="BF185" s="140">
        <f t="shared" si="280"/>
        <v>-91.522222222222226</v>
      </c>
      <c r="BG185" s="140">
        <f t="shared" si="280"/>
        <v>-91.025000000000006</v>
      </c>
      <c r="BH185" s="140">
        <f t="shared" si="280"/>
        <v>-90.525000000000006</v>
      </c>
      <c r="BI185" s="140">
        <f t="shared" si="280"/>
        <v>-90.025000000000006</v>
      </c>
      <c r="BJ185" s="140">
        <f t="shared" si="280"/>
        <v>-89.525000000000006</v>
      </c>
      <c r="BK185" s="140">
        <f t="shared" si="280"/>
        <v>-89.025000000000006</v>
      </c>
      <c r="BL185" s="140">
        <f t="shared" si="280"/>
        <v>-88.525000000000006</v>
      </c>
      <c r="BM185" s="140">
        <f t="shared" si="280"/>
        <v>-88.025000000000006</v>
      </c>
      <c r="BN185" s="140">
        <f t="shared" si="280"/>
        <v>-87.525000000000006</v>
      </c>
      <c r="BO185" s="140">
        <f t="shared" ref="BO185:CB185" si="281">BO184/360</f>
        <v>-87.027777777777771</v>
      </c>
      <c r="BP185" s="140">
        <f t="shared" si="281"/>
        <v>-86.527777777777771</v>
      </c>
      <c r="BQ185" s="140">
        <f t="shared" si="281"/>
        <v>-86.027777777777771</v>
      </c>
      <c r="BR185" s="140">
        <f t="shared" si="281"/>
        <v>-85.527777777777771</v>
      </c>
      <c r="BS185" s="140">
        <f t="shared" si="281"/>
        <v>-85.027777777777771</v>
      </c>
      <c r="BT185" s="140">
        <f t="shared" si="281"/>
        <v>-84.527777777777771</v>
      </c>
      <c r="BU185" s="140">
        <f t="shared" si="281"/>
        <v>-84.027777777777771</v>
      </c>
      <c r="BV185" s="140">
        <f t="shared" si="281"/>
        <v>-83.527777777777771</v>
      </c>
      <c r="BW185" s="140">
        <f t="shared" si="281"/>
        <v>-83.030555555555551</v>
      </c>
      <c r="BX185" s="140">
        <f t="shared" si="281"/>
        <v>-82.530555555555551</v>
      </c>
      <c r="BY185" s="140">
        <f t="shared" si="281"/>
        <v>-82.030555555555551</v>
      </c>
      <c r="BZ185" s="140">
        <f t="shared" si="281"/>
        <v>-81.530555555555551</v>
      </c>
      <c r="CA185" s="140">
        <f t="shared" si="281"/>
        <v>-81.030555555555551</v>
      </c>
      <c r="CB185" s="140">
        <f t="shared" si="281"/>
        <v>-80.530555555555551</v>
      </c>
      <c r="CC185" s="17"/>
      <c r="CD185" s="17"/>
      <c r="CE185" s="17"/>
    </row>
    <row r="186" spans="1:83">
      <c r="A186" s="16" t="s">
        <v>43</v>
      </c>
      <c r="B186" s="140">
        <f>IF(B184&lt;0,0,$B$5+$B$6*((1-EXP(-B185/$B$9))/(B185/$B$9))+$B$7*((1-EXP(-B185/$B$9))/(B185/$B$9)-EXP(-B185/$B$9))+$B$8*((1-EXP(-B185/$B$10))/(B185/$B$10)-EXP(-B185/$B$10)))</f>
        <v>0</v>
      </c>
      <c r="C186" s="140">
        <f t="shared" ref="C186:BN186" si="282">IF(C184&lt;0,0,$B$5+$B$6*((1-EXP(-C185/$B$9))/(C185/$B$9))+$B$7*((1-EXP(-C185/$B$9))/(C185/$B$9)-EXP(-C185/$B$9))+$B$8*((1-EXP(-C185/$B$10))/(C185/$B$10)-EXP(-C185/$B$10)))</f>
        <v>0</v>
      </c>
      <c r="D186" s="140">
        <f t="shared" si="282"/>
        <v>0</v>
      </c>
      <c r="E186" s="140">
        <f t="shared" si="282"/>
        <v>0</v>
      </c>
      <c r="F186" s="140">
        <f t="shared" si="282"/>
        <v>0</v>
      </c>
      <c r="G186" s="140">
        <f t="shared" si="282"/>
        <v>0</v>
      </c>
      <c r="H186" s="140">
        <f t="shared" si="282"/>
        <v>0</v>
      </c>
      <c r="I186" s="140">
        <f t="shared" si="282"/>
        <v>0</v>
      </c>
      <c r="J186" s="140">
        <f t="shared" si="282"/>
        <v>0</v>
      </c>
      <c r="K186" s="140">
        <f t="shared" si="282"/>
        <v>0</v>
      </c>
      <c r="L186" s="140">
        <f t="shared" si="282"/>
        <v>0</v>
      </c>
      <c r="M186" s="140">
        <f t="shared" si="282"/>
        <v>0</v>
      </c>
      <c r="N186" s="140">
        <f t="shared" si="282"/>
        <v>0</v>
      </c>
      <c r="O186" s="140">
        <f t="shared" si="282"/>
        <v>0</v>
      </c>
      <c r="P186" s="140">
        <f t="shared" si="282"/>
        <v>0</v>
      </c>
      <c r="Q186" s="140">
        <f t="shared" si="282"/>
        <v>0</v>
      </c>
      <c r="R186" s="140">
        <f t="shared" si="282"/>
        <v>0</v>
      </c>
      <c r="S186" s="140">
        <f t="shared" si="282"/>
        <v>0</v>
      </c>
      <c r="T186" s="140">
        <f t="shared" si="282"/>
        <v>0</v>
      </c>
      <c r="U186" s="140">
        <f t="shared" si="282"/>
        <v>0</v>
      </c>
      <c r="V186" s="140">
        <f t="shared" si="282"/>
        <v>0</v>
      </c>
      <c r="W186" s="140">
        <f t="shared" si="282"/>
        <v>0</v>
      </c>
      <c r="X186" s="140">
        <f t="shared" si="282"/>
        <v>0</v>
      </c>
      <c r="Y186" s="140">
        <f t="shared" si="282"/>
        <v>0</v>
      </c>
      <c r="Z186" s="140">
        <f t="shared" si="282"/>
        <v>0</v>
      </c>
      <c r="AA186" s="140">
        <f t="shared" si="282"/>
        <v>0</v>
      </c>
      <c r="AB186" s="140">
        <f t="shared" si="282"/>
        <v>0</v>
      </c>
      <c r="AC186" s="140">
        <f t="shared" si="282"/>
        <v>0</v>
      </c>
      <c r="AD186" s="140">
        <f t="shared" si="282"/>
        <v>0</v>
      </c>
      <c r="AE186" s="140">
        <f t="shared" si="282"/>
        <v>0</v>
      </c>
      <c r="AF186" s="140">
        <f t="shared" si="282"/>
        <v>0</v>
      </c>
      <c r="AG186" s="140">
        <f t="shared" si="282"/>
        <v>0</v>
      </c>
      <c r="AH186" s="140">
        <f t="shared" si="282"/>
        <v>0</v>
      </c>
      <c r="AI186" s="140">
        <f t="shared" si="282"/>
        <v>0</v>
      </c>
      <c r="AJ186" s="140">
        <f t="shared" si="282"/>
        <v>0</v>
      </c>
      <c r="AK186" s="140">
        <f t="shared" si="282"/>
        <v>0</v>
      </c>
      <c r="AL186" s="140">
        <f t="shared" si="282"/>
        <v>0</v>
      </c>
      <c r="AM186" s="140">
        <f t="shared" si="282"/>
        <v>0</v>
      </c>
      <c r="AN186" s="140">
        <f t="shared" si="282"/>
        <v>0</v>
      </c>
      <c r="AO186" s="140">
        <f t="shared" si="282"/>
        <v>0</v>
      </c>
      <c r="AP186" s="140">
        <f t="shared" si="282"/>
        <v>0</v>
      </c>
      <c r="AQ186" s="140">
        <f t="shared" si="282"/>
        <v>0</v>
      </c>
      <c r="AR186" s="140">
        <f t="shared" si="282"/>
        <v>0</v>
      </c>
      <c r="AS186" s="140">
        <f t="shared" si="282"/>
        <v>0</v>
      </c>
      <c r="AT186" s="140">
        <f t="shared" si="282"/>
        <v>0</v>
      </c>
      <c r="AU186" s="140">
        <f t="shared" si="282"/>
        <v>0</v>
      </c>
      <c r="AV186" s="140">
        <f t="shared" si="282"/>
        <v>0</v>
      </c>
      <c r="AW186" s="140">
        <f t="shared" si="282"/>
        <v>0</v>
      </c>
      <c r="AX186" s="140">
        <f t="shared" si="282"/>
        <v>0</v>
      </c>
      <c r="AY186" s="140">
        <f t="shared" si="282"/>
        <v>0</v>
      </c>
      <c r="AZ186" s="140">
        <f t="shared" si="282"/>
        <v>0</v>
      </c>
      <c r="BA186" s="140">
        <f t="shared" si="282"/>
        <v>0</v>
      </c>
      <c r="BB186" s="140">
        <f t="shared" si="282"/>
        <v>0</v>
      </c>
      <c r="BC186" s="140">
        <f t="shared" si="282"/>
        <v>0</v>
      </c>
      <c r="BD186" s="140">
        <f t="shared" si="282"/>
        <v>0</v>
      </c>
      <c r="BE186" s="140">
        <f t="shared" si="282"/>
        <v>0</v>
      </c>
      <c r="BF186" s="140">
        <f t="shared" si="282"/>
        <v>0</v>
      </c>
      <c r="BG186" s="140">
        <f t="shared" si="282"/>
        <v>0</v>
      </c>
      <c r="BH186" s="140">
        <f t="shared" si="282"/>
        <v>0</v>
      </c>
      <c r="BI186" s="140">
        <f t="shared" si="282"/>
        <v>0</v>
      </c>
      <c r="BJ186" s="140">
        <f t="shared" si="282"/>
        <v>0</v>
      </c>
      <c r="BK186" s="140">
        <f t="shared" si="282"/>
        <v>0</v>
      </c>
      <c r="BL186" s="140">
        <f t="shared" si="282"/>
        <v>0</v>
      </c>
      <c r="BM186" s="140">
        <f t="shared" si="282"/>
        <v>0</v>
      </c>
      <c r="BN186" s="140">
        <f t="shared" si="282"/>
        <v>0</v>
      </c>
      <c r="BO186" s="140">
        <f t="shared" ref="BO186:CB186" si="283">IF(BO184&lt;0,0,$B$5+$B$6*((1-EXP(-BO185/$B$9))/(BO185/$B$9))+$B$7*((1-EXP(-BO185/$B$9))/(BO185/$B$9)-EXP(-BO185/$B$9))+$B$8*((1-EXP(-BO185/$B$10))/(BO185/$B$10)-EXP(-BO185/$B$10)))</f>
        <v>0</v>
      </c>
      <c r="BP186" s="140">
        <f t="shared" si="283"/>
        <v>0</v>
      </c>
      <c r="BQ186" s="140">
        <f t="shared" si="283"/>
        <v>0</v>
      </c>
      <c r="BR186" s="140">
        <f t="shared" si="283"/>
        <v>0</v>
      </c>
      <c r="BS186" s="140">
        <f t="shared" si="283"/>
        <v>0</v>
      </c>
      <c r="BT186" s="140">
        <f t="shared" si="283"/>
        <v>0</v>
      </c>
      <c r="BU186" s="140">
        <f t="shared" si="283"/>
        <v>0</v>
      </c>
      <c r="BV186" s="140">
        <f t="shared" si="283"/>
        <v>0</v>
      </c>
      <c r="BW186" s="140">
        <f t="shared" si="283"/>
        <v>0</v>
      </c>
      <c r="BX186" s="140">
        <f t="shared" si="283"/>
        <v>0</v>
      </c>
      <c r="BY186" s="140">
        <f t="shared" si="283"/>
        <v>0</v>
      </c>
      <c r="BZ186" s="140">
        <f t="shared" si="283"/>
        <v>0</v>
      </c>
      <c r="CA186" s="140">
        <f t="shared" si="283"/>
        <v>0</v>
      </c>
      <c r="CB186" s="140">
        <f t="shared" si="283"/>
        <v>0</v>
      </c>
      <c r="CC186" s="17"/>
      <c r="CD186" s="17"/>
      <c r="CE186" s="17"/>
    </row>
    <row r="187" spans="1:83">
      <c r="A187" s="16" t="s">
        <v>44</v>
      </c>
      <c r="B187" s="140">
        <f>EXP(-B186*B185)</f>
        <v>1</v>
      </c>
      <c r="C187" s="140">
        <f t="shared" ref="C187:AR187" si="284">EXP(-C186*C185)</f>
        <v>1</v>
      </c>
      <c r="D187" s="140">
        <f t="shared" si="284"/>
        <v>1</v>
      </c>
      <c r="E187" s="140">
        <f t="shared" si="284"/>
        <v>1</v>
      </c>
      <c r="F187" s="140">
        <f t="shared" si="284"/>
        <v>1</v>
      </c>
      <c r="G187" s="140">
        <f t="shared" si="284"/>
        <v>1</v>
      </c>
      <c r="H187" s="140">
        <f t="shared" si="284"/>
        <v>1</v>
      </c>
      <c r="I187" s="140">
        <f t="shared" si="284"/>
        <v>1</v>
      </c>
      <c r="J187" s="140">
        <f t="shared" si="284"/>
        <v>1</v>
      </c>
      <c r="K187" s="140">
        <f t="shared" si="284"/>
        <v>1</v>
      </c>
      <c r="L187" s="140">
        <f t="shared" si="284"/>
        <v>1</v>
      </c>
      <c r="M187" s="140">
        <f t="shared" si="284"/>
        <v>1</v>
      </c>
      <c r="N187" s="140">
        <f t="shared" si="284"/>
        <v>1</v>
      </c>
      <c r="O187" s="140">
        <f t="shared" si="284"/>
        <v>1</v>
      </c>
      <c r="P187" s="140">
        <f t="shared" si="284"/>
        <v>1</v>
      </c>
      <c r="Q187" s="140">
        <f t="shared" si="284"/>
        <v>1</v>
      </c>
      <c r="R187" s="140">
        <f t="shared" si="284"/>
        <v>1</v>
      </c>
      <c r="S187" s="140">
        <f t="shared" si="284"/>
        <v>1</v>
      </c>
      <c r="T187" s="140">
        <f t="shared" si="284"/>
        <v>1</v>
      </c>
      <c r="U187" s="140">
        <f t="shared" si="284"/>
        <v>1</v>
      </c>
      <c r="V187" s="140">
        <f t="shared" si="284"/>
        <v>1</v>
      </c>
      <c r="W187" s="140">
        <f t="shared" si="284"/>
        <v>1</v>
      </c>
      <c r="X187" s="140">
        <f t="shared" si="284"/>
        <v>1</v>
      </c>
      <c r="Y187" s="140">
        <f t="shared" si="284"/>
        <v>1</v>
      </c>
      <c r="Z187" s="140">
        <f t="shared" si="284"/>
        <v>1</v>
      </c>
      <c r="AA187" s="140">
        <f t="shared" si="284"/>
        <v>1</v>
      </c>
      <c r="AB187" s="140">
        <f t="shared" si="284"/>
        <v>1</v>
      </c>
      <c r="AC187" s="140">
        <f t="shared" si="284"/>
        <v>1</v>
      </c>
      <c r="AD187" s="140">
        <f t="shared" si="284"/>
        <v>1</v>
      </c>
      <c r="AE187" s="140">
        <f t="shared" si="284"/>
        <v>1</v>
      </c>
      <c r="AF187" s="140">
        <f t="shared" si="284"/>
        <v>1</v>
      </c>
      <c r="AG187" s="140">
        <f t="shared" si="284"/>
        <v>1</v>
      </c>
      <c r="AH187" s="140">
        <f t="shared" si="284"/>
        <v>1</v>
      </c>
      <c r="AI187" s="140">
        <f t="shared" si="284"/>
        <v>1</v>
      </c>
      <c r="AJ187" s="140">
        <f t="shared" si="284"/>
        <v>1</v>
      </c>
      <c r="AK187" s="140">
        <f t="shared" si="284"/>
        <v>1</v>
      </c>
      <c r="AL187" s="140">
        <f t="shared" si="284"/>
        <v>1</v>
      </c>
      <c r="AM187" s="140">
        <f t="shared" si="284"/>
        <v>1</v>
      </c>
      <c r="AN187" s="140">
        <f t="shared" si="284"/>
        <v>1</v>
      </c>
      <c r="AO187" s="140">
        <f t="shared" si="284"/>
        <v>1</v>
      </c>
      <c r="AP187" s="140">
        <f t="shared" si="284"/>
        <v>1</v>
      </c>
      <c r="AQ187" s="140">
        <f t="shared" si="284"/>
        <v>1</v>
      </c>
      <c r="AR187" s="140">
        <f t="shared" si="284"/>
        <v>1</v>
      </c>
      <c r="AS187" s="140">
        <f>EXP(-AS186*AS185)</f>
        <v>1</v>
      </c>
      <c r="AT187" s="140">
        <f t="shared" ref="AT187:CA187" si="285">EXP(-AT186*AT185)</f>
        <v>1</v>
      </c>
      <c r="AU187" s="140">
        <f t="shared" si="285"/>
        <v>1</v>
      </c>
      <c r="AV187" s="140">
        <f t="shared" si="285"/>
        <v>1</v>
      </c>
      <c r="AW187" s="140">
        <f t="shared" si="285"/>
        <v>1</v>
      </c>
      <c r="AX187" s="140">
        <f t="shared" si="285"/>
        <v>1</v>
      </c>
      <c r="AY187" s="140">
        <f t="shared" si="285"/>
        <v>1</v>
      </c>
      <c r="AZ187" s="140">
        <f t="shared" si="285"/>
        <v>1</v>
      </c>
      <c r="BA187" s="140">
        <f t="shared" si="285"/>
        <v>1</v>
      </c>
      <c r="BB187" s="140">
        <f t="shared" si="285"/>
        <v>1</v>
      </c>
      <c r="BC187" s="140">
        <f t="shared" si="285"/>
        <v>1</v>
      </c>
      <c r="BD187" s="140">
        <f t="shared" si="285"/>
        <v>1</v>
      </c>
      <c r="BE187" s="140">
        <f t="shared" si="285"/>
        <v>1</v>
      </c>
      <c r="BF187" s="140">
        <f t="shared" si="285"/>
        <v>1</v>
      </c>
      <c r="BG187" s="140">
        <f t="shared" si="285"/>
        <v>1</v>
      </c>
      <c r="BH187" s="140">
        <f t="shared" si="285"/>
        <v>1</v>
      </c>
      <c r="BI187" s="140">
        <f t="shared" si="285"/>
        <v>1</v>
      </c>
      <c r="BJ187" s="140">
        <f t="shared" si="285"/>
        <v>1</v>
      </c>
      <c r="BK187" s="140">
        <f t="shared" si="285"/>
        <v>1</v>
      </c>
      <c r="BL187" s="140">
        <f t="shared" si="285"/>
        <v>1</v>
      </c>
      <c r="BM187" s="140">
        <f t="shared" si="285"/>
        <v>1</v>
      </c>
      <c r="BN187" s="140">
        <f t="shared" si="285"/>
        <v>1</v>
      </c>
      <c r="BO187" s="140">
        <f t="shared" si="285"/>
        <v>1</v>
      </c>
      <c r="BP187" s="140">
        <f t="shared" si="285"/>
        <v>1</v>
      </c>
      <c r="BQ187" s="140">
        <f t="shared" si="285"/>
        <v>1</v>
      </c>
      <c r="BR187" s="140">
        <f t="shared" si="285"/>
        <v>1</v>
      </c>
      <c r="BS187" s="140">
        <f t="shared" si="285"/>
        <v>1</v>
      </c>
      <c r="BT187" s="140">
        <f t="shared" si="285"/>
        <v>1</v>
      </c>
      <c r="BU187" s="140">
        <f t="shared" si="285"/>
        <v>1</v>
      </c>
      <c r="BV187" s="140">
        <f t="shared" si="285"/>
        <v>1</v>
      </c>
      <c r="BW187" s="140">
        <f t="shared" si="285"/>
        <v>1</v>
      </c>
      <c r="BX187" s="140">
        <f t="shared" si="285"/>
        <v>1</v>
      </c>
      <c r="BY187" s="140">
        <f t="shared" si="285"/>
        <v>1</v>
      </c>
      <c r="BZ187" s="140">
        <f t="shared" si="285"/>
        <v>1</v>
      </c>
      <c r="CA187" s="140">
        <f t="shared" si="285"/>
        <v>1</v>
      </c>
      <c r="CB187" s="140">
        <f>EXP(-CB186*CB185)</f>
        <v>1</v>
      </c>
      <c r="CC187" s="17"/>
      <c r="CD187" s="17"/>
      <c r="CE187" s="17"/>
    </row>
    <row r="188" spans="1:83">
      <c r="A188" s="17"/>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17"/>
      <c r="CD188" s="17"/>
      <c r="CE188" s="17"/>
    </row>
    <row r="189" spans="1:83">
      <c r="A189" s="16" t="s">
        <v>40</v>
      </c>
      <c r="B189" s="140">
        <f t="shared" ref="B189:BM189" si="286">DAYS360($B$3,B72)</f>
        <v>-43022</v>
      </c>
      <c r="C189" s="140">
        <f t="shared" si="286"/>
        <v>-42842</v>
      </c>
      <c r="D189" s="140">
        <f t="shared" si="286"/>
        <v>-42662</v>
      </c>
      <c r="E189" s="140">
        <f t="shared" si="286"/>
        <v>-42482</v>
      </c>
      <c r="F189" s="140">
        <f t="shared" si="286"/>
        <v>-42302</v>
      </c>
      <c r="G189" s="140">
        <f t="shared" si="286"/>
        <v>-42122</v>
      </c>
      <c r="H189" s="140">
        <f t="shared" si="286"/>
        <v>-41942</v>
      </c>
      <c r="I189" s="140">
        <f t="shared" si="286"/>
        <v>-41762</v>
      </c>
      <c r="J189" s="140">
        <f t="shared" si="286"/>
        <v>-41582</v>
      </c>
      <c r="K189" s="140">
        <f t="shared" si="286"/>
        <v>-41403</v>
      </c>
      <c r="L189" s="140">
        <f t="shared" si="286"/>
        <v>-41223</v>
      </c>
      <c r="M189" s="140">
        <f t="shared" si="286"/>
        <v>-41043</v>
      </c>
      <c r="N189" s="140">
        <f t="shared" si="286"/>
        <v>-40863</v>
      </c>
      <c r="O189" s="140">
        <f t="shared" si="286"/>
        <v>-40683</v>
      </c>
      <c r="P189" s="140">
        <f t="shared" si="286"/>
        <v>-40503</v>
      </c>
      <c r="Q189" s="140">
        <f t="shared" si="286"/>
        <v>-40323</v>
      </c>
      <c r="R189" s="140">
        <f t="shared" si="286"/>
        <v>-40143</v>
      </c>
      <c r="S189" s="140">
        <f t="shared" si="286"/>
        <v>-39964</v>
      </c>
      <c r="T189" s="140">
        <f t="shared" si="286"/>
        <v>-39784</v>
      </c>
      <c r="U189" s="140">
        <f t="shared" si="286"/>
        <v>-39604</v>
      </c>
      <c r="V189" s="140">
        <f t="shared" si="286"/>
        <v>-39424</v>
      </c>
      <c r="W189" s="140">
        <f t="shared" si="286"/>
        <v>-39244</v>
      </c>
      <c r="X189" s="140">
        <f t="shared" si="286"/>
        <v>-39064</v>
      </c>
      <c r="Y189" s="140">
        <f t="shared" si="286"/>
        <v>-38884</v>
      </c>
      <c r="Z189" s="140">
        <f t="shared" si="286"/>
        <v>-38704</v>
      </c>
      <c r="AA189" s="140">
        <f t="shared" si="286"/>
        <v>-38525</v>
      </c>
      <c r="AB189" s="140">
        <f t="shared" si="286"/>
        <v>-38345</v>
      </c>
      <c r="AC189" s="140">
        <f t="shared" si="286"/>
        <v>-38165</v>
      </c>
      <c r="AD189" s="140">
        <f t="shared" si="286"/>
        <v>-37985</v>
      </c>
      <c r="AE189" s="140">
        <f t="shared" si="286"/>
        <v>-37805</v>
      </c>
      <c r="AF189" s="140">
        <f t="shared" si="286"/>
        <v>-37625</v>
      </c>
      <c r="AG189" s="140">
        <f t="shared" si="286"/>
        <v>-37445</v>
      </c>
      <c r="AH189" s="140">
        <f t="shared" si="286"/>
        <v>-37265</v>
      </c>
      <c r="AI189" s="140">
        <f t="shared" si="286"/>
        <v>-37086</v>
      </c>
      <c r="AJ189" s="140">
        <f t="shared" si="286"/>
        <v>-36906</v>
      </c>
      <c r="AK189" s="140">
        <f t="shared" si="286"/>
        <v>-36726</v>
      </c>
      <c r="AL189" s="140">
        <f t="shared" si="286"/>
        <v>-36546</v>
      </c>
      <c r="AM189" s="140">
        <f t="shared" si="286"/>
        <v>-36366</v>
      </c>
      <c r="AN189" s="140">
        <f t="shared" si="286"/>
        <v>-36186</v>
      </c>
      <c r="AO189" s="140">
        <f t="shared" si="286"/>
        <v>-36006</v>
      </c>
      <c r="AP189" s="140">
        <f t="shared" si="286"/>
        <v>-35826</v>
      </c>
      <c r="AQ189" s="140">
        <f t="shared" si="286"/>
        <v>-35647</v>
      </c>
      <c r="AR189" s="140">
        <f t="shared" si="286"/>
        <v>-35467</v>
      </c>
      <c r="AS189" s="140">
        <f t="shared" si="286"/>
        <v>-35287</v>
      </c>
      <c r="AT189" s="140">
        <f t="shared" si="286"/>
        <v>-35107</v>
      </c>
      <c r="AU189" s="140">
        <f t="shared" si="286"/>
        <v>-34927</v>
      </c>
      <c r="AV189" s="140">
        <f t="shared" si="286"/>
        <v>-34747</v>
      </c>
      <c r="AW189" s="140">
        <f t="shared" si="286"/>
        <v>-34567</v>
      </c>
      <c r="AX189" s="140">
        <f t="shared" si="286"/>
        <v>-34387</v>
      </c>
      <c r="AY189" s="140">
        <f t="shared" si="286"/>
        <v>-34208</v>
      </c>
      <c r="AZ189" s="140">
        <f t="shared" si="286"/>
        <v>-34028</v>
      </c>
      <c r="BA189" s="140">
        <f t="shared" si="286"/>
        <v>-33848</v>
      </c>
      <c r="BB189" s="140">
        <f t="shared" si="286"/>
        <v>-33668</v>
      </c>
      <c r="BC189" s="140">
        <f t="shared" si="286"/>
        <v>-33488</v>
      </c>
      <c r="BD189" s="140">
        <f t="shared" si="286"/>
        <v>-33308</v>
      </c>
      <c r="BE189" s="140">
        <f t="shared" si="286"/>
        <v>-33128</v>
      </c>
      <c r="BF189" s="140">
        <f t="shared" si="286"/>
        <v>-32948</v>
      </c>
      <c r="BG189" s="140">
        <f t="shared" si="286"/>
        <v>-32769</v>
      </c>
      <c r="BH189" s="140">
        <f t="shared" si="286"/>
        <v>-32589</v>
      </c>
      <c r="BI189" s="140">
        <f t="shared" si="286"/>
        <v>-32409</v>
      </c>
      <c r="BJ189" s="140">
        <f t="shared" si="286"/>
        <v>-32229</v>
      </c>
      <c r="BK189" s="140">
        <f t="shared" si="286"/>
        <v>-32049</v>
      </c>
      <c r="BL189" s="140">
        <f t="shared" si="286"/>
        <v>-31869</v>
      </c>
      <c r="BM189" s="140">
        <f t="shared" si="286"/>
        <v>-31689</v>
      </c>
      <c r="BN189" s="140">
        <f t="shared" ref="BN189:CB189" si="287">DAYS360($B$3,BN72)</f>
        <v>-31509</v>
      </c>
      <c r="BO189" s="140">
        <f t="shared" si="287"/>
        <v>-31330</v>
      </c>
      <c r="BP189" s="140">
        <f t="shared" si="287"/>
        <v>-31150</v>
      </c>
      <c r="BQ189" s="140">
        <f t="shared" si="287"/>
        <v>-30970</v>
      </c>
      <c r="BR189" s="140">
        <f t="shared" si="287"/>
        <v>-30790</v>
      </c>
      <c r="BS189" s="140">
        <f t="shared" si="287"/>
        <v>-30610</v>
      </c>
      <c r="BT189" s="140">
        <f t="shared" si="287"/>
        <v>-30430</v>
      </c>
      <c r="BU189" s="140">
        <f t="shared" si="287"/>
        <v>-30250</v>
      </c>
      <c r="BV189" s="140">
        <f t="shared" si="287"/>
        <v>-30070</v>
      </c>
      <c r="BW189" s="140">
        <f t="shared" si="287"/>
        <v>-29891</v>
      </c>
      <c r="BX189" s="140">
        <f t="shared" si="287"/>
        <v>-29711</v>
      </c>
      <c r="BY189" s="140">
        <f t="shared" si="287"/>
        <v>-29531</v>
      </c>
      <c r="BZ189" s="140">
        <f t="shared" si="287"/>
        <v>-29351</v>
      </c>
      <c r="CA189" s="140">
        <f t="shared" si="287"/>
        <v>-29171</v>
      </c>
      <c r="CB189" s="140">
        <f t="shared" si="287"/>
        <v>-28991</v>
      </c>
      <c r="CC189" s="17"/>
      <c r="CD189" s="17"/>
      <c r="CE189" s="17"/>
    </row>
    <row r="190" spans="1:83">
      <c r="A190" s="16" t="s">
        <v>41</v>
      </c>
      <c r="B190" s="140">
        <f>B189/360</f>
        <v>-119.50555555555556</v>
      </c>
      <c r="C190" s="140">
        <f t="shared" ref="C190:BN190" si="288">C189/360</f>
        <v>-119.00555555555556</v>
      </c>
      <c r="D190" s="140">
        <f t="shared" si="288"/>
        <v>-118.50555555555556</v>
      </c>
      <c r="E190" s="140">
        <f t="shared" si="288"/>
        <v>-118.00555555555556</v>
      </c>
      <c r="F190" s="140">
        <f t="shared" si="288"/>
        <v>-117.50555555555556</v>
      </c>
      <c r="G190" s="140">
        <f t="shared" si="288"/>
        <v>-117.00555555555556</v>
      </c>
      <c r="H190" s="140">
        <f t="shared" si="288"/>
        <v>-116.50555555555556</v>
      </c>
      <c r="I190" s="140">
        <f t="shared" si="288"/>
        <v>-116.00555555555556</v>
      </c>
      <c r="J190" s="140">
        <f t="shared" si="288"/>
        <v>-115.50555555555556</v>
      </c>
      <c r="K190" s="140">
        <f t="shared" si="288"/>
        <v>-115.00833333333334</v>
      </c>
      <c r="L190" s="140">
        <f t="shared" si="288"/>
        <v>-114.50833333333334</v>
      </c>
      <c r="M190" s="140">
        <f t="shared" si="288"/>
        <v>-114.00833333333334</v>
      </c>
      <c r="N190" s="140">
        <f t="shared" si="288"/>
        <v>-113.50833333333334</v>
      </c>
      <c r="O190" s="140">
        <f t="shared" si="288"/>
        <v>-113.00833333333334</v>
      </c>
      <c r="P190" s="140">
        <f t="shared" si="288"/>
        <v>-112.50833333333334</v>
      </c>
      <c r="Q190" s="140">
        <f t="shared" si="288"/>
        <v>-112.00833333333334</v>
      </c>
      <c r="R190" s="140">
        <f t="shared" si="288"/>
        <v>-111.50833333333334</v>
      </c>
      <c r="S190" s="140">
        <f t="shared" si="288"/>
        <v>-111.01111111111111</v>
      </c>
      <c r="T190" s="140">
        <f t="shared" si="288"/>
        <v>-110.51111111111111</v>
      </c>
      <c r="U190" s="140">
        <f t="shared" si="288"/>
        <v>-110.01111111111111</v>
      </c>
      <c r="V190" s="140">
        <f t="shared" si="288"/>
        <v>-109.51111111111111</v>
      </c>
      <c r="W190" s="140">
        <f t="shared" si="288"/>
        <v>-109.01111111111111</v>
      </c>
      <c r="X190" s="140">
        <f t="shared" si="288"/>
        <v>-108.51111111111111</v>
      </c>
      <c r="Y190" s="140">
        <f t="shared" si="288"/>
        <v>-108.01111111111111</v>
      </c>
      <c r="Z190" s="140">
        <f t="shared" si="288"/>
        <v>-107.51111111111111</v>
      </c>
      <c r="AA190" s="140">
        <f t="shared" si="288"/>
        <v>-107.01388888888889</v>
      </c>
      <c r="AB190" s="140">
        <f t="shared" si="288"/>
        <v>-106.51388888888889</v>
      </c>
      <c r="AC190" s="140">
        <f t="shared" si="288"/>
        <v>-106.01388888888889</v>
      </c>
      <c r="AD190" s="140">
        <f t="shared" si="288"/>
        <v>-105.51388888888889</v>
      </c>
      <c r="AE190" s="140">
        <f t="shared" si="288"/>
        <v>-105.01388888888889</v>
      </c>
      <c r="AF190" s="140">
        <f t="shared" si="288"/>
        <v>-104.51388888888889</v>
      </c>
      <c r="AG190" s="140">
        <f t="shared" si="288"/>
        <v>-104.01388888888889</v>
      </c>
      <c r="AH190" s="140">
        <f t="shared" si="288"/>
        <v>-103.51388888888889</v>
      </c>
      <c r="AI190" s="140">
        <f t="shared" si="288"/>
        <v>-103.01666666666667</v>
      </c>
      <c r="AJ190" s="140">
        <f t="shared" si="288"/>
        <v>-102.51666666666667</v>
      </c>
      <c r="AK190" s="140">
        <f t="shared" si="288"/>
        <v>-102.01666666666667</v>
      </c>
      <c r="AL190" s="140">
        <f t="shared" si="288"/>
        <v>-101.51666666666667</v>
      </c>
      <c r="AM190" s="140">
        <f t="shared" si="288"/>
        <v>-101.01666666666667</v>
      </c>
      <c r="AN190" s="140">
        <f t="shared" si="288"/>
        <v>-100.51666666666667</v>
      </c>
      <c r="AO190" s="140">
        <f t="shared" si="288"/>
        <v>-100.01666666666667</v>
      </c>
      <c r="AP190" s="140">
        <f t="shared" si="288"/>
        <v>-99.516666666666666</v>
      </c>
      <c r="AQ190" s="140">
        <f t="shared" si="288"/>
        <v>-99.019444444444446</v>
      </c>
      <c r="AR190" s="140">
        <f t="shared" si="288"/>
        <v>-98.519444444444446</v>
      </c>
      <c r="AS190" s="140">
        <f t="shared" si="288"/>
        <v>-98.019444444444446</v>
      </c>
      <c r="AT190" s="140">
        <f t="shared" si="288"/>
        <v>-97.519444444444446</v>
      </c>
      <c r="AU190" s="140">
        <f t="shared" si="288"/>
        <v>-97.019444444444446</v>
      </c>
      <c r="AV190" s="140">
        <f t="shared" si="288"/>
        <v>-96.519444444444446</v>
      </c>
      <c r="AW190" s="140">
        <f t="shared" si="288"/>
        <v>-96.019444444444446</v>
      </c>
      <c r="AX190" s="140">
        <f t="shared" si="288"/>
        <v>-95.519444444444446</v>
      </c>
      <c r="AY190" s="140">
        <f t="shared" si="288"/>
        <v>-95.022222222222226</v>
      </c>
      <c r="AZ190" s="140">
        <f t="shared" si="288"/>
        <v>-94.522222222222226</v>
      </c>
      <c r="BA190" s="140">
        <f t="shared" si="288"/>
        <v>-94.022222222222226</v>
      </c>
      <c r="BB190" s="140">
        <f t="shared" si="288"/>
        <v>-93.522222222222226</v>
      </c>
      <c r="BC190" s="140">
        <f t="shared" si="288"/>
        <v>-93.022222222222226</v>
      </c>
      <c r="BD190" s="140">
        <f t="shared" si="288"/>
        <v>-92.522222222222226</v>
      </c>
      <c r="BE190" s="140">
        <f t="shared" si="288"/>
        <v>-92.022222222222226</v>
      </c>
      <c r="BF190" s="140">
        <f t="shared" si="288"/>
        <v>-91.522222222222226</v>
      </c>
      <c r="BG190" s="140">
        <f t="shared" si="288"/>
        <v>-91.025000000000006</v>
      </c>
      <c r="BH190" s="140">
        <f t="shared" si="288"/>
        <v>-90.525000000000006</v>
      </c>
      <c r="BI190" s="140">
        <f t="shared" si="288"/>
        <v>-90.025000000000006</v>
      </c>
      <c r="BJ190" s="140">
        <f t="shared" si="288"/>
        <v>-89.525000000000006</v>
      </c>
      <c r="BK190" s="140">
        <f t="shared" si="288"/>
        <v>-89.025000000000006</v>
      </c>
      <c r="BL190" s="140">
        <f t="shared" si="288"/>
        <v>-88.525000000000006</v>
      </c>
      <c r="BM190" s="140">
        <f t="shared" si="288"/>
        <v>-88.025000000000006</v>
      </c>
      <c r="BN190" s="140">
        <f t="shared" si="288"/>
        <v>-87.525000000000006</v>
      </c>
      <c r="BO190" s="140">
        <f t="shared" ref="BO190:CB190" si="289">BO189/360</f>
        <v>-87.027777777777771</v>
      </c>
      <c r="BP190" s="140">
        <f t="shared" si="289"/>
        <v>-86.527777777777771</v>
      </c>
      <c r="BQ190" s="140">
        <f t="shared" si="289"/>
        <v>-86.027777777777771</v>
      </c>
      <c r="BR190" s="140">
        <f t="shared" si="289"/>
        <v>-85.527777777777771</v>
      </c>
      <c r="BS190" s="140">
        <f t="shared" si="289"/>
        <v>-85.027777777777771</v>
      </c>
      <c r="BT190" s="140">
        <f t="shared" si="289"/>
        <v>-84.527777777777771</v>
      </c>
      <c r="BU190" s="140">
        <f t="shared" si="289"/>
        <v>-84.027777777777771</v>
      </c>
      <c r="BV190" s="140">
        <f t="shared" si="289"/>
        <v>-83.527777777777771</v>
      </c>
      <c r="BW190" s="140">
        <f t="shared" si="289"/>
        <v>-83.030555555555551</v>
      </c>
      <c r="BX190" s="140">
        <f t="shared" si="289"/>
        <v>-82.530555555555551</v>
      </c>
      <c r="BY190" s="140">
        <f t="shared" si="289"/>
        <v>-82.030555555555551</v>
      </c>
      <c r="BZ190" s="140">
        <f t="shared" si="289"/>
        <v>-81.530555555555551</v>
      </c>
      <c r="CA190" s="140">
        <f t="shared" si="289"/>
        <v>-81.030555555555551</v>
      </c>
      <c r="CB190" s="140">
        <f t="shared" si="289"/>
        <v>-80.530555555555551</v>
      </c>
      <c r="CC190" s="17"/>
      <c r="CD190" s="17"/>
      <c r="CE190" s="17"/>
    </row>
    <row r="191" spans="1:83">
      <c r="A191" s="16" t="s">
        <v>43</v>
      </c>
      <c r="B191" s="140">
        <f>IF(B189&lt;0,0,$B$5+$B$6*((1-EXP(-B190/$B$9))/(B190/$B$9))+$B$7*((1-EXP(-B190/$B$9))/(B190/$B$9)-EXP(-B190/$B$9))+$B$8*((1-EXP(-B190/$B$10))/(B190/$B$10)-EXP(-B190/$B$10)))</f>
        <v>0</v>
      </c>
      <c r="C191" s="140">
        <f t="shared" ref="C191:BN191" si="290">IF(C189&lt;0,0,$B$5+$B$6*((1-EXP(-C190/$B$9))/(C190/$B$9))+$B$7*((1-EXP(-C190/$B$9))/(C190/$B$9)-EXP(-C190/$B$9))+$B$8*((1-EXP(-C190/$B$10))/(C190/$B$10)-EXP(-C190/$B$10)))</f>
        <v>0</v>
      </c>
      <c r="D191" s="140">
        <f t="shared" si="290"/>
        <v>0</v>
      </c>
      <c r="E191" s="140">
        <f t="shared" si="290"/>
        <v>0</v>
      </c>
      <c r="F191" s="140">
        <f t="shared" si="290"/>
        <v>0</v>
      </c>
      <c r="G191" s="140">
        <f t="shared" si="290"/>
        <v>0</v>
      </c>
      <c r="H191" s="140">
        <f t="shared" si="290"/>
        <v>0</v>
      </c>
      <c r="I191" s="140">
        <f t="shared" si="290"/>
        <v>0</v>
      </c>
      <c r="J191" s="140">
        <f t="shared" si="290"/>
        <v>0</v>
      </c>
      <c r="K191" s="140">
        <f t="shared" si="290"/>
        <v>0</v>
      </c>
      <c r="L191" s="140">
        <f t="shared" si="290"/>
        <v>0</v>
      </c>
      <c r="M191" s="140">
        <f t="shared" si="290"/>
        <v>0</v>
      </c>
      <c r="N191" s="140">
        <f t="shared" si="290"/>
        <v>0</v>
      </c>
      <c r="O191" s="140">
        <f t="shared" si="290"/>
        <v>0</v>
      </c>
      <c r="P191" s="140">
        <f t="shared" si="290"/>
        <v>0</v>
      </c>
      <c r="Q191" s="140">
        <f t="shared" si="290"/>
        <v>0</v>
      </c>
      <c r="R191" s="140">
        <f t="shared" si="290"/>
        <v>0</v>
      </c>
      <c r="S191" s="140">
        <f t="shared" si="290"/>
        <v>0</v>
      </c>
      <c r="T191" s="140">
        <f t="shared" si="290"/>
        <v>0</v>
      </c>
      <c r="U191" s="140">
        <f t="shared" si="290"/>
        <v>0</v>
      </c>
      <c r="V191" s="140">
        <f t="shared" si="290"/>
        <v>0</v>
      </c>
      <c r="W191" s="140">
        <f t="shared" si="290"/>
        <v>0</v>
      </c>
      <c r="X191" s="140">
        <f t="shared" si="290"/>
        <v>0</v>
      </c>
      <c r="Y191" s="140">
        <f t="shared" si="290"/>
        <v>0</v>
      </c>
      <c r="Z191" s="140">
        <f t="shared" si="290"/>
        <v>0</v>
      </c>
      <c r="AA191" s="140">
        <f t="shared" si="290"/>
        <v>0</v>
      </c>
      <c r="AB191" s="140">
        <f t="shared" si="290"/>
        <v>0</v>
      </c>
      <c r="AC191" s="140">
        <f t="shared" si="290"/>
        <v>0</v>
      </c>
      <c r="AD191" s="140">
        <f t="shared" si="290"/>
        <v>0</v>
      </c>
      <c r="AE191" s="140">
        <f t="shared" si="290"/>
        <v>0</v>
      </c>
      <c r="AF191" s="140">
        <f t="shared" si="290"/>
        <v>0</v>
      </c>
      <c r="AG191" s="140">
        <f t="shared" si="290"/>
        <v>0</v>
      </c>
      <c r="AH191" s="140">
        <f t="shared" si="290"/>
        <v>0</v>
      </c>
      <c r="AI191" s="140">
        <f t="shared" si="290"/>
        <v>0</v>
      </c>
      <c r="AJ191" s="140">
        <f t="shared" si="290"/>
        <v>0</v>
      </c>
      <c r="AK191" s="140">
        <f t="shared" si="290"/>
        <v>0</v>
      </c>
      <c r="AL191" s="140">
        <f t="shared" si="290"/>
        <v>0</v>
      </c>
      <c r="AM191" s="140">
        <f t="shared" si="290"/>
        <v>0</v>
      </c>
      <c r="AN191" s="140">
        <f t="shared" si="290"/>
        <v>0</v>
      </c>
      <c r="AO191" s="140">
        <f t="shared" si="290"/>
        <v>0</v>
      </c>
      <c r="AP191" s="140">
        <f t="shared" si="290"/>
        <v>0</v>
      </c>
      <c r="AQ191" s="140">
        <f t="shared" si="290"/>
        <v>0</v>
      </c>
      <c r="AR191" s="140">
        <f t="shared" si="290"/>
        <v>0</v>
      </c>
      <c r="AS191" s="140">
        <f t="shared" si="290"/>
        <v>0</v>
      </c>
      <c r="AT191" s="140">
        <f t="shared" si="290"/>
        <v>0</v>
      </c>
      <c r="AU191" s="140">
        <f t="shared" si="290"/>
        <v>0</v>
      </c>
      <c r="AV191" s="140">
        <f t="shared" si="290"/>
        <v>0</v>
      </c>
      <c r="AW191" s="140">
        <f t="shared" si="290"/>
        <v>0</v>
      </c>
      <c r="AX191" s="140">
        <f t="shared" si="290"/>
        <v>0</v>
      </c>
      <c r="AY191" s="140">
        <f t="shared" si="290"/>
        <v>0</v>
      </c>
      <c r="AZ191" s="140">
        <f t="shared" si="290"/>
        <v>0</v>
      </c>
      <c r="BA191" s="140">
        <f t="shared" si="290"/>
        <v>0</v>
      </c>
      <c r="BB191" s="140">
        <f t="shared" si="290"/>
        <v>0</v>
      </c>
      <c r="BC191" s="140">
        <f t="shared" si="290"/>
        <v>0</v>
      </c>
      <c r="BD191" s="140">
        <f t="shared" si="290"/>
        <v>0</v>
      </c>
      <c r="BE191" s="140">
        <f t="shared" si="290"/>
        <v>0</v>
      </c>
      <c r="BF191" s="140">
        <f t="shared" si="290"/>
        <v>0</v>
      </c>
      <c r="BG191" s="140">
        <f t="shared" si="290"/>
        <v>0</v>
      </c>
      <c r="BH191" s="140">
        <f t="shared" si="290"/>
        <v>0</v>
      </c>
      <c r="BI191" s="140">
        <f t="shared" si="290"/>
        <v>0</v>
      </c>
      <c r="BJ191" s="140">
        <f t="shared" si="290"/>
        <v>0</v>
      </c>
      <c r="BK191" s="140">
        <f t="shared" si="290"/>
        <v>0</v>
      </c>
      <c r="BL191" s="140">
        <f t="shared" si="290"/>
        <v>0</v>
      </c>
      <c r="BM191" s="140">
        <f t="shared" si="290"/>
        <v>0</v>
      </c>
      <c r="BN191" s="140">
        <f t="shared" si="290"/>
        <v>0</v>
      </c>
      <c r="BO191" s="140">
        <f t="shared" ref="BO191:CB191" si="291">IF(BO189&lt;0,0,$B$5+$B$6*((1-EXP(-BO190/$B$9))/(BO190/$B$9))+$B$7*((1-EXP(-BO190/$B$9))/(BO190/$B$9)-EXP(-BO190/$B$9))+$B$8*((1-EXP(-BO190/$B$10))/(BO190/$B$10)-EXP(-BO190/$B$10)))</f>
        <v>0</v>
      </c>
      <c r="BP191" s="140">
        <f t="shared" si="291"/>
        <v>0</v>
      </c>
      <c r="BQ191" s="140">
        <f t="shared" si="291"/>
        <v>0</v>
      </c>
      <c r="BR191" s="140">
        <f t="shared" si="291"/>
        <v>0</v>
      </c>
      <c r="BS191" s="140">
        <f t="shared" si="291"/>
        <v>0</v>
      </c>
      <c r="BT191" s="140">
        <f t="shared" si="291"/>
        <v>0</v>
      </c>
      <c r="BU191" s="140">
        <f t="shared" si="291"/>
        <v>0</v>
      </c>
      <c r="BV191" s="140">
        <f t="shared" si="291"/>
        <v>0</v>
      </c>
      <c r="BW191" s="140">
        <f t="shared" si="291"/>
        <v>0</v>
      </c>
      <c r="BX191" s="140">
        <f t="shared" si="291"/>
        <v>0</v>
      </c>
      <c r="BY191" s="140">
        <f t="shared" si="291"/>
        <v>0</v>
      </c>
      <c r="BZ191" s="140">
        <f t="shared" si="291"/>
        <v>0</v>
      </c>
      <c r="CA191" s="140">
        <f t="shared" si="291"/>
        <v>0</v>
      </c>
      <c r="CB191" s="140">
        <f t="shared" si="291"/>
        <v>0</v>
      </c>
      <c r="CC191" s="17"/>
      <c r="CD191" s="17"/>
      <c r="CE191" s="17"/>
    </row>
    <row r="192" spans="1:83">
      <c r="A192" s="16" t="s">
        <v>44</v>
      </c>
      <c r="B192" s="140">
        <f>EXP(-B191*B190)</f>
        <v>1</v>
      </c>
      <c r="C192" s="140">
        <f t="shared" ref="C192:AR192" si="292">EXP(-C191*C190)</f>
        <v>1</v>
      </c>
      <c r="D192" s="140">
        <f t="shared" si="292"/>
        <v>1</v>
      </c>
      <c r="E192" s="140">
        <f t="shared" si="292"/>
        <v>1</v>
      </c>
      <c r="F192" s="140">
        <f t="shared" si="292"/>
        <v>1</v>
      </c>
      <c r="G192" s="140">
        <f t="shared" si="292"/>
        <v>1</v>
      </c>
      <c r="H192" s="140">
        <f t="shared" si="292"/>
        <v>1</v>
      </c>
      <c r="I192" s="140">
        <f t="shared" si="292"/>
        <v>1</v>
      </c>
      <c r="J192" s="140">
        <f t="shared" si="292"/>
        <v>1</v>
      </c>
      <c r="K192" s="140">
        <f t="shared" si="292"/>
        <v>1</v>
      </c>
      <c r="L192" s="140">
        <f t="shared" si="292"/>
        <v>1</v>
      </c>
      <c r="M192" s="140">
        <f t="shared" si="292"/>
        <v>1</v>
      </c>
      <c r="N192" s="140">
        <f t="shared" si="292"/>
        <v>1</v>
      </c>
      <c r="O192" s="140">
        <f t="shared" si="292"/>
        <v>1</v>
      </c>
      <c r="P192" s="140">
        <f t="shared" si="292"/>
        <v>1</v>
      </c>
      <c r="Q192" s="140">
        <f t="shared" si="292"/>
        <v>1</v>
      </c>
      <c r="R192" s="140">
        <f t="shared" si="292"/>
        <v>1</v>
      </c>
      <c r="S192" s="140">
        <f t="shared" si="292"/>
        <v>1</v>
      </c>
      <c r="T192" s="140">
        <f t="shared" si="292"/>
        <v>1</v>
      </c>
      <c r="U192" s="140">
        <f t="shared" si="292"/>
        <v>1</v>
      </c>
      <c r="V192" s="140">
        <f t="shared" si="292"/>
        <v>1</v>
      </c>
      <c r="W192" s="140">
        <f t="shared" si="292"/>
        <v>1</v>
      </c>
      <c r="X192" s="140">
        <f t="shared" si="292"/>
        <v>1</v>
      </c>
      <c r="Y192" s="140">
        <f t="shared" si="292"/>
        <v>1</v>
      </c>
      <c r="Z192" s="140">
        <f t="shared" si="292"/>
        <v>1</v>
      </c>
      <c r="AA192" s="140">
        <f t="shared" si="292"/>
        <v>1</v>
      </c>
      <c r="AB192" s="140">
        <f t="shared" si="292"/>
        <v>1</v>
      </c>
      <c r="AC192" s="140">
        <f t="shared" si="292"/>
        <v>1</v>
      </c>
      <c r="AD192" s="140">
        <f t="shared" si="292"/>
        <v>1</v>
      </c>
      <c r="AE192" s="140">
        <f t="shared" si="292"/>
        <v>1</v>
      </c>
      <c r="AF192" s="140">
        <f t="shared" si="292"/>
        <v>1</v>
      </c>
      <c r="AG192" s="140">
        <f t="shared" si="292"/>
        <v>1</v>
      </c>
      <c r="AH192" s="140">
        <f t="shared" si="292"/>
        <v>1</v>
      </c>
      <c r="AI192" s="140">
        <f t="shared" si="292"/>
        <v>1</v>
      </c>
      <c r="AJ192" s="140">
        <f t="shared" si="292"/>
        <v>1</v>
      </c>
      <c r="AK192" s="140">
        <f t="shared" si="292"/>
        <v>1</v>
      </c>
      <c r="AL192" s="140">
        <f t="shared" si="292"/>
        <v>1</v>
      </c>
      <c r="AM192" s="140">
        <f t="shared" si="292"/>
        <v>1</v>
      </c>
      <c r="AN192" s="140">
        <f t="shared" si="292"/>
        <v>1</v>
      </c>
      <c r="AO192" s="140">
        <f t="shared" si="292"/>
        <v>1</v>
      </c>
      <c r="AP192" s="140">
        <f t="shared" si="292"/>
        <v>1</v>
      </c>
      <c r="AQ192" s="140">
        <f t="shared" si="292"/>
        <v>1</v>
      </c>
      <c r="AR192" s="140">
        <f t="shared" si="292"/>
        <v>1</v>
      </c>
      <c r="AS192" s="140">
        <f>EXP(-AS191*AS190)</f>
        <v>1</v>
      </c>
      <c r="AT192" s="140">
        <f t="shared" ref="AT192:CA192" si="293">EXP(-AT191*AT190)</f>
        <v>1</v>
      </c>
      <c r="AU192" s="140">
        <f t="shared" si="293"/>
        <v>1</v>
      </c>
      <c r="AV192" s="140">
        <f t="shared" si="293"/>
        <v>1</v>
      </c>
      <c r="AW192" s="140">
        <f t="shared" si="293"/>
        <v>1</v>
      </c>
      <c r="AX192" s="140">
        <f t="shared" si="293"/>
        <v>1</v>
      </c>
      <c r="AY192" s="140">
        <f t="shared" si="293"/>
        <v>1</v>
      </c>
      <c r="AZ192" s="140">
        <f t="shared" si="293"/>
        <v>1</v>
      </c>
      <c r="BA192" s="140">
        <f t="shared" si="293"/>
        <v>1</v>
      </c>
      <c r="BB192" s="140">
        <f t="shared" si="293"/>
        <v>1</v>
      </c>
      <c r="BC192" s="140">
        <f t="shared" si="293"/>
        <v>1</v>
      </c>
      <c r="BD192" s="140">
        <f t="shared" si="293"/>
        <v>1</v>
      </c>
      <c r="BE192" s="140">
        <f t="shared" si="293"/>
        <v>1</v>
      </c>
      <c r="BF192" s="140">
        <f t="shared" si="293"/>
        <v>1</v>
      </c>
      <c r="BG192" s="140">
        <f t="shared" si="293"/>
        <v>1</v>
      </c>
      <c r="BH192" s="140">
        <f t="shared" si="293"/>
        <v>1</v>
      </c>
      <c r="BI192" s="140">
        <f t="shared" si="293"/>
        <v>1</v>
      </c>
      <c r="BJ192" s="140">
        <f t="shared" si="293"/>
        <v>1</v>
      </c>
      <c r="BK192" s="140">
        <f t="shared" si="293"/>
        <v>1</v>
      </c>
      <c r="BL192" s="140">
        <f t="shared" si="293"/>
        <v>1</v>
      </c>
      <c r="BM192" s="140">
        <f t="shared" si="293"/>
        <v>1</v>
      </c>
      <c r="BN192" s="140">
        <f t="shared" si="293"/>
        <v>1</v>
      </c>
      <c r="BO192" s="140">
        <f t="shared" si="293"/>
        <v>1</v>
      </c>
      <c r="BP192" s="140">
        <f t="shared" si="293"/>
        <v>1</v>
      </c>
      <c r="BQ192" s="140">
        <f t="shared" si="293"/>
        <v>1</v>
      </c>
      <c r="BR192" s="140">
        <f t="shared" si="293"/>
        <v>1</v>
      </c>
      <c r="BS192" s="140">
        <f t="shared" si="293"/>
        <v>1</v>
      </c>
      <c r="BT192" s="140">
        <f t="shared" si="293"/>
        <v>1</v>
      </c>
      <c r="BU192" s="140">
        <f t="shared" si="293"/>
        <v>1</v>
      </c>
      <c r="BV192" s="140">
        <f t="shared" si="293"/>
        <v>1</v>
      </c>
      <c r="BW192" s="140">
        <f t="shared" si="293"/>
        <v>1</v>
      </c>
      <c r="BX192" s="140">
        <f t="shared" si="293"/>
        <v>1</v>
      </c>
      <c r="BY192" s="140">
        <f t="shared" si="293"/>
        <v>1</v>
      </c>
      <c r="BZ192" s="140">
        <f t="shared" si="293"/>
        <v>1</v>
      </c>
      <c r="CA192" s="140">
        <f t="shared" si="293"/>
        <v>1</v>
      </c>
      <c r="CB192" s="140">
        <f>EXP(-CB191*CB190)</f>
        <v>1</v>
      </c>
      <c r="CC192" s="17"/>
      <c r="CD192" s="17"/>
      <c r="CE192" s="17"/>
    </row>
    <row r="193" spans="1:83">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c r="BE193" s="17"/>
      <c r="BF193" s="17"/>
      <c r="BG193" s="17"/>
      <c r="BH193" s="17"/>
      <c r="BI193" s="17"/>
      <c r="BJ193" s="17"/>
      <c r="BK193" s="17"/>
      <c r="BL193" s="17"/>
      <c r="BM193" s="17"/>
      <c r="BN193" s="17"/>
      <c r="BO193" s="17"/>
      <c r="BP193" s="17"/>
      <c r="BQ193" s="17"/>
      <c r="BR193" s="17"/>
      <c r="BS193" s="17"/>
      <c r="BT193" s="17"/>
      <c r="BU193" s="17"/>
      <c r="BV193" s="17"/>
      <c r="BW193" s="17"/>
      <c r="BX193" s="17"/>
      <c r="BY193" s="17"/>
      <c r="BZ193" s="17"/>
      <c r="CA193" s="17"/>
      <c r="CB193" s="17"/>
      <c r="CC193" s="17"/>
      <c r="CD193" s="17"/>
      <c r="CE193" s="17"/>
    </row>
    <row r="194" spans="1:83">
      <c r="A194" s="16" t="s">
        <v>40</v>
      </c>
      <c r="B194" s="140">
        <f>DAYS360($B$3,B74)</f>
        <v>-43022</v>
      </c>
      <c r="C194" s="140">
        <f t="shared" ref="C194:BN194" si="294">DAYS360($B$3,C74)</f>
        <v>-42842</v>
      </c>
      <c r="D194" s="140">
        <f t="shared" si="294"/>
        <v>-42662</v>
      </c>
      <c r="E194" s="140">
        <f t="shared" si="294"/>
        <v>-42482</v>
      </c>
      <c r="F194" s="140">
        <f t="shared" si="294"/>
        <v>-42302</v>
      </c>
      <c r="G194" s="140">
        <f t="shared" si="294"/>
        <v>-42122</v>
      </c>
      <c r="H194" s="140">
        <f t="shared" si="294"/>
        <v>-41942</v>
      </c>
      <c r="I194" s="140">
        <f t="shared" si="294"/>
        <v>-41762</v>
      </c>
      <c r="J194" s="140">
        <f t="shared" si="294"/>
        <v>-41582</v>
      </c>
      <c r="K194" s="140">
        <f t="shared" si="294"/>
        <v>-41403</v>
      </c>
      <c r="L194" s="140">
        <f t="shared" si="294"/>
        <v>-41223</v>
      </c>
      <c r="M194" s="140">
        <f t="shared" si="294"/>
        <v>-41043</v>
      </c>
      <c r="N194" s="140">
        <f t="shared" si="294"/>
        <v>-40863</v>
      </c>
      <c r="O194" s="140">
        <f t="shared" si="294"/>
        <v>-40683</v>
      </c>
      <c r="P194" s="140">
        <f t="shared" si="294"/>
        <v>-40503</v>
      </c>
      <c r="Q194" s="140">
        <f t="shared" si="294"/>
        <v>-40323</v>
      </c>
      <c r="R194" s="140">
        <f t="shared" si="294"/>
        <v>-40143</v>
      </c>
      <c r="S194" s="140">
        <f t="shared" si="294"/>
        <v>-39964</v>
      </c>
      <c r="T194" s="140">
        <f t="shared" si="294"/>
        <v>-39784</v>
      </c>
      <c r="U194" s="140">
        <f t="shared" si="294"/>
        <v>-39604</v>
      </c>
      <c r="V194" s="140">
        <f t="shared" si="294"/>
        <v>-39424</v>
      </c>
      <c r="W194" s="140">
        <f t="shared" si="294"/>
        <v>-39244</v>
      </c>
      <c r="X194" s="140">
        <f t="shared" si="294"/>
        <v>-39064</v>
      </c>
      <c r="Y194" s="140">
        <f t="shared" si="294"/>
        <v>-38884</v>
      </c>
      <c r="Z194" s="140">
        <f t="shared" si="294"/>
        <v>-38704</v>
      </c>
      <c r="AA194" s="140">
        <f t="shared" si="294"/>
        <v>-38525</v>
      </c>
      <c r="AB194" s="140">
        <f t="shared" si="294"/>
        <v>-38345</v>
      </c>
      <c r="AC194" s="140">
        <f t="shared" si="294"/>
        <v>-38165</v>
      </c>
      <c r="AD194" s="140">
        <f t="shared" si="294"/>
        <v>-37985</v>
      </c>
      <c r="AE194" s="140">
        <f t="shared" si="294"/>
        <v>-37805</v>
      </c>
      <c r="AF194" s="140">
        <f t="shared" si="294"/>
        <v>-37625</v>
      </c>
      <c r="AG194" s="140">
        <f t="shared" si="294"/>
        <v>-37445</v>
      </c>
      <c r="AH194" s="140">
        <f t="shared" si="294"/>
        <v>-37265</v>
      </c>
      <c r="AI194" s="140">
        <f t="shared" si="294"/>
        <v>-37086</v>
      </c>
      <c r="AJ194" s="140">
        <f t="shared" si="294"/>
        <v>-36906</v>
      </c>
      <c r="AK194" s="140">
        <f t="shared" si="294"/>
        <v>-36726</v>
      </c>
      <c r="AL194" s="140">
        <f t="shared" si="294"/>
        <v>-36546</v>
      </c>
      <c r="AM194" s="140">
        <f t="shared" si="294"/>
        <v>-36366</v>
      </c>
      <c r="AN194" s="140">
        <f t="shared" si="294"/>
        <v>-36186</v>
      </c>
      <c r="AO194" s="140">
        <f t="shared" si="294"/>
        <v>-36006</v>
      </c>
      <c r="AP194" s="140">
        <f t="shared" si="294"/>
        <v>-35826</v>
      </c>
      <c r="AQ194" s="140">
        <f t="shared" si="294"/>
        <v>-35647</v>
      </c>
      <c r="AR194" s="140">
        <f t="shared" si="294"/>
        <v>-35467</v>
      </c>
      <c r="AS194" s="140">
        <f t="shared" si="294"/>
        <v>-35287</v>
      </c>
      <c r="AT194" s="140">
        <f t="shared" si="294"/>
        <v>-35107</v>
      </c>
      <c r="AU194" s="140">
        <f t="shared" si="294"/>
        <v>-34927</v>
      </c>
      <c r="AV194" s="140">
        <f t="shared" si="294"/>
        <v>-34747</v>
      </c>
      <c r="AW194" s="140">
        <f t="shared" si="294"/>
        <v>-34567</v>
      </c>
      <c r="AX194" s="140">
        <f t="shared" si="294"/>
        <v>-34387</v>
      </c>
      <c r="AY194" s="140">
        <f t="shared" si="294"/>
        <v>-34208</v>
      </c>
      <c r="AZ194" s="140">
        <f t="shared" si="294"/>
        <v>-34028</v>
      </c>
      <c r="BA194" s="140">
        <f t="shared" si="294"/>
        <v>-33848</v>
      </c>
      <c r="BB194" s="140">
        <f t="shared" si="294"/>
        <v>-33668</v>
      </c>
      <c r="BC194" s="140">
        <f t="shared" si="294"/>
        <v>-33488</v>
      </c>
      <c r="BD194" s="140">
        <f t="shared" si="294"/>
        <v>-33308</v>
      </c>
      <c r="BE194" s="140">
        <f t="shared" si="294"/>
        <v>-33128</v>
      </c>
      <c r="BF194" s="140">
        <f t="shared" si="294"/>
        <v>-32948</v>
      </c>
      <c r="BG194" s="140">
        <f t="shared" si="294"/>
        <v>-32769</v>
      </c>
      <c r="BH194" s="140">
        <f t="shared" si="294"/>
        <v>-32589</v>
      </c>
      <c r="BI194" s="140">
        <f t="shared" si="294"/>
        <v>-32409</v>
      </c>
      <c r="BJ194" s="140">
        <f t="shared" si="294"/>
        <v>-32229</v>
      </c>
      <c r="BK194" s="140">
        <f t="shared" si="294"/>
        <v>-32049</v>
      </c>
      <c r="BL194" s="140">
        <f t="shared" si="294"/>
        <v>-31869</v>
      </c>
      <c r="BM194" s="140">
        <f t="shared" si="294"/>
        <v>-31689</v>
      </c>
      <c r="BN194" s="140">
        <f t="shared" si="294"/>
        <v>-31509</v>
      </c>
      <c r="BO194" s="140">
        <f t="shared" ref="BO194:CB194" si="295">DAYS360($B$3,BO74)</f>
        <v>-31330</v>
      </c>
      <c r="BP194" s="140">
        <f t="shared" si="295"/>
        <v>-31150</v>
      </c>
      <c r="BQ194" s="140">
        <f t="shared" si="295"/>
        <v>-30970</v>
      </c>
      <c r="BR194" s="140">
        <f t="shared" si="295"/>
        <v>-30790</v>
      </c>
      <c r="BS194" s="140">
        <f t="shared" si="295"/>
        <v>-30610</v>
      </c>
      <c r="BT194" s="140">
        <f t="shared" si="295"/>
        <v>-30430</v>
      </c>
      <c r="BU194" s="140">
        <f t="shared" si="295"/>
        <v>-30250</v>
      </c>
      <c r="BV194" s="140">
        <f t="shared" si="295"/>
        <v>-30070</v>
      </c>
      <c r="BW194" s="140">
        <f t="shared" si="295"/>
        <v>-29891</v>
      </c>
      <c r="BX194" s="140">
        <f t="shared" si="295"/>
        <v>-29711</v>
      </c>
      <c r="BY194" s="140">
        <f t="shared" si="295"/>
        <v>-29531</v>
      </c>
      <c r="BZ194" s="140">
        <f t="shared" si="295"/>
        <v>-29351</v>
      </c>
      <c r="CA194" s="140">
        <f t="shared" si="295"/>
        <v>-29171</v>
      </c>
      <c r="CB194" s="140">
        <f t="shared" si="295"/>
        <v>-28991</v>
      </c>
      <c r="CC194" s="17"/>
      <c r="CD194" s="17"/>
      <c r="CE194" s="17"/>
    </row>
    <row r="195" spans="1:83">
      <c r="A195" s="16" t="s">
        <v>41</v>
      </c>
      <c r="B195" s="140">
        <f>B194/360</f>
        <v>-119.50555555555556</v>
      </c>
      <c r="C195" s="140">
        <f t="shared" ref="C195:BN195" si="296">C194/360</f>
        <v>-119.00555555555556</v>
      </c>
      <c r="D195" s="140">
        <f t="shared" si="296"/>
        <v>-118.50555555555556</v>
      </c>
      <c r="E195" s="140">
        <f t="shared" si="296"/>
        <v>-118.00555555555556</v>
      </c>
      <c r="F195" s="140">
        <f t="shared" si="296"/>
        <v>-117.50555555555556</v>
      </c>
      <c r="G195" s="140">
        <f t="shared" si="296"/>
        <v>-117.00555555555556</v>
      </c>
      <c r="H195" s="140">
        <f t="shared" si="296"/>
        <v>-116.50555555555556</v>
      </c>
      <c r="I195" s="140">
        <f t="shared" si="296"/>
        <v>-116.00555555555556</v>
      </c>
      <c r="J195" s="140">
        <f t="shared" si="296"/>
        <v>-115.50555555555556</v>
      </c>
      <c r="K195" s="140">
        <f t="shared" si="296"/>
        <v>-115.00833333333334</v>
      </c>
      <c r="L195" s="140">
        <f t="shared" si="296"/>
        <v>-114.50833333333334</v>
      </c>
      <c r="M195" s="140">
        <f t="shared" si="296"/>
        <v>-114.00833333333334</v>
      </c>
      <c r="N195" s="140">
        <f t="shared" si="296"/>
        <v>-113.50833333333334</v>
      </c>
      <c r="O195" s="140">
        <f t="shared" si="296"/>
        <v>-113.00833333333334</v>
      </c>
      <c r="P195" s="140">
        <f t="shared" si="296"/>
        <v>-112.50833333333334</v>
      </c>
      <c r="Q195" s="140">
        <f t="shared" si="296"/>
        <v>-112.00833333333334</v>
      </c>
      <c r="R195" s="140">
        <f t="shared" si="296"/>
        <v>-111.50833333333334</v>
      </c>
      <c r="S195" s="140">
        <f t="shared" si="296"/>
        <v>-111.01111111111111</v>
      </c>
      <c r="T195" s="140">
        <f t="shared" si="296"/>
        <v>-110.51111111111111</v>
      </c>
      <c r="U195" s="140">
        <f t="shared" si="296"/>
        <v>-110.01111111111111</v>
      </c>
      <c r="V195" s="140">
        <f t="shared" si="296"/>
        <v>-109.51111111111111</v>
      </c>
      <c r="W195" s="140">
        <f t="shared" si="296"/>
        <v>-109.01111111111111</v>
      </c>
      <c r="X195" s="140">
        <f t="shared" si="296"/>
        <v>-108.51111111111111</v>
      </c>
      <c r="Y195" s="140">
        <f t="shared" si="296"/>
        <v>-108.01111111111111</v>
      </c>
      <c r="Z195" s="140">
        <f t="shared" si="296"/>
        <v>-107.51111111111111</v>
      </c>
      <c r="AA195" s="140">
        <f t="shared" si="296"/>
        <v>-107.01388888888889</v>
      </c>
      <c r="AB195" s="140">
        <f t="shared" si="296"/>
        <v>-106.51388888888889</v>
      </c>
      <c r="AC195" s="140">
        <f t="shared" si="296"/>
        <v>-106.01388888888889</v>
      </c>
      <c r="AD195" s="140">
        <f t="shared" si="296"/>
        <v>-105.51388888888889</v>
      </c>
      <c r="AE195" s="140">
        <f t="shared" si="296"/>
        <v>-105.01388888888889</v>
      </c>
      <c r="AF195" s="140">
        <f t="shared" si="296"/>
        <v>-104.51388888888889</v>
      </c>
      <c r="AG195" s="140">
        <f t="shared" si="296"/>
        <v>-104.01388888888889</v>
      </c>
      <c r="AH195" s="140">
        <f t="shared" si="296"/>
        <v>-103.51388888888889</v>
      </c>
      <c r="AI195" s="140">
        <f t="shared" si="296"/>
        <v>-103.01666666666667</v>
      </c>
      <c r="AJ195" s="140">
        <f t="shared" si="296"/>
        <v>-102.51666666666667</v>
      </c>
      <c r="AK195" s="140">
        <f t="shared" si="296"/>
        <v>-102.01666666666667</v>
      </c>
      <c r="AL195" s="140">
        <f t="shared" si="296"/>
        <v>-101.51666666666667</v>
      </c>
      <c r="AM195" s="140">
        <f t="shared" si="296"/>
        <v>-101.01666666666667</v>
      </c>
      <c r="AN195" s="140">
        <f t="shared" si="296"/>
        <v>-100.51666666666667</v>
      </c>
      <c r="AO195" s="140">
        <f t="shared" si="296"/>
        <v>-100.01666666666667</v>
      </c>
      <c r="AP195" s="140">
        <f t="shared" si="296"/>
        <v>-99.516666666666666</v>
      </c>
      <c r="AQ195" s="140">
        <f t="shared" si="296"/>
        <v>-99.019444444444446</v>
      </c>
      <c r="AR195" s="140">
        <f t="shared" si="296"/>
        <v>-98.519444444444446</v>
      </c>
      <c r="AS195" s="140">
        <f t="shared" si="296"/>
        <v>-98.019444444444446</v>
      </c>
      <c r="AT195" s="140">
        <f t="shared" si="296"/>
        <v>-97.519444444444446</v>
      </c>
      <c r="AU195" s="140">
        <f t="shared" si="296"/>
        <v>-97.019444444444446</v>
      </c>
      <c r="AV195" s="140">
        <f t="shared" si="296"/>
        <v>-96.519444444444446</v>
      </c>
      <c r="AW195" s="140">
        <f t="shared" si="296"/>
        <v>-96.019444444444446</v>
      </c>
      <c r="AX195" s="140">
        <f t="shared" si="296"/>
        <v>-95.519444444444446</v>
      </c>
      <c r="AY195" s="140">
        <f t="shared" si="296"/>
        <v>-95.022222222222226</v>
      </c>
      <c r="AZ195" s="140">
        <f t="shared" si="296"/>
        <v>-94.522222222222226</v>
      </c>
      <c r="BA195" s="140">
        <f t="shared" si="296"/>
        <v>-94.022222222222226</v>
      </c>
      <c r="BB195" s="140">
        <f t="shared" si="296"/>
        <v>-93.522222222222226</v>
      </c>
      <c r="BC195" s="140">
        <f t="shared" si="296"/>
        <v>-93.022222222222226</v>
      </c>
      <c r="BD195" s="140">
        <f t="shared" si="296"/>
        <v>-92.522222222222226</v>
      </c>
      <c r="BE195" s="140">
        <f t="shared" si="296"/>
        <v>-92.022222222222226</v>
      </c>
      <c r="BF195" s="140">
        <f t="shared" si="296"/>
        <v>-91.522222222222226</v>
      </c>
      <c r="BG195" s="140">
        <f t="shared" si="296"/>
        <v>-91.025000000000006</v>
      </c>
      <c r="BH195" s="140">
        <f t="shared" si="296"/>
        <v>-90.525000000000006</v>
      </c>
      <c r="BI195" s="140">
        <f t="shared" si="296"/>
        <v>-90.025000000000006</v>
      </c>
      <c r="BJ195" s="140">
        <f t="shared" si="296"/>
        <v>-89.525000000000006</v>
      </c>
      <c r="BK195" s="140">
        <f t="shared" si="296"/>
        <v>-89.025000000000006</v>
      </c>
      <c r="BL195" s="140">
        <f t="shared" si="296"/>
        <v>-88.525000000000006</v>
      </c>
      <c r="BM195" s="140">
        <f t="shared" si="296"/>
        <v>-88.025000000000006</v>
      </c>
      <c r="BN195" s="140">
        <f t="shared" si="296"/>
        <v>-87.525000000000006</v>
      </c>
      <c r="BO195" s="140">
        <f t="shared" ref="BO195:CB195" si="297">BO194/360</f>
        <v>-87.027777777777771</v>
      </c>
      <c r="BP195" s="140">
        <f t="shared" si="297"/>
        <v>-86.527777777777771</v>
      </c>
      <c r="BQ195" s="140">
        <f t="shared" si="297"/>
        <v>-86.027777777777771</v>
      </c>
      <c r="BR195" s="140">
        <f t="shared" si="297"/>
        <v>-85.527777777777771</v>
      </c>
      <c r="BS195" s="140">
        <f t="shared" si="297"/>
        <v>-85.027777777777771</v>
      </c>
      <c r="BT195" s="140">
        <f t="shared" si="297"/>
        <v>-84.527777777777771</v>
      </c>
      <c r="BU195" s="140">
        <f t="shared" si="297"/>
        <v>-84.027777777777771</v>
      </c>
      <c r="BV195" s="140">
        <f t="shared" si="297"/>
        <v>-83.527777777777771</v>
      </c>
      <c r="BW195" s="140">
        <f t="shared" si="297"/>
        <v>-83.030555555555551</v>
      </c>
      <c r="BX195" s="140">
        <f t="shared" si="297"/>
        <v>-82.530555555555551</v>
      </c>
      <c r="BY195" s="140">
        <f t="shared" si="297"/>
        <v>-82.030555555555551</v>
      </c>
      <c r="BZ195" s="140">
        <f t="shared" si="297"/>
        <v>-81.530555555555551</v>
      </c>
      <c r="CA195" s="140">
        <f t="shared" si="297"/>
        <v>-81.030555555555551</v>
      </c>
      <c r="CB195" s="140">
        <f t="shared" si="297"/>
        <v>-80.530555555555551</v>
      </c>
      <c r="CC195" s="17"/>
      <c r="CD195" s="17"/>
      <c r="CE195" s="17"/>
    </row>
    <row r="196" spans="1:83">
      <c r="A196" s="16" t="s">
        <v>43</v>
      </c>
      <c r="B196" s="140">
        <f>IF(B194&lt;0,0,$B$5+$B$6*((1-EXP(-B195/$B$9))/(B195/$B$9))+$B$7*((1-EXP(-B195/$B$9))/(B195/$B$9)-EXP(-B195/$B$9))+$B$8*((1-EXP(-B195/$B$10))/(B195/$B$10)-EXP(-B195/$B$10)))</f>
        <v>0</v>
      </c>
      <c r="C196" s="140">
        <f t="shared" ref="C196:BN196" si="298">IF(C194&lt;0,0,$B$5+$B$6*((1-EXP(-C195/$B$9))/(C195/$B$9))+$B$7*((1-EXP(-C195/$B$9))/(C195/$B$9)-EXP(-C195/$B$9))+$B$8*((1-EXP(-C195/$B$10))/(C195/$B$10)-EXP(-C195/$B$10)))</f>
        <v>0</v>
      </c>
      <c r="D196" s="140">
        <f t="shared" si="298"/>
        <v>0</v>
      </c>
      <c r="E196" s="140">
        <f t="shared" si="298"/>
        <v>0</v>
      </c>
      <c r="F196" s="140">
        <f t="shared" si="298"/>
        <v>0</v>
      </c>
      <c r="G196" s="140">
        <f t="shared" si="298"/>
        <v>0</v>
      </c>
      <c r="H196" s="140">
        <f t="shared" si="298"/>
        <v>0</v>
      </c>
      <c r="I196" s="140">
        <f t="shared" si="298"/>
        <v>0</v>
      </c>
      <c r="J196" s="140">
        <f t="shared" si="298"/>
        <v>0</v>
      </c>
      <c r="K196" s="140">
        <f t="shared" si="298"/>
        <v>0</v>
      </c>
      <c r="L196" s="140">
        <f t="shared" si="298"/>
        <v>0</v>
      </c>
      <c r="M196" s="140">
        <f t="shared" si="298"/>
        <v>0</v>
      </c>
      <c r="N196" s="140">
        <f t="shared" si="298"/>
        <v>0</v>
      </c>
      <c r="O196" s="140">
        <f t="shared" si="298"/>
        <v>0</v>
      </c>
      <c r="P196" s="140">
        <f t="shared" si="298"/>
        <v>0</v>
      </c>
      <c r="Q196" s="140">
        <f t="shared" si="298"/>
        <v>0</v>
      </c>
      <c r="R196" s="140">
        <f t="shared" si="298"/>
        <v>0</v>
      </c>
      <c r="S196" s="140">
        <f t="shared" si="298"/>
        <v>0</v>
      </c>
      <c r="T196" s="140">
        <f t="shared" si="298"/>
        <v>0</v>
      </c>
      <c r="U196" s="140">
        <f t="shared" si="298"/>
        <v>0</v>
      </c>
      <c r="V196" s="140">
        <f t="shared" si="298"/>
        <v>0</v>
      </c>
      <c r="W196" s="140">
        <f t="shared" si="298"/>
        <v>0</v>
      </c>
      <c r="X196" s="140">
        <f t="shared" si="298"/>
        <v>0</v>
      </c>
      <c r="Y196" s="140">
        <f t="shared" si="298"/>
        <v>0</v>
      </c>
      <c r="Z196" s="140">
        <f t="shared" si="298"/>
        <v>0</v>
      </c>
      <c r="AA196" s="140">
        <f t="shared" si="298"/>
        <v>0</v>
      </c>
      <c r="AB196" s="140">
        <f t="shared" si="298"/>
        <v>0</v>
      </c>
      <c r="AC196" s="140">
        <f t="shared" si="298"/>
        <v>0</v>
      </c>
      <c r="AD196" s="140">
        <f t="shared" si="298"/>
        <v>0</v>
      </c>
      <c r="AE196" s="140">
        <f t="shared" si="298"/>
        <v>0</v>
      </c>
      <c r="AF196" s="140">
        <f t="shared" si="298"/>
        <v>0</v>
      </c>
      <c r="AG196" s="140">
        <f t="shared" si="298"/>
        <v>0</v>
      </c>
      <c r="AH196" s="140">
        <f t="shared" si="298"/>
        <v>0</v>
      </c>
      <c r="AI196" s="140">
        <f t="shared" si="298"/>
        <v>0</v>
      </c>
      <c r="AJ196" s="140">
        <f t="shared" si="298"/>
        <v>0</v>
      </c>
      <c r="AK196" s="140">
        <f t="shared" si="298"/>
        <v>0</v>
      </c>
      <c r="AL196" s="140">
        <f t="shared" si="298"/>
        <v>0</v>
      </c>
      <c r="AM196" s="140">
        <f t="shared" si="298"/>
        <v>0</v>
      </c>
      <c r="AN196" s="140">
        <f t="shared" si="298"/>
        <v>0</v>
      </c>
      <c r="AO196" s="140">
        <f t="shared" si="298"/>
        <v>0</v>
      </c>
      <c r="AP196" s="140">
        <f t="shared" si="298"/>
        <v>0</v>
      </c>
      <c r="AQ196" s="140">
        <f t="shared" si="298"/>
        <v>0</v>
      </c>
      <c r="AR196" s="140">
        <f t="shared" si="298"/>
        <v>0</v>
      </c>
      <c r="AS196" s="140">
        <f t="shared" si="298"/>
        <v>0</v>
      </c>
      <c r="AT196" s="140">
        <f t="shared" si="298"/>
        <v>0</v>
      </c>
      <c r="AU196" s="140">
        <f t="shared" si="298"/>
        <v>0</v>
      </c>
      <c r="AV196" s="140">
        <f t="shared" si="298"/>
        <v>0</v>
      </c>
      <c r="AW196" s="140">
        <f t="shared" si="298"/>
        <v>0</v>
      </c>
      <c r="AX196" s="140">
        <f t="shared" si="298"/>
        <v>0</v>
      </c>
      <c r="AY196" s="140">
        <f t="shared" si="298"/>
        <v>0</v>
      </c>
      <c r="AZ196" s="140">
        <f t="shared" si="298"/>
        <v>0</v>
      </c>
      <c r="BA196" s="140">
        <f t="shared" si="298"/>
        <v>0</v>
      </c>
      <c r="BB196" s="140">
        <f t="shared" si="298"/>
        <v>0</v>
      </c>
      <c r="BC196" s="140">
        <f t="shared" si="298"/>
        <v>0</v>
      </c>
      <c r="BD196" s="140">
        <f t="shared" si="298"/>
        <v>0</v>
      </c>
      <c r="BE196" s="140">
        <f t="shared" si="298"/>
        <v>0</v>
      </c>
      <c r="BF196" s="140">
        <f t="shared" si="298"/>
        <v>0</v>
      </c>
      <c r="BG196" s="140">
        <f t="shared" si="298"/>
        <v>0</v>
      </c>
      <c r="BH196" s="140">
        <f t="shared" si="298"/>
        <v>0</v>
      </c>
      <c r="BI196" s="140">
        <f t="shared" si="298"/>
        <v>0</v>
      </c>
      <c r="BJ196" s="140">
        <f t="shared" si="298"/>
        <v>0</v>
      </c>
      <c r="BK196" s="140">
        <f t="shared" si="298"/>
        <v>0</v>
      </c>
      <c r="BL196" s="140">
        <f t="shared" si="298"/>
        <v>0</v>
      </c>
      <c r="BM196" s="140">
        <f t="shared" si="298"/>
        <v>0</v>
      </c>
      <c r="BN196" s="140">
        <f t="shared" si="298"/>
        <v>0</v>
      </c>
      <c r="BO196" s="140">
        <f t="shared" ref="BO196:CB196" si="299">IF(BO194&lt;0,0,$B$5+$B$6*((1-EXP(-BO195/$B$9))/(BO195/$B$9))+$B$7*((1-EXP(-BO195/$B$9))/(BO195/$B$9)-EXP(-BO195/$B$9))+$B$8*((1-EXP(-BO195/$B$10))/(BO195/$B$10)-EXP(-BO195/$B$10)))</f>
        <v>0</v>
      </c>
      <c r="BP196" s="140">
        <f t="shared" si="299"/>
        <v>0</v>
      </c>
      <c r="BQ196" s="140">
        <f t="shared" si="299"/>
        <v>0</v>
      </c>
      <c r="BR196" s="140">
        <f t="shared" si="299"/>
        <v>0</v>
      </c>
      <c r="BS196" s="140">
        <f t="shared" si="299"/>
        <v>0</v>
      </c>
      <c r="BT196" s="140">
        <f t="shared" si="299"/>
        <v>0</v>
      </c>
      <c r="BU196" s="140">
        <f t="shared" si="299"/>
        <v>0</v>
      </c>
      <c r="BV196" s="140">
        <f t="shared" si="299"/>
        <v>0</v>
      </c>
      <c r="BW196" s="140">
        <f t="shared" si="299"/>
        <v>0</v>
      </c>
      <c r="BX196" s="140">
        <f t="shared" si="299"/>
        <v>0</v>
      </c>
      <c r="BY196" s="140">
        <f t="shared" si="299"/>
        <v>0</v>
      </c>
      <c r="BZ196" s="140">
        <f t="shared" si="299"/>
        <v>0</v>
      </c>
      <c r="CA196" s="140">
        <f t="shared" si="299"/>
        <v>0</v>
      </c>
      <c r="CB196" s="140">
        <f t="shared" si="299"/>
        <v>0</v>
      </c>
      <c r="CC196" s="17"/>
      <c r="CD196" s="17"/>
      <c r="CE196" s="17"/>
    </row>
    <row r="197" spans="1:83">
      <c r="A197" s="16" t="s">
        <v>44</v>
      </c>
      <c r="B197" s="140">
        <f>EXP(-B196*B195)</f>
        <v>1</v>
      </c>
      <c r="C197" s="140">
        <f t="shared" ref="C197:BN197" si="300">EXP(-C196*C195)</f>
        <v>1</v>
      </c>
      <c r="D197" s="140">
        <f t="shared" si="300"/>
        <v>1</v>
      </c>
      <c r="E197" s="140">
        <f t="shared" si="300"/>
        <v>1</v>
      </c>
      <c r="F197" s="140">
        <f t="shared" si="300"/>
        <v>1</v>
      </c>
      <c r="G197" s="140">
        <f t="shared" si="300"/>
        <v>1</v>
      </c>
      <c r="H197" s="140">
        <f t="shared" si="300"/>
        <v>1</v>
      </c>
      <c r="I197" s="140">
        <f t="shared" si="300"/>
        <v>1</v>
      </c>
      <c r="J197" s="140">
        <f t="shared" si="300"/>
        <v>1</v>
      </c>
      <c r="K197" s="140">
        <f t="shared" si="300"/>
        <v>1</v>
      </c>
      <c r="L197" s="140">
        <f t="shared" si="300"/>
        <v>1</v>
      </c>
      <c r="M197" s="140">
        <f t="shared" si="300"/>
        <v>1</v>
      </c>
      <c r="N197" s="140">
        <f t="shared" si="300"/>
        <v>1</v>
      </c>
      <c r="O197" s="140">
        <f t="shared" si="300"/>
        <v>1</v>
      </c>
      <c r="P197" s="140">
        <f t="shared" si="300"/>
        <v>1</v>
      </c>
      <c r="Q197" s="140">
        <f t="shared" si="300"/>
        <v>1</v>
      </c>
      <c r="R197" s="140">
        <f t="shared" si="300"/>
        <v>1</v>
      </c>
      <c r="S197" s="140">
        <f t="shared" si="300"/>
        <v>1</v>
      </c>
      <c r="T197" s="140">
        <f t="shared" si="300"/>
        <v>1</v>
      </c>
      <c r="U197" s="140">
        <f t="shared" si="300"/>
        <v>1</v>
      </c>
      <c r="V197" s="140">
        <f t="shared" si="300"/>
        <v>1</v>
      </c>
      <c r="W197" s="140">
        <f t="shared" si="300"/>
        <v>1</v>
      </c>
      <c r="X197" s="140">
        <f t="shared" si="300"/>
        <v>1</v>
      </c>
      <c r="Y197" s="140">
        <f t="shared" si="300"/>
        <v>1</v>
      </c>
      <c r="Z197" s="140">
        <f t="shared" si="300"/>
        <v>1</v>
      </c>
      <c r="AA197" s="140">
        <f t="shared" si="300"/>
        <v>1</v>
      </c>
      <c r="AB197" s="140">
        <f t="shared" si="300"/>
        <v>1</v>
      </c>
      <c r="AC197" s="140">
        <f t="shared" si="300"/>
        <v>1</v>
      </c>
      <c r="AD197" s="140">
        <f t="shared" si="300"/>
        <v>1</v>
      </c>
      <c r="AE197" s="140">
        <f t="shared" si="300"/>
        <v>1</v>
      </c>
      <c r="AF197" s="140">
        <f t="shared" si="300"/>
        <v>1</v>
      </c>
      <c r="AG197" s="140">
        <f t="shared" si="300"/>
        <v>1</v>
      </c>
      <c r="AH197" s="140">
        <f t="shared" si="300"/>
        <v>1</v>
      </c>
      <c r="AI197" s="140">
        <f t="shared" si="300"/>
        <v>1</v>
      </c>
      <c r="AJ197" s="140">
        <f t="shared" si="300"/>
        <v>1</v>
      </c>
      <c r="AK197" s="140">
        <f t="shared" si="300"/>
        <v>1</v>
      </c>
      <c r="AL197" s="140">
        <f t="shared" si="300"/>
        <v>1</v>
      </c>
      <c r="AM197" s="140">
        <f t="shared" si="300"/>
        <v>1</v>
      </c>
      <c r="AN197" s="140">
        <f t="shared" si="300"/>
        <v>1</v>
      </c>
      <c r="AO197" s="140">
        <f t="shared" si="300"/>
        <v>1</v>
      </c>
      <c r="AP197" s="140">
        <f t="shared" si="300"/>
        <v>1</v>
      </c>
      <c r="AQ197" s="140">
        <f t="shared" si="300"/>
        <v>1</v>
      </c>
      <c r="AR197" s="140">
        <f t="shared" si="300"/>
        <v>1</v>
      </c>
      <c r="AS197" s="140">
        <f t="shared" si="300"/>
        <v>1</v>
      </c>
      <c r="AT197" s="140">
        <f t="shared" si="300"/>
        <v>1</v>
      </c>
      <c r="AU197" s="140">
        <f t="shared" si="300"/>
        <v>1</v>
      </c>
      <c r="AV197" s="140">
        <f t="shared" si="300"/>
        <v>1</v>
      </c>
      <c r="AW197" s="140">
        <f t="shared" si="300"/>
        <v>1</v>
      </c>
      <c r="AX197" s="140">
        <f t="shared" si="300"/>
        <v>1</v>
      </c>
      <c r="AY197" s="140">
        <f t="shared" si="300"/>
        <v>1</v>
      </c>
      <c r="AZ197" s="140">
        <f t="shared" si="300"/>
        <v>1</v>
      </c>
      <c r="BA197" s="140">
        <f t="shared" si="300"/>
        <v>1</v>
      </c>
      <c r="BB197" s="140">
        <f t="shared" si="300"/>
        <v>1</v>
      </c>
      <c r="BC197" s="140">
        <f t="shared" si="300"/>
        <v>1</v>
      </c>
      <c r="BD197" s="140">
        <f t="shared" si="300"/>
        <v>1</v>
      </c>
      <c r="BE197" s="140">
        <f t="shared" si="300"/>
        <v>1</v>
      </c>
      <c r="BF197" s="140">
        <f t="shared" si="300"/>
        <v>1</v>
      </c>
      <c r="BG197" s="140">
        <f t="shared" si="300"/>
        <v>1</v>
      </c>
      <c r="BH197" s="140">
        <f t="shared" si="300"/>
        <v>1</v>
      </c>
      <c r="BI197" s="140">
        <f t="shared" si="300"/>
        <v>1</v>
      </c>
      <c r="BJ197" s="140">
        <f t="shared" si="300"/>
        <v>1</v>
      </c>
      <c r="BK197" s="140">
        <f t="shared" si="300"/>
        <v>1</v>
      </c>
      <c r="BL197" s="140">
        <f t="shared" si="300"/>
        <v>1</v>
      </c>
      <c r="BM197" s="140">
        <f t="shared" si="300"/>
        <v>1</v>
      </c>
      <c r="BN197" s="140">
        <f t="shared" si="300"/>
        <v>1</v>
      </c>
      <c r="BO197" s="140">
        <f t="shared" ref="BO197:CB197" si="301">EXP(-BO196*BO195)</f>
        <v>1</v>
      </c>
      <c r="BP197" s="140">
        <f t="shared" si="301"/>
        <v>1</v>
      </c>
      <c r="BQ197" s="140">
        <f t="shared" si="301"/>
        <v>1</v>
      </c>
      <c r="BR197" s="140">
        <f t="shared" si="301"/>
        <v>1</v>
      </c>
      <c r="BS197" s="140">
        <f t="shared" si="301"/>
        <v>1</v>
      </c>
      <c r="BT197" s="140">
        <f t="shared" si="301"/>
        <v>1</v>
      </c>
      <c r="BU197" s="140">
        <f t="shared" si="301"/>
        <v>1</v>
      </c>
      <c r="BV197" s="140">
        <f t="shared" si="301"/>
        <v>1</v>
      </c>
      <c r="BW197" s="140">
        <f t="shared" si="301"/>
        <v>1</v>
      </c>
      <c r="BX197" s="140">
        <f t="shared" si="301"/>
        <v>1</v>
      </c>
      <c r="BY197" s="140">
        <f t="shared" si="301"/>
        <v>1</v>
      </c>
      <c r="BZ197" s="140">
        <f t="shared" si="301"/>
        <v>1</v>
      </c>
      <c r="CA197" s="140">
        <f t="shared" si="301"/>
        <v>1</v>
      </c>
      <c r="CB197" s="140">
        <f t="shared" si="301"/>
        <v>1</v>
      </c>
      <c r="CC197" s="17"/>
      <c r="CD197" s="17"/>
      <c r="CE197" s="17"/>
    </row>
    <row r="198" spans="1:83">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c r="BE198" s="17"/>
      <c r="BF198" s="17"/>
      <c r="BG198" s="17"/>
      <c r="BH198" s="17"/>
      <c r="BI198" s="17"/>
      <c r="BJ198" s="17"/>
      <c r="BK198" s="17"/>
      <c r="BL198" s="17"/>
      <c r="BM198" s="17"/>
      <c r="BN198" s="17"/>
      <c r="BO198" s="17"/>
      <c r="BP198" s="17"/>
      <c r="BQ198" s="17"/>
      <c r="BR198" s="17"/>
      <c r="BS198" s="17"/>
      <c r="BT198" s="17"/>
      <c r="BU198" s="17"/>
      <c r="BV198" s="17"/>
      <c r="BW198" s="17"/>
      <c r="BX198" s="17"/>
      <c r="BY198" s="17"/>
      <c r="BZ198" s="17"/>
      <c r="CA198" s="17"/>
      <c r="CB198" s="17"/>
      <c r="CC198" s="17"/>
      <c r="CD198" s="17"/>
      <c r="CE198" s="17"/>
    </row>
    <row r="199" spans="1:83">
      <c r="A199" s="16" t="s">
        <v>40</v>
      </c>
      <c r="B199" s="140">
        <f>DAYS360($B$3,B76)</f>
        <v>-43022</v>
      </c>
      <c r="C199" s="140">
        <f t="shared" ref="C199:BN199" si="302">DAYS360($B$3,C76)</f>
        <v>-42842</v>
      </c>
      <c r="D199" s="140">
        <f t="shared" si="302"/>
        <v>-42662</v>
      </c>
      <c r="E199" s="140">
        <f t="shared" si="302"/>
        <v>-42482</v>
      </c>
      <c r="F199" s="140">
        <f t="shared" si="302"/>
        <v>-42302</v>
      </c>
      <c r="G199" s="140">
        <f t="shared" si="302"/>
        <v>-42122</v>
      </c>
      <c r="H199" s="140">
        <f t="shared" si="302"/>
        <v>-41942</v>
      </c>
      <c r="I199" s="140">
        <f t="shared" si="302"/>
        <v>-41762</v>
      </c>
      <c r="J199" s="140">
        <f t="shared" si="302"/>
        <v>-41582</v>
      </c>
      <c r="K199" s="140">
        <f t="shared" si="302"/>
        <v>-41403</v>
      </c>
      <c r="L199" s="140">
        <f t="shared" si="302"/>
        <v>-41223</v>
      </c>
      <c r="M199" s="140">
        <f t="shared" si="302"/>
        <v>-41043</v>
      </c>
      <c r="N199" s="140">
        <f t="shared" si="302"/>
        <v>-40863</v>
      </c>
      <c r="O199" s="140">
        <f t="shared" si="302"/>
        <v>-40683</v>
      </c>
      <c r="P199" s="140">
        <f t="shared" si="302"/>
        <v>-40503</v>
      </c>
      <c r="Q199" s="140">
        <f t="shared" si="302"/>
        <v>-40323</v>
      </c>
      <c r="R199" s="140">
        <f t="shared" si="302"/>
        <v>-40143</v>
      </c>
      <c r="S199" s="140">
        <f t="shared" si="302"/>
        <v>-39964</v>
      </c>
      <c r="T199" s="140">
        <f t="shared" si="302"/>
        <v>-39784</v>
      </c>
      <c r="U199" s="140">
        <f t="shared" si="302"/>
        <v>-39604</v>
      </c>
      <c r="V199" s="140">
        <f t="shared" si="302"/>
        <v>-39424</v>
      </c>
      <c r="W199" s="140">
        <f t="shared" si="302"/>
        <v>-39244</v>
      </c>
      <c r="X199" s="140">
        <f t="shared" si="302"/>
        <v>-39064</v>
      </c>
      <c r="Y199" s="140">
        <f t="shared" si="302"/>
        <v>-38884</v>
      </c>
      <c r="Z199" s="140">
        <f t="shared" si="302"/>
        <v>-38704</v>
      </c>
      <c r="AA199" s="140">
        <f t="shared" si="302"/>
        <v>-38525</v>
      </c>
      <c r="AB199" s="140">
        <f t="shared" si="302"/>
        <v>-38345</v>
      </c>
      <c r="AC199" s="140">
        <f t="shared" si="302"/>
        <v>-38165</v>
      </c>
      <c r="AD199" s="140">
        <f t="shared" si="302"/>
        <v>-37985</v>
      </c>
      <c r="AE199" s="140">
        <f t="shared" si="302"/>
        <v>-37805</v>
      </c>
      <c r="AF199" s="140">
        <f t="shared" si="302"/>
        <v>-37625</v>
      </c>
      <c r="AG199" s="140">
        <f t="shared" si="302"/>
        <v>-37445</v>
      </c>
      <c r="AH199" s="140">
        <f t="shared" si="302"/>
        <v>-37265</v>
      </c>
      <c r="AI199" s="140">
        <f t="shared" si="302"/>
        <v>-37086</v>
      </c>
      <c r="AJ199" s="140">
        <f t="shared" si="302"/>
        <v>-36906</v>
      </c>
      <c r="AK199" s="140">
        <f t="shared" si="302"/>
        <v>-36726</v>
      </c>
      <c r="AL199" s="140">
        <f t="shared" si="302"/>
        <v>-36546</v>
      </c>
      <c r="AM199" s="140">
        <f t="shared" si="302"/>
        <v>-36366</v>
      </c>
      <c r="AN199" s="140">
        <f t="shared" si="302"/>
        <v>-36186</v>
      </c>
      <c r="AO199" s="140">
        <f t="shared" si="302"/>
        <v>-36006</v>
      </c>
      <c r="AP199" s="140">
        <f t="shared" si="302"/>
        <v>-35826</v>
      </c>
      <c r="AQ199" s="140">
        <f t="shared" si="302"/>
        <v>-35647</v>
      </c>
      <c r="AR199" s="140">
        <f t="shared" si="302"/>
        <v>-35467</v>
      </c>
      <c r="AS199" s="140">
        <f t="shared" si="302"/>
        <v>-35287</v>
      </c>
      <c r="AT199" s="140">
        <f t="shared" si="302"/>
        <v>-35107</v>
      </c>
      <c r="AU199" s="140">
        <f t="shared" si="302"/>
        <v>-34927</v>
      </c>
      <c r="AV199" s="140">
        <f t="shared" si="302"/>
        <v>-34747</v>
      </c>
      <c r="AW199" s="140">
        <f t="shared" si="302"/>
        <v>-34567</v>
      </c>
      <c r="AX199" s="140">
        <f t="shared" si="302"/>
        <v>-34387</v>
      </c>
      <c r="AY199" s="140">
        <f t="shared" si="302"/>
        <v>-34208</v>
      </c>
      <c r="AZ199" s="140">
        <f t="shared" si="302"/>
        <v>-34028</v>
      </c>
      <c r="BA199" s="140">
        <f t="shared" si="302"/>
        <v>-33848</v>
      </c>
      <c r="BB199" s="140">
        <f t="shared" si="302"/>
        <v>-33668</v>
      </c>
      <c r="BC199" s="140">
        <f t="shared" si="302"/>
        <v>-33488</v>
      </c>
      <c r="BD199" s="140">
        <f t="shared" si="302"/>
        <v>-33308</v>
      </c>
      <c r="BE199" s="140">
        <f t="shared" si="302"/>
        <v>-33128</v>
      </c>
      <c r="BF199" s="140">
        <f t="shared" si="302"/>
        <v>-32948</v>
      </c>
      <c r="BG199" s="140">
        <f t="shared" si="302"/>
        <v>-32769</v>
      </c>
      <c r="BH199" s="140">
        <f t="shared" si="302"/>
        <v>-32589</v>
      </c>
      <c r="BI199" s="140">
        <f t="shared" si="302"/>
        <v>-32409</v>
      </c>
      <c r="BJ199" s="140">
        <f t="shared" si="302"/>
        <v>-32229</v>
      </c>
      <c r="BK199" s="140">
        <f t="shared" si="302"/>
        <v>-32049</v>
      </c>
      <c r="BL199" s="140">
        <f t="shared" si="302"/>
        <v>-31869</v>
      </c>
      <c r="BM199" s="140">
        <f t="shared" si="302"/>
        <v>-31689</v>
      </c>
      <c r="BN199" s="140">
        <f t="shared" si="302"/>
        <v>-31509</v>
      </c>
      <c r="BO199" s="140">
        <f t="shared" ref="BO199:CB199" si="303">DAYS360($B$3,BO76)</f>
        <v>-31330</v>
      </c>
      <c r="BP199" s="140">
        <f t="shared" si="303"/>
        <v>-31150</v>
      </c>
      <c r="BQ199" s="140">
        <f t="shared" si="303"/>
        <v>-30970</v>
      </c>
      <c r="BR199" s="140">
        <f t="shared" si="303"/>
        <v>-30790</v>
      </c>
      <c r="BS199" s="140">
        <f t="shared" si="303"/>
        <v>-30610</v>
      </c>
      <c r="BT199" s="140">
        <f t="shared" si="303"/>
        <v>-30430</v>
      </c>
      <c r="BU199" s="140">
        <f t="shared" si="303"/>
        <v>-30250</v>
      </c>
      <c r="BV199" s="140">
        <f t="shared" si="303"/>
        <v>-30070</v>
      </c>
      <c r="BW199" s="140">
        <f t="shared" si="303"/>
        <v>-29891</v>
      </c>
      <c r="BX199" s="140">
        <f t="shared" si="303"/>
        <v>-29711</v>
      </c>
      <c r="BY199" s="140">
        <f t="shared" si="303"/>
        <v>-29531</v>
      </c>
      <c r="BZ199" s="140">
        <f t="shared" si="303"/>
        <v>-29351</v>
      </c>
      <c r="CA199" s="140">
        <f t="shared" si="303"/>
        <v>-29171</v>
      </c>
      <c r="CB199" s="140">
        <f t="shared" si="303"/>
        <v>-28991</v>
      </c>
      <c r="CC199" s="17"/>
      <c r="CD199" s="17"/>
      <c r="CE199" s="17"/>
    </row>
    <row r="200" spans="1:83">
      <c r="A200" s="16" t="s">
        <v>41</v>
      </c>
      <c r="B200" s="140">
        <f>B199/360</f>
        <v>-119.50555555555556</v>
      </c>
      <c r="C200" s="140">
        <f t="shared" ref="C200:BN200" si="304">C199/360</f>
        <v>-119.00555555555556</v>
      </c>
      <c r="D200" s="140">
        <f t="shared" si="304"/>
        <v>-118.50555555555556</v>
      </c>
      <c r="E200" s="140">
        <f t="shared" si="304"/>
        <v>-118.00555555555556</v>
      </c>
      <c r="F200" s="140">
        <f t="shared" si="304"/>
        <v>-117.50555555555556</v>
      </c>
      <c r="G200" s="140">
        <f t="shared" si="304"/>
        <v>-117.00555555555556</v>
      </c>
      <c r="H200" s="140">
        <f t="shared" si="304"/>
        <v>-116.50555555555556</v>
      </c>
      <c r="I200" s="140">
        <f t="shared" si="304"/>
        <v>-116.00555555555556</v>
      </c>
      <c r="J200" s="140">
        <f t="shared" si="304"/>
        <v>-115.50555555555556</v>
      </c>
      <c r="K200" s="140">
        <f t="shared" si="304"/>
        <v>-115.00833333333334</v>
      </c>
      <c r="L200" s="140">
        <f t="shared" si="304"/>
        <v>-114.50833333333334</v>
      </c>
      <c r="M200" s="140">
        <f t="shared" si="304"/>
        <v>-114.00833333333334</v>
      </c>
      <c r="N200" s="140">
        <f t="shared" si="304"/>
        <v>-113.50833333333334</v>
      </c>
      <c r="O200" s="140">
        <f t="shared" si="304"/>
        <v>-113.00833333333334</v>
      </c>
      <c r="P200" s="140">
        <f t="shared" si="304"/>
        <v>-112.50833333333334</v>
      </c>
      <c r="Q200" s="140">
        <f t="shared" si="304"/>
        <v>-112.00833333333334</v>
      </c>
      <c r="R200" s="140">
        <f t="shared" si="304"/>
        <v>-111.50833333333334</v>
      </c>
      <c r="S200" s="140">
        <f t="shared" si="304"/>
        <v>-111.01111111111111</v>
      </c>
      <c r="T200" s="140">
        <f t="shared" si="304"/>
        <v>-110.51111111111111</v>
      </c>
      <c r="U200" s="140">
        <f t="shared" si="304"/>
        <v>-110.01111111111111</v>
      </c>
      <c r="V200" s="140">
        <f t="shared" si="304"/>
        <v>-109.51111111111111</v>
      </c>
      <c r="W200" s="140">
        <f t="shared" si="304"/>
        <v>-109.01111111111111</v>
      </c>
      <c r="X200" s="140">
        <f t="shared" si="304"/>
        <v>-108.51111111111111</v>
      </c>
      <c r="Y200" s="140">
        <f t="shared" si="304"/>
        <v>-108.01111111111111</v>
      </c>
      <c r="Z200" s="140">
        <f t="shared" si="304"/>
        <v>-107.51111111111111</v>
      </c>
      <c r="AA200" s="140">
        <f t="shared" si="304"/>
        <v>-107.01388888888889</v>
      </c>
      <c r="AB200" s="140">
        <f t="shared" si="304"/>
        <v>-106.51388888888889</v>
      </c>
      <c r="AC200" s="140">
        <f t="shared" si="304"/>
        <v>-106.01388888888889</v>
      </c>
      <c r="AD200" s="140">
        <f t="shared" si="304"/>
        <v>-105.51388888888889</v>
      </c>
      <c r="AE200" s="140">
        <f t="shared" si="304"/>
        <v>-105.01388888888889</v>
      </c>
      <c r="AF200" s="140">
        <f t="shared" si="304"/>
        <v>-104.51388888888889</v>
      </c>
      <c r="AG200" s="140">
        <f t="shared" si="304"/>
        <v>-104.01388888888889</v>
      </c>
      <c r="AH200" s="140">
        <f t="shared" si="304"/>
        <v>-103.51388888888889</v>
      </c>
      <c r="AI200" s="140">
        <f t="shared" si="304"/>
        <v>-103.01666666666667</v>
      </c>
      <c r="AJ200" s="140">
        <f t="shared" si="304"/>
        <v>-102.51666666666667</v>
      </c>
      <c r="AK200" s="140">
        <f t="shared" si="304"/>
        <v>-102.01666666666667</v>
      </c>
      <c r="AL200" s="140">
        <f t="shared" si="304"/>
        <v>-101.51666666666667</v>
      </c>
      <c r="AM200" s="140">
        <f t="shared" si="304"/>
        <v>-101.01666666666667</v>
      </c>
      <c r="AN200" s="140">
        <f t="shared" si="304"/>
        <v>-100.51666666666667</v>
      </c>
      <c r="AO200" s="140">
        <f t="shared" si="304"/>
        <v>-100.01666666666667</v>
      </c>
      <c r="AP200" s="140">
        <f t="shared" si="304"/>
        <v>-99.516666666666666</v>
      </c>
      <c r="AQ200" s="140">
        <f t="shared" si="304"/>
        <v>-99.019444444444446</v>
      </c>
      <c r="AR200" s="140">
        <f t="shared" si="304"/>
        <v>-98.519444444444446</v>
      </c>
      <c r="AS200" s="140">
        <f t="shared" si="304"/>
        <v>-98.019444444444446</v>
      </c>
      <c r="AT200" s="140">
        <f t="shared" si="304"/>
        <v>-97.519444444444446</v>
      </c>
      <c r="AU200" s="140">
        <f t="shared" si="304"/>
        <v>-97.019444444444446</v>
      </c>
      <c r="AV200" s="140">
        <f t="shared" si="304"/>
        <v>-96.519444444444446</v>
      </c>
      <c r="AW200" s="140">
        <f t="shared" si="304"/>
        <v>-96.019444444444446</v>
      </c>
      <c r="AX200" s="140">
        <f t="shared" si="304"/>
        <v>-95.519444444444446</v>
      </c>
      <c r="AY200" s="140">
        <f t="shared" si="304"/>
        <v>-95.022222222222226</v>
      </c>
      <c r="AZ200" s="140">
        <f t="shared" si="304"/>
        <v>-94.522222222222226</v>
      </c>
      <c r="BA200" s="140">
        <f t="shared" si="304"/>
        <v>-94.022222222222226</v>
      </c>
      <c r="BB200" s="140">
        <f t="shared" si="304"/>
        <v>-93.522222222222226</v>
      </c>
      <c r="BC200" s="140">
        <f t="shared" si="304"/>
        <v>-93.022222222222226</v>
      </c>
      <c r="BD200" s="140">
        <f t="shared" si="304"/>
        <v>-92.522222222222226</v>
      </c>
      <c r="BE200" s="140">
        <f t="shared" si="304"/>
        <v>-92.022222222222226</v>
      </c>
      <c r="BF200" s="140">
        <f t="shared" si="304"/>
        <v>-91.522222222222226</v>
      </c>
      <c r="BG200" s="140">
        <f t="shared" si="304"/>
        <v>-91.025000000000006</v>
      </c>
      <c r="BH200" s="140">
        <f t="shared" si="304"/>
        <v>-90.525000000000006</v>
      </c>
      <c r="BI200" s="140">
        <f t="shared" si="304"/>
        <v>-90.025000000000006</v>
      </c>
      <c r="BJ200" s="140">
        <f t="shared" si="304"/>
        <v>-89.525000000000006</v>
      </c>
      <c r="BK200" s="140">
        <f t="shared" si="304"/>
        <v>-89.025000000000006</v>
      </c>
      <c r="BL200" s="140">
        <f t="shared" si="304"/>
        <v>-88.525000000000006</v>
      </c>
      <c r="BM200" s="140">
        <f t="shared" si="304"/>
        <v>-88.025000000000006</v>
      </c>
      <c r="BN200" s="140">
        <f t="shared" si="304"/>
        <v>-87.525000000000006</v>
      </c>
      <c r="BO200" s="140">
        <f t="shared" ref="BO200:CB200" si="305">BO199/360</f>
        <v>-87.027777777777771</v>
      </c>
      <c r="BP200" s="140">
        <f t="shared" si="305"/>
        <v>-86.527777777777771</v>
      </c>
      <c r="BQ200" s="140">
        <f t="shared" si="305"/>
        <v>-86.027777777777771</v>
      </c>
      <c r="BR200" s="140">
        <f t="shared" si="305"/>
        <v>-85.527777777777771</v>
      </c>
      <c r="BS200" s="140">
        <f t="shared" si="305"/>
        <v>-85.027777777777771</v>
      </c>
      <c r="BT200" s="140">
        <f t="shared" si="305"/>
        <v>-84.527777777777771</v>
      </c>
      <c r="BU200" s="140">
        <f t="shared" si="305"/>
        <v>-84.027777777777771</v>
      </c>
      <c r="BV200" s="140">
        <f t="shared" si="305"/>
        <v>-83.527777777777771</v>
      </c>
      <c r="BW200" s="140">
        <f t="shared" si="305"/>
        <v>-83.030555555555551</v>
      </c>
      <c r="BX200" s="140">
        <f t="shared" si="305"/>
        <v>-82.530555555555551</v>
      </c>
      <c r="BY200" s="140">
        <f t="shared" si="305"/>
        <v>-82.030555555555551</v>
      </c>
      <c r="BZ200" s="140">
        <f t="shared" si="305"/>
        <v>-81.530555555555551</v>
      </c>
      <c r="CA200" s="140">
        <f t="shared" si="305"/>
        <v>-81.030555555555551</v>
      </c>
      <c r="CB200" s="140">
        <f t="shared" si="305"/>
        <v>-80.530555555555551</v>
      </c>
      <c r="CC200" s="17"/>
      <c r="CD200" s="17"/>
      <c r="CE200" s="17"/>
    </row>
    <row r="201" spans="1:83">
      <c r="A201" s="16" t="s">
        <v>43</v>
      </c>
      <c r="B201" s="140">
        <f>IF(B199&lt;0,0,$B$5+$B$6*((1-EXP(-B200/$B$9))/(B200/$B$9))+$B$7*((1-EXP(-B200/$B$9))/(B200/$B$9)-EXP(-B200/$B$9))+$B$8*((1-EXP(-B200/$B$10))/(B200/$B$10)-EXP(-B200/$B$10)))</f>
        <v>0</v>
      </c>
      <c r="C201" s="140">
        <f t="shared" ref="C201:BN201" si="306">IF(C199&lt;0,0,$B$5+$B$6*((1-EXP(-C200/$B$9))/(C200/$B$9))+$B$7*((1-EXP(-C200/$B$9))/(C200/$B$9)-EXP(-C200/$B$9))+$B$8*((1-EXP(-C200/$B$10))/(C200/$B$10)-EXP(-C200/$B$10)))</f>
        <v>0</v>
      </c>
      <c r="D201" s="140">
        <f t="shared" si="306"/>
        <v>0</v>
      </c>
      <c r="E201" s="140">
        <f t="shared" si="306"/>
        <v>0</v>
      </c>
      <c r="F201" s="140">
        <f t="shared" si="306"/>
        <v>0</v>
      </c>
      <c r="G201" s="140">
        <f t="shared" si="306"/>
        <v>0</v>
      </c>
      <c r="H201" s="140">
        <f t="shared" si="306"/>
        <v>0</v>
      </c>
      <c r="I201" s="140">
        <f t="shared" si="306"/>
        <v>0</v>
      </c>
      <c r="J201" s="140">
        <f t="shared" si="306"/>
        <v>0</v>
      </c>
      <c r="K201" s="140">
        <f t="shared" si="306"/>
        <v>0</v>
      </c>
      <c r="L201" s="140">
        <f t="shared" si="306"/>
        <v>0</v>
      </c>
      <c r="M201" s="140">
        <f t="shared" si="306"/>
        <v>0</v>
      </c>
      <c r="N201" s="140">
        <f t="shared" si="306"/>
        <v>0</v>
      </c>
      <c r="O201" s="140">
        <f t="shared" si="306"/>
        <v>0</v>
      </c>
      <c r="P201" s="140">
        <f t="shared" si="306"/>
        <v>0</v>
      </c>
      <c r="Q201" s="140">
        <f t="shared" si="306"/>
        <v>0</v>
      </c>
      <c r="R201" s="140">
        <f t="shared" si="306"/>
        <v>0</v>
      </c>
      <c r="S201" s="140">
        <f t="shared" si="306"/>
        <v>0</v>
      </c>
      <c r="T201" s="140">
        <f t="shared" si="306"/>
        <v>0</v>
      </c>
      <c r="U201" s="140">
        <f t="shared" si="306"/>
        <v>0</v>
      </c>
      <c r="V201" s="140">
        <f t="shared" si="306"/>
        <v>0</v>
      </c>
      <c r="W201" s="140">
        <f t="shared" si="306"/>
        <v>0</v>
      </c>
      <c r="X201" s="140">
        <f t="shared" si="306"/>
        <v>0</v>
      </c>
      <c r="Y201" s="140">
        <f t="shared" si="306"/>
        <v>0</v>
      </c>
      <c r="Z201" s="140">
        <f t="shared" si="306"/>
        <v>0</v>
      </c>
      <c r="AA201" s="140">
        <f t="shared" si="306"/>
        <v>0</v>
      </c>
      <c r="AB201" s="140">
        <f t="shared" si="306"/>
        <v>0</v>
      </c>
      <c r="AC201" s="140">
        <f t="shared" si="306"/>
        <v>0</v>
      </c>
      <c r="AD201" s="140">
        <f t="shared" si="306"/>
        <v>0</v>
      </c>
      <c r="AE201" s="140">
        <f t="shared" si="306"/>
        <v>0</v>
      </c>
      <c r="AF201" s="140">
        <f t="shared" si="306"/>
        <v>0</v>
      </c>
      <c r="AG201" s="140">
        <f t="shared" si="306"/>
        <v>0</v>
      </c>
      <c r="AH201" s="140">
        <f t="shared" si="306"/>
        <v>0</v>
      </c>
      <c r="AI201" s="140">
        <f t="shared" si="306"/>
        <v>0</v>
      </c>
      <c r="AJ201" s="140">
        <f t="shared" si="306"/>
        <v>0</v>
      </c>
      <c r="AK201" s="140">
        <f t="shared" si="306"/>
        <v>0</v>
      </c>
      <c r="AL201" s="140">
        <f t="shared" si="306"/>
        <v>0</v>
      </c>
      <c r="AM201" s="140">
        <f t="shared" si="306"/>
        <v>0</v>
      </c>
      <c r="AN201" s="140">
        <f t="shared" si="306"/>
        <v>0</v>
      </c>
      <c r="AO201" s="140">
        <f t="shared" si="306"/>
        <v>0</v>
      </c>
      <c r="AP201" s="140">
        <f t="shared" si="306"/>
        <v>0</v>
      </c>
      <c r="AQ201" s="140">
        <f t="shared" si="306"/>
        <v>0</v>
      </c>
      <c r="AR201" s="140">
        <f t="shared" si="306"/>
        <v>0</v>
      </c>
      <c r="AS201" s="140">
        <f t="shared" si="306"/>
        <v>0</v>
      </c>
      <c r="AT201" s="140">
        <f t="shared" si="306"/>
        <v>0</v>
      </c>
      <c r="AU201" s="140">
        <f t="shared" si="306"/>
        <v>0</v>
      </c>
      <c r="AV201" s="140">
        <f t="shared" si="306"/>
        <v>0</v>
      </c>
      <c r="AW201" s="140">
        <f t="shared" si="306"/>
        <v>0</v>
      </c>
      <c r="AX201" s="140">
        <f t="shared" si="306"/>
        <v>0</v>
      </c>
      <c r="AY201" s="140">
        <f t="shared" si="306"/>
        <v>0</v>
      </c>
      <c r="AZ201" s="140">
        <f t="shared" si="306"/>
        <v>0</v>
      </c>
      <c r="BA201" s="140">
        <f t="shared" si="306"/>
        <v>0</v>
      </c>
      <c r="BB201" s="140">
        <f t="shared" si="306"/>
        <v>0</v>
      </c>
      <c r="BC201" s="140">
        <f t="shared" si="306"/>
        <v>0</v>
      </c>
      <c r="BD201" s="140">
        <f t="shared" si="306"/>
        <v>0</v>
      </c>
      <c r="BE201" s="140">
        <f t="shared" si="306"/>
        <v>0</v>
      </c>
      <c r="BF201" s="140">
        <f t="shared" si="306"/>
        <v>0</v>
      </c>
      <c r="BG201" s="140">
        <f t="shared" si="306"/>
        <v>0</v>
      </c>
      <c r="BH201" s="140">
        <f t="shared" si="306"/>
        <v>0</v>
      </c>
      <c r="BI201" s="140">
        <f t="shared" si="306"/>
        <v>0</v>
      </c>
      <c r="BJ201" s="140">
        <f t="shared" si="306"/>
        <v>0</v>
      </c>
      <c r="BK201" s="140">
        <f t="shared" si="306"/>
        <v>0</v>
      </c>
      <c r="BL201" s="140">
        <f t="shared" si="306"/>
        <v>0</v>
      </c>
      <c r="BM201" s="140">
        <f t="shared" si="306"/>
        <v>0</v>
      </c>
      <c r="BN201" s="140">
        <f t="shared" si="306"/>
        <v>0</v>
      </c>
      <c r="BO201" s="140">
        <f t="shared" ref="BO201:CB201" si="307">IF(BO199&lt;0,0,$B$5+$B$6*((1-EXP(-BO200/$B$9))/(BO200/$B$9))+$B$7*((1-EXP(-BO200/$B$9))/(BO200/$B$9)-EXP(-BO200/$B$9))+$B$8*((1-EXP(-BO200/$B$10))/(BO200/$B$10)-EXP(-BO200/$B$10)))</f>
        <v>0</v>
      </c>
      <c r="BP201" s="140">
        <f t="shared" si="307"/>
        <v>0</v>
      </c>
      <c r="BQ201" s="140">
        <f t="shared" si="307"/>
        <v>0</v>
      </c>
      <c r="BR201" s="140">
        <f t="shared" si="307"/>
        <v>0</v>
      </c>
      <c r="BS201" s="140">
        <f t="shared" si="307"/>
        <v>0</v>
      </c>
      <c r="BT201" s="140">
        <f t="shared" si="307"/>
        <v>0</v>
      </c>
      <c r="BU201" s="140">
        <f t="shared" si="307"/>
        <v>0</v>
      </c>
      <c r="BV201" s="140">
        <f t="shared" si="307"/>
        <v>0</v>
      </c>
      <c r="BW201" s="140">
        <f t="shared" si="307"/>
        <v>0</v>
      </c>
      <c r="BX201" s="140">
        <f t="shared" si="307"/>
        <v>0</v>
      </c>
      <c r="BY201" s="140">
        <f t="shared" si="307"/>
        <v>0</v>
      </c>
      <c r="BZ201" s="140">
        <f t="shared" si="307"/>
        <v>0</v>
      </c>
      <c r="CA201" s="140">
        <f t="shared" si="307"/>
        <v>0</v>
      </c>
      <c r="CB201" s="140">
        <f t="shared" si="307"/>
        <v>0</v>
      </c>
      <c r="CC201" s="17"/>
      <c r="CD201" s="17"/>
      <c r="CE201" s="17"/>
    </row>
    <row r="202" spans="1:83">
      <c r="A202" s="16" t="s">
        <v>44</v>
      </c>
      <c r="B202" s="140">
        <f>EXP(-B201*B200)</f>
        <v>1</v>
      </c>
      <c r="C202" s="140">
        <f t="shared" ref="C202:BN202" si="308">EXP(-C201*C200)</f>
        <v>1</v>
      </c>
      <c r="D202" s="140">
        <f t="shared" si="308"/>
        <v>1</v>
      </c>
      <c r="E202" s="140">
        <f t="shared" si="308"/>
        <v>1</v>
      </c>
      <c r="F202" s="140">
        <f t="shared" si="308"/>
        <v>1</v>
      </c>
      <c r="G202" s="140">
        <f t="shared" si="308"/>
        <v>1</v>
      </c>
      <c r="H202" s="140">
        <f t="shared" si="308"/>
        <v>1</v>
      </c>
      <c r="I202" s="140">
        <f t="shared" si="308"/>
        <v>1</v>
      </c>
      <c r="J202" s="140">
        <f t="shared" si="308"/>
        <v>1</v>
      </c>
      <c r="K202" s="140">
        <f t="shared" si="308"/>
        <v>1</v>
      </c>
      <c r="L202" s="140">
        <f t="shared" si="308"/>
        <v>1</v>
      </c>
      <c r="M202" s="140">
        <f t="shared" si="308"/>
        <v>1</v>
      </c>
      <c r="N202" s="140">
        <f t="shared" si="308"/>
        <v>1</v>
      </c>
      <c r="O202" s="140">
        <f t="shared" si="308"/>
        <v>1</v>
      </c>
      <c r="P202" s="140">
        <f t="shared" si="308"/>
        <v>1</v>
      </c>
      <c r="Q202" s="140">
        <f t="shared" si="308"/>
        <v>1</v>
      </c>
      <c r="R202" s="140">
        <f t="shared" si="308"/>
        <v>1</v>
      </c>
      <c r="S202" s="140">
        <f t="shared" si="308"/>
        <v>1</v>
      </c>
      <c r="T202" s="140">
        <f t="shared" si="308"/>
        <v>1</v>
      </c>
      <c r="U202" s="140">
        <f t="shared" si="308"/>
        <v>1</v>
      </c>
      <c r="V202" s="140">
        <f t="shared" si="308"/>
        <v>1</v>
      </c>
      <c r="W202" s="140">
        <f t="shared" si="308"/>
        <v>1</v>
      </c>
      <c r="X202" s="140">
        <f t="shared" si="308"/>
        <v>1</v>
      </c>
      <c r="Y202" s="140">
        <f t="shared" si="308"/>
        <v>1</v>
      </c>
      <c r="Z202" s="140">
        <f t="shared" si="308"/>
        <v>1</v>
      </c>
      <c r="AA202" s="140">
        <f t="shared" si="308"/>
        <v>1</v>
      </c>
      <c r="AB202" s="140">
        <f t="shared" si="308"/>
        <v>1</v>
      </c>
      <c r="AC202" s="140">
        <f t="shared" si="308"/>
        <v>1</v>
      </c>
      <c r="AD202" s="140">
        <f t="shared" si="308"/>
        <v>1</v>
      </c>
      <c r="AE202" s="140">
        <f t="shared" si="308"/>
        <v>1</v>
      </c>
      <c r="AF202" s="140">
        <f t="shared" si="308"/>
        <v>1</v>
      </c>
      <c r="AG202" s="140">
        <f t="shared" si="308"/>
        <v>1</v>
      </c>
      <c r="AH202" s="140">
        <f t="shared" si="308"/>
        <v>1</v>
      </c>
      <c r="AI202" s="140">
        <f t="shared" si="308"/>
        <v>1</v>
      </c>
      <c r="AJ202" s="140">
        <f t="shared" si="308"/>
        <v>1</v>
      </c>
      <c r="AK202" s="140">
        <f t="shared" si="308"/>
        <v>1</v>
      </c>
      <c r="AL202" s="140">
        <f t="shared" si="308"/>
        <v>1</v>
      </c>
      <c r="AM202" s="140">
        <f t="shared" si="308"/>
        <v>1</v>
      </c>
      <c r="AN202" s="140">
        <f t="shared" si="308"/>
        <v>1</v>
      </c>
      <c r="AO202" s="140">
        <f t="shared" si="308"/>
        <v>1</v>
      </c>
      <c r="AP202" s="140">
        <f t="shared" si="308"/>
        <v>1</v>
      </c>
      <c r="AQ202" s="140">
        <f t="shared" si="308"/>
        <v>1</v>
      </c>
      <c r="AR202" s="140">
        <f t="shared" si="308"/>
        <v>1</v>
      </c>
      <c r="AS202" s="140">
        <f t="shared" si="308"/>
        <v>1</v>
      </c>
      <c r="AT202" s="140">
        <f t="shared" si="308"/>
        <v>1</v>
      </c>
      <c r="AU202" s="140">
        <f t="shared" si="308"/>
        <v>1</v>
      </c>
      <c r="AV202" s="140">
        <f t="shared" si="308"/>
        <v>1</v>
      </c>
      <c r="AW202" s="140">
        <f t="shared" si="308"/>
        <v>1</v>
      </c>
      <c r="AX202" s="140">
        <f t="shared" si="308"/>
        <v>1</v>
      </c>
      <c r="AY202" s="140">
        <f t="shared" si="308"/>
        <v>1</v>
      </c>
      <c r="AZ202" s="140">
        <f t="shared" si="308"/>
        <v>1</v>
      </c>
      <c r="BA202" s="140">
        <f t="shared" si="308"/>
        <v>1</v>
      </c>
      <c r="BB202" s="140">
        <f t="shared" si="308"/>
        <v>1</v>
      </c>
      <c r="BC202" s="140">
        <f t="shared" si="308"/>
        <v>1</v>
      </c>
      <c r="BD202" s="140">
        <f t="shared" si="308"/>
        <v>1</v>
      </c>
      <c r="BE202" s="140">
        <f t="shared" si="308"/>
        <v>1</v>
      </c>
      <c r="BF202" s="140">
        <f t="shared" si="308"/>
        <v>1</v>
      </c>
      <c r="BG202" s="140">
        <f t="shared" si="308"/>
        <v>1</v>
      </c>
      <c r="BH202" s="140">
        <f t="shared" si="308"/>
        <v>1</v>
      </c>
      <c r="BI202" s="140">
        <f t="shared" si="308"/>
        <v>1</v>
      </c>
      <c r="BJ202" s="140">
        <f t="shared" si="308"/>
        <v>1</v>
      </c>
      <c r="BK202" s="140">
        <f t="shared" si="308"/>
        <v>1</v>
      </c>
      <c r="BL202" s="140">
        <f t="shared" si="308"/>
        <v>1</v>
      </c>
      <c r="BM202" s="140">
        <f t="shared" si="308"/>
        <v>1</v>
      </c>
      <c r="BN202" s="140">
        <f t="shared" si="308"/>
        <v>1</v>
      </c>
      <c r="BO202" s="140">
        <f t="shared" ref="BO202:CB202" si="309">EXP(-BO201*BO200)</f>
        <v>1</v>
      </c>
      <c r="BP202" s="140">
        <f t="shared" si="309"/>
        <v>1</v>
      </c>
      <c r="BQ202" s="140">
        <f t="shared" si="309"/>
        <v>1</v>
      </c>
      <c r="BR202" s="140">
        <f t="shared" si="309"/>
        <v>1</v>
      </c>
      <c r="BS202" s="140">
        <f t="shared" si="309"/>
        <v>1</v>
      </c>
      <c r="BT202" s="140">
        <f t="shared" si="309"/>
        <v>1</v>
      </c>
      <c r="BU202" s="140">
        <f t="shared" si="309"/>
        <v>1</v>
      </c>
      <c r="BV202" s="140">
        <f t="shared" si="309"/>
        <v>1</v>
      </c>
      <c r="BW202" s="140">
        <f t="shared" si="309"/>
        <v>1</v>
      </c>
      <c r="BX202" s="140">
        <f t="shared" si="309"/>
        <v>1</v>
      </c>
      <c r="BY202" s="140">
        <f t="shared" si="309"/>
        <v>1</v>
      </c>
      <c r="BZ202" s="140">
        <f t="shared" si="309"/>
        <v>1</v>
      </c>
      <c r="CA202" s="140">
        <f t="shared" si="309"/>
        <v>1</v>
      </c>
      <c r="CB202" s="140">
        <f t="shared" si="309"/>
        <v>1</v>
      </c>
      <c r="CC202" s="17"/>
      <c r="CD202" s="17"/>
      <c r="CE202" s="17"/>
    </row>
    <row r="203" spans="1:83">
      <c r="A203" s="17"/>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c r="AP203" s="17"/>
      <c r="AQ203" s="17"/>
      <c r="AR203" s="17"/>
      <c r="AS203" s="17"/>
      <c r="AT203" s="17"/>
      <c r="AU203" s="17"/>
      <c r="AV203" s="17"/>
      <c r="AW203" s="17"/>
      <c r="AX203" s="17"/>
      <c r="AY203" s="17"/>
      <c r="AZ203" s="17"/>
      <c r="BA203" s="17"/>
      <c r="BB203" s="17"/>
      <c r="BC203" s="17"/>
      <c r="BD203" s="17"/>
      <c r="BE203" s="17"/>
      <c r="BF203" s="17"/>
      <c r="BG203" s="17"/>
      <c r="BH203" s="17"/>
      <c r="BI203" s="17"/>
      <c r="BJ203" s="17"/>
      <c r="BK203" s="17"/>
      <c r="BL203" s="17"/>
      <c r="BM203" s="17"/>
      <c r="BN203" s="17"/>
      <c r="BO203" s="17"/>
      <c r="BP203" s="17"/>
      <c r="BQ203" s="17"/>
      <c r="BR203" s="17"/>
      <c r="BS203" s="17"/>
      <c r="BT203" s="17"/>
      <c r="BU203" s="17"/>
      <c r="BV203" s="17"/>
      <c r="BW203" s="17"/>
      <c r="BX203" s="17"/>
      <c r="BY203" s="17"/>
      <c r="BZ203" s="17"/>
      <c r="CA203" s="17"/>
      <c r="CB203" s="17"/>
      <c r="CC203" s="17"/>
      <c r="CD203" s="17"/>
      <c r="CE203" s="17"/>
    </row>
    <row r="204" spans="1:83">
      <c r="A204" s="16" t="s">
        <v>40</v>
      </c>
      <c r="B204" s="140">
        <f>DAYS360($B$3,B78)</f>
        <v>-43022</v>
      </c>
      <c r="C204" s="140">
        <f t="shared" ref="C204:BN204" si="310">DAYS360($B$3,C78)</f>
        <v>-42842</v>
      </c>
      <c r="D204" s="140">
        <f t="shared" si="310"/>
        <v>-42662</v>
      </c>
      <c r="E204" s="140">
        <f t="shared" si="310"/>
        <v>-42482</v>
      </c>
      <c r="F204" s="140">
        <f t="shared" si="310"/>
        <v>-42302</v>
      </c>
      <c r="G204" s="140">
        <f t="shared" si="310"/>
        <v>-42122</v>
      </c>
      <c r="H204" s="140">
        <f t="shared" si="310"/>
        <v>-41942</v>
      </c>
      <c r="I204" s="140">
        <f t="shared" si="310"/>
        <v>-41762</v>
      </c>
      <c r="J204" s="140">
        <f t="shared" si="310"/>
        <v>-41582</v>
      </c>
      <c r="K204" s="140">
        <f t="shared" si="310"/>
        <v>-41403</v>
      </c>
      <c r="L204" s="140">
        <f t="shared" si="310"/>
        <v>-41223</v>
      </c>
      <c r="M204" s="140">
        <f t="shared" si="310"/>
        <v>-41043</v>
      </c>
      <c r="N204" s="140">
        <f t="shared" si="310"/>
        <v>-40863</v>
      </c>
      <c r="O204" s="140">
        <f t="shared" si="310"/>
        <v>-40683</v>
      </c>
      <c r="P204" s="140">
        <f t="shared" si="310"/>
        <v>-40503</v>
      </c>
      <c r="Q204" s="140">
        <f t="shared" si="310"/>
        <v>-40323</v>
      </c>
      <c r="R204" s="140">
        <f t="shared" si="310"/>
        <v>-40143</v>
      </c>
      <c r="S204" s="140">
        <f t="shared" si="310"/>
        <v>-39964</v>
      </c>
      <c r="T204" s="140">
        <f t="shared" si="310"/>
        <v>-39784</v>
      </c>
      <c r="U204" s="140">
        <f t="shared" si="310"/>
        <v>-39604</v>
      </c>
      <c r="V204" s="140">
        <f t="shared" si="310"/>
        <v>-39424</v>
      </c>
      <c r="W204" s="140">
        <f t="shared" si="310"/>
        <v>-39244</v>
      </c>
      <c r="X204" s="140">
        <f t="shared" si="310"/>
        <v>-39064</v>
      </c>
      <c r="Y204" s="140">
        <f t="shared" si="310"/>
        <v>-38884</v>
      </c>
      <c r="Z204" s="140">
        <f t="shared" si="310"/>
        <v>-38704</v>
      </c>
      <c r="AA204" s="140">
        <f t="shared" si="310"/>
        <v>-38525</v>
      </c>
      <c r="AB204" s="140">
        <f t="shared" si="310"/>
        <v>-38345</v>
      </c>
      <c r="AC204" s="140">
        <f t="shared" si="310"/>
        <v>-38165</v>
      </c>
      <c r="AD204" s="140">
        <f t="shared" si="310"/>
        <v>-37985</v>
      </c>
      <c r="AE204" s="140">
        <f t="shared" si="310"/>
        <v>-37805</v>
      </c>
      <c r="AF204" s="140">
        <f t="shared" si="310"/>
        <v>-37625</v>
      </c>
      <c r="AG204" s="140">
        <f t="shared" si="310"/>
        <v>-37445</v>
      </c>
      <c r="AH204" s="140">
        <f t="shared" si="310"/>
        <v>-37265</v>
      </c>
      <c r="AI204" s="140">
        <f t="shared" si="310"/>
        <v>-37086</v>
      </c>
      <c r="AJ204" s="140">
        <f t="shared" si="310"/>
        <v>-36906</v>
      </c>
      <c r="AK204" s="140">
        <f t="shared" si="310"/>
        <v>-36726</v>
      </c>
      <c r="AL204" s="140">
        <f t="shared" si="310"/>
        <v>-36546</v>
      </c>
      <c r="AM204" s="140">
        <f t="shared" si="310"/>
        <v>-36366</v>
      </c>
      <c r="AN204" s="140">
        <f t="shared" si="310"/>
        <v>-36186</v>
      </c>
      <c r="AO204" s="140">
        <f t="shared" si="310"/>
        <v>-36006</v>
      </c>
      <c r="AP204" s="140">
        <f t="shared" si="310"/>
        <v>-35826</v>
      </c>
      <c r="AQ204" s="140">
        <f t="shared" si="310"/>
        <v>-35647</v>
      </c>
      <c r="AR204" s="140">
        <f t="shared" si="310"/>
        <v>-35467</v>
      </c>
      <c r="AS204" s="140">
        <f t="shared" si="310"/>
        <v>-35287</v>
      </c>
      <c r="AT204" s="140">
        <f t="shared" si="310"/>
        <v>-35107</v>
      </c>
      <c r="AU204" s="140">
        <f t="shared" si="310"/>
        <v>-34927</v>
      </c>
      <c r="AV204" s="140">
        <f t="shared" si="310"/>
        <v>-34747</v>
      </c>
      <c r="AW204" s="140">
        <f t="shared" si="310"/>
        <v>-34567</v>
      </c>
      <c r="AX204" s="140">
        <f t="shared" si="310"/>
        <v>-34387</v>
      </c>
      <c r="AY204" s="140">
        <f t="shared" si="310"/>
        <v>-34208</v>
      </c>
      <c r="AZ204" s="140">
        <f t="shared" si="310"/>
        <v>-34028</v>
      </c>
      <c r="BA204" s="140">
        <f t="shared" si="310"/>
        <v>-33848</v>
      </c>
      <c r="BB204" s="140">
        <f t="shared" si="310"/>
        <v>-33668</v>
      </c>
      <c r="BC204" s="140">
        <f t="shared" si="310"/>
        <v>-33488</v>
      </c>
      <c r="BD204" s="140">
        <f t="shared" si="310"/>
        <v>-33308</v>
      </c>
      <c r="BE204" s="140">
        <f t="shared" si="310"/>
        <v>-33128</v>
      </c>
      <c r="BF204" s="140">
        <f t="shared" si="310"/>
        <v>-32948</v>
      </c>
      <c r="BG204" s="140">
        <f t="shared" si="310"/>
        <v>-32769</v>
      </c>
      <c r="BH204" s="140">
        <f t="shared" si="310"/>
        <v>-32589</v>
      </c>
      <c r="BI204" s="140">
        <f t="shared" si="310"/>
        <v>-32409</v>
      </c>
      <c r="BJ204" s="140">
        <f t="shared" si="310"/>
        <v>-32229</v>
      </c>
      <c r="BK204" s="140">
        <f t="shared" si="310"/>
        <v>-32049</v>
      </c>
      <c r="BL204" s="140">
        <f t="shared" si="310"/>
        <v>-31869</v>
      </c>
      <c r="BM204" s="140">
        <f t="shared" si="310"/>
        <v>-31689</v>
      </c>
      <c r="BN204" s="140">
        <f t="shared" si="310"/>
        <v>-31509</v>
      </c>
      <c r="BO204" s="140">
        <f t="shared" ref="BO204:CB204" si="311">DAYS360($B$3,BO78)</f>
        <v>-31330</v>
      </c>
      <c r="BP204" s="140">
        <f t="shared" si="311"/>
        <v>-31150</v>
      </c>
      <c r="BQ204" s="140">
        <f t="shared" si="311"/>
        <v>-30970</v>
      </c>
      <c r="BR204" s="140">
        <f t="shared" si="311"/>
        <v>-30790</v>
      </c>
      <c r="BS204" s="140">
        <f t="shared" si="311"/>
        <v>-30610</v>
      </c>
      <c r="BT204" s="140">
        <f t="shared" si="311"/>
        <v>-30430</v>
      </c>
      <c r="BU204" s="140">
        <f t="shared" si="311"/>
        <v>-30250</v>
      </c>
      <c r="BV204" s="140">
        <f t="shared" si="311"/>
        <v>-30070</v>
      </c>
      <c r="BW204" s="140">
        <f t="shared" si="311"/>
        <v>-29891</v>
      </c>
      <c r="BX204" s="140">
        <f t="shared" si="311"/>
        <v>-29711</v>
      </c>
      <c r="BY204" s="140">
        <f t="shared" si="311"/>
        <v>-29531</v>
      </c>
      <c r="BZ204" s="140">
        <f t="shared" si="311"/>
        <v>-29351</v>
      </c>
      <c r="CA204" s="140">
        <f t="shared" si="311"/>
        <v>-29171</v>
      </c>
      <c r="CB204" s="140">
        <f t="shared" si="311"/>
        <v>-28991</v>
      </c>
      <c r="CC204" s="17"/>
      <c r="CD204" s="17"/>
      <c r="CE204" s="17"/>
    </row>
    <row r="205" spans="1:83">
      <c r="A205" s="16" t="s">
        <v>41</v>
      </c>
      <c r="B205" s="140">
        <f>B204/360</f>
        <v>-119.50555555555556</v>
      </c>
      <c r="C205" s="140">
        <f t="shared" ref="C205:BN205" si="312">C204/360</f>
        <v>-119.00555555555556</v>
      </c>
      <c r="D205" s="140">
        <f t="shared" si="312"/>
        <v>-118.50555555555556</v>
      </c>
      <c r="E205" s="140">
        <f t="shared" si="312"/>
        <v>-118.00555555555556</v>
      </c>
      <c r="F205" s="140">
        <f t="shared" si="312"/>
        <v>-117.50555555555556</v>
      </c>
      <c r="G205" s="140">
        <f t="shared" si="312"/>
        <v>-117.00555555555556</v>
      </c>
      <c r="H205" s="140">
        <f t="shared" si="312"/>
        <v>-116.50555555555556</v>
      </c>
      <c r="I205" s="140">
        <f t="shared" si="312"/>
        <v>-116.00555555555556</v>
      </c>
      <c r="J205" s="140">
        <f t="shared" si="312"/>
        <v>-115.50555555555556</v>
      </c>
      <c r="K205" s="140">
        <f t="shared" si="312"/>
        <v>-115.00833333333334</v>
      </c>
      <c r="L205" s="140">
        <f t="shared" si="312"/>
        <v>-114.50833333333334</v>
      </c>
      <c r="M205" s="140">
        <f t="shared" si="312"/>
        <v>-114.00833333333334</v>
      </c>
      <c r="N205" s="140">
        <f t="shared" si="312"/>
        <v>-113.50833333333334</v>
      </c>
      <c r="O205" s="140">
        <f t="shared" si="312"/>
        <v>-113.00833333333334</v>
      </c>
      <c r="P205" s="140">
        <f t="shared" si="312"/>
        <v>-112.50833333333334</v>
      </c>
      <c r="Q205" s="140">
        <f t="shared" si="312"/>
        <v>-112.00833333333334</v>
      </c>
      <c r="R205" s="140">
        <f t="shared" si="312"/>
        <v>-111.50833333333334</v>
      </c>
      <c r="S205" s="140">
        <f t="shared" si="312"/>
        <v>-111.01111111111111</v>
      </c>
      <c r="T205" s="140">
        <f t="shared" si="312"/>
        <v>-110.51111111111111</v>
      </c>
      <c r="U205" s="140">
        <f t="shared" si="312"/>
        <v>-110.01111111111111</v>
      </c>
      <c r="V205" s="140">
        <f t="shared" si="312"/>
        <v>-109.51111111111111</v>
      </c>
      <c r="W205" s="140">
        <f t="shared" si="312"/>
        <v>-109.01111111111111</v>
      </c>
      <c r="X205" s="140">
        <f t="shared" si="312"/>
        <v>-108.51111111111111</v>
      </c>
      <c r="Y205" s="140">
        <f t="shared" si="312"/>
        <v>-108.01111111111111</v>
      </c>
      <c r="Z205" s="140">
        <f t="shared" si="312"/>
        <v>-107.51111111111111</v>
      </c>
      <c r="AA205" s="140">
        <f t="shared" si="312"/>
        <v>-107.01388888888889</v>
      </c>
      <c r="AB205" s="140">
        <f t="shared" si="312"/>
        <v>-106.51388888888889</v>
      </c>
      <c r="AC205" s="140">
        <f t="shared" si="312"/>
        <v>-106.01388888888889</v>
      </c>
      <c r="AD205" s="140">
        <f t="shared" si="312"/>
        <v>-105.51388888888889</v>
      </c>
      <c r="AE205" s="140">
        <f t="shared" si="312"/>
        <v>-105.01388888888889</v>
      </c>
      <c r="AF205" s="140">
        <f t="shared" si="312"/>
        <v>-104.51388888888889</v>
      </c>
      <c r="AG205" s="140">
        <f t="shared" si="312"/>
        <v>-104.01388888888889</v>
      </c>
      <c r="AH205" s="140">
        <f t="shared" si="312"/>
        <v>-103.51388888888889</v>
      </c>
      <c r="AI205" s="140">
        <f t="shared" si="312"/>
        <v>-103.01666666666667</v>
      </c>
      <c r="AJ205" s="140">
        <f t="shared" si="312"/>
        <v>-102.51666666666667</v>
      </c>
      <c r="AK205" s="140">
        <f t="shared" si="312"/>
        <v>-102.01666666666667</v>
      </c>
      <c r="AL205" s="140">
        <f t="shared" si="312"/>
        <v>-101.51666666666667</v>
      </c>
      <c r="AM205" s="140">
        <f t="shared" si="312"/>
        <v>-101.01666666666667</v>
      </c>
      <c r="AN205" s="140">
        <f t="shared" si="312"/>
        <v>-100.51666666666667</v>
      </c>
      <c r="AO205" s="140">
        <f t="shared" si="312"/>
        <v>-100.01666666666667</v>
      </c>
      <c r="AP205" s="140">
        <f t="shared" si="312"/>
        <v>-99.516666666666666</v>
      </c>
      <c r="AQ205" s="140">
        <f t="shared" si="312"/>
        <v>-99.019444444444446</v>
      </c>
      <c r="AR205" s="140">
        <f t="shared" si="312"/>
        <v>-98.519444444444446</v>
      </c>
      <c r="AS205" s="140">
        <f t="shared" si="312"/>
        <v>-98.019444444444446</v>
      </c>
      <c r="AT205" s="140">
        <f t="shared" si="312"/>
        <v>-97.519444444444446</v>
      </c>
      <c r="AU205" s="140">
        <f t="shared" si="312"/>
        <v>-97.019444444444446</v>
      </c>
      <c r="AV205" s="140">
        <f t="shared" si="312"/>
        <v>-96.519444444444446</v>
      </c>
      <c r="AW205" s="140">
        <f t="shared" si="312"/>
        <v>-96.019444444444446</v>
      </c>
      <c r="AX205" s="140">
        <f t="shared" si="312"/>
        <v>-95.519444444444446</v>
      </c>
      <c r="AY205" s="140">
        <f t="shared" si="312"/>
        <v>-95.022222222222226</v>
      </c>
      <c r="AZ205" s="140">
        <f t="shared" si="312"/>
        <v>-94.522222222222226</v>
      </c>
      <c r="BA205" s="140">
        <f t="shared" si="312"/>
        <v>-94.022222222222226</v>
      </c>
      <c r="BB205" s="140">
        <f t="shared" si="312"/>
        <v>-93.522222222222226</v>
      </c>
      <c r="BC205" s="140">
        <f t="shared" si="312"/>
        <v>-93.022222222222226</v>
      </c>
      <c r="BD205" s="140">
        <f t="shared" si="312"/>
        <v>-92.522222222222226</v>
      </c>
      <c r="BE205" s="140">
        <f t="shared" si="312"/>
        <v>-92.022222222222226</v>
      </c>
      <c r="BF205" s="140">
        <f t="shared" si="312"/>
        <v>-91.522222222222226</v>
      </c>
      <c r="BG205" s="140">
        <f t="shared" si="312"/>
        <v>-91.025000000000006</v>
      </c>
      <c r="BH205" s="140">
        <f t="shared" si="312"/>
        <v>-90.525000000000006</v>
      </c>
      <c r="BI205" s="140">
        <f t="shared" si="312"/>
        <v>-90.025000000000006</v>
      </c>
      <c r="BJ205" s="140">
        <f t="shared" si="312"/>
        <v>-89.525000000000006</v>
      </c>
      <c r="BK205" s="140">
        <f t="shared" si="312"/>
        <v>-89.025000000000006</v>
      </c>
      <c r="BL205" s="140">
        <f t="shared" si="312"/>
        <v>-88.525000000000006</v>
      </c>
      <c r="BM205" s="140">
        <f t="shared" si="312"/>
        <v>-88.025000000000006</v>
      </c>
      <c r="BN205" s="140">
        <f t="shared" si="312"/>
        <v>-87.525000000000006</v>
      </c>
      <c r="BO205" s="140">
        <f t="shared" ref="BO205:CB205" si="313">BO204/360</f>
        <v>-87.027777777777771</v>
      </c>
      <c r="BP205" s="140">
        <f t="shared" si="313"/>
        <v>-86.527777777777771</v>
      </c>
      <c r="BQ205" s="140">
        <f t="shared" si="313"/>
        <v>-86.027777777777771</v>
      </c>
      <c r="BR205" s="140">
        <f t="shared" si="313"/>
        <v>-85.527777777777771</v>
      </c>
      <c r="BS205" s="140">
        <f t="shared" si="313"/>
        <v>-85.027777777777771</v>
      </c>
      <c r="BT205" s="140">
        <f t="shared" si="313"/>
        <v>-84.527777777777771</v>
      </c>
      <c r="BU205" s="140">
        <f t="shared" si="313"/>
        <v>-84.027777777777771</v>
      </c>
      <c r="BV205" s="140">
        <f t="shared" si="313"/>
        <v>-83.527777777777771</v>
      </c>
      <c r="BW205" s="140">
        <f t="shared" si="313"/>
        <v>-83.030555555555551</v>
      </c>
      <c r="BX205" s="140">
        <f t="shared" si="313"/>
        <v>-82.530555555555551</v>
      </c>
      <c r="BY205" s="140">
        <f t="shared" si="313"/>
        <v>-82.030555555555551</v>
      </c>
      <c r="BZ205" s="140">
        <f t="shared" si="313"/>
        <v>-81.530555555555551</v>
      </c>
      <c r="CA205" s="140">
        <f t="shared" si="313"/>
        <v>-81.030555555555551</v>
      </c>
      <c r="CB205" s="140">
        <f t="shared" si="313"/>
        <v>-80.530555555555551</v>
      </c>
      <c r="CC205" s="17"/>
      <c r="CD205" s="17"/>
      <c r="CE205" s="17"/>
    </row>
    <row r="206" spans="1:83">
      <c r="A206" s="16" t="s">
        <v>43</v>
      </c>
      <c r="B206" s="140">
        <f>IF(B204&lt;0,0,$B$5+$B$6*((1-EXP(-B205/$B$9))/(B205/$B$9))+$B$7*((1-EXP(-B205/$B$9))/(B205/$B$9)-EXP(-B205/$B$9))+$B$8*((1-EXP(-B205/$B$10))/(B205/$B$10)-EXP(-B205/$B$10)))</f>
        <v>0</v>
      </c>
      <c r="C206" s="140">
        <f t="shared" ref="C206:BN206" si="314">IF(C204&lt;0,0,$B$5+$B$6*((1-EXP(-C205/$B$9))/(C205/$B$9))+$B$7*((1-EXP(-C205/$B$9))/(C205/$B$9)-EXP(-C205/$B$9))+$B$8*((1-EXP(-C205/$B$10))/(C205/$B$10)-EXP(-C205/$B$10)))</f>
        <v>0</v>
      </c>
      <c r="D206" s="140">
        <f t="shared" si="314"/>
        <v>0</v>
      </c>
      <c r="E206" s="140">
        <f t="shared" si="314"/>
        <v>0</v>
      </c>
      <c r="F206" s="140">
        <f t="shared" si="314"/>
        <v>0</v>
      </c>
      <c r="G206" s="140">
        <f t="shared" si="314"/>
        <v>0</v>
      </c>
      <c r="H206" s="140">
        <f t="shared" si="314"/>
        <v>0</v>
      </c>
      <c r="I206" s="140">
        <f t="shared" si="314"/>
        <v>0</v>
      </c>
      <c r="J206" s="140">
        <f t="shared" si="314"/>
        <v>0</v>
      </c>
      <c r="K206" s="140">
        <f t="shared" si="314"/>
        <v>0</v>
      </c>
      <c r="L206" s="140">
        <f t="shared" si="314"/>
        <v>0</v>
      </c>
      <c r="M206" s="140">
        <f t="shared" si="314"/>
        <v>0</v>
      </c>
      <c r="N206" s="140">
        <f t="shared" si="314"/>
        <v>0</v>
      </c>
      <c r="O206" s="140">
        <f t="shared" si="314"/>
        <v>0</v>
      </c>
      <c r="P206" s="140">
        <f t="shared" si="314"/>
        <v>0</v>
      </c>
      <c r="Q206" s="140">
        <f t="shared" si="314"/>
        <v>0</v>
      </c>
      <c r="R206" s="140">
        <f t="shared" si="314"/>
        <v>0</v>
      </c>
      <c r="S206" s="140">
        <f t="shared" si="314"/>
        <v>0</v>
      </c>
      <c r="T206" s="140">
        <f t="shared" si="314"/>
        <v>0</v>
      </c>
      <c r="U206" s="140">
        <f t="shared" si="314"/>
        <v>0</v>
      </c>
      <c r="V206" s="140">
        <f t="shared" si="314"/>
        <v>0</v>
      </c>
      <c r="W206" s="140">
        <f t="shared" si="314"/>
        <v>0</v>
      </c>
      <c r="X206" s="140">
        <f t="shared" si="314"/>
        <v>0</v>
      </c>
      <c r="Y206" s="140">
        <f t="shared" si="314"/>
        <v>0</v>
      </c>
      <c r="Z206" s="140">
        <f t="shared" si="314"/>
        <v>0</v>
      </c>
      <c r="AA206" s="140">
        <f t="shared" si="314"/>
        <v>0</v>
      </c>
      <c r="AB206" s="140">
        <f t="shared" si="314"/>
        <v>0</v>
      </c>
      <c r="AC206" s="140">
        <f t="shared" si="314"/>
        <v>0</v>
      </c>
      <c r="AD206" s="140">
        <f t="shared" si="314"/>
        <v>0</v>
      </c>
      <c r="AE206" s="140">
        <f t="shared" si="314"/>
        <v>0</v>
      </c>
      <c r="AF206" s="140">
        <f t="shared" si="314"/>
        <v>0</v>
      </c>
      <c r="AG206" s="140">
        <f t="shared" si="314"/>
        <v>0</v>
      </c>
      <c r="AH206" s="140">
        <f t="shared" si="314"/>
        <v>0</v>
      </c>
      <c r="AI206" s="140">
        <f t="shared" si="314"/>
        <v>0</v>
      </c>
      <c r="AJ206" s="140">
        <f t="shared" si="314"/>
        <v>0</v>
      </c>
      <c r="AK206" s="140">
        <f t="shared" si="314"/>
        <v>0</v>
      </c>
      <c r="AL206" s="140">
        <f t="shared" si="314"/>
        <v>0</v>
      </c>
      <c r="AM206" s="140">
        <f t="shared" si="314"/>
        <v>0</v>
      </c>
      <c r="AN206" s="140">
        <f t="shared" si="314"/>
        <v>0</v>
      </c>
      <c r="AO206" s="140">
        <f t="shared" si="314"/>
        <v>0</v>
      </c>
      <c r="AP206" s="140">
        <f t="shared" si="314"/>
        <v>0</v>
      </c>
      <c r="AQ206" s="140">
        <f t="shared" si="314"/>
        <v>0</v>
      </c>
      <c r="AR206" s="140">
        <f t="shared" si="314"/>
        <v>0</v>
      </c>
      <c r="AS206" s="140">
        <f t="shared" si="314"/>
        <v>0</v>
      </c>
      <c r="AT206" s="140">
        <f t="shared" si="314"/>
        <v>0</v>
      </c>
      <c r="AU206" s="140">
        <f t="shared" si="314"/>
        <v>0</v>
      </c>
      <c r="AV206" s="140">
        <f t="shared" si="314"/>
        <v>0</v>
      </c>
      <c r="AW206" s="140">
        <f t="shared" si="314"/>
        <v>0</v>
      </c>
      <c r="AX206" s="140">
        <f t="shared" si="314"/>
        <v>0</v>
      </c>
      <c r="AY206" s="140">
        <f t="shared" si="314"/>
        <v>0</v>
      </c>
      <c r="AZ206" s="140">
        <f t="shared" si="314"/>
        <v>0</v>
      </c>
      <c r="BA206" s="140">
        <f t="shared" si="314"/>
        <v>0</v>
      </c>
      <c r="BB206" s="140">
        <f t="shared" si="314"/>
        <v>0</v>
      </c>
      <c r="BC206" s="140">
        <f t="shared" si="314"/>
        <v>0</v>
      </c>
      <c r="BD206" s="140">
        <f t="shared" si="314"/>
        <v>0</v>
      </c>
      <c r="BE206" s="140">
        <f t="shared" si="314"/>
        <v>0</v>
      </c>
      <c r="BF206" s="140">
        <f t="shared" si="314"/>
        <v>0</v>
      </c>
      <c r="BG206" s="140">
        <f t="shared" si="314"/>
        <v>0</v>
      </c>
      <c r="BH206" s="140">
        <f t="shared" si="314"/>
        <v>0</v>
      </c>
      <c r="BI206" s="140">
        <f t="shared" si="314"/>
        <v>0</v>
      </c>
      <c r="BJ206" s="140">
        <f t="shared" si="314"/>
        <v>0</v>
      </c>
      <c r="BK206" s="140">
        <f t="shared" si="314"/>
        <v>0</v>
      </c>
      <c r="BL206" s="140">
        <f t="shared" si="314"/>
        <v>0</v>
      </c>
      <c r="BM206" s="140">
        <f t="shared" si="314"/>
        <v>0</v>
      </c>
      <c r="BN206" s="140">
        <f t="shared" si="314"/>
        <v>0</v>
      </c>
      <c r="BO206" s="140">
        <f t="shared" ref="BO206:CB206" si="315">IF(BO204&lt;0,0,$B$5+$B$6*((1-EXP(-BO205/$B$9))/(BO205/$B$9))+$B$7*((1-EXP(-BO205/$B$9))/(BO205/$B$9)-EXP(-BO205/$B$9))+$B$8*((1-EXP(-BO205/$B$10))/(BO205/$B$10)-EXP(-BO205/$B$10)))</f>
        <v>0</v>
      </c>
      <c r="BP206" s="140">
        <f t="shared" si="315"/>
        <v>0</v>
      </c>
      <c r="BQ206" s="140">
        <f t="shared" si="315"/>
        <v>0</v>
      </c>
      <c r="BR206" s="140">
        <f t="shared" si="315"/>
        <v>0</v>
      </c>
      <c r="BS206" s="140">
        <f t="shared" si="315"/>
        <v>0</v>
      </c>
      <c r="BT206" s="140">
        <f t="shared" si="315"/>
        <v>0</v>
      </c>
      <c r="BU206" s="140">
        <f t="shared" si="315"/>
        <v>0</v>
      </c>
      <c r="BV206" s="140">
        <f t="shared" si="315"/>
        <v>0</v>
      </c>
      <c r="BW206" s="140">
        <f t="shared" si="315"/>
        <v>0</v>
      </c>
      <c r="BX206" s="140">
        <f t="shared" si="315"/>
        <v>0</v>
      </c>
      <c r="BY206" s="140">
        <f t="shared" si="315"/>
        <v>0</v>
      </c>
      <c r="BZ206" s="140">
        <f t="shared" si="315"/>
        <v>0</v>
      </c>
      <c r="CA206" s="140">
        <f t="shared" si="315"/>
        <v>0</v>
      </c>
      <c r="CB206" s="140">
        <f t="shared" si="315"/>
        <v>0</v>
      </c>
      <c r="CC206" s="17"/>
      <c r="CD206" s="17"/>
      <c r="CE206" s="17"/>
    </row>
    <row r="207" spans="1:83">
      <c r="A207" s="16" t="s">
        <v>44</v>
      </c>
      <c r="B207" s="140">
        <f>EXP(-B206*B205)</f>
        <v>1</v>
      </c>
      <c r="C207" s="140">
        <f t="shared" ref="C207:BN207" si="316">EXP(-C206*C205)</f>
        <v>1</v>
      </c>
      <c r="D207" s="140">
        <f t="shared" si="316"/>
        <v>1</v>
      </c>
      <c r="E207" s="140">
        <f t="shared" si="316"/>
        <v>1</v>
      </c>
      <c r="F207" s="140">
        <f t="shared" si="316"/>
        <v>1</v>
      </c>
      <c r="G207" s="140">
        <f t="shared" si="316"/>
        <v>1</v>
      </c>
      <c r="H207" s="140">
        <f t="shared" si="316"/>
        <v>1</v>
      </c>
      <c r="I207" s="140">
        <f t="shared" si="316"/>
        <v>1</v>
      </c>
      <c r="J207" s="140">
        <f t="shared" si="316"/>
        <v>1</v>
      </c>
      <c r="K207" s="140">
        <f t="shared" si="316"/>
        <v>1</v>
      </c>
      <c r="L207" s="140">
        <f t="shared" si="316"/>
        <v>1</v>
      </c>
      <c r="M207" s="140">
        <f t="shared" si="316"/>
        <v>1</v>
      </c>
      <c r="N207" s="140">
        <f t="shared" si="316"/>
        <v>1</v>
      </c>
      <c r="O207" s="140">
        <f t="shared" si="316"/>
        <v>1</v>
      </c>
      <c r="P207" s="140">
        <f t="shared" si="316"/>
        <v>1</v>
      </c>
      <c r="Q207" s="140">
        <f t="shared" si="316"/>
        <v>1</v>
      </c>
      <c r="R207" s="140">
        <f t="shared" si="316"/>
        <v>1</v>
      </c>
      <c r="S207" s="140">
        <f t="shared" si="316"/>
        <v>1</v>
      </c>
      <c r="T207" s="140">
        <f t="shared" si="316"/>
        <v>1</v>
      </c>
      <c r="U207" s="140">
        <f t="shared" si="316"/>
        <v>1</v>
      </c>
      <c r="V207" s="140">
        <f t="shared" si="316"/>
        <v>1</v>
      </c>
      <c r="W207" s="140">
        <f t="shared" si="316"/>
        <v>1</v>
      </c>
      <c r="X207" s="140">
        <f t="shared" si="316"/>
        <v>1</v>
      </c>
      <c r="Y207" s="140">
        <f t="shared" si="316"/>
        <v>1</v>
      </c>
      <c r="Z207" s="140">
        <f t="shared" si="316"/>
        <v>1</v>
      </c>
      <c r="AA207" s="140">
        <f t="shared" si="316"/>
        <v>1</v>
      </c>
      <c r="AB207" s="140">
        <f t="shared" si="316"/>
        <v>1</v>
      </c>
      <c r="AC207" s="140">
        <f t="shared" si="316"/>
        <v>1</v>
      </c>
      <c r="AD207" s="140">
        <f t="shared" si="316"/>
        <v>1</v>
      </c>
      <c r="AE207" s="140">
        <f t="shared" si="316"/>
        <v>1</v>
      </c>
      <c r="AF207" s="140">
        <f t="shared" si="316"/>
        <v>1</v>
      </c>
      <c r="AG207" s="140">
        <f t="shared" si="316"/>
        <v>1</v>
      </c>
      <c r="AH207" s="140">
        <f t="shared" si="316"/>
        <v>1</v>
      </c>
      <c r="AI207" s="140">
        <f t="shared" si="316"/>
        <v>1</v>
      </c>
      <c r="AJ207" s="140">
        <f t="shared" si="316"/>
        <v>1</v>
      </c>
      <c r="AK207" s="140">
        <f t="shared" si="316"/>
        <v>1</v>
      </c>
      <c r="AL207" s="140">
        <f t="shared" si="316"/>
        <v>1</v>
      </c>
      <c r="AM207" s="140">
        <f t="shared" si="316"/>
        <v>1</v>
      </c>
      <c r="AN207" s="140">
        <f t="shared" si="316"/>
        <v>1</v>
      </c>
      <c r="AO207" s="140">
        <f t="shared" si="316"/>
        <v>1</v>
      </c>
      <c r="AP207" s="140">
        <f t="shared" si="316"/>
        <v>1</v>
      </c>
      <c r="AQ207" s="140">
        <f t="shared" si="316"/>
        <v>1</v>
      </c>
      <c r="AR207" s="140">
        <f t="shared" si="316"/>
        <v>1</v>
      </c>
      <c r="AS207" s="140">
        <f t="shared" si="316"/>
        <v>1</v>
      </c>
      <c r="AT207" s="140">
        <f t="shared" si="316"/>
        <v>1</v>
      </c>
      <c r="AU207" s="140">
        <f t="shared" si="316"/>
        <v>1</v>
      </c>
      <c r="AV207" s="140">
        <f t="shared" si="316"/>
        <v>1</v>
      </c>
      <c r="AW207" s="140">
        <f t="shared" si="316"/>
        <v>1</v>
      </c>
      <c r="AX207" s="140">
        <f t="shared" si="316"/>
        <v>1</v>
      </c>
      <c r="AY207" s="140">
        <f t="shared" si="316"/>
        <v>1</v>
      </c>
      <c r="AZ207" s="140">
        <f t="shared" si="316"/>
        <v>1</v>
      </c>
      <c r="BA207" s="140">
        <f t="shared" si="316"/>
        <v>1</v>
      </c>
      <c r="BB207" s="140">
        <f t="shared" si="316"/>
        <v>1</v>
      </c>
      <c r="BC207" s="140">
        <f t="shared" si="316"/>
        <v>1</v>
      </c>
      <c r="BD207" s="140">
        <f t="shared" si="316"/>
        <v>1</v>
      </c>
      <c r="BE207" s="140">
        <f t="shared" si="316"/>
        <v>1</v>
      </c>
      <c r="BF207" s="140">
        <f t="shared" si="316"/>
        <v>1</v>
      </c>
      <c r="BG207" s="140">
        <f t="shared" si="316"/>
        <v>1</v>
      </c>
      <c r="BH207" s="140">
        <f t="shared" si="316"/>
        <v>1</v>
      </c>
      <c r="BI207" s="140">
        <f t="shared" si="316"/>
        <v>1</v>
      </c>
      <c r="BJ207" s="140">
        <f t="shared" si="316"/>
        <v>1</v>
      </c>
      <c r="BK207" s="140">
        <f t="shared" si="316"/>
        <v>1</v>
      </c>
      <c r="BL207" s="140">
        <f t="shared" si="316"/>
        <v>1</v>
      </c>
      <c r="BM207" s="140">
        <f t="shared" si="316"/>
        <v>1</v>
      </c>
      <c r="BN207" s="140">
        <f t="shared" si="316"/>
        <v>1</v>
      </c>
      <c r="BO207" s="140">
        <f t="shared" ref="BO207:CB207" si="317">EXP(-BO206*BO205)</f>
        <v>1</v>
      </c>
      <c r="BP207" s="140">
        <f t="shared" si="317"/>
        <v>1</v>
      </c>
      <c r="BQ207" s="140">
        <f t="shared" si="317"/>
        <v>1</v>
      </c>
      <c r="BR207" s="140">
        <f t="shared" si="317"/>
        <v>1</v>
      </c>
      <c r="BS207" s="140">
        <f t="shared" si="317"/>
        <v>1</v>
      </c>
      <c r="BT207" s="140">
        <f t="shared" si="317"/>
        <v>1</v>
      </c>
      <c r="BU207" s="140">
        <f t="shared" si="317"/>
        <v>1</v>
      </c>
      <c r="BV207" s="140">
        <f t="shared" si="317"/>
        <v>1</v>
      </c>
      <c r="BW207" s="140">
        <f t="shared" si="317"/>
        <v>1</v>
      </c>
      <c r="BX207" s="140">
        <f t="shared" si="317"/>
        <v>1</v>
      </c>
      <c r="BY207" s="140">
        <f t="shared" si="317"/>
        <v>1</v>
      </c>
      <c r="BZ207" s="140">
        <f t="shared" si="317"/>
        <v>1</v>
      </c>
      <c r="CA207" s="140">
        <f t="shared" si="317"/>
        <v>1</v>
      </c>
      <c r="CB207" s="140">
        <f t="shared" si="317"/>
        <v>1</v>
      </c>
      <c r="CC207" s="17"/>
      <c r="CD207" s="17"/>
      <c r="CE207" s="17"/>
    </row>
    <row r="208" spans="1:83">
      <c r="A208" s="17"/>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c r="AP208" s="17"/>
      <c r="AQ208" s="17"/>
      <c r="AR208" s="17"/>
      <c r="AS208" s="17"/>
      <c r="AT208" s="17"/>
      <c r="AU208" s="17"/>
      <c r="AV208" s="17"/>
      <c r="AW208" s="17"/>
      <c r="AX208" s="17"/>
      <c r="AY208" s="17"/>
      <c r="AZ208" s="17"/>
      <c r="BA208" s="17"/>
      <c r="BB208" s="17"/>
      <c r="BC208" s="17"/>
      <c r="BD208" s="17"/>
      <c r="BE208" s="17"/>
      <c r="BF208" s="17"/>
      <c r="BG208" s="17"/>
      <c r="BH208" s="17"/>
      <c r="BI208" s="17"/>
      <c r="BJ208" s="17"/>
      <c r="BK208" s="17"/>
      <c r="BL208" s="17"/>
      <c r="BM208" s="17"/>
      <c r="BN208" s="17"/>
      <c r="BO208" s="17"/>
      <c r="BP208" s="17"/>
      <c r="BQ208" s="17"/>
      <c r="BR208" s="17"/>
      <c r="BS208" s="17"/>
      <c r="BT208" s="17"/>
      <c r="BU208" s="17"/>
      <c r="BV208" s="17"/>
      <c r="BW208" s="17"/>
      <c r="BX208" s="17"/>
      <c r="BY208" s="17"/>
      <c r="BZ208" s="17"/>
      <c r="CA208" s="17"/>
      <c r="CB208" s="17"/>
      <c r="CC208" s="17"/>
      <c r="CD208" s="17"/>
      <c r="CE208" s="17"/>
    </row>
    <row r="209" spans="1:134">
      <c r="A209" s="16" t="s">
        <v>40</v>
      </c>
      <c r="B209" s="140">
        <f>DAYS360($B$3,B80)</f>
        <v>-43022</v>
      </c>
      <c r="C209" s="140">
        <f t="shared" ref="C209:BN209" si="318">DAYS360($B$3,C80)</f>
        <v>-42842</v>
      </c>
      <c r="D209" s="140">
        <f t="shared" si="318"/>
        <v>-42662</v>
      </c>
      <c r="E209" s="140">
        <f t="shared" si="318"/>
        <v>-42482</v>
      </c>
      <c r="F209" s="140">
        <f t="shared" si="318"/>
        <v>-42302</v>
      </c>
      <c r="G209" s="140">
        <f t="shared" si="318"/>
        <v>-42122</v>
      </c>
      <c r="H209" s="140">
        <f t="shared" si="318"/>
        <v>-41942</v>
      </c>
      <c r="I209" s="140">
        <f t="shared" si="318"/>
        <v>-41762</v>
      </c>
      <c r="J209" s="140">
        <f t="shared" si="318"/>
        <v>-41582</v>
      </c>
      <c r="K209" s="140">
        <f t="shared" si="318"/>
        <v>-41403</v>
      </c>
      <c r="L209" s="140">
        <f t="shared" si="318"/>
        <v>-41223</v>
      </c>
      <c r="M209" s="140">
        <f t="shared" si="318"/>
        <v>-41043</v>
      </c>
      <c r="N209" s="140">
        <f t="shared" si="318"/>
        <v>-40863</v>
      </c>
      <c r="O209" s="140">
        <f t="shared" si="318"/>
        <v>-40683</v>
      </c>
      <c r="P209" s="140">
        <f t="shared" si="318"/>
        <v>-40503</v>
      </c>
      <c r="Q209" s="140">
        <f t="shared" si="318"/>
        <v>-40323</v>
      </c>
      <c r="R209" s="140">
        <f t="shared" si="318"/>
        <v>-40143</v>
      </c>
      <c r="S209" s="140">
        <f t="shared" si="318"/>
        <v>-39964</v>
      </c>
      <c r="T209" s="140">
        <f t="shared" si="318"/>
        <v>-39784</v>
      </c>
      <c r="U209" s="140">
        <f t="shared" si="318"/>
        <v>-39604</v>
      </c>
      <c r="V209" s="140">
        <f t="shared" si="318"/>
        <v>-39424</v>
      </c>
      <c r="W209" s="140">
        <f t="shared" si="318"/>
        <v>-39244</v>
      </c>
      <c r="X209" s="140">
        <f t="shared" si="318"/>
        <v>-39064</v>
      </c>
      <c r="Y209" s="140">
        <f t="shared" si="318"/>
        <v>-38884</v>
      </c>
      <c r="Z209" s="140">
        <f t="shared" si="318"/>
        <v>-38704</v>
      </c>
      <c r="AA209" s="140">
        <f t="shared" si="318"/>
        <v>-38525</v>
      </c>
      <c r="AB209" s="140">
        <f t="shared" si="318"/>
        <v>-38345</v>
      </c>
      <c r="AC209" s="140">
        <f t="shared" si="318"/>
        <v>-38165</v>
      </c>
      <c r="AD209" s="140">
        <f t="shared" si="318"/>
        <v>-37985</v>
      </c>
      <c r="AE209" s="140">
        <f t="shared" si="318"/>
        <v>-37805</v>
      </c>
      <c r="AF209" s="140">
        <f t="shared" si="318"/>
        <v>-37625</v>
      </c>
      <c r="AG209" s="140">
        <f t="shared" si="318"/>
        <v>-37445</v>
      </c>
      <c r="AH209" s="140">
        <f t="shared" si="318"/>
        <v>-37265</v>
      </c>
      <c r="AI209" s="140">
        <f t="shared" si="318"/>
        <v>-37086</v>
      </c>
      <c r="AJ209" s="140">
        <f t="shared" si="318"/>
        <v>-36906</v>
      </c>
      <c r="AK209" s="140">
        <f t="shared" si="318"/>
        <v>-36726</v>
      </c>
      <c r="AL209" s="140">
        <f t="shared" si="318"/>
        <v>-36546</v>
      </c>
      <c r="AM209" s="140">
        <f t="shared" si="318"/>
        <v>-36366</v>
      </c>
      <c r="AN209" s="140">
        <f t="shared" si="318"/>
        <v>-36186</v>
      </c>
      <c r="AO209" s="140">
        <f t="shared" si="318"/>
        <v>-36006</v>
      </c>
      <c r="AP209" s="140">
        <f t="shared" si="318"/>
        <v>-35826</v>
      </c>
      <c r="AQ209" s="140">
        <f t="shared" si="318"/>
        <v>-35647</v>
      </c>
      <c r="AR209" s="140">
        <f t="shared" si="318"/>
        <v>-35467</v>
      </c>
      <c r="AS209" s="140">
        <f t="shared" si="318"/>
        <v>-35287</v>
      </c>
      <c r="AT209" s="140">
        <f t="shared" si="318"/>
        <v>-35107</v>
      </c>
      <c r="AU209" s="140">
        <f t="shared" si="318"/>
        <v>-34927</v>
      </c>
      <c r="AV209" s="140">
        <f t="shared" si="318"/>
        <v>-34747</v>
      </c>
      <c r="AW209" s="140">
        <f t="shared" si="318"/>
        <v>-34567</v>
      </c>
      <c r="AX209" s="140">
        <f t="shared" si="318"/>
        <v>-34387</v>
      </c>
      <c r="AY209" s="140">
        <f t="shared" si="318"/>
        <v>-34208</v>
      </c>
      <c r="AZ209" s="140">
        <f t="shared" si="318"/>
        <v>-34028</v>
      </c>
      <c r="BA209" s="140">
        <f t="shared" si="318"/>
        <v>-33848</v>
      </c>
      <c r="BB209" s="140">
        <f t="shared" si="318"/>
        <v>-33668</v>
      </c>
      <c r="BC209" s="140">
        <f t="shared" si="318"/>
        <v>-33488</v>
      </c>
      <c r="BD209" s="140">
        <f t="shared" si="318"/>
        <v>-33308</v>
      </c>
      <c r="BE209" s="140">
        <f t="shared" si="318"/>
        <v>-33128</v>
      </c>
      <c r="BF209" s="140">
        <f t="shared" si="318"/>
        <v>-32948</v>
      </c>
      <c r="BG209" s="140">
        <f t="shared" si="318"/>
        <v>-32769</v>
      </c>
      <c r="BH209" s="140">
        <f t="shared" si="318"/>
        <v>-32589</v>
      </c>
      <c r="BI209" s="140">
        <f t="shared" si="318"/>
        <v>-32409</v>
      </c>
      <c r="BJ209" s="140">
        <f t="shared" si="318"/>
        <v>-32229</v>
      </c>
      <c r="BK209" s="140">
        <f t="shared" si="318"/>
        <v>-32049</v>
      </c>
      <c r="BL209" s="140">
        <f t="shared" si="318"/>
        <v>-31869</v>
      </c>
      <c r="BM209" s="140">
        <f t="shared" si="318"/>
        <v>-31689</v>
      </c>
      <c r="BN209" s="140">
        <f t="shared" si="318"/>
        <v>-31509</v>
      </c>
      <c r="BO209" s="140">
        <f t="shared" ref="BO209:CB209" si="319">DAYS360($B$3,BO80)</f>
        <v>-31330</v>
      </c>
      <c r="BP209" s="140">
        <f t="shared" si="319"/>
        <v>-31150</v>
      </c>
      <c r="BQ209" s="140">
        <f t="shared" si="319"/>
        <v>-30970</v>
      </c>
      <c r="BR209" s="140">
        <f t="shared" si="319"/>
        <v>-30790</v>
      </c>
      <c r="BS209" s="140">
        <f t="shared" si="319"/>
        <v>-30610</v>
      </c>
      <c r="BT209" s="140">
        <f t="shared" si="319"/>
        <v>-30430</v>
      </c>
      <c r="BU209" s="140">
        <f t="shared" si="319"/>
        <v>-30250</v>
      </c>
      <c r="BV209" s="140">
        <f t="shared" si="319"/>
        <v>-30070</v>
      </c>
      <c r="BW209" s="140">
        <f t="shared" si="319"/>
        <v>-29891</v>
      </c>
      <c r="BX209" s="140">
        <f t="shared" si="319"/>
        <v>-29711</v>
      </c>
      <c r="BY209" s="140">
        <f t="shared" si="319"/>
        <v>-29531</v>
      </c>
      <c r="BZ209" s="140">
        <f t="shared" si="319"/>
        <v>-29351</v>
      </c>
      <c r="CA209" s="140">
        <f t="shared" si="319"/>
        <v>-29171</v>
      </c>
      <c r="CB209" s="140">
        <f t="shared" si="319"/>
        <v>-28991</v>
      </c>
      <c r="CC209" s="17"/>
      <c r="CD209" s="17"/>
      <c r="CE209" s="17"/>
    </row>
    <row r="210" spans="1:134">
      <c r="A210" s="16" t="s">
        <v>41</v>
      </c>
      <c r="B210" s="140">
        <f>B209/360</f>
        <v>-119.50555555555556</v>
      </c>
      <c r="C210" s="140">
        <f t="shared" ref="C210:BN210" si="320">C209/360</f>
        <v>-119.00555555555556</v>
      </c>
      <c r="D210" s="140">
        <f t="shared" si="320"/>
        <v>-118.50555555555556</v>
      </c>
      <c r="E210" s="140">
        <f t="shared" si="320"/>
        <v>-118.00555555555556</v>
      </c>
      <c r="F210" s="140">
        <f t="shared" si="320"/>
        <v>-117.50555555555556</v>
      </c>
      <c r="G210" s="140">
        <f t="shared" si="320"/>
        <v>-117.00555555555556</v>
      </c>
      <c r="H210" s="140">
        <f t="shared" si="320"/>
        <v>-116.50555555555556</v>
      </c>
      <c r="I210" s="140">
        <f t="shared" si="320"/>
        <v>-116.00555555555556</v>
      </c>
      <c r="J210" s="140">
        <f t="shared" si="320"/>
        <v>-115.50555555555556</v>
      </c>
      <c r="K210" s="140">
        <f t="shared" si="320"/>
        <v>-115.00833333333334</v>
      </c>
      <c r="L210" s="140">
        <f t="shared" si="320"/>
        <v>-114.50833333333334</v>
      </c>
      <c r="M210" s="140">
        <f t="shared" si="320"/>
        <v>-114.00833333333334</v>
      </c>
      <c r="N210" s="140">
        <f t="shared" si="320"/>
        <v>-113.50833333333334</v>
      </c>
      <c r="O210" s="140">
        <f t="shared" si="320"/>
        <v>-113.00833333333334</v>
      </c>
      <c r="P210" s="140">
        <f t="shared" si="320"/>
        <v>-112.50833333333334</v>
      </c>
      <c r="Q210" s="140">
        <f t="shared" si="320"/>
        <v>-112.00833333333334</v>
      </c>
      <c r="R210" s="140">
        <f t="shared" si="320"/>
        <v>-111.50833333333334</v>
      </c>
      <c r="S210" s="140">
        <f t="shared" si="320"/>
        <v>-111.01111111111111</v>
      </c>
      <c r="T210" s="140">
        <f t="shared" si="320"/>
        <v>-110.51111111111111</v>
      </c>
      <c r="U210" s="140">
        <f t="shared" si="320"/>
        <v>-110.01111111111111</v>
      </c>
      <c r="V210" s="140">
        <f t="shared" si="320"/>
        <v>-109.51111111111111</v>
      </c>
      <c r="W210" s="140">
        <f t="shared" si="320"/>
        <v>-109.01111111111111</v>
      </c>
      <c r="X210" s="140">
        <f t="shared" si="320"/>
        <v>-108.51111111111111</v>
      </c>
      <c r="Y210" s="140">
        <f t="shared" si="320"/>
        <v>-108.01111111111111</v>
      </c>
      <c r="Z210" s="140">
        <f t="shared" si="320"/>
        <v>-107.51111111111111</v>
      </c>
      <c r="AA210" s="140">
        <f t="shared" si="320"/>
        <v>-107.01388888888889</v>
      </c>
      <c r="AB210" s="140">
        <f t="shared" si="320"/>
        <v>-106.51388888888889</v>
      </c>
      <c r="AC210" s="140">
        <f t="shared" si="320"/>
        <v>-106.01388888888889</v>
      </c>
      <c r="AD210" s="140">
        <f t="shared" si="320"/>
        <v>-105.51388888888889</v>
      </c>
      <c r="AE210" s="140">
        <f t="shared" si="320"/>
        <v>-105.01388888888889</v>
      </c>
      <c r="AF210" s="140">
        <f t="shared" si="320"/>
        <v>-104.51388888888889</v>
      </c>
      <c r="AG210" s="140">
        <f t="shared" si="320"/>
        <v>-104.01388888888889</v>
      </c>
      <c r="AH210" s="140">
        <f t="shared" si="320"/>
        <v>-103.51388888888889</v>
      </c>
      <c r="AI210" s="140">
        <f t="shared" si="320"/>
        <v>-103.01666666666667</v>
      </c>
      <c r="AJ210" s="140">
        <f t="shared" si="320"/>
        <v>-102.51666666666667</v>
      </c>
      <c r="AK210" s="140">
        <f t="shared" si="320"/>
        <v>-102.01666666666667</v>
      </c>
      <c r="AL210" s="140">
        <f t="shared" si="320"/>
        <v>-101.51666666666667</v>
      </c>
      <c r="AM210" s="140">
        <f t="shared" si="320"/>
        <v>-101.01666666666667</v>
      </c>
      <c r="AN210" s="140">
        <f t="shared" si="320"/>
        <v>-100.51666666666667</v>
      </c>
      <c r="AO210" s="140">
        <f t="shared" si="320"/>
        <v>-100.01666666666667</v>
      </c>
      <c r="AP210" s="140">
        <f t="shared" si="320"/>
        <v>-99.516666666666666</v>
      </c>
      <c r="AQ210" s="140">
        <f t="shared" si="320"/>
        <v>-99.019444444444446</v>
      </c>
      <c r="AR210" s="140">
        <f t="shared" si="320"/>
        <v>-98.519444444444446</v>
      </c>
      <c r="AS210" s="140">
        <f t="shared" si="320"/>
        <v>-98.019444444444446</v>
      </c>
      <c r="AT210" s="140">
        <f t="shared" si="320"/>
        <v>-97.519444444444446</v>
      </c>
      <c r="AU210" s="140">
        <f t="shared" si="320"/>
        <v>-97.019444444444446</v>
      </c>
      <c r="AV210" s="140">
        <f t="shared" si="320"/>
        <v>-96.519444444444446</v>
      </c>
      <c r="AW210" s="140">
        <f t="shared" si="320"/>
        <v>-96.019444444444446</v>
      </c>
      <c r="AX210" s="140">
        <f t="shared" si="320"/>
        <v>-95.519444444444446</v>
      </c>
      <c r="AY210" s="140">
        <f t="shared" si="320"/>
        <v>-95.022222222222226</v>
      </c>
      <c r="AZ210" s="140">
        <f t="shared" si="320"/>
        <v>-94.522222222222226</v>
      </c>
      <c r="BA210" s="140">
        <f t="shared" si="320"/>
        <v>-94.022222222222226</v>
      </c>
      <c r="BB210" s="140">
        <f t="shared" si="320"/>
        <v>-93.522222222222226</v>
      </c>
      <c r="BC210" s="140">
        <f t="shared" si="320"/>
        <v>-93.022222222222226</v>
      </c>
      <c r="BD210" s="140">
        <f t="shared" si="320"/>
        <v>-92.522222222222226</v>
      </c>
      <c r="BE210" s="140">
        <f t="shared" si="320"/>
        <v>-92.022222222222226</v>
      </c>
      <c r="BF210" s="140">
        <f t="shared" si="320"/>
        <v>-91.522222222222226</v>
      </c>
      <c r="BG210" s="140">
        <f t="shared" si="320"/>
        <v>-91.025000000000006</v>
      </c>
      <c r="BH210" s="140">
        <f t="shared" si="320"/>
        <v>-90.525000000000006</v>
      </c>
      <c r="BI210" s="140">
        <f t="shared" si="320"/>
        <v>-90.025000000000006</v>
      </c>
      <c r="BJ210" s="140">
        <f t="shared" si="320"/>
        <v>-89.525000000000006</v>
      </c>
      <c r="BK210" s="140">
        <f t="shared" si="320"/>
        <v>-89.025000000000006</v>
      </c>
      <c r="BL210" s="140">
        <f t="shared" si="320"/>
        <v>-88.525000000000006</v>
      </c>
      <c r="BM210" s="140">
        <f t="shared" si="320"/>
        <v>-88.025000000000006</v>
      </c>
      <c r="BN210" s="140">
        <f t="shared" si="320"/>
        <v>-87.525000000000006</v>
      </c>
      <c r="BO210" s="140">
        <f t="shared" ref="BO210:CB210" si="321">BO209/360</f>
        <v>-87.027777777777771</v>
      </c>
      <c r="BP210" s="140">
        <f t="shared" si="321"/>
        <v>-86.527777777777771</v>
      </c>
      <c r="BQ210" s="140">
        <f t="shared" si="321"/>
        <v>-86.027777777777771</v>
      </c>
      <c r="BR210" s="140">
        <f t="shared" si="321"/>
        <v>-85.527777777777771</v>
      </c>
      <c r="BS210" s="140">
        <f t="shared" si="321"/>
        <v>-85.027777777777771</v>
      </c>
      <c r="BT210" s="140">
        <f t="shared" si="321"/>
        <v>-84.527777777777771</v>
      </c>
      <c r="BU210" s="140">
        <f t="shared" si="321"/>
        <v>-84.027777777777771</v>
      </c>
      <c r="BV210" s="140">
        <f t="shared" si="321"/>
        <v>-83.527777777777771</v>
      </c>
      <c r="BW210" s="140">
        <f t="shared" si="321"/>
        <v>-83.030555555555551</v>
      </c>
      <c r="BX210" s="140">
        <f t="shared" si="321"/>
        <v>-82.530555555555551</v>
      </c>
      <c r="BY210" s="140">
        <f t="shared" si="321"/>
        <v>-82.030555555555551</v>
      </c>
      <c r="BZ210" s="140">
        <f t="shared" si="321"/>
        <v>-81.530555555555551</v>
      </c>
      <c r="CA210" s="140">
        <f t="shared" si="321"/>
        <v>-81.030555555555551</v>
      </c>
      <c r="CB210" s="140">
        <f t="shared" si="321"/>
        <v>-80.530555555555551</v>
      </c>
      <c r="CC210" s="17"/>
      <c r="CD210" s="17"/>
      <c r="CE210" s="17"/>
    </row>
    <row r="211" spans="1:134">
      <c r="A211" s="16" t="s">
        <v>43</v>
      </c>
      <c r="B211" s="140">
        <f>IF(B209&lt;0,0,$B$5+$B$6*((1-EXP(-B210/$B$9))/(B210/$B$9))+$B$7*((1-EXP(-B210/$B$9))/(B210/$B$9)-EXP(-B210/$B$9))+$B$8*((1-EXP(-B210/$B$10))/(B210/$B$10)-EXP(-B210/$B$10)))</f>
        <v>0</v>
      </c>
      <c r="C211" s="140">
        <f t="shared" ref="C211:BN211" si="322">IF(C209&lt;0,0,$B$5+$B$6*((1-EXP(-C210/$B$9))/(C210/$B$9))+$B$7*((1-EXP(-C210/$B$9))/(C210/$B$9)-EXP(-C210/$B$9))+$B$8*((1-EXP(-C210/$B$10))/(C210/$B$10)-EXP(-C210/$B$10)))</f>
        <v>0</v>
      </c>
      <c r="D211" s="140">
        <f t="shared" si="322"/>
        <v>0</v>
      </c>
      <c r="E211" s="140">
        <f t="shared" si="322"/>
        <v>0</v>
      </c>
      <c r="F211" s="140">
        <f t="shared" si="322"/>
        <v>0</v>
      </c>
      <c r="G211" s="140">
        <f t="shared" si="322"/>
        <v>0</v>
      </c>
      <c r="H211" s="140">
        <f t="shared" si="322"/>
        <v>0</v>
      </c>
      <c r="I211" s="140">
        <f t="shared" si="322"/>
        <v>0</v>
      </c>
      <c r="J211" s="140">
        <f t="shared" si="322"/>
        <v>0</v>
      </c>
      <c r="K211" s="140">
        <f t="shared" si="322"/>
        <v>0</v>
      </c>
      <c r="L211" s="140">
        <f t="shared" si="322"/>
        <v>0</v>
      </c>
      <c r="M211" s="140">
        <f t="shared" si="322"/>
        <v>0</v>
      </c>
      <c r="N211" s="140">
        <f t="shared" si="322"/>
        <v>0</v>
      </c>
      <c r="O211" s="140">
        <f t="shared" si="322"/>
        <v>0</v>
      </c>
      <c r="P211" s="140">
        <f t="shared" si="322"/>
        <v>0</v>
      </c>
      <c r="Q211" s="140">
        <f t="shared" si="322"/>
        <v>0</v>
      </c>
      <c r="R211" s="140">
        <f t="shared" si="322"/>
        <v>0</v>
      </c>
      <c r="S211" s="140">
        <f t="shared" si="322"/>
        <v>0</v>
      </c>
      <c r="T211" s="140">
        <f t="shared" si="322"/>
        <v>0</v>
      </c>
      <c r="U211" s="140">
        <f t="shared" si="322"/>
        <v>0</v>
      </c>
      <c r="V211" s="140">
        <f t="shared" si="322"/>
        <v>0</v>
      </c>
      <c r="W211" s="140">
        <f t="shared" si="322"/>
        <v>0</v>
      </c>
      <c r="X211" s="140">
        <f t="shared" si="322"/>
        <v>0</v>
      </c>
      <c r="Y211" s="140">
        <f t="shared" si="322"/>
        <v>0</v>
      </c>
      <c r="Z211" s="140">
        <f t="shared" si="322"/>
        <v>0</v>
      </c>
      <c r="AA211" s="140">
        <f t="shared" si="322"/>
        <v>0</v>
      </c>
      <c r="AB211" s="140">
        <f t="shared" si="322"/>
        <v>0</v>
      </c>
      <c r="AC211" s="140">
        <f t="shared" si="322"/>
        <v>0</v>
      </c>
      <c r="AD211" s="140">
        <f t="shared" si="322"/>
        <v>0</v>
      </c>
      <c r="AE211" s="140">
        <f t="shared" si="322"/>
        <v>0</v>
      </c>
      <c r="AF211" s="140">
        <f t="shared" si="322"/>
        <v>0</v>
      </c>
      <c r="AG211" s="140">
        <f t="shared" si="322"/>
        <v>0</v>
      </c>
      <c r="AH211" s="140">
        <f t="shared" si="322"/>
        <v>0</v>
      </c>
      <c r="AI211" s="140">
        <f t="shared" si="322"/>
        <v>0</v>
      </c>
      <c r="AJ211" s="140">
        <f t="shared" si="322"/>
        <v>0</v>
      </c>
      <c r="AK211" s="140">
        <f t="shared" si="322"/>
        <v>0</v>
      </c>
      <c r="AL211" s="140">
        <f t="shared" si="322"/>
        <v>0</v>
      </c>
      <c r="AM211" s="140">
        <f t="shared" si="322"/>
        <v>0</v>
      </c>
      <c r="AN211" s="140">
        <f t="shared" si="322"/>
        <v>0</v>
      </c>
      <c r="AO211" s="140">
        <f t="shared" si="322"/>
        <v>0</v>
      </c>
      <c r="AP211" s="140">
        <f t="shared" si="322"/>
        <v>0</v>
      </c>
      <c r="AQ211" s="140">
        <f t="shared" si="322"/>
        <v>0</v>
      </c>
      <c r="AR211" s="140">
        <f t="shared" si="322"/>
        <v>0</v>
      </c>
      <c r="AS211" s="140">
        <f t="shared" si="322"/>
        <v>0</v>
      </c>
      <c r="AT211" s="140">
        <f t="shared" si="322"/>
        <v>0</v>
      </c>
      <c r="AU211" s="140">
        <f t="shared" si="322"/>
        <v>0</v>
      </c>
      <c r="AV211" s="140">
        <f t="shared" si="322"/>
        <v>0</v>
      </c>
      <c r="AW211" s="140">
        <f t="shared" si="322"/>
        <v>0</v>
      </c>
      <c r="AX211" s="140">
        <f t="shared" si="322"/>
        <v>0</v>
      </c>
      <c r="AY211" s="140">
        <f t="shared" si="322"/>
        <v>0</v>
      </c>
      <c r="AZ211" s="140">
        <f t="shared" si="322"/>
        <v>0</v>
      </c>
      <c r="BA211" s="140">
        <f t="shared" si="322"/>
        <v>0</v>
      </c>
      <c r="BB211" s="140">
        <f t="shared" si="322"/>
        <v>0</v>
      </c>
      <c r="BC211" s="140">
        <f t="shared" si="322"/>
        <v>0</v>
      </c>
      <c r="BD211" s="140">
        <f t="shared" si="322"/>
        <v>0</v>
      </c>
      <c r="BE211" s="140">
        <f t="shared" si="322"/>
        <v>0</v>
      </c>
      <c r="BF211" s="140">
        <f t="shared" si="322"/>
        <v>0</v>
      </c>
      <c r="BG211" s="140">
        <f t="shared" si="322"/>
        <v>0</v>
      </c>
      <c r="BH211" s="140">
        <f t="shared" si="322"/>
        <v>0</v>
      </c>
      <c r="BI211" s="140">
        <f t="shared" si="322"/>
        <v>0</v>
      </c>
      <c r="BJ211" s="140">
        <f t="shared" si="322"/>
        <v>0</v>
      </c>
      <c r="BK211" s="140">
        <f t="shared" si="322"/>
        <v>0</v>
      </c>
      <c r="BL211" s="140">
        <f t="shared" si="322"/>
        <v>0</v>
      </c>
      <c r="BM211" s="140">
        <f t="shared" si="322"/>
        <v>0</v>
      </c>
      <c r="BN211" s="140">
        <f t="shared" si="322"/>
        <v>0</v>
      </c>
      <c r="BO211" s="140">
        <f t="shared" ref="BO211:CB211" si="323">IF(BO209&lt;0,0,$B$5+$B$6*((1-EXP(-BO210/$B$9))/(BO210/$B$9))+$B$7*((1-EXP(-BO210/$B$9))/(BO210/$B$9)-EXP(-BO210/$B$9))+$B$8*((1-EXP(-BO210/$B$10))/(BO210/$B$10)-EXP(-BO210/$B$10)))</f>
        <v>0</v>
      </c>
      <c r="BP211" s="140">
        <f t="shared" si="323"/>
        <v>0</v>
      </c>
      <c r="BQ211" s="140">
        <f t="shared" si="323"/>
        <v>0</v>
      </c>
      <c r="BR211" s="140">
        <f t="shared" si="323"/>
        <v>0</v>
      </c>
      <c r="BS211" s="140">
        <f t="shared" si="323"/>
        <v>0</v>
      </c>
      <c r="BT211" s="140">
        <f t="shared" si="323"/>
        <v>0</v>
      </c>
      <c r="BU211" s="140">
        <f t="shared" si="323"/>
        <v>0</v>
      </c>
      <c r="BV211" s="140">
        <f t="shared" si="323"/>
        <v>0</v>
      </c>
      <c r="BW211" s="140">
        <f t="shared" si="323"/>
        <v>0</v>
      </c>
      <c r="BX211" s="140">
        <f t="shared" si="323"/>
        <v>0</v>
      </c>
      <c r="BY211" s="140">
        <f t="shared" si="323"/>
        <v>0</v>
      </c>
      <c r="BZ211" s="140">
        <f t="shared" si="323"/>
        <v>0</v>
      </c>
      <c r="CA211" s="140">
        <f t="shared" si="323"/>
        <v>0</v>
      </c>
      <c r="CB211" s="140">
        <f t="shared" si="323"/>
        <v>0</v>
      </c>
      <c r="CC211" s="17"/>
      <c r="CD211" s="17"/>
      <c r="CE211" s="17"/>
    </row>
    <row r="212" spans="1:134">
      <c r="A212" s="16" t="s">
        <v>44</v>
      </c>
      <c r="B212" s="140">
        <f>EXP(-B211*B210)</f>
        <v>1</v>
      </c>
      <c r="C212" s="140">
        <f t="shared" ref="C212:BN212" si="324">EXP(-C211*C210)</f>
        <v>1</v>
      </c>
      <c r="D212" s="140">
        <f t="shared" si="324"/>
        <v>1</v>
      </c>
      <c r="E212" s="140">
        <f t="shared" si="324"/>
        <v>1</v>
      </c>
      <c r="F212" s="140">
        <f t="shared" si="324"/>
        <v>1</v>
      </c>
      <c r="G212" s="140">
        <f t="shared" si="324"/>
        <v>1</v>
      </c>
      <c r="H212" s="140">
        <f t="shared" si="324"/>
        <v>1</v>
      </c>
      <c r="I212" s="140">
        <f t="shared" si="324"/>
        <v>1</v>
      </c>
      <c r="J212" s="140">
        <f t="shared" si="324"/>
        <v>1</v>
      </c>
      <c r="K212" s="140">
        <f t="shared" si="324"/>
        <v>1</v>
      </c>
      <c r="L212" s="140">
        <f t="shared" si="324"/>
        <v>1</v>
      </c>
      <c r="M212" s="140">
        <f t="shared" si="324"/>
        <v>1</v>
      </c>
      <c r="N212" s="140">
        <f t="shared" si="324"/>
        <v>1</v>
      </c>
      <c r="O212" s="140">
        <f t="shared" si="324"/>
        <v>1</v>
      </c>
      <c r="P212" s="140">
        <f t="shared" si="324"/>
        <v>1</v>
      </c>
      <c r="Q212" s="140">
        <f t="shared" si="324"/>
        <v>1</v>
      </c>
      <c r="R212" s="140">
        <f t="shared" si="324"/>
        <v>1</v>
      </c>
      <c r="S212" s="140">
        <f t="shared" si="324"/>
        <v>1</v>
      </c>
      <c r="T212" s="140">
        <f t="shared" si="324"/>
        <v>1</v>
      </c>
      <c r="U212" s="140">
        <f t="shared" si="324"/>
        <v>1</v>
      </c>
      <c r="V212" s="140">
        <f t="shared" si="324"/>
        <v>1</v>
      </c>
      <c r="W212" s="140">
        <f t="shared" si="324"/>
        <v>1</v>
      </c>
      <c r="X212" s="140">
        <f t="shared" si="324"/>
        <v>1</v>
      </c>
      <c r="Y212" s="140">
        <f t="shared" si="324"/>
        <v>1</v>
      </c>
      <c r="Z212" s="140">
        <f t="shared" si="324"/>
        <v>1</v>
      </c>
      <c r="AA212" s="140">
        <f t="shared" si="324"/>
        <v>1</v>
      </c>
      <c r="AB212" s="140">
        <f t="shared" si="324"/>
        <v>1</v>
      </c>
      <c r="AC212" s="140">
        <f t="shared" si="324"/>
        <v>1</v>
      </c>
      <c r="AD212" s="140">
        <f t="shared" si="324"/>
        <v>1</v>
      </c>
      <c r="AE212" s="140">
        <f t="shared" si="324"/>
        <v>1</v>
      </c>
      <c r="AF212" s="140">
        <f t="shared" si="324"/>
        <v>1</v>
      </c>
      <c r="AG212" s="140">
        <f t="shared" si="324"/>
        <v>1</v>
      </c>
      <c r="AH212" s="140">
        <f t="shared" si="324"/>
        <v>1</v>
      </c>
      <c r="AI212" s="140">
        <f t="shared" si="324"/>
        <v>1</v>
      </c>
      <c r="AJ212" s="140">
        <f t="shared" si="324"/>
        <v>1</v>
      </c>
      <c r="AK212" s="140">
        <f t="shared" si="324"/>
        <v>1</v>
      </c>
      <c r="AL212" s="140">
        <f t="shared" si="324"/>
        <v>1</v>
      </c>
      <c r="AM212" s="140">
        <f t="shared" si="324"/>
        <v>1</v>
      </c>
      <c r="AN212" s="140">
        <f t="shared" si="324"/>
        <v>1</v>
      </c>
      <c r="AO212" s="140">
        <f t="shared" si="324"/>
        <v>1</v>
      </c>
      <c r="AP212" s="140">
        <f t="shared" si="324"/>
        <v>1</v>
      </c>
      <c r="AQ212" s="140">
        <f t="shared" si="324"/>
        <v>1</v>
      </c>
      <c r="AR212" s="140">
        <f t="shared" si="324"/>
        <v>1</v>
      </c>
      <c r="AS212" s="140">
        <f t="shared" si="324"/>
        <v>1</v>
      </c>
      <c r="AT212" s="140">
        <f t="shared" si="324"/>
        <v>1</v>
      </c>
      <c r="AU212" s="140">
        <f t="shared" si="324"/>
        <v>1</v>
      </c>
      <c r="AV212" s="140">
        <f t="shared" si="324"/>
        <v>1</v>
      </c>
      <c r="AW212" s="140">
        <f t="shared" si="324"/>
        <v>1</v>
      </c>
      <c r="AX212" s="140">
        <f t="shared" si="324"/>
        <v>1</v>
      </c>
      <c r="AY212" s="140">
        <f t="shared" si="324"/>
        <v>1</v>
      </c>
      <c r="AZ212" s="140">
        <f t="shared" si="324"/>
        <v>1</v>
      </c>
      <c r="BA212" s="140">
        <f t="shared" si="324"/>
        <v>1</v>
      </c>
      <c r="BB212" s="140">
        <f t="shared" si="324"/>
        <v>1</v>
      </c>
      <c r="BC212" s="140">
        <f t="shared" si="324"/>
        <v>1</v>
      </c>
      <c r="BD212" s="140">
        <f t="shared" si="324"/>
        <v>1</v>
      </c>
      <c r="BE212" s="140">
        <f t="shared" si="324"/>
        <v>1</v>
      </c>
      <c r="BF212" s="140">
        <f t="shared" si="324"/>
        <v>1</v>
      </c>
      <c r="BG212" s="140">
        <f t="shared" si="324"/>
        <v>1</v>
      </c>
      <c r="BH212" s="140">
        <f t="shared" si="324"/>
        <v>1</v>
      </c>
      <c r="BI212" s="140">
        <f t="shared" si="324"/>
        <v>1</v>
      </c>
      <c r="BJ212" s="140">
        <f t="shared" si="324"/>
        <v>1</v>
      </c>
      <c r="BK212" s="140">
        <f t="shared" si="324"/>
        <v>1</v>
      </c>
      <c r="BL212" s="140">
        <f t="shared" si="324"/>
        <v>1</v>
      </c>
      <c r="BM212" s="140">
        <f t="shared" si="324"/>
        <v>1</v>
      </c>
      <c r="BN212" s="140">
        <f t="shared" si="324"/>
        <v>1</v>
      </c>
      <c r="BO212" s="140">
        <f t="shared" ref="BO212:CB212" si="325">EXP(-BO211*BO210)</f>
        <v>1</v>
      </c>
      <c r="BP212" s="140">
        <f t="shared" si="325"/>
        <v>1</v>
      </c>
      <c r="BQ212" s="140">
        <f t="shared" si="325"/>
        <v>1</v>
      </c>
      <c r="BR212" s="140">
        <f t="shared" si="325"/>
        <v>1</v>
      </c>
      <c r="BS212" s="140">
        <f t="shared" si="325"/>
        <v>1</v>
      </c>
      <c r="BT212" s="140">
        <f t="shared" si="325"/>
        <v>1</v>
      </c>
      <c r="BU212" s="140">
        <f t="shared" si="325"/>
        <v>1</v>
      </c>
      <c r="BV212" s="140">
        <f t="shared" si="325"/>
        <v>1</v>
      </c>
      <c r="BW212" s="140">
        <f t="shared" si="325"/>
        <v>1</v>
      </c>
      <c r="BX212" s="140">
        <f t="shared" si="325"/>
        <v>1</v>
      </c>
      <c r="BY212" s="140">
        <f t="shared" si="325"/>
        <v>1</v>
      </c>
      <c r="BZ212" s="140">
        <f t="shared" si="325"/>
        <v>1</v>
      </c>
      <c r="CA212" s="140">
        <f t="shared" si="325"/>
        <v>1</v>
      </c>
      <c r="CB212" s="140">
        <f t="shared" si="325"/>
        <v>1</v>
      </c>
      <c r="CC212" s="17"/>
      <c r="CD212" s="17"/>
      <c r="CE212" s="17"/>
    </row>
    <row r="213" spans="1:134">
      <c r="A213" s="17"/>
      <c r="B213" s="17"/>
      <c r="C213" s="17"/>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c r="AP213" s="17"/>
      <c r="AQ213" s="17"/>
      <c r="AR213" s="17"/>
      <c r="AS213" s="17"/>
      <c r="AT213" s="17"/>
      <c r="AU213" s="17"/>
      <c r="AV213" s="17"/>
      <c r="AW213" s="17"/>
      <c r="AX213" s="17"/>
      <c r="AY213" s="17"/>
      <c r="AZ213" s="17"/>
      <c r="BA213" s="17"/>
      <c r="BB213" s="17"/>
      <c r="BC213" s="17"/>
      <c r="BD213" s="17"/>
      <c r="BE213" s="17"/>
      <c r="BF213" s="17"/>
      <c r="BG213" s="17"/>
      <c r="BH213" s="17"/>
      <c r="BI213" s="17"/>
      <c r="BJ213" s="17"/>
      <c r="BK213" s="17"/>
      <c r="BL213" s="17"/>
      <c r="BM213" s="17"/>
      <c r="BN213" s="17"/>
      <c r="BO213" s="17"/>
      <c r="BP213" s="17"/>
      <c r="BQ213" s="17"/>
      <c r="BR213" s="17"/>
      <c r="BS213" s="17"/>
      <c r="BT213" s="17"/>
      <c r="BU213" s="17"/>
      <c r="BV213" s="17"/>
      <c r="BW213" s="17"/>
      <c r="BX213" s="17"/>
      <c r="BY213" s="17"/>
      <c r="BZ213" s="17"/>
      <c r="CA213" s="17"/>
      <c r="CB213" s="17"/>
      <c r="CC213" s="17"/>
      <c r="CD213" s="17"/>
      <c r="CE213" s="17"/>
    </row>
    <row r="214" spans="1:134">
      <c r="A214" s="16" t="s">
        <v>45</v>
      </c>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7"/>
      <c r="CD214" s="17"/>
      <c r="CE214" s="17"/>
    </row>
    <row r="215" spans="1:134">
      <c r="A215" s="18" t="str">
        <f>A31</f>
        <v>Bond 1</v>
      </c>
      <c r="B215" s="18">
        <f>B31*B87</f>
        <v>2.2503567873715604</v>
      </c>
      <c r="C215" s="18">
        <f>C31*C87</f>
        <v>103.60810354537696</v>
      </c>
      <c r="D215" s="18">
        <f t="shared" ref="D215:BM215" si="326">D31*D87</f>
        <v>0</v>
      </c>
      <c r="E215" s="18">
        <f t="shared" si="326"/>
        <v>0</v>
      </c>
      <c r="F215" s="18">
        <f t="shared" si="326"/>
        <v>0</v>
      </c>
      <c r="G215" s="18">
        <f t="shared" si="326"/>
        <v>0</v>
      </c>
      <c r="H215" s="18">
        <f t="shared" si="326"/>
        <v>0</v>
      </c>
      <c r="I215" s="18">
        <f t="shared" si="326"/>
        <v>0</v>
      </c>
      <c r="J215" s="18">
        <f t="shared" si="326"/>
        <v>0</v>
      </c>
      <c r="K215" s="18">
        <f t="shared" si="326"/>
        <v>0</v>
      </c>
      <c r="L215" s="18">
        <f t="shared" si="326"/>
        <v>0</v>
      </c>
      <c r="M215" s="18">
        <f t="shared" si="326"/>
        <v>0</v>
      </c>
      <c r="N215" s="18">
        <f t="shared" si="326"/>
        <v>0</v>
      </c>
      <c r="O215" s="18">
        <f t="shared" si="326"/>
        <v>0</v>
      </c>
      <c r="P215" s="18">
        <f t="shared" si="326"/>
        <v>0</v>
      </c>
      <c r="Q215" s="18">
        <f t="shared" si="326"/>
        <v>0</v>
      </c>
      <c r="R215" s="18">
        <f t="shared" si="326"/>
        <v>0</v>
      </c>
      <c r="S215" s="18">
        <f t="shared" si="326"/>
        <v>0</v>
      </c>
      <c r="T215" s="18">
        <f t="shared" si="326"/>
        <v>0</v>
      </c>
      <c r="U215" s="18">
        <f t="shared" si="326"/>
        <v>0</v>
      </c>
      <c r="V215" s="18">
        <f t="shared" si="326"/>
        <v>0</v>
      </c>
      <c r="W215" s="18">
        <f t="shared" si="326"/>
        <v>0</v>
      </c>
      <c r="X215" s="18">
        <f t="shared" si="326"/>
        <v>0</v>
      </c>
      <c r="Y215" s="18">
        <f t="shared" si="326"/>
        <v>0</v>
      </c>
      <c r="Z215" s="18">
        <f t="shared" si="326"/>
        <v>0</v>
      </c>
      <c r="AA215" s="18">
        <f t="shared" si="326"/>
        <v>0</v>
      </c>
      <c r="AB215" s="18">
        <f t="shared" si="326"/>
        <v>0</v>
      </c>
      <c r="AC215" s="18">
        <f t="shared" si="326"/>
        <v>0</v>
      </c>
      <c r="AD215" s="18">
        <f t="shared" si="326"/>
        <v>0</v>
      </c>
      <c r="AE215" s="18">
        <f t="shared" si="326"/>
        <v>0</v>
      </c>
      <c r="AF215" s="18">
        <f t="shared" si="326"/>
        <v>0</v>
      </c>
      <c r="AG215" s="18">
        <f t="shared" si="326"/>
        <v>0</v>
      </c>
      <c r="AH215" s="18">
        <f t="shared" si="326"/>
        <v>0</v>
      </c>
      <c r="AI215" s="18">
        <f t="shared" si="326"/>
        <v>0</v>
      </c>
      <c r="AJ215" s="18">
        <f t="shared" si="326"/>
        <v>0</v>
      </c>
      <c r="AK215" s="18">
        <f t="shared" si="326"/>
        <v>0</v>
      </c>
      <c r="AL215" s="18">
        <f t="shared" si="326"/>
        <v>0</v>
      </c>
      <c r="AM215" s="18">
        <f t="shared" si="326"/>
        <v>0</v>
      </c>
      <c r="AN215" s="18">
        <f t="shared" si="326"/>
        <v>0</v>
      </c>
      <c r="AO215" s="18">
        <f t="shared" si="326"/>
        <v>0</v>
      </c>
      <c r="AP215" s="18">
        <f t="shared" si="326"/>
        <v>0</v>
      </c>
      <c r="AQ215" s="18">
        <f t="shared" si="326"/>
        <v>0</v>
      </c>
      <c r="AR215" s="18">
        <f t="shared" si="326"/>
        <v>0</v>
      </c>
      <c r="AS215" s="18">
        <f t="shared" si="326"/>
        <v>0</v>
      </c>
      <c r="AT215" s="18">
        <f t="shared" si="326"/>
        <v>0</v>
      </c>
      <c r="AU215" s="18">
        <f t="shared" si="326"/>
        <v>0</v>
      </c>
      <c r="AV215" s="18">
        <f t="shared" si="326"/>
        <v>0</v>
      </c>
      <c r="AW215" s="18">
        <f t="shared" si="326"/>
        <v>0</v>
      </c>
      <c r="AX215" s="18">
        <f t="shared" si="326"/>
        <v>0</v>
      </c>
      <c r="AY215" s="18">
        <f t="shared" si="326"/>
        <v>0</v>
      </c>
      <c r="AZ215" s="18">
        <f t="shared" si="326"/>
        <v>0</v>
      </c>
      <c r="BA215" s="18">
        <f t="shared" si="326"/>
        <v>0</v>
      </c>
      <c r="BB215" s="18">
        <f t="shared" si="326"/>
        <v>0</v>
      </c>
      <c r="BC215" s="18">
        <f t="shared" si="326"/>
        <v>0</v>
      </c>
      <c r="BD215" s="18">
        <f t="shared" si="326"/>
        <v>0</v>
      </c>
      <c r="BE215" s="18">
        <f t="shared" si="326"/>
        <v>0</v>
      </c>
      <c r="BF215" s="18">
        <f t="shared" si="326"/>
        <v>0</v>
      </c>
      <c r="BG215" s="18">
        <f t="shared" si="326"/>
        <v>0</v>
      </c>
      <c r="BH215" s="18">
        <f t="shared" si="326"/>
        <v>0</v>
      </c>
      <c r="BI215" s="18">
        <f t="shared" si="326"/>
        <v>0</v>
      </c>
      <c r="BJ215" s="18">
        <f t="shared" si="326"/>
        <v>0</v>
      </c>
      <c r="BK215" s="18">
        <f t="shared" si="326"/>
        <v>0</v>
      </c>
      <c r="BL215" s="18">
        <f t="shared" si="326"/>
        <v>0</v>
      </c>
      <c r="BM215" s="18">
        <f t="shared" si="326"/>
        <v>0</v>
      </c>
      <c r="BN215" s="18">
        <f t="shared" ref="BN215:CB215" si="327">BN31*BN87</f>
        <v>0</v>
      </c>
      <c r="BO215" s="18">
        <f t="shared" si="327"/>
        <v>0</v>
      </c>
      <c r="BP215" s="18">
        <f t="shared" si="327"/>
        <v>0</v>
      </c>
      <c r="BQ215" s="18">
        <f t="shared" si="327"/>
        <v>0</v>
      </c>
      <c r="BR215" s="18">
        <f t="shared" si="327"/>
        <v>0</v>
      </c>
      <c r="BS215" s="18">
        <f t="shared" si="327"/>
        <v>0</v>
      </c>
      <c r="BT215" s="18">
        <f t="shared" si="327"/>
        <v>0</v>
      </c>
      <c r="BU215" s="18">
        <f t="shared" si="327"/>
        <v>0</v>
      </c>
      <c r="BV215" s="18">
        <f t="shared" si="327"/>
        <v>0</v>
      </c>
      <c r="BW215" s="18">
        <f t="shared" si="327"/>
        <v>0</v>
      </c>
      <c r="BX215" s="18">
        <f t="shared" si="327"/>
        <v>0</v>
      </c>
      <c r="BY215" s="18">
        <f t="shared" si="327"/>
        <v>0</v>
      </c>
      <c r="BZ215" s="18">
        <f t="shared" si="327"/>
        <v>0</v>
      </c>
      <c r="CA215" s="18">
        <f t="shared" si="327"/>
        <v>0</v>
      </c>
      <c r="CB215" s="18">
        <f t="shared" si="327"/>
        <v>0</v>
      </c>
      <c r="CC215" s="17"/>
      <c r="CD215" s="17"/>
      <c r="CE215" s="17"/>
    </row>
    <row r="216" spans="1:134">
      <c r="A216" s="18" t="str">
        <f>A33</f>
        <v>Bond 2</v>
      </c>
      <c r="B216" s="18">
        <f t="shared" ref="B216:BM216" si="328">B33*B92</f>
        <v>2.0219943366836257</v>
      </c>
      <c r="C216" s="18">
        <f t="shared" si="328"/>
        <v>104.28648075434056</v>
      </c>
      <c r="D216" s="18">
        <f t="shared" si="328"/>
        <v>0</v>
      </c>
      <c r="E216" s="18">
        <f t="shared" si="328"/>
        <v>0</v>
      </c>
      <c r="F216" s="18">
        <f t="shared" si="328"/>
        <v>0</v>
      </c>
      <c r="G216" s="18">
        <f t="shared" si="328"/>
        <v>0</v>
      </c>
      <c r="H216" s="18">
        <f t="shared" si="328"/>
        <v>0</v>
      </c>
      <c r="I216" s="18">
        <f t="shared" si="328"/>
        <v>0</v>
      </c>
      <c r="J216" s="18">
        <f t="shared" si="328"/>
        <v>0</v>
      </c>
      <c r="K216" s="18">
        <f t="shared" si="328"/>
        <v>0</v>
      </c>
      <c r="L216" s="18">
        <f t="shared" si="328"/>
        <v>0</v>
      </c>
      <c r="M216" s="18">
        <f t="shared" si="328"/>
        <v>0</v>
      </c>
      <c r="N216" s="18">
        <f t="shared" si="328"/>
        <v>0</v>
      </c>
      <c r="O216" s="18">
        <f t="shared" si="328"/>
        <v>0</v>
      </c>
      <c r="P216" s="18">
        <f t="shared" si="328"/>
        <v>0</v>
      </c>
      <c r="Q216" s="18">
        <f t="shared" si="328"/>
        <v>0</v>
      </c>
      <c r="R216" s="18">
        <f t="shared" si="328"/>
        <v>0</v>
      </c>
      <c r="S216" s="18">
        <f t="shared" si="328"/>
        <v>0</v>
      </c>
      <c r="T216" s="18">
        <f t="shared" si="328"/>
        <v>0</v>
      </c>
      <c r="U216" s="18">
        <f t="shared" si="328"/>
        <v>0</v>
      </c>
      <c r="V216" s="18">
        <f t="shared" si="328"/>
        <v>0</v>
      </c>
      <c r="W216" s="18">
        <f t="shared" si="328"/>
        <v>0</v>
      </c>
      <c r="X216" s="18">
        <f t="shared" si="328"/>
        <v>0</v>
      </c>
      <c r="Y216" s="18">
        <f t="shared" si="328"/>
        <v>0</v>
      </c>
      <c r="Z216" s="18">
        <f t="shared" si="328"/>
        <v>0</v>
      </c>
      <c r="AA216" s="18">
        <f t="shared" si="328"/>
        <v>0</v>
      </c>
      <c r="AB216" s="18">
        <f t="shared" si="328"/>
        <v>0</v>
      </c>
      <c r="AC216" s="18">
        <f t="shared" si="328"/>
        <v>0</v>
      </c>
      <c r="AD216" s="18">
        <f t="shared" si="328"/>
        <v>0</v>
      </c>
      <c r="AE216" s="18">
        <f t="shared" si="328"/>
        <v>0</v>
      </c>
      <c r="AF216" s="18">
        <f t="shared" si="328"/>
        <v>0</v>
      </c>
      <c r="AG216" s="18">
        <f t="shared" si="328"/>
        <v>0</v>
      </c>
      <c r="AH216" s="18">
        <f t="shared" si="328"/>
        <v>0</v>
      </c>
      <c r="AI216" s="18">
        <f t="shared" si="328"/>
        <v>0</v>
      </c>
      <c r="AJ216" s="18">
        <f t="shared" si="328"/>
        <v>0</v>
      </c>
      <c r="AK216" s="18">
        <f t="shared" si="328"/>
        <v>0</v>
      </c>
      <c r="AL216" s="18">
        <f t="shared" si="328"/>
        <v>0</v>
      </c>
      <c r="AM216" s="18">
        <f t="shared" si="328"/>
        <v>0</v>
      </c>
      <c r="AN216" s="18">
        <f t="shared" si="328"/>
        <v>0</v>
      </c>
      <c r="AO216" s="18">
        <f t="shared" si="328"/>
        <v>0</v>
      </c>
      <c r="AP216" s="18">
        <f t="shared" si="328"/>
        <v>0</v>
      </c>
      <c r="AQ216" s="18">
        <f t="shared" si="328"/>
        <v>0</v>
      </c>
      <c r="AR216" s="18">
        <f t="shared" si="328"/>
        <v>0</v>
      </c>
      <c r="AS216" s="18">
        <f t="shared" si="328"/>
        <v>0</v>
      </c>
      <c r="AT216" s="18">
        <f t="shared" si="328"/>
        <v>0</v>
      </c>
      <c r="AU216" s="18">
        <f t="shared" si="328"/>
        <v>0</v>
      </c>
      <c r="AV216" s="18">
        <f t="shared" si="328"/>
        <v>0</v>
      </c>
      <c r="AW216" s="18">
        <f t="shared" si="328"/>
        <v>0</v>
      </c>
      <c r="AX216" s="18">
        <f t="shared" si="328"/>
        <v>0</v>
      </c>
      <c r="AY216" s="18">
        <f t="shared" si="328"/>
        <v>0</v>
      </c>
      <c r="AZ216" s="18">
        <f t="shared" si="328"/>
        <v>0</v>
      </c>
      <c r="BA216" s="18">
        <f t="shared" si="328"/>
        <v>0</v>
      </c>
      <c r="BB216" s="18">
        <f t="shared" si="328"/>
        <v>0</v>
      </c>
      <c r="BC216" s="18">
        <f t="shared" si="328"/>
        <v>0</v>
      </c>
      <c r="BD216" s="18">
        <f t="shared" si="328"/>
        <v>0</v>
      </c>
      <c r="BE216" s="18">
        <f t="shared" si="328"/>
        <v>0</v>
      </c>
      <c r="BF216" s="18">
        <f t="shared" si="328"/>
        <v>0</v>
      </c>
      <c r="BG216" s="18">
        <f t="shared" si="328"/>
        <v>0</v>
      </c>
      <c r="BH216" s="18">
        <f t="shared" si="328"/>
        <v>0</v>
      </c>
      <c r="BI216" s="18">
        <f t="shared" si="328"/>
        <v>0</v>
      </c>
      <c r="BJ216" s="18">
        <f t="shared" si="328"/>
        <v>0</v>
      </c>
      <c r="BK216" s="18">
        <f t="shared" si="328"/>
        <v>0</v>
      </c>
      <c r="BL216" s="18">
        <f t="shared" si="328"/>
        <v>0</v>
      </c>
      <c r="BM216" s="18">
        <f t="shared" si="328"/>
        <v>0</v>
      </c>
      <c r="BN216" s="18">
        <f t="shared" ref="BN216:CB216" si="329">BN33*BN92</f>
        <v>0</v>
      </c>
      <c r="BO216" s="18">
        <f t="shared" si="329"/>
        <v>0</v>
      </c>
      <c r="BP216" s="18">
        <f t="shared" si="329"/>
        <v>0</v>
      </c>
      <c r="BQ216" s="18">
        <f t="shared" si="329"/>
        <v>0</v>
      </c>
      <c r="BR216" s="18">
        <f t="shared" si="329"/>
        <v>0</v>
      </c>
      <c r="BS216" s="18">
        <f t="shared" si="329"/>
        <v>0</v>
      </c>
      <c r="BT216" s="18">
        <f t="shared" si="329"/>
        <v>0</v>
      </c>
      <c r="BU216" s="18">
        <f t="shared" si="329"/>
        <v>0</v>
      </c>
      <c r="BV216" s="18">
        <f t="shared" si="329"/>
        <v>0</v>
      </c>
      <c r="BW216" s="18">
        <f t="shared" si="329"/>
        <v>0</v>
      </c>
      <c r="BX216" s="18">
        <f t="shared" si="329"/>
        <v>0</v>
      </c>
      <c r="BY216" s="18">
        <f t="shared" si="329"/>
        <v>0</v>
      </c>
      <c r="BZ216" s="18">
        <f t="shared" si="329"/>
        <v>0</v>
      </c>
      <c r="CA216" s="18">
        <f t="shared" si="329"/>
        <v>0</v>
      </c>
      <c r="CB216" s="18">
        <f t="shared" si="329"/>
        <v>0</v>
      </c>
      <c r="CC216" s="17"/>
      <c r="CD216" s="17"/>
      <c r="CE216" s="17"/>
      <c r="CH216" s="11"/>
      <c r="CI216" s="11"/>
      <c r="CJ216" s="11"/>
      <c r="CK216" s="11"/>
      <c r="CL216" s="11"/>
      <c r="CM216" s="11"/>
      <c r="CN216" s="11"/>
      <c r="CO216" s="11"/>
      <c r="CP216" s="11"/>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11"/>
      <c r="DM216" s="11"/>
      <c r="DN216" s="11"/>
      <c r="DO216" s="11"/>
      <c r="DP216" s="11"/>
      <c r="DQ216" s="11"/>
      <c r="DR216" s="11"/>
      <c r="DS216" s="11"/>
      <c r="DT216" s="11"/>
      <c r="DU216" s="11"/>
      <c r="DV216" s="11"/>
      <c r="DW216" s="11"/>
      <c r="DX216" s="11"/>
      <c r="DY216" s="11"/>
      <c r="DZ216" s="11"/>
      <c r="EA216" s="11"/>
      <c r="EB216" s="11"/>
      <c r="EC216" s="11"/>
      <c r="ED216" s="11"/>
    </row>
    <row r="217" spans="1:134">
      <c r="A217" s="18" t="str">
        <f>A35</f>
        <v>Bond 3</v>
      </c>
      <c r="B217" s="18">
        <f t="shared" ref="B217:BM217" si="330">B35*B97</f>
        <v>2.0238538625014968</v>
      </c>
      <c r="C217" s="18">
        <f t="shared" si="330"/>
        <v>2.0463785720002421</v>
      </c>
      <c r="D217" s="18">
        <f t="shared" si="330"/>
        <v>105.30721231717618</v>
      </c>
      <c r="E217" s="18">
        <f t="shared" si="330"/>
        <v>0</v>
      </c>
      <c r="F217" s="18">
        <f t="shared" si="330"/>
        <v>0</v>
      </c>
      <c r="G217" s="18">
        <f t="shared" si="330"/>
        <v>0</v>
      </c>
      <c r="H217" s="18">
        <f t="shared" si="330"/>
        <v>0</v>
      </c>
      <c r="I217" s="18">
        <f t="shared" si="330"/>
        <v>0</v>
      </c>
      <c r="J217" s="18">
        <f t="shared" si="330"/>
        <v>0</v>
      </c>
      <c r="K217" s="18">
        <f t="shared" si="330"/>
        <v>0</v>
      </c>
      <c r="L217" s="18">
        <f t="shared" si="330"/>
        <v>0</v>
      </c>
      <c r="M217" s="18">
        <f t="shared" si="330"/>
        <v>0</v>
      </c>
      <c r="N217" s="18">
        <f t="shared" si="330"/>
        <v>0</v>
      </c>
      <c r="O217" s="18">
        <f t="shared" si="330"/>
        <v>0</v>
      </c>
      <c r="P217" s="18">
        <f t="shared" si="330"/>
        <v>0</v>
      </c>
      <c r="Q217" s="18">
        <f t="shared" si="330"/>
        <v>0</v>
      </c>
      <c r="R217" s="18">
        <f t="shared" si="330"/>
        <v>0</v>
      </c>
      <c r="S217" s="18">
        <f t="shared" si="330"/>
        <v>0</v>
      </c>
      <c r="T217" s="18">
        <f t="shared" si="330"/>
        <v>0</v>
      </c>
      <c r="U217" s="18">
        <f t="shared" si="330"/>
        <v>0</v>
      </c>
      <c r="V217" s="18">
        <f t="shared" si="330"/>
        <v>0</v>
      </c>
      <c r="W217" s="18">
        <f t="shared" si="330"/>
        <v>0</v>
      </c>
      <c r="X217" s="18">
        <f t="shared" si="330"/>
        <v>0</v>
      </c>
      <c r="Y217" s="18">
        <f t="shared" si="330"/>
        <v>0</v>
      </c>
      <c r="Z217" s="18">
        <f t="shared" si="330"/>
        <v>0</v>
      </c>
      <c r="AA217" s="18">
        <f t="shared" si="330"/>
        <v>0</v>
      </c>
      <c r="AB217" s="18">
        <f t="shared" si="330"/>
        <v>0</v>
      </c>
      <c r="AC217" s="18">
        <f t="shared" si="330"/>
        <v>0</v>
      </c>
      <c r="AD217" s="18">
        <f t="shared" si="330"/>
        <v>0</v>
      </c>
      <c r="AE217" s="18">
        <f t="shared" si="330"/>
        <v>0</v>
      </c>
      <c r="AF217" s="18">
        <f t="shared" si="330"/>
        <v>0</v>
      </c>
      <c r="AG217" s="18">
        <f t="shared" si="330"/>
        <v>0</v>
      </c>
      <c r="AH217" s="18">
        <f t="shared" si="330"/>
        <v>0</v>
      </c>
      <c r="AI217" s="18">
        <f t="shared" si="330"/>
        <v>0</v>
      </c>
      <c r="AJ217" s="18">
        <f t="shared" si="330"/>
        <v>0</v>
      </c>
      <c r="AK217" s="18">
        <f t="shared" si="330"/>
        <v>0</v>
      </c>
      <c r="AL217" s="18">
        <f t="shared" si="330"/>
        <v>0</v>
      </c>
      <c r="AM217" s="18">
        <f t="shared" si="330"/>
        <v>0</v>
      </c>
      <c r="AN217" s="18">
        <f t="shared" si="330"/>
        <v>0</v>
      </c>
      <c r="AO217" s="18">
        <f t="shared" si="330"/>
        <v>0</v>
      </c>
      <c r="AP217" s="18">
        <f t="shared" si="330"/>
        <v>0</v>
      </c>
      <c r="AQ217" s="18">
        <f t="shared" si="330"/>
        <v>0</v>
      </c>
      <c r="AR217" s="18">
        <f t="shared" si="330"/>
        <v>0</v>
      </c>
      <c r="AS217" s="18">
        <f t="shared" si="330"/>
        <v>0</v>
      </c>
      <c r="AT217" s="18">
        <f t="shared" si="330"/>
        <v>0</v>
      </c>
      <c r="AU217" s="18">
        <f t="shared" si="330"/>
        <v>0</v>
      </c>
      <c r="AV217" s="18">
        <f t="shared" si="330"/>
        <v>0</v>
      </c>
      <c r="AW217" s="18">
        <f t="shared" si="330"/>
        <v>0</v>
      </c>
      <c r="AX217" s="18">
        <f t="shared" si="330"/>
        <v>0</v>
      </c>
      <c r="AY217" s="18">
        <f t="shared" si="330"/>
        <v>0</v>
      </c>
      <c r="AZ217" s="18">
        <f t="shared" si="330"/>
        <v>0</v>
      </c>
      <c r="BA217" s="18">
        <f t="shared" si="330"/>
        <v>0</v>
      </c>
      <c r="BB217" s="18">
        <f t="shared" si="330"/>
        <v>0</v>
      </c>
      <c r="BC217" s="18">
        <f t="shared" si="330"/>
        <v>0</v>
      </c>
      <c r="BD217" s="18">
        <f t="shared" si="330"/>
        <v>0</v>
      </c>
      <c r="BE217" s="18">
        <f t="shared" si="330"/>
        <v>0</v>
      </c>
      <c r="BF217" s="18">
        <f t="shared" si="330"/>
        <v>0</v>
      </c>
      <c r="BG217" s="18">
        <f t="shared" si="330"/>
        <v>0</v>
      </c>
      <c r="BH217" s="18">
        <f t="shared" si="330"/>
        <v>0</v>
      </c>
      <c r="BI217" s="18">
        <f t="shared" si="330"/>
        <v>0</v>
      </c>
      <c r="BJ217" s="18">
        <f t="shared" si="330"/>
        <v>0</v>
      </c>
      <c r="BK217" s="18">
        <f t="shared" si="330"/>
        <v>0</v>
      </c>
      <c r="BL217" s="18">
        <f t="shared" si="330"/>
        <v>0</v>
      </c>
      <c r="BM217" s="18">
        <f t="shared" si="330"/>
        <v>0</v>
      </c>
      <c r="BN217" s="18">
        <f t="shared" ref="BN217:CB217" si="331">BN35*BN97</f>
        <v>0</v>
      </c>
      <c r="BO217" s="18">
        <f t="shared" si="331"/>
        <v>0</v>
      </c>
      <c r="BP217" s="18">
        <f t="shared" si="331"/>
        <v>0</v>
      </c>
      <c r="BQ217" s="18">
        <f t="shared" si="331"/>
        <v>0</v>
      </c>
      <c r="BR217" s="18">
        <f t="shared" si="331"/>
        <v>0</v>
      </c>
      <c r="BS217" s="18">
        <f t="shared" si="331"/>
        <v>0</v>
      </c>
      <c r="BT217" s="18">
        <f t="shared" si="331"/>
        <v>0</v>
      </c>
      <c r="BU217" s="18">
        <f t="shared" si="331"/>
        <v>0</v>
      </c>
      <c r="BV217" s="18">
        <f t="shared" si="331"/>
        <v>0</v>
      </c>
      <c r="BW217" s="18">
        <f t="shared" si="331"/>
        <v>0</v>
      </c>
      <c r="BX217" s="18">
        <f t="shared" si="331"/>
        <v>0</v>
      </c>
      <c r="BY217" s="18">
        <f t="shared" si="331"/>
        <v>0</v>
      </c>
      <c r="BZ217" s="18">
        <f t="shared" si="331"/>
        <v>0</v>
      </c>
      <c r="CA217" s="18">
        <f t="shared" si="331"/>
        <v>0</v>
      </c>
      <c r="CB217" s="18">
        <f t="shared" si="331"/>
        <v>0</v>
      </c>
      <c r="CC217" s="17"/>
      <c r="CD217" s="17"/>
      <c r="CE217" s="17"/>
      <c r="CH217" s="11"/>
      <c r="CI217" s="11"/>
      <c r="CJ217" s="11"/>
      <c r="CK217" s="11"/>
      <c r="CL217" s="11"/>
      <c r="CM217" s="11"/>
      <c r="CN217" s="11"/>
      <c r="CO217" s="11"/>
      <c r="CP217" s="11"/>
      <c r="CQ217" s="11"/>
      <c r="CR217" s="11"/>
      <c r="CS217" s="11"/>
      <c r="CT217" s="11"/>
      <c r="CU217" s="11"/>
      <c r="CV217" s="11"/>
      <c r="CW217" s="11"/>
      <c r="CX217" s="11"/>
      <c r="CY217" s="11"/>
      <c r="CZ217" s="11"/>
      <c r="DA217" s="11"/>
      <c r="DB217" s="11"/>
      <c r="DC217" s="11"/>
      <c r="DD217" s="11"/>
      <c r="DE217" s="11"/>
      <c r="DF217" s="11"/>
      <c r="DG217" s="11"/>
      <c r="DH217" s="11"/>
      <c r="DI217" s="11"/>
      <c r="DJ217" s="11"/>
      <c r="DK217" s="11"/>
      <c r="DL217" s="11"/>
      <c r="DM217" s="11"/>
      <c r="DN217" s="11"/>
      <c r="DO217" s="11"/>
      <c r="DP217" s="11"/>
      <c r="DQ217" s="11"/>
      <c r="DR217" s="11"/>
      <c r="DS217" s="11"/>
      <c r="DT217" s="11"/>
      <c r="DU217" s="11"/>
      <c r="DV217" s="11"/>
      <c r="DW217" s="11"/>
      <c r="DX217" s="11"/>
      <c r="DY217" s="11"/>
      <c r="DZ217" s="11"/>
      <c r="EA217" s="11"/>
      <c r="EB217" s="11"/>
      <c r="EC217" s="11"/>
      <c r="ED217" s="11"/>
    </row>
    <row r="218" spans="1:134">
      <c r="A218" s="18" t="str">
        <f>A37</f>
        <v>Bond 4</v>
      </c>
      <c r="B218" s="18">
        <f t="shared" ref="B218:BM218" si="332">B37*B102</f>
        <v>4.033115690520475</v>
      </c>
      <c r="C218" s="18">
        <f t="shared" si="332"/>
        <v>4.0804773685549156</v>
      </c>
      <c r="D218" s="18">
        <f t="shared" si="332"/>
        <v>4.1197298115416583</v>
      </c>
      <c r="E218" s="18">
        <f t="shared" si="332"/>
        <v>107.93193137877083</v>
      </c>
      <c r="F218" s="18">
        <f t="shared" si="332"/>
        <v>0</v>
      </c>
      <c r="G218" s="18">
        <f t="shared" si="332"/>
        <v>0</v>
      </c>
      <c r="H218" s="18">
        <f t="shared" si="332"/>
        <v>0</v>
      </c>
      <c r="I218" s="18">
        <f t="shared" si="332"/>
        <v>0</v>
      </c>
      <c r="J218" s="18">
        <f t="shared" si="332"/>
        <v>0</v>
      </c>
      <c r="K218" s="18">
        <f t="shared" si="332"/>
        <v>0</v>
      </c>
      <c r="L218" s="18">
        <f t="shared" si="332"/>
        <v>0</v>
      </c>
      <c r="M218" s="18">
        <f t="shared" si="332"/>
        <v>0</v>
      </c>
      <c r="N218" s="18">
        <f t="shared" si="332"/>
        <v>0</v>
      </c>
      <c r="O218" s="18">
        <f t="shared" si="332"/>
        <v>0</v>
      </c>
      <c r="P218" s="18">
        <f t="shared" si="332"/>
        <v>0</v>
      </c>
      <c r="Q218" s="18">
        <f t="shared" si="332"/>
        <v>0</v>
      </c>
      <c r="R218" s="18">
        <f t="shared" si="332"/>
        <v>0</v>
      </c>
      <c r="S218" s="18">
        <f t="shared" si="332"/>
        <v>0</v>
      </c>
      <c r="T218" s="18">
        <f t="shared" si="332"/>
        <v>0</v>
      </c>
      <c r="U218" s="18">
        <f t="shared" si="332"/>
        <v>0</v>
      </c>
      <c r="V218" s="18">
        <f t="shared" si="332"/>
        <v>0</v>
      </c>
      <c r="W218" s="18">
        <f t="shared" si="332"/>
        <v>0</v>
      </c>
      <c r="X218" s="18">
        <f t="shared" si="332"/>
        <v>0</v>
      </c>
      <c r="Y218" s="18">
        <f t="shared" si="332"/>
        <v>0</v>
      </c>
      <c r="Z218" s="18">
        <f t="shared" si="332"/>
        <v>0</v>
      </c>
      <c r="AA218" s="18">
        <f t="shared" si="332"/>
        <v>0</v>
      </c>
      <c r="AB218" s="18">
        <f t="shared" si="332"/>
        <v>0</v>
      </c>
      <c r="AC218" s="18">
        <f t="shared" si="332"/>
        <v>0</v>
      </c>
      <c r="AD218" s="18">
        <f t="shared" si="332"/>
        <v>0</v>
      </c>
      <c r="AE218" s="18">
        <f t="shared" si="332"/>
        <v>0</v>
      </c>
      <c r="AF218" s="18">
        <f t="shared" si="332"/>
        <v>0</v>
      </c>
      <c r="AG218" s="18">
        <f t="shared" si="332"/>
        <v>0</v>
      </c>
      <c r="AH218" s="18">
        <f t="shared" si="332"/>
        <v>0</v>
      </c>
      <c r="AI218" s="18">
        <f t="shared" si="332"/>
        <v>0</v>
      </c>
      <c r="AJ218" s="18">
        <f t="shared" si="332"/>
        <v>0</v>
      </c>
      <c r="AK218" s="18">
        <f t="shared" si="332"/>
        <v>0</v>
      </c>
      <c r="AL218" s="18">
        <f t="shared" si="332"/>
        <v>0</v>
      </c>
      <c r="AM218" s="18">
        <f t="shared" si="332"/>
        <v>0</v>
      </c>
      <c r="AN218" s="18">
        <f t="shared" si="332"/>
        <v>0</v>
      </c>
      <c r="AO218" s="18">
        <f t="shared" si="332"/>
        <v>0</v>
      </c>
      <c r="AP218" s="18">
        <f t="shared" si="332"/>
        <v>0</v>
      </c>
      <c r="AQ218" s="18">
        <f t="shared" si="332"/>
        <v>0</v>
      </c>
      <c r="AR218" s="18">
        <f t="shared" si="332"/>
        <v>0</v>
      </c>
      <c r="AS218" s="18">
        <f t="shared" si="332"/>
        <v>0</v>
      </c>
      <c r="AT218" s="18">
        <f t="shared" si="332"/>
        <v>0</v>
      </c>
      <c r="AU218" s="18">
        <f t="shared" si="332"/>
        <v>0</v>
      </c>
      <c r="AV218" s="18">
        <f t="shared" si="332"/>
        <v>0</v>
      </c>
      <c r="AW218" s="18">
        <f t="shared" si="332"/>
        <v>0</v>
      </c>
      <c r="AX218" s="18">
        <f t="shared" si="332"/>
        <v>0</v>
      </c>
      <c r="AY218" s="18">
        <f t="shared" si="332"/>
        <v>0</v>
      </c>
      <c r="AZ218" s="18">
        <f t="shared" si="332"/>
        <v>0</v>
      </c>
      <c r="BA218" s="18">
        <f t="shared" si="332"/>
        <v>0</v>
      </c>
      <c r="BB218" s="18">
        <f t="shared" si="332"/>
        <v>0</v>
      </c>
      <c r="BC218" s="18">
        <f t="shared" si="332"/>
        <v>0</v>
      </c>
      <c r="BD218" s="18">
        <f t="shared" si="332"/>
        <v>0</v>
      </c>
      <c r="BE218" s="18">
        <f t="shared" si="332"/>
        <v>0</v>
      </c>
      <c r="BF218" s="18">
        <f t="shared" si="332"/>
        <v>0</v>
      </c>
      <c r="BG218" s="18">
        <f t="shared" si="332"/>
        <v>0</v>
      </c>
      <c r="BH218" s="18">
        <f t="shared" si="332"/>
        <v>0</v>
      </c>
      <c r="BI218" s="18">
        <f t="shared" si="332"/>
        <v>0</v>
      </c>
      <c r="BJ218" s="18">
        <f t="shared" si="332"/>
        <v>0</v>
      </c>
      <c r="BK218" s="18">
        <f t="shared" si="332"/>
        <v>0</v>
      </c>
      <c r="BL218" s="18">
        <f t="shared" si="332"/>
        <v>0</v>
      </c>
      <c r="BM218" s="18">
        <f t="shared" si="332"/>
        <v>0</v>
      </c>
      <c r="BN218" s="18">
        <f t="shared" ref="BN218:CB218" si="333">BN37*BN102</f>
        <v>0</v>
      </c>
      <c r="BO218" s="18">
        <f t="shared" si="333"/>
        <v>0</v>
      </c>
      <c r="BP218" s="18">
        <f t="shared" si="333"/>
        <v>0</v>
      </c>
      <c r="BQ218" s="18">
        <f t="shared" si="333"/>
        <v>0</v>
      </c>
      <c r="BR218" s="18">
        <f t="shared" si="333"/>
        <v>0</v>
      </c>
      <c r="BS218" s="18">
        <f t="shared" si="333"/>
        <v>0</v>
      </c>
      <c r="BT218" s="18">
        <f t="shared" si="333"/>
        <v>0</v>
      </c>
      <c r="BU218" s="18">
        <f t="shared" si="333"/>
        <v>0</v>
      </c>
      <c r="BV218" s="18">
        <f t="shared" si="333"/>
        <v>0</v>
      </c>
      <c r="BW218" s="18">
        <f t="shared" si="333"/>
        <v>0</v>
      </c>
      <c r="BX218" s="18">
        <f t="shared" si="333"/>
        <v>0</v>
      </c>
      <c r="BY218" s="18">
        <f t="shared" si="333"/>
        <v>0</v>
      </c>
      <c r="BZ218" s="18">
        <f t="shared" si="333"/>
        <v>0</v>
      </c>
      <c r="CA218" s="18">
        <f t="shared" si="333"/>
        <v>0</v>
      </c>
      <c r="CB218" s="18">
        <f t="shared" si="333"/>
        <v>0</v>
      </c>
      <c r="CC218" s="17"/>
      <c r="CD218" s="17"/>
      <c r="CE218" s="17"/>
      <c r="CH218" s="5"/>
      <c r="CI218" s="11"/>
      <c r="CJ218" s="11"/>
      <c r="CK218" s="11"/>
      <c r="CL218" s="11"/>
      <c r="CM218" s="11"/>
      <c r="CN218" s="11"/>
      <c r="CO218" s="11"/>
      <c r="CP218" s="11"/>
      <c r="CQ218" s="11"/>
      <c r="CR218" s="11"/>
      <c r="CS218" s="11"/>
      <c r="CT218" s="11"/>
      <c r="CU218" s="11"/>
      <c r="CV218" s="11"/>
      <c r="CW218" s="11"/>
      <c r="CX218" s="11"/>
      <c r="CY218" s="11"/>
      <c r="CZ218" s="11"/>
      <c r="DA218" s="11"/>
      <c r="DB218" s="11"/>
      <c r="DC218" s="11"/>
      <c r="DD218" s="11"/>
      <c r="DE218" s="11"/>
      <c r="DF218" s="11"/>
      <c r="DG218" s="11"/>
      <c r="DH218" s="11"/>
      <c r="DI218" s="11"/>
      <c r="DJ218" s="11"/>
      <c r="DK218" s="11"/>
      <c r="DL218" s="11"/>
      <c r="DM218" s="11"/>
      <c r="DN218" s="11"/>
      <c r="DO218" s="11"/>
      <c r="DP218" s="11"/>
      <c r="DQ218" s="11"/>
      <c r="DR218" s="11"/>
      <c r="DS218" s="11"/>
      <c r="DT218" s="11"/>
      <c r="DU218" s="11"/>
      <c r="DV218" s="11"/>
      <c r="DW218" s="11"/>
      <c r="DX218" s="11"/>
      <c r="DY218" s="11"/>
      <c r="DZ218" s="11"/>
      <c r="EA218" s="11"/>
      <c r="EB218" s="11"/>
      <c r="EC218" s="11"/>
      <c r="ED218" s="11"/>
    </row>
    <row r="219" spans="1:134">
      <c r="A219" s="18" t="str">
        <f>A39</f>
        <v>Bond 5</v>
      </c>
      <c r="B219" s="18">
        <f t="shared" ref="B219:BM219" si="334">B39*B107</f>
        <v>1.2655902544474353</v>
      </c>
      <c r="C219" s="18">
        <f t="shared" si="334"/>
        <v>1.2795523219914822</v>
      </c>
      <c r="D219" s="18">
        <f t="shared" si="334"/>
        <v>1.2909862265076686</v>
      </c>
      <c r="E219" s="18">
        <f t="shared" si="334"/>
        <v>1.3000520814010386</v>
      </c>
      <c r="F219" s="18">
        <f t="shared" si="334"/>
        <v>105.85920990402936</v>
      </c>
      <c r="G219" s="18">
        <f t="shared" si="334"/>
        <v>0</v>
      </c>
      <c r="H219" s="18">
        <f t="shared" si="334"/>
        <v>0</v>
      </c>
      <c r="I219" s="18">
        <f t="shared" si="334"/>
        <v>0</v>
      </c>
      <c r="J219" s="18">
        <f t="shared" si="334"/>
        <v>0</v>
      </c>
      <c r="K219" s="18">
        <f t="shared" si="334"/>
        <v>0</v>
      </c>
      <c r="L219" s="18">
        <f t="shared" si="334"/>
        <v>0</v>
      </c>
      <c r="M219" s="18">
        <f t="shared" si="334"/>
        <v>0</v>
      </c>
      <c r="N219" s="18">
        <f t="shared" si="334"/>
        <v>0</v>
      </c>
      <c r="O219" s="18">
        <f t="shared" si="334"/>
        <v>0</v>
      </c>
      <c r="P219" s="18">
        <f t="shared" si="334"/>
        <v>0</v>
      </c>
      <c r="Q219" s="18">
        <f t="shared" si="334"/>
        <v>0</v>
      </c>
      <c r="R219" s="18">
        <f t="shared" si="334"/>
        <v>0</v>
      </c>
      <c r="S219" s="18">
        <f t="shared" si="334"/>
        <v>0</v>
      </c>
      <c r="T219" s="18">
        <f t="shared" si="334"/>
        <v>0</v>
      </c>
      <c r="U219" s="18">
        <f t="shared" si="334"/>
        <v>0</v>
      </c>
      <c r="V219" s="18">
        <f t="shared" si="334"/>
        <v>0</v>
      </c>
      <c r="W219" s="18">
        <f t="shared" si="334"/>
        <v>0</v>
      </c>
      <c r="X219" s="18">
        <f t="shared" si="334"/>
        <v>0</v>
      </c>
      <c r="Y219" s="18">
        <f t="shared" si="334"/>
        <v>0</v>
      </c>
      <c r="Z219" s="18">
        <f t="shared" si="334"/>
        <v>0</v>
      </c>
      <c r="AA219" s="18">
        <f t="shared" si="334"/>
        <v>0</v>
      </c>
      <c r="AB219" s="18">
        <f t="shared" si="334"/>
        <v>0</v>
      </c>
      <c r="AC219" s="18">
        <f t="shared" si="334"/>
        <v>0</v>
      </c>
      <c r="AD219" s="18">
        <f t="shared" si="334"/>
        <v>0</v>
      </c>
      <c r="AE219" s="18">
        <f t="shared" si="334"/>
        <v>0</v>
      </c>
      <c r="AF219" s="18">
        <f t="shared" si="334"/>
        <v>0</v>
      </c>
      <c r="AG219" s="18">
        <f t="shared" si="334"/>
        <v>0</v>
      </c>
      <c r="AH219" s="18">
        <f t="shared" si="334"/>
        <v>0</v>
      </c>
      <c r="AI219" s="18">
        <f t="shared" si="334"/>
        <v>0</v>
      </c>
      <c r="AJ219" s="18">
        <f t="shared" si="334"/>
        <v>0</v>
      </c>
      <c r="AK219" s="18">
        <f t="shared" si="334"/>
        <v>0</v>
      </c>
      <c r="AL219" s="18">
        <f t="shared" si="334"/>
        <v>0</v>
      </c>
      <c r="AM219" s="18">
        <f t="shared" si="334"/>
        <v>0</v>
      </c>
      <c r="AN219" s="18">
        <f t="shared" si="334"/>
        <v>0</v>
      </c>
      <c r="AO219" s="18">
        <f t="shared" si="334"/>
        <v>0</v>
      </c>
      <c r="AP219" s="18">
        <f t="shared" si="334"/>
        <v>0</v>
      </c>
      <c r="AQ219" s="18">
        <f t="shared" si="334"/>
        <v>0</v>
      </c>
      <c r="AR219" s="18">
        <f t="shared" si="334"/>
        <v>0</v>
      </c>
      <c r="AS219" s="18">
        <f t="shared" si="334"/>
        <v>0</v>
      </c>
      <c r="AT219" s="18">
        <f t="shared" si="334"/>
        <v>0</v>
      </c>
      <c r="AU219" s="18">
        <f t="shared" si="334"/>
        <v>0</v>
      </c>
      <c r="AV219" s="18">
        <f t="shared" si="334"/>
        <v>0</v>
      </c>
      <c r="AW219" s="18">
        <f t="shared" si="334"/>
        <v>0</v>
      </c>
      <c r="AX219" s="18">
        <f t="shared" si="334"/>
        <v>0</v>
      </c>
      <c r="AY219" s="18">
        <f t="shared" si="334"/>
        <v>0</v>
      </c>
      <c r="AZ219" s="18">
        <f t="shared" si="334"/>
        <v>0</v>
      </c>
      <c r="BA219" s="18">
        <f t="shared" si="334"/>
        <v>0</v>
      </c>
      <c r="BB219" s="18">
        <f t="shared" si="334"/>
        <v>0</v>
      </c>
      <c r="BC219" s="18">
        <f t="shared" si="334"/>
        <v>0</v>
      </c>
      <c r="BD219" s="18">
        <f t="shared" si="334"/>
        <v>0</v>
      </c>
      <c r="BE219" s="18">
        <f t="shared" si="334"/>
        <v>0</v>
      </c>
      <c r="BF219" s="18">
        <f t="shared" si="334"/>
        <v>0</v>
      </c>
      <c r="BG219" s="18">
        <f t="shared" si="334"/>
        <v>0</v>
      </c>
      <c r="BH219" s="18">
        <f t="shared" si="334"/>
        <v>0</v>
      </c>
      <c r="BI219" s="18">
        <f t="shared" si="334"/>
        <v>0</v>
      </c>
      <c r="BJ219" s="18">
        <f t="shared" si="334"/>
        <v>0</v>
      </c>
      <c r="BK219" s="18">
        <f t="shared" si="334"/>
        <v>0</v>
      </c>
      <c r="BL219" s="18">
        <f t="shared" si="334"/>
        <v>0</v>
      </c>
      <c r="BM219" s="18">
        <f t="shared" si="334"/>
        <v>0</v>
      </c>
      <c r="BN219" s="18">
        <f t="shared" ref="BN219:CB219" si="335">BN39*BN107</f>
        <v>0</v>
      </c>
      <c r="BO219" s="18">
        <f t="shared" si="335"/>
        <v>0</v>
      </c>
      <c r="BP219" s="18">
        <f t="shared" si="335"/>
        <v>0</v>
      </c>
      <c r="BQ219" s="18">
        <f t="shared" si="335"/>
        <v>0</v>
      </c>
      <c r="BR219" s="18">
        <f t="shared" si="335"/>
        <v>0</v>
      </c>
      <c r="BS219" s="18">
        <f t="shared" si="335"/>
        <v>0</v>
      </c>
      <c r="BT219" s="18">
        <f t="shared" si="335"/>
        <v>0</v>
      </c>
      <c r="BU219" s="18">
        <f t="shared" si="335"/>
        <v>0</v>
      </c>
      <c r="BV219" s="18">
        <f t="shared" si="335"/>
        <v>0</v>
      </c>
      <c r="BW219" s="18">
        <f t="shared" si="335"/>
        <v>0</v>
      </c>
      <c r="BX219" s="18">
        <f t="shared" si="335"/>
        <v>0</v>
      </c>
      <c r="BY219" s="18">
        <f t="shared" si="335"/>
        <v>0</v>
      </c>
      <c r="BZ219" s="18">
        <f t="shared" si="335"/>
        <v>0</v>
      </c>
      <c r="CA219" s="18">
        <f t="shared" si="335"/>
        <v>0</v>
      </c>
      <c r="CB219" s="18">
        <f t="shared" si="335"/>
        <v>0</v>
      </c>
      <c r="CC219" s="17"/>
      <c r="CD219" s="17"/>
      <c r="CE219" s="17"/>
      <c r="CH219" s="11"/>
      <c r="CI219" s="11"/>
      <c r="CJ219" s="11"/>
      <c r="CK219" s="11"/>
      <c r="CL219" s="11"/>
      <c r="CM219" s="11"/>
      <c r="CN219" s="11"/>
      <c r="CO219" s="11"/>
      <c r="CP219" s="11"/>
      <c r="CQ219" s="11"/>
      <c r="CR219" s="11"/>
      <c r="CS219" s="11"/>
      <c r="CT219" s="11"/>
      <c r="CU219" s="11"/>
      <c r="CV219" s="11"/>
      <c r="CW219" s="11"/>
      <c r="CX219" s="11"/>
      <c r="CY219" s="11"/>
      <c r="CZ219" s="11"/>
      <c r="DA219" s="11"/>
      <c r="DB219" s="11"/>
      <c r="DC219" s="11"/>
      <c r="DD219" s="11"/>
      <c r="DE219" s="11"/>
      <c r="DF219" s="11"/>
      <c r="DG219" s="11"/>
      <c r="DH219" s="11"/>
      <c r="DI219" s="11"/>
      <c r="DJ219" s="11"/>
      <c r="DK219" s="11"/>
      <c r="DL219" s="11"/>
      <c r="DM219" s="11"/>
      <c r="DN219" s="11"/>
      <c r="DO219" s="11"/>
      <c r="DP219" s="11"/>
      <c r="DQ219" s="11"/>
      <c r="DR219" s="11"/>
      <c r="DS219" s="11"/>
      <c r="DT219" s="11"/>
      <c r="DU219" s="11"/>
      <c r="DV219" s="11"/>
      <c r="DW219" s="11"/>
      <c r="DX219" s="11"/>
      <c r="DY219" s="11"/>
      <c r="DZ219" s="11"/>
      <c r="EA219" s="11"/>
      <c r="EB219" s="11"/>
      <c r="EC219" s="11"/>
      <c r="ED219" s="11"/>
    </row>
    <row r="220" spans="1:134">
      <c r="A220" s="18" t="str">
        <f>A41</f>
        <v>Bond 6</v>
      </c>
      <c r="B220" s="18">
        <f t="shared" ref="B220:BM220" si="336">B41*B112</f>
        <v>1.5013030962763909</v>
      </c>
      <c r="C220" s="18">
        <f t="shared" si="336"/>
        <v>1.5208251737764558</v>
      </c>
      <c r="D220" s="18">
        <f t="shared" si="336"/>
        <v>1.537216304055939</v>
      </c>
      <c r="E220" s="18">
        <f t="shared" si="336"/>
        <v>1.5505952922314694</v>
      </c>
      <c r="F220" s="18">
        <f t="shared" si="336"/>
        <v>1.5611559026820854</v>
      </c>
      <c r="G220" s="18">
        <f t="shared" si="336"/>
        <v>1.5690847720452443</v>
      </c>
      <c r="H220" s="18">
        <f t="shared" si="336"/>
        <v>106.55052736175473</v>
      </c>
      <c r="I220" s="18">
        <f t="shared" si="336"/>
        <v>0</v>
      </c>
      <c r="J220" s="18">
        <f t="shared" si="336"/>
        <v>0</v>
      </c>
      <c r="K220" s="18">
        <f t="shared" si="336"/>
        <v>0</v>
      </c>
      <c r="L220" s="18">
        <f t="shared" si="336"/>
        <v>0</v>
      </c>
      <c r="M220" s="18">
        <f t="shared" si="336"/>
        <v>0</v>
      </c>
      <c r="N220" s="18">
        <f t="shared" si="336"/>
        <v>0</v>
      </c>
      <c r="O220" s="18">
        <f t="shared" si="336"/>
        <v>0</v>
      </c>
      <c r="P220" s="18">
        <f t="shared" si="336"/>
        <v>0</v>
      </c>
      <c r="Q220" s="18">
        <f t="shared" si="336"/>
        <v>0</v>
      </c>
      <c r="R220" s="18">
        <f t="shared" si="336"/>
        <v>0</v>
      </c>
      <c r="S220" s="18">
        <f t="shared" si="336"/>
        <v>0</v>
      </c>
      <c r="T220" s="18">
        <f t="shared" si="336"/>
        <v>0</v>
      </c>
      <c r="U220" s="18">
        <f t="shared" si="336"/>
        <v>0</v>
      </c>
      <c r="V220" s="18">
        <f t="shared" si="336"/>
        <v>0</v>
      </c>
      <c r="W220" s="18">
        <f t="shared" si="336"/>
        <v>0</v>
      </c>
      <c r="X220" s="18">
        <f t="shared" si="336"/>
        <v>0</v>
      </c>
      <c r="Y220" s="18">
        <f t="shared" si="336"/>
        <v>0</v>
      </c>
      <c r="Z220" s="18">
        <f t="shared" si="336"/>
        <v>0</v>
      </c>
      <c r="AA220" s="18">
        <f t="shared" si="336"/>
        <v>0</v>
      </c>
      <c r="AB220" s="18">
        <f t="shared" si="336"/>
        <v>0</v>
      </c>
      <c r="AC220" s="18">
        <f t="shared" si="336"/>
        <v>0</v>
      </c>
      <c r="AD220" s="18">
        <f t="shared" si="336"/>
        <v>0</v>
      </c>
      <c r="AE220" s="18">
        <f t="shared" si="336"/>
        <v>0</v>
      </c>
      <c r="AF220" s="18">
        <f t="shared" si="336"/>
        <v>0</v>
      </c>
      <c r="AG220" s="18">
        <f t="shared" si="336"/>
        <v>0</v>
      </c>
      <c r="AH220" s="18">
        <f t="shared" si="336"/>
        <v>0</v>
      </c>
      <c r="AI220" s="18">
        <f t="shared" si="336"/>
        <v>0</v>
      </c>
      <c r="AJ220" s="18">
        <f t="shared" si="336"/>
        <v>0</v>
      </c>
      <c r="AK220" s="18">
        <f t="shared" si="336"/>
        <v>0</v>
      </c>
      <c r="AL220" s="18">
        <f t="shared" si="336"/>
        <v>0</v>
      </c>
      <c r="AM220" s="18">
        <f t="shared" si="336"/>
        <v>0</v>
      </c>
      <c r="AN220" s="18">
        <f t="shared" si="336"/>
        <v>0</v>
      </c>
      <c r="AO220" s="18">
        <f t="shared" si="336"/>
        <v>0</v>
      </c>
      <c r="AP220" s="18">
        <f t="shared" si="336"/>
        <v>0</v>
      </c>
      <c r="AQ220" s="18">
        <f t="shared" si="336"/>
        <v>0</v>
      </c>
      <c r="AR220" s="18">
        <f t="shared" si="336"/>
        <v>0</v>
      </c>
      <c r="AS220" s="18">
        <f t="shared" si="336"/>
        <v>0</v>
      </c>
      <c r="AT220" s="18">
        <f t="shared" si="336"/>
        <v>0</v>
      </c>
      <c r="AU220" s="18">
        <f t="shared" si="336"/>
        <v>0</v>
      </c>
      <c r="AV220" s="18">
        <f t="shared" si="336"/>
        <v>0</v>
      </c>
      <c r="AW220" s="18">
        <f t="shared" si="336"/>
        <v>0</v>
      </c>
      <c r="AX220" s="18">
        <f t="shared" si="336"/>
        <v>0</v>
      </c>
      <c r="AY220" s="18">
        <f t="shared" si="336"/>
        <v>0</v>
      </c>
      <c r="AZ220" s="18">
        <f t="shared" si="336"/>
        <v>0</v>
      </c>
      <c r="BA220" s="18">
        <f t="shared" si="336"/>
        <v>0</v>
      </c>
      <c r="BB220" s="18">
        <f t="shared" si="336"/>
        <v>0</v>
      </c>
      <c r="BC220" s="18">
        <f t="shared" si="336"/>
        <v>0</v>
      </c>
      <c r="BD220" s="18">
        <f t="shared" si="336"/>
        <v>0</v>
      </c>
      <c r="BE220" s="18">
        <f t="shared" si="336"/>
        <v>0</v>
      </c>
      <c r="BF220" s="18">
        <f t="shared" si="336"/>
        <v>0</v>
      </c>
      <c r="BG220" s="18">
        <f t="shared" si="336"/>
        <v>0</v>
      </c>
      <c r="BH220" s="18">
        <f t="shared" si="336"/>
        <v>0</v>
      </c>
      <c r="BI220" s="18">
        <f t="shared" si="336"/>
        <v>0</v>
      </c>
      <c r="BJ220" s="18">
        <f t="shared" si="336"/>
        <v>0</v>
      </c>
      <c r="BK220" s="18">
        <f t="shared" si="336"/>
        <v>0</v>
      </c>
      <c r="BL220" s="18">
        <f t="shared" si="336"/>
        <v>0</v>
      </c>
      <c r="BM220" s="18">
        <f t="shared" si="336"/>
        <v>0</v>
      </c>
      <c r="BN220" s="18">
        <f t="shared" ref="BN220:CB220" si="337">BN41*BN112</f>
        <v>0</v>
      </c>
      <c r="BO220" s="18">
        <f t="shared" si="337"/>
        <v>0</v>
      </c>
      <c r="BP220" s="18">
        <f t="shared" si="337"/>
        <v>0</v>
      </c>
      <c r="BQ220" s="18">
        <f t="shared" si="337"/>
        <v>0</v>
      </c>
      <c r="BR220" s="18">
        <f t="shared" si="337"/>
        <v>0</v>
      </c>
      <c r="BS220" s="18">
        <f t="shared" si="337"/>
        <v>0</v>
      </c>
      <c r="BT220" s="18">
        <f t="shared" si="337"/>
        <v>0</v>
      </c>
      <c r="BU220" s="18">
        <f t="shared" si="337"/>
        <v>0</v>
      </c>
      <c r="BV220" s="18">
        <f t="shared" si="337"/>
        <v>0</v>
      </c>
      <c r="BW220" s="18">
        <f t="shared" si="337"/>
        <v>0</v>
      </c>
      <c r="BX220" s="18">
        <f t="shared" si="337"/>
        <v>0</v>
      </c>
      <c r="BY220" s="18">
        <f t="shared" si="337"/>
        <v>0</v>
      </c>
      <c r="BZ220" s="18">
        <f t="shared" si="337"/>
        <v>0</v>
      </c>
      <c r="CA220" s="18">
        <f t="shared" si="337"/>
        <v>0</v>
      </c>
      <c r="CB220" s="18">
        <f t="shared" si="337"/>
        <v>0</v>
      </c>
      <c r="CC220" s="17"/>
      <c r="CD220" s="17"/>
      <c r="CE220" s="17"/>
      <c r="CH220" s="5"/>
      <c r="CI220" s="11"/>
      <c r="CJ220" s="11"/>
      <c r="CK220" s="11"/>
      <c r="CL220" s="11"/>
      <c r="CM220" s="11"/>
      <c r="CN220" s="11"/>
      <c r="CO220" s="11"/>
      <c r="CP220" s="11"/>
      <c r="CQ220" s="11"/>
      <c r="CR220" s="11"/>
      <c r="CS220" s="11"/>
      <c r="CT220" s="11"/>
      <c r="CU220" s="11"/>
      <c r="CV220" s="11"/>
      <c r="CW220" s="11"/>
      <c r="CX220" s="11"/>
      <c r="CY220" s="11"/>
      <c r="CZ220" s="11"/>
      <c r="DA220" s="11"/>
      <c r="DB220" s="11"/>
      <c r="DC220" s="11"/>
      <c r="DD220" s="11"/>
      <c r="DE220" s="11"/>
      <c r="DF220" s="11"/>
      <c r="DG220" s="11"/>
      <c r="DH220" s="11"/>
      <c r="DI220" s="11"/>
      <c r="DJ220" s="11"/>
      <c r="DK220" s="11"/>
      <c r="DL220" s="11"/>
      <c r="DM220" s="11"/>
      <c r="DN220" s="11"/>
      <c r="DO220" s="11"/>
      <c r="DP220" s="11"/>
      <c r="DQ220" s="11"/>
      <c r="DR220" s="11"/>
      <c r="DS220" s="11"/>
      <c r="DT220" s="11"/>
      <c r="DU220" s="11"/>
      <c r="DV220" s="11"/>
      <c r="DW220" s="11"/>
      <c r="DX220" s="11"/>
      <c r="DY220" s="11"/>
      <c r="DZ220" s="11"/>
      <c r="EA220" s="11"/>
      <c r="EB220" s="11"/>
      <c r="EC220" s="11"/>
      <c r="ED220" s="11"/>
    </row>
    <row r="221" spans="1:134">
      <c r="A221" s="18" t="str">
        <f>A43</f>
        <v>Bond 7</v>
      </c>
      <c r="B221" s="18">
        <f t="shared" ref="B221:BM221" si="338">B43*B117</f>
        <v>1.2650368654535553</v>
      </c>
      <c r="C221" s="18">
        <f t="shared" si="338"/>
        <v>1.2790930601567179</v>
      </c>
      <c r="D221" s="18">
        <f t="shared" si="338"/>
        <v>1.2906155442714526</v>
      </c>
      <c r="E221" s="18">
        <f t="shared" si="338"/>
        <v>1.2997640008280626</v>
      </c>
      <c r="F221" s="18">
        <f t="shared" si="338"/>
        <v>1.3066918658247919</v>
      </c>
      <c r="G221" s="18">
        <f t="shared" si="338"/>
        <v>1.3116138738307916</v>
      </c>
      <c r="H221" s="18">
        <f t="shared" si="338"/>
        <v>106.48972435917229</v>
      </c>
      <c r="I221" s="18">
        <f t="shared" si="338"/>
        <v>0</v>
      </c>
      <c r="J221" s="18">
        <f t="shared" si="338"/>
        <v>0</v>
      </c>
      <c r="K221" s="18">
        <f t="shared" si="338"/>
        <v>0</v>
      </c>
      <c r="L221" s="18">
        <f t="shared" si="338"/>
        <v>0</v>
      </c>
      <c r="M221" s="18">
        <f t="shared" si="338"/>
        <v>0</v>
      </c>
      <c r="N221" s="18">
        <f t="shared" si="338"/>
        <v>0</v>
      </c>
      <c r="O221" s="18">
        <f t="shared" si="338"/>
        <v>0</v>
      </c>
      <c r="P221" s="18">
        <f t="shared" si="338"/>
        <v>0</v>
      </c>
      <c r="Q221" s="18">
        <f t="shared" si="338"/>
        <v>0</v>
      </c>
      <c r="R221" s="18">
        <f t="shared" si="338"/>
        <v>0</v>
      </c>
      <c r="S221" s="18">
        <f t="shared" si="338"/>
        <v>0</v>
      </c>
      <c r="T221" s="18">
        <f t="shared" si="338"/>
        <v>0</v>
      </c>
      <c r="U221" s="18">
        <f t="shared" si="338"/>
        <v>0</v>
      </c>
      <c r="V221" s="18">
        <f t="shared" si="338"/>
        <v>0</v>
      </c>
      <c r="W221" s="18">
        <f t="shared" si="338"/>
        <v>0</v>
      </c>
      <c r="X221" s="18">
        <f t="shared" si="338"/>
        <v>0</v>
      </c>
      <c r="Y221" s="18">
        <f t="shared" si="338"/>
        <v>0</v>
      </c>
      <c r="Z221" s="18">
        <f t="shared" si="338"/>
        <v>0</v>
      </c>
      <c r="AA221" s="18">
        <f t="shared" si="338"/>
        <v>0</v>
      </c>
      <c r="AB221" s="18">
        <f t="shared" si="338"/>
        <v>0</v>
      </c>
      <c r="AC221" s="18">
        <f t="shared" si="338"/>
        <v>0</v>
      </c>
      <c r="AD221" s="18">
        <f t="shared" si="338"/>
        <v>0</v>
      </c>
      <c r="AE221" s="18">
        <f t="shared" si="338"/>
        <v>0</v>
      </c>
      <c r="AF221" s="18">
        <f t="shared" si="338"/>
        <v>0</v>
      </c>
      <c r="AG221" s="18">
        <f t="shared" si="338"/>
        <v>0</v>
      </c>
      <c r="AH221" s="18">
        <f t="shared" si="338"/>
        <v>0</v>
      </c>
      <c r="AI221" s="18">
        <f t="shared" si="338"/>
        <v>0</v>
      </c>
      <c r="AJ221" s="18">
        <f t="shared" si="338"/>
        <v>0</v>
      </c>
      <c r="AK221" s="18">
        <f t="shared" si="338"/>
        <v>0</v>
      </c>
      <c r="AL221" s="18">
        <f t="shared" si="338"/>
        <v>0</v>
      </c>
      <c r="AM221" s="18">
        <f t="shared" si="338"/>
        <v>0</v>
      </c>
      <c r="AN221" s="18">
        <f t="shared" si="338"/>
        <v>0</v>
      </c>
      <c r="AO221" s="18">
        <f t="shared" si="338"/>
        <v>0</v>
      </c>
      <c r="AP221" s="18">
        <f t="shared" si="338"/>
        <v>0</v>
      </c>
      <c r="AQ221" s="18">
        <f t="shared" si="338"/>
        <v>0</v>
      </c>
      <c r="AR221" s="18">
        <f t="shared" si="338"/>
        <v>0</v>
      </c>
      <c r="AS221" s="18">
        <f t="shared" si="338"/>
        <v>0</v>
      </c>
      <c r="AT221" s="18">
        <f t="shared" si="338"/>
        <v>0</v>
      </c>
      <c r="AU221" s="18">
        <f t="shared" si="338"/>
        <v>0</v>
      </c>
      <c r="AV221" s="18">
        <f t="shared" si="338"/>
        <v>0</v>
      </c>
      <c r="AW221" s="18">
        <f t="shared" si="338"/>
        <v>0</v>
      </c>
      <c r="AX221" s="18">
        <f t="shared" si="338"/>
        <v>0</v>
      </c>
      <c r="AY221" s="18">
        <f t="shared" si="338"/>
        <v>0</v>
      </c>
      <c r="AZ221" s="18">
        <f t="shared" si="338"/>
        <v>0</v>
      </c>
      <c r="BA221" s="18">
        <f t="shared" si="338"/>
        <v>0</v>
      </c>
      <c r="BB221" s="18">
        <f t="shared" si="338"/>
        <v>0</v>
      </c>
      <c r="BC221" s="18">
        <f t="shared" si="338"/>
        <v>0</v>
      </c>
      <c r="BD221" s="18">
        <f t="shared" si="338"/>
        <v>0</v>
      </c>
      <c r="BE221" s="18">
        <f t="shared" si="338"/>
        <v>0</v>
      </c>
      <c r="BF221" s="18">
        <f t="shared" si="338"/>
        <v>0</v>
      </c>
      <c r="BG221" s="18">
        <f t="shared" si="338"/>
        <v>0</v>
      </c>
      <c r="BH221" s="18">
        <f t="shared" si="338"/>
        <v>0</v>
      </c>
      <c r="BI221" s="18">
        <f t="shared" si="338"/>
        <v>0</v>
      </c>
      <c r="BJ221" s="18">
        <f t="shared" si="338"/>
        <v>0</v>
      </c>
      <c r="BK221" s="18">
        <f t="shared" si="338"/>
        <v>0</v>
      </c>
      <c r="BL221" s="18">
        <f t="shared" si="338"/>
        <v>0</v>
      </c>
      <c r="BM221" s="18">
        <f t="shared" si="338"/>
        <v>0</v>
      </c>
      <c r="BN221" s="18">
        <f t="shared" ref="BN221:CB221" si="339">BN43*BN117</f>
        <v>0</v>
      </c>
      <c r="BO221" s="18">
        <f t="shared" si="339"/>
        <v>0</v>
      </c>
      <c r="BP221" s="18">
        <f t="shared" si="339"/>
        <v>0</v>
      </c>
      <c r="BQ221" s="18">
        <f t="shared" si="339"/>
        <v>0</v>
      </c>
      <c r="BR221" s="18">
        <f t="shared" si="339"/>
        <v>0</v>
      </c>
      <c r="BS221" s="18">
        <f t="shared" si="339"/>
        <v>0</v>
      </c>
      <c r="BT221" s="18">
        <f t="shared" si="339"/>
        <v>0</v>
      </c>
      <c r="BU221" s="18">
        <f t="shared" si="339"/>
        <v>0</v>
      </c>
      <c r="BV221" s="18">
        <f t="shared" si="339"/>
        <v>0</v>
      </c>
      <c r="BW221" s="18">
        <f t="shared" si="339"/>
        <v>0</v>
      </c>
      <c r="BX221" s="18">
        <f t="shared" si="339"/>
        <v>0</v>
      </c>
      <c r="BY221" s="18">
        <f t="shared" si="339"/>
        <v>0</v>
      </c>
      <c r="BZ221" s="18">
        <f t="shared" si="339"/>
        <v>0</v>
      </c>
      <c r="CA221" s="18">
        <f t="shared" si="339"/>
        <v>0</v>
      </c>
      <c r="CB221" s="18">
        <f t="shared" si="339"/>
        <v>0</v>
      </c>
      <c r="CC221" s="17"/>
      <c r="CD221" s="17"/>
      <c r="CE221" s="17"/>
      <c r="CH221" s="5"/>
      <c r="CI221" s="11"/>
      <c r="CJ221" s="11"/>
      <c r="CK221" s="11"/>
      <c r="CL221" s="11"/>
      <c r="CM221" s="11"/>
      <c r="CN221" s="11"/>
      <c r="CO221" s="11"/>
      <c r="CP221" s="11"/>
      <c r="CQ221" s="11"/>
      <c r="CR221" s="11"/>
      <c r="CS221" s="11"/>
      <c r="CT221" s="11"/>
      <c r="CU221" s="11"/>
      <c r="CV221" s="11"/>
      <c r="CW221" s="11"/>
      <c r="CX221" s="11"/>
      <c r="CY221" s="11"/>
      <c r="CZ221" s="11"/>
      <c r="DA221" s="11"/>
      <c r="DB221" s="11"/>
      <c r="DC221" s="11"/>
      <c r="DD221" s="11"/>
      <c r="DE221" s="11"/>
      <c r="DF221" s="11"/>
      <c r="DG221" s="11"/>
      <c r="DH221" s="11"/>
      <c r="DI221" s="11"/>
      <c r="DJ221" s="11"/>
      <c r="DK221" s="11"/>
      <c r="DL221" s="11"/>
      <c r="DM221" s="11"/>
      <c r="DN221" s="11"/>
      <c r="DO221" s="11"/>
      <c r="DP221" s="11"/>
      <c r="DQ221" s="11"/>
      <c r="DR221" s="11"/>
      <c r="DS221" s="11"/>
      <c r="DT221" s="11"/>
      <c r="DU221" s="11"/>
      <c r="DV221" s="11"/>
      <c r="DW221" s="11"/>
      <c r="DX221" s="11"/>
      <c r="DY221" s="11"/>
      <c r="DZ221" s="11"/>
      <c r="EA221" s="11"/>
      <c r="EB221" s="11"/>
      <c r="EC221" s="11"/>
      <c r="ED221" s="11"/>
    </row>
    <row r="222" spans="1:134">
      <c r="A222" s="18" t="str">
        <f>A45</f>
        <v>Bond 8</v>
      </c>
      <c r="B222" s="18">
        <f t="shared" ref="B222:BM222" si="340">B45*B122</f>
        <v>3.2922930533066941</v>
      </c>
      <c r="C222" s="18">
        <f t="shared" si="340"/>
        <v>3.328293904837186</v>
      </c>
      <c r="D222" s="18">
        <f t="shared" si="340"/>
        <v>3.3577393486970779</v>
      </c>
      <c r="E222" s="18">
        <f t="shared" si="340"/>
        <v>3.3810470393899101</v>
      </c>
      <c r="F222" s="18">
        <f t="shared" si="340"/>
        <v>3.39861881145081</v>
      </c>
      <c r="G222" s="18">
        <f t="shared" si="340"/>
        <v>3.411011566247244</v>
      </c>
      <c r="H222" s="18">
        <f t="shared" si="340"/>
        <v>3.4186376536268042</v>
      </c>
      <c r="I222" s="18">
        <f t="shared" si="340"/>
        <v>108.71329555241928</v>
      </c>
      <c r="J222" s="18">
        <f t="shared" si="340"/>
        <v>0</v>
      </c>
      <c r="K222" s="18">
        <f t="shared" si="340"/>
        <v>0</v>
      </c>
      <c r="L222" s="18">
        <f t="shared" si="340"/>
        <v>0</v>
      </c>
      <c r="M222" s="18">
        <f t="shared" si="340"/>
        <v>0</v>
      </c>
      <c r="N222" s="18">
        <f t="shared" si="340"/>
        <v>0</v>
      </c>
      <c r="O222" s="18">
        <f t="shared" si="340"/>
        <v>0</v>
      </c>
      <c r="P222" s="18">
        <f t="shared" si="340"/>
        <v>0</v>
      </c>
      <c r="Q222" s="18">
        <f t="shared" si="340"/>
        <v>0</v>
      </c>
      <c r="R222" s="18">
        <f t="shared" si="340"/>
        <v>0</v>
      </c>
      <c r="S222" s="18">
        <f t="shared" si="340"/>
        <v>0</v>
      </c>
      <c r="T222" s="18">
        <f t="shared" si="340"/>
        <v>0</v>
      </c>
      <c r="U222" s="18">
        <f t="shared" si="340"/>
        <v>0</v>
      </c>
      <c r="V222" s="18">
        <f t="shared" si="340"/>
        <v>0</v>
      </c>
      <c r="W222" s="18">
        <f t="shared" si="340"/>
        <v>0</v>
      </c>
      <c r="X222" s="18">
        <f t="shared" si="340"/>
        <v>0</v>
      </c>
      <c r="Y222" s="18">
        <f t="shared" si="340"/>
        <v>0</v>
      </c>
      <c r="Z222" s="18">
        <f t="shared" si="340"/>
        <v>0</v>
      </c>
      <c r="AA222" s="18">
        <f t="shared" si="340"/>
        <v>0</v>
      </c>
      <c r="AB222" s="18">
        <f t="shared" si="340"/>
        <v>0</v>
      </c>
      <c r="AC222" s="18">
        <f t="shared" si="340"/>
        <v>0</v>
      </c>
      <c r="AD222" s="18">
        <f t="shared" si="340"/>
        <v>0</v>
      </c>
      <c r="AE222" s="18">
        <f t="shared" si="340"/>
        <v>0</v>
      </c>
      <c r="AF222" s="18">
        <f t="shared" si="340"/>
        <v>0</v>
      </c>
      <c r="AG222" s="18">
        <f t="shared" si="340"/>
        <v>0</v>
      </c>
      <c r="AH222" s="18">
        <f t="shared" si="340"/>
        <v>0</v>
      </c>
      <c r="AI222" s="18">
        <f t="shared" si="340"/>
        <v>0</v>
      </c>
      <c r="AJ222" s="18">
        <f t="shared" si="340"/>
        <v>0</v>
      </c>
      <c r="AK222" s="18">
        <f t="shared" si="340"/>
        <v>0</v>
      </c>
      <c r="AL222" s="18">
        <f t="shared" si="340"/>
        <v>0</v>
      </c>
      <c r="AM222" s="18">
        <f t="shared" si="340"/>
        <v>0</v>
      </c>
      <c r="AN222" s="18">
        <f t="shared" si="340"/>
        <v>0</v>
      </c>
      <c r="AO222" s="18">
        <f t="shared" si="340"/>
        <v>0</v>
      </c>
      <c r="AP222" s="18">
        <f t="shared" si="340"/>
        <v>0</v>
      </c>
      <c r="AQ222" s="18">
        <f t="shared" si="340"/>
        <v>0</v>
      </c>
      <c r="AR222" s="18">
        <f t="shared" si="340"/>
        <v>0</v>
      </c>
      <c r="AS222" s="18">
        <f t="shared" si="340"/>
        <v>0</v>
      </c>
      <c r="AT222" s="18">
        <f t="shared" si="340"/>
        <v>0</v>
      </c>
      <c r="AU222" s="18">
        <f t="shared" si="340"/>
        <v>0</v>
      </c>
      <c r="AV222" s="18">
        <f t="shared" si="340"/>
        <v>0</v>
      </c>
      <c r="AW222" s="18">
        <f t="shared" si="340"/>
        <v>0</v>
      </c>
      <c r="AX222" s="18">
        <f t="shared" si="340"/>
        <v>0</v>
      </c>
      <c r="AY222" s="18">
        <f t="shared" si="340"/>
        <v>0</v>
      </c>
      <c r="AZ222" s="18">
        <f t="shared" si="340"/>
        <v>0</v>
      </c>
      <c r="BA222" s="18">
        <f t="shared" si="340"/>
        <v>0</v>
      </c>
      <c r="BB222" s="18">
        <f t="shared" si="340"/>
        <v>0</v>
      </c>
      <c r="BC222" s="18">
        <f t="shared" si="340"/>
        <v>0</v>
      </c>
      <c r="BD222" s="18">
        <f t="shared" si="340"/>
        <v>0</v>
      </c>
      <c r="BE222" s="18">
        <f t="shared" si="340"/>
        <v>0</v>
      </c>
      <c r="BF222" s="18">
        <f t="shared" si="340"/>
        <v>0</v>
      </c>
      <c r="BG222" s="18">
        <f t="shared" si="340"/>
        <v>0</v>
      </c>
      <c r="BH222" s="18">
        <f t="shared" si="340"/>
        <v>0</v>
      </c>
      <c r="BI222" s="18">
        <f t="shared" si="340"/>
        <v>0</v>
      </c>
      <c r="BJ222" s="18">
        <f t="shared" si="340"/>
        <v>0</v>
      </c>
      <c r="BK222" s="18">
        <f t="shared" si="340"/>
        <v>0</v>
      </c>
      <c r="BL222" s="18">
        <f t="shared" si="340"/>
        <v>0</v>
      </c>
      <c r="BM222" s="18">
        <f t="shared" si="340"/>
        <v>0</v>
      </c>
      <c r="BN222" s="18">
        <f t="shared" ref="BN222:CB222" si="341">BN45*BN122</f>
        <v>0</v>
      </c>
      <c r="BO222" s="18">
        <f t="shared" si="341"/>
        <v>0</v>
      </c>
      <c r="BP222" s="18">
        <f t="shared" si="341"/>
        <v>0</v>
      </c>
      <c r="BQ222" s="18">
        <f t="shared" si="341"/>
        <v>0</v>
      </c>
      <c r="BR222" s="18">
        <f t="shared" si="341"/>
        <v>0</v>
      </c>
      <c r="BS222" s="18">
        <f t="shared" si="341"/>
        <v>0</v>
      </c>
      <c r="BT222" s="18">
        <f t="shared" si="341"/>
        <v>0</v>
      </c>
      <c r="BU222" s="18">
        <f t="shared" si="341"/>
        <v>0</v>
      </c>
      <c r="BV222" s="18">
        <f t="shared" si="341"/>
        <v>0</v>
      </c>
      <c r="BW222" s="18">
        <f t="shared" si="341"/>
        <v>0</v>
      </c>
      <c r="BX222" s="18">
        <f t="shared" si="341"/>
        <v>0</v>
      </c>
      <c r="BY222" s="18">
        <f t="shared" si="341"/>
        <v>0</v>
      </c>
      <c r="BZ222" s="18">
        <f t="shared" si="341"/>
        <v>0</v>
      </c>
      <c r="CA222" s="18">
        <f t="shared" si="341"/>
        <v>0</v>
      </c>
      <c r="CB222" s="18">
        <f t="shared" si="341"/>
        <v>0</v>
      </c>
      <c r="CC222" s="17"/>
      <c r="CD222" s="17"/>
      <c r="CE222" s="17"/>
      <c r="CH222" s="5"/>
      <c r="CI222" s="11"/>
      <c r="CJ222" s="11"/>
      <c r="CK222" s="11"/>
      <c r="CL222" s="11"/>
      <c r="CM222" s="11"/>
      <c r="CN222" s="11"/>
      <c r="CO222" s="11"/>
      <c r="CP222" s="11"/>
      <c r="CQ222" s="11"/>
      <c r="CR222" s="11"/>
      <c r="CS222" s="11"/>
      <c r="CT222" s="11"/>
      <c r="CU222" s="11"/>
      <c r="CV222" s="11"/>
      <c r="CW222" s="11"/>
      <c r="CX222" s="11"/>
      <c r="CY222" s="11"/>
      <c r="CZ222" s="11"/>
      <c r="DA222" s="11"/>
      <c r="DB222" s="11"/>
      <c r="DC222" s="11"/>
      <c r="DD222" s="11"/>
      <c r="DE222" s="11"/>
      <c r="DF222" s="11"/>
      <c r="DG222" s="11"/>
      <c r="DH222" s="11"/>
      <c r="DI222" s="11"/>
      <c r="DJ222" s="11"/>
      <c r="DK222" s="11"/>
      <c r="DL222" s="11"/>
      <c r="DM222" s="11"/>
      <c r="DN222" s="11"/>
      <c r="DO222" s="11"/>
      <c r="DP222" s="11"/>
      <c r="DQ222" s="11"/>
      <c r="DR222" s="11"/>
      <c r="DS222" s="11"/>
      <c r="DT222" s="11"/>
      <c r="DU222" s="11"/>
      <c r="DV222" s="11"/>
      <c r="DW222" s="11"/>
      <c r="DX222" s="11"/>
      <c r="DY222" s="11"/>
      <c r="DZ222" s="11"/>
      <c r="EA222" s="11"/>
      <c r="EB222" s="11"/>
      <c r="EC222" s="11"/>
      <c r="ED222" s="11"/>
    </row>
    <row r="223" spans="1:134">
      <c r="A223" s="18" t="str">
        <f>A47</f>
        <v>Bond 9</v>
      </c>
      <c r="B223" s="18">
        <f t="shared" ref="B223:BM223" si="342">B47*B127</f>
        <v>4.0412025857134077</v>
      </c>
      <c r="C223" s="18">
        <f t="shared" si="342"/>
        <v>4.0873465568728831</v>
      </c>
      <c r="D223" s="18">
        <f t="shared" si="342"/>
        <v>4.1253149225229677</v>
      </c>
      <c r="E223" s="18">
        <f t="shared" si="342"/>
        <v>4.1556132238734138</v>
      </c>
      <c r="F223" s="18">
        <f t="shared" si="342"/>
        <v>4.1787261082214844</v>
      </c>
      <c r="G223" s="18">
        <f t="shared" si="342"/>
        <v>4.1953436137392943</v>
      </c>
      <c r="H223" s="18">
        <f t="shared" si="342"/>
        <v>4.2059672888823245</v>
      </c>
      <c r="I223" s="18">
        <f t="shared" si="342"/>
        <v>4.2111770113780445</v>
      </c>
      <c r="J223" s="18">
        <f t="shared" si="342"/>
        <v>109.50041947425764</v>
      </c>
      <c r="K223" s="18">
        <f t="shared" si="342"/>
        <v>0</v>
      </c>
      <c r="L223" s="18">
        <f t="shared" si="342"/>
        <v>0</v>
      </c>
      <c r="M223" s="18">
        <f t="shared" si="342"/>
        <v>0</v>
      </c>
      <c r="N223" s="18">
        <f t="shared" si="342"/>
        <v>0</v>
      </c>
      <c r="O223" s="18">
        <f t="shared" si="342"/>
        <v>0</v>
      </c>
      <c r="P223" s="18">
        <f t="shared" si="342"/>
        <v>0</v>
      </c>
      <c r="Q223" s="18">
        <f t="shared" si="342"/>
        <v>0</v>
      </c>
      <c r="R223" s="18">
        <f t="shared" si="342"/>
        <v>0</v>
      </c>
      <c r="S223" s="18">
        <f t="shared" si="342"/>
        <v>0</v>
      </c>
      <c r="T223" s="18">
        <f t="shared" si="342"/>
        <v>0</v>
      </c>
      <c r="U223" s="18">
        <f t="shared" si="342"/>
        <v>0</v>
      </c>
      <c r="V223" s="18">
        <f t="shared" si="342"/>
        <v>0</v>
      </c>
      <c r="W223" s="18">
        <f t="shared" si="342"/>
        <v>0</v>
      </c>
      <c r="X223" s="18">
        <f t="shared" si="342"/>
        <v>0</v>
      </c>
      <c r="Y223" s="18">
        <f t="shared" si="342"/>
        <v>0</v>
      </c>
      <c r="Z223" s="18">
        <f t="shared" si="342"/>
        <v>0</v>
      </c>
      <c r="AA223" s="18">
        <f t="shared" si="342"/>
        <v>0</v>
      </c>
      <c r="AB223" s="18">
        <f t="shared" si="342"/>
        <v>0</v>
      </c>
      <c r="AC223" s="18">
        <f t="shared" si="342"/>
        <v>0</v>
      </c>
      <c r="AD223" s="18">
        <f t="shared" si="342"/>
        <v>0</v>
      </c>
      <c r="AE223" s="18">
        <f t="shared" si="342"/>
        <v>0</v>
      </c>
      <c r="AF223" s="18">
        <f t="shared" si="342"/>
        <v>0</v>
      </c>
      <c r="AG223" s="18">
        <f t="shared" si="342"/>
        <v>0</v>
      </c>
      <c r="AH223" s="18">
        <f t="shared" si="342"/>
        <v>0</v>
      </c>
      <c r="AI223" s="18">
        <f t="shared" si="342"/>
        <v>0</v>
      </c>
      <c r="AJ223" s="18">
        <f t="shared" si="342"/>
        <v>0</v>
      </c>
      <c r="AK223" s="18">
        <f t="shared" si="342"/>
        <v>0</v>
      </c>
      <c r="AL223" s="18">
        <f t="shared" si="342"/>
        <v>0</v>
      </c>
      <c r="AM223" s="18">
        <f t="shared" si="342"/>
        <v>0</v>
      </c>
      <c r="AN223" s="18">
        <f t="shared" si="342"/>
        <v>0</v>
      </c>
      <c r="AO223" s="18">
        <f t="shared" si="342"/>
        <v>0</v>
      </c>
      <c r="AP223" s="18">
        <f t="shared" si="342"/>
        <v>0</v>
      </c>
      <c r="AQ223" s="18">
        <f t="shared" si="342"/>
        <v>0</v>
      </c>
      <c r="AR223" s="18">
        <f t="shared" si="342"/>
        <v>0</v>
      </c>
      <c r="AS223" s="18">
        <f t="shared" si="342"/>
        <v>0</v>
      </c>
      <c r="AT223" s="18">
        <f t="shared" si="342"/>
        <v>0</v>
      </c>
      <c r="AU223" s="18">
        <f t="shared" si="342"/>
        <v>0</v>
      </c>
      <c r="AV223" s="18">
        <f t="shared" si="342"/>
        <v>0</v>
      </c>
      <c r="AW223" s="18">
        <f t="shared" si="342"/>
        <v>0</v>
      </c>
      <c r="AX223" s="18">
        <f t="shared" si="342"/>
        <v>0</v>
      </c>
      <c r="AY223" s="18">
        <f t="shared" si="342"/>
        <v>0</v>
      </c>
      <c r="AZ223" s="18">
        <f t="shared" si="342"/>
        <v>0</v>
      </c>
      <c r="BA223" s="18">
        <f t="shared" si="342"/>
        <v>0</v>
      </c>
      <c r="BB223" s="18">
        <f t="shared" si="342"/>
        <v>0</v>
      </c>
      <c r="BC223" s="18">
        <f t="shared" si="342"/>
        <v>0</v>
      </c>
      <c r="BD223" s="18">
        <f t="shared" si="342"/>
        <v>0</v>
      </c>
      <c r="BE223" s="18">
        <f t="shared" si="342"/>
        <v>0</v>
      </c>
      <c r="BF223" s="18">
        <f t="shared" si="342"/>
        <v>0</v>
      </c>
      <c r="BG223" s="18">
        <f t="shared" si="342"/>
        <v>0</v>
      </c>
      <c r="BH223" s="18">
        <f t="shared" si="342"/>
        <v>0</v>
      </c>
      <c r="BI223" s="18">
        <f t="shared" si="342"/>
        <v>0</v>
      </c>
      <c r="BJ223" s="18">
        <f t="shared" si="342"/>
        <v>0</v>
      </c>
      <c r="BK223" s="18">
        <f t="shared" si="342"/>
        <v>0</v>
      </c>
      <c r="BL223" s="18">
        <f t="shared" si="342"/>
        <v>0</v>
      </c>
      <c r="BM223" s="18">
        <f t="shared" si="342"/>
        <v>0</v>
      </c>
      <c r="BN223" s="18">
        <f t="shared" ref="BN223:CB223" si="343">BN47*BN127</f>
        <v>0</v>
      </c>
      <c r="BO223" s="18">
        <f t="shared" si="343"/>
        <v>0</v>
      </c>
      <c r="BP223" s="18">
        <f t="shared" si="343"/>
        <v>0</v>
      </c>
      <c r="BQ223" s="18">
        <f t="shared" si="343"/>
        <v>0</v>
      </c>
      <c r="BR223" s="18">
        <f t="shared" si="343"/>
        <v>0</v>
      </c>
      <c r="BS223" s="18">
        <f t="shared" si="343"/>
        <v>0</v>
      </c>
      <c r="BT223" s="18">
        <f t="shared" si="343"/>
        <v>0</v>
      </c>
      <c r="BU223" s="18">
        <f t="shared" si="343"/>
        <v>0</v>
      </c>
      <c r="BV223" s="18">
        <f t="shared" si="343"/>
        <v>0</v>
      </c>
      <c r="BW223" s="18">
        <f t="shared" si="343"/>
        <v>0</v>
      </c>
      <c r="BX223" s="18">
        <f t="shared" si="343"/>
        <v>0</v>
      </c>
      <c r="BY223" s="18">
        <f t="shared" si="343"/>
        <v>0</v>
      </c>
      <c r="BZ223" s="18">
        <f t="shared" si="343"/>
        <v>0</v>
      </c>
      <c r="CA223" s="18">
        <f t="shared" si="343"/>
        <v>0</v>
      </c>
      <c r="CB223" s="18">
        <f t="shared" si="343"/>
        <v>0</v>
      </c>
      <c r="CC223" s="17"/>
      <c r="CD223" s="17"/>
      <c r="CE223" s="17"/>
      <c r="CH223" s="5"/>
      <c r="CI223" s="11"/>
      <c r="CJ223" s="11"/>
      <c r="CK223" s="11"/>
      <c r="CL223" s="11"/>
      <c r="CM223" s="11"/>
      <c r="CN223" s="11"/>
      <c r="CO223" s="11"/>
      <c r="CP223" s="11"/>
      <c r="CQ223" s="11"/>
      <c r="CR223" s="11"/>
      <c r="CS223" s="11"/>
      <c r="CT223" s="11"/>
      <c r="CU223" s="11"/>
      <c r="CV223" s="11"/>
      <c r="CW223" s="11"/>
      <c r="CX223" s="11"/>
      <c r="CY223" s="11"/>
      <c r="CZ223" s="11"/>
      <c r="DA223" s="11"/>
      <c r="DB223" s="11"/>
      <c r="DC223" s="11"/>
      <c r="DD223" s="11"/>
      <c r="DE223" s="11"/>
      <c r="DF223" s="11"/>
      <c r="DG223" s="11"/>
      <c r="DH223" s="11"/>
      <c r="DI223" s="11"/>
      <c r="DJ223" s="11"/>
      <c r="DK223" s="11"/>
      <c r="DL223" s="11"/>
      <c r="DM223" s="11"/>
      <c r="DN223" s="11"/>
      <c r="DO223" s="11"/>
      <c r="DP223" s="11"/>
      <c r="DQ223" s="11"/>
      <c r="DR223" s="11"/>
      <c r="DS223" s="11"/>
      <c r="DT223" s="11"/>
      <c r="DU223" s="11"/>
      <c r="DV223" s="11"/>
      <c r="DW223" s="11"/>
      <c r="DX223" s="11"/>
      <c r="DY223" s="11"/>
      <c r="DZ223" s="11"/>
      <c r="EA223" s="11"/>
      <c r="EB223" s="11"/>
      <c r="EC223" s="11"/>
      <c r="ED223" s="11"/>
    </row>
    <row r="224" spans="1:134">
      <c r="A224" s="18" t="str">
        <f>A49</f>
        <v>Bond 10</v>
      </c>
      <c r="B224" s="18">
        <f t="shared" ref="B224:BM224" si="344">B49*B132</f>
        <v>0</v>
      </c>
      <c r="C224" s="18">
        <f t="shared" si="344"/>
        <v>102.3950681377688</v>
      </c>
      <c r="D224" s="18">
        <f t="shared" si="344"/>
        <v>0</v>
      </c>
      <c r="E224" s="18">
        <f t="shared" si="344"/>
        <v>104.02348819076572</v>
      </c>
      <c r="F224" s="18">
        <f t="shared" si="344"/>
        <v>0</v>
      </c>
      <c r="G224" s="18">
        <f t="shared" si="344"/>
        <v>104.94994392376525</v>
      </c>
      <c r="H224" s="18">
        <f t="shared" si="344"/>
        <v>0</v>
      </c>
      <c r="I224" s="18">
        <f t="shared" si="344"/>
        <v>105.29074381564554</v>
      </c>
      <c r="J224" s="18">
        <f t="shared" si="344"/>
        <v>0</v>
      </c>
      <c r="K224" s="18">
        <f t="shared" si="344"/>
        <v>105.15976177413174</v>
      </c>
      <c r="L224" s="18">
        <f t="shared" si="344"/>
        <v>0</v>
      </c>
      <c r="M224" s="18">
        <f t="shared" si="344"/>
        <v>0</v>
      </c>
      <c r="N224" s="18">
        <f t="shared" si="344"/>
        <v>0</v>
      </c>
      <c r="O224" s="18">
        <f t="shared" si="344"/>
        <v>0</v>
      </c>
      <c r="P224" s="18">
        <f t="shared" si="344"/>
        <v>0</v>
      </c>
      <c r="Q224" s="18">
        <f t="shared" si="344"/>
        <v>0</v>
      </c>
      <c r="R224" s="18">
        <f t="shared" si="344"/>
        <v>0</v>
      </c>
      <c r="S224" s="18">
        <f t="shared" si="344"/>
        <v>0</v>
      </c>
      <c r="T224" s="18">
        <f t="shared" si="344"/>
        <v>0</v>
      </c>
      <c r="U224" s="18">
        <f t="shared" si="344"/>
        <v>0</v>
      </c>
      <c r="V224" s="18">
        <f t="shared" si="344"/>
        <v>0</v>
      </c>
      <c r="W224" s="18">
        <f t="shared" si="344"/>
        <v>0</v>
      </c>
      <c r="X224" s="18">
        <f t="shared" si="344"/>
        <v>0</v>
      </c>
      <c r="Y224" s="18">
        <f t="shared" si="344"/>
        <v>0</v>
      </c>
      <c r="Z224" s="18">
        <f t="shared" si="344"/>
        <v>0</v>
      </c>
      <c r="AA224" s="18">
        <f t="shared" si="344"/>
        <v>0</v>
      </c>
      <c r="AB224" s="18">
        <f t="shared" si="344"/>
        <v>0</v>
      </c>
      <c r="AC224" s="18">
        <f t="shared" si="344"/>
        <v>0</v>
      </c>
      <c r="AD224" s="18">
        <f t="shared" si="344"/>
        <v>0</v>
      </c>
      <c r="AE224" s="18">
        <f t="shared" si="344"/>
        <v>0</v>
      </c>
      <c r="AF224" s="18">
        <f t="shared" si="344"/>
        <v>0</v>
      </c>
      <c r="AG224" s="18">
        <f t="shared" si="344"/>
        <v>0</v>
      </c>
      <c r="AH224" s="18">
        <f t="shared" si="344"/>
        <v>0</v>
      </c>
      <c r="AI224" s="18">
        <f t="shared" si="344"/>
        <v>0</v>
      </c>
      <c r="AJ224" s="18">
        <f t="shared" si="344"/>
        <v>0</v>
      </c>
      <c r="AK224" s="18">
        <f t="shared" si="344"/>
        <v>0</v>
      </c>
      <c r="AL224" s="18">
        <f t="shared" si="344"/>
        <v>0</v>
      </c>
      <c r="AM224" s="18">
        <f t="shared" si="344"/>
        <v>0</v>
      </c>
      <c r="AN224" s="18">
        <f t="shared" si="344"/>
        <v>0</v>
      </c>
      <c r="AO224" s="18">
        <f t="shared" si="344"/>
        <v>0</v>
      </c>
      <c r="AP224" s="18">
        <f t="shared" si="344"/>
        <v>0</v>
      </c>
      <c r="AQ224" s="18">
        <f t="shared" si="344"/>
        <v>0</v>
      </c>
      <c r="AR224" s="18">
        <f t="shared" si="344"/>
        <v>0</v>
      </c>
      <c r="AS224" s="18">
        <f t="shared" si="344"/>
        <v>0</v>
      </c>
      <c r="AT224" s="18">
        <f t="shared" si="344"/>
        <v>0</v>
      </c>
      <c r="AU224" s="18">
        <f t="shared" si="344"/>
        <v>0</v>
      </c>
      <c r="AV224" s="18">
        <f t="shared" si="344"/>
        <v>0</v>
      </c>
      <c r="AW224" s="18">
        <f t="shared" si="344"/>
        <v>0</v>
      </c>
      <c r="AX224" s="18">
        <f t="shared" si="344"/>
        <v>0</v>
      </c>
      <c r="AY224" s="18">
        <f t="shared" si="344"/>
        <v>0</v>
      </c>
      <c r="AZ224" s="18">
        <f t="shared" si="344"/>
        <v>0</v>
      </c>
      <c r="BA224" s="18">
        <f t="shared" si="344"/>
        <v>0</v>
      </c>
      <c r="BB224" s="18">
        <f t="shared" si="344"/>
        <v>0</v>
      </c>
      <c r="BC224" s="18">
        <f t="shared" si="344"/>
        <v>0</v>
      </c>
      <c r="BD224" s="18">
        <f t="shared" si="344"/>
        <v>0</v>
      </c>
      <c r="BE224" s="18">
        <f t="shared" si="344"/>
        <v>0</v>
      </c>
      <c r="BF224" s="18">
        <f t="shared" si="344"/>
        <v>0</v>
      </c>
      <c r="BG224" s="18">
        <f t="shared" si="344"/>
        <v>0</v>
      </c>
      <c r="BH224" s="18">
        <f t="shared" si="344"/>
        <v>0</v>
      </c>
      <c r="BI224" s="18">
        <f t="shared" si="344"/>
        <v>0</v>
      </c>
      <c r="BJ224" s="18">
        <f t="shared" si="344"/>
        <v>0</v>
      </c>
      <c r="BK224" s="18">
        <f t="shared" si="344"/>
        <v>0</v>
      </c>
      <c r="BL224" s="18">
        <f t="shared" si="344"/>
        <v>0</v>
      </c>
      <c r="BM224" s="18">
        <f t="shared" si="344"/>
        <v>0</v>
      </c>
      <c r="BN224" s="18">
        <f t="shared" ref="BN224:CB224" si="345">BN49*BN132</f>
        <v>0</v>
      </c>
      <c r="BO224" s="18">
        <f t="shared" si="345"/>
        <v>0</v>
      </c>
      <c r="BP224" s="18">
        <f t="shared" si="345"/>
        <v>0</v>
      </c>
      <c r="BQ224" s="18">
        <f t="shared" si="345"/>
        <v>0</v>
      </c>
      <c r="BR224" s="18">
        <f t="shared" si="345"/>
        <v>0</v>
      </c>
      <c r="BS224" s="18">
        <f t="shared" si="345"/>
        <v>0</v>
      </c>
      <c r="BT224" s="18">
        <f t="shared" si="345"/>
        <v>0</v>
      </c>
      <c r="BU224" s="18">
        <f t="shared" si="345"/>
        <v>0</v>
      </c>
      <c r="BV224" s="18">
        <f t="shared" si="345"/>
        <v>0</v>
      </c>
      <c r="BW224" s="18">
        <f t="shared" si="345"/>
        <v>0</v>
      </c>
      <c r="BX224" s="18">
        <f t="shared" si="345"/>
        <v>0</v>
      </c>
      <c r="BY224" s="18">
        <f t="shared" si="345"/>
        <v>0</v>
      </c>
      <c r="BZ224" s="18">
        <f t="shared" si="345"/>
        <v>0</v>
      </c>
      <c r="CA224" s="18">
        <f t="shared" si="345"/>
        <v>0</v>
      </c>
      <c r="CB224" s="18">
        <f t="shared" si="345"/>
        <v>0</v>
      </c>
      <c r="CC224" s="17"/>
      <c r="CD224" s="17"/>
      <c r="CE224" s="17"/>
      <c r="CH224" s="5"/>
      <c r="CI224" s="11"/>
      <c r="CJ224" s="11"/>
      <c r="CK224" s="11"/>
      <c r="CL224" s="11"/>
      <c r="CM224" s="11"/>
      <c r="CN224" s="11"/>
      <c r="CO224" s="11"/>
      <c r="CP224" s="11"/>
      <c r="CQ224" s="11"/>
      <c r="CR224" s="11"/>
      <c r="CS224" s="11"/>
      <c r="CT224" s="11"/>
      <c r="CU224" s="11"/>
      <c r="CV224" s="11"/>
      <c r="CW224" s="11"/>
      <c r="CX224" s="11"/>
      <c r="CY224" s="11"/>
      <c r="CZ224" s="11"/>
      <c r="DA224" s="11"/>
      <c r="DB224" s="11"/>
      <c r="DC224" s="11"/>
      <c r="DD224" s="11"/>
      <c r="DE224" s="11"/>
      <c r="DF224" s="11"/>
      <c r="DG224" s="11"/>
      <c r="DH224" s="11"/>
      <c r="DI224" s="11"/>
      <c r="DJ224" s="11"/>
      <c r="DK224" s="11"/>
      <c r="DL224" s="11"/>
      <c r="DM224" s="11"/>
      <c r="DN224" s="11"/>
      <c r="DO224" s="11"/>
      <c r="DP224" s="11"/>
      <c r="DQ224" s="11"/>
      <c r="DR224" s="11"/>
      <c r="DS224" s="11"/>
      <c r="DT224" s="11"/>
      <c r="DU224" s="11"/>
      <c r="DV224" s="11"/>
      <c r="DW224" s="11"/>
      <c r="DX224" s="11"/>
      <c r="DY224" s="11"/>
      <c r="DZ224" s="11"/>
      <c r="EA224" s="11"/>
      <c r="EB224" s="11"/>
      <c r="EC224" s="11"/>
      <c r="ED224" s="11"/>
    </row>
    <row r="225" spans="1:256">
      <c r="A225" s="18" t="str">
        <f>A51</f>
        <v>Bond 11</v>
      </c>
      <c r="B225" s="18">
        <f t="shared" ref="B225:BM225" si="346">B51*B137</f>
        <v>3.5360522624992323</v>
      </c>
      <c r="C225" s="18">
        <f t="shared" si="346"/>
        <v>3.576428237263773</v>
      </c>
      <c r="D225" s="18">
        <f t="shared" si="346"/>
        <v>3.6096505572075972</v>
      </c>
      <c r="E225" s="18">
        <f t="shared" si="346"/>
        <v>3.6361615708892376</v>
      </c>
      <c r="F225" s="18">
        <f t="shared" si="346"/>
        <v>3.6563853446937995</v>
      </c>
      <c r="G225" s="18">
        <f t="shared" si="346"/>
        <v>3.6709256620218831</v>
      </c>
      <c r="H225" s="18">
        <f t="shared" si="346"/>
        <v>3.6802213777720345</v>
      </c>
      <c r="I225" s="18">
        <f t="shared" si="346"/>
        <v>3.6847798849557893</v>
      </c>
      <c r="J225" s="18">
        <f t="shared" si="346"/>
        <v>3.6851102707682863</v>
      </c>
      <c r="K225" s="18">
        <f t="shared" si="346"/>
        <v>3.681709510087559</v>
      </c>
      <c r="L225" s="18">
        <f t="shared" si="346"/>
        <v>3.6750544871859709</v>
      </c>
      <c r="M225" s="18">
        <f t="shared" si="346"/>
        <v>3.6656121986917705</v>
      </c>
      <c r="N225" s="18">
        <f t="shared" si="346"/>
        <v>3.6538659849090749</v>
      </c>
      <c r="O225" s="18">
        <f t="shared" si="346"/>
        <v>107.64520411612379</v>
      </c>
      <c r="P225" s="18">
        <f t="shared" si="346"/>
        <v>0</v>
      </c>
      <c r="Q225" s="18">
        <f t="shared" si="346"/>
        <v>0</v>
      </c>
      <c r="R225" s="18">
        <f t="shared" si="346"/>
        <v>0</v>
      </c>
      <c r="S225" s="18">
        <f t="shared" si="346"/>
        <v>0</v>
      </c>
      <c r="T225" s="18">
        <f t="shared" si="346"/>
        <v>0</v>
      </c>
      <c r="U225" s="18">
        <f t="shared" si="346"/>
        <v>0</v>
      </c>
      <c r="V225" s="18">
        <f t="shared" si="346"/>
        <v>0</v>
      </c>
      <c r="W225" s="18">
        <f t="shared" si="346"/>
        <v>0</v>
      </c>
      <c r="X225" s="18">
        <f t="shared" si="346"/>
        <v>0</v>
      </c>
      <c r="Y225" s="18">
        <f t="shared" si="346"/>
        <v>0</v>
      </c>
      <c r="Z225" s="18">
        <f t="shared" si="346"/>
        <v>0</v>
      </c>
      <c r="AA225" s="18">
        <f t="shared" si="346"/>
        <v>0</v>
      </c>
      <c r="AB225" s="18">
        <f t="shared" si="346"/>
        <v>0</v>
      </c>
      <c r="AC225" s="18">
        <f t="shared" si="346"/>
        <v>0</v>
      </c>
      <c r="AD225" s="18">
        <f t="shared" si="346"/>
        <v>0</v>
      </c>
      <c r="AE225" s="18">
        <f t="shared" si="346"/>
        <v>0</v>
      </c>
      <c r="AF225" s="18">
        <f t="shared" si="346"/>
        <v>0</v>
      </c>
      <c r="AG225" s="18">
        <f t="shared" si="346"/>
        <v>0</v>
      </c>
      <c r="AH225" s="18">
        <f t="shared" si="346"/>
        <v>0</v>
      </c>
      <c r="AI225" s="18">
        <f t="shared" si="346"/>
        <v>0</v>
      </c>
      <c r="AJ225" s="18">
        <f t="shared" si="346"/>
        <v>0</v>
      </c>
      <c r="AK225" s="18">
        <f t="shared" si="346"/>
        <v>0</v>
      </c>
      <c r="AL225" s="18">
        <f t="shared" si="346"/>
        <v>0</v>
      </c>
      <c r="AM225" s="18">
        <f t="shared" si="346"/>
        <v>0</v>
      </c>
      <c r="AN225" s="18">
        <f t="shared" si="346"/>
        <v>0</v>
      </c>
      <c r="AO225" s="18">
        <f t="shared" si="346"/>
        <v>0</v>
      </c>
      <c r="AP225" s="18">
        <f t="shared" si="346"/>
        <v>0</v>
      </c>
      <c r="AQ225" s="18">
        <f t="shared" si="346"/>
        <v>0</v>
      </c>
      <c r="AR225" s="18">
        <f t="shared" si="346"/>
        <v>0</v>
      </c>
      <c r="AS225" s="18">
        <f t="shared" si="346"/>
        <v>0</v>
      </c>
      <c r="AT225" s="18">
        <f t="shared" si="346"/>
        <v>0</v>
      </c>
      <c r="AU225" s="18">
        <f t="shared" si="346"/>
        <v>0</v>
      </c>
      <c r="AV225" s="18">
        <f t="shared" si="346"/>
        <v>0</v>
      </c>
      <c r="AW225" s="18">
        <f t="shared" si="346"/>
        <v>0</v>
      </c>
      <c r="AX225" s="18">
        <f t="shared" si="346"/>
        <v>0</v>
      </c>
      <c r="AY225" s="18">
        <f t="shared" si="346"/>
        <v>0</v>
      </c>
      <c r="AZ225" s="18">
        <f t="shared" si="346"/>
        <v>0</v>
      </c>
      <c r="BA225" s="18">
        <f t="shared" si="346"/>
        <v>0</v>
      </c>
      <c r="BB225" s="18">
        <f t="shared" si="346"/>
        <v>0</v>
      </c>
      <c r="BC225" s="18">
        <f t="shared" si="346"/>
        <v>0</v>
      </c>
      <c r="BD225" s="18">
        <f t="shared" si="346"/>
        <v>0</v>
      </c>
      <c r="BE225" s="18">
        <f t="shared" si="346"/>
        <v>0</v>
      </c>
      <c r="BF225" s="18">
        <f t="shared" si="346"/>
        <v>0</v>
      </c>
      <c r="BG225" s="18">
        <f t="shared" si="346"/>
        <v>0</v>
      </c>
      <c r="BH225" s="18">
        <f t="shared" si="346"/>
        <v>0</v>
      </c>
      <c r="BI225" s="18">
        <f t="shared" si="346"/>
        <v>0</v>
      </c>
      <c r="BJ225" s="18">
        <f t="shared" si="346"/>
        <v>0</v>
      </c>
      <c r="BK225" s="18">
        <f t="shared" si="346"/>
        <v>0</v>
      </c>
      <c r="BL225" s="18">
        <f t="shared" si="346"/>
        <v>0</v>
      </c>
      <c r="BM225" s="18">
        <f t="shared" si="346"/>
        <v>0</v>
      </c>
      <c r="BN225" s="18">
        <f t="shared" ref="BN225:CB225" si="347">BN51*BN137</f>
        <v>0</v>
      </c>
      <c r="BO225" s="18">
        <f t="shared" si="347"/>
        <v>0</v>
      </c>
      <c r="BP225" s="18">
        <f t="shared" si="347"/>
        <v>0</v>
      </c>
      <c r="BQ225" s="18">
        <f t="shared" si="347"/>
        <v>0</v>
      </c>
      <c r="BR225" s="18">
        <f t="shared" si="347"/>
        <v>0</v>
      </c>
      <c r="BS225" s="18">
        <f t="shared" si="347"/>
        <v>0</v>
      </c>
      <c r="BT225" s="18">
        <f t="shared" si="347"/>
        <v>0</v>
      </c>
      <c r="BU225" s="18">
        <f t="shared" si="347"/>
        <v>0</v>
      </c>
      <c r="BV225" s="18">
        <f t="shared" si="347"/>
        <v>0</v>
      </c>
      <c r="BW225" s="18">
        <f t="shared" si="347"/>
        <v>0</v>
      </c>
      <c r="BX225" s="18">
        <f t="shared" si="347"/>
        <v>0</v>
      </c>
      <c r="BY225" s="18">
        <f t="shared" si="347"/>
        <v>0</v>
      </c>
      <c r="BZ225" s="18">
        <f t="shared" si="347"/>
        <v>0</v>
      </c>
      <c r="CA225" s="18">
        <f t="shared" si="347"/>
        <v>0</v>
      </c>
      <c r="CB225" s="18">
        <f t="shared" si="347"/>
        <v>0</v>
      </c>
      <c r="CC225" s="17"/>
      <c r="CD225" s="17"/>
      <c r="CE225" s="17"/>
      <c r="CH225" s="5"/>
      <c r="CI225" s="11"/>
      <c r="CJ225" s="11"/>
      <c r="CK225" s="11"/>
      <c r="CL225" s="11"/>
      <c r="CM225" s="11"/>
      <c r="CN225" s="11"/>
      <c r="CO225" s="11"/>
      <c r="CP225" s="11"/>
      <c r="CQ225" s="11"/>
      <c r="CR225" s="11"/>
      <c r="CS225" s="11"/>
      <c r="CT225" s="11"/>
      <c r="CU225" s="11"/>
      <c r="CV225" s="11"/>
      <c r="CW225" s="11"/>
      <c r="CX225" s="11"/>
      <c r="CY225" s="11"/>
      <c r="CZ225" s="11"/>
      <c r="DA225" s="11"/>
      <c r="DB225" s="11"/>
      <c r="DC225" s="11"/>
      <c r="DD225" s="11"/>
      <c r="DE225" s="11"/>
      <c r="DF225" s="11"/>
      <c r="DG225" s="11"/>
      <c r="DH225" s="11"/>
      <c r="DI225" s="11"/>
      <c r="DJ225" s="11"/>
      <c r="DK225" s="11"/>
      <c r="DL225" s="11"/>
      <c r="DM225" s="11"/>
      <c r="DN225" s="11"/>
      <c r="DO225" s="11"/>
      <c r="DP225" s="11"/>
      <c r="DQ225" s="11"/>
      <c r="DR225" s="11"/>
      <c r="DS225" s="11"/>
      <c r="DT225" s="11"/>
      <c r="DU225" s="11"/>
      <c r="DV225" s="11"/>
      <c r="DW225" s="11"/>
      <c r="DX225" s="11"/>
      <c r="DY225" s="11"/>
      <c r="DZ225" s="11"/>
      <c r="EA225" s="11"/>
      <c r="EB225" s="11"/>
      <c r="EC225" s="11"/>
      <c r="ED225" s="11"/>
    </row>
    <row r="226" spans="1:256">
      <c r="A226" s="18" t="str">
        <f>A53</f>
        <v>Bond 12</v>
      </c>
      <c r="B226" s="18">
        <f t="shared" ref="B226:BM226" si="348">B53*B142</f>
        <v>1.2662665589641131</v>
      </c>
      <c r="C226" s="18">
        <f t="shared" si="348"/>
        <v>1.2801130403219947</v>
      </c>
      <c r="D226" s="18">
        <f t="shared" si="348"/>
        <v>1.2914382110373377</v>
      </c>
      <c r="E226" s="18">
        <f t="shared" si="348"/>
        <v>1.3004027074576576</v>
      </c>
      <c r="F226" s="18">
        <f t="shared" si="348"/>
        <v>1.3071610813272347</v>
      </c>
      <c r="G226" s="18">
        <f t="shared" si="348"/>
        <v>1.3119275254797091</v>
      </c>
      <c r="H226" s="18">
        <f t="shared" si="348"/>
        <v>1.3148606360103092</v>
      </c>
      <c r="I226" s="18">
        <f t="shared" si="348"/>
        <v>1.3161415926443012</v>
      </c>
      <c r="J226" s="18">
        <f t="shared" si="348"/>
        <v>1.3159525177124576</v>
      </c>
      <c r="K226" s="18">
        <f t="shared" si="348"/>
        <v>1.3144683132758739</v>
      </c>
      <c r="L226" s="18">
        <f t="shared" si="348"/>
        <v>1.3118590144928217</v>
      </c>
      <c r="M226" s="18">
        <f t="shared" si="348"/>
        <v>1.308289973947524</v>
      </c>
      <c r="N226" s="18">
        <f t="shared" si="348"/>
        <v>1.3039326077267424</v>
      </c>
      <c r="O226" s="18">
        <f t="shared" si="348"/>
        <v>1.2989129004347568</v>
      </c>
      <c r="P226" s="18">
        <f t="shared" si="348"/>
        <v>1.2933844263794179</v>
      </c>
      <c r="Q226" s="18">
        <f t="shared" si="348"/>
        <v>1.2874812934693693</v>
      </c>
      <c r="R226" s="18">
        <f t="shared" si="348"/>
        <v>1.2813465041741523</v>
      </c>
      <c r="S226" s="18">
        <f t="shared" si="348"/>
        <v>103.28009945266297</v>
      </c>
      <c r="T226" s="18">
        <f t="shared" si="348"/>
        <v>0</v>
      </c>
      <c r="U226" s="18">
        <f t="shared" si="348"/>
        <v>0</v>
      </c>
      <c r="V226" s="18">
        <f t="shared" si="348"/>
        <v>0</v>
      </c>
      <c r="W226" s="18">
        <f t="shared" si="348"/>
        <v>0</v>
      </c>
      <c r="X226" s="18">
        <f t="shared" si="348"/>
        <v>0</v>
      </c>
      <c r="Y226" s="18">
        <f t="shared" si="348"/>
        <v>0</v>
      </c>
      <c r="Z226" s="18">
        <f t="shared" si="348"/>
        <v>0</v>
      </c>
      <c r="AA226" s="18">
        <f t="shared" si="348"/>
        <v>0</v>
      </c>
      <c r="AB226" s="18">
        <f t="shared" si="348"/>
        <v>0</v>
      </c>
      <c r="AC226" s="18">
        <f t="shared" si="348"/>
        <v>0</v>
      </c>
      <c r="AD226" s="18">
        <f t="shared" si="348"/>
        <v>0</v>
      </c>
      <c r="AE226" s="18">
        <f t="shared" si="348"/>
        <v>0</v>
      </c>
      <c r="AF226" s="18">
        <f t="shared" si="348"/>
        <v>0</v>
      </c>
      <c r="AG226" s="18">
        <f t="shared" si="348"/>
        <v>0</v>
      </c>
      <c r="AH226" s="18">
        <f t="shared" si="348"/>
        <v>0</v>
      </c>
      <c r="AI226" s="18">
        <f t="shared" si="348"/>
        <v>0</v>
      </c>
      <c r="AJ226" s="18">
        <f t="shared" si="348"/>
        <v>0</v>
      </c>
      <c r="AK226" s="18">
        <f t="shared" si="348"/>
        <v>0</v>
      </c>
      <c r="AL226" s="18">
        <f t="shared" si="348"/>
        <v>0</v>
      </c>
      <c r="AM226" s="18">
        <f t="shared" si="348"/>
        <v>0</v>
      </c>
      <c r="AN226" s="18">
        <f t="shared" si="348"/>
        <v>0</v>
      </c>
      <c r="AO226" s="18">
        <f t="shared" si="348"/>
        <v>0</v>
      </c>
      <c r="AP226" s="18">
        <f t="shared" si="348"/>
        <v>0</v>
      </c>
      <c r="AQ226" s="18">
        <f t="shared" si="348"/>
        <v>0</v>
      </c>
      <c r="AR226" s="18">
        <f t="shared" si="348"/>
        <v>0</v>
      </c>
      <c r="AS226" s="18">
        <f t="shared" si="348"/>
        <v>0</v>
      </c>
      <c r="AT226" s="18">
        <f t="shared" si="348"/>
        <v>0</v>
      </c>
      <c r="AU226" s="18">
        <f t="shared" si="348"/>
        <v>0</v>
      </c>
      <c r="AV226" s="18">
        <f t="shared" si="348"/>
        <v>0</v>
      </c>
      <c r="AW226" s="18">
        <f t="shared" si="348"/>
        <v>0</v>
      </c>
      <c r="AX226" s="18">
        <f t="shared" si="348"/>
        <v>0</v>
      </c>
      <c r="AY226" s="18">
        <f t="shared" si="348"/>
        <v>0</v>
      </c>
      <c r="AZ226" s="18">
        <f t="shared" si="348"/>
        <v>0</v>
      </c>
      <c r="BA226" s="18">
        <f t="shared" si="348"/>
        <v>0</v>
      </c>
      <c r="BB226" s="18">
        <f t="shared" si="348"/>
        <v>0</v>
      </c>
      <c r="BC226" s="18">
        <f t="shared" si="348"/>
        <v>0</v>
      </c>
      <c r="BD226" s="18">
        <f t="shared" si="348"/>
        <v>0</v>
      </c>
      <c r="BE226" s="18">
        <f t="shared" si="348"/>
        <v>0</v>
      </c>
      <c r="BF226" s="18">
        <f t="shared" si="348"/>
        <v>0</v>
      </c>
      <c r="BG226" s="18">
        <f t="shared" si="348"/>
        <v>0</v>
      </c>
      <c r="BH226" s="18">
        <f t="shared" si="348"/>
        <v>0</v>
      </c>
      <c r="BI226" s="18">
        <f t="shared" si="348"/>
        <v>0</v>
      </c>
      <c r="BJ226" s="18">
        <f t="shared" si="348"/>
        <v>0</v>
      </c>
      <c r="BK226" s="18">
        <f t="shared" si="348"/>
        <v>0</v>
      </c>
      <c r="BL226" s="18">
        <f t="shared" si="348"/>
        <v>0</v>
      </c>
      <c r="BM226" s="18">
        <f t="shared" si="348"/>
        <v>0</v>
      </c>
      <c r="BN226" s="18">
        <f t="shared" ref="BN226:CB226" si="349">BN53*BN142</f>
        <v>0</v>
      </c>
      <c r="BO226" s="18">
        <f t="shared" si="349"/>
        <v>0</v>
      </c>
      <c r="BP226" s="18">
        <f t="shared" si="349"/>
        <v>0</v>
      </c>
      <c r="BQ226" s="18">
        <f t="shared" si="349"/>
        <v>0</v>
      </c>
      <c r="BR226" s="18">
        <f t="shared" si="349"/>
        <v>0</v>
      </c>
      <c r="BS226" s="18">
        <f t="shared" si="349"/>
        <v>0</v>
      </c>
      <c r="BT226" s="18">
        <f t="shared" si="349"/>
        <v>0</v>
      </c>
      <c r="BU226" s="18">
        <f t="shared" si="349"/>
        <v>0</v>
      </c>
      <c r="BV226" s="18">
        <f t="shared" si="349"/>
        <v>0</v>
      </c>
      <c r="BW226" s="18">
        <f t="shared" si="349"/>
        <v>0</v>
      </c>
      <c r="BX226" s="18">
        <f t="shared" si="349"/>
        <v>0</v>
      </c>
      <c r="BY226" s="18">
        <f t="shared" si="349"/>
        <v>0</v>
      </c>
      <c r="BZ226" s="18">
        <f t="shared" si="349"/>
        <v>0</v>
      </c>
      <c r="CA226" s="18">
        <f t="shared" si="349"/>
        <v>0</v>
      </c>
      <c r="CB226" s="18">
        <f t="shared" si="349"/>
        <v>0</v>
      </c>
      <c r="CC226" s="17"/>
      <c r="CD226" s="17"/>
      <c r="CE226" s="17"/>
      <c r="CH226" s="5"/>
      <c r="CI226" s="11"/>
      <c r="CJ226" s="11"/>
      <c r="CK226" s="11"/>
      <c r="CL226" s="11"/>
      <c r="CM226" s="11"/>
      <c r="CN226" s="11"/>
      <c r="CO226" s="11"/>
      <c r="CP226" s="11"/>
      <c r="CQ226" s="11"/>
      <c r="CR226" s="11"/>
      <c r="CS226" s="11"/>
      <c r="CT226" s="11"/>
      <c r="CU226" s="11"/>
      <c r="CV226" s="11"/>
      <c r="CW226" s="11"/>
      <c r="CX226" s="11"/>
      <c r="CY226" s="11"/>
      <c r="CZ226" s="11"/>
      <c r="DA226" s="11"/>
      <c r="DB226" s="11"/>
      <c r="DC226" s="11"/>
      <c r="DD226" s="11"/>
      <c r="DE226" s="11"/>
      <c r="DF226" s="11"/>
      <c r="DG226" s="11"/>
      <c r="DH226" s="11"/>
      <c r="DI226" s="11"/>
      <c r="DJ226" s="11"/>
      <c r="DK226" s="11"/>
      <c r="DL226" s="11"/>
      <c r="DM226" s="11"/>
      <c r="DN226" s="11"/>
      <c r="DO226" s="11"/>
      <c r="DP226" s="11"/>
      <c r="DQ226" s="11"/>
      <c r="DR226" s="11"/>
      <c r="DS226" s="11"/>
      <c r="DT226" s="11"/>
      <c r="DU226" s="11"/>
      <c r="DV226" s="11"/>
      <c r="DW226" s="11"/>
      <c r="DX226" s="11"/>
      <c r="DY226" s="11"/>
      <c r="DZ226" s="11"/>
      <c r="EA226" s="11"/>
      <c r="EB226" s="11"/>
      <c r="EC226" s="11"/>
      <c r="ED226" s="11"/>
    </row>
    <row r="227" spans="1:256">
      <c r="A227" s="18" t="str">
        <f>A55</f>
        <v>Bond 13</v>
      </c>
      <c r="B227" s="18">
        <f t="shared" ref="B227:BM227" si="350">B55*B147</f>
        <v>4.0280419890917605</v>
      </c>
      <c r="C227" s="18">
        <f t="shared" si="350"/>
        <v>4.0762286062133679</v>
      </c>
      <c r="D227" s="18">
        <f t="shared" si="350"/>
        <v>4.116262212910458</v>
      </c>
      <c r="E227" s="18">
        <f t="shared" si="350"/>
        <v>4.1484914168087288</v>
      </c>
      <c r="F227" s="18">
        <f t="shared" si="350"/>
        <v>4.173448163777234</v>
      </c>
      <c r="G227" s="18">
        <f t="shared" si="350"/>
        <v>4.191648226518387</v>
      </c>
      <c r="H227" s="18">
        <f t="shared" si="350"/>
        <v>4.2037647882335287</v>
      </c>
      <c r="I227" s="18">
        <f t="shared" si="350"/>
        <v>4.2103176221831742</v>
      </c>
      <c r="J227" s="18">
        <f t="shared" si="350"/>
        <v>4.2118848820100361</v>
      </c>
      <c r="K227" s="18">
        <f t="shared" si="350"/>
        <v>4.2090502369827014</v>
      </c>
      <c r="L227" s="18">
        <f t="shared" si="350"/>
        <v>4.2023533316549742</v>
      </c>
      <c r="M227" s="18">
        <f t="shared" si="350"/>
        <v>4.1923350983443264</v>
      </c>
      <c r="N227" s="18">
        <f t="shared" si="350"/>
        <v>4.1795132050838886</v>
      </c>
      <c r="O227" s="18">
        <f t="shared" si="350"/>
        <v>4.1644263581578294</v>
      </c>
      <c r="P227" s="18">
        <f t="shared" si="350"/>
        <v>4.1474578954114429</v>
      </c>
      <c r="Q227" s="18">
        <f t="shared" si="350"/>
        <v>4.1290888536133012</v>
      </c>
      <c r="R227" s="18">
        <f t="shared" si="350"/>
        <v>4.109734283773534</v>
      </c>
      <c r="S227" s="18">
        <f t="shared" si="350"/>
        <v>4.0898382636911323</v>
      </c>
      <c r="T227" s="18">
        <f t="shared" si="350"/>
        <v>4.0696509185908702</v>
      </c>
      <c r="U227" s="18">
        <f t="shared" si="350"/>
        <v>4.0495632725142947</v>
      </c>
      <c r="V227" s="18">
        <f t="shared" si="350"/>
        <v>4.0298871002569507</v>
      </c>
      <c r="W227" s="18">
        <f t="shared" si="350"/>
        <v>4.0109109946106605</v>
      </c>
      <c r="X227" s="18">
        <f t="shared" si="350"/>
        <v>3.9929018261011153</v>
      </c>
      <c r="Y227" s="18">
        <f t="shared" si="350"/>
        <v>3.9761063127776772</v>
      </c>
      <c r="Z227" s="18">
        <f t="shared" si="350"/>
        <v>3.9607526611401283</v>
      </c>
      <c r="AA227" s="18">
        <f t="shared" si="350"/>
        <v>3.9470878285688715</v>
      </c>
      <c r="AB227" s="18">
        <f t="shared" si="350"/>
        <v>3.935231488135825</v>
      </c>
      <c r="AC227" s="18">
        <f t="shared" si="350"/>
        <v>3.9254069069550397</v>
      </c>
      <c r="AD227" s="18">
        <f t="shared" si="350"/>
        <v>3.9177850961457783</v>
      </c>
      <c r="AE227" s="18">
        <f t="shared" si="350"/>
        <v>101.72598996943444</v>
      </c>
      <c r="AF227" s="18">
        <f t="shared" si="350"/>
        <v>0</v>
      </c>
      <c r="AG227" s="18">
        <f t="shared" si="350"/>
        <v>0</v>
      </c>
      <c r="AH227" s="18">
        <f t="shared" si="350"/>
        <v>0</v>
      </c>
      <c r="AI227" s="18">
        <f t="shared" si="350"/>
        <v>0</v>
      </c>
      <c r="AJ227" s="18">
        <f t="shared" si="350"/>
        <v>0</v>
      </c>
      <c r="AK227" s="18">
        <f t="shared" si="350"/>
        <v>0</v>
      </c>
      <c r="AL227" s="18">
        <f t="shared" si="350"/>
        <v>0</v>
      </c>
      <c r="AM227" s="18">
        <f t="shared" si="350"/>
        <v>0</v>
      </c>
      <c r="AN227" s="18">
        <f t="shared" si="350"/>
        <v>0</v>
      </c>
      <c r="AO227" s="18">
        <f t="shared" si="350"/>
        <v>0</v>
      </c>
      <c r="AP227" s="18">
        <f t="shared" si="350"/>
        <v>0</v>
      </c>
      <c r="AQ227" s="18">
        <f t="shared" si="350"/>
        <v>0</v>
      </c>
      <c r="AR227" s="18">
        <f t="shared" si="350"/>
        <v>0</v>
      </c>
      <c r="AS227" s="18">
        <f t="shared" si="350"/>
        <v>0</v>
      </c>
      <c r="AT227" s="18">
        <f t="shared" si="350"/>
        <v>0</v>
      </c>
      <c r="AU227" s="18">
        <f t="shared" si="350"/>
        <v>0</v>
      </c>
      <c r="AV227" s="18">
        <f t="shared" si="350"/>
        <v>0</v>
      </c>
      <c r="AW227" s="18">
        <f t="shared" si="350"/>
        <v>0</v>
      </c>
      <c r="AX227" s="18">
        <f t="shared" si="350"/>
        <v>0</v>
      </c>
      <c r="AY227" s="18">
        <f t="shared" si="350"/>
        <v>0</v>
      </c>
      <c r="AZ227" s="18">
        <f t="shared" si="350"/>
        <v>0</v>
      </c>
      <c r="BA227" s="18">
        <f t="shared" si="350"/>
        <v>0</v>
      </c>
      <c r="BB227" s="18">
        <f t="shared" si="350"/>
        <v>0</v>
      </c>
      <c r="BC227" s="18">
        <f t="shared" si="350"/>
        <v>0</v>
      </c>
      <c r="BD227" s="18">
        <f t="shared" si="350"/>
        <v>0</v>
      </c>
      <c r="BE227" s="18">
        <f t="shared" si="350"/>
        <v>0</v>
      </c>
      <c r="BF227" s="18">
        <f t="shared" si="350"/>
        <v>0</v>
      </c>
      <c r="BG227" s="18">
        <f t="shared" si="350"/>
        <v>0</v>
      </c>
      <c r="BH227" s="18">
        <f t="shared" si="350"/>
        <v>0</v>
      </c>
      <c r="BI227" s="18">
        <f t="shared" si="350"/>
        <v>0</v>
      </c>
      <c r="BJ227" s="18">
        <f t="shared" si="350"/>
        <v>0</v>
      </c>
      <c r="BK227" s="18">
        <f t="shared" si="350"/>
        <v>0</v>
      </c>
      <c r="BL227" s="18">
        <f t="shared" si="350"/>
        <v>0</v>
      </c>
      <c r="BM227" s="18">
        <f t="shared" si="350"/>
        <v>0</v>
      </c>
      <c r="BN227" s="18">
        <f t="shared" ref="BN227:CB227" si="351">BN55*BN147</f>
        <v>0</v>
      </c>
      <c r="BO227" s="18">
        <f t="shared" si="351"/>
        <v>0</v>
      </c>
      <c r="BP227" s="18">
        <f t="shared" si="351"/>
        <v>0</v>
      </c>
      <c r="BQ227" s="18">
        <f t="shared" si="351"/>
        <v>0</v>
      </c>
      <c r="BR227" s="18">
        <f t="shared" si="351"/>
        <v>0</v>
      </c>
      <c r="BS227" s="18">
        <f t="shared" si="351"/>
        <v>0</v>
      </c>
      <c r="BT227" s="18">
        <f t="shared" si="351"/>
        <v>0</v>
      </c>
      <c r="BU227" s="18">
        <f t="shared" si="351"/>
        <v>0</v>
      </c>
      <c r="BV227" s="18">
        <f t="shared" si="351"/>
        <v>0</v>
      </c>
      <c r="BW227" s="18">
        <f t="shared" si="351"/>
        <v>0</v>
      </c>
      <c r="BX227" s="18">
        <f t="shared" si="351"/>
        <v>0</v>
      </c>
      <c r="BY227" s="18">
        <f t="shared" si="351"/>
        <v>0</v>
      </c>
      <c r="BZ227" s="18">
        <f t="shared" si="351"/>
        <v>0</v>
      </c>
      <c r="CA227" s="18">
        <f t="shared" si="351"/>
        <v>0</v>
      </c>
      <c r="CB227" s="18">
        <f t="shared" si="351"/>
        <v>0</v>
      </c>
      <c r="CC227" s="17"/>
      <c r="CD227" s="17"/>
      <c r="CE227" s="17"/>
      <c r="CH227" s="5"/>
      <c r="CI227" s="11"/>
      <c r="CJ227" s="11"/>
      <c r="CK227" s="11"/>
      <c r="CL227" s="11"/>
      <c r="CM227" s="11"/>
      <c r="CN227" s="11"/>
      <c r="CO227" s="11"/>
      <c r="CP227" s="11"/>
      <c r="CQ227" s="11"/>
      <c r="CR227" s="11"/>
      <c r="CS227" s="11"/>
      <c r="CT227" s="11"/>
      <c r="CU227" s="11"/>
      <c r="CV227" s="11"/>
      <c r="CW227" s="11"/>
      <c r="CX227" s="11"/>
      <c r="CY227" s="11"/>
      <c r="CZ227" s="11"/>
      <c r="DA227" s="11"/>
      <c r="DB227" s="11"/>
      <c r="DC227" s="11"/>
      <c r="DD227" s="11"/>
      <c r="DE227" s="11"/>
      <c r="DF227" s="11"/>
      <c r="DG227" s="11"/>
      <c r="DH227" s="11"/>
      <c r="DI227" s="11"/>
      <c r="DJ227" s="11"/>
      <c r="DK227" s="11"/>
      <c r="DL227" s="11"/>
      <c r="DM227" s="11"/>
      <c r="DN227" s="11"/>
      <c r="DO227" s="11"/>
      <c r="DP227" s="11"/>
      <c r="DQ227" s="11"/>
      <c r="DR227" s="11"/>
      <c r="DS227" s="11"/>
      <c r="DT227" s="11"/>
      <c r="DU227" s="11"/>
      <c r="DV227" s="11"/>
      <c r="DW227" s="11"/>
      <c r="DX227" s="11"/>
      <c r="DY227" s="11"/>
      <c r="DZ227" s="11"/>
      <c r="EA227" s="11"/>
      <c r="EB227" s="11"/>
      <c r="EC227" s="11"/>
      <c r="ED227" s="11"/>
    </row>
    <row r="228" spans="1:256">
      <c r="A228" s="18" t="str">
        <f>A57</f>
        <v>Bond 14</v>
      </c>
      <c r="B228" s="18">
        <f t="shared" ref="B228:BM228" si="352">B57*B152</f>
        <v>0</v>
      </c>
      <c r="C228" s="18">
        <f t="shared" si="352"/>
        <v>0</v>
      </c>
      <c r="D228" s="18">
        <f t="shared" si="352"/>
        <v>0</v>
      </c>
      <c r="E228" s="18">
        <f t="shared" si="352"/>
        <v>0</v>
      </c>
      <c r="F228" s="18">
        <f t="shared" si="352"/>
        <v>0</v>
      </c>
      <c r="G228" s="18">
        <f t="shared" si="352"/>
        <v>0</v>
      </c>
      <c r="H228" s="18">
        <f t="shared" si="352"/>
        <v>0</v>
      </c>
      <c r="I228" s="18">
        <f t="shared" si="352"/>
        <v>0</v>
      </c>
      <c r="J228" s="18">
        <f t="shared" si="352"/>
        <v>0</v>
      </c>
      <c r="K228" s="18">
        <f t="shared" si="352"/>
        <v>0</v>
      </c>
      <c r="L228" s="18">
        <f t="shared" si="352"/>
        <v>0</v>
      </c>
      <c r="M228" s="18">
        <f t="shared" si="352"/>
        <v>0</v>
      </c>
      <c r="N228" s="18">
        <f t="shared" si="352"/>
        <v>0</v>
      </c>
      <c r="O228" s="18">
        <f t="shared" si="352"/>
        <v>0</v>
      </c>
      <c r="P228" s="18">
        <f t="shared" si="352"/>
        <v>0</v>
      </c>
      <c r="Q228" s="18">
        <f t="shared" si="352"/>
        <v>0</v>
      </c>
      <c r="R228" s="18">
        <f t="shared" si="352"/>
        <v>0</v>
      </c>
      <c r="S228" s="18">
        <f t="shared" si="352"/>
        <v>0</v>
      </c>
      <c r="T228" s="18">
        <f t="shared" si="352"/>
        <v>0</v>
      </c>
      <c r="U228" s="18">
        <f t="shared" si="352"/>
        <v>0</v>
      </c>
      <c r="V228" s="18">
        <f t="shared" si="352"/>
        <v>0</v>
      </c>
      <c r="W228" s="18">
        <f t="shared" si="352"/>
        <v>0</v>
      </c>
      <c r="X228" s="18">
        <f t="shared" si="352"/>
        <v>0</v>
      </c>
      <c r="Y228" s="18">
        <f t="shared" si="352"/>
        <v>0</v>
      </c>
      <c r="Z228" s="18">
        <f t="shared" si="352"/>
        <v>0</v>
      </c>
      <c r="AA228" s="18">
        <f t="shared" si="352"/>
        <v>0</v>
      </c>
      <c r="AB228" s="18">
        <f t="shared" si="352"/>
        <v>0</v>
      </c>
      <c r="AC228" s="18">
        <f t="shared" si="352"/>
        <v>0</v>
      </c>
      <c r="AD228" s="18">
        <f t="shared" si="352"/>
        <v>0</v>
      </c>
      <c r="AE228" s="18">
        <f t="shared" si="352"/>
        <v>0</v>
      </c>
      <c r="AF228" s="18">
        <f t="shared" si="352"/>
        <v>0</v>
      </c>
      <c r="AG228" s="18">
        <f t="shared" si="352"/>
        <v>0</v>
      </c>
      <c r="AH228" s="18">
        <f t="shared" si="352"/>
        <v>0</v>
      </c>
      <c r="AI228" s="18">
        <f t="shared" si="352"/>
        <v>0</v>
      </c>
      <c r="AJ228" s="18">
        <f t="shared" si="352"/>
        <v>0</v>
      </c>
      <c r="AK228" s="18">
        <f t="shared" si="352"/>
        <v>0</v>
      </c>
      <c r="AL228" s="18">
        <f t="shared" si="352"/>
        <v>0</v>
      </c>
      <c r="AM228" s="18">
        <f t="shared" si="352"/>
        <v>0</v>
      </c>
      <c r="AN228" s="18">
        <f t="shared" si="352"/>
        <v>0</v>
      </c>
      <c r="AO228" s="18">
        <f t="shared" si="352"/>
        <v>0</v>
      </c>
      <c r="AP228" s="18">
        <f t="shared" si="352"/>
        <v>0</v>
      </c>
      <c r="AQ228" s="18">
        <f t="shared" si="352"/>
        <v>0</v>
      </c>
      <c r="AR228" s="18">
        <f t="shared" si="352"/>
        <v>0</v>
      </c>
      <c r="AS228" s="18">
        <f t="shared" si="352"/>
        <v>0</v>
      </c>
      <c r="AT228" s="18">
        <f t="shared" si="352"/>
        <v>0</v>
      </c>
      <c r="AU228" s="18">
        <f t="shared" si="352"/>
        <v>0</v>
      </c>
      <c r="AV228" s="18">
        <f t="shared" si="352"/>
        <v>0</v>
      </c>
      <c r="AW228" s="18">
        <f t="shared" si="352"/>
        <v>0</v>
      </c>
      <c r="AX228" s="18">
        <f t="shared" si="352"/>
        <v>0</v>
      </c>
      <c r="AY228" s="18">
        <f t="shared" si="352"/>
        <v>0</v>
      </c>
      <c r="AZ228" s="18">
        <f t="shared" si="352"/>
        <v>0</v>
      </c>
      <c r="BA228" s="18">
        <f t="shared" si="352"/>
        <v>0</v>
      </c>
      <c r="BB228" s="18">
        <f t="shared" si="352"/>
        <v>0</v>
      </c>
      <c r="BC228" s="18">
        <f t="shared" si="352"/>
        <v>0</v>
      </c>
      <c r="BD228" s="18">
        <f t="shared" si="352"/>
        <v>0</v>
      </c>
      <c r="BE228" s="18">
        <f t="shared" si="352"/>
        <v>0</v>
      </c>
      <c r="BF228" s="18">
        <f t="shared" si="352"/>
        <v>0</v>
      </c>
      <c r="BG228" s="18">
        <f t="shared" si="352"/>
        <v>0</v>
      </c>
      <c r="BH228" s="18">
        <f t="shared" si="352"/>
        <v>0</v>
      </c>
      <c r="BI228" s="18">
        <f t="shared" si="352"/>
        <v>0</v>
      </c>
      <c r="BJ228" s="18">
        <f t="shared" si="352"/>
        <v>0</v>
      </c>
      <c r="BK228" s="18">
        <f t="shared" si="352"/>
        <v>0</v>
      </c>
      <c r="BL228" s="18">
        <f t="shared" si="352"/>
        <v>0</v>
      </c>
      <c r="BM228" s="18">
        <f t="shared" si="352"/>
        <v>0</v>
      </c>
      <c r="BN228" s="18">
        <f t="shared" ref="BN228:CB228" si="353">BN57*BN152</f>
        <v>0</v>
      </c>
      <c r="BO228" s="18">
        <f t="shared" si="353"/>
        <v>0</v>
      </c>
      <c r="BP228" s="18">
        <f t="shared" si="353"/>
        <v>0</v>
      </c>
      <c r="BQ228" s="18">
        <f t="shared" si="353"/>
        <v>0</v>
      </c>
      <c r="BR228" s="18">
        <f t="shared" si="353"/>
        <v>0</v>
      </c>
      <c r="BS228" s="18">
        <f t="shared" si="353"/>
        <v>0</v>
      </c>
      <c r="BT228" s="18">
        <f t="shared" si="353"/>
        <v>0</v>
      </c>
      <c r="BU228" s="18">
        <f t="shared" si="353"/>
        <v>0</v>
      </c>
      <c r="BV228" s="18">
        <f t="shared" si="353"/>
        <v>0</v>
      </c>
      <c r="BW228" s="18">
        <f t="shared" si="353"/>
        <v>0</v>
      </c>
      <c r="BX228" s="18">
        <f t="shared" si="353"/>
        <v>0</v>
      </c>
      <c r="BY228" s="18">
        <f t="shared" si="353"/>
        <v>0</v>
      </c>
      <c r="BZ228" s="18">
        <f t="shared" si="353"/>
        <v>0</v>
      </c>
      <c r="CA228" s="18">
        <f t="shared" si="353"/>
        <v>0</v>
      </c>
      <c r="CB228" s="18">
        <f t="shared" si="353"/>
        <v>0</v>
      </c>
      <c r="CC228" s="17"/>
      <c r="CD228" s="17"/>
      <c r="CE228" s="17"/>
      <c r="CH228" s="5"/>
      <c r="CI228" s="11"/>
      <c r="CJ228" s="11"/>
      <c r="CK228" s="11"/>
      <c r="CL228" s="11"/>
      <c r="CM228" s="11"/>
      <c r="CN228" s="11"/>
      <c r="CO228" s="11"/>
      <c r="CP228" s="11"/>
      <c r="CQ228" s="11"/>
      <c r="CR228" s="11"/>
      <c r="CS228" s="11"/>
      <c r="CT228" s="11"/>
      <c r="CU228" s="11"/>
      <c r="CV228" s="11"/>
      <c r="CW228" s="11"/>
      <c r="CX228" s="11"/>
      <c r="CY228" s="11"/>
      <c r="CZ228" s="11"/>
      <c r="DA228" s="11"/>
      <c r="DB228" s="11"/>
      <c r="DC228" s="11"/>
      <c r="DD228" s="11"/>
      <c r="DE228" s="11"/>
      <c r="DF228" s="11"/>
      <c r="DG228" s="11"/>
      <c r="DH228" s="11"/>
      <c r="DI228" s="11"/>
      <c r="DJ228" s="11"/>
      <c r="DK228" s="11"/>
      <c r="DL228" s="11"/>
      <c r="DM228" s="11"/>
      <c r="DN228" s="11"/>
      <c r="DO228" s="11"/>
      <c r="DP228" s="11"/>
      <c r="DQ228" s="11"/>
      <c r="DR228" s="11"/>
      <c r="DS228" s="11"/>
      <c r="DT228" s="11"/>
      <c r="DU228" s="11"/>
      <c r="DV228" s="11"/>
      <c r="DW228" s="11"/>
      <c r="DX228" s="11"/>
      <c r="DY228" s="11"/>
      <c r="DZ228" s="11"/>
      <c r="EA228" s="11"/>
      <c r="EB228" s="11"/>
      <c r="EC228" s="11"/>
      <c r="ED228" s="11"/>
    </row>
    <row r="229" spans="1:256">
      <c r="A229" s="18" t="str">
        <f>A59</f>
        <v>Bond 15</v>
      </c>
      <c r="B229" s="18">
        <f t="shared" ref="B229:BM229" si="354">B59*B157</f>
        <v>0</v>
      </c>
      <c r="C229" s="18">
        <f t="shared" si="354"/>
        <v>0</v>
      </c>
      <c r="D229" s="18">
        <f t="shared" si="354"/>
        <v>0</v>
      </c>
      <c r="E229" s="18">
        <f t="shared" si="354"/>
        <v>0</v>
      </c>
      <c r="F229" s="18">
        <f t="shared" si="354"/>
        <v>0</v>
      </c>
      <c r="G229" s="18">
        <f t="shared" si="354"/>
        <v>0</v>
      </c>
      <c r="H229" s="18">
        <f t="shared" si="354"/>
        <v>0</v>
      </c>
      <c r="I229" s="18">
        <f t="shared" si="354"/>
        <v>0</v>
      </c>
      <c r="J229" s="18">
        <f t="shared" si="354"/>
        <v>0</v>
      </c>
      <c r="K229" s="18">
        <f t="shared" si="354"/>
        <v>0</v>
      </c>
      <c r="L229" s="18">
        <f t="shared" si="354"/>
        <v>0</v>
      </c>
      <c r="M229" s="18">
        <f t="shared" si="354"/>
        <v>0</v>
      </c>
      <c r="N229" s="18">
        <f t="shared" si="354"/>
        <v>0</v>
      </c>
      <c r="O229" s="18">
        <f t="shared" si="354"/>
        <v>0</v>
      </c>
      <c r="P229" s="18">
        <f t="shared" si="354"/>
        <v>0</v>
      </c>
      <c r="Q229" s="18">
        <f t="shared" si="354"/>
        <v>0</v>
      </c>
      <c r="R229" s="18">
        <f t="shared" si="354"/>
        <v>0</v>
      </c>
      <c r="S229" s="18">
        <f t="shared" si="354"/>
        <v>0</v>
      </c>
      <c r="T229" s="18">
        <f t="shared" si="354"/>
        <v>0</v>
      </c>
      <c r="U229" s="18">
        <f t="shared" si="354"/>
        <v>0</v>
      </c>
      <c r="V229" s="18">
        <f t="shared" si="354"/>
        <v>0</v>
      </c>
      <c r="W229" s="18">
        <f t="shared" si="354"/>
        <v>0</v>
      </c>
      <c r="X229" s="18">
        <f t="shared" si="354"/>
        <v>0</v>
      </c>
      <c r="Y229" s="18">
        <f t="shared" si="354"/>
        <v>0</v>
      </c>
      <c r="Z229" s="18">
        <f t="shared" si="354"/>
        <v>0</v>
      </c>
      <c r="AA229" s="18">
        <f t="shared" si="354"/>
        <v>0</v>
      </c>
      <c r="AB229" s="18">
        <f t="shared" si="354"/>
        <v>0</v>
      </c>
      <c r="AC229" s="18">
        <f t="shared" si="354"/>
        <v>0</v>
      </c>
      <c r="AD229" s="18">
        <f t="shared" si="354"/>
        <v>0</v>
      </c>
      <c r="AE229" s="18">
        <f t="shared" si="354"/>
        <v>0</v>
      </c>
      <c r="AF229" s="18">
        <f t="shared" si="354"/>
        <v>0</v>
      </c>
      <c r="AG229" s="18">
        <f t="shared" si="354"/>
        <v>0</v>
      </c>
      <c r="AH229" s="18">
        <f t="shared" si="354"/>
        <v>0</v>
      </c>
      <c r="AI229" s="18">
        <f t="shared" si="354"/>
        <v>0</v>
      </c>
      <c r="AJ229" s="18">
        <f t="shared" si="354"/>
        <v>0</v>
      </c>
      <c r="AK229" s="18">
        <f t="shared" si="354"/>
        <v>0</v>
      </c>
      <c r="AL229" s="18">
        <f t="shared" si="354"/>
        <v>0</v>
      </c>
      <c r="AM229" s="18">
        <f t="shared" si="354"/>
        <v>0</v>
      </c>
      <c r="AN229" s="18">
        <f t="shared" si="354"/>
        <v>0</v>
      </c>
      <c r="AO229" s="18">
        <f t="shared" si="354"/>
        <v>0</v>
      </c>
      <c r="AP229" s="18">
        <f t="shared" si="354"/>
        <v>0</v>
      </c>
      <c r="AQ229" s="18">
        <f t="shared" si="354"/>
        <v>0</v>
      </c>
      <c r="AR229" s="18">
        <f t="shared" si="354"/>
        <v>0</v>
      </c>
      <c r="AS229" s="18">
        <f t="shared" si="354"/>
        <v>0</v>
      </c>
      <c r="AT229" s="18">
        <f t="shared" si="354"/>
        <v>0</v>
      </c>
      <c r="AU229" s="18">
        <f t="shared" si="354"/>
        <v>0</v>
      </c>
      <c r="AV229" s="18">
        <f t="shared" si="354"/>
        <v>0</v>
      </c>
      <c r="AW229" s="18">
        <f t="shared" si="354"/>
        <v>0</v>
      </c>
      <c r="AX229" s="18">
        <f t="shared" si="354"/>
        <v>0</v>
      </c>
      <c r="AY229" s="18">
        <f t="shared" si="354"/>
        <v>0</v>
      </c>
      <c r="AZ229" s="18">
        <f t="shared" si="354"/>
        <v>0</v>
      </c>
      <c r="BA229" s="18">
        <f t="shared" si="354"/>
        <v>0</v>
      </c>
      <c r="BB229" s="18">
        <f t="shared" si="354"/>
        <v>0</v>
      </c>
      <c r="BC229" s="18">
        <f t="shared" si="354"/>
        <v>0</v>
      </c>
      <c r="BD229" s="18">
        <f t="shared" si="354"/>
        <v>0</v>
      </c>
      <c r="BE229" s="18">
        <f t="shared" si="354"/>
        <v>0</v>
      </c>
      <c r="BF229" s="18">
        <f t="shared" si="354"/>
        <v>0</v>
      </c>
      <c r="BG229" s="18">
        <f t="shared" si="354"/>
        <v>0</v>
      </c>
      <c r="BH229" s="18">
        <f t="shared" si="354"/>
        <v>0</v>
      </c>
      <c r="BI229" s="18">
        <f t="shared" si="354"/>
        <v>0</v>
      </c>
      <c r="BJ229" s="18">
        <f t="shared" si="354"/>
        <v>0</v>
      </c>
      <c r="BK229" s="18">
        <f t="shared" si="354"/>
        <v>0</v>
      </c>
      <c r="BL229" s="18">
        <f t="shared" si="354"/>
        <v>0</v>
      </c>
      <c r="BM229" s="18">
        <f t="shared" si="354"/>
        <v>0</v>
      </c>
      <c r="BN229" s="18">
        <f t="shared" ref="BN229:CB229" si="355">BN59*BN157</f>
        <v>0</v>
      </c>
      <c r="BO229" s="18">
        <f t="shared" si="355"/>
        <v>0</v>
      </c>
      <c r="BP229" s="18">
        <f t="shared" si="355"/>
        <v>0</v>
      </c>
      <c r="BQ229" s="18">
        <f t="shared" si="355"/>
        <v>0</v>
      </c>
      <c r="BR229" s="18">
        <f t="shared" si="355"/>
        <v>0</v>
      </c>
      <c r="BS229" s="18">
        <f t="shared" si="355"/>
        <v>0</v>
      </c>
      <c r="BT229" s="18">
        <f t="shared" si="355"/>
        <v>0</v>
      </c>
      <c r="BU229" s="18">
        <f t="shared" si="355"/>
        <v>0</v>
      </c>
      <c r="BV229" s="18">
        <f t="shared" si="355"/>
        <v>0</v>
      </c>
      <c r="BW229" s="18">
        <f t="shared" si="355"/>
        <v>0</v>
      </c>
      <c r="BX229" s="18">
        <f t="shared" si="355"/>
        <v>0</v>
      </c>
      <c r="BY229" s="18">
        <f t="shared" si="355"/>
        <v>0</v>
      </c>
      <c r="BZ229" s="18">
        <f t="shared" si="355"/>
        <v>0</v>
      </c>
      <c r="CA229" s="18">
        <f t="shared" si="355"/>
        <v>0</v>
      </c>
      <c r="CB229" s="18">
        <f t="shared" si="355"/>
        <v>0</v>
      </c>
      <c r="CC229" s="17"/>
      <c r="CD229" s="17"/>
      <c r="CE229" s="17"/>
      <c r="CH229" s="5"/>
      <c r="CI229" s="11"/>
      <c r="CJ229" s="11"/>
      <c r="CK229" s="11"/>
      <c r="CL229" s="11"/>
      <c r="CM229" s="11"/>
      <c r="CN229" s="11"/>
      <c r="CO229" s="11"/>
      <c r="CP229" s="11"/>
      <c r="CQ229" s="11"/>
      <c r="CR229" s="11"/>
      <c r="CS229" s="11"/>
      <c r="CT229" s="11"/>
      <c r="CU229" s="11"/>
      <c r="CV229" s="11"/>
      <c r="CW229" s="11"/>
      <c r="CX229" s="11"/>
      <c r="CY229" s="11"/>
      <c r="CZ229" s="11"/>
      <c r="DA229" s="11"/>
      <c r="DB229" s="11"/>
      <c r="DC229" s="11"/>
      <c r="DD229" s="11"/>
      <c r="DE229" s="11"/>
      <c r="DF229" s="11"/>
      <c r="DG229" s="11"/>
      <c r="DH229" s="11"/>
      <c r="DI229" s="11"/>
      <c r="DJ229" s="11"/>
      <c r="DK229" s="11"/>
      <c r="DL229" s="11"/>
      <c r="DM229" s="11"/>
      <c r="DN229" s="11"/>
      <c r="DO229" s="11"/>
      <c r="DP229" s="11"/>
      <c r="DQ229" s="11"/>
      <c r="DR229" s="11"/>
      <c r="DS229" s="11"/>
      <c r="DT229" s="11"/>
      <c r="DU229" s="11"/>
      <c r="DV229" s="11"/>
      <c r="DW229" s="11"/>
      <c r="DX229" s="11"/>
      <c r="DY229" s="11"/>
      <c r="DZ229" s="11"/>
      <c r="EA229" s="11"/>
      <c r="EB229" s="11"/>
      <c r="EC229" s="11"/>
      <c r="ED229" s="11"/>
    </row>
    <row r="230" spans="1:256">
      <c r="A230" s="18" t="str">
        <f>A61</f>
        <v>Bond 16</v>
      </c>
      <c r="B230" s="18">
        <f t="shared" ref="B230:BM230" si="356">B61*B162</f>
        <v>0</v>
      </c>
      <c r="C230" s="18">
        <f t="shared" si="356"/>
        <v>0</v>
      </c>
      <c r="D230" s="18">
        <f t="shared" si="356"/>
        <v>0</v>
      </c>
      <c r="E230" s="18">
        <f t="shared" si="356"/>
        <v>0</v>
      </c>
      <c r="F230" s="18">
        <f t="shared" si="356"/>
        <v>0</v>
      </c>
      <c r="G230" s="18">
        <f t="shared" si="356"/>
        <v>0</v>
      </c>
      <c r="H230" s="18">
        <f t="shared" si="356"/>
        <v>0</v>
      </c>
      <c r="I230" s="18">
        <f t="shared" si="356"/>
        <v>0</v>
      </c>
      <c r="J230" s="18">
        <f t="shared" si="356"/>
        <v>0</v>
      </c>
      <c r="K230" s="18">
        <f t="shared" si="356"/>
        <v>0</v>
      </c>
      <c r="L230" s="18">
        <f t="shared" si="356"/>
        <v>0</v>
      </c>
      <c r="M230" s="18">
        <f t="shared" si="356"/>
        <v>0</v>
      </c>
      <c r="N230" s="18">
        <f t="shared" si="356"/>
        <v>0</v>
      </c>
      <c r="O230" s="18">
        <f t="shared" si="356"/>
        <v>0</v>
      </c>
      <c r="P230" s="18">
        <f t="shared" si="356"/>
        <v>0</v>
      </c>
      <c r="Q230" s="18">
        <f t="shared" si="356"/>
        <v>0</v>
      </c>
      <c r="R230" s="18">
        <f t="shared" si="356"/>
        <v>0</v>
      </c>
      <c r="S230" s="18">
        <f t="shared" si="356"/>
        <v>0</v>
      </c>
      <c r="T230" s="18">
        <f t="shared" si="356"/>
        <v>0</v>
      </c>
      <c r="U230" s="18">
        <f t="shared" si="356"/>
        <v>0</v>
      </c>
      <c r="V230" s="18">
        <f t="shared" si="356"/>
        <v>0</v>
      </c>
      <c r="W230" s="18">
        <f t="shared" si="356"/>
        <v>0</v>
      </c>
      <c r="X230" s="18">
        <f t="shared" si="356"/>
        <v>0</v>
      </c>
      <c r="Y230" s="18">
        <f t="shared" si="356"/>
        <v>0</v>
      </c>
      <c r="Z230" s="18">
        <f t="shared" si="356"/>
        <v>0</v>
      </c>
      <c r="AA230" s="18">
        <f t="shared" si="356"/>
        <v>0</v>
      </c>
      <c r="AB230" s="18">
        <f t="shared" si="356"/>
        <v>0</v>
      </c>
      <c r="AC230" s="18">
        <f t="shared" si="356"/>
        <v>0</v>
      </c>
      <c r="AD230" s="18">
        <f t="shared" si="356"/>
        <v>0</v>
      </c>
      <c r="AE230" s="18">
        <f t="shared" si="356"/>
        <v>0</v>
      </c>
      <c r="AF230" s="18">
        <f t="shared" si="356"/>
        <v>0</v>
      </c>
      <c r="AG230" s="18">
        <f t="shared" si="356"/>
        <v>0</v>
      </c>
      <c r="AH230" s="18">
        <f t="shared" si="356"/>
        <v>0</v>
      </c>
      <c r="AI230" s="18">
        <f t="shared" si="356"/>
        <v>0</v>
      </c>
      <c r="AJ230" s="18">
        <f t="shared" si="356"/>
        <v>0</v>
      </c>
      <c r="AK230" s="18">
        <f t="shared" si="356"/>
        <v>0</v>
      </c>
      <c r="AL230" s="18">
        <f t="shared" si="356"/>
        <v>0</v>
      </c>
      <c r="AM230" s="18">
        <f t="shared" si="356"/>
        <v>0</v>
      </c>
      <c r="AN230" s="18">
        <f t="shared" si="356"/>
        <v>0</v>
      </c>
      <c r="AO230" s="18">
        <f t="shared" si="356"/>
        <v>0</v>
      </c>
      <c r="AP230" s="18">
        <f t="shared" si="356"/>
        <v>0</v>
      </c>
      <c r="AQ230" s="18">
        <f t="shared" si="356"/>
        <v>0</v>
      </c>
      <c r="AR230" s="18">
        <f t="shared" si="356"/>
        <v>0</v>
      </c>
      <c r="AS230" s="18">
        <f t="shared" si="356"/>
        <v>0</v>
      </c>
      <c r="AT230" s="18">
        <f t="shared" si="356"/>
        <v>0</v>
      </c>
      <c r="AU230" s="18">
        <f t="shared" si="356"/>
        <v>0</v>
      </c>
      <c r="AV230" s="18">
        <f t="shared" si="356"/>
        <v>0</v>
      </c>
      <c r="AW230" s="18">
        <f t="shared" si="356"/>
        <v>0</v>
      </c>
      <c r="AX230" s="18">
        <f t="shared" si="356"/>
        <v>0</v>
      </c>
      <c r="AY230" s="18">
        <f t="shared" si="356"/>
        <v>0</v>
      </c>
      <c r="AZ230" s="18">
        <f t="shared" si="356"/>
        <v>0</v>
      </c>
      <c r="BA230" s="18">
        <f t="shared" si="356"/>
        <v>0</v>
      </c>
      <c r="BB230" s="18">
        <f t="shared" si="356"/>
        <v>0</v>
      </c>
      <c r="BC230" s="18">
        <f t="shared" si="356"/>
        <v>0</v>
      </c>
      <c r="BD230" s="18">
        <f t="shared" si="356"/>
        <v>0</v>
      </c>
      <c r="BE230" s="18">
        <f t="shared" si="356"/>
        <v>0</v>
      </c>
      <c r="BF230" s="18">
        <f t="shared" si="356"/>
        <v>0</v>
      </c>
      <c r="BG230" s="18">
        <f t="shared" si="356"/>
        <v>0</v>
      </c>
      <c r="BH230" s="18">
        <f t="shared" si="356"/>
        <v>0</v>
      </c>
      <c r="BI230" s="18">
        <f t="shared" si="356"/>
        <v>0</v>
      </c>
      <c r="BJ230" s="18">
        <f t="shared" si="356"/>
        <v>0</v>
      </c>
      <c r="BK230" s="18">
        <f t="shared" si="356"/>
        <v>0</v>
      </c>
      <c r="BL230" s="18">
        <f t="shared" si="356"/>
        <v>0</v>
      </c>
      <c r="BM230" s="18">
        <f t="shared" si="356"/>
        <v>0</v>
      </c>
      <c r="BN230" s="18">
        <f t="shared" ref="BN230:CB230" si="357">BN61*BN162</f>
        <v>0</v>
      </c>
      <c r="BO230" s="18">
        <f t="shared" si="357"/>
        <v>0</v>
      </c>
      <c r="BP230" s="18">
        <f t="shared" si="357"/>
        <v>0</v>
      </c>
      <c r="BQ230" s="18">
        <f t="shared" si="357"/>
        <v>0</v>
      </c>
      <c r="BR230" s="18">
        <f t="shared" si="357"/>
        <v>0</v>
      </c>
      <c r="BS230" s="18">
        <f t="shared" si="357"/>
        <v>0</v>
      </c>
      <c r="BT230" s="18">
        <f t="shared" si="357"/>
        <v>0</v>
      </c>
      <c r="BU230" s="18">
        <f t="shared" si="357"/>
        <v>0</v>
      </c>
      <c r="BV230" s="18">
        <f t="shared" si="357"/>
        <v>0</v>
      </c>
      <c r="BW230" s="18">
        <f t="shared" si="357"/>
        <v>0</v>
      </c>
      <c r="BX230" s="18">
        <f t="shared" si="357"/>
        <v>0</v>
      </c>
      <c r="BY230" s="18">
        <f t="shared" si="357"/>
        <v>0</v>
      </c>
      <c r="BZ230" s="18">
        <f t="shared" si="357"/>
        <v>0</v>
      </c>
      <c r="CA230" s="18">
        <f t="shared" si="357"/>
        <v>0</v>
      </c>
      <c r="CB230" s="18">
        <f t="shared" si="357"/>
        <v>0</v>
      </c>
      <c r="CC230" s="17"/>
      <c r="CD230" s="17"/>
      <c r="CE230" s="17"/>
      <c r="CH230" s="5"/>
      <c r="CI230" s="11"/>
      <c r="CJ230" s="11"/>
      <c r="CK230" s="11"/>
      <c r="CL230" s="11"/>
      <c r="CM230" s="11"/>
      <c r="CN230" s="11"/>
      <c r="CO230" s="11"/>
      <c r="CP230" s="11"/>
      <c r="CQ230" s="11"/>
      <c r="CR230" s="11"/>
      <c r="CS230" s="11"/>
      <c r="CT230" s="11"/>
      <c r="CU230" s="11"/>
      <c r="CV230" s="11"/>
      <c r="CW230" s="11"/>
      <c r="CX230" s="11"/>
      <c r="CY230" s="11"/>
      <c r="CZ230" s="11"/>
      <c r="DA230" s="11"/>
      <c r="DB230" s="11"/>
      <c r="DC230" s="11"/>
      <c r="DD230" s="11"/>
      <c r="DE230" s="11"/>
      <c r="DF230" s="11"/>
      <c r="DG230" s="11"/>
      <c r="DH230" s="11"/>
      <c r="DI230" s="11"/>
      <c r="DJ230" s="11"/>
      <c r="DK230" s="11"/>
      <c r="DL230" s="11"/>
      <c r="DM230" s="11"/>
      <c r="DN230" s="11"/>
      <c r="DO230" s="11"/>
      <c r="DP230" s="11"/>
      <c r="DQ230" s="11"/>
      <c r="DR230" s="11"/>
      <c r="DS230" s="11"/>
      <c r="DT230" s="11"/>
      <c r="DU230" s="11"/>
      <c r="DV230" s="11"/>
      <c r="DW230" s="11"/>
      <c r="DX230" s="11"/>
      <c r="DY230" s="11"/>
      <c r="DZ230" s="11"/>
      <c r="EA230" s="11"/>
      <c r="EB230" s="11"/>
      <c r="EC230" s="11"/>
      <c r="ED230" s="11"/>
      <c r="EE230" s="11"/>
      <c r="EF230" s="11"/>
      <c r="EG230" s="11"/>
      <c r="EH230" s="11"/>
      <c r="EI230" s="11"/>
      <c r="EJ230" s="11"/>
      <c r="EK230" s="11"/>
      <c r="EL230" s="11"/>
      <c r="EM230" s="11"/>
      <c r="EN230" s="11"/>
      <c r="EO230" s="11"/>
      <c r="EP230" s="11"/>
      <c r="EQ230" s="11"/>
      <c r="ER230" s="11"/>
      <c r="ES230" s="11"/>
      <c r="ET230" s="11"/>
      <c r="EU230" s="11"/>
      <c r="EV230" s="11"/>
      <c r="EW230" s="11"/>
      <c r="EX230" s="11"/>
      <c r="EY230" s="11"/>
      <c r="EZ230" s="11"/>
      <c r="FA230" s="11"/>
      <c r="FB230" s="11"/>
      <c r="FC230" s="11"/>
      <c r="FD230" s="11"/>
      <c r="FE230" s="11"/>
      <c r="FF230" s="11"/>
      <c r="FG230" s="11"/>
      <c r="FH230" s="11"/>
      <c r="FI230" s="11"/>
      <c r="FJ230" s="11"/>
      <c r="FK230" s="11"/>
      <c r="FL230" s="11"/>
    </row>
    <row r="231" spans="1:256">
      <c r="A231" s="18" t="str">
        <f>A63</f>
        <v>Bond 17</v>
      </c>
      <c r="B231" s="18">
        <f t="shared" ref="B231:BM231" si="358">B63*B167</f>
        <v>0</v>
      </c>
      <c r="C231" s="18">
        <f t="shared" si="358"/>
        <v>0</v>
      </c>
      <c r="D231" s="18">
        <f t="shared" si="358"/>
        <v>0</v>
      </c>
      <c r="E231" s="18">
        <f t="shared" si="358"/>
        <v>0</v>
      </c>
      <c r="F231" s="18">
        <f t="shared" si="358"/>
        <v>0</v>
      </c>
      <c r="G231" s="18">
        <f t="shared" si="358"/>
        <v>0</v>
      </c>
      <c r="H231" s="18">
        <f t="shared" si="358"/>
        <v>0</v>
      </c>
      <c r="I231" s="18">
        <f t="shared" si="358"/>
        <v>0</v>
      </c>
      <c r="J231" s="18">
        <f t="shared" si="358"/>
        <v>0</v>
      </c>
      <c r="K231" s="18">
        <f t="shared" si="358"/>
        <v>0</v>
      </c>
      <c r="L231" s="18">
        <f t="shared" si="358"/>
        <v>0</v>
      </c>
      <c r="M231" s="18">
        <f t="shared" si="358"/>
        <v>0</v>
      </c>
      <c r="N231" s="18">
        <f t="shared" si="358"/>
        <v>0</v>
      </c>
      <c r="O231" s="18">
        <f t="shared" si="358"/>
        <v>0</v>
      </c>
      <c r="P231" s="18">
        <f t="shared" si="358"/>
        <v>0</v>
      </c>
      <c r="Q231" s="18">
        <f t="shared" si="358"/>
        <v>0</v>
      </c>
      <c r="R231" s="18">
        <f t="shared" si="358"/>
        <v>0</v>
      </c>
      <c r="S231" s="18">
        <f t="shared" si="358"/>
        <v>0</v>
      </c>
      <c r="T231" s="18">
        <f t="shared" si="358"/>
        <v>0</v>
      </c>
      <c r="U231" s="18">
        <f t="shared" si="358"/>
        <v>0</v>
      </c>
      <c r="V231" s="18">
        <f t="shared" si="358"/>
        <v>0</v>
      </c>
      <c r="W231" s="18">
        <f t="shared" si="358"/>
        <v>0</v>
      </c>
      <c r="X231" s="18">
        <f t="shared" si="358"/>
        <v>0</v>
      </c>
      <c r="Y231" s="18">
        <f t="shared" si="358"/>
        <v>0</v>
      </c>
      <c r="Z231" s="18">
        <f t="shared" si="358"/>
        <v>0</v>
      </c>
      <c r="AA231" s="18">
        <f t="shared" si="358"/>
        <v>0</v>
      </c>
      <c r="AB231" s="18">
        <f t="shared" si="358"/>
        <v>0</v>
      </c>
      <c r="AC231" s="18">
        <f t="shared" si="358"/>
        <v>0</v>
      </c>
      <c r="AD231" s="18">
        <f t="shared" si="358"/>
        <v>0</v>
      </c>
      <c r="AE231" s="18">
        <f t="shared" si="358"/>
        <v>0</v>
      </c>
      <c r="AF231" s="18">
        <f t="shared" si="358"/>
        <v>0</v>
      </c>
      <c r="AG231" s="18">
        <f t="shared" si="358"/>
        <v>0</v>
      </c>
      <c r="AH231" s="18">
        <f t="shared" si="358"/>
        <v>0</v>
      </c>
      <c r="AI231" s="18">
        <f t="shared" si="358"/>
        <v>0</v>
      </c>
      <c r="AJ231" s="18">
        <f t="shared" si="358"/>
        <v>0</v>
      </c>
      <c r="AK231" s="18">
        <f t="shared" si="358"/>
        <v>0</v>
      </c>
      <c r="AL231" s="18">
        <f t="shared" si="358"/>
        <v>0</v>
      </c>
      <c r="AM231" s="18">
        <f t="shared" si="358"/>
        <v>0</v>
      </c>
      <c r="AN231" s="18">
        <f t="shared" si="358"/>
        <v>0</v>
      </c>
      <c r="AO231" s="18">
        <f t="shared" si="358"/>
        <v>0</v>
      </c>
      <c r="AP231" s="18">
        <f t="shared" si="358"/>
        <v>0</v>
      </c>
      <c r="AQ231" s="18">
        <f t="shared" si="358"/>
        <v>0</v>
      </c>
      <c r="AR231" s="18">
        <f t="shared" si="358"/>
        <v>0</v>
      </c>
      <c r="AS231" s="18">
        <f t="shared" si="358"/>
        <v>0</v>
      </c>
      <c r="AT231" s="18">
        <f t="shared" si="358"/>
        <v>0</v>
      </c>
      <c r="AU231" s="18">
        <f t="shared" si="358"/>
        <v>0</v>
      </c>
      <c r="AV231" s="18">
        <f t="shared" si="358"/>
        <v>0</v>
      </c>
      <c r="AW231" s="18">
        <f t="shared" si="358"/>
        <v>0</v>
      </c>
      <c r="AX231" s="18">
        <f t="shared" si="358"/>
        <v>0</v>
      </c>
      <c r="AY231" s="18">
        <f t="shared" si="358"/>
        <v>0</v>
      </c>
      <c r="AZ231" s="18">
        <f t="shared" si="358"/>
        <v>0</v>
      </c>
      <c r="BA231" s="18">
        <f t="shared" si="358"/>
        <v>0</v>
      </c>
      <c r="BB231" s="18">
        <f t="shared" si="358"/>
        <v>0</v>
      </c>
      <c r="BC231" s="18">
        <f t="shared" si="358"/>
        <v>0</v>
      </c>
      <c r="BD231" s="18">
        <f t="shared" si="358"/>
        <v>0</v>
      </c>
      <c r="BE231" s="18">
        <f t="shared" si="358"/>
        <v>0</v>
      </c>
      <c r="BF231" s="18">
        <f t="shared" si="358"/>
        <v>0</v>
      </c>
      <c r="BG231" s="18">
        <f t="shared" si="358"/>
        <v>0</v>
      </c>
      <c r="BH231" s="18">
        <f t="shared" si="358"/>
        <v>0</v>
      </c>
      <c r="BI231" s="18">
        <f t="shared" si="358"/>
        <v>0</v>
      </c>
      <c r="BJ231" s="18">
        <f t="shared" si="358"/>
        <v>0</v>
      </c>
      <c r="BK231" s="18">
        <f t="shared" si="358"/>
        <v>0</v>
      </c>
      <c r="BL231" s="18">
        <f t="shared" si="358"/>
        <v>0</v>
      </c>
      <c r="BM231" s="18">
        <f t="shared" si="358"/>
        <v>0</v>
      </c>
      <c r="BN231" s="18">
        <f t="shared" ref="BN231:CB231" si="359">BN63*BN167</f>
        <v>0</v>
      </c>
      <c r="BO231" s="18">
        <f t="shared" si="359"/>
        <v>0</v>
      </c>
      <c r="BP231" s="18">
        <f t="shared" si="359"/>
        <v>0</v>
      </c>
      <c r="BQ231" s="18">
        <f t="shared" si="359"/>
        <v>0</v>
      </c>
      <c r="BR231" s="18">
        <f t="shared" si="359"/>
        <v>0</v>
      </c>
      <c r="BS231" s="18">
        <f t="shared" si="359"/>
        <v>0</v>
      </c>
      <c r="BT231" s="18">
        <f t="shared" si="359"/>
        <v>0</v>
      </c>
      <c r="BU231" s="18">
        <f t="shared" si="359"/>
        <v>0</v>
      </c>
      <c r="BV231" s="18">
        <f t="shared" si="359"/>
        <v>0</v>
      </c>
      <c r="BW231" s="18">
        <f t="shared" si="359"/>
        <v>0</v>
      </c>
      <c r="BX231" s="18">
        <f t="shared" si="359"/>
        <v>0</v>
      </c>
      <c r="BY231" s="18">
        <f t="shared" si="359"/>
        <v>0</v>
      </c>
      <c r="BZ231" s="18">
        <f t="shared" si="359"/>
        <v>0</v>
      </c>
      <c r="CA231" s="18">
        <f t="shared" si="359"/>
        <v>0</v>
      </c>
      <c r="CB231" s="18">
        <f t="shared" si="359"/>
        <v>0</v>
      </c>
      <c r="CC231" s="17"/>
      <c r="CD231" s="17"/>
      <c r="CE231" s="17"/>
      <c r="CH231" s="5"/>
      <c r="CI231" s="11"/>
      <c r="CJ231" s="11"/>
      <c r="CK231" s="11"/>
      <c r="CL231" s="11"/>
      <c r="CM231" s="11"/>
      <c r="CN231" s="11"/>
      <c r="CO231" s="11"/>
      <c r="CP231" s="11"/>
      <c r="CQ231" s="11"/>
      <c r="CR231" s="11"/>
      <c r="CS231" s="11"/>
      <c r="CT231" s="11"/>
      <c r="CU231" s="11"/>
      <c r="CV231" s="11"/>
      <c r="CW231" s="11"/>
      <c r="CX231" s="11"/>
      <c r="CY231" s="11"/>
      <c r="CZ231" s="11"/>
      <c r="DA231" s="11"/>
      <c r="DB231" s="11"/>
      <c r="DC231" s="11"/>
      <c r="DD231" s="11"/>
      <c r="DE231" s="11"/>
      <c r="DF231" s="11"/>
      <c r="DG231" s="11"/>
      <c r="DH231" s="11"/>
      <c r="DI231" s="11"/>
      <c r="DJ231" s="11"/>
      <c r="DK231" s="11"/>
      <c r="DL231" s="11"/>
      <c r="DM231" s="11"/>
      <c r="DN231" s="11"/>
      <c r="DO231" s="11"/>
      <c r="DP231" s="11"/>
      <c r="DQ231" s="11"/>
      <c r="DR231" s="11"/>
      <c r="DS231" s="11"/>
      <c r="DT231" s="11"/>
      <c r="DU231" s="11"/>
      <c r="DV231" s="11"/>
      <c r="DW231" s="11"/>
      <c r="DX231" s="11"/>
      <c r="DY231" s="11"/>
      <c r="DZ231" s="11"/>
      <c r="EA231" s="11"/>
      <c r="EB231" s="11"/>
      <c r="EC231" s="11"/>
      <c r="ED231" s="11"/>
      <c r="EE231" s="11"/>
      <c r="EF231" s="11"/>
      <c r="EG231" s="11"/>
      <c r="EH231" s="11"/>
      <c r="EI231" s="11"/>
      <c r="EJ231" s="11"/>
      <c r="EK231" s="11"/>
      <c r="EL231" s="11"/>
      <c r="EM231" s="11"/>
    </row>
    <row r="232" spans="1:256">
      <c r="A232" s="18" t="str">
        <f>A65</f>
        <v>Bond 18</v>
      </c>
      <c r="B232" s="18">
        <f t="shared" ref="B232:BM232" si="360">B65*B172</f>
        <v>0</v>
      </c>
      <c r="C232" s="18">
        <f t="shared" si="360"/>
        <v>0</v>
      </c>
      <c r="D232" s="18">
        <f t="shared" si="360"/>
        <v>0</v>
      </c>
      <c r="E232" s="18">
        <f t="shared" si="360"/>
        <v>0</v>
      </c>
      <c r="F232" s="18">
        <f t="shared" si="360"/>
        <v>0</v>
      </c>
      <c r="G232" s="18">
        <f t="shared" si="360"/>
        <v>0</v>
      </c>
      <c r="H232" s="18">
        <f t="shared" si="360"/>
        <v>0</v>
      </c>
      <c r="I232" s="18">
        <f t="shared" si="360"/>
        <v>0</v>
      </c>
      <c r="J232" s="18">
        <f t="shared" si="360"/>
        <v>0</v>
      </c>
      <c r="K232" s="18">
        <f t="shared" si="360"/>
        <v>0</v>
      </c>
      <c r="L232" s="18">
        <f t="shared" si="360"/>
        <v>0</v>
      </c>
      <c r="M232" s="18">
        <f t="shared" si="360"/>
        <v>0</v>
      </c>
      <c r="N232" s="18">
        <f t="shared" si="360"/>
        <v>0</v>
      </c>
      <c r="O232" s="18">
        <f t="shared" si="360"/>
        <v>0</v>
      </c>
      <c r="P232" s="18">
        <f t="shared" si="360"/>
        <v>0</v>
      </c>
      <c r="Q232" s="18">
        <f t="shared" si="360"/>
        <v>0</v>
      </c>
      <c r="R232" s="18">
        <f t="shared" si="360"/>
        <v>0</v>
      </c>
      <c r="S232" s="18">
        <f t="shared" si="360"/>
        <v>0</v>
      </c>
      <c r="T232" s="18">
        <f t="shared" si="360"/>
        <v>0</v>
      </c>
      <c r="U232" s="18">
        <f t="shared" si="360"/>
        <v>0</v>
      </c>
      <c r="V232" s="18">
        <f t="shared" si="360"/>
        <v>0</v>
      </c>
      <c r="W232" s="18">
        <f t="shared" si="360"/>
        <v>0</v>
      </c>
      <c r="X232" s="18">
        <f t="shared" si="360"/>
        <v>0</v>
      </c>
      <c r="Y232" s="18">
        <f t="shared" si="360"/>
        <v>0</v>
      </c>
      <c r="Z232" s="18">
        <f t="shared" si="360"/>
        <v>0</v>
      </c>
      <c r="AA232" s="18">
        <f t="shared" si="360"/>
        <v>0</v>
      </c>
      <c r="AB232" s="18">
        <f t="shared" si="360"/>
        <v>0</v>
      </c>
      <c r="AC232" s="18">
        <f t="shared" si="360"/>
        <v>0</v>
      </c>
      <c r="AD232" s="18">
        <f t="shared" si="360"/>
        <v>0</v>
      </c>
      <c r="AE232" s="18">
        <f t="shared" si="360"/>
        <v>0</v>
      </c>
      <c r="AF232" s="18">
        <f t="shared" si="360"/>
        <v>0</v>
      </c>
      <c r="AG232" s="18">
        <f t="shared" si="360"/>
        <v>0</v>
      </c>
      <c r="AH232" s="18">
        <f t="shared" si="360"/>
        <v>0</v>
      </c>
      <c r="AI232" s="18">
        <f t="shared" si="360"/>
        <v>0</v>
      </c>
      <c r="AJ232" s="18">
        <f t="shared" si="360"/>
        <v>0</v>
      </c>
      <c r="AK232" s="18">
        <f t="shared" si="360"/>
        <v>0</v>
      </c>
      <c r="AL232" s="18">
        <f t="shared" si="360"/>
        <v>0</v>
      </c>
      <c r="AM232" s="18">
        <f t="shared" si="360"/>
        <v>0</v>
      </c>
      <c r="AN232" s="18">
        <f t="shared" si="360"/>
        <v>0</v>
      </c>
      <c r="AO232" s="18">
        <f t="shared" si="360"/>
        <v>0</v>
      </c>
      <c r="AP232" s="18">
        <f t="shared" si="360"/>
        <v>0</v>
      </c>
      <c r="AQ232" s="18">
        <f t="shared" si="360"/>
        <v>0</v>
      </c>
      <c r="AR232" s="18">
        <f t="shared" si="360"/>
        <v>0</v>
      </c>
      <c r="AS232" s="18">
        <f t="shared" si="360"/>
        <v>0</v>
      </c>
      <c r="AT232" s="18">
        <f t="shared" si="360"/>
        <v>0</v>
      </c>
      <c r="AU232" s="18">
        <f t="shared" si="360"/>
        <v>0</v>
      </c>
      <c r="AV232" s="18">
        <f t="shared" si="360"/>
        <v>0</v>
      </c>
      <c r="AW232" s="18">
        <f t="shared" si="360"/>
        <v>0</v>
      </c>
      <c r="AX232" s="18">
        <f t="shared" si="360"/>
        <v>0</v>
      </c>
      <c r="AY232" s="18">
        <f t="shared" si="360"/>
        <v>0</v>
      </c>
      <c r="AZ232" s="18">
        <f t="shared" si="360"/>
        <v>0</v>
      </c>
      <c r="BA232" s="18">
        <f t="shared" si="360"/>
        <v>0</v>
      </c>
      <c r="BB232" s="18">
        <f t="shared" si="360"/>
        <v>0</v>
      </c>
      <c r="BC232" s="18">
        <f t="shared" si="360"/>
        <v>0</v>
      </c>
      <c r="BD232" s="18">
        <f t="shared" si="360"/>
        <v>0</v>
      </c>
      <c r="BE232" s="18">
        <f t="shared" si="360"/>
        <v>0</v>
      </c>
      <c r="BF232" s="18">
        <f t="shared" si="360"/>
        <v>0</v>
      </c>
      <c r="BG232" s="18">
        <f t="shared" si="360"/>
        <v>0</v>
      </c>
      <c r="BH232" s="18">
        <f t="shared" si="360"/>
        <v>0</v>
      </c>
      <c r="BI232" s="18">
        <f t="shared" si="360"/>
        <v>0</v>
      </c>
      <c r="BJ232" s="18">
        <f t="shared" si="360"/>
        <v>0</v>
      </c>
      <c r="BK232" s="18">
        <f t="shared" si="360"/>
        <v>0</v>
      </c>
      <c r="BL232" s="18">
        <f t="shared" si="360"/>
        <v>0</v>
      </c>
      <c r="BM232" s="18">
        <f t="shared" si="360"/>
        <v>0</v>
      </c>
      <c r="BN232" s="18">
        <f t="shared" ref="BN232:CB232" si="361">BN65*BN172</f>
        <v>0</v>
      </c>
      <c r="BO232" s="18">
        <f t="shared" si="361"/>
        <v>0</v>
      </c>
      <c r="BP232" s="18">
        <f t="shared" si="361"/>
        <v>0</v>
      </c>
      <c r="BQ232" s="18">
        <f t="shared" si="361"/>
        <v>0</v>
      </c>
      <c r="BR232" s="18">
        <f t="shared" si="361"/>
        <v>0</v>
      </c>
      <c r="BS232" s="18">
        <f t="shared" si="361"/>
        <v>0</v>
      </c>
      <c r="BT232" s="18">
        <f t="shared" si="361"/>
        <v>0</v>
      </c>
      <c r="BU232" s="18">
        <f t="shared" si="361"/>
        <v>0</v>
      </c>
      <c r="BV232" s="18">
        <f t="shared" si="361"/>
        <v>0</v>
      </c>
      <c r="BW232" s="18">
        <f t="shared" si="361"/>
        <v>0</v>
      </c>
      <c r="BX232" s="18">
        <f t="shared" si="361"/>
        <v>0</v>
      </c>
      <c r="BY232" s="18">
        <f t="shared" si="361"/>
        <v>0</v>
      </c>
      <c r="BZ232" s="18">
        <f t="shared" si="361"/>
        <v>0</v>
      </c>
      <c r="CA232" s="18">
        <f t="shared" si="361"/>
        <v>0</v>
      </c>
      <c r="CB232" s="18">
        <f t="shared" si="361"/>
        <v>0</v>
      </c>
      <c r="CC232" s="17"/>
      <c r="CD232" s="17"/>
      <c r="CE232" s="17"/>
      <c r="CH232" s="5"/>
      <c r="CI232" s="11"/>
      <c r="CJ232" s="11"/>
      <c r="CK232" s="11"/>
      <c r="CL232" s="11"/>
      <c r="CM232" s="11"/>
      <c r="CN232" s="11"/>
      <c r="CO232" s="11"/>
      <c r="CP232" s="11"/>
      <c r="CQ232" s="11"/>
      <c r="CR232" s="11"/>
      <c r="CS232" s="11"/>
      <c r="CT232" s="11"/>
      <c r="CU232" s="11"/>
      <c r="CV232" s="11"/>
      <c r="CW232" s="11"/>
      <c r="CX232" s="11"/>
      <c r="CY232" s="11"/>
      <c r="CZ232" s="11"/>
      <c r="DA232" s="11"/>
      <c r="DB232" s="11"/>
      <c r="DC232" s="11"/>
      <c r="DD232" s="11"/>
      <c r="DE232" s="11"/>
      <c r="DF232" s="11"/>
      <c r="DG232" s="11"/>
      <c r="DH232" s="11"/>
      <c r="DI232" s="11"/>
      <c r="DJ232" s="11"/>
      <c r="DK232" s="11"/>
      <c r="DL232" s="11"/>
      <c r="DM232" s="11"/>
      <c r="DN232" s="11"/>
      <c r="DO232" s="11"/>
      <c r="DP232" s="11"/>
      <c r="DQ232" s="11"/>
      <c r="DR232" s="11"/>
      <c r="DS232" s="11"/>
      <c r="DT232" s="11"/>
      <c r="DU232" s="11"/>
      <c r="DV232" s="11"/>
      <c r="DW232" s="11"/>
      <c r="DX232" s="11"/>
      <c r="DY232" s="11"/>
      <c r="DZ232" s="11"/>
      <c r="EA232" s="11"/>
      <c r="EB232" s="11"/>
      <c r="EC232" s="11"/>
      <c r="ED232" s="11"/>
      <c r="EE232" s="11"/>
      <c r="EF232" s="11"/>
    </row>
    <row r="233" spans="1:256">
      <c r="A233" s="18" t="str">
        <f>A67</f>
        <v>Bond 19</v>
      </c>
      <c r="B233" s="18">
        <f t="shared" ref="B233:BM233" si="362">B67*B177</f>
        <v>0</v>
      </c>
      <c r="C233" s="18">
        <f t="shared" si="362"/>
        <v>0</v>
      </c>
      <c r="D233" s="18">
        <f t="shared" si="362"/>
        <v>0</v>
      </c>
      <c r="E233" s="18">
        <f t="shared" si="362"/>
        <v>0</v>
      </c>
      <c r="F233" s="18">
        <f t="shared" si="362"/>
        <v>0</v>
      </c>
      <c r="G233" s="18">
        <f t="shared" si="362"/>
        <v>0</v>
      </c>
      <c r="H233" s="18">
        <f t="shared" si="362"/>
        <v>0</v>
      </c>
      <c r="I233" s="18">
        <f t="shared" si="362"/>
        <v>0</v>
      </c>
      <c r="J233" s="18">
        <f t="shared" si="362"/>
        <v>0</v>
      </c>
      <c r="K233" s="18">
        <f t="shared" si="362"/>
        <v>0</v>
      </c>
      <c r="L233" s="18">
        <f t="shared" si="362"/>
        <v>0</v>
      </c>
      <c r="M233" s="18">
        <f t="shared" si="362"/>
        <v>0</v>
      </c>
      <c r="N233" s="18">
        <f t="shared" si="362"/>
        <v>0</v>
      </c>
      <c r="O233" s="18">
        <f t="shared" si="362"/>
        <v>0</v>
      </c>
      <c r="P233" s="18">
        <f t="shared" si="362"/>
        <v>0</v>
      </c>
      <c r="Q233" s="18">
        <f t="shared" si="362"/>
        <v>0</v>
      </c>
      <c r="R233" s="18">
        <f t="shared" si="362"/>
        <v>0</v>
      </c>
      <c r="S233" s="18">
        <f t="shared" si="362"/>
        <v>0</v>
      </c>
      <c r="T233" s="18">
        <f t="shared" si="362"/>
        <v>0</v>
      </c>
      <c r="U233" s="18">
        <f t="shared" si="362"/>
        <v>0</v>
      </c>
      <c r="V233" s="18">
        <f t="shared" si="362"/>
        <v>0</v>
      </c>
      <c r="W233" s="18">
        <f t="shared" si="362"/>
        <v>0</v>
      </c>
      <c r="X233" s="18">
        <f t="shared" si="362"/>
        <v>0</v>
      </c>
      <c r="Y233" s="18">
        <f t="shared" si="362"/>
        <v>0</v>
      </c>
      <c r="Z233" s="18">
        <f t="shared" si="362"/>
        <v>0</v>
      </c>
      <c r="AA233" s="18">
        <f t="shared" si="362"/>
        <v>0</v>
      </c>
      <c r="AB233" s="18">
        <f t="shared" si="362"/>
        <v>0</v>
      </c>
      <c r="AC233" s="18">
        <f t="shared" si="362"/>
        <v>0</v>
      </c>
      <c r="AD233" s="18">
        <f t="shared" si="362"/>
        <v>0</v>
      </c>
      <c r="AE233" s="18">
        <f t="shared" si="362"/>
        <v>0</v>
      </c>
      <c r="AF233" s="18">
        <f t="shared" si="362"/>
        <v>0</v>
      </c>
      <c r="AG233" s="18">
        <f t="shared" si="362"/>
        <v>0</v>
      </c>
      <c r="AH233" s="18">
        <f t="shared" si="362"/>
        <v>0</v>
      </c>
      <c r="AI233" s="18">
        <f t="shared" si="362"/>
        <v>0</v>
      </c>
      <c r="AJ233" s="18">
        <f t="shared" si="362"/>
        <v>0</v>
      </c>
      <c r="AK233" s="18">
        <f t="shared" si="362"/>
        <v>0</v>
      </c>
      <c r="AL233" s="18">
        <f t="shared" si="362"/>
        <v>0</v>
      </c>
      <c r="AM233" s="18">
        <f t="shared" si="362"/>
        <v>0</v>
      </c>
      <c r="AN233" s="18">
        <f t="shared" si="362"/>
        <v>0</v>
      </c>
      <c r="AO233" s="18">
        <f t="shared" si="362"/>
        <v>0</v>
      </c>
      <c r="AP233" s="18">
        <f t="shared" si="362"/>
        <v>0</v>
      </c>
      <c r="AQ233" s="18">
        <f t="shared" si="362"/>
        <v>0</v>
      </c>
      <c r="AR233" s="18">
        <f t="shared" si="362"/>
        <v>0</v>
      </c>
      <c r="AS233" s="18">
        <f t="shared" si="362"/>
        <v>0</v>
      </c>
      <c r="AT233" s="18">
        <f t="shared" si="362"/>
        <v>0</v>
      </c>
      <c r="AU233" s="18">
        <f t="shared" si="362"/>
        <v>0</v>
      </c>
      <c r="AV233" s="18">
        <f t="shared" si="362"/>
        <v>0</v>
      </c>
      <c r="AW233" s="18">
        <f t="shared" si="362"/>
        <v>0</v>
      </c>
      <c r="AX233" s="18">
        <f t="shared" si="362"/>
        <v>0</v>
      </c>
      <c r="AY233" s="18">
        <f t="shared" si="362"/>
        <v>0</v>
      </c>
      <c r="AZ233" s="18">
        <f t="shared" si="362"/>
        <v>0</v>
      </c>
      <c r="BA233" s="18">
        <f t="shared" si="362"/>
        <v>0</v>
      </c>
      <c r="BB233" s="18">
        <f t="shared" si="362"/>
        <v>0</v>
      </c>
      <c r="BC233" s="18">
        <f t="shared" si="362"/>
        <v>0</v>
      </c>
      <c r="BD233" s="18">
        <f t="shared" si="362"/>
        <v>0</v>
      </c>
      <c r="BE233" s="18">
        <f t="shared" si="362"/>
        <v>0</v>
      </c>
      <c r="BF233" s="18">
        <f t="shared" si="362"/>
        <v>0</v>
      </c>
      <c r="BG233" s="18">
        <f t="shared" si="362"/>
        <v>0</v>
      </c>
      <c r="BH233" s="18">
        <f t="shared" si="362"/>
        <v>0</v>
      </c>
      <c r="BI233" s="18">
        <f t="shared" si="362"/>
        <v>0</v>
      </c>
      <c r="BJ233" s="18">
        <f t="shared" si="362"/>
        <v>0</v>
      </c>
      <c r="BK233" s="18">
        <f t="shared" si="362"/>
        <v>0</v>
      </c>
      <c r="BL233" s="18">
        <f t="shared" si="362"/>
        <v>0</v>
      </c>
      <c r="BM233" s="18">
        <f t="shared" si="362"/>
        <v>0</v>
      </c>
      <c r="BN233" s="18">
        <f t="shared" ref="BN233:CB233" si="363">BN67*BN177</f>
        <v>0</v>
      </c>
      <c r="BO233" s="18">
        <f t="shared" si="363"/>
        <v>0</v>
      </c>
      <c r="BP233" s="18">
        <f t="shared" si="363"/>
        <v>0</v>
      </c>
      <c r="BQ233" s="18">
        <f t="shared" si="363"/>
        <v>0</v>
      </c>
      <c r="BR233" s="18">
        <f t="shared" si="363"/>
        <v>0</v>
      </c>
      <c r="BS233" s="18">
        <f t="shared" si="363"/>
        <v>0</v>
      </c>
      <c r="BT233" s="18">
        <f t="shared" si="363"/>
        <v>0</v>
      </c>
      <c r="BU233" s="18">
        <f t="shared" si="363"/>
        <v>0</v>
      </c>
      <c r="BV233" s="18">
        <f t="shared" si="363"/>
        <v>0</v>
      </c>
      <c r="BW233" s="18">
        <f t="shared" si="363"/>
        <v>0</v>
      </c>
      <c r="BX233" s="18">
        <f t="shared" si="363"/>
        <v>0</v>
      </c>
      <c r="BY233" s="18">
        <f t="shared" si="363"/>
        <v>0</v>
      </c>
      <c r="BZ233" s="18">
        <f t="shared" si="363"/>
        <v>0</v>
      </c>
      <c r="CA233" s="18">
        <f t="shared" si="363"/>
        <v>0</v>
      </c>
      <c r="CB233" s="18">
        <f t="shared" si="363"/>
        <v>0</v>
      </c>
      <c r="CC233" s="17"/>
      <c r="CD233" s="17"/>
      <c r="CE233" s="17"/>
      <c r="CH233" s="5"/>
      <c r="CI233" s="11"/>
      <c r="CJ233" s="11"/>
      <c r="CK233" s="11"/>
      <c r="CL233" s="11"/>
      <c r="CM233" s="11"/>
      <c r="CN233" s="11"/>
      <c r="CO233" s="11"/>
      <c r="CP233" s="11"/>
      <c r="CQ233" s="11"/>
      <c r="CR233" s="11"/>
      <c r="CS233" s="11"/>
      <c r="CT233" s="11"/>
      <c r="CU233" s="11"/>
      <c r="CV233" s="11"/>
      <c r="CW233" s="11"/>
      <c r="CX233" s="11"/>
      <c r="CY233" s="11"/>
      <c r="CZ233" s="11"/>
      <c r="DA233" s="11"/>
      <c r="DB233" s="11"/>
      <c r="DC233" s="11"/>
      <c r="DD233" s="11"/>
      <c r="DE233" s="11"/>
      <c r="DF233" s="11"/>
      <c r="DG233" s="11"/>
      <c r="DH233" s="11"/>
      <c r="DI233" s="11"/>
      <c r="DJ233" s="11"/>
      <c r="DK233" s="11"/>
      <c r="DL233" s="11"/>
      <c r="DM233" s="11"/>
      <c r="DN233" s="11"/>
      <c r="DO233" s="11"/>
      <c r="DP233" s="11"/>
      <c r="DQ233" s="11"/>
      <c r="DR233" s="11"/>
      <c r="DS233" s="11"/>
      <c r="DT233" s="11"/>
      <c r="DU233" s="11"/>
      <c r="DV233" s="11"/>
      <c r="DW233" s="11"/>
      <c r="DX233" s="11"/>
      <c r="DY233" s="11"/>
      <c r="DZ233" s="11"/>
      <c r="EA233" s="11"/>
      <c r="EB233" s="11"/>
      <c r="EC233" s="11"/>
      <c r="ED233" s="11"/>
      <c r="EE233" s="11"/>
      <c r="EF233" s="11"/>
      <c r="EG233" s="11"/>
      <c r="EH233" s="11"/>
      <c r="EI233" s="11"/>
      <c r="EJ233" s="11"/>
      <c r="EK233" s="11"/>
      <c r="EL233" s="11"/>
      <c r="EM233" s="11"/>
      <c r="EN233" s="11"/>
      <c r="EO233" s="11"/>
      <c r="EP233" s="11"/>
      <c r="EQ233" s="11"/>
      <c r="ER233" s="11"/>
      <c r="ES233" s="11"/>
      <c r="ET233" s="11"/>
      <c r="EU233" s="11"/>
      <c r="EV233" s="11"/>
      <c r="EW233" s="11"/>
      <c r="EX233" s="11"/>
      <c r="EY233" s="11"/>
      <c r="EZ233" s="11"/>
      <c r="FA233" s="11"/>
      <c r="FB233" s="11"/>
      <c r="FC233" s="11"/>
      <c r="FD233" s="11"/>
    </row>
    <row r="234" spans="1:256">
      <c r="A234" s="18" t="str">
        <f>A69</f>
        <v>Bond 20</v>
      </c>
      <c r="B234" s="18">
        <f t="shared" ref="B234:BM234" si="364">B69*B182</f>
        <v>0</v>
      </c>
      <c r="C234" s="18">
        <f t="shared" si="364"/>
        <v>0</v>
      </c>
      <c r="D234" s="18">
        <f t="shared" si="364"/>
        <v>0</v>
      </c>
      <c r="E234" s="18">
        <f t="shared" si="364"/>
        <v>0</v>
      </c>
      <c r="F234" s="18">
        <f t="shared" si="364"/>
        <v>0</v>
      </c>
      <c r="G234" s="18">
        <f t="shared" si="364"/>
        <v>0</v>
      </c>
      <c r="H234" s="18">
        <f t="shared" si="364"/>
        <v>0</v>
      </c>
      <c r="I234" s="18">
        <f t="shared" si="364"/>
        <v>0</v>
      </c>
      <c r="J234" s="18">
        <f t="shared" si="364"/>
        <v>0</v>
      </c>
      <c r="K234" s="18">
        <f t="shared" si="364"/>
        <v>0</v>
      </c>
      <c r="L234" s="18">
        <f t="shared" si="364"/>
        <v>0</v>
      </c>
      <c r="M234" s="18">
        <f t="shared" si="364"/>
        <v>0</v>
      </c>
      <c r="N234" s="18">
        <f t="shared" si="364"/>
        <v>0</v>
      </c>
      <c r="O234" s="18">
        <f t="shared" si="364"/>
        <v>0</v>
      </c>
      <c r="P234" s="18">
        <f t="shared" si="364"/>
        <v>0</v>
      </c>
      <c r="Q234" s="18">
        <f t="shared" si="364"/>
        <v>0</v>
      </c>
      <c r="R234" s="18">
        <f t="shared" si="364"/>
        <v>0</v>
      </c>
      <c r="S234" s="18">
        <f t="shared" si="364"/>
        <v>0</v>
      </c>
      <c r="T234" s="18">
        <f t="shared" si="364"/>
        <v>0</v>
      </c>
      <c r="U234" s="18">
        <f t="shared" si="364"/>
        <v>0</v>
      </c>
      <c r="V234" s="18">
        <f t="shared" si="364"/>
        <v>0</v>
      </c>
      <c r="W234" s="18">
        <f t="shared" si="364"/>
        <v>0</v>
      </c>
      <c r="X234" s="18">
        <f t="shared" si="364"/>
        <v>0</v>
      </c>
      <c r="Y234" s="18">
        <f t="shared" si="364"/>
        <v>0</v>
      </c>
      <c r="Z234" s="18">
        <f t="shared" si="364"/>
        <v>0</v>
      </c>
      <c r="AA234" s="18">
        <f t="shared" si="364"/>
        <v>0</v>
      </c>
      <c r="AB234" s="18">
        <f t="shared" si="364"/>
        <v>0</v>
      </c>
      <c r="AC234" s="18">
        <f t="shared" si="364"/>
        <v>0</v>
      </c>
      <c r="AD234" s="18">
        <f t="shared" si="364"/>
        <v>0</v>
      </c>
      <c r="AE234" s="18">
        <f t="shared" si="364"/>
        <v>0</v>
      </c>
      <c r="AF234" s="18">
        <f t="shared" si="364"/>
        <v>0</v>
      </c>
      <c r="AG234" s="18">
        <f t="shared" si="364"/>
        <v>0</v>
      </c>
      <c r="AH234" s="18">
        <f t="shared" si="364"/>
        <v>0</v>
      </c>
      <c r="AI234" s="18">
        <f t="shared" si="364"/>
        <v>0</v>
      </c>
      <c r="AJ234" s="18">
        <f t="shared" si="364"/>
        <v>0</v>
      </c>
      <c r="AK234" s="18">
        <f t="shared" si="364"/>
        <v>0</v>
      </c>
      <c r="AL234" s="18">
        <f t="shared" si="364"/>
        <v>0</v>
      </c>
      <c r="AM234" s="18">
        <f t="shared" si="364"/>
        <v>0</v>
      </c>
      <c r="AN234" s="18">
        <f t="shared" si="364"/>
        <v>0</v>
      </c>
      <c r="AO234" s="18">
        <f t="shared" si="364"/>
        <v>0</v>
      </c>
      <c r="AP234" s="18">
        <f t="shared" si="364"/>
        <v>0</v>
      </c>
      <c r="AQ234" s="18">
        <f t="shared" si="364"/>
        <v>0</v>
      </c>
      <c r="AR234" s="18">
        <f t="shared" si="364"/>
        <v>0</v>
      </c>
      <c r="AS234" s="18">
        <f t="shared" si="364"/>
        <v>0</v>
      </c>
      <c r="AT234" s="18">
        <f t="shared" si="364"/>
        <v>0</v>
      </c>
      <c r="AU234" s="18">
        <f t="shared" si="364"/>
        <v>0</v>
      </c>
      <c r="AV234" s="18">
        <f t="shared" si="364"/>
        <v>0</v>
      </c>
      <c r="AW234" s="18">
        <f t="shared" si="364"/>
        <v>0</v>
      </c>
      <c r="AX234" s="18">
        <f t="shared" si="364"/>
        <v>0</v>
      </c>
      <c r="AY234" s="18">
        <f t="shared" si="364"/>
        <v>0</v>
      </c>
      <c r="AZ234" s="18">
        <f t="shared" si="364"/>
        <v>0</v>
      </c>
      <c r="BA234" s="18">
        <f t="shared" si="364"/>
        <v>0</v>
      </c>
      <c r="BB234" s="18">
        <f t="shared" si="364"/>
        <v>0</v>
      </c>
      <c r="BC234" s="18">
        <f t="shared" si="364"/>
        <v>0</v>
      </c>
      <c r="BD234" s="18">
        <f t="shared" si="364"/>
        <v>0</v>
      </c>
      <c r="BE234" s="18">
        <f t="shared" si="364"/>
        <v>0</v>
      </c>
      <c r="BF234" s="18">
        <f t="shared" si="364"/>
        <v>0</v>
      </c>
      <c r="BG234" s="18">
        <f t="shared" si="364"/>
        <v>0</v>
      </c>
      <c r="BH234" s="18">
        <f t="shared" si="364"/>
        <v>0</v>
      </c>
      <c r="BI234" s="18">
        <f t="shared" si="364"/>
        <v>0</v>
      </c>
      <c r="BJ234" s="18">
        <f t="shared" si="364"/>
        <v>0</v>
      </c>
      <c r="BK234" s="18">
        <f t="shared" si="364"/>
        <v>0</v>
      </c>
      <c r="BL234" s="18">
        <f t="shared" si="364"/>
        <v>0</v>
      </c>
      <c r="BM234" s="18">
        <f t="shared" si="364"/>
        <v>0</v>
      </c>
      <c r="BN234" s="18">
        <f t="shared" ref="BN234:CB234" si="365">BN69*BN182</f>
        <v>0</v>
      </c>
      <c r="BO234" s="18">
        <f t="shared" si="365"/>
        <v>0</v>
      </c>
      <c r="BP234" s="18">
        <f t="shared" si="365"/>
        <v>0</v>
      </c>
      <c r="BQ234" s="18">
        <f t="shared" si="365"/>
        <v>0</v>
      </c>
      <c r="BR234" s="18">
        <f t="shared" si="365"/>
        <v>0</v>
      </c>
      <c r="BS234" s="18">
        <f t="shared" si="365"/>
        <v>0</v>
      </c>
      <c r="BT234" s="18">
        <f t="shared" si="365"/>
        <v>0</v>
      </c>
      <c r="BU234" s="18">
        <f t="shared" si="365"/>
        <v>0</v>
      </c>
      <c r="BV234" s="18">
        <f t="shared" si="365"/>
        <v>0</v>
      </c>
      <c r="BW234" s="18">
        <f t="shared" si="365"/>
        <v>0</v>
      </c>
      <c r="BX234" s="18">
        <f t="shared" si="365"/>
        <v>0</v>
      </c>
      <c r="BY234" s="18">
        <f t="shared" si="365"/>
        <v>0</v>
      </c>
      <c r="BZ234" s="18">
        <f t="shared" si="365"/>
        <v>0</v>
      </c>
      <c r="CA234" s="18">
        <f t="shared" si="365"/>
        <v>0</v>
      </c>
      <c r="CB234" s="18">
        <f t="shared" si="365"/>
        <v>0</v>
      </c>
      <c r="CC234" s="17"/>
      <c r="CD234" s="17"/>
      <c r="CE234" s="17"/>
      <c r="CH234" s="5"/>
      <c r="CI234" s="11"/>
      <c r="CJ234" s="11"/>
      <c r="CK234" s="11"/>
      <c r="CL234" s="11"/>
      <c r="CM234" s="11"/>
      <c r="CN234" s="11"/>
      <c r="CO234" s="11"/>
      <c r="CP234" s="11"/>
      <c r="CQ234" s="11"/>
      <c r="CR234" s="11"/>
      <c r="CS234" s="11"/>
      <c r="CT234" s="11"/>
      <c r="CU234" s="11"/>
      <c r="CV234" s="11"/>
      <c r="CW234" s="11"/>
      <c r="CX234" s="11"/>
      <c r="CY234" s="11"/>
      <c r="CZ234" s="11"/>
      <c r="DA234" s="11"/>
      <c r="DB234" s="11"/>
      <c r="DC234" s="11"/>
      <c r="DD234" s="11"/>
      <c r="DE234" s="11"/>
      <c r="DF234" s="11"/>
      <c r="DG234" s="11"/>
      <c r="DH234" s="11"/>
      <c r="DI234" s="11"/>
      <c r="DJ234" s="11"/>
      <c r="DK234" s="11"/>
      <c r="DL234" s="11"/>
      <c r="DM234" s="11"/>
      <c r="DN234" s="11"/>
      <c r="DO234" s="11"/>
      <c r="DP234" s="11"/>
      <c r="DQ234" s="11"/>
      <c r="DR234" s="11"/>
      <c r="DS234" s="11"/>
      <c r="DT234" s="11"/>
      <c r="DU234" s="11"/>
      <c r="DV234" s="11"/>
      <c r="DW234" s="11"/>
      <c r="DX234" s="11"/>
      <c r="DY234" s="11"/>
      <c r="DZ234" s="11"/>
      <c r="EA234" s="11"/>
      <c r="EB234" s="11"/>
      <c r="EC234" s="11"/>
      <c r="ED234" s="11"/>
    </row>
    <row r="235" spans="1:256">
      <c r="A235" s="18" t="str">
        <f>A71</f>
        <v>Bond 21</v>
      </c>
      <c r="B235" s="18">
        <f t="shared" ref="B235:BM235" si="366">B71*B187</f>
        <v>0</v>
      </c>
      <c r="C235" s="18">
        <f t="shared" si="366"/>
        <v>0</v>
      </c>
      <c r="D235" s="18">
        <f t="shared" si="366"/>
        <v>0</v>
      </c>
      <c r="E235" s="18">
        <f t="shared" si="366"/>
        <v>0</v>
      </c>
      <c r="F235" s="18">
        <f t="shared" si="366"/>
        <v>0</v>
      </c>
      <c r="G235" s="18">
        <f t="shared" si="366"/>
        <v>0</v>
      </c>
      <c r="H235" s="18">
        <f t="shared" si="366"/>
        <v>0</v>
      </c>
      <c r="I235" s="18">
        <f t="shared" si="366"/>
        <v>0</v>
      </c>
      <c r="J235" s="18">
        <f t="shared" si="366"/>
        <v>0</v>
      </c>
      <c r="K235" s="18">
        <f t="shared" si="366"/>
        <v>0</v>
      </c>
      <c r="L235" s="18">
        <f t="shared" si="366"/>
        <v>0</v>
      </c>
      <c r="M235" s="18">
        <f t="shared" si="366"/>
        <v>0</v>
      </c>
      <c r="N235" s="18">
        <f t="shared" si="366"/>
        <v>0</v>
      </c>
      <c r="O235" s="18">
        <f t="shared" si="366"/>
        <v>0</v>
      </c>
      <c r="P235" s="18">
        <f t="shared" si="366"/>
        <v>0</v>
      </c>
      <c r="Q235" s="18">
        <f t="shared" si="366"/>
        <v>0</v>
      </c>
      <c r="R235" s="18">
        <f t="shared" si="366"/>
        <v>0</v>
      </c>
      <c r="S235" s="18">
        <f t="shared" si="366"/>
        <v>0</v>
      </c>
      <c r="T235" s="18">
        <f t="shared" si="366"/>
        <v>0</v>
      </c>
      <c r="U235" s="18">
        <f t="shared" si="366"/>
        <v>0</v>
      </c>
      <c r="V235" s="18">
        <f t="shared" si="366"/>
        <v>0</v>
      </c>
      <c r="W235" s="18">
        <f t="shared" si="366"/>
        <v>0</v>
      </c>
      <c r="X235" s="18">
        <f t="shared" si="366"/>
        <v>0</v>
      </c>
      <c r="Y235" s="18">
        <f t="shared" si="366"/>
        <v>0</v>
      </c>
      <c r="Z235" s="18">
        <f t="shared" si="366"/>
        <v>0</v>
      </c>
      <c r="AA235" s="18">
        <f t="shared" si="366"/>
        <v>0</v>
      </c>
      <c r="AB235" s="18">
        <f t="shared" si="366"/>
        <v>0</v>
      </c>
      <c r="AC235" s="18">
        <f t="shared" si="366"/>
        <v>0</v>
      </c>
      <c r="AD235" s="18">
        <f t="shared" si="366"/>
        <v>0</v>
      </c>
      <c r="AE235" s="18">
        <f t="shared" si="366"/>
        <v>0</v>
      </c>
      <c r="AF235" s="18">
        <f t="shared" si="366"/>
        <v>0</v>
      </c>
      <c r="AG235" s="18">
        <f t="shared" si="366"/>
        <v>0</v>
      </c>
      <c r="AH235" s="18">
        <f t="shared" si="366"/>
        <v>0</v>
      </c>
      <c r="AI235" s="18">
        <f t="shared" si="366"/>
        <v>0</v>
      </c>
      <c r="AJ235" s="18">
        <f t="shared" si="366"/>
        <v>0</v>
      </c>
      <c r="AK235" s="18">
        <f t="shared" si="366"/>
        <v>0</v>
      </c>
      <c r="AL235" s="18">
        <f t="shared" si="366"/>
        <v>0</v>
      </c>
      <c r="AM235" s="18">
        <f t="shared" si="366"/>
        <v>0</v>
      </c>
      <c r="AN235" s="18">
        <f t="shared" si="366"/>
        <v>0</v>
      </c>
      <c r="AO235" s="18">
        <f t="shared" si="366"/>
        <v>0</v>
      </c>
      <c r="AP235" s="18">
        <f t="shared" si="366"/>
        <v>0</v>
      </c>
      <c r="AQ235" s="18">
        <f t="shared" si="366"/>
        <v>0</v>
      </c>
      <c r="AR235" s="18">
        <f t="shared" si="366"/>
        <v>0</v>
      </c>
      <c r="AS235" s="18">
        <f t="shared" si="366"/>
        <v>0</v>
      </c>
      <c r="AT235" s="18">
        <f t="shared" si="366"/>
        <v>0</v>
      </c>
      <c r="AU235" s="18">
        <f t="shared" si="366"/>
        <v>0</v>
      </c>
      <c r="AV235" s="18">
        <f t="shared" si="366"/>
        <v>0</v>
      </c>
      <c r="AW235" s="18">
        <f t="shared" si="366"/>
        <v>0</v>
      </c>
      <c r="AX235" s="18">
        <f t="shared" si="366"/>
        <v>0</v>
      </c>
      <c r="AY235" s="18">
        <f t="shared" si="366"/>
        <v>0</v>
      </c>
      <c r="AZ235" s="18">
        <f t="shared" si="366"/>
        <v>0</v>
      </c>
      <c r="BA235" s="18">
        <f t="shared" si="366"/>
        <v>0</v>
      </c>
      <c r="BB235" s="18">
        <f t="shared" si="366"/>
        <v>0</v>
      </c>
      <c r="BC235" s="18">
        <f t="shared" si="366"/>
        <v>0</v>
      </c>
      <c r="BD235" s="18">
        <f t="shared" si="366"/>
        <v>0</v>
      </c>
      <c r="BE235" s="18">
        <f t="shared" si="366"/>
        <v>0</v>
      </c>
      <c r="BF235" s="18">
        <f t="shared" si="366"/>
        <v>0</v>
      </c>
      <c r="BG235" s="18">
        <f t="shared" si="366"/>
        <v>0</v>
      </c>
      <c r="BH235" s="18">
        <f t="shared" si="366"/>
        <v>0</v>
      </c>
      <c r="BI235" s="18">
        <f t="shared" si="366"/>
        <v>0</v>
      </c>
      <c r="BJ235" s="18">
        <f t="shared" si="366"/>
        <v>0</v>
      </c>
      <c r="BK235" s="18">
        <f t="shared" si="366"/>
        <v>0</v>
      </c>
      <c r="BL235" s="18">
        <f t="shared" si="366"/>
        <v>0</v>
      </c>
      <c r="BM235" s="18">
        <f t="shared" si="366"/>
        <v>0</v>
      </c>
      <c r="BN235" s="18">
        <f t="shared" ref="BN235:CB235" si="367">BN71*BN187</f>
        <v>0</v>
      </c>
      <c r="BO235" s="18">
        <f t="shared" si="367"/>
        <v>0</v>
      </c>
      <c r="BP235" s="18">
        <f t="shared" si="367"/>
        <v>0</v>
      </c>
      <c r="BQ235" s="18">
        <f t="shared" si="367"/>
        <v>0</v>
      </c>
      <c r="BR235" s="18">
        <f t="shared" si="367"/>
        <v>0</v>
      </c>
      <c r="BS235" s="18">
        <f t="shared" si="367"/>
        <v>0</v>
      </c>
      <c r="BT235" s="18">
        <f t="shared" si="367"/>
        <v>0</v>
      </c>
      <c r="BU235" s="18">
        <f t="shared" si="367"/>
        <v>0</v>
      </c>
      <c r="BV235" s="18">
        <f t="shared" si="367"/>
        <v>0</v>
      </c>
      <c r="BW235" s="18">
        <f t="shared" si="367"/>
        <v>0</v>
      </c>
      <c r="BX235" s="18">
        <f t="shared" si="367"/>
        <v>0</v>
      </c>
      <c r="BY235" s="18">
        <f t="shared" si="367"/>
        <v>0</v>
      </c>
      <c r="BZ235" s="18">
        <f t="shared" si="367"/>
        <v>0</v>
      </c>
      <c r="CA235" s="18">
        <f t="shared" si="367"/>
        <v>0</v>
      </c>
      <c r="CB235" s="18">
        <f t="shared" si="367"/>
        <v>0</v>
      </c>
      <c r="CC235" s="17"/>
      <c r="CD235" s="17"/>
      <c r="CE235" s="17"/>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K235" s="5"/>
      <c r="DL235" s="5"/>
      <c r="DM235" s="5"/>
      <c r="DN235" s="5"/>
      <c r="DO235" s="5"/>
      <c r="DP235" s="5"/>
      <c r="DQ235" s="5"/>
      <c r="DR235" s="5"/>
      <c r="DS235" s="5"/>
      <c r="DT235" s="5"/>
      <c r="DU235" s="5"/>
      <c r="DV235" s="5"/>
      <c r="DW235" s="5"/>
      <c r="DX235" s="5"/>
      <c r="DY235" s="5"/>
      <c r="DZ235" s="5"/>
      <c r="EA235" s="5"/>
      <c r="EB235" s="5"/>
      <c r="EC235" s="5"/>
      <c r="ED235" s="5"/>
      <c r="EE235" s="5"/>
      <c r="EF235" s="5"/>
      <c r="EG235" s="5"/>
      <c r="EH235" s="5"/>
      <c r="EI235" s="5"/>
      <c r="EJ235" s="5"/>
      <c r="EK235" s="5"/>
      <c r="EL235" s="5"/>
      <c r="EM235" s="5"/>
      <c r="EN235" s="5"/>
      <c r="EO235" s="5"/>
      <c r="EP235" s="5"/>
      <c r="EQ235" s="5"/>
      <c r="ER235" s="5"/>
      <c r="ES235" s="5"/>
      <c r="ET235" s="5"/>
      <c r="EU235" s="5"/>
      <c r="EV235" s="5"/>
      <c r="EW235" s="5"/>
      <c r="EX235" s="5"/>
      <c r="EY235" s="5"/>
      <c r="EZ235" s="5"/>
      <c r="FA235" s="5"/>
      <c r="FB235" s="5"/>
      <c r="FC235" s="5"/>
      <c r="FD235" s="5"/>
      <c r="FE235" s="5"/>
      <c r="FF235" s="5"/>
      <c r="FG235" s="5"/>
      <c r="FH235" s="5"/>
      <c r="FI235" s="5"/>
      <c r="FJ235" s="5"/>
      <c r="FK235" s="5"/>
      <c r="FL235" s="5"/>
      <c r="FM235" s="5"/>
      <c r="FN235" s="5"/>
      <c r="FO235" s="5"/>
      <c r="FP235" s="5"/>
      <c r="FQ235" s="5"/>
      <c r="FR235" s="5"/>
      <c r="FS235" s="5"/>
      <c r="FT235" s="5"/>
      <c r="FU235" s="5"/>
      <c r="FV235" s="5"/>
      <c r="FW235" s="5"/>
      <c r="FX235" s="5"/>
      <c r="FY235" s="5"/>
      <c r="FZ235" s="5"/>
      <c r="GA235" s="5"/>
      <c r="GB235" s="5"/>
      <c r="GC235" s="5"/>
      <c r="GD235" s="5"/>
      <c r="GE235" s="5"/>
      <c r="GF235" s="5"/>
      <c r="GG235" s="5"/>
      <c r="GH235" s="5"/>
      <c r="GI235" s="5"/>
      <c r="GJ235" s="5"/>
      <c r="GK235" s="5"/>
      <c r="GL235" s="5"/>
      <c r="GM235" s="5"/>
      <c r="GN235" s="5"/>
      <c r="GO235" s="5"/>
      <c r="GP235" s="5"/>
      <c r="GQ235" s="5"/>
      <c r="GR235" s="5"/>
      <c r="GS235" s="5"/>
    </row>
    <row r="236" spans="1:256">
      <c r="A236" s="18" t="str">
        <f>A73</f>
        <v>Bond 22</v>
      </c>
      <c r="B236" s="18">
        <f>B73*B192</f>
        <v>0</v>
      </c>
      <c r="C236" s="18">
        <f t="shared" ref="C236:BN236" si="368">C73*C192</f>
        <v>0</v>
      </c>
      <c r="D236" s="18">
        <f t="shared" si="368"/>
        <v>0</v>
      </c>
      <c r="E236" s="18">
        <f t="shared" si="368"/>
        <v>0</v>
      </c>
      <c r="F236" s="18">
        <f t="shared" si="368"/>
        <v>0</v>
      </c>
      <c r="G236" s="18">
        <f t="shared" si="368"/>
        <v>0</v>
      </c>
      <c r="H236" s="18">
        <f t="shared" si="368"/>
        <v>0</v>
      </c>
      <c r="I236" s="18">
        <f t="shared" si="368"/>
        <v>0</v>
      </c>
      <c r="J236" s="18">
        <f t="shared" si="368"/>
        <v>0</v>
      </c>
      <c r="K236" s="18">
        <f t="shared" si="368"/>
        <v>0</v>
      </c>
      <c r="L236" s="18">
        <f t="shared" si="368"/>
        <v>0</v>
      </c>
      <c r="M236" s="18">
        <f t="shared" si="368"/>
        <v>0</v>
      </c>
      <c r="N236" s="18">
        <f t="shared" si="368"/>
        <v>0</v>
      </c>
      <c r="O236" s="18">
        <f t="shared" si="368"/>
        <v>0</v>
      </c>
      <c r="P236" s="18">
        <f t="shared" si="368"/>
        <v>0</v>
      </c>
      <c r="Q236" s="18">
        <f t="shared" si="368"/>
        <v>0</v>
      </c>
      <c r="R236" s="18">
        <f t="shared" si="368"/>
        <v>0</v>
      </c>
      <c r="S236" s="18">
        <f t="shared" si="368"/>
        <v>0</v>
      </c>
      <c r="T236" s="18">
        <f t="shared" si="368"/>
        <v>0</v>
      </c>
      <c r="U236" s="18">
        <f t="shared" si="368"/>
        <v>0</v>
      </c>
      <c r="V236" s="18">
        <f t="shared" si="368"/>
        <v>0</v>
      </c>
      <c r="W236" s="18">
        <f t="shared" si="368"/>
        <v>0</v>
      </c>
      <c r="X236" s="18">
        <f t="shared" si="368"/>
        <v>0</v>
      </c>
      <c r="Y236" s="18">
        <f t="shared" si="368"/>
        <v>0</v>
      </c>
      <c r="Z236" s="18">
        <f t="shared" si="368"/>
        <v>0</v>
      </c>
      <c r="AA236" s="18">
        <f t="shared" si="368"/>
        <v>0</v>
      </c>
      <c r="AB236" s="18">
        <f t="shared" si="368"/>
        <v>0</v>
      </c>
      <c r="AC236" s="18">
        <f t="shared" si="368"/>
        <v>0</v>
      </c>
      <c r="AD236" s="18">
        <f t="shared" si="368"/>
        <v>0</v>
      </c>
      <c r="AE236" s="18">
        <f t="shared" si="368"/>
        <v>0</v>
      </c>
      <c r="AF236" s="18">
        <f t="shared" si="368"/>
        <v>0</v>
      </c>
      <c r="AG236" s="18">
        <f t="shared" si="368"/>
        <v>0</v>
      </c>
      <c r="AH236" s="18">
        <f t="shared" si="368"/>
        <v>0</v>
      </c>
      <c r="AI236" s="18">
        <f t="shared" si="368"/>
        <v>0</v>
      </c>
      <c r="AJ236" s="18">
        <f t="shared" si="368"/>
        <v>0</v>
      </c>
      <c r="AK236" s="18">
        <f t="shared" si="368"/>
        <v>0</v>
      </c>
      <c r="AL236" s="18">
        <f t="shared" si="368"/>
        <v>0</v>
      </c>
      <c r="AM236" s="18">
        <f t="shared" si="368"/>
        <v>0</v>
      </c>
      <c r="AN236" s="18">
        <f t="shared" si="368"/>
        <v>0</v>
      </c>
      <c r="AO236" s="18">
        <f t="shared" si="368"/>
        <v>0</v>
      </c>
      <c r="AP236" s="18">
        <f t="shared" si="368"/>
        <v>0</v>
      </c>
      <c r="AQ236" s="18">
        <f t="shared" si="368"/>
        <v>0</v>
      </c>
      <c r="AR236" s="18">
        <f t="shared" si="368"/>
        <v>0</v>
      </c>
      <c r="AS236" s="18">
        <f t="shared" si="368"/>
        <v>0</v>
      </c>
      <c r="AT236" s="18">
        <f t="shared" si="368"/>
        <v>0</v>
      </c>
      <c r="AU236" s="18">
        <f t="shared" si="368"/>
        <v>0</v>
      </c>
      <c r="AV236" s="18">
        <f t="shared" si="368"/>
        <v>0</v>
      </c>
      <c r="AW236" s="18">
        <f t="shared" si="368"/>
        <v>0</v>
      </c>
      <c r="AX236" s="18">
        <f t="shared" si="368"/>
        <v>0</v>
      </c>
      <c r="AY236" s="18">
        <f t="shared" si="368"/>
        <v>0</v>
      </c>
      <c r="AZ236" s="18">
        <f t="shared" si="368"/>
        <v>0</v>
      </c>
      <c r="BA236" s="18">
        <f t="shared" si="368"/>
        <v>0</v>
      </c>
      <c r="BB236" s="18">
        <f t="shared" si="368"/>
        <v>0</v>
      </c>
      <c r="BC236" s="18">
        <f t="shared" si="368"/>
        <v>0</v>
      </c>
      <c r="BD236" s="18">
        <f t="shared" si="368"/>
        <v>0</v>
      </c>
      <c r="BE236" s="18">
        <f t="shared" si="368"/>
        <v>0</v>
      </c>
      <c r="BF236" s="18">
        <f t="shared" si="368"/>
        <v>0</v>
      </c>
      <c r="BG236" s="18">
        <f t="shared" si="368"/>
        <v>0</v>
      </c>
      <c r="BH236" s="18">
        <f t="shared" si="368"/>
        <v>0</v>
      </c>
      <c r="BI236" s="18">
        <f t="shared" si="368"/>
        <v>0</v>
      </c>
      <c r="BJ236" s="18">
        <f t="shared" si="368"/>
        <v>0</v>
      </c>
      <c r="BK236" s="18">
        <f t="shared" si="368"/>
        <v>0</v>
      </c>
      <c r="BL236" s="18">
        <f t="shared" si="368"/>
        <v>0</v>
      </c>
      <c r="BM236" s="18">
        <f t="shared" si="368"/>
        <v>0</v>
      </c>
      <c r="BN236" s="18">
        <f t="shared" si="368"/>
        <v>0</v>
      </c>
      <c r="BO236" s="18">
        <f t="shared" ref="BO236:CB236" si="369">BO73*BO192</f>
        <v>0</v>
      </c>
      <c r="BP236" s="18">
        <f t="shared" si="369"/>
        <v>0</v>
      </c>
      <c r="BQ236" s="18">
        <f t="shared" si="369"/>
        <v>0</v>
      </c>
      <c r="BR236" s="18">
        <f t="shared" si="369"/>
        <v>0</v>
      </c>
      <c r="BS236" s="18">
        <f t="shared" si="369"/>
        <v>0</v>
      </c>
      <c r="BT236" s="18">
        <f t="shared" si="369"/>
        <v>0</v>
      </c>
      <c r="BU236" s="18">
        <f t="shared" si="369"/>
        <v>0</v>
      </c>
      <c r="BV236" s="18">
        <f t="shared" si="369"/>
        <v>0</v>
      </c>
      <c r="BW236" s="18">
        <f t="shared" si="369"/>
        <v>0</v>
      </c>
      <c r="BX236" s="18">
        <f t="shared" si="369"/>
        <v>0</v>
      </c>
      <c r="BY236" s="18">
        <f t="shared" si="369"/>
        <v>0</v>
      </c>
      <c r="BZ236" s="18">
        <f t="shared" si="369"/>
        <v>0</v>
      </c>
      <c r="CA236" s="18">
        <f t="shared" si="369"/>
        <v>0</v>
      </c>
      <c r="CB236" s="18">
        <f t="shared" si="369"/>
        <v>0</v>
      </c>
      <c r="CC236" s="17"/>
      <c r="CD236" s="17"/>
      <c r="CE236" s="17"/>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c r="DG236" s="5"/>
      <c r="DH236" s="5"/>
      <c r="DI236" s="5"/>
      <c r="DJ236" s="5"/>
      <c r="DK236" s="5"/>
      <c r="DL236" s="5"/>
      <c r="DM236" s="5"/>
      <c r="DN236" s="5"/>
      <c r="DO236" s="5"/>
      <c r="DP236" s="5"/>
      <c r="DQ236" s="5"/>
      <c r="DR236" s="5"/>
      <c r="DS236" s="5"/>
      <c r="DT236" s="5"/>
      <c r="DU236" s="5"/>
      <c r="DV236" s="5"/>
      <c r="DW236" s="5"/>
      <c r="DX236" s="5"/>
      <c r="DY236" s="5"/>
      <c r="DZ236" s="5"/>
      <c r="EA236" s="5"/>
      <c r="EB236" s="5"/>
      <c r="EC236" s="5"/>
      <c r="ED236" s="5"/>
      <c r="EE236" s="5"/>
      <c r="EF236" s="5"/>
      <c r="EG236" s="5"/>
      <c r="EH236" s="5"/>
      <c r="EI236" s="5"/>
      <c r="EJ236" s="5"/>
      <c r="EK236" s="5"/>
      <c r="EL236" s="5"/>
      <c r="EM236" s="5"/>
      <c r="EN236" s="5"/>
      <c r="EO236" s="5"/>
      <c r="EP236" s="5"/>
      <c r="EQ236" s="5"/>
      <c r="ER236" s="5"/>
      <c r="ES236" s="5"/>
      <c r="ET236" s="5"/>
      <c r="EU236" s="5"/>
      <c r="EV236" s="5"/>
      <c r="EW236" s="5"/>
      <c r="EX236" s="5"/>
      <c r="EY236" s="5"/>
      <c r="EZ236" s="5"/>
      <c r="FA236" s="5"/>
      <c r="FB236" s="5"/>
      <c r="FC236" s="5"/>
      <c r="FD236" s="5"/>
      <c r="FE236" s="5"/>
      <c r="FF236" s="5"/>
      <c r="FG236" s="5"/>
      <c r="FH236" s="5"/>
      <c r="FI236" s="5"/>
      <c r="FJ236" s="5"/>
      <c r="FK236" s="5"/>
      <c r="FL236" s="5"/>
      <c r="FM236" s="5"/>
      <c r="FN236" s="5"/>
      <c r="FO236" s="5"/>
      <c r="FP236" s="5"/>
      <c r="FQ236" s="5"/>
      <c r="FR236" s="5"/>
      <c r="FS236" s="5"/>
      <c r="FT236" s="5"/>
      <c r="FU236" s="5"/>
      <c r="FV236" s="5"/>
      <c r="FW236" s="5"/>
      <c r="FX236" s="5"/>
      <c r="FY236" s="5"/>
      <c r="FZ236" s="5"/>
      <c r="GA236" s="5"/>
      <c r="GB236" s="5"/>
      <c r="GC236" s="5"/>
      <c r="GD236" s="5"/>
      <c r="GE236" s="5"/>
      <c r="GF236" s="5"/>
      <c r="GG236" s="5"/>
      <c r="GH236" s="5"/>
      <c r="GI236" s="5"/>
      <c r="GJ236" s="5"/>
      <c r="GK236" s="5"/>
      <c r="GL236" s="5"/>
      <c r="GM236" s="5"/>
      <c r="GN236" s="5"/>
      <c r="GO236" s="5"/>
      <c r="GP236" s="5"/>
      <c r="GQ236" s="5"/>
      <c r="GR236" s="5"/>
      <c r="GS236" s="5"/>
      <c r="GT236" s="5"/>
      <c r="GU236" s="5"/>
      <c r="GV236" s="5"/>
      <c r="GW236" s="5"/>
      <c r="GX236" s="5"/>
      <c r="GY236" s="5"/>
      <c r="GZ236" s="5"/>
      <c r="HA236" s="5"/>
      <c r="HB236" s="5"/>
      <c r="HC236" s="5"/>
      <c r="HD236" s="5"/>
      <c r="HE236" s="5"/>
      <c r="HF236" s="5"/>
      <c r="HG236" s="5"/>
      <c r="HH236" s="5"/>
      <c r="HI236" s="5"/>
      <c r="HJ236" s="5"/>
      <c r="HK236" s="5"/>
      <c r="HL236" s="5"/>
      <c r="HM236" s="5"/>
      <c r="HN236" s="5"/>
      <c r="HO236" s="5"/>
      <c r="HP236" s="5"/>
      <c r="HQ236" s="5"/>
      <c r="HR236" s="5"/>
      <c r="HS236" s="5"/>
      <c r="HT236" s="5"/>
      <c r="HU236" s="5"/>
      <c r="HV236" s="5"/>
      <c r="HW236" s="5"/>
      <c r="HX236" s="5"/>
      <c r="HY236" s="5"/>
      <c r="HZ236" s="5"/>
      <c r="IA236" s="5"/>
      <c r="IB236" s="5"/>
      <c r="IC236" s="5"/>
      <c r="ID236" s="5"/>
      <c r="IE236" s="5"/>
      <c r="IF236" s="5"/>
      <c r="IG236" s="5"/>
      <c r="IH236" s="5"/>
      <c r="II236" s="5"/>
      <c r="IJ236" s="5"/>
      <c r="IK236" s="5"/>
      <c r="IL236" s="5"/>
      <c r="IM236" s="5"/>
      <c r="IN236" s="5"/>
      <c r="IO236" s="5"/>
      <c r="IP236" s="5"/>
      <c r="IQ236" s="5"/>
      <c r="IR236" s="5"/>
      <c r="IS236" s="5"/>
      <c r="IT236" s="5"/>
      <c r="IU236" s="5"/>
      <c r="IV236" s="5"/>
    </row>
    <row r="237" spans="1:256">
      <c r="A237" s="18" t="str">
        <f>A75</f>
        <v>Bond 23</v>
      </c>
      <c r="B237" s="18">
        <f>B75*B197</f>
        <v>0</v>
      </c>
      <c r="C237" s="18">
        <f t="shared" ref="C237:BN237" si="370">C75*C197</f>
        <v>0</v>
      </c>
      <c r="D237" s="18">
        <f t="shared" si="370"/>
        <v>0</v>
      </c>
      <c r="E237" s="18">
        <f t="shared" si="370"/>
        <v>0</v>
      </c>
      <c r="F237" s="18">
        <f t="shared" si="370"/>
        <v>0</v>
      </c>
      <c r="G237" s="18">
        <f t="shared" si="370"/>
        <v>0</v>
      </c>
      <c r="H237" s="18">
        <f t="shared" si="370"/>
        <v>0</v>
      </c>
      <c r="I237" s="18">
        <f t="shared" si="370"/>
        <v>0</v>
      </c>
      <c r="J237" s="18">
        <f t="shared" si="370"/>
        <v>0</v>
      </c>
      <c r="K237" s="18">
        <f t="shared" si="370"/>
        <v>0</v>
      </c>
      <c r="L237" s="18">
        <f t="shared" si="370"/>
        <v>0</v>
      </c>
      <c r="M237" s="18">
        <f t="shared" si="370"/>
        <v>0</v>
      </c>
      <c r="N237" s="18">
        <f t="shared" si="370"/>
        <v>0</v>
      </c>
      <c r="O237" s="18">
        <f t="shared" si="370"/>
        <v>0</v>
      </c>
      <c r="P237" s="18">
        <f t="shared" si="370"/>
        <v>0</v>
      </c>
      <c r="Q237" s="18">
        <f t="shared" si="370"/>
        <v>0</v>
      </c>
      <c r="R237" s="18">
        <f t="shared" si="370"/>
        <v>0</v>
      </c>
      <c r="S237" s="18">
        <f t="shared" si="370"/>
        <v>0</v>
      </c>
      <c r="T237" s="18">
        <f t="shared" si="370"/>
        <v>0</v>
      </c>
      <c r="U237" s="18">
        <f t="shared" si="370"/>
        <v>0</v>
      </c>
      <c r="V237" s="18">
        <f t="shared" si="370"/>
        <v>0</v>
      </c>
      <c r="W237" s="18">
        <f t="shared" si="370"/>
        <v>0</v>
      </c>
      <c r="X237" s="18">
        <f t="shared" si="370"/>
        <v>0</v>
      </c>
      <c r="Y237" s="18">
        <f t="shared" si="370"/>
        <v>0</v>
      </c>
      <c r="Z237" s="18">
        <f t="shared" si="370"/>
        <v>0</v>
      </c>
      <c r="AA237" s="18">
        <f t="shared" si="370"/>
        <v>0</v>
      </c>
      <c r="AB237" s="18">
        <f t="shared" si="370"/>
        <v>0</v>
      </c>
      <c r="AC237" s="18">
        <f t="shared" si="370"/>
        <v>0</v>
      </c>
      <c r="AD237" s="18">
        <f t="shared" si="370"/>
        <v>0</v>
      </c>
      <c r="AE237" s="18">
        <f t="shared" si="370"/>
        <v>0</v>
      </c>
      <c r="AF237" s="18">
        <f t="shared" si="370"/>
        <v>0</v>
      </c>
      <c r="AG237" s="18">
        <f t="shared" si="370"/>
        <v>0</v>
      </c>
      <c r="AH237" s="18">
        <f t="shared" si="370"/>
        <v>0</v>
      </c>
      <c r="AI237" s="18">
        <f t="shared" si="370"/>
        <v>0</v>
      </c>
      <c r="AJ237" s="18">
        <f t="shared" si="370"/>
        <v>0</v>
      </c>
      <c r="AK237" s="18">
        <f t="shared" si="370"/>
        <v>0</v>
      </c>
      <c r="AL237" s="18">
        <f t="shared" si="370"/>
        <v>0</v>
      </c>
      <c r="AM237" s="18">
        <f t="shared" si="370"/>
        <v>0</v>
      </c>
      <c r="AN237" s="18">
        <f t="shared" si="370"/>
        <v>0</v>
      </c>
      <c r="AO237" s="18">
        <f t="shared" si="370"/>
        <v>0</v>
      </c>
      <c r="AP237" s="18">
        <f t="shared" si="370"/>
        <v>0</v>
      </c>
      <c r="AQ237" s="18">
        <f t="shared" si="370"/>
        <v>0</v>
      </c>
      <c r="AR237" s="18">
        <f t="shared" si="370"/>
        <v>0</v>
      </c>
      <c r="AS237" s="18">
        <f t="shared" si="370"/>
        <v>0</v>
      </c>
      <c r="AT237" s="18">
        <f t="shared" si="370"/>
        <v>0</v>
      </c>
      <c r="AU237" s="18">
        <f t="shared" si="370"/>
        <v>0</v>
      </c>
      <c r="AV237" s="18">
        <f t="shared" si="370"/>
        <v>0</v>
      </c>
      <c r="AW237" s="18">
        <f t="shared" si="370"/>
        <v>0</v>
      </c>
      <c r="AX237" s="18">
        <f t="shared" si="370"/>
        <v>0</v>
      </c>
      <c r="AY237" s="18">
        <f t="shared" si="370"/>
        <v>0</v>
      </c>
      <c r="AZ237" s="18">
        <f t="shared" si="370"/>
        <v>0</v>
      </c>
      <c r="BA237" s="18">
        <f t="shared" si="370"/>
        <v>0</v>
      </c>
      <c r="BB237" s="18">
        <f t="shared" si="370"/>
        <v>0</v>
      </c>
      <c r="BC237" s="18">
        <f t="shared" si="370"/>
        <v>0</v>
      </c>
      <c r="BD237" s="18">
        <f t="shared" si="370"/>
        <v>0</v>
      </c>
      <c r="BE237" s="18">
        <f t="shared" si="370"/>
        <v>0</v>
      </c>
      <c r="BF237" s="18">
        <f t="shared" si="370"/>
        <v>0</v>
      </c>
      <c r="BG237" s="18">
        <f t="shared" si="370"/>
        <v>0</v>
      </c>
      <c r="BH237" s="18">
        <f t="shared" si="370"/>
        <v>0</v>
      </c>
      <c r="BI237" s="18">
        <f t="shared" si="370"/>
        <v>0</v>
      </c>
      <c r="BJ237" s="18">
        <f t="shared" si="370"/>
        <v>0</v>
      </c>
      <c r="BK237" s="18">
        <f t="shared" si="370"/>
        <v>0</v>
      </c>
      <c r="BL237" s="18">
        <f t="shared" si="370"/>
        <v>0</v>
      </c>
      <c r="BM237" s="18">
        <f t="shared" si="370"/>
        <v>0</v>
      </c>
      <c r="BN237" s="18">
        <f t="shared" si="370"/>
        <v>0</v>
      </c>
      <c r="BO237" s="18">
        <f t="shared" ref="BO237:CB237" si="371">BO75*BO197</f>
        <v>0</v>
      </c>
      <c r="BP237" s="18">
        <f t="shared" si="371"/>
        <v>0</v>
      </c>
      <c r="BQ237" s="18">
        <f t="shared" si="371"/>
        <v>0</v>
      </c>
      <c r="BR237" s="18">
        <f t="shared" si="371"/>
        <v>0</v>
      </c>
      <c r="BS237" s="18">
        <f t="shared" si="371"/>
        <v>0</v>
      </c>
      <c r="BT237" s="18">
        <f t="shared" si="371"/>
        <v>0</v>
      </c>
      <c r="BU237" s="18">
        <f t="shared" si="371"/>
        <v>0</v>
      </c>
      <c r="BV237" s="18">
        <f t="shared" si="371"/>
        <v>0</v>
      </c>
      <c r="BW237" s="18">
        <f t="shared" si="371"/>
        <v>0</v>
      </c>
      <c r="BX237" s="18">
        <f t="shared" si="371"/>
        <v>0</v>
      </c>
      <c r="BY237" s="18">
        <f t="shared" si="371"/>
        <v>0</v>
      </c>
      <c r="BZ237" s="18">
        <f t="shared" si="371"/>
        <v>0</v>
      </c>
      <c r="CA237" s="18">
        <f t="shared" si="371"/>
        <v>0</v>
      </c>
      <c r="CB237" s="18">
        <f t="shared" si="371"/>
        <v>0</v>
      </c>
      <c r="CC237" s="17"/>
      <c r="CD237" s="17"/>
      <c r="CE237" s="17"/>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c r="DG237" s="5"/>
      <c r="DH237" s="5"/>
      <c r="DI237" s="5"/>
      <c r="DJ237" s="5"/>
      <c r="DK237" s="5"/>
      <c r="DL237" s="5"/>
      <c r="DM237" s="5"/>
      <c r="DN237" s="5"/>
      <c r="DO237" s="5"/>
      <c r="DP237" s="5"/>
      <c r="DQ237" s="5"/>
      <c r="DR237" s="5"/>
      <c r="DS237" s="5"/>
      <c r="DT237" s="5"/>
      <c r="DU237" s="5"/>
      <c r="DV237" s="5"/>
      <c r="DW237" s="5"/>
      <c r="DX237" s="5"/>
      <c r="DY237" s="5"/>
      <c r="DZ237" s="5"/>
      <c r="EA237" s="5"/>
      <c r="EB237" s="5"/>
      <c r="EC237" s="5"/>
      <c r="ED237" s="5"/>
      <c r="EE237" s="5"/>
      <c r="EF237" s="5"/>
      <c r="EG237" s="5"/>
      <c r="EH237" s="5"/>
      <c r="EI237" s="5"/>
      <c r="EJ237" s="5"/>
      <c r="EK237" s="5"/>
      <c r="EL237" s="5"/>
      <c r="EM237" s="5"/>
      <c r="EN237" s="5"/>
      <c r="EO237" s="5"/>
      <c r="EP237" s="5"/>
      <c r="EQ237" s="5"/>
      <c r="ER237" s="5"/>
      <c r="ES237" s="5"/>
      <c r="ET237" s="5"/>
      <c r="EU237" s="5"/>
      <c r="EV237" s="5"/>
      <c r="EW237" s="5"/>
      <c r="EX237" s="5"/>
      <c r="EY237" s="5"/>
      <c r="EZ237" s="5"/>
      <c r="FA237" s="5"/>
      <c r="FB237" s="5"/>
      <c r="FC237" s="5"/>
      <c r="FD237" s="5"/>
      <c r="FE237" s="5"/>
      <c r="FF237" s="5"/>
      <c r="FG237" s="5"/>
      <c r="FH237" s="5"/>
      <c r="FI237" s="5"/>
      <c r="FJ237" s="5"/>
      <c r="FK237" s="5"/>
      <c r="FL237" s="5"/>
      <c r="FM237" s="5"/>
      <c r="FN237" s="5"/>
      <c r="FO237" s="5"/>
      <c r="FP237" s="5"/>
      <c r="FQ237" s="5"/>
      <c r="FR237" s="5"/>
      <c r="FS237" s="5"/>
      <c r="FT237" s="5"/>
      <c r="FU237" s="5"/>
      <c r="FV237" s="5"/>
      <c r="FW237" s="5"/>
      <c r="FX237" s="5"/>
      <c r="FY237" s="5"/>
      <c r="FZ237" s="5"/>
      <c r="GA237" s="5"/>
      <c r="GB237" s="5"/>
      <c r="GC237" s="5"/>
      <c r="GD237" s="5"/>
      <c r="GE237" s="5"/>
      <c r="GF237" s="5"/>
      <c r="GG237" s="5"/>
      <c r="GH237" s="5"/>
      <c r="GI237" s="5"/>
      <c r="GJ237" s="5"/>
      <c r="GK237" s="5"/>
      <c r="GL237" s="5"/>
      <c r="GM237" s="5"/>
      <c r="GN237" s="5"/>
      <c r="GO237" s="5"/>
      <c r="GP237" s="5"/>
      <c r="GQ237" s="5"/>
      <c r="GR237" s="5"/>
      <c r="GS237" s="5"/>
      <c r="GT237" s="5"/>
      <c r="GU237" s="5"/>
      <c r="GV237" s="5"/>
      <c r="GW237" s="5"/>
      <c r="GX237" s="5"/>
      <c r="GY237" s="5"/>
      <c r="GZ237" s="5"/>
      <c r="HA237" s="5"/>
      <c r="HB237" s="5"/>
      <c r="HC237" s="5"/>
      <c r="HD237" s="5"/>
      <c r="HE237" s="5"/>
      <c r="HF237" s="5"/>
      <c r="HG237" s="5"/>
      <c r="HH237" s="5"/>
      <c r="HI237" s="5"/>
      <c r="HJ237" s="5"/>
      <c r="HK237" s="5"/>
      <c r="HL237" s="5"/>
      <c r="HM237" s="5"/>
      <c r="HN237" s="5"/>
      <c r="HO237" s="5"/>
      <c r="HP237" s="5"/>
      <c r="HQ237" s="5"/>
      <c r="HR237" s="5"/>
      <c r="HS237" s="5"/>
      <c r="HT237" s="5"/>
      <c r="HU237" s="5"/>
      <c r="HV237" s="5"/>
      <c r="HW237" s="5"/>
      <c r="HX237" s="5"/>
      <c r="HY237" s="5"/>
      <c r="HZ237" s="5"/>
      <c r="IA237" s="5"/>
      <c r="IB237" s="5"/>
      <c r="IC237" s="5"/>
      <c r="ID237" s="5"/>
      <c r="IE237" s="5"/>
      <c r="IF237" s="5"/>
      <c r="IG237" s="5"/>
      <c r="IH237" s="5"/>
      <c r="II237" s="5"/>
      <c r="IJ237" s="5"/>
      <c r="IK237" s="5"/>
      <c r="IL237" s="5"/>
      <c r="IM237" s="5"/>
      <c r="IN237" s="5"/>
      <c r="IO237" s="5"/>
      <c r="IP237" s="5"/>
      <c r="IQ237" s="5"/>
      <c r="IR237" s="5"/>
      <c r="IS237" s="5"/>
      <c r="IT237" s="5"/>
      <c r="IU237" s="5"/>
      <c r="IV237" s="5"/>
    </row>
    <row r="238" spans="1:256">
      <c r="A238" s="18" t="str">
        <f>A77</f>
        <v>Bond 24</v>
      </c>
      <c r="B238" s="18">
        <f>B77*B202</f>
        <v>0</v>
      </c>
      <c r="C238" s="18">
        <f t="shared" ref="C238:BN238" si="372">C77*C202</f>
        <v>0</v>
      </c>
      <c r="D238" s="18">
        <f t="shared" si="372"/>
        <v>0</v>
      </c>
      <c r="E238" s="18">
        <f t="shared" si="372"/>
        <v>0</v>
      </c>
      <c r="F238" s="18">
        <f t="shared" si="372"/>
        <v>0</v>
      </c>
      <c r="G238" s="18">
        <f t="shared" si="372"/>
        <v>0</v>
      </c>
      <c r="H238" s="18">
        <f t="shared" si="372"/>
        <v>0</v>
      </c>
      <c r="I238" s="18">
        <f t="shared" si="372"/>
        <v>0</v>
      </c>
      <c r="J238" s="18">
        <f t="shared" si="372"/>
        <v>0</v>
      </c>
      <c r="K238" s="18">
        <f t="shared" si="372"/>
        <v>0</v>
      </c>
      <c r="L238" s="18">
        <f t="shared" si="372"/>
        <v>0</v>
      </c>
      <c r="M238" s="18">
        <f t="shared" si="372"/>
        <v>0</v>
      </c>
      <c r="N238" s="18">
        <f t="shared" si="372"/>
        <v>0</v>
      </c>
      <c r="O238" s="18">
        <f t="shared" si="372"/>
        <v>0</v>
      </c>
      <c r="P238" s="18">
        <f t="shared" si="372"/>
        <v>0</v>
      </c>
      <c r="Q238" s="18">
        <f t="shared" si="372"/>
        <v>0</v>
      </c>
      <c r="R238" s="18">
        <f t="shared" si="372"/>
        <v>0</v>
      </c>
      <c r="S238" s="18">
        <f t="shared" si="372"/>
        <v>0</v>
      </c>
      <c r="T238" s="18">
        <f t="shared" si="372"/>
        <v>0</v>
      </c>
      <c r="U238" s="18">
        <f t="shared" si="372"/>
        <v>0</v>
      </c>
      <c r="V238" s="18">
        <f t="shared" si="372"/>
        <v>0</v>
      </c>
      <c r="W238" s="18">
        <f t="shared" si="372"/>
        <v>0</v>
      </c>
      <c r="X238" s="18">
        <f t="shared" si="372"/>
        <v>0</v>
      </c>
      <c r="Y238" s="18">
        <f t="shared" si="372"/>
        <v>0</v>
      </c>
      <c r="Z238" s="18">
        <f t="shared" si="372"/>
        <v>0</v>
      </c>
      <c r="AA238" s="18">
        <f t="shared" si="372"/>
        <v>0</v>
      </c>
      <c r="AB238" s="18">
        <f t="shared" si="372"/>
        <v>0</v>
      </c>
      <c r="AC238" s="18">
        <f t="shared" si="372"/>
        <v>0</v>
      </c>
      <c r="AD238" s="18">
        <f t="shared" si="372"/>
        <v>0</v>
      </c>
      <c r="AE238" s="18">
        <f t="shared" si="372"/>
        <v>0</v>
      </c>
      <c r="AF238" s="18">
        <f t="shared" si="372"/>
        <v>0</v>
      </c>
      <c r="AG238" s="18">
        <f t="shared" si="372"/>
        <v>0</v>
      </c>
      <c r="AH238" s="18">
        <f t="shared" si="372"/>
        <v>0</v>
      </c>
      <c r="AI238" s="18">
        <f t="shared" si="372"/>
        <v>0</v>
      </c>
      <c r="AJ238" s="18">
        <f t="shared" si="372"/>
        <v>0</v>
      </c>
      <c r="AK238" s="18">
        <f t="shared" si="372"/>
        <v>0</v>
      </c>
      <c r="AL238" s="18">
        <f t="shared" si="372"/>
        <v>0</v>
      </c>
      <c r="AM238" s="18">
        <f t="shared" si="372"/>
        <v>0</v>
      </c>
      <c r="AN238" s="18">
        <f t="shared" si="372"/>
        <v>0</v>
      </c>
      <c r="AO238" s="18">
        <f t="shared" si="372"/>
        <v>0</v>
      </c>
      <c r="AP238" s="18">
        <f t="shared" si="372"/>
        <v>0</v>
      </c>
      <c r="AQ238" s="18">
        <f t="shared" si="372"/>
        <v>0</v>
      </c>
      <c r="AR238" s="18">
        <f t="shared" si="372"/>
        <v>0</v>
      </c>
      <c r="AS238" s="18">
        <f t="shared" si="372"/>
        <v>0</v>
      </c>
      <c r="AT238" s="18">
        <f t="shared" si="372"/>
        <v>0</v>
      </c>
      <c r="AU238" s="18">
        <f t="shared" si="372"/>
        <v>0</v>
      </c>
      <c r="AV238" s="18">
        <f t="shared" si="372"/>
        <v>0</v>
      </c>
      <c r="AW238" s="18">
        <f t="shared" si="372"/>
        <v>0</v>
      </c>
      <c r="AX238" s="18">
        <f t="shared" si="372"/>
        <v>0</v>
      </c>
      <c r="AY238" s="18">
        <f t="shared" si="372"/>
        <v>0</v>
      </c>
      <c r="AZ238" s="18">
        <f t="shared" si="372"/>
        <v>0</v>
      </c>
      <c r="BA238" s="18">
        <f t="shared" si="372"/>
        <v>0</v>
      </c>
      <c r="BB238" s="18">
        <f t="shared" si="372"/>
        <v>0</v>
      </c>
      <c r="BC238" s="18">
        <f t="shared" si="372"/>
        <v>0</v>
      </c>
      <c r="BD238" s="18">
        <f t="shared" si="372"/>
        <v>0</v>
      </c>
      <c r="BE238" s="18">
        <f t="shared" si="372"/>
        <v>0</v>
      </c>
      <c r="BF238" s="18">
        <f t="shared" si="372"/>
        <v>0</v>
      </c>
      <c r="BG238" s="18">
        <f t="shared" si="372"/>
        <v>0</v>
      </c>
      <c r="BH238" s="18">
        <f t="shared" si="372"/>
        <v>0</v>
      </c>
      <c r="BI238" s="18">
        <f t="shared" si="372"/>
        <v>0</v>
      </c>
      <c r="BJ238" s="18">
        <f t="shared" si="372"/>
        <v>0</v>
      </c>
      <c r="BK238" s="18">
        <f t="shared" si="372"/>
        <v>0</v>
      </c>
      <c r="BL238" s="18">
        <f t="shared" si="372"/>
        <v>0</v>
      </c>
      <c r="BM238" s="18">
        <f t="shared" si="372"/>
        <v>0</v>
      </c>
      <c r="BN238" s="18">
        <f t="shared" si="372"/>
        <v>0</v>
      </c>
      <c r="BO238" s="18">
        <f t="shared" ref="BO238:CB238" si="373">BO77*BO202</f>
        <v>0</v>
      </c>
      <c r="BP238" s="18">
        <f t="shared" si="373"/>
        <v>0</v>
      </c>
      <c r="BQ238" s="18">
        <f t="shared" si="373"/>
        <v>0</v>
      </c>
      <c r="BR238" s="18">
        <f t="shared" si="373"/>
        <v>0</v>
      </c>
      <c r="BS238" s="18">
        <f t="shared" si="373"/>
        <v>0</v>
      </c>
      <c r="BT238" s="18">
        <f t="shared" si="373"/>
        <v>0</v>
      </c>
      <c r="BU238" s="18">
        <f t="shared" si="373"/>
        <v>0</v>
      </c>
      <c r="BV238" s="18">
        <f t="shared" si="373"/>
        <v>0</v>
      </c>
      <c r="BW238" s="18">
        <f t="shared" si="373"/>
        <v>0</v>
      </c>
      <c r="BX238" s="18">
        <f t="shared" si="373"/>
        <v>0</v>
      </c>
      <c r="BY238" s="18">
        <f t="shared" si="373"/>
        <v>0</v>
      </c>
      <c r="BZ238" s="18">
        <f t="shared" si="373"/>
        <v>0</v>
      </c>
      <c r="CA238" s="18">
        <f t="shared" si="373"/>
        <v>0</v>
      </c>
      <c r="CB238" s="18">
        <f t="shared" si="373"/>
        <v>0</v>
      </c>
      <c r="CC238" s="17"/>
      <c r="CD238" s="17"/>
      <c r="CE238" s="17"/>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c r="DG238" s="5"/>
      <c r="DH238" s="5"/>
      <c r="DI238" s="5"/>
      <c r="DJ238" s="5"/>
      <c r="DK238" s="5"/>
      <c r="DL238" s="5"/>
      <c r="DM238" s="5"/>
      <c r="DN238" s="5"/>
      <c r="DO238" s="5"/>
      <c r="DP238" s="5"/>
      <c r="DQ238" s="5"/>
      <c r="DR238" s="5"/>
      <c r="DS238" s="5"/>
      <c r="DT238" s="5"/>
      <c r="DU238" s="5"/>
      <c r="DV238" s="5"/>
      <c r="DW238" s="5"/>
      <c r="DX238" s="5"/>
      <c r="DY238" s="5"/>
      <c r="DZ238" s="5"/>
      <c r="EA238" s="5"/>
      <c r="EB238" s="5"/>
      <c r="EC238" s="5"/>
      <c r="ED238" s="5"/>
      <c r="EE238" s="5"/>
      <c r="EF238" s="5"/>
      <c r="EG238" s="5"/>
      <c r="EH238" s="5"/>
      <c r="EI238" s="5"/>
      <c r="EJ238" s="5"/>
      <c r="EK238" s="5"/>
      <c r="EL238" s="5"/>
      <c r="EM238" s="5"/>
      <c r="EN238" s="5"/>
      <c r="EO238" s="5"/>
      <c r="EP238" s="5"/>
      <c r="EQ238" s="5"/>
      <c r="ER238" s="5"/>
      <c r="ES238" s="5"/>
      <c r="ET238" s="5"/>
      <c r="EU238" s="5"/>
      <c r="EV238" s="5"/>
      <c r="EW238" s="5"/>
      <c r="EX238" s="5"/>
      <c r="EY238" s="5"/>
      <c r="EZ238" s="5"/>
      <c r="FA238" s="5"/>
      <c r="FB238" s="5"/>
      <c r="FC238" s="5"/>
      <c r="FD238" s="5"/>
      <c r="FE238" s="5"/>
      <c r="FF238" s="5"/>
      <c r="FG238" s="5"/>
      <c r="FH238" s="5"/>
      <c r="FI238" s="5"/>
      <c r="FJ238" s="5"/>
      <c r="FK238" s="5"/>
      <c r="FL238" s="5"/>
      <c r="FM238" s="5"/>
      <c r="FN238" s="5"/>
      <c r="FO238" s="5"/>
      <c r="FP238" s="5"/>
      <c r="FQ238" s="5"/>
      <c r="FR238" s="5"/>
      <c r="FS238" s="5"/>
      <c r="FT238" s="5"/>
      <c r="FU238" s="5"/>
      <c r="FV238" s="5"/>
      <c r="FW238" s="5"/>
      <c r="FX238" s="5"/>
      <c r="FY238" s="5"/>
      <c r="FZ238" s="5"/>
      <c r="GA238" s="5"/>
      <c r="GB238" s="5"/>
      <c r="GC238" s="5"/>
      <c r="GD238" s="5"/>
      <c r="GE238" s="5"/>
      <c r="GF238" s="5"/>
      <c r="GG238" s="5"/>
      <c r="GH238" s="5"/>
      <c r="GI238" s="5"/>
      <c r="GJ238" s="5"/>
      <c r="GK238" s="5"/>
      <c r="GL238" s="5"/>
      <c r="GM238" s="5"/>
      <c r="GN238" s="5"/>
      <c r="GO238" s="5"/>
      <c r="GP238" s="5"/>
      <c r="GQ238" s="5"/>
      <c r="GR238" s="5"/>
      <c r="GS238" s="5"/>
      <c r="GT238" s="5"/>
      <c r="GU238" s="5"/>
      <c r="GV238" s="5"/>
      <c r="GW238" s="5"/>
      <c r="GX238" s="5"/>
      <c r="GY238" s="5"/>
      <c r="GZ238" s="5"/>
      <c r="HA238" s="5"/>
      <c r="HB238" s="5"/>
      <c r="HC238" s="5"/>
      <c r="HD238" s="5"/>
      <c r="HE238" s="5"/>
      <c r="HF238" s="5"/>
      <c r="HG238" s="5"/>
      <c r="HH238" s="5"/>
      <c r="HI238" s="5"/>
      <c r="HJ238" s="5"/>
      <c r="HK238" s="5"/>
      <c r="HL238" s="5"/>
      <c r="HM238" s="5"/>
      <c r="HN238" s="5"/>
      <c r="HO238" s="5"/>
      <c r="HP238" s="5"/>
      <c r="HQ238" s="5"/>
      <c r="HR238" s="5"/>
      <c r="HS238" s="5"/>
      <c r="HT238" s="5"/>
      <c r="HU238" s="5"/>
      <c r="HV238" s="5"/>
      <c r="HW238" s="5"/>
      <c r="HX238" s="5"/>
      <c r="HY238" s="5"/>
      <c r="HZ238" s="5"/>
      <c r="IA238" s="5"/>
      <c r="IB238" s="5"/>
      <c r="IC238" s="5"/>
      <c r="ID238" s="5"/>
      <c r="IE238" s="5"/>
      <c r="IF238" s="5"/>
      <c r="IG238" s="5"/>
      <c r="IH238" s="5"/>
      <c r="II238" s="5"/>
      <c r="IJ238" s="5"/>
      <c r="IK238" s="5"/>
      <c r="IL238" s="5"/>
      <c r="IM238" s="5"/>
      <c r="IN238" s="5"/>
      <c r="IO238" s="5"/>
      <c r="IP238" s="5"/>
      <c r="IQ238" s="5"/>
      <c r="IR238" s="5"/>
      <c r="IS238" s="5"/>
      <c r="IT238" s="5"/>
      <c r="IU238" s="5"/>
      <c r="IV238" s="5"/>
    </row>
    <row r="239" spans="1:256">
      <c r="A239" s="18" t="str">
        <f>A79</f>
        <v>Bond 25</v>
      </c>
      <c r="B239" s="18">
        <f>B79*B207</f>
        <v>0</v>
      </c>
      <c r="C239" s="18">
        <f t="shared" ref="C239:BN239" si="374">C79*C207</f>
        <v>0</v>
      </c>
      <c r="D239" s="18">
        <f t="shared" si="374"/>
        <v>0</v>
      </c>
      <c r="E239" s="18">
        <f t="shared" si="374"/>
        <v>0</v>
      </c>
      <c r="F239" s="18">
        <f t="shared" si="374"/>
        <v>0</v>
      </c>
      <c r="G239" s="18">
        <f t="shared" si="374"/>
        <v>0</v>
      </c>
      <c r="H239" s="18">
        <f t="shared" si="374"/>
        <v>0</v>
      </c>
      <c r="I239" s="18">
        <f t="shared" si="374"/>
        <v>0</v>
      </c>
      <c r="J239" s="18">
        <f t="shared" si="374"/>
        <v>0</v>
      </c>
      <c r="K239" s="18">
        <f t="shared" si="374"/>
        <v>0</v>
      </c>
      <c r="L239" s="18">
        <f t="shared" si="374"/>
        <v>0</v>
      </c>
      <c r="M239" s="18">
        <f t="shared" si="374"/>
        <v>0</v>
      </c>
      <c r="N239" s="18">
        <f t="shared" si="374"/>
        <v>0</v>
      </c>
      <c r="O239" s="18">
        <f t="shared" si="374"/>
        <v>0</v>
      </c>
      <c r="P239" s="18">
        <f t="shared" si="374"/>
        <v>0</v>
      </c>
      <c r="Q239" s="18">
        <f t="shared" si="374"/>
        <v>0</v>
      </c>
      <c r="R239" s="18">
        <f t="shared" si="374"/>
        <v>0</v>
      </c>
      <c r="S239" s="18">
        <f t="shared" si="374"/>
        <v>0</v>
      </c>
      <c r="T239" s="18">
        <f t="shared" si="374"/>
        <v>0</v>
      </c>
      <c r="U239" s="18">
        <f t="shared" si="374"/>
        <v>0</v>
      </c>
      <c r="V239" s="18">
        <f t="shared" si="374"/>
        <v>0</v>
      </c>
      <c r="W239" s="18">
        <f t="shared" si="374"/>
        <v>0</v>
      </c>
      <c r="X239" s="18">
        <f t="shared" si="374"/>
        <v>0</v>
      </c>
      <c r="Y239" s="18">
        <f t="shared" si="374"/>
        <v>0</v>
      </c>
      <c r="Z239" s="18">
        <f t="shared" si="374"/>
        <v>0</v>
      </c>
      <c r="AA239" s="18">
        <f t="shared" si="374"/>
        <v>0</v>
      </c>
      <c r="AB239" s="18">
        <f t="shared" si="374"/>
        <v>0</v>
      </c>
      <c r="AC239" s="18">
        <f t="shared" si="374"/>
        <v>0</v>
      </c>
      <c r="AD239" s="18">
        <f t="shared" si="374"/>
        <v>0</v>
      </c>
      <c r="AE239" s="18">
        <f t="shared" si="374"/>
        <v>0</v>
      </c>
      <c r="AF239" s="18">
        <f t="shared" si="374"/>
        <v>0</v>
      </c>
      <c r="AG239" s="18">
        <f t="shared" si="374"/>
        <v>0</v>
      </c>
      <c r="AH239" s="18">
        <f t="shared" si="374"/>
        <v>0</v>
      </c>
      <c r="AI239" s="18">
        <f t="shared" si="374"/>
        <v>0</v>
      </c>
      <c r="AJ239" s="18">
        <f t="shared" si="374"/>
        <v>0</v>
      </c>
      <c r="AK239" s="18">
        <f t="shared" si="374"/>
        <v>0</v>
      </c>
      <c r="AL239" s="18">
        <f t="shared" si="374"/>
        <v>0</v>
      </c>
      <c r="AM239" s="18">
        <f t="shared" si="374"/>
        <v>0</v>
      </c>
      <c r="AN239" s="18">
        <f t="shared" si="374"/>
        <v>0</v>
      </c>
      <c r="AO239" s="18">
        <f t="shared" si="374"/>
        <v>0</v>
      </c>
      <c r="AP239" s="18">
        <f t="shared" si="374"/>
        <v>0</v>
      </c>
      <c r="AQ239" s="18">
        <f t="shared" si="374"/>
        <v>0</v>
      </c>
      <c r="AR239" s="18">
        <f t="shared" si="374"/>
        <v>0</v>
      </c>
      <c r="AS239" s="18">
        <f t="shared" si="374"/>
        <v>0</v>
      </c>
      <c r="AT239" s="18">
        <f t="shared" si="374"/>
        <v>0</v>
      </c>
      <c r="AU239" s="18">
        <f t="shared" si="374"/>
        <v>0</v>
      </c>
      <c r="AV239" s="18">
        <f t="shared" si="374"/>
        <v>0</v>
      </c>
      <c r="AW239" s="18">
        <f t="shared" si="374"/>
        <v>0</v>
      </c>
      <c r="AX239" s="18">
        <f t="shared" si="374"/>
        <v>0</v>
      </c>
      <c r="AY239" s="18">
        <f t="shared" si="374"/>
        <v>0</v>
      </c>
      <c r="AZ239" s="18">
        <f t="shared" si="374"/>
        <v>0</v>
      </c>
      <c r="BA239" s="18">
        <f t="shared" si="374"/>
        <v>0</v>
      </c>
      <c r="BB239" s="18">
        <f t="shared" si="374"/>
        <v>0</v>
      </c>
      <c r="BC239" s="18">
        <f t="shared" si="374"/>
        <v>0</v>
      </c>
      <c r="BD239" s="18">
        <f t="shared" si="374"/>
        <v>0</v>
      </c>
      <c r="BE239" s="18">
        <f t="shared" si="374"/>
        <v>0</v>
      </c>
      <c r="BF239" s="18">
        <f t="shared" si="374"/>
        <v>0</v>
      </c>
      <c r="BG239" s="18">
        <f t="shared" si="374"/>
        <v>0</v>
      </c>
      <c r="BH239" s="18">
        <f t="shared" si="374"/>
        <v>0</v>
      </c>
      <c r="BI239" s="18">
        <f t="shared" si="374"/>
        <v>0</v>
      </c>
      <c r="BJ239" s="18">
        <f t="shared" si="374"/>
        <v>0</v>
      </c>
      <c r="BK239" s="18">
        <f t="shared" si="374"/>
        <v>0</v>
      </c>
      <c r="BL239" s="18">
        <f t="shared" si="374"/>
        <v>0</v>
      </c>
      <c r="BM239" s="18">
        <f t="shared" si="374"/>
        <v>0</v>
      </c>
      <c r="BN239" s="18">
        <f t="shared" si="374"/>
        <v>0</v>
      </c>
      <c r="BO239" s="18">
        <f t="shared" ref="BO239:CB239" si="375">BO79*BO207</f>
        <v>0</v>
      </c>
      <c r="BP239" s="18">
        <f t="shared" si="375"/>
        <v>0</v>
      </c>
      <c r="BQ239" s="18">
        <f t="shared" si="375"/>
        <v>0</v>
      </c>
      <c r="BR239" s="18">
        <f t="shared" si="375"/>
        <v>0</v>
      </c>
      <c r="BS239" s="18">
        <f t="shared" si="375"/>
        <v>0</v>
      </c>
      <c r="BT239" s="18">
        <f t="shared" si="375"/>
        <v>0</v>
      </c>
      <c r="BU239" s="18">
        <f t="shared" si="375"/>
        <v>0</v>
      </c>
      <c r="BV239" s="18">
        <f t="shared" si="375"/>
        <v>0</v>
      </c>
      <c r="BW239" s="18">
        <f t="shared" si="375"/>
        <v>0</v>
      </c>
      <c r="BX239" s="18">
        <f t="shared" si="375"/>
        <v>0</v>
      </c>
      <c r="BY239" s="18">
        <f t="shared" si="375"/>
        <v>0</v>
      </c>
      <c r="BZ239" s="18">
        <f t="shared" si="375"/>
        <v>0</v>
      </c>
      <c r="CA239" s="18">
        <f t="shared" si="375"/>
        <v>0</v>
      </c>
      <c r="CB239" s="18">
        <f t="shared" si="375"/>
        <v>0</v>
      </c>
      <c r="CC239" s="17"/>
      <c r="CD239" s="17"/>
      <c r="CE239" s="17"/>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c r="DG239" s="5"/>
      <c r="DH239" s="5"/>
      <c r="DI239" s="5"/>
      <c r="DJ239" s="5"/>
      <c r="DK239" s="5"/>
      <c r="DL239" s="5"/>
      <c r="DM239" s="5"/>
      <c r="DN239" s="5"/>
      <c r="DO239" s="5"/>
      <c r="DP239" s="5"/>
      <c r="DQ239" s="5"/>
      <c r="DR239" s="5"/>
      <c r="DS239" s="5"/>
      <c r="DT239" s="5"/>
      <c r="DU239" s="5"/>
      <c r="DV239" s="5"/>
      <c r="DW239" s="5"/>
      <c r="DX239" s="5"/>
      <c r="DY239" s="5"/>
      <c r="DZ239" s="5"/>
      <c r="EA239" s="5"/>
      <c r="EB239" s="5"/>
      <c r="EC239" s="5"/>
      <c r="ED239" s="5"/>
      <c r="EE239" s="5"/>
      <c r="EF239" s="5"/>
      <c r="EG239" s="5"/>
      <c r="EH239" s="5"/>
      <c r="EI239" s="5"/>
      <c r="EJ239" s="5"/>
      <c r="EK239" s="5"/>
      <c r="EL239" s="5"/>
      <c r="EM239" s="5"/>
      <c r="EN239" s="5"/>
      <c r="EO239" s="5"/>
      <c r="EP239" s="5"/>
      <c r="EQ239" s="5"/>
      <c r="ER239" s="5"/>
      <c r="ES239" s="5"/>
      <c r="ET239" s="5"/>
      <c r="EU239" s="5"/>
      <c r="EV239" s="5"/>
      <c r="EW239" s="5"/>
      <c r="EX239" s="5"/>
      <c r="EY239" s="5"/>
      <c r="EZ239" s="5"/>
      <c r="FA239" s="5"/>
      <c r="FB239" s="5"/>
      <c r="FC239" s="5"/>
      <c r="FD239" s="5"/>
      <c r="FE239" s="5"/>
      <c r="FF239" s="5"/>
      <c r="FG239" s="5"/>
      <c r="FH239" s="5"/>
      <c r="FI239" s="5"/>
      <c r="FJ239" s="5"/>
      <c r="FK239" s="5"/>
      <c r="FL239" s="5"/>
      <c r="FM239" s="5"/>
      <c r="FN239" s="5"/>
      <c r="FO239" s="5"/>
      <c r="FP239" s="5"/>
      <c r="FQ239" s="5"/>
      <c r="FR239" s="5"/>
      <c r="FS239" s="5"/>
      <c r="FT239" s="5"/>
      <c r="FU239" s="5"/>
      <c r="FV239" s="5"/>
      <c r="FW239" s="5"/>
      <c r="FX239" s="5"/>
      <c r="FY239" s="5"/>
      <c r="FZ239" s="5"/>
      <c r="GA239" s="5"/>
      <c r="GB239" s="5"/>
      <c r="GC239" s="5"/>
      <c r="GD239" s="5"/>
      <c r="GE239" s="5"/>
      <c r="GF239" s="5"/>
      <c r="GG239" s="5"/>
      <c r="GH239" s="5"/>
      <c r="GI239" s="5"/>
      <c r="GJ239" s="5"/>
      <c r="GK239" s="5"/>
      <c r="GL239" s="5"/>
      <c r="GM239" s="5"/>
      <c r="GN239" s="5"/>
      <c r="GO239" s="5"/>
      <c r="GP239" s="5"/>
      <c r="GQ239" s="5"/>
      <c r="GR239" s="5"/>
      <c r="GS239" s="5"/>
      <c r="GT239" s="5"/>
      <c r="GU239" s="5"/>
      <c r="GV239" s="5"/>
      <c r="GW239" s="5"/>
      <c r="GX239" s="5"/>
      <c r="GY239" s="5"/>
      <c r="GZ239" s="5"/>
      <c r="HA239" s="5"/>
      <c r="HB239" s="5"/>
      <c r="HC239" s="5"/>
      <c r="HD239" s="5"/>
      <c r="HE239" s="5"/>
      <c r="HF239" s="5"/>
      <c r="HG239" s="5"/>
      <c r="HH239" s="5"/>
      <c r="HI239" s="5"/>
      <c r="HJ239" s="5"/>
      <c r="HK239" s="5"/>
      <c r="HL239" s="5"/>
      <c r="HM239" s="5"/>
      <c r="HN239" s="5"/>
      <c r="HO239" s="5"/>
      <c r="HP239" s="5"/>
      <c r="HQ239" s="5"/>
      <c r="HR239" s="5"/>
      <c r="HS239" s="5"/>
      <c r="HT239" s="5"/>
      <c r="HU239" s="5"/>
      <c r="HV239" s="5"/>
      <c r="HW239" s="5"/>
      <c r="HX239" s="5"/>
      <c r="HY239" s="5"/>
      <c r="HZ239" s="5"/>
      <c r="IA239" s="5"/>
      <c r="IB239" s="5"/>
      <c r="IC239" s="5"/>
      <c r="ID239" s="5"/>
      <c r="IE239" s="5"/>
      <c r="IF239" s="5"/>
      <c r="IG239" s="5"/>
      <c r="IH239" s="5"/>
      <c r="II239" s="5"/>
      <c r="IJ239" s="5"/>
      <c r="IK239" s="5"/>
      <c r="IL239" s="5"/>
      <c r="IM239" s="5"/>
      <c r="IN239" s="5"/>
      <c r="IO239" s="5"/>
      <c r="IP239" s="5"/>
      <c r="IQ239" s="5"/>
      <c r="IR239" s="5"/>
      <c r="IS239" s="5"/>
      <c r="IT239" s="5"/>
      <c r="IU239" s="5"/>
      <c r="IV239" s="5"/>
    </row>
    <row r="240" spans="1:256">
      <c r="A240" s="140" t="str">
        <f>A81</f>
        <v>Bond 26</v>
      </c>
      <c r="B240" s="18">
        <f>B81*B212</f>
        <v>0</v>
      </c>
      <c r="C240" s="18">
        <f t="shared" ref="C240:BN240" si="376">C81*C212</f>
        <v>0</v>
      </c>
      <c r="D240" s="18">
        <f t="shared" si="376"/>
        <v>0</v>
      </c>
      <c r="E240" s="18">
        <f t="shared" si="376"/>
        <v>0</v>
      </c>
      <c r="F240" s="18">
        <f t="shared" si="376"/>
        <v>0</v>
      </c>
      <c r="G240" s="18">
        <f t="shared" si="376"/>
        <v>0</v>
      </c>
      <c r="H240" s="18">
        <f t="shared" si="376"/>
        <v>0</v>
      </c>
      <c r="I240" s="18">
        <f t="shared" si="376"/>
        <v>0</v>
      </c>
      <c r="J240" s="18">
        <f t="shared" si="376"/>
        <v>0</v>
      </c>
      <c r="K240" s="18">
        <f t="shared" si="376"/>
        <v>0</v>
      </c>
      <c r="L240" s="18">
        <f t="shared" si="376"/>
        <v>0</v>
      </c>
      <c r="M240" s="18">
        <f t="shared" si="376"/>
        <v>0</v>
      </c>
      <c r="N240" s="18">
        <f t="shared" si="376"/>
        <v>0</v>
      </c>
      <c r="O240" s="18">
        <f t="shared" si="376"/>
        <v>0</v>
      </c>
      <c r="P240" s="18">
        <f t="shared" si="376"/>
        <v>0</v>
      </c>
      <c r="Q240" s="18">
        <f t="shared" si="376"/>
        <v>0</v>
      </c>
      <c r="R240" s="18">
        <f t="shared" si="376"/>
        <v>0</v>
      </c>
      <c r="S240" s="18">
        <f t="shared" si="376"/>
        <v>0</v>
      </c>
      <c r="T240" s="18">
        <f t="shared" si="376"/>
        <v>0</v>
      </c>
      <c r="U240" s="18">
        <f t="shared" si="376"/>
        <v>0</v>
      </c>
      <c r="V240" s="18">
        <f t="shared" si="376"/>
        <v>0</v>
      </c>
      <c r="W240" s="18">
        <f t="shared" si="376"/>
        <v>0</v>
      </c>
      <c r="X240" s="18">
        <f t="shared" si="376"/>
        <v>0</v>
      </c>
      <c r="Y240" s="18">
        <f t="shared" si="376"/>
        <v>0</v>
      </c>
      <c r="Z240" s="18">
        <f t="shared" si="376"/>
        <v>0</v>
      </c>
      <c r="AA240" s="18">
        <f t="shared" si="376"/>
        <v>0</v>
      </c>
      <c r="AB240" s="18">
        <f t="shared" si="376"/>
        <v>0</v>
      </c>
      <c r="AC240" s="18">
        <f t="shared" si="376"/>
        <v>0</v>
      </c>
      <c r="AD240" s="18">
        <f t="shared" si="376"/>
        <v>0</v>
      </c>
      <c r="AE240" s="18">
        <f t="shared" si="376"/>
        <v>0</v>
      </c>
      <c r="AF240" s="18">
        <f t="shared" si="376"/>
        <v>0</v>
      </c>
      <c r="AG240" s="18">
        <f t="shared" si="376"/>
        <v>0</v>
      </c>
      <c r="AH240" s="18">
        <f t="shared" si="376"/>
        <v>0</v>
      </c>
      <c r="AI240" s="18">
        <f t="shared" si="376"/>
        <v>0</v>
      </c>
      <c r="AJ240" s="18">
        <f t="shared" si="376"/>
        <v>0</v>
      </c>
      <c r="AK240" s="18">
        <f t="shared" si="376"/>
        <v>0</v>
      </c>
      <c r="AL240" s="18">
        <f t="shared" si="376"/>
        <v>0</v>
      </c>
      <c r="AM240" s="18">
        <f t="shared" si="376"/>
        <v>0</v>
      </c>
      <c r="AN240" s="18">
        <f t="shared" si="376"/>
        <v>0</v>
      </c>
      <c r="AO240" s="18">
        <f t="shared" si="376"/>
        <v>0</v>
      </c>
      <c r="AP240" s="18">
        <f t="shared" si="376"/>
        <v>0</v>
      </c>
      <c r="AQ240" s="18">
        <f t="shared" si="376"/>
        <v>0</v>
      </c>
      <c r="AR240" s="18">
        <f t="shared" si="376"/>
        <v>0</v>
      </c>
      <c r="AS240" s="18">
        <f t="shared" si="376"/>
        <v>0</v>
      </c>
      <c r="AT240" s="18">
        <f t="shared" si="376"/>
        <v>0</v>
      </c>
      <c r="AU240" s="18">
        <f t="shared" si="376"/>
        <v>0</v>
      </c>
      <c r="AV240" s="18">
        <f t="shared" si="376"/>
        <v>0</v>
      </c>
      <c r="AW240" s="18">
        <f t="shared" si="376"/>
        <v>0</v>
      </c>
      <c r="AX240" s="18">
        <f t="shared" si="376"/>
        <v>0</v>
      </c>
      <c r="AY240" s="18">
        <f t="shared" si="376"/>
        <v>0</v>
      </c>
      <c r="AZ240" s="18">
        <f t="shared" si="376"/>
        <v>0</v>
      </c>
      <c r="BA240" s="18">
        <f t="shared" si="376"/>
        <v>0</v>
      </c>
      <c r="BB240" s="18">
        <f t="shared" si="376"/>
        <v>0</v>
      </c>
      <c r="BC240" s="18">
        <f t="shared" si="376"/>
        <v>0</v>
      </c>
      <c r="BD240" s="18">
        <f t="shared" si="376"/>
        <v>0</v>
      </c>
      <c r="BE240" s="18">
        <f t="shared" si="376"/>
        <v>0</v>
      </c>
      <c r="BF240" s="18">
        <f t="shared" si="376"/>
        <v>0</v>
      </c>
      <c r="BG240" s="18">
        <f t="shared" si="376"/>
        <v>0</v>
      </c>
      <c r="BH240" s="18">
        <f t="shared" si="376"/>
        <v>0</v>
      </c>
      <c r="BI240" s="18">
        <f t="shared" si="376"/>
        <v>0</v>
      </c>
      <c r="BJ240" s="18">
        <f t="shared" si="376"/>
        <v>0</v>
      </c>
      <c r="BK240" s="18">
        <f t="shared" si="376"/>
        <v>0</v>
      </c>
      <c r="BL240" s="18">
        <f t="shared" si="376"/>
        <v>0</v>
      </c>
      <c r="BM240" s="18">
        <f t="shared" si="376"/>
        <v>0</v>
      </c>
      <c r="BN240" s="18">
        <f t="shared" si="376"/>
        <v>0</v>
      </c>
      <c r="BO240" s="18">
        <f t="shared" ref="BO240:CB240" si="377">BO81*BO212</f>
        <v>0</v>
      </c>
      <c r="BP240" s="18">
        <f t="shared" si="377"/>
        <v>0</v>
      </c>
      <c r="BQ240" s="18">
        <f t="shared" si="377"/>
        <v>0</v>
      </c>
      <c r="BR240" s="18">
        <f t="shared" si="377"/>
        <v>0</v>
      </c>
      <c r="BS240" s="18">
        <f t="shared" si="377"/>
        <v>0</v>
      </c>
      <c r="BT240" s="18">
        <f t="shared" si="377"/>
        <v>0</v>
      </c>
      <c r="BU240" s="18">
        <f t="shared" si="377"/>
        <v>0</v>
      </c>
      <c r="BV240" s="18">
        <f t="shared" si="377"/>
        <v>0</v>
      </c>
      <c r="BW240" s="18">
        <f t="shared" si="377"/>
        <v>0</v>
      </c>
      <c r="BX240" s="18">
        <f t="shared" si="377"/>
        <v>0</v>
      </c>
      <c r="BY240" s="18">
        <f t="shared" si="377"/>
        <v>0</v>
      </c>
      <c r="BZ240" s="18">
        <f t="shared" si="377"/>
        <v>0</v>
      </c>
      <c r="CA240" s="18">
        <f t="shared" si="377"/>
        <v>0</v>
      </c>
      <c r="CB240" s="18">
        <f t="shared" si="377"/>
        <v>0</v>
      </c>
      <c r="CC240" s="17"/>
      <c r="CD240" s="17"/>
      <c r="CE240" s="17"/>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c r="DI240" s="5"/>
      <c r="DJ240" s="5"/>
      <c r="DK240" s="5"/>
      <c r="DL240" s="5"/>
      <c r="DM240" s="5"/>
      <c r="DN240" s="5"/>
      <c r="DO240" s="5"/>
      <c r="DP240" s="5"/>
      <c r="DQ240" s="5"/>
      <c r="DR240" s="5"/>
      <c r="DS240" s="5"/>
      <c r="DT240" s="5"/>
      <c r="DU240" s="5"/>
      <c r="DV240" s="5"/>
      <c r="DW240" s="5"/>
      <c r="DX240" s="5"/>
      <c r="DY240" s="5"/>
      <c r="DZ240" s="5"/>
      <c r="EA240" s="5"/>
      <c r="EB240" s="5"/>
      <c r="EC240" s="5"/>
      <c r="ED240" s="5"/>
      <c r="EE240" s="5"/>
      <c r="EF240" s="5"/>
      <c r="EG240" s="5"/>
      <c r="EH240" s="5"/>
      <c r="EI240" s="5"/>
      <c r="EJ240" s="5"/>
      <c r="EK240" s="5"/>
      <c r="EL240" s="5"/>
      <c r="EM240" s="5"/>
      <c r="EN240" s="5"/>
      <c r="EO240" s="5"/>
      <c r="EP240" s="5"/>
      <c r="EQ240" s="5"/>
      <c r="ER240" s="5"/>
      <c r="ES240" s="5"/>
      <c r="ET240" s="5"/>
      <c r="EU240" s="5"/>
      <c r="EV240" s="5"/>
      <c r="EW240" s="5"/>
      <c r="EX240" s="5"/>
      <c r="EY240" s="5"/>
      <c r="EZ240" s="5"/>
      <c r="FA240" s="5"/>
      <c r="FB240" s="5"/>
      <c r="FC240" s="5"/>
      <c r="FD240" s="5"/>
      <c r="FE240" s="5"/>
      <c r="FF240" s="5"/>
      <c r="FG240" s="5"/>
      <c r="FH240" s="5"/>
      <c r="FI240" s="5"/>
      <c r="FJ240" s="5"/>
      <c r="FK240" s="5"/>
      <c r="FL240" s="5"/>
      <c r="FM240" s="5"/>
      <c r="FN240" s="5"/>
      <c r="FO240" s="5"/>
      <c r="FP240" s="5"/>
      <c r="FQ240" s="5"/>
      <c r="FR240" s="5"/>
      <c r="FS240" s="5"/>
      <c r="FT240" s="5"/>
      <c r="FU240" s="5"/>
      <c r="FV240" s="5"/>
      <c r="FW240" s="5"/>
      <c r="FX240" s="5"/>
      <c r="FY240" s="5"/>
      <c r="FZ240" s="5"/>
      <c r="GA240" s="5"/>
      <c r="GB240" s="5"/>
      <c r="GC240" s="5"/>
      <c r="GD240" s="5"/>
      <c r="GE240" s="5"/>
      <c r="GF240" s="5"/>
      <c r="GG240" s="5"/>
      <c r="GH240" s="5"/>
      <c r="GI240" s="5"/>
      <c r="GJ240" s="5"/>
      <c r="GK240" s="5"/>
      <c r="GL240" s="5"/>
      <c r="GM240" s="5"/>
      <c r="GN240" s="5"/>
      <c r="GO240" s="5"/>
      <c r="GP240" s="5"/>
      <c r="GQ240" s="5"/>
      <c r="GR240" s="5"/>
      <c r="GS240" s="5"/>
      <c r="GT240" s="5"/>
      <c r="GU240" s="5"/>
      <c r="GV240" s="5"/>
      <c r="GW240" s="5"/>
      <c r="GX240" s="5"/>
      <c r="GY240" s="5"/>
      <c r="GZ240" s="5"/>
      <c r="HA240" s="5"/>
      <c r="HB240" s="5"/>
      <c r="HC240" s="5"/>
      <c r="HD240" s="5"/>
      <c r="HE240" s="5"/>
      <c r="HF240" s="5"/>
      <c r="HG240" s="5"/>
      <c r="HH240" s="5"/>
      <c r="HI240" s="5"/>
      <c r="HJ240" s="5"/>
      <c r="HK240" s="5"/>
      <c r="HL240" s="5"/>
      <c r="HM240" s="5"/>
      <c r="HN240" s="5"/>
      <c r="HO240" s="5"/>
      <c r="HP240" s="5"/>
      <c r="HQ240" s="5"/>
      <c r="HR240" s="5"/>
      <c r="HS240" s="5"/>
      <c r="HT240" s="5"/>
      <c r="HU240" s="5"/>
      <c r="HV240" s="5"/>
      <c r="HW240" s="5"/>
      <c r="HX240" s="5"/>
      <c r="HY240" s="5"/>
      <c r="HZ240" s="5"/>
      <c r="IA240" s="5"/>
      <c r="IB240" s="5"/>
      <c r="IC240" s="5"/>
      <c r="ID240" s="5"/>
      <c r="IE240" s="5"/>
      <c r="IF240" s="5"/>
      <c r="IG240" s="5"/>
      <c r="IH240" s="5"/>
      <c r="II240" s="5"/>
      <c r="IJ240" s="5"/>
      <c r="IK240" s="5"/>
      <c r="IL240" s="5"/>
      <c r="IM240" s="5"/>
      <c r="IN240" s="5"/>
      <c r="IO240" s="5"/>
      <c r="IP240" s="5"/>
      <c r="IQ240" s="5"/>
      <c r="IR240" s="5"/>
      <c r="IS240" s="5"/>
      <c r="IT240" s="5"/>
      <c r="IU240" s="5"/>
      <c r="IV240" s="5"/>
    </row>
    <row r="241" spans="1:256">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7"/>
      <c r="AB241" s="17"/>
      <c r="AC241" s="17"/>
      <c r="AD241" s="17"/>
      <c r="AE241" s="17"/>
      <c r="AF241" s="17"/>
      <c r="AG241" s="17"/>
      <c r="AH241" s="17"/>
      <c r="AI241" s="17"/>
      <c r="AJ241" s="17"/>
      <c r="AK241" s="17"/>
      <c r="AL241" s="17"/>
      <c r="AM241" s="17"/>
      <c r="AN241" s="17"/>
      <c r="AO241" s="17"/>
      <c r="AP241" s="17"/>
      <c r="AQ241" s="17"/>
      <c r="AR241" s="17"/>
      <c r="AS241" s="17"/>
      <c r="AT241" s="17"/>
      <c r="AU241" s="17"/>
      <c r="AV241" s="17"/>
      <c r="AW241" s="17"/>
      <c r="AX241" s="17"/>
      <c r="AY241" s="17"/>
      <c r="AZ241" s="17"/>
      <c r="BA241" s="17"/>
      <c r="BB241" s="17"/>
      <c r="BC241" s="17"/>
      <c r="BD241" s="17"/>
      <c r="BE241" s="17"/>
      <c r="BF241" s="17"/>
      <c r="BG241" s="17"/>
      <c r="BH241" s="17"/>
      <c r="BI241" s="17"/>
      <c r="BJ241" s="17"/>
      <c r="BK241" s="17"/>
      <c r="BL241" s="17"/>
      <c r="BM241" s="17"/>
      <c r="BN241" s="17"/>
      <c r="BO241" s="17"/>
      <c r="BP241" s="17"/>
      <c r="BQ241" s="17"/>
      <c r="BR241" s="17"/>
      <c r="BS241" s="17"/>
      <c r="BT241" s="17"/>
      <c r="BU241" s="17"/>
      <c r="BV241" s="17"/>
      <c r="BW241" s="17"/>
      <c r="BX241" s="17"/>
      <c r="BY241" s="17"/>
      <c r="BZ241" s="17"/>
      <c r="CA241" s="17"/>
      <c r="CB241" s="17"/>
      <c r="CC241" s="17"/>
      <c r="CD241" s="17"/>
      <c r="CE241" s="17"/>
      <c r="CH241" s="11"/>
      <c r="CI241" s="11"/>
      <c r="CJ241" s="11"/>
      <c r="CK241" s="11"/>
      <c r="CL241" s="11"/>
      <c r="CM241" s="11"/>
      <c r="CN241" s="11"/>
      <c r="CO241" s="11"/>
      <c r="CP241" s="11"/>
      <c r="CQ241" s="11"/>
      <c r="CR241" s="11"/>
      <c r="CS241" s="11"/>
      <c r="CT241" s="11"/>
      <c r="CU241" s="11"/>
      <c r="CV241" s="11"/>
      <c r="CW241" s="11"/>
      <c r="CX241" s="11"/>
      <c r="CY241" s="11"/>
      <c r="CZ241" s="11"/>
      <c r="DA241" s="11"/>
      <c r="DB241" s="11"/>
      <c r="DC241" s="11"/>
      <c r="DD241" s="11"/>
      <c r="DE241" s="11"/>
      <c r="DF241" s="11"/>
      <c r="DG241" s="11"/>
      <c r="DH241" s="11"/>
      <c r="DI241" s="5"/>
      <c r="DJ241" s="5"/>
      <c r="DK241" s="5"/>
      <c r="DL241" s="5"/>
      <c r="DM241" s="5"/>
      <c r="DN241" s="5"/>
      <c r="DO241" s="5"/>
      <c r="DP241" s="5"/>
      <c r="DQ241" s="5"/>
      <c r="DR241" s="5"/>
      <c r="DS241" s="5"/>
      <c r="DT241" s="5"/>
      <c r="DU241" s="5"/>
      <c r="DV241" s="5"/>
      <c r="DW241" s="5"/>
      <c r="DX241" s="5"/>
      <c r="DY241" s="5"/>
      <c r="DZ241" s="5"/>
      <c r="EA241" s="5"/>
      <c r="EB241" s="5"/>
      <c r="EC241" s="5"/>
      <c r="ED241" s="5"/>
      <c r="EE241" s="5"/>
      <c r="EF241" s="5"/>
      <c r="EG241" s="5"/>
      <c r="EH241" s="5"/>
      <c r="EI241" s="5"/>
      <c r="EJ241" s="5"/>
      <c r="EK241" s="5"/>
      <c r="EL241" s="5"/>
      <c r="EM241" s="5"/>
      <c r="EN241" s="5"/>
      <c r="EO241" s="5"/>
      <c r="EP241" s="5"/>
      <c r="EQ241" s="5"/>
      <c r="ER241" s="5"/>
      <c r="ES241" s="5"/>
      <c r="ET241" s="5"/>
      <c r="EU241" s="5"/>
      <c r="EV241" s="5"/>
      <c r="EW241" s="5"/>
      <c r="EX241" s="5"/>
      <c r="EY241" s="5"/>
      <c r="EZ241" s="5"/>
      <c r="FA241" s="5"/>
      <c r="FB241" s="5"/>
      <c r="FC241" s="5"/>
      <c r="FD241" s="5"/>
      <c r="FE241" s="5"/>
      <c r="FF241" s="5"/>
      <c r="FG241" s="5"/>
      <c r="FH241" s="5"/>
      <c r="FI241" s="5"/>
      <c r="FJ241" s="5"/>
      <c r="FK241" s="5"/>
      <c r="FL241" s="5"/>
      <c r="FM241" s="5"/>
      <c r="FN241" s="5"/>
      <c r="FO241" s="5"/>
      <c r="FP241" s="5"/>
      <c r="FQ241" s="5"/>
      <c r="FR241" s="5"/>
      <c r="FS241" s="5"/>
      <c r="FT241" s="5"/>
      <c r="FU241" s="5"/>
      <c r="FV241" s="5"/>
      <c r="FW241" s="5"/>
      <c r="FX241" s="5"/>
      <c r="FY241" s="5"/>
      <c r="FZ241" s="5"/>
      <c r="GA241" s="5"/>
      <c r="GB241" s="5"/>
      <c r="GC241" s="5"/>
      <c r="GD241" s="5"/>
      <c r="GE241" s="5"/>
      <c r="GF241" s="5"/>
      <c r="GG241" s="5"/>
      <c r="GH241" s="5"/>
      <c r="GI241" s="5"/>
      <c r="GJ241" s="5"/>
      <c r="GK241" s="5"/>
      <c r="GL241" s="5"/>
      <c r="GM241" s="5"/>
      <c r="GN241" s="5"/>
      <c r="GO241" s="5"/>
      <c r="GP241" s="5"/>
      <c r="GQ241" s="5"/>
      <c r="GR241" s="5"/>
      <c r="GS241" s="5"/>
      <c r="GT241" s="5"/>
      <c r="GU241" s="5"/>
      <c r="GV241" s="5"/>
      <c r="GW241" s="5"/>
      <c r="GX241" s="5"/>
      <c r="GY241" s="5"/>
      <c r="GZ241" s="5"/>
      <c r="HA241" s="5"/>
      <c r="HB241" s="5"/>
      <c r="HC241" s="5"/>
      <c r="HD241" s="5"/>
      <c r="HE241" s="5"/>
      <c r="HF241" s="5"/>
      <c r="HG241" s="5"/>
      <c r="HH241" s="5"/>
      <c r="HI241" s="5"/>
      <c r="HJ241" s="5"/>
      <c r="HK241" s="5"/>
      <c r="HL241" s="5"/>
      <c r="HM241" s="5"/>
      <c r="HN241" s="5"/>
      <c r="HO241" s="5"/>
      <c r="HP241" s="5"/>
      <c r="HQ241" s="5"/>
      <c r="HR241" s="5"/>
      <c r="HS241" s="5"/>
      <c r="HT241" s="5"/>
      <c r="HU241" s="5"/>
      <c r="HV241" s="5"/>
      <c r="HW241" s="5"/>
      <c r="HX241" s="5"/>
      <c r="HY241" s="5"/>
      <c r="HZ241" s="5"/>
      <c r="IA241" s="5"/>
      <c r="IB241" s="5"/>
      <c r="IC241" s="5"/>
      <c r="ID241" s="5"/>
      <c r="IE241" s="5"/>
      <c r="IF241" s="5"/>
      <c r="IG241" s="5"/>
      <c r="IH241" s="5"/>
      <c r="II241" s="5"/>
      <c r="IJ241" s="5"/>
      <c r="IK241" s="5"/>
      <c r="IL241" s="5"/>
      <c r="IM241" s="5"/>
      <c r="IN241" s="5"/>
      <c r="IO241" s="5"/>
      <c r="IP241" s="5"/>
      <c r="IQ241" s="5"/>
      <c r="IR241" s="5"/>
      <c r="IS241" s="5"/>
      <c r="IT241" s="5"/>
      <c r="IU241" s="5"/>
      <c r="IV241" s="5"/>
    </row>
    <row r="242" spans="1:256">
      <c r="A242" s="190"/>
      <c r="B242" s="18" t="s">
        <v>13</v>
      </c>
      <c r="C242" s="18" t="s">
        <v>47</v>
      </c>
      <c r="D242" s="18" t="s">
        <v>14</v>
      </c>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c r="AS242" s="17"/>
      <c r="AT242" s="17"/>
      <c r="AU242" s="17"/>
      <c r="AV242" s="17"/>
      <c r="AW242" s="17"/>
      <c r="AX242" s="17"/>
      <c r="AY242" s="17"/>
      <c r="AZ242" s="17"/>
      <c r="BA242" s="17"/>
      <c r="BB242" s="17"/>
      <c r="BC242" s="17"/>
      <c r="BD242" s="17"/>
      <c r="BE242" s="17"/>
      <c r="BF242" s="17"/>
      <c r="BG242" s="17"/>
      <c r="BH242" s="17"/>
      <c r="BI242" s="17"/>
      <c r="BJ242" s="17"/>
      <c r="BK242" s="17"/>
      <c r="BL242" s="17"/>
      <c r="BM242" s="17"/>
      <c r="BN242" s="17"/>
      <c r="BO242" s="17"/>
      <c r="BP242" s="17"/>
      <c r="BQ242" s="17"/>
      <c r="BR242" s="17"/>
      <c r="BS242" s="17"/>
      <c r="BT242" s="17"/>
      <c r="BU242" s="17"/>
      <c r="BV242" s="17"/>
      <c r="BW242" s="17"/>
      <c r="BX242" s="17"/>
      <c r="BY242" s="17"/>
      <c r="BZ242" s="17"/>
      <c r="CA242" s="17"/>
      <c r="CB242" s="17"/>
      <c r="CC242" s="17"/>
      <c r="CD242" s="17"/>
      <c r="CE242" s="17"/>
      <c r="CH242" s="5"/>
    </row>
    <row r="243" spans="1:256">
      <c r="A243" s="18" t="str">
        <f t="shared" ref="A243:A255" si="378">A215</f>
        <v>Bond 1</v>
      </c>
      <c r="B243" s="18">
        <f>SUM(B215:CB215)</f>
        <v>105.85846033274852</v>
      </c>
      <c r="C243" s="18">
        <f t="shared" ref="C243:C255" si="379">K2</f>
        <v>105.48</v>
      </c>
      <c r="D243" s="18">
        <f>(B243-K2)^2</f>
        <v>0.14323222346411837</v>
      </c>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c r="AI243" s="19"/>
      <c r="AJ243" s="19"/>
      <c r="AK243" s="19"/>
      <c r="AL243" s="19"/>
      <c r="AM243" s="19"/>
      <c r="AN243" s="19"/>
      <c r="AO243" s="19"/>
      <c r="AP243" s="19"/>
      <c r="AQ243" s="19"/>
      <c r="AR243" s="19"/>
      <c r="AS243" s="19"/>
      <c r="AT243" s="19"/>
      <c r="AU243" s="19"/>
      <c r="AV243" s="19"/>
      <c r="AW243" s="19"/>
      <c r="AX243" s="19"/>
      <c r="AY243" s="19"/>
      <c r="AZ243" s="19"/>
      <c r="BA243" s="19"/>
      <c r="BB243" s="19"/>
      <c r="BC243" s="19"/>
      <c r="BD243" s="19"/>
      <c r="BE243" s="19"/>
      <c r="BF243" s="19"/>
      <c r="BG243" s="19"/>
      <c r="BH243" s="19"/>
      <c r="BI243" s="19"/>
      <c r="BJ243" s="19"/>
      <c r="BK243" s="19"/>
      <c r="BL243" s="19"/>
      <c r="BM243" s="19"/>
      <c r="BN243" s="19"/>
      <c r="BO243" s="19"/>
      <c r="BP243" s="19"/>
      <c r="BQ243" s="19"/>
      <c r="BR243" s="19"/>
      <c r="BS243" s="19"/>
      <c r="BT243" s="19"/>
      <c r="BU243" s="19"/>
      <c r="BV243" s="19"/>
      <c r="BW243" s="19"/>
      <c r="BX243" s="19"/>
      <c r="BY243" s="19"/>
      <c r="BZ243" s="19"/>
      <c r="CA243" s="19"/>
      <c r="CB243" s="19"/>
      <c r="CC243" s="19"/>
      <c r="CD243" s="19"/>
      <c r="CE243" s="19"/>
      <c r="CF243" s="7"/>
      <c r="CH243" s="5"/>
    </row>
    <row r="244" spans="1:256">
      <c r="A244" s="18" t="str">
        <f t="shared" si="378"/>
        <v>Bond 2</v>
      </c>
      <c r="B244" s="18">
        <f>SUM(B216:CB216)</f>
        <v>106.30847509102418</v>
      </c>
      <c r="C244" s="18">
        <f t="shared" si="379"/>
        <v>105.79516666666666</v>
      </c>
      <c r="D244" s="18">
        <f t="shared" ref="D244:D255" si="380">(B244-K3)^2</f>
        <v>0.26348553851639811</v>
      </c>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c r="AI244" s="19"/>
      <c r="AJ244" s="19"/>
      <c r="AK244" s="19"/>
      <c r="AL244" s="19"/>
      <c r="AM244" s="19"/>
      <c r="AN244" s="19"/>
      <c r="AO244" s="19"/>
      <c r="AP244" s="19"/>
      <c r="AQ244" s="19"/>
      <c r="AR244" s="19"/>
      <c r="AS244" s="19"/>
      <c r="AT244" s="19"/>
      <c r="AU244" s="19"/>
      <c r="AV244" s="19"/>
      <c r="AW244" s="19"/>
      <c r="AX244" s="19"/>
      <c r="AY244" s="19"/>
      <c r="AZ244" s="19"/>
      <c r="BA244" s="19"/>
      <c r="BB244" s="19"/>
      <c r="BC244" s="19"/>
      <c r="BD244" s="19"/>
      <c r="BE244" s="19"/>
      <c r="BF244" s="19"/>
      <c r="BG244" s="19"/>
      <c r="BH244" s="19"/>
      <c r="BI244" s="19"/>
      <c r="BJ244" s="19"/>
      <c r="BK244" s="19"/>
      <c r="BL244" s="19"/>
      <c r="BM244" s="19"/>
      <c r="BN244" s="19"/>
      <c r="BO244" s="19"/>
      <c r="BP244" s="19"/>
      <c r="BQ244" s="19"/>
      <c r="BR244" s="19"/>
      <c r="BS244" s="19"/>
      <c r="BT244" s="19"/>
      <c r="BU244" s="19"/>
      <c r="BV244" s="19"/>
      <c r="BW244" s="19"/>
      <c r="BX244" s="19"/>
      <c r="BY244" s="19"/>
      <c r="BZ244" s="19"/>
      <c r="CA244" s="19"/>
      <c r="CB244" s="19"/>
      <c r="CC244" s="19"/>
      <c r="CD244" s="19"/>
      <c r="CE244" s="19"/>
      <c r="CF244" s="7"/>
    </row>
    <row r="245" spans="1:256">
      <c r="A245" s="18" t="str">
        <f t="shared" si="378"/>
        <v>Bond 3</v>
      </c>
      <c r="B245" s="18">
        <f t="shared" ref="B245:B255" si="381">SUM(B217:CB217)</f>
        <v>109.37744475167791</v>
      </c>
      <c r="C245" s="18">
        <f t="shared" si="379"/>
        <v>108.87166666666667</v>
      </c>
      <c r="D245" s="18">
        <f t="shared" si="380"/>
        <v>0.25581147127764081</v>
      </c>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c r="AI245" s="19"/>
      <c r="AJ245" s="19"/>
      <c r="AK245" s="19"/>
      <c r="AL245" s="19"/>
      <c r="AM245" s="19"/>
      <c r="AN245" s="19"/>
      <c r="AO245" s="19"/>
      <c r="AP245" s="19"/>
      <c r="AQ245" s="19"/>
      <c r="AR245" s="19"/>
      <c r="AS245" s="19"/>
      <c r="AT245" s="19"/>
      <c r="AU245" s="19"/>
      <c r="AV245" s="19"/>
      <c r="AW245" s="19"/>
      <c r="AX245" s="19"/>
      <c r="AY245" s="19"/>
      <c r="AZ245" s="19"/>
      <c r="BA245" s="19"/>
      <c r="BB245" s="19"/>
      <c r="BC245" s="19"/>
      <c r="BD245" s="19"/>
      <c r="BE245" s="19"/>
      <c r="BF245" s="19"/>
      <c r="BG245" s="19"/>
      <c r="BH245" s="19"/>
      <c r="BI245" s="19"/>
      <c r="BJ245" s="19"/>
      <c r="BK245" s="19"/>
      <c r="BL245" s="19"/>
      <c r="BM245" s="19"/>
      <c r="BN245" s="19"/>
      <c r="BO245" s="19"/>
      <c r="BP245" s="19"/>
      <c r="BQ245" s="19"/>
      <c r="BR245" s="19"/>
      <c r="BS245" s="19"/>
      <c r="BT245" s="19"/>
      <c r="BU245" s="19"/>
      <c r="BV245" s="19"/>
      <c r="BW245" s="19"/>
      <c r="BX245" s="19"/>
      <c r="BY245" s="19"/>
      <c r="BZ245" s="19"/>
      <c r="CA245" s="19"/>
      <c r="CB245" s="19"/>
      <c r="CC245" s="19"/>
      <c r="CD245" s="19"/>
      <c r="CE245" s="19"/>
      <c r="CF245" s="12"/>
    </row>
    <row r="246" spans="1:256">
      <c r="A246" s="18" t="str">
        <f t="shared" si="378"/>
        <v>Bond 4</v>
      </c>
      <c r="B246" s="18">
        <f t="shared" si="381"/>
        <v>120.16525424938787</v>
      </c>
      <c r="C246" s="18">
        <f t="shared" si="379"/>
        <v>119.66538888888888</v>
      </c>
      <c r="D246" s="18">
        <f t="shared" si="380"/>
        <v>0.24986537862678213</v>
      </c>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c r="AI246" s="19"/>
      <c r="AJ246" s="19"/>
      <c r="AK246" s="19"/>
      <c r="AL246" s="19"/>
      <c r="AM246" s="19"/>
      <c r="AN246" s="19"/>
      <c r="AO246" s="19"/>
      <c r="AP246" s="19"/>
      <c r="AQ246" s="19"/>
      <c r="AR246" s="19"/>
      <c r="AS246" s="19"/>
      <c r="AT246" s="19"/>
      <c r="AU246" s="19"/>
      <c r="AV246" s="19"/>
      <c r="AW246" s="19"/>
      <c r="AX246" s="19"/>
      <c r="AY246" s="19"/>
      <c r="AZ246" s="19"/>
      <c r="BA246" s="19"/>
      <c r="BB246" s="19"/>
      <c r="BC246" s="19"/>
      <c r="BD246" s="19"/>
      <c r="BE246" s="19"/>
      <c r="BF246" s="19"/>
      <c r="BG246" s="19"/>
      <c r="BH246" s="19"/>
      <c r="BI246" s="19"/>
      <c r="BJ246" s="19"/>
      <c r="BK246" s="19"/>
      <c r="BL246" s="19"/>
      <c r="BM246" s="19"/>
      <c r="BN246" s="19"/>
      <c r="BO246" s="19"/>
      <c r="BP246" s="19"/>
      <c r="BQ246" s="19"/>
      <c r="BR246" s="19"/>
      <c r="BS246" s="19"/>
      <c r="BT246" s="19"/>
      <c r="BU246" s="19"/>
      <c r="BV246" s="19"/>
      <c r="BW246" s="19"/>
      <c r="BX246" s="19"/>
      <c r="BY246" s="19"/>
      <c r="BZ246" s="19"/>
      <c r="CA246" s="19"/>
      <c r="CB246" s="19"/>
      <c r="CC246" s="19"/>
      <c r="CD246" s="19"/>
      <c r="CE246" s="19"/>
      <c r="CF246" s="6"/>
    </row>
    <row r="247" spans="1:256">
      <c r="A247" s="18" t="str">
        <f t="shared" si="378"/>
        <v>Bond 5</v>
      </c>
      <c r="B247" s="18">
        <f t="shared" si="381"/>
        <v>110.99539078837698</v>
      </c>
      <c r="C247" s="18">
        <f t="shared" si="379"/>
        <v>110.91436111111111</v>
      </c>
      <c r="D247" s="18">
        <f t="shared" si="380"/>
        <v>6.5658085978117803E-3</v>
      </c>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c r="AI247" s="19"/>
      <c r="AJ247" s="19"/>
      <c r="AK247" s="19"/>
      <c r="AL247" s="19"/>
      <c r="AM247" s="19"/>
      <c r="AN247" s="19"/>
      <c r="AO247" s="19"/>
      <c r="AP247" s="19"/>
      <c r="AQ247" s="19"/>
      <c r="AR247" s="19"/>
      <c r="AS247" s="19"/>
      <c r="AT247" s="19"/>
      <c r="AU247" s="19"/>
      <c r="AV247" s="19"/>
      <c r="AW247" s="19"/>
      <c r="AX247" s="19"/>
      <c r="AY247" s="19"/>
      <c r="AZ247" s="19"/>
      <c r="BA247" s="19"/>
      <c r="BB247" s="19"/>
      <c r="BC247" s="19"/>
      <c r="BD247" s="19"/>
      <c r="BE247" s="19"/>
      <c r="BF247" s="19"/>
      <c r="BG247" s="19"/>
      <c r="BH247" s="19"/>
      <c r="BI247" s="19"/>
      <c r="BJ247" s="19"/>
      <c r="BK247" s="19"/>
      <c r="BL247" s="19"/>
      <c r="BM247" s="19"/>
      <c r="BN247" s="19"/>
      <c r="BO247" s="19"/>
      <c r="BP247" s="19"/>
      <c r="BQ247" s="19"/>
      <c r="BR247" s="19"/>
      <c r="BS247" s="19"/>
      <c r="BT247" s="19"/>
      <c r="BU247" s="19"/>
      <c r="BV247" s="19"/>
      <c r="BW247" s="19"/>
      <c r="BX247" s="19"/>
      <c r="BY247" s="19"/>
      <c r="BZ247" s="19"/>
      <c r="CA247" s="19"/>
      <c r="CB247" s="19"/>
      <c r="CC247" s="19"/>
      <c r="CD247" s="19"/>
      <c r="CE247" s="19"/>
      <c r="CF247" s="6"/>
    </row>
    <row r="248" spans="1:256">
      <c r="A248" s="18" t="str">
        <f t="shared" si="378"/>
        <v>Bond 6</v>
      </c>
      <c r="B248" s="18">
        <f t="shared" si="381"/>
        <v>115.79070790282232</v>
      </c>
      <c r="C248" s="18">
        <f t="shared" si="379"/>
        <v>115.77316666666667</v>
      </c>
      <c r="D248" s="18">
        <f t="shared" si="380"/>
        <v>3.0769496586832007E-4</v>
      </c>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c r="AI248" s="19"/>
      <c r="AJ248" s="19"/>
      <c r="AK248" s="19"/>
      <c r="AL248" s="19"/>
      <c r="AM248" s="19"/>
      <c r="AN248" s="19"/>
      <c r="AO248" s="19"/>
      <c r="AP248" s="19"/>
      <c r="AQ248" s="19"/>
      <c r="AR248" s="19"/>
      <c r="AS248" s="19"/>
      <c r="AT248" s="19"/>
      <c r="AU248" s="19"/>
      <c r="AV248" s="19"/>
      <c r="AW248" s="19"/>
      <c r="AX248" s="19"/>
      <c r="AY248" s="19"/>
      <c r="AZ248" s="19"/>
      <c r="BA248" s="19"/>
      <c r="BB248" s="19"/>
      <c r="BC248" s="19"/>
      <c r="BD248" s="19"/>
      <c r="BE248" s="19"/>
      <c r="BF248" s="19"/>
      <c r="BG248" s="19"/>
      <c r="BH248" s="19"/>
      <c r="BI248" s="19"/>
      <c r="BJ248" s="19"/>
      <c r="BK248" s="19"/>
      <c r="BL248" s="19"/>
      <c r="BM248" s="19"/>
      <c r="BN248" s="19"/>
      <c r="BO248" s="19"/>
      <c r="BP248" s="19"/>
      <c r="BQ248" s="19"/>
      <c r="BR248" s="19"/>
      <c r="BS248" s="19"/>
      <c r="BT248" s="19"/>
      <c r="BU248" s="19"/>
      <c r="BV248" s="19"/>
      <c r="BW248" s="19"/>
      <c r="BX248" s="19"/>
      <c r="BY248" s="19"/>
      <c r="BZ248" s="19"/>
      <c r="CA248" s="19"/>
      <c r="CB248" s="19"/>
      <c r="CC248" s="19"/>
      <c r="CD248" s="19"/>
      <c r="CE248" s="19"/>
      <c r="CF248" s="12"/>
    </row>
    <row r="249" spans="1:256">
      <c r="A249" s="18" t="str">
        <f t="shared" si="378"/>
        <v>Bond 7</v>
      </c>
      <c r="B249" s="18">
        <f t="shared" si="381"/>
        <v>114.24253956953766</v>
      </c>
      <c r="C249" s="18">
        <f t="shared" si="379"/>
        <v>114.41999999999999</v>
      </c>
      <c r="D249" s="18">
        <f t="shared" si="380"/>
        <v>3.1492204379876314E-2</v>
      </c>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c r="AS249" s="19"/>
      <c r="AT249" s="19"/>
      <c r="AU249" s="19"/>
      <c r="AV249" s="19"/>
      <c r="AW249" s="19"/>
      <c r="AX249" s="19"/>
      <c r="AY249" s="19"/>
      <c r="AZ249" s="19"/>
      <c r="BA249" s="19"/>
      <c r="BB249" s="19"/>
      <c r="BC249" s="19"/>
      <c r="BD249" s="19"/>
      <c r="BE249" s="19"/>
      <c r="BF249" s="19"/>
      <c r="BG249" s="19"/>
      <c r="BH249" s="19"/>
      <c r="BI249" s="19"/>
      <c r="BJ249" s="19"/>
      <c r="BK249" s="19"/>
      <c r="BL249" s="19"/>
      <c r="BM249" s="19"/>
      <c r="BN249" s="19"/>
      <c r="BO249" s="19"/>
      <c r="BP249" s="19"/>
      <c r="BQ249" s="19"/>
      <c r="BR249" s="19"/>
      <c r="BS249" s="19"/>
      <c r="BT249" s="19"/>
      <c r="BU249" s="19"/>
      <c r="BV249" s="19"/>
      <c r="BW249" s="19"/>
      <c r="BX249" s="19"/>
      <c r="BY249" s="19"/>
      <c r="BZ249" s="19"/>
      <c r="CA249" s="19"/>
      <c r="CB249" s="19"/>
      <c r="CC249" s="19"/>
      <c r="CD249" s="19"/>
      <c r="CE249" s="19"/>
      <c r="CF249" s="12"/>
    </row>
    <row r="250" spans="1:256">
      <c r="A250" s="18" t="str">
        <f t="shared" si="378"/>
        <v>Bond 8</v>
      </c>
      <c r="B250" s="18">
        <f t="shared" si="381"/>
        <v>132.30093692997502</v>
      </c>
      <c r="C250" s="18">
        <f t="shared" si="379"/>
        <v>132.69469444444445</v>
      </c>
      <c r="D250" s="18">
        <f t="shared" si="380"/>
        <v>0.15504498020114169</v>
      </c>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c r="AK250" s="19"/>
      <c r="AL250" s="19"/>
      <c r="AM250" s="19"/>
      <c r="AN250" s="19"/>
      <c r="AO250" s="19"/>
      <c r="AP250" s="19"/>
      <c r="AQ250" s="19"/>
      <c r="AR250" s="19"/>
      <c r="AS250" s="19"/>
      <c r="AT250" s="19"/>
      <c r="AU250" s="19"/>
      <c r="AV250" s="19"/>
      <c r="AW250" s="19"/>
      <c r="AX250" s="19"/>
      <c r="AY250" s="19"/>
      <c r="AZ250" s="19"/>
      <c r="BA250" s="19"/>
      <c r="BB250" s="19"/>
      <c r="BC250" s="19"/>
      <c r="BD250" s="19"/>
      <c r="BE250" s="19"/>
      <c r="BF250" s="19"/>
      <c r="BG250" s="19"/>
      <c r="BH250" s="19"/>
      <c r="BI250" s="19"/>
      <c r="BJ250" s="19"/>
      <c r="BK250" s="19"/>
      <c r="BL250" s="19"/>
      <c r="BM250" s="19"/>
      <c r="BN250" s="19"/>
      <c r="BO250" s="19"/>
      <c r="BP250" s="19"/>
      <c r="BQ250" s="19"/>
      <c r="BR250" s="19"/>
      <c r="BS250" s="19"/>
      <c r="BT250" s="19"/>
      <c r="BU250" s="19"/>
      <c r="BV250" s="19"/>
      <c r="BW250" s="19"/>
      <c r="BX250" s="19"/>
      <c r="BY250" s="19"/>
      <c r="BZ250" s="19"/>
      <c r="CA250" s="19"/>
      <c r="CB250" s="19"/>
      <c r="CC250" s="19"/>
      <c r="CD250" s="19"/>
      <c r="CE250" s="19"/>
      <c r="CF250" s="12"/>
    </row>
    <row r="251" spans="1:256">
      <c r="A251" s="18" t="str">
        <f t="shared" si="378"/>
        <v>Bond 9</v>
      </c>
      <c r="B251" s="18">
        <f t="shared" si="381"/>
        <v>142.70111078546145</v>
      </c>
      <c r="C251" s="18">
        <f t="shared" si="379"/>
        <v>143.69555555555556</v>
      </c>
      <c r="D251" s="18">
        <f t="shared" si="380"/>
        <v>0.9889204007675183</v>
      </c>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c r="AK251" s="19"/>
      <c r="AL251" s="19"/>
      <c r="AM251" s="19"/>
      <c r="AN251" s="19"/>
      <c r="AO251" s="19"/>
      <c r="AP251" s="19"/>
      <c r="AQ251" s="19"/>
      <c r="AR251" s="19"/>
      <c r="AS251" s="19"/>
      <c r="AT251" s="19"/>
      <c r="AU251" s="19"/>
      <c r="AV251" s="19"/>
      <c r="AW251" s="19"/>
      <c r="AX251" s="19"/>
      <c r="AY251" s="19"/>
      <c r="AZ251" s="19"/>
      <c r="BA251" s="19"/>
      <c r="BB251" s="19"/>
      <c r="BC251" s="19"/>
      <c r="BD251" s="19"/>
      <c r="BE251" s="19"/>
      <c r="BF251" s="19"/>
      <c r="BG251" s="19"/>
      <c r="BH251" s="19"/>
      <c r="BI251" s="19"/>
      <c r="BJ251" s="19"/>
      <c r="BK251" s="19"/>
      <c r="BL251" s="19"/>
      <c r="BM251" s="19"/>
      <c r="BN251" s="19"/>
      <c r="BO251" s="19"/>
      <c r="BP251" s="19"/>
      <c r="BQ251" s="19"/>
      <c r="BR251" s="19"/>
      <c r="BS251" s="19"/>
      <c r="BT251" s="19"/>
      <c r="BU251" s="19"/>
      <c r="BV251" s="19"/>
      <c r="BW251" s="19"/>
      <c r="BX251" s="19"/>
      <c r="BY251" s="19"/>
      <c r="BZ251" s="19"/>
      <c r="CA251" s="19"/>
      <c r="CB251" s="19"/>
      <c r="CC251" s="19"/>
      <c r="CD251" s="19"/>
      <c r="CE251" s="19"/>
      <c r="CF251" s="6"/>
    </row>
    <row r="252" spans="1:256">
      <c r="A252" s="18" t="str">
        <f t="shared" si="378"/>
        <v>Bond 10</v>
      </c>
      <c r="B252" s="18">
        <f t="shared" si="381"/>
        <v>521.8190058420771</v>
      </c>
      <c r="C252" s="18">
        <f t="shared" si="379"/>
        <v>106.03749999999999</v>
      </c>
      <c r="D252" s="18"/>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19"/>
      <c r="AE252" s="19"/>
      <c r="AF252" s="19"/>
      <c r="AG252" s="19"/>
      <c r="AH252" s="19"/>
      <c r="AI252" s="19"/>
      <c r="AJ252" s="19"/>
      <c r="AK252" s="19"/>
      <c r="AL252" s="19"/>
      <c r="AM252" s="19"/>
      <c r="AN252" s="19"/>
      <c r="AO252" s="19"/>
      <c r="AP252" s="19"/>
      <c r="AQ252" s="19"/>
      <c r="AR252" s="19"/>
      <c r="AS252" s="19"/>
      <c r="AT252" s="19"/>
      <c r="AU252" s="19"/>
      <c r="AV252" s="19"/>
      <c r="AW252" s="19"/>
      <c r="AX252" s="19"/>
      <c r="AY252" s="19"/>
      <c r="AZ252" s="19"/>
      <c r="BA252" s="19"/>
      <c r="BB252" s="19"/>
      <c r="BC252" s="19"/>
      <c r="BD252" s="19"/>
      <c r="BE252" s="19"/>
      <c r="BF252" s="19"/>
      <c r="BG252" s="19"/>
      <c r="BH252" s="19"/>
      <c r="BI252" s="19"/>
      <c r="BJ252" s="19"/>
      <c r="BK252" s="19"/>
      <c r="BL252" s="19"/>
      <c r="BM252" s="19"/>
      <c r="BN252" s="19"/>
      <c r="BO252" s="19"/>
      <c r="BP252" s="19"/>
      <c r="BQ252" s="19"/>
      <c r="BR252" s="19"/>
      <c r="BS252" s="19"/>
      <c r="BT252" s="19"/>
      <c r="BU252" s="19"/>
      <c r="BV252" s="19"/>
      <c r="BW252" s="19"/>
      <c r="BX252" s="19"/>
      <c r="BY252" s="19"/>
      <c r="BZ252" s="19"/>
      <c r="CA252" s="19"/>
      <c r="CB252" s="19"/>
      <c r="CC252" s="19"/>
      <c r="CD252" s="19"/>
      <c r="CE252" s="19"/>
      <c r="CF252" s="6"/>
    </row>
    <row r="253" spans="1:256">
      <c r="A253" s="18" t="str">
        <f t="shared" si="378"/>
        <v>Bond 11</v>
      </c>
      <c r="B253" s="18">
        <f t="shared" si="381"/>
        <v>155.05716146506981</v>
      </c>
      <c r="C253" s="18">
        <f t="shared" si="379"/>
        <v>154.30861111111113</v>
      </c>
      <c r="D253" s="18">
        <f t="shared" si="380"/>
        <v>0.56032763241166106</v>
      </c>
      <c r="E253" s="19"/>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19"/>
      <c r="AE253" s="19"/>
      <c r="AF253" s="19"/>
      <c r="AG253" s="19"/>
      <c r="AH253" s="19"/>
      <c r="AI253" s="19"/>
      <c r="AJ253" s="19"/>
      <c r="AK253" s="19"/>
      <c r="AL253" s="19"/>
      <c r="AM253" s="19"/>
      <c r="AN253" s="19"/>
      <c r="AO253" s="19"/>
      <c r="AP253" s="19"/>
      <c r="AQ253" s="19"/>
      <c r="AR253" s="19"/>
      <c r="AS253" s="19"/>
      <c r="AT253" s="19"/>
      <c r="AU253" s="19"/>
      <c r="AV253" s="19"/>
      <c r="AW253" s="19"/>
      <c r="AX253" s="19"/>
      <c r="AY253" s="19"/>
      <c r="AZ253" s="19"/>
      <c r="BA253" s="19"/>
      <c r="BB253" s="19"/>
      <c r="BC253" s="19"/>
      <c r="BD253" s="19"/>
      <c r="BE253" s="19"/>
      <c r="BF253" s="19"/>
      <c r="BG253" s="19"/>
      <c r="BH253" s="19"/>
      <c r="BI253" s="19"/>
      <c r="BJ253" s="19"/>
      <c r="BK253" s="19"/>
      <c r="BL253" s="19"/>
      <c r="BM253" s="19"/>
      <c r="BN253" s="19"/>
      <c r="BO253" s="19"/>
      <c r="BP253" s="19"/>
      <c r="BQ253" s="19"/>
      <c r="BR253" s="19"/>
      <c r="BS253" s="19"/>
      <c r="BT253" s="19"/>
      <c r="BU253" s="19"/>
      <c r="BV253" s="19"/>
      <c r="BW253" s="19"/>
      <c r="BX253" s="19"/>
      <c r="BY253" s="19"/>
      <c r="BZ253" s="19"/>
      <c r="CA253" s="19"/>
      <c r="CB253" s="19"/>
      <c r="CC253" s="19"/>
      <c r="CD253" s="19"/>
      <c r="CE253" s="19"/>
      <c r="CF253" s="12"/>
    </row>
    <row r="254" spans="1:256">
      <c r="A254" s="18" t="str">
        <f t="shared" si="378"/>
        <v>Bond 12</v>
      </c>
      <c r="B254" s="18">
        <f t="shared" si="381"/>
        <v>125.38403835751873</v>
      </c>
      <c r="C254" s="18">
        <f t="shared" si="379"/>
        <v>125.44780555555556</v>
      </c>
      <c r="D254" s="18">
        <f t="shared" si="380"/>
        <v>4.0662555454680635E-3</v>
      </c>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19"/>
      <c r="AE254" s="19"/>
      <c r="AF254" s="19"/>
      <c r="AG254" s="19"/>
      <c r="AH254" s="19"/>
      <c r="AI254" s="19"/>
      <c r="AJ254" s="19"/>
      <c r="AK254" s="19"/>
      <c r="AL254" s="19"/>
      <c r="AM254" s="19"/>
      <c r="AN254" s="19"/>
      <c r="AO254" s="19"/>
      <c r="AP254" s="19"/>
      <c r="AQ254" s="19"/>
      <c r="AR254" s="19"/>
      <c r="AS254" s="19"/>
      <c r="AT254" s="19"/>
      <c r="AU254" s="19"/>
      <c r="AV254" s="19"/>
      <c r="AW254" s="19"/>
      <c r="AX254" s="19"/>
      <c r="AY254" s="19"/>
      <c r="AZ254" s="19"/>
      <c r="BA254" s="19"/>
      <c r="BB254" s="19"/>
      <c r="BC254" s="19"/>
      <c r="BD254" s="19"/>
      <c r="BE254" s="19"/>
      <c r="BF254" s="19"/>
      <c r="BG254" s="19"/>
      <c r="BH254" s="19"/>
      <c r="BI254" s="19"/>
      <c r="BJ254" s="19"/>
      <c r="BK254" s="19"/>
      <c r="BL254" s="19"/>
      <c r="BM254" s="19"/>
      <c r="BN254" s="19"/>
      <c r="BO254" s="19"/>
      <c r="BP254" s="19"/>
      <c r="BQ254" s="19"/>
      <c r="BR254" s="19"/>
      <c r="BS254" s="19"/>
      <c r="BT254" s="19"/>
      <c r="BU254" s="19"/>
      <c r="BV254" s="19"/>
      <c r="BW254" s="19"/>
      <c r="BX254" s="19"/>
      <c r="BY254" s="19"/>
      <c r="BZ254" s="19"/>
      <c r="CA254" s="19"/>
      <c r="CB254" s="19"/>
      <c r="CC254" s="19"/>
      <c r="CD254" s="19"/>
      <c r="CE254" s="19"/>
      <c r="CF254" s="12"/>
    </row>
    <row r="255" spans="1:256">
      <c r="A255" s="18" t="str">
        <f t="shared" si="378"/>
        <v>Bond 13</v>
      </c>
      <c r="B255" s="18">
        <f t="shared" si="381"/>
        <v>220.32515980969146</v>
      </c>
      <c r="C255" s="18">
        <f t="shared" si="379"/>
        <v>220.3547777777778</v>
      </c>
      <c r="D255" s="18">
        <f t="shared" si="380"/>
        <v>8.7722403356355907E-4</v>
      </c>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9"/>
      <c r="AE255" s="19"/>
      <c r="AF255" s="19"/>
      <c r="AG255" s="19"/>
      <c r="AH255" s="19"/>
      <c r="AI255" s="19"/>
      <c r="AJ255" s="19"/>
      <c r="AK255" s="19"/>
      <c r="AL255" s="19"/>
      <c r="AM255" s="19"/>
      <c r="AN255" s="19"/>
      <c r="AO255" s="19"/>
      <c r="AP255" s="19"/>
      <c r="AQ255" s="19"/>
      <c r="AR255" s="19"/>
      <c r="AS255" s="19"/>
      <c r="AT255" s="19"/>
      <c r="AU255" s="19"/>
      <c r="AV255" s="19"/>
      <c r="AW255" s="19"/>
      <c r="AX255" s="19"/>
      <c r="AY255" s="19"/>
      <c r="AZ255" s="19"/>
      <c r="BA255" s="19"/>
      <c r="BB255" s="19"/>
      <c r="BC255" s="19"/>
      <c r="BD255" s="19"/>
      <c r="BE255" s="19"/>
      <c r="BF255" s="19"/>
      <c r="BG255" s="19"/>
      <c r="BH255" s="19"/>
      <c r="BI255" s="19"/>
      <c r="BJ255" s="19"/>
      <c r="BK255" s="19"/>
      <c r="BL255" s="19"/>
      <c r="BM255" s="19"/>
      <c r="BN255" s="19"/>
      <c r="BO255" s="19"/>
      <c r="BP255" s="19"/>
      <c r="BQ255" s="19"/>
      <c r="BR255" s="19"/>
      <c r="BS255" s="19"/>
      <c r="BT255" s="19"/>
      <c r="BU255" s="19"/>
      <c r="BV255" s="19"/>
      <c r="BW255" s="19"/>
      <c r="BX255" s="19"/>
      <c r="BY255" s="19"/>
      <c r="BZ255" s="19"/>
      <c r="CA255" s="19"/>
      <c r="CB255" s="19"/>
      <c r="CC255" s="19"/>
      <c r="CD255" s="19"/>
      <c r="CE255" s="19"/>
      <c r="CF255" s="12"/>
    </row>
    <row r="256" spans="1:256">
      <c r="A256" s="18"/>
      <c r="B256" s="18"/>
      <c r="C256" s="18"/>
      <c r="D256" s="18"/>
      <c r="E256" s="19"/>
      <c r="F256" s="19"/>
      <c r="G256" s="19"/>
      <c r="H256" s="19"/>
      <c r="I256" s="19"/>
      <c r="J256" s="19"/>
      <c r="K256" s="19"/>
      <c r="L256" s="19"/>
      <c r="M256" s="19"/>
      <c r="N256" s="19"/>
      <c r="O256" s="19"/>
      <c r="P256" s="19"/>
      <c r="Q256" s="19"/>
      <c r="R256" s="19"/>
      <c r="S256" s="19"/>
      <c r="T256" s="19"/>
      <c r="U256" s="19"/>
      <c r="V256" s="19"/>
      <c r="W256" s="19"/>
      <c r="X256" s="19"/>
      <c r="Y256" s="19"/>
      <c r="Z256" s="19"/>
      <c r="AA256" s="19"/>
      <c r="AB256" s="19"/>
      <c r="AC256" s="19"/>
      <c r="AD256" s="19"/>
      <c r="AE256" s="19"/>
      <c r="AF256" s="19"/>
      <c r="AG256" s="19"/>
      <c r="AH256" s="19"/>
      <c r="AI256" s="19"/>
      <c r="AJ256" s="19"/>
      <c r="AK256" s="19"/>
      <c r="AL256" s="19"/>
      <c r="AM256" s="19"/>
      <c r="AN256" s="19"/>
      <c r="AO256" s="19"/>
      <c r="AP256" s="19"/>
      <c r="AQ256" s="19"/>
      <c r="AR256" s="19"/>
      <c r="AS256" s="19"/>
      <c r="AT256" s="19"/>
      <c r="AU256" s="19"/>
      <c r="AV256" s="19"/>
      <c r="AW256" s="19"/>
      <c r="AX256" s="19"/>
      <c r="AY256" s="19"/>
      <c r="AZ256" s="19"/>
      <c r="BA256" s="19"/>
      <c r="BB256" s="19"/>
      <c r="BC256" s="19"/>
      <c r="BD256" s="19"/>
      <c r="BE256" s="19"/>
      <c r="BF256" s="19"/>
      <c r="BG256" s="19"/>
      <c r="BH256" s="19"/>
      <c r="BI256" s="19"/>
      <c r="BJ256" s="19"/>
      <c r="BK256" s="19"/>
      <c r="BL256" s="19"/>
      <c r="BM256" s="19"/>
      <c r="BN256" s="19"/>
      <c r="BO256" s="19"/>
      <c r="BP256" s="19"/>
      <c r="BQ256" s="19"/>
      <c r="BR256" s="19"/>
      <c r="BS256" s="19"/>
      <c r="BT256" s="19"/>
      <c r="BU256" s="19"/>
      <c r="BV256" s="19"/>
      <c r="BW256" s="19"/>
      <c r="BX256" s="19"/>
      <c r="BY256" s="19"/>
      <c r="BZ256" s="19"/>
      <c r="CA256" s="19"/>
      <c r="CB256" s="19"/>
      <c r="CC256" s="19"/>
      <c r="CD256" s="19"/>
      <c r="CE256" s="19"/>
      <c r="CF256" s="6"/>
    </row>
    <row r="257" spans="1:84">
      <c r="A257" s="18"/>
      <c r="B257" s="18"/>
      <c r="C257" s="18"/>
      <c r="D257" s="18"/>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9"/>
      <c r="AD257" s="19"/>
      <c r="AE257" s="19"/>
      <c r="AF257" s="19"/>
      <c r="AG257" s="19"/>
      <c r="AH257" s="19"/>
      <c r="AI257" s="19"/>
      <c r="AJ257" s="19"/>
      <c r="AK257" s="19"/>
      <c r="AL257" s="19"/>
      <c r="AM257" s="19"/>
      <c r="AN257" s="19"/>
      <c r="AO257" s="19"/>
      <c r="AP257" s="19"/>
      <c r="AQ257" s="19"/>
      <c r="AR257" s="19"/>
      <c r="AS257" s="19"/>
      <c r="AT257" s="19"/>
      <c r="AU257" s="19"/>
      <c r="AV257" s="19"/>
      <c r="AW257" s="19"/>
      <c r="AX257" s="19"/>
      <c r="AY257" s="19"/>
      <c r="AZ257" s="19"/>
      <c r="BA257" s="19"/>
      <c r="BB257" s="19"/>
      <c r="BC257" s="19"/>
      <c r="BD257" s="19"/>
      <c r="BE257" s="19"/>
      <c r="BF257" s="19"/>
      <c r="BG257" s="19"/>
      <c r="BH257" s="19"/>
      <c r="BI257" s="19"/>
      <c r="BJ257" s="19"/>
      <c r="BK257" s="19"/>
      <c r="BL257" s="19"/>
      <c r="BM257" s="19"/>
      <c r="BN257" s="19"/>
      <c r="BO257" s="19"/>
      <c r="BP257" s="19"/>
      <c r="BQ257" s="19"/>
      <c r="BR257" s="19"/>
      <c r="BS257" s="19"/>
      <c r="BT257" s="19"/>
      <c r="BU257" s="19"/>
      <c r="BV257" s="19"/>
      <c r="BW257" s="19"/>
      <c r="BX257" s="19"/>
      <c r="BY257" s="19"/>
      <c r="BZ257" s="19"/>
      <c r="CA257" s="19"/>
      <c r="CB257" s="19"/>
      <c r="CC257" s="19"/>
      <c r="CD257" s="19"/>
      <c r="CE257" s="19"/>
      <c r="CF257" s="6"/>
    </row>
    <row r="258" spans="1:84">
      <c r="A258" s="18"/>
      <c r="B258" s="18"/>
      <c r="C258" s="18"/>
      <c r="D258" s="18"/>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9"/>
      <c r="AD258" s="19"/>
      <c r="AE258" s="19"/>
      <c r="AF258" s="19"/>
      <c r="AG258" s="19"/>
      <c r="AH258" s="19"/>
      <c r="AI258" s="19"/>
      <c r="AJ258" s="19"/>
      <c r="AK258" s="19"/>
      <c r="AL258" s="19"/>
      <c r="AM258" s="19"/>
      <c r="AN258" s="19"/>
      <c r="AO258" s="19"/>
      <c r="AP258" s="19"/>
      <c r="AQ258" s="19"/>
      <c r="AR258" s="19"/>
      <c r="AS258" s="19"/>
      <c r="AT258" s="19"/>
      <c r="AU258" s="19"/>
      <c r="AV258" s="19"/>
      <c r="AW258" s="19"/>
      <c r="AX258" s="19"/>
      <c r="AY258" s="19"/>
      <c r="AZ258" s="19"/>
      <c r="BA258" s="19"/>
      <c r="BB258" s="19"/>
      <c r="BC258" s="19"/>
      <c r="BD258" s="19"/>
      <c r="BE258" s="19"/>
      <c r="BF258" s="19"/>
      <c r="BG258" s="19"/>
      <c r="BH258" s="19"/>
      <c r="BI258" s="19"/>
      <c r="BJ258" s="19"/>
      <c r="BK258" s="19"/>
      <c r="BL258" s="19"/>
      <c r="BM258" s="19"/>
      <c r="BN258" s="19"/>
      <c r="BO258" s="19"/>
      <c r="BP258" s="19"/>
      <c r="BQ258" s="19"/>
      <c r="BR258" s="19"/>
      <c r="BS258" s="19"/>
      <c r="BT258" s="19"/>
      <c r="BU258" s="19"/>
      <c r="BV258" s="19"/>
      <c r="BW258" s="19"/>
      <c r="BX258" s="19"/>
      <c r="BY258" s="19"/>
      <c r="BZ258" s="19"/>
      <c r="CA258" s="19"/>
      <c r="CB258" s="19"/>
      <c r="CC258" s="19"/>
      <c r="CD258" s="19"/>
      <c r="CE258" s="19"/>
      <c r="CF258" s="6"/>
    </row>
    <row r="259" spans="1:84">
      <c r="A259" s="18"/>
      <c r="B259" s="18"/>
      <c r="C259" s="18"/>
      <c r="D259" s="18"/>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c r="BP259" s="19"/>
      <c r="BQ259" s="19"/>
      <c r="BR259" s="19"/>
      <c r="BS259" s="19"/>
      <c r="BT259" s="19"/>
      <c r="BU259" s="19"/>
      <c r="BV259" s="19"/>
      <c r="BW259" s="19"/>
      <c r="BX259" s="19"/>
      <c r="BY259" s="19"/>
      <c r="BZ259" s="19"/>
      <c r="CA259" s="19"/>
      <c r="CB259" s="19"/>
      <c r="CC259" s="19"/>
      <c r="CD259" s="19"/>
      <c r="CE259" s="19"/>
      <c r="CF259" s="6"/>
    </row>
    <row r="260" spans="1:84">
      <c r="A260" s="18"/>
      <c r="B260" s="18"/>
      <c r="C260" s="18"/>
      <c r="D260" s="18"/>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c r="AG260" s="19"/>
      <c r="AH260" s="19"/>
      <c r="AI260" s="19"/>
      <c r="AJ260" s="19"/>
      <c r="AK260" s="19"/>
      <c r="AL260" s="19"/>
      <c r="AM260" s="19"/>
      <c r="AN260" s="19"/>
      <c r="AO260" s="19"/>
      <c r="AP260" s="19"/>
      <c r="AQ260" s="19"/>
      <c r="AR260" s="19"/>
      <c r="AS260" s="19"/>
      <c r="AT260" s="19"/>
      <c r="AU260" s="19"/>
      <c r="AV260" s="19"/>
      <c r="AW260" s="19"/>
      <c r="AX260" s="19"/>
      <c r="AY260" s="19"/>
      <c r="AZ260" s="19"/>
      <c r="BA260" s="19"/>
      <c r="BB260" s="19"/>
      <c r="BC260" s="19"/>
      <c r="BD260" s="19"/>
      <c r="BE260" s="19"/>
      <c r="BF260" s="19"/>
      <c r="BG260" s="19"/>
      <c r="BH260" s="19"/>
      <c r="BI260" s="19"/>
      <c r="BJ260" s="19"/>
      <c r="BK260" s="19"/>
      <c r="BL260" s="19"/>
      <c r="BM260" s="19"/>
      <c r="BN260" s="19"/>
      <c r="BO260" s="19"/>
      <c r="BP260" s="19"/>
      <c r="BQ260" s="19"/>
      <c r="BR260" s="19"/>
      <c r="BS260" s="19"/>
      <c r="BT260" s="19"/>
      <c r="BU260" s="19"/>
      <c r="BV260" s="19"/>
      <c r="BW260" s="19"/>
      <c r="BX260" s="19"/>
      <c r="BY260" s="19"/>
      <c r="BZ260" s="19"/>
      <c r="CA260" s="19"/>
      <c r="CB260" s="19"/>
      <c r="CC260" s="19"/>
      <c r="CD260" s="19"/>
      <c r="CE260" s="19"/>
      <c r="CF260" s="6"/>
    </row>
    <row r="261" spans="1:84">
      <c r="A261" s="18"/>
      <c r="B261" s="18"/>
      <c r="C261" s="18"/>
      <c r="D261" s="18"/>
      <c r="E261" s="19"/>
      <c r="F261" s="19"/>
      <c r="G261" s="19"/>
      <c r="H261" s="19"/>
      <c r="I261" s="19"/>
      <c r="J261" s="19"/>
      <c r="K261" s="19"/>
      <c r="L261" s="19"/>
      <c r="M261" s="19"/>
      <c r="N261" s="19"/>
      <c r="O261" s="19"/>
      <c r="P261" s="19"/>
      <c r="Q261" s="19"/>
      <c r="R261" s="19"/>
      <c r="S261" s="19"/>
      <c r="T261" s="19"/>
      <c r="U261" s="19"/>
      <c r="V261" s="19"/>
      <c r="W261" s="19"/>
      <c r="X261" s="19"/>
      <c r="Y261" s="19"/>
      <c r="Z261" s="19"/>
      <c r="AA261" s="19"/>
      <c r="AB261" s="19"/>
      <c r="AC261" s="19"/>
      <c r="AD261" s="19"/>
      <c r="AE261" s="19"/>
      <c r="AF261" s="19"/>
      <c r="AG261" s="19"/>
      <c r="AH261" s="19"/>
      <c r="AI261" s="19"/>
      <c r="AJ261" s="19"/>
      <c r="AK261" s="19"/>
      <c r="AL261" s="19"/>
      <c r="AM261" s="19"/>
      <c r="AN261" s="19"/>
      <c r="AO261" s="19"/>
      <c r="AP261" s="19"/>
      <c r="AQ261" s="19"/>
      <c r="AR261" s="19"/>
      <c r="AS261" s="19"/>
      <c r="AT261" s="19"/>
      <c r="AU261" s="19"/>
      <c r="AV261" s="19"/>
      <c r="AW261" s="19"/>
      <c r="AX261" s="19"/>
      <c r="AY261" s="19"/>
      <c r="AZ261" s="19"/>
      <c r="BA261" s="19"/>
      <c r="BB261" s="19"/>
      <c r="BC261" s="19"/>
      <c r="BD261" s="19"/>
      <c r="BE261" s="19"/>
      <c r="BF261" s="19"/>
      <c r="BG261" s="19"/>
      <c r="BH261" s="19"/>
      <c r="BI261" s="19"/>
      <c r="BJ261" s="19"/>
      <c r="BK261" s="19"/>
      <c r="BL261" s="19"/>
      <c r="BM261" s="19"/>
      <c r="BN261" s="19"/>
      <c r="BO261" s="19"/>
      <c r="BP261" s="19"/>
      <c r="BQ261" s="19"/>
      <c r="BR261" s="19"/>
      <c r="BS261" s="19"/>
      <c r="BT261" s="19"/>
      <c r="BU261" s="19"/>
      <c r="BV261" s="19"/>
      <c r="BW261" s="19"/>
      <c r="BX261" s="19"/>
      <c r="BY261" s="19"/>
      <c r="BZ261" s="19"/>
      <c r="CA261" s="19"/>
      <c r="CB261" s="19"/>
      <c r="CC261" s="19"/>
      <c r="CD261" s="19"/>
      <c r="CE261" s="19"/>
      <c r="CF261" s="6"/>
    </row>
    <row r="262" spans="1:84">
      <c r="A262" s="18"/>
      <c r="B262" s="18"/>
      <c r="C262" s="18"/>
      <c r="D262" s="18"/>
      <c r="E262" s="19"/>
      <c r="F262" s="19"/>
      <c r="G262" s="19"/>
      <c r="H262" s="19"/>
      <c r="I262" s="19"/>
      <c r="J262" s="19"/>
      <c r="K262" s="19"/>
      <c r="L262" s="19"/>
      <c r="M262" s="19"/>
      <c r="N262" s="19"/>
      <c r="O262" s="19"/>
      <c r="P262" s="19"/>
      <c r="Q262" s="19"/>
      <c r="R262" s="19"/>
      <c r="S262" s="19"/>
      <c r="T262" s="19"/>
      <c r="U262" s="19"/>
      <c r="V262" s="19"/>
      <c r="W262" s="19"/>
      <c r="X262" s="19"/>
      <c r="Y262" s="19"/>
      <c r="Z262" s="19"/>
      <c r="AA262" s="19"/>
      <c r="AB262" s="19"/>
      <c r="AC262" s="19"/>
      <c r="AD262" s="19"/>
      <c r="AE262" s="19"/>
      <c r="AF262" s="19"/>
      <c r="AG262" s="19"/>
      <c r="AH262" s="19"/>
      <c r="AI262" s="19"/>
      <c r="AJ262" s="19"/>
      <c r="AK262" s="19"/>
      <c r="AL262" s="19"/>
      <c r="AM262" s="19"/>
      <c r="AN262" s="19"/>
      <c r="AO262" s="19"/>
      <c r="AP262" s="19"/>
      <c r="AQ262" s="19"/>
      <c r="AR262" s="19"/>
      <c r="AS262" s="19"/>
      <c r="AT262" s="19"/>
      <c r="AU262" s="19"/>
      <c r="AV262" s="19"/>
      <c r="AW262" s="19"/>
      <c r="AX262" s="19"/>
      <c r="AY262" s="19"/>
      <c r="AZ262" s="19"/>
      <c r="BA262" s="19"/>
      <c r="BB262" s="19"/>
      <c r="BC262" s="19"/>
      <c r="BD262" s="19"/>
      <c r="BE262" s="19"/>
      <c r="BF262" s="19"/>
      <c r="BG262" s="19"/>
      <c r="BH262" s="19"/>
      <c r="BI262" s="19"/>
      <c r="BJ262" s="19"/>
      <c r="BK262" s="19"/>
      <c r="BL262" s="19"/>
      <c r="BM262" s="19"/>
      <c r="BN262" s="19"/>
      <c r="BO262" s="19"/>
      <c r="BP262" s="19"/>
      <c r="BQ262" s="19"/>
      <c r="BR262" s="19"/>
      <c r="BS262" s="19"/>
      <c r="BT262" s="19"/>
      <c r="BU262" s="19"/>
      <c r="BV262" s="19"/>
      <c r="BW262" s="19"/>
      <c r="BX262" s="19"/>
      <c r="BY262" s="19"/>
      <c r="BZ262" s="19"/>
      <c r="CA262" s="19"/>
      <c r="CB262" s="19"/>
      <c r="CC262" s="19"/>
      <c r="CD262" s="19"/>
      <c r="CE262" s="19"/>
      <c r="CF262" s="6"/>
    </row>
    <row r="263" spans="1:84">
      <c r="A263" s="18"/>
      <c r="B263" s="18"/>
      <c r="C263" s="18"/>
      <c r="D263" s="18"/>
      <c r="E263" s="20"/>
      <c r="F263" s="19"/>
      <c r="G263" s="19"/>
      <c r="H263" s="19"/>
      <c r="I263" s="19"/>
      <c r="J263" s="19"/>
      <c r="K263" s="19"/>
      <c r="L263" s="19"/>
      <c r="M263" s="19"/>
      <c r="N263" s="19"/>
      <c r="O263" s="19"/>
      <c r="P263" s="19"/>
      <c r="Q263" s="19"/>
      <c r="R263" s="19"/>
      <c r="S263" s="19"/>
      <c r="T263" s="19"/>
      <c r="U263" s="19"/>
      <c r="V263" s="19"/>
      <c r="W263" s="19"/>
      <c r="X263" s="19"/>
      <c r="Y263" s="19"/>
      <c r="Z263" s="19"/>
      <c r="AA263" s="19"/>
      <c r="AB263" s="19"/>
      <c r="AC263" s="19"/>
      <c r="AD263" s="19"/>
      <c r="AE263" s="19"/>
      <c r="AF263" s="19"/>
      <c r="AG263" s="19"/>
      <c r="AH263" s="19"/>
      <c r="AI263" s="19"/>
      <c r="AJ263" s="19"/>
      <c r="AK263" s="19"/>
      <c r="AL263" s="19"/>
      <c r="AM263" s="19"/>
      <c r="AN263" s="19"/>
      <c r="AO263" s="19"/>
      <c r="AP263" s="19"/>
      <c r="AQ263" s="19"/>
      <c r="AR263" s="19"/>
      <c r="AS263" s="19"/>
      <c r="AT263" s="19"/>
      <c r="AU263" s="19"/>
      <c r="AV263" s="19"/>
      <c r="AW263" s="19"/>
      <c r="AX263" s="19"/>
      <c r="AY263" s="19"/>
      <c r="AZ263" s="19"/>
      <c r="BA263" s="19"/>
      <c r="BB263" s="19"/>
      <c r="BC263" s="19"/>
      <c r="BD263" s="19"/>
      <c r="BE263" s="19"/>
      <c r="BF263" s="19"/>
      <c r="BG263" s="19"/>
      <c r="BH263" s="19"/>
      <c r="BI263" s="19"/>
      <c r="BJ263" s="19"/>
      <c r="BK263" s="19"/>
      <c r="BL263" s="19"/>
      <c r="BM263" s="19"/>
      <c r="BN263" s="19"/>
      <c r="BO263" s="19"/>
      <c r="BP263" s="19"/>
      <c r="BQ263" s="19"/>
      <c r="BR263" s="19"/>
      <c r="BS263" s="19"/>
      <c r="BT263" s="19"/>
      <c r="BU263" s="19"/>
      <c r="BV263" s="19"/>
      <c r="BW263" s="19"/>
      <c r="BX263" s="19"/>
      <c r="BY263" s="19"/>
      <c r="BZ263" s="19"/>
      <c r="CA263" s="19"/>
      <c r="CB263" s="19"/>
      <c r="CC263" s="19"/>
      <c r="CD263" s="19"/>
      <c r="CE263" s="19"/>
      <c r="CF263" s="6"/>
    </row>
    <row r="264" spans="1:84">
      <c r="A264" s="18"/>
      <c r="B264" s="18"/>
      <c r="C264" s="18"/>
      <c r="D264" s="18"/>
      <c r="E264" s="20"/>
      <c r="F264" s="19"/>
      <c r="G264" s="19"/>
      <c r="H264" s="19"/>
      <c r="I264" s="19"/>
      <c r="J264" s="19"/>
      <c r="K264" s="19"/>
      <c r="L264" s="19"/>
      <c r="M264" s="19"/>
      <c r="N264" s="19"/>
      <c r="O264" s="19"/>
      <c r="P264" s="19"/>
      <c r="Q264" s="19"/>
      <c r="R264" s="19"/>
      <c r="S264" s="19"/>
      <c r="T264" s="19"/>
      <c r="U264" s="19"/>
      <c r="V264" s="19"/>
      <c r="W264" s="19"/>
      <c r="X264" s="19"/>
      <c r="Y264" s="19"/>
      <c r="Z264" s="19"/>
      <c r="AA264" s="19"/>
      <c r="AB264" s="19"/>
      <c r="AC264" s="19"/>
      <c r="AD264" s="19"/>
      <c r="AE264" s="19"/>
      <c r="AF264" s="19"/>
      <c r="AG264" s="19"/>
      <c r="AH264" s="19"/>
      <c r="AI264" s="19"/>
      <c r="AJ264" s="19"/>
      <c r="AK264" s="19"/>
      <c r="AL264" s="19"/>
      <c r="AM264" s="19"/>
      <c r="AN264" s="19"/>
      <c r="AO264" s="19"/>
      <c r="AP264" s="19"/>
      <c r="AQ264" s="19"/>
      <c r="AR264" s="19"/>
      <c r="AS264" s="19"/>
      <c r="AT264" s="19"/>
      <c r="AU264" s="19"/>
      <c r="AV264" s="19"/>
      <c r="AW264" s="19"/>
      <c r="AX264" s="19"/>
      <c r="AY264" s="19"/>
      <c r="AZ264" s="19"/>
      <c r="BA264" s="19"/>
      <c r="BB264" s="19"/>
      <c r="BC264" s="19"/>
      <c r="BD264" s="19"/>
      <c r="BE264" s="19"/>
      <c r="BF264" s="19"/>
      <c r="BG264" s="19"/>
      <c r="BH264" s="19"/>
      <c r="BI264" s="19"/>
      <c r="BJ264" s="19"/>
      <c r="BK264" s="19"/>
      <c r="BL264" s="19"/>
      <c r="BM264" s="19"/>
      <c r="BN264" s="19"/>
      <c r="BO264" s="19"/>
      <c r="BP264" s="19"/>
      <c r="BQ264" s="19"/>
      <c r="BR264" s="19"/>
      <c r="BS264" s="19"/>
      <c r="BT264" s="19"/>
      <c r="BU264" s="19"/>
      <c r="BV264" s="19"/>
      <c r="BW264" s="19"/>
      <c r="BX264" s="19"/>
      <c r="BY264" s="19"/>
      <c r="BZ264" s="19"/>
      <c r="CA264" s="19"/>
      <c r="CB264" s="19"/>
      <c r="CC264" s="19"/>
      <c r="CD264" s="19"/>
      <c r="CE264" s="19"/>
      <c r="CF264" s="6"/>
    </row>
    <row r="265" spans="1:84">
      <c r="A265" s="18"/>
      <c r="B265" s="18"/>
      <c r="C265" s="18"/>
      <c r="D265" s="18"/>
      <c r="E265" s="20"/>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19"/>
      <c r="AE265" s="19"/>
      <c r="AF265" s="19"/>
      <c r="AG265" s="19"/>
      <c r="AH265" s="19"/>
      <c r="AI265" s="19"/>
      <c r="AJ265" s="19"/>
      <c r="AK265" s="19"/>
      <c r="AL265" s="19"/>
      <c r="AM265" s="19"/>
      <c r="AN265" s="19"/>
      <c r="AO265" s="19"/>
      <c r="AP265" s="19"/>
      <c r="AQ265" s="19"/>
      <c r="AR265" s="19"/>
      <c r="AS265" s="19"/>
      <c r="AT265" s="19"/>
      <c r="AU265" s="19"/>
      <c r="AV265" s="19"/>
      <c r="AW265" s="19"/>
      <c r="AX265" s="19"/>
      <c r="AY265" s="19"/>
      <c r="AZ265" s="19"/>
      <c r="BA265" s="19"/>
      <c r="BB265" s="19"/>
      <c r="BC265" s="19"/>
      <c r="BD265" s="19"/>
      <c r="BE265" s="19"/>
      <c r="BF265" s="19"/>
      <c r="BG265" s="19"/>
      <c r="BH265" s="19"/>
      <c r="BI265" s="19"/>
      <c r="BJ265" s="19"/>
      <c r="BK265" s="19"/>
      <c r="BL265" s="19"/>
      <c r="BM265" s="19"/>
      <c r="BN265" s="19"/>
      <c r="BO265" s="19"/>
      <c r="BP265" s="19"/>
      <c r="BQ265" s="19"/>
      <c r="BR265" s="19"/>
      <c r="BS265" s="19"/>
      <c r="BT265" s="19"/>
      <c r="BU265" s="19"/>
      <c r="BV265" s="19"/>
      <c r="BW265" s="19"/>
      <c r="BX265" s="19"/>
      <c r="BY265" s="19"/>
      <c r="BZ265" s="19"/>
      <c r="CA265" s="19"/>
      <c r="CB265" s="19"/>
      <c r="CC265" s="19"/>
      <c r="CD265" s="19"/>
      <c r="CE265" s="19"/>
      <c r="CF265" s="6"/>
    </row>
    <row r="266" spans="1:84">
      <c r="A266" s="18"/>
      <c r="B266" s="18"/>
      <c r="C266" s="18"/>
      <c r="D266" s="18"/>
      <c r="E266" s="20"/>
      <c r="F266" s="19"/>
      <c r="G266" s="19"/>
      <c r="H266" s="19"/>
      <c r="I266" s="19"/>
      <c r="J266" s="19"/>
      <c r="K266" s="19"/>
      <c r="L266" s="19"/>
      <c r="M266" s="19"/>
      <c r="N266" s="19"/>
      <c r="O266" s="19"/>
      <c r="P266" s="19"/>
      <c r="Q266" s="19"/>
      <c r="R266" s="19"/>
      <c r="S266" s="19"/>
      <c r="T266" s="19"/>
      <c r="U266" s="19"/>
      <c r="V266" s="19"/>
      <c r="W266" s="19"/>
      <c r="X266" s="19"/>
      <c r="Y266" s="19"/>
      <c r="Z266" s="19"/>
      <c r="AA266" s="19"/>
      <c r="AB266" s="19"/>
      <c r="AC266" s="19"/>
      <c r="AD266" s="19"/>
      <c r="AE266" s="19"/>
      <c r="AF266" s="19"/>
      <c r="AG266" s="19"/>
      <c r="AH266" s="19"/>
      <c r="AI266" s="19"/>
      <c r="AJ266" s="19"/>
      <c r="AK266" s="19"/>
      <c r="AL266" s="19"/>
      <c r="AM266" s="19"/>
      <c r="AN266" s="19"/>
      <c r="AO266" s="19"/>
      <c r="AP266" s="19"/>
      <c r="AQ266" s="19"/>
      <c r="AR266" s="19"/>
      <c r="AS266" s="19"/>
      <c r="AT266" s="19"/>
      <c r="AU266" s="19"/>
      <c r="AV266" s="19"/>
      <c r="AW266" s="19"/>
      <c r="AX266" s="19"/>
      <c r="AY266" s="19"/>
      <c r="AZ266" s="19"/>
      <c r="BA266" s="19"/>
      <c r="BB266" s="19"/>
      <c r="BC266" s="19"/>
      <c r="BD266" s="19"/>
      <c r="BE266" s="19"/>
      <c r="BF266" s="19"/>
      <c r="BG266" s="19"/>
      <c r="BH266" s="19"/>
      <c r="BI266" s="19"/>
      <c r="BJ266" s="19"/>
      <c r="BK266" s="19"/>
      <c r="BL266" s="19"/>
      <c r="BM266" s="19"/>
      <c r="BN266" s="19"/>
      <c r="BO266" s="19"/>
      <c r="BP266" s="19"/>
      <c r="BQ266" s="19"/>
      <c r="BR266" s="19"/>
      <c r="BS266" s="19"/>
      <c r="BT266" s="19"/>
      <c r="BU266" s="19"/>
      <c r="BV266" s="19"/>
      <c r="BW266" s="19"/>
      <c r="BX266" s="19"/>
      <c r="BY266" s="19"/>
      <c r="BZ266" s="19"/>
      <c r="CA266" s="19"/>
      <c r="CB266" s="19"/>
      <c r="CC266" s="19"/>
      <c r="CD266" s="19"/>
      <c r="CE266" s="19"/>
      <c r="CF266" s="6"/>
    </row>
    <row r="267" spans="1:84">
      <c r="A267" s="18"/>
      <c r="B267" s="18"/>
      <c r="C267" s="18"/>
      <c r="D267" s="18"/>
      <c r="E267" s="20"/>
      <c r="F267" s="19"/>
      <c r="G267" s="19"/>
      <c r="H267" s="19"/>
      <c r="I267" s="19"/>
      <c r="J267" s="19"/>
      <c r="K267" s="19"/>
      <c r="L267" s="19"/>
      <c r="M267" s="19"/>
      <c r="N267" s="19"/>
      <c r="O267" s="19"/>
      <c r="P267" s="19"/>
      <c r="Q267" s="19"/>
      <c r="R267" s="19"/>
      <c r="S267" s="19"/>
      <c r="T267" s="19"/>
      <c r="U267" s="19"/>
      <c r="V267" s="19"/>
      <c r="W267" s="19"/>
      <c r="X267" s="19"/>
      <c r="Y267" s="19"/>
      <c r="Z267" s="19"/>
      <c r="AA267" s="19"/>
      <c r="AB267" s="19"/>
      <c r="AC267" s="19"/>
      <c r="AD267" s="19"/>
      <c r="AE267" s="19"/>
      <c r="AF267" s="19"/>
      <c r="AG267" s="19"/>
      <c r="AH267" s="19"/>
      <c r="AI267" s="19"/>
      <c r="AJ267" s="19"/>
      <c r="AK267" s="19"/>
      <c r="AL267" s="19"/>
      <c r="AM267" s="19"/>
      <c r="AN267" s="19"/>
      <c r="AO267" s="19"/>
      <c r="AP267" s="19"/>
      <c r="AQ267" s="19"/>
      <c r="AR267" s="19"/>
      <c r="AS267" s="19"/>
      <c r="AT267" s="19"/>
      <c r="AU267" s="19"/>
      <c r="AV267" s="19"/>
      <c r="AW267" s="19"/>
      <c r="AX267" s="19"/>
      <c r="AY267" s="19"/>
      <c r="AZ267" s="19"/>
      <c r="BA267" s="19"/>
      <c r="BB267" s="19"/>
      <c r="BC267" s="19"/>
      <c r="BD267" s="19"/>
      <c r="BE267" s="19"/>
      <c r="BF267" s="19"/>
      <c r="BG267" s="19"/>
      <c r="BH267" s="19"/>
      <c r="BI267" s="19"/>
      <c r="BJ267" s="19"/>
      <c r="BK267" s="19"/>
      <c r="BL267" s="19"/>
      <c r="BM267" s="19"/>
      <c r="BN267" s="19"/>
      <c r="BO267" s="19"/>
      <c r="BP267" s="19"/>
      <c r="BQ267" s="19"/>
      <c r="BR267" s="19"/>
      <c r="BS267" s="19"/>
      <c r="BT267" s="19"/>
      <c r="BU267" s="19"/>
      <c r="BV267" s="19"/>
      <c r="BW267" s="19"/>
      <c r="BX267" s="19"/>
      <c r="BY267" s="19"/>
      <c r="BZ267" s="19"/>
      <c r="CA267" s="19"/>
      <c r="CB267" s="19"/>
      <c r="CC267" s="19"/>
      <c r="CD267" s="19"/>
      <c r="CE267" s="19"/>
      <c r="CF267" s="6"/>
    </row>
    <row r="268" spans="1:84">
      <c r="A268" s="18"/>
      <c r="B268" s="18"/>
      <c r="C268" s="18"/>
      <c r="D268" s="18"/>
      <c r="E268" s="20"/>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c r="AG268" s="19"/>
      <c r="AH268" s="19"/>
      <c r="AI268" s="19"/>
      <c r="AJ268" s="19"/>
      <c r="AK268" s="19"/>
      <c r="AL268" s="19"/>
      <c r="AM268" s="19"/>
      <c r="AN268" s="19"/>
      <c r="AO268" s="19"/>
      <c r="AP268" s="19"/>
      <c r="AQ268" s="19"/>
      <c r="AR268" s="19"/>
      <c r="AS268" s="19"/>
      <c r="AT268" s="19"/>
      <c r="AU268" s="19"/>
      <c r="AV268" s="19"/>
      <c r="AW268" s="19"/>
      <c r="AX268" s="19"/>
      <c r="AY268" s="19"/>
      <c r="AZ268" s="19"/>
      <c r="BA268" s="19"/>
      <c r="BB268" s="19"/>
      <c r="BC268" s="19"/>
      <c r="BD268" s="19"/>
      <c r="BE268" s="19"/>
      <c r="BF268" s="19"/>
      <c r="BG268" s="19"/>
      <c r="BH268" s="19"/>
      <c r="BI268" s="19"/>
      <c r="BJ268" s="19"/>
      <c r="BK268" s="19"/>
      <c r="BL268" s="19"/>
      <c r="BM268" s="19"/>
      <c r="BN268" s="19"/>
      <c r="BO268" s="19"/>
      <c r="BP268" s="19"/>
      <c r="BQ268" s="19"/>
      <c r="BR268" s="19"/>
      <c r="BS268" s="19"/>
      <c r="BT268" s="19"/>
      <c r="BU268" s="19"/>
      <c r="BV268" s="19"/>
      <c r="BW268" s="19"/>
      <c r="BX268" s="19"/>
      <c r="BY268" s="19"/>
      <c r="BZ268" s="19"/>
      <c r="CA268" s="19"/>
      <c r="CB268" s="19"/>
      <c r="CC268" s="19"/>
      <c r="CD268" s="19"/>
      <c r="CE268" s="19"/>
      <c r="CF268" s="6"/>
    </row>
    <row r="269" spans="1:84">
      <c r="B269" s="17"/>
      <c r="C269" s="21" t="s">
        <v>15</v>
      </c>
      <c r="D269" s="21">
        <f>SUM(D243:D268)</f>
        <v>2.6599968127878486</v>
      </c>
      <c r="E269" s="20"/>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c r="AG269" s="19"/>
      <c r="AH269" s="19"/>
      <c r="AI269" s="19"/>
      <c r="AJ269" s="19"/>
      <c r="AK269" s="19"/>
      <c r="AL269" s="19"/>
      <c r="AM269" s="19"/>
      <c r="AN269" s="19"/>
      <c r="AO269" s="19"/>
      <c r="AP269" s="19"/>
      <c r="AQ269" s="19"/>
      <c r="AR269" s="19"/>
      <c r="AS269" s="19"/>
      <c r="AT269" s="19"/>
      <c r="AU269" s="19"/>
      <c r="AV269" s="19"/>
      <c r="AW269" s="19"/>
      <c r="AX269" s="19"/>
      <c r="AY269" s="19"/>
      <c r="AZ269" s="19"/>
      <c r="BA269" s="19"/>
      <c r="BB269" s="19"/>
      <c r="BC269" s="19"/>
      <c r="BD269" s="19"/>
      <c r="BE269" s="19"/>
      <c r="BF269" s="19"/>
      <c r="BG269" s="19"/>
      <c r="BH269" s="19"/>
      <c r="BI269" s="19"/>
      <c r="BJ269" s="19"/>
      <c r="BK269" s="19"/>
      <c r="BL269" s="19"/>
      <c r="BM269" s="19"/>
      <c r="BN269" s="19"/>
      <c r="BO269" s="19"/>
      <c r="BP269" s="19"/>
      <c r="BQ269" s="19"/>
      <c r="BR269" s="19"/>
      <c r="BS269" s="19"/>
      <c r="BT269" s="19"/>
      <c r="BU269" s="19"/>
      <c r="BV269" s="19"/>
      <c r="BW269" s="19"/>
      <c r="BX269" s="19"/>
      <c r="BY269" s="19"/>
      <c r="BZ269" s="19"/>
      <c r="CA269" s="19"/>
      <c r="CB269" s="19"/>
      <c r="CC269" s="19"/>
      <c r="CD269" s="19"/>
      <c r="CE269" s="19"/>
      <c r="CF269" s="6"/>
    </row>
    <row r="270" spans="1:84">
      <c r="A270" s="17"/>
      <c r="B270" s="17"/>
      <c r="C270" s="17"/>
      <c r="D270" s="19"/>
      <c r="E270" s="20"/>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9"/>
      <c r="AD270" s="19"/>
      <c r="AE270" s="19"/>
      <c r="AF270" s="19"/>
      <c r="AG270" s="19"/>
      <c r="AH270" s="19"/>
      <c r="AI270" s="19"/>
      <c r="AJ270" s="19"/>
      <c r="AK270" s="19"/>
      <c r="AL270" s="19"/>
      <c r="AM270" s="19"/>
      <c r="AN270" s="19"/>
      <c r="AO270" s="19"/>
      <c r="AP270" s="19"/>
      <c r="AQ270" s="19"/>
      <c r="AR270" s="19"/>
      <c r="AS270" s="19"/>
      <c r="AT270" s="19"/>
      <c r="AU270" s="19"/>
      <c r="AV270" s="19"/>
      <c r="AW270" s="19"/>
      <c r="AX270" s="19"/>
      <c r="AY270" s="19"/>
      <c r="AZ270" s="19"/>
      <c r="BA270" s="19"/>
      <c r="BB270" s="19"/>
      <c r="BC270" s="19"/>
      <c r="BD270" s="19"/>
      <c r="BE270" s="19"/>
      <c r="BF270" s="19"/>
      <c r="BG270" s="19"/>
      <c r="BH270" s="19"/>
      <c r="BI270" s="19"/>
      <c r="BJ270" s="19"/>
      <c r="BK270" s="19"/>
      <c r="BL270" s="19"/>
      <c r="BM270" s="19"/>
      <c r="BN270" s="19"/>
      <c r="BO270" s="19"/>
      <c r="BP270" s="19"/>
      <c r="BQ270" s="19"/>
      <c r="BR270" s="19"/>
      <c r="BS270" s="19"/>
      <c r="BT270" s="19"/>
      <c r="BU270" s="19"/>
      <c r="BV270" s="19"/>
      <c r="BW270" s="19"/>
      <c r="BX270" s="19"/>
      <c r="BY270" s="19"/>
      <c r="BZ270" s="19"/>
      <c r="CA270" s="19"/>
      <c r="CB270" s="19"/>
      <c r="CC270" s="19"/>
      <c r="CD270" s="19"/>
      <c r="CE270" s="19"/>
      <c r="CF270" s="6"/>
    </row>
    <row r="271" spans="1:84">
      <c r="A271" s="17"/>
      <c r="B271" s="17"/>
      <c r="C271" s="17"/>
      <c r="D271" s="19"/>
      <c r="E271" s="20"/>
      <c r="F271" s="19"/>
      <c r="G271" s="19"/>
      <c r="H271" s="19"/>
      <c r="I271" s="19"/>
      <c r="J271" s="19"/>
      <c r="K271" s="19"/>
      <c r="L271" s="19"/>
      <c r="M271" s="19"/>
      <c r="N271" s="19"/>
      <c r="O271" s="19"/>
      <c r="P271" s="19"/>
      <c r="Q271" s="19"/>
      <c r="R271" s="19"/>
      <c r="S271" s="19"/>
      <c r="T271" s="19"/>
      <c r="U271" s="19"/>
      <c r="V271" s="19"/>
      <c r="W271" s="19"/>
      <c r="X271" s="19"/>
      <c r="Y271" s="19"/>
      <c r="Z271" s="19"/>
      <c r="AA271" s="19"/>
      <c r="AB271" s="19"/>
      <c r="AC271" s="19"/>
      <c r="AD271" s="19"/>
      <c r="AE271" s="19"/>
      <c r="AF271" s="19"/>
      <c r="AG271" s="19"/>
      <c r="AH271" s="19"/>
      <c r="AI271" s="19"/>
      <c r="AJ271" s="19"/>
      <c r="AK271" s="19"/>
      <c r="AL271" s="19"/>
      <c r="AM271" s="19"/>
      <c r="AN271" s="19"/>
      <c r="AO271" s="19"/>
      <c r="AP271" s="19"/>
      <c r="AQ271" s="19"/>
      <c r="AR271" s="19"/>
      <c r="AS271" s="19"/>
      <c r="AT271" s="19"/>
      <c r="AU271" s="19"/>
      <c r="AV271" s="19"/>
      <c r="AW271" s="19"/>
      <c r="AX271" s="19"/>
      <c r="AY271" s="19"/>
      <c r="AZ271" s="19"/>
      <c r="BA271" s="19"/>
      <c r="BB271" s="19"/>
      <c r="BC271" s="19"/>
      <c r="BD271" s="19"/>
      <c r="BE271" s="19"/>
      <c r="BF271" s="19"/>
      <c r="BG271" s="19"/>
      <c r="BH271" s="19"/>
      <c r="BI271" s="19"/>
      <c r="BJ271" s="19"/>
      <c r="BK271" s="19"/>
      <c r="BL271" s="19"/>
      <c r="BM271" s="19"/>
      <c r="BN271" s="19"/>
      <c r="BO271" s="19"/>
      <c r="BP271" s="19"/>
      <c r="BQ271" s="19"/>
      <c r="BR271" s="19"/>
      <c r="BS271" s="19"/>
      <c r="BT271" s="19"/>
      <c r="BU271" s="19"/>
      <c r="BV271" s="19"/>
      <c r="BW271" s="19"/>
      <c r="BX271" s="19"/>
      <c r="BY271" s="19"/>
      <c r="BZ271" s="19"/>
      <c r="CA271" s="19"/>
      <c r="CB271" s="19"/>
      <c r="CC271" s="19"/>
      <c r="CD271" s="19"/>
      <c r="CE271" s="19"/>
      <c r="CF271" s="6"/>
    </row>
    <row r="272" spans="1:84">
      <c r="A272" s="17"/>
      <c r="B272" s="17"/>
      <c r="C272" s="17"/>
      <c r="D272" s="19"/>
      <c r="E272" s="20"/>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9"/>
      <c r="AD272" s="19"/>
      <c r="AE272" s="19"/>
      <c r="AF272" s="19"/>
      <c r="AG272" s="19"/>
      <c r="AH272" s="19"/>
      <c r="AI272" s="19"/>
      <c r="AJ272" s="19"/>
      <c r="AK272" s="19"/>
      <c r="AL272" s="19"/>
      <c r="AM272" s="19"/>
      <c r="AN272" s="19"/>
      <c r="AO272" s="19"/>
      <c r="AP272" s="19"/>
      <c r="AQ272" s="19"/>
      <c r="AR272" s="19"/>
      <c r="AS272" s="19"/>
      <c r="AT272" s="19"/>
      <c r="AU272" s="19"/>
      <c r="AV272" s="19"/>
      <c r="AW272" s="19"/>
      <c r="AX272" s="19"/>
      <c r="AY272" s="19"/>
      <c r="AZ272" s="19"/>
      <c r="BA272" s="19"/>
      <c r="BB272" s="19"/>
      <c r="BC272" s="19"/>
      <c r="BD272" s="19"/>
      <c r="BE272" s="19"/>
      <c r="BF272" s="19"/>
      <c r="BG272" s="19"/>
      <c r="BH272" s="19"/>
      <c r="BI272" s="19"/>
      <c r="BJ272" s="19"/>
      <c r="BK272" s="19"/>
      <c r="BL272" s="19"/>
      <c r="BM272" s="19"/>
      <c r="BN272" s="19"/>
      <c r="BO272" s="19"/>
      <c r="BP272" s="19"/>
      <c r="BQ272" s="19"/>
      <c r="BR272" s="19"/>
      <c r="BS272" s="19"/>
      <c r="BT272" s="19"/>
      <c r="BU272" s="19"/>
      <c r="BV272" s="19"/>
      <c r="BW272" s="19"/>
      <c r="BX272" s="19"/>
      <c r="BY272" s="19"/>
      <c r="BZ272" s="19"/>
      <c r="CA272" s="19"/>
      <c r="CB272" s="19"/>
      <c r="CC272" s="19"/>
      <c r="CD272" s="19"/>
      <c r="CE272" s="19"/>
      <c r="CF272" s="6"/>
    </row>
    <row r="273" spans="1:84">
      <c r="A273" s="17"/>
      <c r="B273" s="17"/>
      <c r="C273" s="17"/>
      <c r="D273" s="19"/>
      <c r="E273" s="20"/>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9"/>
      <c r="AD273" s="19"/>
      <c r="AE273" s="19"/>
      <c r="AF273" s="19"/>
      <c r="AG273" s="19"/>
      <c r="AH273" s="19"/>
      <c r="AI273" s="19"/>
      <c r="AJ273" s="19"/>
      <c r="AK273" s="19"/>
      <c r="AL273" s="19"/>
      <c r="AM273" s="19"/>
      <c r="AN273" s="19"/>
      <c r="AO273" s="19"/>
      <c r="AP273" s="19"/>
      <c r="AQ273" s="19"/>
      <c r="AR273" s="19"/>
      <c r="AS273" s="19"/>
      <c r="AT273" s="19"/>
      <c r="AU273" s="19"/>
      <c r="AV273" s="19"/>
      <c r="AW273" s="19"/>
      <c r="AX273" s="19"/>
      <c r="AY273" s="19"/>
      <c r="AZ273" s="19"/>
      <c r="BA273" s="19"/>
      <c r="BB273" s="19"/>
      <c r="BC273" s="19"/>
      <c r="BD273" s="19"/>
      <c r="BE273" s="19"/>
      <c r="BF273" s="19"/>
      <c r="BG273" s="19"/>
      <c r="BH273" s="19"/>
      <c r="BI273" s="19"/>
      <c r="BJ273" s="19"/>
      <c r="BK273" s="19"/>
      <c r="BL273" s="19"/>
      <c r="BM273" s="19"/>
      <c r="BN273" s="19"/>
      <c r="BO273" s="19"/>
      <c r="BP273" s="19"/>
      <c r="BQ273" s="19"/>
      <c r="BR273" s="19"/>
      <c r="BS273" s="19"/>
      <c r="BT273" s="19"/>
      <c r="BU273" s="19"/>
      <c r="BV273" s="19"/>
      <c r="BW273" s="19"/>
      <c r="BX273" s="19"/>
      <c r="BY273" s="19"/>
      <c r="BZ273" s="19"/>
      <c r="CA273" s="19"/>
      <c r="CB273" s="19"/>
      <c r="CC273" s="19"/>
      <c r="CD273" s="19"/>
      <c r="CE273" s="19"/>
      <c r="CF273" s="6"/>
    </row>
    <row r="274" spans="1:84">
      <c r="A274" s="17"/>
      <c r="B274" s="17"/>
      <c r="C274" s="17"/>
      <c r="D274" s="19"/>
      <c r="E274" s="20"/>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9"/>
      <c r="AD274" s="19"/>
      <c r="AE274" s="19"/>
      <c r="AF274" s="19"/>
      <c r="AG274" s="19"/>
      <c r="AH274" s="19"/>
      <c r="AI274" s="19"/>
      <c r="AJ274" s="19"/>
      <c r="AK274" s="19"/>
      <c r="AL274" s="19"/>
      <c r="AM274" s="19"/>
      <c r="AN274" s="19"/>
      <c r="AO274" s="19"/>
      <c r="AP274" s="19"/>
      <c r="AQ274" s="19"/>
      <c r="AR274" s="19"/>
      <c r="AS274" s="19"/>
      <c r="AT274" s="19"/>
      <c r="AU274" s="19"/>
      <c r="AV274" s="19"/>
      <c r="AW274" s="19"/>
      <c r="AX274" s="19"/>
      <c r="AY274" s="19"/>
      <c r="AZ274" s="19"/>
      <c r="BA274" s="19"/>
      <c r="BB274" s="19"/>
      <c r="BC274" s="19"/>
      <c r="BD274" s="19"/>
      <c r="BE274" s="19"/>
      <c r="BF274" s="19"/>
      <c r="BG274" s="19"/>
      <c r="BH274" s="19"/>
      <c r="BI274" s="19"/>
      <c r="BJ274" s="19"/>
      <c r="BK274" s="19"/>
      <c r="BL274" s="19"/>
      <c r="BM274" s="19"/>
      <c r="BN274" s="19"/>
      <c r="BO274" s="19"/>
      <c r="BP274" s="19"/>
      <c r="BQ274" s="19"/>
      <c r="BR274" s="19"/>
      <c r="BS274" s="19"/>
      <c r="BT274" s="19"/>
      <c r="BU274" s="19"/>
      <c r="BV274" s="19"/>
      <c r="BW274" s="19"/>
      <c r="BX274" s="19"/>
      <c r="BY274" s="19"/>
      <c r="BZ274" s="19"/>
      <c r="CA274" s="19"/>
      <c r="CB274" s="19"/>
      <c r="CC274" s="19"/>
      <c r="CD274" s="19"/>
      <c r="CE274" s="19"/>
      <c r="CF274" s="6"/>
    </row>
    <row r="275" spans="1:84">
      <c r="A275" s="17"/>
      <c r="B275" s="17"/>
      <c r="C275" s="17"/>
      <c r="D275" s="19"/>
      <c r="E275" s="20"/>
      <c r="F275" s="19"/>
      <c r="G275" s="19"/>
      <c r="H275" s="19"/>
      <c r="I275" s="19"/>
      <c r="J275" s="19"/>
      <c r="K275" s="19"/>
      <c r="L275" s="19"/>
      <c r="M275" s="19"/>
      <c r="N275" s="19"/>
      <c r="O275" s="19"/>
      <c r="P275" s="19"/>
      <c r="Q275" s="19"/>
      <c r="R275" s="19"/>
      <c r="S275" s="19"/>
      <c r="T275" s="19"/>
      <c r="U275" s="19"/>
      <c r="V275" s="19"/>
      <c r="W275" s="19"/>
      <c r="X275" s="19"/>
      <c r="Y275" s="19"/>
      <c r="Z275" s="19"/>
      <c r="AA275" s="19"/>
      <c r="AB275" s="19"/>
      <c r="AC275" s="19"/>
      <c r="AD275" s="19"/>
      <c r="AE275" s="19"/>
      <c r="AF275" s="19"/>
      <c r="AG275" s="19"/>
      <c r="AH275" s="19"/>
      <c r="AI275" s="19"/>
      <c r="AJ275" s="19"/>
      <c r="AK275" s="19"/>
      <c r="AL275" s="19"/>
      <c r="AM275" s="19"/>
      <c r="AN275" s="19"/>
      <c r="AO275" s="19"/>
      <c r="AP275" s="19"/>
      <c r="AQ275" s="19"/>
      <c r="AR275" s="19"/>
      <c r="AS275" s="19"/>
      <c r="AT275" s="19"/>
      <c r="AU275" s="19"/>
      <c r="AV275" s="19"/>
      <c r="AW275" s="19"/>
      <c r="AX275" s="19"/>
      <c r="AY275" s="19"/>
      <c r="AZ275" s="19"/>
      <c r="BA275" s="19"/>
      <c r="BB275" s="19"/>
      <c r="BC275" s="19"/>
      <c r="BD275" s="19"/>
      <c r="BE275" s="19"/>
      <c r="BF275" s="19"/>
      <c r="BG275" s="19"/>
      <c r="BH275" s="19"/>
      <c r="BI275" s="19"/>
      <c r="BJ275" s="19"/>
      <c r="BK275" s="19"/>
      <c r="BL275" s="19"/>
      <c r="BM275" s="19"/>
      <c r="BN275" s="19"/>
      <c r="BO275" s="19"/>
      <c r="BP275" s="19"/>
      <c r="BQ275" s="19"/>
      <c r="BR275" s="19"/>
      <c r="BS275" s="19"/>
      <c r="BT275" s="19"/>
      <c r="BU275" s="19"/>
      <c r="BV275" s="19"/>
      <c r="BW275" s="19"/>
      <c r="BX275" s="19"/>
      <c r="BY275" s="19"/>
      <c r="BZ275" s="19"/>
      <c r="CA275" s="19"/>
      <c r="CB275" s="19"/>
      <c r="CC275" s="19"/>
      <c r="CD275" s="19"/>
      <c r="CE275" s="19"/>
      <c r="CF275" s="6"/>
    </row>
    <row r="276" spans="1:84">
      <c r="A276" s="17"/>
      <c r="B276" s="17"/>
      <c r="C276" s="17"/>
      <c r="D276" s="19"/>
      <c r="E276" s="20"/>
      <c r="F276" s="19"/>
      <c r="G276" s="19"/>
      <c r="H276" s="19"/>
      <c r="I276" s="19"/>
      <c r="J276" s="19"/>
      <c r="K276" s="19"/>
      <c r="L276" s="19"/>
      <c r="M276" s="19"/>
      <c r="N276" s="19"/>
      <c r="O276" s="19"/>
      <c r="P276" s="19"/>
      <c r="Q276" s="19"/>
      <c r="R276" s="19"/>
      <c r="S276" s="19"/>
      <c r="T276" s="19"/>
      <c r="U276" s="19"/>
      <c r="V276" s="19"/>
      <c r="W276" s="19"/>
      <c r="X276" s="19"/>
      <c r="Y276" s="19"/>
      <c r="Z276" s="19"/>
      <c r="AA276" s="19"/>
      <c r="AB276" s="19"/>
      <c r="AC276" s="19"/>
      <c r="AD276" s="19"/>
      <c r="AE276" s="19"/>
      <c r="AF276" s="19"/>
      <c r="AG276" s="19"/>
      <c r="AH276" s="19"/>
      <c r="AI276" s="19"/>
      <c r="AJ276" s="19"/>
      <c r="AK276" s="19"/>
      <c r="AL276" s="19"/>
      <c r="AM276" s="19"/>
      <c r="AN276" s="19"/>
      <c r="AO276" s="19"/>
      <c r="AP276" s="19"/>
      <c r="AQ276" s="19"/>
      <c r="AR276" s="19"/>
      <c r="AS276" s="19"/>
      <c r="AT276" s="19"/>
      <c r="AU276" s="19"/>
      <c r="AV276" s="19"/>
      <c r="AW276" s="19"/>
      <c r="AX276" s="19"/>
      <c r="AY276" s="19"/>
      <c r="AZ276" s="19"/>
      <c r="BA276" s="19"/>
      <c r="BB276" s="19"/>
      <c r="BC276" s="19"/>
      <c r="BD276" s="19"/>
      <c r="BE276" s="19"/>
      <c r="BF276" s="19"/>
      <c r="BG276" s="19"/>
      <c r="BH276" s="19"/>
      <c r="BI276" s="19"/>
      <c r="BJ276" s="19"/>
      <c r="BK276" s="19"/>
      <c r="BL276" s="19"/>
      <c r="BM276" s="19"/>
      <c r="BN276" s="19"/>
      <c r="BO276" s="19"/>
      <c r="BP276" s="19"/>
      <c r="BQ276" s="19"/>
      <c r="BR276" s="19"/>
      <c r="BS276" s="19"/>
      <c r="BT276" s="19"/>
      <c r="BU276" s="19"/>
      <c r="BV276" s="19"/>
      <c r="BW276" s="19"/>
      <c r="BX276" s="19"/>
      <c r="BY276" s="19"/>
      <c r="BZ276" s="19"/>
      <c r="CA276" s="19"/>
      <c r="CB276" s="19"/>
      <c r="CC276" s="19"/>
      <c r="CD276" s="19"/>
      <c r="CE276" s="19"/>
      <c r="CF276" s="6"/>
    </row>
    <row r="277" spans="1:84">
      <c r="A277" s="17"/>
      <c r="B277" s="17"/>
      <c r="C277" s="17"/>
      <c r="D277" s="19"/>
      <c r="E277" s="20"/>
      <c r="F277" s="19"/>
      <c r="G277" s="19"/>
      <c r="H277" s="19"/>
      <c r="I277" s="19"/>
      <c r="J277" s="19"/>
      <c r="K277" s="19"/>
      <c r="L277" s="19"/>
      <c r="M277" s="19"/>
      <c r="N277" s="19"/>
      <c r="O277" s="19"/>
      <c r="P277" s="19"/>
      <c r="Q277" s="19"/>
      <c r="R277" s="19"/>
      <c r="S277" s="19"/>
      <c r="T277" s="19"/>
      <c r="U277" s="19"/>
      <c r="V277" s="19"/>
      <c r="W277" s="19"/>
      <c r="X277" s="19"/>
      <c r="Y277" s="19"/>
      <c r="Z277" s="19"/>
      <c r="AA277" s="19"/>
      <c r="AB277" s="19"/>
      <c r="AC277" s="19"/>
      <c r="AD277" s="19"/>
      <c r="AE277" s="19"/>
      <c r="AF277" s="19"/>
      <c r="AG277" s="19"/>
      <c r="AH277" s="19"/>
      <c r="AI277" s="19"/>
      <c r="AJ277" s="19"/>
      <c r="AK277" s="19"/>
      <c r="AL277" s="19"/>
      <c r="AM277" s="19"/>
      <c r="AN277" s="19"/>
      <c r="AO277" s="19"/>
      <c r="AP277" s="19"/>
      <c r="AQ277" s="19"/>
      <c r="AR277" s="19"/>
      <c r="AS277" s="19"/>
      <c r="AT277" s="19"/>
      <c r="AU277" s="19"/>
      <c r="AV277" s="19"/>
      <c r="AW277" s="19"/>
      <c r="AX277" s="19"/>
      <c r="AY277" s="19"/>
      <c r="AZ277" s="19"/>
      <c r="BA277" s="19"/>
      <c r="BB277" s="19"/>
      <c r="BC277" s="19"/>
      <c r="BD277" s="19"/>
      <c r="BE277" s="19"/>
      <c r="BF277" s="19"/>
      <c r="BG277" s="19"/>
      <c r="BH277" s="19"/>
      <c r="BI277" s="19"/>
      <c r="BJ277" s="19"/>
      <c r="BK277" s="19"/>
      <c r="BL277" s="19"/>
      <c r="BM277" s="19"/>
      <c r="BN277" s="19"/>
      <c r="BO277" s="19"/>
      <c r="BP277" s="19"/>
      <c r="BQ277" s="19"/>
      <c r="BR277" s="19"/>
      <c r="BS277" s="19"/>
      <c r="BT277" s="19"/>
      <c r="BU277" s="19"/>
      <c r="BV277" s="19"/>
      <c r="BW277" s="19"/>
      <c r="BX277" s="19"/>
      <c r="BY277" s="19"/>
      <c r="BZ277" s="19"/>
      <c r="CA277" s="19"/>
      <c r="CB277" s="19"/>
      <c r="CC277" s="19"/>
      <c r="CD277" s="19"/>
      <c r="CE277" s="19"/>
      <c r="CF277" s="6"/>
    </row>
    <row r="278" spans="1:84">
      <c r="A278" s="17"/>
      <c r="B278" s="17"/>
      <c r="C278" s="17"/>
      <c r="D278" s="19"/>
      <c r="E278" s="20"/>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19"/>
      <c r="AE278" s="19"/>
      <c r="AF278" s="19"/>
      <c r="AG278" s="19"/>
      <c r="AH278" s="19"/>
      <c r="AI278" s="19"/>
      <c r="AJ278" s="19"/>
      <c r="AK278" s="19"/>
      <c r="AL278" s="19"/>
      <c r="AM278" s="19"/>
      <c r="AN278" s="19"/>
      <c r="AO278" s="19"/>
      <c r="AP278" s="19"/>
      <c r="AQ278" s="19"/>
      <c r="AR278" s="19"/>
      <c r="AS278" s="19"/>
      <c r="AT278" s="19"/>
      <c r="AU278" s="19"/>
      <c r="AV278" s="19"/>
      <c r="AW278" s="19"/>
      <c r="AX278" s="19"/>
      <c r="AY278" s="19"/>
      <c r="AZ278" s="19"/>
      <c r="BA278" s="19"/>
      <c r="BB278" s="19"/>
      <c r="BC278" s="19"/>
      <c r="BD278" s="19"/>
      <c r="BE278" s="19"/>
      <c r="BF278" s="19"/>
      <c r="BG278" s="19"/>
      <c r="BH278" s="19"/>
      <c r="BI278" s="19"/>
      <c r="BJ278" s="19"/>
      <c r="BK278" s="19"/>
      <c r="BL278" s="19"/>
      <c r="BM278" s="19"/>
      <c r="BN278" s="19"/>
      <c r="BO278" s="19"/>
      <c r="BP278" s="19"/>
      <c r="BQ278" s="19"/>
      <c r="BR278" s="19"/>
      <c r="BS278" s="19"/>
      <c r="BT278" s="19"/>
      <c r="BU278" s="19"/>
      <c r="BV278" s="19"/>
      <c r="BW278" s="19"/>
      <c r="BX278" s="19"/>
      <c r="BY278" s="19"/>
      <c r="BZ278" s="19"/>
      <c r="CA278" s="19"/>
      <c r="CB278" s="19"/>
      <c r="CC278" s="19"/>
      <c r="CD278" s="19"/>
      <c r="CE278" s="19"/>
      <c r="CF278" s="6"/>
    </row>
    <row r="279" spans="1:84">
      <c r="A279" s="17"/>
      <c r="B279" s="17"/>
      <c r="C279" s="17"/>
      <c r="D279" s="19"/>
      <c r="E279" s="20"/>
      <c r="F279" s="19"/>
      <c r="G279" s="19"/>
      <c r="H279" s="19"/>
      <c r="I279" s="19"/>
      <c r="J279" s="19"/>
      <c r="K279" s="19"/>
      <c r="L279" s="19"/>
      <c r="M279" s="19"/>
      <c r="N279" s="19"/>
      <c r="O279" s="19"/>
      <c r="P279" s="19"/>
      <c r="Q279" s="19"/>
      <c r="R279" s="19"/>
      <c r="S279" s="19"/>
      <c r="T279" s="19"/>
      <c r="U279" s="19"/>
      <c r="V279" s="19"/>
      <c r="W279" s="19"/>
      <c r="X279" s="19"/>
      <c r="Y279" s="19"/>
      <c r="Z279" s="19"/>
      <c r="AA279" s="19"/>
      <c r="AB279" s="19"/>
      <c r="AC279" s="19"/>
      <c r="AD279" s="19"/>
      <c r="AE279" s="19"/>
      <c r="AF279" s="19"/>
      <c r="AG279" s="19"/>
      <c r="AH279" s="19"/>
      <c r="AI279" s="19"/>
      <c r="AJ279" s="19"/>
      <c r="AK279" s="19"/>
      <c r="AL279" s="19"/>
      <c r="AM279" s="19"/>
      <c r="AN279" s="19"/>
      <c r="AO279" s="19"/>
      <c r="AP279" s="19"/>
      <c r="AQ279" s="19"/>
      <c r="AR279" s="19"/>
      <c r="AS279" s="19"/>
      <c r="AT279" s="19"/>
      <c r="AU279" s="19"/>
      <c r="AV279" s="19"/>
      <c r="AW279" s="19"/>
      <c r="AX279" s="19"/>
      <c r="AY279" s="19"/>
      <c r="AZ279" s="19"/>
      <c r="BA279" s="19"/>
      <c r="BB279" s="19"/>
      <c r="BC279" s="19"/>
      <c r="BD279" s="19"/>
      <c r="BE279" s="19"/>
      <c r="BF279" s="19"/>
      <c r="BG279" s="19"/>
      <c r="BH279" s="19"/>
      <c r="BI279" s="19"/>
      <c r="BJ279" s="19"/>
      <c r="BK279" s="19"/>
      <c r="BL279" s="19"/>
      <c r="BM279" s="19"/>
      <c r="BN279" s="19"/>
      <c r="BO279" s="19"/>
      <c r="BP279" s="19"/>
      <c r="BQ279" s="19"/>
      <c r="BR279" s="19"/>
      <c r="BS279" s="19"/>
      <c r="BT279" s="19"/>
      <c r="BU279" s="19"/>
      <c r="BV279" s="19"/>
      <c r="BW279" s="19"/>
      <c r="BX279" s="19"/>
      <c r="BY279" s="19"/>
      <c r="BZ279" s="19"/>
      <c r="CA279" s="19"/>
      <c r="CB279" s="19"/>
      <c r="CC279" s="19"/>
      <c r="CD279" s="19"/>
      <c r="CE279" s="19"/>
      <c r="CF279" s="6"/>
    </row>
    <row r="280" spans="1:84">
      <c r="A280" s="17"/>
      <c r="B280" s="17"/>
      <c r="C280" s="17"/>
      <c r="D280" s="19"/>
      <c r="E280" s="20"/>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9"/>
      <c r="AE280" s="19"/>
      <c r="AF280" s="19"/>
      <c r="AG280" s="19"/>
      <c r="AH280" s="19"/>
      <c r="AI280" s="19"/>
      <c r="AJ280" s="19"/>
      <c r="AK280" s="19"/>
      <c r="AL280" s="19"/>
      <c r="AM280" s="19"/>
      <c r="AN280" s="19"/>
      <c r="AO280" s="19"/>
      <c r="AP280" s="19"/>
      <c r="AQ280" s="19"/>
      <c r="AR280" s="19"/>
      <c r="AS280" s="19"/>
      <c r="AT280" s="19"/>
      <c r="AU280" s="19"/>
      <c r="AV280" s="19"/>
      <c r="AW280" s="19"/>
      <c r="AX280" s="19"/>
      <c r="AY280" s="19"/>
      <c r="AZ280" s="19"/>
      <c r="BA280" s="19"/>
      <c r="BB280" s="19"/>
      <c r="BC280" s="19"/>
      <c r="BD280" s="19"/>
      <c r="BE280" s="19"/>
      <c r="BF280" s="19"/>
      <c r="BG280" s="19"/>
      <c r="BH280" s="19"/>
      <c r="BI280" s="19"/>
      <c r="BJ280" s="19"/>
      <c r="BK280" s="19"/>
      <c r="BL280" s="19"/>
      <c r="BM280" s="19"/>
      <c r="BN280" s="19"/>
      <c r="BO280" s="19"/>
      <c r="BP280" s="19"/>
      <c r="BQ280" s="19"/>
      <c r="BR280" s="19"/>
      <c r="BS280" s="19"/>
      <c r="BT280" s="19"/>
      <c r="BU280" s="19"/>
      <c r="BV280" s="19"/>
      <c r="BW280" s="19"/>
      <c r="BX280" s="19"/>
      <c r="BY280" s="19"/>
      <c r="BZ280" s="19"/>
      <c r="CA280" s="19"/>
      <c r="CB280" s="19"/>
      <c r="CC280" s="19"/>
      <c r="CD280" s="19"/>
      <c r="CE280" s="19"/>
      <c r="CF280" s="6"/>
    </row>
    <row r="281" spans="1:84">
      <c r="A281" s="17"/>
      <c r="B281" s="17"/>
      <c r="C281" s="17"/>
      <c r="D281" s="19"/>
      <c r="E281" s="20"/>
      <c r="F281" s="19"/>
      <c r="G281" s="19"/>
      <c r="H281" s="19"/>
      <c r="I281" s="19"/>
      <c r="J281" s="19"/>
      <c r="K281" s="19"/>
      <c r="L281" s="19"/>
      <c r="M281" s="19"/>
      <c r="N281" s="19"/>
      <c r="O281" s="19"/>
      <c r="P281" s="19"/>
      <c r="Q281" s="19"/>
      <c r="R281" s="19"/>
      <c r="S281" s="19"/>
      <c r="T281" s="19"/>
      <c r="U281" s="19"/>
      <c r="V281" s="19"/>
      <c r="W281" s="19"/>
      <c r="X281" s="19"/>
      <c r="Y281" s="19"/>
      <c r="Z281" s="19"/>
      <c r="AA281" s="19"/>
      <c r="AB281" s="19"/>
      <c r="AC281" s="19"/>
      <c r="AD281" s="19"/>
      <c r="AE281" s="19"/>
      <c r="AF281" s="19"/>
      <c r="AG281" s="19"/>
      <c r="AH281" s="19"/>
      <c r="AI281" s="19"/>
      <c r="AJ281" s="19"/>
      <c r="AK281" s="19"/>
      <c r="AL281" s="19"/>
      <c r="AM281" s="19"/>
      <c r="AN281" s="19"/>
      <c r="AO281" s="19"/>
      <c r="AP281" s="19"/>
      <c r="AQ281" s="19"/>
      <c r="AR281" s="19"/>
      <c r="AS281" s="19"/>
      <c r="AT281" s="19"/>
      <c r="AU281" s="19"/>
      <c r="AV281" s="19"/>
      <c r="AW281" s="19"/>
      <c r="AX281" s="19"/>
      <c r="AY281" s="19"/>
      <c r="AZ281" s="19"/>
      <c r="BA281" s="19"/>
      <c r="BB281" s="19"/>
      <c r="BC281" s="19"/>
      <c r="BD281" s="19"/>
      <c r="BE281" s="19"/>
      <c r="BF281" s="19"/>
      <c r="BG281" s="19"/>
      <c r="BH281" s="19"/>
      <c r="BI281" s="19"/>
      <c r="BJ281" s="19"/>
      <c r="BK281" s="19"/>
      <c r="BL281" s="19"/>
      <c r="BM281" s="19"/>
      <c r="BN281" s="19"/>
      <c r="BO281" s="19"/>
      <c r="BP281" s="19"/>
      <c r="BQ281" s="19"/>
      <c r="BR281" s="19"/>
      <c r="BS281" s="19"/>
      <c r="BT281" s="19"/>
      <c r="BU281" s="19"/>
      <c r="BV281" s="19"/>
      <c r="BW281" s="19"/>
      <c r="BX281" s="19"/>
      <c r="BY281" s="19"/>
      <c r="BZ281" s="19"/>
      <c r="CA281" s="19"/>
      <c r="CB281" s="19"/>
      <c r="CC281" s="19"/>
      <c r="CD281" s="19"/>
      <c r="CE281" s="19"/>
      <c r="CF281" s="6"/>
    </row>
    <row r="282" spans="1:84">
      <c r="A282" s="17"/>
      <c r="B282" s="17"/>
      <c r="C282" s="17"/>
      <c r="D282" s="19"/>
      <c r="E282" s="20"/>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9"/>
      <c r="AE282" s="19"/>
      <c r="AF282" s="19"/>
      <c r="AG282" s="19"/>
      <c r="AH282" s="19"/>
      <c r="AI282" s="19"/>
      <c r="AJ282" s="19"/>
      <c r="AK282" s="19"/>
      <c r="AL282" s="19"/>
      <c r="AM282" s="19"/>
      <c r="AN282" s="19"/>
      <c r="AO282" s="19"/>
      <c r="AP282" s="19"/>
      <c r="AQ282" s="19"/>
      <c r="AR282" s="19"/>
      <c r="AS282" s="19"/>
      <c r="AT282" s="19"/>
      <c r="AU282" s="19"/>
      <c r="AV282" s="19"/>
      <c r="AW282" s="19"/>
      <c r="AX282" s="19"/>
      <c r="AY282" s="19"/>
      <c r="AZ282" s="19"/>
      <c r="BA282" s="19"/>
      <c r="BB282" s="19"/>
      <c r="BC282" s="19"/>
      <c r="BD282" s="19"/>
      <c r="BE282" s="19"/>
      <c r="BF282" s="19"/>
      <c r="BG282" s="19"/>
      <c r="BH282" s="19"/>
      <c r="BI282" s="19"/>
      <c r="BJ282" s="19"/>
      <c r="BK282" s="19"/>
      <c r="BL282" s="19"/>
      <c r="BM282" s="19"/>
      <c r="BN282" s="19"/>
      <c r="BO282" s="19"/>
      <c r="BP282" s="19"/>
      <c r="BQ282" s="19"/>
      <c r="BR282" s="19"/>
      <c r="BS282" s="19"/>
      <c r="BT282" s="19"/>
      <c r="BU282" s="19"/>
      <c r="BV282" s="19"/>
      <c r="BW282" s="19"/>
      <c r="BX282" s="19"/>
      <c r="BY282" s="19"/>
      <c r="BZ282" s="19"/>
      <c r="CA282" s="19"/>
      <c r="CB282" s="19"/>
      <c r="CC282" s="19"/>
      <c r="CD282" s="19"/>
      <c r="CE282" s="19"/>
      <c r="CF282" s="6"/>
    </row>
    <row r="283" spans="1:84">
      <c r="A283" s="17"/>
      <c r="B283" s="17"/>
      <c r="C283" s="17"/>
      <c r="D283" s="19"/>
      <c r="E283" s="20"/>
      <c r="F283" s="19"/>
      <c r="G283" s="19"/>
      <c r="H283" s="19"/>
      <c r="I283" s="19"/>
      <c r="J283" s="19"/>
      <c r="K283" s="19"/>
      <c r="L283" s="19"/>
      <c r="M283" s="19"/>
      <c r="N283" s="19"/>
      <c r="O283" s="19"/>
      <c r="P283" s="19"/>
      <c r="Q283" s="19"/>
      <c r="R283" s="19"/>
      <c r="S283" s="19"/>
      <c r="T283" s="19"/>
      <c r="U283" s="19"/>
      <c r="V283" s="19"/>
      <c r="W283" s="19"/>
      <c r="X283" s="19"/>
      <c r="Y283" s="19"/>
      <c r="Z283" s="19"/>
      <c r="AA283" s="19"/>
      <c r="AB283" s="19"/>
      <c r="AC283" s="19"/>
      <c r="AD283" s="19"/>
      <c r="AE283" s="19"/>
      <c r="AF283" s="19"/>
      <c r="AG283" s="19"/>
      <c r="AH283" s="19"/>
      <c r="AI283" s="19"/>
      <c r="AJ283" s="19"/>
      <c r="AK283" s="19"/>
      <c r="AL283" s="19"/>
      <c r="AM283" s="19"/>
      <c r="AN283" s="19"/>
      <c r="AO283" s="19"/>
      <c r="AP283" s="19"/>
      <c r="AQ283" s="19"/>
      <c r="AR283" s="19"/>
      <c r="AS283" s="19"/>
      <c r="AT283" s="19"/>
      <c r="AU283" s="19"/>
      <c r="AV283" s="19"/>
      <c r="AW283" s="19"/>
      <c r="AX283" s="19"/>
      <c r="AY283" s="19"/>
      <c r="AZ283" s="19"/>
      <c r="BA283" s="19"/>
      <c r="BB283" s="19"/>
      <c r="BC283" s="19"/>
      <c r="BD283" s="19"/>
      <c r="BE283" s="19"/>
      <c r="BF283" s="19"/>
      <c r="BG283" s="19"/>
      <c r="BH283" s="19"/>
      <c r="BI283" s="19"/>
      <c r="BJ283" s="19"/>
      <c r="BK283" s="19"/>
      <c r="BL283" s="19"/>
      <c r="BM283" s="19"/>
      <c r="BN283" s="19"/>
      <c r="BO283" s="19"/>
      <c r="BP283" s="19"/>
      <c r="BQ283" s="19"/>
      <c r="BR283" s="19"/>
      <c r="BS283" s="19"/>
      <c r="BT283" s="19"/>
      <c r="BU283" s="19"/>
      <c r="BV283" s="19"/>
      <c r="BW283" s="19"/>
      <c r="BX283" s="19"/>
      <c r="BY283" s="19"/>
      <c r="BZ283" s="19"/>
      <c r="CA283" s="19"/>
      <c r="CB283" s="19"/>
      <c r="CC283" s="19"/>
      <c r="CD283" s="19"/>
      <c r="CE283" s="19"/>
      <c r="CF283" s="6"/>
    </row>
    <row r="284" spans="1:84">
      <c r="A284" s="17"/>
      <c r="B284" s="17"/>
      <c r="C284" s="17"/>
      <c r="D284" s="19"/>
      <c r="E284" s="20"/>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9"/>
      <c r="AD284" s="19"/>
      <c r="AE284" s="19"/>
      <c r="AF284" s="19"/>
      <c r="AG284" s="19"/>
      <c r="AH284" s="19"/>
      <c r="AI284" s="19"/>
      <c r="AJ284" s="19"/>
      <c r="AK284" s="19"/>
      <c r="AL284" s="19"/>
      <c r="AM284" s="19"/>
      <c r="AN284" s="19"/>
      <c r="AO284" s="19"/>
      <c r="AP284" s="19"/>
      <c r="AQ284" s="19"/>
      <c r="AR284" s="19"/>
      <c r="AS284" s="19"/>
      <c r="AT284" s="19"/>
      <c r="AU284" s="19"/>
      <c r="AV284" s="19"/>
      <c r="AW284" s="19"/>
      <c r="AX284" s="19"/>
      <c r="AY284" s="19"/>
      <c r="AZ284" s="19"/>
      <c r="BA284" s="19"/>
      <c r="BB284" s="19"/>
      <c r="BC284" s="19"/>
      <c r="BD284" s="19"/>
      <c r="BE284" s="19"/>
      <c r="BF284" s="19"/>
      <c r="BG284" s="19"/>
      <c r="BH284" s="19"/>
      <c r="BI284" s="19"/>
      <c r="BJ284" s="19"/>
      <c r="BK284" s="19"/>
      <c r="BL284" s="19"/>
      <c r="BM284" s="19"/>
      <c r="BN284" s="19"/>
      <c r="BO284" s="19"/>
      <c r="BP284" s="19"/>
      <c r="BQ284" s="19"/>
      <c r="BR284" s="19"/>
      <c r="BS284" s="19"/>
      <c r="BT284" s="19"/>
      <c r="BU284" s="19"/>
      <c r="BV284" s="19"/>
      <c r="BW284" s="19"/>
      <c r="BX284" s="19"/>
      <c r="BY284" s="19"/>
      <c r="BZ284" s="19"/>
      <c r="CA284" s="19"/>
      <c r="CB284" s="19"/>
      <c r="CC284" s="19"/>
      <c r="CD284" s="19"/>
      <c r="CE284" s="19"/>
      <c r="CF284" s="6"/>
    </row>
    <row r="285" spans="1:84">
      <c r="A285" s="17"/>
      <c r="B285" s="17"/>
      <c r="C285" s="17"/>
      <c r="D285" s="19"/>
      <c r="E285" s="19"/>
      <c r="F285" s="19"/>
      <c r="G285" s="19"/>
      <c r="H285" s="19"/>
      <c r="I285" s="19"/>
      <c r="J285" s="19"/>
      <c r="K285" s="19"/>
      <c r="L285" s="19"/>
      <c r="M285" s="19"/>
      <c r="N285" s="19"/>
      <c r="O285" s="19"/>
      <c r="P285" s="19"/>
      <c r="Q285" s="19"/>
      <c r="R285" s="19"/>
      <c r="S285" s="19"/>
      <c r="T285" s="19"/>
      <c r="U285" s="19"/>
      <c r="V285" s="19"/>
      <c r="W285" s="19"/>
      <c r="X285" s="19"/>
      <c r="Y285" s="19"/>
      <c r="Z285" s="19"/>
      <c r="AA285" s="19"/>
      <c r="AB285" s="19"/>
      <c r="AC285" s="19"/>
      <c r="AD285" s="19"/>
      <c r="AE285" s="19"/>
      <c r="AF285" s="19"/>
      <c r="AG285" s="19"/>
      <c r="AH285" s="19"/>
      <c r="AI285" s="19"/>
      <c r="AJ285" s="19"/>
      <c r="AK285" s="19"/>
      <c r="AL285" s="19"/>
      <c r="AM285" s="19"/>
      <c r="AN285" s="19"/>
      <c r="AO285" s="19"/>
      <c r="AP285" s="19"/>
      <c r="AQ285" s="19"/>
      <c r="AR285" s="19"/>
      <c r="AS285" s="19"/>
      <c r="AT285" s="19"/>
      <c r="AU285" s="19"/>
      <c r="AV285" s="19"/>
      <c r="AW285" s="19"/>
      <c r="AX285" s="19"/>
      <c r="AY285" s="19"/>
      <c r="AZ285" s="19"/>
      <c r="BA285" s="19"/>
      <c r="BB285" s="19"/>
      <c r="BC285" s="19"/>
      <c r="BD285" s="19"/>
      <c r="BE285" s="19"/>
      <c r="BF285" s="19"/>
      <c r="BG285" s="19"/>
      <c r="BH285" s="19"/>
      <c r="BI285" s="19"/>
      <c r="BJ285" s="19"/>
      <c r="BK285" s="19"/>
      <c r="BL285" s="19"/>
      <c r="BM285" s="19"/>
      <c r="BN285" s="19"/>
      <c r="BO285" s="19"/>
      <c r="BP285" s="19"/>
      <c r="BQ285" s="19"/>
      <c r="BR285" s="19"/>
      <c r="BS285" s="19"/>
      <c r="BT285" s="19"/>
      <c r="BU285" s="19"/>
      <c r="BV285" s="19"/>
      <c r="BW285" s="19"/>
      <c r="BX285" s="19"/>
      <c r="BY285" s="19"/>
      <c r="BZ285" s="19"/>
      <c r="CA285" s="19"/>
      <c r="CB285" s="19"/>
      <c r="CC285" s="19"/>
      <c r="CD285" s="19"/>
      <c r="CE285" s="19"/>
      <c r="CF285" s="6"/>
    </row>
    <row r="286" spans="1:84">
      <c r="A286" s="17"/>
      <c r="B286" s="17"/>
      <c r="C286" s="17"/>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9"/>
      <c r="AD286" s="19"/>
      <c r="AE286" s="19"/>
      <c r="AF286" s="19"/>
      <c r="AG286" s="19"/>
      <c r="AH286" s="19"/>
      <c r="AI286" s="19"/>
      <c r="AJ286" s="19"/>
      <c r="AK286" s="19"/>
      <c r="AL286" s="19"/>
      <c r="AM286" s="19"/>
      <c r="AN286" s="19"/>
      <c r="AO286" s="19"/>
      <c r="AP286" s="19"/>
      <c r="AQ286" s="19"/>
      <c r="AR286" s="19"/>
      <c r="AS286" s="19"/>
      <c r="AT286" s="19"/>
      <c r="AU286" s="19"/>
      <c r="AV286" s="19"/>
      <c r="AW286" s="19"/>
      <c r="AX286" s="19"/>
      <c r="AY286" s="19"/>
      <c r="AZ286" s="19"/>
      <c r="BA286" s="19"/>
      <c r="BB286" s="19"/>
      <c r="BC286" s="19"/>
      <c r="BD286" s="19"/>
      <c r="BE286" s="19"/>
      <c r="BF286" s="19"/>
      <c r="BG286" s="19"/>
      <c r="BH286" s="19"/>
      <c r="BI286" s="19"/>
      <c r="BJ286" s="19"/>
      <c r="BK286" s="19"/>
      <c r="BL286" s="19"/>
      <c r="BM286" s="19"/>
      <c r="BN286" s="19"/>
      <c r="BO286" s="19"/>
      <c r="BP286" s="19"/>
      <c r="BQ286" s="19"/>
      <c r="BR286" s="19"/>
      <c r="BS286" s="19"/>
      <c r="BT286" s="19"/>
      <c r="BU286" s="19"/>
      <c r="BV286" s="19"/>
      <c r="BW286" s="19"/>
      <c r="BX286" s="19"/>
      <c r="BY286" s="19"/>
      <c r="BZ286" s="19"/>
      <c r="CA286" s="19"/>
      <c r="CB286" s="19"/>
      <c r="CC286" s="19"/>
      <c r="CD286" s="19"/>
      <c r="CE286" s="19"/>
      <c r="CF286" s="6"/>
    </row>
    <row r="287" spans="1:84">
      <c r="A287" s="17"/>
      <c r="B287" s="17"/>
      <c r="C287" s="17"/>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19"/>
      <c r="AG287" s="19"/>
      <c r="AH287" s="19"/>
      <c r="AI287" s="19"/>
      <c r="AJ287" s="19"/>
      <c r="AK287" s="19"/>
      <c r="AL287" s="19"/>
      <c r="AM287" s="19"/>
      <c r="AN287" s="19"/>
      <c r="AO287" s="19"/>
      <c r="AP287" s="19"/>
      <c r="AQ287" s="19"/>
      <c r="AR287" s="19"/>
      <c r="AS287" s="19"/>
      <c r="AT287" s="19"/>
      <c r="AU287" s="19"/>
      <c r="AV287" s="19"/>
      <c r="AW287" s="19"/>
      <c r="AX287" s="19"/>
      <c r="AY287" s="19"/>
      <c r="AZ287" s="19"/>
      <c r="BA287" s="19"/>
      <c r="BB287" s="19"/>
      <c r="BC287" s="19"/>
      <c r="BD287" s="19"/>
      <c r="BE287" s="19"/>
      <c r="BF287" s="19"/>
      <c r="BG287" s="19"/>
      <c r="BH287" s="19"/>
      <c r="BI287" s="19"/>
      <c r="BJ287" s="19"/>
      <c r="BK287" s="19"/>
      <c r="BL287" s="19"/>
      <c r="BM287" s="19"/>
      <c r="BN287" s="19"/>
      <c r="BO287" s="19"/>
      <c r="BP287" s="19"/>
      <c r="BQ287" s="19"/>
      <c r="BR287" s="19"/>
      <c r="BS287" s="19"/>
      <c r="BT287" s="19"/>
      <c r="BU287" s="19"/>
      <c r="BV287" s="19"/>
      <c r="BW287" s="19"/>
      <c r="BX287" s="19"/>
      <c r="BY287" s="19"/>
      <c r="BZ287" s="19"/>
      <c r="CA287" s="19"/>
      <c r="CB287" s="19"/>
      <c r="CC287" s="19"/>
      <c r="CD287" s="19"/>
      <c r="CE287" s="19"/>
      <c r="CF287" s="6"/>
    </row>
    <row r="288" spans="1:84">
      <c r="A288" s="17"/>
      <c r="B288" s="17"/>
      <c r="C288" s="17"/>
      <c r="D288" s="19"/>
      <c r="E288" s="19"/>
      <c r="F288" s="19"/>
      <c r="G288" s="19"/>
      <c r="H288" s="19"/>
      <c r="I288" s="19"/>
      <c r="J288" s="19"/>
      <c r="K288" s="19"/>
      <c r="L288" s="19"/>
      <c r="M288" s="19"/>
      <c r="N288" s="19"/>
      <c r="O288" s="19"/>
      <c r="P288" s="19"/>
      <c r="Q288" s="19"/>
      <c r="R288" s="19"/>
      <c r="S288" s="19"/>
      <c r="T288" s="19"/>
      <c r="U288" s="19"/>
      <c r="V288" s="19"/>
      <c r="W288" s="19"/>
      <c r="X288" s="19"/>
      <c r="Y288" s="19"/>
      <c r="Z288" s="19"/>
      <c r="AA288" s="19"/>
      <c r="AB288" s="19"/>
      <c r="AC288" s="19"/>
      <c r="AD288" s="19"/>
      <c r="AE288" s="19"/>
      <c r="AF288" s="19"/>
      <c r="AG288" s="19"/>
      <c r="AH288" s="19"/>
      <c r="AI288" s="19"/>
      <c r="AJ288" s="19"/>
      <c r="AK288" s="19"/>
      <c r="AL288" s="19"/>
      <c r="AM288" s="19"/>
      <c r="AN288" s="19"/>
      <c r="AO288" s="19"/>
      <c r="AP288" s="19"/>
      <c r="AQ288" s="19"/>
      <c r="AR288" s="19"/>
      <c r="AS288" s="19"/>
      <c r="AT288" s="19"/>
      <c r="AU288" s="19"/>
      <c r="AV288" s="19"/>
      <c r="AW288" s="19"/>
      <c r="AX288" s="19"/>
      <c r="AY288" s="19"/>
      <c r="AZ288" s="19"/>
      <c r="BA288" s="19"/>
      <c r="BB288" s="19"/>
      <c r="BC288" s="19"/>
      <c r="BD288" s="19"/>
      <c r="BE288" s="19"/>
      <c r="BF288" s="19"/>
      <c r="BG288" s="19"/>
      <c r="BH288" s="19"/>
      <c r="BI288" s="19"/>
      <c r="BJ288" s="19"/>
      <c r="BK288" s="19"/>
      <c r="BL288" s="19"/>
      <c r="BM288" s="19"/>
      <c r="BN288" s="19"/>
      <c r="BO288" s="19"/>
      <c r="BP288" s="19"/>
      <c r="BQ288" s="19"/>
      <c r="BR288" s="19"/>
      <c r="BS288" s="19"/>
      <c r="BT288" s="19"/>
      <c r="BU288" s="19"/>
      <c r="BV288" s="19"/>
      <c r="BW288" s="19"/>
      <c r="BX288" s="19"/>
      <c r="BY288" s="19"/>
      <c r="BZ288" s="19"/>
      <c r="CA288" s="19"/>
      <c r="CB288" s="19"/>
      <c r="CC288" s="19"/>
      <c r="CD288" s="19"/>
      <c r="CE288" s="19"/>
      <c r="CF288" s="6"/>
    </row>
    <row r="289" spans="1:84">
      <c r="A289" s="17"/>
      <c r="B289" s="17"/>
      <c r="C289" s="17"/>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19"/>
      <c r="AE289" s="19"/>
      <c r="AF289" s="19"/>
      <c r="AG289" s="19"/>
      <c r="AH289" s="19"/>
      <c r="AI289" s="19"/>
      <c r="AJ289" s="19"/>
      <c r="AK289" s="19"/>
      <c r="AL289" s="19"/>
      <c r="AM289" s="19"/>
      <c r="AN289" s="19"/>
      <c r="AO289" s="19"/>
      <c r="AP289" s="19"/>
      <c r="AQ289" s="19"/>
      <c r="AR289" s="19"/>
      <c r="AS289" s="19"/>
      <c r="AT289" s="19"/>
      <c r="AU289" s="19"/>
      <c r="AV289" s="19"/>
      <c r="AW289" s="19"/>
      <c r="AX289" s="19"/>
      <c r="AY289" s="19"/>
      <c r="AZ289" s="19"/>
      <c r="BA289" s="19"/>
      <c r="BB289" s="19"/>
      <c r="BC289" s="19"/>
      <c r="BD289" s="19"/>
      <c r="BE289" s="19"/>
      <c r="BF289" s="19"/>
      <c r="BG289" s="19"/>
      <c r="BH289" s="19"/>
      <c r="BI289" s="19"/>
      <c r="BJ289" s="19"/>
      <c r="BK289" s="19"/>
      <c r="BL289" s="19"/>
      <c r="BM289" s="19"/>
      <c r="BN289" s="19"/>
      <c r="BO289" s="19"/>
      <c r="BP289" s="19"/>
      <c r="BQ289" s="19"/>
      <c r="BR289" s="19"/>
      <c r="BS289" s="19"/>
      <c r="BT289" s="19"/>
      <c r="BU289" s="19"/>
      <c r="BV289" s="19"/>
      <c r="BW289" s="19"/>
      <c r="BX289" s="19"/>
      <c r="BY289" s="19"/>
      <c r="BZ289" s="19"/>
      <c r="CA289" s="19"/>
      <c r="CB289" s="19"/>
      <c r="CC289" s="19"/>
      <c r="CD289" s="19"/>
      <c r="CE289" s="19"/>
      <c r="CF289" s="6"/>
    </row>
    <row r="290" spans="1:84">
      <c r="A290" s="17"/>
      <c r="B290" s="17"/>
      <c r="C290" s="17"/>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19"/>
      <c r="AE290" s="19"/>
      <c r="AF290" s="19"/>
      <c r="AG290" s="19"/>
      <c r="AH290" s="19"/>
      <c r="AI290" s="19"/>
      <c r="AJ290" s="19"/>
      <c r="AK290" s="19"/>
      <c r="AL290" s="19"/>
      <c r="AM290" s="19"/>
      <c r="AN290" s="19"/>
      <c r="AO290" s="19"/>
      <c r="AP290" s="19"/>
      <c r="AQ290" s="19"/>
      <c r="AR290" s="19"/>
      <c r="AS290" s="19"/>
      <c r="AT290" s="19"/>
      <c r="AU290" s="19"/>
      <c r="AV290" s="19"/>
      <c r="AW290" s="19"/>
      <c r="AX290" s="19"/>
      <c r="AY290" s="19"/>
      <c r="AZ290" s="19"/>
      <c r="BA290" s="19"/>
      <c r="BB290" s="19"/>
      <c r="BC290" s="19"/>
      <c r="BD290" s="19"/>
      <c r="BE290" s="19"/>
      <c r="BF290" s="19"/>
      <c r="BG290" s="19"/>
      <c r="BH290" s="19"/>
      <c r="BI290" s="19"/>
      <c r="BJ290" s="19"/>
      <c r="BK290" s="19"/>
      <c r="BL290" s="19"/>
      <c r="BM290" s="19"/>
      <c r="BN290" s="19"/>
      <c r="BO290" s="19"/>
      <c r="BP290" s="19"/>
      <c r="BQ290" s="19"/>
      <c r="BR290" s="19"/>
      <c r="BS290" s="19"/>
      <c r="BT290" s="19"/>
      <c r="BU290" s="19"/>
      <c r="BV290" s="19"/>
      <c r="BW290" s="19"/>
      <c r="BX290" s="19"/>
      <c r="BY290" s="19"/>
      <c r="BZ290" s="19"/>
      <c r="CA290" s="19"/>
      <c r="CB290" s="19"/>
      <c r="CC290" s="19"/>
      <c r="CD290" s="19"/>
      <c r="CE290" s="19"/>
      <c r="CF290" s="6"/>
    </row>
    <row r="291" spans="1:84">
      <c r="A291" s="17"/>
      <c r="B291" s="17"/>
      <c r="C291" s="17"/>
      <c r="D291" s="19"/>
      <c r="E291" s="19"/>
      <c r="F291" s="19"/>
      <c r="G291" s="19"/>
      <c r="H291" s="19"/>
      <c r="I291" s="19"/>
      <c r="J291" s="19"/>
      <c r="K291" s="19"/>
      <c r="L291" s="19"/>
      <c r="M291" s="19"/>
      <c r="N291" s="19"/>
      <c r="O291" s="19"/>
      <c r="P291" s="19"/>
      <c r="Q291" s="19"/>
      <c r="R291" s="19"/>
      <c r="S291" s="19"/>
      <c r="T291" s="19"/>
      <c r="U291" s="19"/>
      <c r="V291" s="19"/>
      <c r="W291" s="19"/>
      <c r="X291" s="19"/>
      <c r="Y291" s="19"/>
      <c r="Z291" s="19"/>
      <c r="AA291" s="19"/>
      <c r="AB291" s="19"/>
      <c r="AC291" s="19"/>
      <c r="AD291" s="19"/>
      <c r="AE291" s="19"/>
      <c r="AF291" s="19"/>
      <c r="AG291" s="19"/>
      <c r="AH291" s="19"/>
      <c r="AI291" s="19"/>
      <c r="AJ291" s="19"/>
      <c r="AK291" s="19"/>
      <c r="AL291" s="19"/>
      <c r="AM291" s="19"/>
      <c r="AN291" s="19"/>
      <c r="AO291" s="19"/>
      <c r="AP291" s="19"/>
      <c r="AQ291" s="19"/>
      <c r="AR291" s="19"/>
      <c r="AS291" s="19"/>
      <c r="AT291" s="19"/>
      <c r="AU291" s="19"/>
      <c r="AV291" s="19"/>
      <c r="AW291" s="19"/>
      <c r="AX291" s="19"/>
      <c r="AY291" s="19"/>
      <c r="AZ291" s="19"/>
      <c r="BA291" s="19"/>
      <c r="BB291" s="19"/>
      <c r="BC291" s="19"/>
      <c r="BD291" s="19"/>
      <c r="BE291" s="19"/>
      <c r="BF291" s="19"/>
      <c r="BG291" s="19"/>
      <c r="BH291" s="19"/>
      <c r="BI291" s="19"/>
      <c r="BJ291" s="19"/>
      <c r="BK291" s="19"/>
      <c r="BL291" s="19"/>
      <c r="BM291" s="19"/>
      <c r="BN291" s="19"/>
      <c r="BO291" s="19"/>
      <c r="BP291" s="19"/>
      <c r="BQ291" s="19"/>
      <c r="BR291" s="19"/>
      <c r="BS291" s="19"/>
      <c r="BT291" s="19"/>
      <c r="BU291" s="19"/>
      <c r="BV291" s="19"/>
      <c r="BW291" s="19"/>
      <c r="BX291" s="19"/>
      <c r="BY291" s="19"/>
      <c r="BZ291" s="19"/>
      <c r="CA291" s="19"/>
      <c r="CB291" s="19"/>
      <c r="CC291" s="19"/>
      <c r="CD291" s="19"/>
      <c r="CE291" s="19"/>
      <c r="CF291" s="6"/>
    </row>
    <row r="292" spans="1:84">
      <c r="A292" s="17"/>
      <c r="B292" s="17"/>
      <c r="C292" s="17"/>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19"/>
      <c r="AE292" s="19"/>
      <c r="AF292" s="19"/>
      <c r="AG292" s="19"/>
      <c r="AH292" s="19"/>
      <c r="AI292" s="19"/>
      <c r="AJ292" s="19"/>
      <c r="AK292" s="19"/>
      <c r="AL292" s="19"/>
      <c r="AM292" s="19"/>
      <c r="AN292" s="19"/>
      <c r="AO292" s="19"/>
      <c r="AP292" s="19"/>
      <c r="AQ292" s="19"/>
      <c r="AR292" s="19"/>
      <c r="AS292" s="19"/>
      <c r="AT292" s="19"/>
      <c r="AU292" s="19"/>
      <c r="AV292" s="19"/>
      <c r="AW292" s="19"/>
      <c r="AX292" s="19"/>
      <c r="AY292" s="19"/>
      <c r="AZ292" s="19"/>
      <c r="BA292" s="19"/>
      <c r="BB292" s="19"/>
      <c r="BC292" s="19"/>
      <c r="BD292" s="19"/>
      <c r="BE292" s="19"/>
      <c r="BF292" s="19"/>
      <c r="BG292" s="19"/>
      <c r="BH292" s="19"/>
      <c r="BI292" s="19"/>
      <c r="BJ292" s="19"/>
      <c r="BK292" s="19"/>
      <c r="BL292" s="19"/>
      <c r="BM292" s="19"/>
      <c r="BN292" s="19"/>
      <c r="BO292" s="19"/>
      <c r="BP292" s="19"/>
      <c r="BQ292" s="19"/>
      <c r="BR292" s="19"/>
      <c r="BS292" s="19"/>
      <c r="BT292" s="19"/>
      <c r="BU292" s="19"/>
      <c r="BV292" s="19"/>
      <c r="BW292" s="19"/>
      <c r="BX292" s="19"/>
      <c r="BY292" s="19"/>
      <c r="BZ292" s="19"/>
      <c r="CA292" s="19"/>
      <c r="CB292" s="19"/>
      <c r="CC292" s="19"/>
      <c r="CD292" s="19"/>
      <c r="CE292" s="19"/>
      <c r="CF292" s="6"/>
    </row>
    <row r="293" spans="1:84">
      <c r="A293" s="17"/>
      <c r="B293" s="17"/>
      <c r="C293" s="17"/>
      <c r="D293" s="19"/>
      <c r="E293" s="19"/>
      <c r="F293" s="19"/>
      <c r="G293" s="19"/>
      <c r="H293" s="19"/>
      <c r="I293" s="19"/>
      <c r="J293" s="19"/>
      <c r="K293" s="19"/>
      <c r="L293" s="19"/>
      <c r="M293" s="19"/>
      <c r="N293" s="19"/>
      <c r="O293" s="19"/>
      <c r="P293" s="19"/>
      <c r="Q293" s="19"/>
      <c r="R293" s="19"/>
      <c r="S293" s="19"/>
      <c r="T293" s="19"/>
      <c r="U293" s="19"/>
      <c r="V293" s="19"/>
      <c r="W293" s="19"/>
      <c r="X293" s="19"/>
      <c r="Y293" s="19"/>
      <c r="Z293" s="19"/>
      <c r="AA293" s="19"/>
      <c r="AB293" s="19"/>
      <c r="AC293" s="19"/>
      <c r="AD293" s="19"/>
      <c r="AE293" s="19"/>
      <c r="AF293" s="19"/>
      <c r="AG293" s="19"/>
      <c r="AH293" s="19"/>
      <c r="AI293" s="19"/>
      <c r="AJ293" s="19"/>
      <c r="AK293" s="19"/>
      <c r="AL293" s="19"/>
      <c r="AM293" s="19"/>
      <c r="AN293" s="19"/>
      <c r="AO293" s="19"/>
      <c r="AP293" s="19"/>
      <c r="AQ293" s="19"/>
      <c r="AR293" s="19"/>
      <c r="AS293" s="19"/>
      <c r="AT293" s="19"/>
      <c r="AU293" s="19"/>
      <c r="AV293" s="19"/>
      <c r="AW293" s="19"/>
      <c r="AX293" s="19"/>
      <c r="AY293" s="19"/>
      <c r="AZ293" s="19"/>
      <c r="BA293" s="19"/>
      <c r="BB293" s="19"/>
      <c r="BC293" s="19"/>
      <c r="BD293" s="19"/>
      <c r="BE293" s="19"/>
      <c r="BF293" s="19"/>
      <c r="BG293" s="19"/>
      <c r="BH293" s="19"/>
      <c r="BI293" s="19"/>
      <c r="BJ293" s="19"/>
      <c r="BK293" s="19"/>
      <c r="BL293" s="19"/>
      <c r="BM293" s="19"/>
      <c r="BN293" s="19"/>
      <c r="BO293" s="19"/>
      <c r="BP293" s="19"/>
      <c r="BQ293" s="19"/>
      <c r="BR293" s="19"/>
      <c r="BS293" s="19"/>
      <c r="BT293" s="19"/>
      <c r="BU293" s="19"/>
      <c r="BV293" s="19"/>
      <c r="BW293" s="19"/>
      <c r="BX293" s="19"/>
      <c r="BY293" s="19"/>
      <c r="BZ293" s="19"/>
      <c r="CA293" s="19"/>
      <c r="CB293" s="19"/>
      <c r="CC293" s="19"/>
      <c r="CD293" s="19"/>
      <c r="CE293" s="19"/>
      <c r="CF293" s="6"/>
    </row>
    <row r="294" spans="1:84">
      <c r="A294" s="17"/>
      <c r="B294" s="17"/>
      <c r="C294" s="17"/>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c r="AB294" s="19"/>
      <c r="AC294" s="19"/>
      <c r="AD294" s="19"/>
      <c r="AE294" s="19"/>
      <c r="AF294" s="19"/>
      <c r="AG294" s="19"/>
      <c r="AH294" s="19"/>
      <c r="AI294" s="19"/>
      <c r="AJ294" s="19"/>
      <c r="AK294" s="19"/>
      <c r="AL294" s="19"/>
      <c r="AM294" s="19"/>
      <c r="AN294" s="19"/>
      <c r="AO294" s="19"/>
      <c r="AP294" s="19"/>
      <c r="AQ294" s="19"/>
      <c r="AR294" s="19"/>
      <c r="AS294" s="19"/>
      <c r="AT294" s="19"/>
      <c r="AU294" s="19"/>
      <c r="AV294" s="19"/>
      <c r="AW294" s="19"/>
      <c r="AX294" s="19"/>
      <c r="AY294" s="19"/>
      <c r="AZ294" s="19"/>
      <c r="BA294" s="19"/>
      <c r="BB294" s="19"/>
      <c r="BC294" s="19"/>
      <c r="BD294" s="19"/>
      <c r="BE294" s="19"/>
      <c r="BF294" s="19"/>
      <c r="BG294" s="19"/>
      <c r="BH294" s="19"/>
      <c r="BI294" s="19"/>
      <c r="BJ294" s="19"/>
      <c r="BK294" s="19"/>
      <c r="BL294" s="19"/>
      <c r="BM294" s="19"/>
      <c r="BN294" s="19"/>
      <c r="BO294" s="19"/>
      <c r="BP294" s="19"/>
      <c r="BQ294" s="19"/>
      <c r="BR294" s="19"/>
      <c r="BS294" s="19"/>
      <c r="BT294" s="19"/>
      <c r="BU294" s="19"/>
      <c r="BV294" s="19"/>
      <c r="BW294" s="19"/>
      <c r="BX294" s="19"/>
      <c r="BY294" s="19"/>
      <c r="BZ294" s="19"/>
      <c r="CA294" s="19"/>
      <c r="CB294" s="19"/>
      <c r="CC294" s="19"/>
      <c r="CD294" s="19"/>
      <c r="CE294" s="19"/>
      <c r="CF294" s="6"/>
    </row>
    <row r="295" spans="1:84">
      <c r="A295" s="17"/>
      <c r="B295" s="17"/>
      <c r="C295" s="17"/>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9"/>
      <c r="AG295" s="19"/>
      <c r="AH295" s="19"/>
      <c r="AI295" s="19"/>
      <c r="AJ295" s="19"/>
      <c r="AK295" s="19"/>
      <c r="AL295" s="19"/>
      <c r="AM295" s="19"/>
      <c r="AN295" s="19"/>
      <c r="AO295" s="19"/>
      <c r="AP295" s="19"/>
      <c r="AQ295" s="19"/>
      <c r="AR295" s="19"/>
      <c r="AS295" s="19"/>
      <c r="AT295" s="19"/>
      <c r="AU295" s="19"/>
      <c r="AV295" s="19"/>
      <c r="AW295" s="19"/>
      <c r="AX295" s="19"/>
      <c r="AY295" s="19"/>
      <c r="AZ295" s="19"/>
      <c r="BA295" s="19"/>
      <c r="BB295" s="19"/>
      <c r="BC295" s="19"/>
      <c r="BD295" s="19"/>
      <c r="BE295" s="19"/>
      <c r="BF295" s="19"/>
      <c r="BG295" s="19"/>
      <c r="BH295" s="19"/>
      <c r="BI295" s="19"/>
      <c r="BJ295" s="19"/>
      <c r="BK295" s="19"/>
      <c r="BL295" s="19"/>
      <c r="BM295" s="19"/>
      <c r="BN295" s="19"/>
      <c r="BO295" s="19"/>
      <c r="BP295" s="19"/>
      <c r="BQ295" s="19"/>
      <c r="BR295" s="19"/>
      <c r="BS295" s="19"/>
      <c r="BT295" s="19"/>
      <c r="BU295" s="19"/>
      <c r="BV295" s="19"/>
      <c r="BW295" s="19"/>
      <c r="BX295" s="19"/>
      <c r="BY295" s="19"/>
      <c r="BZ295" s="19"/>
      <c r="CA295" s="19"/>
      <c r="CB295" s="19"/>
      <c r="CC295" s="19"/>
      <c r="CD295" s="19"/>
      <c r="CE295" s="19"/>
      <c r="CF295" s="6"/>
    </row>
    <row r="296" spans="1:84">
      <c r="A296" s="17"/>
      <c r="B296" s="17"/>
      <c r="C296" s="17"/>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19"/>
      <c r="AG296" s="19"/>
      <c r="AH296" s="19"/>
      <c r="AI296" s="19"/>
      <c r="AJ296" s="19"/>
      <c r="AK296" s="19"/>
      <c r="AL296" s="19"/>
      <c r="AM296" s="19"/>
      <c r="AN296" s="19"/>
      <c r="AO296" s="19"/>
      <c r="AP296" s="19"/>
      <c r="AQ296" s="19"/>
      <c r="AR296" s="19"/>
      <c r="AS296" s="19"/>
      <c r="AT296" s="19"/>
      <c r="AU296" s="19"/>
      <c r="AV296" s="19"/>
      <c r="AW296" s="19"/>
      <c r="AX296" s="19"/>
      <c r="AY296" s="19"/>
      <c r="AZ296" s="19"/>
      <c r="BA296" s="19"/>
      <c r="BB296" s="19"/>
      <c r="BC296" s="19"/>
      <c r="BD296" s="19"/>
      <c r="BE296" s="19"/>
      <c r="BF296" s="19"/>
      <c r="BG296" s="19"/>
      <c r="BH296" s="19"/>
      <c r="BI296" s="19"/>
      <c r="BJ296" s="19"/>
      <c r="BK296" s="19"/>
      <c r="BL296" s="19"/>
      <c r="BM296" s="19"/>
      <c r="BN296" s="19"/>
      <c r="BO296" s="19"/>
      <c r="BP296" s="19"/>
      <c r="BQ296" s="19"/>
      <c r="BR296" s="19"/>
      <c r="BS296" s="19"/>
      <c r="BT296" s="19"/>
      <c r="BU296" s="19"/>
      <c r="BV296" s="19"/>
      <c r="BW296" s="19"/>
      <c r="BX296" s="19"/>
      <c r="BY296" s="19"/>
      <c r="BZ296" s="19"/>
      <c r="CA296" s="19"/>
      <c r="CB296" s="19"/>
      <c r="CC296" s="19"/>
      <c r="CD296" s="19"/>
      <c r="CE296" s="19"/>
      <c r="CF296" s="6"/>
    </row>
    <row r="297" spans="1:84">
      <c r="A297" s="17"/>
      <c r="B297" s="17"/>
      <c r="C297" s="17"/>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r="AE297" s="19"/>
      <c r="AF297" s="19"/>
      <c r="AG297" s="19"/>
      <c r="AH297" s="19"/>
      <c r="AI297" s="19"/>
      <c r="AJ297" s="19"/>
      <c r="AK297" s="19"/>
      <c r="AL297" s="19"/>
      <c r="AM297" s="19"/>
      <c r="AN297" s="19"/>
      <c r="AO297" s="19"/>
      <c r="AP297" s="19"/>
      <c r="AQ297" s="19"/>
      <c r="AR297" s="19"/>
      <c r="AS297" s="19"/>
      <c r="AT297" s="19"/>
      <c r="AU297" s="19"/>
      <c r="AV297" s="19"/>
      <c r="AW297" s="19"/>
      <c r="AX297" s="19"/>
      <c r="AY297" s="19"/>
      <c r="AZ297" s="19"/>
      <c r="BA297" s="19"/>
      <c r="BB297" s="19"/>
      <c r="BC297" s="19"/>
      <c r="BD297" s="19"/>
      <c r="BE297" s="19"/>
      <c r="BF297" s="19"/>
      <c r="BG297" s="19"/>
      <c r="BH297" s="19"/>
      <c r="BI297" s="19"/>
      <c r="BJ297" s="19"/>
      <c r="BK297" s="19"/>
      <c r="BL297" s="19"/>
      <c r="BM297" s="19"/>
      <c r="BN297" s="19"/>
      <c r="BO297" s="19"/>
      <c r="BP297" s="19"/>
      <c r="BQ297" s="19"/>
      <c r="BR297" s="19"/>
      <c r="BS297" s="19"/>
      <c r="BT297" s="19"/>
      <c r="BU297" s="19"/>
      <c r="BV297" s="19"/>
      <c r="BW297" s="19"/>
      <c r="BX297" s="19"/>
      <c r="BY297" s="19"/>
      <c r="BZ297" s="19"/>
      <c r="CA297" s="19"/>
      <c r="CB297" s="19"/>
      <c r="CC297" s="19"/>
      <c r="CD297" s="19"/>
      <c r="CE297" s="19"/>
      <c r="CF297" s="6"/>
    </row>
    <row r="298" spans="1:84">
      <c r="A298" s="17"/>
      <c r="B298" s="17"/>
      <c r="C298" s="17"/>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19"/>
      <c r="AE298" s="19"/>
      <c r="AF298" s="19"/>
      <c r="AG298" s="19"/>
      <c r="AH298" s="19"/>
      <c r="AI298" s="19"/>
      <c r="AJ298" s="19"/>
      <c r="AK298" s="19"/>
      <c r="AL298" s="19"/>
      <c r="AM298" s="19"/>
      <c r="AN298" s="19"/>
      <c r="AO298" s="19"/>
      <c r="AP298" s="19"/>
      <c r="AQ298" s="19"/>
      <c r="AR298" s="19"/>
      <c r="AS298" s="19"/>
      <c r="AT298" s="19"/>
      <c r="AU298" s="19"/>
      <c r="AV298" s="19"/>
      <c r="AW298" s="19"/>
      <c r="AX298" s="19"/>
      <c r="AY298" s="19"/>
      <c r="AZ298" s="19"/>
      <c r="BA298" s="19"/>
      <c r="BB298" s="19"/>
      <c r="BC298" s="19"/>
      <c r="BD298" s="19"/>
      <c r="BE298" s="19"/>
      <c r="BF298" s="19"/>
      <c r="BG298" s="19"/>
      <c r="BH298" s="19"/>
      <c r="BI298" s="19"/>
      <c r="BJ298" s="19"/>
      <c r="BK298" s="19"/>
      <c r="BL298" s="19"/>
      <c r="BM298" s="19"/>
      <c r="BN298" s="19"/>
      <c r="BO298" s="19"/>
      <c r="BP298" s="19"/>
      <c r="BQ298" s="19"/>
      <c r="BR298" s="19"/>
      <c r="BS298" s="19"/>
      <c r="BT298" s="19"/>
      <c r="BU298" s="19"/>
      <c r="BV298" s="19"/>
      <c r="BW298" s="19"/>
      <c r="BX298" s="19"/>
      <c r="BY298" s="19"/>
      <c r="BZ298" s="19"/>
      <c r="CA298" s="19"/>
      <c r="CB298" s="19"/>
      <c r="CC298" s="19"/>
      <c r="CD298" s="19"/>
      <c r="CE298" s="19"/>
      <c r="CF298" s="6"/>
    </row>
    <row r="299" spans="1:84">
      <c r="A299" s="17"/>
      <c r="B299" s="17"/>
      <c r="C299" s="17"/>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19"/>
      <c r="AE299" s="19"/>
      <c r="AF299" s="19"/>
      <c r="AG299" s="19"/>
      <c r="AH299" s="19"/>
      <c r="AI299" s="19"/>
      <c r="AJ299" s="19"/>
      <c r="AK299" s="19"/>
      <c r="AL299" s="19"/>
      <c r="AM299" s="19"/>
      <c r="AN299" s="19"/>
      <c r="AO299" s="19"/>
      <c r="AP299" s="19"/>
      <c r="AQ299" s="19"/>
      <c r="AR299" s="19"/>
      <c r="AS299" s="19"/>
      <c r="AT299" s="19"/>
      <c r="AU299" s="19"/>
      <c r="AV299" s="19"/>
      <c r="AW299" s="19"/>
      <c r="AX299" s="19"/>
      <c r="AY299" s="19"/>
      <c r="AZ299" s="19"/>
      <c r="BA299" s="19"/>
      <c r="BB299" s="19"/>
      <c r="BC299" s="19"/>
      <c r="BD299" s="19"/>
      <c r="BE299" s="19"/>
      <c r="BF299" s="19"/>
      <c r="BG299" s="19"/>
      <c r="BH299" s="19"/>
      <c r="BI299" s="19"/>
      <c r="BJ299" s="19"/>
      <c r="BK299" s="19"/>
      <c r="BL299" s="19"/>
      <c r="BM299" s="19"/>
      <c r="BN299" s="19"/>
      <c r="BO299" s="19"/>
      <c r="BP299" s="19"/>
      <c r="BQ299" s="19"/>
      <c r="BR299" s="19"/>
      <c r="BS299" s="19"/>
      <c r="BT299" s="19"/>
      <c r="BU299" s="19"/>
      <c r="BV299" s="19"/>
      <c r="BW299" s="19"/>
      <c r="BX299" s="19"/>
      <c r="BY299" s="19"/>
      <c r="BZ299" s="19"/>
      <c r="CA299" s="19"/>
      <c r="CB299" s="19"/>
      <c r="CC299" s="19"/>
      <c r="CD299" s="19"/>
      <c r="CE299" s="19"/>
      <c r="CF299" s="6"/>
    </row>
    <row r="300" spans="1:84">
      <c r="A300" s="17"/>
      <c r="B300" s="17"/>
      <c r="C300" s="17"/>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19"/>
      <c r="AE300" s="19"/>
      <c r="AF300" s="19"/>
      <c r="AG300" s="19"/>
      <c r="AH300" s="19"/>
      <c r="AI300" s="19"/>
      <c r="AJ300" s="19"/>
      <c r="AK300" s="19"/>
      <c r="AL300" s="19"/>
      <c r="AM300" s="19"/>
      <c r="AN300" s="19"/>
      <c r="AO300" s="19"/>
      <c r="AP300" s="19"/>
      <c r="AQ300" s="19"/>
      <c r="AR300" s="19"/>
      <c r="AS300" s="19"/>
      <c r="AT300" s="19"/>
      <c r="AU300" s="19"/>
      <c r="AV300" s="19"/>
      <c r="AW300" s="19"/>
      <c r="AX300" s="19"/>
      <c r="AY300" s="19"/>
      <c r="AZ300" s="19"/>
      <c r="BA300" s="19"/>
      <c r="BB300" s="19"/>
      <c r="BC300" s="19"/>
      <c r="BD300" s="19"/>
      <c r="BE300" s="19"/>
      <c r="BF300" s="19"/>
      <c r="BG300" s="19"/>
      <c r="BH300" s="19"/>
      <c r="BI300" s="19"/>
      <c r="BJ300" s="19"/>
      <c r="BK300" s="19"/>
      <c r="BL300" s="19"/>
      <c r="BM300" s="19"/>
      <c r="BN300" s="19"/>
      <c r="BO300" s="19"/>
      <c r="BP300" s="19"/>
      <c r="BQ300" s="19"/>
      <c r="BR300" s="19"/>
      <c r="BS300" s="19"/>
      <c r="BT300" s="19"/>
      <c r="BU300" s="19"/>
      <c r="BV300" s="19"/>
      <c r="BW300" s="19"/>
      <c r="BX300" s="19"/>
      <c r="BY300" s="19"/>
      <c r="BZ300" s="19"/>
      <c r="CA300" s="19"/>
      <c r="CB300" s="19"/>
      <c r="CC300" s="19"/>
      <c r="CD300" s="19"/>
      <c r="CE300" s="19"/>
      <c r="CF300" s="6"/>
    </row>
    <row r="301" spans="1:84">
      <c r="A301" s="17"/>
      <c r="B301" s="17"/>
      <c r="C301" s="17"/>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19"/>
      <c r="AE301" s="19"/>
      <c r="AF301" s="19"/>
      <c r="AG301" s="19"/>
      <c r="AH301" s="19"/>
      <c r="AI301" s="19"/>
      <c r="AJ301" s="19"/>
      <c r="AK301" s="19"/>
      <c r="AL301" s="19"/>
      <c r="AM301" s="19"/>
      <c r="AN301" s="19"/>
      <c r="AO301" s="19"/>
      <c r="AP301" s="19"/>
      <c r="AQ301" s="19"/>
      <c r="AR301" s="19"/>
      <c r="AS301" s="19"/>
      <c r="AT301" s="19"/>
      <c r="AU301" s="19"/>
      <c r="AV301" s="19"/>
      <c r="AW301" s="19"/>
      <c r="AX301" s="19"/>
      <c r="AY301" s="19"/>
      <c r="AZ301" s="19"/>
      <c r="BA301" s="19"/>
      <c r="BB301" s="19"/>
      <c r="BC301" s="19"/>
      <c r="BD301" s="19"/>
      <c r="BE301" s="19"/>
      <c r="BF301" s="19"/>
      <c r="BG301" s="19"/>
      <c r="BH301" s="19"/>
      <c r="BI301" s="19"/>
      <c r="BJ301" s="19"/>
      <c r="BK301" s="19"/>
      <c r="BL301" s="19"/>
      <c r="BM301" s="19"/>
      <c r="BN301" s="19"/>
      <c r="BO301" s="19"/>
      <c r="BP301" s="19"/>
      <c r="BQ301" s="19"/>
      <c r="BR301" s="19"/>
      <c r="BS301" s="19"/>
      <c r="BT301" s="19"/>
      <c r="BU301" s="19"/>
      <c r="BV301" s="19"/>
      <c r="BW301" s="19"/>
      <c r="BX301" s="19"/>
      <c r="BY301" s="19"/>
      <c r="BZ301" s="19"/>
      <c r="CA301" s="19"/>
      <c r="CB301" s="19"/>
      <c r="CC301" s="19"/>
      <c r="CD301" s="19"/>
      <c r="CE301" s="19"/>
      <c r="CF301" s="6"/>
    </row>
    <row r="302" spans="1:84">
      <c r="A302" s="17"/>
      <c r="B302" s="17"/>
      <c r="C302" s="17"/>
      <c r="D302" s="19"/>
      <c r="E302" s="19"/>
      <c r="F302" s="19"/>
      <c r="G302" s="19"/>
      <c r="H302" s="19"/>
      <c r="I302" s="19"/>
      <c r="J302" s="19"/>
      <c r="K302" s="19"/>
      <c r="L302" s="19"/>
      <c r="M302" s="19"/>
      <c r="N302" s="19"/>
      <c r="O302" s="19"/>
      <c r="P302" s="19"/>
      <c r="Q302" s="19"/>
      <c r="R302" s="19"/>
      <c r="S302" s="19"/>
      <c r="T302" s="19"/>
      <c r="U302" s="19"/>
      <c r="V302" s="19"/>
      <c r="W302" s="19"/>
      <c r="X302" s="19"/>
      <c r="Y302" s="19"/>
      <c r="Z302" s="19"/>
      <c r="AA302" s="19"/>
      <c r="AB302" s="19"/>
      <c r="AC302" s="19"/>
      <c r="AD302" s="19"/>
      <c r="AE302" s="19"/>
      <c r="AF302" s="19"/>
      <c r="AG302" s="19"/>
      <c r="AH302" s="19"/>
      <c r="AI302" s="19"/>
      <c r="AJ302" s="19"/>
      <c r="AK302" s="19"/>
      <c r="AL302" s="19"/>
      <c r="AM302" s="19"/>
      <c r="AN302" s="19"/>
      <c r="AO302" s="19"/>
      <c r="AP302" s="19"/>
      <c r="AQ302" s="19"/>
      <c r="AR302" s="19"/>
      <c r="AS302" s="19"/>
      <c r="AT302" s="19"/>
      <c r="AU302" s="19"/>
      <c r="AV302" s="19"/>
      <c r="AW302" s="19"/>
      <c r="AX302" s="19"/>
      <c r="AY302" s="19"/>
      <c r="AZ302" s="19"/>
      <c r="BA302" s="19"/>
      <c r="BB302" s="19"/>
      <c r="BC302" s="19"/>
      <c r="BD302" s="19"/>
      <c r="BE302" s="19"/>
      <c r="BF302" s="19"/>
      <c r="BG302" s="19"/>
      <c r="BH302" s="19"/>
      <c r="BI302" s="19"/>
      <c r="BJ302" s="19"/>
      <c r="BK302" s="19"/>
      <c r="BL302" s="19"/>
      <c r="BM302" s="19"/>
      <c r="BN302" s="19"/>
      <c r="BO302" s="19"/>
      <c r="BP302" s="19"/>
      <c r="BQ302" s="19"/>
      <c r="BR302" s="19"/>
      <c r="BS302" s="19"/>
      <c r="BT302" s="19"/>
      <c r="BU302" s="19"/>
      <c r="BV302" s="19"/>
      <c r="BW302" s="19"/>
      <c r="BX302" s="19"/>
      <c r="BY302" s="19"/>
      <c r="BZ302" s="19"/>
      <c r="CA302" s="19"/>
      <c r="CB302" s="19"/>
      <c r="CC302" s="19"/>
      <c r="CD302" s="19"/>
      <c r="CE302" s="19"/>
      <c r="CF302" s="6"/>
    </row>
    <row r="303" spans="1:84">
      <c r="A303" s="17"/>
      <c r="B303" s="17"/>
      <c r="C303" s="17"/>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c r="AR303" s="19"/>
      <c r="AS303" s="19"/>
      <c r="AT303" s="19"/>
      <c r="AU303" s="19"/>
      <c r="AV303" s="19"/>
      <c r="AW303" s="19"/>
      <c r="AX303" s="19"/>
      <c r="AY303" s="19"/>
      <c r="AZ303" s="19"/>
      <c r="BA303" s="19"/>
      <c r="BB303" s="19"/>
      <c r="BC303" s="19"/>
      <c r="BD303" s="19"/>
      <c r="BE303" s="19"/>
      <c r="BF303" s="19"/>
      <c r="BG303" s="19"/>
      <c r="BH303" s="19"/>
      <c r="BI303" s="19"/>
      <c r="BJ303" s="19"/>
      <c r="BK303" s="19"/>
      <c r="BL303" s="19"/>
      <c r="BM303" s="19"/>
      <c r="BN303" s="19"/>
      <c r="BO303" s="19"/>
      <c r="BP303" s="19"/>
      <c r="BQ303" s="19"/>
      <c r="BR303" s="19"/>
      <c r="BS303" s="19"/>
      <c r="BT303" s="19"/>
      <c r="BU303" s="19"/>
      <c r="BV303" s="19"/>
      <c r="BW303" s="19"/>
      <c r="BX303" s="19"/>
      <c r="BY303" s="19"/>
      <c r="BZ303" s="19"/>
      <c r="CA303" s="19"/>
      <c r="CB303" s="19"/>
      <c r="CC303" s="19"/>
      <c r="CD303" s="19"/>
      <c r="CE303" s="19"/>
      <c r="CF303" s="6"/>
    </row>
    <row r="304" spans="1:84">
      <c r="A304" s="17"/>
      <c r="B304" s="17"/>
      <c r="C304" s="17"/>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c r="AS304" s="19"/>
      <c r="AT304" s="19"/>
      <c r="AU304" s="19"/>
      <c r="AV304" s="19"/>
      <c r="AW304" s="19"/>
      <c r="AX304" s="19"/>
      <c r="AY304" s="19"/>
      <c r="AZ304" s="19"/>
      <c r="BA304" s="19"/>
      <c r="BB304" s="19"/>
      <c r="BC304" s="19"/>
      <c r="BD304" s="19"/>
      <c r="BE304" s="19"/>
      <c r="BF304" s="19"/>
      <c r="BG304" s="19"/>
      <c r="BH304" s="19"/>
      <c r="BI304" s="19"/>
      <c r="BJ304" s="19"/>
      <c r="BK304" s="19"/>
      <c r="BL304" s="19"/>
      <c r="BM304" s="19"/>
      <c r="BN304" s="19"/>
      <c r="BO304" s="19"/>
      <c r="BP304" s="19"/>
      <c r="BQ304" s="19"/>
      <c r="BR304" s="19"/>
      <c r="BS304" s="19"/>
      <c r="BT304" s="19"/>
      <c r="BU304" s="19"/>
      <c r="BV304" s="19"/>
      <c r="BW304" s="19"/>
      <c r="BX304" s="19"/>
      <c r="BY304" s="19"/>
      <c r="BZ304" s="19"/>
      <c r="CA304" s="19"/>
      <c r="CB304" s="19"/>
      <c r="CC304" s="19"/>
      <c r="CD304" s="19"/>
      <c r="CE304" s="19"/>
      <c r="CF304" s="6"/>
    </row>
    <row r="305" spans="1:84">
      <c r="A305" s="17"/>
      <c r="B305" s="17"/>
      <c r="C305" s="17"/>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c r="AR305" s="19"/>
      <c r="AS305" s="19"/>
      <c r="AT305" s="19"/>
      <c r="AU305" s="19"/>
      <c r="AV305" s="19"/>
      <c r="AW305" s="19"/>
      <c r="AX305" s="19"/>
      <c r="AY305" s="19"/>
      <c r="AZ305" s="19"/>
      <c r="BA305" s="19"/>
      <c r="BB305" s="19"/>
      <c r="BC305" s="19"/>
      <c r="BD305" s="19"/>
      <c r="BE305" s="19"/>
      <c r="BF305" s="19"/>
      <c r="BG305" s="19"/>
      <c r="BH305" s="19"/>
      <c r="BI305" s="19"/>
      <c r="BJ305" s="19"/>
      <c r="BK305" s="19"/>
      <c r="BL305" s="19"/>
      <c r="BM305" s="19"/>
      <c r="BN305" s="19"/>
      <c r="BO305" s="19"/>
      <c r="BP305" s="19"/>
      <c r="BQ305" s="19"/>
      <c r="BR305" s="19"/>
      <c r="BS305" s="19"/>
      <c r="BT305" s="19"/>
      <c r="BU305" s="19"/>
      <c r="BV305" s="19"/>
      <c r="BW305" s="19"/>
      <c r="BX305" s="19"/>
      <c r="BY305" s="19"/>
      <c r="BZ305" s="19"/>
      <c r="CA305" s="19"/>
      <c r="CB305" s="19"/>
      <c r="CC305" s="19"/>
      <c r="CD305" s="19"/>
      <c r="CE305" s="19"/>
      <c r="CF305" s="6"/>
    </row>
    <row r="306" spans="1:84">
      <c r="A306" s="17"/>
      <c r="B306" s="17"/>
      <c r="C306" s="17"/>
      <c r="D306" s="19"/>
      <c r="E306" s="19"/>
      <c r="F306" s="19"/>
      <c r="G306" s="19"/>
      <c r="H306" s="19"/>
      <c r="I306" s="19"/>
      <c r="J306" s="19"/>
      <c r="K306" s="19"/>
      <c r="L306" s="19"/>
      <c r="M306" s="19"/>
      <c r="N306" s="19"/>
      <c r="O306" s="19"/>
      <c r="P306" s="19"/>
      <c r="Q306" s="19"/>
      <c r="R306" s="19"/>
      <c r="S306" s="19"/>
      <c r="T306" s="19"/>
      <c r="U306" s="19"/>
      <c r="V306" s="19"/>
      <c r="W306" s="19"/>
      <c r="X306" s="19"/>
      <c r="Y306" s="19"/>
      <c r="Z306" s="19"/>
      <c r="AA306" s="19"/>
      <c r="AB306" s="19"/>
      <c r="AC306" s="19"/>
      <c r="AD306" s="19"/>
      <c r="AE306" s="19"/>
      <c r="AF306" s="19"/>
      <c r="AG306" s="19"/>
      <c r="AH306" s="19"/>
      <c r="AI306" s="19"/>
      <c r="AJ306" s="19"/>
      <c r="AK306" s="19"/>
      <c r="AL306" s="19"/>
      <c r="AM306" s="19"/>
      <c r="AN306" s="19"/>
      <c r="AO306" s="19"/>
      <c r="AP306" s="19"/>
      <c r="AQ306" s="19"/>
      <c r="AR306" s="19"/>
      <c r="AS306" s="19"/>
      <c r="AT306" s="19"/>
      <c r="AU306" s="19"/>
      <c r="AV306" s="19"/>
      <c r="AW306" s="19"/>
      <c r="AX306" s="19"/>
      <c r="AY306" s="19"/>
      <c r="AZ306" s="19"/>
      <c r="BA306" s="19"/>
      <c r="BB306" s="19"/>
      <c r="BC306" s="19"/>
      <c r="BD306" s="19"/>
      <c r="BE306" s="19"/>
      <c r="BF306" s="19"/>
      <c r="BG306" s="19"/>
      <c r="BH306" s="19"/>
      <c r="BI306" s="19"/>
      <c r="BJ306" s="19"/>
      <c r="BK306" s="19"/>
      <c r="BL306" s="19"/>
      <c r="BM306" s="19"/>
      <c r="BN306" s="19"/>
      <c r="BO306" s="19"/>
      <c r="BP306" s="19"/>
      <c r="BQ306" s="19"/>
      <c r="BR306" s="19"/>
      <c r="BS306" s="19"/>
      <c r="BT306" s="19"/>
      <c r="BU306" s="19"/>
      <c r="BV306" s="19"/>
      <c r="BW306" s="19"/>
      <c r="BX306" s="19"/>
      <c r="BY306" s="19"/>
      <c r="BZ306" s="19"/>
      <c r="CA306" s="19"/>
      <c r="CB306" s="19"/>
      <c r="CC306" s="19"/>
      <c r="CD306" s="19"/>
      <c r="CE306" s="19"/>
      <c r="CF306" s="6"/>
    </row>
    <row r="307" spans="1:84">
      <c r="A307" s="17"/>
      <c r="B307" s="17"/>
      <c r="C307" s="17"/>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19"/>
      <c r="AG307" s="19"/>
      <c r="AH307" s="19"/>
      <c r="AI307" s="19"/>
      <c r="AJ307" s="19"/>
      <c r="AK307" s="19"/>
      <c r="AL307" s="19"/>
      <c r="AM307" s="19"/>
      <c r="AN307" s="19"/>
      <c r="AO307" s="19"/>
      <c r="AP307" s="19"/>
      <c r="AQ307" s="19"/>
      <c r="AR307" s="19"/>
      <c r="AS307" s="19"/>
      <c r="AT307" s="19"/>
      <c r="AU307" s="19"/>
      <c r="AV307" s="19"/>
      <c r="AW307" s="19"/>
      <c r="AX307" s="19"/>
      <c r="AY307" s="19"/>
      <c r="AZ307" s="19"/>
      <c r="BA307" s="19"/>
      <c r="BB307" s="19"/>
      <c r="BC307" s="19"/>
      <c r="BD307" s="19"/>
      <c r="BE307" s="19"/>
      <c r="BF307" s="19"/>
      <c r="BG307" s="19"/>
      <c r="BH307" s="19"/>
      <c r="BI307" s="19"/>
      <c r="BJ307" s="19"/>
      <c r="BK307" s="19"/>
      <c r="BL307" s="19"/>
      <c r="BM307" s="19"/>
      <c r="BN307" s="19"/>
      <c r="BO307" s="19"/>
      <c r="BP307" s="19"/>
      <c r="BQ307" s="19"/>
      <c r="BR307" s="19"/>
      <c r="BS307" s="19"/>
      <c r="BT307" s="19"/>
      <c r="BU307" s="19"/>
      <c r="BV307" s="19"/>
      <c r="BW307" s="19"/>
      <c r="BX307" s="19"/>
      <c r="BY307" s="19"/>
      <c r="BZ307" s="19"/>
      <c r="CA307" s="19"/>
      <c r="CB307" s="19"/>
      <c r="CC307" s="19"/>
      <c r="CD307" s="19"/>
      <c r="CE307" s="19"/>
      <c r="CF307" s="6"/>
    </row>
    <row r="308" spans="1:84">
      <c r="A308" s="17"/>
      <c r="B308" s="17"/>
      <c r="C308" s="17"/>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19"/>
      <c r="AE308" s="19"/>
      <c r="AF308" s="19"/>
      <c r="AG308" s="19"/>
      <c r="AH308" s="19"/>
      <c r="AI308" s="19"/>
      <c r="AJ308" s="19"/>
      <c r="AK308" s="19"/>
      <c r="AL308" s="19"/>
      <c r="AM308" s="19"/>
      <c r="AN308" s="19"/>
      <c r="AO308" s="19"/>
      <c r="AP308" s="19"/>
      <c r="AQ308" s="19"/>
      <c r="AR308" s="19"/>
      <c r="AS308" s="19"/>
      <c r="AT308" s="19"/>
      <c r="AU308" s="19"/>
      <c r="AV308" s="19"/>
      <c r="AW308" s="19"/>
      <c r="AX308" s="19"/>
      <c r="AY308" s="19"/>
      <c r="AZ308" s="19"/>
      <c r="BA308" s="19"/>
      <c r="BB308" s="19"/>
      <c r="BC308" s="19"/>
      <c r="BD308" s="19"/>
      <c r="BE308" s="19"/>
      <c r="BF308" s="19"/>
      <c r="BG308" s="19"/>
      <c r="BH308" s="19"/>
      <c r="BI308" s="19"/>
      <c r="BJ308" s="19"/>
      <c r="BK308" s="19"/>
      <c r="BL308" s="19"/>
      <c r="BM308" s="19"/>
      <c r="BN308" s="19"/>
      <c r="BO308" s="19"/>
      <c r="BP308" s="19"/>
      <c r="BQ308" s="19"/>
      <c r="BR308" s="19"/>
      <c r="BS308" s="19"/>
      <c r="BT308" s="19"/>
      <c r="BU308" s="19"/>
      <c r="BV308" s="19"/>
      <c r="BW308" s="19"/>
      <c r="BX308" s="19"/>
      <c r="BY308" s="19"/>
      <c r="BZ308" s="19"/>
      <c r="CA308" s="19"/>
      <c r="CB308" s="19"/>
      <c r="CC308" s="19"/>
      <c r="CD308" s="19"/>
      <c r="CE308" s="19"/>
      <c r="CF308" s="6"/>
    </row>
    <row r="309" spans="1:84">
      <c r="A309" s="17"/>
      <c r="B309" s="17"/>
      <c r="C309" s="17"/>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19"/>
      <c r="AE309" s="19"/>
      <c r="AF309" s="19"/>
      <c r="AG309" s="19"/>
      <c r="AH309" s="19"/>
      <c r="AI309" s="19"/>
      <c r="AJ309" s="19"/>
      <c r="AK309" s="19"/>
      <c r="AL309" s="19"/>
      <c r="AM309" s="19"/>
      <c r="AN309" s="19"/>
      <c r="AO309" s="19"/>
      <c r="AP309" s="19"/>
      <c r="AQ309" s="19"/>
      <c r="AR309" s="19"/>
      <c r="AS309" s="19"/>
      <c r="AT309" s="19"/>
      <c r="AU309" s="19"/>
      <c r="AV309" s="19"/>
      <c r="AW309" s="19"/>
      <c r="AX309" s="19"/>
      <c r="AY309" s="19"/>
      <c r="AZ309" s="19"/>
      <c r="BA309" s="19"/>
      <c r="BB309" s="19"/>
      <c r="BC309" s="19"/>
      <c r="BD309" s="19"/>
      <c r="BE309" s="19"/>
      <c r="BF309" s="19"/>
      <c r="BG309" s="19"/>
      <c r="BH309" s="19"/>
      <c r="BI309" s="19"/>
      <c r="BJ309" s="19"/>
      <c r="BK309" s="19"/>
      <c r="BL309" s="19"/>
      <c r="BM309" s="19"/>
      <c r="BN309" s="19"/>
      <c r="BO309" s="19"/>
      <c r="BP309" s="19"/>
      <c r="BQ309" s="19"/>
      <c r="BR309" s="19"/>
      <c r="BS309" s="19"/>
      <c r="BT309" s="19"/>
      <c r="BU309" s="19"/>
      <c r="BV309" s="19"/>
      <c r="BW309" s="19"/>
      <c r="BX309" s="19"/>
      <c r="BY309" s="19"/>
      <c r="BZ309" s="19"/>
      <c r="CA309" s="19"/>
      <c r="CB309" s="19"/>
      <c r="CC309" s="19"/>
      <c r="CD309" s="19"/>
      <c r="CE309" s="19"/>
      <c r="CF309" s="6"/>
    </row>
    <row r="310" spans="1:84">
      <c r="A310" s="17"/>
      <c r="B310" s="17"/>
      <c r="C310" s="17"/>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19"/>
      <c r="AE310" s="19"/>
      <c r="AF310" s="19"/>
      <c r="AG310" s="19"/>
      <c r="AH310" s="19"/>
      <c r="AI310" s="19"/>
      <c r="AJ310" s="19"/>
      <c r="AK310" s="19"/>
      <c r="AL310" s="19"/>
      <c r="AM310" s="19"/>
      <c r="AN310" s="19"/>
      <c r="AO310" s="19"/>
      <c r="AP310" s="19"/>
      <c r="AQ310" s="19"/>
      <c r="AR310" s="19"/>
      <c r="AS310" s="19"/>
      <c r="AT310" s="19"/>
      <c r="AU310" s="19"/>
      <c r="AV310" s="19"/>
      <c r="AW310" s="19"/>
      <c r="AX310" s="19"/>
      <c r="AY310" s="19"/>
      <c r="AZ310" s="19"/>
      <c r="BA310" s="19"/>
      <c r="BB310" s="19"/>
      <c r="BC310" s="19"/>
      <c r="BD310" s="19"/>
      <c r="BE310" s="19"/>
      <c r="BF310" s="19"/>
      <c r="BG310" s="19"/>
      <c r="BH310" s="19"/>
      <c r="BI310" s="19"/>
      <c r="BJ310" s="19"/>
      <c r="BK310" s="19"/>
      <c r="BL310" s="19"/>
      <c r="BM310" s="19"/>
      <c r="BN310" s="19"/>
      <c r="BO310" s="19"/>
      <c r="BP310" s="19"/>
      <c r="BQ310" s="19"/>
      <c r="BR310" s="19"/>
      <c r="BS310" s="19"/>
      <c r="BT310" s="19"/>
      <c r="BU310" s="19"/>
      <c r="BV310" s="19"/>
      <c r="BW310" s="19"/>
      <c r="BX310" s="19"/>
      <c r="BY310" s="19"/>
      <c r="BZ310" s="19"/>
      <c r="CA310" s="19"/>
      <c r="CB310" s="19"/>
      <c r="CC310" s="19"/>
      <c r="CD310" s="19"/>
      <c r="CE310" s="19"/>
      <c r="CF310" s="6"/>
    </row>
    <row r="311" spans="1:84">
      <c r="A311" s="17"/>
      <c r="B311" s="17"/>
      <c r="C311" s="17"/>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r="AE311" s="19"/>
      <c r="AF311" s="19"/>
      <c r="AG311" s="19"/>
      <c r="AH311" s="19"/>
      <c r="AI311" s="19"/>
      <c r="AJ311" s="19"/>
      <c r="AK311" s="19"/>
      <c r="AL311" s="19"/>
      <c r="AM311" s="19"/>
      <c r="AN311" s="19"/>
      <c r="AO311" s="19"/>
      <c r="AP311" s="19"/>
      <c r="AQ311" s="19"/>
      <c r="AR311" s="19"/>
      <c r="AS311" s="19"/>
      <c r="AT311" s="19"/>
      <c r="AU311" s="19"/>
      <c r="AV311" s="19"/>
      <c r="AW311" s="19"/>
      <c r="AX311" s="19"/>
      <c r="AY311" s="19"/>
      <c r="AZ311" s="19"/>
      <c r="BA311" s="19"/>
      <c r="BB311" s="19"/>
      <c r="BC311" s="19"/>
      <c r="BD311" s="19"/>
      <c r="BE311" s="19"/>
      <c r="BF311" s="19"/>
      <c r="BG311" s="19"/>
      <c r="BH311" s="19"/>
      <c r="BI311" s="19"/>
      <c r="BJ311" s="19"/>
      <c r="BK311" s="19"/>
      <c r="BL311" s="19"/>
      <c r="BM311" s="19"/>
      <c r="BN311" s="19"/>
      <c r="BO311" s="19"/>
      <c r="BP311" s="19"/>
      <c r="BQ311" s="19"/>
      <c r="BR311" s="19"/>
      <c r="BS311" s="19"/>
      <c r="BT311" s="19"/>
      <c r="BU311" s="19"/>
      <c r="BV311" s="19"/>
      <c r="BW311" s="19"/>
      <c r="BX311" s="19"/>
      <c r="BY311" s="19"/>
      <c r="BZ311" s="19"/>
      <c r="CA311" s="19"/>
      <c r="CB311" s="19"/>
      <c r="CC311" s="19"/>
      <c r="CD311" s="19"/>
      <c r="CE311" s="19"/>
      <c r="CF311" s="6"/>
    </row>
    <row r="312" spans="1:84">
      <c r="A312" s="17"/>
      <c r="B312" s="17"/>
      <c r="C312" s="17"/>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19"/>
      <c r="AE312" s="19"/>
      <c r="AF312" s="19"/>
      <c r="AG312" s="19"/>
      <c r="AH312" s="19"/>
      <c r="AI312" s="19"/>
      <c r="AJ312" s="19"/>
      <c r="AK312" s="19"/>
      <c r="AL312" s="19"/>
      <c r="AM312" s="19"/>
      <c r="AN312" s="19"/>
      <c r="AO312" s="19"/>
      <c r="AP312" s="19"/>
      <c r="AQ312" s="19"/>
      <c r="AR312" s="19"/>
      <c r="AS312" s="19"/>
      <c r="AT312" s="19"/>
      <c r="AU312" s="19"/>
      <c r="AV312" s="19"/>
      <c r="AW312" s="19"/>
      <c r="AX312" s="19"/>
      <c r="AY312" s="19"/>
      <c r="AZ312" s="19"/>
      <c r="BA312" s="19"/>
      <c r="BB312" s="19"/>
      <c r="BC312" s="19"/>
      <c r="BD312" s="19"/>
      <c r="BE312" s="19"/>
      <c r="BF312" s="19"/>
      <c r="BG312" s="19"/>
      <c r="BH312" s="19"/>
      <c r="BI312" s="19"/>
      <c r="BJ312" s="19"/>
      <c r="BK312" s="19"/>
      <c r="BL312" s="19"/>
      <c r="BM312" s="19"/>
      <c r="BN312" s="19"/>
      <c r="BO312" s="19"/>
      <c r="BP312" s="19"/>
      <c r="BQ312" s="19"/>
      <c r="BR312" s="19"/>
      <c r="BS312" s="19"/>
      <c r="BT312" s="19"/>
      <c r="BU312" s="19"/>
      <c r="BV312" s="19"/>
      <c r="BW312" s="19"/>
      <c r="BX312" s="19"/>
      <c r="BY312" s="19"/>
      <c r="BZ312" s="19"/>
      <c r="CA312" s="19"/>
      <c r="CB312" s="19"/>
      <c r="CC312" s="19"/>
      <c r="CD312" s="19"/>
      <c r="CE312" s="19"/>
      <c r="CF312" s="6"/>
    </row>
    <row r="313" spans="1:84">
      <c r="A313" s="17"/>
      <c r="B313" s="17"/>
      <c r="C313" s="17"/>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19"/>
      <c r="AE313" s="19"/>
      <c r="AF313" s="19"/>
      <c r="AG313" s="19"/>
      <c r="AH313" s="19"/>
      <c r="AI313" s="19"/>
      <c r="AJ313" s="19"/>
      <c r="AK313" s="19"/>
      <c r="AL313" s="19"/>
      <c r="AM313" s="19"/>
      <c r="AN313" s="19"/>
      <c r="AO313" s="19"/>
      <c r="AP313" s="19"/>
      <c r="AQ313" s="19"/>
      <c r="AR313" s="19"/>
      <c r="AS313" s="19"/>
      <c r="AT313" s="19"/>
      <c r="AU313" s="19"/>
      <c r="AV313" s="19"/>
      <c r="AW313" s="19"/>
      <c r="AX313" s="19"/>
      <c r="AY313" s="19"/>
      <c r="AZ313" s="19"/>
      <c r="BA313" s="19"/>
      <c r="BB313" s="19"/>
      <c r="BC313" s="19"/>
      <c r="BD313" s="19"/>
      <c r="BE313" s="19"/>
      <c r="BF313" s="19"/>
      <c r="BG313" s="19"/>
      <c r="BH313" s="19"/>
      <c r="BI313" s="19"/>
      <c r="BJ313" s="19"/>
      <c r="BK313" s="19"/>
      <c r="BL313" s="19"/>
      <c r="BM313" s="19"/>
      <c r="BN313" s="19"/>
      <c r="BO313" s="19"/>
      <c r="BP313" s="19"/>
      <c r="BQ313" s="19"/>
      <c r="BR313" s="19"/>
      <c r="BS313" s="19"/>
      <c r="BT313" s="19"/>
      <c r="BU313" s="19"/>
      <c r="BV313" s="19"/>
      <c r="BW313" s="19"/>
      <c r="BX313" s="19"/>
      <c r="BY313" s="19"/>
      <c r="BZ313" s="19"/>
      <c r="CA313" s="19"/>
      <c r="CB313" s="19"/>
      <c r="CC313" s="19"/>
      <c r="CD313" s="19"/>
      <c r="CE313" s="19"/>
      <c r="CF313" s="6"/>
    </row>
    <row r="314" spans="1:84">
      <c r="A314" s="17"/>
      <c r="B314" s="17"/>
      <c r="C314" s="17"/>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9"/>
      <c r="AG314" s="19"/>
      <c r="AH314" s="19"/>
      <c r="AI314" s="19"/>
      <c r="AJ314" s="19"/>
      <c r="AK314" s="19"/>
      <c r="AL314" s="19"/>
      <c r="AM314" s="19"/>
      <c r="AN314" s="19"/>
      <c r="AO314" s="19"/>
      <c r="AP314" s="19"/>
      <c r="AQ314" s="19"/>
      <c r="AR314" s="19"/>
      <c r="AS314" s="19"/>
      <c r="AT314" s="19"/>
      <c r="AU314" s="19"/>
      <c r="AV314" s="19"/>
      <c r="AW314" s="19"/>
      <c r="AX314" s="19"/>
      <c r="AY314" s="19"/>
      <c r="AZ314" s="19"/>
      <c r="BA314" s="19"/>
      <c r="BB314" s="19"/>
      <c r="BC314" s="19"/>
      <c r="BD314" s="19"/>
      <c r="BE314" s="19"/>
      <c r="BF314" s="19"/>
      <c r="BG314" s="19"/>
      <c r="BH314" s="19"/>
      <c r="BI314" s="19"/>
      <c r="BJ314" s="19"/>
      <c r="BK314" s="19"/>
      <c r="BL314" s="19"/>
      <c r="BM314" s="19"/>
      <c r="BN314" s="19"/>
      <c r="BO314" s="19"/>
      <c r="BP314" s="19"/>
      <c r="BQ314" s="19"/>
      <c r="BR314" s="19"/>
      <c r="BS314" s="19"/>
      <c r="BT314" s="19"/>
      <c r="BU314" s="19"/>
      <c r="BV314" s="19"/>
      <c r="BW314" s="19"/>
      <c r="BX314" s="19"/>
      <c r="BY314" s="19"/>
      <c r="BZ314" s="19"/>
      <c r="CA314" s="19"/>
      <c r="CB314" s="19"/>
      <c r="CC314" s="19"/>
      <c r="CD314" s="19"/>
      <c r="CE314" s="19"/>
      <c r="CF314" s="6"/>
    </row>
    <row r="315" spans="1:84">
      <c r="A315" s="17"/>
      <c r="B315" s="17"/>
      <c r="C315" s="17"/>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19"/>
      <c r="AE315" s="19"/>
      <c r="AF315" s="19"/>
      <c r="AG315" s="19"/>
      <c r="AH315" s="19"/>
      <c r="AI315" s="19"/>
      <c r="AJ315" s="19"/>
      <c r="AK315" s="19"/>
      <c r="AL315" s="19"/>
      <c r="AM315" s="19"/>
      <c r="AN315" s="19"/>
      <c r="AO315" s="19"/>
      <c r="AP315" s="19"/>
      <c r="AQ315" s="19"/>
      <c r="AR315" s="19"/>
      <c r="AS315" s="19"/>
      <c r="AT315" s="19"/>
      <c r="AU315" s="19"/>
      <c r="AV315" s="19"/>
      <c r="AW315" s="19"/>
      <c r="AX315" s="19"/>
      <c r="AY315" s="19"/>
      <c r="AZ315" s="19"/>
      <c r="BA315" s="19"/>
      <c r="BB315" s="19"/>
      <c r="BC315" s="19"/>
      <c r="BD315" s="19"/>
      <c r="BE315" s="19"/>
      <c r="BF315" s="19"/>
      <c r="BG315" s="19"/>
      <c r="BH315" s="19"/>
      <c r="BI315" s="19"/>
      <c r="BJ315" s="19"/>
      <c r="BK315" s="19"/>
      <c r="BL315" s="19"/>
      <c r="BM315" s="19"/>
      <c r="BN315" s="19"/>
      <c r="BO315" s="19"/>
      <c r="BP315" s="19"/>
      <c r="BQ315" s="19"/>
      <c r="BR315" s="19"/>
      <c r="BS315" s="19"/>
      <c r="BT315" s="19"/>
      <c r="BU315" s="19"/>
      <c r="BV315" s="19"/>
      <c r="BW315" s="19"/>
      <c r="BX315" s="19"/>
      <c r="BY315" s="19"/>
      <c r="BZ315" s="19"/>
      <c r="CA315" s="19"/>
      <c r="CB315" s="19"/>
      <c r="CC315" s="19"/>
      <c r="CD315" s="19"/>
      <c r="CE315" s="19"/>
      <c r="CF315" s="6"/>
    </row>
    <row r="316" spans="1:84">
      <c r="A316" s="17"/>
      <c r="B316" s="17"/>
      <c r="C316" s="17"/>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c r="AB316" s="19"/>
      <c r="AC316" s="19"/>
      <c r="AD316" s="19"/>
      <c r="AE316" s="19"/>
      <c r="AF316" s="19"/>
      <c r="AG316" s="19"/>
      <c r="AH316" s="19"/>
      <c r="AI316" s="19"/>
      <c r="AJ316" s="19"/>
      <c r="AK316" s="19"/>
      <c r="AL316" s="19"/>
      <c r="AM316" s="19"/>
      <c r="AN316" s="19"/>
      <c r="AO316" s="19"/>
      <c r="AP316" s="19"/>
      <c r="AQ316" s="19"/>
      <c r="AR316" s="19"/>
      <c r="AS316" s="19"/>
      <c r="AT316" s="19"/>
      <c r="AU316" s="19"/>
      <c r="AV316" s="19"/>
      <c r="AW316" s="19"/>
      <c r="AX316" s="19"/>
      <c r="AY316" s="19"/>
      <c r="AZ316" s="19"/>
      <c r="BA316" s="19"/>
      <c r="BB316" s="19"/>
      <c r="BC316" s="19"/>
      <c r="BD316" s="19"/>
      <c r="BE316" s="19"/>
      <c r="BF316" s="19"/>
      <c r="BG316" s="19"/>
      <c r="BH316" s="19"/>
      <c r="BI316" s="19"/>
      <c r="BJ316" s="19"/>
      <c r="BK316" s="19"/>
      <c r="BL316" s="19"/>
      <c r="BM316" s="19"/>
      <c r="BN316" s="19"/>
      <c r="BO316" s="19"/>
      <c r="BP316" s="19"/>
      <c r="BQ316" s="19"/>
      <c r="BR316" s="19"/>
      <c r="BS316" s="19"/>
      <c r="BT316" s="19"/>
      <c r="BU316" s="19"/>
      <c r="BV316" s="19"/>
      <c r="BW316" s="19"/>
      <c r="BX316" s="19"/>
      <c r="BY316" s="19"/>
      <c r="BZ316" s="19"/>
      <c r="CA316" s="19"/>
      <c r="CB316" s="19"/>
      <c r="CC316" s="19"/>
      <c r="CD316" s="19"/>
      <c r="CE316" s="19"/>
      <c r="CF316" s="6"/>
    </row>
    <row r="317" spans="1:84">
      <c r="A317" s="17"/>
      <c r="B317" s="17"/>
      <c r="C317" s="17"/>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c r="AB317" s="19"/>
      <c r="AC317" s="19"/>
      <c r="AD317" s="19"/>
      <c r="AE317" s="19"/>
      <c r="AF317" s="19"/>
      <c r="AG317" s="19"/>
      <c r="AH317" s="19"/>
      <c r="AI317" s="19"/>
      <c r="AJ317" s="19"/>
      <c r="AK317" s="19"/>
      <c r="AL317" s="19"/>
      <c r="AM317" s="19"/>
      <c r="AN317" s="19"/>
      <c r="AO317" s="19"/>
      <c r="AP317" s="19"/>
      <c r="AQ317" s="19"/>
      <c r="AR317" s="19"/>
      <c r="AS317" s="19"/>
      <c r="AT317" s="19"/>
      <c r="AU317" s="19"/>
      <c r="AV317" s="19"/>
      <c r="AW317" s="19"/>
      <c r="AX317" s="19"/>
      <c r="AY317" s="19"/>
      <c r="AZ317" s="19"/>
      <c r="BA317" s="19"/>
      <c r="BB317" s="19"/>
      <c r="BC317" s="19"/>
      <c r="BD317" s="19"/>
      <c r="BE317" s="19"/>
      <c r="BF317" s="19"/>
      <c r="BG317" s="19"/>
      <c r="BH317" s="19"/>
      <c r="BI317" s="19"/>
      <c r="BJ317" s="19"/>
      <c r="BK317" s="19"/>
      <c r="BL317" s="19"/>
      <c r="BM317" s="19"/>
      <c r="BN317" s="19"/>
      <c r="BO317" s="19"/>
      <c r="BP317" s="19"/>
      <c r="BQ317" s="19"/>
      <c r="BR317" s="19"/>
      <c r="BS317" s="19"/>
      <c r="BT317" s="19"/>
      <c r="BU317" s="19"/>
      <c r="BV317" s="19"/>
      <c r="BW317" s="19"/>
      <c r="BX317" s="19"/>
      <c r="BY317" s="19"/>
      <c r="BZ317" s="19"/>
      <c r="CA317" s="19"/>
      <c r="CB317" s="19"/>
      <c r="CC317" s="19"/>
      <c r="CD317" s="19"/>
      <c r="CE317" s="19"/>
      <c r="CF317" s="6"/>
    </row>
    <row r="318" spans="1:84">
      <c r="A318" s="17"/>
      <c r="B318" s="17"/>
      <c r="C318" s="17"/>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9"/>
      <c r="AB318" s="19"/>
      <c r="AC318" s="19"/>
      <c r="AD318" s="19"/>
      <c r="AE318" s="19"/>
      <c r="AF318" s="19"/>
      <c r="AG318" s="19"/>
      <c r="AH318" s="19"/>
      <c r="AI318" s="19"/>
      <c r="AJ318" s="19"/>
      <c r="AK318" s="19"/>
      <c r="AL318" s="19"/>
      <c r="AM318" s="19"/>
      <c r="AN318" s="19"/>
      <c r="AO318" s="19"/>
      <c r="AP318" s="19"/>
      <c r="AQ318" s="19"/>
      <c r="AR318" s="19"/>
      <c r="AS318" s="19"/>
      <c r="AT318" s="19"/>
      <c r="AU318" s="19"/>
      <c r="AV318" s="19"/>
      <c r="AW318" s="19"/>
      <c r="AX318" s="19"/>
      <c r="AY318" s="19"/>
      <c r="AZ318" s="19"/>
      <c r="BA318" s="19"/>
      <c r="BB318" s="19"/>
      <c r="BC318" s="19"/>
      <c r="BD318" s="19"/>
      <c r="BE318" s="19"/>
      <c r="BF318" s="19"/>
      <c r="BG318" s="19"/>
      <c r="BH318" s="19"/>
      <c r="BI318" s="19"/>
      <c r="BJ318" s="19"/>
      <c r="BK318" s="19"/>
      <c r="BL318" s="19"/>
      <c r="BM318" s="19"/>
      <c r="BN318" s="19"/>
      <c r="BO318" s="19"/>
      <c r="BP318" s="19"/>
      <c r="BQ318" s="19"/>
      <c r="BR318" s="19"/>
      <c r="BS318" s="19"/>
      <c r="BT318" s="19"/>
      <c r="BU318" s="19"/>
      <c r="BV318" s="19"/>
      <c r="BW318" s="19"/>
      <c r="BX318" s="19"/>
      <c r="BY318" s="19"/>
      <c r="BZ318" s="19"/>
      <c r="CA318" s="19"/>
      <c r="CB318" s="19"/>
      <c r="CC318" s="19"/>
      <c r="CD318" s="19"/>
      <c r="CE318" s="19"/>
      <c r="CF318" s="6"/>
    </row>
    <row r="319" spans="1:84">
      <c r="A319" s="17"/>
      <c r="B319" s="17"/>
      <c r="C319" s="17"/>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9"/>
      <c r="AB319" s="19"/>
      <c r="AC319" s="19"/>
      <c r="AD319" s="19"/>
      <c r="AE319" s="19"/>
      <c r="AF319" s="19"/>
      <c r="AG319" s="19"/>
      <c r="AH319" s="19"/>
      <c r="AI319" s="19"/>
      <c r="AJ319" s="19"/>
      <c r="AK319" s="19"/>
      <c r="AL319" s="19"/>
      <c r="AM319" s="19"/>
      <c r="AN319" s="19"/>
      <c r="AO319" s="19"/>
      <c r="AP319" s="19"/>
      <c r="AQ319" s="19"/>
      <c r="AR319" s="19"/>
      <c r="AS319" s="19"/>
      <c r="AT319" s="19"/>
      <c r="AU319" s="19"/>
      <c r="AV319" s="19"/>
      <c r="AW319" s="19"/>
      <c r="AX319" s="19"/>
      <c r="AY319" s="19"/>
      <c r="AZ319" s="19"/>
      <c r="BA319" s="19"/>
      <c r="BB319" s="19"/>
      <c r="BC319" s="19"/>
      <c r="BD319" s="19"/>
      <c r="BE319" s="19"/>
      <c r="BF319" s="19"/>
      <c r="BG319" s="19"/>
      <c r="BH319" s="19"/>
      <c r="BI319" s="19"/>
      <c r="BJ319" s="19"/>
      <c r="BK319" s="19"/>
      <c r="BL319" s="19"/>
      <c r="BM319" s="19"/>
      <c r="BN319" s="19"/>
      <c r="BO319" s="19"/>
      <c r="BP319" s="19"/>
      <c r="BQ319" s="19"/>
      <c r="BR319" s="19"/>
      <c r="BS319" s="19"/>
      <c r="BT319" s="19"/>
      <c r="BU319" s="19"/>
      <c r="BV319" s="19"/>
      <c r="BW319" s="19"/>
      <c r="BX319" s="19"/>
      <c r="BY319" s="19"/>
      <c r="BZ319" s="19"/>
      <c r="CA319" s="19"/>
      <c r="CB319" s="19"/>
      <c r="CC319" s="19"/>
      <c r="CD319" s="19"/>
      <c r="CE319" s="19"/>
      <c r="CF319" s="6"/>
    </row>
    <row r="320" spans="1:84">
      <c r="A320" s="17"/>
      <c r="B320" s="17"/>
      <c r="C320" s="17"/>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9"/>
      <c r="AB320" s="19"/>
      <c r="AC320" s="19"/>
      <c r="AD320" s="19"/>
      <c r="AE320" s="19"/>
      <c r="AF320" s="19"/>
      <c r="AG320" s="19"/>
      <c r="AH320" s="19"/>
      <c r="AI320" s="19"/>
      <c r="AJ320" s="19"/>
      <c r="AK320" s="19"/>
      <c r="AL320" s="19"/>
      <c r="AM320" s="19"/>
      <c r="AN320" s="19"/>
      <c r="AO320" s="19"/>
      <c r="AP320" s="19"/>
      <c r="AQ320" s="19"/>
      <c r="AR320" s="19"/>
      <c r="AS320" s="19"/>
      <c r="AT320" s="19"/>
      <c r="AU320" s="19"/>
      <c r="AV320" s="19"/>
      <c r="AW320" s="19"/>
      <c r="AX320" s="19"/>
      <c r="AY320" s="19"/>
      <c r="AZ320" s="19"/>
      <c r="BA320" s="19"/>
      <c r="BB320" s="19"/>
      <c r="BC320" s="19"/>
      <c r="BD320" s="19"/>
      <c r="BE320" s="19"/>
      <c r="BF320" s="19"/>
      <c r="BG320" s="19"/>
      <c r="BH320" s="19"/>
      <c r="BI320" s="19"/>
      <c r="BJ320" s="19"/>
      <c r="BK320" s="19"/>
      <c r="BL320" s="19"/>
      <c r="BM320" s="19"/>
      <c r="BN320" s="19"/>
      <c r="BO320" s="19"/>
      <c r="BP320" s="19"/>
      <c r="BQ320" s="19"/>
      <c r="BR320" s="19"/>
      <c r="BS320" s="19"/>
      <c r="BT320" s="19"/>
      <c r="BU320" s="19"/>
      <c r="BV320" s="19"/>
      <c r="BW320" s="19"/>
      <c r="BX320" s="19"/>
      <c r="BY320" s="19"/>
      <c r="BZ320" s="19"/>
      <c r="CA320" s="19"/>
      <c r="CB320" s="19"/>
      <c r="CC320" s="19"/>
      <c r="CD320" s="19"/>
      <c r="CE320" s="19"/>
      <c r="CF320" s="6"/>
    </row>
    <row r="321" spans="1:84">
      <c r="A321" s="17"/>
      <c r="B321" s="17"/>
      <c r="C321" s="17"/>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9"/>
      <c r="AB321" s="19"/>
      <c r="AC321" s="19"/>
      <c r="AD321" s="19"/>
      <c r="AE321" s="19"/>
      <c r="AF321" s="19"/>
      <c r="AG321" s="19"/>
      <c r="AH321" s="19"/>
      <c r="AI321" s="19"/>
      <c r="AJ321" s="19"/>
      <c r="AK321" s="19"/>
      <c r="AL321" s="19"/>
      <c r="AM321" s="19"/>
      <c r="AN321" s="19"/>
      <c r="AO321" s="19"/>
      <c r="AP321" s="19"/>
      <c r="AQ321" s="19"/>
      <c r="AR321" s="19"/>
      <c r="AS321" s="19"/>
      <c r="AT321" s="19"/>
      <c r="AU321" s="19"/>
      <c r="AV321" s="19"/>
      <c r="AW321" s="19"/>
      <c r="AX321" s="19"/>
      <c r="AY321" s="19"/>
      <c r="AZ321" s="19"/>
      <c r="BA321" s="19"/>
      <c r="BB321" s="19"/>
      <c r="BC321" s="19"/>
      <c r="BD321" s="19"/>
      <c r="BE321" s="19"/>
      <c r="BF321" s="19"/>
      <c r="BG321" s="19"/>
      <c r="BH321" s="19"/>
      <c r="BI321" s="19"/>
      <c r="BJ321" s="19"/>
      <c r="BK321" s="19"/>
      <c r="BL321" s="19"/>
      <c r="BM321" s="19"/>
      <c r="BN321" s="19"/>
      <c r="BO321" s="19"/>
      <c r="BP321" s="19"/>
      <c r="BQ321" s="19"/>
      <c r="BR321" s="19"/>
      <c r="BS321" s="19"/>
      <c r="BT321" s="19"/>
      <c r="BU321" s="19"/>
      <c r="BV321" s="19"/>
      <c r="BW321" s="19"/>
      <c r="BX321" s="19"/>
      <c r="BY321" s="19"/>
      <c r="BZ321" s="19"/>
      <c r="CA321" s="19"/>
      <c r="CB321" s="19"/>
      <c r="CC321" s="19"/>
      <c r="CD321" s="19"/>
      <c r="CE321" s="19"/>
      <c r="CF321" s="6"/>
    </row>
    <row r="322" spans="1:84">
      <c r="A322" s="17"/>
      <c r="B322" s="17"/>
      <c r="C322" s="17"/>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9"/>
      <c r="AB322" s="19"/>
      <c r="AC322" s="19"/>
      <c r="AD322" s="19"/>
      <c r="AE322" s="19"/>
      <c r="AF322" s="19"/>
      <c r="AG322" s="19"/>
      <c r="AH322" s="19"/>
      <c r="AI322" s="19"/>
      <c r="AJ322" s="19"/>
      <c r="AK322" s="19"/>
      <c r="AL322" s="19"/>
      <c r="AM322" s="19"/>
      <c r="AN322" s="19"/>
      <c r="AO322" s="19"/>
      <c r="AP322" s="19"/>
      <c r="AQ322" s="19"/>
      <c r="AR322" s="19"/>
      <c r="AS322" s="19"/>
      <c r="AT322" s="19"/>
      <c r="AU322" s="19"/>
      <c r="AV322" s="19"/>
      <c r="AW322" s="19"/>
      <c r="AX322" s="19"/>
      <c r="AY322" s="19"/>
      <c r="AZ322" s="19"/>
      <c r="BA322" s="19"/>
      <c r="BB322" s="19"/>
      <c r="BC322" s="19"/>
      <c r="BD322" s="19"/>
      <c r="BE322" s="19"/>
      <c r="BF322" s="19"/>
      <c r="BG322" s="19"/>
      <c r="BH322" s="19"/>
      <c r="BI322" s="19"/>
      <c r="BJ322" s="19"/>
      <c r="BK322" s="19"/>
      <c r="BL322" s="19"/>
      <c r="BM322" s="19"/>
      <c r="BN322" s="19"/>
      <c r="BO322" s="19"/>
      <c r="BP322" s="19"/>
      <c r="BQ322" s="19"/>
      <c r="BR322" s="19"/>
      <c r="BS322" s="19"/>
      <c r="BT322" s="19"/>
      <c r="BU322" s="19"/>
      <c r="BV322" s="19"/>
      <c r="BW322" s="19"/>
      <c r="BX322" s="19"/>
      <c r="BY322" s="19"/>
      <c r="BZ322" s="19"/>
      <c r="CA322" s="19"/>
      <c r="CB322" s="19"/>
      <c r="CC322" s="19"/>
      <c r="CD322" s="19"/>
      <c r="CE322" s="19"/>
      <c r="CF322" s="6"/>
    </row>
    <row r="323" spans="1:84">
      <c r="A323" s="17"/>
      <c r="B323" s="17"/>
      <c r="C323" s="17"/>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9"/>
      <c r="AB323" s="19"/>
      <c r="AC323" s="19"/>
      <c r="AD323" s="19"/>
      <c r="AE323" s="19"/>
      <c r="AF323" s="19"/>
      <c r="AG323" s="19"/>
      <c r="AH323" s="19"/>
      <c r="AI323" s="19"/>
      <c r="AJ323" s="19"/>
      <c r="AK323" s="19"/>
      <c r="AL323" s="19"/>
      <c r="AM323" s="19"/>
      <c r="AN323" s="19"/>
      <c r="AO323" s="19"/>
      <c r="AP323" s="19"/>
      <c r="AQ323" s="19"/>
      <c r="AR323" s="19"/>
      <c r="AS323" s="19"/>
      <c r="AT323" s="19"/>
      <c r="AU323" s="19"/>
      <c r="AV323" s="19"/>
      <c r="AW323" s="19"/>
      <c r="AX323" s="19"/>
      <c r="AY323" s="19"/>
      <c r="AZ323" s="19"/>
      <c r="BA323" s="19"/>
      <c r="BB323" s="19"/>
      <c r="BC323" s="19"/>
      <c r="BD323" s="19"/>
      <c r="BE323" s="19"/>
      <c r="BF323" s="19"/>
      <c r="BG323" s="19"/>
      <c r="BH323" s="19"/>
      <c r="BI323" s="19"/>
      <c r="BJ323" s="19"/>
      <c r="BK323" s="19"/>
      <c r="BL323" s="19"/>
      <c r="BM323" s="19"/>
      <c r="BN323" s="19"/>
      <c r="BO323" s="19"/>
      <c r="BP323" s="19"/>
      <c r="BQ323" s="19"/>
      <c r="BR323" s="19"/>
      <c r="BS323" s="19"/>
      <c r="BT323" s="19"/>
      <c r="BU323" s="19"/>
      <c r="BV323" s="19"/>
      <c r="BW323" s="19"/>
      <c r="BX323" s="19"/>
      <c r="BY323" s="19"/>
      <c r="BZ323" s="19"/>
      <c r="CA323" s="19"/>
      <c r="CB323" s="19"/>
      <c r="CC323" s="19"/>
      <c r="CD323" s="19"/>
      <c r="CE323" s="19"/>
      <c r="CF323" s="6"/>
    </row>
    <row r="324" spans="1:84">
      <c r="A324" s="17"/>
      <c r="B324" s="17"/>
      <c r="C324" s="17"/>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9"/>
      <c r="AB324" s="19"/>
      <c r="AC324" s="19"/>
      <c r="AD324" s="19"/>
      <c r="AE324" s="19"/>
      <c r="AF324" s="19"/>
      <c r="AG324" s="19"/>
      <c r="AH324" s="19"/>
      <c r="AI324" s="19"/>
      <c r="AJ324" s="19"/>
      <c r="AK324" s="19"/>
      <c r="AL324" s="19"/>
      <c r="AM324" s="19"/>
      <c r="AN324" s="19"/>
      <c r="AO324" s="19"/>
      <c r="AP324" s="19"/>
      <c r="AQ324" s="19"/>
      <c r="AR324" s="19"/>
      <c r="AS324" s="19"/>
      <c r="AT324" s="19"/>
      <c r="AU324" s="19"/>
      <c r="AV324" s="19"/>
      <c r="AW324" s="19"/>
      <c r="AX324" s="19"/>
      <c r="AY324" s="19"/>
      <c r="AZ324" s="19"/>
      <c r="BA324" s="19"/>
      <c r="BB324" s="19"/>
      <c r="BC324" s="19"/>
      <c r="BD324" s="19"/>
      <c r="BE324" s="19"/>
      <c r="BF324" s="19"/>
      <c r="BG324" s="19"/>
      <c r="BH324" s="19"/>
      <c r="BI324" s="19"/>
      <c r="BJ324" s="19"/>
      <c r="BK324" s="19"/>
      <c r="BL324" s="19"/>
      <c r="BM324" s="19"/>
      <c r="BN324" s="19"/>
      <c r="BO324" s="19"/>
      <c r="BP324" s="19"/>
      <c r="BQ324" s="19"/>
      <c r="BR324" s="19"/>
      <c r="BS324" s="19"/>
      <c r="BT324" s="19"/>
      <c r="BU324" s="19"/>
      <c r="BV324" s="19"/>
      <c r="BW324" s="19"/>
      <c r="BX324" s="19"/>
      <c r="BY324" s="19"/>
      <c r="BZ324" s="19"/>
      <c r="CA324" s="19"/>
      <c r="CB324" s="19"/>
      <c r="CC324" s="19"/>
      <c r="CD324" s="19"/>
      <c r="CE324" s="19"/>
      <c r="CF324" s="6"/>
    </row>
    <row r="325" spans="1:84">
      <c r="A325" s="17"/>
      <c r="B325" s="17"/>
      <c r="C325" s="17"/>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9"/>
      <c r="AB325" s="19"/>
      <c r="AC325" s="19"/>
      <c r="AD325" s="19"/>
      <c r="AE325" s="19"/>
      <c r="AF325" s="19"/>
      <c r="AG325" s="19"/>
      <c r="AH325" s="19"/>
      <c r="AI325" s="19"/>
      <c r="AJ325" s="19"/>
      <c r="AK325" s="19"/>
      <c r="AL325" s="19"/>
      <c r="AM325" s="19"/>
      <c r="AN325" s="19"/>
      <c r="AO325" s="19"/>
      <c r="AP325" s="19"/>
      <c r="AQ325" s="19"/>
      <c r="AR325" s="19"/>
      <c r="AS325" s="19"/>
      <c r="AT325" s="19"/>
      <c r="AU325" s="19"/>
      <c r="AV325" s="19"/>
      <c r="AW325" s="19"/>
      <c r="AX325" s="19"/>
      <c r="AY325" s="19"/>
      <c r="AZ325" s="19"/>
      <c r="BA325" s="19"/>
      <c r="BB325" s="19"/>
      <c r="BC325" s="19"/>
      <c r="BD325" s="19"/>
      <c r="BE325" s="19"/>
      <c r="BF325" s="19"/>
      <c r="BG325" s="19"/>
      <c r="BH325" s="19"/>
      <c r="BI325" s="19"/>
      <c r="BJ325" s="19"/>
      <c r="BK325" s="19"/>
      <c r="BL325" s="19"/>
      <c r="BM325" s="19"/>
      <c r="BN325" s="19"/>
      <c r="BO325" s="19"/>
      <c r="BP325" s="19"/>
      <c r="BQ325" s="19"/>
      <c r="BR325" s="19"/>
      <c r="BS325" s="19"/>
      <c r="BT325" s="19"/>
      <c r="BU325" s="19"/>
      <c r="BV325" s="19"/>
      <c r="BW325" s="19"/>
      <c r="BX325" s="19"/>
      <c r="BY325" s="19"/>
      <c r="BZ325" s="19"/>
      <c r="CA325" s="19"/>
      <c r="CB325" s="19"/>
      <c r="CC325" s="19"/>
      <c r="CD325" s="19"/>
      <c r="CE325" s="19"/>
      <c r="CF325" s="6"/>
    </row>
    <row r="326" spans="1:84">
      <c r="A326" s="17"/>
      <c r="B326" s="17"/>
      <c r="C326" s="17"/>
      <c r="D326" s="19"/>
      <c r="E326" s="19"/>
      <c r="F326" s="19"/>
      <c r="G326" s="19"/>
      <c r="H326" s="19"/>
      <c r="I326" s="19"/>
      <c r="J326" s="19"/>
      <c r="K326" s="19"/>
      <c r="L326" s="19"/>
      <c r="M326" s="19"/>
      <c r="N326" s="19"/>
      <c r="O326" s="19"/>
      <c r="P326" s="19"/>
      <c r="Q326" s="19"/>
      <c r="R326" s="19"/>
      <c r="S326" s="19"/>
      <c r="T326" s="19"/>
      <c r="U326" s="19"/>
      <c r="V326" s="19"/>
      <c r="W326" s="19"/>
      <c r="X326" s="19"/>
      <c r="Y326" s="19"/>
      <c r="Z326" s="19"/>
      <c r="AA326" s="19"/>
      <c r="AB326" s="19"/>
      <c r="AC326" s="19"/>
      <c r="AD326" s="19"/>
      <c r="AE326" s="19"/>
      <c r="AF326" s="19"/>
      <c r="AG326" s="19"/>
      <c r="AH326" s="19"/>
      <c r="AI326" s="19"/>
      <c r="AJ326" s="19"/>
      <c r="AK326" s="19"/>
      <c r="AL326" s="19"/>
      <c r="AM326" s="19"/>
      <c r="AN326" s="19"/>
      <c r="AO326" s="19"/>
      <c r="AP326" s="19"/>
      <c r="AQ326" s="19"/>
      <c r="AR326" s="19"/>
      <c r="AS326" s="19"/>
      <c r="AT326" s="19"/>
      <c r="AU326" s="19"/>
      <c r="AV326" s="19"/>
      <c r="AW326" s="19"/>
      <c r="AX326" s="19"/>
      <c r="AY326" s="19"/>
      <c r="AZ326" s="19"/>
      <c r="BA326" s="19"/>
      <c r="BB326" s="19"/>
      <c r="BC326" s="19"/>
      <c r="BD326" s="19"/>
      <c r="BE326" s="19"/>
      <c r="BF326" s="19"/>
      <c r="BG326" s="19"/>
      <c r="BH326" s="19"/>
      <c r="BI326" s="19"/>
      <c r="BJ326" s="19"/>
      <c r="BK326" s="19"/>
      <c r="BL326" s="19"/>
      <c r="BM326" s="19"/>
      <c r="BN326" s="19"/>
      <c r="BO326" s="19"/>
      <c r="BP326" s="19"/>
      <c r="BQ326" s="19"/>
      <c r="BR326" s="19"/>
      <c r="BS326" s="19"/>
      <c r="BT326" s="19"/>
      <c r="BU326" s="19"/>
      <c r="BV326" s="19"/>
      <c r="BW326" s="19"/>
      <c r="BX326" s="19"/>
      <c r="BY326" s="19"/>
      <c r="BZ326" s="19"/>
      <c r="CA326" s="19"/>
      <c r="CB326" s="19"/>
      <c r="CC326" s="19"/>
      <c r="CD326" s="19"/>
      <c r="CE326" s="19"/>
      <c r="CF326" s="6"/>
    </row>
    <row r="327" spans="1:84">
      <c r="A327" s="17"/>
      <c r="B327" s="17"/>
      <c r="C327" s="17"/>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9"/>
      <c r="AB327" s="19"/>
      <c r="AC327" s="19"/>
      <c r="AD327" s="19"/>
      <c r="AE327" s="19"/>
      <c r="AF327" s="19"/>
      <c r="AG327" s="19"/>
      <c r="AH327" s="19"/>
      <c r="AI327" s="19"/>
      <c r="AJ327" s="19"/>
      <c r="AK327" s="19"/>
      <c r="AL327" s="19"/>
      <c r="AM327" s="19"/>
      <c r="AN327" s="19"/>
      <c r="AO327" s="19"/>
      <c r="AP327" s="19"/>
      <c r="AQ327" s="19"/>
      <c r="AR327" s="19"/>
      <c r="AS327" s="19"/>
      <c r="AT327" s="19"/>
      <c r="AU327" s="19"/>
      <c r="AV327" s="19"/>
      <c r="AW327" s="19"/>
      <c r="AX327" s="19"/>
      <c r="AY327" s="19"/>
      <c r="AZ327" s="19"/>
      <c r="BA327" s="19"/>
      <c r="BB327" s="19"/>
      <c r="BC327" s="19"/>
      <c r="BD327" s="19"/>
      <c r="BE327" s="19"/>
      <c r="BF327" s="19"/>
      <c r="BG327" s="19"/>
      <c r="BH327" s="19"/>
      <c r="BI327" s="19"/>
      <c r="BJ327" s="19"/>
      <c r="BK327" s="19"/>
      <c r="BL327" s="19"/>
      <c r="BM327" s="19"/>
      <c r="BN327" s="19"/>
      <c r="BO327" s="19"/>
      <c r="BP327" s="19"/>
      <c r="BQ327" s="19"/>
      <c r="BR327" s="19"/>
      <c r="BS327" s="19"/>
      <c r="BT327" s="19"/>
      <c r="BU327" s="19"/>
      <c r="BV327" s="19"/>
      <c r="BW327" s="19"/>
      <c r="BX327" s="19"/>
      <c r="BY327" s="19"/>
      <c r="BZ327" s="19"/>
      <c r="CA327" s="19"/>
      <c r="CB327" s="19"/>
      <c r="CC327" s="19"/>
      <c r="CD327" s="19"/>
      <c r="CE327" s="19"/>
      <c r="CF327" s="6"/>
    </row>
    <row r="328" spans="1:84">
      <c r="A328" s="17"/>
      <c r="B328" s="17"/>
      <c r="C328" s="17"/>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9"/>
      <c r="AB328" s="19"/>
      <c r="AC328" s="19"/>
      <c r="AD328" s="19"/>
      <c r="AE328" s="19"/>
      <c r="AF328" s="19"/>
      <c r="AG328" s="19"/>
      <c r="AH328" s="19"/>
      <c r="AI328" s="19"/>
      <c r="AJ328" s="19"/>
      <c r="AK328" s="19"/>
      <c r="AL328" s="19"/>
      <c r="AM328" s="19"/>
      <c r="AN328" s="19"/>
      <c r="AO328" s="19"/>
      <c r="AP328" s="19"/>
      <c r="AQ328" s="19"/>
      <c r="AR328" s="19"/>
      <c r="AS328" s="19"/>
      <c r="AT328" s="19"/>
      <c r="AU328" s="19"/>
      <c r="AV328" s="19"/>
      <c r="AW328" s="19"/>
      <c r="AX328" s="19"/>
      <c r="AY328" s="19"/>
      <c r="AZ328" s="19"/>
      <c r="BA328" s="19"/>
      <c r="BB328" s="19"/>
      <c r="BC328" s="19"/>
      <c r="BD328" s="19"/>
      <c r="BE328" s="19"/>
      <c r="BF328" s="19"/>
      <c r="BG328" s="19"/>
      <c r="BH328" s="19"/>
      <c r="BI328" s="19"/>
      <c r="BJ328" s="19"/>
      <c r="BK328" s="19"/>
      <c r="BL328" s="19"/>
      <c r="BM328" s="19"/>
      <c r="BN328" s="19"/>
      <c r="BO328" s="19"/>
      <c r="BP328" s="19"/>
      <c r="BQ328" s="19"/>
      <c r="BR328" s="19"/>
      <c r="BS328" s="19"/>
      <c r="BT328" s="19"/>
      <c r="BU328" s="19"/>
      <c r="BV328" s="19"/>
      <c r="BW328" s="19"/>
      <c r="BX328" s="19"/>
      <c r="BY328" s="19"/>
      <c r="BZ328" s="19"/>
      <c r="CA328" s="19"/>
      <c r="CB328" s="19"/>
      <c r="CC328" s="19"/>
      <c r="CD328" s="19"/>
      <c r="CE328" s="19"/>
      <c r="CF328" s="6"/>
    </row>
    <row r="329" spans="1:84">
      <c r="A329" s="17"/>
      <c r="B329" s="17"/>
      <c r="C329" s="17"/>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9"/>
      <c r="AB329" s="19"/>
      <c r="AC329" s="19"/>
      <c r="AD329" s="19"/>
      <c r="AE329" s="19"/>
      <c r="AF329" s="19"/>
      <c r="AG329" s="19"/>
      <c r="AH329" s="19"/>
      <c r="AI329" s="19"/>
      <c r="AJ329" s="19"/>
      <c r="AK329" s="19"/>
      <c r="AL329" s="19"/>
      <c r="AM329" s="19"/>
      <c r="AN329" s="19"/>
      <c r="AO329" s="19"/>
      <c r="AP329" s="19"/>
      <c r="AQ329" s="19"/>
      <c r="AR329" s="19"/>
      <c r="AS329" s="19"/>
      <c r="AT329" s="19"/>
      <c r="AU329" s="19"/>
      <c r="AV329" s="19"/>
      <c r="AW329" s="19"/>
      <c r="AX329" s="19"/>
      <c r="AY329" s="19"/>
      <c r="AZ329" s="19"/>
      <c r="BA329" s="19"/>
      <c r="BB329" s="19"/>
      <c r="BC329" s="19"/>
      <c r="BD329" s="19"/>
      <c r="BE329" s="19"/>
      <c r="BF329" s="19"/>
      <c r="BG329" s="19"/>
      <c r="BH329" s="19"/>
      <c r="BI329" s="19"/>
      <c r="BJ329" s="19"/>
      <c r="BK329" s="19"/>
      <c r="BL329" s="19"/>
      <c r="BM329" s="19"/>
      <c r="BN329" s="19"/>
      <c r="BO329" s="19"/>
      <c r="BP329" s="19"/>
      <c r="BQ329" s="19"/>
      <c r="BR329" s="19"/>
      <c r="BS329" s="19"/>
      <c r="BT329" s="19"/>
      <c r="BU329" s="19"/>
      <c r="BV329" s="19"/>
      <c r="BW329" s="19"/>
      <c r="BX329" s="19"/>
      <c r="BY329" s="19"/>
      <c r="BZ329" s="19"/>
      <c r="CA329" s="19"/>
      <c r="CB329" s="19"/>
      <c r="CC329" s="19"/>
      <c r="CD329" s="19"/>
      <c r="CE329" s="19"/>
      <c r="CF329" s="6"/>
    </row>
    <row r="330" spans="1:84">
      <c r="A330" s="17"/>
      <c r="B330" s="17"/>
      <c r="C330" s="17"/>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9"/>
      <c r="AB330" s="19"/>
      <c r="AC330" s="19"/>
      <c r="AD330" s="19"/>
      <c r="AE330" s="19"/>
      <c r="AF330" s="19"/>
      <c r="AG330" s="19"/>
      <c r="AH330" s="19"/>
      <c r="AI330" s="19"/>
      <c r="AJ330" s="19"/>
      <c r="AK330" s="19"/>
      <c r="AL330" s="19"/>
      <c r="AM330" s="19"/>
      <c r="AN330" s="19"/>
      <c r="AO330" s="19"/>
      <c r="AP330" s="19"/>
      <c r="AQ330" s="19"/>
      <c r="AR330" s="19"/>
      <c r="AS330" s="19"/>
      <c r="AT330" s="19"/>
      <c r="AU330" s="19"/>
      <c r="AV330" s="19"/>
      <c r="AW330" s="19"/>
      <c r="AX330" s="19"/>
      <c r="AY330" s="19"/>
      <c r="AZ330" s="19"/>
      <c r="BA330" s="19"/>
      <c r="BB330" s="19"/>
      <c r="BC330" s="19"/>
      <c r="BD330" s="19"/>
      <c r="BE330" s="19"/>
      <c r="BF330" s="19"/>
      <c r="BG330" s="19"/>
      <c r="BH330" s="19"/>
      <c r="BI330" s="19"/>
      <c r="BJ330" s="19"/>
      <c r="BK330" s="19"/>
      <c r="BL330" s="19"/>
      <c r="BM330" s="19"/>
      <c r="BN330" s="19"/>
      <c r="BO330" s="19"/>
      <c r="BP330" s="19"/>
      <c r="BQ330" s="19"/>
      <c r="BR330" s="19"/>
      <c r="BS330" s="19"/>
      <c r="BT330" s="19"/>
      <c r="BU330" s="19"/>
      <c r="BV330" s="19"/>
      <c r="BW330" s="19"/>
      <c r="BX330" s="19"/>
      <c r="BY330" s="19"/>
      <c r="BZ330" s="19"/>
      <c r="CA330" s="19"/>
      <c r="CB330" s="19"/>
      <c r="CC330" s="19"/>
      <c r="CD330" s="19"/>
      <c r="CE330" s="19"/>
      <c r="CF330" s="6"/>
    </row>
    <row r="331" spans="1:84">
      <c r="A331" s="17"/>
      <c r="B331" s="17"/>
      <c r="C331" s="17"/>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9"/>
      <c r="AB331" s="19"/>
      <c r="AC331" s="19"/>
      <c r="AD331" s="19"/>
      <c r="AE331" s="19"/>
      <c r="AF331" s="19"/>
      <c r="AG331" s="19"/>
      <c r="AH331" s="19"/>
      <c r="AI331" s="19"/>
      <c r="AJ331" s="19"/>
      <c r="AK331" s="19"/>
      <c r="AL331" s="19"/>
      <c r="AM331" s="19"/>
      <c r="AN331" s="19"/>
      <c r="AO331" s="19"/>
      <c r="AP331" s="19"/>
      <c r="AQ331" s="19"/>
      <c r="AR331" s="19"/>
      <c r="AS331" s="19"/>
      <c r="AT331" s="19"/>
      <c r="AU331" s="19"/>
      <c r="AV331" s="19"/>
      <c r="AW331" s="19"/>
      <c r="AX331" s="19"/>
      <c r="AY331" s="19"/>
      <c r="AZ331" s="19"/>
      <c r="BA331" s="19"/>
      <c r="BB331" s="19"/>
      <c r="BC331" s="19"/>
      <c r="BD331" s="19"/>
      <c r="BE331" s="19"/>
      <c r="BF331" s="19"/>
      <c r="BG331" s="19"/>
      <c r="BH331" s="19"/>
      <c r="BI331" s="19"/>
      <c r="BJ331" s="19"/>
      <c r="BK331" s="19"/>
      <c r="BL331" s="19"/>
      <c r="BM331" s="19"/>
      <c r="BN331" s="19"/>
      <c r="BO331" s="19"/>
      <c r="BP331" s="19"/>
      <c r="BQ331" s="19"/>
      <c r="BR331" s="19"/>
      <c r="BS331" s="19"/>
      <c r="BT331" s="19"/>
      <c r="BU331" s="19"/>
      <c r="BV331" s="19"/>
      <c r="BW331" s="19"/>
      <c r="BX331" s="19"/>
      <c r="BY331" s="19"/>
      <c r="BZ331" s="19"/>
      <c r="CA331" s="19"/>
      <c r="CB331" s="19"/>
      <c r="CC331" s="19"/>
      <c r="CD331" s="19"/>
      <c r="CE331" s="19"/>
      <c r="CF331" s="6"/>
    </row>
    <row r="332" spans="1:84">
      <c r="A332" s="17"/>
      <c r="B332" s="17"/>
      <c r="C332" s="17"/>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9"/>
      <c r="AB332" s="19"/>
      <c r="AC332" s="19"/>
      <c r="AD332" s="19"/>
      <c r="AE332" s="19"/>
      <c r="AF332" s="19"/>
      <c r="AG332" s="19"/>
      <c r="AH332" s="19"/>
      <c r="AI332" s="19"/>
      <c r="AJ332" s="19"/>
      <c r="AK332" s="19"/>
      <c r="AL332" s="19"/>
      <c r="AM332" s="19"/>
      <c r="AN332" s="19"/>
      <c r="AO332" s="19"/>
      <c r="AP332" s="19"/>
      <c r="AQ332" s="19"/>
      <c r="AR332" s="19"/>
      <c r="AS332" s="19"/>
      <c r="AT332" s="19"/>
      <c r="AU332" s="19"/>
      <c r="AV332" s="19"/>
      <c r="AW332" s="19"/>
      <c r="AX332" s="19"/>
      <c r="AY332" s="19"/>
      <c r="AZ332" s="19"/>
      <c r="BA332" s="19"/>
      <c r="BB332" s="19"/>
      <c r="BC332" s="19"/>
      <c r="BD332" s="19"/>
      <c r="BE332" s="19"/>
      <c r="BF332" s="19"/>
      <c r="BG332" s="19"/>
      <c r="BH332" s="19"/>
      <c r="BI332" s="19"/>
      <c r="BJ332" s="19"/>
      <c r="BK332" s="19"/>
      <c r="BL332" s="19"/>
      <c r="BM332" s="19"/>
      <c r="BN332" s="19"/>
      <c r="BO332" s="19"/>
      <c r="BP332" s="19"/>
      <c r="BQ332" s="19"/>
      <c r="BR332" s="19"/>
      <c r="BS332" s="19"/>
      <c r="BT332" s="19"/>
      <c r="BU332" s="19"/>
      <c r="BV332" s="19"/>
      <c r="BW332" s="19"/>
      <c r="BX332" s="19"/>
      <c r="BY332" s="19"/>
      <c r="BZ332" s="19"/>
      <c r="CA332" s="19"/>
      <c r="CB332" s="19"/>
      <c r="CC332" s="19"/>
      <c r="CD332" s="19"/>
      <c r="CE332" s="19"/>
      <c r="CF332" s="6"/>
    </row>
    <row r="333" spans="1:84">
      <c r="A333" s="17"/>
      <c r="B333" s="17"/>
      <c r="C333" s="17"/>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9"/>
      <c r="AB333" s="19"/>
      <c r="AC333" s="19"/>
      <c r="AD333" s="19"/>
      <c r="AE333" s="19"/>
      <c r="AF333" s="19"/>
      <c r="AG333" s="19"/>
      <c r="AH333" s="19"/>
      <c r="AI333" s="19"/>
      <c r="AJ333" s="19"/>
      <c r="AK333" s="19"/>
      <c r="AL333" s="19"/>
      <c r="AM333" s="19"/>
      <c r="AN333" s="19"/>
      <c r="AO333" s="19"/>
      <c r="AP333" s="19"/>
      <c r="AQ333" s="19"/>
      <c r="AR333" s="19"/>
      <c r="AS333" s="19"/>
      <c r="AT333" s="19"/>
      <c r="AU333" s="19"/>
      <c r="AV333" s="19"/>
      <c r="AW333" s="19"/>
      <c r="AX333" s="19"/>
      <c r="AY333" s="19"/>
      <c r="AZ333" s="19"/>
      <c r="BA333" s="19"/>
      <c r="BB333" s="19"/>
      <c r="BC333" s="19"/>
      <c r="BD333" s="19"/>
      <c r="BE333" s="19"/>
      <c r="BF333" s="19"/>
      <c r="BG333" s="19"/>
      <c r="BH333" s="19"/>
      <c r="BI333" s="19"/>
      <c r="BJ333" s="19"/>
      <c r="BK333" s="19"/>
      <c r="BL333" s="19"/>
      <c r="BM333" s="19"/>
      <c r="BN333" s="19"/>
      <c r="BO333" s="19"/>
      <c r="BP333" s="19"/>
      <c r="BQ333" s="19"/>
      <c r="BR333" s="19"/>
      <c r="BS333" s="19"/>
      <c r="BT333" s="19"/>
      <c r="BU333" s="19"/>
      <c r="BV333" s="19"/>
      <c r="BW333" s="19"/>
      <c r="BX333" s="19"/>
      <c r="BY333" s="19"/>
      <c r="BZ333" s="19"/>
      <c r="CA333" s="19"/>
      <c r="CB333" s="19"/>
      <c r="CC333" s="19"/>
      <c r="CD333" s="19"/>
      <c r="CE333" s="19"/>
      <c r="CF333" s="6"/>
    </row>
    <row r="334" spans="1:84">
      <c r="D334" s="6"/>
      <c r="E334" s="6"/>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6"/>
      <c r="AZ334" s="6"/>
      <c r="BA334" s="6"/>
      <c r="BB334" s="6"/>
      <c r="BC334" s="6"/>
      <c r="BD334" s="6"/>
      <c r="BE334" s="6"/>
      <c r="BF334" s="6"/>
      <c r="BG334" s="6"/>
      <c r="BH334" s="6"/>
      <c r="BI334" s="6"/>
      <c r="BJ334" s="6"/>
      <c r="BK334" s="6"/>
      <c r="BL334" s="6"/>
      <c r="BM334" s="6"/>
      <c r="BN334" s="6"/>
      <c r="BO334" s="6"/>
      <c r="BP334" s="6"/>
      <c r="BQ334" s="6"/>
      <c r="BR334" s="6"/>
      <c r="BS334" s="6"/>
      <c r="BT334" s="6"/>
      <c r="BU334" s="6"/>
      <c r="BV334" s="6"/>
      <c r="BW334" s="6"/>
      <c r="BX334" s="6"/>
      <c r="BY334" s="6"/>
      <c r="BZ334" s="6"/>
      <c r="CA334" s="6"/>
      <c r="CB334" s="6"/>
      <c r="CC334" s="6"/>
      <c r="CD334" s="6"/>
      <c r="CE334" s="6"/>
      <c r="CF334" s="6"/>
    </row>
    <row r="335" spans="1:84">
      <c r="D335" s="6"/>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6"/>
      <c r="AZ335" s="6"/>
      <c r="BA335" s="6"/>
      <c r="BB335" s="6"/>
      <c r="BC335" s="6"/>
      <c r="BD335" s="6"/>
      <c r="BE335" s="6"/>
      <c r="BF335" s="6"/>
      <c r="BG335" s="6"/>
      <c r="BH335" s="6"/>
      <c r="BI335" s="6"/>
      <c r="BJ335" s="6"/>
      <c r="BK335" s="6"/>
      <c r="BL335" s="6"/>
      <c r="BM335" s="6"/>
      <c r="BN335" s="6"/>
      <c r="BO335" s="6"/>
      <c r="BP335" s="6"/>
      <c r="BQ335" s="6"/>
      <c r="BR335" s="6"/>
      <c r="BS335" s="6"/>
      <c r="BT335" s="6"/>
      <c r="BU335" s="6"/>
      <c r="BV335" s="6"/>
      <c r="BW335" s="6"/>
      <c r="BX335" s="6"/>
      <c r="BY335" s="6"/>
      <c r="BZ335" s="6"/>
      <c r="CA335" s="6"/>
      <c r="CB335" s="6"/>
      <c r="CC335" s="6"/>
      <c r="CD335" s="6"/>
      <c r="CE335" s="6"/>
      <c r="CF335" s="6"/>
    </row>
    <row r="336" spans="1:84">
      <c r="D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c r="AZ336" s="6"/>
      <c r="BA336" s="6"/>
      <c r="BB336" s="6"/>
      <c r="BC336" s="6"/>
      <c r="BD336" s="6"/>
      <c r="BE336" s="6"/>
      <c r="BF336" s="6"/>
      <c r="BG336" s="6"/>
      <c r="BH336" s="6"/>
      <c r="BI336" s="6"/>
      <c r="BJ336" s="6"/>
      <c r="BK336" s="6"/>
      <c r="BL336" s="6"/>
      <c r="BM336" s="6"/>
      <c r="BN336" s="6"/>
      <c r="BO336" s="6"/>
      <c r="BP336" s="6"/>
      <c r="BQ336" s="6"/>
      <c r="BR336" s="6"/>
      <c r="BS336" s="6"/>
      <c r="BT336" s="6"/>
      <c r="BU336" s="6"/>
      <c r="BV336" s="6"/>
      <c r="BW336" s="6"/>
      <c r="BX336" s="6"/>
      <c r="BY336" s="6"/>
      <c r="BZ336" s="6"/>
      <c r="CA336" s="6"/>
      <c r="CB336" s="6"/>
      <c r="CC336" s="6"/>
      <c r="CD336" s="6"/>
      <c r="CE336" s="6"/>
      <c r="CF336" s="6"/>
    </row>
    <row r="337" spans="4:84">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c r="AZ337" s="6"/>
      <c r="BA337" s="6"/>
      <c r="BB337" s="6"/>
      <c r="BC337" s="6"/>
      <c r="BD337" s="6"/>
      <c r="BE337" s="6"/>
      <c r="BF337" s="6"/>
      <c r="BG337" s="6"/>
      <c r="BH337" s="6"/>
      <c r="BI337" s="6"/>
      <c r="BJ337" s="6"/>
      <c r="BK337" s="6"/>
      <c r="BL337" s="6"/>
      <c r="BM337" s="6"/>
      <c r="BN337" s="6"/>
      <c r="BO337" s="6"/>
      <c r="BP337" s="6"/>
      <c r="BQ337" s="6"/>
      <c r="BR337" s="6"/>
      <c r="BS337" s="6"/>
      <c r="BT337" s="6"/>
      <c r="BU337" s="6"/>
      <c r="BV337" s="6"/>
      <c r="BW337" s="6"/>
      <c r="BX337" s="6"/>
      <c r="BY337" s="6"/>
      <c r="BZ337" s="6"/>
      <c r="CA337" s="6"/>
      <c r="CB337" s="6"/>
      <c r="CC337" s="6"/>
      <c r="CD337" s="6"/>
      <c r="CE337" s="6"/>
      <c r="CF337" s="6"/>
    </row>
    <row r="338" spans="4:84">
      <c r="D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c r="AZ338" s="6"/>
      <c r="BA338" s="6"/>
      <c r="BB338" s="6"/>
      <c r="BC338" s="6"/>
      <c r="BD338" s="6"/>
      <c r="BE338" s="6"/>
      <c r="BF338" s="6"/>
      <c r="BG338" s="6"/>
      <c r="BH338" s="6"/>
      <c r="BI338" s="6"/>
      <c r="BJ338" s="6"/>
      <c r="BK338" s="6"/>
      <c r="BL338" s="6"/>
      <c r="BM338" s="6"/>
      <c r="BN338" s="6"/>
      <c r="BO338" s="6"/>
      <c r="BP338" s="6"/>
      <c r="BQ338" s="6"/>
      <c r="BR338" s="6"/>
      <c r="BS338" s="6"/>
      <c r="BT338" s="6"/>
      <c r="BU338" s="6"/>
      <c r="BV338" s="6"/>
      <c r="BW338" s="6"/>
      <c r="BX338" s="6"/>
      <c r="BY338" s="6"/>
      <c r="BZ338" s="6"/>
      <c r="CA338" s="6"/>
      <c r="CB338" s="6"/>
      <c r="CC338" s="6"/>
      <c r="CD338" s="6"/>
      <c r="CE338" s="6"/>
      <c r="CF338" s="6"/>
    </row>
    <row r="339" spans="4:84">
      <c r="D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c r="AZ339" s="6"/>
      <c r="BA339" s="6"/>
      <c r="BB339" s="6"/>
      <c r="BC339" s="6"/>
      <c r="BD339" s="6"/>
      <c r="BE339" s="6"/>
      <c r="BF339" s="6"/>
      <c r="BG339" s="6"/>
      <c r="BH339" s="6"/>
      <c r="BI339" s="6"/>
      <c r="BJ339" s="6"/>
      <c r="BK339" s="6"/>
      <c r="BL339" s="6"/>
      <c r="BM339" s="6"/>
      <c r="BN339" s="6"/>
      <c r="BO339" s="6"/>
      <c r="BP339" s="6"/>
      <c r="BQ339" s="6"/>
      <c r="BR339" s="6"/>
      <c r="BS339" s="6"/>
      <c r="BT339" s="6"/>
      <c r="BU339" s="6"/>
      <c r="BV339" s="6"/>
      <c r="BW339" s="6"/>
      <c r="BX339" s="6"/>
      <c r="BY339" s="6"/>
      <c r="BZ339" s="6"/>
      <c r="CA339" s="6"/>
      <c r="CB339" s="6"/>
      <c r="CC339" s="6"/>
      <c r="CD339" s="6"/>
      <c r="CE339" s="6"/>
      <c r="CF339" s="6"/>
    </row>
    <row r="340" spans="4:84">
      <c r="D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c r="AZ340" s="6"/>
      <c r="BA340" s="6"/>
      <c r="BB340" s="6"/>
      <c r="BC340" s="6"/>
      <c r="BD340" s="6"/>
      <c r="BE340" s="6"/>
      <c r="BF340" s="6"/>
      <c r="BG340" s="6"/>
      <c r="BH340" s="6"/>
      <c r="BI340" s="6"/>
      <c r="BJ340" s="6"/>
      <c r="BK340" s="6"/>
      <c r="BL340" s="6"/>
      <c r="BM340" s="6"/>
      <c r="BN340" s="6"/>
      <c r="BO340" s="6"/>
      <c r="BP340" s="6"/>
      <c r="BQ340" s="6"/>
      <c r="BR340" s="6"/>
      <c r="BS340" s="6"/>
      <c r="BT340" s="6"/>
      <c r="BU340" s="6"/>
      <c r="BV340" s="6"/>
      <c r="BW340" s="6"/>
      <c r="BX340" s="6"/>
      <c r="BY340" s="6"/>
      <c r="BZ340" s="6"/>
      <c r="CA340" s="6"/>
      <c r="CB340" s="6"/>
      <c r="CC340" s="6"/>
      <c r="CD340" s="6"/>
      <c r="CE340" s="6"/>
      <c r="CF340" s="6"/>
    </row>
    <row r="341" spans="4:84">
      <c r="D341" s="6"/>
      <c r="E341" s="6"/>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6"/>
      <c r="AZ341" s="6"/>
      <c r="BA341" s="6"/>
      <c r="BB341" s="6"/>
      <c r="BC341" s="6"/>
      <c r="BD341" s="6"/>
      <c r="BE341" s="6"/>
      <c r="BF341" s="6"/>
      <c r="BG341" s="6"/>
      <c r="BH341" s="6"/>
      <c r="BI341" s="6"/>
      <c r="BJ341" s="6"/>
      <c r="BK341" s="6"/>
      <c r="BL341" s="6"/>
      <c r="BM341" s="6"/>
      <c r="BN341" s="6"/>
      <c r="BO341" s="6"/>
      <c r="BP341" s="6"/>
      <c r="BQ341" s="6"/>
      <c r="BR341" s="6"/>
      <c r="BS341" s="6"/>
      <c r="BT341" s="6"/>
      <c r="BU341" s="6"/>
      <c r="BV341" s="6"/>
      <c r="BW341" s="6"/>
      <c r="BX341" s="6"/>
      <c r="BY341" s="6"/>
      <c r="BZ341" s="6"/>
      <c r="CA341" s="6"/>
      <c r="CB341" s="6"/>
      <c r="CC341" s="6"/>
      <c r="CD341" s="6"/>
      <c r="CE341" s="6"/>
      <c r="CF341" s="6"/>
    </row>
    <row r="342" spans="4:84">
      <c r="D342" s="6"/>
      <c r="E342" s="6"/>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6"/>
      <c r="AZ342" s="6"/>
      <c r="BA342" s="6"/>
      <c r="BB342" s="6"/>
      <c r="BC342" s="6"/>
      <c r="BD342" s="6"/>
      <c r="BE342" s="6"/>
      <c r="BF342" s="6"/>
      <c r="BG342" s="6"/>
      <c r="BH342" s="6"/>
      <c r="BI342" s="6"/>
      <c r="BJ342" s="6"/>
      <c r="BK342" s="6"/>
      <c r="BL342" s="6"/>
      <c r="BM342" s="6"/>
      <c r="BN342" s="6"/>
      <c r="BO342" s="6"/>
      <c r="BP342" s="6"/>
      <c r="BQ342" s="6"/>
      <c r="BR342" s="6"/>
      <c r="BS342" s="6"/>
      <c r="BT342" s="6"/>
      <c r="BU342" s="6"/>
      <c r="BV342" s="6"/>
      <c r="BW342" s="6"/>
      <c r="BX342" s="6"/>
      <c r="BY342" s="6"/>
      <c r="BZ342" s="6"/>
      <c r="CA342" s="6"/>
      <c r="CB342" s="6"/>
      <c r="CC342" s="6"/>
      <c r="CD342" s="6"/>
      <c r="CE342" s="6"/>
      <c r="CF342" s="6"/>
    </row>
    <row r="343" spans="4:84">
      <c r="D343" s="6"/>
      <c r="E343" s="6"/>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6"/>
      <c r="AZ343" s="6"/>
      <c r="BA343" s="6"/>
      <c r="BB343" s="6"/>
      <c r="BC343" s="6"/>
      <c r="BD343" s="6"/>
      <c r="BE343" s="6"/>
      <c r="BF343" s="6"/>
      <c r="BG343" s="6"/>
      <c r="BH343" s="6"/>
      <c r="BI343" s="6"/>
      <c r="BJ343" s="6"/>
      <c r="BK343" s="6"/>
      <c r="BL343" s="6"/>
      <c r="BM343" s="6"/>
      <c r="BN343" s="6"/>
      <c r="BO343" s="6"/>
      <c r="BP343" s="6"/>
      <c r="BQ343" s="6"/>
      <c r="BR343" s="6"/>
      <c r="BS343" s="6"/>
      <c r="BT343" s="6"/>
      <c r="BU343" s="6"/>
      <c r="BV343" s="6"/>
      <c r="BW343" s="6"/>
      <c r="BX343" s="6"/>
      <c r="BY343" s="6"/>
      <c r="BZ343" s="6"/>
      <c r="CA343" s="6"/>
      <c r="CB343" s="6"/>
      <c r="CC343" s="6"/>
      <c r="CD343" s="6"/>
      <c r="CE343" s="6"/>
      <c r="CF343" s="6"/>
    </row>
    <row r="344" spans="4:84">
      <c r="D344" s="6"/>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c r="AZ344" s="6"/>
      <c r="BA344" s="6"/>
      <c r="BB344" s="6"/>
      <c r="BC344" s="6"/>
      <c r="BD344" s="6"/>
      <c r="BE344" s="6"/>
      <c r="BF344" s="6"/>
      <c r="BG344" s="6"/>
      <c r="BH344" s="6"/>
      <c r="BI344" s="6"/>
      <c r="BJ344" s="6"/>
      <c r="BK344" s="6"/>
      <c r="BL344" s="6"/>
      <c r="BM344" s="6"/>
      <c r="BN344" s="6"/>
      <c r="BO344" s="6"/>
      <c r="BP344" s="6"/>
      <c r="BQ344" s="6"/>
      <c r="BR344" s="6"/>
      <c r="BS344" s="6"/>
      <c r="BT344" s="6"/>
      <c r="BU344" s="6"/>
      <c r="BV344" s="6"/>
      <c r="BW344" s="6"/>
      <c r="BX344" s="6"/>
      <c r="BY344" s="6"/>
      <c r="BZ344" s="6"/>
      <c r="CA344" s="6"/>
      <c r="CB344" s="6"/>
      <c r="CC344" s="6"/>
      <c r="CD344" s="6"/>
      <c r="CE344" s="6"/>
      <c r="CF344" s="6"/>
    </row>
    <row r="345" spans="4:84">
      <c r="D345" s="6"/>
      <c r="E345" s="6"/>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c r="AZ345" s="6"/>
      <c r="BA345" s="6"/>
      <c r="BB345" s="6"/>
      <c r="BC345" s="6"/>
      <c r="BD345" s="6"/>
      <c r="BE345" s="6"/>
      <c r="BF345" s="6"/>
      <c r="BG345" s="6"/>
      <c r="BH345" s="6"/>
      <c r="BI345" s="6"/>
      <c r="BJ345" s="6"/>
      <c r="BK345" s="6"/>
      <c r="BL345" s="6"/>
      <c r="BM345" s="6"/>
      <c r="BN345" s="6"/>
      <c r="BO345" s="6"/>
      <c r="BP345" s="6"/>
      <c r="BQ345" s="6"/>
      <c r="BR345" s="6"/>
      <c r="BS345" s="6"/>
      <c r="BT345" s="6"/>
      <c r="BU345" s="6"/>
      <c r="BV345" s="6"/>
      <c r="BW345" s="6"/>
      <c r="BX345" s="6"/>
      <c r="BY345" s="6"/>
      <c r="BZ345" s="6"/>
      <c r="CA345" s="6"/>
      <c r="CB345" s="6"/>
      <c r="CC345" s="6"/>
      <c r="CD345" s="6"/>
      <c r="CE345" s="6"/>
      <c r="CF345" s="6"/>
    </row>
    <row r="346" spans="4:84">
      <c r="D346" s="6"/>
      <c r="E346" s="6"/>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6"/>
      <c r="AZ346" s="6"/>
      <c r="BA346" s="6"/>
      <c r="BB346" s="6"/>
      <c r="BC346" s="6"/>
      <c r="BD346" s="6"/>
      <c r="BE346" s="6"/>
      <c r="BF346" s="6"/>
      <c r="BG346" s="6"/>
      <c r="BH346" s="6"/>
      <c r="BI346" s="6"/>
      <c r="BJ346" s="6"/>
      <c r="BK346" s="6"/>
      <c r="BL346" s="6"/>
      <c r="BM346" s="6"/>
      <c r="BN346" s="6"/>
      <c r="BO346" s="6"/>
      <c r="BP346" s="6"/>
      <c r="BQ346" s="6"/>
      <c r="BR346" s="6"/>
      <c r="BS346" s="6"/>
      <c r="BT346" s="6"/>
      <c r="BU346" s="6"/>
      <c r="BV346" s="6"/>
      <c r="BW346" s="6"/>
      <c r="BX346" s="6"/>
      <c r="BY346" s="6"/>
      <c r="BZ346" s="6"/>
      <c r="CA346" s="6"/>
      <c r="CB346" s="6"/>
      <c r="CC346" s="6"/>
      <c r="CD346" s="6"/>
      <c r="CE346" s="6"/>
      <c r="CF346" s="6"/>
    </row>
    <row r="347" spans="4:84">
      <c r="D347" s="6"/>
      <c r="E347" s="6"/>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c r="AZ347" s="6"/>
      <c r="BA347" s="6"/>
      <c r="BB347" s="6"/>
      <c r="BC347" s="6"/>
      <c r="BD347" s="6"/>
      <c r="BE347" s="6"/>
      <c r="BF347" s="6"/>
      <c r="BG347" s="6"/>
      <c r="BH347" s="6"/>
      <c r="BI347" s="6"/>
      <c r="BJ347" s="6"/>
      <c r="BK347" s="6"/>
      <c r="BL347" s="6"/>
      <c r="BM347" s="6"/>
      <c r="BN347" s="6"/>
      <c r="BO347" s="6"/>
      <c r="BP347" s="6"/>
      <c r="BQ347" s="6"/>
      <c r="BR347" s="6"/>
      <c r="BS347" s="6"/>
      <c r="BT347" s="6"/>
      <c r="BU347" s="6"/>
      <c r="BV347" s="6"/>
      <c r="BW347" s="6"/>
      <c r="BX347" s="6"/>
      <c r="BY347" s="6"/>
      <c r="BZ347" s="6"/>
      <c r="CA347" s="6"/>
      <c r="CB347" s="6"/>
      <c r="CC347" s="6"/>
      <c r="CD347" s="6"/>
      <c r="CE347" s="6"/>
      <c r="CF347" s="6"/>
    </row>
    <row r="348" spans="4:84">
      <c r="D348" s="6"/>
      <c r="E348" s="6"/>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6"/>
      <c r="AZ348" s="6"/>
      <c r="BA348" s="6"/>
      <c r="BB348" s="6"/>
      <c r="BC348" s="6"/>
      <c r="BD348" s="6"/>
      <c r="BE348" s="6"/>
      <c r="BF348" s="6"/>
      <c r="BG348" s="6"/>
      <c r="BH348" s="6"/>
      <c r="BI348" s="6"/>
      <c r="BJ348" s="6"/>
      <c r="BK348" s="6"/>
      <c r="BL348" s="6"/>
      <c r="BM348" s="6"/>
      <c r="BN348" s="6"/>
      <c r="BO348" s="6"/>
      <c r="BP348" s="6"/>
      <c r="BQ348" s="6"/>
      <c r="BR348" s="6"/>
      <c r="BS348" s="6"/>
      <c r="BT348" s="6"/>
      <c r="BU348" s="6"/>
      <c r="BV348" s="6"/>
      <c r="BW348" s="6"/>
      <c r="BX348" s="6"/>
      <c r="BY348" s="6"/>
      <c r="BZ348" s="6"/>
      <c r="CA348" s="6"/>
      <c r="CB348" s="6"/>
      <c r="CC348" s="6"/>
      <c r="CD348" s="6"/>
      <c r="CE348" s="6"/>
      <c r="CF348" s="6"/>
    </row>
    <row r="349" spans="4:84">
      <c r="D349" s="6"/>
      <c r="E349" s="6"/>
      <c r="F349" s="6"/>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c r="AZ349" s="6"/>
      <c r="BA349" s="6"/>
      <c r="BB349" s="6"/>
      <c r="BC349" s="6"/>
      <c r="BD349" s="6"/>
      <c r="BE349" s="6"/>
      <c r="BF349" s="6"/>
      <c r="BG349" s="6"/>
      <c r="BH349" s="6"/>
      <c r="BI349" s="6"/>
      <c r="BJ349" s="6"/>
      <c r="BK349" s="6"/>
      <c r="BL349" s="6"/>
      <c r="BM349" s="6"/>
      <c r="BN349" s="6"/>
      <c r="BO349" s="6"/>
      <c r="BP349" s="6"/>
      <c r="BQ349" s="6"/>
      <c r="BR349" s="6"/>
      <c r="BS349" s="6"/>
      <c r="BT349" s="6"/>
      <c r="BU349" s="6"/>
      <c r="BV349" s="6"/>
      <c r="BW349" s="6"/>
      <c r="BX349" s="6"/>
      <c r="BY349" s="6"/>
      <c r="BZ349" s="6"/>
      <c r="CA349" s="6"/>
      <c r="CB349" s="6"/>
      <c r="CC349" s="6"/>
      <c r="CD349" s="6"/>
      <c r="CE349" s="6"/>
      <c r="CF349" s="6"/>
    </row>
    <row r="350" spans="4:84">
      <c r="D350" s="6"/>
      <c r="E350" s="6"/>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c r="AZ350" s="6"/>
      <c r="BA350" s="6"/>
      <c r="BB350" s="6"/>
      <c r="BC350" s="6"/>
      <c r="BD350" s="6"/>
      <c r="BE350" s="6"/>
      <c r="BF350" s="6"/>
      <c r="BG350" s="6"/>
      <c r="BH350" s="6"/>
      <c r="BI350" s="6"/>
      <c r="BJ350" s="6"/>
      <c r="BK350" s="6"/>
      <c r="BL350" s="6"/>
      <c r="BM350" s="6"/>
      <c r="BN350" s="6"/>
      <c r="BO350" s="6"/>
      <c r="BP350" s="6"/>
      <c r="BQ350" s="6"/>
      <c r="BR350" s="6"/>
      <c r="BS350" s="6"/>
      <c r="BT350" s="6"/>
      <c r="BU350" s="6"/>
      <c r="BV350" s="6"/>
      <c r="BW350" s="6"/>
      <c r="BX350" s="6"/>
      <c r="BY350" s="6"/>
      <c r="BZ350" s="6"/>
      <c r="CA350" s="6"/>
      <c r="CB350" s="6"/>
      <c r="CC350" s="6"/>
      <c r="CD350" s="6"/>
      <c r="CE350" s="6"/>
      <c r="CF350" s="6"/>
    </row>
    <row r="351" spans="4:84">
      <c r="D351" s="6"/>
      <c r="E351" s="6"/>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6"/>
      <c r="AZ351" s="6"/>
      <c r="BA351" s="6"/>
      <c r="BB351" s="6"/>
      <c r="BC351" s="6"/>
      <c r="BD351" s="6"/>
      <c r="BE351" s="6"/>
      <c r="BF351" s="6"/>
      <c r="BG351" s="6"/>
      <c r="BH351" s="6"/>
      <c r="BI351" s="6"/>
      <c r="BJ351" s="6"/>
      <c r="BK351" s="6"/>
      <c r="BL351" s="6"/>
      <c r="BM351" s="6"/>
      <c r="BN351" s="6"/>
      <c r="BO351" s="6"/>
      <c r="BP351" s="6"/>
      <c r="BQ351" s="6"/>
      <c r="BR351" s="6"/>
      <c r="BS351" s="6"/>
      <c r="BT351" s="6"/>
      <c r="BU351" s="6"/>
      <c r="BV351" s="6"/>
      <c r="BW351" s="6"/>
      <c r="BX351" s="6"/>
      <c r="BY351" s="6"/>
      <c r="BZ351" s="6"/>
      <c r="CA351" s="6"/>
      <c r="CB351" s="6"/>
      <c r="CC351" s="6"/>
      <c r="CD351" s="6"/>
      <c r="CE351" s="6"/>
      <c r="CF351" s="6"/>
    </row>
    <row r="352" spans="4:84">
      <c r="D352" s="6"/>
      <c r="E352" s="6"/>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c r="AZ352" s="6"/>
      <c r="BA352" s="6"/>
      <c r="BB352" s="6"/>
      <c r="BC352" s="6"/>
      <c r="BD352" s="6"/>
      <c r="BE352" s="6"/>
      <c r="BF352" s="6"/>
      <c r="BG352" s="6"/>
      <c r="BH352" s="6"/>
      <c r="BI352" s="6"/>
      <c r="BJ352" s="6"/>
      <c r="BK352" s="6"/>
      <c r="BL352" s="6"/>
      <c r="BM352" s="6"/>
      <c r="BN352" s="6"/>
      <c r="BO352" s="6"/>
      <c r="BP352" s="6"/>
      <c r="BQ352" s="6"/>
      <c r="BR352" s="6"/>
      <c r="BS352" s="6"/>
      <c r="BT352" s="6"/>
      <c r="BU352" s="6"/>
      <c r="BV352" s="6"/>
      <c r="BW352" s="6"/>
      <c r="BX352" s="6"/>
      <c r="BY352" s="6"/>
      <c r="BZ352" s="6"/>
      <c r="CA352" s="6"/>
      <c r="CB352" s="6"/>
      <c r="CC352" s="6"/>
      <c r="CD352" s="6"/>
      <c r="CE352" s="6"/>
      <c r="CF352" s="6"/>
    </row>
    <row r="353" spans="4:84">
      <c r="D353" s="6"/>
      <c r="E353" s="6"/>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c r="AZ353" s="6"/>
      <c r="BA353" s="6"/>
      <c r="BB353" s="6"/>
      <c r="BC353" s="6"/>
      <c r="BD353" s="6"/>
      <c r="BE353" s="6"/>
      <c r="BF353" s="6"/>
      <c r="BG353" s="6"/>
      <c r="BH353" s="6"/>
      <c r="BI353" s="6"/>
      <c r="BJ353" s="6"/>
      <c r="BK353" s="6"/>
      <c r="BL353" s="6"/>
      <c r="BM353" s="6"/>
      <c r="BN353" s="6"/>
      <c r="BO353" s="6"/>
      <c r="BP353" s="6"/>
      <c r="BQ353" s="6"/>
      <c r="BR353" s="6"/>
      <c r="BS353" s="6"/>
      <c r="BT353" s="6"/>
      <c r="BU353" s="6"/>
      <c r="BV353" s="6"/>
      <c r="BW353" s="6"/>
      <c r="BX353" s="6"/>
      <c r="BY353" s="6"/>
      <c r="BZ353" s="6"/>
      <c r="CA353" s="6"/>
      <c r="CB353" s="6"/>
      <c r="CC353" s="6"/>
      <c r="CD353" s="6"/>
      <c r="CE353" s="6"/>
      <c r="CF353" s="6"/>
    </row>
    <row r="354" spans="4:84">
      <c r="D354" s="6"/>
      <c r="E354" s="6"/>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6"/>
      <c r="AZ354" s="6"/>
      <c r="BA354" s="6"/>
      <c r="BB354" s="6"/>
      <c r="BC354" s="6"/>
      <c r="BD354" s="6"/>
      <c r="BE354" s="6"/>
      <c r="BF354" s="6"/>
      <c r="BG354" s="6"/>
      <c r="BH354" s="6"/>
      <c r="BI354" s="6"/>
      <c r="BJ354" s="6"/>
      <c r="BK354" s="6"/>
      <c r="BL354" s="6"/>
      <c r="BM354" s="6"/>
      <c r="BN354" s="6"/>
      <c r="BO354" s="6"/>
      <c r="BP354" s="6"/>
      <c r="BQ354" s="6"/>
      <c r="BR354" s="6"/>
      <c r="BS354" s="6"/>
      <c r="BT354" s="6"/>
      <c r="BU354" s="6"/>
      <c r="BV354" s="6"/>
      <c r="BW354" s="6"/>
      <c r="BX354" s="6"/>
      <c r="BY354" s="6"/>
      <c r="BZ354" s="6"/>
      <c r="CA354" s="6"/>
      <c r="CB354" s="6"/>
      <c r="CC354" s="6"/>
      <c r="CD354" s="6"/>
      <c r="CE354" s="6"/>
      <c r="CF354" s="6"/>
    </row>
    <row r="355" spans="4:84">
      <c r="D355" s="6"/>
      <c r="E355" s="6"/>
      <c r="F355" s="6"/>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6"/>
      <c r="AZ355" s="6"/>
      <c r="BA355" s="6"/>
      <c r="BB355" s="6"/>
      <c r="BC355" s="6"/>
      <c r="BD355" s="6"/>
      <c r="BE355" s="6"/>
      <c r="BF355" s="6"/>
      <c r="BG355" s="6"/>
      <c r="BH355" s="6"/>
      <c r="BI355" s="6"/>
      <c r="BJ355" s="6"/>
      <c r="BK355" s="6"/>
      <c r="BL355" s="6"/>
      <c r="BM355" s="6"/>
      <c r="BN355" s="6"/>
      <c r="BO355" s="6"/>
      <c r="BP355" s="6"/>
      <c r="BQ355" s="6"/>
      <c r="BR355" s="6"/>
      <c r="BS355" s="6"/>
      <c r="BT355" s="6"/>
      <c r="BU355" s="6"/>
      <c r="BV355" s="6"/>
      <c r="BW355" s="6"/>
      <c r="BX355" s="6"/>
      <c r="BY355" s="6"/>
      <c r="BZ355" s="6"/>
      <c r="CA355" s="6"/>
      <c r="CB355" s="6"/>
      <c r="CC355" s="6"/>
      <c r="CD355" s="6"/>
      <c r="CE355" s="6"/>
      <c r="CF355" s="6"/>
    </row>
    <row r="356" spans="4:84">
      <c r="D356" s="6"/>
      <c r="E356" s="6"/>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6"/>
      <c r="AZ356" s="6"/>
      <c r="BA356" s="6"/>
      <c r="BB356" s="6"/>
      <c r="BC356" s="6"/>
      <c r="BD356" s="6"/>
      <c r="BE356" s="6"/>
      <c r="BF356" s="6"/>
      <c r="BG356" s="6"/>
      <c r="BH356" s="6"/>
      <c r="BI356" s="6"/>
      <c r="BJ356" s="6"/>
      <c r="BK356" s="6"/>
      <c r="BL356" s="6"/>
      <c r="BM356" s="6"/>
      <c r="BN356" s="6"/>
      <c r="BO356" s="6"/>
      <c r="BP356" s="6"/>
      <c r="BQ356" s="6"/>
      <c r="BR356" s="6"/>
      <c r="BS356" s="6"/>
      <c r="BT356" s="6"/>
      <c r="BU356" s="6"/>
      <c r="BV356" s="6"/>
      <c r="BW356" s="6"/>
      <c r="BX356" s="6"/>
      <c r="BY356" s="6"/>
      <c r="BZ356" s="6"/>
      <c r="CA356" s="6"/>
      <c r="CB356" s="6"/>
      <c r="CC356" s="6"/>
      <c r="CD356" s="6"/>
      <c r="CE356" s="6"/>
      <c r="CF356" s="6"/>
    </row>
    <row r="357" spans="4:84">
      <c r="D357" s="6"/>
      <c r="E357" s="6"/>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6"/>
      <c r="AZ357" s="6"/>
      <c r="BA357" s="6"/>
      <c r="BB357" s="6"/>
      <c r="BC357" s="6"/>
      <c r="BD357" s="6"/>
      <c r="BE357" s="6"/>
      <c r="BF357" s="6"/>
      <c r="BG357" s="6"/>
      <c r="BH357" s="6"/>
      <c r="BI357" s="6"/>
      <c r="BJ357" s="6"/>
      <c r="BK357" s="6"/>
      <c r="BL357" s="6"/>
      <c r="BM357" s="6"/>
      <c r="BN357" s="6"/>
      <c r="BO357" s="6"/>
      <c r="BP357" s="6"/>
      <c r="BQ357" s="6"/>
      <c r="BR357" s="6"/>
      <c r="BS357" s="6"/>
      <c r="BT357" s="6"/>
      <c r="BU357" s="6"/>
      <c r="BV357" s="6"/>
      <c r="BW357" s="6"/>
      <c r="BX357" s="6"/>
      <c r="BY357" s="6"/>
      <c r="BZ357" s="6"/>
      <c r="CA357" s="6"/>
      <c r="CB357" s="6"/>
      <c r="CC357" s="6"/>
      <c r="CD357" s="6"/>
      <c r="CE357" s="6"/>
      <c r="CF357" s="6"/>
    </row>
    <row r="358" spans="4:84">
      <c r="D358" s="6"/>
      <c r="E358" s="6"/>
      <c r="F358" s="6"/>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6"/>
      <c r="AZ358" s="6"/>
      <c r="BA358" s="6"/>
      <c r="BB358" s="6"/>
      <c r="BC358" s="6"/>
      <c r="BD358" s="6"/>
      <c r="BE358" s="6"/>
      <c r="BF358" s="6"/>
      <c r="BG358" s="6"/>
      <c r="BH358" s="6"/>
      <c r="BI358" s="6"/>
      <c r="BJ358" s="6"/>
      <c r="BK358" s="6"/>
      <c r="BL358" s="6"/>
      <c r="BM358" s="6"/>
      <c r="BN358" s="6"/>
      <c r="BO358" s="6"/>
      <c r="BP358" s="6"/>
      <c r="BQ358" s="6"/>
      <c r="BR358" s="6"/>
      <c r="BS358" s="6"/>
      <c r="BT358" s="6"/>
      <c r="BU358" s="6"/>
      <c r="BV358" s="6"/>
      <c r="BW358" s="6"/>
      <c r="BX358" s="6"/>
      <c r="BY358" s="6"/>
      <c r="BZ358" s="6"/>
      <c r="CA358" s="6"/>
      <c r="CB358" s="6"/>
      <c r="CC358" s="6"/>
      <c r="CD358" s="6"/>
      <c r="CE358" s="6"/>
      <c r="CF358" s="6"/>
    </row>
    <row r="359" spans="4:84">
      <c r="D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c r="AZ359" s="6"/>
      <c r="BA359" s="6"/>
      <c r="BB359" s="6"/>
      <c r="BC359" s="6"/>
      <c r="BD359" s="6"/>
      <c r="BE359" s="6"/>
      <c r="BF359" s="6"/>
      <c r="BG359" s="6"/>
      <c r="BH359" s="6"/>
      <c r="BI359" s="6"/>
      <c r="BJ359" s="6"/>
      <c r="BK359" s="6"/>
      <c r="BL359" s="6"/>
      <c r="BM359" s="6"/>
      <c r="BN359" s="6"/>
      <c r="BO359" s="6"/>
      <c r="BP359" s="6"/>
      <c r="BQ359" s="6"/>
      <c r="BR359" s="6"/>
      <c r="BS359" s="6"/>
      <c r="BT359" s="6"/>
      <c r="BU359" s="6"/>
      <c r="BV359" s="6"/>
      <c r="BW359" s="6"/>
      <c r="BX359" s="6"/>
      <c r="BY359" s="6"/>
      <c r="BZ359" s="6"/>
      <c r="CA359" s="6"/>
      <c r="CB359" s="6"/>
      <c r="CC359" s="6"/>
      <c r="CD359" s="6"/>
      <c r="CE359" s="6"/>
      <c r="CF359" s="6"/>
    </row>
    <row r="360" spans="4:84">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c r="AU360" s="6"/>
      <c r="AV360" s="6"/>
      <c r="AW360" s="6"/>
      <c r="AX360" s="6"/>
      <c r="AY360" s="6"/>
      <c r="AZ360" s="6"/>
      <c r="BA360" s="6"/>
      <c r="BB360" s="6"/>
      <c r="BC360" s="6"/>
      <c r="BD360" s="6"/>
      <c r="BE360" s="6"/>
      <c r="BF360" s="6"/>
      <c r="BG360" s="6"/>
      <c r="BH360" s="6"/>
      <c r="BI360" s="6"/>
      <c r="BJ360" s="6"/>
      <c r="BK360" s="6"/>
      <c r="BL360" s="6"/>
      <c r="BM360" s="6"/>
      <c r="BN360" s="6"/>
      <c r="BO360" s="6"/>
      <c r="BP360" s="6"/>
      <c r="BQ360" s="6"/>
      <c r="BR360" s="6"/>
      <c r="BS360" s="6"/>
      <c r="BT360" s="6"/>
      <c r="BU360" s="6"/>
      <c r="BV360" s="6"/>
      <c r="BW360" s="6"/>
      <c r="BX360" s="6"/>
      <c r="BY360" s="6"/>
      <c r="BZ360" s="6"/>
      <c r="CA360" s="6"/>
      <c r="CB360" s="6"/>
      <c r="CC360" s="6"/>
      <c r="CD360" s="6"/>
      <c r="CE360" s="6"/>
      <c r="CF360" s="6"/>
    </row>
    <row r="361" spans="4:84">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c r="AZ361" s="6"/>
      <c r="BA361" s="6"/>
      <c r="BB361" s="6"/>
      <c r="BC361" s="6"/>
      <c r="BD361" s="6"/>
      <c r="BE361" s="6"/>
      <c r="BF361" s="6"/>
      <c r="BG361" s="6"/>
      <c r="BH361" s="6"/>
      <c r="BI361" s="6"/>
      <c r="BJ361" s="6"/>
      <c r="BK361" s="6"/>
      <c r="BL361" s="6"/>
      <c r="BM361" s="6"/>
      <c r="BN361" s="6"/>
      <c r="BO361" s="6"/>
      <c r="BP361" s="6"/>
      <c r="BQ361" s="6"/>
      <c r="BR361" s="6"/>
      <c r="BS361" s="6"/>
      <c r="BT361" s="6"/>
      <c r="BU361" s="6"/>
      <c r="BV361" s="6"/>
      <c r="BW361" s="6"/>
      <c r="BX361" s="6"/>
      <c r="BY361" s="6"/>
      <c r="BZ361" s="6"/>
      <c r="CA361" s="6"/>
      <c r="CB361" s="6"/>
      <c r="CC361" s="6"/>
      <c r="CD361" s="6"/>
      <c r="CE361" s="6"/>
      <c r="CF361" s="6"/>
    </row>
    <row r="362" spans="4:84">
      <c r="D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6"/>
      <c r="AX362" s="6"/>
      <c r="AY362" s="6"/>
      <c r="AZ362" s="6"/>
      <c r="BA362" s="6"/>
      <c r="BB362" s="6"/>
      <c r="BC362" s="6"/>
      <c r="BD362" s="6"/>
      <c r="BE362" s="6"/>
      <c r="BF362" s="6"/>
      <c r="BG362" s="6"/>
      <c r="BH362" s="6"/>
      <c r="BI362" s="6"/>
      <c r="BJ362" s="6"/>
      <c r="BK362" s="6"/>
      <c r="BL362" s="6"/>
      <c r="BM362" s="6"/>
      <c r="BN362" s="6"/>
      <c r="BO362" s="6"/>
      <c r="BP362" s="6"/>
      <c r="BQ362" s="6"/>
      <c r="BR362" s="6"/>
      <c r="BS362" s="6"/>
      <c r="BT362" s="6"/>
      <c r="BU362" s="6"/>
      <c r="BV362" s="6"/>
      <c r="BW362" s="6"/>
      <c r="BX362" s="6"/>
      <c r="BY362" s="6"/>
      <c r="BZ362" s="6"/>
      <c r="CA362" s="6"/>
      <c r="CB362" s="6"/>
      <c r="CC362" s="6"/>
      <c r="CD362" s="6"/>
      <c r="CE362" s="6"/>
      <c r="CF362" s="6"/>
    </row>
    <row r="363" spans="4:84">
      <c r="D363" s="6"/>
      <c r="E363" s="6"/>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c r="AU363" s="6"/>
      <c r="AV363" s="6"/>
      <c r="AW363" s="6"/>
      <c r="AX363" s="6"/>
      <c r="AY363" s="6"/>
      <c r="AZ363" s="6"/>
      <c r="BA363" s="6"/>
      <c r="BB363" s="6"/>
      <c r="BC363" s="6"/>
      <c r="BD363" s="6"/>
      <c r="BE363" s="6"/>
      <c r="BF363" s="6"/>
      <c r="BG363" s="6"/>
      <c r="BH363" s="6"/>
      <c r="BI363" s="6"/>
      <c r="BJ363" s="6"/>
      <c r="BK363" s="6"/>
      <c r="BL363" s="6"/>
      <c r="BM363" s="6"/>
      <c r="BN363" s="6"/>
      <c r="BO363" s="6"/>
      <c r="BP363" s="6"/>
      <c r="BQ363" s="6"/>
      <c r="BR363" s="6"/>
      <c r="BS363" s="6"/>
      <c r="BT363" s="6"/>
      <c r="BU363" s="6"/>
      <c r="BV363" s="6"/>
      <c r="BW363" s="6"/>
      <c r="BX363" s="6"/>
      <c r="BY363" s="6"/>
      <c r="BZ363" s="6"/>
      <c r="CA363" s="6"/>
      <c r="CB363" s="6"/>
      <c r="CC363" s="6"/>
      <c r="CD363" s="6"/>
      <c r="CE363" s="6"/>
      <c r="CF363" s="6"/>
    </row>
    <row r="364" spans="4:84">
      <c r="D364" s="6"/>
      <c r="E364" s="6"/>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c r="AU364" s="6"/>
      <c r="AV364" s="6"/>
      <c r="AW364" s="6"/>
      <c r="AX364" s="6"/>
      <c r="AY364" s="6"/>
      <c r="AZ364" s="6"/>
      <c r="BA364" s="6"/>
      <c r="BB364" s="6"/>
      <c r="BC364" s="6"/>
      <c r="BD364" s="6"/>
      <c r="BE364" s="6"/>
      <c r="BF364" s="6"/>
      <c r="BG364" s="6"/>
      <c r="BH364" s="6"/>
      <c r="BI364" s="6"/>
      <c r="BJ364" s="6"/>
      <c r="BK364" s="6"/>
      <c r="BL364" s="6"/>
      <c r="BM364" s="6"/>
      <c r="BN364" s="6"/>
      <c r="BO364" s="6"/>
      <c r="BP364" s="6"/>
      <c r="BQ364" s="6"/>
      <c r="BR364" s="6"/>
      <c r="BS364" s="6"/>
      <c r="BT364" s="6"/>
      <c r="BU364" s="6"/>
      <c r="BV364" s="6"/>
      <c r="BW364" s="6"/>
      <c r="BX364" s="6"/>
      <c r="BY364" s="6"/>
      <c r="BZ364" s="6"/>
      <c r="CA364" s="6"/>
      <c r="CB364" s="6"/>
      <c r="CC364" s="6"/>
      <c r="CD364" s="6"/>
      <c r="CE364" s="6"/>
      <c r="CF364" s="6"/>
    </row>
    <row r="365" spans="4:84">
      <c r="D365" s="6"/>
      <c r="E365" s="6"/>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c r="AU365" s="6"/>
      <c r="AV365" s="6"/>
      <c r="AW365" s="6"/>
      <c r="AX365" s="6"/>
      <c r="AY365" s="6"/>
      <c r="AZ365" s="6"/>
      <c r="BA365" s="6"/>
      <c r="BB365" s="6"/>
      <c r="BC365" s="6"/>
      <c r="BD365" s="6"/>
      <c r="BE365" s="6"/>
      <c r="BF365" s="6"/>
      <c r="BG365" s="6"/>
      <c r="BH365" s="6"/>
      <c r="BI365" s="6"/>
      <c r="BJ365" s="6"/>
      <c r="BK365" s="6"/>
      <c r="BL365" s="6"/>
      <c r="BM365" s="6"/>
      <c r="BN365" s="6"/>
      <c r="BO365" s="6"/>
      <c r="BP365" s="6"/>
      <c r="BQ365" s="6"/>
      <c r="BR365" s="6"/>
      <c r="BS365" s="6"/>
      <c r="BT365" s="6"/>
      <c r="BU365" s="6"/>
      <c r="BV365" s="6"/>
      <c r="BW365" s="6"/>
      <c r="BX365" s="6"/>
      <c r="BY365" s="6"/>
      <c r="BZ365" s="6"/>
      <c r="CA365" s="6"/>
      <c r="CB365" s="6"/>
      <c r="CC365" s="6"/>
      <c r="CD365" s="6"/>
      <c r="CE365" s="6"/>
      <c r="CF365" s="6"/>
    </row>
    <row r="366" spans="4:84">
      <c r="D366" s="6"/>
      <c r="E366" s="6"/>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c r="AU366" s="6"/>
      <c r="AV366" s="6"/>
      <c r="AW366" s="6"/>
      <c r="AX366" s="6"/>
      <c r="AY366" s="6"/>
      <c r="AZ366" s="6"/>
      <c r="BA366" s="6"/>
      <c r="BB366" s="6"/>
      <c r="BC366" s="6"/>
      <c r="BD366" s="6"/>
      <c r="BE366" s="6"/>
      <c r="BF366" s="6"/>
      <c r="BG366" s="6"/>
      <c r="BH366" s="6"/>
      <c r="BI366" s="6"/>
      <c r="BJ366" s="6"/>
      <c r="BK366" s="6"/>
      <c r="BL366" s="6"/>
      <c r="BM366" s="6"/>
      <c r="BN366" s="6"/>
      <c r="BO366" s="6"/>
      <c r="BP366" s="6"/>
      <c r="BQ366" s="6"/>
      <c r="BR366" s="6"/>
      <c r="BS366" s="6"/>
      <c r="BT366" s="6"/>
      <c r="BU366" s="6"/>
      <c r="BV366" s="6"/>
      <c r="BW366" s="6"/>
      <c r="BX366" s="6"/>
      <c r="BY366" s="6"/>
      <c r="BZ366" s="6"/>
      <c r="CA366" s="6"/>
      <c r="CB366" s="6"/>
      <c r="CC366" s="6"/>
      <c r="CD366" s="6"/>
      <c r="CE366" s="6"/>
      <c r="CF366" s="6"/>
    </row>
    <row r="367" spans="4:84">
      <c r="D367" s="6"/>
      <c r="E367" s="6"/>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c r="AU367" s="6"/>
      <c r="AV367" s="6"/>
      <c r="AW367" s="6"/>
      <c r="AX367" s="6"/>
      <c r="AY367" s="6"/>
      <c r="AZ367" s="6"/>
      <c r="BA367" s="6"/>
      <c r="BB367" s="6"/>
      <c r="BC367" s="6"/>
      <c r="BD367" s="6"/>
      <c r="BE367" s="6"/>
      <c r="BF367" s="6"/>
      <c r="BG367" s="6"/>
      <c r="BH367" s="6"/>
      <c r="BI367" s="6"/>
      <c r="BJ367" s="6"/>
      <c r="BK367" s="6"/>
      <c r="BL367" s="6"/>
      <c r="BM367" s="6"/>
      <c r="BN367" s="6"/>
      <c r="BO367" s="6"/>
      <c r="BP367" s="6"/>
      <c r="BQ367" s="6"/>
      <c r="BR367" s="6"/>
      <c r="BS367" s="6"/>
      <c r="BT367" s="6"/>
      <c r="BU367" s="6"/>
      <c r="BV367" s="6"/>
      <c r="BW367" s="6"/>
      <c r="BX367" s="6"/>
      <c r="BY367" s="6"/>
      <c r="BZ367" s="6"/>
      <c r="CA367" s="6"/>
      <c r="CB367" s="6"/>
      <c r="CC367" s="6"/>
      <c r="CD367" s="6"/>
      <c r="CE367" s="6"/>
      <c r="CF367" s="6"/>
    </row>
    <row r="368" spans="4:84">
      <c r="D368" s="6"/>
      <c r="E368" s="6"/>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c r="AU368" s="6"/>
      <c r="AV368" s="6"/>
      <c r="AW368" s="6"/>
      <c r="AX368" s="6"/>
      <c r="AY368" s="6"/>
      <c r="AZ368" s="6"/>
      <c r="BA368" s="6"/>
      <c r="BB368" s="6"/>
      <c r="BC368" s="6"/>
      <c r="BD368" s="6"/>
      <c r="BE368" s="6"/>
      <c r="BF368" s="6"/>
      <c r="BG368" s="6"/>
      <c r="BH368" s="6"/>
      <c r="BI368" s="6"/>
      <c r="BJ368" s="6"/>
      <c r="BK368" s="6"/>
      <c r="BL368" s="6"/>
      <c r="BM368" s="6"/>
      <c r="BN368" s="6"/>
      <c r="BO368" s="6"/>
      <c r="BP368" s="6"/>
      <c r="BQ368" s="6"/>
      <c r="BR368" s="6"/>
      <c r="BS368" s="6"/>
      <c r="BT368" s="6"/>
      <c r="BU368" s="6"/>
      <c r="BV368" s="6"/>
      <c r="BW368" s="6"/>
      <c r="BX368" s="6"/>
      <c r="BY368" s="6"/>
      <c r="BZ368" s="6"/>
      <c r="CA368" s="6"/>
      <c r="CB368" s="6"/>
      <c r="CC368" s="6"/>
      <c r="CD368" s="6"/>
      <c r="CE368" s="6"/>
      <c r="CF368" s="6"/>
    </row>
    <row r="369" spans="4:84">
      <c r="D369" s="6"/>
      <c r="E369" s="6"/>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c r="AU369" s="6"/>
      <c r="AV369" s="6"/>
      <c r="AW369" s="6"/>
      <c r="AX369" s="6"/>
      <c r="AY369" s="6"/>
      <c r="AZ369" s="6"/>
      <c r="BA369" s="6"/>
      <c r="BB369" s="6"/>
      <c r="BC369" s="6"/>
      <c r="BD369" s="6"/>
      <c r="BE369" s="6"/>
      <c r="BF369" s="6"/>
      <c r="BG369" s="6"/>
      <c r="BH369" s="6"/>
      <c r="BI369" s="6"/>
      <c r="BJ369" s="6"/>
      <c r="BK369" s="6"/>
      <c r="BL369" s="6"/>
      <c r="BM369" s="6"/>
      <c r="BN369" s="6"/>
      <c r="BO369" s="6"/>
      <c r="BP369" s="6"/>
      <c r="BQ369" s="6"/>
      <c r="BR369" s="6"/>
      <c r="BS369" s="6"/>
      <c r="BT369" s="6"/>
      <c r="BU369" s="6"/>
      <c r="BV369" s="6"/>
      <c r="BW369" s="6"/>
      <c r="BX369" s="6"/>
      <c r="BY369" s="6"/>
      <c r="BZ369" s="6"/>
      <c r="CA369" s="6"/>
      <c r="CB369" s="6"/>
      <c r="CC369" s="6"/>
      <c r="CD369" s="6"/>
      <c r="CE369" s="6"/>
      <c r="CF369" s="6"/>
    </row>
    <row r="370" spans="4:84">
      <c r="D370" s="6"/>
      <c r="E370" s="6"/>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c r="AU370" s="6"/>
      <c r="AV370" s="6"/>
      <c r="AW370" s="6"/>
      <c r="AX370" s="6"/>
      <c r="AY370" s="6"/>
      <c r="AZ370" s="6"/>
      <c r="BA370" s="6"/>
      <c r="BB370" s="6"/>
      <c r="BC370" s="6"/>
      <c r="BD370" s="6"/>
      <c r="BE370" s="6"/>
      <c r="BF370" s="6"/>
      <c r="BG370" s="6"/>
      <c r="BH370" s="6"/>
      <c r="BI370" s="6"/>
      <c r="BJ370" s="6"/>
      <c r="BK370" s="6"/>
      <c r="BL370" s="6"/>
      <c r="BM370" s="6"/>
      <c r="BN370" s="6"/>
      <c r="BO370" s="6"/>
      <c r="BP370" s="6"/>
      <c r="BQ370" s="6"/>
      <c r="BR370" s="6"/>
      <c r="BS370" s="6"/>
      <c r="BT370" s="6"/>
      <c r="BU370" s="6"/>
      <c r="BV370" s="6"/>
      <c r="BW370" s="6"/>
      <c r="BX370" s="6"/>
      <c r="BY370" s="6"/>
      <c r="BZ370" s="6"/>
      <c r="CA370" s="6"/>
      <c r="CB370" s="6"/>
      <c r="CC370" s="6"/>
      <c r="CD370" s="6"/>
      <c r="CE370" s="6"/>
      <c r="CF370" s="6"/>
    </row>
    <row r="371" spans="4:84">
      <c r="D371" s="6"/>
      <c r="E371" s="6"/>
      <c r="F371" s="6"/>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c r="AU371" s="6"/>
      <c r="AV371" s="6"/>
      <c r="AW371" s="6"/>
      <c r="AX371" s="6"/>
      <c r="AY371" s="6"/>
      <c r="AZ371" s="6"/>
      <c r="BA371" s="6"/>
      <c r="BB371" s="6"/>
      <c r="BC371" s="6"/>
      <c r="BD371" s="6"/>
      <c r="BE371" s="6"/>
      <c r="BF371" s="6"/>
      <c r="BG371" s="6"/>
      <c r="BH371" s="6"/>
      <c r="BI371" s="6"/>
      <c r="BJ371" s="6"/>
      <c r="BK371" s="6"/>
      <c r="BL371" s="6"/>
      <c r="BM371" s="6"/>
      <c r="BN371" s="6"/>
      <c r="BO371" s="6"/>
      <c r="BP371" s="6"/>
      <c r="BQ371" s="6"/>
      <c r="BR371" s="6"/>
      <c r="BS371" s="6"/>
      <c r="BT371" s="6"/>
      <c r="BU371" s="6"/>
      <c r="BV371" s="6"/>
      <c r="BW371" s="6"/>
      <c r="BX371" s="6"/>
      <c r="BY371" s="6"/>
      <c r="BZ371" s="6"/>
      <c r="CA371" s="6"/>
      <c r="CB371" s="6"/>
      <c r="CC371" s="6"/>
      <c r="CD371" s="6"/>
      <c r="CE371" s="6"/>
      <c r="CF371" s="6"/>
    </row>
    <row r="372" spans="4:84">
      <c r="D372" s="6"/>
      <c r="E372" s="6"/>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c r="AU372" s="6"/>
      <c r="AV372" s="6"/>
      <c r="AW372" s="6"/>
      <c r="AX372" s="6"/>
      <c r="AY372" s="6"/>
      <c r="AZ372" s="6"/>
      <c r="BA372" s="6"/>
      <c r="BB372" s="6"/>
      <c r="BC372" s="6"/>
      <c r="BD372" s="6"/>
      <c r="BE372" s="6"/>
      <c r="BF372" s="6"/>
      <c r="BG372" s="6"/>
      <c r="BH372" s="6"/>
      <c r="BI372" s="6"/>
      <c r="BJ372" s="6"/>
      <c r="BK372" s="6"/>
      <c r="BL372" s="6"/>
      <c r="BM372" s="6"/>
      <c r="BN372" s="6"/>
      <c r="BO372" s="6"/>
      <c r="BP372" s="6"/>
      <c r="BQ372" s="6"/>
      <c r="BR372" s="6"/>
      <c r="BS372" s="6"/>
      <c r="BT372" s="6"/>
      <c r="BU372" s="6"/>
      <c r="BV372" s="6"/>
      <c r="BW372" s="6"/>
      <c r="BX372" s="6"/>
      <c r="BY372" s="6"/>
      <c r="BZ372" s="6"/>
      <c r="CA372" s="6"/>
      <c r="CB372" s="6"/>
      <c r="CC372" s="6"/>
      <c r="CD372" s="6"/>
      <c r="CE372" s="6"/>
      <c r="CF372" s="6"/>
    </row>
    <row r="373" spans="4:84">
      <c r="D373" s="6"/>
      <c r="E373" s="6"/>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c r="AU373" s="6"/>
      <c r="AV373" s="6"/>
      <c r="AW373" s="6"/>
      <c r="AX373" s="6"/>
      <c r="AY373" s="6"/>
      <c r="AZ373" s="6"/>
      <c r="BA373" s="6"/>
      <c r="BB373" s="6"/>
      <c r="BC373" s="6"/>
      <c r="BD373" s="6"/>
      <c r="BE373" s="6"/>
      <c r="BF373" s="6"/>
      <c r="BG373" s="6"/>
      <c r="BH373" s="6"/>
      <c r="BI373" s="6"/>
      <c r="BJ373" s="6"/>
      <c r="BK373" s="6"/>
      <c r="BL373" s="6"/>
      <c r="BM373" s="6"/>
      <c r="BN373" s="6"/>
      <c r="BO373" s="6"/>
      <c r="BP373" s="6"/>
      <c r="BQ373" s="6"/>
      <c r="BR373" s="6"/>
      <c r="BS373" s="6"/>
      <c r="BT373" s="6"/>
      <c r="BU373" s="6"/>
      <c r="BV373" s="6"/>
      <c r="BW373" s="6"/>
      <c r="BX373" s="6"/>
      <c r="BY373" s="6"/>
      <c r="BZ373" s="6"/>
      <c r="CA373" s="6"/>
      <c r="CB373" s="6"/>
      <c r="CC373" s="6"/>
      <c r="CD373" s="6"/>
      <c r="CE373" s="6"/>
      <c r="CF373" s="6"/>
    </row>
    <row r="374" spans="4:84">
      <c r="D374" s="6"/>
      <c r="E374" s="6"/>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c r="AU374" s="6"/>
      <c r="AV374" s="6"/>
      <c r="AW374" s="6"/>
      <c r="AX374" s="6"/>
      <c r="AY374" s="6"/>
      <c r="AZ374" s="6"/>
      <c r="BA374" s="6"/>
      <c r="BB374" s="6"/>
      <c r="BC374" s="6"/>
      <c r="BD374" s="6"/>
      <c r="BE374" s="6"/>
      <c r="BF374" s="6"/>
      <c r="BG374" s="6"/>
      <c r="BH374" s="6"/>
      <c r="BI374" s="6"/>
      <c r="BJ374" s="6"/>
      <c r="BK374" s="6"/>
      <c r="BL374" s="6"/>
      <c r="BM374" s="6"/>
      <c r="BN374" s="6"/>
      <c r="BO374" s="6"/>
      <c r="BP374" s="6"/>
      <c r="BQ374" s="6"/>
      <c r="BR374" s="6"/>
      <c r="BS374" s="6"/>
      <c r="BT374" s="6"/>
      <c r="BU374" s="6"/>
      <c r="BV374" s="6"/>
      <c r="BW374" s="6"/>
      <c r="BX374" s="6"/>
      <c r="BY374" s="6"/>
      <c r="BZ374" s="6"/>
      <c r="CA374" s="6"/>
      <c r="CB374" s="6"/>
      <c r="CC374" s="6"/>
      <c r="CD374" s="6"/>
      <c r="CE374" s="6"/>
      <c r="CF374" s="6"/>
    </row>
    <row r="375" spans="4:84">
      <c r="D375" s="6"/>
      <c r="E375" s="6"/>
      <c r="F375" s="6"/>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c r="AU375" s="6"/>
      <c r="AV375" s="6"/>
      <c r="AW375" s="6"/>
      <c r="AX375" s="6"/>
      <c r="AY375" s="6"/>
      <c r="AZ375" s="6"/>
      <c r="BA375" s="6"/>
      <c r="BB375" s="6"/>
      <c r="BC375" s="6"/>
      <c r="BD375" s="6"/>
      <c r="BE375" s="6"/>
      <c r="BF375" s="6"/>
      <c r="BG375" s="6"/>
      <c r="BH375" s="6"/>
      <c r="BI375" s="6"/>
      <c r="BJ375" s="6"/>
      <c r="BK375" s="6"/>
      <c r="BL375" s="6"/>
      <c r="BM375" s="6"/>
      <c r="BN375" s="6"/>
      <c r="BO375" s="6"/>
      <c r="BP375" s="6"/>
      <c r="BQ375" s="6"/>
      <c r="BR375" s="6"/>
      <c r="BS375" s="6"/>
      <c r="BT375" s="6"/>
      <c r="BU375" s="6"/>
      <c r="BV375" s="6"/>
      <c r="BW375" s="6"/>
      <c r="BX375" s="6"/>
      <c r="BY375" s="6"/>
      <c r="BZ375" s="6"/>
      <c r="CA375" s="6"/>
      <c r="CB375" s="6"/>
      <c r="CC375" s="6"/>
      <c r="CD375" s="6"/>
      <c r="CE375" s="6"/>
      <c r="CF375" s="6"/>
    </row>
    <row r="376" spans="4:84">
      <c r="D376" s="6"/>
      <c r="E376" s="6"/>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c r="AU376" s="6"/>
      <c r="AV376" s="6"/>
      <c r="AW376" s="6"/>
      <c r="AX376" s="6"/>
      <c r="AY376" s="6"/>
      <c r="AZ376" s="6"/>
      <c r="BA376" s="6"/>
      <c r="BB376" s="6"/>
      <c r="BC376" s="6"/>
      <c r="BD376" s="6"/>
      <c r="BE376" s="6"/>
      <c r="BF376" s="6"/>
      <c r="BG376" s="6"/>
      <c r="BH376" s="6"/>
      <c r="BI376" s="6"/>
      <c r="BJ376" s="6"/>
      <c r="BK376" s="6"/>
      <c r="BL376" s="6"/>
      <c r="BM376" s="6"/>
      <c r="BN376" s="6"/>
      <c r="BO376" s="6"/>
      <c r="BP376" s="6"/>
      <c r="BQ376" s="6"/>
      <c r="BR376" s="6"/>
      <c r="BS376" s="6"/>
      <c r="BT376" s="6"/>
      <c r="BU376" s="6"/>
      <c r="BV376" s="6"/>
      <c r="BW376" s="6"/>
      <c r="BX376" s="6"/>
      <c r="BY376" s="6"/>
      <c r="BZ376" s="6"/>
      <c r="CA376" s="6"/>
      <c r="CB376" s="6"/>
      <c r="CC376" s="6"/>
      <c r="CD376" s="6"/>
      <c r="CE376" s="6"/>
      <c r="CF376" s="6"/>
    </row>
    <row r="377" spans="4:84">
      <c r="D377" s="6"/>
      <c r="E377" s="6"/>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c r="AU377" s="6"/>
      <c r="AV377" s="6"/>
      <c r="AW377" s="6"/>
      <c r="AX377" s="6"/>
      <c r="AY377" s="6"/>
      <c r="AZ377" s="6"/>
      <c r="BA377" s="6"/>
      <c r="BB377" s="6"/>
      <c r="BC377" s="6"/>
      <c r="BD377" s="6"/>
      <c r="BE377" s="6"/>
      <c r="BF377" s="6"/>
      <c r="BG377" s="6"/>
      <c r="BH377" s="6"/>
      <c r="BI377" s="6"/>
      <c r="BJ377" s="6"/>
      <c r="BK377" s="6"/>
      <c r="BL377" s="6"/>
      <c r="BM377" s="6"/>
      <c r="BN377" s="6"/>
      <c r="BO377" s="6"/>
      <c r="BP377" s="6"/>
      <c r="BQ377" s="6"/>
      <c r="BR377" s="6"/>
      <c r="BS377" s="6"/>
      <c r="BT377" s="6"/>
      <c r="BU377" s="6"/>
      <c r="BV377" s="6"/>
      <c r="BW377" s="6"/>
      <c r="BX377" s="6"/>
      <c r="BY377" s="6"/>
      <c r="BZ377" s="6"/>
      <c r="CA377" s="6"/>
      <c r="CB377" s="6"/>
      <c r="CC377" s="6"/>
      <c r="CD377" s="6"/>
      <c r="CE377" s="6"/>
      <c r="CF377" s="6"/>
    </row>
    <row r="378" spans="4:84">
      <c r="D378" s="6"/>
      <c r="E378" s="6"/>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c r="AU378" s="6"/>
      <c r="AV378" s="6"/>
      <c r="AW378" s="6"/>
      <c r="AX378" s="6"/>
      <c r="AY378" s="6"/>
      <c r="AZ378" s="6"/>
      <c r="BA378" s="6"/>
      <c r="BB378" s="6"/>
      <c r="BC378" s="6"/>
      <c r="BD378" s="6"/>
      <c r="BE378" s="6"/>
      <c r="BF378" s="6"/>
      <c r="BG378" s="6"/>
      <c r="BH378" s="6"/>
      <c r="BI378" s="6"/>
      <c r="BJ378" s="6"/>
      <c r="BK378" s="6"/>
      <c r="BL378" s="6"/>
      <c r="BM378" s="6"/>
      <c r="BN378" s="6"/>
      <c r="BO378" s="6"/>
      <c r="BP378" s="6"/>
      <c r="BQ378" s="6"/>
      <c r="BR378" s="6"/>
      <c r="BS378" s="6"/>
      <c r="BT378" s="6"/>
      <c r="BU378" s="6"/>
      <c r="BV378" s="6"/>
      <c r="BW378" s="6"/>
      <c r="BX378" s="6"/>
      <c r="BY378" s="6"/>
      <c r="BZ378" s="6"/>
      <c r="CA378" s="6"/>
      <c r="CB378" s="6"/>
      <c r="CC378" s="6"/>
      <c r="CD378" s="6"/>
      <c r="CE378" s="6"/>
      <c r="CF378" s="6"/>
    </row>
    <row r="379" spans="4:84">
      <c r="D379" s="6"/>
      <c r="E379" s="6"/>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c r="AU379" s="6"/>
      <c r="AV379" s="6"/>
      <c r="AW379" s="6"/>
      <c r="AX379" s="6"/>
      <c r="AY379" s="6"/>
      <c r="AZ379" s="6"/>
      <c r="BA379" s="6"/>
      <c r="BB379" s="6"/>
      <c r="BC379" s="6"/>
      <c r="BD379" s="6"/>
      <c r="BE379" s="6"/>
      <c r="BF379" s="6"/>
      <c r="BG379" s="6"/>
      <c r="BH379" s="6"/>
      <c r="BI379" s="6"/>
      <c r="BJ379" s="6"/>
      <c r="BK379" s="6"/>
      <c r="BL379" s="6"/>
      <c r="BM379" s="6"/>
      <c r="BN379" s="6"/>
      <c r="BO379" s="6"/>
      <c r="BP379" s="6"/>
      <c r="BQ379" s="6"/>
      <c r="BR379" s="6"/>
      <c r="BS379" s="6"/>
      <c r="BT379" s="6"/>
      <c r="BU379" s="6"/>
      <c r="BV379" s="6"/>
      <c r="BW379" s="6"/>
      <c r="BX379" s="6"/>
      <c r="BY379" s="6"/>
      <c r="BZ379" s="6"/>
      <c r="CA379" s="6"/>
      <c r="CB379" s="6"/>
      <c r="CC379" s="6"/>
      <c r="CD379" s="6"/>
      <c r="CE379" s="6"/>
      <c r="CF379" s="6"/>
    </row>
    <row r="380" spans="4:84">
      <c r="D380" s="6"/>
      <c r="E380" s="6"/>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c r="AU380" s="6"/>
      <c r="AV380" s="6"/>
      <c r="AW380" s="6"/>
      <c r="AX380" s="6"/>
      <c r="AY380" s="6"/>
      <c r="AZ380" s="6"/>
      <c r="BA380" s="6"/>
      <c r="BB380" s="6"/>
      <c r="BC380" s="6"/>
      <c r="BD380" s="6"/>
      <c r="BE380" s="6"/>
      <c r="BF380" s="6"/>
      <c r="BG380" s="6"/>
      <c r="BH380" s="6"/>
      <c r="BI380" s="6"/>
      <c r="BJ380" s="6"/>
      <c r="BK380" s="6"/>
      <c r="BL380" s="6"/>
      <c r="BM380" s="6"/>
      <c r="BN380" s="6"/>
      <c r="BO380" s="6"/>
      <c r="BP380" s="6"/>
      <c r="BQ380" s="6"/>
      <c r="BR380" s="6"/>
      <c r="BS380" s="6"/>
      <c r="BT380" s="6"/>
      <c r="BU380" s="6"/>
      <c r="BV380" s="6"/>
      <c r="BW380" s="6"/>
      <c r="BX380" s="6"/>
      <c r="BY380" s="6"/>
      <c r="BZ380" s="6"/>
      <c r="CA380" s="6"/>
      <c r="CB380" s="6"/>
      <c r="CC380" s="6"/>
      <c r="CD380" s="6"/>
      <c r="CE380" s="6"/>
      <c r="CF380" s="6"/>
    </row>
    <row r="381" spans="4:84">
      <c r="D381" s="6"/>
      <c r="E381" s="6"/>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c r="AU381" s="6"/>
      <c r="AV381" s="6"/>
      <c r="AW381" s="6"/>
      <c r="AX381" s="6"/>
      <c r="AY381" s="6"/>
      <c r="AZ381" s="6"/>
      <c r="BA381" s="6"/>
      <c r="BB381" s="6"/>
      <c r="BC381" s="6"/>
      <c r="BD381" s="6"/>
      <c r="BE381" s="6"/>
      <c r="BF381" s="6"/>
      <c r="BG381" s="6"/>
      <c r="BH381" s="6"/>
      <c r="BI381" s="6"/>
      <c r="BJ381" s="6"/>
      <c r="BK381" s="6"/>
      <c r="BL381" s="6"/>
      <c r="BM381" s="6"/>
      <c r="BN381" s="6"/>
      <c r="BO381" s="6"/>
      <c r="BP381" s="6"/>
      <c r="BQ381" s="6"/>
      <c r="BR381" s="6"/>
      <c r="BS381" s="6"/>
      <c r="BT381" s="6"/>
      <c r="BU381" s="6"/>
      <c r="BV381" s="6"/>
      <c r="BW381" s="6"/>
      <c r="BX381" s="6"/>
      <c r="BY381" s="6"/>
      <c r="BZ381" s="6"/>
      <c r="CA381" s="6"/>
      <c r="CB381" s="6"/>
      <c r="CC381" s="6"/>
      <c r="CD381" s="6"/>
      <c r="CE381" s="6"/>
      <c r="CF381" s="6"/>
    </row>
    <row r="382" spans="4:84">
      <c r="D382" s="6"/>
      <c r="E382" s="6"/>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c r="AU382" s="6"/>
      <c r="AV382" s="6"/>
      <c r="AW382" s="6"/>
      <c r="AX382" s="6"/>
      <c r="AY382" s="6"/>
      <c r="AZ382" s="6"/>
      <c r="BA382" s="6"/>
      <c r="BB382" s="6"/>
      <c r="BC382" s="6"/>
      <c r="BD382" s="6"/>
      <c r="BE382" s="6"/>
      <c r="BF382" s="6"/>
      <c r="BG382" s="6"/>
      <c r="BH382" s="6"/>
      <c r="BI382" s="6"/>
      <c r="BJ382" s="6"/>
      <c r="BK382" s="6"/>
      <c r="BL382" s="6"/>
      <c r="BM382" s="6"/>
      <c r="BN382" s="6"/>
      <c r="BO382" s="6"/>
      <c r="BP382" s="6"/>
      <c r="BQ382" s="6"/>
      <c r="BR382" s="6"/>
      <c r="BS382" s="6"/>
      <c r="BT382" s="6"/>
      <c r="BU382" s="6"/>
      <c r="BV382" s="6"/>
      <c r="BW382" s="6"/>
      <c r="BX382" s="6"/>
      <c r="BY382" s="6"/>
      <c r="BZ382" s="6"/>
      <c r="CA382" s="6"/>
      <c r="CB382" s="6"/>
      <c r="CC382" s="6"/>
      <c r="CD382" s="6"/>
      <c r="CE382" s="6"/>
      <c r="CF382" s="6"/>
    </row>
    <row r="383" spans="4:84">
      <c r="D383" s="6"/>
      <c r="E383" s="6"/>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c r="AU383" s="6"/>
      <c r="AV383" s="6"/>
      <c r="AW383" s="6"/>
      <c r="AX383" s="6"/>
      <c r="AY383" s="6"/>
      <c r="AZ383" s="6"/>
      <c r="BA383" s="6"/>
      <c r="BB383" s="6"/>
      <c r="BC383" s="6"/>
      <c r="BD383" s="6"/>
      <c r="BE383" s="6"/>
      <c r="BF383" s="6"/>
      <c r="BG383" s="6"/>
      <c r="BH383" s="6"/>
      <c r="BI383" s="6"/>
      <c r="BJ383" s="6"/>
      <c r="BK383" s="6"/>
      <c r="BL383" s="6"/>
      <c r="BM383" s="6"/>
      <c r="BN383" s="6"/>
      <c r="BO383" s="6"/>
      <c r="BP383" s="6"/>
      <c r="BQ383" s="6"/>
      <c r="BR383" s="6"/>
      <c r="BS383" s="6"/>
      <c r="BT383" s="6"/>
      <c r="BU383" s="6"/>
      <c r="BV383" s="6"/>
      <c r="BW383" s="6"/>
      <c r="BX383" s="6"/>
      <c r="BY383" s="6"/>
      <c r="BZ383" s="6"/>
      <c r="CA383" s="6"/>
      <c r="CB383" s="6"/>
      <c r="CC383" s="6"/>
      <c r="CD383" s="6"/>
      <c r="CE383" s="6"/>
      <c r="CF383" s="6"/>
    </row>
    <row r="384" spans="4:84">
      <c r="D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6"/>
      <c r="AX384" s="6"/>
      <c r="AY384" s="6"/>
      <c r="AZ384" s="6"/>
      <c r="BA384" s="6"/>
      <c r="BB384" s="6"/>
      <c r="BC384" s="6"/>
      <c r="BD384" s="6"/>
      <c r="BE384" s="6"/>
      <c r="BF384" s="6"/>
      <c r="BG384" s="6"/>
      <c r="BH384" s="6"/>
      <c r="BI384" s="6"/>
      <c r="BJ384" s="6"/>
      <c r="BK384" s="6"/>
      <c r="BL384" s="6"/>
      <c r="BM384" s="6"/>
      <c r="BN384" s="6"/>
      <c r="BO384" s="6"/>
      <c r="BP384" s="6"/>
      <c r="BQ384" s="6"/>
      <c r="BR384" s="6"/>
      <c r="BS384" s="6"/>
      <c r="BT384" s="6"/>
      <c r="BU384" s="6"/>
      <c r="BV384" s="6"/>
      <c r="BW384" s="6"/>
      <c r="BX384" s="6"/>
      <c r="BY384" s="6"/>
      <c r="BZ384" s="6"/>
      <c r="CA384" s="6"/>
      <c r="CB384" s="6"/>
      <c r="CC384" s="6"/>
      <c r="CD384" s="6"/>
      <c r="CE384" s="6"/>
      <c r="CF384" s="6"/>
    </row>
    <row r="385" spans="4:84">
      <c r="D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6"/>
      <c r="AX385" s="6"/>
      <c r="AY385" s="6"/>
      <c r="AZ385" s="6"/>
      <c r="BA385" s="6"/>
      <c r="BB385" s="6"/>
      <c r="BC385" s="6"/>
      <c r="BD385" s="6"/>
      <c r="BE385" s="6"/>
      <c r="BF385" s="6"/>
      <c r="BG385" s="6"/>
      <c r="BH385" s="6"/>
      <c r="BI385" s="6"/>
      <c r="BJ385" s="6"/>
      <c r="BK385" s="6"/>
      <c r="BL385" s="6"/>
      <c r="BM385" s="6"/>
      <c r="BN385" s="6"/>
      <c r="BO385" s="6"/>
      <c r="BP385" s="6"/>
      <c r="BQ385" s="6"/>
      <c r="BR385" s="6"/>
      <c r="BS385" s="6"/>
      <c r="BT385" s="6"/>
      <c r="BU385" s="6"/>
      <c r="BV385" s="6"/>
      <c r="BW385" s="6"/>
      <c r="BX385" s="6"/>
      <c r="BY385" s="6"/>
      <c r="BZ385" s="6"/>
      <c r="CA385" s="6"/>
      <c r="CB385" s="6"/>
      <c r="CC385" s="6"/>
      <c r="CD385" s="6"/>
      <c r="CE385" s="6"/>
      <c r="CF385" s="6"/>
    </row>
    <row r="386" spans="4:84">
      <c r="D386" s="6"/>
      <c r="E386" s="6"/>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c r="AU386" s="6"/>
      <c r="AV386" s="6"/>
      <c r="AW386" s="6"/>
      <c r="AX386" s="6"/>
      <c r="AY386" s="6"/>
      <c r="AZ386" s="6"/>
      <c r="BA386" s="6"/>
      <c r="BB386" s="6"/>
      <c r="BC386" s="6"/>
      <c r="BD386" s="6"/>
      <c r="BE386" s="6"/>
      <c r="BF386" s="6"/>
      <c r="BG386" s="6"/>
      <c r="BH386" s="6"/>
      <c r="BI386" s="6"/>
      <c r="BJ386" s="6"/>
      <c r="BK386" s="6"/>
      <c r="BL386" s="6"/>
      <c r="BM386" s="6"/>
      <c r="BN386" s="6"/>
      <c r="BO386" s="6"/>
      <c r="BP386" s="6"/>
      <c r="BQ386" s="6"/>
      <c r="BR386" s="6"/>
      <c r="BS386" s="6"/>
      <c r="BT386" s="6"/>
      <c r="BU386" s="6"/>
      <c r="BV386" s="6"/>
      <c r="BW386" s="6"/>
      <c r="BX386" s="6"/>
      <c r="BY386" s="6"/>
      <c r="BZ386" s="6"/>
      <c r="CA386" s="6"/>
      <c r="CB386" s="6"/>
      <c r="CC386" s="6"/>
      <c r="CD386" s="6"/>
      <c r="CE386" s="6"/>
      <c r="CF386" s="6"/>
    </row>
    <row r="387" spans="4:84">
      <c r="D387" s="6"/>
      <c r="E387" s="6"/>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c r="AU387" s="6"/>
      <c r="AV387" s="6"/>
      <c r="AW387" s="6"/>
      <c r="AX387" s="6"/>
      <c r="AY387" s="6"/>
      <c r="AZ387" s="6"/>
      <c r="BA387" s="6"/>
      <c r="BB387" s="6"/>
      <c r="BC387" s="6"/>
      <c r="BD387" s="6"/>
      <c r="BE387" s="6"/>
      <c r="BF387" s="6"/>
      <c r="BG387" s="6"/>
      <c r="BH387" s="6"/>
      <c r="BI387" s="6"/>
      <c r="BJ387" s="6"/>
      <c r="BK387" s="6"/>
      <c r="BL387" s="6"/>
      <c r="BM387" s="6"/>
      <c r="BN387" s="6"/>
      <c r="BO387" s="6"/>
      <c r="BP387" s="6"/>
      <c r="BQ387" s="6"/>
      <c r="BR387" s="6"/>
      <c r="BS387" s="6"/>
      <c r="BT387" s="6"/>
      <c r="BU387" s="6"/>
      <c r="BV387" s="6"/>
      <c r="BW387" s="6"/>
      <c r="BX387" s="6"/>
      <c r="BY387" s="6"/>
      <c r="BZ387" s="6"/>
      <c r="CA387" s="6"/>
      <c r="CB387" s="6"/>
      <c r="CC387" s="6"/>
      <c r="CD387" s="6"/>
      <c r="CE387" s="6"/>
      <c r="CF387" s="6"/>
    </row>
    <row r="388" spans="4:84">
      <c r="D388" s="6"/>
      <c r="E388" s="6"/>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c r="AU388" s="6"/>
      <c r="AV388" s="6"/>
      <c r="AW388" s="6"/>
      <c r="AX388" s="6"/>
      <c r="AY388" s="6"/>
      <c r="AZ388" s="6"/>
      <c r="BA388" s="6"/>
      <c r="BB388" s="6"/>
      <c r="BC388" s="6"/>
      <c r="BD388" s="6"/>
      <c r="BE388" s="6"/>
      <c r="BF388" s="6"/>
      <c r="BG388" s="6"/>
      <c r="BH388" s="6"/>
      <c r="BI388" s="6"/>
      <c r="BJ388" s="6"/>
      <c r="BK388" s="6"/>
      <c r="BL388" s="6"/>
      <c r="BM388" s="6"/>
      <c r="BN388" s="6"/>
      <c r="BO388" s="6"/>
      <c r="BP388" s="6"/>
      <c r="BQ388" s="6"/>
      <c r="BR388" s="6"/>
      <c r="BS388" s="6"/>
      <c r="BT388" s="6"/>
      <c r="BU388" s="6"/>
      <c r="BV388" s="6"/>
      <c r="BW388" s="6"/>
      <c r="BX388" s="6"/>
      <c r="BY388" s="6"/>
      <c r="BZ388" s="6"/>
      <c r="CA388" s="6"/>
      <c r="CB388" s="6"/>
      <c r="CC388" s="6"/>
      <c r="CD388" s="6"/>
      <c r="CE388" s="6"/>
      <c r="CF388" s="6"/>
    </row>
    <row r="389" spans="4:84">
      <c r="D389" s="6"/>
      <c r="E389" s="6"/>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c r="AU389" s="6"/>
      <c r="AV389" s="6"/>
      <c r="AW389" s="6"/>
      <c r="AX389" s="6"/>
      <c r="AY389" s="6"/>
      <c r="AZ389" s="6"/>
      <c r="BA389" s="6"/>
      <c r="BB389" s="6"/>
      <c r="BC389" s="6"/>
      <c r="BD389" s="6"/>
      <c r="BE389" s="6"/>
      <c r="BF389" s="6"/>
      <c r="BG389" s="6"/>
      <c r="BH389" s="6"/>
      <c r="BI389" s="6"/>
      <c r="BJ389" s="6"/>
      <c r="BK389" s="6"/>
      <c r="BL389" s="6"/>
      <c r="BM389" s="6"/>
      <c r="BN389" s="6"/>
      <c r="BO389" s="6"/>
      <c r="BP389" s="6"/>
      <c r="BQ389" s="6"/>
      <c r="BR389" s="6"/>
      <c r="BS389" s="6"/>
      <c r="BT389" s="6"/>
      <c r="BU389" s="6"/>
      <c r="BV389" s="6"/>
      <c r="BW389" s="6"/>
      <c r="BX389" s="6"/>
      <c r="BY389" s="6"/>
      <c r="BZ389" s="6"/>
      <c r="CA389" s="6"/>
      <c r="CB389" s="6"/>
      <c r="CC389" s="6"/>
      <c r="CD389" s="6"/>
      <c r="CE389" s="6"/>
      <c r="CF389" s="6"/>
    </row>
    <row r="390" spans="4:84">
      <c r="D390" s="6"/>
      <c r="E390" s="6"/>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c r="AU390" s="6"/>
      <c r="AV390" s="6"/>
      <c r="AW390" s="6"/>
      <c r="AX390" s="6"/>
      <c r="AY390" s="6"/>
      <c r="AZ390" s="6"/>
      <c r="BA390" s="6"/>
      <c r="BB390" s="6"/>
      <c r="BC390" s="6"/>
      <c r="BD390" s="6"/>
      <c r="BE390" s="6"/>
      <c r="BF390" s="6"/>
      <c r="BG390" s="6"/>
      <c r="BH390" s="6"/>
      <c r="BI390" s="6"/>
      <c r="BJ390" s="6"/>
      <c r="BK390" s="6"/>
      <c r="BL390" s="6"/>
      <c r="BM390" s="6"/>
      <c r="BN390" s="6"/>
      <c r="BO390" s="6"/>
      <c r="BP390" s="6"/>
      <c r="BQ390" s="6"/>
      <c r="BR390" s="6"/>
      <c r="BS390" s="6"/>
      <c r="BT390" s="6"/>
      <c r="BU390" s="6"/>
      <c r="BV390" s="6"/>
      <c r="BW390" s="6"/>
      <c r="BX390" s="6"/>
      <c r="BY390" s="6"/>
      <c r="BZ390" s="6"/>
      <c r="CA390" s="6"/>
      <c r="CB390" s="6"/>
      <c r="CC390" s="6"/>
      <c r="CD390" s="6"/>
      <c r="CE390" s="6"/>
      <c r="CF390" s="6"/>
    </row>
    <row r="391" spans="4:84">
      <c r="D391" s="6"/>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6"/>
      <c r="AX391" s="6"/>
      <c r="AY391" s="6"/>
      <c r="AZ391" s="6"/>
      <c r="BA391" s="6"/>
      <c r="BB391" s="6"/>
      <c r="BC391" s="6"/>
      <c r="BD391" s="6"/>
      <c r="BE391" s="6"/>
      <c r="BF391" s="6"/>
      <c r="BG391" s="6"/>
      <c r="BH391" s="6"/>
      <c r="BI391" s="6"/>
      <c r="BJ391" s="6"/>
      <c r="BK391" s="6"/>
      <c r="BL391" s="6"/>
      <c r="BM391" s="6"/>
      <c r="BN391" s="6"/>
      <c r="BO391" s="6"/>
      <c r="BP391" s="6"/>
      <c r="BQ391" s="6"/>
      <c r="BR391" s="6"/>
      <c r="BS391" s="6"/>
      <c r="BT391" s="6"/>
      <c r="BU391" s="6"/>
      <c r="BV391" s="6"/>
      <c r="BW391" s="6"/>
      <c r="BX391" s="6"/>
      <c r="BY391" s="6"/>
      <c r="BZ391" s="6"/>
      <c r="CA391" s="6"/>
      <c r="CB391" s="6"/>
      <c r="CC391" s="6"/>
      <c r="CD391" s="6"/>
      <c r="CE391" s="6"/>
      <c r="CF391" s="6"/>
    </row>
    <row r="392" spans="4:84">
      <c r="D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6"/>
      <c r="AX392" s="6"/>
      <c r="AY392" s="6"/>
      <c r="AZ392" s="6"/>
      <c r="BA392" s="6"/>
      <c r="BB392" s="6"/>
      <c r="BC392" s="6"/>
      <c r="BD392" s="6"/>
      <c r="BE392" s="6"/>
      <c r="BF392" s="6"/>
      <c r="BG392" s="6"/>
      <c r="BH392" s="6"/>
      <c r="BI392" s="6"/>
      <c r="BJ392" s="6"/>
      <c r="BK392" s="6"/>
      <c r="BL392" s="6"/>
      <c r="BM392" s="6"/>
      <c r="BN392" s="6"/>
      <c r="BO392" s="6"/>
      <c r="BP392" s="6"/>
      <c r="BQ392" s="6"/>
      <c r="BR392" s="6"/>
      <c r="BS392" s="6"/>
      <c r="BT392" s="6"/>
      <c r="BU392" s="6"/>
      <c r="BV392" s="6"/>
      <c r="BW392" s="6"/>
      <c r="BX392" s="6"/>
      <c r="BY392" s="6"/>
      <c r="BZ392" s="6"/>
      <c r="CA392" s="6"/>
      <c r="CB392" s="6"/>
      <c r="CC392" s="6"/>
      <c r="CD392" s="6"/>
      <c r="CE392" s="6"/>
      <c r="CF392" s="6"/>
    </row>
    <row r="393" spans="4:84">
      <c r="D393" s="6"/>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6"/>
      <c r="AX393" s="6"/>
      <c r="AY393" s="6"/>
      <c r="AZ393" s="6"/>
      <c r="BA393" s="6"/>
      <c r="BB393" s="6"/>
      <c r="BC393" s="6"/>
      <c r="BD393" s="6"/>
      <c r="BE393" s="6"/>
      <c r="BF393" s="6"/>
      <c r="BG393" s="6"/>
      <c r="BH393" s="6"/>
      <c r="BI393" s="6"/>
      <c r="BJ393" s="6"/>
      <c r="BK393" s="6"/>
      <c r="BL393" s="6"/>
      <c r="BM393" s="6"/>
      <c r="BN393" s="6"/>
      <c r="BO393" s="6"/>
      <c r="BP393" s="6"/>
      <c r="BQ393" s="6"/>
      <c r="BR393" s="6"/>
      <c r="BS393" s="6"/>
      <c r="BT393" s="6"/>
      <c r="BU393" s="6"/>
      <c r="BV393" s="6"/>
      <c r="BW393" s="6"/>
      <c r="BX393" s="6"/>
      <c r="BY393" s="6"/>
      <c r="BZ393" s="6"/>
      <c r="CA393" s="6"/>
      <c r="CB393" s="6"/>
      <c r="CC393" s="6"/>
      <c r="CD393" s="6"/>
      <c r="CE393" s="6"/>
      <c r="CF393" s="6"/>
    </row>
    <row r="394" spans="4:84">
      <c r="D394" s="6"/>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6"/>
      <c r="AX394" s="6"/>
      <c r="AY394" s="6"/>
      <c r="AZ394" s="6"/>
      <c r="BA394" s="6"/>
      <c r="BB394" s="6"/>
      <c r="BC394" s="6"/>
      <c r="BD394" s="6"/>
      <c r="BE394" s="6"/>
      <c r="BF394" s="6"/>
      <c r="BG394" s="6"/>
      <c r="BH394" s="6"/>
      <c r="BI394" s="6"/>
      <c r="BJ394" s="6"/>
      <c r="BK394" s="6"/>
      <c r="BL394" s="6"/>
      <c r="BM394" s="6"/>
      <c r="BN394" s="6"/>
      <c r="BO394" s="6"/>
      <c r="BP394" s="6"/>
      <c r="BQ394" s="6"/>
      <c r="BR394" s="6"/>
      <c r="BS394" s="6"/>
      <c r="BT394" s="6"/>
      <c r="BU394" s="6"/>
      <c r="BV394" s="6"/>
      <c r="BW394" s="6"/>
      <c r="BX394" s="6"/>
      <c r="BY394" s="6"/>
      <c r="BZ394" s="6"/>
      <c r="CA394" s="6"/>
      <c r="CB394" s="6"/>
      <c r="CC394" s="6"/>
      <c r="CD394" s="6"/>
      <c r="CE394" s="6"/>
      <c r="CF394" s="6"/>
    </row>
    <row r="395" spans="4:84">
      <c r="D395" s="6"/>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c r="AZ395" s="6"/>
      <c r="BA395" s="6"/>
      <c r="BB395" s="6"/>
      <c r="BC395" s="6"/>
      <c r="BD395" s="6"/>
      <c r="BE395" s="6"/>
      <c r="BF395" s="6"/>
      <c r="BG395" s="6"/>
      <c r="BH395" s="6"/>
      <c r="BI395" s="6"/>
      <c r="BJ395" s="6"/>
      <c r="BK395" s="6"/>
      <c r="BL395" s="6"/>
      <c r="BM395" s="6"/>
      <c r="BN395" s="6"/>
      <c r="BO395" s="6"/>
      <c r="BP395" s="6"/>
      <c r="BQ395" s="6"/>
      <c r="BR395" s="6"/>
      <c r="BS395" s="6"/>
      <c r="BT395" s="6"/>
      <c r="BU395" s="6"/>
      <c r="BV395" s="6"/>
      <c r="BW395" s="6"/>
      <c r="BX395" s="6"/>
      <c r="BY395" s="6"/>
      <c r="BZ395" s="6"/>
      <c r="CA395" s="6"/>
      <c r="CB395" s="6"/>
      <c r="CC395" s="6"/>
      <c r="CD395" s="6"/>
      <c r="CE395" s="6"/>
      <c r="CF395" s="6"/>
    </row>
    <row r="396" spans="4:84">
      <c r="D396" s="6"/>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c r="AU396" s="6"/>
      <c r="AV396" s="6"/>
      <c r="AW396" s="6"/>
      <c r="AX396" s="6"/>
      <c r="AY396" s="6"/>
      <c r="AZ396" s="6"/>
      <c r="BA396" s="6"/>
      <c r="BB396" s="6"/>
      <c r="BC396" s="6"/>
      <c r="BD396" s="6"/>
      <c r="BE396" s="6"/>
      <c r="BF396" s="6"/>
      <c r="BG396" s="6"/>
      <c r="BH396" s="6"/>
      <c r="BI396" s="6"/>
      <c r="BJ396" s="6"/>
      <c r="BK396" s="6"/>
      <c r="BL396" s="6"/>
      <c r="BM396" s="6"/>
      <c r="BN396" s="6"/>
      <c r="BO396" s="6"/>
      <c r="BP396" s="6"/>
      <c r="BQ396" s="6"/>
      <c r="BR396" s="6"/>
      <c r="BS396" s="6"/>
      <c r="BT396" s="6"/>
      <c r="BU396" s="6"/>
      <c r="BV396" s="6"/>
      <c r="BW396" s="6"/>
      <c r="BX396" s="6"/>
      <c r="BY396" s="6"/>
      <c r="BZ396" s="6"/>
      <c r="CA396" s="6"/>
      <c r="CB396" s="6"/>
      <c r="CC396" s="6"/>
      <c r="CD396" s="6"/>
      <c r="CE396" s="6"/>
      <c r="CF396" s="6"/>
    </row>
    <row r="397" spans="4:84">
      <c r="D397" s="6"/>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6"/>
      <c r="AX397" s="6"/>
      <c r="AY397" s="6"/>
      <c r="AZ397" s="6"/>
      <c r="BA397" s="6"/>
      <c r="BB397" s="6"/>
      <c r="BC397" s="6"/>
      <c r="BD397" s="6"/>
      <c r="BE397" s="6"/>
      <c r="BF397" s="6"/>
      <c r="BG397" s="6"/>
      <c r="BH397" s="6"/>
      <c r="BI397" s="6"/>
      <c r="BJ397" s="6"/>
      <c r="BK397" s="6"/>
      <c r="BL397" s="6"/>
      <c r="BM397" s="6"/>
      <c r="BN397" s="6"/>
      <c r="BO397" s="6"/>
      <c r="BP397" s="6"/>
      <c r="BQ397" s="6"/>
      <c r="BR397" s="6"/>
      <c r="BS397" s="6"/>
      <c r="BT397" s="6"/>
      <c r="BU397" s="6"/>
      <c r="BV397" s="6"/>
      <c r="BW397" s="6"/>
      <c r="BX397" s="6"/>
      <c r="BY397" s="6"/>
      <c r="BZ397" s="6"/>
      <c r="CA397" s="6"/>
      <c r="CB397" s="6"/>
      <c r="CC397" s="6"/>
      <c r="CD397" s="6"/>
      <c r="CE397" s="6"/>
      <c r="CF397" s="6"/>
    </row>
    <row r="398" spans="4:84">
      <c r="D398" s="6"/>
      <c r="E398" s="6"/>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c r="AU398" s="6"/>
      <c r="AV398" s="6"/>
      <c r="AW398" s="6"/>
      <c r="AX398" s="6"/>
      <c r="AY398" s="6"/>
      <c r="AZ398" s="6"/>
      <c r="BA398" s="6"/>
      <c r="BB398" s="6"/>
      <c r="BC398" s="6"/>
      <c r="BD398" s="6"/>
      <c r="BE398" s="6"/>
      <c r="BF398" s="6"/>
      <c r="BG398" s="6"/>
      <c r="BH398" s="6"/>
      <c r="BI398" s="6"/>
      <c r="BJ398" s="6"/>
      <c r="BK398" s="6"/>
      <c r="BL398" s="6"/>
      <c r="BM398" s="6"/>
      <c r="BN398" s="6"/>
      <c r="BO398" s="6"/>
      <c r="BP398" s="6"/>
      <c r="BQ398" s="6"/>
      <c r="BR398" s="6"/>
      <c r="BS398" s="6"/>
      <c r="BT398" s="6"/>
      <c r="BU398" s="6"/>
      <c r="BV398" s="6"/>
      <c r="BW398" s="6"/>
      <c r="BX398" s="6"/>
      <c r="BY398" s="6"/>
      <c r="BZ398" s="6"/>
      <c r="CA398" s="6"/>
      <c r="CB398" s="6"/>
      <c r="CC398" s="6"/>
      <c r="CD398" s="6"/>
      <c r="CE398" s="6"/>
      <c r="CF398" s="6"/>
    </row>
  </sheetData>
  <pageMargins left="0.75" right="0.75" top="1" bottom="1" header="0.5" footer="0.5"/>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92D050"/>
    <pageSetUpPr autoPageBreaks="0"/>
  </sheetPr>
  <dimension ref="A1:IV398"/>
  <sheetViews>
    <sheetView topLeftCell="A233" zoomScaleNormal="100" workbookViewId="0">
      <selection activeCell="F246" sqref="F246"/>
    </sheetView>
  </sheetViews>
  <sheetFormatPr defaultRowHeight="12.75"/>
  <cols>
    <col min="1" max="1" width="29" style="4" bestFit="1" customWidth="1"/>
    <col min="2" max="2" width="14.42578125" style="4" bestFit="1" customWidth="1"/>
    <col min="3" max="4" width="17.85546875" style="4" bestFit="1" customWidth="1"/>
    <col min="5" max="5" width="12.5703125" style="4" bestFit="1" customWidth="1"/>
    <col min="6" max="6" width="10.140625" style="4" bestFit="1" customWidth="1"/>
    <col min="7" max="7" width="16.7109375" style="4" customWidth="1"/>
    <col min="8" max="8" width="12" style="4" bestFit="1" customWidth="1"/>
    <col min="9" max="9" width="11" style="4" bestFit="1" customWidth="1"/>
    <col min="10" max="10" width="11.7109375" style="4" bestFit="1" customWidth="1"/>
    <col min="11" max="11" width="12" style="4" bestFit="1" customWidth="1"/>
    <col min="12" max="12" width="14.7109375" style="4" bestFit="1" customWidth="1"/>
    <col min="13" max="13" width="16.5703125" style="4" bestFit="1" customWidth="1"/>
    <col min="14" max="14" width="12" style="4" bestFit="1" customWidth="1"/>
    <col min="15" max="15" width="25.140625" style="4" bestFit="1" customWidth="1"/>
    <col min="16" max="16" width="21.85546875" style="4" bestFit="1" customWidth="1"/>
    <col min="17" max="17" width="15.28515625" style="4" bestFit="1" customWidth="1"/>
    <col min="18" max="27" width="10.140625" style="4" bestFit="1" customWidth="1"/>
    <col min="28" max="28" width="18.7109375" style="4" customWidth="1"/>
    <col min="29" max="80" width="10.140625" style="4" bestFit="1" customWidth="1"/>
    <col min="81" max="82" width="17.85546875" style="4" bestFit="1" customWidth="1"/>
    <col min="83" max="83" width="17.85546875" style="4" customWidth="1"/>
    <col min="84" max="84" width="24.140625" style="4" customWidth="1"/>
    <col min="85" max="85" width="24.7109375" style="4" customWidth="1"/>
    <col min="86" max="102" width="15.7109375" style="4" bestFit="1" customWidth="1"/>
    <col min="103" max="103" width="20.85546875" style="4" customWidth="1"/>
    <col min="104" max="104" width="13.85546875" style="4" customWidth="1"/>
    <col min="105" max="142" width="9.140625" style="4"/>
    <col min="143" max="143" width="13.28515625" style="4" customWidth="1"/>
    <col min="144" max="16384" width="9.140625" style="4"/>
  </cols>
  <sheetData>
    <row r="1" spans="1:152">
      <c r="C1" s="156"/>
      <c r="D1" s="4" t="s">
        <v>109</v>
      </c>
      <c r="E1" s="4" t="s">
        <v>108</v>
      </c>
      <c r="F1" s="1" t="s">
        <v>3</v>
      </c>
      <c r="G1" s="4" t="s">
        <v>107</v>
      </c>
      <c r="H1" s="1" t="s">
        <v>0</v>
      </c>
      <c r="I1" s="1" t="s">
        <v>1</v>
      </c>
      <c r="J1" s="1" t="s">
        <v>2</v>
      </c>
      <c r="K1" s="2" t="s">
        <v>4</v>
      </c>
      <c r="L1" s="2" t="s">
        <v>6</v>
      </c>
      <c r="M1" s="2" t="s">
        <v>7</v>
      </c>
      <c r="N1" s="2" t="s">
        <v>5</v>
      </c>
      <c r="O1" s="2" t="s">
        <v>9</v>
      </c>
      <c r="P1" s="2" t="s">
        <v>10</v>
      </c>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3"/>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row>
    <row r="2" spans="1:152">
      <c r="A2" s="14" t="s">
        <v>20</v>
      </c>
      <c r="B2" s="14"/>
      <c r="C2" s="1"/>
      <c r="D2" t="str">
        <f>'Bond Data'!B87</f>
        <v>CTCAD3M GOVT</v>
      </c>
      <c r="E2" s="192"/>
      <c r="F2" s="192" t="str">
        <f>'Bond Data'!D87</f>
        <v>10/3/2019</v>
      </c>
      <c r="G2"/>
      <c r="H2">
        <f>'Bond Data'!F87</f>
        <v>99.580500000000001</v>
      </c>
      <c r="I2">
        <f>'Bond Data'!G87</f>
        <v>0</v>
      </c>
      <c r="J2">
        <f>'Bond Data'!H87/100</f>
        <v>0</v>
      </c>
      <c r="K2">
        <f>'Bond Data'!I87</f>
        <v>99.580500000000001</v>
      </c>
      <c r="L2" s="4">
        <f t="shared" ref="L2:L4" si="0">YIELD($B$3,F2,J2,H2,100,1,0)</f>
        <v>1.6665516236215115E-2</v>
      </c>
      <c r="M2" s="4">
        <f t="shared" ref="M2:M4" si="1">MDURATION($B$3,F2,J2,L2,1,0)</f>
        <v>0.2486341611286112</v>
      </c>
      <c r="N2" s="4">
        <f t="shared" ref="N2:N4" si="2">DURATION($B$3,F2,J2,L2,1,0)</f>
        <v>0.25277777777777777</v>
      </c>
      <c r="O2" s="4">
        <f>1/M2</f>
        <v>4.0219734708245873</v>
      </c>
      <c r="P2" s="4">
        <f t="shared" ref="P2:P15" si="3">O2/$O$28</f>
        <v>0.42929731590717207</v>
      </c>
      <c r="BO2" s="3"/>
    </row>
    <row r="3" spans="1:152">
      <c r="A3" s="14" t="s">
        <v>21</v>
      </c>
      <c r="B3" s="229">
        <f>'Instructions &amp; Dashboard'!$D45</f>
        <v>43648</v>
      </c>
      <c r="C3" s="1"/>
      <c r="D3" t="str">
        <f>'Bond Data'!B88</f>
        <v>CTCAD6M GOVT</v>
      </c>
      <c r="E3" s="192"/>
      <c r="F3" s="192" t="str">
        <f>'Bond Data'!D88</f>
        <v>12/27/2019</v>
      </c>
      <c r="G3"/>
      <c r="H3">
        <f>'Bond Data'!F88</f>
        <v>99.188000000000002</v>
      </c>
      <c r="I3">
        <f>'Bond Data'!G88</f>
        <v>0</v>
      </c>
      <c r="J3">
        <f>'Bond Data'!H88/100</f>
        <v>0</v>
      </c>
      <c r="K3">
        <f>'Bond Data'!I88</f>
        <v>99.188000000000002</v>
      </c>
      <c r="L3" s="4">
        <f t="shared" si="0"/>
        <v>1.6840746864540096E-2</v>
      </c>
      <c r="M3" s="4">
        <f t="shared" si="1"/>
        <v>0.47806021996074582</v>
      </c>
      <c r="N3" s="4">
        <f t="shared" si="2"/>
        <v>0.48611111111111116</v>
      </c>
      <c r="O3" s="4">
        <f t="shared" ref="O3:O15" si="4">1/M3</f>
        <v>2.0917866792641968</v>
      </c>
      <c r="P3" s="4">
        <f t="shared" si="3"/>
        <v>0.22327308058409151</v>
      </c>
      <c r="BO3" s="3"/>
    </row>
    <row r="4" spans="1:152">
      <c r="A4" s="14" t="s">
        <v>46</v>
      </c>
      <c r="B4" s="14"/>
      <c r="C4" s="1"/>
      <c r="D4" t="str">
        <f>'Bond Data'!B89</f>
        <v>CTCAD12M GOVT</v>
      </c>
      <c r="E4" s="192"/>
      <c r="F4" s="192" t="str">
        <f>'Bond Data'!D89</f>
        <v>6/25/2020</v>
      </c>
      <c r="G4"/>
      <c r="H4">
        <f>'Bond Data'!F89</f>
        <v>98.368499999999997</v>
      </c>
      <c r="I4">
        <f>'Bond Data'!G89</f>
        <v>0</v>
      </c>
      <c r="J4">
        <f>'Bond Data'!H89/100</f>
        <v>0</v>
      </c>
      <c r="K4">
        <f>'Bond Data'!I89</f>
        <v>98.368499999999997</v>
      </c>
      <c r="L4" s="4">
        <f t="shared" si="0"/>
        <v>1.6914486763731668E-2</v>
      </c>
      <c r="M4" s="4">
        <f t="shared" si="1"/>
        <v>0.96424583218999449</v>
      </c>
      <c r="N4" s="4">
        <f t="shared" si="2"/>
        <v>0.98055555555555551</v>
      </c>
      <c r="O4" s="4">
        <f>1/M4</f>
        <v>1.0370799298440323</v>
      </c>
      <c r="P4" s="4">
        <f t="shared" si="3"/>
        <v>0.11069581475184694</v>
      </c>
      <c r="BO4" s="3"/>
    </row>
    <row r="5" spans="1:152">
      <c r="A5" s="14" t="s">
        <v>50</v>
      </c>
      <c r="B5" s="238">
        <f>'Instructions &amp; Dashboard'!$D$40/100</f>
        <v>4.2000000000000003E-2</v>
      </c>
      <c r="C5" s="1"/>
      <c r="D5" t="str">
        <f>'Bond Data'!B90</f>
        <v>CTCAD2Y GOVT</v>
      </c>
      <c r="E5" s="192" t="str">
        <f>'Bond Data'!C90</f>
        <v>11/1/2019</v>
      </c>
      <c r="F5" s="192" t="str">
        <f>'Bond Data'!D90</f>
        <v>5/1/2021</v>
      </c>
      <c r="G5">
        <f>'Bond Data'!E90</f>
        <v>2</v>
      </c>
      <c r="H5">
        <f>'Bond Data'!F90</f>
        <v>100.48650000000001</v>
      </c>
      <c r="I5">
        <f>'Bond Data'!G90</f>
        <v>0.30684931506849317</v>
      </c>
      <c r="J5">
        <f>'Bond Data'!H90/100</f>
        <v>1.7500000000000002E-2</v>
      </c>
      <c r="K5">
        <f>'Bond Data'!I90</f>
        <v>100.7933493150685</v>
      </c>
      <c r="L5" s="4">
        <f>YIELD($B$3,F5,J5,H5,100,G5,0)</f>
        <v>1.479236399997557E-2</v>
      </c>
      <c r="M5" s="4">
        <f>MDURATION($B$3,F5,J5,L5,G5,0)</f>
        <v>1.7915123642082074</v>
      </c>
      <c r="N5" s="4">
        <f>DURATION($B$3,F5,J5,L5,G5,0)</f>
        <v>1.8047627157091195</v>
      </c>
      <c r="O5" s="4">
        <f t="shared" si="4"/>
        <v>0.55818760728562922</v>
      </c>
      <c r="P5" s="4">
        <f t="shared" si="3"/>
        <v>5.9579816554891023E-2</v>
      </c>
      <c r="BO5" s="3"/>
    </row>
    <row r="6" spans="1:152">
      <c r="A6" s="14" t="s">
        <v>11</v>
      </c>
      <c r="B6" s="228">
        <v>-2.8421380372790666E-2</v>
      </c>
      <c r="C6" s="1"/>
      <c r="D6" t="str">
        <f>'Bond Data'!B91</f>
        <v>CTCAD3Y GOVT</v>
      </c>
      <c r="E6" s="192" t="str">
        <f>'Bond Data'!C91</f>
        <v>9/1/2019</v>
      </c>
      <c r="F6" s="192" t="str">
        <f>'Bond Data'!D91</f>
        <v>9/1/2022</v>
      </c>
      <c r="G6">
        <f>'Bond Data'!E91</f>
        <v>2</v>
      </c>
      <c r="H6">
        <f>'Bond Data'!F91</f>
        <v>98.660499999999999</v>
      </c>
      <c r="I6">
        <f>'Bond Data'!G91</f>
        <v>0.34246575342465752</v>
      </c>
      <c r="J6">
        <f>'Bond Data'!H91/100</f>
        <v>0.01</v>
      </c>
      <c r="K6">
        <f>'Bond Data'!I91</f>
        <v>99.002965753424661</v>
      </c>
      <c r="L6" s="549">
        <f t="shared" ref="L6:L15" si="5">YIELD($B$3,F6,J6,H6,100,G6,0)</f>
        <v>1.4344396192863684E-2</v>
      </c>
      <c r="M6" s="549">
        <f t="shared" ref="M6:M15" si="6">MDURATION($B$3,F6,J6,L6,G6,0)</f>
        <v>3.0894462209336484</v>
      </c>
      <c r="N6" s="549">
        <f t="shared" ref="N6:N15" si="7">DURATION($B$3,F6,J6,L6,G6,0)</f>
        <v>3.1116043412384573</v>
      </c>
      <c r="O6" s="4">
        <f t="shared" si="4"/>
        <v>0.32368260474131</v>
      </c>
      <c r="P6" s="4">
        <f t="shared" si="3"/>
        <v>3.4549226748827266E-2</v>
      </c>
      <c r="BO6" s="3"/>
    </row>
    <row r="7" spans="1:152">
      <c r="A7" s="14" t="s">
        <v>12</v>
      </c>
      <c r="B7" s="228">
        <v>-0.1222768186881517</v>
      </c>
      <c r="C7" s="1"/>
      <c r="D7" t="str">
        <f>'Bond Data'!B92</f>
        <v>CTCAD4Y GOVT</v>
      </c>
      <c r="E7" s="192" t="str">
        <f>'Bond Data'!C92</f>
        <v>9/1/2019</v>
      </c>
      <c r="F7" s="192" t="str">
        <f>'Bond Data'!D92</f>
        <v>3/1/2023</v>
      </c>
      <c r="G7">
        <f>'Bond Data'!E92</f>
        <v>2</v>
      </c>
      <c r="H7">
        <f>'Bond Data'!F92</f>
        <v>101.149</v>
      </c>
      <c r="I7">
        <f>'Bond Data'!G92</f>
        <v>0.59931506849315075</v>
      </c>
      <c r="J7">
        <f>'Bond Data'!H92/100</f>
        <v>1.7500000000000002E-2</v>
      </c>
      <c r="K7">
        <f>'Bond Data'!I92</f>
        <v>101.74831506849316</v>
      </c>
      <c r="L7" s="549">
        <f t="shared" si="5"/>
        <v>1.4268205210900704E-2</v>
      </c>
      <c r="M7" s="549">
        <f t="shared" si="6"/>
        <v>3.5203333183042673</v>
      </c>
      <c r="N7" s="549">
        <f t="shared" si="7"/>
        <v>3.5454477374024354</v>
      </c>
      <c r="O7" s="4">
        <f t="shared" si="4"/>
        <v>0.28406401030277911</v>
      </c>
      <c r="P7" s="4">
        <f t="shared" si="3"/>
        <v>3.032041808664852E-2</v>
      </c>
      <c r="BO7" s="3"/>
    </row>
    <row r="8" spans="1:152">
      <c r="A8" s="14" t="s">
        <v>51</v>
      </c>
      <c r="B8" s="228">
        <v>9.7343820355281094E-2</v>
      </c>
      <c r="C8" s="1"/>
      <c r="D8" t="str">
        <f>'Bond Data'!B93</f>
        <v>CTCAD5Y GOVT</v>
      </c>
      <c r="E8" s="192" t="str">
        <f>'Bond Data'!C93</f>
        <v>9/1/2019</v>
      </c>
      <c r="F8" s="192" t="str">
        <f>'Bond Data'!D93</f>
        <v>3/1/2024</v>
      </c>
      <c r="G8">
        <f>'Bond Data'!E93</f>
        <v>2</v>
      </c>
      <c r="H8">
        <f>'Bond Data'!F93</f>
        <v>103.79599999999999</v>
      </c>
      <c r="I8">
        <f>'Bond Data'!G93</f>
        <v>0.77054794520547942</v>
      </c>
      <c r="J8">
        <f>'Bond Data'!H93/100</f>
        <v>2.2499999999999999E-2</v>
      </c>
      <c r="K8">
        <f>'Bond Data'!I93</f>
        <v>104.56654794520547</v>
      </c>
      <c r="L8" s="549">
        <f t="shared" si="5"/>
        <v>1.4060585664653194E-2</v>
      </c>
      <c r="M8" s="549">
        <f t="shared" si="6"/>
        <v>4.3958783800809407</v>
      </c>
      <c r="N8" s="549">
        <f t="shared" si="7"/>
        <v>4.4267826923482039</v>
      </c>
      <c r="O8" s="4">
        <f t="shared" si="4"/>
        <v>0.22748582047476645</v>
      </c>
      <c r="P8" s="4">
        <f t="shared" si="3"/>
        <v>2.4281376504638141E-2</v>
      </c>
      <c r="BO8" s="3"/>
    </row>
    <row r="9" spans="1:152">
      <c r="A9" s="14" t="s">
        <v>53</v>
      </c>
      <c r="B9" s="228">
        <v>86.453020971661076</v>
      </c>
      <c r="C9" s="1"/>
      <c r="D9" t="str">
        <f>'Bond Data'!B94</f>
        <v>CTCAD6Y GOVT</v>
      </c>
      <c r="E9" s="192" t="str">
        <f>'Bond Data'!C94</f>
        <v>12/1/2019</v>
      </c>
      <c r="F9" s="192" t="str">
        <f>'Bond Data'!D94</f>
        <v>6/1/2025</v>
      </c>
      <c r="G9">
        <f>'Bond Data'!E94</f>
        <v>2</v>
      </c>
      <c r="H9">
        <f>'Bond Data'!F94</f>
        <v>104.6705</v>
      </c>
      <c r="I9">
        <f>'Bond Data'!G94</f>
        <v>0.2034246575342466</v>
      </c>
      <c r="J9">
        <f>'Bond Data'!H94/100</f>
        <v>2.2499999999999999E-2</v>
      </c>
      <c r="K9">
        <f>'Bond Data'!I94</f>
        <v>104.87392465753425</v>
      </c>
      <c r="L9" s="549">
        <f t="shared" si="5"/>
        <v>1.4236307942838668E-2</v>
      </c>
      <c r="M9" s="549">
        <f t="shared" si="6"/>
        <v>5.5307252755325917</v>
      </c>
      <c r="N9" s="549">
        <f t="shared" si="7"/>
        <v>5.5700938296174538</v>
      </c>
      <c r="O9" s="4">
        <f t="shared" si="4"/>
        <v>0.18080811289324131</v>
      </c>
      <c r="P9" s="4">
        <f t="shared" si="3"/>
        <v>1.9299092378994648E-2</v>
      </c>
      <c r="BO9" s="3"/>
    </row>
    <row r="10" spans="1:152">
      <c r="A10" s="14" t="s">
        <v>52</v>
      </c>
      <c r="B10" s="228">
        <v>66.329947449088166</v>
      </c>
      <c r="C10" s="1"/>
      <c r="D10" t="str">
        <f>'Bond Data'!B95</f>
        <v>CTCAD7Y GOVT</v>
      </c>
      <c r="E10" s="192" t="str">
        <f>'Bond Data'!C95</f>
        <v>12/1/2019</v>
      </c>
      <c r="F10" s="192" t="str">
        <f>'Bond Data'!D95</f>
        <v>6/1/2026</v>
      </c>
      <c r="G10">
        <f>'Bond Data'!E95</f>
        <v>2</v>
      </c>
      <c r="H10">
        <f>'Bond Data'!F95</f>
        <v>100.37299999999999</v>
      </c>
      <c r="I10">
        <f>'Bond Data'!G95</f>
        <v>0.13561643835616438</v>
      </c>
      <c r="J10">
        <f>'Bond Data'!H95/100</f>
        <v>1.4999999999999999E-2</v>
      </c>
      <c r="K10">
        <f>'Bond Data'!I95</f>
        <v>100.50861643835616</v>
      </c>
      <c r="L10" s="549">
        <f t="shared" si="5"/>
        <v>1.4430617655263284E-2</v>
      </c>
      <c r="M10" s="549">
        <f t="shared" si="6"/>
        <v>6.5386641193624975</v>
      </c>
      <c r="N10" s="549">
        <f t="shared" si="7"/>
        <v>6.5858426003038524</v>
      </c>
      <c r="O10" s="4">
        <f t="shared" si="4"/>
        <v>0.15293643804684334</v>
      </c>
      <c r="P10" s="4">
        <f t="shared" si="3"/>
        <v>1.6324126161989003E-2</v>
      </c>
      <c r="BO10" s="3"/>
    </row>
    <row r="11" spans="1:152">
      <c r="A11" s="14"/>
      <c r="B11" s="14"/>
      <c r="C11" s="1"/>
      <c r="D11" t="str">
        <f>'Bond Data'!B96</f>
        <v>CTCAD8Y GOVT</v>
      </c>
      <c r="E11" s="192" t="str">
        <f>'Bond Data'!C96</f>
        <v>12/1/2019</v>
      </c>
      <c r="F11" s="192" t="str">
        <f>'Bond Data'!D96</f>
        <v>6/1/2027</v>
      </c>
      <c r="G11">
        <f>'Bond Data'!E96</f>
        <v>2</v>
      </c>
      <c r="H11">
        <f>'Bond Data'!F96</f>
        <v>96.569500000000005</v>
      </c>
      <c r="I11">
        <f>'Bond Data'!G96</f>
        <v>9.0410958904109592E-2</v>
      </c>
      <c r="J11">
        <f>'Bond Data'!H96/100</f>
        <v>0.01</v>
      </c>
      <c r="K11">
        <f>'Bond Data'!I96</f>
        <v>96.659910958904121</v>
      </c>
      <c r="L11" s="549">
        <f t="shared" si="5"/>
        <v>1.460557465136954E-2</v>
      </c>
      <c r="M11" s="549">
        <f t="shared" si="6"/>
        <v>7.5603569244955882</v>
      </c>
      <c r="N11" s="549">
        <f t="shared" si="7"/>
        <v>7.6155686032214476</v>
      </c>
      <c r="O11" s="4">
        <f t="shared" si="4"/>
        <v>0.13226888756534705</v>
      </c>
      <c r="P11" s="4">
        <f t="shared" si="3"/>
        <v>1.4118113613064035E-2</v>
      </c>
      <c r="BO11" s="3"/>
    </row>
    <row r="12" spans="1:152">
      <c r="C12" s="1"/>
      <c r="D12" t="str">
        <f>'Bond Data'!B97</f>
        <v>CTCAD9Y GOVT</v>
      </c>
      <c r="E12" s="192" t="str">
        <f>'Bond Data'!C97</f>
        <v>12/1/2019</v>
      </c>
      <c r="F12" s="192" t="str">
        <f>'Bond Data'!D97</f>
        <v>6/1/2028</v>
      </c>
      <c r="G12">
        <f>'Bond Data'!E97</f>
        <v>2</v>
      </c>
      <c r="H12">
        <f>'Bond Data'!F97</f>
        <v>104.39750000000001</v>
      </c>
      <c r="I12">
        <f>'Bond Data'!G97</f>
        <v>0.18082191780821918</v>
      </c>
      <c r="J12">
        <f>'Bond Data'!H97/100</f>
        <v>0.02</v>
      </c>
      <c r="K12">
        <f>'Bond Data'!I97</f>
        <v>104.57832191780822</v>
      </c>
      <c r="L12" s="549">
        <f t="shared" si="5"/>
        <v>1.4717287359132449E-2</v>
      </c>
      <c r="M12" s="549">
        <f t="shared" si="6"/>
        <v>8.1543100293993405</v>
      </c>
      <c r="N12" s="549">
        <f t="shared" si="7"/>
        <v>8.2143146913584033</v>
      </c>
      <c r="O12" s="4">
        <f t="shared" si="4"/>
        <v>0.12263453270658407</v>
      </c>
      <c r="P12" s="4">
        <f t="shared" si="3"/>
        <v>1.308976205595737E-2</v>
      </c>
      <c r="BO12" s="3"/>
    </row>
    <row r="13" spans="1:152">
      <c r="C13" s="1"/>
      <c r="D13" t="str">
        <f>'Bond Data'!B98</f>
        <v>CTCAD10Y GOVT</v>
      </c>
      <c r="E13" s="192" t="str">
        <f>'Bond Data'!C98</f>
        <v>12/1/2019</v>
      </c>
      <c r="F13" s="192" t="str">
        <f>'Bond Data'!D98</f>
        <v>6/1/2029</v>
      </c>
      <c r="G13">
        <f>'Bond Data'!E98</f>
        <v>2</v>
      </c>
      <c r="H13">
        <f>'Bond Data'!F98</f>
        <v>107.0705</v>
      </c>
      <c r="I13">
        <f>'Bond Data'!G98</f>
        <v>0.2034246575342466</v>
      </c>
      <c r="J13">
        <f>'Bond Data'!H98/100</f>
        <v>2.2499999999999999E-2</v>
      </c>
      <c r="K13">
        <f>'Bond Data'!I98</f>
        <v>107.27392465753424</v>
      </c>
      <c r="L13" s="549">
        <f t="shared" si="5"/>
        <v>1.4804935566246001E-2</v>
      </c>
      <c r="M13" s="549">
        <f t="shared" si="6"/>
        <v>8.900029003507667</v>
      </c>
      <c r="N13" s="549">
        <f t="shared" si="7"/>
        <v>8.9659111814749934</v>
      </c>
      <c r="O13" s="4">
        <f t="shared" si="4"/>
        <v>0.11235918440331839</v>
      </c>
      <c r="P13" s="4">
        <f t="shared" si="3"/>
        <v>1.1992992154663394E-2</v>
      </c>
      <c r="BO13" s="3"/>
    </row>
    <row r="14" spans="1:152">
      <c r="C14" s="1"/>
      <c r="D14" t="str">
        <f>'Bond Data'!B99</f>
        <v>CTCAD20Y GOVT</v>
      </c>
      <c r="E14" s="192" t="str">
        <f>'Bond Data'!C99</f>
        <v>12/1/2019</v>
      </c>
      <c r="F14" s="192" t="str">
        <f>'Bond Data'!D99</f>
        <v>6/1/2037</v>
      </c>
      <c r="G14">
        <f>'Bond Data'!E99</f>
        <v>2</v>
      </c>
      <c r="H14">
        <f>'Bond Data'!F99</f>
        <v>151.607</v>
      </c>
      <c r="I14">
        <f>'Bond Data'!G99</f>
        <v>0.45205479452054798</v>
      </c>
      <c r="J14">
        <f>'Bond Data'!H99/100</f>
        <v>0.05</v>
      </c>
      <c r="K14">
        <f>'Bond Data'!I99</f>
        <v>152.05905479452053</v>
      </c>
      <c r="L14" s="549">
        <f t="shared" si="5"/>
        <v>1.6582020290192404E-2</v>
      </c>
      <c r="M14" s="549">
        <f t="shared" si="6"/>
        <v>13.109371375968177</v>
      </c>
      <c r="N14" s="549">
        <f t="shared" si="7"/>
        <v>13.218061307042163</v>
      </c>
      <c r="O14" s="4">
        <f t="shared" si="4"/>
        <v>7.6281308334370551E-2</v>
      </c>
      <c r="P14" s="4">
        <f t="shared" si="3"/>
        <v>8.1421126119757305E-3</v>
      </c>
      <c r="BO14" s="3"/>
    </row>
    <row r="15" spans="1:152">
      <c r="C15" s="1"/>
      <c r="D15" t="str">
        <f>'Bond Data'!B100</f>
        <v>CTCAD30Y GOVT</v>
      </c>
      <c r="E15" s="192" t="str">
        <f>'Bond Data'!C100</f>
        <v>12/1/2019</v>
      </c>
      <c r="F15" s="192" t="str">
        <f>'Bond Data'!D100</f>
        <v>12/1/2048</v>
      </c>
      <c r="G15">
        <f>'Bond Data'!E100</f>
        <v>2</v>
      </c>
      <c r="H15">
        <f>'Bond Data'!F100</f>
        <v>124.28450000000001</v>
      </c>
      <c r="I15">
        <f>'Bond Data'!G100</f>
        <v>0.24863013698630138</v>
      </c>
      <c r="J15">
        <f>'Bond Data'!H100/100</f>
        <v>2.75E-2</v>
      </c>
      <c r="K15">
        <f>'Bond Data'!I100</f>
        <v>124.53313013698632</v>
      </c>
      <c r="L15" s="549">
        <f t="shared" si="5"/>
        <v>1.6976989174309745E-2</v>
      </c>
      <c r="M15" s="549">
        <f t="shared" si="6"/>
        <v>21.191827679289883</v>
      </c>
      <c r="N15" s="549">
        <f t="shared" si="7"/>
        <v>21.371714393837454</v>
      </c>
      <c r="O15" s="4">
        <f t="shared" si="4"/>
        <v>4.7188001673742798E-2</v>
      </c>
      <c r="P15" s="4">
        <f t="shared" si="3"/>
        <v>5.0367518852399802E-3</v>
      </c>
      <c r="BO15" s="3"/>
    </row>
    <row r="16" spans="1:152">
      <c r="C16" s="1"/>
      <c r="D16"/>
      <c r="E16"/>
      <c r="F16"/>
      <c r="G16"/>
      <c r="H16"/>
      <c r="I16"/>
      <c r="J16"/>
      <c r="K16"/>
      <c r="BO16" s="3"/>
    </row>
    <row r="17" spans="1:83">
      <c r="C17" s="1"/>
      <c r="D17"/>
      <c r="E17"/>
      <c r="F17"/>
      <c r="G17"/>
      <c r="H17"/>
      <c r="I17"/>
      <c r="J17"/>
      <c r="K17"/>
      <c r="BO17" s="3"/>
    </row>
    <row r="18" spans="1:83">
      <c r="C18" s="1"/>
      <c r="D18"/>
      <c r="E18"/>
      <c r="F18"/>
      <c r="G18"/>
      <c r="H18"/>
      <c r="I18"/>
      <c r="J18"/>
      <c r="K18"/>
      <c r="BO18" s="3"/>
    </row>
    <row r="19" spans="1:83">
      <c r="C19" s="1"/>
      <c r="D19"/>
      <c r="E19"/>
      <c r="F19"/>
      <c r="G19"/>
      <c r="H19"/>
      <c r="I19"/>
      <c r="J19"/>
      <c r="K19"/>
      <c r="BO19" s="3"/>
    </row>
    <row r="20" spans="1:83">
      <c r="C20" s="1"/>
      <c r="D20"/>
      <c r="E20"/>
      <c r="F20"/>
      <c r="G20"/>
      <c r="H20"/>
      <c r="I20"/>
      <c r="J20"/>
      <c r="K20"/>
      <c r="BO20" s="3"/>
    </row>
    <row r="21" spans="1:83">
      <c r="C21" s="1"/>
      <c r="D21"/>
      <c r="E21"/>
      <c r="F21"/>
      <c r="G21"/>
      <c r="H21"/>
      <c r="I21"/>
      <c r="J21"/>
      <c r="K21"/>
      <c r="BO21" s="3"/>
    </row>
    <row r="22" spans="1:83">
      <c r="C22" s="1"/>
      <c r="D22"/>
      <c r="E22"/>
      <c r="F22"/>
      <c r="G22"/>
      <c r="H22"/>
      <c r="I22"/>
      <c r="J22"/>
      <c r="K22"/>
      <c r="BO22" s="3"/>
    </row>
    <row r="23" spans="1:83">
      <c r="C23" s="1"/>
      <c r="D23"/>
      <c r="E23"/>
      <c r="F23"/>
      <c r="G23"/>
      <c r="H23"/>
      <c r="I23"/>
      <c r="J23"/>
      <c r="K23"/>
    </row>
    <row r="24" spans="1:83">
      <c r="C24" s="1"/>
      <c r="D24"/>
      <c r="E24"/>
      <c r="F24"/>
      <c r="G24"/>
      <c r="H24"/>
      <c r="I24"/>
      <c r="J24"/>
      <c r="K24"/>
    </row>
    <row r="25" spans="1:83">
      <c r="C25" s="1"/>
      <c r="D25"/>
      <c r="E25"/>
      <c r="F25"/>
      <c r="G25"/>
      <c r="H25"/>
      <c r="I25"/>
      <c r="J25"/>
      <c r="K25"/>
    </row>
    <row r="26" spans="1:83">
      <c r="C26" s="1"/>
      <c r="D26"/>
      <c r="E26"/>
      <c r="F26"/>
      <c r="G26"/>
      <c r="H26"/>
      <c r="I26"/>
      <c r="J26"/>
      <c r="K26"/>
    </row>
    <row r="27" spans="1:83">
      <c r="C27" s="1"/>
      <c r="D27"/>
      <c r="E27"/>
      <c r="F27"/>
      <c r="G27"/>
      <c r="H27"/>
      <c r="I27"/>
      <c r="J27"/>
      <c r="K27"/>
    </row>
    <row r="28" spans="1:83">
      <c r="D28"/>
      <c r="N28" s="13" t="s">
        <v>48</v>
      </c>
      <c r="O28" s="13">
        <f>SUM(O2:O27)</f>
        <v>9.3687365883607523</v>
      </c>
      <c r="P28" s="6"/>
    </row>
    <row r="29" spans="1:83">
      <c r="A29" s="6"/>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row>
    <row r="30" spans="1:83" s="22" customFormat="1">
      <c r="A30" s="161" t="s">
        <v>49</v>
      </c>
      <c r="B30" s="142" t="str">
        <f>IF(E2=0,F2,E2)</f>
        <v>10/3/2019</v>
      </c>
      <c r="C30" s="24">
        <f t="shared" ref="C30:BN30" si="8">B30+IF($G2=1,365,182.5)</f>
        <v>43923.5</v>
      </c>
      <c r="D30" s="24">
        <f t="shared" si="8"/>
        <v>44106</v>
      </c>
      <c r="E30" s="24">
        <f t="shared" si="8"/>
        <v>44288.5</v>
      </c>
      <c r="F30" s="24">
        <f t="shared" si="8"/>
        <v>44471</v>
      </c>
      <c r="G30" s="24">
        <f t="shared" si="8"/>
        <v>44653.5</v>
      </c>
      <c r="H30" s="24">
        <f t="shared" si="8"/>
        <v>44836</v>
      </c>
      <c r="I30" s="24">
        <f t="shared" si="8"/>
        <v>45018.5</v>
      </c>
      <c r="J30" s="24">
        <f t="shared" si="8"/>
        <v>45201</v>
      </c>
      <c r="K30" s="24">
        <f t="shared" si="8"/>
        <v>45383.5</v>
      </c>
      <c r="L30" s="24">
        <f t="shared" si="8"/>
        <v>45566</v>
      </c>
      <c r="M30" s="24">
        <f t="shared" si="8"/>
        <v>45748.5</v>
      </c>
      <c r="N30" s="24">
        <f t="shared" si="8"/>
        <v>45931</v>
      </c>
      <c r="O30" s="24">
        <f t="shared" si="8"/>
        <v>46113.5</v>
      </c>
      <c r="P30" s="24">
        <f t="shared" si="8"/>
        <v>46296</v>
      </c>
      <c r="Q30" s="24">
        <f t="shared" si="8"/>
        <v>46478.5</v>
      </c>
      <c r="R30" s="24">
        <f t="shared" si="8"/>
        <v>46661</v>
      </c>
      <c r="S30" s="24">
        <f t="shared" si="8"/>
        <v>46843.5</v>
      </c>
      <c r="T30" s="24">
        <f t="shared" si="8"/>
        <v>47026</v>
      </c>
      <c r="U30" s="24">
        <f t="shared" si="8"/>
        <v>47208.5</v>
      </c>
      <c r="V30" s="24">
        <f t="shared" si="8"/>
        <v>47391</v>
      </c>
      <c r="W30" s="24">
        <f t="shared" si="8"/>
        <v>47573.5</v>
      </c>
      <c r="X30" s="24">
        <f t="shared" si="8"/>
        <v>47756</v>
      </c>
      <c r="Y30" s="24">
        <f t="shared" si="8"/>
        <v>47938.5</v>
      </c>
      <c r="Z30" s="24">
        <f t="shared" si="8"/>
        <v>48121</v>
      </c>
      <c r="AA30" s="24">
        <f t="shared" si="8"/>
        <v>48303.5</v>
      </c>
      <c r="AB30" s="24">
        <f t="shared" si="8"/>
        <v>48486</v>
      </c>
      <c r="AC30" s="24">
        <f t="shared" si="8"/>
        <v>48668.5</v>
      </c>
      <c r="AD30" s="24">
        <f t="shared" si="8"/>
        <v>48851</v>
      </c>
      <c r="AE30" s="24">
        <f t="shared" si="8"/>
        <v>49033.5</v>
      </c>
      <c r="AF30" s="24">
        <f t="shared" si="8"/>
        <v>49216</v>
      </c>
      <c r="AG30" s="24">
        <f t="shared" si="8"/>
        <v>49398.5</v>
      </c>
      <c r="AH30" s="24">
        <f t="shared" si="8"/>
        <v>49581</v>
      </c>
      <c r="AI30" s="24">
        <f t="shared" si="8"/>
        <v>49763.5</v>
      </c>
      <c r="AJ30" s="24">
        <f t="shared" si="8"/>
        <v>49946</v>
      </c>
      <c r="AK30" s="24">
        <f t="shared" si="8"/>
        <v>50128.5</v>
      </c>
      <c r="AL30" s="24">
        <f t="shared" si="8"/>
        <v>50311</v>
      </c>
      <c r="AM30" s="24">
        <f t="shared" si="8"/>
        <v>50493.5</v>
      </c>
      <c r="AN30" s="24">
        <f t="shared" si="8"/>
        <v>50676</v>
      </c>
      <c r="AO30" s="24">
        <f t="shared" si="8"/>
        <v>50858.5</v>
      </c>
      <c r="AP30" s="24">
        <f t="shared" si="8"/>
        <v>51041</v>
      </c>
      <c r="AQ30" s="24">
        <f t="shared" si="8"/>
        <v>51223.5</v>
      </c>
      <c r="AR30" s="24">
        <f t="shared" si="8"/>
        <v>51406</v>
      </c>
      <c r="AS30" s="24">
        <f t="shared" si="8"/>
        <v>51588.5</v>
      </c>
      <c r="AT30" s="24">
        <f t="shared" si="8"/>
        <v>51771</v>
      </c>
      <c r="AU30" s="24">
        <f t="shared" si="8"/>
        <v>51953.5</v>
      </c>
      <c r="AV30" s="24">
        <f t="shared" si="8"/>
        <v>52136</v>
      </c>
      <c r="AW30" s="24">
        <f t="shared" si="8"/>
        <v>52318.5</v>
      </c>
      <c r="AX30" s="24">
        <f t="shared" si="8"/>
        <v>52501</v>
      </c>
      <c r="AY30" s="24">
        <f t="shared" si="8"/>
        <v>52683.5</v>
      </c>
      <c r="AZ30" s="24">
        <f t="shared" si="8"/>
        <v>52866</v>
      </c>
      <c r="BA30" s="24">
        <f t="shared" si="8"/>
        <v>53048.5</v>
      </c>
      <c r="BB30" s="24">
        <f t="shared" si="8"/>
        <v>53231</v>
      </c>
      <c r="BC30" s="24">
        <f t="shared" si="8"/>
        <v>53413.5</v>
      </c>
      <c r="BD30" s="24">
        <f t="shared" si="8"/>
        <v>53596</v>
      </c>
      <c r="BE30" s="24">
        <f t="shared" si="8"/>
        <v>53778.5</v>
      </c>
      <c r="BF30" s="24">
        <f t="shared" si="8"/>
        <v>53961</v>
      </c>
      <c r="BG30" s="24">
        <f t="shared" si="8"/>
        <v>54143.5</v>
      </c>
      <c r="BH30" s="24">
        <f t="shared" si="8"/>
        <v>54326</v>
      </c>
      <c r="BI30" s="24">
        <f t="shared" si="8"/>
        <v>54508.5</v>
      </c>
      <c r="BJ30" s="24">
        <f t="shared" si="8"/>
        <v>54691</v>
      </c>
      <c r="BK30" s="24">
        <f t="shared" si="8"/>
        <v>54873.5</v>
      </c>
      <c r="BL30" s="24">
        <f t="shared" si="8"/>
        <v>55056</v>
      </c>
      <c r="BM30" s="24">
        <f t="shared" si="8"/>
        <v>55238.5</v>
      </c>
      <c r="BN30" s="24">
        <f t="shared" si="8"/>
        <v>55421</v>
      </c>
      <c r="BO30" s="24">
        <f t="shared" ref="BO30:CB30" si="9">BN30+IF($G2=1,365,182.5)</f>
        <v>55603.5</v>
      </c>
      <c r="BP30" s="24">
        <f t="shared" si="9"/>
        <v>55786</v>
      </c>
      <c r="BQ30" s="24">
        <f t="shared" si="9"/>
        <v>55968.5</v>
      </c>
      <c r="BR30" s="24">
        <f t="shared" si="9"/>
        <v>56151</v>
      </c>
      <c r="BS30" s="24">
        <f t="shared" si="9"/>
        <v>56333.5</v>
      </c>
      <c r="BT30" s="24">
        <f t="shared" si="9"/>
        <v>56516</v>
      </c>
      <c r="BU30" s="24">
        <f t="shared" si="9"/>
        <v>56698.5</v>
      </c>
      <c r="BV30" s="24">
        <f t="shared" si="9"/>
        <v>56881</v>
      </c>
      <c r="BW30" s="24">
        <f t="shared" si="9"/>
        <v>57063.5</v>
      </c>
      <c r="BX30" s="24">
        <f t="shared" si="9"/>
        <v>57246</v>
      </c>
      <c r="BY30" s="24">
        <f t="shared" si="9"/>
        <v>57428.5</v>
      </c>
      <c r="BZ30" s="24">
        <f t="shared" si="9"/>
        <v>57611</v>
      </c>
      <c r="CA30" s="24">
        <f t="shared" si="9"/>
        <v>57793.5</v>
      </c>
      <c r="CB30" s="25">
        <f t="shared" si="9"/>
        <v>57976</v>
      </c>
    </row>
    <row r="31" spans="1:83">
      <c r="A31" s="162" t="s">
        <v>22</v>
      </c>
      <c r="B31" s="104">
        <f>(IF(B30=F2,100,0)+IF(G2=1,1,0.5)*J2*100)*IF(ISBLANK(F2)=TRUE,0,1)</f>
        <v>100</v>
      </c>
      <c r="C31" s="26">
        <f>IF(C30&gt;$F2+1,0,1)*(IF(D31=0,100,0)+IF($G2=1,1,0.5)*$J2*100)</f>
        <v>0</v>
      </c>
      <c r="D31" s="26">
        <f t="shared" ref="D31:BO31" si="10">IF(D30&gt;$F2+1,0,1)*(IF(E31=0,100,0)+IF($G2=1,1,0.5)*$J2*100)</f>
        <v>0</v>
      </c>
      <c r="E31" s="26">
        <f t="shared" si="10"/>
        <v>0</v>
      </c>
      <c r="F31" s="26">
        <f t="shared" si="10"/>
        <v>0</v>
      </c>
      <c r="G31" s="26">
        <f t="shared" si="10"/>
        <v>0</v>
      </c>
      <c r="H31" s="26">
        <f t="shared" si="10"/>
        <v>0</v>
      </c>
      <c r="I31" s="26">
        <f t="shared" si="10"/>
        <v>0</v>
      </c>
      <c r="J31" s="26">
        <f t="shared" si="10"/>
        <v>0</v>
      </c>
      <c r="K31" s="26">
        <f t="shared" si="10"/>
        <v>0</v>
      </c>
      <c r="L31" s="26">
        <f t="shared" si="10"/>
        <v>0</v>
      </c>
      <c r="M31" s="26">
        <f t="shared" si="10"/>
        <v>0</v>
      </c>
      <c r="N31" s="26">
        <f t="shared" si="10"/>
        <v>0</v>
      </c>
      <c r="O31" s="26">
        <f t="shared" si="10"/>
        <v>0</v>
      </c>
      <c r="P31" s="26">
        <f t="shared" si="10"/>
        <v>0</v>
      </c>
      <c r="Q31" s="26">
        <f t="shared" si="10"/>
        <v>0</v>
      </c>
      <c r="R31" s="26">
        <f t="shared" si="10"/>
        <v>0</v>
      </c>
      <c r="S31" s="26">
        <f t="shared" si="10"/>
        <v>0</v>
      </c>
      <c r="T31" s="26">
        <f t="shared" si="10"/>
        <v>0</v>
      </c>
      <c r="U31" s="26">
        <f t="shared" si="10"/>
        <v>0</v>
      </c>
      <c r="V31" s="26">
        <f t="shared" si="10"/>
        <v>0</v>
      </c>
      <c r="W31" s="26">
        <f t="shared" si="10"/>
        <v>0</v>
      </c>
      <c r="X31" s="26">
        <f t="shared" si="10"/>
        <v>0</v>
      </c>
      <c r="Y31" s="26">
        <f t="shared" si="10"/>
        <v>0</v>
      </c>
      <c r="Z31" s="26">
        <f t="shared" si="10"/>
        <v>0</v>
      </c>
      <c r="AA31" s="26">
        <f t="shared" si="10"/>
        <v>0</v>
      </c>
      <c r="AB31" s="26">
        <f t="shared" si="10"/>
        <v>0</v>
      </c>
      <c r="AC31" s="26">
        <f t="shared" si="10"/>
        <v>0</v>
      </c>
      <c r="AD31" s="26">
        <f t="shared" si="10"/>
        <v>0</v>
      </c>
      <c r="AE31" s="26">
        <f t="shared" si="10"/>
        <v>0</v>
      </c>
      <c r="AF31" s="26">
        <f t="shared" si="10"/>
        <v>0</v>
      </c>
      <c r="AG31" s="26">
        <f t="shared" si="10"/>
        <v>0</v>
      </c>
      <c r="AH31" s="26">
        <f t="shared" si="10"/>
        <v>0</v>
      </c>
      <c r="AI31" s="26">
        <f t="shared" si="10"/>
        <v>0</v>
      </c>
      <c r="AJ31" s="26">
        <f t="shared" si="10"/>
        <v>0</v>
      </c>
      <c r="AK31" s="26">
        <f t="shared" si="10"/>
        <v>0</v>
      </c>
      <c r="AL31" s="26">
        <f t="shared" si="10"/>
        <v>0</v>
      </c>
      <c r="AM31" s="26">
        <f t="shared" si="10"/>
        <v>0</v>
      </c>
      <c r="AN31" s="26">
        <f t="shared" si="10"/>
        <v>0</v>
      </c>
      <c r="AO31" s="26">
        <f t="shared" si="10"/>
        <v>0</v>
      </c>
      <c r="AP31" s="26">
        <f t="shared" si="10"/>
        <v>0</v>
      </c>
      <c r="AQ31" s="26">
        <f t="shared" si="10"/>
        <v>0</v>
      </c>
      <c r="AR31" s="26">
        <f t="shared" si="10"/>
        <v>0</v>
      </c>
      <c r="AS31" s="26">
        <f t="shared" si="10"/>
        <v>0</v>
      </c>
      <c r="AT31" s="26">
        <f t="shared" si="10"/>
        <v>0</v>
      </c>
      <c r="AU31" s="26">
        <f t="shared" si="10"/>
        <v>0</v>
      </c>
      <c r="AV31" s="26">
        <f t="shared" si="10"/>
        <v>0</v>
      </c>
      <c r="AW31" s="26">
        <f t="shared" si="10"/>
        <v>0</v>
      </c>
      <c r="AX31" s="26">
        <f t="shared" si="10"/>
        <v>0</v>
      </c>
      <c r="AY31" s="26">
        <f t="shared" si="10"/>
        <v>0</v>
      </c>
      <c r="AZ31" s="26">
        <f t="shared" si="10"/>
        <v>0</v>
      </c>
      <c r="BA31" s="26">
        <f t="shared" si="10"/>
        <v>0</v>
      </c>
      <c r="BB31" s="26">
        <f t="shared" si="10"/>
        <v>0</v>
      </c>
      <c r="BC31" s="26">
        <f t="shared" si="10"/>
        <v>0</v>
      </c>
      <c r="BD31" s="26">
        <f t="shared" si="10"/>
        <v>0</v>
      </c>
      <c r="BE31" s="26">
        <f t="shared" si="10"/>
        <v>0</v>
      </c>
      <c r="BF31" s="26">
        <f t="shared" si="10"/>
        <v>0</v>
      </c>
      <c r="BG31" s="26">
        <f t="shared" si="10"/>
        <v>0</v>
      </c>
      <c r="BH31" s="26">
        <f t="shared" si="10"/>
        <v>0</v>
      </c>
      <c r="BI31" s="26">
        <f t="shared" si="10"/>
        <v>0</v>
      </c>
      <c r="BJ31" s="26">
        <f t="shared" si="10"/>
        <v>0</v>
      </c>
      <c r="BK31" s="26">
        <f t="shared" si="10"/>
        <v>0</v>
      </c>
      <c r="BL31" s="26">
        <f t="shared" si="10"/>
        <v>0</v>
      </c>
      <c r="BM31" s="26">
        <f t="shared" si="10"/>
        <v>0</v>
      </c>
      <c r="BN31" s="26">
        <f t="shared" si="10"/>
        <v>0</v>
      </c>
      <c r="BO31" s="26">
        <f t="shared" si="10"/>
        <v>0</v>
      </c>
      <c r="BP31" s="26">
        <f t="shared" ref="BP31:CB31" si="11">IF(BP30&gt;$F2+1,0,1)*(IF(BQ31=0,100,0)+IF($G2=1,1,0.5)*$J2*100)</f>
        <v>0</v>
      </c>
      <c r="BQ31" s="26">
        <f t="shared" si="11"/>
        <v>0</v>
      </c>
      <c r="BR31" s="26">
        <f t="shared" si="11"/>
        <v>0</v>
      </c>
      <c r="BS31" s="26">
        <f t="shared" si="11"/>
        <v>0</v>
      </c>
      <c r="BT31" s="26">
        <f t="shared" si="11"/>
        <v>0</v>
      </c>
      <c r="BU31" s="26">
        <f t="shared" si="11"/>
        <v>0</v>
      </c>
      <c r="BV31" s="26">
        <f t="shared" si="11"/>
        <v>0</v>
      </c>
      <c r="BW31" s="26">
        <f t="shared" si="11"/>
        <v>0</v>
      </c>
      <c r="BX31" s="26">
        <f t="shared" si="11"/>
        <v>0</v>
      </c>
      <c r="BY31" s="26">
        <f t="shared" si="11"/>
        <v>0</v>
      </c>
      <c r="BZ31" s="26">
        <f t="shared" si="11"/>
        <v>0</v>
      </c>
      <c r="CA31" s="26">
        <f t="shared" si="11"/>
        <v>0</v>
      </c>
      <c r="CB31" s="27">
        <f t="shared" si="11"/>
        <v>0</v>
      </c>
    </row>
    <row r="32" spans="1:83" s="22" customFormat="1">
      <c r="A32" s="264" t="s">
        <v>49</v>
      </c>
      <c r="B32" s="142" t="str">
        <f>IF(E3=0,F3,E3)</f>
        <v>12/27/2019</v>
      </c>
      <c r="C32" s="28">
        <f t="shared" ref="C32:BN32" si="12">B32+IF($G3=1,365,182.5)</f>
        <v>44008.5</v>
      </c>
      <c r="D32" s="28">
        <f t="shared" si="12"/>
        <v>44191</v>
      </c>
      <c r="E32" s="28">
        <f t="shared" si="12"/>
        <v>44373.5</v>
      </c>
      <c r="F32" s="28">
        <f t="shared" si="12"/>
        <v>44556</v>
      </c>
      <c r="G32" s="28">
        <f t="shared" si="12"/>
        <v>44738.5</v>
      </c>
      <c r="H32" s="28">
        <f t="shared" si="12"/>
        <v>44921</v>
      </c>
      <c r="I32" s="28">
        <f t="shared" si="12"/>
        <v>45103.5</v>
      </c>
      <c r="J32" s="28">
        <f t="shared" si="12"/>
        <v>45286</v>
      </c>
      <c r="K32" s="28">
        <f t="shared" si="12"/>
        <v>45468.5</v>
      </c>
      <c r="L32" s="28">
        <f t="shared" si="12"/>
        <v>45651</v>
      </c>
      <c r="M32" s="28">
        <f t="shared" si="12"/>
        <v>45833.5</v>
      </c>
      <c r="N32" s="28">
        <f t="shared" si="12"/>
        <v>46016</v>
      </c>
      <c r="O32" s="28">
        <f t="shared" si="12"/>
        <v>46198.5</v>
      </c>
      <c r="P32" s="28">
        <f t="shared" si="12"/>
        <v>46381</v>
      </c>
      <c r="Q32" s="28">
        <f t="shared" si="12"/>
        <v>46563.5</v>
      </c>
      <c r="R32" s="28">
        <f t="shared" si="12"/>
        <v>46746</v>
      </c>
      <c r="S32" s="28">
        <f t="shared" si="12"/>
        <v>46928.5</v>
      </c>
      <c r="T32" s="28">
        <f t="shared" si="12"/>
        <v>47111</v>
      </c>
      <c r="U32" s="28">
        <f t="shared" si="12"/>
        <v>47293.5</v>
      </c>
      <c r="V32" s="28">
        <f t="shared" si="12"/>
        <v>47476</v>
      </c>
      <c r="W32" s="28">
        <f t="shared" si="12"/>
        <v>47658.5</v>
      </c>
      <c r="X32" s="28">
        <f t="shared" si="12"/>
        <v>47841</v>
      </c>
      <c r="Y32" s="28">
        <f t="shared" si="12"/>
        <v>48023.5</v>
      </c>
      <c r="Z32" s="28">
        <f t="shared" si="12"/>
        <v>48206</v>
      </c>
      <c r="AA32" s="28">
        <f t="shared" si="12"/>
        <v>48388.5</v>
      </c>
      <c r="AB32" s="28">
        <f t="shared" si="12"/>
        <v>48571</v>
      </c>
      <c r="AC32" s="28">
        <f t="shared" si="12"/>
        <v>48753.5</v>
      </c>
      <c r="AD32" s="28">
        <f t="shared" si="12"/>
        <v>48936</v>
      </c>
      <c r="AE32" s="28">
        <f t="shared" si="12"/>
        <v>49118.5</v>
      </c>
      <c r="AF32" s="28">
        <f t="shared" si="12"/>
        <v>49301</v>
      </c>
      <c r="AG32" s="28">
        <f t="shared" si="12"/>
        <v>49483.5</v>
      </c>
      <c r="AH32" s="28">
        <f t="shared" si="12"/>
        <v>49666</v>
      </c>
      <c r="AI32" s="28">
        <f t="shared" si="12"/>
        <v>49848.5</v>
      </c>
      <c r="AJ32" s="28">
        <f t="shared" si="12"/>
        <v>50031</v>
      </c>
      <c r="AK32" s="28">
        <f t="shared" si="12"/>
        <v>50213.5</v>
      </c>
      <c r="AL32" s="28">
        <f t="shared" si="12"/>
        <v>50396</v>
      </c>
      <c r="AM32" s="28">
        <f t="shared" si="12"/>
        <v>50578.5</v>
      </c>
      <c r="AN32" s="28">
        <f t="shared" si="12"/>
        <v>50761</v>
      </c>
      <c r="AO32" s="28">
        <f t="shared" si="12"/>
        <v>50943.5</v>
      </c>
      <c r="AP32" s="28">
        <f t="shared" si="12"/>
        <v>51126</v>
      </c>
      <c r="AQ32" s="28">
        <f t="shared" si="12"/>
        <v>51308.5</v>
      </c>
      <c r="AR32" s="28">
        <f t="shared" si="12"/>
        <v>51491</v>
      </c>
      <c r="AS32" s="28">
        <f t="shared" si="12"/>
        <v>51673.5</v>
      </c>
      <c r="AT32" s="28">
        <f t="shared" si="12"/>
        <v>51856</v>
      </c>
      <c r="AU32" s="28">
        <f t="shared" si="12"/>
        <v>52038.5</v>
      </c>
      <c r="AV32" s="28">
        <f t="shared" si="12"/>
        <v>52221</v>
      </c>
      <c r="AW32" s="28">
        <f t="shared" si="12"/>
        <v>52403.5</v>
      </c>
      <c r="AX32" s="28">
        <f t="shared" si="12"/>
        <v>52586</v>
      </c>
      <c r="AY32" s="28">
        <f t="shared" si="12"/>
        <v>52768.5</v>
      </c>
      <c r="AZ32" s="28">
        <f t="shared" si="12"/>
        <v>52951</v>
      </c>
      <c r="BA32" s="28">
        <f t="shared" si="12"/>
        <v>53133.5</v>
      </c>
      <c r="BB32" s="28">
        <f t="shared" si="12"/>
        <v>53316</v>
      </c>
      <c r="BC32" s="28">
        <f t="shared" si="12"/>
        <v>53498.5</v>
      </c>
      <c r="BD32" s="28">
        <f t="shared" si="12"/>
        <v>53681</v>
      </c>
      <c r="BE32" s="28">
        <f t="shared" si="12"/>
        <v>53863.5</v>
      </c>
      <c r="BF32" s="28">
        <f t="shared" si="12"/>
        <v>54046</v>
      </c>
      <c r="BG32" s="28">
        <f t="shared" si="12"/>
        <v>54228.5</v>
      </c>
      <c r="BH32" s="28">
        <f t="shared" si="12"/>
        <v>54411</v>
      </c>
      <c r="BI32" s="28">
        <f t="shared" si="12"/>
        <v>54593.5</v>
      </c>
      <c r="BJ32" s="28">
        <f t="shared" si="12"/>
        <v>54776</v>
      </c>
      <c r="BK32" s="28">
        <f t="shared" si="12"/>
        <v>54958.5</v>
      </c>
      <c r="BL32" s="28">
        <f t="shared" si="12"/>
        <v>55141</v>
      </c>
      <c r="BM32" s="28">
        <f t="shared" si="12"/>
        <v>55323.5</v>
      </c>
      <c r="BN32" s="28">
        <f t="shared" si="12"/>
        <v>55506</v>
      </c>
      <c r="BO32" s="28">
        <f t="shared" ref="BO32:CB32" si="13">BN32+IF($G3=1,365,182.5)</f>
        <v>55688.5</v>
      </c>
      <c r="BP32" s="28">
        <f t="shared" si="13"/>
        <v>55871</v>
      </c>
      <c r="BQ32" s="28">
        <f t="shared" si="13"/>
        <v>56053.5</v>
      </c>
      <c r="BR32" s="28">
        <f t="shared" si="13"/>
        <v>56236</v>
      </c>
      <c r="BS32" s="28">
        <f t="shared" si="13"/>
        <v>56418.5</v>
      </c>
      <c r="BT32" s="28">
        <f t="shared" si="13"/>
        <v>56601</v>
      </c>
      <c r="BU32" s="28">
        <f t="shared" si="13"/>
        <v>56783.5</v>
      </c>
      <c r="BV32" s="28">
        <f t="shared" si="13"/>
        <v>56966</v>
      </c>
      <c r="BW32" s="28">
        <f t="shared" si="13"/>
        <v>57148.5</v>
      </c>
      <c r="BX32" s="28">
        <f t="shared" si="13"/>
        <v>57331</v>
      </c>
      <c r="BY32" s="28">
        <f t="shared" si="13"/>
        <v>57513.5</v>
      </c>
      <c r="BZ32" s="28">
        <f t="shared" si="13"/>
        <v>57696</v>
      </c>
      <c r="CA32" s="28">
        <f t="shared" si="13"/>
        <v>57878.5</v>
      </c>
      <c r="CB32" s="29">
        <f t="shared" si="13"/>
        <v>58061</v>
      </c>
    </row>
    <row r="33" spans="1:80" s="5" customFormat="1">
      <c r="A33" s="163" t="s">
        <v>23</v>
      </c>
      <c r="B33" s="30">
        <f>(IF(B32=F3,100,0)+IF(G3=1,1,0.5)*J3*100)*IF(ISBLANK(F3)=TRUE,0,1)</f>
        <v>100</v>
      </c>
      <c r="C33" s="31">
        <f>IF(C32&gt;$F3+1,0,1)*(IF(D33=0,100,0)+IF($G3=1,1,0.5)*$J3*100)</f>
        <v>0</v>
      </c>
      <c r="D33" s="31">
        <f t="shared" ref="D33:BO33" si="14">IF(D32&gt;$F3+1,0,1)*(IF(E33=0,100,0)+IF($G3=1,1,0.5)*$J3*100)</f>
        <v>0</v>
      </c>
      <c r="E33" s="31">
        <f t="shared" si="14"/>
        <v>0</v>
      </c>
      <c r="F33" s="31">
        <f t="shared" si="14"/>
        <v>0</v>
      </c>
      <c r="G33" s="31">
        <f t="shared" si="14"/>
        <v>0</v>
      </c>
      <c r="H33" s="31">
        <f t="shared" si="14"/>
        <v>0</v>
      </c>
      <c r="I33" s="31">
        <f t="shared" si="14"/>
        <v>0</v>
      </c>
      <c r="J33" s="31">
        <f t="shared" si="14"/>
        <v>0</v>
      </c>
      <c r="K33" s="31">
        <f t="shared" si="14"/>
        <v>0</v>
      </c>
      <c r="L33" s="31">
        <f t="shared" si="14"/>
        <v>0</v>
      </c>
      <c r="M33" s="31">
        <f t="shared" si="14"/>
        <v>0</v>
      </c>
      <c r="N33" s="31">
        <f t="shared" si="14"/>
        <v>0</v>
      </c>
      <c r="O33" s="31">
        <f t="shared" si="14"/>
        <v>0</v>
      </c>
      <c r="P33" s="31">
        <f t="shared" si="14"/>
        <v>0</v>
      </c>
      <c r="Q33" s="31">
        <f t="shared" si="14"/>
        <v>0</v>
      </c>
      <c r="R33" s="31">
        <f t="shared" si="14"/>
        <v>0</v>
      </c>
      <c r="S33" s="31">
        <f t="shared" si="14"/>
        <v>0</v>
      </c>
      <c r="T33" s="31">
        <f t="shared" si="14"/>
        <v>0</v>
      </c>
      <c r="U33" s="31">
        <f t="shared" si="14"/>
        <v>0</v>
      </c>
      <c r="V33" s="31">
        <f t="shared" si="14"/>
        <v>0</v>
      </c>
      <c r="W33" s="31">
        <f t="shared" si="14"/>
        <v>0</v>
      </c>
      <c r="X33" s="31">
        <f t="shared" si="14"/>
        <v>0</v>
      </c>
      <c r="Y33" s="31">
        <f t="shared" si="14"/>
        <v>0</v>
      </c>
      <c r="Z33" s="31">
        <f t="shared" si="14"/>
        <v>0</v>
      </c>
      <c r="AA33" s="31">
        <f t="shared" si="14"/>
        <v>0</v>
      </c>
      <c r="AB33" s="31">
        <f t="shared" si="14"/>
        <v>0</v>
      </c>
      <c r="AC33" s="31">
        <f t="shared" si="14"/>
        <v>0</v>
      </c>
      <c r="AD33" s="31">
        <f t="shared" si="14"/>
        <v>0</v>
      </c>
      <c r="AE33" s="31">
        <f t="shared" si="14"/>
        <v>0</v>
      </c>
      <c r="AF33" s="31">
        <f t="shared" si="14"/>
        <v>0</v>
      </c>
      <c r="AG33" s="31">
        <f t="shared" si="14"/>
        <v>0</v>
      </c>
      <c r="AH33" s="31">
        <f t="shared" si="14"/>
        <v>0</v>
      </c>
      <c r="AI33" s="31">
        <f t="shared" si="14"/>
        <v>0</v>
      </c>
      <c r="AJ33" s="31">
        <f t="shared" si="14"/>
        <v>0</v>
      </c>
      <c r="AK33" s="31">
        <f t="shared" si="14"/>
        <v>0</v>
      </c>
      <c r="AL33" s="31">
        <f t="shared" si="14"/>
        <v>0</v>
      </c>
      <c r="AM33" s="31">
        <f t="shared" si="14"/>
        <v>0</v>
      </c>
      <c r="AN33" s="31">
        <f t="shared" si="14"/>
        <v>0</v>
      </c>
      <c r="AO33" s="31">
        <f t="shared" si="14"/>
        <v>0</v>
      </c>
      <c r="AP33" s="31">
        <f t="shared" si="14"/>
        <v>0</v>
      </c>
      <c r="AQ33" s="31">
        <f t="shared" si="14"/>
        <v>0</v>
      </c>
      <c r="AR33" s="31">
        <f t="shared" si="14"/>
        <v>0</v>
      </c>
      <c r="AS33" s="31">
        <f t="shared" si="14"/>
        <v>0</v>
      </c>
      <c r="AT33" s="31">
        <f t="shared" si="14"/>
        <v>0</v>
      </c>
      <c r="AU33" s="31">
        <f t="shared" si="14"/>
        <v>0</v>
      </c>
      <c r="AV33" s="31">
        <f t="shared" si="14"/>
        <v>0</v>
      </c>
      <c r="AW33" s="31">
        <f t="shared" si="14"/>
        <v>0</v>
      </c>
      <c r="AX33" s="31">
        <f t="shared" si="14"/>
        <v>0</v>
      </c>
      <c r="AY33" s="31">
        <f t="shared" si="14"/>
        <v>0</v>
      </c>
      <c r="AZ33" s="31">
        <f t="shared" si="14"/>
        <v>0</v>
      </c>
      <c r="BA33" s="31">
        <f t="shared" si="14"/>
        <v>0</v>
      </c>
      <c r="BB33" s="31">
        <f t="shared" si="14"/>
        <v>0</v>
      </c>
      <c r="BC33" s="31">
        <f t="shared" si="14"/>
        <v>0</v>
      </c>
      <c r="BD33" s="31">
        <f t="shared" si="14"/>
        <v>0</v>
      </c>
      <c r="BE33" s="31">
        <f t="shared" si="14"/>
        <v>0</v>
      </c>
      <c r="BF33" s="31">
        <f t="shared" si="14"/>
        <v>0</v>
      </c>
      <c r="BG33" s="31">
        <f t="shared" si="14"/>
        <v>0</v>
      </c>
      <c r="BH33" s="31">
        <f t="shared" si="14"/>
        <v>0</v>
      </c>
      <c r="BI33" s="31">
        <f t="shared" si="14"/>
        <v>0</v>
      </c>
      <c r="BJ33" s="31">
        <f t="shared" si="14"/>
        <v>0</v>
      </c>
      <c r="BK33" s="31">
        <f t="shared" si="14"/>
        <v>0</v>
      </c>
      <c r="BL33" s="31">
        <f t="shared" si="14"/>
        <v>0</v>
      </c>
      <c r="BM33" s="31">
        <f t="shared" si="14"/>
        <v>0</v>
      </c>
      <c r="BN33" s="31">
        <f t="shared" si="14"/>
        <v>0</v>
      </c>
      <c r="BO33" s="31">
        <f t="shared" si="14"/>
        <v>0</v>
      </c>
      <c r="BP33" s="31">
        <f t="shared" ref="BP33:CB33" si="15">IF(BP32&gt;$F3+1,0,1)*(IF(BQ33=0,100,0)+IF($G3=1,1,0.5)*$J3*100)</f>
        <v>0</v>
      </c>
      <c r="BQ33" s="31">
        <f t="shared" si="15"/>
        <v>0</v>
      </c>
      <c r="BR33" s="31">
        <f t="shared" si="15"/>
        <v>0</v>
      </c>
      <c r="BS33" s="31">
        <f t="shared" si="15"/>
        <v>0</v>
      </c>
      <c r="BT33" s="31">
        <f t="shared" si="15"/>
        <v>0</v>
      </c>
      <c r="BU33" s="31">
        <f t="shared" si="15"/>
        <v>0</v>
      </c>
      <c r="BV33" s="31">
        <f t="shared" si="15"/>
        <v>0</v>
      </c>
      <c r="BW33" s="31">
        <f t="shared" si="15"/>
        <v>0</v>
      </c>
      <c r="BX33" s="31">
        <f t="shared" si="15"/>
        <v>0</v>
      </c>
      <c r="BY33" s="31">
        <f t="shared" si="15"/>
        <v>0</v>
      </c>
      <c r="BZ33" s="31">
        <f t="shared" si="15"/>
        <v>0</v>
      </c>
      <c r="CA33" s="31">
        <f t="shared" si="15"/>
        <v>0</v>
      </c>
      <c r="CB33" s="32">
        <f t="shared" si="15"/>
        <v>0</v>
      </c>
    </row>
    <row r="34" spans="1:80" s="6" customFormat="1">
      <c r="A34" s="263" t="s">
        <v>49</v>
      </c>
      <c r="B34" s="142" t="str">
        <f>IF(E4=0,F4,E4)</f>
        <v>6/25/2020</v>
      </c>
      <c r="C34" s="33">
        <f t="shared" ref="C34:BN34" si="16">B34+IF($G4=1,365,182.5)</f>
        <v>44189.5</v>
      </c>
      <c r="D34" s="33">
        <f t="shared" si="16"/>
        <v>44372</v>
      </c>
      <c r="E34" s="33">
        <f t="shared" si="16"/>
        <v>44554.5</v>
      </c>
      <c r="F34" s="33">
        <f t="shared" si="16"/>
        <v>44737</v>
      </c>
      <c r="G34" s="33">
        <f t="shared" si="16"/>
        <v>44919.5</v>
      </c>
      <c r="H34" s="33">
        <f t="shared" si="16"/>
        <v>45102</v>
      </c>
      <c r="I34" s="33">
        <f t="shared" si="16"/>
        <v>45284.5</v>
      </c>
      <c r="J34" s="33">
        <f t="shared" si="16"/>
        <v>45467</v>
      </c>
      <c r="K34" s="33">
        <f t="shared" si="16"/>
        <v>45649.5</v>
      </c>
      <c r="L34" s="33">
        <f t="shared" si="16"/>
        <v>45832</v>
      </c>
      <c r="M34" s="33">
        <f t="shared" si="16"/>
        <v>46014.5</v>
      </c>
      <c r="N34" s="33">
        <f t="shared" si="16"/>
        <v>46197</v>
      </c>
      <c r="O34" s="33">
        <f t="shared" si="16"/>
        <v>46379.5</v>
      </c>
      <c r="P34" s="33">
        <f t="shared" si="16"/>
        <v>46562</v>
      </c>
      <c r="Q34" s="33">
        <f t="shared" si="16"/>
        <v>46744.5</v>
      </c>
      <c r="R34" s="33">
        <f t="shared" si="16"/>
        <v>46927</v>
      </c>
      <c r="S34" s="33">
        <f t="shared" si="16"/>
        <v>47109.5</v>
      </c>
      <c r="T34" s="33">
        <f t="shared" si="16"/>
        <v>47292</v>
      </c>
      <c r="U34" s="33">
        <f t="shared" si="16"/>
        <v>47474.5</v>
      </c>
      <c r="V34" s="33">
        <f t="shared" si="16"/>
        <v>47657</v>
      </c>
      <c r="W34" s="33">
        <f t="shared" si="16"/>
        <v>47839.5</v>
      </c>
      <c r="X34" s="33">
        <f t="shared" si="16"/>
        <v>48022</v>
      </c>
      <c r="Y34" s="33">
        <f t="shared" si="16"/>
        <v>48204.5</v>
      </c>
      <c r="Z34" s="33">
        <f t="shared" si="16"/>
        <v>48387</v>
      </c>
      <c r="AA34" s="33">
        <f t="shared" si="16"/>
        <v>48569.5</v>
      </c>
      <c r="AB34" s="33">
        <f t="shared" si="16"/>
        <v>48752</v>
      </c>
      <c r="AC34" s="33">
        <f t="shared" si="16"/>
        <v>48934.5</v>
      </c>
      <c r="AD34" s="33">
        <f t="shared" si="16"/>
        <v>49117</v>
      </c>
      <c r="AE34" s="33">
        <f t="shared" si="16"/>
        <v>49299.5</v>
      </c>
      <c r="AF34" s="33">
        <f t="shared" si="16"/>
        <v>49482</v>
      </c>
      <c r="AG34" s="33">
        <f t="shared" si="16"/>
        <v>49664.5</v>
      </c>
      <c r="AH34" s="33">
        <f t="shared" si="16"/>
        <v>49847</v>
      </c>
      <c r="AI34" s="33">
        <f t="shared" si="16"/>
        <v>50029.5</v>
      </c>
      <c r="AJ34" s="33">
        <f t="shared" si="16"/>
        <v>50212</v>
      </c>
      <c r="AK34" s="33">
        <f t="shared" si="16"/>
        <v>50394.5</v>
      </c>
      <c r="AL34" s="33">
        <f t="shared" si="16"/>
        <v>50577</v>
      </c>
      <c r="AM34" s="33">
        <f t="shared" si="16"/>
        <v>50759.5</v>
      </c>
      <c r="AN34" s="33">
        <f t="shared" si="16"/>
        <v>50942</v>
      </c>
      <c r="AO34" s="33">
        <f t="shared" si="16"/>
        <v>51124.5</v>
      </c>
      <c r="AP34" s="33">
        <f t="shared" si="16"/>
        <v>51307</v>
      </c>
      <c r="AQ34" s="33">
        <f t="shared" si="16"/>
        <v>51489.5</v>
      </c>
      <c r="AR34" s="33">
        <f t="shared" si="16"/>
        <v>51672</v>
      </c>
      <c r="AS34" s="33">
        <f t="shared" si="16"/>
        <v>51854.5</v>
      </c>
      <c r="AT34" s="33">
        <f t="shared" si="16"/>
        <v>52037</v>
      </c>
      <c r="AU34" s="33">
        <f t="shared" si="16"/>
        <v>52219.5</v>
      </c>
      <c r="AV34" s="33">
        <f t="shared" si="16"/>
        <v>52402</v>
      </c>
      <c r="AW34" s="33">
        <f t="shared" si="16"/>
        <v>52584.5</v>
      </c>
      <c r="AX34" s="33">
        <f t="shared" si="16"/>
        <v>52767</v>
      </c>
      <c r="AY34" s="33">
        <f t="shared" si="16"/>
        <v>52949.5</v>
      </c>
      <c r="AZ34" s="33">
        <f t="shared" si="16"/>
        <v>53132</v>
      </c>
      <c r="BA34" s="33">
        <f t="shared" si="16"/>
        <v>53314.5</v>
      </c>
      <c r="BB34" s="33">
        <f t="shared" si="16"/>
        <v>53497</v>
      </c>
      <c r="BC34" s="33">
        <f t="shared" si="16"/>
        <v>53679.5</v>
      </c>
      <c r="BD34" s="33">
        <f t="shared" si="16"/>
        <v>53862</v>
      </c>
      <c r="BE34" s="33">
        <f t="shared" si="16"/>
        <v>54044.5</v>
      </c>
      <c r="BF34" s="33">
        <f t="shared" si="16"/>
        <v>54227</v>
      </c>
      <c r="BG34" s="33">
        <f t="shared" si="16"/>
        <v>54409.5</v>
      </c>
      <c r="BH34" s="33">
        <f t="shared" si="16"/>
        <v>54592</v>
      </c>
      <c r="BI34" s="33">
        <f t="shared" si="16"/>
        <v>54774.5</v>
      </c>
      <c r="BJ34" s="33">
        <f t="shared" si="16"/>
        <v>54957</v>
      </c>
      <c r="BK34" s="33">
        <f t="shared" si="16"/>
        <v>55139.5</v>
      </c>
      <c r="BL34" s="33">
        <f t="shared" si="16"/>
        <v>55322</v>
      </c>
      <c r="BM34" s="33">
        <f t="shared" si="16"/>
        <v>55504.5</v>
      </c>
      <c r="BN34" s="33">
        <f t="shared" si="16"/>
        <v>55687</v>
      </c>
      <c r="BO34" s="33">
        <f t="shared" ref="BO34:CB34" si="17">BN34+IF($G4=1,365,182.5)</f>
        <v>55869.5</v>
      </c>
      <c r="BP34" s="33">
        <f t="shared" si="17"/>
        <v>56052</v>
      </c>
      <c r="BQ34" s="33">
        <f t="shared" si="17"/>
        <v>56234.5</v>
      </c>
      <c r="BR34" s="33">
        <f t="shared" si="17"/>
        <v>56417</v>
      </c>
      <c r="BS34" s="33">
        <f t="shared" si="17"/>
        <v>56599.5</v>
      </c>
      <c r="BT34" s="33">
        <f t="shared" si="17"/>
        <v>56782</v>
      </c>
      <c r="BU34" s="33">
        <f t="shared" si="17"/>
        <v>56964.5</v>
      </c>
      <c r="BV34" s="33">
        <f t="shared" si="17"/>
        <v>57147</v>
      </c>
      <c r="BW34" s="33">
        <f t="shared" si="17"/>
        <v>57329.5</v>
      </c>
      <c r="BX34" s="33">
        <f t="shared" si="17"/>
        <v>57512</v>
      </c>
      <c r="BY34" s="33">
        <f t="shared" si="17"/>
        <v>57694.5</v>
      </c>
      <c r="BZ34" s="33">
        <f t="shared" si="17"/>
        <v>57877</v>
      </c>
      <c r="CA34" s="33">
        <f t="shared" si="17"/>
        <v>58059.5</v>
      </c>
      <c r="CB34" s="34">
        <f t="shared" si="17"/>
        <v>58242</v>
      </c>
    </row>
    <row r="35" spans="1:80">
      <c r="A35" s="164" t="s">
        <v>19</v>
      </c>
      <c r="B35" s="105">
        <f>(IF(B34=F4,100,0)+IF(G4=1,1,0.5)*J4*100)*IF(ISBLANK(F4)=TRUE,0,1)</f>
        <v>100</v>
      </c>
      <c r="C35" s="35">
        <f>IF(C34&gt;$F4+1,0,1)*(IF(D35=0,100,0)+IF($G4=1,1,0.5)*$J4*100)</f>
        <v>0</v>
      </c>
      <c r="D35" s="35">
        <f t="shared" ref="D35:BO35" si="18">IF(D34&gt;$F4+1,0,1)*(IF(E35=0,100,0)+IF($G4=1,1,0.5)*$J4*100)</f>
        <v>0</v>
      </c>
      <c r="E35" s="35">
        <f t="shared" si="18"/>
        <v>0</v>
      </c>
      <c r="F35" s="35">
        <f t="shared" si="18"/>
        <v>0</v>
      </c>
      <c r="G35" s="35">
        <f t="shared" si="18"/>
        <v>0</v>
      </c>
      <c r="H35" s="35">
        <f t="shared" si="18"/>
        <v>0</v>
      </c>
      <c r="I35" s="35">
        <f t="shared" si="18"/>
        <v>0</v>
      </c>
      <c r="J35" s="35">
        <f t="shared" si="18"/>
        <v>0</v>
      </c>
      <c r="K35" s="35">
        <f t="shared" si="18"/>
        <v>0</v>
      </c>
      <c r="L35" s="35">
        <f t="shared" si="18"/>
        <v>0</v>
      </c>
      <c r="M35" s="35">
        <f t="shared" si="18"/>
        <v>0</v>
      </c>
      <c r="N35" s="35">
        <f t="shared" si="18"/>
        <v>0</v>
      </c>
      <c r="O35" s="35">
        <f t="shared" si="18"/>
        <v>0</v>
      </c>
      <c r="P35" s="35">
        <f t="shared" si="18"/>
        <v>0</v>
      </c>
      <c r="Q35" s="35">
        <f t="shared" si="18"/>
        <v>0</v>
      </c>
      <c r="R35" s="35">
        <f t="shared" si="18"/>
        <v>0</v>
      </c>
      <c r="S35" s="35">
        <f t="shared" si="18"/>
        <v>0</v>
      </c>
      <c r="T35" s="35">
        <f t="shared" si="18"/>
        <v>0</v>
      </c>
      <c r="U35" s="35">
        <f t="shared" si="18"/>
        <v>0</v>
      </c>
      <c r="V35" s="35">
        <f t="shared" si="18"/>
        <v>0</v>
      </c>
      <c r="W35" s="35">
        <f t="shared" si="18"/>
        <v>0</v>
      </c>
      <c r="X35" s="35">
        <f t="shared" si="18"/>
        <v>0</v>
      </c>
      <c r="Y35" s="35">
        <f t="shared" si="18"/>
        <v>0</v>
      </c>
      <c r="Z35" s="35">
        <f t="shared" si="18"/>
        <v>0</v>
      </c>
      <c r="AA35" s="35">
        <f t="shared" si="18"/>
        <v>0</v>
      </c>
      <c r="AB35" s="35">
        <f t="shared" si="18"/>
        <v>0</v>
      </c>
      <c r="AC35" s="35">
        <f t="shared" si="18"/>
        <v>0</v>
      </c>
      <c r="AD35" s="35">
        <f t="shared" si="18"/>
        <v>0</v>
      </c>
      <c r="AE35" s="35">
        <f t="shared" si="18"/>
        <v>0</v>
      </c>
      <c r="AF35" s="35">
        <f t="shared" si="18"/>
        <v>0</v>
      </c>
      <c r="AG35" s="35">
        <f t="shared" si="18"/>
        <v>0</v>
      </c>
      <c r="AH35" s="35">
        <f t="shared" si="18"/>
        <v>0</v>
      </c>
      <c r="AI35" s="35">
        <f t="shared" si="18"/>
        <v>0</v>
      </c>
      <c r="AJ35" s="35">
        <f t="shared" si="18"/>
        <v>0</v>
      </c>
      <c r="AK35" s="35">
        <f t="shared" si="18"/>
        <v>0</v>
      </c>
      <c r="AL35" s="35">
        <f t="shared" si="18"/>
        <v>0</v>
      </c>
      <c r="AM35" s="35">
        <f t="shared" si="18"/>
        <v>0</v>
      </c>
      <c r="AN35" s="35">
        <f t="shared" si="18"/>
        <v>0</v>
      </c>
      <c r="AO35" s="35">
        <f t="shared" si="18"/>
        <v>0</v>
      </c>
      <c r="AP35" s="35">
        <f t="shared" si="18"/>
        <v>0</v>
      </c>
      <c r="AQ35" s="35">
        <f t="shared" si="18"/>
        <v>0</v>
      </c>
      <c r="AR35" s="35">
        <f t="shared" si="18"/>
        <v>0</v>
      </c>
      <c r="AS35" s="35">
        <f t="shared" si="18"/>
        <v>0</v>
      </c>
      <c r="AT35" s="35">
        <f t="shared" si="18"/>
        <v>0</v>
      </c>
      <c r="AU35" s="35">
        <f t="shared" si="18"/>
        <v>0</v>
      </c>
      <c r="AV35" s="35">
        <f t="shared" si="18"/>
        <v>0</v>
      </c>
      <c r="AW35" s="35">
        <f t="shared" si="18"/>
        <v>0</v>
      </c>
      <c r="AX35" s="35">
        <f t="shared" si="18"/>
        <v>0</v>
      </c>
      <c r="AY35" s="35">
        <f t="shared" si="18"/>
        <v>0</v>
      </c>
      <c r="AZ35" s="35">
        <f t="shared" si="18"/>
        <v>0</v>
      </c>
      <c r="BA35" s="35">
        <f t="shared" si="18"/>
        <v>0</v>
      </c>
      <c r="BB35" s="35">
        <f t="shared" si="18"/>
        <v>0</v>
      </c>
      <c r="BC35" s="35">
        <f t="shared" si="18"/>
        <v>0</v>
      </c>
      <c r="BD35" s="35">
        <f t="shared" si="18"/>
        <v>0</v>
      </c>
      <c r="BE35" s="35">
        <f t="shared" si="18"/>
        <v>0</v>
      </c>
      <c r="BF35" s="35">
        <f t="shared" si="18"/>
        <v>0</v>
      </c>
      <c r="BG35" s="35">
        <f t="shared" si="18"/>
        <v>0</v>
      </c>
      <c r="BH35" s="35">
        <f t="shared" si="18"/>
        <v>0</v>
      </c>
      <c r="BI35" s="35">
        <f t="shared" si="18"/>
        <v>0</v>
      </c>
      <c r="BJ35" s="35">
        <f t="shared" si="18"/>
        <v>0</v>
      </c>
      <c r="BK35" s="35">
        <f t="shared" si="18"/>
        <v>0</v>
      </c>
      <c r="BL35" s="35">
        <f t="shared" si="18"/>
        <v>0</v>
      </c>
      <c r="BM35" s="35">
        <f t="shared" si="18"/>
        <v>0</v>
      </c>
      <c r="BN35" s="35">
        <f t="shared" si="18"/>
        <v>0</v>
      </c>
      <c r="BO35" s="35">
        <f t="shared" si="18"/>
        <v>0</v>
      </c>
      <c r="BP35" s="35">
        <f t="shared" ref="BP35:CB35" si="19">IF(BP34&gt;$F4+1,0,1)*(IF(BQ35=0,100,0)+IF($G4=1,1,0.5)*$J4*100)</f>
        <v>0</v>
      </c>
      <c r="BQ35" s="35">
        <f t="shared" si="19"/>
        <v>0</v>
      </c>
      <c r="BR35" s="35">
        <f t="shared" si="19"/>
        <v>0</v>
      </c>
      <c r="BS35" s="35">
        <f t="shared" si="19"/>
        <v>0</v>
      </c>
      <c r="BT35" s="35">
        <f t="shared" si="19"/>
        <v>0</v>
      </c>
      <c r="BU35" s="35">
        <f t="shared" si="19"/>
        <v>0</v>
      </c>
      <c r="BV35" s="35">
        <f t="shared" si="19"/>
        <v>0</v>
      </c>
      <c r="BW35" s="35">
        <f t="shared" si="19"/>
        <v>0</v>
      </c>
      <c r="BX35" s="35">
        <f t="shared" si="19"/>
        <v>0</v>
      </c>
      <c r="BY35" s="35">
        <f t="shared" si="19"/>
        <v>0</v>
      </c>
      <c r="BZ35" s="35">
        <f t="shared" si="19"/>
        <v>0</v>
      </c>
      <c r="CA35" s="35">
        <f t="shared" si="19"/>
        <v>0</v>
      </c>
      <c r="CB35" s="36">
        <f t="shared" si="19"/>
        <v>0</v>
      </c>
    </row>
    <row r="36" spans="1:80">
      <c r="A36" s="262" t="s">
        <v>49</v>
      </c>
      <c r="B36" s="144" t="str">
        <f>IF(E5=0,F5,E5)</f>
        <v>11/1/2019</v>
      </c>
      <c r="C36" s="145">
        <f>B36+IF($G5=1,365,182.5)</f>
        <v>43952.5</v>
      </c>
      <c r="D36" s="145">
        <f t="shared" ref="D36:BO36" si="20">C36+IF($G5=1,365,182.5)</f>
        <v>44135</v>
      </c>
      <c r="E36" s="141">
        <f t="shared" si="20"/>
        <v>44317.5</v>
      </c>
      <c r="F36" s="145">
        <f t="shared" si="20"/>
        <v>44500</v>
      </c>
      <c r="G36" s="145">
        <f t="shared" si="20"/>
        <v>44682.5</v>
      </c>
      <c r="H36" s="145">
        <f t="shared" si="20"/>
        <v>44865</v>
      </c>
      <c r="I36" s="145">
        <f t="shared" si="20"/>
        <v>45047.5</v>
      </c>
      <c r="J36" s="145">
        <f t="shared" si="20"/>
        <v>45230</v>
      </c>
      <c r="K36" s="145">
        <f t="shared" si="20"/>
        <v>45412.5</v>
      </c>
      <c r="L36" s="145">
        <f t="shared" si="20"/>
        <v>45595</v>
      </c>
      <c r="M36" s="145">
        <f t="shared" si="20"/>
        <v>45777.5</v>
      </c>
      <c r="N36" s="145">
        <f t="shared" si="20"/>
        <v>45960</v>
      </c>
      <c r="O36" s="145">
        <f t="shared" si="20"/>
        <v>46142.5</v>
      </c>
      <c r="P36" s="145">
        <f t="shared" si="20"/>
        <v>46325</v>
      </c>
      <c r="Q36" s="145">
        <f t="shared" si="20"/>
        <v>46507.5</v>
      </c>
      <c r="R36" s="145">
        <f t="shared" si="20"/>
        <v>46690</v>
      </c>
      <c r="S36" s="145">
        <f t="shared" si="20"/>
        <v>46872.5</v>
      </c>
      <c r="T36" s="145">
        <f t="shared" si="20"/>
        <v>47055</v>
      </c>
      <c r="U36" s="145">
        <f t="shared" si="20"/>
        <v>47237.5</v>
      </c>
      <c r="V36" s="145">
        <f t="shared" si="20"/>
        <v>47420</v>
      </c>
      <c r="W36" s="145">
        <f t="shared" si="20"/>
        <v>47602.5</v>
      </c>
      <c r="X36" s="145">
        <f t="shared" si="20"/>
        <v>47785</v>
      </c>
      <c r="Y36" s="145">
        <f t="shared" si="20"/>
        <v>47967.5</v>
      </c>
      <c r="Z36" s="145">
        <f t="shared" si="20"/>
        <v>48150</v>
      </c>
      <c r="AA36" s="145">
        <f t="shared" si="20"/>
        <v>48332.5</v>
      </c>
      <c r="AB36" s="145">
        <f t="shared" si="20"/>
        <v>48515</v>
      </c>
      <c r="AC36" s="145">
        <f t="shared" si="20"/>
        <v>48697.5</v>
      </c>
      <c r="AD36" s="145">
        <f t="shared" si="20"/>
        <v>48880</v>
      </c>
      <c r="AE36" s="145">
        <f t="shared" si="20"/>
        <v>49062.5</v>
      </c>
      <c r="AF36" s="145">
        <f t="shared" si="20"/>
        <v>49245</v>
      </c>
      <c r="AG36" s="145">
        <f t="shared" si="20"/>
        <v>49427.5</v>
      </c>
      <c r="AH36" s="145">
        <f t="shared" si="20"/>
        <v>49610</v>
      </c>
      <c r="AI36" s="145">
        <f t="shared" si="20"/>
        <v>49792.5</v>
      </c>
      <c r="AJ36" s="145">
        <f t="shared" si="20"/>
        <v>49975</v>
      </c>
      <c r="AK36" s="145">
        <f t="shared" si="20"/>
        <v>50157.5</v>
      </c>
      <c r="AL36" s="145">
        <f t="shared" si="20"/>
        <v>50340</v>
      </c>
      <c r="AM36" s="145">
        <f t="shared" si="20"/>
        <v>50522.5</v>
      </c>
      <c r="AN36" s="145">
        <f t="shared" si="20"/>
        <v>50705</v>
      </c>
      <c r="AO36" s="145">
        <f t="shared" si="20"/>
        <v>50887.5</v>
      </c>
      <c r="AP36" s="145">
        <f t="shared" si="20"/>
        <v>51070</v>
      </c>
      <c r="AQ36" s="145">
        <f t="shared" si="20"/>
        <v>51252.5</v>
      </c>
      <c r="AR36" s="145">
        <f t="shared" si="20"/>
        <v>51435</v>
      </c>
      <c r="AS36" s="145">
        <f t="shared" si="20"/>
        <v>51617.5</v>
      </c>
      <c r="AT36" s="145">
        <f t="shared" si="20"/>
        <v>51800</v>
      </c>
      <c r="AU36" s="145">
        <f t="shared" si="20"/>
        <v>51982.5</v>
      </c>
      <c r="AV36" s="145">
        <f t="shared" si="20"/>
        <v>52165</v>
      </c>
      <c r="AW36" s="145">
        <f t="shared" si="20"/>
        <v>52347.5</v>
      </c>
      <c r="AX36" s="145">
        <f t="shared" si="20"/>
        <v>52530</v>
      </c>
      <c r="AY36" s="145">
        <f t="shared" si="20"/>
        <v>52712.5</v>
      </c>
      <c r="AZ36" s="145">
        <f t="shared" si="20"/>
        <v>52895</v>
      </c>
      <c r="BA36" s="145">
        <f t="shared" si="20"/>
        <v>53077.5</v>
      </c>
      <c r="BB36" s="145">
        <f t="shared" si="20"/>
        <v>53260</v>
      </c>
      <c r="BC36" s="145">
        <f t="shared" si="20"/>
        <v>53442.5</v>
      </c>
      <c r="BD36" s="145">
        <f t="shared" si="20"/>
        <v>53625</v>
      </c>
      <c r="BE36" s="145">
        <f t="shared" si="20"/>
        <v>53807.5</v>
      </c>
      <c r="BF36" s="145">
        <f t="shared" si="20"/>
        <v>53990</v>
      </c>
      <c r="BG36" s="145">
        <f t="shared" si="20"/>
        <v>54172.5</v>
      </c>
      <c r="BH36" s="145">
        <f t="shared" si="20"/>
        <v>54355</v>
      </c>
      <c r="BI36" s="145">
        <f t="shared" si="20"/>
        <v>54537.5</v>
      </c>
      <c r="BJ36" s="145">
        <f t="shared" si="20"/>
        <v>54720</v>
      </c>
      <c r="BK36" s="145">
        <f t="shared" si="20"/>
        <v>54902.5</v>
      </c>
      <c r="BL36" s="145">
        <f t="shared" si="20"/>
        <v>55085</v>
      </c>
      <c r="BM36" s="145">
        <f t="shared" si="20"/>
        <v>55267.5</v>
      </c>
      <c r="BN36" s="145">
        <f t="shared" si="20"/>
        <v>55450</v>
      </c>
      <c r="BO36" s="145">
        <f t="shared" si="20"/>
        <v>55632.5</v>
      </c>
      <c r="BP36" s="145">
        <f t="shared" ref="BP36:CB36" si="21">BO36+IF($G5=1,365,182.5)</f>
        <v>55815</v>
      </c>
      <c r="BQ36" s="145">
        <f t="shared" si="21"/>
        <v>55997.5</v>
      </c>
      <c r="BR36" s="145">
        <f t="shared" si="21"/>
        <v>56180</v>
      </c>
      <c r="BS36" s="145">
        <f t="shared" si="21"/>
        <v>56362.5</v>
      </c>
      <c r="BT36" s="145">
        <f t="shared" si="21"/>
        <v>56545</v>
      </c>
      <c r="BU36" s="145">
        <f t="shared" si="21"/>
        <v>56727.5</v>
      </c>
      <c r="BV36" s="145">
        <f t="shared" si="21"/>
        <v>56910</v>
      </c>
      <c r="BW36" s="145">
        <f t="shared" si="21"/>
        <v>57092.5</v>
      </c>
      <c r="BX36" s="145">
        <f t="shared" si="21"/>
        <v>57275</v>
      </c>
      <c r="BY36" s="145">
        <f t="shared" si="21"/>
        <v>57457.5</v>
      </c>
      <c r="BZ36" s="145">
        <f t="shared" si="21"/>
        <v>57640</v>
      </c>
      <c r="CA36" s="145">
        <f t="shared" si="21"/>
        <v>57822.5</v>
      </c>
      <c r="CB36" s="146">
        <f t="shared" si="21"/>
        <v>58005</v>
      </c>
    </row>
    <row r="37" spans="1:80">
      <c r="A37" s="165" t="s">
        <v>24</v>
      </c>
      <c r="B37" s="147">
        <f>(IF(B36=F5,100,0)+IF(G5=1,1,0.5)*J5*100)*IF(ISBLANK(F5)=TRUE,0,1)</f>
        <v>0.87500000000000011</v>
      </c>
      <c r="C37" s="148">
        <f>IF(C36&gt;$F5+1,0,1)*(IF(D37=0,100,0)+IF($G5=1,1,0.5)*$J5*100)</f>
        <v>0.87500000000000011</v>
      </c>
      <c r="D37" s="148">
        <f t="shared" ref="D37:BO37" si="22">IF(D36&gt;$F5+1,0,1)*(IF(E37=0,100,0)+IF($G5=1,1,0.5)*$J5*100)</f>
        <v>0.87500000000000011</v>
      </c>
      <c r="E37" s="148">
        <f t="shared" si="22"/>
        <v>100.875</v>
      </c>
      <c r="F37" s="148">
        <f t="shared" si="22"/>
        <v>0</v>
      </c>
      <c r="G37" s="148">
        <f t="shared" si="22"/>
        <v>0</v>
      </c>
      <c r="H37" s="148">
        <f t="shared" si="22"/>
        <v>0</v>
      </c>
      <c r="I37" s="148">
        <f t="shared" si="22"/>
        <v>0</v>
      </c>
      <c r="J37" s="148">
        <f t="shared" si="22"/>
        <v>0</v>
      </c>
      <c r="K37" s="148">
        <f t="shared" si="22"/>
        <v>0</v>
      </c>
      <c r="L37" s="148">
        <f t="shared" si="22"/>
        <v>0</v>
      </c>
      <c r="M37" s="148">
        <f t="shared" si="22"/>
        <v>0</v>
      </c>
      <c r="N37" s="148">
        <f t="shared" si="22"/>
        <v>0</v>
      </c>
      <c r="O37" s="148">
        <f t="shared" si="22"/>
        <v>0</v>
      </c>
      <c r="P37" s="148">
        <f t="shared" si="22"/>
        <v>0</v>
      </c>
      <c r="Q37" s="148">
        <f t="shared" si="22"/>
        <v>0</v>
      </c>
      <c r="R37" s="148">
        <f t="shared" si="22"/>
        <v>0</v>
      </c>
      <c r="S37" s="148">
        <f t="shared" si="22"/>
        <v>0</v>
      </c>
      <c r="T37" s="148">
        <f t="shared" si="22"/>
        <v>0</v>
      </c>
      <c r="U37" s="148">
        <f t="shared" si="22"/>
        <v>0</v>
      </c>
      <c r="V37" s="148">
        <f t="shared" si="22"/>
        <v>0</v>
      </c>
      <c r="W37" s="148">
        <f t="shared" si="22"/>
        <v>0</v>
      </c>
      <c r="X37" s="148">
        <f t="shared" si="22"/>
        <v>0</v>
      </c>
      <c r="Y37" s="148">
        <f t="shared" si="22"/>
        <v>0</v>
      </c>
      <c r="Z37" s="148">
        <f t="shared" si="22"/>
        <v>0</v>
      </c>
      <c r="AA37" s="148">
        <f t="shared" si="22"/>
        <v>0</v>
      </c>
      <c r="AB37" s="148">
        <f t="shared" si="22"/>
        <v>0</v>
      </c>
      <c r="AC37" s="148">
        <f t="shared" si="22"/>
        <v>0</v>
      </c>
      <c r="AD37" s="148">
        <f t="shared" si="22"/>
        <v>0</v>
      </c>
      <c r="AE37" s="148">
        <f t="shared" si="22"/>
        <v>0</v>
      </c>
      <c r="AF37" s="148">
        <f t="shared" si="22"/>
        <v>0</v>
      </c>
      <c r="AG37" s="148">
        <f t="shared" si="22"/>
        <v>0</v>
      </c>
      <c r="AH37" s="148">
        <f t="shared" si="22"/>
        <v>0</v>
      </c>
      <c r="AI37" s="148">
        <f t="shared" si="22"/>
        <v>0</v>
      </c>
      <c r="AJ37" s="148">
        <f t="shared" si="22"/>
        <v>0</v>
      </c>
      <c r="AK37" s="148">
        <f t="shared" si="22"/>
        <v>0</v>
      </c>
      <c r="AL37" s="148">
        <f t="shared" si="22"/>
        <v>0</v>
      </c>
      <c r="AM37" s="148">
        <f t="shared" si="22"/>
        <v>0</v>
      </c>
      <c r="AN37" s="148">
        <f t="shared" si="22"/>
        <v>0</v>
      </c>
      <c r="AO37" s="148">
        <f t="shared" si="22"/>
        <v>0</v>
      </c>
      <c r="AP37" s="148">
        <f t="shared" si="22"/>
        <v>0</v>
      </c>
      <c r="AQ37" s="148">
        <f t="shared" si="22"/>
        <v>0</v>
      </c>
      <c r="AR37" s="148">
        <f t="shared" si="22"/>
        <v>0</v>
      </c>
      <c r="AS37" s="148">
        <f t="shared" si="22"/>
        <v>0</v>
      </c>
      <c r="AT37" s="148">
        <f t="shared" si="22"/>
        <v>0</v>
      </c>
      <c r="AU37" s="148">
        <f t="shared" si="22"/>
        <v>0</v>
      </c>
      <c r="AV37" s="148">
        <f t="shared" si="22"/>
        <v>0</v>
      </c>
      <c r="AW37" s="148">
        <f t="shared" si="22"/>
        <v>0</v>
      </c>
      <c r="AX37" s="148">
        <f t="shared" si="22"/>
        <v>0</v>
      </c>
      <c r="AY37" s="148">
        <f t="shared" si="22"/>
        <v>0</v>
      </c>
      <c r="AZ37" s="148">
        <f t="shared" si="22"/>
        <v>0</v>
      </c>
      <c r="BA37" s="148">
        <f t="shared" si="22"/>
        <v>0</v>
      </c>
      <c r="BB37" s="148">
        <f t="shared" si="22"/>
        <v>0</v>
      </c>
      <c r="BC37" s="148">
        <f t="shared" si="22"/>
        <v>0</v>
      </c>
      <c r="BD37" s="148">
        <f t="shared" si="22"/>
        <v>0</v>
      </c>
      <c r="BE37" s="148">
        <f t="shared" si="22"/>
        <v>0</v>
      </c>
      <c r="BF37" s="148">
        <f t="shared" si="22"/>
        <v>0</v>
      </c>
      <c r="BG37" s="148">
        <f t="shared" si="22"/>
        <v>0</v>
      </c>
      <c r="BH37" s="148">
        <f t="shared" si="22"/>
        <v>0</v>
      </c>
      <c r="BI37" s="148">
        <f t="shared" si="22"/>
        <v>0</v>
      </c>
      <c r="BJ37" s="148">
        <f t="shared" si="22"/>
        <v>0</v>
      </c>
      <c r="BK37" s="148">
        <f t="shared" si="22"/>
        <v>0</v>
      </c>
      <c r="BL37" s="148">
        <f t="shared" si="22"/>
        <v>0</v>
      </c>
      <c r="BM37" s="148">
        <f t="shared" si="22"/>
        <v>0</v>
      </c>
      <c r="BN37" s="148">
        <f t="shared" si="22"/>
        <v>0</v>
      </c>
      <c r="BO37" s="148">
        <f t="shared" si="22"/>
        <v>0</v>
      </c>
      <c r="BP37" s="148">
        <f t="shared" ref="BP37:CB37" si="23">IF(BP36&gt;$F5+1,0,1)*(IF(BQ37=0,100,0)+IF($G5=1,1,0.5)*$J5*100)</f>
        <v>0</v>
      </c>
      <c r="BQ37" s="148">
        <f t="shared" si="23"/>
        <v>0</v>
      </c>
      <c r="BR37" s="148">
        <f t="shared" si="23"/>
        <v>0</v>
      </c>
      <c r="BS37" s="148">
        <f t="shared" si="23"/>
        <v>0</v>
      </c>
      <c r="BT37" s="148">
        <f t="shared" si="23"/>
        <v>0</v>
      </c>
      <c r="BU37" s="148">
        <f t="shared" si="23"/>
        <v>0</v>
      </c>
      <c r="BV37" s="148">
        <f t="shared" si="23"/>
        <v>0</v>
      </c>
      <c r="BW37" s="148">
        <f t="shared" si="23"/>
        <v>0</v>
      </c>
      <c r="BX37" s="148">
        <f t="shared" si="23"/>
        <v>0</v>
      </c>
      <c r="BY37" s="148">
        <f t="shared" si="23"/>
        <v>0</v>
      </c>
      <c r="BZ37" s="148">
        <f t="shared" si="23"/>
        <v>0</v>
      </c>
      <c r="CA37" s="148">
        <f t="shared" si="23"/>
        <v>0</v>
      </c>
      <c r="CB37" s="154">
        <f t="shared" si="23"/>
        <v>0</v>
      </c>
    </row>
    <row r="38" spans="1:80">
      <c r="A38" s="261" t="s">
        <v>49</v>
      </c>
      <c r="B38" s="37" t="str">
        <f>IF(E6=0,F6,E6)</f>
        <v>9/1/2019</v>
      </c>
      <c r="C38" s="38">
        <f>B38+IF($G6=1,365,182.5)</f>
        <v>43891.5</v>
      </c>
      <c r="D38" s="38">
        <f t="shared" ref="D38:BO38" si="24">C38+IF($G6=1,365,182.5)</f>
        <v>44074</v>
      </c>
      <c r="E38" s="38">
        <f t="shared" si="24"/>
        <v>44256.5</v>
      </c>
      <c r="F38" s="38">
        <f t="shared" si="24"/>
        <v>44439</v>
      </c>
      <c r="G38" s="141">
        <f t="shared" si="24"/>
        <v>44621.5</v>
      </c>
      <c r="H38" s="38">
        <f t="shared" si="24"/>
        <v>44804</v>
      </c>
      <c r="I38" s="38">
        <f t="shared" si="24"/>
        <v>44986.5</v>
      </c>
      <c r="J38" s="38">
        <f t="shared" si="24"/>
        <v>45169</v>
      </c>
      <c r="K38" s="38">
        <f t="shared" si="24"/>
        <v>45351.5</v>
      </c>
      <c r="L38" s="38">
        <f t="shared" si="24"/>
        <v>45534</v>
      </c>
      <c r="M38" s="38">
        <f t="shared" si="24"/>
        <v>45716.5</v>
      </c>
      <c r="N38" s="38">
        <f t="shared" si="24"/>
        <v>45899</v>
      </c>
      <c r="O38" s="38">
        <f t="shared" si="24"/>
        <v>46081.5</v>
      </c>
      <c r="P38" s="38">
        <f t="shared" si="24"/>
        <v>46264</v>
      </c>
      <c r="Q38" s="38">
        <f t="shared" si="24"/>
        <v>46446.5</v>
      </c>
      <c r="R38" s="38">
        <f t="shared" si="24"/>
        <v>46629</v>
      </c>
      <c r="S38" s="38">
        <f t="shared" si="24"/>
        <v>46811.5</v>
      </c>
      <c r="T38" s="38">
        <f t="shared" si="24"/>
        <v>46994</v>
      </c>
      <c r="U38" s="38">
        <f t="shared" si="24"/>
        <v>47176.5</v>
      </c>
      <c r="V38" s="38">
        <f t="shared" si="24"/>
        <v>47359</v>
      </c>
      <c r="W38" s="38">
        <f t="shared" si="24"/>
        <v>47541.5</v>
      </c>
      <c r="X38" s="38">
        <f t="shared" si="24"/>
        <v>47724</v>
      </c>
      <c r="Y38" s="38">
        <f t="shared" si="24"/>
        <v>47906.5</v>
      </c>
      <c r="Z38" s="38">
        <f t="shared" si="24"/>
        <v>48089</v>
      </c>
      <c r="AA38" s="38">
        <f t="shared" si="24"/>
        <v>48271.5</v>
      </c>
      <c r="AB38" s="38">
        <f t="shared" si="24"/>
        <v>48454</v>
      </c>
      <c r="AC38" s="38">
        <f t="shared" si="24"/>
        <v>48636.5</v>
      </c>
      <c r="AD38" s="38">
        <f t="shared" si="24"/>
        <v>48819</v>
      </c>
      <c r="AE38" s="38">
        <f t="shared" si="24"/>
        <v>49001.5</v>
      </c>
      <c r="AF38" s="38">
        <f t="shared" si="24"/>
        <v>49184</v>
      </c>
      <c r="AG38" s="38">
        <f t="shared" si="24"/>
        <v>49366.5</v>
      </c>
      <c r="AH38" s="38">
        <f t="shared" si="24"/>
        <v>49549</v>
      </c>
      <c r="AI38" s="38">
        <f t="shared" si="24"/>
        <v>49731.5</v>
      </c>
      <c r="AJ38" s="38">
        <f t="shared" si="24"/>
        <v>49914</v>
      </c>
      <c r="AK38" s="38">
        <f t="shared" si="24"/>
        <v>50096.5</v>
      </c>
      <c r="AL38" s="38">
        <f t="shared" si="24"/>
        <v>50279</v>
      </c>
      <c r="AM38" s="38">
        <f t="shared" si="24"/>
        <v>50461.5</v>
      </c>
      <c r="AN38" s="38">
        <f t="shared" si="24"/>
        <v>50644</v>
      </c>
      <c r="AO38" s="38">
        <f t="shared" si="24"/>
        <v>50826.5</v>
      </c>
      <c r="AP38" s="38">
        <f t="shared" si="24"/>
        <v>51009</v>
      </c>
      <c r="AQ38" s="38">
        <f t="shared" si="24"/>
        <v>51191.5</v>
      </c>
      <c r="AR38" s="38">
        <f t="shared" si="24"/>
        <v>51374</v>
      </c>
      <c r="AS38" s="38">
        <f t="shared" si="24"/>
        <v>51556.5</v>
      </c>
      <c r="AT38" s="38">
        <f t="shared" si="24"/>
        <v>51739</v>
      </c>
      <c r="AU38" s="38">
        <f t="shared" si="24"/>
        <v>51921.5</v>
      </c>
      <c r="AV38" s="38">
        <f t="shared" si="24"/>
        <v>52104</v>
      </c>
      <c r="AW38" s="38">
        <f t="shared" si="24"/>
        <v>52286.5</v>
      </c>
      <c r="AX38" s="38">
        <f t="shared" si="24"/>
        <v>52469</v>
      </c>
      <c r="AY38" s="38">
        <f t="shared" si="24"/>
        <v>52651.5</v>
      </c>
      <c r="AZ38" s="38">
        <f t="shared" si="24"/>
        <v>52834</v>
      </c>
      <c r="BA38" s="38">
        <f t="shared" si="24"/>
        <v>53016.5</v>
      </c>
      <c r="BB38" s="38">
        <f t="shared" si="24"/>
        <v>53199</v>
      </c>
      <c r="BC38" s="38">
        <f t="shared" si="24"/>
        <v>53381.5</v>
      </c>
      <c r="BD38" s="38">
        <f t="shared" si="24"/>
        <v>53564</v>
      </c>
      <c r="BE38" s="38">
        <f t="shared" si="24"/>
        <v>53746.5</v>
      </c>
      <c r="BF38" s="38">
        <f t="shared" si="24"/>
        <v>53929</v>
      </c>
      <c r="BG38" s="38">
        <f t="shared" si="24"/>
        <v>54111.5</v>
      </c>
      <c r="BH38" s="38">
        <f t="shared" si="24"/>
        <v>54294</v>
      </c>
      <c r="BI38" s="38">
        <f t="shared" si="24"/>
        <v>54476.5</v>
      </c>
      <c r="BJ38" s="38">
        <f t="shared" si="24"/>
        <v>54659</v>
      </c>
      <c r="BK38" s="38">
        <f t="shared" si="24"/>
        <v>54841.5</v>
      </c>
      <c r="BL38" s="38">
        <f t="shared" si="24"/>
        <v>55024</v>
      </c>
      <c r="BM38" s="38">
        <f t="shared" si="24"/>
        <v>55206.5</v>
      </c>
      <c r="BN38" s="38">
        <f t="shared" si="24"/>
        <v>55389</v>
      </c>
      <c r="BO38" s="38">
        <f t="shared" si="24"/>
        <v>55571.5</v>
      </c>
      <c r="BP38" s="38">
        <f t="shared" ref="BP38:CB38" si="25">BO38+IF($G6=1,365,182.5)</f>
        <v>55754</v>
      </c>
      <c r="BQ38" s="38">
        <f t="shared" si="25"/>
        <v>55936.5</v>
      </c>
      <c r="BR38" s="38">
        <f t="shared" si="25"/>
        <v>56119</v>
      </c>
      <c r="BS38" s="38">
        <f t="shared" si="25"/>
        <v>56301.5</v>
      </c>
      <c r="BT38" s="38">
        <f t="shared" si="25"/>
        <v>56484</v>
      </c>
      <c r="BU38" s="38">
        <f t="shared" si="25"/>
        <v>56666.5</v>
      </c>
      <c r="BV38" s="38">
        <f t="shared" si="25"/>
        <v>56849</v>
      </c>
      <c r="BW38" s="38">
        <f t="shared" si="25"/>
        <v>57031.5</v>
      </c>
      <c r="BX38" s="38">
        <f t="shared" si="25"/>
        <v>57214</v>
      </c>
      <c r="BY38" s="38">
        <f t="shared" si="25"/>
        <v>57396.5</v>
      </c>
      <c r="BZ38" s="38">
        <f t="shared" si="25"/>
        <v>57579</v>
      </c>
      <c r="CA38" s="38">
        <f t="shared" si="25"/>
        <v>57761.5</v>
      </c>
      <c r="CB38" s="39">
        <f t="shared" si="25"/>
        <v>57944</v>
      </c>
    </row>
    <row r="39" spans="1:80">
      <c r="A39" s="166" t="s">
        <v>25</v>
      </c>
      <c r="B39" s="106">
        <f>(IF(B38=F6,100,0)+IF(G6=1,1,0.5)*J6*100)*IF(ISBLANK(F6)=TRUE,0,1)</f>
        <v>0.5</v>
      </c>
      <c r="C39" s="40">
        <f>IF(C38&gt;$F6+1,0,1)*(IF(D39=0,100,0)+IF($G6=1,1,0.5)*$J6*100)</f>
        <v>0.5</v>
      </c>
      <c r="D39" s="40">
        <f t="shared" ref="D39:BO39" si="26">IF(D38&gt;$F6+1,0,1)*(IF(E39=0,100,0)+IF($G6=1,1,0.5)*$J6*100)</f>
        <v>0.5</v>
      </c>
      <c r="E39" s="40">
        <f t="shared" si="26"/>
        <v>0.5</v>
      </c>
      <c r="F39" s="40">
        <f t="shared" si="26"/>
        <v>0.5</v>
      </c>
      <c r="G39" s="40">
        <f t="shared" si="26"/>
        <v>0.5</v>
      </c>
      <c r="H39" s="40">
        <f t="shared" si="26"/>
        <v>100.5</v>
      </c>
      <c r="I39" s="40">
        <f t="shared" si="26"/>
        <v>0</v>
      </c>
      <c r="J39" s="40">
        <f t="shared" si="26"/>
        <v>0</v>
      </c>
      <c r="K39" s="40">
        <f t="shared" si="26"/>
        <v>0</v>
      </c>
      <c r="L39" s="40">
        <f t="shared" si="26"/>
        <v>0</v>
      </c>
      <c r="M39" s="40">
        <f t="shared" si="26"/>
        <v>0</v>
      </c>
      <c r="N39" s="40">
        <f t="shared" si="26"/>
        <v>0</v>
      </c>
      <c r="O39" s="40">
        <f t="shared" si="26"/>
        <v>0</v>
      </c>
      <c r="P39" s="40">
        <f t="shared" si="26"/>
        <v>0</v>
      </c>
      <c r="Q39" s="40">
        <f t="shared" si="26"/>
        <v>0</v>
      </c>
      <c r="R39" s="40">
        <f t="shared" si="26"/>
        <v>0</v>
      </c>
      <c r="S39" s="40">
        <f t="shared" si="26"/>
        <v>0</v>
      </c>
      <c r="T39" s="40">
        <f t="shared" si="26"/>
        <v>0</v>
      </c>
      <c r="U39" s="40">
        <f t="shared" si="26"/>
        <v>0</v>
      </c>
      <c r="V39" s="40">
        <f t="shared" si="26"/>
        <v>0</v>
      </c>
      <c r="W39" s="40">
        <f t="shared" si="26"/>
        <v>0</v>
      </c>
      <c r="X39" s="40">
        <f t="shared" si="26"/>
        <v>0</v>
      </c>
      <c r="Y39" s="40">
        <f t="shared" si="26"/>
        <v>0</v>
      </c>
      <c r="Z39" s="40">
        <f t="shared" si="26"/>
        <v>0</v>
      </c>
      <c r="AA39" s="40">
        <f t="shared" si="26"/>
        <v>0</v>
      </c>
      <c r="AB39" s="40">
        <f t="shared" si="26"/>
        <v>0</v>
      </c>
      <c r="AC39" s="40">
        <f t="shared" si="26"/>
        <v>0</v>
      </c>
      <c r="AD39" s="40">
        <f t="shared" si="26"/>
        <v>0</v>
      </c>
      <c r="AE39" s="40">
        <f t="shared" si="26"/>
        <v>0</v>
      </c>
      <c r="AF39" s="40">
        <f t="shared" si="26"/>
        <v>0</v>
      </c>
      <c r="AG39" s="40">
        <f t="shared" si="26"/>
        <v>0</v>
      </c>
      <c r="AH39" s="40">
        <f t="shared" si="26"/>
        <v>0</v>
      </c>
      <c r="AI39" s="40">
        <f t="shared" si="26"/>
        <v>0</v>
      </c>
      <c r="AJ39" s="40">
        <f t="shared" si="26"/>
        <v>0</v>
      </c>
      <c r="AK39" s="40">
        <f t="shared" si="26"/>
        <v>0</v>
      </c>
      <c r="AL39" s="40">
        <f t="shared" si="26"/>
        <v>0</v>
      </c>
      <c r="AM39" s="40">
        <f t="shared" si="26"/>
        <v>0</v>
      </c>
      <c r="AN39" s="40">
        <f t="shared" si="26"/>
        <v>0</v>
      </c>
      <c r="AO39" s="40">
        <f t="shared" si="26"/>
        <v>0</v>
      </c>
      <c r="AP39" s="40">
        <f t="shared" si="26"/>
        <v>0</v>
      </c>
      <c r="AQ39" s="40">
        <f t="shared" si="26"/>
        <v>0</v>
      </c>
      <c r="AR39" s="40">
        <f t="shared" si="26"/>
        <v>0</v>
      </c>
      <c r="AS39" s="40">
        <f t="shared" si="26"/>
        <v>0</v>
      </c>
      <c r="AT39" s="40">
        <f t="shared" si="26"/>
        <v>0</v>
      </c>
      <c r="AU39" s="40">
        <f t="shared" si="26"/>
        <v>0</v>
      </c>
      <c r="AV39" s="40">
        <f t="shared" si="26"/>
        <v>0</v>
      </c>
      <c r="AW39" s="40">
        <f t="shared" si="26"/>
        <v>0</v>
      </c>
      <c r="AX39" s="40">
        <f t="shared" si="26"/>
        <v>0</v>
      </c>
      <c r="AY39" s="40">
        <f t="shared" si="26"/>
        <v>0</v>
      </c>
      <c r="AZ39" s="40">
        <f t="shared" si="26"/>
        <v>0</v>
      </c>
      <c r="BA39" s="40">
        <f t="shared" si="26"/>
        <v>0</v>
      </c>
      <c r="BB39" s="40">
        <f t="shared" si="26"/>
        <v>0</v>
      </c>
      <c r="BC39" s="40">
        <f t="shared" si="26"/>
        <v>0</v>
      </c>
      <c r="BD39" s="40">
        <f t="shared" si="26"/>
        <v>0</v>
      </c>
      <c r="BE39" s="40">
        <f t="shared" si="26"/>
        <v>0</v>
      </c>
      <c r="BF39" s="40">
        <f t="shared" si="26"/>
        <v>0</v>
      </c>
      <c r="BG39" s="40">
        <f t="shared" si="26"/>
        <v>0</v>
      </c>
      <c r="BH39" s="40">
        <f t="shared" si="26"/>
        <v>0</v>
      </c>
      <c r="BI39" s="40">
        <f t="shared" si="26"/>
        <v>0</v>
      </c>
      <c r="BJ39" s="40">
        <f t="shared" si="26"/>
        <v>0</v>
      </c>
      <c r="BK39" s="40">
        <f t="shared" si="26"/>
        <v>0</v>
      </c>
      <c r="BL39" s="40">
        <f t="shared" si="26"/>
        <v>0</v>
      </c>
      <c r="BM39" s="40">
        <f t="shared" si="26"/>
        <v>0</v>
      </c>
      <c r="BN39" s="40">
        <f t="shared" si="26"/>
        <v>0</v>
      </c>
      <c r="BO39" s="40">
        <f t="shared" si="26"/>
        <v>0</v>
      </c>
      <c r="BP39" s="40">
        <f t="shared" ref="BP39:CB39" si="27">IF(BP38&gt;$F6+1,0,1)*(IF(BQ39=0,100,0)+IF($G6=1,1,0.5)*$J6*100)</f>
        <v>0</v>
      </c>
      <c r="BQ39" s="40">
        <f t="shared" si="27"/>
        <v>0</v>
      </c>
      <c r="BR39" s="40">
        <f t="shared" si="27"/>
        <v>0</v>
      </c>
      <c r="BS39" s="40">
        <f t="shared" si="27"/>
        <v>0</v>
      </c>
      <c r="BT39" s="40">
        <f t="shared" si="27"/>
        <v>0</v>
      </c>
      <c r="BU39" s="40">
        <f t="shared" si="27"/>
        <v>0</v>
      </c>
      <c r="BV39" s="40">
        <f t="shared" si="27"/>
        <v>0</v>
      </c>
      <c r="BW39" s="40">
        <f t="shared" si="27"/>
        <v>0</v>
      </c>
      <c r="BX39" s="40">
        <f t="shared" si="27"/>
        <v>0</v>
      </c>
      <c r="BY39" s="40">
        <f t="shared" si="27"/>
        <v>0</v>
      </c>
      <c r="BZ39" s="40">
        <f t="shared" si="27"/>
        <v>0</v>
      </c>
      <c r="CA39" s="40">
        <f t="shared" si="27"/>
        <v>0</v>
      </c>
      <c r="CB39" s="41">
        <f t="shared" si="27"/>
        <v>0</v>
      </c>
    </row>
    <row r="40" spans="1:80">
      <c r="A40" s="260" t="s">
        <v>49</v>
      </c>
      <c r="B40" s="42" t="str">
        <f>IF(E7=0,F7,E7)</f>
        <v>9/1/2019</v>
      </c>
      <c r="C40" s="43">
        <f t="shared" ref="C40:BN40" si="28">B40+IF($G7=1,365,182.5)</f>
        <v>43891.5</v>
      </c>
      <c r="D40" s="43">
        <f t="shared" si="28"/>
        <v>44074</v>
      </c>
      <c r="E40" s="43">
        <f t="shared" si="28"/>
        <v>44256.5</v>
      </c>
      <c r="F40" s="43">
        <f t="shared" si="28"/>
        <v>44439</v>
      </c>
      <c r="G40" s="43">
        <f t="shared" si="28"/>
        <v>44621.5</v>
      </c>
      <c r="H40" s="43">
        <f t="shared" si="28"/>
        <v>44804</v>
      </c>
      <c r="I40" s="43">
        <f t="shared" si="28"/>
        <v>44986.5</v>
      </c>
      <c r="J40" s="43">
        <f t="shared" si="28"/>
        <v>45169</v>
      </c>
      <c r="K40" s="100">
        <f t="shared" si="28"/>
        <v>45351.5</v>
      </c>
      <c r="L40" s="43">
        <f t="shared" si="28"/>
        <v>45534</v>
      </c>
      <c r="M40" s="43">
        <f t="shared" si="28"/>
        <v>45716.5</v>
      </c>
      <c r="N40" s="43">
        <f t="shared" si="28"/>
        <v>45899</v>
      </c>
      <c r="O40" s="43">
        <f t="shared" si="28"/>
        <v>46081.5</v>
      </c>
      <c r="P40" s="43">
        <f t="shared" si="28"/>
        <v>46264</v>
      </c>
      <c r="Q40" s="43">
        <f t="shared" si="28"/>
        <v>46446.5</v>
      </c>
      <c r="R40" s="43">
        <f t="shared" si="28"/>
        <v>46629</v>
      </c>
      <c r="S40" s="43">
        <f t="shared" si="28"/>
        <v>46811.5</v>
      </c>
      <c r="T40" s="43">
        <f t="shared" si="28"/>
        <v>46994</v>
      </c>
      <c r="U40" s="43">
        <f t="shared" si="28"/>
        <v>47176.5</v>
      </c>
      <c r="V40" s="43">
        <f t="shared" si="28"/>
        <v>47359</v>
      </c>
      <c r="W40" s="43">
        <f t="shared" si="28"/>
        <v>47541.5</v>
      </c>
      <c r="X40" s="43">
        <f t="shared" si="28"/>
        <v>47724</v>
      </c>
      <c r="Y40" s="43">
        <f t="shared" si="28"/>
        <v>47906.5</v>
      </c>
      <c r="Z40" s="43">
        <f t="shared" si="28"/>
        <v>48089</v>
      </c>
      <c r="AA40" s="43">
        <f t="shared" si="28"/>
        <v>48271.5</v>
      </c>
      <c r="AB40" s="43">
        <f t="shared" si="28"/>
        <v>48454</v>
      </c>
      <c r="AC40" s="43">
        <f t="shared" si="28"/>
        <v>48636.5</v>
      </c>
      <c r="AD40" s="43">
        <f t="shared" si="28"/>
        <v>48819</v>
      </c>
      <c r="AE40" s="43">
        <f t="shared" si="28"/>
        <v>49001.5</v>
      </c>
      <c r="AF40" s="43">
        <f t="shared" si="28"/>
        <v>49184</v>
      </c>
      <c r="AG40" s="43">
        <f t="shared" si="28"/>
        <v>49366.5</v>
      </c>
      <c r="AH40" s="43">
        <f t="shared" si="28"/>
        <v>49549</v>
      </c>
      <c r="AI40" s="43">
        <f t="shared" si="28"/>
        <v>49731.5</v>
      </c>
      <c r="AJ40" s="43">
        <f t="shared" si="28"/>
        <v>49914</v>
      </c>
      <c r="AK40" s="43">
        <f t="shared" si="28"/>
        <v>50096.5</v>
      </c>
      <c r="AL40" s="43">
        <f t="shared" si="28"/>
        <v>50279</v>
      </c>
      <c r="AM40" s="43">
        <f t="shared" si="28"/>
        <v>50461.5</v>
      </c>
      <c r="AN40" s="43">
        <f t="shared" si="28"/>
        <v>50644</v>
      </c>
      <c r="AO40" s="43">
        <f t="shared" si="28"/>
        <v>50826.5</v>
      </c>
      <c r="AP40" s="43">
        <f t="shared" si="28"/>
        <v>51009</v>
      </c>
      <c r="AQ40" s="43">
        <f t="shared" si="28"/>
        <v>51191.5</v>
      </c>
      <c r="AR40" s="43">
        <f t="shared" si="28"/>
        <v>51374</v>
      </c>
      <c r="AS40" s="43">
        <f t="shared" si="28"/>
        <v>51556.5</v>
      </c>
      <c r="AT40" s="43">
        <f t="shared" si="28"/>
        <v>51739</v>
      </c>
      <c r="AU40" s="43">
        <f t="shared" si="28"/>
        <v>51921.5</v>
      </c>
      <c r="AV40" s="43">
        <f t="shared" si="28"/>
        <v>52104</v>
      </c>
      <c r="AW40" s="43">
        <f t="shared" si="28"/>
        <v>52286.5</v>
      </c>
      <c r="AX40" s="43">
        <f t="shared" si="28"/>
        <v>52469</v>
      </c>
      <c r="AY40" s="43">
        <f t="shared" si="28"/>
        <v>52651.5</v>
      </c>
      <c r="AZ40" s="43">
        <f t="shared" si="28"/>
        <v>52834</v>
      </c>
      <c r="BA40" s="43">
        <f t="shared" si="28"/>
        <v>53016.5</v>
      </c>
      <c r="BB40" s="43">
        <f t="shared" si="28"/>
        <v>53199</v>
      </c>
      <c r="BC40" s="43">
        <f t="shared" si="28"/>
        <v>53381.5</v>
      </c>
      <c r="BD40" s="43">
        <f t="shared" si="28"/>
        <v>53564</v>
      </c>
      <c r="BE40" s="43">
        <f t="shared" si="28"/>
        <v>53746.5</v>
      </c>
      <c r="BF40" s="43">
        <f t="shared" si="28"/>
        <v>53929</v>
      </c>
      <c r="BG40" s="43">
        <f t="shared" si="28"/>
        <v>54111.5</v>
      </c>
      <c r="BH40" s="43">
        <f t="shared" si="28"/>
        <v>54294</v>
      </c>
      <c r="BI40" s="43">
        <f t="shared" si="28"/>
        <v>54476.5</v>
      </c>
      <c r="BJ40" s="43">
        <f t="shared" si="28"/>
        <v>54659</v>
      </c>
      <c r="BK40" s="43">
        <f t="shared" si="28"/>
        <v>54841.5</v>
      </c>
      <c r="BL40" s="43">
        <f t="shared" si="28"/>
        <v>55024</v>
      </c>
      <c r="BM40" s="43">
        <f t="shared" si="28"/>
        <v>55206.5</v>
      </c>
      <c r="BN40" s="43">
        <f t="shared" si="28"/>
        <v>55389</v>
      </c>
      <c r="BO40" s="43">
        <f t="shared" ref="BO40:CB40" si="29">BN40+IF($G7=1,365,182.5)</f>
        <v>55571.5</v>
      </c>
      <c r="BP40" s="43">
        <f t="shared" si="29"/>
        <v>55754</v>
      </c>
      <c r="BQ40" s="43">
        <f t="shared" si="29"/>
        <v>55936.5</v>
      </c>
      <c r="BR40" s="43">
        <f t="shared" si="29"/>
        <v>56119</v>
      </c>
      <c r="BS40" s="43">
        <f t="shared" si="29"/>
        <v>56301.5</v>
      </c>
      <c r="BT40" s="43">
        <f t="shared" si="29"/>
        <v>56484</v>
      </c>
      <c r="BU40" s="43">
        <f t="shared" si="29"/>
        <v>56666.5</v>
      </c>
      <c r="BV40" s="43">
        <f t="shared" si="29"/>
        <v>56849</v>
      </c>
      <c r="BW40" s="43">
        <f t="shared" si="29"/>
        <v>57031.5</v>
      </c>
      <c r="BX40" s="43">
        <f t="shared" si="29"/>
        <v>57214</v>
      </c>
      <c r="BY40" s="43">
        <f t="shared" si="29"/>
        <v>57396.5</v>
      </c>
      <c r="BZ40" s="43">
        <f t="shared" si="29"/>
        <v>57579</v>
      </c>
      <c r="CA40" s="43">
        <f t="shared" si="29"/>
        <v>57761.5</v>
      </c>
      <c r="CB40" s="44">
        <f t="shared" si="29"/>
        <v>57944</v>
      </c>
    </row>
    <row r="41" spans="1:80">
      <c r="A41" s="167" t="s">
        <v>16</v>
      </c>
      <c r="B41" s="107">
        <f>(IF(B40=F7,100,0)+IF(G7=1,1,0.5)*J7*100)*IF(ISBLANK(F7)=TRUE,0,1)</f>
        <v>0.87500000000000011</v>
      </c>
      <c r="C41" s="45">
        <f>IF(C40&gt;$F7+1,0,1)*(IF(D41=0,100,0)+IF($G7=1,1,0.5)*$J7*100)</f>
        <v>0.87500000000000011</v>
      </c>
      <c r="D41" s="45">
        <f t="shared" ref="D41:BO41" si="30">IF(D40&gt;$F7+1,0,1)*(IF(E41=0,100,0)+IF($G7=1,1,0.5)*$J7*100)</f>
        <v>0.87500000000000011</v>
      </c>
      <c r="E41" s="45">
        <f t="shared" si="30"/>
        <v>0.87500000000000011</v>
      </c>
      <c r="F41" s="45">
        <f t="shared" si="30"/>
        <v>0.87500000000000011</v>
      </c>
      <c r="G41" s="45">
        <f t="shared" si="30"/>
        <v>0.87500000000000011</v>
      </c>
      <c r="H41" s="45">
        <f t="shared" si="30"/>
        <v>0.87500000000000011</v>
      </c>
      <c r="I41" s="45">
        <f t="shared" si="30"/>
        <v>100.875</v>
      </c>
      <c r="J41" s="45">
        <f t="shared" si="30"/>
        <v>0</v>
      </c>
      <c r="K41" s="45">
        <f t="shared" si="30"/>
        <v>0</v>
      </c>
      <c r="L41" s="45">
        <f t="shared" si="30"/>
        <v>0</v>
      </c>
      <c r="M41" s="45">
        <f t="shared" si="30"/>
        <v>0</v>
      </c>
      <c r="N41" s="45">
        <f t="shared" si="30"/>
        <v>0</v>
      </c>
      <c r="O41" s="45">
        <f t="shared" si="30"/>
        <v>0</v>
      </c>
      <c r="P41" s="45">
        <f t="shared" si="30"/>
        <v>0</v>
      </c>
      <c r="Q41" s="45">
        <f t="shared" si="30"/>
        <v>0</v>
      </c>
      <c r="R41" s="45">
        <f t="shared" si="30"/>
        <v>0</v>
      </c>
      <c r="S41" s="45">
        <f t="shared" si="30"/>
        <v>0</v>
      </c>
      <c r="T41" s="45">
        <f t="shared" si="30"/>
        <v>0</v>
      </c>
      <c r="U41" s="45">
        <f t="shared" si="30"/>
        <v>0</v>
      </c>
      <c r="V41" s="45">
        <f t="shared" si="30"/>
        <v>0</v>
      </c>
      <c r="W41" s="45">
        <f t="shared" si="30"/>
        <v>0</v>
      </c>
      <c r="X41" s="45">
        <f t="shared" si="30"/>
        <v>0</v>
      </c>
      <c r="Y41" s="45">
        <f t="shared" si="30"/>
        <v>0</v>
      </c>
      <c r="Z41" s="45">
        <f t="shared" si="30"/>
        <v>0</v>
      </c>
      <c r="AA41" s="45">
        <f t="shared" si="30"/>
        <v>0</v>
      </c>
      <c r="AB41" s="45">
        <f t="shared" si="30"/>
        <v>0</v>
      </c>
      <c r="AC41" s="45">
        <f t="shared" si="30"/>
        <v>0</v>
      </c>
      <c r="AD41" s="45">
        <f t="shared" si="30"/>
        <v>0</v>
      </c>
      <c r="AE41" s="45">
        <f t="shared" si="30"/>
        <v>0</v>
      </c>
      <c r="AF41" s="45">
        <f t="shared" si="30"/>
        <v>0</v>
      </c>
      <c r="AG41" s="45">
        <f t="shared" si="30"/>
        <v>0</v>
      </c>
      <c r="AH41" s="45">
        <f t="shared" si="30"/>
        <v>0</v>
      </c>
      <c r="AI41" s="45">
        <f t="shared" si="30"/>
        <v>0</v>
      </c>
      <c r="AJ41" s="45">
        <f t="shared" si="30"/>
        <v>0</v>
      </c>
      <c r="AK41" s="45">
        <f t="shared" si="30"/>
        <v>0</v>
      </c>
      <c r="AL41" s="45">
        <f t="shared" si="30"/>
        <v>0</v>
      </c>
      <c r="AM41" s="45">
        <f t="shared" si="30"/>
        <v>0</v>
      </c>
      <c r="AN41" s="45">
        <f t="shared" si="30"/>
        <v>0</v>
      </c>
      <c r="AO41" s="45">
        <f t="shared" si="30"/>
        <v>0</v>
      </c>
      <c r="AP41" s="45">
        <f t="shared" si="30"/>
        <v>0</v>
      </c>
      <c r="AQ41" s="45">
        <f t="shared" si="30"/>
        <v>0</v>
      </c>
      <c r="AR41" s="45">
        <f t="shared" si="30"/>
        <v>0</v>
      </c>
      <c r="AS41" s="45">
        <f t="shared" si="30"/>
        <v>0</v>
      </c>
      <c r="AT41" s="45">
        <f t="shared" si="30"/>
        <v>0</v>
      </c>
      <c r="AU41" s="45">
        <f t="shared" si="30"/>
        <v>0</v>
      </c>
      <c r="AV41" s="45">
        <f t="shared" si="30"/>
        <v>0</v>
      </c>
      <c r="AW41" s="45">
        <f t="shared" si="30"/>
        <v>0</v>
      </c>
      <c r="AX41" s="45">
        <f t="shared" si="30"/>
        <v>0</v>
      </c>
      <c r="AY41" s="45">
        <f t="shared" si="30"/>
        <v>0</v>
      </c>
      <c r="AZ41" s="45">
        <f t="shared" si="30"/>
        <v>0</v>
      </c>
      <c r="BA41" s="45">
        <f t="shared" si="30"/>
        <v>0</v>
      </c>
      <c r="BB41" s="45">
        <f t="shared" si="30"/>
        <v>0</v>
      </c>
      <c r="BC41" s="45">
        <f t="shared" si="30"/>
        <v>0</v>
      </c>
      <c r="BD41" s="45">
        <f t="shared" si="30"/>
        <v>0</v>
      </c>
      <c r="BE41" s="45">
        <f t="shared" si="30"/>
        <v>0</v>
      </c>
      <c r="BF41" s="45">
        <f t="shared" si="30"/>
        <v>0</v>
      </c>
      <c r="BG41" s="45">
        <f t="shared" si="30"/>
        <v>0</v>
      </c>
      <c r="BH41" s="45">
        <f t="shared" si="30"/>
        <v>0</v>
      </c>
      <c r="BI41" s="45">
        <f t="shared" si="30"/>
        <v>0</v>
      </c>
      <c r="BJ41" s="45">
        <f t="shared" si="30"/>
        <v>0</v>
      </c>
      <c r="BK41" s="45">
        <f t="shared" si="30"/>
        <v>0</v>
      </c>
      <c r="BL41" s="45">
        <f t="shared" si="30"/>
        <v>0</v>
      </c>
      <c r="BM41" s="45">
        <f t="shared" si="30"/>
        <v>0</v>
      </c>
      <c r="BN41" s="45">
        <f t="shared" si="30"/>
        <v>0</v>
      </c>
      <c r="BO41" s="45">
        <f t="shared" si="30"/>
        <v>0</v>
      </c>
      <c r="BP41" s="45">
        <f t="shared" ref="BP41:CB41" si="31">IF(BP40&gt;$F7+1,0,1)*(IF(BQ41=0,100,0)+IF($G7=1,1,0.5)*$J7*100)</f>
        <v>0</v>
      </c>
      <c r="BQ41" s="45">
        <f t="shared" si="31"/>
        <v>0</v>
      </c>
      <c r="BR41" s="45">
        <f t="shared" si="31"/>
        <v>0</v>
      </c>
      <c r="BS41" s="45">
        <f t="shared" si="31"/>
        <v>0</v>
      </c>
      <c r="BT41" s="45">
        <f t="shared" si="31"/>
        <v>0</v>
      </c>
      <c r="BU41" s="45">
        <f t="shared" si="31"/>
        <v>0</v>
      </c>
      <c r="BV41" s="45">
        <f t="shared" si="31"/>
        <v>0</v>
      </c>
      <c r="BW41" s="45">
        <f t="shared" si="31"/>
        <v>0</v>
      </c>
      <c r="BX41" s="45">
        <f t="shared" si="31"/>
        <v>0</v>
      </c>
      <c r="BY41" s="45">
        <f t="shared" si="31"/>
        <v>0</v>
      </c>
      <c r="BZ41" s="45">
        <f t="shared" si="31"/>
        <v>0</v>
      </c>
      <c r="CA41" s="45">
        <f t="shared" si="31"/>
        <v>0</v>
      </c>
      <c r="CB41" s="46">
        <f t="shared" si="31"/>
        <v>0</v>
      </c>
    </row>
    <row r="42" spans="1:80">
      <c r="A42" s="252" t="s">
        <v>49</v>
      </c>
      <c r="B42" s="47" t="str">
        <f>IF(E8=0,F8,E8)</f>
        <v>9/1/2019</v>
      </c>
      <c r="C42" s="48">
        <f t="shared" ref="C42:BN42" si="32">B42+IF($G8=1,365,182.5)</f>
        <v>43891.5</v>
      </c>
      <c r="D42" s="48">
        <f t="shared" si="32"/>
        <v>44074</v>
      </c>
      <c r="E42" s="48">
        <f t="shared" si="32"/>
        <v>44256.5</v>
      </c>
      <c r="F42" s="48">
        <f t="shared" si="32"/>
        <v>44439</v>
      </c>
      <c r="G42" s="48">
        <f t="shared" si="32"/>
        <v>44621.5</v>
      </c>
      <c r="H42" s="48">
        <f t="shared" si="32"/>
        <v>44804</v>
      </c>
      <c r="I42" s="48">
        <f t="shared" si="32"/>
        <v>44986.5</v>
      </c>
      <c r="J42" s="48">
        <f t="shared" si="32"/>
        <v>45169</v>
      </c>
      <c r="K42" s="141">
        <f t="shared" si="32"/>
        <v>45351.5</v>
      </c>
      <c r="L42" s="48">
        <f t="shared" si="32"/>
        <v>45534</v>
      </c>
      <c r="M42" s="48">
        <f t="shared" si="32"/>
        <v>45716.5</v>
      </c>
      <c r="N42" s="48">
        <f t="shared" si="32"/>
        <v>45899</v>
      </c>
      <c r="O42" s="48">
        <f t="shared" si="32"/>
        <v>46081.5</v>
      </c>
      <c r="P42" s="48">
        <f t="shared" si="32"/>
        <v>46264</v>
      </c>
      <c r="Q42" s="48">
        <f t="shared" si="32"/>
        <v>46446.5</v>
      </c>
      <c r="R42" s="48">
        <f t="shared" si="32"/>
        <v>46629</v>
      </c>
      <c r="S42" s="48">
        <f t="shared" si="32"/>
        <v>46811.5</v>
      </c>
      <c r="T42" s="48">
        <f t="shared" si="32"/>
        <v>46994</v>
      </c>
      <c r="U42" s="48">
        <f t="shared" si="32"/>
        <v>47176.5</v>
      </c>
      <c r="V42" s="48">
        <f t="shared" si="32"/>
        <v>47359</v>
      </c>
      <c r="W42" s="48">
        <f t="shared" si="32"/>
        <v>47541.5</v>
      </c>
      <c r="X42" s="48">
        <f t="shared" si="32"/>
        <v>47724</v>
      </c>
      <c r="Y42" s="48">
        <f t="shared" si="32"/>
        <v>47906.5</v>
      </c>
      <c r="Z42" s="48">
        <f t="shared" si="32"/>
        <v>48089</v>
      </c>
      <c r="AA42" s="48">
        <f t="shared" si="32"/>
        <v>48271.5</v>
      </c>
      <c r="AB42" s="48">
        <f t="shared" si="32"/>
        <v>48454</v>
      </c>
      <c r="AC42" s="48">
        <f t="shared" si="32"/>
        <v>48636.5</v>
      </c>
      <c r="AD42" s="48">
        <f t="shared" si="32"/>
        <v>48819</v>
      </c>
      <c r="AE42" s="48">
        <f t="shared" si="32"/>
        <v>49001.5</v>
      </c>
      <c r="AF42" s="48">
        <f t="shared" si="32"/>
        <v>49184</v>
      </c>
      <c r="AG42" s="48">
        <f t="shared" si="32"/>
        <v>49366.5</v>
      </c>
      <c r="AH42" s="48">
        <f t="shared" si="32"/>
        <v>49549</v>
      </c>
      <c r="AI42" s="48">
        <f t="shared" si="32"/>
        <v>49731.5</v>
      </c>
      <c r="AJ42" s="48">
        <f t="shared" si="32"/>
        <v>49914</v>
      </c>
      <c r="AK42" s="48">
        <f t="shared" si="32"/>
        <v>50096.5</v>
      </c>
      <c r="AL42" s="48">
        <f t="shared" si="32"/>
        <v>50279</v>
      </c>
      <c r="AM42" s="48">
        <f t="shared" si="32"/>
        <v>50461.5</v>
      </c>
      <c r="AN42" s="48">
        <f t="shared" si="32"/>
        <v>50644</v>
      </c>
      <c r="AO42" s="48">
        <f t="shared" si="32"/>
        <v>50826.5</v>
      </c>
      <c r="AP42" s="48">
        <f t="shared" si="32"/>
        <v>51009</v>
      </c>
      <c r="AQ42" s="48">
        <f t="shared" si="32"/>
        <v>51191.5</v>
      </c>
      <c r="AR42" s="48">
        <f t="shared" si="32"/>
        <v>51374</v>
      </c>
      <c r="AS42" s="48">
        <f t="shared" si="32"/>
        <v>51556.5</v>
      </c>
      <c r="AT42" s="48">
        <f t="shared" si="32"/>
        <v>51739</v>
      </c>
      <c r="AU42" s="48">
        <f t="shared" si="32"/>
        <v>51921.5</v>
      </c>
      <c r="AV42" s="48">
        <f t="shared" si="32"/>
        <v>52104</v>
      </c>
      <c r="AW42" s="48">
        <f t="shared" si="32"/>
        <v>52286.5</v>
      </c>
      <c r="AX42" s="48">
        <f t="shared" si="32"/>
        <v>52469</v>
      </c>
      <c r="AY42" s="48">
        <f t="shared" si="32"/>
        <v>52651.5</v>
      </c>
      <c r="AZ42" s="48">
        <f t="shared" si="32"/>
        <v>52834</v>
      </c>
      <c r="BA42" s="48">
        <f t="shared" si="32"/>
        <v>53016.5</v>
      </c>
      <c r="BB42" s="48">
        <f t="shared" si="32"/>
        <v>53199</v>
      </c>
      <c r="BC42" s="48">
        <f t="shared" si="32"/>
        <v>53381.5</v>
      </c>
      <c r="BD42" s="48">
        <f t="shared" si="32"/>
        <v>53564</v>
      </c>
      <c r="BE42" s="48">
        <f t="shared" si="32"/>
        <v>53746.5</v>
      </c>
      <c r="BF42" s="48">
        <f t="shared" si="32"/>
        <v>53929</v>
      </c>
      <c r="BG42" s="48">
        <f t="shared" si="32"/>
        <v>54111.5</v>
      </c>
      <c r="BH42" s="48">
        <f t="shared" si="32"/>
        <v>54294</v>
      </c>
      <c r="BI42" s="48">
        <f t="shared" si="32"/>
        <v>54476.5</v>
      </c>
      <c r="BJ42" s="48">
        <f t="shared" si="32"/>
        <v>54659</v>
      </c>
      <c r="BK42" s="48">
        <f t="shared" si="32"/>
        <v>54841.5</v>
      </c>
      <c r="BL42" s="48">
        <f t="shared" si="32"/>
        <v>55024</v>
      </c>
      <c r="BM42" s="48">
        <f t="shared" si="32"/>
        <v>55206.5</v>
      </c>
      <c r="BN42" s="48">
        <f t="shared" si="32"/>
        <v>55389</v>
      </c>
      <c r="BO42" s="48">
        <f t="shared" ref="BO42:CB42" si="33">BN42+IF($G8=1,365,182.5)</f>
        <v>55571.5</v>
      </c>
      <c r="BP42" s="48">
        <f t="shared" si="33"/>
        <v>55754</v>
      </c>
      <c r="BQ42" s="48">
        <f t="shared" si="33"/>
        <v>55936.5</v>
      </c>
      <c r="BR42" s="48">
        <f t="shared" si="33"/>
        <v>56119</v>
      </c>
      <c r="BS42" s="48">
        <f t="shared" si="33"/>
        <v>56301.5</v>
      </c>
      <c r="BT42" s="48">
        <f t="shared" si="33"/>
        <v>56484</v>
      </c>
      <c r="BU42" s="48">
        <f t="shared" si="33"/>
        <v>56666.5</v>
      </c>
      <c r="BV42" s="48">
        <f t="shared" si="33"/>
        <v>56849</v>
      </c>
      <c r="BW42" s="48">
        <f t="shared" si="33"/>
        <v>57031.5</v>
      </c>
      <c r="BX42" s="48">
        <f t="shared" si="33"/>
        <v>57214</v>
      </c>
      <c r="BY42" s="48">
        <f t="shared" si="33"/>
        <v>57396.5</v>
      </c>
      <c r="BZ42" s="48">
        <f t="shared" si="33"/>
        <v>57579</v>
      </c>
      <c r="CA42" s="48">
        <f t="shared" si="33"/>
        <v>57761.5</v>
      </c>
      <c r="CB42" s="49">
        <f t="shared" si="33"/>
        <v>57944</v>
      </c>
    </row>
    <row r="43" spans="1:80">
      <c r="A43" s="168" t="s">
        <v>26</v>
      </c>
      <c r="B43" s="108">
        <f>(IF(B42=F8,100,0)+IF(G8=1,1,0.5)*J8*100)*IF(ISBLANK(F8)=TRUE,0,1)</f>
        <v>1.125</v>
      </c>
      <c r="C43" s="50">
        <f>IF(C42&gt;$F8+1,0,1)*(IF(D43=0,100,0)+IF($G8=1,1,0.5)*$J8*100)</f>
        <v>1.125</v>
      </c>
      <c r="D43" s="50">
        <f t="shared" ref="D43:BO43" si="34">IF(D42&gt;$F8+1,0,1)*(IF(E43=0,100,0)+IF($G8=1,1,0.5)*$J8*100)</f>
        <v>1.125</v>
      </c>
      <c r="E43" s="50">
        <f t="shared" si="34"/>
        <v>1.125</v>
      </c>
      <c r="F43" s="50">
        <f t="shared" si="34"/>
        <v>1.125</v>
      </c>
      <c r="G43" s="50">
        <f t="shared" si="34"/>
        <v>1.125</v>
      </c>
      <c r="H43" s="50">
        <f t="shared" si="34"/>
        <v>1.125</v>
      </c>
      <c r="I43" s="50">
        <f t="shared" si="34"/>
        <v>1.125</v>
      </c>
      <c r="J43" s="50">
        <f t="shared" si="34"/>
        <v>1.125</v>
      </c>
      <c r="K43" s="50">
        <f t="shared" si="34"/>
        <v>101.125</v>
      </c>
      <c r="L43" s="50">
        <f t="shared" si="34"/>
        <v>0</v>
      </c>
      <c r="M43" s="50">
        <f t="shared" si="34"/>
        <v>0</v>
      </c>
      <c r="N43" s="50">
        <f t="shared" si="34"/>
        <v>0</v>
      </c>
      <c r="O43" s="50">
        <f t="shared" si="34"/>
        <v>0</v>
      </c>
      <c r="P43" s="50">
        <f t="shared" si="34"/>
        <v>0</v>
      </c>
      <c r="Q43" s="50">
        <f t="shared" si="34"/>
        <v>0</v>
      </c>
      <c r="R43" s="50">
        <f t="shared" si="34"/>
        <v>0</v>
      </c>
      <c r="S43" s="50">
        <f t="shared" si="34"/>
        <v>0</v>
      </c>
      <c r="T43" s="50">
        <f t="shared" si="34"/>
        <v>0</v>
      </c>
      <c r="U43" s="50">
        <f t="shared" si="34"/>
        <v>0</v>
      </c>
      <c r="V43" s="50">
        <f t="shared" si="34"/>
        <v>0</v>
      </c>
      <c r="W43" s="50">
        <f t="shared" si="34"/>
        <v>0</v>
      </c>
      <c r="X43" s="50">
        <f t="shared" si="34"/>
        <v>0</v>
      </c>
      <c r="Y43" s="50">
        <f t="shared" si="34"/>
        <v>0</v>
      </c>
      <c r="Z43" s="50">
        <f t="shared" si="34"/>
        <v>0</v>
      </c>
      <c r="AA43" s="50">
        <f t="shared" si="34"/>
        <v>0</v>
      </c>
      <c r="AB43" s="50">
        <f t="shared" si="34"/>
        <v>0</v>
      </c>
      <c r="AC43" s="50">
        <f t="shared" si="34"/>
        <v>0</v>
      </c>
      <c r="AD43" s="50">
        <f t="shared" si="34"/>
        <v>0</v>
      </c>
      <c r="AE43" s="50">
        <f t="shared" si="34"/>
        <v>0</v>
      </c>
      <c r="AF43" s="50">
        <f t="shared" si="34"/>
        <v>0</v>
      </c>
      <c r="AG43" s="50">
        <f t="shared" si="34"/>
        <v>0</v>
      </c>
      <c r="AH43" s="50">
        <f t="shared" si="34"/>
        <v>0</v>
      </c>
      <c r="AI43" s="50">
        <f t="shared" si="34"/>
        <v>0</v>
      </c>
      <c r="AJ43" s="50">
        <f t="shared" si="34"/>
        <v>0</v>
      </c>
      <c r="AK43" s="50">
        <f t="shared" si="34"/>
        <v>0</v>
      </c>
      <c r="AL43" s="50">
        <f t="shared" si="34"/>
        <v>0</v>
      </c>
      <c r="AM43" s="50">
        <f t="shared" si="34"/>
        <v>0</v>
      </c>
      <c r="AN43" s="50">
        <f t="shared" si="34"/>
        <v>0</v>
      </c>
      <c r="AO43" s="50">
        <f t="shared" si="34"/>
        <v>0</v>
      </c>
      <c r="AP43" s="50">
        <f t="shared" si="34"/>
        <v>0</v>
      </c>
      <c r="AQ43" s="50">
        <f t="shared" si="34"/>
        <v>0</v>
      </c>
      <c r="AR43" s="50">
        <f t="shared" si="34"/>
        <v>0</v>
      </c>
      <c r="AS43" s="50">
        <f t="shared" si="34"/>
        <v>0</v>
      </c>
      <c r="AT43" s="50">
        <f t="shared" si="34"/>
        <v>0</v>
      </c>
      <c r="AU43" s="50">
        <f t="shared" si="34"/>
        <v>0</v>
      </c>
      <c r="AV43" s="50">
        <f t="shared" si="34"/>
        <v>0</v>
      </c>
      <c r="AW43" s="50">
        <f t="shared" si="34"/>
        <v>0</v>
      </c>
      <c r="AX43" s="50">
        <f t="shared" si="34"/>
        <v>0</v>
      </c>
      <c r="AY43" s="50">
        <f t="shared" si="34"/>
        <v>0</v>
      </c>
      <c r="AZ43" s="50">
        <f t="shared" si="34"/>
        <v>0</v>
      </c>
      <c r="BA43" s="50">
        <f t="shared" si="34"/>
        <v>0</v>
      </c>
      <c r="BB43" s="50">
        <f t="shared" si="34"/>
        <v>0</v>
      </c>
      <c r="BC43" s="50">
        <f t="shared" si="34"/>
        <v>0</v>
      </c>
      <c r="BD43" s="50">
        <f t="shared" si="34"/>
        <v>0</v>
      </c>
      <c r="BE43" s="50">
        <f t="shared" si="34"/>
        <v>0</v>
      </c>
      <c r="BF43" s="50">
        <f t="shared" si="34"/>
        <v>0</v>
      </c>
      <c r="BG43" s="50">
        <f t="shared" si="34"/>
        <v>0</v>
      </c>
      <c r="BH43" s="50">
        <f t="shared" si="34"/>
        <v>0</v>
      </c>
      <c r="BI43" s="50">
        <f t="shared" si="34"/>
        <v>0</v>
      </c>
      <c r="BJ43" s="50">
        <f t="shared" si="34"/>
        <v>0</v>
      </c>
      <c r="BK43" s="50">
        <f t="shared" si="34"/>
        <v>0</v>
      </c>
      <c r="BL43" s="50">
        <f t="shared" si="34"/>
        <v>0</v>
      </c>
      <c r="BM43" s="50">
        <f t="shared" si="34"/>
        <v>0</v>
      </c>
      <c r="BN43" s="50">
        <f t="shared" si="34"/>
        <v>0</v>
      </c>
      <c r="BO43" s="50">
        <f t="shared" si="34"/>
        <v>0</v>
      </c>
      <c r="BP43" s="50">
        <f t="shared" ref="BP43:CB43" si="35">IF(BP42&gt;$F8+1,0,1)*(IF(BQ43=0,100,0)+IF($G8=1,1,0.5)*$J8*100)</f>
        <v>0</v>
      </c>
      <c r="BQ43" s="50">
        <f t="shared" si="35"/>
        <v>0</v>
      </c>
      <c r="BR43" s="50">
        <f t="shared" si="35"/>
        <v>0</v>
      </c>
      <c r="BS43" s="50">
        <f t="shared" si="35"/>
        <v>0</v>
      </c>
      <c r="BT43" s="50">
        <f t="shared" si="35"/>
        <v>0</v>
      </c>
      <c r="BU43" s="50">
        <f t="shared" si="35"/>
        <v>0</v>
      </c>
      <c r="BV43" s="50">
        <f t="shared" si="35"/>
        <v>0</v>
      </c>
      <c r="BW43" s="50">
        <f t="shared" si="35"/>
        <v>0</v>
      </c>
      <c r="BX43" s="50">
        <f t="shared" si="35"/>
        <v>0</v>
      </c>
      <c r="BY43" s="50">
        <f t="shared" si="35"/>
        <v>0</v>
      </c>
      <c r="BZ43" s="50">
        <f t="shared" si="35"/>
        <v>0</v>
      </c>
      <c r="CA43" s="50">
        <f t="shared" si="35"/>
        <v>0</v>
      </c>
      <c r="CB43" s="51">
        <f t="shared" si="35"/>
        <v>0</v>
      </c>
    </row>
    <row r="44" spans="1:80">
      <c r="A44" s="259" t="s">
        <v>49</v>
      </c>
      <c r="B44" s="52" t="str">
        <f>IF(E9=0,F9,E9)</f>
        <v>12/1/2019</v>
      </c>
      <c r="C44" s="53">
        <f t="shared" ref="C44:BN44" si="36">B44+IF($G9=1,365,182.5)</f>
        <v>43982.5</v>
      </c>
      <c r="D44" s="53">
        <f t="shared" si="36"/>
        <v>44165</v>
      </c>
      <c r="E44" s="53">
        <f t="shared" si="36"/>
        <v>44347.5</v>
      </c>
      <c r="F44" s="53">
        <f t="shared" si="36"/>
        <v>44530</v>
      </c>
      <c r="G44" s="53">
        <f t="shared" si="36"/>
        <v>44712.5</v>
      </c>
      <c r="H44" s="53">
        <f t="shared" si="36"/>
        <v>44895</v>
      </c>
      <c r="I44" s="53">
        <f t="shared" si="36"/>
        <v>45077.5</v>
      </c>
      <c r="J44" s="53">
        <f t="shared" si="36"/>
        <v>45260</v>
      </c>
      <c r="K44" s="53">
        <f t="shared" si="36"/>
        <v>45442.5</v>
      </c>
      <c r="L44" s="53">
        <f t="shared" si="36"/>
        <v>45625</v>
      </c>
      <c r="M44" s="53">
        <f t="shared" si="36"/>
        <v>45807.5</v>
      </c>
      <c r="N44" s="53">
        <f t="shared" si="36"/>
        <v>45990</v>
      </c>
      <c r="O44" s="53">
        <f t="shared" si="36"/>
        <v>46172.5</v>
      </c>
      <c r="P44" s="53">
        <f t="shared" si="36"/>
        <v>46355</v>
      </c>
      <c r="Q44" s="53">
        <f t="shared" si="36"/>
        <v>46537.5</v>
      </c>
      <c r="R44" s="53">
        <f t="shared" si="36"/>
        <v>46720</v>
      </c>
      <c r="S44" s="53">
        <f t="shared" si="36"/>
        <v>46902.5</v>
      </c>
      <c r="T44" s="53">
        <f t="shared" si="36"/>
        <v>47085</v>
      </c>
      <c r="U44" s="53">
        <f t="shared" si="36"/>
        <v>47267.5</v>
      </c>
      <c r="V44" s="53">
        <f t="shared" si="36"/>
        <v>47450</v>
      </c>
      <c r="W44" s="53">
        <f t="shared" si="36"/>
        <v>47632.5</v>
      </c>
      <c r="X44" s="53">
        <f t="shared" si="36"/>
        <v>47815</v>
      </c>
      <c r="Y44" s="53">
        <f t="shared" si="36"/>
        <v>47997.5</v>
      </c>
      <c r="Z44" s="53">
        <f t="shared" si="36"/>
        <v>48180</v>
      </c>
      <c r="AA44" s="53">
        <f t="shared" si="36"/>
        <v>48362.5</v>
      </c>
      <c r="AB44" s="53">
        <f t="shared" si="36"/>
        <v>48545</v>
      </c>
      <c r="AC44" s="53">
        <f t="shared" si="36"/>
        <v>48727.5</v>
      </c>
      <c r="AD44" s="53">
        <f t="shared" si="36"/>
        <v>48910</v>
      </c>
      <c r="AE44" s="53">
        <f t="shared" si="36"/>
        <v>49092.5</v>
      </c>
      <c r="AF44" s="53">
        <f t="shared" si="36"/>
        <v>49275</v>
      </c>
      <c r="AG44" s="53">
        <f t="shared" si="36"/>
        <v>49457.5</v>
      </c>
      <c r="AH44" s="53">
        <f t="shared" si="36"/>
        <v>49640</v>
      </c>
      <c r="AI44" s="53">
        <f t="shared" si="36"/>
        <v>49822.5</v>
      </c>
      <c r="AJ44" s="53">
        <f t="shared" si="36"/>
        <v>50005</v>
      </c>
      <c r="AK44" s="53">
        <f t="shared" si="36"/>
        <v>50187.5</v>
      </c>
      <c r="AL44" s="53">
        <f t="shared" si="36"/>
        <v>50370</v>
      </c>
      <c r="AM44" s="53">
        <f t="shared" si="36"/>
        <v>50552.5</v>
      </c>
      <c r="AN44" s="53">
        <f t="shared" si="36"/>
        <v>50735</v>
      </c>
      <c r="AO44" s="53">
        <f t="shared" si="36"/>
        <v>50917.5</v>
      </c>
      <c r="AP44" s="53">
        <f t="shared" si="36"/>
        <v>51100</v>
      </c>
      <c r="AQ44" s="53">
        <f t="shared" si="36"/>
        <v>51282.5</v>
      </c>
      <c r="AR44" s="53">
        <f t="shared" si="36"/>
        <v>51465</v>
      </c>
      <c r="AS44" s="53">
        <f t="shared" si="36"/>
        <v>51647.5</v>
      </c>
      <c r="AT44" s="53">
        <f t="shared" si="36"/>
        <v>51830</v>
      </c>
      <c r="AU44" s="53">
        <f t="shared" si="36"/>
        <v>52012.5</v>
      </c>
      <c r="AV44" s="53">
        <f t="shared" si="36"/>
        <v>52195</v>
      </c>
      <c r="AW44" s="53">
        <f t="shared" si="36"/>
        <v>52377.5</v>
      </c>
      <c r="AX44" s="53">
        <f t="shared" si="36"/>
        <v>52560</v>
      </c>
      <c r="AY44" s="53">
        <f t="shared" si="36"/>
        <v>52742.5</v>
      </c>
      <c r="AZ44" s="53">
        <f t="shared" si="36"/>
        <v>52925</v>
      </c>
      <c r="BA44" s="53">
        <f t="shared" si="36"/>
        <v>53107.5</v>
      </c>
      <c r="BB44" s="53">
        <f t="shared" si="36"/>
        <v>53290</v>
      </c>
      <c r="BC44" s="53">
        <f t="shared" si="36"/>
        <v>53472.5</v>
      </c>
      <c r="BD44" s="53">
        <f t="shared" si="36"/>
        <v>53655</v>
      </c>
      <c r="BE44" s="53">
        <f t="shared" si="36"/>
        <v>53837.5</v>
      </c>
      <c r="BF44" s="53">
        <f t="shared" si="36"/>
        <v>54020</v>
      </c>
      <c r="BG44" s="53">
        <f t="shared" si="36"/>
        <v>54202.5</v>
      </c>
      <c r="BH44" s="53">
        <f t="shared" si="36"/>
        <v>54385</v>
      </c>
      <c r="BI44" s="53">
        <f t="shared" si="36"/>
        <v>54567.5</v>
      </c>
      <c r="BJ44" s="53">
        <f t="shared" si="36"/>
        <v>54750</v>
      </c>
      <c r="BK44" s="53">
        <f t="shared" si="36"/>
        <v>54932.5</v>
      </c>
      <c r="BL44" s="53">
        <f t="shared" si="36"/>
        <v>55115</v>
      </c>
      <c r="BM44" s="53">
        <f t="shared" si="36"/>
        <v>55297.5</v>
      </c>
      <c r="BN44" s="53">
        <f t="shared" si="36"/>
        <v>55480</v>
      </c>
      <c r="BO44" s="53">
        <f t="shared" ref="BO44:CB44" si="37">BN44+IF($G9=1,365,182.5)</f>
        <v>55662.5</v>
      </c>
      <c r="BP44" s="53">
        <f t="shared" si="37"/>
        <v>55845</v>
      </c>
      <c r="BQ44" s="53">
        <f t="shared" si="37"/>
        <v>56027.5</v>
      </c>
      <c r="BR44" s="53">
        <f t="shared" si="37"/>
        <v>56210</v>
      </c>
      <c r="BS44" s="53">
        <f t="shared" si="37"/>
        <v>56392.5</v>
      </c>
      <c r="BT44" s="53">
        <f t="shared" si="37"/>
        <v>56575</v>
      </c>
      <c r="BU44" s="53">
        <f t="shared" si="37"/>
        <v>56757.5</v>
      </c>
      <c r="BV44" s="53">
        <f t="shared" si="37"/>
        <v>56940</v>
      </c>
      <c r="BW44" s="53">
        <f t="shared" si="37"/>
        <v>57122.5</v>
      </c>
      <c r="BX44" s="53">
        <f t="shared" si="37"/>
        <v>57305</v>
      </c>
      <c r="BY44" s="53">
        <f t="shared" si="37"/>
        <v>57487.5</v>
      </c>
      <c r="BZ44" s="53">
        <f t="shared" si="37"/>
        <v>57670</v>
      </c>
      <c r="CA44" s="53">
        <f t="shared" si="37"/>
        <v>57852.5</v>
      </c>
      <c r="CB44" s="54">
        <f t="shared" si="37"/>
        <v>58035</v>
      </c>
    </row>
    <row r="45" spans="1:80">
      <c r="A45" s="169" t="s">
        <v>27</v>
      </c>
      <c r="B45" s="109">
        <f>(IF(B44=F9,100,0)+IF(G9=1,1,0.5)*J9*100)*IF(ISBLANK(F9)=TRUE,0,1)</f>
        <v>1.125</v>
      </c>
      <c r="C45" s="55">
        <f>IF(C44&gt;$F9+1,0,1)*(IF(D45=0,100,0)+IF($G9=1,1,0.5)*$J9*100)</f>
        <v>1.125</v>
      </c>
      <c r="D45" s="55">
        <f t="shared" ref="D45:BO45" si="38">IF(D44&gt;$F9+1,0,1)*(IF(E45=0,100,0)+IF($G9=1,1,0.5)*$J9*100)</f>
        <v>1.125</v>
      </c>
      <c r="E45" s="55">
        <f t="shared" si="38"/>
        <v>1.125</v>
      </c>
      <c r="F45" s="55">
        <f t="shared" si="38"/>
        <v>1.125</v>
      </c>
      <c r="G45" s="55">
        <f t="shared" si="38"/>
        <v>1.125</v>
      </c>
      <c r="H45" s="55">
        <f t="shared" si="38"/>
        <v>1.125</v>
      </c>
      <c r="I45" s="55">
        <f t="shared" si="38"/>
        <v>1.125</v>
      </c>
      <c r="J45" s="55">
        <f t="shared" si="38"/>
        <v>1.125</v>
      </c>
      <c r="K45" s="55">
        <f t="shared" si="38"/>
        <v>1.125</v>
      </c>
      <c r="L45" s="55">
        <f t="shared" si="38"/>
        <v>1.125</v>
      </c>
      <c r="M45" s="55">
        <f t="shared" si="38"/>
        <v>101.125</v>
      </c>
      <c r="N45" s="55">
        <f t="shared" si="38"/>
        <v>0</v>
      </c>
      <c r="O45" s="55">
        <f t="shared" si="38"/>
        <v>0</v>
      </c>
      <c r="P45" s="55">
        <f t="shared" si="38"/>
        <v>0</v>
      </c>
      <c r="Q45" s="55">
        <f t="shared" si="38"/>
        <v>0</v>
      </c>
      <c r="R45" s="55">
        <f t="shared" si="38"/>
        <v>0</v>
      </c>
      <c r="S45" s="55">
        <f t="shared" si="38"/>
        <v>0</v>
      </c>
      <c r="T45" s="55">
        <f t="shared" si="38"/>
        <v>0</v>
      </c>
      <c r="U45" s="55">
        <f t="shared" si="38"/>
        <v>0</v>
      </c>
      <c r="V45" s="55">
        <f t="shared" si="38"/>
        <v>0</v>
      </c>
      <c r="W45" s="55">
        <f t="shared" si="38"/>
        <v>0</v>
      </c>
      <c r="X45" s="55">
        <f t="shared" si="38"/>
        <v>0</v>
      </c>
      <c r="Y45" s="55">
        <f t="shared" si="38"/>
        <v>0</v>
      </c>
      <c r="Z45" s="55">
        <f t="shared" si="38"/>
        <v>0</v>
      </c>
      <c r="AA45" s="55">
        <f t="shared" si="38"/>
        <v>0</v>
      </c>
      <c r="AB45" s="55">
        <f t="shared" si="38"/>
        <v>0</v>
      </c>
      <c r="AC45" s="55">
        <f t="shared" si="38"/>
        <v>0</v>
      </c>
      <c r="AD45" s="55">
        <f t="shared" si="38"/>
        <v>0</v>
      </c>
      <c r="AE45" s="55">
        <f t="shared" si="38"/>
        <v>0</v>
      </c>
      <c r="AF45" s="55">
        <f t="shared" si="38"/>
        <v>0</v>
      </c>
      <c r="AG45" s="55">
        <f t="shared" si="38"/>
        <v>0</v>
      </c>
      <c r="AH45" s="55">
        <f t="shared" si="38"/>
        <v>0</v>
      </c>
      <c r="AI45" s="55">
        <f t="shared" si="38"/>
        <v>0</v>
      </c>
      <c r="AJ45" s="55">
        <f t="shared" si="38"/>
        <v>0</v>
      </c>
      <c r="AK45" s="55">
        <f t="shared" si="38"/>
        <v>0</v>
      </c>
      <c r="AL45" s="55">
        <f t="shared" si="38"/>
        <v>0</v>
      </c>
      <c r="AM45" s="55">
        <f t="shared" si="38"/>
        <v>0</v>
      </c>
      <c r="AN45" s="55">
        <f t="shared" si="38"/>
        <v>0</v>
      </c>
      <c r="AO45" s="55">
        <f t="shared" si="38"/>
        <v>0</v>
      </c>
      <c r="AP45" s="55">
        <f t="shared" si="38"/>
        <v>0</v>
      </c>
      <c r="AQ45" s="55">
        <f t="shared" si="38"/>
        <v>0</v>
      </c>
      <c r="AR45" s="55">
        <f t="shared" si="38"/>
        <v>0</v>
      </c>
      <c r="AS45" s="55">
        <f t="shared" si="38"/>
        <v>0</v>
      </c>
      <c r="AT45" s="55">
        <f t="shared" si="38"/>
        <v>0</v>
      </c>
      <c r="AU45" s="55">
        <f t="shared" si="38"/>
        <v>0</v>
      </c>
      <c r="AV45" s="55">
        <f t="shared" si="38"/>
        <v>0</v>
      </c>
      <c r="AW45" s="55">
        <f t="shared" si="38"/>
        <v>0</v>
      </c>
      <c r="AX45" s="55">
        <f t="shared" si="38"/>
        <v>0</v>
      </c>
      <c r="AY45" s="55">
        <f t="shared" si="38"/>
        <v>0</v>
      </c>
      <c r="AZ45" s="55">
        <f t="shared" si="38"/>
        <v>0</v>
      </c>
      <c r="BA45" s="55">
        <f t="shared" si="38"/>
        <v>0</v>
      </c>
      <c r="BB45" s="55">
        <f t="shared" si="38"/>
        <v>0</v>
      </c>
      <c r="BC45" s="55">
        <f t="shared" si="38"/>
        <v>0</v>
      </c>
      <c r="BD45" s="55">
        <f t="shared" si="38"/>
        <v>0</v>
      </c>
      <c r="BE45" s="55">
        <f t="shared" si="38"/>
        <v>0</v>
      </c>
      <c r="BF45" s="55">
        <f t="shared" si="38"/>
        <v>0</v>
      </c>
      <c r="BG45" s="55">
        <f t="shared" si="38"/>
        <v>0</v>
      </c>
      <c r="BH45" s="55">
        <f t="shared" si="38"/>
        <v>0</v>
      </c>
      <c r="BI45" s="55">
        <f t="shared" si="38"/>
        <v>0</v>
      </c>
      <c r="BJ45" s="55">
        <f t="shared" si="38"/>
        <v>0</v>
      </c>
      <c r="BK45" s="55">
        <f t="shared" si="38"/>
        <v>0</v>
      </c>
      <c r="BL45" s="55">
        <f t="shared" si="38"/>
        <v>0</v>
      </c>
      <c r="BM45" s="55">
        <f t="shared" si="38"/>
        <v>0</v>
      </c>
      <c r="BN45" s="55">
        <f t="shared" si="38"/>
        <v>0</v>
      </c>
      <c r="BO45" s="55">
        <f t="shared" si="38"/>
        <v>0</v>
      </c>
      <c r="BP45" s="55">
        <f t="shared" ref="BP45:CB45" si="39">IF(BP44&gt;$F9+1,0,1)*(IF(BQ45=0,100,0)+IF($G9=1,1,0.5)*$J9*100)</f>
        <v>0</v>
      </c>
      <c r="BQ45" s="55">
        <f t="shared" si="39"/>
        <v>0</v>
      </c>
      <c r="BR45" s="55">
        <f t="shared" si="39"/>
        <v>0</v>
      </c>
      <c r="BS45" s="55">
        <f t="shared" si="39"/>
        <v>0</v>
      </c>
      <c r="BT45" s="55">
        <f t="shared" si="39"/>
        <v>0</v>
      </c>
      <c r="BU45" s="55">
        <f t="shared" si="39"/>
        <v>0</v>
      </c>
      <c r="BV45" s="55">
        <f t="shared" si="39"/>
        <v>0</v>
      </c>
      <c r="BW45" s="55">
        <f t="shared" si="39"/>
        <v>0</v>
      </c>
      <c r="BX45" s="55">
        <f t="shared" si="39"/>
        <v>0</v>
      </c>
      <c r="BY45" s="55">
        <f t="shared" si="39"/>
        <v>0</v>
      </c>
      <c r="BZ45" s="55">
        <f t="shared" si="39"/>
        <v>0</v>
      </c>
      <c r="CA45" s="55">
        <f t="shared" si="39"/>
        <v>0</v>
      </c>
      <c r="CB45" s="56">
        <f t="shared" si="39"/>
        <v>0</v>
      </c>
    </row>
    <row r="46" spans="1:80">
      <c r="A46" s="258" t="s">
        <v>49</v>
      </c>
      <c r="B46" s="149" t="str">
        <f>IF(E10=0,F10,E10)</f>
        <v>12/1/2019</v>
      </c>
      <c r="C46" s="150">
        <f t="shared" ref="C46:BN46" si="40">B46+IF($G10=1,365,182.5)</f>
        <v>43982.5</v>
      </c>
      <c r="D46" s="150">
        <f t="shared" si="40"/>
        <v>44165</v>
      </c>
      <c r="E46" s="150">
        <f t="shared" si="40"/>
        <v>44347.5</v>
      </c>
      <c r="F46" s="150">
        <f t="shared" si="40"/>
        <v>44530</v>
      </c>
      <c r="G46" s="150">
        <f t="shared" si="40"/>
        <v>44712.5</v>
      </c>
      <c r="H46" s="150">
        <f t="shared" si="40"/>
        <v>44895</v>
      </c>
      <c r="I46" s="150">
        <f t="shared" si="40"/>
        <v>45077.5</v>
      </c>
      <c r="J46" s="150">
        <f t="shared" si="40"/>
        <v>45260</v>
      </c>
      <c r="K46" s="150">
        <f t="shared" si="40"/>
        <v>45442.5</v>
      </c>
      <c r="L46" s="150">
        <f t="shared" si="40"/>
        <v>45625</v>
      </c>
      <c r="M46" s="150">
        <f t="shared" si="40"/>
        <v>45807.5</v>
      </c>
      <c r="N46" s="150">
        <f t="shared" si="40"/>
        <v>45990</v>
      </c>
      <c r="O46" s="150">
        <f t="shared" si="40"/>
        <v>46172.5</v>
      </c>
      <c r="P46" s="150">
        <f t="shared" si="40"/>
        <v>46355</v>
      </c>
      <c r="Q46" s="150">
        <f t="shared" si="40"/>
        <v>46537.5</v>
      </c>
      <c r="R46" s="150">
        <f t="shared" si="40"/>
        <v>46720</v>
      </c>
      <c r="S46" s="150">
        <f t="shared" si="40"/>
        <v>46902.5</v>
      </c>
      <c r="T46" s="150">
        <f t="shared" si="40"/>
        <v>47085</v>
      </c>
      <c r="U46" s="150">
        <f t="shared" si="40"/>
        <v>47267.5</v>
      </c>
      <c r="V46" s="150">
        <f t="shared" si="40"/>
        <v>47450</v>
      </c>
      <c r="W46" s="150">
        <f t="shared" si="40"/>
        <v>47632.5</v>
      </c>
      <c r="X46" s="150">
        <f t="shared" si="40"/>
        <v>47815</v>
      </c>
      <c r="Y46" s="150">
        <f t="shared" si="40"/>
        <v>47997.5</v>
      </c>
      <c r="Z46" s="150">
        <f t="shared" si="40"/>
        <v>48180</v>
      </c>
      <c r="AA46" s="150">
        <f t="shared" si="40"/>
        <v>48362.5</v>
      </c>
      <c r="AB46" s="150">
        <f t="shared" si="40"/>
        <v>48545</v>
      </c>
      <c r="AC46" s="150">
        <f t="shared" si="40"/>
        <v>48727.5</v>
      </c>
      <c r="AD46" s="150">
        <f t="shared" si="40"/>
        <v>48910</v>
      </c>
      <c r="AE46" s="150">
        <f t="shared" si="40"/>
        <v>49092.5</v>
      </c>
      <c r="AF46" s="150">
        <f t="shared" si="40"/>
        <v>49275</v>
      </c>
      <c r="AG46" s="150">
        <f t="shared" si="40"/>
        <v>49457.5</v>
      </c>
      <c r="AH46" s="150">
        <f t="shared" si="40"/>
        <v>49640</v>
      </c>
      <c r="AI46" s="150">
        <f t="shared" si="40"/>
        <v>49822.5</v>
      </c>
      <c r="AJ46" s="150">
        <f t="shared" si="40"/>
        <v>50005</v>
      </c>
      <c r="AK46" s="150">
        <f t="shared" si="40"/>
        <v>50187.5</v>
      </c>
      <c r="AL46" s="150">
        <f t="shared" si="40"/>
        <v>50370</v>
      </c>
      <c r="AM46" s="150">
        <f t="shared" si="40"/>
        <v>50552.5</v>
      </c>
      <c r="AN46" s="150">
        <f t="shared" si="40"/>
        <v>50735</v>
      </c>
      <c r="AO46" s="150">
        <f t="shared" si="40"/>
        <v>50917.5</v>
      </c>
      <c r="AP46" s="150">
        <f t="shared" si="40"/>
        <v>51100</v>
      </c>
      <c r="AQ46" s="150">
        <f t="shared" si="40"/>
        <v>51282.5</v>
      </c>
      <c r="AR46" s="150">
        <f t="shared" si="40"/>
        <v>51465</v>
      </c>
      <c r="AS46" s="150">
        <f t="shared" si="40"/>
        <v>51647.5</v>
      </c>
      <c r="AT46" s="150">
        <f t="shared" si="40"/>
        <v>51830</v>
      </c>
      <c r="AU46" s="150">
        <f t="shared" si="40"/>
        <v>52012.5</v>
      </c>
      <c r="AV46" s="150">
        <f t="shared" si="40"/>
        <v>52195</v>
      </c>
      <c r="AW46" s="150">
        <f t="shared" si="40"/>
        <v>52377.5</v>
      </c>
      <c r="AX46" s="150">
        <f t="shared" si="40"/>
        <v>52560</v>
      </c>
      <c r="AY46" s="150">
        <f t="shared" si="40"/>
        <v>52742.5</v>
      </c>
      <c r="AZ46" s="150">
        <f t="shared" si="40"/>
        <v>52925</v>
      </c>
      <c r="BA46" s="150">
        <f t="shared" si="40"/>
        <v>53107.5</v>
      </c>
      <c r="BB46" s="150">
        <f t="shared" si="40"/>
        <v>53290</v>
      </c>
      <c r="BC46" s="150">
        <f t="shared" si="40"/>
        <v>53472.5</v>
      </c>
      <c r="BD46" s="150">
        <f t="shared" si="40"/>
        <v>53655</v>
      </c>
      <c r="BE46" s="150">
        <f t="shared" si="40"/>
        <v>53837.5</v>
      </c>
      <c r="BF46" s="150">
        <f t="shared" si="40"/>
        <v>54020</v>
      </c>
      <c r="BG46" s="150">
        <f t="shared" si="40"/>
        <v>54202.5</v>
      </c>
      <c r="BH46" s="150">
        <f t="shared" si="40"/>
        <v>54385</v>
      </c>
      <c r="BI46" s="150">
        <f t="shared" si="40"/>
        <v>54567.5</v>
      </c>
      <c r="BJ46" s="150">
        <f t="shared" si="40"/>
        <v>54750</v>
      </c>
      <c r="BK46" s="150">
        <f t="shared" si="40"/>
        <v>54932.5</v>
      </c>
      <c r="BL46" s="150">
        <f t="shared" si="40"/>
        <v>55115</v>
      </c>
      <c r="BM46" s="150">
        <f t="shared" si="40"/>
        <v>55297.5</v>
      </c>
      <c r="BN46" s="150">
        <f t="shared" si="40"/>
        <v>55480</v>
      </c>
      <c r="BO46" s="150">
        <f t="shared" ref="BO46:CB46" si="41">BN46+IF($G10=1,365,182.5)</f>
        <v>55662.5</v>
      </c>
      <c r="BP46" s="150">
        <f t="shared" si="41"/>
        <v>55845</v>
      </c>
      <c r="BQ46" s="150">
        <f t="shared" si="41"/>
        <v>56027.5</v>
      </c>
      <c r="BR46" s="150">
        <f t="shared" si="41"/>
        <v>56210</v>
      </c>
      <c r="BS46" s="150">
        <f t="shared" si="41"/>
        <v>56392.5</v>
      </c>
      <c r="BT46" s="150">
        <f t="shared" si="41"/>
        <v>56575</v>
      </c>
      <c r="BU46" s="150">
        <f t="shared" si="41"/>
        <v>56757.5</v>
      </c>
      <c r="BV46" s="150">
        <f t="shared" si="41"/>
        <v>56940</v>
      </c>
      <c r="BW46" s="150">
        <f t="shared" si="41"/>
        <v>57122.5</v>
      </c>
      <c r="BX46" s="150">
        <f t="shared" si="41"/>
        <v>57305</v>
      </c>
      <c r="BY46" s="150">
        <f t="shared" si="41"/>
        <v>57487.5</v>
      </c>
      <c r="BZ46" s="150">
        <f t="shared" si="41"/>
        <v>57670</v>
      </c>
      <c r="CA46" s="150">
        <f t="shared" si="41"/>
        <v>57852.5</v>
      </c>
      <c r="CB46" s="151">
        <f t="shared" si="41"/>
        <v>58035</v>
      </c>
    </row>
    <row r="47" spans="1:80">
      <c r="A47" s="170" t="s">
        <v>17</v>
      </c>
      <c r="B47" s="152">
        <f>(IF(B46=F10,100,0)+IF(G10=1,1,0.5)*J10*100)*IF(ISBLANK(F10)=TRUE,0,1)</f>
        <v>0.75</v>
      </c>
      <c r="C47" s="153">
        <f>IF(C46&gt;$F10+1,0,1)*(IF(D47=0,100,0)+IF($G10=1,1,0.5)*$J10*100)</f>
        <v>0.75</v>
      </c>
      <c r="D47" s="153">
        <f t="shared" ref="D47:BO47" si="42">IF(D46&gt;$F10+1,0,1)*(IF(E47=0,100,0)+IF($G10=1,1,0.5)*$J10*100)</f>
        <v>0.75</v>
      </c>
      <c r="E47" s="153">
        <f t="shared" si="42"/>
        <v>0.75</v>
      </c>
      <c r="F47" s="153">
        <f t="shared" si="42"/>
        <v>0.75</v>
      </c>
      <c r="G47" s="153">
        <f t="shared" si="42"/>
        <v>0.75</v>
      </c>
      <c r="H47" s="153">
        <f t="shared" si="42"/>
        <v>0.75</v>
      </c>
      <c r="I47" s="153">
        <f t="shared" si="42"/>
        <v>0.75</v>
      </c>
      <c r="J47" s="153">
        <f t="shared" si="42"/>
        <v>0.75</v>
      </c>
      <c r="K47" s="153">
        <f t="shared" si="42"/>
        <v>0.75</v>
      </c>
      <c r="L47" s="153">
        <f t="shared" si="42"/>
        <v>0.75</v>
      </c>
      <c r="M47" s="153">
        <f t="shared" si="42"/>
        <v>0.75</v>
      </c>
      <c r="N47" s="153">
        <f t="shared" si="42"/>
        <v>0.75</v>
      </c>
      <c r="O47" s="153">
        <f t="shared" si="42"/>
        <v>100.75</v>
      </c>
      <c r="P47" s="153">
        <f t="shared" si="42"/>
        <v>0</v>
      </c>
      <c r="Q47" s="153">
        <f t="shared" si="42"/>
        <v>0</v>
      </c>
      <c r="R47" s="153">
        <f t="shared" si="42"/>
        <v>0</v>
      </c>
      <c r="S47" s="153">
        <f t="shared" si="42"/>
        <v>0</v>
      </c>
      <c r="T47" s="153">
        <f t="shared" si="42"/>
        <v>0</v>
      </c>
      <c r="U47" s="153">
        <f t="shared" si="42"/>
        <v>0</v>
      </c>
      <c r="V47" s="153">
        <f t="shared" si="42"/>
        <v>0</v>
      </c>
      <c r="W47" s="153">
        <f t="shared" si="42"/>
        <v>0</v>
      </c>
      <c r="X47" s="153">
        <f t="shared" si="42"/>
        <v>0</v>
      </c>
      <c r="Y47" s="153">
        <f t="shared" si="42"/>
        <v>0</v>
      </c>
      <c r="Z47" s="153">
        <f t="shared" si="42"/>
        <v>0</v>
      </c>
      <c r="AA47" s="153">
        <f t="shared" si="42"/>
        <v>0</v>
      </c>
      <c r="AB47" s="153">
        <f t="shared" si="42"/>
        <v>0</v>
      </c>
      <c r="AC47" s="153">
        <f t="shared" si="42"/>
        <v>0</v>
      </c>
      <c r="AD47" s="153">
        <f t="shared" si="42"/>
        <v>0</v>
      </c>
      <c r="AE47" s="153">
        <f t="shared" si="42"/>
        <v>0</v>
      </c>
      <c r="AF47" s="153">
        <f t="shared" si="42"/>
        <v>0</v>
      </c>
      <c r="AG47" s="153">
        <f t="shared" si="42"/>
        <v>0</v>
      </c>
      <c r="AH47" s="153">
        <f t="shared" si="42"/>
        <v>0</v>
      </c>
      <c r="AI47" s="153">
        <f t="shared" si="42"/>
        <v>0</v>
      </c>
      <c r="AJ47" s="153">
        <f t="shared" si="42"/>
        <v>0</v>
      </c>
      <c r="AK47" s="153">
        <f t="shared" si="42"/>
        <v>0</v>
      </c>
      <c r="AL47" s="153">
        <f t="shared" si="42"/>
        <v>0</v>
      </c>
      <c r="AM47" s="153">
        <f t="shared" si="42"/>
        <v>0</v>
      </c>
      <c r="AN47" s="153">
        <f t="shared" si="42"/>
        <v>0</v>
      </c>
      <c r="AO47" s="153">
        <f t="shared" si="42"/>
        <v>0</v>
      </c>
      <c r="AP47" s="153">
        <f t="shared" si="42"/>
        <v>0</v>
      </c>
      <c r="AQ47" s="153">
        <f t="shared" si="42"/>
        <v>0</v>
      </c>
      <c r="AR47" s="153">
        <f t="shared" si="42"/>
        <v>0</v>
      </c>
      <c r="AS47" s="153">
        <f t="shared" si="42"/>
        <v>0</v>
      </c>
      <c r="AT47" s="153">
        <f t="shared" si="42"/>
        <v>0</v>
      </c>
      <c r="AU47" s="153">
        <f t="shared" si="42"/>
        <v>0</v>
      </c>
      <c r="AV47" s="153">
        <f t="shared" si="42"/>
        <v>0</v>
      </c>
      <c r="AW47" s="153">
        <f t="shared" si="42"/>
        <v>0</v>
      </c>
      <c r="AX47" s="153">
        <f t="shared" si="42"/>
        <v>0</v>
      </c>
      <c r="AY47" s="153">
        <f t="shared" si="42"/>
        <v>0</v>
      </c>
      <c r="AZ47" s="153">
        <f t="shared" si="42"/>
        <v>0</v>
      </c>
      <c r="BA47" s="153">
        <f t="shared" si="42"/>
        <v>0</v>
      </c>
      <c r="BB47" s="153">
        <f t="shared" si="42"/>
        <v>0</v>
      </c>
      <c r="BC47" s="153">
        <f t="shared" si="42"/>
        <v>0</v>
      </c>
      <c r="BD47" s="153">
        <f t="shared" si="42"/>
        <v>0</v>
      </c>
      <c r="BE47" s="153">
        <f t="shared" si="42"/>
        <v>0</v>
      </c>
      <c r="BF47" s="153">
        <f t="shared" si="42"/>
        <v>0</v>
      </c>
      <c r="BG47" s="153">
        <f t="shared" si="42"/>
        <v>0</v>
      </c>
      <c r="BH47" s="153">
        <f t="shared" si="42"/>
        <v>0</v>
      </c>
      <c r="BI47" s="153">
        <f t="shared" si="42"/>
        <v>0</v>
      </c>
      <c r="BJ47" s="153">
        <f t="shared" si="42"/>
        <v>0</v>
      </c>
      <c r="BK47" s="153">
        <f t="shared" si="42"/>
        <v>0</v>
      </c>
      <c r="BL47" s="153">
        <f t="shared" si="42"/>
        <v>0</v>
      </c>
      <c r="BM47" s="153">
        <f t="shared" si="42"/>
        <v>0</v>
      </c>
      <c r="BN47" s="153">
        <f t="shared" si="42"/>
        <v>0</v>
      </c>
      <c r="BO47" s="153">
        <f t="shared" si="42"/>
        <v>0</v>
      </c>
      <c r="BP47" s="153">
        <f t="shared" ref="BP47:CB47" si="43">IF(BP46&gt;$F10+1,0,1)*(IF(BQ47=0,100,0)+IF($G10=1,1,0.5)*$J10*100)</f>
        <v>0</v>
      </c>
      <c r="BQ47" s="153">
        <f t="shared" si="43"/>
        <v>0</v>
      </c>
      <c r="BR47" s="153">
        <f t="shared" si="43"/>
        <v>0</v>
      </c>
      <c r="BS47" s="153">
        <f t="shared" si="43"/>
        <v>0</v>
      </c>
      <c r="BT47" s="153">
        <f t="shared" si="43"/>
        <v>0</v>
      </c>
      <c r="BU47" s="153">
        <f t="shared" si="43"/>
        <v>0</v>
      </c>
      <c r="BV47" s="153">
        <f t="shared" si="43"/>
        <v>0</v>
      </c>
      <c r="BW47" s="153">
        <f t="shared" si="43"/>
        <v>0</v>
      </c>
      <c r="BX47" s="153">
        <f t="shared" si="43"/>
        <v>0</v>
      </c>
      <c r="BY47" s="153">
        <f t="shared" si="43"/>
        <v>0</v>
      </c>
      <c r="BZ47" s="153">
        <f t="shared" si="43"/>
        <v>0</v>
      </c>
      <c r="CA47" s="153">
        <f t="shared" si="43"/>
        <v>0</v>
      </c>
      <c r="CB47" s="155">
        <f t="shared" si="43"/>
        <v>0</v>
      </c>
    </row>
    <row r="48" spans="1:80">
      <c r="A48" s="257" t="s">
        <v>49</v>
      </c>
      <c r="B48" s="57" t="str">
        <f>IF(E11=0,F11,E11)</f>
        <v>12/1/2019</v>
      </c>
      <c r="C48" s="58">
        <f t="shared" ref="C48:BN48" si="44">B48+IF($G11=1,365,182.5)</f>
        <v>43982.5</v>
      </c>
      <c r="D48" s="58">
        <f t="shared" si="44"/>
        <v>44165</v>
      </c>
      <c r="E48" s="58">
        <f t="shared" si="44"/>
        <v>44347.5</v>
      </c>
      <c r="F48" s="58">
        <f t="shared" si="44"/>
        <v>44530</v>
      </c>
      <c r="G48" s="58">
        <f t="shared" si="44"/>
        <v>44712.5</v>
      </c>
      <c r="H48" s="58">
        <f t="shared" si="44"/>
        <v>44895</v>
      </c>
      <c r="I48" s="58">
        <f t="shared" si="44"/>
        <v>45077.5</v>
      </c>
      <c r="J48" s="58">
        <f t="shared" si="44"/>
        <v>45260</v>
      </c>
      <c r="K48" s="58">
        <f t="shared" si="44"/>
        <v>45442.5</v>
      </c>
      <c r="L48" s="58">
        <f t="shared" si="44"/>
        <v>45625</v>
      </c>
      <c r="M48" s="58">
        <f t="shared" si="44"/>
        <v>45807.5</v>
      </c>
      <c r="N48" s="58">
        <f t="shared" si="44"/>
        <v>45990</v>
      </c>
      <c r="O48" s="58">
        <f t="shared" si="44"/>
        <v>46172.5</v>
      </c>
      <c r="P48" s="58">
        <f t="shared" si="44"/>
        <v>46355</v>
      </c>
      <c r="Q48" s="58">
        <f t="shared" si="44"/>
        <v>46537.5</v>
      </c>
      <c r="R48" s="58">
        <f t="shared" si="44"/>
        <v>46720</v>
      </c>
      <c r="S48" s="58">
        <f t="shared" si="44"/>
        <v>46902.5</v>
      </c>
      <c r="T48" s="58">
        <f t="shared" si="44"/>
        <v>47085</v>
      </c>
      <c r="U48" s="58">
        <f t="shared" si="44"/>
        <v>47267.5</v>
      </c>
      <c r="V48" s="58">
        <f t="shared" si="44"/>
        <v>47450</v>
      </c>
      <c r="W48" s="58">
        <f t="shared" si="44"/>
        <v>47632.5</v>
      </c>
      <c r="X48" s="58">
        <f t="shared" si="44"/>
        <v>47815</v>
      </c>
      <c r="Y48" s="58">
        <f t="shared" si="44"/>
        <v>47997.5</v>
      </c>
      <c r="Z48" s="58">
        <f t="shared" si="44"/>
        <v>48180</v>
      </c>
      <c r="AA48" s="58">
        <f t="shared" si="44"/>
        <v>48362.5</v>
      </c>
      <c r="AB48" s="58">
        <f t="shared" si="44"/>
        <v>48545</v>
      </c>
      <c r="AC48" s="58">
        <f t="shared" si="44"/>
        <v>48727.5</v>
      </c>
      <c r="AD48" s="58">
        <f t="shared" si="44"/>
        <v>48910</v>
      </c>
      <c r="AE48" s="58">
        <f t="shared" si="44"/>
        <v>49092.5</v>
      </c>
      <c r="AF48" s="58">
        <f t="shared" si="44"/>
        <v>49275</v>
      </c>
      <c r="AG48" s="58">
        <f t="shared" si="44"/>
        <v>49457.5</v>
      </c>
      <c r="AH48" s="58">
        <f t="shared" si="44"/>
        <v>49640</v>
      </c>
      <c r="AI48" s="58">
        <f t="shared" si="44"/>
        <v>49822.5</v>
      </c>
      <c r="AJ48" s="58">
        <f t="shared" si="44"/>
        <v>50005</v>
      </c>
      <c r="AK48" s="58">
        <f t="shared" si="44"/>
        <v>50187.5</v>
      </c>
      <c r="AL48" s="58">
        <f t="shared" si="44"/>
        <v>50370</v>
      </c>
      <c r="AM48" s="58">
        <f t="shared" si="44"/>
        <v>50552.5</v>
      </c>
      <c r="AN48" s="58">
        <f t="shared" si="44"/>
        <v>50735</v>
      </c>
      <c r="AO48" s="58">
        <f t="shared" si="44"/>
        <v>50917.5</v>
      </c>
      <c r="AP48" s="58">
        <f t="shared" si="44"/>
        <v>51100</v>
      </c>
      <c r="AQ48" s="58">
        <f t="shared" si="44"/>
        <v>51282.5</v>
      </c>
      <c r="AR48" s="58">
        <f t="shared" si="44"/>
        <v>51465</v>
      </c>
      <c r="AS48" s="58">
        <f t="shared" si="44"/>
        <v>51647.5</v>
      </c>
      <c r="AT48" s="58">
        <f t="shared" si="44"/>
        <v>51830</v>
      </c>
      <c r="AU48" s="58">
        <f t="shared" si="44"/>
        <v>52012.5</v>
      </c>
      <c r="AV48" s="58">
        <f t="shared" si="44"/>
        <v>52195</v>
      </c>
      <c r="AW48" s="58">
        <f t="shared" si="44"/>
        <v>52377.5</v>
      </c>
      <c r="AX48" s="58">
        <f t="shared" si="44"/>
        <v>52560</v>
      </c>
      <c r="AY48" s="58">
        <f t="shared" si="44"/>
        <v>52742.5</v>
      </c>
      <c r="AZ48" s="58">
        <f t="shared" si="44"/>
        <v>52925</v>
      </c>
      <c r="BA48" s="58">
        <f t="shared" si="44"/>
        <v>53107.5</v>
      </c>
      <c r="BB48" s="58">
        <f t="shared" si="44"/>
        <v>53290</v>
      </c>
      <c r="BC48" s="58">
        <f t="shared" si="44"/>
        <v>53472.5</v>
      </c>
      <c r="BD48" s="58">
        <f t="shared" si="44"/>
        <v>53655</v>
      </c>
      <c r="BE48" s="58">
        <f t="shared" si="44"/>
        <v>53837.5</v>
      </c>
      <c r="BF48" s="58">
        <f t="shared" si="44"/>
        <v>54020</v>
      </c>
      <c r="BG48" s="58">
        <f t="shared" si="44"/>
        <v>54202.5</v>
      </c>
      <c r="BH48" s="58">
        <f t="shared" si="44"/>
        <v>54385</v>
      </c>
      <c r="BI48" s="58">
        <f t="shared" si="44"/>
        <v>54567.5</v>
      </c>
      <c r="BJ48" s="58">
        <f t="shared" si="44"/>
        <v>54750</v>
      </c>
      <c r="BK48" s="58">
        <f t="shared" si="44"/>
        <v>54932.5</v>
      </c>
      <c r="BL48" s="58">
        <f t="shared" si="44"/>
        <v>55115</v>
      </c>
      <c r="BM48" s="58">
        <f t="shared" si="44"/>
        <v>55297.5</v>
      </c>
      <c r="BN48" s="58">
        <f t="shared" si="44"/>
        <v>55480</v>
      </c>
      <c r="BO48" s="58">
        <f t="shared" ref="BO48:CB48" si="45">BN48+IF($G11=1,365,182.5)</f>
        <v>55662.5</v>
      </c>
      <c r="BP48" s="58">
        <f t="shared" si="45"/>
        <v>55845</v>
      </c>
      <c r="BQ48" s="58">
        <f t="shared" si="45"/>
        <v>56027.5</v>
      </c>
      <c r="BR48" s="58">
        <f t="shared" si="45"/>
        <v>56210</v>
      </c>
      <c r="BS48" s="58">
        <f t="shared" si="45"/>
        <v>56392.5</v>
      </c>
      <c r="BT48" s="58">
        <f t="shared" si="45"/>
        <v>56575</v>
      </c>
      <c r="BU48" s="58">
        <f t="shared" si="45"/>
        <v>56757.5</v>
      </c>
      <c r="BV48" s="58">
        <f t="shared" si="45"/>
        <v>56940</v>
      </c>
      <c r="BW48" s="58">
        <f t="shared" si="45"/>
        <v>57122.5</v>
      </c>
      <c r="BX48" s="58">
        <f t="shared" si="45"/>
        <v>57305</v>
      </c>
      <c r="BY48" s="58">
        <f t="shared" si="45"/>
        <v>57487.5</v>
      </c>
      <c r="BZ48" s="58">
        <f t="shared" si="45"/>
        <v>57670</v>
      </c>
      <c r="CA48" s="58">
        <f t="shared" si="45"/>
        <v>57852.5</v>
      </c>
      <c r="CB48" s="59">
        <f t="shared" si="45"/>
        <v>58035</v>
      </c>
    </row>
    <row r="49" spans="1:80">
      <c r="A49" s="171" t="s">
        <v>28</v>
      </c>
      <c r="B49" s="112">
        <f>(IF(B48=F11,100,0)+IF(G11=1,1,0.5)*J11*100)*IF(ISBLANK(F11)=TRUE,0,1)</f>
        <v>0.5</v>
      </c>
      <c r="C49" s="60">
        <f>IF(C48&gt;$F11+1,0,1)*(IF(D49=0,100,0)+IF($G11=1,1,0.5)*$J11*100)</f>
        <v>0.5</v>
      </c>
      <c r="D49" s="60">
        <f t="shared" ref="D49:BO49" si="46">IF(D48&gt;$F11+1,0,1)*(IF(E49=0,100,0)+IF($G11=1,1,0.5)*$J11*100)</f>
        <v>0.5</v>
      </c>
      <c r="E49" s="60">
        <f t="shared" si="46"/>
        <v>0.5</v>
      </c>
      <c r="F49" s="60">
        <f t="shared" si="46"/>
        <v>0.5</v>
      </c>
      <c r="G49" s="60">
        <f t="shared" si="46"/>
        <v>0.5</v>
      </c>
      <c r="H49" s="60">
        <f t="shared" si="46"/>
        <v>0.5</v>
      </c>
      <c r="I49" s="60">
        <f t="shared" si="46"/>
        <v>0.5</v>
      </c>
      <c r="J49" s="60">
        <f t="shared" si="46"/>
        <v>0.5</v>
      </c>
      <c r="K49" s="60">
        <f t="shared" si="46"/>
        <v>0.5</v>
      </c>
      <c r="L49" s="60">
        <f t="shared" si="46"/>
        <v>0.5</v>
      </c>
      <c r="M49" s="60">
        <f t="shared" si="46"/>
        <v>0.5</v>
      </c>
      <c r="N49" s="60">
        <f t="shared" si="46"/>
        <v>0.5</v>
      </c>
      <c r="O49" s="60">
        <f t="shared" si="46"/>
        <v>0.5</v>
      </c>
      <c r="P49" s="60">
        <f t="shared" si="46"/>
        <v>0.5</v>
      </c>
      <c r="Q49" s="60">
        <f t="shared" si="46"/>
        <v>100.5</v>
      </c>
      <c r="R49" s="60">
        <f t="shared" si="46"/>
        <v>0</v>
      </c>
      <c r="S49" s="60">
        <f t="shared" si="46"/>
        <v>0</v>
      </c>
      <c r="T49" s="60">
        <f t="shared" si="46"/>
        <v>0</v>
      </c>
      <c r="U49" s="60">
        <f t="shared" si="46"/>
        <v>0</v>
      </c>
      <c r="V49" s="60">
        <f t="shared" si="46"/>
        <v>0</v>
      </c>
      <c r="W49" s="60">
        <f t="shared" si="46"/>
        <v>0</v>
      </c>
      <c r="X49" s="60">
        <f t="shared" si="46"/>
        <v>0</v>
      </c>
      <c r="Y49" s="60">
        <f t="shared" si="46"/>
        <v>0</v>
      </c>
      <c r="Z49" s="60">
        <f t="shared" si="46"/>
        <v>0</v>
      </c>
      <c r="AA49" s="60">
        <f t="shared" si="46"/>
        <v>0</v>
      </c>
      <c r="AB49" s="60">
        <f t="shared" si="46"/>
        <v>0</v>
      </c>
      <c r="AC49" s="60">
        <f t="shared" si="46"/>
        <v>0</v>
      </c>
      <c r="AD49" s="60">
        <f t="shared" si="46"/>
        <v>0</v>
      </c>
      <c r="AE49" s="60">
        <f t="shared" si="46"/>
        <v>0</v>
      </c>
      <c r="AF49" s="60">
        <f t="shared" si="46"/>
        <v>0</v>
      </c>
      <c r="AG49" s="60">
        <f t="shared" si="46"/>
        <v>0</v>
      </c>
      <c r="AH49" s="60">
        <f t="shared" si="46"/>
        <v>0</v>
      </c>
      <c r="AI49" s="60">
        <f t="shared" si="46"/>
        <v>0</v>
      </c>
      <c r="AJ49" s="60">
        <f t="shared" si="46"/>
        <v>0</v>
      </c>
      <c r="AK49" s="60">
        <f t="shared" si="46"/>
        <v>0</v>
      </c>
      <c r="AL49" s="60">
        <f t="shared" si="46"/>
        <v>0</v>
      </c>
      <c r="AM49" s="60">
        <f t="shared" si="46"/>
        <v>0</v>
      </c>
      <c r="AN49" s="60">
        <f t="shared" si="46"/>
        <v>0</v>
      </c>
      <c r="AO49" s="60">
        <f t="shared" si="46"/>
        <v>0</v>
      </c>
      <c r="AP49" s="60">
        <f t="shared" si="46"/>
        <v>0</v>
      </c>
      <c r="AQ49" s="60">
        <f t="shared" si="46"/>
        <v>0</v>
      </c>
      <c r="AR49" s="60">
        <f t="shared" si="46"/>
        <v>0</v>
      </c>
      <c r="AS49" s="60">
        <f t="shared" si="46"/>
        <v>0</v>
      </c>
      <c r="AT49" s="60">
        <f t="shared" si="46"/>
        <v>0</v>
      </c>
      <c r="AU49" s="60">
        <f t="shared" si="46"/>
        <v>0</v>
      </c>
      <c r="AV49" s="60">
        <f t="shared" si="46"/>
        <v>0</v>
      </c>
      <c r="AW49" s="60">
        <f t="shared" si="46"/>
        <v>0</v>
      </c>
      <c r="AX49" s="60">
        <f t="shared" si="46"/>
        <v>0</v>
      </c>
      <c r="AY49" s="60">
        <f t="shared" si="46"/>
        <v>0</v>
      </c>
      <c r="AZ49" s="60">
        <f t="shared" si="46"/>
        <v>0</v>
      </c>
      <c r="BA49" s="60">
        <f t="shared" si="46"/>
        <v>0</v>
      </c>
      <c r="BB49" s="60">
        <f t="shared" si="46"/>
        <v>0</v>
      </c>
      <c r="BC49" s="60">
        <f t="shared" si="46"/>
        <v>0</v>
      </c>
      <c r="BD49" s="60">
        <f t="shared" si="46"/>
        <v>0</v>
      </c>
      <c r="BE49" s="60">
        <f t="shared" si="46"/>
        <v>0</v>
      </c>
      <c r="BF49" s="60">
        <f t="shared" si="46"/>
        <v>0</v>
      </c>
      <c r="BG49" s="60">
        <f t="shared" si="46"/>
        <v>0</v>
      </c>
      <c r="BH49" s="60">
        <f t="shared" si="46"/>
        <v>0</v>
      </c>
      <c r="BI49" s="60">
        <f t="shared" si="46"/>
        <v>0</v>
      </c>
      <c r="BJ49" s="60">
        <f t="shared" si="46"/>
        <v>0</v>
      </c>
      <c r="BK49" s="60">
        <f t="shared" si="46"/>
        <v>0</v>
      </c>
      <c r="BL49" s="60">
        <f t="shared" si="46"/>
        <v>0</v>
      </c>
      <c r="BM49" s="60">
        <f t="shared" si="46"/>
        <v>0</v>
      </c>
      <c r="BN49" s="60">
        <f t="shared" si="46"/>
        <v>0</v>
      </c>
      <c r="BO49" s="60">
        <f t="shared" si="46"/>
        <v>0</v>
      </c>
      <c r="BP49" s="60">
        <f t="shared" ref="BP49:CB49" si="47">IF(BP48&gt;$F11+1,0,1)*(IF(BQ49=0,100,0)+IF($G11=1,1,0.5)*$J11*100)</f>
        <v>0</v>
      </c>
      <c r="BQ49" s="60">
        <f t="shared" si="47"/>
        <v>0</v>
      </c>
      <c r="BR49" s="60">
        <f t="shared" si="47"/>
        <v>0</v>
      </c>
      <c r="BS49" s="60">
        <f t="shared" si="47"/>
        <v>0</v>
      </c>
      <c r="BT49" s="60">
        <f t="shared" si="47"/>
        <v>0</v>
      </c>
      <c r="BU49" s="60">
        <f t="shared" si="47"/>
        <v>0</v>
      </c>
      <c r="BV49" s="60">
        <f t="shared" si="47"/>
        <v>0</v>
      </c>
      <c r="BW49" s="60">
        <f t="shared" si="47"/>
        <v>0</v>
      </c>
      <c r="BX49" s="60">
        <f t="shared" si="47"/>
        <v>0</v>
      </c>
      <c r="BY49" s="60">
        <f t="shared" si="47"/>
        <v>0</v>
      </c>
      <c r="BZ49" s="60">
        <f t="shared" si="47"/>
        <v>0</v>
      </c>
      <c r="CA49" s="60">
        <f t="shared" si="47"/>
        <v>0</v>
      </c>
      <c r="CB49" s="61">
        <f t="shared" si="47"/>
        <v>0</v>
      </c>
    </row>
    <row r="50" spans="1:80">
      <c r="A50" s="256" t="s">
        <v>49</v>
      </c>
      <c r="B50" s="62" t="str">
        <f>IF(E12=0,F12,E12)</f>
        <v>12/1/2019</v>
      </c>
      <c r="C50" s="63">
        <f t="shared" ref="C50:BN50" si="48">B50+IF($G12=1,365,182.5)</f>
        <v>43982.5</v>
      </c>
      <c r="D50" s="63">
        <f t="shared" si="48"/>
        <v>44165</v>
      </c>
      <c r="E50" s="63">
        <f t="shared" si="48"/>
        <v>44347.5</v>
      </c>
      <c r="F50" s="63">
        <f t="shared" si="48"/>
        <v>44530</v>
      </c>
      <c r="G50" s="63">
        <f t="shared" si="48"/>
        <v>44712.5</v>
      </c>
      <c r="H50" s="63">
        <f t="shared" si="48"/>
        <v>44895</v>
      </c>
      <c r="I50" s="63">
        <f t="shared" si="48"/>
        <v>45077.5</v>
      </c>
      <c r="J50" s="63">
        <f t="shared" si="48"/>
        <v>45260</v>
      </c>
      <c r="K50" s="63">
        <f t="shared" si="48"/>
        <v>45442.5</v>
      </c>
      <c r="L50" s="63">
        <f t="shared" si="48"/>
        <v>45625</v>
      </c>
      <c r="M50" s="63">
        <f t="shared" si="48"/>
        <v>45807.5</v>
      </c>
      <c r="N50" s="63">
        <f t="shared" si="48"/>
        <v>45990</v>
      </c>
      <c r="O50" s="63">
        <f t="shared" si="48"/>
        <v>46172.5</v>
      </c>
      <c r="P50" s="63">
        <f t="shared" si="48"/>
        <v>46355</v>
      </c>
      <c r="Q50" s="63">
        <f t="shared" si="48"/>
        <v>46537.5</v>
      </c>
      <c r="R50" s="63">
        <f t="shared" si="48"/>
        <v>46720</v>
      </c>
      <c r="S50" s="63">
        <f t="shared" si="48"/>
        <v>46902.5</v>
      </c>
      <c r="T50" s="63">
        <f t="shared" si="48"/>
        <v>47085</v>
      </c>
      <c r="U50" s="63">
        <f t="shared" si="48"/>
        <v>47267.5</v>
      </c>
      <c r="V50" s="63">
        <f t="shared" si="48"/>
        <v>47450</v>
      </c>
      <c r="W50" s="63">
        <f t="shared" si="48"/>
        <v>47632.5</v>
      </c>
      <c r="X50" s="63">
        <f t="shared" si="48"/>
        <v>47815</v>
      </c>
      <c r="Y50" s="63">
        <f t="shared" si="48"/>
        <v>47997.5</v>
      </c>
      <c r="Z50" s="63">
        <f t="shared" si="48"/>
        <v>48180</v>
      </c>
      <c r="AA50" s="63">
        <f t="shared" si="48"/>
        <v>48362.5</v>
      </c>
      <c r="AB50" s="63">
        <f t="shared" si="48"/>
        <v>48545</v>
      </c>
      <c r="AC50" s="63">
        <f t="shared" si="48"/>
        <v>48727.5</v>
      </c>
      <c r="AD50" s="63">
        <f t="shared" si="48"/>
        <v>48910</v>
      </c>
      <c r="AE50" s="63">
        <f t="shared" si="48"/>
        <v>49092.5</v>
      </c>
      <c r="AF50" s="63">
        <f t="shared" si="48"/>
        <v>49275</v>
      </c>
      <c r="AG50" s="63">
        <f t="shared" si="48"/>
        <v>49457.5</v>
      </c>
      <c r="AH50" s="63">
        <f t="shared" si="48"/>
        <v>49640</v>
      </c>
      <c r="AI50" s="63">
        <f t="shared" si="48"/>
        <v>49822.5</v>
      </c>
      <c r="AJ50" s="63">
        <f t="shared" si="48"/>
        <v>50005</v>
      </c>
      <c r="AK50" s="63">
        <f t="shared" si="48"/>
        <v>50187.5</v>
      </c>
      <c r="AL50" s="63">
        <f t="shared" si="48"/>
        <v>50370</v>
      </c>
      <c r="AM50" s="63">
        <f t="shared" si="48"/>
        <v>50552.5</v>
      </c>
      <c r="AN50" s="63">
        <f t="shared" si="48"/>
        <v>50735</v>
      </c>
      <c r="AO50" s="63">
        <f t="shared" si="48"/>
        <v>50917.5</v>
      </c>
      <c r="AP50" s="63">
        <f t="shared" si="48"/>
        <v>51100</v>
      </c>
      <c r="AQ50" s="63">
        <f t="shared" si="48"/>
        <v>51282.5</v>
      </c>
      <c r="AR50" s="63">
        <f t="shared" si="48"/>
        <v>51465</v>
      </c>
      <c r="AS50" s="63">
        <f t="shared" si="48"/>
        <v>51647.5</v>
      </c>
      <c r="AT50" s="63">
        <f t="shared" si="48"/>
        <v>51830</v>
      </c>
      <c r="AU50" s="63">
        <f t="shared" si="48"/>
        <v>52012.5</v>
      </c>
      <c r="AV50" s="63">
        <f t="shared" si="48"/>
        <v>52195</v>
      </c>
      <c r="AW50" s="63">
        <f t="shared" si="48"/>
        <v>52377.5</v>
      </c>
      <c r="AX50" s="63">
        <f t="shared" si="48"/>
        <v>52560</v>
      </c>
      <c r="AY50" s="63">
        <f t="shared" si="48"/>
        <v>52742.5</v>
      </c>
      <c r="AZ50" s="63">
        <f t="shared" si="48"/>
        <v>52925</v>
      </c>
      <c r="BA50" s="63">
        <f t="shared" si="48"/>
        <v>53107.5</v>
      </c>
      <c r="BB50" s="63">
        <f t="shared" si="48"/>
        <v>53290</v>
      </c>
      <c r="BC50" s="63">
        <f t="shared" si="48"/>
        <v>53472.5</v>
      </c>
      <c r="BD50" s="63">
        <f t="shared" si="48"/>
        <v>53655</v>
      </c>
      <c r="BE50" s="63">
        <f t="shared" si="48"/>
        <v>53837.5</v>
      </c>
      <c r="BF50" s="63">
        <f t="shared" si="48"/>
        <v>54020</v>
      </c>
      <c r="BG50" s="63">
        <f t="shared" si="48"/>
        <v>54202.5</v>
      </c>
      <c r="BH50" s="63">
        <f t="shared" si="48"/>
        <v>54385</v>
      </c>
      <c r="BI50" s="63">
        <f t="shared" si="48"/>
        <v>54567.5</v>
      </c>
      <c r="BJ50" s="63">
        <f t="shared" si="48"/>
        <v>54750</v>
      </c>
      <c r="BK50" s="63">
        <f t="shared" si="48"/>
        <v>54932.5</v>
      </c>
      <c r="BL50" s="63">
        <f t="shared" si="48"/>
        <v>55115</v>
      </c>
      <c r="BM50" s="63">
        <f t="shared" si="48"/>
        <v>55297.5</v>
      </c>
      <c r="BN50" s="63">
        <f t="shared" si="48"/>
        <v>55480</v>
      </c>
      <c r="BO50" s="63">
        <f t="shared" ref="BO50:CB50" si="49">BN50+IF($G12=1,365,182.5)</f>
        <v>55662.5</v>
      </c>
      <c r="BP50" s="63">
        <f t="shared" si="49"/>
        <v>55845</v>
      </c>
      <c r="BQ50" s="63">
        <f t="shared" si="49"/>
        <v>56027.5</v>
      </c>
      <c r="BR50" s="63">
        <f t="shared" si="49"/>
        <v>56210</v>
      </c>
      <c r="BS50" s="63">
        <f t="shared" si="49"/>
        <v>56392.5</v>
      </c>
      <c r="BT50" s="63">
        <f t="shared" si="49"/>
        <v>56575</v>
      </c>
      <c r="BU50" s="63">
        <f t="shared" si="49"/>
        <v>56757.5</v>
      </c>
      <c r="BV50" s="63">
        <f t="shared" si="49"/>
        <v>56940</v>
      </c>
      <c r="BW50" s="63">
        <f t="shared" si="49"/>
        <v>57122.5</v>
      </c>
      <c r="BX50" s="63">
        <f t="shared" si="49"/>
        <v>57305</v>
      </c>
      <c r="BY50" s="63">
        <f t="shared" si="49"/>
        <v>57487.5</v>
      </c>
      <c r="BZ50" s="63">
        <f t="shared" si="49"/>
        <v>57670</v>
      </c>
      <c r="CA50" s="63">
        <f t="shared" si="49"/>
        <v>57852.5</v>
      </c>
      <c r="CB50" s="64">
        <f t="shared" si="49"/>
        <v>58035</v>
      </c>
    </row>
    <row r="51" spans="1:80">
      <c r="A51" s="172" t="s">
        <v>29</v>
      </c>
      <c r="B51" s="135">
        <f>(IF(B50=F12,100,0)+IF(G12=1,1,0.5)*J12*100)*IF(ISBLANK(F12)=TRUE,0,1)</f>
        <v>1</v>
      </c>
      <c r="C51" s="136">
        <f>IF(C50&gt;$F12+1,0,1)*(IF(D51=0,100,0)+IF($G12=1,1,0.5)*$J12*100)</f>
        <v>1</v>
      </c>
      <c r="D51" s="136">
        <f t="shared" ref="D51:BO51" si="50">IF(D50&gt;$F12+1,0,1)*(IF(E51=0,100,0)+IF($G12=1,1,0.5)*$J12*100)</f>
        <v>1</v>
      </c>
      <c r="E51" s="136">
        <f t="shared" si="50"/>
        <v>1</v>
      </c>
      <c r="F51" s="136">
        <f t="shared" si="50"/>
        <v>1</v>
      </c>
      <c r="G51" s="136">
        <f t="shared" si="50"/>
        <v>1</v>
      </c>
      <c r="H51" s="136">
        <f t="shared" si="50"/>
        <v>1</v>
      </c>
      <c r="I51" s="136">
        <f t="shared" si="50"/>
        <v>1</v>
      </c>
      <c r="J51" s="136">
        <f t="shared" si="50"/>
        <v>1</v>
      </c>
      <c r="K51" s="136">
        <f t="shared" si="50"/>
        <v>1</v>
      </c>
      <c r="L51" s="136">
        <f t="shared" si="50"/>
        <v>1</v>
      </c>
      <c r="M51" s="136">
        <f t="shared" si="50"/>
        <v>1</v>
      </c>
      <c r="N51" s="136">
        <f t="shared" si="50"/>
        <v>1</v>
      </c>
      <c r="O51" s="136">
        <f t="shared" si="50"/>
        <v>1</v>
      </c>
      <c r="P51" s="136">
        <f t="shared" si="50"/>
        <v>1</v>
      </c>
      <c r="Q51" s="136">
        <f t="shared" si="50"/>
        <v>1</v>
      </c>
      <c r="R51" s="136">
        <f t="shared" si="50"/>
        <v>1</v>
      </c>
      <c r="S51" s="136">
        <f t="shared" si="50"/>
        <v>101</v>
      </c>
      <c r="T51" s="136">
        <f t="shared" si="50"/>
        <v>0</v>
      </c>
      <c r="U51" s="136">
        <f t="shared" si="50"/>
        <v>0</v>
      </c>
      <c r="V51" s="136">
        <f t="shared" si="50"/>
        <v>0</v>
      </c>
      <c r="W51" s="136">
        <f t="shared" si="50"/>
        <v>0</v>
      </c>
      <c r="X51" s="136">
        <f t="shared" si="50"/>
        <v>0</v>
      </c>
      <c r="Y51" s="136">
        <f t="shared" si="50"/>
        <v>0</v>
      </c>
      <c r="Z51" s="136">
        <f t="shared" si="50"/>
        <v>0</v>
      </c>
      <c r="AA51" s="136">
        <f t="shared" si="50"/>
        <v>0</v>
      </c>
      <c r="AB51" s="136">
        <f t="shared" si="50"/>
        <v>0</v>
      </c>
      <c r="AC51" s="136">
        <f t="shared" si="50"/>
        <v>0</v>
      </c>
      <c r="AD51" s="136">
        <f t="shared" si="50"/>
        <v>0</v>
      </c>
      <c r="AE51" s="136">
        <f t="shared" si="50"/>
        <v>0</v>
      </c>
      <c r="AF51" s="136">
        <f t="shared" si="50"/>
        <v>0</v>
      </c>
      <c r="AG51" s="136">
        <f t="shared" si="50"/>
        <v>0</v>
      </c>
      <c r="AH51" s="136">
        <f t="shared" si="50"/>
        <v>0</v>
      </c>
      <c r="AI51" s="136">
        <f t="shared" si="50"/>
        <v>0</v>
      </c>
      <c r="AJ51" s="136">
        <f t="shared" si="50"/>
        <v>0</v>
      </c>
      <c r="AK51" s="136">
        <f t="shared" si="50"/>
        <v>0</v>
      </c>
      <c r="AL51" s="136">
        <f t="shared" si="50"/>
        <v>0</v>
      </c>
      <c r="AM51" s="136">
        <f t="shared" si="50"/>
        <v>0</v>
      </c>
      <c r="AN51" s="136">
        <f t="shared" si="50"/>
        <v>0</v>
      </c>
      <c r="AO51" s="136">
        <f t="shared" si="50"/>
        <v>0</v>
      </c>
      <c r="AP51" s="136">
        <f t="shared" si="50"/>
        <v>0</v>
      </c>
      <c r="AQ51" s="136">
        <f t="shared" si="50"/>
        <v>0</v>
      </c>
      <c r="AR51" s="136">
        <f t="shared" si="50"/>
        <v>0</v>
      </c>
      <c r="AS51" s="136">
        <f t="shared" si="50"/>
        <v>0</v>
      </c>
      <c r="AT51" s="136">
        <f t="shared" si="50"/>
        <v>0</v>
      </c>
      <c r="AU51" s="136">
        <f t="shared" si="50"/>
        <v>0</v>
      </c>
      <c r="AV51" s="136">
        <f t="shared" si="50"/>
        <v>0</v>
      </c>
      <c r="AW51" s="136">
        <f t="shared" si="50"/>
        <v>0</v>
      </c>
      <c r="AX51" s="136">
        <f t="shared" si="50"/>
        <v>0</v>
      </c>
      <c r="AY51" s="136">
        <f t="shared" si="50"/>
        <v>0</v>
      </c>
      <c r="AZ51" s="136">
        <f t="shared" si="50"/>
        <v>0</v>
      </c>
      <c r="BA51" s="136">
        <f t="shared" si="50"/>
        <v>0</v>
      </c>
      <c r="BB51" s="136">
        <f t="shared" si="50"/>
        <v>0</v>
      </c>
      <c r="BC51" s="136">
        <f t="shared" si="50"/>
        <v>0</v>
      </c>
      <c r="BD51" s="136">
        <f t="shared" si="50"/>
        <v>0</v>
      </c>
      <c r="BE51" s="136">
        <f t="shared" si="50"/>
        <v>0</v>
      </c>
      <c r="BF51" s="136">
        <f t="shared" si="50"/>
        <v>0</v>
      </c>
      <c r="BG51" s="136">
        <f t="shared" si="50"/>
        <v>0</v>
      </c>
      <c r="BH51" s="136">
        <f t="shared" si="50"/>
        <v>0</v>
      </c>
      <c r="BI51" s="136">
        <f t="shared" si="50"/>
        <v>0</v>
      </c>
      <c r="BJ51" s="136">
        <f t="shared" si="50"/>
        <v>0</v>
      </c>
      <c r="BK51" s="136">
        <f t="shared" si="50"/>
        <v>0</v>
      </c>
      <c r="BL51" s="136">
        <f t="shared" si="50"/>
        <v>0</v>
      </c>
      <c r="BM51" s="136">
        <f t="shared" si="50"/>
        <v>0</v>
      </c>
      <c r="BN51" s="136">
        <f t="shared" si="50"/>
        <v>0</v>
      </c>
      <c r="BO51" s="136">
        <f t="shared" si="50"/>
        <v>0</v>
      </c>
      <c r="BP51" s="136">
        <f t="shared" ref="BP51:CB51" si="51">IF(BP50&gt;$F12+1,0,1)*(IF(BQ51=0,100,0)+IF($G12=1,1,0.5)*$J12*100)</f>
        <v>0</v>
      </c>
      <c r="BQ51" s="136">
        <f t="shared" si="51"/>
        <v>0</v>
      </c>
      <c r="BR51" s="136">
        <f t="shared" si="51"/>
        <v>0</v>
      </c>
      <c r="BS51" s="136">
        <f t="shared" si="51"/>
        <v>0</v>
      </c>
      <c r="BT51" s="136">
        <f t="shared" si="51"/>
        <v>0</v>
      </c>
      <c r="BU51" s="136">
        <f t="shared" si="51"/>
        <v>0</v>
      </c>
      <c r="BV51" s="136">
        <f t="shared" si="51"/>
        <v>0</v>
      </c>
      <c r="BW51" s="136">
        <f t="shared" si="51"/>
        <v>0</v>
      </c>
      <c r="BX51" s="136">
        <f t="shared" si="51"/>
        <v>0</v>
      </c>
      <c r="BY51" s="136">
        <f t="shared" si="51"/>
        <v>0</v>
      </c>
      <c r="BZ51" s="136">
        <f t="shared" si="51"/>
        <v>0</v>
      </c>
      <c r="CA51" s="136">
        <f t="shared" si="51"/>
        <v>0</v>
      </c>
      <c r="CB51" s="137">
        <f t="shared" si="51"/>
        <v>0</v>
      </c>
    </row>
    <row r="52" spans="1:80">
      <c r="A52" s="255" t="s">
        <v>49</v>
      </c>
      <c r="B52" s="65" t="str">
        <f>IF(E13=0,F13,E13)</f>
        <v>12/1/2019</v>
      </c>
      <c r="C52" s="66">
        <f t="shared" ref="C52:BN52" si="52">B52+IF($G13=1,365,182.5)</f>
        <v>43982.5</v>
      </c>
      <c r="D52" s="66">
        <f t="shared" si="52"/>
        <v>44165</v>
      </c>
      <c r="E52" s="66">
        <f t="shared" si="52"/>
        <v>44347.5</v>
      </c>
      <c r="F52" s="66">
        <f t="shared" si="52"/>
        <v>44530</v>
      </c>
      <c r="G52" s="66">
        <f t="shared" si="52"/>
        <v>44712.5</v>
      </c>
      <c r="H52" s="66">
        <f t="shared" si="52"/>
        <v>44895</v>
      </c>
      <c r="I52" s="66">
        <f t="shared" si="52"/>
        <v>45077.5</v>
      </c>
      <c r="J52" s="66">
        <f t="shared" si="52"/>
        <v>45260</v>
      </c>
      <c r="K52" s="66">
        <f t="shared" si="52"/>
        <v>45442.5</v>
      </c>
      <c r="L52" s="66">
        <f t="shared" si="52"/>
        <v>45625</v>
      </c>
      <c r="M52" s="66">
        <f t="shared" si="52"/>
        <v>45807.5</v>
      </c>
      <c r="N52" s="66">
        <f t="shared" si="52"/>
        <v>45990</v>
      </c>
      <c r="O52" s="66">
        <f t="shared" si="52"/>
        <v>46172.5</v>
      </c>
      <c r="P52" s="66">
        <f t="shared" si="52"/>
        <v>46355</v>
      </c>
      <c r="Q52" s="66">
        <f t="shared" si="52"/>
        <v>46537.5</v>
      </c>
      <c r="R52" s="66">
        <f t="shared" si="52"/>
        <v>46720</v>
      </c>
      <c r="S52" s="66">
        <f t="shared" si="52"/>
        <v>46902.5</v>
      </c>
      <c r="T52" s="66">
        <f t="shared" si="52"/>
        <v>47085</v>
      </c>
      <c r="U52" s="66">
        <f t="shared" si="52"/>
        <v>47267.5</v>
      </c>
      <c r="V52" s="66">
        <f t="shared" si="52"/>
        <v>47450</v>
      </c>
      <c r="W52" s="66">
        <f t="shared" si="52"/>
        <v>47632.5</v>
      </c>
      <c r="X52" s="66">
        <f t="shared" si="52"/>
        <v>47815</v>
      </c>
      <c r="Y52" s="66">
        <f t="shared" si="52"/>
        <v>47997.5</v>
      </c>
      <c r="Z52" s="66">
        <f t="shared" si="52"/>
        <v>48180</v>
      </c>
      <c r="AA52" s="66">
        <f t="shared" si="52"/>
        <v>48362.5</v>
      </c>
      <c r="AB52" s="66">
        <f t="shared" si="52"/>
        <v>48545</v>
      </c>
      <c r="AC52" s="66">
        <f t="shared" si="52"/>
        <v>48727.5</v>
      </c>
      <c r="AD52" s="66">
        <f t="shared" si="52"/>
        <v>48910</v>
      </c>
      <c r="AE52" s="66">
        <f t="shared" si="52"/>
        <v>49092.5</v>
      </c>
      <c r="AF52" s="66">
        <f t="shared" si="52"/>
        <v>49275</v>
      </c>
      <c r="AG52" s="66">
        <f t="shared" si="52"/>
        <v>49457.5</v>
      </c>
      <c r="AH52" s="66">
        <f t="shared" si="52"/>
        <v>49640</v>
      </c>
      <c r="AI52" s="66">
        <f t="shared" si="52"/>
        <v>49822.5</v>
      </c>
      <c r="AJ52" s="66">
        <f t="shared" si="52"/>
        <v>50005</v>
      </c>
      <c r="AK52" s="66">
        <f t="shared" si="52"/>
        <v>50187.5</v>
      </c>
      <c r="AL52" s="66">
        <f t="shared" si="52"/>
        <v>50370</v>
      </c>
      <c r="AM52" s="66">
        <f t="shared" si="52"/>
        <v>50552.5</v>
      </c>
      <c r="AN52" s="66">
        <f t="shared" si="52"/>
        <v>50735</v>
      </c>
      <c r="AO52" s="66">
        <f t="shared" si="52"/>
        <v>50917.5</v>
      </c>
      <c r="AP52" s="66">
        <f t="shared" si="52"/>
        <v>51100</v>
      </c>
      <c r="AQ52" s="66">
        <f t="shared" si="52"/>
        <v>51282.5</v>
      </c>
      <c r="AR52" s="66">
        <f t="shared" si="52"/>
        <v>51465</v>
      </c>
      <c r="AS52" s="66">
        <f t="shared" si="52"/>
        <v>51647.5</v>
      </c>
      <c r="AT52" s="66">
        <f t="shared" si="52"/>
        <v>51830</v>
      </c>
      <c r="AU52" s="66">
        <f t="shared" si="52"/>
        <v>52012.5</v>
      </c>
      <c r="AV52" s="66">
        <f t="shared" si="52"/>
        <v>52195</v>
      </c>
      <c r="AW52" s="66">
        <f t="shared" si="52"/>
        <v>52377.5</v>
      </c>
      <c r="AX52" s="66">
        <f t="shared" si="52"/>
        <v>52560</v>
      </c>
      <c r="AY52" s="66">
        <f t="shared" si="52"/>
        <v>52742.5</v>
      </c>
      <c r="AZ52" s="66">
        <f t="shared" si="52"/>
        <v>52925</v>
      </c>
      <c r="BA52" s="66">
        <f t="shared" si="52"/>
        <v>53107.5</v>
      </c>
      <c r="BB52" s="66">
        <f t="shared" si="52"/>
        <v>53290</v>
      </c>
      <c r="BC52" s="66">
        <f t="shared" si="52"/>
        <v>53472.5</v>
      </c>
      <c r="BD52" s="66">
        <f t="shared" si="52"/>
        <v>53655</v>
      </c>
      <c r="BE52" s="66">
        <f t="shared" si="52"/>
        <v>53837.5</v>
      </c>
      <c r="BF52" s="66">
        <f t="shared" si="52"/>
        <v>54020</v>
      </c>
      <c r="BG52" s="66">
        <f t="shared" si="52"/>
        <v>54202.5</v>
      </c>
      <c r="BH52" s="66">
        <f t="shared" si="52"/>
        <v>54385</v>
      </c>
      <c r="BI52" s="66">
        <f t="shared" si="52"/>
        <v>54567.5</v>
      </c>
      <c r="BJ52" s="66">
        <f t="shared" si="52"/>
        <v>54750</v>
      </c>
      <c r="BK52" s="66">
        <f t="shared" si="52"/>
        <v>54932.5</v>
      </c>
      <c r="BL52" s="66">
        <f t="shared" si="52"/>
        <v>55115</v>
      </c>
      <c r="BM52" s="66">
        <f t="shared" si="52"/>
        <v>55297.5</v>
      </c>
      <c r="BN52" s="66">
        <f t="shared" si="52"/>
        <v>55480</v>
      </c>
      <c r="BO52" s="66">
        <f t="shared" ref="BO52:CB52" si="53">BN52+IF($G13=1,365,182.5)</f>
        <v>55662.5</v>
      </c>
      <c r="BP52" s="66">
        <f t="shared" si="53"/>
        <v>55845</v>
      </c>
      <c r="BQ52" s="66">
        <f t="shared" si="53"/>
        <v>56027.5</v>
      </c>
      <c r="BR52" s="66">
        <f t="shared" si="53"/>
        <v>56210</v>
      </c>
      <c r="BS52" s="66">
        <f t="shared" si="53"/>
        <v>56392.5</v>
      </c>
      <c r="BT52" s="66">
        <f t="shared" si="53"/>
        <v>56575</v>
      </c>
      <c r="BU52" s="66">
        <f t="shared" si="53"/>
        <v>56757.5</v>
      </c>
      <c r="BV52" s="66">
        <f t="shared" si="53"/>
        <v>56940</v>
      </c>
      <c r="BW52" s="66">
        <f t="shared" si="53"/>
        <v>57122.5</v>
      </c>
      <c r="BX52" s="66">
        <f t="shared" si="53"/>
        <v>57305</v>
      </c>
      <c r="BY52" s="66">
        <f t="shared" si="53"/>
        <v>57487.5</v>
      </c>
      <c r="BZ52" s="66">
        <f t="shared" si="53"/>
        <v>57670</v>
      </c>
      <c r="CA52" s="66">
        <f t="shared" si="53"/>
        <v>57852.5</v>
      </c>
      <c r="CB52" s="67">
        <f t="shared" si="53"/>
        <v>58035</v>
      </c>
    </row>
    <row r="53" spans="1:80">
      <c r="A53" s="173" t="s">
        <v>30</v>
      </c>
      <c r="B53" s="111">
        <f>(IF(B52=F13,100,0)+IF(G13=1,1,0.5)*J13*100)*IF(ISBLANK(F13)=TRUE,0,1)</f>
        <v>1.125</v>
      </c>
      <c r="C53" s="68">
        <f>IF(C52&gt;$F13+1,0,1)*(IF(D53=0,100,0)+IF($G13=1,1,0.5)*$J13*100)</f>
        <v>1.125</v>
      </c>
      <c r="D53" s="68">
        <f t="shared" ref="D53:BO53" si="54">IF(D52&gt;$F13+1,0,1)*(IF(E53=0,100,0)+IF($G13=1,1,0.5)*$J13*100)</f>
        <v>1.125</v>
      </c>
      <c r="E53" s="68">
        <f t="shared" si="54"/>
        <v>1.125</v>
      </c>
      <c r="F53" s="68">
        <f t="shared" si="54"/>
        <v>1.125</v>
      </c>
      <c r="G53" s="68">
        <f t="shared" si="54"/>
        <v>1.125</v>
      </c>
      <c r="H53" s="68">
        <f t="shared" si="54"/>
        <v>1.125</v>
      </c>
      <c r="I53" s="68">
        <f t="shared" si="54"/>
        <v>1.125</v>
      </c>
      <c r="J53" s="68">
        <f t="shared" si="54"/>
        <v>1.125</v>
      </c>
      <c r="K53" s="68">
        <f t="shared" si="54"/>
        <v>1.125</v>
      </c>
      <c r="L53" s="68">
        <f t="shared" si="54"/>
        <v>1.125</v>
      </c>
      <c r="M53" s="68">
        <f t="shared" si="54"/>
        <v>1.125</v>
      </c>
      <c r="N53" s="68">
        <f t="shared" si="54"/>
        <v>1.125</v>
      </c>
      <c r="O53" s="68">
        <f t="shared" si="54"/>
        <v>1.125</v>
      </c>
      <c r="P53" s="68">
        <f t="shared" si="54"/>
        <v>1.125</v>
      </c>
      <c r="Q53" s="68">
        <f t="shared" si="54"/>
        <v>1.125</v>
      </c>
      <c r="R53" s="68">
        <f t="shared" si="54"/>
        <v>1.125</v>
      </c>
      <c r="S53" s="68">
        <f t="shared" si="54"/>
        <v>1.125</v>
      </c>
      <c r="T53" s="68">
        <f t="shared" si="54"/>
        <v>1.125</v>
      </c>
      <c r="U53" s="68">
        <f t="shared" si="54"/>
        <v>101.125</v>
      </c>
      <c r="V53" s="68">
        <f t="shared" si="54"/>
        <v>0</v>
      </c>
      <c r="W53" s="68">
        <f t="shared" si="54"/>
        <v>0</v>
      </c>
      <c r="X53" s="68">
        <f t="shared" si="54"/>
        <v>0</v>
      </c>
      <c r="Y53" s="68">
        <f t="shared" si="54"/>
        <v>0</v>
      </c>
      <c r="Z53" s="68">
        <f t="shared" si="54"/>
        <v>0</v>
      </c>
      <c r="AA53" s="68">
        <f t="shared" si="54"/>
        <v>0</v>
      </c>
      <c r="AB53" s="68">
        <f t="shared" si="54"/>
        <v>0</v>
      </c>
      <c r="AC53" s="68">
        <f t="shared" si="54"/>
        <v>0</v>
      </c>
      <c r="AD53" s="68">
        <f t="shared" si="54"/>
        <v>0</v>
      </c>
      <c r="AE53" s="68">
        <f t="shared" si="54"/>
        <v>0</v>
      </c>
      <c r="AF53" s="68">
        <f t="shared" si="54"/>
        <v>0</v>
      </c>
      <c r="AG53" s="68">
        <f t="shared" si="54"/>
        <v>0</v>
      </c>
      <c r="AH53" s="68">
        <f t="shared" si="54"/>
        <v>0</v>
      </c>
      <c r="AI53" s="68">
        <f t="shared" si="54"/>
        <v>0</v>
      </c>
      <c r="AJ53" s="68">
        <f t="shared" si="54"/>
        <v>0</v>
      </c>
      <c r="AK53" s="68">
        <f t="shared" si="54"/>
        <v>0</v>
      </c>
      <c r="AL53" s="68">
        <f t="shared" si="54"/>
        <v>0</v>
      </c>
      <c r="AM53" s="68">
        <f t="shared" si="54"/>
        <v>0</v>
      </c>
      <c r="AN53" s="68">
        <f t="shared" si="54"/>
        <v>0</v>
      </c>
      <c r="AO53" s="68">
        <f t="shared" si="54"/>
        <v>0</v>
      </c>
      <c r="AP53" s="68">
        <f t="shared" si="54"/>
        <v>0</v>
      </c>
      <c r="AQ53" s="68">
        <f t="shared" si="54"/>
        <v>0</v>
      </c>
      <c r="AR53" s="68">
        <f t="shared" si="54"/>
        <v>0</v>
      </c>
      <c r="AS53" s="68">
        <f t="shared" si="54"/>
        <v>0</v>
      </c>
      <c r="AT53" s="68">
        <f t="shared" si="54"/>
        <v>0</v>
      </c>
      <c r="AU53" s="68">
        <f t="shared" si="54"/>
        <v>0</v>
      </c>
      <c r="AV53" s="68">
        <f t="shared" si="54"/>
        <v>0</v>
      </c>
      <c r="AW53" s="68">
        <f t="shared" si="54"/>
        <v>0</v>
      </c>
      <c r="AX53" s="68">
        <f t="shared" si="54"/>
        <v>0</v>
      </c>
      <c r="AY53" s="68">
        <f t="shared" si="54"/>
        <v>0</v>
      </c>
      <c r="AZ53" s="68">
        <f t="shared" si="54"/>
        <v>0</v>
      </c>
      <c r="BA53" s="68">
        <f t="shared" si="54"/>
        <v>0</v>
      </c>
      <c r="BB53" s="68">
        <f t="shared" si="54"/>
        <v>0</v>
      </c>
      <c r="BC53" s="68">
        <f t="shared" si="54"/>
        <v>0</v>
      </c>
      <c r="BD53" s="68">
        <f t="shared" si="54"/>
        <v>0</v>
      </c>
      <c r="BE53" s="68">
        <f t="shared" si="54"/>
        <v>0</v>
      </c>
      <c r="BF53" s="68">
        <f t="shared" si="54"/>
        <v>0</v>
      </c>
      <c r="BG53" s="68">
        <f t="shared" si="54"/>
        <v>0</v>
      </c>
      <c r="BH53" s="68">
        <f t="shared" si="54"/>
        <v>0</v>
      </c>
      <c r="BI53" s="68">
        <f t="shared" si="54"/>
        <v>0</v>
      </c>
      <c r="BJ53" s="68">
        <f t="shared" si="54"/>
        <v>0</v>
      </c>
      <c r="BK53" s="68">
        <f t="shared" si="54"/>
        <v>0</v>
      </c>
      <c r="BL53" s="68">
        <f t="shared" si="54"/>
        <v>0</v>
      </c>
      <c r="BM53" s="68">
        <f t="shared" si="54"/>
        <v>0</v>
      </c>
      <c r="BN53" s="68">
        <f t="shared" si="54"/>
        <v>0</v>
      </c>
      <c r="BO53" s="68">
        <f t="shared" si="54"/>
        <v>0</v>
      </c>
      <c r="BP53" s="68">
        <f t="shared" ref="BP53:CB53" si="55">IF(BP52&gt;$F13+1,0,1)*(IF(BQ53=0,100,0)+IF($G13=1,1,0.5)*$J13*100)</f>
        <v>0</v>
      </c>
      <c r="BQ53" s="68">
        <f t="shared" si="55"/>
        <v>0</v>
      </c>
      <c r="BR53" s="68">
        <f t="shared" si="55"/>
        <v>0</v>
      </c>
      <c r="BS53" s="68">
        <f t="shared" si="55"/>
        <v>0</v>
      </c>
      <c r="BT53" s="68">
        <f t="shared" si="55"/>
        <v>0</v>
      </c>
      <c r="BU53" s="68">
        <f t="shared" si="55"/>
        <v>0</v>
      </c>
      <c r="BV53" s="68">
        <f t="shared" si="55"/>
        <v>0</v>
      </c>
      <c r="BW53" s="68">
        <f t="shared" si="55"/>
        <v>0</v>
      </c>
      <c r="BX53" s="68">
        <f t="shared" si="55"/>
        <v>0</v>
      </c>
      <c r="BY53" s="68">
        <f t="shared" si="55"/>
        <v>0</v>
      </c>
      <c r="BZ53" s="68">
        <f t="shared" si="55"/>
        <v>0</v>
      </c>
      <c r="CA53" s="68">
        <f t="shared" si="55"/>
        <v>0</v>
      </c>
      <c r="CB53" s="69">
        <f t="shared" si="55"/>
        <v>0</v>
      </c>
    </row>
    <row r="54" spans="1:80">
      <c r="A54" s="254" t="s">
        <v>49</v>
      </c>
      <c r="B54" s="138" t="str">
        <f>IF(E14=0,F14,E14)</f>
        <v>12/1/2019</v>
      </c>
      <c r="C54" s="70">
        <f t="shared" ref="C54:BN54" si="56">B54+IF($G14=1,365,182.5)</f>
        <v>43982.5</v>
      </c>
      <c r="D54" s="70">
        <f t="shared" si="56"/>
        <v>44165</v>
      </c>
      <c r="E54" s="70">
        <f t="shared" si="56"/>
        <v>44347.5</v>
      </c>
      <c r="F54" s="70">
        <f t="shared" si="56"/>
        <v>44530</v>
      </c>
      <c r="G54" s="70">
        <f t="shared" si="56"/>
        <v>44712.5</v>
      </c>
      <c r="H54" s="70">
        <f t="shared" si="56"/>
        <v>44895</v>
      </c>
      <c r="I54" s="70">
        <f t="shared" si="56"/>
        <v>45077.5</v>
      </c>
      <c r="J54" s="70">
        <f t="shared" si="56"/>
        <v>45260</v>
      </c>
      <c r="K54" s="70">
        <f t="shared" si="56"/>
        <v>45442.5</v>
      </c>
      <c r="L54" s="70">
        <f t="shared" si="56"/>
        <v>45625</v>
      </c>
      <c r="M54" s="70">
        <f t="shared" si="56"/>
        <v>45807.5</v>
      </c>
      <c r="N54" s="70">
        <f t="shared" si="56"/>
        <v>45990</v>
      </c>
      <c r="O54" s="70">
        <f t="shared" si="56"/>
        <v>46172.5</v>
      </c>
      <c r="P54" s="70">
        <f t="shared" si="56"/>
        <v>46355</v>
      </c>
      <c r="Q54" s="70">
        <f t="shared" si="56"/>
        <v>46537.5</v>
      </c>
      <c r="R54" s="70">
        <f t="shared" si="56"/>
        <v>46720</v>
      </c>
      <c r="S54" s="70">
        <f t="shared" si="56"/>
        <v>46902.5</v>
      </c>
      <c r="T54" s="70">
        <f t="shared" si="56"/>
        <v>47085</v>
      </c>
      <c r="U54" s="70">
        <f t="shared" si="56"/>
        <v>47267.5</v>
      </c>
      <c r="V54" s="70">
        <f t="shared" si="56"/>
        <v>47450</v>
      </c>
      <c r="W54" s="70">
        <f t="shared" si="56"/>
        <v>47632.5</v>
      </c>
      <c r="X54" s="70">
        <f t="shared" si="56"/>
        <v>47815</v>
      </c>
      <c r="Y54" s="70">
        <f t="shared" si="56"/>
        <v>47997.5</v>
      </c>
      <c r="Z54" s="70">
        <f t="shared" si="56"/>
        <v>48180</v>
      </c>
      <c r="AA54" s="70">
        <f t="shared" si="56"/>
        <v>48362.5</v>
      </c>
      <c r="AB54" s="70">
        <f t="shared" si="56"/>
        <v>48545</v>
      </c>
      <c r="AC54" s="70">
        <f t="shared" si="56"/>
        <v>48727.5</v>
      </c>
      <c r="AD54" s="70">
        <f t="shared" si="56"/>
        <v>48910</v>
      </c>
      <c r="AE54" s="70">
        <f t="shared" si="56"/>
        <v>49092.5</v>
      </c>
      <c r="AF54" s="70">
        <f t="shared" si="56"/>
        <v>49275</v>
      </c>
      <c r="AG54" s="70">
        <f t="shared" si="56"/>
        <v>49457.5</v>
      </c>
      <c r="AH54" s="70">
        <f t="shared" si="56"/>
        <v>49640</v>
      </c>
      <c r="AI54" s="70">
        <f t="shared" si="56"/>
        <v>49822.5</v>
      </c>
      <c r="AJ54" s="70">
        <f t="shared" si="56"/>
        <v>50005</v>
      </c>
      <c r="AK54" s="70">
        <f t="shared" si="56"/>
        <v>50187.5</v>
      </c>
      <c r="AL54" s="70">
        <f t="shared" si="56"/>
        <v>50370</v>
      </c>
      <c r="AM54" s="70">
        <f t="shared" si="56"/>
        <v>50552.5</v>
      </c>
      <c r="AN54" s="70">
        <f t="shared" si="56"/>
        <v>50735</v>
      </c>
      <c r="AO54" s="70">
        <f t="shared" si="56"/>
        <v>50917.5</v>
      </c>
      <c r="AP54" s="70">
        <f t="shared" si="56"/>
        <v>51100</v>
      </c>
      <c r="AQ54" s="70">
        <f t="shared" si="56"/>
        <v>51282.5</v>
      </c>
      <c r="AR54" s="70">
        <f t="shared" si="56"/>
        <v>51465</v>
      </c>
      <c r="AS54" s="70">
        <f t="shared" si="56"/>
        <v>51647.5</v>
      </c>
      <c r="AT54" s="70">
        <f t="shared" si="56"/>
        <v>51830</v>
      </c>
      <c r="AU54" s="70">
        <f t="shared" si="56"/>
        <v>52012.5</v>
      </c>
      <c r="AV54" s="70">
        <f t="shared" si="56"/>
        <v>52195</v>
      </c>
      <c r="AW54" s="70">
        <f t="shared" si="56"/>
        <v>52377.5</v>
      </c>
      <c r="AX54" s="70">
        <f t="shared" si="56"/>
        <v>52560</v>
      </c>
      <c r="AY54" s="70">
        <f t="shared" si="56"/>
        <v>52742.5</v>
      </c>
      <c r="AZ54" s="70">
        <f t="shared" si="56"/>
        <v>52925</v>
      </c>
      <c r="BA54" s="70">
        <f t="shared" si="56"/>
        <v>53107.5</v>
      </c>
      <c r="BB54" s="70">
        <f t="shared" si="56"/>
        <v>53290</v>
      </c>
      <c r="BC54" s="70">
        <f t="shared" si="56"/>
        <v>53472.5</v>
      </c>
      <c r="BD54" s="70">
        <f t="shared" si="56"/>
        <v>53655</v>
      </c>
      <c r="BE54" s="70">
        <f t="shared" si="56"/>
        <v>53837.5</v>
      </c>
      <c r="BF54" s="70">
        <f t="shared" si="56"/>
        <v>54020</v>
      </c>
      <c r="BG54" s="70">
        <f t="shared" si="56"/>
        <v>54202.5</v>
      </c>
      <c r="BH54" s="70">
        <f t="shared" si="56"/>
        <v>54385</v>
      </c>
      <c r="BI54" s="70">
        <f t="shared" si="56"/>
        <v>54567.5</v>
      </c>
      <c r="BJ54" s="70">
        <f t="shared" si="56"/>
        <v>54750</v>
      </c>
      <c r="BK54" s="70">
        <f t="shared" si="56"/>
        <v>54932.5</v>
      </c>
      <c r="BL54" s="70">
        <f t="shared" si="56"/>
        <v>55115</v>
      </c>
      <c r="BM54" s="70">
        <f t="shared" si="56"/>
        <v>55297.5</v>
      </c>
      <c r="BN54" s="70">
        <f t="shared" si="56"/>
        <v>55480</v>
      </c>
      <c r="BO54" s="70">
        <f t="shared" ref="BO54:CB54" si="57">BN54+IF($G14=1,365,182.5)</f>
        <v>55662.5</v>
      </c>
      <c r="BP54" s="70">
        <f t="shared" si="57"/>
        <v>55845</v>
      </c>
      <c r="BQ54" s="70">
        <f t="shared" si="57"/>
        <v>56027.5</v>
      </c>
      <c r="BR54" s="70">
        <f t="shared" si="57"/>
        <v>56210</v>
      </c>
      <c r="BS54" s="70">
        <f t="shared" si="57"/>
        <v>56392.5</v>
      </c>
      <c r="BT54" s="70">
        <f t="shared" si="57"/>
        <v>56575</v>
      </c>
      <c r="BU54" s="70">
        <f t="shared" si="57"/>
        <v>56757.5</v>
      </c>
      <c r="BV54" s="70">
        <f t="shared" si="57"/>
        <v>56940</v>
      </c>
      <c r="BW54" s="70">
        <f t="shared" si="57"/>
        <v>57122.5</v>
      </c>
      <c r="BX54" s="70">
        <f t="shared" si="57"/>
        <v>57305</v>
      </c>
      <c r="BY54" s="70">
        <f t="shared" si="57"/>
        <v>57487.5</v>
      </c>
      <c r="BZ54" s="70">
        <f t="shared" si="57"/>
        <v>57670</v>
      </c>
      <c r="CA54" s="70">
        <f t="shared" si="57"/>
        <v>57852.5</v>
      </c>
      <c r="CB54" s="71">
        <f t="shared" si="57"/>
        <v>58035</v>
      </c>
    </row>
    <row r="55" spans="1:80">
      <c r="A55" s="174" t="s">
        <v>31</v>
      </c>
      <c r="B55" s="139">
        <f>(IF(B54=F14,100,0)+IF(G14=1,1,0.5)*J14*100)*IF(ISBLANK(F14)=TRUE,0,1)</f>
        <v>2.5</v>
      </c>
      <c r="C55" s="72">
        <f>IF(C54&gt;$F14+1,0,1)*(IF(D55=0,100,0)+IF($G14=1,1,0.5)*$J14*100)</f>
        <v>2.5</v>
      </c>
      <c r="D55" s="72">
        <f t="shared" ref="D55:BO55" si="58">IF(D54&gt;$F14+1,0,1)*(IF(E55=0,100,0)+IF($G14=1,1,0.5)*$J14*100)</f>
        <v>2.5</v>
      </c>
      <c r="E55" s="72">
        <f t="shared" si="58"/>
        <v>2.5</v>
      </c>
      <c r="F55" s="72">
        <f t="shared" si="58"/>
        <v>2.5</v>
      </c>
      <c r="G55" s="72">
        <f t="shared" si="58"/>
        <v>2.5</v>
      </c>
      <c r="H55" s="72">
        <f t="shared" si="58"/>
        <v>2.5</v>
      </c>
      <c r="I55" s="72">
        <f t="shared" si="58"/>
        <v>2.5</v>
      </c>
      <c r="J55" s="72">
        <f t="shared" si="58"/>
        <v>2.5</v>
      </c>
      <c r="K55" s="72">
        <f t="shared" si="58"/>
        <v>2.5</v>
      </c>
      <c r="L55" s="72">
        <f t="shared" si="58"/>
        <v>2.5</v>
      </c>
      <c r="M55" s="72">
        <f t="shared" si="58"/>
        <v>2.5</v>
      </c>
      <c r="N55" s="72">
        <f t="shared" si="58"/>
        <v>2.5</v>
      </c>
      <c r="O55" s="72">
        <f t="shared" si="58"/>
        <v>2.5</v>
      </c>
      <c r="P55" s="72">
        <f t="shared" si="58"/>
        <v>2.5</v>
      </c>
      <c r="Q55" s="72">
        <f t="shared" si="58"/>
        <v>2.5</v>
      </c>
      <c r="R55" s="72">
        <f t="shared" si="58"/>
        <v>2.5</v>
      </c>
      <c r="S55" s="72">
        <f t="shared" si="58"/>
        <v>2.5</v>
      </c>
      <c r="T55" s="72">
        <f t="shared" si="58"/>
        <v>2.5</v>
      </c>
      <c r="U55" s="72">
        <f t="shared" si="58"/>
        <v>2.5</v>
      </c>
      <c r="V55" s="72">
        <f t="shared" si="58"/>
        <v>2.5</v>
      </c>
      <c r="W55" s="72">
        <f t="shared" si="58"/>
        <v>2.5</v>
      </c>
      <c r="X55" s="72">
        <f t="shared" si="58"/>
        <v>2.5</v>
      </c>
      <c r="Y55" s="72">
        <f t="shared" si="58"/>
        <v>2.5</v>
      </c>
      <c r="Z55" s="72">
        <f t="shared" si="58"/>
        <v>2.5</v>
      </c>
      <c r="AA55" s="72">
        <f t="shared" si="58"/>
        <v>2.5</v>
      </c>
      <c r="AB55" s="72">
        <f t="shared" si="58"/>
        <v>2.5</v>
      </c>
      <c r="AC55" s="72">
        <f t="shared" si="58"/>
        <v>2.5</v>
      </c>
      <c r="AD55" s="72">
        <f t="shared" si="58"/>
        <v>2.5</v>
      </c>
      <c r="AE55" s="72">
        <f t="shared" si="58"/>
        <v>2.5</v>
      </c>
      <c r="AF55" s="72">
        <f t="shared" si="58"/>
        <v>2.5</v>
      </c>
      <c r="AG55" s="72">
        <f t="shared" si="58"/>
        <v>2.5</v>
      </c>
      <c r="AH55" s="72">
        <f t="shared" si="58"/>
        <v>2.5</v>
      </c>
      <c r="AI55" s="72">
        <f t="shared" si="58"/>
        <v>2.5</v>
      </c>
      <c r="AJ55" s="72">
        <f t="shared" si="58"/>
        <v>2.5</v>
      </c>
      <c r="AK55" s="72">
        <f t="shared" si="58"/>
        <v>102.5</v>
      </c>
      <c r="AL55" s="72">
        <f t="shared" si="58"/>
        <v>0</v>
      </c>
      <c r="AM55" s="72">
        <f t="shared" si="58"/>
        <v>0</v>
      </c>
      <c r="AN55" s="72">
        <f t="shared" si="58"/>
        <v>0</v>
      </c>
      <c r="AO55" s="72">
        <f t="shared" si="58"/>
        <v>0</v>
      </c>
      <c r="AP55" s="72">
        <f t="shared" si="58"/>
        <v>0</v>
      </c>
      <c r="AQ55" s="72">
        <f t="shared" si="58"/>
        <v>0</v>
      </c>
      <c r="AR55" s="72">
        <f t="shared" si="58"/>
        <v>0</v>
      </c>
      <c r="AS55" s="72">
        <f t="shared" si="58"/>
        <v>0</v>
      </c>
      <c r="AT55" s="72">
        <f t="shared" si="58"/>
        <v>0</v>
      </c>
      <c r="AU55" s="72">
        <f t="shared" si="58"/>
        <v>0</v>
      </c>
      <c r="AV55" s="72">
        <f t="shared" si="58"/>
        <v>0</v>
      </c>
      <c r="AW55" s="72">
        <f t="shared" si="58"/>
        <v>0</v>
      </c>
      <c r="AX55" s="72">
        <f t="shared" si="58"/>
        <v>0</v>
      </c>
      <c r="AY55" s="72">
        <f t="shared" si="58"/>
        <v>0</v>
      </c>
      <c r="AZ55" s="72">
        <f t="shared" si="58"/>
        <v>0</v>
      </c>
      <c r="BA55" s="72">
        <f t="shared" si="58"/>
        <v>0</v>
      </c>
      <c r="BB55" s="72">
        <f t="shared" si="58"/>
        <v>0</v>
      </c>
      <c r="BC55" s="72">
        <f t="shared" si="58"/>
        <v>0</v>
      </c>
      <c r="BD55" s="72">
        <f t="shared" si="58"/>
        <v>0</v>
      </c>
      <c r="BE55" s="72">
        <f t="shared" si="58"/>
        <v>0</v>
      </c>
      <c r="BF55" s="72">
        <f t="shared" si="58"/>
        <v>0</v>
      </c>
      <c r="BG55" s="72">
        <f t="shared" si="58"/>
        <v>0</v>
      </c>
      <c r="BH55" s="72">
        <f t="shared" si="58"/>
        <v>0</v>
      </c>
      <c r="BI55" s="72">
        <f t="shared" si="58"/>
        <v>0</v>
      </c>
      <c r="BJ55" s="72">
        <f t="shared" si="58"/>
        <v>0</v>
      </c>
      <c r="BK55" s="72">
        <f t="shared" si="58"/>
        <v>0</v>
      </c>
      <c r="BL55" s="72">
        <f t="shared" si="58"/>
        <v>0</v>
      </c>
      <c r="BM55" s="72">
        <f t="shared" si="58"/>
        <v>0</v>
      </c>
      <c r="BN55" s="72">
        <f t="shared" si="58"/>
        <v>0</v>
      </c>
      <c r="BO55" s="72">
        <f t="shared" si="58"/>
        <v>0</v>
      </c>
      <c r="BP55" s="72">
        <f t="shared" ref="BP55:CB55" si="59">IF(BP54&gt;$F14+1,0,1)*(IF(BQ55=0,100,0)+IF($G14=1,1,0.5)*$J14*100)</f>
        <v>0</v>
      </c>
      <c r="BQ55" s="72">
        <f t="shared" si="59"/>
        <v>0</v>
      </c>
      <c r="BR55" s="72">
        <f t="shared" si="59"/>
        <v>0</v>
      </c>
      <c r="BS55" s="72">
        <f t="shared" si="59"/>
        <v>0</v>
      </c>
      <c r="BT55" s="72">
        <f t="shared" si="59"/>
        <v>0</v>
      </c>
      <c r="BU55" s="72">
        <f t="shared" si="59"/>
        <v>0</v>
      </c>
      <c r="BV55" s="72">
        <f t="shared" si="59"/>
        <v>0</v>
      </c>
      <c r="BW55" s="72">
        <f t="shared" si="59"/>
        <v>0</v>
      </c>
      <c r="BX55" s="72">
        <f t="shared" si="59"/>
        <v>0</v>
      </c>
      <c r="BY55" s="72">
        <f t="shared" si="59"/>
        <v>0</v>
      </c>
      <c r="BZ55" s="72">
        <f t="shared" si="59"/>
        <v>0</v>
      </c>
      <c r="CA55" s="72">
        <f t="shared" si="59"/>
        <v>0</v>
      </c>
      <c r="CB55" s="73">
        <f t="shared" si="59"/>
        <v>0</v>
      </c>
    </row>
    <row r="56" spans="1:80">
      <c r="A56" s="253" t="s">
        <v>49</v>
      </c>
      <c r="B56" s="74" t="str">
        <f>IF(E15=0,F15,E15)</f>
        <v>12/1/2019</v>
      </c>
      <c r="C56" s="75">
        <f t="shared" ref="C56:BN56" si="60">B56+IF($G15=1,365,182.5)</f>
        <v>43982.5</v>
      </c>
      <c r="D56" s="75">
        <f t="shared" si="60"/>
        <v>44165</v>
      </c>
      <c r="E56" s="75">
        <f t="shared" si="60"/>
        <v>44347.5</v>
      </c>
      <c r="F56" s="75">
        <f t="shared" si="60"/>
        <v>44530</v>
      </c>
      <c r="G56" s="75">
        <f t="shared" si="60"/>
        <v>44712.5</v>
      </c>
      <c r="H56" s="75">
        <f t="shared" si="60"/>
        <v>44895</v>
      </c>
      <c r="I56" s="75">
        <f t="shared" si="60"/>
        <v>45077.5</v>
      </c>
      <c r="J56" s="75">
        <f t="shared" si="60"/>
        <v>45260</v>
      </c>
      <c r="K56" s="75">
        <f t="shared" si="60"/>
        <v>45442.5</v>
      </c>
      <c r="L56" s="75">
        <f t="shared" si="60"/>
        <v>45625</v>
      </c>
      <c r="M56" s="75">
        <f t="shared" si="60"/>
        <v>45807.5</v>
      </c>
      <c r="N56" s="75">
        <f t="shared" si="60"/>
        <v>45990</v>
      </c>
      <c r="O56" s="75">
        <f t="shared" si="60"/>
        <v>46172.5</v>
      </c>
      <c r="P56" s="75">
        <f t="shared" si="60"/>
        <v>46355</v>
      </c>
      <c r="Q56" s="75">
        <f t="shared" si="60"/>
        <v>46537.5</v>
      </c>
      <c r="R56" s="75">
        <f t="shared" si="60"/>
        <v>46720</v>
      </c>
      <c r="S56" s="75">
        <f t="shared" si="60"/>
        <v>46902.5</v>
      </c>
      <c r="T56" s="75">
        <f t="shared" si="60"/>
        <v>47085</v>
      </c>
      <c r="U56" s="75">
        <f t="shared" si="60"/>
        <v>47267.5</v>
      </c>
      <c r="V56" s="75">
        <f t="shared" si="60"/>
        <v>47450</v>
      </c>
      <c r="W56" s="75">
        <f t="shared" si="60"/>
        <v>47632.5</v>
      </c>
      <c r="X56" s="75">
        <f t="shared" si="60"/>
        <v>47815</v>
      </c>
      <c r="Y56" s="75">
        <f t="shared" si="60"/>
        <v>47997.5</v>
      </c>
      <c r="Z56" s="75">
        <f t="shared" si="60"/>
        <v>48180</v>
      </c>
      <c r="AA56" s="75">
        <f t="shared" si="60"/>
        <v>48362.5</v>
      </c>
      <c r="AB56" s="75">
        <f t="shared" si="60"/>
        <v>48545</v>
      </c>
      <c r="AC56" s="75">
        <f t="shared" si="60"/>
        <v>48727.5</v>
      </c>
      <c r="AD56" s="75">
        <f t="shared" si="60"/>
        <v>48910</v>
      </c>
      <c r="AE56" s="75">
        <f t="shared" si="60"/>
        <v>49092.5</v>
      </c>
      <c r="AF56" s="75">
        <f t="shared" si="60"/>
        <v>49275</v>
      </c>
      <c r="AG56" s="75">
        <f t="shared" si="60"/>
        <v>49457.5</v>
      </c>
      <c r="AH56" s="75">
        <f t="shared" si="60"/>
        <v>49640</v>
      </c>
      <c r="AI56" s="75">
        <f t="shared" si="60"/>
        <v>49822.5</v>
      </c>
      <c r="AJ56" s="75">
        <f t="shared" si="60"/>
        <v>50005</v>
      </c>
      <c r="AK56" s="75">
        <f t="shared" si="60"/>
        <v>50187.5</v>
      </c>
      <c r="AL56" s="75">
        <f t="shared" si="60"/>
        <v>50370</v>
      </c>
      <c r="AM56" s="75">
        <f t="shared" si="60"/>
        <v>50552.5</v>
      </c>
      <c r="AN56" s="75">
        <f t="shared" si="60"/>
        <v>50735</v>
      </c>
      <c r="AO56" s="75">
        <f t="shared" si="60"/>
        <v>50917.5</v>
      </c>
      <c r="AP56" s="75">
        <f t="shared" si="60"/>
        <v>51100</v>
      </c>
      <c r="AQ56" s="75">
        <f t="shared" si="60"/>
        <v>51282.5</v>
      </c>
      <c r="AR56" s="75">
        <f t="shared" si="60"/>
        <v>51465</v>
      </c>
      <c r="AS56" s="75">
        <f t="shared" si="60"/>
        <v>51647.5</v>
      </c>
      <c r="AT56" s="75">
        <f t="shared" si="60"/>
        <v>51830</v>
      </c>
      <c r="AU56" s="75">
        <f t="shared" si="60"/>
        <v>52012.5</v>
      </c>
      <c r="AV56" s="75">
        <f t="shared" si="60"/>
        <v>52195</v>
      </c>
      <c r="AW56" s="75">
        <f t="shared" si="60"/>
        <v>52377.5</v>
      </c>
      <c r="AX56" s="75">
        <f t="shared" si="60"/>
        <v>52560</v>
      </c>
      <c r="AY56" s="75">
        <f t="shared" si="60"/>
        <v>52742.5</v>
      </c>
      <c r="AZ56" s="75">
        <f t="shared" si="60"/>
        <v>52925</v>
      </c>
      <c r="BA56" s="75">
        <f t="shared" si="60"/>
        <v>53107.5</v>
      </c>
      <c r="BB56" s="75">
        <f t="shared" si="60"/>
        <v>53290</v>
      </c>
      <c r="BC56" s="75">
        <f t="shared" si="60"/>
        <v>53472.5</v>
      </c>
      <c r="BD56" s="75">
        <f t="shared" si="60"/>
        <v>53655</v>
      </c>
      <c r="BE56" s="75">
        <f t="shared" si="60"/>
        <v>53837.5</v>
      </c>
      <c r="BF56" s="75">
        <f t="shared" si="60"/>
        <v>54020</v>
      </c>
      <c r="BG56" s="75">
        <f t="shared" si="60"/>
        <v>54202.5</v>
      </c>
      <c r="BH56" s="75">
        <f t="shared" si="60"/>
        <v>54385</v>
      </c>
      <c r="BI56" s="75">
        <f t="shared" si="60"/>
        <v>54567.5</v>
      </c>
      <c r="BJ56" s="75">
        <f t="shared" si="60"/>
        <v>54750</v>
      </c>
      <c r="BK56" s="75">
        <f t="shared" si="60"/>
        <v>54932.5</v>
      </c>
      <c r="BL56" s="75">
        <f t="shared" si="60"/>
        <v>55115</v>
      </c>
      <c r="BM56" s="75">
        <f t="shared" si="60"/>
        <v>55297.5</v>
      </c>
      <c r="BN56" s="75">
        <f t="shared" si="60"/>
        <v>55480</v>
      </c>
      <c r="BO56" s="75">
        <f t="shared" ref="BO56:CB56" si="61">BN56+IF($G15=1,365,182.5)</f>
        <v>55662.5</v>
      </c>
      <c r="BP56" s="75">
        <f t="shared" si="61"/>
        <v>55845</v>
      </c>
      <c r="BQ56" s="75">
        <f t="shared" si="61"/>
        <v>56027.5</v>
      </c>
      <c r="BR56" s="75">
        <f t="shared" si="61"/>
        <v>56210</v>
      </c>
      <c r="BS56" s="75">
        <f t="shared" si="61"/>
        <v>56392.5</v>
      </c>
      <c r="BT56" s="75">
        <f t="shared" si="61"/>
        <v>56575</v>
      </c>
      <c r="BU56" s="75">
        <f t="shared" si="61"/>
        <v>56757.5</v>
      </c>
      <c r="BV56" s="75">
        <f t="shared" si="61"/>
        <v>56940</v>
      </c>
      <c r="BW56" s="75">
        <f t="shared" si="61"/>
        <v>57122.5</v>
      </c>
      <c r="BX56" s="75">
        <f t="shared" si="61"/>
        <v>57305</v>
      </c>
      <c r="BY56" s="75">
        <f t="shared" si="61"/>
        <v>57487.5</v>
      </c>
      <c r="BZ56" s="75">
        <f t="shared" si="61"/>
        <v>57670</v>
      </c>
      <c r="CA56" s="75">
        <f t="shared" si="61"/>
        <v>57852.5</v>
      </c>
      <c r="CB56" s="76">
        <f t="shared" si="61"/>
        <v>58035</v>
      </c>
    </row>
    <row r="57" spans="1:80">
      <c r="A57" s="175" t="s">
        <v>32</v>
      </c>
      <c r="B57" s="110">
        <f>(IF(B56=F15,100,0)+IF(G15=1,1,0.5)*J15*100)*IF(ISBLANK(F15)=TRUE,0,1)</f>
        <v>1.375</v>
      </c>
      <c r="C57" s="77">
        <f>IF(C56&gt;$F15+1,0,1)*(IF(D57=0,100,0)+IF($G15=1,1,0.5)*$J15*100)</f>
        <v>1.375</v>
      </c>
      <c r="D57" s="77">
        <f t="shared" ref="D57:BO57" si="62">IF(D56&gt;$F15+1,0,1)*(IF(E57=0,100,0)+IF($G15=1,1,0.5)*$J15*100)</f>
        <v>1.375</v>
      </c>
      <c r="E57" s="77">
        <f t="shared" si="62"/>
        <v>1.375</v>
      </c>
      <c r="F57" s="77">
        <f t="shared" si="62"/>
        <v>1.375</v>
      </c>
      <c r="G57" s="77">
        <f t="shared" si="62"/>
        <v>1.375</v>
      </c>
      <c r="H57" s="77">
        <f t="shared" si="62"/>
        <v>1.375</v>
      </c>
      <c r="I57" s="77">
        <f t="shared" si="62"/>
        <v>1.375</v>
      </c>
      <c r="J57" s="77">
        <f t="shared" si="62"/>
        <v>1.375</v>
      </c>
      <c r="K57" s="77">
        <f t="shared" si="62"/>
        <v>1.375</v>
      </c>
      <c r="L57" s="77">
        <f t="shared" si="62"/>
        <v>1.375</v>
      </c>
      <c r="M57" s="77">
        <f t="shared" si="62"/>
        <v>1.375</v>
      </c>
      <c r="N57" s="77">
        <f t="shared" si="62"/>
        <v>1.375</v>
      </c>
      <c r="O57" s="77">
        <f t="shared" si="62"/>
        <v>1.375</v>
      </c>
      <c r="P57" s="77">
        <f t="shared" si="62"/>
        <v>1.375</v>
      </c>
      <c r="Q57" s="77">
        <f t="shared" si="62"/>
        <v>1.375</v>
      </c>
      <c r="R57" s="77">
        <f t="shared" si="62"/>
        <v>1.375</v>
      </c>
      <c r="S57" s="77">
        <f t="shared" si="62"/>
        <v>1.375</v>
      </c>
      <c r="T57" s="77">
        <f t="shared" si="62"/>
        <v>1.375</v>
      </c>
      <c r="U57" s="77">
        <f t="shared" si="62"/>
        <v>1.375</v>
      </c>
      <c r="V57" s="77">
        <f t="shared" si="62"/>
        <v>1.375</v>
      </c>
      <c r="W57" s="77">
        <f t="shared" si="62"/>
        <v>1.375</v>
      </c>
      <c r="X57" s="77">
        <f t="shared" si="62"/>
        <v>1.375</v>
      </c>
      <c r="Y57" s="77">
        <f t="shared" si="62"/>
        <v>1.375</v>
      </c>
      <c r="Z57" s="77">
        <f t="shared" si="62"/>
        <v>1.375</v>
      </c>
      <c r="AA57" s="77">
        <f t="shared" si="62"/>
        <v>1.375</v>
      </c>
      <c r="AB57" s="77">
        <f t="shared" si="62"/>
        <v>1.375</v>
      </c>
      <c r="AC57" s="77">
        <f t="shared" si="62"/>
        <v>1.375</v>
      </c>
      <c r="AD57" s="77">
        <f t="shared" si="62"/>
        <v>1.375</v>
      </c>
      <c r="AE57" s="77">
        <f t="shared" si="62"/>
        <v>1.375</v>
      </c>
      <c r="AF57" s="77">
        <f t="shared" si="62"/>
        <v>1.375</v>
      </c>
      <c r="AG57" s="77">
        <f t="shared" si="62"/>
        <v>1.375</v>
      </c>
      <c r="AH57" s="77">
        <f t="shared" si="62"/>
        <v>1.375</v>
      </c>
      <c r="AI57" s="77">
        <f t="shared" si="62"/>
        <v>1.375</v>
      </c>
      <c r="AJ57" s="77">
        <f t="shared" si="62"/>
        <v>1.375</v>
      </c>
      <c r="AK57" s="77">
        <f t="shared" si="62"/>
        <v>1.375</v>
      </c>
      <c r="AL57" s="77">
        <f t="shared" si="62"/>
        <v>1.375</v>
      </c>
      <c r="AM57" s="77">
        <f t="shared" si="62"/>
        <v>1.375</v>
      </c>
      <c r="AN57" s="77">
        <f t="shared" si="62"/>
        <v>1.375</v>
      </c>
      <c r="AO57" s="77">
        <f t="shared" si="62"/>
        <v>1.375</v>
      </c>
      <c r="AP57" s="77">
        <f t="shared" si="62"/>
        <v>1.375</v>
      </c>
      <c r="AQ57" s="77">
        <f t="shared" si="62"/>
        <v>1.375</v>
      </c>
      <c r="AR57" s="77">
        <f t="shared" si="62"/>
        <v>1.375</v>
      </c>
      <c r="AS57" s="77">
        <f t="shared" si="62"/>
        <v>1.375</v>
      </c>
      <c r="AT57" s="77">
        <f t="shared" si="62"/>
        <v>1.375</v>
      </c>
      <c r="AU57" s="77">
        <f t="shared" si="62"/>
        <v>1.375</v>
      </c>
      <c r="AV57" s="77">
        <f t="shared" si="62"/>
        <v>1.375</v>
      </c>
      <c r="AW57" s="77">
        <f t="shared" si="62"/>
        <v>1.375</v>
      </c>
      <c r="AX57" s="77">
        <f t="shared" si="62"/>
        <v>1.375</v>
      </c>
      <c r="AY57" s="77">
        <f t="shared" si="62"/>
        <v>1.375</v>
      </c>
      <c r="AZ57" s="77">
        <f t="shared" si="62"/>
        <v>1.375</v>
      </c>
      <c r="BA57" s="77">
        <f t="shared" si="62"/>
        <v>1.375</v>
      </c>
      <c r="BB57" s="77">
        <f t="shared" si="62"/>
        <v>1.375</v>
      </c>
      <c r="BC57" s="77">
        <f t="shared" si="62"/>
        <v>1.375</v>
      </c>
      <c r="BD57" s="77">
        <f t="shared" si="62"/>
        <v>1.375</v>
      </c>
      <c r="BE57" s="77">
        <f t="shared" si="62"/>
        <v>1.375</v>
      </c>
      <c r="BF57" s="77">
        <f t="shared" si="62"/>
        <v>1.375</v>
      </c>
      <c r="BG57" s="77">
        <f t="shared" si="62"/>
        <v>1.375</v>
      </c>
      <c r="BH57" s="77">
        <f t="shared" si="62"/>
        <v>101.375</v>
      </c>
      <c r="BI57" s="77">
        <f t="shared" si="62"/>
        <v>0</v>
      </c>
      <c r="BJ57" s="77">
        <f t="shared" si="62"/>
        <v>0</v>
      </c>
      <c r="BK57" s="77">
        <f t="shared" si="62"/>
        <v>0</v>
      </c>
      <c r="BL57" s="77">
        <f t="shared" si="62"/>
        <v>0</v>
      </c>
      <c r="BM57" s="77">
        <f t="shared" si="62"/>
        <v>0</v>
      </c>
      <c r="BN57" s="77">
        <f t="shared" si="62"/>
        <v>0</v>
      </c>
      <c r="BO57" s="77">
        <f t="shared" si="62"/>
        <v>0</v>
      </c>
      <c r="BP57" s="77">
        <f t="shared" ref="BP57:CB57" si="63">IF(BP56&gt;$F15+1,0,1)*(IF(BQ57=0,100,0)+IF($G15=1,1,0.5)*$J15*100)</f>
        <v>0</v>
      </c>
      <c r="BQ57" s="77">
        <f t="shared" si="63"/>
        <v>0</v>
      </c>
      <c r="BR57" s="77">
        <f t="shared" si="63"/>
        <v>0</v>
      </c>
      <c r="BS57" s="77">
        <f t="shared" si="63"/>
        <v>0</v>
      </c>
      <c r="BT57" s="77">
        <f t="shared" si="63"/>
        <v>0</v>
      </c>
      <c r="BU57" s="77">
        <f t="shared" si="63"/>
        <v>0</v>
      </c>
      <c r="BV57" s="77">
        <f t="shared" si="63"/>
        <v>0</v>
      </c>
      <c r="BW57" s="77">
        <f t="shared" si="63"/>
        <v>0</v>
      </c>
      <c r="BX57" s="77">
        <f t="shared" si="63"/>
        <v>0</v>
      </c>
      <c r="BY57" s="77">
        <f t="shared" si="63"/>
        <v>0</v>
      </c>
      <c r="BZ57" s="77">
        <f t="shared" si="63"/>
        <v>0</v>
      </c>
      <c r="CA57" s="77">
        <f t="shared" si="63"/>
        <v>0</v>
      </c>
      <c r="CB57" s="78">
        <f t="shared" si="63"/>
        <v>0</v>
      </c>
    </row>
    <row r="58" spans="1:80">
      <c r="A58" s="252" t="s">
        <v>49</v>
      </c>
      <c r="B58" s="47">
        <f>IF(E16=0,F16,E16)</f>
        <v>0</v>
      </c>
      <c r="C58" s="48">
        <f t="shared" ref="C58:BN58" si="64">B58+IF($G16=1,365,182.5)</f>
        <v>182.5</v>
      </c>
      <c r="D58" s="48">
        <f t="shared" si="64"/>
        <v>365</v>
      </c>
      <c r="E58" s="48">
        <f t="shared" si="64"/>
        <v>547.5</v>
      </c>
      <c r="F58" s="48">
        <f t="shared" si="64"/>
        <v>730</v>
      </c>
      <c r="G58" s="48">
        <f t="shared" si="64"/>
        <v>912.5</v>
      </c>
      <c r="H58" s="48">
        <f t="shared" si="64"/>
        <v>1095</v>
      </c>
      <c r="I58" s="48">
        <f t="shared" si="64"/>
        <v>1277.5</v>
      </c>
      <c r="J58" s="48">
        <f t="shared" si="64"/>
        <v>1460</v>
      </c>
      <c r="K58" s="48">
        <f t="shared" si="64"/>
        <v>1642.5</v>
      </c>
      <c r="L58" s="48">
        <f t="shared" si="64"/>
        <v>1825</v>
      </c>
      <c r="M58" s="48">
        <f t="shared" si="64"/>
        <v>2007.5</v>
      </c>
      <c r="N58" s="48">
        <f t="shared" si="64"/>
        <v>2190</v>
      </c>
      <c r="O58" s="48">
        <f t="shared" si="64"/>
        <v>2372.5</v>
      </c>
      <c r="P58" s="48">
        <f t="shared" si="64"/>
        <v>2555</v>
      </c>
      <c r="Q58" s="48">
        <f t="shared" si="64"/>
        <v>2737.5</v>
      </c>
      <c r="R58" s="48">
        <f t="shared" si="64"/>
        <v>2920</v>
      </c>
      <c r="S58" s="48">
        <f t="shared" si="64"/>
        <v>3102.5</v>
      </c>
      <c r="T58" s="48">
        <f t="shared" si="64"/>
        <v>3285</v>
      </c>
      <c r="U58" s="48">
        <f t="shared" si="64"/>
        <v>3467.5</v>
      </c>
      <c r="V58" s="48">
        <f t="shared" si="64"/>
        <v>3650</v>
      </c>
      <c r="W58" s="48">
        <f t="shared" si="64"/>
        <v>3832.5</v>
      </c>
      <c r="X58" s="48">
        <f t="shared" si="64"/>
        <v>4015</v>
      </c>
      <c r="Y58" s="48">
        <f t="shared" si="64"/>
        <v>4197.5</v>
      </c>
      <c r="Z58" s="48">
        <f t="shared" si="64"/>
        <v>4380</v>
      </c>
      <c r="AA58" s="48">
        <f t="shared" si="64"/>
        <v>4562.5</v>
      </c>
      <c r="AB58" s="48">
        <f t="shared" si="64"/>
        <v>4745</v>
      </c>
      <c r="AC58" s="48">
        <f t="shared" si="64"/>
        <v>4927.5</v>
      </c>
      <c r="AD58" s="48">
        <f t="shared" si="64"/>
        <v>5110</v>
      </c>
      <c r="AE58" s="48">
        <f t="shared" si="64"/>
        <v>5292.5</v>
      </c>
      <c r="AF58" s="48">
        <f t="shared" si="64"/>
        <v>5475</v>
      </c>
      <c r="AG58" s="48">
        <f t="shared" si="64"/>
        <v>5657.5</v>
      </c>
      <c r="AH58" s="48">
        <f t="shared" si="64"/>
        <v>5840</v>
      </c>
      <c r="AI58" s="48">
        <f t="shared" si="64"/>
        <v>6022.5</v>
      </c>
      <c r="AJ58" s="48">
        <f t="shared" si="64"/>
        <v>6205</v>
      </c>
      <c r="AK58" s="48">
        <f t="shared" si="64"/>
        <v>6387.5</v>
      </c>
      <c r="AL58" s="48">
        <f t="shared" si="64"/>
        <v>6570</v>
      </c>
      <c r="AM58" s="48">
        <f t="shared" si="64"/>
        <v>6752.5</v>
      </c>
      <c r="AN58" s="48">
        <f t="shared" si="64"/>
        <v>6935</v>
      </c>
      <c r="AO58" s="48">
        <f t="shared" si="64"/>
        <v>7117.5</v>
      </c>
      <c r="AP58" s="48">
        <f t="shared" si="64"/>
        <v>7300</v>
      </c>
      <c r="AQ58" s="48">
        <f t="shared" si="64"/>
        <v>7482.5</v>
      </c>
      <c r="AR58" s="48">
        <f t="shared" si="64"/>
        <v>7665</v>
      </c>
      <c r="AS58" s="48">
        <f t="shared" si="64"/>
        <v>7847.5</v>
      </c>
      <c r="AT58" s="48">
        <f t="shared" si="64"/>
        <v>8030</v>
      </c>
      <c r="AU58" s="48">
        <f t="shared" si="64"/>
        <v>8212.5</v>
      </c>
      <c r="AV58" s="48">
        <f t="shared" si="64"/>
        <v>8395</v>
      </c>
      <c r="AW58" s="48">
        <f t="shared" si="64"/>
        <v>8577.5</v>
      </c>
      <c r="AX58" s="48">
        <f t="shared" si="64"/>
        <v>8760</v>
      </c>
      <c r="AY58" s="48">
        <f t="shared" si="64"/>
        <v>8942.5</v>
      </c>
      <c r="AZ58" s="48">
        <f t="shared" si="64"/>
        <v>9125</v>
      </c>
      <c r="BA58" s="48">
        <f t="shared" si="64"/>
        <v>9307.5</v>
      </c>
      <c r="BB58" s="48">
        <f t="shared" si="64"/>
        <v>9490</v>
      </c>
      <c r="BC58" s="48">
        <f t="shared" si="64"/>
        <v>9672.5</v>
      </c>
      <c r="BD58" s="48">
        <f t="shared" si="64"/>
        <v>9855</v>
      </c>
      <c r="BE58" s="48">
        <f t="shared" si="64"/>
        <v>10037.5</v>
      </c>
      <c r="BF58" s="48">
        <f t="shared" si="64"/>
        <v>10220</v>
      </c>
      <c r="BG58" s="48">
        <f t="shared" si="64"/>
        <v>10402.5</v>
      </c>
      <c r="BH58" s="48">
        <f t="shared" si="64"/>
        <v>10585</v>
      </c>
      <c r="BI58" s="48">
        <f t="shared" si="64"/>
        <v>10767.5</v>
      </c>
      <c r="BJ58" s="48">
        <f t="shared" si="64"/>
        <v>10950</v>
      </c>
      <c r="BK58" s="48">
        <f t="shared" si="64"/>
        <v>11132.5</v>
      </c>
      <c r="BL58" s="48">
        <f t="shared" si="64"/>
        <v>11315</v>
      </c>
      <c r="BM58" s="48">
        <f t="shared" si="64"/>
        <v>11497.5</v>
      </c>
      <c r="BN58" s="48">
        <f t="shared" si="64"/>
        <v>11680</v>
      </c>
      <c r="BO58" s="48">
        <f t="shared" ref="BO58:CB58" si="65">BN58+IF($G16=1,365,182.5)</f>
        <v>11862.5</v>
      </c>
      <c r="BP58" s="48">
        <f t="shared" si="65"/>
        <v>12045</v>
      </c>
      <c r="BQ58" s="48">
        <f t="shared" si="65"/>
        <v>12227.5</v>
      </c>
      <c r="BR58" s="48">
        <f t="shared" si="65"/>
        <v>12410</v>
      </c>
      <c r="BS58" s="48">
        <f t="shared" si="65"/>
        <v>12592.5</v>
      </c>
      <c r="BT58" s="48">
        <f t="shared" si="65"/>
        <v>12775</v>
      </c>
      <c r="BU58" s="48">
        <f t="shared" si="65"/>
        <v>12957.5</v>
      </c>
      <c r="BV58" s="48">
        <f t="shared" si="65"/>
        <v>13140</v>
      </c>
      <c r="BW58" s="48">
        <f t="shared" si="65"/>
        <v>13322.5</v>
      </c>
      <c r="BX58" s="48">
        <f t="shared" si="65"/>
        <v>13505</v>
      </c>
      <c r="BY58" s="48">
        <f t="shared" si="65"/>
        <v>13687.5</v>
      </c>
      <c r="BZ58" s="48">
        <f t="shared" si="65"/>
        <v>13870</v>
      </c>
      <c r="CA58" s="48">
        <f t="shared" si="65"/>
        <v>14052.5</v>
      </c>
      <c r="CB58" s="49">
        <f t="shared" si="65"/>
        <v>14235</v>
      </c>
    </row>
    <row r="59" spans="1:80">
      <c r="A59" s="168" t="s">
        <v>18</v>
      </c>
      <c r="B59" s="108">
        <f>(IF(B58=F16,100,0)+IF(G16=1,1,0.5)*J16*100)*IF(ISBLANK(F16)=TRUE,0,1)</f>
        <v>0</v>
      </c>
      <c r="C59" s="50">
        <f>IF(C58&gt;$F16+1,0,1)*(IF(D59=0,100,0)+IF($G16=1,1,0.5)*$J16*100)</f>
        <v>0</v>
      </c>
      <c r="D59" s="50">
        <f t="shared" ref="D59:BO59" si="66">IF(D58&gt;$F16+1,0,1)*(IF(E59=0,100,0)+IF($G16=1,1,0.5)*$J16*100)</f>
        <v>0</v>
      </c>
      <c r="E59" s="50">
        <f t="shared" si="66"/>
        <v>0</v>
      </c>
      <c r="F59" s="50">
        <f t="shared" si="66"/>
        <v>0</v>
      </c>
      <c r="G59" s="50">
        <f t="shared" si="66"/>
        <v>0</v>
      </c>
      <c r="H59" s="50">
        <f t="shared" si="66"/>
        <v>0</v>
      </c>
      <c r="I59" s="50">
        <f t="shared" si="66"/>
        <v>0</v>
      </c>
      <c r="J59" s="50">
        <f t="shared" si="66"/>
        <v>0</v>
      </c>
      <c r="K59" s="50">
        <f t="shared" si="66"/>
        <v>0</v>
      </c>
      <c r="L59" s="50">
        <f t="shared" si="66"/>
        <v>0</v>
      </c>
      <c r="M59" s="50">
        <f t="shared" si="66"/>
        <v>0</v>
      </c>
      <c r="N59" s="50">
        <f t="shared" si="66"/>
        <v>0</v>
      </c>
      <c r="O59" s="50">
        <f t="shared" si="66"/>
        <v>0</v>
      </c>
      <c r="P59" s="50">
        <f t="shared" si="66"/>
        <v>0</v>
      </c>
      <c r="Q59" s="50">
        <f t="shared" si="66"/>
        <v>0</v>
      </c>
      <c r="R59" s="50">
        <f t="shared" si="66"/>
        <v>0</v>
      </c>
      <c r="S59" s="50">
        <f t="shared" si="66"/>
        <v>0</v>
      </c>
      <c r="T59" s="50">
        <f t="shared" si="66"/>
        <v>0</v>
      </c>
      <c r="U59" s="50">
        <f t="shared" si="66"/>
        <v>0</v>
      </c>
      <c r="V59" s="50">
        <f t="shared" si="66"/>
        <v>0</v>
      </c>
      <c r="W59" s="50">
        <f t="shared" si="66"/>
        <v>0</v>
      </c>
      <c r="X59" s="50">
        <f t="shared" si="66"/>
        <v>0</v>
      </c>
      <c r="Y59" s="50">
        <f t="shared" si="66"/>
        <v>0</v>
      </c>
      <c r="Z59" s="50">
        <f t="shared" si="66"/>
        <v>0</v>
      </c>
      <c r="AA59" s="50">
        <f t="shared" si="66"/>
        <v>0</v>
      </c>
      <c r="AB59" s="50">
        <f t="shared" si="66"/>
        <v>0</v>
      </c>
      <c r="AC59" s="50">
        <f t="shared" si="66"/>
        <v>0</v>
      </c>
      <c r="AD59" s="50">
        <f t="shared" si="66"/>
        <v>0</v>
      </c>
      <c r="AE59" s="50">
        <f t="shared" si="66"/>
        <v>0</v>
      </c>
      <c r="AF59" s="50">
        <f t="shared" si="66"/>
        <v>0</v>
      </c>
      <c r="AG59" s="50">
        <f t="shared" si="66"/>
        <v>0</v>
      </c>
      <c r="AH59" s="50">
        <f t="shared" si="66"/>
        <v>0</v>
      </c>
      <c r="AI59" s="50">
        <f t="shared" si="66"/>
        <v>0</v>
      </c>
      <c r="AJ59" s="50">
        <f t="shared" si="66"/>
        <v>0</v>
      </c>
      <c r="AK59" s="50">
        <f t="shared" si="66"/>
        <v>0</v>
      </c>
      <c r="AL59" s="50">
        <f t="shared" si="66"/>
        <v>0</v>
      </c>
      <c r="AM59" s="50">
        <f t="shared" si="66"/>
        <v>0</v>
      </c>
      <c r="AN59" s="50">
        <f t="shared" si="66"/>
        <v>0</v>
      </c>
      <c r="AO59" s="50">
        <f t="shared" si="66"/>
        <v>0</v>
      </c>
      <c r="AP59" s="50">
        <f t="shared" si="66"/>
        <v>0</v>
      </c>
      <c r="AQ59" s="50">
        <f t="shared" si="66"/>
        <v>0</v>
      </c>
      <c r="AR59" s="50">
        <f t="shared" si="66"/>
        <v>0</v>
      </c>
      <c r="AS59" s="50">
        <f t="shared" si="66"/>
        <v>0</v>
      </c>
      <c r="AT59" s="50">
        <f t="shared" si="66"/>
        <v>0</v>
      </c>
      <c r="AU59" s="50">
        <f t="shared" si="66"/>
        <v>0</v>
      </c>
      <c r="AV59" s="50">
        <f t="shared" si="66"/>
        <v>0</v>
      </c>
      <c r="AW59" s="50">
        <f t="shared" si="66"/>
        <v>0</v>
      </c>
      <c r="AX59" s="50">
        <f t="shared" si="66"/>
        <v>0</v>
      </c>
      <c r="AY59" s="50">
        <f t="shared" si="66"/>
        <v>0</v>
      </c>
      <c r="AZ59" s="50">
        <f t="shared" si="66"/>
        <v>0</v>
      </c>
      <c r="BA59" s="50">
        <f t="shared" si="66"/>
        <v>0</v>
      </c>
      <c r="BB59" s="50">
        <f t="shared" si="66"/>
        <v>0</v>
      </c>
      <c r="BC59" s="50">
        <f t="shared" si="66"/>
        <v>0</v>
      </c>
      <c r="BD59" s="50">
        <f t="shared" si="66"/>
        <v>0</v>
      </c>
      <c r="BE59" s="50">
        <f t="shared" si="66"/>
        <v>0</v>
      </c>
      <c r="BF59" s="50">
        <f t="shared" si="66"/>
        <v>0</v>
      </c>
      <c r="BG59" s="50">
        <f t="shared" si="66"/>
        <v>0</v>
      </c>
      <c r="BH59" s="50">
        <f t="shared" si="66"/>
        <v>0</v>
      </c>
      <c r="BI59" s="50">
        <f t="shared" si="66"/>
        <v>0</v>
      </c>
      <c r="BJ59" s="50">
        <f t="shared" si="66"/>
        <v>0</v>
      </c>
      <c r="BK59" s="50">
        <f t="shared" si="66"/>
        <v>0</v>
      </c>
      <c r="BL59" s="50">
        <f t="shared" si="66"/>
        <v>0</v>
      </c>
      <c r="BM59" s="50">
        <f t="shared" si="66"/>
        <v>0</v>
      </c>
      <c r="BN59" s="50">
        <f t="shared" si="66"/>
        <v>0</v>
      </c>
      <c r="BO59" s="50">
        <f t="shared" si="66"/>
        <v>0</v>
      </c>
      <c r="BP59" s="50">
        <f t="shared" ref="BP59:CB59" si="67">IF(BP58&gt;$F16+1,0,1)*(IF(BQ59=0,100,0)+IF($G16=1,1,0.5)*$J16*100)</f>
        <v>0</v>
      </c>
      <c r="BQ59" s="50">
        <f t="shared" si="67"/>
        <v>0</v>
      </c>
      <c r="BR59" s="50">
        <f t="shared" si="67"/>
        <v>0</v>
      </c>
      <c r="BS59" s="50">
        <f t="shared" si="67"/>
        <v>0</v>
      </c>
      <c r="BT59" s="50">
        <f t="shared" si="67"/>
        <v>0</v>
      </c>
      <c r="BU59" s="50">
        <f t="shared" si="67"/>
        <v>0</v>
      </c>
      <c r="BV59" s="50">
        <f t="shared" si="67"/>
        <v>0</v>
      </c>
      <c r="BW59" s="50">
        <f t="shared" si="67"/>
        <v>0</v>
      </c>
      <c r="BX59" s="50">
        <f t="shared" si="67"/>
        <v>0</v>
      </c>
      <c r="BY59" s="50">
        <f t="shared" si="67"/>
        <v>0</v>
      </c>
      <c r="BZ59" s="50">
        <f t="shared" si="67"/>
        <v>0</v>
      </c>
      <c r="CA59" s="50">
        <f t="shared" si="67"/>
        <v>0</v>
      </c>
      <c r="CB59" s="51">
        <f t="shared" si="67"/>
        <v>0</v>
      </c>
    </row>
    <row r="60" spans="1:80">
      <c r="A60" s="251" t="s">
        <v>49</v>
      </c>
      <c r="B60" s="79">
        <f>IF(E17=0,F17,E17)</f>
        <v>0</v>
      </c>
      <c r="C60" s="80">
        <f t="shared" ref="C60:BN60" si="68">B60+IF($G17=1,365,182.5)</f>
        <v>182.5</v>
      </c>
      <c r="D60" s="80">
        <f t="shared" si="68"/>
        <v>365</v>
      </c>
      <c r="E60" s="80">
        <f t="shared" si="68"/>
        <v>547.5</v>
      </c>
      <c r="F60" s="80">
        <f t="shared" si="68"/>
        <v>730</v>
      </c>
      <c r="G60" s="80">
        <f t="shared" si="68"/>
        <v>912.5</v>
      </c>
      <c r="H60" s="80">
        <f t="shared" si="68"/>
        <v>1095</v>
      </c>
      <c r="I60" s="80">
        <f t="shared" si="68"/>
        <v>1277.5</v>
      </c>
      <c r="J60" s="80">
        <f t="shared" si="68"/>
        <v>1460</v>
      </c>
      <c r="K60" s="80">
        <f t="shared" si="68"/>
        <v>1642.5</v>
      </c>
      <c r="L60" s="80">
        <f t="shared" si="68"/>
        <v>1825</v>
      </c>
      <c r="M60" s="80">
        <f t="shared" si="68"/>
        <v>2007.5</v>
      </c>
      <c r="N60" s="80">
        <f t="shared" si="68"/>
        <v>2190</v>
      </c>
      <c r="O60" s="80">
        <f t="shared" si="68"/>
        <v>2372.5</v>
      </c>
      <c r="P60" s="80">
        <f t="shared" si="68"/>
        <v>2555</v>
      </c>
      <c r="Q60" s="80">
        <f t="shared" si="68"/>
        <v>2737.5</v>
      </c>
      <c r="R60" s="80">
        <f t="shared" si="68"/>
        <v>2920</v>
      </c>
      <c r="S60" s="80">
        <f t="shared" si="68"/>
        <v>3102.5</v>
      </c>
      <c r="T60" s="80">
        <f t="shared" si="68"/>
        <v>3285</v>
      </c>
      <c r="U60" s="80">
        <f t="shared" si="68"/>
        <v>3467.5</v>
      </c>
      <c r="V60" s="80">
        <f t="shared" si="68"/>
        <v>3650</v>
      </c>
      <c r="W60" s="80">
        <f t="shared" si="68"/>
        <v>3832.5</v>
      </c>
      <c r="X60" s="80">
        <f t="shared" si="68"/>
        <v>4015</v>
      </c>
      <c r="Y60" s="80">
        <f t="shared" si="68"/>
        <v>4197.5</v>
      </c>
      <c r="Z60" s="80">
        <f t="shared" si="68"/>
        <v>4380</v>
      </c>
      <c r="AA60" s="80">
        <f t="shared" si="68"/>
        <v>4562.5</v>
      </c>
      <c r="AB60" s="80">
        <f t="shared" si="68"/>
        <v>4745</v>
      </c>
      <c r="AC60" s="80">
        <f t="shared" si="68"/>
        <v>4927.5</v>
      </c>
      <c r="AD60" s="80">
        <f t="shared" si="68"/>
        <v>5110</v>
      </c>
      <c r="AE60" s="80">
        <f t="shared" si="68"/>
        <v>5292.5</v>
      </c>
      <c r="AF60" s="80">
        <f t="shared" si="68"/>
        <v>5475</v>
      </c>
      <c r="AG60" s="80">
        <f t="shared" si="68"/>
        <v>5657.5</v>
      </c>
      <c r="AH60" s="80">
        <f t="shared" si="68"/>
        <v>5840</v>
      </c>
      <c r="AI60" s="80">
        <f t="shared" si="68"/>
        <v>6022.5</v>
      </c>
      <c r="AJ60" s="80">
        <f t="shared" si="68"/>
        <v>6205</v>
      </c>
      <c r="AK60" s="80">
        <f t="shared" si="68"/>
        <v>6387.5</v>
      </c>
      <c r="AL60" s="80">
        <f t="shared" si="68"/>
        <v>6570</v>
      </c>
      <c r="AM60" s="80">
        <f t="shared" si="68"/>
        <v>6752.5</v>
      </c>
      <c r="AN60" s="80">
        <f t="shared" si="68"/>
        <v>6935</v>
      </c>
      <c r="AO60" s="80">
        <f t="shared" si="68"/>
        <v>7117.5</v>
      </c>
      <c r="AP60" s="80">
        <f t="shared" si="68"/>
        <v>7300</v>
      </c>
      <c r="AQ60" s="80">
        <f t="shared" si="68"/>
        <v>7482.5</v>
      </c>
      <c r="AR60" s="80">
        <f t="shared" si="68"/>
        <v>7665</v>
      </c>
      <c r="AS60" s="80">
        <f t="shared" si="68"/>
        <v>7847.5</v>
      </c>
      <c r="AT60" s="80">
        <f t="shared" si="68"/>
        <v>8030</v>
      </c>
      <c r="AU60" s="80">
        <f t="shared" si="68"/>
        <v>8212.5</v>
      </c>
      <c r="AV60" s="80">
        <f t="shared" si="68"/>
        <v>8395</v>
      </c>
      <c r="AW60" s="80">
        <f t="shared" si="68"/>
        <v>8577.5</v>
      </c>
      <c r="AX60" s="80">
        <f t="shared" si="68"/>
        <v>8760</v>
      </c>
      <c r="AY60" s="80">
        <f t="shared" si="68"/>
        <v>8942.5</v>
      </c>
      <c r="AZ60" s="80">
        <f t="shared" si="68"/>
        <v>9125</v>
      </c>
      <c r="BA60" s="80">
        <f t="shared" si="68"/>
        <v>9307.5</v>
      </c>
      <c r="BB60" s="80">
        <f t="shared" si="68"/>
        <v>9490</v>
      </c>
      <c r="BC60" s="80">
        <f t="shared" si="68"/>
        <v>9672.5</v>
      </c>
      <c r="BD60" s="80">
        <f t="shared" si="68"/>
        <v>9855</v>
      </c>
      <c r="BE60" s="80">
        <f t="shared" si="68"/>
        <v>10037.5</v>
      </c>
      <c r="BF60" s="80">
        <f t="shared" si="68"/>
        <v>10220</v>
      </c>
      <c r="BG60" s="80">
        <f t="shared" si="68"/>
        <v>10402.5</v>
      </c>
      <c r="BH60" s="80">
        <f t="shared" si="68"/>
        <v>10585</v>
      </c>
      <c r="BI60" s="80">
        <f t="shared" si="68"/>
        <v>10767.5</v>
      </c>
      <c r="BJ60" s="80">
        <f t="shared" si="68"/>
        <v>10950</v>
      </c>
      <c r="BK60" s="80">
        <f t="shared" si="68"/>
        <v>11132.5</v>
      </c>
      <c r="BL60" s="80">
        <f t="shared" si="68"/>
        <v>11315</v>
      </c>
      <c r="BM60" s="80">
        <f t="shared" si="68"/>
        <v>11497.5</v>
      </c>
      <c r="BN60" s="80">
        <f t="shared" si="68"/>
        <v>11680</v>
      </c>
      <c r="BO60" s="80">
        <f t="shared" ref="BO60:CB60" si="69">BN60+IF($G17=1,365,182.5)</f>
        <v>11862.5</v>
      </c>
      <c r="BP60" s="80">
        <f t="shared" si="69"/>
        <v>12045</v>
      </c>
      <c r="BQ60" s="80">
        <f t="shared" si="69"/>
        <v>12227.5</v>
      </c>
      <c r="BR60" s="80">
        <f t="shared" si="69"/>
        <v>12410</v>
      </c>
      <c r="BS60" s="80">
        <f t="shared" si="69"/>
        <v>12592.5</v>
      </c>
      <c r="BT60" s="80">
        <f t="shared" si="69"/>
        <v>12775</v>
      </c>
      <c r="BU60" s="80">
        <f t="shared" si="69"/>
        <v>12957.5</v>
      </c>
      <c r="BV60" s="80">
        <f t="shared" si="69"/>
        <v>13140</v>
      </c>
      <c r="BW60" s="80">
        <f t="shared" si="69"/>
        <v>13322.5</v>
      </c>
      <c r="BX60" s="80">
        <f t="shared" si="69"/>
        <v>13505</v>
      </c>
      <c r="BY60" s="80">
        <f t="shared" si="69"/>
        <v>13687.5</v>
      </c>
      <c r="BZ60" s="80">
        <f t="shared" si="69"/>
        <v>13870</v>
      </c>
      <c r="CA60" s="80">
        <f t="shared" si="69"/>
        <v>14052.5</v>
      </c>
      <c r="CB60" s="81">
        <f t="shared" si="69"/>
        <v>14235</v>
      </c>
    </row>
    <row r="61" spans="1:80">
      <c r="A61" s="176" t="s">
        <v>33</v>
      </c>
      <c r="B61" s="114">
        <f>(IF(B60=F17,100,0)+IF(G17=1,1,0.5)*J17*100)*IF(ISBLANK(F17)=TRUE,0,1)</f>
        <v>0</v>
      </c>
      <c r="C61" s="82">
        <f>IF(C60&gt;$F17+1,0,1)*(IF(D61=0,100,0)+IF($G17=1,1,0.5)*$J17*100)</f>
        <v>0</v>
      </c>
      <c r="D61" s="82">
        <f t="shared" ref="D61:BO61" si="70">IF(D60&gt;$F17+1,0,1)*(IF(E61=0,100,0)+IF($G17=1,1,0.5)*$J17*100)</f>
        <v>0</v>
      </c>
      <c r="E61" s="82">
        <f t="shared" si="70"/>
        <v>0</v>
      </c>
      <c r="F61" s="82">
        <f t="shared" si="70"/>
        <v>0</v>
      </c>
      <c r="G61" s="82">
        <f t="shared" si="70"/>
        <v>0</v>
      </c>
      <c r="H61" s="82">
        <f t="shared" si="70"/>
        <v>0</v>
      </c>
      <c r="I61" s="82">
        <f t="shared" si="70"/>
        <v>0</v>
      </c>
      <c r="J61" s="82">
        <f t="shared" si="70"/>
        <v>0</v>
      </c>
      <c r="K61" s="82">
        <f t="shared" si="70"/>
        <v>0</v>
      </c>
      <c r="L61" s="82">
        <f t="shared" si="70"/>
        <v>0</v>
      </c>
      <c r="M61" s="82">
        <f t="shared" si="70"/>
        <v>0</v>
      </c>
      <c r="N61" s="82">
        <f t="shared" si="70"/>
        <v>0</v>
      </c>
      <c r="O61" s="82">
        <f t="shared" si="70"/>
        <v>0</v>
      </c>
      <c r="P61" s="82">
        <f t="shared" si="70"/>
        <v>0</v>
      </c>
      <c r="Q61" s="82">
        <f t="shared" si="70"/>
        <v>0</v>
      </c>
      <c r="R61" s="82">
        <f t="shared" si="70"/>
        <v>0</v>
      </c>
      <c r="S61" s="82">
        <f t="shared" si="70"/>
        <v>0</v>
      </c>
      <c r="T61" s="82">
        <f t="shared" si="70"/>
        <v>0</v>
      </c>
      <c r="U61" s="82">
        <f t="shared" si="70"/>
        <v>0</v>
      </c>
      <c r="V61" s="82">
        <f t="shared" si="70"/>
        <v>0</v>
      </c>
      <c r="W61" s="82">
        <f t="shared" si="70"/>
        <v>0</v>
      </c>
      <c r="X61" s="82">
        <f t="shared" si="70"/>
        <v>0</v>
      </c>
      <c r="Y61" s="82">
        <f t="shared" si="70"/>
        <v>0</v>
      </c>
      <c r="Z61" s="82">
        <f t="shared" si="70"/>
        <v>0</v>
      </c>
      <c r="AA61" s="82">
        <f t="shared" si="70"/>
        <v>0</v>
      </c>
      <c r="AB61" s="82">
        <f t="shared" si="70"/>
        <v>0</v>
      </c>
      <c r="AC61" s="82">
        <f t="shared" si="70"/>
        <v>0</v>
      </c>
      <c r="AD61" s="82">
        <f t="shared" si="70"/>
        <v>0</v>
      </c>
      <c r="AE61" s="82">
        <f t="shared" si="70"/>
        <v>0</v>
      </c>
      <c r="AF61" s="82">
        <f t="shared" si="70"/>
        <v>0</v>
      </c>
      <c r="AG61" s="82">
        <f t="shared" si="70"/>
        <v>0</v>
      </c>
      <c r="AH61" s="82">
        <f t="shared" si="70"/>
        <v>0</v>
      </c>
      <c r="AI61" s="82">
        <f t="shared" si="70"/>
        <v>0</v>
      </c>
      <c r="AJ61" s="82">
        <f t="shared" si="70"/>
        <v>0</v>
      </c>
      <c r="AK61" s="82">
        <f t="shared" si="70"/>
        <v>0</v>
      </c>
      <c r="AL61" s="82">
        <f t="shared" si="70"/>
        <v>0</v>
      </c>
      <c r="AM61" s="82">
        <f t="shared" si="70"/>
        <v>0</v>
      </c>
      <c r="AN61" s="82">
        <f t="shared" si="70"/>
        <v>0</v>
      </c>
      <c r="AO61" s="82">
        <f t="shared" si="70"/>
        <v>0</v>
      </c>
      <c r="AP61" s="82">
        <f t="shared" si="70"/>
        <v>0</v>
      </c>
      <c r="AQ61" s="82">
        <f t="shared" si="70"/>
        <v>0</v>
      </c>
      <c r="AR61" s="82">
        <f t="shared" si="70"/>
        <v>0</v>
      </c>
      <c r="AS61" s="82">
        <f t="shared" si="70"/>
        <v>0</v>
      </c>
      <c r="AT61" s="82">
        <f t="shared" si="70"/>
        <v>0</v>
      </c>
      <c r="AU61" s="82">
        <f t="shared" si="70"/>
        <v>0</v>
      </c>
      <c r="AV61" s="82">
        <f t="shared" si="70"/>
        <v>0</v>
      </c>
      <c r="AW61" s="82">
        <f t="shared" si="70"/>
        <v>0</v>
      </c>
      <c r="AX61" s="82">
        <f t="shared" si="70"/>
        <v>0</v>
      </c>
      <c r="AY61" s="82">
        <f t="shared" si="70"/>
        <v>0</v>
      </c>
      <c r="AZ61" s="82">
        <f t="shared" si="70"/>
        <v>0</v>
      </c>
      <c r="BA61" s="82">
        <f t="shared" si="70"/>
        <v>0</v>
      </c>
      <c r="BB61" s="82">
        <f t="shared" si="70"/>
        <v>0</v>
      </c>
      <c r="BC61" s="82">
        <f t="shared" si="70"/>
        <v>0</v>
      </c>
      <c r="BD61" s="82">
        <f t="shared" si="70"/>
        <v>0</v>
      </c>
      <c r="BE61" s="82">
        <f t="shared" si="70"/>
        <v>0</v>
      </c>
      <c r="BF61" s="82">
        <f t="shared" si="70"/>
        <v>0</v>
      </c>
      <c r="BG61" s="82">
        <f t="shared" si="70"/>
        <v>0</v>
      </c>
      <c r="BH61" s="82">
        <f t="shared" si="70"/>
        <v>0</v>
      </c>
      <c r="BI61" s="82">
        <f t="shared" si="70"/>
        <v>0</v>
      </c>
      <c r="BJ61" s="82">
        <f t="shared" si="70"/>
        <v>0</v>
      </c>
      <c r="BK61" s="82">
        <f t="shared" si="70"/>
        <v>0</v>
      </c>
      <c r="BL61" s="82">
        <f t="shared" si="70"/>
        <v>0</v>
      </c>
      <c r="BM61" s="82">
        <f t="shared" si="70"/>
        <v>0</v>
      </c>
      <c r="BN61" s="82">
        <f t="shared" si="70"/>
        <v>0</v>
      </c>
      <c r="BO61" s="82">
        <f t="shared" si="70"/>
        <v>0</v>
      </c>
      <c r="BP61" s="82">
        <f t="shared" ref="BP61:CB61" si="71">IF(BP60&gt;$F17+1,0,1)*(IF(BQ61=0,100,0)+IF($G17=1,1,0.5)*$J17*100)</f>
        <v>0</v>
      </c>
      <c r="BQ61" s="82">
        <f t="shared" si="71"/>
        <v>0</v>
      </c>
      <c r="BR61" s="82">
        <f t="shared" si="71"/>
        <v>0</v>
      </c>
      <c r="BS61" s="82">
        <f t="shared" si="71"/>
        <v>0</v>
      </c>
      <c r="BT61" s="82">
        <f t="shared" si="71"/>
        <v>0</v>
      </c>
      <c r="BU61" s="82">
        <f t="shared" si="71"/>
        <v>0</v>
      </c>
      <c r="BV61" s="82">
        <f t="shared" si="71"/>
        <v>0</v>
      </c>
      <c r="BW61" s="82">
        <f t="shared" si="71"/>
        <v>0</v>
      </c>
      <c r="BX61" s="82">
        <f t="shared" si="71"/>
        <v>0</v>
      </c>
      <c r="BY61" s="82">
        <f t="shared" si="71"/>
        <v>0</v>
      </c>
      <c r="BZ61" s="82">
        <f t="shared" si="71"/>
        <v>0</v>
      </c>
      <c r="CA61" s="82">
        <f t="shared" si="71"/>
        <v>0</v>
      </c>
      <c r="CB61" s="83">
        <f t="shared" si="71"/>
        <v>0</v>
      </c>
    </row>
    <row r="62" spans="1:80">
      <c r="A62" s="250" t="s">
        <v>49</v>
      </c>
      <c r="B62" s="84">
        <f>IF(E18=0,F18,E18)</f>
        <v>0</v>
      </c>
      <c r="C62" s="85">
        <f t="shared" ref="C62:BN62" si="72">B62+IF($G18=1,365,182.5)</f>
        <v>182.5</v>
      </c>
      <c r="D62" s="85">
        <f t="shared" si="72"/>
        <v>365</v>
      </c>
      <c r="E62" s="85">
        <f t="shared" si="72"/>
        <v>547.5</v>
      </c>
      <c r="F62" s="85">
        <f t="shared" si="72"/>
        <v>730</v>
      </c>
      <c r="G62" s="85">
        <f t="shared" si="72"/>
        <v>912.5</v>
      </c>
      <c r="H62" s="85">
        <f t="shared" si="72"/>
        <v>1095</v>
      </c>
      <c r="I62" s="85">
        <f t="shared" si="72"/>
        <v>1277.5</v>
      </c>
      <c r="J62" s="85">
        <f t="shared" si="72"/>
        <v>1460</v>
      </c>
      <c r="K62" s="85">
        <f t="shared" si="72"/>
        <v>1642.5</v>
      </c>
      <c r="L62" s="85">
        <f t="shared" si="72"/>
        <v>1825</v>
      </c>
      <c r="M62" s="85">
        <f t="shared" si="72"/>
        <v>2007.5</v>
      </c>
      <c r="N62" s="85">
        <f t="shared" si="72"/>
        <v>2190</v>
      </c>
      <c r="O62" s="85">
        <f t="shared" si="72"/>
        <v>2372.5</v>
      </c>
      <c r="P62" s="85">
        <f t="shared" si="72"/>
        <v>2555</v>
      </c>
      <c r="Q62" s="85">
        <f t="shared" si="72"/>
        <v>2737.5</v>
      </c>
      <c r="R62" s="85">
        <f t="shared" si="72"/>
        <v>2920</v>
      </c>
      <c r="S62" s="85">
        <f t="shared" si="72"/>
        <v>3102.5</v>
      </c>
      <c r="T62" s="85">
        <f t="shared" si="72"/>
        <v>3285</v>
      </c>
      <c r="U62" s="85">
        <f t="shared" si="72"/>
        <v>3467.5</v>
      </c>
      <c r="V62" s="85">
        <f t="shared" si="72"/>
        <v>3650</v>
      </c>
      <c r="W62" s="85">
        <f t="shared" si="72"/>
        <v>3832.5</v>
      </c>
      <c r="X62" s="85">
        <f t="shared" si="72"/>
        <v>4015</v>
      </c>
      <c r="Y62" s="85">
        <f t="shared" si="72"/>
        <v>4197.5</v>
      </c>
      <c r="Z62" s="85">
        <f t="shared" si="72"/>
        <v>4380</v>
      </c>
      <c r="AA62" s="85">
        <f t="shared" si="72"/>
        <v>4562.5</v>
      </c>
      <c r="AB62" s="85">
        <f t="shared" si="72"/>
        <v>4745</v>
      </c>
      <c r="AC62" s="85">
        <f t="shared" si="72"/>
        <v>4927.5</v>
      </c>
      <c r="AD62" s="85">
        <f t="shared" si="72"/>
        <v>5110</v>
      </c>
      <c r="AE62" s="85">
        <f t="shared" si="72"/>
        <v>5292.5</v>
      </c>
      <c r="AF62" s="85">
        <f t="shared" si="72"/>
        <v>5475</v>
      </c>
      <c r="AG62" s="85">
        <f t="shared" si="72"/>
        <v>5657.5</v>
      </c>
      <c r="AH62" s="85">
        <f t="shared" si="72"/>
        <v>5840</v>
      </c>
      <c r="AI62" s="85">
        <f t="shared" si="72"/>
        <v>6022.5</v>
      </c>
      <c r="AJ62" s="85">
        <f t="shared" si="72"/>
        <v>6205</v>
      </c>
      <c r="AK62" s="85">
        <f t="shared" si="72"/>
        <v>6387.5</v>
      </c>
      <c r="AL62" s="85">
        <f t="shared" si="72"/>
        <v>6570</v>
      </c>
      <c r="AM62" s="85">
        <f t="shared" si="72"/>
        <v>6752.5</v>
      </c>
      <c r="AN62" s="85">
        <f t="shared" si="72"/>
        <v>6935</v>
      </c>
      <c r="AO62" s="85">
        <f t="shared" si="72"/>
        <v>7117.5</v>
      </c>
      <c r="AP62" s="85">
        <f t="shared" si="72"/>
        <v>7300</v>
      </c>
      <c r="AQ62" s="85">
        <f t="shared" si="72"/>
        <v>7482.5</v>
      </c>
      <c r="AR62" s="85">
        <f t="shared" si="72"/>
        <v>7665</v>
      </c>
      <c r="AS62" s="85">
        <f t="shared" si="72"/>
        <v>7847.5</v>
      </c>
      <c r="AT62" s="85">
        <f t="shared" si="72"/>
        <v>8030</v>
      </c>
      <c r="AU62" s="85">
        <f t="shared" si="72"/>
        <v>8212.5</v>
      </c>
      <c r="AV62" s="85">
        <f t="shared" si="72"/>
        <v>8395</v>
      </c>
      <c r="AW62" s="85">
        <f t="shared" si="72"/>
        <v>8577.5</v>
      </c>
      <c r="AX62" s="85">
        <f t="shared" si="72"/>
        <v>8760</v>
      </c>
      <c r="AY62" s="85">
        <f t="shared" si="72"/>
        <v>8942.5</v>
      </c>
      <c r="AZ62" s="85">
        <f t="shared" si="72"/>
        <v>9125</v>
      </c>
      <c r="BA62" s="85">
        <f t="shared" si="72"/>
        <v>9307.5</v>
      </c>
      <c r="BB62" s="85">
        <f t="shared" si="72"/>
        <v>9490</v>
      </c>
      <c r="BC62" s="85">
        <f t="shared" si="72"/>
        <v>9672.5</v>
      </c>
      <c r="BD62" s="85">
        <f t="shared" si="72"/>
        <v>9855</v>
      </c>
      <c r="BE62" s="85">
        <f t="shared" si="72"/>
        <v>10037.5</v>
      </c>
      <c r="BF62" s="85">
        <f t="shared" si="72"/>
        <v>10220</v>
      </c>
      <c r="BG62" s="85">
        <f t="shared" si="72"/>
        <v>10402.5</v>
      </c>
      <c r="BH62" s="85">
        <f t="shared" si="72"/>
        <v>10585</v>
      </c>
      <c r="BI62" s="85">
        <f t="shared" si="72"/>
        <v>10767.5</v>
      </c>
      <c r="BJ62" s="85">
        <f t="shared" si="72"/>
        <v>10950</v>
      </c>
      <c r="BK62" s="85">
        <f t="shared" si="72"/>
        <v>11132.5</v>
      </c>
      <c r="BL62" s="85">
        <f t="shared" si="72"/>
        <v>11315</v>
      </c>
      <c r="BM62" s="85">
        <f t="shared" si="72"/>
        <v>11497.5</v>
      </c>
      <c r="BN62" s="85">
        <f t="shared" si="72"/>
        <v>11680</v>
      </c>
      <c r="BO62" s="85">
        <f t="shared" ref="BO62:CB62" si="73">BN62+IF($G18=1,365,182.5)</f>
        <v>11862.5</v>
      </c>
      <c r="BP62" s="85">
        <f t="shared" si="73"/>
        <v>12045</v>
      </c>
      <c r="BQ62" s="85">
        <f t="shared" si="73"/>
        <v>12227.5</v>
      </c>
      <c r="BR62" s="85">
        <f t="shared" si="73"/>
        <v>12410</v>
      </c>
      <c r="BS62" s="85">
        <f t="shared" si="73"/>
        <v>12592.5</v>
      </c>
      <c r="BT62" s="85">
        <f t="shared" si="73"/>
        <v>12775</v>
      </c>
      <c r="BU62" s="85">
        <f t="shared" si="73"/>
        <v>12957.5</v>
      </c>
      <c r="BV62" s="85">
        <f t="shared" si="73"/>
        <v>13140</v>
      </c>
      <c r="BW62" s="85">
        <f t="shared" si="73"/>
        <v>13322.5</v>
      </c>
      <c r="BX62" s="85">
        <f t="shared" si="73"/>
        <v>13505</v>
      </c>
      <c r="BY62" s="85">
        <f t="shared" si="73"/>
        <v>13687.5</v>
      </c>
      <c r="BZ62" s="85">
        <f t="shared" si="73"/>
        <v>13870</v>
      </c>
      <c r="CA62" s="85">
        <f t="shared" si="73"/>
        <v>14052.5</v>
      </c>
      <c r="CB62" s="86">
        <f t="shared" si="73"/>
        <v>14235</v>
      </c>
    </row>
    <row r="63" spans="1:80">
      <c r="A63" s="177" t="s">
        <v>34</v>
      </c>
      <c r="B63" s="115">
        <f>(IF(B62=F18,100,0)+IF(G18=1,1,0.5)*J18*100)*IF(ISBLANK(F18)=TRUE,0,1)</f>
        <v>0</v>
      </c>
      <c r="C63" s="87">
        <f>IF(C62&gt;$F18+1,0,1)*(IF(D63=0,100,0)+IF($G18=1,1,0.5)*$J18*100)</f>
        <v>0</v>
      </c>
      <c r="D63" s="87">
        <f t="shared" ref="D63:BO63" si="74">IF(D62&gt;$F18+1,0,1)*(IF(E63=0,100,0)+IF($G18=1,1,0.5)*$J18*100)</f>
        <v>0</v>
      </c>
      <c r="E63" s="87">
        <f t="shared" si="74"/>
        <v>0</v>
      </c>
      <c r="F63" s="87">
        <f t="shared" si="74"/>
        <v>0</v>
      </c>
      <c r="G63" s="87">
        <f t="shared" si="74"/>
        <v>0</v>
      </c>
      <c r="H63" s="87">
        <f t="shared" si="74"/>
        <v>0</v>
      </c>
      <c r="I63" s="87">
        <f t="shared" si="74"/>
        <v>0</v>
      </c>
      <c r="J63" s="87">
        <f t="shared" si="74"/>
        <v>0</v>
      </c>
      <c r="K63" s="87">
        <f t="shared" si="74"/>
        <v>0</v>
      </c>
      <c r="L63" s="87">
        <f t="shared" si="74"/>
        <v>0</v>
      </c>
      <c r="M63" s="87">
        <f t="shared" si="74"/>
        <v>0</v>
      </c>
      <c r="N63" s="87">
        <f t="shared" si="74"/>
        <v>0</v>
      </c>
      <c r="O63" s="87">
        <f t="shared" si="74"/>
        <v>0</v>
      </c>
      <c r="P63" s="87">
        <f t="shared" si="74"/>
        <v>0</v>
      </c>
      <c r="Q63" s="87">
        <f t="shared" si="74"/>
        <v>0</v>
      </c>
      <c r="R63" s="87">
        <f t="shared" si="74"/>
        <v>0</v>
      </c>
      <c r="S63" s="87">
        <f t="shared" si="74"/>
        <v>0</v>
      </c>
      <c r="T63" s="87">
        <f t="shared" si="74"/>
        <v>0</v>
      </c>
      <c r="U63" s="87">
        <f t="shared" si="74"/>
        <v>0</v>
      </c>
      <c r="V63" s="87">
        <f t="shared" si="74"/>
        <v>0</v>
      </c>
      <c r="W63" s="87">
        <f t="shared" si="74"/>
        <v>0</v>
      </c>
      <c r="X63" s="87">
        <f t="shared" si="74"/>
        <v>0</v>
      </c>
      <c r="Y63" s="87">
        <f t="shared" si="74"/>
        <v>0</v>
      </c>
      <c r="Z63" s="87">
        <f t="shared" si="74"/>
        <v>0</v>
      </c>
      <c r="AA63" s="87">
        <f t="shared" si="74"/>
        <v>0</v>
      </c>
      <c r="AB63" s="87">
        <f t="shared" si="74"/>
        <v>0</v>
      </c>
      <c r="AC63" s="87">
        <f t="shared" si="74"/>
        <v>0</v>
      </c>
      <c r="AD63" s="87">
        <f t="shared" si="74"/>
        <v>0</v>
      </c>
      <c r="AE63" s="87">
        <f t="shared" si="74"/>
        <v>0</v>
      </c>
      <c r="AF63" s="87">
        <f t="shared" si="74"/>
        <v>0</v>
      </c>
      <c r="AG63" s="87">
        <f t="shared" si="74"/>
        <v>0</v>
      </c>
      <c r="AH63" s="87">
        <f t="shared" si="74"/>
        <v>0</v>
      </c>
      <c r="AI63" s="87">
        <f t="shared" si="74"/>
        <v>0</v>
      </c>
      <c r="AJ63" s="87">
        <f t="shared" si="74"/>
        <v>0</v>
      </c>
      <c r="AK63" s="87">
        <f t="shared" si="74"/>
        <v>0</v>
      </c>
      <c r="AL63" s="87">
        <f t="shared" si="74"/>
        <v>0</v>
      </c>
      <c r="AM63" s="87">
        <f t="shared" si="74"/>
        <v>0</v>
      </c>
      <c r="AN63" s="87">
        <f t="shared" si="74"/>
        <v>0</v>
      </c>
      <c r="AO63" s="87">
        <f t="shared" si="74"/>
        <v>0</v>
      </c>
      <c r="AP63" s="87">
        <f t="shared" si="74"/>
        <v>0</v>
      </c>
      <c r="AQ63" s="87">
        <f t="shared" si="74"/>
        <v>0</v>
      </c>
      <c r="AR63" s="87">
        <f t="shared" si="74"/>
        <v>0</v>
      </c>
      <c r="AS63" s="87">
        <f t="shared" si="74"/>
        <v>0</v>
      </c>
      <c r="AT63" s="87">
        <f t="shared" si="74"/>
        <v>0</v>
      </c>
      <c r="AU63" s="87">
        <f t="shared" si="74"/>
        <v>0</v>
      </c>
      <c r="AV63" s="87">
        <f t="shared" si="74"/>
        <v>0</v>
      </c>
      <c r="AW63" s="87">
        <f t="shared" si="74"/>
        <v>0</v>
      </c>
      <c r="AX63" s="87">
        <f t="shared" si="74"/>
        <v>0</v>
      </c>
      <c r="AY63" s="87">
        <f t="shared" si="74"/>
        <v>0</v>
      </c>
      <c r="AZ63" s="87">
        <f t="shared" si="74"/>
        <v>0</v>
      </c>
      <c r="BA63" s="87">
        <f t="shared" si="74"/>
        <v>0</v>
      </c>
      <c r="BB63" s="87">
        <f t="shared" si="74"/>
        <v>0</v>
      </c>
      <c r="BC63" s="87">
        <f t="shared" si="74"/>
        <v>0</v>
      </c>
      <c r="BD63" s="87">
        <f t="shared" si="74"/>
        <v>0</v>
      </c>
      <c r="BE63" s="87">
        <f t="shared" si="74"/>
        <v>0</v>
      </c>
      <c r="BF63" s="87">
        <f t="shared" si="74"/>
        <v>0</v>
      </c>
      <c r="BG63" s="87">
        <f t="shared" si="74"/>
        <v>0</v>
      </c>
      <c r="BH63" s="87">
        <f t="shared" si="74"/>
        <v>0</v>
      </c>
      <c r="BI63" s="87">
        <f t="shared" si="74"/>
        <v>0</v>
      </c>
      <c r="BJ63" s="87">
        <f t="shared" si="74"/>
        <v>0</v>
      </c>
      <c r="BK63" s="87">
        <f t="shared" si="74"/>
        <v>0</v>
      </c>
      <c r="BL63" s="87">
        <f t="shared" si="74"/>
        <v>0</v>
      </c>
      <c r="BM63" s="87">
        <f t="shared" si="74"/>
        <v>0</v>
      </c>
      <c r="BN63" s="87">
        <f t="shared" si="74"/>
        <v>0</v>
      </c>
      <c r="BO63" s="87">
        <f t="shared" si="74"/>
        <v>0</v>
      </c>
      <c r="BP63" s="87">
        <f t="shared" ref="BP63:CB63" si="75">IF(BP62&gt;$F18+1,0,1)*(IF(BQ63=0,100,0)+IF($G18=1,1,0.5)*$J18*100)</f>
        <v>0</v>
      </c>
      <c r="BQ63" s="87">
        <f t="shared" si="75"/>
        <v>0</v>
      </c>
      <c r="BR63" s="87">
        <f t="shared" si="75"/>
        <v>0</v>
      </c>
      <c r="BS63" s="87">
        <f t="shared" si="75"/>
        <v>0</v>
      </c>
      <c r="BT63" s="87">
        <f t="shared" si="75"/>
        <v>0</v>
      </c>
      <c r="BU63" s="87">
        <f t="shared" si="75"/>
        <v>0</v>
      </c>
      <c r="BV63" s="87">
        <f t="shared" si="75"/>
        <v>0</v>
      </c>
      <c r="BW63" s="87">
        <f t="shared" si="75"/>
        <v>0</v>
      </c>
      <c r="BX63" s="87">
        <f t="shared" si="75"/>
        <v>0</v>
      </c>
      <c r="BY63" s="87">
        <f t="shared" si="75"/>
        <v>0</v>
      </c>
      <c r="BZ63" s="87">
        <f t="shared" si="75"/>
        <v>0</v>
      </c>
      <c r="CA63" s="87">
        <f t="shared" si="75"/>
        <v>0</v>
      </c>
      <c r="CB63" s="88">
        <f t="shared" si="75"/>
        <v>0</v>
      </c>
    </row>
    <row r="64" spans="1:80">
      <c r="A64" s="249" t="s">
        <v>49</v>
      </c>
      <c r="B64" s="118">
        <f>IF(E19=0,F19,E19)</f>
        <v>0</v>
      </c>
      <c r="C64" s="119">
        <f t="shared" ref="C64:BN64" si="76">B64+IF($G19=1,365,182.5)</f>
        <v>182.5</v>
      </c>
      <c r="D64" s="119">
        <f t="shared" si="76"/>
        <v>365</v>
      </c>
      <c r="E64" s="119">
        <f t="shared" si="76"/>
        <v>547.5</v>
      </c>
      <c r="F64" s="119">
        <f t="shared" si="76"/>
        <v>730</v>
      </c>
      <c r="G64" s="119">
        <f t="shared" si="76"/>
        <v>912.5</v>
      </c>
      <c r="H64" s="119">
        <f t="shared" si="76"/>
        <v>1095</v>
      </c>
      <c r="I64" s="119">
        <f t="shared" si="76"/>
        <v>1277.5</v>
      </c>
      <c r="J64" s="119">
        <f t="shared" si="76"/>
        <v>1460</v>
      </c>
      <c r="K64" s="119">
        <f t="shared" si="76"/>
        <v>1642.5</v>
      </c>
      <c r="L64" s="119">
        <f t="shared" si="76"/>
        <v>1825</v>
      </c>
      <c r="M64" s="119">
        <f t="shared" si="76"/>
        <v>2007.5</v>
      </c>
      <c r="N64" s="119">
        <f t="shared" si="76"/>
        <v>2190</v>
      </c>
      <c r="O64" s="119">
        <f t="shared" si="76"/>
        <v>2372.5</v>
      </c>
      <c r="P64" s="119">
        <f t="shared" si="76"/>
        <v>2555</v>
      </c>
      <c r="Q64" s="119">
        <f t="shared" si="76"/>
        <v>2737.5</v>
      </c>
      <c r="R64" s="119">
        <f t="shared" si="76"/>
        <v>2920</v>
      </c>
      <c r="S64" s="119">
        <f t="shared" si="76"/>
        <v>3102.5</v>
      </c>
      <c r="T64" s="119">
        <f t="shared" si="76"/>
        <v>3285</v>
      </c>
      <c r="U64" s="119">
        <f t="shared" si="76"/>
        <v>3467.5</v>
      </c>
      <c r="V64" s="119">
        <f t="shared" si="76"/>
        <v>3650</v>
      </c>
      <c r="W64" s="119">
        <f t="shared" si="76"/>
        <v>3832.5</v>
      </c>
      <c r="X64" s="119">
        <f t="shared" si="76"/>
        <v>4015</v>
      </c>
      <c r="Y64" s="119">
        <f t="shared" si="76"/>
        <v>4197.5</v>
      </c>
      <c r="Z64" s="119">
        <f t="shared" si="76"/>
        <v>4380</v>
      </c>
      <c r="AA64" s="119">
        <f t="shared" si="76"/>
        <v>4562.5</v>
      </c>
      <c r="AB64" s="119">
        <f t="shared" si="76"/>
        <v>4745</v>
      </c>
      <c r="AC64" s="119">
        <f t="shared" si="76"/>
        <v>4927.5</v>
      </c>
      <c r="AD64" s="119">
        <f t="shared" si="76"/>
        <v>5110</v>
      </c>
      <c r="AE64" s="119">
        <f t="shared" si="76"/>
        <v>5292.5</v>
      </c>
      <c r="AF64" s="119">
        <f t="shared" si="76"/>
        <v>5475</v>
      </c>
      <c r="AG64" s="119">
        <f t="shared" si="76"/>
        <v>5657.5</v>
      </c>
      <c r="AH64" s="119">
        <f t="shared" si="76"/>
        <v>5840</v>
      </c>
      <c r="AI64" s="119">
        <f t="shared" si="76"/>
        <v>6022.5</v>
      </c>
      <c r="AJ64" s="119">
        <f t="shared" si="76"/>
        <v>6205</v>
      </c>
      <c r="AK64" s="119">
        <f t="shared" si="76"/>
        <v>6387.5</v>
      </c>
      <c r="AL64" s="119">
        <f t="shared" si="76"/>
        <v>6570</v>
      </c>
      <c r="AM64" s="119">
        <f t="shared" si="76"/>
        <v>6752.5</v>
      </c>
      <c r="AN64" s="119">
        <f t="shared" si="76"/>
        <v>6935</v>
      </c>
      <c r="AO64" s="119">
        <f t="shared" si="76"/>
        <v>7117.5</v>
      </c>
      <c r="AP64" s="119">
        <f t="shared" si="76"/>
        <v>7300</v>
      </c>
      <c r="AQ64" s="119">
        <f t="shared" si="76"/>
        <v>7482.5</v>
      </c>
      <c r="AR64" s="119">
        <f t="shared" si="76"/>
        <v>7665</v>
      </c>
      <c r="AS64" s="119">
        <f t="shared" si="76"/>
        <v>7847.5</v>
      </c>
      <c r="AT64" s="119">
        <f t="shared" si="76"/>
        <v>8030</v>
      </c>
      <c r="AU64" s="119">
        <f t="shared" si="76"/>
        <v>8212.5</v>
      </c>
      <c r="AV64" s="119">
        <f t="shared" si="76"/>
        <v>8395</v>
      </c>
      <c r="AW64" s="119">
        <f t="shared" si="76"/>
        <v>8577.5</v>
      </c>
      <c r="AX64" s="119">
        <f t="shared" si="76"/>
        <v>8760</v>
      </c>
      <c r="AY64" s="119">
        <f t="shared" si="76"/>
        <v>8942.5</v>
      </c>
      <c r="AZ64" s="119">
        <f t="shared" si="76"/>
        <v>9125</v>
      </c>
      <c r="BA64" s="119">
        <f t="shared" si="76"/>
        <v>9307.5</v>
      </c>
      <c r="BB64" s="119">
        <f t="shared" si="76"/>
        <v>9490</v>
      </c>
      <c r="BC64" s="119">
        <f t="shared" si="76"/>
        <v>9672.5</v>
      </c>
      <c r="BD64" s="119">
        <f t="shared" si="76"/>
        <v>9855</v>
      </c>
      <c r="BE64" s="119">
        <f t="shared" si="76"/>
        <v>10037.5</v>
      </c>
      <c r="BF64" s="119">
        <f t="shared" si="76"/>
        <v>10220</v>
      </c>
      <c r="BG64" s="119">
        <f t="shared" si="76"/>
        <v>10402.5</v>
      </c>
      <c r="BH64" s="119">
        <f t="shared" si="76"/>
        <v>10585</v>
      </c>
      <c r="BI64" s="119">
        <f t="shared" si="76"/>
        <v>10767.5</v>
      </c>
      <c r="BJ64" s="119">
        <f t="shared" si="76"/>
        <v>10950</v>
      </c>
      <c r="BK64" s="119">
        <f t="shared" si="76"/>
        <v>11132.5</v>
      </c>
      <c r="BL64" s="119">
        <f t="shared" si="76"/>
        <v>11315</v>
      </c>
      <c r="BM64" s="119">
        <f t="shared" si="76"/>
        <v>11497.5</v>
      </c>
      <c r="BN64" s="119">
        <f t="shared" si="76"/>
        <v>11680</v>
      </c>
      <c r="BO64" s="119">
        <f t="shared" ref="BO64:CB64" si="77">BN64+IF($G19=1,365,182.5)</f>
        <v>11862.5</v>
      </c>
      <c r="BP64" s="119">
        <f t="shared" si="77"/>
        <v>12045</v>
      </c>
      <c r="BQ64" s="119">
        <f t="shared" si="77"/>
        <v>12227.5</v>
      </c>
      <c r="BR64" s="119">
        <f t="shared" si="77"/>
        <v>12410</v>
      </c>
      <c r="BS64" s="119">
        <f t="shared" si="77"/>
        <v>12592.5</v>
      </c>
      <c r="BT64" s="119">
        <f t="shared" si="77"/>
        <v>12775</v>
      </c>
      <c r="BU64" s="119">
        <f t="shared" si="77"/>
        <v>12957.5</v>
      </c>
      <c r="BV64" s="119">
        <f t="shared" si="77"/>
        <v>13140</v>
      </c>
      <c r="BW64" s="119">
        <f t="shared" si="77"/>
        <v>13322.5</v>
      </c>
      <c r="BX64" s="119">
        <f t="shared" si="77"/>
        <v>13505</v>
      </c>
      <c r="BY64" s="119">
        <f t="shared" si="77"/>
        <v>13687.5</v>
      </c>
      <c r="BZ64" s="119">
        <f t="shared" si="77"/>
        <v>13870</v>
      </c>
      <c r="CA64" s="119">
        <f t="shared" si="77"/>
        <v>14052.5</v>
      </c>
      <c r="CB64" s="120">
        <f t="shared" si="77"/>
        <v>14235</v>
      </c>
    </row>
    <row r="65" spans="1:115">
      <c r="A65" s="178" t="s">
        <v>35</v>
      </c>
      <c r="B65" s="121">
        <f>(IF(B64=F19,100,0)+IF(G19=1,1,0.5)*J19*100)*IF(ISBLANK(F19)=TRUE,0,1)</f>
        <v>0</v>
      </c>
      <c r="C65" s="122">
        <f>IF(C64&gt;$F19+1,0,1)*(IF(D65=0,100,0)+IF($G19=1,1,0.5)*$J19*100)</f>
        <v>0</v>
      </c>
      <c r="D65" s="122">
        <f t="shared" ref="D65:BO65" si="78">IF(D64&gt;$F19+1,0,1)*(IF(E65=0,100,0)+IF($G19=1,1,0.5)*$J19*100)</f>
        <v>0</v>
      </c>
      <c r="E65" s="122">
        <f t="shared" si="78"/>
        <v>0</v>
      </c>
      <c r="F65" s="122">
        <f t="shared" si="78"/>
        <v>0</v>
      </c>
      <c r="G65" s="122">
        <f t="shared" si="78"/>
        <v>0</v>
      </c>
      <c r="H65" s="122">
        <f t="shared" si="78"/>
        <v>0</v>
      </c>
      <c r="I65" s="122">
        <f t="shared" si="78"/>
        <v>0</v>
      </c>
      <c r="J65" s="122">
        <f t="shared" si="78"/>
        <v>0</v>
      </c>
      <c r="K65" s="122">
        <f t="shared" si="78"/>
        <v>0</v>
      </c>
      <c r="L65" s="122">
        <f t="shared" si="78"/>
        <v>0</v>
      </c>
      <c r="M65" s="122">
        <f t="shared" si="78"/>
        <v>0</v>
      </c>
      <c r="N65" s="122">
        <f t="shared" si="78"/>
        <v>0</v>
      </c>
      <c r="O65" s="122">
        <f t="shared" si="78"/>
        <v>0</v>
      </c>
      <c r="P65" s="122">
        <f t="shared" si="78"/>
        <v>0</v>
      </c>
      <c r="Q65" s="122">
        <f t="shared" si="78"/>
        <v>0</v>
      </c>
      <c r="R65" s="122">
        <f t="shared" si="78"/>
        <v>0</v>
      </c>
      <c r="S65" s="122">
        <f t="shared" si="78"/>
        <v>0</v>
      </c>
      <c r="T65" s="122">
        <f t="shared" si="78"/>
        <v>0</v>
      </c>
      <c r="U65" s="122">
        <f t="shared" si="78"/>
        <v>0</v>
      </c>
      <c r="V65" s="122">
        <f t="shared" si="78"/>
        <v>0</v>
      </c>
      <c r="W65" s="122">
        <f t="shared" si="78"/>
        <v>0</v>
      </c>
      <c r="X65" s="122">
        <f t="shared" si="78"/>
        <v>0</v>
      </c>
      <c r="Y65" s="122">
        <f t="shared" si="78"/>
        <v>0</v>
      </c>
      <c r="Z65" s="122">
        <f t="shared" si="78"/>
        <v>0</v>
      </c>
      <c r="AA65" s="122">
        <f t="shared" si="78"/>
        <v>0</v>
      </c>
      <c r="AB65" s="122">
        <f t="shared" si="78"/>
        <v>0</v>
      </c>
      <c r="AC65" s="122">
        <f t="shared" si="78"/>
        <v>0</v>
      </c>
      <c r="AD65" s="122">
        <f t="shared" si="78"/>
        <v>0</v>
      </c>
      <c r="AE65" s="122">
        <f t="shared" si="78"/>
        <v>0</v>
      </c>
      <c r="AF65" s="122">
        <f t="shared" si="78"/>
        <v>0</v>
      </c>
      <c r="AG65" s="122">
        <f t="shared" si="78"/>
        <v>0</v>
      </c>
      <c r="AH65" s="122">
        <f t="shared" si="78"/>
        <v>0</v>
      </c>
      <c r="AI65" s="122">
        <f t="shared" si="78"/>
        <v>0</v>
      </c>
      <c r="AJ65" s="122">
        <f t="shared" si="78"/>
        <v>0</v>
      </c>
      <c r="AK65" s="122">
        <f t="shared" si="78"/>
        <v>0</v>
      </c>
      <c r="AL65" s="122">
        <f t="shared" si="78"/>
        <v>0</v>
      </c>
      <c r="AM65" s="122">
        <f t="shared" si="78"/>
        <v>0</v>
      </c>
      <c r="AN65" s="122">
        <f t="shared" si="78"/>
        <v>0</v>
      </c>
      <c r="AO65" s="122">
        <f t="shared" si="78"/>
        <v>0</v>
      </c>
      <c r="AP65" s="122">
        <f t="shared" si="78"/>
        <v>0</v>
      </c>
      <c r="AQ65" s="122">
        <f t="shared" si="78"/>
        <v>0</v>
      </c>
      <c r="AR65" s="122">
        <f t="shared" si="78"/>
        <v>0</v>
      </c>
      <c r="AS65" s="122">
        <f t="shared" si="78"/>
        <v>0</v>
      </c>
      <c r="AT65" s="122">
        <f t="shared" si="78"/>
        <v>0</v>
      </c>
      <c r="AU65" s="122">
        <f t="shared" si="78"/>
        <v>0</v>
      </c>
      <c r="AV65" s="122">
        <f t="shared" si="78"/>
        <v>0</v>
      </c>
      <c r="AW65" s="122">
        <f t="shared" si="78"/>
        <v>0</v>
      </c>
      <c r="AX65" s="122">
        <f t="shared" si="78"/>
        <v>0</v>
      </c>
      <c r="AY65" s="122">
        <f t="shared" si="78"/>
        <v>0</v>
      </c>
      <c r="AZ65" s="122">
        <f t="shared" si="78"/>
        <v>0</v>
      </c>
      <c r="BA65" s="122">
        <f t="shared" si="78"/>
        <v>0</v>
      </c>
      <c r="BB65" s="122">
        <f t="shared" si="78"/>
        <v>0</v>
      </c>
      <c r="BC65" s="122">
        <f t="shared" si="78"/>
        <v>0</v>
      </c>
      <c r="BD65" s="122">
        <f t="shared" si="78"/>
        <v>0</v>
      </c>
      <c r="BE65" s="122">
        <f t="shared" si="78"/>
        <v>0</v>
      </c>
      <c r="BF65" s="122">
        <f t="shared" si="78"/>
        <v>0</v>
      </c>
      <c r="BG65" s="122">
        <f t="shared" si="78"/>
        <v>0</v>
      </c>
      <c r="BH65" s="122">
        <f t="shared" si="78"/>
        <v>0</v>
      </c>
      <c r="BI65" s="122">
        <f t="shared" si="78"/>
        <v>0</v>
      </c>
      <c r="BJ65" s="122">
        <f t="shared" si="78"/>
        <v>0</v>
      </c>
      <c r="BK65" s="122">
        <f t="shared" si="78"/>
        <v>0</v>
      </c>
      <c r="BL65" s="122">
        <f t="shared" si="78"/>
        <v>0</v>
      </c>
      <c r="BM65" s="122">
        <f t="shared" si="78"/>
        <v>0</v>
      </c>
      <c r="BN65" s="122">
        <f t="shared" si="78"/>
        <v>0</v>
      </c>
      <c r="BO65" s="122">
        <f t="shared" si="78"/>
        <v>0</v>
      </c>
      <c r="BP65" s="122">
        <f t="shared" ref="BP65:CB65" si="79">IF(BP64&gt;$F19+1,0,1)*(IF(BQ65=0,100,0)+IF($G19=1,1,0.5)*$J19*100)</f>
        <v>0</v>
      </c>
      <c r="BQ65" s="122">
        <f t="shared" si="79"/>
        <v>0</v>
      </c>
      <c r="BR65" s="122">
        <f t="shared" si="79"/>
        <v>0</v>
      </c>
      <c r="BS65" s="122">
        <f t="shared" si="79"/>
        <v>0</v>
      </c>
      <c r="BT65" s="122">
        <f t="shared" si="79"/>
        <v>0</v>
      </c>
      <c r="BU65" s="122">
        <f t="shared" si="79"/>
        <v>0</v>
      </c>
      <c r="BV65" s="122">
        <f t="shared" si="79"/>
        <v>0</v>
      </c>
      <c r="BW65" s="122">
        <f t="shared" si="79"/>
        <v>0</v>
      </c>
      <c r="BX65" s="122">
        <f t="shared" si="79"/>
        <v>0</v>
      </c>
      <c r="BY65" s="122">
        <f t="shared" si="79"/>
        <v>0</v>
      </c>
      <c r="BZ65" s="122">
        <f t="shared" si="79"/>
        <v>0</v>
      </c>
      <c r="CA65" s="122">
        <f t="shared" si="79"/>
        <v>0</v>
      </c>
      <c r="CB65" s="123">
        <f t="shared" si="79"/>
        <v>0</v>
      </c>
    </row>
    <row r="66" spans="1:115">
      <c r="A66" s="248" t="s">
        <v>49</v>
      </c>
      <c r="B66" s="89">
        <f>IF(E20=0,F20,E20)</f>
        <v>0</v>
      </c>
      <c r="C66" s="90">
        <f t="shared" ref="C66:BN66" si="80">B66+IF($G20=1,365,182.5)</f>
        <v>182.5</v>
      </c>
      <c r="D66" s="90">
        <f t="shared" si="80"/>
        <v>365</v>
      </c>
      <c r="E66" s="90">
        <f t="shared" si="80"/>
        <v>547.5</v>
      </c>
      <c r="F66" s="90">
        <f t="shared" si="80"/>
        <v>730</v>
      </c>
      <c r="G66" s="90">
        <f t="shared" si="80"/>
        <v>912.5</v>
      </c>
      <c r="H66" s="90">
        <f t="shared" si="80"/>
        <v>1095</v>
      </c>
      <c r="I66" s="90">
        <f t="shared" si="80"/>
        <v>1277.5</v>
      </c>
      <c r="J66" s="90">
        <f t="shared" si="80"/>
        <v>1460</v>
      </c>
      <c r="K66" s="90">
        <f t="shared" si="80"/>
        <v>1642.5</v>
      </c>
      <c r="L66" s="90">
        <f t="shared" si="80"/>
        <v>1825</v>
      </c>
      <c r="M66" s="90">
        <f t="shared" si="80"/>
        <v>2007.5</v>
      </c>
      <c r="N66" s="90">
        <f t="shared" si="80"/>
        <v>2190</v>
      </c>
      <c r="O66" s="90">
        <f t="shared" si="80"/>
        <v>2372.5</v>
      </c>
      <c r="P66" s="90">
        <f t="shared" si="80"/>
        <v>2555</v>
      </c>
      <c r="Q66" s="90">
        <f t="shared" si="80"/>
        <v>2737.5</v>
      </c>
      <c r="R66" s="90">
        <f t="shared" si="80"/>
        <v>2920</v>
      </c>
      <c r="S66" s="90">
        <f t="shared" si="80"/>
        <v>3102.5</v>
      </c>
      <c r="T66" s="90">
        <f t="shared" si="80"/>
        <v>3285</v>
      </c>
      <c r="U66" s="90">
        <f t="shared" si="80"/>
        <v>3467.5</v>
      </c>
      <c r="V66" s="90">
        <f t="shared" si="80"/>
        <v>3650</v>
      </c>
      <c r="W66" s="90">
        <f t="shared" si="80"/>
        <v>3832.5</v>
      </c>
      <c r="X66" s="90">
        <f t="shared" si="80"/>
        <v>4015</v>
      </c>
      <c r="Y66" s="90">
        <f t="shared" si="80"/>
        <v>4197.5</v>
      </c>
      <c r="Z66" s="90">
        <f t="shared" si="80"/>
        <v>4380</v>
      </c>
      <c r="AA66" s="90">
        <f t="shared" si="80"/>
        <v>4562.5</v>
      </c>
      <c r="AB66" s="90">
        <f t="shared" si="80"/>
        <v>4745</v>
      </c>
      <c r="AC66" s="90">
        <f t="shared" si="80"/>
        <v>4927.5</v>
      </c>
      <c r="AD66" s="90">
        <f t="shared" si="80"/>
        <v>5110</v>
      </c>
      <c r="AE66" s="90">
        <f t="shared" si="80"/>
        <v>5292.5</v>
      </c>
      <c r="AF66" s="90">
        <f t="shared" si="80"/>
        <v>5475</v>
      </c>
      <c r="AG66" s="90">
        <f t="shared" si="80"/>
        <v>5657.5</v>
      </c>
      <c r="AH66" s="90">
        <f t="shared" si="80"/>
        <v>5840</v>
      </c>
      <c r="AI66" s="90">
        <f t="shared" si="80"/>
        <v>6022.5</v>
      </c>
      <c r="AJ66" s="90">
        <f t="shared" si="80"/>
        <v>6205</v>
      </c>
      <c r="AK66" s="90">
        <f t="shared" si="80"/>
        <v>6387.5</v>
      </c>
      <c r="AL66" s="90">
        <f t="shared" si="80"/>
        <v>6570</v>
      </c>
      <c r="AM66" s="90">
        <f t="shared" si="80"/>
        <v>6752.5</v>
      </c>
      <c r="AN66" s="90">
        <f t="shared" si="80"/>
        <v>6935</v>
      </c>
      <c r="AO66" s="90">
        <f t="shared" si="80"/>
        <v>7117.5</v>
      </c>
      <c r="AP66" s="90">
        <f t="shared" si="80"/>
        <v>7300</v>
      </c>
      <c r="AQ66" s="90">
        <f t="shared" si="80"/>
        <v>7482.5</v>
      </c>
      <c r="AR66" s="90">
        <f t="shared" si="80"/>
        <v>7665</v>
      </c>
      <c r="AS66" s="90">
        <f t="shared" si="80"/>
        <v>7847.5</v>
      </c>
      <c r="AT66" s="90">
        <f t="shared" si="80"/>
        <v>8030</v>
      </c>
      <c r="AU66" s="90">
        <f t="shared" si="80"/>
        <v>8212.5</v>
      </c>
      <c r="AV66" s="90">
        <f t="shared" si="80"/>
        <v>8395</v>
      </c>
      <c r="AW66" s="90">
        <f t="shared" si="80"/>
        <v>8577.5</v>
      </c>
      <c r="AX66" s="90">
        <f t="shared" si="80"/>
        <v>8760</v>
      </c>
      <c r="AY66" s="90">
        <f t="shared" si="80"/>
        <v>8942.5</v>
      </c>
      <c r="AZ66" s="90">
        <f t="shared" si="80"/>
        <v>9125</v>
      </c>
      <c r="BA66" s="90">
        <f t="shared" si="80"/>
        <v>9307.5</v>
      </c>
      <c r="BB66" s="90">
        <f t="shared" si="80"/>
        <v>9490</v>
      </c>
      <c r="BC66" s="90">
        <f t="shared" si="80"/>
        <v>9672.5</v>
      </c>
      <c r="BD66" s="90">
        <f t="shared" si="80"/>
        <v>9855</v>
      </c>
      <c r="BE66" s="90">
        <f t="shared" si="80"/>
        <v>10037.5</v>
      </c>
      <c r="BF66" s="90">
        <f t="shared" si="80"/>
        <v>10220</v>
      </c>
      <c r="BG66" s="90">
        <f t="shared" si="80"/>
        <v>10402.5</v>
      </c>
      <c r="BH66" s="90">
        <f t="shared" si="80"/>
        <v>10585</v>
      </c>
      <c r="BI66" s="90">
        <f t="shared" si="80"/>
        <v>10767.5</v>
      </c>
      <c r="BJ66" s="90">
        <f t="shared" si="80"/>
        <v>10950</v>
      </c>
      <c r="BK66" s="90">
        <f t="shared" si="80"/>
        <v>11132.5</v>
      </c>
      <c r="BL66" s="90">
        <f t="shared" si="80"/>
        <v>11315</v>
      </c>
      <c r="BM66" s="90">
        <f t="shared" si="80"/>
        <v>11497.5</v>
      </c>
      <c r="BN66" s="90">
        <f t="shared" si="80"/>
        <v>11680</v>
      </c>
      <c r="BO66" s="90">
        <f t="shared" ref="BO66:CB66" si="81">BN66+IF($G20=1,365,182.5)</f>
        <v>11862.5</v>
      </c>
      <c r="BP66" s="90">
        <f t="shared" si="81"/>
        <v>12045</v>
      </c>
      <c r="BQ66" s="90">
        <f t="shared" si="81"/>
        <v>12227.5</v>
      </c>
      <c r="BR66" s="90">
        <f t="shared" si="81"/>
        <v>12410</v>
      </c>
      <c r="BS66" s="90">
        <f t="shared" si="81"/>
        <v>12592.5</v>
      </c>
      <c r="BT66" s="90">
        <f t="shared" si="81"/>
        <v>12775</v>
      </c>
      <c r="BU66" s="90">
        <f t="shared" si="81"/>
        <v>12957.5</v>
      </c>
      <c r="BV66" s="90">
        <f t="shared" si="81"/>
        <v>13140</v>
      </c>
      <c r="BW66" s="90">
        <f t="shared" si="81"/>
        <v>13322.5</v>
      </c>
      <c r="BX66" s="90">
        <f t="shared" si="81"/>
        <v>13505</v>
      </c>
      <c r="BY66" s="90">
        <f t="shared" si="81"/>
        <v>13687.5</v>
      </c>
      <c r="BZ66" s="90">
        <f t="shared" si="81"/>
        <v>13870</v>
      </c>
      <c r="CA66" s="90">
        <f t="shared" si="81"/>
        <v>14052.5</v>
      </c>
      <c r="CB66" s="91">
        <f t="shared" si="81"/>
        <v>14235</v>
      </c>
    </row>
    <row r="67" spans="1:115">
      <c r="A67" s="179" t="s">
        <v>36</v>
      </c>
      <c r="B67" s="113">
        <f>(IF(B66=F20,100,0)+IF(G20=1,1,0.5)*J20*100)*IF(ISBLANK(F20)=TRUE,0,1)</f>
        <v>0</v>
      </c>
      <c r="C67" s="92">
        <f>IF(C66&gt;$F20+1,0,1)*(IF(D67=0,100,0)+IF($G20=1,1,0.5)*$J20*100)</f>
        <v>0</v>
      </c>
      <c r="D67" s="92">
        <f t="shared" ref="D67:BO67" si="82">IF(D66&gt;$F20+1,0,1)*(IF(E67=0,100,0)+IF($G20=1,1,0.5)*$J20*100)</f>
        <v>0</v>
      </c>
      <c r="E67" s="92">
        <f t="shared" si="82"/>
        <v>0</v>
      </c>
      <c r="F67" s="92">
        <f t="shared" si="82"/>
        <v>0</v>
      </c>
      <c r="G67" s="92">
        <f t="shared" si="82"/>
        <v>0</v>
      </c>
      <c r="H67" s="92">
        <f t="shared" si="82"/>
        <v>0</v>
      </c>
      <c r="I67" s="92">
        <f t="shared" si="82"/>
        <v>0</v>
      </c>
      <c r="J67" s="92">
        <f t="shared" si="82"/>
        <v>0</v>
      </c>
      <c r="K67" s="92">
        <f t="shared" si="82"/>
        <v>0</v>
      </c>
      <c r="L67" s="92">
        <f t="shared" si="82"/>
        <v>0</v>
      </c>
      <c r="M67" s="92">
        <f t="shared" si="82"/>
        <v>0</v>
      </c>
      <c r="N67" s="92">
        <f t="shared" si="82"/>
        <v>0</v>
      </c>
      <c r="O67" s="92">
        <f t="shared" si="82"/>
        <v>0</v>
      </c>
      <c r="P67" s="92">
        <f t="shared" si="82"/>
        <v>0</v>
      </c>
      <c r="Q67" s="92">
        <f t="shared" si="82"/>
        <v>0</v>
      </c>
      <c r="R67" s="92">
        <f t="shared" si="82"/>
        <v>0</v>
      </c>
      <c r="S67" s="92">
        <f t="shared" si="82"/>
        <v>0</v>
      </c>
      <c r="T67" s="92">
        <f t="shared" si="82"/>
        <v>0</v>
      </c>
      <c r="U67" s="92">
        <f t="shared" si="82"/>
        <v>0</v>
      </c>
      <c r="V67" s="92">
        <f t="shared" si="82"/>
        <v>0</v>
      </c>
      <c r="W67" s="92">
        <f t="shared" si="82"/>
        <v>0</v>
      </c>
      <c r="X67" s="92">
        <f t="shared" si="82"/>
        <v>0</v>
      </c>
      <c r="Y67" s="92">
        <f t="shared" si="82"/>
        <v>0</v>
      </c>
      <c r="Z67" s="92">
        <f t="shared" si="82"/>
        <v>0</v>
      </c>
      <c r="AA67" s="92">
        <f t="shared" si="82"/>
        <v>0</v>
      </c>
      <c r="AB67" s="92">
        <f t="shared" si="82"/>
        <v>0</v>
      </c>
      <c r="AC67" s="92">
        <f t="shared" si="82"/>
        <v>0</v>
      </c>
      <c r="AD67" s="92">
        <f t="shared" si="82"/>
        <v>0</v>
      </c>
      <c r="AE67" s="92">
        <f t="shared" si="82"/>
        <v>0</v>
      </c>
      <c r="AF67" s="92">
        <f t="shared" si="82"/>
        <v>0</v>
      </c>
      <c r="AG67" s="92">
        <f t="shared" si="82"/>
        <v>0</v>
      </c>
      <c r="AH67" s="92">
        <f t="shared" si="82"/>
        <v>0</v>
      </c>
      <c r="AI67" s="92">
        <f t="shared" si="82"/>
        <v>0</v>
      </c>
      <c r="AJ67" s="92">
        <f t="shared" si="82"/>
        <v>0</v>
      </c>
      <c r="AK67" s="92">
        <f t="shared" si="82"/>
        <v>0</v>
      </c>
      <c r="AL67" s="92">
        <f t="shared" si="82"/>
        <v>0</v>
      </c>
      <c r="AM67" s="92">
        <f t="shared" si="82"/>
        <v>0</v>
      </c>
      <c r="AN67" s="92">
        <f t="shared" si="82"/>
        <v>0</v>
      </c>
      <c r="AO67" s="92">
        <f t="shared" si="82"/>
        <v>0</v>
      </c>
      <c r="AP67" s="92">
        <f t="shared" si="82"/>
        <v>0</v>
      </c>
      <c r="AQ67" s="92">
        <f t="shared" si="82"/>
        <v>0</v>
      </c>
      <c r="AR67" s="92">
        <f t="shared" si="82"/>
        <v>0</v>
      </c>
      <c r="AS67" s="92">
        <f t="shared" si="82"/>
        <v>0</v>
      </c>
      <c r="AT67" s="92">
        <f t="shared" si="82"/>
        <v>0</v>
      </c>
      <c r="AU67" s="92">
        <f t="shared" si="82"/>
        <v>0</v>
      </c>
      <c r="AV67" s="92">
        <f t="shared" si="82"/>
        <v>0</v>
      </c>
      <c r="AW67" s="92">
        <f t="shared" si="82"/>
        <v>0</v>
      </c>
      <c r="AX67" s="92">
        <f t="shared" si="82"/>
        <v>0</v>
      </c>
      <c r="AY67" s="92">
        <f t="shared" si="82"/>
        <v>0</v>
      </c>
      <c r="AZ67" s="92">
        <f t="shared" si="82"/>
        <v>0</v>
      </c>
      <c r="BA67" s="92">
        <f t="shared" si="82"/>
        <v>0</v>
      </c>
      <c r="BB67" s="92">
        <f t="shared" si="82"/>
        <v>0</v>
      </c>
      <c r="BC67" s="92">
        <f t="shared" si="82"/>
        <v>0</v>
      </c>
      <c r="BD67" s="92">
        <f t="shared" si="82"/>
        <v>0</v>
      </c>
      <c r="BE67" s="92">
        <f t="shared" si="82"/>
        <v>0</v>
      </c>
      <c r="BF67" s="92">
        <f t="shared" si="82"/>
        <v>0</v>
      </c>
      <c r="BG67" s="92">
        <f t="shared" si="82"/>
        <v>0</v>
      </c>
      <c r="BH67" s="92">
        <f t="shared" si="82"/>
        <v>0</v>
      </c>
      <c r="BI67" s="92">
        <f t="shared" si="82"/>
        <v>0</v>
      </c>
      <c r="BJ67" s="92">
        <f t="shared" si="82"/>
        <v>0</v>
      </c>
      <c r="BK67" s="92">
        <f t="shared" si="82"/>
        <v>0</v>
      </c>
      <c r="BL67" s="92">
        <f t="shared" si="82"/>
        <v>0</v>
      </c>
      <c r="BM67" s="92">
        <f t="shared" si="82"/>
        <v>0</v>
      </c>
      <c r="BN67" s="92">
        <f t="shared" si="82"/>
        <v>0</v>
      </c>
      <c r="BO67" s="92">
        <f t="shared" si="82"/>
        <v>0</v>
      </c>
      <c r="BP67" s="92">
        <f t="shared" ref="BP67:CB67" si="83">IF(BP66&gt;$F20+1,0,1)*(IF(BQ67=0,100,0)+IF($G20=1,1,0.5)*$J20*100)</f>
        <v>0</v>
      </c>
      <c r="BQ67" s="92">
        <f t="shared" si="83"/>
        <v>0</v>
      </c>
      <c r="BR67" s="92">
        <f t="shared" si="83"/>
        <v>0</v>
      </c>
      <c r="BS67" s="92">
        <f t="shared" si="83"/>
        <v>0</v>
      </c>
      <c r="BT67" s="92">
        <f t="shared" si="83"/>
        <v>0</v>
      </c>
      <c r="BU67" s="92">
        <f t="shared" si="83"/>
        <v>0</v>
      </c>
      <c r="BV67" s="92">
        <f t="shared" si="83"/>
        <v>0</v>
      </c>
      <c r="BW67" s="92">
        <f t="shared" si="83"/>
        <v>0</v>
      </c>
      <c r="BX67" s="92">
        <f t="shared" si="83"/>
        <v>0</v>
      </c>
      <c r="BY67" s="92">
        <f t="shared" si="83"/>
        <v>0</v>
      </c>
      <c r="BZ67" s="92">
        <f t="shared" si="83"/>
        <v>0</v>
      </c>
      <c r="CA67" s="92">
        <f t="shared" si="83"/>
        <v>0</v>
      </c>
      <c r="CB67" s="93">
        <f t="shared" si="83"/>
        <v>0</v>
      </c>
    </row>
    <row r="68" spans="1:115">
      <c r="A68" s="247" t="s">
        <v>49</v>
      </c>
      <c r="B68" s="124">
        <f>IF(E21=0,F21,E21)</f>
        <v>0</v>
      </c>
      <c r="C68" s="125">
        <f t="shared" ref="C68:BN68" si="84">B68+IF($G21=1,365,182.5)</f>
        <v>182.5</v>
      </c>
      <c r="D68" s="125">
        <f t="shared" si="84"/>
        <v>365</v>
      </c>
      <c r="E68" s="125">
        <f t="shared" si="84"/>
        <v>547.5</v>
      </c>
      <c r="F68" s="125">
        <f t="shared" si="84"/>
        <v>730</v>
      </c>
      <c r="G68" s="125">
        <f t="shared" si="84"/>
        <v>912.5</v>
      </c>
      <c r="H68" s="125">
        <f t="shared" si="84"/>
        <v>1095</v>
      </c>
      <c r="I68" s="125">
        <f t="shared" si="84"/>
        <v>1277.5</v>
      </c>
      <c r="J68" s="125">
        <f t="shared" si="84"/>
        <v>1460</v>
      </c>
      <c r="K68" s="125">
        <f t="shared" si="84"/>
        <v>1642.5</v>
      </c>
      <c r="L68" s="125">
        <f t="shared" si="84"/>
        <v>1825</v>
      </c>
      <c r="M68" s="125">
        <f t="shared" si="84"/>
        <v>2007.5</v>
      </c>
      <c r="N68" s="125">
        <f t="shared" si="84"/>
        <v>2190</v>
      </c>
      <c r="O68" s="125">
        <f t="shared" si="84"/>
        <v>2372.5</v>
      </c>
      <c r="P68" s="125">
        <f t="shared" si="84"/>
        <v>2555</v>
      </c>
      <c r="Q68" s="125">
        <f t="shared" si="84"/>
        <v>2737.5</v>
      </c>
      <c r="R68" s="125">
        <f t="shared" si="84"/>
        <v>2920</v>
      </c>
      <c r="S68" s="125">
        <f t="shared" si="84"/>
        <v>3102.5</v>
      </c>
      <c r="T68" s="125">
        <f t="shared" si="84"/>
        <v>3285</v>
      </c>
      <c r="U68" s="125">
        <f t="shared" si="84"/>
        <v>3467.5</v>
      </c>
      <c r="V68" s="125">
        <f t="shared" si="84"/>
        <v>3650</v>
      </c>
      <c r="W68" s="125">
        <f t="shared" si="84"/>
        <v>3832.5</v>
      </c>
      <c r="X68" s="125">
        <f t="shared" si="84"/>
        <v>4015</v>
      </c>
      <c r="Y68" s="125">
        <f t="shared" si="84"/>
        <v>4197.5</v>
      </c>
      <c r="Z68" s="125">
        <f t="shared" si="84"/>
        <v>4380</v>
      </c>
      <c r="AA68" s="125">
        <f t="shared" si="84"/>
        <v>4562.5</v>
      </c>
      <c r="AB68" s="125">
        <f t="shared" si="84"/>
        <v>4745</v>
      </c>
      <c r="AC68" s="125">
        <f t="shared" si="84"/>
        <v>4927.5</v>
      </c>
      <c r="AD68" s="125">
        <f t="shared" si="84"/>
        <v>5110</v>
      </c>
      <c r="AE68" s="125">
        <f t="shared" si="84"/>
        <v>5292.5</v>
      </c>
      <c r="AF68" s="125">
        <f t="shared" si="84"/>
        <v>5475</v>
      </c>
      <c r="AG68" s="125">
        <f t="shared" si="84"/>
        <v>5657.5</v>
      </c>
      <c r="AH68" s="125">
        <f t="shared" si="84"/>
        <v>5840</v>
      </c>
      <c r="AI68" s="125">
        <f t="shared" si="84"/>
        <v>6022.5</v>
      </c>
      <c r="AJ68" s="125">
        <f t="shared" si="84"/>
        <v>6205</v>
      </c>
      <c r="AK68" s="125">
        <f t="shared" si="84"/>
        <v>6387.5</v>
      </c>
      <c r="AL68" s="125">
        <f t="shared" si="84"/>
        <v>6570</v>
      </c>
      <c r="AM68" s="125">
        <f t="shared" si="84"/>
        <v>6752.5</v>
      </c>
      <c r="AN68" s="125">
        <f t="shared" si="84"/>
        <v>6935</v>
      </c>
      <c r="AO68" s="125">
        <f t="shared" si="84"/>
        <v>7117.5</v>
      </c>
      <c r="AP68" s="125">
        <f t="shared" si="84"/>
        <v>7300</v>
      </c>
      <c r="AQ68" s="125">
        <f t="shared" si="84"/>
        <v>7482.5</v>
      </c>
      <c r="AR68" s="125">
        <f t="shared" si="84"/>
        <v>7665</v>
      </c>
      <c r="AS68" s="125">
        <f t="shared" si="84"/>
        <v>7847.5</v>
      </c>
      <c r="AT68" s="125">
        <f t="shared" si="84"/>
        <v>8030</v>
      </c>
      <c r="AU68" s="125">
        <f t="shared" si="84"/>
        <v>8212.5</v>
      </c>
      <c r="AV68" s="125">
        <f t="shared" si="84"/>
        <v>8395</v>
      </c>
      <c r="AW68" s="125">
        <f t="shared" si="84"/>
        <v>8577.5</v>
      </c>
      <c r="AX68" s="125">
        <f t="shared" si="84"/>
        <v>8760</v>
      </c>
      <c r="AY68" s="125">
        <f t="shared" si="84"/>
        <v>8942.5</v>
      </c>
      <c r="AZ68" s="125">
        <f t="shared" si="84"/>
        <v>9125</v>
      </c>
      <c r="BA68" s="125">
        <f t="shared" si="84"/>
        <v>9307.5</v>
      </c>
      <c r="BB68" s="125">
        <f t="shared" si="84"/>
        <v>9490</v>
      </c>
      <c r="BC68" s="125">
        <f t="shared" si="84"/>
        <v>9672.5</v>
      </c>
      <c r="BD68" s="125">
        <f t="shared" si="84"/>
        <v>9855</v>
      </c>
      <c r="BE68" s="125">
        <f t="shared" si="84"/>
        <v>10037.5</v>
      </c>
      <c r="BF68" s="125">
        <f t="shared" si="84"/>
        <v>10220</v>
      </c>
      <c r="BG68" s="125">
        <f t="shared" si="84"/>
        <v>10402.5</v>
      </c>
      <c r="BH68" s="125">
        <f t="shared" si="84"/>
        <v>10585</v>
      </c>
      <c r="BI68" s="125">
        <f t="shared" si="84"/>
        <v>10767.5</v>
      </c>
      <c r="BJ68" s="125">
        <f t="shared" si="84"/>
        <v>10950</v>
      </c>
      <c r="BK68" s="125">
        <f t="shared" si="84"/>
        <v>11132.5</v>
      </c>
      <c r="BL68" s="125">
        <f t="shared" si="84"/>
        <v>11315</v>
      </c>
      <c r="BM68" s="125">
        <f t="shared" si="84"/>
        <v>11497.5</v>
      </c>
      <c r="BN68" s="125">
        <f t="shared" si="84"/>
        <v>11680</v>
      </c>
      <c r="BO68" s="125">
        <f t="shared" ref="BO68:CB68" si="85">BN68+IF($G21=1,365,182.5)</f>
        <v>11862.5</v>
      </c>
      <c r="BP68" s="125">
        <f t="shared" si="85"/>
        <v>12045</v>
      </c>
      <c r="BQ68" s="125">
        <f t="shared" si="85"/>
        <v>12227.5</v>
      </c>
      <c r="BR68" s="125">
        <f t="shared" si="85"/>
        <v>12410</v>
      </c>
      <c r="BS68" s="125">
        <f t="shared" si="85"/>
        <v>12592.5</v>
      </c>
      <c r="BT68" s="125">
        <f t="shared" si="85"/>
        <v>12775</v>
      </c>
      <c r="BU68" s="125">
        <f t="shared" si="85"/>
        <v>12957.5</v>
      </c>
      <c r="BV68" s="125">
        <f t="shared" si="85"/>
        <v>13140</v>
      </c>
      <c r="BW68" s="125">
        <f t="shared" si="85"/>
        <v>13322.5</v>
      </c>
      <c r="BX68" s="125">
        <f t="shared" si="85"/>
        <v>13505</v>
      </c>
      <c r="BY68" s="125">
        <f t="shared" si="85"/>
        <v>13687.5</v>
      </c>
      <c r="BZ68" s="125">
        <f t="shared" si="85"/>
        <v>13870</v>
      </c>
      <c r="CA68" s="125">
        <f t="shared" si="85"/>
        <v>14052.5</v>
      </c>
      <c r="CB68" s="126">
        <f t="shared" si="85"/>
        <v>14235</v>
      </c>
    </row>
    <row r="69" spans="1:115">
      <c r="A69" s="180" t="s">
        <v>37</v>
      </c>
      <c r="B69" s="127">
        <f>(IF(B68=F21,100,0)+IF(G21=1,1,0.5)*J21*100)*IF(ISBLANK(F21)=TRUE,0,1)</f>
        <v>0</v>
      </c>
      <c r="C69" s="128">
        <f>IF(C68&gt;$F21+1,0,1)*(IF(D69=0,100,0)+IF($G21=1,1,0.5)*$J21*100)</f>
        <v>0</v>
      </c>
      <c r="D69" s="128">
        <f t="shared" ref="D69:BO69" si="86">IF(D68&gt;$F21+1,0,1)*(IF(E69=0,100,0)+IF($G21=1,1,0.5)*$J21*100)</f>
        <v>0</v>
      </c>
      <c r="E69" s="128">
        <f t="shared" si="86"/>
        <v>0</v>
      </c>
      <c r="F69" s="128">
        <f t="shared" si="86"/>
        <v>0</v>
      </c>
      <c r="G69" s="128">
        <f t="shared" si="86"/>
        <v>0</v>
      </c>
      <c r="H69" s="128">
        <f t="shared" si="86"/>
        <v>0</v>
      </c>
      <c r="I69" s="128">
        <f t="shared" si="86"/>
        <v>0</v>
      </c>
      <c r="J69" s="128">
        <f t="shared" si="86"/>
        <v>0</v>
      </c>
      <c r="K69" s="128">
        <f t="shared" si="86"/>
        <v>0</v>
      </c>
      <c r="L69" s="128">
        <f t="shared" si="86"/>
        <v>0</v>
      </c>
      <c r="M69" s="128">
        <f t="shared" si="86"/>
        <v>0</v>
      </c>
      <c r="N69" s="128">
        <f t="shared" si="86"/>
        <v>0</v>
      </c>
      <c r="O69" s="128">
        <f t="shared" si="86"/>
        <v>0</v>
      </c>
      <c r="P69" s="128">
        <f t="shared" si="86"/>
        <v>0</v>
      </c>
      <c r="Q69" s="128">
        <f t="shared" si="86"/>
        <v>0</v>
      </c>
      <c r="R69" s="128">
        <f t="shared" si="86"/>
        <v>0</v>
      </c>
      <c r="S69" s="128">
        <f t="shared" si="86"/>
        <v>0</v>
      </c>
      <c r="T69" s="128">
        <f t="shared" si="86"/>
        <v>0</v>
      </c>
      <c r="U69" s="128">
        <f t="shared" si="86"/>
        <v>0</v>
      </c>
      <c r="V69" s="128">
        <f t="shared" si="86"/>
        <v>0</v>
      </c>
      <c r="W69" s="128">
        <f t="shared" si="86"/>
        <v>0</v>
      </c>
      <c r="X69" s="128">
        <f t="shared" si="86"/>
        <v>0</v>
      </c>
      <c r="Y69" s="128">
        <f t="shared" si="86"/>
        <v>0</v>
      </c>
      <c r="Z69" s="128">
        <f t="shared" si="86"/>
        <v>0</v>
      </c>
      <c r="AA69" s="128">
        <f t="shared" si="86"/>
        <v>0</v>
      </c>
      <c r="AB69" s="128">
        <f t="shared" si="86"/>
        <v>0</v>
      </c>
      <c r="AC69" s="128">
        <f t="shared" si="86"/>
        <v>0</v>
      </c>
      <c r="AD69" s="128">
        <f t="shared" si="86"/>
        <v>0</v>
      </c>
      <c r="AE69" s="128">
        <f t="shared" si="86"/>
        <v>0</v>
      </c>
      <c r="AF69" s="128">
        <f t="shared" si="86"/>
        <v>0</v>
      </c>
      <c r="AG69" s="128">
        <f t="shared" si="86"/>
        <v>0</v>
      </c>
      <c r="AH69" s="128">
        <f t="shared" si="86"/>
        <v>0</v>
      </c>
      <c r="AI69" s="128">
        <f t="shared" si="86"/>
        <v>0</v>
      </c>
      <c r="AJ69" s="128">
        <f t="shared" si="86"/>
        <v>0</v>
      </c>
      <c r="AK69" s="128">
        <f t="shared" si="86"/>
        <v>0</v>
      </c>
      <c r="AL69" s="128">
        <f t="shared" si="86"/>
        <v>0</v>
      </c>
      <c r="AM69" s="128">
        <f t="shared" si="86"/>
        <v>0</v>
      </c>
      <c r="AN69" s="128">
        <f t="shared" si="86"/>
        <v>0</v>
      </c>
      <c r="AO69" s="128">
        <f t="shared" si="86"/>
        <v>0</v>
      </c>
      <c r="AP69" s="128">
        <f t="shared" si="86"/>
        <v>0</v>
      </c>
      <c r="AQ69" s="128">
        <f t="shared" si="86"/>
        <v>0</v>
      </c>
      <c r="AR69" s="128">
        <f t="shared" si="86"/>
        <v>0</v>
      </c>
      <c r="AS69" s="128">
        <f t="shared" si="86"/>
        <v>0</v>
      </c>
      <c r="AT69" s="128">
        <f t="shared" si="86"/>
        <v>0</v>
      </c>
      <c r="AU69" s="128">
        <f t="shared" si="86"/>
        <v>0</v>
      </c>
      <c r="AV69" s="128">
        <f t="shared" si="86"/>
        <v>0</v>
      </c>
      <c r="AW69" s="128">
        <f t="shared" si="86"/>
        <v>0</v>
      </c>
      <c r="AX69" s="128">
        <f t="shared" si="86"/>
        <v>0</v>
      </c>
      <c r="AY69" s="128">
        <f t="shared" si="86"/>
        <v>0</v>
      </c>
      <c r="AZ69" s="128">
        <f t="shared" si="86"/>
        <v>0</v>
      </c>
      <c r="BA69" s="128">
        <f t="shared" si="86"/>
        <v>0</v>
      </c>
      <c r="BB69" s="128">
        <f t="shared" si="86"/>
        <v>0</v>
      </c>
      <c r="BC69" s="128">
        <f t="shared" si="86"/>
        <v>0</v>
      </c>
      <c r="BD69" s="128">
        <f t="shared" si="86"/>
        <v>0</v>
      </c>
      <c r="BE69" s="128">
        <f t="shared" si="86"/>
        <v>0</v>
      </c>
      <c r="BF69" s="128">
        <f t="shared" si="86"/>
        <v>0</v>
      </c>
      <c r="BG69" s="128">
        <f t="shared" si="86"/>
        <v>0</v>
      </c>
      <c r="BH69" s="128">
        <f t="shared" si="86"/>
        <v>0</v>
      </c>
      <c r="BI69" s="128">
        <f t="shared" si="86"/>
        <v>0</v>
      </c>
      <c r="BJ69" s="128">
        <f t="shared" si="86"/>
        <v>0</v>
      </c>
      <c r="BK69" s="128">
        <f t="shared" si="86"/>
        <v>0</v>
      </c>
      <c r="BL69" s="128">
        <f t="shared" si="86"/>
        <v>0</v>
      </c>
      <c r="BM69" s="128">
        <f t="shared" si="86"/>
        <v>0</v>
      </c>
      <c r="BN69" s="128">
        <f t="shared" si="86"/>
        <v>0</v>
      </c>
      <c r="BO69" s="128">
        <f t="shared" si="86"/>
        <v>0</v>
      </c>
      <c r="BP69" s="128">
        <f t="shared" ref="BP69:CB69" si="87">IF(BP68&gt;$F21+1,0,1)*(IF(BQ69=0,100,0)+IF($G21=1,1,0.5)*$J21*100)</f>
        <v>0</v>
      </c>
      <c r="BQ69" s="128">
        <f t="shared" si="87"/>
        <v>0</v>
      </c>
      <c r="BR69" s="128">
        <f t="shared" si="87"/>
        <v>0</v>
      </c>
      <c r="BS69" s="128">
        <f t="shared" si="87"/>
        <v>0</v>
      </c>
      <c r="BT69" s="128">
        <f t="shared" si="87"/>
        <v>0</v>
      </c>
      <c r="BU69" s="128">
        <f t="shared" si="87"/>
        <v>0</v>
      </c>
      <c r="BV69" s="128">
        <f t="shared" si="87"/>
        <v>0</v>
      </c>
      <c r="BW69" s="128">
        <f t="shared" si="87"/>
        <v>0</v>
      </c>
      <c r="BX69" s="128">
        <f t="shared" si="87"/>
        <v>0</v>
      </c>
      <c r="BY69" s="128">
        <f t="shared" si="87"/>
        <v>0</v>
      </c>
      <c r="BZ69" s="128">
        <f t="shared" si="87"/>
        <v>0</v>
      </c>
      <c r="CA69" s="128">
        <f t="shared" si="87"/>
        <v>0</v>
      </c>
      <c r="CB69" s="129">
        <f t="shared" si="87"/>
        <v>0</v>
      </c>
    </row>
    <row r="70" spans="1:115">
      <c r="A70" s="246" t="s">
        <v>49</v>
      </c>
      <c r="B70" s="94">
        <f>IF(E22=0,F22,E22)</f>
        <v>0</v>
      </c>
      <c r="C70" s="95">
        <f t="shared" ref="C70:BN70" si="88">B70+IF($G22=1,365,182.5)</f>
        <v>182.5</v>
      </c>
      <c r="D70" s="95">
        <f t="shared" si="88"/>
        <v>365</v>
      </c>
      <c r="E70" s="95">
        <f t="shared" si="88"/>
        <v>547.5</v>
      </c>
      <c r="F70" s="95">
        <f t="shared" si="88"/>
        <v>730</v>
      </c>
      <c r="G70" s="95">
        <f t="shared" si="88"/>
        <v>912.5</v>
      </c>
      <c r="H70" s="95">
        <f t="shared" si="88"/>
        <v>1095</v>
      </c>
      <c r="I70" s="95">
        <f t="shared" si="88"/>
        <v>1277.5</v>
      </c>
      <c r="J70" s="95">
        <f t="shared" si="88"/>
        <v>1460</v>
      </c>
      <c r="K70" s="95">
        <f t="shared" si="88"/>
        <v>1642.5</v>
      </c>
      <c r="L70" s="95">
        <f t="shared" si="88"/>
        <v>1825</v>
      </c>
      <c r="M70" s="95">
        <f t="shared" si="88"/>
        <v>2007.5</v>
      </c>
      <c r="N70" s="95">
        <f t="shared" si="88"/>
        <v>2190</v>
      </c>
      <c r="O70" s="95">
        <f t="shared" si="88"/>
        <v>2372.5</v>
      </c>
      <c r="P70" s="95">
        <f t="shared" si="88"/>
        <v>2555</v>
      </c>
      <c r="Q70" s="95">
        <f t="shared" si="88"/>
        <v>2737.5</v>
      </c>
      <c r="R70" s="95">
        <f t="shared" si="88"/>
        <v>2920</v>
      </c>
      <c r="S70" s="95">
        <f t="shared" si="88"/>
        <v>3102.5</v>
      </c>
      <c r="T70" s="95">
        <f t="shared" si="88"/>
        <v>3285</v>
      </c>
      <c r="U70" s="95">
        <f t="shared" si="88"/>
        <v>3467.5</v>
      </c>
      <c r="V70" s="95">
        <f t="shared" si="88"/>
        <v>3650</v>
      </c>
      <c r="W70" s="95">
        <f t="shared" si="88"/>
        <v>3832.5</v>
      </c>
      <c r="X70" s="95">
        <f t="shared" si="88"/>
        <v>4015</v>
      </c>
      <c r="Y70" s="95">
        <f t="shared" si="88"/>
        <v>4197.5</v>
      </c>
      <c r="Z70" s="95">
        <f t="shared" si="88"/>
        <v>4380</v>
      </c>
      <c r="AA70" s="95">
        <f t="shared" si="88"/>
        <v>4562.5</v>
      </c>
      <c r="AB70" s="95">
        <f t="shared" si="88"/>
        <v>4745</v>
      </c>
      <c r="AC70" s="95">
        <f t="shared" si="88"/>
        <v>4927.5</v>
      </c>
      <c r="AD70" s="95">
        <f t="shared" si="88"/>
        <v>5110</v>
      </c>
      <c r="AE70" s="95">
        <f t="shared" si="88"/>
        <v>5292.5</v>
      </c>
      <c r="AF70" s="95">
        <f t="shared" si="88"/>
        <v>5475</v>
      </c>
      <c r="AG70" s="95">
        <f t="shared" si="88"/>
        <v>5657.5</v>
      </c>
      <c r="AH70" s="95">
        <f t="shared" si="88"/>
        <v>5840</v>
      </c>
      <c r="AI70" s="95">
        <f t="shared" si="88"/>
        <v>6022.5</v>
      </c>
      <c r="AJ70" s="95">
        <f t="shared" si="88"/>
        <v>6205</v>
      </c>
      <c r="AK70" s="95">
        <f t="shared" si="88"/>
        <v>6387.5</v>
      </c>
      <c r="AL70" s="95">
        <f t="shared" si="88"/>
        <v>6570</v>
      </c>
      <c r="AM70" s="95">
        <f t="shared" si="88"/>
        <v>6752.5</v>
      </c>
      <c r="AN70" s="95">
        <f t="shared" si="88"/>
        <v>6935</v>
      </c>
      <c r="AO70" s="95">
        <f t="shared" si="88"/>
        <v>7117.5</v>
      </c>
      <c r="AP70" s="95">
        <f t="shared" si="88"/>
        <v>7300</v>
      </c>
      <c r="AQ70" s="95">
        <f t="shared" si="88"/>
        <v>7482.5</v>
      </c>
      <c r="AR70" s="95">
        <f t="shared" si="88"/>
        <v>7665</v>
      </c>
      <c r="AS70" s="95">
        <f t="shared" si="88"/>
        <v>7847.5</v>
      </c>
      <c r="AT70" s="95">
        <f t="shared" si="88"/>
        <v>8030</v>
      </c>
      <c r="AU70" s="95">
        <f t="shared" si="88"/>
        <v>8212.5</v>
      </c>
      <c r="AV70" s="95">
        <f t="shared" si="88"/>
        <v>8395</v>
      </c>
      <c r="AW70" s="95">
        <f t="shared" si="88"/>
        <v>8577.5</v>
      </c>
      <c r="AX70" s="95">
        <f t="shared" si="88"/>
        <v>8760</v>
      </c>
      <c r="AY70" s="95">
        <f t="shared" si="88"/>
        <v>8942.5</v>
      </c>
      <c r="AZ70" s="95">
        <f t="shared" si="88"/>
        <v>9125</v>
      </c>
      <c r="BA70" s="95">
        <f t="shared" si="88"/>
        <v>9307.5</v>
      </c>
      <c r="BB70" s="95">
        <f t="shared" si="88"/>
        <v>9490</v>
      </c>
      <c r="BC70" s="95">
        <f t="shared" si="88"/>
        <v>9672.5</v>
      </c>
      <c r="BD70" s="95">
        <f t="shared" si="88"/>
        <v>9855</v>
      </c>
      <c r="BE70" s="95">
        <f t="shared" si="88"/>
        <v>10037.5</v>
      </c>
      <c r="BF70" s="95">
        <f t="shared" si="88"/>
        <v>10220</v>
      </c>
      <c r="BG70" s="95">
        <f t="shared" si="88"/>
        <v>10402.5</v>
      </c>
      <c r="BH70" s="95">
        <f t="shared" si="88"/>
        <v>10585</v>
      </c>
      <c r="BI70" s="95">
        <f t="shared" si="88"/>
        <v>10767.5</v>
      </c>
      <c r="BJ70" s="95">
        <f t="shared" si="88"/>
        <v>10950</v>
      </c>
      <c r="BK70" s="95">
        <f t="shared" si="88"/>
        <v>11132.5</v>
      </c>
      <c r="BL70" s="95">
        <f t="shared" si="88"/>
        <v>11315</v>
      </c>
      <c r="BM70" s="95">
        <f t="shared" si="88"/>
        <v>11497.5</v>
      </c>
      <c r="BN70" s="95">
        <f t="shared" si="88"/>
        <v>11680</v>
      </c>
      <c r="BO70" s="95">
        <f t="shared" ref="BO70:CB70" si="89">BN70+IF($G22=1,365,182.5)</f>
        <v>11862.5</v>
      </c>
      <c r="BP70" s="95">
        <f t="shared" si="89"/>
        <v>12045</v>
      </c>
      <c r="BQ70" s="95">
        <f t="shared" si="89"/>
        <v>12227.5</v>
      </c>
      <c r="BR70" s="95">
        <f t="shared" si="89"/>
        <v>12410</v>
      </c>
      <c r="BS70" s="95">
        <f t="shared" si="89"/>
        <v>12592.5</v>
      </c>
      <c r="BT70" s="95">
        <f t="shared" si="89"/>
        <v>12775</v>
      </c>
      <c r="BU70" s="95">
        <f t="shared" si="89"/>
        <v>12957.5</v>
      </c>
      <c r="BV70" s="95">
        <f t="shared" si="89"/>
        <v>13140</v>
      </c>
      <c r="BW70" s="95">
        <f t="shared" si="89"/>
        <v>13322.5</v>
      </c>
      <c r="BX70" s="95">
        <f t="shared" si="89"/>
        <v>13505</v>
      </c>
      <c r="BY70" s="95">
        <f t="shared" si="89"/>
        <v>13687.5</v>
      </c>
      <c r="BZ70" s="95">
        <f t="shared" si="89"/>
        <v>13870</v>
      </c>
      <c r="CA70" s="95">
        <f t="shared" si="89"/>
        <v>14052.5</v>
      </c>
      <c r="CB70" s="96">
        <f t="shared" si="89"/>
        <v>14235</v>
      </c>
    </row>
    <row r="71" spans="1:115">
      <c r="A71" s="181" t="s">
        <v>38</v>
      </c>
      <c r="B71" s="116">
        <f>(IF(B70=F22,100,0)+IF(G22=1,1,0.5)*J22*100)*IF(ISBLANK(F22)=TRUE,0,1)</f>
        <v>0</v>
      </c>
      <c r="C71" s="97">
        <f>IF(C70&gt;$F22+1,0,1)*(  IF(D71=0,100,0)+IF($G22=1,1,0.5)*$J22*100)</f>
        <v>0</v>
      </c>
      <c r="D71" s="97">
        <f t="shared" ref="D71:BO71" si="90">IF(D70&gt;$F22+1,0,1)*(  IF(E71=0,100,0)+IF($G22=1,1,0.5)*$J22*100)</f>
        <v>0</v>
      </c>
      <c r="E71" s="97">
        <f t="shared" si="90"/>
        <v>0</v>
      </c>
      <c r="F71" s="97">
        <f t="shared" si="90"/>
        <v>0</v>
      </c>
      <c r="G71" s="97">
        <f t="shared" si="90"/>
        <v>0</v>
      </c>
      <c r="H71" s="97">
        <f t="shared" si="90"/>
        <v>0</v>
      </c>
      <c r="I71" s="97">
        <f t="shared" si="90"/>
        <v>0</v>
      </c>
      <c r="J71" s="97">
        <f t="shared" si="90"/>
        <v>0</v>
      </c>
      <c r="K71" s="97">
        <f t="shared" si="90"/>
        <v>0</v>
      </c>
      <c r="L71" s="97">
        <f t="shared" si="90"/>
        <v>0</v>
      </c>
      <c r="M71" s="97">
        <f t="shared" si="90"/>
        <v>0</v>
      </c>
      <c r="N71" s="97">
        <f t="shared" si="90"/>
        <v>0</v>
      </c>
      <c r="O71" s="97">
        <f t="shared" si="90"/>
        <v>0</v>
      </c>
      <c r="P71" s="97">
        <f t="shared" si="90"/>
        <v>0</v>
      </c>
      <c r="Q71" s="97">
        <f t="shared" si="90"/>
        <v>0</v>
      </c>
      <c r="R71" s="97">
        <f t="shared" si="90"/>
        <v>0</v>
      </c>
      <c r="S71" s="97">
        <f t="shared" si="90"/>
        <v>0</v>
      </c>
      <c r="T71" s="97">
        <f t="shared" si="90"/>
        <v>0</v>
      </c>
      <c r="U71" s="97">
        <f t="shared" si="90"/>
        <v>0</v>
      </c>
      <c r="V71" s="97">
        <f t="shared" si="90"/>
        <v>0</v>
      </c>
      <c r="W71" s="97">
        <f t="shared" si="90"/>
        <v>0</v>
      </c>
      <c r="X71" s="97">
        <f t="shared" si="90"/>
        <v>0</v>
      </c>
      <c r="Y71" s="97">
        <f t="shared" si="90"/>
        <v>0</v>
      </c>
      <c r="Z71" s="97">
        <f t="shared" si="90"/>
        <v>0</v>
      </c>
      <c r="AA71" s="97">
        <f t="shared" si="90"/>
        <v>0</v>
      </c>
      <c r="AB71" s="97">
        <f t="shared" si="90"/>
        <v>0</v>
      </c>
      <c r="AC71" s="97">
        <f t="shared" si="90"/>
        <v>0</v>
      </c>
      <c r="AD71" s="97">
        <f t="shared" si="90"/>
        <v>0</v>
      </c>
      <c r="AE71" s="97">
        <f t="shared" si="90"/>
        <v>0</v>
      </c>
      <c r="AF71" s="97">
        <f t="shared" si="90"/>
        <v>0</v>
      </c>
      <c r="AG71" s="97">
        <f t="shared" si="90"/>
        <v>0</v>
      </c>
      <c r="AH71" s="97">
        <f t="shared" si="90"/>
        <v>0</v>
      </c>
      <c r="AI71" s="97">
        <f t="shared" si="90"/>
        <v>0</v>
      </c>
      <c r="AJ71" s="97">
        <f t="shared" si="90"/>
        <v>0</v>
      </c>
      <c r="AK71" s="97">
        <f t="shared" si="90"/>
        <v>0</v>
      </c>
      <c r="AL71" s="97">
        <f t="shared" si="90"/>
        <v>0</v>
      </c>
      <c r="AM71" s="97">
        <f t="shared" si="90"/>
        <v>0</v>
      </c>
      <c r="AN71" s="97">
        <f t="shared" si="90"/>
        <v>0</v>
      </c>
      <c r="AO71" s="97">
        <f t="shared" si="90"/>
        <v>0</v>
      </c>
      <c r="AP71" s="97">
        <f t="shared" si="90"/>
        <v>0</v>
      </c>
      <c r="AQ71" s="97">
        <f t="shared" si="90"/>
        <v>0</v>
      </c>
      <c r="AR71" s="97">
        <f t="shared" si="90"/>
        <v>0</v>
      </c>
      <c r="AS71" s="97">
        <f t="shared" si="90"/>
        <v>0</v>
      </c>
      <c r="AT71" s="97">
        <f t="shared" si="90"/>
        <v>0</v>
      </c>
      <c r="AU71" s="97">
        <f t="shared" si="90"/>
        <v>0</v>
      </c>
      <c r="AV71" s="97">
        <f t="shared" si="90"/>
        <v>0</v>
      </c>
      <c r="AW71" s="97">
        <f t="shared" si="90"/>
        <v>0</v>
      </c>
      <c r="AX71" s="97">
        <f t="shared" si="90"/>
        <v>0</v>
      </c>
      <c r="AY71" s="97">
        <f t="shared" si="90"/>
        <v>0</v>
      </c>
      <c r="AZ71" s="97">
        <f t="shared" si="90"/>
        <v>0</v>
      </c>
      <c r="BA71" s="97">
        <f t="shared" si="90"/>
        <v>0</v>
      </c>
      <c r="BB71" s="97">
        <f t="shared" si="90"/>
        <v>0</v>
      </c>
      <c r="BC71" s="97">
        <f t="shared" si="90"/>
        <v>0</v>
      </c>
      <c r="BD71" s="97">
        <f t="shared" si="90"/>
        <v>0</v>
      </c>
      <c r="BE71" s="97">
        <f t="shared" si="90"/>
        <v>0</v>
      </c>
      <c r="BF71" s="97">
        <f t="shared" si="90"/>
        <v>0</v>
      </c>
      <c r="BG71" s="97">
        <f t="shared" si="90"/>
        <v>0</v>
      </c>
      <c r="BH71" s="97">
        <f t="shared" si="90"/>
        <v>0</v>
      </c>
      <c r="BI71" s="97">
        <f t="shared" si="90"/>
        <v>0</v>
      </c>
      <c r="BJ71" s="97">
        <f t="shared" si="90"/>
        <v>0</v>
      </c>
      <c r="BK71" s="97">
        <f t="shared" si="90"/>
        <v>0</v>
      </c>
      <c r="BL71" s="97">
        <f t="shared" si="90"/>
        <v>0</v>
      </c>
      <c r="BM71" s="97">
        <f t="shared" si="90"/>
        <v>0</v>
      </c>
      <c r="BN71" s="97">
        <f t="shared" si="90"/>
        <v>0</v>
      </c>
      <c r="BO71" s="97">
        <f t="shared" si="90"/>
        <v>0</v>
      </c>
      <c r="BP71" s="97">
        <f t="shared" ref="BP71:CB71" si="91">IF(BP70&gt;$F22+1,0,1)*(  IF(BQ71=0,100,0)+IF($G22=1,1,0.5)*$J22*100)</f>
        <v>0</v>
      </c>
      <c r="BQ71" s="97">
        <f t="shared" si="91"/>
        <v>0</v>
      </c>
      <c r="BR71" s="97">
        <f t="shared" si="91"/>
        <v>0</v>
      </c>
      <c r="BS71" s="97">
        <f t="shared" si="91"/>
        <v>0</v>
      </c>
      <c r="BT71" s="97">
        <f t="shared" si="91"/>
        <v>0</v>
      </c>
      <c r="BU71" s="97">
        <f t="shared" si="91"/>
        <v>0</v>
      </c>
      <c r="BV71" s="97">
        <f t="shared" si="91"/>
        <v>0</v>
      </c>
      <c r="BW71" s="97">
        <f t="shared" si="91"/>
        <v>0</v>
      </c>
      <c r="BX71" s="97">
        <f t="shared" si="91"/>
        <v>0</v>
      </c>
      <c r="BY71" s="97">
        <f t="shared" si="91"/>
        <v>0</v>
      </c>
      <c r="BZ71" s="97">
        <f t="shared" si="91"/>
        <v>0</v>
      </c>
      <c r="CA71" s="97">
        <f t="shared" si="91"/>
        <v>0</v>
      </c>
      <c r="CB71" s="98">
        <f t="shared" si="91"/>
        <v>0</v>
      </c>
    </row>
    <row r="72" spans="1:115">
      <c r="A72" s="245" t="s">
        <v>49</v>
      </c>
      <c r="B72" s="99">
        <f>IF(E23=0,F23,E23)</f>
        <v>0</v>
      </c>
      <c r="C72" s="100">
        <f t="shared" ref="C72:BN72" si="92">B72+IF($G23=1,365,182.5)</f>
        <v>182.5</v>
      </c>
      <c r="D72" s="100">
        <f t="shared" si="92"/>
        <v>365</v>
      </c>
      <c r="E72" s="100">
        <f t="shared" si="92"/>
        <v>547.5</v>
      </c>
      <c r="F72" s="100">
        <f t="shared" si="92"/>
        <v>730</v>
      </c>
      <c r="G72" s="100">
        <f t="shared" si="92"/>
        <v>912.5</v>
      </c>
      <c r="H72" s="100">
        <f t="shared" si="92"/>
        <v>1095</v>
      </c>
      <c r="I72" s="100">
        <f t="shared" si="92"/>
        <v>1277.5</v>
      </c>
      <c r="J72" s="100">
        <f t="shared" si="92"/>
        <v>1460</v>
      </c>
      <c r="K72" s="100">
        <f t="shared" si="92"/>
        <v>1642.5</v>
      </c>
      <c r="L72" s="100">
        <f t="shared" si="92"/>
        <v>1825</v>
      </c>
      <c r="M72" s="100">
        <f t="shared" si="92"/>
        <v>2007.5</v>
      </c>
      <c r="N72" s="100">
        <f t="shared" si="92"/>
        <v>2190</v>
      </c>
      <c r="O72" s="100">
        <f t="shared" si="92"/>
        <v>2372.5</v>
      </c>
      <c r="P72" s="100">
        <f t="shared" si="92"/>
        <v>2555</v>
      </c>
      <c r="Q72" s="100">
        <f t="shared" si="92"/>
        <v>2737.5</v>
      </c>
      <c r="R72" s="100">
        <f t="shared" si="92"/>
        <v>2920</v>
      </c>
      <c r="S72" s="100">
        <f t="shared" si="92"/>
        <v>3102.5</v>
      </c>
      <c r="T72" s="100">
        <f t="shared" si="92"/>
        <v>3285</v>
      </c>
      <c r="U72" s="100">
        <f t="shared" si="92"/>
        <v>3467.5</v>
      </c>
      <c r="V72" s="100">
        <f t="shared" si="92"/>
        <v>3650</v>
      </c>
      <c r="W72" s="100">
        <f t="shared" si="92"/>
        <v>3832.5</v>
      </c>
      <c r="X72" s="100">
        <f t="shared" si="92"/>
        <v>4015</v>
      </c>
      <c r="Y72" s="100">
        <f t="shared" si="92"/>
        <v>4197.5</v>
      </c>
      <c r="Z72" s="100">
        <f t="shared" si="92"/>
        <v>4380</v>
      </c>
      <c r="AA72" s="100">
        <f t="shared" si="92"/>
        <v>4562.5</v>
      </c>
      <c r="AB72" s="100">
        <f t="shared" si="92"/>
        <v>4745</v>
      </c>
      <c r="AC72" s="100">
        <f t="shared" si="92"/>
        <v>4927.5</v>
      </c>
      <c r="AD72" s="100">
        <f t="shared" si="92"/>
        <v>5110</v>
      </c>
      <c r="AE72" s="100">
        <f t="shared" si="92"/>
        <v>5292.5</v>
      </c>
      <c r="AF72" s="100">
        <f t="shared" si="92"/>
        <v>5475</v>
      </c>
      <c r="AG72" s="100">
        <f t="shared" si="92"/>
        <v>5657.5</v>
      </c>
      <c r="AH72" s="100">
        <f t="shared" si="92"/>
        <v>5840</v>
      </c>
      <c r="AI72" s="100">
        <f t="shared" si="92"/>
        <v>6022.5</v>
      </c>
      <c r="AJ72" s="100">
        <f t="shared" si="92"/>
        <v>6205</v>
      </c>
      <c r="AK72" s="100">
        <f t="shared" si="92"/>
        <v>6387.5</v>
      </c>
      <c r="AL72" s="100">
        <f t="shared" si="92"/>
        <v>6570</v>
      </c>
      <c r="AM72" s="100">
        <f t="shared" si="92"/>
        <v>6752.5</v>
      </c>
      <c r="AN72" s="100">
        <f t="shared" si="92"/>
        <v>6935</v>
      </c>
      <c r="AO72" s="100">
        <f t="shared" si="92"/>
        <v>7117.5</v>
      </c>
      <c r="AP72" s="100">
        <f t="shared" si="92"/>
        <v>7300</v>
      </c>
      <c r="AQ72" s="100">
        <f t="shared" si="92"/>
        <v>7482.5</v>
      </c>
      <c r="AR72" s="100">
        <f t="shared" si="92"/>
        <v>7665</v>
      </c>
      <c r="AS72" s="100">
        <f t="shared" si="92"/>
        <v>7847.5</v>
      </c>
      <c r="AT72" s="100">
        <f t="shared" si="92"/>
        <v>8030</v>
      </c>
      <c r="AU72" s="100">
        <f t="shared" si="92"/>
        <v>8212.5</v>
      </c>
      <c r="AV72" s="100">
        <f t="shared" si="92"/>
        <v>8395</v>
      </c>
      <c r="AW72" s="100">
        <f t="shared" si="92"/>
        <v>8577.5</v>
      </c>
      <c r="AX72" s="100">
        <f t="shared" si="92"/>
        <v>8760</v>
      </c>
      <c r="AY72" s="100">
        <f t="shared" si="92"/>
        <v>8942.5</v>
      </c>
      <c r="AZ72" s="100">
        <f t="shared" si="92"/>
        <v>9125</v>
      </c>
      <c r="BA72" s="100">
        <f t="shared" si="92"/>
        <v>9307.5</v>
      </c>
      <c r="BB72" s="100">
        <f t="shared" si="92"/>
        <v>9490</v>
      </c>
      <c r="BC72" s="100">
        <f t="shared" si="92"/>
        <v>9672.5</v>
      </c>
      <c r="BD72" s="100">
        <f t="shared" si="92"/>
        <v>9855</v>
      </c>
      <c r="BE72" s="100">
        <f t="shared" si="92"/>
        <v>10037.5</v>
      </c>
      <c r="BF72" s="100">
        <f t="shared" si="92"/>
        <v>10220</v>
      </c>
      <c r="BG72" s="100">
        <f t="shared" si="92"/>
        <v>10402.5</v>
      </c>
      <c r="BH72" s="100">
        <f t="shared" si="92"/>
        <v>10585</v>
      </c>
      <c r="BI72" s="100">
        <f t="shared" si="92"/>
        <v>10767.5</v>
      </c>
      <c r="BJ72" s="100">
        <f t="shared" si="92"/>
        <v>10950</v>
      </c>
      <c r="BK72" s="100">
        <f t="shared" si="92"/>
        <v>11132.5</v>
      </c>
      <c r="BL72" s="100">
        <f t="shared" si="92"/>
        <v>11315</v>
      </c>
      <c r="BM72" s="100">
        <f t="shared" si="92"/>
        <v>11497.5</v>
      </c>
      <c r="BN72" s="100">
        <f t="shared" si="92"/>
        <v>11680</v>
      </c>
      <c r="BO72" s="100">
        <f t="shared" ref="BO72:CB72" si="93">BN72+IF($G23=1,365,182.5)</f>
        <v>11862.5</v>
      </c>
      <c r="BP72" s="100">
        <f t="shared" si="93"/>
        <v>12045</v>
      </c>
      <c r="BQ72" s="100">
        <f t="shared" si="93"/>
        <v>12227.5</v>
      </c>
      <c r="BR72" s="100">
        <f t="shared" si="93"/>
        <v>12410</v>
      </c>
      <c r="BS72" s="100">
        <f t="shared" si="93"/>
        <v>12592.5</v>
      </c>
      <c r="BT72" s="100">
        <f t="shared" si="93"/>
        <v>12775</v>
      </c>
      <c r="BU72" s="100">
        <f t="shared" si="93"/>
        <v>12957.5</v>
      </c>
      <c r="BV72" s="100">
        <f t="shared" si="93"/>
        <v>13140</v>
      </c>
      <c r="BW72" s="100">
        <f t="shared" si="93"/>
        <v>13322.5</v>
      </c>
      <c r="BX72" s="100">
        <f t="shared" si="93"/>
        <v>13505</v>
      </c>
      <c r="BY72" s="100">
        <f t="shared" si="93"/>
        <v>13687.5</v>
      </c>
      <c r="BZ72" s="100">
        <f t="shared" si="93"/>
        <v>13870</v>
      </c>
      <c r="CA72" s="100">
        <f t="shared" si="93"/>
        <v>14052.5</v>
      </c>
      <c r="CB72" s="101">
        <f t="shared" si="93"/>
        <v>14235</v>
      </c>
    </row>
    <row r="73" spans="1:115">
      <c r="A73" s="182" t="s">
        <v>39</v>
      </c>
      <c r="B73" s="117">
        <f>(IF(B72=F23,100,0)+IF(G23=1,1,0.5)*J23*100)*IF(ISBLANK(F23)=TRUE,0,1)</f>
        <v>0</v>
      </c>
      <c r="C73" s="102">
        <f>IF(C72&gt;$F23+1,0,1)*(IF(D73=0,100,0)+IF($G23=1,1,0.5)*$J23*100)</f>
        <v>0</v>
      </c>
      <c r="D73" s="102">
        <f t="shared" ref="D73:BO73" si="94">IF(D72&gt;$F23+1,0,1)*(IF(E73=0,100,0)+IF($G23=1,1,0.5)*$J23*100)</f>
        <v>0</v>
      </c>
      <c r="E73" s="102">
        <f t="shared" si="94"/>
        <v>0</v>
      </c>
      <c r="F73" s="102">
        <f t="shared" si="94"/>
        <v>0</v>
      </c>
      <c r="G73" s="102">
        <f t="shared" si="94"/>
        <v>0</v>
      </c>
      <c r="H73" s="102">
        <f t="shared" si="94"/>
        <v>0</v>
      </c>
      <c r="I73" s="102">
        <f t="shared" si="94"/>
        <v>0</v>
      </c>
      <c r="J73" s="102">
        <f t="shared" si="94"/>
        <v>0</v>
      </c>
      <c r="K73" s="102">
        <f t="shared" si="94"/>
        <v>0</v>
      </c>
      <c r="L73" s="102">
        <f t="shared" si="94"/>
        <v>0</v>
      </c>
      <c r="M73" s="102">
        <f t="shared" si="94"/>
        <v>0</v>
      </c>
      <c r="N73" s="102">
        <f t="shared" si="94"/>
        <v>0</v>
      </c>
      <c r="O73" s="102">
        <f t="shared" si="94"/>
        <v>0</v>
      </c>
      <c r="P73" s="102">
        <f t="shared" si="94"/>
        <v>0</v>
      </c>
      <c r="Q73" s="102">
        <f t="shared" si="94"/>
        <v>0</v>
      </c>
      <c r="R73" s="102">
        <f t="shared" si="94"/>
        <v>0</v>
      </c>
      <c r="S73" s="102">
        <f t="shared" si="94"/>
        <v>0</v>
      </c>
      <c r="T73" s="102">
        <f t="shared" si="94"/>
        <v>0</v>
      </c>
      <c r="U73" s="102">
        <f t="shared" si="94"/>
        <v>0</v>
      </c>
      <c r="V73" s="102">
        <f t="shared" si="94"/>
        <v>0</v>
      </c>
      <c r="W73" s="102">
        <f t="shared" si="94"/>
        <v>0</v>
      </c>
      <c r="X73" s="102">
        <f t="shared" si="94"/>
        <v>0</v>
      </c>
      <c r="Y73" s="102">
        <f t="shared" si="94"/>
        <v>0</v>
      </c>
      <c r="Z73" s="102">
        <f t="shared" si="94"/>
        <v>0</v>
      </c>
      <c r="AA73" s="102">
        <f t="shared" si="94"/>
        <v>0</v>
      </c>
      <c r="AB73" s="102">
        <f t="shared" si="94"/>
        <v>0</v>
      </c>
      <c r="AC73" s="102">
        <f t="shared" si="94"/>
        <v>0</v>
      </c>
      <c r="AD73" s="102">
        <f t="shared" si="94"/>
        <v>0</v>
      </c>
      <c r="AE73" s="102">
        <f t="shared" si="94"/>
        <v>0</v>
      </c>
      <c r="AF73" s="102">
        <f t="shared" si="94"/>
        <v>0</v>
      </c>
      <c r="AG73" s="102">
        <f t="shared" si="94"/>
        <v>0</v>
      </c>
      <c r="AH73" s="102">
        <f t="shared" si="94"/>
        <v>0</v>
      </c>
      <c r="AI73" s="102">
        <f t="shared" si="94"/>
        <v>0</v>
      </c>
      <c r="AJ73" s="102">
        <f t="shared" si="94"/>
        <v>0</v>
      </c>
      <c r="AK73" s="102">
        <f t="shared" si="94"/>
        <v>0</v>
      </c>
      <c r="AL73" s="102">
        <f t="shared" si="94"/>
        <v>0</v>
      </c>
      <c r="AM73" s="102">
        <f t="shared" si="94"/>
        <v>0</v>
      </c>
      <c r="AN73" s="102">
        <f t="shared" si="94"/>
        <v>0</v>
      </c>
      <c r="AO73" s="102">
        <f t="shared" si="94"/>
        <v>0</v>
      </c>
      <c r="AP73" s="102">
        <f t="shared" si="94"/>
        <v>0</v>
      </c>
      <c r="AQ73" s="102">
        <f t="shared" si="94"/>
        <v>0</v>
      </c>
      <c r="AR73" s="102">
        <f t="shared" si="94"/>
        <v>0</v>
      </c>
      <c r="AS73" s="102">
        <f t="shared" si="94"/>
        <v>0</v>
      </c>
      <c r="AT73" s="102">
        <f t="shared" si="94"/>
        <v>0</v>
      </c>
      <c r="AU73" s="102">
        <f t="shared" si="94"/>
        <v>0</v>
      </c>
      <c r="AV73" s="102">
        <f t="shared" si="94"/>
        <v>0</v>
      </c>
      <c r="AW73" s="102">
        <f t="shared" si="94"/>
        <v>0</v>
      </c>
      <c r="AX73" s="102">
        <f t="shared" si="94"/>
        <v>0</v>
      </c>
      <c r="AY73" s="102">
        <f t="shared" si="94"/>
        <v>0</v>
      </c>
      <c r="AZ73" s="102">
        <f t="shared" si="94"/>
        <v>0</v>
      </c>
      <c r="BA73" s="102">
        <f t="shared" si="94"/>
        <v>0</v>
      </c>
      <c r="BB73" s="102">
        <f t="shared" si="94"/>
        <v>0</v>
      </c>
      <c r="BC73" s="102">
        <f t="shared" si="94"/>
        <v>0</v>
      </c>
      <c r="BD73" s="102">
        <f t="shared" si="94"/>
        <v>0</v>
      </c>
      <c r="BE73" s="102">
        <f t="shared" si="94"/>
        <v>0</v>
      </c>
      <c r="BF73" s="102">
        <f t="shared" si="94"/>
        <v>0</v>
      </c>
      <c r="BG73" s="102">
        <f t="shared" si="94"/>
        <v>0</v>
      </c>
      <c r="BH73" s="102">
        <f t="shared" si="94"/>
        <v>0</v>
      </c>
      <c r="BI73" s="102">
        <f t="shared" si="94"/>
        <v>0</v>
      </c>
      <c r="BJ73" s="102">
        <f t="shared" si="94"/>
        <v>0</v>
      </c>
      <c r="BK73" s="102">
        <f t="shared" si="94"/>
        <v>0</v>
      </c>
      <c r="BL73" s="102">
        <f t="shared" si="94"/>
        <v>0</v>
      </c>
      <c r="BM73" s="102">
        <f t="shared" si="94"/>
        <v>0</v>
      </c>
      <c r="BN73" s="102">
        <f t="shared" si="94"/>
        <v>0</v>
      </c>
      <c r="BO73" s="102">
        <f t="shared" si="94"/>
        <v>0</v>
      </c>
      <c r="BP73" s="102">
        <f t="shared" ref="BP73:CB73" si="95">IF(BP72&gt;$F23+1,0,1)*(IF(BQ73=0,100,0)+IF($G23=1,1,0.5)*$J23*100)</f>
        <v>0</v>
      </c>
      <c r="BQ73" s="102">
        <f t="shared" si="95"/>
        <v>0</v>
      </c>
      <c r="BR73" s="102">
        <f t="shared" si="95"/>
        <v>0</v>
      </c>
      <c r="BS73" s="102">
        <f t="shared" si="95"/>
        <v>0</v>
      </c>
      <c r="BT73" s="102">
        <f t="shared" si="95"/>
        <v>0</v>
      </c>
      <c r="BU73" s="102">
        <f t="shared" si="95"/>
        <v>0</v>
      </c>
      <c r="BV73" s="102">
        <f t="shared" si="95"/>
        <v>0</v>
      </c>
      <c r="BW73" s="102">
        <f t="shared" si="95"/>
        <v>0</v>
      </c>
      <c r="BX73" s="102">
        <f t="shared" si="95"/>
        <v>0</v>
      </c>
      <c r="BY73" s="102">
        <f t="shared" si="95"/>
        <v>0</v>
      </c>
      <c r="BZ73" s="102">
        <f t="shared" si="95"/>
        <v>0</v>
      </c>
      <c r="CA73" s="102">
        <f t="shared" si="95"/>
        <v>0</v>
      </c>
      <c r="CB73" s="103">
        <f t="shared" si="95"/>
        <v>0</v>
      </c>
      <c r="CF73" s="9"/>
      <c r="CG73" s="9"/>
      <c r="CH73" s="9"/>
      <c r="CI73" s="9"/>
      <c r="CJ73" s="9"/>
      <c r="CK73" s="9"/>
      <c r="CL73" s="9"/>
      <c r="CM73" s="9"/>
      <c r="CN73" s="9"/>
      <c r="CO73" s="9"/>
      <c r="CP73" s="9"/>
      <c r="CQ73" s="9"/>
      <c r="CR73" s="9"/>
      <c r="CS73" s="9"/>
      <c r="CT73" s="9"/>
      <c r="CU73" s="9"/>
      <c r="CV73" s="9"/>
      <c r="CW73" s="9"/>
      <c r="CX73" s="9"/>
      <c r="CY73" s="9"/>
      <c r="CZ73" s="9"/>
      <c r="DA73" s="9"/>
      <c r="DB73" s="9"/>
      <c r="DC73" s="9"/>
      <c r="DD73" s="9"/>
      <c r="DE73" s="9"/>
      <c r="DF73" s="9"/>
      <c r="DG73" s="9"/>
      <c r="DH73" s="9"/>
      <c r="DI73" s="9"/>
      <c r="DJ73" s="9"/>
      <c r="DK73" s="9"/>
    </row>
    <row r="74" spans="1:115">
      <c r="A74" s="244" t="s">
        <v>49</v>
      </c>
      <c r="B74" s="216">
        <f>IF(E24=0,F24,E24)</f>
        <v>0</v>
      </c>
      <c r="C74" s="188">
        <f>B74+IF($G24=1,365,182.5)</f>
        <v>182.5</v>
      </c>
      <c r="D74" s="188">
        <f>C74+IF($G24=1,365,182.5)</f>
        <v>365</v>
      </c>
      <c r="E74" s="188">
        <f t="shared" ref="E74:BP74" si="96">D74+IF($G24=1,365,182.5)</f>
        <v>547.5</v>
      </c>
      <c r="F74" s="188">
        <f t="shared" si="96"/>
        <v>730</v>
      </c>
      <c r="G74" s="188">
        <f t="shared" si="96"/>
        <v>912.5</v>
      </c>
      <c r="H74" s="188">
        <f t="shared" si="96"/>
        <v>1095</v>
      </c>
      <c r="I74" s="188">
        <f t="shared" si="96"/>
        <v>1277.5</v>
      </c>
      <c r="J74" s="188">
        <f t="shared" si="96"/>
        <v>1460</v>
      </c>
      <c r="K74" s="188">
        <f t="shared" si="96"/>
        <v>1642.5</v>
      </c>
      <c r="L74" s="188">
        <f t="shared" si="96"/>
        <v>1825</v>
      </c>
      <c r="M74" s="188">
        <f t="shared" si="96"/>
        <v>2007.5</v>
      </c>
      <c r="N74" s="188">
        <f t="shared" si="96"/>
        <v>2190</v>
      </c>
      <c r="O74" s="188">
        <f t="shared" si="96"/>
        <v>2372.5</v>
      </c>
      <c r="P74" s="188">
        <f t="shared" si="96"/>
        <v>2555</v>
      </c>
      <c r="Q74" s="188">
        <f t="shared" si="96"/>
        <v>2737.5</v>
      </c>
      <c r="R74" s="188">
        <f t="shared" si="96"/>
        <v>2920</v>
      </c>
      <c r="S74" s="188">
        <f t="shared" si="96"/>
        <v>3102.5</v>
      </c>
      <c r="T74" s="188">
        <f t="shared" si="96"/>
        <v>3285</v>
      </c>
      <c r="U74" s="188">
        <f t="shared" si="96"/>
        <v>3467.5</v>
      </c>
      <c r="V74" s="188">
        <f t="shared" si="96"/>
        <v>3650</v>
      </c>
      <c r="W74" s="188">
        <f t="shared" si="96"/>
        <v>3832.5</v>
      </c>
      <c r="X74" s="188">
        <f t="shared" si="96"/>
        <v>4015</v>
      </c>
      <c r="Y74" s="188">
        <f t="shared" si="96"/>
        <v>4197.5</v>
      </c>
      <c r="Z74" s="188">
        <f t="shared" si="96"/>
        <v>4380</v>
      </c>
      <c r="AA74" s="188">
        <f t="shared" si="96"/>
        <v>4562.5</v>
      </c>
      <c r="AB74" s="188">
        <f t="shared" si="96"/>
        <v>4745</v>
      </c>
      <c r="AC74" s="188">
        <f t="shared" si="96"/>
        <v>4927.5</v>
      </c>
      <c r="AD74" s="188">
        <f t="shared" si="96"/>
        <v>5110</v>
      </c>
      <c r="AE74" s="188">
        <f t="shared" si="96"/>
        <v>5292.5</v>
      </c>
      <c r="AF74" s="188">
        <f t="shared" si="96"/>
        <v>5475</v>
      </c>
      <c r="AG74" s="188">
        <f t="shared" si="96"/>
        <v>5657.5</v>
      </c>
      <c r="AH74" s="188">
        <f t="shared" si="96"/>
        <v>5840</v>
      </c>
      <c r="AI74" s="188">
        <f t="shared" si="96"/>
        <v>6022.5</v>
      </c>
      <c r="AJ74" s="188">
        <f t="shared" si="96"/>
        <v>6205</v>
      </c>
      <c r="AK74" s="188">
        <f t="shared" si="96"/>
        <v>6387.5</v>
      </c>
      <c r="AL74" s="188">
        <f t="shared" si="96"/>
        <v>6570</v>
      </c>
      <c r="AM74" s="188">
        <f t="shared" si="96"/>
        <v>6752.5</v>
      </c>
      <c r="AN74" s="188">
        <f t="shared" si="96"/>
        <v>6935</v>
      </c>
      <c r="AO74" s="188">
        <f t="shared" si="96"/>
        <v>7117.5</v>
      </c>
      <c r="AP74" s="188">
        <f t="shared" si="96"/>
        <v>7300</v>
      </c>
      <c r="AQ74" s="188">
        <f t="shared" si="96"/>
        <v>7482.5</v>
      </c>
      <c r="AR74" s="188">
        <f t="shared" si="96"/>
        <v>7665</v>
      </c>
      <c r="AS74" s="188">
        <f t="shared" si="96"/>
        <v>7847.5</v>
      </c>
      <c r="AT74" s="188">
        <f t="shared" si="96"/>
        <v>8030</v>
      </c>
      <c r="AU74" s="188">
        <f t="shared" si="96"/>
        <v>8212.5</v>
      </c>
      <c r="AV74" s="188">
        <f t="shared" si="96"/>
        <v>8395</v>
      </c>
      <c r="AW74" s="188">
        <f t="shared" si="96"/>
        <v>8577.5</v>
      </c>
      <c r="AX74" s="188">
        <f t="shared" si="96"/>
        <v>8760</v>
      </c>
      <c r="AY74" s="188">
        <f t="shared" si="96"/>
        <v>8942.5</v>
      </c>
      <c r="AZ74" s="188">
        <f t="shared" si="96"/>
        <v>9125</v>
      </c>
      <c r="BA74" s="188">
        <f t="shared" si="96"/>
        <v>9307.5</v>
      </c>
      <c r="BB74" s="188">
        <f t="shared" si="96"/>
        <v>9490</v>
      </c>
      <c r="BC74" s="188">
        <f t="shared" si="96"/>
        <v>9672.5</v>
      </c>
      <c r="BD74" s="188">
        <f t="shared" si="96"/>
        <v>9855</v>
      </c>
      <c r="BE74" s="188">
        <f t="shared" si="96"/>
        <v>10037.5</v>
      </c>
      <c r="BF74" s="188">
        <f t="shared" si="96"/>
        <v>10220</v>
      </c>
      <c r="BG74" s="188">
        <f t="shared" si="96"/>
        <v>10402.5</v>
      </c>
      <c r="BH74" s="188">
        <f t="shared" si="96"/>
        <v>10585</v>
      </c>
      <c r="BI74" s="188">
        <f t="shared" si="96"/>
        <v>10767.5</v>
      </c>
      <c r="BJ74" s="188">
        <f t="shared" si="96"/>
        <v>10950</v>
      </c>
      <c r="BK74" s="188">
        <f t="shared" si="96"/>
        <v>11132.5</v>
      </c>
      <c r="BL74" s="188">
        <f t="shared" si="96"/>
        <v>11315</v>
      </c>
      <c r="BM74" s="188">
        <f t="shared" si="96"/>
        <v>11497.5</v>
      </c>
      <c r="BN74" s="188">
        <f t="shared" si="96"/>
        <v>11680</v>
      </c>
      <c r="BO74" s="188">
        <f t="shared" si="96"/>
        <v>11862.5</v>
      </c>
      <c r="BP74" s="188">
        <f t="shared" si="96"/>
        <v>12045</v>
      </c>
      <c r="BQ74" s="188">
        <f t="shared" ref="BQ74:CB74" si="97">BP74+IF($G24=1,365,182.5)</f>
        <v>12227.5</v>
      </c>
      <c r="BR74" s="188">
        <f t="shared" si="97"/>
        <v>12410</v>
      </c>
      <c r="BS74" s="188">
        <f t="shared" si="97"/>
        <v>12592.5</v>
      </c>
      <c r="BT74" s="188">
        <f t="shared" si="97"/>
        <v>12775</v>
      </c>
      <c r="BU74" s="188">
        <f t="shared" si="97"/>
        <v>12957.5</v>
      </c>
      <c r="BV74" s="188">
        <f t="shared" si="97"/>
        <v>13140</v>
      </c>
      <c r="BW74" s="188">
        <f t="shared" si="97"/>
        <v>13322.5</v>
      </c>
      <c r="BX74" s="188">
        <f t="shared" si="97"/>
        <v>13505</v>
      </c>
      <c r="BY74" s="188">
        <f t="shared" si="97"/>
        <v>13687.5</v>
      </c>
      <c r="BZ74" s="188">
        <f t="shared" si="97"/>
        <v>13870</v>
      </c>
      <c r="CA74" s="188">
        <f t="shared" si="97"/>
        <v>14052.5</v>
      </c>
      <c r="CB74" s="189">
        <f t="shared" si="97"/>
        <v>14235</v>
      </c>
      <c r="CF74" s="9"/>
      <c r="CG74" s="9"/>
      <c r="CH74" s="9"/>
      <c r="CI74" s="9"/>
      <c r="CJ74" s="9"/>
      <c r="CK74" s="9"/>
      <c r="CL74" s="9"/>
      <c r="CM74" s="9"/>
      <c r="CN74" s="9"/>
      <c r="CO74" s="9"/>
      <c r="CP74" s="9"/>
      <c r="CQ74" s="9"/>
      <c r="CR74" s="9"/>
      <c r="CS74" s="9"/>
      <c r="CT74" s="9"/>
      <c r="CU74" s="9"/>
      <c r="CV74" s="9"/>
      <c r="CW74" s="9"/>
      <c r="CX74" s="9"/>
      <c r="CY74" s="9"/>
      <c r="CZ74" s="9"/>
      <c r="DA74" s="9"/>
      <c r="DB74" s="9"/>
      <c r="DC74" s="9"/>
      <c r="DD74" s="9"/>
      <c r="DE74" s="9"/>
      <c r="DF74" s="9"/>
      <c r="DG74" s="9"/>
      <c r="DH74" s="9"/>
      <c r="DI74" s="9"/>
      <c r="DJ74" s="9"/>
      <c r="DK74" s="9"/>
    </row>
    <row r="75" spans="1:115">
      <c r="A75" s="183" t="s">
        <v>127</v>
      </c>
      <c r="B75" s="158">
        <f>(IF(B74=F24,100,0)+IF(G24=1,1,0.5)*J24*100)*IF(ISBLANK(F24)=TRUE,0,1)</f>
        <v>0</v>
      </c>
      <c r="C75" s="159">
        <f>IF(C74&gt;$F24+1,0,1)*(IF(D75=0,100,0)+IF($G24=1,1,0.5)*$J24*100)</f>
        <v>0</v>
      </c>
      <c r="D75" s="159">
        <f t="shared" ref="D75:F75" si="98">IF(D74&gt;$F24+1,0,1)*(IF(E75=0,100,0)+IF($G24=1,1,0.5)*$J24*100)</f>
        <v>0</v>
      </c>
      <c r="E75" s="159">
        <f t="shared" si="98"/>
        <v>0</v>
      </c>
      <c r="F75" s="159">
        <f t="shared" si="98"/>
        <v>0</v>
      </c>
      <c r="G75" s="159">
        <f>IF(G74&gt;$F24+1,0,1)*(IF(H75=0,100,0)+IF($G24=1,1,0.5)*$J24*100)</f>
        <v>0</v>
      </c>
      <c r="H75" s="159">
        <f t="shared" ref="H75:AM75" si="99">IF(H74&gt;$F24+1,0,1)*(IF(I75=0,100,0)+IF($G24=1,1,0.5)*$J24*100)</f>
        <v>0</v>
      </c>
      <c r="I75" s="159">
        <f t="shared" si="99"/>
        <v>0</v>
      </c>
      <c r="J75" s="159">
        <f t="shared" si="99"/>
        <v>0</v>
      </c>
      <c r="K75" s="159">
        <f t="shared" si="99"/>
        <v>0</v>
      </c>
      <c r="L75" s="159">
        <f t="shared" si="99"/>
        <v>0</v>
      </c>
      <c r="M75" s="159">
        <f t="shared" si="99"/>
        <v>0</v>
      </c>
      <c r="N75" s="159">
        <f t="shared" si="99"/>
        <v>0</v>
      </c>
      <c r="O75" s="159">
        <f t="shared" si="99"/>
        <v>0</v>
      </c>
      <c r="P75" s="159">
        <f t="shared" si="99"/>
        <v>0</v>
      </c>
      <c r="Q75" s="159">
        <f t="shared" si="99"/>
        <v>0</v>
      </c>
      <c r="R75" s="159">
        <f t="shared" si="99"/>
        <v>0</v>
      </c>
      <c r="S75" s="159">
        <f t="shared" si="99"/>
        <v>0</v>
      </c>
      <c r="T75" s="159">
        <f t="shared" si="99"/>
        <v>0</v>
      </c>
      <c r="U75" s="159">
        <f t="shared" si="99"/>
        <v>0</v>
      </c>
      <c r="V75" s="159">
        <f t="shared" si="99"/>
        <v>0</v>
      </c>
      <c r="W75" s="159">
        <f t="shared" si="99"/>
        <v>0</v>
      </c>
      <c r="X75" s="159">
        <f t="shared" si="99"/>
        <v>0</v>
      </c>
      <c r="Y75" s="159">
        <f t="shared" si="99"/>
        <v>0</v>
      </c>
      <c r="Z75" s="159">
        <f t="shared" si="99"/>
        <v>0</v>
      </c>
      <c r="AA75" s="159">
        <f t="shared" si="99"/>
        <v>0</v>
      </c>
      <c r="AB75" s="159">
        <f t="shared" si="99"/>
        <v>0</v>
      </c>
      <c r="AC75" s="159">
        <f t="shared" si="99"/>
        <v>0</v>
      </c>
      <c r="AD75" s="159">
        <f t="shared" si="99"/>
        <v>0</v>
      </c>
      <c r="AE75" s="159">
        <f t="shared" si="99"/>
        <v>0</v>
      </c>
      <c r="AF75" s="159">
        <f t="shared" si="99"/>
        <v>0</v>
      </c>
      <c r="AG75" s="159">
        <f t="shared" si="99"/>
        <v>0</v>
      </c>
      <c r="AH75" s="159">
        <f t="shared" si="99"/>
        <v>0</v>
      </c>
      <c r="AI75" s="159">
        <f t="shared" si="99"/>
        <v>0</v>
      </c>
      <c r="AJ75" s="159">
        <f t="shared" si="99"/>
        <v>0</v>
      </c>
      <c r="AK75" s="159">
        <f t="shared" si="99"/>
        <v>0</v>
      </c>
      <c r="AL75" s="159">
        <f t="shared" si="99"/>
        <v>0</v>
      </c>
      <c r="AM75" s="159">
        <f t="shared" si="99"/>
        <v>0</v>
      </c>
      <c r="AN75" s="159">
        <f>IF(AN74&gt;$F24+1,0,1)*(IF(AO75=0,100,0)+IF($G24=1,1,0.5)*$J24*100)</f>
        <v>0</v>
      </c>
      <c r="AO75" s="159">
        <f t="shared" ref="AO75:AQ75" si="100">IF(AO74&gt;$F24+1,0,1)*(IF(AP75=0,100,0)+IF($G24=1,1,0.5)*$J24*100)</f>
        <v>0</v>
      </c>
      <c r="AP75" s="159">
        <f t="shared" si="100"/>
        <v>0</v>
      </c>
      <c r="AQ75" s="159">
        <f t="shared" si="100"/>
        <v>0</v>
      </c>
      <c r="AR75" s="159">
        <f>IF(AR74&gt;$F24+1,0,1)*(IF(AS75=0,100,0)+IF($G24=1,1,0.5)*$J24*100)</f>
        <v>0</v>
      </c>
      <c r="AS75" s="159">
        <f t="shared" ref="AS75" si="101">IF(AS74&gt;$F24+1,0,1)*(IF(AT75=0,100,0)+IF($G24=1,1,0.5)*$J24*100)</f>
        <v>0</v>
      </c>
      <c r="AT75" s="159">
        <f>IF(AT74&gt;$F24+1,0,1)*(IF(AU75=0,100,0)+IF($G24=1,1,0.5)*$J24*100)</f>
        <v>0</v>
      </c>
      <c r="AU75" s="159">
        <f t="shared" ref="AU75:AW75" si="102">IF(AU74&gt;$F24+1,0,1)*(IF(AV75=0,100,0)+IF($G24=1,1,0.5)*$J24*100)</f>
        <v>0</v>
      </c>
      <c r="AV75" s="159">
        <f t="shared" si="102"/>
        <v>0</v>
      </c>
      <c r="AW75" s="159">
        <f t="shared" si="102"/>
        <v>0</v>
      </c>
      <c r="AX75" s="159">
        <f>IF(AX74&gt;$F24+1,0,1)*(IF(AY75=0,100,0)+IF($G24=1,1,0.5)*$J24*100)</f>
        <v>0</v>
      </c>
      <c r="AY75" s="159">
        <f t="shared" ref="AY75:BG75" si="103">IF(AY74&gt;$F24+1,0,1)*(IF(AZ75=0,100,0)+IF($G24=1,1,0.5)*$J24*100)</f>
        <v>0</v>
      </c>
      <c r="AZ75" s="159">
        <f t="shared" si="103"/>
        <v>0</v>
      </c>
      <c r="BA75" s="159">
        <f t="shared" si="103"/>
        <v>0</v>
      </c>
      <c r="BB75" s="159">
        <f t="shared" si="103"/>
        <v>0</v>
      </c>
      <c r="BC75" s="159">
        <f t="shared" si="103"/>
        <v>0</v>
      </c>
      <c r="BD75" s="160">
        <f t="shared" si="103"/>
        <v>0</v>
      </c>
      <c r="BE75" s="159">
        <f t="shared" si="103"/>
        <v>0</v>
      </c>
      <c r="BF75" s="159">
        <f t="shared" si="103"/>
        <v>0</v>
      </c>
      <c r="BG75" s="159">
        <f t="shared" si="103"/>
        <v>0</v>
      </c>
      <c r="BH75" s="159">
        <f>IF(BH74&gt;$F24+1,0,1)*(IF(BI75=0,100,0)+IF($G24=1,1,0.5)*$J24*100)</f>
        <v>0</v>
      </c>
      <c r="BI75" s="159">
        <f t="shared" ref="BI75:BK75" si="104">IF(BI74&gt;$F24+1,0,1)*(IF(BJ75=0,100,0)+IF($G24=1,1,0.5)*$J24*100)</f>
        <v>0</v>
      </c>
      <c r="BJ75" s="159">
        <f t="shared" si="104"/>
        <v>0</v>
      </c>
      <c r="BK75" s="159">
        <f t="shared" si="104"/>
        <v>0</v>
      </c>
      <c r="BL75" s="159">
        <f>IF(BL74&gt;$F24+1,0,1)*(IF(BM75=0,100,0)+IF($G24=1,1,0.5)*$J24*100)</f>
        <v>0</v>
      </c>
      <c r="BM75" s="159">
        <f t="shared" ref="BM75:CB75" si="105">IF(BM74&gt;$F24+1,0,1)*(IF(BN75=0,100,0)+IF($G24=1,1,0.5)*$J24*100)</f>
        <v>0</v>
      </c>
      <c r="BN75" s="159">
        <f t="shared" si="105"/>
        <v>0</v>
      </c>
      <c r="BO75" s="159">
        <f t="shared" si="105"/>
        <v>0</v>
      </c>
      <c r="BP75" s="159">
        <f t="shared" si="105"/>
        <v>0</v>
      </c>
      <c r="BQ75" s="159">
        <f t="shared" si="105"/>
        <v>0</v>
      </c>
      <c r="BR75" s="159">
        <f t="shared" si="105"/>
        <v>0</v>
      </c>
      <c r="BS75" s="159">
        <f t="shared" si="105"/>
        <v>0</v>
      </c>
      <c r="BT75" s="159">
        <f t="shared" si="105"/>
        <v>0</v>
      </c>
      <c r="BU75" s="159">
        <f t="shared" si="105"/>
        <v>0</v>
      </c>
      <c r="BV75" s="159">
        <f t="shared" si="105"/>
        <v>0</v>
      </c>
      <c r="BW75" s="159">
        <f t="shared" si="105"/>
        <v>0</v>
      </c>
      <c r="BX75" s="159">
        <f t="shared" si="105"/>
        <v>0</v>
      </c>
      <c r="BY75" s="159">
        <f t="shared" si="105"/>
        <v>0</v>
      </c>
      <c r="BZ75" s="159">
        <f t="shared" si="105"/>
        <v>0</v>
      </c>
      <c r="CA75" s="159">
        <f t="shared" si="105"/>
        <v>0</v>
      </c>
      <c r="CB75" s="187">
        <f t="shared" si="105"/>
        <v>0</v>
      </c>
      <c r="CF75" s="9"/>
      <c r="CG75" s="9"/>
      <c r="CH75" s="9"/>
      <c r="CI75" s="9"/>
      <c r="CJ75" s="9"/>
      <c r="CK75" s="9"/>
      <c r="CL75" s="9"/>
      <c r="CM75" s="9"/>
      <c r="CN75" s="9"/>
      <c r="CO75" s="9"/>
      <c r="CP75" s="9"/>
      <c r="CQ75" s="9"/>
      <c r="CR75" s="9"/>
      <c r="CS75" s="9"/>
      <c r="CT75" s="9"/>
      <c r="CU75" s="9"/>
      <c r="CV75" s="9"/>
      <c r="CW75" s="9"/>
      <c r="CX75" s="9"/>
      <c r="CY75" s="9"/>
      <c r="CZ75" s="9"/>
      <c r="DA75" s="9"/>
      <c r="DB75" s="9"/>
      <c r="DC75" s="9"/>
      <c r="DD75" s="9"/>
      <c r="DE75" s="9"/>
      <c r="DF75" s="9"/>
      <c r="DG75" s="9"/>
      <c r="DH75" s="9"/>
      <c r="DI75" s="9"/>
      <c r="DJ75" s="9"/>
      <c r="DK75" s="9"/>
    </row>
    <row r="76" spans="1:115">
      <c r="A76" s="221" t="s">
        <v>49</v>
      </c>
      <c r="B76" s="144">
        <f>IF(E25=0,F25,E25)</f>
        <v>0</v>
      </c>
      <c r="C76" s="145">
        <f>B76+IF($G25=1,365,182.5)</f>
        <v>182.5</v>
      </c>
      <c r="D76" s="145">
        <f>C76+IF($G25=1,365,182.5)</f>
        <v>365</v>
      </c>
      <c r="E76" s="145">
        <f t="shared" ref="E76:BP76" si="106">D76+IF($G25=1,365,182.5)</f>
        <v>547.5</v>
      </c>
      <c r="F76" s="145">
        <f t="shared" si="106"/>
        <v>730</v>
      </c>
      <c r="G76" s="145">
        <f t="shared" si="106"/>
        <v>912.5</v>
      </c>
      <c r="H76" s="145">
        <f t="shared" si="106"/>
        <v>1095</v>
      </c>
      <c r="I76" s="145">
        <f t="shared" si="106"/>
        <v>1277.5</v>
      </c>
      <c r="J76" s="145">
        <f t="shared" si="106"/>
        <v>1460</v>
      </c>
      <c r="K76" s="145">
        <f t="shared" si="106"/>
        <v>1642.5</v>
      </c>
      <c r="L76" s="145">
        <f t="shared" si="106"/>
        <v>1825</v>
      </c>
      <c r="M76" s="145">
        <f t="shared" si="106"/>
        <v>2007.5</v>
      </c>
      <c r="N76" s="145">
        <f t="shared" si="106"/>
        <v>2190</v>
      </c>
      <c r="O76" s="145">
        <f t="shared" si="106"/>
        <v>2372.5</v>
      </c>
      <c r="P76" s="145">
        <f t="shared" si="106"/>
        <v>2555</v>
      </c>
      <c r="Q76" s="145">
        <f t="shared" si="106"/>
        <v>2737.5</v>
      </c>
      <c r="R76" s="145">
        <f t="shared" si="106"/>
        <v>2920</v>
      </c>
      <c r="S76" s="145">
        <f t="shared" si="106"/>
        <v>3102.5</v>
      </c>
      <c r="T76" s="145">
        <f t="shared" si="106"/>
        <v>3285</v>
      </c>
      <c r="U76" s="145">
        <f t="shared" si="106"/>
        <v>3467.5</v>
      </c>
      <c r="V76" s="145">
        <f t="shared" si="106"/>
        <v>3650</v>
      </c>
      <c r="W76" s="145">
        <f t="shared" si="106"/>
        <v>3832.5</v>
      </c>
      <c r="X76" s="145">
        <f t="shared" si="106"/>
        <v>4015</v>
      </c>
      <c r="Y76" s="145">
        <f t="shared" si="106"/>
        <v>4197.5</v>
      </c>
      <c r="Z76" s="145">
        <f t="shared" si="106"/>
        <v>4380</v>
      </c>
      <c r="AA76" s="145">
        <f t="shared" si="106"/>
        <v>4562.5</v>
      </c>
      <c r="AB76" s="145">
        <f t="shared" si="106"/>
        <v>4745</v>
      </c>
      <c r="AC76" s="145">
        <f t="shared" si="106"/>
        <v>4927.5</v>
      </c>
      <c r="AD76" s="145">
        <f t="shared" si="106"/>
        <v>5110</v>
      </c>
      <c r="AE76" s="145">
        <f t="shared" si="106"/>
        <v>5292.5</v>
      </c>
      <c r="AF76" s="145">
        <f t="shared" si="106"/>
        <v>5475</v>
      </c>
      <c r="AG76" s="145">
        <f t="shared" si="106"/>
        <v>5657.5</v>
      </c>
      <c r="AH76" s="145">
        <f t="shared" si="106"/>
        <v>5840</v>
      </c>
      <c r="AI76" s="145">
        <f t="shared" si="106"/>
        <v>6022.5</v>
      </c>
      <c r="AJ76" s="145">
        <f t="shared" si="106"/>
        <v>6205</v>
      </c>
      <c r="AK76" s="145">
        <f t="shared" si="106"/>
        <v>6387.5</v>
      </c>
      <c r="AL76" s="145">
        <f t="shared" si="106"/>
        <v>6570</v>
      </c>
      <c r="AM76" s="145">
        <f t="shared" si="106"/>
        <v>6752.5</v>
      </c>
      <c r="AN76" s="145">
        <f t="shared" si="106"/>
        <v>6935</v>
      </c>
      <c r="AO76" s="145">
        <f t="shared" si="106"/>
        <v>7117.5</v>
      </c>
      <c r="AP76" s="145">
        <f t="shared" si="106"/>
        <v>7300</v>
      </c>
      <c r="AQ76" s="145">
        <f t="shared" si="106"/>
        <v>7482.5</v>
      </c>
      <c r="AR76" s="145">
        <f t="shared" si="106"/>
        <v>7665</v>
      </c>
      <c r="AS76" s="145">
        <f t="shared" si="106"/>
        <v>7847.5</v>
      </c>
      <c r="AT76" s="145">
        <f t="shared" si="106"/>
        <v>8030</v>
      </c>
      <c r="AU76" s="145">
        <f t="shared" si="106"/>
        <v>8212.5</v>
      </c>
      <c r="AV76" s="145">
        <f t="shared" si="106"/>
        <v>8395</v>
      </c>
      <c r="AW76" s="145">
        <f t="shared" si="106"/>
        <v>8577.5</v>
      </c>
      <c r="AX76" s="145">
        <f t="shared" si="106"/>
        <v>8760</v>
      </c>
      <c r="AY76" s="145">
        <f t="shared" si="106"/>
        <v>8942.5</v>
      </c>
      <c r="AZ76" s="145">
        <f t="shared" si="106"/>
        <v>9125</v>
      </c>
      <c r="BA76" s="145">
        <f t="shared" si="106"/>
        <v>9307.5</v>
      </c>
      <c r="BB76" s="145">
        <f t="shared" si="106"/>
        <v>9490</v>
      </c>
      <c r="BC76" s="145">
        <f t="shared" si="106"/>
        <v>9672.5</v>
      </c>
      <c r="BD76" s="145">
        <f t="shared" si="106"/>
        <v>9855</v>
      </c>
      <c r="BE76" s="145">
        <f t="shared" si="106"/>
        <v>10037.5</v>
      </c>
      <c r="BF76" s="145">
        <f t="shared" si="106"/>
        <v>10220</v>
      </c>
      <c r="BG76" s="145">
        <f t="shared" si="106"/>
        <v>10402.5</v>
      </c>
      <c r="BH76" s="145">
        <f t="shared" si="106"/>
        <v>10585</v>
      </c>
      <c r="BI76" s="145">
        <f t="shared" si="106"/>
        <v>10767.5</v>
      </c>
      <c r="BJ76" s="145">
        <f t="shared" si="106"/>
        <v>10950</v>
      </c>
      <c r="BK76" s="145">
        <f t="shared" si="106"/>
        <v>11132.5</v>
      </c>
      <c r="BL76" s="145">
        <f t="shared" si="106"/>
        <v>11315</v>
      </c>
      <c r="BM76" s="145">
        <f t="shared" si="106"/>
        <v>11497.5</v>
      </c>
      <c r="BN76" s="145">
        <f t="shared" si="106"/>
        <v>11680</v>
      </c>
      <c r="BO76" s="145">
        <f t="shared" si="106"/>
        <v>11862.5</v>
      </c>
      <c r="BP76" s="145">
        <f t="shared" si="106"/>
        <v>12045</v>
      </c>
      <c r="BQ76" s="145">
        <f t="shared" ref="BQ76:CB76" si="107">BP76+IF($G25=1,365,182.5)</f>
        <v>12227.5</v>
      </c>
      <c r="BR76" s="145">
        <f t="shared" si="107"/>
        <v>12410</v>
      </c>
      <c r="BS76" s="145">
        <f t="shared" si="107"/>
        <v>12592.5</v>
      </c>
      <c r="BT76" s="145">
        <f t="shared" si="107"/>
        <v>12775</v>
      </c>
      <c r="BU76" s="145">
        <f t="shared" si="107"/>
        <v>12957.5</v>
      </c>
      <c r="BV76" s="145">
        <f t="shared" si="107"/>
        <v>13140</v>
      </c>
      <c r="BW76" s="145">
        <f t="shared" si="107"/>
        <v>13322.5</v>
      </c>
      <c r="BX76" s="145">
        <f t="shared" si="107"/>
        <v>13505</v>
      </c>
      <c r="BY76" s="145">
        <f t="shared" si="107"/>
        <v>13687.5</v>
      </c>
      <c r="BZ76" s="145">
        <f t="shared" si="107"/>
        <v>13870</v>
      </c>
      <c r="CA76" s="145">
        <f t="shared" si="107"/>
        <v>14052.5</v>
      </c>
      <c r="CB76" s="146">
        <f t="shared" si="107"/>
        <v>14235</v>
      </c>
      <c r="CF76" s="9"/>
      <c r="CG76" s="9"/>
      <c r="CH76" s="9"/>
      <c r="CI76" s="9"/>
      <c r="CJ76" s="9"/>
      <c r="CK76" s="9"/>
      <c r="CL76" s="9"/>
      <c r="CM76" s="9"/>
      <c r="CN76" s="9"/>
      <c r="CO76" s="9"/>
      <c r="CP76" s="9"/>
      <c r="CQ76" s="9"/>
      <c r="CR76" s="9"/>
      <c r="CS76" s="9"/>
      <c r="CT76" s="9"/>
      <c r="CU76" s="9"/>
      <c r="CV76" s="9"/>
      <c r="CW76" s="9"/>
      <c r="CX76" s="9"/>
      <c r="CY76" s="9"/>
      <c r="CZ76" s="9"/>
      <c r="DA76" s="9"/>
      <c r="DB76" s="9"/>
      <c r="DC76" s="9"/>
      <c r="DD76" s="9"/>
      <c r="DE76" s="9"/>
      <c r="DF76" s="9"/>
      <c r="DG76" s="9"/>
      <c r="DH76" s="9"/>
      <c r="DI76" s="9"/>
      <c r="DJ76" s="9"/>
      <c r="DK76" s="9"/>
    </row>
    <row r="77" spans="1:115">
      <c r="A77" s="143" t="s">
        <v>128</v>
      </c>
      <c r="B77" s="147">
        <f>(IF(B76=F25,100,0)+IF(G25=1,1,0.5)*J25*100)*IF(ISBLANK(F25)=TRUE,0,1)</f>
        <v>0</v>
      </c>
      <c r="C77" s="148">
        <f>IF(C76&gt;$F25+1,0,1)*(IF(D77=0,100,0)+IF($G25=1,1,0.5)*$J25*100)</f>
        <v>0</v>
      </c>
      <c r="D77" s="148">
        <f t="shared" ref="D77:BO77" si="108">IF(D76&gt;$F25+1,0,1)*(IF(E77=0,100,0)+IF($G25=1,1,0.5)*$J25*100)</f>
        <v>0</v>
      </c>
      <c r="E77" s="148">
        <f t="shared" si="108"/>
        <v>0</v>
      </c>
      <c r="F77" s="148">
        <f t="shared" si="108"/>
        <v>0</v>
      </c>
      <c r="G77" s="148">
        <f t="shared" si="108"/>
        <v>0</v>
      </c>
      <c r="H77" s="148">
        <f t="shared" si="108"/>
        <v>0</v>
      </c>
      <c r="I77" s="148">
        <f t="shared" si="108"/>
        <v>0</v>
      </c>
      <c r="J77" s="148">
        <f t="shared" si="108"/>
        <v>0</v>
      </c>
      <c r="K77" s="148">
        <f t="shared" si="108"/>
        <v>0</v>
      </c>
      <c r="L77" s="148">
        <f t="shared" si="108"/>
        <v>0</v>
      </c>
      <c r="M77" s="148">
        <f t="shared" si="108"/>
        <v>0</v>
      </c>
      <c r="N77" s="148">
        <f t="shared" si="108"/>
        <v>0</v>
      </c>
      <c r="O77" s="148">
        <f t="shared" si="108"/>
        <v>0</v>
      </c>
      <c r="P77" s="148">
        <f t="shared" si="108"/>
        <v>0</v>
      </c>
      <c r="Q77" s="148">
        <f t="shared" si="108"/>
        <v>0</v>
      </c>
      <c r="R77" s="148">
        <f t="shared" si="108"/>
        <v>0</v>
      </c>
      <c r="S77" s="148">
        <f t="shared" si="108"/>
        <v>0</v>
      </c>
      <c r="T77" s="148">
        <f t="shared" si="108"/>
        <v>0</v>
      </c>
      <c r="U77" s="148">
        <f t="shared" si="108"/>
        <v>0</v>
      </c>
      <c r="V77" s="148">
        <f t="shared" si="108"/>
        <v>0</v>
      </c>
      <c r="W77" s="148">
        <f t="shared" si="108"/>
        <v>0</v>
      </c>
      <c r="X77" s="148">
        <f t="shared" si="108"/>
        <v>0</v>
      </c>
      <c r="Y77" s="148">
        <f t="shared" si="108"/>
        <v>0</v>
      </c>
      <c r="Z77" s="148">
        <f t="shared" si="108"/>
        <v>0</v>
      </c>
      <c r="AA77" s="148">
        <f t="shared" si="108"/>
        <v>0</v>
      </c>
      <c r="AB77" s="148">
        <f t="shared" si="108"/>
        <v>0</v>
      </c>
      <c r="AC77" s="148">
        <f t="shared" si="108"/>
        <v>0</v>
      </c>
      <c r="AD77" s="148">
        <f t="shared" si="108"/>
        <v>0</v>
      </c>
      <c r="AE77" s="148">
        <f t="shared" si="108"/>
        <v>0</v>
      </c>
      <c r="AF77" s="148">
        <f t="shared" si="108"/>
        <v>0</v>
      </c>
      <c r="AG77" s="148">
        <f t="shared" si="108"/>
        <v>0</v>
      </c>
      <c r="AH77" s="148">
        <f t="shared" si="108"/>
        <v>0</v>
      </c>
      <c r="AI77" s="148">
        <f t="shared" si="108"/>
        <v>0</v>
      </c>
      <c r="AJ77" s="148">
        <f t="shared" si="108"/>
        <v>0</v>
      </c>
      <c r="AK77" s="148">
        <f t="shared" si="108"/>
        <v>0</v>
      </c>
      <c r="AL77" s="148">
        <f t="shared" si="108"/>
        <v>0</v>
      </c>
      <c r="AM77" s="148">
        <f t="shared" si="108"/>
        <v>0</v>
      </c>
      <c r="AN77" s="148">
        <f t="shared" si="108"/>
        <v>0</v>
      </c>
      <c r="AO77" s="148">
        <f t="shared" si="108"/>
        <v>0</v>
      </c>
      <c r="AP77" s="148">
        <f t="shared" si="108"/>
        <v>0</v>
      </c>
      <c r="AQ77" s="148">
        <f t="shared" si="108"/>
        <v>0</v>
      </c>
      <c r="AR77" s="148">
        <f t="shared" si="108"/>
        <v>0</v>
      </c>
      <c r="AS77" s="148">
        <f t="shared" si="108"/>
        <v>0</v>
      </c>
      <c r="AT77" s="148">
        <f t="shared" si="108"/>
        <v>0</v>
      </c>
      <c r="AU77" s="148">
        <f t="shared" si="108"/>
        <v>0</v>
      </c>
      <c r="AV77" s="148">
        <f t="shared" si="108"/>
        <v>0</v>
      </c>
      <c r="AW77" s="148">
        <f t="shared" si="108"/>
        <v>0</v>
      </c>
      <c r="AX77" s="148">
        <f t="shared" si="108"/>
        <v>0</v>
      </c>
      <c r="AY77" s="148">
        <f t="shared" si="108"/>
        <v>0</v>
      </c>
      <c r="AZ77" s="148">
        <f t="shared" si="108"/>
        <v>0</v>
      </c>
      <c r="BA77" s="148">
        <f t="shared" si="108"/>
        <v>0</v>
      </c>
      <c r="BB77" s="148">
        <f t="shared" si="108"/>
        <v>0</v>
      </c>
      <c r="BC77" s="148">
        <f t="shared" si="108"/>
        <v>0</v>
      </c>
      <c r="BD77" s="148">
        <f t="shared" si="108"/>
        <v>0</v>
      </c>
      <c r="BE77" s="148">
        <f t="shared" si="108"/>
        <v>0</v>
      </c>
      <c r="BF77" s="148">
        <f t="shared" si="108"/>
        <v>0</v>
      </c>
      <c r="BG77" s="148">
        <f t="shared" si="108"/>
        <v>0</v>
      </c>
      <c r="BH77" s="148">
        <f t="shared" si="108"/>
        <v>0</v>
      </c>
      <c r="BI77" s="148">
        <f t="shared" si="108"/>
        <v>0</v>
      </c>
      <c r="BJ77" s="148">
        <f t="shared" si="108"/>
        <v>0</v>
      </c>
      <c r="BK77" s="148">
        <f t="shared" si="108"/>
        <v>0</v>
      </c>
      <c r="BL77" s="148">
        <f t="shared" si="108"/>
        <v>0</v>
      </c>
      <c r="BM77" s="148">
        <f t="shared" si="108"/>
        <v>0</v>
      </c>
      <c r="BN77" s="148">
        <f t="shared" si="108"/>
        <v>0</v>
      </c>
      <c r="BO77" s="148">
        <f t="shared" si="108"/>
        <v>0</v>
      </c>
      <c r="BP77" s="148">
        <f t="shared" ref="BP77:CB77" si="109">IF(BP76&gt;$F25+1,0,1)*(IF(BQ77=0,100,0)+IF($G25=1,1,0.5)*$J25*100)</f>
        <v>0</v>
      </c>
      <c r="BQ77" s="148">
        <f t="shared" si="109"/>
        <v>0</v>
      </c>
      <c r="BR77" s="148">
        <f t="shared" si="109"/>
        <v>0</v>
      </c>
      <c r="BS77" s="148">
        <f t="shared" si="109"/>
        <v>0</v>
      </c>
      <c r="BT77" s="148">
        <f t="shared" si="109"/>
        <v>0</v>
      </c>
      <c r="BU77" s="148">
        <f t="shared" si="109"/>
        <v>0</v>
      </c>
      <c r="BV77" s="148">
        <f t="shared" si="109"/>
        <v>0</v>
      </c>
      <c r="BW77" s="148">
        <f t="shared" si="109"/>
        <v>0</v>
      </c>
      <c r="BX77" s="148">
        <f t="shared" si="109"/>
        <v>0</v>
      </c>
      <c r="BY77" s="148">
        <f t="shared" si="109"/>
        <v>0</v>
      </c>
      <c r="BZ77" s="148">
        <f t="shared" si="109"/>
        <v>0</v>
      </c>
      <c r="CA77" s="148">
        <f t="shared" si="109"/>
        <v>0</v>
      </c>
      <c r="CB77" s="154">
        <f t="shared" si="109"/>
        <v>0</v>
      </c>
      <c r="CF77" s="9"/>
      <c r="CG77" s="9"/>
      <c r="CH77" s="9"/>
      <c r="CI77" s="9"/>
      <c r="CJ77" s="9"/>
      <c r="CK77" s="9"/>
      <c r="CL77" s="9"/>
      <c r="CM77" s="9"/>
      <c r="CN77" s="9"/>
      <c r="CO77" s="9"/>
      <c r="CP77" s="9"/>
      <c r="CQ77" s="9"/>
      <c r="CR77" s="9"/>
      <c r="CS77" s="9"/>
      <c r="CT77" s="9"/>
      <c r="CU77" s="9"/>
      <c r="CV77" s="9"/>
      <c r="CW77" s="9"/>
      <c r="CX77" s="9"/>
      <c r="CY77" s="9"/>
      <c r="CZ77" s="9"/>
      <c r="DA77" s="9"/>
      <c r="DB77" s="9"/>
      <c r="DC77" s="9"/>
      <c r="DD77" s="9"/>
      <c r="DE77" s="9"/>
      <c r="DF77" s="9"/>
      <c r="DG77" s="9"/>
      <c r="DH77" s="9"/>
      <c r="DI77" s="9"/>
      <c r="DJ77" s="9"/>
      <c r="DK77" s="9"/>
    </row>
    <row r="78" spans="1:115">
      <c r="A78" s="243" t="s">
        <v>49</v>
      </c>
      <c r="B78" s="37">
        <f>IF(E26=0,F26,E26)</f>
        <v>0</v>
      </c>
      <c r="C78" s="38">
        <f>B78+IF($G26=1,365,182.5)</f>
        <v>182.5</v>
      </c>
      <c r="D78" s="38">
        <f>C78+IF($G26=1,365,182.5)</f>
        <v>365</v>
      </c>
      <c r="E78" s="38">
        <f t="shared" ref="E78:BP78" si="110">D78+IF($G26=1,365,182.5)</f>
        <v>547.5</v>
      </c>
      <c r="F78" s="38">
        <f t="shared" si="110"/>
        <v>730</v>
      </c>
      <c r="G78" s="38">
        <f t="shared" si="110"/>
        <v>912.5</v>
      </c>
      <c r="H78" s="38">
        <f t="shared" si="110"/>
        <v>1095</v>
      </c>
      <c r="I78" s="38">
        <f t="shared" si="110"/>
        <v>1277.5</v>
      </c>
      <c r="J78" s="38">
        <f t="shared" si="110"/>
        <v>1460</v>
      </c>
      <c r="K78" s="38">
        <f t="shared" si="110"/>
        <v>1642.5</v>
      </c>
      <c r="L78" s="38">
        <f t="shared" si="110"/>
        <v>1825</v>
      </c>
      <c r="M78" s="38">
        <f t="shared" si="110"/>
        <v>2007.5</v>
      </c>
      <c r="N78" s="38">
        <f t="shared" si="110"/>
        <v>2190</v>
      </c>
      <c r="O78" s="38">
        <f t="shared" si="110"/>
        <v>2372.5</v>
      </c>
      <c r="P78" s="38">
        <f t="shared" si="110"/>
        <v>2555</v>
      </c>
      <c r="Q78" s="38">
        <f t="shared" si="110"/>
        <v>2737.5</v>
      </c>
      <c r="R78" s="38">
        <f t="shared" si="110"/>
        <v>2920</v>
      </c>
      <c r="S78" s="38">
        <f t="shared" si="110"/>
        <v>3102.5</v>
      </c>
      <c r="T78" s="38">
        <f t="shared" si="110"/>
        <v>3285</v>
      </c>
      <c r="U78" s="38">
        <f t="shared" si="110"/>
        <v>3467.5</v>
      </c>
      <c r="V78" s="38">
        <f t="shared" si="110"/>
        <v>3650</v>
      </c>
      <c r="W78" s="38">
        <f t="shared" si="110"/>
        <v>3832.5</v>
      </c>
      <c r="X78" s="38">
        <f t="shared" si="110"/>
        <v>4015</v>
      </c>
      <c r="Y78" s="38">
        <f t="shared" si="110"/>
        <v>4197.5</v>
      </c>
      <c r="Z78" s="38">
        <f t="shared" si="110"/>
        <v>4380</v>
      </c>
      <c r="AA78" s="38">
        <f t="shared" si="110"/>
        <v>4562.5</v>
      </c>
      <c r="AB78" s="38">
        <f t="shared" si="110"/>
        <v>4745</v>
      </c>
      <c r="AC78" s="38">
        <f t="shared" si="110"/>
        <v>4927.5</v>
      </c>
      <c r="AD78" s="38">
        <f t="shared" si="110"/>
        <v>5110</v>
      </c>
      <c r="AE78" s="38">
        <f t="shared" si="110"/>
        <v>5292.5</v>
      </c>
      <c r="AF78" s="38">
        <f t="shared" si="110"/>
        <v>5475</v>
      </c>
      <c r="AG78" s="38">
        <f t="shared" si="110"/>
        <v>5657.5</v>
      </c>
      <c r="AH78" s="38">
        <f t="shared" si="110"/>
        <v>5840</v>
      </c>
      <c r="AI78" s="38">
        <f t="shared" si="110"/>
        <v>6022.5</v>
      </c>
      <c r="AJ78" s="38">
        <f t="shared" si="110"/>
        <v>6205</v>
      </c>
      <c r="AK78" s="38">
        <f t="shared" si="110"/>
        <v>6387.5</v>
      </c>
      <c r="AL78" s="38">
        <f t="shared" si="110"/>
        <v>6570</v>
      </c>
      <c r="AM78" s="38">
        <f t="shared" si="110"/>
        <v>6752.5</v>
      </c>
      <c r="AN78" s="38">
        <f t="shared" si="110"/>
        <v>6935</v>
      </c>
      <c r="AO78" s="38">
        <f t="shared" si="110"/>
        <v>7117.5</v>
      </c>
      <c r="AP78" s="38">
        <f t="shared" si="110"/>
        <v>7300</v>
      </c>
      <c r="AQ78" s="38">
        <f t="shared" si="110"/>
        <v>7482.5</v>
      </c>
      <c r="AR78" s="38">
        <f t="shared" si="110"/>
        <v>7665</v>
      </c>
      <c r="AS78" s="38">
        <f t="shared" si="110"/>
        <v>7847.5</v>
      </c>
      <c r="AT78" s="38">
        <f t="shared" si="110"/>
        <v>8030</v>
      </c>
      <c r="AU78" s="38">
        <f t="shared" si="110"/>
        <v>8212.5</v>
      </c>
      <c r="AV78" s="38">
        <f t="shared" si="110"/>
        <v>8395</v>
      </c>
      <c r="AW78" s="38">
        <f t="shared" si="110"/>
        <v>8577.5</v>
      </c>
      <c r="AX78" s="38">
        <f t="shared" si="110"/>
        <v>8760</v>
      </c>
      <c r="AY78" s="38">
        <f t="shared" si="110"/>
        <v>8942.5</v>
      </c>
      <c r="AZ78" s="38">
        <f t="shared" si="110"/>
        <v>9125</v>
      </c>
      <c r="BA78" s="38">
        <f t="shared" si="110"/>
        <v>9307.5</v>
      </c>
      <c r="BB78" s="38">
        <f t="shared" si="110"/>
        <v>9490</v>
      </c>
      <c r="BC78" s="38">
        <f t="shared" si="110"/>
        <v>9672.5</v>
      </c>
      <c r="BD78" s="38">
        <f t="shared" si="110"/>
        <v>9855</v>
      </c>
      <c r="BE78" s="38">
        <f t="shared" si="110"/>
        <v>10037.5</v>
      </c>
      <c r="BF78" s="38">
        <f t="shared" si="110"/>
        <v>10220</v>
      </c>
      <c r="BG78" s="38">
        <f t="shared" si="110"/>
        <v>10402.5</v>
      </c>
      <c r="BH78" s="38">
        <f t="shared" si="110"/>
        <v>10585</v>
      </c>
      <c r="BI78" s="38">
        <f t="shared" si="110"/>
        <v>10767.5</v>
      </c>
      <c r="BJ78" s="38">
        <f t="shared" si="110"/>
        <v>10950</v>
      </c>
      <c r="BK78" s="38">
        <f t="shared" si="110"/>
        <v>11132.5</v>
      </c>
      <c r="BL78" s="38">
        <f t="shared" si="110"/>
        <v>11315</v>
      </c>
      <c r="BM78" s="38">
        <f t="shared" si="110"/>
        <v>11497.5</v>
      </c>
      <c r="BN78" s="38">
        <f t="shared" si="110"/>
        <v>11680</v>
      </c>
      <c r="BO78" s="38">
        <f t="shared" si="110"/>
        <v>11862.5</v>
      </c>
      <c r="BP78" s="38">
        <f t="shared" si="110"/>
        <v>12045</v>
      </c>
      <c r="BQ78" s="38">
        <f t="shared" ref="BQ78:CB78" si="111">BP78+IF($G26=1,365,182.5)</f>
        <v>12227.5</v>
      </c>
      <c r="BR78" s="38">
        <f t="shared" si="111"/>
        <v>12410</v>
      </c>
      <c r="BS78" s="38">
        <f t="shared" si="111"/>
        <v>12592.5</v>
      </c>
      <c r="BT78" s="38">
        <f t="shared" si="111"/>
        <v>12775</v>
      </c>
      <c r="BU78" s="38">
        <f t="shared" si="111"/>
        <v>12957.5</v>
      </c>
      <c r="BV78" s="38">
        <f t="shared" si="111"/>
        <v>13140</v>
      </c>
      <c r="BW78" s="38">
        <f t="shared" si="111"/>
        <v>13322.5</v>
      </c>
      <c r="BX78" s="38">
        <f t="shared" si="111"/>
        <v>13505</v>
      </c>
      <c r="BY78" s="38">
        <f t="shared" si="111"/>
        <v>13687.5</v>
      </c>
      <c r="BZ78" s="38">
        <f t="shared" si="111"/>
        <v>13870</v>
      </c>
      <c r="CA78" s="38">
        <f t="shared" si="111"/>
        <v>14052.5</v>
      </c>
      <c r="CB78" s="39">
        <f t="shared" si="111"/>
        <v>14235</v>
      </c>
      <c r="CF78" s="9"/>
      <c r="CG78" s="9"/>
      <c r="CH78" s="9"/>
      <c r="CI78" s="9"/>
      <c r="CJ78" s="9"/>
      <c r="CK78" s="9"/>
      <c r="CL78" s="9"/>
      <c r="CM78" s="9"/>
      <c r="CN78" s="9"/>
      <c r="CO78" s="9"/>
      <c r="CP78" s="9"/>
      <c r="CQ78" s="9"/>
      <c r="CR78" s="9"/>
      <c r="CS78" s="9"/>
      <c r="CT78" s="9"/>
      <c r="CU78" s="9"/>
      <c r="CV78" s="9"/>
      <c r="CW78" s="9"/>
      <c r="CX78" s="9"/>
      <c r="CY78" s="9"/>
      <c r="CZ78" s="9"/>
      <c r="DA78" s="9"/>
      <c r="DB78" s="9"/>
      <c r="DC78" s="9"/>
      <c r="DD78" s="9"/>
      <c r="DE78" s="9"/>
      <c r="DF78" s="9"/>
      <c r="DG78" s="9"/>
      <c r="DH78" s="9"/>
      <c r="DI78" s="9"/>
      <c r="DJ78" s="9"/>
      <c r="DK78" s="9"/>
    </row>
    <row r="79" spans="1:115">
      <c r="A79" s="23" t="s">
        <v>129</v>
      </c>
      <c r="B79" s="106">
        <f>(IF(B78=F26,100,0)+IF(G26=1,1,0.5)*J26*100)*IF(ISBLANK(F26)=TRUE,0,1)</f>
        <v>0</v>
      </c>
      <c r="C79" s="40">
        <f>IF(C78&gt;$F26+1,0,1)*(IF(D79=0,100,0)+IF($G26=1,1,0.5)*$J26*100)</f>
        <v>0</v>
      </c>
      <c r="D79" s="40">
        <f t="shared" ref="D79:BO79" si="112">IF(D78&gt;$F26+1,0,1)*(IF(E79=0,100,0)+IF($G26=1,1,0.5)*$J26*100)</f>
        <v>0</v>
      </c>
      <c r="E79" s="40">
        <f t="shared" si="112"/>
        <v>0</v>
      </c>
      <c r="F79" s="40">
        <f t="shared" si="112"/>
        <v>0</v>
      </c>
      <c r="G79" s="40">
        <f t="shared" si="112"/>
        <v>0</v>
      </c>
      <c r="H79" s="40">
        <f t="shared" si="112"/>
        <v>0</v>
      </c>
      <c r="I79" s="40">
        <f t="shared" si="112"/>
        <v>0</v>
      </c>
      <c r="J79" s="40">
        <f t="shared" si="112"/>
        <v>0</v>
      </c>
      <c r="K79" s="40">
        <f t="shared" si="112"/>
        <v>0</v>
      </c>
      <c r="L79" s="40">
        <f t="shared" si="112"/>
        <v>0</v>
      </c>
      <c r="M79" s="40">
        <f t="shared" si="112"/>
        <v>0</v>
      </c>
      <c r="N79" s="40">
        <f t="shared" si="112"/>
        <v>0</v>
      </c>
      <c r="O79" s="40">
        <f t="shared" si="112"/>
        <v>0</v>
      </c>
      <c r="P79" s="40">
        <f t="shared" si="112"/>
        <v>0</v>
      </c>
      <c r="Q79" s="40">
        <f t="shared" si="112"/>
        <v>0</v>
      </c>
      <c r="R79" s="40">
        <f t="shared" si="112"/>
        <v>0</v>
      </c>
      <c r="S79" s="40">
        <f t="shared" si="112"/>
        <v>0</v>
      </c>
      <c r="T79" s="40">
        <f t="shared" si="112"/>
        <v>0</v>
      </c>
      <c r="U79" s="40">
        <f t="shared" si="112"/>
        <v>0</v>
      </c>
      <c r="V79" s="40">
        <f t="shared" si="112"/>
        <v>0</v>
      </c>
      <c r="W79" s="40">
        <f t="shared" si="112"/>
        <v>0</v>
      </c>
      <c r="X79" s="40">
        <f t="shared" si="112"/>
        <v>0</v>
      </c>
      <c r="Y79" s="40">
        <f t="shared" si="112"/>
        <v>0</v>
      </c>
      <c r="Z79" s="40">
        <f t="shared" si="112"/>
        <v>0</v>
      </c>
      <c r="AA79" s="40">
        <f t="shared" si="112"/>
        <v>0</v>
      </c>
      <c r="AB79" s="40">
        <f t="shared" si="112"/>
        <v>0</v>
      </c>
      <c r="AC79" s="40">
        <f t="shared" si="112"/>
        <v>0</v>
      </c>
      <c r="AD79" s="40">
        <f t="shared" si="112"/>
        <v>0</v>
      </c>
      <c r="AE79" s="40">
        <f t="shared" si="112"/>
        <v>0</v>
      </c>
      <c r="AF79" s="40">
        <f t="shared" si="112"/>
        <v>0</v>
      </c>
      <c r="AG79" s="40">
        <f t="shared" si="112"/>
        <v>0</v>
      </c>
      <c r="AH79" s="40">
        <f t="shared" si="112"/>
        <v>0</v>
      </c>
      <c r="AI79" s="40">
        <f t="shared" si="112"/>
        <v>0</v>
      </c>
      <c r="AJ79" s="40">
        <f t="shared" si="112"/>
        <v>0</v>
      </c>
      <c r="AK79" s="40">
        <f t="shared" si="112"/>
        <v>0</v>
      </c>
      <c r="AL79" s="40">
        <f t="shared" si="112"/>
        <v>0</v>
      </c>
      <c r="AM79" s="40">
        <f t="shared" si="112"/>
        <v>0</v>
      </c>
      <c r="AN79" s="40">
        <f t="shared" si="112"/>
        <v>0</v>
      </c>
      <c r="AO79" s="40">
        <f t="shared" si="112"/>
        <v>0</v>
      </c>
      <c r="AP79" s="40">
        <f t="shared" si="112"/>
        <v>0</v>
      </c>
      <c r="AQ79" s="40">
        <f t="shared" si="112"/>
        <v>0</v>
      </c>
      <c r="AR79" s="40">
        <f t="shared" si="112"/>
        <v>0</v>
      </c>
      <c r="AS79" s="40">
        <f t="shared" si="112"/>
        <v>0</v>
      </c>
      <c r="AT79" s="40">
        <f t="shared" si="112"/>
        <v>0</v>
      </c>
      <c r="AU79" s="40">
        <f t="shared" si="112"/>
        <v>0</v>
      </c>
      <c r="AV79" s="40">
        <f t="shared" si="112"/>
        <v>0</v>
      </c>
      <c r="AW79" s="40">
        <f t="shared" si="112"/>
        <v>0</v>
      </c>
      <c r="AX79" s="40">
        <f t="shared" si="112"/>
        <v>0</v>
      </c>
      <c r="AY79" s="40">
        <f t="shared" si="112"/>
        <v>0</v>
      </c>
      <c r="AZ79" s="40">
        <f t="shared" si="112"/>
        <v>0</v>
      </c>
      <c r="BA79" s="40">
        <f t="shared" si="112"/>
        <v>0</v>
      </c>
      <c r="BB79" s="40">
        <f t="shared" si="112"/>
        <v>0</v>
      </c>
      <c r="BC79" s="40">
        <f t="shared" si="112"/>
        <v>0</v>
      </c>
      <c r="BD79" s="40">
        <f t="shared" si="112"/>
        <v>0</v>
      </c>
      <c r="BE79" s="40">
        <f t="shared" si="112"/>
        <v>0</v>
      </c>
      <c r="BF79" s="40">
        <f t="shared" si="112"/>
        <v>0</v>
      </c>
      <c r="BG79" s="40">
        <f t="shared" si="112"/>
        <v>0</v>
      </c>
      <c r="BH79" s="40">
        <f t="shared" si="112"/>
        <v>0</v>
      </c>
      <c r="BI79" s="40">
        <f t="shared" si="112"/>
        <v>0</v>
      </c>
      <c r="BJ79" s="40">
        <f t="shared" si="112"/>
        <v>0</v>
      </c>
      <c r="BK79" s="40">
        <f t="shared" si="112"/>
        <v>0</v>
      </c>
      <c r="BL79" s="40">
        <f t="shared" si="112"/>
        <v>0</v>
      </c>
      <c r="BM79" s="40">
        <f t="shared" si="112"/>
        <v>0</v>
      </c>
      <c r="BN79" s="40">
        <f t="shared" si="112"/>
        <v>0</v>
      </c>
      <c r="BO79" s="40">
        <f t="shared" si="112"/>
        <v>0</v>
      </c>
      <c r="BP79" s="40">
        <f t="shared" ref="BP79:CB79" si="113">IF(BP78&gt;$F26+1,0,1)*(IF(BQ79=0,100,0)+IF($G26=1,1,0.5)*$J26*100)</f>
        <v>0</v>
      </c>
      <c r="BQ79" s="40">
        <f t="shared" si="113"/>
        <v>0</v>
      </c>
      <c r="BR79" s="40">
        <f t="shared" si="113"/>
        <v>0</v>
      </c>
      <c r="BS79" s="40">
        <f t="shared" si="113"/>
        <v>0</v>
      </c>
      <c r="BT79" s="40">
        <f t="shared" si="113"/>
        <v>0</v>
      </c>
      <c r="BU79" s="40">
        <f t="shared" si="113"/>
        <v>0</v>
      </c>
      <c r="BV79" s="40">
        <f t="shared" si="113"/>
        <v>0</v>
      </c>
      <c r="BW79" s="40">
        <f t="shared" si="113"/>
        <v>0</v>
      </c>
      <c r="BX79" s="40">
        <f t="shared" si="113"/>
        <v>0</v>
      </c>
      <c r="BY79" s="40">
        <f t="shared" si="113"/>
        <v>0</v>
      </c>
      <c r="BZ79" s="40">
        <f t="shared" si="113"/>
        <v>0</v>
      </c>
      <c r="CA79" s="40">
        <f t="shared" si="113"/>
        <v>0</v>
      </c>
      <c r="CB79" s="41">
        <f t="shared" si="113"/>
        <v>0</v>
      </c>
      <c r="CF79" s="9"/>
      <c r="CG79" s="9"/>
      <c r="CH79" s="9"/>
      <c r="CI79" s="9"/>
      <c r="CJ79" s="9"/>
      <c r="CK79" s="9"/>
      <c r="CL79" s="9"/>
      <c r="CM79" s="9"/>
      <c r="CN79" s="9"/>
      <c r="CO79" s="9"/>
      <c r="CP79" s="9"/>
      <c r="CQ79" s="9"/>
      <c r="CR79" s="9"/>
      <c r="CS79" s="9"/>
      <c r="CT79" s="9"/>
      <c r="CU79" s="9"/>
      <c r="CV79" s="9"/>
      <c r="CW79" s="9"/>
      <c r="CX79" s="9"/>
      <c r="CY79" s="9"/>
      <c r="CZ79" s="9"/>
      <c r="DA79" s="9"/>
      <c r="DB79" s="9"/>
      <c r="DC79" s="9"/>
      <c r="DD79" s="9"/>
      <c r="DE79" s="9"/>
      <c r="DF79" s="9"/>
      <c r="DG79" s="9"/>
      <c r="DH79" s="9"/>
      <c r="DI79" s="9"/>
      <c r="DJ79" s="9"/>
      <c r="DK79" s="9"/>
    </row>
    <row r="80" spans="1:115">
      <c r="A80" s="520" t="s">
        <v>49</v>
      </c>
      <c r="B80" s="79">
        <f>IF(E27=0,F27,E27)</f>
        <v>0</v>
      </c>
      <c r="C80" s="80">
        <f>B80+IF($G27=1,365,182.5)</f>
        <v>182.5</v>
      </c>
      <c r="D80" s="80">
        <f>C80+IF($G27=1,365,182.5)</f>
        <v>365</v>
      </c>
      <c r="E80" s="80">
        <f t="shared" ref="E80:BP80" si="114">D80+IF($G27=1,365,182.5)</f>
        <v>547.5</v>
      </c>
      <c r="F80" s="80">
        <f t="shared" si="114"/>
        <v>730</v>
      </c>
      <c r="G80" s="80">
        <f t="shared" si="114"/>
        <v>912.5</v>
      </c>
      <c r="H80" s="80">
        <f t="shared" si="114"/>
        <v>1095</v>
      </c>
      <c r="I80" s="80">
        <f t="shared" si="114"/>
        <v>1277.5</v>
      </c>
      <c r="J80" s="80">
        <f t="shared" si="114"/>
        <v>1460</v>
      </c>
      <c r="K80" s="80">
        <f t="shared" si="114"/>
        <v>1642.5</v>
      </c>
      <c r="L80" s="80">
        <f t="shared" si="114"/>
        <v>1825</v>
      </c>
      <c r="M80" s="80">
        <f t="shared" si="114"/>
        <v>2007.5</v>
      </c>
      <c r="N80" s="80">
        <f t="shared" si="114"/>
        <v>2190</v>
      </c>
      <c r="O80" s="80">
        <f t="shared" si="114"/>
        <v>2372.5</v>
      </c>
      <c r="P80" s="80">
        <f t="shared" si="114"/>
        <v>2555</v>
      </c>
      <c r="Q80" s="80">
        <f t="shared" si="114"/>
        <v>2737.5</v>
      </c>
      <c r="R80" s="80">
        <f t="shared" si="114"/>
        <v>2920</v>
      </c>
      <c r="S80" s="80">
        <f t="shared" si="114"/>
        <v>3102.5</v>
      </c>
      <c r="T80" s="80">
        <f t="shared" si="114"/>
        <v>3285</v>
      </c>
      <c r="U80" s="80">
        <f t="shared" si="114"/>
        <v>3467.5</v>
      </c>
      <c r="V80" s="80">
        <f t="shared" si="114"/>
        <v>3650</v>
      </c>
      <c r="W80" s="80">
        <f t="shared" si="114"/>
        <v>3832.5</v>
      </c>
      <c r="X80" s="80">
        <f t="shared" si="114"/>
        <v>4015</v>
      </c>
      <c r="Y80" s="80">
        <f t="shared" si="114"/>
        <v>4197.5</v>
      </c>
      <c r="Z80" s="80">
        <f t="shared" si="114"/>
        <v>4380</v>
      </c>
      <c r="AA80" s="80">
        <f t="shared" si="114"/>
        <v>4562.5</v>
      </c>
      <c r="AB80" s="80">
        <f t="shared" si="114"/>
        <v>4745</v>
      </c>
      <c r="AC80" s="80">
        <f t="shared" si="114"/>
        <v>4927.5</v>
      </c>
      <c r="AD80" s="80">
        <f t="shared" si="114"/>
        <v>5110</v>
      </c>
      <c r="AE80" s="80">
        <f t="shared" si="114"/>
        <v>5292.5</v>
      </c>
      <c r="AF80" s="80">
        <f t="shared" si="114"/>
        <v>5475</v>
      </c>
      <c r="AG80" s="80">
        <f t="shared" si="114"/>
        <v>5657.5</v>
      </c>
      <c r="AH80" s="80">
        <f t="shared" si="114"/>
        <v>5840</v>
      </c>
      <c r="AI80" s="80">
        <f t="shared" si="114"/>
        <v>6022.5</v>
      </c>
      <c r="AJ80" s="80">
        <f t="shared" si="114"/>
        <v>6205</v>
      </c>
      <c r="AK80" s="80">
        <f t="shared" si="114"/>
        <v>6387.5</v>
      </c>
      <c r="AL80" s="80">
        <f t="shared" si="114"/>
        <v>6570</v>
      </c>
      <c r="AM80" s="80">
        <f t="shared" si="114"/>
        <v>6752.5</v>
      </c>
      <c r="AN80" s="80">
        <f t="shared" si="114"/>
        <v>6935</v>
      </c>
      <c r="AO80" s="80">
        <f t="shared" si="114"/>
        <v>7117.5</v>
      </c>
      <c r="AP80" s="80">
        <f t="shared" si="114"/>
        <v>7300</v>
      </c>
      <c r="AQ80" s="80">
        <f t="shared" si="114"/>
        <v>7482.5</v>
      </c>
      <c r="AR80" s="80">
        <f t="shared" si="114"/>
        <v>7665</v>
      </c>
      <c r="AS80" s="80">
        <f t="shared" si="114"/>
        <v>7847.5</v>
      </c>
      <c r="AT80" s="80">
        <f t="shared" si="114"/>
        <v>8030</v>
      </c>
      <c r="AU80" s="80">
        <f t="shared" si="114"/>
        <v>8212.5</v>
      </c>
      <c r="AV80" s="80">
        <f t="shared" si="114"/>
        <v>8395</v>
      </c>
      <c r="AW80" s="80">
        <f t="shared" si="114"/>
        <v>8577.5</v>
      </c>
      <c r="AX80" s="80">
        <f t="shared" si="114"/>
        <v>8760</v>
      </c>
      <c r="AY80" s="80">
        <f t="shared" si="114"/>
        <v>8942.5</v>
      </c>
      <c r="AZ80" s="80">
        <f t="shared" si="114"/>
        <v>9125</v>
      </c>
      <c r="BA80" s="80">
        <f t="shared" si="114"/>
        <v>9307.5</v>
      </c>
      <c r="BB80" s="80">
        <f t="shared" si="114"/>
        <v>9490</v>
      </c>
      <c r="BC80" s="80">
        <f t="shared" si="114"/>
        <v>9672.5</v>
      </c>
      <c r="BD80" s="80">
        <f t="shared" si="114"/>
        <v>9855</v>
      </c>
      <c r="BE80" s="80">
        <f t="shared" si="114"/>
        <v>10037.5</v>
      </c>
      <c r="BF80" s="80">
        <f t="shared" si="114"/>
        <v>10220</v>
      </c>
      <c r="BG80" s="80">
        <f t="shared" si="114"/>
        <v>10402.5</v>
      </c>
      <c r="BH80" s="80">
        <f t="shared" si="114"/>
        <v>10585</v>
      </c>
      <c r="BI80" s="80">
        <f t="shared" si="114"/>
        <v>10767.5</v>
      </c>
      <c r="BJ80" s="80">
        <f t="shared" si="114"/>
        <v>10950</v>
      </c>
      <c r="BK80" s="80">
        <f t="shared" si="114"/>
        <v>11132.5</v>
      </c>
      <c r="BL80" s="80">
        <f t="shared" si="114"/>
        <v>11315</v>
      </c>
      <c r="BM80" s="80">
        <f t="shared" si="114"/>
        <v>11497.5</v>
      </c>
      <c r="BN80" s="80">
        <f t="shared" si="114"/>
        <v>11680</v>
      </c>
      <c r="BO80" s="80">
        <f t="shared" si="114"/>
        <v>11862.5</v>
      </c>
      <c r="BP80" s="80">
        <f t="shared" si="114"/>
        <v>12045</v>
      </c>
      <c r="BQ80" s="80">
        <f t="shared" ref="BQ80:CB80" si="115">BP80+IF($G27=1,365,182.5)</f>
        <v>12227.5</v>
      </c>
      <c r="BR80" s="80">
        <f t="shared" si="115"/>
        <v>12410</v>
      </c>
      <c r="BS80" s="80">
        <f t="shared" si="115"/>
        <v>12592.5</v>
      </c>
      <c r="BT80" s="80">
        <f t="shared" si="115"/>
        <v>12775</v>
      </c>
      <c r="BU80" s="80">
        <f t="shared" si="115"/>
        <v>12957.5</v>
      </c>
      <c r="BV80" s="80">
        <f t="shared" si="115"/>
        <v>13140</v>
      </c>
      <c r="BW80" s="80">
        <f t="shared" si="115"/>
        <v>13322.5</v>
      </c>
      <c r="BX80" s="80">
        <f t="shared" si="115"/>
        <v>13505</v>
      </c>
      <c r="BY80" s="80">
        <f t="shared" si="115"/>
        <v>13687.5</v>
      </c>
      <c r="BZ80" s="80">
        <f t="shared" si="115"/>
        <v>13870</v>
      </c>
      <c r="CA80" s="80">
        <f t="shared" si="115"/>
        <v>14052.5</v>
      </c>
      <c r="CB80" s="81">
        <f t="shared" si="115"/>
        <v>14235</v>
      </c>
      <c r="CF80" s="9"/>
      <c r="CG80" s="9"/>
      <c r="CH80" s="9"/>
      <c r="CI80" s="9"/>
      <c r="CJ80" s="9"/>
      <c r="CK80" s="9"/>
      <c r="CL80" s="9"/>
      <c r="CM80" s="9"/>
      <c r="CN80" s="9"/>
      <c r="CO80" s="9"/>
      <c r="CP80" s="9"/>
      <c r="CQ80" s="9"/>
      <c r="CR80" s="9"/>
      <c r="CS80" s="9"/>
      <c r="CT80" s="9"/>
      <c r="CU80" s="9"/>
      <c r="CV80" s="9"/>
      <c r="CW80" s="9"/>
      <c r="CX80" s="9"/>
      <c r="CY80" s="9"/>
      <c r="CZ80" s="9"/>
      <c r="DA80" s="9"/>
      <c r="DB80" s="9"/>
      <c r="DC80" s="9"/>
      <c r="DD80" s="9"/>
      <c r="DE80" s="9"/>
      <c r="DF80" s="9"/>
      <c r="DG80" s="9"/>
      <c r="DH80" s="9"/>
      <c r="DI80" s="9"/>
      <c r="DJ80" s="9"/>
      <c r="DK80" s="9"/>
    </row>
    <row r="81" spans="1:115">
      <c r="A81" s="222" t="s">
        <v>130</v>
      </c>
      <c r="B81" s="114">
        <f>(IF(B80=F27,100,0)+IF(G27=1,1,0.5)*J27*100)*IF(ISBLANK(F27)=TRUE,0,1)</f>
        <v>0</v>
      </c>
      <c r="C81" s="82">
        <f>IF(C80&gt;$F27+1,0,1)*(IF(D81=0,100,0)+IF($G27=1,1,0.5)*$J27*100)</f>
        <v>0</v>
      </c>
      <c r="D81" s="82">
        <f t="shared" ref="D81:BO81" si="116">IF(D80&gt;$F27+1,0,1)*(IF(E81=0,100,0)+IF($G27=1,1,0.5)*$J27*100)</f>
        <v>0</v>
      </c>
      <c r="E81" s="82">
        <f t="shared" si="116"/>
        <v>0</v>
      </c>
      <c r="F81" s="82">
        <f t="shared" si="116"/>
        <v>0</v>
      </c>
      <c r="G81" s="82">
        <f t="shared" si="116"/>
        <v>0</v>
      </c>
      <c r="H81" s="82">
        <f t="shared" si="116"/>
        <v>0</v>
      </c>
      <c r="I81" s="82">
        <f t="shared" si="116"/>
        <v>0</v>
      </c>
      <c r="J81" s="82">
        <f t="shared" si="116"/>
        <v>0</v>
      </c>
      <c r="K81" s="82">
        <f t="shared" si="116"/>
        <v>0</v>
      </c>
      <c r="L81" s="82">
        <f t="shared" si="116"/>
        <v>0</v>
      </c>
      <c r="M81" s="82">
        <f t="shared" si="116"/>
        <v>0</v>
      </c>
      <c r="N81" s="82">
        <f t="shared" si="116"/>
        <v>0</v>
      </c>
      <c r="O81" s="82">
        <f t="shared" si="116"/>
        <v>0</v>
      </c>
      <c r="P81" s="82">
        <f t="shared" si="116"/>
        <v>0</v>
      </c>
      <c r="Q81" s="82">
        <f t="shared" si="116"/>
        <v>0</v>
      </c>
      <c r="R81" s="82">
        <f t="shared" si="116"/>
        <v>0</v>
      </c>
      <c r="S81" s="82">
        <f t="shared" si="116"/>
        <v>0</v>
      </c>
      <c r="T81" s="82">
        <f t="shared" si="116"/>
        <v>0</v>
      </c>
      <c r="U81" s="82">
        <f t="shared" si="116"/>
        <v>0</v>
      </c>
      <c r="V81" s="82">
        <f t="shared" si="116"/>
        <v>0</v>
      </c>
      <c r="W81" s="82">
        <f t="shared" si="116"/>
        <v>0</v>
      </c>
      <c r="X81" s="82">
        <f t="shared" si="116"/>
        <v>0</v>
      </c>
      <c r="Y81" s="82">
        <f t="shared" si="116"/>
        <v>0</v>
      </c>
      <c r="Z81" s="82">
        <f t="shared" si="116"/>
        <v>0</v>
      </c>
      <c r="AA81" s="82">
        <f t="shared" si="116"/>
        <v>0</v>
      </c>
      <c r="AB81" s="82">
        <f t="shared" si="116"/>
        <v>0</v>
      </c>
      <c r="AC81" s="82">
        <f t="shared" si="116"/>
        <v>0</v>
      </c>
      <c r="AD81" s="82">
        <f t="shared" si="116"/>
        <v>0</v>
      </c>
      <c r="AE81" s="82">
        <f t="shared" si="116"/>
        <v>0</v>
      </c>
      <c r="AF81" s="82">
        <f t="shared" si="116"/>
        <v>0</v>
      </c>
      <c r="AG81" s="82">
        <f t="shared" si="116"/>
        <v>0</v>
      </c>
      <c r="AH81" s="82">
        <f t="shared" si="116"/>
        <v>0</v>
      </c>
      <c r="AI81" s="82">
        <f t="shared" si="116"/>
        <v>0</v>
      </c>
      <c r="AJ81" s="82">
        <f t="shared" si="116"/>
        <v>0</v>
      </c>
      <c r="AK81" s="82">
        <f t="shared" si="116"/>
        <v>0</v>
      </c>
      <c r="AL81" s="82">
        <f t="shared" si="116"/>
        <v>0</v>
      </c>
      <c r="AM81" s="82">
        <f t="shared" si="116"/>
        <v>0</v>
      </c>
      <c r="AN81" s="82">
        <f t="shared" si="116"/>
        <v>0</v>
      </c>
      <c r="AO81" s="82">
        <f t="shared" si="116"/>
        <v>0</v>
      </c>
      <c r="AP81" s="82">
        <f t="shared" si="116"/>
        <v>0</v>
      </c>
      <c r="AQ81" s="82">
        <f t="shared" si="116"/>
        <v>0</v>
      </c>
      <c r="AR81" s="82">
        <f t="shared" si="116"/>
        <v>0</v>
      </c>
      <c r="AS81" s="82">
        <f t="shared" si="116"/>
        <v>0</v>
      </c>
      <c r="AT81" s="82">
        <f t="shared" si="116"/>
        <v>0</v>
      </c>
      <c r="AU81" s="82">
        <f t="shared" si="116"/>
        <v>0</v>
      </c>
      <c r="AV81" s="82">
        <f t="shared" si="116"/>
        <v>0</v>
      </c>
      <c r="AW81" s="82">
        <f t="shared" si="116"/>
        <v>0</v>
      </c>
      <c r="AX81" s="82">
        <f t="shared" si="116"/>
        <v>0</v>
      </c>
      <c r="AY81" s="82">
        <f t="shared" si="116"/>
        <v>0</v>
      </c>
      <c r="AZ81" s="82">
        <f t="shared" si="116"/>
        <v>0</v>
      </c>
      <c r="BA81" s="82">
        <f t="shared" si="116"/>
        <v>0</v>
      </c>
      <c r="BB81" s="82">
        <f t="shared" si="116"/>
        <v>0</v>
      </c>
      <c r="BC81" s="82">
        <f t="shared" si="116"/>
        <v>0</v>
      </c>
      <c r="BD81" s="82">
        <f t="shared" si="116"/>
        <v>0</v>
      </c>
      <c r="BE81" s="82">
        <f t="shared" si="116"/>
        <v>0</v>
      </c>
      <c r="BF81" s="82">
        <f t="shared" si="116"/>
        <v>0</v>
      </c>
      <c r="BG81" s="82">
        <f t="shared" si="116"/>
        <v>0</v>
      </c>
      <c r="BH81" s="82">
        <f t="shared" si="116"/>
        <v>0</v>
      </c>
      <c r="BI81" s="82">
        <f t="shared" si="116"/>
        <v>0</v>
      </c>
      <c r="BJ81" s="82">
        <f t="shared" si="116"/>
        <v>0</v>
      </c>
      <c r="BK81" s="82">
        <f t="shared" si="116"/>
        <v>0</v>
      </c>
      <c r="BL81" s="82">
        <f t="shared" si="116"/>
        <v>0</v>
      </c>
      <c r="BM81" s="82">
        <f t="shared" si="116"/>
        <v>0</v>
      </c>
      <c r="BN81" s="82">
        <f t="shared" si="116"/>
        <v>0</v>
      </c>
      <c r="BO81" s="82">
        <f t="shared" si="116"/>
        <v>0</v>
      </c>
      <c r="BP81" s="82">
        <f t="shared" ref="BP81:CB81" si="117">IF(BP80&gt;$F27+1,0,1)*(IF(BQ81=0,100,0)+IF($G27=1,1,0.5)*$J27*100)</f>
        <v>0</v>
      </c>
      <c r="BQ81" s="82">
        <f t="shared" si="117"/>
        <v>0</v>
      </c>
      <c r="BR81" s="82">
        <f t="shared" si="117"/>
        <v>0</v>
      </c>
      <c r="BS81" s="82">
        <f t="shared" si="117"/>
        <v>0</v>
      </c>
      <c r="BT81" s="82">
        <f t="shared" si="117"/>
        <v>0</v>
      </c>
      <c r="BU81" s="82">
        <f t="shared" si="117"/>
        <v>0</v>
      </c>
      <c r="BV81" s="82">
        <f t="shared" si="117"/>
        <v>0</v>
      </c>
      <c r="BW81" s="82">
        <f t="shared" si="117"/>
        <v>0</v>
      </c>
      <c r="BX81" s="82">
        <f t="shared" si="117"/>
        <v>0</v>
      </c>
      <c r="BY81" s="82">
        <f t="shared" si="117"/>
        <v>0</v>
      </c>
      <c r="BZ81" s="82">
        <f t="shared" si="117"/>
        <v>0</v>
      </c>
      <c r="CA81" s="82">
        <f t="shared" si="117"/>
        <v>0</v>
      </c>
      <c r="CB81" s="83">
        <f t="shared" si="117"/>
        <v>0</v>
      </c>
      <c r="CF81" s="9"/>
      <c r="CG81" s="9"/>
      <c r="CH81" s="9"/>
      <c r="CI81" s="9"/>
      <c r="CJ81" s="9"/>
      <c r="CK81" s="9"/>
      <c r="CL81" s="9"/>
      <c r="CM81" s="9"/>
      <c r="CN81" s="9"/>
      <c r="CO81" s="9"/>
      <c r="CP81" s="9"/>
      <c r="CQ81" s="9"/>
      <c r="CR81" s="9"/>
      <c r="CS81" s="9"/>
      <c r="CT81" s="9"/>
      <c r="CU81" s="9"/>
      <c r="CV81" s="9"/>
      <c r="CW81" s="9"/>
      <c r="CX81" s="9"/>
      <c r="CY81" s="9"/>
      <c r="CZ81" s="9"/>
      <c r="DA81" s="9"/>
      <c r="DB81" s="9"/>
      <c r="DC81" s="9"/>
      <c r="DD81" s="9"/>
      <c r="DE81" s="9"/>
      <c r="DF81" s="9"/>
      <c r="DG81" s="9"/>
      <c r="DH81" s="9"/>
      <c r="DI81" s="9"/>
      <c r="DJ81" s="9"/>
      <c r="DK81" s="9"/>
    </row>
    <row r="82" spans="1:115" s="6" customForma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10"/>
      <c r="CF82" s="10"/>
      <c r="CG82" s="10"/>
      <c r="CH82" s="10"/>
      <c r="CI82" s="10"/>
      <c r="CJ82" s="10"/>
      <c r="CK82" s="10"/>
      <c r="CL82" s="10"/>
      <c r="CM82" s="10"/>
      <c r="CN82" s="10"/>
      <c r="CO82" s="10"/>
      <c r="CP82" s="10"/>
      <c r="CQ82" s="10"/>
      <c r="CR82" s="10"/>
      <c r="CS82" s="10"/>
      <c r="CT82" s="10"/>
      <c r="CU82" s="10"/>
      <c r="CV82" s="10"/>
      <c r="CW82" s="10"/>
      <c r="CX82" s="10"/>
      <c r="CY82" s="10"/>
      <c r="CZ82" s="10"/>
      <c r="DA82" s="10"/>
      <c r="DB82" s="10"/>
      <c r="DC82" s="10"/>
      <c r="DD82" s="10"/>
      <c r="DE82" s="10"/>
      <c r="DF82" s="10"/>
      <c r="DG82" s="10"/>
      <c r="DH82" s="10"/>
      <c r="DI82" s="10"/>
      <c r="DJ82" s="10"/>
      <c r="DK82" s="10"/>
    </row>
    <row r="83" spans="1:115">
      <c r="A83" s="16" t="s">
        <v>42</v>
      </c>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7"/>
      <c r="CD83" s="17"/>
      <c r="CE83" s="17"/>
      <c r="CF83" s="9"/>
      <c r="CG83" s="9"/>
      <c r="CH83" s="9"/>
      <c r="CI83" s="9"/>
      <c r="CJ83" s="9"/>
      <c r="CK83" s="9"/>
      <c r="CL83" s="9"/>
      <c r="CM83" s="9"/>
      <c r="CN83" s="9"/>
      <c r="CO83" s="9"/>
      <c r="CP83" s="9"/>
      <c r="CQ83" s="9"/>
      <c r="CR83" s="9"/>
      <c r="CS83" s="9"/>
      <c r="CT83" s="9"/>
      <c r="CU83" s="9"/>
      <c r="CV83" s="9"/>
      <c r="CW83" s="9"/>
      <c r="CX83" s="9"/>
      <c r="CY83" s="9"/>
      <c r="CZ83" s="9"/>
      <c r="DA83" s="9"/>
      <c r="DB83" s="9"/>
      <c r="DC83" s="9"/>
      <c r="DD83" s="9"/>
      <c r="DE83" s="9"/>
      <c r="DF83" s="9"/>
      <c r="DG83" s="9"/>
      <c r="DH83" s="9"/>
      <c r="DI83" s="9"/>
      <c r="DJ83" s="9"/>
      <c r="DK83" s="9"/>
    </row>
    <row r="84" spans="1:115">
      <c r="A84" s="16" t="s">
        <v>40</v>
      </c>
      <c r="B84" s="140">
        <f t="shared" ref="B84:BM84" si="118">DAYS360($B$3,B30)</f>
        <v>91</v>
      </c>
      <c r="C84" s="140">
        <f t="shared" si="118"/>
        <v>270</v>
      </c>
      <c r="D84" s="140">
        <f t="shared" si="118"/>
        <v>450</v>
      </c>
      <c r="E84" s="140">
        <f t="shared" si="118"/>
        <v>630</v>
      </c>
      <c r="F84" s="140">
        <f t="shared" si="118"/>
        <v>810</v>
      </c>
      <c r="G84" s="140">
        <f t="shared" si="118"/>
        <v>990</v>
      </c>
      <c r="H84" s="140">
        <f t="shared" si="118"/>
        <v>1170</v>
      </c>
      <c r="I84" s="140">
        <f t="shared" si="118"/>
        <v>1350</v>
      </c>
      <c r="J84" s="140">
        <f t="shared" si="118"/>
        <v>1530</v>
      </c>
      <c r="K84" s="140">
        <f t="shared" si="118"/>
        <v>1709</v>
      </c>
      <c r="L84" s="140">
        <f t="shared" si="118"/>
        <v>1889</v>
      </c>
      <c r="M84" s="140">
        <f t="shared" si="118"/>
        <v>2069</v>
      </c>
      <c r="N84" s="140">
        <f t="shared" si="118"/>
        <v>2249</v>
      </c>
      <c r="O84" s="140">
        <f t="shared" si="118"/>
        <v>2429</v>
      </c>
      <c r="P84" s="140">
        <f t="shared" si="118"/>
        <v>2609</v>
      </c>
      <c r="Q84" s="140">
        <f t="shared" si="118"/>
        <v>2789</v>
      </c>
      <c r="R84" s="140">
        <f t="shared" si="118"/>
        <v>2969</v>
      </c>
      <c r="S84" s="140">
        <f t="shared" si="118"/>
        <v>3149</v>
      </c>
      <c r="T84" s="140">
        <f t="shared" si="118"/>
        <v>3328</v>
      </c>
      <c r="U84" s="140">
        <f t="shared" si="118"/>
        <v>3509</v>
      </c>
      <c r="V84" s="140">
        <f t="shared" si="118"/>
        <v>3688</v>
      </c>
      <c r="W84" s="140">
        <f t="shared" si="118"/>
        <v>3869</v>
      </c>
      <c r="X84" s="140">
        <f t="shared" si="118"/>
        <v>4048</v>
      </c>
      <c r="Y84" s="140">
        <f t="shared" si="118"/>
        <v>4229</v>
      </c>
      <c r="Z84" s="140">
        <f t="shared" si="118"/>
        <v>4408</v>
      </c>
      <c r="AA84" s="140">
        <f t="shared" si="118"/>
        <v>4588</v>
      </c>
      <c r="AB84" s="140">
        <f t="shared" si="118"/>
        <v>4767</v>
      </c>
      <c r="AC84" s="140">
        <f t="shared" si="118"/>
        <v>4948</v>
      </c>
      <c r="AD84" s="140">
        <f t="shared" si="118"/>
        <v>5127</v>
      </c>
      <c r="AE84" s="140">
        <f t="shared" si="118"/>
        <v>5308</v>
      </c>
      <c r="AF84" s="140">
        <f t="shared" si="118"/>
        <v>5487</v>
      </c>
      <c r="AG84" s="140">
        <f t="shared" si="118"/>
        <v>5668</v>
      </c>
      <c r="AH84" s="140">
        <f t="shared" si="118"/>
        <v>5847</v>
      </c>
      <c r="AI84" s="140">
        <f t="shared" si="118"/>
        <v>6027</v>
      </c>
      <c r="AJ84" s="140">
        <f t="shared" si="118"/>
        <v>6206</v>
      </c>
      <c r="AK84" s="140">
        <f t="shared" si="118"/>
        <v>6387</v>
      </c>
      <c r="AL84" s="140">
        <f t="shared" si="118"/>
        <v>6566</v>
      </c>
      <c r="AM84" s="140">
        <f t="shared" si="118"/>
        <v>6747</v>
      </c>
      <c r="AN84" s="140">
        <f t="shared" si="118"/>
        <v>6926</v>
      </c>
      <c r="AO84" s="140">
        <f t="shared" si="118"/>
        <v>7107</v>
      </c>
      <c r="AP84" s="140">
        <f t="shared" si="118"/>
        <v>7286</v>
      </c>
      <c r="AQ84" s="140">
        <f t="shared" si="118"/>
        <v>7466</v>
      </c>
      <c r="AR84" s="140">
        <f t="shared" si="118"/>
        <v>7645</v>
      </c>
      <c r="AS84" s="140">
        <f t="shared" si="118"/>
        <v>7826</v>
      </c>
      <c r="AT84" s="140">
        <f t="shared" si="118"/>
        <v>8005</v>
      </c>
      <c r="AU84" s="140">
        <f t="shared" si="118"/>
        <v>8186</v>
      </c>
      <c r="AV84" s="140">
        <f t="shared" si="118"/>
        <v>8365</v>
      </c>
      <c r="AW84" s="140">
        <f t="shared" si="118"/>
        <v>8546</v>
      </c>
      <c r="AX84" s="140">
        <f t="shared" si="118"/>
        <v>8725</v>
      </c>
      <c r="AY84" s="140">
        <f t="shared" si="118"/>
        <v>8905</v>
      </c>
      <c r="AZ84" s="140">
        <f t="shared" si="118"/>
        <v>9084</v>
      </c>
      <c r="BA84" s="140">
        <f t="shared" si="118"/>
        <v>9265</v>
      </c>
      <c r="BB84" s="140">
        <f t="shared" si="118"/>
        <v>9444</v>
      </c>
      <c r="BC84" s="140">
        <f t="shared" si="118"/>
        <v>9625</v>
      </c>
      <c r="BD84" s="140">
        <f t="shared" si="118"/>
        <v>9804</v>
      </c>
      <c r="BE84" s="140">
        <f t="shared" si="118"/>
        <v>9985</v>
      </c>
      <c r="BF84" s="140">
        <f t="shared" si="118"/>
        <v>10164</v>
      </c>
      <c r="BG84" s="140">
        <f t="shared" si="118"/>
        <v>10344</v>
      </c>
      <c r="BH84" s="140">
        <f t="shared" si="118"/>
        <v>10523</v>
      </c>
      <c r="BI84" s="140">
        <f t="shared" si="118"/>
        <v>10704</v>
      </c>
      <c r="BJ84" s="140">
        <f t="shared" si="118"/>
        <v>10883</v>
      </c>
      <c r="BK84" s="140">
        <f t="shared" si="118"/>
        <v>11064</v>
      </c>
      <c r="BL84" s="140">
        <f t="shared" si="118"/>
        <v>11243</v>
      </c>
      <c r="BM84" s="140">
        <f t="shared" si="118"/>
        <v>11424</v>
      </c>
      <c r="BN84" s="140">
        <f t="shared" ref="BN84:CB84" si="119">DAYS360($B$3,BN30)</f>
        <v>11603</v>
      </c>
      <c r="BO84" s="140">
        <f t="shared" si="119"/>
        <v>11783</v>
      </c>
      <c r="BP84" s="140">
        <f t="shared" si="119"/>
        <v>11962</v>
      </c>
      <c r="BQ84" s="140">
        <f t="shared" si="119"/>
        <v>12143</v>
      </c>
      <c r="BR84" s="140">
        <f t="shared" si="119"/>
        <v>12322</v>
      </c>
      <c r="BS84" s="140">
        <f t="shared" si="119"/>
        <v>12503</v>
      </c>
      <c r="BT84" s="140">
        <f t="shared" si="119"/>
        <v>12682</v>
      </c>
      <c r="BU84" s="140">
        <f t="shared" si="119"/>
        <v>12863</v>
      </c>
      <c r="BV84" s="140">
        <f t="shared" si="119"/>
        <v>13042</v>
      </c>
      <c r="BW84" s="140">
        <f t="shared" si="119"/>
        <v>13222</v>
      </c>
      <c r="BX84" s="140">
        <f t="shared" si="119"/>
        <v>13401</v>
      </c>
      <c r="BY84" s="140">
        <f t="shared" si="119"/>
        <v>13582</v>
      </c>
      <c r="BZ84" s="140">
        <f t="shared" si="119"/>
        <v>13761</v>
      </c>
      <c r="CA84" s="140">
        <f t="shared" si="119"/>
        <v>13942</v>
      </c>
      <c r="CB84" s="140">
        <f t="shared" si="119"/>
        <v>14121</v>
      </c>
      <c r="CC84" s="17"/>
      <c r="CD84" s="17"/>
      <c r="CE84" s="17"/>
    </row>
    <row r="85" spans="1:115">
      <c r="A85" s="16" t="s">
        <v>41</v>
      </c>
      <c r="B85" s="140">
        <f>B84/360</f>
        <v>0.25277777777777777</v>
      </c>
      <c r="C85" s="140">
        <f t="shared" ref="C85:BN85" si="120">C84/360</f>
        <v>0.75</v>
      </c>
      <c r="D85" s="140">
        <f t="shared" si="120"/>
        <v>1.25</v>
      </c>
      <c r="E85" s="140">
        <f t="shared" si="120"/>
        <v>1.75</v>
      </c>
      <c r="F85" s="140">
        <f t="shared" si="120"/>
        <v>2.25</v>
      </c>
      <c r="G85" s="140">
        <f t="shared" si="120"/>
        <v>2.75</v>
      </c>
      <c r="H85" s="140">
        <f t="shared" si="120"/>
        <v>3.25</v>
      </c>
      <c r="I85" s="140">
        <f t="shared" si="120"/>
        <v>3.75</v>
      </c>
      <c r="J85" s="140">
        <f t="shared" si="120"/>
        <v>4.25</v>
      </c>
      <c r="K85" s="140">
        <f t="shared" si="120"/>
        <v>4.7472222222222218</v>
      </c>
      <c r="L85" s="140">
        <f t="shared" si="120"/>
        <v>5.2472222222222218</v>
      </c>
      <c r="M85" s="140">
        <f t="shared" si="120"/>
        <v>5.7472222222222218</v>
      </c>
      <c r="N85" s="140">
        <f t="shared" si="120"/>
        <v>6.2472222222222218</v>
      </c>
      <c r="O85" s="140">
        <f t="shared" si="120"/>
        <v>6.7472222222222218</v>
      </c>
      <c r="P85" s="140">
        <f t="shared" si="120"/>
        <v>7.2472222222222218</v>
      </c>
      <c r="Q85" s="140">
        <f t="shared" si="120"/>
        <v>7.7472222222222218</v>
      </c>
      <c r="R85" s="140">
        <f t="shared" si="120"/>
        <v>8.2472222222222218</v>
      </c>
      <c r="S85" s="140">
        <f t="shared" si="120"/>
        <v>8.7472222222222218</v>
      </c>
      <c r="T85" s="140">
        <f t="shared" si="120"/>
        <v>9.2444444444444436</v>
      </c>
      <c r="U85" s="140">
        <f t="shared" si="120"/>
        <v>9.7472222222222218</v>
      </c>
      <c r="V85" s="140">
        <f t="shared" si="120"/>
        <v>10.244444444444444</v>
      </c>
      <c r="W85" s="140">
        <f t="shared" si="120"/>
        <v>10.747222222222222</v>
      </c>
      <c r="X85" s="140">
        <f t="shared" si="120"/>
        <v>11.244444444444444</v>
      </c>
      <c r="Y85" s="140">
        <f t="shared" si="120"/>
        <v>11.747222222222222</v>
      </c>
      <c r="Z85" s="140">
        <f t="shared" si="120"/>
        <v>12.244444444444444</v>
      </c>
      <c r="AA85" s="140">
        <f t="shared" si="120"/>
        <v>12.744444444444444</v>
      </c>
      <c r="AB85" s="140">
        <f t="shared" si="120"/>
        <v>13.241666666666667</v>
      </c>
      <c r="AC85" s="140">
        <f t="shared" si="120"/>
        <v>13.744444444444444</v>
      </c>
      <c r="AD85" s="140">
        <f t="shared" si="120"/>
        <v>14.241666666666667</v>
      </c>
      <c r="AE85" s="140">
        <f t="shared" si="120"/>
        <v>14.744444444444444</v>
      </c>
      <c r="AF85" s="140">
        <f t="shared" si="120"/>
        <v>15.241666666666667</v>
      </c>
      <c r="AG85" s="140">
        <f t="shared" si="120"/>
        <v>15.744444444444444</v>
      </c>
      <c r="AH85" s="140">
        <f t="shared" si="120"/>
        <v>16.241666666666667</v>
      </c>
      <c r="AI85" s="140">
        <f t="shared" si="120"/>
        <v>16.741666666666667</v>
      </c>
      <c r="AJ85" s="140">
        <f t="shared" si="120"/>
        <v>17.238888888888887</v>
      </c>
      <c r="AK85" s="140">
        <f t="shared" si="120"/>
        <v>17.741666666666667</v>
      </c>
      <c r="AL85" s="140">
        <f t="shared" si="120"/>
        <v>18.238888888888887</v>
      </c>
      <c r="AM85" s="140">
        <f t="shared" si="120"/>
        <v>18.741666666666667</v>
      </c>
      <c r="AN85" s="140">
        <f t="shared" si="120"/>
        <v>19.238888888888887</v>
      </c>
      <c r="AO85" s="140">
        <f t="shared" si="120"/>
        <v>19.741666666666667</v>
      </c>
      <c r="AP85" s="140">
        <f t="shared" si="120"/>
        <v>20.238888888888887</v>
      </c>
      <c r="AQ85" s="140">
        <f t="shared" si="120"/>
        <v>20.738888888888887</v>
      </c>
      <c r="AR85" s="140">
        <f t="shared" si="120"/>
        <v>21.236111111111111</v>
      </c>
      <c r="AS85" s="140">
        <f t="shared" si="120"/>
        <v>21.738888888888887</v>
      </c>
      <c r="AT85" s="140">
        <f t="shared" si="120"/>
        <v>22.236111111111111</v>
      </c>
      <c r="AU85" s="140">
        <f t="shared" si="120"/>
        <v>22.738888888888887</v>
      </c>
      <c r="AV85" s="140">
        <f t="shared" si="120"/>
        <v>23.236111111111111</v>
      </c>
      <c r="AW85" s="140">
        <f t="shared" si="120"/>
        <v>23.738888888888887</v>
      </c>
      <c r="AX85" s="140">
        <f t="shared" si="120"/>
        <v>24.236111111111111</v>
      </c>
      <c r="AY85" s="140">
        <f t="shared" si="120"/>
        <v>24.736111111111111</v>
      </c>
      <c r="AZ85" s="140">
        <f t="shared" si="120"/>
        <v>25.233333333333334</v>
      </c>
      <c r="BA85" s="140">
        <f t="shared" si="120"/>
        <v>25.736111111111111</v>
      </c>
      <c r="BB85" s="140">
        <f t="shared" si="120"/>
        <v>26.233333333333334</v>
      </c>
      <c r="BC85" s="140">
        <f t="shared" si="120"/>
        <v>26.736111111111111</v>
      </c>
      <c r="BD85" s="140">
        <f t="shared" si="120"/>
        <v>27.233333333333334</v>
      </c>
      <c r="BE85" s="140">
        <f t="shared" si="120"/>
        <v>27.736111111111111</v>
      </c>
      <c r="BF85" s="140">
        <f t="shared" si="120"/>
        <v>28.233333333333334</v>
      </c>
      <c r="BG85" s="140">
        <f t="shared" si="120"/>
        <v>28.733333333333334</v>
      </c>
      <c r="BH85" s="140">
        <f t="shared" si="120"/>
        <v>29.230555555555554</v>
      </c>
      <c r="BI85" s="140">
        <f t="shared" si="120"/>
        <v>29.733333333333334</v>
      </c>
      <c r="BJ85" s="140">
        <f t="shared" si="120"/>
        <v>30.230555555555554</v>
      </c>
      <c r="BK85" s="140">
        <f t="shared" si="120"/>
        <v>30.733333333333334</v>
      </c>
      <c r="BL85" s="140">
        <f t="shared" si="120"/>
        <v>31.230555555555554</v>
      </c>
      <c r="BM85" s="140">
        <f t="shared" si="120"/>
        <v>31.733333333333334</v>
      </c>
      <c r="BN85" s="140">
        <f t="shared" si="120"/>
        <v>32.230555555555554</v>
      </c>
      <c r="BO85" s="140">
        <f t="shared" ref="BO85:CB85" si="121">BO84/360</f>
        <v>32.730555555555554</v>
      </c>
      <c r="BP85" s="140">
        <f t="shared" si="121"/>
        <v>33.227777777777774</v>
      </c>
      <c r="BQ85" s="140">
        <f t="shared" si="121"/>
        <v>33.730555555555554</v>
      </c>
      <c r="BR85" s="140">
        <f t="shared" si="121"/>
        <v>34.227777777777774</v>
      </c>
      <c r="BS85" s="140">
        <f t="shared" si="121"/>
        <v>34.730555555555554</v>
      </c>
      <c r="BT85" s="140">
        <f t="shared" si="121"/>
        <v>35.227777777777774</v>
      </c>
      <c r="BU85" s="140">
        <f t="shared" si="121"/>
        <v>35.730555555555554</v>
      </c>
      <c r="BV85" s="140">
        <f t="shared" si="121"/>
        <v>36.227777777777774</v>
      </c>
      <c r="BW85" s="140">
        <f t="shared" si="121"/>
        <v>36.727777777777774</v>
      </c>
      <c r="BX85" s="140">
        <f t="shared" si="121"/>
        <v>37.225000000000001</v>
      </c>
      <c r="BY85" s="140">
        <f t="shared" si="121"/>
        <v>37.727777777777774</v>
      </c>
      <c r="BZ85" s="140">
        <f t="shared" si="121"/>
        <v>38.225000000000001</v>
      </c>
      <c r="CA85" s="140">
        <f t="shared" si="121"/>
        <v>38.727777777777774</v>
      </c>
      <c r="CB85" s="140">
        <f t="shared" si="121"/>
        <v>39.225000000000001</v>
      </c>
      <c r="CC85" s="17"/>
      <c r="CD85" s="17"/>
      <c r="CE85" s="17"/>
    </row>
    <row r="86" spans="1:115">
      <c r="A86" s="16" t="s">
        <v>43</v>
      </c>
      <c r="B86" s="140">
        <f>IF(B84&lt;0,0,$B$5+$B$6*((1-EXP(-B85/$B$9))/(B85/$B$9))+$B$7*((1-EXP(-B85/$B$9))/(B85/$B$9)-EXP(-B85/$B$9))+$B$8*((1-EXP(-B85/$B$10))/(B85/$B$10)-EXP(-B85/$B$10)))</f>
        <v>1.362673040206311E-2</v>
      </c>
      <c r="C86" s="140">
        <f t="shared" ref="C86:BN86" si="122">IF(C84&lt;0,0,$B$5+$B$6*((1-EXP(-C85/$B$9))/(C85/$B$9))+$B$7*((1-EXP(-C85/$B$9))/(C85/$B$9)-EXP(-C85/$B$9))+$B$8*((1-EXP(-C85/$B$10))/(C85/$B$10)-EXP(-C85/$B$10)))</f>
        <v>1.3720420283670176E-2</v>
      </c>
      <c r="D86" s="140">
        <f t="shared" si="122"/>
        <v>1.3813381501050019E-2</v>
      </c>
      <c r="E86" s="140">
        <f t="shared" si="122"/>
        <v>1.3905101743549418E-2</v>
      </c>
      <c r="F86" s="140">
        <f t="shared" si="122"/>
        <v>1.3995595477566652E-2</v>
      </c>
      <c r="G86" s="140">
        <f t="shared" si="122"/>
        <v>1.4084877025777895E-2</v>
      </c>
      <c r="H86" s="140">
        <f t="shared" si="122"/>
        <v>1.4172960568442352E-2</v>
      </c>
      <c r="I86" s="140">
        <f t="shared" si="122"/>
        <v>1.4259860144686833E-2</v>
      </c>
      <c r="J86" s="140">
        <f t="shared" si="122"/>
        <v>1.4345589653785231E-2</v>
      </c>
      <c r="K86" s="140">
        <f t="shared" si="122"/>
        <v>1.4429696174337184E-2</v>
      </c>
      <c r="L86" s="140">
        <f t="shared" si="122"/>
        <v>1.4513133004737786E-2</v>
      </c>
      <c r="M86" s="140">
        <f t="shared" si="122"/>
        <v>1.4595440564761118E-2</v>
      </c>
      <c r="N86" s="140">
        <f t="shared" si="122"/>
        <v>1.4676632207579927E-2</v>
      </c>
      <c r="O86" s="140">
        <f t="shared" si="122"/>
        <v>1.4756721152736522E-2</v>
      </c>
      <c r="P86" s="140">
        <f t="shared" si="122"/>
        <v>1.483572048735592E-2</v>
      </c>
      <c r="Q86" s="140">
        <f t="shared" si="122"/>
        <v>1.4913643167350362E-2</v>
      </c>
      <c r="R86" s="140">
        <f t="shared" si="122"/>
        <v>1.4990502018610966E-2</v>
      </c>
      <c r="S86" s="140">
        <f t="shared" si="122"/>
        <v>1.5066309738191995E-2</v>
      </c>
      <c r="T86" s="140">
        <f t="shared" si="122"/>
        <v>1.5140666357235783E-2</v>
      </c>
      <c r="U86" s="140">
        <f t="shared" si="122"/>
        <v>1.5214821933374149E-2</v>
      </c>
      <c r="V86" s="140">
        <f t="shared" si="122"/>
        <v>1.5287149896113494E-2</v>
      </c>
      <c r="W86" s="140">
        <f t="shared" si="122"/>
        <v>1.5359278796903863E-2</v>
      </c>
      <c r="X86" s="140">
        <f t="shared" si="122"/>
        <v>1.5429626608201387E-2</v>
      </c>
      <c r="Y86" s="140">
        <f t="shared" si="122"/>
        <v>1.5499777385415962E-2</v>
      </c>
      <c r="Z86" s="140">
        <f t="shared" si="122"/>
        <v>1.5568192575446331E-2</v>
      </c>
      <c r="AA86" s="140">
        <f t="shared" si="122"/>
        <v>1.5636038525690434E-2</v>
      </c>
      <c r="AB86" s="140">
        <f t="shared" si="122"/>
        <v>1.5702572843048483E-2</v>
      </c>
      <c r="AC86" s="140">
        <f t="shared" si="122"/>
        <v>1.5768914309322996E-2</v>
      </c>
      <c r="AD86" s="140">
        <f t="shared" si="122"/>
        <v>1.583360808680517E-2</v>
      </c>
      <c r="AE86" s="140">
        <f t="shared" si="122"/>
        <v>1.5898111170507573E-2</v>
      </c>
      <c r="AF86" s="140">
        <f t="shared" si="122"/>
        <v>1.5961009121881441E-2</v>
      </c>
      <c r="AG86" s="140">
        <f t="shared" si="122"/>
        <v>1.6023718576384991E-2</v>
      </c>
      <c r="AH86" s="140">
        <f t="shared" si="122"/>
        <v>1.6084864509767479E-2</v>
      </c>
      <c r="AI86" s="140">
        <f t="shared" si="122"/>
        <v>1.6145489769351838E-2</v>
      </c>
      <c r="AJ86" s="140">
        <f t="shared" si="122"/>
        <v>1.6204931292608679E-2</v>
      </c>
      <c r="AK86" s="140">
        <f t="shared" si="122"/>
        <v>1.6264188818429393E-2</v>
      </c>
      <c r="AL86" s="140">
        <f t="shared" si="122"/>
        <v>1.6321963173243595E-2</v>
      </c>
      <c r="AM86" s="140">
        <f t="shared" si="122"/>
        <v>1.6379555836087283E-2</v>
      </c>
      <c r="AN86" s="140">
        <f t="shared" si="122"/>
        <v>1.6435704214078427E-2</v>
      </c>
      <c r="AO86" s="140">
        <f t="shared" si="122"/>
        <v>1.649167323852891E-2</v>
      </c>
      <c r="AP86" s="140">
        <f t="shared" si="122"/>
        <v>1.6546235990088799E-2</v>
      </c>
      <c r="AQ86" s="140">
        <f t="shared" si="122"/>
        <v>1.6600323438868837E-2</v>
      </c>
      <c r="AR86" s="140">
        <f t="shared" si="122"/>
        <v>1.6653344329327677E-2</v>
      </c>
      <c r="AS86" s="140">
        <f t="shared" si="122"/>
        <v>1.6706190629075503E-2</v>
      </c>
      <c r="AT86" s="140">
        <f t="shared" si="122"/>
        <v>1.6757704025230746E-2</v>
      </c>
      <c r="AU86" s="140">
        <f t="shared" si="122"/>
        <v>1.6809045258687566E-2</v>
      </c>
      <c r="AV86" s="140">
        <f t="shared" si="122"/>
        <v>1.6859089080963389E-2</v>
      </c>
      <c r="AW86" s="140">
        <f t="shared" si="122"/>
        <v>1.6908963195488423E-2</v>
      </c>
      <c r="AX86" s="140">
        <f t="shared" si="122"/>
        <v>1.6957574583186835E-2</v>
      </c>
      <c r="AY86" s="140">
        <f t="shared" si="122"/>
        <v>1.7005753041901585E-2</v>
      </c>
      <c r="AZ86" s="140">
        <f t="shared" si="122"/>
        <v>1.7052972195867336E-2</v>
      </c>
      <c r="BA86" s="140">
        <f t="shared" si="122"/>
        <v>1.7100026620155327E-2</v>
      </c>
      <c r="BB86" s="140">
        <f t="shared" si="122"/>
        <v>1.7145885234196794E-2</v>
      </c>
      <c r="BC86" s="140">
        <f t="shared" si="122"/>
        <v>1.7191581645880558E-2</v>
      </c>
      <c r="BD86" s="140">
        <f t="shared" si="122"/>
        <v>1.7236114603344583E-2</v>
      </c>
      <c r="BE86" s="140">
        <f t="shared" si="122"/>
        <v>1.7280487907242181E-2</v>
      </c>
      <c r="BF86" s="140">
        <f t="shared" si="122"/>
        <v>1.732372936641996E-2</v>
      </c>
      <c r="BG86" s="140">
        <f t="shared" si="122"/>
        <v>1.7366577458975466E-2</v>
      </c>
      <c r="BH86" s="140">
        <f t="shared" si="122"/>
        <v>1.7408564315438638E-2</v>
      </c>
      <c r="BI86" s="140">
        <f t="shared" si="122"/>
        <v>1.7450396668014172E-2</v>
      </c>
      <c r="BJ86" s="140">
        <f t="shared" si="122"/>
        <v>1.7491158131065436E-2</v>
      </c>
      <c r="BK86" s="140">
        <f t="shared" si="122"/>
        <v>1.7531767695810687E-2</v>
      </c>
      <c r="BL86" s="140">
        <f t="shared" si="122"/>
        <v>1.7571335830089335E-2</v>
      </c>
      <c r="BM86" s="140">
        <f t="shared" si="122"/>
        <v>1.7610754688172303E-2</v>
      </c>
      <c r="BN86" s="140">
        <f t="shared" si="122"/>
        <v>1.7649160885550581E-2</v>
      </c>
      <c r="BO86" s="140">
        <f t="shared" ref="BO86:CB86" si="123">IF(BO84&lt;0,0,$B$5+$B$6*((1-EXP(-BO85/$B$9))/(BO85/$B$9))+$B$7*((1-EXP(-BO85/$B$9))/(BO85/$B$9)-EXP(-BO85/$B$9))+$B$8*((1-EXP(-BO85/$B$10))/(BO85/$B$10)-EXP(-BO85/$B$10)))</f>
        <v>1.7687210641774639E-2</v>
      </c>
      <c r="BP86" s="140">
        <f t="shared" si="123"/>
        <v>1.7724488734150116E-2</v>
      </c>
      <c r="BQ86" s="140">
        <f t="shared" si="123"/>
        <v>1.7761622832143612E-2</v>
      </c>
      <c r="BR86" s="140">
        <f t="shared" si="123"/>
        <v>1.7797799720243025E-2</v>
      </c>
      <c r="BS86" s="140">
        <f t="shared" si="123"/>
        <v>1.7833835278782004E-2</v>
      </c>
      <c r="BT86" s="140">
        <f t="shared" si="123"/>
        <v>1.7868940412177015E-2</v>
      </c>
      <c r="BU86" s="140">
        <f t="shared" si="123"/>
        <v>1.7903906892901007E-2</v>
      </c>
      <c r="BV86" s="140">
        <f t="shared" si="123"/>
        <v>1.7937969097151372E-2</v>
      </c>
      <c r="BW86" s="140">
        <f t="shared" si="123"/>
        <v>1.7971709312791542E-2</v>
      </c>
      <c r="BX86" s="140">
        <f t="shared" si="123"/>
        <v>1.8004759581253072E-2</v>
      </c>
      <c r="BY86" s="140">
        <f t="shared" si="123"/>
        <v>1.8037676575365664E-2</v>
      </c>
      <c r="BZ86" s="140">
        <f t="shared" si="123"/>
        <v>1.8069739664371722E-2</v>
      </c>
      <c r="CA86" s="140">
        <f t="shared" si="123"/>
        <v>1.8101672185935794E-2</v>
      </c>
      <c r="CB86" s="140">
        <f t="shared" si="123"/>
        <v>1.8132775119854748E-2</v>
      </c>
      <c r="CC86" s="17"/>
      <c r="CD86" s="17"/>
      <c r="CE86" s="17"/>
    </row>
    <row r="87" spans="1:115">
      <c r="A87" s="16" t="s">
        <v>44</v>
      </c>
      <c r="B87" s="140">
        <f>EXP(-B86*B85)</f>
        <v>0.99656139097439456</v>
      </c>
      <c r="C87" s="140">
        <f t="shared" ref="C87:BN87" si="124">EXP(-C86*C85)</f>
        <v>0.9897624489391571</v>
      </c>
      <c r="D87" s="140">
        <f t="shared" si="124"/>
        <v>0.98288148875983838</v>
      </c>
      <c r="E87" s="140">
        <f t="shared" si="124"/>
        <v>0.97595975499917176</v>
      </c>
      <c r="F87" s="140">
        <f t="shared" si="124"/>
        <v>0.96900055937173513</v>
      </c>
      <c r="G87" s="140">
        <f t="shared" si="124"/>
        <v>0.96200713469516796</v>
      </c>
      <c r="H87" s="140">
        <f t="shared" si="124"/>
        <v>0.95498263506241732</v>
      </c>
      <c r="I87" s="140">
        <f t="shared" si="124"/>
        <v>0.94793013609741861</v>
      </c>
      <c r="J87" s="140">
        <f t="shared" si="124"/>
        <v>0.9408526352896317</v>
      </c>
      <c r="K87" s="140">
        <f t="shared" si="124"/>
        <v>0.93379255027283348</v>
      </c>
      <c r="L87" s="140">
        <f t="shared" si="124"/>
        <v>0.9266738270004381</v>
      </c>
      <c r="M87" s="140">
        <f t="shared" si="124"/>
        <v>0.91953861482788579</v>
      </c>
      <c r="N87" s="140">
        <f t="shared" si="124"/>
        <v>0.9123896038974707</v>
      </c>
      <c r="O87" s="140">
        <f t="shared" si="124"/>
        <v>0.90522940891754367</v>
      </c>
      <c r="P87" s="140">
        <f t="shared" si="124"/>
        <v>0.89806056988082217</v>
      </c>
      <c r="Q87" s="140">
        <f t="shared" si="124"/>
        <v>0.89088555283297044</v>
      </c>
      <c r="R87" s="140">
        <f t="shared" si="124"/>
        <v>0.8837067506878703</v>
      </c>
      <c r="S87" s="140">
        <f t="shared" si="124"/>
        <v>0.87652648408606326</v>
      </c>
      <c r="T87" s="140">
        <f t="shared" si="124"/>
        <v>0.86938688210151949</v>
      </c>
      <c r="U87" s="140">
        <f t="shared" si="124"/>
        <v>0.86217048413404063</v>
      </c>
      <c r="V87" s="140">
        <f t="shared" si="124"/>
        <v>0.85503886253192662</v>
      </c>
      <c r="W87" s="140">
        <f t="shared" si="124"/>
        <v>0.84783470765874513</v>
      </c>
      <c r="X87" s="140">
        <f t="shared" si="124"/>
        <v>0.84071918637709664</v>
      </c>
      <c r="Y87" s="140">
        <f t="shared" si="124"/>
        <v>0.8335352139932809</v>
      </c>
      <c r="Z87" s="140">
        <f t="shared" si="124"/>
        <v>0.82644338059863054</v>
      </c>
      <c r="AA87" s="140">
        <f t="shared" si="124"/>
        <v>0.81932649455238382</v>
      </c>
      <c r="AB87" s="140">
        <f t="shared" si="124"/>
        <v>0.8122653265192733</v>
      </c>
      <c r="AC87" s="140">
        <f t="shared" si="124"/>
        <v>0.8051433308449194</v>
      </c>
      <c r="AD87" s="140">
        <f t="shared" si="124"/>
        <v>0.798119479941099</v>
      </c>
      <c r="AE87" s="140">
        <f t="shared" si="124"/>
        <v>0.791038359912973</v>
      </c>
      <c r="AF87" s="140">
        <f t="shared" si="124"/>
        <v>0.78405792243855943</v>
      </c>
      <c r="AG87" s="140">
        <f t="shared" si="124"/>
        <v>0.77702360693576533</v>
      </c>
      <c r="AH87" s="140">
        <f t="shared" si="124"/>
        <v>0.77009221794069949</v>
      </c>
      <c r="AI87" s="140">
        <f t="shared" si="124"/>
        <v>0.7631486772580085</v>
      </c>
      <c r="AJ87" s="140">
        <f t="shared" si="124"/>
        <v>0.75627137164846903</v>
      </c>
      <c r="AK87" s="140">
        <f t="shared" si="124"/>
        <v>0.74934647676752941</v>
      </c>
      <c r="AL87" s="140">
        <f t="shared" si="124"/>
        <v>0.74252816767269203</v>
      </c>
      <c r="AM87" s="140">
        <f t="shared" si="124"/>
        <v>0.73566518486298427</v>
      </c>
      <c r="AN87" s="140">
        <f t="shared" si="124"/>
        <v>0.72891023631245722</v>
      </c>
      <c r="AO87" s="140">
        <f t="shared" si="124"/>
        <v>0.72211338040183393</v>
      </c>
      <c r="AP87" s="140">
        <f t="shared" si="124"/>
        <v>0.71542576947578262</v>
      </c>
      <c r="AQ87" s="140">
        <f t="shared" si="124"/>
        <v>0.70873593898022225</v>
      </c>
      <c r="AR87" s="140">
        <f t="shared" si="124"/>
        <v>0.70211907239112181</v>
      </c>
      <c r="AS87" s="140">
        <f>EXP(-AS86*AS85)</f>
        <v>0.69546539679843955</v>
      </c>
      <c r="AT87" s="140">
        <f t="shared" si="124"/>
        <v>0.68892272560882994</v>
      </c>
      <c r="AU87" s="140">
        <f t="shared" si="124"/>
        <v>0.68234559464826794</v>
      </c>
      <c r="AV87" s="140">
        <f t="shared" si="124"/>
        <v>0.67588004485971342</v>
      </c>
      <c r="AW87" s="140">
        <f t="shared" si="124"/>
        <v>0.66938225556638276</v>
      </c>
      <c r="AX87" s="140">
        <f t="shared" si="124"/>
        <v>0.66299643772595473</v>
      </c>
      <c r="AY87" s="140">
        <f t="shared" si="124"/>
        <v>0.65661580924179086</v>
      </c>
      <c r="AZ87" s="140">
        <f t="shared" si="124"/>
        <v>0.65031180458986904</v>
      </c>
      <c r="BA87" s="140">
        <f t="shared" si="124"/>
        <v>0.64397962917154827</v>
      </c>
      <c r="BB87" s="140">
        <f t="shared" si="124"/>
        <v>0.63775969343773498</v>
      </c>
      <c r="BC87" s="140">
        <f t="shared" si="124"/>
        <v>0.6315134511763546</v>
      </c>
      <c r="BD87" s="140">
        <f t="shared" si="124"/>
        <v>0.62537934937902206</v>
      </c>
      <c r="BE87" s="140">
        <f t="shared" si="124"/>
        <v>0.61922069652205924</v>
      </c>
      <c r="BF87" s="140">
        <f t="shared" si="124"/>
        <v>0.61317394335907704</v>
      </c>
      <c r="BG87" s="140">
        <f t="shared" si="124"/>
        <v>0.60713770078005969</v>
      </c>
      <c r="BH87" s="140">
        <f t="shared" si="124"/>
        <v>0.60117932793615125</v>
      </c>
      <c r="BI87" s="140">
        <f t="shared" si="124"/>
        <v>0.59519960391494731</v>
      </c>
      <c r="BJ87" s="140">
        <f t="shared" si="124"/>
        <v>0.58933091520961545</v>
      </c>
      <c r="BK87" s="140">
        <f t="shared" si="124"/>
        <v>0.5834423336411203</v>
      </c>
      <c r="BL87" s="140">
        <f t="shared" si="124"/>
        <v>0.57766418161223343</v>
      </c>
      <c r="BM87" s="140">
        <f t="shared" si="124"/>
        <v>0.57186750515888207</v>
      </c>
      <c r="BN87" s="140">
        <f t="shared" si="124"/>
        <v>0.56618054902777981</v>
      </c>
      <c r="BO87" s="140">
        <f t="shared" ref="BO87:CA87" si="125">EXP(-BO86*BO85)</f>
        <v>0.56050773828082756</v>
      </c>
      <c r="BP87" s="140">
        <f t="shared" si="125"/>
        <v>0.55491220170107769</v>
      </c>
      <c r="BQ87" s="140">
        <f t="shared" si="125"/>
        <v>0.5493006223227116</v>
      </c>
      <c r="BR87" s="140">
        <f t="shared" si="125"/>
        <v>0.54379707057137106</v>
      </c>
      <c r="BS87" s="140">
        <f t="shared" si="125"/>
        <v>0.53827860111460313</v>
      </c>
      <c r="BT87" s="140">
        <f t="shared" si="125"/>
        <v>0.53286718913938758</v>
      </c>
      <c r="BU87" s="140">
        <f t="shared" si="125"/>
        <v>0.52744191159307396</v>
      </c>
      <c r="BV87" s="140">
        <f t="shared" si="125"/>
        <v>0.52212264936123698</v>
      </c>
      <c r="BW87" s="140">
        <f t="shared" si="125"/>
        <v>0.51681983546786181</v>
      </c>
      <c r="BX87" s="140">
        <f t="shared" si="125"/>
        <v>0.51159234338278459</v>
      </c>
      <c r="BY87" s="140">
        <f t="shared" si="125"/>
        <v>0.50635288404667866</v>
      </c>
      <c r="BZ87" s="140">
        <f t="shared" si="125"/>
        <v>0.50121717004765287</v>
      </c>
      <c r="CA87" s="140">
        <f t="shared" si="125"/>
        <v>0.49607034494716373</v>
      </c>
      <c r="CB87" s="140">
        <f>EXP(-CB86*CB85)</f>
        <v>0.49102604682250339</v>
      </c>
      <c r="CC87" s="17"/>
      <c r="CD87" s="17"/>
      <c r="CE87" s="17"/>
    </row>
    <row r="88" spans="1:115" s="6" customFormat="1">
      <c r="A88" s="130"/>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19"/>
      <c r="CD88" s="19"/>
      <c r="CE88" s="19"/>
    </row>
    <row r="89" spans="1:115">
      <c r="A89" s="16" t="s">
        <v>40</v>
      </c>
      <c r="B89" s="140">
        <f t="shared" ref="B89:BM89" si="126">DAYS360($B$3,B32)</f>
        <v>175</v>
      </c>
      <c r="C89" s="140">
        <f t="shared" si="126"/>
        <v>354</v>
      </c>
      <c r="D89" s="140">
        <f t="shared" si="126"/>
        <v>534</v>
      </c>
      <c r="E89" s="140">
        <f t="shared" si="126"/>
        <v>714</v>
      </c>
      <c r="F89" s="140">
        <f t="shared" si="126"/>
        <v>894</v>
      </c>
      <c r="G89" s="140">
        <f t="shared" si="126"/>
        <v>1074</v>
      </c>
      <c r="H89" s="140">
        <f t="shared" si="126"/>
        <v>1254</v>
      </c>
      <c r="I89" s="140">
        <f t="shared" si="126"/>
        <v>1434</v>
      </c>
      <c r="J89" s="140">
        <f t="shared" si="126"/>
        <v>1614</v>
      </c>
      <c r="K89" s="140">
        <f t="shared" si="126"/>
        <v>1793</v>
      </c>
      <c r="L89" s="140">
        <f t="shared" si="126"/>
        <v>1973</v>
      </c>
      <c r="M89" s="140">
        <f t="shared" si="126"/>
        <v>2153</v>
      </c>
      <c r="N89" s="140">
        <f t="shared" si="126"/>
        <v>2333</v>
      </c>
      <c r="O89" s="140">
        <f t="shared" si="126"/>
        <v>2513</v>
      </c>
      <c r="P89" s="140">
        <f t="shared" si="126"/>
        <v>2693</v>
      </c>
      <c r="Q89" s="140">
        <f t="shared" si="126"/>
        <v>2873</v>
      </c>
      <c r="R89" s="140">
        <f t="shared" si="126"/>
        <v>3053</v>
      </c>
      <c r="S89" s="140">
        <f t="shared" si="126"/>
        <v>3232</v>
      </c>
      <c r="T89" s="140">
        <f t="shared" si="126"/>
        <v>3412</v>
      </c>
      <c r="U89" s="140">
        <f t="shared" si="126"/>
        <v>3592</v>
      </c>
      <c r="V89" s="140">
        <f t="shared" si="126"/>
        <v>3772</v>
      </c>
      <c r="W89" s="140">
        <f t="shared" si="126"/>
        <v>3952</v>
      </c>
      <c r="X89" s="140">
        <f t="shared" si="126"/>
        <v>4132</v>
      </c>
      <c r="Y89" s="140">
        <f t="shared" si="126"/>
        <v>4312</v>
      </c>
      <c r="Z89" s="140">
        <f t="shared" si="126"/>
        <v>4492</v>
      </c>
      <c r="AA89" s="140">
        <f t="shared" si="126"/>
        <v>4671</v>
      </c>
      <c r="AB89" s="140">
        <f t="shared" si="126"/>
        <v>4851</v>
      </c>
      <c r="AC89" s="140">
        <f t="shared" si="126"/>
        <v>5031</v>
      </c>
      <c r="AD89" s="140">
        <f t="shared" si="126"/>
        <v>5211</v>
      </c>
      <c r="AE89" s="140">
        <f t="shared" si="126"/>
        <v>5391</v>
      </c>
      <c r="AF89" s="140">
        <f t="shared" si="126"/>
        <v>5571</v>
      </c>
      <c r="AG89" s="140">
        <f t="shared" si="126"/>
        <v>5751</v>
      </c>
      <c r="AH89" s="140">
        <f t="shared" si="126"/>
        <v>5931</v>
      </c>
      <c r="AI89" s="140">
        <f t="shared" si="126"/>
        <v>6110</v>
      </c>
      <c r="AJ89" s="140">
        <f t="shared" si="126"/>
        <v>6290</v>
      </c>
      <c r="AK89" s="140">
        <f t="shared" si="126"/>
        <v>6470</v>
      </c>
      <c r="AL89" s="140">
        <f t="shared" si="126"/>
        <v>6650</v>
      </c>
      <c r="AM89" s="140">
        <f t="shared" si="126"/>
        <v>6830</v>
      </c>
      <c r="AN89" s="140">
        <f t="shared" si="126"/>
        <v>7010</v>
      </c>
      <c r="AO89" s="140">
        <f t="shared" si="126"/>
        <v>7190</v>
      </c>
      <c r="AP89" s="140">
        <f t="shared" si="126"/>
        <v>7370</v>
      </c>
      <c r="AQ89" s="140">
        <f t="shared" si="126"/>
        <v>7549</v>
      </c>
      <c r="AR89" s="140">
        <f t="shared" si="126"/>
        <v>7729</v>
      </c>
      <c r="AS89" s="140">
        <f t="shared" si="126"/>
        <v>7909</v>
      </c>
      <c r="AT89" s="140">
        <f t="shared" si="126"/>
        <v>8089</v>
      </c>
      <c r="AU89" s="140">
        <f t="shared" si="126"/>
        <v>8269</v>
      </c>
      <c r="AV89" s="140">
        <f t="shared" si="126"/>
        <v>8449</v>
      </c>
      <c r="AW89" s="140">
        <f t="shared" si="126"/>
        <v>8629</v>
      </c>
      <c r="AX89" s="140">
        <f t="shared" si="126"/>
        <v>8809</v>
      </c>
      <c r="AY89" s="140">
        <f t="shared" si="126"/>
        <v>8988</v>
      </c>
      <c r="AZ89" s="140">
        <f t="shared" si="126"/>
        <v>9168</v>
      </c>
      <c r="BA89" s="140">
        <f t="shared" si="126"/>
        <v>9348</v>
      </c>
      <c r="BB89" s="140">
        <f t="shared" si="126"/>
        <v>9528</v>
      </c>
      <c r="BC89" s="140">
        <f t="shared" si="126"/>
        <v>9708</v>
      </c>
      <c r="BD89" s="140">
        <f t="shared" si="126"/>
        <v>9888</v>
      </c>
      <c r="BE89" s="140">
        <f t="shared" si="126"/>
        <v>10068</v>
      </c>
      <c r="BF89" s="140">
        <f t="shared" si="126"/>
        <v>10248</v>
      </c>
      <c r="BG89" s="140">
        <f t="shared" si="126"/>
        <v>10427</v>
      </c>
      <c r="BH89" s="140">
        <f t="shared" si="126"/>
        <v>10607</v>
      </c>
      <c r="BI89" s="140">
        <f t="shared" si="126"/>
        <v>10787</v>
      </c>
      <c r="BJ89" s="140">
        <f t="shared" si="126"/>
        <v>10967</v>
      </c>
      <c r="BK89" s="140">
        <f t="shared" si="126"/>
        <v>11147</v>
      </c>
      <c r="BL89" s="140">
        <f t="shared" si="126"/>
        <v>11327</v>
      </c>
      <c r="BM89" s="140">
        <f t="shared" si="126"/>
        <v>11507</v>
      </c>
      <c r="BN89" s="140">
        <f t="shared" ref="BN89:CB89" si="127">DAYS360($B$3,BN32)</f>
        <v>11687</v>
      </c>
      <c r="BO89" s="140">
        <f t="shared" si="127"/>
        <v>11866</v>
      </c>
      <c r="BP89" s="140">
        <f t="shared" si="127"/>
        <v>12046</v>
      </c>
      <c r="BQ89" s="140">
        <f t="shared" si="127"/>
        <v>12226</v>
      </c>
      <c r="BR89" s="140">
        <f t="shared" si="127"/>
        <v>12406</v>
      </c>
      <c r="BS89" s="140">
        <f t="shared" si="127"/>
        <v>12586</v>
      </c>
      <c r="BT89" s="140">
        <f t="shared" si="127"/>
        <v>12766</v>
      </c>
      <c r="BU89" s="140">
        <f t="shared" si="127"/>
        <v>12946</v>
      </c>
      <c r="BV89" s="140">
        <f t="shared" si="127"/>
        <v>13126</v>
      </c>
      <c r="BW89" s="140">
        <f t="shared" si="127"/>
        <v>13305</v>
      </c>
      <c r="BX89" s="140">
        <f t="shared" si="127"/>
        <v>13485</v>
      </c>
      <c r="BY89" s="140">
        <f t="shared" si="127"/>
        <v>13665</v>
      </c>
      <c r="BZ89" s="140">
        <f t="shared" si="127"/>
        <v>13845</v>
      </c>
      <c r="CA89" s="140">
        <f t="shared" si="127"/>
        <v>14025</v>
      </c>
      <c r="CB89" s="140">
        <f t="shared" si="127"/>
        <v>14205</v>
      </c>
      <c r="CC89" s="17"/>
      <c r="CD89" s="17"/>
      <c r="CE89" s="17"/>
    </row>
    <row r="90" spans="1:115">
      <c r="A90" s="16" t="s">
        <v>41</v>
      </c>
      <c r="B90" s="140">
        <f>B89/360</f>
        <v>0.4861111111111111</v>
      </c>
      <c r="C90" s="140">
        <f t="shared" ref="C90:BN90" si="128">C89/360</f>
        <v>0.98333333333333328</v>
      </c>
      <c r="D90" s="140">
        <f t="shared" si="128"/>
        <v>1.4833333333333334</v>
      </c>
      <c r="E90" s="140">
        <f t="shared" si="128"/>
        <v>1.9833333333333334</v>
      </c>
      <c r="F90" s="140">
        <f t="shared" si="128"/>
        <v>2.4833333333333334</v>
      </c>
      <c r="G90" s="140">
        <f t="shared" si="128"/>
        <v>2.9833333333333334</v>
      </c>
      <c r="H90" s="140">
        <f t="shared" si="128"/>
        <v>3.4833333333333334</v>
      </c>
      <c r="I90" s="140">
        <f t="shared" si="128"/>
        <v>3.9833333333333334</v>
      </c>
      <c r="J90" s="140">
        <f t="shared" si="128"/>
        <v>4.4833333333333334</v>
      </c>
      <c r="K90" s="140">
        <f t="shared" si="128"/>
        <v>4.9805555555555552</v>
      </c>
      <c r="L90" s="140">
        <f t="shared" si="128"/>
        <v>5.4805555555555552</v>
      </c>
      <c r="M90" s="140">
        <f t="shared" si="128"/>
        <v>5.9805555555555552</v>
      </c>
      <c r="N90" s="140">
        <f t="shared" si="128"/>
        <v>6.4805555555555552</v>
      </c>
      <c r="O90" s="140">
        <f t="shared" si="128"/>
        <v>6.9805555555555552</v>
      </c>
      <c r="P90" s="140">
        <f t="shared" si="128"/>
        <v>7.4805555555555552</v>
      </c>
      <c r="Q90" s="140">
        <f t="shared" si="128"/>
        <v>7.9805555555555552</v>
      </c>
      <c r="R90" s="140">
        <f t="shared" si="128"/>
        <v>8.4805555555555561</v>
      </c>
      <c r="S90" s="140">
        <f t="shared" si="128"/>
        <v>8.9777777777777779</v>
      </c>
      <c r="T90" s="140">
        <f t="shared" si="128"/>
        <v>9.4777777777777779</v>
      </c>
      <c r="U90" s="140">
        <f t="shared" si="128"/>
        <v>9.9777777777777779</v>
      </c>
      <c r="V90" s="140">
        <f t="shared" si="128"/>
        <v>10.477777777777778</v>
      </c>
      <c r="W90" s="140">
        <f t="shared" si="128"/>
        <v>10.977777777777778</v>
      </c>
      <c r="X90" s="140">
        <f t="shared" si="128"/>
        <v>11.477777777777778</v>
      </c>
      <c r="Y90" s="140">
        <f t="shared" si="128"/>
        <v>11.977777777777778</v>
      </c>
      <c r="Z90" s="140">
        <f t="shared" si="128"/>
        <v>12.477777777777778</v>
      </c>
      <c r="AA90" s="140">
        <f t="shared" si="128"/>
        <v>12.975</v>
      </c>
      <c r="AB90" s="140">
        <f t="shared" si="128"/>
        <v>13.475</v>
      </c>
      <c r="AC90" s="140">
        <f t="shared" si="128"/>
        <v>13.975</v>
      </c>
      <c r="AD90" s="140">
        <f t="shared" si="128"/>
        <v>14.475</v>
      </c>
      <c r="AE90" s="140">
        <f t="shared" si="128"/>
        <v>14.975</v>
      </c>
      <c r="AF90" s="140">
        <f t="shared" si="128"/>
        <v>15.475</v>
      </c>
      <c r="AG90" s="140">
        <f t="shared" si="128"/>
        <v>15.975</v>
      </c>
      <c r="AH90" s="140">
        <f t="shared" si="128"/>
        <v>16.475000000000001</v>
      </c>
      <c r="AI90" s="140">
        <f t="shared" si="128"/>
        <v>16.972222222222221</v>
      </c>
      <c r="AJ90" s="140">
        <f t="shared" si="128"/>
        <v>17.472222222222221</v>
      </c>
      <c r="AK90" s="140">
        <f t="shared" si="128"/>
        <v>17.972222222222221</v>
      </c>
      <c r="AL90" s="140">
        <f t="shared" si="128"/>
        <v>18.472222222222221</v>
      </c>
      <c r="AM90" s="140">
        <f t="shared" si="128"/>
        <v>18.972222222222221</v>
      </c>
      <c r="AN90" s="140">
        <f t="shared" si="128"/>
        <v>19.472222222222221</v>
      </c>
      <c r="AO90" s="140">
        <f t="shared" si="128"/>
        <v>19.972222222222221</v>
      </c>
      <c r="AP90" s="140">
        <f t="shared" si="128"/>
        <v>20.472222222222221</v>
      </c>
      <c r="AQ90" s="140">
        <f t="shared" si="128"/>
        <v>20.969444444444445</v>
      </c>
      <c r="AR90" s="140">
        <f t="shared" si="128"/>
        <v>21.469444444444445</v>
      </c>
      <c r="AS90" s="140">
        <f t="shared" si="128"/>
        <v>21.969444444444445</v>
      </c>
      <c r="AT90" s="140">
        <f t="shared" si="128"/>
        <v>22.469444444444445</v>
      </c>
      <c r="AU90" s="140">
        <f t="shared" si="128"/>
        <v>22.969444444444445</v>
      </c>
      <c r="AV90" s="140">
        <f t="shared" si="128"/>
        <v>23.469444444444445</v>
      </c>
      <c r="AW90" s="140">
        <f t="shared" si="128"/>
        <v>23.969444444444445</v>
      </c>
      <c r="AX90" s="140">
        <f t="shared" si="128"/>
        <v>24.469444444444445</v>
      </c>
      <c r="AY90" s="140">
        <f t="shared" si="128"/>
        <v>24.966666666666665</v>
      </c>
      <c r="AZ90" s="140">
        <f t="shared" si="128"/>
        <v>25.466666666666665</v>
      </c>
      <c r="BA90" s="140">
        <f t="shared" si="128"/>
        <v>25.966666666666665</v>
      </c>
      <c r="BB90" s="140">
        <f t="shared" si="128"/>
        <v>26.466666666666665</v>
      </c>
      <c r="BC90" s="140">
        <f t="shared" si="128"/>
        <v>26.966666666666665</v>
      </c>
      <c r="BD90" s="140">
        <f t="shared" si="128"/>
        <v>27.466666666666665</v>
      </c>
      <c r="BE90" s="140">
        <f t="shared" si="128"/>
        <v>27.966666666666665</v>
      </c>
      <c r="BF90" s="140">
        <f t="shared" si="128"/>
        <v>28.466666666666665</v>
      </c>
      <c r="BG90" s="140">
        <f t="shared" si="128"/>
        <v>28.963888888888889</v>
      </c>
      <c r="BH90" s="140">
        <f t="shared" si="128"/>
        <v>29.463888888888889</v>
      </c>
      <c r="BI90" s="140">
        <f t="shared" si="128"/>
        <v>29.963888888888889</v>
      </c>
      <c r="BJ90" s="140">
        <f t="shared" si="128"/>
        <v>30.463888888888889</v>
      </c>
      <c r="BK90" s="140">
        <f t="shared" si="128"/>
        <v>30.963888888888889</v>
      </c>
      <c r="BL90" s="140">
        <f t="shared" si="128"/>
        <v>31.463888888888889</v>
      </c>
      <c r="BM90" s="140">
        <f t="shared" si="128"/>
        <v>31.963888888888889</v>
      </c>
      <c r="BN90" s="140">
        <f t="shared" si="128"/>
        <v>32.463888888888889</v>
      </c>
      <c r="BO90" s="140">
        <f t="shared" ref="BO90:CB90" si="129">BO89/360</f>
        <v>32.961111111111109</v>
      </c>
      <c r="BP90" s="140">
        <f t="shared" si="129"/>
        <v>33.461111111111109</v>
      </c>
      <c r="BQ90" s="140">
        <f t="shared" si="129"/>
        <v>33.961111111111109</v>
      </c>
      <c r="BR90" s="140">
        <f t="shared" si="129"/>
        <v>34.461111111111109</v>
      </c>
      <c r="BS90" s="140">
        <f t="shared" si="129"/>
        <v>34.961111111111109</v>
      </c>
      <c r="BT90" s="140">
        <f t="shared" si="129"/>
        <v>35.461111111111109</v>
      </c>
      <c r="BU90" s="140">
        <f t="shared" si="129"/>
        <v>35.961111111111109</v>
      </c>
      <c r="BV90" s="140">
        <f t="shared" si="129"/>
        <v>36.461111111111109</v>
      </c>
      <c r="BW90" s="140">
        <f t="shared" si="129"/>
        <v>36.958333333333336</v>
      </c>
      <c r="BX90" s="140">
        <f t="shared" si="129"/>
        <v>37.458333333333336</v>
      </c>
      <c r="BY90" s="140">
        <f t="shared" si="129"/>
        <v>37.958333333333336</v>
      </c>
      <c r="BZ90" s="140">
        <f t="shared" si="129"/>
        <v>38.458333333333336</v>
      </c>
      <c r="CA90" s="140">
        <f t="shared" si="129"/>
        <v>38.958333333333336</v>
      </c>
      <c r="CB90" s="140">
        <f t="shared" si="129"/>
        <v>39.458333333333336</v>
      </c>
      <c r="CC90" s="17"/>
      <c r="CD90" s="17"/>
      <c r="CE90" s="17"/>
    </row>
    <row r="91" spans="1:115">
      <c r="A91" s="16" t="s">
        <v>43</v>
      </c>
      <c r="B91" s="140">
        <f>IF(B89&lt;0,0,$B$5+$B$6*((1-EXP(-B90/$B$9))/(B90/$B$9))+$B$7*((1-EXP(-B90/$B$9))/(B90/$B$9)-EXP(-B90/$B$9))+$B$8*((1-EXP(-B90/$B$10))/(B90/$B$10)-EXP(-B90/$B$10)))</f>
        <v>1.367085214537732E-2</v>
      </c>
      <c r="C91" s="140">
        <f t="shared" ref="C91:BN91" si="130">IF(C89&lt;0,0,$B$5+$B$6*((1-EXP(-C90/$B$9))/(C90/$B$9))+$B$7*((1-EXP(-C90/$B$9))/(C90/$B$9)-EXP(-C90/$B$9))+$B$8*((1-EXP(-C90/$B$10))/(C90/$B$10)-EXP(-C90/$B$10)))</f>
        <v>1.3763957543505463E-2</v>
      </c>
      <c r="D91" s="140">
        <f t="shared" si="130"/>
        <v>1.3856337829817201E-2</v>
      </c>
      <c r="E91" s="140">
        <f t="shared" si="130"/>
        <v>1.3947483910202391E-2</v>
      </c>
      <c r="F91" s="140">
        <f t="shared" si="130"/>
        <v>1.4037410183827238E-2</v>
      </c>
      <c r="G91" s="140">
        <f t="shared" si="130"/>
        <v>1.4126130906745899E-2</v>
      </c>
      <c r="H91" s="140">
        <f t="shared" si="130"/>
        <v>1.4213660193194311E-2</v>
      </c>
      <c r="I91" s="140">
        <f t="shared" si="130"/>
        <v>1.4300012016877689E-2</v>
      </c>
      <c r="J91" s="140">
        <f t="shared" si="130"/>
        <v>1.4385200212239001E-2</v>
      </c>
      <c r="K91" s="140">
        <f t="shared" si="130"/>
        <v>1.4468774748027657E-2</v>
      </c>
      <c r="L91" s="140">
        <f t="shared" si="130"/>
        <v>1.4551682915308839E-2</v>
      </c>
      <c r="M91" s="140">
        <f t="shared" si="130"/>
        <v>1.4633468060400265E-2</v>
      </c>
      <c r="N91" s="140">
        <f t="shared" si="130"/>
        <v>1.4714143473962375E-2</v>
      </c>
      <c r="O91" s="140">
        <f t="shared" si="130"/>
        <v>1.4793722313592644E-2</v>
      </c>
      <c r="P91" s="140">
        <f t="shared" si="130"/>
        <v>1.4872217605033843E-2</v>
      </c>
      <c r="Q91" s="140">
        <f t="shared" si="130"/>
        <v>1.494964224337399E-2</v>
      </c>
      <c r="R91" s="140">
        <f t="shared" si="130"/>
        <v>1.5026008994233944E-2</v>
      </c>
      <c r="S91" s="140">
        <f t="shared" si="130"/>
        <v>1.5100914906473542E-2</v>
      </c>
      <c r="T91" s="140">
        <f t="shared" si="130"/>
        <v>1.5175209370367678E-2</v>
      </c>
      <c r="U91" s="140">
        <f t="shared" si="130"/>
        <v>1.5248483410119387E-2</v>
      </c>
      <c r="V91" s="140">
        <f t="shared" si="130"/>
        <v>1.5320749285854113E-2</v>
      </c>
      <c r="W91" s="140">
        <f t="shared" si="130"/>
        <v>1.5392019134015228E-2</v>
      </c>
      <c r="X91" s="140">
        <f t="shared" si="130"/>
        <v>1.5462304968492224E-2</v>
      </c>
      <c r="Y91" s="140">
        <f t="shared" si="130"/>
        <v>1.5531618681740227E-2</v>
      </c>
      <c r="Z91" s="140">
        <f t="shared" si="130"/>
        <v>1.559997204588846E-2</v>
      </c>
      <c r="AA91" s="140">
        <f t="shared" si="130"/>
        <v>1.566700484285323E-2</v>
      </c>
      <c r="AB91" s="140">
        <f t="shared" si="130"/>
        <v>1.5733477524183026E-2</v>
      </c>
      <c r="AC91" s="140">
        <f t="shared" si="130"/>
        <v>1.5799024398689035E-2</v>
      </c>
      <c r="AD91" s="140">
        <f t="shared" si="130"/>
        <v>1.5863656768743337E-2</v>
      </c>
      <c r="AE91" s="140">
        <f t="shared" si="130"/>
        <v>1.5927385821791536E-2</v>
      </c>
      <c r="AF91" s="140">
        <f t="shared" si="130"/>
        <v>1.5990222631406509E-2</v>
      </c>
      <c r="AG91" s="140">
        <f t="shared" si="130"/>
        <v>1.6052178158331647E-2</v>
      </c>
      <c r="AH91" s="140">
        <f t="shared" si="130"/>
        <v>1.611326325151647E-2</v>
      </c>
      <c r="AI91" s="140">
        <f t="shared" si="130"/>
        <v>1.6173156418808371E-2</v>
      </c>
      <c r="AJ91" s="140">
        <f t="shared" si="130"/>
        <v>1.6232537437189328E-2</v>
      </c>
      <c r="AK91" s="140">
        <f t="shared" si="130"/>
        <v>1.6291079849990307E-2</v>
      </c>
      <c r="AL91" s="140">
        <f t="shared" si="130"/>
        <v>1.6348794069755847E-2</v>
      </c>
      <c r="AM91" s="140">
        <f t="shared" si="130"/>
        <v>1.6405690402274541E-2</v>
      </c>
      <c r="AN91" s="140">
        <f t="shared" si="130"/>
        <v>1.6461779047562124E-2</v>
      </c>
      <c r="AO91" s="140">
        <f t="shared" si="130"/>
        <v>1.6517070100835467E-2</v>
      </c>
      <c r="AP91" s="140">
        <f t="shared" si="130"/>
        <v>1.6571573553478672E-2</v>
      </c>
      <c r="AQ91" s="140">
        <f t="shared" si="130"/>
        <v>1.6625002947954361E-2</v>
      </c>
      <c r="AR91" s="140">
        <f t="shared" si="130"/>
        <v>1.6677965002341748E-2</v>
      </c>
      <c r="AS91" s="140">
        <f t="shared" si="130"/>
        <v>1.6730168763255643E-2</v>
      </c>
      <c r="AT91" s="140">
        <f t="shared" si="130"/>
        <v>1.6781623816794471E-2</v>
      </c>
      <c r="AU91" s="140">
        <f t="shared" si="130"/>
        <v>1.6832339649924158E-2</v>
      </c>
      <c r="AV91" s="140">
        <f t="shared" si="130"/>
        <v>1.6882325651394581E-2</v>
      </c>
      <c r="AW91" s="140">
        <f t="shared" si="130"/>
        <v>1.6931591112649112E-2</v>
      </c>
      <c r="AX91" s="140">
        <f t="shared" si="130"/>
        <v>1.6980145228725152E-2</v>
      </c>
      <c r="AY91" s="140">
        <f t="shared" si="130"/>
        <v>1.70277331786878E-2</v>
      </c>
      <c r="AZ91" s="140">
        <f t="shared" si="130"/>
        <v>1.7074895634989797E-2</v>
      </c>
      <c r="BA91" s="140">
        <f t="shared" si="130"/>
        <v>1.7121373712435078E-2</v>
      </c>
      <c r="BB91" s="140">
        <f t="shared" si="130"/>
        <v>1.7167176229806323E-2</v>
      </c>
      <c r="BC91" s="140">
        <f t="shared" si="130"/>
        <v>1.7212311913864971E-2</v>
      </c>
      <c r="BD91" s="140">
        <f t="shared" si="130"/>
        <v>1.7256789400205981E-2</v>
      </c>
      <c r="BE91" s="140">
        <f t="shared" si="130"/>
        <v>1.7300617234105947E-2</v>
      </c>
      <c r="BF91" s="140">
        <f t="shared" si="130"/>
        <v>1.7343803871363229E-2</v>
      </c>
      <c r="BG91" s="140">
        <f t="shared" si="130"/>
        <v>1.7386123001936971E-2</v>
      </c>
      <c r="BH91" s="140">
        <f t="shared" si="130"/>
        <v>1.7428055706562393E-2</v>
      </c>
      <c r="BI91" s="140">
        <f t="shared" si="130"/>
        <v>1.7469372008091677E-2</v>
      </c>
      <c r="BJ91" s="140">
        <f t="shared" si="130"/>
        <v>1.7510080013145583E-2</v>
      </c>
      <c r="BK91" s="140">
        <f t="shared" si="130"/>
        <v>1.755018774295547E-2</v>
      </c>
      <c r="BL91" s="140">
        <f t="shared" si="130"/>
        <v>1.7589703134161208E-2</v>
      </c>
      <c r="BM91" s="140">
        <f t="shared" si="130"/>
        <v>1.7628634039601371E-2</v>
      </c>
      <c r="BN91" s="140">
        <f t="shared" si="130"/>
        <v>1.7666988229096719E-2</v>
      </c>
      <c r="BO91" s="140">
        <f t="shared" ref="BO91:CB91" si="131">IF(BO89&lt;0,0,$B$5+$B$6*((1-EXP(-BO90/$B$9))/(BO90/$B$9))+$B$7*((1-EXP(-BO90/$B$9))/(BO90/$B$9)-EXP(-BO90/$B$9))+$B$8*((1-EXP(-BO90/$B$10))/(BO90/$B$10)-EXP(-BO90/$B$10)))</f>
        <v>1.7704565030512882E-2</v>
      </c>
      <c r="BP91" s="140">
        <f t="shared" si="131"/>
        <v>1.7741791867538461E-2</v>
      </c>
      <c r="BQ91" s="140">
        <f t="shared" si="131"/>
        <v>1.7778464766123932E-2</v>
      </c>
      <c r="BR91" s="140">
        <f t="shared" si="131"/>
        <v>1.7814591172162234E-2</v>
      </c>
      <c r="BS91" s="140">
        <f t="shared" si="131"/>
        <v>1.7850178452341249E-2</v>
      </c>
      <c r="BT91" s="140">
        <f t="shared" si="131"/>
        <v>1.7885233894887144E-2</v>
      </c>
      <c r="BU91" s="140">
        <f t="shared" si="131"/>
        <v>1.7919764710301749E-2</v>
      </c>
      <c r="BV91" s="140">
        <f t="shared" si="131"/>
        <v>1.7953778032092825E-2</v>
      </c>
      <c r="BW91" s="140">
        <f t="shared" si="131"/>
        <v>1.7987096187502761E-2</v>
      </c>
      <c r="BX91" s="140">
        <f t="shared" si="131"/>
        <v>1.8020098396031154E-2</v>
      </c>
      <c r="BY91" s="140">
        <f t="shared" si="131"/>
        <v>1.805260401853969E-2</v>
      </c>
      <c r="BZ91" s="140">
        <f t="shared" si="131"/>
        <v>1.8084619888148707E-2</v>
      </c>
      <c r="CA91" s="140">
        <f t="shared" si="131"/>
        <v>1.8116152764538831E-2</v>
      </c>
      <c r="CB91" s="140">
        <f t="shared" si="131"/>
        <v>1.814720933464389E-2</v>
      </c>
      <c r="CC91" s="17"/>
      <c r="CD91" s="17"/>
      <c r="CE91" s="17"/>
    </row>
    <row r="92" spans="1:115">
      <c r="A92" s="16" t="s">
        <v>44</v>
      </c>
      <c r="B92" s="140">
        <f>EXP(-B91*B90)</f>
        <v>0.99337647972809995</v>
      </c>
      <c r="C92" s="140">
        <f t="shared" ref="C92:AR92" si="132">EXP(-C91*C90)</f>
        <v>0.98655662205713412</v>
      </c>
      <c r="D92" s="140">
        <f t="shared" si="132"/>
        <v>0.97965621705933914</v>
      </c>
      <c r="E92" s="140">
        <f t="shared" si="132"/>
        <v>0.97271659377275055</v>
      </c>
      <c r="F92" s="140">
        <f t="shared" si="132"/>
        <v>0.96574102707742926</v>
      </c>
      <c r="G92" s="140">
        <f t="shared" si="132"/>
        <v>0.95873271302620489</v>
      </c>
      <c r="H92" s="140">
        <f t="shared" si="132"/>
        <v>0.9516947690564368</v>
      </c>
      <c r="I92" s="140">
        <f t="shared" si="132"/>
        <v>0.94463023428303894</v>
      </c>
      <c r="J92" s="140">
        <f t="shared" si="132"/>
        <v>0.93754206986831035</v>
      </c>
      <c r="K92" s="140">
        <f t="shared" si="132"/>
        <v>0.93047270552875538</v>
      </c>
      <c r="L92" s="140">
        <f t="shared" si="132"/>
        <v>0.92334594783762647</v>
      </c>
      <c r="M92" s="140">
        <f t="shared" si="132"/>
        <v>0.91620396607697152</v>
      </c>
      <c r="N92" s="140">
        <f t="shared" si="132"/>
        <v>0.90904941510053427</v>
      </c>
      <c r="O92" s="140">
        <f t="shared" si="132"/>
        <v>0.90188487465683409</v>
      </c>
      <c r="P92" s="140">
        <f t="shared" si="132"/>
        <v>0.89471285013139779</v>
      </c>
      <c r="Q92" s="140">
        <f t="shared" si="132"/>
        <v>0.88753577333756162</v>
      </c>
      <c r="R92" s="140">
        <f t="shared" si="132"/>
        <v>0.88035600335231745</v>
      </c>
      <c r="S92" s="140">
        <f t="shared" si="132"/>
        <v>0.87321571427906886</v>
      </c>
      <c r="T92" s="140">
        <f t="shared" si="132"/>
        <v>0.8660373325717734</v>
      </c>
      <c r="U92" s="140">
        <f t="shared" si="132"/>
        <v>0.85886289571650998</v>
      </c>
      <c r="V92" s="140">
        <f t="shared" si="132"/>
        <v>0.85169448136715198</v>
      </c>
      <c r="W92" s="140">
        <f t="shared" si="132"/>
        <v>0.84453409917449074</v>
      </c>
      <c r="X92" s="140">
        <f t="shared" si="132"/>
        <v>0.83738369182437544</v>
      </c>
      <c r="Y92" s="140">
        <f t="shared" si="132"/>
        <v>0.8302451360994122</v>
      </c>
      <c r="Z92" s="140">
        <f t="shared" si="132"/>
        <v>0.82312024396164318</v>
      </c>
      <c r="AA92" s="140">
        <f t="shared" si="132"/>
        <v>0.81605021506952569</v>
      </c>
      <c r="AB92" s="140">
        <f t="shared" si="132"/>
        <v>0.80895773270298521</v>
      </c>
      <c r="AC92" s="140">
        <f t="shared" si="132"/>
        <v>0.80188396312061472</v>
      </c>
      <c r="AD92" s="140">
        <f t="shared" si="132"/>
        <v>0.7948304704953959</v>
      </c>
      <c r="AE92" s="140">
        <f t="shared" si="132"/>
        <v>0.78779875981785796</v>
      </c>
      <c r="AF92" s="140">
        <f t="shared" si="132"/>
        <v>0.78079027805600165</v>
      </c>
      <c r="AG92" s="140">
        <f t="shared" si="132"/>
        <v>0.77380641532102157</v>
      </c>
      <c r="AH92" s="140">
        <f t="shared" si="132"/>
        <v>0.76684850603702592</v>
      </c>
      <c r="AI92" s="140">
        <f t="shared" si="132"/>
        <v>0.75995625636344222</v>
      </c>
      <c r="AJ92" s="140">
        <f t="shared" si="132"/>
        <v>0.75305387896388776</v>
      </c>
      <c r="AK92" s="140">
        <f t="shared" si="132"/>
        <v>0.74618112950553928</v>
      </c>
      <c r="AL92" s="140">
        <f t="shared" si="132"/>
        <v>0.73933913166501941</v>
      </c>
      <c r="AM92" s="140">
        <f t="shared" si="132"/>
        <v>0.73252895927869843</v>
      </c>
      <c r="AN92" s="140">
        <f t="shared" si="132"/>
        <v>0.72575163750442118</v>
      </c>
      <c r="AO92" s="140">
        <f t="shared" si="132"/>
        <v>0.71900814397734614</v>
      </c>
      <c r="AP92" s="140">
        <f t="shared" si="132"/>
        <v>0.71229940995878438</v>
      </c>
      <c r="AQ92" s="140">
        <f t="shared" si="132"/>
        <v>0.7056632941593155</v>
      </c>
      <c r="AR92" s="140">
        <f t="shared" si="132"/>
        <v>0.69902648818709345</v>
      </c>
      <c r="AS92" s="140">
        <f>EXP(-AS91*AS90)</f>
        <v>0.69242696430479522</v>
      </c>
      <c r="AT92" s="140">
        <f t="shared" ref="AT92:CA92" si="133">EXP(-AT91*AT90)</f>
        <v>0.68586547982200918</v>
      </c>
      <c r="AU92" s="140">
        <f t="shared" si="133"/>
        <v>0.67934275127420762</v>
      </c>
      <c r="AV92" s="140">
        <f t="shared" si="133"/>
        <v>0.6728594555105214</v>
      </c>
      <c r="AW92" s="140">
        <f t="shared" si="133"/>
        <v>0.66641623076870249</v>
      </c>
      <c r="AX92" s="140">
        <f t="shared" si="133"/>
        <v>0.66001367773671871</v>
      </c>
      <c r="AY92" s="140">
        <f t="shared" si="133"/>
        <v>0.65368758635631552</v>
      </c>
      <c r="AZ92" s="140">
        <f t="shared" si="133"/>
        <v>0.647367800410247</v>
      </c>
      <c r="BA92" s="140">
        <f t="shared" si="133"/>
        <v>0.64109027069066604</v>
      </c>
      <c r="BB92" s="140">
        <f t="shared" si="133"/>
        <v>0.63485545819974809</v>
      </c>
      <c r="BC92" s="140">
        <f t="shared" si="133"/>
        <v>0.62866379147438389</v>
      </c>
      <c r="BD92" s="140">
        <f t="shared" si="133"/>
        <v>0.62251566755787968</v>
      </c>
      <c r="BE92" s="140">
        <f t="shared" si="133"/>
        <v>0.61641145295545341</v>
      </c>
      <c r="BF92" s="140">
        <f t="shared" si="133"/>
        <v>0.61035148457331534</v>
      </c>
      <c r="BG92" s="140">
        <f t="shared" si="133"/>
        <v>0.60436936600499092</v>
      </c>
      <c r="BH92" s="140">
        <f t="shared" si="133"/>
        <v>0.59839853717370262</v>
      </c>
      <c r="BI92" s="140">
        <f t="shared" si="133"/>
        <v>0.59247279549157128</v>
      </c>
      <c r="BJ92" s="140">
        <f t="shared" si="133"/>
        <v>0.58659236866683018</v>
      </c>
      <c r="BK92" s="140">
        <f t="shared" si="133"/>
        <v>0.58075745924713451</v>
      </c>
      <c r="BL92" s="140">
        <f t="shared" si="133"/>
        <v>0.57496824545708292</v>
      </c>
      <c r="BM92" s="140">
        <f t="shared" si="133"/>
        <v>0.56922488201857135</v>
      </c>
      <c r="BN92" s="140">
        <f t="shared" si="133"/>
        <v>0.56352750095396187</v>
      </c>
      <c r="BO92" s="140">
        <f t="shared" si="133"/>
        <v>0.5579074809234601</v>
      </c>
      <c r="BP92" s="140">
        <f t="shared" si="133"/>
        <v>0.55230211701694887</v>
      </c>
      <c r="BQ92" s="140">
        <f t="shared" si="133"/>
        <v>0.54674300280276444</v>
      </c>
      <c r="BR92" s="140">
        <f t="shared" si="133"/>
        <v>0.54123018730155759</v>
      </c>
      <c r="BS92" s="140">
        <f t="shared" si="133"/>
        <v>0.53576370059007805</v>
      </c>
      <c r="BT92" s="140">
        <f t="shared" si="133"/>
        <v>0.5303435545024926</v>
      </c>
      <c r="BU92" s="140">
        <f t="shared" si="133"/>
        <v>0.52496974331505863</v>
      </c>
      <c r="BV92" s="140">
        <f t="shared" si="133"/>
        <v>0.51964224441431484</v>
      </c>
      <c r="BW92" s="140">
        <f t="shared" si="133"/>
        <v>0.5143902313601485</v>
      </c>
      <c r="BX92" s="140">
        <f t="shared" si="133"/>
        <v>0.50915496828268136</v>
      </c>
      <c r="BY92" s="140">
        <f t="shared" si="133"/>
        <v>0.50396585517701264</v>
      </c>
      <c r="BZ92" s="140">
        <f t="shared" si="133"/>
        <v>0.49882280830668263</v>
      </c>
      <c r="CA92" s="140">
        <f t="shared" si="133"/>
        <v>0.49372573014160637</v>
      </c>
      <c r="CB92" s="140">
        <f>EXP(-CB91*CB90)</f>
        <v>0.48867450993100447</v>
      </c>
      <c r="CC92" s="17"/>
      <c r="CD92" s="17"/>
      <c r="CE92" s="17"/>
    </row>
    <row r="93" spans="1:115" s="6" customFormat="1">
      <c r="A93" s="130"/>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19"/>
      <c r="CD93" s="19"/>
      <c r="CE93" s="19"/>
    </row>
    <row r="94" spans="1:115">
      <c r="A94" s="16" t="s">
        <v>40</v>
      </c>
      <c r="B94" s="140">
        <f t="shared" ref="B94:BM94" si="134">DAYS360($B$3,B34)</f>
        <v>353</v>
      </c>
      <c r="C94" s="140">
        <f t="shared" si="134"/>
        <v>532</v>
      </c>
      <c r="D94" s="140">
        <f t="shared" si="134"/>
        <v>713</v>
      </c>
      <c r="E94" s="140">
        <f t="shared" si="134"/>
        <v>892</v>
      </c>
      <c r="F94" s="140">
        <f t="shared" si="134"/>
        <v>1073</v>
      </c>
      <c r="G94" s="140">
        <f t="shared" si="134"/>
        <v>1252</v>
      </c>
      <c r="H94" s="140">
        <f t="shared" si="134"/>
        <v>1433</v>
      </c>
      <c r="I94" s="140">
        <f t="shared" si="134"/>
        <v>1612</v>
      </c>
      <c r="J94" s="140">
        <f t="shared" si="134"/>
        <v>1792</v>
      </c>
      <c r="K94" s="140">
        <f t="shared" si="134"/>
        <v>1971</v>
      </c>
      <c r="L94" s="140">
        <f t="shared" si="134"/>
        <v>2152</v>
      </c>
      <c r="M94" s="140">
        <f t="shared" si="134"/>
        <v>2331</v>
      </c>
      <c r="N94" s="140">
        <f t="shared" si="134"/>
        <v>2512</v>
      </c>
      <c r="O94" s="140">
        <f t="shared" si="134"/>
        <v>2691</v>
      </c>
      <c r="P94" s="140">
        <f t="shared" si="134"/>
        <v>2872</v>
      </c>
      <c r="Q94" s="140">
        <f t="shared" si="134"/>
        <v>3051</v>
      </c>
      <c r="R94" s="140">
        <f t="shared" si="134"/>
        <v>3231</v>
      </c>
      <c r="S94" s="140">
        <f t="shared" si="134"/>
        <v>3410</v>
      </c>
      <c r="T94" s="140">
        <f t="shared" si="134"/>
        <v>3591</v>
      </c>
      <c r="U94" s="140">
        <f t="shared" si="134"/>
        <v>3770</v>
      </c>
      <c r="V94" s="140">
        <f t="shared" si="134"/>
        <v>3951</v>
      </c>
      <c r="W94" s="140">
        <f t="shared" si="134"/>
        <v>4130</v>
      </c>
      <c r="X94" s="140">
        <f t="shared" si="134"/>
        <v>4311</v>
      </c>
      <c r="Y94" s="140">
        <f t="shared" si="134"/>
        <v>4490</v>
      </c>
      <c r="Z94" s="140">
        <f t="shared" si="134"/>
        <v>4670</v>
      </c>
      <c r="AA94" s="140">
        <f t="shared" si="134"/>
        <v>4849</v>
      </c>
      <c r="AB94" s="140">
        <f t="shared" si="134"/>
        <v>5030</v>
      </c>
      <c r="AC94" s="140">
        <f t="shared" si="134"/>
        <v>5209</v>
      </c>
      <c r="AD94" s="140">
        <f t="shared" si="134"/>
        <v>5390</v>
      </c>
      <c r="AE94" s="140">
        <f t="shared" si="134"/>
        <v>5569</v>
      </c>
      <c r="AF94" s="140">
        <f t="shared" si="134"/>
        <v>5750</v>
      </c>
      <c r="AG94" s="140">
        <f t="shared" si="134"/>
        <v>5929</v>
      </c>
      <c r="AH94" s="140">
        <f t="shared" si="134"/>
        <v>6109</v>
      </c>
      <c r="AI94" s="140">
        <f t="shared" si="134"/>
        <v>6288</v>
      </c>
      <c r="AJ94" s="140">
        <f t="shared" si="134"/>
        <v>6469</v>
      </c>
      <c r="AK94" s="140">
        <f t="shared" si="134"/>
        <v>6648</v>
      </c>
      <c r="AL94" s="140">
        <f t="shared" si="134"/>
        <v>6829</v>
      </c>
      <c r="AM94" s="140">
        <f t="shared" si="134"/>
        <v>7008</v>
      </c>
      <c r="AN94" s="140">
        <f t="shared" si="134"/>
        <v>7189</v>
      </c>
      <c r="AO94" s="140">
        <f t="shared" si="134"/>
        <v>7368</v>
      </c>
      <c r="AP94" s="140">
        <f t="shared" si="134"/>
        <v>7548</v>
      </c>
      <c r="AQ94" s="140">
        <f t="shared" si="134"/>
        <v>7727</v>
      </c>
      <c r="AR94" s="140">
        <f t="shared" si="134"/>
        <v>7908</v>
      </c>
      <c r="AS94" s="140">
        <f t="shared" si="134"/>
        <v>8087</v>
      </c>
      <c r="AT94" s="140">
        <f t="shared" si="134"/>
        <v>8268</v>
      </c>
      <c r="AU94" s="140">
        <f t="shared" si="134"/>
        <v>8447</v>
      </c>
      <c r="AV94" s="140">
        <f t="shared" si="134"/>
        <v>8628</v>
      </c>
      <c r="AW94" s="140">
        <f t="shared" si="134"/>
        <v>8807</v>
      </c>
      <c r="AX94" s="140">
        <f t="shared" si="134"/>
        <v>8987</v>
      </c>
      <c r="AY94" s="140">
        <f t="shared" si="134"/>
        <v>9166</v>
      </c>
      <c r="AZ94" s="140">
        <f t="shared" si="134"/>
        <v>9347</v>
      </c>
      <c r="BA94" s="140">
        <f t="shared" si="134"/>
        <v>9526</v>
      </c>
      <c r="BB94" s="140">
        <f t="shared" si="134"/>
        <v>9707</v>
      </c>
      <c r="BC94" s="140">
        <f t="shared" si="134"/>
        <v>9886</v>
      </c>
      <c r="BD94" s="140">
        <f t="shared" si="134"/>
        <v>10067</v>
      </c>
      <c r="BE94" s="140">
        <f t="shared" si="134"/>
        <v>10246</v>
      </c>
      <c r="BF94" s="140">
        <f t="shared" si="134"/>
        <v>10426</v>
      </c>
      <c r="BG94" s="140">
        <f t="shared" si="134"/>
        <v>10605</v>
      </c>
      <c r="BH94" s="140">
        <f t="shared" si="134"/>
        <v>10786</v>
      </c>
      <c r="BI94" s="140">
        <f t="shared" si="134"/>
        <v>10965</v>
      </c>
      <c r="BJ94" s="140">
        <f t="shared" si="134"/>
        <v>11146</v>
      </c>
      <c r="BK94" s="140">
        <f t="shared" si="134"/>
        <v>11325</v>
      </c>
      <c r="BL94" s="140">
        <f t="shared" si="134"/>
        <v>11506</v>
      </c>
      <c r="BM94" s="140">
        <f t="shared" si="134"/>
        <v>11685</v>
      </c>
      <c r="BN94" s="140">
        <f t="shared" ref="BN94:CB94" si="135">DAYS360($B$3,BN34)</f>
        <v>11865</v>
      </c>
      <c r="BO94" s="140">
        <f t="shared" si="135"/>
        <v>12044</v>
      </c>
      <c r="BP94" s="140">
        <f t="shared" si="135"/>
        <v>12225</v>
      </c>
      <c r="BQ94" s="140">
        <f t="shared" si="135"/>
        <v>12404</v>
      </c>
      <c r="BR94" s="140">
        <f t="shared" si="135"/>
        <v>12585</v>
      </c>
      <c r="BS94" s="140">
        <f t="shared" si="135"/>
        <v>12764</v>
      </c>
      <c r="BT94" s="140">
        <f t="shared" si="135"/>
        <v>12945</v>
      </c>
      <c r="BU94" s="140">
        <f t="shared" si="135"/>
        <v>13124</v>
      </c>
      <c r="BV94" s="140">
        <f t="shared" si="135"/>
        <v>13304</v>
      </c>
      <c r="BW94" s="140">
        <f t="shared" si="135"/>
        <v>13483</v>
      </c>
      <c r="BX94" s="140">
        <f t="shared" si="135"/>
        <v>13664</v>
      </c>
      <c r="BY94" s="140">
        <f t="shared" si="135"/>
        <v>13843</v>
      </c>
      <c r="BZ94" s="140">
        <f t="shared" si="135"/>
        <v>14024</v>
      </c>
      <c r="CA94" s="140">
        <f t="shared" si="135"/>
        <v>14203</v>
      </c>
      <c r="CB94" s="140">
        <f t="shared" si="135"/>
        <v>14384</v>
      </c>
      <c r="CC94" s="17"/>
      <c r="CD94" s="17"/>
      <c r="CE94" s="17"/>
    </row>
    <row r="95" spans="1:115">
      <c r="A95" s="16" t="s">
        <v>41</v>
      </c>
      <c r="B95" s="140">
        <f>B94/360</f>
        <v>0.98055555555555551</v>
      </c>
      <c r="C95" s="140">
        <f t="shared" ref="C95:BN95" si="136">C94/360</f>
        <v>1.4777777777777779</v>
      </c>
      <c r="D95" s="140">
        <f t="shared" si="136"/>
        <v>1.9805555555555556</v>
      </c>
      <c r="E95" s="140">
        <f t="shared" si="136"/>
        <v>2.4777777777777779</v>
      </c>
      <c r="F95" s="140">
        <f t="shared" si="136"/>
        <v>2.9805555555555556</v>
      </c>
      <c r="G95" s="140">
        <f t="shared" si="136"/>
        <v>3.4777777777777779</v>
      </c>
      <c r="H95" s="140">
        <f t="shared" si="136"/>
        <v>3.9805555555555556</v>
      </c>
      <c r="I95" s="140">
        <f t="shared" si="136"/>
        <v>4.4777777777777779</v>
      </c>
      <c r="J95" s="140">
        <f t="shared" si="136"/>
        <v>4.9777777777777779</v>
      </c>
      <c r="K95" s="140">
        <f t="shared" si="136"/>
        <v>5.4749999999999996</v>
      </c>
      <c r="L95" s="140">
        <f t="shared" si="136"/>
        <v>5.9777777777777779</v>
      </c>
      <c r="M95" s="140">
        <f t="shared" si="136"/>
        <v>6.4749999999999996</v>
      </c>
      <c r="N95" s="140">
        <f t="shared" si="136"/>
        <v>6.9777777777777779</v>
      </c>
      <c r="O95" s="140">
        <f t="shared" si="136"/>
        <v>7.4749999999999996</v>
      </c>
      <c r="P95" s="140">
        <f t="shared" si="136"/>
        <v>7.9777777777777779</v>
      </c>
      <c r="Q95" s="140">
        <f t="shared" si="136"/>
        <v>8.4749999999999996</v>
      </c>
      <c r="R95" s="140">
        <f t="shared" si="136"/>
        <v>8.9749999999999996</v>
      </c>
      <c r="S95" s="140">
        <f t="shared" si="136"/>
        <v>9.4722222222222214</v>
      </c>
      <c r="T95" s="140">
        <f t="shared" si="136"/>
        <v>9.9749999999999996</v>
      </c>
      <c r="U95" s="140">
        <f t="shared" si="136"/>
        <v>10.472222222222221</v>
      </c>
      <c r="V95" s="140">
        <f t="shared" si="136"/>
        <v>10.975</v>
      </c>
      <c r="W95" s="140">
        <f t="shared" si="136"/>
        <v>11.472222222222221</v>
      </c>
      <c r="X95" s="140">
        <f t="shared" si="136"/>
        <v>11.975</v>
      </c>
      <c r="Y95" s="140">
        <f t="shared" si="136"/>
        <v>12.472222222222221</v>
      </c>
      <c r="Z95" s="140">
        <f t="shared" si="136"/>
        <v>12.972222222222221</v>
      </c>
      <c r="AA95" s="140">
        <f t="shared" si="136"/>
        <v>13.469444444444445</v>
      </c>
      <c r="AB95" s="140">
        <f t="shared" si="136"/>
        <v>13.972222222222221</v>
      </c>
      <c r="AC95" s="140">
        <f t="shared" si="136"/>
        <v>14.469444444444445</v>
      </c>
      <c r="AD95" s="140">
        <f t="shared" si="136"/>
        <v>14.972222222222221</v>
      </c>
      <c r="AE95" s="140">
        <f t="shared" si="136"/>
        <v>15.469444444444445</v>
      </c>
      <c r="AF95" s="140">
        <f t="shared" si="136"/>
        <v>15.972222222222221</v>
      </c>
      <c r="AG95" s="140">
        <f t="shared" si="136"/>
        <v>16.469444444444445</v>
      </c>
      <c r="AH95" s="140">
        <f t="shared" si="136"/>
        <v>16.969444444444445</v>
      </c>
      <c r="AI95" s="140">
        <f t="shared" si="136"/>
        <v>17.466666666666665</v>
      </c>
      <c r="AJ95" s="140">
        <f t="shared" si="136"/>
        <v>17.969444444444445</v>
      </c>
      <c r="AK95" s="140">
        <f t="shared" si="136"/>
        <v>18.466666666666665</v>
      </c>
      <c r="AL95" s="140">
        <f t="shared" si="136"/>
        <v>18.969444444444445</v>
      </c>
      <c r="AM95" s="140">
        <f t="shared" si="136"/>
        <v>19.466666666666665</v>
      </c>
      <c r="AN95" s="140">
        <f t="shared" si="136"/>
        <v>19.969444444444445</v>
      </c>
      <c r="AO95" s="140">
        <f t="shared" si="136"/>
        <v>20.466666666666665</v>
      </c>
      <c r="AP95" s="140">
        <f t="shared" si="136"/>
        <v>20.966666666666665</v>
      </c>
      <c r="AQ95" s="140">
        <f t="shared" si="136"/>
        <v>21.463888888888889</v>
      </c>
      <c r="AR95" s="140">
        <f t="shared" si="136"/>
        <v>21.966666666666665</v>
      </c>
      <c r="AS95" s="140">
        <f t="shared" si="136"/>
        <v>22.463888888888889</v>
      </c>
      <c r="AT95" s="140">
        <f t="shared" si="136"/>
        <v>22.966666666666665</v>
      </c>
      <c r="AU95" s="140">
        <f t="shared" si="136"/>
        <v>23.463888888888889</v>
      </c>
      <c r="AV95" s="140">
        <f t="shared" si="136"/>
        <v>23.966666666666665</v>
      </c>
      <c r="AW95" s="140">
        <f t="shared" si="136"/>
        <v>24.463888888888889</v>
      </c>
      <c r="AX95" s="140">
        <f t="shared" si="136"/>
        <v>24.963888888888889</v>
      </c>
      <c r="AY95" s="140">
        <f t="shared" si="136"/>
        <v>25.461111111111112</v>
      </c>
      <c r="AZ95" s="140">
        <f t="shared" si="136"/>
        <v>25.963888888888889</v>
      </c>
      <c r="BA95" s="140">
        <f t="shared" si="136"/>
        <v>26.461111111111112</v>
      </c>
      <c r="BB95" s="140">
        <f t="shared" si="136"/>
        <v>26.963888888888889</v>
      </c>
      <c r="BC95" s="140">
        <f t="shared" si="136"/>
        <v>27.461111111111112</v>
      </c>
      <c r="BD95" s="140">
        <f t="shared" si="136"/>
        <v>27.963888888888889</v>
      </c>
      <c r="BE95" s="140">
        <f t="shared" si="136"/>
        <v>28.461111111111112</v>
      </c>
      <c r="BF95" s="140">
        <f t="shared" si="136"/>
        <v>28.961111111111112</v>
      </c>
      <c r="BG95" s="140">
        <f t="shared" si="136"/>
        <v>29.458333333333332</v>
      </c>
      <c r="BH95" s="140">
        <f t="shared" si="136"/>
        <v>29.961111111111112</v>
      </c>
      <c r="BI95" s="140">
        <f t="shared" si="136"/>
        <v>30.458333333333332</v>
      </c>
      <c r="BJ95" s="140">
        <f t="shared" si="136"/>
        <v>30.961111111111112</v>
      </c>
      <c r="BK95" s="140">
        <f t="shared" si="136"/>
        <v>31.458333333333332</v>
      </c>
      <c r="BL95" s="140">
        <f t="shared" si="136"/>
        <v>31.961111111111112</v>
      </c>
      <c r="BM95" s="140">
        <f t="shared" si="136"/>
        <v>32.458333333333336</v>
      </c>
      <c r="BN95" s="140">
        <f t="shared" si="136"/>
        <v>32.958333333333336</v>
      </c>
      <c r="BO95" s="140">
        <f t="shared" ref="BO95:CB95" si="137">BO94/360</f>
        <v>33.455555555555556</v>
      </c>
      <c r="BP95" s="140">
        <f t="shared" si="137"/>
        <v>33.958333333333336</v>
      </c>
      <c r="BQ95" s="140">
        <f t="shared" si="137"/>
        <v>34.455555555555556</v>
      </c>
      <c r="BR95" s="140">
        <f t="shared" si="137"/>
        <v>34.958333333333336</v>
      </c>
      <c r="BS95" s="140">
        <f t="shared" si="137"/>
        <v>35.455555555555556</v>
      </c>
      <c r="BT95" s="140">
        <f t="shared" si="137"/>
        <v>35.958333333333336</v>
      </c>
      <c r="BU95" s="140">
        <f t="shared" si="137"/>
        <v>36.455555555555556</v>
      </c>
      <c r="BV95" s="140">
        <f t="shared" si="137"/>
        <v>36.955555555555556</v>
      </c>
      <c r="BW95" s="140">
        <f t="shared" si="137"/>
        <v>37.452777777777776</v>
      </c>
      <c r="BX95" s="140">
        <f t="shared" si="137"/>
        <v>37.955555555555556</v>
      </c>
      <c r="BY95" s="140">
        <f t="shared" si="137"/>
        <v>38.452777777777776</v>
      </c>
      <c r="BZ95" s="140">
        <f t="shared" si="137"/>
        <v>38.955555555555556</v>
      </c>
      <c r="CA95" s="140">
        <f t="shared" si="137"/>
        <v>39.452777777777776</v>
      </c>
      <c r="CB95" s="140">
        <f t="shared" si="137"/>
        <v>39.955555555555556</v>
      </c>
      <c r="CC95" s="17"/>
      <c r="CD95" s="17"/>
      <c r="CE95" s="17"/>
    </row>
    <row r="96" spans="1:115">
      <c r="A96" s="16" t="s">
        <v>43</v>
      </c>
      <c r="B96" s="140">
        <f>IF(B94&lt;0,0,$B$5+$B$6*((1-EXP(-B95/$B$9))/(B95/$B$9))+$B$7*((1-EXP(-B95/$B$9))/(B95/$B$9)-EXP(-B95/$B$9))+$B$8*((1-EXP(-B95/$B$10))/(B95/$B$10)-EXP(-B95/$B$10)))</f>
        <v>1.3763440845205031E-2</v>
      </c>
      <c r="C96" s="140">
        <f t="shared" ref="C96:BN96" si="138">IF(C94&lt;0,0,$B$5+$B$6*((1-EXP(-C95/$B$9))/(C95/$B$9))+$B$7*((1-EXP(-C95/$B$9))/(C95/$B$9)-EXP(-C95/$B$9))+$B$8*((1-EXP(-C95/$B$10))/(C95/$B$10)-EXP(-C95/$B$10)))</f>
        <v>1.3855318189501888E-2</v>
      </c>
      <c r="D96" s="140">
        <f t="shared" si="138"/>
        <v>1.3946980925883272E-2</v>
      </c>
      <c r="E96" s="140">
        <f t="shared" si="138"/>
        <v>1.403641765236251E-2</v>
      </c>
      <c r="F96" s="140">
        <f t="shared" si="138"/>
        <v>1.4125641318003352E-2</v>
      </c>
      <c r="G96" s="140">
        <f t="shared" si="138"/>
        <v>1.4212694140089681E-2</v>
      </c>
      <c r="H96" s="140">
        <f t="shared" si="138"/>
        <v>1.42995355116129E-2</v>
      </c>
      <c r="I96" s="140">
        <f t="shared" si="138"/>
        <v>1.4384260019496095E-2</v>
      </c>
      <c r="J96" s="140">
        <f t="shared" si="138"/>
        <v>1.4468310985255989E-2</v>
      </c>
      <c r="K96" s="140">
        <f t="shared" si="138"/>
        <v>1.4550767907873564E-2</v>
      </c>
      <c r="L96" s="140">
        <f t="shared" si="138"/>
        <v>1.4633016776189214E-2</v>
      </c>
      <c r="M96" s="140">
        <f t="shared" si="138"/>
        <v>1.4713253129107162E-2</v>
      </c>
      <c r="N96" s="140">
        <f t="shared" si="138"/>
        <v>1.4793283214062522E-2</v>
      </c>
      <c r="O96" s="140">
        <f t="shared" si="138"/>
        <v>1.4871351340869355E-2</v>
      </c>
      <c r="P96" s="140">
        <f t="shared" si="138"/>
        <v>1.4949215040505453E-2</v>
      </c>
      <c r="Q96" s="140">
        <f t="shared" si="138"/>
        <v>1.5025166240485641E-2</v>
      </c>
      <c r="R96" s="140">
        <f t="shared" si="138"/>
        <v>1.5100499286124922E-2</v>
      </c>
      <c r="S96" s="140">
        <f t="shared" si="138"/>
        <v>1.5174389505175256E-2</v>
      </c>
      <c r="T96" s="140">
        <f t="shared" si="138"/>
        <v>1.5248079128312664E-2</v>
      </c>
      <c r="U96" s="140">
        <f t="shared" si="138"/>
        <v>1.5319951826041638E-2</v>
      </c>
      <c r="V96" s="140">
        <f t="shared" si="138"/>
        <v>1.5391625919667711E-2</v>
      </c>
      <c r="W96" s="140">
        <f t="shared" si="138"/>
        <v>1.5461529377351034E-2</v>
      </c>
      <c r="X96" s="140">
        <f t="shared" si="138"/>
        <v>1.5531236269216257E-2</v>
      </c>
      <c r="Y96" s="140">
        <f t="shared" si="138"/>
        <v>1.5599217797505149E-2</v>
      </c>
      <c r="Z96" s="140">
        <f t="shared" si="138"/>
        <v>1.5666632942938814E-2</v>
      </c>
      <c r="AA96" s="140">
        <f t="shared" si="138"/>
        <v>1.5732744046092997E-2</v>
      </c>
      <c r="AB96" s="140">
        <f t="shared" si="138"/>
        <v>1.5798662785975331E-2</v>
      </c>
      <c r="AC96" s="140">
        <f t="shared" si="138"/>
        <v>1.586294361457545E-2</v>
      </c>
      <c r="AD96" s="140">
        <f t="shared" si="138"/>
        <v>1.5927034246382313E-2</v>
      </c>
      <c r="AE96" s="140">
        <f t="shared" si="138"/>
        <v>1.598952930643964E-2</v>
      </c>
      <c r="AF96" s="140">
        <f t="shared" si="138"/>
        <v>1.6051836375392314E-2</v>
      </c>
      <c r="AG96" s="140">
        <f t="shared" si="138"/>
        <v>1.6112589271059304E-2</v>
      </c>
      <c r="AH96" s="140">
        <f t="shared" si="138"/>
        <v>1.617282416226597E-2</v>
      </c>
      <c r="AI96" s="140">
        <f t="shared" si="138"/>
        <v>1.6231882274630349E-2</v>
      </c>
      <c r="AJ96" s="140">
        <f t="shared" si="138"/>
        <v>1.6290756911710516E-2</v>
      </c>
      <c r="AK96" s="140">
        <f t="shared" si="138"/>
        <v>1.6348157312963116E-2</v>
      </c>
      <c r="AL96" s="140">
        <f t="shared" si="138"/>
        <v>1.6405376552045221E-2</v>
      </c>
      <c r="AM96" s="140">
        <f t="shared" si="138"/>
        <v>1.6461160240821514E-2</v>
      </c>
      <c r="AN96" s="140">
        <f t="shared" si="138"/>
        <v>1.6516765113145863E-2</v>
      </c>
      <c r="AO96" s="140">
        <f t="shared" si="138"/>
        <v>1.6570972250392002E-2</v>
      </c>
      <c r="AP96" s="140">
        <f t="shared" si="138"/>
        <v>1.6624706578205677E-2</v>
      </c>
      <c r="AQ96" s="140">
        <f t="shared" si="138"/>
        <v>1.6677380718846682E-2</v>
      </c>
      <c r="AR96" s="140">
        <f t="shared" si="138"/>
        <v>1.6729880819380066E-2</v>
      </c>
      <c r="AS96" s="140">
        <f t="shared" si="138"/>
        <v>1.6781056172602095E-2</v>
      </c>
      <c r="AT96" s="140">
        <f t="shared" si="138"/>
        <v>1.6832059919990882E-2</v>
      </c>
      <c r="AU96" s="140">
        <f t="shared" si="138"/>
        <v>1.6881774227016748E-2</v>
      </c>
      <c r="AV96" s="140">
        <f t="shared" si="138"/>
        <v>1.6931319389092828E-2</v>
      </c>
      <c r="AW96" s="140">
        <f t="shared" si="138"/>
        <v>1.6979609613324294E-2</v>
      </c>
      <c r="AX96" s="140">
        <f t="shared" si="138"/>
        <v>1.7027469236830448E-2</v>
      </c>
      <c r="AY96" s="140">
        <f t="shared" si="138"/>
        <v>1.7074375383971951E-2</v>
      </c>
      <c r="AZ96" s="140">
        <f t="shared" si="138"/>
        <v>1.7121117375146818E-2</v>
      </c>
      <c r="BA96" s="140">
        <f t="shared" si="138"/>
        <v>1.716667099248808E-2</v>
      </c>
      <c r="BB96" s="140">
        <f t="shared" si="138"/>
        <v>1.7212062986188093E-2</v>
      </c>
      <c r="BC96" s="140">
        <f t="shared" si="138"/>
        <v>1.7256298790731449E-2</v>
      </c>
      <c r="BD96" s="140">
        <f t="shared" si="138"/>
        <v>1.7300375525134765E-2</v>
      </c>
      <c r="BE96" s="140">
        <f t="shared" si="138"/>
        <v>1.7343327511905617E-2</v>
      </c>
      <c r="BF96" s="140">
        <f t="shared" si="138"/>
        <v>1.7385888305465308E-2</v>
      </c>
      <c r="BG96" s="140">
        <f t="shared" si="138"/>
        <v>1.7427593189124558E-2</v>
      </c>
      <c r="BH96" s="140">
        <f t="shared" si="138"/>
        <v>1.7469144160874674E-2</v>
      </c>
      <c r="BI96" s="140">
        <f t="shared" si="138"/>
        <v>1.7509631014560857E-2</v>
      </c>
      <c r="BJ96" s="140">
        <f t="shared" si="138"/>
        <v>1.7549966565787951E-2</v>
      </c>
      <c r="BK96" s="140">
        <f t="shared" si="138"/>
        <v>1.7589267299786496E-2</v>
      </c>
      <c r="BL96" s="140">
        <f t="shared" si="138"/>
        <v>1.7628419357038117E-2</v>
      </c>
      <c r="BM96" s="140">
        <f t="shared" si="138"/>
        <v>1.7666565211738292E-2</v>
      </c>
      <c r="BN96" s="140">
        <f t="shared" si="138"/>
        <v>1.7704356653469533E-2</v>
      </c>
      <c r="BO96" s="140">
        <f t="shared" ref="BO96:CB96" si="139">IF(BO94&lt;0,0,$B$5+$B$6*((1-EXP(-BO95/$B$9))/(BO95/$B$9))+$B$7*((1-EXP(-BO95/$B$9))/(BO95/$B$9)-EXP(-BO95/$B$9))+$B$8*((1-EXP(-BO95/$B$10))/(BO95/$B$10)-EXP(-BO95/$B$10)))</f>
        <v>1.7741381293119116E-2</v>
      </c>
      <c r="BP96" s="140">
        <f t="shared" si="139"/>
        <v>1.7778262544257229E-2</v>
      </c>
      <c r="BQ96" s="140">
        <f t="shared" si="139"/>
        <v>1.7814192743082831E-2</v>
      </c>
      <c r="BR96" s="140">
        <f t="shared" si="139"/>
        <v>1.7849982221060628E-2</v>
      </c>
      <c r="BS96" s="140">
        <f t="shared" si="139"/>
        <v>1.7884847285460751E-2</v>
      </c>
      <c r="BT96" s="140">
        <f t="shared" si="139"/>
        <v>1.7919574308504178E-2</v>
      </c>
      <c r="BU96" s="140">
        <f t="shared" si="139"/>
        <v>1.7953402923541945E-2</v>
      </c>
      <c r="BV96" s="140">
        <f t="shared" si="139"/>
        <v>1.7986911441967429E-2</v>
      </c>
      <c r="BW96" s="140">
        <f t="shared" si="139"/>
        <v>1.8019734445704195E-2</v>
      </c>
      <c r="BX96" s="140">
        <f t="shared" si="139"/>
        <v>1.8052424790907504E-2</v>
      </c>
      <c r="BY96" s="140">
        <f t="shared" si="139"/>
        <v>1.8084266822194602E-2</v>
      </c>
      <c r="BZ96" s="140">
        <f t="shared" si="139"/>
        <v>1.811597890377285E-2</v>
      </c>
      <c r="CA96" s="140">
        <f t="shared" si="139"/>
        <v>1.8146866854228422E-2</v>
      </c>
      <c r="CB96" s="140">
        <f t="shared" si="139"/>
        <v>1.8177627571634408E-2</v>
      </c>
      <c r="CC96" s="17"/>
      <c r="CD96" s="17"/>
      <c r="CE96" s="17"/>
    </row>
    <row r="97" spans="1:83">
      <c r="A97" s="16" t="s">
        <v>44</v>
      </c>
      <c r="B97" s="140">
        <f>EXP(-B96*B95)</f>
        <v>0.98659484186956148</v>
      </c>
      <c r="C97" s="140">
        <f t="shared" ref="C97:AR97" si="140">EXP(-C96*C95)</f>
        <v>0.97973310982179629</v>
      </c>
      <c r="D97" s="140">
        <f t="shared" si="140"/>
        <v>0.97275524951935266</v>
      </c>
      <c r="E97" s="140">
        <f t="shared" si="140"/>
        <v>0.96581871912776962</v>
      </c>
      <c r="F97" s="140">
        <f t="shared" si="140"/>
        <v>0.95877173280255179</v>
      </c>
      <c r="G97" s="140">
        <f t="shared" si="140"/>
        <v>0.95177312007453352</v>
      </c>
      <c r="H97" s="140">
        <f t="shared" si="140"/>
        <v>0.94466954967754457</v>
      </c>
      <c r="I97" s="140">
        <f t="shared" si="140"/>
        <v>0.93762094649392136</v>
      </c>
      <c r="J97" s="140">
        <f t="shared" si="140"/>
        <v>0.93051225103941115</v>
      </c>
      <c r="K97" s="140">
        <f t="shared" si="140"/>
        <v>0.92342522265870786</v>
      </c>
      <c r="L97" s="140">
        <f t="shared" si="140"/>
        <v>0.91624368089725505</v>
      </c>
      <c r="M97" s="140">
        <f t="shared" si="140"/>
        <v>0.90912896969976409</v>
      </c>
      <c r="N97" s="140">
        <f t="shared" si="140"/>
        <v>0.90192470061853425</v>
      </c>
      <c r="O97" s="140">
        <f t="shared" si="140"/>
        <v>0.89479257148459868</v>
      </c>
      <c r="P97" s="140">
        <f t="shared" si="140"/>
        <v>0.88757565557686424</v>
      </c>
      <c r="Q97" s="140">
        <f t="shared" si="140"/>
        <v>0.88043578497412867</v>
      </c>
      <c r="R97" s="140">
        <f t="shared" si="140"/>
        <v>0.87325560122005619</v>
      </c>
      <c r="S97" s="140">
        <f t="shared" si="140"/>
        <v>0.86611707460709786</v>
      </c>
      <c r="T97" s="140">
        <f t="shared" si="140"/>
        <v>0.85890273895490532</v>
      </c>
      <c r="U97" s="140">
        <f t="shared" si="140"/>
        <v>0.85177408994727088</v>
      </c>
      <c r="V97" s="140">
        <f t="shared" si="140"/>
        <v>0.84457385328970114</v>
      </c>
      <c r="W97" s="140">
        <f t="shared" si="140"/>
        <v>0.83746307909916318</v>
      </c>
      <c r="X97" s="140">
        <f t="shared" si="140"/>
        <v>0.83028475864684592</v>
      </c>
      <c r="Y97" s="140">
        <f t="shared" si="140"/>
        <v>0.82319932793894568</v>
      </c>
      <c r="Z97" s="140">
        <f t="shared" si="140"/>
        <v>0.81608966701294006</v>
      </c>
      <c r="AA97" s="140">
        <f t="shared" si="140"/>
        <v>0.80903643820981341</v>
      </c>
      <c r="AB97" s="140">
        <f t="shared" si="140"/>
        <v>0.80192320724927779</v>
      </c>
      <c r="AC97" s="140">
        <f t="shared" si="140"/>
        <v>0.79490872570224602</v>
      </c>
      <c r="AD97" s="140">
        <f t="shared" si="140"/>
        <v>0.78783776202416178</v>
      </c>
      <c r="AE97" s="140">
        <f t="shared" si="140"/>
        <v>0.78086801734515854</v>
      </c>
      <c r="AF97" s="140">
        <f t="shared" si="140"/>
        <v>0.77384514407619109</v>
      </c>
      <c r="AG97" s="140">
        <f t="shared" si="140"/>
        <v>0.7669256688451731</v>
      </c>
      <c r="AH97" s="140">
        <f t="shared" si="140"/>
        <v>0.75999468349211419</v>
      </c>
      <c r="AI97" s="140">
        <f t="shared" si="140"/>
        <v>0.75313041140299519</v>
      </c>
      <c r="AJ97" s="140">
        <f t="shared" si="140"/>
        <v>0.74621922751756076</v>
      </c>
      <c r="AK97" s="140">
        <f t="shared" si="140"/>
        <v>0.73941498096279834</v>
      </c>
      <c r="AL97" s="140">
        <f t="shared" si="140"/>
        <v>0.73256670375202593</v>
      </c>
      <c r="AM97" s="140">
        <f t="shared" si="140"/>
        <v>0.72582675700024069</v>
      </c>
      <c r="AN97" s="140">
        <f t="shared" si="140"/>
        <v>0.71904551265365491</v>
      </c>
      <c r="AO97" s="140">
        <f t="shared" si="140"/>
        <v>0.71237375721703178</v>
      </c>
      <c r="AP97" s="140">
        <f t="shared" si="140"/>
        <v>0.70570026796773044</v>
      </c>
      <c r="AQ97" s="140">
        <f t="shared" si="140"/>
        <v>0.69910002709514119</v>
      </c>
      <c r="AR97" s="140">
        <f t="shared" si="140"/>
        <v>0.69246352393055721</v>
      </c>
      <c r="AS97" s="140">
        <f>EXP(-AS96*AS95)</f>
        <v>0.68593817357655762</v>
      </c>
      <c r="AT97" s="140">
        <f t="shared" ref="AT97:CA97" si="141">EXP(-AT96*AT95)</f>
        <v>0.67937888033671801</v>
      </c>
      <c r="AU97" s="140">
        <f t="shared" si="141"/>
        <v>0.67293127313366496</v>
      </c>
      <c r="AV97" s="140">
        <f t="shared" si="141"/>
        <v>0.66645191465152165</v>
      </c>
      <c r="AW97" s="140">
        <f t="shared" si="141"/>
        <v>0.66008459168359157</v>
      </c>
      <c r="AX97" s="140">
        <f t="shared" si="141"/>
        <v>0.65372281340125271</v>
      </c>
      <c r="AY97" s="140">
        <f t="shared" si="141"/>
        <v>0.64743778899006366</v>
      </c>
      <c r="AZ97" s="140">
        <f t="shared" si="141"/>
        <v>0.64112502826769402</v>
      </c>
      <c r="BA97" s="140">
        <f t="shared" si="141"/>
        <v>0.63492449762284897</v>
      </c>
      <c r="BB97" s="140">
        <f t="shared" si="141"/>
        <v>0.6286980696959158</v>
      </c>
      <c r="BC97" s="140">
        <f t="shared" si="141"/>
        <v>0.62258373946669299</v>
      </c>
      <c r="BD97" s="140">
        <f t="shared" si="141"/>
        <v>0.61644524333397666</v>
      </c>
      <c r="BE97" s="140">
        <f t="shared" si="141"/>
        <v>0.61041857332571747</v>
      </c>
      <c r="BF97" s="140">
        <f t="shared" si="141"/>
        <v>0.60440266275268406</v>
      </c>
      <c r="BG97" s="140">
        <f t="shared" si="141"/>
        <v>0.59846463246079662</v>
      </c>
      <c r="BH97" s="140">
        <f t="shared" si="141"/>
        <v>0.59250559130245539</v>
      </c>
      <c r="BI97" s="140">
        <f t="shared" si="141"/>
        <v>0.58665745703024641</v>
      </c>
      <c r="BJ97" s="140">
        <f t="shared" si="141"/>
        <v>0.58078974933746941</v>
      </c>
      <c r="BK97" s="140">
        <f t="shared" si="141"/>
        <v>0.57503231842613689</v>
      </c>
      <c r="BL97" s="140">
        <f t="shared" si="141"/>
        <v>0.5692566626859964</v>
      </c>
      <c r="BM97" s="140">
        <f t="shared" si="141"/>
        <v>0.56359055214801201</v>
      </c>
      <c r="BN97" s="140">
        <f t="shared" si="141"/>
        <v>0.55793875090022849</v>
      </c>
      <c r="BO97" s="140">
        <f t="shared" si="141"/>
        <v>0.55236414485912011</v>
      </c>
      <c r="BP97" s="140">
        <f t="shared" si="141"/>
        <v>0.54677375891408198</v>
      </c>
      <c r="BQ97" s="140">
        <f t="shared" si="141"/>
        <v>0.54129118632340156</v>
      </c>
      <c r="BR97" s="140">
        <f t="shared" si="141"/>
        <v>0.53579394195460184</v>
      </c>
      <c r="BS97" s="140">
        <f t="shared" si="141"/>
        <v>0.53040352376558442</v>
      </c>
      <c r="BT97" s="140">
        <f t="shared" si="141"/>
        <v>0.52499946986255674</v>
      </c>
      <c r="BU97" s="140">
        <f t="shared" si="141"/>
        <v>0.51970118454175451</v>
      </c>
      <c r="BV97" s="140">
        <f t="shared" si="141"/>
        <v>0.51441944519793092</v>
      </c>
      <c r="BW97" s="140">
        <f t="shared" si="141"/>
        <v>0.50921288419058186</v>
      </c>
      <c r="BX97" s="140">
        <f t="shared" si="141"/>
        <v>0.5039945562482826</v>
      </c>
      <c r="BY97" s="140">
        <f t="shared" si="141"/>
        <v>0.49887970053481651</v>
      </c>
      <c r="BZ97" s="140">
        <f t="shared" si="141"/>
        <v>0.4937539204585093</v>
      </c>
      <c r="CA97" s="140">
        <f t="shared" si="141"/>
        <v>0.4887303831024768</v>
      </c>
      <c r="CB97" s="140">
        <f>EXP(-CB96*CB95)</f>
        <v>0.48369670642369555</v>
      </c>
      <c r="CC97" s="17"/>
      <c r="CD97" s="17"/>
      <c r="CE97" s="17"/>
    </row>
    <row r="98" spans="1:83" s="6" customFormat="1">
      <c r="A98" s="130"/>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19"/>
      <c r="CD98" s="19"/>
      <c r="CE98" s="19"/>
    </row>
    <row r="99" spans="1:83">
      <c r="A99" s="16" t="s">
        <v>40</v>
      </c>
      <c r="B99" s="140">
        <f t="shared" ref="B99:BM99" si="142">DAYS360($B$3,B36)</f>
        <v>119</v>
      </c>
      <c r="C99" s="140">
        <f t="shared" si="142"/>
        <v>299</v>
      </c>
      <c r="D99" s="140">
        <f t="shared" si="142"/>
        <v>479</v>
      </c>
      <c r="E99" s="140">
        <f t="shared" si="142"/>
        <v>659</v>
      </c>
      <c r="F99" s="140">
        <f t="shared" si="142"/>
        <v>839</v>
      </c>
      <c r="G99" s="140">
        <f t="shared" si="142"/>
        <v>1019</v>
      </c>
      <c r="H99" s="140">
        <f t="shared" si="142"/>
        <v>1199</v>
      </c>
      <c r="I99" s="140">
        <f t="shared" si="142"/>
        <v>1379</v>
      </c>
      <c r="J99" s="140">
        <f t="shared" si="142"/>
        <v>1559</v>
      </c>
      <c r="K99" s="140">
        <f t="shared" si="142"/>
        <v>1738</v>
      </c>
      <c r="L99" s="140">
        <f t="shared" si="142"/>
        <v>1918</v>
      </c>
      <c r="M99" s="140">
        <f t="shared" si="142"/>
        <v>2098</v>
      </c>
      <c r="N99" s="140">
        <f t="shared" si="142"/>
        <v>2278</v>
      </c>
      <c r="O99" s="140">
        <f t="shared" si="142"/>
        <v>2458</v>
      </c>
      <c r="P99" s="140">
        <f t="shared" si="142"/>
        <v>2638</v>
      </c>
      <c r="Q99" s="140">
        <f t="shared" si="142"/>
        <v>2818</v>
      </c>
      <c r="R99" s="140">
        <f t="shared" si="142"/>
        <v>2998</v>
      </c>
      <c r="S99" s="140">
        <f t="shared" si="142"/>
        <v>3177</v>
      </c>
      <c r="T99" s="140">
        <f t="shared" si="142"/>
        <v>3357</v>
      </c>
      <c r="U99" s="140">
        <f t="shared" si="142"/>
        <v>3537</v>
      </c>
      <c r="V99" s="140">
        <f t="shared" si="142"/>
        <v>3717</v>
      </c>
      <c r="W99" s="140">
        <f t="shared" si="142"/>
        <v>3897</v>
      </c>
      <c r="X99" s="140">
        <f t="shared" si="142"/>
        <v>4077</v>
      </c>
      <c r="Y99" s="140">
        <f t="shared" si="142"/>
        <v>4257</v>
      </c>
      <c r="Z99" s="140">
        <f t="shared" si="142"/>
        <v>4437</v>
      </c>
      <c r="AA99" s="140">
        <f t="shared" si="142"/>
        <v>4616</v>
      </c>
      <c r="AB99" s="140">
        <f t="shared" si="142"/>
        <v>4796</v>
      </c>
      <c r="AC99" s="140">
        <f t="shared" si="142"/>
        <v>4976</v>
      </c>
      <c r="AD99" s="140">
        <f t="shared" si="142"/>
        <v>5156</v>
      </c>
      <c r="AE99" s="140">
        <f t="shared" si="142"/>
        <v>5336</v>
      </c>
      <c r="AF99" s="140">
        <f t="shared" si="142"/>
        <v>5516</v>
      </c>
      <c r="AG99" s="140">
        <f t="shared" si="142"/>
        <v>5696</v>
      </c>
      <c r="AH99" s="140">
        <f t="shared" si="142"/>
        <v>5876</v>
      </c>
      <c r="AI99" s="140">
        <f t="shared" si="142"/>
        <v>6055</v>
      </c>
      <c r="AJ99" s="140">
        <f t="shared" si="142"/>
        <v>6235</v>
      </c>
      <c r="AK99" s="140">
        <f t="shared" si="142"/>
        <v>6415</v>
      </c>
      <c r="AL99" s="140">
        <f t="shared" si="142"/>
        <v>6595</v>
      </c>
      <c r="AM99" s="140">
        <f t="shared" si="142"/>
        <v>6775</v>
      </c>
      <c r="AN99" s="140">
        <f t="shared" si="142"/>
        <v>6955</v>
      </c>
      <c r="AO99" s="140">
        <f t="shared" si="142"/>
        <v>7135</v>
      </c>
      <c r="AP99" s="140">
        <f t="shared" si="142"/>
        <v>7315</v>
      </c>
      <c r="AQ99" s="140">
        <f t="shared" si="142"/>
        <v>7494</v>
      </c>
      <c r="AR99" s="140">
        <f t="shared" si="142"/>
        <v>7674</v>
      </c>
      <c r="AS99" s="140">
        <f t="shared" si="142"/>
        <v>7854</v>
      </c>
      <c r="AT99" s="140">
        <f t="shared" si="142"/>
        <v>8034</v>
      </c>
      <c r="AU99" s="140">
        <f t="shared" si="142"/>
        <v>8214</v>
      </c>
      <c r="AV99" s="140">
        <f t="shared" si="142"/>
        <v>8394</v>
      </c>
      <c r="AW99" s="140">
        <f t="shared" si="142"/>
        <v>8574</v>
      </c>
      <c r="AX99" s="140">
        <f t="shared" si="142"/>
        <v>8754</v>
      </c>
      <c r="AY99" s="140">
        <f t="shared" si="142"/>
        <v>8933</v>
      </c>
      <c r="AZ99" s="140">
        <f t="shared" si="142"/>
        <v>9113</v>
      </c>
      <c r="BA99" s="140">
        <f t="shared" si="142"/>
        <v>9293</v>
      </c>
      <c r="BB99" s="140">
        <f t="shared" si="142"/>
        <v>9473</v>
      </c>
      <c r="BC99" s="140">
        <f t="shared" si="142"/>
        <v>9653</v>
      </c>
      <c r="BD99" s="140">
        <f t="shared" si="142"/>
        <v>9833</v>
      </c>
      <c r="BE99" s="140">
        <f t="shared" si="142"/>
        <v>10013</v>
      </c>
      <c r="BF99" s="140">
        <f t="shared" si="142"/>
        <v>10193</v>
      </c>
      <c r="BG99" s="140">
        <f t="shared" si="142"/>
        <v>10372</v>
      </c>
      <c r="BH99" s="140">
        <f t="shared" si="142"/>
        <v>10552</v>
      </c>
      <c r="BI99" s="140">
        <f t="shared" si="142"/>
        <v>10732</v>
      </c>
      <c r="BJ99" s="140">
        <f t="shared" si="142"/>
        <v>10912</v>
      </c>
      <c r="BK99" s="140">
        <f t="shared" si="142"/>
        <v>11092</v>
      </c>
      <c r="BL99" s="140">
        <f t="shared" si="142"/>
        <v>11272</v>
      </c>
      <c r="BM99" s="140">
        <f t="shared" si="142"/>
        <v>11452</v>
      </c>
      <c r="BN99" s="140">
        <f t="shared" ref="BN99:CB99" si="143">DAYS360($B$3,BN36)</f>
        <v>11632</v>
      </c>
      <c r="BO99" s="140">
        <f t="shared" si="143"/>
        <v>11811</v>
      </c>
      <c r="BP99" s="140">
        <f t="shared" si="143"/>
        <v>11991</v>
      </c>
      <c r="BQ99" s="140">
        <f t="shared" si="143"/>
        <v>12171</v>
      </c>
      <c r="BR99" s="140">
        <f t="shared" si="143"/>
        <v>12351</v>
      </c>
      <c r="BS99" s="140">
        <f t="shared" si="143"/>
        <v>12531</v>
      </c>
      <c r="BT99" s="140">
        <f t="shared" si="143"/>
        <v>12711</v>
      </c>
      <c r="BU99" s="140">
        <f t="shared" si="143"/>
        <v>12891</v>
      </c>
      <c r="BV99" s="140">
        <f t="shared" si="143"/>
        <v>13071</v>
      </c>
      <c r="BW99" s="140">
        <f t="shared" si="143"/>
        <v>13250</v>
      </c>
      <c r="BX99" s="140">
        <f t="shared" si="143"/>
        <v>13430</v>
      </c>
      <c r="BY99" s="140">
        <f t="shared" si="143"/>
        <v>13610</v>
      </c>
      <c r="BZ99" s="140">
        <f t="shared" si="143"/>
        <v>13790</v>
      </c>
      <c r="CA99" s="140">
        <f t="shared" si="143"/>
        <v>13970</v>
      </c>
      <c r="CB99" s="140">
        <f t="shared" si="143"/>
        <v>14150</v>
      </c>
      <c r="CC99" s="17"/>
      <c r="CD99" s="17"/>
      <c r="CE99" s="17"/>
    </row>
    <row r="100" spans="1:83">
      <c r="A100" s="16" t="s">
        <v>41</v>
      </c>
      <c r="B100" s="140">
        <f>B99/360</f>
        <v>0.33055555555555555</v>
      </c>
      <c r="C100" s="140">
        <f t="shared" ref="C100:BN100" si="144">C99/360</f>
        <v>0.8305555555555556</v>
      </c>
      <c r="D100" s="140">
        <f t="shared" si="144"/>
        <v>1.3305555555555555</v>
      </c>
      <c r="E100" s="140">
        <f t="shared" si="144"/>
        <v>1.8305555555555555</v>
      </c>
      <c r="F100" s="140">
        <f t="shared" si="144"/>
        <v>2.3305555555555557</v>
      </c>
      <c r="G100" s="140">
        <f t="shared" si="144"/>
        <v>2.8305555555555557</v>
      </c>
      <c r="H100" s="140">
        <f t="shared" si="144"/>
        <v>3.3305555555555557</v>
      </c>
      <c r="I100" s="140">
        <f t="shared" si="144"/>
        <v>3.8305555555555557</v>
      </c>
      <c r="J100" s="140">
        <f t="shared" si="144"/>
        <v>4.3305555555555557</v>
      </c>
      <c r="K100" s="140">
        <f t="shared" si="144"/>
        <v>4.8277777777777775</v>
      </c>
      <c r="L100" s="140">
        <f t="shared" si="144"/>
        <v>5.3277777777777775</v>
      </c>
      <c r="M100" s="140">
        <f t="shared" si="144"/>
        <v>5.8277777777777775</v>
      </c>
      <c r="N100" s="140">
        <f t="shared" si="144"/>
        <v>6.3277777777777775</v>
      </c>
      <c r="O100" s="140">
        <f t="shared" si="144"/>
        <v>6.8277777777777775</v>
      </c>
      <c r="P100" s="140">
        <f t="shared" si="144"/>
        <v>7.3277777777777775</v>
      </c>
      <c r="Q100" s="140">
        <f t="shared" si="144"/>
        <v>7.8277777777777775</v>
      </c>
      <c r="R100" s="140">
        <f t="shared" si="144"/>
        <v>8.3277777777777775</v>
      </c>
      <c r="S100" s="140">
        <f t="shared" si="144"/>
        <v>8.8249999999999993</v>
      </c>
      <c r="T100" s="140">
        <f t="shared" si="144"/>
        <v>9.3249999999999993</v>
      </c>
      <c r="U100" s="140">
        <f t="shared" si="144"/>
        <v>9.8249999999999993</v>
      </c>
      <c r="V100" s="140">
        <f t="shared" si="144"/>
        <v>10.324999999999999</v>
      </c>
      <c r="W100" s="140">
        <f t="shared" si="144"/>
        <v>10.824999999999999</v>
      </c>
      <c r="X100" s="140">
        <f t="shared" si="144"/>
        <v>11.324999999999999</v>
      </c>
      <c r="Y100" s="140">
        <f t="shared" si="144"/>
        <v>11.824999999999999</v>
      </c>
      <c r="Z100" s="140">
        <f t="shared" si="144"/>
        <v>12.324999999999999</v>
      </c>
      <c r="AA100" s="140">
        <f t="shared" si="144"/>
        <v>12.822222222222223</v>
      </c>
      <c r="AB100" s="140">
        <f t="shared" si="144"/>
        <v>13.322222222222223</v>
      </c>
      <c r="AC100" s="140">
        <f t="shared" si="144"/>
        <v>13.822222222222223</v>
      </c>
      <c r="AD100" s="140">
        <f t="shared" si="144"/>
        <v>14.322222222222223</v>
      </c>
      <c r="AE100" s="140">
        <f t="shared" si="144"/>
        <v>14.822222222222223</v>
      </c>
      <c r="AF100" s="140">
        <f t="shared" si="144"/>
        <v>15.322222222222223</v>
      </c>
      <c r="AG100" s="140">
        <f t="shared" si="144"/>
        <v>15.822222222222223</v>
      </c>
      <c r="AH100" s="140">
        <f t="shared" si="144"/>
        <v>16.322222222222223</v>
      </c>
      <c r="AI100" s="140">
        <f t="shared" si="144"/>
        <v>16.819444444444443</v>
      </c>
      <c r="AJ100" s="140">
        <f t="shared" si="144"/>
        <v>17.319444444444443</v>
      </c>
      <c r="AK100" s="140">
        <f t="shared" si="144"/>
        <v>17.819444444444443</v>
      </c>
      <c r="AL100" s="140">
        <f t="shared" si="144"/>
        <v>18.319444444444443</v>
      </c>
      <c r="AM100" s="140">
        <f t="shared" si="144"/>
        <v>18.819444444444443</v>
      </c>
      <c r="AN100" s="140">
        <f t="shared" si="144"/>
        <v>19.319444444444443</v>
      </c>
      <c r="AO100" s="140">
        <f t="shared" si="144"/>
        <v>19.819444444444443</v>
      </c>
      <c r="AP100" s="140">
        <f t="shared" si="144"/>
        <v>20.319444444444443</v>
      </c>
      <c r="AQ100" s="140">
        <f t="shared" si="144"/>
        <v>20.816666666666666</v>
      </c>
      <c r="AR100" s="140">
        <f t="shared" si="144"/>
        <v>21.316666666666666</v>
      </c>
      <c r="AS100" s="140">
        <f t="shared" si="144"/>
        <v>21.816666666666666</v>
      </c>
      <c r="AT100" s="140">
        <f t="shared" si="144"/>
        <v>22.316666666666666</v>
      </c>
      <c r="AU100" s="140">
        <f t="shared" si="144"/>
        <v>22.816666666666666</v>
      </c>
      <c r="AV100" s="140">
        <f t="shared" si="144"/>
        <v>23.316666666666666</v>
      </c>
      <c r="AW100" s="140">
        <f t="shared" si="144"/>
        <v>23.816666666666666</v>
      </c>
      <c r="AX100" s="140">
        <f t="shared" si="144"/>
        <v>24.316666666666666</v>
      </c>
      <c r="AY100" s="140">
        <f t="shared" si="144"/>
        <v>24.81388888888889</v>
      </c>
      <c r="AZ100" s="140">
        <f t="shared" si="144"/>
        <v>25.31388888888889</v>
      </c>
      <c r="BA100" s="140">
        <f t="shared" si="144"/>
        <v>25.81388888888889</v>
      </c>
      <c r="BB100" s="140">
        <f t="shared" si="144"/>
        <v>26.31388888888889</v>
      </c>
      <c r="BC100" s="140">
        <f t="shared" si="144"/>
        <v>26.81388888888889</v>
      </c>
      <c r="BD100" s="140">
        <f t="shared" si="144"/>
        <v>27.31388888888889</v>
      </c>
      <c r="BE100" s="140">
        <f t="shared" si="144"/>
        <v>27.81388888888889</v>
      </c>
      <c r="BF100" s="140">
        <f t="shared" si="144"/>
        <v>28.31388888888889</v>
      </c>
      <c r="BG100" s="140">
        <f t="shared" si="144"/>
        <v>28.81111111111111</v>
      </c>
      <c r="BH100" s="140">
        <f t="shared" si="144"/>
        <v>29.31111111111111</v>
      </c>
      <c r="BI100" s="140">
        <f t="shared" si="144"/>
        <v>29.81111111111111</v>
      </c>
      <c r="BJ100" s="140">
        <f t="shared" si="144"/>
        <v>30.31111111111111</v>
      </c>
      <c r="BK100" s="140">
        <f t="shared" si="144"/>
        <v>30.81111111111111</v>
      </c>
      <c r="BL100" s="140">
        <f t="shared" si="144"/>
        <v>31.31111111111111</v>
      </c>
      <c r="BM100" s="140">
        <f t="shared" si="144"/>
        <v>31.81111111111111</v>
      </c>
      <c r="BN100" s="140">
        <f t="shared" si="144"/>
        <v>32.31111111111111</v>
      </c>
      <c r="BO100" s="140">
        <f t="shared" ref="BO100:CB100" si="145">BO99/360</f>
        <v>32.80833333333333</v>
      </c>
      <c r="BP100" s="140">
        <f t="shared" si="145"/>
        <v>33.30833333333333</v>
      </c>
      <c r="BQ100" s="140">
        <f t="shared" si="145"/>
        <v>33.80833333333333</v>
      </c>
      <c r="BR100" s="140">
        <f t="shared" si="145"/>
        <v>34.30833333333333</v>
      </c>
      <c r="BS100" s="140">
        <f t="shared" si="145"/>
        <v>34.80833333333333</v>
      </c>
      <c r="BT100" s="140">
        <f t="shared" si="145"/>
        <v>35.30833333333333</v>
      </c>
      <c r="BU100" s="140">
        <f t="shared" si="145"/>
        <v>35.80833333333333</v>
      </c>
      <c r="BV100" s="140">
        <f t="shared" si="145"/>
        <v>36.30833333333333</v>
      </c>
      <c r="BW100" s="140">
        <f t="shared" si="145"/>
        <v>36.805555555555557</v>
      </c>
      <c r="BX100" s="140">
        <f t="shared" si="145"/>
        <v>37.305555555555557</v>
      </c>
      <c r="BY100" s="140">
        <f t="shared" si="145"/>
        <v>37.805555555555557</v>
      </c>
      <c r="BZ100" s="140">
        <f t="shared" si="145"/>
        <v>38.305555555555557</v>
      </c>
      <c r="CA100" s="140">
        <f t="shared" si="145"/>
        <v>38.805555555555557</v>
      </c>
      <c r="CB100" s="140">
        <f t="shared" si="145"/>
        <v>39.305555555555557</v>
      </c>
      <c r="CC100" s="17"/>
      <c r="CD100" s="17"/>
      <c r="CE100" s="17"/>
    </row>
    <row r="101" spans="1:83">
      <c r="A101" s="16" t="s">
        <v>43</v>
      </c>
      <c r="B101" s="140">
        <f>IF(B99&lt;0,0,$B$5+$B$6*((1-EXP(-B100/$B$9))/(B100/$B$9))+$B$7*((1-EXP(-B100/$B$9))/(B100/$B$9)-EXP(-B100/$B$9))+$B$8*((1-EXP(-B100/$B$10))/(B100/$B$10)-EXP(-B100/$B$10)))</f>
        <v>1.3641468312393925E-2</v>
      </c>
      <c r="C101" s="140">
        <f t="shared" ref="C101:BN101" si="146">IF(C99&lt;0,0,$B$5+$B$6*((1-EXP(-C100/$B$9))/(C100/$B$9))+$B$7*((1-EXP(-C100/$B$9))/(C100/$B$9)-EXP(-C100/$B$9))+$B$8*((1-EXP(-C100/$B$10))/(C100/$B$10)-EXP(-C100/$B$10)))</f>
        <v>1.3735481833736626E-2</v>
      </c>
      <c r="D101" s="140">
        <f t="shared" si="146"/>
        <v>1.3828242132685409E-2</v>
      </c>
      <c r="E101" s="140">
        <f t="shared" si="146"/>
        <v>1.3919763797217025E-2</v>
      </c>
      <c r="F101" s="140">
        <f t="shared" si="146"/>
        <v>1.4010061270486368E-2</v>
      </c>
      <c r="G101" s="140">
        <f t="shared" si="146"/>
        <v>1.4099148852138687E-2</v>
      </c>
      <c r="H101" s="140">
        <f t="shared" si="146"/>
        <v>1.4187040699606386E-2</v>
      </c>
      <c r="I101" s="140">
        <f t="shared" si="146"/>
        <v>1.427375082939902E-2</v>
      </c>
      <c r="J101" s="140">
        <f t="shared" si="146"/>
        <v>1.4359293118378127E-2</v>
      </c>
      <c r="K101" s="140">
        <f t="shared" si="146"/>
        <v>1.4443215644751118E-2</v>
      </c>
      <c r="L101" s="140">
        <f t="shared" si="146"/>
        <v>1.452646962920605E-2</v>
      </c>
      <c r="M101" s="140">
        <f t="shared" si="146"/>
        <v>1.4608596503708706E-2</v>
      </c>
      <c r="N101" s="140">
        <f t="shared" si="146"/>
        <v>1.4689609599820672E-2</v>
      </c>
      <c r="O101" s="140">
        <f t="shared" si="146"/>
        <v>1.4769522115668541E-2</v>
      </c>
      <c r="P101" s="140">
        <f t="shared" si="146"/>
        <v>1.4848347117156439E-2</v>
      </c>
      <c r="Q101" s="140">
        <f t="shared" si="146"/>
        <v>1.4926097539168008E-2</v>
      </c>
      <c r="R101" s="140">
        <f t="shared" si="146"/>
        <v>1.5002786186757936E-2</v>
      </c>
      <c r="S101" s="140">
        <f t="shared" si="146"/>
        <v>1.5078008391481133E-2</v>
      </c>
      <c r="T101" s="140">
        <f t="shared" si="146"/>
        <v>1.5152617116147064E-2</v>
      </c>
      <c r="U101" s="140">
        <f t="shared" si="146"/>
        <v>1.5226201645677354E-2</v>
      </c>
      <c r="V101" s="140">
        <f t="shared" si="146"/>
        <v>1.5298774278215913E-2</v>
      </c>
      <c r="W101" s="140">
        <f t="shared" si="146"/>
        <v>1.5370347187877328E-2</v>
      </c>
      <c r="X101" s="140">
        <f t="shared" si="146"/>
        <v>1.5440932425879163E-2</v>
      </c>
      <c r="Y101" s="140">
        <f t="shared" si="146"/>
        <v>1.5510541921663214E-2</v>
      </c>
      <c r="Z101" s="140">
        <f t="shared" si="146"/>
        <v>1.5579187484008182E-2</v>
      </c>
      <c r="AA101" s="140">
        <f t="shared" si="146"/>
        <v>1.564650733726624E-2</v>
      </c>
      <c r="AB101" s="140">
        <f t="shared" si="146"/>
        <v>1.5713265176135686E-2</v>
      </c>
      <c r="AC101" s="140">
        <f t="shared" si="146"/>
        <v>1.5779093731592662E-2</v>
      </c>
      <c r="AD101" s="140">
        <f t="shared" si="146"/>
        <v>1.5844004341337481E-2</v>
      </c>
      <c r="AE101" s="140">
        <f t="shared" si="146"/>
        <v>1.5908008227820056E-2</v>
      </c>
      <c r="AF101" s="140">
        <f t="shared" si="146"/>
        <v>1.5971116499296278E-2</v>
      </c>
      <c r="AG101" s="140">
        <f t="shared" si="146"/>
        <v>1.6033340150875035E-2</v>
      </c>
      <c r="AH101" s="140">
        <f t="shared" si="146"/>
        <v>1.6094690065555924E-2</v>
      </c>
      <c r="AI101" s="140">
        <f t="shared" si="146"/>
        <v>1.6154843340826085E-2</v>
      </c>
      <c r="AJ101" s="140">
        <f t="shared" si="146"/>
        <v>1.6214482693175734E-2</v>
      </c>
      <c r="AK101" s="140">
        <f t="shared" si="146"/>
        <v>1.6273280236889259E-2</v>
      </c>
      <c r="AL101" s="140">
        <f t="shared" si="146"/>
        <v>1.6331246417328471E-2</v>
      </c>
      <c r="AM101" s="140">
        <f t="shared" si="146"/>
        <v>1.6388391572797076E-2</v>
      </c>
      <c r="AN101" s="140">
        <f t="shared" si="146"/>
        <v>1.6444725935526708E-2</v>
      </c>
      <c r="AO101" s="140">
        <f t="shared" si="146"/>
        <v>1.6500259632653135E-2</v>
      </c>
      <c r="AP101" s="140">
        <f t="shared" si="146"/>
        <v>1.6555002687185141E-2</v>
      </c>
      <c r="AQ101" s="140">
        <f t="shared" si="146"/>
        <v>1.6608667366781918E-2</v>
      </c>
      <c r="AR101" s="140">
        <f t="shared" si="146"/>
        <v>1.6661863049307689E-2</v>
      </c>
      <c r="AS101" s="140">
        <f t="shared" si="146"/>
        <v>1.6714297489359924E-2</v>
      </c>
      <c r="AT101" s="140">
        <f t="shared" si="146"/>
        <v>1.6765980303511598E-2</v>
      </c>
      <c r="AU101" s="140">
        <f t="shared" si="146"/>
        <v>1.6816921008921282E-2</v>
      </c>
      <c r="AV101" s="140">
        <f t="shared" si="146"/>
        <v>1.6867129024252747E-2</v>
      </c>
      <c r="AW101" s="140">
        <f t="shared" si="146"/>
        <v>1.6916613670585903E-2</v>
      </c>
      <c r="AX101" s="140">
        <f t="shared" si="146"/>
        <v>1.6965384172320352E-2</v>
      </c>
      <c r="AY101" s="140">
        <f t="shared" si="146"/>
        <v>1.7013184558459044E-2</v>
      </c>
      <c r="AZ101" s="140">
        <f t="shared" si="146"/>
        <v>1.7060557903730997E-2</v>
      </c>
      <c r="BA101" s="140">
        <f t="shared" si="146"/>
        <v>1.7107244157031704E-2</v>
      </c>
      <c r="BB101" s="140">
        <f t="shared" si="146"/>
        <v>1.7153252165433081E-2</v>
      </c>
      <c r="BC101" s="140">
        <f t="shared" si="146"/>
        <v>1.7198590683723126E-2</v>
      </c>
      <c r="BD101" s="140">
        <f t="shared" si="146"/>
        <v>1.7243268375262827E-2</v>
      </c>
      <c r="BE101" s="140">
        <f t="shared" si="146"/>
        <v>1.7287293812836689E-2</v>
      </c>
      <c r="BF101" s="140">
        <f t="shared" si="146"/>
        <v>1.7330675479494899E-2</v>
      </c>
      <c r="BG101" s="140">
        <f t="shared" si="146"/>
        <v>1.7373186029836691E-2</v>
      </c>
      <c r="BH101" s="140">
        <f t="shared" si="146"/>
        <v>1.7415308709989162E-2</v>
      </c>
      <c r="BI101" s="140">
        <f t="shared" si="146"/>
        <v>1.7456812492867648E-2</v>
      </c>
      <c r="BJ101" s="140">
        <f t="shared" si="146"/>
        <v>1.7497705511344122E-2</v>
      </c>
      <c r="BK101" s="140">
        <f t="shared" si="146"/>
        <v>1.7537995812656346E-2</v>
      </c>
      <c r="BL101" s="140">
        <f t="shared" si="146"/>
        <v>1.7577691359207281E-2</v>
      </c>
      <c r="BM101" s="140">
        <f t="shared" si="146"/>
        <v>1.7616800029358014E-2</v>
      </c>
      <c r="BN101" s="140">
        <f t="shared" si="146"/>
        <v>1.7655329618213259E-2</v>
      </c>
      <c r="BO101" s="140">
        <f t="shared" ref="BO101:CB101" si="147">IF(BO99&lt;0,0,$B$5+$B$6*((1-EXP(-BO100/$B$9))/(BO100/$B$9))+$B$7*((1-EXP(-BO100/$B$9))/(BO100/$B$9)-EXP(-BO100/$B$9))+$B$8*((1-EXP(-BO100/$B$10))/(BO100/$B$10)-EXP(-BO100/$B$10)))</f>
        <v>1.7693078523665435E-2</v>
      </c>
      <c r="BP101" s="140">
        <f t="shared" si="147"/>
        <v>1.7730476117051822E-2</v>
      </c>
      <c r="BQ101" s="140">
        <f t="shared" si="147"/>
        <v>1.7767317480951141E-2</v>
      </c>
      <c r="BR101" s="140">
        <f t="shared" si="147"/>
        <v>1.780361008560713E-2</v>
      </c>
      <c r="BS101" s="140">
        <f t="shared" si="147"/>
        <v>1.7839361321830109E-2</v>
      </c>
      <c r="BT101" s="140">
        <f t="shared" si="147"/>
        <v>1.7874578501742098E-2</v>
      </c>
      <c r="BU101" s="140">
        <f t="shared" si="147"/>
        <v>1.7909268859516183E-2</v>
      </c>
      <c r="BV101" s="140">
        <f t="shared" si="147"/>
        <v>1.7943439552109086E-2</v>
      </c>
      <c r="BW101" s="140">
        <f t="shared" si="147"/>
        <v>1.797691207353623E-2</v>
      </c>
      <c r="BX101" s="140">
        <f t="shared" si="147"/>
        <v>1.8010067390961192E-2</v>
      </c>
      <c r="BY101" s="140">
        <f t="shared" si="147"/>
        <v>1.8042724019712988E-2</v>
      </c>
      <c r="BZ101" s="140">
        <f t="shared" si="147"/>
        <v>1.8074888815491227E-2</v>
      </c>
      <c r="CA101" s="140">
        <f t="shared" si="147"/>
        <v>1.8106568560342588E-2</v>
      </c>
      <c r="CB101" s="140">
        <f t="shared" si="147"/>
        <v>1.8137769963355903E-2</v>
      </c>
      <c r="CC101" s="17"/>
      <c r="CD101" s="17"/>
      <c r="CE101" s="17"/>
    </row>
    <row r="102" spans="1:83">
      <c r="A102" s="16" t="s">
        <v>44</v>
      </c>
      <c r="B102" s="140">
        <f>EXP(-B101*B100)</f>
        <v>0.99550088832614969</v>
      </c>
      <c r="C102" s="140">
        <f t="shared" ref="C102:AR102" si="148">EXP(-C101*C100)</f>
        <v>0.98865674466256726</v>
      </c>
      <c r="D102" s="140">
        <f t="shared" si="148"/>
        <v>0.98176898833879622</v>
      </c>
      <c r="E102" s="140">
        <f t="shared" si="148"/>
        <v>0.97484099732390284</v>
      </c>
      <c r="F102" s="140">
        <f t="shared" si="148"/>
        <v>0.96787607061324277</v>
      </c>
      <c r="G102" s="140">
        <f t="shared" si="148"/>
        <v>0.96087742832715162</v>
      </c>
      <c r="H102" s="140">
        <f t="shared" si="148"/>
        <v>0.9538482118969569</v>
      </c>
      <c r="I102" s="140">
        <f t="shared" si="148"/>
        <v>0.94679148433365379</v>
      </c>
      <c r="J102" s="140">
        <f t="shared" si="148"/>
        <v>0.93971023057473468</v>
      </c>
      <c r="K102" s="140">
        <f t="shared" si="148"/>
        <v>0.93264687279452341</v>
      </c>
      <c r="L102" s="140">
        <f t="shared" si="148"/>
        <v>0.92552530804036226</v>
      </c>
      <c r="M102" s="140">
        <f t="shared" si="148"/>
        <v>0.91838769292366418</v>
      </c>
      <c r="N102" s="140">
        <f t="shared" si="148"/>
        <v>0.91123670538712442</v>
      </c>
      <c r="O102" s="140">
        <f t="shared" si="148"/>
        <v>0.90407494805167454</v>
      </c>
      <c r="P102" s="140">
        <f t="shared" si="148"/>
        <v>0.89690494894313799</v>
      </c>
      <c r="Q102" s="140">
        <f t="shared" si="148"/>
        <v>0.88972916226857468</v>
      </c>
      <c r="R102" s="140">
        <f t="shared" si="148"/>
        <v>0.88254996923873341</v>
      </c>
      <c r="S102" s="140">
        <f t="shared" si="148"/>
        <v>0.87540956832356576</v>
      </c>
      <c r="T102" s="140">
        <f t="shared" si="148"/>
        <v>0.8682304062061752</v>
      </c>
      <c r="U102" s="140">
        <f t="shared" si="148"/>
        <v>0.86105454038239226</v>
      </c>
      <c r="V102" s="140">
        <f t="shared" si="148"/>
        <v>0.85388406948792017</v>
      </c>
      <c r="W102" s="140">
        <f t="shared" si="148"/>
        <v>0.84672102384329073</v>
      </c>
      <c r="X102" s="140">
        <f t="shared" si="148"/>
        <v>0.83956736648425523</v>
      </c>
      <c r="Y102" s="140">
        <f t="shared" si="148"/>
        <v>0.83242499421657468</v>
      </c>
      <c r="Z102" s="140">
        <f t="shared" si="148"/>
        <v>0.8252957386925498</v>
      </c>
      <c r="AA102" s="140">
        <f t="shared" si="148"/>
        <v>0.81822084751621793</v>
      </c>
      <c r="AB102" s="140">
        <f t="shared" si="148"/>
        <v>0.81112296856238386</v>
      </c>
      <c r="AC102" s="140">
        <f t="shared" si="148"/>
        <v>0.80404331246958394</v>
      </c>
      <c r="AD102" s="140">
        <f t="shared" si="148"/>
        <v>0.79698346172456247</v>
      </c>
      <c r="AE102" s="140">
        <f t="shared" si="148"/>
        <v>0.7899449392786273</v>
      </c>
      <c r="AF102" s="140">
        <f t="shared" si="148"/>
        <v>0.78292920970544211</v>
      </c>
      <c r="AG102" s="140">
        <f t="shared" si="148"/>
        <v>0.77593768036516308</v>
      </c>
      <c r="AH102" s="140">
        <f t="shared" si="148"/>
        <v>0.76897170257312075</v>
      </c>
      <c r="AI102" s="140">
        <f t="shared" si="148"/>
        <v>0.76207104702233119</v>
      </c>
      <c r="AJ102" s="140">
        <f t="shared" si="148"/>
        <v>0.75515984855677876</v>
      </c>
      <c r="AK102" s="140">
        <f t="shared" si="148"/>
        <v>0.74827792456696718</v>
      </c>
      <c r="AL102" s="140">
        <f t="shared" si="148"/>
        <v>0.74142641419096023</v>
      </c>
      <c r="AM102" s="140">
        <f t="shared" si="148"/>
        <v>0.73460640637059893</v>
      </c>
      <c r="AN102" s="140">
        <f t="shared" si="148"/>
        <v>0.72781894101479605</v>
      </c>
      <c r="AO102" s="140">
        <f t="shared" si="148"/>
        <v>0.72106501015730207</v>
      </c>
      <c r="AP102" s="140">
        <f t="shared" si="148"/>
        <v>0.71434555910778907</v>
      </c>
      <c r="AQ102" s="140">
        <f t="shared" si="148"/>
        <v>0.70769852200445538</v>
      </c>
      <c r="AR102" s="140">
        <f t="shared" si="148"/>
        <v>0.70105048172474815</v>
      </c>
      <c r="AS102" s="140">
        <f>EXP(-AS101*AS100)</f>
        <v>0.69443948383371779</v>
      </c>
      <c r="AT102" s="140">
        <f t="shared" ref="AT102:CA102" si="149">EXP(-AT101*AT100)</f>
        <v>0.68786629831855717</v>
      </c>
      <c r="AU102" s="140">
        <f t="shared" si="149"/>
        <v>0.68133165405751783</v>
      </c>
      <c r="AV102" s="140">
        <f t="shared" si="149"/>
        <v>0.67483623991145636</v>
      </c>
      <c r="AW102" s="140">
        <f t="shared" si="149"/>
        <v>0.66838070580278808</v>
      </c>
      <c r="AX102" s="140">
        <f t="shared" si="149"/>
        <v>0.66196566378122146</v>
      </c>
      <c r="AY102" s="140">
        <f t="shared" si="149"/>
        <v>0.65562698559728882</v>
      </c>
      <c r="AZ102" s="140">
        <f t="shared" si="149"/>
        <v>0.64929438507928727</v>
      </c>
      <c r="BA102" s="140">
        <f t="shared" si="149"/>
        <v>0.64300389329950292</v>
      </c>
      <c r="BB102" s="140">
        <f t="shared" si="149"/>
        <v>0.63675598137632272</v>
      </c>
      <c r="BC102" s="140">
        <f t="shared" si="149"/>
        <v>0.6305510876627517</v>
      </c>
      <c r="BD102" s="140">
        <f t="shared" si="149"/>
        <v>0.62438961872301069</v>
      </c>
      <c r="BE102" s="140">
        <f t="shared" si="149"/>
        <v>0.61827195029300319</v>
      </c>
      <c r="BF102" s="140">
        <f t="shared" si="149"/>
        <v>0.61219842822444204</v>
      </c>
      <c r="BG102" s="140">
        <f t="shared" si="149"/>
        <v>0.60620274081753223</v>
      </c>
      <c r="BH102" s="140">
        <f t="shared" si="149"/>
        <v>0.60021818474078803</v>
      </c>
      <c r="BI102" s="140">
        <f t="shared" si="149"/>
        <v>0.59427864108660078</v>
      </c>
      <c r="BJ102" s="140">
        <f t="shared" si="149"/>
        <v>0.58838434542084472</v>
      </c>
      <c r="BK102" s="140">
        <f t="shared" si="149"/>
        <v>0.58253550788947606</v>
      </c>
      <c r="BL102" s="140">
        <f t="shared" si="149"/>
        <v>0.57673231406131187</v>
      </c>
      <c r="BM102" s="140">
        <f t="shared" si="149"/>
        <v>0.57097492575362352</v>
      </c>
      <c r="BN102" s="140">
        <f t="shared" si="149"/>
        <v>0.56526348184055575</v>
      </c>
      <c r="BO102" s="140">
        <f t="shared" si="149"/>
        <v>0.55962944597176445</v>
      </c>
      <c r="BP102" s="140">
        <f t="shared" si="149"/>
        <v>0.55400996298702432</v>
      </c>
      <c r="BQ102" s="140">
        <f t="shared" si="149"/>
        <v>0.54843671082790535</v>
      </c>
      <c r="BR102" s="140">
        <f t="shared" si="149"/>
        <v>0.54290974444592388</v>
      </c>
      <c r="BS102" s="140">
        <f t="shared" si="149"/>
        <v>0.53742909963106433</v>
      </c>
      <c r="BT102" s="140">
        <f t="shared" si="149"/>
        <v>0.53199479371821035</v>
      </c>
      <c r="BU102" s="140">
        <f t="shared" si="149"/>
        <v>0.52660682627688649</v>
      </c>
      <c r="BV102" s="140">
        <f t="shared" si="149"/>
        <v>0.52126517978446707</v>
      </c>
      <c r="BW102" s="140">
        <f t="shared" si="149"/>
        <v>0.51599911117048625</v>
      </c>
      <c r="BX102" s="140">
        <f t="shared" si="149"/>
        <v>0.51074973219934161</v>
      </c>
      <c r="BY102" s="140">
        <f t="shared" si="149"/>
        <v>0.50554652594509175</v>
      </c>
      <c r="BZ102" s="140">
        <f t="shared" si="149"/>
        <v>0.50038941300262541</v>
      </c>
      <c r="CA102" s="140">
        <f t="shared" si="149"/>
        <v>0.49527829999508427</v>
      </c>
      <c r="CB102" s="140">
        <f>EXP(-CB101*CB100)</f>
        <v>0.4902130801514763</v>
      </c>
      <c r="CC102" s="17"/>
      <c r="CD102" s="17"/>
      <c r="CE102" s="17"/>
    </row>
    <row r="103" spans="1:83">
      <c r="A103" s="17"/>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c r="BJ103" s="5"/>
      <c r="BK103" s="5"/>
      <c r="BL103" s="5"/>
      <c r="BM103" s="5"/>
      <c r="BN103" s="5"/>
      <c r="BO103" s="5"/>
      <c r="BP103" s="5"/>
      <c r="BQ103" s="5"/>
      <c r="BR103" s="5"/>
      <c r="BS103" s="5"/>
      <c r="BT103" s="5"/>
      <c r="BU103" s="5"/>
      <c r="BV103" s="5"/>
      <c r="BW103" s="5"/>
      <c r="BX103" s="5"/>
      <c r="BY103" s="5"/>
      <c r="BZ103" s="5"/>
      <c r="CA103" s="5"/>
      <c r="CB103" s="5"/>
      <c r="CC103" s="17"/>
      <c r="CD103" s="17"/>
      <c r="CE103" s="17"/>
    </row>
    <row r="104" spans="1:83">
      <c r="A104" s="16" t="s">
        <v>40</v>
      </c>
      <c r="B104" s="140">
        <f t="shared" ref="B104:BM104" si="150">DAYS360($B$3,B38)</f>
        <v>59</v>
      </c>
      <c r="C104" s="140">
        <f t="shared" si="150"/>
        <v>239</v>
      </c>
      <c r="D104" s="140">
        <f t="shared" si="150"/>
        <v>419</v>
      </c>
      <c r="E104" s="140">
        <f t="shared" si="150"/>
        <v>599</v>
      </c>
      <c r="F104" s="140">
        <f t="shared" si="150"/>
        <v>779</v>
      </c>
      <c r="G104" s="140">
        <f t="shared" si="150"/>
        <v>959</v>
      </c>
      <c r="H104" s="140">
        <f t="shared" si="150"/>
        <v>1139</v>
      </c>
      <c r="I104" s="140">
        <f t="shared" si="150"/>
        <v>1319</v>
      </c>
      <c r="J104" s="140">
        <f t="shared" si="150"/>
        <v>1499</v>
      </c>
      <c r="K104" s="140">
        <f t="shared" si="150"/>
        <v>1677</v>
      </c>
      <c r="L104" s="140">
        <f t="shared" si="150"/>
        <v>1858</v>
      </c>
      <c r="M104" s="140">
        <f t="shared" si="150"/>
        <v>2036</v>
      </c>
      <c r="N104" s="140">
        <f t="shared" si="150"/>
        <v>2218</v>
      </c>
      <c r="O104" s="140">
        <f t="shared" si="150"/>
        <v>2396</v>
      </c>
      <c r="P104" s="140">
        <f t="shared" si="150"/>
        <v>2578</v>
      </c>
      <c r="Q104" s="140">
        <f t="shared" si="150"/>
        <v>2756</v>
      </c>
      <c r="R104" s="140">
        <f t="shared" si="150"/>
        <v>2938</v>
      </c>
      <c r="S104" s="140">
        <f t="shared" si="150"/>
        <v>3116</v>
      </c>
      <c r="T104" s="140">
        <f t="shared" si="150"/>
        <v>3297</v>
      </c>
      <c r="U104" s="140">
        <f t="shared" si="150"/>
        <v>3475</v>
      </c>
      <c r="V104" s="140">
        <f t="shared" si="150"/>
        <v>3657</v>
      </c>
      <c r="W104" s="140">
        <f t="shared" si="150"/>
        <v>3835</v>
      </c>
      <c r="X104" s="140">
        <f t="shared" si="150"/>
        <v>4017</v>
      </c>
      <c r="Y104" s="140">
        <f t="shared" si="150"/>
        <v>4195</v>
      </c>
      <c r="Z104" s="140">
        <f t="shared" si="150"/>
        <v>4377</v>
      </c>
      <c r="AA104" s="140">
        <f t="shared" si="150"/>
        <v>4555</v>
      </c>
      <c r="AB104" s="140">
        <f t="shared" si="150"/>
        <v>4736</v>
      </c>
      <c r="AC104" s="140">
        <f t="shared" si="150"/>
        <v>4914</v>
      </c>
      <c r="AD104" s="140">
        <f t="shared" si="150"/>
        <v>5096</v>
      </c>
      <c r="AE104" s="140">
        <f t="shared" si="150"/>
        <v>5274</v>
      </c>
      <c r="AF104" s="140">
        <f t="shared" si="150"/>
        <v>5456</v>
      </c>
      <c r="AG104" s="140">
        <f t="shared" si="150"/>
        <v>5634</v>
      </c>
      <c r="AH104" s="140">
        <f t="shared" si="150"/>
        <v>5816</v>
      </c>
      <c r="AI104" s="140">
        <f t="shared" si="150"/>
        <v>5994</v>
      </c>
      <c r="AJ104" s="140">
        <f t="shared" si="150"/>
        <v>6175</v>
      </c>
      <c r="AK104" s="140">
        <f t="shared" si="150"/>
        <v>6353</v>
      </c>
      <c r="AL104" s="140">
        <f t="shared" si="150"/>
        <v>6535</v>
      </c>
      <c r="AM104" s="140">
        <f t="shared" si="150"/>
        <v>6713</v>
      </c>
      <c r="AN104" s="140">
        <f t="shared" si="150"/>
        <v>6895</v>
      </c>
      <c r="AO104" s="140">
        <f t="shared" si="150"/>
        <v>7073</v>
      </c>
      <c r="AP104" s="140">
        <f t="shared" si="150"/>
        <v>7255</v>
      </c>
      <c r="AQ104" s="140">
        <f t="shared" si="150"/>
        <v>7433</v>
      </c>
      <c r="AR104" s="140">
        <f t="shared" si="150"/>
        <v>7614</v>
      </c>
      <c r="AS104" s="140">
        <f t="shared" si="150"/>
        <v>7792</v>
      </c>
      <c r="AT104" s="140">
        <f t="shared" si="150"/>
        <v>7974</v>
      </c>
      <c r="AU104" s="140">
        <f t="shared" si="150"/>
        <v>8152</v>
      </c>
      <c r="AV104" s="140">
        <f t="shared" si="150"/>
        <v>8334</v>
      </c>
      <c r="AW104" s="140">
        <f t="shared" si="150"/>
        <v>8512</v>
      </c>
      <c r="AX104" s="140">
        <f t="shared" si="150"/>
        <v>8694</v>
      </c>
      <c r="AY104" s="140">
        <f t="shared" si="150"/>
        <v>8872</v>
      </c>
      <c r="AZ104" s="140">
        <f t="shared" si="150"/>
        <v>9053</v>
      </c>
      <c r="BA104" s="140">
        <f t="shared" si="150"/>
        <v>9231</v>
      </c>
      <c r="BB104" s="140">
        <f t="shared" si="150"/>
        <v>9413</v>
      </c>
      <c r="BC104" s="140">
        <f t="shared" si="150"/>
        <v>9591</v>
      </c>
      <c r="BD104" s="140">
        <f t="shared" si="150"/>
        <v>9773</v>
      </c>
      <c r="BE104" s="140">
        <f t="shared" si="150"/>
        <v>9951</v>
      </c>
      <c r="BF104" s="140">
        <f t="shared" si="150"/>
        <v>10133</v>
      </c>
      <c r="BG104" s="140">
        <f t="shared" si="150"/>
        <v>10311</v>
      </c>
      <c r="BH104" s="140">
        <f t="shared" si="150"/>
        <v>10492</v>
      </c>
      <c r="BI104" s="140">
        <f t="shared" si="150"/>
        <v>10670</v>
      </c>
      <c r="BJ104" s="140">
        <f t="shared" si="150"/>
        <v>10852</v>
      </c>
      <c r="BK104" s="140">
        <f t="shared" si="150"/>
        <v>11030</v>
      </c>
      <c r="BL104" s="140">
        <f t="shared" si="150"/>
        <v>11212</v>
      </c>
      <c r="BM104" s="140">
        <f t="shared" si="150"/>
        <v>11390</v>
      </c>
      <c r="BN104" s="140">
        <f t="shared" ref="BN104:CB104" si="151">DAYS360($B$3,BN38)</f>
        <v>11572</v>
      </c>
      <c r="BO104" s="140">
        <f t="shared" si="151"/>
        <v>11750</v>
      </c>
      <c r="BP104" s="140">
        <f t="shared" si="151"/>
        <v>11931</v>
      </c>
      <c r="BQ104" s="140">
        <f t="shared" si="151"/>
        <v>12109</v>
      </c>
      <c r="BR104" s="140">
        <f t="shared" si="151"/>
        <v>12291</v>
      </c>
      <c r="BS104" s="140">
        <f t="shared" si="151"/>
        <v>12469</v>
      </c>
      <c r="BT104" s="140">
        <f t="shared" si="151"/>
        <v>12651</v>
      </c>
      <c r="BU104" s="140">
        <f t="shared" si="151"/>
        <v>12829</v>
      </c>
      <c r="BV104" s="140">
        <f t="shared" si="151"/>
        <v>13011</v>
      </c>
      <c r="BW104" s="140">
        <f t="shared" si="151"/>
        <v>13189</v>
      </c>
      <c r="BX104" s="140">
        <f t="shared" si="151"/>
        <v>13370</v>
      </c>
      <c r="BY104" s="140">
        <f t="shared" si="151"/>
        <v>13548</v>
      </c>
      <c r="BZ104" s="140">
        <f t="shared" si="151"/>
        <v>13730</v>
      </c>
      <c r="CA104" s="140">
        <f t="shared" si="151"/>
        <v>13908</v>
      </c>
      <c r="CB104" s="140">
        <f t="shared" si="151"/>
        <v>14090</v>
      </c>
      <c r="CC104" s="17"/>
      <c r="CD104" s="17"/>
      <c r="CE104" s="17"/>
    </row>
    <row r="105" spans="1:83">
      <c r="A105" s="16" t="s">
        <v>41</v>
      </c>
      <c r="B105" s="140">
        <f>B104/360</f>
        <v>0.16388888888888889</v>
      </c>
      <c r="C105" s="140">
        <f t="shared" ref="C105:BN105" si="152">C104/360</f>
        <v>0.66388888888888886</v>
      </c>
      <c r="D105" s="140">
        <f t="shared" si="152"/>
        <v>1.163888888888889</v>
      </c>
      <c r="E105" s="140">
        <f t="shared" si="152"/>
        <v>1.663888888888889</v>
      </c>
      <c r="F105" s="140">
        <f t="shared" si="152"/>
        <v>2.1638888888888888</v>
      </c>
      <c r="G105" s="140">
        <f t="shared" si="152"/>
        <v>2.6638888888888888</v>
      </c>
      <c r="H105" s="140">
        <f t="shared" si="152"/>
        <v>3.1638888888888888</v>
      </c>
      <c r="I105" s="140">
        <f t="shared" si="152"/>
        <v>3.6638888888888888</v>
      </c>
      <c r="J105" s="140">
        <f t="shared" si="152"/>
        <v>4.1638888888888888</v>
      </c>
      <c r="K105" s="140">
        <f t="shared" si="152"/>
        <v>4.6583333333333332</v>
      </c>
      <c r="L105" s="140">
        <f t="shared" si="152"/>
        <v>5.1611111111111114</v>
      </c>
      <c r="M105" s="140">
        <f t="shared" si="152"/>
        <v>5.6555555555555559</v>
      </c>
      <c r="N105" s="140">
        <f t="shared" si="152"/>
        <v>6.1611111111111114</v>
      </c>
      <c r="O105" s="140">
        <f t="shared" si="152"/>
        <v>6.6555555555555559</v>
      </c>
      <c r="P105" s="140">
        <f t="shared" si="152"/>
        <v>7.1611111111111114</v>
      </c>
      <c r="Q105" s="140">
        <f t="shared" si="152"/>
        <v>7.6555555555555559</v>
      </c>
      <c r="R105" s="140">
        <f t="shared" si="152"/>
        <v>8.1611111111111114</v>
      </c>
      <c r="S105" s="140">
        <f t="shared" si="152"/>
        <v>8.655555555555555</v>
      </c>
      <c r="T105" s="140">
        <f t="shared" si="152"/>
        <v>9.1583333333333332</v>
      </c>
      <c r="U105" s="140">
        <f t="shared" si="152"/>
        <v>9.6527777777777786</v>
      </c>
      <c r="V105" s="140">
        <f t="shared" si="152"/>
        <v>10.158333333333333</v>
      </c>
      <c r="W105" s="140">
        <f t="shared" si="152"/>
        <v>10.652777777777779</v>
      </c>
      <c r="X105" s="140">
        <f t="shared" si="152"/>
        <v>11.158333333333333</v>
      </c>
      <c r="Y105" s="140">
        <f t="shared" si="152"/>
        <v>11.652777777777779</v>
      </c>
      <c r="Z105" s="140">
        <f t="shared" si="152"/>
        <v>12.158333333333333</v>
      </c>
      <c r="AA105" s="140">
        <f t="shared" si="152"/>
        <v>12.652777777777779</v>
      </c>
      <c r="AB105" s="140">
        <f t="shared" si="152"/>
        <v>13.155555555555555</v>
      </c>
      <c r="AC105" s="140">
        <f t="shared" si="152"/>
        <v>13.65</v>
      </c>
      <c r="AD105" s="140">
        <f t="shared" si="152"/>
        <v>14.155555555555555</v>
      </c>
      <c r="AE105" s="140">
        <f t="shared" si="152"/>
        <v>14.65</v>
      </c>
      <c r="AF105" s="140">
        <f t="shared" si="152"/>
        <v>15.155555555555555</v>
      </c>
      <c r="AG105" s="140">
        <f t="shared" si="152"/>
        <v>15.65</v>
      </c>
      <c r="AH105" s="140">
        <f t="shared" si="152"/>
        <v>16.155555555555555</v>
      </c>
      <c r="AI105" s="140">
        <f t="shared" si="152"/>
        <v>16.649999999999999</v>
      </c>
      <c r="AJ105" s="140">
        <f t="shared" si="152"/>
        <v>17.152777777777779</v>
      </c>
      <c r="AK105" s="140">
        <f t="shared" si="152"/>
        <v>17.647222222222222</v>
      </c>
      <c r="AL105" s="140">
        <f t="shared" si="152"/>
        <v>18.152777777777779</v>
      </c>
      <c r="AM105" s="140">
        <f t="shared" si="152"/>
        <v>18.647222222222222</v>
      </c>
      <c r="AN105" s="140">
        <f t="shared" si="152"/>
        <v>19.152777777777779</v>
      </c>
      <c r="AO105" s="140">
        <f t="shared" si="152"/>
        <v>19.647222222222222</v>
      </c>
      <c r="AP105" s="140">
        <f t="shared" si="152"/>
        <v>20.152777777777779</v>
      </c>
      <c r="AQ105" s="140">
        <f t="shared" si="152"/>
        <v>20.647222222222222</v>
      </c>
      <c r="AR105" s="140">
        <f t="shared" si="152"/>
        <v>21.15</v>
      </c>
      <c r="AS105" s="140">
        <f t="shared" si="152"/>
        <v>21.644444444444446</v>
      </c>
      <c r="AT105" s="140">
        <f t="shared" si="152"/>
        <v>22.15</v>
      </c>
      <c r="AU105" s="140">
        <f t="shared" si="152"/>
        <v>22.644444444444446</v>
      </c>
      <c r="AV105" s="140">
        <f t="shared" si="152"/>
        <v>23.15</v>
      </c>
      <c r="AW105" s="140">
        <f t="shared" si="152"/>
        <v>23.644444444444446</v>
      </c>
      <c r="AX105" s="140">
        <f t="shared" si="152"/>
        <v>24.15</v>
      </c>
      <c r="AY105" s="140">
        <f t="shared" si="152"/>
        <v>24.644444444444446</v>
      </c>
      <c r="AZ105" s="140">
        <f t="shared" si="152"/>
        <v>25.147222222222222</v>
      </c>
      <c r="BA105" s="140">
        <f t="shared" si="152"/>
        <v>25.641666666666666</v>
      </c>
      <c r="BB105" s="140">
        <f t="shared" si="152"/>
        <v>26.147222222222222</v>
      </c>
      <c r="BC105" s="140">
        <f t="shared" si="152"/>
        <v>26.641666666666666</v>
      </c>
      <c r="BD105" s="140">
        <f t="shared" si="152"/>
        <v>27.147222222222222</v>
      </c>
      <c r="BE105" s="140">
        <f t="shared" si="152"/>
        <v>27.641666666666666</v>
      </c>
      <c r="BF105" s="140">
        <f t="shared" si="152"/>
        <v>28.147222222222222</v>
      </c>
      <c r="BG105" s="140">
        <f t="shared" si="152"/>
        <v>28.641666666666666</v>
      </c>
      <c r="BH105" s="140">
        <f t="shared" si="152"/>
        <v>29.144444444444446</v>
      </c>
      <c r="BI105" s="140">
        <f t="shared" si="152"/>
        <v>29.638888888888889</v>
      </c>
      <c r="BJ105" s="140">
        <f t="shared" si="152"/>
        <v>30.144444444444446</v>
      </c>
      <c r="BK105" s="140">
        <f t="shared" si="152"/>
        <v>30.638888888888889</v>
      </c>
      <c r="BL105" s="140">
        <f t="shared" si="152"/>
        <v>31.144444444444446</v>
      </c>
      <c r="BM105" s="140">
        <f t="shared" si="152"/>
        <v>31.638888888888889</v>
      </c>
      <c r="BN105" s="140">
        <f t="shared" si="152"/>
        <v>32.144444444444446</v>
      </c>
      <c r="BO105" s="140">
        <f t="shared" ref="BO105:CB105" si="153">BO104/360</f>
        <v>32.638888888888886</v>
      </c>
      <c r="BP105" s="140">
        <f t="shared" si="153"/>
        <v>33.141666666666666</v>
      </c>
      <c r="BQ105" s="140">
        <f t="shared" si="153"/>
        <v>33.636111111111113</v>
      </c>
      <c r="BR105" s="140">
        <f t="shared" si="153"/>
        <v>34.141666666666666</v>
      </c>
      <c r="BS105" s="140">
        <f t="shared" si="153"/>
        <v>34.636111111111113</v>
      </c>
      <c r="BT105" s="140">
        <f t="shared" si="153"/>
        <v>35.141666666666666</v>
      </c>
      <c r="BU105" s="140">
        <f t="shared" si="153"/>
        <v>35.636111111111113</v>
      </c>
      <c r="BV105" s="140">
        <f t="shared" si="153"/>
        <v>36.141666666666666</v>
      </c>
      <c r="BW105" s="140">
        <f t="shared" si="153"/>
        <v>36.636111111111113</v>
      </c>
      <c r="BX105" s="140">
        <f t="shared" si="153"/>
        <v>37.138888888888886</v>
      </c>
      <c r="BY105" s="140">
        <f t="shared" si="153"/>
        <v>37.633333333333333</v>
      </c>
      <c r="BZ105" s="140">
        <f t="shared" si="153"/>
        <v>38.138888888888886</v>
      </c>
      <c r="CA105" s="140">
        <f t="shared" si="153"/>
        <v>38.633333333333333</v>
      </c>
      <c r="CB105" s="140">
        <f t="shared" si="153"/>
        <v>39.138888888888886</v>
      </c>
      <c r="CC105" s="17"/>
      <c r="CD105" s="17"/>
      <c r="CE105" s="17"/>
    </row>
    <row r="106" spans="1:83">
      <c r="A106" s="16" t="s">
        <v>43</v>
      </c>
      <c r="B106" s="140">
        <f>IF(B104&lt;0,0,$B$5+$B$6*((1-EXP(-B105/$B$9))/(B105/$B$9))+$B$7*((1-EXP(-B105/$B$9))/(B105/$B$9)-EXP(-B105/$B$9))+$B$8*((1-EXP(-B105/$B$10))/(B105/$B$10)-EXP(-B105/$B$10)))</f>
        <v>1.3609849435683352E-2</v>
      </c>
      <c r="C106" s="140">
        <f t="shared" ref="C106:BN106" si="154">IF(C104&lt;0,0,$B$5+$B$6*((1-EXP(-C105/$B$9))/(C105/$B$9))+$B$7*((1-EXP(-C105/$B$9))/(C105/$B$9)-EXP(-C105/$B$9))+$B$8*((1-EXP(-C105/$B$10))/(C105/$B$10)-EXP(-C105/$B$10)))</f>
        <v>1.370428396481304E-2</v>
      </c>
      <c r="D106" s="140">
        <f t="shared" si="154"/>
        <v>1.3797460376483717E-2</v>
      </c>
      <c r="E106" s="140">
        <f t="shared" si="154"/>
        <v>1.3889393307234476E-2</v>
      </c>
      <c r="F106" s="140">
        <f t="shared" si="154"/>
        <v>1.3980097248348949E-2</v>
      </c>
      <c r="G106" s="140">
        <f t="shared" si="154"/>
        <v>1.4069586547162305E-2</v>
      </c>
      <c r="H106" s="140">
        <f t="shared" si="154"/>
        <v>1.4157875408368622E-2</v>
      </c>
      <c r="I106" s="140">
        <f t="shared" si="154"/>
        <v>1.4244977895309549E-2</v>
      </c>
      <c r="J106" s="140">
        <f t="shared" si="154"/>
        <v>1.433090793125456E-2</v>
      </c>
      <c r="K106" s="140">
        <f t="shared" si="154"/>
        <v>1.4414743712247619E-2</v>
      </c>
      <c r="L106" s="140">
        <f t="shared" si="154"/>
        <v>1.4498844197709412E-2</v>
      </c>
      <c r="M106" s="140">
        <f t="shared" si="154"/>
        <v>1.4580434776726027E-2</v>
      </c>
      <c r="N106" s="140">
        <f t="shared" si="154"/>
        <v>1.4662728170173164E-2</v>
      </c>
      <c r="O106" s="140">
        <f t="shared" si="154"/>
        <v>1.4742120133590214E-2</v>
      </c>
      <c r="P106" s="140">
        <f t="shared" si="154"/>
        <v>1.4822192150456938E-2</v>
      </c>
      <c r="Q106" s="140">
        <f t="shared" si="154"/>
        <v>1.4899437359080968E-2</v>
      </c>
      <c r="R106" s="140">
        <f t="shared" si="154"/>
        <v>1.4977340494035204E-2</v>
      </c>
      <c r="S106" s="140">
        <f t="shared" si="154"/>
        <v>1.5052489773648252E-2</v>
      </c>
      <c r="T106" s="140">
        <f t="shared" si="154"/>
        <v>1.5127861951628388E-2</v>
      </c>
      <c r="U106" s="140">
        <f t="shared" si="154"/>
        <v>1.5200970727337573E-2</v>
      </c>
      <c r="V106" s="140">
        <f t="shared" si="154"/>
        <v>1.5274695079674043E-2</v>
      </c>
      <c r="W106" s="140">
        <f t="shared" si="154"/>
        <v>1.5345806413309524E-2</v>
      </c>
      <c r="X106" s="140">
        <f t="shared" si="154"/>
        <v>1.5417513015628749E-2</v>
      </c>
      <c r="Y106" s="140">
        <f t="shared" si="154"/>
        <v>1.5486674741803264E-2</v>
      </c>
      <c r="Z106" s="140">
        <f t="shared" si="154"/>
        <v>1.5556412009603924E-2</v>
      </c>
      <c r="AA106" s="140">
        <f t="shared" si="154"/>
        <v>1.5623671000944625E-2</v>
      </c>
      <c r="AB106" s="140">
        <f t="shared" si="154"/>
        <v>1.569111638011849E-2</v>
      </c>
      <c r="AC106" s="140">
        <f t="shared" si="154"/>
        <v>1.5756523659807738E-2</v>
      </c>
      <c r="AD106" s="140">
        <f t="shared" si="154"/>
        <v>1.5822468770286965E-2</v>
      </c>
      <c r="AE106" s="140">
        <f t="shared" si="154"/>
        <v>1.5886064120397135E-2</v>
      </c>
      <c r="AF106" s="140">
        <f t="shared" si="154"/>
        <v>1.595017924055557E-2</v>
      </c>
      <c r="AG106" s="140">
        <f t="shared" si="154"/>
        <v>1.6012006754055334E-2</v>
      </c>
      <c r="AH106" s="140">
        <f t="shared" si="154"/>
        <v>1.6074336508665545E-2</v>
      </c>
      <c r="AI106" s="140">
        <f t="shared" si="154"/>
        <v>1.6134439384705462E-2</v>
      </c>
      <c r="AJ106" s="140">
        <f t="shared" si="154"/>
        <v>1.6194696962275476E-2</v>
      </c>
      <c r="AK106" s="140">
        <f t="shared" si="154"/>
        <v>1.6253122137797039E-2</v>
      </c>
      <c r="AL106" s="140">
        <f t="shared" si="154"/>
        <v>1.6312016090520357E-2</v>
      </c>
      <c r="AM106" s="140">
        <f t="shared" si="154"/>
        <v>1.6368800296474688E-2</v>
      </c>
      <c r="AN106" s="140">
        <f t="shared" si="154"/>
        <v>1.6426037275415285E-2</v>
      </c>
      <c r="AO106" s="140">
        <f t="shared" si="154"/>
        <v>1.6481221128682569E-2</v>
      </c>
      <c r="AP106" s="140">
        <f t="shared" si="154"/>
        <v>1.6536842237070103E-2</v>
      </c>
      <c r="AQ106" s="140">
        <f t="shared" si="154"/>
        <v>1.6590465524321609E-2</v>
      </c>
      <c r="AR106" s="140">
        <f t="shared" si="154"/>
        <v>1.6644216215403605E-2</v>
      </c>
      <c r="AS106" s="140">
        <f t="shared" si="154"/>
        <v>1.6696322081752282E-2</v>
      </c>
      <c r="AT106" s="140">
        <f t="shared" si="154"/>
        <v>1.674883562326894E-2</v>
      </c>
      <c r="AU106" s="140">
        <f t="shared" si="154"/>
        <v>1.679945796206004E-2</v>
      </c>
      <c r="AV106" s="140">
        <f t="shared" si="154"/>
        <v>1.6850473851777723E-2</v>
      </c>
      <c r="AW106" s="140">
        <f t="shared" si="154"/>
        <v>1.6899650051585547E-2</v>
      </c>
      <c r="AX106" s="140">
        <f t="shared" si="154"/>
        <v>1.694920612235289E-2</v>
      </c>
      <c r="AY106" s="140">
        <f t="shared" si="154"/>
        <v>1.6996972800888702E-2</v>
      </c>
      <c r="AZ106" s="140">
        <f t="shared" si="154"/>
        <v>1.7044843571760136E-2</v>
      </c>
      <c r="BA106" s="140">
        <f t="shared" si="154"/>
        <v>1.7091240356826496E-2</v>
      </c>
      <c r="BB106" s="140">
        <f t="shared" si="154"/>
        <v>1.7137990980868573E-2</v>
      </c>
      <c r="BC106" s="140">
        <f t="shared" si="154"/>
        <v>1.7183049127565173E-2</v>
      </c>
      <c r="BD106" s="140">
        <f t="shared" si="154"/>
        <v>1.7228448705572066E-2</v>
      </c>
      <c r="BE106" s="140">
        <f t="shared" si="154"/>
        <v>1.7272202605323937E-2</v>
      </c>
      <c r="BF106" s="140">
        <f t="shared" si="154"/>
        <v>1.7316285934066332E-2</v>
      </c>
      <c r="BG106" s="140">
        <f t="shared" si="154"/>
        <v>1.7358769262791861E-2</v>
      </c>
      <c r="BH106" s="140">
        <f t="shared" si="154"/>
        <v>1.7401336987074346E-2</v>
      </c>
      <c r="BI106" s="140">
        <f t="shared" si="154"/>
        <v>1.7442586111180228E-2</v>
      </c>
      <c r="BJ106" s="140">
        <f t="shared" si="154"/>
        <v>1.7484141869400328E-2</v>
      </c>
      <c r="BK106" s="140">
        <f t="shared" si="154"/>
        <v>1.7524185591853019E-2</v>
      </c>
      <c r="BL106" s="140">
        <f t="shared" si="154"/>
        <v>1.7564525106180152E-2</v>
      </c>
      <c r="BM106" s="140">
        <f t="shared" si="154"/>
        <v>1.7603395036858219E-2</v>
      </c>
      <c r="BN106" s="140">
        <f t="shared" si="154"/>
        <v>1.7642550286517691E-2</v>
      </c>
      <c r="BO106" s="140">
        <f t="shared" ref="BO106:CB106" si="155">IF(BO104&lt;0,0,$B$5+$B$6*((1-EXP(-BO105/$B$9))/(BO105/$B$9))+$B$7*((1-EXP(-BO105/$B$9))/(BO105/$B$9)-EXP(-BO105/$B$9))+$B$8*((1-EXP(-BO105/$B$10))/(BO105/$B$10)-EXP(-BO105/$B$10)))</f>
        <v>1.7680277371418567E-2</v>
      </c>
      <c r="BP106" s="140">
        <f t="shared" si="155"/>
        <v>1.7718072427069562E-2</v>
      </c>
      <c r="BQ106" s="140">
        <f t="shared" si="155"/>
        <v>1.77546900097235E-2</v>
      </c>
      <c r="BR106" s="140">
        <f t="shared" si="155"/>
        <v>1.7791573066121974E-2</v>
      </c>
      <c r="BS106" s="140">
        <f t="shared" si="155"/>
        <v>1.7827107671075957E-2</v>
      </c>
      <c r="BT106" s="140">
        <f t="shared" si="155"/>
        <v>1.786289833321179E-2</v>
      </c>
      <c r="BU106" s="140">
        <f t="shared" si="155"/>
        <v>1.7897378989853541E-2</v>
      </c>
      <c r="BV106" s="140">
        <f t="shared" si="155"/>
        <v>1.7932106623188674E-2</v>
      </c>
      <c r="BW106" s="140">
        <f t="shared" si="155"/>
        <v>1.7965561745160407E-2</v>
      </c>
      <c r="BX106" s="140">
        <f t="shared" si="155"/>
        <v>1.7999071369026988E-2</v>
      </c>
      <c r="BY106" s="140">
        <f t="shared" si="155"/>
        <v>1.8031531499240076E-2</v>
      </c>
      <c r="BZ106" s="140">
        <f t="shared" si="155"/>
        <v>1.8064221444853944E-2</v>
      </c>
      <c r="CA106" s="140">
        <f t="shared" si="155"/>
        <v>1.8095710991547286E-2</v>
      </c>
      <c r="CB106" s="140">
        <f t="shared" si="155"/>
        <v>1.8127422233618198E-2</v>
      </c>
      <c r="CC106" s="17"/>
      <c r="CD106" s="17"/>
      <c r="CE106" s="17"/>
    </row>
    <row r="107" spans="1:83">
      <c r="A107" s="16" t="s">
        <v>44</v>
      </c>
      <c r="B107" s="140">
        <f>EXP(-B106*B105)</f>
        <v>0.99777198262160316</v>
      </c>
      <c r="C107" s="140">
        <f t="shared" ref="C107:AR107" si="156">EXP(-C106*C105)</f>
        <v>0.99094314082377777</v>
      </c>
      <c r="D107" s="140">
        <f t="shared" si="156"/>
        <v>0.98406954282246961</v>
      </c>
      <c r="E107" s="140">
        <f t="shared" si="156"/>
        <v>0.97715459291747553</v>
      </c>
      <c r="F107" s="140">
        <f t="shared" si="156"/>
        <v>0.97020161642220093</v>
      </c>
      <c r="G107" s="140">
        <f t="shared" si="156"/>
        <v>0.96321385973220619</v>
      </c>
      <c r="H107" s="140">
        <f t="shared" si="156"/>
        <v>0.95619449048262084</v>
      </c>
      <c r="I107" s="140">
        <f t="shared" si="156"/>
        <v>0.94914659778978094</v>
      </c>
      <c r="J107" s="140">
        <f t="shared" si="156"/>
        <v>0.94207319257250377</v>
      </c>
      <c r="K107" s="140">
        <f t="shared" si="156"/>
        <v>0.9350561657972426</v>
      </c>
      <c r="L107" s="140">
        <f t="shared" si="156"/>
        <v>0.92790108075910493</v>
      </c>
      <c r="M107" s="140">
        <f t="shared" si="156"/>
        <v>0.92084784847018575</v>
      </c>
      <c r="N107" s="140">
        <f t="shared" si="156"/>
        <v>0.91362169152604222</v>
      </c>
      <c r="O107" s="140">
        <f t="shared" si="156"/>
        <v>0.90654283244019918</v>
      </c>
      <c r="P107" s="140">
        <f t="shared" si="156"/>
        <v>0.89929571139421804</v>
      </c>
      <c r="Q107" s="140">
        <f t="shared" si="156"/>
        <v>0.89220132566654808</v>
      </c>
      <c r="R107" s="140">
        <f t="shared" si="156"/>
        <v>0.88494326805574353</v>
      </c>
      <c r="S107" s="140">
        <f t="shared" si="156"/>
        <v>0.87784287301204955</v>
      </c>
      <c r="T107" s="140">
        <f t="shared" si="156"/>
        <v>0.87062319961413914</v>
      </c>
      <c r="U107" s="140">
        <f t="shared" si="156"/>
        <v>0.86352572314828546</v>
      </c>
      <c r="V107" s="140">
        <f t="shared" si="156"/>
        <v>0.85627350029326188</v>
      </c>
      <c r="W107" s="140">
        <f t="shared" si="156"/>
        <v>0.84918733309714822</v>
      </c>
      <c r="X107" s="140">
        <f t="shared" si="156"/>
        <v>0.84195075735661695</v>
      </c>
      <c r="Y107" s="140">
        <f t="shared" si="156"/>
        <v>0.83488375509064594</v>
      </c>
      <c r="Z107" s="140">
        <f t="shared" si="156"/>
        <v>0.8276705893679015</v>
      </c>
      <c r="AA107" s="140">
        <f t="shared" si="156"/>
        <v>0.82063008516382951</v>
      </c>
      <c r="AB107" s="140">
        <f t="shared" si="156"/>
        <v>0.81348698333595815</v>
      </c>
      <c r="AC107" s="140">
        <f t="shared" si="156"/>
        <v>0.80647970344128972</v>
      </c>
      <c r="AD107" s="140">
        <f t="shared" si="156"/>
        <v>0.79933444949036447</v>
      </c>
      <c r="AE107" s="140">
        <f t="shared" si="156"/>
        <v>0.79236681878144477</v>
      </c>
      <c r="AF107" s="140">
        <f t="shared" si="156"/>
        <v>0.78526516564991355</v>
      </c>
      <c r="AG107" s="140">
        <f t="shared" si="156"/>
        <v>0.77834305621441857</v>
      </c>
      <c r="AH107" s="140">
        <f t="shared" si="156"/>
        <v>0.77129077496605458</v>
      </c>
      <c r="AI107" s="140">
        <f t="shared" si="156"/>
        <v>0.76441960776937556</v>
      </c>
      <c r="AJ107" s="140">
        <f t="shared" si="156"/>
        <v>0.75746038638122071</v>
      </c>
      <c r="AK107" s="140">
        <f t="shared" si="156"/>
        <v>0.7506449878915521</v>
      </c>
      <c r="AL107" s="140">
        <f t="shared" si="156"/>
        <v>0.74370680345385043</v>
      </c>
      <c r="AM107" s="140">
        <f t="shared" si="156"/>
        <v>0.7369518976927848</v>
      </c>
      <c r="AN107" s="140">
        <f t="shared" si="156"/>
        <v>0.73007775142826103</v>
      </c>
      <c r="AO107" s="140">
        <f t="shared" si="156"/>
        <v>0.72338751817006941</v>
      </c>
      <c r="AP107" s="140">
        <f t="shared" si="156"/>
        <v>0.71658148857030868</v>
      </c>
      <c r="AQ107" s="140">
        <f t="shared" si="156"/>
        <v>0.70995973029420345</v>
      </c>
      <c r="AR107" s="140">
        <f t="shared" si="156"/>
        <v>0.70326241855974969</v>
      </c>
      <c r="AS107" s="140">
        <f>EXP(-AS106*AS105)</f>
        <v>0.69671237435257993</v>
      </c>
      <c r="AT107" s="140">
        <f t="shared" ref="AT107:CA107" si="157">EXP(-AT106*AT105)</f>
        <v>0.69005311295553118</v>
      </c>
      <c r="AU107" s="140">
        <f t="shared" si="157"/>
        <v>0.68357808086921323</v>
      </c>
      <c r="AV107" s="140">
        <f t="shared" si="157"/>
        <v>0.67699697815036186</v>
      </c>
      <c r="AW107" s="140">
        <f t="shared" si="157"/>
        <v>0.67059973724203326</v>
      </c>
      <c r="AX107" s="140">
        <f t="shared" si="157"/>
        <v>0.66409947574681449</v>
      </c>
      <c r="AY107" s="140">
        <f t="shared" si="157"/>
        <v>0.65778249835342928</v>
      </c>
      <c r="AZ107" s="140">
        <f t="shared" si="157"/>
        <v>0.65140059739786937</v>
      </c>
      <c r="BA107" s="140">
        <f t="shared" si="157"/>
        <v>0.64516583406859973</v>
      </c>
      <c r="BB107" s="140">
        <f t="shared" si="157"/>
        <v>0.63883385986664432</v>
      </c>
      <c r="BC107" s="140">
        <f t="shared" si="157"/>
        <v>0.63268344603595561</v>
      </c>
      <c r="BD107" s="140">
        <f t="shared" si="157"/>
        <v>0.62643859291058379</v>
      </c>
      <c r="BE107" s="140">
        <f t="shared" si="157"/>
        <v>0.62037417990141674</v>
      </c>
      <c r="BF107" s="140">
        <f t="shared" si="157"/>
        <v>0.61421801028218448</v>
      </c>
      <c r="BG107" s="140">
        <f t="shared" si="157"/>
        <v>0.60824100669489889</v>
      </c>
      <c r="BH107" s="140">
        <f t="shared" si="157"/>
        <v>0.60220804776765235</v>
      </c>
      <c r="BI107" s="140">
        <f t="shared" si="157"/>
        <v>0.59631938672517348</v>
      </c>
      <c r="BJ107" s="140">
        <f t="shared" si="157"/>
        <v>0.59034406960279917</v>
      </c>
      <c r="BK107" s="140">
        <f t="shared" si="157"/>
        <v>0.58454496313688031</v>
      </c>
      <c r="BL107" s="140">
        <f t="shared" si="157"/>
        <v>0.57866163001296422</v>
      </c>
      <c r="BM107" s="140">
        <f t="shared" si="157"/>
        <v>0.57295284554680004</v>
      </c>
      <c r="BN107" s="140">
        <f t="shared" si="157"/>
        <v>0.56716218389319906</v>
      </c>
      <c r="BO107" s="140">
        <f t="shared" si="157"/>
        <v>0.5615443019376094</v>
      </c>
      <c r="BP107" s="140">
        <f t="shared" si="157"/>
        <v>0.55587799050296804</v>
      </c>
      <c r="BQ107" s="140">
        <f t="shared" si="157"/>
        <v>0.55035116322227828</v>
      </c>
      <c r="BR107" s="140">
        <f t="shared" si="157"/>
        <v>0.54474692111341994</v>
      </c>
      <c r="BS107" s="140">
        <f t="shared" si="157"/>
        <v>0.53931164606862458</v>
      </c>
      <c r="BT107" s="140">
        <f t="shared" si="157"/>
        <v>0.53380107992409442</v>
      </c>
      <c r="BU107" s="140">
        <f t="shared" si="157"/>
        <v>0.52845745079944084</v>
      </c>
      <c r="BV107" s="140">
        <f t="shared" si="157"/>
        <v>0.52304058360826655</v>
      </c>
      <c r="BW107" s="140">
        <f t="shared" si="157"/>
        <v>0.51778855436227855</v>
      </c>
      <c r="BX107" s="140">
        <f t="shared" si="157"/>
        <v>0.51249439138039055</v>
      </c>
      <c r="BY107" s="140">
        <f t="shared" si="157"/>
        <v>0.50733353312489926</v>
      </c>
      <c r="BZ107" s="140">
        <f t="shared" si="157"/>
        <v>0.50210333465395074</v>
      </c>
      <c r="CA107" s="140">
        <f t="shared" si="157"/>
        <v>0.49703360740418695</v>
      </c>
      <c r="CB107" s="140">
        <f>EXP(-CB106*CB105)</f>
        <v>0.49189639465050378</v>
      </c>
      <c r="CC107" s="17"/>
      <c r="CD107" s="17"/>
      <c r="CE107" s="17"/>
    </row>
    <row r="108" spans="1:83">
      <c r="A108" s="17"/>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17"/>
      <c r="CD108" s="17"/>
      <c r="CE108" s="17"/>
    </row>
    <row r="109" spans="1:83">
      <c r="A109" s="16" t="s">
        <v>40</v>
      </c>
      <c r="B109" s="140">
        <f t="shared" ref="B109:BM109" si="158">DAYS360($B$3,B40)</f>
        <v>59</v>
      </c>
      <c r="C109" s="140">
        <f t="shared" si="158"/>
        <v>239</v>
      </c>
      <c r="D109" s="140">
        <f t="shared" si="158"/>
        <v>419</v>
      </c>
      <c r="E109" s="140">
        <f t="shared" si="158"/>
        <v>599</v>
      </c>
      <c r="F109" s="140">
        <f t="shared" si="158"/>
        <v>779</v>
      </c>
      <c r="G109" s="140">
        <f t="shared" si="158"/>
        <v>959</v>
      </c>
      <c r="H109" s="140">
        <f t="shared" si="158"/>
        <v>1139</v>
      </c>
      <c r="I109" s="140">
        <f t="shared" si="158"/>
        <v>1319</v>
      </c>
      <c r="J109" s="140">
        <f t="shared" si="158"/>
        <v>1499</v>
      </c>
      <c r="K109" s="140">
        <f t="shared" si="158"/>
        <v>1677</v>
      </c>
      <c r="L109" s="140">
        <f t="shared" si="158"/>
        <v>1858</v>
      </c>
      <c r="M109" s="140">
        <f t="shared" si="158"/>
        <v>2036</v>
      </c>
      <c r="N109" s="140">
        <f t="shared" si="158"/>
        <v>2218</v>
      </c>
      <c r="O109" s="140">
        <f t="shared" si="158"/>
        <v>2396</v>
      </c>
      <c r="P109" s="140">
        <f t="shared" si="158"/>
        <v>2578</v>
      </c>
      <c r="Q109" s="140">
        <f t="shared" si="158"/>
        <v>2756</v>
      </c>
      <c r="R109" s="140">
        <f t="shared" si="158"/>
        <v>2938</v>
      </c>
      <c r="S109" s="140">
        <f t="shared" si="158"/>
        <v>3116</v>
      </c>
      <c r="T109" s="140">
        <f t="shared" si="158"/>
        <v>3297</v>
      </c>
      <c r="U109" s="140">
        <f t="shared" si="158"/>
        <v>3475</v>
      </c>
      <c r="V109" s="140">
        <f t="shared" si="158"/>
        <v>3657</v>
      </c>
      <c r="W109" s="140">
        <f t="shared" si="158"/>
        <v>3835</v>
      </c>
      <c r="X109" s="140">
        <f t="shared" si="158"/>
        <v>4017</v>
      </c>
      <c r="Y109" s="140">
        <f t="shared" si="158"/>
        <v>4195</v>
      </c>
      <c r="Z109" s="140">
        <f t="shared" si="158"/>
        <v>4377</v>
      </c>
      <c r="AA109" s="140">
        <f t="shared" si="158"/>
        <v>4555</v>
      </c>
      <c r="AB109" s="140">
        <f t="shared" si="158"/>
        <v>4736</v>
      </c>
      <c r="AC109" s="140">
        <f t="shared" si="158"/>
        <v>4914</v>
      </c>
      <c r="AD109" s="140">
        <f t="shared" si="158"/>
        <v>5096</v>
      </c>
      <c r="AE109" s="140">
        <f t="shared" si="158"/>
        <v>5274</v>
      </c>
      <c r="AF109" s="140">
        <f t="shared" si="158"/>
        <v>5456</v>
      </c>
      <c r="AG109" s="140">
        <f t="shared" si="158"/>
        <v>5634</v>
      </c>
      <c r="AH109" s="140">
        <f t="shared" si="158"/>
        <v>5816</v>
      </c>
      <c r="AI109" s="140">
        <f t="shared" si="158"/>
        <v>5994</v>
      </c>
      <c r="AJ109" s="140">
        <f t="shared" si="158"/>
        <v>6175</v>
      </c>
      <c r="AK109" s="140">
        <f t="shared" si="158"/>
        <v>6353</v>
      </c>
      <c r="AL109" s="140">
        <f t="shared" si="158"/>
        <v>6535</v>
      </c>
      <c r="AM109" s="140">
        <f t="shared" si="158"/>
        <v>6713</v>
      </c>
      <c r="AN109" s="140">
        <f t="shared" si="158"/>
        <v>6895</v>
      </c>
      <c r="AO109" s="140">
        <f t="shared" si="158"/>
        <v>7073</v>
      </c>
      <c r="AP109" s="140">
        <f t="shared" si="158"/>
        <v>7255</v>
      </c>
      <c r="AQ109" s="140">
        <f t="shared" si="158"/>
        <v>7433</v>
      </c>
      <c r="AR109" s="140">
        <f t="shared" si="158"/>
        <v>7614</v>
      </c>
      <c r="AS109" s="140">
        <f t="shared" si="158"/>
        <v>7792</v>
      </c>
      <c r="AT109" s="140">
        <f t="shared" si="158"/>
        <v>7974</v>
      </c>
      <c r="AU109" s="140">
        <f t="shared" si="158"/>
        <v>8152</v>
      </c>
      <c r="AV109" s="140">
        <f t="shared" si="158"/>
        <v>8334</v>
      </c>
      <c r="AW109" s="140">
        <f t="shared" si="158"/>
        <v>8512</v>
      </c>
      <c r="AX109" s="140">
        <f t="shared" si="158"/>
        <v>8694</v>
      </c>
      <c r="AY109" s="140">
        <f t="shared" si="158"/>
        <v>8872</v>
      </c>
      <c r="AZ109" s="140">
        <f t="shared" si="158"/>
        <v>9053</v>
      </c>
      <c r="BA109" s="140">
        <f t="shared" si="158"/>
        <v>9231</v>
      </c>
      <c r="BB109" s="140">
        <f t="shared" si="158"/>
        <v>9413</v>
      </c>
      <c r="BC109" s="140">
        <f t="shared" si="158"/>
        <v>9591</v>
      </c>
      <c r="BD109" s="140">
        <f t="shared" si="158"/>
        <v>9773</v>
      </c>
      <c r="BE109" s="140">
        <f t="shared" si="158"/>
        <v>9951</v>
      </c>
      <c r="BF109" s="140">
        <f t="shared" si="158"/>
        <v>10133</v>
      </c>
      <c r="BG109" s="140">
        <f t="shared" si="158"/>
        <v>10311</v>
      </c>
      <c r="BH109" s="140">
        <f t="shared" si="158"/>
        <v>10492</v>
      </c>
      <c r="BI109" s="140">
        <f t="shared" si="158"/>
        <v>10670</v>
      </c>
      <c r="BJ109" s="140">
        <f t="shared" si="158"/>
        <v>10852</v>
      </c>
      <c r="BK109" s="140">
        <f t="shared" si="158"/>
        <v>11030</v>
      </c>
      <c r="BL109" s="140">
        <f t="shared" si="158"/>
        <v>11212</v>
      </c>
      <c r="BM109" s="140">
        <f t="shared" si="158"/>
        <v>11390</v>
      </c>
      <c r="BN109" s="140">
        <f t="shared" ref="BN109:CB109" si="159">DAYS360($B$3,BN40)</f>
        <v>11572</v>
      </c>
      <c r="BO109" s="140">
        <f t="shared" si="159"/>
        <v>11750</v>
      </c>
      <c r="BP109" s="140">
        <f t="shared" si="159"/>
        <v>11931</v>
      </c>
      <c r="BQ109" s="140">
        <f t="shared" si="159"/>
        <v>12109</v>
      </c>
      <c r="BR109" s="140">
        <f t="shared" si="159"/>
        <v>12291</v>
      </c>
      <c r="BS109" s="140">
        <f t="shared" si="159"/>
        <v>12469</v>
      </c>
      <c r="BT109" s="140">
        <f t="shared" si="159"/>
        <v>12651</v>
      </c>
      <c r="BU109" s="140">
        <f t="shared" si="159"/>
        <v>12829</v>
      </c>
      <c r="BV109" s="140">
        <f t="shared" si="159"/>
        <v>13011</v>
      </c>
      <c r="BW109" s="140">
        <f t="shared" si="159"/>
        <v>13189</v>
      </c>
      <c r="BX109" s="140">
        <f t="shared" si="159"/>
        <v>13370</v>
      </c>
      <c r="BY109" s="140">
        <f t="shared" si="159"/>
        <v>13548</v>
      </c>
      <c r="BZ109" s="140">
        <f t="shared" si="159"/>
        <v>13730</v>
      </c>
      <c r="CA109" s="140">
        <f t="shared" si="159"/>
        <v>13908</v>
      </c>
      <c r="CB109" s="140">
        <f t="shared" si="159"/>
        <v>14090</v>
      </c>
      <c r="CC109" s="17"/>
      <c r="CD109" s="17"/>
      <c r="CE109" s="17"/>
    </row>
    <row r="110" spans="1:83">
      <c r="A110" s="16" t="s">
        <v>41</v>
      </c>
      <c r="B110" s="140">
        <f>B109/360</f>
        <v>0.16388888888888889</v>
      </c>
      <c r="C110" s="140">
        <f t="shared" ref="C110:BN110" si="160">C109/360</f>
        <v>0.66388888888888886</v>
      </c>
      <c r="D110" s="140">
        <f t="shared" si="160"/>
        <v>1.163888888888889</v>
      </c>
      <c r="E110" s="140">
        <f t="shared" si="160"/>
        <v>1.663888888888889</v>
      </c>
      <c r="F110" s="140">
        <f t="shared" si="160"/>
        <v>2.1638888888888888</v>
      </c>
      <c r="G110" s="140">
        <f t="shared" si="160"/>
        <v>2.6638888888888888</v>
      </c>
      <c r="H110" s="140">
        <f t="shared" si="160"/>
        <v>3.1638888888888888</v>
      </c>
      <c r="I110" s="140">
        <f t="shared" si="160"/>
        <v>3.6638888888888888</v>
      </c>
      <c r="J110" s="140">
        <f t="shared" si="160"/>
        <v>4.1638888888888888</v>
      </c>
      <c r="K110" s="140">
        <f t="shared" si="160"/>
        <v>4.6583333333333332</v>
      </c>
      <c r="L110" s="140">
        <f t="shared" si="160"/>
        <v>5.1611111111111114</v>
      </c>
      <c r="M110" s="140">
        <f t="shared" si="160"/>
        <v>5.6555555555555559</v>
      </c>
      <c r="N110" s="140">
        <f t="shared" si="160"/>
        <v>6.1611111111111114</v>
      </c>
      <c r="O110" s="140">
        <f t="shared" si="160"/>
        <v>6.6555555555555559</v>
      </c>
      <c r="P110" s="140">
        <f t="shared" si="160"/>
        <v>7.1611111111111114</v>
      </c>
      <c r="Q110" s="140">
        <f t="shared" si="160"/>
        <v>7.6555555555555559</v>
      </c>
      <c r="R110" s="140">
        <f t="shared" si="160"/>
        <v>8.1611111111111114</v>
      </c>
      <c r="S110" s="140">
        <f t="shared" si="160"/>
        <v>8.655555555555555</v>
      </c>
      <c r="T110" s="140">
        <f t="shared" si="160"/>
        <v>9.1583333333333332</v>
      </c>
      <c r="U110" s="140">
        <f t="shared" si="160"/>
        <v>9.6527777777777786</v>
      </c>
      <c r="V110" s="140">
        <f t="shared" si="160"/>
        <v>10.158333333333333</v>
      </c>
      <c r="W110" s="140">
        <f t="shared" si="160"/>
        <v>10.652777777777779</v>
      </c>
      <c r="X110" s="140">
        <f t="shared" si="160"/>
        <v>11.158333333333333</v>
      </c>
      <c r="Y110" s="140">
        <f t="shared" si="160"/>
        <v>11.652777777777779</v>
      </c>
      <c r="Z110" s="140">
        <f t="shared" si="160"/>
        <v>12.158333333333333</v>
      </c>
      <c r="AA110" s="140">
        <f t="shared" si="160"/>
        <v>12.652777777777779</v>
      </c>
      <c r="AB110" s="140">
        <f t="shared" si="160"/>
        <v>13.155555555555555</v>
      </c>
      <c r="AC110" s="140">
        <f t="shared" si="160"/>
        <v>13.65</v>
      </c>
      <c r="AD110" s="140">
        <f t="shared" si="160"/>
        <v>14.155555555555555</v>
      </c>
      <c r="AE110" s="140">
        <f t="shared" si="160"/>
        <v>14.65</v>
      </c>
      <c r="AF110" s="140">
        <f t="shared" si="160"/>
        <v>15.155555555555555</v>
      </c>
      <c r="AG110" s="140">
        <f t="shared" si="160"/>
        <v>15.65</v>
      </c>
      <c r="AH110" s="140">
        <f t="shared" si="160"/>
        <v>16.155555555555555</v>
      </c>
      <c r="AI110" s="140">
        <f t="shared" si="160"/>
        <v>16.649999999999999</v>
      </c>
      <c r="AJ110" s="140">
        <f t="shared" si="160"/>
        <v>17.152777777777779</v>
      </c>
      <c r="AK110" s="140">
        <f t="shared" si="160"/>
        <v>17.647222222222222</v>
      </c>
      <c r="AL110" s="140">
        <f t="shared" si="160"/>
        <v>18.152777777777779</v>
      </c>
      <c r="AM110" s="140">
        <f t="shared" si="160"/>
        <v>18.647222222222222</v>
      </c>
      <c r="AN110" s="140">
        <f t="shared" si="160"/>
        <v>19.152777777777779</v>
      </c>
      <c r="AO110" s="140">
        <f t="shared" si="160"/>
        <v>19.647222222222222</v>
      </c>
      <c r="AP110" s="140">
        <f t="shared" si="160"/>
        <v>20.152777777777779</v>
      </c>
      <c r="AQ110" s="140">
        <f t="shared" si="160"/>
        <v>20.647222222222222</v>
      </c>
      <c r="AR110" s="140">
        <f t="shared" si="160"/>
        <v>21.15</v>
      </c>
      <c r="AS110" s="140">
        <f t="shared" si="160"/>
        <v>21.644444444444446</v>
      </c>
      <c r="AT110" s="140">
        <f t="shared" si="160"/>
        <v>22.15</v>
      </c>
      <c r="AU110" s="140">
        <f t="shared" si="160"/>
        <v>22.644444444444446</v>
      </c>
      <c r="AV110" s="140">
        <f t="shared" si="160"/>
        <v>23.15</v>
      </c>
      <c r="AW110" s="140">
        <f t="shared" si="160"/>
        <v>23.644444444444446</v>
      </c>
      <c r="AX110" s="140">
        <f t="shared" si="160"/>
        <v>24.15</v>
      </c>
      <c r="AY110" s="140">
        <f t="shared" si="160"/>
        <v>24.644444444444446</v>
      </c>
      <c r="AZ110" s="140">
        <f t="shared" si="160"/>
        <v>25.147222222222222</v>
      </c>
      <c r="BA110" s="140">
        <f t="shared" si="160"/>
        <v>25.641666666666666</v>
      </c>
      <c r="BB110" s="140">
        <f t="shared" si="160"/>
        <v>26.147222222222222</v>
      </c>
      <c r="BC110" s="140">
        <f t="shared" si="160"/>
        <v>26.641666666666666</v>
      </c>
      <c r="BD110" s="140">
        <f t="shared" si="160"/>
        <v>27.147222222222222</v>
      </c>
      <c r="BE110" s="140">
        <f t="shared" si="160"/>
        <v>27.641666666666666</v>
      </c>
      <c r="BF110" s="140">
        <f t="shared" si="160"/>
        <v>28.147222222222222</v>
      </c>
      <c r="BG110" s="140">
        <f t="shared" si="160"/>
        <v>28.641666666666666</v>
      </c>
      <c r="BH110" s="140">
        <f t="shared" si="160"/>
        <v>29.144444444444446</v>
      </c>
      <c r="BI110" s="140">
        <f t="shared" si="160"/>
        <v>29.638888888888889</v>
      </c>
      <c r="BJ110" s="140">
        <f t="shared" si="160"/>
        <v>30.144444444444446</v>
      </c>
      <c r="BK110" s="140">
        <f t="shared" si="160"/>
        <v>30.638888888888889</v>
      </c>
      <c r="BL110" s="140">
        <f t="shared" si="160"/>
        <v>31.144444444444446</v>
      </c>
      <c r="BM110" s="140">
        <f t="shared" si="160"/>
        <v>31.638888888888889</v>
      </c>
      <c r="BN110" s="140">
        <f t="shared" si="160"/>
        <v>32.144444444444446</v>
      </c>
      <c r="BO110" s="140">
        <f t="shared" ref="BO110:CB110" si="161">BO109/360</f>
        <v>32.638888888888886</v>
      </c>
      <c r="BP110" s="140">
        <f t="shared" si="161"/>
        <v>33.141666666666666</v>
      </c>
      <c r="BQ110" s="140">
        <f t="shared" si="161"/>
        <v>33.636111111111113</v>
      </c>
      <c r="BR110" s="140">
        <f t="shared" si="161"/>
        <v>34.141666666666666</v>
      </c>
      <c r="BS110" s="140">
        <f t="shared" si="161"/>
        <v>34.636111111111113</v>
      </c>
      <c r="BT110" s="140">
        <f t="shared" si="161"/>
        <v>35.141666666666666</v>
      </c>
      <c r="BU110" s="140">
        <f t="shared" si="161"/>
        <v>35.636111111111113</v>
      </c>
      <c r="BV110" s="140">
        <f t="shared" si="161"/>
        <v>36.141666666666666</v>
      </c>
      <c r="BW110" s="140">
        <f t="shared" si="161"/>
        <v>36.636111111111113</v>
      </c>
      <c r="BX110" s="140">
        <f t="shared" si="161"/>
        <v>37.138888888888886</v>
      </c>
      <c r="BY110" s="140">
        <f t="shared" si="161"/>
        <v>37.633333333333333</v>
      </c>
      <c r="BZ110" s="140">
        <f t="shared" si="161"/>
        <v>38.138888888888886</v>
      </c>
      <c r="CA110" s="140">
        <f t="shared" si="161"/>
        <v>38.633333333333333</v>
      </c>
      <c r="CB110" s="140">
        <f t="shared" si="161"/>
        <v>39.138888888888886</v>
      </c>
      <c r="CC110" s="17"/>
      <c r="CD110" s="17"/>
      <c r="CE110" s="17"/>
    </row>
    <row r="111" spans="1:83">
      <c r="A111" s="16" t="s">
        <v>43</v>
      </c>
      <c r="B111" s="140">
        <f>IF(B109&lt;0,0,$B$5+$B$6*((1-EXP(-B110/$B$9))/(B110/$B$9))+$B$7*((1-EXP(-B110/$B$9))/(B110/$B$9)-EXP(-B110/$B$9))+$B$8*((1-EXP(-B110/$B$10))/(B110/$B$10)-EXP(-B110/$B$10)))</f>
        <v>1.3609849435683352E-2</v>
      </c>
      <c r="C111" s="140">
        <f t="shared" ref="C111:BN111" si="162">IF(C109&lt;0,0,$B$5+$B$6*((1-EXP(-C110/$B$9))/(C110/$B$9))+$B$7*((1-EXP(-C110/$B$9))/(C110/$B$9)-EXP(-C110/$B$9))+$B$8*((1-EXP(-C110/$B$10))/(C110/$B$10)-EXP(-C110/$B$10)))</f>
        <v>1.370428396481304E-2</v>
      </c>
      <c r="D111" s="140">
        <f t="shared" si="162"/>
        <v>1.3797460376483717E-2</v>
      </c>
      <c r="E111" s="140">
        <f t="shared" si="162"/>
        <v>1.3889393307234476E-2</v>
      </c>
      <c r="F111" s="140">
        <f t="shared" si="162"/>
        <v>1.3980097248348949E-2</v>
      </c>
      <c r="G111" s="140">
        <f t="shared" si="162"/>
        <v>1.4069586547162305E-2</v>
      </c>
      <c r="H111" s="140">
        <f t="shared" si="162"/>
        <v>1.4157875408368622E-2</v>
      </c>
      <c r="I111" s="140">
        <f t="shared" si="162"/>
        <v>1.4244977895309549E-2</v>
      </c>
      <c r="J111" s="140">
        <f t="shared" si="162"/>
        <v>1.433090793125456E-2</v>
      </c>
      <c r="K111" s="140">
        <f t="shared" si="162"/>
        <v>1.4414743712247619E-2</v>
      </c>
      <c r="L111" s="140">
        <f t="shared" si="162"/>
        <v>1.4498844197709412E-2</v>
      </c>
      <c r="M111" s="140">
        <f t="shared" si="162"/>
        <v>1.4580434776726027E-2</v>
      </c>
      <c r="N111" s="140">
        <f t="shared" si="162"/>
        <v>1.4662728170173164E-2</v>
      </c>
      <c r="O111" s="140">
        <f t="shared" si="162"/>
        <v>1.4742120133590214E-2</v>
      </c>
      <c r="P111" s="140">
        <f t="shared" si="162"/>
        <v>1.4822192150456938E-2</v>
      </c>
      <c r="Q111" s="140">
        <f t="shared" si="162"/>
        <v>1.4899437359080968E-2</v>
      </c>
      <c r="R111" s="140">
        <f t="shared" si="162"/>
        <v>1.4977340494035204E-2</v>
      </c>
      <c r="S111" s="140">
        <f t="shared" si="162"/>
        <v>1.5052489773648252E-2</v>
      </c>
      <c r="T111" s="140">
        <f t="shared" si="162"/>
        <v>1.5127861951628388E-2</v>
      </c>
      <c r="U111" s="140">
        <f t="shared" si="162"/>
        <v>1.5200970727337573E-2</v>
      </c>
      <c r="V111" s="140">
        <f t="shared" si="162"/>
        <v>1.5274695079674043E-2</v>
      </c>
      <c r="W111" s="140">
        <f t="shared" si="162"/>
        <v>1.5345806413309524E-2</v>
      </c>
      <c r="X111" s="140">
        <f t="shared" si="162"/>
        <v>1.5417513015628749E-2</v>
      </c>
      <c r="Y111" s="140">
        <f t="shared" si="162"/>
        <v>1.5486674741803264E-2</v>
      </c>
      <c r="Z111" s="140">
        <f t="shared" si="162"/>
        <v>1.5556412009603924E-2</v>
      </c>
      <c r="AA111" s="140">
        <f t="shared" si="162"/>
        <v>1.5623671000944625E-2</v>
      </c>
      <c r="AB111" s="140">
        <f t="shared" si="162"/>
        <v>1.569111638011849E-2</v>
      </c>
      <c r="AC111" s="140">
        <f t="shared" si="162"/>
        <v>1.5756523659807738E-2</v>
      </c>
      <c r="AD111" s="140">
        <f t="shared" si="162"/>
        <v>1.5822468770286965E-2</v>
      </c>
      <c r="AE111" s="140">
        <f t="shared" si="162"/>
        <v>1.5886064120397135E-2</v>
      </c>
      <c r="AF111" s="140">
        <f t="shared" si="162"/>
        <v>1.595017924055557E-2</v>
      </c>
      <c r="AG111" s="140">
        <f t="shared" si="162"/>
        <v>1.6012006754055334E-2</v>
      </c>
      <c r="AH111" s="140">
        <f t="shared" si="162"/>
        <v>1.6074336508665545E-2</v>
      </c>
      <c r="AI111" s="140">
        <f t="shared" si="162"/>
        <v>1.6134439384705462E-2</v>
      </c>
      <c r="AJ111" s="140">
        <f t="shared" si="162"/>
        <v>1.6194696962275476E-2</v>
      </c>
      <c r="AK111" s="140">
        <f t="shared" si="162"/>
        <v>1.6253122137797039E-2</v>
      </c>
      <c r="AL111" s="140">
        <f t="shared" si="162"/>
        <v>1.6312016090520357E-2</v>
      </c>
      <c r="AM111" s="140">
        <f t="shared" si="162"/>
        <v>1.6368800296474688E-2</v>
      </c>
      <c r="AN111" s="140">
        <f t="shared" si="162"/>
        <v>1.6426037275415285E-2</v>
      </c>
      <c r="AO111" s="140">
        <f t="shared" si="162"/>
        <v>1.6481221128682569E-2</v>
      </c>
      <c r="AP111" s="140">
        <f t="shared" si="162"/>
        <v>1.6536842237070103E-2</v>
      </c>
      <c r="AQ111" s="140">
        <f t="shared" si="162"/>
        <v>1.6590465524321609E-2</v>
      </c>
      <c r="AR111" s="140">
        <f t="shared" si="162"/>
        <v>1.6644216215403605E-2</v>
      </c>
      <c r="AS111" s="140">
        <f t="shared" si="162"/>
        <v>1.6696322081752282E-2</v>
      </c>
      <c r="AT111" s="140">
        <f t="shared" si="162"/>
        <v>1.674883562326894E-2</v>
      </c>
      <c r="AU111" s="140">
        <f t="shared" si="162"/>
        <v>1.679945796206004E-2</v>
      </c>
      <c r="AV111" s="140">
        <f t="shared" si="162"/>
        <v>1.6850473851777723E-2</v>
      </c>
      <c r="AW111" s="140">
        <f t="shared" si="162"/>
        <v>1.6899650051585547E-2</v>
      </c>
      <c r="AX111" s="140">
        <f t="shared" si="162"/>
        <v>1.694920612235289E-2</v>
      </c>
      <c r="AY111" s="140">
        <f t="shared" si="162"/>
        <v>1.6996972800888702E-2</v>
      </c>
      <c r="AZ111" s="140">
        <f t="shared" si="162"/>
        <v>1.7044843571760136E-2</v>
      </c>
      <c r="BA111" s="140">
        <f t="shared" si="162"/>
        <v>1.7091240356826496E-2</v>
      </c>
      <c r="BB111" s="140">
        <f t="shared" si="162"/>
        <v>1.7137990980868573E-2</v>
      </c>
      <c r="BC111" s="140">
        <f t="shared" si="162"/>
        <v>1.7183049127565173E-2</v>
      </c>
      <c r="BD111" s="140">
        <f t="shared" si="162"/>
        <v>1.7228448705572066E-2</v>
      </c>
      <c r="BE111" s="140">
        <f t="shared" si="162"/>
        <v>1.7272202605323937E-2</v>
      </c>
      <c r="BF111" s="140">
        <f t="shared" si="162"/>
        <v>1.7316285934066332E-2</v>
      </c>
      <c r="BG111" s="140">
        <f t="shared" si="162"/>
        <v>1.7358769262791861E-2</v>
      </c>
      <c r="BH111" s="140">
        <f t="shared" si="162"/>
        <v>1.7401336987074346E-2</v>
      </c>
      <c r="BI111" s="140">
        <f t="shared" si="162"/>
        <v>1.7442586111180228E-2</v>
      </c>
      <c r="BJ111" s="140">
        <f t="shared" si="162"/>
        <v>1.7484141869400328E-2</v>
      </c>
      <c r="BK111" s="140">
        <f t="shared" si="162"/>
        <v>1.7524185591853019E-2</v>
      </c>
      <c r="BL111" s="140">
        <f t="shared" si="162"/>
        <v>1.7564525106180152E-2</v>
      </c>
      <c r="BM111" s="140">
        <f t="shared" si="162"/>
        <v>1.7603395036858219E-2</v>
      </c>
      <c r="BN111" s="140">
        <f t="shared" si="162"/>
        <v>1.7642550286517691E-2</v>
      </c>
      <c r="BO111" s="140">
        <f t="shared" ref="BO111:CB111" si="163">IF(BO109&lt;0,0,$B$5+$B$6*((1-EXP(-BO110/$B$9))/(BO110/$B$9))+$B$7*((1-EXP(-BO110/$B$9))/(BO110/$B$9)-EXP(-BO110/$B$9))+$B$8*((1-EXP(-BO110/$B$10))/(BO110/$B$10)-EXP(-BO110/$B$10)))</f>
        <v>1.7680277371418567E-2</v>
      </c>
      <c r="BP111" s="140">
        <f t="shared" si="163"/>
        <v>1.7718072427069562E-2</v>
      </c>
      <c r="BQ111" s="140">
        <f t="shared" si="163"/>
        <v>1.77546900097235E-2</v>
      </c>
      <c r="BR111" s="140">
        <f t="shared" si="163"/>
        <v>1.7791573066121974E-2</v>
      </c>
      <c r="BS111" s="140">
        <f t="shared" si="163"/>
        <v>1.7827107671075957E-2</v>
      </c>
      <c r="BT111" s="140">
        <f t="shared" si="163"/>
        <v>1.786289833321179E-2</v>
      </c>
      <c r="BU111" s="140">
        <f t="shared" si="163"/>
        <v>1.7897378989853541E-2</v>
      </c>
      <c r="BV111" s="140">
        <f t="shared" si="163"/>
        <v>1.7932106623188674E-2</v>
      </c>
      <c r="BW111" s="140">
        <f t="shared" si="163"/>
        <v>1.7965561745160407E-2</v>
      </c>
      <c r="BX111" s="140">
        <f t="shared" si="163"/>
        <v>1.7999071369026988E-2</v>
      </c>
      <c r="BY111" s="140">
        <f t="shared" si="163"/>
        <v>1.8031531499240076E-2</v>
      </c>
      <c r="BZ111" s="140">
        <f t="shared" si="163"/>
        <v>1.8064221444853944E-2</v>
      </c>
      <c r="CA111" s="140">
        <f t="shared" si="163"/>
        <v>1.8095710991547286E-2</v>
      </c>
      <c r="CB111" s="140">
        <f t="shared" si="163"/>
        <v>1.8127422233618198E-2</v>
      </c>
      <c r="CC111" s="17"/>
      <c r="CD111" s="17"/>
      <c r="CE111" s="17"/>
    </row>
    <row r="112" spans="1:83">
      <c r="A112" s="16" t="s">
        <v>44</v>
      </c>
      <c r="B112" s="140">
        <f>EXP(-B111*B110)</f>
        <v>0.99777198262160316</v>
      </c>
      <c r="C112" s="140">
        <f t="shared" ref="C112:AR112" si="164">EXP(-C111*C110)</f>
        <v>0.99094314082377777</v>
      </c>
      <c r="D112" s="140">
        <f t="shared" si="164"/>
        <v>0.98406954282246961</v>
      </c>
      <c r="E112" s="140">
        <f t="shared" si="164"/>
        <v>0.97715459291747553</v>
      </c>
      <c r="F112" s="140">
        <f t="shared" si="164"/>
        <v>0.97020161642220093</v>
      </c>
      <c r="G112" s="140">
        <f t="shared" si="164"/>
        <v>0.96321385973220619</v>
      </c>
      <c r="H112" s="140">
        <f t="shared" si="164"/>
        <v>0.95619449048262084</v>
      </c>
      <c r="I112" s="140">
        <f t="shared" si="164"/>
        <v>0.94914659778978094</v>
      </c>
      <c r="J112" s="140">
        <f t="shared" si="164"/>
        <v>0.94207319257250377</v>
      </c>
      <c r="K112" s="140">
        <f t="shared" si="164"/>
        <v>0.9350561657972426</v>
      </c>
      <c r="L112" s="140">
        <f t="shared" si="164"/>
        <v>0.92790108075910493</v>
      </c>
      <c r="M112" s="140">
        <f t="shared" si="164"/>
        <v>0.92084784847018575</v>
      </c>
      <c r="N112" s="140">
        <f t="shared" si="164"/>
        <v>0.91362169152604222</v>
      </c>
      <c r="O112" s="140">
        <f t="shared" si="164"/>
        <v>0.90654283244019918</v>
      </c>
      <c r="P112" s="140">
        <f t="shared" si="164"/>
        <v>0.89929571139421804</v>
      </c>
      <c r="Q112" s="140">
        <f t="shared" si="164"/>
        <v>0.89220132566654808</v>
      </c>
      <c r="R112" s="140">
        <f t="shared" si="164"/>
        <v>0.88494326805574353</v>
      </c>
      <c r="S112" s="140">
        <f t="shared" si="164"/>
        <v>0.87784287301204955</v>
      </c>
      <c r="T112" s="140">
        <f t="shared" si="164"/>
        <v>0.87062319961413914</v>
      </c>
      <c r="U112" s="140">
        <f t="shared" si="164"/>
        <v>0.86352572314828546</v>
      </c>
      <c r="V112" s="140">
        <f t="shared" si="164"/>
        <v>0.85627350029326188</v>
      </c>
      <c r="W112" s="140">
        <f t="shared" si="164"/>
        <v>0.84918733309714822</v>
      </c>
      <c r="X112" s="140">
        <f t="shared" si="164"/>
        <v>0.84195075735661695</v>
      </c>
      <c r="Y112" s="140">
        <f t="shared" si="164"/>
        <v>0.83488375509064594</v>
      </c>
      <c r="Z112" s="140">
        <f t="shared" si="164"/>
        <v>0.8276705893679015</v>
      </c>
      <c r="AA112" s="140">
        <f t="shared" si="164"/>
        <v>0.82063008516382951</v>
      </c>
      <c r="AB112" s="140">
        <f t="shared" si="164"/>
        <v>0.81348698333595815</v>
      </c>
      <c r="AC112" s="140">
        <f t="shared" si="164"/>
        <v>0.80647970344128972</v>
      </c>
      <c r="AD112" s="140">
        <f t="shared" si="164"/>
        <v>0.79933444949036447</v>
      </c>
      <c r="AE112" s="140">
        <f t="shared" si="164"/>
        <v>0.79236681878144477</v>
      </c>
      <c r="AF112" s="140">
        <f t="shared" si="164"/>
        <v>0.78526516564991355</v>
      </c>
      <c r="AG112" s="140">
        <f t="shared" si="164"/>
        <v>0.77834305621441857</v>
      </c>
      <c r="AH112" s="140">
        <f t="shared" si="164"/>
        <v>0.77129077496605458</v>
      </c>
      <c r="AI112" s="140">
        <f t="shared" si="164"/>
        <v>0.76441960776937556</v>
      </c>
      <c r="AJ112" s="140">
        <f t="shared" si="164"/>
        <v>0.75746038638122071</v>
      </c>
      <c r="AK112" s="140">
        <f t="shared" si="164"/>
        <v>0.7506449878915521</v>
      </c>
      <c r="AL112" s="140">
        <f t="shared" si="164"/>
        <v>0.74370680345385043</v>
      </c>
      <c r="AM112" s="140">
        <f t="shared" si="164"/>
        <v>0.7369518976927848</v>
      </c>
      <c r="AN112" s="140">
        <f t="shared" si="164"/>
        <v>0.73007775142826103</v>
      </c>
      <c r="AO112" s="140">
        <f t="shared" si="164"/>
        <v>0.72338751817006941</v>
      </c>
      <c r="AP112" s="140">
        <f t="shared" si="164"/>
        <v>0.71658148857030868</v>
      </c>
      <c r="AQ112" s="140">
        <f t="shared" si="164"/>
        <v>0.70995973029420345</v>
      </c>
      <c r="AR112" s="140">
        <f t="shared" si="164"/>
        <v>0.70326241855974969</v>
      </c>
      <c r="AS112" s="140">
        <f>EXP(-AS111*AS110)</f>
        <v>0.69671237435257993</v>
      </c>
      <c r="AT112" s="140">
        <f t="shared" ref="AT112:CA112" si="165">EXP(-AT111*AT110)</f>
        <v>0.69005311295553118</v>
      </c>
      <c r="AU112" s="140">
        <f t="shared" si="165"/>
        <v>0.68357808086921323</v>
      </c>
      <c r="AV112" s="140">
        <f t="shared" si="165"/>
        <v>0.67699697815036186</v>
      </c>
      <c r="AW112" s="140">
        <f t="shared" si="165"/>
        <v>0.67059973724203326</v>
      </c>
      <c r="AX112" s="140">
        <f t="shared" si="165"/>
        <v>0.66409947574681449</v>
      </c>
      <c r="AY112" s="140">
        <f t="shared" si="165"/>
        <v>0.65778249835342928</v>
      </c>
      <c r="AZ112" s="140">
        <f t="shared" si="165"/>
        <v>0.65140059739786937</v>
      </c>
      <c r="BA112" s="140">
        <f t="shared" si="165"/>
        <v>0.64516583406859973</v>
      </c>
      <c r="BB112" s="140">
        <f t="shared" si="165"/>
        <v>0.63883385986664432</v>
      </c>
      <c r="BC112" s="140">
        <f t="shared" si="165"/>
        <v>0.63268344603595561</v>
      </c>
      <c r="BD112" s="140">
        <f t="shared" si="165"/>
        <v>0.62643859291058379</v>
      </c>
      <c r="BE112" s="140">
        <f t="shared" si="165"/>
        <v>0.62037417990141674</v>
      </c>
      <c r="BF112" s="140">
        <f t="shared" si="165"/>
        <v>0.61421801028218448</v>
      </c>
      <c r="BG112" s="140">
        <f t="shared" si="165"/>
        <v>0.60824100669489889</v>
      </c>
      <c r="BH112" s="140">
        <f t="shared" si="165"/>
        <v>0.60220804776765235</v>
      </c>
      <c r="BI112" s="140">
        <f t="shared" si="165"/>
        <v>0.59631938672517348</v>
      </c>
      <c r="BJ112" s="140">
        <f t="shared" si="165"/>
        <v>0.59034406960279917</v>
      </c>
      <c r="BK112" s="140">
        <f t="shared" si="165"/>
        <v>0.58454496313688031</v>
      </c>
      <c r="BL112" s="140">
        <f t="shared" si="165"/>
        <v>0.57866163001296422</v>
      </c>
      <c r="BM112" s="140">
        <f t="shared" si="165"/>
        <v>0.57295284554680004</v>
      </c>
      <c r="BN112" s="140">
        <f t="shared" si="165"/>
        <v>0.56716218389319906</v>
      </c>
      <c r="BO112" s="140">
        <f t="shared" si="165"/>
        <v>0.5615443019376094</v>
      </c>
      <c r="BP112" s="140">
        <f t="shared" si="165"/>
        <v>0.55587799050296804</v>
      </c>
      <c r="BQ112" s="140">
        <f t="shared" si="165"/>
        <v>0.55035116322227828</v>
      </c>
      <c r="BR112" s="140">
        <f t="shared" si="165"/>
        <v>0.54474692111341994</v>
      </c>
      <c r="BS112" s="140">
        <f t="shared" si="165"/>
        <v>0.53931164606862458</v>
      </c>
      <c r="BT112" s="140">
        <f t="shared" si="165"/>
        <v>0.53380107992409442</v>
      </c>
      <c r="BU112" s="140">
        <f t="shared" si="165"/>
        <v>0.52845745079944084</v>
      </c>
      <c r="BV112" s="140">
        <f t="shared" si="165"/>
        <v>0.52304058360826655</v>
      </c>
      <c r="BW112" s="140">
        <f t="shared" si="165"/>
        <v>0.51778855436227855</v>
      </c>
      <c r="BX112" s="140">
        <f t="shared" si="165"/>
        <v>0.51249439138039055</v>
      </c>
      <c r="BY112" s="140">
        <f t="shared" si="165"/>
        <v>0.50733353312489926</v>
      </c>
      <c r="BZ112" s="140">
        <f t="shared" si="165"/>
        <v>0.50210333465395074</v>
      </c>
      <c r="CA112" s="140">
        <f t="shared" si="165"/>
        <v>0.49703360740418695</v>
      </c>
      <c r="CB112" s="140">
        <f>EXP(-CB111*CB110)</f>
        <v>0.49189639465050378</v>
      </c>
      <c r="CC112" s="17"/>
      <c r="CD112" s="17"/>
      <c r="CE112" s="17"/>
    </row>
    <row r="113" spans="1:83">
      <c r="A113" s="17"/>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17"/>
      <c r="CD113" s="17"/>
      <c r="CE113" s="17"/>
    </row>
    <row r="114" spans="1:83">
      <c r="A114" s="16" t="s">
        <v>40</v>
      </c>
      <c r="B114" s="140">
        <f t="shared" ref="B114:BM114" si="166">DAYS360($B$3,B42)</f>
        <v>59</v>
      </c>
      <c r="C114" s="140">
        <f t="shared" si="166"/>
        <v>239</v>
      </c>
      <c r="D114" s="140">
        <f t="shared" si="166"/>
        <v>419</v>
      </c>
      <c r="E114" s="140">
        <f t="shared" si="166"/>
        <v>599</v>
      </c>
      <c r="F114" s="140">
        <f t="shared" si="166"/>
        <v>779</v>
      </c>
      <c r="G114" s="140">
        <f t="shared" si="166"/>
        <v>959</v>
      </c>
      <c r="H114" s="140">
        <f t="shared" si="166"/>
        <v>1139</v>
      </c>
      <c r="I114" s="140">
        <f t="shared" si="166"/>
        <v>1319</v>
      </c>
      <c r="J114" s="140">
        <f t="shared" si="166"/>
        <v>1499</v>
      </c>
      <c r="K114" s="140">
        <f t="shared" si="166"/>
        <v>1677</v>
      </c>
      <c r="L114" s="140">
        <f t="shared" si="166"/>
        <v>1858</v>
      </c>
      <c r="M114" s="140">
        <f t="shared" si="166"/>
        <v>2036</v>
      </c>
      <c r="N114" s="140">
        <f t="shared" si="166"/>
        <v>2218</v>
      </c>
      <c r="O114" s="140">
        <f t="shared" si="166"/>
        <v>2396</v>
      </c>
      <c r="P114" s="140">
        <f t="shared" si="166"/>
        <v>2578</v>
      </c>
      <c r="Q114" s="140">
        <f t="shared" si="166"/>
        <v>2756</v>
      </c>
      <c r="R114" s="140">
        <f t="shared" si="166"/>
        <v>2938</v>
      </c>
      <c r="S114" s="140">
        <f t="shared" si="166"/>
        <v>3116</v>
      </c>
      <c r="T114" s="140">
        <f t="shared" si="166"/>
        <v>3297</v>
      </c>
      <c r="U114" s="140">
        <f t="shared" si="166"/>
        <v>3475</v>
      </c>
      <c r="V114" s="140">
        <f t="shared" si="166"/>
        <v>3657</v>
      </c>
      <c r="W114" s="140">
        <f t="shared" si="166"/>
        <v>3835</v>
      </c>
      <c r="X114" s="140">
        <f t="shared" si="166"/>
        <v>4017</v>
      </c>
      <c r="Y114" s="140">
        <f t="shared" si="166"/>
        <v>4195</v>
      </c>
      <c r="Z114" s="140">
        <f t="shared" si="166"/>
        <v>4377</v>
      </c>
      <c r="AA114" s="140">
        <f t="shared" si="166"/>
        <v>4555</v>
      </c>
      <c r="AB114" s="140">
        <f t="shared" si="166"/>
        <v>4736</v>
      </c>
      <c r="AC114" s="140">
        <f t="shared" si="166"/>
        <v>4914</v>
      </c>
      <c r="AD114" s="140">
        <f t="shared" si="166"/>
        <v>5096</v>
      </c>
      <c r="AE114" s="140">
        <f t="shared" si="166"/>
        <v>5274</v>
      </c>
      <c r="AF114" s="140">
        <f t="shared" si="166"/>
        <v>5456</v>
      </c>
      <c r="AG114" s="140">
        <f t="shared" si="166"/>
        <v>5634</v>
      </c>
      <c r="AH114" s="140">
        <f t="shared" si="166"/>
        <v>5816</v>
      </c>
      <c r="AI114" s="140">
        <f t="shared" si="166"/>
        <v>5994</v>
      </c>
      <c r="AJ114" s="140">
        <f t="shared" si="166"/>
        <v>6175</v>
      </c>
      <c r="AK114" s="140">
        <f t="shared" si="166"/>
        <v>6353</v>
      </c>
      <c r="AL114" s="140">
        <f t="shared" si="166"/>
        <v>6535</v>
      </c>
      <c r="AM114" s="140">
        <f t="shared" si="166"/>
        <v>6713</v>
      </c>
      <c r="AN114" s="140">
        <f t="shared" si="166"/>
        <v>6895</v>
      </c>
      <c r="AO114" s="140">
        <f t="shared" si="166"/>
        <v>7073</v>
      </c>
      <c r="AP114" s="140">
        <f t="shared" si="166"/>
        <v>7255</v>
      </c>
      <c r="AQ114" s="140">
        <f t="shared" si="166"/>
        <v>7433</v>
      </c>
      <c r="AR114" s="140">
        <f t="shared" si="166"/>
        <v>7614</v>
      </c>
      <c r="AS114" s="140">
        <f t="shared" si="166"/>
        <v>7792</v>
      </c>
      <c r="AT114" s="140">
        <f t="shared" si="166"/>
        <v>7974</v>
      </c>
      <c r="AU114" s="140">
        <f t="shared" si="166"/>
        <v>8152</v>
      </c>
      <c r="AV114" s="140">
        <f t="shared" si="166"/>
        <v>8334</v>
      </c>
      <c r="AW114" s="140">
        <f t="shared" si="166"/>
        <v>8512</v>
      </c>
      <c r="AX114" s="140">
        <f t="shared" si="166"/>
        <v>8694</v>
      </c>
      <c r="AY114" s="140">
        <f t="shared" si="166"/>
        <v>8872</v>
      </c>
      <c r="AZ114" s="140">
        <f t="shared" si="166"/>
        <v>9053</v>
      </c>
      <c r="BA114" s="140">
        <f t="shared" si="166"/>
        <v>9231</v>
      </c>
      <c r="BB114" s="140">
        <f t="shared" si="166"/>
        <v>9413</v>
      </c>
      <c r="BC114" s="140">
        <f t="shared" si="166"/>
        <v>9591</v>
      </c>
      <c r="BD114" s="140">
        <f t="shared" si="166"/>
        <v>9773</v>
      </c>
      <c r="BE114" s="140">
        <f t="shared" si="166"/>
        <v>9951</v>
      </c>
      <c r="BF114" s="140">
        <f t="shared" si="166"/>
        <v>10133</v>
      </c>
      <c r="BG114" s="140">
        <f t="shared" si="166"/>
        <v>10311</v>
      </c>
      <c r="BH114" s="140">
        <f t="shared" si="166"/>
        <v>10492</v>
      </c>
      <c r="BI114" s="140">
        <f t="shared" si="166"/>
        <v>10670</v>
      </c>
      <c r="BJ114" s="140">
        <f t="shared" si="166"/>
        <v>10852</v>
      </c>
      <c r="BK114" s="140">
        <f t="shared" si="166"/>
        <v>11030</v>
      </c>
      <c r="BL114" s="140">
        <f t="shared" si="166"/>
        <v>11212</v>
      </c>
      <c r="BM114" s="140">
        <f t="shared" si="166"/>
        <v>11390</v>
      </c>
      <c r="BN114" s="140">
        <f t="shared" ref="BN114:CB114" si="167">DAYS360($B$3,BN42)</f>
        <v>11572</v>
      </c>
      <c r="BO114" s="140">
        <f t="shared" si="167"/>
        <v>11750</v>
      </c>
      <c r="BP114" s="140">
        <f t="shared" si="167"/>
        <v>11931</v>
      </c>
      <c r="BQ114" s="140">
        <f t="shared" si="167"/>
        <v>12109</v>
      </c>
      <c r="BR114" s="140">
        <f t="shared" si="167"/>
        <v>12291</v>
      </c>
      <c r="BS114" s="140">
        <f t="shared" si="167"/>
        <v>12469</v>
      </c>
      <c r="BT114" s="140">
        <f t="shared" si="167"/>
        <v>12651</v>
      </c>
      <c r="BU114" s="140">
        <f t="shared" si="167"/>
        <v>12829</v>
      </c>
      <c r="BV114" s="140">
        <f t="shared" si="167"/>
        <v>13011</v>
      </c>
      <c r="BW114" s="140">
        <f t="shared" si="167"/>
        <v>13189</v>
      </c>
      <c r="BX114" s="140">
        <f t="shared" si="167"/>
        <v>13370</v>
      </c>
      <c r="BY114" s="140">
        <f t="shared" si="167"/>
        <v>13548</v>
      </c>
      <c r="BZ114" s="140">
        <f t="shared" si="167"/>
        <v>13730</v>
      </c>
      <c r="CA114" s="140">
        <f t="shared" si="167"/>
        <v>13908</v>
      </c>
      <c r="CB114" s="140">
        <f t="shared" si="167"/>
        <v>14090</v>
      </c>
      <c r="CC114" s="17"/>
      <c r="CD114" s="17"/>
      <c r="CE114" s="17"/>
    </row>
    <row r="115" spans="1:83">
      <c r="A115" s="16" t="s">
        <v>41</v>
      </c>
      <c r="B115" s="140">
        <f>B114/360</f>
        <v>0.16388888888888889</v>
      </c>
      <c r="C115" s="140">
        <f t="shared" ref="C115:BN115" si="168">C114/360</f>
        <v>0.66388888888888886</v>
      </c>
      <c r="D115" s="140">
        <f t="shared" si="168"/>
        <v>1.163888888888889</v>
      </c>
      <c r="E115" s="140">
        <f t="shared" si="168"/>
        <v>1.663888888888889</v>
      </c>
      <c r="F115" s="140">
        <f t="shared" si="168"/>
        <v>2.1638888888888888</v>
      </c>
      <c r="G115" s="140">
        <f t="shared" si="168"/>
        <v>2.6638888888888888</v>
      </c>
      <c r="H115" s="140">
        <f t="shared" si="168"/>
        <v>3.1638888888888888</v>
      </c>
      <c r="I115" s="140">
        <f t="shared" si="168"/>
        <v>3.6638888888888888</v>
      </c>
      <c r="J115" s="140">
        <f t="shared" si="168"/>
        <v>4.1638888888888888</v>
      </c>
      <c r="K115" s="140">
        <f t="shared" si="168"/>
        <v>4.6583333333333332</v>
      </c>
      <c r="L115" s="140">
        <f t="shared" si="168"/>
        <v>5.1611111111111114</v>
      </c>
      <c r="M115" s="140">
        <f t="shared" si="168"/>
        <v>5.6555555555555559</v>
      </c>
      <c r="N115" s="140">
        <f t="shared" si="168"/>
        <v>6.1611111111111114</v>
      </c>
      <c r="O115" s="140">
        <f t="shared" si="168"/>
        <v>6.6555555555555559</v>
      </c>
      <c r="P115" s="140">
        <f t="shared" si="168"/>
        <v>7.1611111111111114</v>
      </c>
      <c r="Q115" s="140">
        <f t="shared" si="168"/>
        <v>7.6555555555555559</v>
      </c>
      <c r="R115" s="140">
        <f t="shared" si="168"/>
        <v>8.1611111111111114</v>
      </c>
      <c r="S115" s="140">
        <f t="shared" si="168"/>
        <v>8.655555555555555</v>
      </c>
      <c r="T115" s="140">
        <f t="shared" si="168"/>
        <v>9.1583333333333332</v>
      </c>
      <c r="U115" s="140">
        <f t="shared" si="168"/>
        <v>9.6527777777777786</v>
      </c>
      <c r="V115" s="140">
        <f t="shared" si="168"/>
        <v>10.158333333333333</v>
      </c>
      <c r="W115" s="140">
        <f t="shared" si="168"/>
        <v>10.652777777777779</v>
      </c>
      <c r="X115" s="140">
        <f t="shared" si="168"/>
        <v>11.158333333333333</v>
      </c>
      <c r="Y115" s="140">
        <f t="shared" si="168"/>
        <v>11.652777777777779</v>
      </c>
      <c r="Z115" s="140">
        <f t="shared" si="168"/>
        <v>12.158333333333333</v>
      </c>
      <c r="AA115" s="140">
        <f t="shared" si="168"/>
        <v>12.652777777777779</v>
      </c>
      <c r="AB115" s="140">
        <f t="shared" si="168"/>
        <v>13.155555555555555</v>
      </c>
      <c r="AC115" s="140">
        <f t="shared" si="168"/>
        <v>13.65</v>
      </c>
      <c r="AD115" s="140">
        <f t="shared" si="168"/>
        <v>14.155555555555555</v>
      </c>
      <c r="AE115" s="140">
        <f t="shared" si="168"/>
        <v>14.65</v>
      </c>
      <c r="AF115" s="140">
        <f t="shared" si="168"/>
        <v>15.155555555555555</v>
      </c>
      <c r="AG115" s="140">
        <f t="shared" si="168"/>
        <v>15.65</v>
      </c>
      <c r="AH115" s="140">
        <f t="shared" si="168"/>
        <v>16.155555555555555</v>
      </c>
      <c r="AI115" s="140">
        <f t="shared" si="168"/>
        <v>16.649999999999999</v>
      </c>
      <c r="AJ115" s="140">
        <f t="shared" si="168"/>
        <v>17.152777777777779</v>
      </c>
      <c r="AK115" s="140">
        <f t="shared" si="168"/>
        <v>17.647222222222222</v>
      </c>
      <c r="AL115" s="140">
        <f t="shared" si="168"/>
        <v>18.152777777777779</v>
      </c>
      <c r="AM115" s="140">
        <f t="shared" si="168"/>
        <v>18.647222222222222</v>
      </c>
      <c r="AN115" s="140">
        <f t="shared" si="168"/>
        <v>19.152777777777779</v>
      </c>
      <c r="AO115" s="140">
        <f t="shared" si="168"/>
        <v>19.647222222222222</v>
      </c>
      <c r="AP115" s="140">
        <f t="shared" si="168"/>
        <v>20.152777777777779</v>
      </c>
      <c r="AQ115" s="140">
        <f t="shared" si="168"/>
        <v>20.647222222222222</v>
      </c>
      <c r="AR115" s="140">
        <f t="shared" si="168"/>
        <v>21.15</v>
      </c>
      <c r="AS115" s="140">
        <f t="shared" si="168"/>
        <v>21.644444444444446</v>
      </c>
      <c r="AT115" s="140">
        <f t="shared" si="168"/>
        <v>22.15</v>
      </c>
      <c r="AU115" s="140">
        <f t="shared" si="168"/>
        <v>22.644444444444446</v>
      </c>
      <c r="AV115" s="140">
        <f t="shared" si="168"/>
        <v>23.15</v>
      </c>
      <c r="AW115" s="140">
        <f t="shared" si="168"/>
        <v>23.644444444444446</v>
      </c>
      <c r="AX115" s="140">
        <f t="shared" si="168"/>
        <v>24.15</v>
      </c>
      <c r="AY115" s="140">
        <f t="shared" si="168"/>
        <v>24.644444444444446</v>
      </c>
      <c r="AZ115" s="140">
        <f t="shared" si="168"/>
        <v>25.147222222222222</v>
      </c>
      <c r="BA115" s="140">
        <f t="shared" si="168"/>
        <v>25.641666666666666</v>
      </c>
      <c r="BB115" s="140">
        <f t="shared" si="168"/>
        <v>26.147222222222222</v>
      </c>
      <c r="BC115" s="140">
        <f t="shared" si="168"/>
        <v>26.641666666666666</v>
      </c>
      <c r="BD115" s="140">
        <f t="shared" si="168"/>
        <v>27.147222222222222</v>
      </c>
      <c r="BE115" s="140">
        <f t="shared" si="168"/>
        <v>27.641666666666666</v>
      </c>
      <c r="BF115" s="140">
        <f t="shared" si="168"/>
        <v>28.147222222222222</v>
      </c>
      <c r="BG115" s="140">
        <f t="shared" si="168"/>
        <v>28.641666666666666</v>
      </c>
      <c r="BH115" s="140">
        <f t="shared" si="168"/>
        <v>29.144444444444446</v>
      </c>
      <c r="BI115" s="140">
        <f t="shared" si="168"/>
        <v>29.638888888888889</v>
      </c>
      <c r="BJ115" s="140">
        <f t="shared" si="168"/>
        <v>30.144444444444446</v>
      </c>
      <c r="BK115" s="140">
        <f t="shared" si="168"/>
        <v>30.638888888888889</v>
      </c>
      <c r="BL115" s="140">
        <f t="shared" si="168"/>
        <v>31.144444444444446</v>
      </c>
      <c r="BM115" s="140">
        <f t="shared" si="168"/>
        <v>31.638888888888889</v>
      </c>
      <c r="BN115" s="140">
        <f t="shared" si="168"/>
        <v>32.144444444444446</v>
      </c>
      <c r="BO115" s="140">
        <f t="shared" ref="BO115:CB115" si="169">BO114/360</f>
        <v>32.638888888888886</v>
      </c>
      <c r="BP115" s="140">
        <f t="shared" si="169"/>
        <v>33.141666666666666</v>
      </c>
      <c r="BQ115" s="140">
        <f t="shared" si="169"/>
        <v>33.636111111111113</v>
      </c>
      <c r="BR115" s="140">
        <f t="shared" si="169"/>
        <v>34.141666666666666</v>
      </c>
      <c r="BS115" s="140">
        <f t="shared" si="169"/>
        <v>34.636111111111113</v>
      </c>
      <c r="BT115" s="140">
        <f t="shared" si="169"/>
        <v>35.141666666666666</v>
      </c>
      <c r="BU115" s="140">
        <f t="shared" si="169"/>
        <v>35.636111111111113</v>
      </c>
      <c r="BV115" s="140">
        <f t="shared" si="169"/>
        <v>36.141666666666666</v>
      </c>
      <c r="BW115" s="140">
        <f t="shared" si="169"/>
        <v>36.636111111111113</v>
      </c>
      <c r="BX115" s="140">
        <f t="shared" si="169"/>
        <v>37.138888888888886</v>
      </c>
      <c r="BY115" s="140">
        <f t="shared" si="169"/>
        <v>37.633333333333333</v>
      </c>
      <c r="BZ115" s="140">
        <f t="shared" si="169"/>
        <v>38.138888888888886</v>
      </c>
      <c r="CA115" s="140">
        <f t="shared" si="169"/>
        <v>38.633333333333333</v>
      </c>
      <c r="CB115" s="140">
        <f t="shared" si="169"/>
        <v>39.138888888888886</v>
      </c>
      <c r="CC115" s="17"/>
      <c r="CD115" s="17"/>
      <c r="CE115" s="17"/>
    </row>
    <row r="116" spans="1:83">
      <c r="A116" s="16" t="s">
        <v>43</v>
      </c>
      <c r="B116" s="140">
        <f>IF(B114&lt;0,0,$B$5+$B$6*((1-EXP(-B115/$B$9))/(B115/$B$9))+$B$7*((1-EXP(-B115/$B$9))/(B115/$B$9)-EXP(-B115/$B$9))+$B$8*((1-EXP(-B115/$B$10))/(B115/$B$10)-EXP(-B115/$B$10)))</f>
        <v>1.3609849435683352E-2</v>
      </c>
      <c r="C116" s="140">
        <f t="shared" ref="C116:BN116" si="170">IF(C114&lt;0,0,$B$5+$B$6*((1-EXP(-C115/$B$9))/(C115/$B$9))+$B$7*((1-EXP(-C115/$B$9))/(C115/$B$9)-EXP(-C115/$B$9))+$B$8*((1-EXP(-C115/$B$10))/(C115/$B$10)-EXP(-C115/$B$10)))</f>
        <v>1.370428396481304E-2</v>
      </c>
      <c r="D116" s="140">
        <f t="shared" si="170"/>
        <v>1.3797460376483717E-2</v>
      </c>
      <c r="E116" s="140">
        <f t="shared" si="170"/>
        <v>1.3889393307234476E-2</v>
      </c>
      <c r="F116" s="140">
        <f t="shared" si="170"/>
        <v>1.3980097248348949E-2</v>
      </c>
      <c r="G116" s="140">
        <f t="shared" si="170"/>
        <v>1.4069586547162305E-2</v>
      </c>
      <c r="H116" s="140">
        <f t="shared" si="170"/>
        <v>1.4157875408368622E-2</v>
      </c>
      <c r="I116" s="140">
        <f t="shared" si="170"/>
        <v>1.4244977895309549E-2</v>
      </c>
      <c r="J116" s="140">
        <f t="shared" si="170"/>
        <v>1.433090793125456E-2</v>
      </c>
      <c r="K116" s="140">
        <f t="shared" si="170"/>
        <v>1.4414743712247619E-2</v>
      </c>
      <c r="L116" s="140">
        <f t="shared" si="170"/>
        <v>1.4498844197709412E-2</v>
      </c>
      <c r="M116" s="140">
        <f t="shared" si="170"/>
        <v>1.4580434776726027E-2</v>
      </c>
      <c r="N116" s="140">
        <f t="shared" si="170"/>
        <v>1.4662728170173164E-2</v>
      </c>
      <c r="O116" s="140">
        <f t="shared" si="170"/>
        <v>1.4742120133590214E-2</v>
      </c>
      <c r="P116" s="140">
        <f t="shared" si="170"/>
        <v>1.4822192150456938E-2</v>
      </c>
      <c r="Q116" s="140">
        <f t="shared" si="170"/>
        <v>1.4899437359080968E-2</v>
      </c>
      <c r="R116" s="140">
        <f t="shared" si="170"/>
        <v>1.4977340494035204E-2</v>
      </c>
      <c r="S116" s="140">
        <f t="shared" si="170"/>
        <v>1.5052489773648252E-2</v>
      </c>
      <c r="T116" s="140">
        <f t="shared" si="170"/>
        <v>1.5127861951628388E-2</v>
      </c>
      <c r="U116" s="140">
        <f t="shared" si="170"/>
        <v>1.5200970727337573E-2</v>
      </c>
      <c r="V116" s="140">
        <f t="shared" si="170"/>
        <v>1.5274695079674043E-2</v>
      </c>
      <c r="W116" s="140">
        <f t="shared" si="170"/>
        <v>1.5345806413309524E-2</v>
      </c>
      <c r="X116" s="140">
        <f t="shared" si="170"/>
        <v>1.5417513015628749E-2</v>
      </c>
      <c r="Y116" s="140">
        <f t="shared" si="170"/>
        <v>1.5486674741803264E-2</v>
      </c>
      <c r="Z116" s="140">
        <f t="shared" si="170"/>
        <v>1.5556412009603924E-2</v>
      </c>
      <c r="AA116" s="140">
        <f t="shared" si="170"/>
        <v>1.5623671000944625E-2</v>
      </c>
      <c r="AB116" s="140">
        <f t="shared" si="170"/>
        <v>1.569111638011849E-2</v>
      </c>
      <c r="AC116" s="140">
        <f t="shared" si="170"/>
        <v>1.5756523659807738E-2</v>
      </c>
      <c r="AD116" s="140">
        <f t="shared" si="170"/>
        <v>1.5822468770286965E-2</v>
      </c>
      <c r="AE116" s="140">
        <f t="shared" si="170"/>
        <v>1.5886064120397135E-2</v>
      </c>
      <c r="AF116" s="140">
        <f t="shared" si="170"/>
        <v>1.595017924055557E-2</v>
      </c>
      <c r="AG116" s="140">
        <f t="shared" si="170"/>
        <v>1.6012006754055334E-2</v>
      </c>
      <c r="AH116" s="140">
        <f t="shared" si="170"/>
        <v>1.6074336508665545E-2</v>
      </c>
      <c r="AI116" s="140">
        <f t="shared" si="170"/>
        <v>1.6134439384705462E-2</v>
      </c>
      <c r="AJ116" s="140">
        <f t="shared" si="170"/>
        <v>1.6194696962275476E-2</v>
      </c>
      <c r="AK116" s="140">
        <f t="shared" si="170"/>
        <v>1.6253122137797039E-2</v>
      </c>
      <c r="AL116" s="140">
        <f t="shared" si="170"/>
        <v>1.6312016090520357E-2</v>
      </c>
      <c r="AM116" s="140">
        <f t="shared" si="170"/>
        <v>1.6368800296474688E-2</v>
      </c>
      <c r="AN116" s="140">
        <f t="shared" si="170"/>
        <v>1.6426037275415285E-2</v>
      </c>
      <c r="AO116" s="140">
        <f t="shared" si="170"/>
        <v>1.6481221128682569E-2</v>
      </c>
      <c r="AP116" s="140">
        <f t="shared" si="170"/>
        <v>1.6536842237070103E-2</v>
      </c>
      <c r="AQ116" s="140">
        <f t="shared" si="170"/>
        <v>1.6590465524321609E-2</v>
      </c>
      <c r="AR116" s="140">
        <f t="shared" si="170"/>
        <v>1.6644216215403605E-2</v>
      </c>
      <c r="AS116" s="140">
        <f t="shared" si="170"/>
        <v>1.6696322081752282E-2</v>
      </c>
      <c r="AT116" s="140">
        <f t="shared" si="170"/>
        <v>1.674883562326894E-2</v>
      </c>
      <c r="AU116" s="140">
        <f t="shared" si="170"/>
        <v>1.679945796206004E-2</v>
      </c>
      <c r="AV116" s="140">
        <f t="shared" si="170"/>
        <v>1.6850473851777723E-2</v>
      </c>
      <c r="AW116" s="140">
        <f t="shared" si="170"/>
        <v>1.6899650051585547E-2</v>
      </c>
      <c r="AX116" s="140">
        <f t="shared" si="170"/>
        <v>1.694920612235289E-2</v>
      </c>
      <c r="AY116" s="140">
        <f t="shared" si="170"/>
        <v>1.6996972800888702E-2</v>
      </c>
      <c r="AZ116" s="140">
        <f t="shared" si="170"/>
        <v>1.7044843571760136E-2</v>
      </c>
      <c r="BA116" s="140">
        <f t="shared" si="170"/>
        <v>1.7091240356826496E-2</v>
      </c>
      <c r="BB116" s="140">
        <f t="shared" si="170"/>
        <v>1.7137990980868573E-2</v>
      </c>
      <c r="BC116" s="140">
        <f t="shared" si="170"/>
        <v>1.7183049127565173E-2</v>
      </c>
      <c r="BD116" s="140">
        <f t="shared" si="170"/>
        <v>1.7228448705572066E-2</v>
      </c>
      <c r="BE116" s="140">
        <f t="shared" si="170"/>
        <v>1.7272202605323937E-2</v>
      </c>
      <c r="BF116" s="140">
        <f t="shared" si="170"/>
        <v>1.7316285934066332E-2</v>
      </c>
      <c r="BG116" s="140">
        <f t="shared" si="170"/>
        <v>1.7358769262791861E-2</v>
      </c>
      <c r="BH116" s="140">
        <f t="shared" si="170"/>
        <v>1.7401336987074346E-2</v>
      </c>
      <c r="BI116" s="140">
        <f t="shared" si="170"/>
        <v>1.7442586111180228E-2</v>
      </c>
      <c r="BJ116" s="140">
        <f t="shared" si="170"/>
        <v>1.7484141869400328E-2</v>
      </c>
      <c r="BK116" s="140">
        <f t="shared" si="170"/>
        <v>1.7524185591853019E-2</v>
      </c>
      <c r="BL116" s="140">
        <f t="shared" si="170"/>
        <v>1.7564525106180152E-2</v>
      </c>
      <c r="BM116" s="140">
        <f t="shared" si="170"/>
        <v>1.7603395036858219E-2</v>
      </c>
      <c r="BN116" s="140">
        <f t="shared" si="170"/>
        <v>1.7642550286517691E-2</v>
      </c>
      <c r="BO116" s="140">
        <f t="shared" ref="BO116:CB116" si="171">IF(BO114&lt;0,0,$B$5+$B$6*((1-EXP(-BO115/$B$9))/(BO115/$B$9))+$B$7*((1-EXP(-BO115/$B$9))/(BO115/$B$9)-EXP(-BO115/$B$9))+$B$8*((1-EXP(-BO115/$B$10))/(BO115/$B$10)-EXP(-BO115/$B$10)))</f>
        <v>1.7680277371418567E-2</v>
      </c>
      <c r="BP116" s="140">
        <f t="shared" si="171"/>
        <v>1.7718072427069562E-2</v>
      </c>
      <c r="BQ116" s="140">
        <f t="shared" si="171"/>
        <v>1.77546900097235E-2</v>
      </c>
      <c r="BR116" s="140">
        <f t="shared" si="171"/>
        <v>1.7791573066121974E-2</v>
      </c>
      <c r="BS116" s="140">
        <f t="shared" si="171"/>
        <v>1.7827107671075957E-2</v>
      </c>
      <c r="BT116" s="140">
        <f t="shared" si="171"/>
        <v>1.786289833321179E-2</v>
      </c>
      <c r="BU116" s="140">
        <f t="shared" si="171"/>
        <v>1.7897378989853541E-2</v>
      </c>
      <c r="BV116" s="140">
        <f t="shared" si="171"/>
        <v>1.7932106623188674E-2</v>
      </c>
      <c r="BW116" s="140">
        <f t="shared" si="171"/>
        <v>1.7965561745160407E-2</v>
      </c>
      <c r="BX116" s="140">
        <f t="shared" si="171"/>
        <v>1.7999071369026988E-2</v>
      </c>
      <c r="BY116" s="140">
        <f t="shared" si="171"/>
        <v>1.8031531499240076E-2</v>
      </c>
      <c r="BZ116" s="140">
        <f t="shared" si="171"/>
        <v>1.8064221444853944E-2</v>
      </c>
      <c r="CA116" s="140">
        <f t="shared" si="171"/>
        <v>1.8095710991547286E-2</v>
      </c>
      <c r="CB116" s="140">
        <f t="shared" si="171"/>
        <v>1.8127422233618198E-2</v>
      </c>
      <c r="CC116" s="17"/>
      <c r="CD116" s="17"/>
      <c r="CE116" s="17"/>
    </row>
    <row r="117" spans="1:83">
      <c r="A117" s="16" t="s">
        <v>44</v>
      </c>
      <c r="B117" s="140">
        <f>EXP(-B116*B115)</f>
        <v>0.99777198262160316</v>
      </c>
      <c r="C117" s="140">
        <f t="shared" ref="C117:AR117" si="172">EXP(-C116*C115)</f>
        <v>0.99094314082377777</v>
      </c>
      <c r="D117" s="140">
        <f t="shared" si="172"/>
        <v>0.98406954282246961</v>
      </c>
      <c r="E117" s="140">
        <f t="shared" si="172"/>
        <v>0.97715459291747553</v>
      </c>
      <c r="F117" s="140">
        <f t="shared" si="172"/>
        <v>0.97020161642220093</v>
      </c>
      <c r="G117" s="140">
        <f t="shared" si="172"/>
        <v>0.96321385973220619</v>
      </c>
      <c r="H117" s="140">
        <f t="shared" si="172"/>
        <v>0.95619449048262084</v>
      </c>
      <c r="I117" s="140">
        <f t="shared" si="172"/>
        <v>0.94914659778978094</v>
      </c>
      <c r="J117" s="140">
        <f t="shared" si="172"/>
        <v>0.94207319257250377</v>
      </c>
      <c r="K117" s="140">
        <f t="shared" si="172"/>
        <v>0.9350561657972426</v>
      </c>
      <c r="L117" s="140">
        <f t="shared" si="172"/>
        <v>0.92790108075910493</v>
      </c>
      <c r="M117" s="140">
        <f t="shared" si="172"/>
        <v>0.92084784847018575</v>
      </c>
      <c r="N117" s="140">
        <f t="shared" si="172"/>
        <v>0.91362169152604222</v>
      </c>
      <c r="O117" s="140">
        <f t="shared" si="172"/>
        <v>0.90654283244019918</v>
      </c>
      <c r="P117" s="140">
        <f t="shared" si="172"/>
        <v>0.89929571139421804</v>
      </c>
      <c r="Q117" s="140">
        <f t="shared" si="172"/>
        <v>0.89220132566654808</v>
      </c>
      <c r="R117" s="140">
        <f t="shared" si="172"/>
        <v>0.88494326805574353</v>
      </c>
      <c r="S117" s="140">
        <f t="shared" si="172"/>
        <v>0.87784287301204955</v>
      </c>
      <c r="T117" s="140">
        <f t="shared" si="172"/>
        <v>0.87062319961413914</v>
      </c>
      <c r="U117" s="140">
        <f t="shared" si="172"/>
        <v>0.86352572314828546</v>
      </c>
      <c r="V117" s="140">
        <f t="shared" si="172"/>
        <v>0.85627350029326188</v>
      </c>
      <c r="W117" s="140">
        <f t="shared" si="172"/>
        <v>0.84918733309714822</v>
      </c>
      <c r="X117" s="140">
        <f t="shared" si="172"/>
        <v>0.84195075735661695</v>
      </c>
      <c r="Y117" s="140">
        <f t="shared" si="172"/>
        <v>0.83488375509064594</v>
      </c>
      <c r="Z117" s="140">
        <f t="shared" si="172"/>
        <v>0.8276705893679015</v>
      </c>
      <c r="AA117" s="140">
        <f t="shared" si="172"/>
        <v>0.82063008516382951</v>
      </c>
      <c r="AB117" s="140">
        <f t="shared" si="172"/>
        <v>0.81348698333595815</v>
      </c>
      <c r="AC117" s="140">
        <f t="shared" si="172"/>
        <v>0.80647970344128972</v>
      </c>
      <c r="AD117" s="140">
        <f t="shared" si="172"/>
        <v>0.79933444949036447</v>
      </c>
      <c r="AE117" s="140">
        <f t="shared" si="172"/>
        <v>0.79236681878144477</v>
      </c>
      <c r="AF117" s="140">
        <f t="shared" si="172"/>
        <v>0.78526516564991355</v>
      </c>
      <c r="AG117" s="140">
        <f t="shared" si="172"/>
        <v>0.77834305621441857</v>
      </c>
      <c r="AH117" s="140">
        <f t="shared" si="172"/>
        <v>0.77129077496605458</v>
      </c>
      <c r="AI117" s="140">
        <f t="shared" si="172"/>
        <v>0.76441960776937556</v>
      </c>
      <c r="AJ117" s="140">
        <f t="shared" si="172"/>
        <v>0.75746038638122071</v>
      </c>
      <c r="AK117" s="140">
        <f t="shared" si="172"/>
        <v>0.7506449878915521</v>
      </c>
      <c r="AL117" s="140">
        <f t="shared" si="172"/>
        <v>0.74370680345385043</v>
      </c>
      <c r="AM117" s="140">
        <f t="shared" si="172"/>
        <v>0.7369518976927848</v>
      </c>
      <c r="AN117" s="140">
        <f t="shared" si="172"/>
        <v>0.73007775142826103</v>
      </c>
      <c r="AO117" s="140">
        <f t="shared" si="172"/>
        <v>0.72338751817006941</v>
      </c>
      <c r="AP117" s="140">
        <f t="shared" si="172"/>
        <v>0.71658148857030868</v>
      </c>
      <c r="AQ117" s="140">
        <f t="shared" si="172"/>
        <v>0.70995973029420345</v>
      </c>
      <c r="AR117" s="140">
        <f t="shared" si="172"/>
        <v>0.70326241855974969</v>
      </c>
      <c r="AS117" s="140">
        <f>EXP(-AS116*AS115)</f>
        <v>0.69671237435257993</v>
      </c>
      <c r="AT117" s="140">
        <f t="shared" ref="AT117:CA117" si="173">EXP(-AT116*AT115)</f>
        <v>0.69005311295553118</v>
      </c>
      <c r="AU117" s="140">
        <f t="shared" si="173"/>
        <v>0.68357808086921323</v>
      </c>
      <c r="AV117" s="140">
        <f t="shared" si="173"/>
        <v>0.67699697815036186</v>
      </c>
      <c r="AW117" s="140">
        <f t="shared" si="173"/>
        <v>0.67059973724203326</v>
      </c>
      <c r="AX117" s="140">
        <f t="shared" si="173"/>
        <v>0.66409947574681449</v>
      </c>
      <c r="AY117" s="140">
        <f t="shared" si="173"/>
        <v>0.65778249835342928</v>
      </c>
      <c r="AZ117" s="140">
        <f t="shared" si="173"/>
        <v>0.65140059739786937</v>
      </c>
      <c r="BA117" s="140">
        <f t="shared" si="173"/>
        <v>0.64516583406859973</v>
      </c>
      <c r="BB117" s="140">
        <f t="shared" si="173"/>
        <v>0.63883385986664432</v>
      </c>
      <c r="BC117" s="140">
        <f t="shared" si="173"/>
        <v>0.63268344603595561</v>
      </c>
      <c r="BD117" s="140">
        <f t="shared" si="173"/>
        <v>0.62643859291058379</v>
      </c>
      <c r="BE117" s="140">
        <f t="shared" si="173"/>
        <v>0.62037417990141674</v>
      </c>
      <c r="BF117" s="140">
        <f t="shared" si="173"/>
        <v>0.61421801028218448</v>
      </c>
      <c r="BG117" s="140">
        <f t="shared" si="173"/>
        <v>0.60824100669489889</v>
      </c>
      <c r="BH117" s="140">
        <f t="shared" si="173"/>
        <v>0.60220804776765235</v>
      </c>
      <c r="BI117" s="140">
        <f t="shared" si="173"/>
        <v>0.59631938672517348</v>
      </c>
      <c r="BJ117" s="140">
        <f t="shared" si="173"/>
        <v>0.59034406960279917</v>
      </c>
      <c r="BK117" s="140">
        <f t="shared" si="173"/>
        <v>0.58454496313688031</v>
      </c>
      <c r="BL117" s="140">
        <f t="shared" si="173"/>
        <v>0.57866163001296422</v>
      </c>
      <c r="BM117" s="140">
        <f t="shared" si="173"/>
        <v>0.57295284554680004</v>
      </c>
      <c r="BN117" s="140">
        <f t="shared" si="173"/>
        <v>0.56716218389319906</v>
      </c>
      <c r="BO117" s="140">
        <f t="shared" si="173"/>
        <v>0.5615443019376094</v>
      </c>
      <c r="BP117" s="140">
        <f t="shared" si="173"/>
        <v>0.55587799050296804</v>
      </c>
      <c r="BQ117" s="140">
        <f t="shared" si="173"/>
        <v>0.55035116322227828</v>
      </c>
      <c r="BR117" s="140">
        <f t="shared" si="173"/>
        <v>0.54474692111341994</v>
      </c>
      <c r="BS117" s="140">
        <f t="shared" si="173"/>
        <v>0.53931164606862458</v>
      </c>
      <c r="BT117" s="140">
        <f t="shared" si="173"/>
        <v>0.53380107992409442</v>
      </c>
      <c r="BU117" s="140">
        <f t="shared" si="173"/>
        <v>0.52845745079944084</v>
      </c>
      <c r="BV117" s="140">
        <f t="shared" si="173"/>
        <v>0.52304058360826655</v>
      </c>
      <c r="BW117" s="140">
        <f t="shared" si="173"/>
        <v>0.51778855436227855</v>
      </c>
      <c r="BX117" s="140">
        <f t="shared" si="173"/>
        <v>0.51249439138039055</v>
      </c>
      <c r="BY117" s="140">
        <f t="shared" si="173"/>
        <v>0.50733353312489926</v>
      </c>
      <c r="BZ117" s="140">
        <f t="shared" si="173"/>
        <v>0.50210333465395074</v>
      </c>
      <c r="CA117" s="140">
        <f t="shared" si="173"/>
        <v>0.49703360740418695</v>
      </c>
      <c r="CB117" s="140">
        <f>EXP(-CB116*CB115)</f>
        <v>0.49189639465050378</v>
      </c>
      <c r="CC117" s="17"/>
      <c r="CD117" s="17"/>
      <c r="CE117" s="17"/>
    </row>
    <row r="118" spans="1:83">
      <c r="A118" s="17"/>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17"/>
      <c r="CD118" s="17"/>
      <c r="CE118" s="17"/>
    </row>
    <row r="119" spans="1:83">
      <c r="A119" s="16" t="s">
        <v>40</v>
      </c>
      <c r="B119" s="140">
        <f t="shared" ref="B119:BM119" si="174">DAYS360($B$3,B44)</f>
        <v>149</v>
      </c>
      <c r="C119" s="140">
        <f t="shared" si="174"/>
        <v>329</v>
      </c>
      <c r="D119" s="140">
        <f t="shared" si="174"/>
        <v>508</v>
      </c>
      <c r="E119" s="140">
        <f t="shared" si="174"/>
        <v>689</v>
      </c>
      <c r="F119" s="140">
        <f t="shared" si="174"/>
        <v>868</v>
      </c>
      <c r="G119" s="140">
        <f t="shared" si="174"/>
        <v>1049</v>
      </c>
      <c r="H119" s="140">
        <f t="shared" si="174"/>
        <v>1228</v>
      </c>
      <c r="I119" s="140">
        <f t="shared" si="174"/>
        <v>1409</v>
      </c>
      <c r="J119" s="140">
        <f t="shared" si="174"/>
        <v>1588</v>
      </c>
      <c r="K119" s="140">
        <f t="shared" si="174"/>
        <v>1768</v>
      </c>
      <c r="L119" s="140">
        <f t="shared" si="174"/>
        <v>1947</v>
      </c>
      <c r="M119" s="140">
        <f t="shared" si="174"/>
        <v>2128</v>
      </c>
      <c r="N119" s="140">
        <f t="shared" si="174"/>
        <v>2307</v>
      </c>
      <c r="O119" s="140">
        <f t="shared" si="174"/>
        <v>2488</v>
      </c>
      <c r="P119" s="140">
        <f t="shared" si="174"/>
        <v>2667</v>
      </c>
      <c r="Q119" s="140">
        <f t="shared" si="174"/>
        <v>2848</v>
      </c>
      <c r="R119" s="140">
        <f t="shared" si="174"/>
        <v>3027</v>
      </c>
      <c r="S119" s="140">
        <f t="shared" si="174"/>
        <v>3207</v>
      </c>
      <c r="T119" s="140">
        <f t="shared" si="174"/>
        <v>3386</v>
      </c>
      <c r="U119" s="140">
        <f t="shared" si="174"/>
        <v>3567</v>
      </c>
      <c r="V119" s="140">
        <f t="shared" si="174"/>
        <v>3746</v>
      </c>
      <c r="W119" s="140">
        <f t="shared" si="174"/>
        <v>3927</v>
      </c>
      <c r="X119" s="140">
        <f t="shared" si="174"/>
        <v>4106</v>
      </c>
      <c r="Y119" s="140">
        <f t="shared" si="174"/>
        <v>4287</v>
      </c>
      <c r="Z119" s="140">
        <f t="shared" si="174"/>
        <v>4466</v>
      </c>
      <c r="AA119" s="140">
        <f t="shared" si="174"/>
        <v>4646</v>
      </c>
      <c r="AB119" s="140">
        <f t="shared" si="174"/>
        <v>4825</v>
      </c>
      <c r="AC119" s="140">
        <f t="shared" si="174"/>
        <v>5006</v>
      </c>
      <c r="AD119" s="140">
        <f t="shared" si="174"/>
        <v>5185</v>
      </c>
      <c r="AE119" s="140">
        <f t="shared" si="174"/>
        <v>5366</v>
      </c>
      <c r="AF119" s="140">
        <f t="shared" si="174"/>
        <v>5545</v>
      </c>
      <c r="AG119" s="140">
        <f t="shared" si="174"/>
        <v>5726</v>
      </c>
      <c r="AH119" s="140">
        <f t="shared" si="174"/>
        <v>5905</v>
      </c>
      <c r="AI119" s="140">
        <f t="shared" si="174"/>
        <v>6085</v>
      </c>
      <c r="AJ119" s="140">
        <f t="shared" si="174"/>
        <v>6264</v>
      </c>
      <c r="AK119" s="140">
        <f t="shared" si="174"/>
        <v>6445</v>
      </c>
      <c r="AL119" s="140">
        <f t="shared" si="174"/>
        <v>6624</v>
      </c>
      <c r="AM119" s="140">
        <f t="shared" si="174"/>
        <v>6805</v>
      </c>
      <c r="AN119" s="140">
        <f t="shared" si="174"/>
        <v>6984</v>
      </c>
      <c r="AO119" s="140">
        <f t="shared" si="174"/>
        <v>7165</v>
      </c>
      <c r="AP119" s="140">
        <f t="shared" si="174"/>
        <v>7344</v>
      </c>
      <c r="AQ119" s="140">
        <f t="shared" si="174"/>
        <v>7524</v>
      </c>
      <c r="AR119" s="140">
        <f t="shared" si="174"/>
        <v>7703</v>
      </c>
      <c r="AS119" s="140">
        <f t="shared" si="174"/>
        <v>7884</v>
      </c>
      <c r="AT119" s="140">
        <f t="shared" si="174"/>
        <v>8063</v>
      </c>
      <c r="AU119" s="140">
        <f t="shared" si="174"/>
        <v>8244</v>
      </c>
      <c r="AV119" s="140">
        <f t="shared" si="174"/>
        <v>8423</v>
      </c>
      <c r="AW119" s="140">
        <f t="shared" si="174"/>
        <v>8604</v>
      </c>
      <c r="AX119" s="140">
        <f t="shared" si="174"/>
        <v>8783</v>
      </c>
      <c r="AY119" s="140">
        <f t="shared" si="174"/>
        <v>8963</v>
      </c>
      <c r="AZ119" s="140">
        <f t="shared" si="174"/>
        <v>9142</v>
      </c>
      <c r="BA119" s="140">
        <f t="shared" si="174"/>
        <v>9323</v>
      </c>
      <c r="BB119" s="140">
        <f t="shared" si="174"/>
        <v>9502</v>
      </c>
      <c r="BC119" s="140">
        <f t="shared" si="174"/>
        <v>9683</v>
      </c>
      <c r="BD119" s="140">
        <f t="shared" si="174"/>
        <v>9862</v>
      </c>
      <c r="BE119" s="140">
        <f t="shared" si="174"/>
        <v>10043</v>
      </c>
      <c r="BF119" s="140">
        <f t="shared" si="174"/>
        <v>10222</v>
      </c>
      <c r="BG119" s="140">
        <f t="shared" si="174"/>
        <v>10402</v>
      </c>
      <c r="BH119" s="140">
        <f t="shared" si="174"/>
        <v>10581</v>
      </c>
      <c r="BI119" s="140">
        <f t="shared" si="174"/>
        <v>10762</v>
      </c>
      <c r="BJ119" s="140">
        <f t="shared" si="174"/>
        <v>10941</v>
      </c>
      <c r="BK119" s="140">
        <f t="shared" si="174"/>
        <v>11122</v>
      </c>
      <c r="BL119" s="140">
        <f t="shared" si="174"/>
        <v>11301</v>
      </c>
      <c r="BM119" s="140">
        <f t="shared" si="174"/>
        <v>11482</v>
      </c>
      <c r="BN119" s="140">
        <f t="shared" ref="BN119:CB119" si="175">DAYS360($B$3,BN44)</f>
        <v>11661</v>
      </c>
      <c r="BO119" s="140">
        <f t="shared" si="175"/>
        <v>11841</v>
      </c>
      <c r="BP119" s="140">
        <f t="shared" si="175"/>
        <v>12020</v>
      </c>
      <c r="BQ119" s="140">
        <f t="shared" si="175"/>
        <v>12201</v>
      </c>
      <c r="BR119" s="140">
        <f t="shared" si="175"/>
        <v>12380</v>
      </c>
      <c r="BS119" s="140">
        <f t="shared" si="175"/>
        <v>12561</v>
      </c>
      <c r="BT119" s="140">
        <f t="shared" si="175"/>
        <v>12740</v>
      </c>
      <c r="BU119" s="140">
        <f t="shared" si="175"/>
        <v>12921</v>
      </c>
      <c r="BV119" s="140">
        <f t="shared" si="175"/>
        <v>13100</v>
      </c>
      <c r="BW119" s="140">
        <f t="shared" si="175"/>
        <v>13280</v>
      </c>
      <c r="BX119" s="140">
        <f t="shared" si="175"/>
        <v>13459</v>
      </c>
      <c r="BY119" s="140">
        <f t="shared" si="175"/>
        <v>13640</v>
      </c>
      <c r="BZ119" s="140">
        <f t="shared" si="175"/>
        <v>13819</v>
      </c>
      <c r="CA119" s="140">
        <f t="shared" si="175"/>
        <v>14000</v>
      </c>
      <c r="CB119" s="140">
        <f t="shared" si="175"/>
        <v>14179</v>
      </c>
      <c r="CC119" s="17"/>
      <c r="CD119" s="17"/>
      <c r="CE119" s="17"/>
    </row>
    <row r="120" spans="1:83">
      <c r="A120" s="16" t="s">
        <v>41</v>
      </c>
      <c r="B120" s="140">
        <f>B119/360</f>
        <v>0.41388888888888886</v>
      </c>
      <c r="C120" s="140">
        <f t="shared" ref="C120:BN120" si="176">C119/360</f>
        <v>0.91388888888888886</v>
      </c>
      <c r="D120" s="140">
        <f t="shared" si="176"/>
        <v>1.4111111111111112</v>
      </c>
      <c r="E120" s="140">
        <f t="shared" si="176"/>
        <v>1.913888888888889</v>
      </c>
      <c r="F120" s="140">
        <f t="shared" si="176"/>
        <v>2.411111111111111</v>
      </c>
      <c r="G120" s="140">
        <f t="shared" si="176"/>
        <v>2.9138888888888888</v>
      </c>
      <c r="H120" s="140">
        <f t="shared" si="176"/>
        <v>3.411111111111111</v>
      </c>
      <c r="I120" s="140">
        <f t="shared" si="176"/>
        <v>3.9138888888888888</v>
      </c>
      <c r="J120" s="140">
        <f t="shared" si="176"/>
        <v>4.4111111111111114</v>
      </c>
      <c r="K120" s="140">
        <f t="shared" si="176"/>
        <v>4.9111111111111114</v>
      </c>
      <c r="L120" s="140">
        <f t="shared" si="176"/>
        <v>5.4083333333333332</v>
      </c>
      <c r="M120" s="140">
        <f t="shared" si="176"/>
        <v>5.9111111111111114</v>
      </c>
      <c r="N120" s="140">
        <f t="shared" si="176"/>
        <v>6.4083333333333332</v>
      </c>
      <c r="O120" s="140">
        <f t="shared" si="176"/>
        <v>6.9111111111111114</v>
      </c>
      <c r="P120" s="140">
        <f t="shared" si="176"/>
        <v>7.4083333333333332</v>
      </c>
      <c r="Q120" s="140">
        <f t="shared" si="176"/>
        <v>7.9111111111111114</v>
      </c>
      <c r="R120" s="140">
        <f t="shared" si="176"/>
        <v>8.4083333333333332</v>
      </c>
      <c r="S120" s="140">
        <f t="shared" si="176"/>
        <v>8.9083333333333332</v>
      </c>
      <c r="T120" s="140">
        <f t="shared" si="176"/>
        <v>9.405555555555555</v>
      </c>
      <c r="U120" s="140">
        <f t="shared" si="176"/>
        <v>9.9083333333333332</v>
      </c>
      <c r="V120" s="140">
        <f t="shared" si="176"/>
        <v>10.405555555555555</v>
      </c>
      <c r="W120" s="140">
        <f t="shared" si="176"/>
        <v>10.908333333333333</v>
      </c>
      <c r="X120" s="140">
        <f t="shared" si="176"/>
        <v>11.405555555555555</v>
      </c>
      <c r="Y120" s="140">
        <f t="shared" si="176"/>
        <v>11.908333333333333</v>
      </c>
      <c r="Z120" s="140">
        <f t="shared" si="176"/>
        <v>12.405555555555555</v>
      </c>
      <c r="AA120" s="140">
        <f t="shared" si="176"/>
        <v>12.905555555555555</v>
      </c>
      <c r="AB120" s="140">
        <f t="shared" si="176"/>
        <v>13.402777777777779</v>
      </c>
      <c r="AC120" s="140">
        <f t="shared" si="176"/>
        <v>13.905555555555555</v>
      </c>
      <c r="AD120" s="140">
        <f t="shared" si="176"/>
        <v>14.402777777777779</v>
      </c>
      <c r="AE120" s="140">
        <f t="shared" si="176"/>
        <v>14.905555555555555</v>
      </c>
      <c r="AF120" s="140">
        <f t="shared" si="176"/>
        <v>15.402777777777779</v>
      </c>
      <c r="AG120" s="140">
        <f t="shared" si="176"/>
        <v>15.905555555555555</v>
      </c>
      <c r="AH120" s="140">
        <f t="shared" si="176"/>
        <v>16.402777777777779</v>
      </c>
      <c r="AI120" s="140">
        <f t="shared" si="176"/>
        <v>16.902777777777779</v>
      </c>
      <c r="AJ120" s="140">
        <f t="shared" si="176"/>
        <v>17.399999999999999</v>
      </c>
      <c r="AK120" s="140">
        <f t="shared" si="176"/>
        <v>17.902777777777779</v>
      </c>
      <c r="AL120" s="140">
        <f t="shared" si="176"/>
        <v>18.399999999999999</v>
      </c>
      <c r="AM120" s="140">
        <f t="shared" si="176"/>
        <v>18.902777777777779</v>
      </c>
      <c r="AN120" s="140">
        <f t="shared" si="176"/>
        <v>19.399999999999999</v>
      </c>
      <c r="AO120" s="140">
        <f t="shared" si="176"/>
        <v>19.902777777777779</v>
      </c>
      <c r="AP120" s="140">
        <f t="shared" si="176"/>
        <v>20.399999999999999</v>
      </c>
      <c r="AQ120" s="140">
        <f t="shared" si="176"/>
        <v>20.9</v>
      </c>
      <c r="AR120" s="140">
        <f t="shared" si="176"/>
        <v>21.397222222222222</v>
      </c>
      <c r="AS120" s="140">
        <f t="shared" si="176"/>
        <v>21.9</v>
      </c>
      <c r="AT120" s="140">
        <f t="shared" si="176"/>
        <v>22.397222222222222</v>
      </c>
      <c r="AU120" s="140">
        <f t="shared" si="176"/>
        <v>22.9</v>
      </c>
      <c r="AV120" s="140">
        <f t="shared" si="176"/>
        <v>23.397222222222222</v>
      </c>
      <c r="AW120" s="140">
        <f t="shared" si="176"/>
        <v>23.9</v>
      </c>
      <c r="AX120" s="140">
        <f t="shared" si="176"/>
        <v>24.397222222222222</v>
      </c>
      <c r="AY120" s="140">
        <f t="shared" si="176"/>
        <v>24.897222222222222</v>
      </c>
      <c r="AZ120" s="140">
        <f t="shared" si="176"/>
        <v>25.394444444444446</v>
      </c>
      <c r="BA120" s="140">
        <f t="shared" si="176"/>
        <v>25.897222222222222</v>
      </c>
      <c r="BB120" s="140">
        <f t="shared" si="176"/>
        <v>26.394444444444446</v>
      </c>
      <c r="BC120" s="140">
        <f t="shared" si="176"/>
        <v>26.897222222222222</v>
      </c>
      <c r="BD120" s="140">
        <f t="shared" si="176"/>
        <v>27.394444444444446</v>
      </c>
      <c r="BE120" s="140">
        <f t="shared" si="176"/>
        <v>27.897222222222222</v>
      </c>
      <c r="BF120" s="140">
        <f t="shared" si="176"/>
        <v>28.394444444444446</v>
      </c>
      <c r="BG120" s="140">
        <f t="shared" si="176"/>
        <v>28.894444444444446</v>
      </c>
      <c r="BH120" s="140">
        <f t="shared" si="176"/>
        <v>29.391666666666666</v>
      </c>
      <c r="BI120" s="140">
        <f t="shared" si="176"/>
        <v>29.894444444444446</v>
      </c>
      <c r="BJ120" s="140">
        <f t="shared" si="176"/>
        <v>30.391666666666666</v>
      </c>
      <c r="BK120" s="140">
        <f t="shared" si="176"/>
        <v>30.894444444444446</v>
      </c>
      <c r="BL120" s="140">
        <f t="shared" si="176"/>
        <v>31.391666666666666</v>
      </c>
      <c r="BM120" s="140">
        <f t="shared" si="176"/>
        <v>31.894444444444446</v>
      </c>
      <c r="BN120" s="140">
        <f t="shared" si="176"/>
        <v>32.391666666666666</v>
      </c>
      <c r="BO120" s="140">
        <f t="shared" ref="BO120:CB120" si="177">BO119/360</f>
        <v>32.891666666666666</v>
      </c>
      <c r="BP120" s="140">
        <f t="shared" si="177"/>
        <v>33.388888888888886</v>
      </c>
      <c r="BQ120" s="140">
        <f t="shared" si="177"/>
        <v>33.891666666666666</v>
      </c>
      <c r="BR120" s="140">
        <f t="shared" si="177"/>
        <v>34.388888888888886</v>
      </c>
      <c r="BS120" s="140">
        <f t="shared" si="177"/>
        <v>34.891666666666666</v>
      </c>
      <c r="BT120" s="140">
        <f t="shared" si="177"/>
        <v>35.388888888888886</v>
      </c>
      <c r="BU120" s="140">
        <f t="shared" si="177"/>
        <v>35.891666666666666</v>
      </c>
      <c r="BV120" s="140">
        <f t="shared" si="177"/>
        <v>36.388888888888886</v>
      </c>
      <c r="BW120" s="140">
        <f t="shared" si="177"/>
        <v>36.888888888888886</v>
      </c>
      <c r="BX120" s="140">
        <f t="shared" si="177"/>
        <v>37.386111111111113</v>
      </c>
      <c r="BY120" s="140">
        <f t="shared" si="177"/>
        <v>37.888888888888886</v>
      </c>
      <c r="BZ120" s="140">
        <f t="shared" si="177"/>
        <v>38.386111111111113</v>
      </c>
      <c r="CA120" s="140">
        <f t="shared" si="177"/>
        <v>38.888888888888886</v>
      </c>
      <c r="CB120" s="140">
        <f t="shared" si="177"/>
        <v>39.386111111111113</v>
      </c>
      <c r="CC120" s="17"/>
      <c r="CD120" s="17"/>
      <c r="CE120" s="17"/>
    </row>
    <row r="121" spans="1:83">
      <c r="A121" s="16" t="s">
        <v>43</v>
      </c>
      <c r="B121" s="140">
        <f>IF(B119&lt;0,0,$B$5+$B$6*((1-EXP(-B120/$B$9))/(B120/$B$9))+$B$7*((1-EXP(-B120/$B$9))/(B120/$B$9)-EXP(-B120/$B$9))+$B$8*((1-EXP(-B120/$B$10))/(B120/$B$10)-EXP(-B120/$B$10)))</f>
        <v>1.3657224885426195E-2</v>
      </c>
      <c r="C121" s="140">
        <f t="shared" ref="C121:BN121" si="178">IF(C119&lt;0,0,$B$5+$B$6*((1-EXP(-C120/$B$9))/(C120/$B$9))+$B$7*((1-EXP(-C120/$B$9))/(C120/$B$9)-EXP(-C120/$B$9))+$B$8*((1-EXP(-C120/$B$10))/(C120/$B$10)-EXP(-C120/$B$10)))</f>
        <v>1.3751028517127274E-2</v>
      </c>
      <c r="D121" s="140">
        <f t="shared" si="178"/>
        <v>1.3843070613652187E-2</v>
      </c>
      <c r="E121" s="140">
        <f t="shared" si="178"/>
        <v>1.3934898001429543E-2</v>
      </c>
      <c r="F121" s="140">
        <f t="shared" si="178"/>
        <v>1.4024495658803732E-2</v>
      </c>
      <c r="G121" s="140">
        <f t="shared" si="178"/>
        <v>1.411388015020975E-2</v>
      </c>
      <c r="H121" s="140">
        <f t="shared" si="178"/>
        <v>1.420109015746677E-2</v>
      </c>
      <c r="I121" s="140">
        <f t="shared" si="178"/>
        <v>1.4288088604889065E-2</v>
      </c>
      <c r="J121" s="140">
        <f t="shared" si="178"/>
        <v>1.4372966626467833E-2</v>
      </c>
      <c r="K121" s="140">
        <f t="shared" si="178"/>
        <v>1.445717015015913E-2</v>
      </c>
      <c r="L121" s="140">
        <f t="shared" si="178"/>
        <v>1.4539776997801538E-2</v>
      </c>
      <c r="M121" s="140">
        <f t="shared" si="178"/>
        <v>1.4622175674039801E-2</v>
      </c>
      <c r="N121" s="140">
        <f t="shared" si="178"/>
        <v>1.4702558424809326E-2</v>
      </c>
      <c r="O121" s="140">
        <f t="shared" si="178"/>
        <v>1.4782734786810203E-2</v>
      </c>
      <c r="P121" s="140">
        <f t="shared" si="178"/>
        <v>1.4860945854596453E-2</v>
      </c>
      <c r="Q121" s="140">
        <f t="shared" si="178"/>
        <v>1.4938952370840596E-2</v>
      </c>
      <c r="R121" s="140">
        <f t="shared" si="178"/>
        <v>1.5015043123956654E-2</v>
      </c>
      <c r="S121" s="140">
        <f t="shared" si="178"/>
        <v>1.5090514829254184E-2</v>
      </c>
      <c r="T121" s="140">
        <f t="shared" si="178"/>
        <v>1.5164541290504039E-2</v>
      </c>
      <c r="U121" s="140">
        <f t="shared" si="178"/>
        <v>1.5238367024752853E-2</v>
      </c>
      <c r="V121" s="140">
        <f t="shared" si="178"/>
        <v>1.5310372710980444E-2</v>
      </c>
      <c r="W121" s="140">
        <f t="shared" si="178"/>
        <v>1.5382179658850872E-2</v>
      </c>
      <c r="X121" s="140">
        <f t="shared" si="178"/>
        <v>1.5452212916675276E-2</v>
      </c>
      <c r="Y121" s="140">
        <f t="shared" si="178"/>
        <v>1.5522049471387959E-2</v>
      </c>
      <c r="Z121" s="140">
        <f t="shared" si="178"/>
        <v>1.5590157675616199E-2</v>
      </c>
      <c r="AA121" s="140">
        <f t="shared" si="178"/>
        <v>1.5657698661956071E-2</v>
      </c>
      <c r="AB121" s="140">
        <f t="shared" si="178"/>
        <v>1.572393338825346E-2</v>
      </c>
      <c r="AC121" s="140">
        <f t="shared" si="178"/>
        <v>1.5789975608284008E-2</v>
      </c>
      <c r="AD121" s="140">
        <f t="shared" si="178"/>
        <v>1.585437706048503E-2</v>
      </c>
      <c r="AE121" s="140">
        <f t="shared" si="178"/>
        <v>1.5918588170221872E-2</v>
      </c>
      <c r="AF121" s="140">
        <f t="shared" si="178"/>
        <v>1.5981200915054221E-2</v>
      </c>
      <c r="AG121" s="140">
        <f t="shared" si="178"/>
        <v>1.6043625520550928E-2</v>
      </c>
      <c r="AH121" s="140">
        <f t="shared" si="178"/>
        <v>1.6104493221775519E-2</v>
      </c>
      <c r="AI121" s="140">
        <f t="shared" si="178"/>
        <v>1.6164842138341535E-2</v>
      </c>
      <c r="AJ121" s="140">
        <f t="shared" si="178"/>
        <v>1.6224012243320242E-2</v>
      </c>
      <c r="AK121" s="140">
        <f t="shared" si="178"/>
        <v>1.6282998720005343E-2</v>
      </c>
      <c r="AL121" s="140">
        <f t="shared" si="178"/>
        <v>1.6340508350463873E-2</v>
      </c>
      <c r="AM121" s="140">
        <f t="shared" si="178"/>
        <v>1.6397836663512522E-2</v>
      </c>
      <c r="AN121" s="140">
        <f t="shared" si="178"/>
        <v>1.6453726874485396E-2</v>
      </c>
      <c r="AO121" s="140">
        <f t="shared" si="178"/>
        <v>1.6509438111642072E-2</v>
      </c>
      <c r="AP121" s="140">
        <f t="shared" si="178"/>
        <v>1.6563749119440176E-2</v>
      </c>
      <c r="AQ121" s="140">
        <f t="shared" si="178"/>
        <v>1.6617586589050697E-2</v>
      </c>
      <c r="AR121" s="140">
        <f t="shared" si="178"/>
        <v>1.6670362010087959E-2</v>
      </c>
      <c r="AS121" s="140">
        <f t="shared" si="178"/>
        <v>1.6722963229714019E-2</v>
      </c>
      <c r="AT121" s="140">
        <f t="shared" si="178"/>
        <v>1.6774237319239084E-2</v>
      </c>
      <c r="AU121" s="140">
        <f t="shared" si="178"/>
        <v>1.6825339639802307E-2</v>
      </c>
      <c r="AV121" s="140">
        <f t="shared" si="178"/>
        <v>1.6875150191408644E-2</v>
      </c>
      <c r="AW121" s="140">
        <f t="shared" si="178"/>
        <v>1.6924791433206774E-2</v>
      </c>
      <c r="AX121" s="140">
        <f t="shared" si="178"/>
        <v>1.6973175461701896E-2</v>
      </c>
      <c r="AY121" s="140">
        <f t="shared" si="178"/>
        <v>1.7021128208973064E-2</v>
      </c>
      <c r="AZ121" s="140">
        <f t="shared" si="178"/>
        <v>1.7068125777088852E-2</v>
      </c>
      <c r="BA121" s="140">
        <f t="shared" si="178"/>
        <v>1.71149590212012E-2</v>
      </c>
      <c r="BB121" s="140">
        <f t="shared" si="178"/>
        <v>1.7160601719047722E-2</v>
      </c>
      <c r="BC121" s="140">
        <f t="shared" si="178"/>
        <v>1.7206082623758223E-2</v>
      </c>
      <c r="BD121" s="140">
        <f t="shared" si="178"/>
        <v>1.7250405216950829E-2</v>
      </c>
      <c r="BE121" s="140">
        <f t="shared" si="178"/>
        <v>1.7294568569136783E-2</v>
      </c>
      <c r="BF121" s="140">
        <f t="shared" si="178"/>
        <v>1.7337605100414058E-2</v>
      </c>
      <c r="BG121" s="140">
        <f t="shared" si="178"/>
        <v>1.7380249803243885E-2</v>
      </c>
      <c r="BH121" s="140">
        <f t="shared" si="178"/>
        <v>1.742203704013514E-2</v>
      </c>
      <c r="BI121" s="140">
        <f t="shared" si="178"/>
        <v>1.7463670191760899E-2</v>
      </c>
      <c r="BJ121" s="140">
        <f t="shared" si="178"/>
        <v>1.7504237247198583E-2</v>
      </c>
      <c r="BK121" s="140">
        <f t="shared" si="178"/>
        <v>1.7544652825695044E-2</v>
      </c>
      <c r="BL121" s="140">
        <f t="shared" si="178"/>
        <v>1.7584031655073159E-2</v>
      </c>
      <c r="BM121" s="140">
        <f t="shared" si="178"/>
        <v>1.7623261632174144E-2</v>
      </c>
      <c r="BN121" s="140">
        <f t="shared" si="178"/>
        <v>1.7661483520151382E-2</v>
      </c>
      <c r="BO121" s="140">
        <f t="shared" ref="BO121:CB121" si="179">IF(BO119&lt;0,0,$B$5+$B$6*((1-EXP(-BO120/$B$9))/(BO120/$B$9))+$B$7*((1-EXP(-BO120/$B$9))/(BO120/$B$9)-EXP(-BO120/$B$9))+$B$8*((1-EXP(-BO120/$B$10))/(BO120/$B$10)-EXP(-BO120/$B$10)))</f>
        <v>1.7699350402373592E-2</v>
      </c>
      <c r="BP121" s="140">
        <f t="shared" si="179"/>
        <v>1.7736449062190331E-2</v>
      </c>
      <c r="BQ121" s="140">
        <f t="shared" si="179"/>
        <v>1.7773404156097853E-2</v>
      </c>
      <c r="BR121" s="140">
        <f t="shared" si="179"/>
        <v>1.7809406398950269E-2</v>
      </c>
      <c r="BS121" s="140">
        <f t="shared" si="179"/>
        <v>1.7845267742730996E-2</v>
      </c>
      <c r="BT121" s="140">
        <f t="shared" si="179"/>
        <v>1.7880202916858202E-2</v>
      </c>
      <c r="BU121" s="140">
        <f t="shared" si="179"/>
        <v>1.7914999870648974E-2</v>
      </c>
      <c r="BV121" s="140">
        <f t="shared" si="179"/>
        <v>1.7948896702172503E-2</v>
      </c>
      <c r="BW121" s="140">
        <f t="shared" si="179"/>
        <v>1.7982472884105802E-2</v>
      </c>
      <c r="BX121" s="140">
        <f t="shared" si="179"/>
        <v>1.8015362256468801E-2</v>
      </c>
      <c r="BY121" s="140">
        <f t="shared" si="179"/>
        <v>1.8048118790011895E-2</v>
      </c>
      <c r="BZ121" s="140">
        <f t="shared" si="179"/>
        <v>1.8080025376399283E-2</v>
      </c>
      <c r="CA121" s="140">
        <f t="shared" si="179"/>
        <v>1.8111801832235368E-2</v>
      </c>
      <c r="CB121" s="140">
        <f t="shared" si="179"/>
        <v>1.8142752563059698E-2</v>
      </c>
      <c r="CC121" s="17"/>
      <c r="CD121" s="17"/>
      <c r="CE121" s="17"/>
    </row>
    <row r="122" spans="1:83">
      <c r="A122" s="16" t="s">
        <v>44</v>
      </c>
      <c r="B122" s="140">
        <f>EXP(-B121*B120)</f>
        <v>0.99436337210224257</v>
      </c>
      <c r="C122" s="140">
        <f t="shared" ref="C122:AR122" si="180">EXP(-C121*C120)</f>
        <v>0.98751172172840351</v>
      </c>
      <c r="D122" s="140">
        <f t="shared" si="180"/>
        <v>0.9806554437207381</v>
      </c>
      <c r="E122" s="140">
        <f t="shared" si="180"/>
        <v>0.97368265324568581</v>
      </c>
      <c r="F122" s="140">
        <f t="shared" si="180"/>
        <v>0.9667507068724478</v>
      </c>
      <c r="G122" s="140">
        <f t="shared" si="180"/>
        <v>0.9597079317706938</v>
      </c>
      <c r="H122" s="140">
        <f t="shared" si="180"/>
        <v>0.95271307479530409</v>
      </c>
      <c r="I122" s="140">
        <f t="shared" si="180"/>
        <v>0.94561289910851531</v>
      </c>
      <c r="J122" s="140">
        <f t="shared" si="180"/>
        <v>0.93856726486489461</v>
      </c>
      <c r="K122" s="140">
        <f t="shared" si="180"/>
        <v>0.93146117587123789</v>
      </c>
      <c r="L122" s="140">
        <f t="shared" si="180"/>
        <v>0.92437637262452599</v>
      </c>
      <c r="M122" s="140">
        <f t="shared" si="180"/>
        <v>0.91719671909245604</v>
      </c>
      <c r="N122" s="140">
        <f t="shared" si="180"/>
        <v>0.91008352748454635</v>
      </c>
      <c r="O122" s="140">
        <f t="shared" si="180"/>
        <v>0.9028804533574466</v>
      </c>
      <c r="P122" s="140">
        <f t="shared" si="180"/>
        <v>0.89574917793262698</v>
      </c>
      <c r="Q122" s="140">
        <f t="shared" si="180"/>
        <v>0.8885328034019101</v>
      </c>
      <c r="R122" s="140">
        <f t="shared" si="180"/>
        <v>0.88139315945791841</v>
      </c>
      <c r="S122" s="140">
        <f t="shared" si="180"/>
        <v>0.87421290353403114</v>
      </c>
      <c r="T122" s="140">
        <f t="shared" si="180"/>
        <v>0.86707401601808765</v>
      </c>
      <c r="U122" s="140">
        <f t="shared" si="180"/>
        <v>0.8598590315807918</v>
      </c>
      <c r="V122" s="140">
        <f t="shared" si="180"/>
        <v>0.8527294693213352</v>
      </c>
      <c r="W122" s="140">
        <f t="shared" si="180"/>
        <v>0.84552804361298073</v>
      </c>
      <c r="X122" s="140">
        <f t="shared" si="180"/>
        <v>0.83841583965343935</v>
      </c>
      <c r="Y122" s="140">
        <f t="shared" si="180"/>
        <v>0.83123582555466002</v>
      </c>
      <c r="Z122" s="140">
        <f t="shared" si="180"/>
        <v>0.82414848326873835</v>
      </c>
      <c r="AA122" s="140">
        <f t="shared" si="180"/>
        <v>0.81703667118831946</v>
      </c>
      <c r="AB122" s="140">
        <f t="shared" si="180"/>
        <v>0.80998108374033495</v>
      </c>
      <c r="AC122" s="140">
        <f t="shared" si="180"/>
        <v>0.80286525344755766</v>
      </c>
      <c r="AD122" s="140">
        <f t="shared" si="180"/>
        <v>0.79584799724520716</v>
      </c>
      <c r="AE122" s="140">
        <f t="shared" si="180"/>
        <v>0.78877402946871311</v>
      </c>
      <c r="AF122" s="140">
        <f t="shared" si="180"/>
        <v>0.78180112525077505</v>
      </c>
      <c r="AG122" s="140">
        <f t="shared" si="180"/>
        <v>0.77477487396855615</v>
      </c>
      <c r="AH122" s="140">
        <f t="shared" si="180"/>
        <v>0.76785188420633199</v>
      </c>
      <c r="AI122" s="140">
        <f t="shared" si="180"/>
        <v>0.7609171975405683</v>
      </c>
      <c r="AJ122" s="140">
        <f t="shared" si="180"/>
        <v>0.75404908544473159</v>
      </c>
      <c r="AK122" s="140">
        <f t="shared" si="180"/>
        <v>0.74713386409123173</v>
      </c>
      <c r="AL122" s="140">
        <f t="shared" si="180"/>
        <v>0.74032547851776209</v>
      </c>
      <c r="AM122" s="140">
        <f t="shared" si="180"/>
        <v>0.73347287487382617</v>
      </c>
      <c r="AN122" s="140">
        <f t="shared" si="180"/>
        <v>0.72672851626351043</v>
      </c>
      <c r="AO122" s="140">
        <f t="shared" si="180"/>
        <v>0.71994268236162262</v>
      </c>
      <c r="AP122" s="140">
        <f t="shared" si="180"/>
        <v>0.71326626717265273</v>
      </c>
      <c r="AQ122" s="140">
        <f t="shared" si="180"/>
        <v>0.70658797684112729</v>
      </c>
      <c r="AR122" s="140">
        <f t="shared" si="180"/>
        <v>0.69998285264881843</v>
      </c>
      <c r="AS122" s="140">
        <f>EXP(-AS121*AS120)</f>
        <v>0.69334130686792328</v>
      </c>
      <c r="AT122" s="140">
        <f t="shared" ref="AT122:CA122" si="181">EXP(-AT121*AT120)</f>
        <v>0.68681087151983888</v>
      </c>
      <c r="AU122" s="140">
        <f t="shared" si="181"/>
        <v>0.68024634269149331</v>
      </c>
      <c r="AV122" s="140">
        <f t="shared" si="181"/>
        <v>0.67379347020074931</v>
      </c>
      <c r="AW122" s="140">
        <f t="shared" si="181"/>
        <v>0.66730870419714272</v>
      </c>
      <c r="AX122" s="140">
        <f t="shared" si="181"/>
        <v>0.66093595588758003</v>
      </c>
      <c r="AY122" s="140">
        <f t="shared" si="181"/>
        <v>0.65456864896088307</v>
      </c>
      <c r="AZ122" s="140">
        <f t="shared" si="181"/>
        <v>0.64827805864750598</v>
      </c>
      <c r="BA122" s="140">
        <f t="shared" si="181"/>
        <v>0.64195960547263031</v>
      </c>
      <c r="BB122" s="140">
        <f t="shared" si="181"/>
        <v>0.63575338599652009</v>
      </c>
      <c r="BC122" s="140">
        <f t="shared" si="181"/>
        <v>0.629521150039831</v>
      </c>
      <c r="BD122" s="140">
        <f t="shared" si="181"/>
        <v>0.6234010250505968</v>
      </c>
      <c r="BE122" s="140">
        <f t="shared" si="181"/>
        <v>0.61725662198375009</v>
      </c>
      <c r="BF122" s="140">
        <f t="shared" si="181"/>
        <v>0.61122406727231038</v>
      </c>
      <c r="BG122" s="140">
        <f t="shared" si="181"/>
        <v>0.60520219972294842</v>
      </c>
      <c r="BH122" s="140">
        <f t="shared" si="181"/>
        <v>0.5992582099787952</v>
      </c>
      <c r="BI122" s="140">
        <f t="shared" si="181"/>
        <v>0.59329311026890497</v>
      </c>
      <c r="BJ122" s="140">
        <f t="shared" si="181"/>
        <v>0.58743895563110549</v>
      </c>
      <c r="BK122" s="140">
        <f t="shared" si="181"/>
        <v>0.58156513455682635</v>
      </c>
      <c r="BL122" s="140">
        <f t="shared" si="181"/>
        <v>0.57580163552300512</v>
      </c>
      <c r="BM122" s="140">
        <f t="shared" si="181"/>
        <v>0.57001982442960042</v>
      </c>
      <c r="BN122" s="140">
        <f t="shared" si="181"/>
        <v>0.56434761029711389</v>
      </c>
      <c r="BO122" s="140">
        <f t="shared" si="181"/>
        <v>0.55868965792494907</v>
      </c>
      <c r="BP122" s="140">
        <f t="shared" si="181"/>
        <v>0.55310892431870129</v>
      </c>
      <c r="BQ122" s="140">
        <f t="shared" si="181"/>
        <v>0.54751233427426638</v>
      </c>
      <c r="BR122" s="140">
        <f t="shared" si="181"/>
        <v>0.54202362071855081</v>
      </c>
      <c r="BS122" s="140">
        <f t="shared" si="181"/>
        <v>0.53652016379499834</v>
      </c>
      <c r="BT122" s="140">
        <f t="shared" si="181"/>
        <v>0.53112360113102042</v>
      </c>
      <c r="BU122" s="140">
        <f t="shared" si="181"/>
        <v>0.52571333584603708</v>
      </c>
      <c r="BV122" s="140">
        <f t="shared" si="181"/>
        <v>0.52040891170268189</v>
      </c>
      <c r="BW122" s="140">
        <f t="shared" si="181"/>
        <v>0.51512100530040195</v>
      </c>
      <c r="BX122" s="140">
        <f t="shared" si="181"/>
        <v>0.50990831954210192</v>
      </c>
      <c r="BY122" s="140">
        <f t="shared" si="181"/>
        <v>0.50468380854886741</v>
      </c>
      <c r="BZ122" s="140">
        <f t="shared" si="181"/>
        <v>0.49956284999647149</v>
      </c>
      <c r="CA122" s="140">
        <f t="shared" si="181"/>
        <v>0.49443091273670048</v>
      </c>
      <c r="CB122" s="140">
        <f>EXP(-CB121*CB120)</f>
        <v>0.48940130164104817</v>
      </c>
      <c r="CC122" s="17"/>
      <c r="CD122" s="17"/>
      <c r="CE122" s="17"/>
    </row>
    <row r="123" spans="1:83">
      <c r="A123" s="17"/>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17"/>
      <c r="CD123" s="17"/>
      <c r="CE123" s="17"/>
    </row>
    <row r="124" spans="1:83">
      <c r="A124" s="16" t="s">
        <v>40</v>
      </c>
      <c r="B124" s="140">
        <f t="shared" ref="B124:BM124" si="182">DAYS360($B$3,B46)</f>
        <v>149</v>
      </c>
      <c r="C124" s="140">
        <f t="shared" si="182"/>
        <v>329</v>
      </c>
      <c r="D124" s="140">
        <f t="shared" si="182"/>
        <v>508</v>
      </c>
      <c r="E124" s="140">
        <f t="shared" si="182"/>
        <v>689</v>
      </c>
      <c r="F124" s="140">
        <f t="shared" si="182"/>
        <v>868</v>
      </c>
      <c r="G124" s="140">
        <f t="shared" si="182"/>
        <v>1049</v>
      </c>
      <c r="H124" s="140">
        <f t="shared" si="182"/>
        <v>1228</v>
      </c>
      <c r="I124" s="140">
        <f t="shared" si="182"/>
        <v>1409</v>
      </c>
      <c r="J124" s="140">
        <f t="shared" si="182"/>
        <v>1588</v>
      </c>
      <c r="K124" s="140">
        <f t="shared" si="182"/>
        <v>1768</v>
      </c>
      <c r="L124" s="140">
        <f t="shared" si="182"/>
        <v>1947</v>
      </c>
      <c r="M124" s="140">
        <f t="shared" si="182"/>
        <v>2128</v>
      </c>
      <c r="N124" s="140">
        <f t="shared" si="182"/>
        <v>2307</v>
      </c>
      <c r="O124" s="140">
        <f t="shared" si="182"/>
        <v>2488</v>
      </c>
      <c r="P124" s="140">
        <f t="shared" si="182"/>
        <v>2667</v>
      </c>
      <c r="Q124" s="140">
        <f t="shared" si="182"/>
        <v>2848</v>
      </c>
      <c r="R124" s="140">
        <f t="shared" si="182"/>
        <v>3027</v>
      </c>
      <c r="S124" s="140">
        <f t="shared" si="182"/>
        <v>3207</v>
      </c>
      <c r="T124" s="140">
        <f t="shared" si="182"/>
        <v>3386</v>
      </c>
      <c r="U124" s="140">
        <f t="shared" si="182"/>
        <v>3567</v>
      </c>
      <c r="V124" s="140">
        <f t="shared" si="182"/>
        <v>3746</v>
      </c>
      <c r="W124" s="140">
        <f t="shared" si="182"/>
        <v>3927</v>
      </c>
      <c r="X124" s="140">
        <f t="shared" si="182"/>
        <v>4106</v>
      </c>
      <c r="Y124" s="140">
        <f t="shared" si="182"/>
        <v>4287</v>
      </c>
      <c r="Z124" s="140">
        <f t="shared" si="182"/>
        <v>4466</v>
      </c>
      <c r="AA124" s="140">
        <f t="shared" si="182"/>
        <v>4646</v>
      </c>
      <c r="AB124" s="140">
        <f t="shared" si="182"/>
        <v>4825</v>
      </c>
      <c r="AC124" s="140">
        <f t="shared" si="182"/>
        <v>5006</v>
      </c>
      <c r="AD124" s="140">
        <f t="shared" si="182"/>
        <v>5185</v>
      </c>
      <c r="AE124" s="140">
        <f t="shared" si="182"/>
        <v>5366</v>
      </c>
      <c r="AF124" s="140">
        <f t="shared" si="182"/>
        <v>5545</v>
      </c>
      <c r="AG124" s="140">
        <f t="shared" si="182"/>
        <v>5726</v>
      </c>
      <c r="AH124" s="140">
        <f t="shared" si="182"/>
        <v>5905</v>
      </c>
      <c r="AI124" s="140">
        <f t="shared" si="182"/>
        <v>6085</v>
      </c>
      <c r="AJ124" s="140">
        <f t="shared" si="182"/>
        <v>6264</v>
      </c>
      <c r="AK124" s="140">
        <f t="shared" si="182"/>
        <v>6445</v>
      </c>
      <c r="AL124" s="140">
        <f t="shared" si="182"/>
        <v>6624</v>
      </c>
      <c r="AM124" s="140">
        <f t="shared" si="182"/>
        <v>6805</v>
      </c>
      <c r="AN124" s="140">
        <f t="shared" si="182"/>
        <v>6984</v>
      </c>
      <c r="AO124" s="140">
        <f t="shared" si="182"/>
        <v>7165</v>
      </c>
      <c r="AP124" s="140">
        <f t="shared" si="182"/>
        <v>7344</v>
      </c>
      <c r="AQ124" s="140">
        <f t="shared" si="182"/>
        <v>7524</v>
      </c>
      <c r="AR124" s="140">
        <f t="shared" si="182"/>
        <v>7703</v>
      </c>
      <c r="AS124" s="140">
        <f t="shared" si="182"/>
        <v>7884</v>
      </c>
      <c r="AT124" s="140">
        <f t="shared" si="182"/>
        <v>8063</v>
      </c>
      <c r="AU124" s="140">
        <f t="shared" si="182"/>
        <v>8244</v>
      </c>
      <c r="AV124" s="140">
        <f t="shared" si="182"/>
        <v>8423</v>
      </c>
      <c r="AW124" s="140">
        <f t="shared" si="182"/>
        <v>8604</v>
      </c>
      <c r="AX124" s="140">
        <f t="shared" si="182"/>
        <v>8783</v>
      </c>
      <c r="AY124" s="140">
        <f t="shared" si="182"/>
        <v>8963</v>
      </c>
      <c r="AZ124" s="140">
        <f t="shared" si="182"/>
        <v>9142</v>
      </c>
      <c r="BA124" s="140">
        <f t="shared" si="182"/>
        <v>9323</v>
      </c>
      <c r="BB124" s="140">
        <f t="shared" si="182"/>
        <v>9502</v>
      </c>
      <c r="BC124" s="140">
        <f t="shared" si="182"/>
        <v>9683</v>
      </c>
      <c r="BD124" s="140">
        <f t="shared" si="182"/>
        <v>9862</v>
      </c>
      <c r="BE124" s="140">
        <f t="shared" si="182"/>
        <v>10043</v>
      </c>
      <c r="BF124" s="140">
        <f t="shared" si="182"/>
        <v>10222</v>
      </c>
      <c r="BG124" s="140">
        <f t="shared" si="182"/>
        <v>10402</v>
      </c>
      <c r="BH124" s="140">
        <f t="shared" si="182"/>
        <v>10581</v>
      </c>
      <c r="BI124" s="140">
        <f t="shared" si="182"/>
        <v>10762</v>
      </c>
      <c r="BJ124" s="140">
        <f t="shared" si="182"/>
        <v>10941</v>
      </c>
      <c r="BK124" s="140">
        <f t="shared" si="182"/>
        <v>11122</v>
      </c>
      <c r="BL124" s="140">
        <f t="shared" si="182"/>
        <v>11301</v>
      </c>
      <c r="BM124" s="140">
        <f t="shared" si="182"/>
        <v>11482</v>
      </c>
      <c r="BN124" s="140">
        <f t="shared" ref="BN124:CB124" si="183">DAYS360($B$3,BN46)</f>
        <v>11661</v>
      </c>
      <c r="BO124" s="140">
        <f t="shared" si="183"/>
        <v>11841</v>
      </c>
      <c r="BP124" s="140">
        <f t="shared" si="183"/>
        <v>12020</v>
      </c>
      <c r="BQ124" s="140">
        <f t="shared" si="183"/>
        <v>12201</v>
      </c>
      <c r="BR124" s="140">
        <f t="shared" si="183"/>
        <v>12380</v>
      </c>
      <c r="BS124" s="140">
        <f t="shared" si="183"/>
        <v>12561</v>
      </c>
      <c r="BT124" s="140">
        <f t="shared" si="183"/>
        <v>12740</v>
      </c>
      <c r="BU124" s="140">
        <f t="shared" si="183"/>
        <v>12921</v>
      </c>
      <c r="BV124" s="140">
        <f t="shared" si="183"/>
        <v>13100</v>
      </c>
      <c r="BW124" s="140">
        <f t="shared" si="183"/>
        <v>13280</v>
      </c>
      <c r="BX124" s="140">
        <f t="shared" si="183"/>
        <v>13459</v>
      </c>
      <c r="BY124" s="140">
        <f t="shared" si="183"/>
        <v>13640</v>
      </c>
      <c r="BZ124" s="140">
        <f t="shared" si="183"/>
        <v>13819</v>
      </c>
      <c r="CA124" s="140">
        <f t="shared" si="183"/>
        <v>14000</v>
      </c>
      <c r="CB124" s="140">
        <f t="shared" si="183"/>
        <v>14179</v>
      </c>
      <c r="CC124" s="17"/>
      <c r="CD124" s="17"/>
      <c r="CE124" s="17"/>
    </row>
    <row r="125" spans="1:83">
      <c r="A125" s="16" t="s">
        <v>41</v>
      </c>
      <c r="B125" s="140">
        <f>B124/360</f>
        <v>0.41388888888888886</v>
      </c>
      <c r="C125" s="140">
        <f t="shared" ref="C125:BN125" si="184">C124/360</f>
        <v>0.91388888888888886</v>
      </c>
      <c r="D125" s="140">
        <f t="shared" si="184"/>
        <v>1.4111111111111112</v>
      </c>
      <c r="E125" s="140">
        <f t="shared" si="184"/>
        <v>1.913888888888889</v>
      </c>
      <c r="F125" s="140">
        <f t="shared" si="184"/>
        <v>2.411111111111111</v>
      </c>
      <c r="G125" s="140">
        <f t="shared" si="184"/>
        <v>2.9138888888888888</v>
      </c>
      <c r="H125" s="140">
        <f t="shared" si="184"/>
        <v>3.411111111111111</v>
      </c>
      <c r="I125" s="140">
        <f t="shared" si="184"/>
        <v>3.9138888888888888</v>
      </c>
      <c r="J125" s="140">
        <f t="shared" si="184"/>
        <v>4.4111111111111114</v>
      </c>
      <c r="K125" s="140">
        <f t="shared" si="184"/>
        <v>4.9111111111111114</v>
      </c>
      <c r="L125" s="140">
        <f t="shared" si="184"/>
        <v>5.4083333333333332</v>
      </c>
      <c r="M125" s="140">
        <f t="shared" si="184"/>
        <v>5.9111111111111114</v>
      </c>
      <c r="N125" s="140">
        <f t="shared" si="184"/>
        <v>6.4083333333333332</v>
      </c>
      <c r="O125" s="140">
        <f t="shared" si="184"/>
        <v>6.9111111111111114</v>
      </c>
      <c r="P125" s="140">
        <f t="shared" si="184"/>
        <v>7.4083333333333332</v>
      </c>
      <c r="Q125" s="140">
        <f t="shared" si="184"/>
        <v>7.9111111111111114</v>
      </c>
      <c r="R125" s="140">
        <f t="shared" si="184"/>
        <v>8.4083333333333332</v>
      </c>
      <c r="S125" s="140">
        <f t="shared" si="184"/>
        <v>8.9083333333333332</v>
      </c>
      <c r="T125" s="140">
        <f t="shared" si="184"/>
        <v>9.405555555555555</v>
      </c>
      <c r="U125" s="140">
        <f t="shared" si="184"/>
        <v>9.9083333333333332</v>
      </c>
      <c r="V125" s="140">
        <f t="shared" si="184"/>
        <v>10.405555555555555</v>
      </c>
      <c r="W125" s="140">
        <f t="shared" si="184"/>
        <v>10.908333333333333</v>
      </c>
      <c r="X125" s="140">
        <f t="shared" si="184"/>
        <v>11.405555555555555</v>
      </c>
      <c r="Y125" s="140">
        <f t="shared" si="184"/>
        <v>11.908333333333333</v>
      </c>
      <c r="Z125" s="140">
        <f t="shared" si="184"/>
        <v>12.405555555555555</v>
      </c>
      <c r="AA125" s="140">
        <f t="shared" si="184"/>
        <v>12.905555555555555</v>
      </c>
      <c r="AB125" s="140">
        <f t="shared" si="184"/>
        <v>13.402777777777779</v>
      </c>
      <c r="AC125" s="140">
        <f t="shared" si="184"/>
        <v>13.905555555555555</v>
      </c>
      <c r="AD125" s="140">
        <f t="shared" si="184"/>
        <v>14.402777777777779</v>
      </c>
      <c r="AE125" s="140">
        <f t="shared" si="184"/>
        <v>14.905555555555555</v>
      </c>
      <c r="AF125" s="140">
        <f t="shared" si="184"/>
        <v>15.402777777777779</v>
      </c>
      <c r="AG125" s="140">
        <f t="shared" si="184"/>
        <v>15.905555555555555</v>
      </c>
      <c r="AH125" s="140">
        <f t="shared" si="184"/>
        <v>16.402777777777779</v>
      </c>
      <c r="AI125" s="140">
        <f t="shared" si="184"/>
        <v>16.902777777777779</v>
      </c>
      <c r="AJ125" s="140">
        <f t="shared" si="184"/>
        <v>17.399999999999999</v>
      </c>
      <c r="AK125" s="140">
        <f t="shared" si="184"/>
        <v>17.902777777777779</v>
      </c>
      <c r="AL125" s="140">
        <f t="shared" si="184"/>
        <v>18.399999999999999</v>
      </c>
      <c r="AM125" s="140">
        <f t="shared" si="184"/>
        <v>18.902777777777779</v>
      </c>
      <c r="AN125" s="140">
        <f t="shared" si="184"/>
        <v>19.399999999999999</v>
      </c>
      <c r="AO125" s="140">
        <f t="shared" si="184"/>
        <v>19.902777777777779</v>
      </c>
      <c r="AP125" s="140">
        <f t="shared" si="184"/>
        <v>20.399999999999999</v>
      </c>
      <c r="AQ125" s="140">
        <f t="shared" si="184"/>
        <v>20.9</v>
      </c>
      <c r="AR125" s="140">
        <f t="shared" si="184"/>
        <v>21.397222222222222</v>
      </c>
      <c r="AS125" s="140">
        <f t="shared" si="184"/>
        <v>21.9</v>
      </c>
      <c r="AT125" s="140">
        <f t="shared" si="184"/>
        <v>22.397222222222222</v>
      </c>
      <c r="AU125" s="140">
        <f t="shared" si="184"/>
        <v>22.9</v>
      </c>
      <c r="AV125" s="140">
        <f t="shared" si="184"/>
        <v>23.397222222222222</v>
      </c>
      <c r="AW125" s="140">
        <f t="shared" si="184"/>
        <v>23.9</v>
      </c>
      <c r="AX125" s="140">
        <f t="shared" si="184"/>
        <v>24.397222222222222</v>
      </c>
      <c r="AY125" s="140">
        <f t="shared" si="184"/>
        <v>24.897222222222222</v>
      </c>
      <c r="AZ125" s="140">
        <f t="shared" si="184"/>
        <v>25.394444444444446</v>
      </c>
      <c r="BA125" s="140">
        <f t="shared" si="184"/>
        <v>25.897222222222222</v>
      </c>
      <c r="BB125" s="140">
        <f t="shared" si="184"/>
        <v>26.394444444444446</v>
      </c>
      <c r="BC125" s="140">
        <f t="shared" si="184"/>
        <v>26.897222222222222</v>
      </c>
      <c r="BD125" s="140">
        <f t="shared" si="184"/>
        <v>27.394444444444446</v>
      </c>
      <c r="BE125" s="140">
        <f t="shared" si="184"/>
        <v>27.897222222222222</v>
      </c>
      <c r="BF125" s="140">
        <f t="shared" si="184"/>
        <v>28.394444444444446</v>
      </c>
      <c r="BG125" s="140">
        <f t="shared" si="184"/>
        <v>28.894444444444446</v>
      </c>
      <c r="BH125" s="140">
        <f t="shared" si="184"/>
        <v>29.391666666666666</v>
      </c>
      <c r="BI125" s="140">
        <f t="shared" si="184"/>
        <v>29.894444444444446</v>
      </c>
      <c r="BJ125" s="140">
        <f t="shared" si="184"/>
        <v>30.391666666666666</v>
      </c>
      <c r="BK125" s="140">
        <f t="shared" si="184"/>
        <v>30.894444444444446</v>
      </c>
      <c r="BL125" s="140">
        <f t="shared" si="184"/>
        <v>31.391666666666666</v>
      </c>
      <c r="BM125" s="140">
        <f t="shared" si="184"/>
        <v>31.894444444444446</v>
      </c>
      <c r="BN125" s="140">
        <f t="shared" si="184"/>
        <v>32.391666666666666</v>
      </c>
      <c r="BO125" s="140">
        <f t="shared" ref="BO125:CB125" si="185">BO124/360</f>
        <v>32.891666666666666</v>
      </c>
      <c r="BP125" s="140">
        <f t="shared" si="185"/>
        <v>33.388888888888886</v>
      </c>
      <c r="BQ125" s="140">
        <f t="shared" si="185"/>
        <v>33.891666666666666</v>
      </c>
      <c r="BR125" s="140">
        <f t="shared" si="185"/>
        <v>34.388888888888886</v>
      </c>
      <c r="BS125" s="140">
        <f t="shared" si="185"/>
        <v>34.891666666666666</v>
      </c>
      <c r="BT125" s="140">
        <f t="shared" si="185"/>
        <v>35.388888888888886</v>
      </c>
      <c r="BU125" s="140">
        <f t="shared" si="185"/>
        <v>35.891666666666666</v>
      </c>
      <c r="BV125" s="140">
        <f t="shared" si="185"/>
        <v>36.388888888888886</v>
      </c>
      <c r="BW125" s="140">
        <f t="shared" si="185"/>
        <v>36.888888888888886</v>
      </c>
      <c r="BX125" s="140">
        <f t="shared" si="185"/>
        <v>37.386111111111113</v>
      </c>
      <c r="BY125" s="140">
        <f t="shared" si="185"/>
        <v>37.888888888888886</v>
      </c>
      <c r="BZ125" s="140">
        <f t="shared" si="185"/>
        <v>38.386111111111113</v>
      </c>
      <c r="CA125" s="140">
        <f t="shared" si="185"/>
        <v>38.888888888888886</v>
      </c>
      <c r="CB125" s="140">
        <f t="shared" si="185"/>
        <v>39.386111111111113</v>
      </c>
      <c r="CC125" s="17"/>
      <c r="CD125" s="17"/>
      <c r="CE125" s="17"/>
    </row>
    <row r="126" spans="1:83">
      <c r="A126" s="16" t="s">
        <v>43</v>
      </c>
      <c r="B126" s="140">
        <f>IF(B124&lt;0,0,$B$5+$B$6*((1-EXP(-B125/$B$9))/(B125/$B$9))+$B$7*((1-EXP(-B125/$B$9))/(B125/$B$9)-EXP(-B125/$B$9))+$B$8*((1-EXP(-B125/$B$10))/(B125/$B$10)-EXP(-B125/$B$10)))</f>
        <v>1.3657224885426195E-2</v>
      </c>
      <c r="C126" s="140">
        <f t="shared" ref="C126:BN126" si="186">IF(C124&lt;0,0,$B$5+$B$6*((1-EXP(-C125/$B$9))/(C125/$B$9))+$B$7*((1-EXP(-C125/$B$9))/(C125/$B$9)-EXP(-C125/$B$9))+$B$8*((1-EXP(-C125/$B$10))/(C125/$B$10)-EXP(-C125/$B$10)))</f>
        <v>1.3751028517127274E-2</v>
      </c>
      <c r="D126" s="140">
        <f t="shared" si="186"/>
        <v>1.3843070613652187E-2</v>
      </c>
      <c r="E126" s="140">
        <f t="shared" si="186"/>
        <v>1.3934898001429543E-2</v>
      </c>
      <c r="F126" s="140">
        <f t="shared" si="186"/>
        <v>1.4024495658803732E-2</v>
      </c>
      <c r="G126" s="140">
        <f t="shared" si="186"/>
        <v>1.411388015020975E-2</v>
      </c>
      <c r="H126" s="140">
        <f t="shared" si="186"/>
        <v>1.420109015746677E-2</v>
      </c>
      <c r="I126" s="140">
        <f t="shared" si="186"/>
        <v>1.4288088604889065E-2</v>
      </c>
      <c r="J126" s="140">
        <f t="shared" si="186"/>
        <v>1.4372966626467833E-2</v>
      </c>
      <c r="K126" s="140">
        <f t="shared" si="186"/>
        <v>1.445717015015913E-2</v>
      </c>
      <c r="L126" s="140">
        <f t="shared" si="186"/>
        <v>1.4539776997801538E-2</v>
      </c>
      <c r="M126" s="140">
        <f t="shared" si="186"/>
        <v>1.4622175674039801E-2</v>
      </c>
      <c r="N126" s="140">
        <f t="shared" si="186"/>
        <v>1.4702558424809326E-2</v>
      </c>
      <c r="O126" s="140">
        <f t="shared" si="186"/>
        <v>1.4782734786810203E-2</v>
      </c>
      <c r="P126" s="140">
        <f t="shared" si="186"/>
        <v>1.4860945854596453E-2</v>
      </c>
      <c r="Q126" s="140">
        <f t="shared" si="186"/>
        <v>1.4938952370840596E-2</v>
      </c>
      <c r="R126" s="140">
        <f t="shared" si="186"/>
        <v>1.5015043123956654E-2</v>
      </c>
      <c r="S126" s="140">
        <f t="shared" si="186"/>
        <v>1.5090514829254184E-2</v>
      </c>
      <c r="T126" s="140">
        <f t="shared" si="186"/>
        <v>1.5164541290504039E-2</v>
      </c>
      <c r="U126" s="140">
        <f t="shared" si="186"/>
        <v>1.5238367024752853E-2</v>
      </c>
      <c r="V126" s="140">
        <f t="shared" si="186"/>
        <v>1.5310372710980444E-2</v>
      </c>
      <c r="W126" s="140">
        <f t="shared" si="186"/>
        <v>1.5382179658850872E-2</v>
      </c>
      <c r="X126" s="140">
        <f t="shared" si="186"/>
        <v>1.5452212916675276E-2</v>
      </c>
      <c r="Y126" s="140">
        <f t="shared" si="186"/>
        <v>1.5522049471387959E-2</v>
      </c>
      <c r="Z126" s="140">
        <f t="shared" si="186"/>
        <v>1.5590157675616199E-2</v>
      </c>
      <c r="AA126" s="140">
        <f t="shared" si="186"/>
        <v>1.5657698661956071E-2</v>
      </c>
      <c r="AB126" s="140">
        <f t="shared" si="186"/>
        <v>1.572393338825346E-2</v>
      </c>
      <c r="AC126" s="140">
        <f t="shared" si="186"/>
        <v>1.5789975608284008E-2</v>
      </c>
      <c r="AD126" s="140">
        <f t="shared" si="186"/>
        <v>1.585437706048503E-2</v>
      </c>
      <c r="AE126" s="140">
        <f t="shared" si="186"/>
        <v>1.5918588170221872E-2</v>
      </c>
      <c r="AF126" s="140">
        <f t="shared" si="186"/>
        <v>1.5981200915054221E-2</v>
      </c>
      <c r="AG126" s="140">
        <f t="shared" si="186"/>
        <v>1.6043625520550928E-2</v>
      </c>
      <c r="AH126" s="140">
        <f t="shared" si="186"/>
        <v>1.6104493221775519E-2</v>
      </c>
      <c r="AI126" s="140">
        <f t="shared" si="186"/>
        <v>1.6164842138341535E-2</v>
      </c>
      <c r="AJ126" s="140">
        <f t="shared" si="186"/>
        <v>1.6224012243320242E-2</v>
      </c>
      <c r="AK126" s="140">
        <f t="shared" si="186"/>
        <v>1.6282998720005343E-2</v>
      </c>
      <c r="AL126" s="140">
        <f t="shared" si="186"/>
        <v>1.6340508350463873E-2</v>
      </c>
      <c r="AM126" s="140">
        <f t="shared" si="186"/>
        <v>1.6397836663512522E-2</v>
      </c>
      <c r="AN126" s="140">
        <f t="shared" si="186"/>
        <v>1.6453726874485396E-2</v>
      </c>
      <c r="AO126" s="140">
        <f t="shared" si="186"/>
        <v>1.6509438111642072E-2</v>
      </c>
      <c r="AP126" s="140">
        <f t="shared" si="186"/>
        <v>1.6563749119440176E-2</v>
      </c>
      <c r="AQ126" s="140">
        <f t="shared" si="186"/>
        <v>1.6617586589050697E-2</v>
      </c>
      <c r="AR126" s="140">
        <f t="shared" si="186"/>
        <v>1.6670362010087959E-2</v>
      </c>
      <c r="AS126" s="140">
        <f t="shared" si="186"/>
        <v>1.6722963229714019E-2</v>
      </c>
      <c r="AT126" s="140">
        <f t="shared" si="186"/>
        <v>1.6774237319239084E-2</v>
      </c>
      <c r="AU126" s="140">
        <f t="shared" si="186"/>
        <v>1.6825339639802307E-2</v>
      </c>
      <c r="AV126" s="140">
        <f t="shared" si="186"/>
        <v>1.6875150191408644E-2</v>
      </c>
      <c r="AW126" s="140">
        <f t="shared" si="186"/>
        <v>1.6924791433206774E-2</v>
      </c>
      <c r="AX126" s="140">
        <f t="shared" si="186"/>
        <v>1.6973175461701896E-2</v>
      </c>
      <c r="AY126" s="140">
        <f t="shared" si="186"/>
        <v>1.7021128208973064E-2</v>
      </c>
      <c r="AZ126" s="140">
        <f t="shared" si="186"/>
        <v>1.7068125777088852E-2</v>
      </c>
      <c r="BA126" s="140">
        <f t="shared" si="186"/>
        <v>1.71149590212012E-2</v>
      </c>
      <c r="BB126" s="140">
        <f t="shared" si="186"/>
        <v>1.7160601719047722E-2</v>
      </c>
      <c r="BC126" s="140">
        <f t="shared" si="186"/>
        <v>1.7206082623758223E-2</v>
      </c>
      <c r="BD126" s="140">
        <f t="shared" si="186"/>
        <v>1.7250405216950829E-2</v>
      </c>
      <c r="BE126" s="140">
        <f t="shared" si="186"/>
        <v>1.7294568569136783E-2</v>
      </c>
      <c r="BF126" s="140">
        <f t="shared" si="186"/>
        <v>1.7337605100414058E-2</v>
      </c>
      <c r="BG126" s="140">
        <f t="shared" si="186"/>
        <v>1.7380249803243885E-2</v>
      </c>
      <c r="BH126" s="140">
        <f t="shared" si="186"/>
        <v>1.742203704013514E-2</v>
      </c>
      <c r="BI126" s="140">
        <f t="shared" si="186"/>
        <v>1.7463670191760899E-2</v>
      </c>
      <c r="BJ126" s="140">
        <f t="shared" si="186"/>
        <v>1.7504237247198583E-2</v>
      </c>
      <c r="BK126" s="140">
        <f t="shared" si="186"/>
        <v>1.7544652825695044E-2</v>
      </c>
      <c r="BL126" s="140">
        <f t="shared" si="186"/>
        <v>1.7584031655073159E-2</v>
      </c>
      <c r="BM126" s="140">
        <f t="shared" si="186"/>
        <v>1.7623261632174144E-2</v>
      </c>
      <c r="BN126" s="140">
        <f t="shared" si="186"/>
        <v>1.7661483520151382E-2</v>
      </c>
      <c r="BO126" s="140">
        <f t="shared" ref="BO126:CB126" si="187">IF(BO124&lt;0,0,$B$5+$B$6*((1-EXP(-BO125/$B$9))/(BO125/$B$9))+$B$7*((1-EXP(-BO125/$B$9))/(BO125/$B$9)-EXP(-BO125/$B$9))+$B$8*((1-EXP(-BO125/$B$10))/(BO125/$B$10)-EXP(-BO125/$B$10)))</f>
        <v>1.7699350402373592E-2</v>
      </c>
      <c r="BP126" s="140">
        <f t="shared" si="187"/>
        <v>1.7736449062190331E-2</v>
      </c>
      <c r="BQ126" s="140">
        <f t="shared" si="187"/>
        <v>1.7773404156097853E-2</v>
      </c>
      <c r="BR126" s="140">
        <f t="shared" si="187"/>
        <v>1.7809406398950269E-2</v>
      </c>
      <c r="BS126" s="140">
        <f t="shared" si="187"/>
        <v>1.7845267742730996E-2</v>
      </c>
      <c r="BT126" s="140">
        <f t="shared" si="187"/>
        <v>1.7880202916858202E-2</v>
      </c>
      <c r="BU126" s="140">
        <f t="shared" si="187"/>
        <v>1.7914999870648974E-2</v>
      </c>
      <c r="BV126" s="140">
        <f t="shared" si="187"/>
        <v>1.7948896702172503E-2</v>
      </c>
      <c r="BW126" s="140">
        <f t="shared" si="187"/>
        <v>1.7982472884105802E-2</v>
      </c>
      <c r="BX126" s="140">
        <f t="shared" si="187"/>
        <v>1.8015362256468801E-2</v>
      </c>
      <c r="BY126" s="140">
        <f t="shared" si="187"/>
        <v>1.8048118790011895E-2</v>
      </c>
      <c r="BZ126" s="140">
        <f t="shared" si="187"/>
        <v>1.8080025376399283E-2</v>
      </c>
      <c r="CA126" s="140">
        <f t="shared" si="187"/>
        <v>1.8111801832235368E-2</v>
      </c>
      <c r="CB126" s="140">
        <f t="shared" si="187"/>
        <v>1.8142752563059698E-2</v>
      </c>
      <c r="CC126" s="17"/>
      <c r="CD126" s="17"/>
      <c r="CE126" s="17"/>
    </row>
    <row r="127" spans="1:83">
      <c r="A127" s="16" t="s">
        <v>44</v>
      </c>
      <c r="B127" s="140">
        <f>EXP(-B126*B125)</f>
        <v>0.99436337210224257</v>
      </c>
      <c r="C127" s="140">
        <f t="shared" ref="C127:AR127" si="188">EXP(-C126*C125)</f>
        <v>0.98751172172840351</v>
      </c>
      <c r="D127" s="140">
        <f t="shared" si="188"/>
        <v>0.9806554437207381</v>
      </c>
      <c r="E127" s="140">
        <f t="shared" si="188"/>
        <v>0.97368265324568581</v>
      </c>
      <c r="F127" s="140">
        <f t="shared" si="188"/>
        <v>0.9667507068724478</v>
      </c>
      <c r="G127" s="140">
        <f t="shared" si="188"/>
        <v>0.9597079317706938</v>
      </c>
      <c r="H127" s="140">
        <f t="shared" si="188"/>
        <v>0.95271307479530409</v>
      </c>
      <c r="I127" s="140">
        <f t="shared" si="188"/>
        <v>0.94561289910851531</v>
      </c>
      <c r="J127" s="140">
        <f t="shared" si="188"/>
        <v>0.93856726486489461</v>
      </c>
      <c r="K127" s="140">
        <f t="shared" si="188"/>
        <v>0.93146117587123789</v>
      </c>
      <c r="L127" s="140">
        <f t="shared" si="188"/>
        <v>0.92437637262452599</v>
      </c>
      <c r="M127" s="140">
        <f t="shared" si="188"/>
        <v>0.91719671909245604</v>
      </c>
      <c r="N127" s="140">
        <f t="shared" si="188"/>
        <v>0.91008352748454635</v>
      </c>
      <c r="O127" s="140">
        <f t="shared" si="188"/>
        <v>0.9028804533574466</v>
      </c>
      <c r="P127" s="140">
        <f t="shared" si="188"/>
        <v>0.89574917793262698</v>
      </c>
      <c r="Q127" s="140">
        <f t="shared" si="188"/>
        <v>0.8885328034019101</v>
      </c>
      <c r="R127" s="140">
        <f t="shared" si="188"/>
        <v>0.88139315945791841</v>
      </c>
      <c r="S127" s="140">
        <f t="shared" si="188"/>
        <v>0.87421290353403114</v>
      </c>
      <c r="T127" s="140">
        <f t="shared" si="188"/>
        <v>0.86707401601808765</v>
      </c>
      <c r="U127" s="140">
        <f t="shared" si="188"/>
        <v>0.8598590315807918</v>
      </c>
      <c r="V127" s="140">
        <f t="shared" si="188"/>
        <v>0.8527294693213352</v>
      </c>
      <c r="W127" s="140">
        <f t="shared" si="188"/>
        <v>0.84552804361298073</v>
      </c>
      <c r="X127" s="140">
        <f t="shared" si="188"/>
        <v>0.83841583965343935</v>
      </c>
      <c r="Y127" s="140">
        <f t="shared" si="188"/>
        <v>0.83123582555466002</v>
      </c>
      <c r="Z127" s="140">
        <f t="shared" si="188"/>
        <v>0.82414848326873835</v>
      </c>
      <c r="AA127" s="140">
        <f t="shared" si="188"/>
        <v>0.81703667118831946</v>
      </c>
      <c r="AB127" s="140">
        <f t="shared" si="188"/>
        <v>0.80998108374033495</v>
      </c>
      <c r="AC127" s="140">
        <f t="shared" si="188"/>
        <v>0.80286525344755766</v>
      </c>
      <c r="AD127" s="140">
        <f t="shared" si="188"/>
        <v>0.79584799724520716</v>
      </c>
      <c r="AE127" s="140">
        <f t="shared" si="188"/>
        <v>0.78877402946871311</v>
      </c>
      <c r="AF127" s="140">
        <f t="shared" si="188"/>
        <v>0.78180112525077505</v>
      </c>
      <c r="AG127" s="140">
        <f t="shared" si="188"/>
        <v>0.77477487396855615</v>
      </c>
      <c r="AH127" s="140">
        <f t="shared" si="188"/>
        <v>0.76785188420633199</v>
      </c>
      <c r="AI127" s="140">
        <f t="shared" si="188"/>
        <v>0.7609171975405683</v>
      </c>
      <c r="AJ127" s="140">
        <f t="shared" si="188"/>
        <v>0.75404908544473159</v>
      </c>
      <c r="AK127" s="140">
        <f t="shared" si="188"/>
        <v>0.74713386409123173</v>
      </c>
      <c r="AL127" s="140">
        <f t="shared" si="188"/>
        <v>0.74032547851776209</v>
      </c>
      <c r="AM127" s="140">
        <f t="shared" si="188"/>
        <v>0.73347287487382617</v>
      </c>
      <c r="AN127" s="140">
        <f t="shared" si="188"/>
        <v>0.72672851626351043</v>
      </c>
      <c r="AO127" s="140">
        <f t="shared" si="188"/>
        <v>0.71994268236162262</v>
      </c>
      <c r="AP127" s="140">
        <f t="shared" si="188"/>
        <v>0.71326626717265273</v>
      </c>
      <c r="AQ127" s="140">
        <f t="shared" si="188"/>
        <v>0.70658797684112729</v>
      </c>
      <c r="AR127" s="140">
        <f t="shared" si="188"/>
        <v>0.69998285264881843</v>
      </c>
      <c r="AS127" s="140">
        <f>EXP(-AS126*AS125)</f>
        <v>0.69334130686792328</v>
      </c>
      <c r="AT127" s="140">
        <f t="shared" ref="AT127:CA127" si="189">EXP(-AT126*AT125)</f>
        <v>0.68681087151983888</v>
      </c>
      <c r="AU127" s="140">
        <f t="shared" si="189"/>
        <v>0.68024634269149331</v>
      </c>
      <c r="AV127" s="140">
        <f t="shared" si="189"/>
        <v>0.67379347020074931</v>
      </c>
      <c r="AW127" s="140">
        <f t="shared" si="189"/>
        <v>0.66730870419714272</v>
      </c>
      <c r="AX127" s="140">
        <f t="shared" si="189"/>
        <v>0.66093595588758003</v>
      </c>
      <c r="AY127" s="140">
        <f t="shared" si="189"/>
        <v>0.65456864896088307</v>
      </c>
      <c r="AZ127" s="140">
        <f t="shared" si="189"/>
        <v>0.64827805864750598</v>
      </c>
      <c r="BA127" s="140">
        <f t="shared" si="189"/>
        <v>0.64195960547263031</v>
      </c>
      <c r="BB127" s="140">
        <f t="shared" si="189"/>
        <v>0.63575338599652009</v>
      </c>
      <c r="BC127" s="140">
        <f t="shared" si="189"/>
        <v>0.629521150039831</v>
      </c>
      <c r="BD127" s="140">
        <f t="shared" si="189"/>
        <v>0.6234010250505968</v>
      </c>
      <c r="BE127" s="140">
        <f t="shared" si="189"/>
        <v>0.61725662198375009</v>
      </c>
      <c r="BF127" s="140">
        <f t="shared" si="189"/>
        <v>0.61122406727231038</v>
      </c>
      <c r="BG127" s="140">
        <f t="shared" si="189"/>
        <v>0.60520219972294842</v>
      </c>
      <c r="BH127" s="140">
        <f t="shared" si="189"/>
        <v>0.5992582099787952</v>
      </c>
      <c r="BI127" s="140">
        <f t="shared" si="189"/>
        <v>0.59329311026890497</v>
      </c>
      <c r="BJ127" s="140">
        <f t="shared" si="189"/>
        <v>0.58743895563110549</v>
      </c>
      <c r="BK127" s="140">
        <f t="shared" si="189"/>
        <v>0.58156513455682635</v>
      </c>
      <c r="BL127" s="140">
        <f t="shared" si="189"/>
        <v>0.57580163552300512</v>
      </c>
      <c r="BM127" s="140">
        <f t="shared" si="189"/>
        <v>0.57001982442960042</v>
      </c>
      <c r="BN127" s="140">
        <f t="shared" si="189"/>
        <v>0.56434761029711389</v>
      </c>
      <c r="BO127" s="140">
        <f t="shared" si="189"/>
        <v>0.55868965792494907</v>
      </c>
      <c r="BP127" s="140">
        <f t="shared" si="189"/>
        <v>0.55310892431870129</v>
      </c>
      <c r="BQ127" s="140">
        <f t="shared" si="189"/>
        <v>0.54751233427426638</v>
      </c>
      <c r="BR127" s="140">
        <f t="shared" si="189"/>
        <v>0.54202362071855081</v>
      </c>
      <c r="BS127" s="140">
        <f t="shared" si="189"/>
        <v>0.53652016379499834</v>
      </c>
      <c r="BT127" s="140">
        <f t="shared" si="189"/>
        <v>0.53112360113102042</v>
      </c>
      <c r="BU127" s="140">
        <f t="shared" si="189"/>
        <v>0.52571333584603708</v>
      </c>
      <c r="BV127" s="140">
        <f t="shared" si="189"/>
        <v>0.52040891170268189</v>
      </c>
      <c r="BW127" s="140">
        <f t="shared" si="189"/>
        <v>0.51512100530040195</v>
      </c>
      <c r="BX127" s="140">
        <f t="shared" si="189"/>
        <v>0.50990831954210192</v>
      </c>
      <c r="BY127" s="140">
        <f t="shared" si="189"/>
        <v>0.50468380854886741</v>
      </c>
      <c r="BZ127" s="140">
        <f t="shared" si="189"/>
        <v>0.49956284999647149</v>
      </c>
      <c r="CA127" s="140">
        <f t="shared" si="189"/>
        <v>0.49443091273670048</v>
      </c>
      <c r="CB127" s="140">
        <f>EXP(-CB126*CB125)</f>
        <v>0.48940130164104817</v>
      </c>
      <c r="CC127" s="17"/>
      <c r="CD127" s="17"/>
      <c r="CE127" s="17"/>
    </row>
    <row r="128" spans="1:83">
      <c r="A128" s="17"/>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17"/>
      <c r="CD128" s="17"/>
      <c r="CE128" s="17"/>
    </row>
    <row r="129" spans="1:83">
      <c r="A129" s="16" t="s">
        <v>40</v>
      </c>
      <c r="B129" s="140">
        <f t="shared" ref="B129:BM129" si="190">DAYS360($B$3,B48)</f>
        <v>149</v>
      </c>
      <c r="C129" s="140">
        <f t="shared" si="190"/>
        <v>329</v>
      </c>
      <c r="D129" s="140">
        <f t="shared" si="190"/>
        <v>508</v>
      </c>
      <c r="E129" s="140">
        <f t="shared" si="190"/>
        <v>689</v>
      </c>
      <c r="F129" s="140">
        <f t="shared" si="190"/>
        <v>868</v>
      </c>
      <c r="G129" s="140">
        <f t="shared" si="190"/>
        <v>1049</v>
      </c>
      <c r="H129" s="140">
        <f t="shared" si="190"/>
        <v>1228</v>
      </c>
      <c r="I129" s="140">
        <f t="shared" si="190"/>
        <v>1409</v>
      </c>
      <c r="J129" s="140">
        <f t="shared" si="190"/>
        <v>1588</v>
      </c>
      <c r="K129" s="140">
        <f t="shared" si="190"/>
        <v>1768</v>
      </c>
      <c r="L129" s="140">
        <f t="shared" si="190"/>
        <v>1947</v>
      </c>
      <c r="M129" s="140">
        <f t="shared" si="190"/>
        <v>2128</v>
      </c>
      <c r="N129" s="140">
        <f t="shared" si="190"/>
        <v>2307</v>
      </c>
      <c r="O129" s="140">
        <f t="shared" si="190"/>
        <v>2488</v>
      </c>
      <c r="P129" s="140">
        <f t="shared" si="190"/>
        <v>2667</v>
      </c>
      <c r="Q129" s="140">
        <f t="shared" si="190"/>
        <v>2848</v>
      </c>
      <c r="R129" s="140">
        <f t="shared" si="190"/>
        <v>3027</v>
      </c>
      <c r="S129" s="140">
        <f t="shared" si="190"/>
        <v>3207</v>
      </c>
      <c r="T129" s="140">
        <f t="shared" si="190"/>
        <v>3386</v>
      </c>
      <c r="U129" s="140">
        <f t="shared" si="190"/>
        <v>3567</v>
      </c>
      <c r="V129" s="140">
        <f t="shared" si="190"/>
        <v>3746</v>
      </c>
      <c r="W129" s="140">
        <f t="shared" si="190"/>
        <v>3927</v>
      </c>
      <c r="X129" s="140">
        <f t="shared" si="190"/>
        <v>4106</v>
      </c>
      <c r="Y129" s="140">
        <f t="shared" si="190"/>
        <v>4287</v>
      </c>
      <c r="Z129" s="140">
        <f t="shared" si="190"/>
        <v>4466</v>
      </c>
      <c r="AA129" s="140">
        <f t="shared" si="190"/>
        <v>4646</v>
      </c>
      <c r="AB129" s="140">
        <f t="shared" si="190"/>
        <v>4825</v>
      </c>
      <c r="AC129" s="140">
        <f t="shared" si="190"/>
        <v>5006</v>
      </c>
      <c r="AD129" s="140">
        <f t="shared" si="190"/>
        <v>5185</v>
      </c>
      <c r="AE129" s="140">
        <f t="shared" si="190"/>
        <v>5366</v>
      </c>
      <c r="AF129" s="140">
        <f t="shared" si="190"/>
        <v>5545</v>
      </c>
      <c r="AG129" s="140">
        <f t="shared" si="190"/>
        <v>5726</v>
      </c>
      <c r="AH129" s="140">
        <f t="shared" si="190"/>
        <v>5905</v>
      </c>
      <c r="AI129" s="140">
        <f t="shared" si="190"/>
        <v>6085</v>
      </c>
      <c r="AJ129" s="140">
        <f t="shared" si="190"/>
        <v>6264</v>
      </c>
      <c r="AK129" s="140">
        <f t="shared" si="190"/>
        <v>6445</v>
      </c>
      <c r="AL129" s="140">
        <f t="shared" si="190"/>
        <v>6624</v>
      </c>
      <c r="AM129" s="140">
        <f t="shared" si="190"/>
        <v>6805</v>
      </c>
      <c r="AN129" s="140">
        <f t="shared" si="190"/>
        <v>6984</v>
      </c>
      <c r="AO129" s="140">
        <f t="shared" si="190"/>
        <v>7165</v>
      </c>
      <c r="AP129" s="140">
        <f t="shared" si="190"/>
        <v>7344</v>
      </c>
      <c r="AQ129" s="140">
        <f t="shared" si="190"/>
        <v>7524</v>
      </c>
      <c r="AR129" s="140">
        <f t="shared" si="190"/>
        <v>7703</v>
      </c>
      <c r="AS129" s="140">
        <f t="shared" si="190"/>
        <v>7884</v>
      </c>
      <c r="AT129" s="140">
        <f t="shared" si="190"/>
        <v>8063</v>
      </c>
      <c r="AU129" s="140">
        <f t="shared" si="190"/>
        <v>8244</v>
      </c>
      <c r="AV129" s="140">
        <f t="shared" si="190"/>
        <v>8423</v>
      </c>
      <c r="AW129" s="140">
        <f t="shared" si="190"/>
        <v>8604</v>
      </c>
      <c r="AX129" s="140">
        <f t="shared" si="190"/>
        <v>8783</v>
      </c>
      <c r="AY129" s="140">
        <f t="shared" si="190"/>
        <v>8963</v>
      </c>
      <c r="AZ129" s="140">
        <f t="shared" si="190"/>
        <v>9142</v>
      </c>
      <c r="BA129" s="140">
        <f t="shared" si="190"/>
        <v>9323</v>
      </c>
      <c r="BB129" s="140">
        <f t="shared" si="190"/>
        <v>9502</v>
      </c>
      <c r="BC129" s="140">
        <f t="shared" si="190"/>
        <v>9683</v>
      </c>
      <c r="BD129" s="140">
        <f t="shared" si="190"/>
        <v>9862</v>
      </c>
      <c r="BE129" s="140">
        <f t="shared" si="190"/>
        <v>10043</v>
      </c>
      <c r="BF129" s="140">
        <f t="shared" si="190"/>
        <v>10222</v>
      </c>
      <c r="BG129" s="140">
        <f t="shared" si="190"/>
        <v>10402</v>
      </c>
      <c r="BH129" s="140">
        <f t="shared" si="190"/>
        <v>10581</v>
      </c>
      <c r="BI129" s="140">
        <f t="shared" si="190"/>
        <v>10762</v>
      </c>
      <c r="BJ129" s="140">
        <f t="shared" si="190"/>
        <v>10941</v>
      </c>
      <c r="BK129" s="140">
        <f t="shared" si="190"/>
        <v>11122</v>
      </c>
      <c r="BL129" s="140">
        <f t="shared" si="190"/>
        <v>11301</v>
      </c>
      <c r="BM129" s="140">
        <f t="shared" si="190"/>
        <v>11482</v>
      </c>
      <c r="BN129" s="140">
        <f t="shared" ref="BN129:CB129" si="191">DAYS360($B$3,BN48)</f>
        <v>11661</v>
      </c>
      <c r="BO129" s="140">
        <f t="shared" si="191"/>
        <v>11841</v>
      </c>
      <c r="BP129" s="140">
        <f t="shared" si="191"/>
        <v>12020</v>
      </c>
      <c r="BQ129" s="140">
        <f t="shared" si="191"/>
        <v>12201</v>
      </c>
      <c r="BR129" s="140">
        <f t="shared" si="191"/>
        <v>12380</v>
      </c>
      <c r="BS129" s="140">
        <f t="shared" si="191"/>
        <v>12561</v>
      </c>
      <c r="BT129" s="140">
        <f t="shared" si="191"/>
        <v>12740</v>
      </c>
      <c r="BU129" s="140">
        <f t="shared" si="191"/>
        <v>12921</v>
      </c>
      <c r="BV129" s="140">
        <f t="shared" si="191"/>
        <v>13100</v>
      </c>
      <c r="BW129" s="140">
        <f t="shared" si="191"/>
        <v>13280</v>
      </c>
      <c r="BX129" s="140">
        <f t="shared" si="191"/>
        <v>13459</v>
      </c>
      <c r="BY129" s="140">
        <f t="shared" si="191"/>
        <v>13640</v>
      </c>
      <c r="BZ129" s="140">
        <f t="shared" si="191"/>
        <v>13819</v>
      </c>
      <c r="CA129" s="140">
        <f t="shared" si="191"/>
        <v>14000</v>
      </c>
      <c r="CB129" s="140">
        <f t="shared" si="191"/>
        <v>14179</v>
      </c>
      <c r="CC129" s="17"/>
      <c r="CD129" s="17"/>
      <c r="CE129" s="17"/>
    </row>
    <row r="130" spans="1:83">
      <c r="A130" s="16" t="s">
        <v>41</v>
      </c>
      <c r="B130" s="140">
        <f>B129/360</f>
        <v>0.41388888888888886</v>
      </c>
      <c r="C130" s="140">
        <f t="shared" ref="C130:BN130" si="192">C129/360</f>
        <v>0.91388888888888886</v>
      </c>
      <c r="D130" s="140">
        <f t="shared" si="192"/>
        <v>1.4111111111111112</v>
      </c>
      <c r="E130" s="140">
        <f t="shared" si="192"/>
        <v>1.913888888888889</v>
      </c>
      <c r="F130" s="140">
        <f t="shared" si="192"/>
        <v>2.411111111111111</v>
      </c>
      <c r="G130" s="140">
        <f t="shared" si="192"/>
        <v>2.9138888888888888</v>
      </c>
      <c r="H130" s="140">
        <f t="shared" si="192"/>
        <v>3.411111111111111</v>
      </c>
      <c r="I130" s="140">
        <f t="shared" si="192"/>
        <v>3.9138888888888888</v>
      </c>
      <c r="J130" s="140">
        <f t="shared" si="192"/>
        <v>4.4111111111111114</v>
      </c>
      <c r="K130" s="140">
        <f t="shared" si="192"/>
        <v>4.9111111111111114</v>
      </c>
      <c r="L130" s="140">
        <f t="shared" si="192"/>
        <v>5.4083333333333332</v>
      </c>
      <c r="M130" s="140">
        <f t="shared" si="192"/>
        <v>5.9111111111111114</v>
      </c>
      <c r="N130" s="140">
        <f t="shared" si="192"/>
        <v>6.4083333333333332</v>
      </c>
      <c r="O130" s="140">
        <f t="shared" si="192"/>
        <v>6.9111111111111114</v>
      </c>
      <c r="P130" s="140">
        <f t="shared" si="192"/>
        <v>7.4083333333333332</v>
      </c>
      <c r="Q130" s="140">
        <f t="shared" si="192"/>
        <v>7.9111111111111114</v>
      </c>
      <c r="R130" s="140">
        <f t="shared" si="192"/>
        <v>8.4083333333333332</v>
      </c>
      <c r="S130" s="140">
        <f t="shared" si="192"/>
        <v>8.9083333333333332</v>
      </c>
      <c r="T130" s="140">
        <f t="shared" si="192"/>
        <v>9.405555555555555</v>
      </c>
      <c r="U130" s="140">
        <f t="shared" si="192"/>
        <v>9.9083333333333332</v>
      </c>
      <c r="V130" s="140">
        <f t="shared" si="192"/>
        <v>10.405555555555555</v>
      </c>
      <c r="W130" s="140">
        <f t="shared" si="192"/>
        <v>10.908333333333333</v>
      </c>
      <c r="X130" s="140">
        <f t="shared" si="192"/>
        <v>11.405555555555555</v>
      </c>
      <c r="Y130" s="140">
        <f t="shared" si="192"/>
        <v>11.908333333333333</v>
      </c>
      <c r="Z130" s="140">
        <f t="shared" si="192"/>
        <v>12.405555555555555</v>
      </c>
      <c r="AA130" s="140">
        <f t="shared" si="192"/>
        <v>12.905555555555555</v>
      </c>
      <c r="AB130" s="140">
        <f t="shared" si="192"/>
        <v>13.402777777777779</v>
      </c>
      <c r="AC130" s="140">
        <f t="shared" si="192"/>
        <v>13.905555555555555</v>
      </c>
      <c r="AD130" s="140">
        <f t="shared" si="192"/>
        <v>14.402777777777779</v>
      </c>
      <c r="AE130" s="140">
        <f t="shared" si="192"/>
        <v>14.905555555555555</v>
      </c>
      <c r="AF130" s="140">
        <f t="shared" si="192"/>
        <v>15.402777777777779</v>
      </c>
      <c r="AG130" s="140">
        <f t="shared" si="192"/>
        <v>15.905555555555555</v>
      </c>
      <c r="AH130" s="140">
        <f t="shared" si="192"/>
        <v>16.402777777777779</v>
      </c>
      <c r="AI130" s="140">
        <f t="shared" si="192"/>
        <v>16.902777777777779</v>
      </c>
      <c r="AJ130" s="140">
        <f t="shared" si="192"/>
        <v>17.399999999999999</v>
      </c>
      <c r="AK130" s="140">
        <f t="shared" si="192"/>
        <v>17.902777777777779</v>
      </c>
      <c r="AL130" s="140">
        <f t="shared" si="192"/>
        <v>18.399999999999999</v>
      </c>
      <c r="AM130" s="140">
        <f t="shared" si="192"/>
        <v>18.902777777777779</v>
      </c>
      <c r="AN130" s="140">
        <f t="shared" si="192"/>
        <v>19.399999999999999</v>
      </c>
      <c r="AO130" s="140">
        <f t="shared" si="192"/>
        <v>19.902777777777779</v>
      </c>
      <c r="AP130" s="140">
        <f t="shared" si="192"/>
        <v>20.399999999999999</v>
      </c>
      <c r="AQ130" s="140">
        <f t="shared" si="192"/>
        <v>20.9</v>
      </c>
      <c r="AR130" s="140">
        <f t="shared" si="192"/>
        <v>21.397222222222222</v>
      </c>
      <c r="AS130" s="140">
        <f t="shared" si="192"/>
        <v>21.9</v>
      </c>
      <c r="AT130" s="140">
        <f t="shared" si="192"/>
        <v>22.397222222222222</v>
      </c>
      <c r="AU130" s="140">
        <f t="shared" si="192"/>
        <v>22.9</v>
      </c>
      <c r="AV130" s="140">
        <f t="shared" si="192"/>
        <v>23.397222222222222</v>
      </c>
      <c r="AW130" s="140">
        <f t="shared" si="192"/>
        <v>23.9</v>
      </c>
      <c r="AX130" s="140">
        <f t="shared" si="192"/>
        <v>24.397222222222222</v>
      </c>
      <c r="AY130" s="140">
        <f t="shared" si="192"/>
        <v>24.897222222222222</v>
      </c>
      <c r="AZ130" s="140">
        <f t="shared" si="192"/>
        <v>25.394444444444446</v>
      </c>
      <c r="BA130" s="140">
        <f t="shared" si="192"/>
        <v>25.897222222222222</v>
      </c>
      <c r="BB130" s="140">
        <f t="shared" si="192"/>
        <v>26.394444444444446</v>
      </c>
      <c r="BC130" s="140">
        <f t="shared" si="192"/>
        <v>26.897222222222222</v>
      </c>
      <c r="BD130" s="140">
        <f t="shared" si="192"/>
        <v>27.394444444444446</v>
      </c>
      <c r="BE130" s="140">
        <f t="shared" si="192"/>
        <v>27.897222222222222</v>
      </c>
      <c r="BF130" s="140">
        <f t="shared" si="192"/>
        <v>28.394444444444446</v>
      </c>
      <c r="BG130" s="140">
        <f t="shared" si="192"/>
        <v>28.894444444444446</v>
      </c>
      <c r="BH130" s="140">
        <f t="shared" si="192"/>
        <v>29.391666666666666</v>
      </c>
      <c r="BI130" s="140">
        <f t="shared" si="192"/>
        <v>29.894444444444446</v>
      </c>
      <c r="BJ130" s="140">
        <f t="shared" si="192"/>
        <v>30.391666666666666</v>
      </c>
      <c r="BK130" s="140">
        <f t="shared" si="192"/>
        <v>30.894444444444446</v>
      </c>
      <c r="BL130" s="140">
        <f t="shared" si="192"/>
        <v>31.391666666666666</v>
      </c>
      <c r="BM130" s="140">
        <f t="shared" si="192"/>
        <v>31.894444444444446</v>
      </c>
      <c r="BN130" s="140">
        <f t="shared" si="192"/>
        <v>32.391666666666666</v>
      </c>
      <c r="BO130" s="140">
        <f t="shared" ref="BO130:CB130" si="193">BO129/360</f>
        <v>32.891666666666666</v>
      </c>
      <c r="BP130" s="140">
        <f t="shared" si="193"/>
        <v>33.388888888888886</v>
      </c>
      <c r="BQ130" s="140">
        <f t="shared" si="193"/>
        <v>33.891666666666666</v>
      </c>
      <c r="BR130" s="140">
        <f t="shared" si="193"/>
        <v>34.388888888888886</v>
      </c>
      <c r="BS130" s="140">
        <f t="shared" si="193"/>
        <v>34.891666666666666</v>
      </c>
      <c r="BT130" s="140">
        <f t="shared" si="193"/>
        <v>35.388888888888886</v>
      </c>
      <c r="BU130" s="140">
        <f t="shared" si="193"/>
        <v>35.891666666666666</v>
      </c>
      <c r="BV130" s="140">
        <f t="shared" si="193"/>
        <v>36.388888888888886</v>
      </c>
      <c r="BW130" s="140">
        <f t="shared" si="193"/>
        <v>36.888888888888886</v>
      </c>
      <c r="BX130" s="140">
        <f t="shared" si="193"/>
        <v>37.386111111111113</v>
      </c>
      <c r="BY130" s="140">
        <f t="shared" si="193"/>
        <v>37.888888888888886</v>
      </c>
      <c r="BZ130" s="140">
        <f t="shared" si="193"/>
        <v>38.386111111111113</v>
      </c>
      <c r="CA130" s="140">
        <f t="shared" si="193"/>
        <v>38.888888888888886</v>
      </c>
      <c r="CB130" s="140">
        <f t="shared" si="193"/>
        <v>39.386111111111113</v>
      </c>
      <c r="CC130" s="17"/>
      <c r="CD130" s="17"/>
      <c r="CE130" s="17"/>
    </row>
    <row r="131" spans="1:83">
      <c r="A131" s="16" t="s">
        <v>43</v>
      </c>
      <c r="B131" s="140">
        <f>IF(B129&lt;0,0,$B$5+$B$6*((1-EXP(-B130/$B$9))/(B130/$B$9))+$B$7*((1-EXP(-B130/$B$9))/(B130/$B$9)-EXP(-B130/$B$9))+$B$8*((1-EXP(-B130/$B$10))/(B130/$B$10)-EXP(-B130/$B$10)))</f>
        <v>1.3657224885426195E-2</v>
      </c>
      <c r="C131" s="140">
        <f t="shared" ref="C131:BN131" si="194">IF(C129&lt;0,0,$B$5+$B$6*((1-EXP(-C130/$B$9))/(C130/$B$9))+$B$7*((1-EXP(-C130/$B$9))/(C130/$B$9)-EXP(-C130/$B$9))+$B$8*((1-EXP(-C130/$B$10))/(C130/$B$10)-EXP(-C130/$B$10)))</f>
        <v>1.3751028517127274E-2</v>
      </c>
      <c r="D131" s="140">
        <f t="shared" si="194"/>
        <v>1.3843070613652187E-2</v>
      </c>
      <c r="E131" s="140">
        <f t="shared" si="194"/>
        <v>1.3934898001429543E-2</v>
      </c>
      <c r="F131" s="140">
        <f t="shared" si="194"/>
        <v>1.4024495658803732E-2</v>
      </c>
      <c r="G131" s="140">
        <f t="shared" si="194"/>
        <v>1.411388015020975E-2</v>
      </c>
      <c r="H131" s="140">
        <f t="shared" si="194"/>
        <v>1.420109015746677E-2</v>
      </c>
      <c r="I131" s="140">
        <f t="shared" si="194"/>
        <v>1.4288088604889065E-2</v>
      </c>
      <c r="J131" s="140">
        <f t="shared" si="194"/>
        <v>1.4372966626467833E-2</v>
      </c>
      <c r="K131" s="140">
        <f t="shared" si="194"/>
        <v>1.445717015015913E-2</v>
      </c>
      <c r="L131" s="140">
        <f t="shared" si="194"/>
        <v>1.4539776997801538E-2</v>
      </c>
      <c r="M131" s="140">
        <f t="shared" si="194"/>
        <v>1.4622175674039801E-2</v>
      </c>
      <c r="N131" s="140">
        <f t="shared" si="194"/>
        <v>1.4702558424809326E-2</v>
      </c>
      <c r="O131" s="140">
        <f t="shared" si="194"/>
        <v>1.4782734786810203E-2</v>
      </c>
      <c r="P131" s="140">
        <f t="shared" si="194"/>
        <v>1.4860945854596453E-2</v>
      </c>
      <c r="Q131" s="140">
        <f t="shared" si="194"/>
        <v>1.4938952370840596E-2</v>
      </c>
      <c r="R131" s="140">
        <f t="shared" si="194"/>
        <v>1.5015043123956654E-2</v>
      </c>
      <c r="S131" s="140">
        <f t="shared" si="194"/>
        <v>1.5090514829254184E-2</v>
      </c>
      <c r="T131" s="140">
        <f t="shared" si="194"/>
        <v>1.5164541290504039E-2</v>
      </c>
      <c r="U131" s="140">
        <f t="shared" si="194"/>
        <v>1.5238367024752853E-2</v>
      </c>
      <c r="V131" s="140">
        <f t="shared" si="194"/>
        <v>1.5310372710980444E-2</v>
      </c>
      <c r="W131" s="140">
        <f t="shared" si="194"/>
        <v>1.5382179658850872E-2</v>
      </c>
      <c r="X131" s="140">
        <f t="shared" si="194"/>
        <v>1.5452212916675276E-2</v>
      </c>
      <c r="Y131" s="140">
        <f t="shared" si="194"/>
        <v>1.5522049471387959E-2</v>
      </c>
      <c r="Z131" s="140">
        <f t="shared" si="194"/>
        <v>1.5590157675616199E-2</v>
      </c>
      <c r="AA131" s="140">
        <f t="shared" si="194"/>
        <v>1.5657698661956071E-2</v>
      </c>
      <c r="AB131" s="140">
        <f t="shared" si="194"/>
        <v>1.572393338825346E-2</v>
      </c>
      <c r="AC131" s="140">
        <f t="shared" si="194"/>
        <v>1.5789975608284008E-2</v>
      </c>
      <c r="AD131" s="140">
        <f t="shared" si="194"/>
        <v>1.585437706048503E-2</v>
      </c>
      <c r="AE131" s="140">
        <f t="shared" si="194"/>
        <v>1.5918588170221872E-2</v>
      </c>
      <c r="AF131" s="140">
        <f t="shared" si="194"/>
        <v>1.5981200915054221E-2</v>
      </c>
      <c r="AG131" s="140">
        <f t="shared" si="194"/>
        <v>1.6043625520550928E-2</v>
      </c>
      <c r="AH131" s="140">
        <f t="shared" si="194"/>
        <v>1.6104493221775519E-2</v>
      </c>
      <c r="AI131" s="140">
        <f t="shared" si="194"/>
        <v>1.6164842138341535E-2</v>
      </c>
      <c r="AJ131" s="140">
        <f t="shared" si="194"/>
        <v>1.6224012243320242E-2</v>
      </c>
      <c r="AK131" s="140">
        <f t="shared" si="194"/>
        <v>1.6282998720005343E-2</v>
      </c>
      <c r="AL131" s="140">
        <f t="shared" si="194"/>
        <v>1.6340508350463873E-2</v>
      </c>
      <c r="AM131" s="140">
        <f t="shared" si="194"/>
        <v>1.6397836663512522E-2</v>
      </c>
      <c r="AN131" s="140">
        <f t="shared" si="194"/>
        <v>1.6453726874485396E-2</v>
      </c>
      <c r="AO131" s="140">
        <f t="shared" si="194"/>
        <v>1.6509438111642072E-2</v>
      </c>
      <c r="AP131" s="140">
        <f t="shared" si="194"/>
        <v>1.6563749119440176E-2</v>
      </c>
      <c r="AQ131" s="140">
        <f t="shared" si="194"/>
        <v>1.6617586589050697E-2</v>
      </c>
      <c r="AR131" s="140">
        <f t="shared" si="194"/>
        <v>1.6670362010087959E-2</v>
      </c>
      <c r="AS131" s="140">
        <f t="shared" si="194"/>
        <v>1.6722963229714019E-2</v>
      </c>
      <c r="AT131" s="140">
        <f t="shared" si="194"/>
        <v>1.6774237319239084E-2</v>
      </c>
      <c r="AU131" s="140">
        <f t="shared" si="194"/>
        <v>1.6825339639802307E-2</v>
      </c>
      <c r="AV131" s="140">
        <f t="shared" si="194"/>
        <v>1.6875150191408644E-2</v>
      </c>
      <c r="AW131" s="140">
        <f t="shared" si="194"/>
        <v>1.6924791433206774E-2</v>
      </c>
      <c r="AX131" s="140">
        <f t="shared" si="194"/>
        <v>1.6973175461701896E-2</v>
      </c>
      <c r="AY131" s="140">
        <f t="shared" si="194"/>
        <v>1.7021128208973064E-2</v>
      </c>
      <c r="AZ131" s="140">
        <f t="shared" si="194"/>
        <v>1.7068125777088852E-2</v>
      </c>
      <c r="BA131" s="140">
        <f t="shared" si="194"/>
        <v>1.71149590212012E-2</v>
      </c>
      <c r="BB131" s="140">
        <f t="shared" si="194"/>
        <v>1.7160601719047722E-2</v>
      </c>
      <c r="BC131" s="140">
        <f t="shared" si="194"/>
        <v>1.7206082623758223E-2</v>
      </c>
      <c r="BD131" s="140">
        <f t="shared" si="194"/>
        <v>1.7250405216950829E-2</v>
      </c>
      <c r="BE131" s="140">
        <f t="shared" si="194"/>
        <v>1.7294568569136783E-2</v>
      </c>
      <c r="BF131" s="140">
        <f t="shared" si="194"/>
        <v>1.7337605100414058E-2</v>
      </c>
      <c r="BG131" s="140">
        <f t="shared" si="194"/>
        <v>1.7380249803243885E-2</v>
      </c>
      <c r="BH131" s="140">
        <f t="shared" si="194"/>
        <v>1.742203704013514E-2</v>
      </c>
      <c r="BI131" s="140">
        <f t="shared" si="194"/>
        <v>1.7463670191760899E-2</v>
      </c>
      <c r="BJ131" s="140">
        <f t="shared" si="194"/>
        <v>1.7504237247198583E-2</v>
      </c>
      <c r="BK131" s="140">
        <f t="shared" si="194"/>
        <v>1.7544652825695044E-2</v>
      </c>
      <c r="BL131" s="140">
        <f t="shared" si="194"/>
        <v>1.7584031655073159E-2</v>
      </c>
      <c r="BM131" s="140">
        <f t="shared" si="194"/>
        <v>1.7623261632174144E-2</v>
      </c>
      <c r="BN131" s="140">
        <f t="shared" si="194"/>
        <v>1.7661483520151382E-2</v>
      </c>
      <c r="BO131" s="140">
        <f t="shared" ref="BO131:CB131" si="195">IF(BO129&lt;0,0,$B$5+$B$6*((1-EXP(-BO130/$B$9))/(BO130/$B$9))+$B$7*((1-EXP(-BO130/$B$9))/(BO130/$B$9)-EXP(-BO130/$B$9))+$B$8*((1-EXP(-BO130/$B$10))/(BO130/$B$10)-EXP(-BO130/$B$10)))</f>
        <v>1.7699350402373592E-2</v>
      </c>
      <c r="BP131" s="140">
        <f t="shared" si="195"/>
        <v>1.7736449062190331E-2</v>
      </c>
      <c r="BQ131" s="140">
        <f t="shared" si="195"/>
        <v>1.7773404156097853E-2</v>
      </c>
      <c r="BR131" s="140">
        <f t="shared" si="195"/>
        <v>1.7809406398950269E-2</v>
      </c>
      <c r="BS131" s="140">
        <f t="shared" si="195"/>
        <v>1.7845267742730996E-2</v>
      </c>
      <c r="BT131" s="140">
        <f t="shared" si="195"/>
        <v>1.7880202916858202E-2</v>
      </c>
      <c r="BU131" s="140">
        <f t="shared" si="195"/>
        <v>1.7914999870648974E-2</v>
      </c>
      <c r="BV131" s="140">
        <f t="shared" si="195"/>
        <v>1.7948896702172503E-2</v>
      </c>
      <c r="BW131" s="140">
        <f t="shared" si="195"/>
        <v>1.7982472884105802E-2</v>
      </c>
      <c r="BX131" s="140">
        <f t="shared" si="195"/>
        <v>1.8015362256468801E-2</v>
      </c>
      <c r="BY131" s="140">
        <f t="shared" si="195"/>
        <v>1.8048118790011895E-2</v>
      </c>
      <c r="BZ131" s="140">
        <f t="shared" si="195"/>
        <v>1.8080025376399283E-2</v>
      </c>
      <c r="CA131" s="140">
        <f t="shared" si="195"/>
        <v>1.8111801832235368E-2</v>
      </c>
      <c r="CB131" s="140">
        <f t="shared" si="195"/>
        <v>1.8142752563059698E-2</v>
      </c>
      <c r="CC131" s="17"/>
      <c r="CD131" s="17"/>
      <c r="CE131" s="17"/>
    </row>
    <row r="132" spans="1:83">
      <c r="A132" s="16" t="s">
        <v>44</v>
      </c>
      <c r="B132" s="140">
        <f>EXP(-B131*B130)</f>
        <v>0.99436337210224257</v>
      </c>
      <c r="C132" s="140">
        <f t="shared" ref="C132:AR132" si="196">EXP(-C131*C130)</f>
        <v>0.98751172172840351</v>
      </c>
      <c r="D132" s="140">
        <f t="shared" si="196"/>
        <v>0.9806554437207381</v>
      </c>
      <c r="E132" s="140">
        <f t="shared" si="196"/>
        <v>0.97368265324568581</v>
      </c>
      <c r="F132" s="140">
        <f t="shared" si="196"/>
        <v>0.9667507068724478</v>
      </c>
      <c r="G132" s="140">
        <f t="shared" si="196"/>
        <v>0.9597079317706938</v>
      </c>
      <c r="H132" s="140">
        <f t="shared" si="196"/>
        <v>0.95271307479530409</v>
      </c>
      <c r="I132" s="140">
        <f t="shared" si="196"/>
        <v>0.94561289910851531</v>
      </c>
      <c r="J132" s="140">
        <f t="shared" si="196"/>
        <v>0.93856726486489461</v>
      </c>
      <c r="K132" s="140">
        <f t="shared" si="196"/>
        <v>0.93146117587123789</v>
      </c>
      <c r="L132" s="140">
        <f t="shared" si="196"/>
        <v>0.92437637262452599</v>
      </c>
      <c r="M132" s="140">
        <f t="shared" si="196"/>
        <v>0.91719671909245604</v>
      </c>
      <c r="N132" s="140">
        <f t="shared" si="196"/>
        <v>0.91008352748454635</v>
      </c>
      <c r="O132" s="140">
        <f t="shared" si="196"/>
        <v>0.9028804533574466</v>
      </c>
      <c r="P132" s="140">
        <f t="shared" si="196"/>
        <v>0.89574917793262698</v>
      </c>
      <c r="Q132" s="140">
        <f t="shared" si="196"/>
        <v>0.8885328034019101</v>
      </c>
      <c r="R132" s="140">
        <f t="shared" si="196"/>
        <v>0.88139315945791841</v>
      </c>
      <c r="S132" s="140">
        <f t="shared" si="196"/>
        <v>0.87421290353403114</v>
      </c>
      <c r="T132" s="140">
        <f t="shared" si="196"/>
        <v>0.86707401601808765</v>
      </c>
      <c r="U132" s="140">
        <f t="shared" si="196"/>
        <v>0.8598590315807918</v>
      </c>
      <c r="V132" s="140">
        <f t="shared" si="196"/>
        <v>0.8527294693213352</v>
      </c>
      <c r="W132" s="140">
        <f t="shared" si="196"/>
        <v>0.84552804361298073</v>
      </c>
      <c r="X132" s="140">
        <f t="shared" si="196"/>
        <v>0.83841583965343935</v>
      </c>
      <c r="Y132" s="140">
        <f t="shared" si="196"/>
        <v>0.83123582555466002</v>
      </c>
      <c r="Z132" s="140">
        <f t="shared" si="196"/>
        <v>0.82414848326873835</v>
      </c>
      <c r="AA132" s="140">
        <f t="shared" si="196"/>
        <v>0.81703667118831946</v>
      </c>
      <c r="AB132" s="140">
        <f t="shared" si="196"/>
        <v>0.80998108374033495</v>
      </c>
      <c r="AC132" s="140">
        <f t="shared" si="196"/>
        <v>0.80286525344755766</v>
      </c>
      <c r="AD132" s="140">
        <f t="shared" si="196"/>
        <v>0.79584799724520716</v>
      </c>
      <c r="AE132" s="140">
        <f t="shared" si="196"/>
        <v>0.78877402946871311</v>
      </c>
      <c r="AF132" s="140">
        <f t="shared" si="196"/>
        <v>0.78180112525077505</v>
      </c>
      <c r="AG132" s="140">
        <f t="shared" si="196"/>
        <v>0.77477487396855615</v>
      </c>
      <c r="AH132" s="140">
        <f t="shared" si="196"/>
        <v>0.76785188420633199</v>
      </c>
      <c r="AI132" s="140">
        <f t="shared" si="196"/>
        <v>0.7609171975405683</v>
      </c>
      <c r="AJ132" s="140">
        <f t="shared" si="196"/>
        <v>0.75404908544473159</v>
      </c>
      <c r="AK132" s="140">
        <f t="shared" si="196"/>
        <v>0.74713386409123173</v>
      </c>
      <c r="AL132" s="140">
        <f t="shared" si="196"/>
        <v>0.74032547851776209</v>
      </c>
      <c r="AM132" s="140">
        <f t="shared" si="196"/>
        <v>0.73347287487382617</v>
      </c>
      <c r="AN132" s="140">
        <f t="shared" si="196"/>
        <v>0.72672851626351043</v>
      </c>
      <c r="AO132" s="140">
        <f t="shared" si="196"/>
        <v>0.71994268236162262</v>
      </c>
      <c r="AP132" s="140">
        <f t="shared" si="196"/>
        <v>0.71326626717265273</v>
      </c>
      <c r="AQ132" s="140">
        <f t="shared" si="196"/>
        <v>0.70658797684112729</v>
      </c>
      <c r="AR132" s="140">
        <f t="shared" si="196"/>
        <v>0.69998285264881843</v>
      </c>
      <c r="AS132" s="140">
        <f>EXP(-AS131*AS130)</f>
        <v>0.69334130686792328</v>
      </c>
      <c r="AT132" s="140">
        <f t="shared" ref="AT132:CA132" si="197">EXP(-AT131*AT130)</f>
        <v>0.68681087151983888</v>
      </c>
      <c r="AU132" s="140">
        <f t="shared" si="197"/>
        <v>0.68024634269149331</v>
      </c>
      <c r="AV132" s="140">
        <f t="shared" si="197"/>
        <v>0.67379347020074931</v>
      </c>
      <c r="AW132" s="140">
        <f t="shared" si="197"/>
        <v>0.66730870419714272</v>
      </c>
      <c r="AX132" s="140">
        <f t="shared" si="197"/>
        <v>0.66093595588758003</v>
      </c>
      <c r="AY132" s="140">
        <f t="shared" si="197"/>
        <v>0.65456864896088307</v>
      </c>
      <c r="AZ132" s="140">
        <f t="shared" si="197"/>
        <v>0.64827805864750598</v>
      </c>
      <c r="BA132" s="140">
        <f t="shared" si="197"/>
        <v>0.64195960547263031</v>
      </c>
      <c r="BB132" s="140">
        <f t="shared" si="197"/>
        <v>0.63575338599652009</v>
      </c>
      <c r="BC132" s="140">
        <f t="shared" si="197"/>
        <v>0.629521150039831</v>
      </c>
      <c r="BD132" s="140">
        <f t="shared" si="197"/>
        <v>0.6234010250505968</v>
      </c>
      <c r="BE132" s="140">
        <f t="shared" si="197"/>
        <v>0.61725662198375009</v>
      </c>
      <c r="BF132" s="140">
        <f t="shared" si="197"/>
        <v>0.61122406727231038</v>
      </c>
      <c r="BG132" s="140">
        <f t="shared" si="197"/>
        <v>0.60520219972294842</v>
      </c>
      <c r="BH132" s="140">
        <f t="shared" si="197"/>
        <v>0.5992582099787952</v>
      </c>
      <c r="BI132" s="140">
        <f t="shared" si="197"/>
        <v>0.59329311026890497</v>
      </c>
      <c r="BJ132" s="140">
        <f t="shared" si="197"/>
        <v>0.58743895563110549</v>
      </c>
      <c r="BK132" s="140">
        <f t="shared" si="197"/>
        <v>0.58156513455682635</v>
      </c>
      <c r="BL132" s="140">
        <f t="shared" si="197"/>
        <v>0.57580163552300512</v>
      </c>
      <c r="BM132" s="140">
        <f t="shared" si="197"/>
        <v>0.57001982442960042</v>
      </c>
      <c r="BN132" s="140">
        <f t="shared" si="197"/>
        <v>0.56434761029711389</v>
      </c>
      <c r="BO132" s="140">
        <f t="shared" si="197"/>
        <v>0.55868965792494907</v>
      </c>
      <c r="BP132" s="140">
        <f t="shared" si="197"/>
        <v>0.55310892431870129</v>
      </c>
      <c r="BQ132" s="140">
        <f t="shared" si="197"/>
        <v>0.54751233427426638</v>
      </c>
      <c r="BR132" s="140">
        <f t="shared" si="197"/>
        <v>0.54202362071855081</v>
      </c>
      <c r="BS132" s="140">
        <f t="shared" si="197"/>
        <v>0.53652016379499834</v>
      </c>
      <c r="BT132" s="140">
        <f t="shared" si="197"/>
        <v>0.53112360113102042</v>
      </c>
      <c r="BU132" s="140">
        <f t="shared" si="197"/>
        <v>0.52571333584603708</v>
      </c>
      <c r="BV132" s="140">
        <f t="shared" si="197"/>
        <v>0.52040891170268189</v>
      </c>
      <c r="BW132" s="140">
        <f t="shared" si="197"/>
        <v>0.51512100530040195</v>
      </c>
      <c r="BX132" s="140">
        <f t="shared" si="197"/>
        <v>0.50990831954210192</v>
      </c>
      <c r="BY132" s="140">
        <f t="shared" si="197"/>
        <v>0.50468380854886741</v>
      </c>
      <c r="BZ132" s="140">
        <f t="shared" si="197"/>
        <v>0.49956284999647149</v>
      </c>
      <c r="CA132" s="140">
        <f t="shared" si="197"/>
        <v>0.49443091273670048</v>
      </c>
      <c r="CB132" s="140">
        <f>EXP(-CB131*CB130)</f>
        <v>0.48940130164104817</v>
      </c>
      <c r="CC132" s="17"/>
      <c r="CD132" s="17"/>
      <c r="CE132" s="17"/>
    </row>
    <row r="133" spans="1:83">
      <c r="A133" s="17"/>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17"/>
      <c r="CD133" s="17"/>
      <c r="CE133" s="17"/>
    </row>
    <row r="134" spans="1:83">
      <c r="A134" s="16" t="s">
        <v>40</v>
      </c>
      <c r="B134" s="140">
        <f t="shared" ref="B134:BM134" si="198">DAYS360($B$3,B50)</f>
        <v>149</v>
      </c>
      <c r="C134" s="140">
        <f t="shared" si="198"/>
        <v>329</v>
      </c>
      <c r="D134" s="140">
        <f t="shared" si="198"/>
        <v>508</v>
      </c>
      <c r="E134" s="140">
        <f t="shared" si="198"/>
        <v>689</v>
      </c>
      <c r="F134" s="140">
        <f t="shared" si="198"/>
        <v>868</v>
      </c>
      <c r="G134" s="140">
        <f t="shared" si="198"/>
        <v>1049</v>
      </c>
      <c r="H134" s="140">
        <f t="shared" si="198"/>
        <v>1228</v>
      </c>
      <c r="I134" s="140">
        <f t="shared" si="198"/>
        <v>1409</v>
      </c>
      <c r="J134" s="140">
        <f t="shared" si="198"/>
        <v>1588</v>
      </c>
      <c r="K134" s="140">
        <f t="shared" si="198"/>
        <v>1768</v>
      </c>
      <c r="L134" s="140">
        <f t="shared" si="198"/>
        <v>1947</v>
      </c>
      <c r="M134" s="140">
        <f t="shared" si="198"/>
        <v>2128</v>
      </c>
      <c r="N134" s="140">
        <f t="shared" si="198"/>
        <v>2307</v>
      </c>
      <c r="O134" s="140">
        <f t="shared" si="198"/>
        <v>2488</v>
      </c>
      <c r="P134" s="140">
        <f t="shared" si="198"/>
        <v>2667</v>
      </c>
      <c r="Q134" s="140">
        <f t="shared" si="198"/>
        <v>2848</v>
      </c>
      <c r="R134" s="140">
        <f t="shared" si="198"/>
        <v>3027</v>
      </c>
      <c r="S134" s="140">
        <f t="shared" si="198"/>
        <v>3207</v>
      </c>
      <c r="T134" s="140">
        <f t="shared" si="198"/>
        <v>3386</v>
      </c>
      <c r="U134" s="140">
        <f t="shared" si="198"/>
        <v>3567</v>
      </c>
      <c r="V134" s="140">
        <f t="shared" si="198"/>
        <v>3746</v>
      </c>
      <c r="W134" s="140">
        <f t="shared" si="198"/>
        <v>3927</v>
      </c>
      <c r="X134" s="140">
        <f t="shared" si="198"/>
        <v>4106</v>
      </c>
      <c r="Y134" s="140">
        <f t="shared" si="198"/>
        <v>4287</v>
      </c>
      <c r="Z134" s="140">
        <f t="shared" si="198"/>
        <v>4466</v>
      </c>
      <c r="AA134" s="140">
        <f t="shared" si="198"/>
        <v>4646</v>
      </c>
      <c r="AB134" s="140">
        <f t="shared" si="198"/>
        <v>4825</v>
      </c>
      <c r="AC134" s="140">
        <f t="shared" si="198"/>
        <v>5006</v>
      </c>
      <c r="AD134" s="140">
        <f t="shared" si="198"/>
        <v>5185</v>
      </c>
      <c r="AE134" s="140">
        <f t="shared" si="198"/>
        <v>5366</v>
      </c>
      <c r="AF134" s="140">
        <f t="shared" si="198"/>
        <v>5545</v>
      </c>
      <c r="AG134" s="140">
        <f t="shared" si="198"/>
        <v>5726</v>
      </c>
      <c r="AH134" s="140">
        <f t="shared" si="198"/>
        <v>5905</v>
      </c>
      <c r="AI134" s="140">
        <f t="shared" si="198"/>
        <v>6085</v>
      </c>
      <c r="AJ134" s="140">
        <f t="shared" si="198"/>
        <v>6264</v>
      </c>
      <c r="AK134" s="140">
        <f t="shared" si="198"/>
        <v>6445</v>
      </c>
      <c r="AL134" s="140">
        <f t="shared" si="198"/>
        <v>6624</v>
      </c>
      <c r="AM134" s="140">
        <f t="shared" si="198"/>
        <v>6805</v>
      </c>
      <c r="AN134" s="140">
        <f t="shared" si="198"/>
        <v>6984</v>
      </c>
      <c r="AO134" s="140">
        <f t="shared" si="198"/>
        <v>7165</v>
      </c>
      <c r="AP134" s="140">
        <f t="shared" si="198"/>
        <v>7344</v>
      </c>
      <c r="AQ134" s="140">
        <f t="shared" si="198"/>
        <v>7524</v>
      </c>
      <c r="AR134" s="140">
        <f t="shared" si="198"/>
        <v>7703</v>
      </c>
      <c r="AS134" s="140">
        <f t="shared" si="198"/>
        <v>7884</v>
      </c>
      <c r="AT134" s="140">
        <f t="shared" si="198"/>
        <v>8063</v>
      </c>
      <c r="AU134" s="140">
        <f t="shared" si="198"/>
        <v>8244</v>
      </c>
      <c r="AV134" s="140">
        <f t="shared" si="198"/>
        <v>8423</v>
      </c>
      <c r="AW134" s="140">
        <f t="shared" si="198"/>
        <v>8604</v>
      </c>
      <c r="AX134" s="140">
        <f t="shared" si="198"/>
        <v>8783</v>
      </c>
      <c r="AY134" s="140">
        <f t="shared" si="198"/>
        <v>8963</v>
      </c>
      <c r="AZ134" s="140">
        <f t="shared" si="198"/>
        <v>9142</v>
      </c>
      <c r="BA134" s="140">
        <f t="shared" si="198"/>
        <v>9323</v>
      </c>
      <c r="BB134" s="140">
        <f t="shared" si="198"/>
        <v>9502</v>
      </c>
      <c r="BC134" s="140">
        <f t="shared" si="198"/>
        <v>9683</v>
      </c>
      <c r="BD134" s="140">
        <f t="shared" si="198"/>
        <v>9862</v>
      </c>
      <c r="BE134" s="140">
        <f t="shared" si="198"/>
        <v>10043</v>
      </c>
      <c r="BF134" s="140">
        <f t="shared" si="198"/>
        <v>10222</v>
      </c>
      <c r="BG134" s="140">
        <f t="shared" si="198"/>
        <v>10402</v>
      </c>
      <c r="BH134" s="140">
        <f t="shared" si="198"/>
        <v>10581</v>
      </c>
      <c r="BI134" s="140">
        <f t="shared" si="198"/>
        <v>10762</v>
      </c>
      <c r="BJ134" s="140">
        <f t="shared" si="198"/>
        <v>10941</v>
      </c>
      <c r="BK134" s="140">
        <f t="shared" si="198"/>
        <v>11122</v>
      </c>
      <c r="BL134" s="140">
        <f t="shared" si="198"/>
        <v>11301</v>
      </c>
      <c r="BM134" s="140">
        <f t="shared" si="198"/>
        <v>11482</v>
      </c>
      <c r="BN134" s="140">
        <f t="shared" ref="BN134:CB134" si="199">DAYS360($B$3,BN50)</f>
        <v>11661</v>
      </c>
      <c r="BO134" s="140">
        <f t="shared" si="199"/>
        <v>11841</v>
      </c>
      <c r="BP134" s="140">
        <f t="shared" si="199"/>
        <v>12020</v>
      </c>
      <c r="BQ134" s="140">
        <f t="shared" si="199"/>
        <v>12201</v>
      </c>
      <c r="BR134" s="140">
        <f t="shared" si="199"/>
        <v>12380</v>
      </c>
      <c r="BS134" s="140">
        <f t="shared" si="199"/>
        <v>12561</v>
      </c>
      <c r="BT134" s="140">
        <f t="shared" si="199"/>
        <v>12740</v>
      </c>
      <c r="BU134" s="140">
        <f t="shared" si="199"/>
        <v>12921</v>
      </c>
      <c r="BV134" s="140">
        <f t="shared" si="199"/>
        <v>13100</v>
      </c>
      <c r="BW134" s="140">
        <f t="shared" si="199"/>
        <v>13280</v>
      </c>
      <c r="BX134" s="140">
        <f t="shared" si="199"/>
        <v>13459</v>
      </c>
      <c r="BY134" s="140">
        <f t="shared" si="199"/>
        <v>13640</v>
      </c>
      <c r="BZ134" s="140">
        <f t="shared" si="199"/>
        <v>13819</v>
      </c>
      <c r="CA134" s="140">
        <f t="shared" si="199"/>
        <v>14000</v>
      </c>
      <c r="CB134" s="140">
        <f t="shared" si="199"/>
        <v>14179</v>
      </c>
      <c r="CC134" s="17"/>
      <c r="CD134" s="17"/>
      <c r="CE134" s="17"/>
    </row>
    <row r="135" spans="1:83">
      <c r="A135" s="16" t="s">
        <v>41</v>
      </c>
      <c r="B135" s="140">
        <f>B134/360</f>
        <v>0.41388888888888886</v>
      </c>
      <c r="C135" s="140">
        <f t="shared" ref="C135:BN135" si="200">C134/360</f>
        <v>0.91388888888888886</v>
      </c>
      <c r="D135" s="140">
        <f t="shared" si="200"/>
        <v>1.4111111111111112</v>
      </c>
      <c r="E135" s="140">
        <f t="shared" si="200"/>
        <v>1.913888888888889</v>
      </c>
      <c r="F135" s="140">
        <f t="shared" si="200"/>
        <v>2.411111111111111</v>
      </c>
      <c r="G135" s="140">
        <f t="shared" si="200"/>
        <v>2.9138888888888888</v>
      </c>
      <c r="H135" s="140">
        <f t="shared" si="200"/>
        <v>3.411111111111111</v>
      </c>
      <c r="I135" s="140">
        <f t="shared" si="200"/>
        <v>3.9138888888888888</v>
      </c>
      <c r="J135" s="140">
        <f t="shared" si="200"/>
        <v>4.4111111111111114</v>
      </c>
      <c r="K135" s="140">
        <f t="shared" si="200"/>
        <v>4.9111111111111114</v>
      </c>
      <c r="L135" s="140">
        <f t="shared" si="200"/>
        <v>5.4083333333333332</v>
      </c>
      <c r="M135" s="140">
        <f t="shared" si="200"/>
        <v>5.9111111111111114</v>
      </c>
      <c r="N135" s="140">
        <f t="shared" si="200"/>
        <v>6.4083333333333332</v>
      </c>
      <c r="O135" s="140">
        <f t="shared" si="200"/>
        <v>6.9111111111111114</v>
      </c>
      <c r="P135" s="140">
        <f t="shared" si="200"/>
        <v>7.4083333333333332</v>
      </c>
      <c r="Q135" s="140">
        <f t="shared" si="200"/>
        <v>7.9111111111111114</v>
      </c>
      <c r="R135" s="140">
        <f t="shared" si="200"/>
        <v>8.4083333333333332</v>
      </c>
      <c r="S135" s="140">
        <f t="shared" si="200"/>
        <v>8.9083333333333332</v>
      </c>
      <c r="T135" s="140">
        <f t="shared" si="200"/>
        <v>9.405555555555555</v>
      </c>
      <c r="U135" s="140">
        <f t="shared" si="200"/>
        <v>9.9083333333333332</v>
      </c>
      <c r="V135" s="140">
        <f t="shared" si="200"/>
        <v>10.405555555555555</v>
      </c>
      <c r="W135" s="140">
        <f t="shared" si="200"/>
        <v>10.908333333333333</v>
      </c>
      <c r="X135" s="140">
        <f t="shared" si="200"/>
        <v>11.405555555555555</v>
      </c>
      <c r="Y135" s="140">
        <f t="shared" si="200"/>
        <v>11.908333333333333</v>
      </c>
      <c r="Z135" s="140">
        <f t="shared" si="200"/>
        <v>12.405555555555555</v>
      </c>
      <c r="AA135" s="140">
        <f t="shared" si="200"/>
        <v>12.905555555555555</v>
      </c>
      <c r="AB135" s="140">
        <f t="shared" si="200"/>
        <v>13.402777777777779</v>
      </c>
      <c r="AC135" s="140">
        <f t="shared" si="200"/>
        <v>13.905555555555555</v>
      </c>
      <c r="AD135" s="140">
        <f t="shared" si="200"/>
        <v>14.402777777777779</v>
      </c>
      <c r="AE135" s="140">
        <f t="shared" si="200"/>
        <v>14.905555555555555</v>
      </c>
      <c r="AF135" s="140">
        <f t="shared" si="200"/>
        <v>15.402777777777779</v>
      </c>
      <c r="AG135" s="140">
        <f t="shared" si="200"/>
        <v>15.905555555555555</v>
      </c>
      <c r="AH135" s="140">
        <f t="shared" si="200"/>
        <v>16.402777777777779</v>
      </c>
      <c r="AI135" s="140">
        <f t="shared" si="200"/>
        <v>16.902777777777779</v>
      </c>
      <c r="AJ135" s="140">
        <f t="shared" si="200"/>
        <v>17.399999999999999</v>
      </c>
      <c r="AK135" s="140">
        <f t="shared" si="200"/>
        <v>17.902777777777779</v>
      </c>
      <c r="AL135" s="140">
        <f t="shared" si="200"/>
        <v>18.399999999999999</v>
      </c>
      <c r="AM135" s="140">
        <f t="shared" si="200"/>
        <v>18.902777777777779</v>
      </c>
      <c r="AN135" s="140">
        <f t="shared" si="200"/>
        <v>19.399999999999999</v>
      </c>
      <c r="AO135" s="140">
        <f t="shared" si="200"/>
        <v>19.902777777777779</v>
      </c>
      <c r="AP135" s="140">
        <f t="shared" si="200"/>
        <v>20.399999999999999</v>
      </c>
      <c r="AQ135" s="140">
        <f t="shared" si="200"/>
        <v>20.9</v>
      </c>
      <c r="AR135" s="140">
        <f t="shared" si="200"/>
        <v>21.397222222222222</v>
      </c>
      <c r="AS135" s="140">
        <f t="shared" si="200"/>
        <v>21.9</v>
      </c>
      <c r="AT135" s="140">
        <f t="shared" si="200"/>
        <v>22.397222222222222</v>
      </c>
      <c r="AU135" s="140">
        <f t="shared" si="200"/>
        <v>22.9</v>
      </c>
      <c r="AV135" s="140">
        <f t="shared" si="200"/>
        <v>23.397222222222222</v>
      </c>
      <c r="AW135" s="140">
        <f t="shared" si="200"/>
        <v>23.9</v>
      </c>
      <c r="AX135" s="140">
        <f t="shared" si="200"/>
        <v>24.397222222222222</v>
      </c>
      <c r="AY135" s="140">
        <f t="shared" si="200"/>
        <v>24.897222222222222</v>
      </c>
      <c r="AZ135" s="140">
        <f t="shared" si="200"/>
        <v>25.394444444444446</v>
      </c>
      <c r="BA135" s="140">
        <f t="shared" si="200"/>
        <v>25.897222222222222</v>
      </c>
      <c r="BB135" s="140">
        <f t="shared" si="200"/>
        <v>26.394444444444446</v>
      </c>
      <c r="BC135" s="140">
        <f t="shared" si="200"/>
        <v>26.897222222222222</v>
      </c>
      <c r="BD135" s="140">
        <f t="shared" si="200"/>
        <v>27.394444444444446</v>
      </c>
      <c r="BE135" s="140">
        <f t="shared" si="200"/>
        <v>27.897222222222222</v>
      </c>
      <c r="BF135" s="140">
        <f t="shared" si="200"/>
        <v>28.394444444444446</v>
      </c>
      <c r="BG135" s="140">
        <f t="shared" si="200"/>
        <v>28.894444444444446</v>
      </c>
      <c r="BH135" s="140">
        <f t="shared" si="200"/>
        <v>29.391666666666666</v>
      </c>
      <c r="BI135" s="140">
        <f t="shared" si="200"/>
        <v>29.894444444444446</v>
      </c>
      <c r="BJ135" s="140">
        <f t="shared" si="200"/>
        <v>30.391666666666666</v>
      </c>
      <c r="BK135" s="140">
        <f t="shared" si="200"/>
        <v>30.894444444444446</v>
      </c>
      <c r="BL135" s="140">
        <f t="shared" si="200"/>
        <v>31.391666666666666</v>
      </c>
      <c r="BM135" s="140">
        <f t="shared" si="200"/>
        <v>31.894444444444446</v>
      </c>
      <c r="BN135" s="140">
        <f t="shared" si="200"/>
        <v>32.391666666666666</v>
      </c>
      <c r="BO135" s="140">
        <f t="shared" ref="BO135:CB135" si="201">BO134/360</f>
        <v>32.891666666666666</v>
      </c>
      <c r="BP135" s="140">
        <f t="shared" si="201"/>
        <v>33.388888888888886</v>
      </c>
      <c r="BQ135" s="140">
        <f t="shared" si="201"/>
        <v>33.891666666666666</v>
      </c>
      <c r="BR135" s="140">
        <f t="shared" si="201"/>
        <v>34.388888888888886</v>
      </c>
      <c r="BS135" s="140">
        <f t="shared" si="201"/>
        <v>34.891666666666666</v>
      </c>
      <c r="BT135" s="140">
        <f t="shared" si="201"/>
        <v>35.388888888888886</v>
      </c>
      <c r="BU135" s="140">
        <f t="shared" si="201"/>
        <v>35.891666666666666</v>
      </c>
      <c r="BV135" s="140">
        <f t="shared" si="201"/>
        <v>36.388888888888886</v>
      </c>
      <c r="BW135" s="140">
        <f t="shared" si="201"/>
        <v>36.888888888888886</v>
      </c>
      <c r="BX135" s="140">
        <f t="shared" si="201"/>
        <v>37.386111111111113</v>
      </c>
      <c r="BY135" s="140">
        <f t="shared" si="201"/>
        <v>37.888888888888886</v>
      </c>
      <c r="BZ135" s="140">
        <f t="shared" si="201"/>
        <v>38.386111111111113</v>
      </c>
      <c r="CA135" s="140">
        <f t="shared" si="201"/>
        <v>38.888888888888886</v>
      </c>
      <c r="CB135" s="140">
        <f t="shared" si="201"/>
        <v>39.386111111111113</v>
      </c>
      <c r="CC135" s="17"/>
      <c r="CD135" s="17"/>
      <c r="CE135" s="17"/>
    </row>
    <row r="136" spans="1:83">
      <c r="A136" s="16" t="s">
        <v>43</v>
      </c>
      <c r="B136" s="140">
        <f>IF(B134&lt;0,0,$B$5+$B$6*((1-EXP(-B135/$B$9))/(B135/$B$9))+$B$7*((1-EXP(-B135/$B$9))/(B135/$B$9)-EXP(-B135/$B$9))+$B$8*((1-EXP(-B135/$B$10))/(B135/$B$10)-EXP(-B135/$B$10)))</f>
        <v>1.3657224885426195E-2</v>
      </c>
      <c r="C136" s="140">
        <f t="shared" ref="C136:BN136" si="202">IF(C134&lt;0,0,$B$5+$B$6*((1-EXP(-C135/$B$9))/(C135/$B$9))+$B$7*((1-EXP(-C135/$B$9))/(C135/$B$9)-EXP(-C135/$B$9))+$B$8*((1-EXP(-C135/$B$10))/(C135/$B$10)-EXP(-C135/$B$10)))</f>
        <v>1.3751028517127274E-2</v>
      </c>
      <c r="D136" s="140">
        <f t="shared" si="202"/>
        <v>1.3843070613652187E-2</v>
      </c>
      <c r="E136" s="140">
        <f t="shared" si="202"/>
        <v>1.3934898001429543E-2</v>
      </c>
      <c r="F136" s="140">
        <f t="shared" si="202"/>
        <v>1.4024495658803732E-2</v>
      </c>
      <c r="G136" s="140">
        <f t="shared" si="202"/>
        <v>1.411388015020975E-2</v>
      </c>
      <c r="H136" s="140">
        <f t="shared" si="202"/>
        <v>1.420109015746677E-2</v>
      </c>
      <c r="I136" s="140">
        <f t="shared" si="202"/>
        <v>1.4288088604889065E-2</v>
      </c>
      <c r="J136" s="140">
        <f t="shared" si="202"/>
        <v>1.4372966626467833E-2</v>
      </c>
      <c r="K136" s="140">
        <f t="shared" si="202"/>
        <v>1.445717015015913E-2</v>
      </c>
      <c r="L136" s="140">
        <f t="shared" si="202"/>
        <v>1.4539776997801538E-2</v>
      </c>
      <c r="M136" s="140">
        <f t="shared" si="202"/>
        <v>1.4622175674039801E-2</v>
      </c>
      <c r="N136" s="140">
        <f t="shared" si="202"/>
        <v>1.4702558424809326E-2</v>
      </c>
      <c r="O136" s="140">
        <f t="shared" si="202"/>
        <v>1.4782734786810203E-2</v>
      </c>
      <c r="P136" s="140">
        <f t="shared" si="202"/>
        <v>1.4860945854596453E-2</v>
      </c>
      <c r="Q136" s="140">
        <f t="shared" si="202"/>
        <v>1.4938952370840596E-2</v>
      </c>
      <c r="R136" s="140">
        <f t="shared" si="202"/>
        <v>1.5015043123956654E-2</v>
      </c>
      <c r="S136" s="140">
        <f t="shared" si="202"/>
        <v>1.5090514829254184E-2</v>
      </c>
      <c r="T136" s="140">
        <f t="shared" si="202"/>
        <v>1.5164541290504039E-2</v>
      </c>
      <c r="U136" s="140">
        <f t="shared" si="202"/>
        <v>1.5238367024752853E-2</v>
      </c>
      <c r="V136" s="140">
        <f t="shared" si="202"/>
        <v>1.5310372710980444E-2</v>
      </c>
      <c r="W136" s="140">
        <f t="shared" si="202"/>
        <v>1.5382179658850872E-2</v>
      </c>
      <c r="X136" s="140">
        <f t="shared" si="202"/>
        <v>1.5452212916675276E-2</v>
      </c>
      <c r="Y136" s="140">
        <f t="shared" si="202"/>
        <v>1.5522049471387959E-2</v>
      </c>
      <c r="Z136" s="140">
        <f t="shared" si="202"/>
        <v>1.5590157675616199E-2</v>
      </c>
      <c r="AA136" s="140">
        <f t="shared" si="202"/>
        <v>1.5657698661956071E-2</v>
      </c>
      <c r="AB136" s="140">
        <f t="shared" si="202"/>
        <v>1.572393338825346E-2</v>
      </c>
      <c r="AC136" s="140">
        <f t="shared" si="202"/>
        <v>1.5789975608284008E-2</v>
      </c>
      <c r="AD136" s="140">
        <f t="shared" si="202"/>
        <v>1.585437706048503E-2</v>
      </c>
      <c r="AE136" s="140">
        <f t="shared" si="202"/>
        <v>1.5918588170221872E-2</v>
      </c>
      <c r="AF136" s="140">
        <f t="shared" si="202"/>
        <v>1.5981200915054221E-2</v>
      </c>
      <c r="AG136" s="140">
        <f t="shared" si="202"/>
        <v>1.6043625520550928E-2</v>
      </c>
      <c r="AH136" s="140">
        <f t="shared" si="202"/>
        <v>1.6104493221775519E-2</v>
      </c>
      <c r="AI136" s="140">
        <f t="shared" si="202"/>
        <v>1.6164842138341535E-2</v>
      </c>
      <c r="AJ136" s="140">
        <f t="shared" si="202"/>
        <v>1.6224012243320242E-2</v>
      </c>
      <c r="AK136" s="140">
        <f t="shared" si="202"/>
        <v>1.6282998720005343E-2</v>
      </c>
      <c r="AL136" s="140">
        <f t="shared" si="202"/>
        <v>1.6340508350463873E-2</v>
      </c>
      <c r="AM136" s="140">
        <f t="shared" si="202"/>
        <v>1.6397836663512522E-2</v>
      </c>
      <c r="AN136" s="140">
        <f t="shared" si="202"/>
        <v>1.6453726874485396E-2</v>
      </c>
      <c r="AO136" s="140">
        <f t="shared" si="202"/>
        <v>1.6509438111642072E-2</v>
      </c>
      <c r="AP136" s="140">
        <f t="shared" si="202"/>
        <v>1.6563749119440176E-2</v>
      </c>
      <c r="AQ136" s="140">
        <f t="shared" si="202"/>
        <v>1.6617586589050697E-2</v>
      </c>
      <c r="AR136" s="140">
        <f t="shared" si="202"/>
        <v>1.6670362010087959E-2</v>
      </c>
      <c r="AS136" s="140">
        <f t="shared" si="202"/>
        <v>1.6722963229714019E-2</v>
      </c>
      <c r="AT136" s="140">
        <f t="shared" si="202"/>
        <v>1.6774237319239084E-2</v>
      </c>
      <c r="AU136" s="140">
        <f t="shared" si="202"/>
        <v>1.6825339639802307E-2</v>
      </c>
      <c r="AV136" s="140">
        <f t="shared" si="202"/>
        <v>1.6875150191408644E-2</v>
      </c>
      <c r="AW136" s="140">
        <f t="shared" si="202"/>
        <v>1.6924791433206774E-2</v>
      </c>
      <c r="AX136" s="140">
        <f t="shared" si="202"/>
        <v>1.6973175461701896E-2</v>
      </c>
      <c r="AY136" s="140">
        <f t="shared" si="202"/>
        <v>1.7021128208973064E-2</v>
      </c>
      <c r="AZ136" s="140">
        <f t="shared" si="202"/>
        <v>1.7068125777088852E-2</v>
      </c>
      <c r="BA136" s="140">
        <f t="shared" si="202"/>
        <v>1.71149590212012E-2</v>
      </c>
      <c r="BB136" s="140">
        <f t="shared" si="202"/>
        <v>1.7160601719047722E-2</v>
      </c>
      <c r="BC136" s="140">
        <f t="shared" si="202"/>
        <v>1.7206082623758223E-2</v>
      </c>
      <c r="BD136" s="140">
        <f t="shared" si="202"/>
        <v>1.7250405216950829E-2</v>
      </c>
      <c r="BE136" s="140">
        <f t="shared" si="202"/>
        <v>1.7294568569136783E-2</v>
      </c>
      <c r="BF136" s="140">
        <f t="shared" si="202"/>
        <v>1.7337605100414058E-2</v>
      </c>
      <c r="BG136" s="140">
        <f t="shared" si="202"/>
        <v>1.7380249803243885E-2</v>
      </c>
      <c r="BH136" s="140">
        <f t="shared" si="202"/>
        <v>1.742203704013514E-2</v>
      </c>
      <c r="BI136" s="140">
        <f t="shared" si="202"/>
        <v>1.7463670191760899E-2</v>
      </c>
      <c r="BJ136" s="140">
        <f t="shared" si="202"/>
        <v>1.7504237247198583E-2</v>
      </c>
      <c r="BK136" s="140">
        <f t="shared" si="202"/>
        <v>1.7544652825695044E-2</v>
      </c>
      <c r="BL136" s="140">
        <f t="shared" si="202"/>
        <v>1.7584031655073159E-2</v>
      </c>
      <c r="BM136" s="140">
        <f t="shared" si="202"/>
        <v>1.7623261632174144E-2</v>
      </c>
      <c r="BN136" s="140">
        <f t="shared" si="202"/>
        <v>1.7661483520151382E-2</v>
      </c>
      <c r="BO136" s="140">
        <f t="shared" ref="BO136:CB136" si="203">IF(BO134&lt;0,0,$B$5+$B$6*((1-EXP(-BO135/$B$9))/(BO135/$B$9))+$B$7*((1-EXP(-BO135/$B$9))/(BO135/$B$9)-EXP(-BO135/$B$9))+$B$8*((1-EXP(-BO135/$B$10))/(BO135/$B$10)-EXP(-BO135/$B$10)))</f>
        <v>1.7699350402373592E-2</v>
      </c>
      <c r="BP136" s="140">
        <f t="shared" si="203"/>
        <v>1.7736449062190331E-2</v>
      </c>
      <c r="BQ136" s="140">
        <f t="shared" si="203"/>
        <v>1.7773404156097853E-2</v>
      </c>
      <c r="BR136" s="140">
        <f t="shared" si="203"/>
        <v>1.7809406398950269E-2</v>
      </c>
      <c r="BS136" s="140">
        <f t="shared" si="203"/>
        <v>1.7845267742730996E-2</v>
      </c>
      <c r="BT136" s="140">
        <f t="shared" si="203"/>
        <v>1.7880202916858202E-2</v>
      </c>
      <c r="BU136" s="140">
        <f t="shared" si="203"/>
        <v>1.7914999870648974E-2</v>
      </c>
      <c r="BV136" s="140">
        <f t="shared" si="203"/>
        <v>1.7948896702172503E-2</v>
      </c>
      <c r="BW136" s="140">
        <f t="shared" si="203"/>
        <v>1.7982472884105802E-2</v>
      </c>
      <c r="BX136" s="140">
        <f t="shared" si="203"/>
        <v>1.8015362256468801E-2</v>
      </c>
      <c r="BY136" s="140">
        <f t="shared" si="203"/>
        <v>1.8048118790011895E-2</v>
      </c>
      <c r="BZ136" s="140">
        <f t="shared" si="203"/>
        <v>1.8080025376399283E-2</v>
      </c>
      <c r="CA136" s="140">
        <f t="shared" si="203"/>
        <v>1.8111801832235368E-2</v>
      </c>
      <c r="CB136" s="140">
        <f t="shared" si="203"/>
        <v>1.8142752563059698E-2</v>
      </c>
      <c r="CC136" s="17"/>
      <c r="CD136" s="17"/>
      <c r="CE136" s="17"/>
    </row>
    <row r="137" spans="1:83">
      <c r="A137" s="16" t="s">
        <v>44</v>
      </c>
      <c r="B137" s="140">
        <f>EXP(-B136*B135)</f>
        <v>0.99436337210224257</v>
      </c>
      <c r="C137" s="140">
        <f t="shared" ref="C137:AR137" si="204">EXP(-C136*C135)</f>
        <v>0.98751172172840351</v>
      </c>
      <c r="D137" s="140">
        <f t="shared" si="204"/>
        <v>0.9806554437207381</v>
      </c>
      <c r="E137" s="140">
        <f t="shared" si="204"/>
        <v>0.97368265324568581</v>
      </c>
      <c r="F137" s="140">
        <f t="shared" si="204"/>
        <v>0.9667507068724478</v>
      </c>
      <c r="G137" s="140">
        <f t="shared" si="204"/>
        <v>0.9597079317706938</v>
      </c>
      <c r="H137" s="140">
        <f t="shared" si="204"/>
        <v>0.95271307479530409</v>
      </c>
      <c r="I137" s="140">
        <f t="shared" si="204"/>
        <v>0.94561289910851531</v>
      </c>
      <c r="J137" s="140">
        <f t="shared" si="204"/>
        <v>0.93856726486489461</v>
      </c>
      <c r="K137" s="140">
        <f t="shared" si="204"/>
        <v>0.93146117587123789</v>
      </c>
      <c r="L137" s="140">
        <f t="shared" si="204"/>
        <v>0.92437637262452599</v>
      </c>
      <c r="M137" s="140">
        <f t="shared" si="204"/>
        <v>0.91719671909245604</v>
      </c>
      <c r="N137" s="140">
        <f t="shared" si="204"/>
        <v>0.91008352748454635</v>
      </c>
      <c r="O137" s="140">
        <f t="shared" si="204"/>
        <v>0.9028804533574466</v>
      </c>
      <c r="P137" s="140">
        <f t="shared" si="204"/>
        <v>0.89574917793262698</v>
      </c>
      <c r="Q137" s="140">
        <f t="shared" si="204"/>
        <v>0.8885328034019101</v>
      </c>
      <c r="R137" s="140">
        <f t="shared" si="204"/>
        <v>0.88139315945791841</v>
      </c>
      <c r="S137" s="140">
        <f t="shared" si="204"/>
        <v>0.87421290353403114</v>
      </c>
      <c r="T137" s="140">
        <f t="shared" si="204"/>
        <v>0.86707401601808765</v>
      </c>
      <c r="U137" s="140">
        <f t="shared" si="204"/>
        <v>0.8598590315807918</v>
      </c>
      <c r="V137" s="140">
        <f t="shared" si="204"/>
        <v>0.8527294693213352</v>
      </c>
      <c r="W137" s="140">
        <f t="shared" si="204"/>
        <v>0.84552804361298073</v>
      </c>
      <c r="X137" s="140">
        <f t="shared" si="204"/>
        <v>0.83841583965343935</v>
      </c>
      <c r="Y137" s="140">
        <f t="shared" si="204"/>
        <v>0.83123582555466002</v>
      </c>
      <c r="Z137" s="140">
        <f t="shared" si="204"/>
        <v>0.82414848326873835</v>
      </c>
      <c r="AA137" s="140">
        <f t="shared" si="204"/>
        <v>0.81703667118831946</v>
      </c>
      <c r="AB137" s="140">
        <f t="shared" si="204"/>
        <v>0.80998108374033495</v>
      </c>
      <c r="AC137" s="140">
        <f t="shared" si="204"/>
        <v>0.80286525344755766</v>
      </c>
      <c r="AD137" s="140">
        <f t="shared" si="204"/>
        <v>0.79584799724520716</v>
      </c>
      <c r="AE137" s="140">
        <f t="shared" si="204"/>
        <v>0.78877402946871311</v>
      </c>
      <c r="AF137" s="140">
        <f t="shared" si="204"/>
        <v>0.78180112525077505</v>
      </c>
      <c r="AG137" s="140">
        <f t="shared" si="204"/>
        <v>0.77477487396855615</v>
      </c>
      <c r="AH137" s="140">
        <f t="shared" si="204"/>
        <v>0.76785188420633199</v>
      </c>
      <c r="AI137" s="140">
        <f t="shared" si="204"/>
        <v>0.7609171975405683</v>
      </c>
      <c r="AJ137" s="140">
        <f t="shared" si="204"/>
        <v>0.75404908544473159</v>
      </c>
      <c r="AK137" s="140">
        <f t="shared" si="204"/>
        <v>0.74713386409123173</v>
      </c>
      <c r="AL137" s="140">
        <f t="shared" si="204"/>
        <v>0.74032547851776209</v>
      </c>
      <c r="AM137" s="140">
        <f t="shared" si="204"/>
        <v>0.73347287487382617</v>
      </c>
      <c r="AN137" s="140">
        <f t="shared" si="204"/>
        <v>0.72672851626351043</v>
      </c>
      <c r="AO137" s="140">
        <f t="shared" si="204"/>
        <v>0.71994268236162262</v>
      </c>
      <c r="AP137" s="140">
        <f t="shared" si="204"/>
        <v>0.71326626717265273</v>
      </c>
      <c r="AQ137" s="140">
        <f t="shared" si="204"/>
        <v>0.70658797684112729</v>
      </c>
      <c r="AR137" s="140">
        <f t="shared" si="204"/>
        <v>0.69998285264881843</v>
      </c>
      <c r="AS137" s="140">
        <f>EXP(-AS136*AS135)</f>
        <v>0.69334130686792328</v>
      </c>
      <c r="AT137" s="140">
        <f t="shared" ref="AT137:CA137" si="205">EXP(-AT136*AT135)</f>
        <v>0.68681087151983888</v>
      </c>
      <c r="AU137" s="140">
        <f t="shared" si="205"/>
        <v>0.68024634269149331</v>
      </c>
      <c r="AV137" s="140">
        <f t="shared" si="205"/>
        <v>0.67379347020074931</v>
      </c>
      <c r="AW137" s="140">
        <f t="shared" si="205"/>
        <v>0.66730870419714272</v>
      </c>
      <c r="AX137" s="140">
        <f t="shared" si="205"/>
        <v>0.66093595588758003</v>
      </c>
      <c r="AY137" s="140">
        <f t="shared" si="205"/>
        <v>0.65456864896088307</v>
      </c>
      <c r="AZ137" s="140">
        <f t="shared" si="205"/>
        <v>0.64827805864750598</v>
      </c>
      <c r="BA137" s="140">
        <f t="shared" si="205"/>
        <v>0.64195960547263031</v>
      </c>
      <c r="BB137" s="140">
        <f t="shared" si="205"/>
        <v>0.63575338599652009</v>
      </c>
      <c r="BC137" s="140">
        <f t="shared" si="205"/>
        <v>0.629521150039831</v>
      </c>
      <c r="BD137" s="140">
        <f t="shared" si="205"/>
        <v>0.6234010250505968</v>
      </c>
      <c r="BE137" s="140">
        <f t="shared" si="205"/>
        <v>0.61725662198375009</v>
      </c>
      <c r="BF137" s="140">
        <f t="shared" si="205"/>
        <v>0.61122406727231038</v>
      </c>
      <c r="BG137" s="140">
        <f t="shared" si="205"/>
        <v>0.60520219972294842</v>
      </c>
      <c r="BH137" s="140">
        <f t="shared" si="205"/>
        <v>0.5992582099787952</v>
      </c>
      <c r="BI137" s="140">
        <f t="shared" si="205"/>
        <v>0.59329311026890497</v>
      </c>
      <c r="BJ137" s="140">
        <f t="shared" si="205"/>
        <v>0.58743895563110549</v>
      </c>
      <c r="BK137" s="140">
        <f t="shared" si="205"/>
        <v>0.58156513455682635</v>
      </c>
      <c r="BL137" s="140">
        <f t="shared" si="205"/>
        <v>0.57580163552300512</v>
      </c>
      <c r="BM137" s="140">
        <f t="shared" si="205"/>
        <v>0.57001982442960042</v>
      </c>
      <c r="BN137" s="140">
        <f t="shared" si="205"/>
        <v>0.56434761029711389</v>
      </c>
      <c r="BO137" s="140">
        <f t="shared" si="205"/>
        <v>0.55868965792494907</v>
      </c>
      <c r="BP137" s="140">
        <f t="shared" si="205"/>
        <v>0.55310892431870129</v>
      </c>
      <c r="BQ137" s="140">
        <f t="shared" si="205"/>
        <v>0.54751233427426638</v>
      </c>
      <c r="BR137" s="140">
        <f t="shared" si="205"/>
        <v>0.54202362071855081</v>
      </c>
      <c r="BS137" s="140">
        <f t="shared" si="205"/>
        <v>0.53652016379499834</v>
      </c>
      <c r="BT137" s="140">
        <f t="shared" si="205"/>
        <v>0.53112360113102042</v>
      </c>
      <c r="BU137" s="140">
        <f t="shared" si="205"/>
        <v>0.52571333584603708</v>
      </c>
      <c r="BV137" s="140">
        <f t="shared" si="205"/>
        <v>0.52040891170268189</v>
      </c>
      <c r="BW137" s="140">
        <f t="shared" si="205"/>
        <v>0.51512100530040195</v>
      </c>
      <c r="BX137" s="140">
        <f t="shared" si="205"/>
        <v>0.50990831954210192</v>
      </c>
      <c r="BY137" s="140">
        <f t="shared" si="205"/>
        <v>0.50468380854886741</v>
      </c>
      <c r="BZ137" s="140">
        <f t="shared" si="205"/>
        <v>0.49956284999647149</v>
      </c>
      <c r="CA137" s="140">
        <f t="shared" si="205"/>
        <v>0.49443091273670048</v>
      </c>
      <c r="CB137" s="140">
        <f>EXP(-CB136*CB135)</f>
        <v>0.48940130164104817</v>
      </c>
      <c r="CC137" s="17"/>
      <c r="CD137" s="17"/>
      <c r="CE137" s="17"/>
    </row>
    <row r="138" spans="1:83">
      <c r="A138" s="17"/>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17"/>
      <c r="CD138" s="17"/>
      <c r="CE138" s="17"/>
    </row>
    <row r="139" spans="1:83">
      <c r="A139" s="16" t="s">
        <v>40</v>
      </c>
      <c r="B139" s="140">
        <f t="shared" ref="B139:BM139" si="206">DAYS360($B$3,B52)</f>
        <v>149</v>
      </c>
      <c r="C139" s="140">
        <f t="shared" si="206"/>
        <v>329</v>
      </c>
      <c r="D139" s="140">
        <f t="shared" si="206"/>
        <v>508</v>
      </c>
      <c r="E139" s="140">
        <f t="shared" si="206"/>
        <v>689</v>
      </c>
      <c r="F139" s="140">
        <f t="shared" si="206"/>
        <v>868</v>
      </c>
      <c r="G139" s="140">
        <f t="shared" si="206"/>
        <v>1049</v>
      </c>
      <c r="H139" s="140">
        <f t="shared" si="206"/>
        <v>1228</v>
      </c>
      <c r="I139" s="140">
        <f t="shared" si="206"/>
        <v>1409</v>
      </c>
      <c r="J139" s="140">
        <f t="shared" si="206"/>
        <v>1588</v>
      </c>
      <c r="K139" s="140">
        <f t="shared" si="206"/>
        <v>1768</v>
      </c>
      <c r="L139" s="140">
        <f t="shared" si="206"/>
        <v>1947</v>
      </c>
      <c r="M139" s="140">
        <f t="shared" si="206"/>
        <v>2128</v>
      </c>
      <c r="N139" s="140">
        <f t="shared" si="206"/>
        <v>2307</v>
      </c>
      <c r="O139" s="140">
        <f t="shared" si="206"/>
        <v>2488</v>
      </c>
      <c r="P139" s="140">
        <f t="shared" si="206"/>
        <v>2667</v>
      </c>
      <c r="Q139" s="140">
        <f t="shared" si="206"/>
        <v>2848</v>
      </c>
      <c r="R139" s="140">
        <f t="shared" si="206"/>
        <v>3027</v>
      </c>
      <c r="S139" s="140">
        <f t="shared" si="206"/>
        <v>3207</v>
      </c>
      <c r="T139" s="140">
        <f t="shared" si="206"/>
        <v>3386</v>
      </c>
      <c r="U139" s="140">
        <f t="shared" si="206"/>
        <v>3567</v>
      </c>
      <c r="V139" s="140">
        <f t="shared" si="206"/>
        <v>3746</v>
      </c>
      <c r="W139" s="140">
        <f t="shared" si="206"/>
        <v>3927</v>
      </c>
      <c r="X139" s="140">
        <f t="shared" si="206"/>
        <v>4106</v>
      </c>
      <c r="Y139" s="140">
        <f t="shared" si="206"/>
        <v>4287</v>
      </c>
      <c r="Z139" s="140">
        <f t="shared" si="206"/>
        <v>4466</v>
      </c>
      <c r="AA139" s="140">
        <f t="shared" si="206"/>
        <v>4646</v>
      </c>
      <c r="AB139" s="140">
        <f t="shared" si="206"/>
        <v>4825</v>
      </c>
      <c r="AC139" s="140">
        <f t="shared" si="206"/>
        <v>5006</v>
      </c>
      <c r="AD139" s="140">
        <f t="shared" si="206"/>
        <v>5185</v>
      </c>
      <c r="AE139" s="140">
        <f t="shared" si="206"/>
        <v>5366</v>
      </c>
      <c r="AF139" s="140">
        <f t="shared" si="206"/>
        <v>5545</v>
      </c>
      <c r="AG139" s="140">
        <f t="shared" si="206"/>
        <v>5726</v>
      </c>
      <c r="AH139" s="140">
        <f t="shared" si="206"/>
        <v>5905</v>
      </c>
      <c r="AI139" s="140">
        <f t="shared" si="206"/>
        <v>6085</v>
      </c>
      <c r="AJ139" s="140">
        <f t="shared" si="206"/>
        <v>6264</v>
      </c>
      <c r="AK139" s="140">
        <f t="shared" si="206"/>
        <v>6445</v>
      </c>
      <c r="AL139" s="140">
        <f t="shared" si="206"/>
        <v>6624</v>
      </c>
      <c r="AM139" s="140">
        <f t="shared" si="206"/>
        <v>6805</v>
      </c>
      <c r="AN139" s="140">
        <f t="shared" si="206"/>
        <v>6984</v>
      </c>
      <c r="AO139" s="140">
        <f t="shared" si="206"/>
        <v>7165</v>
      </c>
      <c r="AP139" s="140">
        <f t="shared" si="206"/>
        <v>7344</v>
      </c>
      <c r="AQ139" s="140">
        <f t="shared" si="206"/>
        <v>7524</v>
      </c>
      <c r="AR139" s="140">
        <f t="shared" si="206"/>
        <v>7703</v>
      </c>
      <c r="AS139" s="140">
        <f t="shared" si="206"/>
        <v>7884</v>
      </c>
      <c r="AT139" s="140">
        <f t="shared" si="206"/>
        <v>8063</v>
      </c>
      <c r="AU139" s="140">
        <f t="shared" si="206"/>
        <v>8244</v>
      </c>
      <c r="AV139" s="140">
        <f t="shared" si="206"/>
        <v>8423</v>
      </c>
      <c r="AW139" s="140">
        <f t="shared" si="206"/>
        <v>8604</v>
      </c>
      <c r="AX139" s="140">
        <f t="shared" si="206"/>
        <v>8783</v>
      </c>
      <c r="AY139" s="140">
        <f t="shared" si="206"/>
        <v>8963</v>
      </c>
      <c r="AZ139" s="140">
        <f t="shared" si="206"/>
        <v>9142</v>
      </c>
      <c r="BA139" s="140">
        <f t="shared" si="206"/>
        <v>9323</v>
      </c>
      <c r="BB139" s="140">
        <f t="shared" si="206"/>
        <v>9502</v>
      </c>
      <c r="BC139" s="140">
        <f t="shared" si="206"/>
        <v>9683</v>
      </c>
      <c r="BD139" s="140">
        <f t="shared" si="206"/>
        <v>9862</v>
      </c>
      <c r="BE139" s="140">
        <f t="shared" si="206"/>
        <v>10043</v>
      </c>
      <c r="BF139" s="140">
        <f t="shared" si="206"/>
        <v>10222</v>
      </c>
      <c r="BG139" s="140">
        <f t="shared" si="206"/>
        <v>10402</v>
      </c>
      <c r="BH139" s="140">
        <f t="shared" si="206"/>
        <v>10581</v>
      </c>
      <c r="BI139" s="140">
        <f t="shared" si="206"/>
        <v>10762</v>
      </c>
      <c r="BJ139" s="140">
        <f t="shared" si="206"/>
        <v>10941</v>
      </c>
      <c r="BK139" s="140">
        <f t="shared" si="206"/>
        <v>11122</v>
      </c>
      <c r="BL139" s="140">
        <f t="shared" si="206"/>
        <v>11301</v>
      </c>
      <c r="BM139" s="140">
        <f t="shared" si="206"/>
        <v>11482</v>
      </c>
      <c r="BN139" s="140">
        <f t="shared" ref="BN139:CB139" si="207">DAYS360($B$3,BN52)</f>
        <v>11661</v>
      </c>
      <c r="BO139" s="140">
        <f t="shared" si="207"/>
        <v>11841</v>
      </c>
      <c r="BP139" s="140">
        <f t="shared" si="207"/>
        <v>12020</v>
      </c>
      <c r="BQ139" s="140">
        <f t="shared" si="207"/>
        <v>12201</v>
      </c>
      <c r="BR139" s="140">
        <f t="shared" si="207"/>
        <v>12380</v>
      </c>
      <c r="BS139" s="140">
        <f t="shared" si="207"/>
        <v>12561</v>
      </c>
      <c r="BT139" s="140">
        <f t="shared" si="207"/>
        <v>12740</v>
      </c>
      <c r="BU139" s="140">
        <f t="shared" si="207"/>
        <v>12921</v>
      </c>
      <c r="BV139" s="140">
        <f t="shared" si="207"/>
        <v>13100</v>
      </c>
      <c r="BW139" s="140">
        <f t="shared" si="207"/>
        <v>13280</v>
      </c>
      <c r="BX139" s="140">
        <f t="shared" si="207"/>
        <v>13459</v>
      </c>
      <c r="BY139" s="140">
        <f t="shared" si="207"/>
        <v>13640</v>
      </c>
      <c r="BZ139" s="140">
        <f t="shared" si="207"/>
        <v>13819</v>
      </c>
      <c r="CA139" s="140">
        <f t="shared" si="207"/>
        <v>14000</v>
      </c>
      <c r="CB139" s="140">
        <f t="shared" si="207"/>
        <v>14179</v>
      </c>
      <c r="CC139" s="17"/>
      <c r="CD139" s="17"/>
      <c r="CE139" s="17"/>
    </row>
    <row r="140" spans="1:83">
      <c r="A140" s="16" t="s">
        <v>41</v>
      </c>
      <c r="B140" s="140">
        <f>B139/360</f>
        <v>0.41388888888888886</v>
      </c>
      <c r="C140" s="140">
        <f t="shared" ref="C140:BN140" si="208">C139/360</f>
        <v>0.91388888888888886</v>
      </c>
      <c r="D140" s="140">
        <f t="shared" si="208"/>
        <v>1.4111111111111112</v>
      </c>
      <c r="E140" s="140">
        <f t="shared" si="208"/>
        <v>1.913888888888889</v>
      </c>
      <c r="F140" s="140">
        <f t="shared" si="208"/>
        <v>2.411111111111111</v>
      </c>
      <c r="G140" s="140">
        <f t="shared" si="208"/>
        <v>2.9138888888888888</v>
      </c>
      <c r="H140" s="140">
        <f t="shared" si="208"/>
        <v>3.411111111111111</v>
      </c>
      <c r="I140" s="140">
        <f t="shared" si="208"/>
        <v>3.9138888888888888</v>
      </c>
      <c r="J140" s="140">
        <f t="shared" si="208"/>
        <v>4.4111111111111114</v>
      </c>
      <c r="K140" s="140">
        <f t="shared" si="208"/>
        <v>4.9111111111111114</v>
      </c>
      <c r="L140" s="140">
        <f t="shared" si="208"/>
        <v>5.4083333333333332</v>
      </c>
      <c r="M140" s="140">
        <f t="shared" si="208"/>
        <v>5.9111111111111114</v>
      </c>
      <c r="N140" s="140">
        <f t="shared" si="208"/>
        <v>6.4083333333333332</v>
      </c>
      <c r="O140" s="140">
        <f t="shared" si="208"/>
        <v>6.9111111111111114</v>
      </c>
      <c r="P140" s="140">
        <f t="shared" si="208"/>
        <v>7.4083333333333332</v>
      </c>
      <c r="Q140" s="140">
        <f t="shared" si="208"/>
        <v>7.9111111111111114</v>
      </c>
      <c r="R140" s="140">
        <f t="shared" si="208"/>
        <v>8.4083333333333332</v>
      </c>
      <c r="S140" s="140">
        <f t="shared" si="208"/>
        <v>8.9083333333333332</v>
      </c>
      <c r="T140" s="140">
        <f t="shared" si="208"/>
        <v>9.405555555555555</v>
      </c>
      <c r="U140" s="140">
        <f t="shared" si="208"/>
        <v>9.9083333333333332</v>
      </c>
      <c r="V140" s="140">
        <f t="shared" si="208"/>
        <v>10.405555555555555</v>
      </c>
      <c r="W140" s="140">
        <f t="shared" si="208"/>
        <v>10.908333333333333</v>
      </c>
      <c r="X140" s="140">
        <f t="shared" si="208"/>
        <v>11.405555555555555</v>
      </c>
      <c r="Y140" s="140">
        <f t="shared" si="208"/>
        <v>11.908333333333333</v>
      </c>
      <c r="Z140" s="140">
        <f t="shared" si="208"/>
        <v>12.405555555555555</v>
      </c>
      <c r="AA140" s="140">
        <f t="shared" si="208"/>
        <v>12.905555555555555</v>
      </c>
      <c r="AB140" s="140">
        <f t="shared" si="208"/>
        <v>13.402777777777779</v>
      </c>
      <c r="AC140" s="140">
        <f t="shared" si="208"/>
        <v>13.905555555555555</v>
      </c>
      <c r="AD140" s="140">
        <f t="shared" si="208"/>
        <v>14.402777777777779</v>
      </c>
      <c r="AE140" s="140">
        <f t="shared" si="208"/>
        <v>14.905555555555555</v>
      </c>
      <c r="AF140" s="140">
        <f t="shared" si="208"/>
        <v>15.402777777777779</v>
      </c>
      <c r="AG140" s="140">
        <f t="shared" si="208"/>
        <v>15.905555555555555</v>
      </c>
      <c r="AH140" s="140">
        <f t="shared" si="208"/>
        <v>16.402777777777779</v>
      </c>
      <c r="AI140" s="140">
        <f t="shared" si="208"/>
        <v>16.902777777777779</v>
      </c>
      <c r="AJ140" s="140">
        <f t="shared" si="208"/>
        <v>17.399999999999999</v>
      </c>
      <c r="AK140" s="140">
        <f t="shared" si="208"/>
        <v>17.902777777777779</v>
      </c>
      <c r="AL140" s="140">
        <f t="shared" si="208"/>
        <v>18.399999999999999</v>
      </c>
      <c r="AM140" s="140">
        <f t="shared" si="208"/>
        <v>18.902777777777779</v>
      </c>
      <c r="AN140" s="140">
        <f t="shared" si="208"/>
        <v>19.399999999999999</v>
      </c>
      <c r="AO140" s="140">
        <f t="shared" si="208"/>
        <v>19.902777777777779</v>
      </c>
      <c r="AP140" s="140">
        <f t="shared" si="208"/>
        <v>20.399999999999999</v>
      </c>
      <c r="AQ140" s="140">
        <f t="shared" si="208"/>
        <v>20.9</v>
      </c>
      <c r="AR140" s="140">
        <f t="shared" si="208"/>
        <v>21.397222222222222</v>
      </c>
      <c r="AS140" s="140">
        <f t="shared" si="208"/>
        <v>21.9</v>
      </c>
      <c r="AT140" s="140">
        <f t="shared" si="208"/>
        <v>22.397222222222222</v>
      </c>
      <c r="AU140" s="140">
        <f t="shared" si="208"/>
        <v>22.9</v>
      </c>
      <c r="AV140" s="140">
        <f t="shared" si="208"/>
        <v>23.397222222222222</v>
      </c>
      <c r="AW140" s="140">
        <f t="shared" si="208"/>
        <v>23.9</v>
      </c>
      <c r="AX140" s="140">
        <f t="shared" si="208"/>
        <v>24.397222222222222</v>
      </c>
      <c r="AY140" s="140">
        <f t="shared" si="208"/>
        <v>24.897222222222222</v>
      </c>
      <c r="AZ140" s="140">
        <f t="shared" si="208"/>
        <v>25.394444444444446</v>
      </c>
      <c r="BA140" s="140">
        <f t="shared" si="208"/>
        <v>25.897222222222222</v>
      </c>
      <c r="BB140" s="140">
        <f t="shared" si="208"/>
        <v>26.394444444444446</v>
      </c>
      <c r="BC140" s="140">
        <f t="shared" si="208"/>
        <v>26.897222222222222</v>
      </c>
      <c r="BD140" s="140">
        <f t="shared" si="208"/>
        <v>27.394444444444446</v>
      </c>
      <c r="BE140" s="140">
        <f t="shared" si="208"/>
        <v>27.897222222222222</v>
      </c>
      <c r="BF140" s="140">
        <f t="shared" si="208"/>
        <v>28.394444444444446</v>
      </c>
      <c r="BG140" s="140">
        <f t="shared" si="208"/>
        <v>28.894444444444446</v>
      </c>
      <c r="BH140" s="140">
        <f t="shared" si="208"/>
        <v>29.391666666666666</v>
      </c>
      <c r="BI140" s="140">
        <f t="shared" si="208"/>
        <v>29.894444444444446</v>
      </c>
      <c r="BJ140" s="140">
        <f t="shared" si="208"/>
        <v>30.391666666666666</v>
      </c>
      <c r="BK140" s="140">
        <f t="shared" si="208"/>
        <v>30.894444444444446</v>
      </c>
      <c r="BL140" s="140">
        <f t="shared" si="208"/>
        <v>31.391666666666666</v>
      </c>
      <c r="BM140" s="140">
        <f t="shared" si="208"/>
        <v>31.894444444444446</v>
      </c>
      <c r="BN140" s="140">
        <f t="shared" si="208"/>
        <v>32.391666666666666</v>
      </c>
      <c r="BO140" s="140">
        <f t="shared" ref="BO140:CB140" si="209">BO139/360</f>
        <v>32.891666666666666</v>
      </c>
      <c r="BP140" s="140">
        <f t="shared" si="209"/>
        <v>33.388888888888886</v>
      </c>
      <c r="BQ140" s="140">
        <f t="shared" si="209"/>
        <v>33.891666666666666</v>
      </c>
      <c r="BR140" s="140">
        <f t="shared" si="209"/>
        <v>34.388888888888886</v>
      </c>
      <c r="BS140" s="140">
        <f t="shared" si="209"/>
        <v>34.891666666666666</v>
      </c>
      <c r="BT140" s="140">
        <f t="shared" si="209"/>
        <v>35.388888888888886</v>
      </c>
      <c r="BU140" s="140">
        <f t="shared" si="209"/>
        <v>35.891666666666666</v>
      </c>
      <c r="BV140" s="140">
        <f t="shared" si="209"/>
        <v>36.388888888888886</v>
      </c>
      <c r="BW140" s="140">
        <f t="shared" si="209"/>
        <v>36.888888888888886</v>
      </c>
      <c r="BX140" s="140">
        <f t="shared" si="209"/>
        <v>37.386111111111113</v>
      </c>
      <c r="BY140" s="140">
        <f t="shared" si="209"/>
        <v>37.888888888888886</v>
      </c>
      <c r="BZ140" s="140">
        <f t="shared" si="209"/>
        <v>38.386111111111113</v>
      </c>
      <c r="CA140" s="140">
        <f t="shared" si="209"/>
        <v>38.888888888888886</v>
      </c>
      <c r="CB140" s="140">
        <f t="shared" si="209"/>
        <v>39.386111111111113</v>
      </c>
      <c r="CC140" s="17"/>
      <c r="CD140" s="17"/>
      <c r="CE140" s="17"/>
    </row>
    <row r="141" spans="1:83">
      <c r="A141" s="16" t="s">
        <v>43</v>
      </c>
      <c r="B141" s="140">
        <f>IF(B139&lt;0,0,$B$5+$B$6*((1-EXP(-B140/$B$9))/(B140/$B$9))+$B$7*((1-EXP(-B140/$B$9))/(B140/$B$9)-EXP(-B140/$B$9))+$B$8*((1-EXP(-B140/$B$10))/(B140/$B$10)-EXP(-B140/$B$10)))</f>
        <v>1.3657224885426195E-2</v>
      </c>
      <c r="C141" s="140">
        <f t="shared" ref="C141:BN141" si="210">IF(C139&lt;0,0,$B$5+$B$6*((1-EXP(-C140/$B$9))/(C140/$B$9))+$B$7*((1-EXP(-C140/$B$9))/(C140/$B$9)-EXP(-C140/$B$9))+$B$8*((1-EXP(-C140/$B$10))/(C140/$B$10)-EXP(-C140/$B$10)))</f>
        <v>1.3751028517127274E-2</v>
      </c>
      <c r="D141" s="140">
        <f t="shared" si="210"/>
        <v>1.3843070613652187E-2</v>
      </c>
      <c r="E141" s="140">
        <f t="shared" si="210"/>
        <v>1.3934898001429543E-2</v>
      </c>
      <c r="F141" s="140">
        <f t="shared" si="210"/>
        <v>1.4024495658803732E-2</v>
      </c>
      <c r="G141" s="140">
        <f t="shared" si="210"/>
        <v>1.411388015020975E-2</v>
      </c>
      <c r="H141" s="140">
        <f t="shared" si="210"/>
        <v>1.420109015746677E-2</v>
      </c>
      <c r="I141" s="140">
        <f t="shared" si="210"/>
        <v>1.4288088604889065E-2</v>
      </c>
      <c r="J141" s="140">
        <f t="shared" si="210"/>
        <v>1.4372966626467833E-2</v>
      </c>
      <c r="K141" s="140">
        <f t="shared" si="210"/>
        <v>1.445717015015913E-2</v>
      </c>
      <c r="L141" s="140">
        <f t="shared" si="210"/>
        <v>1.4539776997801538E-2</v>
      </c>
      <c r="M141" s="140">
        <f t="shared" si="210"/>
        <v>1.4622175674039801E-2</v>
      </c>
      <c r="N141" s="140">
        <f t="shared" si="210"/>
        <v>1.4702558424809326E-2</v>
      </c>
      <c r="O141" s="140">
        <f t="shared" si="210"/>
        <v>1.4782734786810203E-2</v>
      </c>
      <c r="P141" s="140">
        <f t="shared" si="210"/>
        <v>1.4860945854596453E-2</v>
      </c>
      <c r="Q141" s="140">
        <f t="shared" si="210"/>
        <v>1.4938952370840596E-2</v>
      </c>
      <c r="R141" s="140">
        <f t="shared" si="210"/>
        <v>1.5015043123956654E-2</v>
      </c>
      <c r="S141" s="140">
        <f t="shared" si="210"/>
        <v>1.5090514829254184E-2</v>
      </c>
      <c r="T141" s="140">
        <f t="shared" si="210"/>
        <v>1.5164541290504039E-2</v>
      </c>
      <c r="U141" s="140">
        <f t="shared" si="210"/>
        <v>1.5238367024752853E-2</v>
      </c>
      <c r="V141" s="140">
        <f t="shared" si="210"/>
        <v>1.5310372710980444E-2</v>
      </c>
      <c r="W141" s="140">
        <f t="shared" si="210"/>
        <v>1.5382179658850872E-2</v>
      </c>
      <c r="X141" s="140">
        <f t="shared" si="210"/>
        <v>1.5452212916675276E-2</v>
      </c>
      <c r="Y141" s="140">
        <f t="shared" si="210"/>
        <v>1.5522049471387959E-2</v>
      </c>
      <c r="Z141" s="140">
        <f t="shared" si="210"/>
        <v>1.5590157675616199E-2</v>
      </c>
      <c r="AA141" s="140">
        <f t="shared" si="210"/>
        <v>1.5657698661956071E-2</v>
      </c>
      <c r="AB141" s="140">
        <f t="shared" si="210"/>
        <v>1.572393338825346E-2</v>
      </c>
      <c r="AC141" s="140">
        <f t="shared" si="210"/>
        <v>1.5789975608284008E-2</v>
      </c>
      <c r="AD141" s="140">
        <f t="shared" si="210"/>
        <v>1.585437706048503E-2</v>
      </c>
      <c r="AE141" s="140">
        <f t="shared" si="210"/>
        <v>1.5918588170221872E-2</v>
      </c>
      <c r="AF141" s="140">
        <f t="shared" si="210"/>
        <v>1.5981200915054221E-2</v>
      </c>
      <c r="AG141" s="140">
        <f t="shared" si="210"/>
        <v>1.6043625520550928E-2</v>
      </c>
      <c r="AH141" s="140">
        <f t="shared" si="210"/>
        <v>1.6104493221775519E-2</v>
      </c>
      <c r="AI141" s="140">
        <f t="shared" si="210"/>
        <v>1.6164842138341535E-2</v>
      </c>
      <c r="AJ141" s="140">
        <f t="shared" si="210"/>
        <v>1.6224012243320242E-2</v>
      </c>
      <c r="AK141" s="140">
        <f t="shared" si="210"/>
        <v>1.6282998720005343E-2</v>
      </c>
      <c r="AL141" s="140">
        <f t="shared" si="210"/>
        <v>1.6340508350463873E-2</v>
      </c>
      <c r="AM141" s="140">
        <f t="shared" si="210"/>
        <v>1.6397836663512522E-2</v>
      </c>
      <c r="AN141" s="140">
        <f t="shared" si="210"/>
        <v>1.6453726874485396E-2</v>
      </c>
      <c r="AO141" s="140">
        <f t="shared" si="210"/>
        <v>1.6509438111642072E-2</v>
      </c>
      <c r="AP141" s="140">
        <f t="shared" si="210"/>
        <v>1.6563749119440176E-2</v>
      </c>
      <c r="AQ141" s="140">
        <f t="shared" si="210"/>
        <v>1.6617586589050697E-2</v>
      </c>
      <c r="AR141" s="140">
        <f t="shared" si="210"/>
        <v>1.6670362010087959E-2</v>
      </c>
      <c r="AS141" s="140">
        <f t="shared" si="210"/>
        <v>1.6722963229714019E-2</v>
      </c>
      <c r="AT141" s="140">
        <f t="shared" si="210"/>
        <v>1.6774237319239084E-2</v>
      </c>
      <c r="AU141" s="140">
        <f t="shared" si="210"/>
        <v>1.6825339639802307E-2</v>
      </c>
      <c r="AV141" s="140">
        <f t="shared" si="210"/>
        <v>1.6875150191408644E-2</v>
      </c>
      <c r="AW141" s="140">
        <f t="shared" si="210"/>
        <v>1.6924791433206774E-2</v>
      </c>
      <c r="AX141" s="140">
        <f t="shared" si="210"/>
        <v>1.6973175461701896E-2</v>
      </c>
      <c r="AY141" s="140">
        <f t="shared" si="210"/>
        <v>1.7021128208973064E-2</v>
      </c>
      <c r="AZ141" s="140">
        <f t="shared" si="210"/>
        <v>1.7068125777088852E-2</v>
      </c>
      <c r="BA141" s="140">
        <f t="shared" si="210"/>
        <v>1.71149590212012E-2</v>
      </c>
      <c r="BB141" s="140">
        <f t="shared" si="210"/>
        <v>1.7160601719047722E-2</v>
      </c>
      <c r="BC141" s="140">
        <f t="shared" si="210"/>
        <v>1.7206082623758223E-2</v>
      </c>
      <c r="BD141" s="140">
        <f t="shared" si="210"/>
        <v>1.7250405216950829E-2</v>
      </c>
      <c r="BE141" s="140">
        <f t="shared" si="210"/>
        <v>1.7294568569136783E-2</v>
      </c>
      <c r="BF141" s="140">
        <f t="shared" si="210"/>
        <v>1.7337605100414058E-2</v>
      </c>
      <c r="BG141" s="140">
        <f t="shared" si="210"/>
        <v>1.7380249803243885E-2</v>
      </c>
      <c r="BH141" s="140">
        <f t="shared" si="210"/>
        <v>1.742203704013514E-2</v>
      </c>
      <c r="BI141" s="140">
        <f t="shared" si="210"/>
        <v>1.7463670191760899E-2</v>
      </c>
      <c r="BJ141" s="140">
        <f t="shared" si="210"/>
        <v>1.7504237247198583E-2</v>
      </c>
      <c r="BK141" s="140">
        <f t="shared" si="210"/>
        <v>1.7544652825695044E-2</v>
      </c>
      <c r="BL141" s="140">
        <f t="shared" si="210"/>
        <v>1.7584031655073159E-2</v>
      </c>
      <c r="BM141" s="140">
        <f t="shared" si="210"/>
        <v>1.7623261632174144E-2</v>
      </c>
      <c r="BN141" s="140">
        <f t="shared" si="210"/>
        <v>1.7661483520151382E-2</v>
      </c>
      <c r="BO141" s="140">
        <f t="shared" ref="BO141:CB141" si="211">IF(BO139&lt;0,0,$B$5+$B$6*((1-EXP(-BO140/$B$9))/(BO140/$B$9))+$B$7*((1-EXP(-BO140/$B$9))/(BO140/$B$9)-EXP(-BO140/$B$9))+$B$8*((1-EXP(-BO140/$B$10))/(BO140/$B$10)-EXP(-BO140/$B$10)))</f>
        <v>1.7699350402373592E-2</v>
      </c>
      <c r="BP141" s="140">
        <f t="shared" si="211"/>
        <v>1.7736449062190331E-2</v>
      </c>
      <c r="BQ141" s="140">
        <f t="shared" si="211"/>
        <v>1.7773404156097853E-2</v>
      </c>
      <c r="BR141" s="140">
        <f t="shared" si="211"/>
        <v>1.7809406398950269E-2</v>
      </c>
      <c r="BS141" s="140">
        <f t="shared" si="211"/>
        <v>1.7845267742730996E-2</v>
      </c>
      <c r="BT141" s="140">
        <f t="shared" si="211"/>
        <v>1.7880202916858202E-2</v>
      </c>
      <c r="BU141" s="140">
        <f t="shared" si="211"/>
        <v>1.7914999870648974E-2</v>
      </c>
      <c r="BV141" s="140">
        <f t="shared" si="211"/>
        <v>1.7948896702172503E-2</v>
      </c>
      <c r="BW141" s="140">
        <f t="shared" si="211"/>
        <v>1.7982472884105802E-2</v>
      </c>
      <c r="BX141" s="140">
        <f t="shared" si="211"/>
        <v>1.8015362256468801E-2</v>
      </c>
      <c r="BY141" s="140">
        <f t="shared" si="211"/>
        <v>1.8048118790011895E-2</v>
      </c>
      <c r="BZ141" s="140">
        <f t="shared" si="211"/>
        <v>1.8080025376399283E-2</v>
      </c>
      <c r="CA141" s="140">
        <f t="shared" si="211"/>
        <v>1.8111801832235368E-2</v>
      </c>
      <c r="CB141" s="140">
        <f t="shared" si="211"/>
        <v>1.8142752563059698E-2</v>
      </c>
      <c r="CC141" s="17"/>
      <c r="CD141" s="17"/>
      <c r="CE141" s="17"/>
    </row>
    <row r="142" spans="1:83">
      <c r="A142" s="16" t="s">
        <v>44</v>
      </c>
      <c r="B142" s="140">
        <f>EXP(-B141*B140)</f>
        <v>0.99436337210224257</v>
      </c>
      <c r="C142" s="140">
        <f t="shared" ref="C142:AR142" si="212">EXP(-C141*C140)</f>
        <v>0.98751172172840351</v>
      </c>
      <c r="D142" s="140">
        <f t="shared" si="212"/>
        <v>0.9806554437207381</v>
      </c>
      <c r="E142" s="140">
        <f t="shared" si="212"/>
        <v>0.97368265324568581</v>
      </c>
      <c r="F142" s="140">
        <f t="shared" si="212"/>
        <v>0.9667507068724478</v>
      </c>
      <c r="G142" s="140">
        <f t="shared" si="212"/>
        <v>0.9597079317706938</v>
      </c>
      <c r="H142" s="140">
        <f t="shared" si="212"/>
        <v>0.95271307479530409</v>
      </c>
      <c r="I142" s="140">
        <f t="shared" si="212"/>
        <v>0.94561289910851531</v>
      </c>
      <c r="J142" s="140">
        <f t="shared" si="212"/>
        <v>0.93856726486489461</v>
      </c>
      <c r="K142" s="140">
        <f t="shared" si="212"/>
        <v>0.93146117587123789</v>
      </c>
      <c r="L142" s="140">
        <f t="shared" si="212"/>
        <v>0.92437637262452599</v>
      </c>
      <c r="M142" s="140">
        <f t="shared" si="212"/>
        <v>0.91719671909245604</v>
      </c>
      <c r="N142" s="140">
        <f t="shared" si="212"/>
        <v>0.91008352748454635</v>
      </c>
      <c r="O142" s="140">
        <f t="shared" si="212"/>
        <v>0.9028804533574466</v>
      </c>
      <c r="P142" s="140">
        <f t="shared" si="212"/>
        <v>0.89574917793262698</v>
      </c>
      <c r="Q142" s="140">
        <f t="shared" si="212"/>
        <v>0.8885328034019101</v>
      </c>
      <c r="R142" s="140">
        <f t="shared" si="212"/>
        <v>0.88139315945791841</v>
      </c>
      <c r="S142" s="140">
        <f t="shared" si="212"/>
        <v>0.87421290353403114</v>
      </c>
      <c r="T142" s="140">
        <f t="shared" si="212"/>
        <v>0.86707401601808765</v>
      </c>
      <c r="U142" s="140">
        <f t="shared" si="212"/>
        <v>0.8598590315807918</v>
      </c>
      <c r="V142" s="140">
        <f t="shared" si="212"/>
        <v>0.8527294693213352</v>
      </c>
      <c r="W142" s="140">
        <f t="shared" si="212"/>
        <v>0.84552804361298073</v>
      </c>
      <c r="X142" s="140">
        <f t="shared" si="212"/>
        <v>0.83841583965343935</v>
      </c>
      <c r="Y142" s="140">
        <f t="shared" si="212"/>
        <v>0.83123582555466002</v>
      </c>
      <c r="Z142" s="140">
        <f t="shared" si="212"/>
        <v>0.82414848326873835</v>
      </c>
      <c r="AA142" s="140">
        <f t="shared" si="212"/>
        <v>0.81703667118831946</v>
      </c>
      <c r="AB142" s="140">
        <f t="shared" si="212"/>
        <v>0.80998108374033495</v>
      </c>
      <c r="AC142" s="140">
        <f t="shared" si="212"/>
        <v>0.80286525344755766</v>
      </c>
      <c r="AD142" s="140">
        <f t="shared" si="212"/>
        <v>0.79584799724520716</v>
      </c>
      <c r="AE142" s="140">
        <f t="shared" si="212"/>
        <v>0.78877402946871311</v>
      </c>
      <c r="AF142" s="140">
        <f t="shared" si="212"/>
        <v>0.78180112525077505</v>
      </c>
      <c r="AG142" s="140">
        <f t="shared" si="212"/>
        <v>0.77477487396855615</v>
      </c>
      <c r="AH142" s="140">
        <f t="shared" si="212"/>
        <v>0.76785188420633199</v>
      </c>
      <c r="AI142" s="140">
        <f t="shared" si="212"/>
        <v>0.7609171975405683</v>
      </c>
      <c r="AJ142" s="140">
        <f t="shared" si="212"/>
        <v>0.75404908544473159</v>
      </c>
      <c r="AK142" s="140">
        <f t="shared" si="212"/>
        <v>0.74713386409123173</v>
      </c>
      <c r="AL142" s="140">
        <f t="shared" si="212"/>
        <v>0.74032547851776209</v>
      </c>
      <c r="AM142" s="140">
        <f t="shared" si="212"/>
        <v>0.73347287487382617</v>
      </c>
      <c r="AN142" s="140">
        <f t="shared" si="212"/>
        <v>0.72672851626351043</v>
      </c>
      <c r="AO142" s="140">
        <f t="shared" si="212"/>
        <v>0.71994268236162262</v>
      </c>
      <c r="AP142" s="140">
        <f t="shared" si="212"/>
        <v>0.71326626717265273</v>
      </c>
      <c r="AQ142" s="140">
        <f t="shared" si="212"/>
        <v>0.70658797684112729</v>
      </c>
      <c r="AR142" s="140">
        <f t="shared" si="212"/>
        <v>0.69998285264881843</v>
      </c>
      <c r="AS142" s="140">
        <f>EXP(-AS141*AS140)</f>
        <v>0.69334130686792328</v>
      </c>
      <c r="AT142" s="140">
        <f t="shared" ref="AT142:CA142" si="213">EXP(-AT141*AT140)</f>
        <v>0.68681087151983888</v>
      </c>
      <c r="AU142" s="140">
        <f t="shared" si="213"/>
        <v>0.68024634269149331</v>
      </c>
      <c r="AV142" s="140">
        <f t="shared" si="213"/>
        <v>0.67379347020074931</v>
      </c>
      <c r="AW142" s="140">
        <f t="shared" si="213"/>
        <v>0.66730870419714272</v>
      </c>
      <c r="AX142" s="140">
        <f t="shared" si="213"/>
        <v>0.66093595588758003</v>
      </c>
      <c r="AY142" s="140">
        <f t="shared" si="213"/>
        <v>0.65456864896088307</v>
      </c>
      <c r="AZ142" s="140">
        <f t="shared" si="213"/>
        <v>0.64827805864750598</v>
      </c>
      <c r="BA142" s="140">
        <f t="shared" si="213"/>
        <v>0.64195960547263031</v>
      </c>
      <c r="BB142" s="140">
        <f t="shared" si="213"/>
        <v>0.63575338599652009</v>
      </c>
      <c r="BC142" s="140">
        <f t="shared" si="213"/>
        <v>0.629521150039831</v>
      </c>
      <c r="BD142" s="140">
        <f t="shared" si="213"/>
        <v>0.6234010250505968</v>
      </c>
      <c r="BE142" s="140">
        <f t="shared" si="213"/>
        <v>0.61725662198375009</v>
      </c>
      <c r="BF142" s="140">
        <f t="shared" si="213"/>
        <v>0.61122406727231038</v>
      </c>
      <c r="BG142" s="140">
        <f t="shared" si="213"/>
        <v>0.60520219972294842</v>
      </c>
      <c r="BH142" s="140">
        <f t="shared" si="213"/>
        <v>0.5992582099787952</v>
      </c>
      <c r="BI142" s="140">
        <f t="shared" si="213"/>
        <v>0.59329311026890497</v>
      </c>
      <c r="BJ142" s="140">
        <f t="shared" si="213"/>
        <v>0.58743895563110549</v>
      </c>
      <c r="BK142" s="140">
        <f t="shared" si="213"/>
        <v>0.58156513455682635</v>
      </c>
      <c r="BL142" s="140">
        <f t="shared" si="213"/>
        <v>0.57580163552300512</v>
      </c>
      <c r="BM142" s="140">
        <f t="shared" si="213"/>
        <v>0.57001982442960042</v>
      </c>
      <c r="BN142" s="140">
        <f t="shared" si="213"/>
        <v>0.56434761029711389</v>
      </c>
      <c r="BO142" s="140">
        <f t="shared" si="213"/>
        <v>0.55868965792494907</v>
      </c>
      <c r="BP142" s="140">
        <f t="shared" si="213"/>
        <v>0.55310892431870129</v>
      </c>
      <c r="BQ142" s="140">
        <f t="shared" si="213"/>
        <v>0.54751233427426638</v>
      </c>
      <c r="BR142" s="140">
        <f t="shared" si="213"/>
        <v>0.54202362071855081</v>
      </c>
      <c r="BS142" s="140">
        <f t="shared" si="213"/>
        <v>0.53652016379499834</v>
      </c>
      <c r="BT142" s="140">
        <f t="shared" si="213"/>
        <v>0.53112360113102042</v>
      </c>
      <c r="BU142" s="140">
        <f t="shared" si="213"/>
        <v>0.52571333584603708</v>
      </c>
      <c r="BV142" s="140">
        <f t="shared" si="213"/>
        <v>0.52040891170268189</v>
      </c>
      <c r="BW142" s="140">
        <f t="shared" si="213"/>
        <v>0.51512100530040195</v>
      </c>
      <c r="BX142" s="140">
        <f t="shared" si="213"/>
        <v>0.50990831954210192</v>
      </c>
      <c r="BY142" s="140">
        <f t="shared" si="213"/>
        <v>0.50468380854886741</v>
      </c>
      <c r="BZ142" s="140">
        <f t="shared" si="213"/>
        <v>0.49956284999647149</v>
      </c>
      <c r="CA142" s="140">
        <f t="shared" si="213"/>
        <v>0.49443091273670048</v>
      </c>
      <c r="CB142" s="140">
        <f>EXP(-CB141*CB140)</f>
        <v>0.48940130164104817</v>
      </c>
      <c r="CC142" s="17"/>
      <c r="CD142" s="17"/>
      <c r="CE142" s="17"/>
    </row>
    <row r="143" spans="1:83">
      <c r="A143" s="17"/>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17"/>
      <c r="CD143" s="17"/>
      <c r="CE143" s="17"/>
    </row>
    <row r="144" spans="1:83">
      <c r="A144" s="16" t="s">
        <v>40</v>
      </c>
      <c r="B144" s="140">
        <f t="shared" ref="B144:BM144" si="214">DAYS360($B$3,B54)</f>
        <v>149</v>
      </c>
      <c r="C144" s="140">
        <f t="shared" si="214"/>
        <v>329</v>
      </c>
      <c r="D144" s="140">
        <f t="shared" si="214"/>
        <v>508</v>
      </c>
      <c r="E144" s="140">
        <f t="shared" si="214"/>
        <v>689</v>
      </c>
      <c r="F144" s="140">
        <f t="shared" si="214"/>
        <v>868</v>
      </c>
      <c r="G144" s="140">
        <f t="shared" si="214"/>
        <v>1049</v>
      </c>
      <c r="H144" s="140">
        <f t="shared" si="214"/>
        <v>1228</v>
      </c>
      <c r="I144" s="140">
        <f t="shared" si="214"/>
        <v>1409</v>
      </c>
      <c r="J144" s="140">
        <f t="shared" si="214"/>
        <v>1588</v>
      </c>
      <c r="K144" s="140">
        <f t="shared" si="214"/>
        <v>1768</v>
      </c>
      <c r="L144" s="140">
        <f t="shared" si="214"/>
        <v>1947</v>
      </c>
      <c r="M144" s="140">
        <f t="shared" si="214"/>
        <v>2128</v>
      </c>
      <c r="N144" s="140">
        <f t="shared" si="214"/>
        <v>2307</v>
      </c>
      <c r="O144" s="140">
        <f t="shared" si="214"/>
        <v>2488</v>
      </c>
      <c r="P144" s="140">
        <f t="shared" si="214"/>
        <v>2667</v>
      </c>
      <c r="Q144" s="140">
        <f t="shared" si="214"/>
        <v>2848</v>
      </c>
      <c r="R144" s="140">
        <f t="shared" si="214"/>
        <v>3027</v>
      </c>
      <c r="S144" s="140">
        <f t="shared" si="214"/>
        <v>3207</v>
      </c>
      <c r="T144" s="140">
        <f t="shared" si="214"/>
        <v>3386</v>
      </c>
      <c r="U144" s="140">
        <f t="shared" si="214"/>
        <v>3567</v>
      </c>
      <c r="V144" s="140">
        <f t="shared" si="214"/>
        <v>3746</v>
      </c>
      <c r="W144" s="140">
        <f t="shared" si="214"/>
        <v>3927</v>
      </c>
      <c r="X144" s="140">
        <f t="shared" si="214"/>
        <v>4106</v>
      </c>
      <c r="Y144" s="140">
        <f t="shared" si="214"/>
        <v>4287</v>
      </c>
      <c r="Z144" s="140">
        <f t="shared" si="214"/>
        <v>4466</v>
      </c>
      <c r="AA144" s="140">
        <f t="shared" si="214"/>
        <v>4646</v>
      </c>
      <c r="AB144" s="140">
        <f t="shared" si="214"/>
        <v>4825</v>
      </c>
      <c r="AC144" s="140">
        <f t="shared" si="214"/>
        <v>5006</v>
      </c>
      <c r="AD144" s="140">
        <f t="shared" si="214"/>
        <v>5185</v>
      </c>
      <c r="AE144" s="140">
        <f t="shared" si="214"/>
        <v>5366</v>
      </c>
      <c r="AF144" s="140">
        <f t="shared" si="214"/>
        <v>5545</v>
      </c>
      <c r="AG144" s="140">
        <f t="shared" si="214"/>
        <v>5726</v>
      </c>
      <c r="AH144" s="140">
        <f t="shared" si="214"/>
        <v>5905</v>
      </c>
      <c r="AI144" s="140">
        <f t="shared" si="214"/>
        <v>6085</v>
      </c>
      <c r="AJ144" s="140">
        <f t="shared" si="214"/>
        <v>6264</v>
      </c>
      <c r="AK144" s="140">
        <f t="shared" si="214"/>
        <v>6445</v>
      </c>
      <c r="AL144" s="140">
        <f t="shared" si="214"/>
        <v>6624</v>
      </c>
      <c r="AM144" s="140">
        <f t="shared" si="214"/>
        <v>6805</v>
      </c>
      <c r="AN144" s="140">
        <f t="shared" si="214"/>
        <v>6984</v>
      </c>
      <c r="AO144" s="140">
        <f t="shared" si="214"/>
        <v>7165</v>
      </c>
      <c r="AP144" s="140">
        <f t="shared" si="214"/>
        <v>7344</v>
      </c>
      <c r="AQ144" s="140">
        <f t="shared" si="214"/>
        <v>7524</v>
      </c>
      <c r="AR144" s="140">
        <f t="shared" si="214"/>
        <v>7703</v>
      </c>
      <c r="AS144" s="140">
        <f t="shared" si="214"/>
        <v>7884</v>
      </c>
      <c r="AT144" s="140">
        <f t="shared" si="214"/>
        <v>8063</v>
      </c>
      <c r="AU144" s="140">
        <f t="shared" si="214"/>
        <v>8244</v>
      </c>
      <c r="AV144" s="140">
        <f t="shared" si="214"/>
        <v>8423</v>
      </c>
      <c r="AW144" s="140">
        <f t="shared" si="214"/>
        <v>8604</v>
      </c>
      <c r="AX144" s="140">
        <f t="shared" si="214"/>
        <v>8783</v>
      </c>
      <c r="AY144" s="140">
        <f t="shared" si="214"/>
        <v>8963</v>
      </c>
      <c r="AZ144" s="140">
        <f t="shared" si="214"/>
        <v>9142</v>
      </c>
      <c r="BA144" s="140">
        <f t="shared" si="214"/>
        <v>9323</v>
      </c>
      <c r="BB144" s="140">
        <f t="shared" si="214"/>
        <v>9502</v>
      </c>
      <c r="BC144" s="140">
        <f t="shared" si="214"/>
        <v>9683</v>
      </c>
      <c r="BD144" s="140">
        <f t="shared" si="214"/>
        <v>9862</v>
      </c>
      <c r="BE144" s="140">
        <f t="shared" si="214"/>
        <v>10043</v>
      </c>
      <c r="BF144" s="140">
        <f t="shared" si="214"/>
        <v>10222</v>
      </c>
      <c r="BG144" s="140">
        <f t="shared" si="214"/>
        <v>10402</v>
      </c>
      <c r="BH144" s="140">
        <f t="shared" si="214"/>
        <v>10581</v>
      </c>
      <c r="BI144" s="140">
        <f t="shared" si="214"/>
        <v>10762</v>
      </c>
      <c r="BJ144" s="140">
        <f t="shared" si="214"/>
        <v>10941</v>
      </c>
      <c r="BK144" s="140">
        <f t="shared" si="214"/>
        <v>11122</v>
      </c>
      <c r="BL144" s="140">
        <f t="shared" si="214"/>
        <v>11301</v>
      </c>
      <c r="BM144" s="140">
        <f t="shared" si="214"/>
        <v>11482</v>
      </c>
      <c r="BN144" s="140">
        <f t="shared" ref="BN144:CB144" si="215">DAYS360($B$3,BN54)</f>
        <v>11661</v>
      </c>
      <c r="BO144" s="140">
        <f t="shared" si="215"/>
        <v>11841</v>
      </c>
      <c r="BP144" s="140">
        <f t="shared" si="215"/>
        <v>12020</v>
      </c>
      <c r="BQ144" s="140">
        <f t="shared" si="215"/>
        <v>12201</v>
      </c>
      <c r="BR144" s="140">
        <f t="shared" si="215"/>
        <v>12380</v>
      </c>
      <c r="BS144" s="140">
        <f t="shared" si="215"/>
        <v>12561</v>
      </c>
      <c r="BT144" s="140">
        <f t="shared" si="215"/>
        <v>12740</v>
      </c>
      <c r="BU144" s="140">
        <f t="shared" si="215"/>
        <v>12921</v>
      </c>
      <c r="BV144" s="140">
        <f t="shared" si="215"/>
        <v>13100</v>
      </c>
      <c r="BW144" s="140">
        <f t="shared" si="215"/>
        <v>13280</v>
      </c>
      <c r="BX144" s="140">
        <f t="shared" si="215"/>
        <v>13459</v>
      </c>
      <c r="BY144" s="140">
        <f t="shared" si="215"/>
        <v>13640</v>
      </c>
      <c r="BZ144" s="140">
        <f t="shared" si="215"/>
        <v>13819</v>
      </c>
      <c r="CA144" s="140">
        <f t="shared" si="215"/>
        <v>14000</v>
      </c>
      <c r="CB144" s="140">
        <f t="shared" si="215"/>
        <v>14179</v>
      </c>
      <c r="CC144" s="17"/>
      <c r="CD144" s="17"/>
      <c r="CE144" s="17"/>
    </row>
    <row r="145" spans="1:83">
      <c r="A145" s="16" t="s">
        <v>41</v>
      </c>
      <c r="B145" s="140">
        <f>B144/360</f>
        <v>0.41388888888888886</v>
      </c>
      <c r="C145" s="140">
        <f t="shared" ref="C145:BN145" si="216">C144/360</f>
        <v>0.91388888888888886</v>
      </c>
      <c r="D145" s="140">
        <f t="shared" si="216"/>
        <v>1.4111111111111112</v>
      </c>
      <c r="E145" s="140">
        <f t="shared" si="216"/>
        <v>1.913888888888889</v>
      </c>
      <c r="F145" s="140">
        <f t="shared" si="216"/>
        <v>2.411111111111111</v>
      </c>
      <c r="G145" s="140">
        <f t="shared" si="216"/>
        <v>2.9138888888888888</v>
      </c>
      <c r="H145" s="140">
        <f t="shared" si="216"/>
        <v>3.411111111111111</v>
      </c>
      <c r="I145" s="140">
        <f t="shared" si="216"/>
        <v>3.9138888888888888</v>
      </c>
      <c r="J145" s="140">
        <f t="shared" si="216"/>
        <v>4.4111111111111114</v>
      </c>
      <c r="K145" s="140">
        <f t="shared" si="216"/>
        <v>4.9111111111111114</v>
      </c>
      <c r="L145" s="140">
        <f t="shared" si="216"/>
        <v>5.4083333333333332</v>
      </c>
      <c r="M145" s="140">
        <f t="shared" si="216"/>
        <v>5.9111111111111114</v>
      </c>
      <c r="N145" s="140">
        <f t="shared" si="216"/>
        <v>6.4083333333333332</v>
      </c>
      <c r="O145" s="140">
        <f t="shared" si="216"/>
        <v>6.9111111111111114</v>
      </c>
      <c r="P145" s="140">
        <f t="shared" si="216"/>
        <v>7.4083333333333332</v>
      </c>
      <c r="Q145" s="140">
        <f t="shared" si="216"/>
        <v>7.9111111111111114</v>
      </c>
      <c r="R145" s="140">
        <f t="shared" si="216"/>
        <v>8.4083333333333332</v>
      </c>
      <c r="S145" s="140">
        <f t="shared" si="216"/>
        <v>8.9083333333333332</v>
      </c>
      <c r="T145" s="140">
        <f t="shared" si="216"/>
        <v>9.405555555555555</v>
      </c>
      <c r="U145" s="140">
        <f t="shared" si="216"/>
        <v>9.9083333333333332</v>
      </c>
      <c r="V145" s="140">
        <f t="shared" si="216"/>
        <v>10.405555555555555</v>
      </c>
      <c r="W145" s="140">
        <f t="shared" si="216"/>
        <v>10.908333333333333</v>
      </c>
      <c r="X145" s="140">
        <f t="shared" si="216"/>
        <v>11.405555555555555</v>
      </c>
      <c r="Y145" s="140">
        <f t="shared" si="216"/>
        <v>11.908333333333333</v>
      </c>
      <c r="Z145" s="140">
        <f t="shared" si="216"/>
        <v>12.405555555555555</v>
      </c>
      <c r="AA145" s="140">
        <f t="shared" si="216"/>
        <v>12.905555555555555</v>
      </c>
      <c r="AB145" s="140">
        <f t="shared" si="216"/>
        <v>13.402777777777779</v>
      </c>
      <c r="AC145" s="140">
        <f t="shared" si="216"/>
        <v>13.905555555555555</v>
      </c>
      <c r="AD145" s="140">
        <f t="shared" si="216"/>
        <v>14.402777777777779</v>
      </c>
      <c r="AE145" s="140">
        <f t="shared" si="216"/>
        <v>14.905555555555555</v>
      </c>
      <c r="AF145" s="140">
        <f t="shared" si="216"/>
        <v>15.402777777777779</v>
      </c>
      <c r="AG145" s="140">
        <f t="shared" si="216"/>
        <v>15.905555555555555</v>
      </c>
      <c r="AH145" s="140">
        <f t="shared" si="216"/>
        <v>16.402777777777779</v>
      </c>
      <c r="AI145" s="140">
        <f t="shared" si="216"/>
        <v>16.902777777777779</v>
      </c>
      <c r="AJ145" s="140">
        <f t="shared" si="216"/>
        <v>17.399999999999999</v>
      </c>
      <c r="AK145" s="140">
        <f t="shared" si="216"/>
        <v>17.902777777777779</v>
      </c>
      <c r="AL145" s="140">
        <f t="shared" si="216"/>
        <v>18.399999999999999</v>
      </c>
      <c r="AM145" s="140">
        <f t="shared" si="216"/>
        <v>18.902777777777779</v>
      </c>
      <c r="AN145" s="140">
        <f t="shared" si="216"/>
        <v>19.399999999999999</v>
      </c>
      <c r="AO145" s="140">
        <f t="shared" si="216"/>
        <v>19.902777777777779</v>
      </c>
      <c r="AP145" s="140">
        <f t="shared" si="216"/>
        <v>20.399999999999999</v>
      </c>
      <c r="AQ145" s="140">
        <f t="shared" si="216"/>
        <v>20.9</v>
      </c>
      <c r="AR145" s="140">
        <f t="shared" si="216"/>
        <v>21.397222222222222</v>
      </c>
      <c r="AS145" s="140">
        <f t="shared" si="216"/>
        <v>21.9</v>
      </c>
      <c r="AT145" s="140">
        <f t="shared" si="216"/>
        <v>22.397222222222222</v>
      </c>
      <c r="AU145" s="140">
        <f t="shared" si="216"/>
        <v>22.9</v>
      </c>
      <c r="AV145" s="140">
        <f t="shared" si="216"/>
        <v>23.397222222222222</v>
      </c>
      <c r="AW145" s="140">
        <f t="shared" si="216"/>
        <v>23.9</v>
      </c>
      <c r="AX145" s="140">
        <f t="shared" si="216"/>
        <v>24.397222222222222</v>
      </c>
      <c r="AY145" s="140">
        <f t="shared" si="216"/>
        <v>24.897222222222222</v>
      </c>
      <c r="AZ145" s="140">
        <f t="shared" si="216"/>
        <v>25.394444444444446</v>
      </c>
      <c r="BA145" s="140">
        <f t="shared" si="216"/>
        <v>25.897222222222222</v>
      </c>
      <c r="BB145" s="140">
        <f t="shared" si="216"/>
        <v>26.394444444444446</v>
      </c>
      <c r="BC145" s="140">
        <f t="shared" si="216"/>
        <v>26.897222222222222</v>
      </c>
      <c r="BD145" s="140">
        <f t="shared" si="216"/>
        <v>27.394444444444446</v>
      </c>
      <c r="BE145" s="140">
        <f t="shared" si="216"/>
        <v>27.897222222222222</v>
      </c>
      <c r="BF145" s="140">
        <f t="shared" si="216"/>
        <v>28.394444444444446</v>
      </c>
      <c r="BG145" s="140">
        <f t="shared" si="216"/>
        <v>28.894444444444446</v>
      </c>
      <c r="BH145" s="140">
        <f t="shared" si="216"/>
        <v>29.391666666666666</v>
      </c>
      <c r="BI145" s="140">
        <f t="shared" si="216"/>
        <v>29.894444444444446</v>
      </c>
      <c r="BJ145" s="140">
        <f t="shared" si="216"/>
        <v>30.391666666666666</v>
      </c>
      <c r="BK145" s="140">
        <f t="shared" si="216"/>
        <v>30.894444444444446</v>
      </c>
      <c r="BL145" s="140">
        <f t="shared" si="216"/>
        <v>31.391666666666666</v>
      </c>
      <c r="BM145" s="140">
        <f t="shared" si="216"/>
        <v>31.894444444444446</v>
      </c>
      <c r="BN145" s="140">
        <f t="shared" si="216"/>
        <v>32.391666666666666</v>
      </c>
      <c r="BO145" s="140">
        <f t="shared" ref="BO145:CB145" si="217">BO144/360</f>
        <v>32.891666666666666</v>
      </c>
      <c r="BP145" s="140">
        <f t="shared" si="217"/>
        <v>33.388888888888886</v>
      </c>
      <c r="BQ145" s="140">
        <f t="shared" si="217"/>
        <v>33.891666666666666</v>
      </c>
      <c r="BR145" s="140">
        <f t="shared" si="217"/>
        <v>34.388888888888886</v>
      </c>
      <c r="BS145" s="140">
        <f t="shared" si="217"/>
        <v>34.891666666666666</v>
      </c>
      <c r="BT145" s="140">
        <f t="shared" si="217"/>
        <v>35.388888888888886</v>
      </c>
      <c r="BU145" s="140">
        <f t="shared" si="217"/>
        <v>35.891666666666666</v>
      </c>
      <c r="BV145" s="140">
        <f t="shared" si="217"/>
        <v>36.388888888888886</v>
      </c>
      <c r="BW145" s="140">
        <f t="shared" si="217"/>
        <v>36.888888888888886</v>
      </c>
      <c r="BX145" s="140">
        <f t="shared" si="217"/>
        <v>37.386111111111113</v>
      </c>
      <c r="BY145" s="140">
        <f t="shared" si="217"/>
        <v>37.888888888888886</v>
      </c>
      <c r="BZ145" s="140">
        <f t="shared" si="217"/>
        <v>38.386111111111113</v>
      </c>
      <c r="CA145" s="140">
        <f t="shared" si="217"/>
        <v>38.888888888888886</v>
      </c>
      <c r="CB145" s="140">
        <f t="shared" si="217"/>
        <v>39.386111111111113</v>
      </c>
      <c r="CC145" s="17"/>
      <c r="CD145" s="17"/>
      <c r="CE145" s="17"/>
    </row>
    <row r="146" spans="1:83">
      <c r="A146" s="16" t="s">
        <v>43</v>
      </c>
      <c r="B146" s="140">
        <f>IF(B144&lt;0,0,$B$5+$B$6*((1-EXP(-B145/$B$9))/(B145/$B$9))+$B$7*((1-EXP(-B145/$B$9))/(B145/$B$9)-EXP(-B145/$B$9))+$B$8*((1-EXP(-B145/$B$10))/(B145/$B$10)-EXP(-B145/$B$10)))</f>
        <v>1.3657224885426195E-2</v>
      </c>
      <c r="C146" s="140">
        <f t="shared" ref="C146:BN146" si="218">IF(C144&lt;0,0,$B$5+$B$6*((1-EXP(-C145/$B$9))/(C145/$B$9))+$B$7*((1-EXP(-C145/$B$9))/(C145/$B$9)-EXP(-C145/$B$9))+$B$8*((1-EXP(-C145/$B$10))/(C145/$B$10)-EXP(-C145/$B$10)))</f>
        <v>1.3751028517127274E-2</v>
      </c>
      <c r="D146" s="140">
        <f t="shared" si="218"/>
        <v>1.3843070613652187E-2</v>
      </c>
      <c r="E146" s="140">
        <f t="shared" si="218"/>
        <v>1.3934898001429543E-2</v>
      </c>
      <c r="F146" s="140">
        <f t="shared" si="218"/>
        <v>1.4024495658803732E-2</v>
      </c>
      <c r="G146" s="140">
        <f t="shared" si="218"/>
        <v>1.411388015020975E-2</v>
      </c>
      <c r="H146" s="140">
        <f t="shared" si="218"/>
        <v>1.420109015746677E-2</v>
      </c>
      <c r="I146" s="140">
        <f t="shared" si="218"/>
        <v>1.4288088604889065E-2</v>
      </c>
      <c r="J146" s="140">
        <f t="shared" si="218"/>
        <v>1.4372966626467833E-2</v>
      </c>
      <c r="K146" s="140">
        <f t="shared" si="218"/>
        <v>1.445717015015913E-2</v>
      </c>
      <c r="L146" s="140">
        <f t="shared" si="218"/>
        <v>1.4539776997801538E-2</v>
      </c>
      <c r="M146" s="140">
        <f t="shared" si="218"/>
        <v>1.4622175674039801E-2</v>
      </c>
      <c r="N146" s="140">
        <f t="shared" si="218"/>
        <v>1.4702558424809326E-2</v>
      </c>
      <c r="O146" s="140">
        <f t="shared" si="218"/>
        <v>1.4782734786810203E-2</v>
      </c>
      <c r="P146" s="140">
        <f t="shared" si="218"/>
        <v>1.4860945854596453E-2</v>
      </c>
      <c r="Q146" s="140">
        <f t="shared" si="218"/>
        <v>1.4938952370840596E-2</v>
      </c>
      <c r="R146" s="140">
        <f t="shared" si="218"/>
        <v>1.5015043123956654E-2</v>
      </c>
      <c r="S146" s="140">
        <f t="shared" si="218"/>
        <v>1.5090514829254184E-2</v>
      </c>
      <c r="T146" s="140">
        <f t="shared" si="218"/>
        <v>1.5164541290504039E-2</v>
      </c>
      <c r="U146" s="140">
        <f t="shared" si="218"/>
        <v>1.5238367024752853E-2</v>
      </c>
      <c r="V146" s="140">
        <f t="shared" si="218"/>
        <v>1.5310372710980444E-2</v>
      </c>
      <c r="W146" s="140">
        <f t="shared" si="218"/>
        <v>1.5382179658850872E-2</v>
      </c>
      <c r="X146" s="140">
        <f t="shared" si="218"/>
        <v>1.5452212916675276E-2</v>
      </c>
      <c r="Y146" s="140">
        <f t="shared" si="218"/>
        <v>1.5522049471387959E-2</v>
      </c>
      <c r="Z146" s="140">
        <f t="shared" si="218"/>
        <v>1.5590157675616199E-2</v>
      </c>
      <c r="AA146" s="140">
        <f t="shared" si="218"/>
        <v>1.5657698661956071E-2</v>
      </c>
      <c r="AB146" s="140">
        <f t="shared" si="218"/>
        <v>1.572393338825346E-2</v>
      </c>
      <c r="AC146" s="140">
        <f t="shared" si="218"/>
        <v>1.5789975608284008E-2</v>
      </c>
      <c r="AD146" s="140">
        <f t="shared" si="218"/>
        <v>1.585437706048503E-2</v>
      </c>
      <c r="AE146" s="140">
        <f t="shared" si="218"/>
        <v>1.5918588170221872E-2</v>
      </c>
      <c r="AF146" s="140">
        <f t="shared" si="218"/>
        <v>1.5981200915054221E-2</v>
      </c>
      <c r="AG146" s="140">
        <f t="shared" si="218"/>
        <v>1.6043625520550928E-2</v>
      </c>
      <c r="AH146" s="140">
        <f t="shared" si="218"/>
        <v>1.6104493221775519E-2</v>
      </c>
      <c r="AI146" s="140">
        <f t="shared" si="218"/>
        <v>1.6164842138341535E-2</v>
      </c>
      <c r="AJ146" s="140">
        <f t="shared" si="218"/>
        <v>1.6224012243320242E-2</v>
      </c>
      <c r="AK146" s="140">
        <f t="shared" si="218"/>
        <v>1.6282998720005343E-2</v>
      </c>
      <c r="AL146" s="140">
        <f t="shared" si="218"/>
        <v>1.6340508350463873E-2</v>
      </c>
      <c r="AM146" s="140">
        <f t="shared" si="218"/>
        <v>1.6397836663512522E-2</v>
      </c>
      <c r="AN146" s="140">
        <f t="shared" si="218"/>
        <v>1.6453726874485396E-2</v>
      </c>
      <c r="AO146" s="140">
        <f t="shared" si="218"/>
        <v>1.6509438111642072E-2</v>
      </c>
      <c r="AP146" s="140">
        <f t="shared" si="218"/>
        <v>1.6563749119440176E-2</v>
      </c>
      <c r="AQ146" s="140">
        <f t="shared" si="218"/>
        <v>1.6617586589050697E-2</v>
      </c>
      <c r="AR146" s="140">
        <f t="shared" si="218"/>
        <v>1.6670362010087959E-2</v>
      </c>
      <c r="AS146" s="140">
        <f t="shared" si="218"/>
        <v>1.6722963229714019E-2</v>
      </c>
      <c r="AT146" s="140">
        <f t="shared" si="218"/>
        <v>1.6774237319239084E-2</v>
      </c>
      <c r="AU146" s="140">
        <f t="shared" si="218"/>
        <v>1.6825339639802307E-2</v>
      </c>
      <c r="AV146" s="140">
        <f t="shared" si="218"/>
        <v>1.6875150191408644E-2</v>
      </c>
      <c r="AW146" s="140">
        <f t="shared" si="218"/>
        <v>1.6924791433206774E-2</v>
      </c>
      <c r="AX146" s="140">
        <f t="shared" si="218"/>
        <v>1.6973175461701896E-2</v>
      </c>
      <c r="AY146" s="140">
        <f t="shared" si="218"/>
        <v>1.7021128208973064E-2</v>
      </c>
      <c r="AZ146" s="140">
        <f t="shared" si="218"/>
        <v>1.7068125777088852E-2</v>
      </c>
      <c r="BA146" s="140">
        <f t="shared" si="218"/>
        <v>1.71149590212012E-2</v>
      </c>
      <c r="BB146" s="140">
        <f t="shared" si="218"/>
        <v>1.7160601719047722E-2</v>
      </c>
      <c r="BC146" s="140">
        <f t="shared" si="218"/>
        <v>1.7206082623758223E-2</v>
      </c>
      <c r="BD146" s="140">
        <f t="shared" si="218"/>
        <v>1.7250405216950829E-2</v>
      </c>
      <c r="BE146" s="140">
        <f t="shared" si="218"/>
        <v>1.7294568569136783E-2</v>
      </c>
      <c r="BF146" s="140">
        <f t="shared" si="218"/>
        <v>1.7337605100414058E-2</v>
      </c>
      <c r="BG146" s="140">
        <f t="shared" si="218"/>
        <v>1.7380249803243885E-2</v>
      </c>
      <c r="BH146" s="140">
        <f t="shared" si="218"/>
        <v>1.742203704013514E-2</v>
      </c>
      <c r="BI146" s="140">
        <f t="shared" si="218"/>
        <v>1.7463670191760899E-2</v>
      </c>
      <c r="BJ146" s="140">
        <f t="shared" si="218"/>
        <v>1.7504237247198583E-2</v>
      </c>
      <c r="BK146" s="140">
        <f t="shared" si="218"/>
        <v>1.7544652825695044E-2</v>
      </c>
      <c r="BL146" s="140">
        <f t="shared" si="218"/>
        <v>1.7584031655073159E-2</v>
      </c>
      <c r="BM146" s="140">
        <f t="shared" si="218"/>
        <v>1.7623261632174144E-2</v>
      </c>
      <c r="BN146" s="140">
        <f t="shared" si="218"/>
        <v>1.7661483520151382E-2</v>
      </c>
      <c r="BO146" s="140">
        <f t="shared" ref="BO146:CB146" si="219">IF(BO144&lt;0,0,$B$5+$B$6*((1-EXP(-BO145/$B$9))/(BO145/$B$9))+$B$7*((1-EXP(-BO145/$B$9))/(BO145/$B$9)-EXP(-BO145/$B$9))+$B$8*((1-EXP(-BO145/$B$10))/(BO145/$B$10)-EXP(-BO145/$B$10)))</f>
        <v>1.7699350402373592E-2</v>
      </c>
      <c r="BP146" s="140">
        <f t="shared" si="219"/>
        <v>1.7736449062190331E-2</v>
      </c>
      <c r="BQ146" s="140">
        <f t="shared" si="219"/>
        <v>1.7773404156097853E-2</v>
      </c>
      <c r="BR146" s="140">
        <f t="shared" si="219"/>
        <v>1.7809406398950269E-2</v>
      </c>
      <c r="BS146" s="140">
        <f t="shared" si="219"/>
        <v>1.7845267742730996E-2</v>
      </c>
      <c r="BT146" s="140">
        <f t="shared" si="219"/>
        <v>1.7880202916858202E-2</v>
      </c>
      <c r="BU146" s="140">
        <f t="shared" si="219"/>
        <v>1.7914999870648974E-2</v>
      </c>
      <c r="BV146" s="140">
        <f t="shared" si="219"/>
        <v>1.7948896702172503E-2</v>
      </c>
      <c r="BW146" s="140">
        <f t="shared" si="219"/>
        <v>1.7982472884105802E-2</v>
      </c>
      <c r="BX146" s="140">
        <f t="shared" si="219"/>
        <v>1.8015362256468801E-2</v>
      </c>
      <c r="BY146" s="140">
        <f t="shared" si="219"/>
        <v>1.8048118790011895E-2</v>
      </c>
      <c r="BZ146" s="140">
        <f t="shared" si="219"/>
        <v>1.8080025376399283E-2</v>
      </c>
      <c r="CA146" s="140">
        <f t="shared" si="219"/>
        <v>1.8111801832235368E-2</v>
      </c>
      <c r="CB146" s="140">
        <f t="shared" si="219"/>
        <v>1.8142752563059698E-2</v>
      </c>
      <c r="CC146" s="17"/>
      <c r="CD146" s="17"/>
      <c r="CE146" s="17"/>
    </row>
    <row r="147" spans="1:83">
      <c r="A147" s="16" t="s">
        <v>44</v>
      </c>
      <c r="B147" s="140">
        <f>EXP(-B146*B145)</f>
        <v>0.99436337210224257</v>
      </c>
      <c r="C147" s="140">
        <f t="shared" ref="C147:AR147" si="220">EXP(-C146*C145)</f>
        <v>0.98751172172840351</v>
      </c>
      <c r="D147" s="140">
        <f t="shared" si="220"/>
        <v>0.9806554437207381</v>
      </c>
      <c r="E147" s="140">
        <f t="shared" si="220"/>
        <v>0.97368265324568581</v>
      </c>
      <c r="F147" s="140">
        <f t="shared" si="220"/>
        <v>0.9667507068724478</v>
      </c>
      <c r="G147" s="140">
        <f t="shared" si="220"/>
        <v>0.9597079317706938</v>
      </c>
      <c r="H147" s="140">
        <f t="shared" si="220"/>
        <v>0.95271307479530409</v>
      </c>
      <c r="I147" s="140">
        <f t="shared" si="220"/>
        <v>0.94561289910851531</v>
      </c>
      <c r="J147" s="140">
        <f t="shared" si="220"/>
        <v>0.93856726486489461</v>
      </c>
      <c r="K147" s="140">
        <f t="shared" si="220"/>
        <v>0.93146117587123789</v>
      </c>
      <c r="L147" s="140">
        <f t="shared" si="220"/>
        <v>0.92437637262452599</v>
      </c>
      <c r="M147" s="140">
        <f t="shared" si="220"/>
        <v>0.91719671909245604</v>
      </c>
      <c r="N147" s="140">
        <f t="shared" si="220"/>
        <v>0.91008352748454635</v>
      </c>
      <c r="O147" s="140">
        <f t="shared" si="220"/>
        <v>0.9028804533574466</v>
      </c>
      <c r="P147" s="140">
        <f t="shared" si="220"/>
        <v>0.89574917793262698</v>
      </c>
      <c r="Q147" s="140">
        <f t="shared" si="220"/>
        <v>0.8885328034019101</v>
      </c>
      <c r="R147" s="140">
        <f t="shared" si="220"/>
        <v>0.88139315945791841</v>
      </c>
      <c r="S147" s="140">
        <f t="shared" si="220"/>
        <v>0.87421290353403114</v>
      </c>
      <c r="T147" s="140">
        <f t="shared" si="220"/>
        <v>0.86707401601808765</v>
      </c>
      <c r="U147" s="140">
        <f t="shared" si="220"/>
        <v>0.8598590315807918</v>
      </c>
      <c r="V147" s="140">
        <f t="shared" si="220"/>
        <v>0.8527294693213352</v>
      </c>
      <c r="W147" s="140">
        <f t="shared" si="220"/>
        <v>0.84552804361298073</v>
      </c>
      <c r="X147" s="140">
        <f t="shared" si="220"/>
        <v>0.83841583965343935</v>
      </c>
      <c r="Y147" s="140">
        <f t="shared" si="220"/>
        <v>0.83123582555466002</v>
      </c>
      <c r="Z147" s="140">
        <f t="shared" si="220"/>
        <v>0.82414848326873835</v>
      </c>
      <c r="AA147" s="140">
        <f t="shared" si="220"/>
        <v>0.81703667118831946</v>
      </c>
      <c r="AB147" s="140">
        <f t="shared" si="220"/>
        <v>0.80998108374033495</v>
      </c>
      <c r="AC147" s="140">
        <f t="shared" si="220"/>
        <v>0.80286525344755766</v>
      </c>
      <c r="AD147" s="140">
        <f t="shared" si="220"/>
        <v>0.79584799724520716</v>
      </c>
      <c r="AE147" s="140">
        <f t="shared" si="220"/>
        <v>0.78877402946871311</v>
      </c>
      <c r="AF147" s="140">
        <f t="shared" si="220"/>
        <v>0.78180112525077505</v>
      </c>
      <c r="AG147" s="140">
        <f t="shared" si="220"/>
        <v>0.77477487396855615</v>
      </c>
      <c r="AH147" s="140">
        <f t="shared" si="220"/>
        <v>0.76785188420633199</v>
      </c>
      <c r="AI147" s="140">
        <f t="shared" si="220"/>
        <v>0.7609171975405683</v>
      </c>
      <c r="AJ147" s="140">
        <f t="shared" si="220"/>
        <v>0.75404908544473159</v>
      </c>
      <c r="AK147" s="140">
        <f t="shared" si="220"/>
        <v>0.74713386409123173</v>
      </c>
      <c r="AL147" s="140">
        <f t="shared" si="220"/>
        <v>0.74032547851776209</v>
      </c>
      <c r="AM147" s="140">
        <f t="shared" si="220"/>
        <v>0.73347287487382617</v>
      </c>
      <c r="AN147" s="140">
        <f t="shared" si="220"/>
        <v>0.72672851626351043</v>
      </c>
      <c r="AO147" s="140">
        <f t="shared" si="220"/>
        <v>0.71994268236162262</v>
      </c>
      <c r="AP147" s="140">
        <f t="shared" si="220"/>
        <v>0.71326626717265273</v>
      </c>
      <c r="AQ147" s="140">
        <f t="shared" si="220"/>
        <v>0.70658797684112729</v>
      </c>
      <c r="AR147" s="140">
        <f t="shared" si="220"/>
        <v>0.69998285264881843</v>
      </c>
      <c r="AS147" s="140">
        <f>EXP(-AS146*AS145)</f>
        <v>0.69334130686792328</v>
      </c>
      <c r="AT147" s="140">
        <f t="shared" ref="AT147:CA147" si="221">EXP(-AT146*AT145)</f>
        <v>0.68681087151983888</v>
      </c>
      <c r="AU147" s="140">
        <f t="shared" si="221"/>
        <v>0.68024634269149331</v>
      </c>
      <c r="AV147" s="140">
        <f t="shared" si="221"/>
        <v>0.67379347020074931</v>
      </c>
      <c r="AW147" s="140">
        <f t="shared" si="221"/>
        <v>0.66730870419714272</v>
      </c>
      <c r="AX147" s="140">
        <f t="shared" si="221"/>
        <v>0.66093595588758003</v>
      </c>
      <c r="AY147" s="140">
        <f t="shared" si="221"/>
        <v>0.65456864896088307</v>
      </c>
      <c r="AZ147" s="140">
        <f t="shared" si="221"/>
        <v>0.64827805864750598</v>
      </c>
      <c r="BA147" s="140">
        <f t="shared" si="221"/>
        <v>0.64195960547263031</v>
      </c>
      <c r="BB147" s="140">
        <f t="shared" si="221"/>
        <v>0.63575338599652009</v>
      </c>
      <c r="BC147" s="140">
        <f t="shared" si="221"/>
        <v>0.629521150039831</v>
      </c>
      <c r="BD147" s="140">
        <f t="shared" si="221"/>
        <v>0.6234010250505968</v>
      </c>
      <c r="BE147" s="140">
        <f t="shared" si="221"/>
        <v>0.61725662198375009</v>
      </c>
      <c r="BF147" s="140">
        <f t="shared" si="221"/>
        <v>0.61122406727231038</v>
      </c>
      <c r="BG147" s="140">
        <f t="shared" si="221"/>
        <v>0.60520219972294842</v>
      </c>
      <c r="BH147" s="140">
        <f t="shared" si="221"/>
        <v>0.5992582099787952</v>
      </c>
      <c r="BI147" s="140">
        <f t="shared" si="221"/>
        <v>0.59329311026890497</v>
      </c>
      <c r="BJ147" s="140">
        <f t="shared" si="221"/>
        <v>0.58743895563110549</v>
      </c>
      <c r="BK147" s="140">
        <f t="shared" si="221"/>
        <v>0.58156513455682635</v>
      </c>
      <c r="BL147" s="140">
        <f t="shared" si="221"/>
        <v>0.57580163552300512</v>
      </c>
      <c r="BM147" s="140">
        <f t="shared" si="221"/>
        <v>0.57001982442960042</v>
      </c>
      <c r="BN147" s="140">
        <f t="shared" si="221"/>
        <v>0.56434761029711389</v>
      </c>
      <c r="BO147" s="140">
        <f t="shared" si="221"/>
        <v>0.55868965792494907</v>
      </c>
      <c r="BP147" s="140">
        <f t="shared" si="221"/>
        <v>0.55310892431870129</v>
      </c>
      <c r="BQ147" s="140">
        <f t="shared" si="221"/>
        <v>0.54751233427426638</v>
      </c>
      <c r="BR147" s="140">
        <f t="shared" si="221"/>
        <v>0.54202362071855081</v>
      </c>
      <c r="BS147" s="140">
        <f t="shared" si="221"/>
        <v>0.53652016379499834</v>
      </c>
      <c r="BT147" s="140">
        <f t="shared" si="221"/>
        <v>0.53112360113102042</v>
      </c>
      <c r="BU147" s="140">
        <f t="shared" si="221"/>
        <v>0.52571333584603708</v>
      </c>
      <c r="BV147" s="140">
        <f t="shared" si="221"/>
        <v>0.52040891170268189</v>
      </c>
      <c r="BW147" s="140">
        <f t="shared" si="221"/>
        <v>0.51512100530040195</v>
      </c>
      <c r="BX147" s="140">
        <f t="shared" si="221"/>
        <v>0.50990831954210192</v>
      </c>
      <c r="BY147" s="140">
        <f t="shared" si="221"/>
        <v>0.50468380854886741</v>
      </c>
      <c r="BZ147" s="140">
        <f t="shared" si="221"/>
        <v>0.49956284999647149</v>
      </c>
      <c r="CA147" s="140">
        <f t="shared" si="221"/>
        <v>0.49443091273670048</v>
      </c>
      <c r="CB147" s="140">
        <f>EXP(-CB146*CB145)</f>
        <v>0.48940130164104817</v>
      </c>
      <c r="CC147" s="17"/>
      <c r="CD147" s="17"/>
      <c r="CE147" s="17"/>
    </row>
    <row r="148" spans="1:83">
      <c r="A148" s="17"/>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17"/>
      <c r="CD148" s="17"/>
      <c r="CE148" s="17"/>
    </row>
    <row r="149" spans="1:83">
      <c r="A149" s="16" t="s">
        <v>40</v>
      </c>
      <c r="B149" s="140">
        <f t="shared" ref="B149:BM149" si="222">DAYS360($B$3,B56)</f>
        <v>149</v>
      </c>
      <c r="C149" s="140">
        <f t="shared" si="222"/>
        <v>329</v>
      </c>
      <c r="D149" s="140">
        <f t="shared" si="222"/>
        <v>508</v>
      </c>
      <c r="E149" s="140">
        <f t="shared" si="222"/>
        <v>689</v>
      </c>
      <c r="F149" s="140">
        <f t="shared" si="222"/>
        <v>868</v>
      </c>
      <c r="G149" s="140">
        <f t="shared" si="222"/>
        <v>1049</v>
      </c>
      <c r="H149" s="140">
        <f t="shared" si="222"/>
        <v>1228</v>
      </c>
      <c r="I149" s="140">
        <f t="shared" si="222"/>
        <v>1409</v>
      </c>
      <c r="J149" s="140">
        <f t="shared" si="222"/>
        <v>1588</v>
      </c>
      <c r="K149" s="140">
        <f t="shared" si="222"/>
        <v>1768</v>
      </c>
      <c r="L149" s="140">
        <f t="shared" si="222"/>
        <v>1947</v>
      </c>
      <c r="M149" s="140">
        <f t="shared" si="222"/>
        <v>2128</v>
      </c>
      <c r="N149" s="140">
        <f t="shared" si="222"/>
        <v>2307</v>
      </c>
      <c r="O149" s="140">
        <f t="shared" si="222"/>
        <v>2488</v>
      </c>
      <c r="P149" s="140">
        <f t="shared" si="222"/>
        <v>2667</v>
      </c>
      <c r="Q149" s="140">
        <f t="shared" si="222"/>
        <v>2848</v>
      </c>
      <c r="R149" s="140">
        <f t="shared" si="222"/>
        <v>3027</v>
      </c>
      <c r="S149" s="140">
        <f t="shared" si="222"/>
        <v>3207</v>
      </c>
      <c r="T149" s="140">
        <f t="shared" si="222"/>
        <v>3386</v>
      </c>
      <c r="U149" s="140">
        <f t="shared" si="222"/>
        <v>3567</v>
      </c>
      <c r="V149" s="140">
        <f t="shared" si="222"/>
        <v>3746</v>
      </c>
      <c r="W149" s="140">
        <f t="shared" si="222"/>
        <v>3927</v>
      </c>
      <c r="X149" s="140">
        <f t="shared" si="222"/>
        <v>4106</v>
      </c>
      <c r="Y149" s="140">
        <f t="shared" si="222"/>
        <v>4287</v>
      </c>
      <c r="Z149" s="140">
        <f t="shared" si="222"/>
        <v>4466</v>
      </c>
      <c r="AA149" s="140">
        <f t="shared" si="222"/>
        <v>4646</v>
      </c>
      <c r="AB149" s="140">
        <f t="shared" si="222"/>
        <v>4825</v>
      </c>
      <c r="AC149" s="140">
        <f t="shared" si="222"/>
        <v>5006</v>
      </c>
      <c r="AD149" s="140">
        <f t="shared" si="222"/>
        <v>5185</v>
      </c>
      <c r="AE149" s="140">
        <f t="shared" si="222"/>
        <v>5366</v>
      </c>
      <c r="AF149" s="140">
        <f t="shared" si="222"/>
        <v>5545</v>
      </c>
      <c r="AG149" s="140">
        <f t="shared" si="222"/>
        <v>5726</v>
      </c>
      <c r="AH149" s="140">
        <f t="shared" si="222"/>
        <v>5905</v>
      </c>
      <c r="AI149" s="140">
        <f t="shared" si="222"/>
        <v>6085</v>
      </c>
      <c r="AJ149" s="140">
        <f t="shared" si="222"/>
        <v>6264</v>
      </c>
      <c r="AK149" s="140">
        <f t="shared" si="222"/>
        <v>6445</v>
      </c>
      <c r="AL149" s="140">
        <f t="shared" si="222"/>
        <v>6624</v>
      </c>
      <c r="AM149" s="140">
        <f t="shared" si="222"/>
        <v>6805</v>
      </c>
      <c r="AN149" s="140">
        <f t="shared" si="222"/>
        <v>6984</v>
      </c>
      <c r="AO149" s="140">
        <f t="shared" si="222"/>
        <v>7165</v>
      </c>
      <c r="AP149" s="140">
        <f t="shared" si="222"/>
        <v>7344</v>
      </c>
      <c r="AQ149" s="140">
        <f t="shared" si="222"/>
        <v>7524</v>
      </c>
      <c r="AR149" s="140">
        <f t="shared" si="222"/>
        <v>7703</v>
      </c>
      <c r="AS149" s="140">
        <f t="shared" si="222"/>
        <v>7884</v>
      </c>
      <c r="AT149" s="140">
        <f t="shared" si="222"/>
        <v>8063</v>
      </c>
      <c r="AU149" s="140">
        <f t="shared" si="222"/>
        <v>8244</v>
      </c>
      <c r="AV149" s="140">
        <f t="shared" si="222"/>
        <v>8423</v>
      </c>
      <c r="AW149" s="140">
        <f t="shared" si="222"/>
        <v>8604</v>
      </c>
      <c r="AX149" s="140">
        <f t="shared" si="222"/>
        <v>8783</v>
      </c>
      <c r="AY149" s="140">
        <f t="shared" si="222"/>
        <v>8963</v>
      </c>
      <c r="AZ149" s="140">
        <f t="shared" si="222"/>
        <v>9142</v>
      </c>
      <c r="BA149" s="140">
        <f t="shared" si="222"/>
        <v>9323</v>
      </c>
      <c r="BB149" s="140">
        <f t="shared" si="222"/>
        <v>9502</v>
      </c>
      <c r="BC149" s="140">
        <f t="shared" si="222"/>
        <v>9683</v>
      </c>
      <c r="BD149" s="140">
        <f t="shared" si="222"/>
        <v>9862</v>
      </c>
      <c r="BE149" s="140">
        <f t="shared" si="222"/>
        <v>10043</v>
      </c>
      <c r="BF149" s="140">
        <f t="shared" si="222"/>
        <v>10222</v>
      </c>
      <c r="BG149" s="140">
        <f t="shared" si="222"/>
        <v>10402</v>
      </c>
      <c r="BH149" s="140">
        <f t="shared" si="222"/>
        <v>10581</v>
      </c>
      <c r="BI149" s="140">
        <f t="shared" si="222"/>
        <v>10762</v>
      </c>
      <c r="BJ149" s="140">
        <f t="shared" si="222"/>
        <v>10941</v>
      </c>
      <c r="BK149" s="140">
        <f t="shared" si="222"/>
        <v>11122</v>
      </c>
      <c r="BL149" s="140">
        <f t="shared" si="222"/>
        <v>11301</v>
      </c>
      <c r="BM149" s="140">
        <f t="shared" si="222"/>
        <v>11482</v>
      </c>
      <c r="BN149" s="140">
        <f t="shared" ref="BN149:CB149" si="223">DAYS360($B$3,BN56)</f>
        <v>11661</v>
      </c>
      <c r="BO149" s="140">
        <f t="shared" si="223"/>
        <v>11841</v>
      </c>
      <c r="BP149" s="140">
        <f t="shared" si="223"/>
        <v>12020</v>
      </c>
      <c r="BQ149" s="140">
        <f t="shared" si="223"/>
        <v>12201</v>
      </c>
      <c r="BR149" s="140">
        <f t="shared" si="223"/>
        <v>12380</v>
      </c>
      <c r="BS149" s="140">
        <f t="shared" si="223"/>
        <v>12561</v>
      </c>
      <c r="BT149" s="140">
        <f t="shared" si="223"/>
        <v>12740</v>
      </c>
      <c r="BU149" s="140">
        <f t="shared" si="223"/>
        <v>12921</v>
      </c>
      <c r="BV149" s="140">
        <f t="shared" si="223"/>
        <v>13100</v>
      </c>
      <c r="BW149" s="140">
        <f t="shared" si="223"/>
        <v>13280</v>
      </c>
      <c r="BX149" s="140">
        <f t="shared" si="223"/>
        <v>13459</v>
      </c>
      <c r="BY149" s="140">
        <f t="shared" si="223"/>
        <v>13640</v>
      </c>
      <c r="BZ149" s="140">
        <f t="shared" si="223"/>
        <v>13819</v>
      </c>
      <c r="CA149" s="140">
        <f t="shared" si="223"/>
        <v>14000</v>
      </c>
      <c r="CB149" s="140">
        <f t="shared" si="223"/>
        <v>14179</v>
      </c>
      <c r="CC149" s="17"/>
      <c r="CD149" s="17"/>
      <c r="CE149" s="17"/>
    </row>
    <row r="150" spans="1:83">
      <c r="A150" s="16" t="s">
        <v>41</v>
      </c>
      <c r="B150" s="140">
        <f>B149/360</f>
        <v>0.41388888888888886</v>
      </c>
      <c r="C150" s="140">
        <f t="shared" ref="C150:BN150" si="224">C149/360</f>
        <v>0.91388888888888886</v>
      </c>
      <c r="D150" s="140">
        <f t="shared" si="224"/>
        <v>1.4111111111111112</v>
      </c>
      <c r="E150" s="140">
        <f t="shared" si="224"/>
        <v>1.913888888888889</v>
      </c>
      <c r="F150" s="140">
        <f t="shared" si="224"/>
        <v>2.411111111111111</v>
      </c>
      <c r="G150" s="140">
        <f t="shared" si="224"/>
        <v>2.9138888888888888</v>
      </c>
      <c r="H150" s="140">
        <f t="shared" si="224"/>
        <v>3.411111111111111</v>
      </c>
      <c r="I150" s="140">
        <f t="shared" si="224"/>
        <v>3.9138888888888888</v>
      </c>
      <c r="J150" s="140">
        <f t="shared" si="224"/>
        <v>4.4111111111111114</v>
      </c>
      <c r="K150" s="140">
        <f t="shared" si="224"/>
        <v>4.9111111111111114</v>
      </c>
      <c r="L150" s="140">
        <f t="shared" si="224"/>
        <v>5.4083333333333332</v>
      </c>
      <c r="M150" s="140">
        <f t="shared" si="224"/>
        <v>5.9111111111111114</v>
      </c>
      <c r="N150" s="140">
        <f t="shared" si="224"/>
        <v>6.4083333333333332</v>
      </c>
      <c r="O150" s="140">
        <f t="shared" si="224"/>
        <v>6.9111111111111114</v>
      </c>
      <c r="P150" s="140">
        <f t="shared" si="224"/>
        <v>7.4083333333333332</v>
      </c>
      <c r="Q150" s="140">
        <f t="shared" si="224"/>
        <v>7.9111111111111114</v>
      </c>
      <c r="R150" s="140">
        <f t="shared" si="224"/>
        <v>8.4083333333333332</v>
      </c>
      <c r="S150" s="140">
        <f t="shared" si="224"/>
        <v>8.9083333333333332</v>
      </c>
      <c r="T150" s="140">
        <f t="shared" si="224"/>
        <v>9.405555555555555</v>
      </c>
      <c r="U150" s="140">
        <f t="shared" si="224"/>
        <v>9.9083333333333332</v>
      </c>
      <c r="V150" s="140">
        <f t="shared" si="224"/>
        <v>10.405555555555555</v>
      </c>
      <c r="W150" s="140">
        <f t="shared" si="224"/>
        <v>10.908333333333333</v>
      </c>
      <c r="X150" s="140">
        <f t="shared" si="224"/>
        <v>11.405555555555555</v>
      </c>
      <c r="Y150" s="140">
        <f t="shared" si="224"/>
        <v>11.908333333333333</v>
      </c>
      <c r="Z150" s="140">
        <f t="shared" si="224"/>
        <v>12.405555555555555</v>
      </c>
      <c r="AA150" s="140">
        <f t="shared" si="224"/>
        <v>12.905555555555555</v>
      </c>
      <c r="AB150" s="140">
        <f t="shared" si="224"/>
        <v>13.402777777777779</v>
      </c>
      <c r="AC150" s="140">
        <f t="shared" si="224"/>
        <v>13.905555555555555</v>
      </c>
      <c r="AD150" s="140">
        <f t="shared" si="224"/>
        <v>14.402777777777779</v>
      </c>
      <c r="AE150" s="140">
        <f t="shared" si="224"/>
        <v>14.905555555555555</v>
      </c>
      <c r="AF150" s="140">
        <f t="shared" si="224"/>
        <v>15.402777777777779</v>
      </c>
      <c r="AG150" s="140">
        <f t="shared" si="224"/>
        <v>15.905555555555555</v>
      </c>
      <c r="AH150" s="140">
        <f t="shared" si="224"/>
        <v>16.402777777777779</v>
      </c>
      <c r="AI150" s="140">
        <f t="shared" si="224"/>
        <v>16.902777777777779</v>
      </c>
      <c r="AJ150" s="140">
        <f t="shared" si="224"/>
        <v>17.399999999999999</v>
      </c>
      <c r="AK150" s="140">
        <f t="shared" si="224"/>
        <v>17.902777777777779</v>
      </c>
      <c r="AL150" s="140">
        <f t="shared" si="224"/>
        <v>18.399999999999999</v>
      </c>
      <c r="AM150" s="140">
        <f t="shared" si="224"/>
        <v>18.902777777777779</v>
      </c>
      <c r="AN150" s="140">
        <f t="shared" si="224"/>
        <v>19.399999999999999</v>
      </c>
      <c r="AO150" s="140">
        <f t="shared" si="224"/>
        <v>19.902777777777779</v>
      </c>
      <c r="AP150" s="140">
        <f t="shared" si="224"/>
        <v>20.399999999999999</v>
      </c>
      <c r="AQ150" s="140">
        <f t="shared" si="224"/>
        <v>20.9</v>
      </c>
      <c r="AR150" s="140">
        <f t="shared" si="224"/>
        <v>21.397222222222222</v>
      </c>
      <c r="AS150" s="140">
        <f t="shared" si="224"/>
        <v>21.9</v>
      </c>
      <c r="AT150" s="140">
        <f t="shared" si="224"/>
        <v>22.397222222222222</v>
      </c>
      <c r="AU150" s="140">
        <f t="shared" si="224"/>
        <v>22.9</v>
      </c>
      <c r="AV150" s="140">
        <f t="shared" si="224"/>
        <v>23.397222222222222</v>
      </c>
      <c r="AW150" s="140">
        <f t="shared" si="224"/>
        <v>23.9</v>
      </c>
      <c r="AX150" s="140">
        <f t="shared" si="224"/>
        <v>24.397222222222222</v>
      </c>
      <c r="AY150" s="140">
        <f t="shared" si="224"/>
        <v>24.897222222222222</v>
      </c>
      <c r="AZ150" s="140">
        <f t="shared" si="224"/>
        <v>25.394444444444446</v>
      </c>
      <c r="BA150" s="140">
        <f t="shared" si="224"/>
        <v>25.897222222222222</v>
      </c>
      <c r="BB150" s="140">
        <f t="shared" si="224"/>
        <v>26.394444444444446</v>
      </c>
      <c r="BC150" s="140">
        <f t="shared" si="224"/>
        <v>26.897222222222222</v>
      </c>
      <c r="BD150" s="140">
        <f t="shared" si="224"/>
        <v>27.394444444444446</v>
      </c>
      <c r="BE150" s="140">
        <f t="shared" si="224"/>
        <v>27.897222222222222</v>
      </c>
      <c r="BF150" s="140">
        <f t="shared" si="224"/>
        <v>28.394444444444446</v>
      </c>
      <c r="BG150" s="140">
        <f t="shared" si="224"/>
        <v>28.894444444444446</v>
      </c>
      <c r="BH150" s="140">
        <f t="shared" si="224"/>
        <v>29.391666666666666</v>
      </c>
      <c r="BI150" s="140">
        <f t="shared" si="224"/>
        <v>29.894444444444446</v>
      </c>
      <c r="BJ150" s="140">
        <f t="shared" si="224"/>
        <v>30.391666666666666</v>
      </c>
      <c r="BK150" s="140">
        <f t="shared" si="224"/>
        <v>30.894444444444446</v>
      </c>
      <c r="BL150" s="140">
        <f t="shared" si="224"/>
        <v>31.391666666666666</v>
      </c>
      <c r="BM150" s="140">
        <f t="shared" si="224"/>
        <v>31.894444444444446</v>
      </c>
      <c r="BN150" s="140">
        <f t="shared" si="224"/>
        <v>32.391666666666666</v>
      </c>
      <c r="BO150" s="140">
        <f t="shared" ref="BO150:CB150" si="225">BO149/360</f>
        <v>32.891666666666666</v>
      </c>
      <c r="BP150" s="140">
        <f t="shared" si="225"/>
        <v>33.388888888888886</v>
      </c>
      <c r="BQ150" s="140">
        <f t="shared" si="225"/>
        <v>33.891666666666666</v>
      </c>
      <c r="BR150" s="140">
        <f t="shared" si="225"/>
        <v>34.388888888888886</v>
      </c>
      <c r="BS150" s="140">
        <f t="shared" si="225"/>
        <v>34.891666666666666</v>
      </c>
      <c r="BT150" s="140">
        <f t="shared" si="225"/>
        <v>35.388888888888886</v>
      </c>
      <c r="BU150" s="140">
        <f t="shared" si="225"/>
        <v>35.891666666666666</v>
      </c>
      <c r="BV150" s="140">
        <f t="shared" si="225"/>
        <v>36.388888888888886</v>
      </c>
      <c r="BW150" s="140">
        <f t="shared" si="225"/>
        <v>36.888888888888886</v>
      </c>
      <c r="BX150" s="140">
        <f t="shared" si="225"/>
        <v>37.386111111111113</v>
      </c>
      <c r="BY150" s="140">
        <f t="shared" si="225"/>
        <v>37.888888888888886</v>
      </c>
      <c r="BZ150" s="140">
        <f t="shared" si="225"/>
        <v>38.386111111111113</v>
      </c>
      <c r="CA150" s="140">
        <f t="shared" si="225"/>
        <v>38.888888888888886</v>
      </c>
      <c r="CB150" s="140">
        <f t="shared" si="225"/>
        <v>39.386111111111113</v>
      </c>
      <c r="CC150" s="17"/>
      <c r="CD150" s="17"/>
      <c r="CE150" s="17"/>
    </row>
    <row r="151" spans="1:83">
      <c r="A151" s="16" t="s">
        <v>43</v>
      </c>
      <c r="B151" s="140">
        <f>IF(B149&lt;0,0,$B$5+$B$6*((1-EXP(-B150/$B$9))/(B150/$B$9))+$B$7*((1-EXP(-B150/$B$9))/(B150/$B$9)-EXP(-B150/$B$9))+$B$8*((1-EXP(-B150/$B$10))/(B150/$B$10)-EXP(-B150/$B$10)))</f>
        <v>1.3657224885426195E-2</v>
      </c>
      <c r="C151" s="140">
        <f t="shared" ref="C151:BN151" si="226">IF(C149&lt;0,0,$B$5+$B$6*((1-EXP(-C150/$B$9))/(C150/$B$9))+$B$7*((1-EXP(-C150/$B$9))/(C150/$B$9)-EXP(-C150/$B$9))+$B$8*((1-EXP(-C150/$B$10))/(C150/$B$10)-EXP(-C150/$B$10)))</f>
        <v>1.3751028517127274E-2</v>
      </c>
      <c r="D151" s="140">
        <f t="shared" si="226"/>
        <v>1.3843070613652187E-2</v>
      </c>
      <c r="E151" s="140">
        <f t="shared" si="226"/>
        <v>1.3934898001429543E-2</v>
      </c>
      <c r="F151" s="140">
        <f t="shared" si="226"/>
        <v>1.4024495658803732E-2</v>
      </c>
      <c r="G151" s="140">
        <f t="shared" si="226"/>
        <v>1.411388015020975E-2</v>
      </c>
      <c r="H151" s="140">
        <f t="shared" si="226"/>
        <v>1.420109015746677E-2</v>
      </c>
      <c r="I151" s="140">
        <f t="shared" si="226"/>
        <v>1.4288088604889065E-2</v>
      </c>
      <c r="J151" s="140">
        <f t="shared" si="226"/>
        <v>1.4372966626467833E-2</v>
      </c>
      <c r="K151" s="140">
        <f t="shared" si="226"/>
        <v>1.445717015015913E-2</v>
      </c>
      <c r="L151" s="140">
        <f t="shared" si="226"/>
        <v>1.4539776997801538E-2</v>
      </c>
      <c r="M151" s="140">
        <f t="shared" si="226"/>
        <v>1.4622175674039801E-2</v>
      </c>
      <c r="N151" s="140">
        <f t="shared" si="226"/>
        <v>1.4702558424809326E-2</v>
      </c>
      <c r="O151" s="140">
        <f t="shared" si="226"/>
        <v>1.4782734786810203E-2</v>
      </c>
      <c r="P151" s="140">
        <f t="shared" si="226"/>
        <v>1.4860945854596453E-2</v>
      </c>
      <c r="Q151" s="140">
        <f t="shared" si="226"/>
        <v>1.4938952370840596E-2</v>
      </c>
      <c r="R151" s="140">
        <f t="shared" si="226"/>
        <v>1.5015043123956654E-2</v>
      </c>
      <c r="S151" s="140">
        <f t="shared" si="226"/>
        <v>1.5090514829254184E-2</v>
      </c>
      <c r="T151" s="140">
        <f t="shared" si="226"/>
        <v>1.5164541290504039E-2</v>
      </c>
      <c r="U151" s="140">
        <f t="shared" si="226"/>
        <v>1.5238367024752853E-2</v>
      </c>
      <c r="V151" s="140">
        <f t="shared" si="226"/>
        <v>1.5310372710980444E-2</v>
      </c>
      <c r="W151" s="140">
        <f t="shared" si="226"/>
        <v>1.5382179658850872E-2</v>
      </c>
      <c r="X151" s="140">
        <f t="shared" si="226"/>
        <v>1.5452212916675276E-2</v>
      </c>
      <c r="Y151" s="140">
        <f t="shared" si="226"/>
        <v>1.5522049471387959E-2</v>
      </c>
      <c r="Z151" s="140">
        <f t="shared" si="226"/>
        <v>1.5590157675616199E-2</v>
      </c>
      <c r="AA151" s="140">
        <f t="shared" si="226"/>
        <v>1.5657698661956071E-2</v>
      </c>
      <c r="AB151" s="140">
        <f t="shared" si="226"/>
        <v>1.572393338825346E-2</v>
      </c>
      <c r="AC151" s="140">
        <f t="shared" si="226"/>
        <v>1.5789975608284008E-2</v>
      </c>
      <c r="AD151" s="140">
        <f t="shared" si="226"/>
        <v>1.585437706048503E-2</v>
      </c>
      <c r="AE151" s="140">
        <f t="shared" si="226"/>
        <v>1.5918588170221872E-2</v>
      </c>
      <c r="AF151" s="140">
        <f t="shared" si="226"/>
        <v>1.5981200915054221E-2</v>
      </c>
      <c r="AG151" s="140">
        <f t="shared" si="226"/>
        <v>1.6043625520550928E-2</v>
      </c>
      <c r="AH151" s="140">
        <f t="shared" si="226"/>
        <v>1.6104493221775519E-2</v>
      </c>
      <c r="AI151" s="140">
        <f t="shared" si="226"/>
        <v>1.6164842138341535E-2</v>
      </c>
      <c r="AJ151" s="140">
        <f t="shared" si="226"/>
        <v>1.6224012243320242E-2</v>
      </c>
      <c r="AK151" s="140">
        <f t="shared" si="226"/>
        <v>1.6282998720005343E-2</v>
      </c>
      <c r="AL151" s="140">
        <f t="shared" si="226"/>
        <v>1.6340508350463873E-2</v>
      </c>
      <c r="AM151" s="140">
        <f t="shared" si="226"/>
        <v>1.6397836663512522E-2</v>
      </c>
      <c r="AN151" s="140">
        <f t="shared" si="226"/>
        <v>1.6453726874485396E-2</v>
      </c>
      <c r="AO151" s="140">
        <f t="shared" si="226"/>
        <v>1.6509438111642072E-2</v>
      </c>
      <c r="AP151" s="140">
        <f t="shared" si="226"/>
        <v>1.6563749119440176E-2</v>
      </c>
      <c r="AQ151" s="140">
        <f t="shared" si="226"/>
        <v>1.6617586589050697E-2</v>
      </c>
      <c r="AR151" s="140">
        <f t="shared" si="226"/>
        <v>1.6670362010087959E-2</v>
      </c>
      <c r="AS151" s="140">
        <f t="shared" si="226"/>
        <v>1.6722963229714019E-2</v>
      </c>
      <c r="AT151" s="140">
        <f t="shared" si="226"/>
        <v>1.6774237319239084E-2</v>
      </c>
      <c r="AU151" s="140">
        <f t="shared" si="226"/>
        <v>1.6825339639802307E-2</v>
      </c>
      <c r="AV151" s="140">
        <f t="shared" si="226"/>
        <v>1.6875150191408644E-2</v>
      </c>
      <c r="AW151" s="140">
        <f t="shared" si="226"/>
        <v>1.6924791433206774E-2</v>
      </c>
      <c r="AX151" s="140">
        <f t="shared" si="226"/>
        <v>1.6973175461701896E-2</v>
      </c>
      <c r="AY151" s="140">
        <f t="shared" si="226"/>
        <v>1.7021128208973064E-2</v>
      </c>
      <c r="AZ151" s="140">
        <f t="shared" si="226"/>
        <v>1.7068125777088852E-2</v>
      </c>
      <c r="BA151" s="140">
        <f t="shared" si="226"/>
        <v>1.71149590212012E-2</v>
      </c>
      <c r="BB151" s="140">
        <f t="shared" si="226"/>
        <v>1.7160601719047722E-2</v>
      </c>
      <c r="BC151" s="140">
        <f t="shared" si="226"/>
        <v>1.7206082623758223E-2</v>
      </c>
      <c r="BD151" s="140">
        <f t="shared" si="226"/>
        <v>1.7250405216950829E-2</v>
      </c>
      <c r="BE151" s="140">
        <f t="shared" si="226"/>
        <v>1.7294568569136783E-2</v>
      </c>
      <c r="BF151" s="140">
        <f t="shared" si="226"/>
        <v>1.7337605100414058E-2</v>
      </c>
      <c r="BG151" s="140">
        <f t="shared" si="226"/>
        <v>1.7380249803243885E-2</v>
      </c>
      <c r="BH151" s="140">
        <f t="shared" si="226"/>
        <v>1.742203704013514E-2</v>
      </c>
      <c r="BI151" s="140">
        <f t="shared" si="226"/>
        <v>1.7463670191760899E-2</v>
      </c>
      <c r="BJ151" s="140">
        <f t="shared" si="226"/>
        <v>1.7504237247198583E-2</v>
      </c>
      <c r="BK151" s="140">
        <f t="shared" si="226"/>
        <v>1.7544652825695044E-2</v>
      </c>
      <c r="BL151" s="140">
        <f t="shared" si="226"/>
        <v>1.7584031655073159E-2</v>
      </c>
      <c r="BM151" s="140">
        <f t="shared" si="226"/>
        <v>1.7623261632174144E-2</v>
      </c>
      <c r="BN151" s="140">
        <f t="shared" si="226"/>
        <v>1.7661483520151382E-2</v>
      </c>
      <c r="BO151" s="140">
        <f t="shared" ref="BO151:CB151" si="227">IF(BO149&lt;0,0,$B$5+$B$6*((1-EXP(-BO150/$B$9))/(BO150/$B$9))+$B$7*((1-EXP(-BO150/$B$9))/(BO150/$B$9)-EXP(-BO150/$B$9))+$B$8*((1-EXP(-BO150/$B$10))/(BO150/$B$10)-EXP(-BO150/$B$10)))</f>
        <v>1.7699350402373592E-2</v>
      </c>
      <c r="BP151" s="140">
        <f t="shared" si="227"/>
        <v>1.7736449062190331E-2</v>
      </c>
      <c r="BQ151" s="140">
        <f t="shared" si="227"/>
        <v>1.7773404156097853E-2</v>
      </c>
      <c r="BR151" s="140">
        <f t="shared" si="227"/>
        <v>1.7809406398950269E-2</v>
      </c>
      <c r="BS151" s="140">
        <f t="shared" si="227"/>
        <v>1.7845267742730996E-2</v>
      </c>
      <c r="BT151" s="140">
        <f t="shared" si="227"/>
        <v>1.7880202916858202E-2</v>
      </c>
      <c r="BU151" s="140">
        <f t="shared" si="227"/>
        <v>1.7914999870648974E-2</v>
      </c>
      <c r="BV151" s="140">
        <f t="shared" si="227"/>
        <v>1.7948896702172503E-2</v>
      </c>
      <c r="BW151" s="140">
        <f t="shared" si="227"/>
        <v>1.7982472884105802E-2</v>
      </c>
      <c r="BX151" s="140">
        <f t="shared" si="227"/>
        <v>1.8015362256468801E-2</v>
      </c>
      <c r="BY151" s="140">
        <f t="shared" si="227"/>
        <v>1.8048118790011895E-2</v>
      </c>
      <c r="BZ151" s="140">
        <f t="shared" si="227"/>
        <v>1.8080025376399283E-2</v>
      </c>
      <c r="CA151" s="140">
        <f t="shared" si="227"/>
        <v>1.8111801832235368E-2</v>
      </c>
      <c r="CB151" s="140">
        <f t="shared" si="227"/>
        <v>1.8142752563059698E-2</v>
      </c>
      <c r="CC151" s="17"/>
      <c r="CD151" s="17"/>
      <c r="CE151" s="17"/>
    </row>
    <row r="152" spans="1:83">
      <c r="A152" s="16" t="s">
        <v>44</v>
      </c>
      <c r="B152" s="140">
        <f>EXP(-B151*B150)</f>
        <v>0.99436337210224257</v>
      </c>
      <c r="C152" s="140">
        <f t="shared" ref="C152:AR152" si="228">EXP(-C151*C150)</f>
        <v>0.98751172172840351</v>
      </c>
      <c r="D152" s="140">
        <f t="shared" si="228"/>
        <v>0.9806554437207381</v>
      </c>
      <c r="E152" s="140">
        <f t="shared" si="228"/>
        <v>0.97368265324568581</v>
      </c>
      <c r="F152" s="140">
        <f t="shared" si="228"/>
        <v>0.9667507068724478</v>
      </c>
      <c r="G152" s="140">
        <f t="shared" si="228"/>
        <v>0.9597079317706938</v>
      </c>
      <c r="H152" s="140">
        <f t="shared" si="228"/>
        <v>0.95271307479530409</v>
      </c>
      <c r="I152" s="140">
        <f t="shared" si="228"/>
        <v>0.94561289910851531</v>
      </c>
      <c r="J152" s="140">
        <f t="shared" si="228"/>
        <v>0.93856726486489461</v>
      </c>
      <c r="K152" s="140">
        <f t="shared" si="228"/>
        <v>0.93146117587123789</v>
      </c>
      <c r="L152" s="140">
        <f t="shared" si="228"/>
        <v>0.92437637262452599</v>
      </c>
      <c r="M152" s="140">
        <f t="shared" si="228"/>
        <v>0.91719671909245604</v>
      </c>
      <c r="N152" s="140">
        <f t="shared" si="228"/>
        <v>0.91008352748454635</v>
      </c>
      <c r="O152" s="140">
        <f t="shared" si="228"/>
        <v>0.9028804533574466</v>
      </c>
      <c r="P152" s="140">
        <f t="shared" si="228"/>
        <v>0.89574917793262698</v>
      </c>
      <c r="Q152" s="140">
        <f t="shared" si="228"/>
        <v>0.8885328034019101</v>
      </c>
      <c r="R152" s="140">
        <f t="shared" si="228"/>
        <v>0.88139315945791841</v>
      </c>
      <c r="S152" s="140">
        <f t="shared" si="228"/>
        <v>0.87421290353403114</v>
      </c>
      <c r="T152" s="140">
        <f t="shared" si="228"/>
        <v>0.86707401601808765</v>
      </c>
      <c r="U152" s="140">
        <f t="shared" si="228"/>
        <v>0.8598590315807918</v>
      </c>
      <c r="V152" s="140">
        <f t="shared" si="228"/>
        <v>0.8527294693213352</v>
      </c>
      <c r="W152" s="140">
        <f t="shared" si="228"/>
        <v>0.84552804361298073</v>
      </c>
      <c r="X152" s="140">
        <f t="shared" si="228"/>
        <v>0.83841583965343935</v>
      </c>
      <c r="Y152" s="140">
        <f t="shared" si="228"/>
        <v>0.83123582555466002</v>
      </c>
      <c r="Z152" s="140">
        <f t="shared" si="228"/>
        <v>0.82414848326873835</v>
      </c>
      <c r="AA152" s="140">
        <f t="shared" si="228"/>
        <v>0.81703667118831946</v>
      </c>
      <c r="AB152" s="140">
        <f t="shared" si="228"/>
        <v>0.80998108374033495</v>
      </c>
      <c r="AC152" s="140">
        <f t="shared" si="228"/>
        <v>0.80286525344755766</v>
      </c>
      <c r="AD152" s="140">
        <f t="shared" si="228"/>
        <v>0.79584799724520716</v>
      </c>
      <c r="AE152" s="140">
        <f t="shared" si="228"/>
        <v>0.78877402946871311</v>
      </c>
      <c r="AF152" s="140">
        <f t="shared" si="228"/>
        <v>0.78180112525077505</v>
      </c>
      <c r="AG152" s="140">
        <f t="shared" si="228"/>
        <v>0.77477487396855615</v>
      </c>
      <c r="AH152" s="140">
        <f t="shared" si="228"/>
        <v>0.76785188420633199</v>
      </c>
      <c r="AI152" s="140">
        <f t="shared" si="228"/>
        <v>0.7609171975405683</v>
      </c>
      <c r="AJ152" s="140">
        <f t="shared" si="228"/>
        <v>0.75404908544473159</v>
      </c>
      <c r="AK152" s="140">
        <f t="shared" si="228"/>
        <v>0.74713386409123173</v>
      </c>
      <c r="AL152" s="140">
        <f t="shared" si="228"/>
        <v>0.74032547851776209</v>
      </c>
      <c r="AM152" s="140">
        <f t="shared" si="228"/>
        <v>0.73347287487382617</v>
      </c>
      <c r="AN152" s="140">
        <f t="shared" si="228"/>
        <v>0.72672851626351043</v>
      </c>
      <c r="AO152" s="140">
        <f t="shared" si="228"/>
        <v>0.71994268236162262</v>
      </c>
      <c r="AP152" s="140">
        <f t="shared" si="228"/>
        <v>0.71326626717265273</v>
      </c>
      <c r="AQ152" s="140">
        <f t="shared" si="228"/>
        <v>0.70658797684112729</v>
      </c>
      <c r="AR152" s="140">
        <f t="shared" si="228"/>
        <v>0.69998285264881843</v>
      </c>
      <c r="AS152" s="140">
        <f>EXP(-AS151*AS150)</f>
        <v>0.69334130686792328</v>
      </c>
      <c r="AT152" s="140">
        <f t="shared" ref="AT152:CA152" si="229">EXP(-AT151*AT150)</f>
        <v>0.68681087151983888</v>
      </c>
      <c r="AU152" s="140">
        <f t="shared" si="229"/>
        <v>0.68024634269149331</v>
      </c>
      <c r="AV152" s="140">
        <f t="shared" si="229"/>
        <v>0.67379347020074931</v>
      </c>
      <c r="AW152" s="140">
        <f t="shared" si="229"/>
        <v>0.66730870419714272</v>
      </c>
      <c r="AX152" s="140">
        <f t="shared" si="229"/>
        <v>0.66093595588758003</v>
      </c>
      <c r="AY152" s="140">
        <f t="shared" si="229"/>
        <v>0.65456864896088307</v>
      </c>
      <c r="AZ152" s="140">
        <f t="shared" si="229"/>
        <v>0.64827805864750598</v>
      </c>
      <c r="BA152" s="140">
        <f t="shared" si="229"/>
        <v>0.64195960547263031</v>
      </c>
      <c r="BB152" s="140">
        <f t="shared" si="229"/>
        <v>0.63575338599652009</v>
      </c>
      <c r="BC152" s="140">
        <f t="shared" si="229"/>
        <v>0.629521150039831</v>
      </c>
      <c r="BD152" s="140">
        <f t="shared" si="229"/>
        <v>0.6234010250505968</v>
      </c>
      <c r="BE152" s="140">
        <f t="shared" si="229"/>
        <v>0.61725662198375009</v>
      </c>
      <c r="BF152" s="140">
        <f t="shared" si="229"/>
        <v>0.61122406727231038</v>
      </c>
      <c r="BG152" s="140">
        <f t="shared" si="229"/>
        <v>0.60520219972294842</v>
      </c>
      <c r="BH152" s="140">
        <f t="shared" si="229"/>
        <v>0.5992582099787952</v>
      </c>
      <c r="BI152" s="140">
        <f t="shared" si="229"/>
        <v>0.59329311026890497</v>
      </c>
      <c r="BJ152" s="140">
        <f t="shared" si="229"/>
        <v>0.58743895563110549</v>
      </c>
      <c r="BK152" s="140">
        <f t="shared" si="229"/>
        <v>0.58156513455682635</v>
      </c>
      <c r="BL152" s="140">
        <f t="shared" si="229"/>
        <v>0.57580163552300512</v>
      </c>
      <c r="BM152" s="140">
        <f t="shared" si="229"/>
        <v>0.57001982442960042</v>
      </c>
      <c r="BN152" s="140">
        <f t="shared" si="229"/>
        <v>0.56434761029711389</v>
      </c>
      <c r="BO152" s="140">
        <f t="shared" si="229"/>
        <v>0.55868965792494907</v>
      </c>
      <c r="BP152" s="140">
        <f t="shared" si="229"/>
        <v>0.55310892431870129</v>
      </c>
      <c r="BQ152" s="140">
        <f t="shared" si="229"/>
        <v>0.54751233427426638</v>
      </c>
      <c r="BR152" s="140">
        <f t="shared" si="229"/>
        <v>0.54202362071855081</v>
      </c>
      <c r="BS152" s="140">
        <f t="shared" si="229"/>
        <v>0.53652016379499834</v>
      </c>
      <c r="BT152" s="140">
        <f t="shared" si="229"/>
        <v>0.53112360113102042</v>
      </c>
      <c r="BU152" s="140">
        <f t="shared" si="229"/>
        <v>0.52571333584603708</v>
      </c>
      <c r="BV152" s="140">
        <f t="shared" si="229"/>
        <v>0.52040891170268189</v>
      </c>
      <c r="BW152" s="140">
        <f t="shared" si="229"/>
        <v>0.51512100530040195</v>
      </c>
      <c r="BX152" s="140">
        <f t="shared" si="229"/>
        <v>0.50990831954210192</v>
      </c>
      <c r="BY152" s="140">
        <f t="shared" si="229"/>
        <v>0.50468380854886741</v>
      </c>
      <c r="BZ152" s="140">
        <f t="shared" si="229"/>
        <v>0.49956284999647149</v>
      </c>
      <c r="CA152" s="140">
        <f t="shared" si="229"/>
        <v>0.49443091273670048</v>
      </c>
      <c r="CB152" s="140">
        <f>EXP(-CB151*CB150)</f>
        <v>0.48940130164104817</v>
      </c>
      <c r="CC152" s="17"/>
      <c r="CD152" s="17"/>
      <c r="CE152" s="17"/>
    </row>
    <row r="153" spans="1:83">
      <c r="A153" s="17"/>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17"/>
      <c r="CD153" s="17"/>
      <c r="CE153" s="17"/>
    </row>
    <row r="154" spans="1:83">
      <c r="A154" s="16" t="s">
        <v>40</v>
      </c>
      <c r="B154" s="140">
        <f t="shared" ref="B154:BM154" si="230">DAYS360($B$3,B58)</f>
        <v>-43022</v>
      </c>
      <c r="C154" s="140">
        <f t="shared" si="230"/>
        <v>-42842</v>
      </c>
      <c r="D154" s="140">
        <f t="shared" si="230"/>
        <v>-42662</v>
      </c>
      <c r="E154" s="140">
        <f t="shared" si="230"/>
        <v>-42482</v>
      </c>
      <c r="F154" s="140">
        <f t="shared" si="230"/>
        <v>-42302</v>
      </c>
      <c r="G154" s="140">
        <f t="shared" si="230"/>
        <v>-42122</v>
      </c>
      <c r="H154" s="140">
        <f t="shared" si="230"/>
        <v>-41942</v>
      </c>
      <c r="I154" s="140">
        <f t="shared" si="230"/>
        <v>-41762</v>
      </c>
      <c r="J154" s="140">
        <f t="shared" si="230"/>
        <v>-41582</v>
      </c>
      <c r="K154" s="140">
        <f t="shared" si="230"/>
        <v>-41403</v>
      </c>
      <c r="L154" s="140">
        <f t="shared" si="230"/>
        <v>-41223</v>
      </c>
      <c r="M154" s="140">
        <f t="shared" si="230"/>
        <v>-41043</v>
      </c>
      <c r="N154" s="140">
        <f t="shared" si="230"/>
        <v>-40863</v>
      </c>
      <c r="O154" s="140">
        <f t="shared" si="230"/>
        <v>-40683</v>
      </c>
      <c r="P154" s="140">
        <f t="shared" si="230"/>
        <v>-40503</v>
      </c>
      <c r="Q154" s="140">
        <f t="shared" si="230"/>
        <v>-40323</v>
      </c>
      <c r="R154" s="140">
        <f t="shared" si="230"/>
        <v>-40143</v>
      </c>
      <c r="S154" s="140">
        <f t="shared" si="230"/>
        <v>-39964</v>
      </c>
      <c r="T154" s="140">
        <f t="shared" si="230"/>
        <v>-39784</v>
      </c>
      <c r="U154" s="140">
        <f t="shared" si="230"/>
        <v>-39604</v>
      </c>
      <c r="V154" s="140">
        <f t="shared" si="230"/>
        <v>-39424</v>
      </c>
      <c r="W154" s="140">
        <f t="shared" si="230"/>
        <v>-39244</v>
      </c>
      <c r="X154" s="140">
        <f t="shared" si="230"/>
        <v>-39064</v>
      </c>
      <c r="Y154" s="140">
        <f t="shared" si="230"/>
        <v>-38884</v>
      </c>
      <c r="Z154" s="140">
        <f t="shared" si="230"/>
        <v>-38704</v>
      </c>
      <c r="AA154" s="140">
        <f t="shared" si="230"/>
        <v>-38525</v>
      </c>
      <c r="AB154" s="140">
        <f t="shared" si="230"/>
        <v>-38345</v>
      </c>
      <c r="AC154" s="140">
        <f t="shared" si="230"/>
        <v>-38165</v>
      </c>
      <c r="AD154" s="140">
        <f t="shared" si="230"/>
        <v>-37985</v>
      </c>
      <c r="AE154" s="140">
        <f t="shared" si="230"/>
        <v>-37805</v>
      </c>
      <c r="AF154" s="140">
        <f t="shared" si="230"/>
        <v>-37625</v>
      </c>
      <c r="AG154" s="140">
        <f t="shared" si="230"/>
        <v>-37445</v>
      </c>
      <c r="AH154" s="140">
        <f t="shared" si="230"/>
        <v>-37265</v>
      </c>
      <c r="AI154" s="140">
        <f t="shared" si="230"/>
        <v>-37086</v>
      </c>
      <c r="AJ154" s="140">
        <f t="shared" si="230"/>
        <v>-36906</v>
      </c>
      <c r="AK154" s="140">
        <f t="shared" si="230"/>
        <v>-36726</v>
      </c>
      <c r="AL154" s="140">
        <f t="shared" si="230"/>
        <v>-36546</v>
      </c>
      <c r="AM154" s="140">
        <f t="shared" si="230"/>
        <v>-36366</v>
      </c>
      <c r="AN154" s="140">
        <f t="shared" si="230"/>
        <v>-36186</v>
      </c>
      <c r="AO154" s="140">
        <f t="shared" si="230"/>
        <v>-36006</v>
      </c>
      <c r="AP154" s="140">
        <f t="shared" si="230"/>
        <v>-35826</v>
      </c>
      <c r="AQ154" s="140">
        <f t="shared" si="230"/>
        <v>-35647</v>
      </c>
      <c r="AR154" s="140">
        <f t="shared" si="230"/>
        <v>-35467</v>
      </c>
      <c r="AS154" s="140">
        <f t="shared" si="230"/>
        <v>-35287</v>
      </c>
      <c r="AT154" s="140">
        <f t="shared" si="230"/>
        <v>-35107</v>
      </c>
      <c r="AU154" s="140">
        <f t="shared" si="230"/>
        <v>-34927</v>
      </c>
      <c r="AV154" s="140">
        <f t="shared" si="230"/>
        <v>-34747</v>
      </c>
      <c r="AW154" s="140">
        <f t="shared" si="230"/>
        <v>-34567</v>
      </c>
      <c r="AX154" s="140">
        <f t="shared" si="230"/>
        <v>-34387</v>
      </c>
      <c r="AY154" s="140">
        <f t="shared" si="230"/>
        <v>-34208</v>
      </c>
      <c r="AZ154" s="140">
        <f t="shared" si="230"/>
        <v>-34028</v>
      </c>
      <c r="BA154" s="140">
        <f t="shared" si="230"/>
        <v>-33848</v>
      </c>
      <c r="BB154" s="140">
        <f t="shared" si="230"/>
        <v>-33668</v>
      </c>
      <c r="BC154" s="140">
        <f t="shared" si="230"/>
        <v>-33488</v>
      </c>
      <c r="BD154" s="140">
        <f t="shared" si="230"/>
        <v>-33308</v>
      </c>
      <c r="BE154" s="140">
        <f t="shared" si="230"/>
        <v>-33128</v>
      </c>
      <c r="BF154" s="140">
        <f t="shared" si="230"/>
        <v>-32948</v>
      </c>
      <c r="BG154" s="140">
        <f t="shared" si="230"/>
        <v>-32769</v>
      </c>
      <c r="BH154" s="140">
        <f t="shared" si="230"/>
        <v>-32589</v>
      </c>
      <c r="BI154" s="140">
        <f t="shared" si="230"/>
        <v>-32409</v>
      </c>
      <c r="BJ154" s="140">
        <f t="shared" si="230"/>
        <v>-32229</v>
      </c>
      <c r="BK154" s="140">
        <f t="shared" si="230"/>
        <v>-32049</v>
      </c>
      <c r="BL154" s="140">
        <f t="shared" si="230"/>
        <v>-31869</v>
      </c>
      <c r="BM154" s="140">
        <f t="shared" si="230"/>
        <v>-31689</v>
      </c>
      <c r="BN154" s="140">
        <f t="shared" ref="BN154:CB154" si="231">DAYS360($B$3,BN58)</f>
        <v>-31509</v>
      </c>
      <c r="BO154" s="140">
        <f t="shared" si="231"/>
        <v>-31330</v>
      </c>
      <c r="BP154" s="140">
        <f t="shared" si="231"/>
        <v>-31150</v>
      </c>
      <c r="BQ154" s="140">
        <f t="shared" si="231"/>
        <v>-30970</v>
      </c>
      <c r="BR154" s="140">
        <f t="shared" si="231"/>
        <v>-30790</v>
      </c>
      <c r="BS154" s="140">
        <f t="shared" si="231"/>
        <v>-30610</v>
      </c>
      <c r="BT154" s="140">
        <f t="shared" si="231"/>
        <v>-30430</v>
      </c>
      <c r="BU154" s="140">
        <f t="shared" si="231"/>
        <v>-30250</v>
      </c>
      <c r="BV154" s="140">
        <f t="shared" si="231"/>
        <v>-30070</v>
      </c>
      <c r="BW154" s="140">
        <f t="shared" si="231"/>
        <v>-29891</v>
      </c>
      <c r="BX154" s="140">
        <f t="shared" si="231"/>
        <v>-29711</v>
      </c>
      <c r="BY154" s="140">
        <f t="shared" si="231"/>
        <v>-29531</v>
      </c>
      <c r="BZ154" s="140">
        <f t="shared" si="231"/>
        <v>-29351</v>
      </c>
      <c r="CA154" s="140">
        <f t="shared" si="231"/>
        <v>-29171</v>
      </c>
      <c r="CB154" s="140">
        <f t="shared" si="231"/>
        <v>-28991</v>
      </c>
      <c r="CC154" s="17"/>
      <c r="CD154" s="17"/>
      <c r="CE154" s="17"/>
    </row>
    <row r="155" spans="1:83">
      <c r="A155" s="16" t="s">
        <v>41</v>
      </c>
      <c r="B155" s="140">
        <f>B154/360</f>
        <v>-119.50555555555556</v>
      </c>
      <c r="C155" s="140">
        <f t="shared" ref="C155:BN155" si="232">C154/360</f>
        <v>-119.00555555555556</v>
      </c>
      <c r="D155" s="140">
        <f t="shared" si="232"/>
        <v>-118.50555555555556</v>
      </c>
      <c r="E155" s="140">
        <f t="shared" si="232"/>
        <v>-118.00555555555556</v>
      </c>
      <c r="F155" s="140">
        <f t="shared" si="232"/>
        <v>-117.50555555555556</v>
      </c>
      <c r="G155" s="140">
        <f t="shared" si="232"/>
        <v>-117.00555555555556</v>
      </c>
      <c r="H155" s="140">
        <f t="shared" si="232"/>
        <v>-116.50555555555556</v>
      </c>
      <c r="I155" s="140">
        <f t="shared" si="232"/>
        <v>-116.00555555555556</v>
      </c>
      <c r="J155" s="140">
        <f t="shared" si="232"/>
        <v>-115.50555555555556</v>
      </c>
      <c r="K155" s="140">
        <f t="shared" si="232"/>
        <v>-115.00833333333334</v>
      </c>
      <c r="L155" s="140">
        <f t="shared" si="232"/>
        <v>-114.50833333333334</v>
      </c>
      <c r="M155" s="140">
        <f t="shared" si="232"/>
        <v>-114.00833333333334</v>
      </c>
      <c r="N155" s="140">
        <f t="shared" si="232"/>
        <v>-113.50833333333334</v>
      </c>
      <c r="O155" s="140">
        <f t="shared" si="232"/>
        <v>-113.00833333333334</v>
      </c>
      <c r="P155" s="140">
        <f t="shared" si="232"/>
        <v>-112.50833333333334</v>
      </c>
      <c r="Q155" s="140">
        <f t="shared" si="232"/>
        <v>-112.00833333333334</v>
      </c>
      <c r="R155" s="140">
        <f t="shared" si="232"/>
        <v>-111.50833333333334</v>
      </c>
      <c r="S155" s="140">
        <f t="shared" si="232"/>
        <v>-111.01111111111111</v>
      </c>
      <c r="T155" s="140">
        <f t="shared" si="232"/>
        <v>-110.51111111111111</v>
      </c>
      <c r="U155" s="140">
        <f t="shared" si="232"/>
        <v>-110.01111111111111</v>
      </c>
      <c r="V155" s="140">
        <f t="shared" si="232"/>
        <v>-109.51111111111111</v>
      </c>
      <c r="W155" s="140">
        <f t="shared" si="232"/>
        <v>-109.01111111111111</v>
      </c>
      <c r="X155" s="140">
        <f t="shared" si="232"/>
        <v>-108.51111111111111</v>
      </c>
      <c r="Y155" s="140">
        <f t="shared" si="232"/>
        <v>-108.01111111111111</v>
      </c>
      <c r="Z155" s="140">
        <f t="shared" si="232"/>
        <v>-107.51111111111111</v>
      </c>
      <c r="AA155" s="140">
        <f t="shared" si="232"/>
        <v>-107.01388888888889</v>
      </c>
      <c r="AB155" s="140">
        <f t="shared" si="232"/>
        <v>-106.51388888888889</v>
      </c>
      <c r="AC155" s="140">
        <f t="shared" si="232"/>
        <v>-106.01388888888889</v>
      </c>
      <c r="AD155" s="140">
        <f t="shared" si="232"/>
        <v>-105.51388888888889</v>
      </c>
      <c r="AE155" s="140">
        <f t="shared" si="232"/>
        <v>-105.01388888888889</v>
      </c>
      <c r="AF155" s="140">
        <f t="shared" si="232"/>
        <v>-104.51388888888889</v>
      </c>
      <c r="AG155" s="140">
        <f t="shared" si="232"/>
        <v>-104.01388888888889</v>
      </c>
      <c r="AH155" s="140">
        <f t="shared" si="232"/>
        <v>-103.51388888888889</v>
      </c>
      <c r="AI155" s="140">
        <f t="shared" si="232"/>
        <v>-103.01666666666667</v>
      </c>
      <c r="AJ155" s="140">
        <f t="shared" si="232"/>
        <v>-102.51666666666667</v>
      </c>
      <c r="AK155" s="140">
        <f t="shared" si="232"/>
        <v>-102.01666666666667</v>
      </c>
      <c r="AL155" s="140">
        <f t="shared" si="232"/>
        <v>-101.51666666666667</v>
      </c>
      <c r="AM155" s="140">
        <f t="shared" si="232"/>
        <v>-101.01666666666667</v>
      </c>
      <c r="AN155" s="140">
        <f t="shared" si="232"/>
        <v>-100.51666666666667</v>
      </c>
      <c r="AO155" s="140">
        <f t="shared" si="232"/>
        <v>-100.01666666666667</v>
      </c>
      <c r="AP155" s="140">
        <f t="shared" si="232"/>
        <v>-99.516666666666666</v>
      </c>
      <c r="AQ155" s="140">
        <f t="shared" si="232"/>
        <v>-99.019444444444446</v>
      </c>
      <c r="AR155" s="140">
        <f t="shared" si="232"/>
        <v>-98.519444444444446</v>
      </c>
      <c r="AS155" s="140">
        <f t="shared" si="232"/>
        <v>-98.019444444444446</v>
      </c>
      <c r="AT155" s="140">
        <f t="shared" si="232"/>
        <v>-97.519444444444446</v>
      </c>
      <c r="AU155" s="140">
        <f t="shared" si="232"/>
        <v>-97.019444444444446</v>
      </c>
      <c r="AV155" s="140">
        <f t="shared" si="232"/>
        <v>-96.519444444444446</v>
      </c>
      <c r="AW155" s="140">
        <f t="shared" si="232"/>
        <v>-96.019444444444446</v>
      </c>
      <c r="AX155" s="140">
        <f t="shared" si="232"/>
        <v>-95.519444444444446</v>
      </c>
      <c r="AY155" s="140">
        <f t="shared" si="232"/>
        <v>-95.022222222222226</v>
      </c>
      <c r="AZ155" s="140">
        <f t="shared" si="232"/>
        <v>-94.522222222222226</v>
      </c>
      <c r="BA155" s="140">
        <f t="shared" si="232"/>
        <v>-94.022222222222226</v>
      </c>
      <c r="BB155" s="140">
        <f t="shared" si="232"/>
        <v>-93.522222222222226</v>
      </c>
      <c r="BC155" s="140">
        <f t="shared" si="232"/>
        <v>-93.022222222222226</v>
      </c>
      <c r="BD155" s="140">
        <f t="shared" si="232"/>
        <v>-92.522222222222226</v>
      </c>
      <c r="BE155" s="140">
        <f t="shared" si="232"/>
        <v>-92.022222222222226</v>
      </c>
      <c r="BF155" s="140">
        <f t="shared" si="232"/>
        <v>-91.522222222222226</v>
      </c>
      <c r="BG155" s="140">
        <f t="shared" si="232"/>
        <v>-91.025000000000006</v>
      </c>
      <c r="BH155" s="140">
        <f t="shared" si="232"/>
        <v>-90.525000000000006</v>
      </c>
      <c r="BI155" s="140">
        <f t="shared" si="232"/>
        <v>-90.025000000000006</v>
      </c>
      <c r="BJ155" s="140">
        <f t="shared" si="232"/>
        <v>-89.525000000000006</v>
      </c>
      <c r="BK155" s="140">
        <f t="shared" si="232"/>
        <v>-89.025000000000006</v>
      </c>
      <c r="BL155" s="140">
        <f t="shared" si="232"/>
        <v>-88.525000000000006</v>
      </c>
      <c r="BM155" s="140">
        <f t="shared" si="232"/>
        <v>-88.025000000000006</v>
      </c>
      <c r="BN155" s="140">
        <f t="shared" si="232"/>
        <v>-87.525000000000006</v>
      </c>
      <c r="BO155" s="140">
        <f t="shared" ref="BO155:CB155" si="233">BO154/360</f>
        <v>-87.027777777777771</v>
      </c>
      <c r="BP155" s="140">
        <f t="shared" si="233"/>
        <v>-86.527777777777771</v>
      </c>
      <c r="BQ155" s="140">
        <f t="shared" si="233"/>
        <v>-86.027777777777771</v>
      </c>
      <c r="BR155" s="140">
        <f t="shared" si="233"/>
        <v>-85.527777777777771</v>
      </c>
      <c r="BS155" s="140">
        <f t="shared" si="233"/>
        <v>-85.027777777777771</v>
      </c>
      <c r="BT155" s="140">
        <f t="shared" si="233"/>
        <v>-84.527777777777771</v>
      </c>
      <c r="BU155" s="140">
        <f t="shared" si="233"/>
        <v>-84.027777777777771</v>
      </c>
      <c r="BV155" s="140">
        <f t="shared" si="233"/>
        <v>-83.527777777777771</v>
      </c>
      <c r="BW155" s="140">
        <f t="shared" si="233"/>
        <v>-83.030555555555551</v>
      </c>
      <c r="BX155" s="140">
        <f t="shared" si="233"/>
        <v>-82.530555555555551</v>
      </c>
      <c r="BY155" s="140">
        <f t="shared" si="233"/>
        <v>-82.030555555555551</v>
      </c>
      <c r="BZ155" s="140">
        <f t="shared" si="233"/>
        <v>-81.530555555555551</v>
      </c>
      <c r="CA155" s="140">
        <f t="shared" si="233"/>
        <v>-81.030555555555551</v>
      </c>
      <c r="CB155" s="140">
        <f t="shared" si="233"/>
        <v>-80.530555555555551</v>
      </c>
      <c r="CC155" s="17"/>
      <c r="CD155" s="17"/>
      <c r="CE155" s="17"/>
    </row>
    <row r="156" spans="1:83">
      <c r="A156" s="16" t="s">
        <v>43</v>
      </c>
      <c r="B156" s="140">
        <f>IF(B154&lt;0,0,$B$5+$B$6*((1-EXP(-B155/$B$9))/(B155/$B$9))+$B$7*((1-EXP(-B155/$B$9))/(B155/$B$9)-EXP(-B155/$B$9))+$B$8*((1-EXP(-B155/$B$10))/(B155/$B$10)-EXP(-B155/$B$10)))</f>
        <v>0</v>
      </c>
      <c r="C156" s="140">
        <f t="shared" ref="C156:BN156" si="234">IF(C154&lt;0,0,$B$5+$B$6*((1-EXP(-C155/$B$9))/(C155/$B$9))+$B$7*((1-EXP(-C155/$B$9))/(C155/$B$9)-EXP(-C155/$B$9))+$B$8*((1-EXP(-C155/$B$10))/(C155/$B$10)-EXP(-C155/$B$10)))</f>
        <v>0</v>
      </c>
      <c r="D156" s="140">
        <f t="shared" si="234"/>
        <v>0</v>
      </c>
      <c r="E156" s="140">
        <f t="shared" si="234"/>
        <v>0</v>
      </c>
      <c r="F156" s="140">
        <f t="shared" si="234"/>
        <v>0</v>
      </c>
      <c r="G156" s="140">
        <f t="shared" si="234"/>
        <v>0</v>
      </c>
      <c r="H156" s="140">
        <f t="shared" si="234"/>
        <v>0</v>
      </c>
      <c r="I156" s="140">
        <f t="shared" si="234"/>
        <v>0</v>
      </c>
      <c r="J156" s="140">
        <f t="shared" si="234"/>
        <v>0</v>
      </c>
      <c r="K156" s="140">
        <f t="shared" si="234"/>
        <v>0</v>
      </c>
      <c r="L156" s="140">
        <f t="shared" si="234"/>
        <v>0</v>
      </c>
      <c r="M156" s="140">
        <f t="shared" si="234"/>
        <v>0</v>
      </c>
      <c r="N156" s="140">
        <f t="shared" si="234"/>
        <v>0</v>
      </c>
      <c r="O156" s="140">
        <f t="shared" si="234"/>
        <v>0</v>
      </c>
      <c r="P156" s="140">
        <f t="shared" si="234"/>
        <v>0</v>
      </c>
      <c r="Q156" s="140">
        <f t="shared" si="234"/>
        <v>0</v>
      </c>
      <c r="R156" s="140">
        <f t="shared" si="234"/>
        <v>0</v>
      </c>
      <c r="S156" s="140">
        <f t="shared" si="234"/>
        <v>0</v>
      </c>
      <c r="T156" s="140">
        <f t="shared" si="234"/>
        <v>0</v>
      </c>
      <c r="U156" s="140">
        <f t="shared" si="234"/>
        <v>0</v>
      </c>
      <c r="V156" s="140">
        <f t="shared" si="234"/>
        <v>0</v>
      </c>
      <c r="W156" s="140">
        <f t="shared" si="234"/>
        <v>0</v>
      </c>
      <c r="X156" s="140">
        <f t="shared" si="234"/>
        <v>0</v>
      </c>
      <c r="Y156" s="140">
        <f t="shared" si="234"/>
        <v>0</v>
      </c>
      <c r="Z156" s="140">
        <f t="shared" si="234"/>
        <v>0</v>
      </c>
      <c r="AA156" s="140">
        <f t="shared" si="234"/>
        <v>0</v>
      </c>
      <c r="AB156" s="140">
        <f t="shared" si="234"/>
        <v>0</v>
      </c>
      <c r="AC156" s="140">
        <f t="shared" si="234"/>
        <v>0</v>
      </c>
      <c r="AD156" s="140">
        <f t="shared" si="234"/>
        <v>0</v>
      </c>
      <c r="AE156" s="140">
        <f t="shared" si="234"/>
        <v>0</v>
      </c>
      <c r="AF156" s="140">
        <f t="shared" si="234"/>
        <v>0</v>
      </c>
      <c r="AG156" s="140">
        <f t="shared" si="234"/>
        <v>0</v>
      </c>
      <c r="AH156" s="140">
        <f t="shared" si="234"/>
        <v>0</v>
      </c>
      <c r="AI156" s="140">
        <f t="shared" si="234"/>
        <v>0</v>
      </c>
      <c r="AJ156" s="140">
        <f t="shared" si="234"/>
        <v>0</v>
      </c>
      <c r="AK156" s="140">
        <f t="shared" si="234"/>
        <v>0</v>
      </c>
      <c r="AL156" s="140">
        <f t="shared" si="234"/>
        <v>0</v>
      </c>
      <c r="AM156" s="140">
        <f t="shared" si="234"/>
        <v>0</v>
      </c>
      <c r="AN156" s="140">
        <f t="shared" si="234"/>
        <v>0</v>
      </c>
      <c r="AO156" s="140">
        <f t="shared" si="234"/>
        <v>0</v>
      </c>
      <c r="AP156" s="140">
        <f t="shared" si="234"/>
        <v>0</v>
      </c>
      <c r="AQ156" s="140">
        <f t="shared" si="234"/>
        <v>0</v>
      </c>
      <c r="AR156" s="140">
        <f t="shared" si="234"/>
        <v>0</v>
      </c>
      <c r="AS156" s="140">
        <f t="shared" si="234"/>
        <v>0</v>
      </c>
      <c r="AT156" s="140">
        <f t="shared" si="234"/>
        <v>0</v>
      </c>
      <c r="AU156" s="140">
        <f t="shared" si="234"/>
        <v>0</v>
      </c>
      <c r="AV156" s="140">
        <f t="shared" si="234"/>
        <v>0</v>
      </c>
      <c r="AW156" s="140">
        <f t="shared" si="234"/>
        <v>0</v>
      </c>
      <c r="AX156" s="140">
        <f t="shared" si="234"/>
        <v>0</v>
      </c>
      <c r="AY156" s="140">
        <f t="shared" si="234"/>
        <v>0</v>
      </c>
      <c r="AZ156" s="140">
        <f t="shared" si="234"/>
        <v>0</v>
      </c>
      <c r="BA156" s="140">
        <f t="shared" si="234"/>
        <v>0</v>
      </c>
      <c r="BB156" s="140">
        <f t="shared" si="234"/>
        <v>0</v>
      </c>
      <c r="BC156" s="140">
        <f t="shared" si="234"/>
        <v>0</v>
      </c>
      <c r="BD156" s="140">
        <f t="shared" si="234"/>
        <v>0</v>
      </c>
      <c r="BE156" s="140">
        <f t="shared" si="234"/>
        <v>0</v>
      </c>
      <c r="BF156" s="140">
        <f t="shared" si="234"/>
        <v>0</v>
      </c>
      <c r="BG156" s="140">
        <f t="shared" si="234"/>
        <v>0</v>
      </c>
      <c r="BH156" s="140">
        <f t="shared" si="234"/>
        <v>0</v>
      </c>
      <c r="BI156" s="140">
        <f t="shared" si="234"/>
        <v>0</v>
      </c>
      <c r="BJ156" s="140">
        <f t="shared" si="234"/>
        <v>0</v>
      </c>
      <c r="BK156" s="140">
        <f t="shared" si="234"/>
        <v>0</v>
      </c>
      <c r="BL156" s="140">
        <f t="shared" si="234"/>
        <v>0</v>
      </c>
      <c r="BM156" s="140">
        <f t="shared" si="234"/>
        <v>0</v>
      </c>
      <c r="BN156" s="140">
        <f t="shared" si="234"/>
        <v>0</v>
      </c>
      <c r="BO156" s="140">
        <f t="shared" ref="BO156:CB156" si="235">IF(BO154&lt;0,0,$B$5+$B$6*((1-EXP(-BO155/$B$9))/(BO155/$B$9))+$B$7*((1-EXP(-BO155/$B$9))/(BO155/$B$9)-EXP(-BO155/$B$9))+$B$8*((1-EXP(-BO155/$B$10))/(BO155/$B$10)-EXP(-BO155/$B$10)))</f>
        <v>0</v>
      </c>
      <c r="BP156" s="140">
        <f t="shared" si="235"/>
        <v>0</v>
      </c>
      <c r="BQ156" s="140">
        <f t="shared" si="235"/>
        <v>0</v>
      </c>
      <c r="BR156" s="140">
        <f t="shared" si="235"/>
        <v>0</v>
      </c>
      <c r="BS156" s="140">
        <f t="shared" si="235"/>
        <v>0</v>
      </c>
      <c r="BT156" s="140">
        <f t="shared" si="235"/>
        <v>0</v>
      </c>
      <c r="BU156" s="140">
        <f t="shared" si="235"/>
        <v>0</v>
      </c>
      <c r="BV156" s="140">
        <f t="shared" si="235"/>
        <v>0</v>
      </c>
      <c r="BW156" s="140">
        <f t="shared" si="235"/>
        <v>0</v>
      </c>
      <c r="BX156" s="140">
        <f t="shared" si="235"/>
        <v>0</v>
      </c>
      <c r="BY156" s="140">
        <f t="shared" si="235"/>
        <v>0</v>
      </c>
      <c r="BZ156" s="140">
        <f t="shared" si="235"/>
        <v>0</v>
      </c>
      <c r="CA156" s="140">
        <f t="shared" si="235"/>
        <v>0</v>
      </c>
      <c r="CB156" s="140">
        <f t="shared" si="235"/>
        <v>0</v>
      </c>
      <c r="CC156" s="17"/>
      <c r="CD156" s="17"/>
      <c r="CE156" s="17"/>
    </row>
    <row r="157" spans="1:83">
      <c r="A157" s="16" t="s">
        <v>44</v>
      </c>
      <c r="B157" s="140">
        <f>EXP(-B156*B155)</f>
        <v>1</v>
      </c>
      <c r="C157" s="140">
        <f t="shared" ref="C157:AR157" si="236">EXP(-C156*C155)</f>
        <v>1</v>
      </c>
      <c r="D157" s="140">
        <f t="shared" si="236"/>
        <v>1</v>
      </c>
      <c r="E157" s="140">
        <f t="shared" si="236"/>
        <v>1</v>
      </c>
      <c r="F157" s="140">
        <f t="shared" si="236"/>
        <v>1</v>
      </c>
      <c r="G157" s="140">
        <f t="shared" si="236"/>
        <v>1</v>
      </c>
      <c r="H157" s="140">
        <f t="shared" si="236"/>
        <v>1</v>
      </c>
      <c r="I157" s="140">
        <f t="shared" si="236"/>
        <v>1</v>
      </c>
      <c r="J157" s="140">
        <f t="shared" si="236"/>
        <v>1</v>
      </c>
      <c r="K157" s="140">
        <f t="shared" si="236"/>
        <v>1</v>
      </c>
      <c r="L157" s="140">
        <f t="shared" si="236"/>
        <v>1</v>
      </c>
      <c r="M157" s="140">
        <f t="shared" si="236"/>
        <v>1</v>
      </c>
      <c r="N157" s="140">
        <f t="shared" si="236"/>
        <v>1</v>
      </c>
      <c r="O157" s="140">
        <f t="shared" si="236"/>
        <v>1</v>
      </c>
      <c r="P157" s="140">
        <f t="shared" si="236"/>
        <v>1</v>
      </c>
      <c r="Q157" s="140">
        <f t="shared" si="236"/>
        <v>1</v>
      </c>
      <c r="R157" s="140">
        <f t="shared" si="236"/>
        <v>1</v>
      </c>
      <c r="S157" s="140">
        <f t="shared" si="236"/>
        <v>1</v>
      </c>
      <c r="T157" s="140">
        <f t="shared" si="236"/>
        <v>1</v>
      </c>
      <c r="U157" s="140">
        <f t="shared" si="236"/>
        <v>1</v>
      </c>
      <c r="V157" s="140">
        <f t="shared" si="236"/>
        <v>1</v>
      </c>
      <c r="W157" s="140">
        <f t="shared" si="236"/>
        <v>1</v>
      </c>
      <c r="X157" s="140">
        <f t="shared" si="236"/>
        <v>1</v>
      </c>
      <c r="Y157" s="140">
        <f t="shared" si="236"/>
        <v>1</v>
      </c>
      <c r="Z157" s="140">
        <f t="shared" si="236"/>
        <v>1</v>
      </c>
      <c r="AA157" s="140">
        <f t="shared" si="236"/>
        <v>1</v>
      </c>
      <c r="AB157" s="140">
        <f t="shared" si="236"/>
        <v>1</v>
      </c>
      <c r="AC157" s="140">
        <f t="shared" si="236"/>
        <v>1</v>
      </c>
      <c r="AD157" s="140">
        <f t="shared" si="236"/>
        <v>1</v>
      </c>
      <c r="AE157" s="140">
        <f t="shared" si="236"/>
        <v>1</v>
      </c>
      <c r="AF157" s="140">
        <f t="shared" si="236"/>
        <v>1</v>
      </c>
      <c r="AG157" s="140">
        <f t="shared" si="236"/>
        <v>1</v>
      </c>
      <c r="AH157" s="140">
        <f t="shared" si="236"/>
        <v>1</v>
      </c>
      <c r="AI157" s="140">
        <f t="shared" si="236"/>
        <v>1</v>
      </c>
      <c r="AJ157" s="140">
        <f t="shared" si="236"/>
        <v>1</v>
      </c>
      <c r="AK157" s="140">
        <f t="shared" si="236"/>
        <v>1</v>
      </c>
      <c r="AL157" s="140">
        <f t="shared" si="236"/>
        <v>1</v>
      </c>
      <c r="AM157" s="140">
        <f t="shared" si="236"/>
        <v>1</v>
      </c>
      <c r="AN157" s="140">
        <f t="shared" si="236"/>
        <v>1</v>
      </c>
      <c r="AO157" s="140">
        <f t="shared" si="236"/>
        <v>1</v>
      </c>
      <c r="AP157" s="140">
        <f t="shared" si="236"/>
        <v>1</v>
      </c>
      <c r="AQ157" s="140">
        <f t="shared" si="236"/>
        <v>1</v>
      </c>
      <c r="AR157" s="140">
        <f t="shared" si="236"/>
        <v>1</v>
      </c>
      <c r="AS157" s="140">
        <f>EXP(-AS156*AS155)</f>
        <v>1</v>
      </c>
      <c r="AT157" s="140">
        <f t="shared" ref="AT157:CA157" si="237">EXP(-AT156*AT155)</f>
        <v>1</v>
      </c>
      <c r="AU157" s="140">
        <f t="shared" si="237"/>
        <v>1</v>
      </c>
      <c r="AV157" s="140">
        <f t="shared" si="237"/>
        <v>1</v>
      </c>
      <c r="AW157" s="140">
        <f t="shared" si="237"/>
        <v>1</v>
      </c>
      <c r="AX157" s="140">
        <f t="shared" si="237"/>
        <v>1</v>
      </c>
      <c r="AY157" s="140">
        <f t="shared" si="237"/>
        <v>1</v>
      </c>
      <c r="AZ157" s="140">
        <f t="shared" si="237"/>
        <v>1</v>
      </c>
      <c r="BA157" s="140">
        <f t="shared" si="237"/>
        <v>1</v>
      </c>
      <c r="BB157" s="140">
        <f t="shared" si="237"/>
        <v>1</v>
      </c>
      <c r="BC157" s="140">
        <f t="shared" si="237"/>
        <v>1</v>
      </c>
      <c r="BD157" s="140">
        <f t="shared" si="237"/>
        <v>1</v>
      </c>
      <c r="BE157" s="140">
        <f t="shared" si="237"/>
        <v>1</v>
      </c>
      <c r="BF157" s="140">
        <f t="shared" si="237"/>
        <v>1</v>
      </c>
      <c r="BG157" s="140">
        <f t="shared" si="237"/>
        <v>1</v>
      </c>
      <c r="BH157" s="140">
        <f t="shared" si="237"/>
        <v>1</v>
      </c>
      <c r="BI157" s="140">
        <f t="shared" si="237"/>
        <v>1</v>
      </c>
      <c r="BJ157" s="140">
        <f t="shared" si="237"/>
        <v>1</v>
      </c>
      <c r="BK157" s="140">
        <f t="shared" si="237"/>
        <v>1</v>
      </c>
      <c r="BL157" s="140">
        <f t="shared" si="237"/>
        <v>1</v>
      </c>
      <c r="BM157" s="140">
        <f t="shared" si="237"/>
        <v>1</v>
      </c>
      <c r="BN157" s="140">
        <f t="shared" si="237"/>
        <v>1</v>
      </c>
      <c r="BO157" s="140">
        <f t="shared" si="237"/>
        <v>1</v>
      </c>
      <c r="BP157" s="140">
        <f t="shared" si="237"/>
        <v>1</v>
      </c>
      <c r="BQ157" s="140">
        <f t="shared" si="237"/>
        <v>1</v>
      </c>
      <c r="BR157" s="140">
        <f t="shared" si="237"/>
        <v>1</v>
      </c>
      <c r="BS157" s="140">
        <f t="shared" si="237"/>
        <v>1</v>
      </c>
      <c r="BT157" s="140">
        <f t="shared" si="237"/>
        <v>1</v>
      </c>
      <c r="BU157" s="140">
        <f t="shared" si="237"/>
        <v>1</v>
      </c>
      <c r="BV157" s="140">
        <f t="shared" si="237"/>
        <v>1</v>
      </c>
      <c r="BW157" s="140">
        <f t="shared" si="237"/>
        <v>1</v>
      </c>
      <c r="BX157" s="140">
        <f t="shared" si="237"/>
        <v>1</v>
      </c>
      <c r="BY157" s="140">
        <f t="shared" si="237"/>
        <v>1</v>
      </c>
      <c r="BZ157" s="140">
        <f t="shared" si="237"/>
        <v>1</v>
      </c>
      <c r="CA157" s="140">
        <f t="shared" si="237"/>
        <v>1</v>
      </c>
      <c r="CB157" s="140">
        <f>EXP(-CB156*CB155)</f>
        <v>1</v>
      </c>
      <c r="CC157" s="17"/>
      <c r="CD157" s="17"/>
      <c r="CE157" s="17"/>
    </row>
    <row r="158" spans="1:83">
      <c r="A158" s="17"/>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17"/>
      <c r="CD158" s="17"/>
      <c r="CE158" s="17"/>
    </row>
    <row r="159" spans="1:83">
      <c r="A159" s="16" t="s">
        <v>40</v>
      </c>
      <c r="B159" s="140">
        <f t="shared" ref="B159:BM159" si="238">DAYS360($B$3,B60)</f>
        <v>-43022</v>
      </c>
      <c r="C159" s="140">
        <f t="shared" si="238"/>
        <v>-42842</v>
      </c>
      <c r="D159" s="140">
        <f t="shared" si="238"/>
        <v>-42662</v>
      </c>
      <c r="E159" s="140">
        <f t="shared" si="238"/>
        <v>-42482</v>
      </c>
      <c r="F159" s="140">
        <f t="shared" si="238"/>
        <v>-42302</v>
      </c>
      <c r="G159" s="140">
        <f t="shared" si="238"/>
        <v>-42122</v>
      </c>
      <c r="H159" s="140">
        <f t="shared" si="238"/>
        <v>-41942</v>
      </c>
      <c r="I159" s="140">
        <f t="shared" si="238"/>
        <v>-41762</v>
      </c>
      <c r="J159" s="140">
        <f t="shared" si="238"/>
        <v>-41582</v>
      </c>
      <c r="K159" s="140">
        <f t="shared" si="238"/>
        <v>-41403</v>
      </c>
      <c r="L159" s="140">
        <f t="shared" si="238"/>
        <v>-41223</v>
      </c>
      <c r="M159" s="140">
        <f t="shared" si="238"/>
        <v>-41043</v>
      </c>
      <c r="N159" s="140">
        <f t="shared" si="238"/>
        <v>-40863</v>
      </c>
      <c r="O159" s="140">
        <f t="shared" si="238"/>
        <v>-40683</v>
      </c>
      <c r="P159" s="140">
        <f t="shared" si="238"/>
        <v>-40503</v>
      </c>
      <c r="Q159" s="140">
        <f t="shared" si="238"/>
        <v>-40323</v>
      </c>
      <c r="R159" s="140">
        <f t="shared" si="238"/>
        <v>-40143</v>
      </c>
      <c r="S159" s="140">
        <f t="shared" si="238"/>
        <v>-39964</v>
      </c>
      <c r="T159" s="140">
        <f t="shared" si="238"/>
        <v>-39784</v>
      </c>
      <c r="U159" s="140">
        <f t="shared" si="238"/>
        <v>-39604</v>
      </c>
      <c r="V159" s="140">
        <f t="shared" si="238"/>
        <v>-39424</v>
      </c>
      <c r="W159" s="140">
        <f t="shared" si="238"/>
        <v>-39244</v>
      </c>
      <c r="X159" s="140">
        <f t="shared" si="238"/>
        <v>-39064</v>
      </c>
      <c r="Y159" s="140">
        <f t="shared" si="238"/>
        <v>-38884</v>
      </c>
      <c r="Z159" s="140">
        <f t="shared" si="238"/>
        <v>-38704</v>
      </c>
      <c r="AA159" s="140">
        <f t="shared" si="238"/>
        <v>-38525</v>
      </c>
      <c r="AB159" s="140">
        <f t="shared" si="238"/>
        <v>-38345</v>
      </c>
      <c r="AC159" s="140">
        <f t="shared" si="238"/>
        <v>-38165</v>
      </c>
      <c r="AD159" s="140">
        <f t="shared" si="238"/>
        <v>-37985</v>
      </c>
      <c r="AE159" s="140">
        <f t="shared" si="238"/>
        <v>-37805</v>
      </c>
      <c r="AF159" s="140">
        <f t="shared" si="238"/>
        <v>-37625</v>
      </c>
      <c r="AG159" s="140">
        <f t="shared" si="238"/>
        <v>-37445</v>
      </c>
      <c r="AH159" s="140">
        <f t="shared" si="238"/>
        <v>-37265</v>
      </c>
      <c r="AI159" s="140">
        <f t="shared" si="238"/>
        <v>-37086</v>
      </c>
      <c r="AJ159" s="140">
        <f t="shared" si="238"/>
        <v>-36906</v>
      </c>
      <c r="AK159" s="140">
        <f t="shared" si="238"/>
        <v>-36726</v>
      </c>
      <c r="AL159" s="140">
        <f t="shared" si="238"/>
        <v>-36546</v>
      </c>
      <c r="AM159" s="140">
        <f t="shared" si="238"/>
        <v>-36366</v>
      </c>
      <c r="AN159" s="140">
        <f t="shared" si="238"/>
        <v>-36186</v>
      </c>
      <c r="AO159" s="140">
        <f t="shared" si="238"/>
        <v>-36006</v>
      </c>
      <c r="AP159" s="140">
        <f t="shared" si="238"/>
        <v>-35826</v>
      </c>
      <c r="AQ159" s="140">
        <f t="shared" si="238"/>
        <v>-35647</v>
      </c>
      <c r="AR159" s="140">
        <f t="shared" si="238"/>
        <v>-35467</v>
      </c>
      <c r="AS159" s="140">
        <f t="shared" si="238"/>
        <v>-35287</v>
      </c>
      <c r="AT159" s="140">
        <f t="shared" si="238"/>
        <v>-35107</v>
      </c>
      <c r="AU159" s="140">
        <f t="shared" si="238"/>
        <v>-34927</v>
      </c>
      <c r="AV159" s="140">
        <f t="shared" si="238"/>
        <v>-34747</v>
      </c>
      <c r="AW159" s="140">
        <f t="shared" si="238"/>
        <v>-34567</v>
      </c>
      <c r="AX159" s="140">
        <f t="shared" si="238"/>
        <v>-34387</v>
      </c>
      <c r="AY159" s="140">
        <f t="shared" si="238"/>
        <v>-34208</v>
      </c>
      <c r="AZ159" s="140">
        <f t="shared" si="238"/>
        <v>-34028</v>
      </c>
      <c r="BA159" s="140">
        <f t="shared" si="238"/>
        <v>-33848</v>
      </c>
      <c r="BB159" s="140">
        <f t="shared" si="238"/>
        <v>-33668</v>
      </c>
      <c r="BC159" s="140">
        <f t="shared" si="238"/>
        <v>-33488</v>
      </c>
      <c r="BD159" s="140">
        <f t="shared" si="238"/>
        <v>-33308</v>
      </c>
      <c r="BE159" s="140">
        <f t="shared" si="238"/>
        <v>-33128</v>
      </c>
      <c r="BF159" s="140">
        <f t="shared" si="238"/>
        <v>-32948</v>
      </c>
      <c r="BG159" s="140">
        <f t="shared" si="238"/>
        <v>-32769</v>
      </c>
      <c r="BH159" s="140">
        <f t="shared" si="238"/>
        <v>-32589</v>
      </c>
      <c r="BI159" s="140">
        <f t="shared" si="238"/>
        <v>-32409</v>
      </c>
      <c r="BJ159" s="140">
        <f t="shared" si="238"/>
        <v>-32229</v>
      </c>
      <c r="BK159" s="140">
        <f t="shared" si="238"/>
        <v>-32049</v>
      </c>
      <c r="BL159" s="140">
        <f t="shared" si="238"/>
        <v>-31869</v>
      </c>
      <c r="BM159" s="140">
        <f t="shared" si="238"/>
        <v>-31689</v>
      </c>
      <c r="BN159" s="140">
        <f t="shared" ref="BN159:CB159" si="239">DAYS360($B$3,BN60)</f>
        <v>-31509</v>
      </c>
      <c r="BO159" s="140">
        <f t="shared" si="239"/>
        <v>-31330</v>
      </c>
      <c r="BP159" s="140">
        <f t="shared" si="239"/>
        <v>-31150</v>
      </c>
      <c r="BQ159" s="140">
        <f t="shared" si="239"/>
        <v>-30970</v>
      </c>
      <c r="BR159" s="140">
        <f t="shared" si="239"/>
        <v>-30790</v>
      </c>
      <c r="BS159" s="140">
        <f t="shared" si="239"/>
        <v>-30610</v>
      </c>
      <c r="BT159" s="140">
        <f t="shared" si="239"/>
        <v>-30430</v>
      </c>
      <c r="BU159" s="140">
        <f t="shared" si="239"/>
        <v>-30250</v>
      </c>
      <c r="BV159" s="140">
        <f t="shared" si="239"/>
        <v>-30070</v>
      </c>
      <c r="BW159" s="140">
        <f t="shared" si="239"/>
        <v>-29891</v>
      </c>
      <c r="BX159" s="140">
        <f t="shared" si="239"/>
        <v>-29711</v>
      </c>
      <c r="BY159" s="140">
        <f t="shared" si="239"/>
        <v>-29531</v>
      </c>
      <c r="BZ159" s="140">
        <f t="shared" si="239"/>
        <v>-29351</v>
      </c>
      <c r="CA159" s="140">
        <f t="shared" si="239"/>
        <v>-29171</v>
      </c>
      <c r="CB159" s="140">
        <f t="shared" si="239"/>
        <v>-28991</v>
      </c>
      <c r="CC159" s="17"/>
      <c r="CD159" s="17"/>
      <c r="CE159" s="17"/>
    </row>
    <row r="160" spans="1:83">
      <c r="A160" s="16" t="s">
        <v>41</v>
      </c>
      <c r="B160" s="140">
        <f>B159/360</f>
        <v>-119.50555555555556</v>
      </c>
      <c r="C160" s="140">
        <f t="shared" ref="C160:BN160" si="240">C159/360</f>
        <v>-119.00555555555556</v>
      </c>
      <c r="D160" s="140">
        <f t="shared" si="240"/>
        <v>-118.50555555555556</v>
      </c>
      <c r="E160" s="140">
        <f t="shared" si="240"/>
        <v>-118.00555555555556</v>
      </c>
      <c r="F160" s="140">
        <f t="shared" si="240"/>
        <v>-117.50555555555556</v>
      </c>
      <c r="G160" s="140">
        <f t="shared" si="240"/>
        <v>-117.00555555555556</v>
      </c>
      <c r="H160" s="140">
        <f t="shared" si="240"/>
        <v>-116.50555555555556</v>
      </c>
      <c r="I160" s="140">
        <f t="shared" si="240"/>
        <v>-116.00555555555556</v>
      </c>
      <c r="J160" s="140">
        <f t="shared" si="240"/>
        <v>-115.50555555555556</v>
      </c>
      <c r="K160" s="140">
        <f t="shared" si="240"/>
        <v>-115.00833333333334</v>
      </c>
      <c r="L160" s="140">
        <f t="shared" si="240"/>
        <v>-114.50833333333334</v>
      </c>
      <c r="M160" s="140">
        <f t="shared" si="240"/>
        <v>-114.00833333333334</v>
      </c>
      <c r="N160" s="140">
        <f t="shared" si="240"/>
        <v>-113.50833333333334</v>
      </c>
      <c r="O160" s="140">
        <f t="shared" si="240"/>
        <v>-113.00833333333334</v>
      </c>
      <c r="P160" s="140">
        <f t="shared" si="240"/>
        <v>-112.50833333333334</v>
      </c>
      <c r="Q160" s="140">
        <f t="shared" si="240"/>
        <v>-112.00833333333334</v>
      </c>
      <c r="R160" s="140">
        <f t="shared" si="240"/>
        <v>-111.50833333333334</v>
      </c>
      <c r="S160" s="140">
        <f t="shared" si="240"/>
        <v>-111.01111111111111</v>
      </c>
      <c r="T160" s="140">
        <f t="shared" si="240"/>
        <v>-110.51111111111111</v>
      </c>
      <c r="U160" s="140">
        <f t="shared" si="240"/>
        <v>-110.01111111111111</v>
      </c>
      <c r="V160" s="140">
        <f t="shared" si="240"/>
        <v>-109.51111111111111</v>
      </c>
      <c r="W160" s="140">
        <f t="shared" si="240"/>
        <v>-109.01111111111111</v>
      </c>
      <c r="X160" s="140">
        <f t="shared" si="240"/>
        <v>-108.51111111111111</v>
      </c>
      <c r="Y160" s="140">
        <f t="shared" si="240"/>
        <v>-108.01111111111111</v>
      </c>
      <c r="Z160" s="140">
        <f t="shared" si="240"/>
        <v>-107.51111111111111</v>
      </c>
      <c r="AA160" s="140">
        <f t="shared" si="240"/>
        <v>-107.01388888888889</v>
      </c>
      <c r="AB160" s="140">
        <f t="shared" si="240"/>
        <v>-106.51388888888889</v>
      </c>
      <c r="AC160" s="140">
        <f t="shared" si="240"/>
        <v>-106.01388888888889</v>
      </c>
      <c r="AD160" s="140">
        <f t="shared" si="240"/>
        <v>-105.51388888888889</v>
      </c>
      <c r="AE160" s="140">
        <f t="shared" si="240"/>
        <v>-105.01388888888889</v>
      </c>
      <c r="AF160" s="140">
        <f t="shared" si="240"/>
        <v>-104.51388888888889</v>
      </c>
      <c r="AG160" s="140">
        <f t="shared" si="240"/>
        <v>-104.01388888888889</v>
      </c>
      <c r="AH160" s="140">
        <f t="shared" si="240"/>
        <v>-103.51388888888889</v>
      </c>
      <c r="AI160" s="140">
        <f t="shared" si="240"/>
        <v>-103.01666666666667</v>
      </c>
      <c r="AJ160" s="140">
        <f t="shared" si="240"/>
        <v>-102.51666666666667</v>
      </c>
      <c r="AK160" s="140">
        <f t="shared" si="240"/>
        <v>-102.01666666666667</v>
      </c>
      <c r="AL160" s="140">
        <f t="shared" si="240"/>
        <v>-101.51666666666667</v>
      </c>
      <c r="AM160" s="140">
        <f t="shared" si="240"/>
        <v>-101.01666666666667</v>
      </c>
      <c r="AN160" s="140">
        <f t="shared" si="240"/>
        <v>-100.51666666666667</v>
      </c>
      <c r="AO160" s="140">
        <f t="shared" si="240"/>
        <v>-100.01666666666667</v>
      </c>
      <c r="AP160" s="140">
        <f t="shared" si="240"/>
        <v>-99.516666666666666</v>
      </c>
      <c r="AQ160" s="140">
        <f t="shared" si="240"/>
        <v>-99.019444444444446</v>
      </c>
      <c r="AR160" s="140">
        <f t="shared" si="240"/>
        <v>-98.519444444444446</v>
      </c>
      <c r="AS160" s="140">
        <f t="shared" si="240"/>
        <v>-98.019444444444446</v>
      </c>
      <c r="AT160" s="140">
        <f t="shared" si="240"/>
        <v>-97.519444444444446</v>
      </c>
      <c r="AU160" s="140">
        <f t="shared" si="240"/>
        <v>-97.019444444444446</v>
      </c>
      <c r="AV160" s="140">
        <f t="shared" si="240"/>
        <v>-96.519444444444446</v>
      </c>
      <c r="AW160" s="140">
        <f t="shared" si="240"/>
        <v>-96.019444444444446</v>
      </c>
      <c r="AX160" s="140">
        <f t="shared" si="240"/>
        <v>-95.519444444444446</v>
      </c>
      <c r="AY160" s="140">
        <f t="shared" si="240"/>
        <v>-95.022222222222226</v>
      </c>
      <c r="AZ160" s="140">
        <f t="shared" si="240"/>
        <v>-94.522222222222226</v>
      </c>
      <c r="BA160" s="140">
        <f t="shared" si="240"/>
        <v>-94.022222222222226</v>
      </c>
      <c r="BB160" s="140">
        <f t="shared" si="240"/>
        <v>-93.522222222222226</v>
      </c>
      <c r="BC160" s="140">
        <f t="shared" si="240"/>
        <v>-93.022222222222226</v>
      </c>
      <c r="BD160" s="140">
        <f t="shared" si="240"/>
        <v>-92.522222222222226</v>
      </c>
      <c r="BE160" s="140">
        <f t="shared" si="240"/>
        <v>-92.022222222222226</v>
      </c>
      <c r="BF160" s="140">
        <f t="shared" si="240"/>
        <v>-91.522222222222226</v>
      </c>
      <c r="BG160" s="140">
        <f t="shared" si="240"/>
        <v>-91.025000000000006</v>
      </c>
      <c r="BH160" s="140">
        <f t="shared" si="240"/>
        <v>-90.525000000000006</v>
      </c>
      <c r="BI160" s="140">
        <f t="shared" si="240"/>
        <v>-90.025000000000006</v>
      </c>
      <c r="BJ160" s="140">
        <f t="shared" si="240"/>
        <v>-89.525000000000006</v>
      </c>
      <c r="BK160" s="140">
        <f t="shared" si="240"/>
        <v>-89.025000000000006</v>
      </c>
      <c r="BL160" s="140">
        <f t="shared" si="240"/>
        <v>-88.525000000000006</v>
      </c>
      <c r="BM160" s="140">
        <f t="shared" si="240"/>
        <v>-88.025000000000006</v>
      </c>
      <c r="BN160" s="140">
        <f t="shared" si="240"/>
        <v>-87.525000000000006</v>
      </c>
      <c r="BO160" s="140">
        <f t="shared" ref="BO160:CB160" si="241">BO159/360</f>
        <v>-87.027777777777771</v>
      </c>
      <c r="BP160" s="140">
        <f t="shared" si="241"/>
        <v>-86.527777777777771</v>
      </c>
      <c r="BQ160" s="140">
        <f t="shared" si="241"/>
        <v>-86.027777777777771</v>
      </c>
      <c r="BR160" s="140">
        <f t="shared" si="241"/>
        <v>-85.527777777777771</v>
      </c>
      <c r="BS160" s="140">
        <f t="shared" si="241"/>
        <v>-85.027777777777771</v>
      </c>
      <c r="BT160" s="140">
        <f t="shared" si="241"/>
        <v>-84.527777777777771</v>
      </c>
      <c r="BU160" s="140">
        <f t="shared" si="241"/>
        <v>-84.027777777777771</v>
      </c>
      <c r="BV160" s="140">
        <f t="shared" si="241"/>
        <v>-83.527777777777771</v>
      </c>
      <c r="BW160" s="140">
        <f t="shared" si="241"/>
        <v>-83.030555555555551</v>
      </c>
      <c r="BX160" s="140">
        <f t="shared" si="241"/>
        <v>-82.530555555555551</v>
      </c>
      <c r="BY160" s="140">
        <f t="shared" si="241"/>
        <v>-82.030555555555551</v>
      </c>
      <c r="BZ160" s="140">
        <f t="shared" si="241"/>
        <v>-81.530555555555551</v>
      </c>
      <c r="CA160" s="140">
        <f t="shared" si="241"/>
        <v>-81.030555555555551</v>
      </c>
      <c r="CB160" s="140">
        <f t="shared" si="241"/>
        <v>-80.530555555555551</v>
      </c>
      <c r="CC160" s="17"/>
      <c r="CD160" s="17"/>
      <c r="CE160" s="17"/>
    </row>
    <row r="161" spans="1:83">
      <c r="A161" s="16" t="s">
        <v>43</v>
      </c>
      <c r="B161" s="140">
        <f>IF(B159&lt;0,0,$B$5+$B$6*((1-EXP(-B160/$B$9))/(B160/$B$9))+$B$7*((1-EXP(-B160/$B$9))/(B160/$B$9)-EXP(-B160/$B$9))+$B$8*((1-EXP(-B160/$B$10))/(B160/$B$10)-EXP(-B160/$B$10)))</f>
        <v>0</v>
      </c>
      <c r="C161" s="140">
        <f t="shared" ref="C161:BN161" si="242">IF(C159&lt;0,0,$B$5+$B$6*((1-EXP(-C160/$B$9))/(C160/$B$9))+$B$7*((1-EXP(-C160/$B$9))/(C160/$B$9)-EXP(-C160/$B$9))+$B$8*((1-EXP(-C160/$B$10))/(C160/$B$10)-EXP(-C160/$B$10)))</f>
        <v>0</v>
      </c>
      <c r="D161" s="140">
        <f t="shared" si="242"/>
        <v>0</v>
      </c>
      <c r="E161" s="140">
        <f t="shared" si="242"/>
        <v>0</v>
      </c>
      <c r="F161" s="140">
        <f t="shared" si="242"/>
        <v>0</v>
      </c>
      <c r="G161" s="140">
        <f t="shared" si="242"/>
        <v>0</v>
      </c>
      <c r="H161" s="140">
        <f t="shared" si="242"/>
        <v>0</v>
      </c>
      <c r="I161" s="140">
        <f t="shared" si="242"/>
        <v>0</v>
      </c>
      <c r="J161" s="140">
        <f t="shared" si="242"/>
        <v>0</v>
      </c>
      <c r="K161" s="140">
        <f t="shared" si="242"/>
        <v>0</v>
      </c>
      <c r="L161" s="140">
        <f t="shared" si="242"/>
        <v>0</v>
      </c>
      <c r="M161" s="140">
        <f t="shared" si="242"/>
        <v>0</v>
      </c>
      <c r="N161" s="140">
        <f t="shared" si="242"/>
        <v>0</v>
      </c>
      <c r="O161" s="140">
        <f t="shared" si="242"/>
        <v>0</v>
      </c>
      <c r="P161" s="140">
        <f t="shared" si="242"/>
        <v>0</v>
      </c>
      <c r="Q161" s="140">
        <f t="shared" si="242"/>
        <v>0</v>
      </c>
      <c r="R161" s="140">
        <f t="shared" si="242"/>
        <v>0</v>
      </c>
      <c r="S161" s="140">
        <f t="shared" si="242"/>
        <v>0</v>
      </c>
      <c r="T161" s="140">
        <f t="shared" si="242"/>
        <v>0</v>
      </c>
      <c r="U161" s="140">
        <f t="shared" si="242"/>
        <v>0</v>
      </c>
      <c r="V161" s="140">
        <f t="shared" si="242"/>
        <v>0</v>
      </c>
      <c r="W161" s="140">
        <f t="shared" si="242"/>
        <v>0</v>
      </c>
      <c r="X161" s="140">
        <f t="shared" si="242"/>
        <v>0</v>
      </c>
      <c r="Y161" s="140">
        <f t="shared" si="242"/>
        <v>0</v>
      </c>
      <c r="Z161" s="140">
        <f t="shared" si="242"/>
        <v>0</v>
      </c>
      <c r="AA161" s="140">
        <f t="shared" si="242"/>
        <v>0</v>
      </c>
      <c r="AB161" s="140">
        <f t="shared" si="242"/>
        <v>0</v>
      </c>
      <c r="AC161" s="140">
        <f t="shared" si="242"/>
        <v>0</v>
      </c>
      <c r="AD161" s="140">
        <f t="shared" si="242"/>
        <v>0</v>
      </c>
      <c r="AE161" s="140">
        <f t="shared" si="242"/>
        <v>0</v>
      </c>
      <c r="AF161" s="140">
        <f t="shared" si="242"/>
        <v>0</v>
      </c>
      <c r="AG161" s="140">
        <f t="shared" si="242"/>
        <v>0</v>
      </c>
      <c r="AH161" s="140">
        <f t="shared" si="242"/>
        <v>0</v>
      </c>
      <c r="AI161" s="140">
        <f t="shared" si="242"/>
        <v>0</v>
      </c>
      <c r="AJ161" s="140">
        <f t="shared" si="242"/>
        <v>0</v>
      </c>
      <c r="AK161" s="140">
        <f t="shared" si="242"/>
        <v>0</v>
      </c>
      <c r="AL161" s="140">
        <f t="shared" si="242"/>
        <v>0</v>
      </c>
      <c r="AM161" s="140">
        <f t="shared" si="242"/>
        <v>0</v>
      </c>
      <c r="AN161" s="140">
        <f t="shared" si="242"/>
        <v>0</v>
      </c>
      <c r="AO161" s="140">
        <f t="shared" si="242"/>
        <v>0</v>
      </c>
      <c r="AP161" s="140">
        <f t="shared" si="242"/>
        <v>0</v>
      </c>
      <c r="AQ161" s="140">
        <f t="shared" si="242"/>
        <v>0</v>
      </c>
      <c r="AR161" s="140">
        <f t="shared" si="242"/>
        <v>0</v>
      </c>
      <c r="AS161" s="140">
        <f t="shared" si="242"/>
        <v>0</v>
      </c>
      <c r="AT161" s="140">
        <f t="shared" si="242"/>
        <v>0</v>
      </c>
      <c r="AU161" s="140">
        <f t="shared" si="242"/>
        <v>0</v>
      </c>
      <c r="AV161" s="140">
        <f t="shared" si="242"/>
        <v>0</v>
      </c>
      <c r="AW161" s="140">
        <f t="shared" si="242"/>
        <v>0</v>
      </c>
      <c r="AX161" s="140">
        <f t="shared" si="242"/>
        <v>0</v>
      </c>
      <c r="AY161" s="140">
        <f t="shared" si="242"/>
        <v>0</v>
      </c>
      <c r="AZ161" s="140">
        <f t="shared" si="242"/>
        <v>0</v>
      </c>
      <c r="BA161" s="140">
        <f t="shared" si="242"/>
        <v>0</v>
      </c>
      <c r="BB161" s="140">
        <f t="shared" si="242"/>
        <v>0</v>
      </c>
      <c r="BC161" s="140">
        <f t="shared" si="242"/>
        <v>0</v>
      </c>
      <c r="BD161" s="140">
        <f t="shared" si="242"/>
        <v>0</v>
      </c>
      <c r="BE161" s="140">
        <f t="shared" si="242"/>
        <v>0</v>
      </c>
      <c r="BF161" s="140">
        <f t="shared" si="242"/>
        <v>0</v>
      </c>
      <c r="BG161" s="140">
        <f t="shared" si="242"/>
        <v>0</v>
      </c>
      <c r="BH161" s="140">
        <f t="shared" si="242"/>
        <v>0</v>
      </c>
      <c r="BI161" s="140">
        <f t="shared" si="242"/>
        <v>0</v>
      </c>
      <c r="BJ161" s="140">
        <f t="shared" si="242"/>
        <v>0</v>
      </c>
      <c r="BK161" s="140">
        <f t="shared" si="242"/>
        <v>0</v>
      </c>
      <c r="BL161" s="140">
        <f t="shared" si="242"/>
        <v>0</v>
      </c>
      <c r="BM161" s="140">
        <f t="shared" si="242"/>
        <v>0</v>
      </c>
      <c r="BN161" s="140">
        <f t="shared" si="242"/>
        <v>0</v>
      </c>
      <c r="BO161" s="140">
        <f t="shared" ref="BO161:CB161" si="243">IF(BO159&lt;0,0,$B$5+$B$6*((1-EXP(-BO160/$B$9))/(BO160/$B$9))+$B$7*((1-EXP(-BO160/$B$9))/(BO160/$B$9)-EXP(-BO160/$B$9))+$B$8*((1-EXP(-BO160/$B$10))/(BO160/$B$10)-EXP(-BO160/$B$10)))</f>
        <v>0</v>
      </c>
      <c r="BP161" s="140">
        <f t="shared" si="243"/>
        <v>0</v>
      </c>
      <c r="BQ161" s="140">
        <f t="shared" si="243"/>
        <v>0</v>
      </c>
      <c r="BR161" s="140">
        <f t="shared" si="243"/>
        <v>0</v>
      </c>
      <c r="BS161" s="140">
        <f t="shared" si="243"/>
        <v>0</v>
      </c>
      <c r="BT161" s="140">
        <f t="shared" si="243"/>
        <v>0</v>
      </c>
      <c r="BU161" s="140">
        <f t="shared" si="243"/>
        <v>0</v>
      </c>
      <c r="BV161" s="140">
        <f t="shared" si="243"/>
        <v>0</v>
      </c>
      <c r="BW161" s="140">
        <f t="shared" si="243"/>
        <v>0</v>
      </c>
      <c r="BX161" s="140">
        <f t="shared" si="243"/>
        <v>0</v>
      </c>
      <c r="BY161" s="140">
        <f t="shared" si="243"/>
        <v>0</v>
      </c>
      <c r="BZ161" s="140">
        <f t="shared" si="243"/>
        <v>0</v>
      </c>
      <c r="CA161" s="140">
        <f t="shared" si="243"/>
        <v>0</v>
      </c>
      <c r="CB161" s="140">
        <f t="shared" si="243"/>
        <v>0</v>
      </c>
      <c r="CC161" s="17"/>
      <c r="CD161" s="17"/>
      <c r="CE161" s="17"/>
    </row>
    <row r="162" spans="1:83">
      <c r="A162" s="16" t="s">
        <v>44</v>
      </c>
      <c r="B162" s="140">
        <f>EXP(-B161*B160)</f>
        <v>1</v>
      </c>
      <c r="C162" s="140">
        <f t="shared" ref="C162:AR162" si="244">EXP(-C161*C160)</f>
        <v>1</v>
      </c>
      <c r="D162" s="140">
        <f t="shared" si="244"/>
        <v>1</v>
      </c>
      <c r="E162" s="140">
        <f t="shared" si="244"/>
        <v>1</v>
      </c>
      <c r="F162" s="140">
        <f t="shared" si="244"/>
        <v>1</v>
      </c>
      <c r="G162" s="140">
        <f t="shared" si="244"/>
        <v>1</v>
      </c>
      <c r="H162" s="140">
        <f t="shared" si="244"/>
        <v>1</v>
      </c>
      <c r="I162" s="140">
        <f t="shared" si="244"/>
        <v>1</v>
      </c>
      <c r="J162" s="140">
        <f t="shared" si="244"/>
        <v>1</v>
      </c>
      <c r="K162" s="140">
        <f t="shared" si="244"/>
        <v>1</v>
      </c>
      <c r="L162" s="140">
        <f t="shared" si="244"/>
        <v>1</v>
      </c>
      <c r="M162" s="140">
        <f t="shared" si="244"/>
        <v>1</v>
      </c>
      <c r="N162" s="140">
        <f t="shared" si="244"/>
        <v>1</v>
      </c>
      <c r="O162" s="140">
        <f t="shared" si="244"/>
        <v>1</v>
      </c>
      <c r="P162" s="140">
        <f t="shared" si="244"/>
        <v>1</v>
      </c>
      <c r="Q162" s="140">
        <f t="shared" si="244"/>
        <v>1</v>
      </c>
      <c r="R162" s="140">
        <f t="shared" si="244"/>
        <v>1</v>
      </c>
      <c r="S162" s="140">
        <f t="shared" si="244"/>
        <v>1</v>
      </c>
      <c r="T162" s="140">
        <f t="shared" si="244"/>
        <v>1</v>
      </c>
      <c r="U162" s="140">
        <f t="shared" si="244"/>
        <v>1</v>
      </c>
      <c r="V162" s="140">
        <f t="shared" si="244"/>
        <v>1</v>
      </c>
      <c r="W162" s="140">
        <f t="shared" si="244"/>
        <v>1</v>
      </c>
      <c r="X162" s="140">
        <f t="shared" si="244"/>
        <v>1</v>
      </c>
      <c r="Y162" s="140">
        <f t="shared" si="244"/>
        <v>1</v>
      </c>
      <c r="Z162" s="140">
        <f t="shared" si="244"/>
        <v>1</v>
      </c>
      <c r="AA162" s="140">
        <f t="shared" si="244"/>
        <v>1</v>
      </c>
      <c r="AB162" s="140">
        <f t="shared" si="244"/>
        <v>1</v>
      </c>
      <c r="AC162" s="140">
        <f t="shared" si="244"/>
        <v>1</v>
      </c>
      <c r="AD162" s="140">
        <f t="shared" si="244"/>
        <v>1</v>
      </c>
      <c r="AE162" s="140">
        <f t="shared" si="244"/>
        <v>1</v>
      </c>
      <c r="AF162" s="140">
        <f t="shared" si="244"/>
        <v>1</v>
      </c>
      <c r="AG162" s="140">
        <f t="shared" si="244"/>
        <v>1</v>
      </c>
      <c r="AH162" s="140">
        <f t="shared" si="244"/>
        <v>1</v>
      </c>
      <c r="AI162" s="140">
        <f t="shared" si="244"/>
        <v>1</v>
      </c>
      <c r="AJ162" s="140">
        <f t="shared" si="244"/>
        <v>1</v>
      </c>
      <c r="AK162" s="140">
        <f t="shared" si="244"/>
        <v>1</v>
      </c>
      <c r="AL162" s="140">
        <f t="shared" si="244"/>
        <v>1</v>
      </c>
      <c r="AM162" s="140">
        <f t="shared" si="244"/>
        <v>1</v>
      </c>
      <c r="AN162" s="140">
        <f t="shared" si="244"/>
        <v>1</v>
      </c>
      <c r="AO162" s="140">
        <f t="shared" si="244"/>
        <v>1</v>
      </c>
      <c r="AP162" s="140">
        <f t="shared" si="244"/>
        <v>1</v>
      </c>
      <c r="AQ162" s="140">
        <f t="shared" si="244"/>
        <v>1</v>
      </c>
      <c r="AR162" s="140">
        <f t="shared" si="244"/>
        <v>1</v>
      </c>
      <c r="AS162" s="140">
        <f>EXP(-AS161*AS160)</f>
        <v>1</v>
      </c>
      <c r="AT162" s="140">
        <f t="shared" ref="AT162:CA162" si="245">EXP(-AT161*AT160)</f>
        <v>1</v>
      </c>
      <c r="AU162" s="140">
        <f t="shared" si="245"/>
        <v>1</v>
      </c>
      <c r="AV162" s="140">
        <f t="shared" si="245"/>
        <v>1</v>
      </c>
      <c r="AW162" s="140">
        <f t="shared" si="245"/>
        <v>1</v>
      </c>
      <c r="AX162" s="140">
        <f t="shared" si="245"/>
        <v>1</v>
      </c>
      <c r="AY162" s="140">
        <f t="shared" si="245"/>
        <v>1</v>
      </c>
      <c r="AZ162" s="140">
        <f t="shared" si="245"/>
        <v>1</v>
      </c>
      <c r="BA162" s="140">
        <f t="shared" si="245"/>
        <v>1</v>
      </c>
      <c r="BB162" s="140">
        <f t="shared" si="245"/>
        <v>1</v>
      </c>
      <c r="BC162" s="140">
        <f t="shared" si="245"/>
        <v>1</v>
      </c>
      <c r="BD162" s="140">
        <f t="shared" si="245"/>
        <v>1</v>
      </c>
      <c r="BE162" s="140">
        <f t="shared" si="245"/>
        <v>1</v>
      </c>
      <c r="BF162" s="140">
        <f t="shared" si="245"/>
        <v>1</v>
      </c>
      <c r="BG162" s="140">
        <f t="shared" si="245"/>
        <v>1</v>
      </c>
      <c r="BH162" s="140">
        <f t="shared" si="245"/>
        <v>1</v>
      </c>
      <c r="BI162" s="140">
        <f t="shared" si="245"/>
        <v>1</v>
      </c>
      <c r="BJ162" s="140">
        <f t="shared" si="245"/>
        <v>1</v>
      </c>
      <c r="BK162" s="140">
        <f t="shared" si="245"/>
        <v>1</v>
      </c>
      <c r="BL162" s="140">
        <f t="shared" si="245"/>
        <v>1</v>
      </c>
      <c r="BM162" s="140">
        <f t="shared" si="245"/>
        <v>1</v>
      </c>
      <c r="BN162" s="140">
        <f t="shared" si="245"/>
        <v>1</v>
      </c>
      <c r="BO162" s="140">
        <f t="shared" si="245"/>
        <v>1</v>
      </c>
      <c r="BP162" s="140">
        <f t="shared" si="245"/>
        <v>1</v>
      </c>
      <c r="BQ162" s="140">
        <f t="shared" si="245"/>
        <v>1</v>
      </c>
      <c r="BR162" s="140">
        <f t="shared" si="245"/>
        <v>1</v>
      </c>
      <c r="BS162" s="140">
        <f t="shared" si="245"/>
        <v>1</v>
      </c>
      <c r="BT162" s="140">
        <f t="shared" si="245"/>
        <v>1</v>
      </c>
      <c r="BU162" s="140">
        <f t="shared" si="245"/>
        <v>1</v>
      </c>
      <c r="BV162" s="140">
        <f t="shared" si="245"/>
        <v>1</v>
      </c>
      <c r="BW162" s="140">
        <f t="shared" si="245"/>
        <v>1</v>
      </c>
      <c r="BX162" s="140">
        <f t="shared" si="245"/>
        <v>1</v>
      </c>
      <c r="BY162" s="140">
        <f t="shared" si="245"/>
        <v>1</v>
      </c>
      <c r="BZ162" s="140">
        <f t="shared" si="245"/>
        <v>1</v>
      </c>
      <c r="CA162" s="140">
        <f t="shared" si="245"/>
        <v>1</v>
      </c>
      <c r="CB162" s="140">
        <f>EXP(-CB161*CB160)</f>
        <v>1</v>
      </c>
      <c r="CC162" s="17"/>
      <c r="CD162" s="17"/>
      <c r="CE162" s="17"/>
    </row>
    <row r="163" spans="1:83">
      <c r="A163" s="17"/>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17"/>
      <c r="CD163" s="17"/>
      <c r="CE163" s="17"/>
    </row>
    <row r="164" spans="1:83">
      <c r="A164" s="16" t="s">
        <v>40</v>
      </c>
      <c r="B164" s="140">
        <f t="shared" ref="B164:BM164" si="246">DAYS360($B$3,B62)</f>
        <v>-43022</v>
      </c>
      <c r="C164" s="140">
        <f t="shared" si="246"/>
        <v>-42842</v>
      </c>
      <c r="D164" s="140">
        <f t="shared" si="246"/>
        <v>-42662</v>
      </c>
      <c r="E164" s="140">
        <f t="shared" si="246"/>
        <v>-42482</v>
      </c>
      <c r="F164" s="140">
        <f t="shared" si="246"/>
        <v>-42302</v>
      </c>
      <c r="G164" s="140">
        <f t="shared" si="246"/>
        <v>-42122</v>
      </c>
      <c r="H164" s="140">
        <f t="shared" si="246"/>
        <v>-41942</v>
      </c>
      <c r="I164" s="140">
        <f t="shared" si="246"/>
        <v>-41762</v>
      </c>
      <c r="J164" s="140">
        <f t="shared" si="246"/>
        <v>-41582</v>
      </c>
      <c r="K164" s="140">
        <f t="shared" si="246"/>
        <v>-41403</v>
      </c>
      <c r="L164" s="140">
        <f t="shared" si="246"/>
        <v>-41223</v>
      </c>
      <c r="M164" s="140">
        <f t="shared" si="246"/>
        <v>-41043</v>
      </c>
      <c r="N164" s="140">
        <f t="shared" si="246"/>
        <v>-40863</v>
      </c>
      <c r="O164" s="140">
        <f t="shared" si="246"/>
        <v>-40683</v>
      </c>
      <c r="P164" s="140">
        <f t="shared" si="246"/>
        <v>-40503</v>
      </c>
      <c r="Q164" s="140">
        <f t="shared" si="246"/>
        <v>-40323</v>
      </c>
      <c r="R164" s="140">
        <f t="shared" si="246"/>
        <v>-40143</v>
      </c>
      <c r="S164" s="140">
        <f t="shared" si="246"/>
        <v>-39964</v>
      </c>
      <c r="T164" s="140">
        <f t="shared" si="246"/>
        <v>-39784</v>
      </c>
      <c r="U164" s="140">
        <f t="shared" si="246"/>
        <v>-39604</v>
      </c>
      <c r="V164" s="140">
        <f t="shared" si="246"/>
        <v>-39424</v>
      </c>
      <c r="W164" s="140">
        <f t="shared" si="246"/>
        <v>-39244</v>
      </c>
      <c r="X164" s="140">
        <f t="shared" si="246"/>
        <v>-39064</v>
      </c>
      <c r="Y164" s="140">
        <f t="shared" si="246"/>
        <v>-38884</v>
      </c>
      <c r="Z164" s="140">
        <f t="shared" si="246"/>
        <v>-38704</v>
      </c>
      <c r="AA164" s="140">
        <f t="shared" si="246"/>
        <v>-38525</v>
      </c>
      <c r="AB164" s="140">
        <f t="shared" si="246"/>
        <v>-38345</v>
      </c>
      <c r="AC164" s="140">
        <f t="shared" si="246"/>
        <v>-38165</v>
      </c>
      <c r="AD164" s="140">
        <f t="shared" si="246"/>
        <v>-37985</v>
      </c>
      <c r="AE164" s="140">
        <f t="shared" si="246"/>
        <v>-37805</v>
      </c>
      <c r="AF164" s="140">
        <f t="shared" si="246"/>
        <v>-37625</v>
      </c>
      <c r="AG164" s="140">
        <f t="shared" si="246"/>
        <v>-37445</v>
      </c>
      <c r="AH164" s="140">
        <f t="shared" si="246"/>
        <v>-37265</v>
      </c>
      <c r="AI164" s="140">
        <f t="shared" si="246"/>
        <v>-37086</v>
      </c>
      <c r="AJ164" s="140">
        <f t="shared" si="246"/>
        <v>-36906</v>
      </c>
      <c r="AK164" s="140">
        <f t="shared" si="246"/>
        <v>-36726</v>
      </c>
      <c r="AL164" s="140">
        <f t="shared" si="246"/>
        <v>-36546</v>
      </c>
      <c r="AM164" s="140">
        <f t="shared" si="246"/>
        <v>-36366</v>
      </c>
      <c r="AN164" s="140">
        <f t="shared" si="246"/>
        <v>-36186</v>
      </c>
      <c r="AO164" s="140">
        <f t="shared" si="246"/>
        <v>-36006</v>
      </c>
      <c r="AP164" s="140">
        <f t="shared" si="246"/>
        <v>-35826</v>
      </c>
      <c r="AQ164" s="140">
        <f t="shared" si="246"/>
        <v>-35647</v>
      </c>
      <c r="AR164" s="140">
        <f t="shared" si="246"/>
        <v>-35467</v>
      </c>
      <c r="AS164" s="140">
        <f t="shared" si="246"/>
        <v>-35287</v>
      </c>
      <c r="AT164" s="140">
        <f t="shared" si="246"/>
        <v>-35107</v>
      </c>
      <c r="AU164" s="140">
        <f t="shared" si="246"/>
        <v>-34927</v>
      </c>
      <c r="AV164" s="140">
        <f t="shared" si="246"/>
        <v>-34747</v>
      </c>
      <c r="AW164" s="140">
        <f t="shared" si="246"/>
        <v>-34567</v>
      </c>
      <c r="AX164" s="140">
        <f t="shared" si="246"/>
        <v>-34387</v>
      </c>
      <c r="AY164" s="140">
        <f t="shared" si="246"/>
        <v>-34208</v>
      </c>
      <c r="AZ164" s="140">
        <f t="shared" si="246"/>
        <v>-34028</v>
      </c>
      <c r="BA164" s="140">
        <f t="shared" si="246"/>
        <v>-33848</v>
      </c>
      <c r="BB164" s="140">
        <f t="shared" si="246"/>
        <v>-33668</v>
      </c>
      <c r="BC164" s="140">
        <f t="shared" si="246"/>
        <v>-33488</v>
      </c>
      <c r="BD164" s="140">
        <f t="shared" si="246"/>
        <v>-33308</v>
      </c>
      <c r="BE164" s="140">
        <f t="shared" si="246"/>
        <v>-33128</v>
      </c>
      <c r="BF164" s="140">
        <f t="shared" si="246"/>
        <v>-32948</v>
      </c>
      <c r="BG164" s="140">
        <f t="shared" si="246"/>
        <v>-32769</v>
      </c>
      <c r="BH164" s="140">
        <f t="shared" si="246"/>
        <v>-32589</v>
      </c>
      <c r="BI164" s="140">
        <f t="shared" si="246"/>
        <v>-32409</v>
      </c>
      <c r="BJ164" s="140">
        <f t="shared" si="246"/>
        <v>-32229</v>
      </c>
      <c r="BK164" s="140">
        <f t="shared" si="246"/>
        <v>-32049</v>
      </c>
      <c r="BL164" s="140">
        <f t="shared" si="246"/>
        <v>-31869</v>
      </c>
      <c r="BM164" s="140">
        <f t="shared" si="246"/>
        <v>-31689</v>
      </c>
      <c r="BN164" s="140">
        <f t="shared" ref="BN164:CB164" si="247">DAYS360($B$3,BN62)</f>
        <v>-31509</v>
      </c>
      <c r="BO164" s="140">
        <f t="shared" si="247"/>
        <v>-31330</v>
      </c>
      <c r="BP164" s="140">
        <f t="shared" si="247"/>
        <v>-31150</v>
      </c>
      <c r="BQ164" s="140">
        <f t="shared" si="247"/>
        <v>-30970</v>
      </c>
      <c r="BR164" s="140">
        <f t="shared" si="247"/>
        <v>-30790</v>
      </c>
      <c r="BS164" s="140">
        <f t="shared" si="247"/>
        <v>-30610</v>
      </c>
      <c r="BT164" s="140">
        <f t="shared" si="247"/>
        <v>-30430</v>
      </c>
      <c r="BU164" s="140">
        <f t="shared" si="247"/>
        <v>-30250</v>
      </c>
      <c r="BV164" s="140">
        <f t="shared" si="247"/>
        <v>-30070</v>
      </c>
      <c r="BW164" s="140">
        <f t="shared" si="247"/>
        <v>-29891</v>
      </c>
      <c r="BX164" s="140">
        <f t="shared" si="247"/>
        <v>-29711</v>
      </c>
      <c r="BY164" s="140">
        <f t="shared" si="247"/>
        <v>-29531</v>
      </c>
      <c r="BZ164" s="140">
        <f t="shared" si="247"/>
        <v>-29351</v>
      </c>
      <c r="CA164" s="140">
        <f t="shared" si="247"/>
        <v>-29171</v>
      </c>
      <c r="CB164" s="140">
        <f t="shared" si="247"/>
        <v>-28991</v>
      </c>
      <c r="CC164" s="17"/>
      <c r="CD164" s="17"/>
      <c r="CE164" s="17"/>
    </row>
    <row r="165" spans="1:83">
      <c r="A165" s="16" t="s">
        <v>41</v>
      </c>
      <c r="B165" s="140">
        <f>B164/360</f>
        <v>-119.50555555555556</v>
      </c>
      <c r="C165" s="140">
        <f t="shared" ref="C165:BN165" si="248">C164/360</f>
        <v>-119.00555555555556</v>
      </c>
      <c r="D165" s="140">
        <f t="shared" si="248"/>
        <v>-118.50555555555556</v>
      </c>
      <c r="E165" s="140">
        <f t="shared" si="248"/>
        <v>-118.00555555555556</v>
      </c>
      <c r="F165" s="140">
        <f t="shared" si="248"/>
        <v>-117.50555555555556</v>
      </c>
      <c r="G165" s="140">
        <f t="shared" si="248"/>
        <v>-117.00555555555556</v>
      </c>
      <c r="H165" s="140">
        <f t="shared" si="248"/>
        <v>-116.50555555555556</v>
      </c>
      <c r="I165" s="140">
        <f t="shared" si="248"/>
        <v>-116.00555555555556</v>
      </c>
      <c r="J165" s="140">
        <f t="shared" si="248"/>
        <v>-115.50555555555556</v>
      </c>
      <c r="K165" s="140">
        <f t="shared" si="248"/>
        <v>-115.00833333333334</v>
      </c>
      <c r="L165" s="140">
        <f t="shared" si="248"/>
        <v>-114.50833333333334</v>
      </c>
      <c r="M165" s="140">
        <f t="shared" si="248"/>
        <v>-114.00833333333334</v>
      </c>
      <c r="N165" s="140">
        <f t="shared" si="248"/>
        <v>-113.50833333333334</v>
      </c>
      <c r="O165" s="140">
        <f t="shared" si="248"/>
        <v>-113.00833333333334</v>
      </c>
      <c r="P165" s="140">
        <f t="shared" si="248"/>
        <v>-112.50833333333334</v>
      </c>
      <c r="Q165" s="140">
        <f t="shared" si="248"/>
        <v>-112.00833333333334</v>
      </c>
      <c r="R165" s="140">
        <f t="shared" si="248"/>
        <v>-111.50833333333334</v>
      </c>
      <c r="S165" s="140">
        <f t="shared" si="248"/>
        <v>-111.01111111111111</v>
      </c>
      <c r="T165" s="140">
        <f t="shared" si="248"/>
        <v>-110.51111111111111</v>
      </c>
      <c r="U165" s="140">
        <f t="shared" si="248"/>
        <v>-110.01111111111111</v>
      </c>
      <c r="V165" s="140">
        <f t="shared" si="248"/>
        <v>-109.51111111111111</v>
      </c>
      <c r="W165" s="140">
        <f t="shared" si="248"/>
        <v>-109.01111111111111</v>
      </c>
      <c r="X165" s="140">
        <f t="shared" si="248"/>
        <v>-108.51111111111111</v>
      </c>
      <c r="Y165" s="140">
        <f t="shared" si="248"/>
        <v>-108.01111111111111</v>
      </c>
      <c r="Z165" s="140">
        <f t="shared" si="248"/>
        <v>-107.51111111111111</v>
      </c>
      <c r="AA165" s="140">
        <f t="shared" si="248"/>
        <v>-107.01388888888889</v>
      </c>
      <c r="AB165" s="140">
        <f t="shared" si="248"/>
        <v>-106.51388888888889</v>
      </c>
      <c r="AC165" s="140">
        <f t="shared" si="248"/>
        <v>-106.01388888888889</v>
      </c>
      <c r="AD165" s="140">
        <f t="shared" si="248"/>
        <v>-105.51388888888889</v>
      </c>
      <c r="AE165" s="140">
        <f t="shared" si="248"/>
        <v>-105.01388888888889</v>
      </c>
      <c r="AF165" s="140">
        <f t="shared" si="248"/>
        <v>-104.51388888888889</v>
      </c>
      <c r="AG165" s="140">
        <f t="shared" si="248"/>
        <v>-104.01388888888889</v>
      </c>
      <c r="AH165" s="140">
        <f t="shared" si="248"/>
        <v>-103.51388888888889</v>
      </c>
      <c r="AI165" s="140">
        <f t="shared" si="248"/>
        <v>-103.01666666666667</v>
      </c>
      <c r="AJ165" s="140">
        <f t="shared" si="248"/>
        <v>-102.51666666666667</v>
      </c>
      <c r="AK165" s="140">
        <f t="shared" si="248"/>
        <v>-102.01666666666667</v>
      </c>
      <c r="AL165" s="140">
        <f t="shared" si="248"/>
        <v>-101.51666666666667</v>
      </c>
      <c r="AM165" s="140">
        <f t="shared" si="248"/>
        <v>-101.01666666666667</v>
      </c>
      <c r="AN165" s="140">
        <f t="shared" si="248"/>
        <v>-100.51666666666667</v>
      </c>
      <c r="AO165" s="140">
        <f t="shared" si="248"/>
        <v>-100.01666666666667</v>
      </c>
      <c r="AP165" s="140">
        <f t="shared" si="248"/>
        <v>-99.516666666666666</v>
      </c>
      <c r="AQ165" s="140">
        <f t="shared" si="248"/>
        <v>-99.019444444444446</v>
      </c>
      <c r="AR165" s="140">
        <f t="shared" si="248"/>
        <v>-98.519444444444446</v>
      </c>
      <c r="AS165" s="140">
        <f t="shared" si="248"/>
        <v>-98.019444444444446</v>
      </c>
      <c r="AT165" s="140">
        <f t="shared" si="248"/>
        <v>-97.519444444444446</v>
      </c>
      <c r="AU165" s="140">
        <f t="shared" si="248"/>
        <v>-97.019444444444446</v>
      </c>
      <c r="AV165" s="140">
        <f t="shared" si="248"/>
        <v>-96.519444444444446</v>
      </c>
      <c r="AW165" s="140">
        <f t="shared" si="248"/>
        <v>-96.019444444444446</v>
      </c>
      <c r="AX165" s="140">
        <f t="shared" si="248"/>
        <v>-95.519444444444446</v>
      </c>
      <c r="AY165" s="140">
        <f t="shared" si="248"/>
        <v>-95.022222222222226</v>
      </c>
      <c r="AZ165" s="140">
        <f t="shared" si="248"/>
        <v>-94.522222222222226</v>
      </c>
      <c r="BA165" s="140">
        <f t="shared" si="248"/>
        <v>-94.022222222222226</v>
      </c>
      <c r="BB165" s="140">
        <f t="shared" si="248"/>
        <v>-93.522222222222226</v>
      </c>
      <c r="BC165" s="140">
        <f t="shared" si="248"/>
        <v>-93.022222222222226</v>
      </c>
      <c r="BD165" s="140">
        <f t="shared" si="248"/>
        <v>-92.522222222222226</v>
      </c>
      <c r="BE165" s="140">
        <f t="shared" si="248"/>
        <v>-92.022222222222226</v>
      </c>
      <c r="BF165" s="140">
        <f t="shared" si="248"/>
        <v>-91.522222222222226</v>
      </c>
      <c r="BG165" s="140">
        <f t="shared" si="248"/>
        <v>-91.025000000000006</v>
      </c>
      <c r="BH165" s="140">
        <f t="shared" si="248"/>
        <v>-90.525000000000006</v>
      </c>
      <c r="BI165" s="140">
        <f t="shared" si="248"/>
        <v>-90.025000000000006</v>
      </c>
      <c r="BJ165" s="140">
        <f t="shared" si="248"/>
        <v>-89.525000000000006</v>
      </c>
      <c r="BK165" s="140">
        <f t="shared" si="248"/>
        <v>-89.025000000000006</v>
      </c>
      <c r="BL165" s="140">
        <f t="shared" si="248"/>
        <v>-88.525000000000006</v>
      </c>
      <c r="BM165" s="140">
        <f t="shared" si="248"/>
        <v>-88.025000000000006</v>
      </c>
      <c r="BN165" s="140">
        <f t="shared" si="248"/>
        <v>-87.525000000000006</v>
      </c>
      <c r="BO165" s="140">
        <f t="shared" ref="BO165:CB165" si="249">BO164/360</f>
        <v>-87.027777777777771</v>
      </c>
      <c r="BP165" s="140">
        <f t="shared" si="249"/>
        <v>-86.527777777777771</v>
      </c>
      <c r="BQ165" s="140">
        <f t="shared" si="249"/>
        <v>-86.027777777777771</v>
      </c>
      <c r="BR165" s="140">
        <f t="shared" si="249"/>
        <v>-85.527777777777771</v>
      </c>
      <c r="BS165" s="140">
        <f t="shared" si="249"/>
        <v>-85.027777777777771</v>
      </c>
      <c r="BT165" s="140">
        <f t="shared" si="249"/>
        <v>-84.527777777777771</v>
      </c>
      <c r="BU165" s="140">
        <f t="shared" si="249"/>
        <v>-84.027777777777771</v>
      </c>
      <c r="BV165" s="140">
        <f t="shared" si="249"/>
        <v>-83.527777777777771</v>
      </c>
      <c r="BW165" s="140">
        <f t="shared" si="249"/>
        <v>-83.030555555555551</v>
      </c>
      <c r="BX165" s="140">
        <f t="shared" si="249"/>
        <v>-82.530555555555551</v>
      </c>
      <c r="BY165" s="140">
        <f t="shared" si="249"/>
        <v>-82.030555555555551</v>
      </c>
      <c r="BZ165" s="140">
        <f t="shared" si="249"/>
        <v>-81.530555555555551</v>
      </c>
      <c r="CA165" s="140">
        <f t="shared" si="249"/>
        <v>-81.030555555555551</v>
      </c>
      <c r="CB165" s="140">
        <f t="shared" si="249"/>
        <v>-80.530555555555551</v>
      </c>
      <c r="CC165" s="17"/>
      <c r="CD165" s="17"/>
      <c r="CE165" s="17"/>
    </row>
    <row r="166" spans="1:83">
      <c r="A166" s="16" t="s">
        <v>43</v>
      </c>
      <c r="B166" s="140">
        <f>IF(B164&lt;0,0,$B$5+$B$6*((1-EXP(-B165/$B$9))/(B165/$B$9))+$B$7*((1-EXP(-B165/$B$9))/(B165/$B$9)-EXP(-B165/$B$9))+$B$8*((1-EXP(-B165/$B$10))/(B165/$B$10)-EXP(-B165/$B$10)))</f>
        <v>0</v>
      </c>
      <c r="C166" s="140">
        <f t="shared" ref="C166:BN166" si="250">IF(C164&lt;0,0,$B$5+$B$6*((1-EXP(-C165/$B$9))/(C165/$B$9))+$B$7*((1-EXP(-C165/$B$9))/(C165/$B$9)-EXP(-C165/$B$9))+$B$8*((1-EXP(-C165/$B$10))/(C165/$B$10)-EXP(-C165/$B$10)))</f>
        <v>0</v>
      </c>
      <c r="D166" s="140">
        <f t="shared" si="250"/>
        <v>0</v>
      </c>
      <c r="E166" s="140">
        <f t="shared" si="250"/>
        <v>0</v>
      </c>
      <c r="F166" s="140">
        <f t="shared" si="250"/>
        <v>0</v>
      </c>
      <c r="G166" s="140">
        <f t="shared" si="250"/>
        <v>0</v>
      </c>
      <c r="H166" s="140">
        <f t="shared" si="250"/>
        <v>0</v>
      </c>
      <c r="I166" s="140">
        <f t="shared" si="250"/>
        <v>0</v>
      </c>
      <c r="J166" s="140">
        <f t="shared" si="250"/>
        <v>0</v>
      </c>
      <c r="K166" s="140">
        <f t="shared" si="250"/>
        <v>0</v>
      </c>
      <c r="L166" s="140">
        <f t="shared" si="250"/>
        <v>0</v>
      </c>
      <c r="M166" s="140">
        <f t="shared" si="250"/>
        <v>0</v>
      </c>
      <c r="N166" s="140">
        <f t="shared" si="250"/>
        <v>0</v>
      </c>
      <c r="O166" s="140">
        <f t="shared" si="250"/>
        <v>0</v>
      </c>
      <c r="P166" s="140">
        <f t="shared" si="250"/>
        <v>0</v>
      </c>
      <c r="Q166" s="140">
        <f t="shared" si="250"/>
        <v>0</v>
      </c>
      <c r="R166" s="140">
        <f t="shared" si="250"/>
        <v>0</v>
      </c>
      <c r="S166" s="140">
        <f t="shared" si="250"/>
        <v>0</v>
      </c>
      <c r="T166" s="140">
        <f t="shared" si="250"/>
        <v>0</v>
      </c>
      <c r="U166" s="140">
        <f t="shared" si="250"/>
        <v>0</v>
      </c>
      <c r="V166" s="140">
        <f t="shared" si="250"/>
        <v>0</v>
      </c>
      <c r="W166" s="140">
        <f t="shared" si="250"/>
        <v>0</v>
      </c>
      <c r="X166" s="140">
        <f t="shared" si="250"/>
        <v>0</v>
      </c>
      <c r="Y166" s="140">
        <f t="shared" si="250"/>
        <v>0</v>
      </c>
      <c r="Z166" s="140">
        <f t="shared" si="250"/>
        <v>0</v>
      </c>
      <c r="AA166" s="140">
        <f t="shared" si="250"/>
        <v>0</v>
      </c>
      <c r="AB166" s="140">
        <f t="shared" si="250"/>
        <v>0</v>
      </c>
      <c r="AC166" s="140">
        <f t="shared" si="250"/>
        <v>0</v>
      </c>
      <c r="AD166" s="140">
        <f t="shared" si="250"/>
        <v>0</v>
      </c>
      <c r="AE166" s="140">
        <f t="shared" si="250"/>
        <v>0</v>
      </c>
      <c r="AF166" s="140">
        <f t="shared" si="250"/>
        <v>0</v>
      </c>
      <c r="AG166" s="140">
        <f t="shared" si="250"/>
        <v>0</v>
      </c>
      <c r="AH166" s="140">
        <f t="shared" si="250"/>
        <v>0</v>
      </c>
      <c r="AI166" s="140">
        <f t="shared" si="250"/>
        <v>0</v>
      </c>
      <c r="AJ166" s="140">
        <f t="shared" si="250"/>
        <v>0</v>
      </c>
      <c r="AK166" s="140">
        <f t="shared" si="250"/>
        <v>0</v>
      </c>
      <c r="AL166" s="140">
        <f t="shared" si="250"/>
        <v>0</v>
      </c>
      <c r="AM166" s="140">
        <f t="shared" si="250"/>
        <v>0</v>
      </c>
      <c r="AN166" s="140">
        <f t="shared" si="250"/>
        <v>0</v>
      </c>
      <c r="AO166" s="140">
        <f t="shared" si="250"/>
        <v>0</v>
      </c>
      <c r="AP166" s="140">
        <f t="shared" si="250"/>
        <v>0</v>
      </c>
      <c r="AQ166" s="140">
        <f t="shared" si="250"/>
        <v>0</v>
      </c>
      <c r="AR166" s="140">
        <f t="shared" si="250"/>
        <v>0</v>
      </c>
      <c r="AS166" s="140">
        <f t="shared" si="250"/>
        <v>0</v>
      </c>
      <c r="AT166" s="140">
        <f t="shared" si="250"/>
        <v>0</v>
      </c>
      <c r="AU166" s="140">
        <f t="shared" si="250"/>
        <v>0</v>
      </c>
      <c r="AV166" s="140">
        <f t="shared" si="250"/>
        <v>0</v>
      </c>
      <c r="AW166" s="140">
        <f t="shared" si="250"/>
        <v>0</v>
      </c>
      <c r="AX166" s="140">
        <f t="shared" si="250"/>
        <v>0</v>
      </c>
      <c r="AY166" s="140">
        <f t="shared" si="250"/>
        <v>0</v>
      </c>
      <c r="AZ166" s="140">
        <f t="shared" si="250"/>
        <v>0</v>
      </c>
      <c r="BA166" s="140">
        <f t="shared" si="250"/>
        <v>0</v>
      </c>
      <c r="BB166" s="140">
        <f t="shared" si="250"/>
        <v>0</v>
      </c>
      <c r="BC166" s="140">
        <f t="shared" si="250"/>
        <v>0</v>
      </c>
      <c r="BD166" s="140">
        <f t="shared" si="250"/>
        <v>0</v>
      </c>
      <c r="BE166" s="140">
        <f t="shared" si="250"/>
        <v>0</v>
      </c>
      <c r="BF166" s="140">
        <f t="shared" si="250"/>
        <v>0</v>
      </c>
      <c r="BG166" s="140">
        <f t="shared" si="250"/>
        <v>0</v>
      </c>
      <c r="BH166" s="140">
        <f t="shared" si="250"/>
        <v>0</v>
      </c>
      <c r="BI166" s="140">
        <f t="shared" si="250"/>
        <v>0</v>
      </c>
      <c r="BJ166" s="140">
        <f t="shared" si="250"/>
        <v>0</v>
      </c>
      <c r="BK166" s="140">
        <f t="shared" si="250"/>
        <v>0</v>
      </c>
      <c r="BL166" s="140">
        <f t="shared" si="250"/>
        <v>0</v>
      </c>
      <c r="BM166" s="140">
        <f t="shared" si="250"/>
        <v>0</v>
      </c>
      <c r="BN166" s="140">
        <f t="shared" si="250"/>
        <v>0</v>
      </c>
      <c r="BO166" s="140">
        <f t="shared" ref="BO166:CB166" si="251">IF(BO164&lt;0,0,$B$5+$B$6*((1-EXP(-BO165/$B$9))/(BO165/$B$9))+$B$7*((1-EXP(-BO165/$B$9))/(BO165/$B$9)-EXP(-BO165/$B$9))+$B$8*((1-EXP(-BO165/$B$10))/(BO165/$B$10)-EXP(-BO165/$B$10)))</f>
        <v>0</v>
      </c>
      <c r="BP166" s="140">
        <f t="shared" si="251"/>
        <v>0</v>
      </c>
      <c r="BQ166" s="140">
        <f t="shared" si="251"/>
        <v>0</v>
      </c>
      <c r="BR166" s="140">
        <f t="shared" si="251"/>
        <v>0</v>
      </c>
      <c r="BS166" s="140">
        <f t="shared" si="251"/>
        <v>0</v>
      </c>
      <c r="BT166" s="140">
        <f t="shared" si="251"/>
        <v>0</v>
      </c>
      <c r="BU166" s="140">
        <f t="shared" si="251"/>
        <v>0</v>
      </c>
      <c r="BV166" s="140">
        <f t="shared" si="251"/>
        <v>0</v>
      </c>
      <c r="BW166" s="140">
        <f t="shared" si="251"/>
        <v>0</v>
      </c>
      <c r="BX166" s="140">
        <f t="shared" si="251"/>
        <v>0</v>
      </c>
      <c r="BY166" s="140">
        <f t="shared" si="251"/>
        <v>0</v>
      </c>
      <c r="BZ166" s="140">
        <f t="shared" si="251"/>
        <v>0</v>
      </c>
      <c r="CA166" s="140">
        <f t="shared" si="251"/>
        <v>0</v>
      </c>
      <c r="CB166" s="140">
        <f t="shared" si="251"/>
        <v>0</v>
      </c>
      <c r="CC166" s="17"/>
      <c r="CD166" s="17"/>
      <c r="CE166" s="17"/>
    </row>
    <row r="167" spans="1:83">
      <c r="A167" s="16" t="s">
        <v>44</v>
      </c>
      <c r="B167" s="140">
        <f>EXP(-B166*B165)</f>
        <v>1</v>
      </c>
      <c r="C167" s="140">
        <f t="shared" ref="C167:AR167" si="252">EXP(-C166*C165)</f>
        <v>1</v>
      </c>
      <c r="D167" s="140">
        <f t="shared" si="252"/>
        <v>1</v>
      </c>
      <c r="E167" s="140">
        <f t="shared" si="252"/>
        <v>1</v>
      </c>
      <c r="F167" s="140">
        <f t="shared" si="252"/>
        <v>1</v>
      </c>
      <c r="G167" s="140">
        <f t="shared" si="252"/>
        <v>1</v>
      </c>
      <c r="H167" s="140">
        <f t="shared" si="252"/>
        <v>1</v>
      </c>
      <c r="I167" s="140">
        <f t="shared" si="252"/>
        <v>1</v>
      </c>
      <c r="J167" s="140">
        <f t="shared" si="252"/>
        <v>1</v>
      </c>
      <c r="K167" s="140">
        <f t="shared" si="252"/>
        <v>1</v>
      </c>
      <c r="L167" s="140">
        <f t="shared" si="252"/>
        <v>1</v>
      </c>
      <c r="M167" s="140">
        <f t="shared" si="252"/>
        <v>1</v>
      </c>
      <c r="N167" s="140">
        <f t="shared" si="252"/>
        <v>1</v>
      </c>
      <c r="O167" s="140">
        <f t="shared" si="252"/>
        <v>1</v>
      </c>
      <c r="P167" s="140">
        <f t="shared" si="252"/>
        <v>1</v>
      </c>
      <c r="Q167" s="140">
        <f t="shared" si="252"/>
        <v>1</v>
      </c>
      <c r="R167" s="140">
        <f t="shared" si="252"/>
        <v>1</v>
      </c>
      <c r="S167" s="140">
        <f t="shared" si="252"/>
        <v>1</v>
      </c>
      <c r="T167" s="140">
        <f t="shared" si="252"/>
        <v>1</v>
      </c>
      <c r="U167" s="140">
        <f t="shared" si="252"/>
        <v>1</v>
      </c>
      <c r="V167" s="140">
        <f t="shared" si="252"/>
        <v>1</v>
      </c>
      <c r="W167" s="140">
        <f t="shared" si="252"/>
        <v>1</v>
      </c>
      <c r="X167" s="140">
        <f t="shared" si="252"/>
        <v>1</v>
      </c>
      <c r="Y167" s="140">
        <f t="shared" si="252"/>
        <v>1</v>
      </c>
      <c r="Z167" s="140">
        <f t="shared" si="252"/>
        <v>1</v>
      </c>
      <c r="AA167" s="140">
        <f t="shared" si="252"/>
        <v>1</v>
      </c>
      <c r="AB167" s="140">
        <f t="shared" si="252"/>
        <v>1</v>
      </c>
      <c r="AC167" s="140">
        <f t="shared" si="252"/>
        <v>1</v>
      </c>
      <c r="AD167" s="140">
        <f t="shared" si="252"/>
        <v>1</v>
      </c>
      <c r="AE167" s="140">
        <f t="shared" si="252"/>
        <v>1</v>
      </c>
      <c r="AF167" s="140">
        <f t="shared" si="252"/>
        <v>1</v>
      </c>
      <c r="AG167" s="140">
        <f t="shared" si="252"/>
        <v>1</v>
      </c>
      <c r="AH167" s="140">
        <f t="shared" si="252"/>
        <v>1</v>
      </c>
      <c r="AI167" s="140">
        <f t="shared" si="252"/>
        <v>1</v>
      </c>
      <c r="AJ167" s="140">
        <f t="shared" si="252"/>
        <v>1</v>
      </c>
      <c r="AK167" s="140">
        <f t="shared" si="252"/>
        <v>1</v>
      </c>
      <c r="AL167" s="140">
        <f t="shared" si="252"/>
        <v>1</v>
      </c>
      <c r="AM167" s="140">
        <f t="shared" si="252"/>
        <v>1</v>
      </c>
      <c r="AN167" s="140">
        <f t="shared" si="252"/>
        <v>1</v>
      </c>
      <c r="AO167" s="140">
        <f t="shared" si="252"/>
        <v>1</v>
      </c>
      <c r="AP167" s="140">
        <f t="shared" si="252"/>
        <v>1</v>
      </c>
      <c r="AQ167" s="140">
        <f t="shared" si="252"/>
        <v>1</v>
      </c>
      <c r="AR167" s="140">
        <f t="shared" si="252"/>
        <v>1</v>
      </c>
      <c r="AS167" s="140">
        <f>EXP(-AS166*AS165)</f>
        <v>1</v>
      </c>
      <c r="AT167" s="140">
        <f t="shared" ref="AT167:CA167" si="253">EXP(-AT166*AT165)</f>
        <v>1</v>
      </c>
      <c r="AU167" s="140">
        <f t="shared" si="253"/>
        <v>1</v>
      </c>
      <c r="AV167" s="140">
        <f t="shared" si="253"/>
        <v>1</v>
      </c>
      <c r="AW167" s="140">
        <f t="shared" si="253"/>
        <v>1</v>
      </c>
      <c r="AX167" s="140">
        <f t="shared" si="253"/>
        <v>1</v>
      </c>
      <c r="AY167" s="140">
        <f t="shared" si="253"/>
        <v>1</v>
      </c>
      <c r="AZ167" s="140">
        <f t="shared" si="253"/>
        <v>1</v>
      </c>
      <c r="BA167" s="140">
        <f t="shared" si="253"/>
        <v>1</v>
      </c>
      <c r="BB167" s="140">
        <f t="shared" si="253"/>
        <v>1</v>
      </c>
      <c r="BC167" s="140">
        <f t="shared" si="253"/>
        <v>1</v>
      </c>
      <c r="BD167" s="140">
        <f t="shared" si="253"/>
        <v>1</v>
      </c>
      <c r="BE167" s="140">
        <f t="shared" si="253"/>
        <v>1</v>
      </c>
      <c r="BF167" s="140">
        <f t="shared" si="253"/>
        <v>1</v>
      </c>
      <c r="BG167" s="140">
        <f t="shared" si="253"/>
        <v>1</v>
      </c>
      <c r="BH167" s="140">
        <f t="shared" si="253"/>
        <v>1</v>
      </c>
      <c r="BI167" s="140">
        <f t="shared" si="253"/>
        <v>1</v>
      </c>
      <c r="BJ167" s="140">
        <f t="shared" si="253"/>
        <v>1</v>
      </c>
      <c r="BK167" s="140">
        <f t="shared" si="253"/>
        <v>1</v>
      </c>
      <c r="BL167" s="140">
        <f t="shared" si="253"/>
        <v>1</v>
      </c>
      <c r="BM167" s="140">
        <f t="shared" si="253"/>
        <v>1</v>
      </c>
      <c r="BN167" s="140">
        <f t="shared" si="253"/>
        <v>1</v>
      </c>
      <c r="BO167" s="140">
        <f t="shared" si="253"/>
        <v>1</v>
      </c>
      <c r="BP167" s="140">
        <f t="shared" si="253"/>
        <v>1</v>
      </c>
      <c r="BQ167" s="140">
        <f t="shared" si="253"/>
        <v>1</v>
      </c>
      <c r="BR167" s="140">
        <f t="shared" si="253"/>
        <v>1</v>
      </c>
      <c r="BS167" s="140">
        <f t="shared" si="253"/>
        <v>1</v>
      </c>
      <c r="BT167" s="140">
        <f t="shared" si="253"/>
        <v>1</v>
      </c>
      <c r="BU167" s="140">
        <f t="shared" si="253"/>
        <v>1</v>
      </c>
      <c r="BV167" s="140">
        <f t="shared" si="253"/>
        <v>1</v>
      </c>
      <c r="BW167" s="140">
        <f t="shared" si="253"/>
        <v>1</v>
      </c>
      <c r="BX167" s="140">
        <f t="shared" si="253"/>
        <v>1</v>
      </c>
      <c r="BY167" s="140">
        <f t="shared" si="253"/>
        <v>1</v>
      </c>
      <c r="BZ167" s="140">
        <f t="shared" si="253"/>
        <v>1</v>
      </c>
      <c r="CA167" s="140">
        <f t="shared" si="253"/>
        <v>1</v>
      </c>
      <c r="CB167" s="140">
        <f>EXP(-CB166*CB165)</f>
        <v>1</v>
      </c>
      <c r="CC167" s="17"/>
      <c r="CD167" s="17"/>
      <c r="CE167" s="17"/>
    </row>
    <row r="168" spans="1:83">
      <c r="A168" s="17"/>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17"/>
      <c r="CD168" s="17"/>
      <c r="CE168" s="17"/>
    </row>
    <row r="169" spans="1:83">
      <c r="A169" s="16" t="s">
        <v>40</v>
      </c>
      <c r="B169" s="140">
        <f t="shared" ref="B169:BM169" si="254">DAYS360($B$3,B64)</f>
        <v>-43022</v>
      </c>
      <c r="C169" s="140">
        <f t="shared" si="254"/>
        <v>-42842</v>
      </c>
      <c r="D169" s="140">
        <f t="shared" si="254"/>
        <v>-42662</v>
      </c>
      <c r="E169" s="140">
        <f t="shared" si="254"/>
        <v>-42482</v>
      </c>
      <c r="F169" s="140">
        <f t="shared" si="254"/>
        <v>-42302</v>
      </c>
      <c r="G169" s="140">
        <f t="shared" si="254"/>
        <v>-42122</v>
      </c>
      <c r="H169" s="140">
        <f t="shared" si="254"/>
        <v>-41942</v>
      </c>
      <c r="I169" s="140">
        <f t="shared" si="254"/>
        <v>-41762</v>
      </c>
      <c r="J169" s="140">
        <f t="shared" si="254"/>
        <v>-41582</v>
      </c>
      <c r="K169" s="140">
        <f t="shared" si="254"/>
        <v>-41403</v>
      </c>
      <c r="L169" s="140">
        <f t="shared" si="254"/>
        <v>-41223</v>
      </c>
      <c r="M169" s="140">
        <f t="shared" si="254"/>
        <v>-41043</v>
      </c>
      <c r="N169" s="140">
        <f t="shared" si="254"/>
        <v>-40863</v>
      </c>
      <c r="O169" s="140">
        <f t="shared" si="254"/>
        <v>-40683</v>
      </c>
      <c r="P169" s="140">
        <f t="shared" si="254"/>
        <v>-40503</v>
      </c>
      <c r="Q169" s="140">
        <f t="shared" si="254"/>
        <v>-40323</v>
      </c>
      <c r="R169" s="140">
        <f t="shared" si="254"/>
        <v>-40143</v>
      </c>
      <c r="S169" s="140">
        <f t="shared" si="254"/>
        <v>-39964</v>
      </c>
      <c r="T169" s="140">
        <f t="shared" si="254"/>
        <v>-39784</v>
      </c>
      <c r="U169" s="140">
        <f t="shared" si="254"/>
        <v>-39604</v>
      </c>
      <c r="V169" s="140">
        <f t="shared" si="254"/>
        <v>-39424</v>
      </c>
      <c r="W169" s="140">
        <f t="shared" si="254"/>
        <v>-39244</v>
      </c>
      <c r="X169" s="140">
        <f t="shared" si="254"/>
        <v>-39064</v>
      </c>
      <c r="Y169" s="140">
        <f t="shared" si="254"/>
        <v>-38884</v>
      </c>
      <c r="Z169" s="140">
        <f t="shared" si="254"/>
        <v>-38704</v>
      </c>
      <c r="AA169" s="140">
        <f t="shared" si="254"/>
        <v>-38525</v>
      </c>
      <c r="AB169" s="140">
        <f t="shared" si="254"/>
        <v>-38345</v>
      </c>
      <c r="AC169" s="140">
        <f t="shared" si="254"/>
        <v>-38165</v>
      </c>
      <c r="AD169" s="140">
        <f t="shared" si="254"/>
        <v>-37985</v>
      </c>
      <c r="AE169" s="140">
        <f t="shared" si="254"/>
        <v>-37805</v>
      </c>
      <c r="AF169" s="140">
        <f t="shared" si="254"/>
        <v>-37625</v>
      </c>
      <c r="AG169" s="140">
        <f t="shared" si="254"/>
        <v>-37445</v>
      </c>
      <c r="AH169" s="140">
        <f t="shared" si="254"/>
        <v>-37265</v>
      </c>
      <c r="AI169" s="140">
        <f t="shared" si="254"/>
        <v>-37086</v>
      </c>
      <c r="AJ169" s="140">
        <f t="shared" si="254"/>
        <v>-36906</v>
      </c>
      <c r="AK169" s="140">
        <f t="shared" si="254"/>
        <v>-36726</v>
      </c>
      <c r="AL169" s="140">
        <f t="shared" si="254"/>
        <v>-36546</v>
      </c>
      <c r="AM169" s="140">
        <f t="shared" si="254"/>
        <v>-36366</v>
      </c>
      <c r="AN169" s="140">
        <f t="shared" si="254"/>
        <v>-36186</v>
      </c>
      <c r="AO169" s="140">
        <f t="shared" si="254"/>
        <v>-36006</v>
      </c>
      <c r="AP169" s="140">
        <f t="shared" si="254"/>
        <v>-35826</v>
      </c>
      <c r="AQ169" s="140">
        <f t="shared" si="254"/>
        <v>-35647</v>
      </c>
      <c r="AR169" s="140">
        <f t="shared" si="254"/>
        <v>-35467</v>
      </c>
      <c r="AS169" s="140">
        <f t="shared" si="254"/>
        <v>-35287</v>
      </c>
      <c r="AT169" s="140">
        <f t="shared" si="254"/>
        <v>-35107</v>
      </c>
      <c r="AU169" s="140">
        <f t="shared" si="254"/>
        <v>-34927</v>
      </c>
      <c r="AV169" s="140">
        <f t="shared" si="254"/>
        <v>-34747</v>
      </c>
      <c r="AW169" s="140">
        <f t="shared" si="254"/>
        <v>-34567</v>
      </c>
      <c r="AX169" s="140">
        <f t="shared" si="254"/>
        <v>-34387</v>
      </c>
      <c r="AY169" s="140">
        <f t="shared" si="254"/>
        <v>-34208</v>
      </c>
      <c r="AZ169" s="140">
        <f t="shared" si="254"/>
        <v>-34028</v>
      </c>
      <c r="BA169" s="140">
        <f t="shared" si="254"/>
        <v>-33848</v>
      </c>
      <c r="BB169" s="140">
        <f t="shared" si="254"/>
        <v>-33668</v>
      </c>
      <c r="BC169" s="140">
        <f t="shared" si="254"/>
        <v>-33488</v>
      </c>
      <c r="BD169" s="140">
        <f t="shared" si="254"/>
        <v>-33308</v>
      </c>
      <c r="BE169" s="140">
        <f t="shared" si="254"/>
        <v>-33128</v>
      </c>
      <c r="BF169" s="140">
        <f t="shared" si="254"/>
        <v>-32948</v>
      </c>
      <c r="BG169" s="140">
        <f t="shared" si="254"/>
        <v>-32769</v>
      </c>
      <c r="BH169" s="140">
        <f t="shared" si="254"/>
        <v>-32589</v>
      </c>
      <c r="BI169" s="140">
        <f t="shared" si="254"/>
        <v>-32409</v>
      </c>
      <c r="BJ169" s="140">
        <f t="shared" si="254"/>
        <v>-32229</v>
      </c>
      <c r="BK169" s="140">
        <f t="shared" si="254"/>
        <v>-32049</v>
      </c>
      <c r="BL169" s="140">
        <f t="shared" si="254"/>
        <v>-31869</v>
      </c>
      <c r="BM169" s="140">
        <f t="shared" si="254"/>
        <v>-31689</v>
      </c>
      <c r="BN169" s="140">
        <f t="shared" ref="BN169:CB169" si="255">DAYS360($B$3,BN64)</f>
        <v>-31509</v>
      </c>
      <c r="BO169" s="140">
        <f t="shared" si="255"/>
        <v>-31330</v>
      </c>
      <c r="BP169" s="140">
        <f t="shared" si="255"/>
        <v>-31150</v>
      </c>
      <c r="BQ169" s="140">
        <f t="shared" si="255"/>
        <v>-30970</v>
      </c>
      <c r="BR169" s="140">
        <f t="shared" si="255"/>
        <v>-30790</v>
      </c>
      <c r="BS169" s="140">
        <f t="shared" si="255"/>
        <v>-30610</v>
      </c>
      <c r="BT169" s="140">
        <f t="shared" si="255"/>
        <v>-30430</v>
      </c>
      <c r="BU169" s="140">
        <f t="shared" si="255"/>
        <v>-30250</v>
      </c>
      <c r="BV169" s="140">
        <f t="shared" si="255"/>
        <v>-30070</v>
      </c>
      <c r="BW169" s="140">
        <f t="shared" si="255"/>
        <v>-29891</v>
      </c>
      <c r="BX169" s="140">
        <f t="shared" si="255"/>
        <v>-29711</v>
      </c>
      <c r="BY169" s="140">
        <f t="shared" si="255"/>
        <v>-29531</v>
      </c>
      <c r="BZ169" s="140">
        <f t="shared" si="255"/>
        <v>-29351</v>
      </c>
      <c r="CA169" s="140">
        <f t="shared" si="255"/>
        <v>-29171</v>
      </c>
      <c r="CB169" s="140">
        <f t="shared" si="255"/>
        <v>-28991</v>
      </c>
      <c r="CC169" s="17"/>
      <c r="CD169" s="17"/>
      <c r="CE169" s="17"/>
    </row>
    <row r="170" spans="1:83">
      <c r="A170" s="16" t="s">
        <v>41</v>
      </c>
      <c r="B170" s="140">
        <f>B169/360</f>
        <v>-119.50555555555556</v>
      </c>
      <c r="C170" s="140">
        <f t="shared" ref="C170:BN170" si="256">C169/360</f>
        <v>-119.00555555555556</v>
      </c>
      <c r="D170" s="140">
        <f t="shared" si="256"/>
        <v>-118.50555555555556</v>
      </c>
      <c r="E170" s="140">
        <f t="shared" si="256"/>
        <v>-118.00555555555556</v>
      </c>
      <c r="F170" s="140">
        <f t="shared" si="256"/>
        <v>-117.50555555555556</v>
      </c>
      <c r="G170" s="140">
        <f t="shared" si="256"/>
        <v>-117.00555555555556</v>
      </c>
      <c r="H170" s="140">
        <f t="shared" si="256"/>
        <v>-116.50555555555556</v>
      </c>
      <c r="I170" s="140">
        <f t="shared" si="256"/>
        <v>-116.00555555555556</v>
      </c>
      <c r="J170" s="140">
        <f t="shared" si="256"/>
        <v>-115.50555555555556</v>
      </c>
      <c r="K170" s="140">
        <f t="shared" si="256"/>
        <v>-115.00833333333334</v>
      </c>
      <c r="L170" s="140">
        <f t="shared" si="256"/>
        <v>-114.50833333333334</v>
      </c>
      <c r="M170" s="140">
        <f t="shared" si="256"/>
        <v>-114.00833333333334</v>
      </c>
      <c r="N170" s="140">
        <f t="shared" si="256"/>
        <v>-113.50833333333334</v>
      </c>
      <c r="O170" s="140">
        <f t="shared" si="256"/>
        <v>-113.00833333333334</v>
      </c>
      <c r="P170" s="140">
        <f t="shared" si="256"/>
        <v>-112.50833333333334</v>
      </c>
      <c r="Q170" s="140">
        <f t="shared" si="256"/>
        <v>-112.00833333333334</v>
      </c>
      <c r="R170" s="140">
        <f t="shared" si="256"/>
        <v>-111.50833333333334</v>
      </c>
      <c r="S170" s="140">
        <f t="shared" si="256"/>
        <v>-111.01111111111111</v>
      </c>
      <c r="T170" s="140">
        <f t="shared" si="256"/>
        <v>-110.51111111111111</v>
      </c>
      <c r="U170" s="140">
        <f t="shared" si="256"/>
        <v>-110.01111111111111</v>
      </c>
      <c r="V170" s="140">
        <f t="shared" si="256"/>
        <v>-109.51111111111111</v>
      </c>
      <c r="W170" s="140">
        <f t="shared" si="256"/>
        <v>-109.01111111111111</v>
      </c>
      <c r="X170" s="140">
        <f t="shared" si="256"/>
        <v>-108.51111111111111</v>
      </c>
      <c r="Y170" s="140">
        <f t="shared" si="256"/>
        <v>-108.01111111111111</v>
      </c>
      <c r="Z170" s="140">
        <f t="shared" si="256"/>
        <v>-107.51111111111111</v>
      </c>
      <c r="AA170" s="140">
        <f t="shared" si="256"/>
        <v>-107.01388888888889</v>
      </c>
      <c r="AB170" s="140">
        <f t="shared" si="256"/>
        <v>-106.51388888888889</v>
      </c>
      <c r="AC170" s="140">
        <f t="shared" si="256"/>
        <v>-106.01388888888889</v>
      </c>
      <c r="AD170" s="140">
        <f t="shared" si="256"/>
        <v>-105.51388888888889</v>
      </c>
      <c r="AE170" s="140">
        <f t="shared" si="256"/>
        <v>-105.01388888888889</v>
      </c>
      <c r="AF170" s="140">
        <f t="shared" si="256"/>
        <v>-104.51388888888889</v>
      </c>
      <c r="AG170" s="140">
        <f t="shared" si="256"/>
        <v>-104.01388888888889</v>
      </c>
      <c r="AH170" s="140">
        <f t="shared" si="256"/>
        <v>-103.51388888888889</v>
      </c>
      <c r="AI170" s="140">
        <f t="shared" si="256"/>
        <v>-103.01666666666667</v>
      </c>
      <c r="AJ170" s="140">
        <f t="shared" si="256"/>
        <v>-102.51666666666667</v>
      </c>
      <c r="AK170" s="140">
        <f t="shared" si="256"/>
        <v>-102.01666666666667</v>
      </c>
      <c r="AL170" s="140">
        <f t="shared" si="256"/>
        <v>-101.51666666666667</v>
      </c>
      <c r="AM170" s="140">
        <f t="shared" si="256"/>
        <v>-101.01666666666667</v>
      </c>
      <c r="AN170" s="140">
        <f t="shared" si="256"/>
        <v>-100.51666666666667</v>
      </c>
      <c r="AO170" s="140">
        <f t="shared" si="256"/>
        <v>-100.01666666666667</v>
      </c>
      <c r="AP170" s="140">
        <f t="shared" si="256"/>
        <v>-99.516666666666666</v>
      </c>
      <c r="AQ170" s="140">
        <f t="shared" si="256"/>
        <v>-99.019444444444446</v>
      </c>
      <c r="AR170" s="140">
        <f t="shared" si="256"/>
        <v>-98.519444444444446</v>
      </c>
      <c r="AS170" s="140">
        <f t="shared" si="256"/>
        <v>-98.019444444444446</v>
      </c>
      <c r="AT170" s="140">
        <f t="shared" si="256"/>
        <v>-97.519444444444446</v>
      </c>
      <c r="AU170" s="140">
        <f t="shared" si="256"/>
        <v>-97.019444444444446</v>
      </c>
      <c r="AV170" s="140">
        <f t="shared" si="256"/>
        <v>-96.519444444444446</v>
      </c>
      <c r="AW170" s="140">
        <f t="shared" si="256"/>
        <v>-96.019444444444446</v>
      </c>
      <c r="AX170" s="140">
        <f t="shared" si="256"/>
        <v>-95.519444444444446</v>
      </c>
      <c r="AY170" s="140">
        <f t="shared" si="256"/>
        <v>-95.022222222222226</v>
      </c>
      <c r="AZ170" s="140">
        <f t="shared" si="256"/>
        <v>-94.522222222222226</v>
      </c>
      <c r="BA170" s="140">
        <f t="shared" si="256"/>
        <v>-94.022222222222226</v>
      </c>
      <c r="BB170" s="140">
        <f t="shared" si="256"/>
        <v>-93.522222222222226</v>
      </c>
      <c r="BC170" s="140">
        <f t="shared" si="256"/>
        <v>-93.022222222222226</v>
      </c>
      <c r="BD170" s="140">
        <f t="shared" si="256"/>
        <v>-92.522222222222226</v>
      </c>
      <c r="BE170" s="140">
        <f t="shared" si="256"/>
        <v>-92.022222222222226</v>
      </c>
      <c r="BF170" s="140">
        <f t="shared" si="256"/>
        <v>-91.522222222222226</v>
      </c>
      <c r="BG170" s="140">
        <f t="shared" si="256"/>
        <v>-91.025000000000006</v>
      </c>
      <c r="BH170" s="140">
        <f t="shared" si="256"/>
        <v>-90.525000000000006</v>
      </c>
      <c r="BI170" s="140">
        <f t="shared" si="256"/>
        <v>-90.025000000000006</v>
      </c>
      <c r="BJ170" s="140">
        <f t="shared" si="256"/>
        <v>-89.525000000000006</v>
      </c>
      <c r="BK170" s="140">
        <f t="shared" si="256"/>
        <v>-89.025000000000006</v>
      </c>
      <c r="BL170" s="140">
        <f t="shared" si="256"/>
        <v>-88.525000000000006</v>
      </c>
      <c r="BM170" s="140">
        <f t="shared" si="256"/>
        <v>-88.025000000000006</v>
      </c>
      <c r="BN170" s="140">
        <f t="shared" si="256"/>
        <v>-87.525000000000006</v>
      </c>
      <c r="BO170" s="140">
        <f t="shared" ref="BO170:CB170" si="257">BO169/360</f>
        <v>-87.027777777777771</v>
      </c>
      <c r="BP170" s="140">
        <f t="shared" si="257"/>
        <v>-86.527777777777771</v>
      </c>
      <c r="BQ170" s="140">
        <f t="shared" si="257"/>
        <v>-86.027777777777771</v>
      </c>
      <c r="BR170" s="140">
        <f t="shared" si="257"/>
        <v>-85.527777777777771</v>
      </c>
      <c r="BS170" s="140">
        <f t="shared" si="257"/>
        <v>-85.027777777777771</v>
      </c>
      <c r="BT170" s="140">
        <f t="shared" si="257"/>
        <v>-84.527777777777771</v>
      </c>
      <c r="BU170" s="140">
        <f t="shared" si="257"/>
        <v>-84.027777777777771</v>
      </c>
      <c r="BV170" s="140">
        <f t="shared" si="257"/>
        <v>-83.527777777777771</v>
      </c>
      <c r="BW170" s="140">
        <f t="shared" si="257"/>
        <v>-83.030555555555551</v>
      </c>
      <c r="BX170" s="140">
        <f t="shared" si="257"/>
        <v>-82.530555555555551</v>
      </c>
      <c r="BY170" s="140">
        <f t="shared" si="257"/>
        <v>-82.030555555555551</v>
      </c>
      <c r="BZ170" s="140">
        <f t="shared" si="257"/>
        <v>-81.530555555555551</v>
      </c>
      <c r="CA170" s="140">
        <f t="shared" si="257"/>
        <v>-81.030555555555551</v>
      </c>
      <c r="CB170" s="140">
        <f t="shared" si="257"/>
        <v>-80.530555555555551</v>
      </c>
      <c r="CC170" s="17"/>
      <c r="CD170" s="17"/>
      <c r="CE170" s="17"/>
    </row>
    <row r="171" spans="1:83">
      <c r="A171" s="16" t="s">
        <v>43</v>
      </c>
      <c r="B171" s="140">
        <f>IF(B169&lt;0,0,$B$5+$B$6*((1-EXP(-B170/$B$9))/(B170/$B$9))+$B$7*((1-EXP(-B170/$B$9))/(B170/$B$9)-EXP(-B170/$B$9))+$B$8*((1-EXP(-B170/$B$10))/(B170/$B$10)-EXP(-B170/$B$10)))</f>
        <v>0</v>
      </c>
      <c r="C171" s="140">
        <f t="shared" ref="C171:BN171" si="258">IF(C169&lt;0,0,$B$5+$B$6*((1-EXP(-C170/$B$9))/(C170/$B$9))+$B$7*((1-EXP(-C170/$B$9))/(C170/$B$9)-EXP(-C170/$B$9))+$B$8*((1-EXP(-C170/$B$10))/(C170/$B$10)-EXP(-C170/$B$10)))</f>
        <v>0</v>
      </c>
      <c r="D171" s="140">
        <f t="shared" si="258"/>
        <v>0</v>
      </c>
      <c r="E171" s="140">
        <f t="shared" si="258"/>
        <v>0</v>
      </c>
      <c r="F171" s="140">
        <f t="shared" si="258"/>
        <v>0</v>
      </c>
      <c r="G171" s="140">
        <f t="shared" si="258"/>
        <v>0</v>
      </c>
      <c r="H171" s="140">
        <f t="shared" si="258"/>
        <v>0</v>
      </c>
      <c r="I171" s="140">
        <f t="shared" si="258"/>
        <v>0</v>
      </c>
      <c r="J171" s="140">
        <f t="shared" si="258"/>
        <v>0</v>
      </c>
      <c r="K171" s="140">
        <f t="shared" si="258"/>
        <v>0</v>
      </c>
      <c r="L171" s="140">
        <f t="shared" si="258"/>
        <v>0</v>
      </c>
      <c r="M171" s="140">
        <f t="shared" si="258"/>
        <v>0</v>
      </c>
      <c r="N171" s="140">
        <f t="shared" si="258"/>
        <v>0</v>
      </c>
      <c r="O171" s="140">
        <f t="shared" si="258"/>
        <v>0</v>
      </c>
      <c r="P171" s="140">
        <f t="shared" si="258"/>
        <v>0</v>
      </c>
      <c r="Q171" s="140">
        <f t="shared" si="258"/>
        <v>0</v>
      </c>
      <c r="R171" s="140">
        <f t="shared" si="258"/>
        <v>0</v>
      </c>
      <c r="S171" s="140">
        <f t="shared" si="258"/>
        <v>0</v>
      </c>
      <c r="T171" s="140">
        <f t="shared" si="258"/>
        <v>0</v>
      </c>
      <c r="U171" s="140">
        <f t="shared" si="258"/>
        <v>0</v>
      </c>
      <c r="V171" s="140">
        <f t="shared" si="258"/>
        <v>0</v>
      </c>
      <c r="W171" s="140">
        <f t="shared" si="258"/>
        <v>0</v>
      </c>
      <c r="X171" s="140">
        <f t="shared" si="258"/>
        <v>0</v>
      </c>
      <c r="Y171" s="140">
        <f t="shared" si="258"/>
        <v>0</v>
      </c>
      <c r="Z171" s="140">
        <f t="shared" si="258"/>
        <v>0</v>
      </c>
      <c r="AA171" s="140">
        <f t="shared" si="258"/>
        <v>0</v>
      </c>
      <c r="AB171" s="140">
        <f t="shared" si="258"/>
        <v>0</v>
      </c>
      <c r="AC171" s="140">
        <f t="shared" si="258"/>
        <v>0</v>
      </c>
      <c r="AD171" s="140">
        <f t="shared" si="258"/>
        <v>0</v>
      </c>
      <c r="AE171" s="140">
        <f t="shared" si="258"/>
        <v>0</v>
      </c>
      <c r="AF171" s="140">
        <f t="shared" si="258"/>
        <v>0</v>
      </c>
      <c r="AG171" s="140">
        <f t="shared" si="258"/>
        <v>0</v>
      </c>
      <c r="AH171" s="140">
        <f t="shared" si="258"/>
        <v>0</v>
      </c>
      <c r="AI171" s="140">
        <f t="shared" si="258"/>
        <v>0</v>
      </c>
      <c r="AJ171" s="140">
        <f t="shared" si="258"/>
        <v>0</v>
      </c>
      <c r="AK171" s="140">
        <f t="shared" si="258"/>
        <v>0</v>
      </c>
      <c r="AL171" s="140">
        <f t="shared" si="258"/>
        <v>0</v>
      </c>
      <c r="AM171" s="140">
        <f t="shared" si="258"/>
        <v>0</v>
      </c>
      <c r="AN171" s="140">
        <f t="shared" si="258"/>
        <v>0</v>
      </c>
      <c r="AO171" s="140">
        <f t="shared" si="258"/>
        <v>0</v>
      </c>
      <c r="AP171" s="140">
        <f t="shared" si="258"/>
        <v>0</v>
      </c>
      <c r="AQ171" s="140">
        <f t="shared" si="258"/>
        <v>0</v>
      </c>
      <c r="AR171" s="140">
        <f t="shared" si="258"/>
        <v>0</v>
      </c>
      <c r="AS171" s="140">
        <f t="shared" si="258"/>
        <v>0</v>
      </c>
      <c r="AT171" s="140">
        <f t="shared" si="258"/>
        <v>0</v>
      </c>
      <c r="AU171" s="140">
        <f t="shared" si="258"/>
        <v>0</v>
      </c>
      <c r="AV171" s="140">
        <f t="shared" si="258"/>
        <v>0</v>
      </c>
      <c r="AW171" s="140">
        <f t="shared" si="258"/>
        <v>0</v>
      </c>
      <c r="AX171" s="140">
        <f t="shared" si="258"/>
        <v>0</v>
      </c>
      <c r="AY171" s="140">
        <f t="shared" si="258"/>
        <v>0</v>
      </c>
      <c r="AZ171" s="140">
        <f t="shared" si="258"/>
        <v>0</v>
      </c>
      <c r="BA171" s="140">
        <f t="shared" si="258"/>
        <v>0</v>
      </c>
      <c r="BB171" s="140">
        <f t="shared" si="258"/>
        <v>0</v>
      </c>
      <c r="BC171" s="140">
        <f t="shared" si="258"/>
        <v>0</v>
      </c>
      <c r="BD171" s="140">
        <f t="shared" si="258"/>
        <v>0</v>
      </c>
      <c r="BE171" s="140">
        <f t="shared" si="258"/>
        <v>0</v>
      </c>
      <c r="BF171" s="140">
        <f t="shared" si="258"/>
        <v>0</v>
      </c>
      <c r="BG171" s="140">
        <f t="shared" si="258"/>
        <v>0</v>
      </c>
      <c r="BH171" s="140">
        <f t="shared" si="258"/>
        <v>0</v>
      </c>
      <c r="BI171" s="140">
        <f t="shared" si="258"/>
        <v>0</v>
      </c>
      <c r="BJ171" s="140">
        <f t="shared" si="258"/>
        <v>0</v>
      </c>
      <c r="BK171" s="140">
        <f t="shared" si="258"/>
        <v>0</v>
      </c>
      <c r="BL171" s="140">
        <f t="shared" si="258"/>
        <v>0</v>
      </c>
      <c r="BM171" s="140">
        <f t="shared" si="258"/>
        <v>0</v>
      </c>
      <c r="BN171" s="140">
        <f t="shared" si="258"/>
        <v>0</v>
      </c>
      <c r="BO171" s="140">
        <f t="shared" ref="BO171:CB171" si="259">IF(BO169&lt;0,0,$B$5+$B$6*((1-EXP(-BO170/$B$9))/(BO170/$B$9))+$B$7*((1-EXP(-BO170/$B$9))/(BO170/$B$9)-EXP(-BO170/$B$9))+$B$8*((1-EXP(-BO170/$B$10))/(BO170/$B$10)-EXP(-BO170/$B$10)))</f>
        <v>0</v>
      </c>
      <c r="BP171" s="140">
        <f t="shared" si="259"/>
        <v>0</v>
      </c>
      <c r="BQ171" s="140">
        <f t="shared" si="259"/>
        <v>0</v>
      </c>
      <c r="BR171" s="140">
        <f t="shared" si="259"/>
        <v>0</v>
      </c>
      <c r="BS171" s="140">
        <f t="shared" si="259"/>
        <v>0</v>
      </c>
      <c r="BT171" s="140">
        <f t="shared" si="259"/>
        <v>0</v>
      </c>
      <c r="BU171" s="140">
        <f t="shared" si="259"/>
        <v>0</v>
      </c>
      <c r="BV171" s="140">
        <f t="shared" si="259"/>
        <v>0</v>
      </c>
      <c r="BW171" s="140">
        <f t="shared" si="259"/>
        <v>0</v>
      </c>
      <c r="BX171" s="140">
        <f t="shared" si="259"/>
        <v>0</v>
      </c>
      <c r="BY171" s="140">
        <f t="shared" si="259"/>
        <v>0</v>
      </c>
      <c r="BZ171" s="140">
        <f t="shared" si="259"/>
        <v>0</v>
      </c>
      <c r="CA171" s="140">
        <f t="shared" si="259"/>
        <v>0</v>
      </c>
      <c r="CB171" s="140">
        <f t="shared" si="259"/>
        <v>0</v>
      </c>
      <c r="CC171" s="17"/>
      <c r="CD171" s="17"/>
      <c r="CE171" s="17"/>
    </row>
    <row r="172" spans="1:83">
      <c r="A172" s="16" t="s">
        <v>44</v>
      </c>
      <c r="B172" s="140">
        <f>EXP(-B171*B170)</f>
        <v>1</v>
      </c>
      <c r="C172" s="140">
        <f t="shared" ref="C172:AR172" si="260">EXP(-C171*C170)</f>
        <v>1</v>
      </c>
      <c r="D172" s="140">
        <f t="shared" si="260"/>
        <v>1</v>
      </c>
      <c r="E172" s="140">
        <f t="shared" si="260"/>
        <v>1</v>
      </c>
      <c r="F172" s="140">
        <f t="shared" si="260"/>
        <v>1</v>
      </c>
      <c r="G172" s="140">
        <f t="shared" si="260"/>
        <v>1</v>
      </c>
      <c r="H172" s="140">
        <f t="shared" si="260"/>
        <v>1</v>
      </c>
      <c r="I172" s="140">
        <f t="shared" si="260"/>
        <v>1</v>
      </c>
      <c r="J172" s="140">
        <f t="shared" si="260"/>
        <v>1</v>
      </c>
      <c r="K172" s="140">
        <f t="shared" si="260"/>
        <v>1</v>
      </c>
      <c r="L172" s="140">
        <f t="shared" si="260"/>
        <v>1</v>
      </c>
      <c r="M172" s="140">
        <f t="shared" si="260"/>
        <v>1</v>
      </c>
      <c r="N172" s="140">
        <f t="shared" si="260"/>
        <v>1</v>
      </c>
      <c r="O172" s="140">
        <f t="shared" si="260"/>
        <v>1</v>
      </c>
      <c r="P172" s="140">
        <f t="shared" si="260"/>
        <v>1</v>
      </c>
      <c r="Q172" s="140">
        <f t="shared" si="260"/>
        <v>1</v>
      </c>
      <c r="R172" s="140">
        <f t="shared" si="260"/>
        <v>1</v>
      </c>
      <c r="S172" s="140">
        <f t="shared" si="260"/>
        <v>1</v>
      </c>
      <c r="T172" s="140">
        <f t="shared" si="260"/>
        <v>1</v>
      </c>
      <c r="U172" s="140">
        <f t="shared" si="260"/>
        <v>1</v>
      </c>
      <c r="V172" s="140">
        <f t="shared" si="260"/>
        <v>1</v>
      </c>
      <c r="W172" s="140">
        <f t="shared" si="260"/>
        <v>1</v>
      </c>
      <c r="X172" s="140">
        <f t="shared" si="260"/>
        <v>1</v>
      </c>
      <c r="Y172" s="140">
        <f t="shared" si="260"/>
        <v>1</v>
      </c>
      <c r="Z172" s="140">
        <f t="shared" si="260"/>
        <v>1</v>
      </c>
      <c r="AA172" s="140">
        <f t="shared" si="260"/>
        <v>1</v>
      </c>
      <c r="AB172" s="140">
        <f t="shared" si="260"/>
        <v>1</v>
      </c>
      <c r="AC172" s="140">
        <f t="shared" si="260"/>
        <v>1</v>
      </c>
      <c r="AD172" s="140">
        <f t="shared" si="260"/>
        <v>1</v>
      </c>
      <c r="AE172" s="140">
        <f t="shared" si="260"/>
        <v>1</v>
      </c>
      <c r="AF172" s="140">
        <f t="shared" si="260"/>
        <v>1</v>
      </c>
      <c r="AG172" s="140">
        <f t="shared" si="260"/>
        <v>1</v>
      </c>
      <c r="AH172" s="140">
        <f t="shared" si="260"/>
        <v>1</v>
      </c>
      <c r="AI172" s="140">
        <f t="shared" si="260"/>
        <v>1</v>
      </c>
      <c r="AJ172" s="140">
        <f t="shared" si="260"/>
        <v>1</v>
      </c>
      <c r="AK172" s="140">
        <f t="shared" si="260"/>
        <v>1</v>
      </c>
      <c r="AL172" s="140">
        <f t="shared" si="260"/>
        <v>1</v>
      </c>
      <c r="AM172" s="140">
        <f t="shared" si="260"/>
        <v>1</v>
      </c>
      <c r="AN172" s="140">
        <f t="shared" si="260"/>
        <v>1</v>
      </c>
      <c r="AO172" s="140">
        <f t="shared" si="260"/>
        <v>1</v>
      </c>
      <c r="AP172" s="140">
        <f t="shared" si="260"/>
        <v>1</v>
      </c>
      <c r="AQ172" s="140">
        <f t="shared" si="260"/>
        <v>1</v>
      </c>
      <c r="AR172" s="140">
        <f t="shared" si="260"/>
        <v>1</v>
      </c>
      <c r="AS172" s="140">
        <f>EXP(-AS171*AS170)</f>
        <v>1</v>
      </c>
      <c r="AT172" s="140">
        <f t="shared" ref="AT172:CA172" si="261">EXP(-AT171*AT170)</f>
        <v>1</v>
      </c>
      <c r="AU172" s="140">
        <f t="shared" si="261"/>
        <v>1</v>
      </c>
      <c r="AV172" s="140">
        <f t="shared" si="261"/>
        <v>1</v>
      </c>
      <c r="AW172" s="140">
        <f t="shared" si="261"/>
        <v>1</v>
      </c>
      <c r="AX172" s="140">
        <f t="shared" si="261"/>
        <v>1</v>
      </c>
      <c r="AY172" s="140">
        <f t="shared" si="261"/>
        <v>1</v>
      </c>
      <c r="AZ172" s="140">
        <f t="shared" si="261"/>
        <v>1</v>
      </c>
      <c r="BA172" s="140">
        <f t="shared" si="261"/>
        <v>1</v>
      </c>
      <c r="BB172" s="140">
        <f t="shared" si="261"/>
        <v>1</v>
      </c>
      <c r="BC172" s="140">
        <f t="shared" si="261"/>
        <v>1</v>
      </c>
      <c r="BD172" s="140">
        <f t="shared" si="261"/>
        <v>1</v>
      </c>
      <c r="BE172" s="140">
        <f t="shared" si="261"/>
        <v>1</v>
      </c>
      <c r="BF172" s="140">
        <f t="shared" si="261"/>
        <v>1</v>
      </c>
      <c r="BG172" s="140">
        <f t="shared" si="261"/>
        <v>1</v>
      </c>
      <c r="BH172" s="140">
        <f t="shared" si="261"/>
        <v>1</v>
      </c>
      <c r="BI172" s="140">
        <f t="shared" si="261"/>
        <v>1</v>
      </c>
      <c r="BJ172" s="140">
        <f t="shared" si="261"/>
        <v>1</v>
      </c>
      <c r="BK172" s="140">
        <f t="shared" si="261"/>
        <v>1</v>
      </c>
      <c r="BL172" s="140">
        <f t="shared" si="261"/>
        <v>1</v>
      </c>
      <c r="BM172" s="140">
        <f t="shared" si="261"/>
        <v>1</v>
      </c>
      <c r="BN172" s="140">
        <f t="shared" si="261"/>
        <v>1</v>
      </c>
      <c r="BO172" s="140">
        <f t="shared" si="261"/>
        <v>1</v>
      </c>
      <c r="BP172" s="140">
        <f t="shared" si="261"/>
        <v>1</v>
      </c>
      <c r="BQ172" s="140">
        <f t="shared" si="261"/>
        <v>1</v>
      </c>
      <c r="BR172" s="140">
        <f t="shared" si="261"/>
        <v>1</v>
      </c>
      <c r="BS172" s="140">
        <f t="shared" si="261"/>
        <v>1</v>
      </c>
      <c r="BT172" s="140">
        <f t="shared" si="261"/>
        <v>1</v>
      </c>
      <c r="BU172" s="140">
        <f t="shared" si="261"/>
        <v>1</v>
      </c>
      <c r="BV172" s="140">
        <f t="shared" si="261"/>
        <v>1</v>
      </c>
      <c r="BW172" s="140">
        <f t="shared" si="261"/>
        <v>1</v>
      </c>
      <c r="BX172" s="140">
        <f t="shared" si="261"/>
        <v>1</v>
      </c>
      <c r="BY172" s="140">
        <f t="shared" si="261"/>
        <v>1</v>
      </c>
      <c r="BZ172" s="140">
        <f t="shared" si="261"/>
        <v>1</v>
      </c>
      <c r="CA172" s="140">
        <f t="shared" si="261"/>
        <v>1</v>
      </c>
      <c r="CB172" s="140">
        <f>EXP(-CB171*CB170)</f>
        <v>1</v>
      </c>
      <c r="CC172" s="17"/>
      <c r="CD172" s="17"/>
      <c r="CE172" s="17"/>
    </row>
    <row r="173" spans="1:83">
      <c r="A173" s="17"/>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17"/>
      <c r="CD173" s="17"/>
      <c r="CE173" s="17"/>
    </row>
    <row r="174" spans="1:83">
      <c r="A174" s="16" t="s">
        <v>40</v>
      </c>
      <c r="B174" s="140">
        <f t="shared" ref="B174:BM174" si="262">DAYS360($B$3,B66)</f>
        <v>-43022</v>
      </c>
      <c r="C174" s="140">
        <f t="shared" si="262"/>
        <v>-42842</v>
      </c>
      <c r="D174" s="140">
        <f t="shared" si="262"/>
        <v>-42662</v>
      </c>
      <c r="E174" s="140">
        <f t="shared" si="262"/>
        <v>-42482</v>
      </c>
      <c r="F174" s="140">
        <f t="shared" si="262"/>
        <v>-42302</v>
      </c>
      <c r="G174" s="140">
        <f t="shared" si="262"/>
        <v>-42122</v>
      </c>
      <c r="H174" s="140">
        <f t="shared" si="262"/>
        <v>-41942</v>
      </c>
      <c r="I174" s="140">
        <f t="shared" si="262"/>
        <v>-41762</v>
      </c>
      <c r="J174" s="140">
        <f t="shared" si="262"/>
        <v>-41582</v>
      </c>
      <c r="K174" s="140">
        <f t="shared" si="262"/>
        <v>-41403</v>
      </c>
      <c r="L174" s="140">
        <f t="shared" si="262"/>
        <v>-41223</v>
      </c>
      <c r="M174" s="140">
        <f t="shared" si="262"/>
        <v>-41043</v>
      </c>
      <c r="N174" s="140">
        <f t="shared" si="262"/>
        <v>-40863</v>
      </c>
      <c r="O174" s="140">
        <f t="shared" si="262"/>
        <v>-40683</v>
      </c>
      <c r="P174" s="140">
        <f t="shared" si="262"/>
        <v>-40503</v>
      </c>
      <c r="Q174" s="140">
        <f t="shared" si="262"/>
        <v>-40323</v>
      </c>
      <c r="R174" s="140">
        <f t="shared" si="262"/>
        <v>-40143</v>
      </c>
      <c r="S174" s="140">
        <f t="shared" si="262"/>
        <v>-39964</v>
      </c>
      <c r="T174" s="140">
        <f t="shared" si="262"/>
        <v>-39784</v>
      </c>
      <c r="U174" s="140">
        <f t="shared" si="262"/>
        <v>-39604</v>
      </c>
      <c r="V174" s="140">
        <f t="shared" si="262"/>
        <v>-39424</v>
      </c>
      <c r="W174" s="140">
        <f t="shared" si="262"/>
        <v>-39244</v>
      </c>
      <c r="X174" s="140">
        <f t="shared" si="262"/>
        <v>-39064</v>
      </c>
      <c r="Y174" s="140">
        <f t="shared" si="262"/>
        <v>-38884</v>
      </c>
      <c r="Z174" s="140">
        <f t="shared" si="262"/>
        <v>-38704</v>
      </c>
      <c r="AA174" s="140">
        <f t="shared" si="262"/>
        <v>-38525</v>
      </c>
      <c r="AB174" s="140">
        <f t="shared" si="262"/>
        <v>-38345</v>
      </c>
      <c r="AC174" s="140">
        <f t="shared" si="262"/>
        <v>-38165</v>
      </c>
      <c r="AD174" s="140">
        <f t="shared" si="262"/>
        <v>-37985</v>
      </c>
      <c r="AE174" s="140">
        <f t="shared" si="262"/>
        <v>-37805</v>
      </c>
      <c r="AF174" s="140">
        <f t="shared" si="262"/>
        <v>-37625</v>
      </c>
      <c r="AG174" s="140">
        <f t="shared" si="262"/>
        <v>-37445</v>
      </c>
      <c r="AH174" s="140">
        <f t="shared" si="262"/>
        <v>-37265</v>
      </c>
      <c r="AI174" s="140">
        <f t="shared" si="262"/>
        <v>-37086</v>
      </c>
      <c r="AJ174" s="140">
        <f t="shared" si="262"/>
        <v>-36906</v>
      </c>
      <c r="AK174" s="140">
        <f t="shared" si="262"/>
        <v>-36726</v>
      </c>
      <c r="AL174" s="140">
        <f t="shared" si="262"/>
        <v>-36546</v>
      </c>
      <c r="AM174" s="140">
        <f t="shared" si="262"/>
        <v>-36366</v>
      </c>
      <c r="AN174" s="140">
        <f t="shared" si="262"/>
        <v>-36186</v>
      </c>
      <c r="AO174" s="140">
        <f t="shared" si="262"/>
        <v>-36006</v>
      </c>
      <c r="AP174" s="140">
        <f t="shared" si="262"/>
        <v>-35826</v>
      </c>
      <c r="AQ174" s="140">
        <f t="shared" si="262"/>
        <v>-35647</v>
      </c>
      <c r="AR174" s="140">
        <f t="shared" si="262"/>
        <v>-35467</v>
      </c>
      <c r="AS174" s="140">
        <f t="shared" si="262"/>
        <v>-35287</v>
      </c>
      <c r="AT174" s="140">
        <f t="shared" si="262"/>
        <v>-35107</v>
      </c>
      <c r="AU174" s="140">
        <f t="shared" si="262"/>
        <v>-34927</v>
      </c>
      <c r="AV174" s="140">
        <f t="shared" si="262"/>
        <v>-34747</v>
      </c>
      <c r="AW174" s="140">
        <f t="shared" si="262"/>
        <v>-34567</v>
      </c>
      <c r="AX174" s="140">
        <f t="shared" si="262"/>
        <v>-34387</v>
      </c>
      <c r="AY174" s="140">
        <f t="shared" si="262"/>
        <v>-34208</v>
      </c>
      <c r="AZ174" s="140">
        <f t="shared" si="262"/>
        <v>-34028</v>
      </c>
      <c r="BA174" s="140">
        <f t="shared" si="262"/>
        <v>-33848</v>
      </c>
      <c r="BB174" s="140">
        <f t="shared" si="262"/>
        <v>-33668</v>
      </c>
      <c r="BC174" s="140">
        <f t="shared" si="262"/>
        <v>-33488</v>
      </c>
      <c r="BD174" s="140">
        <f t="shared" si="262"/>
        <v>-33308</v>
      </c>
      <c r="BE174" s="140">
        <f t="shared" si="262"/>
        <v>-33128</v>
      </c>
      <c r="BF174" s="140">
        <f t="shared" si="262"/>
        <v>-32948</v>
      </c>
      <c r="BG174" s="140">
        <f t="shared" si="262"/>
        <v>-32769</v>
      </c>
      <c r="BH174" s="140">
        <f t="shared" si="262"/>
        <v>-32589</v>
      </c>
      <c r="BI174" s="140">
        <f t="shared" si="262"/>
        <v>-32409</v>
      </c>
      <c r="BJ174" s="140">
        <f t="shared" si="262"/>
        <v>-32229</v>
      </c>
      <c r="BK174" s="140">
        <f t="shared" si="262"/>
        <v>-32049</v>
      </c>
      <c r="BL174" s="140">
        <f t="shared" si="262"/>
        <v>-31869</v>
      </c>
      <c r="BM174" s="140">
        <f t="shared" si="262"/>
        <v>-31689</v>
      </c>
      <c r="BN174" s="140">
        <f t="shared" ref="BN174:CB174" si="263">DAYS360($B$3,BN66)</f>
        <v>-31509</v>
      </c>
      <c r="BO174" s="140">
        <f t="shared" si="263"/>
        <v>-31330</v>
      </c>
      <c r="BP174" s="140">
        <f t="shared" si="263"/>
        <v>-31150</v>
      </c>
      <c r="BQ174" s="140">
        <f t="shared" si="263"/>
        <v>-30970</v>
      </c>
      <c r="BR174" s="140">
        <f t="shared" si="263"/>
        <v>-30790</v>
      </c>
      <c r="BS174" s="140">
        <f t="shared" si="263"/>
        <v>-30610</v>
      </c>
      <c r="BT174" s="140">
        <f t="shared" si="263"/>
        <v>-30430</v>
      </c>
      <c r="BU174" s="140">
        <f t="shared" si="263"/>
        <v>-30250</v>
      </c>
      <c r="BV174" s="140">
        <f t="shared" si="263"/>
        <v>-30070</v>
      </c>
      <c r="BW174" s="140">
        <f t="shared" si="263"/>
        <v>-29891</v>
      </c>
      <c r="BX174" s="140">
        <f t="shared" si="263"/>
        <v>-29711</v>
      </c>
      <c r="BY174" s="140">
        <f t="shared" si="263"/>
        <v>-29531</v>
      </c>
      <c r="BZ174" s="140">
        <f t="shared" si="263"/>
        <v>-29351</v>
      </c>
      <c r="CA174" s="140">
        <f t="shared" si="263"/>
        <v>-29171</v>
      </c>
      <c r="CB174" s="140">
        <f t="shared" si="263"/>
        <v>-28991</v>
      </c>
      <c r="CC174" s="17"/>
      <c r="CD174" s="17"/>
      <c r="CE174" s="17"/>
    </row>
    <row r="175" spans="1:83">
      <c r="A175" s="16" t="s">
        <v>41</v>
      </c>
      <c r="B175" s="140">
        <f>B174/360</f>
        <v>-119.50555555555556</v>
      </c>
      <c r="C175" s="140">
        <f t="shared" ref="C175:BN175" si="264">C174/360</f>
        <v>-119.00555555555556</v>
      </c>
      <c r="D175" s="140">
        <f t="shared" si="264"/>
        <v>-118.50555555555556</v>
      </c>
      <c r="E175" s="140">
        <f t="shared" si="264"/>
        <v>-118.00555555555556</v>
      </c>
      <c r="F175" s="140">
        <f t="shared" si="264"/>
        <v>-117.50555555555556</v>
      </c>
      <c r="G175" s="140">
        <f t="shared" si="264"/>
        <v>-117.00555555555556</v>
      </c>
      <c r="H175" s="140">
        <f t="shared" si="264"/>
        <v>-116.50555555555556</v>
      </c>
      <c r="I175" s="140">
        <f t="shared" si="264"/>
        <v>-116.00555555555556</v>
      </c>
      <c r="J175" s="140">
        <f t="shared" si="264"/>
        <v>-115.50555555555556</v>
      </c>
      <c r="K175" s="140">
        <f t="shared" si="264"/>
        <v>-115.00833333333334</v>
      </c>
      <c r="L175" s="140">
        <f t="shared" si="264"/>
        <v>-114.50833333333334</v>
      </c>
      <c r="M175" s="140">
        <f t="shared" si="264"/>
        <v>-114.00833333333334</v>
      </c>
      <c r="N175" s="140">
        <f t="shared" si="264"/>
        <v>-113.50833333333334</v>
      </c>
      <c r="O175" s="140">
        <f t="shared" si="264"/>
        <v>-113.00833333333334</v>
      </c>
      <c r="P175" s="140">
        <f t="shared" si="264"/>
        <v>-112.50833333333334</v>
      </c>
      <c r="Q175" s="140">
        <f t="shared" si="264"/>
        <v>-112.00833333333334</v>
      </c>
      <c r="R175" s="140">
        <f t="shared" si="264"/>
        <v>-111.50833333333334</v>
      </c>
      <c r="S175" s="140">
        <f t="shared" si="264"/>
        <v>-111.01111111111111</v>
      </c>
      <c r="T175" s="140">
        <f t="shared" si="264"/>
        <v>-110.51111111111111</v>
      </c>
      <c r="U175" s="140">
        <f t="shared" si="264"/>
        <v>-110.01111111111111</v>
      </c>
      <c r="V175" s="140">
        <f t="shared" si="264"/>
        <v>-109.51111111111111</v>
      </c>
      <c r="W175" s="140">
        <f t="shared" si="264"/>
        <v>-109.01111111111111</v>
      </c>
      <c r="X175" s="140">
        <f t="shared" si="264"/>
        <v>-108.51111111111111</v>
      </c>
      <c r="Y175" s="140">
        <f t="shared" si="264"/>
        <v>-108.01111111111111</v>
      </c>
      <c r="Z175" s="140">
        <f t="shared" si="264"/>
        <v>-107.51111111111111</v>
      </c>
      <c r="AA175" s="140">
        <f t="shared" si="264"/>
        <v>-107.01388888888889</v>
      </c>
      <c r="AB175" s="140">
        <f t="shared" si="264"/>
        <v>-106.51388888888889</v>
      </c>
      <c r="AC175" s="140">
        <f t="shared" si="264"/>
        <v>-106.01388888888889</v>
      </c>
      <c r="AD175" s="140">
        <f t="shared" si="264"/>
        <v>-105.51388888888889</v>
      </c>
      <c r="AE175" s="140">
        <f t="shared" si="264"/>
        <v>-105.01388888888889</v>
      </c>
      <c r="AF175" s="140">
        <f t="shared" si="264"/>
        <v>-104.51388888888889</v>
      </c>
      <c r="AG175" s="140">
        <f t="shared" si="264"/>
        <v>-104.01388888888889</v>
      </c>
      <c r="AH175" s="140">
        <f t="shared" si="264"/>
        <v>-103.51388888888889</v>
      </c>
      <c r="AI175" s="140">
        <f t="shared" si="264"/>
        <v>-103.01666666666667</v>
      </c>
      <c r="AJ175" s="140">
        <f t="shared" si="264"/>
        <v>-102.51666666666667</v>
      </c>
      <c r="AK175" s="140">
        <f t="shared" si="264"/>
        <v>-102.01666666666667</v>
      </c>
      <c r="AL175" s="140">
        <f t="shared" si="264"/>
        <v>-101.51666666666667</v>
      </c>
      <c r="AM175" s="140">
        <f t="shared" si="264"/>
        <v>-101.01666666666667</v>
      </c>
      <c r="AN175" s="140">
        <f t="shared" si="264"/>
        <v>-100.51666666666667</v>
      </c>
      <c r="AO175" s="140">
        <f t="shared" si="264"/>
        <v>-100.01666666666667</v>
      </c>
      <c r="AP175" s="140">
        <f t="shared" si="264"/>
        <v>-99.516666666666666</v>
      </c>
      <c r="AQ175" s="140">
        <f t="shared" si="264"/>
        <v>-99.019444444444446</v>
      </c>
      <c r="AR175" s="140">
        <f t="shared" si="264"/>
        <v>-98.519444444444446</v>
      </c>
      <c r="AS175" s="140">
        <f t="shared" si="264"/>
        <v>-98.019444444444446</v>
      </c>
      <c r="AT175" s="140">
        <f t="shared" si="264"/>
        <v>-97.519444444444446</v>
      </c>
      <c r="AU175" s="140">
        <f t="shared" si="264"/>
        <v>-97.019444444444446</v>
      </c>
      <c r="AV175" s="140">
        <f t="shared" si="264"/>
        <v>-96.519444444444446</v>
      </c>
      <c r="AW175" s="140">
        <f t="shared" si="264"/>
        <v>-96.019444444444446</v>
      </c>
      <c r="AX175" s="140">
        <f t="shared" si="264"/>
        <v>-95.519444444444446</v>
      </c>
      <c r="AY175" s="140">
        <f t="shared" si="264"/>
        <v>-95.022222222222226</v>
      </c>
      <c r="AZ175" s="140">
        <f t="shared" si="264"/>
        <v>-94.522222222222226</v>
      </c>
      <c r="BA175" s="140">
        <f t="shared" si="264"/>
        <v>-94.022222222222226</v>
      </c>
      <c r="BB175" s="140">
        <f t="shared" si="264"/>
        <v>-93.522222222222226</v>
      </c>
      <c r="BC175" s="140">
        <f t="shared" si="264"/>
        <v>-93.022222222222226</v>
      </c>
      <c r="BD175" s="140">
        <f t="shared" si="264"/>
        <v>-92.522222222222226</v>
      </c>
      <c r="BE175" s="140">
        <f t="shared" si="264"/>
        <v>-92.022222222222226</v>
      </c>
      <c r="BF175" s="140">
        <f t="shared" si="264"/>
        <v>-91.522222222222226</v>
      </c>
      <c r="BG175" s="140">
        <f t="shared" si="264"/>
        <v>-91.025000000000006</v>
      </c>
      <c r="BH175" s="140">
        <f t="shared" si="264"/>
        <v>-90.525000000000006</v>
      </c>
      <c r="BI175" s="140">
        <f t="shared" si="264"/>
        <v>-90.025000000000006</v>
      </c>
      <c r="BJ175" s="140">
        <f t="shared" si="264"/>
        <v>-89.525000000000006</v>
      </c>
      <c r="BK175" s="140">
        <f t="shared" si="264"/>
        <v>-89.025000000000006</v>
      </c>
      <c r="BL175" s="140">
        <f t="shared" si="264"/>
        <v>-88.525000000000006</v>
      </c>
      <c r="BM175" s="140">
        <f t="shared" si="264"/>
        <v>-88.025000000000006</v>
      </c>
      <c r="BN175" s="140">
        <f t="shared" si="264"/>
        <v>-87.525000000000006</v>
      </c>
      <c r="BO175" s="140">
        <f t="shared" ref="BO175:CB175" si="265">BO174/360</f>
        <v>-87.027777777777771</v>
      </c>
      <c r="BP175" s="140">
        <f t="shared" si="265"/>
        <v>-86.527777777777771</v>
      </c>
      <c r="BQ175" s="140">
        <f t="shared" si="265"/>
        <v>-86.027777777777771</v>
      </c>
      <c r="BR175" s="140">
        <f t="shared" si="265"/>
        <v>-85.527777777777771</v>
      </c>
      <c r="BS175" s="140">
        <f t="shared" si="265"/>
        <v>-85.027777777777771</v>
      </c>
      <c r="BT175" s="140">
        <f t="shared" si="265"/>
        <v>-84.527777777777771</v>
      </c>
      <c r="BU175" s="140">
        <f t="shared" si="265"/>
        <v>-84.027777777777771</v>
      </c>
      <c r="BV175" s="140">
        <f t="shared" si="265"/>
        <v>-83.527777777777771</v>
      </c>
      <c r="BW175" s="140">
        <f t="shared" si="265"/>
        <v>-83.030555555555551</v>
      </c>
      <c r="BX175" s="140">
        <f t="shared" si="265"/>
        <v>-82.530555555555551</v>
      </c>
      <c r="BY175" s="140">
        <f t="shared" si="265"/>
        <v>-82.030555555555551</v>
      </c>
      <c r="BZ175" s="140">
        <f t="shared" si="265"/>
        <v>-81.530555555555551</v>
      </c>
      <c r="CA175" s="140">
        <f t="shared" si="265"/>
        <v>-81.030555555555551</v>
      </c>
      <c r="CB175" s="140">
        <f t="shared" si="265"/>
        <v>-80.530555555555551</v>
      </c>
      <c r="CC175" s="17"/>
      <c r="CD175" s="17"/>
      <c r="CE175" s="17"/>
    </row>
    <row r="176" spans="1:83">
      <c r="A176" s="16" t="s">
        <v>43</v>
      </c>
      <c r="B176" s="140">
        <f>IF(B174&lt;0,0,$B$5+$B$6*((1-EXP(-B175/$B$9))/(B175/$B$9))+$B$7*((1-EXP(-B175/$B$9))/(B175/$B$9)-EXP(-B175/$B$9))+$B$8*((1-EXP(-B175/$B$10))/(B175/$B$10)-EXP(-B175/$B$10)))</f>
        <v>0</v>
      </c>
      <c r="C176" s="140">
        <f t="shared" ref="C176:BN176" si="266">IF(C174&lt;0,0,$B$5+$B$6*((1-EXP(-C175/$B$9))/(C175/$B$9))+$B$7*((1-EXP(-C175/$B$9))/(C175/$B$9)-EXP(-C175/$B$9))+$B$8*((1-EXP(-C175/$B$10))/(C175/$B$10)-EXP(-C175/$B$10)))</f>
        <v>0</v>
      </c>
      <c r="D176" s="140">
        <f t="shared" si="266"/>
        <v>0</v>
      </c>
      <c r="E176" s="140">
        <f t="shared" si="266"/>
        <v>0</v>
      </c>
      <c r="F176" s="140">
        <f t="shared" si="266"/>
        <v>0</v>
      </c>
      <c r="G176" s="140">
        <f t="shared" si="266"/>
        <v>0</v>
      </c>
      <c r="H176" s="140">
        <f t="shared" si="266"/>
        <v>0</v>
      </c>
      <c r="I176" s="140">
        <f t="shared" si="266"/>
        <v>0</v>
      </c>
      <c r="J176" s="140">
        <f t="shared" si="266"/>
        <v>0</v>
      </c>
      <c r="K176" s="140">
        <f t="shared" si="266"/>
        <v>0</v>
      </c>
      <c r="L176" s="140">
        <f t="shared" si="266"/>
        <v>0</v>
      </c>
      <c r="M176" s="140">
        <f t="shared" si="266"/>
        <v>0</v>
      </c>
      <c r="N176" s="140">
        <f t="shared" si="266"/>
        <v>0</v>
      </c>
      <c r="O176" s="140">
        <f t="shared" si="266"/>
        <v>0</v>
      </c>
      <c r="P176" s="140">
        <f t="shared" si="266"/>
        <v>0</v>
      </c>
      <c r="Q176" s="140">
        <f t="shared" si="266"/>
        <v>0</v>
      </c>
      <c r="R176" s="140">
        <f t="shared" si="266"/>
        <v>0</v>
      </c>
      <c r="S176" s="140">
        <f t="shared" si="266"/>
        <v>0</v>
      </c>
      <c r="T176" s="140">
        <f t="shared" si="266"/>
        <v>0</v>
      </c>
      <c r="U176" s="140">
        <f t="shared" si="266"/>
        <v>0</v>
      </c>
      <c r="V176" s="140">
        <f t="shared" si="266"/>
        <v>0</v>
      </c>
      <c r="W176" s="140">
        <f t="shared" si="266"/>
        <v>0</v>
      </c>
      <c r="X176" s="140">
        <f t="shared" si="266"/>
        <v>0</v>
      </c>
      <c r="Y176" s="140">
        <f t="shared" si="266"/>
        <v>0</v>
      </c>
      <c r="Z176" s="140">
        <f t="shared" si="266"/>
        <v>0</v>
      </c>
      <c r="AA176" s="140">
        <f t="shared" si="266"/>
        <v>0</v>
      </c>
      <c r="AB176" s="140">
        <f t="shared" si="266"/>
        <v>0</v>
      </c>
      <c r="AC176" s="140">
        <f t="shared" si="266"/>
        <v>0</v>
      </c>
      <c r="AD176" s="140">
        <f t="shared" si="266"/>
        <v>0</v>
      </c>
      <c r="AE176" s="140">
        <f t="shared" si="266"/>
        <v>0</v>
      </c>
      <c r="AF176" s="140">
        <f t="shared" si="266"/>
        <v>0</v>
      </c>
      <c r="AG176" s="140">
        <f t="shared" si="266"/>
        <v>0</v>
      </c>
      <c r="AH176" s="140">
        <f t="shared" si="266"/>
        <v>0</v>
      </c>
      <c r="AI176" s="140">
        <f t="shared" si="266"/>
        <v>0</v>
      </c>
      <c r="AJ176" s="140">
        <f t="shared" si="266"/>
        <v>0</v>
      </c>
      <c r="AK176" s="140">
        <f t="shared" si="266"/>
        <v>0</v>
      </c>
      <c r="AL176" s="140">
        <f t="shared" si="266"/>
        <v>0</v>
      </c>
      <c r="AM176" s="140">
        <f t="shared" si="266"/>
        <v>0</v>
      </c>
      <c r="AN176" s="140">
        <f t="shared" si="266"/>
        <v>0</v>
      </c>
      <c r="AO176" s="140">
        <f t="shared" si="266"/>
        <v>0</v>
      </c>
      <c r="AP176" s="140">
        <f t="shared" si="266"/>
        <v>0</v>
      </c>
      <c r="AQ176" s="140">
        <f t="shared" si="266"/>
        <v>0</v>
      </c>
      <c r="AR176" s="140">
        <f t="shared" si="266"/>
        <v>0</v>
      </c>
      <c r="AS176" s="140">
        <f t="shared" si="266"/>
        <v>0</v>
      </c>
      <c r="AT176" s="140">
        <f t="shared" si="266"/>
        <v>0</v>
      </c>
      <c r="AU176" s="140">
        <f t="shared" si="266"/>
        <v>0</v>
      </c>
      <c r="AV176" s="140">
        <f t="shared" si="266"/>
        <v>0</v>
      </c>
      <c r="AW176" s="140">
        <f t="shared" si="266"/>
        <v>0</v>
      </c>
      <c r="AX176" s="140">
        <f t="shared" si="266"/>
        <v>0</v>
      </c>
      <c r="AY176" s="140">
        <f t="shared" si="266"/>
        <v>0</v>
      </c>
      <c r="AZ176" s="140">
        <f t="shared" si="266"/>
        <v>0</v>
      </c>
      <c r="BA176" s="140">
        <f t="shared" si="266"/>
        <v>0</v>
      </c>
      <c r="BB176" s="140">
        <f t="shared" si="266"/>
        <v>0</v>
      </c>
      <c r="BC176" s="140">
        <f t="shared" si="266"/>
        <v>0</v>
      </c>
      <c r="BD176" s="140">
        <f t="shared" si="266"/>
        <v>0</v>
      </c>
      <c r="BE176" s="140">
        <f t="shared" si="266"/>
        <v>0</v>
      </c>
      <c r="BF176" s="140">
        <f t="shared" si="266"/>
        <v>0</v>
      </c>
      <c r="BG176" s="140">
        <f t="shared" si="266"/>
        <v>0</v>
      </c>
      <c r="BH176" s="140">
        <f t="shared" si="266"/>
        <v>0</v>
      </c>
      <c r="BI176" s="140">
        <f t="shared" si="266"/>
        <v>0</v>
      </c>
      <c r="BJ176" s="140">
        <f t="shared" si="266"/>
        <v>0</v>
      </c>
      <c r="BK176" s="140">
        <f t="shared" si="266"/>
        <v>0</v>
      </c>
      <c r="BL176" s="140">
        <f t="shared" si="266"/>
        <v>0</v>
      </c>
      <c r="BM176" s="140">
        <f t="shared" si="266"/>
        <v>0</v>
      </c>
      <c r="BN176" s="140">
        <f t="shared" si="266"/>
        <v>0</v>
      </c>
      <c r="BO176" s="140">
        <f t="shared" ref="BO176:CB176" si="267">IF(BO174&lt;0,0,$B$5+$B$6*((1-EXP(-BO175/$B$9))/(BO175/$B$9))+$B$7*((1-EXP(-BO175/$B$9))/(BO175/$B$9)-EXP(-BO175/$B$9))+$B$8*((1-EXP(-BO175/$B$10))/(BO175/$B$10)-EXP(-BO175/$B$10)))</f>
        <v>0</v>
      </c>
      <c r="BP176" s="140">
        <f t="shared" si="267"/>
        <v>0</v>
      </c>
      <c r="BQ176" s="140">
        <f t="shared" si="267"/>
        <v>0</v>
      </c>
      <c r="BR176" s="140">
        <f t="shared" si="267"/>
        <v>0</v>
      </c>
      <c r="BS176" s="140">
        <f t="shared" si="267"/>
        <v>0</v>
      </c>
      <c r="BT176" s="140">
        <f t="shared" si="267"/>
        <v>0</v>
      </c>
      <c r="BU176" s="140">
        <f t="shared" si="267"/>
        <v>0</v>
      </c>
      <c r="BV176" s="140">
        <f t="shared" si="267"/>
        <v>0</v>
      </c>
      <c r="BW176" s="140">
        <f t="shared" si="267"/>
        <v>0</v>
      </c>
      <c r="BX176" s="140">
        <f t="shared" si="267"/>
        <v>0</v>
      </c>
      <c r="BY176" s="140">
        <f t="shared" si="267"/>
        <v>0</v>
      </c>
      <c r="BZ176" s="140">
        <f t="shared" si="267"/>
        <v>0</v>
      </c>
      <c r="CA176" s="140">
        <f t="shared" si="267"/>
        <v>0</v>
      </c>
      <c r="CB176" s="140">
        <f t="shared" si="267"/>
        <v>0</v>
      </c>
      <c r="CC176" s="17"/>
      <c r="CD176" s="17"/>
      <c r="CE176" s="17"/>
    </row>
    <row r="177" spans="1:83">
      <c r="A177" s="16" t="s">
        <v>44</v>
      </c>
      <c r="B177" s="140">
        <f>EXP(-B176*B175)</f>
        <v>1</v>
      </c>
      <c r="C177" s="140">
        <f t="shared" ref="C177:AR177" si="268">EXP(-C176*C175)</f>
        <v>1</v>
      </c>
      <c r="D177" s="140">
        <f t="shared" si="268"/>
        <v>1</v>
      </c>
      <c r="E177" s="140">
        <f t="shared" si="268"/>
        <v>1</v>
      </c>
      <c r="F177" s="140">
        <f t="shared" si="268"/>
        <v>1</v>
      </c>
      <c r="G177" s="140">
        <f t="shared" si="268"/>
        <v>1</v>
      </c>
      <c r="H177" s="140">
        <f t="shared" si="268"/>
        <v>1</v>
      </c>
      <c r="I177" s="140">
        <f t="shared" si="268"/>
        <v>1</v>
      </c>
      <c r="J177" s="140">
        <f t="shared" si="268"/>
        <v>1</v>
      </c>
      <c r="K177" s="140">
        <f t="shared" si="268"/>
        <v>1</v>
      </c>
      <c r="L177" s="140">
        <f t="shared" si="268"/>
        <v>1</v>
      </c>
      <c r="M177" s="140">
        <f t="shared" si="268"/>
        <v>1</v>
      </c>
      <c r="N177" s="140">
        <f t="shared" si="268"/>
        <v>1</v>
      </c>
      <c r="O177" s="140">
        <f t="shared" si="268"/>
        <v>1</v>
      </c>
      <c r="P177" s="140">
        <f t="shared" si="268"/>
        <v>1</v>
      </c>
      <c r="Q177" s="140">
        <f t="shared" si="268"/>
        <v>1</v>
      </c>
      <c r="R177" s="140">
        <f t="shared" si="268"/>
        <v>1</v>
      </c>
      <c r="S177" s="140">
        <f t="shared" si="268"/>
        <v>1</v>
      </c>
      <c r="T177" s="140">
        <f t="shared" si="268"/>
        <v>1</v>
      </c>
      <c r="U177" s="140">
        <f t="shared" si="268"/>
        <v>1</v>
      </c>
      <c r="V177" s="140">
        <f t="shared" si="268"/>
        <v>1</v>
      </c>
      <c r="W177" s="140">
        <f t="shared" si="268"/>
        <v>1</v>
      </c>
      <c r="X177" s="140">
        <f t="shared" si="268"/>
        <v>1</v>
      </c>
      <c r="Y177" s="140">
        <f t="shared" si="268"/>
        <v>1</v>
      </c>
      <c r="Z177" s="140">
        <f t="shared" si="268"/>
        <v>1</v>
      </c>
      <c r="AA177" s="140">
        <f t="shared" si="268"/>
        <v>1</v>
      </c>
      <c r="AB177" s="140">
        <f t="shared" si="268"/>
        <v>1</v>
      </c>
      <c r="AC177" s="140">
        <f t="shared" si="268"/>
        <v>1</v>
      </c>
      <c r="AD177" s="140">
        <f t="shared" si="268"/>
        <v>1</v>
      </c>
      <c r="AE177" s="140">
        <f t="shared" si="268"/>
        <v>1</v>
      </c>
      <c r="AF177" s="140">
        <f t="shared" si="268"/>
        <v>1</v>
      </c>
      <c r="AG177" s="140">
        <f t="shared" si="268"/>
        <v>1</v>
      </c>
      <c r="AH177" s="140">
        <f t="shared" si="268"/>
        <v>1</v>
      </c>
      <c r="AI177" s="140">
        <f t="shared" si="268"/>
        <v>1</v>
      </c>
      <c r="AJ177" s="140">
        <f t="shared" si="268"/>
        <v>1</v>
      </c>
      <c r="AK177" s="140">
        <f t="shared" si="268"/>
        <v>1</v>
      </c>
      <c r="AL177" s="140">
        <f t="shared" si="268"/>
        <v>1</v>
      </c>
      <c r="AM177" s="140">
        <f t="shared" si="268"/>
        <v>1</v>
      </c>
      <c r="AN177" s="140">
        <f t="shared" si="268"/>
        <v>1</v>
      </c>
      <c r="AO177" s="140">
        <f t="shared" si="268"/>
        <v>1</v>
      </c>
      <c r="AP177" s="140">
        <f t="shared" si="268"/>
        <v>1</v>
      </c>
      <c r="AQ177" s="140">
        <f t="shared" si="268"/>
        <v>1</v>
      </c>
      <c r="AR177" s="140">
        <f t="shared" si="268"/>
        <v>1</v>
      </c>
      <c r="AS177" s="140">
        <f>EXP(-AS176*AS175)</f>
        <v>1</v>
      </c>
      <c r="AT177" s="140">
        <f t="shared" ref="AT177:CA177" si="269">EXP(-AT176*AT175)</f>
        <v>1</v>
      </c>
      <c r="AU177" s="140">
        <f t="shared" si="269"/>
        <v>1</v>
      </c>
      <c r="AV177" s="140">
        <f t="shared" si="269"/>
        <v>1</v>
      </c>
      <c r="AW177" s="140">
        <f t="shared" si="269"/>
        <v>1</v>
      </c>
      <c r="AX177" s="140">
        <f t="shared" si="269"/>
        <v>1</v>
      </c>
      <c r="AY177" s="140">
        <f t="shared" si="269"/>
        <v>1</v>
      </c>
      <c r="AZ177" s="140">
        <f t="shared" si="269"/>
        <v>1</v>
      </c>
      <c r="BA177" s="140">
        <f t="shared" si="269"/>
        <v>1</v>
      </c>
      <c r="BB177" s="140">
        <f t="shared" si="269"/>
        <v>1</v>
      </c>
      <c r="BC177" s="140">
        <f t="shared" si="269"/>
        <v>1</v>
      </c>
      <c r="BD177" s="140">
        <f t="shared" si="269"/>
        <v>1</v>
      </c>
      <c r="BE177" s="140">
        <f t="shared" si="269"/>
        <v>1</v>
      </c>
      <c r="BF177" s="140">
        <f t="shared" si="269"/>
        <v>1</v>
      </c>
      <c r="BG177" s="140">
        <f t="shared" si="269"/>
        <v>1</v>
      </c>
      <c r="BH177" s="140">
        <f t="shared" si="269"/>
        <v>1</v>
      </c>
      <c r="BI177" s="140">
        <f t="shared" si="269"/>
        <v>1</v>
      </c>
      <c r="BJ177" s="140">
        <f t="shared" si="269"/>
        <v>1</v>
      </c>
      <c r="BK177" s="140">
        <f t="shared" si="269"/>
        <v>1</v>
      </c>
      <c r="BL177" s="140">
        <f t="shared" si="269"/>
        <v>1</v>
      </c>
      <c r="BM177" s="140">
        <f t="shared" si="269"/>
        <v>1</v>
      </c>
      <c r="BN177" s="140">
        <f t="shared" si="269"/>
        <v>1</v>
      </c>
      <c r="BO177" s="140">
        <f t="shared" si="269"/>
        <v>1</v>
      </c>
      <c r="BP177" s="140">
        <f t="shared" si="269"/>
        <v>1</v>
      </c>
      <c r="BQ177" s="140">
        <f t="shared" si="269"/>
        <v>1</v>
      </c>
      <c r="BR177" s="140">
        <f t="shared" si="269"/>
        <v>1</v>
      </c>
      <c r="BS177" s="140">
        <f t="shared" si="269"/>
        <v>1</v>
      </c>
      <c r="BT177" s="140">
        <f t="shared" si="269"/>
        <v>1</v>
      </c>
      <c r="BU177" s="140">
        <f t="shared" si="269"/>
        <v>1</v>
      </c>
      <c r="BV177" s="140">
        <f t="shared" si="269"/>
        <v>1</v>
      </c>
      <c r="BW177" s="140">
        <f t="shared" si="269"/>
        <v>1</v>
      </c>
      <c r="BX177" s="140">
        <f t="shared" si="269"/>
        <v>1</v>
      </c>
      <c r="BY177" s="140">
        <f t="shared" si="269"/>
        <v>1</v>
      </c>
      <c r="BZ177" s="140">
        <f t="shared" si="269"/>
        <v>1</v>
      </c>
      <c r="CA177" s="140">
        <f t="shared" si="269"/>
        <v>1</v>
      </c>
      <c r="CB177" s="140">
        <f>EXP(-CB176*CB175)</f>
        <v>1</v>
      </c>
      <c r="CC177" s="17"/>
      <c r="CD177" s="17"/>
      <c r="CE177" s="17"/>
    </row>
    <row r="178" spans="1:83">
      <c r="A178" s="17"/>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17"/>
      <c r="CD178" s="17"/>
      <c r="CE178" s="17"/>
    </row>
    <row r="179" spans="1:83">
      <c r="A179" s="16" t="s">
        <v>40</v>
      </c>
      <c r="B179" s="140">
        <f t="shared" ref="B179:BM179" si="270">DAYS360($B$3,B68)</f>
        <v>-43022</v>
      </c>
      <c r="C179" s="140">
        <f t="shared" si="270"/>
        <v>-42842</v>
      </c>
      <c r="D179" s="140">
        <f t="shared" si="270"/>
        <v>-42662</v>
      </c>
      <c r="E179" s="140">
        <f t="shared" si="270"/>
        <v>-42482</v>
      </c>
      <c r="F179" s="140">
        <f t="shared" si="270"/>
        <v>-42302</v>
      </c>
      <c r="G179" s="140">
        <f t="shared" si="270"/>
        <v>-42122</v>
      </c>
      <c r="H179" s="140">
        <f t="shared" si="270"/>
        <v>-41942</v>
      </c>
      <c r="I179" s="140">
        <f t="shared" si="270"/>
        <v>-41762</v>
      </c>
      <c r="J179" s="140">
        <f t="shared" si="270"/>
        <v>-41582</v>
      </c>
      <c r="K179" s="140">
        <f t="shared" si="270"/>
        <v>-41403</v>
      </c>
      <c r="L179" s="140">
        <f t="shared" si="270"/>
        <v>-41223</v>
      </c>
      <c r="M179" s="140">
        <f t="shared" si="270"/>
        <v>-41043</v>
      </c>
      <c r="N179" s="140">
        <f t="shared" si="270"/>
        <v>-40863</v>
      </c>
      <c r="O179" s="140">
        <f t="shared" si="270"/>
        <v>-40683</v>
      </c>
      <c r="P179" s="140">
        <f t="shared" si="270"/>
        <v>-40503</v>
      </c>
      <c r="Q179" s="140">
        <f t="shared" si="270"/>
        <v>-40323</v>
      </c>
      <c r="R179" s="140">
        <f t="shared" si="270"/>
        <v>-40143</v>
      </c>
      <c r="S179" s="140">
        <f t="shared" si="270"/>
        <v>-39964</v>
      </c>
      <c r="T179" s="140">
        <f t="shared" si="270"/>
        <v>-39784</v>
      </c>
      <c r="U179" s="140">
        <f t="shared" si="270"/>
        <v>-39604</v>
      </c>
      <c r="V179" s="140">
        <f t="shared" si="270"/>
        <v>-39424</v>
      </c>
      <c r="W179" s="140">
        <f t="shared" si="270"/>
        <v>-39244</v>
      </c>
      <c r="X179" s="140">
        <f t="shared" si="270"/>
        <v>-39064</v>
      </c>
      <c r="Y179" s="140">
        <f t="shared" si="270"/>
        <v>-38884</v>
      </c>
      <c r="Z179" s="140">
        <f t="shared" si="270"/>
        <v>-38704</v>
      </c>
      <c r="AA179" s="140">
        <f t="shared" si="270"/>
        <v>-38525</v>
      </c>
      <c r="AB179" s="140">
        <f t="shared" si="270"/>
        <v>-38345</v>
      </c>
      <c r="AC179" s="140">
        <f t="shared" si="270"/>
        <v>-38165</v>
      </c>
      <c r="AD179" s="140">
        <f t="shared" si="270"/>
        <v>-37985</v>
      </c>
      <c r="AE179" s="140">
        <f t="shared" si="270"/>
        <v>-37805</v>
      </c>
      <c r="AF179" s="140">
        <f t="shared" si="270"/>
        <v>-37625</v>
      </c>
      <c r="AG179" s="140">
        <f t="shared" si="270"/>
        <v>-37445</v>
      </c>
      <c r="AH179" s="140">
        <f t="shared" si="270"/>
        <v>-37265</v>
      </c>
      <c r="AI179" s="140">
        <f t="shared" si="270"/>
        <v>-37086</v>
      </c>
      <c r="AJ179" s="140">
        <f t="shared" si="270"/>
        <v>-36906</v>
      </c>
      <c r="AK179" s="140">
        <f t="shared" si="270"/>
        <v>-36726</v>
      </c>
      <c r="AL179" s="140">
        <f t="shared" si="270"/>
        <v>-36546</v>
      </c>
      <c r="AM179" s="140">
        <f t="shared" si="270"/>
        <v>-36366</v>
      </c>
      <c r="AN179" s="140">
        <f t="shared" si="270"/>
        <v>-36186</v>
      </c>
      <c r="AO179" s="140">
        <f t="shared" si="270"/>
        <v>-36006</v>
      </c>
      <c r="AP179" s="140">
        <f t="shared" si="270"/>
        <v>-35826</v>
      </c>
      <c r="AQ179" s="140">
        <f t="shared" si="270"/>
        <v>-35647</v>
      </c>
      <c r="AR179" s="140">
        <f t="shared" si="270"/>
        <v>-35467</v>
      </c>
      <c r="AS179" s="140">
        <f t="shared" si="270"/>
        <v>-35287</v>
      </c>
      <c r="AT179" s="140">
        <f t="shared" si="270"/>
        <v>-35107</v>
      </c>
      <c r="AU179" s="140">
        <f t="shared" si="270"/>
        <v>-34927</v>
      </c>
      <c r="AV179" s="140">
        <f t="shared" si="270"/>
        <v>-34747</v>
      </c>
      <c r="AW179" s="140">
        <f t="shared" si="270"/>
        <v>-34567</v>
      </c>
      <c r="AX179" s="140">
        <f t="shared" si="270"/>
        <v>-34387</v>
      </c>
      <c r="AY179" s="140">
        <f t="shared" si="270"/>
        <v>-34208</v>
      </c>
      <c r="AZ179" s="140">
        <f t="shared" si="270"/>
        <v>-34028</v>
      </c>
      <c r="BA179" s="140">
        <f t="shared" si="270"/>
        <v>-33848</v>
      </c>
      <c r="BB179" s="140">
        <f t="shared" si="270"/>
        <v>-33668</v>
      </c>
      <c r="BC179" s="140">
        <f t="shared" si="270"/>
        <v>-33488</v>
      </c>
      <c r="BD179" s="140">
        <f t="shared" si="270"/>
        <v>-33308</v>
      </c>
      <c r="BE179" s="140">
        <f t="shared" si="270"/>
        <v>-33128</v>
      </c>
      <c r="BF179" s="140">
        <f t="shared" si="270"/>
        <v>-32948</v>
      </c>
      <c r="BG179" s="140">
        <f t="shared" si="270"/>
        <v>-32769</v>
      </c>
      <c r="BH179" s="140">
        <f t="shared" si="270"/>
        <v>-32589</v>
      </c>
      <c r="BI179" s="140">
        <f t="shared" si="270"/>
        <v>-32409</v>
      </c>
      <c r="BJ179" s="140">
        <f t="shared" si="270"/>
        <v>-32229</v>
      </c>
      <c r="BK179" s="140">
        <f t="shared" si="270"/>
        <v>-32049</v>
      </c>
      <c r="BL179" s="140">
        <f t="shared" si="270"/>
        <v>-31869</v>
      </c>
      <c r="BM179" s="140">
        <f t="shared" si="270"/>
        <v>-31689</v>
      </c>
      <c r="BN179" s="140">
        <f t="shared" ref="BN179:CB179" si="271">DAYS360($B$3,BN68)</f>
        <v>-31509</v>
      </c>
      <c r="BO179" s="140">
        <f t="shared" si="271"/>
        <v>-31330</v>
      </c>
      <c r="BP179" s="140">
        <f t="shared" si="271"/>
        <v>-31150</v>
      </c>
      <c r="BQ179" s="140">
        <f t="shared" si="271"/>
        <v>-30970</v>
      </c>
      <c r="BR179" s="140">
        <f t="shared" si="271"/>
        <v>-30790</v>
      </c>
      <c r="BS179" s="140">
        <f t="shared" si="271"/>
        <v>-30610</v>
      </c>
      <c r="BT179" s="140">
        <f t="shared" si="271"/>
        <v>-30430</v>
      </c>
      <c r="BU179" s="140">
        <f t="shared" si="271"/>
        <v>-30250</v>
      </c>
      <c r="BV179" s="140">
        <f t="shared" si="271"/>
        <v>-30070</v>
      </c>
      <c r="BW179" s="140">
        <f t="shared" si="271"/>
        <v>-29891</v>
      </c>
      <c r="BX179" s="140">
        <f t="shared" si="271"/>
        <v>-29711</v>
      </c>
      <c r="BY179" s="140">
        <f t="shared" si="271"/>
        <v>-29531</v>
      </c>
      <c r="BZ179" s="140">
        <f t="shared" si="271"/>
        <v>-29351</v>
      </c>
      <c r="CA179" s="140">
        <f t="shared" si="271"/>
        <v>-29171</v>
      </c>
      <c r="CB179" s="140">
        <f t="shared" si="271"/>
        <v>-28991</v>
      </c>
      <c r="CC179" s="17"/>
      <c r="CD179" s="17"/>
      <c r="CE179" s="17"/>
    </row>
    <row r="180" spans="1:83">
      <c r="A180" s="16" t="s">
        <v>41</v>
      </c>
      <c r="B180" s="140">
        <f>B179/360</f>
        <v>-119.50555555555556</v>
      </c>
      <c r="C180" s="140">
        <f t="shared" ref="C180:BN180" si="272">C179/360</f>
        <v>-119.00555555555556</v>
      </c>
      <c r="D180" s="140">
        <f t="shared" si="272"/>
        <v>-118.50555555555556</v>
      </c>
      <c r="E180" s="140">
        <f t="shared" si="272"/>
        <v>-118.00555555555556</v>
      </c>
      <c r="F180" s="140">
        <f t="shared" si="272"/>
        <v>-117.50555555555556</v>
      </c>
      <c r="G180" s="140">
        <f t="shared" si="272"/>
        <v>-117.00555555555556</v>
      </c>
      <c r="H180" s="140">
        <f t="shared" si="272"/>
        <v>-116.50555555555556</v>
      </c>
      <c r="I180" s="140">
        <f t="shared" si="272"/>
        <v>-116.00555555555556</v>
      </c>
      <c r="J180" s="140">
        <f t="shared" si="272"/>
        <v>-115.50555555555556</v>
      </c>
      <c r="K180" s="140">
        <f t="shared" si="272"/>
        <v>-115.00833333333334</v>
      </c>
      <c r="L180" s="140">
        <f t="shared" si="272"/>
        <v>-114.50833333333334</v>
      </c>
      <c r="M180" s="140">
        <f t="shared" si="272"/>
        <v>-114.00833333333334</v>
      </c>
      <c r="N180" s="140">
        <f t="shared" si="272"/>
        <v>-113.50833333333334</v>
      </c>
      <c r="O180" s="140">
        <f t="shared" si="272"/>
        <v>-113.00833333333334</v>
      </c>
      <c r="P180" s="140">
        <f t="shared" si="272"/>
        <v>-112.50833333333334</v>
      </c>
      <c r="Q180" s="140">
        <f t="shared" si="272"/>
        <v>-112.00833333333334</v>
      </c>
      <c r="R180" s="140">
        <f t="shared" si="272"/>
        <v>-111.50833333333334</v>
      </c>
      <c r="S180" s="140">
        <f t="shared" si="272"/>
        <v>-111.01111111111111</v>
      </c>
      <c r="T180" s="140">
        <f t="shared" si="272"/>
        <v>-110.51111111111111</v>
      </c>
      <c r="U180" s="140">
        <f t="shared" si="272"/>
        <v>-110.01111111111111</v>
      </c>
      <c r="V180" s="140">
        <f t="shared" si="272"/>
        <v>-109.51111111111111</v>
      </c>
      <c r="W180" s="140">
        <f t="shared" si="272"/>
        <v>-109.01111111111111</v>
      </c>
      <c r="X180" s="140">
        <f t="shared" si="272"/>
        <v>-108.51111111111111</v>
      </c>
      <c r="Y180" s="140">
        <f t="shared" si="272"/>
        <v>-108.01111111111111</v>
      </c>
      <c r="Z180" s="140">
        <f t="shared" si="272"/>
        <v>-107.51111111111111</v>
      </c>
      <c r="AA180" s="140">
        <f t="shared" si="272"/>
        <v>-107.01388888888889</v>
      </c>
      <c r="AB180" s="140">
        <f t="shared" si="272"/>
        <v>-106.51388888888889</v>
      </c>
      <c r="AC180" s="140">
        <f t="shared" si="272"/>
        <v>-106.01388888888889</v>
      </c>
      <c r="AD180" s="140">
        <f t="shared" si="272"/>
        <v>-105.51388888888889</v>
      </c>
      <c r="AE180" s="140">
        <f t="shared" si="272"/>
        <v>-105.01388888888889</v>
      </c>
      <c r="AF180" s="140">
        <f t="shared" si="272"/>
        <v>-104.51388888888889</v>
      </c>
      <c r="AG180" s="140">
        <f t="shared" si="272"/>
        <v>-104.01388888888889</v>
      </c>
      <c r="AH180" s="140">
        <f t="shared" si="272"/>
        <v>-103.51388888888889</v>
      </c>
      <c r="AI180" s="140">
        <f t="shared" si="272"/>
        <v>-103.01666666666667</v>
      </c>
      <c r="AJ180" s="140">
        <f t="shared" si="272"/>
        <v>-102.51666666666667</v>
      </c>
      <c r="AK180" s="140">
        <f t="shared" si="272"/>
        <v>-102.01666666666667</v>
      </c>
      <c r="AL180" s="140">
        <f t="shared" si="272"/>
        <v>-101.51666666666667</v>
      </c>
      <c r="AM180" s="140">
        <f t="shared" si="272"/>
        <v>-101.01666666666667</v>
      </c>
      <c r="AN180" s="140">
        <f t="shared" si="272"/>
        <v>-100.51666666666667</v>
      </c>
      <c r="AO180" s="140">
        <f t="shared" si="272"/>
        <v>-100.01666666666667</v>
      </c>
      <c r="AP180" s="140">
        <f t="shared" si="272"/>
        <v>-99.516666666666666</v>
      </c>
      <c r="AQ180" s="140">
        <f t="shared" si="272"/>
        <v>-99.019444444444446</v>
      </c>
      <c r="AR180" s="140">
        <f t="shared" si="272"/>
        <v>-98.519444444444446</v>
      </c>
      <c r="AS180" s="140">
        <f t="shared" si="272"/>
        <v>-98.019444444444446</v>
      </c>
      <c r="AT180" s="140">
        <f t="shared" si="272"/>
        <v>-97.519444444444446</v>
      </c>
      <c r="AU180" s="140">
        <f t="shared" si="272"/>
        <v>-97.019444444444446</v>
      </c>
      <c r="AV180" s="140">
        <f t="shared" si="272"/>
        <v>-96.519444444444446</v>
      </c>
      <c r="AW180" s="140">
        <f t="shared" si="272"/>
        <v>-96.019444444444446</v>
      </c>
      <c r="AX180" s="140">
        <f t="shared" si="272"/>
        <v>-95.519444444444446</v>
      </c>
      <c r="AY180" s="140">
        <f t="shared" si="272"/>
        <v>-95.022222222222226</v>
      </c>
      <c r="AZ180" s="140">
        <f t="shared" si="272"/>
        <v>-94.522222222222226</v>
      </c>
      <c r="BA180" s="140">
        <f t="shared" si="272"/>
        <v>-94.022222222222226</v>
      </c>
      <c r="BB180" s="140">
        <f t="shared" si="272"/>
        <v>-93.522222222222226</v>
      </c>
      <c r="BC180" s="140">
        <f t="shared" si="272"/>
        <v>-93.022222222222226</v>
      </c>
      <c r="BD180" s="140">
        <f t="shared" si="272"/>
        <v>-92.522222222222226</v>
      </c>
      <c r="BE180" s="140">
        <f t="shared" si="272"/>
        <v>-92.022222222222226</v>
      </c>
      <c r="BF180" s="140">
        <f t="shared" si="272"/>
        <v>-91.522222222222226</v>
      </c>
      <c r="BG180" s="140">
        <f t="shared" si="272"/>
        <v>-91.025000000000006</v>
      </c>
      <c r="BH180" s="140">
        <f t="shared" si="272"/>
        <v>-90.525000000000006</v>
      </c>
      <c r="BI180" s="140">
        <f t="shared" si="272"/>
        <v>-90.025000000000006</v>
      </c>
      <c r="BJ180" s="140">
        <f t="shared" si="272"/>
        <v>-89.525000000000006</v>
      </c>
      <c r="BK180" s="140">
        <f t="shared" si="272"/>
        <v>-89.025000000000006</v>
      </c>
      <c r="BL180" s="140">
        <f t="shared" si="272"/>
        <v>-88.525000000000006</v>
      </c>
      <c r="BM180" s="140">
        <f t="shared" si="272"/>
        <v>-88.025000000000006</v>
      </c>
      <c r="BN180" s="140">
        <f t="shared" si="272"/>
        <v>-87.525000000000006</v>
      </c>
      <c r="BO180" s="140">
        <f t="shared" ref="BO180:CB180" si="273">BO179/360</f>
        <v>-87.027777777777771</v>
      </c>
      <c r="BP180" s="140">
        <f t="shared" si="273"/>
        <v>-86.527777777777771</v>
      </c>
      <c r="BQ180" s="140">
        <f t="shared" si="273"/>
        <v>-86.027777777777771</v>
      </c>
      <c r="BR180" s="140">
        <f t="shared" si="273"/>
        <v>-85.527777777777771</v>
      </c>
      <c r="BS180" s="140">
        <f t="shared" si="273"/>
        <v>-85.027777777777771</v>
      </c>
      <c r="BT180" s="140">
        <f t="shared" si="273"/>
        <v>-84.527777777777771</v>
      </c>
      <c r="BU180" s="140">
        <f t="shared" si="273"/>
        <v>-84.027777777777771</v>
      </c>
      <c r="BV180" s="140">
        <f t="shared" si="273"/>
        <v>-83.527777777777771</v>
      </c>
      <c r="BW180" s="140">
        <f t="shared" si="273"/>
        <v>-83.030555555555551</v>
      </c>
      <c r="BX180" s="140">
        <f t="shared" si="273"/>
        <v>-82.530555555555551</v>
      </c>
      <c r="BY180" s="140">
        <f t="shared" si="273"/>
        <v>-82.030555555555551</v>
      </c>
      <c r="BZ180" s="140">
        <f t="shared" si="273"/>
        <v>-81.530555555555551</v>
      </c>
      <c r="CA180" s="140">
        <f t="shared" si="273"/>
        <v>-81.030555555555551</v>
      </c>
      <c r="CB180" s="140">
        <f t="shared" si="273"/>
        <v>-80.530555555555551</v>
      </c>
      <c r="CC180" s="17"/>
      <c r="CD180" s="17"/>
      <c r="CE180" s="17"/>
    </row>
    <row r="181" spans="1:83">
      <c r="A181" s="16" t="s">
        <v>43</v>
      </c>
      <c r="B181" s="140">
        <f>IF(B179&lt;0,0,$B$5+$B$6*((1-EXP(-B180/$B$9))/(B180/$B$9))+$B$7*((1-EXP(-B180/$B$9))/(B180/$B$9)-EXP(-B180/$B$9))+$B$8*((1-EXP(-B180/$B$10))/(B180/$B$10)-EXP(-B180/$B$10)))</f>
        <v>0</v>
      </c>
      <c r="C181" s="140">
        <f t="shared" ref="C181:BN181" si="274">IF(C179&lt;0,0,$B$5+$B$6*((1-EXP(-C180/$B$9))/(C180/$B$9))+$B$7*((1-EXP(-C180/$B$9))/(C180/$B$9)-EXP(-C180/$B$9))+$B$8*((1-EXP(-C180/$B$10))/(C180/$B$10)-EXP(-C180/$B$10)))</f>
        <v>0</v>
      </c>
      <c r="D181" s="140">
        <f t="shared" si="274"/>
        <v>0</v>
      </c>
      <c r="E181" s="140">
        <f t="shared" si="274"/>
        <v>0</v>
      </c>
      <c r="F181" s="140">
        <f t="shared" si="274"/>
        <v>0</v>
      </c>
      <c r="G181" s="140">
        <f t="shared" si="274"/>
        <v>0</v>
      </c>
      <c r="H181" s="140">
        <f t="shared" si="274"/>
        <v>0</v>
      </c>
      <c r="I181" s="140">
        <f t="shared" si="274"/>
        <v>0</v>
      </c>
      <c r="J181" s="140">
        <f t="shared" si="274"/>
        <v>0</v>
      </c>
      <c r="K181" s="140">
        <f t="shared" si="274"/>
        <v>0</v>
      </c>
      <c r="L181" s="140">
        <f t="shared" si="274"/>
        <v>0</v>
      </c>
      <c r="M181" s="140">
        <f t="shared" si="274"/>
        <v>0</v>
      </c>
      <c r="N181" s="140">
        <f t="shared" si="274"/>
        <v>0</v>
      </c>
      <c r="O181" s="140">
        <f t="shared" si="274"/>
        <v>0</v>
      </c>
      <c r="P181" s="140">
        <f t="shared" si="274"/>
        <v>0</v>
      </c>
      <c r="Q181" s="140">
        <f t="shared" si="274"/>
        <v>0</v>
      </c>
      <c r="R181" s="140">
        <f t="shared" si="274"/>
        <v>0</v>
      </c>
      <c r="S181" s="140">
        <f t="shared" si="274"/>
        <v>0</v>
      </c>
      <c r="T181" s="140">
        <f t="shared" si="274"/>
        <v>0</v>
      </c>
      <c r="U181" s="140">
        <f t="shared" si="274"/>
        <v>0</v>
      </c>
      <c r="V181" s="140">
        <f t="shared" si="274"/>
        <v>0</v>
      </c>
      <c r="W181" s="140">
        <f t="shared" si="274"/>
        <v>0</v>
      </c>
      <c r="X181" s="140">
        <f t="shared" si="274"/>
        <v>0</v>
      </c>
      <c r="Y181" s="140">
        <f t="shared" si="274"/>
        <v>0</v>
      </c>
      <c r="Z181" s="140">
        <f t="shared" si="274"/>
        <v>0</v>
      </c>
      <c r="AA181" s="140">
        <f t="shared" si="274"/>
        <v>0</v>
      </c>
      <c r="AB181" s="140">
        <f t="shared" si="274"/>
        <v>0</v>
      </c>
      <c r="AC181" s="140">
        <f t="shared" si="274"/>
        <v>0</v>
      </c>
      <c r="AD181" s="140">
        <f t="shared" si="274"/>
        <v>0</v>
      </c>
      <c r="AE181" s="140">
        <f t="shared" si="274"/>
        <v>0</v>
      </c>
      <c r="AF181" s="140">
        <f t="shared" si="274"/>
        <v>0</v>
      </c>
      <c r="AG181" s="140">
        <f t="shared" si="274"/>
        <v>0</v>
      </c>
      <c r="AH181" s="140">
        <f t="shared" si="274"/>
        <v>0</v>
      </c>
      <c r="AI181" s="140">
        <f t="shared" si="274"/>
        <v>0</v>
      </c>
      <c r="AJ181" s="140">
        <f t="shared" si="274"/>
        <v>0</v>
      </c>
      <c r="AK181" s="140">
        <f t="shared" si="274"/>
        <v>0</v>
      </c>
      <c r="AL181" s="140">
        <f t="shared" si="274"/>
        <v>0</v>
      </c>
      <c r="AM181" s="140">
        <f t="shared" si="274"/>
        <v>0</v>
      </c>
      <c r="AN181" s="140">
        <f t="shared" si="274"/>
        <v>0</v>
      </c>
      <c r="AO181" s="140">
        <f t="shared" si="274"/>
        <v>0</v>
      </c>
      <c r="AP181" s="140">
        <f t="shared" si="274"/>
        <v>0</v>
      </c>
      <c r="AQ181" s="140">
        <f t="shared" si="274"/>
        <v>0</v>
      </c>
      <c r="AR181" s="140">
        <f t="shared" si="274"/>
        <v>0</v>
      </c>
      <c r="AS181" s="140">
        <f t="shared" si="274"/>
        <v>0</v>
      </c>
      <c r="AT181" s="140">
        <f t="shared" si="274"/>
        <v>0</v>
      </c>
      <c r="AU181" s="140">
        <f t="shared" si="274"/>
        <v>0</v>
      </c>
      <c r="AV181" s="140">
        <f t="shared" si="274"/>
        <v>0</v>
      </c>
      <c r="AW181" s="140">
        <f t="shared" si="274"/>
        <v>0</v>
      </c>
      <c r="AX181" s="140">
        <f t="shared" si="274"/>
        <v>0</v>
      </c>
      <c r="AY181" s="140">
        <f t="shared" si="274"/>
        <v>0</v>
      </c>
      <c r="AZ181" s="140">
        <f t="shared" si="274"/>
        <v>0</v>
      </c>
      <c r="BA181" s="140">
        <f t="shared" si="274"/>
        <v>0</v>
      </c>
      <c r="BB181" s="140">
        <f t="shared" si="274"/>
        <v>0</v>
      </c>
      <c r="BC181" s="140">
        <f t="shared" si="274"/>
        <v>0</v>
      </c>
      <c r="BD181" s="140">
        <f t="shared" si="274"/>
        <v>0</v>
      </c>
      <c r="BE181" s="140">
        <f t="shared" si="274"/>
        <v>0</v>
      </c>
      <c r="BF181" s="140">
        <f t="shared" si="274"/>
        <v>0</v>
      </c>
      <c r="BG181" s="140">
        <f t="shared" si="274"/>
        <v>0</v>
      </c>
      <c r="BH181" s="140">
        <f t="shared" si="274"/>
        <v>0</v>
      </c>
      <c r="BI181" s="140">
        <f t="shared" si="274"/>
        <v>0</v>
      </c>
      <c r="BJ181" s="140">
        <f t="shared" si="274"/>
        <v>0</v>
      </c>
      <c r="BK181" s="140">
        <f t="shared" si="274"/>
        <v>0</v>
      </c>
      <c r="BL181" s="140">
        <f t="shared" si="274"/>
        <v>0</v>
      </c>
      <c r="BM181" s="140">
        <f t="shared" si="274"/>
        <v>0</v>
      </c>
      <c r="BN181" s="140">
        <f t="shared" si="274"/>
        <v>0</v>
      </c>
      <c r="BO181" s="140">
        <f t="shared" ref="BO181:CB181" si="275">IF(BO179&lt;0,0,$B$5+$B$6*((1-EXP(-BO180/$B$9))/(BO180/$B$9))+$B$7*((1-EXP(-BO180/$B$9))/(BO180/$B$9)-EXP(-BO180/$B$9))+$B$8*((1-EXP(-BO180/$B$10))/(BO180/$B$10)-EXP(-BO180/$B$10)))</f>
        <v>0</v>
      </c>
      <c r="BP181" s="140">
        <f t="shared" si="275"/>
        <v>0</v>
      </c>
      <c r="BQ181" s="140">
        <f t="shared" si="275"/>
        <v>0</v>
      </c>
      <c r="BR181" s="140">
        <f t="shared" si="275"/>
        <v>0</v>
      </c>
      <c r="BS181" s="140">
        <f t="shared" si="275"/>
        <v>0</v>
      </c>
      <c r="BT181" s="140">
        <f t="shared" si="275"/>
        <v>0</v>
      </c>
      <c r="BU181" s="140">
        <f t="shared" si="275"/>
        <v>0</v>
      </c>
      <c r="BV181" s="140">
        <f t="shared" si="275"/>
        <v>0</v>
      </c>
      <c r="BW181" s="140">
        <f t="shared" si="275"/>
        <v>0</v>
      </c>
      <c r="BX181" s="140">
        <f t="shared" si="275"/>
        <v>0</v>
      </c>
      <c r="BY181" s="140">
        <f t="shared" si="275"/>
        <v>0</v>
      </c>
      <c r="BZ181" s="140">
        <f t="shared" si="275"/>
        <v>0</v>
      </c>
      <c r="CA181" s="140">
        <f t="shared" si="275"/>
        <v>0</v>
      </c>
      <c r="CB181" s="140">
        <f t="shared" si="275"/>
        <v>0</v>
      </c>
      <c r="CC181" s="17"/>
      <c r="CD181" s="17"/>
      <c r="CE181" s="17"/>
    </row>
    <row r="182" spans="1:83">
      <c r="A182" s="16" t="s">
        <v>44</v>
      </c>
      <c r="B182" s="140">
        <f>EXP(-B181*B180)</f>
        <v>1</v>
      </c>
      <c r="C182" s="140">
        <f t="shared" ref="C182:AR182" si="276">EXP(-C181*C180)</f>
        <v>1</v>
      </c>
      <c r="D182" s="140">
        <f t="shared" si="276"/>
        <v>1</v>
      </c>
      <c r="E182" s="140">
        <f t="shared" si="276"/>
        <v>1</v>
      </c>
      <c r="F182" s="140">
        <f t="shared" si="276"/>
        <v>1</v>
      </c>
      <c r="G182" s="140">
        <f t="shared" si="276"/>
        <v>1</v>
      </c>
      <c r="H182" s="140">
        <f t="shared" si="276"/>
        <v>1</v>
      </c>
      <c r="I182" s="140">
        <f t="shared" si="276"/>
        <v>1</v>
      </c>
      <c r="J182" s="140">
        <f t="shared" si="276"/>
        <v>1</v>
      </c>
      <c r="K182" s="140">
        <f t="shared" si="276"/>
        <v>1</v>
      </c>
      <c r="L182" s="140">
        <f t="shared" si="276"/>
        <v>1</v>
      </c>
      <c r="M182" s="140">
        <f t="shared" si="276"/>
        <v>1</v>
      </c>
      <c r="N182" s="140">
        <f t="shared" si="276"/>
        <v>1</v>
      </c>
      <c r="O182" s="140">
        <f t="shared" si="276"/>
        <v>1</v>
      </c>
      <c r="P182" s="140">
        <f t="shared" si="276"/>
        <v>1</v>
      </c>
      <c r="Q182" s="140">
        <f t="shared" si="276"/>
        <v>1</v>
      </c>
      <c r="R182" s="140">
        <f t="shared" si="276"/>
        <v>1</v>
      </c>
      <c r="S182" s="140">
        <f t="shared" si="276"/>
        <v>1</v>
      </c>
      <c r="T182" s="140">
        <f t="shared" si="276"/>
        <v>1</v>
      </c>
      <c r="U182" s="140">
        <f t="shared" si="276"/>
        <v>1</v>
      </c>
      <c r="V182" s="140">
        <f t="shared" si="276"/>
        <v>1</v>
      </c>
      <c r="W182" s="140">
        <f t="shared" si="276"/>
        <v>1</v>
      </c>
      <c r="X182" s="140">
        <f t="shared" si="276"/>
        <v>1</v>
      </c>
      <c r="Y182" s="140">
        <f t="shared" si="276"/>
        <v>1</v>
      </c>
      <c r="Z182" s="140">
        <f t="shared" si="276"/>
        <v>1</v>
      </c>
      <c r="AA182" s="140">
        <f t="shared" si="276"/>
        <v>1</v>
      </c>
      <c r="AB182" s="140">
        <f t="shared" si="276"/>
        <v>1</v>
      </c>
      <c r="AC182" s="140">
        <f t="shared" si="276"/>
        <v>1</v>
      </c>
      <c r="AD182" s="140">
        <f t="shared" si="276"/>
        <v>1</v>
      </c>
      <c r="AE182" s="140">
        <f t="shared" si="276"/>
        <v>1</v>
      </c>
      <c r="AF182" s="140">
        <f t="shared" si="276"/>
        <v>1</v>
      </c>
      <c r="AG182" s="140">
        <f t="shared" si="276"/>
        <v>1</v>
      </c>
      <c r="AH182" s="140">
        <f t="shared" si="276"/>
        <v>1</v>
      </c>
      <c r="AI182" s="140">
        <f t="shared" si="276"/>
        <v>1</v>
      </c>
      <c r="AJ182" s="140">
        <f t="shared" si="276"/>
        <v>1</v>
      </c>
      <c r="AK182" s="140">
        <f t="shared" si="276"/>
        <v>1</v>
      </c>
      <c r="AL182" s="140">
        <f t="shared" si="276"/>
        <v>1</v>
      </c>
      <c r="AM182" s="140">
        <f t="shared" si="276"/>
        <v>1</v>
      </c>
      <c r="AN182" s="140">
        <f t="shared" si="276"/>
        <v>1</v>
      </c>
      <c r="AO182" s="140">
        <f t="shared" si="276"/>
        <v>1</v>
      </c>
      <c r="AP182" s="140">
        <f t="shared" si="276"/>
        <v>1</v>
      </c>
      <c r="AQ182" s="140">
        <f t="shared" si="276"/>
        <v>1</v>
      </c>
      <c r="AR182" s="140">
        <f t="shared" si="276"/>
        <v>1</v>
      </c>
      <c r="AS182" s="140">
        <f>EXP(-AS181*AS180)</f>
        <v>1</v>
      </c>
      <c r="AT182" s="140">
        <f t="shared" ref="AT182:CA182" si="277">EXP(-AT181*AT180)</f>
        <v>1</v>
      </c>
      <c r="AU182" s="140">
        <f t="shared" si="277"/>
        <v>1</v>
      </c>
      <c r="AV182" s="140">
        <f t="shared" si="277"/>
        <v>1</v>
      </c>
      <c r="AW182" s="140">
        <f t="shared" si="277"/>
        <v>1</v>
      </c>
      <c r="AX182" s="140">
        <f t="shared" si="277"/>
        <v>1</v>
      </c>
      <c r="AY182" s="140">
        <f t="shared" si="277"/>
        <v>1</v>
      </c>
      <c r="AZ182" s="140">
        <f t="shared" si="277"/>
        <v>1</v>
      </c>
      <c r="BA182" s="140">
        <f t="shared" si="277"/>
        <v>1</v>
      </c>
      <c r="BB182" s="140">
        <f t="shared" si="277"/>
        <v>1</v>
      </c>
      <c r="BC182" s="140">
        <f t="shared" si="277"/>
        <v>1</v>
      </c>
      <c r="BD182" s="140">
        <f t="shared" si="277"/>
        <v>1</v>
      </c>
      <c r="BE182" s="140">
        <f t="shared" si="277"/>
        <v>1</v>
      </c>
      <c r="BF182" s="140">
        <f t="shared" si="277"/>
        <v>1</v>
      </c>
      <c r="BG182" s="140">
        <f t="shared" si="277"/>
        <v>1</v>
      </c>
      <c r="BH182" s="140">
        <f t="shared" si="277"/>
        <v>1</v>
      </c>
      <c r="BI182" s="140">
        <f t="shared" si="277"/>
        <v>1</v>
      </c>
      <c r="BJ182" s="140">
        <f t="shared" si="277"/>
        <v>1</v>
      </c>
      <c r="BK182" s="140">
        <f t="shared" si="277"/>
        <v>1</v>
      </c>
      <c r="BL182" s="140">
        <f t="shared" si="277"/>
        <v>1</v>
      </c>
      <c r="BM182" s="140">
        <f t="shared" si="277"/>
        <v>1</v>
      </c>
      <c r="BN182" s="140">
        <f t="shared" si="277"/>
        <v>1</v>
      </c>
      <c r="BO182" s="140">
        <f t="shared" si="277"/>
        <v>1</v>
      </c>
      <c r="BP182" s="140">
        <f t="shared" si="277"/>
        <v>1</v>
      </c>
      <c r="BQ182" s="140">
        <f t="shared" si="277"/>
        <v>1</v>
      </c>
      <c r="BR182" s="140">
        <f t="shared" si="277"/>
        <v>1</v>
      </c>
      <c r="BS182" s="140">
        <f t="shared" si="277"/>
        <v>1</v>
      </c>
      <c r="BT182" s="140">
        <f t="shared" si="277"/>
        <v>1</v>
      </c>
      <c r="BU182" s="140">
        <f t="shared" si="277"/>
        <v>1</v>
      </c>
      <c r="BV182" s="140">
        <f t="shared" si="277"/>
        <v>1</v>
      </c>
      <c r="BW182" s="140">
        <f t="shared" si="277"/>
        <v>1</v>
      </c>
      <c r="BX182" s="140">
        <f t="shared" si="277"/>
        <v>1</v>
      </c>
      <c r="BY182" s="140">
        <f t="shared" si="277"/>
        <v>1</v>
      </c>
      <c r="BZ182" s="140">
        <f t="shared" si="277"/>
        <v>1</v>
      </c>
      <c r="CA182" s="140">
        <f t="shared" si="277"/>
        <v>1</v>
      </c>
      <c r="CB182" s="140">
        <f>EXP(-CB181*CB180)</f>
        <v>1</v>
      </c>
      <c r="CC182" s="17"/>
      <c r="CD182" s="17"/>
      <c r="CE182" s="17"/>
    </row>
    <row r="183" spans="1:83">
      <c r="A183" s="17"/>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17"/>
      <c r="CD183" s="17"/>
      <c r="CE183" s="17"/>
    </row>
    <row r="184" spans="1:83">
      <c r="A184" s="16" t="s">
        <v>40</v>
      </c>
      <c r="B184" s="140">
        <f t="shared" ref="B184:BM184" si="278">DAYS360($B$3,B70)</f>
        <v>-43022</v>
      </c>
      <c r="C184" s="140">
        <f t="shared" si="278"/>
        <v>-42842</v>
      </c>
      <c r="D184" s="140">
        <f t="shared" si="278"/>
        <v>-42662</v>
      </c>
      <c r="E184" s="140">
        <f t="shared" si="278"/>
        <v>-42482</v>
      </c>
      <c r="F184" s="140">
        <f t="shared" si="278"/>
        <v>-42302</v>
      </c>
      <c r="G184" s="140">
        <f t="shared" si="278"/>
        <v>-42122</v>
      </c>
      <c r="H184" s="140">
        <f t="shared" si="278"/>
        <v>-41942</v>
      </c>
      <c r="I184" s="140">
        <f t="shared" si="278"/>
        <v>-41762</v>
      </c>
      <c r="J184" s="140">
        <f t="shared" si="278"/>
        <v>-41582</v>
      </c>
      <c r="K184" s="140">
        <f t="shared" si="278"/>
        <v>-41403</v>
      </c>
      <c r="L184" s="140">
        <f t="shared" si="278"/>
        <v>-41223</v>
      </c>
      <c r="M184" s="140">
        <f t="shared" si="278"/>
        <v>-41043</v>
      </c>
      <c r="N184" s="140">
        <f t="shared" si="278"/>
        <v>-40863</v>
      </c>
      <c r="O184" s="140">
        <f t="shared" si="278"/>
        <v>-40683</v>
      </c>
      <c r="P184" s="140">
        <f t="shared" si="278"/>
        <v>-40503</v>
      </c>
      <c r="Q184" s="140">
        <f t="shared" si="278"/>
        <v>-40323</v>
      </c>
      <c r="R184" s="140">
        <f t="shared" si="278"/>
        <v>-40143</v>
      </c>
      <c r="S184" s="140">
        <f t="shared" si="278"/>
        <v>-39964</v>
      </c>
      <c r="T184" s="140">
        <f t="shared" si="278"/>
        <v>-39784</v>
      </c>
      <c r="U184" s="140">
        <f t="shared" si="278"/>
        <v>-39604</v>
      </c>
      <c r="V184" s="140">
        <f t="shared" si="278"/>
        <v>-39424</v>
      </c>
      <c r="W184" s="140">
        <f t="shared" si="278"/>
        <v>-39244</v>
      </c>
      <c r="X184" s="140">
        <f t="shared" si="278"/>
        <v>-39064</v>
      </c>
      <c r="Y184" s="140">
        <f t="shared" si="278"/>
        <v>-38884</v>
      </c>
      <c r="Z184" s="140">
        <f t="shared" si="278"/>
        <v>-38704</v>
      </c>
      <c r="AA184" s="140">
        <f t="shared" si="278"/>
        <v>-38525</v>
      </c>
      <c r="AB184" s="140">
        <f t="shared" si="278"/>
        <v>-38345</v>
      </c>
      <c r="AC184" s="140">
        <f t="shared" si="278"/>
        <v>-38165</v>
      </c>
      <c r="AD184" s="140">
        <f t="shared" si="278"/>
        <v>-37985</v>
      </c>
      <c r="AE184" s="140">
        <f t="shared" si="278"/>
        <v>-37805</v>
      </c>
      <c r="AF184" s="140">
        <f t="shared" si="278"/>
        <v>-37625</v>
      </c>
      <c r="AG184" s="140">
        <f t="shared" si="278"/>
        <v>-37445</v>
      </c>
      <c r="AH184" s="140">
        <f t="shared" si="278"/>
        <v>-37265</v>
      </c>
      <c r="AI184" s="140">
        <f t="shared" si="278"/>
        <v>-37086</v>
      </c>
      <c r="AJ184" s="140">
        <f t="shared" si="278"/>
        <v>-36906</v>
      </c>
      <c r="AK184" s="140">
        <f t="shared" si="278"/>
        <v>-36726</v>
      </c>
      <c r="AL184" s="140">
        <f t="shared" si="278"/>
        <v>-36546</v>
      </c>
      <c r="AM184" s="140">
        <f t="shared" si="278"/>
        <v>-36366</v>
      </c>
      <c r="AN184" s="140">
        <f t="shared" si="278"/>
        <v>-36186</v>
      </c>
      <c r="AO184" s="140">
        <f t="shared" si="278"/>
        <v>-36006</v>
      </c>
      <c r="AP184" s="140">
        <f t="shared" si="278"/>
        <v>-35826</v>
      </c>
      <c r="AQ184" s="140">
        <f t="shared" si="278"/>
        <v>-35647</v>
      </c>
      <c r="AR184" s="140">
        <f t="shared" si="278"/>
        <v>-35467</v>
      </c>
      <c r="AS184" s="140">
        <f t="shared" si="278"/>
        <v>-35287</v>
      </c>
      <c r="AT184" s="140">
        <f t="shared" si="278"/>
        <v>-35107</v>
      </c>
      <c r="AU184" s="140">
        <f t="shared" si="278"/>
        <v>-34927</v>
      </c>
      <c r="AV184" s="140">
        <f t="shared" si="278"/>
        <v>-34747</v>
      </c>
      <c r="AW184" s="140">
        <f t="shared" si="278"/>
        <v>-34567</v>
      </c>
      <c r="AX184" s="140">
        <f t="shared" si="278"/>
        <v>-34387</v>
      </c>
      <c r="AY184" s="140">
        <f t="shared" si="278"/>
        <v>-34208</v>
      </c>
      <c r="AZ184" s="140">
        <f t="shared" si="278"/>
        <v>-34028</v>
      </c>
      <c r="BA184" s="140">
        <f t="shared" si="278"/>
        <v>-33848</v>
      </c>
      <c r="BB184" s="140">
        <f t="shared" si="278"/>
        <v>-33668</v>
      </c>
      <c r="BC184" s="140">
        <f t="shared" si="278"/>
        <v>-33488</v>
      </c>
      <c r="BD184" s="140">
        <f t="shared" si="278"/>
        <v>-33308</v>
      </c>
      <c r="BE184" s="140">
        <f t="shared" si="278"/>
        <v>-33128</v>
      </c>
      <c r="BF184" s="140">
        <f t="shared" si="278"/>
        <v>-32948</v>
      </c>
      <c r="BG184" s="140">
        <f t="shared" si="278"/>
        <v>-32769</v>
      </c>
      <c r="BH184" s="140">
        <f t="shared" si="278"/>
        <v>-32589</v>
      </c>
      <c r="BI184" s="140">
        <f t="shared" si="278"/>
        <v>-32409</v>
      </c>
      <c r="BJ184" s="140">
        <f t="shared" si="278"/>
        <v>-32229</v>
      </c>
      <c r="BK184" s="140">
        <f t="shared" si="278"/>
        <v>-32049</v>
      </c>
      <c r="BL184" s="140">
        <f t="shared" si="278"/>
        <v>-31869</v>
      </c>
      <c r="BM184" s="140">
        <f t="shared" si="278"/>
        <v>-31689</v>
      </c>
      <c r="BN184" s="140">
        <f t="shared" ref="BN184:CB184" si="279">DAYS360($B$3,BN70)</f>
        <v>-31509</v>
      </c>
      <c r="BO184" s="140">
        <f t="shared" si="279"/>
        <v>-31330</v>
      </c>
      <c r="BP184" s="140">
        <f t="shared" si="279"/>
        <v>-31150</v>
      </c>
      <c r="BQ184" s="140">
        <f t="shared" si="279"/>
        <v>-30970</v>
      </c>
      <c r="BR184" s="140">
        <f t="shared" si="279"/>
        <v>-30790</v>
      </c>
      <c r="BS184" s="140">
        <f t="shared" si="279"/>
        <v>-30610</v>
      </c>
      <c r="BT184" s="140">
        <f t="shared" si="279"/>
        <v>-30430</v>
      </c>
      <c r="BU184" s="140">
        <f t="shared" si="279"/>
        <v>-30250</v>
      </c>
      <c r="BV184" s="140">
        <f t="shared" si="279"/>
        <v>-30070</v>
      </c>
      <c r="BW184" s="140">
        <f t="shared" si="279"/>
        <v>-29891</v>
      </c>
      <c r="BX184" s="140">
        <f t="shared" si="279"/>
        <v>-29711</v>
      </c>
      <c r="BY184" s="140">
        <f t="shared" si="279"/>
        <v>-29531</v>
      </c>
      <c r="BZ184" s="140">
        <f t="shared" si="279"/>
        <v>-29351</v>
      </c>
      <c r="CA184" s="140">
        <f t="shared" si="279"/>
        <v>-29171</v>
      </c>
      <c r="CB184" s="140">
        <f t="shared" si="279"/>
        <v>-28991</v>
      </c>
      <c r="CC184" s="17"/>
      <c r="CD184" s="17"/>
      <c r="CE184" s="17"/>
    </row>
    <row r="185" spans="1:83">
      <c r="A185" s="16" t="s">
        <v>41</v>
      </c>
      <c r="B185" s="140">
        <f>B184/360</f>
        <v>-119.50555555555556</v>
      </c>
      <c r="C185" s="140">
        <f t="shared" ref="C185:BN185" si="280">C184/360</f>
        <v>-119.00555555555556</v>
      </c>
      <c r="D185" s="140">
        <f t="shared" si="280"/>
        <v>-118.50555555555556</v>
      </c>
      <c r="E185" s="140">
        <f t="shared" si="280"/>
        <v>-118.00555555555556</v>
      </c>
      <c r="F185" s="140">
        <f t="shared" si="280"/>
        <v>-117.50555555555556</v>
      </c>
      <c r="G185" s="140">
        <f t="shared" si="280"/>
        <v>-117.00555555555556</v>
      </c>
      <c r="H185" s="140">
        <f t="shared" si="280"/>
        <v>-116.50555555555556</v>
      </c>
      <c r="I185" s="140">
        <f t="shared" si="280"/>
        <v>-116.00555555555556</v>
      </c>
      <c r="J185" s="140">
        <f t="shared" si="280"/>
        <v>-115.50555555555556</v>
      </c>
      <c r="K185" s="140">
        <f t="shared" si="280"/>
        <v>-115.00833333333334</v>
      </c>
      <c r="L185" s="140">
        <f t="shared" si="280"/>
        <v>-114.50833333333334</v>
      </c>
      <c r="M185" s="140">
        <f t="shared" si="280"/>
        <v>-114.00833333333334</v>
      </c>
      <c r="N185" s="140">
        <f t="shared" si="280"/>
        <v>-113.50833333333334</v>
      </c>
      <c r="O185" s="140">
        <f t="shared" si="280"/>
        <v>-113.00833333333334</v>
      </c>
      <c r="P185" s="140">
        <f t="shared" si="280"/>
        <v>-112.50833333333334</v>
      </c>
      <c r="Q185" s="140">
        <f t="shared" si="280"/>
        <v>-112.00833333333334</v>
      </c>
      <c r="R185" s="140">
        <f t="shared" si="280"/>
        <v>-111.50833333333334</v>
      </c>
      <c r="S185" s="140">
        <f t="shared" si="280"/>
        <v>-111.01111111111111</v>
      </c>
      <c r="T185" s="140">
        <f t="shared" si="280"/>
        <v>-110.51111111111111</v>
      </c>
      <c r="U185" s="140">
        <f t="shared" si="280"/>
        <v>-110.01111111111111</v>
      </c>
      <c r="V185" s="140">
        <f t="shared" si="280"/>
        <v>-109.51111111111111</v>
      </c>
      <c r="W185" s="140">
        <f t="shared" si="280"/>
        <v>-109.01111111111111</v>
      </c>
      <c r="X185" s="140">
        <f t="shared" si="280"/>
        <v>-108.51111111111111</v>
      </c>
      <c r="Y185" s="140">
        <f t="shared" si="280"/>
        <v>-108.01111111111111</v>
      </c>
      <c r="Z185" s="140">
        <f t="shared" si="280"/>
        <v>-107.51111111111111</v>
      </c>
      <c r="AA185" s="140">
        <f t="shared" si="280"/>
        <v>-107.01388888888889</v>
      </c>
      <c r="AB185" s="140">
        <f t="shared" si="280"/>
        <v>-106.51388888888889</v>
      </c>
      <c r="AC185" s="140">
        <f t="shared" si="280"/>
        <v>-106.01388888888889</v>
      </c>
      <c r="AD185" s="140">
        <f t="shared" si="280"/>
        <v>-105.51388888888889</v>
      </c>
      <c r="AE185" s="140">
        <f t="shared" si="280"/>
        <v>-105.01388888888889</v>
      </c>
      <c r="AF185" s="140">
        <f t="shared" si="280"/>
        <v>-104.51388888888889</v>
      </c>
      <c r="AG185" s="140">
        <f t="shared" si="280"/>
        <v>-104.01388888888889</v>
      </c>
      <c r="AH185" s="140">
        <f t="shared" si="280"/>
        <v>-103.51388888888889</v>
      </c>
      <c r="AI185" s="140">
        <f t="shared" si="280"/>
        <v>-103.01666666666667</v>
      </c>
      <c r="AJ185" s="140">
        <f t="shared" si="280"/>
        <v>-102.51666666666667</v>
      </c>
      <c r="AK185" s="140">
        <f t="shared" si="280"/>
        <v>-102.01666666666667</v>
      </c>
      <c r="AL185" s="140">
        <f t="shared" si="280"/>
        <v>-101.51666666666667</v>
      </c>
      <c r="AM185" s="140">
        <f t="shared" si="280"/>
        <v>-101.01666666666667</v>
      </c>
      <c r="AN185" s="140">
        <f t="shared" si="280"/>
        <v>-100.51666666666667</v>
      </c>
      <c r="AO185" s="140">
        <f t="shared" si="280"/>
        <v>-100.01666666666667</v>
      </c>
      <c r="AP185" s="140">
        <f t="shared" si="280"/>
        <v>-99.516666666666666</v>
      </c>
      <c r="AQ185" s="140">
        <f t="shared" si="280"/>
        <v>-99.019444444444446</v>
      </c>
      <c r="AR185" s="140">
        <f t="shared" si="280"/>
        <v>-98.519444444444446</v>
      </c>
      <c r="AS185" s="140">
        <f t="shared" si="280"/>
        <v>-98.019444444444446</v>
      </c>
      <c r="AT185" s="140">
        <f t="shared" si="280"/>
        <v>-97.519444444444446</v>
      </c>
      <c r="AU185" s="140">
        <f t="shared" si="280"/>
        <v>-97.019444444444446</v>
      </c>
      <c r="AV185" s="140">
        <f t="shared" si="280"/>
        <v>-96.519444444444446</v>
      </c>
      <c r="AW185" s="140">
        <f t="shared" si="280"/>
        <v>-96.019444444444446</v>
      </c>
      <c r="AX185" s="140">
        <f t="shared" si="280"/>
        <v>-95.519444444444446</v>
      </c>
      <c r="AY185" s="140">
        <f t="shared" si="280"/>
        <v>-95.022222222222226</v>
      </c>
      <c r="AZ185" s="140">
        <f t="shared" si="280"/>
        <v>-94.522222222222226</v>
      </c>
      <c r="BA185" s="140">
        <f t="shared" si="280"/>
        <v>-94.022222222222226</v>
      </c>
      <c r="BB185" s="140">
        <f t="shared" si="280"/>
        <v>-93.522222222222226</v>
      </c>
      <c r="BC185" s="140">
        <f t="shared" si="280"/>
        <v>-93.022222222222226</v>
      </c>
      <c r="BD185" s="140">
        <f t="shared" si="280"/>
        <v>-92.522222222222226</v>
      </c>
      <c r="BE185" s="140">
        <f t="shared" si="280"/>
        <v>-92.022222222222226</v>
      </c>
      <c r="BF185" s="140">
        <f t="shared" si="280"/>
        <v>-91.522222222222226</v>
      </c>
      <c r="BG185" s="140">
        <f t="shared" si="280"/>
        <v>-91.025000000000006</v>
      </c>
      <c r="BH185" s="140">
        <f t="shared" si="280"/>
        <v>-90.525000000000006</v>
      </c>
      <c r="BI185" s="140">
        <f t="shared" si="280"/>
        <v>-90.025000000000006</v>
      </c>
      <c r="BJ185" s="140">
        <f t="shared" si="280"/>
        <v>-89.525000000000006</v>
      </c>
      <c r="BK185" s="140">
        <f t="shared" si="280"/>
        <v>-89.025000000000006</v>
      </c>
      <c r="BL185" s="140">
        <f t="shared" si="280"/>
        <v>-88.525000000000006</v>
      </c>
      <c r="BM185" s="140">
        <f t="shared" si="280"/>
        <v>-88.025000000000006</v>
      </c>
      <c r="BN185" s="140">
        <f t="shared" si="280"/>
        <v>-87.525000000000006</v>
      </c>
      <c r="BO185" s="140">
        <f t="shared" ref="BO185:CB185" si="281">BO184/360</f>
        <v>-87.027777777777771</v>
      </c>
      <c r="BP185" s="140">
        <f t="shared" si="281"/>
        <v>-86.527777777777771</v>
      </c>
      <c r="BQ185" s="140">
        <f t="shared" si="281"/>
        <v>-86.027777777777771</v>
      </c>
      <c r="BR185" s="140">
        <f t="shared" si="281"/>
        <v>-85.527777777777771</v>
      </c>
      <c r="BS185" s="140">
        <f t="shared" si="281"/>
        <v>-85.027777777777771</v>
      </c>
      <c r="BT185" s="140">
        <f t="shared" si="281"/>
        <v>-84.527777777777771</v>
      </c>
      <c r="BU185" s="140">
        <f t="shared" si="281"/>
        <v>-84.027777777777771</v>
      </c>
      <c r="BV185" s="140">
        <f t="shared" si="281"/>
        <v>-83.527777777777771</v>
      </c>
      <c r="BW185" s="140">
        <f t="shared" si="281"/>
        <v>-83.030555555555551</v>
      </c>
      <c r="BX185" s="140">
        <f t="shared" si="281"/>
        <v>-82.530555555555551</v>
      </c>
      <c r="BY185" s="140">
        <f t="shared" si="281"/>
        <v>-82.030555555555551</v>
      </c>
      <c r="BZ185" s="140">
        <f t="shared" si="281"/>
        <v>-81.530555555555551</v>
      </c>
      <c r="CA185" s="140">
        <f t="shared" si="281"/>
        <v>-81.030555555555551</v>
      </c>
      <c r="CB185" s="140">
        <f t="shared" si="281"/>
        <v>-80.530555555555551</v>
      </c>
      <c r="CC185" s="17"/>
      <c r="CD185" s="17"/>
      <c r="CE185" s="17"/>
    </row>
    <row r="186" spans="1:83">
      <c r="A186" s="16" t="s">
        <v>43</v>
      </c>
      <c r="B186" s="140">
        <f>IF(B184&lt;0,0,$B$5+$B$6*((1-EXP(-B185/$B$9))/(B185/$B$9))+$B$7*((1-EXP(-B185/$B$9))/(B185/$B$9)-EXP(-B185/$B$9))+$B$8*((1-EXP(-B185/$B$10))/(B185/$B$10)-EXP(-B185/$B$10)))</f>
        <v>0</v>
      </c>
      <c r="C186" s="140">
        <f t="shared" ref="C186:BN186" si="282">IF(C184&lt;0,0,$B$5+$B$6*((1-EXP(-C185/$B$9))/(C185/$B$9))+$B$7*((1-EXP(-C185/$B$9))/(C185/$B$9)-EXP(-C185/$B$9))+$B$8*((1-EXP(-C185/$B$10))/(C185/$B$10)-EXP(-C185/$B$10)))</f>
        <v>0</v>
      </c>
      <c r="D186" s="140">
        <f t="shared" si="282"/>
        <v>0</v>
      </c>
      <c r="E186" s="140">
        <f t="shared" si="282"/>
        <v>0</v>
      </c>
      <c r="F186" s="140">
        <f t="shared" si="282"/>
        <v>0</v>
      </c>
      <c r="G186" s="140">
        <f t="shared" si="282"/>
        <v>0</v>
      </c>
      <c r="H186" s="140">
        <f t="shared" si="282"/>
        <v>0</v>
      </c>
      <c r="I186" s="140">
        <f t="shared" si="282"/>
        <v>0</v>
      </c>
      <c r="J186" s="140">
        <f t="shared" si="282"/>
        <v>0</v>
      </c>
      <c r="K186" s="140">
        <f t="shared" si="282"/>
        <v>0</v>
      </c>
      <c r="L186" s="140">
        <f t="shared" si="282"/>
        <v>0</v>
      </c>
      <c r="M186" s="140">
        <f t="shared" si="282"/>
        <v>0</v>
      </c>
      <c r="N186" s="140">
        <f t="shared" si="282"/>
        <v>0</v>
      </c>
      <c r="O186" s="140">
        <f t="shared" si="282"/>
        <v>0</v>
      </c>
      <c r="P186" s="140">
        <f t="shared" si="282"/>
        <v>0</v>
      </c>
      <c r="Q186" s="140">
        <f t="shared" si="282"/>
        <v>0</v>
      </c>
      <c r="R186" s="140">
        <f t="shared" si="282"/>
        <v>0</v>
      </c>
      <c r="S186" s="140">
        <f t="shared" si="282"/>
        <v>0</v>
      </c>
      <c r="T186" s="140">
        <f t="shared" si="282"/>
        <v>0</v>
      </c>
      <c r="U186" s="140">
        <f t="shared" si="282"/>
        <v>0</v>
      </c>
      <c r="V186" s="140">
        <f t="shared" si="282"/>
        <v>0</v>
      </c>
      <c r="W186" s="140">
        <f t="shared" si="282"/>
        <v>0</v>
      </c>
      <c r="X186" s="140">
        <f t="shared" si="282"/>
        <v>0</v>
      </c>
      <c r="Y186" s="140">
        <f t="shared" si="282"/>
        <v>0</v>
      </c>
      <c r="Z186" s="140">
        <f t="shared" si="282"/>
        <v>0</v>
      </c>
      <c r="AA186" s="140">
        <f t="shared" si="282"/>
        <v>0</v>
      </c>
      <c r="AB186" s="140">
        <f t="shared" si="282"/>
        <v>0</v>
      </c>
      <c r="AC186" s="140">
        <f t="shared" si="282"/>
        <v>0</v>
      </c>
      <c r="AD186" s="140">
        <f t="shared" si="282"/>
        <v>0</v>
      </c>
      <c r="AE186" s="140">
        <f t="shared" si="282"/>
        <v>0</v>
      </c>
      <c r="AF186" s="140">
        <f t="shared" si="282"/>
        <v>0</v>
      </c>
      <c r="AG186" s="140">
        <f t="shared" si="282"/>
        <v>0</v>
      </c>
      <c r="AH186" s="140">
        <f t="shared" si="282"/>
        <v>0</v>
      </c>
      <c r="AI186" s="140">
        <f t="shared" si="282"/>
        <v>0</v>
      </c>
      <c r="AJ186" s="140">
        <f t="shared" si="282"/>
        <v>0</v>
      </c>
      <c r="AK186" s="140">
        <f t="shared" si="282"/>
        <v>0</v>
      </c>
      <c r="AL186" s="140">
        <f t="shared" si="282"/>
        <v>0</v>
      </c>
      <c r="AM186" s="140">
        <f t="shared" si="282"/>
        <v>0</v>
      </c>
      <c r="AN186" s="140">
        <f t="shared" si="282"/>
        <v>0</v>
      </c>
      <c r="AO186" s="140">
        <f t="shared" si="282"/>
        <v>0</v>
      </c>
      <c r="AP186" s="140">
        <f t="shared" si="282"/>
        <v>0</v>
      </c>
      <c r="AQ186" s="140">
        <f t="shared" si="282"/>
        <v>0</v>
      </c>
      <c r="AR186" s="140">
        <f t="shared" si="282"/>
        <v>0</v>
      </c>
      <c r="AS186" s="140">
        <f t="shared" si="282"/>
        <v>0</v>
      </c>
      <c r="AT186" s="140">
        <f t="shared" si="282"/>
        <v>0</v>
      </c>
      <c r="AU186" s="140">
        <f t="shared" si="282"/>
        <v>0</v>
      </c>
      <c r="AV186" s="140">
        <f t="shared" si="282"/>
        <v>0</v>
      </c>
      <c r="AW186" s="140">
        <f t="shared" si="282"/>
        <v>0</v>
      </c>
      <c r="AX186" s="140">
        <f t="shared" si="282"/>
        <v>0</v>
      </c>
      <c r="AY186" s="140">
        <f t="shared" si="282"/>
        <v>0</v>
      </c>
      <c r="AZ186" s="140">
        <f t="shared" si="282"/>
        <v>0</v>
      </c>
      <c r="BA186" s="140">
        <f t="shared" si="282"/>
        <v>0</v>
      </c>
      <c r="BB186" s="140">
        <f t="shared" si="282"/>
        <v>0</v>
      </c>
      <c r="BC186" s="140">
        <f t="shared" si="282"/>
        <v>0</v>
      </c>
      <c r="BD186" s="140">
        <f t="shared" si="282"/>
        <v>0</v>
      </c>
      <c r="BE186" s="140">
        <f t="shared" si="282"/>
        <v>0</v>
      </c>
      <c r="BF186" s="140">
        <f t="shared" si="282"/>
        <v>0</v>
      </c>
      <c r="BG186" s="140">
        <f t="shared" si="282"/>
        <v>0</v>
      </c>
      <c r="BH186" s="140">
        <f t="shared" si="282"/>
        <v>0</v>
      </c>
      <c r="BI186" s="140">
        <f t="shared" si="282"/>
        <v>0</v>
      </c>
      <c r="BJ186" s="140">
        <f t="shared" si="282"/>
        <v>0</v>
      </c>
      <c r="BK186" s="140">
        <f t="shared" si="282"/>
        <v>0</v>
      </c>
      <c r="BL186" s="140">
        <f t="shared" si="282"/>
        <v>0</v>
      </c>
      <c r="BM186" s="140">
        <f t="shared" si="282"/>
        <v>0</v>
      </c>
      <c r="BN186" s="140">
        <f t="shared" si="282"/>
        <v>0</v>
      </c>
      <c r="BO186" s="140">
        <f t="shared" ref="BO186:CB186" si="283">IF(BO184&lt;0,0,$B$5+$B$6*((1-EXP(-BO185/$B$9))/(BO185/$B$9))+$B$7*((1-EXP(-BO185/$B$9))/(BO185/$B$9)-EXP(-BO185/$B$9))+$B$8*((1-EXP(-BO185/$B$10))/(BO185/$B$10)-EXP(-BO185/$B$10)))</f>
        <v>0</v>
      </c>
      <c r="BP186" s="140">
        <f t="shared" si="283"/>
        <v>0</v>
      </c>
      <c r="BQ186" s="140">
        <f t="shared" si="283"/>
        <v>0</v>
      </c>
      <c r="BR186" s="140">
        <f t="shared" si="283"/>
        <v>0</v>
      </c>
      <c r="BS186" s="140">
        <f t="shared" si="283"/>
        <v>0</v>
      </c>
      <c r="BT186" s="140">
        <f t="shared" si="283"/>
        <v>0</v>
      </c>
      <c r="BU186" s="140">
        <f t="shared" si="283"/>
        <v>0</v>
      </c>
      <c r="BV186" s="140">
        <f t="shared" si="283"/>
        <v>0</v>
      </c>
      <c r="BW186" s="140">
        <f t="shared" si="283"/>
        <v>0</v>
      </c>
      <c r="BX186" s="140">
        <f t="shared" si="283"/>
        <v>0</v>
      </c>
      <c r="BY186" s="140">
        <f t="shared" si="283"/>
        <v>0</v>
      </c>
      <c r="BZ186" s="140">
        <f t="shared" si="283"/>
        <v>0</v>
      </c>
      <c r="CA186" s="140">
        <f t="shared" si="283"/>
        <v>0</v>
      </c>
      <c r="CB186" s="140">
        <f t="shared" si="283"/>
        <v>0</v>
      </c>
      <c r="CC186" s="17"/>
      <c r="CD186" s="17"/>
      <c r="CE186" s="17"/>
    </row>
    <row r="187" spans="1:83">
      <c r="A187" s="16" t="s">
        <v>44</v>
      </c>
      <c r="B187" s="140">
        <f>EXP(-B186*B185)</f>
        <v>1</v>
      </c>
      <c r="C187" s="140">
        <f t="shared" ref="C187:AR187" si="284">EXP(-C186*C185)</f>
        <v>1</v>
      </c>
      <c r="D187" s="140">
        <f t="shared" si="284"/>
        <v>1</v>
      </c>
      <c r="E187" s="140">
        <f t="shared" si="284"/>
        <v>1</v>
      </c>
      <c r="F187" s="140">
        <f t="shared" si="284"/>
        <v>1</v>
      </c>
      <c r="G187" s="140">
        <f t="shared" si="284"/>
        <v>1</v>
      </c>
      <c r="H187" s="140">
        <f t="shared" si="284"/>
        <v>1</v>
      </c>
      <c r="I187" s="140">
        <f t="shared" si="284"/>
        <v>1</v>
      </c>
      <c r="J187" s="140">
        <f t="shared" si="284"/>
        <v>1</v>
      </c>
      <c r="K187" s="140">
        <f t="shared" si="284"/>
        <v>1</v>
      </c>
      <c r="L187" s="140">
        <f t="shared" si="284"/>
        <v>1</v>
      </c>
      <c r="M187" s="140">
        <f t="shared" si="284"/>
        <v>1</v>
      </c>
      <c r="N187" s="140">
        <f t="shared" si="284"/>
        <v>1</v>
      </c>
      <c r="O187" s="140">
        <f t="shared" si="284"/>
        <v>1</v>
      </c>
      <c r="P187" s="140">
        <f t="shared" si="284"/>
        <v>1</v>
      </c>
      <c r="Q187" s="140">
        <f t="shared" si="284"/>
        <v>1</v>
      </c>
      <c r="R187" s="140">
        <f t="shared" si="284"/>
        <v>1</v>
      </c>
      <c r="S187" s="140">
        <f t="shared" si="284"/>
        <v>1</v>
      </c>
      <c r="T187" s="140">
        <f t="shared" si="284"/>
        <v>1</v>
      </c>
      <c r="U187" s="140">
        <f t="shared" si="284"/>
        <v>1</v>
      </c>
      <c r="V187" s="140">
        <f t="shared" si="284"/>
        <v>1</v>
      </c>
      <c r="W187" s="140">
        <f t="shared" si="284"/>
        <v>1</v>
      </c>
      <c r="X187" s="140">
        <f t="shared" si="284"/>
        <v>1</v>
      </c>
      <c r="Y187" s="140">
        <f t="shared" si="284"/>
        <v>1</v>
      </c>
      <c r="Z187" s="140">
        <f t="shared" si="284"/>
        <v>1</v>
      </c>
      <c r="AA187" s="140">
        <f t="shared" si="284"/>
        <v>1</v>
      </c>
      <c r="AB187" s="140">
        <f t="shared" si="284"/>
        <v>1</v>
      </c>
      <c r="AC187" s="140">
        <f t="shared" si="284"/>
        <v>1</v>
      </c>
      <c r="AD187" s="140">
        <f t="shared" si="284"/>
        <v>1</v>
      </c>
      <c r="AE187" s="140">
        <f t="shared" si="284"/>
        <v>1</v>
      </c>
      <c r="AF187" s="140">
        <f t="shared" si="284"/>
        <v>1</v>
      </c>
      <c r="AG187" s="140">
        <f t="shared" si="284"/>
        <v>1</v>
      </c>
      <c r="AH187" s="140">
        <f t="shared" si="284"/>
        <v>1</v>
      </c>
      <c r="AI187" s="140">
        <f t="shared" si="284"/>
        <v>1</v>
      </c>
      <c r="AJ187" s="140">
        <f t="shared" si="284"/>
        <v>1</v>
      </c>
      <c r="AK187" s="140">
        <f t="shared" si="284"/>
        <v>1</v>
      </c>
      <c r="AL187" s="140">
        <f t="shared" si="284"/>
        <v>1</v>
      </c>
      <c r="AM187" s="140">
        <f t="shared" si="284"/>
        <v>1</v>
      </c>
      <c r="AN187" s="140">
        <f t="shared" si="284"/>
        <v>1</v>
      </c>
      <c r="AO187" s="140">
        <f t="shared" si="284"/>
        <v>1</v>
      </c>
      <c r="AP187" s="140">
        <f t="shared" si="284"/>
        <v>1</v>
      </c>
      <c r="AQ187" s="140">
        <f t="shared" si="284"/>
        <v>1</v>
      </c>
      <c r="AR187" s="140">
        <f t="shared" si="284"/>
        <v>1</v>
      </c>
      <c r="AS187" s="140">
        <f>EXP(-AS186*AS185)</f>
        <v>1</v>
      </c>
      <c r="AT187" s="140">
        <f t="shared" ref="AT187:CA187" si="285">EXP(-AT186*AT185)</f>
        <v>1</v>
      </c>
      <c r="AU187" s="140">
        <f t="shared" si="285"/>
        <v>1</v>
      </c>
      <c r="AV187" s="140">
        <f t="shared" si="285"/>
        <v>1</v>
      </c>
      <c r="AW187" s="140">
        <f t="shared" si="285"/>
        <v>1</v>
      </c>
      <c r="AX187" s="140">
        <f t="shared" si="285"/>
        <v>1</v>
      </c>
      <c r="AY187" s="140">
        <f t="shared" si="285"/>
        <v>1</v>
      </c>
      <c r="AZ187" s="140">
        <f t="shared" si="285"/>
        <v>1</v>
      </c>
      <c r="BA187" s="140">
        <f t="shared" si="285"/>
        <v>1</v>
      </c>
      <c r="BB187" s="140">
        <f t="shared" si="285"/>
        <v>1</v>
      </c>
      <c r="BC187" s="140">
        <f t="shared" si="285"/>
        <v>1</v>
      </c>
      <c r="BD187" s="140">
        <f t="shared" si="285"/>
        <v>1</v>
      </c>
      <c r="BE187" s="140">
        <f t="shared" si="285"/>
        <v>1</v>
      </c>
      <c r="BF187" s="140">
        <f t="shared" si="285"/>
        <v>1</v>
      </c>
      <c r="BG187" s="140">
        <f t="shared" si="285"/>
        <v>1</v>
      </c>
      <c r="BH187" s="140">
        <f t="shared" si="285"/>
        <v>1</v>
      </c>
      <c r="BI187" s="140">
        <f t="shared" si="285"/>
        <v>1</v>
      </c>
      <c r="BJ187" s="140">
        <f t="shared" si="285"/>
        <v>1</v>
      </c>
      <c r="BK187" s="140">
        <f t="shared" si="285"/>
        <v>1</v>
      </c>
      <c r="BL187" s="140">
        <f t="shared" si="285"/>
        <v>1</v>
      </c>
      <c r="BM187" s="140">
        <f t="shared" si="285"/>
        <v>1</v>
      </c>
      <c r="BN187" s="140">
        <f t="shared" si="285"/>
        <v>1</v>
      </c>
      <c r="BO187" s="140">
        <f t="shared" si="285"/>
        <v>1</v>
      </c>
      <c r="BP187" s="140">
        <f t="shared" si="285"/>
        <v>1</v>
      </c>
      <c r="BQ187" s="140">
        <f t="shared" si="285"/>
        <v>1</v>
      </c>
      <c r="BR187" s="140">
        <f t="shared" si="285"/>
        <v>1</v>
      </c>
      <c r="BS187" s="140">
        <f t="shared" si="285"/>
        <v>1</v>
      </c>
      <c r="BT187" s="140">
        <f t="shared" si="285"/>
        <v>1</v>
      </c>
      <c r="BU187" s="140">
        <f t="shared" si="285"/>
        <v>1</v>
      </c>
      <c r="BV187" s="140">
        <f t="shared" si="285"/>
        <v>1</v>
      </c>
      <c r="BW187" s="140">
        <f t="shared" si="285"/>
        <v>1</v>
      </c>
      <c r="BX187" s="140">
        <f t="shared" si="285"/>
        <v>1</v>
      </c>
      <c r="BY187" s="140">
        <f t="shared" si="285"/>
        <v>1</v>
      </c>
      <c r="BZ187" s="140">
        <f t="shared" si="285"/>
        <v>1</v>
      </c>
      <c r="CA187" s="140">
        <f t="shared" si="285"/>
        <v>1</v>
      </c>
      <c r="CB187" s="140">
        <f>EXP(-CB186*CB185)</f>
        <v>1</v>
      </c>
      <c r="CC187" s="17"/>
      <c r="CD187" s="17"/>
      <c r="CE187" s="17"/>
    </row>
    <row r="188" spans="1:83">
      <c r="A188" s="17"/>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17"/>
      <c r="CD188" s="17"/>
      <c r="CE188" s="17"/>
    </row>
    <row r="189" spans="1:83">
      <c r="A189" s="16" t="s">
        <v>40</v>
      </c>
      <c r="B189" s="140">
        <f t="shared" ref="B189:BM189" si="286">DAYS360($B$3,B72)</f>
        <v>-43022</v>
      </c>
      <c r="C189" s="140">
        <f t="shared" si="286"/>
        <v>-42842</v>
      </c>
      <c r="D189" s="140">
        <f t="shared" si="286"/>
        <v>-42662</v>
      </c>
      <c r="E189" s="140">
        <f t="shared" si="286"/>
        <v>-42482</v>
      </c>
      <c r="F189" s="140">
        <f t="shared" si="286"/>
        <v>-42302</v>
      </c>
      <c r="G189" s="140">
        <f t="shared" si="286"/>
        <v>-42122</v>
      </c>
      <c r="H189" s="140">
        <f t="shared" si="286"/>
        <v>-41942</v>
      </c>
      <c r="I189" s="140">
        <f t="shared" si="286"/>
        <v>-41762</v>
      </c>
      <c r="J189" s="140">
        <f t="shared" si="286"/>
        <v>-41582</v>
      </c>
      <c r="K189" s="140">
        <f t="shared" si="286"/>
        <v>-41403</v>
      </c>
      <c r="L189" s="140">
        <f t="shared" si="286"/>
        <v>-41223</v>
      </c>
      <c r="M189" s="140">
        <f t="shared" si="286"/>
        <v>-41043</v>
      </c>
      <c r="N189" s="140">
        <f t="shared" si="286"/>
        <v>-40863</v>
      </c>
      <c r="O189" s="140">
        <f t="shared" si="286"/>
        <v>-40683</v>
      </c>
      <c r="P189" s="140">
        <f t="shared" si="286"/>
        <v>-40503</v>
      </c>
      <c r="Q189" s="140">
        <f t="shared" si="286"/>
        <v>-40323</v>
      </c>
      <c r="R189" s="140">
        <f t="shared" si="286"/>
        <v>-40143</v>
      </c>
      <c r="S189" s="140">
        <f t="shared" si="286"/>
        <v>-39964</v>
      </c>
      <c r="T189" s="140">
        <f t="shared" si="286"/>
        <v>-39784</v>
      </c>
      <c r="U189" s="140">
        <f t="shared" si="286"/>
        <v>-39604</v>
      </c>
      <c r="V189" s="140">
        <f t="shared" si="286"/>
        <v>-39424</v>
      </c>
      <c r="W189" s="140">
        <f t="shared" si="286"/>
        <v>-39244</v>
      </c>
      <c r="X189" s="140">
        <f t="shared" si="286"/>
        <v>-39064</v>
      </c>
      <c r="Y189" s="140">
        <f t="shared" si="286"/>
        <v>-38884</v>
      </c>
      <c r="Z189" s="140">
        <f t="shared" si="286"/>
        <v>-38704</v>
      </c>
      <c r="AA189" s="140">
        <f t="shared" si="286"/>
        <v>-38525</v>
      </c>
      <c r="AB189" s="140">
        <f t="shared" si="286"/>
        <v>-38345</v>
      </c>
      <c r="AC189" s="140">
        <f t="shared" si="286"/>
        <v>-38165</v>
      </c>
      <c r="AD189" s="140">
        <f t="shared" si="286"/>
        <v>-37985</v>
      </c>
      <c r="AE189" s="140">
        <f t="shared" si="286"/>
        <v>-37805</v>
      </c>
      <c r="AF189" s="140">
        <f t="shared" si="286"/>
        <v>-37625</v>
      </c>
      <c r="AG189" s="140">
        <f t="shared" si="286"/>
        <v>-37445</v>
      </c>
      <c r="AH189" s="140">
        <f t="shared" si="286"/>
        <v>-37265</v>
      </c>
      <c r="AI189" s="140">
        <f t="shared" si="286"/>
        <v>-37086</v>
      </c>
      <c r="AJ189" s="140">
        <f t="shared" si="286"/>
        <v>-36906</v>
      </c>
      <c r="AK189" s="140">
        <f t="shared" si="286"/>
        <v>-36726</v>
      </c>
      <c r="AL189" s="140">
        <f t="shared" si="286"/>
        <v>-36546</v>
      </c>
      <c r="AM189" s="140">
        <f t="shared" si="286"/>
        <v>-36366</v>
      </c>
      <c r="AN189" s="140">
        <f t="shared" si="286"/>
        <v>-36186</v>
      </c>
      <c r="AO189" s="140">
        <f t="shared" si="286"/>
        <v>-36006</v>
      </c>
      <c r="AP189" s="140">
        <f t="shared" si="286"/>
        <v>-35826</v>
      </c>
      <c r="AQ189" s="140">
        <f t="shared" si="286"/>
        <v>-35647</v>
      </c>
      <c r="AR189" s="140">
        <f t="shared" si="286"/>
        <v>-35467</v>
      </c>
      <c r="AS189" s="140">
        <f t="shared" si="286"/>
        <v>-35287</v>
      </c>
      <c r="AT189" s="140">
        <f t="shared" si="286"/>
        <v>-35107</v>
      </c>
      <c r="AU189" s="140">
        <f t="shared" si="286"/>
        <v>-34927</v>
      </c>
      <c r="AV189" s="140">
        <f t="shared" si="286"/>
        <v>-34747</v>
      </c>
      <c r="AW189" s="140">
        <f t="shared" si="286"/>
        <v>-34567</v>
      </c>
      <c r="AX189" s="140">
        <f t="shared" si="286"/>
        <v>-34387</v>
      </c>
      <c r="AY189" s="140">
        <f t="shared" si="286"/>
        <v>-34208</v>
      </c>
      <c r="AZ189" s="140">
        <f t="shared" si="286"/>
        <v>-34028</v>
      </c>
      <c r="BA189" s="140">
        <f t="shared" si="286"/>
        <v>-33848</v>
      </c>
      <c r="BB189" s="140">
        <f t="shared" si="286"/>
        <v>-33668</v>
      </c>
      <c r="BC189" s="140">
        <f t="shared" si="286"/>
        <v>-33488</v>
      </c>
      <c r="BD189" s="140">
        <f t="shared" si="286"/>
        <v>-33308</v>
      </c>
      <c r="BE189" s="140">
        <f t="shared" si="286"/>
        <v>-33128</v>
      </c>
      <c r="BF189" s="140">
        <f t="shared" si="286"/>
        <v>-32948</v>
      </c>
      <c r="BG189" s="140">
        <f t="shared" si="286"/>
        <v>-32769</v>
      </c>
      <c r="BH189" s="140">
        <f t="shared" si="286"/>
        <v>-32589</v>
      </c>
      <c r="BI189" s="140">
        <f t="shared" si="286"/>
        <v>-32409</v>
      </c>
      <c r="BJ189" s="140">
        <f t="shared" si="286"/>
        <v>-32229</v>
      </c>
      <c r="BK189" s="140">
        <f t="shared" si="286"/>
        <v>-32049</v>
      </c>
      <c r="BL189" s="140">
        <f t="shared" si="286"/>
        <v>-31869</v>
      </c>
      <c r="BM189" s="140">
        <f t="shared" si="286"/>
        <v>-31689</v>
      </c>
      <c r="BN189" s="140">
        <f t="shared" ref="BN189:CB189" si="287">DAYS360($B$3,BN72)</f>
        <v>-31509</v>
      </c>
      <c r="BO189" s="140">
        <f t="shared" si="287"/>
        <v>-31330</v>
      </c>
      <c r="BP189" s="140">
        <f t="shared" si="287"/>
        <v>-31150</v>
      </c>
      <c r="BQ189" s="140">
        <f t="shared" si="287"/>
        <v>-30970</v>
      </c>
      <c r="BR189" s="140">
        <f t="shared" si="287"/>
        <v>-30790</v>
      </c>
      <c r="BS189" s="140">
        <f t="shared" si="287"/>
        <v>-30610</v>
      </c>
      <c r="BT189" s="140">
        <f t="shared" si="287"/>
        <v>-30430</v>
      </c>
      <c r="BU189" s="140">
        <f t="shared" si="287"/>
        <v>-30250</v>
      </c>
      <c r="BV189" s="140">
        <f t="shared" si="287"/>
        <v>-30070</v>
      </c>
      <c r="BW189" s="140">
        <f t="shared" si="287"/>
        <v>-29891</v>
      </c>
      <c r="BX189" s="140">
        <f t="shared" si="287"/>
        <v>-29711</v>
      </c>
      <c r="BY189" s="140">
        <f t="shared" si="287"/>
        <v>-29531</v>
      </c>
      <c r="BZ189" s="140">
        <f t="shared" si="287"/>
        <v>-29351</v>
      </c>
      <c r="CA189" s="140">
        <f t="shared" si="287"/>
        <v>-29171</v>
      </c>
      <c r="CB189" s="140">
        <f t="shared" si="287"/>
        <v>-28991</v>
      </c>
      <c r="CC189" s="17"/>
      <c r="CD189" s="17"/>
      <c r="CE189" s="17"/>
    </row>
    <row r="190" spans="1:83">
      <c r="A190" s="16" t="s">
        <v>41</v>
      </c>
      <c r="B190" s="140">
        <f>B189/360</f>
        <v>-119.50555555555556</v>
      </c>
      <c r="C190" s="140">
        <f t="shared" ref="C190:BN190" si="288">C189/360</f>
        <v>-119.00555555555556</v>
      </c>
      <c r="D190" s="140">
        <f t="shared" si="288"/>
        <v>-118.50555555555556</v>
      </c>
      <c r="E190" s="140">
        <f t="shared" si="288"/>
        <v>-118.00555555555556</v>
      </c>
      <c r="F190" s="140">
        <f t="shared" si="288"/>
        <v>-117.50555555555556</v>
      </c>
      <c r="G190" s="140">
        <f t="shared" si="288"/>
        <v>-117.00555555555556</v>
      </c>
      <c r="H190" s="140">
        <f t="shared" si="288"/>
        <v>-116.50555555555556</v>
      </c>
      <c r="I190" s="140">
        <f t="shared" si="288"/>
        <v>-116.00555555555556</v>
      </c>
      <c r="J190" s="140">
        <f t="shared" si="288"/>
        <v>-115.50555555555556</v>
      </c>
      <c r="K190" s="140">
        <f t="shared" si="288"/>
        <v>-115.00833333333334</v>
      </c>
      <c r="L190" s="140">
        <f t="shared" si="288"/>
        <v>-114.50833333333334</v>
      </c>
      <c r="M190" s="140">
        <f t="shared" si="288"/>
        <v>-114.00833333333334</v>
      </c>
      <c r="N190" s="140">
        <f t="shared" si="288"/>
        <v>-113.50833333333334</v>
      </c>
      <c r="O190" s="140">
        <f t="shared" si="288"/>
        <v>-113.00833333333334</v>
      </c>
      <c r="P190" s="140">
        <f t="shared" si="288"/>
        <v>-112.50833333333334</v>
      </c>
      <c r="Q190" s="140">
        <f t="shared" si="288"/>
        <v>-112.00833333333334</v>
      </c>
      <c r="R190" s="140">
        <f t="shared" si="288"/>
        <v>-111.50833333333334</v>
      </c>
      <c r="S190" s="140">
        <f t="shared" si="288"/>
        <v>-111.01111111111111</v>
      </c>
      <c r="T190" s="140">
        <f t="shared" si="288"/>
        <v>-110.51111111111111</v>
      </c>
      <c r="U190" s="140">
        <f t="shared" si="288"/>
        <v>-110.01111111111111</v>
      </c>
      <c r="V190" s="140">
        <f t="shared" si="288"/>
        <v>-109.51111111111111</v>
      </c>
      <c r="W190" s="140">
        <f t="shared" si="288"/>
        <v>-109.01111111111111</v>
      </c>
      <c r="X190" s="140">
        <f t="shared" si="288"/>
        <v>-108.51111111111111</v>
      </c>
      <c r="Y190" s="140">
        <f t="shared" si="288"/>
        <v>-108.01111111111111</v>
      </c>
      <c r="Z190" s="140">
        <f t="shared" si="288"/>
        <v>-107.51111111111111</v>
      </c>
      <c r="AA190" s="140">
        <f t="shared" si="288"/>
        <v>-107.01388888888889</v>
      </c>
      <c r="AB190" s="140">
        <f t="shared" si="288"/>
        <v>-106.51388888888889</v>
      </c>
      <c r="AC190" s="140">
        <f t="shared" si="288"/>
        <v>-106.01388888888889</v>
      </c>
      <c r="AD190" s="140">
        <f t="shared" si="288"/>
        <v>-105.51388888888889</v>
      </c>
      <c r="AE190" s="140">
        <f t="shared" si="288"/>
        <v>-105.01388888888889</v>
      </c>
      <c r="AF190" s="140">
        <f t="shared" si="288"/>
        <v>-104.51388888888889</v>
      </c>
      <c r="AG190" s="140">
        <f t="shared" si="288"/>
        <v>-104.01388888888889</v>
      </c>
      <c r="AH190" s="140">
        <f t="shared" si="288"/>
        <v>-103.51388888888889</v>
      </c>
      <c r="AI190" s="140">
        <f t="shared" si="288"/>
        <v>-103.01666666666667</v>
      </c>
      <c r="AJ190" s="140">
        <f t="shared" si="288"/>
        <v>-102.51666666666667</v>
      </c>
      <c r="AK190" s="140">
        <f t="shared" si="288"/>
        <v>-102.01666666666667</v>
      </c>
      <c r="AL190" s="140">
        <f t="shared" si="288"/>
        <v>-101.51666666666667</v>
      </c>
      <c r="AM190" s="140">
        <f t="shared" si="288"/>
        <v>-101.01666666666667</v>
      </c>
      <c r="AN190" s="140">
        <f t="shared" si="288"/>
        <v>-100.51666666666667</v>
      </c>
      <c r="AO190" s="140">
        <f t="shared" si="288"/>
        <v>-100.01666666666667</v>
      </c>
      <c r="AP190" s="140">
        <f t="shared" si="288"/>
        <v>-99.516666666666666</v>
      </c>
      <c r="AQ190" s="140">
        <f t="shared" si="288"/>
        <v>-99.019444444444446</v>
      </c>
      <c r="AR190" s="140">
        <f t="shared" si="288"/>
        <v>-98.519444444444446</v>
      </c>
      <c r="AS190" s="140">
        <f t="shared" si="288"/>
        <v>-98.019444444444446</v>
      </c>
      <c r="AT190" s="140">
        <f t="shared" si="288"/>
        <v>-97.519444444444446</v>
      </c>
      <c r="AU190" s="140">
        <f t="shared" si="288"/>
        <v>-97.019444444444446</v>
      </c>
      <c r="AV190" s="140">
        <f t="shared" si="288"/>
        <v>-96.519444444444446</v>
      </c>
      <c r="AW190" s="140">
        <f t="shared" si="288"/>
        <v>-96.019444444444446</v>
      </c>
      <c r="AX190" s="140">
        <f t="shared" si="288"/>
        <v>-95.519444444444446</v>
      </c>
      <c r="AY190" s="140">
        <f t="shared" si="288"/>
        <v>-95.022222222222226</v>
      </c>
      <c r="AZ190" s="140">
        <f t="shared" si="288"/>
        <v>-94.522222222222226</v>
      </c>
      <c r="BA190" s="140">
        <f t="shared" si="288"/>
        <v>-94.022222222222226</v>
      </c>
      <c r="BB190" s="140">
        <f t="shared" si="288"/>
        <v>-93.522222222222226</v>
      </c>
      <c r="BC190" s="140">
        <f t="shared" si="288"/>
        <v>-93.022222222222226</v>
      </c>
      <c r="BD190" s="140">
        <f t="shared" si="288"/>
        <v>-92.522222222222226</v>
      </c>
      <c r="BE190" s="140">
        <f t="shared" si="288"/>
        <v>-92.022222222222226</v>
      </c>
      <c r="BF190" s="140">
        <f t="shared" si="288"/>
        <v>-91.522222222222226</v>
      </c>
      <c r="BG190" s="140">
        <f t="shared" si="288"/>
        <v>-91.025000000000006</v>
      </c>
      <c r="BH190" s="140">
        <f t="shared" si="288"/>
        <v>-90.525000000000006</v>
      </c>
      <c r="BI190" s="140">
        <f t="shared" si="288"/>
        <v>-90.025000000000006</v>
      </c>
      <c r="BJ190" s="140">
        <f t="shared" si="288"/>
        <v>-89.525000000000006</v>
      </c>
      <c r="BK190" s="140">
        <f t="shared" si="288"/>
        <v>-89.025000000000006</v>
      </c>
      <c r="BL190" s="140">
        <f t="shared" si="288"/>
        <v>-88.525000000000006</v>
      </c>
      <c r="BM190" s="140">
        <f t="shared" si="288"/>
        <v>-88.025000000000006</v>
      </c>
      <c r="BN190" s="140">
        <f t="shared" si="288"/>
        <v>-87.525000000000006</v>
      </c>
      <c r="BO190" s="140">
        <f t="shared" ref="BO190:CB190" si="289">BO189/360</f>
        <v>-87.027777777777771</v>
      </c>
      <c r="BP190" s="140">
        <f t="shared" si="289"/>
        <v>-86.527777777777771</v>
      </c>
      <c r="BQ190" s="140">
        <f t="shared" si="289"/>
        <v>-86.027777777777771</v>
      </c>
      <c r="BR190" s="140">
        <f t="shared" si="289"/>
        <v>-85.527777777777771</v>
      </c>
      <c r="BS190" s="140">
        <f t="shared" si="289"/>
        <v>-85.027777777777771</v>
      </c>
      <c r="BT190" s="140">
        <f t="shared" si="289"/>
        <v>-84.527777777777771</v>
      </c>
      <c r="BU190" s="140">
        <f t="shared" si="289"/>
        <v>-84.027777777777771</v>
      </c>
      <c r="BV190" s="140">
        <f t="shared" si="289"/>
        <v>-83.527777777777771</v>
      </c>
      <c r="BW190" s="140">
        <f t="shared" si="289"/>
        <v>-83.030555555555551</v>
      </c>
      <c r="BX190" s="140">
        <f t="shared" si="289"/>
        <v>-82.530555555555551</v>
      </c>
      <c r="BY190" s="140">
        <f t="shared" si="289"/>
        <v>-82.030555555555551</v>
      </c>
      <c r="BZ190" s="140">
        <f t="shared" si="289"/>
        <v>-81.530555555555551</v>
      </c>
      <c r="CA190" s="140">
        <f t="shared" si="289"/>
        <v>-81.030555555555551</v>
      </c>
      <c r="CB190" s="140">
        <f t="shared" si="289"/>
        <v>-80.530555555555551</v>
      </c>
      <c r="CC190" s="17"/>
      <c r="CD190" s="17"/>
      <c r="CE190" s="17"/>
    </row>
    <row r="191" spans="1:83">
      <c r="A191" s="16" t="s">
        <v>43</v>
      </c>
      <c r="B191" s="140">
        <f>IF(B189&lt;0,0,$B$5+$B$6*((1-EXP(-B190/$B$9))/(B190/$B$9))+$B$7*((1-EXP(-B190/$B$9))/(B190/$B$9)-EXP(-B190/$B$9))+$B$8*((1-EXP(-B190/$B$10))/(B190/$B$10)-EXP(-B190/$B$10)))</f>
        <v>0</v>
      </c>
      <c r="C191" s="140">
        <f t="shared" ref="C191:BN191" si="290">IF(C189&lt;0,0,$B$5+$B$6*((1-EXP(-C190/$B$9))/(C190/$B$9))+$B$7*((1-EXP(-C190/$B$9))/(C190/$B$9)-EXP(-C190/$B$9))+$B$8*((1-EXP(-C190/$B$10))/(C190/$B$10)-EXP(-C190/$B$10)))</f>
        <v>0</v>
      </c>
      <c r="D191" s="140">
        <f t="shared" si="290"/>
        <v>0</v>
      </c>
      <c r="E191" s="140">
        <f t="shared" si="290"/>
        <v>0</v>
      </c>
      <c r="F191" s="140">
        <f t="shared" si="290"/>
        <v>0</v>
      </c>
      <c r="G191" s="140">
        <f t="shared" si="290"/>
        <v>0</v>
      </c>
      <c r="H191" s="140">
        <f t="shared" si="290"/>
        <v>0</v>
      </c>
      <c r="I191" s="140">
        <f t="shared" si="290"/>
        <v>0</v>
      </c>
      <c r="J191" s="140">
        <f t="shared" si="290"/>
        <v>0</v>
      </c>
      <c r="K191" s="140">
        <f t="shared" si="290"/>
        <v>0</v>
      </c>
      <c r="L191" s="140">
        <f t="shared" si="290"/>
        <v>0</v>
      </c>
      <c r="M191" s="140">
        <f t="shared" si="290"/>
        <v>0</v>
      </c>
      <c r="N191" s="140">
        <f t="shared" si="290"/>
        <v>0</v>
      </c>
      <c r="O191" s="140">
        <f t="shared" si="290"/>
        <v>0</v>
      </c>
      <c r="P191" s="140">
        <f t="shared" si="290"/>
        <v>0</v>
      </c>
      <c r="Q191" s="140">
        <f t="shared" si="290"/>
        <v>0</v>
      </c>
      <c r="R191" s="140">
        <f t="shared" si="290"/>
        <v>0</v>
      </c>
      <c r="S191" s="140">
        <f t="shared" si="290"/>
        <v>0</v>
      </c>
      <c r="T191" s="140">
        <f t="shared" si="290"/>
        <v>0</v>
      </c>
      <c r="U191" s="140">
        <f t="shared" si="290"/>
        <v>0</v>
      </c>
      <c r="V191" s="140">
        <f t="shared" si="290"/>
        <v>0</v>
      </c>
      <c r="W191" s="140">
        <f t="shared" si="290"/>
        <v>0</v>
      </c>
      <c r="X191" s="140">
        <f t="shared" si="290"/>
        <v>0</v>
      </c>
      <c r="Y191" s="140">
        <f t="shared" si="290"/>
        <v>0</v>
      </c>
      <c r="Z191" s="140">
        <f t="shared" si="290"/>
        <v>0</v>
      </c>
      <c r="AA191" s="140">
        <f t="shared" si="290"/>
        <v>0</v>
      </c>
      <c r="AB191" s="140">
        <f t="shared" si="290"/>
        <v>0</v>
      </c>
      <c r="AC191" s="140">
        <f t="shared" si="290"/>
        <v>0</v>
      </c>
      <c r="AD191" s="140">
        <f t="shared" si="290"/>
        <v>0</v>
      </c>
      <c r="AE191" s="140">
        <f t="shared" si="290"/>
        <v>0</v>
      </c>
      <c r="AF191" s="140">
        <f t="shared" si="290"/>
        <v>0</v>
      </c>
      <c r="AG191" s="140">
        <f t="shared" si="290"/>
        <v>0</v>
      </c>
      <c r="AH191" s="140">
        <f t="shared" si="290"/>
        <v>0</v>
      </c>
      <c r="AI191" s="140">
        <f t="shared" si="290"/>
        <v>0</v>
      </c>
      <c r="AJ191" s="140">
        <f t="shared" si="290"/>
        <v>0</v>
      </c>
      <c r="AK191" s="140">
        <f t="shared" si="290"/>
        <v>0</v>
      </c>
      <c r="AL191" s="140">
        <f t="shared" si="290"/>
        <v>0</v>
      </c>
      <c r="AM191" s="140">
        <f t="shared" si="290"/>
        <v>0</v>
      </c>
      <c r="AN191" s="140">
        <f t="shared" si="290"/>
        <v>0</v>
      </c>
      <c r="AO191" s="140">
        <f t="shared" si="290"/>
        <v>0</v>
      </c>
      <c r="AP191" s="140">
        <f t="shared" si="290"/>
        <v>0</v>
      </c>
      <c r="AQ191" s="140">
        <f t="shared" si="290"/>
        <v>0</v>
      </c>
      <c r="AR191" s="140">
        <f t="shared" si="290"/>
        <v>0</v>
      </c>
      <c r="AS191" s="140">
        <f t="shared" si="290"/>
        <v>0</v>
      </c>
      <c r="AT191" s="140">
        <f t="shared" si="290"/>
        <v>0</v>
      </c>
      <c r="AU191" s="140">
        <f t="shared" si="290"/>
        <v>0</v>
      </c>
      <c r="AV191" s="140">
        <f t="shared" si="290"/>
        <v>0</v>
      </c>
      <c r="AW191" s="140">
        <f t="shared" si="290"/>
        <v>0</v>
      </c>
      <c r="AX191" s="140">
        <f t="shared" si="290"/>
        <v>0</v>
      </c>
      <c r="AY191" s="140">
        <f t="shared" si="290"/>
        <v>0</v>
      </c>
      <c r="AZ191" s="140">
        <f t="shared" si="290"/>
        <v>0</v>
      </c>
      <c r="BA191" s="140">
        <f t="shared" si="290"/>
        <v>0</v>
      </c>
      <c r="BB191" s="140">
        <f t="shared" si="290"/>
        <v>0</v>
      </c>
      <c r="BC191" s="140">
        <f t="shared" si="290"/>
        <v>0</v>
      </c>
      <c r="BD191" s="140">
        <f t="shared" si="290"/>
        <v>0</v>
      </c>
      <c r="BE191" s="140">
        <f t="shared" si="290"/>
        <v>0</v>
      </c>
      <c r="BF191" s="140">
        <f t="shared" si="290"/>
        <v>0</v>
      </c>
      <c r="BG191" s="140">
        <f t="shared" si="290"/>
        <v>0</v>
      </c>
      <c r="BH191" s="140">
        <f t="shared" si="290"/>
        <v>0</v>
      </c>
      <c r="BI191" s="140">
        <f t="shared" si="290"/>
        <v>0</v>
      </c>
      <c r="BJ191" s="140">
        <f t="shared" si="290"/>
        <v>0</v>
      </c>
      <c r="BK191" s="140">
        <f t="shared" si="290"/>
        <v>0</v>
      </c>
      <c r="BL191" s="140">
        <f t="shared" si="290"/>
        <v>0</v>
      </c>
      <c r="BM191" s="140">
        <f t="shared" si="290"/>
        <v>0</v>
      </c>
      <c r="BN191" s="140">
        <f t="shared" si="290"/>
        <v>0</v>
      </c>
      <c r="BO191" s="140">
        <f t="shared" ref="BO191:CB191" si="291">IF(BO189&lt;0,0,$B$5+$B$6*((1-EXP(-BO190/$B$9))/(BO190/$B$9))+$B$7*((1-EXP(-BO190/$B$9))/(BO190/$B$9)-EXP(-BO190/$B$9))+$B$8*((1-EXP(-BO190/$B$10))/(BO190/$B$10)-EXP(-BO190/$B$10)))</f>
        <v>0</v>
      </c>
      <c r="BP191" s="140">
        <f t="shared" si="291"/>
        <v>0</v>
      </c>
      <c r="BQ191" s="140">
        <f t="shared" si="291"/>
        <v>0</v>
      </c>
      <c r="BR191" s="140">
        <f t="shared" si="291"/>
        <v>0</v>
      </c>
      <c r="BS191" s="140">
        <f t="shared" si="291"/>
        <v>0</v>
      </c>
      <c r="BT191" s="140">
        <f t="shared" si="291"/>
        <v>0</v>
      </c>
      <c r="BU191" s="140">
        <f t="shared" si="291"/>
        <v>0</v>
      </c>
      <c r="BV191" s="140">
        <f t="shared" si="291"/>
        <v>0</v>
      </c>
      <c r="BW191" s="140">
        <f t="shared" si="291"/>
        <v>0</v>
      </c>
      <c r="BX191" s="140">
        <f t="shared" si="291"/>
        <v>0</v>
      </c>
      <c r="BY191" s="140">
        <f t="shared" si="291"/>
        <v>0</v>
      </c>
      <c r="BZ191" s="140">
        <f t="shared" si="291"/>
        <v>0</v>
      </c>
      <c r="CA191" s="140">
        <f t="shared" si="291"/>
        <v>0</v>
      </c>
      <c r="CB191" s="140">
        <f t="shared" si="291"/>
        <v>0</v>
      </c>
      <c r="CC191" s="17"/>
      <c r="CD191" s="17"/>
      <c r="CE191" s="17"/>
    </row>
    <row r="192" spans="1:83">
      <c r="A192" s="16" t="s">
        <v>44</v>
      </c>
      <c r="B192" s="140">
        <f>EXP(-B191*B190)</f>
        <v>1</v>
      </c>
      <c r="C192" s="140">
        <f t="shared" ref="C192:AR192" si="292">EXP(-C191*C190)</f>
        <v>1</v>
      </c>
      <c r="D192" s="140">
        <f t="shared" si="292"/>
        <v>1</v>
      </c>
      <c r="E192" s="140">
        <f t="shared" si="292"/>
        <v>1</v>
      </c>
      <c r="F192" s="140">
        <f t="shared" si="292"/>
        <v>1</v>
      </c>
      <c r="G192" s="140">
        <f t="shared" si="292"/>
        <v>1</v>
      </c>
      <c r="H192" s="140">
        <f t="shared" si="292"/>
        <v>1</v>
      </c>
      <c r="I192" s="140">
        <f t="shared" si="292"/>
        <v>1</v>
      </c>
      <c r="J192" s="140">
        <f t="shared" si="292"/>
        <v>1</v>
      </c>
      <c r="K192" s="140">
        <f t="shared" si="292"/>
        <v>1</v>
      </c>
      <c r="L192" s="140">
        <f t="shared" si="292"/>
        <v>1</v>
      </c>
      <c r="M192" s="140">
        <f t="shared" si="292"/>
        <v>1</v>
      </c>
      <c r="N192" s="140">
        <f t="shared" si="292"/>
        <v>1</v>
      </c>
      <c r="O192" s="140">
        <f t="shared" si="292"/>
        <v>1</v>
      </c>
      <c r="P192" s="140">
        <f t="shared" si="292"/>
        <v>1</v>
      </c>
      <c r="Q192" s="140">
        <f t="shared" si="292"/>
        <v>1</v>
      </c>
      <c r="R192" s="140">
        <f t="shared" si="292"/>
        <v>1</v>
      </c>
      <c r="S192" s="140">
        <f t="shared" si="292"/>
        <v>1</v>
      </c>
      <c r="T192" s="140">
        <f t="shared" si="292"/>
        <v>1</v>
      </c>
      <c r="U192" s="140">
        <f t="shared" si="292"/>
        <v>1</v>
      </c>
      <c r="V192" s="140">
        <f t="shared" si="292"/>
        <v>1</v>
      </c>
      <c r="W192" s="140">
        <f t="shared" si="292"/>
        <v>1</v>
      </c>
      <c r="X192" s="140">
        <f t="shared" si="292"/>
        <v>1</v>
      </c>
      <c r="Y192" s="140">
        <f t="shared" si="292"/>
        <v>1</v>
      </c>
      <c r="Z192" s="140">
        <f t="shared" si="292"/>
        <v>1</v>
      </c>
      <c r="AA192" s="140">
        <f t="shared" si="292"/>
        <v>1</v>
      </c>
      <c r="AB192" s="140">
        <f t="shared" si="292"/>
        <v>1</v>
      </c>
      <c r="AC192" s="140">
        <f t="shared" si="292"/>
        <v>1</v>
      </c>
      <c r="AD192" s="140">
        <f t="shared" si="292"/>
        <v>1</v>
      </c>
      <c r="AE192" s="140">
        <f t="shared" si="292"/>
        <v>1</v>
      </c>
      <c r="AF192" s="140">
        <f t="shared" si="292"/>
        <v>1</v>
      </c>
      <c r="AG192" s="140">
        <f t="shared" si="292"/>
        <v>1</v>
      </c>
      <c r="AH192" s="140">
        <f t="shared" si="292"/>
        <v>1</v>
      </c>
      <c r="AI192" s="140">
        <f t="shared" si="292"/>
        <v>1</v>
      </c>
      <c r="AJ192" s="140">
        <f t="shared" si="292"/>
        <v>1</v>
      </c>
      <c r="AK192" s="140">
        <f t="shared" si="292"/>
        <v>1</v>
      </c>
      <c r="AL192" s="140">
        <f t="shared" si="292"/>
        <v>1</v>
      </c>
      <c r="AM192" s="140">
        <f t="shared" si="292"/>
        <v>1</v>
      </c>
      <c r="AN192" s="140">
        <f t="shared" si="292"/>
        <v>1</v>
      </c>
      <c r="AO192" s="140">
        <f t="shared" si="292"/>
        <v>1</v>
      </c>
      <c r="AP192" s="140">
        <f t="shared" si="292"/>
        <v>1</v>
      </c>
      <c r="AQ192" s="140">
        <f t="shared" si="292"/>
        <v>1</v>
      </c>
      <c r="AR192" s="140">
        <f t="shared" si="292"/>
        <v>1</v>
      </c>
      <c r="AS192" s="140">
        <f>EXP(-AS191*AS190)</f>
        <v>1</v>
      </c>
      <c r="AT192" s="140">
        <f t="shared" ref="AT192:CA192" si="293">EXP(-AT191*AT190)</f>
        <v>1</v>
      </c>
      <c r="AU192" s="140">
        <f t="shared" si="293"/>
        <v>1</v>
      </c>
      <c r="AV192" s="140">
        <f t="shared" si="293"/>
        <v>1</v>
      </c>
      <c r="AW192" s="140">
        <f t="shared" si="293"/>
        <v>1</v>
      </c>
      <c r="AX192" s="140">
        <f t="shared" si="293"/>
        <v>1</v>
      </c>
      <c r="AY192" s="140">
        <f t="shared" si="293"/>
        <v>1</v>
      </c>
      <c r="AZ192" s="140">
        <f t="shared" si="293"/>
        <v>1</v>
      </c>
      <c r="BA192" s="140">
        <f t="shared" si="293"/>
        <v>1</v>
      </c>
      <c r="BB192" s="140">
        <f t="shared" si="293"/>
        <v>1</v>
      </c>
      <c r="BC192" s="140">
        <f t="shared" si="293"/>
        <v>1</v>
      </c>
      <c r="BD192" s="140">
        <f t="shared" si="293"/>
        <v>1</v>
      </c>
      <c r="BE192" s="140">
        <f t="shared" si="293"/>
        <v>1</v>
      </c>
      <c r="BF192" s="140">
        <f t="shared" si="293"/>
        <v>1</v>
      </c>
      <c r="BG192" s="140">
        <f t="shared" si="293"/>
        <v>1</v>
      </c>
      <c r="BH192" s="140">
        <f t="shared" si="293"/>
        <v>1</v>
      </c>
      <c r="BI192" s="140">
        <f t="shared" si="293"/>
        <v>1</v>
      </c>
      <c r="BJ192" s="140">
        <f t="shared" si="293"/>
        <v>1</v>
      </c>
      <c r="BK192" s="140">
        <f t="shared" si="293"/>
        <v>1</v>
      </c>
      <c r="BL192" s="140">
        <f t="shared" si="293"/>
        <v>1</v>
      </c>
      <c r="BM192" s="140">
        <f t="shared" si="293"/>
        <v>1</v>
      </c>
      <c r="BN192" s="140">
        <f t="shared" si="293"/>
        <v>1</v>
      </c>
      <c r="BO192" s="140">
        <f t="shared" si="293"/>
        <v>1</v>
      </c>
      <c r="BP192" s="140">
        <f t="shared" si="293"/>
        <v>1</v>
      </c>
      <c r="BQ192" s="140">
        <f t="shared" si="293"/>
        <v>1</v>
      </c>
      <c r="BR192" s="140">
        <f t="shared" si="293"/>
        <v>1</v>
      </c>
      <c r="BS192" s="140">
        <f t="shared" si="293"/>
        <v>1</v>
      </c>
      <c r="BT192" s="140">
        <f t="shared" si="293"/>
        <v>1</v>
      </c>
      <c r="BU192" s="140">
        <f t="shared" si="293"/>
        <v>1</v>
      </c>
      <c r="BV192" s="140">
        <f t="shared" si="293"/>
        <v>1</v>
      </c>
      <c r="BW192" s="140">
        <f t="shared" si="293"/>
        <v>1</v>
      </c>
      <c r="BX192" s="140">
        <f t="shared" si="293"/>
        <v>1</v>
      </c>
      <c r="BY192" s="140">
        <f t="shared" si="293"/>
        <v>1</v>
      </c>
      <c r="BZ192" s="140">
        <f t="shared" si="293"/>
        <v>1</v>
      </c>
      <c r="CA192" s="140">
        <f t="shared" si="293"/>
        <v>1</v>
      </c>
      <c r="CB192" s="140">
        <f>EXP(-CB191*CB190)</f>
        <v>1</v>
      </c>
      <c r="CC192" s="17"/>
      <c r="CD192" s="17"/>
      <c r="CE192" s="17"/>
    </row>
    <row r="193" spans="1:83">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c r="BE193" s="17"/>
      <c r="BF193" s="17"/>
      <c r="BG193" s="17"/>
      <c r="BH193" s="17"/>
      <c r="BI193" s="17"/>
      <c r="BJ193" s="17"/>
      <c r="BK193" s="17"/>
      <c r="BL193" s="17"/>
      <c r="BM193" s="17"/>
      <c r="BN193" s="17"/>
      <c r="BO193" s="17"/>
      <c r="BP193" s="17"/>
      <c r="BQ193" s="17"/>
      <c r="BR193" s="17"/>
      <c r="BS193" s="17"/>
      <c r="BT193" s="17"/>
      <c r="BU193" s="17"/>
      <c r="BV193" s="17"/>
      <c r="BW193" s="17"/>
      <c r="BX193" s="17"/>
      <c r="BY193" s="17"/>
      <c r="BZ193" s="17"/>
      <c r="CA193" s="17"/>
      <c r="CB193" s="17"/>
      <c r="CC193" s="17"/>
      <c r="CD193" s="17"/>
      <c r="CE193" s="17"/>
    </row>
    <row r="194" spans="1:83">
      <c r="A194" s="16" t="s">
        <v>40</v>
      </c>
      <c r="B194" s="140">
        <f>DAYS360($B$3,B74)</f>
        <v>-43022</v>
      </c>
      <c r="C194" s="140">
        <f t="shared" ref="C194:BN194" si="294">DAYS360($B$3,C74)</f>
        <v>-42842</v>
      </c>
      <c r="D194" s="140">
        <f t="shared" si="294"/>
        <v>-42662</v>
      </c>
      <c r="E194" s="140">
        <f t="shared" si="294"/>
        <v>-42482</v>
      </c>
      <c r="F194" s="140">
        <f t="shared" si="294"/>
        <v>-42302</v>
      </c>
      <c r="G194" s="140">
        <f t="shared" si="294"/>
        <v>-42122</v>
      </c>
      <c r="H194" s="140">
        <f t="shared" si="294"/>
        <v>-41942</v>
      </c>
      <c r="I194" s="140">
        <f t="shared" si="294"/>
        <v>-41762</v>
      </c>
      <c r="J194" s="140">
        <f t="shared" si="294"/>
        <v>-41582</v>
      </c>
      <c r="K194" s="140">
        <f t="shared" si="294"/>
        <v>-41403</v>
      </c>
      <c r="L194" s="140">
        <f t="shared" si="294"/>
        <v>-41223</v>
      </c>
      <c r="M194" s="140">
        <f t="shared" si="294"/>
        <v>-41043</v>
      </c>
      <c r="N194" s="140">
        <f t="shared" si="294"/>
        <v>-40863</v>
      </c>
      <c r="O194" s="140">
        <f t="shared" si="294"/>
        <v>-40683</v>
      </c>
      <c r="P194" s="140">
        <f t="shared" si="294"/>
        <v>-40503</v>
      </c>
      <c r="Q194" s="140">
        <f t="shared" si="294"/>
        <v>-40323</v>
      </c>
      <c r="R194" s="140">
        <f t="shared" si="294"/>
        <v>-40143</v>
      </c>
      <c r="S194" s="140">
        <f t="shared" si="294"/>
        <v>-39964</v>
      </c>
      <c r="T194" s="140">
        <f t="shared" si="294"/>
        <v>-39784</v>
      </c>
      <c r="U194" s="140">
        <f t="shared" si="294"/>
        <v>-39604</v>
      </c>
      <c r="V194" s="140">
        <f t="shared" si="294"/>
        <v>-39424</v>
      </c>
      <c r="W194" s="140">
        <f t="shared" si="294"/>
        <v>-39244</v>
      </c>
      <c r="X194" s="140">
        <f t="shared" si="294"/>
        <v>-39064</v>
      </c>
      <c r="Y194" s="140">
        <f t="shared" si="294"/>
        <v>-38884</v>
      </c>
      <c r="Z194" s="140">
        <f t="shared" si="294"/>
        <v>-38704</v>
      </c>
      <c r="AA194" s="140">
        <f t="shared" si="294"/>
        <v>-38525</v>
      </c>
      <c r="AB194" s="140">
        <f t="shared" si="294"/>
        <v>-38345</v>
      </c>
      <c r="AC194" s="140">
        <f t="shared" si="294"/>
        <v>-38165</v>
      </c>
      <c r="AD194" s="140">
        <f t="shared" si="294"/>
        <v>-37985</v>
      </c>
      <c r="AE194" s="140">
        <f t="shared" si="294"/>
        <v>-37805</v>
      </c>
      <c r="AF194" s="140">
        <f t="shared" si="294"/>
        <v>-37625</v>
      </c>
      <c r="AG194" s="140">
        <f t="shared" si="294"/>
        <v>-37445</v>
      </c>
      <c r="AH194" s="140">
        <f t="shared" si="294"/>
        <v>-37265</v>
      </c>
      <c r="AI194" s="140">
        <f t="shared" si="294"/>
        <v>-37086</v>
      </c>
      <c r="AJ194" s="140">
        <f t="shared" si="294"/>
        <v>-36906</v>
      </c>
      <c r="AK194" s="140">
        <f t="shared" si="294"/>
        <v>-36726</v>
      </c>
      <c r="AL194" s="140">
        <f t="shared" si="294"/>
        <v>-36546</v>
      </c>
      <c r="AM194" s="140">
        <f t="shared" si="294"/>
        <v>-36366</v>
      </c>
      <c r="AN194" s="140">
        <f t="shared" si="294"/>
        <v>-36186</v>
      </c>
      <c r="AO194" s="140">
        <f t="shared" si="294"/>
        <v>-36006</v>
      </c>
      <c r="AP194" s="140">
        <f t="shared" si="294"/>
        <v>-35826</v>
      </c>
      <c r="AQ194" s="140">
        <f t="shared" si="294"/>
        <v>-35647</v>
      </c>
      <c r="AR194" s="140">
        <f t="shared" si="294"/>
        <v>-35467</v>
      </c>
      <c r="AS194" s="140">
        <f t="shared" si="294"/>
        <v>-35287</v>
      </c>
      <c r="AT194" s="140">
        <f t="shared" si="294"/>
        <v>-35107</v>
      </c>
      <c r="AU194" s="140">
        <f t="shared" si="294"/>
        <v>-34927</v>
      </c>
      <c r="AV194" s="140">
        <f t="shared" si="294"/>
        <v>-34747</v>
      </c>
      <c r="AW194" s="140">
        <f t="shared" si="294"/>
        <v>-34567</v>
      </c>
      <c r="AX194" s="140">
        <f t="shared" si="294"/>
        <v>-34387</v>
      </c>
      <c r="AY194" s="140">
        <f t="shared" si="294"/>
        <v>-34208</v>
      </c>
      <c r="AZ194" s="140">
        <f t="shared" si="294"/>
        <v>-34028</v>
      </c>
      <c r="BA194" s="140">
        <f t="shared" si="294"/>
        <v>-33848</v>
      </c>
      <c r="BB194" s="140">
        <f t="shared" si="294"/>
        <v>-33668</v>
      </c>
      <c r="BC194" s="140">
        <f t="shared" si="294"/>
        <v>-33488</v>
      </c>
      <c r="BD194" s="140">
        <f t="shared" si="294"/>
        <v>-33308</v>
      </c>
      <c r="BE194" s="140">
        <f t="shared" si="294"/>
        <v>-33128</v>
      </c>
      <c r="BF194" s="140">
        <f t="shared" si="294"/>
        <v>-32948</v>
      </c>
      <c r="BG194" s="140">
        <f t="shared" si="294"/>
        <v>-32769</v>
      </c>
      <c r="BH194" s="140">
        <f t="shared" si="294"/>
        <v>-32589</v>
      </c>
      <c r="BI194" s="140">
        <f t="shared" si="294"/>
        <v>-32409</v>
      </c>
      <c r="BJ194" s="140">
        <f t="shared" si="294"/>
        <v>-32229</v>
      </c>
      <c r="BK194" s="140">
        <f t="shared" si="294"/>
        <v>-32049</v>
      </c>
      <c r="BL194" s="140">
        <f t="shared" si="294"/>
        <v>-31869</v>
      </c>
      <c r="BM194" s="140">
        <f t="shared" si="294"/>
        <v>-31689</v>
      </c>
      <c r="BN194" s="140">
        <f t="shared" si="294"/>
        <v>-31509</v>
      </c>
      <c r="BO194" s="140">
        <f t="shared" ref="BO194:CB194" si="295">DAYS360($B$3,BO74)</f>
        <v>-31330</v>
      </c>
      <c r="BP194" s="140">
        <f t="shared" si="295"/>
        <v>-31150</v>
      </c>
      <c r="BQ194" s="140">
        <f t="shared" si="295"/>
        <v>-30970</v>
      </c>
      <c r="BR194" s="140">
        <f t="shared" si="295"/>
        <v>-30790</v>
      </c>
      <c r="BS194" s="140">
        <f t="shared" si="295"/>
        <v>-30610</v>
      </c>
      <c r="BT194" s="140">
        <f t="shared" si="295"/>
        <v>-30430</v>
      </c>
      <c r="BU194" s="140">
        <f t="shared" si="295"/>
        <v>-30250</v>
      </c>
      <c r="BV194" s="140">
        <f t="shared" si="295"/>
        <v>-30070</v>
      </c>
      <c r="BW194" s="140">
        <f t="shared" si="295"/>
        <v>-29891</v>
      </c>
      <c r="BX194" s="140">
        <f t="shared" si="295"/>
        <v>-29711</v>
      </c>
      <c r="BY194" s="140">
        <f t="shared" si="295"/>
        <v>-29531</v>
      </c>
      <c r="BZ194" s="140">
        <f t="shared" si="295"/>
        <v>-29351</v>
      </c>
      <c r="CA194" s="140">
        <f t="shared" si="295"/>
        <v>-29171</v>
      </c>
      <c r="CB194" s="140">
        <f t="shared" si="295"/>
        <v>-28991</v>
      </c>
      <c r="CC194" s="17"/>
      <c r="CD194" s="17"/>
      <c r="CE194" s="17"/>
    </row>
    <row r="195" spans="1:83">
      <c r="A195" s="16" t="s">
        <v>41</v>
      </c>
      <c r="B195" s="140">
        <f>B194/360</f>
        <v>-119.50555555555556</v>
      </c>
      <c r="C195" s="140">
        <f t="shared" ref="C195:BN195" si="296">C194/360</f>
        <v>-119.00555555555556</v>
      </c>
      <c r="D195" s="140">
        <f t="shared" si="296"/>
        <v>-118.50555555555556</v>
      </c>
      <c r="E195" s="140">
        <f t="shared" si="296"/>
        <v>-118.00555555555556</v>
      </c>
      <c r="F195" s="140">
        <f t="shared" si="296"/>
        <v>-117.50555555555556</v>
      </c>
      <c r="G195" s="140">
        <f t="shared" si="296"/>
        <v>-117.00555555555556</v>
      </c>
      <c r="H195" s="140">
        <f t="shared" si="296"/>
        <v>-116.50555555555556</v>
      </c>
      <c r="I195" s="140">
        <f t="shared" si="296"/>
        <v>-116.00555555555556</v>
      </c>
      <c r="J195" s="140">
        <f t="shared" si="296"/>
        <v>-115.50555555555556</v>
      </c>
      <c r="K195" s="140">
        <f t="shared" si="296"/>
        <v>-115.00833333333334</v>
      </c>
      <c r="L195" s="140">
        <f t="shared" si="296"/>
        <v>-114.50833333333334</v>
      </c>
      <c r="M195" s="140">
        <f t="shared" si="296"/>
        <v>-114.00833333333334</v>
      </c>
      <c r="N195" s="140">
        <f t="shared" si="296"/>
        <v>-113.50833333333334</v>
      </c>
      <c r="O195" s="140">
        <f t="shared" si="296"/>
        <v>-113.00833333333334</v>
      </c>
      <c r="P195" s="140">
        <f t="shared" si="296"/>
        <v>-112.50833333333334</v>
      </c>
      <c r="Q195" s="140">
        <f t="shared" si="296"/>
        <v>-112.00833333333334</v>
      </c>
      <c r="R195" s="140">
        <f t="shared" si="296"/>
        <v>-111.50833333333334</v>
      </c>
      <c r="S195" s="140">
        <f t="shared" si="296"/>
        <v>-111.01111111111111</v>
      </c>
      <c r="T195" s="140">
        <f t="shared" si="296"/>
        <v>-110.51111111111111</v>
      </c>
      <c r="U195" s="140">
        <f t="shared" si="296"/>
        <v>-110.01111111111111</v>
      </c>
      <c r="V195" s="140">
        <f t="shared" si="296"/>
        <v>-109.51111111111111</v>
      </c>
      <c r="W195" s="140">
        <f t="shared" si="296"/>
        <v>-109.01111111111111</v>
      </c>
      <c r="X195" s="140">
        <f t="shared" si="296"/>
        <v>-108.51111111111111</v>
      </c>
      <c r="Y195" s="140">
        <f t="shared" si="296"/>
        <v>-108.01111111111111</v>
      </c>
      <c r="Z195" s="140">
        <f t="shared" si="296"/>
        <v>-107.51111111111111</v>
      </c>
      <c r="AA195" s="140">
        <f t="shared" si="296"/>
        <v>-107.01388888888889</v>
      </c>
      <c r="AB195" s="140">
        <f t="shared" si="296"/>
        <v>-106.51388888888889</v>
      </c>
      <c r="AC195" s="140">
        <f t="shared" si="296"/>
        <v>-106.01388888888889</v>
      </c>
      <c r="AD195" s="140">
        <f t="shared" si="296"/>
        <v>-105.51388888888889</v>
      </c>
      <c r="AE195" s="140">
        <f t="shared" si="296"/>
        <v>-105.01388888888889</v>
      </c>
      <c r="AF195" s="140">
        <f t="shared" si="296"/>
        <v>-104.51388888888889</v>
      </c>
      <c r="AG195" s="140">
        <f t="shared" si="296"/>
        <v>-104.01388888888889</v>
      </c>
      <c r="AH195" s="140">
        <f t="shared" si="296"/>
        <v>-103.51388888888889</v>
      </c>
      <c r="AI195" s="140">
        <f t="shared" si="296"/>
        <v>-103.01666666666667</v>
      </c>
      <c r="AJ195" s="140">
        <f t="shared" si="296"/>
        <v>-102.51666666666667</v>
      </c>
      <c r="AK195" s="140">
        <f t="shared" si="296"/>
        <v>-102.01666666666667</v>
      </c>
      <c r="AL195" s="140">
        <f t="shared" si="296"/>
        <v>-101.51666666666667</v>
      </c>
      <c r="AM195" s="140">
        <f t="shared" si="296"/>
        <v>-101.01666666666667</v>
      </c>
      <c r="AN195" s="140">
        <f t="shared" si="296"/>
        <v>-100.51666666666667</v>
      </c>
      <c r="AO195" s="140">
        <f t="shared" si="296"/>
        <v>-100.01666666666667</v>
      </c>
      <c r="AP195" s="140">
        <f t="shared" si="296"/>
        <v>-99.516666666666666</v>
      </c>
      <c r="AQ195" s="140">
        <f t="shared" si="296"/>
        <v>-99.019444444444446</v>
      </c>
      <c r="AR195" s="140">
        <f t="shared" si="296"/>
        <v>-98.519444444444446</v>
      </c>
      <c r="AS195" s="140">
        <f t="shared" si="296"/>
        <v>-98.019444444444446</v>
      </c>
      <c r="AT195" s="140">
        <f t="shared" si="296"/>
        <v>-97.519444444444446</v>
      </c>
      <c r="AU195" s="140">
        <f t="shared" si="296"/>
        <v>-97.019444444444446</v>
      </c>
      <c r="AV195" s="140">
        <f t="shared" si="296"/>
        <v>-96.519444444444446</v>
      </c>
      <c r="AW195" s="140">
        <f t="shared" si="296"/>
        <v>-96.019444444444446</v>
      </c>
      <c r="AX195" s="140">
        <f t="shared" si="296"/>
        <v>-95.519444444444446</v>
      </c>
      <c r="AY195" s="140">
        <f t="shared" si="296"/>
        <v>-95.022222222222226</v>
      </c>
      <c r="AZ195" s="140">
        <f t="shared" si="296"/>
        <v>-94.522222222222226</v>
      </c>
      <c r="BA195" s="140">
        <f t="shared" si="296"/>
        <v>-94.022222222222226</v>
      </c>
      <c r="BB195" s="140">
        <f t="shared" si="296"/>
        <v>-93.522222222222226</v>
      </c>
      <c r="BC195" s="140">
        <f t="shared" si="296"/>
        <v>-93.022222222222226</v>
      </c>
      <c r="BD195" s="140">
        <f t="shared" si="296"/>
        <v>-92.522222222222226</v>
      </c>
      <c r="BE195" s="140">
        <f t="shared" si="296"/>
        <v>-92.022222222222226</v>
      </c>
      <c r="BF195" s="140">
        <f t="shared" si="296"/>
        <v>-91.522222222222226</v>
      </c>
      <c r="BG195" s="140">
        <f t="shared" si="296"/>
        <v>-91.025000000000006</v>
      </c>
      <c r="BH195" s="140">
        <f t="shared" si="296"/>
        <v>-90.525000000000006</v>
      </c>
      <c r="BI195" s="140">
        <f t="shared" si="296"/>
        <v>-90.025000000000006</v>
      </c>
      <c r="BJ195" s="140">
        <f t="shared" si="296"/>
        <v>-89.525000000000006</v>
      </c>
      <c r="BK195" s="140">
        <f t="shared" si="296"/>
        <v>-89.025000000000006</v>
      </c>
      <c r="BL195" s="140">
        <f t="shared" si="296"/>
        <v>-88.525000000000006</v>
      </c>
      <c r="BM195" s="140">
        <f t="shared" si="296"/>
        <v>-88.025000000000006</v>
      </c>
      <c r="BN195" s="140">
        <f t="shared" si="296"/>
        <v>-87.525000000000006</v>
      </c>
      <c r="BO195" s="140">
        <f t="shared" ref="BO195:CB195" si="297">BO194/360</f>
        <v>-87.027777777777771</v>
      </c>
      <c r="BP195" s="140">
        <f t="shared" si="297"/>
        <v>-86.527777777777771</v>
      </c>
      <c r="BQ195" s="140">
        <f t="shared" si="297"/>
        <v>-86.027777777777771</v>
      </c>
      <c r="BR195" s="140">
        <f t="shared" si="297"/>
        <v>-85.527777777777771</v>
      </c>
      <c r="BS195" s="140">
        <f t="shared" si="297"/>
        <v>-85.027777777777771</v>
      </c>
      <c r="BT195" s="140">
        <f t="shared" si="297"/>
        <v>-84.527777777777771</v>
      </c>
      <c r="BU195" s="140">
        <f t="shared" si="297"/>
        <v>-84.027777777777771</v>
      </c>
      <c r="BV195" s="140">
        <f t="shared" si="297"/>
        <v>-83.527777777777771</v>
      </c>
      <c r="BW195" s="140">
        <f t="shared" si="297"/>
        <v>-83.030555555555551</v>
      </c>
      <c r="BX195" s="140">
        <f t="shared" si="297"/>
        <v>-82.530555555555551</v>
      </c>
      <c r="BY195" s="140">
        <f t="shared" si="297"/>
        <v>-82.030555555555551</v>
      </c>
      <c r="BZ195" s="140">
        <f t="shared" si="297"/>
        <v>-81.530555555555551</v>
      </c>
      <c r="CA195" s="140">
        <f t="shared" si="297"/>
        <v>-81.030555555555551</v>
      </c>
      <c r="CB195" s="140">
        <f t="shared" si="297"/>
        <v>-80.530555555555551</v>
      </c>
      <c r="CC195" s="17"/>
      <c r="CD195" s="17"/>
      <c r="CE195" s="17"/>
    </row>
    <row r="196" spans="1:83">
      <c r="A196" s="16" t="s">
        <v>43</v>
      </c>
      <c r="B196" s="140">
        <f>IF(B194&lt;0,0,$B$5+$B$6*((1-EXP(-B195/$B$9))/(B195/$B$9))+$B$7*((1-EXP(-B195/$B$9))/(B195/$B$9)-EXP(-B195/$B$9))+$B$8*((1-EXP(-B195/$B$10))/(B195/$B$10)-EXP(-B195/$B$10)))</f>
        <v>0</v>
      </c>
      <c r="C196" s="140">
        <f t="shared" ref="C196:BN196" si="298">IF(C194&lt;0,0,$B$5+$B$6*((1-EXP(-C195/$B$9))/(C195/$B$9))+$B$7*((1-EXP(-C195/$B$9))/(C195/$B$9)-EXP(-C195/$B$9))+$B$8*((1-EXP(-C195/$B$10))/(C195/$B$10)-EXP(-C195/$B$10)))</f>
        <v>0</v>
      </c>
      <c r="D196" s="140">
        <f t="shared" si="298"/>
        <v>0</v>
      </c>
      <c r="E196" s="140">
        <f t="shared" si="298"/>
        <v>0</v>
      </c>
      <c r="F196" s="140">
        <f t="shared" si="298"/>
        <v>0</v>
      </c>
      <c r="G196" s="140">
        <f t="shared" si="298"/>
        <v>0</v>
      </c>
      <c r="H196" s="140">
        <f t="shared" si="298"/>
        <v>0</v>
      </c>
      <c r="I196" s="140">
        <f t="shared" si="298"/>
        <v>0</v>
      </c>
      <c r="J196" s="140">
        <f t="shared" si="298"/>
        <v>0</v>
      </c>
      <c r="K196" s="140">
        <f t="shared" si="298"/>
        <v>0</v>
      </c>
      <c r="L196" s="140">
        <f t="shared" si="298"/>
        <v>0</v>
      </c>
      <c r="M196" s="140">
        <f t="shared" si="298"/>
        <v>0</v>
      </c>
      <c r="N196" s="140">
        <f t="shared" si="298"/>
        <v>0</v>
      </c>
      <c r="O196" s="140">
        <f t="shared" si="298"/>
        <v>0</v>
      </c>
      <c r="P196" s="140">
        <f t="shared" si="298"/>
        <v>0</v>
      </c>
      <c r="Q196" s="140">
        <f t="shared" si="298"/>
        <v>0</v>
      </c>
      <c r="R196" s="140">
        <f t="shared" si="298"/>
        <v>0</v>
      </c>
      <c r="S196" s="140">
        <f t="shared" si="298"/>
        <v>0</v>
      </c>
      <c r="T196" s="140">
        <f t="shared" si="298"/>
        <v>0</v>
      </c>
      <c r="U196" s="140">
        <f t="shared" si="298"/>
        <v>0</v>
      </c>
      <c r="V196" s="140">
        <f t="shared" si="298"/>
        <v>0</v>
      </c>
      <c r="W196" s="140">
        <f t="shared" si="298"/>
        <v>0</v>
      </c>
      <c r="X196" s="140">
        <f t="shared" si="298"/>
        <v>0</v>
      </c>
      <c r="Y196" s="140">
        <f t="shared" si="298"/>
        <v>0</v>
      </c>
      <c r="Z196" s="140">
        <f t="shared" si="298"/>
        <v>0</v>
      </c>
      <c r="AA196" s="140">
        <f t="shared" si="298"/>
        <v>0</v>
      </c>
      <c r="AB196" s="140">
        <f t="shared" si="298"/>
        <v>0</v>
      </c>
      <c r="AC196" s="140">
        <f t="shared" si="298"/>
        <v>0</v>
      </c>
      <c r="AD196" s="140">
        <f t="shared" si="298"/>
        <v>0</v>
      </c>
      <c r="AE196" s="140">
        <f t="shared" si="298"/>
        <v>0</v>
      </c>
      <c r="AF196" s="140">
        <f t="shared" si="298"/>
        <v>0</v>
      </c>
      <c r="AG196" s="140">
        <f t="shared" si="298"/>
        <v>0</v>
      </c>
      <c r="AH196" s="140">
        <f t="shared" si="298"/>
        <v>0</v>
      </c>
      <c r="AI196" s="140">
        <f t="shared" si="298"/>
        <v>0</v>
      </c>
      <c r="AJ196" s="140">
        <f t="shared" si="298"/>
        <v>0</v>
      </c>
      <c r="AK196" s="140">
        <f t="shared" si="298"/>
        <v>0</v>
      </c>
      <c r="AL196" s="140">
        <f t="shared" si="298"/>
        <v>0</v>
      </c>
      <c r="AM196" s="140">
        <f t="shared" si="298"/>
        <v>0</v>
      </c>
      <c r="AN196" s="140">
        <f t="shared" si="298"/>
        <v>0</v>
      </c>
      <c r="AO196" s="140">
        <f t="shared" si="298"/>
        <v>0</v>
      </c>
      <c r="AP196" s="140">
        <f t="shared" si="298"/>
        <v>0</v>
      </c>
      <c r="AQ196" s="140">
        <f t="shared" si="298"/>
        <v>0</v>
      </c>
      <c r="AR196" s="140">
        <f t="shared" si="298"/>
        <v>0</v>
      </c>
      <c r="AS196" s="140">
        <f t="shared" si="298"/>
        <v>0</v>
      </c>
      <c r="AT196" s="140">
        <f t="shared" si="298"/>
        <v>0</v>
      </c>
      <c r="AU196" s="140">
        <f t="shared" si="298"/>
        <v>0</v>
      </c>
      <c r="AV196" s="140">
        <f t="shared" si="298"/>
        <v>0</v>
      </c>
      <c r="AW196" s="140">
        <f t="shared" si="298"/>
        <v>0</v>
      </c>
      <c r="AX196" s="140">
        <f t="shared" si="298"/>
        <v>0</v>
      </c>
      <c r="AY196" s="140">
        <f t="shared" si="298"/>
        <v>0</v>
      </c>
      <c r="AZ196" s="140">
        <f t="shared" si="298"/>
        <v>0</v>
      </c>
      <c r="BA196" s="140">
        <f t="shared" si="298"/>
        <v>0</v>
      </c>
      <c r="BB196" s="140">
        <f t="shared" si="298"/>
        <v>0</v>
      </c>
      <c r="BC196" s="140">
        <f t="shared" si="298"/>
        <v>0</v>
      </c>
      <c r="BD196" s="140">
        <f t="shared" si="298"/>
        <v>0</v>
      </c>
      <c r="BE196" s="140">
        <f t="shared" si="298"/>
        <v>0</v>
      </c>
      <c r="BF196" s="140">
        <f t="shared" si="298"/>
        <v>0</v>
      </c>
      <c r="BG196" s="140">
        <f t="shared" si="298"/>
        <v>0</v>
      </c>
      <c r="BH196" s="140">
        <f t="shared" si="298"/>
        <v>0</v>
      </c>
      <c r="BI196" s="140">
        <f t="shared" si="298"/>
        <v>0</v>
      </c>
      <c r="BJ196" s="140">
        <f t="shared" si="298"/>
        <v>0</v>
      </c>
      <c r="BK196" s="140">
        <f t="shared" si="298"/>
        <v>0</v>
      </c>
      <c r="BL196" s="140">
        <f t="shared" si="298"/>
        <v>0</v>
      </c>
      <c r="BM196" s="140">
        <f t="shared" si="298"/>
        <v>0</v>
      </c>
      <c r="BN196" s="140">
        <f t="shared" si="298"/>
        <v>0</v>
      </c>
      <c r="BO196" s="140">
        <f t="shared" ref="BO196:CB196" si="299">IF(BO194&lt;0,0,$B$5+$B$6*((1-EXP(-BO195/$B$9))/(BO195/$B$9))+$B$7*((1-EXP(-BO195/$B$9))/(BO195/$B$9)-EXP(-BO195/$B$9))+$B$8*((1-EXP(-BO195/$B$10))/(BO195/$B$10)-EXP(-BO195/$B$10)))</f>
        <v>0</v>
      </c>
      <c r="BP196" s="140">
        <f t="shared" si="299"/>
        <v>0</v>
      </c>
      <c r="BQ196" s="140">
        <f t="shared" si="299"/>
        <v>0</v>
      </c>
      <c r="BR196" s="140">
        <f t="shared" si="299"/>
        <v>0</v>
      </c>
      <c r="BS196" s="140">
        <f t="shared" si="299"/>
        <v>0</v>
      </c>
      <c r="BT196" s="140">
        <f t="shared" si="299"/>
        <v>0</v>
      </c>
      <c r="BU196" s="140">
        <f t="shared" si="299"/>
        <v>0</v>
      </c>
      <c r="BV196" s="140">
        <f t="shared" si="299"/>
        <v>0</v>
      </c>
      <c r="BW196" s="140">
        <f t="shared" si="299"/>
        <v>0</v>
      </c>
      <c r="BX196" s="140">
        <f t="shared" si="299"/>
        <v>0</v>
      </c>
      <c r="BY196" s="140">
        <f t="shared" si="299"/>
        <v>0</v>
      </c>
      <c r="BZ196" s="140">
        <f t="shared" si="299"/>
        <v>0</v>
      </c>
      <c r="CA196" s="140">
        <f t="shared" si="299"/>
        <v>0</v>
      </c>
      <c r="CB196" s="140">
        <f t="shared" si="299"/>
        <v>0</v>
      </c>
      <c r="CC196" s="17"/>
      <c r="CD196" s="17"/>
      <c r="CE196" s="17"/>
    </row>
    <row r="197" spans="1:83">
      <c r="A197" s="16" t="s">
        <v>44</v>
      </c>
      <c r="B197" s="140">
        <f>EXP(-B196*B195)</f>
        <v>1</v>
      </c>
      <c r="C197" s="140">
        <f t="shared" ref="C197:BN197" si="300">EXP(-C196*C195)</f>
        <v>1</v>
      </c>
      <c r="D197" s="140">
        <f t="shared" si="300"/>
        <v>1</v>
      </c>
      <c r="E197" s="140">
        <f t="shared" si="300"/>
        <v>1</v>
      </c>
      <c r="F197" s="140">
        <f t="shared" si="300"/>
        <v>1</v>
      </c>
      <c r="G197" s="140">
        <f t="shared" si="300"/>
        <v>1</v>
      </c>
      <c r="H197" s="140">
        <f t="shared" si="300"/>
        <v>1</v>
      </c>
      <c r="I197" s="140">
        <f t="shared" si="300"/>
        <v>1</v>
      </c>
      <c r="J197" s="140">
        <f t="shared" si="300"/>
        <v>1</v>
      </c>
      <c r="K197" s="140">
        <f t="shared" si="300"/>
        <v>1</v>
      </c>
      <c r="L197" s="140">
        <f t="shared" si="300"/>
        <v>1</v>
      </c>
      <c r="M197" s="140">
        <f t="shared" si="300"/>
        <v>1</v>
      </c>
      <c r="N197" s="140">
        <f t="shared" si="300"/>
        <v>1</v>
      </c>
      <c r="O197" s="140">
        <f t="shared" si="300"/>
        <v>1</v>
      </c>
      <c r="P197" s="140">
        <f t="shared" si="300"/>
        <v>1</v>
      </c>
      <c r="Q197" s="140">
        <f t="shared" si="300"/>
        <v>1</v>
      </c>
      <c r="R197" s="140">
        <f t="shared" si="300"/>
        <v>1</v>
      </c>
      <c r="S197" s="140">
        <f t="shared" si="300"/>
        <v>1</v>
      </c>
      <c r="T197" s="140">
        <f t="shared" si="300"/>
        <v>1</v>
      </c>
      <c r="U197" s="140">
        <f t="shared" si="300"/>
        <v>1</v>
      </c>
      <c r="V197" s="140">
        <f t="shared" si="300"/>
        <v>1</v>
      </c>
      <c r="W197" s="140">
        <f t="shared" si="300"/>
        <v>1</v>
      </c>
      <c r="X197" s="140">
        <f t="shared" si="300"/>
        <v>1</v>
      </c>
      <c r="Y197" s="140">
        <f t="shared" si="300"/>
        <v>1</v>
      </c>
      <c r="Z197" s="140">
        <f t="shared" si="300"/>
        <v>1</v>
      </c>
      <c r="AA197" s="140">
        <f t="shared" si="300"/>
        <v>1</v>
      </c>
      <c r="AB197" s="140">
        <f t="shared" si="300"/>
        <v>1</v>
      </c>
      <c r="AC197" s="140">
        <f t="shared" si="300"/>
        <v>1</v>
      </c>
      <c r="AD197" s="140">
        <f t="shared" si="300"/>
        <v>1</v>
      </c>
      <c r="AE197" s="140">
        <f t="shared" si="300"/>
        <v>1</v>
      </c>
      <c r="AF197" s="140">
        <f t="shared" si="300"/>
        <v>1</v>
      </c>
      <c r="AG197" s="140">
        <f t="shared" si="300"/>
        <v>1</v>
      </c>
      <c r="AH197" s="140">
        <f t="shared" si="300"/>
        <v>1</v>
      </c>
      <c r="AI197" s="140">
        <f t="shared" si="300"/>
        <v>1</v>
      </c>
      <c r="AJ197" s="140">
        <f t="shared" si="300"/>
        <v>1</v>
      </c>
      <c r="AK197" s="140">
        <f t="shared" si="300"/>
        <v>1</v>
      </c>
      <c r="AL197" s="140">
        <f t="shared" si="300"/>
        <v>1</v>
      </c>
      <c r="AM197" s="140">
        <f t="shared" si="300"/>
        <v>1</v>
      </c>
      <c r="AN197" s="140">
        <f t="shared" si="300"/>
        <v>1</v>
      </c>
      <c r="AO197" s="140">
        <f t="shared" si="300"/>
        <v>1</v>
      </c>
      <c r="AP197" s="140">
        <f t="shared" si="300"/>
        <v>1</v>
      </c>
      <c r="AQ197" s="140">
        <f t="shared" si="300"/>
        <v>1</v>
      </c>
      <c r="AR197" s="140">
        <f t="shared" si="300"/>
        <v>1</v>
      </c>
      <c r="AS197" s="140">
        <f t="shared" si="300"/>
        <v>1</v>
      </c>
      <c r="AT197" s="140">
        <f t="shared" si="300"/>
        <v>1</v>
      </c>
      <c r="AU197" s="140">
        <f t="shared" si="300"/>
        <v>1</v>
      </c>
      <c r="AV197" s="140">
        <f t="shared" si="300"/>
        <v>1</v>
      </c>
      <c r="AW197" s="140">
        <f t="shared" si="300"/>
        <v>1</v>
      </c>
      <c r="AX197" s="140">
        <f t="shared" si="300"/>
        <v>1</v>
      </c>
      <c r="AY197" s="140">
        <f t="shared" si="300"/>
        <v>1</v>
      </c>
      <c r="AZ197" s="140">
        <f t="shared" si="300"/>
        <v>1</v>
      </c>
      <c r="BA197" s="140">
        <f t="shared" si="300"/>
        <v>1</v>
      </c>
      <c r="BB197" s="140">
        <f t="shared" si="300"/>
        <v>1</v>
      </c>
      <c r="BC197" s="140">
        <f t="shared" si="300"/>
        <v>1</v>
      </c>
      <c r="BD197" s="140">
        <f t="shared" si="300"/>
        <v>1</v>
      </c>
      <c r="BE197" s="140">
        <f t="shared" si="300"/>
        <v>1</v>
      </c>
      <c r="BF197" s="140">
        <f t="shared" si="300"/>
        <v>1</v>
      </c>
      <c r="BG197" s="140">
        <f t="shared" si="300"/>
        <v>1</v>
      </c>
      <c r="BH197" s="140">
        <f t="shared" si="300"/>
        <v>1</v>
      </c>
      <c r="BI197" s="140">
        <f t="shared" si="300"/>
        <v>1</v>
      </c>
      <c r="BJ197" s="140">
        <f t="shared" si="300"/>
        <v>1</v>
      </c>
      <c r="BK197" s="140">
        <f t="shared" si="300"/>
        <v>1</v>
      </c>
      <c r="BL197" s="140">
        <f t="shared" si="300"/>
        <v>1</v>
      </c>
      <c r="BM197" s="140">
        <f t="shared" si="300"/>
        <v>1</v>
      </c>
      <c r="BN197" s="140">
        <f t="shared" si="300"/>
        <v>1</v>
      </c>
      <c r="BO197" s="140">
        <f t="shared" ref="BO197:CB197" si="301">EXP(-BO196*BO195)</f>
        <v>1</v>
      </c>
      <c r="BP197" s="140">
        <f t="shared" si="301"/>
        <v>1</v>
      </c>
      <c r="BQ197" s="140">
        <f t="shared" si="301"/>
        <v>1</v>
      </c>
      <c r="BR197" s="140">
        <f t="shared" si="301"/>
        <v>1</v>
      </c>
      <c r="BS197" s="140">
        <f t="shared" si="301"/>
        <v>1</v>
      </c>
      <c r="BT197" s="140">
        <f t="shared" si="301"/>
        <v>1</v>
      </c>
      <c r="BU197" s="140">
        <f t="shared" si="301"/>
        <v>1</v>
      </c>
      <c r="BV197" s="140">
        <f t="shared" si="301"/>
        <v>1</v>
      </c>
      <c r="BW197" s="140">
        <f t="shared" si="301"/>
        <v>1</v>
      </c>
      <c r="BX197" s="140">
        <f t="shared" si="301"/>
        <v>1</v>
      </c>
      <c r="BY197" s="140">
        <f t="shared" si="301"/>
        <v>1</v>
      </c>
      <c r="BZ197" s="140">
        <f t="shared" si="301"/>
        <v>1</v>
      </c>
      <c r="CA197" s="140">
        <f t="shared" si="301"/>
        <v>1</v>
      </c>
      <c r="CB197" s="140">
        <f t="shared" si="301"/>
        <v>1</v>
      </c>
      <c r="CC197" s="17"/>
      <c r="CD197" s="17"/>
      <c r="CE197" s="17"/>
    </row>
    <row r="198" spans="1:83">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c r="BE198" s="17"/>
      <c r="BF198" s="17"/>
      <c r="BG198" s="17"/>
      <c r="BH198" s="17"/>
      <c r="BI198" s="17"/>
      <c r="BJ198" s="17"/>
      <c r="BK198" s="17"/>
      <c r="BL198" s="17"/>
      <c r="BM198" s="17"/>
      <c r="BN198" s="17"/>
      <c r="BO198" s="17"/>
      <c r="BP198" s="17"/>
      <c r="BQ198" s="17"/>
      <c r="BR198" s="17"/>
      <c r="BS198" s="17"/>
      <c r="BT198" s="17"/>
      <c r="BU198" s="17"/>
      <c r="BV198" s="17"/>
      <c r="BW198" s="17"/>
      <c r="BX198" s="17"/>
      <c r="BY198" s="17"/>
      <c r="BZ198" s="17"/>
      <c r="CA198" s="17"/>
      <c r="CB198" s="17"/>
      <c r="CC198" s="17"/>
      <c r="CD198" s="17"/>
      <c r="CE198" s="17"/>
    </row>
    <row r="199" spans="1:83">
      <c r="A199" s="16" t="s">
        <v>40</v>
      </c>
      <c r="B199" s="140">
        <f>DAYS360($B$3,B76)</f>
        <v>-43022</v>
      </c>
      <c r="C199" s="140">
        <f t="shared" ref="C199:BN199" si="302">DAYS360($B$3,C76)</f>
        <v>-42842</v>
      </c>
      <c r="D199" s="140">
        <f t="shared" si="302"/>
        <v>-42662</v>
      </c>
      <c r="E199" s="140">
        <f t="shared" si="302"/>
        <v>-42482</v>
      </c>
      <c r="F199" s="140">
        <f t="shared" si="302"/>
        <v>-42302</v>
      </c>
      <c r="G199" s="140">
        <f t="shared" si="302"/>
        <v>-42122</v>
      </c>
      <c r="H199" s="140">
        <f t="shared" si="302"/>
        <v>-41942</v>
      </c>
      <c r="I199" s="140">
        <f t="shared" si="302"/>
        <v>-41762</v>
      </c>
      <c r="J199" s="140">
        <f t="shared" si="302"/>
        <v>-41582</v>
      </c>
      <c r="K199" s="140">
        <f t="shared" si="302"/>
        <v>-41403</v>
      </c>
      <c r="L199" s="140">
        <f t="shared" si="302"/>
        <v>-41223</v>
      </c>
      <c r="M199" s="140">
        <f t="shared" si="302"/>
        <v>-41043</v>
      </c>
      <c r="N199" s="140">
        <f t="shared" si="302"/>
        <v>-40863</v>
      </c>
      <c r="O199" s="140">
        <f t="shared" si="302"/>
        <v>-40683</v>
      </c>
      <c r="P199" s="140">
        <f t="shared" si="302"/>
        <v>-40503</v>
      </c>
      <c r="Q199" s="140">
        <f t="shared" si="302"/>
        <v>-40323</v>
      </c>
      <c r="R199" s="140">
        <f t="shared" si="302"/>
        <v>-40143</v>
      </c>
      <c r="S199" s="140">
        <f t="shared" si="302"/>
        <v>-39964</v>
      </c>
      <c r="T199" s="140">
        <f t="shared" si="302"/>
        <v>-39784</v>
      </c>
      <c r="U199" s="140">
        <f t="shared" si="302"/>
        <v>-39604</v>
      </c>
      <c r="V199" s="140">
        <f t="shared" si="302"/>
        <v>-39424</v>
      </c>
      <c r="W199" s="140">
        <f t="shared" si="302"/>
        <v>-39244</v>
      </c>
      <c r="X199" s="140">
        <f t="shared" si="302"/>
        <v>-39064</v>
      </c>
      <c r="Y199" s="140">
        <f t="shared" si="302"/>
        <v>-38884</v>
      </c>
      <c r="Z199" s="140">
        <f t="shared" si="302"/>
        <v>-38704</v>
      </c>
      <c r="AA199" s="140">
        <f t="shared" si="302"/>
        <v>-38525</v>
      </c>
      <c r="AB199" s="140">
        <f t="shared" si="302"/>
        <v>-38345</v>
      </c>
      <c r="AC199" s="140">
        <f t="shared" si="302"/>
        <v>-38165</v>
      </c>
      <c r="AD199" s="140">
        <f t="shared" si="302"/>
        <v>-37985</v>
      </c>
      <c r="AE199" s="140">
        <f t="shared" si="302"/>
        <v>-37805</v>
      </c>
      <c r="AF199" s="140">
        <f t="shared" si="302"/>
        <v>-37625</v>
      </c>
      <c r="AG199" s="140">
        <f t="shared" si="302"/>
        <v>-37445</v>
      </c>
      <c r="AH199" s="140">
        <f t="shared" si="302"/>
        <v>-37265</v>
      </c>
      <c r="AI199" s="140">
        <f t="shared" si="302"/>
        <v>-37086</v>
      </c>
      <c r="AJ199" s="140">
        <f t="shared" si="302"/>
        <v>-36906</v>
      </c>
      <c r="AK199" s="140">
        <f t="shared" si="302"/>
        <v>-36726</v>
      </c>
      <c r="AL199" s="140">
        <f t="shared" si="302"/>
        <v>-36546</v>
      </c>
      <c r="AM199" s="140">
        <f t="shared" si="302"/>
        <v>-36366</v>
      </c>
      <c r="AN199" s="140">
        <f t="shared" si="302"/>
        <v>-36186</v>
      </c>
      <c r="AO199" s="140">
        <f t="shared" si="302"/>
        <v>-36006</v>
      </c>
      <c r="AP199" s="140">
        <f t="shared" si="302"/>
        <v>-35826</v>
      </c>
      <c r="AQ199" s="140">
        <f t="shared" si="302"/>
        <v>-35647</v>
      </c>
      <c r="AR199" s="140">
        <f t="shared" si="302"/>
        <v>-35467</v>
      </c>
      <c r="AS199" s="140">
        <f t="shared" si="302"/>
        <v>-35287</v>
      </c>
      <c r="AT199" s="140">
        <f t="shared" si="302"/>
        <v>-35107</v>
      </c>
      <c r="AU199" s="140">
        <f t="shared" si="302"/>
        <v>-34927</v>
      </c>
      <c r="AV199" s="140">
        <f t="shared" si="302"/>
        <v>-34747</v>
      </c>
      <c r="AW199" s="140">
        <f t="shared" si="302"/>
        <v>-34567</v>
      </c>
      <c r="AX199" s="140">
        <f t="shared" si="302"/>
        <v>-34387</v>
      </c>
      <c r="AY199" s="140">
        <f t="shared" si="302"/>
        <v>-34208</v>
      </c>
      <c r="AZ199" s="140">
        <f t="shared" si="302"/>
        <v>-34028</v>
      </c>
      <c r="BA199" s="140">
        <f t="shared" si="302"/>
        <v>-33848</v>
      </c>
      <c r="BB199" s="140">
        <f t="shared" si="302"/>
        <v>-33668</v>
      </c>
      <c r="BC199" s="140">
        <f t="shared" si="302"/>
        <v>-33488</v>
      </c>
      <c r="BD199" s="140">
        <f t="shared" si="302"/>
        <v>-33308</v>
      </c>
      <c r="BE199" s="140">
        <f t="shared" si="302"/>
        <v>-33128</v>
      </c>
      <c r="BF199" s="140">
        <f t="shared" si="302"/>
        <v>-32948</v>
      </c>
      <c r="BG199" s="140">
        <f t="shared" si="302"/>
        <v>-32769</v>
      </c>
      <c r="BH199" s="140">
        <f t="shared" si="302"/>
        <v>-32589</v>
      </c>
      <c r="BI199" s="140">
        <f t="shared" si="302"/>
        <v>-32409</v>
      </c>
      <c r="BJ199" s="140">
        <f t="shared" si="302"/>
        <v>-32229</v>
      </c>
      <c r="BK199" s="140">
        <f t="shared" si="302"/>
        <v>-32049</v>
      </c>
      <c r="BL199" s="140">
        <f t="shared" si="302"/>
        <v>-31869</v>
      </c>
      <c r="BM199" s="140">
        <f t="shared" si="302"/>
        <v>-31689</v>
      </c>
      <c r="BN199" s="140">
        <f t="shared" si="302"/>
        <v>-31509</v>
      </c>
      <c r="BO199" s="140">
        <f t="shared" ref="BO199:CB199" si="303">DAYS360($B$3,BO76)</f>
        <v>-31330</v>
      </c>
      <c r="BP199" s="140">
        <f t="shared" si="303"/>
        <v>-31150</v>
      </c>
      <c r="BQ199" s="140">
        <f t="shared" si="303"/>
        <v>-30970</v>
      </c>
      <c r="BR199" s="140">
        <f t="shared" si="303"/>
        <v>-30790</v>
      </c>
      <c r="BS199" s="140">
        <f t="shared" si="303"/>
        <v>-30610</v>
      </c>
      <c r="BT199" s="140">
        <f t="shared" si="303"/>
        <v>-30430</v>
      </c>
      <c r="BU199" s="140">
        <f t="shared" si="303"/>
        <v>-30250</v>
      </c>
      <c r="BV199" s="140">
        <f t="shared" si="303"/>
        <v>-30070</v>
      </c>
      <c r="BW199" s="140">
        <f t="shared" si="303"/>
        <v>-29891</v>
      </c>
      <c r="BX199" s="140">
        <f t="shared" si="303"/>
        <v>-29711</v>
      </c>
      <c r="BY199" s="140">
        <f t="shared" si="303"/>
        <v>-29531</v>
      </c>
      <c r="BZ199" s="140">
        <f t="shared" si="303"/>
        <v>-29351</v>
      </c>
      <c r="CA199" s="140">
        <f t="shared" si="303"/>
        <v>-29171</v>
      </c>
      <c r="CB199" s="140">
        <f t="shared" si="303"/>
        <v>-28991</v>
      </c>
      <c r="CC199" s="17"/>
      <c r="CD199" s="17"/>
      <c r="CE199" s="17"/>
    </row>
    <row r="200" spans="1:83">
      <c r="A200" s="16" t="s">
        <v>41</v>
      </c>
      <c r="B200" s="140">
        <f>B199/360</f>
        <v>-119.50555555555556</v>
      </c>
      <c r="C200" s="140">
        <f t="shared" ref="C200:BN200" si="304">C199/360</f>
        <v>-119.00555555555556</v>
      </c>
      <c r="D200" s="140">
        <f t="shared" si="304"/>
        <v>-118.50555555555556</v>
      </c>
      <c r="E200" s="140">
        <f t="shared" si="304"/>
        <v>-118.00555555555556</v>
      </c>
      <c r="F200" s="140">
        <f t="shared" si="304"/>
        <v>-117.50555555555556</v>
      </c>
      <c r="G200" s="140">
        <f t="shared" si="304"/>
        <v>-117.00555555555556</v>
      </c>
      <c r="H200" s="140">
        <f t="shared" si="304"/>
        <v>-116.50555555555556</v>
      </c>
      <c r="I200" s="140">
        <f t="shared" si="304"/>
        <v>-116.00555555555556</v>
      </c>
      <c r="J200" s="140">
        <f t="shared" si="304"/>
        <v>-115.50555555555556</v>
      </c>
      <c r="K200" s="140">
        <f t="shared" si="304"/>
        <v>-115.00833333333334</v>
      </c>
      <c r="L200" s="140">
        <f t="shared" si="304"/>
        <v>-114.50833333333334</v>
      </c>
      <c r="M200" s="140">
        <f t="shared" si="304"/>
        <v>-114.00833333333334</v>
      </c>
      <c r="N200" s="140">
        <f t="shared" si="304"/>
        <v>-113.50833333333334</v>
      </c>
      <c r="O200" s="140">
        <f t="shared" si="304"/>
        <v>-113.00833333333334</v>
      </c>
      <c r="P200" s="140">
        <f t="shared" si="304"/>
        <v>-112.50833333333334</v>
      </c>
      <c r="Q200" s="140">
        <f t="shared" si="304"/>
        <v>-112.00833333333334</v>
      </c>
      <c r="R200" s="140">
        <f t="shared" si="304"/>
        <v>-111.50833333333334</v>
      </c>
      <c r="S200" s="140">
        <f t="shared" si="304"/>
        <v>-111.01111111111111</v>
      </c>
      <c r="T200" s="140">
        <f t="shared" si="304"/>
        <v>-110.51111111111111</v>
      </c>
      <c r="U200" s="140">
        <f t="shared" si="304"/>
        <v>-110.01111111111111</v>
      </c>
      <c r="V200" s="140">
        <f t="shared" si="304"/>
        <v>-109.51111111111111</v>
      </c>
      <c r="W200" s="140">
        <f t="shared" si="304"/>
        <v>-109.01111111111111</v>
      </c>
      <c r="X200" s="140">
        <f t="shared" si="304"/>
        <v>-108.51111111111111</v>
      </c>
      <c r="Y200" s="140">
        <f t="shared" si="304"/>
        <v>-108.01111111111111</v>
      </c>
      <c r="Z200" s="140">
        <f t="shared" si="304"/>
        <v>-107.51111111111111</v>
      </c>
      <c r="AA200" s="140">
        <f t="shared" si="304"/>
        <v>-107.01388888888889</v>
      </c>
      <c r="AB200" s="140">
        <f t="shared" si="304"/>
        <v>-106.51388888888889</v>
      </c>
      <c r="AC200" s="140">
        <f t="shared" si="304"/>
        <v>-106.01388888888889</v>
      </c>
      <c r="AD200" s="140">
        <f t="shared" si="304"/>
        <v>-105.51388888888889</v>
      </c>
      <c r="AE200" s="140">
        <f t="shared" si="304"/>
        <v>-105.01388888888889</v>
      </c>
      <c r="AF200" s="140">
        <f t="shared" si="304"/>
        <v>-104.51388888888889</v>
      </c>
      <c r="AG200" s="140">
        <f t="shared" si="304"/>
        <v>-104.01388888888889</v>
      </c>
      <c r="AH200" s="140">
        <f t="shared" si="304"/>
        <v>-103.51388888888889</v>
      </c>
      <c r="AI200" s="140">
        <f t="shared" si="304"/>
        <v>-103.01666666666667</v>
      </c>
      <c r="AJ200" s="140">
        <f t="shared" si="304"/>
        <v>-102.51666666666667</v>
      </c>
      <c r="AK200" s="140">
        <f t="shared" si="304"/>
        <v>-102.01666666666667</v>
      </c>
      <c r="AL200" s="140">
        <f t="shared" si="304"/>
        <v>-101.51666666666667</v>
      </c>
      <c r="AM200" s="140">
        <f t="shared" si="304"/>
        <v>-101.01666666666667</v>
      </c>
      <c r="AN200" s="140">
        <f t="shared" si="304"/>
        <v>-100.51666666666667</v>
      </c>
      <c r="AO200" s="140">
        <f t="shared" si="304"/>
        <v>-100.01666666666667</v>
      </c>
      <c r="AP200" s="140">
        <f t="shared" si="304"/>
        <v>-99.516666666666666</v>
      </c>
      <c r="AQ200" s="140">
        <f t="shared" si="304"/>
        <v>-99.019444444444446</v>
      </c>
      <c r="AR200" s="140">
        <f t="shared" si="304"/>
        <v>-98.519444444444446</v>
      </c>
      <c r="AS200" s="140">
        <f t="shared" si="304"/>
        <v>-98.019444444444446</v>
      </c>
      <c r="AT200" s="140">
        <f t="shared" si="304"/>
        <v>-97.519444444444446</v>
      </c>
      <c r="AU200" s="140">
        <f t="shared" si="304"/>
        <v>-97.019444444444446</v>
      </c>
      <c r="AV200" s="140">
        <f t="shared" si="304"/>
        <v>-96.519444444444446</v>
      </c>
      <c r="AW200" s="140">
        <f t="shared" si="304"/>
        <v>-96.019444444444446</v>
      </c>
      <c r="AX200" s="140">
        <f t="shared" si="304"/>
        <v>-95.519444444444446</v>
      </c>
      <c r="AY200" s="140">
        <f t="shared" si="304"/>
        <v>-95.022222222222226</v>
      </c>
      <c r="AZ200" s="140">
        <f t="shared" si="304"/>
        <v>-94.522222222222226</v>
      </c>
      <c r="BA200" s="140">
        <f t="shared" si="304"/>
        <v>-94.022222222222226</v>
      </c>
      <c r="BB200" s="140">
        <f t="shared" si="304"/>
        <v>-93.522222222222226</v>
      </c>
      <c r="BC200" s="140">
        <f t="shared" si="304"/>
        <v>-93.022222222222226</v>
      </c>
      <c r="BD200" s="140">
        <f t="shared" si="304"/>
        <v>-92.522222222222226</v>
      </c>
      <c r="BE200" s="140">
        <f t="shared" si="304"/>
        <v>-92.022222222222226</v>
      </c>
      <c r="BF200" s="140">
        <f t="shared" si="304"/>
        <v>-91.522222222222226</v>
      </c>
      <c r="BG200" s="140">
        <f t="shared" si="304"/>
        <v>-91.025000000000006</v>
      </c>
      <c r="BH200" s="140">
        <f t="shared" si="304"/>
        <v>-90.525000000000006</v>
      </c>
      <c r="BI200" s="140">
        <f t="shared" si="304"/>
        <v>-90.025000000000006</v>
      </c>
      <c r="BJ200" s="140">
        <f t="shared" si="304"/>
        <v>-89.525000000000006</v>
      </c>
      <c r="BK200" s="140">
        <f t="shared" si="304"/>
        <v>-89.025000000000006</v>
      </c>
      <c r="BL200" s="140">
        <f t="shared" si="304"/>
        <v>-88.525000000000006</v>
      </c>
      <c r="BM200" s="140">
        <f t="shared" si="304"/>
        <v>-88.025000000000006</v>
      </c>
      <c r="BN200" s="140">
        <f t="shared" si="304"/>
        <v>-87.525000000000006</v>
      </c>
      <c r="BO200" s="140">
        <f t="shared" ref="BO200:CB200" si="305">BO199/360</f>
        <v>-87.027777777777771</v>
      </c>
      <c r="BP200" s="140">
        <f t="shared" si="305"/>
        <v>-86.527777777777771</v>
      </c>
      <c r="BQ200" s="140">
        <f t="shared" si="305"/>
        <v>-86.027777777777771</v>
      </c>
      <c r="BR200" s="140">
        <f t="shared" si="305"/>
        <v>-85.527777777777771</v>
      </c>
      <c r="BS200" s="140">
        <f t="shared" si="305"/>
        <v>-85.027777777777771</v>
      </c>
      <c r="BT200" s="140">
        <f t="shared" si="305"/>
        <v>-84.527777777777771</v>
      </c>
      <c r="BU200" s="140">
        <f t="shared" si="305"/>
        <v>-84.027777777777771</v>
      </c>
      <c r="BV200" s="140">
        <f t="shared" si="305"/>
        <v>-83.527777777777771</v>
      </c>
      <c r="BW200" s="140">
        <f t="shared" si="305"/>
        <v>-83.030555555555551</v>
      </c>
      <c r="BX200" s="140">
        <f t="shared" si="305"/>
        <v>-82.530555555555551</v>
      </c>
      <c r="BY200" s="140">
        <f t="shared" si="305"/>
        <v>-82.030555555555551</v>
      </c>
      <c r="BZ200" s="140">
        <f t="shared" si="305"/>
        <v>-81.530555555555551</v>
      </c>
      <c r="CA200" s="140">
        <f t="shared" si="305"/>
        <v>-81.030555555555551</v>
      </c>
      <c r="CB200" s="140">
        <f t="shared" si="305"/>
        <v>-80.530555555555551</v>
      </c>
      <c r="CC200" s="17"/>
      <c r="CD200" s="17"/>
      <c r="CE200" s="17"/>
    </row>
    <row r="201" spans="1:83">
      <c r="A201" s="16" t="s">
        <v>43</v>
      </c>
      <c r="B201" s="140">
        <f>IF(B199&lt;0,0,$B$5+$B$6*((1-EXP(-B200/$B$9))/(B200/$B$9))+$B$7*((1-EXP(-B200/$B$9))/(B200/$B$9)-EXP(-B200/$B$9))+$B$8*((1-EXP(-B200/$B$10))/(B200/$B$10)-EXP(-B200/$B$10)))</f>
        <v>0</v>
      </c>
      <c r="C201" s="140">
        <f t="shared" ref="C201:BN201" si="306">IF(C199&lt;0,0,$B$5+$B$6*((1-EXP(-C200/$B$9))/(C200/$B$9))+$B$7*((1-EXP(-C200/$B$9))/(C200/$B$9)-EXP(-C200/$B$9))+$B$8*((1-EXP(-C200/$B$10))/(C200/$B$10)-EXP(-C200/$B$10)))</f>
        <v>0</v>
      </c>
      <c r="D201" s="140">
        <f t="shared" si="306"/>
        <v>0</v>
      </c>
      <c r="E201" s="140">
        <f t="shared" si="306"/>
        <v>0</v>
      </c>
      <c r="F201" s="140">
        <f t="shared" si="306"/>
        <v>0</v>
      </c>
      <c r="G201" s="140">
        <f t="shared" si="306"/>
        <v>0</v>
      </c>
      <c r="H201" s="140">
        <f t="shared" si="306"/>
        <v>0</v>
      </c>
      <c r="I201" s="140">
        <f t="shared" si="306"/>
        <v>0</v>
      </c>
      <c r="J201" s="140">
        <f t="shared" si="306"/>
        <v>0</v>
      </c>
      <c r="K201" s="140">
        <f t="shared" si="306"/>
        <v>0</v>
      </c>
      <c r="L201" s="140">
        <f t="shared" si="306"/>
        <v>0</v>
      </c>
      <c r="M201" s="140">
        <f t="shared" si="306"/>
        <v>0</v>
      </c>
      <c r="N201" s="140">
        <f t="shared" si="306"/>
        <v>0</v>
      </c>
      <c r="O201" s="140">
        <f t="shared" si="306"/>
        <v>0</v>
      </c>
      <c r="P201" s="140">
        <f t="shared" si="306"/>
        <v>0</v>
      </c>
      <c r="Q201" s="140">
        <f t="shared" si="306"/>
        <v>0</v>
      </c>
      <c r="R201" s="140">
        <f t="shared" si="306"/>
        <v>0</v>
      </c>
      <c r="S201" s="140">
        <f t="shared" si="306"/>
        <v>0</v>
      </c>
      <c r="T201" s="140">
        <f t="shared" si="306"/>
        <v>0</v>
      </c>
      <c r="U201" s="140">
        <f t="shared" si="306"/>
        <v>0</v>
      </c>
      <c r="V201" s="140">
        <f t="shared" si="306"/>
        <v>0</v>
      </c>
      <c r="W201" s="140">
        <f t="shared" si="306"/>
        <v>0</v>
      </c>
      <c r="X201" s="140">
        <f t="shared" si="306"/>
        <v>0</v>
      </c>
      <c r="Y201" s="140">
        <f t="shared" si="306"/>
        <v>0</v>
      </c>
      <c r="Z201" s="140">
        <f t="shared" si="306"/>
        <v>0</v>
      </c>
      <c r="AA201" s="140">
        <f t="shared" si="306"/>
        <v>0</v>
      </c>
      <c r="AB201" s="140">
        <f t="shared" si="306"/>
        <v>0</v>
      </c>
      <c r="AC201" s="140">
        <f t="shared" si="306"/>
        <v>0</v>
      </c>
      <c r="AD201" s="140">
        <f t="shared" si="306"/>
        <v>0</v>
      </c>
      <c r="AE201" s="140">
        <f t="shared" si="306"/>
        <v>0</v>
      </c>
      <c r="AF201" s="140">
        <f t="shared" si="306"/>
        <v>0</v>
      </c>
      <c r="AG201" s="140">
        <f t="shared" si="306"/>
        <v>0</v>
      </c>
      <c r="AH201" s="140">
        <f t="shared" si="306"/>
        <v>0</v>
      </c>
      <c r="AI201" s="140">
        <f t="shared" si="306"/>
        <v>0</v>
      </c>
      <c r="AJ201" s="140">
        <f t="shared" si="306"/>
        <v>0</v>
      </c>
      <c r="AK201" s="140">
        <f t="shared" si="306"/>
        <v>0</v>
      </c>
      <c r="AL201" s="140">
        <f t="shared" si="306"/>
        <v>0</v>
      </c>
      <c r="AM201" s="140">
        <f t="shared" si="306"/>
        <v>0</v>
      </c>
      <c r="AN201" s="140">
        <f t="shared" si="306"/>
        <v>0</v>
      </c>
      <c r="AO201" s="140">
        <f t="shared" si="306"/>
        <v>0</v>
      </c>
      <c r="AP201" s="140">
        <f t="shared" si="306"/>
        <v>0</v>
      </c>
      <c r="AQ201" s="140">
        <f t="shared" si="306"/>
        <v>0</v>
      </c>
      <c r="AR201" s="140">
        <f t="shared" si="306"/>
        <v>0</v>
      </c>
      <c r="AS201" s="140">
        <f t="shared" si="306"/>
        <v>0</v>
      </c>
      <c r="AT201" s="140">
        <f t="shared" si="306"/>
        <v>0</v>
      </c>
      <c r="AU201" s="140">
        <f t="shared" si="306"/>
        <v>0</v>
      </c>
      <c r="AV201" s="140">
        <f t="shared" si="306"/>
        <v>0</v>
      </c>
      <c r="AW201" s="140">
        <f t="shared" si="306"/>
        <v>0</v>
      </c>
      <c r="AX201" s="140">
        <f t="shared" si="306"/>
        <v>0</v>
      </c>
      <c r="AY201" s="140">
        <f t="shared" si="306"/>
        <v>0</v>
      </c>
      <c r="AZ201" s="140">
        <f t="shared" si="306"/>
        <v>0</v>
      </c>
      <c r="BA201" s="140">
        <f t="shared" si="306"/>
        <v>0</v>
      </c>
      <c r="BB201" s="140">
        <f t="shared" si="306"/>
        <v>0</v>
      </c>
      <c r="BC201" s="140">
        <f t="shared" si="306"/>
        <v>0</v>
      </c>
      <c r="BD201" s="140">
        <f t="shared" si="306"/>
        <v>0</v>
      </c>
      <c r="BE201" s="140">
        <f t="shared" si="306"/>
        <v>0</v>
      </c>
      <c r="BF201" s="140">
        <f t="shared" si="306"/>
        <v>0</v>
      </c>
      <c r="BG201" s="140">
        <f t="shared" si="306"/>
        <v>0</v>
      </c>
      <c r="BH201" s="140">
        <f t="shared" si="306"/>
        <v>0</v>
      </c>
      <c r="BI201" s="140">
        <f t="shared" si="306"/>
        <v>0</v>
      </c>
      <c r="BJ201" s="140">
        <f t="shared" si="306"/>
        <v>0</v>
      </c>
      <c r="BK201" s="140">
        <f t="shared" si="306"/>
        <v>0</v>
      </c>
      <c r="BL201" s="140">
        <f t="shared" si="306"/>
        <v>0</v>
      </c>
      <c r="BM201" s="140">
        <f t="shared" si="306"/>
        <v>0</v>
      </c>
      <c r="BN201" s="140">
        <f t="shared" si="306"/>
        <v>0</v>
      </c>
      <c r="BO201" s="140">
        <f t="shared" ref="BO201:CB201" si="307">IF(BO199&lt;0,0,$B$5+$B$6*((1-EXP(-BO200/$B$9))/(BO200/$B$9))+$B$7*((1-EXP(-BO200/$B$9))/(BO200/$B$9)-EXP(-BO200/$B$9))+$B$8*((1-EXP(-BO200/$B$10))/(BO200/$B$10)-EXP(-BO200/$B$10)))</f>
        <v>0</v>
      </c>
      <c r="BP201" s="140">
        <f t="shared" si="307"/>
        <v>0</v>
      </c>
      <c r="BQ201" s="140">
        <f t="shared" si="307"/>
        <v>0</v>
      </c>
      <c r="BR201" s="140">
        <f t="shared" si="307"/>
        <v>0</v>
      </c>
      <c r="BS201" s="140">
        <f t="shared" si="307"/>
        <v>0</v>
      </c>
      <c r="BT201" s="140">
        <f t="shared" si="307"/>
        <v>0</v>
      </c>
      <c r="BU201" s="140">
        <f t="shared" si="307"/>
        <v>0</v>
      </c>
      <c r="BV201" s="140">
        <f t="shared" si="307"/>
        <v>0</v>
      </c>
      <c r="BW201" s="140">
        <f t="shared" si="307"/>
        <v>0</v>
      </c>
      <c r="BX201" s="140">
        <f t="shared" si="307"/>
        <v>0</v>
      </c>
      <c r="BY201" s="140">
        <f t="shared" si="307"/>
        <v>0</v>
      </c>
      <c r="BZ201" s="140">
        <f t="shared" si="307"/>
        <v>0</v>
      </c>
      <c r="CA201" s="140">
        <f t="shared" si="307"/>
        <v>0</v>
      </c>
      <c r="CB201" s="140">
        <f t="shared" si="307"/>
        <v>0</v>
      </c>
      <c r="CC201" s="17"/>
      <c r="CD201" s="17"/>
      <c r="CE201" s="17"/>
    </row>
    <row r="202" spans="1:83">
      <c r="A202" s="16" t="s">
        <v>44</v>
      </c>
      <c r="B202" s="140">
        <f>EXP(-B201*B200)</f>
        <v>1</v>
      </c>
      <c r="C202" s="140">
        <f t="shared" ref="C202:BN202" si="308">EXP(-C201*C200)</f>
        <v>1</v>
      </c>
      <c r="D202" s="140">
        <f t="shared" si="308"/>
        <v>1</v>
      </c>
      <c r="E202" s="140">
        <f t="shared" si="308"/>
        <v>1</v>
      </c>
      <c r="F202" s="140">
        <f t="shared" si="308"/>
        <v>1</v>
      </c>
      <c r="G202" s="140">
        <f t="shared" si="308"/>
        <v>1</v>
      </c>
      <c r="H202" s="140">
        <f t="shared" si="308"/>
        <v>1</v>
      </c>
      <c r="I202" s="140">
        <f t="shared" si="308"/>
        <v>1</v>
      </c>
      <c r="J202" s="140">
        <f t="shared" si="308"/>
        <v>1</v>
      </c>
      <c r="K202" s="140">
        <f t="shared" si="308"/>
        <v>1</v>
      </c>
      <c r="L202" s="140">
        <f t="shared" si="308"/>
        <v>1</v>
      </c>
      <c r="M202" s="140">
        <f t="shared" si="308"/>
        <v>1</v>
      </c>
      <c r="N202" s="140">
        <f t="shared" si="308"/>
        <v>1</v>
      </c>
      <c r="O202" s="140">
        <f t="shared" si="308"/>
        <v>1</v>
      </c>
      <c r="P202" s="140">
        <f t="shared" si="308"/>
        <v>1</v>
      </c>
      <c r="Q202" s="140">
        <f t="shared" si="308"/>
        <v>1</v>
      </c>
      <c r="R202" s="140">
        <f t="shared" si="308"/>
        <v>1</v>
      </c>
      <c r="S202" s="140">
        <f t="shared" si="308"/>
        <v>1</v>
      </c>
      <c r="T202" s="140">
        <f t="shared" si="308"/>
        <v>1</v>
      </c>
      <c r="U202" s="140">
        <f t="shared" si="308"/>
        <v>1</v>
      </c>
      <c r="V202" s="140">
        <f t="shared" si="308"/>
        <v>1</v>
      </c>
      <c r="W202" s="140">
        <f t="shared" si="308"/>
        <v>1</v>
      </c>
      <c r="X202" s="140">
        <f t="shared" si="308"/>
        <v>1</v>
      </c>
      <c r="Y202" s="140">
        <f t="shared" si="308"/>
        <v>1</v>
      </c>
      <c r="Z202" s="140">
        <f t="shared" si="308"/>
        <v>1</v>
      </c>
      <c r="AA202" s="140">
        <f t="shared" si="308"/>
        <v>1</v>
      </c>
      <c r="AB202" s="140">
        <f t="shared" si="308"/>
        <v>1</v>
      </c>
      <c r="AC202" s="140">
        <f t="shared" si="308"/>
        <v>1</v>
      </c>
      <c r="AD202" s="140">
        <f t="shared" si="308"/>
        <v>1</v>
      </c>
      <c r="AE202" s="140">
        <f t="shared" si="308"/>
        <v>1</v>
      </c>
      <c r="AF202" s="140">
        <f t="shared" si="308"/>
        <v>1</v>
      </c>
      <c r="AG202" s="140">
        <f t="shared" si="308"/>
        <v>1</v>
      </c>
      <c r="AH202" s="140">
        <f t="shared" si="308"/>
        <v>1</v>
      </c>
      <c r="AI202" s="140">
        <f t="shared" si="308"/>
        <v>1</v>
      </c>
      <c r="AJ202" s="140">
        <f t="shared" si="308"/>
        <v>1</v>
      </c>
      <c r="AK202" s="140">
        <f t="shared" si="308"/>
        <v>1</v>
      </c>
      <c r="AL202" s="140">
        <f t="shared" si="308"/>
        <v>1</v>
      </c>
      <c r="AM202" s="140">
        <f t="shared" si="308"/>
        <v>1</v>
      </c>
      <c r="AN202" s="140">
        <f t="shared" si="308"/>
        <v>1</v>
      </c>
      <c r="AO202" s="140">
        <f t="shared" si="308"/>
        <v>1</v>
      </c>
      <c r="AP202" s="140">
        <f t="shared" si="308"/>
        <v>1</v>
      </c>
      <c r="AQ202" s="140">
        <f t="shared" si="308"/>
        <v>1</v>
      </c>
      <c r="AR202" s="140">
        <f t="shared" si="308"/>
        <v>1</v>
      </c>
      <c r="AS202" s="140">
        <f t="shared" si="308"/>
        <v>1</v>
      </c>
      <c r="AT202" s="140">
        <f t="shared" si="308"/>
        <v>1</v>
      </c>
      <c r="AU202" s="140">
        <f t="shared" si="308"/>
        <v>1</v>
      </c>
      <c r="AV202" s="140">
        <f t="shared" si="308"/>
        <v>1</v>
      </c>
      <c r="AW202" s="140">
        <f t="shared" si="308"/>
        <v>1</v>
      </c>
      <c r="AX202" s="140">
        <f t="shared" si="308"/>
        <v>1</v>
      </c>
      <c r="AY202" s="140">
        <f t="shared" si="308"/>
        <v>1</v>
      </c>
      <c r="AZ202" s="140">
        <f t="shared" si="308"/>
        <v>1</v>
      </c>
      <c r="BA202" s="140">
        <f t="shared" si="308"/>
        <v>1</v>
      </c>
      <c r="BB202" s="140">
        <f t="shared" si="308"/>
        <v>1</v>
      </c>
      <c r="BC202" s="140">
        <f t="shared" si="308"/>
        <v>1</v>
      </c>
      <c r="BD202" s="140">
        <f t="shared" si="308"/>
        <v>1</v>
      </c>
      <c r="BE202" s="140">
        <f t="shared" si="308"/>
        <v>1</v>
      </c>
      <c r="BF202" s="140">
        <f t="shared" si="308"/>
        <v>1</v>
      </c>
      <c r="BG202" s="140">
        <f t="shared" si="308"/>
        <v>1</v>
      </c>
      <c r="BH202" s="140">
        <f t="shared" si="308"/>
        <v>1</v>
      </c>
      <c r="BI202" s="140">
        <f t="shared" si="308"/>
        <v>1</v>
      </c>
      <c r="BJ202" s="140">
        <f t="shared" si="308"/>
        <v>1</v>
      </c>
      <c r="BK202" s="140">
        <f t="shared" si="308"/>
        <v>1</v>
      </c>
      <c r="BL202" s="140">
        <f t="shared" si="308"/>
        <v>1</v>
      </c>
      <c r="BM202" s="140">
        <f t="shared" si="308"/>
        <v>1</v>
      </c>
      <c r="BN202" s="140">
        <f t="shared" si="308"/>
        <v>1</v>
      </c>
      <c r="BO202" s="140">
        <f t="shared" ref="BO202:CB202" si="309">EXP(-BO201*BO200)</f>
        <v>1</v>
      </c>
      <c r="BP202" s="140">
        <f t="shared" si="309"/>
        <v>1</v>
      </c>
      <c r="BQ202" s="140">
        <f t="shared" si="309"/>
        <v>1</v>
      </c>
      <c r="BR202" s="140">
        <f t="shared" si="309"/>
        <v>1</v>
      </c>
      <c r="BS202" s="140">
        <f t="shared" si="309"/>
        <v>1</v>
      </c>
      <c r="BT202" s="140">
        <f t="shared" si="309"/>
        <v>1</v>
      </c>
      <c r="BU202" s="140">
        <f t="shared" si="309"/>
        <v>1</v>
      </c>
      <c r="BV202" s="140">
        <f t="shared" si="309"/>
        <v>1</v>
      </c>
      <c r="BW202" s="140">
        <f t="shared" si="309"/>
        <v>1</v>
      </c>
      <c r="BX202" s="140">
        <f t="shared" si="309"/>
        <v>1</v>
      </c>
      <c r="BY202" s="140">
        <f t="shared" si="309"/>
        <v>1</v>
      </c>
      <c r="BZ202" s="140">
        <f t="shared" si="309"/>
        <v>1</v>
      </c>
      <c r="CA202" s="140">
        <f t="shared" si="309"/>
        <v>1</v>
      </c>
      <c r="CB202" s="140">
        <f t="shared" si="309"/>
        <v>1</v>
      </c>
      <c r="CC202" s="17"/>
      <c r="CD202" s="17"/>
      <c r="CE202" s="17"/>
    </row>
    <row r="203" spans="1:83">
      <c r="A203" s="17"/>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c r="AP203" s="17"/>
      <c r="AQ203" s="17"/>
      <c r="AR203" s="17"/>
      <c r="AS203" s="17"/>
      <c r="AT203" s="17"/>
      <c r="AU203" s="17"/>
      <c r="AV203" s="17"/>
      <c r="AW203" s="17"/>
      <c r="AX203" s="17"/>
      <c r="AY203" s="17"/>
      <c r="AZ203" s="17"/>
      <c r="BA203" s="17"/>
      <c r="BB203" s="17"/>
      <c r="BC203" s="17"/>
      <c r="BD203" s="17"/>
      <c r="BE203" s="17"/>
      <c r="BF203" s="17"/>
      <c r="BG203" s="17"/>
      <c r="BH203" s="17"/>
      <c r="BI203" s="17"/>
      <c r="BJ203" s="17"/>
      <c r="BK203" s="17"/>
      <c r="BL203" s="17"/>
      <c r="BM203" s="17"/>
      <c r="BN203" s="17"/>
      <c r="BO203" s="17"/>
      <c r="BP203" s="17"/>
      <c r="BQ203" s="17"/>
      <c r="BR203" s="17"/>
      <c r="BS203" s="17"/>
      <c r="BT203" s="17"/>
      <c r="BU203" s="17"/>
      <c r="BV203" s="17"/>
      <c r="BW203" s="17"/>
      <c r="BX203" s="17"/>
      <c r="BY203" s="17"/>
      <c r="BZ203" s="17"/>
      <c r="CA203" s="17"/>
      <c r="CB203" s="17"/>
      <c r="CC203" s="17"/>
      <c r="CD203" s="17"/>
      <c r="CE203" s="17"/>
    </row>
    <row r="204" spans="1:83">
      <c r="A204" s="16" t="s">
        <v>40</v>
      </c>
      <c r="B204" s="140">
        <f>DAYS360($B$3,B78)</f>
        <v>-43022</v>
      </c>
      <c r="C204" s="140">
        <f t="shared" ref="C204:BN204" si="310">DAYS360($B$3,C78)</f>
        <v>-42842</v>
      </c>
      <c r="D204" s="140">
        <f t="shared" si="310"/>
        <v>-42662</v>
      </c>
      <c r="E204" s="140">
        <f t="shared" si="310"/>
        <v>-42482</v>
      </c>
      <c r="F204" s="140">
        <f t="shared" si="310"/>
        <v>-42302</v>
      </c>
      <c r="G204" s="140">
        <f t="shared" si="310"/>
        <v>-42122</v>
      </c>
      <c r="H204" s="140">
        <f t="shared" si="310"/>
        <v>-41942</v>
      </c>
      <c r="I204" s="140">
        <f t="shared" si="310"/>
        <v>-41762</v>
      </c>
      <c r="J204" s="140">
        <f t="shared" si="310"/>
        <v>-41582</v>
      </c>
      <c r="K204" s="140">
        <f t="shared" si="310"/>
        <v>-41403</v>
      </c>
      <c r="L204" s="140">
        <f t="shared" si="310"/>
        <v>-41223</v>
      </c>
      <c r="M204" s="140">
        <f t="shared" si="310"/>
        <v>-41043</v>
      </c>
      <c r="N204" s="140">
        <f t="shared" si="310"/>
        <v>-40863</v>
      </c>
      <c r="O204" s="140">
        <f t="shared" si="310"/>
        <v>-40683</v>
      </c>
      <c r="P204" s="140">
        <f t="shared" si="310"/>
        <v>-40503</v>
      </c>
      <c r="Q204" s="140">
        <f t="shared" si="310"/>
        <v>-40323</v>
      </c>
      <c r="R204" s="140">
        <f t="shared" si="310"/>
        <v>-40143</v>
      </c>
      <c r="S204" s="140">
        <f t="shared" si="310"/>
        <v>-39964</v>
      </c>
      <c r="T204" s="140">
        <f t="shared" si="310"/>
        <v>-39784</v>
      </c>
      <c r="U204" s="140">
        <f t="shared" si="310"/>
        <v>-39604</v>
      </c>
      <c r="V204" s="140">
        <f t="shared" si="310"/>
        <v>-39424</v>
      </c>
      <c r="W204" s="140">
        <f t="shared" si="310"/>
        <v>-39244</v>
      </c>
      <c r="X204" s="140">
        <f t="shared" si="310"/>
        <v>-39064</v>
      </c>
      <c r="Y204" s="140">
        <f t="shared" si="310"/>
        <v>-38884</v>
      </c>
      <c r="Z204" s="140">
        <f t="shared" si="310"/>
        <v>-38704</v>
      </c>
      <c r="AA204" s="140">
        <f t="shared" si="310"/>
        <v>-38525</v>
      </c>
      <c r="AB204" s="140">
        <f t="shared" si="310"/>
        <v>-38345</v>
      </c>
      <c r="AC204" s="140">
        <f t="shared" si="310"/>
        <v>-38165</v>
      </c>
      <c r="AD204" s="140">
        <f t="shared" si="310"/>
        <v>-37985</v>
      </c>
      <c r="AE204" s="140">
        <f t="shared" si="310"/>
        <v>-37805</v>
      </c>
      <c r="AF204" s="140">
        <f t="shared" si="310"/>
        <v>-37625</v>
      </c>
      <c r="AG204" s="140">
        <f t="shared" si="310"/>
        <v>-37445</v>
      </c>
      <c r="AH204" s="140">
        <f t="shared" si="310"/>
        <v>-37265</v>
      </c>
      <c r="AI204" s="140">
        <f t="shared" si="310"/>
        <v>-37086</v>
      </c>
      <c r="AJ204" s="140">
        <f t="shared" si="310"/>
        <v>-36906</v>
      </c>
      <c r="AK204" s="140">
        <f t="shared" si="310"/>
        <v>-36726</v>
      </c>
      <c r="AL204" s="140">
        <f t="shared" si="310"/>
        <v>-36546</v>
      </c>
      <c r="AM204" s="140">
        <f t="shared" si="310"/>
        <v>-36366</v>
      </c>
      <c r="AN204" s="140">
        <f t="shared" si="310"/>
        <v>-36186</v>
      </c>
      <c r="AO204" s="140">
        <f t="shared" si="310"/>
        <v>-36006</v>
      </c>
      <c r="AP204" s="140">
        <f t="shared" si="310"/>
        <v>-35826</v>
      </c>
      <c r="AQ204" s="140">
        <f t="shared" si="310"/>
        <v>-35647</v>
      </c>
      <c r="AR204" s="140">
        <f t="shared" si="310"/>
        <v>-35467</v>
      </c>
      <c r="AS204" s="140">
        <f t="shared" si="310"/>
        <v>-35287</v>
      </c>
      <c r="AT204" s="140">
        <f t="shared" si="310"/>
        <v>-35107</v>
      </c>
      <c r="AU204" s="140">
        <f t="shared" si="310"/>
        <v>-34927</v>
      </c>
      <c r="AV204" s="140">
        <f t="shared" si="310"/>
        <v>-34747</v>
      </c>
      <c r="AW204" s="140">
        <f t="shared" si="310"/>
        <v>-34567</v>
      </c>
      <c r="AX204" s="140">
        <f t="shared" si="310"/>
        <v>-34387</v>
      </c>
      <c r="AY204" s="140">
        <f t="shared" si="310"/>
        <v>-34208</v>
      </c>
      <c r="AZ204" s="140">
        <f t="shared" si="310"/>
        <v>-34028</v>
      </c>
      <c r="BA204" s="140">
        <f t="shared" si="310"/>
        <v>-33848</v>
      </c>
      <c r="BB204" s="140">
        <f t="shared" si="310"/>
        <v>-33668</v>
      </c>
      <c r="BC204" s="140">
        <f t="shared" si="310"/>
        <v>-33488</v>
      </c>
      <c r="BD204" s="140">
        <f t="shared" si="310"/>
        <v>-33308</v>
      </c>
      <c r="BE204" s="140">
        <f t="shared" si="310"/>
        <v>-33128</v>
      </c>
      <c r="BF204" s="140">
        <f t="shared" si="310"/>
        <v>-32948</v>
      </c>
      <c r="BG204" s="140">
        <f t="shared" si="310"/>
        <v>-32769</v>
      </c>
      <c r="BH204" s="140">
        <f t="shared" si="310"/>
        <v>-32589</v>
      </c>
      <c r="BI204" s="140">
        <f t="shared" si="310"/>
        <v>-32409</v>
      </c>
      <c r="BJ204" s="140">
        <f t="shared" si="310"/>
        <v>-32229</v>
      </c>
      <c r="BK204" s="140">
        <f t="shared" si="310"/>
        <v>-32049</v>
      </c>
      <c r="BL204" s="140">
        <f t="shared" si="310"/>
        <v>-31869</v>
      </c>
      <c r="BM204" s="140">
        <f t="shared" si="310"/>
        <v>-31689</v>
      </c>
      <c r="BN204" s="140">
        <f t="shared" si="310"/>
        <v>-31509</v>
      </c>
      <c r="BO204" s="140">
        <f t="shared" ref="BO204:CB204" si="311">DAYS360($B$3,BO78)</f>
        <v>-31330</v>
      </c>
      <c r="BP204" s="140">
        <f t="shared" si="311"/>
        <v>-31150</v>
      </c>
      <c r="BQ204" s="140">
        <f t="shared" si="311"/>
        <v>-30970</v>
      </c>
      <c r="BR204" s="140">
        <f t="shared" si="311"/>
        <v>-30790</v>
      </c>
      <c r="BS204" s="140">
        <f t="shared" si="311"/>
        <v>-30610</v>
      </c>
      <c r="BT204" s="140">
        <f t="shared" si="311"/>
        <v>-30430</v>
      </c>
      <c r="BU204" s="140">
        <f t="shared" si="311"/>
        <v>-30250</v>
      </c>
      <c r="BV204" s="140">
        <f t="shared" si="311"/>
        <v>-30070</v>
      </c>
      <c r="BW204" s="140">
        <f t="shared" si="311"/>
        <v>-29891</v>
      </c>
      <c r="BX204" s="140">
        <f t="shared" si="311"/>
        <v>-29711</v>
      </c>
      <c r="BY204" s="140">
        <f t="shared" si="311"/>
        <v>-29531</v>
      </c>
      <c r="BZ204" s="140">
        <f t="shared" si="311"/>
        <v>-29351</v>
      </c>
      <c r="CA204" s="140">
        <f t="shared" si="311"/>
        <v>-29171</v>
      </c>
      <c r="CB204" s="140">
        <f t="shared" si="311"/>
        <v>-28991</v>
      </c>
      <c r="CC204" s="17"/>
      <c r="CD204" s="17"/>
      <c r="CE204" s="17"/>
    </row>
    <row r="205" spans="1:83">
      <c r="A205" s="16" t="s">
        <v>41</v>
      </c>
      <c r="B205" s="140">
        <f>B204/360</f>
        <v>-119.50555555555556</v>
      </c>
      <c r="C205" s="140">
        <f t="shared" ref="C205:BN205" si="312">C204/360</f>
        <v>-119.00555555555556</v>
      </c>
      <c r="D205" s="140">
        <f t="shared" si="312"/>
        <v>-118.50555555555556</v>
      </c>
      <c r="E205" s="140">
        <f t="shared" si="312"/>
        <v>-118.00555555555556</v>
      </c>
      <c r="F205" s="140">
        <f t="shared" si="312"/>
        <v>-117.50555555555556</v>
      </c>
      <c r="G205" s="140">
        <f t="shared" si="312"/>
        <v>-117.00555555555556</v>
      </c>
      <c r="H205" s="140">
        <f t="shared" si="312"/>
        <v>-116.50555555555556</v>
      </c>
      <c r="I205" s="140">
        <f t="shared" si="312"/>
        <v>-116.00555555555556</v>
      </c>
      <c r="J205" s="140">
        <f t="shared" si="312"/>
        <v>-115.50555555555556</v>
      </c>
      <c r="K205" s="140">
        <f t="shared" si="312"/>
        <v>-115.00833333333334</v>
      </c>
      <c r="L205" s="140">
        <f t="shared" si="312"/>
        <v>-114.50833333333334</v>
      </c>
      <c r="M205" s="140">
        <f t="shared" si="312"/>
        <v>-114.00833333333334</v>
      </c>
      <c r="N205" s="140">
        <f t="shared" si="312"/>
        <v>-113.50833333333334</v>
      </c>
      <c r="O205" s="140">
        <f t="shared" si="312"/>
        <v>-113.00833333333334</v>
      </c>
      <c r="P205" s="140">
        <f t="shared" si="312"/>
        <v>-112.50833333333334</v>
      </c>
      <c r="Q205" s="140">
        <f t="shared" si="312"/>
        <v>-112.00833333333334</v>
      </c>
      <c r="R205" s="140">
        <f t="shared" si="312"/>
        <v>-111.50833333333334</v>
      </c>
      <c r="S205" s="140">
        <f t="shared" si="312"/>
        <v>-111.01111111111111</v>
      </c>
      <c r="T205" s="140">
        <f t="shared" si="312"/>
        <v>-110.51111111111111</v>
      </c>
      <c r="U205" s="140">
        <f t="shared" si="312"/>
        <v>-110.01111111111111</v>
      </c>
      <c r="V205" s="140">
        <f t="shared" si="312"/>
        <v>-109.51111111111111</v>
      </c>
      <c r="W205" s="140">
        <f t="shared" si="312"/>
        <v>-109.01111111111111</v>
      </c>
      <c r="X205" s="140">
        <f t="shared" si="312"/>
        <v>-108.51111111111111</v>
      </c>
      <c r="Y205" s="140">
        <f t="shared" si="312"/>
        <v>-108.01111111111111</v>
      </c>
      <c r="Z205" s="140">
        <f t="shared" si="312"/>
        <v>-107.51111111111111</v>
      </c>
      <c r="AA205" s="140">
        <f t="shared" si="312"/>
        <v>-107.01388888888889</v>
      </c>
      <c r="AB205" s="140">
        <f t="shared" si="312"/>
        <v>-106.51388888888889</v>
      </c>
      <c r="AC205" s="140">
        <f t="shared" si="312"/>
        <v>-106.01388888888889</v>
      </c>
      <c r="AD205" s="140">
        <f t="shared" si="312"/>
        <v>-105.51388888888889</v>
      </c>
      <c r="AE205" s="140">
        <f t="shared" si="312"/>
        <v>-105.01388888888889</v>
      </c>
      <c r="AF205" s="140">
        <f t="shared" si="312"/>
        <v>-104.51388888888889</v>
      </c>
      <c r="AG205" s="140">
        <f t="shared" si="312"/>
        <v>-104.01388888888889</v>
      </c>
      <c r="AH205" s="140">
        <f t="shared" si="312"/>
        <v>-103.51388888888889</v>
      </c>
      <c r="AI205" s="140">
        <f t="shared" si="312"/>
        <v>-103.01666666666667</v>
      </c>
      <c r="AJ205" s="140">
        <f t="shared" si="312"/>
        <v>-102.51666666666667</v>
      </c>
      <c r="AK205" s="140">
        <f t="shared" si="312"/>
        <v>-102.01666666666667</v>
      </c>
      <c r="AL205" s="140">
        <f t="shared" si="312"/>
        <v>-101.51666666666667</v>
      </c>
      <c r="AM205" s="140">
        <f t="shared" si="312"/>
        <v>-101.01666666666667</v>
      </c>
      <c r="AN205" s="140">
        <f t="shared" si="312"/>
        <v>-100.51666666666667</v>
      </c>
      <c r="AO205" s="140">
        <f t="shared" si="312"/>
        <v>-100.01666666666667</v>
      </c>
      <c r="AP205" s="140">
        <f t="shared" si="312"/>
        <v>-99.516666666666666</v>
      </c>
      <c r="AQ205" s="140">
        <f t="shared" si="312"/>
        <v>-99.019444444444446</v>
      </c>
      <c r="AR205" s="140">
        <f t="shared" si="312"/>
        <v>-98.519444444444446</v>
      </c>
      <c r="AS205" s="140">
        <f t="shared" si="312"/>
        <v>-98.019444444444446</v>
      </c>
      <c r="AT205" s="140">
        <f t="shared" si="312"/>
        <v>-97.519444444444446</v>
      </c>
      <c r="AU205" s="140">
        <f t="shared" si="312"/>
        <v>-97.019444444444446</v>
      </c>
      <c r="AV205" s="140">
        <f t="shared" si="312"/>
        <v>-96.519444444444446</v>
      </c>
      <c r="AW205" s="140">
        <f t="shared" si="312"/>
        <v>-96.019444444444446</v>
      </c>
      <c r="AX205" s="140">
        <f t="shared" si="312"/>
        <v>-95.519444444444446</v>
      </c>
      <c r="AY205" s="140">
        <f t="shared" si="312"/>
        <v>-95.022222222222226</v>
      </c>
      <c r="AZ205" s="140">
        <f t="shared" si="312"/>
        <v>-94.522222222222226</v>
      </c>
      <c r="BA205" s="140">
        <f t="shared" si="312"/>
        <v>-94.022222222222226</v>
      </c>
      <c r="BB205" s="140">
        <f t="shared" si="312"/>
        <v>-93.522222222222226</v>
      </c>
      <c r="BC205" s="140">
        <f t="shared" si="312"/>
        <v>-93.022222222222226</v>
      </c>
      <c r="BD205" s="140">
        <f t="shared" si="312"/>
        <v>-92.522222222222226</v>
      </c>
      <c r="BE205" s="140">
        <f t="shared" si="312"/>
        <v>-92.022222222222226</v>
      </c>
      <c r="BF205" s="140">
        <f t="shared" si="312"/>
        <v>-91.522222222222226</v>
      </c>
      <c r="BG205" s="140">
        <f t="shared" si="312"/>
        <v>-91.025000000000006</v>
      </c>
      <c r="BH205" s="140">
        <f t="shared" si="312"/>
        <v>-90.525000000000006</v>
      </c>
      <c r="BI205" s="140">
        <f t="shared" si="312"/>
        <v>-90.025000000000006</v>
      </c>
      <c r="BJ205" s="140">
        <f t="shared" si="312"/>
        <v>-89.525000000000006</v>
      </c>
      <c r="BK205" s="140">
        <f t="shared" si="312"/>
        <v>-89.025000000000006</v>
      </c>
      <c r="BL205" s="140">
        <f t="shared" si="312"/>
        <v>-88.525000000000006</v>
      </c>
      <c r="BM205" s="140">
        <f t="shared" si="312"/>
        <v>-88.025000000000006</v>
      </c>
      <c r="BN205" s="140">
        <f t="shared" si="312"/>
        <v>-87.525000000000006</v>
      </c>
      <c r="BO205" s="140">
        <f t="shared" ref="BO205:CB205" si="313">BO204/360</f>
        <v>-87.027777777777771</v>
      </c>
      <c r="BP205" s="140">
        <f t="shared" si="313"/>
        <v>-86.527777777777771</v>
      </c>
      <c r="BQ205" s="140">
        <f t="shared" si="313"/>
        <v>-86.027777777777771</v>
      </c>
      <c r="BR205" s="140">
        <f t="shared" si="313"/>
        <v>-85.527777777777771</v>
      </c>
      <c r="BS205" s="140">
        <f t="shared" si="313"/>
        <v>-85.027777777777771</v>
      </c>
      <c r="BT205" s="140">
        <f t="shared" si="313"/>
        <v>-84.527777777777771</v>
      </c>
      <c r="BU205" s="140">
        <f t="shared" si="313"/>
        <v>-84.027777777777771</v>
      </c>
      <c r="BV205" s="140">
        <f t="shared" si="313"/>
        <v>-83.527777777777771</v>
      </c>
      <c r="BW205" s="140">
        <f t="shared" si="313"/>
        <v>-83.030555555555551</v>
      </c>
      <c r="BX205" s="140">
        <f t="shared" si="313"/>
        <v>-82.530555555555551</v>
      </c>
      <c r="BY205" s="140">
        <f t="shared" si="313"/>
        <v>-82.030555555555551</v>
      </c>
      <c r="BZ205" s="140">
        <f t="shared" si="313"/>
        <v>-81.530555555555551</v>
      </c>
      <c r="CA205" s="140">
        <f t="shared" si="313"/>
        <v>-81.030555555555551</v>
      </c>
      <c r="CB205" s="140">
        <f t="shared" si="313"/>
        <v>-80.530555555555551</v>
      </c>
      <c r="CC205" s="17"/>
      <c r="CD205" s="17"/>
      <c r="CE205" s="17"/>
    </row>
    <row r="206" spans="1:83">
      <c r="A206" s="16" t="s">
        <v>43</v>
      </c>
      <c r="B206" s="140">
        <f>IF(B204&lt;0,0,$B$5+$B$6*((1-EXP(-B205/$B$9))/(B205/$B$9))+$B$7*((1-EXP(-B205/$B$9))/(B205/$B$9)-EXP(-B205/$B$9))+$B$8*((1-EXP(-B205/$B$10))/(B205/$B$10)-EXP(-B205/$B$10)))</f>
        <v>0</v>
      </c>
      <c r="C206" s="140">
        <f t="shared" ref="C206:BN206" si="314">IF(C204&lt;0,0,$B$5+$B$6*((1-EXP(-C205/$B$9))/(C205/$B$9))+$B$7*((1-EXP(-C205/$B$9))/(C205/$B$9)-EXP(-C205/$B$9))+$B$8*((1-EXP(-C205/$B$10))/(C205/$B$10)-EXP(-C205/$B$10)))</f>
        <v>0</v>
      </c>
      <c r="D206" s="140">
        <f t="shared" si="314"/>
        <v>0</v>
      </c>
      <c r="E206" s="140">
        <f t="shared" si="314"/>
        <v>0</v>
      </c>
      <c r="F206" s="140">
        <f t="shared" si="314"/>
        <v>0</v>
      </c>
      <c r="G206" s="140">
        <f t="shared" si="314"/>
        <v>0</v>
      </c>
      <c r="H206" s="140">
        <f t="shared" si="314"/>
        <v>0</v>
      </c>
      <c r="I206" s="140">
        <f t="shared" si="314"/>
        <v>0</v>
      </c>
      <c r="J206" s="140">
        <f t="shared" si="314"/>
        <v>0</v>
      </c>
      <c r="K206" s="140">
        <f t="shared" si="314"/>
        <v>0</v>
      </c>
      <c r="L206" s="140">
        <f t="shared" si="314"/>
        <v>0</v>
      </c>
      <c r="M206" s="140">
        <f t="shared" si="314"/>
        <v>0</v>
      </c>
      <c r="N206" s="140">
        <f t="shared" si="314"/>
        <v>0</v>
      </c>
      <c r="O206" s="140">
        <f t="shared" si="314"/>
        <v>0</v>
      </c>
      <c r="P206" s="140">
        <f t="shared" si="314"/>
        <v>0</v>
      </c>
      <c r="Q206" s="140">
        <f t="shared" si="314"/>
        <v>0</v>
      </c>
      <c r="R206" s="140">
        <f t="shared" si="314"/>
        <v>0</v>
      </c>
      <c r="S206" s="140">
        <f t="shared" si="314"/>
        <v>0</v>
      </c>
      <c r="T206" s="140">
        <f t="shared" si="314"/>
        <v>0</v>
      </c>
      <c r="U206" s="140">
        <f t="shared" si="314"/>
        <v>0</v>
      </c>
      <c r="V206" s="140">
        <f t="shared" si="314"/>
        <v>0</v>
      </c>
      <c r="W206" s="140">
        <f t="shared" si="314"/>
        <v>0</v>
      </c>
      <c r="X206" s="140">
        <f t="shared" si="314"/>
        <v>0</v>
      </c>
      <c r="Y206" s="140">
        <f t="shared" si="314"/>
        <v>0</v>
      </c>
      <c r="Z206" s="140">
        <f t="shared" si="314"/>
        <v>0</v>
      </c>
      <c r="AA206" s="140">
        <f t="shared" si="314"/>
        <v>0</v>
      </c>
      <c r="AB206" s="140">
        <f t="shared" si="314"/>
        <v>0</v>
      </c>
      <c r="AC206" s="140">
        <f t="shared" si="314"/>
        <v>0</v>
      </c>
      <c r="AD206" s="140">
        <f t="shared" si="314"/>
        <v>0</v>
      </c>
      <c r="AE206" s="140">
        <f t="shared" si="314"/>
        <v>0</v>
      </c>
      <c r="AF206" s="140">
        <f t="shared" si="314"/>
        <v>0</v>
      </c>
      <c r="AG206" s="140">
        <f t="shared" si="314"/>
        <v>0</v>
      </c>
      <c r="AH206" s="140">
        <f t="shared" si="314"/>
        <v>0</v>
      </c>
      <c r="AI206" s="140">
        <f t="shared" si="314"/>
        <v>0</v>
      </c>
      <c r="AJ206" s="140">
        <f t="shared" si="314"/>
        <v>0</v>
      </c>
      <c r="AK206" s="140">
        <f t="shared" si="314"/>
        <v>0</v>
      </c>
      <c r="AL206" s="140">
        <f t="shared" si="314"/>
        <v>0</v>
      </c>
      <c r="AM206" s="140">
        <f t="shared" si="314"/>
        <v>0</v>
      </c>
      <c r="AN206" s="140">
        <f t="shared" si="314"/>
        <v>0</v>
      </c>
      <c r="AO206" s="140">
        <f t="shared" si="314"/>
        <v>0</v>
      </c>
      <c r="AP206" s="140">
        <f t="shared" si="314"/>
        <v>0</v>
      </c>
      <c r="AQ206" s="140">
        <f t="shared" si="314"/>
        <v>0</v>
      </c>
      <c r="AR206" s="140">
        <f t="shared" si="314"/>
        <v>0</v>
      </c>
      <c r="AS206" s="140">
        <f t="shared" si="314"/>
        <v>0</v>
      </c>
      <c r="AT206" s="140">
        <f t="shared" si="314"/>
        <v>0</v>
      </c>
      <c r="AU206" s="140">
        <f t="shared" si="314"/>
        <v>0</v>
      </c>
      <c r="AV206" s="140">
        <f t="shared" si="314"/>
        <v>0</v>
      </c>
      <c r="AW206" s="140">
        <f t="shared" si="314"/>
        <v>0</v>
      </c>
      <c r="AX206" s="140">
        <f t="shared" si="314"/>
        <v>0</v>
      </c>
      <c r="AY206" s="140">
        <f t="shared" si="314"/>
        <v>0</v>
      </c>
      <c r="AZ206" s="140">
        <f t="shared" si="314"/>
        <v>0</v>
      </c>
      <c r="BA206" s="140">
        <f t="shared" si="314"/>
        <v>0</v>
      </c>
      <c r="BB206" s="140">
        <f t="shared" si="314"/>
        <v>0</v>
      </c>
      <c r="BC206" s="140">
        <f t="shared" si="314"/>
        <v>0</v>
      </c>
      <c r="BD206" s="140">
        <f t="shared" si="314"/>
        <v>0</v>
      </c>
      <c r="BE206" s="140">
        <f t="shared" si="314"/>
        <v>0</v>
      </c>
      <c r="BF206" s="140">
        <f t="shared" si="314"/>
        <v>0</v>
      </c>
      <c r="BG206" s="140">
        <f t="shared" si="314"/>
        <v>0</v>
      </c>
      <c r="BH206" s="140">
        <f t="shared" si="314"/>
        <v>0</v>
      </c>
      <c r="BI206" s="140">
        <f t="shared" si="314"/>
        <v>0</v>
      </c>
      <c r="BJ206" s="140">
        <f t="shared" si="314"/>
        <v>0</v>
      </c>
      <c r="BK206" s="140">
        <f t="shared" si="314"/>
        <v>0</v>
      </c>
      <c r="BL206" s="140">
        <f t="shared" si="314"/>
        <v>0</v>
      </c>
      <c r="BM206" s="140">
        <f t="shared" si="314"/>
        <v>0</v>
      </c>
      <c r="BN206" s="140">
        <f t="shared" si="314"/>
        <v>0</v>
      </c>
      <c r="BO206" s="140">
        <f t="shared" ref="BO206:CB206" si="315">IF(BO204&lt;0,0,$B$5+$B$6*((1-EXP(-BO205/$B$9))/(BO205/$B$9))+$B$7*((1-EXP(-BO205/$B$9))/(BO205/$B$9)-EXP(-BO205/$B$9))+$B$8*((1-EXP(-BO205/$B$10))/(BO205/$B$10)-EXP(-BO205/$B$10)))</f>
        <v>0</v>
      </c>
      <c r="BP206" s="140">
        <f t="shared" si="315"/>
        <v>0</v>
      </c>
      <c r="BQ206" s="140">
        <f t="shared" si="315"/>
        <v>0</v>
      </c>
      <c r="BR206" s="140">
        <f t="shared" si="315"/>
        <v>0</v>
      </c>
      <c r="BS206" s="140">
        <f t="shared" si="315"/>
        <v>0</v>
      </c>
      <c r="BT206" s="140">
        <f t="shared" si="315"/>
        <v>0</v>
      </c>
      <c r="BU206" s="140">
        <f t="shared" si="315"/>
        <v>0</v>
      </c>
      <c r="BV206" s="140">
        <f t="shared" si="315"/>
        <v>0</v>
      </c>
      <c r="BW206" s="140">
        <f t="shared" si="315"/>
        <v>0</v>
      </c>
      <c r="BX206" s="140">
        <f t="shared" si="315"/>
        <v>0</v>
      </c>
      <c r="BY206" s="140">
        <f t="shared" si="315"/>
        <v>0</v>
      </c>
      <c r="BZ206" s="140">
        <f t="shared" si="315"/>
        <v>0</v>
      </c>
      <c r="CA206" s="140">
        <f t="shared" si="315"/>
        <v>0</v>
      </c>
      <c r="CB206" s="140">
        <f t="shared" si="315"/>
        <v>0</v>
      </c>
      <c r="CC206" s="17"/>
      <c r="CD206" s="17"/>
      <c r="CE206" s="17"/>
    </row>
    <row r="207" spans="1:83">
      <c r="A207" s="16" t="s">
        <v>44</v>
      </c>
      <c r="B207" s="140">
        <f>EXP(-B206*B205)</f>
        <v>1</v>
      </c>
      <c r="C207" s="140">
        <f t="shared" ref="C207:BN207" si="316">EXP(-C206*C205)</f>
        <v>1</v>
      </c>
      <c r="D207" s="140">
        <f t="shared" si="316"/>
        <v>1</v>
      </c>
      <c r="E207" s="140">
        <f t="shared" si="316"/>
        <v>1</v>
      </c>
      <c r="F207" s="140">
        <f t="shared" si="316"/>
        <v>1</v>
      </c>
      <c r="G207" s="140">
        <f t="shared" si="316"/>
        <v>1</v>
      </c>
      <c r="H207" s="140">
        <f t="shared" si="316"/>
        <v>1</v>
      </c>
      <c r="I207" s="140">
        <f t="shared" si="316"/>
        <v>1</v>
      </c>
      <c r="J207" s="140">
        <f t="shared" si="316"/>
        <v>1</v>
      </c>
      <c r="K207" s="140">
        <f t="shared" si="316"/>
        <v>1</v>
      </c>
      <c r="L207" s="140">
        <f t="shared" si="316"/>
        <v>1</v>
      </c>
      <c r="M207" s="140">
        <f t="shared" si="316"/>
        <v>1</v>
      </c>
      <c r="N207" s="140">
        <f t="shared" si="316"/>
        <v>1</v>
      </c>
      <c r="O207" s="140">
        <f t="shared" si="316"/>
        <v>1</v>
      </c>
      <c r="P207" s="140">
        <f t="shared" si="316"/>
        <v>1</v>
      </c>
      <c r="Q207" s="140">
        <f t="shared" si="316"/>
        <v>1</v>
      </c>
      <c r="R207" s="140">
        <f t="shared" si="316"/>
        <v>1</v>
      </c>
      <c r="S207" s="140">
        <f t="shared" si="316"/>
        <v>1</v>
      </c>
      <c r="T207" s="140">
        <f t="shared" si="316"/>
        <v>1</v>
      </c>
      <c r="U207" s="140">
        <f t="shared" si="316"/>
        <v>1</v>
      </c>
      <c r="V207" s="140">
        <f t="shared" si="316"/>
        <v>1</v>
      </c>
      <c r="W207" s="140">
        <f t="shared" si="316"/>
        <v>1</v>
      </c>
      <c r="X207" s="140">
        <f t="shared" si="316"/>
        <v>1</v>
      </c>
      <c r="Y207" s="140">
        <f t="shared" si="316"/>
        <v>1</v>
      </c>
      <c r="Z207" s="140">
        <f t="shared" si="316"/>
        <v>1</v>
      </c>
      <c r="AA207" s="140">
        <f t="shared" si="316"/>
        <v>1</v>
      </c>
      <c r="AB207" s="140">
        <f t="shared" si="316"/>
        <v>1</v>
      </c>
      <c r="AC207" s="140">
        <f t="shared" si="316"/>
        <v>1</v>
      </c>
      <c r="AD207" s="140">
        <f t="shared" si="316"/>
        <v>1</v>
      </c>
      <c r="AE207" s="140">
        <f t="shared" si="316"/>
        <v>1</v>
      </c>
      <c r="AF207" s="140">
        <f t="shared" si="316"/>
        <v>1</v>
      </c>
      <c r="AG207" s="140">
        <f t="shared" si="316"/>
        <v>1</v>
      </c>
      <c r="AH207" s="140">
        <f t="shared" si="316"/>
        <v>1</v>
      </c>
      <c r="AI207" s="140">
        <f t="shared" si="316"/>
        <v>1</v>
      </c>
      <c r="AJ207" s="140">
        <f t="shared" si="316"/>
        <v>1</v>
      </c>
      <c r="AK207" s="140">
        <f t="shared" si="316"/>
        <v>1</v>
      </c>
      <c r="AL207" s="140">
        <f t="shared" si="316"/>
        <v>1</v>
      </c>
      <c r="AM207" s="140">
        <f t="shared" si="316"/>
        <v>1</v>
      </c>
      <c r="AN207" s="140">
        <f t="shared" si="316"/>
        <v>1</v>
      </c>
      <c r="AO207" s="140">
        <f t="shared" si="316"/>
        <v>1</v>
      </c>
      <c r="AP207" s="140">
        <f t="shared" si="316"/>
        <v>1</v>
      </c>
      <c r="AQ207" s="140">
        <f t="shared" si="316"/>
        <v>1</v>
      </c>
      <c r="AR207" s="140">
        <f t="shared" si="316"/>
        <v>1</v>
      </c>
      <c r="AS207" s="140">
        <f t="shared" si="316"/>
        <v>1</v>
      </c>
      <c r="AT207" s="140">
        <f t="shared" si="316"/>
        <v>1</v>
      </c>
      <c r="AU207" s="140">
        <f t="shared" si="316"/>
        <v>1</v>
      </c>
      <c r="AV207" s="140">
        <f t="shared" si="316"/>
        <v>1</v>
      </c>
      <c r="AW207" s="140">
        <f t="shared" si="316"/>
        <v>1</v>
      </c>
      <c r="AX207" s="140">
        <f t="shared" si="316"/>
        <v>1</v>
      </c>
      <c r="AY207" s="140">
        <f t="shared" si="316"/>
        <v>1</v>
      </c>
      <c r="AZ207" s="140">
        <f t="shared" si="316"/>
        <v>1</v>
      </c>
      <c r="BA207" s="140">
        <f t="shared" si="316"/>
        <v>1</v>
      </c>
      <c r="BB207" s="140">
        <f t="shared" si="316"/>
        <v>1</v>
      </c>
      <c r="BC207" s="140">
        <f t="shared" si="316"/>
        <v>1</v>
      </c>
      <c r="BD207" s="140">
        <f t="shared" si="316"/>
        <v>1</v>
      </c>
      <c r="BE207" s="140">
        <f t="shared" si="316"/>
        <v>1</v>
      </c>
      <c r="BF207" s="140">
        <f t="shared" si="316"/>
        <v>1</v>
      </c>
      <c r="BG207" s="140">
        <f t="shared" si="316"/>
        <v>1</v>
      </c>
      <c r="BH207" s="140">
        <f t="shared" si="316"/>
        <v>1</v>
      </c>
      <c r="BI207" s="140">
        <f t="shared" si="316"/>
        <v>1</v>
      </c>
      <c r="BJ207" s="140">
        <f t="shared" si="316"/>
        <v>1</v>
      </c>
      <c r="BK207" s="140">
        <f t="shared" si="316"/>
        <v>1</v>
      </c>
      <c r="BL207" s="140">
        <f t="shared" si="316"/>
        <v>1</v>
      </c>
      <c r="BM207" s="140">
        <f t="shared" si="316"/>
        <v>1</v>
      </c>
      <c r="BN207" s="140">
        <f t="shared" si="316"/>
        <v>1</v>
      </c>
      <c r="BO207" s="140">
        <f t="shared" ref="BO207:CB207" si="317">EXP(-BO206*BO205)</f>
        <v>1</v>
      </c>
      <c r="BP207" s="140">
        <f t="shared" si="317"/>
        <v>1</v>
      </c>
      <c r="BQ207" s="140">
        <f t="shared" si="317"/>
        <v>1</v>
      </c>
      <c r="BR207" s="140">
        <f t="shared" si="317"/>
        <v>1</v>
      </c>
      <c r="BS207" s="140">
        <f t="shared" si="317"/>
        <v>1</v>
      </c>
      <c r="BT207" s="140">
        <f t="shared" si="317"/>
        <v>1</v>
      </c>
      <c r="BU207" s="140">
        <f t="shared" si="317"/>
        <v>1</v>
      </c>
      <c r="BV207" s="140">
        <f t="shared" si="317"/>
        <v>1</v>
      </c>
      <c r="BW207" s="140">
        <f t="shared" si="317"/>
        <v>1</v>
      </c>
      <c r="BX207" s="140">
        <f t="shared" si="317"/>
        <v>1</v>
      </c>
      <c r="BY207" s="140">
        <f t="shared" si="317"/>
        <v>1</v>
      </c>
      <c r="BZ207" s="140">
        <f t="shared" si="317"/>
        <v>1</v>
      </c>
      <c r="CA207" s="140">
        <f t="shared" si="317"/>
        <v>1</v>
      </c>
      <c r="CB207" s="140">
        <f t="shared" si="317"/>
        <v>1</v>
      </c>
      <c r="CC207" s="17"/>
      <c r="CD207" s="17"/>
      <c r="CE207" s="17"/>
    </row>
    <row r="208" spans="1:83">
      <c r="A208" s="17"/>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c r="AP208" s="17"/>
      <c r="AQ208" s="17"/>
      <c r="AR208" s="17"/>
      <c r="AS208" s="17"/>
      <c r="AT208" s="17"/>
      <c r="AU208" s="17"/>
      <c r="AV208" s="17"/>
      <c r="AW208" s="17"/>
      <c r="AX208" s="17"/>
      <c r="AY208" s="17"/>
      <c r="AZ208" s="17"/>
      <c r="BA208" s="17"/>
      <c r="BB208" s="17"/>
      <c r="BC208" s="17"/>
      <c r="BD208" s="17"/>
      <c r="BE208" s="17"/>
      <c r="BF208" s="17"/>
      <c r="BG208" s="17"/>
      <c r="BH208" s="17"/>
      <c r="BI208" s="17"/>
      <c r="BJ208" s="17"/>
      <c r="BK208" s="17"/>
      <c r="BL208" s="17"/>
      <c r="BM208" s="17"/>
      <c r="BN208" s="17"/>
      <c r="BO208" s="17"/>
      <c r="BP208" s="17"/>
      <c r="BQ208" s="17"/>
      <c r="BR208" s="17"/>
      <c r="BS208" s="17"/>
      <c r="BT208" s="17"/>
      <c r="BU208" s="17"/>
      <c r="BV208" s="17"/>
      <c r="BW208" s="17"/>
      <c r="BX208" s="17"/>
      <c r="BY208" s="17"/>
      <c r="BZ208" s="17"/>
      <c r="CA208" s="17"/>
      <c r="CB208" s="17"/>
      <c r="CC208" s="17"/>
      <c r="CD208" s="17"/>
      <c r="CE208" s="17"/>
    </row>
    <row r="209" spans="1:134">
      <c r="A209" s="16" t="s">
        <v>40</v>
      </c>
      <c r="B209" s="140">
        <f>DAYS360($B$3,B80)</f>
        <v>-43022</v>
      </c>
      <c r="C209" s="140">
        <f t="shared" ref="C209:BN209" si="318">DAYS360($B$3,C80)</f>
        <v>-42842</v>
      </c>
      <c r="D209" s="140">
        <f t="shared" si="318"/>
        <v>-42662</v>
      </c>
      <c r="E209" s="140">
        <f t="shared" si="318"/>
        <v>-42482</v>
      </c>
      <c r="F209" s="140">
        <f t="shared" si="318"/>
        <v>-42302</v>
      </c>
      <c r="G209" s="140">
        <f t="shared" si="318"/>
        <v>-42122</v>
      </c>
      <c r="H209" s="140">
        <f t="shared" si="318"/>
        <v>-41942</v>
      </c>
      <c r="I209" s="140">
        <f t="shared" si="318"/>
        <v>-41762</v>
      </c>
      <c r="J209" s="140">
        <f t="shared" si="318"/>
        <v>-41582</v>
      </c>
      <c r="K209" s="140">
        <f t="shared" si="318"/>
        <v>-41403</v>
      </c>
      <c r="L209" s="140">
        <f t="shared" si="318"/>
        <v>-41223</v>
      </c>
      <c r="M209" s="140">
        <f t="shared" si="318"/>
        <v>-41043</v>
      </c>
      <c r="N209" s="140">
        <f t="shared" si="318"/>
        <v>-40863</v>
      </c>
      <c r="O209" s="140">
        <f t="shared" si="318"/>
        <v>-40683</v>
      </c>
      <c r="P209" s="140">
        <f t="shared" si="318"/>
        <v>-40503</v>
      </c>
      <c r="Q209" s="140">
        <f t="shared" si="318"/>
        <v>-40323</v>
      </c>
      <c r="R209" s="140">
        <f t="shared" si="318"/>
        <v>-40143</v>
      </c>
      <c r="S209" s="140">
        <f t="shared" si="318"/>
        <v>-39964</v>
      </c>
      <c r="T209" s="140">
        <f t="shared" si="318"/>
        <v>-39784</v>
      </c>
      <c r="U209" s="140">
        <f t="shared" si="318"/>
        <v>-39604</v>
      </c>
      <c r="V209" s="140">
        <f t="shared" si="318"/>
        <v>-39424</v>
      </c>
      <c r="W209" s="140">
        <f t="shared" si="318"/>
        <v>-39244</v>
      </c>
      <c r="X209" s="140">
        <f t="shared" si="318"/>
        <v>-39064</v>
      </c>
      <c r="Y209" s="140">
        <f t="shared" si="318"/>
        <v>-38884</v>
      </c>
      <c r="Z209" s="140">
        <f t="shared" si="318"/>
        <v>-38704</v>
      </c>
      <c r="AA209" s="140">
        <f t="shared" si="318"/>
        <v>-38525</v>
      </c>
      <c r="AB209" s="140">
        <f t="shared" si="318"/>
        <v>-38345</v>
      </c>
      <c r="AC209" s="140">
        <f t="shared" si="318"/>
        <v>-38165</v>
      </c>
      <c r="AD209" s="140">
        <f t="shared" si="318"/>
        <v>-37985</v>
      </c>
      <c r="AE209" s="140">
        <f t="shared" si="318"/>
        <v>-37805</v>
      </c>
      <c r="AF209" s="140">
        <f t="shared" si="318"/>
        <v>-37625</v>
      </c>
      <c r="AG209" s="140">
        <f t="shared" si="318"/>
        <v>-37445</v>
      </c>
      <c r="AH209" s="140">
        <f t="shared" si="318"/>
        <v>-37265</v>
      </c>
      <c r="AI209" s="140">
        <f t="shared" si="318"/>
        <v>-37086</v>
      </c>
      <c r="AJ209" s="140">
        <f t="shared" si="318"/>
        <v>-36906</v>
      </c>
      <c r="AK209" s="140">
        <f t="shared" si="318"/>
        <v>-36726</v>
      </c>
      <c r="AL209" s="140">
        <f t="shared" si="318"/>
        <v>-36546</v>
      </c>
      <c r="AM209" s="140">
        <f t="shared" si="318"/>
        <v>-36366</v>
      </c>
      <c r="AN209" s="140">
        <f t="shared" si="318"/>
        <v>-36186</v>
      </c>
      <c r="AO209" s="140">
        <f t="shared" si="318"/>
        <v>-36006</v>
      </c>
      <c r="AP209" s="140">
        <f t="shared" si="318"/>
        <v>-35826</v>
      </c>
      <c r="AQ209" s="140">
        <f t="shared" si="318"/>
        <v>-35647</v>
      </c>
      <c r="AR209" s="140">
        <f t="shared" si="318"/>
        <v>-35467</v>
      </c>
      <c r="AS209" s="140">
        <f t="shared" si="318"/>
        <v>-35287</v>
      </c>
      <c r="AT209" s="140">
        <f t="shared" si="318"/>
        <v>-35107</v>
      </c>
      <c r="AU209" s="140">
        <f t="shared" si="318"/>
        <v>-34927</v>
      </c>
      <c r="AV209" s="140">
        <f t="shared" si="318"/>
        <v>-34747</v>
      </c>
      <c r="AW209" s="140">
        <f t="shared" si="318"/>
        <v>-34567</v>
      </c>
      <c r="AX209" s="140">
        <f t="shared" si="318"/>
        <v>-34387</v>
      </c>
      <c r="AY209" s="140">
        <f t="shared" si="318"/>
        <v>-34208</v>
      </c>
      <c r="AZ209" s="140">
        <f t="shared" si="318"/>
        <v>-34028</v>
      </c>
      <c r="BA209" s="140">
        <f t="shared" si="318"/>
        <v>-33848</v>
      </c>
      <c r="BB209" s="140">
        <f t="shared" si="318"/>
        <v>-33668</v>
      </c>
      <c r="BC209" s="140">
        <f t="shared" si="318"/>
        <v>-33488</v>
      </c>
      <c r="BD209" s="140">
        <f t="shared" si="318"/>
        <v>-33308</v>
      </c>
      <c r="BE209" s="140">
        <f t="shared" si="318"/>
        <v>-33128</v>
      </c>
      <c r="BF209" s="140">
        <f t="shared" si="318"/>
        <v>-32948</v>
      </c>
      <c r="BG209" s="140">
        <f t="shared" si="318"/>
        <v>-32769</v>
      </c>
      <c r="BH209" s="140">
        <f t="shared" si="318"/>
        <v>-32589</v>
      </c>
      <c r="BI209" s="140">
        <f t="shared" si="318"/>
        <v>-32409</v>
      </c>
      <c r="BJ209" s="140">
        <f t="shared" si="318"/>
        <v>-32229</v>
      </c>
      <c r="BK209" s="140">
        <f t="shared" si="318"/>
        <v>-32049</v>
      </c>
      <c r="BL209" s="140">
        <f t="shared" si="318"/>
        <v>-31869</v>
      </c>
      <c r="BM209" s="140">
        <f t="shared" si="318"/>
        <v>-31689</v>
      </c>
      <c r="BN209" s="140">
        <f t="shared" si="318"/>
        <v>-31509</v>
      </c>
      <c r="BO209" s="140">
        <f t="shared" ref="BO209:CB209" si="319">DAYS360($B$3,BO80)</f>
        <v>-31330</v>
      </c>
      <c r="BP209" s="140">
        <f t="shared" si="319"/>
        <v>-31150</v>
      </c>
      <c r="BQ209" s="140">
        <f t="shared" si="319"/>
        <v>-30970</v>
      </c>
      <c r="BR209" s="140">
        <f t="shared" si="319"/>
        <v>-30790</v>
      </c>
      <c r="BS209" s="140">
        <f t="shared" si="319"/>
        <v>-30610</v>
      </c>
      <c r="BT209" s="140">
        <f t="shared" si="319"/>
        <v>-30430</v>
      </c>
      <c r="BU209" s="140">
        <f t="shared" si="319"/>
        <v>-30250</v>
      </c>
      <c r="BV209" s="140">
        <f t="shared" si="319"/>
        <v>-30070</v>
      </c>
      <c r="BW209" s="140">
        <f t="shared" si="319"/>
        <v>-29891</v>
      </c>
      <c r="BX209" s="140">
        <f t="shared" si="319"/>
        <v>-29711</v>
      </c>
      <c r="BY209" s="140">
        <f t="shared" si="319"/>
        <v>-29531</v>
      </c>
      <c r="BZ209" s="140">
        <f t="shared" si="319"/>
        <v>-29351</v>
      </c>
      <c r="CA209" s="140">
        <f t="shared" si="319"/>
        <v>-29171</v>
      </c>
      <c r="CB209" s="140">
        <f t="shared" si="319"/>
        <v>-28991</v>
      </c>
      <c r="CC209" s="17"/>
      <c r="CD209" s="17"/>
      <c r="CE209" s="17"/>
    </row>
    <row r="210" spans="1:134">
      <c r="A210" s="16" t="s">
        <v>41</v>
      </c>
      <c r="B210" s="140">
        <f>B209/360</f>
        <v>-119.50555555555556</v>
      </c>
      <c r="C210" s="140">
        <f t="shared" ref="C210:BN210" si="320">C209/360</f>
        <v>-119.00555555555556</v>
      </c>
      <c r="D210" s="140">
        <f t="shared" si="320"/>
        <v>-118.50555555555556</v>
      </c>
      <c r="E210" s="140">
        <f t="shared" si="320"/>
        <v>-118.00555555555556</v>
      </c>
      <c r="F210" s="140">
        <f t="shared" si="320"/>
        <v>-117.50555555555556</v>
      </c>
      <c r="G210" s="140">
        <f t="shared" si="320"/>
        <v>-117.00555555555556</v>
      </c>
      <c r="H210" s="140">
        <f t="shared" si="320"/>
        <v>-116.50555555555556</v>
      </c>
      <c r="I210" s="140">
        <f t="shared" si="320"/>
        <v>-116.00555555555556</v>
      </c>
      <c r="J210" s="140">
        <f t="shared" si="320"/>
        <v>-115.50555555555556</v>
      </c>
      <c r="K210" s="140">
        <f t="shared" si="320"/>
        <v>-115.00833333333334</v>
      </c>
      <c r="L210" s="140">
        <f t="shared" si="320"/>
        <v>-114.50833333333334</v>
      </c>
      <c r="M210" s="140">
        <f t="shared" si="320"/>
        <v>-114.00833333333334</v>
      </c>
      <c r="N210" s="140">
        <f t="shared" si="320"/>
        <v>-113.50833333333334</v>
      </c>
      <c r="O210" s="140">
        <f t="shared" si="320"/>
        <v>-113.00833333333334</v>
      </c>
      <c r="P210" s="140">
        <f t="shared" si="320"/>
        <v>-112.50833333333334</v>
      </c>
      <c r="Q210" s="140">
        <f t="shared" si="320"/>
        <v>-112.00833333333334</v>
      </c>
      <c r="R210" s="140">
        <f t="shared" si="320"/>
        <v>-111.50833333333334</v>
      </c>
      <c r="S210" s="140">
        <f t="shared" si="320"/>
        <v>-111.01111111111111</v>
      </c>
      <c r="T210" s="140">
        <f t="shared" si="320"/>
        <v>-110.51111111111111</v>
      </c>
      <c r="U210" s="140">
        <f t="shared" si="320"/>
        <v>-110.01111111111111</v>
      </c>
      <c r="V210" s="140">
        <f t="shared" si="320"/>
        <v>-109.51111111111111</v>
      </c>
      <c r="W210" s="140">
        <f t="shared" si="320"/>
        <v>-109.01111111111111</v>
      </c>
      <c r="X210" s="140">
        <f t="shared" si="320"/>
        <v>-108.51111111111111</v>
      </c>
      <c r="Y210" s="140">
        <f t="shared" si="320"/>
        <v>-108.01111111111111</v>
      </c>
      <c r="Z210" s="140">
        <f t="shared" si="320"/>
        <v>-107.51111111111111</v>
      </c>
      <c r="AA210" s="140">
        <f t="shared" si="320"/>
        <v>-107.01388888888889</v>
      </c>
      <c r="AB210" s="140">
        <f t="shared" si="320"/>
        <v>-106.51388888888889</v>
      </c>
      <c r="AC210" s="140">
        <f t="shared" si="320"/>
        <v>-106.01388888888889</v>
      </c>
      <c r="AD210" s="140">
        <f t="shared" si="320"/>
        <v>-105.51388888888889</v>
      </c>
      <c r="AE210" s="140">
        <f t="shared" si="320"/>
        <v>-105.01388888888889</v>
      </c>
      <c r="AF210" s="140">
        <f t="shared" si="320"/>
        <v>-104.51388888888889</v>
      </c>
      <c r="AG210" s="140">
        <f t="shared" si="320"/>
        <v>-104.01388888888889</v>
      </c>
      <c r="AH210" s="140">
        <f t="shared" si="320"/>
        <v>-103.51388888888889</v>
      </c>
      <c r="AI210" s="140">
        <f t="shared" si="320"/>
        <v>-103.01666666666667</v>
      </c>
      <c r="AJ210" s="140">
        <f t="shared" si="320"/>
        <v>-102.51666666666667</v>
      </c>
      <c r="AK210" s="140">
        <f t="shared" si="320"/>
        <v>-102.01666666666667</v>
      </c>
      <c r="AL210" s="140">
        <f t="shared" si="320"/>
        <v>-101.51666666666667</v>
      </c>
      <c r="AM210" s="140">
        <f t="shared" si="320"/>
        <v>-101.01666666666667</v>
      </c>
      <c r="AN210" s="140">
        <f t="shared" si="320"/>
        <v>-100.51666666666667</v>
      </c>
      <c r="AO210" s="140">
        <f t="shared" si="320"/>
        <v>-100.01666666666667</v>
      </c>
      <c r="AP210" s="140">
        <f t="shared" si="320"/>
        <v>-99.516666666666666</v>
      </c>
      <c r="AQ210" s="140">
        <f t="shared" si="320"/>
        <v>-99.019444444444446</v>
      </c>
      <c r="AR210" s="140">
        <f t="shared" si="320"/>
        <v>-98.519444444444446</v>
      </c>
      <c r="AS210" s="140">
        <f t="shared" si="320"/>
        <v>-98.019444444444446</v>
      </c>
      <c r="AT210" s="140">
        <f t="shared" si="320"/>
        <v>-97.519444444444446</v>
      </c>
      <c r="AU210" s="140">
        <f t="shared" si="320"/>
        <v>-97.019444444444446</v>
      </c>
      <c r="AV210" s="140">
        <f t="shared" si="320"/>
        <v>-96.519444444444446</v>
      </c>
      <c r="AW210" s="140">
        <f t="shared" si="320"/>
        <v>-96.019444444444446</v>
      </c>
      <c r="AX210" s="140">
        <f t="shared" si="320"/>
        <v>-95.519444444444446</v>
      </c>
      <c r="AY210" s="140">
        <f t="shared" si="320"/>
        <v>-95.022222222222226</v>
      </c>
      <c r="AZ210" s="140">
        <f t="shared" si="320"/>
        <v>-94.522222222222226</v>
      </c>
      <c r="BA210" s="140">
        <f t="shared" si="320"/>
        <v>-94.022222222222226</v>
      </c>
      <c r="BB210" s="140">
        <f t="shared" si="320"/>
        <v>-93.522222222222226</v>
      </c>
      <c r="BC210" s="140">
        <f t="shared" si="320"/>
        <v>-93.022222222222226</v>
      </c>
      <c r="BD210" s="140">
        <f t="shared" si="320"/>
        <v>-92.522222222222226</v>
      </c>
      <c r="BE210" s="140">
        <f t="shared" si="320"/>
        <v>-92.022222222222226</v>
      </c>
      <c r="BF210" s="140">
        <f t="shared" si="320"/>
        <v>-91.522222222222226</v>
      </c>
      <c r="BG210" s="140">
        <f t="shared" si="320"/>
        <v>-91.025000000000006</v>
      </c>
      <c r="BH210" s="140">
        <f t="shared" si="320"/>
        <v>-90.525000000000006</v>
      </c>
      <c r="BI210" s="140">
        <f t="shared" si="320"/>
        <v>-90.025000000000006</v>
      </c>
      <c r="BJ210" s="140">
        <f t="shared" si="320"/>
        <v>-89.525000000000006</v>
      </c>
      <c r="BK210" s="140">
        <f t="shared" si="320"/>
        <v>-89.025000000000006</v>
      </c>
      <c r="BL210" s="140">
        <f t="shared" si="320"/>
        <v>-88.525000000000006</v>
      </c>
      <c r="BM210" s="140">
        <f t="shared" si="320"/>
        <v>-88.025000000000006</v>
      </c>
      <c r="BN210" s="140">
        <f t="shared" si="320"/>
        <v>-87.525000000000006</v>
      </c>
      <c r="BO210" s="140">
        <f t="shared" ref="BO210:CB210" si="321">BO209/360</f>
        <v>-87.027777777777771</v>
      </c>
      <c r="BP210" s="140">
        <f t="shared" si="321"/>
        <v>-86.527777777777771</v>
      </c>
      <c r="BQ210" s="140">
        <f t="shared" si="321"/>
        <v>-86.027777777777771</v>
      </c>
      <c r="BR210" s="140">
        <f t="shared" si="321"/>
        <v>-85.527777777777771</v>
      </c>
      <c r="BS210" s="140">
        <f t="shared" si="321"/>
        <v>-85.027777777777771</v>
      </c>
      <c r="BT210" s="140">
        <f t="shared" si="321"/>
        <v>-84.527777777777771</v>
      </c>
      <c r="BU210" s="140">
        <f t="shared" si="321"/>
        <v>-84.027777777777771</v>
      </c>
      <c r="BV210" s="140">
        <f t="shared" si="321"/>
        <v>-83.527777777777771</v>
      </c>
      <c r="BW210" s="140">
        <f t="shared" si="321"/>
        <v>-83.030555555555551</v>
      </c>
      <c r="BX210" s="140">
        <f t="shared" si="321"/>
        <v>-82.530555555555551</v>
      </c>
      <c r="BY210" s="140">
        <f t="shared" si="321"/>
        <v>-82.030555555555551</v>
      </c>
      <c r="BZ210" s="140">
        <f t="shared" si="321"/>
        <v>-81.530555555555551</v>
      </c>
      <c r="CA210" s="140">
        <f t="shared" si="321"/>
        <v>-81.030555555555551</v>
      </c>
      <c r="CB210" s="140">
        <f t="shared" si="321"/>
        <v>-80.530555555555551</v>
      </c>
      <c r="CC210" s="17"/>
      <c r="CD210" s="17"/>
      <c r="CE210" s="17"/>
    </row>
    <row r="211" spans="1:134">
      <c r="A211" s="16" t="s">
        <v>43</v>
      </c>
      <c r="B211" s="140">
        <f>IF(B209&lt;0,0,$B$5+$B$6*((1-EXP(-B210/$B$9))/(B210/$B$9))+$B$7*((1-EXP(-B210/$B$9))/(B210/$B$9)-EXP(-B210/$B$9))+$B$8*((1-EXP(-B210/$B$10))/(B210/$B$10)-EXP(-B210/$B$10)))</f>
        <v>0</v>
      </c>
      <c r="C211" s="140">
        <f t="shared" ref="C211:BN211" si="322">IF(C209&lt;0,0,$B$5+$B$6*((1-EXP(-C210/$B$9))/(C210/$B$9))+$B$7*((1-EXP(-C210/$B$9))/(C210/$B$9)-EXP(-C210/$B$9))+$B$8*((1-EXP(-C210/$B$10))/(C210/$B$10)-EXP(-C210/$B$10)))</f>
        <v>0</v>
      </c>
      <c r="D211" s="140">
        <f t="shared" si="322"/>
        <v>0</v>
      </c>
      <c r="E211" s="140">
        <f t="shared" si="322"/>
        <v>0</v>
      </c>
      <c r="F211" s="140">
        <f t="shared" si="322"/>
        <v>0</v>
      </c>
      <c r="G211" s="140">
        <f t="shared" si="322"/>
        <v>0</v>
      </c>
      <c r="H211" s="140">
        <f t="shared" si="322"/>
        <v>0</v>
      </c>
      <c r="I211" s="140">
        <f t="shared" si="322"/>
        <v>0</v>
      </c>
      <c r="J211" s="140">
        <f t="shared" si="322"/>
        <v>0</v>
      </c>
      <c r="K211" s="140">
        <f t="shared" si="322"/>
        <v>0</v>
      </c>
      <c r="L211" s="140">
        <f t="shared" si="322"/>
        <v>0</v>
      </c>
      <c r="M211" s="140">
        <f t="shared" si="322"/>
        <v>0</v>
      </c>
      <c r="N211" s="140">
        <f t="shared" si="322"/>
        <v>0</v>
      </c>
      <c r="O211" s="140">
        <f t="shared" si="322"/>
        <v>0</v>
      </c>
      <c r="P211" s="140">
        <f t="shared" si="322"/>
        <v>0</v>
      </c>
      <c r="Q211" s="140">
        <f t="shared" si="322"/>
        <v>0</v>
      </c>
      <c r="R211" s="140">
        <f t="shared" si="322"/>
        <v>0</v>
      </c>
      <c r="S211" s="140">
        <f t="shared" si="322"/>
        <v>0</v>
      </c>
      <c r="T211" s="140">
        <f t="shared" si="322"/>
        <v>0</v>
      </c>
      <c r="U211" s="140">
        <f t="shared" si="322"/>
        <v>0</v>
      </c>
      <c r="V211" s="140">
        <f t="shared" si="322"/>
        <v>0</v>
      </c>
      <c r="W211" s="140">
        <f t="shared" si="322"/>
        <v>0</v>
      </c>
      <c r="X211" s="140">
        <f t="shared" si="322"/>
        <v>0</v>
      </c>
      <c r="Y211" s="140">
        <f t="shared" si="322"/>
        <v>0</v>
      </c>
      <c r="Z211" s="140">
        <f t="shared" si="322"/>
        <v>0</v>
      </c>
      <c r="AA211" s="140">
        <f t="shared" si="322"/>
        <v>0</v>
      </c>
      <c r="AB211" s="140">
        <f t="shared" si="322"/>
        <v>0</v>
      </c>
      <c r="AC211" s="140">
        <f t="shared" si="322"/>
        <v>0</v>
      </c>
      <c r="AD211" s="140">
        <f t="shared" si="322"/>
        <v>0</v>
      </c>
      <c r="AE211" s="140">
        <f t="shared" si="322"/>
        <v>0</v>
      </c>
      <c r="AF211" s="140">
        <f t="shared" si="322"/>
        <v>0</v>
      </c>
      <c r="AG211" s="140">
        <f t="shared" si="322"/>
        <v>0</v>
      </c>
      <c r="AH211" s="140">
        <f t="shared" si="322"/>
        <v>0</v>
      </c>
      <c r="AI211" s="140">
        <f t="shared" si="322"/>
        <v>0</v>
      </c>
      <c r="AJ211" s="140">
        <f t="shared" si="322"/>
        <v>0</v>
      </c>
      <c r="AK211" s="140">
        <f t="shared" si="322"/>
        <v>0</v>
      </c>
      <c r="AL211" s="140">
        <f t="shared" si="322"/>
        <v>0</v>
      </c>
      <c r="AM211" s="140">
        <f t="shared" si="322"/>
        <v>0</v>
      </c>
      <c r="AN211" s="140">
        <f t="shared" si="322"/>
        <v>0</v>
      </c>
      <c r="AO211" s="140">
        <f t="shared" si="322"/>
        <v>0</v>
      </c>
      <c r="AP211" s="140">
        <f t="shared" si="322"/>
        <v>0</v>
      </c>
      <c r="AQ211" s="140">
        <f t="shared" si="322"/>
        <v>0</v>
      </c>
      <c r="AR211" s="140">
        <f t="shared" si="322"/>
        <v>0</v>
      </c>
      <c r="AS211" s="140">
        <f t="shared" si="322"/>
        <v>0</v>
      </c>
      <c r="AT211" s="140">
        <f t="shared" si="322"/>
        <v>0</v>
      </c>
      <c r="AU211" s="140">
        <f t="shared" si="322"/>
        <v>0</v>
      </c>
      <c r="AV211" s="140">
        <f t="shared" si="322"/>
        <v>0</v>
      </c>
      <c r="AW211" s="140">
        <f t="shared" si="322"/>
        <v>0</v>
      </c>
      <c r="AX211" s="140">
        <f t="shared" si="322"/>
        <v>0</v>
      </c>
      <c r="AY211" s="140">
        <f t="shared" si="322"/>
        <v>0</v>
      </c>
      <c r="AZ211" s="140">
        <f t="shared" si="322"/>
        <v>0</v>
      </c>
      <c r="BA211" s="140">
        <f t="shared" si="322"/>
        <v>0</v>
      </c>
      <c r="BB211" s="140">
        <f t="shared" si="322"/>
        <v>0</v>
      </c>
      <c r="BC211" s="140">
        <f t="shared" si="322"/>
        <v>0</v>
      </c>
      <c r="BD211" s="140">
        <f t="shared" si="322"/>
        <v>0</v>
      </c>
      <c r="BE211" s="140">
        <f t="shared" si="322"/>
        <v>0</v>
      </c>
      <c r="BF211" s="140">
        <f t="shared" si="322"/>
        <v>0</v>
      </c>
      <c r="BG211" s="140">
        <f t="shared" si="322"/>
        <v>0</v>
      </c>
      <c r="BH211" s="140">
        <f t="shared" si="322"/>
        <v>0</v>
      </c>
      <c r="BI211" s="140">
        <f t="shared" si="322"/>
        <v>0</v>
      </c>
      <c r="BJ211" s="140">
        <f t="shared" si="322"/>
        <v>0</v>
      </c>
      <c r="BK211" s="140">
        <f t="shared" si="322"/>
        <v>0</v>
      </c>
      <c r="BL211" s="140">
        <f t="shared" si="322"/>
        <v>0</v>
      </c>
      <c r="BM211" s="140">
        <f t="shared" si="322"/>
        <v>0</v>
      </c>
      <c r="BN211" s="140">
        <f t="shared" si="322"/>
        <v>0</v>
      </c>
      <c r="BO211" s="140">
        <f t="shared" ref="BO211:CB211" si="323">IF(BO209&lt;0,0,$B$5+$B$6*((1-EXP(-BO210/$B$9))/(BO210/$B$9))+$B$7*((1-EXP(-BO210/$B$9))/(BO210/$B$9)-EXP(-BO210/$B$9))+$B$8*((1-EXP(-BO210/$B$10))/(BO210/$B$10)-EXP(-BO210/$B$10)))</f>
        <v>0</v>
      </c>
      <c r="BP211" s="140">
        <f t="shared" si="323"/>
        <v>0</v>
      </c>
      <c r="BQ211" s="140">
        <f t="shared" si="323"/>
        <v>0</v>
      </c>
      <c r="BR211" s="140">
        <f t="shared" si="323"/>
        <v>0</v>
      </c>
      <c r="BS211" s="140">
        <f t="shared" si="323"/>
        <v>0</v>
      </c>
      <c r="BT211" s="140">
        <f t="shared" si="323"/>
        <v>0</v>
      </c>
      <c r="BU211" s="140">
        <f t="shared" si="323"/>
        <v>0</v>
      </c>
      <c r="BV211" s="140">
        <f t="shared" si="323"/>
        <v>0</v>
      </c>
      <c r="BW211" s="140">
        <f t="shared" si="323"/>
        <v>0</v>
      </c>
      <c r="BX211" s="140">
        <f t="shared" si="323"/>
        <v>0</v>
      </c>
      <c r="BY211" s="140">
        <f t="shared" si="323"/>
        <v>0</v>
      </c>
      <c r="BZ211" s="140">
        <f t="shared" si="323"/>
        <v>0</v>
      </c>
      <c r="CA211" s="140">
        <f t="shared" si="323"/>
        <v>0</v>
      </c>
      <c r="CB211" s="140">
        <f t="shared" si="323"/>
        <v>0</v>
      </c>
      <c r="CC211" s="17"/>
      <c r="CD211" s="17"/>
      <c r="CE211" s="17"/>
    </row>
    <row r="212" spans="1:134">
      <c r="A212" s="16" t="s">
        <v>44</v>
      </c>
      <c r="B212" s="140">
        <f>EXP(-B211*B210)</f>
        <v>1</v>
      </c>
      <c r="C212" s="140">
        <f t="shared" ref="C212:BN212" si="324">EXP(-C211*C210)</f>
        <v>1</v>
      </c>
      <c r="D212" s="140">
        <f t="shared" si="324"/>
        <v>1</v>
      </c>
      <c r="E212" s="140">
        <f t="shared" si="324"/>
        <v>1</v>
      </c>
      <c r="F212" s="140">
        <f t="shared" si="324"/>
        <v>1</v>
      </c>
      <c r="G212" s="140">
        <f t="shared" si="324"/>
        <v>1</v>
      </c>
      <c r="H212" s="140">
        <f t="shared" si="324"/>
        <v>1</v>
      </c>
      <c r="I212" s="140">
        <f t="shared" si="324"/>
        <v>1</v>
      </c>
      <c r="J212" s="140">
        <f t="shared" si="324"/>
        <v>1</v>
      </c>
      <c r="K212" s="140">
        <f t="shared" si="324"/>
        <v>1</v>
      </c>
      <c r="L212" s="140">
        <f t="shared" si="324"/>
        <v>1</v>
      </c>
      <c r="M212" s="140">
        <f t="shared" si="324"/>
        <v>1</v>
      </c>
      <c r="N212" s="140">
        <f t="shared" si="324"/>
        <v>1</v>
      </c>
      <c r="O212" s="140">
        <f t="shared" si="324"/>
        <v>1</v>
      </c>
      <c r="P212" s="140">
        <f t="shared" si="324"/>
        <v>1</v>
      </c>
      <c r="Q212" s="140">
        <f t="shared" si="324"/>
        <v>1</v>
      </c>
      <c r="R212" s="140">
        <f t="shared" si="324"/>
        <v>1</v>
      </c>
      <c r="S212" s="140">
        <f t="shared" si="324"/>
        <v>1</v>
      </c>
      <c r="T212" s="140">
        <f t="shared" si="324"/>
        <v>1</v>
      </c>
      <c r="U212" s="140">
        <f t="shared" si="324"/>
        <v>1</v>
      </c>
      <c r="V212" s="140">
        <f t="shared" si="324"/>
        <v>1</v>
      </c>
      <c r="W212" s="140">
        <f t="shared" si="324"/>
        <v>1</v>
      </c>
      <c r="X212" s="140">
        <f t="shared" si="324"/>
        <v>1</v>
      </c>
      <c r="Y212" s="140">
        <f t="shared" si="324"/>
        <v>1</v>
      </c>
      <c r="Z212" s="140">
        <f t="shared" si="324"/>
        <v>1</v>
      </c>
      <c r="AA212" s="140">
        <f t="shared" si="324"/>
        <v>1</v>
      </c>
      <c r="AB212" s="140">
        <f t="shared" si="324"/>
        <v>1</v>
      </c>
      <c r="AC212" s="140">
        <f t="shared" si="324"/>
        <v>1</v>
      </c>
      <c r="AD212" s="140">
        <f t="shared" si="324"/>
        <v>1</v>
      </c>
      <c r="AE212" s="140">
        <f t="shared" si="324"/>
        <v>1</v>
      </c>
      <c r="AF212" s="140">
        <f t="shared" si="324"/>
        <v>1</v>
      </c>
      <c r="AG212" s="140">
        <f t="shared" si="324"/>
        <v>1</v>
      </c>
      <c r="AH212" s="140">
        <f t="shared" si="324"/>
        <v>1</v>
      </c>
      <c r="AI212" s="140">
        <f t="shared" si="324"/>
        <v>1</v>
      </c>
      <c r="AJ212" s="140">
        <f t="shared" si="324"/>
        <v>1</v>
      </c>
      <c r="AK212" s="140">
        <f t="shared" si="324"/>
        <v>1</v>
      </c>
      <c r="AL212" s="140">
        <f t="shared" si="324"/>
        <v>1</v>
      </c>
      <c r="AM212" s="140">
        <f t="shared" si="324"/>
        <v>1</v>
      </c>
      <c r="AN212" s="140">
        <f t="shared" si="324"/>
        <v>1</v>
      </c>
      <c r="AO212" s="140">
        <f t="shared" si="324"/>
        <v>1</v>
      </c>
      <c r="AP212" s="140">
        <f t="shared" si="324"/>
        <v>1</v>
      </c>
      <c r="AQ212" s="140">
        <f t="shared" si="324"/>
        <v>1</v>
      </c>
      <c r="AR212" s="140">
        <f t="shared" si="324"/>
        <v>1</v>
      </c>
      <c r="AS212" s="140">
        <f t="shared" si="324"/>
        <v>1</v>
      </c>
      <c r="AT212" s="140">
        <f t="shared" si="324"/>
        <v>1</v>
      </c>
      <c r="AU212" s="140">
        <f t="shared" si="324"/>
        <v>1</v>
      </c>
      <c r="AV212" s="140">
        <f t="shared" si="324"/>
        <v>1</v>
      </c>
      <c r="AW212" s="140">
        <f t="shared" si="324"/>
        <v>1</v>
      </c>
      <c r="AX212" s="140">
        <f t="shared" si="324"/>
        <v>1</v>
      </c>
      <c r="AY212" s="140">
        <f t="shared" si="324"/>
        <v>1</v>
      </c>
      <c r="AZ212" s="140">
        <f t="shared" si="324"/>
        <v>1</v>
      </c>
      <c r="BA212" s="140">
        <f t="shared" si="324"/>
        <v>1</v>
      </c>
      <c r="BB212" s="140">
        <f t="shared" si="324"/>
        <v>1</v>
      </c>
      <c r="BC212" s="140">
        <f t="shared" si="324"/>
        <v>1</v>
      </c>
      <c r="BD212" s="140">
        <f t="shared" si="324"/>
        <v>1</v>
      </c>
      <c r="BE212" s="140">
        <f t="shared" si="324"/>
        <v>1</v>
      </c>
      <c r="BF212" s="140">
        <f t="shared" si="324"/>
        <v>1</v>
      </c>
      <c r="BG212" s="140">
        <f t="shared" si="324"/>
        <v>1</v>
      </c>
      <c r="BH212" s="140">
        <f t="shared" si="324"/>
        <v>1</v>
      </c>
      <c r="BI212" s="140">
        <f t="shared" si="324"/>
        <v>1</v>
      </c>
      <c r="BJ212" s="140">
        <f t="shared" si="324"/>
        <v>1</v>
      </c>
      <c r="BK212" s="140">
        <f t="shared" si="324"/>
        <v>1</v>
      </c>
      <c r="BL212" s="140">
        <f t="shared" si="324"/>
        <v>1</v>
      </c>
      <c r="BM212" s="140">
        <f t="shared" si="324"/>
        <v>1</v>
      </c>
      <c r="BN212" s="140">
        <f t="shared" si="324"/>
        <v>1</v>
      </c>
      <c r="BO212" s="140">
        <f t="shared" ref="BO212:CB212" si="325">EXP(-BO211*BO210)</f>
        <v>1</v>
      </c>
      <c r="BP212" s="140">
        <f t="shared" si="325"/>
        <v>1</v>
      </c>
      <c r="BQ212" s="140">
        <f t="shared" si="325"/>
        <v>1</v>
      </c>
      <c r="BR212" s="140">
        <f t="shared" si="325"/>
        <v>1</v>
      </c>
      <c r="BS212" s="140">
        <f t="shared" si="325"/>
        <v>1</v>
      </c>
      <c r="BT212" s="140">
        <f t="shared" si="325"/>
        <v>1</v>
      </c>
      <c r="BU212" s="140">
        <f t="shared" si="325"/>
        <v>1</v>
      </c>
      <c r="BV212" s="140">
        <f t="shared" si="325"/>
        <v>1</v>
      </c>
      <c r="BW212" s="140">
        <f t="shared" si="325"/>
        <v>1</v>
      </c>
      <c r="BX212" s="140">
        <f t="shared" si="325"/>
        <v>1</v>
      </c>
      <c r="BY212" s="140">
        <f t="shared" si="325"/>
        <v>1</v>
      </c>
      <c r="BZ212" s="140">
        <f t="shared" si="325"/>
        <v>1</v>
      </c>
      <c r="CA212" s="140">
        <f t="shared" si="325"/>
        <v>1</v>
      </c>
      <c r="CB212" s="140">
        <f t="shared" si="325"/>
        <v>1</v>
      </c>
      <c r="CC212" s="17"/>
      <c r="CD212" s="17"/>
      <c r="CE212" s="17"/>
    </row>
    <row r="213" spans="1:134">
      <c r="A213" s="17"/>
      <c r="B213" s="17"/>
      <c r="C213" s="17"/>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c r="AP213" s="17"/>
      <c r="AQ213" s="17"/>
      <c r="AR213" s="17"/>
      <c r="AS213" s="17"/>
      <c r="AT213" s="17"/>
      <c r="AU213" s="17"/>
      <c r="AV213" s="17"/>
      <c r="AW213" s="17"/>
      <c r="AX213" s="17"/>
      <c r="AY213" s="17"/>
      <c r="AZ213" s="17"/>
      <c r="BA213" s="17"/>
      <c r="BB213" s="17"/>
      <c r="BC213" s="17"/>
      <c r="BD213" s="17"/>
      <c r="BE213" s="17"/>
      <c r="BF213" s="17"/>
      <c r="BG213" s="17"/>
      <c r="BH213" s="17"/>
      <c r="BI213" s="17"/>
      <c r="BJ213" s="17"/>
      <c r="BK213" s="17"/>
      <c r="BL213" s="17"/>
      <c r="BM213" s="17"/>
      <c r="BN213" s="17"/>
      <c r="BO213" s="17"/>
      <c r="BP213" s="17"/>
      <c r="BQ213" s="17"/>
      <c r="BR213" s="17"/>
      <c r="BS213" s="17"/>
      <c r="BT213" s="17"/>
      <c r="BU213" s="17"/>
      <c r="BV213" s="17"/>
      <c r="BW213" s="17"/>
      <c r="BX213" s="17"/>
      <c r="BY213" s="17"/>
      <c r="BZ213" s="17"/>
      <c r="CA213" s="17"/>
      <c r="CB213" s="17"/>
      <c r="CC213" s="17"/>
      <c r="CD213" s="17"/>
      <c r="CE213" s="17"/>
    </row>
    <row r="214" spans="1:134">
      <c r="A214" s="16" t="s">
        <v>45</v>
      </c>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7"/>
      <c r="CD214" s="17"/>
      <c r="CE214" s="17"/>
    </row>
    <row r="215" spans="1:134">
      <c r="A215" s="18" t="str">
        <f>A31</f>
        <v>Bond 1</v>
      </c>
      <c r="B215" s="18">
        <f t="shared" ref="B215:BM215" si="326">B31*B87</f>
        <v>99.65613909743945</v>
      </c>
      <c r="C215" s="18">
        <f t="shared" si="326"/>
        <v>0</v>
      </c>
      <c r="D215" s="18">
        <f t="shared" si="326"/>
        <v>0</v>
      </c>
      <c r="E215" s="18">
        <f t="shared" si="326"/>
        <v>0</v>
      </c>
      <c r="F215" s="18">
        <f t="shared" si="326"/>
        <v>0</v>
      </c>
      <c r="G215" s="18">
        <f t="shared" si="326"/>
        <v>0</v>
      </c>
      <c r="H215" s="18">
        <f t="shared" si="326"/>
        <v>0</v>
      </c>
      <c r="I215" s="18">
        <f t="shared" si="326"/>
        <v>0</v>
      </c>
      <c r="J215" s="18">
        <f t="shared" si="326"/>
        <v>0</v>
      </c>
      <c r="K215" s="18">
        <f t="shared" si="326"/>
        <v>0</v>
      </c>
      <c r="L215" s="18">
        <f t="shared" si="326"/>
        <v>0</v>
      </c>
      <c r="M215" s="18">
        <f t="shared" si="326"/>
        <v>0</v>
      </c>
      <c r="N215" s="18">
        <f t="shared" si="326"/>
        <v>0</v>
      </c>
      <c r="O215" s="18">
        <f t="shared" si="326"/>
        <v>0</v>
      </c>
      <c r="P215" s="18">
        <f t="shared" si="326"/>
        <v>0</v>
      </c>
      <c r="Q215" s="18">
        <f t="shared" si="326"/>
        <v>0</v>
      </c>
      <c r="R215" s="18">
        <f t="shared" si="326"/>
        <v>0</v>
      </c>
      <c r="S215" s="18">
        <f t="shared" si="326"/>
        <v>0</v>
      </c>
      <c r="T215" s="18">
        <f t="shared" si="326"/>
        <v>0</v>
      </c>
      <c r="U215" s="18">
        <f t="shared" si="326"/>
        <v>0</v>
      </c>
      <c r="V215" s="18">
        <f t="shared" si="326"/>
        <v>0</v>
      </c>
      <c r="W215" s="18">
        <f t="shared" si="326"/>
        <v>0</v>
      </c>
      <c r="X215" s="18">
        <f t="shared" si="326"/>
        <v>0</v>
      </c>
      <c r="Y215" s="18">
        <f t="shared" si="326"/>
        <v>0</v>
      </c>
      <c r="Z215" s="18">
        <f t="shared" si="326"/>
        <v>0</v>
      </c>
      <c r="AA215" s="18">
        <f t="shared" si="326"/>
        <v>0</v>
      </c>
      <c r="AB215" s="18">
        <f t="shared" si="326"/>
        <v>0</v>
      </c>
      <c r="AC215" s="18">
        <f t="shared" si="326"/>
        <v>0</v>
      </c>
      <c r="AD215" s="18">
        <f t="shared" si="326"/>
        <v>0</v>
      </c>
      <c r="AE215" s="18">
        <f t="shared" si="326"/>
        <v>0</v>
      </c>
      <c r="AF215" s="18">
        <f t="shared" si="326"/>
        <v>0</v>
      </c>
      <c r="AG215" s="18">
        <f t="shared" si="326"/>
        <v>0</v>
      </c>
      <c r="AH215" s="18">
        <f t="shared" si="326"/>
        <v>0</v>
      </c>
      <c r="AI215" s="18">
        <f t="shared" si="326"/>
        <v>0</v>
      </c>
      <c r="AJ215" s="18">
        <f t="shared" si="326"/>
        <v>0</v>
      </c>
      <c r="AK215" s="18">
        <f t="shared" si="326"/>
        <v>0</v>
      </c>
      <c r="AL215" s="18">
        <f t="shared" si="326"/>
        <v>0</v>
      </c>
      <c r="AM215" s="18">
        <f t="shared" si="326"/>
        <v>0</v>
      </c>
      <c r="AN215" s="18">
        <f t="shared" si="326"/>
        <v>0</v>
      </c>
      <c r="AO215" s="18">
        <f t="shared" si="326"/>
        <v>0</v>
      </c>
      <c r="AP215" s="18">
        <f t="shared" si="326"/>
        <v>0</v>
      </c>
      <c r="AQ215" s="18">
        <f t="shared" si="326"/>
        <v>0</v>
      </c>
      <c r="AR215" s="18">
        <f t="shared" si="326"/>
        <v>0</v>
      </c>
      <c r="AS215" s="18">
        <f t="shared" si="326"/>
        <v>0</v>
      </c>
      <c r="AT215" s="18">
        <f t="shared" si="326"/>
        <v>0</v>
      </c>
      <c r="AU215" s="18">
        <f t="shared" si="326"/>
        <v>0</v>
      </c>
      <c r="AV215" s="18">
        <f t="shared" si="326"/>
        <v>0</v>
      </c>
      <c r="AW215" s="18">
        <f t="shared" si="326"/>
        <v>0</v>
      </c>
      <c r="AX215" s="18">
        <f t="shared" si="326"/>
        <v>0</v>
      </c>
      <c r="AY215" s="18">
        <f t="shared" si="326"/>
        <v>0</v>
      </c>
      <c r="AZ215" s="18">
        <f t="shared" si="326"/>
        <v>0</v>
      </c>
      <c r="BA215" s="18">
        <f t="shared" si="326"/>
        <v>0</v>
      </c>
      <c r="BB215" s="18">
        <f t="shared" si="326"/>
        <v>0</v>
      </c>
      <c r="BC215" s="18">
        <f t="shared" si="326"/>
        <v>0</v>
      </c>
      <c r="BD215" s="18">
        <f t="shared" si="326"/>
        <v>0</v>
      </c>
      <c r="BE215" s="18">
        <f t="shared" si="326"/>
        <v>0</v>
      </c>
      <c r="BF215" s="18">
        <f t="shared" si="326"/>
        <v>0</v>
      </c>
      <c r="BG215" s="18">
        <f t="shared" si="326"/>
        <v>0</v>
      </c>
      <c r="BH215" s="18">
        <f t="shared" si="326"/>
        <v>0</v>
      </c>
      <c r="BI215" s="18">
        <f t="shared" si="326"/>
        <v>0</v>
      </c>
      <c r="BJ215" s="18">
        <f t="shared" si="326"/>
        <v>0</v>
      </c>
      <c r="BK215" s="18">
        <f t="shared" si="326"/>
        <v>0</v>
      </c>
      <c r="BL215" s="18">
        <f t="shared" si="326"/>
        <v>0</v>
      </c>
      <c r="BM215" s="18">
        <f t="shared" si="326"/>
        <v>0</v>
      </c>
      <c r="BN215" s="18">
        <f t="shared" ref="BN215:CB215" si="327">BN31*BN87</f>
        <v>0</v>
      </c>
      <c r="BO215" s="18">
        <f t="shared" si="327"/>
        <v>0</v>
      </c>
      <c r="BP215" s="18">
        <f t="shared" si="327"/>
        <v>0</v>
      </c>
      <c r="BQ215" s="18">
        <f t="shared" si="327"/>
        <v>0</v>
      </c>
      <c r="BR215" s="18">
        <f t="shared" si="327"/>
        <v>0</v>
      </c>
      <c r="BS215" s="18">
        <f t="shared" si="327"/>
        <v>0</v>
      </c>
      <c r="BT215" s="18">
        <f t="shared" si="327"/>
        <v>0</v>
      </c>
      <c r="BU215" s="18">
        <f t="shared" si="327"/>
        <v>0</v>
      </c>
      <c r="BV215" s="18">
        <f t="shared" si="327"/>
        <v>0</v>
      </c>
      <c r="BW215" s="18">
        <f t="shared" si="327"/>
        <v>0</v>
      </c>
      <c r="BX215" s="18">
        <f t="shared" si="327"/>
        <v>0</v>
      </c>
      <c r="BY215" s="18">
        <f t="shared" si="327"/>
        <v>0</v>
      </c>
      <c r="BZ215" s="18">
        <f t="shared" si="327"/>
        <v>0</v>
      </c>
      <c r="CA215" s="18">
        <f t="shared" si="327"/>
        <v>0</v>
      </c>
      <c r="CB215" s="18">
        <f t="shared" si="327"/>
        <v>0</v>
      </c>
      <c r="CC215" s="17"/>
      <c r="CD215" s="17"/>
      <c r="CE215" s="17"/>
    </row>
    <row r="216" spans="1:134">
      <c r="A216" s="18" t="str">
        <f>A33</f>
        <v>Bond 2</v>
      </c>
      <c r="B216" s="18">
        <f t="shared" ref="B216:BM216" si="328">B33*B92</f>
        <v>99.337647972809989</v>
      </c>
      <c r="C216" s="18">
        <f t="shared" si="328"/>
        <v>0</v>
      </c>
      <c r="D216" s="18">
        <f t="shared" si="328"/>
        <v>0</v>
      </c>
      <c r="E216" s="18">
        <f t="shared" si="328"/>
        <v>0</v>
      </c>
      <c r="F216" s="18">
        <f t="shared" si="328"/>
        <v>0</v>
      </c>
      <c r="G216" s="18">
        <f t="shared" si="328"/>
        <v>0</v>
      </c>
      <c r="H216" s="18">
        <f t="shared" si="328"/>
        <v>0</v>
      </c>
      <c r="I216" s="18">
        <f t="shared" si="328"/>
        <v>0</v>
      </c>
      <c r="J216" s="18">
        <f t="shared" si="328"/>
        <v>0</v>
      </c>
      <c r="K216" s="18">
        <f t="shared" si="328"/>
        <v>0</v>
      </c>
      <c r="L216" s="18">
        <f t="shared" si="328"/>
        <v>0</v>
      </c>
      <c r="M216" s="18">
        <f t="shared" si="328"/>
        <v>0</v>
      </c>
      <c r="N216" s="18">
        <f t="shared" si="328"/>
        <v>0</v>
      </c>
      <c r="O216" s="18">
        <f t="shared" si="328"/>
        <v>0</v>
      </c>
      <c r="P216" s="18">
        <f t="shared" si="328"/>
        <v>0</v>
      </c>
      <c r="Q216" s="18">
        <f t="shared" si="328"/>
        <v>0</v>
      </c>
      <c r="R216" s="18">
        <f t="shared" si="328"/>
        <v>0</v>
      </c>
      <c r="S216" s="18">
        <f t="shared" si="328"/>
        <v>0</v>
      </c>
      <c r="T216" s="18">
        <f t="shared" si="328"/>
        <v>0</v>
      </c>
      <c r="U216" s="18">
        <f t="shared" si="328"/>
        <v>0</v>
      </c>
      <c r="V216" s="18">
        <f t="shared" si="328"/>
        <v>0</v>
      </c>
      <c r="W216" s="18">
        <f t="shared" si="328"/>
        <v>0</v>
      </c>
      <c r="X216" s="18">
        <f t="shared" si="328"/>
        <v>0</v>
      </c>
      <c r="Y216" s="18">
        <f t="shared" si="328"/>
        <v>0</v>
      </c>
      <c r="Z216" s="18">
        <f t="shared" si="328"/>
        <v>0</v>
      </c>
      <c r="AA216" s="18">
        <f t="shared" si="328"/>
        <v>0</v>
      </c>
      <c r="AB216" s="18">
        <f t="shared" si="328"/>
        <v>0</v>
      </c>
      <c r="AC216" s="18">
        <f t="shared" si="328"/>
        <v>0</v>
      </c>
      <c r="AD216" s="18">
        <f t="shared" si="328"/>
        <v>0</v>
      </c>
      <c r="AE216" s="18">
        <f t="shared" si="328"/>
        <v>0</v>
      </c>
      <c r="AF216" s="18">
        <f t="shared" si="328"/>
        <v>0</v>
      </c>
      <c r="AG216" s="18">
        <f t="shared" si="328"/>
        <v>0</v>
      </c>
      <c r="AH216" s="18">
        <f t="shared" si="328"/>
        <v>0</v>
      </c>
      <c r="AI216" s="18">
        <f t="shared" si="328"/>
        <v>0</v>
      </c>
      <c r="AJ216" s="18">
        <f t="shared" si="328"/>
        <v>0</v>
      </c>
      <c r="AK216" s="18">
        <f t="shared" si="328"/>
        <v>0</v>
      </c>
      <c r="AL216" s="18">
        <f t="shared" si="328"/>
        <v>0</v>
      </c>
      <c r="AM216" s="18">
        <f t="shared" si="328"/>
        <v>0</v>
      </c>
      <c r="AN216" s="18">
        <f t="shared" si="328"/>
        <v>0</v>
      </c>
      <c r="AO216" s="18">
        <f t="shared" si="328"/>
        <v>0</v>
      </c>
      <c r="AP216" s="18">
        <f t="shared" si="328"/>
        <v>0</v>
      </c>
      <c r="AQ216" s="18">
        <f t="shared" si="328"/>
        <v>0</v>
      </c>
      <c r="AR216" s="18">
        <f t="shared" si="328"/>
        <v>0</v>
      </c>
      <c r="AS216" s="18">
        <f t="shared" si="328"/>
        <v>0</v>
      </c>
      <c r="AT216" s="18">
        <f t="shared" si="328"/>
        <v>0</v>
      </c>
      <c r="AU216" s="18">
        <f t="shared" si="328"/>
        <v>0</v>
      </c>
      <c r="AV216" s="18">
        <f t="shared" si="328"/>
        <v>0</v>
      </c>
      <c r="AW216" s="18">
        <f t="shared" si="328"/>
        <v>0</v>
      </c>
      <c r="AX216" s="18">
        <f t="shared" si="328"/>
        <v>0</v>
      </c>
      <c r="AY216" s="18">
        <f t="shared" si="328"/>
        <v>0</v>
      </c>
      <c r="AZ216" s="18">
        <f t="shared" si="328"/>
        <v>0</v>
      </c>
      <c r="BA216" s="18">
        <f t="shared" si="328"/>
        <v>0</v>
      </c>
      <c r="BB216" s="18">
        <f t="shared" si="328"/>
        <v>0</v>
      </c>
      <c r="BC216" s="18">
        <f t="shared" si="328"/>
        <v>0</v>
      </c>
      <c r="BD216" s="18">
        <f t="shared" si="328"/>
        <v>0</v>
      </c>
      <c r="BE216" s="18">
        <f t="shared" si="328"/>
        <v>0</v>
      </c>
      <c r="BF216" s="18">
        <f t="shared" si="328"/>
        <v>0</v>
      </c>
      <c r="BG216" s="18">
        <f t="shared" si="328"/>
        <v>0</v>
      </c>
      <c r="BH216" s="18">
        <f t="shared" si="328"/>
        <v>0</v>
      </c>
      <c r="BI216" s="18">
        <f t="shared" si="328"/>
        <v>0</v>
      </c>
      <c r="BJ216" s="18">
        <f t="shared" si="328"/>
        <v>0</v>
      </c>
      <c r="BK216" s="18">
        <f t="shared" si="328"/>
        <v>0</v>
      </c>
      <c r="BL216" s="18">
        <f t="shared" si="328"/>
        <v>0</v>
      </c>
      <c r="BM216" s="18">
        <f t="shared" si="328"/>
        <v>0</v>
      </c>
      <c r="BN216" s="18">
        <f t="shared" ref="BN216:CB216" si="329">BN33*BN92</f>
        <v>0</v>
      </c>
      <c r="BO216" s="18">
        <f t="shared" si="329"/>
        <v>0</v>
      </c>
      <c r="BP216" s="18">
        <f t="shared" si="329"/>
        <v>0</v>
      </c>
      <c r="BQ216" s="18">
        <f t="shared" si="329"/>
        <v>0</v>
      </c>
      <c r="BR216" s="18">
        <f t="shared" si="329"/>
        <v>0</v>
      </c>
      <c r="BS216" s="18">
        <f t="shared" si="329"/>
        <v>0</v>
      </c>
      <c r="BT216" s="18">
        <f t="shared" si="329"/>
        <v>0</v>
      </c>
      <c r="BU216" s="18">
        <f t="shared" si="329"/>
        <v>0</v>
      </c>
      <c r="BV216" s="18">
        <f t="shared" si="329"/>
        <v>0</v>
      </c>
      <c r="BW216" s="18">
        <f t="shared" si="329"/>
        <v>0</v>
      </c>
      <c r="BX216" s="18">
        <f t="shared" si="329"/>
        <v>0</v>
      </c>
      <c r="BY216" s="18">
        <f t="shared" si="329"/>
        <v>0</v>
      </c>
      <c r="BZ216" s="18">
        <f t="shared" si="329"/>
        <v>0</v>
      </c>
      <c r="CA216" s="18">
        <f t="shared" si="329"/>
        <v>0</v>
      </c>
      <c r="CB216" s="18">
        <f t="shared" si="329"/>
        <v>0</v>
      </c>
      <c r="CC216" s="17"/>
      <c r="CD216" s="17"/>
      <c r="CE216" s="17"/>
      <c r="CH216" s="11"/>
      <c r="CI216" s="11"/>
      <c r="CJ216" s="11"/>
      <c r="CK216" s="11"/>
      <c r="CL216" s="11"/>
      <c r="CM216" s="11"/>
      <c r="CN216" s="11"/>
      <c r="CO216" s="11"/>
      <c r="CP216" s="11"/>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11"/>
      <c r="DM216" s="11"/>
      <c r="DN216" s="11"/>
      <c r="DO216" s="11"/>
      <c r="DP216" s="11"/>
      <c r="DQ216" s="11"/>
      <c r="DR216" s="11"/>
      <c r="DS216" s="11"/>
      <c r="DT216" s="11"/>
      <c r="DU216" s="11"/>
      <c r="DV216" s="11"/>
      <c r="DW216" s="11"/>
      <c r="DX216" s="11"/>
      <c r="DY216" s="11"/>
      <c r="DZ216" s="11"/>
      <c r="EA216" s="11"/>
      <c r="EB216" s="11"/>
      <c r="EC216" s="11"/>
      <c r="ED216" s="11"/>
    </row>
    <row r="217" spans="1:134">
      <c r="A217" s="18" t="str">
        <f>A35</f>
        <v>Bond 3</v>
      </c>
      <c r="B217" s="18">
        <f t="shared" ref="B217:BM217" si="330">B35*B97</f>
        <v>98.659484186956149</v>
      </c>
      <c r="C217" s="18">
        <f t="shared" si="330"/>
        <v>0</v>
      </c>
      <c r="D217" s="18">
        <f t="shared" si="330"/>
        <v>0</v>
      </c>
      <c r="E217" s="18">
        <f t="shared" si="330"/>
        <v>0</v>
      </c>
      <c r="F217" s="18">
        <f t="shared" si="330"/>
        <v>0</v>
      </c>
      <c r="G217" s="18">
        <f t="shared" si="330"/>
        <v>0</v>
      </c>
      <c r="H217" s="18">
        <f t="shared" si="330"/>
        <v>0</v>
      </c>
      <c r="I217" s="18">
        <f t="shared" si="330"/>
        <v>0</v>
      </c>
      <c r="J217" s="18">
        <f t="shared" si="330"/>
        <v>0</v>
      </c>
      <c r="K217" s="18">
        <f t="shared" si="330"/>
        <v>0</v>
      </c>
      <c r="L217" s="18">
        <f t="shared" si="330"/>
        <v>0</v>
      </c>
      <c r="M217" s="18">
        <f t="shared" si="330"/>
        <v>0</v>
      </c>
      <c r="N217" s="18">
        <f t="shared" si="330"/>
        <v>0</v>
      </c>
      <c r="O217" s="18">
        <f t="shared" si="330"/>
        <v>0</v>
      </c>
      <c r="P217" s="18">
        <f t="shared" si="330"/>
        <v>0</v>
      </c>
      <c r="Q217" s="18">
        <f t="shared" si="330"/>
        <v>0</v>
      </c>
      <c r="R217" s="18">
        <f t="shared" si="330"/>
        <v>0</v>
      </c>
      <c r="S217" s="18">
        <f t="shared" si="330"/>
        <v>0</v>
      </c>
      <c r="T217" s="18">
        <f t="shared" si="330"/>
        <v>0</v>
      </c>
      <c r="U217" s="18">
        <f t="shared" si="330"/>
        <v>0</v>
      </c>
      <c r="V217" s="18">
        <f t="shared" si="330"/>
        <v>0</v>
      </c>
      <c r="W217" s="18">
        <f t="shared" si="330"/>
        <v>0</v>
      </c>
      <c r="X217" s="18">
        <f t="shared" si="330"/>
        <v>0</v>
      </c>
      <c r="Y217" s="18">
        <f t="shared" si="330"/>
        <v>0</v>
      </c>
      <c r="Z217" s="18">
        <f t="shared" si="330"/>
        <v>0</v>
      </c>
      <c r="AA217" s="18">
        <f t="shared" si="330"/>
        <v>0</v>
      </c>
      <c r="AB217" s="18">
        <f t="shared" si="330"/>
        <v>0</v>
      </c>
      <c r="AC217" s="18">
        <f t="shared" si="330"/>
        <v>0</v>
      </c>
      <c r="AD217" s="18">
        <f t="shared" si="330"/>
        <v>0</v>
      </c>
      <c r="AE217" s="18">
        <f t="shared" si="330"/>
        <v>0</v>
      </c>
      <c r="AF217" s="18">
        <f t="shared" si="330"/>
        <v>0</v>
      </c>
      <c r="AG217" s="18">
        <f t="shared" si="330"/>
        <v>0</v>
      </c>
      <c r="AH217" s="18">
        <f t="shared" si="330"/>
        <v>0</v>
      </c>
      <c r="AI217" s="18">
        <f t="shared" si="330"/>
        <v>0</v>
      </c>
      <c r="AJ217" s="18">
        <f t="shared" si="330"/>
        <v>0</v>
      </c>
      <c r="AK217" s="18">
        <f t="shared" si="330"/>
        <v>0</v>
      </c>
      <c r="AL217" s="18">
        <f t="shared" si="330"/>
        <v>0</v>
      </c>
      <c r="AM217" s="18">
        <f t="shared" si="330"/>
        <v>0</v>
      </c>
      <c r="AN217" s="18">
        <f t="shared" si="330"/>
        <v>0</v>
      </c>
      <c r="AO217" s="18">
        <f t="shared" si="330"/>
        <v>0</v>
      </c>
      <c r="AP217" s="18">
        <f t="shared" si="330"/>
        <v>0</v>
      </c>
      <c r="AQ217" s="18">
        <f t="shared" si="330"/>
        <v>0</v>
      </c>
      <c r="AR217" s="18">
        <f t="shared" si="330"/>
        <v>0</v>
      </c>
      <c r="AS217" s="18">
        <f t="shared" si="330"/>
        <v>0</v>
      </c>
      <c r="AT217" s="18">
        <f t="shared" si="330"/>
        <v>0</v>
      </c>
      <c r="AU217" s="18">
        <f t="shared" si="330"/>
        <v>0</v>
      </c>
      <c r="AV217" s="18">
        <f t="shared" si="330"/>
        <v>0</v>
      </c>
      <c r="AW217" s="18">
        <f t="shared" si="330"/>
        <v>0</v>
      </c>
      <c r="AX217" s="18">
        <f t="shared" si="330"/>
        <v>0</v>
      </c>
      <c r="AY217" s="18">
        <f t="shared" si="330"/>
        <v>0</v>
      </c>
      <c r="AZ217" s="18">
        <f t="shared" si="330"/>
        <v>0</v>
      </c>
      <c r="BA217" s="18">
        <f t="shared" si="330"/>
        <v>0</v>
      </c>
      <c r="BB217" s="18">
        <f t="shared" si="330"/>
        <v>0</v>
      </c>
      <c r="BC217" s="18">
        <f t="shared" si="330"/>
        <v>0</v>
      </c>
      <c r="BD217" s="18">
        <f t="shared" si="330"/>
        <v>0</v>
      </c>
      <c r="BE217" s="18">
        <f t="shared" si="330"/>
        <v>0</v>
      </c>
      <c r="BF217" s="18">
        <f t="shared" si="330"/>
        <v>0</v>
      </c>
      <c r="BG217" s="18">
        <f t="shared" si="330"/>
        <v>0</v>
      </c>
      <c r="BH217" s="18">
        <f t="shared" si="330"/>
        <v>0</v>
      </c>
      <c r="BI217" s="18">
        <f t="shared" si="330"/>
        <v>0</v>
      </c>
      <c r="BJ217" s="18">
        <f t="shared" si="330"/>
        <v>0</v>
      </c>
      <c r="BK217" s="18">
        <f t="shared" si="330"/>
        <v>0</v>
      </c>
      <c r="BL217" s="18">
        <f t="shared" si="330"/>
        <v>0</v>
      </c>
      <c r="BM217" s="18">
        <f t="shared" si="330"/>
        <v>0</v>
      </c>
      <c r="BN217" s="18">
        <f t="shared" ref="BN217:CB217" si="331">BN35*BN97</f>
        <v>0</v>
      </c>
      <c r="BO217" s="18">
        <f t="shared" si="331"/>
        <v>0</v>
      </c>
      <c r="BP217" s="18">
        <f t="shared" si="331"/>
        <v>0</v>
      </c>
      <c r="BQ217" s="18">
        <f t="shared" si="331"/>
        <v>0</v>
      </c>
      <c r="BR217" s="18">
        <f t="shared" si="331"/>
        <v>0</v>
      </c>
      <c r="BS217" s="18">
        <f t="shared" si="331"/>
        <v>0</v>
      </c>
      <c r="BT217" s="18">
        <f t="shared" si="331"/>
        <v>0</v>
      </c>
      <c r="BU217" s="18">
        <f t="shared" si="331"/>
        <v>0</v>
      </c>
      <c r="BV217" s="18">
        <f t="shared" si="331"/>
        <v>0</v>
      </c>
      <c r="BW217" s="18">
        <f t="shared" si="331"/>
        <v>0</v>
      </c>
      <c r="BX217" s="18">
        <f t="shared" si="331"/>
        <v>0</v>
      </c>
      <c r="BY217" s="18">
        <f t="shared" si="331"/>
        <v>0</v>
      </c>
      <c r="BZ217" s="18">
        <f t="shared" si="331"/>
        <v>0</v>
      </c>
      <c r="CA217" s="18">
        <f t="shared" si="331"/>
        <v>0</v>
      </c>
      <c r="CB217" s="18">
        <f t="shared" si="331"/>
        <v>0</v>
      </c>
      <c r="CC217" s="17"/>
      <c r="CD217" s="17"/>
      <c r="CE217" s="17"/>
      <c r="CH217" s="11"/>
      <c r="CI217" s="11"/>
      <c r="CJ217" s="11"/>
      <c r="CK217" s="11"/>
      <c r="CL217" s="11"/>
      <c r="CM217" s="11"/>
      <c r="CN217" s="11"/>
      <c r="CO217" s="11"/>
      <c r="CP217" s="11"/>
      <c r="CQ217" s="11"/>
      <c r="CR217" s="11"/>
      <c r="CS217" s="11"/>
      <c r="CT217" s="11"/>
      <c r="CU217" s="11"/>
      <c r="CV217" s="11"/>
      <c r="CW217" s="11"/>
      <c r="CX217" s="11"/>
      <c r="CY217" s="11"/>
      <c r="CZ217" s="11"/>
      <c r="DA217" s="11"/>
      <c r="DB217" s="11"/>
      <c r="DC217" s="11"/>
      <c r="DD217" s="11"/>
      <c r="DE217" s="11"/>
      <c r="DF217" s="11"/>
      <c r="DG217" s="11"/>
      <c r="DH217" s="11"/>
      <c r="DI217" s="11"/>
      <c r="DJ217" s="11"/>
      <c r="DK217" s="11"/>
      <c r="DL217" s="11"/>
      <c r="DM217" s="11"/>
      <c r="DN217" s="11"/>
      <c r="DO217" s="11"/>
      <c r="DP217" s="11"/>
      <c r="DQ217" s="11"/>
      <c r="DR217" s="11"/>
      <c r="DS217" s="11"/>
      <c r="DT217" s="11"/>
      <c r="DU217" s="11"/>
      <c r="DV217" s="11"/>
      <c r="DW217" s="11"/>
      <c r="DX217" s="11"/>
      <c r="DY217" s="11"/>
      <c r="DZ217" s="11"/>
      <c r="EA217" s="11"/>
      <c r="EB217" s="11"/>
      <c r="EC217" s="11"/>
      <c r="ED217" s="11"/>
    </row>
    <row r="218" spans="1:134">
      <c r="A218" s="18" t="str">
        <f>A37</f>
        <v>Bond 4</v>
      </c>
      <c r="B218" s="18">
        <f t="shared" ref="B218:BM218" si="332">B37*B102</f>
        <v>0.87106327728538113</v>
      </c>
      <c r="C218" s="18">
        <f t="shared" si="332"/>
        <v>0.8650746515797465</v>
      </c>
      <c r="D218" s="18">
        <f t="shared" si="332"/>
        <v>0.85904786479644679</v>
      </c>
      <c r="E218" s="18">
        <f t="shared" si="332"/>
        <v>98.337085605048699</v>
      </c>
      <c r="F218" s="18">
        <f t="shared" si="332"/>
        <v>0</v>
      </c>
      <c r="G218" s="18">
        <f t="shared" si="332"/>
        <v>0</v>
      </c>
      <c r="H218" s="18">
        <f t="shared" si="332"/>
        <v>0</v>
      </c>
      <c r="I218" s="18">
        <f t="shared" si="332"/>
        <v>0</v>
      </c>
      <c r="J218" s="18">
        <f t="shared" si="332"/>
        <v>0</v>
      </c>
      <c r="K218" s="18">
        <f t="shared" si="332"/>
        <v>0</v>
      </c>
      <c r="L218" s="18">
        <f t="shared" si="332"/>
        <v>0</v>
      </c>
      <c r="M218" s="18">
        <f t="shared" si="332"/>
        <v>0</v>
      </c>
      <c r="N218" s="18">
        <f t="shared" si="332"/>
        <v>0</v>
      </c>
      <c r="O218" s="18">
        <f t="shared" si="332"/>
        <v>0</v>
      </c>
      <c r="P218" s="18">
        <f t="shared" si="332"/>
        <v>0</v>
      </c>
      <c r="Q218" s="18">
        <f t="shared" si="332"/>
        <v>0</v>
      </c>
      <c r="R218" s="18">
        <f t="shared" si="332"/>
        <v>0</v>
      </c>
      <c r="S218" s="18">
        <f t="shared" si="332"/>
        <v>0</v>
      </c>
      <c r="T218" s="18">
        <f t="shared" si="332"/>
        <v>0</v>
      </c>
      <c r="U218" s="18">
        <f t="shared" si="332"/>
        <v>0</v>
      </c>
      <c r="V218" s="18">
        <f t="shared" si="332"/>
        <v>0</v>
      </c>
      <c r="W218" s="18">
        <f t="shared" si="332"/>
        <v>0</v>
      </c>
      <c r="X218" s="18">
        <f t="shared" si="332"/>
        <v>0</v>
      </c>
      <c r="Y218" s="18">
        <f t="shared" si="332"/>
        <v>0</v>
      </c>
      <c r="Z218" s="18">
        <f t="shared" si="332"/>
        <v>0</v>
      </c>
      <c r="AA218" s="18">
        <f t="shared" si="332"/>
        <v>0</v>
      </c>
      <c r="AB218" s="18">
        <f t="shared" si="332"/>
        <v>0</v>
      </c>
      <c r="AC218" s="18">
        <f t="shared" si="332"/>
        <v>0</v>
      </c>
      <c r="AD218" s="18">
        <f t="shared" si="332"/>
        <v>0</v>
      </c>
      <c r="AE218" s="18">
        <f t="shared" si="332"/>
        <v>0</v>
      </c>
      <c r="AF218" s="18">
        <f t="shared" si="332"/>
        <v>0</v>
      </c>
      <c r="AG218" s="18">
        <f t="shared" si="332"/>
        <v>0</v>
      </c>
      <c r="AH218" s="18">
        <f t="shared" si="332"/>
        <v>0</v>
      </c>
      <c r="AI218" s="18">
        <f t="shared" si="332"/>
        <v>0</v>
      </c>
      <c r="AJ218" s="18">
        <f t="shared" si="332"/>
        <v>0</v>
      </c>
      <c r="AK218" s="18">
        <f t="shared" si="332"/>
        <v>0</v>
      </c>
      <c r="AL218" s="18">
        <f t="shared" si="332"/>
        <v>0</v>
      </c>
      <c r="AM218" s="18">
        <f t="shared" si="332"/>
        <v>0</v>
      </c>
      <c r="AN218" s="18">
        <f t="shared" si="332"/>
        <v>0</v>
      </c>
      <c r="AO218" s="18">
        <f t="shared" si="332"/>
        <v>0</v>
      </c>
      <c r="AP218" s="18">
        <f t="shared" si="332"/>
        <v>0</v>
      </c>
      <c r="AQ218" s="18">
        <f t="shared" si="332"/>
        <v>0</v>
      </c>
      <c r="AR218" s="18">
        <f t="shared" si="332"/>
        <v>0</v>
      </c>
      <c r="AS218" s="18">
        <f t="shared" si="332"/>
        <v>0</v>
      </c>
      <c r="AT218" s="18">
        <f t="shared" si="332"/>
        <v>0</v>
      </c>
      <c r="AU218" s="18">
        <f t="shared" si="332"/>
        <v>0</v>
      </c>
      <c r="AV218" s="18">
        <f t="shared" si="332"/>
        <v>0</v>
      </c>
      <c r="AW218" s="18">
        <f t="shared" si="332"/>
        <v>0</v>
      </c>
      <c r="AX218" s="18">
        <f t="shared" si="332"/>
        <v>0</v>
      </c>
      <c r="AY218" s="18">
        <f t="shared" si="332"/>
        <v>0</v>
      </c>
      <c r="AZ218" s="18">
        <f t="shared" si="332"/>
        <v>0</v>
      </c>
      <c r="BA218" s="18">
        <f t="shared" si="332"/>
        <v>0</v>
      </c>
      <c r="BB218" s="18">
        <f t="shared" si="332"/>
        <v>0</v>
      </c>
      <c r="BC218" s="18">
        <f t="shared" si="332"/>
        <v>0</v>
      </c>
      <c r="BD218" s="18">
        <f t="shared" si="332"/>
        <v>0</v>
      </c>
      <c r="BE218" s="18">
        <f t="shared" si="332"/>
        <v>0</v>
      </c>
      <c r="BF218" s="18">
        <f t="shared" si="332"/>
        <v>0</v>
      </c>
      <c r="BG218" s="18">
        <f t="shared" si="332"/>
        <v>0</v>
      </c>
      <c r="BH218" s="18">
        <f t="shared" si="332"/>
        <v>0</v>
      </c>
      <c r="BI218" s="18">
        <f t="shared" si="332"/>
        <v>0</v>
      </c>
      <c r="BJ218" s="18">
        <f t="shared" si="332"/>
        <v>0</v>
      </c>
      <c r="BK218" s="18">
        <f t="shared" si="332"/>
        <v>0</v>
      </c>
      <c r="BL218" s="18">
        <f t="shared" si="332"/>
        <v>0</v>
      </c>
      <c r="BM218" s="18">
        <f t="shared" si="332"/>
        <v>0</v>
      </c>
      <c r="BN218" s="18">
        <f t="shared" ref="BN218:CB218" si="333">BN37*BN102</f>
        <v>0</v>
      </c>
      <c r="BO218" s="18">
        <f t="shared" si="333"/>
        <v>0</v>
      </c>
      <c r="BP218" s="18">
        <f t="shared" si="333"/>
        <v>0</v>
      </c>
      <c r="BQ218" s="18">
        <f t="shared" si="333"/>
        <v>0</v>
      </c>
      <c r="BR218" s="18">
        <f t="shared" si="333"/>
        <v>0</v>
      </c>
      <c r="BS218" s="18">
        <f t="shared" si="333"/>
        <v>0</v>
      </c>
      <c r="BT218" s="18">
        <f t="shared" si="333"/>
        <v>0</v>
      </c>
      <c r="BU218" s="18">
        <f t="shared" si="333"/>
        <v>0</v>
      </c>
      <c r="BV218" s="18">
        <f t="shared" si="333"/>
        <v>0</v>
      </c>
      <c r="BW218" s="18">
        <f t="shared" si="333"/>
        <v>0</v>
      </c>
      <c r="BX218" s="18">
        <f t="shared" si="333"/>
        <v>0</v>
      </c>
      <c r="BY218" s="18">
        <f t="shared" si="333"/>
        <v>0</v>
      </c>
      <c r="BZ218" s="18">
        <f t="shared" si="333"/>
        <v>0</v>
      </c>
      <c r="CA218" s="18">
        <f t="shared" si="333"/>
        <v>0</v>
      </c>
      <c r="CB218" s="18">
        <f t="shared" si="333"/>
        <v>0</v>
      </c>
      <c r="CC218" s="17"/>
      <c r="CD218" s="17"/>
      <c r="CE218" s="17"/>
      <c r="CH218" s="5"/>
      <c r="CI218" s="11"/>
      <c r="CJ218" s="11"/>
      <c r="CK218" s="11"/>
      <c r="CL218" s="11"/>
      <c r="CM218" s="11"/>
      <c r="CN218" s="11"/>
      <c r="CO218" s="11"/>
      <c r="CP218" s="11"/>
      <c r="CQ218" s="11"/>
      <c r="CR218" s="11"/>
      <c r="CS218" s="11"/>
      <c r="CT218" s="11"/>
      <c r="CU218" s="11"/>
      <c r="CV218" s="11"/>
      <c r="CW218" s="11"/>
      <c r="CX218" s="11"/>
      <c r="CY218" s="11"/>
      <c r="CZ218" s="11"/>
      <c r="DA218" s="11"/>
      <c r="DB218" s="11"/>
      <c r="DC218" s="11"/>
      <c r="DD218" s="11"/>
      <c r="DE218" s="11"/>
      <c r="DF218" s="11"/>
      <c r="DG218" s="11"/>
      <c r="DH218" s="11"/>
      <c r="DI218" s="11"/>
      <c r="DJ218" s="11"/>
      <c r="DK218" s="11"/>
      <c r="DL218" s="11"/>
      <c r="DM218" s="11"/>
      <c r="DN218" s="11"/>
      <c r="DO218" s="11"/>
      <c r="DP218" s="11"/>
      <c r="DQ218" s="11"/>
      <c r="DR218" s="11"/>
      <c r="DS218" s="11"/>
      <c r="DT218" s="11"/>
      <c r="DU218" s="11"/>
      <c r="DV218" s="11"/>
      <c r="DW218" s="11"/>
      <c r="DX218" s="11"/>
      <c r="DY218" s="11"/>
      <c r="DZ218" s="11"/>
      <c r="EA218" s="11"/>
      <c r="EB218" s="11"/>
      <c r="EC218" s="11"/>
      <c r="ED218" s="11"/>
    </row>
    <row r="219" spans="1:134">
      <c r="A219" s="18" t="str">
        <f>A39</f>
        <v>Bond 5</v>
      </c>
      <c r="B219" s="18">
        <f t="shared" ref="B219:BM219" si="334">B39*B107</f>
        <v>0.49888599131080158</v>
      </c>
      <c r="C219" s="18">
        <f t="shared" si="334"/>
        <v>0.49547157041188888</v>
      </c>
      <c r="D219" s="18">
        <f t="shared" si="334"/>
        <v>0.49203477141123481</v>
      </c>
      <c r="E219" s="18">
        <f t="shared" si="334"/>
        <v>0.48857729645873776</v>
      </c>
      <c r="F219" s="18">
        <f t="shared" si="334"/>
        <v>0.48510080821110046</v>
      </c>
      <c r="G219" s="18">
        <f t="shared" si="334"/>
        <v>0.4816069298661031</v>
      </c>
      <c r="H219" s="18">
        <f t="shared" si="334"/>
        <v>96.097546293503399</v>
      </c>
      <c r="I219" s="18">
        <f t="shared" si="334"/>
        <v>0</v>
      </c>
      <c r="J219" s="18">
        <f t="shared" si="334"/>
        <v>0</v>
      </c>
      <c r="K219" s="18">
        <f t="shared" si="334"/>
        <v>0</v>
      </c>
      <c r="L219" s="18">
        <f t="shared" si="334"/>
        <v>0</v>
      </c>
      <c r="M219" s="18">
        <f t="shared" si="334"/>
        <v>0</v>
      </c>
      <c r="N219" s="18">
        <f t="shared" si="334"/>
        <v>0</v>
      </c>
      <c r="O219" s="18">
        <f t="shared" si="334"/>
        <v>0</v>
      </c>
      <c r="P219" s="18">
        <f t="shared" si="334"/>
        <v>0</v>
      </c>
      <c r="Q219" s="18">
        <f t="shared" si="334"/>
        <v>0</v>
      </c>
      <c r="R219" s="18">
        <f t="shared" si="334"/>
        <v>0</v>
      </c>
      <c r="S219" s="18">
        <f t="shared" si="334"/>
        <v>0</v>
      </c>
      <c r="T219" s="18">
        <f t="shared" si="334"/>
        <v>0</v>
      </c>
      <c r="U219" s="18">
        <f t="shared" si="334"/>
        <v>0</v>
      </c>
      <c r="V219" s="18">
        <f t="shared" si="334"/>
        <v>0</v>
      </c>
      <c r="W219" s="18">
        <f t="shared" si="334"/>
        <v>0</v>
      </c>
      <c r="X219" s="18">
        <f t="shared" si="334"/>
        <v>0</v>
      </c>
      <c r="Y219" s="18">
        <f t="shared" si="334"/>
        <v>0</v>
      </c>
      <c r="Z219" s="18">
        <f t="shared" si="334"/>
        <v>0</v>
      </c>
      <c r="AA219" s="18">
        <f t="shared" si="334"/>
        <v>0</v>
      </c>
      <c r="AB219" s="18">
        <f t="shared" si="334"/>
        <v>0</v>
      </c>
      <c r="AC219" s="18">
        <f t="shared" si="334"/>
        <v>0</v>
      </c>
      <c r="AD219" s="18">
        <f t="shared" si="334"/>
        <v>0</v>
      </c>
      <c r="AE219" s="18">
        <f t="shared" si="334"/>
        <v>0</v>
      </c>
      <c r="AF219" s="18">
        <f t="shared" si="334"/>
        <v>0</v>
      </c>
      <c r="AG219" s="18">
        <f t="shared" si="334"/>
        <v>0</v>
      </c>
      <c r="AH219" s="18">
        <f t="shared" si="334"/>
        <v>0</v>
      </c>
      <c r="AI219" s="18">
        <f t="shared" si="334"/>
        <v>0</v>
      </c>
      <c r="AJ219" s="18">
        <f t="shared" si="334"/>
        <v>0</v>
      </c>
      <c r="AK219" s="18">
        <f t="shared" si="334"/>
        <v>0</v>
      </c>
      <c r="AL219" s="18">
        <f t="shared" si="334"/>
        <v>0</v>
      </c>
      <c r="AM219" s="18">
        <f t="shared" si="334"/>
        <v>0</v>
      </c>
      <c r="AN219" s="18">
        <f t="shared" si="334"/>
        <v>0</v>
      </c>
      <c r="AO219" s="18">
        <f t="shared" si="334"/>
        <v>0</v>
      </c>
      <c r="AP219" s="18">
        <f t="shared" si="334"/>
        <v>0</v>
      </c>
      <c r="AQ219" s="18">
        <f t="shared" si="334"/>
        <v>0</v>
      </c>
      <c r="AR219" s="18">
        <f t="shared" si="334"/>
        <v>0</v>
      </c>
      <c r="AS219" s="18">
        <f t="shared" si="334"/>
        <v>0</v>
      </c>
      <c r="AT219" s="18">
        <f t="shared" si="334"/>
        <v>0</v>
      </c>
      <c r="AU219" s="18">
        <f t="shared" si="334"/>
        <v>0</v>
      </c>
      <c r="AV219" s="18">
        <f t="shared" si="334"/>
        <v>0</v>
      </c>
      <c r="AW219" s="18">
        <f t="shared" si="334"/>
        <v>0</v>
      </c>
      <c r="AX219" s="18">
        <f t="shared" si="334"/>
        <v>0</v>
      </c>
      <c r="AY219" s="18">
        <f t="shared" si="334"/>
        <v>0</v>
      </c>
      <c r="AZ219" s="18">
        <f t="shared" si="334"/>
        <v>0</v>
      </c>
      <c r="BA219" s="18">
        <f t="shared" si="334"/>
        <v>0</v>
      </c>
      <c r="BB219" s="18">
        <f t="shared" si="334"/>
        <v>0</v>
      </c>
      <c r="BC219" s="18">
        <f t="shared" si="334"/>
        <v>0</v>
      </c>
      <c r="BD219" s="18">
        <f t="shared" si="334"/>
        <v>0</v>
      </c>
      <c r="BE219" s="18">
        <f t="shared" si="334"/>
        <v>0</v>
      </c>
      <c r="BF219" s="18">
        <f t="shared" si="334"/>
        <v>0</v>
      </c>
      <c r="BG219" s="18">
        <f t="shared" si="334"/>
        <v>0</v>
      </c>
      <c r="BH219" s="18">
        <f t="shared" si="334"/>
        <v>0</v>
      </c>
      <c r="BI219" s="18">
        <f t="shared" si="334"/>
        <v>0</v>
      </c>
      <c r="BJ219" s="18">
        <f t="shared" si="334"/>
        <v>0</v>
      </c>
      <c r="BK219" s="18">
        <f t="shared" si="334"/>
        <v>0</v>
      </c>
      <c r="BL219" s="18">
        <f t="shared" si="334"/>
        <v>0</v>
      </c>
      <c r="BM219" s="18">
        <f t="shared" si="334"/>
        <v>0</v>
      </c>
      <c r="BN219" s="18">
        <f t="shared" ref="BN219:CB219" si="335">BN39*BN107</f>
        <v>0</v>
      </c>
      <c r="BO219" s="18">
        <f t="shared" si="335"/>
        <v>0</v>
      </c>
      <c r="BP219" s="18">
        <f t="shared" si="335"/>
        <v>0</v>
      </c>
      <c r="BQ219" s="18">
        <f t="shared" si="335"/>
        <v>0</v>
      </c>
      <c r="BR219" s="18">
        <f t="shared" si="335"/>
        <v>0</v>
      </c>
      <c r="BS219" s="18">
        <f t="shared" si="335"/>
        <v>0</v>
      </c>
      <c r="BT219" s="18">
        <f t="shared" si="335"/>
        <v>0</v>
      </c>
      <c r="BU219" s="18">
        <f t="shared" si="335"/>
        <v>0</v>
      </c>
      <c r="BV219" s="18">
        <f t="shared" si="335"/>
        <v>0</v>
      </c>
      <c r="BW219" s="18">
        <f t="shared" si="335"/>
        <v>0</v>
      </c>
      <c r="BX219" s="18">
        <f t="shared" si="335"/>
        <v>0</v>
      </c>
      <c r="BY219" s="18">
        <f t="shared" si="335"/>
        <v>0</v>
      </c>
      <c r="BZ219" s="18">
        <f t="shared" si="335"/>
        <v>0</v>
      </c>
      <c r="CA219" s="18">
        <f t="shared" si="335"/>
        <v>0</v>
      </c>
      <c r="CB219" s="18">
        <f t="shared" si="335"/>
        <v>0</v>
      </c>
      <c r="CC219" s="17"/>
      <c r="CD219" s="17"/>
      <c r="CE219" s="17"/>
      <c r="CH219" s="11"/>
      <c r="CI219" s="11"/>
      <c r="CJ219" s="11"/>
      <c r="CK219" s="11"/>
      <c r="CL219" s="11"/>
      <c r="CM219" s="11"/>
      <c r="CN219" s="11"/>
      <c r="CO219" s="11"/>
      <c r="CP219" s="11"/>
      <c r="CQ219" s="11"/>
      <c r="CR219" s="11"/>
      <c r="CS219" s="11"/>
      <c r="CT219" s="11"/>
      <c r="CU219" s="11"/>
      <c r="CV219" s="11"/>
      <c r="CW219" s="11"/>
      <c r="CX219" s="11"/>
      <c r="CY219" s="11"/>
      <c r="CZ219" s="11"/>
      <c r="DA219" s="11"/>
      <c r="DB219" s="11"/>
      <c r="DC219" s="11"/>
      <c r="DD219" s="11"/>
      <c r="DE219" s="11"/>
      <c r="DF219" s="11"/>
      <c r="DG219" s="11"/>
      <c r="DH219" s="11"/>
      <c r="DI219" s="11"/>
      <c r="DJ219" s="11"/>
      <c r="DK219" s="11"/>
      <c r="DL219" s="11"/>
      <c r="DM219" s="11"/>
      <c r="DN219" s="11"/>
      <c r="DO219" s="11"/>
      <c r="DP219" s="11"/>
      <c r="DQ219" s="11"/>
      <c r="DR219" s="11"/>
      <c r="DS219" s="11"/>
      <c r="DT219" s="11"/>
      <c r="DU219" s="11"/>
      <c r="DV219" s="11"/>
      <c r="DW219" s="11"/>
      <c r="DX219" s="11"/>
      <c r="DY219" s="11"/>
      <c r="DZ219" s="11"/>
      <c r="EA219" s="11"/>
      <c r="EB219" s="11"/>
      <c r="EC219" s="11"/>
      <c r="ED219" s="11"/>
    </row>
    <row r="220" spans="1:134">
      <c r="A220" s="18" t="str">
        <f>A41</f>
        <v>Bond 6</v>
      </c>
      <c r="B220" s="18">
        <f t="shared" ref="B220:BM220" si="336">B41*B112</f>
        <v>0.8730504847939029</v>
      </c>
      <c r="C220" s="18">
        <f t="shared" si="336"/>
        <v>0.86707524822080562</v>
      </c>
      <c r="D220" s="18">
        <f t="shared" si="336"/>
        <v>0.86106084996966104</v>
      </c>
      <c r="E220" s="18">
        <f t="shared" si="336"/>
        <v>0.85501026880279118</v>
      </c>
      <c r="F220" s="18">
        <f t="shared" si="336"/>
        <v>0.84892641436942595</v>
      </c>
      <c r="G220" s="18">
        <f t="shared" si="336"/>
        <v>0.84281212726568056</v>
      </c>
      <c r="H220" s="18">
        <f t="shared" si="336"/>
        <v>0.83667017917229336</v>
      </c>
      <c r="I220" s="18">
        <f t="shared" si="336"/>
        <v>95.745163052044148</v>
      </c>
      <c r="J220" s="18">
        <f t="shared" si="336"/>
        <v>0</v>
      </c>
      <c r="K220" s="18">
        <f t="shared" si="336"/>
        <v>0</v>
      </c>
      <c r="L220" s="18">
        <f t="shared" si="336"/>
        <v>0</v>
      </c>
      <c r="M220" s="18">
        <f t="shared" si="336"/>
        <v>0</v>
      </c>
      <c r="N220" s="18">
        <f t="shared" si="336"/>
        <v>0</v>
      </c>
      <c r="O220" s="18">
        <f t="shared" si="336"/>
        <v>0</v>
      </c>
      <c r="P220" s="18">
        <f t="shared" si="336"/>
        <v>0</v>
      </c>
      <c r="Q220" s="18">
        <f t="shared" si="336"/>
        <v>0</v>
      </c>
      <c r="R220" s="18">
        <f t="shared" si="336"/>
        <v>0</v>
      </c>
      <c r="S220" s="18">
        <f t="shared" si="336"/>
        <v>0</v>
      </c>
      <c r="T220" s="18">
        <f t="shared" si="336"/>
        <v>0</v>
      </c>
      <c r="U220" s="18">
        <f t="shared" si="336"/>
        <v>0</v>
      </c>
      <c r="V220" s="18">
        <f t="shared" si="336"/>
        <v>0</v>
      </c>
      <c r="W220" s="18">
        <f t="shared" si="336"/>
        <v>0</v>
      </c>
      <c r="X220" s="18">
        <f t="shared" si="336"/>
        <v>0</v>
      </c>
      <c r="Y220" s="18">
        <f t="shared" si="336"/>
        <v>0</v>
      </c>
      <c r="Z220" s="18">
        <f t="shared" si="336"/>
        <v>0</v>
      </c>
      <c r="AA220" s="18">
        <f t="shared" si="336"/>
        <v>0</v>
      </c>
      <c r="AB220" s="18">
        <f t="shared" si="336"/>
        <v>0</v>
      </c>
      <c r="AC220" s="18">
        <f t="shared" si="336"/>
        <v>0</v>
      </c>
      <c r="AD220" s="18">
        <f t="shared" si="336"/>
        <v>0</v>
      </c>
      <c r="AE220" s="18">
        <f t="shared" si="336"/>
        <v>0</v>
      </c>
      <c r="AF220" s="18">
        <f t="shared" si="336"/>
        <v>0</v>
      </c>
      <c r="AG220" s="18">
        <f t="shared" si="336"/>
        <v>0</v>
      </c>
      <c r="AH220" s="18">
        <f t="shared" si="336"/>
        <v>0</v>
      </c>
      <c r="AI220" s="18">
        <f t="shared" si="336"/>
        <v>0</v>
      </c>
      <c r="AJ220" s="18">
        <f t="shared" si="336"/>
        <v>0</v>
      </c>
      <c r="AK220" s="18">
        <f t="shared" si="336"/>
        <v>0</v>
      </c>
      <c r="AL220" s="18">
        <f t="shared" si="336"/>
        <v>0</v>
      </c>
      <c r="AM220" s="18">
        <f t="shared" si="336"/>
        <v>0</v>
      </c>
      <c r="AN220" s="18">
        <f t="shared" si="336"/>
        <v>0</v>
      </c>
      <c r="AO220" s="18">
        <f t="shared" si="336"/>
        <v>0</v>
      </c>
      <c r="AP220" s="18">
        <f t="shared" si="336"/>
        <v>0</v>
      </c>
      <c r="AQ220" s="18">
        <f t="shared" si="336"/>
        <v>0</v>
      </c>
      <c r="AR220" s="18">
        <f t="shared" si="336"/>
        <v>0</v>
      </c>
      <c r="AS220" s="18">
        <f t="shared" si="336"/>
        <v>0</v>
      </c>
      <c r="AT220" s="18">
        <f t="shared" si="336"/>
        <v>0</v>
      </c>
      <c r="AU220" s="18">
        <f t="shared" si="336"/>
        <v>0</v>
      </c>
      <c r="AV220" s="18">
        <f t="shared" si="336"/>
        <v>0</v>
      </c>
      <c r="AW220" s="18">
        <f t="shared" si="336"/>
        <v>0</v>
      </c>
      <c r="AX220" s="18">
        <f t="shared" si="336"/>
        <v>0</v>
      </c>
      <c r="AY220" s="18">
        <f t="shared" si="336"/>
        <v>0</v>
      </c>
      <c r="AZ220" s="18">
        <f t="shared" si="336"/>
        <v>0</v>
      </c>
      <c r="BA220" s="18">
        <f t="shared" si="336"/>
        <v>0</v>
      </c>
      <c r="BB220" s="18">
        <f t="shared" si="336"/>
        <v>0</v>
      </c>
      <c r="BC220" s="18">
        <f t="shared" si="336"/>
        <v>0</v>
      </c>
      <c r="BD220" s="18">
        <f t="shared" si="336"/>
        <v>0</v>
      </c>
      <c r="BE220" s="18">
        <f t="shared" si="336"/>
        <v>0</v>
      </c>
      <c r="BF220" s="18">
        <f t="shared" si="336"/>
        <v>0</v>
      </c>
      <c r="BG220" s="18">
        <f t="shared" si="336"/>
        <v>0</v>
      </c>
      <c r="BH220" s="18">
        <f t="shared" si="336"/>
        <v>0</v>
      </c>
      <c r="BI220" s="18">
        <f t="shared" si="336"/>
        <v>0</v>
      </c>
      <c r="BJ220" s="18">
        <f t="shared" si="336"/>
        <v>0</v>
      </c>
      <c r="BK220" s="18">
        <f t="shared" si="336"/>
        <v>0</v>
      </c>
      <c r="BL220" s="18">
        <f t="shared" si="336"/>
        <v>0</v>
      </c>
      <c r="BM220" s="18">
        <f t="shared" si="336"/>
        <v>0</v>
      </c>
      <c r="BN220" s="18">
        <f t="shared" ref="BN220:CB220" si="337">BN41*BN112</f>
        <v>0</v>
      </c>
      <c r="BO220" s="18">
        <f t="shared" si="337"/>
        <v>0</v>
      </c>
      <c r="BP220" s="18">
        <f t="shared" si="337"/>
        <v>0</v>
      </c>
      <c r="BQ220" s="18">
        <f t="shared" si="337"/>
        <v>0</v>
      </c>
      <c r="BR220" s="18">
        <f t="shared" si="337"/>
        <v>0</v>
      </c>
      <c r="BS220" s="18">
        <f t="shared" si="337"/>
        <v>0</v>
      </c>
      <c r="BT220" s="18">
        <f t="shared" si="337"/>
        <v>0</v>
      </c>
      <c r="BU220" s="18">
        <f t="shared" si="337"/>
        <v>0</v>
      </c>
      <c r="BV220" s="18">
        <f t="shared" si="337"/>
        <v>0</v>
      </c>
      <c r="BW220" s="18">
        <f t="shared" si="337"/>
        <v>0</v>
      </c>
      <c r="BX220" s="18">
        <f t="shared" si="337"/>
        <v>0</v>
      </c>
      <c r="BY220" s="18">
        <f t="shared" si="337"/>
        <v>0</v>
      </c>
      <c r="BZ220" s="18">
        <f t="shared" si="337"/>
        <v>0</v>
      </c>
      <c r="CA220" s="18">
        <f t="shared" si="337"/>
        <v>0</v>
      </c>
      <c r="CB220" s="18">
        <f t="shared" si="337"/>
        <v>0</v>
      </c>
      <c r="CC220" s="17"/>
      <c r="CD220" s="17"/>
      <c r="CE220" s="17"/>
      <c r="CH220" s="5"/>
      <c r="CI220" s="11"/>
      <c r="CJ220" s="11"/>
      <c r="CK220" s="11"/>
      <c r="CL220" s="11"/>
      <c r="CM220" s="11"/>
      <c r="CN220" s="11"/>
      <c r="CO220" s="11"/>
      <c r="CP220" s="11"/>
      <c r="CQ220" s="11"/>
      <c r="CR220" s="11"/>
      <c r="CS220" s="11"/>
      <c r="CT220" s="11"/>
      <c r="CU220" s="11"/>
      <c r="CV220" s="11"/>
      <c r="CW220" s="11"/>
      <c r="CX220" s="11"/>
      <c r="CY220" s="11"/>
      <c r="CZ220" s="11"/>
      <c r="DA220" s="11"/>
      <c r="DB220" s="11"/>
      <c r="DC220" s="11"/>
      <c r="DD220" s="11"/>
      <c r="DE220" s="11"/>
      <c r="DF220" s="11"/>
      <c r="DG220" s="11"/>
      <c r="DH220" s="11"/>
      <c r="DI220" s="11"/>
      <c r="DJ220" s="11"/>
      <c r="DK220" s="11"/>
      <c r="DL220" s="11"/>
      <c r="DM220" s="11"/>
      <c r="DN220" s="11"/>
      <c r="DO220" s="11"/>
      <c r="DP220" s="11"/>
      <c r="DQ220" s="11"/>
      <c r="DR220" s="11"/>
      <c r="DS220" s="11"/>
      <c r="DT220" s="11"/>
      <c r="DU220" s="11"/>
      <c r="DV220" s="11"/>
      <c r="DW220" s="11"/>
      <c r="DX220" s="11"/>
      <c r="DY220" s="11"/>
      <c r="DZ220" s="11"/>
      <c r="EA220" s="11"/>
      <c r="EB220" s="11"/>
      <c r="EC220" s="11"/>
      <c r="ED220" s="11"/>
    </row>
    <row r="221" spans="1:134">
      <c r="A221" s="18" t="str">
        <f>A43</f>
        <v>Bond 7</v>
      </c>
      <c r="B221" s="18">
        <f t="shared" ref="B221:BM221" si="338">B43*B117</f>
        <v>1.1224934804493036</v>
      </c>
      <c r="C221" s="18">
        <f t="shared" si="338"/>
        <v>1.11481103342675</v>
      </c>
      <c r="D221" s="18">
        <f t="shared" si="338"/>
        <v>1.1070782356752784</v>
      </c>
      <c r="E221" s="18">
        <f t="shared" si="338"/>
        <v>1.0992989170321599</v>
      </c>
      <c r="F221" s="18">
        <f t="shared" si="338"/>
        <v>1.0914768184749761</v>
      </c>
      <c r="G221" s="18">
        <f t="shared" si="338"/>
        <v>1.083615592198732</v>
      </c>
      <c r="H221" s="18">
        <f t="shared" si="338"/>
        <v>1.0757188017929484</v>
      </c>
      <c r="I221" s="18">
        <f t="shared" si="338"/>
        <v>1.0677899225135035</v>
      </c>
      <c r="J221" s="18">
        <f t="shared" si="338"/>
        <v>1.0598323416440667</v>
      </c>
      <c r="K221" s="18">
        <f t="shared" si="338"/>
        <v>94.557554766246156</v>
      </c>
      <c r="L221" s="18">
        <f t="shared" si="338"/>
        <v>0</v>
      </c>
      <c r="M221" s="18">
        <f t="shared" si="338"/>
        <v>0</v>
      </c>
      <c r="N221" s="18">
        <f t="shared" si="338"/>
        <v>0</v>
      </c>
      <c r="O221" s="18">
        <f t="shared" si="338"/>
        <v>0</v>
      </c>
      <c r="P221" s="18">
        <f t="shared" si="338"/>
        <v>0</v>
      </c>
      <c r="Q221" s="18">
        <f t="shared" si="338"/>
        <v>0</v>
      </c>
      <c r="R221" s="18">
        <f t="shared" si="338"/>
        <v>0</v>
      </c>
      <c r="S221" s="18">
        <f t="shared" si="338"/>
        <v>0</v>
      </c>
      <c r="T221" s="18">
        <f t="shared" si="338"/>
        <v>0</v>
      </c>
      <c r="U221" s="18">
        <f t="shared" si="338"/>
        <v>0</v>
      </c>
      <c r="V221" s="18">
        <f t="shared" si="338"/>
        <v>0</v>
      </c>
      <c r="W221" s="18">
        <f t="shared" si="338"/>
        <v>0</v>
      </c>
      <c r="X221" s="18">
        <f t="shared" si="338"/>
        <v>0</v>
      </c>
      <c r="Y221" s="18">
        <f t="shared" si="338"/>
        <v>0</v>
      </c>
      <c r="Z221" s="18">
        <f t="shared" si="338"/>
        <v>0</v>
      </c>
      <c r="AA221" s="18">
        <f t="shared" si="338"/>
        <v>0</v>
      </c>
      <c r="AB221" s="18">
        <f t="shared" si="338"/>
        <v>0</v>
      </c>
      <c r="AC221" s="18">
        <f t="shared" si="338"/>
        <v>0</v>
      </c>
      <c r="AD221" s="18">
        <f t="shared" si="338"/>
        <v>0</v>
      </c>
      <c r="AE221" s="18">
        <f t="shared" si="338"/>
        <v>0</v>
      </c>
      <c r="AF221" s="18">
        <f t="shared" si="338"/>
        <v>0</v>
      </c>
      <c r="AG221" s="18">
        <f t="shared" si="338"/>
        <v>0</v>
      </c>
      <c r="AH221" s="18">
        <f t="shared" si="338"/>
        <v>0</v>
      </c>
      <c r="AI221" s="18">
        <f t="shared" si="338"/>
        <v>0</v>
      </c>
      <c r="AJ221" s="18">
        <f t="shared" si="338"/>
        <v>0</v>
      </c>
      <c r="AK221" s="18">
        <f t="shared" si="338"/>
        <v>0</v>
      </c>
      <c r="AL221" s="18">
        <f t="shared" si="338"/>
        <v>0</v>
      </c>
      <c r="AM221" s="18">
        <f t="shared" si="338"/>
        <v>0</v>
      </c>
      <c r="AN221" s="18">
        <f t="shared" si="338"/>
        <v>0</v>
      </c>
      <c r="AO221" s="18">
        <f t="shared" si="338"/>
        <v>0</v>
      </c>
      <c r="AP221" s="18">
        <f t="shared" si="338"/>
        <v>0</v>
      </c>
      <c r="AQ221" s="18">
        <f t="shared" si="338"/>
        <v>0</v>
      </c>
      <c r="AR221" s="18">
        <f t="shared" si="338"/>
        <v>0</v>
      </c>
      <c r="AS221" s="18">
        <f t="shared" si="338"/>
        <v>0</v>
      </c>
      <c r="AT221" s="18">
        <f t="shared" si="338"/>
        <v>0</v>
      </c>
      <c r="AU221" s="18">
        <f t="shared" si="338"/>
        <v>0</v>
      </c>
      <c r="AV221" s="18">
        <f t="shared" si="338"/>
        <v>0</v>
      </c>
      <c r="AW221" s="18">
        <f t="shared" si="338"/>
        <v>0</v>
      </c>
      <c r="AX221" s="18">
        <f t="shared" si="338"/>
        <v>0</v>
      </c>
      <c r="AY221" s="18">
        <f t="shared" si="338"/>
        <v>0</v>
      </c>
      <c r="AZ221" s="18">
        <f t="shared" si="338"/>
        <v>0</v>
      </c>
      <c r="BA221" s="18">
        <f t="shared" si="338"/>
        <v>0</v>
      </c>
      <c r="BB221" s="18">
        <f t="shared" si="338"/>
        <v>0</v>
      </c>
      <c r="BC221" s="18">
        <f t="shared" si="338"/>
        <v>0</v>
      </c>
      <c r="BD221" s="18">
        <f t="shared" si="338"/>
        <v>0</v>
      </c>
      <c r="BE221" s="18">
        <f t="shared" si="338"/>
        <v>0</v>
      </c>
      <c r="BF221" s="18">
        <f t="shared" si="338"/>
        <v>0</v>
      </c>
      <c r="BG221" s="18">
        <f t="shared" si="338"/>
        <v>0</v>
      </c>
      <c r="BH221" s="18">
        <f t="shared" si="338"/>
        <v>0</v>
      </c>
      <c r="BI221" s="18">
        <f t="shared" si="338"/>
        <v>0</v>
      </c>
      <c r="BJ221" s="18">
        <f t="shared" si="338"/>
        <v>0</v>
      </c>
      <c r="BK221" s="18">
        <f t="shared" si="338"/>
        <v>0</v>
      </c>
      <c r="BL221" s="18">
        <f t="shared" si="338"/>
        <v>0</v>
      </c>
      <c r="BM221" s="18">
        <f t="shared" si="338"/>
        <v>0</v>
      </c>
      <c r="BN221" s="18">
        <f t="shared" ref="BN221:CB221" si="339">BN43*BN117</f>
        <v>0</v>
      </c>
      <c r="BO221" s="18">
        <f t="shared" si="339"/>
        <v>0</v>
      </c>
      <c r="BP221" s="18">
        <f t="shared" si="339"/>
        <v>0</v>
      </c>
      <c r="BQ221" s="18">
        <f t="shared" si="339"/>
        <v>0</v>
      </c>
      <c r="BR221" s="18">
        <f t="shared" si="339"/>
        <v>0</v>
      </c>
      <c r="BS221" s="18">
        <f t="shared" si="339"/>
        <v>0</v>
      </c>
      <c r="BT221" s="18">
        <f t="shared" si="339"/>
        <v>0</v>
      </c>
      <c r="BU221" s="18">
        <f t="shared" si="339"/>
        <v>0</v>
      </c>
      <c r="BV221" s="18">
        <f t="shared" si="339"/>
        <v>0</v>
      </c>
      <c r="BW221" s="18">
        <f t="shared" si="339"/>
        <v>0</v>
      </c>
      <c r="BX221" s="18">
        <f t="shared" si="339"/>
        <v>0</v>
      </c>
      <c r="BY221" s="18">
        <f t="shared" si="339"/>
        <v>0</v>
      </c>
      <c r="BZ221" s="18">
        <f t="shared" si="339"/>
        <v>0</v>
      </c>
      <c r="CA221" s="18">
        <f t="shared" si="339"/>
        <v>0</v>
      </c>
      <c r="CB221" s="18">
        <f t="shared" si="339"/>
        <v>0</v>
      </c>
      <c r="CC221" s="17"/>
      <c r="CD221" s="17"/>
      <c r="CE221" s="17"/>
      <c r="CH221" s="5"/>
      <c r="CI221" s="11"/>
      <c r="CJ221" s="11"/>
      <c r="CK221" s="11"/>
      <c r="CL221" s="11"/>
      <c r="CM221" s="11"/>
      <c r="CN221" s="11"/>
      <c r="CO221" s="11"/>
      <c r="CP221" s="11"/>
      <c r="CQ221" s="11"/>
      <c r="CR221" s="11"/>
      <c r="CS221" s="11"/>
      <c r="CT221" s="11"/>
      <c r="CU221" s="11"/>
      <c r="CV221" s="11"/>
      <c r="CW221" s="11"/>
      <c r="CX221" s="11"/>
      <c r="CY221" s="11"/>
      <c r="CZ221" s="11"/>
      <c r="DA221" s="11"/>
      <c r="DB221" s="11"/>
      <c r="DC221" s="11"/>
      <c r="DD221" s="11"/>
      <c r="DE221" s="11"/>
      <c r="DF221" s="11"/>
      <c r="DG221" s="11"/>
      <c r="DH221" s="11"/>
      <c r="DI221" s="11"/>
      <c r="DJ221" s="11"/>
      <c r="DK221" s="11"/>
      <c r="DL221" s="11"/>
      <c r="DM221" s="11"/>
      <c r="DN221" s="11"/>
      <c r="DO221" s="11"/>
      <c r="DP221" s="11"/>
      <c r="DQ221" s="11"/>
      <c r="DR221" s="11"/>
      <c r="DS221" s="11"/>
      <c r="DT221" s="11"/>
      <c r="DU221" s="11"/>
      <c r="DV221" s="11"/>
      <c r="DW221" s="11"/>
      <c r="DX221" s="11"/>
      <c r="DY221" s="11"/>
      <c r="DZ221" s="11"/>
      <c r="EA221" s="11"/>
      <c r="EB221" s="11"/>
      <c r="EC221" s="11"/>
      <c r="ED221" s="11"/>
    </row>
    <row r="222" spans="1:134">
      <c r="A222" s="18" t="str">
        <f>A45</f>
        <v>Bond 8</v>
      </c>
      <c r="B222" s="18">
        <f t="shared" ref="B222:BM222" si="340">B45*B122</f>
        <v>1.118658793615023</v>
      </c>
      <c r="C222" s="18">
        <f t="shared" si="340"/>
        <v>1.1109506869444539</v>
      </c>
      <c r="D222" s="18">
        <f t="shared" si="340"/>
        <v>1.1032373741858303</v>
      </c>
      <c r="E222" s="18">
        <f t="shared" si="340"/>
        <v>1.0953929849013966</v>
      </c>
      <c r="F222" s="18">
        <f t="shared" si="340"/>
        <v>1.0875945452315037</v>
      </c>
      <c r="G222" s="18">
        <f t="shared" si="340"/>
        <v>1.0796714232420306</v>
      </c>
      <c r="H222" s="18">
        <f t="shared" si="340"/>
        <v>1.071802209144717</v>
      </c>
      <c r="I222" s="18">
        <f t="shared" si="340"/>
        <v>1.0638145114970796</v>
      </c>
      <c r="J222" s="18">
        <f t="shared" si="340"/>
        <v>1.0558881729730065</v>
      </c>
      <c r="K222" s="18">
        <f t="shared" si="340"/>
        <v>1.0478938228551427</v>
      </c>
      <c r="L222" s="18">
        <f t="shared" si="340"/>
        <v>1.0399234192025917</v>
      </c>
      <c r="M222" s="18">
        <f t="shared" si="340"/>
        <v>92.751518218224618</v>
      </c>
      <c r="N222" s="18">
        <f t="shared" si="340"/>
        <v>0</v>
      </c>
      <c r="O222" s="18">
        <f t="shared" si="340"/>
        <v>0</v>
      </c>
      <c r="P222" s="18">
        <f t="shared" si="340"/>
        <v>0</v>
      </c>
      <c r="Q222" s="18">
        <f t="shared" si="340"/>
        <v>0</v>
      </c>
      <c r="R222" s="18">
        <f t="shared" si="340"/>
        <v>0</v>
      </c>
      <c r="S222" s="18">
        <f t="shared" si="340"/>
        <v>0</v>
      </c>
      <c r="T222" s="18">
        <f t="shared" si="340"/>
        <v>0</v>
      </c>
      <c r="U222" s="18">
        <f t="shared" si="340"/>
        <v>0</v>
      </c>
      <c r="V222" s="18">
        <f t="shared" si="340"/>
        <v>0</v>
      </c>
      <c r="W222" s="18">
        <f t="shared" si="340"/>
        <v>0</v>
      </c>
      <c r="X222" s="18">
        <f t="shared" si="340"/>
        <v>0</v>
      </c>
      <c r="Y222" s="18">
        <f t="shared" si="340"/>
        <v>0</v>
      </c>
      <c r="Z222" s="18">
        <f t="shared" si="340"/>
        <v>0</v>
      </c>
      <c r="AA222" s="18">
        <f t="shared" si="340"/>
        <v>0</v>
      </c>
      <c r="AB222" s="18">
        <f t="shared" si="340"/>
        <v>0</v>
      </c>
      <c r="AC222" s="18">
        <f t="shared" si="340"/>
        <v>0</v>
      </c>
      <c r="AD222" s="18">
        <f t="shared" si="340"/>
        <v>0</v>
      </c>
      <c r="AE222" s="18">
        <f t="shared" si="340"/>
        <v>0</v>
      </c>
      <c r="AF222" s="18">
        <f t="shared" si="340"/>
        <v>0</v>
      </c>
      <c r="AG222" s="18">
        <f t="shared" si="340"/>
        <v>0</v>
      </c>
      <c r="AH222" s="18">
        <f t="shared" si="340"/>
        <v>0</v>
      </c>
      <c r="AI222" s="18">
        <f t="shared" si="340"/>
        <v>0</v>
      </c>
      <c r="AJ222" s="18">
        <f t="shared" si="340"/>
        <v>0</v>
      </c>
      <c r="AK222" s="18">
        <f t="shared" si="340"/>
        <v>0</v>
      </c>
      <c r="AL222" s="18">
        <f t="shared" si="340"/>
        <v>0</v>
      </c>
      <c r="AM222" s="18">
        <f t="shared" si="340"/>
        <v>0</v>
      </c>
      <c r="AN222" s="18">
        <f t="shared" si="340"/>
        <v>0</v>
      </c>
      <c r="AO222" s="18">
        <f t="shared" si="340"/>
        <v>0</v>
      </c>
      <c r="AP222" s="18">
        <f t="shared" si="340"/>
        <v>0</v>
      </c>
      <c r="AQ222" s="18">
        <f t="shared" si="340"/>
        <v>0</v>
      </c>
      <c r="AR222" s="18">
        <f t="shared" si="340"/>
        <v>0</v>
      </c>
      <c r="AS222" s="18">
        <f t="shared" si="340"/>
        <v>0</v>
      </c>
      <c r="AT222" s="18">
        <f t="shared" si="340"/>
        <v>0</v>
      </c>
      <c r="AU222" s="18">
        <f t="shared" si="340"/>
        <v>0</v>
      </c>
      <c r="AV222" s="18">
        <f t="shared" si="340"/>
        <v>0</v>
      </c>
      <c r="AW222" s="18">
        <f t="shared" si="340"/>
        <v>0</v>
      </c>
      <c r="AX222" s="18">
        <f t="shared" si="340"/>
        <v>0</v>
      </c>
      <c r="AY222" s="18">
        <f t="shared" si="340"/>
        <v>0</v>
      </c>
      <c r="AZ222" s="18">
        <f t="shared" si="340"/>
        <v>0</v>
      </c>
      <c r="BA222" s="18">
        <f t="shared" si="340"/>
        <v>0</v>
      </c>
      <c r="BB222" s="18">
        <f t="shared" si="340"/>
        <v>0</v>
      </c>
      <c r="BC222" s="18">
        <f t="shared" si="340"/>
        <v>0</v>
      </c>
      <c r="BD222" s="18">
        <f t="shared" si="340"/>
        <v>0</v>
      </c>
      <c r="BE222" s="18">
        <f t="shared" si="340"/>
        <v>0</v>
      </c>
      <c r="BF222" s="18">
        <f t="shared" si="340"/>
        <v>0</v>
      </c>
      <c r="BG222" s="18">
        <f t="shared" si="340"/>
        <v>0</v>
      </c>
      <c r="BH222" s="18">
        <f t="shared" si="340"/>
        <v>0</v>
      </c>
      <c r="BI222" s="18">
        <f t="shared" si="340"/>
        <v>0</v>
      </c>
      <c r="BJ222" s="18">
        <f t="shared" si="340"/>
        <v>0</v>
      </c>
      <c r="BK222" s="18">
        <f t="shared" si="340"/>
        <v>0</v>
      </c>
      <c r="BL222" s="18">
        <f t="shared" si="340"/>
        <v>0</v>
      </c>
      <c r="BM222" s="18">
        <f t="shared" si="340"/>
        <v>0</v>
      </c>
      <c r="BN222" s="18">
        <f t="shared" ref="BN222:CB222" si="341">BN45*BN122</f>
        <v>0</v>
      </c>
      <c r="BO222" s="18">
        <f t="shared" si="341"/>
        <v>0</v>
      </c>
      <c r="BP222" s="18">
        <f t="shared" si="341"/>
        <v>0</v>
      </c>
      <c r="BQ222" s="18">
        <f t="shared" si="341"/>
        <v>0</v>
      </c>
      <c r="BR222" s="18">
        <f t="shared" si="341"/>
        <v>0</v>
      </c>
      <c r="BS222" s="18">
        <f t="shared" si="341"/>
        <v>0</v>
      </c>
      <c r="BT222" s="18">
        <f t="shared" si="341"/>
        <v>0</v>
      </c>
      <c r="BU222" s="18">
        <f t="shared" si="341"/>
        <v>0</v>
      </c>
      <c r="BV222" s="18">
        <f t="shared" si="341"/>
        <v>0</v>
      </c>
      <c r="BW222" s="18">
        <f t="shared" si="341"/>
        <v>0</v>
      </c>
      <c r="BX222" s="18">
        <f t="shared" si="341"/>
        <v>0</v>
      </c>
      <c r="BY222" s="18">
        <f t="shared" si="341"/>
        <v>0</v>
      </c>
      <c r="BZ222" s="18">
        <f t="shared" si="341"/>
        <v>0</v>
      </c>
      <c r="CA222" s="18">
        <f t="shared" si="341"/>
        <v>0</v>
      </c>
      <c r="CB222" s="18">
        <f t="shared" si="341"/>
        <v>0</v>
      </c>
      <c r="CC222" s="17"/>
      <c r="CD222" s="17"/>
      <c r="CE222" s="17"/>
      <c r="CH222" s="5"/>
      <c r="CI222" s="11"/>
      <c r="CJ222" s="11"/>
      <c r="CK222" s="11"/>
      <c r="CL222" s="11"/>
      <c r="CM222" s="11"/>
      <c r="CN222" s="11"/>
      <c r="CO222" s="11"/>
      <c r="CP222" s="11"/>
      <c r="CQ222" s="11"/>
      <c r="CR222" s="11"/>
      <c r="CS222" s="11"/>
      <c r="CT222" s="11"/>
      <c r="CU222" s="11"/>
      <c r="CV222" s="11"/>
      <c r="CW222" s="11"/>
      <c r="CX222" s="11"/>
      <c r="CY222" s="11"/>
      <c r="CZ222" s="11"/>
      <c r="DA222" s="11"/>
      <c r="DB222" s="11"/>
      <c r="DC222" s="11"/>
      <c r="DD222" s="11"/>
      <c r="DE222" s="11"/>
      <c r="DF222" s="11"/>
      <c r="DG222" s="11"/>
      <c r="DH222" s="11"/>
      <c r="DI222" s="11"/>
      <c r="DJ222" s="11"/>
      <c r="DK222" s="11"/>
      <c r="DL222" s="11"/>
      <c r="DM222" s="11"/>
      <c r="DN222" s="11"/>
      <c r="DO222" s="11"/>
      <c r="DP222" s="11"/>
      <c r="DQ222" s="11"/>
      <c r="DR222" s="11"/>
      <c r="DS222" s="11"/>
      <c r="DT222" s="11"/>
      <c r="DU222" s="11"/>
      <c r="DV222" s="11"/>
      <c r="DW222" s="11"/>
      <c r="DX222" s="11"/>
      <c r="DY222" s="11"/>
      <c r="DZ222" s="11"/>
      <c r="EA222" s="11"/>
      <c r="EB222" s="11"/>
      <c r="EC222" s="11"/>
      <c r="ED222" s="11"/>
    </row>
    <row r="223" spans="1:134">
      <c r="A223" s="18" t="str">
        <f>A47</f>
        <v>Bond 9</v>
      </c>
      <c r="B223" s="18">
        <f t="shared" ref="B223:BM223" si="342">B47*B127</f>
        <v>0.7457725290766819</v>
      </c>
      <c r="C223" s="18">
        <f t="shared" si="342"/>
        <v>0.74063379129630258</v>
      </c>
      <c r="D223" s="18">
        <f t="shared" si="342"/>
        <v>0.7354915827905536</v>
      </c>
      <c r="E223" s="18">
        <f t="shared" si="342"/>
        <v>0.73026198993426439</v>
      </c>
      <c r="F223" s="18">
        <f t="shared" si="342"/>
        <v>0.72506303015433582</v>
      </c>
      <c r="G223" s="18">
        <f t="shared" si="342"/>
        <v>0.71978094882802035</v>
      </c>
      <c r="H223" s="18">
        <f t="shared" si="342"/>
        <v>0.71453480609647801</v>
      </c>
      <c r="I223" s="18">
        <f t="shared" si="342"/>
        <v>0.70920967433138649</v>
      </c>
      <c r="J223" s="18">
        <f t="shared" si="342"/>
        <v>0.70392544864867101</v>
      </c>
      <c r="K223" s="18">
        <f t="shared" si="342"/>
        <v>0.69859588190342836</v>
      </c>
      <c r="L223" s="18">
        <f t="shared" si="342"/>
        <v>0.69328227946839449</v>
      </c>
      <c r="M223" s="18">
        <f t="shared" si="342"/>
        <v>0.68789753931934206</v>
      </c>
      <c r="N223" s="18">
        <f t="shared" si="342"/>
        <v>0.68256264561340974</v>
      </c>
      <c r="O223" s="18">
        <f t="shared" si="342"/>
        <v>90.965205675762746</v>
      </c>
      <c r="P223" s="18">
        <f t="shared" si="342"/>
        <v>0</v>
      </c>
      <c r="Q223" s="18">
        <f t="shared" si="342"/>
        <v>0</v>
      </c>
      <c r="R223" s="18">
        <f t="shared" si="342"/>
        <v>0</v>
      </c>
      <c r="S223" s="18">
        <f t="shared" si="342"/>
        <v>0</v>
      </c>
      <c r="T223" s="18">
        <f t="shared" si="342"/>
        <v>0</v>
      </c>
      <c r="U223" s="18">
        <f t="shared" si="342"/>
        <v>0</v>
      </c>
      <c r="V223" s="18">
        <f t="shared" si="342"/>
        <v>0</v>
      </c>
      <c r="W223" s="18">
        <f t="shared" si="342"/>
        <v>0</v>
      </c>
      <c r="X223" s="18">
        <f t="shared" si="342"/>
        <v>0</v>
      </c>
      <c r="Y223" s="18">
        <f t="shared" si="342"/>
        <v>0</v>
      </c>
      <c r="Z223" s="18">
        <f t="shared" si="342"/>
        <v>0</v>
      </c>
      <c r="AA223" s="18">
        <f t="shared" si="342"/>
        <v>0</v>
      </c>
      <c r="AB223" s="18">
        <f t="shared" si="342"/>
        <v>0</v>
      </c>
      <c r="AC223" s="18">
        <f t="shared" si="342"/>
        <v>0</v>
      </c>
      <c r="AD223" s="18">
        <f t="shared" si="342"/>
        <v>0</v>
      </c>
      <c r="AE223" s="18">
        <f t="shared" si="342"/>
        <v>0</v>
      </c>
      <c r="AF223" s="18">
        <f t="shared" si="342"/>
        <v>0</v>
      </c>
      <c r="AG223" s="18">
        <f t="shared" si="342"/>
        <v>0</v>
      </c>
      <c r="AH223" s="18">
        <f t="shared" si="342"/>
        <v>0</v>
      </c>
      <c r="AI223" s="18">
        <f t="shared" si="342"/>
        <v>0</v>
      </c>
      <c r="AJ223" s="18">
        <f t="shared" si="342"/>
        <v>0</v>
      </c>
      <c r="AK223" s="18">
        <f t="shared" si="342"/>
        <v>0</v>
      </c>
      <c r="AL223" s="18">
        <f t="shared" si="342"/>
        <v>0</v>
      </c>
      <c r="AM223" s="18">
        <f t="shared" si="342"/>
        <v>0</v>
      </c>
      <c r="AN223" s="18">
        <f t="shared" si="342"/>
        <v>0</v>
      </c>
      <c r="AO223" s="18">
        <f t="shared" si="342"/>
        <v>0</v>
      </c>
      <c r="AP223" s="18">
        <f t="shared" si="342"/>
        <v>0</v>
      </c>
      <c r="AQ223" s="18">
        <f t="shared" si="342"/>
        <v>0</v>
      </c>
      <c r="AR223" s="18">
        <f t="shared" si="342"/>
        <v>0</v>
      </c>
      <c r="AS223" s="18">
        <f t="shared" si="342"/>
        <v>0</v>
      </c>
      <c r="AT223" s="18">
        <f t="shared" si="342"/>
        <v>0</v>
      </c>
      <c r="AU223" s="18">
        <f t="shared" si="342"/>
        <v>0</v>
      </c>
      <c r="AV223" s="18">
        <f t="shared" si="342"/>
        <v>0</v>
      </c>
      <c r="AW223" s="18">
        <f t="shared" si="342"/>
        <v>0</v>
      </c>
      <c r="AX223" s="18">
        <f t="shared" si="342"/>
        <v>0</v>
      </c>
      <c r="AY223" s="18">
        <f t="shared" si="342"/>
        <v>0</v>
      </c>
      <c r="AZ223" s="18">
        <f t="shared" si="342"/>
        <v>0</v>
      </c>
      <c r="BA223" s="18">
        <f t="shared" si="342"/>
        <v>0</v>
      </c>
      <c r="BB223" s="18">
        <f t="shared" si="342"/>
        <v>0</v>
      </c>
      <c r="BC223" s="18">
        <f t="shared" si="342"/>
        <v>0</v>
      </c>
      <c r="BD223" s="18">
        <f t="shared" si="342"/>
        <v>0</v>
      </c>
      <c r="BE223" s="18">
        <f t="shared" si="342"/>
        <v>0</v>
      </c>
      <c r="BF223" s="18">
        <f t="shared" si="342"/>
        <v>0</v>
      </c>
      <c r="BG223" s="18">
        <f t="shared" si="342"/>
        <v>0</v>
      </c>
      <c r="BH223" s="18">
        <f t="shared" si="342"/>
        <v>0</v>
      </c>
      <c r="BI223" s="18">
        <f t="shared" si="342"/>
        <v>0</v>
      </c>
      <c r="BJ223" s="18">
        <f t="shared" si="342"/>
        <v>0</v>
      </c>
      <c r="BK223" s="18">
        <f t="shared" si="342"/>
        <v>0</v>
      </c>
      <c r="BL223" s="18">
        <f t="shared" si="342"/>
        <v>0</v>
      </c>
      <c r="BM223" s="18">
        <f t="shared" si="342"/>
        <v>0</v>
      </c>
      <c r="BN223" s="18">
        <f t="shared" ref="BN223:CB223" si="343">BN47*BN127</f>
        <v>0</v>
      </c>
      <c r="BO223" s="18">
        <f t="shared" si="343"/>
        <v>0</v>
      </c>
      <c r="BP223" s="18">
        <f t="shared" si="343"/>
        <v>0</v>
      </c>
      <c r="BQ223" s="18">
        <f t="shared" si="343"/>
        <v>0</v>
      </c>
      <c r="BR223" s="18">
        <f t="shared" si="343"/>
        <v>0</v>
      </c>
      <c r="BS223" s="18">
        <f t="shared" si="343"/>
        <v>0</v>
      </c>
      <c r="BT223" s="18">
        <f t="shared" si="343"/>
        <v>0</v>
      </c>
      <c r="BU223" s="18">
        <f t="shared" si="343"/>
        <v>0</v>
      </c>
      <c r="BV223" s="18">
        <f t="shared" si="343"/>
        <v>0</v>
      </c>
      <c r="BW223" s="18">
        <f t="shared" si="343"/>
        <v>0</v>
      </c>
      <c r="BX223" s="18">
        <f t="shared" si="343"/>
        <v>0</v>
      </c>
      <c r="BY223" s="18">
        <f t="shared" si="343"/>
        <v>0</v>
      </c>
      <c r="BZ223" s="18">
        <f t="shared" si="343"/>
        <v>0</v>
      </c>
      <c r="CA223" s="18">
        <f t="shared" si="343"/>
        <v>0</v>
      </c>
      <c r="CB223" s="18">
        <f t="shared" si="343"/>
        <v>0</v>
      </c>
      <c r="CC223" s="17"/>
      <c r="CD223" s="17"/>
      <c r="CE223" s="17"/>
      <c r="CH223" s="5"/>
      <c r="CI223" s="11"/>
      <c r="CJ223" s="11"/>
      <c r="CK223" s="11"/>
      <c r="CL223" s="11"/>
      <c r="CM223" s="11"/>
      <c r="CN223" s="11"/>
      <c r="CO223" s="11"/>
      <c r="CP223" s="11"/>
      <c r="CQ223" s="11"/>
      <c r="CR223" s="11"/>
      <c r="CS223" s="11"/>
      <c r="CT223" s="11"/>
      <c r="CU223" s="11"/>
      <c r="CV223" s="11"/>
      <c r="CW223" s="11"/>
      <c r="CX223" s="11"/>
      <c r="CY223" s="11"/>
      <c r="CZ223" s="11"/>
      <c r="DA223" s="11"/>
      <c r="DB223" s="11"/>
      <c r="DC223" s="11"/>
      <c r="DD223" s="11"/>
      <c r="DE223" s="11"/>
      <c r="DF223" s="11"/>
      <c r="DG223" s="11"/>
      <c r="DH223" s="11"/>
      <c r="DI223" s="11"/>
      <c r="DJ223" s="11"/>
      <c r="DK223" s="11"/>
      <c r="DL223" s="11"/>
      <c r="DM223" s="11"/>
      <c r="DN223" s="11"/>
      <c r="DO223" s="11"/>
      <c r="DP223" s="11"/>
      <c r="DQ223" s="11"/>
      <c r="DR223" s="11"/>
      <c r="DS223" s="11"/>
      <c r="DT223" s="11"/>
      <c r="DU223" s="11"/>
      <c r="DV223" s="11"/>
      <c r="DW223" s="11"/>
      <c r="DX223" s="11"/>
      <c r="DY223" s="11"/>
      <c r="DZ223" s="11"/>
      <c r="EA223" s="11"/>
      <c r="EB223" s="11"/>
      <c r="EC223" s="11"/>
      <c r="ED223" s="11"/>
    </row>
    <row r="224" spans="1:134">
      <c r="A224" s="18" t="str">
        <f>A49</f>
        <v>Bond 10</v>
      </c>
      <c r="B224" s="18">
        <f t="shared" ref="B224:BM224" si="344">B49*B132</f>
        <v>0.49718168605112129</v>
      </c>
      <c r="C224" s="18">
        <f t="shared" si="344"/>
        <v>0.49375586086420176</v>
      </c>
      <c r="D224" s="18">
        <f t="shared" si="344"/>
        <v>0.49032772186036905</v>
      </c>
      <c r="E224" s="18">
        <f t="shared" si="344"/>
        <v>0.48684132662284291</v>
      </c>
      <c r="F224" s="18">
        <f t="shared" si="344"/>
        <v>0.4833753534362239</v>
      </c>
      <c r="G224" s="18">
        <f t="shared" si="344"/>
        <v>0.4798539658853469</v>
      </c>
      <c r="H224" s="18">
        <f t="shared" si="344"/>
        <v>0.47635653739765205</v>
      </c>
      <c r="I224" s="18">
        <f t="shared" si="344"/>
        <v>0.47280644955425766</v>
      </c>
      <c r="J224" s="18">
        <f t="shared" si="344"/>
        <v>0.46928363243244731</v>
      </c>
      <c r="K224" s="18">
        <f t="shared" si="344"/>
        <v>0.46573058793561894</v>
      </c>
      <c r="L224" s="18">
        <f t="shared" si="344"/>
        <v>0.46218818631226299</v>
      </c>
      <c r="M224" s="18">
        <f t="shared" si="344"/>
        <v>0.45859835954622802</v>
      </c>
      <c r="N224" s="18">
        <f t="shared" si="344"/>
        <v>0.45504176374227318</v>
      </c>
      <c r="O224" s="18">
        <f t="shared" si="344"/>
        <v>0.4514402266787233</v>
      </c>
      <c r="P224" s="18">
        <f t="shared" si="344"/>
        <v>0.44787458896631349</v>
      </c>
      <c r="Q224" s="18">
        <f t="shared" si="344"/>
        <v>89.297546741891964</v>
      </c>
      <c r="R224" s="18">
        <f t="shared" si="344"/>
        <v>0</v>
      </c>
      <c r="S224" s="18">
        <f t="shared" si="344"/>
        <v>0</v>
      </c>
      <c r="T224" s="18">
        <f t="shared" si="344"/>
        <v>0</v>
      </c>
      <c r="U224" s="18">
        <f t="shared" si="344"/>
        <v>0</v>
      </c>
      <c r="V224" s="18">
        <f t="shared" si="344"/>
        <v>0</v>
      </c>
      <c r="W224" s="18">
        <f t="shared" si="344"/>
        <v>0</v>
      </c>
      <c r="X224" s="18">
        <f t="shared" si="344"/>
        <v>0</v>
      </c>
      <c r="Y224" s="18">
        <f t="shared" si="344"/>
        <v>0</v>
      </c>
      <c r="Z224" s="18">
        <f t="shared" si="344"/>
        <v>0</v>
      </c>
      <c r="AA224" s="18">
        <f t="shared" si="344"/>
        <v>0</v>
      </c>
      <c r="AB224" s="18">
        <f t="shared" si="344"/>
        <v>0</v>
      </c>
      <c r="AC224" s="18">
        <f t="shared" si="344"/>
        <v>0</v>
      </c>
      <c r="AD224" s="18">
        <f t="shared" si="344"/>
        <v>0</v>
      </c>
      <c r="AE224" s="18">
        <f t="shared" si="344"/>
        <v>0</v>
      </c>
      <c r="AF224" s="18">
        <f t="shared" si="344"/>
        <v>0</v>
      </c>
      <c r="AG224" s="18">
        <f t="shared" si="344"/>
        <v>0</v>
      </c>
      <c r="AH224" s="18">
        <f t="shared" si="344"/>
        <v>0</v>
      </c>
      <c r="AI224" s="18">
        <f t="shared" si="344"/>
        <v>0</v>
      </c>
      <c r="AJ224" s="18">
        <f t="shared" si="344"/>
        <v>0</v>
      </c>
      <c r="AK224" s="18">
        <f t="shared" si="344"/>
        <v>0</v>
      </c>
      <c r="AL224" s="18">
        <f t="shared" si="344"/>
        <v>0</v>
      </c>
      <c r="AM224" s="18">
        <f t="shared" si="344"/>
        <v>0</v>
      </c>
      <c r="AN224" s="18">
        <f t="shared" si="344"/>
        <v>0</v>
      </c>
      <c r="AO224" s="18">
        <f t="shared" si="344"/>
        <v>0</v>
      </c>
      <c r="AP224" s="18">
        <f t="shared" si="344"/>
        <v>0</v>
      </c>
      <c r="AQ224" s="18">
        <f t="shared" si="344"/>
        <v>0</v>
      </c>
      <c r="AR224" s="18">
        <f t="shared" si="344"/>
        <v>0</v>
      </c>
      <c r="AS224" s="18">
        <f t="shared" si="344"/>
        <v>0</v>
      </c>
      <c r="AT224" s="18">
        <f t="shared" si="344"/>
        <v>0</v>
      </c>
      <c r="AU224" s="18">
        <f t="shared" si="344"/>
        <v>0</v>
      </c>
      <c r="AV224" s="18">
        <f t="shared" si="344"/>
        <v>0</v>
      </c>
      <c r="AW224" s="18">
        <f t="shared" si="344"/>
        <v>0</v>
      </c>
      <c r="AX224" s="18">
        <f t="shared" si="344"/>
        <v>0</v>
      </c>
      <c r="AY224" s="18">
        <f t="shared" si="344"/>
        <v>0</v>
      </c>
      <c r="AZ224" s="18">
        <f t="shared" si="344"/>
        <v>0</v>
      </c>
      <c r="BA224" s="18">
        <f t="shared" si="344"/>
        <v>0</v>
      </c>
      <c r="BB224" s="18">
        <f t="shared" si="344"/>
        <v>0</v>
      </c>
      <c r="BC224" s="18">
        <f t="shared" si="344"/>
        <v>0</v>
      </c>
      <c r="BD224" s="18">
        <f t="shared" si="344"/>
        <v>0</v>
      </c>
      <c r="BE224" s="18">
        <f t="shared" si="344"/>
        <v>0</v>
      </c>
      <c r="BF224" s="18">
        <f t="shared" si="344"/>
        <v>0</v>
      </c>
      <c r="BG224" s="18">
        <f t="shared" si="344"/>
        <v>0</v>
      </c>
      <c r="BH224" s="18">
        <f t="shared" si="344"/>
        <v>0</v>
      </c>
      <c r="BI224" s="18">
        <f t="shared" si="344"/>
        <v>0</v>
      </c>
      <c r="BJ224" s="18">
        <f t="shared" si="344"/>
        <v>0</v>
      </c>
      <c r="BK224" s="18">
        <f t="shared" si="344"/>
        <v>0</v>
      </c>
      <c r="BL224" s="18">
        <f t="shared" si="344"/>
        <v>0</v>
      </c>
      <c r="BM224" s="18">
        <f t="shared" si="344"/>
        <v>0</v>
      </c>
      <c r="BN224" s="18">
        <f t="shared" ref="BN224:CB224" si="345">BN49*BN132</f>
        <v>0</v>
      </c>
      <c r="BO224" s="18">
        <f t="shared" si="345"/>
        <v>0</v>
      </c>
      <c r="BP224" s="18">
        <f t="shared" si="345"/>
        <v>0</v>
      </c>
      <c r="BQ224" s="18">
        <f t="shared" si="345"/>
        <v>0</v>
      </c>
      <c r="BR224" s="18">
        <f t="shared" si="345"/>
        <v>0</v>
      </c>
      <c r="BS224" s="18">
        <f t="shared" si="345"/>
        <v>0</v>
      </c>
      <c r="BT224" s="18">
        <f t="shared" si="345"/>
        <v>0</v>
      </c>
      <c r="BU224" s="18">
        <f t="shared" si="345"/>
        <v>0</v>
      </c>
      <c r="BV224" s="18">
        <f t="shared" si="345"/>
        <v>0</v>
      </c>
      <c r="BW224" s="18">
        <f t="shared" si="345"/>
        <v>0</v>
      </c>
      <c r="BX224" s="18">
        <f t="shared" si="345"/>
        <v>0</v>
      </c>
      <c r="BY224" s="18">
        <f t="shared" si="345"/>
        <v>0</v>
      </c>
      <c r="BZ224" s="18">
        <f t="shared" si="345"/>
        <v>0</v>
      </c>
      <c r="CA224" s="18">
        <f t="shared" si="345"/>
        <v>0</v>
      </c>
      <c r="CB224" s="18">
        <f t="shared" si="345"/>
        <v>0</v>
      </c>
      <c r="CC224" s="17"/>
      <c r="CD224" s="17"/>
      <c r="CE224" s="17"/>
      <c r="CH224" s="5"/>
      <c r="CI224" s="11"/>
      <c r="CJ224" s="11"/>
      <c r="CK224" s="11"/>
      <c r="CL224" s="11"/>
      <c r="CM224" s="11"/>
      <c r="CN224" s="11"/>
      <c r="CO224" s="11"/>
      <c r="CP224" s="11"/>
      <c r="CQ224" s="11"/>
      <c r="CR224" s="11"/>
      <c r="CS224" s="11"/>
      <c r="CT224" s="11"/>
      <c r="CU224" s="11"/>
      <c r="CV224" s="11"/>
      <c r="CW224" s="11"/>
      <c r="CX224" s="11"/>
      <c r="CY224" s="11"/>
      <c r="CZ224" s="11"/>
      <c r="DA224" s="11"/>
      <c r="DB224" s="11"/>
      <c r="DC224" s="11"/>
      <c r="DD224" s="11"/>
      <c r="DE224" s="11"/>
      <c r="DF224" s="11"/>
      <c r="DG224" s="11"/>
      <c r="DH224" s="11"/>
      <c r="DI224" s="11"/>
      <c r="DJ224" s="11"/>
      <c r="DK224" s="11"/>
      <c r="DL224" s="11"/>
      <c r="DM224" s="11"/>
      <c r="DN224" s="11"/>
      <c r="DO224" s="11"/>
      <c r="DP224" s="11"/>
      <c r="DQ224" s="11"/>
      <c r="DR224" s="11"/>
      <c r="DS224" s="11"/>
      <c r="DT224" s="11"/>
      <c r="DU224" s="11"/>
      <c r="DV224" s="11"/>
      <c r="DW224" s="11"/>
      <c r="DX224" s="11"/>
      <c r="DY224" s="11"/>
      <c r="DZ224" s="11"/>
      <c r="EA224" s="11"/>
      <c r="EB224" s="11"/>
      <c r="EC224" s="11"/>
      <c r="ED224" s="11"/>
    </row>
    <row r="225" spans="1:256">
      <c r="A225" s="18" t="str">
        <f>A51</f>
        <v>Bond 11</v>
      </c>
      <c r="B225" s="18">
        <f t="shared" ref="B225:BM225" si="346">B51*B137</f>
        <v>0.99436337210224257</v>
      </c>
      <c r="C225" s="18">
        <f t="shared" si="346"/>
        <v>0.98751172172840351</v>
      </c>
      <c r="D225" s="18">
        <f t="shared" si="346"/>
        <v>0.9806554437207381</v>
      </c>
      <c r="E225" s="18">
        <f t="shared" si="346"/>
        <v>0.97368265324568581</v>
      </c>
      <c r="F225" s="18">
        <f t="shared" si="346"/>
        <v>0.9667507068724478</v>
      </c>
      <c r="G225" s="18">
        <f t="shared" si="346"/>
        <v>0.9597079317706938</v>
      </c>
      <c r="H225" s="18">
        <f t="shared" si="346"/>
        <v>0.95271307479530409</v>
      </c>
      <c r="I225" s="18">
        <f t="shared" si="346"/>
        <v>0.94561289910851531</v>
      </c>
      <c r="J225" s="18">
        <f t="shared" si="346"/>
        <v>0.93856726486489461</v>
      </c>
      <c r="K225" s="18">
        <f t="shared" si="346"/>
        <v>0.93146117587123789</v>
      </c>
      <c r="L225" s="18">
        <f t="shared" si="346"/>
        <v>0.92437637262452599</v>
      </c>
      <c r="M225" s="18">
        <f t="shared" si="346"/>
        <v>0.91719671909245604</v>
      </c>
      <c r="N225" s="18">
        <f t="shared" si="346"/>
        <v>0.91008352748454635</v>
      </c>
      <c r="O225" s="18">
        <f t="shared" si="346"/>
        <v>0.9028804533574466</v>
      </c>
      <c r="P225" s="18">
        <f t="shared" si="346"/>
        <v>0.89574917793262698</v>
      </c>
      <c r="Q225" s="18">
        <f t="shared" si="346"/>
        <v>0.8885328034019101</v>
      </c>
      <c r="R225" s="18">
        <f t="shared" si="346"/>
        <v>0.88139315945791841</v>
      </c>
      <c r="S225" s="18">
        <f t="shared" si="346"/>
        <v>88.295503256937138</v>
      </c>
      <c r="T225" s="18">
        <f t="shared" si="346"/>
        <v>0</v>
      </c>
      <c r="U225" s="18">
        <f t="shared" si="346"/>
        <v>0</v>
      </c>
      <c r="V225" s="18">
        <f t="shared" si="346"/>
        <v>0</v>
      </c>
      <c r="W225" s="18">
        <f t="shared" si="346"/>
        <v>0</v>
      </c>
      <c r="X225" s="18">
        <f t="shared" si="346"/>
        <v>0</v>
      </c>
      <c r="Y225" s="18">
        <f t="shared" si="346"/>
        <v>0</v>
      </c>
      <c r="Z225" s="18">
        <f t="shared" si="346"/>
        <v>0</v>
      </c>
      <c r="AA225" s="18">
        <f t="shared" si="346"/>
        <v>0</v>
      </c>
      <c r="AB225" s="18">
        <f t="shared" si="346"/>
        <v>0</v>
      </c>
      <c r="AC225" s="18">
        <f t="shared" si="346"/>
        <v>0</v>
      </c>
      <c r="AD225" s="18">
        <f t="shared" si="346"/>
        <v>0</v>
      </c>
      <c r="AE225" s="18">
        <f t="shared" si="346"/>
        <v>0</v>
      </c>
      <c r="AF225" s="18">
        <f t="shared" si="346"/>
        <v>0</v>
      </c>
      <c r="AG225" s="18">
        <f t="shared" si="346"/>
        <v>0</v>
      </c>
      <c r="AH225" s="18">
        <f t="shared" si="346"/>
        <v>0</v>
      </c>
      <c r="AI225" s="18">
        <f t="shared" si="346"/>
        <v>0</v>
      </c>
      <c r="AJ225" s="18">
        <f t="shared" si="346"/>
        <v>0</v>
      </c>
      <c r="AK225" s="18">
        <f t="shared" si="346"/>
        <v>0</v>
      </c>
      <c r="AL225" s="18">
        <f t="shared" si="346"/>
        <v>0</v>
      </c>
      <c r="AM225" s="18">
        <f t="shared" si="346"/>
        <v>0</v>
      </c>
      <c r="AN225" s="18">
        <f t="shared" si="346"/>
        <v>0</v>
      </c>
      <c r="AO225" s="18">
        <f t="shared" si="346"/>
        <v>0</v>
      </c>
      <c r="AP225" s="18">
        <f t="shared" si="346"/>
        <v>0</v>
      </c>
      <c r="AQ225" s="18">
        <f t="shared" si="346"/>
        <v>0</v>
      </c>
      <c r="AR225" s="18">
        <f t="shared" si="346"/>
        <v>0</v>
      </c>
      <c r="AS225" s="18">
        <f t="shared" si="346"/>
        <v>0</v>
      </c>
      <c r="AT225" s="18">
        <f t="shared" si="346"/>
        <v>0</v>
      </c>
      <c r="AU225" s="18">
        <f t="shared" si="346"/>
        <v>0</v>
      </c>
      <c r="AV225" s="18">
        <f t="shared" si="346"/>
        <v>0</v>
      </c>
      <c r="AW225" s="18">
        <f t="shared" si="346"/>
        <v>0</v>
      </c>
      <c r="AX225" s="18">
        <f t="shared" si="346"/>
        <v>0</v>
      </c>
      <c r="AY225" s="18">
        <f t="shared" si="346"/>
        <v>0</v>
      </c>
      <c r="AZ225" s="18">
        <f t="shared" si="346"/>
        <v>0</v>
      </c>
      <c r="BA225" s="18">
        <f t="shared" si="346"/>
        <v>0</v>
      </c>
      <c r="BB225" s="18">
        <f t="shared" si="346"/>
        <v>0</v>
      </c>
      <c r="BC225" s="18">
        <f t="shared" si="346"/>
        <v>0</v>
      </c>
      <c r="BD225" s="18">
        <f t="shared" si="346"/>
        <v>0</v>
      </c>
      <c r="BE225" s="18">
        <f t="shared" si="346"/>
        <v>0</v>
      </c>
      <c r="BF225" s="18">
        <f t="shared" si="346"/>
        <v>0</v>
      </c>
      <c r="BG225" s="18">
        <f t="shared" si="346"/>
        <v>0</v>
      </c>
      <c r="BH225" s="18">
        <f t="shared" si="346"/>
        <v>0</v>
      </c>
      <c r="BI225" s="18">
        <f t="shared" si="346"/>
        <v>0</v>
      </c>
      <c r="BJ225" s="18">
        <f t="shared" si="346"/>
        <v>0</v>
      </c>
      <c r="BK225" s="18">
        <f t="shared" si="346"/>
        <v>0</v>
      </c>
      <c r="BL225" s="18">
        <f t="shared" si="346"/>
        <v>0</v>
      </c>
      <c r="BM225" s="18">
        <f t="shared" si="346"/>
        <v>0</v>
      </c>
      <c r="BN225" s="18">
        <f t="shared" ref="BN225:CB225" si="347">BN51*BN137</f>
        <v>0</v>
      </c>
      <c r="BO225" s="18">
        <f t="shared" si="347"/>
        <v>0</v>
      </c>
      <c r="BP225" s="18">
        <f t="shared" si="347"/>
        <v>0</v>
      </c>
      <c r="BQ225" s="18">
        <f t="shared" si="347"/>
        <v>0</v>
      </c>
      <c r="BR225" s="18">
        <f t="shared" si="347"/>
        <v>0</v>
      </c>
      <c r="BS225" s="18">
        <f t="shared" si="347"/>
        <v>0</v>
      </c>
      <c r="BT225" s="18">
        <f t="shared" si="347"/>
        <v>0</v>
      </c>
      <c r="BU225" s="18">
        <f t="shared" si="347"/>
        <v>0</v>
      </c>
      <c r="BV225" s="18">
        <f t="shared" si="347"/>
        <v>0</v>
      </c>
      <c r="BW225" s="18">
        <f t="shared" si="347"/>
        <v>0</v>
      </c>
      <c r="BX225" s="18">
        <f t="shared" si="347"/>
        <v>0</v>
      </c>
      <c r="BY225" s="18">
        <f t="shared" si="347"/>
        <v>0</v>
      </c>
      <c r="BZ225" s="18">
        <f t="shared" si="347"/>
        <v>0</v>
      </c>
      <c r="CA225" s="18">
        <f t="shared" si="347"/>
        <v>0</v>
      </c>
      <c r="CB225" s="18">
        <f t="shared" si="347"/>
        <v>0</v>
      </c>
      <c r="CC225" s="17"/>
      <c r="CD225" s="17"/>
      <c r="CE225" s="17"/>
      <c r="CH225" s="5"/>
      <c r="CI225" s="11"/>
      <c r="CJ225" s="11"/>
      <c r="CK225" s="11"/>
      <c r="CL225" s="11"/>
      <c r="CM225" s="11"/>
      <c r="CN225" s="11"/>
      <c r="CO225" s="11"/>
      <c r="CP225" s="11"/>
      <c r="CQ225" s="11"/>
      <c r="CR225" s="11"/>
      <c r="CS225" s="11"/>
      <c r="CT225" s="11"/>
      <c r="CU225" s="11"/>
      <c r="CV225" s="11"/>
      <c r="CW225" s="11"/>
      <c r="CX225" s="11"/>
      <c r="CY225" s="11"/>
      <c r="CZ225" s="11"/>
      <c r="DA225" s="11"/>
      <c r="DB225" s="11"/>
      <c r="DC225" s="11"/>
      <c r="DD225" s="11"/>
      <c r="DE225" s="11"/>
      <c r="DF225" s="11"/>
      <c r="DG225" s="11"/>
      <c r="DH225" s="11"/>
      <c r="DI225" s="11"/>
      <c r="DJ225" s="11"/>
      <c r="DK225" s="11"/>
      <c r="DL225" s="11"/>
      <c r="DM225" s="11"/>
      <c r="DN225" s="11"/>
      <c r="DO225" s="11"/>
      <c r="DP225" s="11"/>
      <c r="DQ225" s="11"/>
      <c r="DR225" s="11"/>
      <c r="DS225" s="11"/>
      <c r="DT225" s="11"/>
      <c r="DU225" s="11"/>
      <c r="DV225" s="11"/>
      <c r="DW225" s="11"/>
      <c r="DX225" s="11"/>
      <c r="DY225" s="11"/>
      <c r="DZ225" s="11"/>
      <c r="EA225" s="11"/>
      <c r="EB225" s="11"/>
      <c r="EC225" s="11"/>
      <c r="ED225" s="11"/>
    </row>
    <row r="226" spans="1:256">
      <c r="A226" s="18" t="str">
        <f>A53</f>
        <v>Bond 12</v>
      </c>
      <c r="B226" s="18">
        <f t="shared" ref="B226:BM226" si="348">B53*B142</f>
        <v>1.118658793615023</v>
      </c>
      <c r="C226" s="18">
        <f t="shared" si="348"/>
        <v>1.1109506869444539</v>
      </c>
      <c r="D226" s="18">
        <f t="shared" si="348"/>
        <v>1.1032373741858303</v>
      </c>
      <c r="E226" s="18">
        <f t="shared" si="348"/>
        <v>1.0953929849013966</v>
      </c>
      <c r="F226" s="18">
        <f t="shared" si="348"/>
        <v>1.0875945452315037</v>
      </c>
      <c r="G226" s="18">
        <f t="shared" si="348"/>
        <v>1.0796714232420306</v>
      </c>
      <c r="H226" s="18">
        <f t="shared" si="348"/>
        <v>1.071802209144717</v>
      </c>
      <c r="I226" s="18">
        <f t="shared" si="348"/>
        <v>1.0638145114970796</v>
      </c>
      <c r="J226" s="18">
        <f t="shared" si="348"/>
        <v>1.0558881729730065</v>
      </c>
      <c r="K226" s="18">
        <f t="shared" si="348"/>
        <v>1.0478938228551427</v>
      </c>
      <c r="L226" s="18">
        <f t="shared" si="348"/>
        <v>1.0399234192025917</v>
      </c>
      <c r="M226" s="18">
        <f t="shared" si="348"/>
        <v>1.0318463089790131</v>
      </c>
      <c r="N226" s="18">
        <f t="shared" si="348"/>
        <v>1.0238439684201146</v>
      </c>
      <c r="O226" s="18">
        <f t="shared" si="348"/>
        <v>1.0157405100271275</v>
      </c>
      <c r="P226" s="18">
        <f t="shared" si="348"/>
        <v>1.0077178251742054</v>
      </c>
      <c r="Q226" s="18">
        <f t="shared" si="348"/>
        <v>0.99959940382714885</v>
      </c>
      <c r="R226" s="18">
        <f t="shared" si="348"/>
        <v>0.99156730439015817</v>
      </c>
      <c r="S226" s="18">
        <f t="shared" si="348"/>
        <v>0.98348951647578509</v>
      </c>
      <c r="T226" s="18">
        <f t="shared" si="348"/>
        <v>0.97545826802034863</v>
      </c>
      <c r="U226" s="18">
        <f t="shared" si="348"/>
        <v>86.953244568607573</v>
      </c>
      <c r="V226" s="18">
        <f t="shared" si="348"/>
        <v>0</v>
      </c>
      <c r="W226" s="18">
        <f t="shared" si="348"/>
        <v>0</v>
      </c>
      <c r="X226" s="18">
        <f t="shared" si="348"/>
        <v>0</v>
      </c>
      <c r="Y226" s="18">
        <f t="shared" si="348"/>
        <v>0</v>
      </c>
      <c r="Z226" s="18">
        <f t="shared" si="348"/>
        <v>0</v>
      </c>
      <c r="AA226" s="18">
        <f t="shared" si="348"/>
        <v>0</v>
      </c>
      <c r="AB226" s="18">
        <f t="shared" si="348"/>
        <v>0</v>
      </c>
      <c r="AC226" s="18">
        <f t="shared" si="348"/>
        <v>0</v>
      </c>
      <c r="AD226" s="18">
        <f t="shared" si="348"/>
        <v>0</v>
      </c>
      <c r="AE226" s="18">
        <f t="shared" si="348"/>
        <v>0</v>
      </c>
      <c r="AF226" s="18">
        <f t="shared" si="348"/>
        <v>0</v>
      </c>
      <c r="AG226" s="18">
        <f t="shared" si="348"/>
        <v>0</v>
      </c>
      <c r="AH226" s="18">
        <f t="shared" si="348"/>
        <v>0</v>
      </c>
      <c r="AI226" s="18">
        <f t="shared" si="348"/>
        <v>0</v>
      </c>
      <c r="AJ226" s="18">
        <f t="shared" si="348"/>
        <v>0</v>
      </c>
      <c r="AK226" s="18">
        <f t="shared" si="348"/>
        <v>0</v>
      </c>
      <c r="AL226" s="18">
        <f t="shared" si="348"/>
        <v>0</v>
      </c>
      <c r="AM226" s="18">
        <f t="shared" si="348"/>
        <v>0</v>
      </c>
      <c r="AN226" s="18">
        <f t="shared" si="348"/>
        <v>0</v>
      </c>
      <c r="AO226" s="18">
        <f t="shared" si="348"/>
        <v>0</v>
      </c>
      <c r="AP226" s="18">
        <f t="shared" si="348"/>
        <v>0</v>
      </c>
      <c r="AQ226" s="18">
        <f t="shared" si="348"/>
        <v>0</v>
      </c>
      <c r="AR226" s="18">
        <f t="shared" si="348"/>
        <v>0</v>
      </c>
      <c r="AS226" s="18">
        <f t="shared" si="348"/>
        <v>0</v>
      </c>
      <c r="AT226" s="18">
        <f t="shared" si="348"/>
        <v>0</v>
      </c>
      <c r="AU226" s="18">
        <f t="shared" si="348"/>
        <v>0</v>
      </c>
      <c r="AV226" s="18">
        <f t="shared" si="348"/>
        <v>0</v>
      </c>
      <c r="AW226" s="18">
        <f t="shared" si="348"/>
        <v>0</v>
      </c>
      <c r="AX226" s="18">
        <f t="shared" si="348"/>
        <v>0</v>
      </c>
      <c r="AY226" s="18">
        <f t="shared" si="348"/>
        <v>0</v>
      </c>
      <c r="AZ226" s="18">
        <f t="shared" si="348"/>
        <v>0</v>
      </c>
      <c r="BA226" s="18">
        <f t="shared" si="348"/>
        <v>0</v>
      </c>
      <c r="BB226" s="18">
        <f t="shared" si="348"/>
        <v>0</v>
      </c>
      <c r="BC226" s="18">
        <f t="shared" si="348"/>
        <v>0</v>
      </c>
      <c r="BD226" s="18">
        <f t="shared" si="348"/>
        <v>0</v>
      </c>
      <c r="BE226" s="18">
        <f t="shared" si="348"/>
        <v>0</v>
      </c>
      <c r="BF226" s="18">
        <f t="shared" si="348"/>
        <v>0</v>
      </c>
      <c r="BG226" s="18">
        <f t="shared" si="348"/>
        <v>0</v>
      </c>
      <c r="BH226" s="18">
        <f t="shared" si="348"/>
        <v>0</v>
      </c>
      <c r="BI226" s="18">
        <f t="shared" si="348"/>
        <v>0</v>
      </c>
      <c r="BJ226" s="18">
        <f t="shared" si="348"/>
        <v>0</v>
      </c>
      <c r="BK226" s="18">
        <f t="shared" si="348"/>
        <v>0</v>
      </c>
      <c r="BL226" s="18">
        <f t="shared" si="348"/>
        <v>0</v>
      </c>
      <c r="BM226" s="18">
        <f t="shared" si="348"/>
        <v>0</v>
      </c>
      <c r="BN226" s="18">
        <f t="shared" ref="BN226:CB226" si="349">BN53*BN142</f>
        <v>0</v>
      </c>
      <c r="BO226" s="18">
        <f t="shared" si="349"/>
        <v>0</v>
      </c>
      <c r="BP226" s="18">
        <f t="shared" si="349"/>
        <v>0</v>
      </c>
      <c r="BQ226" s="18">
        <f t="shared" si="349"/>
        <v>0</v>
      </c>
      <c r="BR226" s="18">
        <f t="shared" si="349"/>
        <v>0</v>
      </c>
      <c r="BS226" s="18">
        <f t="shared" si="349"/>
        <v>0</v>
      </c>
      <c r="BT226" s="18">
        <f t="shared" si="349"/>
        <v>0</v>
      </c>
      <c r="BU226" s="18">
        <f t="shared" si="349"/>
        <v>0</v>
      </c>
      <c r="BV226" s="18">
        <f t="shared" si="349"/>
        <v>0</v>
      </c>
      <c r="BW226" s="18">
        <f t="shared" si="349"/>
        <v>0</v>
      </c>
      <c r="BX226" s="18">
        <f t="shared" si="349"/>
        <v>0</v>
      </c>
      <c r="BY226" s="18">
        <f t="shared" si="349"/>
        <v>0</v>
      </c>
      <c r="BZ226" s="18">
        <f t="shared" si="349"/>
        <v>0</v>
      </c>
      <c r="CA226" s="18">
        <f t="shared" si="349"/>
        <v>0</v>
      </c>
      <c r="CB226" s="18">
        <f t="shared" si="349"/>
        <v>0</v>
      </c>
      <c r="CC226" s="17"/>
      <c r="CD226" s="17"/>
      <c r="CE226" s="17"/>
      <c r="CH226" s="5"/>
      <c r="CI226" s="11"/>
      <c r="CJ226" s="11"/>
      <c r="CK226" s="11"/>
      <c r="CL226" s="11"/>
      <c r="CM226" s="11"/>
      <c r="CN226" s="11"/>
      <c r="CO226" s="11"/>
      <c r="CP226" s="11"/>
      <c r="CQ226" s="11"/>
      <c r="CR226" s="11"/>
      <c r="CS226" s="11"/>
      <c r="CT226" s="11"/>
      <c r="CU226" s="11"/>
      <c r="CV226" s="11"/>
      <c r="CW226" s="11"/>
      <c r="CX226" s="11"/>
      <c r="CY226" s="11"/>
      <c r="CZ226" s="11"/>
      <c r="DA226" s="11"/>
      <c r="DB226" s="11"/>
      <c r="DC226" s="11"/>
      <c r="DD226" s="11"/>
      <c r="DE226" s="11"/>
      <c r="DF226" s="11"/>
      <c r="DG226" s="11"/>
      <c r="DH226" s="11"/>
      <c r="DI226" s="11"/>
      <c r="DJ226" s="11"/>
      <c r="DK226" s="11"/>
      <c r="DL226" s="11"/>
      <c r="DM226" s="11"/>
      <c r="DN226" s="11"/>
      <c r="DO226" s="11"/>
      <c r="DP226" s="11"/>
      <c r="DQ226" s="11"/>
      <c r="DR226" s="11"/>
      <c r="DS226" s="11"/>
      <c r="DT226" s="11"/>
      <c r="DU226" s="11"/>
      <c r="DV226" s="11"/>
      <c r="DW226" s="11"/>
      <c r="DX226" s="11"/>
      <c r="DY226" s="11"/>
      <c r="DZ226" s="11"/>
      <c r="EA226" s="11"/>
      <c r="EB226" s="11"/>
      <c r="EC226" s="11"/>
      <c r="ED226" s="11"/>
    </row>
    <row r="227" spans="1:256">
      <c r="A227" s="18" t="str">
        <f>A55</f>
        <v>Bond 13</v>
      </c>
      <c r="B227" s="18">
        <f t="shared" ref="B227:BM227" si="350">B55*B147</f>
        <v>2.4859084302556065</v>
      </c>
      <c r="C227" s="18">
        <f t="shared" si="350"/>
        <v>2.4687793043210089</v>
      </c>
      <c r="D227" s="18">
        <f t="shared" si="350"/>
        <v>2.4516386093018454</v>
      </c>
      <c r="E227" s="18">
        <f t="shared" si="350"/>
        <v>2.4342066331142145</v>
      </c>
      <c r="F227" s="18">
        <f t="shared" si="350"/>
        <v>2.4168767671811193</v>
      </c>
      <c r="G227" s="18">
        <f t="shared" si="350"/>
        <v>2.3992698294267347</v>
      </c>
      <c r="H227" s="18">
        <f t="shared" si="350"/>
        <v>2.3817826869882603</v>
      </c>
      <c r="I227" s="18">
        <f t="shared" si="350"/>
        <v>2.3640322477712883</v>
      </c>
      <c r="J227" s="18">
        <f t="shared" si="350"/>
        <v>2.3464181621622364</v>
      </c>
      <c r="K227" s="18">
        <f t="shared" si="350"/>
        <v>2.3286529396780948</v>
      </c>
      <c r="L227" s="18">
        <f t="shared" si="350"/>
        <v>2.3109409315613147</v>
      </c>
      <c r="M227" s="18">
        <f t="shared" si="350"/>
        <v>2.29299179773114</v>
      </c>
      <c r="N227" s="18">
        <f t="shared" si="350"/>
        <v>2.2752088187113659</v>
      </c>
      <c r="O227" s="18">
        <f t="shared" si="350"/>
        <v>2.2572011333936164</v>
      </c>
      <c r="P227" s="18">
        <f t="shared" si="350"/>
        <v>2.2393729448315676</v>
      </c>
      <c r="Q227" s="18">
        <f t="shared" si="350"/>
        <v>2.2213320085047754</v>
      </c>
      <c r="R227" s="18">
        <f t="shared" si="350"/>
        <v>2.2034828986447961</v>
      </c>
      <c r="S227" s="18">
        <f t="shared" si="350"/>
        <v>2.1855322588350781</v>
      </c>
      <c r="T227" s="18">
        <f t="shared" si="350"/>
        <v>2.1676850400452192</v>
      </c>
      <c r="U227" s="18">
        <f t="shared" si="350"/>
        <v>2.1496475789519796</v>
      </c>
      <c r="V227" s="18">
        <f t="shared" si="350"/>
        <v>2.1318236733033382</v>
      </c>
      <c r="W227" s="18">
        <f t="shared" si="350"/>
        <v>2.113820109032452</v>
      </c>
      <c r="X227" s="18">
        <f t="shared" si="350"/>
        <v>2.0960395991335985</v>
      </c>
      <c r="Y227" s="18">
        <f t="shared" si="350"/>
        <v>2.0780895638866501</v>
      </c>
      <c r="Z227" s="18">
        <f t="shared" si="350"/>
        <v>2.0603712081718459</v>
      </c>
      <c r="AA227" s="18">
        <f t="shared" si="350"/>
        <v>2.0425916779707984</v>
      </c>
      <c r="AB227" s="18">
        <f t="shared" si="350"/>
        <v>2.0249527093508375</v>
      </c>
      <c r="AC227" s="18">
        <f t="shared" si="350"/>
        <v>2.007163133618894</v>
      </c>
      <c r="AD227" s="18">
        <f t="shared" si="350"/>
        <v>1.9896199931130178</v>
      </c>
      <c r="AE227" s="18">
        <f t="shared" si="350"/>
        <v>1.9719350736717827</v>
      </c>
      <c r="AF227" s="18">
        <f t="shared" si="350"/>
        <v>1.9545028131269375</v>
      </c>
      <c r="AG227" s="18">
        <f t="shared" si="350"/>
        <v>1.9369371849213903</v>
      </c>
      <c r="AH227" s="18">
        <f t="shared" si="350"/>
        <v>1.91962971051583</v>
      </c>
      <c r="AI227" s="18">
        <f t="shared" si="350"/>
        <v>1.9022929938514208</v>
      </c>
      <c r="AJ227" s="18">
        <f t="shared" si="350"/>
        <v>1.8851227136118289</v>
      </c>
      <c r="AK227" s="18">
        <f t="shared" si="350"/>
        <v>76.581221069351258</v>
      </c>
      <c r="AL227" s="18">
        <f t="shared" si="350"/>
        <v>0</v>
      </c>
      <c r="AM227" s="18">
        <f t="shared" si="350"/>
        <v>0</v>
      </c>
      <c r="AN227" s="18">
        <f t="shared" si="350"/>
        <v>0</v>
      </c>
      <c r="AO227" s="18">
        <f t="shared" si="350"/>
        <v>0</v>
      </c>
      <c r="AP227" s="18">
        <f t="shared" si="350"/>
        <v>0</v>
      </c>
      <c r="AQ227" s="18">
        <f t="shared" si="350"/>
        <v>0</v>
      </c>
      <c r="AR227" s="18">
        <f t="shared" si="350"/>
        <v>0</v>
      </c>
      <c r="AS227" s="18">
        <f t="shared" si="350"/>
        <v>0</v>
      </c>
      <c r="AT227" s="18">
        <f t="shared" si="350"/>
        <v>0</v>
      </c>
      <c r="AU227" s="18">
        <f t="shared" si="350"/>
        <v>0</v>
      </c>
      <c r="AV227" s="18">
        <f t="shared" si="350"/>
        <v>0</v>
      </c>
      <c r="AW227" s="18">
        <f t="shared" si="350"/>
        <v>0</v>
      </c>
      <c r="AX227" s="18">
        <f t="shared" si="350"/>
        <v>0</v>
      </c>
      <c r="AY227" s="18">
        <f t="shared" si="350"/>
        <v>0</v>
      </c>
      <c r="AZ227" s="18">
        <f t="shared" si="350"/>
        <v>0</v>
      </c>
      <c r="BA227" s="18">
        <f t="shared" si="350"/>
        <v>0</v>
      </c>
      <c r="BB227" s="18">
        <f t="shared" si="350"/>
        <v>0</v>
      </c>
      <c r="BC227" s="18">
        <f t="shared" si="350"/>
        <v>0</v>
      </c>
      <c r="BD227" s="18">
        <f t="shared" si="350"/>
        <v>0</v>
      </c>
      <c r="BE227" s="18">
        <f t="shared" si="350"/>
        <v>0</v>
      </c>
      <c r="BF227" s="18">
        <f t="shared" si="350"/>
        <v>0</v>
      </c>
      <c r="BG227" s="18">
        <f t="shared" si="350"/>
        <v>0</v>
      </c>
      <c r="BH227" s="18">
        <f t="shared" si="350"/>
        <v>0</v>
      </c>
      <c r="BI227" s="18">
        <f t="shared" si="350"/>
        <v>0</v>
      </c>
      <c r="BJ227" s="18">
        <f t="shared" si="350"/>
        <v>0</v>
      </c>
      <c r="BK227" s="18">
        <f t="shared" si="350"/>
        <v>0</v>
      </c>
      <c r="BL227" s="18">
        <f t="shared" si="350"/>
        <v>0</v>
      </c>
      <c r="BM227" s="18">
        <f t="shared" si="350"/>
        <v>0</v>
      </c>
      <c r="BN227" s="18">
        <f t="shared" ref="BN227:CB227" si="351">BN55*BN147</f>
        <v>0</v>
      </c>
      <c r="BO227" s="18">
        <f t="shared" si="351"/>
        <v>0</v>
      </c>
      <c r="BP227" s="18">
        <f t="shared" si="351"/>
        <v>0</v>
      </c>
      <c r="BQ227" s="18">
        <f t="shared" si="351"/>
        <v>0</v>
      </c>
      <c r="BR227" s="18">
        <f t="shared" si="351"/>
        <v>0</v>
      </c>
      <c r="BS227" s="18">
        <f t="shared" si="351"/>
        <v>0</v>
      </c>
      <c r="BT227" s="18">
        <f t="shared" si="351"/>
        <v>0</v>
      </c>
      <c r="BU227" s="18">
        <f t="shared" si="351"/>
        <v>0</v>
      </c>
      <c r="BV227" s="18">
        <f t="shared" si="351"/>
        <v>0</v>
      </c>
      <c r="BW227" s="18">
        <f t="shared" si="351"/>
        <v>0</v>
      </c>
      <c r="BX227" s="18">
        <f t="shared" si="351"/>
        <v>0</v>
      </c>
      <c r="BY227" s="18">
        <f t="shared" si="351"/>
        <v>0</v>
      </c>
      <c r="BZ227" s="18">
        <f t="shared" si="351"/>
        <v>0</v>
      </c>
      <c r="CA227" s="18">
        <f t="shared" si="351"/>
        <v>0</v>
      </c>
      <c r="CB227" s="18">
        <f t="shared" si="351"/>
        <v>0</v>
      </c>
      <c r="CC227" s="17"/>
      <c r="CD227" s="17"/>
      <c r="CE227" s="17"/>
      <c r="CH227" s="5"/>
      <c r="CI227" s="11"/>
      <c r="CJ227" s="11"/>
      <c r="CK227" s="11"/>
      <c r="CL227" s="11"/>
      <c r="CM227" s="11"/>
      <c r="CN227" s="11"/>
      <c r="CO227" s="11"/>
      <c r="CP227" s="11"/>
      <c r="CQ227" s="11"/>
      <c r="CR227" s="11"/>
      <c r="CS227" s="11"/>
      <c r="CT227" s="11"/>
      <c r="CU227" s="11"/>
      <c r="CV227" s="11"/>
      <c r="CW227" s="11"/>
      <c r="CX227" s="11"/>
      <c r="CY227" s="11"/>
      <c r="CZ227" s="11"/>
      <c r="DA227" s="11"/>
      <c r="DB227" s="11"/>
      <c r="DC227" s="11"/>
      <c r="DD227" s="11"/>
      <c r="DE227" s="11"/>
      <c r="DF227" s="11"/>
      <c r="DG227" s="11"/>
      <c r="DH227" s="11"/>
      <c r="DI227" s="11"/>
      <c r="DJ227" s="11"/>
      <c r="DK227" s="11"/>
      <c r="DL227" s="11"/>
      <c r="DM227" s="11"/>
      <c r="DN227" s="11"/>
      <c r="DO227" s="11"/>
      <c r="DP227" s="11"/>
      <c r="DQ227" s="11"/>
      <c r="DR227" s="11"/>
      <c r="DS227" s="11"/>
      <c r="DT227" s="11"/>
      <c r="DU227" s="11"/>
      <c r="DV227" s="11"/>
      <c r="DW227" s="11"/>
      <c r="DX227" s="11"/>
      <c r="DY227" s="11"/>
      <c r="DZ227" s="11"/>
      <c r="EA227" s="11"/>
      <c r="EB227" s="11"/>
      <c r="EC227" s="11"/>
      <c r="ED227" s="11"/>
    </row>
    <row r="228" spans="1:256">
      <c r="A228" s="18" t="str">
        <f>A57</f>
        <v>Bond 14</v>
      </c>
      <c r="B228" s="18">
        <f t="shared" ref="B228:BM228" si="352">B57*B152</f>
        <v>1.3672496366405835</v>
      </c>
      <c r="C228" s="18">
        <f t="shared" si="352"/>
        <v>1.3578286173765548</v>
      </c>
      <c r="D228" s="18">
        <f t="shared" si="352"/>
        <v>1.3484012351160148</v>
      </c>
      <c r="E228" s="18">
        <f t="shared" si="352"/>
        <v>1.3388136482128179</v>
      </c>
      <c r="F228" s="18">
        <f t="shared" si="352"/>
        <v>1.3292822219496156</v>
      </c>
      <c r="G228" s="18">
        <f t="shared" si="352"/>
        <v>1.3195984061847039</v>
      </c>
      <c r="H228" s="18">
        <f t="shared" si="352"/>
        <v>1.3099804778435431</v>
      </c>
      <c r="I228" s="18">
        <f t="shared" si="352"/>
        <v>1.3002177362742087</v>
      </c>
      <c r="J228" s="18">
        <f t="shared" si="352"/>
        <v>1.2905299891892301</v>
      </c>
      <c r="K228" s="18">
        <f t="shared" si="352"/>
        <v>1.2807591168229522</v>
      </c>
      <c r="L228" s="18">
        <f t="shared" si="352"/>
        <v>1.2710175123587233</v>
      </c>
      <c r="M228" s="18">
        <f t="shared" si="352"/>
        <v>1.261145488752127</v>
      </c>
      <c r="N228" s="18">
        <f t="shared" si="352"/>
        <v>1.2513648502912513</v>
      </c>
      <c r="O228" s="18">
        <f t="shared" si="352"/>
        <v>1.2414606233664891</v>
      </c>
      <c r="P228" s="18">
        <f t="shared" si="352"/>
        <v>1.2316551196573622</v>
      </c>
      <c r="Q228" s="18">
        <f t="shared" si="352"/>
        <v>1.2217326046776265</v>
      </c>
      <c r="R228" s="18">
        <f t="shared" si="352"/>
        <v>1.2119155942546378</v>
      </c>
      <c r="S228" s="18">
        <f t="shared" si="352"/>
        <v>1.2020427423592928</v>
      </c>
      <c r="T228" s="18">
        <f t="shared" si="352"/>
        <v>1.1922267720248705</v>
      </c>
      <c r="U228" s="18">
        <f t="shared" si="352"/>
        <v>1.1823061684235887</v>
      </c>
      <c r="V228" s="18">
        <f t="shared" si="352"/>
        <v>1.1725030203168358</v>
      </c>
      <c r="W228" s="18">
        <f t="shared" si="352"/>
        <v>1.1626010599678485</v>
      </c>
      <c r="X228" s="18">
        <f t="shared" si="352"/>
        <v>1.1528217795234792</v>
      </c>
      <c r="Y228" s="18">
        <f t="shared" si="352"/>
        <v>1.1429492601376576</v>
      </c>
      <c r="Z228" s="18">
        <f t="shared" si="352"/>
        <v>1.1332041644945152</v>
      </c>
      <c r="AA228" s="18">
        <f t="shared" si="352"/>
        <v>1.1234254228839393</v>
      </c>
      <c r="AB228" s="18">
        <f t="shared" si="352"/>
        <v>1.1137239901429605</v>
      </c>
      <c r="AC228" s="18">
        <f t="shared" si="352"/>
        <v>1.1039397234903918</v>
      </c>
      <c r="AD228" s="18">
        <f t="shared" si="352"/>
        <v>1.0942909962121599</v>
      </c>
      <c r="AE228" s="18">
        <f t="shared" si="352"/>
        <v>1.0845642905194806</v>
      </c>
      <c r="AF228" s="18">
        <f t="shared" si="352"/>
        <v>1.0749765472198156</v>
      </c>
      <c r="AG228" s="18">
        <f t="shared" si="352"/>
        <v>1.0653154517067647</v>
      </c>
      <c r="AH228" s="18">
        <f t="shared" si="352"/>
        <v>1.0557963407837065</v>
      </c>
      <c r="AI228" s="18">
        <f t="shared" si="352"/>
        <v>1.0462611466182814</v>
      </c>
      <c r="AJ228" s="18">
        <f t="shared" si="352"/>
        <v>1.0368174924865059</v>
      </c>
      <c r="AK228" s="18">
        <f t="shared" si="352"/>
        <v>1.0273090631254436</v>
      </c>
      <c r="AL228" s="18">
        <f t="shared" si="352"/>
        <v>1.017947532961923</v>
      </c>
      <c r="AM228" s="18">
        <f t="shared" si="352"/>
        <v>1.008525202951511</v>
      </c>
      <c r="AN228" s="18">
        <f t="shared" si="352"/>
        <v>0.99925170986232681</v>
      </c>
      <c r="AO228" s="18">
        <f t="shared" si="352"/>
        <v>0.98992118824723108</v>
      </c>
      <c r="AP228" s="18">
        <f t="shared" si="352"/>
        <v>0.98074111736239755</v>
      </c>
      <c r="AQ228" s="18">
        <f t="shared" si="352"/>
        <v>0.97155846815655</v>
      </c>
      <c r="AR228" s="18">
        <f t="shared" si="352"/>
        <v>0.96247642239212539</v>
      </c>
      <c r="AS228" s="18">
        <f t="shared" si="352"/>
        <v>0.95334429694339451</v>
      </c>
      <c r="AT228" s="18">
        <f t="shared" si="352"/>
        <v>0.94436494833977846</v>
      </c>
      <c r="AU228" s="18">
        <f t="shared" si="352"/>
        <v>0.9353387212008033</v>
      </c>
      <c r="AV228" s="18">
        <f t="shared" si="352"/>
        <v>0.9264660215260303</v>
      </c>
      <c r="AW228" s="18">
        <f t="shared" si="352"/>
        <v>0.9175494682710712</v>
      </c>
      <c r="AX228" s="18">
        <f t="shared" si="352"/>
        <v>0.90878693934542254</v>
      </c>
      <c r="AY228" s="18">
        <f t="shared" si="352"/>
        <v>0.90003189232121428</v>
      </c>
      <c r="AZ228" s="18">
        <f t="shared" si="352"/>
        <v>0.89138233064032069</v>
      </c>
      <c r="BA228" s="18">
        <f t="shared" si="352"/>
        <v>0.88269445752486664</v>
      </c>
      <c r="BB228" s="18">
        <f t="shared" si="352"/>
        <v>0.8741609057452151</v>
      </c>
      <c r="BC228" s="18">
        <f t="shared" si="352"/>
        <v>0.86559158130476765</v>
      </c>
      <c r="BD228" s="18">
        <f t="shared" si="352"/>
        <v>0.85717640944457063</v>
      </c>
      <c r="BE228" s="18">
        <f t="shared" si="352"/>
        <v>0.84872785522765637</v>
      </c>
      <c r="BF228" s="18">
        <f t="shared" si="352"/>
        <v>0.84043309249942677</v>
      </c>
      <c r="BG228" s="18">
        <f t="shared" si="352"/>
        <v>0.83215302461905405</v>
      </c>
      <c r="BH228" s="18">
        <f t="shared" si="352"/>
        <v>60.74980103660036</v>
      </c>
      <c r="BI228" s="18">
        <f t="shared" si="352"/>
        <v>0</v>
      </c>
      <c r="BJ228" s="18">
        <f t="shared" si="352"/>
        <v>0</v>
      </c>
      <c r="BK228" s="18">
        <f t="shared" si="352"/>
        <v>0</v>
      </c>
      <c r="BL228" s="18">
        <f t="shared" si="352"/>
        <v>0</v>
      </c>
      <c r="BM228" s="18">
        <f t="shared" si="352"/>
        <v>0</v>
      </c>
      <c r="BN228" s="18">
        <f t="shared" ref="BN228:CB228" si="353">BN57*BN152</f>
        <v>0</v>
      </c>
      <c r="BO228" s="18">
        <f t="shared" si="353"/>
        <v>0</v>
      </c>
      <c r="BP228" s="18">
        <f t="shared" si="353"/>
        <v>0</v>
      </c>
      <c r="BQ228" s="18">
        <f t="shared" si="353"/>
        <v>0</v>
      </c>
      <c r="BR228" s="18">
        <f t="shared" si="353"/>
        <v>0</v>
      </c>
      <c r="BS228" s="18">
        <f t="shared" si="353"/>
        <v>0</v>
      </c>
      <c r="BT228" s="18">
        <f t="shared" si="353"/>
        <v>0</v>
      </c>
      <c r="BU228" s="18">
        <f t="shared" si="353"/>
        <v>0</v>
      </c>
      <c r="BV228" s="18">
        <f t="shared" si="353"/>
        <v>0</v>
      </c>
      <c r="BW228" s="18">
        <f t="shared" si="353"/>
        <v>0</v>
      </c>
      <c r="BX228" s="18">
        <f t="shared" si="353"/>
        <v>0</v>
      </c>
      <c r="BY228" s="18">
        <f t="shared" si="353"/>
        <v>0</v>
      </c>
      <c r="BZ228" s="18">
        <f t="shared" si="353"/>
        <v>0</v>
      </c>
      <c r="CA228" s="18">
        <f t="shared" si="353"/>
        <v>0</v>
      </c>
      <c r="CB228" s="18">
        <f t="shared" si="353"/>
        <v>0</v>
      </c>
      <c r="CC228" s="17"/>
      <c r="CD228" s="17"/>
      <c r="CE228" s="17"/>
      <c r="CH228" s="5"/>
      <c r="CI228" s="11"/>
      <c r="CJ228" s="11"/>
      <c r="CK228" s="11"/>
      <c r="CL228" s="11"/>
      <c r="CM228" s="11"/>
      <c r="CN228" s="11"/>
      <c r="CO228" s="11"/>
      <c r="CP228" s="11"/>
      <c r="CQ228" s="11"/>
      <c r="CR228" s="11"/>
      <c r="CS228" s="11"/>
      <c r="CT228" s="11"/>
      <c r="CU228" s="11"/>
      <c r="CV228" s="11"/>
      <c r="CW228" s="11"/>
      <c r="CX228" s="11"/>
      <c r="CY228" s="11"/>
      <c r="CZ228" s="11"/>
      <c r="DA228" s="11"/>
      <c r="DB228" s="11"/>
      <c r="DC228" s="11"/>
      <c r="DD228" s="11"/>
      <c r="DE228" s="11"/>
      <c r="DF228" s="11"/>
      <c r="DG228" s="11"/>
      <c r="DH228" s="11"/>
      <c r="DI228" s="11"/>
      <c r="DJ228" s="11"/>
      <c r="DK228" s="11"/>
      <c r="DL228" s="11"/>
      <c r="DM228" s="11"/>
      <c r="DN228" s="11"/>
      <c r="DO228" s="11"/>
      <c r="DP228" s="11"/>
      <c r="DQ228" s="11"/>
      <c r="DR228" s="11"/>
      <c r="DS228" s="11"/>
      <c r="DT228" s="11"/>
      <c r="DU228" s="11"/>
      <c r="DV228" s="11"/>
      <c r="DW228" s="11"/>
      <c r="DX228" s="11"/>
      <c r="DY228" s="11"/>
      <c r="DZ228" s="11"/>
      <c r="EA228" s="11"/>
      <c r="EB228" s="11"/>
      <c r="EC228" s="11"/>
      <c r="ED228" s="11"/>
    </row>
    <row r="229" spans="1:256">
      <c r="A229" s="18" t="str">
        <f>A59</f>
        <v>Bond 15</v>
      </c>
      <c r="B229" s="18">
        <f t="shared" ref="B229:BM229" si="354">B59*B157</f>
        <v>0</v>
      </c>
      <c r="C229" s="18">
        <f t="shared" si="354"/>
        <v>0</v>
      </c>
      <c r="D229" s="18">
        <f t="shared" si="354"/>
        <v>0</v>
      </c>
      <c r="E229" s="18">
        <f t="shared" si="354"/>
        <v>0</v>
      </c>
      <c r="F229" s="18">
        <f t="shared" si="354"/>
        <v>0</v>
      </c>
      <c r="G229" s="18">
        <f t="shared" si="354"/>
        <v>0</v>
      </c>
      <c r="H229" s="18">
        <f t="shared" si="354"/>
        <v>0</v>
      </c>
      <c r="I229" s="18">
        <f t="shared" si="354"/>
        <v>0</v>
      </c>
      <c r="J229" s="18">
        <f t="shared" si="354"/>
        <v>0</v>
      </c>
      <c r="K229" s="18">
        <f t="shared" si="354"/>
        <v>0</v>
      </c>
      <c r="L229" s="18">
        <f t="shared" si="354"/>
        <v>0</v>
      </c>
      <c r="M229" s="18">
        <f t="shared" si="354"/>
        <v>0</v>
      </c>
      <c r="N229" s="18">
        <f t="shared" si="354"/>
        <v>0</v>
      </c>
      <c r="O229" s="18">
        <f t="shared" si="354"/>
        <v>0</v>
      </c>
      <c r="P229" s="18">
        <f t="shared" si="354"/>
        <v>0</v>
      </c>
      <c r="Q229" s="18">
        <f t="shared" si="354"/>
        <v>0</v>
      </c>
      <c r="R229" s="18">
        <f t="shared" si="354"/>
        <v>0</v>
      </c>
      <c r="S229" s="18">
        <f t="shared" si="354"/>
        <v>0</v>
      </c>
      <c r="T229" s="18">
        <f t="shared" si="354"/>
        <v>0</v>
      </c>
      <c r="U229" s="18">
        <f t="shared" si="354"/>
        <v>0</v>
      </c>
      <c r="V229" s="18">
        <f t="shared" si="354"/>
        <v>0</v>
      </c>
      <c r="W229" s="18">
        <f t="shared" si="354"/>
        <v>0</v>
      </c>
      <c r="X229" s="18">
        <f t="shared" si="354"/>
        <v>0</v>
      </c>
      <c r="Y229" s="18">
        <f t="shared" si="354"/>
        <v>0</v>
      </c>
      <c r="Z229" s="18">
        <f t="shared" si="354"/>
        <v>0</v>
      </c>
      <c r="AA229" s="18">
        <f t="shared" si="354"/>
        <v>0</v>
      </c>
      <c r="AB229" s="18">
        <f t="shared" si="354"/>
        <v>0</v>
      </c>
      <c r="AC229" s="18">
        <f t="shared" si="354"/>
        <v>0</v>
      </c>
      <c r="AD229" s="18">
        <f t="shared" si="354"/>
        <v>0</v>
      </c>
      <c r="AE229" s="18">
        <f t="shared" si="354"/>
        <v>0</v>
      </c>
      <c r="AF229" s="18">
        <f t="shared" si="354"/>
        <v>0</v>
      </c>
      <c r="AG229" s="18">
        <f t="shared" si="354"/>
        <v>0</v>
      </c>
      <c r="AH229" s="18">
        <f t="shared" si="354"/>
        <v>0</v>
      </c>
      <c r="AI229" s="18">
        <f t="shared" si="354"/>
        <v>0</v>
      </c>
      <c r="AJ229" s="18">
        <f t="shared" si="354"/>
        <v>0</v>
      </c>
      <c r="AK229" s="18">
        <f t="shared" si="354"/>
        <v>0</v>
      </c>
      <c r="AL229" s="18">
        <f t="shared" si="354"/>
        <v>0</v>
      </c>
      <c r="AM229" s="18">
        <f t="shared" si="354"/>
        <v>0</v>
      </c>
      <c r="AN229" s="18">
        <f t="shared" si="354"/>
        <v>0</v>
      </c>
      <c r="AO229" s="18">
        <f t="shared" si="354"/>
        <v>0</v>
      </c>
      <c r="AP229" s="18">
        <f t="shared" si="354"/>
        <v>0</v>
      </c>
      <c r="AQ229" s="18">
        <f t="shared" si="354"/>
        <v>0</v>
      </c>
      <c r="AR229" s="18">
        <f t="shared" si="354"/>
        <v>0</v>
      </c>
      <c r="AS229" s="18">
        <f t="shared" si="354"/>
        <v>0</v>
      </c>
      <c r="AT229" s="18">
        <f t="shared" si="354"/>
        <v>0</v>
      </c>
      <c r="AU229" s="18">
        <f t="shared" si="354"/>
        <v>0</v>
      </c>
      <c r="AV229" s="18">
        <f t="shared" si="354"/>
        <v>0</v>
      </c>
      <c r="AW229" s="18">
        <f t="shared" si="354"/>
        <v>0</v>
      </c>
      <c r="AX229" s="18">
        <f t="shared" si="354"/>
        <v>0</v>
      </c>
      <c r="AY229" s="18">
        <f t="shared" si="354"/>
        <v>0</v>
      </c>
      <c r="AZ229" s="18">
        <f t="shared" si="354"/>
        <v>0</v>
      </c>
      <c r="BA229" s="18">
        <f t="shared" si="354"/>
        <v>0</v>
      </c>
      <c r="BB229" s="18">
        <f t="shared" si="354"/>
        <v>0</v>
      </c>
      <c r="BC229" s="18">
        <f t="shared" si="354"/>
        <v>0</v>
      </c>
      <c r="BD229" s="18">
        <f t="shared" si="354"/>
        <v>0</v>
      </c>
      <c r="BE229" s="18">
        <f t="shared" si="354"/>
        <v>0</v>
      </c>
      <c r="BF229" s="18">
        <f t="shared" si="354"/>
        <v>0</v>
      </c>
      <c r="BG229" s="18">
        <f t="shared" si="354"/>
        <v>0</v>
      </c>
      <c r="BH229" s="18">
        <f t="shared" si="354"/>
        <v>0</v>
      </c>
      <c r="BI229" s="18">
        <f t="shared" si="354"/>
        <v>0</v>
      </c>
      <c r="BJ229" s="18">
        <f t="shared" si="354"/>
        <v>0</v>
      </c>
      <c r="BK229" s="18">
        <f t="shared" si="354"/>
        <v>0</v>
      </c>
      <c r="BL229" s="18">
        <f t="shared" si="354"/>
        <v>0</v>
      </c>
      <c r="BM229" s="18">
        <f t="shared" si="354"/>
        <v>0</v>
      </c>
      <c r="BN229" s="18">
        <f t="shared" ref="BN229:CB229" si="355">BN59*BN157</f>
        <v>0</v>
      </c>
      <c r="BO229" s="18">
        <f t="shared" si="355"/>
        <v>0</v>
      </c>
      <c r="BP229" s="18">
        <f t="shared" si="355"/>
        <v>0</v>
      </c>
      <c r="BQ229" s="18">
        <f t="shared" si="355"/>
        <v>0</v>
      </c>
      <c r="BR229" s="18">
        <f t="shared" si="355"/>
        <v>0</v>
      </c>
      <c r="BS229" s="18">
        <f t="shared" si="355"/>
        <v>0</v>
      </c>
      <c r="BT229" s="18">
        <f t="shared" si="355"/>
        <v>0</v>
      </c>
      <c r="BU229" s="18">
        <f t="shared" si="355"/>
        <v>0</v>
      </c>
      <c r="BV229" s="18">
        <f t="shared" si="355"/>
        <v>0</v>
      </c>
      <c r="BW229" s="18">
        <f t="shared" si="355"/>
        <v>0</v>
      </c>
      <c r="BX229" s="18">
        <f t="shared" si="355"/>
        <v>0</v>
      </c>
      <c r="BY229" s="18">
        <f t="shared" si="355"/>
        <v>0</v>
      </c>
      <c r="BZ229" s="18">
        <f t="shared" si="355"/>
        <v>0</v>
      </c>
      <c r="CA229" s="18">
        <f t="shared" si="355"/>
        <v>0</v>
      </c>
      <c r="CB229" s="18">
        <f t="shared" si="355"/>
        <v>0</v>
      </c>
      <c r="CC229" s="17"/>
      <c r="CD229" s="17"/>
      <c r="CE229" s="17"/>
      <c r="CH229" s="5"/>
      <c r="CI229" s="11"/>
      <c r="CJ229" s="11"/>
      <c r="CK229" s="11"/>
      <c r="CL229" s="11"/>
      <c r="CM229" s="11"/>
      <c r="CN229" s="11"/>
      <c r="CO229" s="11"/>
      <c r="CP229" s="11"/>
      <c r="CQ229" s="11"/>
      <c r="CR229" s="11"/>
      <c r="CS229" s="11"/>
      <c r="CT229" s="11"/>
      <c r="CU229" s="11"/>
      <c r="CV229" s="11"/>
      <c r="CW229" s="11"/>
      <c r="CX229" s="11"/>
      <c r="CY229" s="11"/>
      <c r="CZ229" s="11"/>
      <c r="DA229" s="11"/>
      <c r="DB229" s="11"/>
      <c r="DC229" s="11"/>
      <c r="DD229" s="11"/>
      <c r="DE229" s="11"/>
      <c r="DF229" s="11"/>
      <c r="DG229" s="11"/>
      <c r="DH229" s="11"/>
      <c r="DI229" s="11"/>
      <c r="DJ229" s="11"/>
      <c r="DK229" s="11"/>
      <c r="DL229" s="11"/>
      <c r="DM229" s="11"/>
      <c r="DN229" s="11"/>
      <c r="DO229" s="11"/>
      <c r="DP229" s="11"/>
      <c r="DQ229" s="11"/>
      <c r="DR229" s="11"/>
      <c r="DS229" s="11"/>
      <c r="DT229" s="11"/>
      <c r="DU229" s="11"/>
      <c r="DV229" s="11"/>
      <c r="DW229" s="11"/>
      <c r="DX229" s="11"/>
      <c r="DY229" s="11"/>
      <c r="DZ229" s="11"/>
      <c r="EA229" s="11"/>
      <c r="EB229" s="11"/>
      <c r="EC229" s="11"/>
      <c r="ED229" s="11"/>
    </row>
    <row r="230" spans="1:256">
      <c r="A230" s="18" t="str">
        <f>A61</f>
        <v>Bond 16</v>
      </c>
      <c r="B230" s="18">
        <f t="shared" ref="B230:BM230" si="356">B61*B162</f>
        <v>0</v>
      </c>
      <c r="C230" s="18">
        <f t="shared" si="356"/>
        <v>0</v>
      </c>
      <c r="D230" s="18">
        <f t="shared" si="356"/>
        <v>0</v>
      </c>
      <c r="E230" s="18">
        <f t="shared" si="356"/>
        <v>0</v>
      </c>
      <c r="F230" s="18">
        <f t="shared" si="356"/>
        <v>0</v>
      </c>
      <c r="G230" s="18">
        <f t="shared" si="356"/>
        <v>0</v>
      </c>
      <c r="H230" s="18">
        <f t="shared" si="356"/>
        <v>0</v>
      </c>
      <c r="I230" s="18">
        <f t="shared" si="356"/>
        <v>0</v>
      </c>
      <c r="J230" s="18">
        <f t="shared" si="356"/>
        <v>0</v>
      </c>
      <c r="K230" s="18">
        <f t="shared" si="356"/>
        <v>0</v>
      </c>
      <c r="L230" s="18">
        <f t="shared" si="356"/>
        <v>0</v>
      </c>
      <c r="M230" s="18">
        <f t="shared" si="356"/>
        <v>0</v>
      </c>
      <c r="N230" s="18">
        <f t="shared" si="356"/>
        <v>0</v>
      </c>
      <c r="O230" s="18">
        <f t="shared" si="356"/>
        <v>0</v>
      </c>
      <c r="P230" s="18">
        <f t="shared" si="356"/>
        <v>0</v>
      </c>
      <c r="Q230" s="18">
        <f t="shared" si="356"/>
        <v>0</v>
      </c>
      <c r="R230" s="18">
        <f t="shared" si="356"/>
        <v>0</v>
      </c>
      <c r="S230" s="18">
        <f t="shared" si="356"/>
        <v>0</v>
      </c>
      <c r="T230" s="18">
        <f t="shared" si="356"/>
        <v>0</v>
      </c>
      <c r="U230" s="18">
        <f t="shared" si="356"/>
        <v>0</v>
      </c>
      <c r="V230" s="18">
        <f t="shared" si="356"/>
        <v>0</v>
      </c>
      <c r="W230" s="18">
        <f t="shared" si="356"/>
        <v>0</v>
      </c>
      <c r="X230" s="18">
        <f t="shared" si="356"/>
        <v>0</v>
      </c>
      <c r="Y230" s="18">
        <f t="shared" si="356"/>
        <v>0</v>
      </c>
      <c r="Z230" s="18">
        <f t="shared" si="356"/>
        <v>0</v>
      </c>
      <c r="AA230" s="18">
        <f t="shared" si="356"/>
        <v>0</v>
      </c>
      <c r="AB230" s="18">
        <f t="shared" si="356"/>
        <v>0</v>
      </c>
      <c r="AC230" s="18">
        <f t="shared" si="356"/>
        <v>0</v>
      </c>
      <c r="AD230" s="18">
        <f t="shared" si="356"/>
        <v>0</v>
      </c>
      <c r="AE230" s="18">
        <f t="shared" si="356"/>
        <v>0</v>
      </c>
      <c r="AF230" s="18">
        <f t="shared" si="356"/>
        <v>0</v>
      </c>
      <c r="AG230" s="18">
        <f t="shared" si="356"/>
        <v>0</v>
      </c>
      <c r="AH230" s="18">
        <f t="shared" si="356"/>
        <v>0</v>
      </c>
      <c r="AI230" s="18">
        <f t="shared" si="356"/>
        <v>0</v>
      </c>
      <c r="AJ230" s="18">
        <f t="shared" si="356"/>
        <v>0</v>
      </c>
      <c r="AK230" s="18">
        <f t="shared" si="356"/>
        <v>0</v>
      </c>
      <c r="AL230" s="18">
        <f t="shared" si="356"/>
        <v>0</v>
      </c>
      <c r="AM230" s="18">
        <f t="shared" si="356"/>
        <v>0</v>
      </c>
      <c r="AN230" s="18">
        <f t="shared" si="356"/>
        <v>0</v>
      </c>
      <c r="AO230" s="18">
        <f t="shared" si="356"/>
        <v>0</v>
      </c>
      <c r="AP230" s="18">
        <f t="shared" si="356"/>
        <v>0</v>
      </c>
      <c r="AQ230" s="18">
        <f t="shared" si="356"/>
        <v>0</v>
      </c>
      <c r="AR230" s="18">
        <f t="shared" si="356"/>
        <v>0</v>
      </c>
      <c r="AS230" s="18">
        <f t="shared" si="356"/>
        <v>0</v>
      </c>
      <c r="AT230" s="18">
        <f t="shared" si="356"/>
        <v>0</v>
      </c>
      <c r="AU230" s="18">
        <f t="shared" si="356"/>
        <v>0</v>
      </c>
      <c r="AV230" s="18">
        <f t="shared" si="356"/>
        <v>0</v>
      </c>
      <c r="AW230" s="18">
        <f t="shared" si="356"/>
        <v>0</v>
      </c>
      <c r="AX230" s="18">
        <f t="shared" si="356"/>
        <v>0</v>
      </c>
      <c r="AY230" s="18">
        <f t="shared" si="356"/>
        <v>0</v>
      </c>
      <c r="AZ230" s="18">
        <f t="shared" si="356"/>
        <v>0</v>
      </c>
      <c r="BA230" s="18">
        <f t="shared" si="356"/>
        <v>0</v>
      </c>
      <c r="BB230" s="18">
        <f t="shared" si="356"/>
        <v>0</v>
      </c>
      <c r="BC230" s="18">
        <f t="shared" si="356"/>
        <v>0</v>
      </c>
      <c r="BD230" s="18">
        <f t="shared" si="356"/>
        <v>0</v>
      </c>
      <c r="BE230" s="18">
        <f t="shared" si="356"/>
        <v>0</v>
      </c>
      <c r="BF230" s="18">
        <f t="shared" si="356"/>
        <v>0</v>
      </c>
      <c r="BG230" s="18">
        <f t="shared" si="356"/>
        <v>0</v>
      </c>
      <c r="BH230" s="18">
        <f t="shared" si="356"/>
        <v>0</v>
      </c>
      <c r="BI230" s="18">
        <f t="shared" si="356"/>
        <v>0</v>
      </c>
      <c r="BJ230" s="18">
        <f t="shared" si="356"/>
        <v>0</v>
      </c>
      <c r="BK230" s="18">
        <f t="shared" si="356"/>
        <v>0</v>
      </c>
      <c r="BL230" s="18">
        <f t="shared" si="356"/>
        <v>0</v>
      </c>
      <c r="BM230" s="18">
        <f t="shared" si="356"/>
        <v>0</v>
      </c>
      <c r="BN230" s="18">
        <f t="shared" ref="BN230:CB230" si="357">BN61*BN162</f>
        <v>0</v>
      </c>
      <c r="BO230" s="18">
        <f t="shared" si="357"/>
        <v>0</v>
      </c>
      <c r="BP230" s="18">
        <f t="shared" si="357"/>
        <v>0</v>
      </c>
      <c r="BQ230" s="18">
        <f t="shared" si="357"/>
        <v>0</v>
      </c>
      <c r="BR230" s="18">
        <f t="shared" si="357"/>
        <v>0</v>
      </c>
      <c r="BS230" s="18">
        <f t="shared" si="357"/>
        <v>0</v>
      </c>
      <c r="BT230" s="18">
        <f t="shared" si="357"/>
        <v>0</v>
      </c>
      <c r="BU230" s="18">
        <f t="shared" si="357"/>
        <v>0</v>
      </c>
      <c r="BV230" s="18">
        <f t="shared" si="357"/>
        <v>0</v>
      </c>
      <c r="BW230" s="18">
        <f t="shared" si="357"/>
        <v>0</v>
      </c>
      <c r="BX230" s="18">
        <f t="shared" si="357"/>
        <v>0</v>
      </c>
      <c r="BY230" s="18">
        <f t="shared" si="357"/>
        <v>0</v>
      </c>
      <c r="BZ230" s="18">
        <f t="shared" si="357"/>
        <v>0</v>
      </c>
      <c r="CA230" s="18">
        <f t="shared" si="357"/>
        <v>0</v>
      </c>
      <c r="CB230" s="18">
        <f t="shared" si="357"/>
        <v>0</v>
      </c>
      <c r="CC230" s="17"/>
      <c r="CD230" s="17"/>
      <c r="CE230" s="17"/>
      <c r="CH230" s="5"/>
      <c r="CI230" s="11"/>
      <c r="CJ230" s="11"/>
      <c r="CK230" s="11"/>
      <c r="CL230" s="11"/>
      <c r="CM230" s="11"/>
      <c r="CN230" s="11"/>
      <c r="CO230" s="11"/>
      <c r="CP230" s="11"/>
      <c r="CQ230" s="11"/>
      <c r="CR230" s="11"/>
      <c r="CS230" s="11"/>
      <c r="CT230" s="11"/>
      <c r="CU230" s="11"/>
      <c r="CV230" s="11"/>
      <c r="CW230" s="11"/>
      <c r="CX230" s="11"/>
      <c r="CY230" s="11"/>
      <c r="CZ230" s="11"/>
      <c r="DA230" s="11"/>
      <c r="DB230" s="11"/>
      <c r="DC230" s="11"/>
      <c r="DD230" s="11"/>
      <c r="DE230" s="11"/>
      <c r="DF230" s="11"/>
      <c r="DG230" s="11"/>
      <c r="DH230" s="11"/>
      <c r="DI230" s="11"/>
      <c r="DJ230" s="11"/>
      <c r="DK230" s="11"/>
      <c r="DL230" s="11"/>
      <c r="DM230" s="11"/>
      <c r="DN230" s="11"/>
      <c r="DO230" s="11"/>
      <c r="DP230" s="11"/>
      <c r="DQ230" s="11"/>
      <c r="DR230" s="11"/>
      <c r="DS230" s="11"/>
      <c r="DT230" s="11"/>
      <c r="DU230" s="11"/>
      <c r="DV230" s="11"/>
      <c r="DW230" s="11"/>
      <c r="DX230" s="11"/>
      <c r="DY230" s="11"/>
      <c r="DZ230" s="11"/>
      <c r="EA230" s="11"/>
      <c r="EB230" s="11"/>
      <c r="EC230" s="11"/>
      <c r="ED230" s="11"/>
      <c r="EE230" s="11"/>
      <c r="EF230" s="11"/>
      <c r="EG230" s="11"/>
      <c r="EH230" s="11"/>
      <c r="EI230" s="11"/>
      <c r="EJ230" s="11"/>
      <c r="EK230" s="11"/>
      <c r="EL230" s="11"/>
      <c r="EM230" s="11"/>
      <c r="EN230" s="11"/>
      <c r="EO230" s="11"/>
      <c r="EP230" s="11"/>
      <c r="EQ230" s="11"/>
      <c r="ER230" s="11"/>
      <c r="ES230" s="11"/>
      <c r="ET230" s="11"/>
      <c r="EU230" s="11"/>
      <c r="EV230" s="11"/>
      <c r="EW230" s="11"/>
      <c r="EX230" s="11"/>
      <c r="EY230" s="11"/>
      <c r="EZ230" s="11"/>
      <c r="FA230" s="11"/>
      <c r="FB230" s="11"/>
      <c r="FC230" s="11"/>
      <c r="FD230" s="11"/>
      <c r="FE230" s="11"/>
      <c r="FF230" s="11"/>
      <c r="FG230" s="11"/>
      <c r="FH230" s="11"/>
      <c r="FI230" s="11"/>
      <c r="FJ230" s="11"/>
      <c r="FK230" s="11"/>
      <c r="FL230" s="11"/>
    </row>
    <row r="231" spans="1:256">
      <c r="A231" s="18" t="str">
        <f>A63</f>
        <v>Bond 17</v>
      </c>
      <c r="B231" s="18">
        <f t="shared" ref="B231:BM231" si="358">B63*B167</f>
        <v>0</v>
      </c>
      <c r="C231" s="18">
        <f t="shared" si="358"/>
        <v>0</v>
      </c>
      <c r="D231" s="18">
        <f t="shared" si="358"/>
        <v>0</v>
      </c>
      <c r="E231" s="18">
        <f t="shared" si="358"/>
        <v>0</v>
      </c>
      <c r="F231" s="18">
        <f t="shared" si="358"/>
        <v>0</v>
      </c>
      <c r="G231" s="18">
        <f t="shared" si="358"/>
        <v>0</v>
      </c>
      <c r="H231" s="18">
        <f t="shared" si="358"/>
        <v>0</v>
      </c>
      <c r="I231" s="18">
        <f t="shared" si="358"/>
        <v>0</v>
      </c>
      <c r="J231" s="18">
        <f t="shared" si="358"/>
        <v>0</v>
      </c>
      <c r="K231" s="18">
        <f t="shared" si="358"/>
        <v>0</v>
      </c>
      <c r="L231" s="18">
        <f t="shared" si="358"/>
        <v>0</v>
      </c>
      <c r="M231" s="18">
        <f t="shared" si="358"/>
        <v>0</v>
      </c>
      <c r="N231" s="18">
        <f t="shared" si="358"/>
        <v>0</v>
      </c>
      <c r="O231" s="18">
        <f t="shared" si="358"/>
        <v>0</v>
      </c>
      <c r="P231" s="18">
        <f t="shared" si="358"/>
        <v>0</v>
      </c>
      <c r="Q231" s="18">
        <f t="shared" si="358"/>
        <v>0</v>
      </c>
      <c r="R231" s="18">
        <f t="shared" si="358"/>
        <v>0</v>
      </c>
      <c r="S231" s="18">
        <f t="shared" si="358"/>
        <v>0</v>
      </c>
      <c r="T231" s="18">
        <f t="shared" si="358"/>
        <v>0</v>
      </c>
      <c r="U231" s="18">
        <f t="shared" si="358"/>
        <v>0</v>
      </c>
      <c r="V231" s="18">
        <f t="shared" si="358"/>
        <v>0</v>
      </c>
      <c r="W231" s="18">
        <f t="shared" si="358"/>
        <v>0</v>
      </c>
      <c r="X231" s="18">
        <f t="shared" si="358"/>
        <v>0</v>
      </c>
      <c r="Y231" s="18">
        <f t="shared" si="358"/>
        <v>0</v>
      </c>
      <c r="Z231" s="18">
        <f t="shared" si="358"/>
        <v>0</v>
      </c>
      <c r="AA231" s="18">
        <f t="shared" si="358"/>
        <v>0</v>
      </c>
      <c r="AB231" s="18">
        <f t="shared" si="358"/>
        <v>0</v>
      </c>
      <c r="AC231" s="18">
        <f t="shared" si="358"/>
        <v>0</v>
      </c>
      <c r="AD231" s="18">
        <f t="shared" si="358"/>
        <v>0</v>
      </c>
      <c r="AE231" s="18">
        <f t="shared" si="358"/>
        <v>0</v>
      </c>
      <c r="AF231" s="18">
        <f t="shared" si="358"/>
        <v>0</v>
      </c>
      <c r="AG231" s="18">
        <f t="shared" si="358"/>
        <v>0</v>
      </c>
      <c r="AH231" s="18">
        <f t="shared" si="358"/>
        <v>0</v>
      </c>
      <c r="AI231" s="18">
        <f t="shared" si="358"/>
        <v>0</v>
      </c>
      <c r="AJ231" s="18">
        <f t="shared" si="358"/>
        <v>0</v>
      </c>
      <c r="AK231" s="18">
        <f t="shared" si="358"/>
        <v>0</v>
      </c>
      <c r="AL231" s="18">
        <f t="shared" si="358"/>
        <v>0</v>
      </c>
      <c r="AM231" s="18">
        <f t="shared" si="358"/>
        <v>0</v>
      </c>
      <c r="AN231" s="18">
        <f t="shared" si="358"/>
        <v>0</v>
      </c>
      <c r="AO231" s="18">
        <f t="shared" si="358"/>
        <v>0</v>
      </c>
      <c r="AP231" s="18">
        <f t="shared" si="358"/>
        <v>0</v>
      </c>
      <c r="AQ231" s="18">
        <f t="shared" si="358"/>
        <v>0</v>
      </c>
      <c r="AR231" s="18">
        <f t="shared" si="358"/>
        <v>0</v>
      </c>
      <c r="AS231" s="18">
        <f t="shared" si="358"/>
        <v>0</v>
      </c>
      <c r="AT231" s="18">
        <f t="shared" si="358"/>
        <v>0</v>
      </c>
      <c r="AU231" s="18">
        <f t="shared" si="358"/>
        <v>0</v>
      </c>
      <c r="AV231" s="18">
        <f t="shared" si="358"/>
        <v>0</v>
      </c>
      <c r="AW231" s="18">
        <f t="shared" si="358"/>
        <v>0</v>
      </c>
      <c r="AX231" s="18">
        <f t="shared" si="358"/>
        <v>0</v>
      </c>
      <c r="AY231" s="18">
        <f t="shared" si="358"/>
        <v>0</v>
      </c>
      <c r="AZ231" s="18">
        <f t="shared" si="358"/>
        <v>0</v>
      </c>
      <c r="BA231" s="18">
        <f t="shared" si="358"/>
        <v>0</v>
      </c>
      <c r="BB231" s="18">
        <f t="shared" si="358"/>
        <v>0</v>
      </c>
      <c r="BC231" s="18">
        <f t="shared" si="358"/>
        <v>0</v>
      </c>
      <c r="BD231" s="18">
        <f t="shared" si="358"/>
        <v>0</v>
      </c>
      <c r="BE231" s="18">
        <f t="shared" si="358"/>
        <v>0</v>
      </c>
      <c r="BF231" s="18">
        <f t="shared" si="358"/>
        <v>0</v>
      </c>
      <c r="BG231" s="18">
        <f t="shared" si="358"/>
        <v>0</v>
      </c>
      <c r="BH231" s="18">
        <f t="shared" si="358"/>
        <v>0</v>
      </c>
      <c r="BI231" s="18">
        <f t="shared" si="358"/>
        <v>0</v>
      </c>
      <c r="BJ231" s="18">
        <f t="shared" si="358"/>
        <v>0</v>
      </c>
      <c r="BK231" s="18">
        <f t="shared" si="358"/>
        <v>0</v>
      </c>
      <c r="BL231" s="18">
        <f t="shared" si="358"/>
        <v>0</v>
      </c>
      <c r="BM231" s="18">
        <f t="shared" si="358"/>
        <v>0</v>
      </c>
      <c r="BN231" s="18">
        <f t="shared" ref="BN231:CB231" si="359">BN63*BN167</f>
        <v>0</v>
      </c>
      <c r="BO231" s="18">
        <f t="shared" si="359"/>
        <v>0</v>
      </c>
      <c r="BP231" s="18">
        <f t="shared" si="359"/>
        <v>0</v>
      </c>
      <c r="BQ231" s="18">
        <f t="shared" si="359"/>
        <v>0</v>
      </c>
      <c r="BR231" s="18">
        <f t="shared" si="359"/>
        <v>0</v>
      </c>
      <c r="BS231" s="18">
        <f t="shared" si="359"/>
        <v>0</v>
      </c>
      <c r="BT231" s="18">
        <f t="shared" si="359"/>
        <v>0</v>
      </c>
      <c r="BU231" s="18">
        <f t="shared" si="359"/>
        <v>0</v>
      </c>
      <c r="BV231" s="18">
        <f t="shared" si="359"/>
        <v>0</v>
      </c>
      <c r="BW231" s="18">
        <f t="shared" si="359"/>
        <v>0</v>
      </c>
      <c r="BX231" s="18">
        <f t="shared" si="359"/>
        <v>0</v>
      </c>
      <c r="BY231" s="18">
        <f t="shared" si="359"/>
        <v>0</v>
      </c>
      <c r="BZ231" s="18">
        <f t="shared" si="359"/>
        <v>0</v>
      </c>
      <c r="CA231" s="18">
        <f t="shared" si="359"/>
        <v>0</v>
      </c>
      <c r="CB231" s="18">
        <f t="shared" si="359"/>
        <v>0</v>
      </c>
      <c r="CC231" s="17"/>
      <c r="CD231" s="17"/>
      <c r="CE231" s="17"/>
      <c r="CH231" s="5"/>
      <c r="CI231" s="11"/>
      <c r="CJ231" s="11"/>
      <c r="CK231" s="11"/>
      <c r="CL231" s="11"/>
      <c r="CM231" s="11"/>
      <c r="CN231" s="11"/>
      <c r="CO231" s="11"/>
      <c r="CP231" s="11"/>
      <c r="CQ231" s="11"/>
      <c r="CR231" s="11"/>
      <c r="CS231" s="11"/>
      <c r="CT231" s="11"/>
      <c r="CU231" s="11"/>
      <c r="CV231" s="11"/>
      <c r="CW231" s="11"/>
      <c r="CX231" s="11"/>
      <c r="CY231" s="11"/>
      <c r="CZ231" s="11"/>
      <c r="DA231" s="11"/>
      <c r="DB231" s="11"/>
      <c r="DC231" s="11"/>
      <c r="DD231" s="11"/>
      <c r="DE231" s="11"/>
      <c r="DF231" s="11"/>
      <c r="DG231" s="11"/>
      <c r="DH231" s="11"/>
      <c r="DI231" s="11"/>
      <c r="DJ231" s="11"/>
      <c r="DK231" s="11"/>
      <c r="DL231" s="11"/>
      <c r="DM231" s="11"/>
      <c r="DN231" s="11"/>
      <c r="DO231" s="11"/>
      <c r="DP231" s="11"/>
      <c r="DQ231" s="11"/>
      <c r="DR231" s="11"/>
      <c r="DS231" s="11"/>
      <c r="DT231" s="11"/>
      <c r="DU231" s="11"/>
      <c r="DV231" s="11"/>
      <c r="DW231" s="11"/>
      <c r="DX231" s="11"/>
      <c r="DY231" s="11"/>
      <c r="DZ231" s="11"/>
      <c r="EA231" s="11"/>
      <c r="EB231" s="11"/>
      <c r="EC231" s="11"/>
      <c r="ED231" s="11"/>
      <c r="EE231" s="11"/>
      <c r="EF231" s="11"/>
      <c r="EG231" s="11"/>
      <c r="EH231" s="11"/>
      <c r="EI231" s="11"/>
      <c r="EJ231" s="11"/>
      <c r="EK231" s="11"/>
      <c r="EL231" s="11"/>
      <c r="EM231" s="11"/>
    </row>
    <row r="232" spans="1:256">
      <c r="A232" s="18" t="str">
        <f>A65</f>
        <v>Bond 18</v>
      </c>
      <c r="B232" s="18">
        <f t="shared" ref="B232:BM232" si="360">B65*B172</f>
        <v>0</v>
      </c>
      <c r="C232" s="18">
        <f t="shared" si="360"/>
        <v>0</v>
      </c>
      <c r="D232" s="18">
        <f t="shared" si="360"/>
        <v>0</v>
      </c>
      <c r="E232" s="18">
        <f t="shared" si="360"/>
        <v>0</v>
      </c>
      <c r="F232" s="18">
        <f t="shared" si="360"/>
        <v>0</v>
      </c>
      <c r="G232" s="18">
        <f t="shared" si="360"/>
        <v>0</v>
      </c>
      <c r="H232" s="18">
        <f t="shared" si="360"/>
        <v>0</v>
      </c>
      <c r="I232" s="18">
        <f t="shared" si="360"/>
        <v>0</v>
      </c>
      <c r="J232" s="18">
        <f t="shared" si="360"/>
        <v>0</v>
      </c>
      <c r="K232" s="18">
        <f t="shared" si="360"/>
        <v>0</v>
      </c>
      <c r="L232" s="18">
        <f t="shared" si="360"/>
        <v>0</v>
      </c>
      <c r="M232" s="18">
        <f t="shared" si="360"/>
        <v>0</v>
      </c>
      <c r="N232" s="18">
        <f t="shared" si="360"/>
        <v>0</v>
      </c>
      <c r="O232" s="18">
        <f t="shared" si="360"/>
        <v>0</v>
      </c>
      <c r="P232" s="18">
        <f t="shared" si="360"/>
        <v>0</v>
      </c>
      <c r="Q232" s="18">
        <f t="shared" si="360"/>
        <v>0</v>
      </c>
      <c r="R232" s="18">
        <f t="shared" si="360"/>
        <v>0</v>
      </c>
      <c r="S232" s="18">
        <f t="shared" si="360"/>
        <v>0</v>
      </c>
      <c r="T232" s="18">
        <f t="shared" si="360"/>
        <v>0</v>
      </c>
      <c r="U232" s="18">
        <f t="shared" si="360"/>
        <v>0</v>
      </c>
      <c r="V232" s="18">
        <f t="shared" si="360"/>
        <v>0</v>
      </c>
      <c r="W232" s="18">
        <f t="shared" si="360"/>
        <v>0</v>
      </c>
      <c r="X232" s="18">
        <f t="shared" si="360"/>
        <v>0</v>
      </c>
      <c r="Y232" s="18">
        <f t="shared" si="360"/>
        <v>0</v>
      </c>
      <c r="Z232" s="18">
        <f t="shared" si="360"/>
        <v>0</v>
      </c>
      <c r="AA232" s="18">
        <f t="shared" si="360"/>
        <v>0</v>
      </c>
      <c r="AB232" s="18">
        <f t="shared" si="360"/>
        <v>0</v>
      </c>
      <c r="AC232" s="18">
        <f t="shared" si="360"/>
        <v>0</v>
      </c>
      <c r="AD232" s="18">
        <f t="shared" si="360"/>
        <v>0</v>
      </c>
      <c r="AE232" s="18">
        <f t="shared" si="360"/>
        <v>0</v>
      </c>
      <c r="AF232" s="18">
        <f t="shared" si="360"/>
        <v>0</v>
      </c>
      <c r="AG232" s="18">
        <f t="shared" si="360"/>
        <v>0</v>
      </c>
      <c r="AH232" s="18">
        <f t="shared" si="360"/>
        <v>0</v>
      </c>
      <c r="AI232" s="18">
        <f t="shared" si="360"/>
        <v>0</v>
      </c>
      <c r="AJ232" s="18">
        <f t="shared" si="360"/>
        <v>0</v>
      </c>
      <c r="AK232" s="18">
        <f t="shared" si="360"/>
        <v>0</v>
      </c>
      <c r="AL232" s="18">
        <f t="shared" si="360"/>
        <v>0</v>
      </c>
      <c r="AM232" s="18">
        <f t="shared" si="360"/>
        <v>0</v>
      </c>
      <c r="AN232" s="18">
        <f t="shared" si="360"/>
        <v>0</v>
      </c>
      <c r="AO232" s="18">
        <f t="shared" si="360"/>
        <v>0</v>
      </c>
      <c r="AP232" s="18">
        <f t="shared" si="360"/>
        <v>0</v>
      </c>
      <c r="AQ232" s="18">
        <f t="shared" si="360"/>
        <v>0</v>
      </c>
      <c r="AR232" s="18">
        <f t="shared" si="360"/>
        <v>0</v>
      </c>
      <c r="AS232" s="18">
        <f t="shared" si="360"/>
        <v>0</v>
      </c>
      <c r="AT232" s="18">
        <f t="shared" si="360"/>
        <v>0</v>
      </c>
      <c r="AU232" s="18">
        <f t="shared" si="360"/>
        <v>0</v>
      </c>
      <c r="AV232" s="18">
        <f t="shared" si="360"/>
        <v>0</v>
      </c>
      <c r="AW232" s="18">
        <f t="shared" si="360"/>
        <v>0</v>
      </c>
      <c r="AX232" s="18">
        <f t="shared" si="360"/>
        <v>0</v>
      </c>
      <c r="AY232" s="18">
        <f t="shared" si="360"/>
        <v>0</v>
      </c>
      <c r="AZ232" s="18">
        <f t="shared" si="360"/>
        <v>0</v>
      </c>
      <c r="BA232" s="18">
        <f t="shared" si="360"/>
        <v>0</v>
      </c>
      <c r="BB232" s="18">
        <f t="shared" si="360"/>
        <v>0</v>
      </c>
      <c r="BC232" s="18">
        <f t="shared" si="360"/>
        <v>0</v>
      </c>
      <c r="BD232" s="18">
        <f t="shared" si="360"/>
        <v>0</v>
      </c>
      <c r="BE232" s="18">
        <f t="shared" si="360"/>
        <v>0</v>
      </c>
      <c r="BF232" s="18">
        <f t="shared" si="360"/>
        <v>0</v>
      </c>
      <c r="BG232" s="18">
        <f t="shared" si="360"/>
        <v>0</v>
      </c>
      <c r="BH232" s="18">
        <f t="shared" si="360"/>
        <v>0</v>
      </c>
      <c r="BI232" s="18">
        <f t="shared" si="360"/>
        <v>0</v>
      </c>
      <c r="BJ232" s="18">
        <f t="shared" si="360"/>
        <v>0</v>
      </c>
      <c r="BK232" s="18">
        <f t="shared" si="360"/>
        <v>0</v>
      </c>
      <c r="BL232" s="18">
        <f t="shared" si="360"/>
        <v>0</v>
      </c>
      <c r="BM232" s="18">
        <f t="shared" si="360"/>
        <v>0</v>
      </c>
      <c r="BN232" s="18">
        <f t="shared" ref="BN232:CB232" si="361">BN65*BN172</f>
        <v>0</v>
      </c>
      <c r="BO232" s="18">
        <f t="shared" si="361"/>
        <v>0</v>
      </c>
      <c r="BP232" s="18">
        <f t="shared" si="361"/>
        <v>0</v>
      </c>
      <c r="BQ232" s="18">
        <f t="shared" si="361"/>
        <v>0</v>
      </c>
      <c r="BR232" s="18">
        <f t="shared" si="361"/>
        <v>0</v>
      </c>
      <c r="BS232" s="18">
        <f t="shared" si="361"/>
        <v>0</v>
      </c>
      <c r="BT232" s="18">
        <f t="shared" si="361"/>
        <v>0</v>
      </c>
      <c r="BU232" s="18">
        <f t="shared" si="361"/>
        <v>0</v>
      </c>
      <c r="BV232" s="18">
        <f t="shared" si="361"/>
        <v>0</v>
      </c>
      <c r="BW232" s="18">
        <f t="shared" si="361"/>
        <v>0</v>
      </c>
      <c r="BX232" s="18">
        <f t="shared" si="361"/>
        <v>0</v>
      </c>
      <c r="BY232" s="18">
        <f t="shared" si="361"/>
        <v>0</v>
      </c>
      <c r="BZ232" s="18">
        <f t="shared" si="361"/>
        <v>0</v>
      </c>
      <c r="CA232" s="18">
        <f t="shared" si="361"/>
        <v>0</v>
      </c>
      <c r="CB232" s="18">
        <f t="shared" si="361"/>
        <v>0</v>
      </c>
      <c r="CC232" s="17"/>
      <c r="CD232" s="17"/>
      <c r="CE232" s="17"/>
      <c r="CH232" s="5"/>
      <c r="CI232" s="11"/>
      <c r="CJ232" s="11"/>
      <c r="CK232" s="11"/>
      <c r="CL232" s="11"/>
      <c r="CM232" s="11"/>
      <c r="CN232" s="11"/>
      <c r="CO232" s="11"/>
      <c r="CP232" s="11"/>
      <c r="CQ232" s="11"/>
      <c r="CR232" s="11"/>
      <c r="CS232" s="11"/>
      <c r="CT232" s="11"/>
      <c r="CU232" s="11"/>
      <c r="CV232" s="11"/>
      <c r="CW232" s="11"/>
      <c r="CX232" s="11"/>
      <c r="CY232" s="11"/>
      <c r="CZ232" s="11"/>
      <c r="DA232" s="11"/>
      <c r="DB232" s="11"/>
      <c r="DC232" s="11"/>
      <c r="DD232" s="11"/>
      <c r="DE232" s="11"/>
      <c r="DF232" s="11"/>
      <c r="DG232" s="11"/>
      <c r="DH232" s="11"/>
      <c r="DI232" s="11"/>
      <c r="DJ232" s="11"/>
      <c r="DK232" s="11"/>
      <c r="DL232" s="11"/>
      <c r="DM232" s="11"/>
      <c r="DN232" s="11"/>
      <c r="DO232" s="11"/>
      <c r="DP232" s="11"/>
      <c r="DQ232" s="11"/>
      <c r="DR232" s="11"/>
      <c r="DS232" s="11"/>
      <c r="DT232" s="11"/>
      <c r="DU232" s="11"/>
      <c r="DV232" s="11"/>
      <c r="DW232" s="11"/>
      <c r="DX232" s="11"/>
      <c r="DY232" s="11"/>
      <c r="DZ232" s="11"/>
      <c r="EA232" s="11"/>
      <c r="EB232" s="11"/>
      <c r="EC232" s="11"/>
      <c r="ED232" s="11"/>
      <c r="EE232" s="11"/>
      <c r="EF232" s="11"/>
    </row>
    <row r="233" spans="1:256">
      <c r="A233" s="18" t="str">
        <f>A67</f>
        <v>Bond 19</v>
      </c>
      <c r="B233" s="18">
        <f t="shared" ref="B233:BM233" si="362">B67*B177</f>
        <v>0</v>
      </c>
      <c r="C233" s="18">
        <f t="shared" si="362"/>
        <v>0</v>
      </c>
      <c r="D233" s="18">
        <f t="shared" si="362"/>
        <v>0</v>
      </c>
      <c r="E233" s="18">
        <f t="shared" si="362"/>
        <v>0</v>
      </c>
      <c r="F233" s="18">
        <f t="shared" si="362"/>
        <v>0</v>
      </c>
      <c r="G233" s="18">
        <f t="shared" si="362"/>
        <v>0</v>
      </c>
      <c r="H233" s="18">
        <f t="shared" si="362"/>
        <v>0</v>
      </c>
      <c r="I233" s="18">
        <f t="shared" si="362"/>
        <v>0</v>
      </c>
      <c r="J233" s="18">
        <f t="shared" si="362"/>
        <v>0</v>
      </c>
      <c r="K233" s="18">
        <f t="shared" si="362"/>
        <v>0</v>
      </c>
      <c r="L233" s="18">
        <f t="shared" si="362"/>
        <v>0</v>
      </c>
      <c r="M233" s="18">
        <f t="shared" si="362"/>
        <v>0</v>
      </c>
      <c r="N233" s="18">
        <f t="shared" si="362"/>
        <v>0</v>
      </c>
      <c r="O233" s="18">
        <f t="shared" si="362"/>
        <v>0</v>
      </c>
      <c r="P233" s="18">
        <f t="shared" si="362"/>
        <v>0</v>
      </c>
      <c r="Q233" s="18">
        <f t="shared" si="362"/>
        <v>0</v>
      </c>
      <c r="R233" s="18">
        <f t="shared" si="362"/>
        <v>0</v>
      </c>
      <c r="S233" s="18">
        <f t="shared" si="362"/>
        <v>0</v>
      </c>
      <c r="T233" s="18">
        <f t="shared" si="362"/>
        <v>0</v>
      </c>
      <c r="U233" s="18">
        <f t="shared" si="362"/>
        <v>0</v>
      </c>
      <c r="V233" s="18">
        <f t="shared" si="362"/>
        <v>0</v>
      </c>
      <c r="W233" s="18">
        <f t="shared" si="362"/>
        <v>0</v>
      </c>
      <c r="X233" s="18">
        <f t="shared" si="362"/>
        <v>0</v>
      </c>
      <c r="Y233" s="18">
        <f t="shared" si="362"/>
        <v>0</v>
      </c>
      <c r="Z233" s="18">
        <f t="shared" si="362"/>
        <v>0</v>
      </c>
      <c r="AA233" s="18">
        <f t="shared" si="362"/>
        <v>0</v>
      </c>
      <c r="AB233" s="18">
        <f t="shared" si="362"/>
        <v>0</v>
      </c>
      <c r="AC233" s="18">
        <f t="shared" si="362"/>
        <v>0</v>
      </c>
      <c r="AD233" s="18">
        <f t="shared" si="362"/>
        <v>0</v>
      </c>
      <c r="AE233" s="18">
        <f t="shared" si="362"/>
        <v>0</v>
      </c>
      <c r="AF233" s="18">
        <f t="shared" si="362"/>
        <v>0</v>
      </c>
      <c r="AG233" s="18">
        <f t="shared" si="362"/>
        <v>0</v>
      </c>
      <c r="AH233" s="18">
        <f t="shared" si="362"/>
        <v>0</v>
      </c>
      <c r="AI233" s="18">
        <f t="shared" si="362"/>
        <v>0</v>
      </c>
      <c r="AJ233" s="18">
        <f t="shared" si="362"/>
        <v>0</v>
      </c>
      <c r="AK233" s="18">
        <f t="shared" si="362"/>
        <v>0</v>
      </c>
      <c r="AL233" s="18">
        <f t="shared" si="362"/>
        <v>0</v>
      </c>
      <c r="AM233" s="18">
        <f t="shared" si="362"/>
        <v>0</v>
      </c>
      <c r="AN233" s="18">
        <f t="shared" si="362"/>
        <v>0</v>
      </c>
      <c r="AO233" s="18">
        <f t="shared" si="362"/>
        <v>0</v>
      </c>
      <c r="AP233" s="18">
        <f t="shared" si="362"/>
        <v>0</v>
      </c>
      <c r="AQ233" s="18">
        <f t="shared" si="362"/>
        <v>0</v>
      </c>
      <c r="AR233" s="18">
        <f t="shared" si="362"/>
        <v>0</v>
      </c>
      <c r="AS233" s="18">
        <f t="shared" si="362"/>
        <v>0</v>
      </c>
      <c r="AT233" s="18">
        <f t="shared" si="362"/>
        <v>0</v>
      </c>
      <c r="AU233" s="18">
        <f t="shared" si="362"/>
        <v>0</v>
      </c>
      <c r="AV233" s="18">
        <f t="shared" si="362"/>
        <v>0</v>
      </c>
      <c r="AW233" s="18">
        <f t="shared" si="362"/>
        <v>0</v>
      </c>
      <c r="AX233" s="18">
        <f t="shared" si="362"/>
        <v>0</v>
      </c>
      <c r="AY233" s="18">
        <f t="shared" si="362"/>
        <v>0</v>
      </c>
      <c r="AZ233" s="18">
        <f t="shared" si="362"/>
        <v>0</v>
      </c>
      <c r="BA233" s="18">
        <f t="shared" si="362"/>
        <v>0</v>
      </c>
      <c r="BB233" s="18">
        <f t="shared" si="362"/>
        <v>0</v>
      </c>
      <c r="BC233" s="18">
        <f t="shared" si="362"/>
        <v>0</v>
      </c>
      <c r="BD233" s="18">
        <f t="shared" si="362"/>
        <v>0</v>
      </c>
      <c r="BE233" s="18">
        <f t="shared" si="362"/>
        <v>0</v>
      </c>
      <c r="BF233" s="18">
        <f t="shared" si="362"/>
        <v>0</v>
      </c>
      <c r="BG233" s="18">
        <f t="shared" si="362"/>
        <v>0</v>
      </c>
      <c r="BH233" s="18">
        <f t="shared" si="362"/>
        <v>0</v>
      </c>
      <c r="BI233" s="18">
        <f t="shared" si="362"/>
        <v>0</v>
      </c>
      <c r="BJ233" s="18">
        <f t="shared" si="362"/>
        <v>0</v>
      </c>
      <c r="BK233" s="18">
        <f t="shared" si="362"/>
        <v>0</v>
      </c>
      <c r="BL233" s="18">
        <f t="shared" si="362"/>
        <v>0</v>
      </c>
      <c r="BM233" s="18">
        <f t="shared" si="362"/>
        <v>0</v>
      </c>
      <c r="BN233" s="18">
        <f t="shared" ref="BN233:CB233" si="363">BN67*BN177</f>
        <v>0</v>
      </c>
      <c r="BO233" s="18">
        <f t="shared" si="363"/>
        <v>0</v>
      </c>
      <c r="BP233" s="18">
        <f t="shared" si="363"/>
        <v>0</v>
      </c>
      <c r="BQ233" s="18">
        <f t="shared" si="363"/>
        <v>0</v>
      </c>
      <c r="BR233" s="18">
        <f t="shared" si="363"/>
        <v>0</v>
      </c>
      <c r="BS233" s="18">
        <f t="shared" si="363"/>
        <v>0</v>
      </c>
      <c r="BT233" s="18">
        <f t="shared" si="363"/>
        <v>0</v>
      </c>
      <c r="BU233" s="18">
        <f t="shared" si="363"/>
        <v>0</v>
      </c>
      <c r="BV233" s="18">
        <f t="shared" si="363"/>
        <v>0</v>
      </c>
      <c r="BW233" s="18">
        <f t="shared" si="363"/>
        <v>0</v>
      </c>
      <c r="BX233" s="18">
        <f t="shared" si="363"/>
        <v>0</v>
      </c>
      <c r="BY233" s="18">
        <f t="shared" si="363"/>
        <v>0</v>
      </c>
      <c r="BZ233" s="18">
        <f t="shared" si="363"/>
        <v>0</v>
      </c>
      <c r="CA233" s="18">
        <f t="shared" si="363"/>
        <v>0</v>
      </c>
      <c r="CB233" s="18">
        <f t="shared" si="363"/>
        <v>0</v>
      </c>
      <c r="CC233" s="17"/>
      <c r="CD233" s="17"/>
      <c r="CE233" s="17"/>
      <c r="CH233" s="5"/>
      <c r="CI233" s="11"/>
      <c r="CJ233" s="11"/>
      <c r="CK233" s="11"/>
      <c r="CL233" s="11"/>
      <c r="CM233" s="11"/>
      <c r="CN233" s="11"/>
      <c r="CO233" s="11"/>
      <c r="CP233" s="11"/>
      <c r="CQ233" s="11"/>
      <c r="CR233" s="11"/>
      <c r="CS233" s="11"/>
      <c r="CT233" s="11"/>
      <c r="CU233" s="11"/>
      <c r="CV233" s="11"/>
      <c r="CW233" s="11"/>
      <c r="CX233" s="11"/>
      <c r="CY233" s="11"/>
      <c r="CZ233" s="11"/>
      <c r="DA233" s="11"/>
      <c r="DB233" s="11"/>
      <c r="DC233" s="11"/>
      <c r="DD233" s="11"/>
      <c r="DE233" s="11"/>
      <c r="DF233" s="11"/>
      <c r="DG233" s="11"/>
      <c r="DH233" s="11"/>
      <c r="DI233" s="11"/>
      <c r="DJ233" s="11"/>
      <c r="DK233" s="11"/>
      <c r="DL233" s="11"/>
      <c r="DM233" s="11"/>
      <c r="DN233" s="11"/>
      <c r="DO233" s="11"/>
      <c r="DP233" s="11"/>
      <c r="DQ233" s="11"/>
      <c r="DR233" s="11"/>
      <c r="DS233" s="11"/>
      <c r="DT233" s="11"/>
      <c r="DU233" s="11"/>
      <c r="DV233" s="11"/>
      <c r="DW233" s="11"/>
      <c r="DX233" s="11"/>
      <c r="DY233" s="11"/>
      <c r="DZ233" s="11"/>
      <c r="EA233" s="11"/>
      <c r="EB233" s="11"/>
      <c r="EC233" s="11"/>
      <c r="ED233" s="11"/>
      <c r="EE233" s="11"/>
      <c r="EF233" s="11"/>
      <c r="EG233" s="11"/>
      <c r="EH233" s="11"/>
      <c r="EI233" s="11"/>
      <c r="EJ233" s="11"/>
      <c r="EK233" s="11"/>
      <c r="EL233" s="11"/>
      <c r="EM233" s="11"/>
      <c r="EN233" s="11"/>
      <c r="EO233" s="11"/>
      <c r="EP233" s="11"/>
      <c r="EQ233" s="11"/>
      <c r="ER233" s="11"/>
      <c r="ES233" s="11"/>
      <c r="ET233" s="11"/>
      <c r="EU233" s="11"/>
      <c r="EV233" s="11"/>
      <c r="EW233" s="11"/>
      <c r="EX233" s="11"/>
      <c r="EY233" s="11"/>
      <c r="EZ233" s="11"/>
      <c r="FA233" s="11"/>
      <c r="FB233" s="11"/>
      <c r="FC233" s="11"/>
      <c r="FD233" s="11"/>
    </row>
    <row r="234" spans="1:256">
      <c r="A234" s="18" t="str">
        <f>A69</f>
        <v>Bond 20</v>
      </c>
      <c r="B234" s="18">
        <f t="shared" ref="B234:BM234" si="364">B69*B182</f>
        <v>0</v>
      </c>
      <c r="C234" s="18">
        <f t="shared" si="364"/>
        <v>0</v>
      </c>
      <c r="D234" s="18">
        <f t="shared" si="364"/>
        <v>0</v>
      </c>
      <c r="E234" s="18">
        <f t="shared" si="364"/>
        <v>0</v>
      </c>
      <c r="F234" s="18">
        <f t="shared" si="364"/>
        <v>0</v>
      </c>
      <c r="G234" s="18">
        <f t="shared" si="364"/>
        <v>0</v>
      </c>
      <c r="H234" s="18">
        <f t="shared" si="364"/>
        <v>0</v>
      </c>
      <c r="I234" s="18">
        <f t="shared" si="364"/>
        <v>0</v>
      </c>
      <c r="J234" s="18">
        <f t="shared" si="364"/>
        <v>0</v>
      </c>
      <c r="K234" s="18">
        <f t="shared" si="364"/>
        <v>0</v>
      </c>
      <c r="L234" s="18">
        <f t="shared" si="364"/>
        <v>0</v>
      </c>
      <c r="M234" s="18">
        <f t="shared" si="364"/>
        <v>0</v>
      </c>
      <c r="N234" s="18">
        <f t="shared" si="364"/>
        <v>0</v>
      </c>
      <c r="O234" s="18">
        <f t="shared" si="364"/>
        <v>0</v>
      </c>
      <c r="P234" s="18">
        <f t="shared" si="364"/>
        <v>0</v>
      </c>
      <c r="Q234" s="18">
        <f t="shared" si="364"/>
        <v>0</v>
      </c>
      <c r="R234" s="18">
        <f t="shared" si="364"/>
        <v>0</v>
      </c>
      <c r="S234" s="18">
        <f t="shared" si="364"/>
        <v>0</v>
      </c>
      <c r="T234" s="18">
        <f t="shared" si="364"/>
        <v>0</v>
      </c>
      <c r="U234" s="18">
        <f t="shared" si="364"/>
        <v>0</v>
      </c>
      <c r="V234" s="18">
        <f t="shared" si="364"/>
        <v>0</v>
      </c>
      <c r="W234" s="18">
        <f t="shared" si="364"/>
        <v>0</v>
      </c>
      <c r="X234" s="18">
        <f t="shared" si="364"/>
        <v>0</v>
      </c>
      <c r="Y234" s="18">
        <f t="shared" si="364"/>
        <v>0</v>
      </c>
      <c r="Z234" s="18">
        <f t="shared" si="364"/>
        <v>0</v>
      </c>
      <c r="AA234" s="18">
        <f t="shared" si="364"/>
        <v>0</v>
      </c>
      <c r="AB234" s="18">
        <f t="shared" si="364"/>
        <v>0</v>
      </c>
      <c r="AC234" s="18">
        <f t="shared" si="364"/>
        <v>0</v>
      </c>
      <c r="AD234" s="18">
        <f t="shared" si="364"/>
        <v>0</v>
      </c>
      <c r="AE234" s="18">
        <f t="shared" si="364"/>
        <v>0</v>
      </c>
      <c r="AF234" s="18">
        <f t="shared" si="364"/>
        <v>0</v>
      </c>
      <c r="AG234" s="18">
        <f t="shared" si="364"/>
        <v>0</v>
      </c>
      <c r="AH234" s="18">
        <f t="shared" si="364"/>
        <v>0</v>
      </c>
      <c r="AI234" s="18">
        <f t="shared" si="364"/>
        <v>0</v>
      </c>
      <c r="AJ234" s="18">
        <f t="shared" si="364"/>
        <v>0</v>
      </c>
      <c r="AK234" s="18">
        <f t="shared" si="364"/>
        <v>0</v>
      </c>
      <c r="AL234" s="18">
        <f t="shared" si="364"/>
        <v>0</v>
      </c>
      <c r="AM234" s="18">
        <f t="shared" si="364"/>
        <v>0</v>
      </c>
      <c r="AN234" s="18">
        <f t="shared" si="364"/>
        <v>0</v>
      </c>
      <c r="AO234" s="18">
        <f t="shared" si="364"/>
        <v>0</v>
      </c>
      <c r="AP234" s="18">
        <f t="shared" si="364"/>
        <v>0</v>
      </c>
      <c r="AQ234" s="18">
        <f t="shared" si="364"/>
        <v>0</v>
      </c>
      <c r="AR234" s="18">
        <f t="shared" si="364"/>
        <v>0</v>
      </c>
      <c r="AS234" s="18">
        <f t="shared" si="364"/>
        <v>0</v>
      </c>
      <c r="AT234" s="18">
        <f t="shared" si="364"/>
        <v>0</v>
      </c>
      <c r="AU234" s="18">
        <f t="shared" si="364"/>
        <v>0</v>
      </c>
      <c r="AV234" s="18">
        <f t="shared" si="364"/>
        <v>0</v>
      </c>
      <c r="AW234" s="18">
        <f t="shared" si="364"/>
        <v>0</v>
      </c>
      <c r="AX234" s="18">
        <f t="shared" si="364"/>
        <v>0</v>
      </c>
      <c r="AY234" s="18">
        <f t="shared" si="364"/>
        <v>0</v>
      </c>
      <c r="AZ234" s="18">
        <f t="shared" si="364"/>
        <v>0</v>
      </c>
      <c r="BA234" s="18">
        <f t="shared" si="364"/>
        <v>0</v>
      </c>
      <c r="BB234" s="18">
        <f t="shared" si="364"/>
        <v>0</v>
      </c>
      <c r="BC234" s="18">
        <f t="shared" si="364"/>
        <v>0</v>
      </c>
      <c r="BD234" s="18">
        <f t="shared" si="364"/>
        <v>0</v>
      </c>
      <c r="BE234" s="18">
        <f t="shared" si="364"/>
        <v>0</v>
      </c>
      <c r="BF234" s="18">
        <f t="shared" si="364"/>
        <v>0</v>
      </c>
      <c r="BG234" s="18">
        <f t="shared" si="364"/>
        <v>0</v>
      </c>
      <c r="BH234" s="18">
        <f t="shared" si="364"/>
        <v>0</v>
      </c>
      <c r="BI234" s="18">
        <f t="shared" si="364"/>
        <v>0</v>
      </c>
      <c r="BJ234" s="18">
        <f t="shared" si="364"/>
        <v>0</v>
      </c>
      <c r="BK234" s="18">
        <f t="shared" si="364"/>
        <v>0</v>
      </c>
      <c r="BL234" s="18">
        <f t="shared" si="364"/>
        <v>0</v>
      </c>
      <c r="BM234" s="18">
        <f t="shared" si="364"/>
        <v>0</v>
      </c>
      <c r="BN234" s="18">
        <f t="shared" ref="BN234:CB234" si="365">BN69*BN182</f>
        <v>0</v>
      </c>
      <c r="BO234" s="18">
        <f t="shared" si="365"/>
        <v>0</v>
      </c>
      <c r="BP234" s="18">
        <f t="shared" si="365"/>
        <v>0</v>
      </c>
      <c r="BQ234" s="18">
        <f t="shared" si="365"/>
        <v>0</v>
      </c>
      <c r="BR234" s="18">
        <f t="shared" si="365"/>
        <v>0</v>
      </c>
      <c r="BS234" s="18">
        <f t="shared" si="365"/>
        <v>0</v>
      </c>
      <c r="BT234" s="18">
        <f t="shared" si="365"/>
        <v>0</v>
      </c>
      <c r="BU234" s="18">
        <f t="shared" si="365"/>
        <v>0</v>
      </c>
      <c r="BV234" s="18">
        <f t="shared" si="365"/>
        <v>0</v>
      </c>
      <c r="BW234" s="18">
        <f t="shared" si="365"/>
        <v>0</v>
      </c>
      <c r="BX234" s="18">
        <f t="shared" si="365"/>
        <v>0</v>
      </c>
      <c r="BY234" s="18">
        <f t="shared" si="365"/>
        <v>0</v>
      </c>
      <c r="BZ234" s="18">
        <f t="shared" si="365"/>
        <v>0</v>
      </c>
      <c r="CA234" s="18">
        <f t="shared" si="365"/>
        <v>0</v>
      </c>
      <c r="CB234" s="18">
        <f t="shared" si="365"/>
        <v>0</v>
      </c>
      <c r="CC234" s="17"/>
      <c r="CD234" s="17"/>
      <c r="CE234" s="17"/>
      <c r="CH234" s="5"/>
      <c r="CI234" s="11"/>
      <c r="CJ234" s="11"/>
      <c r="CK234" s="11"/>
      <c r="CL234" s="11"/>
      <c r="CM234" s="11"/>
      <c r="CN234" s="11"/>
      <c r="CO234" s="11"/>
      <c r="CP234" s="11"/>
      <c r="CQ234" s="11"/>
      <c r="CR234" s="11"/>
      <c r="CS234" s="11"/>
      <c r="CT234" s="11"/>
      <c r="CU234" s="11"/>
      <c r="CV234" s="11"/>
      <c r="CW234" s="11"/>
      <c r="CX234" s="11"/>
      <c r="CY234" s="11"/>
      <c r="CZ234" s="11"/>
      <c r="DA234" s="11"/>
      <c r="DB234" s="11"/>
      <c r="DC234" s="11"/>
      <c r="DD234" s="11"/>
      <c r="DE234" s="11"/>
      <c r="DF234" s="11"/>
      <c r="DG234" s="11"/>
      <c r="DH234" s="11"/>
      <c r="DI234" s="11"/>
      <c r="DJ234" s="11"/>
      <c r="DK234" s="11"/>
      <c r="DL234" s="11"/>
      <c r="DM234" s="11"/>
      <c r="DN234" s="11"/>
      <c r="DO234" s="11"/>
      <c r="DP234" s="11"/>
      <c r="DQ234" s="11"/>
      <c r="DR234" s="11"/>
      <c r="DS234" s="11"/>
      <c r="DT234" s="11"/>
      <c r="DU234" s="11"/>
      <c r="DV234" s="11"/>
      <c r="DW234" s="11"/>
      <c r="DX234" s="11"/>
      <c r="DY234" s="11"/>
      <c r="DZ234" s="11"/>
      <c r="EA234" s="11"/>
      <c r="EB234" s="11"/>
      <c r="EC234" s="11"/>
      <c r="ED234" s="11"/>
    </row>
    <row r="235" spans="1:256">
      <c r="A235" s="18" t="str">
        <f>A71</f>
        <v>Bond 21</v>
      </c>
      <c r="B235" s="18">
        <f t="shared" ref="B235:BM235" si="366">B71*B187</f>
        <v>0</v>
      </c>
      <c r="C235" s="18">
        <f t="shared" si="366"/>
        <v>0</v>
      </c>
      <c r="D235" s="18">
        <f t="shared" si="366"/>
        <v>0</v>
      </c>
      <c r="E235" s="18">
        <f t="shared" si="366"/>
        <v>0</v>
      </c>
      <c r="F235" s="18">
        <f t="shared" si="366"/>
        <v>0</v>
      </c>
      <c r="G235" s="18">
        <f t="shared" si="366"/>
        <v>0</v>
      </c>
      <c r="H235" s="18">
        <f t="shared" si="366"/>
        <v>0</v>
      </c>
      <c r="I235" s="18">
        <f t="shared" si="366"/>
        <v>0</v>
      </c>
      <c r="J235" s="18">
        <f t="shared" si="366"/>
        <v>0</v>
      </c>
      <c r="K235" s="18">
        <f t="shared" si="366"/>
        <v>0</v>
      </c>
      <c r="L235" s="18">
        <f t="shared" si="366"/>
        <v>0</v>
      </c>
      <c r="M235" s="18">
        <f t="shared" si="366"/>
        <v>0</v>
      </c>
      <c r="N235" s="18">
        <f t="shared" si="366"/>
        <v>0</v>
      </c>
      <c r="O235" s="18">
        <f t="shared" si="366"/>
        <v>0</v>
      </c>
      <c r="P235" s="18">
        <f t="shared" si="366"/>
        <v>0</v>
      </c>
      <c r="Q235" s="18">
        <f t="shared" si="366"/>
        <v>0</v>
      </c>
      <c r="R235" s="18">
        <f t="shared" si="366"/>
        <v>0</v>
      </c>
      <c r="S235" s="18">
        <f t="shared" si="366"/>
        <v>0</v>
      </c>
      <c r="T235" s="18">
        <f t="shared" si="366"/>
        <v>0</v>
      </c>
      <c r="U235" s="18">
        <f t="shared" si="366"/>
        <v>0</v>
      </c>
      <c r="V235" s="18">
        <f t="shared" si="366"/>
        <v>0</v>
      </c>
      <c r="W235" s="18">
        <f t="shared" si="366"/>
        <v>0</v>
      </c>
      <c r="X235" s="18">
        <f t="shared" si="366"/>
        <v>0</v>
      </c>
      <c r="Y235" s="18">
        <f t="shared" si="366"/>
        <v>0</v>
      </c>
      <c r="Z235" s="18">
        <f t="shared" si="366"/>
        <v>0</v>
      </c>
      <c r="AA235" s="18">
        <f t="shared" si="366"/>
        <v>0</v>
      </c>
      <c r="AB235" s="18">
        <f t="shared" si="366"/>
        <v>0</v>
      </c>
      <c r="AC235" s="18">
        <f t="shared" si="366"/>
        <v>0</v>
      </c>
      <c r="AD235" s="18">
        <f t="shared" si="366"/>
        <v>0</v>
      </c>
      <c r="AE235" s="18">
        <f t="shared" si="366"/>
        <v>0</v>
      </c>
      <c r="AF235" s="18">
        <f t="shared" si="366"/>
        <v>0</v>
      </c>
      <c r="AG235" s="18">
        <f t="shared" si="366"/>
        <v>0</v>
      </c>
      <c r="AH235" s="18">
        <f t="shared" si="366"/>
        <v>0</v>
      </c>
      <c r="AI235" s="18">
        <f t="shared" si="366"/>
        <v>0</v>
      </c>
      <c r="AJ235" s="18">
        <f t="shared" si="366"/>
        <v>0</v>
      </c>
      <c r="AK235" s="18">
        <f t="shared" si="366"/>
        <v>0</v>
      </c>
      <c r="AL235" s="18">
        <f t="shared" si="366"/>
        <v>0</v>
      </c>
      <c r="AM235" s="18">
        <f t="shared" si="366"/>
        <v>0</v>
      </c>
      <c r="AN235" s="18">
        <f t="shared" si="366"/>
        <v>0</v>
      </c>
      <c r="AO235" s="18">
        <f t="shared" si="366"/>
        <v>0</v>
      </c>
      <c r="AP235" s="18">
        <f t="shared" si="366"/>
        <v>0</v>
      </c>
      <c r="AQ235" s="18">
        <f t="shared" si="366"/>
        <v>0</v>
      </c>
      <c r="AR235" s="18">
        <f t="shared" si="366"/>
        <v>0</v>
      </c>
      <c r="AS235" s="18">
        <f t="shared" si="366"/>
        <v>0</v>
      </c>
      <c r="AT235" s="18">
        <f t="shared" si="366"/>
        <v>0</v>
      </c>
      <c r="AU235" s="18">
        <f t="shared" si="366"/>
        <v>0</v>
      </c>
      <c r="AV235" s="18">
        <f t="shared" si="366"/>
        <v>0</v>
      </c>
      <c r="AW235" s="18">
        <f t="shared" si="366"/>
        <v>0</v>
      </c>
      <c r="AX235" s="18">
        <f t="shared" si="366"/>
        <v>0</v>
      </c>
      <c r="AY235" s="18">
        <f t="shared" si="366"/>
        <v>0</v>
      </c>
      <c r="AZ235" s="18">
        <f t="shared" si="366"/>
        <v>0</v>
      </c>
      <c r="BA235" s="18">
        <f t="shared" si="366"/>
        <v>0</v>
      </c>
      <c r="BB235" s="18">
        <f t="shared" si="366"/>
        <v>0</v>
      </c>
      <c r="BC235" s="18">
        <f t="shared" si="366"/>
        <v>0</v>
      </c>
      <c r="BD235" s="18">
        <f t="shared" si="366"/>
        <v>0</v>
      </c>
      <c r="BE235" s="18">
        <f t="shared" si="366"/>
        <v>0</v>
      </c>
      <c r="BF235" s="18">
        <f t="shared" si="366"/>
        <v>0</v>
      </c>
      <c r="BG235" s="18">
        <f t="shared" si="366"/>
        <v>0</v>
      </c>
      <c r="BH235" s="18">
        <f t="shared" si="366"/>
        <v>0</v>
      </c>
      <c r="BI235" s="18">
        <f t="shared" si="366"/>
        <v>0</v>
      </c>
      <c r="BJ235" s="18">
        <f t="shared" si="366"/>
        <v>0</v>
      </c>
      <c r="BK235" s="18">
        <f t="shared" si="366"/>
        <v>0</v>
      </c>
      <c r="BL235" s="18">
        <f t="shared" si="366"/>
        <v>0</v>
      </c>
      <c r="BM235" s="18">
        <f t="shared" si="366"/>
        <v>0</v>
      </c>
      <c r="BN235" s="18">
        <f t="shared" ref="BN235:CB235" si="367">BN71*BN187</f>
        <v>0</v>
      </c>
      <c r="BO235" s="18">
        <f t="shared" si="367"/>
        <v>0</v>
      </c>
      <c r="BP235" s="18">
        <f t="shared" si="367"/>
        <v>0</v>
      </c>
      <c r="BQ235" s="18">
        <f t="shared" si="367"/>
        <v>0</v>
      </c>
      <c r="BR235" s="18">
        <f t="shared" si="367"/>
        <v>0</v>
      </c>
      <c r="BS235" s="18">
        <f t="shared" si="367"/>
        <v>0</v>
      </c>
      <c r="BT235" s="18">
        <f t="shared" si="367"/>
        <v>0</v>
      </c>
      <c r="BU235" s="18">
        <f t="shared" si="367"/>
        <v>0</v>
      </c>
      <c r="BV235" s="18">
        <f t="shared" si="367"/>
        <v>0</v>
      </c>
      <c r="BW235" s="18">
        <f t="shared" si="367"/>
        <v>0</v>
      </c>
      <c r="BX235" s="18">
        <f t="shared" si="367"/>
        <v>0</v>
      </c>
      <c r="BY235" s="18">
        <f t="shared" si="367"/>
        <v>0</v>
      </c>
      <c r="BZ235" s="18">
        <f t="shared" si="367"/>
        <v>0</v>
      </c>
      <c r="CA235" s="18">
        <f t="shared" si="367"/>
        <v>0</v>
      </c>
      <c r="CB235" s="18">
        <f t="shared" si="367"/>
        <v>0</v>
      </c>
      <c r="CC235" s="17"/>
      <c r="CD235" s="17"/>
      <c r="CE235" s="17"/>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K235" s="5"/>
      <c r="DL235" s="5"/>
      <c r="DM235" s="5"/>
      <c r="DN235" s="5"/>
      <c r="DO235" s="5"/>
      <c r="DP235" s="5"/>
      <c r="DQ235" s="5"/>
      <c r="DR235" s="5"/>
      <c r="DS235" s="5"/>
      <c r="DT235" s="5"/>
      <c r="DU235" s="5"/>
      <c r="DV235" s="5"/>
      <c r="DW235" s="5"/>
      <c r="DX235" s="5"/>
      <c r="DY235" s="5"/>
      <c r="DZ235" s="5"/>
      <c r="EA235" s="5"/>
      <c r="EB235" s="5"/>
      <c r="EC235" s="5"/>
      <c r="ED235" s="5"/>
      <c r="EE235" s="5"/>
      <c r="EF235" s="5"/>
      <c r="EG235" s="5"/>
      <c r="EH235" s="5"/>
      <c r="EI235" s="5"/>
      <c r="EJ235" s="5"/>
      <c r="EK235" s="5"/>
      <c r="EL235" s="5"/>
      <c r="EM235" s="5"/>
      <c r="EN235" s="5"/>
      <c r="EO235" s="5"/>
      <c r="EP235" s="5"/>
      <c r="EQ235" s="5"/>
      <c r="ER235" s="5"/>
      <c r="ES235" s="5"/>
      <c r="ET235" s="5"/>
      <c r="EU235" s="5"/>
      <c r="EV235" s="5"/>
      <c r="EW235" s="5"/>
      <c r="EX235" s="5"/>
      <c r="EY235" s="5"/>
      <c r="EZ235" s="5"/>
      <c r="FA235" s="5"/>
      <c r="FB235" s="5"/>
      <c r="FC235" s="5"/>
      <c r="FD235" s="5"/>
      <c r="FE235" s="5"/>
      <c r="FF235" s="5"/>
      <c r="FG235" s="5"/>
      <c r="FH235" s="5"/>
      <c r="FI235" s="5"/>
      <c r="FJ235" s="5"/>
      <c r="FK235" s="5"/>
      <c r="FL235" s="5"/>
      <c r="FM235" s="5"/>
      <c r="FN235" s="5"/>
      <c r="FO235" s="5"/>
      <c r="FP235" s="5"/>
      <c r="FQ235" s="5"/>
      <c r="FR235" s="5"/>
      <c r="FS235" s="5"/>
      <c r="FT235" s="5"/>
      <c r="FU235" s="5"/>
      <c r="FV235" s="5"/>
      <c r="FW235" s="5"/>
      <c r="FX235" s="5"/>
      <c r="FY235" s="5"/>
      <c r="FZ235" s="5"/>
      <c r="GA235" s="5"/>
      <c r="GB235" s="5"/>
      <c r="GC235" s="5"/>
      <c r="GD235" s="5"/>
      <c r="GE235" s="5"/>
      <c r="GF235" s="5"/>
      <c r="GG235" s="5"/>
      <c r="GH235" s="5"/>
      <c r="GI235" s="5"/>
      <c r="GJ235" s="5"/>
      <c r="GK235" s="5"/>
      <c r="GL235" s="5"/>
      <c r="GM235" s="5"/>
      <c r="GN235" s="5"/>
      <c r="GO235" s="5"/>
      <c r="GP235" s="5"/>
      <c r="GQ235" s="5"/>
      <c r="GR235" s="5"/>
      <c r="GS235" s="5"/>
    </row>
    <row r="236" spans="1:256">
      <c r="A236" s="18" t="str">
        <f>A73</f>
        <v>Bond 22</v>
      </c>
      <c r="B236" s="18">
        <f>B73*B192</f>
        <v>0</v>
      </c>
      <c r="C236" s="18">
        <f t="shared" ref="C236:BN236" si="368">C73*C192</f>
        <v>0</v>
      </c>
      <c r="D236" s="18">
        <f t="shared" si="368"/>
        <v>0</v>
      </c>
      <c r="E236" s="18">
        <f t="shared" si="368"/>
        <v>0</v>
      </c>
      <c r="F236" s="18">
        <f t="shared" si="368"/>
        <v>0</v>
      </c>
      <c r="G236" s="18">
        <f t="shared" si="368"/>
        <v>0</v>
      </c>
      <c r="H236" s="18">
        <f t="shared" si="368"/>
        <v>0</v>
      </c>
      <c r="I236" s="18">
        <f t="shared" si="368"/>
        <v>0</v>
      </c>
      <c r="J236" s="18">
        <f t="shared" si="368"/>
        <v>0</v>
      </c>
      <c r="K236" s="18">
        <f t="shared" si="368"/>
        <v>0</v>
      </c>
      <c r="L236" s="18">
        <f t="shared" si="368"/>
        <v>0</v>
      </c>
      <c r="M236" s="18">
        <f t="shared" si="368"/>
        <v>0</v>
      </c>
      <c r="N236" s="18">
        <f t="shared" si="368"/>
        <v>0</v>
      </c>
      <c r="O236" s="18">
        <f t="shared" si="368"/>
        <v>0</v>
      </c>
      <c r="P236" s="18">
        <f t="shared" si="368"/>
        <v>0</v>
      </c>
      <c r="Q236" s="18">
        <f t="shared" si="368"/>
        <v>0</v>
      </c>
      <c r="R236" s="18">
        <f t="shared" si="368"/>
        <v>0</v>
      </c>
      <c r="S236" s="18">
        <f t="shared" si="368"/>
        <v>0</v>
      </c>
      <c r="T236" s="18">
        <f t="shared" si="368"/>
        <v>0</v>
      </c>
      <c r="U236" s="18">
        <f t="shared" si="368"/>
        <v>0</v>
      </c>
      <c r="V236" s="18">
        <f t="shared" si="368"/>
        <v>0</v>
      </c>
      <c r="W236" s="18">
        <f t="shared" si="368"/>
        <v>0</v>
      </c>
      <c r="X236" s="18">
        <f t="shared" si="368"/>
        <v>0</v>
      </c>
      <c r="Y236" s="18">
        <f t="shared" si="368"/>
        <v>0</v>
      </c>
      <c r="Z236" s="18">
        <f t="shared" si="368"/>
        <v>0</v>
      </c>
      <c r="AA236" s="18">
        <f t="shared" si="368"/>
        <v>0</v>
      </c>
      <c r="AB236" s="18">
        <f t="shared" si="368"/>
        <v>0</v>
      </c>
      <c r="AC236" s="18">
        <f t="shared" si="368"/>
        <v>0</v>
      </c>
      <c r="AD236" s="18">
        <f t="shared" si="368"/>
        <v>0</v>
      </c>
      <c r="AE236" s="18">
        <f t="shared" si="368"/>
        <v>0</v>
      </c>
      <c r="AF236" s="18">
        <f t="shared" si="368"/>
        <v>0</v>
      </c>
      <c r="AG236" s="18">
        <f t="shared" si="368"/>
        <v>0</v>
      </c>
      <c r="AH236" s="18">
        <f t="shared" si="368"/>
        <v>0</v>
      </c>
      <c r="AI236" s="18">
        <f t="shared" si="368"/>
        <v>0</v>
      </c>
      <c r="AJ236" s="18">
        <f t="shared" si="368"/>
        <v>0</v>
      </c>
      <c r="AK236" s="18">
        <f t="shared" si="368"/>
        <v>0</v>
      </c>
      <c r="AL236" s="18">
        <f t="shared" si="368"/>
        <v>0</v>
      </c>
      <c r="AM236" s="18">
        <f t="shared" si="368"/>
        <v>0</v>
      </c>
      <c r="AN236" s="18">
        <f t="shared" si="368"/>
        <v>0</v>
      </c>
      <c r="AO236" s="18">
        <f t="shared" si="368"/>
        <v>0</v>
      </c>
      <c r="AP236" s="18">
        <f t="shared" si="368"/>
        <v>0</v>
      </c>
      <c r="AQ236" s="18">
        <f t="shared" si="368"/>
        <v>0</v>
      </c>
      <c r="AR236" s="18">
        <f t="shared" si="368"/>
        <v>0</v>
      </c>
      <c r="AS236" s="18">
        <f t="shared" si="368"/>
        <v>0</v>
      </c>
      <c r="AT236" s="18">
        <f t="shared" si="368"/>
        <v>0</v>
      </c>
      <c r="AU236" s="18">
        <f t="shared" si="368"/>
        <v>0</v>
      </c>
      <c r="AV236" s="18">
        <f t="shared" si="368"/>
        <v>0</v>
      </c>
      <c r="AW236" s="18">
        <f t="shared" si="368"/>
        <v>0</v>
      </c>
      <c r="AX236" s="18">
        <f t="shared" si="368"/>
        <v>0</v>
      </c>
      <c r="AY236" s="18">
        <f t="shared" si="368"/>
        <v>0</v>
      </c>
      <c r="AZ236" s="18">
        <f t="shared" si="368"/>
        <v>0</v>
      </c>
      <c r="BA236" s="18">
        <f t="shared" si="368"/>
        <v>0</v>
      </c>
      <c r="BB236" s="18">
        <f t="shared" si="368"/>
        <v>0</v>
      </c>
      <c r="BC236" s="18">
        <f t="shared" si="368"/>
        <v>0</v>
      </c>
      <c r="BD236" s="18">
        <f t="shared" si="368"/>
        <v>0</v>
      </c>
      <c r="BE236" s="18">
        <f t="shared" si="368"/>
        <v>0</v>
      </c>
      <c r="BF236" s="18">
        <f t="shared" si="368"/>
        <v>0</v>
      </c>
      <c r="BG236" s="18">
        <f t="shared" si="368"/>
        <v>0</v>
      </c>
      <c r="BH236" s="18">
        <f t="shared" si="368"/>
        <v>0</v>
      </c>
      <c r="BI236" s="18">
        <f t="shared" si="368"/>
        <v>0</v>
      </c>
      <c r="BJ236" s="18">
        <f t="shared" si="368"/>
        <v>0</v>
      </c>
      <c r="BK236" s="18">
        <f t="shared" si="368"/>
        <v>0</v>
      </c>
      <c r="BL236" s="18">
        <f t="shared" si="368"/>
        <v>0</v>
      </c>
      <c r="BM236" s="18">
        <f t="shared" si="368"/>
        <v>0</v>
      </c>
      <c r="BN236" s="18">
        <f t="shared" si="368"/>
        <v>0</v>
      </c>
      <c r="BO236" s="18">
        <f t="shared" ref="BO236:CB236" si="369">BO73*BO192</f>
        <v>0</v>
      </c>
      <c r="BP236" s="18">
        <f t="shared" si="369"/>
        <v>0</v>
      </c>
      <c r="BQ236" s="18">
        <f t="shared" si="369"/>
        <v>0</v>
      </c>
      <c r="BR236" s="18">
        <f t="shared" si="369"/>
        <v>0</v>
      </c>
      <c r="BS236" s="18">
        <f t="shared" si="369"/>
        <v>0</v>
      </c>
      <c r="BT236" s="18">
        <f t="shared" si="369"/>
        <v>0</v>
      </c>
      <c r="BU236" s="18">
        <f t="shared" si="369"/>
        <v>0</v>
      </c>
      <c r="BV236" s="18">
        <f t="shared" si="369"/>
        <v>0</v>
      </c>
      <c r="BW236" s="18">
        <f t="shared" si="369"/>
        <v>0</v>
      </c>
      <c r="BX236" s="18">
        <f t="shared" si="369"/>
        <v>0</v>
      </c>
      <c r="BY236" s="18">
        <f t="shared" si="369"/>
        <v>0</v>
      </c>
      <c r="BZ236" s="18">
        <f t="shared" si="369"/>
        <v>0</v>
      </c>
      <c r="CA236" s="18">
        <f t="shared" si="369"/>
        <v>0</v>
      </c>
      <c r="CB236" s="18">
        <f t="shared" si="369"/>
        <v>0</v>
      </c>
      <c r="CC236" s="17"/>
      <c r="CD236" s="17"/>
      <c r="CE236" s="17"/>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c r="DG236" s="5"/>
      <c r="DH236" s="5"/>
      <c r="DI236" s="5"/>
      <c r="DJ236" s="5"/>
      <c r="DK236" s="5"/>
      <c r="DL236" s="5"/>
      <c r="DM236" s="5"/>
      <c r="DN236" s="5"/>
      <c r="DO236" s="5"/>
      <c r="DP236" s="5"/>
      <c r="DQ236" s="5"/>
      <c r="DR236" s="5"/>
      <c r="DS236" s="5"/>
      <c r="DT236" s="5"/>
      <c r="DU236" s="5"/>
      <c r="DV236" s="5"/>
      <c r="DW236" s="5"/>
      <c r="DX236" s="5"/>
      <c r="DY236" s="5"/>
      <c r="DZ236" s="5"/>
      <c r="EA236" s="5"/>
      <c r="EB236" s="5"/>
      <c r="EC236" s="5"/>
      <c r="ED236" s="5"/>
      <c r="EE236" s="5"/>
      <c r="EF236" s="5"/>
      <c r="EG236" s="5"/>
      <c r="EH236" s="5"/>
      <c r="EI236" s="5"/>
      <c r="EJ236" s="5"/>
      <c r="EK236" s="5"/>
      <c r="EL236" s="5"/>
      <c r="EM236" s="5"/>
      <c r="EN236" s="5"/>
      <c r="EO236" s="5"/>
      <c r="EP236" s="5"/>
      <c r="EQ236" s="5"/>
      <c r="ER236" s="5"/>
      <c r="ES236" s="5"/>
      <c r="ET236" s="5"/>
      <c r="EU236" s="5"/>
      <c r="EV236" s="5"/>
      <c r="EW236" s="5"/>
      <c r="EX236" s="5"/>
      <c r="EY236" s="5"/>
      <c r="EZ236" s="5"/>
      <c r="FA236" s="5"/>
      <c r="FB236" s="5"/>
      <c r="FC236" s="5"/>
      <c r="FD236" s="5"/>
      <c r="FE236" s="5"/>
      <c r="FF236" s="5"/>
      <c r="FG236" s="5"/>
      <c r="FH236" s="5"/>
      <c r="FI236" s="5"/>
      <c r="FJ236" s="5"/>
      <c r="FK236" s="5"/>
      <c r="FL236" s="5"/>
      <c r="FM236" s="5"/>
      <c r="FN236" s="5"/>
      <c r="FO236" s="5"/>
      <c r="FP236" s="5"/>
      <c r="FQ236" s="5"/>
      <c r="FR236" s="5"/>
      <c r="FS236" s="5"/>
      <c r="FT236" s="5"/>
      <c r="FU236" s="5"/>
      <c r="FV236" s="5"/>
      <c r="FW236" s="5"/>
      <c r="FX236" s="5"/>
      <c r="FY236" s="5"/>
      <c r="FZ236" s="5"/>
      <c r="GA236" s="5"/>
      <c r="GB236" s="5"/>
      <c r="GC236" s="5"/>
      <c r="GD236" s="5"/>
      <c r="GE236" s="5"/>
      <c r="GF236" s="5"/>
      <c r="GG236" s="5"/>
      <c r="GH236" s="5"/>
      <c r="GI236" s="5"/>
      <c r="GJ236" s="5"/>
      <c r="GK236" s="5"/>
      <c r="GL236" s="5"/>
      <c r="GM236" s="5"/>
      <c r="GN236" s="5"/>
      <c r="GO236" s="5"/>
      <c r="GP236" s="5"/>
      <c r="GQ236" s="5"/>
      <c r="GR236" s="5"/>
      <c r="GS236" s="5"/>
      <c r="GT236" s="5"/>
      <c r="GU236" s="5"/>
      <c r="GV236" s="5"/>
      <c r="GW236" s="5"/>
      <c r="GX236" s="5"/>
      <c r="GY236" s="5"/>
      <c r="GZ236" s="5"/>
      <c r="HA236" s="5"/>
      <c r="HB236" s="5"/>
      <c r="HC236" s="5"/>
      <c r="HD236" s="5"/>
      <c r="HE236" s="5"/>
      <c r="HF236" s="5"/>
      <c r="HG236" s="5"/>
      <c r="HH236" s="5"/>
      <c r="HI236" s="5"/>
      <c r="HJ236" s="5"/>
      <c r="HK236" s="5"/>
      <c r="HL236" s="5"/>
      <c r="HM236" s="5"/>
      <c r="HN236" s="5"/>
      <c r="HO236" s="5"/>
      <c r="HP236" s="5"/>
      <c r="HQ236" s="5"/>
      <c r="HR236" s="5"/>
      <c r="HS236" s="5"/>
      <c r="HT236" s="5"/>
      <c r="HU236" s="5"/>
      <c r="HV236" s="5"/>
      <c r="HW236" s="5"/>
      <c r="HX236" s="5"/>
      <c r="HY236" s="5"/>
      <c r="HZ236" s="5"/>
      <c r="IA236" s="5"/>
      <c r="IB236" s="5"/>
      <c r="IC236" s="5"/>
      <c r="ID236" s="5"/>
      <c r="IE236" s="5"/>
      <c r="IF236" s="5"/>
      <c r="IG236" s="5"/>
      <c r="IH236" s="5"/>
      <c r="II236" s="5"/>
      <c r="IJ236" s="5"/>
      <c r="IK236" s="5"/>
      <c r="IL236" s="5"/>
      <c r="IM236" s="5"/>
      <c r="IN236" s="5"/>
      <c r="IO236" s="5"/>
      <c r="IP236" s="5"/>
      <c r="IQ236" s="5"/>
      <c r="IR236" s="5"/>
      <c r="IS236" s="5"/>
      <c r="IT236" s="5"/>
      <c r="IU236" s="5"/>
      <c r="IV236" s="5"/>
    </row>
    <row r="237" spans="1:256">
      <c r="A237" s="18" t="str">
        <f>A75</f>
        <v>Bond 23</v>
      </c>
      <c r="B237" s="18">
        <f>B75*B197</f>
        <v>0</v>
      </c>
      <c r="C237" s="18">
        <f t="shared" ref="C237:BN237" si="370">C75*C197</f>
        <v>0</v>
      </c>
      <c r="D237" s="18">
        <f t="shared" si="370"/>
        <v>0</v>
      </c>
      <c r="E237" s="18">
        <f t="shared" si="370"/>
        <v>0</v>
      </c>
      <c r="F237" s="18">
        <f t="shared" si="370"/>
        <v>0</v>
      </c>
      <c r="G237" s="18">
        <f t="shared" si="370"/>
        <v>0</v>
      </c>
      <c r="H237" s="18">
        <f t="shared" si="370"/>
        <v>0</v>
      </c>
      <c r="I237" s="18">
        <f t="shared" si="370"/>
        <v>0</v>
      </c>
      <c r="J237" s="18">
        <f t="shared" si="370"/>
        <v>0</v>
      </c>
      <c r="K237" s="18">
        <f t="shared" si="370"/>
        <v>0</v>
      </c>
      <c r="L237" s="18">
        <f t="shared" si="370"/>
        <v>0</v>
      </c>
      <c r="M237" s="18">
        <f t="shared" si="370"/>
        <v>0</v>
      </c>
      <c r="N237" s="18">
        <f t="shared" si="370"/>
        <v>0</v>
      </c>
      <c r="O237" s="18">
        <f t="shared" si="370"/>
        <v>0</v>
      </c>
      <c r="P237" s="18">
        <f t="shared" si="370"/>
        <v>0</v>
      </c>
      <c r="Q237" s="18">
        <f t="shared" si="370"/>
        <v>0</v>
      </c>
      <c r="R237" s="18">
        <f t="shared" si="370"/>
        <v>0</v>
      </c>
      <c r="S237" s="18">
        <f t="shared" si="370"/>
        <v>0</v>
      </c>
      <c r="T237" s="18">
        <f t="shared" si="370"/>
        <v>0</v>
      </c>
      <c r="U237" s="18">
        <f t="shared" si="370"/>
        <v>0</v>
      </c>
      <c r="V237" s="18">
        <f t="shared" si="370"/>
        <v>0</v>
      </c>
      <c r="W237" s="18">
        <f t="shared" si="370"/>
        <v>0</v>
      </c>
      <c r="X237" s="18">
        <f t="shared" si="370"/>
        <v>0</v>
      </c>
      <c r="Y237" s="18">
        <f t="shared" si="370"/>
        <v>0</v>
      </c>
      <c r="Z237" s="18">
        <f t="shared" si="370"/>
        <v>0</v>
      </c>
      <c r="AA237" s="18">
        <f t="shared" si="370"/>
        <v>0</v>
      </c>
      <c r="AB237" s="18">
        <f t="shared" si="370"/>
        <v>0</v>
      </c>
      <c r="AC237" s="18">
        <f t="shared" si="370"/>
        <v>0</v>
      </c>
      <c r="AD237" s="18">
        <f t="shared" si="370"/>
        <v>0</v>
      </c>
      <c r="AE237" s="18">
        <f t="shared" si="370"/>
        <v>0</v>
      </c>
      <c r="AF237" s="18">
        <f t="shared" si="370"/>
        <v>0</v>
      </c>
      <c r="AG237" s="18">
        <f t="shared" si="370"/>
        <v>0</v>
      </c>
      <c r="AH237" s="18">
        <f t="shared" si="370"/>
        <v>0</v>
      </c>
      <c r="AI237" s="18">
        <f t="shared" si="370"/>
        <v>0</v>
      </c>
      <c r="AJ237" s="18">
        <f t="shared" si="370"/>
        <v>0</v>
      </c>
      <c r="AK237" s="18">
        <f t="shared" si="370"/>
        <v>0</v>
      </c>
      <c r="AL237" s="18">
        <f t="shared" si="370"/>
        <v>0</v>
      </c>
      <c r="AM237" s="18">
        <f t="shared" si="370"/>
        <v>0</v>
      </c>
      <c r="AN237" s="18">
        <f t="shared" si="370"/>
        <v>0</v>
      </c>
      <c r="AO237" s="18">
        <f t="shared" si="370"/>
        <v>0</v>
      </c>
      <c r="AP237" s="18">
        <f t="shared" si="370"/>
        <v>0</v>
      </c>
      <c r="AQ237" s="18">
        <f t="shared" si="370"/>
        <v>0</v>
      </c>
      <c r="AR237" s="18">
        <f t="shared" si="370"/>
        <v>0</v>
      </c>
      <c r="AS237" s="18">
        <f t="shared" si="370"/>
        <v>0</v>
      </c>
      <c r="AT237" s="18">
        <f t="shared" si="370"/>
        <v>0</v>
      </c>
      <c r="AU237" s="18">
        <f t="shared" si="370"/>
        <v>0</v>
      </c>
      <c r="AV237" s="18">
        <f t="shared" si="370"/>
        <v>0</v>
      </c>
      <c r="AW237" s="18">
        <f t="shared" si="370"/>
        <v>0</v>
      </c>
      <c r="AX237" s="18">
        <f t="shared" si="370"/>
        <v>0</v>
      </c>
      <c r="AY237" s="18">
        <f t="shared" si="370"/>
        <v>0</v>
      </c>
      <c r="AZ237" s="18">
        <f t="shared" si="370"/>
        <v>0</v>
      </c>
      <c r="BA237" s="18">
        <f t="shared" si="370"/>
        <v>0</v>
      </c>
      <c r="BB237" s="18">
        <f t="shared" si="370"/>
        <v>0</v>
      </c>
      <c r="BC237" s="18">
        <f t="shared" si="370"/>
        <v>0</v>
      </c>
      <c r="BD237" s="18">
        <f t="shared" si="370"/>
        <v>0</v>
      </c>
      <c r="BE237" s="18">
        <f t="shared" si="370"/>
        <v>0</v>
      </c>
      <c r="BF237" s="18">
        <f t="shared" si="370"/>
        <v>0</v>
      </c>
      <c r="BG237" s="18">
        <f t="shared" si="370"/>
        <v>0</v>
      </c>
      <c r="BH237" s="18">
        <f t="shared" si="370"/>
        <v>0</v>
      </c>
      <c r="BI237" s="18">
        <f t="shared" si="370"/>
        <v>0</v>
      </c>
      <c r="BJ237" s="18">
        <f t="shared" si="370"/>
        <v>0</v>
      </c>
      <c r="BK237" s="18">
        <f t="shared" si="370"/>
        <v>0</v>
      </c>
      <c r="BL237" s="18">
        <f t="shared" si="370"/>
        <v>0</v>
      </c>
      <c r="BM237" s="18">
        <f t="shared" si="370"/>
        <v>0</v>
      </c>
      <c r="BN237" s="18">
        <f t="shared" si="370"/>
        <v>0</v>
      </c>
      <c r="BO237" s="18">
        <f t="shared" ref="BO237:CB237" si="371">BO75*BO197</f>
        <v>0</v>
      </c>
      <c r="BP237" s="18">
        <f t="shared" si="371"/>
        <v>0</v>
      </c>
      <c r="BQ237" s="18">
        <f t="shared" si="371"/>
        <v>0</v>
      </c>
      <c r="BR237" s="18">
        <f t="shared" si="371"/>
        <v>0</v>
      </c>
      <c r="BS237" s="18">
        <f t="shared" si="371"/>
        <v>0</v>
      </c>
      <c r="BT237" s="18">
        <f t="shared" si="371"/>
        <v>0</v>
      </c>
      <c r="BU237" s="18">
        <f t="shared" si="371"/>
        <v>0</v>
      </c>
      <c r="BV237" s="18">
        <f t="shared" si="371"/>
        <v>0</v>
      </c>
      <c r="BW237" s="18">
        <f t="shared" si="371"/>
        <v>0</v>
      </c>
      <c r="BX237" s="18">
        <f t="shared" si="371"/>
        <v>0</v>
      </c>
      <c r="BY237" s="18">
        <f t="shared" si="371"/>
        <v>0</v>
      </c>
      <c r="BZ237" s="18">
        <f t="shared" si="371"/>
        <v>0</v>
      </c>
      <c r="CA237" s="18">
        <f t="shared" si="371"/>
        <v>0</v>
      </c>
      <c r="CB237" s="18">
        <f t="shared" si="371"/>
        <v>0</v>
      </c>
      <c r="CC237" s="17"/>
      <c r="CD237" s="17"/>
      <c r="CE237" s="17"/>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c r="DG237" s="5"/>
      <c r="DH237" s="5"/>
      <c r="DI237" s="5"/>
      <c r="DJ237" s="5"/>
      <c r="DK237" s="5"/>
      <c r="DL237" s="5"/>
      <c r="DM237" s="5"/>
      <c r="DN237" s="5"/>
      <c r="DO237" s="5"/>
      <c r="DP237" s="5"/>
      <c r="DQ237" s="5"/>
      <c r="DR237" s="5"/>
      <c r="DS237" s="5"/>
      <c r="DT237" s="5"/>
      <c r="DU237" s="5"/>
      <c r="DV237" s="5"/>
      <c r="DW237" s="5"/>
      <c r="DX237" s="5"/>
      <c r="DY237" s="5"/>
      <c r="DZ237" s="5"/>
      <c r="EA237" s="5"/>
      <c r="EB237" s="5"/>
      <c r="EC237" s="5"/>
      <c r="ED237" s="5"/>
      <c r="EE237" s="5"/>
      <c r="EF237" s="5"/>
      <c r="EG237" s="5"/>
      <c r="EH237" s="5"/>
      <c r="EI237" s="5"/>
      <c r="EJ237" s="5"/>
      <c r="EK237" s="5"/>
      <c r="EL237" s="5"/>
      <c r="EM237" s="5"/>
      <c r="EN237" s="5"/>
      <c r="EO237" s="5"/>
      <c r="EP237" s="5"/>
      <c r="EQ237" s="5"/>
      <c r="ER237" s="5"/>
      <c r="ES237" s="5"/>
      <c r="ET237" s="5"/>
      <c r="EU237" s="5"/>
      <c r="EV237" s="5"/>
      <c r="EW237" s="5"/>
      <c r="EX237" s="5"/>
      <c r="EY237" s="5"/>
      <c r="EZ237" s="5"/>
      <c r="FA237" s="5"/>
      <c r="FB237" s="5"/>
      <c r="FC237" s="5"/>
      <c r="FD237" s="5"/>
      <c r="FE237" s="5"/>
      <c r="FF237" s="5"/>
      <c r="FG237" s="5"/>
      <c r="FH237" s="5"/>
      <c r="FI237" s="5"/>
      <c r="FJ237" s="5"/>
      <c r="FK237" s="5"/>
      <c r="FL237" s="5"/>
      <c r="FM237" s="5"/>
      <c r="FN237" s="5"/>
      <c r="FO237" s="5"/>
      <c r="FP237" s="5"/>
      <c r="FQ237" s="5"/>
      <c r="FR237" s="5"/>
      <c r="FS237" s="5"/>
      <c r="FT237" s="5"/>
      <c r="FU237" s="5"/>
      <c r="FV237" s="5"/>
      <c r="FW237" s="5"/>
      <c r="FX237" s="5"/>
      <c r="FY237" s="5"/>
      <c r="FZ237" s="5"/>
      <c r="GA237" s="5"/>
      <c r="GB237" s="5"/>
      <c r="GC237" s="5"/>
      <c r="GD237" s="5"/>
      <c r="GE237" s="5"/>
      <c r="GF237" s="5"/>
      <c r="GG237" s="5"/>
      <c r="GH237" s="5"/>
      <c r="GI237" s="5"/>
      <c r="GJ237" s="5"/>
      <c r="GK237" s="5"/>
      <c r="GL237" s="5"/>
      <c r="GM237" s="5"/>
      <c r="GN237" s="5"/>
      <c r="GO237" s="5"/>
      <c r="GP237" s="5"/>
      <c r="GQ237" s="5"/>
      <c r="GR237" s="5"/>
      <c r="GS237" s="5"/>
      <c r="GT237" s="5"/>
      <c r="GU237" s="5"/>
      <c r="GV237" s="5"/>
      <c r="GW237" s="5"/>
      <c r="GX237" s="5"/>
      <c r="GY237" s="5"/>
      <c r="GZ237" s="5"/>
      <c r="HA237" s="5"/>
      <c r="HB237" s="5"/>
      <c r="HC237" s="5"/>
      <c r="HD237" s="5"/>
      <c r="HE237" s="5"/>
      <c r="HF237" s="5"/>
      <c r="HG237" s="5"/>
      <c r="HH237" s="5"/>
      <c r="HI237" s="5"/>
      <c r="HJ237" s="5"/>
      <c r="HK237" s="5"/>
      <c r="HL237" s="5"/>
      <c r="HM237" s="5"/>
      <c r="HN237" s="5"/>
      <c r="HO237" s="5"/>
      <c r="HP237" s="5"/>
      <c r="HQ237" s="5"/>
      <c r="HR237" s="5"/>
      <c r="HS237" s="5"/>
      <c r="HT237" s="5"/>
      <c r="HU237" s="5"/>
      <c r="HV237" s="5"/>
      <c r="HW237" s="5"/>
      <c r="HX237" s="5"/>
      <c r="HY237" s="5"/>
      <c r="HZ237" s="5"/>
      <c r="IA237" s="5"/>
      <c r="IB237" s="5"/>
      <c r="IC237" s="5"/>
      <c r="ID237" s="5"/>
      <c r="IE237" s="5"/>
      <c r="IF237" s="5"/>
      <c r="IG237" s="5"/>
      <c r="IH237" s="5"/>
      <c r="II237" s="5"/>
      <c r="IJ237" s="5"/>
      <c r="IK237" s="5"/>
      <c r="IL237" s="5"/>
      <c r="IM237" s="5"/>
      <c r="IN237" s="5"/>
      <c r="IO237" s="5"/>
      <c r="IP237" s="5"/>
      <c r="IQ237" s="5"/>
      <c r="IR237" s="5"/>
      <c r="IS237" s="5"/>
      <c r="IT237" s="5"/>
      <c r="IU237" s="5"/>
      <c r="IV237" s="5"/>
    </row>
    <row r="238" spans="1:256">
      <c r="A238" s="18" t="str">
        <f>A77</f>
        <v>Bond 24</v>
      </c>
      <c r="B238" s="18">
        <f>B77*B202</f>
        <v>0</v>
      </c>
      <c r="C238" s="18">
        <f t="shared" ref="C238:BN238" si="372">C77*C202</f>
        <v>0</v>
      </c>
      <c r="D238" s="18">
        <f t="shared" si="372"/>
        <v>0</v>
      </c>
      <c r="E238" s="18">
        <f t="shared" si="372"/>
        <v>0</v>
      </c>
      <c r="F238" s="18">
        <f t="shared" si="372"/>
        <v>0</v>
      </c>
      <c r="G238" s="18">
        <f t="shared" si="372"/>
        <v>0</v>
      </c>
      <c r="H238" s="18">
        <f t="shared" si="372"/>
        <v>0</v>
      </c>
      <c r="I238" s="18">
        <f t="shared" si="372"/>
        <v>0</v>
      </c>
      <c r="J238" s="18">
        <f t="shared" si="372"/>
        <v>0</v>
      </c>
      <c r="K238" s="18">
        <f t="shared" si="372"/>
        <v>0</v>
      </c>
      <c r="L238" s="18">
        <f t="shared" si="372"/>
        <v>0</v>
      </c>
      <c r="M238" s="18">
        <f t="shared" si="372"/>
        <v>0</v>
      </c>
      <c r="N238" s="18">
        <f t="shared" si="372"/>
        <v>0</v>
      </c>
      <c r="O238" s="18">
        <f t="shared" si="372"/>
        <v>0</v>
      </c>
      <c r="P238" s="18">
        <f t="shared" si="372"/>
        <v>0</v>
      </c>
      <c r="Q238" s="18">
        <f t="shared" si="372"/>
        <v>0</v>
      </c>
      <c r="R238" s="18">
        <f t="shared" si="372"/>
        <v>0</v>
      </c>
      <c r="S238" s="18">
        <f t="shared" si="372"/>
        <v>0</v>
      </c>
      <c r="T238" s="18">
        <f t="shared" si="372"/>
        <v>0</v>
      </c>
      <c r="U238" s="18">
        <f t="shared" si="372"/>
        <v>0</v>
      </c>
      <c r="V238" s="18">
        <f t="shared" si="372"/>
        <v>0</v>
      </c>
      <c r="W238" s="18">
        <f t="shared" si="372"/>
        <v>0</v>
      </c>
      <c r="X238" s="18">
        <f t="shared" si="372"/>
        <v>0</v>
      </c>
      <c r="Y238" s="18">
        <f t="shared" si="372"/>
        <v>0</v>
      </c>
      <c r="Z238" s="18">
        <f t="shared" si="372"/>
        <v>0</v>
      </c>
      <c r="AA238" s="18">
        <f t="shared" si="372"/>
        <v>0</v>
      </c>
      <c r="AB238" s="18">
        <f t="shared" si="372"/>
        <v>0</v>
      </c>
      <c r="AC238" s="18">
        <f t="shared" si="372"/>
        <v>0</v>
      </c>
      <c r="AD238" s="18">
        <f t="shared" si="372"/>
        <v>0</v>
      </c>
      <c r="AE238" s="18">
        <f t="shared" si="372"/>
        <v>0</v>
      </c>
      <c r="AF238" s="18">
        <f t="shared" si="372"/>
        <v>0</v>
      </c>
      <c r="AG238" s="18">
        <f t="shared" si="372"/>
        <v>0</v>
      </c>
      <c r="AH238" s="18">
        <f t="shared" si="372"/>
        <v>0</v>
      </c>
      <c r="AI238" s="18">
        <f t="shared" si="372"/>
        <v>0</v>
      </c>
      <c r="AJ238" s="18">
        <f t="shared" si="372"/>
        <v>0</v>
      </c>
      <c r="AK238" s="18">
        <f t="shared" si="372"/>
        <v>0</v>
      </c>
      <c r="AL238" s="18">
        <f t="shared" si="372"/>
        <v>0</v>
      </c>
      <c r="AM238" s="18">
        <f t="shared" si="372"/>
        <v>0</v>
      </c>
      <c r="AN238" s="18">
        <f t="shared" si="372"/>
        <v>0</v>
      </c>
      <c r="AO238" s="18">
        <f t="shared" si="372"/>
        <v>0</v>
      </c>
      <c r="AP238" s="18">
        <f t="shared" si="372"/>
        <v>0</v>
      </c>
      <c r="AQ238" s="18">
        <f t="shared" si="372"/>
        <v>0</v>
      </c>
      <c r="AR238" s="18">
        <f t="shared" si="372"/>
        <v>0</v>
      </c>
      <c r="AS238" s="18">
        <f t="shared" si="372"/>
        <v>0</v>
      </c>
      <c r="AT238" s="18">
        <f t="shared" si="372"/>
        <v>0</v>
      </c>
      <c r="AU238" s="18">
        <f t="shared" si="372"/>
        <v>0</v>
      </c>
      <c r="AV238" s="18">
        <f t="shared" si="372"/>
        <v>0</v>
      </c>
      <c r="AW238" s="18">
        <f t="shared" si="372"/>
        <v>0</v>
      </c>
      <c r="AX238" s="18">
        <f t="shared" si="372"/>
        <v>0</v>
      </c>
      <c r="AY238" s="18">
        <f t="shared" si="372"/>
        <v>0</v>
      </c>
      <c r="AZ238" s="18">
        <f t="shared" si="372"/>
        <v>0</v>
      </c>
      <c r="BA238" s="18">
        <f t="shared" si="372"/>
        <v>0</v>
      </c>
      <c r="BB238" s="18">
        <f t="shared" si="372"/>
        <v>0</v>
      </c>
      <c r="BC238" s="18">
        <f t="shared" si="372"/>
        <v>0</v>
      </c>
      <c r="BD238" s="18">
        <f t="shared" si="372"/>
        <v>0</v>
      </c>
      <c r="BE238" s="18">
        <f t="shared" si="372"/>
        <v>0</v>
      </c>
      <c r="BF238" s="18">
        <f t="shared" si="372"/>
        <v>0</v>
      </c>
      <c r="BG238" s="18">
        <f t="shared" si="372"/>
        <v>0</v>
      </c>
      <c r="BH238" s="18">
        <f t="shared" si="372"/>
        <v>0</v>
      </c>
      <c r="BI238" s="18">
        <f t="shared" si="372"/>
        <v>0</v>
      </c>
      <c r="BJ238" s="18">
        <f t="shared" si="372"/>
        <v>0</v>
      </c>
      <c r="BK238" s="18">
        <f t="shared" si="372"/>
        <v>0</v>
      </c>
      <c r="BL238" s="18">
        <f t="shared" si="372"/>
        <v>0</v>
      </c>
      <c r="BM238" s="18">
        <f t="shared" si="372"/>
        <v>0</v>
      </c>
      <c r="BN238" s="18">
        <f t="shared" si="372"/>
        <v>0</v>
      </c>
      <c r="BO238" s="18">
        <f t="shared" ref="BO238:CB238" si="373">BO77*BO202</f>
        <v>0</v>
      </c>
      <c r="BP238" s="18">
        <f t="shared" si="373"/>
        <v>0</v>
      </c>
      <c r="BQ238" s="18">
        <f t="shared" si="373"/>
        <v>0</v>
      </c>
      <c r="BR238" s="18">
        <f t="shared" si="373"/>
        <v>0</v>
      </c>
      <c r="BS238" s="18">
        <f t="shared" si="373"/>
        <v>0</v>
      </c>
      <c r="BT238" s="18">
        <f t="shared" si="373"/>
        <v>0</v>
      </c>
      <c r="BU238" s="18">
        <f t="shared" si="373"/>
        <v>0</v>
      </c>
      <c r="BV238" s="18">
        <f t="shared" si="373"/>
        <v>0</v>
      </c>
      <c r="BW238" s="18">
        <f t="shared" si="373"/>
        <v>0</v>
      </c>
      <c r="BX238" s="18">
        <f t="shared" si="373"/>
        <v>0</v>
      </c>
      <c r="BY238" s="18">
        <f t="shared" si="373"/>
        <v>0</v>
      </c>
      <c r="BZ238" s="18">
        <f t="shared" si="373"/>
        <v>0</v>
      </c>
      <c r="CA238" s="18">
        <f t="shared" si="373"/>
        <v>0</v>
      </c>
      <c r="CB238" s="18">
        <f t="shared" si="373"/>
        <v>0</v>
      </c>
      <c r="CC238" s="17"/>
      <c r="CD238" s="17"/>
      <c r="CE238" s="17"/>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c r="DG238" s="5"/>
      <c r="DH238" s="5"/>
      <c r="DI238" s="5"/>
      <c r="DJ238" s="5"/>
      <c r="DK238" s="5"/>
      <c r="DL238" s="5"/>
      <c r="DM238" s="5"/>
      <c r="DN238" s="5"/>
      <c r="DO238" s="5"/>
      <c r="DP238" s="5"/>
      <c r="DQ238" s="5"/>
      <c r="DR238" s="5"/>
      <c r="DS238" s="5"/>
      <c r="DT238" s="5"/>
      <c r="DU238" s="5"/>
      <c r="DV238" s="5"/>
      <c r="DW238" s="5"/>
      <c r="DX238" s="5"/>
      <c r="DY238" s="5"/>
      <c r="DZ238" s="5"/>
      <c r="EA238" s="5"/>
      <c r="EB238" s="5"/>
      <c r="EC238" s="5"/>
      <c r="ED238" s="5"/>
      <c r="EE238" s="5"/>
      <c r="EF238" s="5"/>
      <c r="EG238" s="5"/>
      <c r="EH238" s="5"/>
      <c r="EI238" s="5"/>
      <c r="EJ238" s="5"/>
      <c r="EK238" s="5"/>
      <c r="EL238" s="5"/>
      <c r="EM238" s="5"/>
      <c r="EN238" s="5"/>
      <c r="EO238" s="5"/>
      <c r="EP238" s="5"/>
      <c r="EQ238" s="5"/>
      <c r="ER238" s="5"/>
      <c r="ES238" s="5"/>
      <c r="ET238" s="5"/>
      <c r="EU238" s="5"/>
      <c r="EV238" s="5"/>
      <c r="EW238" s="5"/>
      <c r="EX238" s="5"/>
      <c r="EY238" s="5"/>
      <c r="EZ238" s="5"/>
      <c r="FA238" s="5"/>
      <c r="FB238" s="5"/>
      <c r="FC238" s="5"/>
      <c r="FD238" s="5"/>
      <c r="FE238" s="5"/>
      <c r="FF238" s="5"/>
      <c r="FG238" s="5"/>
      <c r="FH238" s="5"/>
      <c r="FI238" s="5"/>
      <c r="FJ238" s="5"/>
      <c r="FK238" s="5"/>
      <c r="FL238" s="5"/>
      <c r="FM238" s="5"/>
      <c r="FN238" s="5"/>
      <c r="FO238" s="5"/>
      <c r="FP238" s="5"/>
      <c r="FQ238" s="5"/>
      <c r="FR238" s="5"/>
      <c r="FS238" s="5"/>
      <c r="FT238" s="5"/>
      <c r="FU238" s="5"/>
      <c r="FV238" s="5"/>
      <c r="FW238" s="5"/>
      <c r="FX238" s="5"/>
      <c r="FY238" s="5"/>
      <c r="FZ238" s="5"/>
      <c r="GA238" s="5"/>
      <c r="GB238" s="5"/>
      <c r="GC238" s="5"/>
      <c r="GD238" s="5"/>
      <c r="GE238" s="5"/>
      <c r="GF238" s="5"/>
      <c r="GG238" s="5"/>
      <c r="GH238" s="5"/>
      <c r="GI238" s="5"/>
      <c r="GJ238" s="5"/>
      <c r="GK238" s="5"/>
      <c r="GL238" s="5"/>
      <c r="GM238" s="5"/>
      <c r="GN238" s="5"/>
      <c r="GO238" s="5"/>
      <c r="GP238" s="5"/>
      <c r="GQ238" s="5"/>
      <c r="GR238" s="5"/>
      <c r="GS238" s="5"/>
      <c r="GT238" s="5"/>
      <c r="GU238" s="5"/>
      <c r="GV238" s="5"/>
      <c r="GW238" s="5"/>
      <c r="GX238" s="5"/>
      <c r="GY238" s="5"/>
      <c r="GZ238" s="5"/>
      <c r="HA238" s="5"/>
      <c r="HB238" s="5"/>
      <c r="HC238" s="5"/>
      <c r="HD238" s="5"/>
      <c r="HE238" s="5"/>
      <c r="HF238" s="5"/>
      <c r="HG238" s="5"/>
      <c r="HH238" s="5"/>
      <c r="HI238" s="5"/>
      <c r="HJ238" s="5"/>
      <c r="HK238" s="5"/>
      <c r="HL238" s="5"/>
      <c r="HM238" s="5"/>
      <c r="HN238" s="5"/>
      <c r="HO238" s="5"/>
      <c r="HP238" s="5"/>
      <c r="HQ238" s="5"/>
      <c r="HR238" s="5"/>
      <c r="HS238" s="5"/>
      <c r="HT238" s="5"/>
      <c r="HU238" s="5"/>
      <c r="HV238" s="5"/>
      <c r="HW238" s="5"/>
      <c r="HX238" s="5"/>
      <c r="HY238" s="5"/>
      <c r="HZ238" s="5"/>
      <c r="IA238" s="5"/>
      <c r="IB238" s="5"/>
      <c r="IC238" s="5"/>
      <c r="ID238" s="5"/>
      <c r="IE238" s="5"/>
      <c r="IF238" s="5"/>
      <c r="IG238" s="5"/>
      <c r="IH238" s="5"/>
      <c r="II238" s="5"/>
      <c r="IJ238" s="5"/>
      <c r="IK238" s="5"/>
      <c r="IL238" s="5"/>
      <c r="IM238" s="5"/>
      <c r="IN238" s="5"/>
      <c r="IO238" s="5"/>
      <c r="IP238" s="5"/>
      <c r="IQ238" s="5"/>
      <c r="IR238" s="5"/>
      <c r="IS238" s="5"/>
      <c r="IT238" s="5"/>
      <c r="IU238" s="5"/>
      <c r="IV238" s="5"/>
    </row>
    <row r="239" spans="1:256">
      <c r="A239" s="18" t="str">
        <f>A79</f>
        <v>Bond 25</v>
      </c>
      <c r="B239" s="18">
        <f>B79*B207</f>
        <v>0</v>
      </c>
      <c r="C239" s="18">
        <f t="shared" ref="C239:BN239" si="374">C79*C207</f>
        <v>0</v>
      </c>
      <c r="D239" s="18">
        <f t="shared" si="374"/>
        <v>0</v>
      </c>
      <c r="E239" s="18">
        <f t="shared" si="374"/>
        <v>0</v>
      </c>
      <c r="F239" s="18">
        <f t="shared" si="374"/>
        <v>0</v>
      </c>
      <c r="G239" s="18">
        <f t="shared" si="374"/>
        <v>0</v>
      </c>
      <c r="H239" s="18">
        <f t="shared" si="374"/>
        <v>0</v>
      </c>
      <c r="I239" s="18">
        <f t="shared" si="374"/>
        <v>0</v>
      </c>
      <c r="J239" s="18">
        <f t="shared" si="374"/>
        <v>0</v>
      </c>
      <c r="K239" s="18">
        <f t="shared" si="374"/>
        <v>0</v>
      </c>
      <c r="L239" s="18">
        <f t="shared" si="374"/>
        <v>0</v>
      </c>
      <c r="M239" s="18">
        <f t="shared" si="374"/>
        <v>0</v>
      </c>
      <c r="N239" s="18">
        <f t="shared" si="374"/>
        <v>0</v>
      </c>
      <c r="O239" s="18">
        <f t="shared" si="374"/>
        <v>0</v>
      </c>
      <c r="P239" s="18">
        <f t="shared" si="374"/>
        <v>0</v>
      </c>
      <c r="Q239" s="18">
        <f t="shared" si="374"/>
        <v>0</v>
      </c>
      <c r="R239" s="18">
        <f t="shared" si="374"/>
        <v>0</v>
      </c>
      <c r="S239" s="18">
        <f t="shared" si="374"/>
        <v>0</v>
      </c>
      <c r="T239" s="18">
        <f t="shared" si="374"/>
        <v>0</v>
      </c>
      <c r="U239" s="18">
        <f t="shared" si="374"/>
        <v>0</v>
      </c>
      <c r="V239" s="18">
        <f t="shared" si="374"/>
        <v>0</v>
      </c>
      <c r="W239" s="18">
        <f t="shared" si="374"/>
        <v>0</v>
      </c>
      <c r="X239" s="18">
        <f t="shared" si="374"/>
        <v>0</v>
      </c>
      <c r="Y239" s="18">
        <f t="shared" si="374"/>
        <v>0</v>
      </c>
      <c r="Z239" s="18">
        <f t="shared" si="374"/>
        <v>0</v>
      </c>
      <c r="AA239" s="18">
        <f t="shared" si="374"/>
        <v>0</v>
      </c>
      <c r="AB239" s="18">
        <f t="shared" si="374"/>
        <v>0</v>
      </c>
      <c r="AC239" s="18">
        <f t="shared" si="374"/>
        <v>0</v>
      </c>
      <c r="AD239" s="18">
        <f t="shared" si="374"/>
        <v>0</v>
      </c>
      <c r="AE239" s="18">
        <f t="shared" si="374"/>
        <v>0</v>
      </c>
      <c r="AF239" s="18">
        <f t="shared" si="374"/>
        <v>0</v>
      </c>
      <c r="AG239" s="18">
        <f t="shared" si="374"/>
        <v>0</v>
      </c>
      <c r="AH239" s="18">
        <f t="shared" si="374"/>
        <v>0</v>
      </c>
      <c r="AI239" s="18">
        <f t="shared" si="374"/>
        <v>0</v>
      </c>
      <c r="AJ239" s="18">
        <f t="shared" si="374"/>
        <v>0</v>
      </c>
      <c r="AK239" s="18">
        <f t="shared" si="374"/>
        <v>0</v>
      </c>
      <c r="AL239" s="18">
        <f t="shared" si="374"/>
        <v>0</v>
      </c>
      <c r="AM239" s="18">
        <f t="shared" si="374"/>
        <v>0</v>
      </c>
      <c r="AN239" s="18">
        <f t="shared" si="374"/>
        <v>0</v>
      </c>
      <c r="AO239" s="18">
        <f t="shared" si="374"/>
        <v>0</v>
      </c>
      <c r="AP239" s="18">
        <f t="shared" si="374"/>
        <v>0</v>
      </c>
      <c r="AQ239" s="18">
        <f t="shared" si="374"/>
        <v>0</v>
      </c>
      <c r="AR239" s="18">
        <f t="shared" si="374"/>
        <v>0</v>
      </c>
      <c r="AS239" s="18">
        <f t="shared" si="374"/>
        <v>0</v>
      </c>
      <c r="AT239" s="18">
        <f t="shared" si="374"/>
        <v>0</v>
      </c>
      <c r="AU239" s="18">
        <f t="shared" si="374"/>
        <v>0</v>
      </c>
      <c r="AV239" s="18">
        <f t="shared" si="374"/>
        <v>0</v>
      </c>
      <c r="AW239" s="18">
        <f t="shared" si="374"/>
        <v>0</v>
      </c>
      <c r="AX239" s="18">
        <f t="shared" si="374"/>
        <v>0</v>
      </c>
      <c r="AY239" s="18">
        <f t="shared" si="374"/>
        <v>0</v>
      </c>
      <c r="AZ239" s="18">
        <f t="shared" si="374"/>
        <v>0</v>
      </c>
      <c r="BA239" s="18">
        <f t="shared" si="374"/>
        <v>0</v>
      </c>
      <c r="BB239" s="18">
        <f t="shared" si="374"/>
        <v>0</v>
      </c>
      <c r="BC239" s="18">
        <f t="shared" si="374"/>
        <v>0</v>
      </c>
      <c r="BD239" s="18">
        <f t="shared" si="374"/>
        <v>0</v>
      </c>
      <c r="BE239" s="18">
        <f t="shared" si="374"/>
        <v>0</v>
      </c>
      <c r="BF239" s="18">
        <f t="shared" si="374"/>
        <v>0</v>
      </c>
      <c r="BG239" s="18">
        <f t="shared" si="374"/>
        <v>0</v>
      </c>
      <c r="BH239" s="18">
        <f t="shared" si="374"/>
        <v>0</v>
      </c>
      <c r="BI239" s="18">
        <f t="shared" si="374"/>
        <v>0</v>
      </c>
      <c r="BJ239" s="18">
        <f t="shared" si="374"/>
        <v>0</v>
      </c>
      <c r="BK239" s="18">
        <f t="shared" si="374"/>
        <v>0</v>
      </c>
      <c r="BL239" s="18">
        <f t="shared" si="374"/>
        <v>0</v>
      </c>
      <c r="BM239" s="18">
        <f t="shared" si="374"/>
        <v>0</v>
      </c>
      <c r="BN239" s="18">
        <f t="shared" si="374"/>
        <v>0</v>
      </c>
      <c r="BO239" s="18">
        <f t="shared" ref="BO239:CB239" si="375">BO79*BO207</f>
        <v>0</v>
      </c>
      <c r="BP239" s="18">
        <f t="shared" si="375"/>
        <v>0</v>
      </c>
      <c r="BQ239" s="18">
        <f t="shared" si="375"/>
        <v>0</v>
      </c>
      <c r="BR239" s="18">
        <f t="shared" si="375"/>
        <v>0</v>
      </c>
      <c r="BS239" s="18">
        <f t="shared" si="375"/>
        <v>0</v>
      </c>
      <c r="BT239" s="18">
        <f t="shared" si="375"/>
        <v>0</v>
      </c>
      <c r="BU239" s="18">
        <f t="shared" si="375"/>
        <v>0</v>
      </c>
      <c r="BV239" s="18">
        <f t="shared" si="375"/>
        <v>0</v>
      </c>
      <c r="BW239" s="18">
        <f t="shared" si="375"/>
        <v>0</v>
      </c>
      <c r="BX239" s="18">
        <f t="shared" si="375"/>
        <v>0</v>
      </c>
      <c r="BY239" s="18">
        <f t="shared" si="375"/>
        <v>0</v>
      </c>
      <c r="BZ239" s="18">
        <f t="shared" si="375"/>
        <v>0</v>
      </c>
      <c r="CA239" s="18">
        <f t="shared" si="375"/>
        <v>0</v>
      </c>
      <c r="CB239" s="18">
        <f t="shared" si="375"/>
        <v>0</v>
      </c>
      <c r="CC239" s="17"/>
      <c r="CD239" s="17"/>
      <c r="CE239" s="17"/>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c r="DG239" s="5"/>
      <c r="DH239" s="5"/>
      <c r="DI239" s="5"/>
      <c r="DJ239" s="5"/>
      <c r="DK239" s="5"/>
      <c r="DL239" s="5"/>
      <c r="DM239" s="5"/>
      <c r="DN239" s="5"/>
      <c r="DO239" s="5"/>
      <c r="DP239" s="5"/>
      <c r="DQ239" s="5"/>
      <c r="DR239" s="5"/>
      <c r="DS239" s="5"/>
      <c r="DT239" s="5"/>
      <c r="DU239" s="5"/>
      <c r="DV239" s="5"/>
      <c r="DW239" s="5"/>
      <c r="DX239" s="5"/>
      <c r="DY239" s="5"/>
      <c r="DZ239" s="5"/>
      <c r="EA239" s="5"/>
      <c r="EB239" s="5"/>
      <c r="EC239" s="5"/>
      <c r="ED239" s="5"/>
      <c r="EE239" s="5"/>
      <c r="EF239" s="5"/>
      <c r="EG239" s="5"/>
      <c r="EH239" s="5"/>
      <c r="EI239" s="5"/>
      <c r="EJ239" s="5"/>
      <c r="EK239" s="5"/>
      <c r="EL239" s="5"/>
      <c r="EM239" s="5"/>
      <c r="EN239" s="5"/>
      <c r="EO239" s="5"/>
      <c r="EP239" s="5"/>
      <c r="EQ239" s="5"/>
      <c r="ER239" s="5"/>
      <c r="ES239" s="5"/>
      <c r="ET239" s="5"/>
      <c r="EU239" s="5"/>
      <c r="EV239" s="5"/>
      <c r="EW239" s="5"/>
      <c r="EX239" s="5"/>
      <c r="EY239" s="5"/>
      <c r="EZ239" s="5"/>
      <c r="FA239" s="5"/>
      <c r="FB239" s="5"/>
      <c r="FC239" s="5"/>
      <c r="FD239" s="5"/>
      <c r="FE239" s="5"/>
      <c r="FF239" s="5"/>
      <c r="FG239" s="5"/>
      <c r="FH239" s="5"/>
      <c r="FI239" s="5"/>
      <c r="FJ239" s="5"/>
      <c r="FK239" s="5"/>
      <c r="FL239" s="5"/>
      <c r="FM239" s="5"/>
      <c r="FN239" s="5"/>
      <c r="FO239" s="5"/>
      <c r="FP239" s="5"/>
      <c r="FQ239" s="5"/>
      <c r="FR239" s="5"/>
      <c r="FS239" s="5"/>
      <c r="FT239" s="5"/>
      <c r="FU239" s="5"/>
      <c r="FV239" s="5"/>
      <c r="FW239" s="5"/>
      <c r="FX239" s="5"/>
      <c r="FY239" s="5"/>
      <c r="FZ239" s="5"/>
      <c r="GA239" s="5"/>
      <c r="GB239" s="5"/>
      <c r="GC239" s="5"/>
      <c r="GD239" s="5"/>
      <c r="GE239" s="5"/>
      <c r="GF239" s="5"/>
      <c r="GG239" s="5"/>
      <c r="GH239" s="5"/>
      <c r="GI239" s="5"/>
      <c r="GJ239" s="5"/>
      <c r="GK239" s="5"/>
      <c r="GL239" s="5"/>
      <c r="GM239" s="5"/>
      <c r="GN239" s="5"/>
      <c r="GO239" s="5"/>
      <c r="GP239" s="5"/>
      <c r="GQ239" s="5"/>
      <c r="GR239" s="5"/>
      <c r="GS239" s="5"/>
      <c r="GT239" s="5"/>
      <c r="GU239" s="5"/>
      <c r="GV239" s="5"/>
      <c r="GW239" s="5"/>
      <c r="GX239" s="5"/>
      <c r="GY239" s="5"/>
      <c r="GZ239" s="5"/>
      <c r="HA239" s="5"/>
      <c r="HB239" s="5"/>
      <c r="HC239" s="5"/>
      <c r="HD239" s="5"/>
      <c r="HE239" s="5"/>
      <c r="HF239" s="5"/>
      <c r="HG239" s="5"/>
      <c r="HH239" s="5"/>
      <c r="HI239" s="5"/>
      <c r="HJ239" s="5"/>
      <c r="HK239" s="5"/>
      <c r="HL239" s="5"/>
      <c r="HM239" s="5"/>
      <c r="HN239" s="5"/>
      <c r="HO239" s="5"/>
      <c r="HP239" s="5"/>
      <c r="HQ239" s="5"/>
      <c r="HR239" s="5"/>
      <c r="HS239" s="5"/>
      <c r="HT239" s="5"/>
      <c r="HU239" s="5"/>
      <c r="HV239" s="5"/>
      <c r="HW239" s="5"/>
      <c r="HX239" s="5"/>
      <c r="HY239" s="5"/>
      <c r="HZ239" s="5"/>
      <c r="IA239" s="5"/>
      <c r="IB239" s="5"/>
      <c r="IC239" s="5"/>
      <c r="ID239" s="5"/>
      <c r="IE239" s="5"/>
      <c r="IF239" s="5"/>
      <c r="IG239" s="5"/>
      <c r="IH239" s="5"/>
      <c r="II239" s="5"/>
      <c r="IJ239" s="5"/>
      <c r="IK239" s="5"/>
      <c r="IL239" s="5"/>
      <c r="IM239" s="5"/>
      <c r="IN239" s="5"/>
      <c r="IO239" s="5"/>
      <c r="IP239" s="5"/>
      <c r="IQ239" s="5"/>
      <c r="IR239" s="5"/>
      <c r="IS239" s="5"/>
      <c r="IT239" s="5"/>
      <c r="IU239" s="5"/>
      <c r="IV239" s="5"/>
    </row>
    <row r="240" spans="1:256">
      <c r="A240" s="140" t="str">
        <f>A81</f>
        <v>Bond 26</v>
      </c>
      <c r="B240" s="18">
        <f>B81*B212</f>
        <v>0</v>
      </c>
      <c r="C240" s="18">
        <f t="shared" ref="C240:BN240" si="376">C81*C212</f>
        <v>0</v>
      </c>
      <c r="D240" s="18">
        <f t="shared" si="376"/>
        <v>0</v>
      </c>
      <c r="E240" s="18">
        <f t="shared" si="376"/>
        <v>0</v>
      </c>
      <c r="F240" s="18">
        <f t="shared" si="376"/>
        <v>0</v>
      </c>
      <c r="G240" s="18">
        <f t="shared" si="376"/>
        <v>0</v>
      </c>
      <c r="H240" s="18">
        <f t="shared" si="376"/>
        <v>0</v>
      </c>
      <c r="I240" s="18">
        <f t="shared" si="376"/>
        <v>0</v>
      </c>
      <c r="J240" s="18">
        <f t="shared" si="376"/>
        <v>0</v>
      </c>
      <c r="K240" s="18">
        <f t="shared" si="376"/>
        <v>0</v>
      </c>
      <c r="L240" s="18">
        <f t="shared" si="376"/>
        <v>0</v>
      </c>
      <c r="M240" s="18">
        <f t="shared" si="376"/>
        <v>0</v>
      </c>
      <c r="N240" s="18">
        <f t="shared" si="376"/>
        <v>0</v>
      </c>
      <c r="O240" s="18">
        <f t="shared" si="376"/>
        <v>0</v>
      </c>
      <c r="P240" s="18">
        <f t="shared" si="376"/>
        <v>0</v>
      </c>
      <c r="Q240" s="18">
        <f t="shared" si="376"/>
        <v>0</v>
      </c>
      <c r="R240" s="18">
        <f t="shared" si="376"/>
        <v>0</v>
      </c>
      <c r="S240" s="18">
        <f t="shared" si="376"/>
        <v>0</v>
      </c>
      <c r="T240" s="18">
        <f t="shared" si="376"/>
        <v>0</v>
      </c>
      <c r="U240" s="18">
        <f t="shared" si="376"/>
        <v>0</v>
      </c>
      <c r="V240" s="18">
        <f t="shared" si="376"/>
        <v>0</v>
      </c>
      <c r="W240" s="18">
        <f t="shared" si="376"/>
        <v>0</v>
      </c>
      <c r="X240" s="18">
        <f t="shared" si="376"/>
        <v>0</v>
      </c>
      <c r="Y240" s="18">
        <f t="shared" si="376"/>
        <v>0</v>
      </c>
      <c r="Z240" s="18">
        <f t="shared" si="376"/>
        <v>0</v>
      </c>
      <c r="AA240" s="18">
        <f t="shared" si="376"/>
        <v>0</v>
      </c>
      <c r="AB240" s="18">
        <f t="shared" si="376"/>
        <v>0</v>
      </c>
      <c r="AC240" s="18">
        <f t="shared" si="376"/>
        <v>0</v>
      </c>
      <c r="AD240" s="18">
        <f t="shared" si="376"/>
        <v>0</v>
      </c>
      <c r="AE240" s="18">
        <f t="shared" si="376"/>
        <v>0</v>
      </c>
      <c r="AF240" s="18">
        <f t="shared" si="376"/>
        <v>0</v>
      </c>
      <c r="AG240" s="18">
        <f t="shared" si="376"/>
        <v>0</v>
      </c>
      <c r="AH240" s="18">
        <f t="shared" si="376"/>
        <v>0</v>
      </c>
      <c r="AI240" s="18">
        <f t="shared" si="376"/>
        <v>0</v>
      </c>
      <c r="AJ240" s="18">
        <f t="shared" si="376"/>
        <v>0</v>
      </c>
      <c r="AK240" s="18">
        <f t="shared" si="376"/>
        <v>0</v>
      </c>
      <c r="AL240" s="18">
        <f t="shared" si="376"/>
        <v>0</v>
      </c>
      <c r="AM240" s="18">
        <f t="shared" si="376"/>
        <v>0</v>
      </c>
      <c r="AN240" s="18">
        <f t="shared" si="376"/>
        <v>0</v>
      </c>
      <c r="AO240" s="18">
        <f t="shared" si="376"/>
        <v>0</v>
      </c>
      <c r="AP240" s="18">
        <f t="shared" si="376"/>
        <v>0</v>
      </c>
      <c r="AQ240" s="18">
        <f t="shared" si="376"/>
        <v>0</v>
      </c>
      <c r="AR240" s="18">
        <f t="shared" si="376"/>
        <v>0</v>
      </c>
      <c r="AS240" s="18">
        <f t="shared" si="376"/>
        <v>0</v>
      </c>
      <c r="AT240" s="18">
        <f t="shared" si="376"/>
        <v>0</v>
      </c>
      <c r="AU240" s="18">
        <f t="shared" si="376"/>
        <v>0</v>
      </c>
      <c r="AV240" s="18">
        <f t="shared" si="376"/>
        <v>0</v>
      </c>
      <c r="AW240" s="18">
        <f t="shared" si="376"/>
        <v>0</v>
      </c>
      <c r="AX240" s="18">
        <f t="shared" si="376"/>
        <v>0</v>
      </c>
      <c r="AY240" s="18">
        <f t="shared" si="376"/>
        <v>0</v>
      </c>
      <c r="AZ240" s="18">
        <f t="shared" si="376"/>
        <v>0</v>
      </c>
      <c r="BA240" s="18">
        <f t="shared" si="376"/>
        <v>0</v>
      </c>
      <c r="BB240" s="18">
        <f t="shared" si="376"/>
        <v>0</v>
      </c>
      <c r="BC240" s="18">
        <f t="shared" si="376"/>
        <v>0</v>
      </c>
      <c r="BD240" s="18">
        <f t="shared" si="376"/>
        <v>0</v>
      </c>
      <c r="BE240" s="18">
        <f t="shared" si="376"/>
        <v>0</v>
      </c>
      <c r="BF240" s="18">
        <f t="shared" si="376"/>
        <v>0</v>
      </c>
      <c r="BG240" s="18">
        <f t="shared" si="376"/>
        <v>0</v>
      </c>
      <c r="BH240" s="18">
        <f t="shared" si="376"/>
        <v>0</v>
      </c>
      <c r="BI240" s="18">
        <f t="shared" si="376"/>
        <v>0</v>
      </c>
      <c r="BJ240" s="18">
        <f t="shared" si="376"/>
        <v>0</v>
      </c>
      <c r="BK240" s="18">
        <f t="shared" si="376"/>
        <v>0</v>
      </c>
      <c r="BL240" s="18">
        <f t="shared" si="376"/>
        <v>0</v>
      </c>
      <c r="BM240" s="18">
        <f t="shared" si="376"/>
        <v>0</v>
      </c>
      <c r="BN240" s="18">
        <f t="shared" si="376"/>
        <v>0</v>
      </c>
      <c r="BO240" s="18">
        <f t="shared" ref="BO240:CB240" si="377">BO81*BO212</f>
        <v>0</v>
      </c>
      <c r="BP240" s="18">
        <f t="shared" si="377"/>
        <v>0</v>
      </c>
      <c r="BQ240" s="18">
        <f t="shared" si="377"/>
        <v>0</v>
      </c>
      <c r="BR240" s="18">
        <f t="shared" si="377"/>
        <v>0</v>
      </c>
      <c r="BS240" s="18">
        <f t="shared" si="377"/>
        <v>0</v>
      </c>
      <c r="BT240" s="18">
        <f t="shared" si="377"/>
        <v>0</v>
      </c>
      <c r="BU240" s="18">
        <f t="shared" si="377"/>
        <v>0</v>
      </c>
      <c r="BV240" s="18">
        <f t="shared" si="377"/>
        <v>0</v>
      </c>
      <c r="BW240" s="18">
        <f t="shared" si="377"/>
        <v>0</v>
      </c>
      <c r="BX240" s="18">
        <f t="shared" si="377"/>
        <v>0</v>
      </c>
      <c r="BY240" s="18">
        <f t="shared" si="377"/>
        <v>0</v>
      </c>
      <c r="BZ240" s="18">
        <f t="shared" si="377"/>
        <v>0</v>
      </c>
      <c r="CA240" s="18">
        <f t="shared" si="377"/>
        <v>0</v>
      </c>
      <c r="CB240" s="18">
        <f t="shared" si="377"/>
        <v>0</v>
      </c>
      <c r="CC240" s="17"/>
      <c r="CD240" s="17"/>
      <c r="CE240" s="17"/>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c r="DI240" s="5"/>
      <c r="DJ240" s="5"/>
      <c r="DK240" s="5"/>
      <c r="DL240" s="5"/>
      <c r="DM240" s="5"/>
      <c r="DN240" s="5"/>
      <c r="DO240" s="5"/>
      <c r="DP240" s="5"/>
      <c r="DQ240" s="5"/>
      <c r="DR240" s="5"/>
      <c r="DS240" s="5"/>
      <c r="DT240" s="5"/>
      <c r="DU240" s="5"/>
      <c r="DV240" s="5"/>
      <c r="DW240" s="5"/>
      <c r="DX240" s="5"/>
      <c r="DY240" s="5"/>
      <c r="DZ240" s="5"/>
      <c r="EA240" s="5"/>
      <c r="EB240" s="5"/>
      <c r="EC240" s="5"/>
      <c r="ED240" s="5"/>
      <c r="EE240" s="5"/>
      <c r="EF240" s="5"/>
      <c r="EG240" s="5"/>
      <c r="EH240" s="5"/>
      <c r="EI240" s="5"/>
      <c r="EJ240" s="5"/>
      <c r="EK240" s="5"/>
      <c r="EL240" s="5"/>
      <c r="EM240" s="5"/>
      <c r="EN240" s="5"/>
      <c r="EO240" s="5"/>
      <c r="EP240" s="5"/>
      <c r="EQ240" s="5"/>
      <c r="ER240" s="5"/>
      <c r="ES240" s="5"/>
      <c r="ET240" s="5"/>
      <c r="EU240" s="5"/>
      <c r="EV240" s="5"/>
      <c r="EW240" s="5"/>
      <c r="EX240" s="5"/>
      <c r="EY240" s="5"/>
      <c r="EZ240" s="5"/>
      <c r="FA240" s="5"/>
      <c r="FB240" s="5"/>
      <c r="FC240" s="5"/>
      <c r="FD240" s="5"/>
      <c r="FE240" s="5"/>
      <c r="FF240" s="5"/>
      <c r="FG240" s="5"/>
      <c r="FH240" s="5"/>
      <c r="FI240" s="5"/>
      <c r="FJ240" s="5"/>
      <c r="FK240" s="5"/>
      <c r="FL240" s="5"/>
      <c r="FM240" s="5"/>
      <c r="FN240" s="5"/>
      <c r="FO240" s="5"/>
      <c r="FP240" s="5"/>
      <c r="FQ240" s="5"/>
      <c r="FR240" s="5"/>
      <c r="FS240" s="5"/>
      <c r="FT240" s="5"/>
      <c r="FU240" s="5"/>
      <c r="FV240" s="5"/>
      <c r="FW240" s="5"/>
      <c r="FX240" s="5"/>
      <c r="FY240" s="5"/>
      <c r="FZ240" s="5"/>
      <c r="GA240" s="5"/>
      <c r="GB240" s="5"/>
      <c r="GC240" s="5"/>
      <c r="GD240" s="5"/>
      <c r="GE240" s="5"/>
      <c r="GF240" s="5"/>
      <c r="GG240" s="5"/>
      <c r="GH240" s="5"/>
      <c r="GI240" s="5"/>
      <c r="GJ240" s="5"/>
      <c r="GK240" s="5"/>
      <c r="GL240" s="5"/>
      <c r="GM240" s="5"/>
      <c r="GN240" s="5"/>
      <c r="GO240" s="5"/>
      <c r="GP240" s="5"/>
      <c r="GQ240" s="5"/>
      <c r="GR240" s="5"/>
      <c r="GS240" s="5"/>
      <c r="GT240" s="5"/>
      <c r="GU240" s="5"/>
      <c r="GV240" s="5"/>
      <c r="GW240" s="5"/>
      <c r="GX240" s="5"/>
      <c r="GY240" s="5"/>
      <c r="GZ240" s="5"/>
      <c r="HA240" s="5"/>
      <c r="HB240" s="5"/>
      <c r="HC240" s="5"/>
      <c r="HD240" s="5"/>
      <c r="HE240" s="5"/>
      <c r="HF240" s="5"/>
      <c r="HG240" s="5"/>
      <c r="HH240" s="5"/>
      <c r="HI240" s="5"/>
      <c r="HJ240" s="5"/>
      <c r="HK240" s="5"/>
      <c r="HL240" s="5"/>
      <c r="HM240" s="5"/>
      <c r="HN240" s="5"/>
      <c r="HO240" s="5"/>
      <c r="HP240" s="5"/>
      <c r="HQ240" s="5"/>
      <c r="HR240" s="5"/>
      <c r="HS240" s="5"/>
      <c r="HT240" s="5"/>
      <c r="HU240" s="5"/>
      <c r="HV240" s="5"/>
      <c r="HW240" s="5"/>
      <c r="HX240" s="5"/>
      <c r="HY240" s="5"/>
      <c r="HZ240" s="5"/>
      <c r="IA240" s="5"/>
      <c r="IB240" s="5"/>
      <c r="IC240" s="5"/>
      <c r="ID240" s="5"/>
      <c r="IE240" s="5"/>
      <c r="IF240" s="5"/>
      <c r="IG240" s="5"/>
      <c r="IH240" s="5"/>
      <c r="II240" s="5"/>
      <c r="IJ240" s="5"/>
      <c r="IK240" s="5"/>
      <c r="IL240" s="5"/>
      <c r="IM240" s="5"/>
      <c r="IN240" s="5"/>
      <c r="IO240" s="5"/>
      <c r="IP240" s="5"/>
      <c r="IQ240" s="5"/>
      <c r="IR240" s="5"/>
      <c r="IS240" s="5"/>
      <c r="IT240" s="5"/>
      <c r="IU240" s="5"/>
      <c r="IV240" s="5"/>
    </row>
    <row r="241" spans="1:256">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7"/>
      <c r="AB241" s="17"/>
      <c r="AC241" s="17"/>
      <c r="AD241" s="17"/>
      <c r="AE241" s="17"/>
      <c r="AF241" s="17"/>
      <c r="AG241" s="17"/>
      <c r="AH241" s="17"/>
      <c r="AI241" s="17"/>
      <c r="AJ241" s="17"/>
      <c r="AK241" s="17"/>
      <c r="AL241" s="17"/>
      <c r="AM241" s="17"/>
      <c r="AN241" s="17"/>
      <c r="AO241" s="17"/>
      <c r="AP241" s="17"/>
      <c r="AQ241" s="17"/>
      <c r="AR241" s="17"/>
      <c r="AS241" s="17"/>
      <c r="AT241" s="17"/>
      <c r="AU241" s="17"/>
      <c r="AV241" s="17"/>
      <c r="AW241" s="17"/>
      <c r="AX241" s="17"/>
      <c r="AY241" s="17"/>
      <c r="AZ241" s="17"/>
      <c r="BA241" s="17"/>
      <c r="BB241" s="17"/>
      <c r="BC241" s="17"/>
      <c r="BD241" s="17"/>
      <c r="BE241" s="17"/>
      <c r="BF241" s="17"/>
      <c r="BG241" s="17"/>
      <c r="BH241" s="17"/>
      <c r="BI241" s="17"/>
      <c r="BJ241" s="17"/>
      <c r="BK241" s="17"/>
      <c r="BL241" s="17"/>
      <c r="BM241" s="17"/>
      <c r="BN241" s="17"/>
      <c r="BO241" s="17"/>
      <c r="BP241" s="17"/>
      <c r="BQ241" s="17"/>
      <c r="BR241" s="17"/>
      <c r="BS241" s="17"/>
      <c r="BT241" s="17"/>
      <c r="BU241" s="17"/>
      <c r="BV241" s="17"/>
      <c r="BW241" s="17"/>
      <c r="BX241" s="17"/>
      <c r="BY241" s="17"/>
      <c r="BZ241" s="17"/>
      <c r="CA241" s="17"/>
      <c r="CB241" s="17"/>
      <c r="CC241" s="17"/>
      <c r="CD241" s="17"/>
      <c r="CE241" s="17"/>
      <c r="CH241" s="11"/>
      <c r="CI241" s="11"/>
      <c r="CJ241" s="11"/>
      <c r="CK241" s="11"/>
      <c r="CL241" s="11"/>
      <c r="CM241" s="11"/>
      <c r="CN241" s="11"/>
      <c r="CO241" s="11"/>
      <c r="CP241" s="11"/>
      <c r="CQ241" s="11"/>
      <c r="CR241" s="11"/>
      <c r="CS241" s="11"/>
      <c r="CT241" s="11"/>
      <c r="CU241" s="11"/>
      <c r="CV241" s="11"/>
      <c r="CW241" s="11"/>
      <c r="CX241" s="11"/>
      <c r="CY241" s="11"/>
      <c r="CZ241" s="11"/>
      <c r="DA241" s="11"/>
      <c r="DB241" s="11"/>
      <c r="DC241" s="11"/>
      <c r="DD241" s="11"/>
      <c r="DE241" s="11"/>
      <c r="DF241" s="11"/>
      <c r="DG241" s="11"/>
      <c r="DH241" s="11"/>
      <c r="DI241" s="5"/>
      <c r="DJ241" s="5"/>
      <c r="DK241" s="5"/>
      <c r="DL241" s="5"/>
      <c r="DM241" s="5"/>
      <c r="DN241" s="5"/>
      <c r="DO241" s="5"/>
      <c r="DP241" s="5"/>
      <c r="DQ241" s="5"/>
      <c r="DR241" s="5"/>
      <c r="DS241" s="5"/>
      <c r="DT241" s="5"/>
      <c r="DU241" s="5"/>
      <c r="DV241" s="5"/>
      <c r="DW241" s="5"/>
      <c r="DX241" s="5"/>
      <c r="DY241" s="5"/>
      <c r="DZ241" s="5"/>
      <c r="EA241" s="5"/>
      <c r="EB241" s="5"/>
      <c r="EC241" s="5"/>
      <c r="ED241" s="5"/>
      <c r="EE241" s="5"/>
      <c r="EF241" s="5"/>
      <c r="EG241" s="5"/>
      <c r="EH241" s="5"/>
      <c r="EI241" s="5"/>
      <c r="EJ241" s="5"/>
      <c r="EK241" s="5"/>
      <c r="EL241" s="5"/>
      <c r="EM241" s="5"/>
      <c r="EN241" s="5"/>
      <c r="EO241" s="5"/>
      <c r="EP241" s="5"/>
      <c r="EQ241" s="5"/>
      <c r="ER241" s="5"/>
      <c r="ES241" s="5"/>
      <c r="ET241" s="5"/>
      <c r="EU241" s="5"/>
      <c r="EV241" s="5"/>
      <c r="EW241" s="5"/>
      <c r="EX241" s="5"/>
      <c r="EY241" s="5"/>
      <c r="EZ241" s="5"/>
      <c r="FA241" s="5"/>
      <c r="FB241" s="5"/>
      <c r="FC241" s="5"/>
      <c r="FD241" s="5"/>
      <c r="FE241" s="5"/>
      <c r="FF241" s="5"/>
      <c r="FG241" s="5"/>
      <c r="FH241" s="5"/>
      <c r="FI241" s="5"/>
      <c r="FJ241" s="5"/>
      <c r="FK241" s="5"/>
      <c r="FL241" s="5"/>
      <c r="FM241" s="5"/>
      <c r="FN241" s="5"/>
      <c r="FO241" s="5"/>
      <c r="FP241" s="5"/>
      <c r="FQ241" s="5"/>
      <c r="FR241" s="5"/>
      <c r="FS241" s="5"/>
      <c r="FT241" s="5"/>
      <c r="FU241" s="5"/>
      <c r="FV241" s="5"/>
      <c r="FW241" s="5"/>
      <c r="FX241" s="5"/>
      <c r="FY241" s="5"/>
      <c r="FZ241" s="5"/>
      <c r="GA241" s="5"/>
      <c r="GB241" s="5"/>
      <c r="GC241" s="5"/>
      <c r="GD241" s="5"/>
      <c r="GE241" s="5"/>
      <c r="GF241" s="5"/>
      <c r="GG241" s="5"/>
      <c r="GH241" s="5"/>
      <c r="GI241" s="5"/>
      <c r="GJ241" s="5"/>
      <c r="GK241" s="5"/>
      <c r="GL241" s="5"/>
      <c r="GM241" s="5"/>
      <c r="GN241" s="5"/>
      <c r="GO241" s="5"/>
      <c r="GP241" s="5"/>
      <c r="GQ241" s="5"/>
      <c r="GR241" s="5"/>
      <c r="GS241" s="5"/>
      <c r="GT241" s="5"/>
      <c r="GU241" s="5"/>
      <c r="GV241" s="5"/>
      <c r="GW241" s="5"/>
      <c r="GX241" s="5"/>
      <c r="GY241" s="5"/>
      <c r="GZ241" s="5"/>
      <c r="HA241" s="5"/>
      <c r="HB241" s="5"/>
      <c r="HC241" s="5"/>
      <c r="HD241" s="5"/>
      <c r="HE241" s="5"/>
      <c r="HF241" s="5"/>
      <c r="HG241" s="5"/>
      <c r="HH241" s="5"/>
      <c r="HI241" s="5"/>
      <c r="HJ241" s="5"/>
      <c r="HK241" s="5"/>
      <c r="HL241" s="5"/>
      <c r="HM241" s="5"/>
      <c r="HN241" s="5"/>
      <c r="HO241" s="5"/>
      <c r="HP241" s="5"/>
      <c r="HQ241" s="5"/>
      <c r="HR241" s="5"/>
      <c r="HS241" s="5"/>
      <c r="HT241" s="5"/>
      <c r="HU241" s="5"/>
      <c r="HV241" s="5"/>
      <c r="HW241" s="5"/>
      <c r="HX241" s="5"/>
      <c r="HY241" s="5"/>
      <c r="HZ241" s="5"/>
      <c r="IA241" s="5"/>
      <c r="IB241" s="5"/>
      <c r="IC241" s="5"/>
      <c r="ID241" s="5"/>
      <c r="IE241" s="5"/>
      <c r="IF241" s="5"/>
      <c r="IG241" s="5"/>
      <c r="IH241" s="5"/>
      <c r="II241" s="5"/>
      <c r="IJ241" s="5"/>
      <c r="IK241" s="5"/>
      <c r="IL241" s="5"/>
      <c r="IM241" s="5"/>
      <c r="IN241" s="5"/>
      <c r="IO241" s="5"/>
      <c r="IP241" s="5"/>
      <c r="IQ241" s="5"/>
      <c r="IR241" s="5"/>
      <c r="IS241" s="5"/>
      <c r="IT241" s="5"/>
      <c r="IU241" s="5"/>
      <c r="IV241" s="5"/>
    </row>
    <row r="242" spans="1:256">
      <c r="A242" s="190"/>
      <c r="B242" s="18" t="s">
        <v>13</v>
      </c>
      <c r="C242" s="18" t="s">
        <v>47</v>
      </c>
      <c r="D242" s="18" t="s">
        <v>14</v>
      </c>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c r="AS242" s="17"/>
      <c r="AT242" s="17"/>
      <c r="AU242" s="17"/>
      <c r="AV242" s="17"/>
      <c r="AW242" s="17"/>
      <c r="AX242" s="17"/>
      <c r="AY242" s="17"/>
      <c r="AZ242" s="17"/>
      <c r="BA242" s="17"/>
      <c r="BB242" s="17"/>
      <c r="BC242" s="17"/>
      <c r="BD242" s="17"/>
      <c r="BE242" s="17"/>
      <c r="BF242" s="17"/>
      <c r="BG242" s="17"/>
      <c r="BH242" s="17"/>
      <c r="BI242" s="17"/>
      <c r="BJ242" s="17"/>
      <c r="BK242" s="17"/>
      <c r="BL242" s="17"/>
      <c r="BM242" s="17"/>
      <c r="BN242" s="17"/>
      <c r="BO242" s="17"/>
      <c r="BP242" s="17"/>
      <c r="BQ242" s="17"/>
      <c r="BR242" s="17"/>
      <c r="BS242" s="17"/>
      <c r="BT242" s="17"/>
      <c r="BU242" s="17"/>
      <c r="BV242" s="17"/>
      <c r="BW242" s="17"/>
      <c r="BX242" s="17"/>
      <c r="BY242" s="17"/>
      <c r="BZ242" s="17"/>
      <c r="CA242" s="17"/>
      <c r="CB242" s="17"/>
      <c r="CC242" s="17"/>
      <c r="CD242" s="17"/>
      <c r="CE242" s="17"/>
      <c r="CH242" s="5"/>
    </row>
    <row r="243" spans="1:256">
      <c r="A243" s="18" t="str">
        <f t="shared" ref="A243:A256" si="378">A215</f>
        <v>Bond 1</v>
      </c>
      <c r="B243" s="18">
        <f t="shared" ref="B243:B256" si="379">SUM(B215:CB215)</f>
        <v>99.65613909743945</v>
      </c>
      <c r="C243" s="18">
        <f t="shared" ref="C243:C256" si="380">K2</f>
        <v>99.580500000000001</v>
      </c>
      <c r="D243" s="18">
        <f>P2*(B243-K2)^2</f>
        <v>2.4561271688544211E-3</v>
      </c>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c r="AI243" s="19"/>
      <c r="AJ243" s="19"/>
      <c r="AK243" s="19"/>
      <c r="AL243" s="19"/>
      <c r="AM243" s="19"/>
      <c r="AN243" s="19"/>
      <c r="AO243" s="19"/>
      <c r="AP243" s="19"/>
      <c r="AQ243" s="19"/>
      <c r="AR243" s="19"/>
      <c r="AS243" s="19"/>
      <c r="AT243" s="19"/>
      <c r="AU243" s="19"/>
      <c r="AV243" s="19"/>
      <c r="AW243" s="19"/>
      <c r="AX243" s="19"/>
      <c r="AY243" s="19"/>
      <c r="AZ243" s="19"/>
      <c r="BA243" s="19"/>
      <c r="BB243" s="19"/>
      <c r="BC243" s="19"/>
      <c r="BD243" s="19"/>
      <c r="BE243" s="19"/>
      <c r="BF243" s="19"/>
      <c r="BG243" s="19"/>
      <c r="BH243" s="19"/>
      <c r="BI243" s="19"/>
      <c r="BJ243" s="19"/>
      <c r="BK243" s="19"/>
      <c r="BL243" s="19"/>
      <c r="BM243" s="19"/>
      <c r="BN243" s="19"/>
      <c r="BO243" s="19"/>
      <c r="BP243" s="19"/>
      <c r="BQ243" s="19"/>
      <c r="BR243" s="19"/>
      <c r="BS243" s="19"/>
      <c r="BT243" s="19"/>
      <c r="BU243" s="19"/>
      <c r="BV243" s="19"/>
      <c r="BW243" s="19"/>
      <c r="BX243" s="19"/>
      <c r="BY243" s="19"/>
      <c r="BZ243" s="19"/>
      <c r="CA243" s="19"/>
      <c r="CB243" s="19"/>
      <c r="CC243" s="19"/>
      <c r="CD243" s="19"/>
      <c r="CE243" s="19"/>
      <c r="CF243" s="7"/>
      <c r="CH243" s="5"/>
    </row>
    <row r="244" spans="1:256">
      <c r="A244" s="18" t="str">
        <f t="shared" si="378"/>
        <v>Bond 2</v>
      </c>
      <c r="B244" s="18">
        <f t="shared" si="379"/>
        <v>99.337647972809989</v>
      </c>
      <c r="C244" s="18">
        <f t="shared" si="380"/>
        <v>99.188000000000002</v>
      </c>
      <c r="D244" s="18">
        <f t="shared" ref="D244:D256" si="381">P3*(B244-K3)^2</f>
        <v>5.0000925232947793E-3</v>
      </c>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c r="AI244" s="19"/>
      <c r="AJ244" s="19"/>
      <c r="AK244" s="19"/>
      <c r="AL244" s="19"/>
      <c r="AM244" s="19"/>
      <c r="AN244" s="19"/>
      <c r="AO244" s="19"/>
      <c r="AP244" s="19"/>
      <c r="AQ244" s="19"/>
      <c r="AR244" s="19"/>
      <c r="AS244" s="19"/>
      <c r="AT244" s="19"/>
      <c r="AU244" s="19"/>
      <c r="AV244" s="19"/>
      <c r="AW244" s="19"/>
      <c r="AX244" s="19"/>
      <c r="AY244" s="19"/>
      <c r="AZ244" s="19"/>
      <c r="BA244" s="19"/>
      <c r="BB244" s="19"/>
      <c r="BC244" s="19"/>
      <c r="BD244" s="19"/>
      <c r="BE244" s="19"/>
      <c r="BF244" s="19"/>
      <c r="BG244" s="19"/>
      <c r="BH244" s="19"/>
      <c r="BI244" s="19"/>
      <c r="BJ244" s="19"/>
      <c r="BK244" s="19"/>
      <c r="BL244" s="19"/>
      <c r="BM244" s="19"/>
      <c r="BN244" s="19"/>
      <c r="BO244" s="19"/>
      <c r="BP244" s="19"/>
      <c r="BQ244" s="19"/>
      <c r="BR244" s="19"/>
      <c r="BS244" s="19"/>
      <c r="BT244" s="19"/>
      <c r="BU244" s="19"/>
      <c r="BV244" s="19"/>
      <c r="BW244" s="19"/>
      <c r="BX244" s="19"/>
      <c r="BY244" s="19"/>
      <c r="BZ244" s="19"/>
      <c r="CA244" s="19"/>
      <c r="CB244" s="19"/>
      <c r="CC244" s="19"/>
      <c r="CD244" s="19"/>
      <c r="CE244" s="19"/>
      <c r="CF244" s="7"/>
    </row>
    <row r="245" spans="1:256">
      <c r="A245" s="18" t="str">
        <f t="shared" si="378"/>
        <v>Bond 3</v>
      </c>
      <c r="B245" s="18">
        <f t="shared" si="379"/>
        <v>98.659484186956149</v>
      </c>
      <c r="C245" s="18">
        <f t="shared" si="380"/>
        <v>98.368499999999997</v>
      </c>
      <c r="D245" s="18">
        <f t="shared" si="381"/>
        <v>9.3728135618973141E-3</v>
      </c>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c r="AI245" s="19"/>
      <c r="AJ245" s="19"/>
      <c r="AK245" s="19"/>
      <c r="AL245" s="19"/>
      <c r="AM245" s="19"/>
      <c r="AN245" s="19"/>
      <c r="AO245" s="19"/>
      <c r="AP245" s="19"/>
      <c r="AQ245" s="19"/>
      <c r="AR245" s="19"/>
      <c r="AS245" s="19"/>
      <c r="AT245" s="19"/>
      <c r="AU245" s="19"/>
      <c r="AV245" s="19"/>
      <c r="AW245" s="19"/>
      <c r="AX245" s="19"/>
      <c r="AY245" s="19"/>
      <c r="AZ245" s="19"/>
      <c r="BA245" s="19"/>
      <c r="BB245" s="19"/>
      <c r="BC245" s="19"/>
      <c r="BD245" s="19"/>
      <c r="BE245" s="19"/>
      <c r="BF245" s="19"/>
      <c r="BG245" s="19"/>
      <c r="BH245" s="19"/>
      <c r="BI245" s="19"/>
      <c r="BJ245" s="19"/>
      <c r="BK245" s="19"/>
      <c r="BL245" s="19"/>
      <c r="BM245" s="19"/>
      <c r="BN245" s="19"/>
      <c r="BO245" s="19"/>
      <c r="BP245" s="19"/>
      <c r="BQ245" s="19"/>
      <c r="BR245" s="19"/>
      <c r="BS245" s="19"/>
      <c r="BT245" s="19"/>
      <c r="BU245" s="19"/>
      <c r="BV245" s="19"/>
      <c r="BW245" s="19"/>
      <c r="BX245" s="19"/>
      <c r="BY245" s="19"/>
      <c r="BZ245" s="19"/>
      <c r="CA245" s="19"/>
      <c r="CB245" s="19"/>
      <c r="CC245" s="19"/>
      <c r="CD245" s="19"/>
      <c r="CE245" s="19"/>
      <c r="CF245" s="12"/>
    </row>
    <row r="246" spans="1:256">
      <c r="A246" s="18" t="str">
        <f t="shared" si="378"/>
        <v>Bond 4</v>
      </c>
      <c r="B246" s="18">
        <f t="shared" si="379"/>
        <v>100.93227139871027</v>
      </c>
      <c r="C246" s="18">
        <f t="shared" si="380"/>
        <v>100.7933493150685</v>
      </c>
      <c r="D246" s="18">
        <f t="shared" si="381"/>
        <v>1.1498514539959924E-3</v>
      </c>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c r="AI246" s="19"/>
      <c r="AJ246" s="19"/>
      <c r="AK246" s="19"/>
      <c r="AL246" s="19"/>
      <c r="AM246" s="19"/>
      <c r="AN246" s="19"/>
      <c r="AO246" s="19"/>
      <c r="AP246" s="19"/>
      <c r="AQ246" s="19"/>
      <c r="AR246" s="19"/>
      <c r="AS246" s="19"/>
      <c r="AT246" s="19"/>
      <c r="AU246" s="19"/>
      <c r="AV246" s="19"/>
      <c r="AW246" s="19"/>
      <c r="AX246" s="19"/>
      <c r="AY246" s="19"/>
      <c r="AZ246" s="19"/>
      <c r="BA246" s="19"/>
      <c r="BB246" s="19"/>
      <c r="BC246" s="19"/>
      <c r="BD246" s="19"/>
      <c r="BE246" s="19"/>
      <c r="BF246" s="19"/>
      <c r="BG246" s="19"/>
      <c r="BH246" s="19"/>
      <c r="BI246" s="19"/>
      <c r="BJ246" s="19"/>
      <c r="BK246" s="19"/>
      <c r="BL246" s="19"/>
      <c r="BM246" s="19"/>
      <c r="BN246" s="19"/>
      <c r="BO246" s="19"/>
      <c r="BP246" s="19"/>
      <c r="BQ246" s="19"/>
      <c r="BR246" s="19"/>
      <c r="BS246" s="19"/>
      <c r="BT246" s="19"/>
      <c r="BU246" s="19"/>
      <c r="BV246" s="19"/>
      <c r="BW246" s="19"/>
      <c r="BX246" s="19"/>
      <c r="BY246" s="19"/>
      <c r="BZ246" s="19"/>
      <c r="CA246" s="19"/>
      <c r="CB246" s="19"/>
      <c r="CC246" s="19"/>
      <c r="CD246" s="19"/>
      <c r="CE246" s="19"/>
      <c r="CF246" s="6"/>
    </row>
    <row r="247" spans="1:256">
      <c r="A247" s="18" t="str">
        <f t="shared" si="378"/>
        <v>Bond 5</v>
      </c>
      <c r="B247" s="18">
        <f t="shared" si="379"/>
        <v>99.039223661173267</v>
      </c>
      <c r="C247" s="18">
        <f t="shared" si="380"/>
        <v>99.002965753424661</v>
      </c>
      <c r="D247" s="18">
        <f t="shared" si="381"/>
        <v>4.5419652913555503E-5</v>
      </c>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c r="AI247" s="19"/>
      <c r="AJ247" s="19"/>
      <c r="AK247" s="19"/>
      <c r="AL247" s="19"/>
      <c r="AM247" s="19"/>
      <c r="AN247" s="19"/>
      <c r="AO247" s="19"/>
      <c r="AP247" s="19"/>
      <c r="AQ247" s="19"/>
      <c r="AR247" s="19"/>
      <c r="AS247" s="19"/>
      <c r="AT247" s="19"/>
      <c r="AU247" s="19"/>
      <c r="AV247" s="19"/>
      <c r="AW247" s="19"/>
      <c r="AX247" s="19"/>
      <c r="AY247" s="19"/>
      <c r="AZ247" s="19"/>
      <c r="BA247" s="19"/>
      <c r="BB247" s="19"/>
      <c r="BC247" s="19"/>
      <c r="BD247" s="19"/>
      <c r="BE247" s="19"/>
      <c r="BF247" s="19"/>
      <c r="BG247" s="19"/>
      <c r="BH247" s="19"/>
      <c r="BI247" s="19"/>
      <c r="BJ247" s="19"/>
      <c r="BK247" s="19"/>
      <c r="BL247" s="19"/>
      <c r="BM247" s="19"/>
      <c r="BN247" s="19"/>
      <c r="BO247" s="19"/>
      <c r="BP247" s="19"/>
      <c r="BQ247" s="19"/>
      <c r="BR247" s="19"/>
      <c r="BS247" s="19"/>
      <c r="BT247" s="19"/>
      <c r="BU247" s="19"/>
      <c r="BV247" s="19"/>
      <c r="BW247" s="19"/>
      <c r="BX247" s="19"/>
      <c r="BY247" s="19"/>
      <c r="BZ247" s="19"/>
      <c r="CA247" s="19"/>
      <c r="CB247" s="19"/>
      <c r="CC247" s="19"/>
      <c r="CD247" s="19"/>
      <c r="CE247" s="19"/>
      <c r="CF247" s="6"/>
    </row>
    <row r="248" spans="1:256">
      <c r="A248" s="18" t="str">
        <f t="shared" si="378"/>
        <v>Bond 6</v>
      </c>
      <c r="B248" s="18">
        <f t="shared" si="379"/>
        <v>101.72976862463871</v>
      </c>
      <c r="C248" s="18">
        <f t="shared" si="380"/>
        <v>101.74831506849316</v>
      </c>
      <c r="D248" s="18">
        <f t="shared" si="381"/>
        <v>1.0429331784378417E-5</v>
      </c>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c r="AI248" s="19"/>
      <c r="AJ248" s="19"/>
      <c r="AK248" s="19"/>
      <c r="AL248" s="19"/>
      <c r="AM248" s="19"/>
      <c r="AN248" s="19"/>
      <c r="AO248" s="19"/>
      <c r="AP248" s="19"/>
      <c r="AQ248" s="19"/>
      <c r="AR248" s="19"/>
      <c r="AS248" s="19"/>
      <c r="AT248" s="19"/>
      <c r="AU248" s="19"/>
      <c r="AV248" s="19"/>
      <c r="AW248" s="19"/>
      <c r="AX248" s="19"/>
      <c r="AY248" s="19"/>
      <c r="AZ248" s="19"/>
      <c r="BA248" s="19"/>
      <c r="BB248" s="19"/>
      <c r="BC248" s="19"/>
      <c r="BD248" s="19"/>
      <c r="BE248" s="19"/>
      <c r="BF248" s="19"/>
      <c r="BG248" s="19"/>
      <c r="BH248" s="19"/>
      <c r="BI248" s="19"/>
      <c r="BJ248" s="19"/>
      <c r="BK248" s="19"/>
      <c r="BL248" s="19"/>
      <c r="BM248" s="19"/>
      <c r="BN248" s="19"/>
      <c r="BO248" s="19"/>
      <c r="BP248" s="19"/>
      <c r="BQ248" s="19"/>
      <c r="BR248" s="19"/>
      <c r="BS248" s="19"/>
      <c r="BT248" s="19"/>
      <c r="BU248" s="19"/>
      <c r="BV248" s="19"/>
      <c r="BW248" s="19"/>
      <c r="BX248" s="19"/>
      <c r="BY248" s="19"/>
      <c r="BZ248" s="19"/>
      <c r="CA248" s="19"/>
      <c r="CB248" s="19"/>
      <c r="CC248" s="19"/>
      <c r="CD248" s="19"/>
      <c r="CE248" s="19"/>
      <c r="CF248" s="12"/>
    </row>
    <row r="249" spans="1:256">
      <c r="A249" s="18" t="str">
        <f t="shared" si="378"/>
        <v>Bond 7</v>
      </c>
      <c r="B249" s="18">
        <f t="shared" si="379"/>
        <v>104.37966990945387</v>
      </c>
      <c r="C249" s="18">
        <f t="shared" si="380"/>
        <v>104.56654794520547</v>
      </c>
      <c r="D249" s="18">
        <f t="shared" si="381"/>
        <v>8.4798823020447531E-4</v>
      </c>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c r="AS249" s="19"/>
      <c r="AT249" s="19"/>
      <c r="AU249" s="19"/>
      <c r="AV249" s="19"/>
      <c r="AW249" s="19"/>
      <c r="AX249" s="19"/>
      <c r="AY249" s="19"/>
      <c r="AZ249" s="19"/>
      <c r="BA249" s="19"/>
      <c r="BB249" s="19"/>
      <c r="BC249" s="19"/>
      <c r="BD249" s="19"/>
      <c r="BE249" s="19"/>
      <c r="BF249" s="19"/>
      <c r="BG249" s="19"/>
      <c r="BH249" s="19"/>
      <c r="BI249" s="19"/>
      <c r="BJ249" s="19"/>
      <c r="BK249" s="19"/>
      <c r="BL249" s="19"/>
      <c r="BM249" s="19"/>
      <c r="BN249" s="19"/>
      <c r="BO249" s="19"/>
      <c r="BP249" s="19"/>
      <c r="BQ249" s="19"/>
      <c r="BR249" s="19"/>
      <c r="BS249" s="19"/>
      <c r="BT249" s="19"/>
      <c r="BU249" s="19"/>
      <c r="BV249" s="19"/>
      <c r="BW249" s="19"/>
      <c r="BX249" s="19"/>
      <c r="BY249" s="19"/>
      <c r="BZ249" s="19"/>
      <c r="CA249" s="19"/>
      <c r="CB249" s="19"/>
      <c r="CC249" s="19"/>
      <c r="CD249" s="19"/>
      <c r="CE249" s="19"/>
      <c r="CF249" s="12"/>
    </row>
    <row r="250" spans="1:256">
      <c r="A250" s="18" t="str">
        <f t="shared" si="378"/>
        <v>Bond 8</v>
      </c>
      <c r="B250" s="18">
        <f t="shared" si="379"/>
        <v>104.6263461620174</v>
      </c>
      <c r="C250" s="18">
        <f t="shared" si="380"/>
        <v>104.87392465753425</v>
      </c>
      <c r="D250" s="18">
        <f t="shared" si="381"/>
        <v>1.1829400181073764E-3</v>
      </c>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c r="AK250" s="19"/>
      <c r="AL250" s="19"/>
      <c r="AM250" s="19"/>
      <c r="AN250" s="19"/>
      <c r="AO250" s="19"/>
      <c r="AP250" s="19"/>
      <c r="AQ250" s="19"/>
      <c r="AR250" s="19"/>
      <c r="AS250" s="19"/>
      <c r="AT250" s="19"/>
      <c r="AU250" s="19"/>
      <c r="AV250" s="19"/>
      <c r="AW250" s="19"/>
      <c r="AX250" s="19"/>
      <c r="AY250" s="19"/>
      <c r="AZ250" s="19"/>
      <c r="BA250" s="19"/>
      <c r="BB250" s="19"/>
      <c r="BC250" s="19"/>
      <c r="BD250" s="19"/>
      <c r="BE250" s="19"/>
      <c r="BF250" s="19"/>
      <c r="BG250" s="19"/>
      <c r="BH250" s="19"/>
      <c r="BI250" s="19"/>
      <c r="BJ250" s="19"/>
      <c r="BK250" s="19"/>
      <c r="BL250" s="19"/>
      <c r="BM250" s="19"/>
      <c r="BN250" s="19"/>
      <c r="BO250" s="19"/>
      <c r="BP250" s="19"/>
      <c r="BQ250" s="19"/>
      <c r="BR250" s="19"/>
      <c r="BS250" s="19"/>
      <c r="BT250" s="19"/>
      <c r="BU250" s="19"/>
      <c r="BV250" s="19"/>
      <c r="BW250" s="19"/>
      <c r="BX250" s="19"/>
      <c r="BY250" s="19"/>
      <c r="BZ250" s="19"/>
      <c r="CA250" s="19"/>
      <c r="CB250" s="19"/>
      <c r="CC250" s="19"/>
      <c r="CD250" s="19"/>
      <c r="CE250" s="19"/>
      <c r="CF250" s="12"/>
    </row>
    <row r="251" spans="1:256">
      <c r="A251" s="18" t="str">
        <f t="shared" si="378"/>
        <v>Bond 9</v>
      </c>
      <c r="B251" s="18">
        <f t="shared" si="379"/>
        <v>100.25221782322402</v>
      </c>
      <c r="C251" s="18">
        <f t="shared" si="380"/>
        <v>100.50861643835616</v>
      </c>
      <c r="D251" s="18">
        <f t="shared" si="381"/>
        <v>1.073152132336263E-3</v>
      </c>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c r="AK251" s="19"/>
      <c r="AL251" s="19"/>
      <c r="AM251" s="19"/>
      <c r="AN251" s="19"/>
      <c r="AO251" s="19"/>
      <c r="AP251" s="19"/>
      <c r="AQ251" s="19"/>
      <c r="AR251" s="19"/>
      <c r="AS251" s="19"/>
      <c r="AT251" s="19"/>
      <c r="AU251" s="19"/>
      <c r="AV251" s="19"/>
      <c r="AW251" s="19"/>
      <c r="AX251" s="19"/>
      <c r="AY251" s="19"/>
      <c r="AZ251" s="19"/>
      <c r="BA251" s="19"/>
      <c r="BB251" s="19"/>
      <c r="BC251" s="19"/>
      <c r="BD251" s="19"/>
      <c r="BE251" s="19"/>
      <c r="BF251" s="19"/>
      <c r="BG251" s="19"/>
      <c r="BH251" s="19"/>
      <c r="BI251" s="19"/>
      <c r="BJ251" s="19"/>
      <c r="BK251" s="19"/>
      <c r="BL251" s="19"/>
      <c r="BM251" s="19"/>
      <c r="BN251" s="19"/>
      <c r="BO251" s="19"/>
      <c r="BP251" s="19"/>
      <c r="BQ251" s="19"/>
      <c r="BR251" s="19"/>
      <c r="BS251" s="19"/>
      <c r="BT251" s="19"/>
      <c r="BU251" s="19"/>
      <c r="BV251" s="19"/>
      <c r="BW251" s="19"/>
      <c r="BX251" s="19"/>
      <c r="BY251" s="19"/>
      <c r="BZ251" s="19"/>
      <c r="CA251" s="19"/>
      <c r="CB251" s="19"/>
      <c r="CC251" s="19"/>
      <c r="CD251" s="19"/>
      <c r="CE251" s="19"/>
      <c r="CF251" s="6"/>
    </row>
    <row r="252" spans="1:256">
      <c r="A252" s="18" t="str">
        <f t="shared" si="378"/>
        <v>Bond 10</v>
      </c>
      <c r="B252" s="18">
        <f t="shared" si="379"/>
        <v>96.388202989177842</v>
      </c>
      <c r="C252" s="18">
        <f t="shared" si="380"/>
        <v>96.659910958904121</v>
      </c>
      <c r="D252" s="18">
        <f t="shared" si="381"/>
        <v>1.0422728549443188E-3</v>
      </c>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19"/>
      <c r="AE252" s="19"/>
      <c r="AF252" s="19"/>
      <c r="AG252" s="19"/>
      <c r="AH252" s="19"/>
      <c r="AI252" s="19"/>
      <c r="AJ252" s="19"/>
      <c r="AK252" s="19"/>
      <c r="AL252" s="19"/>
      <c r="AM252" s="19"/>
      <c r="AN252" s="19"/>
      <c r="AO252" s="19"/>
      <c r="AP252" s="19"/>
      <c r="AQ252" s="19"/>
      <c r="AR252" s="19"/>
      <c r="AS252" s="19"/>
      <c r="AT252" s="19"/>
      <c r="AU252" s="19"/>
      <c r="AV252" s="19"/>
      <c r="AW252" s="19"/>
      <c r="AX252" s="19"/>
      <c r="AY252" s="19"/>
      <c r="AZ252" s="19"/>
      <c r="BA252" s="19"/>
      <c r="BB252" s="19"/>
      <c r="BC252" s="19"/>
      <c r="BD252" s="19"/>
      <c r="BE252" s="19"/>
      <c r="BF252" s="19"/>
      <c r="BG252" s="19"/>
      <c r="BH252" s="19"/>
      <c r="BI252" s="19"/>
      <c r="BJ252" s="19"/>
      <c r="BK252" s="19"/>
      <c r="BL252" s="19"/>
      <c r="BM252" s="19"/>
      <c r="BN252" s="19"/>
      <c r="BO252" s="19"/>
      <c r="BP252" s="19"/>
      <c r="BQ252" s="19"/>
      <c r="BR252" s="19"/>
      <c r="BS252" s="19"/>
      <c r="BT252" s="19"/>
      <c r="BU252" s="19"/>
      <c r="BV252" s="19"/>
      <c r="BW252" s="19"/>
      <c r="BX252" s="19"/>
      <c r="BY252" s="19"/>
      <c r="BZ252" s="19"/>
      <c r="CA252" s="19"/>
      <c r="CB252" s="19"/>
      <c r="CC252" s="19"/>
      <c r="CD252" s="19"/>
      <c r="CE252" s="19"/>
      <c r="CF252" s="6"/>
    </row>
    <row r="253" spans="1:256">
      <c r="A253" s="18" t="str">
        <f t="shared" si="378"/>
        <v>Bond 11</v>
      </c>
      <c r="B253" s="18">
        <f t="shared" si="379"/>
        <v>104.24674171436874</v>
      </c>
      <c r="C253" s="18">
        <f t="shared" si="380"/>
        <v>104.57832191780822</v>
      </c>
      <c r="D253" s="18">
        <f t="shared" si="381"/>
        <v>1.4391595350263973E-3</v>
      </c>
      <c r="E253" s="19"/>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19"/>
      <c r="AE253" s="19"/>
      <c r="AF253" s="19"/>
      <c r="AG253" s="19"/>
      <c r="AH253" s="19"/>
      <c r="AI253" s="19"/>
      <c r="AJ253" s="19"/>
      <c r="AK253" s="19"/>
      <c r="AL253" s="19"/>
      <c r="AM253" s="19"/>
      <c r="AN253" s="19"/>
      <c r="AO253" s="19"/>
      <c r="AP253" s="19"/>
      <c r="AQ253" s="19"/>
      <c r="AR253" s="19"/>
      <c r="AS253" s="19"/>
      <c r="AT253" s="19"/>
      <c r="AU253" s="19"/>
      <c r="AV253" s="19"/>
      <c r="AW253" s="19"/>
      <c r="AX253" s="19"/>
      <c r="AY253" s="19"/>
      <c r="AZ253" s="19"/>
      <c r="BA253" s="19"/>
      <c r="BB253" s="19"/>
      <c r="BC253" s="19"/>
      <c r="BD253" s="19"/>
      <c r="BE253" s="19"/>
      <c r="BF253" s="19"/>
      <c r="BG253" s="19"/>
      <c r="BH253" s="19"/>
      <c r="BI253" s="19"/>
      <c r="BJ253" s="19"/>
      <c r="BK253" s="19"/>
      <c r="BL253" s="19"/>
      <c r="BM253" s="19"/>
      <c r="BN253" s="19"/>
      <c r="BO253" s="19"/>
      <c r="BP253" s="19"/>
      <c r="BQ253" s="19"/>
      <c r="BR253" s="19"/>
      <c r="BS253" s="19"/>
      <c r="BT253" s="19"/>
      <c r="BU253" s="19"/>
      <c r="BV253" s="19"/>
      <c r="BW253" s="19"/>
      <c r="BX253" s="19"/>
      <c r="BY253" s="19"/>
      <c r="BZ253" s="19"/>
      <c r="CA253" s="19"/>
      <c r="CB253" s="19"/>
      <c r="CC253" s="19"/>
      <c r="CD253" s="19"/>
      <c r="CE253" s="19"/>
      <c r="CF253" s="12"/>
    </row>
    <row r="254" spans="1:256">
      <c r="A254" s="18" t="str">
        <f t="shared" si="378"/>
        <v>Bond 12</v>
      </c>
      <c r="B254" s="18">
        <f t="shared" si="379"/>
        <v>106.85733561771426</v>
      </c>
      <c r="C254" s="18">
        <f t="shared" si="380"/>
        <v>107.27392465753424</v>
      </c>
      <c r="D254" s="18">
        <f t="shared" si="381"/>
        <v>2.0813409506507835E-3</v>
      </c>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19"/>
      <c r="AE254" s="19"/>
      <c r="AF254" s="19"/>
      <c r="AG254" s="19"/>
      <c r="AH254" s="19"/>
      <c r="AI254" s="19"/>
      <c r="AJ254" s="19"/>
      <c r="AK254" s="19"/>
      <c r="AL254" s="19"/>
      <c r="AM254" s="19"/>
      <c r="AN254" s="19"/>
      <c r="AO254" s="19"/>
      <c r="AP254" s="19"/>
      <c r="AQ254" s="19"/>
      <c r="AR254" s="19"/>
      <c r="AS254" s="19"/>
      <c r="AT254" s="19"/>
      <c r="AU254" s="19"/>
      <c r="AV254" s="19"/>
      <c r="AW254" s="19"/>
      <c r="AX254" s="19"/>
      <c r="AY254" s="19"/>
      <c r="AZ254" s="19"/>
      <c r="BA254" s="19"/>
      <c r="BB254" s="19"/>
      <c r="BC254" s="19"/>
      <c r="BD254" s="19"/>
      <c r="BE254" s="19"/>
      <c r="BF254" s="19"/>
      <c r="BG254" s="19"/>
      <c r="BH254" s="19"/>
      <c r="BI254" s="19"/>
      <c r="BJ254" s="19"/>
      <c r="BK254" s="19"/>
      <c r="BL254" s="19"/>
      <c r="BM254" s="19"/>
      <c r="BN254" s="19"/>
      <c r="BO254" s="19"/>
      <c r="BP254" s="19"/>
      <c r="BQ254" s="19"/>
      <c r="BR254" s="19"/>
      <c r="BS254" s="19"/>
      <c r="BT254" s="19"/>
      <c r="BU254" s="19"/>
      <c r="BV254" s="19"/>
      <c r="BW254" s="19"/>
      <c r="BX254" s="19"/>
      <c r="BY254" s="19"/>
      <c r="BZ254" s="19"/>
      <c r="CA254" s="19"/>
      <c r="CB254" s="19"/>
      <c r="CC254" s="19"/>
      <c r="CD254" s="19"/>
      <c r="CE254" s="19"/>
      <c r="CF254" s="12"/>
    </row>
    <row r="255" spans="1:256">
      <c r="A255" s="18" t="str">
        <f t="shared" si="378"/>
        <v>Bond 13</v>
      </c>
      <c r="B255" s="18">
        <f t="shared" si="379"/>
        <v>153.07707424804315</v>
      </c>
      <c r="C255" s="18">
        <f t="shared" si="380"/>
        <v>152.05905479452053</v>
      </c>
      <c r="D255" s="18">
        <f t="shared" si="381"/>
        <v>8.4381892012578355E-3</v>
      </c>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9"/>
      <c r="AE255" s="19"/>
      <c r="AF255" s="19"/>
      <c r="AG255" s="19"/>
      <c r="AH255" s="19"/>
      <c r="AI255" s="19"/>
      <c r="AJ255" s="19"/>
      <c r="AK255" s="19"/>
      <c r="AL255" s="19"/>
      <c r="AM255" s="19"/>
      <c r="AN255" s="19"/>
      <c r="AO255" s="19"/>
      <c r="AP255" s="19"/>
      <c r="AQ255" s="19"/>
      <c r="AR255" s="19"/>
      <c r="AS255" s="19"/>
      <c r="AT255" s="19"/>
      <c r="AU255" s="19"/>
      <c r="AV255" s="19"/>
      <c r="AW255" s="19"/>
      <c r="AX255" s="19"/>
      <c r="AY255" s="19"/>
      <c r="AZ255" s="19"/>
      <c r="BA255" s="19"/>
      <c r="BB255" s="19"/>
      <c r="BC255" s="19"/>
      <c r="BD255" s="19"/>
      <c r="BE255" s="19"/>
      <c r="BF255" s="19"/>
      <c r="BG255" s="19"/>
      <c r="BH255" s="19"/>
      <c r="BI255" s="19"/>
      <c r="BJ255" s="19"/>
      <c r="BK255" s="19"/>
      <c r="BL255" s="19"/>
      <c r="BM255" s="19"/>
      <c r="BN255" s="19"/>
      <c r="BO255" s="19"/>
      <c r="BP255" s="19"/>
      <c r="BQ255" s="19"/>
      <c r="BR255" s="19"/>
      <c r="BS255" s="19"/>
      <c r="BT255" s="19"/>
      <c r="BU255" s="19"/>
      <c r="BV255" s="19"/>
      <c r="BW255" s="19"/>
      <c r="BX255" s="19"/>
      <c r="BY255" s="19"/>
      <c r="BZ255" s="19"/>
      <c r="CA255" s="19"/>
      <c r="CB255" s="19"/>
      <c r="CC255" s="19"/>
      <c r="CD255" s="19"/>
      <c r="CE255" s="19"/>
      <c r="CF255" s="12"/>
    </row>
    <row r="256" spans="1:256">
      <c r="A256" s="18" t="str">
        <f t="shared" si="378"/>
        <v>Bond 14</v>
      </c>
      <c r="B256" s="18">
        <f t="shared" si="379"/>
        <v>124.158452934894</v>
      </c>
      <c r="C256" s="18">
        <f t="shared" si="380"/>
        <v>124.53313013698632</v>
      </c>
      <c r="D256" s="18">
        <f t="shared" si="381"/>
        <v>7.070743689562446E-4</v>
      </c>
      <c r="E256" s="19"/>
      <c r="F256" s="19"/>
      <c r="G256" s="19"/>
      <c r="H256" s="19"/>
      <c r="I256" s="19"/>
      <c r="J256" s="19"/>
      <c r="K256" s="19"/>
      <c r="L256" s="19"/>
      <c r="M256" s="19"/>
      <c r="N256" s="19"/>
      <c r="O256" s="19"/>
      <c r="P256" s="19"/>
      <c r="Q256" s="19"/>
      <c r="R256" s="19"/>
      <c r="S256" s="19"/>
      <c r="T256" s="19"/>
      <c r="U256" s="19"/>
      <c r="V256" s="19"/>
      <c r="W256" s="19"/>
      <c r="X256" s="19"/>
      <c r="Y256" s="19"/>
      <c r="Z256" s="19"/>
      <c r="AA256" s="19"/>
      <c r="AB256" s="19"/>
      <c r="AC256" s="19"/>
      <c r="AD256" s="19"/>
      <c r="AE256" s="19"/>
      <c r="AF256" s="19"/>
      <c r="AG256" s="19"/>
      <c r="AH256" s="19"/>
      <c r="AI256" s="19"/>
      <c r="AJ256" s="19"/>
      <c r="AK256" s="19"/>
      <c r="AL256" s="19"/>
      <c r="AM256" s="19"/>
      <c r="AN256" s="19"/>
      <c r="AO256" s="19"/>
      <c r="AP256" s="19"/>
      <c r="AQ256" s="19"/>
      <c r="AR256" s="19"/>
      <c r="AS256" s="19"/>
      <c r="AT256" s="19"/>
      <c r="AU256" s="19"/>
      <c r="AV256" s="19"/>
      <c r="AW256" s="19"/>
      <c r="AX256" s="19"/>
      <c r="AY256" s="19"/>
      <c r="AZ256" s="19"/>
      <c r="BA256" s="19"/>
      <c r="BB256" s="19"/>
      <c r="BC256" s="19"/>
      <c r="BD256" s="19"/>
      <c r="BE256" s="19"/>
      <c r="BF256" s="19"/>
      <c r="BG256" s="19"/>
      <c r="BH256" s="19"/>
      <c r="BI256" s="19"/>
      <c r="BJ256" s="19"/>
      <c r="BK256" s="19"/>
      <c r="BL256" s="19"/>
      <c r="BM256" s="19"/>
      <c r="BN256" s="19"/>
      <c r="BO256" s="19"/>
      <c r="BP256" s="19"/>
      <c r="BQ256" s="19"/>
      <c r="BR256" s="19"/>
      <c r="BS256" s="19"/>
      <c r="BT256" s="19"/>
      <c r="BU256" s="19"/>
      <c r="BV256" s="19"/>
      <c r="BW256" s="19"/>
      <c r="BX256" s="19"/>
      <c r="BY256" s="19"/>
      <c r="BZ256" s="19"/>
      <c r="CA256" s="19"/>
      <c r="CB256" s="19"/>
      <c r="CC256" s="19"/>
      <c r="CD256" s="19"/>
      <c r="CE256" s="19"/>
      <c r="CF256" s="6"/>
    </row>
    <row r="257" spans="1:84">
      <c r="A257" s="18"/>
      <c r="B257" s="230"/>
      <c r="C257" s="230"/>
      <c r="D257" s="230"/>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9"/>
      <c r="AD257" s="19"/>
      <c r="AE257" s="19"/>
      <c r="AF257" s="19"/>
      <c r="AG257" s="19"/>
      <c r="AH257" s="19"/>
      <c r="AI257" s="19"/>
      <c r="AJ257" s="19"/>
      <c r="AK257" s="19"/>
      <c r="AL257" s="19"/>
      <c r="AM257" s="19"/>
      <c r="AN257" s="19"/>
      <c r="AO257" s="19"/>
      <c r="AP257" s="19"/>
      <c r="AQ257" s="19"/>
      <c r="AR257" s="19"/>
      <c r="AS257" s="19"/>
      <c r="AT257" s="19"/>
      <c r="AU257" s="19"/>
      <c r="AV257" s="19"/>
      <c r="AW257" s="19"/>
      <c r="AX257" s="19"/>
      <c r="AY257" s="19"/>
      <c r="AZ257" s="19"/>
      <c r="BA257" s="19"/>
      <c r="BB257" s="19"/>
      <c r="BC257" s="19"/>
      <c r="BD257" s="19"/>
      <c r="BE257" s="19"/>
      <c r="BF257" s="19"/>
      <c r="BG257" s="19"/>
      <c r="BH257" s="19"/>
      <c r="BI257" s="19"/>
      <c r="BJ257" s="19"/>
      <c r="BK257" s="19"/>
      <c r="BL257" s="19"/>
      <c r="BM257" s="19"/>
      <c r="BN257" s="19"/>
      <c r="BO257" s="19"/>
      <c r="BP257" s="19"/>
      <c r="BQ257" s="19"/>
      <c r="BR257" s="19"/>
      <c r="BS257" s="19"/>
      <c r="BT257" s="19"/>
      <c r="BU257" s="19"/>
      <c r="BV257" s="19"/>
      <c r="BW257" s="19"/>
      <c r="BX257" s="19"/>
      <c r="BY257" s="19"/>
      <c r="BZ257" s="19"/>
      <c r="CA257" s="19"/>
      <c r="CB257" s="19"/>
      <c r="CC257" s="19"/>
      <c r="CD257" s="19"/>
      <c r="CE257" s="19"/>
      <c r="CF257" s="6"/>
    </row>
    <row r="258" spans="1:84">
      <c r="A258" s="18"/>
      <c r="B258" s="18"/>
      <c r="C258" s="18"/>
      <c r="D258" s="18"/>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9"/>
      <c r="AD258" s="19"/>
      <c r="AE258" s="19"/>
      <c r="AF258" s="19"/>
      <c r="AG258" s="19"/>
      <c r="AH258" s="19"/>
      <c r="AI258" s="19"/>
      <c r="AJ258" s="19"/>
      <c r="AK258" s="19"/>
      <c r="AL258" s="19"/>
      <c r="AM258" s="19"/>
      <c r="AN258" s="19"/>
      <c r="AO258" s="19"/>
      <c r="AP258" s="19"/>
      <c r="AQ258" s="19"/>
      <c r="AR258" s="19"/>
      <c r="AS258" s="19"/>
      <c r="AT258" s="19"/>
      <c r="AU258" s="19"/>
      <c r="AV258" s="19"/>
      <c r="AW258" s="19"/>
      <c r="AX258" s="19"/>
      <c r="AY258" s="19"/>
      <c r="AZ258" s="19"/>
      <c r="BA258" s="19"/>
      <c r="BB258" s="19"/>
      <c r="BC258" s="19"/>
      <c r="BD258" s="19"/>
      <c r="BE258" s="19"/>
      <c r="BF258" s="19"/>
      <c r="BG258" s="19"/>
      <c r="BH258" s="19"/>
      <c r="BI258" s="19"/>
      <c r="BJ258" s="19"/>
      <c r="BK258" s="19"/>
      <c r="BL258" s="19"/>
      <c r="BM258" s="19"/>
      <c r="BN258" s="19"/>
      <c r="BO258" s="19"/>
      <c r="BP258" s="19"/>
      <c r="BQ258" s="19"/>
      <c r="BR258" s="19"/>
      <c r="BS258" s="19"/>
      <c r="BT258" s="19"/>
      <c r="BU258" s="19"/>
      <c r="BV258" s="19"/>
      <c r="BW258" s="19"/>
      <c r="BX258" s="19"/>
      <c r="BY258" s="19"/>
      <c r="BZ258" s="19"/>
      <c r="CA258" s="19"/>
      <c r="CB258" s="19"/>
      <c r="CC258" s="19"/>
      <c r="CD258" s="19"/>
      <c r="CE258" s="19"/>
      <c r="CF258" s="6"/>
    </row>
    <row r="259" spans="1:84">
      <c r="A259" s="18"/>
      <c r="B259" s="18"/>
      <c r="C259" s="18"/>
      <c r="D259" s="18"/>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c r="BP259" s="19"/>
      <c r="BQ259" s="19"/>
      <c r="BR259" s="19"/>
      <c r="BS259" s="19"/>
      <c r="BT259" s="19"/>
      <c r="BU259" s="19"/>
      <c r="BV259" s="19"/>
      <c r="BW259" s="19"/>
      <c r="BX259" s="19"/>
      <c r="BY259" s="19"/>
      <c r="BZ259" s="19"/>
      <c r="CA259" s="19"/>
      <c r="CB259" s="19"/>
      <c r="CC259" s="19"/>
      <c r="CD259" s="19"/>
      <c r="CE259" s="19"/>
      <c r="CF259" s="6"/>
    </row>
    <row r="260" spans="1:84">
      <c r="A260" s="18"/>
      <c r="B260" s="18"/>
      <c r="C260" s="18"/>
      <c r="D260" s="18"/>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c r="AG260" s="19"/>
      <c r="AH260" s="19"/>
      <c r="AI260" s="19"/>
      <c r="AJ260" s="19"/>
      <c r="AK260" s="19"/>
      <c r="AL260" s="19"/>
      <c r="AM260" s="19"/>
      <c r="AN260" s="19"/>
      <c r="AO260" s="19"/>
      <c r="AP260" s="19"/>
      <c r="AQ260" s="19"/>
      <c r="AR260" s="19"/>
      <c r="AS260" s="19"/>
      <c r="AT260" s="19"/>
      <c r="AU260" s="19"/>
      <c r="AV260" s="19"/>
      <c r="AW260" s="19"/>
      <c r="AX260" s="19"/>
      <c r="AY260" s="19"/>
      <c r="AZ260" s="19"/>
      <c r="BA260" s="19"/>
      <c r="BB260" s="19"/>
      <c r="BC260" s="19"/>
      <c r="BD260" s="19"/>
      <c r="BE260" s="19"/>
      <c r="BF260" s="19"/>
      <c r="BG260" s="19"/>
      <c r="BH260" s="19"/>
      <c r="BI260" s="19"/>
      <c r="BJ260" s="19"/>
      <c r="BK260" s="19"/>
      <c r="BL260" s="19"/>
      <c r="BM260" s="19"/>
      <c r="BN260" s="19"/>
      <c r="BO260" s="19"/>
      <c r="BP260" s="19"/>
      <c r="BQ260" s="19"/>
      <c r="BR260" s="19"/>
      <c r="BS260" s="19"/>
      <c r="BT260" s="19"/>
      <c r="BU260" s="19"/>
      <c r="BV260" s="19"/>
      <c r="BW260" s="19"/>
      <c r="BX260" s="19"/>
      <c r="BY260" s="19"/>
      <c r="BZ260" s="19"/>
      <c r="CA260" s="19"/>
      <c r="CB260" s="19"/>
      <c r="CC260" s="19"/>
      <c r="CD260" s="19"/>
      <c r="CE260" s="19"/>
      <c r="CF260" s="6"/>
    </row>
    <row r="261" spans="1:84">
      <c r="A261" s="18"/>
      <c r="B261" s="18"/>
      <c r="C261" s="18"/>
      <c r="D261" s="18"/>
      <c r="E261" s="19"/>
      <c r="F261" s="19"/>
      <c r="G261" s="19"/>
      <c r="H261" s="19"/>
      <c r="I261" s="19"/>
      <c r="J261" s="19"/>
      <c r="K261" s="19"/>
      <c r="L261" s="19"/>
      <c r="M261" s="19"/>
      <c r="N261" s="19"/>
      <c r="O261" s="19"/>
      <c r="P261" s="19"/>
      <c r="Q261" s="19"/>
      <c r="R261" s="19"/>
      <c r="S261" s="19"/>
      <c r="T261" s="19"/>
      <c r="U261" s="19"/>
      <c r="V261" s="19"/>
      <c r="W261" s="19"/>
      <c r="X261" s="19"/>
      <c r="Y261" s="19"/>
      <c r="Z261" s="19"/>
      <c r="AA261" s="19"/>
      <c r="AB261" s="19"/>
      <c r="AC261" s="19"/>
      <c r="AD261" s="19"/>
      <c r="AE261" s="19"/>
      <c r="AF261" s="19"/>
      <c r="AG261" s="19"/>
      <c r="AH261" s="19"/>
      <c r="AI261" s="19"/>
      <c r="AJ261" s="19"/>
      <c r="AK261" s="19"/>
      <c r="AL261" s="19"/>
      <c r="AM261" s="19"/>
      <c r="AN261" s="19"/>
      <c r="AO261" s="19"/>
      <c r="AP261" s="19"/>
      <c r="AQ261" s="19"/>
      <c r="AR261" s="19"/>
      <c r="AS261" s="19"/>
      <c r="AT261" s="19"/>
      <c r="AU261" s="19"/>
      <c r="AV261" s="19"/>
      <c r="AW261" s="19"/>
      <c r="AX261" s="19"/>
      <c r="AY261" s="19"/>
      <c r="AZ261" s="19"/>
      <c r="BA261" s="19"/>
      <c r="BB261" s="19"/>
      <c r="BC261" s="19"/>
      <c r="BD261" s="19"/>
      <c r="BE261" s="19"/>
      <c r="BF261" s="19"/>
      <c r="BG261" s="19"/>
      <c r="BH261" s="19"/>
      <c r="BI261" s="19"/>
      <c r="BJ261" s="19"/>
      <c r="BK261" s="19"/>
      <c r="BL261" s="19"/>
      <c r="BM261" s="19"/>
      <c r="BN261" s="19"/>
      <c r="BO261" s="19"/>
      <c r="BP261" s="19"/>
      <c r="BQ261" s="19"/>
      <c r="BR261" s="19"/>
      <c r="BS261" s="19"/>
      <c r="BT261" s="19"/>
      <c r="BU261" s="19"/>
      <c r="BV261" s="19"/>
      <c r="BW261" s="19"/>
      <c r="BX261" s="19"/>
      <c r="BY261" s="19"/>
      <c r="BZ261" s="19"/>
      <c r="CA261" s="19"/>
      <c r="CB261" s="19"/>
      <c r="CC261" s="19"/>
      <c r="CD261" s="19"/>
      <c r="CE261" s="19"/>
      <c r="CF261" s="6"/>
    </row>
    <row r="262" spans="1:84">
      <c r="A262" s="18"/>
      <c r="B262" s="18"/>
      <c r="C262" s="18"/>
      <c r="D262" s="18"/>
      <c r="E262" s="19"/>
      <c r="F262" s="19"/>
      <c r="G262" s="19"/>
      <c r="H262" s="19"/>
      <c r="I262" s="19"/>
      <c r="J262" s="19"/>
      <c r="K262" s="19"/>
      <c r="L262" s="19"/>
      <c r="M262" s="19"/>
      <c r="N262" s="19"/>
      <c r="O262" s="19"/>
      <c r="P262" s="19"/>
      <c r="Q262" s="19"/>
      <c r="R262" s="19"/>
      <c r="S262" s="19"/>
      <c r="T262" s="19"/>
      <c r="U262" s="19"/>
      <c r="V262" s="19"/>
      <c r="W262" s="19"/>
      <c r="X262" s="19"/>
      <c r="Y262" s="19"/>
      <c r="Z262" s="19"/>
      <c r="AA262" s="19"/>
      <c r="AB262" s="19"/>
      <c r="AC262" s="19"/>
      <c r="AD262" s="19"/>
      <c r="AE262" s="19"/>
      <c r="AF262" s="19"/>
      <c r="AG262" s="19"/>
      <c r="AH262" s="19"/>
      <c r="AI262" s="19"/>
      <c r="AJ262" s="19"/>
      <c r="AK262" s="19"/>
      <c r="AL262" s="19"/>
      <c r="AM262" s="19"/>
      <c r="AN262" s="19"/>
      <c r="AO262" s="19"/>
      <c r="AP262" s="19"/>
      <c r="AQ262" s="19"/>
      <c r="AR262" s="19"/>
      <c r="AS262" s="19"/>
      <c r="AT262" s="19"/>
      <c r="AU262" s="19"/>
      <c r="AV262" s="19"/>
      <c r="AW262" s="19"/>
      <c r="AX262" s="19"/>
      <c r="AY262" s="19"/>
      <c r="AZ262" s="19"/>
      <c r="BA262" s="19"/>
      <c r="BB262" s="19"/>
      <c r="BC262" s="19"/>
      <c r="BD262" s="19"/>
      <c r="BE262" s="19"/>
      <c r="BF262" s="19"/>
      <c r="BG262" s="19"/>
      <c r="BH262" s="19"/>
      <c r="BI262" s="19"/>
      <c r="BJ262" s="19"/>
      <c r="BK262" s="19"/>
      <c r="BL262" s="19"/>
      <c r="BM262" s="19"/>
      <c r="BN262" s="19"/>
      <c r="BO262" s="19"/>
      <c r="BP262" s="19"/>
      <c r="BQ262" s="19"/>
      <c r="BR262" s="19"/>
      <c r="BS262" s="19"/>
      <c r="BT262" s="19"/>
      <c r="BU262" s="19"/>
      <c r="BV262" s="19"/>
      <c r="BW262" s="19"/>
      <c r="BX262" s="19"/>
      <c r="BY262" s="19"/>
      <c r="BZ262" s="19"/>
      <c r="CA262" s="19"/>
      <c r="CB262" s="19"/>
      <c r="CC262" s="19"/>
      <c r="CD262" s="19"/>
      <c r="CE262" s="19"/>
      <c r="CF262" s="6"/>
    </row>
    <row r="263" spans="1:84">
      <c r="A263" s="18"/>
      <c r="B263" s="18"/>
      <c r="C263" s="18"/>
      <c r="D263" s="18"/>
      <c r="E263" s="20"/>
      <c r="F263" s="19"/>
      <c r="G263" s="19"/>
      <c r="H263" s="19"/>
      <c r="I263" s="19"/>
      <c r="J263" s="19"/>
      <c r="K263" s="19"/>
      <c r="L263" s="19"/>
      <c r="M263" s="19"/>
      <c r="N263" s="19"/>
      <c r="O263" s="19"/>
      <c r="P263" s="19"/>
      <c r="Q263" s="19"/>
      <c r="R263" s="19"/>
      <c r="S263" s="19"/>
      <c r="T263" s="19"/>
      <c r="U263" s="19"/>
      <c r="V263" s="19"/>
      <c r="W263" s="19"/>
      <c r="X263" s="19"/>
      <c r="Y263" s="19"/>
      <c r="Z263" s="19"/>
      <c r="AA263" s="19"/>
      <c r="AB263" s="19"/>
      <c r="AC263" s="19"/>
      <c r="AD263" s="19"/>
      <c r="AE263" s="19"/>
      <c r="AF263" s="19"/>
      <c r="AG263" s="19"/>
      <c r="AH263" s="19"/>
      <c r="AI263" s="19"/>
      <c r="AJ263" s="19"/>
      <c r="AK263" s="19"/>
      <c r="AL263" s="19"/>
      <c r="AM263" s="19"/>
      <c r="AN263" s="19"/>
      <c r="AO263" s="19"/>
      <c r="AP263" s="19"/>
      <c r="AQ263" s="19"/>
      <c r="AR263" s="19"/>
      <c r="AS263" s="19"/>
      <c r="AT263" s="19"/>
      <c r="AU263" s="19"/>
      <c r="AV263" s="19"/>
      <c r="AW263" s="19"/>
      <c r="AX263" s="19"/>
      <c r="AY263" s="19"/>
      <c r="AZ263" s="19"/>
      <c r="BA263" s="19"/>
      <c r="BB263" s="19"/>
      <c r="BC263" s="19"/>
      <c r="BD263" s="19"/>
      <c r="BE263" s="19"/>
      <c r="BF263" s="19"/>
      <c r="BG263" s="19"/>
      <c r="BH263" s="19"/>
      <c r="BI263" s="19"/>
      <c r="BJ263" s="19"/>
      <c r="BK263" s="19"/>
      <c r="BL263" s="19"/>
      <c r="BM263" s="19"/>
      <c r="BN263" s="19"/>
      <c r="BO263" s="19"/>
      <c r="BP263" s="19"/>
      <c r="BQ263" s="19"/>
      <c r="BR263" s="19"/>
      <c r="BS263" s="19"/>
      <c r="BT263" s="19"/>
      <c r="BU263" s="19"/>
      <c r="BV263" s="19"/>
      <c r="BW263" s="19"/>
      <c r="BX263" s="19"/>
      <c r="BY263" s="19"/>
      <c r="BZ263" s="19"/>
      <c r="CA263" s="19"/>
      <c r="CB263" s="19"/>
      <c r="CC263" s="19"/>
      <c r="CD263" s="19"/>
      <c r="CE263" s="19"/>
      <c r="CF263" s="6"/>
    </row>
    <row r="264" spans="1:84">
      <c r="A264" s="18"/>
      <c r="B264" s="18"/>
      <c r="C264" s="18"/>
      <c r="D264" s="18"/>
      <c r="E264" s="20"/>
      <c r="F264" s="19"/>
      <c r="G264" s="19"/>
      <c r="H264" s="19"/>
      <c r="I264" s="19"/>
      <c r="J264" s="19"/>
      <c r="K264" s="19"/>
      <c r="L264" s="19"/>
      <c r="M264" s="19"/>
      <c r="N264" s="19"/>
      <c r="O264" s="19"/>
      <c r="P264" s="19"/>
      <c r="Q264" s="19"/>
      <c r="R264" s="19"/>
      <c r="S264" s="19"/>
      <c r="T264" s="19"/>
      <c r="U264" s="19"/>
      <c r="V264" s="19"/>
      <c r="W264" s="19"/>
      <c r="X264" s="19"/>
      <c r="Y264" s="19"/>
      <c r="Z264" s="19"/>
      <c r="AA264" s="19"/>
      <c r="AB264" s="19"/>
      <c r="AC264" s="19"/>
      <c r="AD264" s="19"/>
      <c r="AE264" s="19"/>
      <c r="AF264" s="19"/>
      <c r="AG264" s="19"/>
      <c r="AH264" s="19"/>
      <c r="AI264" s="19"/>
      <c r="AJ264" s="19"/>
      <c r="AK264" s="19"/>
      <c r="AL264" s="19"/>
      <c r="AM264" s="19"/>
      <c r="AN264" s="19"/>
      <c r="AO264" s="19"/>
      <c r="AP264" s="19"/>
      <c r="AQ264" s="19"/>
      <c r="AR264" s="19"/>
      <c r="AS264" s="19"/>
      <c r="AT264" s="19"/>
      <c r="AU264" s="19"/>
      <c r="AV264" s="19"/>
      <c r="AW264" s="19"/>
      <c r="AX264" s="19"/>
      <c r="AY264" s="19"/>
      <c r="AZ264" s="19"/>
      <c r="BA264" s="19"/>
      <c r="BB264" s="19"/>
      <c r="BC264" s="19"/>
      <c r="BD264" s="19"/>
      <c r="BE264" s="19"/>
      <c r="BF264" s="19"/>
      <c r="BG264" s="19"/>
      <c r="BH264" s="19"/>
      <c r="BI264" s="19"/>
      <c r="BJ264" s="19"/>
      <c r="BK264" s="19"/>
      <c r="BL264" s="19"/>
      <c r="BM264" s="19"/>
      <c r="BN264" s="19"/>
      <c r="BO264" s="19"/>
      <c r="BP264" s="19"/>
      <c r="BQ264" s="19"/>
      <c r="BR264" s="19"/>
      <c r="BS264" s="19"/>
      <c r="BT264" s="19"/>
      <c r="BU264" s="19"/>
      <c r="BV264" s="19"/>
      <c r="BW264" s="19"/>
      <c r="BX264" s="19"/>
      <c r="BY264" s="19"/>
      <c r="BZ264" s="19"/>
      <c r="CA264" s="19"/>
      <c r="CB264" s="19"/>
      <c r="CC264" s="19"/>
      <c r="CD264" s="19"/>
      <c r="CE264" s="19"/>
      <c r="CF264" s="6"/>
    </row>
    <row r="265" spans="1:84">
      <c r="A265" s="18"/>
      <c r="B265" s="18"/>
      <c r="C265" s="18"/>
      <c r="D265" s="18"/>
      <c r="E265" s="20"/>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19"/>
      <c r="AE265" s="19"/>
      <c r="AF265" s="19"/>
      <c r="AG265" s="19"/>
      <c r="AH265" s="19"/>
      <c r="AI265" s="19"/>
      <c r="AJ265" s="19"/>
      <c r="AK265" s="19"/>
      <c r="AL265" s="19"/>
      <c r="AM265" s="19"/>
      <c r="AN265" s="19"/>
      <c r="AO265" s="19"/>
      <c r="AP265" s="19"/>
      <c r="AQ265" s="19"/>
      <c r="AR265" s="19"/>
      <c r="AS265" s="19"/>
      <c r="AT265" s="19"/>
      <c r="AU265" s="19"/>
      <c r="AV265" s="19"/>
      <c r="AW265" s="19"/>
      <c r="AX265" s="19"/>
      <c r="AY265" s="19"/>
      <c r="AZ265" s="19"/>
      <c r="BA265" s="19"/>
      <c r="BB265" s="19"/>
      <c r="BC265" s="19"/>
      <c r="BD265" s="19"/>
      <c r="BE265" s="19"/>
      <c r="BF265" s="19"/>
      <c r="BG265" s="19"/>
      <c r="BH265" s="19"/>
      <c r="BI265" s="19"/>
      <c r="BJ265" s="19"/>
      <c r="BK265" s="19"/>
      <c r="BL265" s="19"/>
      <c r="BM265" s="19"/>
      <c r="BN265" s="19"/>
      <c r="BO265" s="19"/>
      <c r="BP265" s="19"/>
      <c r="BQ265" s="19"/>
      <c r="BR265" s="19"/>
      <c r="BS265" s="19"/>
      <c r="BT265" s="19"/>
      <c r="BU265" s="19"/>
      <c r="BV265" s="19"/>
      <c r="BW265" s="19"/>
      <c r="BX265" s="19"/>
      <c r="BY265" s="19"/>
      <c r="BZ265" s="19"/>
      <c r="CA265" s="19"/>
      <c r="CB265" s="19"/>
      <c r="CC265" s="19"/>
      <c r="CD265" s="19"/>
      <c r="CE265" s="19"/>
      <c r="CF265" s="6"/>
    </row>
    <row r="266" spans="1:84">
      <c r="A266" s="18"/>
      <c r="B266" s="18"/>
      <c r="C266" s="18"/>
      <c r="D266" s="18"/>
      <c r="E266" s="20"/>
      <c r="F266" s="19"/>
      <c r="G266" s="19"/>
      <c r="H266" s="19"/>
      <c r="I266" s="19"/>
      <c r="J266" s="19"/>
      <c r="K266" s="19"/>
      <c r="L266" s="19"/>
      <c r="M266" s="19"/>
      <c r="N266" s="19"/>
      <c r="O266" s="19"/>
      <c r="P266" s="19"/>
      <c r="Q266" s="19"/>
      <c r="R266" s="19"/>
      <c r="S266" s="19"/>
      <c r="T266" s="19"/>
      <c r="U266" s="19"/>
      <c r="V266" s="19"/>
      <c r="W266" s="19"/>
      <c r="X266" s="19"/>
      <c r="Y266" s="19"/>
      <c r="Z266" s="19"/>
      <c r="AA266" s="19"/>
      <c r="AB266" s="19"/>
      <c r="AC266" s="19"/>
      <c r="AD266" s="19"/>
      <c r="AE266" s="19"/>
      <c r="AF266" s="19"/>
      <c r="AG266" s="19"/>
      <c r="AH266" s="19"/>
      <c r="AI266" s="19"/>
      <c r="AJ266" s="19"/>
      <c r="AK266" s="19"/>
      <c r="AL266" s="19"/>
      <c r="AM266" s="19"/>
      <c r="AN266" s="19"/>
      <c r="AO266" s="19"/>
      <c r="AP266" s="19"/>
      <c r="AQ266" s="19"/>
      <c r="AR266" s="19"/>
      <c r="AS266" s="19"/>
      <c r="AT266" s="19"/>
      <c r="AU266" s="19"/>
      <c r="AV266" s="19"/>
      <c r="AW266" s="19"/>
      <c r="AX266" s="19"/>
      <c r="AY266" s="19"/>
      <c r="AZ266" s="19"/>
      <c r="BA266" s="19"/>
      <c r="BB266" s="19"/>
      <c r="BC266" s="19"/>
      <c r="BD266" s="19"/>
      <c r="BE266" s="19"/>
      <c r="BF266" s="19"/>
      <c r="BG266" s="19"/>
      <c r="BH266" s="19"/>
      <c r="BI266" s="19"/>
      <c r="BJ266" s="19"/>
      <c r="BK266" s="19"/>
      <c r="BL266" s="19"/>
      <c r="BM266" s="19"/>
      <c r="BN266" s="19"/>
      <c r="BO266" s="19"/>
      <c r="BP266" s="19"/>
      <c r="BQ266" s="19"/>
      <c r="BR266" s="19"/>
      <c r="BS266" s="19"/>
      <c r="BT266" s="19"/>
      <c r="BU266" s="19"/>
      <c r="BV266" s="19"/>
      <c r="BW266" s="19"/>
      <c r="BX266" s="19"/>
      <c r="BY266" s="19"/>
      <c r="BZ266" s="19"/>
      <c r="CA266" s="19"/>
      <c r="CB266" s="19"/>
      <c r="CC266" s="19"/>
      <c r="CD266" s="19"/>
      <c r="CE266" s="19"/>
      <c r="CF266" s="6"/>
    </row>
    <row r="267" spans="1:84">
      <c r="A267" s="18"/>
      <c r="B267" s="18"/>
      <c r="C267" s="18"/>
      <c r="D267" s="18"/>
      <c r="E267" s="20"/>
      <c r="F267" s="19"/>
      <c r="G267" s="19"/>
      <c r="H267" s="19"/>
      <c r="I267" s="19"/>
      <c r="J267" s="19"/>
      <c r="K267" s="19"/>
      <c r="L267" s="19"/>
      <c r="M267" s="19"/>
      <c r="N267" s="19"/>
      <c r="O267" s="19"/>
      <c r="P267" s="19"/>
      <c r="Q267" s="19"/>
      <c r="R267" s="19"/>
      <c r="S267" s="19"/>
      <c r="T267" s="19"/>
      <c r="U267" s="19"/>
      <c r="V267" s="19"/>
      <c r="W267" s="19"/>
      <c r="X267" s="19"/>
      <c r="Y267" s="19"/>
      <c r="Z267" s="19"/>
      <c r="AA267" s="19"/>
      <c r="AB267" s="19"/>
      <c r="AC267" s="19"/>
      <c r="AD267" s="19"/>
      <c r="AE267" s="19"/>
      <c r="AF267" s="19"/>
      <c r="AG267" s="19"/>
      <c r="AH267" s="19"/>
      <c r="AI267" s="19"/>
      <c r="AJ267" s="19"/>
      <c r="AK267" s="19"/>
      <c r="AL267" s="19"/>
      <c r="AM267" s="19"/>
      <c r="AN267" s="19"/>
      <c r="AO267" s="19"/>
      <c r="AP267" s="19"/>
      <c r="AQ267" s="19"/>
      <c r="AR267" s="19"/>
      <c r="AS267" s="19"/>
      <c r="AT267" s="19"/>
      <c r="AU267" s="19"/>
      <c r="AV267" s="19"/>
      <c r="AW267" s="19"/>
      <c r="AX267" s="19"/>
      <c r="AY267" s="19"/>
      <c r="AZ267" s="19"/>
      <c r="BA267" s="19"/>
      <c r="BB267" s="19"/>
      <c r="BC267" s="19"/>
      <c r="BD267" s="19"/>
      <c r="BE267" s="19"/>
      <c r="BF267" s="19"/>
      <c r="BG267" s="19"/>
      <c r="BH267" s="19"/>
      <c r="BI267" s="19"/>
      <c r="BJ267" s="19"/>
      <c r="BK267" s="19"/>
      <c r="BL267" s="19"/>
      <c r="BM267" s="19"/>
      <c r="BN267" s="19"/>
      <c r="BO267" s="19"/>
      <c r="BP267" s="19"/>
      <c r="BQ267" s="19"/>
      <c r="BR267" s="19"/>
      <c r="BS267" s="19"/>
      <c r="BT267" s="19"/>
      <c r="BU267" s="19"/>
      <c r="BV267" s="19"/>
      <c r="BW267" s="19"/>
      <c r="BX267" s="19"/>
      <c r="BY267" s="19"/>
      <c r="BZ267" s="19"/>
      <c r="CA267" s="19"/>
      <c r="CB267" s="19"/>
      <c r="CC267" s="19"/>
      <c r="CD267" s="19"/>
      <c r="CE267" s="19"/>
      <c r="CF267" s="6"/>
    </row>
    <row r="268" spans="1:84">
      <c r="A268" s="18"/>
      <c r="B268" s="18"/>
      <c r="C268" s="18"/>
      <c r="D268" s="18"/>
      <c r="E268" s="20"/>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c r="AG268" s="19"/>
      <c r="AH268" s="19"/>
      <c r="AI268" s="19"/>
      <c r="AJ268" s="19"/>
      <c r="AK268" s="19"/>
      <c r="AL268" s="19"/>
      <c r="AM268" s="19"/>
      <c r="AN268" s="19"/>
      <c r="AO268" s="19"/>
      <c r="AP268" s="19"/>
      <c r="AQ268" s="19"/>
      <c r="AR268" s="19"/>
      <c r="AS268" s="19"/>
      <c r="AT268" s="19"/>
      <c r="AU268" s="19"/>
      <c r="AV268" s="19"/>
      <c r="AW268" s="19"/>
      <c r="AX268" s="19"/>
      <c r="AY268" s="19"/>
      <c r="AZ268" s="19"/>
      <c r="BA268" s="19"/>
      <c r="BB268" s="19"/>
      <c r="BC268" s="19"/>
      <c r="BD268" s="19"/>
      <c r="BE268" s="19"/>
      <c r="BF268" s="19"/>
      <c r="BG268" s="19"/>
      <c r="BH268" s="19"/>
      <c r="BI268" s="19"/>
      <c r="BJ268" s="19"/>
      <c r="BK268" s="19"/>
      <c r="BL268" s="19"/>
      <c r="BM268" s="19"/>
      <c r="BN268" s="19"/>
      <c r="BO268" s="19"/>
      <c r="BP268" s="19"/>
      <c r="BQ268" s="19"/>
      <c r="BR268" s="19"/>
      <c r="BS268" s="19"/>
      <c r="BT268" s="19"/>
      <c r="BU268" s="19"/>
      <c r="BV268" s="19"/>
      <c r="BW268" s="19"/>
      <c r="BX268" s="19"/>
      <c r="BY268" s="19"/>
      <c r="BZ268" s="19"/>
      <c r="CA268" s="19"/>
      <c r="CB268" s="19"/>
      <c r="CC268" s="19"/>
      <c r="CD268" s="19"/>
      <c r="CE268" s="19"/>
      <c r="CF268" s="6"/>
    </row>
    <row r="269" spans="1:84">
      <c r="B269" s="17"/>
      <c r="C269" s="21" t="s">
        <v>15</v>
      </c>
      <c r="D269" s="21">
        <f>SUM(D243:D268)</f>
        <v>3.4846850984224131E-2</v>
      </c>
      <c r="E269" s="20"/>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c r="AG269" s="19"/>
      <c r="AH269" s="19"/>
      <c r="AI269" s="19"/>
      <c r="AJ269" s="19"/>
      <c r="AK269" s="19"/>
      <c r="AL269" s="19"/>
      <c r="AM269" s="19"/>
      <c r="AN269" s="19"/>
      <c r="AO269" s="19"/>
      <c r="AP269" s="19"/>
      <c r="AQ269" s="19"/>
      <c r="AR269" s="19"/>
      <c r="AS269" s="19"/>
      <c r="AT269" s="19"/>
      <c r="AU269" s="19"/>
      <c r="AV269" s="19"/>
      <c r="AW269" s="19"/>
      <c r="AX269" s="19"/>
      <c r="AY269" s="19"/>
      <c r="AZ269" s="19"/>
      <c r="BA269" s="19"/>
      <c r="BB269" s="19"/>
      <c r="BC269" s="19"/>
      <c r="BD269" s="19"/>
      <c r="BE269" s="19"/>
      <c r="BF269" s="19"/>
      <c r="BG269" s="19"/>
      <c r="BH269" s="19"/>
      <c r="BI269" s="19"/>
      <c r="BJ269" s="19"/>
      <c r="BK269" s="19"/>
      <c r="BL269" s="19"/>
      <c r="BM269" s="19"/>
      <c r="BN269" s="19"/>
      <c r="BO269" s="19"/>
      <c r="BP269" s="19"/>
      <c r="BQ269" s="19"/>
      <c r="BR269" s="19"/>
      <c r="BS269" s="19"/>
      <c r="BT269" s="19"/>
      <c r="BU269" s="19"/>
      <c r="BV269" s="19"/>
      <c r="BW269" s="19"/>
      <c r="BX269" s="19"/>
      <c r="BY269" s="19"/>
      <c r="BZ269" s="19"/>
      <c r="CA269" s="19"/>
      <c r="CB269" s="19"/>
      <c r="CC269" s="19"/>
      <c r="CD269" s="19"/>
      <c r="CE269" s="19"/>
      <c r="CF269" s="6"/>
    </row>
    <row r="270" spans="1:84">
      <c r="A270" s="17"/>
      <c r="B270" s="17"/>
      <c r="C270" s="17"/>
      <c r="D270" s="19"/>
      <c r="E270" s="20"/>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9"/>
      <c r="AD270" s="19"/>
      <c r="AE270" s="19"/>
      <c r="AF270" s="19"/>
      <c r="AG270" s="19"/>
      <c r="AH270" s="19"/>
      <c r="AI270" s="19"/>
      <c r="AJ270" s="19"/>
      <c r="AK270" s="19"/>
      <c r="AL270" s="19"/>
      <c r="AM270" s="19"/>
      <c r="AN270" s="19"/>
      <c r="AO270" s="19"/>
      <c r="AP270" s="19"/>
      <c r="AQ270" s="19"/>
      <c r="AR270" s="19"/>
      <c r="AS270" s="19"/>
      <c r="AT270" s="19"/>
      <c r="AU270" s="19"/>
      <c r="AV270" s="19"/>
      <c r="AW270" s="19"/>
      <c r="AX270" s="19"/>
      <c r="AY270" s="19"/>
      <c r="AZ270" s="19"/>
      <c r="BA270" s="19"/>
      <c r="BB270" s="19"/>
      <c r="BC270" s="19"/>
      <c r="BD270" s="19"/>
      <c r="BE270" s="19"/>
      <c r="BF270" s="19"/>
      <c r="BG270" s="19"/>
      <c r="BH270" s="19"/>
      <c r="BI270" s="19"/>
      <c r="BJ270" s="19"/>
      <c r="BK270" s="19"/>
      <c r="BL270" s="19"/>
      <c r="BM270" s="19"/>
      <c r="BN270" s="19"/>
      <c r="BO270" s="19"/>
      <c r="BP270" s="19"/>
      <c r="BQ270" s="19"/>
      <c r="BR270" s="19"/>
      <c r="BS270" s="19"/>
      <c r="BT270" s="19"/>
      <c r="BU270" s="19"/>
      <c r="BV270" s="19"/>
      <c r="BW270" s="19"/>
      <c r="BX270" s="19"/>
      <c r="BY270" s="19"/>
      <c r="BZ270" s="19"/>
      <c r="CA270" s="19"/>
      <c r="CB270" s="19"/>
      <c r="CC270" s="19"/>
      <c r="CD270" s="19"/>
      <c r="CE270" s="19"/>
      <c r="CF270" s="6"/>
    </row>
    <row r="271" spans="1:84">
      <c r="A271" s="17"/>
      <c r="B271" s="17"/>
      <c r="C271" s="17"/>
      <c r="D271" s="19"/>
      <c r="E271" s="20"/>
      <c r="F271" s="19"/>
      <c r="G271" s="19"/>
      <c r="H271" s="19"/>
      <c r="I271" s="19"/>
      <c r="J271" s="19"/>
      <c r="K271" s="19"/>
      <c r="L271" s="19"/>
      <c r="M271" s="19"/>
      <c r="N271" s="19"/>
      <c r="O271" s="19"/>
      <c r="P271" s="19"/>
      <c r="Q271" s="19"/>
      <c r="R271" s="19"/>
      <c r="S271" s="19"/>
      <c r="T271" s="19"/>
      <c r="U271" s="19"/>
      <c r="V271" s="19"/>
      <c r="W271" s="19"/>
      <c r="X271" s="19"/>
      <c r="Y271" s="19"/>
      <c r="Z271" s="19"/>
      <c r="AA271" s="19"/>
      <c r="AB271" s="19"/>
      <c r="AC271" s="19"/>
      <c r="AD271" s="19"/>
      <c r="AE271" s="19"/>
      <c r="AF271" s="19"/>
      <c r="AG271" s="19"/>
      <c r="AH271" s="19"/>
      <c r="AI271" s="19"/>
      <c r="AJ271" s="19"/>
      <c r="AK271" s="19"/>
      <c r="AL271" s="19"/>
      <c r="AM271" s="19"/>
      <c r="AN271" s="19"/>
      <c r="AO271" s="19"/>
      <c r="AP271" s="19"/>
      <c r="AQ271" s="19"/>
      <c r="AR271" s="19"/>
      <c r="AS271" s="19"/>
      <c r="AT271" s="19"/>
      <c r="AU271" s="19"/>
      <c r="AV271" s="19"/>
      <c r="AW271" s="19"/>
      <c r="AX271" s="19"/>
      <c r="AY271" s="19"/>
      <c r="AZ271" s="19"/>
      <c r="BA271" s="19"/>
      <c r="BB271" s="19"/>
      <c r="BC271" s="19"/>
      <c r="BD271" s="19"/>
      <c r="BE271" s="19"/>
      <c r="BF271" s="19"/>
      <c r="BG271" s="19"/>
      <c r="BH271" s="19"/>
      <c r="BI271" s="19"/>
      <c r="BJ271" s="19"/>
      <c r="BK271" s="19"/>
      <c r="BL271" s="19"/>
      <c r="BM271" s="19"/>
      <c r="BN271" s="19"/>
      <c r="BO271" s="19"/>
      <c r="BP271" s="19"/>
      <c r="BQ271" s="19"/>
      <c r="BR271" s="19"/>
      <c r="BS271" s="19"/>
      <c r="BT271" s="19"/>
      <c r="BU271" s="19"/>
      <c r="BV271" s="19"/>
      <c r="BW271" s="19"/>
      <c r="BX271" s="19"/>
      <c r="BY271" s="19"/>
      <c r="BZ271" s="19"/>
      <c r="CA271" s="19"/>
      <c r="CB271" s="19"/>
      <c r="CC271" s="19"/>
      <c r="CD271" s="19"/>
      <c r="CE271" s="19"/>
      <c r="CF271" s="6"/>
    </row>
    <row r="272" spans="1:84">
      <c r="A272" s="17"/>
      <c r="B272" s="17"/>
      <c r="C272" s="17"/>
      <c r="D272" s="19"/>
      <c r="E272" s="20"/>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9"/>
      <c r="AD272" s="19"/>
      <c r="AE272" s="19"/>
      <c r="AF272" s="19"/>
      <c r="AG272" s="19"/>
      <c r="AH272" s="19"/>
      <c r="AI272" s="19"/>
      <c r="AJ272" s="19"/>
      <c r="AK272" s="19"/>
      <c r="AL272" s="19"/>
      <c r="AM272" s="19"/>
      <c r="AN272" s="19"/>
      <c r="AO272" s="19"/>
      <c r="AP272" s="19"/>
      <c r="AQ272" s="19"/>
      <c r="AR272" s="19"/>
      <c r="AS272" s="19"/>
      <c r="AT272" s="19"/>
      <c r="AU272" s="19"/>
      <c r="AV272" s="19"/>
      <c r="AW272" s="19"/>
      <c r="AX272" s="19"/>
      <c r="AY272" s="19"/>
      <c r="AZ272" s="19"/>
      <c r="BA272" s="19"/>
      <c r="BB272" s="19"/>
      <c r="BC272" s="19"/>
      <c r="BD272" s="19"/>
      <c r="BE272" s="19"/>
      <c r="BF272" s="19"/>
      <c r="BG272" s="19"/>
      <c r="BH272" s="19"/>
      <c r="BI272" s="19"/>
      <c r="BJ272" s="19"/>
      <c r="BK272" s="19"/>
      <c r="BL272" s="19"/>
      <c r="BM272" s="19"/>
      <c r="BN272" s="19"/>
      <c r="BO272" s="19"/>
      <c r="BP272" s="19"/>
      <c r="BQ272" s="19"/>
      <c r="BR272" s="19"/>
      <c r="BS272" s="19"/>
      <c r="BT272" s="19"/>
      <c r="BU272" s="19"/>
      <c r="BV272" s="19"/>
      <c r="BW272" s="19"/>
      <c r="BX272" s="19"/>
      <c r="BY272" s="19"/>
      <c r="BZ272" s="19"/>
      <c r="CA272" s="19"/>
      <c r="CB272" s="19"/>
      <c r="CC272" s="19"/>
      <c r="CD272" s="19"/>
      <c r="CE272" s="19"/>
      <c r="CF272" s="6"/>
    </row>
    <row r="273" spans="1:84">
      <c r="A273" s="17"/>
      <c r="B273" s="17"/>
      <c r="C273" s="17"/>
      <c r="D273" s="19"/>
      <c r="E273" s="20"/>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9"/>
      <c r="AD273" s="19"/>
      <c r="AE273" s="19"/>
      <c r="AF273" s="19"/>
      <c r="AG273" s="19"/>
      <c r="AH273" s="19"/>
      <c r="AI273" s="19"/>
      <c r="AJ273" s="19"/>
      <c r="AK273" s="19"/>
      <c r="AL273" s="19"/>
      <c r="AM273" s="19"/>
      <c r="AN273" s="19"/>
      <c r="AO273" s="19"/>
      <c r="AP273" s="19"/>
      <c r="AQ273" s="19"/>
      <c r="AR273" s="19"/>
      <c r="AS273" s="19"/>
      <c r="AT273" s="19"/>
      <c r="AU273" s="19"/>
      <c r="AV273" s="19"/>
      <c r="AW273" s="19"/>
      <c r="AX273" s="19"/>
      <c r="AY273" s="19"/>
      <c r="AZ273" s="19"/>
      <c r="BA273" s="19"/>
      <c r="BB273" s="19"/>
      <c r="BC273" s="19"/>
      <c r="BD273" s="19"/>
      <c r="BE273" s="19"/>
      <c r="BF273" s="19"/>
      <c r="BG273" s="19"/>
      <c r="BH273" s="19"/>
      <c r="BI273" s="19"/>
      <c r="BJ273" s="19"/>
      <c r="BK273" s="19"/>
      <c r="BL273" s="19"/>
      <c r="BM273" s="19"/>
      <c r="BN273" s="19"/>
      <c r="BO273" s="19"/>
      <c r="BP273" s="19"/>
      <c r="BQ273" s="19"/>
      <c r="BR273" s="19"/>
      <c r="BS273" s="19"/>
      <c r="BT273" s="19"/>
      <c r="BU273" s="19"/>
      <c r="BV273" s="19"/>
      <c r="BW273" s="19"/>
      <c r="BX273" s="19"/>
      <c r="BY273" s="19"/>
      <c r="BZ273" s="19"/>
      <c r="CA273" s="19"/>
      <c r="CB273" s="19"/>
      <c r="CC273" s="19"/>
      <c r="CD273" s="19"/>
      <c r="CE273" s="19"/>
      <c r="CF273" s="6"/>
    </row>
    <row r="274" spans="1:84">
      <c r="A274" s="17"/>
      <c r="B274" s="17"/>
      <c r="C274" s="17"/>
      <c r="D274" s="19"/>
      <c r="E274" s="20"/>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9"/>
      <c r="AD274" s="19"/>
      <c r="AE274" s="19"/>
      <c r="AF274" s="19"/>
      <c r="AG274" s="19"/>
      <c r="AH274" s="19"/>
      <c r="AI274" s="19"/>
      <c r="AJ274" s="19"/>
      <c r="AK274" s="19"/>
      <c r="AL274" s="19"/>
      <c r="AM274" s="19"/>
      <c r="AN274" s="19"/>
      <c r="AO274" s="19"/>
      <c r="AP274" s="19"/>
      <c r="AQ274" s="19"/>
      <c r="AR274" s="19"/>
      <c r="AS274" s="19"/>
      <c r="AT274" s="19"/>
      <c r="AU274" s="19"/>
      <c r="AV274" s="19"/>
      <c r="AW274" s="19"/>
      <c r="AX274" s="19"/>
      <c r="AY274" s="19"/>
      <c r="AZ274" s="19"/>
      <c r="BA274" s="19"/>
      <c r="BB274" s="19"/>
      <c r="BC274" s="19"/>
      <c r="BD274" s="19"/>
      <c r="BE274" s="19"/>
      <c r="BF274" s="19"/>
      <c r="BG274" s="19"/>
      <c r="BH274" s="19"/>
      <c r="BI274" s="19"/>
      <c r="BJ274" s="19"/>
      <c r="BK274" s="19"/>
      <c r="BL274" s="19"/>
      <c r="BM274" s="19"/>
      <c r="BN274" s="19"/>
      <c r="BO274" s="19"/>
      <c r="BP274" s="19"/>
      <c r="BQ274" s="19"/>
      <c r="BR274" s="19"/>
      <c r="BS274" s="19"/>
      <c r="BT274" s="19"/>
      <c r="BU274" s="19"/>
      <c r="BV274" s="19"/>
      <c r="BW274" s="19"/>
      <c r="BX274" s="19"/>
      <c r="BY274" s="19"/>
      <c r="BZ274" s="19"/>
      <c r="CA274" s="19"/>
      <c r="CB274" s="19"/>
      <c r="CC274" s="19"/>
      <c r="CD274" s="19"/>
      <c r="CE274" s="19"/>
      <c r="CF274" s="6"/>
    </row>
    <row r="275" spans="1:84">
      <c r="A275" s="17"/>
      <c r="B275" s="17"/>
      <c r="C275" s="17"/>
      <c r="D275" s="19"/>
      <c r="E275" s="20"/>
      <c r="F275" s="19"/>
      <c r="G275" s="19"/>
      <c r="H275" s="19"/>
      <c r="I275" s="19"/>
      <c r="J275" s="19"/>
      <c r="K275" s="19"/>
      <c r="L275" s="19"/>
      <c r="M275" s="19"/>
      <c r="N275" s="19"/>
      <c r="O275" s="19"/>
      <c r="P275" s="19"/>
      <c r="Q275" s="19"/>
      <c r="R275" s="19"/>
      <c r="S275" s="19"/>
      <c r="T275" s="19"/>
      <c r="U275" s="19"/>
      <c r="V275" s="19"/>
      <c r="W275" s="19"/>
      <c r="X275" s="19"/>
      <c r="Y275" s="19"/>
      <c r="Z275" s="19"/>
      <c r="AA275" s="19"/>
      <c r="AB275" s="19"/>
      <c r="AC275" s="19"/>
      <c r="AD275" s="19"/>
      <c r="AE275" s="19"/>
      <c r="AF275" s="19"/>
      <c r="AG275" s="19"/>
      <c r="AH275" s="19"/>
      <c r="AI275" s="19"/>
      <c r="AJ275" s="19"/>
      <c r="AK275" s="19"/>
      <c r="AL275" s="19"/>
      <c r="AM275" s="19"/>
      <c r="AN275" s="19"/>
      <c r="AO275" s="19"/>
      <c r="AP275" s="19"/>
      <c r="AQ275" s="19"/>
      <c r="AR275" s="19"/>
      <c r="AS275" s="19"/>
      <c r="AT275" s="19"/>
      <c r="AU275" s="19"/>
      <c r="AV275" s="19"/>
      <c r="AW275" s="19"/>
      <c r="AX275" s="19"/>
      <c r="AY275" s="19"/>
      <c r="AZ275" s="19"/>
      <c r="BA275" s="19"/>
      <c r="BB275" s="19"/>
      <c r="BC275" s="19"/>
      <c r="BD275" s="19"/>
      <c r="BE275" s="19"/>
      <c r="BF275" s="19"/>
      <c r="BG275" s="19"/>
      <c r="BH275" s="19"/>
      <c r="BI275" s="19"/>
      <c r="BJ275" s="19"/>
      <c r="BK275" s="19"/>
      <c r="BL275" s="19"/>
      <c r="BM275" s="19"/>
      <c r="BN275" s="19"/>
      <c r="BO275" s="19"/>
      <c r="BP275" s="19"/>
      <c r="BQ275" s="19"/>
      <c r="BR275" s="19"/>
      <c r="BS275" s="19"/>
      <c r="BT275" s="19"/>
      <c r="BU275" s="19"/>
      <c r="BV275" s="19"/>
      <c r="BW275" s="19"/>
      <c r="BX275" s="19"/>
      <c r="BY275" s="19"/>
      <c r="BZ275" s="19"/>
      <c r="CA275" s="19"/>
      <c r="CB275" s="19"/>
      <c r="CC275" s="19"/>
      <c r="CD275" s="19"/>
      <c r="CE275" s="19"/>
      <c r="CF275" s="6"/>
    </row>
    <row r="276" spans="1:84">
      <c r="A276" s="17"/>
      <c r="B276" s="17"/>
      <c r="C276" s="17"/>
      <c r="D276" s="19"/>
      <c r="E276" s="20"/>
      <c r="F276" s="19"/>
      <c r="G276" s="19"/>
      <c r="H276" s="19"/>
      <c r="I276" s="19"/>
      <c r="J276" s="19"/>
      <c r="K276" s="19"/>
      <c r="L276" s="19"/>
      <c r="M276" s="19"/>
      <c r="N276" s="19"/>
      <c r="O276" s="19"/>
      <c r="P276" s="19"/>
      <c r="Q276" s="19"/>
      <c r="R276" s="19"/>
      <c r="S276" s="19"/>
      <c r="T276" s="19"/>
      <c r="U276" s="19"/>
      <c r="V276" s="19"/>
      <c r="W276" s="19"/>
      <c r="X276" s="19"/>
      <c r="Y276" s="19"/>
      <c r="Z276" s="19"/>
      <c r="AA276" s="19"/>
      <c r="AB276" s="19"/>
      <c r="AC276" s="19"/>
      <c r="AD276" s="19"/>
      <c r="AE276" s="19"/>
      <c r="AF276" s="19"/>
      <c r="AG276" s="19"/>
      <c r="AH276" s="19"/>
      <c r="AI276" s="19"/>
      <c r="AJ276" s="19"/>
      <c r="AK276" s="19"/>
      <c r="AL276" s="19"/>
      <c r="AM276" s="19"/>
      <c r="AN276" s="19"/>
      <c r="AO276" s="19"/>
      <c r="AP276" s="19"/>
      <c r="AQ276" s="19"/>
      <c r="AR276" s="19"/>
      <c r="AS276" s="19"/>
      <c r="AT276" s="19"/>
      <c r="AU276" s="19"/>
      <c r="AV276" s="19"/>
      <c r="AW276" s="19"/>
      <c r="AX276" s="19"/>
      <c r="AY276" s="19"/>
      <c r="AZ276" s="19"/>
      <c r="BA276" s="19"/>
      <c r="BB276" s="19"/>
      <c r="BC276" s="19"/>
      <c r="BD276" s="19"/>
      <c r="BE276" s="19"/>
      <c r="BF276" s="19"/>
      <c r="BG276" s="19"/>
      <c r="BH276" s="19"/>
      <c r="BI276" s="19"/>
      <c r="BJ276" s="19"/>
      <c r="BK276" s="19"/>
      <c r="BL276" s="19"/>
      <c r="BM276" s="19"/>
      <c r="BN276" s="19"/>
      <c r="BO276" s="19"/>
      <c r="BP276" s="19"/>
      <c r="BQ276" s="19"/>
      <c r="BR276" s="19"/>
      <c r="BS276" s="19"/>
      <c r="BT276" s="19"/>
      <c r="BU276" s="19"/>
      <c r="BV276" s="19"/>
      <c r="BW276" s="19"/>
      <c r="BX276" s="19"/>
      <c r="BY276" s="19"/>
      <c r="BZ276" s="19"/>
      <c r="CA276" s="19"/>
      <c r="CB276" s="19"/>
      <c r="CC276" s="19"/>
      <c r="CD276" s="19"/>
      <c r="CE276" s="19"/>
      <c r="CF276" s="6"/>
    </row>
    <row r="277" spans="1:84">
      <c r="A277" s="17"/>
      <c r="B277" s="17"/>
      <c r="C277" s="17"/>
      <c r="D277" s="19"/>
      <c r="E277" s="20"/>
      <c r="F277" s="19"/>
      <c r="G277" s="19"/>
      <c r="H277" s="19"/>
      <c r="I277" s="19"/>
      <c r="J277" s="19"/>
      <c r="K277" s="19"/>
      <c r="L277" s="19"/>
      <c r="M277" s="19"/>
      <c r="N277" s="19"/>
      <c r="O277" s="19"/>
      <c r="P277" s="19"/>
      <c r="Q277" s="19"/>
      <c r="R277" s="19"/>
      <c r="S277" s="19"/>
      <c r="T277" s="19"/>
      <c r="U277" s="19"/>
      <c r="V277" s="19"/>
      <c r="W277" s="19"/>
      <c r="X277" s="19"/>
      <c r="Y277" s="19"/>
      <c r="Z277" s="19"/>
      <c r="AA277" s="19"/>
      <c r="AB277" s="19"/>
      <c r="AC277" s="19"/>
      <c r="AD277" s="19"/>
      <c r="AE277" s="19"/>
      <c r="AF277" s="19"/>
      <c r="AG277" s="19"/>
      <c r="AH277" s="19"/>
      <c r="AI277" s="19"/>
      <c r="AJ277" s="19"/>
      <c r="AK277" s="19"/>
      <c r="AL277" s="19"/>
      <c r="AM277" s="19"/>
      <c r="AN277" s="19"/>
      <c r="AO277" s="19"/>
      <c r="AP277" s="19"/>
      <c r="AQ277" s="19"/>
      <c r="AR277" s="19"/>
      <c r="AS277" s="19"/>
      <c r="AT277" s="19"/>
      <c r="AU277" s="19"/>
      <c r="AV277" s="19"/>
      <c r="AW277" s="19"/>
      <c r="AX277" s="19"/>
      <c r="AY277" s="19"/>
      <c r="AZ277" s="19"/>
      <c r="BA277" s="19"/>
      <c r="BB277" s="19"/>
      <c r="BC277" s="19"/>
      <c r="BD277" s="19"/>
      <c r="BE277" s="19"/>
      <c r="BF277" s="19"/>
      <c r="BG277" s="19"/>
      <c r="BH277" s="19"/>
      <c r="BI277" s="19"/>
      <c r="BJ277" s="19"/>
      <c r="BK277" s="19"/>
      <c r="BL277" s="19"/>
      <c r="BM277" s="19"/>
      <c r="BN277" s="19"/>
      <c r="BO277" s="19"/>
      <c r="BP277" s="19"/>
      <c r="BQ277" s="19"/>
      <c r="BR277" s="19"/>
      <c r="BS277" s="19"/>
      <c r="BT277" s="19"/>
      <c r="BU277" s="19"/>
      <c r="BV277" s="19"/>
      <c r="BW277" s="19"/>
      <c r="BX277" s="19"/>
      <c r="BY277" s="19"/>
      <c r="BZ277" s="19"/>
      <c r="CA277" s="19"/>
      <c r="CB277" s="19"/>
      <c r="CC277" s="19"/>
      <c r="CD277" s="19"/>
      <c r="CE277" s="19"/>
      <c r="CF277" s="6"/>
    </row>
    <row r="278" spans="1:84">
      <c r="A278" s="17"/>
      <c r="B278" s="17"/>
      <c r="C278" s="17"/>
      <c r="D278" s="19"/>
      <c r="E278" s="20"/>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19"/>
      <c r="AE278" s="19"/>
      <c r="AF278" s="19"/>
      <c r="AG278" s="19"/>
      <c r="AH278" s="19"/>
      <c r="AI278" s="19"/>
      <c r="AJ278" s="19"/>
      <c r="AK278" s="19"/>
      <c r="AL278" s="19"/>
      <c r="AM278" s="19"/>
      <c r="AN278" s="19"/>
      <c r="AO278" s="19"/>
      <c r="AP278" s="19"/>
      <c r="AQ278" s="19"/>
      <c r="AR278" s="19"/>
      <c r="AS278" s="19"/>
      <c r="AT278" s="19"/>
      <c r="AU278" s="19"/>
      <c r="AV278" s="19"/>
      <c r="AW278" s="19"/>
      <c r="AX278" s="19"/>
      <c r="AY278" s="19"/>
      <c r="AZ278" s="19"/>
      <c r="BA278" s="19"/>
      <c r="BB278" s="19"/>
      <c r="BC278" s="19"/>
      <c r="BD278" s="19"/>
      <c r="BE278" s="19"/>
      <c r="BF278" s="19"/>
      <c r="BG278" s="19"/>
      <c r="BH278" s="19"/>
      <c r="BI278" s="19"/>
      <c r="BJ278" s="19"/>
      <c r="BK278" s="19"/>
      <c r="BL278" s="19"/>
      <c r="BM278" s="19"/>
      <c r="BN278" s="19"/>
      <c r="BO278" s="19"/>
      <c r="BP278" s="19"/>
      <c r="BQ278" s="19"/>
      <c r="BR278" s="19"/>
      <c r="BS278" s="19"/>
      <c r="BT278" s="19"/>
      <c r="BU278" s="19"/>
      <c r="BV278" s="19"/>
      <c r="BW278" s="19"/>
      <c r="BX278" s="19"/>
      <c r="BY278" s="19"/>
      <c r="BZ278" s="19"/>
      <c r="CA278" s="19"/>
      <c r="CB278" s="19"/>
      <c r="CC278" s="19"/>
      <c r="CD278" s="19"/>
      <c r="CE278" s="19"/>
      <c r="CF278" s="6"/>
    </row>
    <row r="279" spans="1:84">
      <c r="A279" s="17"/>
      <c r="B279" s="17"/>
      <c r="C279" s="17"/>
      <c r="D279" s="19"/>
      <c r="E279" s="20"/>
      <c r="F279" s="19"/>
      <c r="G279" s="19"/>
      <c r="H279" s="19"/>
      <c r="I279" s="19"/>
      <c r="J279" s="19"/>
      <c r="K279" s="19"/>
      <c r="L279" s="19"/>
      <c r="M279" s="19"/>
      <c r="N279" s="19"/>
      <c r="O279" s="19"/>
      <c r="P279" s="19"/>
      <c r="Q279" s="19"/>
      <c r="R279" s="19"/>
      <c r="S279" s="19"/>
      <c r="T279" s="19"/>
      <c r="U279" s="19"/>
      <c r="V279" s="19"/>
      <c r="W279" s="19"/>
      <c r="X279" s="19"/>
      <c r="Y279" s="19"/>
      <c r="Z279" s="19"/>
      <c r="AA279" s="19"/>
      <c r="AB279" s="19"/>
      <c r="AC279" s="19"/>
      <c r="AD279" s="19"/>
      <c r="AE279" s="19"/>
      <c r="AF279" s="19"/>
      <c r="AG279" s="19"/>
      <c r="AH279" s="19"/>
      <c r="AI279" s="19"/>
      <c r="AJ279" s="19"/>
      <c r="AK279" s="19"/>
      <c r="AL279" s="19"/>
      <c r="AM279" s="19"/>
      <c r="AN279" s="19"/>
      <c r="AO279" s="19"/>
      <c r="AP279" s="19"/>
      <c r="AQ279" s="19"/>
      <c r="AR279" s="19"/>
      <c r="AS279" s="19"/>
      <c r="AT279" s="19"/>
      <c r="AU279" s="19"/>
      <c r="AV279" s="19"/>
      <c r="AW279" s="19"/>
      <c r="AX279" s="19"/>
      <c r="AY279" s="19"/>
      <c r="AZ279" s="19"/>
      <c r="BA279" s="19"/>
      <c r="BB279" s="19"/>
      <c r="BC279" s="19"/>
      <c r="BD279" s="19"/>
      <c r="BE279" s="19"/>
      <c r="BF279" s="19"/>
      <c r="BG279" s="19"/>
      <c r="BH279" s="19"/>
      <c r="BI279" s="19"/>
      <c r="BJ279" s="19"/>
      <c r="BK279" s="19"/>
      <c r="BL279" s="19"/>
      <c r="BM279" s="19"/>
      <c r="BN279" s="19"/>
      <c r="BO279" s="19"/>
      <c r="BP279" s="19"/>
      <c r="BQ279" s="19"/>
      <c r="BR279" s="19"/>
      <c r="BS279" s="19"/>
      <c r="BT279" s="19"/>
      <c r="BU279" s="19"/>
      <c r="BV279" s="19"/>
      <c r="BW279" s="19"/>
      <c r="BX279" s="19"/>
      <c r="BY279" s="19"/>
      <c r="BZ279" s="19"/>
      <c r="CA279" s="19"/>
      <c r="CB279" s="19"/>
      <c r="CC279" s="19"/>
      <c r="CD279" s="19"/>
      <c r="CE279" s="19"/>
      <c r="CF279" s="6"/>
    </row>
    <row r="280" spans="1:84">
      <c r="A280" s="17"/>
      <c r="B280" s="17"/>
      <c r="C280" s="17"/>
      <c r="D280" s="19"/>
      <c r="E280" s="20"/>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9"/>
      <c r="AE280" s="19"/>
      <c r="AF280" s="19"/>
      <c r="AG280" s="19"/>
      <c r="AH280" s="19"/>
      <c r="AI280" s="19"/>
      <c r="AJ280" s="19"/>
      <c r="AK280" s="19"/>
      <c r="AL280" s="19"/>
      <c r="AM280" s="19"/>
      <c r="AN280" s="19"/>
      <c r="AO280" s="19"/>
      <c r="AP280" s="19"/>
      <c r="AQ280" s="19"/>
      <c r="AR280" s="19"/>
      <c r="AS280" s="19"/>
      <c r="AT280" s="19"/>
      <c r="AU280" s="19"/>
      <c r="AV280" s="19"/>
      <c r="AW280" s="19"/>
      <c r="AX280" s="19"/>
      <c r="AY280" s="19"/>
      <c r="AZ280" s="19"/>
      <c r="BA280" s="19"/>
      <c r="BB280" s="19"/>
      <c r="BC280" s="19"/>
      <c r="BD280" s="19"/>
      <c r="BE280" s="19"/>
      <c r="BF280" s="19"/>
      <c r="BG280" s="19"/>
      <c r="BH280" s="19"/>
      <c r="BI280" s="19"/>
      <c r="BJ280" s="19"/>
      <c r="BK280" s="19"/>
      <c r="BL280" s="19"/>
      <c r="BM280" s="19"/>
      <c r="BN280" s="19"/>
      <c r="BO280" s="19"/>
      <c r="BP280" s="19"/>
      <c r="BQ280" s="19"/>
      <c r="BR280" s="19"/>
      <c r="BS280" s="19"/>
      <c r="BT280" s="19"/>
      <c r="BU280" s="19"/>
      <c r="BV280" s="19"/>
      <c r="BW280" s="19"/>
      <c r="BX280" s="19"/>
      <c r="BY280" s="19"/>
      <c r="BZ280" s="19"/>
      <c r="CA280" s="19"/>
      <c r="CB280" s="19"/>
      <c r="CC280" s="19"/>
      <c r="CD280" s="19"/>
      <c r="CE280" s="19"/>
      <c r="CF280" s="6"/>
    </row>
    <row r="281" spans="1:84">
      <c r="A281" s="17"/>
      <c r="B281" s="17"/>
      <c r="C281" s="17"/>
      <c r="D281" s="19"/>
      <c r="E281" s="20"/>
      <c r="F281" s="19"/>
      <c r="G281" s="19"/>
      <c r="H281" s="19"/>
      <c r="I281" s="19"/>
      <c r="J281" s="19"/>
      <c r="K281" s="19"/>
      <c r="L281" s="19"/>
      <c r="M281" s="19"/>
      <c r="N281" s="19"/>
      <c r="O281" s="19"/>
      <c r="P281" s="19"/>
      <c r="Q281" s="19"/>
      <c r="R281" s="19"/>
      <c r="S281" s="19"/>
      <c r="T281" s="19"/>
      <c r="U281" s="19"/>
      <c r="V281" s="19"/>
      <c r="W281" s="19"/>
      <c r="X281" s="19"/>
      <c r="Y281" s="19"/>
      <c r="Z281" s="19"/>
      <c r="AA281" s="19"/>
      <c r="AB281" s="19"/>
      <c r="AC281" s="19"/>
      <c r="AD281" s="19"/>
      <c r="AE281" s="19"/>
      <c r="AF281" s="19"/>
      <c r="AG281" s="19"/>
      <c r="AH281" s="19"/>
      <c r="AI281" s="19"/>
      <c r="AJ281" s="19"/>
      <c r="AK281" s="19"/>
      <c r="AL281" s="19"/>
      <c r="AM281" s="19"/>
      <c r="AN281" s="19"/>
      <c r="AO281" s="19"/>
      <c r="AP281" s="19"/>
      <c r="AQ281" s="19"/>
      <c r="AR281" s="19"/>
      <c r="AS281" s="19"/>
      <c r="AT281" s="19"/>
      <c r="AU281" s="19"/>
      <c r="AV281" s="19"/>
      <c r="AW281" s="19"/>
      <c r="AX281" s="19"/>
      <c r="AY281" s="19"/>
      <c r="AZ281" s="19"/>
      <c r="BA281" s="19"/>
      <c r="BB281" s="19"/>
      <c r="BC281" s="19"/>
      <c r="BD281" s="19"/>
      <c r="BE281" s="19"/>
      <c r="BF281" s="19"/>
      <c r="BG281" s="19"/>
      <c r="BH281" s="19"/>
      <c r="BI281" s="19"/>
      <c r="BJ281" s="19"/>
      <c r="BK281" s="19"/>
      <c r="BL281" s="19"/>
      <c r="BM281" s="19"/>
      <c r="BN281" s="19"/>
      <c r="BO281" s="19"/>
      <c r="BP281" s="19"/>
      <c r="BQ281" s="19"/>
      <c r="BR281" s="19"/>
      <c r="BS281" s="19"/>
      <c r="BT281" s="19"/>
      <c r="BU281" s="19"/>
      <c r="BV281" s="19"/>
      <c r="BW281" s="19"/>
      <c r="BX281" s="19"/>
      <c r="BY281" s="19"/>
      <c r="BZ281" s="19"/>
      <c r="CA281" s="19"/>
      <c r="CB281" s="19"/>
      <c r="CC281" s="19"/>
      <c r="CD281" s="19"/>
      <c r="CE281" s="19"/>
      <c r="CF281" s="6"/>
    </row>
    <row r="282" spans="1:84">
      <c r="A282" s="17"/>
      <c r="B282" s="17"/>
      <c r="C282" s="17"/>
      <c r="D282" s="19"/>
      <c r="E282" s="20"/>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9"/>
      <c r="AE282" s="19"/>
      <c r="AF282" s="19"/>
      <c r="AG282" s="19"/>
      <c r="AH282" s="19"/>
      <c r="AI282" s="19"/>
      <c r="AJ282" s="19"/>
      <c r="AK282" s="19"/>
      <c r="AL282" s="19"/>
      <c r="AM282" s="19"/>
      <c r="AN282" s="19"/>
      <c r="AO282" s="19"/>
      <c r="AP282" s="19"/>
      <c r="AQ282" s="19"/>
      <c r="AR282" s="19"/>
      <c r="AS282" s="19"/>
      <c r="AT282" s="19"/>
      <c r="AU282" s="19"/>
      <c r="AV282" s="19"/>
      <c r="AW282" s="19"/>
      <c r="AX282" s="19"/>
      <c r="AY282" s="19"/>
      <c r="AZ282" s="19"/>
      <c r="BA282" s="19"/>
      <c r="BB282" s="19"/>
      <c r="BC282" s="19"/>
      <c r="BD282" s="19"/>
      <c r="BE282" s="19"/>
      <c r="BF282" s="19"/>
      <c r="BG282" s="19"/>
      <c r="BH282" s="19"/>
      <c r="BI282" s="19"/>
      <c r="BJ282" s="19"/>
      <c r="BK282" s="19"/>
      <c r="BL282" s="19"/>
      <c r="BM282" s="19"/>
      <c r="BN282" s="19"/>
      <c r="BO282" s="19"/>
      <c r="BP282" s="19"/>
      <c r="BQ282" s="19"/>
      <c r="BR282" s="19"/>
      <c r="BS282" s="19"/>
      <c r="BT282" s="19"/>
      <c r="BU282" s="19"/>
      <c r="BV282" s="19"/>
      <c r="BW282" s="19"/>
      <c r="BX282" s="19"/>
      <c r="BY282" s="19"/>
      <c r="BZ282" s="19"/>
      <c r="CA282" s="19"/>
      <c r="CB282" s="19"/>
      <c r="CC282" s="19"/>
      <c r="CD282" s="19"/>
      <c r="CE282" s="19"/>
      <c r="CF282" s="6"/>
    </row>
    <row r="283" spans="1:84">
      <c r="A283" s="17"/>
      <c r="B283" s="17"/>
      <c r="C283" s="17"/>
      <c r="D283" s="19"/>
      <c r="E283" s="20"/>
      <c r="F283" s="19"/>
      <c r="G283" s="19"/>
      <c r="H283" s="19"/>
      <c r="I283" s="19"/>
      <c r="J283" s="19"/>
      <c r="K283" s="19"/>
      <c r="L283" s="19"/>
      <c r="M283" s="19"/>
      <c r="N283" s="19"/>
      <c r="O283" s="19"/>
      <c r="P283" s="19"/>
      <c r="Q283" s="19"/>
      <c r="R283" s="19"/>
      <c r="S283" s="19"/>
      <c r="T283" s="19"/>
      <c r="U283" s="19"/>
      <c r="V283" s="19"/>
      <c r="W283" s="19"/>
      <c r="X283" s="19"/>
      <c r="Y283" s="19"/>
      <c r="Z283" s="19"/>
      <c r="AA283" s="19"/>
      <c r="AB283" s="19"/>
      <c r="AC283" s="19"/>
      <c r="AD283" s="19"/>
      <c r="AE283" s="19"/>
      <c r="AF283" s="19"/>
      <c r="AG283" s="19"/>
      <c r="AH283" s="19"/>
      <c r="AI283" s="19"/>
      <c r="AJ283" s="19"/>
      <c r="AK283" s="19"/>
      <c r="AL283" s="19"/>
      <c r="AM283" s="19"/>
      <c r="AN283" s="19"/>
      <c r="AO283" s="19"/>
      <c r="AP283" s="19"/>
      <c r="AQ283" s="19"/>
      <c r="AR283" s="19"/>
      <c r="AS283" s="19"/>
      <c r="AT283" s="19"/>
      <c r="AU283" s="19"/>
      <c r="AV283" s="19"/>
      <c r="AW283" s="19"/>
      <c r="AX283" s="19"/>
      <c r="AY283" s="19"/>
      <c r="AZ283" s="19"/>
      <c r="BA283" s="19"/>
      <c r="BB283" s="19"/>
      <c r="BC283" s="19"/>
      <c r="BD283" s="19"/>
      <c r="BE283" s="19"/>
      <c r="BF283" s="19"/>
      <c r="BG283" s="19"/>
      <c r="BH283" s="19"/>
      <c r="BI283" s="19"/>
      <c r="BJ283" s="19"/>
      <c r="BK283" s="19"/>
      <c r="BL283" s="19"/>
      <c r="BM283" s="19"/>
      <c r="BN283" s="19"/>
      <c r="BO283" s="19"/>
      <c r="BP283" s="19"/>
      <c r="BQ283" s="19"/>
      <c r="BR283" s="19"/>
      <c r="BS283" s="19"/>
      <c r="BT283" s="19"/>
      <c r="BU283" s="19"/>
      <c r="BV283" s="19"/>
      <c r="BW283" s="19"/>
      <c r="BX283" s="19"/>
      <c r="BY283" s="19"/>
      <c r="BZ283" s="19"/>
      <c r="CA283" s="19"/>
      <c r="CB283" s="19"/>
      <c r="CC283" s="19"/>
      <c r="CD283" s="19"/>
      <c r="CE283" s="19"/>
      <c r="CF283" s="6"/>
    </row>
    <row r="284" spans="1:84">
      <c r="A284" s="17"/>
      <c r="B284" s="17"/>
      <c r="C284" s="17"/>
      <c r="D284" s="19"/>
      <c r="E284" s="20"/>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9"/>
      <c r="AD284" s="19"/>
      <c r="AE284" s="19"/>
      <c r="AF284" s="19"/>
      <c r="AG284" s="19"/>
      <c r="AH284" s="19"/>
      <c r="AI284" s="19"/>
      <c r="AJ284" s="19"/>
      <c r="AK284" s="19"/>
      <c r="AL284" s="19"/>
      <c r="AM284" s="19"/>
      <c r="AN284" s="19"/>
      <c r="AO284" s="19"/>
      <c r="AP284" s="19"/>
      <c r="AQ284" s="19"/>
      <c r="AR284" s="19"/>
      <c r="AS284" s="19"/>
      <c r="AT284" s="19"/>
      <c r="AU284" s="19"/>
      <c r="AV284" s="19"/>
      <c r="AW284" s="19"/>
      <c r="AX284" s="19"/>
      <c r="AY284" s="19"/>
      <c r="AZ284" s="19"/>
      <c r="BA284" s="19"/>
      <c r="BB284" s="19"/>
      <c r="BC284" s="19"/>
      <c r="BD284" s="19"/>
      <c r="BE284" s="19"/>
      <c r="BF284" s="19"/>
      <c r="BG284" s="19"/>
      <c r="BH284" s="19"/>
      <c r="BI284" s="19"/>
      <c r="BJ284" s="19"/>
      <c r="BK284" s="19"/>
      <c r="BL284" s="19"/>
      <c r="BM284" s="19"/>
      <c r="BN284" s="19"/>
      <c r="BO284" s="19"/>
      <c r="BP284" s="19"/>
      <c r="BQ284" s="19"/>
      <c r="BR284" s="19"/>
      <c r="BS284" s="19"/>
      <c r="BT284" s="19"/>
      <c r="BU284" s="19"/>
      <c r="BV284" s="19"/>
      <c r="BW284" s="19"/>
      <c r="BX284" s="19"/>
      <c r="BY284" s="19"/>
      <c r="BZ284" s="19"/>
      <c r="CA284" s="19"/>
      <c r="CB284" s="19"/>
      <c r="CC284" s="19"/>
      <c r="CD284" s="19"/>
      <c r="CE284" s="19"/>
      <c r="CF284" s="6"/>
    </row>
    <row r="285" spans="1:84">
      <c r="A285" s="17"/>
      <c r="B285" s="17"/>
      <c r="C285" s="17"/>
      <c r="D285" s="19"/>
      <c r="E285" s="19"/>
      <c r="F285" s="19"/>
      <c r="G285" s="19"/>
      <c r="H285" s="19"/>
      <c r="I285" s="19"/>
      <c r="J285" s="19"/>
      <c r="K285" s="19"/>
      <c r="L285" s="19"/>
      <c r="M285" s="19"/>
      <c r="N285" s="19"/>
      <c r="O285" s="19"/>
      <c r="P285" s="19"/>
      <c r="Q285" s="19"/>
      <c r="R285" s="19"/>
      <c r="S285" s="19"/>
      <c r="T285" s="19"/>
      <c r="U285" s="19"/>
      <c r="V285" s="19"/>
      <c r="W285" s="19"/>
      <c r="X285" s="19"/>
      <c r="Y285" s="19"/>
      <c r="Z285" s="19"/>
      <c r="AA285" s="19"/>
      <c r="AB285" s="19"/>
      <c r="AC285" s="19"/>
      <c r="AD285" s="19"/>
      <c r="AE285" s="19"/>
      <c r="AF285" s="19"/>
      <c r="AG285" s="19"/>
      <c r="AH285" s="19"/>
      <c r="AI285" s="19"/>
      <c r="AJ285" s="19"/>
      <c r="AK285" s="19"/>
      <c r="AL285" s="19"/>
      <c r="AM285" s="19"/>
      <c r="AN285" s="19"/>
      <c r="AO285" s="19"/>
      <c r="AP285" s="19"/>
      <c r="AQ285" s="19"/>
      <c r="AR285" s="19"/>
      <c r="AS285" s="19"/>
      <c r="AT285" s="19"/>
      <c r="AU285" s="19"/>
      <c r="AV285" s="19"/>
      <c r="AW285" s="19"/>
      <c r="AX285" s="19"/>
      <c r="AY285" s="19"/>
      <c r="AZ285" s="19"/>
      <c r="BA285" s="19"/>
      <c r="BB285" s="19"/>
      <c r="BC285" s="19"/>
      <c r="BD285" s="19"/>
      <c r="BE285" s="19"/>
      <c r="BF285" s="19"/>
      <c r="BG285" s="19"/>
      <c r="BH285" s="19"/>
      <c r="BI285" s="19"/>
      <c r="BJ285" s="19"/>
      <c r="BK285" s="19"/>
      <c r="BL285" s="19"/>
      <c r="BM285" s="19"/>
      <c r="BN285" s="19"/>
      <c r="BO285" s="19"/>
      <c r="BP285" s="19"/>
      <c r="BQ285" s="19"/>
      <c r="BR285" s="19"/>
      <c r="BS285" s="19"/>
      <c r="BT285" s="19"/>
      <c r="BU285" s="19"/>
      <c r="BV285" s="19"/>
      <c r="BW285" s="19"/>
      <c r="BX285" s="19"/>
      <c r="BY285" s="19"/>
      <c r="BZ285" s="19"/>
      <c r="CA285" s="19"/>
      <c r="CB285" s="19"/>
      <c r="CC285" s="19"/>
      <c r="CD285" s="19"/>
      <c r="CE285" s="19"/>
      <c r="CF285" s="6"/>
    </row>
    <row r="286" spans="1:84">
      <c r="A286" s="17"/>
      <c r="B286" s="17"/>
      <c r="C286" s="17"/>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9"/>
      <c r="AD286" s="19"/>
      <c r="AE286" s="19"/>
      <c r="AF286" s="19"/>
      <c r="AG286" s="19"/>
      <c r="AH286" s="19"/>
      <c r="AI286" s="19"/>
      <c r="AJ286" s="19"/>
      <c r="AK286" s="19"/>
      <c r="AL286" s="19"/>
      <c r="AM286" s="19"/>
      <c r="AN286" s="19"/>
      <c r="AO286" s="19"/>
      <c r="AP286" s="19"/>
      <c r="AQ286" s="19"/>
      <c r="AR286" s="19"/>
      <c r="AS286" s="19"/>
      <c r="AT286" s="19"/>
      <c r="AU286" s="19"/>
      <c r="AV286" s="19"/>
      <c r="AW286" s="19"/>
      <c r="AX286" s="19"/>
      <c r="AY286" s="19"/>
      <c r="AZ286" s="19"/>
      <c r="BA286" s="19"/>
      <c r="BB286" s="19"/>
      <c r="BC286" s="19"/>
      <c r="BD286" s="19"/>
      <c r="BE286" s="19"/>
      <c r="BF286" s="19"/>
      <c r="BG286" s="19"/>
      <c r="BH286" s="19"/>
      <c r="BI286" s="19"/>
      <c r="BJ286" s="19"/>
      <c r="BK286" s="19"/>
      <c r="BL286" s="19"/>
      <c r="BM286" s="19"/>
      <c r="BN286" s="19"/>
      <c r="BO286" s="19"/>
      <c r="BP286" s="19"/>
      <c r="BQ286" s="19"/>
      <c r="BR286" s="19"/>
      <c r="BS286" s="19"/>
      <c r="BT286" s="19"/>
      <c r="BU286" s="19"/>
      <c r="BV286" s="19"/>
      <c r="BW286" s="19"/>
      <c r="BX286" s="19"/>
      <c r="BY286" s="19"/>
      <c r="BZ286" s="19"/>
      <c r="CA286" s="19"/>
      <c r="CB286" s="19"/>
      <c r="CC286" s="19"/>
      <c r="CD286" s="19"/>
      <c r="CE286" s="19"/>
      <c r="CF286" s="6"/>
    </row>
    <row r="287" spans="1:84">
      <c r="A287" s="17"/>
      <c r="B287" s="17"/>
      <c r="C287" s="17"/>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19"/>
      <c r="AG287" s="19"/>
      <c r="AH287" s="19"/>
      <c r="AI287" s="19"/>
      <c r="AJ287" s="19"/>
      <c r="AK287" s="19"/>
      <c r="AL287" s="19"/>
      <c r="AM287" s="19"/>
      <c r="AN287" s="19"/>
      <c r="AO287" s="19"/>
      <c r="AP287" s="19"/>
      <c r="AQ287" s="19"/>
      <c r="AR287" s="19"/>
      <c r="AS287" s="19"/>
      <c r="AT287" s="19"/>
      <c r="AU287" s="19"/>
      <c r="AV287" s="19"/>
      <c r="AW287" s="19"/>
      <c r="AX287" s="19"/>
      <c r="AY287" s="19"/>
      <c r="AZ287" s="19"/>
      <c r="BA287" s="19"/>
      <c r="BB287" s="19"/>
      <c r="BC287" s="19"/>
      <c r="BD287" s="19"/>
      <c r="BE287" s="19"/>
      <c r="BF287" s="19"/>
      <c r="BG287" s="19"/>
      <c r="BH287" s="19"/>
      <c r="BI287" s="19"/>
      <c r="BJ287" s="19"/>
      <c r="BK287" s="19"/>
      <c r="BL287" s="19"/>
      <c r="BM287" s="19"/>
      <c r="BN287" s="19"/>
      <c r="BO287" s="19"/>
      <c r="BP287" s="19"/>
      <c r="BQ287" s="19"/>
      <c r="BR287" s="19"/>
      <c r="BS287" s="19"/>
      <c r="BT287" s="19"/>
      <c r="BU287" s="19"/>
      <c r="BV287" s="19"/>
      <c r="BW287" s="19"/>
      <c r="BX287" s="19"/>
      <c r="BY287" s="19"/>
      <c r="BZ287" s="19"/>
      <c r="CA287" s="19"/>
      <c r="CB287" s="19"/>
      <c r="CC287" s="19"/>
      <c r="CD287" s="19"/>
      <c r="CE287" s="19"/>
      <c r="CF287" s="6"/>
    </row>
    <row r="288" spans="1:84">
      <c r="A288" s="17"/>
      <c r="B288" s="17"/>
      <c r="C288" s="17"/>
      <c r="D288" s="19"/>
      <c r="E288" s="19"/>
      <c r="F288" s="19"/>
      <c r="G288" s="19"/>
      <c r="H288" s="19"/>
      <c r="I288" s="19"/>
      <c r="J288" s="19"/>
      <c r="K288" s="19"/>
      <c r="L288" s="19"/>
      <c r="M288" s="19"/>
      <c r="N288" s="19"/>
      <c r="O288" s="19"/>
      <c r="P288" s="19"/>
      <c r="Q288" s="19"/>
      <c r="R288" s="19"/>
      <c r="S288" s="19"/>
      <c r="T288" s="19"/>
      <c r="U288" s="19"/>
      <c r="V288" s="19"/>
      <c r="W288" s="19"/>
      <c r="X288" s="19"/>
      <c r="Y288" s="19"/>
      <c r="Z288" s="19"/>
      <c r="AA288" s="19"/>
      <c r="AB288" s="19"/>
      <c r="AC288" s="19"/>
      <c r="AD288" s="19"/>
      <c r="AE288" s="19"/>
      <c r="AF288" s="19"/>
      <c r="AG288" s="19"/>
      <c r="AH288" s="19"/>
      <c r="AI288" s="19"/>
      <c r="AJ288" s="19"/>
      <c r="AK288" s="19"/>
      <c r="AL288" s="19"/>
      <c r="AM288" s="19"/>
      <c r="AN288" s="19"/>
      <c r="AO288" s="19"/>
      <c r="AP288" s="19"/>
      <c r="AQ288" s="19"/>
      <c r="AR288" s="19"/>
      <c r="AS288" s="19"/>
      <c r="AT288" s="19"/>
      <c r="AU288" s="19"/>
      <c r="AV288" s="19"/>
      <c r="AW288" s="19"/>
      <c r="AX288" s="19"/>
      <c r="AY288" s="19"/>
      <c r="AZ288" s="19"/>
      <c r="BA288" s="19"/>
      <c r="BB288" s="19"/>
      <c r="BC288" s="19"/>
      <c r="BD288" s="19"/>
      <c r="BE288" s="19"/>
      <c r="BF288" s="19"/>
      <c r="BG288" s="19"/>
      <c r="BH288" s="19"/>
      <c r="BI288" s="19"/>
      <c r="BJ288" s="19"/>
      <c r="BK288" s="19"/>
      <c r="BL288" s="19"/>
      <c r="BM288" s="19"/>
      <c r="BN288" s="19"/>
      <c r="BO288" s="19"/>
      <c r="BP288" s="19"/>
      <c r="BQ288" s="19"/>
      <c r="BR288" s="19"/>
      <c r="BS288" s="19"/>
      <c r="BT288" s="19"/>
      <c r="BU288" s="19"/>
      <c r="BV288" s="19"/>
      <c r="BW288" s="19"/>
      <c r="BX288" s="19"/>
      <c r="BY288" s="19"/>
      <c r="BZ288" s="19"/>
      <c r="CA288" s="19"/>
      <c r="CB288" s="19"/>
      <c r="CC288" s="19"/>
      <c r="CD288" s="19"/>
      <c r="CE288" s="19"/>
      <c r="CF288" s="6"/>
    </row>
    <row r="289" spans="1:84">
      <c r="A289" s="17"/>
      <c r="B289" s="17"/>
      <c r="C289" s="17"/>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19"/>
      <c r="AE289" s="19"/>
      <c r="AF289" s="19"/>
      <c r="AG289" s="19"/>
      <c r="AH289" s="19"/>
      <c r="AI289" s="19"/>
      <c r="AJ289" s="19"/>
      <c r="AK289" s="19"/>
      <c r="AL289" s="19"/>
      <c r="AM289" s="19"/>
      <c r="AN289" s="19"/>
      <c r="AO289" s="19"/>
      <c r="AP289" s="19"/>
      <c r="AQ289" s="19"/>
      <c r="AR289" s="19"/>
      <c r="AS289" s="19"/>
      <c r="AT289" s="19"/>
      <c r="AU289" s="19"/>
      <c r="AV289" s="19"/>
      <c r="AW289" s="19"/>
      <c r="AX289" s="19"/>
      <c r="AY289" s="19"/>
      <c r="AZ289" s="19"/>
      <c r="BA289" s="19"/>
      <c r="BB289" s="19"/>
      <c r="BC289" s="19"/>
      <c r="BD289" s="19"/>
      <c r="BE289" s="19"/>
      <c r="BF289" s="19"/>
      <c r="BG289" s="19"/>
      <c r="BH289" s="19"/>
      <c r="BI289" s="19"/>
      <c r="BJ289" s="19"/>
      <c r="BK289" s="19"/>
      <c r="BL289" s="19"/>
      <c r="BM289" s="19"/>
      <c r="BN289" s="19"/>
      <c r="BO289" s="19"/>
      <c r="BP289" s="19"/>
      <c r="BQ289" s="19"/>
      <c r="BR289" s="19"/>
      <c r="BS289" s="19"/>
      <c r="BT289" s="19"/>
      <c r="BU289" s="19"/>
      <c r="BV289" s="19"/>
      <c r="BW289" s="19"/>
      <c r="BX289" s="19"/>
      <c r="BY289" s="19"/>
      <c r="BZ289" s="19"/>
      <c r="CA289" s="19"/>
      <c r="CB289" s="19"/>
      <c r="CC289" s="19"/>
      <c r="CD289" s="19"/>
      <c r="CE289" s="19"/>
      <c r="CF289" s="6"/>
    </row>
    <row r="290" spans="1:84">
      <c r="A290" s="17"/>
      <c r="B290" s="17"/>
      <c r="C290" s="17"/>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19"/>
      <c r="AE290" s="19"/>
      <c r="AF290" s="19"/>
      <c r="AG290" s="19"/>
      <c r="AH290" s="19"/>
      <c r="AI290" s="19"/>
      <c r="AJ290" s="19"/>
      <c r="AK290" s="19"/>
      <c r="AL290" s="19"/>
      <c r="AM290" s="19"/>
      <c r="AN290" s="19"/>
      <c r="AO290" s="19"/>
      <c r="AP290" s="19"/>
      <c r="AQ290" s="19"/>
      <c r="AR290" s="19"/>
      <c r="AS290" s="19"/>
      <c r="AT290" s="19"/>
      <c r="AU290" s="19"/>
      <c r="AV290" s="19"/>
      <c r="AW290" s="19"/>
      <c r="AX290" s="19"/>
      <c r="AY290" s="19"/>
      <c r="AZ290" s="19"/>
      <c r="BA290" s="19"/>
      <c r="BB290" s="19"/>
      <c r="BC290" s="19"/>
      <c r="BD290" s="19"/>
      <c r="BE290" s="19"/>
      <c r="BF290" s="19"/>
      <c r="BG290" s="19"/>
      <c r="BH290" s="19"/>
      <c r="BI290" s="19"/>
      <c r="BJ290" s="19"/>
      <c r="BK290" s="19"/>
      <c r="BL290" s="19"/>
      <c r="BM290" s="19"/>
      <c r="BN290" s="19"/>
      <c r="BO290" s="19"/>
      <c r="BP290" s="19"/>
      <c r="BQ290" s="19"/>
      <c r="BR290" s="19"/>
      <c r="BS290" s="19"/>
      <c r="BT290" s="19"/>
      <c r="BU290" s="19"/>
      <c r="BV290" s="19"/>
      <c r="BW290" s="19"/>
      <c r="BX290" s="19"/>
      <c r="BY290" s="19"/>
      <c r="BZ290" s="19"/>
      <c r="CA290" s="19"/>
      <c r="CB290" s="19"/>
      <c r="CC290" s="19"/>
      <c r="CD290" s="19"/>
      <c r="CE290" s="19"/>
      <c r="CF290" s="6"/>
    </row>
    <row r="291" spans="1:84">
      <c r="A291" s="17"/>
      <c r="B291" s="17"/>
      <c r="C291" s="17"/>
      <c r="D291" s="19"/>
      <c r="E291" s="19"/>
      <c r="F291" s="19"/>
      <c r="G291" s="19"/>
      <c r="H291" s="19"/>
      <c r="I291" s="19"/>
      <c r="J291" s="19"/>
      <c r="K291" s="19"/>
      <c r="L291" s="19"/>
      <c r="M291" s="19"/>
      <c r="N291" s="19"/>
      <c r="O291" s="19"/>
      <c r="P291" s="19"/>
      <c r="Q291" s="19"/>
      <c r="R291" s="19"/>
      <c r="S291" s="19"/>
      <c r="T291" s="19"/>
      <c r="U291" s="19"/>
      <c r="V291" s="19"/>
      <c r="W291" s="19"/>
      <c r="X291" s="19"/>
      <c r="Y291" s="19"/>
      <c r="Z291" s="19"/>
      <c r="AA291" s="19"/>
      <c r="AB291" s="19"/>
      <c r="AC291" s="19"/>
      <c r="AD291" s="19"/>
      <c r="AE291" s="19"/>
      <c r="AF291" s="19"/>
      <c r="AG291" s="19"/>
      <c r="AH291" s="19"/>
      <c r="AI291" s="19"/>
      <c r="AJ291" s="19"/>
      <c r="AK291" s="19"/>
      <c r="AL291" s="19"/>
      <c r="AM291" s="19"/>
      <c r="AN291" s="19"/>
      <c r="AO291" s="19"/>
      <c r="AP291" s="19"/>
      <c r="AQ291" s="19"/>
      <c r="AR291" s="19"/>
      <c r="AS291" s="19"/>
      <c r="AT291" s="19"/>
      <c r="AU291" s="19"/>
      <c r="AV291" s="19"/>
      <c r="AW291" s="19"/>
      <c r="AX291" s="19"/>
      <c r="AY291" s="19"/>
      <c r="AZ291" s="19"/>
      <c r="BA291" s="19"/>
      <c r="BB291" s="19"/>
      <c r="BC291" s="19"/>
      <c r="BD291" s="19"/>
      <c r="BE291" s="19"/>
      <c r="BF291" s="19"/>
      <c r="BG291" s="19"/>
      <c r="BH291" s="19"/>
      <c r="BI291" s="19"/>
      <c r="BJ291" s="19"/>
      <c r="BK291" s="19"/>
      <c r="BL291" s="19"/>
      <c r="BM291" s="19"/>
      <c r="BN291" s="19"/>
      <c r="BO291" s="19"/>
      <c r="BP291" s="19"/>
      <c r="BQ291" s="19"/>
      <c r="BR291" s="19"/>
      <c r="BS291" s="19"/>
      <c r="BT291" s="19"/>
      <c r="BU291" s="19"/>
      <c r="BV291" s="19"/>
      <c r="BW291" s="19"/>
      <c r="BX291" s="19"/>
      <c r="BY291" s="19"/>
      <c r="BZ291" s="19"/>
      <c r="CA291" s="19"/>
      <c r="CB291" s="19"/>
      <c r="CC291" s="19"/>
      <c r="CD291" s="19"/>
      <c r="CE291" s="19"/>
      <c r="CF291" s="6"/>
    </row>
    <row r="292" spans="1:84">
      <c r="A292" s="17"/>
      <c r="B292" s="17"/>
      <c r="C292" s="17"/>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19"/>
      <c r="AE292" s="19"/>
      <c r="AF292" s="19"/>
      <c r="AG292" s="19"/>
      <c r="AH292" s="19"/>
      <c r="AI292" s="19"/>
      <c r="AJ292" s="19"/>
      <c r="AK292" s="19"/>
      <c r="AL292" s="19"/>
      <c r="AM292" s="19"/>
      <c r="AN292" s="19"/>
      <c r="AO292" s="19"/>
      <c r="AP292" s="19"/>
      <c r="AQ292" s="19"/>
      <c r="AR292" s="19"/>
      <c r="AS292" s="19"/>
      <c r="AT292" s="19"/>
      <c r="AU292" s="19"/>
      <c r="AV292" s="19"/>
      <c r="AW292" s="19"/>
      <c r="AX292" s="19"/>
      <c r="AY292" s="19"/>
      <c r="AZ292" s="19"/>
      <c r="BA292" s="19"/>
      <c r="BB292" s="19"/>
      <c r="BC292" s="19"/>
      <c r="BD292" s="19"/>
      <c r="BE292" s="19"/>
      <c r="BF292" s="19"/>
      <c r="BG292" s="19"/>
      <c r="BH292" s="19"/>
      <c r="BI292" s="19"/>
      <c r="BJ292" s="19"/>
      <c r="BK292" s="19"/>
      <c r="BL292" s="19"/>
      <c r="BM292" s="19"/>
      <c r="BN292" s="19"/>
      <c r="BO292" s="19"/>
      <c r="BP292" s="19"/>
      <c r="BQ292" s="19"/>
      <c r="BR292" s="19"/>
      <c r="BS292" s="19"/>
      <c r="BT292" s="19"/>
      <c r="BU292" s="19"/>
      <c r="BV292" s="19"/>
      <c r="BW292" s="19"/>
      <c r="BX292" s="19"/>
      <c r="BY292" s="19"/>
      <c r="BZ292" s="19"/>
      <c r="CA292" s="19"/>
      <c r="CB292" s="19"/>
      <c r="CC292" s="19"/>
      <c r="CD292" s="19"/>
      <c r="CE292" s="19"/>
      <c r="CF292" s="6"/>
    </row>
    <row r="293" spans="1:84">
      <c r="A293" s="17"/>
      <c r="B293" s="17"/>
      <c r="C293" s="17"/>
      <c r="D293" s="19"/>
      <c r="E293" s="19"/>
      <c r="F293" s="19"/>
      <c r="G293" s="19"/>
      <c r="H293" s="19"/>
      <c r="I293" s="19"/>
      <c r="J293" s="19"/>
      <c r="K293" s="19"/>
      <c r="L293" s="19"/>
      <c r="M293" s="19"/>
      <c r="N293" s="19"/>
      <c r="O293" s="19"/>
      <c r="P293" s="19"/>
      <c r="Q293" s="19"/>
      <c r="R293" s="19"/>
      <c r="S293" s="19"/>
      <c r="T293" s="19"/>
      <c r="U293" s="19"/>
      <c r="V293" s="19"/>
      <c r="W293" s="19"/>
      <c r="X293" s="19"/>
      <c r="Y293" s="19"/>
      <c r="Z293" s="19"/>
      <c r="AA293" s="19"/>
      <c r="AB293" s="19"/>
      <c r="AC293" s="19"/>
      <c r="AD293" s="19"/>
      <c r="AE293" s="19"/>
      <c r="AF293" s="19"/>
      <c r="AG293" s="19"/>
      <c r="AH293" s="19"/>
      <c r="AI293" s="19"/>
      <c r="AJ293" s="19"/>
      <c r="AK293" s="19"/>
      <c r="AL293" s="19"/>
      <c r="AM293" s="19"/>
      <c r="AN293" s="19"/>
      <c r="AO293" s="19"/>
      <c r="AP293" s="19"/>
      <c r="AQ293" s="19"/>
      <c r="AR293" s="19"/>
      <c r="AS293" s="19"/>
      <c r="AT293" s="19"/>
      <c r="AU293" s="19"/>
      <c r="AV293" s="19"/>
      <c r="AW293" s="19"/>
      <c r="AX293" s="19"/>
      <c r="AY293" s="19"/>
      <c r="AZ293" s="19"/>
      <c r="BA293" s="19"/>
      <c r="BB293" s="19"/>
      <c r="BC293" s="19"/>
      <c r="BD293" s="19"/>
      <c r="BE293" s="19"/>
      <c r="BF293" s="19"/>
      <c r="BG293" s="19"/>
      <c r="BH293" s="19"/>
      <c r="BI293" s="19"/>
      <c r="BJ293" s="19"/>
      <c r="BK293" s="19"/>
      <c r="BL293" s="19"/>
      <c r="BM293" s="19"/>
      <c r="BN293" s="19"/>
      <c r="BO293" s="19"/>
      <c r="BP293" s="19"/>
      <c r="BQ293" s="19"/>
      <c r="BR293" s="19"/>
      <c r="BS293" s="19"/>
      <c r="BT293" s="19"/>
      <c r="BU293" s="19"/>
      <c r="BV293" s="19"/>
      <c r="BW293" s="19"/>
      <c r="BX293" s="19"/>
      <c r="BY293" s="19"/>
      <c r="BZ293" s="19"/>
      <c r="CA293" s="19"/>
      <c r="CB293" s="19"/>
      <c r="CC293" s="19"/>
      <c r="CD293" s="19"/>
      <c r="CE293" s="19"/>
      <c r="CF293" s="6"/>
    </row>
    <row r="294" spans="1:84">
      <c r="A294" s="17"/>
      <c r="B294" s="17"/>
      <c r="C294" s="17"/>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c r="AB294" s="19"/>
      <c r="AC294" s="19"/>
      <c r="AD294" s="19"/>
      <c r="AE294" s="19"/>
      <c r="AF294" s="19"/>
      <c r="AG294" s="19"/>
      <c r="AH294" s="19"/>
      <c r="AI294" s="19"/>
      <c r="AJ294" s="19"/>
      <c r="AK294" s="19"/>
      <c r="AL294" s="19"/>
      <c r="AM294" s="19"/>
      <c r="AN294" s="19"/>
      <c r="AO294" s="19"/>
      <c r="AP294" s="19"/>
      <c r="AQ294" s="19"/>
      <c r="AR294" s="19"/>
      <c r="AS294" s="19"/>
      <c r="AT294" s="19"/>
      <c r="AU294" s="19"/>
      <c r="AV294" s="19"/>
      <c r="AW294" s="19"/>
      <c r="AX294" s="19"/>
      <c r="AY294" s="19"/>
      <c r="AZ294" s="19"/>
      <c r="BA294" s="19"/>
      <c r="BB294" s="19"/>
      <c r="BC294" s="19"/>
      <c r="BD294" s="19"/>
      <c r="BE294" s="19"/>
      <c r="BF294" s="19"/>
      <c r="BG294" s="19"/>
      <c r="BH294" s="19"/>
      <c r="BI294" s="19"/>
      <c r="BJ294" s="19"/>
      <c r="BK294" s="19"/>
      <c r="BL294" s="19"/>
      <c r="BM294" s="19"/>
      <c r="BN294" s="19"/>
      <c r="BO294" s="19"/>
      <c r="BP294" s="19"/>
      <c r="BQ294" s="19"/>
      <c r="BR294" s="19"/>
      <c r="BS294" s="19"/>
      <c r="BT294" s="19"/>
      <c r="BU294" s="19"/>
      <c r="BV294" s="19"/>
      <c r="BW294" s="19"/>
      <c r="BX294" s="19"/>
      <c r="BY294" s="19"/>
      <c r="BZ294" s="19"/>
      <c r="CA294" s="19"/>
      <c r="CB294" s="19"/>
      <c r="CC294" s="19"/>
      <c r="CD294" s="19"/>
      <c r="CE294" s="19"/>
      <c r="CF294" s="6"/>
    </row>
    <row r="295" spans="1:84">
      <c r="A295" s="17"/>
      <c r="B295" s="17"/>
      <c r="C295" s="17"/>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9"/>
      <c r="AG295" s="19"/>
      <c r="AH295" s="19"/>
      <c r="AI295" s="19"/>
      <c r="AJ295" s="19"/>
      <c r="AK295" s="19"/>
      <c r="AL295" s="19"/>
      <c r="AM295" s="19"/>
      <c r="AN295" s="19"/>
      <c r="AO295" s="19"/>
      <c r="AP295" s="19"/>
      <c r="AQ295" s="19"/>
      <c r="AR295" s="19"/>
      <c r="AS295" s="19"/>
      <c r="AT295" s="19"/>
      <c r="AU295" s="19"/>
      <c r="AV295" s="19"/>
      <c r="AW295" s="19"/>
      <c r="AX295" s="19"/>
      <c r="AY295" s="19"/>
      <c r="AZ295" s="19"/>
      <c r="BA295" s="19"/>
      <c r="BB295" s="19"/>
      <c r="BC295" s="19"/>
      <c r="BD295" s="19"/>
      <c r="BE295" s="19"/>
      <c r="BF295" s="19"/>
      <c r="BG295" s="19"/>
      <c r="BH295" s="19"/>
      <c r="BI295" s="19"/>
      <c r="BJ295" s="19"/>
      <c r="BK295" s="19"/>
      <c r="BL295" s="19"/>
      <c r="BM295" s="19"/>
      <c r="BN295" s="19"/>
      <c r="BO295" s="19"/>
      <c r="BP295" s="19"/>
      <c r="BQ295" s="19"/>
      <c r="BR295" s="19"/>
      <c r="BS295" s="19"/>
      <c r="BT295" s="19"/>
      <c r="BU295" s="19"/>
      <c r="BV295" s="19"/>
      <c r="BW295" s="19"/>
      <c r="BX295" s="19"/>
      <c r="BY295" s="19"/>
      <c r="BZ295" s="19"/>
      <c r="CA295" s="19"/>
      <c r="CB295" s="19"/>
      <c r="CC295" s="19"/>
      <c r="CD295" s="19"/>
      <c r="CE295" s="19"/>
      <c r="CF295" s="6"/>
    </row>
    <row r="296" spans="1:84">
      <c r="A296" s="17"/>
      <c r="B296" s="17"/>
      <c r="C296" s="17"/>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19"/>
      <c r="AG296" s="19"/>
      <c r="AH296" s="19"/>
      <c r="AI296" s="19"/>
      <c r="AJ296" s="19"/>
      <c r="AK296" s="19"/>
      <c r="AL296" s="19"/>
      <c r="AM296" s="19"/>
      <c r="AN296" s="19"/>
      <c r="AO296" s="19"/>
      <c r="AP296" s="19"/>
      <c r="AQ296" s="19"/>
      <c r="AR296" s="19"/>
      <c r="AS296" s="19"/>
      <c r="AT296" s="19"/>
      <c r="AU296" s="19"/>
      <c r="AV296" s="19"/>
      <c r="AW296" s="19"/>
      <c r="AX296" s="19"/>
      <c r="AY296" s="19"/>
      <c r="AZ296" s="19"/>
      <c r="BA296" s="19"/>
      <c r="BB296" s="19"/>
      <c r="BC296" s="19"/>
      <c r="BD296" s="19"/>
      <c r="BE296" s="19"/>
      <c r="BF296" s="19"/>
      <c r="BG296" s="19"/>
      <c r="BH296" s="19"/>
      <c r="BI296" s="19"/>
      <c r="BJ296" s="19"/>
      <c r="BK296" s="19"/>
      <c r="BL296" s="19"/>
      <c r="BM296" s="19"/>
      <c r="BN296" s="19"/>
      <c r="BO296" s="19"/>
      <c r="BP296" s="19"/>
      <c r="BQ296" s="19"/>
      <c r="BR296" s="19"/>
      <c r="BS296" s="19"/>
      <c r="BT296" s="19"/>
      <c r="BU296" s="19"/>
      <c r="BV296" s="19"/>
      <c r="BW296" s="19"/>
      <c r="BX296" s="19"/>
      <c r="BY296" s="19"/>
      <c r="BZ296" s="19"/>
      <c r="CA296" s="19"/>
      <c r="CB296" s="19"/>
      <c r="CC296" s="19"/>
      <c r="CD296" s="19"/>
      <c r="CE296" s="19"/>
      <c r="CF296" s="6"/>
    </row>
    <row r="297" spans="1:84">
      <c r="A297" s="17"/>
      <c r="B297" s="17"/>
      <c r="C297" s="17"/>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r="AE297" s="19"/>
      <c r="AF297" s="19"/>
      <c r="AG297" s="19"/>
      <c r="AH297" s="19"/>
      <c r="AI297" s="19"/>
      <c r="AJ297" s="19"/>
      <c r="AK297" s="19"/>
      <c r="AL297" s="19"/>
      <c r="AM297" s="19"/>
      <c r="AN297" s="19"/>
      <c r="AO297" s="19"/>
      <c r="AP297" s="19"/>
      <c r="AQ297" s="19"/>
      <c r="AR297" s="19"/>
      <c r="AS297" s="19"/>
      <c r="AT297" s="19"/>
      <c r="AU297" s="19"/>
      <c r="AV297" s="19"/>
      <c r="AW297" s="19"/>
      <c r="AX297" s="19"/>
      <c r="AY297" s="19"/>
      <c r="AZ297" s="19"/>
      <c r="BA297" s="19"/>
      <c r="BB297" s="19"/>
      <c r="BC297" s="19"/>
      <c r="BD297" s="19"/>
      <c r="BE297" s="19"/>
      <c r="BF297" s="19"/>
      <c r="BG297" s="19"/>
      <c r="BH297" s="19"/>
      <c r="BI297" s="19"/>
      <c r="BJ297" s="19"/>
      <c r="BK297" s="19"/>
      <c r="BL297" s="19"/>
      <c r="BM297" s="19"/>
      <c r="BN297" s="19"/>
      <c r="BO297" s="19"/>
      <c r="BP297" s="19"/>
      <c r="BQ297" s="19"/>
      <c r="BR297" s="19"/>
      <c r="BS297" s="19"/>
      <c r="BT297" s="19"/>
      <c r="BU297" s="19"/>
      <c r="BV297" s="19"/>
      <c r="BW297" s="19"/>
      <c r="BX297" s="19"/>
      <c r="BY297" s="19"/>
      <c r="BZ297" s="19"/>
      <c r="CA297" s="19"/>
      <c r="CB297" s="19"/>
      <c r="CC297" s="19"/>
      <c r="CD297" s="19"/>
      <c r="CE297" s="19"/>
      <c r="CF297" s="6"/>
    </row>
    <row r="298" spans="1:84">
      <c r="A298" s="17"/>
      <c r="B298" s="17"/>
      <c r="C298" s="17"/>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19"/>
      <c r="AE298" s="19"/>
      <c r="AF298" s="19"/>
      <c r="AG298" s="19"/>
      <c r="AH298" s="19"/>
      <c r="AI298" s="19"/>
      <c r="AJ298" s="19"/>
      <c r="AK298" s="19"/>
      <c r="AL298" s="19"/>
      <c r="AM298" s="19"/>
      <c r="AN298" s="19"/>
      <c r="AO298" s="19"/>
      <c r="AP298" s="19"/>
      <c r="AQ298" s="19"/>
      <c r="AR298" s="19"/>
      <c r="AS298" s="19"/>
      <c r="AT298" s="19"/>
      <c r="AU298" s="19"/>
      <c r="AV298" s="19"/>
      <c r="AW298" s="19"/>
      <c r="AX298" s="19"/>
      <c r="AY298" s="19"/>
      <c r="AZ298" s="19"/>
      <c r="BA298" s="19"/>
      <c r="BB298" s="19"/>
      <c r="BC298" s="19"/>
      <c r="BD298" s="19"/>
      <c r="BE298" s="19"/>
      <c r="BF298" s="19"/>
      <c r="BG298" s="19"/>
      <c r="BH298" s="19"/>
      <c r="BI298" s="19"/>
      <c r="BJ298" s="19"/>
      <c r="BK298" s="19"/>
      <c r="BL298" s="19"/>
      <c r="BM298" s="19"/>
      <c r="BN298" s="19"/>
      <c r="BO298" s="19"/>
      <c r="BP298" s="19"/>
      <c r="BQ298" s="19"/>
      <c r="BR298" s="19"/>
      <c r="BS298" s="19"/>
      <c r="BT298" s="19"/>
      <c r="BU298" s="19"/>
      <c r="BV298" s="19"/>
      <c r="BW298" s="19"/>
      <c r="BX298" s="19"/>
      <c r="BY298" s="19"/>
      <c r="BZ298" s="19"/>
      <c r="CA298" s="19"/>
      <c r="CB298" s="19"/>
      <c r="CC298" s="19"/>
      <c r="CD298" s="19"/>
      <c r="CE298" s="19"/>
      <c r="CF298" s="6"/>
    </row>
    <row r="299" spans="1:84">
      <c r="A299" s="17"/>
      <c r="B299" s="17"/>
      <c r="C299" s="17"/>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19"/>
      <c r="AE299" s="19"/>
      <c r="AF299" s="19"/>
      <c r="AG299" s="19"/>
      <c r="AH299" s="19"/>
      <c r="AI299" s="19"/>
      <c r="AJ299" s="19"/>
      <c r="AK299" s="19"/>
      <c r="AL299" s="19"/>
      <c r="AM299" s="19"/>
      <c r="AN299" s="19"/>
      <c r="AO299" s="19"/>
      <c r="AP299" s="19"/>
      <c r="AQ299" s="19"/>
      <c r="AR299" s="19"/>
      <c r="AS299" s="19"/>
      <c r="AT299" s="19"/>
      <c r="AU299" s="19"/>
      <c r="AV299" s="19"/>
      <c r="AW299" s="19"/>
      <c r="AX299" s="19"/>
      <c r="AY299" s="19"/>
      <c r="AZ299" s="19"/>
      <c r="BA299" s="19"/>
      <c r="BB299" s="19"/>
      <c r="BC299" s="19"/>
      <c r="BD299" s="19"/>
      <c r="BE299" s="19"/>
      <c r="BF299" s="19"/>
      <c r="BG299" s="19"/>
      <c r="BH299" s="19"/>
      <c r="BI299" s="19"/>
      <c r="BJ299" s="19"/>
      <c r="BK299" s="19"/>
      <c r="BL299" s="19"/>
      <c r="BM299" s="19"/>
      <c r="BN299" s="19"/>
      <c r="BO299" s="19"/>
      <c r="BP299" s="19"/>
      <c r="BQ299" s="19"/>
      <c r="BR299" s="19"/>
      <c r="BS299" s="19"/>
      <c r="BT299" s="19"/>
      <c r="BU299" s="19"/>
      <c r="BV299" s="19"/>
      <c r="BW299" s="19"/>
      <c r="BX299" s="19"/>
      <c r="BY299" s="19"/>
      <c r="BZ299" s="19"/>
      <c r="CA299" s="19"/>
      <c r="CB299" s="19"/>
      <c r="CC299" s="19"/>
      <c r="CD299" s="19"/>
      <c r="CE299" s="19"/>
      <c r="CF299" s="6"/>
    </row>
    <row r="300" spans="1:84">
      <c r="A300" s="17"/>
      <c r="B300" s="17"/>
      <c r="C300" s="17"/>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19"/>
      <c r="AE300" s="19"/>
      <c r="AF300" s="19"/>
      <c r="AG300" s="19"/>
      <c r="AH300" s="19"/>
      <c r="AI300" s="19"/>
      <c r="AJ300" s="19"/>
      <c r="AK300" s="19"/>
      <c r="AL300" s="19"/>
      <c r="AM300" s="19"/>
      <c r="AN300" s="19"/>
      <c r="AO300" s="19"/>
      <c r="AP300" s="19"/>
      <c r="AQ300" s="19"/>
      <c r="AR300" s="19"/>
      <c r="AS300" s="19"/>
      <c r="AT300" s="19"/>
      <c r="AU300" s="19"/>
      <c r="AV300" s="19"/>
      <c r="AW300" s="19"/>
      <c r="AX300" s="19"/>
      <c r="AY300" s="19"/>
      <c r="AZ300" s="19"/>
      <c r="BA300" s="19"/>
      <c r="BB300" s="19"/>
      <c r="BC300" s="19"/>
      <c r="BD300" s="19"/>
      <c r="BE300" s="19"/>
      <c r="BF300" s="19"/>
      <c r="BG300" s="19"/>
      <c r="BH300" s="19"/>
      <c r="BI300" s="19"/>
      <c r="BJ300" s="19"/>
      <c r="BK300" s="19"/>
      <c r="BL300" s="19"/>
      <c r="BM300" s="19"/>
      <c r="BN300" s="19"/>
      <c r="BO300" s="19"/>
      <c r="BP300" s="19"/>
      <c r="BQ300" s="19"/>
      <c r="BR300" s="19"/>
      <c r="BS300" s="19"/>
      <c r="BT300" s="19"/>
      <c r="BU300" s="19"/>
      <c r="BV300" s="19"/>
      <c r="BW300" s="19"/>
      <c r="BX300" s="19"/>
      <c r="BY300" s="19"/>
      <c r="BZ300" s="19"/>
      <c r="CA300" s="19"/>
      <c r="CB300" s="19"/>
      <c r="CC300" s="19"/>
      <c r="CD300" s="19"/>
      <c r="CE300" s="19"/>
      <c r="CF300" s="6"/>
    </row>
    <row r="301" spans="1:84">
      <c r="A301" s="17"/>
      <c r="B301" s="17"/>
      <c r="C301" s="17"/>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19"/>
      <c r="AE301" s="19"/>
      <c r="AF301" s="19"/>
      <c r="AG301" s="19"/>
      <c r="AH301" s="19"/>
      <c r="AI301" s="19"/>
      <c r="AJ301" s="19"/>
      <c r="AK301" s="19"/>
      <c r="AL301" s="19"/>
      <c r="AM301" s="19"/>
      <c r="AN301" s="19"/>
      <c r="AO301" s="19"/>
      <c r="AP301" s="19"/>
      <c r="AQ301" s="19"/>
      <c r="AR301" s="19"/>
      <c r="AS301" s="19"/>
      <c r="AT301" s="19"/>
      <c r="AU301" s="19"/>
      <c r="AV301" s="19"/>
      <c r="AW301" s="19"/>
      <c r="AX301" s="19"/>
      <c r="AY301" s="19"/>
      <c r="AZ301" s="19"/>
      <c r="BA301" s="19"/>
      <c r="BB301" s="19"/>
      <c r="BC301" s="19"/>
      <c r="BD301" s="19"/>
      <c r="BE301" s="19"/>
      <c r="BF301" s="19"/>
      <c r="BG301" s="19"/>
      <c r="BH301" s="19"/>
      <c r="BI301" s="19"/>
      <c r="BJ301" s="19"/>
      <c r="BK301" s="19"/>
      <c r="BL301" s="19"/>
      <c r="BM301" s="19"/>
      <c r="BN301" s="19"/>
      <c r="BO301" s="19"/>
      <c r="BP301" s="19"/>
      <c r="BQ301" s="19"/>
      <c r="BR301" s="19"/>
      <c r="BS301" s="19"/>
      <c r="BT301" s="19"/>
      <c r="BU301" s="19"/>
      <c r="BV301" s="19"/>
      <c r="BW301" s="19"/>
      <c r="BX301" s="19"/>
      <c r="BY301" s="19"/>
      <c r="BZ301" s="19"/>
      <c r="CA301" s="19"/>
      <c r="CB301" s="19"/>
      <c r="CC301" s="19"/>
      <c r="CD301" s="19"/>
      <c r="CE301" s="19"/>
      <c r="CF301" s="6"/>
    </row>
    <row r="302" spans="1:84">
      <c r="A302" s="17"/>
      <c r="B302" s="17"/>
      <c r="C302" s="17"/>
      <c r="D302" s="19"/>
      <c r="E302" s="19"/>
      <c r="F302" s="19"/>
      <c r="G302" s="19"/>
      <c r="H302" s="19"/>
      <c r="I302" s="19"/>
      <c r="J302" s="19"/>
      <c r="K302" s="19"/>
      <c r="L302" s="19"/>
      <c r="M302" s="19"/>
      <c r="N302" s="19"/>
      <c r="O302" s="19"/>
      <c r="P302" s="19"/>
      <c r="Q302" s="19"/>
      <c r="R302" s="19"/>
      <c r="S302" s="19"/>
      <c r="T302" s="19"/>
      <c r="U302" s="19"/>
      <c r="V302" s="19"/>
      <c r="W302" s="19"/>
      <c r="X302" s="19"/>
      <c r="Y302" s="19"/>
      <c r="Z302" s="19"/>
      <c r="AA302" s="19"/>
      <c r="AB302" s="19"/>
      <c r="AC302" s="19"/>
      <c r="AD302" s="19"/>
      <c r="AE302" s="19"/>
      <c r="AF302" s="19"/>
      <c r="AG302" s="19"/>
      <c r="AH302" s="19"/>
      <c r="AI302" s="19"/>
      <c r="AJ302" s="19"/>
      <c r="AK302" s="19"/>
      <c r="AL302" s="19"/>
      <c r="AM302" s="19"/>
      <c r="AN302" s="19"/>
      <c r="AO302" s="19"/>
      <c r="AP302" s="19"/>
      <c r="AQ302" s="19"/>
      <c r="AR302" s="19"/>
      <c r="AS302" s="19"/>
      <c r="AT302" s="19"/>
      <c r="AU302" s="19"/>
      <c r="AV302" s="19"/>
      <c r="AW302" s="19"/>
      <c r="AX302" s="19"/>
      <c r="AY302" s="19"/>
      <c r="AZ302" s="19"/>
      <c r="BA302" s="19"/>
      <c r="BB302" s="19"/>
      <c r="BC302" s="19"/>
      <c r="BD302" s="19"/>
      <c r="BE302" s="19"/>
      <c r="BF302" s="19"/>
      <c r="BG302" s="19"/>
      <c r="BH302" s="19"/>
      <c r="BI302" s="19"/>
      <c r="BJ302" s="19"/>
      <c r="BK302" s="19"/>
      <c r="BL302" s="19"/>
      <c r="BM302" s="19"/>
      <c r="BN302" s="19"/>
      <c r="BO302" s="19"/>
      <c r="BP302" s="19"/>
      <c r="BQ302" s="19"/>
      <c r="BR302" s="19"/>
      <c r="BS302" s="19"/>
      <c r="BT302" s="19"/>
      <c r="BU302" s="19"/>
      <c r="BV302" s="19"/>
      <c r="BW302" s="19"/>
      <c r="BX302" s="19"/>
      <c r="BY302" s="19"/>
      <c r="BZ302" s="19"/>
      <c r="CA302" s="19"/>
      <c r="CB302" s="19"/>
      <c r="CC302" s="19"/>
      <c r="CD302" s="19"/>
      <c r="CE302" s="19"/>
      <c r="CF302" s="6"/>
    </row>
    <row r="303" spans="1:84">
      <c r="A303" s="17"/>
      <c r="B303" s="17"/>
      <c r="C303" s="17"/>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c r="AR303" s="19"/>
      <c r="AS303" s="19"/>
      <c r="AT303" s="19"/>
      <c r="AU303" s="19"/>
      <c r="AV303" s="19"/>
      <c r="AW303" s="19"/>
      <c r="AX303" s="19"/>
      <c r="AY303" s="19"/>
      <c r="AZ303" s="19"/>
      <c r="BA303" s="19"/>
      <c r="BB303" s="19"/>
      <c r="BC303" s="19"/>
      <c r="BD303" s="19"/>
      <c r="BE303" s="19"/>
      <c r="BF303" s="19"/>
      <c r="BG303" s="19"/>
      <c r="BH303" s="19"/>
      <c r="BI303" s="19"/>
      <c r="BJ303" s="19"/>
      <c r="BK303" s="19"/>
      <c r="BL303" s="19"/>
      <c r="BM303" s="19"/>
      <c r="BN303" s="19"/>
      <c r="BO303" s="19"/>
      <c r="BP303" s="19"/>
      <c r="BQ303" s="19"/>
      <c r="BR303" s="19"/>
      <c r="BS303" s="19"/>
      <c r="BT303" s="19"/>
      <c r="BU303" s="19"/>
      <c r="BV303" s="19"/>
      <c r="BW303" s="19"/>
      <c r="BX303" s="19"/>
      <c r="BY303" s="19"/>
      <c r="BZ303" s="19"/>
      <c r="CA303" s="19"/>
      <c r="CB303" s="19"/>
      <c r="CC303" s="19"/>
      <c r="CD303" s="19"/>
      <c r="CE303" s="19"/>
      <c r="CF303" s="6"/>
    </row>
    <row r="304" spans="1:84">
      <c r="A304" s="17"/>
      <c r="B304" s="17"/>
      <c r="C304" s="17"/>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c r="AS304" s="19"/>
      <c r="AT304" s="19"/>
      <c r="AU304" s="19"/>
      <c r="AV304" s="19"/>
      <c r="AW304" s="19"/>
      <c r="AX304" s="19"/>
      <c r="AY304" s="19"/>
      <c r="AZ304" s="19"/>
      <c r="BA304" s="19"/>
      <c r="BB304" s="19"/>
      <c r="BC304" s="19"/>
      <c r="BD304" s="19"/>
      <c r="BE304" s="19"/>
      <c r="BF304" s="19"/>
      <c r="BG304" s="19"/>
      <c r="BH304" s="19"/>
      <c r="BI304" s="19"/>
      <c r="BJ304" s="19"/>
      <c r="BK304" s="19"/>
      <c r="BL304" s="19"/>
      <c r="BM304" s="19"/>
      <c r="BN304" s="19"/>
      <c r="BO304" s="19"/>
      <c r="BP304" s="19"/>
      <c r="BQ304" s="19"/>
      <c r="BR304" s="19"/>
      <c r="BS304" s="19"/>
      <c r="BT304" s="19"/>
      <c r="BU304" s="19"/>
      <c r="BV304" s="19"/>
      <c r="BW304" s="19"/>
      <c r="BX304" s="19"/>
      <c r="BY304" s="19"/>
      <c r="BZ304" s="19"/>
      <c r="CA304" s="19"/>
      <c r="CB304" s="19"/>
      <c r="CC304" s="19"/>
      <c r="CD304" s="19"/>
      <c r="CE304" s="19"/>
      <c r="CF304" s="6"/>
    </row>
    <row r="305" spans="1:84">
      <c r="A305" s="17"/>
      <c r="B305" s="17"/>
      <c r="C305" s="17"/>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c r="AR305" s="19"/>
      <c r="AS305" s="19"/>
      <c r="AT305" s="19"/>
      <c r="AU305" s="19"/>
      <c r="AV305" s="19"/>
      <c r="AW305" s="19"/>
      <c r="AX305" s="19"/>
      <c r="AY305" s="19"/>
      <c r="AZ305" s="19"/>
      <c r="BA305" s="19"/>
      <c r="BB305" s="19"/>
      <c r="BC305" s="19"/>
      <c r="BD305" s="19"/>
      <c r="BE305" s="19"/>
      <c r="BF305" s="19"/>
      <c r="BG305" s="19"/>
      <c r="BH305" s="19"/>
      <c r="BI305" s="19"/>
      <c r="BJ305" s="19"/>
      <c r="BK305" s="19"/>
      <c r="BL305" s="19"/>
      <c r="BM305" s="19"/>
      <c r="BN305" s="19"/>
      <c r="BO305" s="19"/>
      <c r="BP305" s="19"/>
      <c r="BQ305" s="19"/>
      <c r="BR305" s="19"/>
      <c r="BS305" s="19"/>
      <c r="BT305" s="19"/>
      <c r="BU305" s="19"/>
      <c r="BV305" s="19"/>
      <c r="BW305" s="19"/>
      <c r="BX305" s="19"/>
      <c r="BY305" s="19"/>
      <c r="BZ305" s="19"/>
      <c r="CA305" s="19"/>
      <c r="CB305" s="19"/>
      <c r="CC305" s="19"/>
      <c r="CD305" s="19"/>
      <c r="CE305" s="19"/>
      <c r="CF305" s="6"/>
    </row>
    <row r="306" spans="1:84">
      <c r="A306" s="17"/>
      <c r="B306" s="17"/>
      <c r="C306" s="17"/>
      <c r="D306" s="19"/>
      <c r="E306" s="19"/>
      <c r="F306" s="19"/>
      <c r="G306" s="19"/>
      <c r="H306" s="19"/>
      <c r="I306" s="19"/>
      <c r="J306" s="19"/>
      <c r="K306" s="19"/>
      <c r="L306" s="19"/>
      <c r="M306" s="19"/>
      <c r="N306" s="19"/>
      <c r="O306" s="19"/>
      <c r="P306" s="19"/>
      <c r="Q306" s="19"/>
      <c r="R306" s="19"/>
      <c r="S306" s="19"/>
      <c r="T306" s="19"/>
      <c r="U306" s="19"/>
      <c r="V306" s="19"/>
      <c r="W306" s="19"/>
      <c r="X306" s="19"/>
      <c r="Y306" s="19"/>
      <c r="Z306" s="19"/>
      <c r="AA306" s="19"/>
      <c r="AB306" s="19"/>
      <c r="AC306" s="19"/>
      <c r="AD306" s="19"/>
      <c r="AE306" s="19"/>
      <c r="AF306" s="19"/>
      <c r="AG306" s="19"/>
      <c r="AH306" s="19"/>
      <c r="AI306" s="19"/>
      <c r="AJ306" s="19"/>
      <c r="AK306" s="19"/>
      <c r="AL306" s="19"/>
      <c r="AM306" s="19"/>
      <c r="AN306" s="19"/>
      <c r="AO306" s="19"/>
      <c r="AP306" s="19"/>
      <c r="AQ306" s="19"/>
      <c r="AR306" s="19"/>
      <c r="AS306" s="19"/>
      <c r="AT306" s="19"/>
      <c r="AU306" s="19"/>
      <c r="AV306" s="19"/>
      <c r="AW306" s="19"/>
      <c r="AX306" s="19"/>
      <c r="AY306" s="19"/>
      <c r="AZ306" s="19"/>
      <c r="BA306" s="19"/>
      <c r="BB306" s="19"/>
      <c r="BC306" s="19"/>
      <c r="BD306" s="19"/>
      <c r="BE306" s="19"/>
      <c r="BF306" s="19"/>
      <c r="BG306" s="19"/>
      <c r="BH306" s="19"/>
      <c r="BI306" s="19"/>
      <c r="BJ306" s="19"/>
      <c r="BK306" s="19"/>
      <c r="BL306" s="19"/>
      <c r="BM306" s="19"/>
      <c r="BN306" s="19"/>
      <c r="BO306" s="19"/>
      <c r="BP306" s="19"/>
      <c r="BQ306" s="19"/>
      <c r="BR306" s="19"/>
      <c r="BS306" s="19"/>
      <c r="BT306" s="19"/>
      <c r="BU306" s="19"/>
      <c r="BV306" s="19"/>
      <c r="BW306" s="19"/>
      <c r="BX306" s="19"/>
      <c r="BY306" s="19"/>
      <c r="BZ306" s="19"/>
      <c r="CA306" s="19"/>
      <c r="CB306" s="19"/>
      <c r="CC306" s="19"/>
      <c r="CD306" s="19"/>
      <c r="CE306" s="19"/>
      <c r="CF306" s="6"/>
    </row>
    <row r="307" spans="1:84">
      <c r="A307" s="17"/>
      <c r="B307" s="17"/>
      <c r="C307" s="17"/>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19"/>
      <c r="AG307" s="19"/>
      <c r="AH307" s="19"/>
      <c r="AI307" s="19"/>
      <c r="AJ307" s="19"/>
      <c r="AK307" s="19"/>
      <c r="AL307" s="19"/>
      <c r="AM307" s="19"/>
      <c r="AN307" s="19"/>
      <c r="AO307" s="19"/>
      <c r="AP307" s="19"/>
      <c r="AQ307" s="19"/>
      <c r="AR307" s="19"/>
      <c r="AS307" s="19"/>
      <c r="AT307" s="19"/>
      <c r="AU307" s="19"/>
      <c r="AV307" s="19"/>
      <c r="AW307" s="19"/>
      <c r="AX307" s="19"/>
      <c r="AY307" s="19"/>
      <c r="AZ307" s="19"/>
      <c r="BA307" s="19"/>
      <c r="BB307" s="19"/>
      <c r="BC307" s="19"/>
      <c r="BD307" s="19"/>
      <c r="BE307" s="19"/>
      <c r="BF307" s="19"/>
      <c r="BG307" s="19"/>
      <c r="BH307" s="19"/>
      <c r="BI307" s="19"/>
      <c r="BJ307" s="19"/>
      <c r="BK307" s="19"/>
      <c r="BL307" s="19"/>
      <c r="BM307" s="19"/>
      <c r="BN307" s="19"/>
      <c r="BO307" s="19"/>
      <c r="BP307" s="19"/>
      <c r="BQ307" s="19"/>
      <c r="BR307" s="19"/>
      <c r="BS307" s="19"/>
      <c r="BT307" s="19"/>
      <c r="BU307" s="19"/>
      <c r="BV307" s="19"/>
      <c r="BW307" s="19"/>
      <c r="BX307" s="19"/>
      <c r="BY307" s="19"/>
      <c r="BZ307" s="19"/>
      <c r="CA307" s="19"/>
      <c r="CB307" s="19"/>
      <c r="CC307" s="19"/>
      <c r="CD307" s="19"/>
      <c r="CE307" s="19"/>
      <c r="CF307" s="6"/>
    </row>
    <row r="308" spans="1:84">
      <c r="A308" s="17"/>
      <c r="B308" s="17"/>
      <c r="C308" s="17"/>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19"/>
      <c r="AE308" s="19"/>
      <c r="AF308" s="19"/>
      <c r="AG308" s="19"/>
      <c r="AH308" s="19"/>
      <c r="AI308" s="19"/>
      <c r="AJ308" s="19"/>
      <c r="AK308" s="19"/>
      <c r="AL308" s="19"/>
      <c r="AM308" s="19"/>
      <c r="AN308" s="19"/>
      <c r="AO308" s="19"/>
      <c r="AP308" s="19"/>
      <c r="AQ308" s="19"/>
      <c r="AR308" s="19"/>
      <c r="AS308" s="19"/>
      <c r="AT308" s="19"/>
      <c r="AU308" s="19"/>
      <c r="AV308" s="19"/>
      <c r="AW308" s="19"/>
      <c r="AX308" s="19"/>
      <c r="AY308" s="19"/>
      <c r="AZ308" s="19"/>
      <c r="BA308" s="19"/>
      <c r="BB308" s="19"/>
      <c r="BC308" s="19"/>
      <c r="BD308" s="19"/>
      <c r="BE308" s="19"/>
      <c r="BF308" s="19"/>
      <c r="BG308" s="19"/>
      <c r="BH308" s="19"/>
      <c r="BI308" s="19"/>
      <c r="BJ308" s="19"/>
      <c r="BK308" s="19"/>
      <c r="BL308" s="19"/>
      <c r="BM308" s="19"/>
      <c r="BN308" s="19"/>
      <c r="BO308" s="19"/>
      <c r="BP308" s="19"/>
      <c r="BQ308" s="19"/>
      <c r="BR308" s="19"/>
      <c r="BS308" s="19"/>
      <c r="BT308" s="19"/>
      <c r="BU308" s="19"/>
      <c r="BV308" s="19"/>
      <c r="BW308" s="19"/>
      <c r="BX308" s="19"/>
      <c r="BY308" s="19"/>
      <c r="BZ308" s="19"/>
      <c r="CA308" s="19"/>
      <c r="CB308" s="19"/>
      <c r="CC308" s="19"/>
      <c r="CD308" s="19"/>
      <c r="CE308" s="19"/>
      <c r="CF308" s="6"/>
    </row>
    <row r="309" spans="1:84">
      <c r="A309" s="17"/>
      <c r="B309" s="17"/>
      <c r="C309" s="17"/>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19"/>
      <c r="AE309" s="19"/>
      <c r="AF309" s="19"/>
      <c r="AG309" s="19"/>
      <c r="AH309" s="19"/>
      <c r="AI309" s="19"/>
      <c r="AJ309" s="19"/>
      <c r="AK309" s="19"/>
      <c r="AL309" s="19"/>
      <c r="AM309" s="19"/>
      <c r="AN309" s="19"/>
      <c r="AO309" s="19"/>
      <c r="AP309" s="19"/>
      <c r="AQ309" s="19"/>
      <c r="AR309" s="19"/>
      <c r="AS309" s="19"/>
      <c r="AT309" s="19"/>
      <c r="AU309" s="19"/>
      <c r="AV309" s="19"/>
      <c r="AW309" s="19"/>
      <c r="AX309" s="19"/>
      <c r="AY309" s="19"/>
      <c r="AZ309" s="19"/>
      <c r="BA309" s="19"/>
      <c r="BB309" s="19"/>
      <c r="BC309" s="19"/>
      <c r="BD309" s="19"/>
      <c r="BE309" s="19"/>
      <c r="BF309" s="19"/>
      <c r="BG309" s="19"/>
      <c r="BH309" s="19"/>
      <c r="BI309" s="19"/>
      <c r="BJ309" s="19"/>
      <c r="BK309" s="19"/>
      <c r="BL309" s="19"/>
      <c r="BM309" s="19"/>
      <c r="BN309" s="19"/>
      <c r="BO309" s="19"/>
      <c r="BP309" s="19"/>
      <c r="BQ309" s="19"/>
      <c r="BR309" s="19"/>
      <c r="BS309" s="19"/>
      <c r="BT309" s="19"/>
      <c r="BU309" s="19"/>
      <c r="BV309" s="19"/>
      <c r="BW309" s="19"/>
      <c r="BX309" s="19"/>
      <c r="BY309" s="19"/>
      <c r="BZ309" s="19"/>
      <c r="CA309" s="19"/>
      <c r="CB309" s="19"/>
      <c r="CC309" s="19"/>
      <c r="CD309" s="19"/>
      <c r="CE309" s="19"/>
      <c r="CF309" s="6"/>
    </row>
    <row r="310" spans="1:84">
      <c r="A310" s="17"/>
      <c r="B310" s="17"/>
      <c r="C310" s="17"/>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19"/>
      <c r="AE310" s="19"/>
      <c r="AF310" s="19"/>
      <c r="AG310" s="19"/>
      <c r="AH310" s="19"/>
      <c r="AI310" s="19"/>
      <c r="AJ310" s="19"/>
      <c r="AK310" s="19"/>
      <c r="AL310" s="19"/>
      <c r="AM310" s="19"/>
      <c r="AN310" s="19"/>
      <c r="AO310" s="19"/>
      <c r="AP310" s="19"/>
      <c r="AQ310" s="19"/>
      <c r="AR310" s="19"/>
      <c r="AS310" s="19"/>
      <c r="AT310" s="19"/>
      <c r="AU310" s="19"/>
      <c r="AV310" s="19"/>
      <c r="AW310" s="19"/>
      <c r="AX310" s="19"/>
      <c r="AY310" s="19"/>
      <c r="AZ310" s="19"/>
      <c r="BA310" s="19"/>
      <c r="BB310" s="19"/>
      <c r="BC310" s="19"/>
      <c r="BD310" s="19"/>
      <c r="BE310" s="19"/>
      <c r="BF310" s="19"/>
      <c r="BG310" s="19"/>
      <c r="BH310" s="19"/>
      <c r="BI310" s="19"/>
      <c r="BJ310" s="19"/>
      <c r="BK310" s="19"/>
      <c r="BL310" s="19"/>
      <c r="BM310" s="19"/>
      <c r="BN310" s="19"/>
      <c r="BO310" s="19"/>
      <c r="BP310" s="19"/>
      <c r="BQ310" s="19"/>
      <c r="BR310" s="19"/>
      <c r="BS310" s="19"/>
      <c r="BT310" s="19"/>
      <c r="BU310" s="19"/>
      <c r="BV310" s="19"/>
      <c r="BW310" s="19"/>
      <c r="BX310" s="19"/>
      <c r="BY310" s="19"/>
      <c r="BZ310" s="19"/>
      <c r="CA310" s="19"/>
      <c r="CB310" s="19"/>
      <c r="CC310" s="19"/>
      <c r="CD310" s="19"/>
      <c r="CE310" s="19"/>
      <c r="CF310" s="6"/>
    </row>
    <row r="311" spans="1:84">
      <c r="A311" s="17"/>
      <c r="B311" s="17"/>
      <c r="C311" s="17"/>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r="AE311" s="19"/>
      <c r="AF311" s="19"/>
      <c r="AG311" s="19"/>
      <c r="AH311" s="19"/>
      <c r="AI311" s="19"/>
      <c r="AJ311" s="19"/>
      <c r="AK311" s="19"/>
      <c r="AL311" s="19"/>
      <c r="AM311" s="19"/>
      <c r="AN311" s="19"/>
      <c r="AO311" s="19"/>
      <c r="AP311" s="19"/>
      <c r="AQ311" s="19"/>
      <c r="AR311" s="19"/>
      <c r="AS311" s="19"/>
      <c r="AT311" s="19"/>
      <c r="AU311" s="19"/>
      <c r="AV311" s="19"/>
      <c r="AW311" s="19"/>
      <c r="AX311" s="19"/>
      <c r="AY311" s="19"/>
      <c r="AZ311" s="19"/>
      <c r="BA311" s="19"/>
      <c r="BB311" s="19"/>
      <c r="BC311" s="19"/>
      <c r="BD311" s="19"/>
      <c r="BE311" s="19"/>
      <c r="BF311" s="19"/>
      <c r="BG311" s="19"/>
      <c r="BH311" s="19"/>
      <c r="BI311" s="19"/>
      <c r="BJ311" s="19"/>
      <c r="BK311" s="19"/>
      <c r="BL311" s="19"/>
      <c r="BM311" s="19"/>
      <c r="BN311" s="19"/>
      <c r="BO311" s="19"/>
      <c r="BP311" s="19"/>
      <c r="BQ311" s="19"/>
      <c r="BR311" s="19"/>
      <c r="BS311" s="19"/>
      <c r="BT311" s="19"/>
      <c r="BU311" s="19"/>
      <c r="BV311" s="19"/>
      <c r="BW311" s="19"/>
      <c r="BX311" s="19"/>
      <c r="BY311" s="19"/>
      <c r="BZ311" s="19"/>
      <c r="CA311" s="19"/>
      <c r="CB311" s="19"/>
      <c r="CC311" s="19"/>
      <c r="CD311" s="19"/>
      <c r="CE311" s="19"/>
      <c r="CF311" s="6"/>
    </row>
    <row r="312" spans="1:84">
      <c r="A312" s="17"/>
      <c r="B312" s="17"/>
      <c r="C312" s="17"/>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19"/>
      <c r="AE312" s="19"/>
      <c r="AF312" s="19"/>
      <c r="AG312" s="19"/>
      <c r="AH312" s="19"/>
      <c r="AI312" s="19"/>
      <c r="AJ312" s="19"/>
      <c r="AK312" s="19"/>
      <c r="AL312" s="19"/>
      <c r="AM312" s="19"/>
      <c r="AN312" s="19"/>
      <c r="AO312" s="19"/>
      <c r="AP312" s="19"/>
      <c r="AQ312" s="19"/>
      <c r="AR312" s="19"/>
      <c r="AS312" s="19"/>
      <c r="AT312" s="19"/>
      <c r="AU312" s="19"/>
      <c r="AV312" s="19"/>
      <c r="AW312" s="19"/>
      <c r="AX312" s="19"/>
      <c r="AY312" s="19"/>
      <c r="AZ312" s="19"/>
      <c r="BA312" s="19"/>
      <c r="BB312" s="19"/>
      <c r="BC312" s="19"/>
      <c r="BD312" s="19"/>
      <c r="BE312" s="19"/>
      <c r="BF312" s="19"/>
      <c r="BG312" s="19"/>
      <c r="BH312" s="19"/>
      <c r="BI312" s="19"/>
      <c r="BJ312" s="19"/>
      <c r="BK312" s="19"/>
      <c r="BL312" s="19"/>
      <c r="BM312" s="19"/>
      <c r="BN312" s="19"/>
      <c r="BO312" s="19"/>
      <c r="BP312" s="19"/>
      <c r="BQ312" s="19"/>
      <c r="BR312" s="19"/>
      <c r="BS312" s="19"/>
      <c r="BT312" s="19"/>
      <c r="BU312" s="19"/>
      <c r="BV312" s="19"/>
      <c r="BW312" s="19"/>
      <c r="BX312" s="19"/>
      <c r="BY312" s="19"/>
      <c r="BZ312" s="19"/>
      <c r="CA312" s="19"/>
      <c r="CB312" s="19"/>
      <c r="CC312" s="19"/>
      <c r="CD312" s="19"/>
      <c r="CE312" s="19"/>
      <c r="CF312" s="6"/>
    </row>
    <row r="313" spans="1:84">
      <c r="A313" s="17"/>
      <c r="B313" s="17"/>
      <c r="C313" s="17"/>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19"/>
      <c r="AE313" s="19"/>
      <c r="AF313" s="19"/>
      <c r="AG313" s="19"/>
      <c r="AH313" s="19"/>
      <c r="AI313" s="19"/>
      <c r="AJ313" s="19"/>
      <c r="AK313" s="19"/>
      <c r="AL313" s="19"/>
      <c r="AM313" s="19"/>
      <c r="AN313" s="19"/>
      <c r="AO313" s="19"/>
      <c r="AP313" s="19"/>
      <c r="AQ313" s="19"/>
      <c r="AR313" s="19"/>
      <c r="AS313" s="19"/>
      <c r="AT313" s="19"/>
      <c r="AU313" s="19"/>
      <c r="AV313" s="19"/>
      <c r="AW313" s="19"/>
      <c r="AX313" s="19"/>
      <c r="AY313" s="19"/>
      <c r="AZ313" s="19"/>
      <c r="BA313" s="19"/>
      <c r="BB313" s="19"/>
      <c r="BC313" s="19"/>
      <c r="BD313" s="19"/>
      <c r="BE313" s="19"/>
      <c r="BF313" s="19"/>
      <c r="BG313" s="19"/>
      <c r="BH313" s="19"/>
      <c r="BI313" s="19"/>
      <c r="BJ313" s="19"/>
      <c r="BK313" s="19"/>
      <c r="BL313" s="19"/>
      <c r="BM313" s="19"/>
      <c r="BN313" s="19"/>
      <c r="BO313" s="19"/>
      <c r="BP313" s="19"/>
      <c r="BQ313" s="19"/>
      <c r="BR313" s="19"/>
      <c r="BS313" s="19"/>
      <c r="BT313" s="19"/>
      <c r="BU313" s="19"/>
      <c r="BV313" s="19"/>
      <c r="BW313" s="19"/>
      <c r="BX313" s="19"/>
      <c r="BY313" s="19"/>
      <c r="BZ313" s="19"/>
      <c r="CA313" s="19"/>
      <c r="CB313" s="19"/>
      <c r="CC313" s="19"/>
      <c r="CD313" s="19"/>
      <c r="CE313" s="19"/>
      <c r="CF313" s="6"/>
    </row>
    <row r="314" spans="1:84">
      <c r="A314" s="17"/>
      <c r="B314" s="17"/>
      <c r="C314" s="17"/>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9"/>
      <c r="AG314" s="19"/>
      <c r="AH314" s="19"/>
      <c r="AI314" s="19"/>
      <c r="AJ314" s="19"/>
      <c r="AK314" s="19"/>
      <c r="AL314" s="19"/>
      <c r="AM314" s="19"/>
      <c r="AN314" s="19"/>
      <c r="AO314" s="19"/>
      <c r="AP314" s="19"/>
      <c r="AQ314" s="19"/>
      <c r="AR314" s="19"/>
      <c r="AS314" s="19"/>
      <c r="AT314" s="19"/>
      <c r="AU314" s="19"/>
      <c r="AV314" s="19"/>
      <c r="AW314" s="19"/>
      <c r="AX314" s="19"/>
      <c r="AY314" s="19"/>
      <c r="AZ314" s="19"/>
      <c r="BA314" s="19"/>
      <c r="BB314" s="19"/>
      <c r="BC314" s="19"/>
      <c r="BD314" s="19"/>
      <c r="BE314" s="19"/>
      <c r="BF314" s="19"/>
      <c r="BG314" s="19"/>
      <c r="BH314" s="19"/>
      <c r="BI314" s="19"/>
      <c r="BJ314" s="19"/>
      <c r="BK314" s="19"/>
      <c r="BL314" s="19"/>
      <c r="BM314" s="19"/>
      <c r="BN314" s="19"/>
      <c r="BO314" s="19"/>
      <c r="BP314" s="19"/>
      <c r="BQ314" s="19"/>
      <c r="BR314" s="19"/>
      <c r="BS314" s="19"/>
      <c r="BT314" s="19"/>
      <c r="BU314" s="19"/>
      <c r="BV314" s="19"/>
      <c r="BW314" s="19"/>
      <c r="BX314" s="19"/>
      <c r="BY314" s="19"/>
      <c r="BZ314" s="19"/>
      <c r="CA314" s="19"/>
      <c r="CB314" s="19"/>
      <c r="CC314" s="19"/>
      <c r="CD314" s="19"/>
      <c r="CE314" s="19"/>
      <c r="CF314" s="6"/>
    </row>
    <row r="315" spans="1:84">
      <c r="A315" s="17"/>
      <c r="B315" s="17"/>
      <c r="C315" s="17"/>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19"/>
      <c r="AE315" s="19"/>
      <c r="AF315" s="19"/>
      <c r="AG315" s="19"/>
      <c r="AH315" s="19"/>
      <c r="AI315" s="19"/>
      <c r="AJ315" s="19"/>
      <c r="AK315" s="19"/>
      <c r="AL315" s="19"/>
      <c r="AM315" s="19"/>
      <c r="AN315" s="19"/>
      <c r="AO315" s="19"/>
      <c r="AP315" s="19"/>
      <c r="AQ315" s="19"/>
      <c r="AR315" s="19"/>
      <c r="AS315" s="19"/>
      <c r="AT315" s="19"/>
      <c r="AU315" s="19"/>
      <c r="AV315" s="19"/>
      <c r="AW315" s="19"/>
      <c r="AX315" s="19"/>
      <c r="AY315" s="19"/>
      <c r="AZ315" s="19"/>
      <c r="BA315" s="19"/>
      <c r="BB315" s="19"/>
      <c r="BC315" s="19"/>
      <c r="BD315" s="19"/>
      <c r="BE315" s="19"/>
      <c r="BF315" s="19"/>
      <c r="BG315" s="19"/>
      <c r="BH315" s="19"/>
      <c r="BI315" s="19"/>
      <c r="BJ315" s="19"/>
      <c r="BK315" s="19"/>
      <c r="BL315" s="19"/>
      <c r="BM315" s="19"/>
      <c r="BN315" s="19"/>
      <c r="BO315" s="19"/>
      <c r="BP315" s="19"/>
      <c r="BQ315" s="19"/>
      <c r="BR315" s="19"/>
      <c r="BS315" s="19"/>
      <c r="BT315" s="19"/>
      <c r="BU315" s="19"/>
      <c r="BV315" s="19"/>
      <c r="BW315" s="19"/>
      <c r="BX315" s="19"/>
      <c r="BY315" s="19"/>
      <c r="BZ315" s="19"/>
      <c r="CA315" s="19"/>
      <c r="CB315" s="19"/>
      <c r="CC315" s="19"/>
      <c r="CD315" s="19"/>
      <c r="CE315" s="19"/>
      <c r="CF315" s="6"/>
    </row>
    <row r="316" spans="1:84">
      <c r="A316" s="17"/>
      <c r="B316" s="17"/>
      <c r="C316" s="17"/>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c r="AB316" s="19"/>
      <c r="AC316" s="19"/>
      <c r="AD316" s="19"/>
      <c r="AE316" s="19"/>
      <c r="AF316" s="19"/>
      <c r="AG316" s="19"/>
      <c r="AH316" s="19"/>
      <c r="AI316" s="19"/>
      <c r="AJ316" s="19"/>
      <c r="AK316" s="19"/>
      <c r="AL316" s="19"/>
      <c r="AM316" s="19"/>
      <c r="AN316" s="19"/>
      <c r="AO316" s="19"/>
      <c r="AP316" s="19"/>
      <c r="AQ316" s="19"/>
      <c r="AR316" s="19"/>
      <c r="AS316" s="19"/>
      <c r="AT316" s="19"/>
      <c r="AU316" s="19"/>
      <c r="AV316" s="19"/>
      <c r="AW316" s="19"/>
      <c r="AX316" s="19"/>
      <c r="AY316" s="19"/>
      <c r="AZ316" s="19"/>
      <c r="BA316" s="19"/>
      <c r="BB316" s="19"/>
      <c r="BC316" s="19"/>
      <c r="BD316" s="19"/>
      <c r="BE316" s="19"/>
      <c r="BF316" s="19"/>
      <c r="BG316" s="19"/>
      <c r="BH316" s="19"/>
      <c r="BI316" s="19"/>
      <c r="BJ316" s="19"/>
      <c r="BK316" s="19"/>
      <c r="BL316" s="19"/>
      <c r="BM316" s="19"/>
      <c r="BN316" s="19"/>
      <c r="BO316" s="19"/>
      <c r="BP316" s="19"/>
      <c r="BQ316" s="19"/>
      <c r="BR316" s="19"/>
      <c r="BS316" s="19"/>
      <c r="BT316" s="19"/>
      <c r="BU316" s="19"/>
      <c r="BV316" s="19"/>
      <c r="BW316" s="19"/>
      <c r="BX316" s="19"/>
      <c r="BY316" s="19"/>
      <c r="BZ316" s="19"/>
      <c r="CA316" s="19"/>
      <c r="CB316" s="19"/>
      <c r="CC316" s="19"/>
      <c r="CD316" s="19"/>
      <c r="CE316" s="19"/>
      <c r="CF316" s="6"/>
    </row>
    <row r="317" spans="1:84">
      <c r="A317" s="17"/>
      <c r="B317" s="17"/>
      <c r="C317" s="17"/>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c r="AB317" s="19"/>
      <c r="AC317" s="19"/>
      <c r="AD317" s="19"/>
      <c r="AE317" s="19"/>
      <c r="AF317" s="19"/>
      <c r="AG317" s="19"/>
      <c r="AH317" s="19"/>
      <c r="AI317" s="19"/>
      <c r="AJ317" s="19"/>
      <c r="AK317" s="19"/>
      <c r="AL317" s="19"/>
      <c r="AM317" s="19"/>
      <c r="AN317" s="19"/>
      <c r="AO317" s="19"/>
      <c r="AP317" s="19"/>
      <c r="AQ317" s="19"/>
      <c r="AR317" s="19"/>
      <c r="AS317" s="19"/>
      <c r="AT317" s="19"/>
      <c r="AU317" s="19"/>
      <c r="AV317" s="19"/>
      <c r="AW317" s="19"/>
      <c r="AX317" s="19"/>
      <c r="AY317" s="19"/>
      <c r="AZ317" s="19"/>
      <c r="BA317" s="19"/>
      <c r="BB317" s="19"/>
      <c r="BC317" s="19"/>
      <c r="BD317" s="19"/>
      <c r="BE317" s="19"/>
      <c r="BF317" s="19"/>
      <c r="BG317" s="19"/>
      <c r="BH317" s="19"/>
      <c r="BI317" s="19"/>
      <c r="BJ317" s="19"/>
      <c r="BK317" s="19"/>
      <c r="BL317" s="19"/>
      <c r="BM317" s="19"/>
      <c r="BN317" s="19"/>
      <c r="BO317" s="19"/>
      <c r="BP317" s="19"/>
      <c r="BQ317" s="19"/>
      <c r="BR317" s="19"/>
      <c r="BS317" s="19"/>
      <c r="BT317" s="19"/>
      <c r="BU317" s="19"/>
      <c r="BV317" s="19"/>
      <c r="BW317" s="19"/>
      <c r="BX317" s="19"/>
      <c r="BY317" s="19"/>
      <c r="BZ317" s="19"/>
      <c r="CA317" s="19"/>
      <c r="CB317" s="19"/>
      <c r="CC317" s="19"/>
      <c r="CD317" s="19"/>
      <c r="CE317" s="19"/>
      <c r="CF317" s="6"/>
    </row>
    <row r="318" spans="1:84">
      <c r="A318" s="17"/>
      <c r="B318" s="17"/>
      <c r="C318" s="17"/>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9"/>
      <c r="AB318" s="19"/>
      <c r="AC318" s="19"/>
      <c r="AD318" s="19"/>
      <c r="AE318" s="19"/>
      <c r="AF318" s="19"/>
      <c r="AG318" s="19"/>
      <c r="AH318" s="19"/>
      <c r="AI318" s="19"/>
      <c r="AJ318" s="19"/>
      <c r="AK318" s="19"/>
      <c r="AL318" s="19"/>
      <c r="AM318" s="19"/>
      <c r="AN318" s="19"/>
      <c r="AO318" s="19"/>
      <c r="AP318" s="19"/>
      <c r="AQ318" s="19"/>
      <c r="AR318" s="19"/>
      <c r="AS318" s="19"/>
      <c r="AT318" s="19"/>
      <c r="AU318" s="19"/>
      <c r="AV318" s="19"/>
      <c r="AW318" s="19"/>
      <c r="AX318" s="19"/>
      <c r="AY318" s="19"/>
      <c r="AZ318" s="19"/>
      <c r="BA318" s="19"/>
      <c r="BB318" s="19"/>
      <c r="BC318" s="19"/>
      <c r="BD318" s="19"/>
      <c r="BE318" s="19"/>
      <c r="BF318" s="19"/>
      <c r="BG318" s="19"/>
      <c r="BH318" s="19"/>
      <c r="BI318" s="19"/>
      <c r="BJ318" s="19"/>
      <c r="BK318" s="19"/>
      <c r="BL318" s="19"/>
      <c r="BM318" s="19"/>
      <c r="BN318" s="19"/>
      <c r="BO318" s="19"/>
      <c r="BP318" s="19"/>
      <c r="BQ318" s="19"/>
      <c r="BR318" s="19"/>
      <c r="BS318" s="19"/>
      <c r="BT318" s="19"/>
      <c r="BU318" s="19"/>
      <c r="BV318" s="19"/>
      <c r="BW318" s="19"/>
      <c r="BX318" s="19"/>
      <c r="BY318" s="19"/>
      <c r="BZ318" s="19"/>
      <c r="CA318" s="19"/>
      <c r="CB318" s="19"/>
      <c r="CC318" s="19"/>
      <c r="CD318" s="19"/>
      <c r="CE318" s="19"/>
      <c r="CF318" s="6"/>
    </row>
    <row r="319" spans="1:84">
      <c r="A319" s="17"/>
      <c r="B319" s="17"/>
      <c r="C319" s="17"/>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9"/>
      <c r="AB319" s="19"/>
      <c r="AC319" s="19"/>
      <c r="AD319" s="19"/>
      <c r="AE319" s="19"/>
      <c r="AF319" s="19"/>
      <c r="AG319" s="19"/>
      <c r="AH319" s="19"/>
      <c r="AI319" s="19"/>
      <c r="AJ319" s="19"/>
      <c r="AK319" s="19"/>
      <c r="AL319" s="19"/>
      <c r="AM319" s="19"/>
      <c r="AN319" s="19"/>
      <c r="AO319" s="19"/>
      <c r="AP319" s="19"/>
      <c r="AQ319" s="19"/>
      <c r="AR319" s="19"/>
      <c r="AS319" s="19"/>
      <c r="AT319" s="19"/>
      <c r="AU319" s="19"/>
      <c r="AV319" s="19"/>
      <c r="AW319" s="19"/>
      <c r="AX319" s="19"/>
      <c r="AY319" s="19"/>
      <c r="AZ319" s="19"/>
      <c r="BA319" s="19"/>
      <c r="BB319" s="19"/>
      <c r="BC319" s="19"/>
      <c r="BD319" s="19"/>
      <c r="BE319" s="19"/>
      <c r="BF319" s="19"/>
      <c r="BG319" s="19"/>
      <c r="BH319" s="19"/>
      <c r="BI319" s="19"/>
      <c r="BJ319" s="19"/>
      <c r="BK319" s="19"/>
      <c r="BL319" s="19"/>
      <c r="BM319" s="19"/>
      <c r="BN319" s="19"/>
      <c r="BO319" s="19"/>
      <c r="BP319" s="19"/>
      <c r="BQ319" s="19"/>
      <c r="BR319" s="19"/>
      <c r="BS319" s="19"/>
      <c r="BT319" s="19"/>
      <c r="BU319" s="19"/>
      <c r="BV319" s="19"/>
      <c r="BW319" s="19"/>
      <c r="BX319" s="19"/>
      <c r="BY319" s="19"/>
      <c r="BZ319" s="19"/>
      <c r="CA319" s="19"/>
      <c r="CB319" s="19"/>
      <c r="CC319" s="19"/>
      <c r="CD319" s="19"/>
      <c r="CE319" s="19"/>
      <c r="CF319" s="6"/>
    </row>
    <row r="320" spans="1:84">
      <c r="A320" s="17"/>
      <c r="B320" s="17"/>
      <c r="C320" s="17"/>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9"/>
      <c r="AB320" s="19"/>
      <c r="AC320" s="19"/>
      <c r="AD320" s="19"/>
      <c r="AE320" s="19"/>
      <c r="AF320" s="19"/>
      <c r="AG320" s="19"/>
      <c r="AH320" s="19"/>
      <c r="AI320" s="19"/>
      <c r="AJ320" s="19"/>
      <c r="AK320" s="19"/>
      <c r="AL320" s="19"/>
      <c r="AM320" s="19"/>
      <c r="AN320" s="19"/>
      <c r="AO320" s="19"/>
      <c r="AP320" s="19"/>
      <c r="AQ320" s="19"/>
      <c r="AR320" s="19"/>
      <c r="AS320" s="19"/>
      <c r="AT320" s="19"/>
      <c r="AU320" s="19"/>
      <c r="AV320" s="19"/>
      <c r="AW320" s="19"/>
      <c r="AX320" s="19"/>
      <c r="AY320" s="19"/>
      <c r="AZ320" s="19"/>
      <c r="BA320" s="19"/>
      <c r="BB320" s="19"/>
      <c r="BC320" s="19"/>
      <c r="BD320" s="19"/>
      <c r="BE320" s="19"/>
      <c r="BF320" s="19"/>
      <c r="BG320" s="19"/>
      <c r="BH320" s="19"/>
      <c r="BI320" s="19"/>
      <c r="BJ320" s="19"/>
      <c r="BK320" s="19"/>
      <c r="BL320" s="19"/>
      <c r="BM320" s="19"/>
      <c r="BN320" s="19"/>
      <c r="BO320" s="19"/>
      <c r="BP320" s="19"/>
      <c r="BQ320" s="19"/>
      <c r="BR320" s="19"/>
      <c r="BS320" s="19"/>
      <c r="BT320" s="19"/>
      <c r="BU320" s="19"/>
      <c r="BV320" s="19"/>
      <c r="BW320" s="19"/>
      <c r="BX320" s="19"/>
      <c r="BY320" s="19"/>
      <c r="BZ320" s="19"/>
      <c r="CA320" s="19"/>
      <c r="CB320" s="19"/>
      <c r="CC320" s="19"/>
      <c r="CD320" s="19"/>
      <c r="CE320" s="19"/>
      <c r="CF320" s="6"/>
    </row>
    <row r="321" spans="1:84">
      <c r="A321" s="17"/>
      <c r="B321" s="17"/>
      <c r="C321" s="17"/>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9"/>
      <c r="AB321" s="19"/>
      <c r="AC321" s="19"/>
      <c r="AD321" s="19"/>
      <c r="AE321" s="19"/>
      <c r="AF321" s="19"/>
      <c r="AG321" s="19"/>
      <c r="AH321" s="19"/>
      <c r="AI321" s="19"/>
      <c r="AJ321" s="19"/>
      <c r="AK321" s="19"/>
      <c r="AL321" s="19"/>
      <c r="AM321" s="19"/>
      <c r="AN321" s="19"/>
      <c r="AO321" s="19"/>
      <c r="AP321" s="19"/>
      <c r="AQ321" s="19"/>
      <c r="AR321" s="19"/>
      <c r="AS321" s="19"/>
      <c r="AT321" s="19"/>
      <c r="AU321" s="19"/>
      <c r="AV321" s="19"/>
      <c r="AW321" s="19"/>
      <c r="AX321" s="19"/>
      <c r="AY321" s="19"/>
      <c r="AZ321" s="19"/>
      <c r="BA321" s="19"/>
      <c r="BB321" s="19"/>
      <c r="BC321" s="19"/>
      <c r="BD321" s="19"/>
      <c r="BE321" s="19"/>
      <c r="BF321" s="19"/>
      <c r="BG321" s="19"/>
      <c r="BH321" s="19"/>
      <c r="BI321" s="19"/>
      <c r="BJ321" s="19"/>
      <c r="BK321" s="19"/>
      <c r="BL321" s="19"/>
      <c r="BM321" s="19"/>
      <c r="BN321" s="19"/>
      <c r="BO321" s="19"/>
      <c r="BP321" s="19"/>
      <c r="BQ321" s="19"/>
      <c r="BR321" s="19"/>
      <c r="BS321" s="19"/>
      <c r="BT321" s="19"/>
      <c r="BU321" s="19"/>
      <c r="BV321" s="19"/>
      <c r="BW321" s="19"/>
      <c r="BX321" s="19"/>
      <c r="BY321" s="19"/>
      <c r="BZ321" s="19"/>
      <c r="CA321" s="19"/>
      <c r="CB321" s="19"/>
      <c r="CC321" s="19"/>
      <c r="CD321" s="19"/>
      <c r="CE321" s="19"/>
      <c r="CF321" s="6"/>
    </row>
    <row r="322" spans="1:84">
      <c r="A322" s="17"/>
      <c r="B322" s="17"/>
      <c r="C322" s="17"/>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9"/>
      <c r="AB322" s="19"/>
      <c r="AC322" s="19"/>
      <c r="AD322" s="19"/>
      <c r="AE322" s="19"/>
      <c r="AF322" s="19"/>
      <c r="AG322" s="19"/>
      <c r="AH322" s="19"/>
      <c r="AI322" s="19"/>
      <c r="AJ322" s="19"/>
      <c r="AK322" s="19"/>
      <c r="AL322" s="19"/>
      <c r="AM322" s="19"/>
      <c r="AN322" s="19"/>
      <c r="AO322" s="19"/>
      <c r="AP322" s="19"/>
      <c r="AQ322" s="19"/>
      <c r="AR322" s="19"/>
      <c r="AS322" s="19"/>
      <c r="AT322" s="19"/>
      <c r="AU322" s="19"/>
      <c r="AV322" s="19"/>
      <c r="AW322" s="19"/>
      <c r="AX322" s="19"/>
      <c r="AY322" s="19"/>
      <c r="AZ322" s="19"/>
      <c r="BA322" s="19"/>
      <c r="BB322" s="19"/>
      <c r="BC322" s="19"/>
      <c r="BD322" s="19"/>
      <c r="BE322" s="19"/>
      <c r="BF322" s="19"/>
      <c r="BG322" s="19"/>
      <c r="BH322" s="19"/>
      <c r="BI322" s="19"/>
      <c r="BJ322" s="19"/>
      <c r="BK322" s="19"/>
      <c r="BL322" s="19"/>
      <c r="BM322" s="19"/>
      <c r="BN322" s="19"/>
      <c r="BO322" s="19"/>
      <c r="BP322" s="19"/>
      <c r="BQ322" s="19"/>
      <c r="BR322" s="19"/>
      <c r="BS322" s="19"/>
      <c r="BT322" s="19"/>
      <c r="BU322" s="19"/>
      <c r="BV322" s="19"/>
      <c r="BW322" s="19"/>
      <c r="BX322" s="19"/>
      <c r="BY322" s="19"/>
      <c r="BZ322" s="19"/>
      <c r="CA322" s="19"/>
      <c r="CB322" s="19"/>
      <c r="CC322" s="19"/>
      <c r="CD322" s="19"/>
      <c r="CE322" s="19"/>
      <c r="CF322" s="6"/>
    </row>
    <row r="323" spans="1:84">
      <c r="A323" s="17"/>
      <c r="B323" s="17"/>
      <c r="C323" s="17"/>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9"/>
      <c r="AB323" s="19"/>
      <c r="AC323" s="19"/>
      <c r="AD323" s="19"/>
      <c r="AE323" s="19"/>
      <c r="AF323" s="19"/>
      <c r="AG323" s="19"/>
      <c r="AH323" s="19"/>
      <c r="AI323" s="19"/>
      <c r="AJ323" s="19"/>
      <c r="AK323" s="19"/>
      <c r="AL323" s="19"/>
      <c r="AM323" s="19"/>
      <c r="AN323" s="19"/>
      <c r="AO323" s="19"/>
      <c r="AP323" s="19"/>
      <c r="AQ323" s="19"/>
      <c r="AR323" s="19"/>
      <c r="AS323" s="19"/>
      <c r="AT323" s="19"/>
      <c r="AU323" s="19"/>
      <c r="AV323" s="19"/>
      <c r="AW323" s="19"/>
      <c r="AX323" s="19"/>
      <c r="AY323" s="19"/>
      <c r="AZ323" s="19"/>
      <c r="BA323" s="19"/>
      <c r="BB323" s="19"/>
      <c r="BC323" s="19"/>
      <c r="BD323" s="19"/>
      <c r="BE323" s="19"/>
      <c r="BF323" s="19"/>
      <c r="BG323" s="19"/>
      <c r="BH323" s="19"/>
      <c r="BI323" s="19"/>
      <c r="BJ323" s="19"/>
      <c r="BK323" s="19"/>
      <c r="BL323" s="19"/>
      <c r="BM323" s="19"/>
      <c r="BN323" s="19"/>
      <c r="BO323" s="19"/>
      <c r="BP323" s="19"/>
      <c r="BQ323" s="19"/>
      <c r="BR323" s="19"/>
      <c r="BS323" s="19"/>
      <c r="BT323" s="19"/>
      <c r="BU323" s="19"/>
      <c r="BV323" s="19"/>
      <c r="BW323" s="19"/>
      <c r="BX323" s="19"/>
      <c r="BY323" s="19"/>
      <c r="BZ323" s="19"/>
      <c r="CA323" s="19"/>
      <c r="CB323" s="19"/>
      <c r="CC323" s="19"/>
      <c r="CD323" s="19"/>
      <c r="CE323" s="19"/>
      <c r="CF323" s="6"/>
    </row>
    <row r="324" spans="1:84">
      <c r="A324" s="17"/>
      <c r="B324" s="17"/>
      <c r="C324" s="17"/>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9"/>
      <c r="AB324" s="19"/>
      <c r="AC324" s="19"/>
      <c r="AD324" s="19"/>
      <c r="AE324" s="19"/>
      <c r="AF324" s="19"/>
      <c r="AG324" s="19"/>
      <c r="AH324" s="19"/>
      <c r="AI324" s="19"/>
      <c r="AJ324" s="19"/>
      <c r="AK324" s="19"/>
      <c r="AL324" s="19"/>
      <c r="AM324" s="19"/>
      <c r="AN324" s="19"/>
      <c r="AO324" s="19"/>
      <c r="AP324" s="19"/>
      <c r="AQ324" s="19"/>
      <c r="AR324" s="19"/>
      <c r="AS324" s="19"/>
      <c r="AT324" s="19"/>
      <c r="AU324" s="19"/>
      <c r="AV324" s="19"/>
      <c r="AW324" s="19"/>
      <c r="AX324" s="19"/>
      <c r="AY324" s="19"/>
      <c r="AZ324" s="19"/>
      <c r="BA324" s="19"/>
      <c r="BB324" s="19"/>
      <c r="BC324" s="19"/>
      <c r="BD324" s="19"/>
      <c r="BE324" s="19"/>
      <c r="BF324" s="19"/>
      <c r="BG324" s="19"/>
      <c r="BH324" s="19"/>
      <c r="BI324" s="19"/>
      <c r="BJ324" s="19"/>
      <c r="BK324" s="19"/>
      <c r="BL324" s="19"/>
      <c r="BM324" s="19"/>
      <c r="BN324" s="19"/>
      <c r="BO324" s="19"/>
      <c r="BP324" s="19"/>
      <c r="BQ324" s="19"/>
      <c r="BR324" s="19"/>
      <c r="BS324" s="19"/>
      <c r="BT324" s="19"/>
      <c r="BU324" s="19"/>
      <c r="BV324" s="19"/>
      <c r="BW324" s="19"/>
      <c r="BX324" s="19"/>
      <c r="BY324" s="19"/>
      <c r="BZ324" s="19"/>
      <c r="CA324" s="19"/>
      <c r="CB324" s="19"/>
      <c r="CC324" s="19"/>
      <c r="CD324" s="19"/>
      <c r="CE324" s="19"/>
      <c r="CF324" s="6"/>
    </row>
    <row r="325" spans="1:84">
      <c r="A325" s="17"/>
      <c r="B325" s="17"/>
      <c r="C325" s="17"/>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9"/>
      <c r="AB325" s="19"/>
      <c r="AC325" s="19"/>
      <c r="AD325" s="19"/>
      <c r="AE325" s="19"/>
      <c r="AF325" s="19"/>
      <c r="AG325" s="19"/>
      <c r="AH325" s="19"/>
      <c r="AI325" s="19"/>
      <c r="AJ325" s="19"/>
      <c r="AK325" s="19"/>
      <c r="AL325" s="19"/>
      <c r="AM325" s="19"/>
      <c r="AN325" s="19"/>
      <c r="AO325" s="19"/>
      <c r="AP325" s="19"/>
      <c r="AQ325" s="19"/>
      <c r="AR325" s="19"/>
      <c r="AS325" s="19"/>
      <c r="AT325" s="19"/>
      <c r="AU325" s="19"/>
      <c r="AV325" s="19"/>
      <c r="AW325" s="19"/>
      <c r="AX325" s="19"/>
      <c r="AY325" s="19"/>
      <c r="AZ325" s="19"/>
      <c r="BA325" s="19"/>
      <c r="BB325" s="19"/>
      <c r="BC325" s="19"/>
      <c r="BD325" s="19"/>
      <c r="BE325" s="19"/>
      <c r="BF325" s="19"/>
      <c r="BG325" s="19"/>
      <c r="BH325" s="19"/>
      <c r="BI325" s="19"/>
      <c r="BJ325" s="19"/>
      <c r="BK325" s="19"/>
      <c r="BL325" s="19"/>
      <c r="BM325" s="19"/>
      <c r="BN325" s="19"/>
      <c r="BO325" s="19"/>
      <c r="BP325" s="19"/>
      <c r="BQ325" s="19"/>
      <c r="BR325" s="19"/>
      <c r="BS325" s="19"/>
      <c r="BT325" s="19"/>
      <c r="BU325" s="19"/>
      <c r="BV325" s="19"/>
      <c r="BW325" s="19"/>
      <c r="BX325" s="19"/>
      <c r="BY325" s="19"/>
      <c r="BZ325" s="19"/>
      <c r="CA325" s="19"/>
      <c r="CB325" s="19"/>
      <c r="CC325" s="19"/>
      <c r="CD325" s="19"/>
      <c r="CE325" s="19"/>
      <c r="CF325" s="6"/>
    </row>
    <row r="326" spans="1:84">
      <c r="A326" s="17"/>
      <c r="B326" s="17"/>
      <c r="C326" s="17"/>
      <c r="D326" s="19"/>
      <c r="E326" s="19"/>
      <c r="F326" s="19"/>
      <c r="G326" s="19"/>
      <c r="H326" s="19"/>
      <c r="I326" s="19"/>
      <c r="J326" s="19"/>
      <c r="K326" s="19"/>
      <c r="L326" s="19"/>
      <c r="M326" s="19"/>
      <c r="N326" s="19"/>
      <c r="O326" s="19"/>
      <c r="P326" s="19"/>
      <c r="Q326" s="19"/>
      <c r="R326" s="19"/>
      <c r="S326" s="19"/>
      <c r="T326" s="19"/>
      <c r="U326" s="19"/>
      <c r="V326" s="19"/>
      <c r="W326" s="19"/>
      <c r="X326" s="19"/>
      <c r="Y326" s="19"/>
      <c r="Z326" s="19"/>
      <c r="AA326" s="19"/>
      <c r="AB326" s="19"/>
      <c r="AC326" s="19"/>
      <c r="AD326" s="19"/>
      <c r="AE326" s="19"/>
      <c r="AF326" s="19"/>
      <c r="AG326" s="19"/>
      <c r="AH326" s="19"/>
      <c r="AI326" s="19"/>
      <c r="AJ326" s="19"/>
      <c r="AK326" s="19"/>
      <c r="AL326" s="19"/>
      <c r="AM326" s="19"/>
      <c r="AN326" s="19"/>
      <c r="AO326" s="19"/>
      <c r="AP326" s="19"/>
      <c r="AQ326" s="19"/>
      <c r="AR326" s="19"/>
      <c r="AS326" s="19"/>
      <c r="AT326" s="19"/>
      <c r="AU326" s="19"/>
      <c r="AV326" s="19"/>
      <c r="AW326" s="19"/>
      <c r="AX326" s="19"/>
      <c r="AY326" s="19"/>
      <c r="AZ326" s="19"/>
      <c r="BA326" s="19"/>
      <c r="BB326" s="19"/>
      <c r="BC326" s="19"/>
      <c r="BD326" s="19"/>
      <c r="BE326" s="19"/>
      <c r="BF326" s="19"/>
      <c r="BG326" s="19"/>
      <c r="BH326" s="19"/>
      <c r="BI326" s="19"/>
      <c r="BJ326" s="19"/>
      <c r="BK326" s="19"/>
      <c r="BL326" s="19"/>
      <c r="BM326" s="19"/>
      <c r="BN326" s="19"/>
      <c r="BO326" s="19"/>
      <c r="BP326" s="19"/>
      <c r="BQ326" s="19"/>
      <c r="BR326" s="19"/>
      <c r="BS326" s="19"/>
      <c r="BT326" s="19"/>
      <c r="BU326" s="19"/>
      <c r="BV326" s="19"/>
      <c r="BW326" s="19"/>
      <c r="BX326" s="19"/>
      <c r="BY326" s="19"/>
      <c r="BZ326" s="19"/>
      <c r="CA326" s="19"/>
      <c r="CB326" s="19"/>
      <c r="CC326" s="19"/>
      <c r="CD326" s="19"/>
      <c r="CE326" s="19"/>
      <c r="CF326" s="6"/>
    </row>
    <row r="327" spans="1:84">
      <c r="A327" s="17"/>
      <c r="B327" s="17"/>
      <c r="C327" s="17"/>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9"/>
      <c r="AB327" s="19"/>
      <c r="AC327" s="19"/>
      <c r="AD327" s="19"/>
      <c r="AE327" s="19"/>
      <c r="AF327" s="19"/>
      <c r="AG327" s="19"/>
      <c r="AH327" s="19"/>
      <c r="AI327" s="19"/>
      <c r="AJ327" s="19"/>
      <c r="AK327" s="19"/>
      <c r="AL327" s="19"/>
      <c r="AM327" s="19"/>
      <c r="AN327" s="19"/>
      <c r="AO327" s="19"/>
      <c r="AP327" s="19"/>
      <c r="AQ327" s="19"/>
      <c r="AR327" s="19"/>
      <c r="AS327" s="19"/>
      <c r="AT327" s="19"/>
      <c r="AU327" s="19"/>
      <c r="AV327" s="19"/>
      <c r="AW327" s="19"/>
      <c r="AX327" s="19"/>
      <c r="AY327" s="19"/>
      <c r="AZ327" s="19"/>
      <c r="BA327" s="19"/>
      <c r="BB327" s="19"/>
      <c r="BC327" s="19"/>
      <c r="BD327" s="19"/>
      <c r="BE327" s="19"/>
      <c r="BF327" s="19"/>
      <c r="BG327" s="19"/>
      <c r="BH327" s="19"/>
      <c r="BI327" s="19"/>
      <c r="BJ327" s="19"/>
      <c r="BK327" s="19"/>
      <c r="BL327" s="19"/>
      <c r="BM327" s="19"/>
      <c r="BN327" s="19"/>
      <c r="BO327" s="19"/>
      <c r="BP327" s="19"/>
      <c r="BQ327" s="19"/>
      <c r="BR327" s="19"/>
      <c r="BS327" s="19"/>
      <c r="BT327" s="19"/>
      <c r="BU327" s="19"/>
      <c r="BV327" s="19"/>
      <c r="BW327" s="19"/>
      <c r="BX327" s="19"/>
      <c r="BY327" s="19"/>
      <c r="BZ327" s="19"/>
      <c r="CA327" s="19"/>
      <c r="CB327" s="19"/>
      <c r="CC327" s="19"/>
      <c r="CD327" s="19"/>
      <c r="CE327" s="19"/>
      <c r="CF327" s="6"/>
    </row>
    <row r="328" spans="1:84">
      <c r="A328" s="17"/>
      <c r="B328" s="17"/>
      <c r="C328" s="17"/>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9"/>
      <c r="AB328" s="19"/>
      <c r="AC328" s="19"/>
      <c r="AD328" s="19"/>
      <c r="AE328" s="19"/>
      <c r="AF328" s="19"/>
      <c r="AG328" s="19"/>
      <c r="AH328" s="19"/>
      <c r="AI328" s="19"/>
      <c r="AJ328" s="19"/>
      <c r="AK328" s="19"/>
      <c r="AL328" s="19"/>
      <c r="AM328" s="19"/>
      <c r="AN328" s="19"/>
      <c r="AO328" s="19"/>
      <c r="AP328" s="19"/>
      <c r="AQ328" s="19"/>
      <c r="AR328" s="19"/>
      <c r="AS328" s="19"/>
      <c r="AT328" s="19"/>
      <c r="AU328" s="19"/>
      <c r="AV328" s="19"/>
      <c r="AW328" s="19"/>
      <c r="AX328" s="19"/>
      <c r="AY328" s="19"/>
      <c r="AZ328" s="19"/>
      <c r="BA328" s="19"/>
      <c r="BB328" s="19"/>
      <c r="BC328" s="19"/>
      <c r="BD328" s="19"/>
      <c r="BE328" s="19"/>
      <c r="BF328" s="19"/>
      <c r="BG328" s="19"/>
      <c r="BH328" s="19"/>
      <c r="BI328" s="19"/>
      <c r="BJ328" s="19"/>
      <c r="BK328" s="19"/>
      <c r="BL328" s="19"/>
      <c r="BM328" s="19"/>
      <c r="BN328" s="19"/>
      <c r="BO328" s="19"/>
      <c r="BP328" s="19"/>
      <c r="BQ328" s="19"/>
      <c r="BR328" s="19"/>
      <c r="BS328" s="19"/>
      <c r="BT328" s="19"/>
      <c r="BU328" s="19"/>
      <c r="BV328" s="19"/>
      <c r="BW328" s="19"/>
      <c r="BX328" s="19"/>
      <c r="BY328" s="19"/>
      <c r="BZ328" s="19"/>
      <c r="CA328" s="19"/>
      <c r="CB328" s="19"/>
      <c r="CC328" s="19"/>
      <c r="CD328" s="19"/>
      <c r="CE328" s="19"/>
      <c r="CF328" s="6"/>
    </row>
    <row r="329" spans="1:84">
      <c r="A329" s="17"/>
      <c r="B329" s="17"/>
      <c r="C329" s="17"/>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9"/>
      <c r="AB329" s="19"/>
      <c r="AC329" s="19"/>
      <c r="AD329" s="19"/>
      <c r="AE329" s="19"/>
      <c r="AF329" s="19"/>
      <c r="AG329" s="19"/>
      <c r="AH329" s="19"/>
      <c r="AI329" s="19"/>
      <c r="AJ329" s="19"/>
      <c r="AK329" s="19"/>
      <c r="AL329" s="19"/>
      <c r="AM329" s="19"/>
      <c r="AN329" s="19"/>
      <c r="AO329" s="19"/>
      <c r="AP329" s="19"/>
      <c r="AQ329" s="19"/>
      <c r="AR329" s="19"/>
      <c r="AS329" s="19"/>
      <c r="AT329" s="19"/>
      <c r="AU329" s="19"/>
      <c r="AV329" s="19"/>
      <c r="AW329" s="19"/>
      <c r="AX329" s="19"/>
      <c r="AY329" s="19"/>
      <c r="AZ329" s="19"/>
      <c r="BA329" s="19"/>
      <c r="BB329" s="19"/>
      <c r="BC329" s="19"/>
      <c r="BD329" s="19"/>
      <c r="BE329" s="19"/>
      <c r="BF329" s="19"/>
      <c r="BG329" s="19"/>
      <c r="BH329" s="19"/>
      <c r="BI329" s="19"/>
      <c r="BJ329" s="19"/>
      <c r="BK329" s="19"/>
      <c r="BL329" s="19"/>
      <c r="BM329" s="19"/>
      <c r="BN329" s="19"/>
      <c r="BO329" s="19"/>
      <c r="BP329" s="19"/>
      <c r="BQ329" s="19"/>
      <c r="BR329" s="19"/>
      <c r="BS329" s="19"/>
      <c r="BT329" s="19"/>
      <c r="BU329" s="19"/>
      <c r="BV329" s="19"/>
      <c r="BW329" s="19"/>
      <c r="BX329" s="19"/>
      <c r="BY329" s="19"/>
      <c r="BZ329" s="19"/>
      <c r="CA329" s="19"/>
      <c r="CB329" s="19"/>
      <c r="CC329" s="19"/>
      <c r="CD329" s="19"/>
      <c r="CE329" s="19"/>
      <c r="CF329" s="6"/>
    </row>
    <row r="330" spans="1:84">
      <c r="A330" s="17"/>
      <c r="B330" s="17"/>
      <c r="C330" s="17"/>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9"/>
      <c r="AB330" s="19"/>
      <c r="AC330" s="19"/>
      <c r="AD330" s="19"/>
      <c r="AE330" s="19"/>
      <c r="AF330" s="19"/>
      <c r="AG330" s="19"/>
      <c r="AH330" s="19"/>
      <c r="AI330" s="19"/>
      <c r="AJ330" s="19"/>
      <c r="AK330" s="19"/>
      <c r="AL330" s="19"/>
      <c r="AM330" s="19"/>
      <c r="AN330" s="19"/>
      <c r="AO330" s="19"/>
      <c r="AP330" s="19"/>
      <c r="AQ330" s="19"/>
      <c r="AR330" s="19"/>
      <c r="AS330" s="19"/>
      <c r="AT330" s="19"/>
      <c r="AU330" s="19"/>
      <c r="AV330" s="19"/>
      <c r="AW330" s="19"/>
      <c r="AX330" s="19"/>
      <c r="AY330" s="19"/>
      <c r="AZ330" s="19"/>
      <c r="BA330" s="19"/>
      <c r="BB330" s="19"/>
      <c r="BC330" s="19"/>
      <c r="BD330" s="19"/>
      <c r="BE330" s="19"/>
      <c r="BF330" s="19"/>
      <c r="BG330" s="19"/>
      <c r="BH330" s="19"/>
      <c r="BI330" s="19"/>
      <c r="BJ330" s="19"/>
      <c r="BK330" s="19"/>
      <c r="BL330" s="19"/>
      <c r="BM330" s="19"/>
      <c r="BN330" s="19"/>
      <c r="BO330" s="19"/>
      <c r="BP330" s="19"/>
      <c r="BQ330" s="19"/>
      <c r="BR330" s="19"/>
      <c r="BS330" s="19"/>
      <c r="BT330" s="19"/>
      <c r="BU330" s="19"/>
      <c r="BV330" s="19"/>
      <c r="BW330" s="19"/>
      <c r="BX330" s="19"/>
      <c r="BY330" s="19"/>
      <c r="BZ330" s="19"/>
      <c r="CA330" s="19"/>
      <c r="CB330" s="19"/>
      <c r="CC330" s="19"/>
      <c r="CD330" s="19"/>
      <c r="CE330" s="19"/>
      <c r="CF330" s="6"/>
    </row>
    <row r="331" spans="1:84">
      <c r="A331" s="17"/>
      <c r="B331" s="17"/>
      <c r="C331" s="17"/>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9"/>
      <c r="AB331" s="19"/>
      <c r="AC331" s="19"/>
      <c r="AD331" s="19"/>
      <c r="AE331" s="19"/>
      <c r="AF331" s="19"/>
      <c r="AG331" s="19"/>
      <c r="AH331" s="19"/>
      <c r="AI331" s="19"/>
      <c r="AJ331" s="19"/>
      <c r="AK331" s="19"/>
      <c r="AL331" s="19"/>
      <c r="AM331" s="19"/>
      <c r="AN331" s="19"/>
      <c r="AO331" s="19"/>
      <c r="AP331" s="19"/>
      <c r="AQ331" s="19"/>
      <c r="AR331" s="19"/>
      <c r="AS331" s="19"/>
      <c r="AT331" s="19"/>
      <c r="AU331" s="19"/>
      <c r="AV331" s="19"/>
      <c r="AW331" s="19"/>
      <c r="AX331" s="19"/>
      <c r="AY331" s="19"/>
      <c r="AZ331" s="19"/>
      <c r="BA331" s="19"/>
      <c r="BB331" s="19"/>
      <c r="BC331" s="19"/>
      <c r="BD331" s="19"/>
      <c r="BE331" s="19"/>
      <c r="BF331" s="19"/>
      <c r="BG331" s="19"/>
      <c r="BH331" s="19"/>
      <c r="BI331" s="19"/>
      <c r="BJ331" s="19"/>
      <c r="BK331" s="19"/>
      <c r="BL331" s="19"/>
      <c r="BM331" s="19"/>
      <c r="BN331" s="19"/>
      <c r="BO331" s="19"/>
      <c r="BP331" s="19"/>
      <c r="BQ331" s="19"/>
      <c r="BR331" s="19"/>
      <c r="BS331" s="19"/>
      <c r="BT331" s="19"/>
      <c r="BU331" s="19"/>
      <c r="BV331" s="19"/>
      <c r="BW331" s="19"/>
      <c r="BX331" s="19"/>
      <c r="BY331" s="19"/>
      <c r="BZ331" s="19"/>
      <c r="CA331" s="19"/>
      <c r="CB331" s="19"/>
      <c r="CC331" s="19"/>
      <c r="CD331" s="19"/>
      <c r="CE331" s="19"/>
      <c r="CF331" s="6"/>
    </row>
    <row r="332" spans="1:84">
      <c r="A332" s="17"/>
      <c r="B332" s="17"/>
      <c r="C332" s="17"/>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9"/>
      <c r="AB332" s="19"/>
      <c r="AC332" s="19"/>
      <c r="AD332" s="19"/>
      <c r="AE332" s="19"/>
      <c r="AF332" s="19"/>
      <c r="AG332" s="19"/>
      <c r="AH332" s="19"/>
      <c r="AI332" s="19"/>
      <c r="AJ332" s="19"/>
      <c r="AK332" s="19"/>
      <c r="AL332" s="19"/>
      <c r="AM332" s="19"/>
      <c r="AN332" s="19"/>
      <c r="AO332" s="19"/>
      <c r="AP332" s="19"/>
      <c r="AQ332" s="19"/>
      <c r="AR332" s="19"/>
      <c r="AS332" s="19"/>
      <c r="AT332" s="19"/>
      <c r="AU332" s="19"/>
      <c r="AV332" s="19"/>
      <c r="AW332" s="19"/>
      <c r="AX332" s="19"/>
      <c r="AY332" s="19"/>
      <c r="AZ332" s="19"/>
      <c r="BA332" s="19"/>
      <c r="BB332" s="19"/>
      <c r="BC332" s="19"/>
      <c r="BD332" s="19"/>
      <c r="BE332" s="19"/>
      <c r="BF332" s="19"/>
      <c r="BG332" s="19"/>
      <c r="BH332" s="19"/>
      <c r="BI332" s="19"/>
      <c r="BJ332" s="19"/>
      <c r="BK332" s="19"/>
      <c r="BL332" s="19"/>
      <c r="BM332" s="19"/>
      <c r="BN332" s="19"/>
      <c r="BO332" s="19"/>
      <c r="BP332" s="19"/>
      <c r="BQ332" s="19"/>
      <c r="BR332" s="19"/>
      <c r="BS332" s="19"/>
      <c r="BT332" s="19"/>
      <c r="BU332" s="19"/>
      <c r="BV332" s="19"/>
      <c r="BW332" s="19"/>
      <c r="BX332" s="19"/>
      <c r="BY332" s="19"/>
      <c r="BZ332" s="19"/>
      <c r="CA332" s="19"/>
      <c r="CB332" s="19"/>
      <c r="CC332" s="19"/>
      <c r="CD332" s="19"/>
      <c r="CE332" s="19"/>
      <c r="CF332" s="6"/>
    </row>
    <row r="333" spans="1:84">
      <c r="A333" s="17"/>
      <c r="B333" s="17"/>
      <c r="C333" s="17"/>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9"/>
      <c r="AB333" s="19"/>
      <c r="AC333" s="19"/>
      <c r="AD333" s="19"/>
      <c r="AE333" s="19"/>
      <c r="AF333" s="19"/>
      <c r="AG333" s="19"/>
      <c r="AH333" s="19"/>
      <c r="AI333" s="19"/>
      <c r="AJ333" s="19"/>
      <c r="AK333" s="19"/>
      <c r="AL333" s="19"/>
      <c r="AM333" s="19"/>
      <c r="AN333" s="19"/>
      <c r="AO333" s="19"/>
      <c r="AP333" s="19"/>
      <c r="AQ333" s="19"/>
      <c r="AR333" s="19"/>
      <c r="AS333" s="19"/>
      <c r="AT333" s="19"/>
      <c r="AU333" s="19"/>
      <c r="AV333" s="19"/>
      <c r="AW333" s="19"/>
      <c r="AX333" s="19"/>
      <c r="AY333" s="19"/>
      <c r="AZ333" s="19"/>
      <c r="BA333" s="19"/>
      <c r="BB333" s="19"/>
      <c r="BC333" s="19"/>
      <c r="BD333" s="19"/>
      <c r="BE333" s="19"/>
      <c r="BF333" s="19"/>
      <c r="BG333" s="19"/>
      <c r="BH333" s="19"/>
      <c r="BI333" s="19"/>
      <c r="BJ333" s="19"/>
      <c r="BK333" s="19"/>
      <c r="BL333" s="19"/>
      <c r="BM333" s="19"/>
      <c r="BN333" s="19"/>
      <c r="BO333" s="19"/>
      <c r="BP333" s="19"/>
      <c r="BQ333" s="19"/>
      <c r="BR333" s="19"/>
      <c r="BS333" s="19"/>
      <c r="BT333" s="19"/>
      <c r="BU333" s="19"/>
      <c r="BV333" s="19"/>
      <c r="BW333" s="19"/>
      <c r="BX333" s="19"/>
      <c r="BY333" s="19"/>
      <c r="BZ333" s="19"/>
      <c r="CA333" s="19"/>
      <c r="CB333" s="19"/>
      <c r="CC333" s="19"/>
      <c r="CD333" s="19"/>
      <c r="CE333" s="19"/>
      <c r="CF333" s="6"/>
    </row>
    <row r="334" spans="1:84">
      <c r="D334" s="6"/>
      <c r="E334" s="6"/>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6"/>
      <c r="AZ334" s="6"/>
      <c r="BA334" s="6"/>
      <c r="BB334" s="6"/>
      <c r="BC334" s="6"/>
      <c r="BD334" s="6"/>
      <c r="BE334" s="6"/>
      <c r="BF334" s="6"/>
      <c r="BG334" s="6"/>
      <c r="BH334" s="6"/>
      <c r="BI334" s="6"/>
      <c r="BJ334" s="6"/>
      <c r="BK334" s="6"/>
      <c r="BL334" s="6"/>
      <c r="BM334" s="6"/>
      <c r="BN334" s="6"/>
      <c r="BO334" s="6"/>
      <c r="BP334" s="6"/>
      <c r="BQ334" s="6"/>
      <c r="BR334" s="6"/>
      <c r="BS334" s="6"/>
      <c r="BT334" s="6"/>
      <c r="BU334" s="6"/>
      <c r="BV334" s="6"/>
      <c r="BW334" s="6"/>
      <c r="BX334" s="6"/>
      <c r="BY334" s="6"/>
      <c r="BZ334" s="6"/>
      <c r="CA334" s="6"/>
      <c r="CB334" s="6"/>
      <c r="CC334" s="6"/>
      <c r="CD334" s="6"/>
      <c r="CE334" s="6"/>
      <c r="CF334" s="6"/>
    </row>
    <row r="335" spans="1:84">
      <c r="D335" s="6"/>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6"/>
      <c r="AZ335" s="6"/>
      <c r="BA335" s="6"/>
      <c r="BB335" s="6"/>
      <c r="BC335" s="6"/>
      <c r="BD335" s="6"/>
      <c r="BE335" s="6"/>
      <c r="BF335" s="6"/>
      <c r="BG335" s="6"/>
      <c r="BH335" s="6"/>
      <c r="BI335" s="6"/>
      <c r="BJ335" s="6"/>
      <c r="BK335" s="6"/>
      <c r="BL335" s="6"/>
      <c r="BM335" s="6"/>
      <c r="BN335" s="6"/>
      <c r="BO335" s="6"/>
      <c r="BP335" s="6"/>
      <c r="BQ335" s="6"/>
      <c r="BR335" s="6"/>
      <c r="BS335" s="6"/>
      <c r="BT335" s="6"/>
      <c r="BU335" s="6"/>
      <c r="BV335" s="6"/>
      <c r="BW335" s="6"/>
      <c r="BX335" s="6"/>
      <c r="BY335" s="6"/>
      <c r="BZ335" s="6"/>
      <c r="CA335" s="6"/>
      <c r="CB335" s="6"/>
      <c r="CC335" s="6"/>
      <c r="CD335" s="6"/>
      <c r="CE335" s="6"/>
      <c r="CF335" s="6"/>
    </row>
    <row r="336" spans="1:84">
      <c r="D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c r="AZ336" s="6"/>
      <c r="BA336" s="6"/>
      <c r="BB336" s="6"/>
      <c r="BC336" s="6"/>
      <c r="BD336" s="6"/>
      <c r="BE336" s="6"/>
      <c r="BF336" s="6"/>
      <c r="BG336" s="6"/>
      <c r="BH336" s="6"/>
      <c r="BI336" s="6"/>
      <c r="BJ336" s="6"/>
      <c r="BK336" s="6"/>
      <c r="BL336" s="6"/>
      <c r="BM336" s="6"/>
      <c r="BN336" s="6"/>
      <c r="BO336" s="6"/>
      <c r="BP336" s="6"/>
      <c r="BQ336" s="6"/>
      <c r="BR336" s="6"/>
      <c r="BS336" s="6"/>
      <c r="BT336" s="6"/>
      <c r="BU336" s="6"/>
      <c r="BV336" s="6"/>
      <c r="BW336" s="6"/>
      <c r="BX336" s="6"/>
      <c r="BY336" s="6"/>
      <c r="BZ336" s="6"/>
      <c r="CA336" s="6"/>
      <c r="CB336" s="6"/>
      <c r="CC336" s="6"/>
      <c r="CD336" s="6"/>
      <c r="CE336" s="6"/>
      <c r="CF336" s="6"/>
    </row>
    <row r="337" spans="4:84">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c r="AZ337" s="6"/>
      <c r="BA337" s="6"/>
      <c r="BB337" s="6"/>
      <c r="BC337" s="6"/>
      <c r="BD337" s="6"/>
      <c r="BE337" s="6"/>
      <c r="BF337" s="6"/>
      <c r="BG337" s="6"/>
      <c r="BH337" s="6"/>
      <c r="BI337" s="6"/>
      <c r="BJ337" s="6"/>
      <c r="BK337" s="6"/>
      <c r="BL337" s="6"/>
      <c r="BM337" s="6"/>
      <c r="BN337" s="6"/>
      <c r="BO337" s="6"/>
      <c r="BP337" s="6"/>
      <c r="BQ337" s="6"/>
      <c r="BR337" s="6"/>
      <c r="BS337" s="6"/>
      <c r="BT337" s="6"/>
      <c r="BU337" s="6"/>
      <c r="BV337" s="6"/>
      <c r="BW337" s="6"/>
      <c r="BX337" s="6"/>
      <c r="BY337" s="6"/>
      <c r="BZ337" s="6"/>
      <c r="CA337" s="6"/>
      <c r="CB337" s="6"/>
      <c r="CC337" s="6"/>
      <c r="CD337" s="6"/>
      <c r="CE337" s="6"/>
      <c r="CF337" s="6"/>
    </row>
    <row r="338" spans="4:84">
      <c r="D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c r="AZ338" s="6"/>
      <c r="BA338" s="6"/>
      <c r="BB338" s="6"/>
      <c r="BC338" s="6"/>
      <c r="BD338" s="6"/>
      <c r="BE338" s="6"/>
      <c r="BF338" s="6"/>
      <c r="BG338" s="6"/>
      <c r="BH338" s="6"/>
      <c r="BI338" s="6"/>
      <c r="BJ338" s="6"/>
      <c r="BK338" s="6"/>
      <c r="BL338" s="6"/>
      <c r="BM338" s="6"/>
      <c r="BN338" s="6"/>
      <c r="BO338" s="6"/>
      <c r="BP338" s="6"/>
      <c r="BQ338" s="6"/>
      <c r="BR338" s="6"/>
      <c r="BS338" s="6"/>
      <c r="BT338" s="6"/>
      <c r="BU338" s="6"/>
      <c r="BV338" s="6"/>
      <c r="BW338" s="6"/>
      <c r="BX338" s="6"/>
      <c r="BY338" s="6"/>
      <c r="BZ338" s="6"/>
      <c r="CA338" s="6"/>
      <c r="CB338" s="6"/>
      <c r="CC338" s="6"/>
      <c r="CD338" s="6"/>
      <c r="CE338" s="6"/>
      <c r="CF338" s="6"/>
    </row>
    <row r="339" spans="4:84">
      <c r="D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c r="AZ339" s="6"/>
      <c r="BA339" s="6"/>
      <c r="BB339" s="6"/>
      <c r="BC339" s="6"/>
      <c r="BD339" s="6"/>
      <c r="BE339" s="6"/>
      <c r="BF339" s="6"/>
      <c r="BG339" s="6"/>
      <c r="BH339" s="6"/>
      <c r="BI339" s="6"/>
      <c r="BJ339" s="6"/>
      <c r="BK339" s="6"/>
      <c r="BL339" s="6"/>
      <c r="BM339" s="6"/>
      <c r="BN339" s="6"/>
      <c r="BO339" s="6"/>
      <c r="BP339" s="6"/>
      <c r="BQ339" s="6"/>
      <c r="BR339" s="6"/>
      <c r="BS339" s="6"/>
      <c r="BT339" s="6"/>
      <c r="BU339" s="6"/>
      <c r="BV339" s="6"/>
      <c r="BW339" s="6"/>
      <c r="BX339" s="6"/>
      <c r="BY339" s="6"/>
      <c r="BZ339" s="6"/>
      <c r="CA339" s="6"/>
      <c r="CB339" s="6"/>
      <c r="CC339" s="6"/>
      <c r="CD339" s="6"/>
      <c r="CE339" s="6"/>
      <c r="CF339" s="6"/>
    </row>
    <row r="340" spans="4:84">
      <c r="D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c r="AZ340" s="6"/>
      <c r="BA340" s="6"/>
      <c r="BB340" s="6"/>
      <c r="BC340" s="6"/>
      <c r="BD340" s="6"/>
      <c r="BE340" s="6"/>
      <c r="BF340" s="6"/>
      <c r="BG340" s="6"/>
      <c r="BH340" s="6"/>
      <c r="BI340" s="6"/>
      <c r="BJ340" s="6"/>
      <c r="BK340" s="6"/>
      <c r="BL340" s="6"/>
      <c r="BM340" s="6"/>
      <c r="BN340" s="6"/>
      <c r="BO340" s="6"/>
      <c r="BP340" s="6"/>
      <c r="BQ340" s="6"/>
      <c r="BR340" s="6"/>
      <c r="BS340" s="6"/>
      <c r="BT340" s="6"/>
      <c r="BU340" s="6"/>
      <c r="BV340" s="6"/>
      <c r="BW340" s="6"/>
      <c r="BX340" s="6"/>
      <c r="BY340" s="6"/>
      <c r="BZ340" s="6"/>
      <c r="CA340" s="6"/>
      <c r="CB340" s="6"/>
      <c r="CC340" s="6"/>
      <c r="CD340" s="6"/>
      <c r="CE340" s="6"/>
      <c r="CF340" s="6"/>
    </row>
    <row r="341" spans="4:84">
      <c r="D341" s="6"/>
      <c r="E341" s="6"/>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6"/>
      <c r="AZ341" s="6"/>
      <c r="BA341" s="6"/>
      <c r="BB341" s="6"/>
      <c r="BC341" s="6"/>
      <c r="BD341" s="6"/>
      <c r="BE341" s="6"/>
      <c r="BF341" s="6"/>
      <c r="BG341" s="6"/>
      <c r="BH341" s="6"/>
      <c r="BI341" s="6"/>
      <c r="BJ341" s="6"/>
      <c r="BK341" s="6"/>
      <c r="BL341" s="6"/>
      <c r="BM341" s="6"/>
      <c r="BN341" s="6"/>
      <c r="BO341" s="6"/>
      <c r="BP341" s="6"/>
      <c r="BQ341" s="6"/>
      <c r="BR341" s="6"/>
      <c r="BS341" s="6"/>
      <c r="BT341" s="6"/>
      <c r="BU341" s="6"/>
      <c r="BV341" s="6"/>
      <c r="BW341" s="6"/>
      <c r="BX341" s="6"/>
      <c r="BY341" s="6"/>
      <c r="BZ341" s="6"/>
      <c r="CA341" s="6"/>
      <c r="CB341" s="6"/>
      <c r="CC341" s="6"/>
      <c r="CD341" s="6"/>
      <c r="CE341" s="6"/>
      <c r="CF341" s="6"/>
    </row>
    <row r="342" spans="4:84">
      <c r="D342" s="6"/>
      <c r="E342" s="6"/>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6"/>
      <c r="AZ342" s="6"/>
      <c r="BA342" s="6"/>
      <c r="BB342" s="6"/>
      <c r="BC342" s="6"/>
      <c r="BD342" s="6"/>
      <c r="BE342" s="6"/>
      <c r="BF342" s="6"/>
      <c r="BG342" s="6"/>
      <c r="BH342" s="6"/>
      <c r="BI342" s="6"/>
      <c r="BJ342" s="6"/>
      <c r="BK342" s="6"/>
      <c r="BL342" s="6"/>
      <c r="BM342" s="6"/>
      <c r="BN342" s="6"/>
      <c r="BO342" s="6"/>
      <c r="BP342" s="6"/>
      <c r="BQ342" s="6"/>
      <c r="BR342" s="6"/>
      <c r="BS342" s="6"/>
      <c r="BT342" s="6"/>
      <c r="BU342" s="6"/>
      <c r="BV342" s="6"/>
      <c r="BW342" s="6"/>
      <c r="BX342" s="6"/>
      <c r="BY342" s="6"/>
      <c r="BZ342" s="6"/>
      <c r="CA342" s="6"/>
      <c r="CB342" s="6"/>
      <c r="CC342" s="6"/>
      <c r="CD342" s="6"/>
      <c r="CE342" s="6"/>
      <c r="CF342" s="6"/>
    </row>
    <row r="343" spans="4:84">
      <c r="D343" s="6"/>
      <c r="E343" s="6"/>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6"/>
      <c r="AZ343" s="6"/>
      <c r="BA343" s="6"/>
      <c r="BB343" s="6"/>
      <c r="BC343" s="6"/>
      <c r="BD343" s="6"/>
      <c r="BE343" s="6"/>
      <c r="BF343" s="6"/>
      <c r="BG343" s="6"/>
      <c r="BH343" s="6"/>
      <c r="BI343" s="6"/>
      <c r="BJ343" s="6"/>
      <c r="BK343" s="6"/>
      <c r="BL343" s="6"/>
      <c r="BM343" s="6"/>
      <c r="BN343" s="6"/>
      <c r="BO343" s="6"/>
      <c r="BP343" s="6"/>
      <c r="BQ343" s="6"/>
      <c r="BR343" s="6"/>
      <c r="BS343" s="6"/>
      <c r="BT343" s="6"/>
      <c r="BU343" s="6"/>
      <c r="BV343" s="6"/>
      <c r="BW343" s="6"/>
      <c r="BX343" s="6"/>
      <c r="BY343" s="6"/>
      <c r="BZ343" s="6"/>
      <c r="CA343" s="6"/>
      <c r="CB343" s="6"/>
      <c r="CC343" s="6"/>
      <c r="CD343" s="6"/>
      <c r="CE343" s="6"/>
      <c r="CF343" s="6"/>
    </row>
    <row r="344" spans="4:84">
      <c r="D344" s="6"/>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c r="AZ344" s="6"/>
      <c r="BA344" s="6"/>
      <c r="BB344" s="6"/>
      <c r="BC344" s="6"/>
      <c r="BD344" s="6"/>
      <c r="BE344" s="6"/>
      <c r="BF344" s="6"/>
      <c r="BG344" s="6"/>
      <c r="BH344" s="6"/>
      <c r="BI344" s="6"/>
      <c r="BJ344" s="6"/>
      <c r="BK344" s="6"/>
      <c r="BL344" s="6"/>
      <c r="BM344" s="6"/>
      <c r="BN344" s="6"/>
      <c r="BO344" s="6"/>
      <c r="BP344" s="6"/>
      <c r="BQ344" s="6"/>
      <c r="BR344" s="6"/>
      <c r="BS344" s="6"/>
      <c r="BT344" s="6"/>
      <c r="BU344" s="6"/>
      <c r="BV344" s="6"/>
      <c r="BW344" s="6"/>
      <c r="BX344" s="6"/>
      <c r="BY344" s="6"/>
      <c r="BZ344" s="6"/>
      <c r="CA344" s="6"/>
      <c r="CB344" s="6"/>
      <c r="CC344" s="6"/>
      <c r="CD344" s="6"/>
      <c r="CE344" s="6"/>
      <c r="CF344" s="6"/>
    </row>
    <row r="345" spans="4:84">
      <c r="D345" s="6"/>
      <c r="E345" s="6"/>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c r="AZ345" s="6"/>
      <c r="BA345" s="6"/>
      <c r="BB345" s="6"/>
      <c r="BC345" s="6"/>
      <c r="BD345" s="6"/>
      <c r="BE345" s="6"/>
      <c r="BF345" s="6"/>
      <c r="BG345" s="6"/>
      <c r="BH345" s="6"/>
      <c r="BI345" s="6"/>
      <c r="BJ345" s="6"/>
      <c r="BK345" s="6"/>
      <c r="BL345" s="6"/>
      <c r="BM345" s="6"/>
      <c r="BN345" s="6"/>
      <c r="BO345" s="6"/>
      <c r="BP345" s="6"/>
      <c r="BQ345" s="6"/>
      <c r="BR345" s="6"/>
      <c r="BS345" s="6"/>
      <c r="BT345" s="6"/>
      <c r="BU345" s="6"/>
      <c r="BV345" s="6"/>
      <c r="BW345" s="6"/>
      <c r="BX345" s="6"/>
      <c r="BY345" s="6"/>
      <c r="BZ345" s="6"/>
      <c r="CA345" s="6"/>
      <c r="CB345" s="6"/>
      <c r="CC345" s="6"/>
      <c r="CD345" s="6"/>
      <c r="CE345" s="6"/>
      <c r="CF345" s="6"/>
    </row>
    <row r="346" spans="4:84">
      <c r="D346" s="6"/>
      <c r="E346" s="6"/>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6"/>
      <c r="AZ346" s="6"/>
      <c r="BA346" s="6"/>
      <c r="BB346" s="6"/>
      <c r="BC346" s="6"/>
      <c r="BD346" s="6"/>
      <c r="BE346" s="6"/>
      <c r="BF346" s="6"/>
      <c r="BG346" s="6"/>
      <c r="BH346" s="6"/>
      <c r="BI346" s="6"/>
      <c r="BJ346" s="6"/>
      <c r="BK346" s="6"/>
      <c r="BL346" s="6"/>
      <c r="BM346" s="6"/>
      <c r="BN346" s="6"/>
      <c r="BO346" s="6"/>
      <c r="BP346" s="6"/>
      <c r="BQ346" s="6"/>
      <c r="BR346" s="6"/>
      <c r="BS346" s="6"/>
      <c r="BT346" s="6"/>
      <c r="BU346" s="6"/>
      <c r="BV346" s="6"/>
      <c r="BW346" s="6"/>
      <c r="BX346" s="6"/>
      <c r="BY346" s="6"/>
      <c r="BZ346" s="6"/>
      <c r="CA346" s="6"/>
      <c r="CB346" s="6"/>
      <c r="CC346" s="6"/>
      <c r="CD346" s="6"/>
      <c r="CE346" s="6"/>
      <c r="CF346" s="6"/>
    </row>
    <row r="347" spans="4:84">
      <c r="D347" s="6"/>
      <c r="E347" s="6"/>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c r="AZ347" s="6"/>
      <c r="BA347" s="6"/>
      <c r="BB347" s="6"/>
      <c r="BC347" s="6"/>
      <c r="BD347" s="6"/>
      <c r="BE347" s="6"/>
      <c r="BF347" s="6"/>
      <c r="BG347" s="6"/>
      <c r="BH347" s="6"/>
      <c r="BI347" s="6"/>
      <c r="BJ347" s="6"/>
      <c r="BK347" s="6"/>
      <c r="BL347" s="6"/>
      <c r="BM347" s="6"/>
      <c r="BN347" s="6"/>
      <c r="BO347" s="6"/>
      <c r="BP347" s="6"/>
      <c r="BQ347" s="6"/>
      <c r="BR347" s="6"/>
      <c r="BS347" s="6"/>
      <c r="BT347" s="6"/>
      <c r="BU347" s="6"/>
      <c r="BV347" s="6"/>
      <c r="BW347" s="6"/>
      <c r="BX347" s="6"/>
      <c r="BY347" s="6"/>
      <c r="BZ347" s="6"/>
      <c r="CA347" s="6"/>
      <c r="CB347" s="6"/>
      <c r="CC347" s="6"/>
      <c r="CD347" s="6"/>
      <c r="CE347" s="6"/>
      <c r="CF347" s="6"/>
    </row>
    <row r="348" spans="4:84">
      <c r="D348" s="6"/>
      <c r="E348" s="6"/>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6"/>
      <c r="AZ348" s="6"/>
      <c r="BA348" s="6"/>
      <c r="BB348" s="6"/>
      <c r="BC348" s="6"/>
      <c r="BD348" s="6"/>
      <c r="BE348" s="6"/>
      <c r="BF348" s="6"/>
      <c r="BG348" s="6"/>
      <c r="BH348" s="6"/>
      <c r="BI348" s="6"/>
      <c r="BJ348" s="6"/>
      <c r="BK348" s="6"/>
      <c r="BL348" s="6"/>
      <c r="BM348" s="6"/>
      <c r="BN348" s="6"/>
      <c r="BO348" s="6"/>
      <c r="BP348" s="6"/>
      <c r="BQ348" s="6"/>
      <c r="BR348" s="6"/>
      <c r="BS348" s="6"/>
      <c r="BT348" s="6"/>
      <c r="BU348" s="6"/>
      <c r="BV348" s="6"/>
      <c r="BW348" s="6"/>
      <c r="BX348" s="6"/>
      <c r="BY348" s="6"/>
      <c r="BZ348" s="6"/>
      <c r="CA348" s="6"/>
      <c r="CB348" s="6"/>
      <c r="CC348" s="6"/>
      <c r="CD348" s="6"/>
      <c r="CE348" s="6"/>
      <c r="CF348" s="6"/>
    </row>
    <row r="349" spans="4:84">
      <c r="D349" s="6"/>
      <c r="E349" s="6"/>
      <c r="F349" s="6"/>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c r="AZ349" s="6"/>
      <c r="BA349" s="6"/>
      <c r="BB349" s="6"/>
      <c r="BC349" s="6"/>
      <c r="BD349" s="6"/>
      <c r="BE349" s="6"/>
      <c r="BF349" s="6"/>
      <c r="BG349" s="6"/>
      <c r="BH349" s="6"/>
      <c r="BI349" s="6"/>
      <c r="BJ349" s="6"/>
      <c r="BK349" s="6"/>
      <c r="BL349" s="6"/>
      <c r="BM349" s="6"/>
      <c r="BN349" s="6"/>
      <c r="BO349" s="6"/>
      <c r="BP349" s="6"/>
      <c r="BQ349" s="6"/>
      <c r="BR349" s="6"/>
      <c r="BS349" s="6"/>
      <c r="BT349" s="6"/>
      <c r="BU349" s="6"/>
      <c r="BV349" s="6"/>
      <c r="BW349" s="6"/>
      <c r="BX349" s="6"/>
      <c r="BY349" s="6"/>
      <c r="BZ349" s="6"/>
      <c r="CA349" s="6"/>
      <c r="CB349" s="6"/>
      <c r="CC349" s="6"/>
      <c r="CD349" s="6"/>
      <c r="CE349" s="6"/>
      <c r="CF349" s="6"/>
    </row>
    <row r="350" spans="4:84">
      <c r="D350" s="6"/>
      <c r="E350" s="6"/>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c r="AZ350" s="6"/>
      <c r="BA350" s="6"/>
      <c r="BB350" s="6"/>
      <c r="BC350" s="6"/>
      <c r="BD350" s="6"/>
      <c r="BE350" s="6"/>
      <c r="BF350" s="6"/>
      <c r="BG350" s="6"/>
      <c r="BH350" s="6"/>
      <c r="BI350" s="6"/>
      <c r="BJ350" s="6"/>
      <c r="BK350" s="6"/>
      <c r="BL350" s="6"/>
      <c r="BM350" s="6"/>
      <c r="BN350" s="6"/>
      <c r="BO350" s="6"/>
      <c r="BP350" s="6"/>
      <c r="BQ350" s="6"/>
      <c r="BR350" s="6"/>
      <c r="BS350" s="6"/>
      <c r="BT350" s="6"/>
      <c r="BU350" s="6"/>
      <c r="BV350" s="6"/>
      <c r="BW350" s="6"/>
      <c r="BX350" s="6"/>
      <c r="BY350" s="6"/>
      <c r="BZ350" s="6"/>
      <c r="CA350" s="6"/>
      <c r="CB350" s="6"/>
      <c r="CC350" s="6"/>
      <c r="CD350" s="6"/>
      <c r="CE350" s="6"/>
      <c r="CF350" s="6"/>
    </row>
    <row r="351" spans="4:84">
      <c r="D351" s="6"/>
      <c r="E351" s="6"/>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6"/>
      <c r="AZ351" s="6"/>
      <c r="BA351" s="6"/>
      <c r="BB351" s="6"/>
      <c r="BC351" s="6"/>
      <c r="BD351" s="6"/>
      <c r="BE351" s="6"/>
      <c r="BF351" s="6"/>
      <c r="BG351" s="6"/>
      <c r="BH351" s="6"/>
      <c r="BI351" s="6"/>
      <c r="BJ351" s="6"/>
      <c r="BK351" s="6"/>
      <c r="BL351" s="6"/>
      <c r="BM351" s="6"/>
      <c r="BN351" s="6"/>
      <c r="BO351" s="6"/>
      <c r="BP351" s="6"/>
      <c r="BQ351" s="6"/>
      <c r="BR351" s="6"/>
      <c r="BS351" s="6"/>
      <c r="BT351" s="6"/>
      <c r="BU351" s="6"/>
      <c r="BV351" s="6"/>
      <c r="BW351" s="6"/>
      <c r="BX351" s="6"/>
      <c r="BY351" s="6"/>
      <c r="BZ351" s="6"/>
      <c r="CA351" s="6"/>
      <c r="CB351" s="6"/>
      <c r="CC351" s="6"/>
      <c r="CD351" s="6"/>
      <c r="CE351" s="6"/>
      <c r="CF351" s="6"/>
    </row>
    <row r="352" spans="4:84">
      <c r="D352" s="6"/>
      <c r="E352" s="6"/>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c r="AZ352" s="6"/>
      <c r="BA352" s="6"/>
      <c r="BB352" s="6"/>
      <c r="BC352" s="6"/>
      <c r="BD352" s="6"/>
      <c r="BE352" s="6"/>
      <c r="BF352" s="6"/>
      <c r="BG352" s="6"/>
      <c r="BH352" s="6"/>
      <c r="BI352" s="6"/>
      <c r="BJ352" s="6"/>
      <c r="BK352" s="6"/>
      <c r="BL352" s="6"/>
      <c r="BM352" s="6"/>
      <c r="BN352" s="6"/>
      <c r="BO352" s="6"/>
      <c r="BP352" s="6"/>
      <c r="BQ352" s="6"/>
      <c r="BR352" s="6"/>
      <c r="BS352" s="6"/>
      <c r="BT352" s="6"/>
      <c r="BU352" s="6"/>
      <c r="BV352" s="6"/>
      <c r="BW352" s="6"/>
      <c r="BX352" s="6"/>
      <c r="BY352" s="6"/>
      <c r="BZ352" s="6"/>
      <c r="CA352" s="6"/>
      <c r="CB352" s="6"/>
      <c r="CC352" s="6"/>
      <c r="CD352" s="6"/>
      <c r="CE352" s="6"/>
      <c r="CF352" s="6"/>
    </row>
    <row r="353" spans="4:84">
      <c r="D353" s="6"/>
      <c r="E353" s="6"/>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c r="AZ353" s="6"/>
      <c r="BA353" s="6"/>
      <c r="BB353" s="6"/>
      <c r="BC353" s="6"/>
      <c r="BD353" s="6"/>
      <c r="BE353" s="6"/>
      <c r="BF353" s="6"/>
      <c r="BG353" s="6"/>
      <c r="BH353" s="6"/>
      <c r="BI353" s="6"/>
      <c r="BJ353" s="6"/>
      <c r="BK353" s="6"/>
      <c r="BL353" s="6"/>
      <c r="BM353" s="6"/>
      <c r="BN353" s="6"/>
      <c r="BO353" s="6"/>
      <c r="BP353" s="6"/>
      <c r="BQ353" s="6"/>
      <c r="BR353" s="6"/>
      <c r="BS353" s="6"/>
      <c r="BT353" s="6"/>
      <c r="BU353" s="6"/>
      <c r="BV353" s="6"/>
      <c r="BW353" s="6"/>
      <c r="BX353" s="6"/>
      <c r="BY353" s="6"/>
      <c r="BZ353" s="6"/>
      <c r="CA353" s="6"/>
      <c r="CB353" s="6"/>
      <c r="CC353" s="6"/>
      <c r="CD353" s="6"/>
      <c r="CE353" s="6"/>
      <c r="CF353" s="6"/>
    </row>
    <row r="354" spans="4:84">
      <c r="D354" s="6"/>
      <c r="E354" s="6"/>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6"/>
      <c r="AZ354" s="6"/>
      <c r="BA354" s="6"/>
      <c r="BB354" s="6"/>
      <c r="BC354" s="6"/>
      <c r="BD354" s="6"/>
      <c r="BE354" s="6"/>
      <c r="BF354" s="6"/>
      <c r="BG354" s="6"/>
      <c r="BH354" s="6"/>
      <c r="BI354" s="6"/>
      <c r="BJ354" s="6"/>
      <c r="BK354" s="6"/>
      <c r="BL354" s="6"/>
      <c r="BM354" s="6"/>
      <c r="BN354" s="6"/>
      <c r="BO354" s="6"/>
      <c r="BP354" s="6"/>
      <c r="BQ354" s="6"/>
      <c r="BR354" s="6"/>
      <c r="BS354" s="6"/>
      <c r="BT354" s="6"/>
      <c r="BU354" s="6"/>
      <c r="BV354" s="6"/>
      <c r="BW354" s="6"/>
      <c r="BX354" s="6"/>
      <c r="BY354" s="6"/>
      <c r="BZ354" s="6"/>
      <c r="CA354" s="6"/>
      <c r="CB354" s="6"/>
      <c r="CC354" s="6"/>
      <c r="CD354" s="6"/>
      <c r="CE354" s="6"/>
      <c r="CF354" s="6"/>
    </row>
    <row r="355" spans="4:84">
      <c r="D355" s="6"/>
      <c r="E355" s="6"/>
      <c r="F355" s="6"/>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6"/>
      <c r="AZ355" s="6"/>
      <c r="BA355" s="6"/>
      <c r="BB355" s="6"/>
      <c r="BC355" s="6"/>
      <c r="BD355" s="6"/>
      <c r="BE355" s="6"/>
      <c r="BF355" s="6"/>
      <c r="BG355" s="6"/>
      <c r="BH355" s="6"/>
      <c r="BI355" s="6"/>
      <c r="BJ355" s="6"/>
      <c r="BK355" s="6"/>
      <c r="BL355" s="6"/>
      <c r="BM355" s="6"/>
      <c r="BN355" s="6"/>
      <c r="BO355" s="6"/>
      <c r="BP355" s="6"/>
      <c r="BQ355" s="6"/>
      <c r="BR355" s="6"/>
      <c r="BS355" s="6"/>
      <c r="BT355" s="6"/>
      <c r="BU355" s="6"/>
      <c r="BV355" s="6"/>
      <c r="BW355" s="6"/>
      <c r="BX355" s="6"/>
      <c r="BY355" s="6"/>
      <c r="BZ355" s="6"/>
      <c r="CA355" s="6"/>
      <c r="CB355" s="6"/>
      <c r="CC355" s="6"/>
      <c r="CD355" s="6"/>
      <c r="CE355" s="6"/>
      <c r="CF355" s="6"/>
    </row>
    <row r="356" spans="4:84">
      <c r="D356" s="6"/>
      <c r="E356" s="6"/>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6"/>
      <c r="AZ356" s="6"/>
      <c r="BA356" s="6"/>
      <c r="BB356" s="6"/>
      <c r="BC356" s="6"/>
      <c r="BD356" s="6"/>
      <c r="BE356" s="6"/>
      <c r="BF356" s="6"/>
      <c r="BG356" s="6"/>
      <c r="BH356" s="6"/>
      <c r="BI356" s="6"/>
      <c r="BJ356" s="6"/>
      <c r="BK356" s="6"/>
      <c r="BL356" s="6"/>
      <c r="BM356" s="6"/>
      <c r="BN356" s="6"/>
      <c r="BO356" s="6"/>
      <c r="BP356" s="6"/>
      <c r="BQ356" s="6"/>
      <c r="BR356" s="6"/>
      <c r="BS356" s="6"/>
      <c r="BT356" s="6"/>
      <c r="BU356" s="6"/>
      <c r="BV356" s="6"/>
      <c r="BW356" s="6"/>
      <c r="BX356" s="6"/>
      <c r="BY356" s="6"/>
      <c r="BZ356" s="6"/>
      <c r="CA356" s="6"/>
      <c r="CB356" s="6"/>
      <c r="CC356" s="6"/>
      <c r="CD356" s="6"/>
      <c r="CE356" s="6"/>
      <c r="CF356" s="6"/>
    </row>
    <row r="357" spans="4:84">
      <c r="D357" s="6"/>
      <c r="E357" s="6"/>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6"/>
      <c r="AZ357" s="6"/>
      <c r="BA357" s="6"/>
      <c r="BB357" s="6"/>
      <c r="BC357" s="6"/>
      <c r="BD357" s="6"/>
      <c r="BE357" s="6"/>
      <c r="BF357" s="6"/>
      <c r="BG357" s="6"/>
      <c r="BH357" s="6"/>
      <c r="BI357" s="6"/>
      <c r="BJ357" s="6"/>
      <c r="BK357" s="6"/>
      <c r="BL357" s="6"/>
      <c r="BM357" s="6"/>
      <c r="BN357" s="6"/>
      <c r="BO357" s="6"/>
      <c r="BP357" s="6"/>
      <c r="BQ357" s="6"/>
      <c r="BR357" s="6"/>
      <c r="BS357" s="6"/>
      <c r="BT357" s="6"/>
      <c r="BU357" s="6"/>
      <c r="BV357" s="6"/>
      <c r="BW357" s="6"/>
      <c r="BX357" s="6"/>
      <c r="BY357" s="6"/>
      <c r="BZ357" s="6"/>
      <c r="CA357" s="6"/>
      <c r="CB357" s="6"/>
      <c r="CC357" s="6"/>
      <c r="CD357" s="6"/>
      <c r="CE357" s="6"/>
      <c r="CF357" s="6"/>
    </row>
    <row r="358" spans="4:84">
      <c r="D358" s="6"/>
      <c r="E358" s="6"/>
      <c r="F358" s="6"/>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6"/>
      <c r="AZ358" s="6"/>
      <c r="BA358" s="6"/>
      <c r="BB358" s="6"/>
      <c r="BC358" s="6"/>
      <c r="BD358" s="6"/>
      <c r="BE358" s="6"/>
      <c r="BF358" s="6"/>
      <c r="BG358" s="6"/>
      <c r="BH358" s="6"/>
      <c r="BI358" s="6"/>
      <c r="BJ358" s="6"/>
      <c r="BK358" s="6"/>
      <c r="BL358" s="6"/>
      <c r="BM358" s="6"/>
      <c r="BN358" s="6"/>
      <c r="BO358" s="6"/>
      <c r="BP358" s="6"/>
      <c r="BQ358" s="6"/>
      <c r="BR358" s="6"/>
      <c r="BS358" s="6"/>
      <c r="BT358" s="6"/>
      <c r="BU358" s="6"/>
      <c r="BV358" s="6"/>
      <c r="BW358" s="6"/>
      <c r="BX358" s="6"/>
      <c r="BY358" s="6"/>
      <c r="BZ358" s="6"/>
      <c r="CA358" s="6"/>
      <c r="CB358" s="6"/>
      <c r="CC358" s="6"/>
      <c r="CD358" s="6"/>
      <c r="CE358" s="6"/>
      <c r="CF358" s="6"/>
    </row>
    <row r="359" spans="4:84">
      <c r="D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c r="AZ359" s="6"/>
      <c r="BA359" s="6"/>
      <c r="BB359" s="6"/>
      <c r="BC359" s="6"/>
      <c r="BD359" s="6"/>
      <c r="BE359" s="6"/>
      <c r="BF359" s="6"/>
      <c r="BG359" s="6"/>
      <c r="BH359" s="6"/>
      <c r="BI359" s="6"/>
      <c r="BJ359" s="6"/>
      <c r="BK359" s="6"/>
      <c r="BL359" s="6"/>
      <c r="BM359" s="6"/>
      <c r="BN359" s="6"/>
      <c r="BO359" s="6"/>
      <c r="BP359" s="6"/>
      <c r="BQ359" s="6"/>
      <c r="BR359" s="6"/>
      <c r="BS359" s="6"/>
      <c r="BT359" s="6"/>
      <c r="BU359" s="6"/>
      <c r="BV359" s="6"/>
      <c r="BW359" s="6"/>
      <c r="BX359" s="6"/>
      <c r="BY359" s="6"/>
      <c r="BZ359" s="6"/>
      <c r="CA359" s="6"/>
      <c r="CB359" s="6"/>
      <c r="CC359" s="6"/>
      <c r="CD359" s="6"/>
      <c r="CE359" s="6"/>
      <c r="CF359" s="6"/>
    </row>
    <row r="360" spans="4:84">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c r="AU360" s="6"/>
      <c r="AV360" s="6"/>
      <c r="AW360" s="6"/>
      <c r="AX360" s="6"/>
      <c r="AY360" s="6"/>
      <c r="AZ360" s="6"/>
      <c r="BA360" s="6"/>
      <c r="BB360" s="6"/>
      <c r="BC360" s="6"/>
      <c r="BD360" s="6"/>
      <c r="BE360" s="6"/>
      <c r="BF360" s="6"/>
      <c r="BG360" s="6"/>
      <c r="BH360" s="6"/>
      <c r="BI360" s="6"/>
      <c r="BJ360" s="6"/>
      <c r="BK360" s="6"/>
      <c r="BL360" s="6"/>
      <c r="BM360" s="6"/>
      <c r="BN360" s="6"/>
      <c r="BO360" s="6"/>
      <c r="BP360" s="6"/>
      <c r="BQ360" s="6"/>
      <c r="BR360" s="6"/>
      <c r="BS360" s="6"/>
      <c r="BT360" s="6"/>
      <c r="BU360" s="6"/>
      <c r="BV360" s="6"/>
      <c r="BW360" s="6"/>
      <c r="BX360" s="6"/>
      <c r="BY360" s="6"/>
      <c r="BZ360" s="6"/>
      <c r="CA360" s="6"/>
      <c r="CB360" s="6"/>
      <c r="CC360" s="6"/>
      <c r="CD360" s="6"/>
      <c r="CE360" s="6"/>
      <c r="CF360" s="6"/>
    </row>
    <row r="361" spans="4:84">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c r="AZ361" s="6"/>
      <c r="BA361" s="6"/>
      <c r="BB361" s="6"/>
      <c r="BC361" s="6"/>
      <c r="BD361" s="6"/>
      <c r="BE361" s="6"/>
      <c r="BF361" s="6"/>
      <c r="BG361" s="6"/>
      <c r="BH361" s="6"/>
      <c r="BI361" s="6"/>
      <c r="BJ361" s="6"/>
      <c r="BK361" s="6"/>
      <c r="BL361" s="6"/>
      <c r="BM361" s="6"/>
      <c r="BN361" s="6"/>
      <c r="BO361" s="6"/>
      <c r="BP361" s="6"/>
      <c r="BQ361" s="6"/>
      <c r="BR361" s="6"/>
      <c r="BS361" s="6"/>
      <c r="BT361" s="6"/>
      <c r="BU361" s="6"/>
      <c r="BV361" s="6"/>
      <c r="BW361" s="6"/>
      <c r="BX361" s="6"/>
      <c r="BY361" s="6"/>
      <c r="BZ361" s="6"/>
      <c r="CA361" s="6"/>
      <c r="CB361" s="6"/>
      <c r="CC361" s="6"/>
      <c r="CD361" s="6"/>
      <c r="CE361" s="6"/>
      <c r="CF361" s="6"/>
    </row>
    <row r="362" spans="4:84">
      <c r="D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6"/>
      <c r="AX362" s="6"/>
      <c r="AY362" s="6"/>
      <c r="AZ362" s="6"/>
      <c r="BA362" s="6"/>
      <c r="BB362" s="6"/>
      <c r="BC362" s="6"/>
      <c r="BD362" s="6"/>
      <c r="BE362" s="6"/>
      <c r="BF362" s="6"/>
      <c r="BG362" s="6"/>
      <c r="BH362" s="6"/>
      <c r="BI362" s="6"/>
      <c r="BJ362" s="6"/>
      <c r="BK362" s="6"/>
      <c r="BL362" s="6"/>
      <c r="BM362" s="6"/>
      <c r="BN362" s="6"/>
      <c r="BO362" s="6"/>
      <c r="BP362" s="6"/>
      <c r="BQ362" s="6"/>
      <c r="BR362" s="6"/>
      <c r="BS362" s="6"/>
      <c r="BT362" s="6"/>
      <c r="BU362" s="6"/>
      <c r="BV362" s="6"/>
      <c r="BW362" s="6"/>
      <c r="BX362" s="6"/>
      <c r="BY362" s="6"/>
      <c r="BZ362" s="6"/>
      <c r="CA362" s="6"/>
      <c r="CB362" s="6"/>
      <c r="CC362" s="6"/>
      <c r="CD362" s="6"/>
      <c r="CE362" s="6"/>
      <c r="CF362" s="6"/>
    </row>
    <row r="363" spans="4:84">
      <c r="D363" s="6"/>
      <c r="E363" s="6"/>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c r="AU363" s="6"/>
      <c r="AV363" s="6"/>
      <c r="AW363" s="6"/>
      <c r="AX363" s="6"/>
      <c r="AY363" s="6"/>
      <c r="AZ363" s="6"/>
      <c r="BA363" s="6"/>
      <c r="BB363" s="6"/>
      <c r="BC363" s="6"/>
      <c r="BD363" s="6"/>
      <c r="BE363" s="6"/>
      <c r="BF363" s="6"/>
      <c r="BG363" s="6"/>
      <c r="BH363" s="6"/>
      <c r="BI363" s="6"/>
      <c r="BJ363" s="6"/>
      <c r="BK363" s="6"/>
      <c r="BL363" s="6"/>
      <c r="BM363" s="6"/>
      <c r="BN363" s="6"/>
      <c r="BO363" s="6"/>
      <c r="BP363" s="6"/>
      <c r="BQ363" s="6"/>
      <c r="BR363" s="6"/>
      <c r="BS363" s="6"/>
      <c r="BT363" s="6"/>
      <c r="BU363" s="6"/>
      <c r="BV363" s="6"/>
      <c r="BW363" s="6"/>
      <c r="BX363" s="6"/>
      <c r="BY363" s="6"/>
      <c r="BZ363" s="6"/>
      <c r="CA363" s="6"/>
      <c r="CB363" s="6"/>
      <c r="CC363" s="6"/>
      <c r="CD363" s="6"/>
      <c r="CE363" s="6"/>
      <c r="CF363" s="6"/>
    </row>
    <row r="364" spans="4:84">
      <c r="D364" s="6"/>
      <c r="E364" s="6"/>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c r="AU364" s="6"/>
      <c r="AV364" s="6"/>
      <c r="AW364" s="6"/>
      <c r="AX364" s="6"/>
      <c r="AY364" s="6"/>
      <c r="AZ364" s="6"/>
      <c r="BA364" s="6"/>
      <c r="BB364" s="6"/>
      <c r="BC364" s="6"/>
      <c r="BD364" s="6"/>
      <c r="BE364" s="6"/>
      <c r="BF364" s="6"/>
      <c r="BG364" s="6"/>
      <c r="BH364" s="6"/>
      <c r="BI364" s="6"/>
      <c r="BJ364" s="6"/>
      <c r="BK364" s="6"/>
      <c r="BL364" s="6"/>
      <c r="BM364" s="6"/>
      <c r="BN364" s="6"/>
      <c r="BO364" s="6"/>
      <c r="BP364" s="6"/>
      <c r="BQ364" s="6"/>
      <c r="BR364" s="6"/>
      <c r="BS364" s="6"/>
      <c r="BT364" s="6"/>
      <c r="BU364" s="6"/>
      <c r="BV364" s="6"/>
      <c r="BW364" s="6"/>
      <c r="BX364" s="6"/>
      <c r="BY364" s="6"/>
      <c r="BZ364" s="6"/>
      <c r="CA364" s="6"/>
      <c r="CB364" s="6"/>
      <c r="CC364" s="6"/>
      <c r="CD364" s="6"/>
      <c r="CE364" s="6"/>
      <c r="CF364" s="6"/>
    </row>
    <row r="365" spans="4:84">
      <c r="D365" s="6"/>
      <c r="E365" s="6"/>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c r="AU365" s="6"/>
      <c r="AV365" s="6"/>
      <c r="AW365" s="6"/>
      <c r="AX365" s="6"/>
      <c r="AY365" s="6"/>
      <c r="AZ365" s="6"/>
      <c r="BA365" s="6"/>
      <c r="BB365" s="6"/>
      <c r="BC365" s="6"/>
      <c r="BD365" s="6"/>
      <c r="BE365" s="6"/>
      <c r="BF365" s="6"/>
      <c r="BG365" s="6"/>
      <c r="BH365" s="6"/>
      <c r="BI365" s="6"/>
      <c r="BJ365" s="6"/>
      <c r="BK365" s="6"/>
      <c r="BL365" s="6"/>
      <c r="BM365" s="6"/>
      <c r="BN365" s="6"/>
      <c r="BO365" s="6"/>
      <c r="BP365" s="6"/>
      <c r="BQ365" s="6"/>
      <c r="BR365" s="6"/>
      <c r="BS365" s="6"/>
      <c r="BT365" s="6"/>
      <c r="BU365" s="6"/>
      <c r="BV365" s="6"/>
      <c r="BW365" s="6"/>
      <c r="BX365" s="6"/>
      <c r="BY365" s="6"/>
      <c r="BZ365" s="6"/>
      <c r="CA365" s="6"/>
      <c r="CB365" s="6"/>
      <c r="CC365" s="6"/>
      <c r="CD365" s="6"/>
      <c r="CE365" s="6"/>
      <c r="CF365" s="6"/>
    </row>
    <row r="366" spans="4:84">
      <c r="D366" s="6"/>
      <c r="E366" s="6"/>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c r="AU366" s="6"/>
      <c r="AV366" s="6"/>
      <c r="AW366" s="6"/>
      <c r="AX366" s="6"/>
      <c r="AY366" s="6"/>
      <c r="AZ366" s="6"/>
      <c r="BA366" s="6"/>
      <c r="BB366" s="6"/>
      <c r="BC366" s="6"/>
      <c r="BD366" s="6"/>
      <c r="BE366" s="6"/>
      <c r="BF366" s="6"/>
      <c r="BG366" s="6"/>
      <c r="BH366" s="6"/>
      <c r="BI366" s="6"/>
      <c r="BJ366" s="6"/>
      <c r="BK366" s="6"/>
      <c r="BL366" s="6"/>
      <c r="BM366" s="6"/>
      <c r="BN366" s="6"/>
      <c r="BO366" s="6"/>
      <c r="BP366" s="6"/>
      <c r="BQ366" s="6"/>
      <c r="BR366" s="6"/>
      <c r="BS366" s="6"/>
      <c r="BT366" s="6"/>
      <c r="BU366" s="6"/>
      <c r="BV366" s="6"/>
      <c r="BW366" s="6"/>
      <c r="BX366" s="6"/>
      <c r="BY366" s="6"/>
      <c r="BZ366" s="6"/>
      <c r="CA366" s="6"/>
      <c r="CB366" s="6"/>
      <c r="CC366" s="6"/>
      <c r="CD366" s="6"/>
      <c r="CE366" s="6"/>
      <c r="CF366" s="6"/>
    </row>
    <row r="367" spans="4:84">
      <c r="D367" s="6"/>
      <c r="E367" s="6"/>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c r="AU367" s="6"/>
      <c r="AV367" s="6"/>
      <c r="AW367" s="6"/>
      <c r="AX367" s="6"/>
      <c r="AY367" s="6"/>
      <c r="AZ367" s="6"/>
      <c r="BA367" s="6"/>
      <c r="BB367" s="6"/>
      <c r="BC367" s="6"/>
      <c r="BD367" s="6"/>
      <c r="BE367" s="6"/>
      <c r="BF367" s="6"/>
      <c r="BG367" s="6"/>
      <c r="BH367" s="6"/>
      <c r="BI367" s="6"/>
      <c r="BJ367" s="6"/>
      <c r="BK367" s="6"/>
      <c r="BL367" s="6"/>
      <c r="BM367" s="6"/>
      <c r="BN367" s="6"/>
      <c r="BO367" s="6"/>
      <c r="BP367" s="6"/>
      <c r="BQ367" s="6"/>
      <c r="BR367" s="6"/>
      <c r="BS367" s="6"/>
      <c r="BT367" s="6"/>
      <c r="BU367" s="6"/>
      <c r="BV367" s="6"/>
      <c r="BW367" s="6"/>
      <c r="BX367" s="6"/>
      <c r="BY367" s="6"/>
      <c r="BZ367" s="6"/>
      <c r="CA367" s="6"/>
      <c r="CB367" s="6"/>
      <c r="CC367" s="6"/>
      <c r="CD367" s="6"/>
      <c r="CE367" s="6"/>
      <c r="CF367" s="6"/>
    </row>
    <row r="368" spans="4:84">
      <c r="D368" s="6"/>
      <c r="E368" s="6"/>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c r="AU368" s="6"/>
      <c r="AV368" s="6"/>
      <c r="AW368" s="6"/>
      <c r="AX368" s="6"/>
      <c r="AY368" s="6"/>
      <c r="AZ368" s="6"/>
      <c r="BA368" s="6"/>
      <c r="BB368" s="6"/>
      <c r="BC368" s="6"/>
      <c r="BD368" s="6"/>
      <c r="BE368" s="6"/>
      <c r="BF368" s="6"/>
      <c r="BG368" s="6"/>
      <c r="BH368" s="6"/>
      <c r="BI368" s="6"/>
      <c r="BJ368" s="6"/>
      <c r="BK368" s="6"/>
      <c r="BL368" s="6"/>
      <c r="BM368" s="6"/>
      <c r="BN368" s="6"/>
      <c r="BO368" s="6"/>
      <c r="BP368" s="6"/>
      <c r="BQ368" s="6"/>
      <c r="BR368" s="6"/>
      <c r="BS368" s="6"/>
      <c r="BT368" s="6"/>
      <c r="BU368" s="6"/>
      <c r="BV368" s="6"/>
      <c r="BW368" s="6"/>
      <c r="BX368" s="6"/>
      <c r="BY368" s="6"/>
      <c r="BZ368" s="6"/>
      <c r="CA368" s="6"/>
      <c r="CB368" s="6"/>
      <c r="CC368" s="6"/>
      <c r="CD368" s="6"/>
      <c r="CE368" s="6"/>
      <c r="CF368" s="6"/>
    </row>
    <row r="369" spans="4:84">
      <c r="D369" s="6"/>
      <c r="E369" s="6"/>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c r="AU369" s="6"/>
      <c r="AV369" s="6"/>
      <c r="AW369" s="6"/>
      <c r="AX369" s="6"/>
      <c r="AY369" s="6"/>
      <c r="AZ369" s="6"/>
      <c r="BA369" s="6"/>
      <c r="BB369" s="6"/>
      <c r="BC369" s="6"/>
      <c r="BD369" s="6"/>
      <c r="BE369" s="6"/>
      <c r="BF369" s="6"/>
      <c r="BG369" s="6"/>
      <c r="BH369" s="6"/>
      <c r="BI369" s="6"/>
      <c r="BJ369" s="6"/>
      <c r="BK369" s="6"/>
      <c r="BL369" s="6"/>
      <c r="BM369" s="6"/>
      <c r="BN369" s="6"/>
      <c r="BO369" s="6"/>
      <c r="BP369" s="6"/>
      <c r="BQ369" s="6"/>
      <c r="BR369" s="6"/>
      <c r="BS369" s="6"/>
      <c r="BT369" s="6"/>
      <c r="BU369" s="6"/>
      <c r="BV369" s="6"/>
      <c r="BW369" s="6"/>
      <c r="BX369" s="6"/>
      <c r="BY369" s="6"/>
      <c r="BZ369" s="6"/>
      <c r="CA369" s="6"/>
      <c r="CB369" s="6"/>
      <c r="CC369" s="6"/>
      <c r="CD369" s="6"/>
      <c r="CE369" s="6"/>
      <c r="CF369" s="6"/>
    </row>
    <row r="370" spans="4:84">
      <c r="D370" s="6"/>
      <c r="E370" s="6"/>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c r="AU370" s="6"/>
      <c r="AV370" s="6"/>
      <c r="AW370" s="6"/>
      <c r="AX370" s="6"/>
      <c r="AY370" s="6"/>
      <c r="AZ370" s="6"/>
      <c r="BA370" s="6"/>
      <c r="BB370" s="6"/>
      <c r="BC370" s="6"/>
      <c r="BD370" s="6"/>
      <c r="BE370" s="6"/>
      <c r="BF370" s="6"/>
      <c r="BG370" s="6"/>
      <c r="BH370" s="6"/>
      <c r="BI370" s="6"/>
      <c r="BJ370" s="6"/>
      <c r="BK370" s="6"/>
      <c r="BL370" s="6"/>
      <c r="BM370" s="6"/>
      <c r="BN370" s="6"/>
      <c r="BO370" s="6"/>
      <c r="BP370" s="6"/>
      <c r="BQ370" s="6"/>
      <c r="BR370" s="6"/>
      <c r="BS370" s="6"/>
      <c r="BT370" s="6"/>
      <c r="BU370" s="6"/>
      <c r="BV370" s="6"/>
      <c r="BW370" s="6"/>
      <c r="BX370" s="6"/>
      <c r="BY370" s="6"/>
      <c r="BZ370" s="6"/>
      <c r="CA370" s="6"/>
      <c r="CB370" s="6"/>
      <c r="CC370" s="6"/>
      <c r="CD370" s="6"/>
      <c r="CE370" s="6"/>
      <c r="CF370" s="6"/>
    </row>
    <row r="371" spans="4:84">
      <c r="D371" s="6"/>
      <c r="E371" s="6"/>
      <c r="F371" s="6"/>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c r="AU371" s="6"/>
      <c r="AV371" s="6"/>
      <c r="AW371" s="6"/>
      <c r="AX371" s="6"/>
      <c r="AY371" s="6"/>
      <c r="AZ371" s="6"/>
      <c r="BA371" s="6"/>
      <c r="BB371" s="6"/>
      <c r="BC371" s="6"/>
      <c r="BD371" s="6"/>
      <c r="BE371" s="6"/>
      <c r="BF371" s="6"/>
      <c r="BG371" s="6"/>
      <c r="BH371" s="6"/>
      <c r="BI371" s="6"/>
      <c r="BJ371" s="6"/>
      <c r="BK371" s="6"/>
      <c r="BL371" s="6"/>
      <c r="BM371" s="6"/>
      <c r="BN371" s="6"/>
      <c r="BO371" s="6"/>
      <c r="BP371" s="6"/>
      <c r="BQ371" s="6"/>
      <c r="BR371" s="6"/>
      <c r="BS371" s="6"/>
      <c r="BT371" s="6"/>
      <c r="BU371" s="6"/>
      <c r="BV371" s="6"/>
      <c r="BW371" s="6"/>
      <c r="BX371" s="6"/>
      <c r="BY371" s="6"/>
      <c r="BZ371" s="6"/>
      <c r="CA371" s="6"/>
      <c r="CB371" s="6"/>
      <c r="CC371" s="6"/>
      <c r="CD371" s="6"/>
      <c r="CE371" s="6"/>
      <c r="CF371" s="6"/>
    </row>
    <row r="372" spans="4:84">
      <c r="D372" s="6"/>
      <c r="E372" s="6"/>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c r="AU372" s="6"/>
      <c r="AV372" s="6"/>
      <c r="AW372" s="6"/>
      <c r="AX372" s="6"/>
      <c r="AY372" s="6"/>
      <c r="AZ372" s="6"/>
      <c r="BA372" s="6"/>
      <c r="BB372" s="6"/>
      <c r="BC372" s="6"/>
      <c r="BD372" s="6"/>
      <c r="BE372" s="6"/>
      <c r="BF372" s="6"/>
      <c r="BG372" s="6"/>
      <c r="BH372" s="6"/>
      <c r="BI372" s="6"/>
      <c r="BJ372" s="6"/>
      <c r="BK372" s="6"/>
      <c r="BL372" s="6"/>
      <c r="BM372" s="6"/>
      <c r="BN372" s="6"/>
      <c r="BO372" s="6"/>
      <c r="BP372" s="6"/>
      <c r="BQ372" s="6"/>
      <c r="BR372" s="6"/>
      <c r="BS372" s="6"/>
      <c r="BT372" s="6"/>
      <c r="BU372" s="6"/>
      <c r="BV372" s="6"/>
      <c r="BW372" s="6"/>
      <c r="BX372" s="6"/>
      <c r="BY372" s="6"/>
      <c r="BZ372" s="6"/>
      <c r="CA372" s="6"/>
      <c r="CB372" s="6"/>
      <c r="CC372" s="6"/>
      <c r="CD372" s="6"/>
      <c r="CE372" s="6"/>
      <c r="CF372" s="6"/>
    </row>
    <row r="373" spans="4:84">
      <c r="D373" s="6"/>
      <c r="E373" s="6"/>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c r="AU373" s="6"/>
      <c r="AV373" s="6"/>
      <c r="AW373" s="6"/>
      <c r="AX373" s="6"/>
      <c r="AY373" s="6"/>
      <c r="AZ373" s="6"/>
      <c r="BA373" s="6"/>
      <c r="BB373" s="6"/>
      <c r="BC373" s="6"/>
      <c r="BD373" s="6"/>
      <c r="BE373" s="6"/>
      <c r="BF373" s="6"/>
      <c r="BG373" s="6"/>
      <c r="BH373" s="6"/>
      <c r="BI373" s="6"/>
      <c r="BJ373" s="6"/>
      <c r="BK373" s="6"/>
      <c r="BL373" s="6"/>
      <c r="BM373" s="6"/>
      <c r="BN373" s="6"/>
      <c r="BO373" s="6"/>
      <c r="BP373" s="6"/>
      <c r="BQ373" s="6"/>
      <c r="BR373" s="6"/>
      <c r="BS373" s="6"/>
      <c r="BT373" s="6"/>
      <c r="BU373" s="6"/>
      <c r="BV373" s="6"/>
      <c r="BW373" s="6"/>
      <c r="BX373" s="6"/>
      <c r="BY373" s="6"/>
      <c r="BZ373" s="6"/>
      <c r="CA373" s="6"/>
      <c r="CB373" s="6"/>
      <c r="CC373" s="6"/>
      <c r="CD373" s="6"/>
      <c r="CE373" s="6"/>
      <c r="CF373" s="6"/>
    </row>
    <row r="374" spans="4:84">
      <c r="D374" s="6"/>
      <c r="E374" s="6"/>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c r="AU374" s="6"/>
      <c r="AV374" s="6"/>
      <c r="AW374" s="6"/>
      <c r="AX374" s="6"/>
      <c r="AY374" s="6"/>
      <c r="AZ374" s="6"/>
      <c r="BA374" s="6"/>
      <c r="BB374" s="6"/>
      <c r="BC374" s="6"/>
      <c r="BD374" s="6"/>
      <c r="BE374" s="6"/>
      <c r="BF374" s="6"/>
      <c r="BG374" s="6"/>
      <c r="BH374" s="6"/>
      <c r="BI374" s="6"/>
      <c r="BJ374" s="6"/>
      <c r="BK374" s="6"/>
      <c r="BL374" s="6"/>
      <c r="BM374" s="6"/>
      <c r="BN374" s="6"/>
      <c r="BO374" s="6"/>
      <c r="BP374" s="6"/>
      <c r="BQ374" s="6"/>
      <c r="BR374" s="6"/>
      <c r="BS374" s="6"/>
      <c r="BT374" s="6"/>
      <c r="BU374" s="6"/>
      <c r="BV374" s="6"/>
      <c r="BW374" s="6"/>
      <c r="BX374" s="6"/>
      <c r="BY374" s="6"/>
      <c r="BZ374" s="6"/>
      <c r="CA374" s="6"/>
      <c r="CB374" s="6"/>
      <c r="CC374" s="6"/>
      <c r="CD374" s="6"/>
      <c r="CE374" s="6"/>
      <c r="CF374" s="6"/>
    </row>
    <row r="375" spans="4:84">
      <c r="D375" s="6"/>
      <c r="E375" s="6"/>
      <c r="F375" s="6"/>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c r="AU375" s="6"/>
      <c r="AV375" s="6"/>
      <c r="AW375" s="6"/>
      <c r="AX375" s="6"/>
      <c r="AY375" s="6"/>
      <c r="AZ375" s="6"/>
      <c r="BA375" s="6"/>
      <c r="BB375" s="6"/>
      <c r="BC375" s="6"/>
      <c r="BD375" s="6"/>
      <c r="BE375" s="6"/>
      <c r="BF375" s="6"/>
      <c r="BG375" s="6"/>
      <c r="BH375" s="6"/>
      <c r="BI375" s="6"/>
      <c r="BJ375" s="6"/>
      <c r="BK375" s="6"/>
      <c r="BL375" s="6"/>
      <c r="BM375" s="6"/>
      <c r="BN375" s="6"/>
      <c r="BO375" s="6"/>
      <c r="BP375" s="6"/>
      <c r="BQ375" s="6"/>
      <c r="BR375" s="6"/>
      <c r="BS375" s="6"/>
      <c r="BT375" s="6"/>
      <c r="BU375" s="6"/>
      <c r="BV375" s="6"/>
      <c r="BW375" s="6"/>
      <c r="BX375" s="6"/>
      <c r="BY375" s="6"/>
      <c r="BZ375" s="6"/>
      <c r="CA375" s="6"/>
      <c r="CB375" s="6"/>
      <c r="CC375" s="6"/>
      <c r="CD375" s="6"/>
      <c r="CE375" s="6"/>
      <c r="CF375" s="6"/>
    </row>
    <row r="376" spans="4:84">
      <c r="D376" s="6"/>
      <c r="E376" s="6"/>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c r="AU376" s="6"/>
      <c r="AV376" s="6"/>
      <c r="AW376" s="6"/>
      <c r="AX376" s="6"/>
      <c r="AY376" s="6"/>
      <c r="AZ376" s="6"/>
      <c r="BA376" s="6"/>
      <c r="BB376" s="6"/>
      <c r="BC376" s="6"/>
      <c r="BD376" s="6"/>
      <c r="BE376" s="6"/>
      <c r="BF376" s="6"/>
      <c r="BG376" s="6"/>
      <c r="BH376" s="6"/>
      <c r="BI376" s="6"/>
      <c r="BJ376" s="6"/>
      <c r="BK376" s="6"/>
      <c r="BL376" s="6"/>
      <c r="BM376" s="6"/>
      <c r="BN376" s="6"/>
      <c r="BO376" s="6"/>
      <c r="BP376" s="6"/>
      <c r="BQ376" s="6"/>
      <c r="BR376" s="6"/>
      <c r="BS376" s="6"/>
      <c r="BT376" s="6"/>
      <c r="BU376" s="6"/>
      <c r="BV376" s="6"/>
      <c r="BW376" s="6"/>
      <c r="BX376" s="6"/>
      <c r="BY376" s="6"/>
      <c r="BZ376" s="6"/>
      <c r="CA376" s="6"/>
      <c r="CB376" s="6"/>
      <c r="CC376" s="6"/>
      <c r="CD376" s="6"/>
      <c r="CE376" s="6"/>
      <c r="CF376" s="6"/>
    </row>
    <row r="377" spans="4:84">
      <c r="D377" s="6"/>
      <c r="E377" s="6"/>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c r="AU377" s="6"/>
      <c r="AV377" s="6"/>
      <c r="AW377" s="6"/>
      <c r="AX377" s="6"/>
      <c r="AY377" s="6"/>
      <c r="AZ377" s="6"/>
      <c r="BA377" s="6"/>
      <c r="BB377" s="6"/>
      <c r="BC377" s="6"/>
      <c r="BD377" s="6"/>
      <c r="BE377" s="6"/>
      <c r="BF377" s="6"/>
      <c r="BG377" s="6"/>
      <c r="BH377" s="6"/>
      <c r="BI377" s="6"/>
      <c r="BJ377" s="6"/>
      <c r="BK377" s="6"/>
      <c r="BL377" s="6"/>
      <c r="BM377" s="6"/>
      <c r="BN377" s="6"/>
      <c r="BO377" s="6"/>
      <c r="BP377" s="6"/>
      <c r="BQ377" s="6"/>
      <c r="BR377" s="6"/>
      <c r="BS377" s="6"/>
      <c r="BT377" s="6"/>
      <c r="BU377" s="6"/>
      <c r="BV377" s="6"/>
      <c r="BW377" s="6"/>
      <c r="BX377" s="6"/>
      <c r="BY377" s="6"/>
      <c r="BZ377" s="6"/>
      <c r="CA377" s="6"/>
      <c r="CB377" s="6"/>
      <c r="CC377" s="6"/>
      <c r="CD377" s="6"/>
      <c r="CE377" s="6"/>
      <c r="CF377" s="6"/>
    </row>
    <row r="378" spans="4:84">
      <c r="D378" s="6"/>
      <c r="E378" s="6"/>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c r="AU378" s="6"/>
      <c r="AV378" s="6"/>
      <c r="AW378" s="6"/>
      <c r="AX378" s="6"/>
      <c r="AY378" s="6"/>
      <c r="AZ378" s="6"/>
      <c r="BA378" s="6"/>
      <c r="BB378" s="6"/>
      <c r="BC378" s="6"/>
      <c r="BD378" s="6"/>
      <c r="BE378" s="6"/>
      <c r="BF378" s="6"/>
      <c r="BG378" s="6"/>
      <c r="BH378" s="6"/>
      <c r="BI378" s="6"/>
      <c r="BJ378" s="6"/>
      <c r="BK378" s="6"/>
      <c r="BL378" s="6"/>
      <c r="BM378" s="6"/>
      <c r="BN378" s="6"/>
      <c r="BO378" s="6"/>
      <c r="BP378" s="6"/>
      <c r="BQ378" s="6"/>
      <c r="BR378" s="6"/>
      <c r="BS378" s="6"/>
      <c r="BT378" s="6"/>
      <c r="BU378" s="6"/>
      <c r="BV378" s="6"/>
      <c r="BW378" s="6"/>
      <c r="BX378" s="6"/>
      <c r="BY378" s="6"/>
      <c r="BZ378" s="6"/>
      <c r="CA378" s="6"/>
      <c r="CB378" s="6"/>
      <c r="CC378" s="6"/>
      <c r="CD378" s="6"/>
      <c r="CE378" s="6"/>
      <c r="CF378" s="6"/>
    </row>
    <row r="379" spans="4:84">
      <c r="D379" s="6"/>
      <c r="E379" s="6"/>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c r="AU379" s="6"/>
      <c r="AV379" s="6"/>
      <c r="AW379" s="6"/>
      <c r="AX379" s="6"/>
      <c r="AY379" s="6"/>
      <c r="AZ379" s="6"/>
      <c r="BA379" s="6"/>
      <c r="BB379" s="6"/>
      <c r="BC379" s="6"/>
      <c r="BD379" s="6"/>
      <c r="BE379" s="6"/>
      <c r="BF379" s="6"/>
      <c r="BG379" s="6"/>
      <c r="BH379" s="6"/>
      <c r="BI379" s="6"/>
      <c r="BJ379" s="6"/>
      <c r="BK379" s="6"/>
      <c r="BL379" s="6"/>
      <c r="BM379" s="6"/>
      <c r="BN379" s="6"/>
      <c r="BO379" s="6"/>
      <c r="BP379" s="6"/>
      <c r="BQ379" s="6"/>
      <c r="BR379" s="6"/>
      <c r="BS379" s="6"/>
      <c r="BT379" s="6"/>
      <c r="BU379" s="6"/>
      <c r="BV379" s="6"/>
      <c r="BW379" s="6"/>
      <c r="BX379" s="6"/>
      <c r="BY379" s="6"/>
      <c r="BZ379" s="6"/>
      <c r="CA379" s="6"/>
      <c r="CB379" s="6"/>
      <c r="CC379" s="6"/>
      <c r="CD379" s="6"/>
      <c r="CE379" s="6"/>
      <c r="CF379" s="6"/>
    </row>
    <row r="380" spans="4:84">
      <c r="D380" s="6"/>
      <c r="E380" s="6"/>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c r="AU380" s="6"/>
      <c r="AV380" s="6"/>
      <c r="AW380" s="6"/>
      <c r="AX380" s="6"/>
      <c r="AY380" s="6"/>
      <c r="AZ380" s="6"/>
      <c r="BA380" s="6"/>
      <c r="BB380" s="6"/>
      <c r="BC380" s="6"/>
      <c r="BD380" s="6"/>
      <c r="BE380" s="6"/>
      <c r="BF380" s="6"/>
      <c r="BG380" s="6"/>
      <c r="BH380" s="6"/>
      <c r="BI380" s="6"/>
      <c r="BJ380" s="6"/>
      <c r="BK380" s="6"/>
      <c r="BL380" s="6"/>
      <c r="BM380" s="6"/>
      <c r="BN380" s="6"/>
      <c r="BO380" s="6"/>
      <c r="BP380" s="6"/>
      <c r="BQ380" s="6"/>
      <c r="BR380" s="6"/>
      <c r="BS380" s="6"/>
      <c r="BT380" s="6"/>
      <c r="BU380" s="6"/>
      <c r="BV380" s="6"/>
      <c r="BW380" s="6"/>
      <c r="BX380" s="6"/>
      <c r="BY380" s="6"/>
      <c r="BZ380" s="6"/>
      <c r="CA380" s="6"/>
      <c r="CB380" s="6"/>
      <c r="CC380" s="6"/>
      <c r="CD380" s="6"/>
      <c r="CE380" s="6"/>
      <c r="CF380" s="6"/>
    </row>
    <row r="381" spans="4:84">
      <c r="D381" s="6"/>
      <c r="E381" s="6"/>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c r="AU381" s="6"/>
      <c r="AV381" s="6"/>
      <c r="AW381" s="6"/>
      <c r="AX381" s="6"/>
      <c r="AY381" s="6"/>
      <c r="AZ381" s="6"/>
      <c r="BA381" s="6"/>
      <c r="BB381" s="6"/>
      <c r="BC381" s="6"/>
      <c r="BD381" s="6"/>
      <c r="BE381" s="6"/>
      <c r="BF381" s="6"/>
      <c r="BG381" s="6"/>
      <c r="BH381" s="6"/>
      <c r="BI381" s="6"/>
      <c r="BJ381" s="6"/>
      <c r="BK381" s="6"/>
      <c r="BL381" s="6"/>
      <c r="BM381" s="6"/>
      <c r="BN381" s="6"/>
      <c r="BO381" s="6"/>
      <c r="BP381" s="6"/>
      <c r="BQ381" s="6"/>
      <c r="BR381" s="6"/>
      <c r="BS381" s="6"/>
      <c r="BT381" s="6"/>
      <c r="BU381" s="6"/>
      <c r="BV381" s="6"/>
      <c r="BW381" s="6"/>
      <c r="BX381" s="6"/>
      <c r="BY381" s="6"/>
      <c r="BZ381" s="6"/>
      <c r="CA381" s="6"/>
      <c r="CB381" s="6"/>
      <c r="CC381" s="6"/>
      <c r="CD381" s="6"/>
      <c r="CE381" s="6"/>
      <c r="CF381" s="6"/>
    </row>
    <row r="382" spans="4:84">
      <c r="D382" s="6"/>
      <c r="E382" s="6"/>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c r="AU382" s="6"/>
      <c r="AV382" s="6"/>
      <c r="AW382" s="6"/>
      <c r="AX382" s="6"/>
      <c r="AY382" s="6"/>
      <c r="AZ382" s="6"/>
      <c r="BA382" s="6"/>
      <c r="BB382" s="6"/>
      <c r="BC382" s="6"/>
      <c r="BD382" s="6"/>
      <c r="BE382" s="6"/>
      <c r="BF382" s="6"/>
      <c r="BG382" s="6"/>
      <c r="BH382" s="6"/>
      <c r="BI382" s="6"/>
      <c r="BJ382" s="6"/>
      <c r="BK382" s="6"/>
      <c r="BL382" s="6"/>
      <c r="BM382" s="6"/>
      <c r="BN382" s="6"/>
      <c r="BO382" s="6"/>
      <c r="BP382" s="6"/>
      <c r="BQ382" s="6"/>
      <c r="BR382" s="6"/>
      <c r="BS382" s="6"/>
      <c r="BT382" s="6"/>
      <c r="BU382" s="6"/>
      <c r="BV382" s="6"/>
      <c r="BW382" s="6"/>
      <c r="BX382" s="6"/>
      <c r="BY382" s="6"/>
      <c r="BZ382" s="6"/>
      <c r="CA382" s="6"/>
      <c r="CB382" s="6"/>
      <c r="CC382" s="6"/>
      <c r="CD382" s="6"/>
      <c r="CE382" s="6"/>
      <c r="CF382" s="6"/>
    </row>
    <row r="383" spans="4:84">
      <c r="D383" s="6"/>
      <c r="E383" s="6"/>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c r="AU383" s="6"/>
      <c r="AV383" s="6"/>
      <c r="AW383" s="6"/>
      <c r="AX383" s="6"/>
      <c r="AY383" s="6"/>
      <c r="AZ383" s="6"/>
      <c r="BA383" s="6"/>
      <c r="BB383" s="6"/>
      <c r="BC383" s="6"/>
      <c r="BD383" s="6"/>
      <c r="BE383" s="6"/>
      <c r="BF383" s="6"/>
      <c r="BG383" s="6"/>
      <c r="BH383" s="6"/>
      <c r="BI383" s="6"/>
      <c r="BJ383" s="6"/>
      <c r="BK383" s="6"/>
      <c r="BL383" s="6"/>
      <c r="BM383" s="6"/>
      <c r="BN383" s="6"/>
      <c r="BO383" s="6"/>
      <c r="BP383" s="6"/>
      <c r="BQ383" s="6"/>
      <c r="BR383" s="6"/>
      <c r="BS383" s="6"/>
      <c r="BT383" s="6"/>
      <c r="BU383" s="6"/>
      <c r="BV383" s="6"/>
      <c r="BW383" s="6"/>
      <c r="BX383" s="6"/>
      <c r="BY383" s="6"/>
      <c r="BZ383" s="6"/>
      <c r="CA383" s="6"/>
      <c r="CB383" s="6"/>
      <c r="CC383" s="6"/>
      <c r="CD383" s="6"/>
      <c r="CE383" s="6"/>
      <c r="CF383" s="6"/>
    </row>
    <row r="384" spans="4:84">
      <c r="D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6"/>
      <c r="AX384" s="6"/>
      <c r="AY384" s="6"/>
      <c r="AZ384" s="6"/>
      <c r="BA384" s="6"/>
      <c r="BB384" s="6"/>
      <c r="BC384" s="6"/>
      <c r="BD384" s="6"/>
      <c r="BE384" s="6"/>
      <c r="BF384" s="6"/>
      <c r="BG384" s="6"/>
      <c r="BH384" s="6"/>
      <c r="BI384" s="6"/>
      <c r="BJ384" s="6"/>
      <c r="BK384" s="6"/>
      <c r="BL384" s="6"/>
      <c r="BM384" s="6"/>
      <c r="BN384" s="6"/>
      <c r="BO384" s="6"/>
      <c r="BP384" s="6"/>
      <c r="BQ384" s="6"/>
      <c r="BR384" s="6"/>
      <c r="BS384" s="6"/>
      <c r="BT384" s="6"/>
      <c r="BU384" s="6"/>
      <c r="BV384" s="6"/>
      <c r="BW384" s="6"/>
      <c r="BX384" s="6"/>
      <c r="BY384" s="6"/>
      <c r="BZ384" s="6"/>
      <c r="CA384" s="6"/>
      <c r="CB384" s="6"/>
      <c r="CC384" s="6"/>
      <c r="CD384" s="6"/>
      <c r="CE384" s="6"/>
      <c r="CF384" s="6"/>
    </row>
    <row r="385" spans="4:84">
      <c r="D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6"/>
      <c r="AX385" s="6"/>
      <c r="AY385" s="6"/>
      <c r="AZ385" s="6"/>
      <c r="BA385" s="6"/>
      <c r="BB385" s="6"/>
      <c r="BC385" s="6"/>
      <c r="BD385" s="6"/>
      <c r="BE385" s="6"/>
      <c r="BF385" s="6"/>
      <c r="BG385" s="6"/>
      <c r="BH385" s="6"/>
      <c r="BI385" s="6"/>
      <c r="BJ385" s="6"/>
      <c r="BK385" s="6"/>
      <c r="BL385" s="6"/>
      <c r="BM385" s="6"/>
      <c r="BN385" s="6"/>
      <c r="BO385" s="6"/>
      <c r="BP385" s="6"/>
      <c r="BQ385" s="6"/>
      <c r="BR385" s="6"/>
      <c r="BS385" s="6"/>
      <c r="BT385" s="6"/>
      <c r="BU385" s="6"/>
      <c r="BV385" s="6"/>
      <c r="BW385" s="6"/>
      <c r="BX385" s="6"/>
      <c r="BY385" s="6"/>
      <c r="BZ385" s="6"/>
      <c r="CA385" s="6"/>
      <c r="CB385" s="6"/>
      <c r="CC385" s="6"/>
      <c r="CD385" s="6"/>
      <c r="CE385" s="6"/>
      <c r="CF385" s="6"/>
    </row>
    <row r="386" spans="4:84">
      <c r="D386" s="6"/>
      <c r="E386" s="6"/>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c r="AU386" s="6"/>
      <c r="AV386" s="6"/>
      <c r="AW386" s="6"/>
      <c r="AX386" s="6"/>
      <c r="AY386" s="6"/>
      <c r="AZ386" s="6"/>
      <c r="BA386" s="6"/>
      <c r="BB386" s="6"/>
      <c r="BC386" s="6"/>
      <c r="BD386" s="6"/>
      <c r="BE386" s="6"/>
      <c r="BF386" s="6"/>
      <c r="BG386" s="6"/>
      <c r="BH386" s="6"/>
      <c r="BI386" s="6"/>
      <c r="BJ386" s="6"/>
      <c r="BK386" s="6"/>
      <c r="BL386" s="6"/>
      <c r="BM386" s="6"/>
      <c r="BN386" s="6"/>
      <c r="BO386" s="6"/>
      <c r="BP386" s="6"/>
      <c r="BQ386" s="6"/>
      <c r="BR386" s="6"/>
      <c r="BS386" s="6"/>
      <c r="BT386" s="6"/>
      <c r="BU386" s="6"/>
      <c r="BV386" s="6"/>
      <c r="BW386" s="6"/>
      <c r="BX386" s="6"/>
      <c r="BY386" s="6"/>
      <c r="BZ386" s="6"/>
      <c r="CA386" s="6"/>
      <c r="CB386" s="6"/>
      <c r="CC386" s="6"/>
      <c r="CD386" s="6"/>
      <c r="CE386" s="6"/>
      <c r="CF386" s="6"/>
    </row>
    <row r="387" spans="4:84">
      <c r="D387" s="6"/>
      <c r="E387" s="6"/>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c r="AU387" s="6"/>
      <c r="AV387" s="6"/>
      <c r="AW387" s="6"/>
      <c r="AX387" s="6"/>
      <c r="AY387" s="6"/>
      <c r="AZ387" s="6"/>
      <c r="BA387" s="6"/>
      <c r="BB387" s="6"/>
      <c r="BC387" s="6"/>
      <c r="BD387" s="6"/>
      <c r="BE387" s="6"/>
      <c r="BF387" s="6"/>
      <c r="BG387" s="6"/>
      <c r="BH387" s="6"/>
      <c r="BI387" s="6"/>
      <c r="BJ387" s="6"/>
      <c r="BK387" s="6"/>
      <c r="BL387" s="6"/>
      <c r="BM387" s="6"/>
      <c r="BN387" s="6"/>
      <c r="BO387" s="6"/>
      <c r="BP387" s="6"/>
      <c r="BQ387" s="6"/>
      <c r="BR387" s="6"/>
      <c r="BS387" s="6"/>
      <c r="BT387" s="6"/>
      <c r="BU387" s="6"/>
      <c r="BV387" s="6"/>
      <c r="BW387" s="6"/>
      <c r="BX387" s="6"/>
      <c r="BY387" s="6"/>
      <c r="BZ387" s="6"/>
      <c r="CA387" s="6"/>
      <c r="CB387" s="6"/>
      <c r="CC387" s="6"/>
      <c r="CD387" s="6"/>
      <c r="CE387" s="6"/>
      <c r="CF387" s="6"/>
    </row>
    <row r="388" spans="4:84">
      <c r="D388" s="6"/>
      <c r="E388" s="6"/>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c r="AU388" s="6"/>
      <c r="AV388" s="6"/>
      <c r="AW388" s="6"/>
      <c r="AX388" s="6"/>
      <c r="AY388" s="6"/>
      <c r="AZ388" s="6"/>
      <c r="BA388" s="6"/>
      <c r="BB388" s="6"/>
      <c r="BC388" s="6"/>
      <c r="BD388" s="6"/>
      <c r="BE388" s="6"/>
      <c r="BF388" s="6"/>
      <c r="BG388" s="6"/>
      <c r="BH388" s="6"/>
      <c r="BI388" s="6"/>
      <c r="BJ388" s="6"/>
      <c r="BK388" s="6"/>
      <c r="BL388" s="6"/>
      <c r="BM388" s="6"/>
      <c r="BN388" s="6"/>
      <c r="BO388" s="6"/>
      <c r="BP388" s="6"/>
      <c r="BQ388" s="6"/>
      <c r="BR388" s="6"/>
      <c r="BS388" s="6"/>
      <c r="BT388" s="6"/>
      <c r="BU388" s="6"/>
      <c r="BV388" s="6"/>
      <c r="BW388" s="6"/>
      <c r="BX388" s="6"/>
      <c r="BY388" s="6"/>
      <c r="BZ388" s="6"/>
      <c r="CA388" s="6"/>
      <c r="CB388" s="6"/>
      <c r="CC388" s="6"/>
      <c r="CD388" s="6"/>
      <c r="CE388" s="6"/>
      <c r="CF388" s="6"/>
    </row>
    <row r="389" spans="4:84">
      <c r="D389" s="6"/>
      <c r="E389" s="6"/>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c r="AU389" s="6"/>
      <c r="AV389" s="6"/>
      <c r="AW389" s="6"/>
      <c r="AX389" s="6"/>
      <c r="AY389" s="6"/>
      <c r="AZ389" s="6"/>
      <c r="BA389" s="6"/>
      <c r="BB389" s="6"/>
      <c r="BC389" s="6"/>
      <c r="BD389" s="6"/>
      <c r="BE389" s="6"/>
      <c r="BF389" s="6"/>
      <c r="BG389" s="6"/>
      <c r="BH389" s="6"/>
      <c r="BI389" s="6"/>
      <c r="BJ389" s="6"/>
      <c r="BK389" s="6"/>
      <c r="BL389" s="6"/>
      <c r="BM389" s="6"/>
      <c r="BN389" s="6"/>
      <c r="BO389" s="6"/>
      <c r="BP389" s="6"/>
      <c r="BQ389" s="6"/>
      <c r="BR389" s="6"/>
      <c r="BS389" s="6"/>
      <c r="BT389" s="6"/>
      <c r="BU389" s="6"/>
      <c r="BV389" s="6"/>
      <c r="BW389" s="6"/>
      <c r="BX389" s="6"/>
      <c r="BY389" s="6"/>
      <c r="BZ389" s="6"/>
      <c r="CA389" s="6"/>
      <c r="CB389" s="6"/>
      <c r="CC389" s="6"/>
      <c r="CD389" s="6"/>
      <c r="CE389" s="6"/>
      <c r="CF389" s="6"/>
    </row>
    <row r="390" spans="4:84">
      <c r="D390" s="6"/>
      <c r="E390" s="6"/>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c r="AU390" s="6"/>
      <c r="AV390" s="6"/>
      <c r="AW390" s="6"/>
      <c r="AX390" s="6"/>
      <c r="AY390" s="6"/>
      <c r="AZ390" s="6"/>
      <c r="BA390" s="6"/>
      <c r="BB390" s="6"/>
      <c r="BC390" s="6"/>
      <c r="BD390" s="6"/>
      <c r="BE390" s="6"/>
      <c r="BF390" s="6"/>
      <c r="BG390" s="6"/>
      <c r="BH390" s="6"/>
      <c r="BI390" s="6"/>
      <c r="BJ390" s="6"/>
      <c r="BK390" s="6"/>
      <c r="BL390" s="6"/>
      <c r="BM390" s="6"/>
      <c r="BN390" s="6"/>
      <c r="BO390" s="6"/>
      <c r="BP390" s="6"/>
      <c r="BQ390" s="6"/>
      <c r="BR390" s="6"/>
      <c r="BS390" s="6"/>
      <c r="BT390" s="6"/>
      <c r="BU390" s="6"/>
      <c r="BV390" s="6"/>
      <c r="BW390" s="6"/>
      <c r="BX390" s="6"/>
      <c r="BY390" s="6"/>
      <c r="BZ390" s="6"/>
      <c r="CA390" s="6"/>
      <c r="CB390" s="6"/>
      <c r="CC390" s="6"/>
      <c r="CD390" s="6"/>
      <c r="CE390" s="6"/>
      <c r="CF390" s="6"/>
    </row>
    <row r="391" spans="4:84">
      <c r="D391" s="6"/>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6"/>
      <c r="AX391" s="6"/>
      <c r="AY391" s="6"/>
      <c r="AZ391" s="6"/>
      <c r="BA391" s="6"/>
      <c r="BB391" s="6"/>
      <c r="BC391" s="6"/>
      <c r="BD391" s="6"/>
      <c r="BE391" s="6"/>
      <c r="BF391" s="6"/>
      <c r="BG391" s="6"/>
      <c r="BH391" s="6"/>
      <c r="BI391" s="6"/>
      <c r="BJ391" s="6"/>
      <c r="BK391" s="6"/>
      <c r="BL391" s="6"/>
      <c r="BM391" s="6"/>
      <c r="BN391" s="6"/>
      <c r="BO391" s="6"/>
      <c r="BP391" s="6"/>
      <c r="BQ391" s="6"/>
      <c r="BR391" s="6"/>
      <c r="BS391" s="6"/>
      <c r="BT391" s="6"/>
      <c r="BU391" s="6"/>
      <c r="BV391" s="6"/>
      <c r="BW391" s="6"/>
      <c r="BX391" s="6"/>
      <c r="BY391" s="6"/>
      <c r="BZ391" s="6"/>
      <c r="CA391" s="6"/>
      <c r="CB391" s="6"/>
      <c r="CC391" s="6"/>
      <c r="CD391" s="6"/>
      <c r="CE391" s="6"/>
      <c r="CF391" s="6"/>
    </row>
    <row r="392" spans="4:84">
      <c r="D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6"/>
      <c r="AX392" s="6"/>
      <c r="AY392" s="6"/>
      <c r="AZ392" s="6"/>
      <c r="BA392" s="6"/>
      <c r="BB392" s="6"/>
      <c r="BC392" s="6"/>
      <c r="BD392" s="6"/>
      <c r="BE392" s="6"/>
      <c r="BF392" s="6"/>
      <c r="BG392" s="6"/>
      <c r="BH392" s="6"/>
      <c r="BI392" s="6"/>
      <c r="BJ392" s="6"/>
      <c r="BK392" s="6"/>
      <c r="BL392" s="6"/>
      <c r="BM392" s="6"/>
      <c r="BN392" s="6"/>
      <c r="BO392" s="6"/>
      <c r="BP392" s="6"/>
      <c r="BQ392" s="6"/>
      <c r="BR392" s="6"/>
      <c r="BS392" s="6"/>
      <c r="BT392" s="6"/>
      <c r="BU392" s="6"/>
      <c r="BV392" s="6"/>
      <c r="BW392" s="6"/>
      <c r="BX392" s="6"/>
      <c r="BY392" s="6"/>
      <c r="BZ392" s="6"/>
      <c r="CA392" s="6"/>
      <c r="CB392" s="6"/>
      <c r="CC392" s="6"/>
      <c r="CD392" s="6"/>
      <c r="CE392" s="6"/>
      <c r="CF392" s="6"/>
    </row>
    <row r="393" spans="4:84">
      <c r="D393" s="6"/>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6"/>
      <c r="AX393" s="6"/>
      <c r="AY393" s="6"/>
      <c r="AZ393" s="6"/>
      <c r="BA393" s="6"/>
      <c r="BB393" s="6"/>
      <c r="BC393" s="6"/>
      <c r="BD393" s="6"/>
      <c r="BE393" s="6"/>
      <c r="BF393" s="6"/>
      <c r="BG393" s="6"/>
      <c r="BH393" s="6"/>
      <c r="BI393" s="6"/>
      <c r="BJ393" s="6"/>
      <c r="BK393" s="6"/>
      <c r="BL393" s="6"/>
      <c r="BM393" s="6"/>
      <c r="BN393" s="6"/>
      <c r="BO393" s="6"/>
      <c r="BP393" s="6"/>
      <c r="BQ393" s="6"/>
      <c r="BR393" s="6"/>
      <c r="BS393" s="6"/>
      <c r="BT393" s="6"/>
      <c r="BU393" s="6"/>
      <c r="BV393" s="6"/>
      <c r="BW393" s="6"/>
      <c r="BX393" s="6"/>
      <c r="BY393" s="6"/>
      <c r="BZ393" s="6"/>
      <c r="CA393" s="6"/>
      <c r="CB393" s="6"/>
      <c r="CC393" s="6"/>
      <c r="CD393" s="6"/>
      <c r="CE393" s="6"/>
      <c r="CF393" s="6"/>
    </row>
    <row r="394" spans="4:84">
      <c r="D394" s="6"/>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6"/>
      <c r="AX394" s="6"/>
      <c r="AY394" s="6"/>
      <c r="AZ394" s="6"/>
      <c r="BA394" s="6"/>
      <c r="BB394" s="6"/>
      <c r="BC394" s="6"/>
      <c r="BD394" s="6"/>
      <c r="BE394" s="6"/>
      <c r="BF394" s="6"/>
      <c r="BG394" s="6"/>
      <c r="BH394" s="6"/>
      <c r="BI394" s="6"/>
      <c r="BJ394" s="6"/>
      <c r="BK394" s="6"/>
      <c r="BL394" s="6"/>
      <c r="BM394" s="6"/>
      <c r="BN394" s="6"/>
      <c r="BO394" s="6"/>
      <c r="BP394" s="6"/>
      <c r="BQ394" s="6"/>
      <c r="BR394" s="6"/>
      <c r="BS394" s="6"/>
      <c r="BT394" s="6"/>
      <c r="BU394" s="6"/>
      <c r="BV394" s="6"/>
      <c r="BW394" s="6"/>
      <c r="BX394" s="6"/>
      <c r="BY394" s="6"/>
      <c r="BZ394" s="6"/>
      <c r="CA394" s="6"/>
      <c r="CB394" s="6"/>
      <c r="CC394" s="6"/>
      <c r="CD394" s="6"/>
      <c r="CE394" s="6"/>
      <c r="CF394" s="6"/>
    </row>
    <row r="395" spans="4:84">
      <c r="D395" s="6"/>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c r="AZ395" s="6"/>
      <c r="BA395" s="6"/>
      <c r="BB395" s="6"/>
      <c r="BC395" s="6"/>
      <c r="BD395" s="6"/>
      <c r="BE395" s="6"/>
      <c r="BF395" s="6"/>
      <c r="BG395" s="6"/>
      <c r="BH395" s="6"/>
      <c r="BI395" s="6"/>
      <c r="BJ395" s="6"/>
      <c r="BK395" s="6"/>
      <c r="BL395" s="6"/>
      <c r="BM395" s="6"/>
      <c r="BN395" s="6"/>
      <c r="BO395" s="6"/>
      <c r="BP395" s="6"/>
      <c r="BQ395" s="6"/>
      <c r="BR395" s="6"/>
      <c r="BS395" s="6"/>
      <c r="BT395" s="6"/>
      <c r="BU395" s="6"/>
      <c r="BV395" s="6"/>
      <c r="BW395" s="6"/>
      <c r="BX395" s="6"/>
      <c r="BY395" s="6"/>
      <c r="BZ395" s="6"/>
      <c r="CA395" s="6"/>
      <c r="CB395" s="6"/>
      <c r="CC395" s="6"/>
      <c r="CD395" s="6"/>
      <c r="CE395" s="6"/>
      <c r="CF395" s="6"/>
    </row>
    <row r="396" spans="4:84">
      <c r="D396" s="6"/>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c r="AU396" s="6"/>
      <c r="AV396" s="6"/>
      <c r="AW396" s="6"/>
      <c r="AX396" s="6"/>
      <c r="AY396" s="6"/>
      <c r="AZ396" s="6"/>
      <c r="BA396" s="6"/>
      <c r="BB396" s="6"/>
      <c r="BC396" s="6"/>
      <c r="BD396" s="6"/>
      <c r="BE396" s="6"/>
      <c r="BF396" s="6"/>
      <c r="BG396" s="6"/>
      <c r="BH396" s="6"/>
      <c r="BI396" s="6"/>
      <c r="BJ396" s="6"/>
      <c r="BK396" s="6"/>
      <c r="BL396" s="6"/>
      <c r="BM396" s="6"/>
      <c r="BN396" s="6"/>
      <c r="BO396" s="6"/>
      <c r="BP396" s="6"/>
      <c r="BQ396" s="6"/>
      <c r="BR396" s="6"/>
      <c r="BS396" s="6"/>
      <c r="BT396" s="6"/>
      <c r="BU396" s="6"/>
      <c r="BV396" s="6"/>
      <c r="BW396" s="6"/>
      <c r="BX396" s="6"/>
      <c r="BY396" s="6"/>
      <c r="BZ396" s="6"/>
      <c r="CA396" s="6"/>
      <c r="CB396" s="6"/>
      <c r="CC396" s="6"/>
      <c r="CD396" s="6"/>
      <c r="CE396" s="6"/>
      <c r="CF396" s="6"/>
    </row>
    <row r="397" spans="4:84">
      <c r="D397" s="6"/>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6"/>
      <c r="AX397" s="6"/>
      <c r="AY397" s="6"/>
      <c r="AZ397" s="6"/>
      <c r="BA397" s="6"/>
      <c r="BB397" s="6"/>
      <c r="BC397" s="6"/>
      <c r="BD397" s="6"/>
      <c r="BE397" s="6"/>
      <c r="BF397" s="6"/>
      <c r="BG397" s="6"/>
      <c r="BH397" s="6"/>
      <c r="BI397" s="6"/>
      <c r="BJ397" s="6"/>
      <c r="BK397" s="6"/>
      <c r="BL397" s="6"/>
      <c r="BM397" s="6"/>
      <c r="BN397" s="6"/>
      <c r="BO397" s="6"/>
      <c r="BP397" s="6"/>
      <c r="BQ397" s="6"/>
      <c r="BR397" s="6"/>
      <c r="BS397" s="6"/>
      <c r="BT397" s="6"/>
      <c r="BU397" s="6"/>
      <c r="BV397" s="6"/>
      <c r="BW397" s="6"/>
      <c r="BX397" s="6"/>
      <c r="BY397" s="6"/>
      <c r="BZ397" s="6"/>
      <c r="CA397" s="6"/>
      <c r="CB397" s="6"/>
      <c r="CC397" s="6"/>
      <c r="CD397" s="6"/>
      <c r="CE397" s="6"/>
      <c r="CF397" s="6"/>
    </row>
    <row r="398" spans="4:84">
      <c r="D398" s="6"/>
      <c r="E398" s="6"/>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c r="AU398" s="6"/>
      <c r="AV398" s="6"/>
      <c r="AW398" s="6"/>
      <c r="AX398" s="6"/>
      <c r="AY398" s="6"/>
      <c r="AZ398" s="6"/>
      <c r="BA398" s="6"/>
      <c r="BB398" s="6"/>
      <c r="BC398" s="6"/>
      <c r="BD398" s="6"/>
      <c r="BE398" s="6"/>
      <c r="BF398" s="6"/>
      <c r="BG398" s="6"/>
      <c r="BH398" s="6"/>
      <c r="BI398" s="6"/>
      <c r="BJ398" s="6"/>
      <c r="BK398" s="6"/>
      <c r="BL398" s="6"/>
      <c r="BM398" s="6"/>
      <c r="BN398" s="6"/>
      <c r="BO398" s="6"/>
      <c r="BP398" s="6"/>
      <c r="BQ398" s="6"/>
      <c r="BR398" s="6"/>
      <c r="BS398" s="6"/>
      <c r="BT398" s="6"/>
      <c r="BU398" s="6"/>
      <c r="BV398" s="6"/>
      <c r="BW398" s="6"/>
      <c r="BX398" s="6"/>
      <c r="BY398" s="6"/>
      <c r="BZ398" s="6"/>
      <c r="CA398" s="6"/>
      <c r="CB398" s="6"/>
      <c r="CC398" s="6"/>
      <c r="CD398" s="6"/>
      <c r="CE398" s="6"/>
      <c r="CF398" s="6"/>
    </row>
  </sheetData>
  <pageMargins left="0.75" right="0.75" top="1" bottom="1" header="0.5" footer="0.5"/>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92D050"/>
    <pageSetUpPr autoPageBreaks="0"/>
  </sheetPr>
  <dimension ref="A1:IV398"/>
  <sheetViews>
    <sheetView topLeftCell="A224" zoomScaleNormal="100" workbookViewId="0">
      <selection activeCell="O15" sqref="O15"/>
    </sheetView>
  </sheetViews>
  <sheetFormatPr defaultRowHeight="12.75"/>
  <cols>
    <col min="1" max="1" width="29" style="4" bestFit="1" customWidth="1"/>
    <col min="2" max="2" width="14.42578125" style="4" bestFit="1" customWidth="1"/>
    <col min="3" max="4" width="17.85546875" style="4" bestFit="1" customWidth="1"/>
    <col min="5" max="5" width="12.5703125" style="4" bestFit="1" customWidth="1"/>
    <col min="6" max="6" width="10.140625" style="4" bestFit="1" customWidth="1"/>
    <col min="7" max="7" width="16.7109375" style="4" customWidth="1"/>
    <col min="8" max="8" width="12" style="4" bestFit="1" customWidth="1"/>
    <col min="9" max="9" width="11" style="4" bestFit="1" customWidth="1"/>
    <col min="10" max="10" width="11.7109375" style="4" bestFit="1" customWidth="1"/>
    <col min="11" max="11" width="12" style="4" bestFit="1" customWidth="1"/>
    <col min="12" max="12" width="14.7109375" style="4" bestFit="1" customWidth="1"/>
    <col min="13" max="13" width="16.5703125" style="4" bestFit="1" customWidth="1"/>
    <col min="14" max="14" width="12" style="4" bestFit="1" customWidth="1"/>
    <col min="15" max="15" width="25.140625" style="4" bestFit="1" customWidth="1"/>
    <col min="16" max="16" width="21.85546875" style="4" bestFit="1" customWidth="1"/>
    <col min="17" max="17" width="15.28515625" style="4" bestFit="1" customWidth="1"/>
    <col min="18" max="27" width="10.140625" style="4" bestFit="1" customWidth="1"/>
    <col min="28" max="28" width="18.7109375" style="4" customWidth="1"/>
    <col min="29" max="80" width="10.140625" style="4" bestFit="1" customWidth="1"/>
    <col min="81" max="82" width="17.85546875" style="4" bestFit="1" customWidth="1"/>
    <col min="83" max="83" width="17.85546875" style="4" customWidth="1"/>
    <col min="84" max="84" width="24.140625" style="4" customWidth="1"/>
    <col min="85" max="85" width="24.7109375" style="4" customWidth="1"/>
    <col min="86" max="102" width="15.7109375" style="4" bestFit="1" customWidth="1"/>
    <col min="103" max="103" width="20.85546875" style="4" customWidth="1"/>
    <col min="104" max="104" width="13.85546875" style="4" customWidth="1"/>
    <col min="105" max="142" width="9.140625" style="4"/>
    <col min="143" max="143" width="13.28515625" style="4" customWidth="1"/>
    <col min="144" max="16384" width="9.140625" style="4"/>
  </cols>
  <sheetData>
    <row r="1" spans="1:152">
      <c r="C1" s="156"/>
      <c r="D1" s="4" t="s">
        <v>109</v>
      </c>
      <c r="E1" s="4" t="s">
        <v>108</v>
      </c>
      <c r="F1" s="1" t="s">
        <v>3</v>
      </c>
      <c r="G1" s="4" t="s">
        <v>107</v>
      </c>
      <c r="H1" s="1" t="s">
        <v>0</v>
      </c>
      <c r="I1" s="1" t="s">
        <v>1</v>
      </c>
      <c r="J1" s="1" t="s">
        <v>2</v>
      </c>
      <c r="K1" s="2" t="s">
        <v>4</v>
      </c>
      <c r="L1" s="2" t="s">
        <v>6</v>
      </c>
      <c r="M1" s="2" t="s">
        <v>7</v>
      </c>
      <c r="N1" s="2" t="s">
        <v>5</v>
      </c>
      <c r="O1" s="2" t="s">
        <v>9</v>
      </c>
      <c r="P1" s="2" t="s">
        <v>10</v>
      </c>
      <c r="Q1" s="2" t="s">
        <v>8</v>
      </c>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3"/>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row>
    <row r="2" spans="1:152">
      <c r="A2" s="14" t="s">
        <v>20</v>
      </c>
      <c r="B2" s="14"/>
      <c r="C2" s="1"/>
      <c r="D2" t="str">
        <f>'Bond Data'!B104</f>
        <v>CTJPY1M GOVT</v>
      </c>
      <c r="E2" s="542"/>
      <c r="F2" s="542"/>
      <c r="G2"/>
      <c r="H2"/>
      <c r="I2"/>
      <c r="J2"/>
      <c r="K2"/>
      <c r="P2" s="4">
        <f t="shared" ref="P2:P16" si="0">O2/$O$28</f>
        <v>0</v>
      </c>
      <c r="Q2" s="4">
        <v>9.1666999999999998E-2</v>
      </c>
      <c r="BO2" s="3"/>
    </row>
    <row r="3" spans="1:152">
      <c r="A3" s="14" t="s">
        <v>21</v>
      </c>
      <c r="B3" s="229">
        <f>'Instructions &amp; Dashboard'!$D$45</f>
        <v>43648</v>
      </c>
      <c r="C3" s="1"/>
      <c r="D3" t="str">
        <f>'Bond Data'!B105</f>
        <v>CTJPY3M GOVT</v>
      </c>
      <c r="E3" s="542"/>
      <c r="F3" s="542" t="str">
        <f>'Bond Data'!D105</f>
        <v>9/30/2019</v>
      </c>
      <c r="G3"/>
      <c r="H3">
        <f>'Bond Data'!F105</f>
        <v>100.02775</v>
      </c>
      <c r="I3">
        <f>'Bond Data'!G105</f>
        <v>0</v>
      </c>
      <c r="J3">
        <f>'Bond Data'!H105/100</f>
        <v>0</v>
      </c>
      <c r="K3">
        <f>'Bond Data'!I105</f>
        <v>100.02775</v>
      </c>
      <c r="L3" s="4">
        <f t="shared" ref="L3:L4" si="1">YIELD($B$3,F3,J3,H3,100,1,0)</f>
        <v>-1.1349123345541501E-3</v>
      </c>
      <c r="P3" s="4">
        <v>1</v>
      </c>
      <c r="Q3" s="4">
        <v>0.59166700000000005</v>
      </c>
      <c r="BO3" s="3"/>
    </row>
    <row r="4" spans="1:152">
      <c r="A4" s="14" t="s">
        <v>46</v>
      </c>
      <c r="B4" s="14"/>
      <c r="C4" s="1"/>
      <c r="D4" t="str">
        <f>'Bond Data'!B106</f>
        <v>CTJPY6M GOVT</v>
      </c>
      <c r="E4" s="542"/>
      <c r="F4" s="542" t="str">
        <f>'Bond Data'!D106</f>
        <v>12/10/2019</v>
      </c>
      <c r="G4"/>
      <c r="H4">
        <f>'Bond Data'!F106</f>
        <v>100.0821</v>
      </c>
      <c r="I4">
        <f>'Bond Data'!G106</f>
        <v>0</v>
      </c>
      <c r="J4">
        <f>'Bond Data'!H106/100</f>
        <v>0</v>
      </c>
      <c r="K4">
        <f>'Bond Data'!I106</f>
        <v>100.0821</v>
      </c>
      <c r="L4" s="4">
        <f t="shared" si="1"/>
        <v>-1.8690983816210048E-3</v>
      </c>
      <c r="P4" s="4">
        <v>1</v>
      </c>
      <c r="Q4" s="4">
        <f>1+Q2</f>
        <v>1.0916669999999999</v>
      </c>
      <c r="BO4" s="3"/>
    </row>
    <row r="5" spans="1:152">
      <c r="A5" s="14" t="s">
        <v>50</v>
      </c>
      <c r="B5" s="238">
        <f>'Instructions &amp; Dashboard'!$D$40/100</f>
        <v>4.2000000000000003E-2</v>
      </c>
      <c r="C5" s="1"/>
      <c r="D5" t="str">
        <f>'Bond Data'!B107</f>
        <v>CTJPY12M GOVT</v>
      </c>
      <c r="E5" s="542" t="str">
        <f>'Bond Data'!C107</f>
        <v>1/1/2020</v>
      </c>
      <c r="F5" s="542" t="str">
        <f>'Bond Data'!D107</f>
        <v>7/1/2020</v>
      </c>
      <c r="G5">
        <f>'Bond Data'!E107</f>
        <v>2</v>
      </c>
      <c r="H5">
        <f>'Bond Data'!F107</f>
        <v>100.3</v>
      </c>
      <c r="I5">
        <f>'Bond Data'!G107</f>
        <v>8.2189999999999997E-4</v>
      </c>
      <c r="J5">
        <f>'Bond Data'!H107/100</f>
        <v>1E-3</v>
      </c>
      <c r="K5">
        <f>'Bond Data'!I107</f>
        <v>100.3008219</v>
      </c>
      <c r="L5" s="4">
        <f>YIELD($B$3,F5,J5,H5,100,G5,0)</f>
        <v>-2.0038430759877256E-3</v>
      </c>
      <c r="M5" s="549"/>
      <c r="N5" s="549"/>
      <c r="O5" s="4">
        <v>1</v>
      </c>
      <c r="P5" s="4">
        <v>1</v>
      </c>
      <c r="Q5" s="4">
        <f>1+Q3</f>
        <v>1.5916670000000002</v>
      </c>
      <c r="BO5" s="3"/>
    </row>
    <row r="6" spans="1:152">
      <c r="A6" s="14" t="s">
        <v>11</v>
      </c>
      <c r="B6" s="551">
        <v>-4.3135737615587137E-2</v>
      </c>
      <c r="C6" s="1"/>
      <c r="D6" t="str">
        <f>'Bond Data'!B108</f>
        <v>CTJPY2Y GOVT</v>
      </c>
      <c r="E6" s="542" t="str">
        <f>'Bond Data'!C108</f>
        <v>1/1/2020</v>
      </c>
      <c r="F6" s="542" t="str">
        <f>'Bond Data'!D108</f>
        <v>7/1/2021</v>
      </c>
      <c r="G6">
        <f>'Bond Data'!E108</f>
        <v>2</v>
      </c>
      <c r="H6">
        <f>'Bond Data'!F108</f>
        <v>100.63800000000001</v>
      </c>
      <c r="I6">
        <f>'Bond Data'!G108</f>
        <v>8.2189999999999997E-4</v>
      </c>
      <c r="J6">
        <f>'Bond Data'!H108/100</f>
        <v>1E-3</v>
      </c>
      <c r="K6">
        <f>'Bond Data'!I108</f>
        <v>100.63882190000001</v>
      </c>
      <c r="L6" s="549">
        <f t="shared" ref="L6:L16" si="2">YIELD($B$3,F6,J6,H6,100,G6,0)</f>
        <v>-2.1857227272343688E-3</v>
      </c>
      <c r="M6" s="549"/>
      <c r="N6" s="549"/>
      <c r="O6" s="4">
        <v>1</v>
      </c>
      <c r="P6" s="4">
        <v>1</v>
      </c>
      <c r="Q6" s="4">
        <f>2+Q2</f>
        <v>2.0916670000000002</v>
      </c>
      <c r="BO6" s="3"/>
    </row>
    <row r="7" spans="1:152">
      <c r="A7" s="14" t="s">
        <v>12</v>
      </c>
      <c r="B7" s="551">
        <v>-4.0009795784515072E-2</v>
      </c>
      <c r="C7" s="1"/>
      <c r="D7" t="str">
        <f>'Bond Data'!B109</f>
        <v>CTJPY3Y GOVT</v>
      </c>
      <c r="E7" s="542" t="str">
        <f>'Bond Data'!C109</f>
        <v>9/20/2019</v>
      </c>
      <c r="F7" s="542" t="str">
        <f>'Bond Data'!D109</f>
        <v>3/20/2022</v>
      </c>
      <c r="G7">
        <f>'Bond Data'!E109</f>
        <v>2</v>
      </c>
      <c r="H7">
        <f>'Bond Data'!F109</f>
        <v>103.325</v>
      </c>
      <c r="I7">
        <f>'Bond Data'!G109</f>
        <v>0.29041090000000003</v>
      </c>
      <c r="J7">
        <f>'Bond Data'!H109/100</f>
        <v>0.01</v>
      </c>
      <c r="K7">
        <f>'Bond Data'!I109</f>
        <v>103.6154109</v>
      </c>
      <c r="L7" s="549">
        <f t="shared" si="2"/>
        <v>-2.1958270848817267E-3</v>
      </c>
      <c r="M7" s="549"/>
      <c r="O7" s="4">
        <v>1</v>
      </c>
      <c r="P7" s="4">
        <f t="shared" si="0"/>
        <v>9.8740612639188485E-2</v>
      </c>
      <c r="Q7" s="4">
        <f>2+Q3</f>
        <v>2.5916670000000002</v>
      </c>
      <c r="BO7" s="3"/>
    </row>
    <row r="8" spans="1:152">
      <c r="A8" s="14" t="s">
        <v>51</v>
      </c>
      <c r="B8" s="551">
        <v>-9.0382917870018998E-3</v>
      </c>
      <c r="C8" s="1"/>
      <c r="D8" t="str">
        <f>'Bond Data'!B110</f>
        <v>CTJPY4Y GOVT</v>
      </c>
      <c r="E8" s="542" t="str">
        <f>'Bond Data'!C110</f>
        <v>9/20/2019</v>
      </c>
      <c r="F8" s="542" t="str">
        <f>'Bond Data'!D110</f>
        <v>3/20/2023</v>
      </c>
      <c r="G8">
        <f>'Bond Data'!E110</f>
        <v>2</v>
      </c>
      <c r="H8">
        <f>'Bond Data'!F110</f>
        <v>103.105</v>
      </c>
      <c r="I8">
        <f>'Bond Data'!G110</f>
        <v>0.1742465</v>
      </c>
      <c r="J8">
        <f>'Bond Data'!H110/100</f>
        <v>6.0000000000000001E-3</v>
      </c>
      <c r="K8">
        <f>'Bond Data'!I110</f>
        <v>103.2792465</v>
      </c>
      <c r="L8" s="549">
        <f t="shared" si="2"/>
        <v>-2.3134484430821301E-3</v>
      </c>
      <c r="M8" s="549"/>
      <c r="N8" s="549"/>
      <c r="O8" s="4">
        <v>1</v>
      </c>
      <c r="P8" s="4">
        <f t="shared" si="0"/>
        <v>9.8740612639188485E-2</v>
      </c>
      <c r="Q8" s="4">
        <f>3+Q2</f>
        <v>3.0916670000000002</v>
      </c>
      <c r="BO8" s="3"/>
    </row>
    <row r="9" spans="1:152">
      <c r="A9" s="14" t="s">
        <v>53</v>
      </c>
      <c r="B9" s="551">
        <v>17.961159636964524</v>
      </c>
      <c r="C9" s="1"/>
      <c r="D9" t="str">
        <f>'Bond Data'!B111</f>
        <v>CTJPY5Y GOVT</v>
      </c>
      <c r="E9" s="542" t="str">
        <f>'Bond Data'!C111</f>
        <v>9/20/2019</v>
      </c>
      <c r="F9" s="542" t="str">
        <f>'Bond Data'!D111</f>
        <v>3/20/2024</v>
      </c>
      <c r="G9">
        <f>'Bond Data'!E111</f>
        <v>2</v>
      </c>
      <c r="H9">
        <f>'Bond Data'!F111</f>
        <v>101.63149999999999</v>
      </c>
      <c r="I9">
        <f>'Bond Data'!G111</f>
        <v>2.9041000000000001E-2</v>
      </c>
      <c r="J9">
        <f>'Bond Data'!H111/100</f>
        <v>1E-3</v>
      </c>
      <c r="K9">
        <f>'Bond Data'!I111</f>
        <v>101.66054099999999</v>
      </c>
      <c r="L9" s="549">
        <f t="shared" si="2"/>
        <v>-2.4370448792182761E-3</v>
      </c>
      <c r="M9" s="549" t="e">
        <f t="shared" ref="M9:M16" si="3">MDURATION($B$3,F9,J9,L9,G9,0)</f>
        <v>#NUM!</v>
      </c>
      <c r="N9" s="549" t="e">
        <f t="shared" ref="N9:N16" si="4">DURATION($B$3,F9,J9,L9,G9,0)</f>
        <v>#NUM!</v>
      </c>
      <c r="O9" s="4">
        <v>1</v>
      </c>
      <c r="P9" s="4">
        <f t="shared" si="0"/>
        <v>9.8740612639188485E-2</v>
      </c>
      <c r="Q9" s="4">
        <f t="shared" ref="Q9:Q16" si="5">3+Q3</f>
        <v>3.5916670000000002</v>
      </c>
      <c r="BO9" s="3"/>
    </row>
    <row r="10" spans="1:152">
      <c r="A10" s="14" t="s">
        <v>52</v>
      </c>
      <c r="B10" s="551">
        <v>5.3143412402669723</v>
      </c>
      <c r="C10" s="1"/>
      <c r="D10" t="str">
        <f>'Bond Data'!B112</f>
        <v>CTJPY6Y GOVT</v>
      </c>
      <c r="E10" s="542" t="str">
        <f>'Bond Data'!C112</f>
        <v>9/20/2019</v>
      </c>
      <c r="F10" s="542" t="str">
        <f>'Bond Data'!D112</f>
        <v>3/20/2025</v>
      </c>
      <c r="G10">
        <f>'Bond Data'!E112</f>
        <v>2</v>
      </c>
      <c r="H10">
        <f>'Bond Data'!F112</f>
        <v>103.74</v>
      </c>
      <c r="I10">
        <f>'Bond Data'!G112</f>
        <v>0.1161643</v>
      </c>
      <c r="J10">
        <f>'Bond Data'!H112/100</f>
        <v>4.0000000000000001E-3</v>
      </c>
      <c r="K10">
        <f>'Bond Data'!I112</f>
        <v>103.85616429999999</v>
      </c>
      <c r="L10" s="549">
        <f t="shared" si="2"/>
        <v>-2.4916614055513495E-3</v>
      </c>
      <c r="M10" s="549" t="e">
        <f t="shared" si="3"/>
        <v>#NUM!</v>
      </c>
      <c r="N10" s="549" t="e">
        <f t="shared" si="4"/>
        <v>#NUM!</v>
      </c>
      <c r="O10" s="4">
        <v>1</v>
      </c>
      <c r="P10" s="4">
        <f t="shared" si="0"/>
        <v>9.8740612639188485E-2</v>
      </c>
      <c r="Q10" s="4">
        <f t="shared" si="5"/>
        <v>4.0916670000000002</v>
      </c>
      <c r="BO10" s="3"/>
    </row>
    <row r="11" spans="1:152">
      <c r="A11" s="14"/>
      <c r="B11" s="14"/>
      <c r="C11" s="1"/>
      <c r="D11" t="str">
        <f>'Bond Data'!B113</f>
        <v>CTJPY7Y GOVT</v>
      </c>
      <c r="E11" s="542" t="str">
        <f>'Bond Data'!C113</f>
        <v>12/20/2019</v>
      </c>
      <c r="F11" s="542" t="str">
        <f>'Bond Data'!D113</f>
        <v>6/20/2026</v>
      </c>
      <c r="G11">
        <f>'Bond Data'!E113</f>
        <v>2</v>
      </c>
      <c r="H11">
        <f>'Bond Data'!F113</f>
        <v>102.43549999999999</v>
      </c>
      <c r="I11">
        <f>'Bond Data'!G113</f>
        <v>3.8356000000000002E-3</v>
      </c>
      <c r="J11">
        <f>'Bond Data'!H113/100</f>
        <v>1E-3</v>
      </c>
      <c r="K11">
        <f>'Bond Data'!I113</f>
        <v>102.43933559999999</v>
      </c>
      <c r="L11" s="549">
        <f t="shared" si="2"/>
        <v>-2.4638587208058232E-3</v>
      </c>
      <c r="M11" s="549" t="e">
        <f t="shared" si="3"/>
        <v>#NUM!</v>
      </c>
      <c r="N11" s="549" t="e">
        <f t="shared" si="4"/>
        <v>#NUM!</v>
      </c>
      <c r="O11" s="4">
        <v>1</v>
      </c>
      <c r="P11" s="4">
        <f t="shared" si="0"/>
        <v>9.8740612639188485E-2</v>
      </c>
      <c r="Q11" s="4">
        <f t="shared" si="5"/>
        <v>4.5916670000000002</v>
      </c>
      <c r="BO11" s="3"/>
    </row>
    <row r="12" spans="1:152">
      <c r="C12" s="1"/>
      <c r="D12" t="str">
        <f>'Bond Data'!B114</f>
        <v>CTJPY8Y GOVT</v>
      </c>
      <c r="E12" s="542" t="str">
        <f>'Bond Data'!C114</f>
        <v>9/20/2019</v>
      </c>
      <c r="F12" s="542" t="str">
        <f>'Bond Data'!D114</f>
        <v>3/20/2027</v>
      </c>
      <c r="G12">
        <f>'Bond Data'!E114</f>
        <v>2</v>
      </c>
      <c r="H12">
        <f>'Bond Data'!F114</f>
        <v>102.6545</v>
      </c>
      <c r="I12">
        <f>'Bond Data'!G114</f>
        <v>2.9041000000000001E-2</v>
      </c>
      <c r="J12">
        <f>'Bond Data'!H114/100</f>
        <v>1E-3</v>
      </c>
      <c r="K12">
        <f>'Bond Data'!I114</f>
        <v>102.68354100000001</v>
      </c>
      <c r="L12" s="549">
        <f t="shared" si="2"/>
        <v>-2.406042415624306E-3</v>
      </c>
      <c r="M12" s="549" t="e">
        <f t="shared" si="3"/>
        <v>#NUM!</v>
      </c>
      <c r="N12" s="549" t="e">
        <f t="shared" si="4"/>
        <v>#NUM!</v>
      </c>
      <c r="O12" s="550">
        <v>1</v>
      </c>
      <c r="P12" s="549">
        <f t="shared" si="0"/>
        <v>9.8740612639188485E-2</v>
      </c>
      <c r="Q12" s="4">
        <f t="shared" si="5"/>
        <v>5.0916670000000002</v>
      </c>
      <c r="BO12" s="3"/>
    </row>
    <row r="13" spans="1:152">
      <c r="C13" s="1"/>
      <c r="D13" t="str">
        <f>'Bond Data'!B115</f>
        <v>CTJPY9Y GOVT</v>
      </c>
      <c r="E13" s="542" t="str">
        <f>'Bond Data'!C115</f>
        <v>9/20/2019</v>
      </c>
      <c r="F13" s="542" t="str">
        <f>'Bond Data'!D115</f>
        <v>3/20/2028</v>
      </c>
      <c r="G13">
        <f>'Bond Data'!E115</f>
        <v>2</v>
      </c>
      <c r="H13">
        <f>'Bond Data'!F115</f>
        <v>102.663</v>
      </c>
      <c r="I13">
        <f>'Bond Data'!G115</f>
        <v>2.9041000000000001E-2</v>
      </c>
      <c r="J13">
        <f>'Bond Data'!H115/100</f>
        <v>1E-3</v>
      </c>
      <c r="K13">
        <f>'Bond Data'!I115</f>
        <v>102.692041</v>
      </c>
      <c r="L13" s="549">
        <f t="shared" si="2"/>
        <v>-2.0266069474807725E-3</v>
      </c>
      <c r="M13" s="549" t="e">
        <f t="shared" si="3"/>
        <v>#NUM!</v>
      </c>
      <c r="N13" s="549" t="e">
        <f t="shared" si="4"/>
        <v>#NUM!</v>
      </c>
      <c r="O13" s="550">
        <v>1</v>
      </c>
      <c r="P13" s="549">
        <f t="shared" si="0"/>
        <v>9.8740612639188485E-2</v>
      </c>
      <c r="Q13" s="4">
        <f t="shared" si="5"/>
        <v>5.5916670000000002</v>
      </c>
      <c r="BO13" s="3"/>
    </row>
    <row r="14" spans="1:152">
      <c r="C14" s="1"/>
      <c r="D14" t="str">
        <f>'Bond Data'!B116</f>
        <v>CTJPY10Y GOVT</v>
      </c>
      <c r="E14" s="542" t="str">
        <f>'Bond Data'!C116</f>
        <v>9/20/2019</v>
      </c>
      <c r="F14" s="542" t="str">
        <f>'Bond Data'!D116</f>
        <v>3/20/2029</v>
      </c>
      <c r="G14">
        <f>'Bond Data'!E116</f>
        <v>2</v>
      </c>
      <c r="H14">
        <f>'Bond Data'!F116</f>
        <v>102.46250000000001</v>
      </c>
      <c r="I14">
        <f>'Bond Data'!G116</f>
        <v>2.9041000000000001E-2</v>
      </c>
      <c r="J14">
        <f>'Bond Data'!H116/100</f>
        <v>1E-3</v>
      </c>
      <c r="K14">
        <f>'Bond Data'!I116</f>
        <v>102.49154100000001</v>
      </c>
      <c r="L14" s="549">
        <f t="shared" si="2"/>
        <v>-1.5147363210318925E-3</v>
      </c>
      <c r="M14" s="549" t="e">
        <f t="shared" si="3"/>
        <v>#NUM!</v>
      </c>
      <c r="N14" s="549" t="e">
        <f t="shared" si="4"/>
        <v>#NUM!</v>
      </c>
      <c r="O14" s="550">
        <v>1</v>
      </c>
      <c r="P14" s="549">
        <f t="shared" si="0"/>
        <v>9.8740612639188485E-2</v>
      </c>
      <c r="Q14" s="4">
        <f t="shared" si="5"/>
        <v>6.0916670000000002</v>
      </c>
      <c r="BO14" s="3"/>
    </row>
    <row r="15" spans="1:152">
      <c r="C15" s="1"/>
      <c r="D15" t="str">
        <f>'Bond Data'!B117</f>
        <v>CTJPY15Y GOVT</v>
      </c>
      <c r="E15" s="542" t="str">
        <f>'Bond Data'!C117</f>
        <v>9/20/2019</v>
      </c>
      <c r="F15" s="542" t="str">
        <f>'Bond Data'!D117</f>
        <v>3/20/2034</v>
      </c>
      <c r="G15">
        <f>'Bond Data'!E117</f>
        <v>2</v>
      </c>
      <c r="H15">
        <f>'Bond Data'!F117</f>
        <v>121.03100000000001</v>
      </c>
      <c r="I15">
        <f>'Bond Data'!G117</f>
        <v>0.43561640000000001</v>
      </c>
      <c r="J15">
        <f>'Bond Data'!H117/100</f>
        <v>1.4999999999999999E-2</v>
      </c>
      <c r="K15">
        <f>'Bond Data'!I117</f>
        <v>121.46661640000001</v>
      </c>
      <c r="L15" s="549">
        <f t="shared" si="2"/>
        <v>6.3971909764448036E-4</v>
      </c>
      <c r="M15" s="549">
        <f t="shared" si="3"/>
        <v>13.373495262575943</v>
      </c>
      <c r="N15" s="549">
        <f t="shared" si="4"/>
        <v>13.377772902736808</v>
      </c>
      <c r="O15" s="549">
        <f t="shared" ref="O15" si="6">1/M15</f>
        <v>7.4774767580647009E-2</v>
      </c>
      <c r="P15" s="4">
        <f t="shared" si="0"/>
        <v>7.383306360866016E-3</v>
      </c>
      <c r="Q15" s="4">
        <f t="shared" si="5"/>
        <v>6.5916670000000002</v>
      </c>
      <c r="BO15" s="3"/>
    </row>
    <row r="16" spans="1:152">
      <c r="B16" s="4">
        <v>-4.4870386227153246E-2</v>
      </c>
      <c r="C16" s="1"/>
      <c r="D16" t="str">
        <f>'Bond Data'!B118</f>
        <v>CTJPY20Y GOVT</v>
      </c>
      <c r="E16" s="542" t="str">
        <f>'Bond Data'!C118</f>
        <v>9/20/2019</v>
      </c>
      <c r="F16" s="542" t="str">
        <f>'Bond Data'!D118</f>
        <v>3/20/2039</v>
      </c>
      <c r="G16">
        <f>'Bond Data'!E118</f>
        <v>2</v>
      </c>
      <c r="H16">
        <f>'Bond Data'!F118</f>
        <v>103.108</v>
      </c>
      <c r="I16">
        <f>'Bond Data'!G118</f>
        <v>0.1161643</v>
      </c>
      <c r="J16">
        <f>'Bond Data'!H118/100</f>
        <v>4.0000000000000001E-3</v>
      </c>
      <c r="K16">
        <f>'Bond Data'!I118</f>
        <v>103.2241643</v>
      </c>
      <c r="L16" s="549">
        <f t="shared" si="2"/>
        <v>2.3853547993753607E-3</v>
      </c>
      <c r="M16" s="549">
        <f t="shared" si="3"/>
        <v>18.950069724428037</v>
      </c>
      <c r="N16" s="549">
        <f t="shared" si="4"/>
        <v>18.972671044310868</v>
      </c>
      <c r="O16" s="4">
        <f t="shared" ref="O16" si="7">1/M16</f>
        <v>5.2770254386501084E-2</v>
      </c>
      <c r="P16" s="4">
        <f t="shared" si="0"/>
        <v>5.2105672472489411E-3</v>
      </c>
      <c r="Q16" s="4">
        <f t="shared" si="5"/>
        <v>7.0916670000000002</v>
      </c>
      <c r="BO16" s="3"/>
    </row>
    <row r="17" spans="1:83">
      <c r="B17" s="4">
        <v>-5.481183976946831E-2</v>
      </c>
      <c r="C17" s="1"/>
      <c r="D17"/>
      <c r="E17"/>
      <c r="F17"/>
      <c r="G17"/>
      <c r="H17"/>
      <c r="I17"/>
      <c r="J17"/>
      <c r="K17"/>
      <c r="BO17" s="3"/>
    </row>
    <row r="18" spans="1:83">
      <c r="B18" s="4">
        <v>-3.8152059674691841E-3</v>
      </c>
      <c r="C18" s="1"/>
      <c r="D18"/>
      <c r="E18"/>
      <c r="F18"/>
      <c r="G18"/>
      <c r="H18"/>
      <c r="I18"/>
      <c r="J18"/>
      <c r="K18"/>
      <c r="BO18" s="3"/>
    </row>
    <row r="19" spans="1:83">
      <c r="B19" s="4">
        <v>15.533192633218123</v>
      </c>
      <c r="C19" s="1"/>
      <c r="D19"/>
      <c r="E19"/>
      <c r="F19"/>
      <c r="G19"/>
      <c r="H19"/>
      <c r="I19"/>
      <c r="J19"/>
      <c r="K19"/>
      <c r="BO19" s="3"/>
    </row>
    <row r="20" spans="1:83">
      <c r="B20" s="4">
        <v>0.59851310642774747</v>
      </c>
      <c r="C20" s="1"/>
      <c r="D20"/>
      <c r="E20"/>
      <c r="F20"/>
      <c r="G20"/>
      <c r="H20"/>
      <c r="I20"/>
      <c r="J20"/>
      <c r="K20"/>
      <c r="BO20" s="3"/>
    </row>
    <row r="21" spans="1:83">
      <c r="C21" s="1"/>
      <c r="D21">
        <v>-4.3477978727925713E-2</v>
      </c>
      <c r="E21"/>
      <c r="F21"/>
      <c r="G21"/>
      <c r="H21"/>
      <c r="I21"/>
      <c r="J21"/>
      <c r="K21"/>
      <c r="BO21" s="3"/>
    </row>
    <row r="22" spans="1:83">
      <c r="C22" s="1"/>
      <c r="D22">
        <v>-0.9006687600056078</v>
      </c>
      <c r="E22"/>
      <c r="F22"/>
      <c r="G22"/>
      <c r="H22"/>
      <c r="I22"/>
      <c r="J22"/>
      <c r="K22"/>
      <c r="BO22" s="3"/>
    </row>
    <row r="23" spans="1:83">
      <c r="C23" s="1"/>
      <c r="D23">
        <v>0.98131144160893746</v>
      </c>
      <c r="E23"/>
      <c r="F23"/>
      <c r="G23"/>
      <c r="H23"/>
      <c r="I23"/>
      <c r="J23"/>
      <c r="K23"/>
    </row>
    <row r="24" spans="1:83">
      <c r="C24" s="1"/>
      <c r="D24">
        <v>41.514189745402916</v>
      </c>
      <c r="E24"/>
      <c r="F24"/>
      <c r="G24"/>
      <c r="H24"/>
      <c r="I24"/>
      <c r="J24"/>
      <c r="K24"/>
    </row>
    <row r="25" spans="1:83">
      <c r="C25" s="1"/>
      <c r="D25">
        <v>47.317403606467558</v>
      </c>
      <c r="E25"/>
      <c r="F25"/>
      <c r="G25"/>
      <c r="H25"/>
      <c r="I25"/>
      <c r="J25"/>
      <c r="K25"/>
    </row>
    <row r="26" spans="1:83">
      <c r="C26" s="1"/>
      <c r="D26"/>
      <c r="E26"/>
      <c r="F26"/>
      <c r="G26"/>
      <c r="H26"/>
      <c r="I26"/>
      <c r="J26"/>
      <c r="K26"/>
    </row>
    <row r="27" spans="1:83">
      <c r="C27" s="1"/>
      <c r="D27"/>
      <c r="E27"/>
      <c r="F27"/>
      <c r="G27"/>
      <c r="H27"/>
      <c r="I27"/>
      <c r="J27"/>
      <c r="K27"/>
    </row>
    <row r="28" spans="1:83">
      <c r="D28"/>
      <c r="N28" s="13" t="s">
        <v>48</v>
      </c>
      <c r="O28" s="13">
        <f>SUM(O2:O27)</f>
        <v>10.127545021967149</v>
      </c>
      <c r="P28" s="6"/>
    </row>
    <row r="29" spans="1:83">
      <c r="A29" s="6"/>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row>
    <row r="30" spans="1:83" s="22" customFormat="1">
      <c r="A30" s="161" t="s">
        <v>49</v>
      </c>
      <c r="B30" s="142">
        <f>IF(E2=0,F2,E2)</f>
        <v>0</v>
      </c>
      <c r="C30" s="24">
        <f t="shared" ref="C30:BN30" si="8">B30+IF($G2=1,365,182.5)</f>
        <v>182.5</v>
      </c>
      <c r="D30" s="24">
        <f t="shared" si="8"/>
        <v>365</v>
      </c>
      <c r="E30" s="24">
        <f t="shared" si="8"/>
        <v>547.5</v>
      </c>
      <c r="F30" s="24">
        <f t="shared" si="8"/>
        <v>730</v>
      </c>
      <c r="G30" s="24">
        <f t="shared" si="8"/>
        <v>912.5</v>
      </c>
      <c r="H30" s="24">
        <f t="shared" si="8"/>
        <v>1095</v>
      </c>
      <c r="I30" s="24">
        <f t="shared" si="8"/>
        <v>1277.5</v>
      </c>
      <c r="J30" s="24">
        <f t="shared" si="8"/>
        <v>1460</v>
      </c>
      <c r="K30" s="24">
        <f t="shared" si="8"/>
        <v>1642.5</v>
      </c>
      <c r="L30" s="24">
        <f t="shared" si="8"/>
        <v>1825</v>
      </c>
      <c r="M30" s="24">
        <f t="shared" si="8"/>
        <v>2007.5</v>
      </c>
      <c r="N30" s="24">
        <f t="shared" si="8"/>
        <v>2190</v>
      </c>
      <c r="O30" s="24">
        <f t="shared" si="8"/>
        <v>2372.5</v>
      </c>
      <c r="P30" s="24">
        <f t="shared" si="8"/>
        <v>2555</v>
      </c>
      <c r="Q30" s="24">
        <f t="shared" si="8"/>
        <v>2737.5</v>
      </c>
      <c r="R30" s="24">
        <f t="shared" si="8"/>
        <v>2920</v>
      </c>
      <c r="S30" s="24">
        <f t="shared" si="8"/>
        <v>3102.5</v>
      </c>
      <c r="T30" s="24">
        <f t="shared" si="8"/>
        <v>3285</v>
      </c>
      <c r="U30" s="24">
        <f t="shared" si="8"/>
        <v>3467.5</v>
      </c>
      <c r="V30" s="24">
        <f t="shared" si="8"/>
        <v>3650</v>
      </c>
      <c r="W30" s="24">
        <f t="shared" si="8"/>
        <v>3832.5</v>
      </c>
      <c r="X30" s="24">
        <f t="shared" si="8"/>
        <v>4015</v>
      </c>
      <c r="Y30" s="24">
        <f t="shared" si="8"/>
        <v>4197.5</v>
      </c>
      <c r="Z30" s="24">
        <f t="shared" si="8"/>
        <v>4380</v>
      </c>
      <c r="AA30" s="24">
        <f t="shared" si="8"/>
        <v>4562.5</v>
      </c>
      <c r="AB30" s="24">
        <f t="shared" si="8"/>
        <v>4745</v>
      </c>
      <c r="AC30" s="24">
        <f t="shared" si="8"/>
        <v>4927.5</v>
      </c>
      <c r="AD30" s="24">
        <f t="shared" si="8"/>
        <v>5110</v>
      </c>
      <c r="AE30" s="24">
        <f t="shared" si="8"/>
        <v>5292.5</v>
      </c>
      <c r="AF30" s="24">
        <f t="shared" si="8"/>
        <v>5475</v>
      </c>
      <c r="AG30" s="24">
        <f t="shared" si="8"/>
        <v>5657.5</v>
      </c>
      <c r="AH30" s="24">
        <f t="shared" si="8"/>
        <v>5840</v>
      </c>
      <c r="AI30" s="24">
        <f t="shared" si="8"/>
        <v>6022.5</v>
      </c>
      <c r="AJ30" s="24">
        <f t="shared" si="8"/>
        <v>6205</v>
      </c>
      <c r="AK30" s="24">
        <f t="shared" si="8"/>
        <v>6387.5</v>
      </c>
      <c r="AL30" s="24">
        <f t="shared" si="8"/>
        <v>6570</v>
      </c>
      <c r="AM30" s="24">
        <f t="shared" si="8"/>
        <v>6752.5</v>
      </c>
      <c r="AN30" s="24">
        <f t="shared" si="8"/>
        <v>6935</v>
      </c>
      <c r="AO30" s="24">
        <f t="shared" si="8"/>
        <v>7117.5</v>
      </c>
      <c r="AP30" s="24">
        <f t="shared" si="8"/>
        <v>7300</v>
      </c>
      <c r="AQ30" s="24">
        <f t="shared" si="8"/>
        <v>7482.5</v>
      </c>
      <c r="AR30" s="24">
        <f t="shared" si="8"/>
        <v>7665</v>
      </c>
      <c r="AS30" s="24">
        <f t="shared" si="8"/>
        <v>7847.5</v>
      </c>
      <c r="AT30" s="24">
        <f t="shared" si="8"/>
        <v>8030</v>
      </c>
      <c r="AU30" s="24">
        <f t="shared" si="8"/>
        <v>8212.5</v>
      </c>
      <c r="AV30" s="24">
        <f t="shared" si="8"/>
        <v>8395</v>
      </c>
      <c r="AW30" s="24">
        <f t="shared" si="8"/>
        <v>8577.5</v>
      </c>
      <c r="AX30" s="24">
        <f t="shared" si="8"/>
        <v>8760</v>
      </c>
      <c r="AY30" s="24">
        <f t="shared" si="8"/>
        <v>8942.5</v>
      </c>
      <c r="AZ30" s="24">
        <f t="shared" si="8"/>
        <v>9125</v>
      </c>
      <c r="BA30" s="24">
        <f t="shared" si="8"/>
        <v>9307.5</v>
      </c>
      <c r="BB30" s="24">
        <f t="shared" si="8"/>
        <v>9490</v>
      </c>
      <c r="BC30" s="24">
        <f t="shared" si="8"/>
        <v>9672.5</v>
      </c>
      <c r="BD30" s="24">
        <f t="shared" si="8"/>
        <v>9855</v>
      </c>
      <c r="BE30" s="24">
        <f t="shared" si="8"/>
        <v>10037.5</v>
      </c>
      <c r="BF30" s="24">
        <f t="shared" si="8"/>
        <v>10220</v>
      </c>
      <c r="BG30" s="24">
        <f t="shared" si="8"/>
        <v>10402.5</v>
      </c>
      <c r="BH30" s="24">
        <f t="shared" si="8"/>
        <v>10585</v>
      </c>
      <c r="BI30" s="24">
        <f t="shared" si="8"/>
        <v>10767.5</v>
      </c>
      <c r="BJ30" s="24">
        <f t="shared" si="8"/>
        <v>10950</v>
      </c>
      <c r="BK30" s="24">
        <f t="shared" si="8"/>
        <v>11132.5</v>
      </c>
      <c r="BL30" s="24">
        <f t="shared" si="8"/>
        <v>11315</v>
      </c>
      <c r="BM30" s="24">
        <f t="shared" si="8"/>
        <v>11497.5</v>
      </c>
      <c r="BN30" s="24">
        <f t="shared" si="8"/>
        <v>11680</v>
      </c>
      <c r="BO30" s="24">
        <f t="shared" ref="BO30:CB30" si="9">BN30+IF($G2=1,365,182.5)</f>
        <v>11862.5</v>
      </c>
      <c r="BP30" s="24">
        <f t="shared" si="9"/>
        <v>12045</v>
      </c>
      <c r="BQ30" s="24">
        <f t="shared" si="9"/>
        <v>12227.5</v>
      </c>
      <c r="BR30" s="24">
        <f t="shared" si="9"/>
        <v>12410</v>
      </c>
      <c r="BS30" s="24">
        <f t="shared" si="9"/>
        <v>12592.5</v>
      </c>
      <c r="BT30" s="24">
        <f t="shared" si="9"/>
        <v>12775</v>
      </c>
      <c r="BU30" s="24">
        <f t="shared" si="9"/>
        <v>12957.5</v>
      </c>
      <c r="BV30" s="24">
        <f t="shared" si="9"/>
        <v>13140</v>
      </c>
      <c r="BW30" s="24">
        <f t="shared" si="9"/>
        <v>13322.5</v>
      </c>
      <c r="BX30" s="24">
        <f t="shared" si="9"/>
        <v>13505</v>
      </c>
      <c r="BY30" s="24">
        <f t="shared" si="9"/>
        <v>13687.5</v>
      </c>
      <c r="BZ30" s="24">
        <f t="shared" si="9"/>
        <v>13870</v>
      </c>
      <c r="CA30" s="24">
        <f t="shared" si="9"/>
        <v>14052.5</v>
      </c>
      <c r="CB30" s="25">
        <f t="shared" si="9"/>
        <v>14235</v>
      </c>
    </row>
    <row r="31" spans="1:83">
      <c r="A31" s="162" t="s">
        <v>22</v>
      </c>
      <c r="B31" s="104">
        <f>(IF(B30=F2,100,0)+IF(G2=1,1,0.5)*J2*100)*IF(ISBLANK(F2)=TRUE,0,1)</f>
        <v>0</v>
      </c>
      <c r="C31" s="26">
        <f>IF(C30&gt;$F2+1,0,1)*(IF(D31=0,100,0)+IF($G2=1,1,0.5)*$J2*100)</f>
        <v>0</v>
      </c>
      <c r="D31" s="26">
        <f t="shared" ref="D31:BO31" si="10">IF(D30&gt;$F2+1,0,1)*(IF(E31=0,100,0)+IF($G2=1,1,0.5)*$J2*100)</f>
        <v>0</v>
      </c>
      <c r="E31" s="26">
        <f t="shared" si="10"/>
        <v>0</v>
      </c>
      <c r="F31" s="26">
        <f t="shared" si="10"/>
        <v>0</v>
      </c>
      <c r="G31" s="26">
        <f t="shared" si="10"/>
        <v>0</v>
      </c>
      <c r="H31" s="26">
        <f t="shared" si="10"/>
        <v>0</v>
      </c>
      <c r="I31" s="26">
        <f t="shared" si="10"/>
        <v>0</v>
      </c>
      <c r="J31" s="26">
        <f t="shared" si="10"/>
        <v>0</v>
      </c>
      <c r="K31" s="26">
        <f t="shared" si="10"/>
        <v>0</v>
      </c>
      <c r="L31" s="26">
        <f t="shared" si="10"/>
        <v>0</v>
      </c>
      <c r="M31" s="26">
        <f t="shared" si="10"/>
        <v>0</v>
      </c>
      <c r="N31" s="26">
        <f t="shared" si="10"/>
        <v>0</v>
      </c>
      <c r="O31" s="26">
        <f t="shared" si="10"/>
        <v>0</v>
      </c>
      <c r="P31" s="26">
        <f t="shared" si="10"/>
        <v>0</v>
      </c>
      <c r="Q31" s="26">
        <f t="shared" si="10"/>
        <v>0</v>
      </c>
      <c r="R31" s="26">
        <f t="shared" si="10"/>
        <v>0</v>
      </c>
      <c r="S31" s="26">
        <f t="shared" si="10"/>
        <v>0</v>
      </c>
      <c r="T31" s="26">
        <f t="shared" si="10"/>
        <v>0</v>
      </c>
      <c r="U31" s="26">
        <f t="shared" si="10"/>
        <v>0</v>
      </c>
      <c r="V31" s="26">
        <f t="shared" si="10"/>
        <v>0</v>
      </c>
      <c r="W31" s="26">
        <f t="shared" si="10"/>
        <v>0</v>
      </c>
      <c r="X31" s="26">
        <f t="shared" si="10"/>
        <v>0</v>
      </c>
      <c r="Y31" s="26">
        <f t="shared" si="10"/>
        <v>0</v>
      </c>
      <c r="Z31" s="26">
        <f t="shared" si="10"/>
        <v>0</v>
      </c>
      <c r="AA31" s="26">
        <f t="shared" si="10"/>
        <v>0</v>
      </c>
      <c r="AB31" s="26">
        <f t="shared" si="10"/>
        <v>0</v>
      </c>
      <c r="AC31" s="26">
        <f t="shared" si="10"/>
        <v>0</v>
      </c>
      <c r="AD31" s="26">
        <f t="shared" si="10"/>
        <v>0</v>
      </c>
      <c r="AE31" s="26">
        <f t="shared" si="10"/>
        <v>0</v>
      </c>
      <c r="AF31" s="26">
        <f t="shared" si="10"/>
        <v>0</v>
      </c>
      <c r="AG31" s="26">
        <f t="shared" si="10"/>
        <v>0</v>
      </c>
      <c r="AH31" s="26">
        <f t="shared" si="10"/>
        <v>0</v>
      </c>
      <c r="AI31" s="26">
        <f t="shared" si="10"/>
        <v>0</v>
      </c>
      <c r="AJ31" s="26">
        <f t="shared" si="10"/>
        <v>0</v>
      </c>
      <c r="AK31" s="26">
        <f t="shared" si="10"/>
        <v>0</v>
      </c>
      <c r="AL31" s="26">
        <f t="shared" si="10"/>
        <v>0</v>
      </c>
      <c r="AM31" s="26">
        <f t="shared" si="10"/>
        <v>0</v>
      </c>
      <c r="AN31" s="26">
        <f t="shared" si="10"/>
        <v>0</v>
      </c>
      <c r="AO31" s="26">
        <f t="shared" si="10"/>
        <v>0</v>
      </c>
      <c r="AP31" s="26">
        <f t="shared" si="10"/>
        <v>0</v>
      </c>
      <c r="AQ31" s="26">
        <f t="shared" si="10"/>
        <v>0</v>
      </c>
      <c r="AR31" s="26">
        <f t="shared" si="10"/>
        <v>0</v>
      </c>
      <c r="AS31" s="26">
        <f t="shared" si="10"/>
        <v>0</v>
      </c>
      <c r="AT31" s="26">
        <f t="shared" si="10"/>
        <v>0</v>
      </c>
      <c r="AU31" s="26">
        <f t="shared" si="10"/>
        <v>0</v>
      </c>
      <c r="AV31" s="26">
        <f t="shared" si="10"/>
        <v>0</v>
      </c>
      <c r="AW31" s="26">
        <f t="shared" si="10"/>
        <v>0</v>
      </c>
      <c r="AX31" s="26">
        <f t="shared" si="10"/>
        <v>0</v>
      </c>
      <c r="AY31" s="26">
        <f t="shared" si="10"/>
        <v>0</v>
      </c>
      <c r="AZ31" s="26">
        <f t="shared" si="10"/>
        <v>0</v>
      </c>
      <c r="BA31" s="26">
        <f t="shared" si="10"/>
        <v>0</v>
      </c>
      <c r="BB31" s="26">
        <f t="shared" si="10"/>
        <v>0</v>
      </c>
      <c r="BC31" s="26">
        <f t="shared" si="10"/>
        <v>0</v>
      </c>
      <c r="BD31" s="26">
        <f t="shared" si="10"/>
        <v>0</v>
      </c>
      <c r="BE31" s="26">
        <f t="shared" si="10"/>
        <v>0</v>
      </c>
      <c r="BF31" s="26">
        <f t="shared" si="10"/>
        <v>0</v>
      </c>
      <c r="BG31" s="26">
        <f t="shared" si="10"/>
        <v>0</v>
      </c>
      <c r="BH31" s="26">
        <f t="shared" si="10"/>
        <v>0</v>
      </c>
      <c r="BI31" s="26">
        <f t="shared" si="10"/>
        <v>0</v>
      </c>
      <c r="BJ31" s="26">
        <f t="shared" si="10"/>
        <v>0</v>
      </c>
      <c r="BK31" s="26">
        <f t="shared" si="10"/>
        <v>0</v>
      </c>
      <c r="BL31" s="26">
        <f t="shared" si="10"/>
        <v>0</v>
      </c>
      <c r="BM31" s="26">
        <f t="shared" si="10"/>
        <v>0</v>
      </c>
      <c r="BN31" s="26">
        <f t="shared" si="10"/>
        <v>0</v>
      </c>
      <c r="BO31" s="26">
        <f t="shared" si="10"/>
        <v>0</v>
      </c>
      <c r="BP31" s="26">
        <f t="shared" ref="BP31:CB31" si="11">IF(BP30&gt;$F2+1,0,1)*(IF(BQ31=0,100,0)+IF($G2=1,1,0.5)*$J2*100)</f>
        <v>0</v>
      </c>
      <c r="BQ31" s="26">
        <f t="shared" si="11"/>
        <v>0</v>
      </c>
      <c r="BR31" s="26">
        <f t="shared" si="11"/>
        <v>0</v>
      </c>
      <c r="BS31" s="26">
        <f t="shared" si="11"/>
        <v>0</v>
      </c>
      <c r="BT31" s="26">
        <f t="shared" si="11"/>
        <v>0</v>
      </c>
      <c r="BU31" s="26">
        <f t="shared" si="11"/>
        <v>0</v>
      </c>
      <c r="BV31" s="26">
        <f t="shared" si="11"/>
        <v>0</v>
      </c>
      <c r="BW31" s="26">
        <f t="shared" si="11"/>
        <v>0</v>
      </c>
      <c r="BX31" s="26">
        <f t="shared" si="11"/>
        <v>0</v>
      </c>
      <c r="BY31" s="26">
        <f t="shared" si="11"/>
        <v>0</v>
      </c>
      <c r="BZ31" s="26">
        <f t="shared" si="11"/>
        <v>0</v>
      </c>
      <c r="CA31" s="26">
        <f t="shared" si="11"/>
        <v>0</v>
      </c>
      <c r="CB31" s="27">
        <f t="shared" si="11"/>
        <v>0</v>
      </c>
    </row>
    <row r="32" spans="1:83" s="22" customFormat="1">
      <c r="A32" s="264" t="s">
        <v>49</v>
      </c>
      <c r="B32" s="142" t="str">
        <f>IF(E3=0,F3,E3)</f>
        <v>9/30/2019</v>
      </c>
      <c r="C32" s="28">
        <f t="shared" ref="C32:BN32" si="12">B32+IF($G3=1,365,182.5)</f>
        <v>43920.5</v>
      </c>
      <c r="D32" s="28">
        <f t="shared" si="12"/>
        <v>44103</v>
      </c>
      <c r="E32" s="28">
        <f t="shared" si="12"/>
        <v>44285.5</v>
      </c>
      <c r="F32" s="28">
        <f t="shared" si="12"/>
        <v>44468</v>
      </c>
      <c r="G32" s="28">
        <f t="shared" si="12"/>
        <v>44650.5</v>
      </c>
      <c r="H32" s="28">
        <f t="shared" si="12"/>
        <v>44833</v>
      </c>
      <c r="I32" s="28">
        <f t="shared" si="12"/>
        <v>45015.5</v>
      </c>
      <c r="J32" s="28">
        <f t="shared" si="12"/>
        <v>45198</v>
      </c>
      <c r="K32" s="28">
        <f t="shared" si="12"/>
        <v>45380.5</v>
      </c>
      <c r="L32" s="28">
        <f t="shared" si="12"/>
        <v>45563</v>
      </c>
      <c r="M32" s="28">
        <f t="shared" si="12"/>
        <v>45745.5</v>
      </c>
      <c r="N32" s="28">
        <f t="shared" si="12"/>
        <v>45928</v>
      </c>
      <c r="O32" s="28">
        <f t="shared" si="12"/>
        <v>46110.5</v>
      </c>
      <c r="P32" s="28">
        <f t="shared" si="12"/>
        <v>46293</v>
      </c>
      <c r="Q32" s="28">
        <f t="shared" si="12"/>
        <v>46475.5</v>
      </c>
      <c r="R32" s="28">
        <f t="shared" si="12"/>
        <v>46658</v>
      </c>
      <c r="S32" s="28">
        <f t="shared" si="12"/>
        <v>46840.5</v>
      </c>
      <c r="T32" s="28">
        <f t="shared" si="12"/>
        <v>47023</v>
      </c>
      <c r="U32" s="28">
        <f t="shared" si="12"/>
        <v>47205.5</v>
      </c>
      <c r="V32" s="28">
        <f t="shared" si="12"/>
        <v>47388</v>
      </c>
      <c r="W32" s="28">
        <f t="shared" si="12"/>
        <v>47570.5</v>
      </c>
      <c r="X32" s="28">
        <f t="shared" si="12"/>
        <v>47753</v>
      </c>
      <c r="Y32" s="28">
        <f t="shared" si="12"/>
        <v>47935.5</v>
      </c>
      <c r="Z32" s="28">
        <f t="shared" si="12"/>
        <v>48118</v>
      </c>
      <c r="AA32" s="28">
        <f t="shared" si="12"/>
        <v>48300.5</v>
      </c>
      <c r="AB32" s="28">
        <f t="shared" si="12"/>
        <v>48483</v>
      </c>
      <c r="AC32" s="28">
        <f t="shared" si="12"/>
        <v>48665.5</v>
      </c>
      <c r="AD32" s="28">
        <f t="shared" si="12"/>
        <v>48848</v>
      </c>
      <c r="AE32" s="28">
        <f t="shared" si="12"/>
        <v>49030.5</v>
      </c>
      <c r="AF32" s="28">
        <f t="shared" si="12"/>
        <v>49213</v>
      </c>
      <c r="AG32" s="28">
        <f t="shared" si="12"/>
        <v>49395.5</v>
      </c>
      <c r="AH32" s="28">
        <f t="shared" si="12"/>
        <v>49578</v>
      </c>
      <c r="AI32" s="28">
        <f t="shared" si="12"/>
        <v>49760.5</v>
      </c>
      <c r="AJ32" s="28">
        <f t="shared" si="12"/>
        <v>49943</v>
      </c>
      <c r="AK32" s="28">
        <f t="shared" si="12"/>
        <v>50125.5</v>
      </c>
      <c r="AL32" s="28">
        <f t="shared" si="12"/>
        <v>50308</v>
      </c>
      <c r="AM32" s="28">
        <f t="shared" si="12"/>
        <v>50490.5</v>
      </c>
      <c r="AN32" s="28">
        <f t="shared" si="12"/>
        <v>50673</v>
      </c>
      <c r="AO32" s="28">
        <f t="shared" si="12"/>
        <v>50855.5</v>
      </c>
      <c r="AP32" s="28">
        <f t="shared" si="12"/>
        <v>51038</v>
      </c>
      <c r="AQ32" s="28">
        <f t="shared" si="12"/>
        <v>51220.5</v>
      </c>
      <c r="AR32" s="28">
        <f t="shared" si="12"/>
        <v>51403</v>
      </c>
      <c r="AS32" s="28">
        <f t="shared" si="12"/>
        <v>51585.5</v>
      </c>
      <c r="AT32" s="28">
        <f t="shared" si="12"/>
        <v>51768</v>
      </c>
      <c r="AU32" s="28">
        <f t="shared" si="12"/>
        <v>51950.5</v>
      </c>
      <c r="AV32" s="28">
        <f t="shared" si="12"/>
        <v>52133</v>
      </c>
      <c r="AW32" s="28">
        <f t="shared" si="12"/>
        <v>52315.5</v>
      </c>
      <c r="AX32" s="28">
        <f t="shared" si="12"/>
        <v>52498</v>
      </c>
      <c r="AY32" s="28">
        <f t="shared" si="12"/>
        <v>52680.5</v>
      </c>
      <c r="AZ32" s="28">
        <f t="shared" si="12"/>
        <v>52863</v>
      </c>
      <c r="BA32" s="28">
        <f t="shared" si="12"/>
        <v>53045.5</v>
      </c>
      <c r="BB32" s="28">
        <f t="shared" si="12"/>
        <v>53228</v>
      </c>
      <c r="BC32" s="28">
        <f t="shared" si="12"/>
        <v>53410.5</v>
      </c>
      <c r="BD32" s="28">
        <f t="shared" si="12"/>
        <v>53593</v>
      </c>
      <c r="BE32" s="28">
        <f t="shared" si="12"/>
        <v>53775.5</v>
      </c>
      <c r="BF32" s="28">
        <f t="shared" si="12"/>
        <v>53958</v>
      </c>
      <c r="BG32" s="28">
        <f t="shared" si="12"/>
        <v>54140.5</v>
      </c>
      <c r="BH32" s="28">
        <f t="shared" si="12"/>
        <v>54323</v>
      </c>
      <c r="BI32" s="28">
        <f t="shared" si="12"/>
        <v>54505.5</v>
      </c>
      <c r="BJ32" s="28">
        <f t="shared" si="12"/>
        <v>54688</v>
      </c>
      <c r="BK32" s="28">
        <f t="shared" si="12"/>
        <v>54870.5</v>
      </c>
      <c r="BL32" s="28">
        <f t="shared" si="12"/>
        <v>55053</v>
      </c>
      <c r="BM32" s="28">
        <f t="shared" si="12"/>
        <v>55235.5</v>
      </c>
      <c r="BN32" s="28">
        <f t="shared" si="12"/>
        <v>55418</v>
      </c>
      <c r="BO32" s="28">
        <f t="shared" ref="BO32:CB32" si="13">BN32+IF($G3=1,365,182.5)</f>
        <v>55600.5</v>
      </c>
      <c r="BP32" s="28">
        <f t="shared" si="13"/>
        <v>55783</v>
      </c>
      <c r="BQ32" s="28">
        <f t="shared" si="13"/>
        <v>55965.5</v>
      </c>
      <c r="BR32" s="28">
        <f t="shared" si="13"/>
        <v>56148</v>
      </c>
      <c r="BS32" s="28">
        <f t="shared" si="13"/>
        <v>56330.5</v>
      </c>
      <c r="BT32" s="28">
        <f t="shared" si="13"/>
        <v>56513</v>
      </c>
      <c r="BU32" s="28">
        <f t="shared" si="13"/>
        <v>56695.5</v>
      </c>
      <c r="BV32" s="28">
        <f t="shared" si="13"/>
        <v>56878</v>
      </c>
      <c r="BW32" s="28">
        <f t="shared" si="13"/>
        <v>57060.5</v>
      </c>
      <c r="BX32" s="28">
        <f t="shared" si="13"/>
        <v>57243</v>
      </c>
      <c r="BY32" s="28">
        <f t="shared" si="13"/>
        <v>57425.5</v>
      </c>
      <c r="BZ32" s="28">
        <f t="shared" si="13"/>
        <v>57608</v>
      </c>
      <c r="CA32" s="28">
        <f t="shared" si="13"/>
        <v>57790.5</v>
      </c>
      <c r="CB32" s="29">
        <f t="shared" si="13"/>
        <v>57973</v>
      </c>
    </row>
    <row r="33" spans="1:80" s="5" customFormat="1">
      <c r="A33" s="163" t="s">
        <v>23</v>
      </c>
      <c r="B33" s="30">
        <f>(IF(B32=F3,100,0)+IF(G3=1,1,0.5)*J3*100)*IF(ISBLANK(F3)=TRUE,0,1)</f>
        <v>100</v>
      </c>
      <c r="C33" s="31">
        <f>IF(C32&gt;$F3+1,0,1)*(IF(D33=0,100,0)+IF($G3=1,1,0.5)*$J3*100)</f>
        <v>0</v>
      </c>
      <c r="D33" s="31">
        <f t="shared" ref="D33:BO33" si="14">IF(D32&gt;$F3+1,0,1)*(IF(E33=0,100,0)+IF($G3=1,1,0.5)*$J3*100)</f>
        <v>0</v>
      </c>
      <c r="E33" s="31">
        <f t="shared" si="14"/>
        <v>0</v>
      </c>
      <c r="F33" s="31">
        <f t="shared" si="14"/>
        <v>0</v>
      </c>
      <c r="G33" s="31">
        <f t="shared" si="14"/>
        <v>0</v>
      </c>
      <c r="H33" s="31">
        <f t="shared" si="14"/>
        <v>0</v>
      </c>
      <c r="I33" s="31">
        <f t="shared" si="14"/>
        <v>0</v>
      </c>
      <c r="J33" s="31">
        <f t="shared" si="14"/>
        <v>0</v>
      </c>
      <c r="K33" s="31">
        <f t="shared" si="14"/>
        <v>0</v>
      </c>
      <c r="L33" s="31">
        <f t="shared" si="14"/>
        <v>0</v>
      </c>
      <c r="M33" s="31">
        <f t="shared" si="14"/>
        <v>0</v>
      </c>
      <c r="N33" s="31">
        <f t="shared" si="14"/>
        <v>0</v>
      </c>
      <c r="O33" s="31">
        <f t="shared" si="14"/>
        <v>0</v>
      </c>
      <c r="P33" s="31">
        <f t="shared" si="14"/>
        <v>0</v>
      </c>
      <c r="Q33" s="31">
        <f t="shared" si="14"/>
        <v>0</v>
      </c>
      <c r="R33" s="31">
        <f t="shared" si="14"/>
        <v>0</v>
      </c>
      <c r="S33" s="31">
        <f t="shared" si="14"/>
        <v>0</v>
      </c>
      <c r="T33" s="31">
        <f t="shared" si="14"/>
        <v>0</v>
      </c>
      <c r="U33" s="31">
        <f t="shared" si="14"/>
        <v>0</v>
      </c>
      <c r="V33" s="31">
        <f t="shared" si="14"/>
        <v>0</v>
      </c>
      <c r="W33" s="31">
        <f t="shared" si="14"/>
        <v>0</v>
      </c>
      <c r="X33" s="31">
        <f t="shared" si="14"/>
        <v>0</v>
      </c>
      <c r="Y33" s="31">
        <f t="shared" si="14"/>
        <v>0</v>
      </c>
      <c r="Z33" s="31">
        <f t="shared" si="14"/>
        <v>0</v>
      </c>
      <c r="AA33" s="31">
        <f t="shared" si="14"/>
        <v>0</v>
      </c>
      <c r="AB33" s="31">
        <f t="shared" si="14"/>
        <v>0</v>
      </c>
      <c r="AC33" s="31">
        <f t="shared" si="14"/>
        <v>0</v>
      </c>
      <c r="AD33" s="31">
        <f t="shared" si="14"/>
        <v>0</v>
      </c>
      <c r="AE33" s="31">
        <f t="shared" si="14"/>
        <v>0</v>
      </c>
      <c r="AF33" s="31">
        <f t="shared" si="14"/>
        <v>0</v>
      </c>
      <c r="AG33" s="31">
        <f t="shared" si="14"/>
        <v>0</v>
      </c>
      <c r="AH33" s="31">
        <f t="shared" si="14"/>
        <v>0</v>
      </c>
      <c r="AI33" s="31">
        <f t="shared" si="14"/>
        <v>0</v>
      </c>
      <c r="AJ33" s="31">
        <f t="shared" si="14"/>
        <v>0</v>
      </c>
      <c r="AK33" s="31">
        <f t="shared" si="14"/>
        <v>0</v>
      </c>
      <c r="AL33" s="31">
        <f t="shared" si="14"/>
        <v>0</v>
      </c>
      <c r="AM33" s="31">
        <f t="shared" si="14"/>
        <v>0</v>
      </c>
      <c r="AN33" s="31">
        <f t="shared" si="14"/>
        <v>0</v>
      </c>
      <c r="AO33" s="31">
        <f t="shared" si="14"/>
        <v>0</v>
      </c>
      <c r="AP33" s="31">
        <f t="shared" si="14"/>
        <v>0</v>
      </c>
      <c r="AQ33" s="31">
        <f t="shared" si="14"/>
        <v>0</v>
      </c>
      <c r="AR33" s="31">
        <f t="shared" si="14"/>
        <v>0</v>
      </c>
      <c r="AS33" s="31">
        <f t="shared" si="14"/>
        <v>0</v>
      </c>
      <c r="AT33" s="31">
        <f t="shared" si="14"/>
        <v>0</v>
      </c>
      <c r="AU33" s="31">
        <f t="shared" si="14"/>
        <v>0</v>
      </c>
      <c r="AV33" s="31">
        <f t="shared" si="14"/>
        <v>0</v>
      </c>
      <c r="AW33" s="31">
        <f t="shared" si="14"/>
        <v>0</v>
      </c>
      <c r="AX33" s="31">
        <f t="shared" si="14"/>
        <v>0</v>
      </c>
      <c r="AY33" s="31">
        <f t="shared" si="14"/>
        <v>0</v>
      </c>
      <c r="AZ33" s="31">
        <f t="shared" si="14"/>
        <v>0</v>
      </c>
      <c r="BA33" s="31">
        <f t="shared" si="14"/>
        <v>0</v>
      </c>
      <c r="BB33" s="31">
        <f t="shared" si="14"/>
        <v>0</v>
      </c>
      <c r="BC33" s="31">
        <f t="shared" si="14"/>
        <v>0</v>
      </c>
      <c r="BD33" s="31">
        <f t="shared" si="14"/>
        <v>0</v>
      </c>
      <c r="BE33" s="31">
        <f t="shared" si="14"/>
        <v>0</v>
      </c>
      <c r="BF33" s="31">
        <f t="shared" si="14"/>
        <v>0</v>
      </c>
      <c r="BG33" s="31">
        <f t="shared" si="14"/>
        <v>0</v>
      </c>
      <c r="BH33" s="31">
        <f t="shared" si="14"/>
        <v>0</v>
      </c>
      <c r="BI33" s="31">
        <f t="shared" si="14"/>
        <v>0</v>
      </c>
      <c r="BJ33" s="31">
        <f t="shared" si="14"/>
        <v>0</v>
      </c>
      <c r="BK33" s="31">
        <f t="shared" si="14"/>
        <v>0</v>
      </c>
      <c r="BL33" s="31">
        <f t="shared" si="14"/>
        <v>0</v>
      </c>
      <c r="BM33" s="31">
        <f t="shared" si="14"/>
        <v>0</v>
      </c>
      <c r="BN33" s="31">
        <f t="shared" si="14"/>
        <v>0</v>
      </c>
      <c r="BO33" s="31">
        <f t="shared" si="14"/>
        <v>0</v>
      </c>
      <c r="BP33" s="31">
        <f t="shared" ref="BP33:CB33" si="15">IF(BP32&gt;$F3+1,0,1)*(IF(BQ33=0,100,0)+IF($G3=1,1,0.5)*$J3*100)</f>
        <v>0</v>
      </c>
      <c r="BQ33" s="31">
        <f t="shared" si="15"/>
        <v>0</v>
      </c>
      <c r="BR33" s="31">
        <f t="shared" si="15"/>
        <v>0</v>
      </c>
      <c r="BS33" s="31">
        <f t="shared" si="15"/>
        <v>0</v>
      </c>
      <c r="BT33" s="31">
        <f t="shared" si="15"/>
        <v>0</v>
      </c>
      <c r="BU33" s="31">
        <f t="shared" si="15"/>
        <v>0</v>
      </c>
      <c r="BV33" s="31">
        <f t="shared" si="15"/>
        <v>0</v>
      </c>
      <c r="BW33" s="31">
        <f t="shared" si="15"/>
        <v>0</v>
      </c>
      <c r="BX33" s="31">
        <f t="shared" si="15"/>
        <v>0</v>
      </c>
      <c r="BY33" s="31">
        <f t="shared" si="15"/>
        <v>0</v>
      </c>
      <c r="BZ33" s="31">
        <f t="shared" si="15"/>
        <v>0</v>
      </c>
      <c r="CA33" s="31">
        <f t="shared" si="15"/>
        <v>0</v>
      </c>
      <c r="CB33" s="32">
        <f t="shared" si="15"/>
        <v>0</v>
      </c>
    </row>
    <row r="34" spans="1:80" s="6" customFormat="1">
      <c r="A34" s="263" t="s">
        <v>49</v>
      </c>
      <c r="B34" s="142" t="str">
        <f>IF(E4=0,F4,E4)</f>
        <v>12/10/2019</v>
      </c>
      <c r="C34" s="33">
        <f t="shared" ref="C34:BN34" si="16">B34+IF($G4=1,365,182.5)</f>
        <v>43991.5</v>
      </c>
      <c r="D34" s="33">
        <f t="shared" si="16"/>
        <v>44174</v>
      </c>
      <c r="E34" s="33">
        <f t="shared" si="16"/>
        <v>44356.5</v>
      </c>
      <c r="F34" s="33">
        <f t="shared" si="16"/>
        <v>44539</v>
      </c>
      <c r="G34" s="33">
        <f t="shared" si="16"/>
        <v>44721.5</v>
      </c>
      <c r="H34" s="33">
        <f t="shared" si="16"/>
        <v>44904</v>
      </c>
      <c r="I34" s="33">
        <f t="shared" si="16"/>
        <v>45086.5</v>
      </c>
      <c r="J34" s="33">
        <f t="shared" si="16"/>
        <v>45269</v>
      </c>
      <c r="K34" s="33">
        <f t="shared" si="16"/>
        <v>45451.5</v>
      </c>
      <c r="L34" s="33">
        <f t="shared" si="16"/>
        <v>45634</v>
      </c>
      <c r="M34" s="33">
        <f t="shared" si="16"/>
        <v>45816.5</v>
      </c>
      <c r="N34" s="33">
        <f t="shared" si="16"/>
        <v>45999</v>
      </c>
      <c r="O34" s="33">
        <f t="shared" si="16"/>
        <v>46181.5</v>
      </c>
      <c r="P34" s="33">
        <f t="shared" si="16"/>
        <v>46364</v>
      </c>
      <c r="Q34" s="33">
        <f t="shared" si="16"/>
        <v>46546.5</v>
      </c>
      <c r="R34" s="33">
        <f t="shared" si="16"/>
        <v>46729</v>
      </c>
      <c r="S34" s="33">
        <f t="shared" si="16"/>
        <v>46911.5</v>
      </c>
      <c r="T34" s="33">
        <f t="shared" si="16"/>
        <v>47094</v>
      </c>
      <c r="U34" s="33">
        <f t="shared" si="16"/>
        <v>47276.5</v>
      </c>
      <c r="V34" s="33">
        <f t="shared" si="16"/>
        <v>47459</v>
      </c>
      <c r="W34" s="33">
        <f t="shared" si="16"/>
        <v>47641.5</v>
      </c>
      <c r="X34" s="33">
        <f t="shared" si="16"/>
        <v>47824</v>
      </c>
      <c r="Y34" s="33">
        <f t="shared" si="16"/>
        <v>48006.5</v>
      </c>
      <c r="Z34" s="33">
        <f t="shared" si="16"/>
        <v>48189</v>
      </c>
      <c r="AA34" s="33">
        <f t="shared" si="16"/>
        <v>48371.5</v>
      </c>
      <c r="AB34" s="33">
        <f t="shared" si="16"/>
        <v>48554</v>
      </c>
      <c r="AC34" s="33">
        <f t="shared" si="16"/>
        <v>48736.5</v>
      </c>
      <c r="AD34" s="33">
        <f t="shared" si="16"/>
        <v>48919</v>
      </c>
      <c r="AE34" s="33">
        <f t="shared" si="16"/>
        <v>49101.5</v>
      </c>
      <c r="AF34" s="33">
        <f t="shared" si="16"/>
        <v>49284</v>
      </c>
      <c r="AG34" s="33">
        <f t="shared" si="16"/>
        <v>49466.5</v>
      </c>
      <c r="AH34" s="33">
        <f t="shared" si="16"/>
        <v>49649</v>
      </c>
      <c r="AI34" s="33">
        <f t="shared" si="16"/>
        <v>49831.5</v>
      </c>
      <c r="AJ34" s="33">
        <f t="shared" si="16"/>
        <v>50014</v>
      </c>
      <c r="AK34" s="33">
        <f t="shared" si="16"/>
        <v>50196.5</v>
      </c>
      <c r="AL34" s="33">
        <f t="shared" si="16"/>
        <v>50379</v>
      </c>
      <c r="AM34" s="33">
        <f t="shared" si="16"/>
        <v>50561.5</v>
      </c>
      <c r="AN34" s="33">
        <f t="shared" si="16"/>
        <v>50744</v>
      </c>
      <c r="AO34" s="33">
        <f t="shared" si="16"/>
        <v>50926.5</v>
      </c>
      <c r="AP34" s="33">
        <f t="shared" si="16"/>
        <v>51109</v>
      </c>
      <c r="AQ34" s="33">
        <f t="shared" si="16"/>
        <v>51291.5</v>
      </c>
      <c r="AR34" s="33">
        <f t="shared" si="16"/>
        <v>51474</v>
      </c>
      <c r="AS34" s="33">
        <f t="shared" si="16"/>
        <v>51656.5</v>
      </c>
      <c r="AT34" s="33">
        <f t="shared" si="16"/>
        <v>51839</v>
      </c>
      <c r="AU34" s="33">
        <f t="shared" si="16"/>
        <v>52021.5</v>
      </c>
      <c r="AV34" s="33">
        <f t="shared" si="16"/>
        <v>52204</v>
      </c>
      <c r="AW34" s="33">
        <f t="shared" si="16"/>
        <v>52386.5</v>
      </c>
      <c r="AX34" s="33">
        <f t="shared" si="16"/>
        <v>52569</v>
      </c>
      <c r="AY34" s="33">
        <f t="shared" si="16"/>
        <v>52751.5</v>
      </c>
      <c r="AZ34" s="33">
        <f t="shared" si="16"/>
        <v>52934</v>
      </c>
      <c r="BA34" s="33">
        <f t="shared" si="16"/>
        <v>53116.5</v>
      </c>
      <c r="BB34" s="33">
        <f t="shared" si="16"/>
        <v>53299</v>
      </c>
      <c r="BC34" s="33">
        <f t="shared" si="16"/>
        <v>53481.5</v>
      </c>
      <c r="BD34" s="33">
        <f t="shared" si="16"/>
        <v>53664</v>
      </c>
      <c r="BE34" s="33">
        <f t="shared" si="16"/>
        <v>53846.5</v>
      </c>
      <c r="BF34" s="33">
        <f t="shared" si="16"/>
        <v>54029</v>
      </c>
      <c r="BG34" s="33">
        <f t="shared" si="16"/>
        <v>54211.5</v>
      </c>
      <c r="BH34" s="33">
        <f t="shared" si="16"/>
        <v>54394</v>
      </c>
      <c r="BI34" s="33">
        <f t="shared" si="16"/>
        <v>54576.5</v>
      </c>
      <c r="BJ34" s="33">
        <f t="shared" si="16"/>
        <v>54759</v>
      </c>
      <c r="BK34" s="33">
        <f t="shared" si="16"/>
        <v>54941.5</v>
      </c>
      <c r="BL34" s="33">
        <f t="shared" si="16"/>
        <v>55124</v>
      </c>
      <c r="BM34" s="33">
        <f t="shared" si="16"/>
        <v>55306.5</v>
      </c>
      <c r="BN34" s="33">
        <f t="shared" si="16"/>
        <v>55489</v>
      </c>
      <c r="BO34" s="33">
        <f t="shared" ref="BO34:CB34" si="17">BN34+IF($G4=1,365,182.5)</f>
        <v>55671.5</v>
      </c>
      <c r="BP34" s="33">
        <f t="shared" si="17"/>
        <v>55854</v>
      </c>
      <c r="BQ34" s="33">
        <f t="shared" si="17"/>
        <v>56036.5</v>
      </c>
      <c r="BR34" s="33">
        <f t="shared" si="17"/>
        <v>56219</v>
      </c>
      <c r="BS34" s="33">
        <f t="shared" si="17"/>
        <v>56401.5</v>
      </c>
      <c r="BT34" s="33">
        <f t="shared" si="17"/>
        <v>56584</v>
      </c>
      <c r="BU34" s="33">
        <f t="shared" si="17"/>
        <v>56766.5</v>
      </c>
      <c r="BV34" s="33">
        <f t="shared" si="17"/>
        <v>56949</v>
      </c>
      <c r="BW34" s="33">
        <f t="shared" si="17"/>
        <v>57131.5</v>
      </c>
      <c r="BX34" s="33">
        <f t="shared" si="17"/>
        <v>57314</v>
      </c>
      <c r="BY34" s="33">
        <f t="shared" si="17"/>
        <v>57496.5</v>
      </c>
      <c r="BZ34" s="33">
        <f t="shared" si="17"/>
        <v>57679</v>
      </c>
      <c r="CA34" s="33">
        <f t="shared" si="17"/>
        <v>57861.5</v>
      </c>
      <c r="CB34" s="34">
        <f t="shared" si="17"/>
        <v>58044</v>
      </c>
    </row>
    <row r="35" spans="1:80">
      <c r="A35" s="164" t="s">
        <v>19</v>
      </c>
      <c r="B35" s="105">
        <f>(IF(B34=F4,100,0)+IF(G4=1,1,0.5)*J4*100)*IF(ISBLANK(F4)=TRUE,0,1)</f>
        <v>100</v>
      </c>
      <c r="C35" s="35">
        <f>IF(C34&gt;$F4+1,0,1)*(IF(D35=0,100,0)+IF($G4=1,1,0.5)*$J4*100)</f>
        <v>0</v>
      </c>
      <c r="D35" s="35">
        <f t="shared" ref="D35:BO35" si="18">IF(D34&gt;$F4+1,0,1)*(IF(E35=0,100,0)+IF($G4=1,1,0.5)*$J4*100)</f>
        <v>0</v>
      </c>
      <c r="E35" s="35">
        <f t="shared" si="18"/>
        <v>0</v>
      </c>
      <c r="F35" s="35">
        <f t="shared" si="18"/>
        <v>0</v>
      </c>
      <c r="G35" s="35">
        <f t="shared" si="18"/>
        <v>0</v>
      </c>
      <c r="H35" s="35">
        <f t="shared" si="18"/>
        <v>0</v>
      </c>
      <c r="I35" s="35">
        <f t="shared" si="18"/>
        <v>0</v>
      </c>
      <c r="J35" s="35">
        <f t="shared" si="18"/>
        <v>0</v>
      </c>
      <c r="K35" s="35">
        <f t="shared" si="18"/>
        <v>0</v>
      </c>
      <c r="L35" s="35">
        <f t="shared" si="18"/>
        <v>0</v>
      </c>
      <c r="M35" s="35">
        <f t="shared" si="18"/>
        <v>0</v>
      </c>
      <c r="N35" s="35">
        <f t="shared" si="18"/>
        <v>0</v>
      </c>
      <c r="O35" s="35">
        <f t="shared" si="18"/>
        <v>0</v>
      </c>
      <c r="P35" s="35">
        <f t="shared" si="18"/>
        <v>0</v>
      </c>
      <c r="Q35" s="35">
        <f t="shared" si="18"/>
        <v>0</v>
      </c>
      <c r="R35" s="35">
        <f t="shared" si="18"/>
        <v>0</v>
      </c>
      <c r="S35" s="35">
        <f t="shared" si="18"/>
        <v>0</v>
      </c>
      <c r="T35" s="35">
        <f t="shared" si="18"/>
        <v>0</v>
      </c>
      <c r="U35" s="35">
        <f t="shared" si="18"/>
        <v>0</v>
      </c>
      <c r="V35" s="35">
        <f t="shared" si="18"/>
        <v>0</v>
      </c>
      <c r="W35" s="35">
        <f t="shared" si="18"/>
        <v>0</v>
      </c>
      <c r="X35" s="35">
        <f t="shared" si="18"/>
        <v>0</v>
      </c>
      <c r="Y35" s="35">
        <f t="shared" si="18"/>
        <v>0</v>
      </c>
      <c r="Z35" s="35">
        <f t="shared" si="18"/>
        <v>0</v>
      </c>
      <c r="AA35" s="35">
        <f t="shared" si="18"/>
        <v>0</v>
      </c>
      <c r="AB35" s="35">
        <f t="shared" si="18"/>
        <v>0</v>
      </c>
      <c r="AC35" s="35">
        <f t="shared" si="18"/>
        <v>0</v>
      </c>
      <c r="AD35" s="35">
        <f t="shared" si="18"/>
        <v>0</v>
      </c>
      <c r="AE35" s="35">
        <f t="shared" si="18"/>
        <v>0</v>
      </c>
      <c r="AF35" s="35">
        <f t="shared" si="18"/>
        <v>0</v>
      </c>
      <c r="AG35" s="35">
        <f t="shared" si="18"/>
        <v>0</v>
      </c>
      <c r="AH35" s="35">
        <f t="shared" si="18"/>
        <v>0</v>
      </c>
      <c r="AI35" s="35">
        <f t="shared" si="18"/>
        <v>0</v>
      </c>
      <c r="AJ35" s="35">
        <f t="shared" si="18"/>
        <v>0</v>
      </c>
      <c r="AK35" s="35">
        <f t="shared" si="18"/>
        <v>0</v>
      </c>
      <c r="AL35" s="35">
        <f t="shared" si="18"/>
        <v>0</v>
      </c>
      <c r="AM35" s="35">
        <f t="shared" si="18"/>
        <v>0</v>
      </c>
      <c r="AN35" s="35">
        <f t="shared" si="18"/>
        <v>0</v>
      </c>
      <c r="AO35" s="35">
        <f t="shared" si="18"/>
        <v>0</v>
      </c>
      <c r="AP35" s="35">
        <f t="shared" si="18"/>
        <v>0</v>
      </c>
      <c r="AQ35" s="35">
        <f t="shared" si="18"/>
        <v>0</v>
      </c>
      <c r="AR35" s="35">
        <f t="shared" si="18"/>
        <v>0</v>
      </c>
      <c r="AS35" s="35">
        <f t="shared" si="18"/>
        <v>0</v>
      </c>
      <c r="AT35" s="35">
        <f t="shared" si="18"/>
        <v>0</v>
      </c>
      <c r="AU35" s="35">
        <f t="shared" si="18"/>
        <v>0</v>
      </c>
      <c r="AV35" s="35">
        <f t="shared" si="18"/>
        <v>0</v>
      </c>
      <c r="AW35" s="35">
        <f t="shared" si="18"/>
        <v>0</v>
      </c>
      <c r="AX35" s="35">
        <f t="shared" si="18"/>
        <v>0</v>
      </c>
      <c r="AY35" s="35">
        <f t="shared" si="18"/>
        <v>0</v>
      </c>
      <c r="AZ35" s="35">
        <f t="shared" si="18"/>
        <v>0</v>
      </c>
      <c r="BA35" s="35">
        <f t="shared" si="18"/>
        <v>0</v>
      </c>
      <c r="BB35" s="35">
        <f t="shared" si="18"/>
        <v>0</v>
      </c>
      <c r="BC35" s="35">
        <f t="shared" si="18"/>
        <v>0</v>
      </c>
      <c r="BD35" s="35">
        <f t="shared" si="18"/>
        <v>0</v>
      </c>
      <c r="BE35" s="35">
        <f t="shared" si="18"/>
        <v>0</v>
      </c>
      <c r="BF35" s="35">
        <f t="shared" si="18"/>
        <v>0</v>
      </c>
      <c r="BG35" s="35">
        <f t="shared" si="18"/>
        <v>0</v>
      </c>
      <c r="BH35" s="35">
        <f t="shared" si="18"/>
        <v>0</v>
      </c>
      <c r="BI35" s="35">
        <f t="shared" si="18"/>
        <v>0</v>
      </c>
      <c r="BJ35" s="35">
        <f t="shared" si="18"/>
        <v>0</v>
      </c>
      <c r="BK35" s="35">
        <f t="shared" si="18"/>
        <v>0</v>
      </c>
      <c r="BL35" s="35">
        <f t="shared" si="18"/>
        <v>0</v>
      </c>
      <c r="BM35" s="35">
        <f t="shared" si="18"/>
        <v>0</v>
      </c>
      <c r="BN35" s="35">
        <f t="shared" si="18"/>
        <v>0</v>
      </c>
      <c r="BO35" s="35">
        <f t="shared" si="18"/>
        <v>0</v>
      </c>
      <c r="BP35" s="35">
        <f t="shared" ref="BP35:CB35" si="19">IF(BP34&gt;$F4+1,0,1)*(IF(BQ35=0,100,0)+IF($G4=1,1,0.5)*$J4*100)</f>
        <v>0</v>
      </c>
      <c r="BQ35" s="35">
        <f t="shared" si="19"/>
        <v>0</v>
      </c>
      <c r="BR35" s="35">
        <f t="shared" si="19"/>
        <v>0</v>
      </c>
      <c r="BS35" s="35">
        <f t="shared" si="19"/>
        <v>0</v>
      </c>
      <c r="BT35" s="35">
        <f t="shared" si="19"/>
        <v>0</v>
      </c>
      <c r="BU35" s="35">
        <f t="shared" si="19"/>
        <v>0</v>
      </c>
      <c r="BV35" s="35">
        <f t="shared" si="19"/>
        <v>0</v>
      </c>
      <c r="BW35" s="35">
        <f t="shared" si="19"/>
        <v>0</v>
      </c>
      <c r="BX35" s="35">
        <f t="shared" si="19"/>
        <v>0</v>
      </c>
      <c r="BY35" s="35">
        <f t="shared" si="19"/>
        <v>0</v>
      </c>
      <c r="BZ35" s="35">
        <f t="shared" si="19"/>
        <v>0</v>
      </c>
      <c r="CA35" s="35">
        <f t="shared" si="19"/>
        <v>0</v>
      </c>
      <c r="CB35" s="36">
        <f t="shared" si="19"/>
        <v>0</v>
      </c>
    </row>
    <row r="36" spans="1:80">
      <c r="A36" s="262" t="s">
        <v>49</v>
      </c>
      <c r="B36" s="144" t="str">
        <f>IF(E5=0,F5,E5)</f>
        <v>1/1/2020</v>
      </c>
      <c r="C36" s="145">
        <f>B36+IF($G5=1,365,182.5)</f>
        <v>44013.5</v>
      </c>
      <c r="D36" s="145">
        <f t="shared" ref="D36:BO36" si="20">C36+IF($G5=1,365,182.5)</f>
        <v>44196</v>
      </c>
      <c r="E36" s="141">
        <f t="shared" si="20"/>
        <v>44378.5</v>
      </c>
      <c r="F36" s="145">
        <f t="shared" si="20"/>
        <v>44561</v>
      </c>
      <c r="G36" s="145">
        <f t="shared" si="20"/>
        <v>44743.5</v>
      </c>
      <c r="H36" s="145">
        <f t="shared" si="20"/>
        <v>44926</v>
      </c>
      <c r="I36" s="145">
        <f t="shared" si="20"/>
        <v>45108.5</v>
      </c>
      <c r="J36" s="145">
        <f t="shared" si="20"/>
        <v>45291</v>
      </c>
      <c r="K36" s="145">
        <f t="shared" si="20"/>
        <v>45473.5</v>
      </c>
      <c r="L36" s="145">
        <f t="shared" si="20"/>
        <v>45656</v>
      </c>
      <c r="M36" s="145">
        <f t="shared" si="20"/>
        <v>45838.5</v>
      </c>
      <c r="N36" s="145">
        <f t="shared" si="20"/>
        <v>46021</v>
      </c>
      <c r="O36" s="145">
        <f t="shared" si="20"/>
        <v>46203.5</v>
      </c>
      <c r="P36" s="145">
        <f t="shared" si="20"/>
        <v>46386</v>
      </c>
      <c r="Q36" s="145">
        <f t="shared" si="20"/>
        <v>46568.5</v>
      </c>
      <c r="R36" s="145">
        <f t="shared" si="20"/>
        <v>46751</v>
      </c>
      <c r="S36" s="145">
        <f t="shared" si="20"/>
        <v>46933.5</v>
      </c>
      <c r="T36" s="145">
        <f t="shared" si="20"/>
        <v>47116</v>
      </c>
      <c r="U36" s="145">
        <f t="shared" si="20"/>
        <v>47298.5</v>
      </c>
      <c r="V36" s="145">
        <f t="shared" si="20"/>
        <v>47481</v>
      </c>
      <c r="W36" s="145">
        <f t="shared" si="20"/>
        <v>47663.5</v>
      </c>
      <c r="X36" s="145">
        <f t="shared" si="20"/>
        <v>47846</v>
      </c>
      <c r="Y36" s="145">
        <f t="shared" si="20"/>
        <v>48028.5</v>
      </c>
      <c r="Z36" s="145">
        <f t="shared" si="20"/>
        <v>48211</v>
      </c>
      <c r="AA36" s="145">
        <f t="shared" si="20"/>
        <v>48393.5</v>
      </c>
      <c r="AB36" s="145">
        <f t="shared" si="20"/>
        <v>48576</v>
      </c>
      <c r="AC36" s="145">
        <f t="shared" si="20"/>
        <v>48758.5</v>
      </c>
      <c r="AD36" s="145">
        <f t="shared" si="20"/>
        <v>48941</v>
      </c>
      <c r="AE36" s="145">
        <f t="shared" si="20"/>
        <v>49123.5</v>
      </c>
      <c r="AF36" s="145">
        <f t="shared" si="20"/>
        <v>49306</v>
      </c>
      <c r="AG36" s="145">
        <f t="shared" si="20"/>
        <v>49488.5</v>
      </c>
      <c r="AH36" s="145">
        <f t="shared" si="20"/>
        <v>49671</v>
      </c>
      <c r="AI36" s="145">
        <f t="shared" si="20"/>
        <v>49853.5</v>
      </c>
      <c r="AJ36" s="145">
        <f t="shared" si="20"/>
        <v>50036</v>
      </c>
      <c r="AK36" s="145">
        <f t="shared" si="20"/>
        <v>50218.5</v>
      </c>
      <c r="AL36" s="145">
        <f t="shared" si="20"/>
        <v>50401</v>
      </c>
      <c r="AM36" s="145">
        <f t="shared" si="20"/>
        <v>50583.5</v>
      </c>
      <c r="AN36" s="145">
        <f t="shared" si="20"/>
        <v>50766</v>
      </c>
      <c r="AO36" s="145">
        <f t="shared" si="20"/>
        <v>50948.5</v>
      </c>
      <c r="AP36" s="145">
        <f t="shared" si="20"/>
        <v>51131</v>
      </c>
      <c r="AQ36" s="145">
        <f t="shared" si="20"/>
        <v>51313.5</v>
      </c>
      <c r="AR36" s="145">
        <f t="shared" si="20"/>
        <v>51496</v>
      </c>
      <c r="AS36" s="145">
        <f t="shared" si="20"/>
        <v>51678.5</v>
      </c>
      <c r="AT36" s="145">
        <f t="shared" si="20"/>
        <v>51861</v>
      </c>
      <c r="AU36" s="145">
        <f t="shared" si="20"/>
        <v>52043.5</v>
      </c>
      <c r="AV36" s="145">
        <f t="shared" si="20"/>
        <v>52226</v>
      </c>
      <c r="AW36" s="145">
        <f t="shared" si="20"/>
        <v>52408.5</v>
      </c>
      <c r="AX36" s="145">
        <f t="shared" si="20"/>
        <v>52591</v>
      </c>
      <c r="AY36" s="145">
        <f t="shared" si="20"/>
        <v>52773.5</v>
      </c>
      <c r="AZ36" s="145">
        <f t="shared" si="20"/>
        <v>52956</v>
      </c>
      <c r="BA36" s="145">
        <f t="shared" si="20"/>
        <v>53138.5</v>
      </c>
      <c r="BB36" s="145">
        <f t="shared" si="20"/>
        <v>53321</v>
      </c>
      <c r="BC36" s="145">
        <f t="shared" si="20"/>
        <v>53503.5</v>
      </c>
      <c r="BD36" s="145">
        <f t="shared" si="20"/>
        <v>53686</v>
      </c>
      <c r="BE36" s="145">
        <f t="shared" si="20"/>
        <v>53868.5</v>
      </c>
      <c r="BF36" s="145">
        <f t="shared" si="20"/>
        <v>54051</v>
      </c>
      <c r="BG36" s="145">
        <f t="shared" si="20"/>
        <v>54233.5</v>
      </c>
      <c r="BH36" s="145">
        <f t="shared" si="20"/>
        <v>54416</v>
      </c>
      <c r="BI36" s="145">
        <f t="shared" si="20"/>
        <v>54598.5</v>
      </c>
      <c r="BJ36" s="145">
        <f t="shared" si="20"/>
        <v>54781</v>
      </c>
      <c r="BK36" s="145">
        <f t="shared" si="20"/>
        <v>54963.5</v>
      </c>
      <c r="BL36" s="145">
        <f t="shared" si="20"/>
        <v>55146</v>
      </c>
      <c r="BM36" s="145">
        <f t="shared" si="20"/>
        <v>55328.5</v>
      </c>
      <c r="BN36" s="145">
        <f t="shared" si="20"/>
        <v>55511</v>
      </c>
      <c r="BO36" s="145">
        <f t="shared" si="20"/>
        <v>55693.5</v>
      </c>
      <c r="BP36" s="145">
        <f t="shared" ref="BP36:CB36" si="21">BO36+IF($G5=1,365,182.5)</f>
        <v>55876</v>
      </c>
      <c r="BQ36" s="145">
        <f t="shared" si="21"/>
        <v>56058.5</v>
      </c>
      <c r="BR36" s="145">
        <f t="shared" si="21"/>
        <v>56241</v>
      </c>
      <c r="BS36" s="145">
        <f t="shared" si="21"/>
        <v>56423.5</v>
      </c>
      <c r="BT36" s="145">
        <f t="shared" si="21"/>
        <v>56606</v>
      </c>
      <c r="BU36" s="145">
        <f t="shared" si="21"/>
        <v>56788.5</v>
      </c>
      <c r="BV36" s="145">
        <f t="shared" si="21"/>
        <v>56971</v>
      </c>
      <c r="BW36" s="145">
        <f t="shared" si="21"/>
        <v>57153.5</v>
      </c>
      <c r="BX36" s="145">
        <f t="shared" si="21"/>
        <v>57336</v>
      </c>
      <c r="BY36" s="145">
        <f t="shared" si="21"/>
        <v>57518.5</v>
      </c>
      <c r="BZ36" s="145">
        <f t="shared" si="21"/>
        <v>57701</v>
      </c>
      <c r="CA36" s="145">
        <f t="shared" si="21"/>
        <v>57883.5</v>
      </c>
      <c r="CB36" s="146">
        <f t="shared" si="21"/>
        <v>58066</v>
      </c>
    </row>
    <row r="37" spans="1:80">
      <c r="A37" s="165" t="s">
        <v>24</v>
      </c>
      <c r="B37" s="147">
        <f>(IF(B36=F5,100,0)+IF(G5=1,1,0.5)*J5*100)*IF(ISBLANK(F5)=TRUE,0,1)</f>
        <v>0.05</v>
      </c>
      <c r="C37" s="148">
        <f>IF(C36&gt;$F5+2,0,1)*(IF(D37=0,100,0)+IF($G5=1,1,0.5)*$J5*100)</f>
        <v>100.05</v>
      </c>
      <c r="D37" s="148">
        <f t="shared" ref="D37:BO37" si="22">IF(D36&gt;$F5+2,0,1)*(IF(E37=0,100,0)+IF($G5=1,1,0.5)*$J5*100)</f>
        <v>0</v>
      </c>
      <c r="E37" s="148">
        <f t="shared" si="22"/>
        <v>0</v>
      </c>
      <c r="F37" s="148">
        <f t="shared" si="22"/>
        <v>0</v>
      </c>
      <c r="G37" s="148">
        <f t="shared" si="22"/>
        <v>0</v>
      </c>
      <c r="H37" s="148">
        <f t="shared" si="22"/>
        <v>0</v>
      </c>
      <c r="I37" s="148">
        <f t="shared" si="22"/>
        <v>0</v>
      </c>
      <c r="J37" s="148">
        <f t="shared" si="22"/>
        <v>0</v>
      </c>
      <c r="K37" s="148">
        <f t="shared" si="22"/>
        <v>0</v>
      </c>
      <c r="L37" s="148">
        <f t="shared" si="22"/>
        <v>0</v>
      </c>
      <c r="M37" s="148">
        <f t="shared" si="22"/>
        <v>0</v>
      </c>
      <c r="N37" s="148">
        <f t="shared" si="22"/>
        <v>0</v>
      </c>
      <c r="O37" s="148">
        <f t="shared" si="22"/>
        <v>0</v>
      </c>
      <c r="P37" s="148">
        <f t="shared" si="22"/>
        <v>0</v>
      </c>
      <c r="Q37" s="148">
        <f t="shared" si="22"/>
        <v>0</v>
      </c>
      <c r="R37" s="148">
        <f t="shared" si="22"/>
        <v>0</v>
      </c>
      <c r="S37" s="148">
        <f t="shared" si="22"/>
        <v>0</v>
      </c>
      <c r="T37" s="148">
        <f t="shared" si="22"/>
        <v>0</v>
      </c>
      <c r="U37" s="148">
        <f t="shared" si="22"/>
        <v>0</v>
      </c>
      <c r="V37" s="148">
        <f t="shared" si="22"/>
        <v>0</v>
      </c>
      <c r="W37" s="148">
        <f t="shared" si="22"/>
        <v>0</v>
      </c>
      <c r="X37" s="148">
        <f t="shared" si="22"/>
        <v>0</v>
      </c>
      <c r="Y37" s="148">
        <f t="shared" si="22"/>
        <v>0</v>
      </c>
      <c r="Z37" s="148">
        <f t="shared" si="22"/>
        <v>0</v>
      </c>
      <c r="AA37" s="148">
        <f t="shared" si="22"/>
        <v>0</v>
      </c>
      <c r="AB37" s="148">
        <f t="shared" si="22"/>
        <v>0</v>
      </c>
      <c r="AC37" s="148">
        <f t="shared" si="22"/>
        <v>0</v>
      </c>
      <c r="AD37" s="148">
        <f t="shared" si="22"/>
        <v>0</v>
      </c>
      <c r="AE37" s="148">
        <f t="shared" si="22"/>
        <v>0</v>
      </c>
      <c r="AF37" s="148">
        <f t="shared" si="22"/>
        <v>0</v>
      </c>
      <c r="AG37" s="148">
        <f t="shared" si="22"/>
        <v>0</v>
      </c>
      <c r="AH37" s="148">
        <f t="shared" si="22"/>
        <v>0</v>
      </c>
      <c r="AI37" s="148">
        <f t="shared" si="22"/>
        <v>0</v>
      </c>
      <c r="AJ37" s="148">
        <f t="shared" si="22"/>
        <v>0</v>
      </c>
      <c r="AK37" s="148">
        <f t="shared" si="22"/>
        <v>0</v>
      </c>
      <c r="AL37" s="148">
        <f t="shared" si="22"/>
        <v>0</v>
      </c>
      <c r="AM37" s="148">
        <f t="shared" si="22"/>
        <v>0</v>
      </c>
      <c r="AN37" s="148">
        <f t="shared" si="22"/>
        <v>0</v>
      </c>
      <c r="AO37" s="148">
        <f t="shared" si="22"/>
        <v>0</v>
      </c>
      <c r="AP37" s="148">
        <f t="shared" si="22"/>
        <v>0</v>
      </c>
      <c r="AQ37" s="148">
        <f t="shared" si="22"/>
        <v>0</v>
      </c>
      <c r="AR37" s="148">
        <f t="shared" si="22"/>
        <v>0</v>
      </c>
      <c r="AS37" s="148">
        <f t="shared" si="22"/>
        <v>0</v>
      </c>
      <c r="AT37" s="148">
        <f t="shared" si="22"/>
        <v>0</v>
      </c>
      <c r="AU37" s="148">
        <f t="shared" si="22"/>
        <v>0</v>
      </c>
      <c r="AV37" s="148">
        <f t="shared" si="22"/>
        <v>0</v>
      </c>
      <c r="AW37" s="148">
        <f t="shared" si="22"/>
        <v>0</v>
      </c>
      <c r="AX37" s="148">
        <f t="shared" si="22"/>
        <v>0</v>
      </c>
      <c r="AY37" s="148">
        <f t="shared" si="22"/>
        <v>0</v>
      </c>
      <c r="AZ37" s="148">
        <f t="shared" si="22"/>
        <v>0</v>
      </c>
      <c r="BA37" s="148">
        <f t="shared" si="22"/>
        <v>0</v>
      </c>
      <c r="BB37" s="148">
        <f t="shared" si="22"/>
        <v>0</v>
      </c>
      <c r="BC37" s="148">
        <f t="shared" si="22"/>
        <v>0</v>
      </c>
      <c r="BD37" s="148">
        <f t="shared" si="22"/>
        <v>0</v>
      </c>
      <c r="BE37" s="148">
        <f t="shared" si="22"/>
        <v>0</v>
      </c>
      <c r="BF37" s="148">
        <f t="shared" si="22"/>
        <v>0</v>
      </c>
      <c r="BG37" s="148">
        <f t="shared" si="22"/>
        <v>0</v>
      </c>
      <c r="BH37" s="148">
        <f t="shared" si="22"/>
        <v>0</v>
      </c>
      <c r="BI37" s="148">
        <f t="shared" si="22"/>
        <v>0</v>
      </c>
      <c r="BJ37" s="148">
        <f t="shared" si="22"/>
        <v>0</v>
      </c>
      <c r="BK37" s="148">
        <f t="shared" si="22"/>
        <v>0</v>
      </c>
      <c r="BL37" s="148">
        <f t="shared" si="22"/>
        <v>0</v>
      </c>
      <c r="BM37" s="148">
        <f t="shared" si="22"/>
        <v>0</v>
      </c>
      <c r="BN37" s="148">
        <f t="shared" si="22"/>
        <v>0</v>
      </c>
      <c r="BO37" s="148">
        <f t="shared" si="22"/>
        <v>0</v>
      </c>
      <c r="BP37" s="148">
        <f t="shared" ref="BP37:CB37" si="23">IF(BP36&gt;$F5+2,0,1)*(IF(BQ37=0,100,0)+IF($G5=1,1,0.5)*$J5*100)</f>
        <v>0</v>
      </c>
      <c r="BQ37" s="148">
        <f t="shared" si="23"/>
        <v>0</v>
      </c>
      <c r="BR37" s="148">
        <f t="shared" si="23"/>
        <v>0</v>
      </c>
      <c r="BS37" s="148">
        <f t="shared" si="23"/>
        <v>0</v>
      </c>
      <c r="BT37" s="148">
        <f t="shared" si="23"/>
        <v>0</v>
      </c>
      <c r="BU37" s="148">
        <f t="shared" si="23"/>
        <v>0</v>
      </c>
      <c r="BV37" s="148">
        <f t="shared" si="23"/>
        <v>0</v>
      </c>
      <c r="BW37" s="148">
        <f t="shared" si="23"/>
        <v>0</v>
      </c>
      <c r="BX37" s="148">
        <f t="shared" si="23"/>
        <v>0</v>
      </c>
      <c r="BY37" s="148">
        <f t="shared" si="23"/>
        <v>0</v>
      </c>
      <c r="BZ37" s="148">
        <f t="shared" si="23"/>
        <v>0</v>
      </c>
      <c r="CA37" s="148">
        <f t="shared" si="23"/>
        <v>0</v>
      </c>
      <c r="CB37" s="148">
        <f t="shared" si="23"/>
        <v>0</v>
      </c>
    </row>
    <row r="38" spans="1:80">
      <c r="A38" s="261" t="s">
        <v>49</v>
      </c>
      <c r="B38" s="37" t="str">
        <f>IF(E6=0,F6,E6)</f>
        <v>1/1/2020</v>
      </c>
      <c r="C38" s="38">
        <f>B38+IF($G6=1,365,182.5)</f>
        <v>44013.5</v>
      </c>
      <c r="D38" s="38">
        <f t="shared" ref="D38:BO38" si="24">C38+IF($G6=1,365,182.5)</f>
        <v>44196</v>
      </c>
      <c r="E38" s="38">
        <f t="shared" si="24"/>
        <v>44378.5</v>
      </c>
      <c r="F38" s="38">
        <f t="shared" si="24"/>
        <v>44561</v>
      </c>
      <c r="G38" s="141">
        <f t="shared" si="24"/>
        <v>44743.5</v>
      </c>
      <c r="H38" s="38">
        <f t="shared" si="24"/>
        <v>44926</v>
      </c>
      <c r="I38" s="38">
        <f t="shared" si="24"/>
        <v>45108.5</v>
      </c>
      <c r="J38" s="38">
        <f t="shared" si="24"/>
        <v>45291</v>
      </c>
      <c r="K38" s="38">
        <f t="shared" si="24"/>
        <v>45473.5</v>
      </c>
      <c r="L38" s="38">
        <f t="shared" si="24"/>
        <v>45656</v>
      </c>
      <c r="M38" s="38">
        <f t="shared" si="24"/>
        <v>45838.5</v>
      </c>
      <c r="N38" s="38">
        <f t="shared" si="24"/>
        <v>46021</v>
      </c>
      <c r="O38" s="38">
        <f t="shared" si="24"/>
        <v>46203.5</v>
      </c>
      <c r="P38" s="38">
        <f t="shared" si="24"/>
        <v>46386</v>
      </c>
      <c r="Q38" s="38">
        <f t="shared" si="24"/>
        <v>46568.5</v>
      </c>
      <c r="R38" s="38">
        <f t="shared" si="24"/>
        <v>46751</v>
      </c>
      <c r="S38" s="38">
        <f t="shared" si="24"/>
        <v>46933.5</v>
      </c>
      <c r="T38" s="38">
        <f t="shared" si="24"/>
        <v>47116</v>
      </c>
      <c r="U38" s="38">
        <f t="shared" si="24"/>
        <v>47298.5</v>
      </c>
      <c r="V38" s="38">
        <f t="shared" si="24"/>
        <v>47481</v>
      </c>
      <c r="W38" s="38">
        <f t="shared" si="24"/>
        <v>47663.5</v>
      </c>
      <c r="X38" s="38">
        <f t="shared" si="24"/>
        <v>47846</v>
      </c>
      <c r="Y38" s="38">
        <f t="shared" si="24"/>
        <v>48028.5</v>
      </c>
      <c r="Z38" s="38">
        <f t="shared" si="24"/>
        <v>48211</v>
      </c>
      <c r="AA38" s="38">
        <f t="shared" si="24"/>
        <v>48393.5</v>
      </c>
      <c r="AB38" s="38">
        <f t="shared" si="24"/>
        <v>48576</v>
      </c>
      <c r="AC38" s="38">
        <f t="shared" si="24"/>
        <v>48758.5</v>
      </c>
      <c r="AD38" s="38">
        <f t="shared" si="24"/>
        <v>48941</v>
      </c>
      <c r="AE38" s="38">
        <f t="shared" si="24"/>
        <v>49123.5</v>
      </c>
      <c r="AF38" s="38">
        <f t="shared" si="24"/>
        <v>49306</v>
      </c>
      <c r="AG38" s="38">
        <f t="shared" si="24"/>
        <v>49488.5</v>
      </c>
      <c r="AH38" s="38">
        <f t="shared" si="24"/>
        <v>49671</v>
      </c>
      <c r="AI38" s="38">
        <f t="shared" si="24"/>
        <v>49853.5</v>
      </c>
      <c r="AJ38" s="38">
        <f t="shared" si="24"/>
        <v>50036</v>
      </c>
      <c r="AK38" s="38">
        <f t="shared" si="24"/>
        <v>50218.5</v>
      </c>
      <c r="AL38" s="38">
        <f t="shared" si="24"/>
        <v>50401</v>
      </c>
      <c r="AM38" s="38">
        <f t="shared" si="24"/>
        <v>50583.5</v>
      </c>
      <c r="AN38" s="38">
        <f t="shared" si="24"/>
        <v>50766</v>
      </c>
      <c r="AO38" s="38">
        <f t="shared" si="24"/>
        <v>50948.5</v>
      </c>
      <c r="AP38" s="38">
        <f t="shared" si="24"/>
        <v>51131</v>
      </c>
      <c r="AQ38" s="38">
        <f t="shared" si="24"/>
        <v>51313.5</v>
      </c>
      <c r="AR38" s="38">
        <f t="shared" si="24"/>
        <v>51496</v>
      </c>
      <c r="AS38" s="38">
        <f t="shared" si="24"/>
        <v>51678.5</v>
      </c>
      <c r="AT38" s="38">
        <f t="shared" si="24"/>
        <v>51861</v>
      </c>
      <c r="AU38" s="38">
        <f t="shared" si="24"/>
        <v>52043.5</v>
      </c>
      <c r="AV38" s="38">
        <f t="shared" si="24"/>
        <v>52226</v>
      </c>
      <c r="AW38" s="38">
        <f t="shared" si="24"/>
        <v>52408.5</v>
      </c>
      <c r="AX38" s="38">
        <f t="shared" si="24"/>
        <v>52591</v>
      </c>
      <c r="AY38" s="38">
        <f t="shared" si="24"/>
        <v>52773.5</v>
      </c>
      <c r="AZ38" s="38">
        <f t="shared" si="24"/>
        <v>52956</v>
      </c>
      <c r="BA38" s="38">
        <f t="shared" si="24"/>
        <v>53138.5</v>
      </c>
      <c r="BB38" s="38">
        <f t="shared" si="24"/>
        <v>53321</v>
      </c>
      <c r="BC38" s="38">
        <f t="shared" si="24"/>
        <v>53503.5</v>
      </c>
      <c r="BD38" s="38">
        <f t="shared" si="24"/>
        <v>53686</v>
      </c>
      <c r="BE38" s="38">
        <f t="shared" si="24"/>
        <v>53868.5</v>
      </c>
      <c r="BF38" s="38">
        <f t="shared" si="24"/>
        <v>54051</v>
      </c>
      <c r="BG38" s="38">
        <f t="shared" si="24"/>
        <v>54233.5</v>
      </c>
      <c r="BH38" s="38">
        <f t="shared" si="24"/>
        <v>54416</v>
      </c>
      <c r="BI38" s="38">
        <f t="shared" si="24"/>
        <v>54598.5</v>
      </c>
      <c r="BJ38" s="38">
        <f t="shared" si="24"/>
        <v>54781</v>
      </c>
      <c r="BK38" s="38">
        <f t="shared" si="24"/>
        <v>54963.5</v>
      </c>
      <c r="BL38" s="38">
        <f t="shared" si="24"/>
        <v>55146</v>
      </c>
      <c r="BM38" s="38">
        <f t="shared" si="24"/>
        <v>55328.5</v>
      </c>
      <c r="BN38" s="38">
        <f t="shared" si="24"/>
        <v>55511</v>
      </c>
      <c r="BO38" s="38">
        <f t="shared" si="24"/>
        <v>55693.5</v>
      </c>
      <c r="BP38" s="38">
        <f t="shared" ref="BP38:CB38" si="25">BO38+IF($G6=1,365,182.5)</f>
        <v>55876</v>
      </c>
      <c r="BQ38" s="38">
        <f t="shared" si="25"/>
        <v>56058.5</v>
      </c>
      <c r="BR38" s="38">
        <f t="shared" si="25"/>
        <v>56241</v>
      </c>
      <c r="BS38" s="38">
        <f t="shared" si="25"/>
        <v>56423.5</v>
      </c>
      <c r="BT38" s="38">
        <f t="shared" si="25"/>
        <v>56606</v>
      </c>
      <c r="BU38" s="38">
        <f t="shared" si="25"/>
        <v>56788.5</v>
      </c>
      <c r="BV38" s="38">
        <f t="shared" si="25"/>
        <v>56971</v>
      </c>
      <c r="BW38" s="38">
        <f t="shared" si="25"/>
        <v>57153.5</v>
      </c>
      <c r="BX38" s="38">
        <f t="shared" si="25"/>
        <v>57336</v>
      </c>
      <c r="BY38" s="38">
        <f t="shared" si="25"/>
        <v>57518.5</v>
      </c>
      <c r="BZ38" s="38">
        <f t="shared" si="25"/>
        <v>57701</v>
      </c>
      <c r="CA38" s="38">
        <f t="shared" si="25"/>
        <v>57883.5</v>
      </c>
      <c r="CB38" s="39">
        <f t="shared" si="25"/>
        <v>58066</v>
      </c>
    </row>
    <row r="39" spans="1:80">
      <c r="A39" s="166" t="s">
        <v>25</v>
      </c>
      <c r="B39" s="106">
        <f>(IF(B38=F6,100,0)+IF(G6=1,1,0.5)*J6*100)*IF(ISBLANK(F6)=TRUE,0,1)</f>
        <v>0.05</v>
      </c>
      <c r="C39" s="40">
        <f>IF(C38&gt;$F6+1,0,1)*(IF(D39=0,100,0)+IF($G6=1,1,0.5)*$J6*100)</f>
        <v>0.05</v>
      </c>
      <c r="D39" s="40">
        <f t="shared" ref="D39:BO39" si="26">IF(D38&gt;$F6+1,0,1)*(IF(E39=0,100,0)+IF($G6=1,1,0.5)*$J6*100)</f>
        <v>0.05</v>
      </c>
      <c r="E39" s="40">
        <f t="shared" si="26"/>
        <v>100.05</v>
      </c>
      <c r="F39" s="40">
        <f t="shared" si="26"/>
        <v>0</v>
      </c>
      <c r="G39" s="40">
        <f t="shared" si="26"/>
        <v>0</v>
      </c>
      <c r="H39" s="40">
        <f t="shared" si="26"/>
        <v>0</v>
      </c>
      <c r="I39" s="40">
        <f t="shared" si="26"/>
        <v>0</v>
      </c>
      <c r="J39" s="40">
        <f t="shared" si="26"/>
        <v>0</v>
      </c>
      <c r="K39" s="40">
        <f t="shared" si="26"/>
        <v>0</v>
      </c>
      <c r="L39" s="40">
        <f t="shared" si="26"/>
        <v>0</v>
      </c>
      <c r="M39" s="40">
        <f t="shared" si="26"/>
        <v>0</v>
      </c>
      <c r="N39" s="40">
        <f t="shared" si="26"/>
        <v>0</v>
      </c>
      <c r="O39" s="40">
        <f t="shared" si="26"/>
        <v>0</v>
      </c>
      <c r="P39" s="40">
        <f t="shared" si="26"/>
        <v>0</v>
      </c>
      <c r="Q39" s="40">
        <f t="shared" si="26"/>
        <v>0</v>
      </c>
      <c r="R39" s="40">
        <f t="shared" si="26"/>
        <v>0</v>
      </c>
      <c r="S39" s="40">
        <f t="shared" si="26"/>
        <v>0</v>
      </c>
      <c r="T39" s="40">
        <f t="shared" si="26"/>
        <v>0</v>
      </c>
      <c r="U39" s="40">
        <f t="shared" si="26"/>
        <v>0</v>
      </c>
      <c r="V39" s="40">
        <f t="shared" si="26"/>
        <v>0</v>
      </c>
      <c r="W39" s="40">
        <f t="shared" si="26"/>
        <v>0</v>
      </c>
      <c r="X39" s="40">
        <f t="shared" si="26"/>
        <v>0</v>
      </c>
      <c r="Y39" s="40">
        <f t="shared" si="26"/>
        <v>0</v>
      </c>
      <c r="Z39" s="40">
        <f t="shared" si="26"/>
        <v>0</v>
      </c>
      <c r="AA39" s="40">
        <f t="shared" si="26"/>
        <v>0</v>
      </c>
      <c r="AB39" s="40">
        <f t="shared" si="26"/>
        <v>0</v>
      </c>
      <c r="AC39" s="40">
        <f t="shared" si="26"/>
        <v>0</v>
      </c>
      <c r="AD39" s="40">
        <f t="shared" si="26"/>
        <v>0</v>
      </c>
      <c r="AE39" s="40">
        <f t="shared" si="26"/>
        <v>0</v>
      </c>
      <c r="AF39" s="40">
        <f t="shared" si="26"/>
        <v>0</v>
      </c>
      <c r="AG39" s="40">
        <f t="shared" si="26"/>
        <v>0</v>
      </c>
      <c r="AH39" s="40">
        <f t="shared" si="26"/>
        <v>0</v>
      </c>
      <c r="AI39" s="40">
        <f t="shared" si="26"/>
        <v>0</v>
      </c>
      <c r="AJ39" s="40">
        <f t="shared" si="26"/>
        <v>0</v>
      </c>
      <c r="AK39" s="40">
        <f t="shared" si="26"/>
        <v>0</v>
      </c>
      <c r="AL39" s="40">
        <f t="shared" si="26"/>
        <v>0</v>
      </c>
      <c r="AM39" s="40">
        <f t="shared" si="26"/>
        <v>0</v>
      </c>
      <c r="AN39" s="40">
        <f t="shared" si="26"/>
        <v>0</v>
      </c>
      <c r="AO39" s="40">
        <f t="shared" si="26"/>
        <v>0</v>
      </c>
      <c r="AP39" s="40">
        <f t="shared" si="26"/>
        <v>0</v>
      </c>
      <c r="AQ39" s="40">
        <f t="shared" si="26"/>
        <v>0</v>
      </c>
      <c r="AR39" s="40">
        <f t="shared" si="26"/>
        <v>0</v>
      </c>
      <c r="AS39" s="40">
        <f t="shared" si="26"/>
        <v>0</v>
      </c>
      <c r="AT39" s="40">
        <f t="shared" si="26"/>
        <v>0</v>
      </c>
      <c r="AU39" s="40">
        <f t="shared" si="26"/>
        <v>0</v>
      </c>
      <c r="AV39" s="40">
        <f t="shared" si="26"/>
        <v>0</v>
      </c>
      <c r="AW39" s="40">
        <f t="shared" si="26"/>
        <v>0</v>
      </c>
      <c r="AX39" s="40">
        <f t="shared" si="26"/>
        <v>0</v>
      </c>
      <c r="AY39" s="40">
        <f t="shared" si="26"/>
        <v>0</v>
      </c>
      <c r="AZ39" s="40">
        <f t="shared" si="26"/>
        <v>0</v>
      </c>
      <c r="BA39" s="40">
        <f t="shared" si="26"/>
        <v>0</v>
      </c>
      <c r="BB39" s="40">
        <f t="shared" si="26"/>
        <v>0</v>
      </c>
      <c r="BC39" s="40">
        <f t="shared" si="26"/>
        <v>0</v>
      </c>
      <c r="BD39" s="40">
        <f t="shared" si="26"/>
        <v>0</v>
      </c>
      <c r="BE39" s="40">
        <f t="shared" si="26"/>
        <v>0</v>
      </c>
      <c r="BF39" s="40">
        <f t="shared" si="26"/>
        <v>0</v>
      </c>
      <c r="BG39" s="40">
        <f t="shared" si="26"/>
        <v>0</v>
      </c>
      <c r="BH39" s="40">
        <f t="shared" si="26"/>
        <v>0</v>
      </c>
      <c r="BI39" s="40">
        <f t="shared" si="26"/>
        <v>0</v>
      </c>
      <c r="BJ39" s="40">
        <f t="shared" si="26"/>
        <v>0</v>
      </c>
      <c r="BK39" s="40">
        <f t="shared" si="26"/>
        <v>0</v>
      </c>
      <c r="BL39" s="40">
        <f t="shared" si="26"/>
        <v>0</v>
      </c>
      <c r="BM39" s="40">
        <f t="shared" si="26"/>
        <v>0</v>
      </c>
      <c r="BN39" s="40">
        <f t="shared" si="26"/>
        <v>0</v>
      </c>
      <c r="BO39" s="40">
        <f t="shared" si="26"/>
        <v>0</v>
      </c>
      <c r="BP39" s="40">
        <f t="shared" ref="BP39:CB39" si="27">IF(BP38&gt;$F6+1,0,1)*(IF(BQ39=0,100,0)+IF($G6=1,1,0.5)*$J6*100)</f>
        <v>0</v>
      </c>
      <c r="BQ39" s="40">
        <f t="shared" si="27"/>
        <v>0</v>
      </c>
      <c r="BR39" s="40">
        <f t="shared" si="27"/>
        <v>0</v>
      </c>
      <c r="BS39" s="40">
        <f t="shared" si="27"/>
        <v>0</v>
      </c>
      <c r="BT39" s="40">
        <f t="shared" si="27"/>
        <v>0</v>
      </c>
      <c r="BU39" s="40">
        <f t="shared" si="27"/>
        <v>0</v>
      </c>
      <c r="BV39" s="40">
        <f t="shared" si="27"/>
        <v>0</v>
      </c>
      <c r="BW39" s="40">
        <f t="shared" si="27"/>
        <v>0</v>
      </c>
      <c r="BX39" s="40">
        <f t="shared" si="27"/>
        <v>0</v>
      </c>
      <c r="BY39" s="40">
        <f t="shared" si="27"/>
        <v>0</v>
      </c>
      <c r="BZ39" s="40">
        <f t="shared" si="27"/>
        <v>0</v>
      </c>
      <c r="CA39" s="40">
        <f t="shared" si="27"/>
        <v>0</v>
      </c>
      <c r="CB39" s="41">
        <f t="shared" si="27"/>
        <v>0</v>
      </c>
    </row>
    <row r="40" spans="1:80">
      <c r="A40" s="260" t="s">
        <v>49</v>
      </c>
      <c r="B40" s="42" t="str">
        <f>IF(E7=0,F7,E7)</f>
        <v>9/20/2019</v>
      </c>
      <c r="C40" s="43">
        <f t="shared" ref="C40:BN40" si="28">B40+IF($G7=1,365,182.5)</f>
        <v>43910.5</v>
      </c>
      <c r="D40" s="43">
        <f t="shared" si="28"/>
        <v>44093</v>
      </c>
      <c r="E40" s="43">
        <f t="shared" si="28"/>
        <v>44275.5</v>
      </c>
      <c r="F40" s="43">
        <f t="shared" si="28"/>
        <v>44458</v>
      </c>
      <c r="G40" s="43">
        <f t="shared" si="28"/>
        <v>44640.5</v>
      </c>
      <c r="H40" s="43">
        <f t="shared" si="28"/>
        <v>44823</v>
      </c>
      <c r="I40" s="43">
        <f t="shared" si="28"/>
        <v>45005.5</v>
      </c>
      <c r="J40" s="43">
        <f t="shared" si="28"/>
        <v>45188</v>
      </c>
      <c r="K40" s="100">
        <f t="shared" si="28"/>
        <v>45370.5</v>
      </c>
      <c r="L40" s="43">
        <f t="shared" si="28"/>
        <v>45553</v>
      </c>
      <c r="M40" s="43">
        <f t="shared" si="28"/>
        <v>45735.5</v>
      </c>
      <c r="N40" s="43">
        <f t="shared" si="28"/>
        <v>45918</v>
      </c>
      <c r="O40" s="43">
        <f t="shared" si="28"/>
        <v>46100.5</v>
      </c>
      <c r="P40" s="43">
        <f t="shared" si="28"/>
        <v>46283</v>
      </c>
      <c r="Q40" s="43">
        <f t="shared" si="28"/>
        <v>46465.5</v>
      </c>
      <c r="R40" s="43">
        <f t="shared" si="28"/>
        <v>46648</v>
      </c>
      <c r="S40" s="43">
        <f t="shared" si="28"/>
        <v>46830.5</v>
      </c>
      <c r="T40" s="43">
        <f t="shared" si="28"/>
        <v>47013</v>
      </c>
      <c r="U40" s="43">
        <f t="shared" si="28"/>
        <v>47195.5</v>
      </c>
      <c r="V40" s="43">
        <f t="shared" si="28"/>
        <v>47378</v>
      </c>
      <c r="W40" s="43">
        <f t="shared" si="28"/>
        <v>47560.5</v>
      </c>
      <c r="X40" s="43">
        <f t="shared" si="28"/>
        <v>47743</v>
      </c>
      <c r="Y40" s="43">
        <f t="shared" si="28"/>
        <v>47925.5</v>
      </c>
      <c r="Z40" s="43">
        <f t="shared" si="28"/>
        <v>48108</v>
      </c>
      <c r="AA40" s="43">
        <f t="shared" si="28"/>
        <v>48290.5</v>
      </c>
      <c r="AB40" s="43">
        <f t="shared" si="28"/>
        <v>48473</v>
      </c>
      <c r="AC40" s="43">
        <f t="shared" si="28"/>
        <v>48655.5</v>
      </c>
      <c r="AD40" s="43">
        <f t="shared" si="28"/>
        <v>48838</v>
      </c>
      <c r="AE40" s="43">
        <f t="shared" si="28"/>
        <v>49020.5</v>
      </c>
      <c r="AF40" s="43">
        <f t="shared" si="28"/>
        <v>49203</v>
      </c>
      <c r="AG40" s="43">
        <f t="shared" si="28"/>
        <v>49385.5</v>
      </c>
      <c r="AH40" s="43">
        <f t="shared" si="28"/>
        <v>49568</v>
      </c>
      <c r="AI40" s="43">
        <f t="shared" si="28"/>
        <v>49750.5</v>
      </c>
      <c r="AJ40" s="43">
        <f t="shared" si="28"/>
        <v>49933</v>
      </c>
      <c r="AK40" s="43">
        <f t="shared" si="28"/>
        <v>50115.5</v>
      </c>
      <c r="AL40" s="43">
        <f t="shared" si="28"/>
        <v>50298</v>
      </c>
      <c r="AM40" s="43">
        <f t="shared" si="28"/>
        <v>50480.5</v>
      </c>
      <c r="AN40" s="43">
        <f t="shared" si="28"/>
        <v>50663</v>
      </c>
      <c r="AO40" s="43">
        <f t="shared" si="28"/>
        <v>50845.5</v>
      </c>
      <c r="AP40" s="43">
        <f t="shared" si="28"/>
        <v>51028</v>
      </c>
      <c r="AQ40" s="43">
        <f t="shared" si="28"/>
        <v>51210.5</v>
      </c>
      <c r="AR40" s="43">
        <f t="shared" si="28"/>
        <v>51393</v>
      </c>
      <c r="AS40" s="43">
        <f t="shared" si="28"/>
        <v>51575.5</v>
      </c>
      <c r="AT40" s="43">
        <f t="shared" si="28"/>
        <v>51758</v>
      </c>
      <c r="AU40" s="43">
        <f t="shared" si="28"/>
        <v>51940.5</v>
      </c>
      <c r="AV40" s="43">
        <f t="shared" si="28"/>
        <v>52123</v>
      </c>
      <c r="AW40" s="43">
        <f t="shared" si="28"/>
        <v>52305.5</v>
      </c>
      <c r="AX40" s="43">
        <f t="shared" si="28"/>
        <v>52488</v>
      </c>
      <c r="AY40" s="43">
        <f t="shared" si="28"/>
        <v>52670.5</v>
      </c>
      <c r="AZ40" s="43">
        <f t="shared" si="28"/>
        <v>52853</v>
      </c>
      <c r="BA40" s="43">
        <f t="shared" si="28"/>
        <v>53035.5</v>
      </c>
      <c r="BB40" s="43">
        <f t="shared" si="28"/>
        <v>53218</v>
      </c>
      <c r="BC40" s="43">
        <f t="shared" si="28"/>
        <v>53400.5</v>
      </c>
      <c r="BD40" s="43">
        <f t="shared" si="28"/>
        <v>53583</v>
      </c>
      <c r="BE40" s="43">
        <f t="shared" si="28"/>
        <v>53765.5</v>
      </c>
      <c r="BF40" s="43">
        <f t="shared" si="28"/>
        <v>53948</v>
      </c>
      <c r="BG40" s="43">
        <f t="shared" si="28"/>
        <v>54130.5</v>
      </c>
      <c r="BH40" s="43">
        <f t="shared" si="28"/>
        <v>54313</v>
      </c>
      <c r="BI40" s="43">
        <f t="shared" si="28"/>
        <v>54495.5</v>
      </c>
      <c r="BJ40" s="43">
        <f t="shared" si="28"/>
        <v>54678</v>
      </c>
      <c r="BK40" s="43">
        <f t="shared" si="28"/>
        <v>54860.5</v>
      </c>
      <c r="BL40" s="43">
        <f t="shared" si="28"/>
        <v>55043</v>
      </c>
      <c r="BM40" s="43">
        <f t="shared" si="28"/>
        <v>55225.5</v>
      </c>
      <c r="BN40" s="43">
        <f t="shared" si="28"/>
        <v>55408</v>
      </c>
      <c r="BO40" s="43">
        <f t="shared" ref="BO40:CB40" si="29">BN40+IF($G7=1,365,182.5)</f>
        <v>55590.5</v>
      </c>
      <c r="BP40" s="43">
        <f t="shared" si="29"/>
        <v>55773</v>
      </c>
      <c r="BQ40" s="43">
        <f t="shared" si="29"/>
        <v>55955.5</v>
      </c>
      <c r="BR40" s="43">
        <f t="shared" si="29"/>
        <v>56138</v>
      </c>
      <c r="BS40" s="43">
        <f t="shared" si="29"/>
        <v>56320.5</v>
      </c>
      <c r="BT40" s="43">
        <f t="shared" si="29"/>
        <v>56503</v>
      </c>
      <c r="BU40" s="43">
        <f t="shared" si="29"/>
        <v>56685.5</v>
      </c>
      <c r="BV40" s="43">
        <f t="shared" si="29"/>
        <v>56868</v>
      </c>
      <c r="BW40" s="43">
        <f t="shared" si="29"/>
        <v>57050.5</v>
      </c>
      <c r="BX40" s="43">
        <f t="shared" si="29"/>
        <v>57233</v>
      </c>
      <c r="BY40" s="43">
        <f t="shared" si="29"/>
        <v>57415.5</v>
      </c>
      <c r="BZ40" s="43">
        <f t="shared" si="29"/>
        <v>57598</v>
      </c>
      <c r="CA40" s="43">
        <f t="shared" si="29"/>
        <v>57780.5</v>
      </c>
      <c r="CB40" s="44">
        <f t="shared" si="29"/>
        <v>57963</v>
      </c>
    </row>
    <row r="41" spans="1:80">
      <c r="A41" s="167" t="s">
        <v>16</v>
      </c>
      <c r="B41" s="107">
        <f>(IF(B40=F7,100,0)+IF(G7=1,1,0.5)*J7*100)*IF(ISBLANK(F7)=TRUE,0,1)</f>
        <v>0.5</v>
      </c>
      <c r="C41" s="45">
        <f>IF(C40&gt;$F7+1,0,1)*(IF(D41=0,100,0)+IF($G7=1,1,0.5)*$J7*100)</f>
        <v>0.5</v>
      </c>
      <c r="D41" s="45">
        <f t="shared" ref="D41:BO41" si="30">IF(D40&gt;$F7+1,0,1)*(IF(E41=0,100,0)+IF($G7=1,1,0.5)*$J7*100)</f>
        <v>0.5</v>
      </c>
      <c r="E41" s="45">
        <f t="shared" si="30"/>
        <v>0.5</v>
      </c>
      <c r="F41" s="45">
        <f t="shared" si="30"/>
        <v>0.5</v>
      </c>
      <c r="G41" s="45">
        <f t="shared" si="30"/>
        <v>100.5</v>
      </c>
      <c r="H41" s="45">
        <f t="shared" si="30"/>
        <v>0</v>
      </c>
      <c r="I41" s="45">
        <f t="shared" si="30"/>
        <v>0</v>
      </c>
      <c r="J41" s="45">
        <f t="shared" si="30"/>
        <v>0</v>
      </c>
      <c r="K41" s="45">
        <f t="shared" si="30"/>
        <v>0</v>
      </c>
      <c r="L41" s="45">
        <f t="shared" si="30"/>
        <v>0</v>
      </c>
      <c r="M41" s="45">
        <f t="shared" si="30"/>
        <v>0</v>
      </c>
      <c r="N41" s="45">
        <f t="shared" si="30"/>
        <v>0</v>
      </c>
      <c r="O41" s="45">
        <f t="shared" si="30"/>
        <v>0</v>
      </c>
      <c r="P41" s="45">
        <f t="shared" si="30"/>
        <v>0</v>
      </c>
      <c r="Q41" s="45">
        <f t="shared" si="30"/>
        <v>0</v>
      </c>
      <c r="R41" s="45">
        <f t="shared" si="30"/>
        <v>0</v>
      </c>
      <c r="S41" s="45">
        <f t="shared" si="30"/>
        <v>0</v>
      </c>
      <c r="T41" s="45">
        <f t="shared" si="30"/>
        <v>0</v>
      </c>
      <c r="U41" s="45">
        <f t="shared" si="30"/>
        <v>0</v>
      </c>
      <c r="V41" s="45">
        <f t="shared" si="30"/>
        <v>0</v>
      </c>
      <c r="W41" s="45">
        <f t="shared" si="30"/>
        <v>0</v>
      </c>
      <c r="X41" s="45">
        <f t="shared" si="30"/>
        <v>0</v>
      </c>
      <c r="Y41" s="45">
        <f t="shared" si="30"/>
        <v>0</v>
      </c>
      <c r="Z41" s="45">
        <f t="shared" si="30"/>
        <v>0</v>
      </c>
      <c r="AA41" s="45">
        <f t="shared" si="30"/>
        <v>0</v>
      </c>
      <c r="AB41" s="45">
        <f t="shared" si="30"/>
        <v>0</v>
      </c>
      <c r="AC41" s="45">
        <f t="shared" si="30"/>
        <v>0</v>
      </c>
      <c r="AD41" s="45">
        <f t="shared" si="30"/>
        <v>0</v>
      </c>
      <c r="AE41" s="45">
        <f t="shared" si="30"/>
        <v>0</v>
      </c>
      <c r="AF41" s="45">
        <f t="shared" si="30"/>
        <v>0</v>
      </c>
      <c r="AG41" s="45">
        <f t="shared" si="30"/>
        <v>0</v>
      </c>
      <c r="AH41" s="45">
        <f t="shared" si="30"/>
        <v>0</v>
      </c>
      <c r="AI41" s="45">
        <f t="shared" si="30"/>
        <v>0</v>
      </c>
      <c r="AJ41" s="45">
        <f t="shared" si="30"/>
        <v>0</v>
      </c>
      <c r="AK41" s="45">
        <f t="shared" si="30"/>
        <v>0</v>
      </c>
      <c r="AL41" s="45">
        <f t="shared" si="30"/>
        <v>0</v>
      </c>
      <c r="AM41" s="45">
        <f t="shared" si="30"/>
        <v>0</v>
      </c>
      <c r="AN41" s="45">
        <f t="shared" si="30"/>
        <v>0</v>
      </c>
      <c r="AO41" s="45">
        <f t="shared" si="30"/>
        <v>0</v>
      </c>
      <c r="AP41" s="45">
        <f t="shared" si="30"/>
        <v>0</v>
      </c>
      <c r="AQ41" s="45">
        <f t="shared" si="30"/>
        <v>0</v>
      </c>
      <c r="AR41" s="45">
        <f t="shared" si="30"/>
        <v>0</v>
      </c>
      <c r="AS41" s="45">
        <f t="shared" si="30"/>
        <v>0</v>
      </c>
      <c r="AT41" s="45">
        <f t="shared" si="30"/>
        <v>0</v>
      </c>
      <c r="AU41" s="45">
        <f t="shared" si="30"/>
        <v>0</v>
      </c>
      <c r="AV41" s="45">
        <f t="shared" si="30"/>
        <v>0</v>
      </c>
      <c r="AW41" s="45">
        <f t="shared" si="30"/>
        <v>0</v>
      </c>
      <c r="AX41" s="45">
        <f t="shared" si="30"/>
        <v>0</v>
      </c>
      <c r="AY41" s="45">
        <f t="shared" si="30"/>
        <v>0</v>
      </c>
      <c r="AZ41" s="45">
        <f t="shared" si="30"/>
        <v>0</v>
      </c>
      <c r="BA41" s="45">
        <f t="shared" si="30"/>
        <v>0</v>
      </c>
      <c r="BB41" s="45">
        <f t="shared" si="30"/>
        <v>0</v>
      </c>
      <c r="BC41" s="45">
        <f t="shared" si="30"/>
        <v>0</v>
      </c>
      <c r="BD41" s="45">
        <f t="shared" si="30"/>
        <v>0</v>
      </c>
      <c r="BE41" s="45">
        <f t="shared" si="30"/>
        <v>0</v>
      </c>
      <c r="BF41" s="45">
        <f t="shared" si="30"/>
        <v>0</v>
      </c>
      <c r="BG41" s="45">
        <f t="shared" si="30"/>
        <v>0</v>
      </c>
      <c r="BH41" s="45">
        <f t="shared" si="30"/>
        <v>0</v>
      </c>
      <c r="BI41" s="45">
        <f t="shared" si="30"/>
        <v>0</v>
      </c>
      <c r="BJ41" s="45">
        <f t="shared" si="30"/>
        <v>0</v>
      </c>
      <c r="BK41" s="45">
        <f t="shared" si="30"/>
        <v>0</v>
      </c>
      <c r="BL41" s="45">
        <f t="shared" si="30"/>
        <v>0</v>
      </c>
      <c r="BM41" s="45">
        <f t="shared" si="30"/>
        <v>0</v>
      </c>
      <c r="BN41" s="45">
        <f t="shared" si="30"/>
        <v>0</v>
      </c>
      <c r="BO41" s="45">
        <f t="shared" si="30"/>
        <v>0</v>
      </c>
      <c r="BP41" s="45">
        <f t="shared" ref="BP41:CB41" si="31">IF(BP40&gt;$F7+1,0,1)*(IF(BQ41=0,100,0)+IF($G7=1,1,0.5)*$J7*100)</f>
        <v>0</v>
      </c>
      <c r="BQ41" s="45">
        <f t="shared" si="31"/>
        <v>0</v>
      </c>
      <c r="BR41" s="45">
        <f t="shared" si="31"/>
        <v>0</v>
      </c>
      <c r="BS41" s="45">
        <f t="shared" si="31"/>
        <v>0</v>
      </c>
      <c r="BT41" s="45">
        <f t="shared" si="31"/>
        <v>0</v>
      </c>
      <c r="BU41" s="45">
        <f t="shared" si="31"/>
        <v>0</v>
      </c>
      <c r="BV41" s="45">
        <f t="shared" si="31"/>
        <v>0</v>
      </c>
      <c r="BW41" s="45">
        <f t="shared" si="31"/>
        <v>0</v>
      </c>
      <c r="BX41" s="45">
        <f t="shared" si="31"/>
        <v>0</v>
      </c>
      <c r="BY41" s="45">
        <f t="shared" si="31"/>
        <v>0</v>
      </c>
      <c r="BZ41" s="45">
        <f t="shared" si="31"/>
        <v>0</v>
      </c>
      <c r="CA41" s="45">
        <f t="shared" si="31"/>
        <v>0</v>
      </c>
      <c r="CB41" s="46">
        <f t="shared" si="31"/>
        <v>0</v>
      </c>
    </row>
    <row r="42" spans="1:80">
      <c r="A42" s="252" t="s">
        <v>49</v>
      </c>
      <c r="B42" s="47" t="str">
        <f>IF(E8=0,F8,E8)</f>
        <v>9/20/2019</v>
      </c>
      <c r="C42" s="48">
        <f t="shared" ref="C42:BN42" si="32">B42+IF($G8=1,365,182.5)</f>
        <v>43910.5</v>
      </c>
      <c r="D42" s="48">
        <f t="shared" si="32"/>
        <v>44093</v>
      </c>
      <c r="E42" s="48">
        <f t="shared" si="32"/>
        <v>44275.5</v>
      </c>
      <c r="F42" s="48">
        <f t="shared" si="32"/>
        <v>44458</v>
      </c>
      <c r="G42" s="48">
        <f t="shared" si="32"/>
        <v>44640.5</v>
      </c>
      <c r="H42" s="48">
        <f t="shared" si="32"/>
        <v>44823</v>
      </c>
      <c r="I42" s="48">
        <f t="shared" si="32"/>
        <v>45005.5</v>
      </c>
      <c r="J42" s="48">
        <f t="shared" si="32"/>
        <v>45188</v>
      </c>
      <c r="K42" s="141">
        <f t="shared" si="32"/>
        <v>45370.5</v>
      </c>
      <c r="L42" s="48">
        <f t="shared" si="32"/>
        <v>45553</v>
      </c>
      <c r="M42" s="48">
        <f t="shared" si="32"/>
        <v>45735.5</v>
      </c>
      <c r="N42" s="48">
        <f t="shared" si="32"/>
        <v>45918</v>
      </c>
      <c r="O42" s="48">
        <f t="shared" si="32"/>
        <v>46100.5</v>
      </c>
      <c r="P42" s="48">
        <f t="shared" si="32"/>
        <v>46283</v>
      </c>
      <c r="Q42" s="48">
        <f t="shared" si="32"/>
        <v>46465.5</v>
      </c>
      <c r="R42" s="48">
        <f t="shared" si="32"/>
        <v>46648</v>
      </c>
      <c r="S42" s="48">
        <f t="shared" si="32"/>
        <v>46830.5</v>
      </c>
      <c r="T42" s="48">
        <f t="shared" si="32"/>
        <v>47013</v>
      </c>
      <c r="U42" s="48">
        <f t="shared" si="32"/>
        <v>47195.5</v>
      </c>
      <c r="V42" s="48">
        <f t="shared" si="32"/>
        <v>47378</v>
      </c>
      <c r="W42" s="48">
        <f t="shared" si="32"/>
        <v>47560.5</v>
      </c>
      <c r="X42" s="48">
        <f t="shared" si="32"/>
        <v>47743</v>
      </c>
      <c r="Y42" s="48">
        <f t="shared" si="32"/>
        <v>47925.5</v>
      </c>
      <c r="Z42" s="48">
        <f t="shared" si="32"/>
        <v>48108</v>
      </c>
      <c r="AA42" s="48">
        <f t="shared" si="32"/>
        <v>48290.5</v>
      </c>
      <c r="AB42" s="48">
        <f t="shared" si="32"/>
        <v>48473</v>
      </c>
      <c r="AC42" s="48">
        <f t="shared" si="32"/>
        <v>48655.5</v>
      </c>
      <c r="AD42" s="48">
        <f t="shared" si="32"/>
        <v>48838</v>
      </c>
      <c r="AE42" s="48">
        <f t="shared" si="32"/>
        <v>49020.5</v>
      </c>
      <c r="AF42" s="48">
        <f t="shared" si="32"/>
        <v>49203</v>
      </c>
      <c r="AG42" s="48">
        <f t="shared" si="32"/>
        <v>49385.5</v>
      </c>
      <c r="AH42" s="48">
        <f t="shared" si="32"/>
        <v>49568</v>
      </c>
      <c r="AI42" s="48">
        <f t="shared" si="32"/>
        <v>49750.5</v>
      </c>
      <c r="AJ42" s="48">
        <f t="shared" si="32"/>
        <v>49933</v>
      </c>
      <c r="AK42" s="48">
        <f t="shared" si="32"/>
        <v>50115.5</v>
      </c>
      <c r="AL42" s="48">
        <f t="shared" si="32"/>
        <v>50298</v>
      </c>
      <c r="AM42" s="48">
        <f t="shared" si="32"/>
        <v>50480.5</v>
      </c>
      <c r="AN42" s="48">
        <f t="shared" si="32"/>
        <v>50663</v>
      </c>
      <c r="AO42" s="48">
        <f t="shared" si="32"/>
        <v>50845.5</v>
      </c>
      <c r="AP42" s="48">
        <f t="shared" si="32"/>
        <v>51028</v>
      </c>
      <c r="AQ42" s="48">
        <f t="shared" si="32"/>
        <v>51210.5</v>
      </c>
      <c r="AR42" s="48">
        <f t="shared" si="32"/>
        <v>51393</v>
      </c>
      <c r="AS42" s="48">
        <f t="shared" si="32"/>
        <v>51575.5</v>
      </c>
      <c r="AT42" s="48">
        <f t="shared" si="32"/>
        <v>51758</v>
      </c>
      <c r="AU42" s="48">
        <f t="shared" si="32"/>
        <v>51940.5</v>
      </c>
      <c r="AV42" s="48">
        <f t="shared" si="32"/>
        <v>52123</v>
      </c>
      <c r="AW42" s="48">
        <f t="shared" si="32"/>
        <v>52305.5</v>
      </c>
      <c r="AX42" s="48">
        <f t="shared" si="32"/>
        <v>52488</v>
      </c>
      <c r="AY42" s="48">
        <f t="shared" si="32"/>
        <v>52670.5</v>
      </c>
      <c r="AZ42" s="48">
        <f t="shared" si="32"/>
        <v>52853</v>
      </c>
      <c r="BA42" s="48">
        <f t="shared" si="32"/>
        <v>53035.5</v>
      </c>
      <c r="BB42" s="48">
        <f t="shared" si="32"/>
        <v>53218</v>
      </c>
      <c r="BC42" s="48">
        <f t="shared" si="32"/>
        <v>53400.5</v>
      </c>
      <c r="BD42" s="48">
        <f t="shared" si="32"/>
        <v>53583</v>
      </c>
      <c r="BE42" s="48">
        <f t="shared" si="32"/>
        <v>53765.5</v>
      </c>
      <c r="BF42" s="48">
        <f t="shared" si="32"/>
        <v>53948</v>
      </c>
      <c r="BG42" s="48">
        <f t="shared" si="32"/>
        <v>54130.5</v>
      </c>
      <c r="BH42" s="48">
        <f t="shared" si="32"/>
        <v>54313</v>
      </c>
      <c r="BI42" s="48">
        <f t="shared" si="32"/>
        <v>54495.5</v>
      </c>
      <c r="BJ42" s="48">
        <f t="shared" si="32"/>
        <v>54678</v>
      </c>
      <c r="BK42" s="48">
        <f t="shared" si="32"/>
        <v>54860.5</v>
      </c>
      <c r="BL42" s="48">
        <f t="shared" si="32"/>
        <v>55043</v>
      </c>
      <c r="BM42" s="48">
        <f t="shared" si="32"/>
        <v>55225.5</v>
      </c>
      <c r="BN42" s="48">
        <f t="shared" si="32"/>
        <v>55408</v>
      </c>
      <c r="BO42" s="48">
        <f t="shared" ref="BO42:CB42" si="33">BN42+IF($G8=1,365,182.5)</f>
        <v>55590.5</v>
      </c>
      <c r="BP42" s="48">
        <f t="shared" si="33"/>
        <v>55773</v>
      </c>
      <c r="BQ42" s="48">
        <f t="shared" si="33"/>
        <v>55955.5</v>
      </c>
      <c r="BR42" s="48">
        <f t="shared" si="33"/>
        <v>56138</v>
      </c>
      <c r="BS42" s="48">
        <f t="shared" si="33"/>
        <v>56320.5</v>
      </c>
      <c r="BT42" s="48">
        <f t="shared" si="33"/>
        <v>56503</v>
      </c>
      <c r="BU42" s="48">
        <f t="shared" si="33"/>
        <v>56685.5</v>
      </c>
      <c r="BV42" s="48">
        <f t="shared" si="33"/>
        <v>56868</v>
      </c>
      <c r="BW42" s="48">
        <f t="shared" si="33"/>
        <v>57050.5</v>
      </c>
      <c r="BX42" s="48">
        <f t="shared" si="33"/>
        <v>57233</v>
      </c>
      <c r="BY42" s="48">
        <f t="shared" si="33"/>
        <v>57415.5</v>
      </c>
      <c r="BZ42" s="48">
        <f t="shared" si="33"/>
        <v>57598</v>
      </c>
      <c r="CA42" s="48">
        <f t="shared" si="33"/>
        <v>57780.5</v>
      </c>
      <c r="CB42" s="49">
        <f t="shared" si="33"/>
        <v>57963</v>
      </c>
    </row>
    <row r="43" spans="1:80">
      <c r="A43" s="168" t="s">
        <v>26</v>
      </c>
      <c r="B43" s="108">
        <f>(IF(B42=F8,100,0)+IF(G8=1,1,0.5)*J8*100)*IF(ISBLANK(F8)=TRUE,0,1)</f>
        <v>0.3</v>
      </c>
      <c r="C43" s="50">
        <f>IF(C42&gt;$F8+1,0,1)*(IF(D43=0,100,0)+IF($G8=1,1,0.5)*$J8*100)</f>
        <v>0.3</v>
      </c>
      <c r="D43" s="50">
        <f t="shared" ref="D43:BO43" si="34">IF(D42&gt;$F8+1,0,1)*(IF(E43=0,100,0)+IF($G8=1,1,0.5)*$J8*100)</f>
        <v>0.3</v>
      </c>
      <c r="E43" s="50">
        <f t="shared" si="34"/>
        <v>0.3</v>
      </c>
      <c r="F43" s="50">
        <f t="shared" si="34"/>
        <v>0.3</v>
      </c>
      <c r="G43" s="50">
        <f t="shared" si="34"/>
        <v>0.3</v>
      </c>
      <c r="H43" s="50">
        <f t="shared" si="34"/>
        <v>0.3</v>
      </c>
      <c r="I43" s="50">
        <f t="shared" si="34"/>
        <v>100.3</v>
      </c>
      <c r="J43" s="50">
        <f t="shared" si="34"/>
        <v>0</v>
      </c>
      <c r="K43" s="50">
        <f t="shared" si="34"/>
        <v>0</v>
      </c>
      <c r="L43" s="50">
        <f t="shared" si="34"/>
        <v>0</v>
      </c>
      <c r="M43" s="50">
        <f t="shared" si="34"/>
        <v>0</v>
      </c>
      <c r="N43" s="50">
        <f t="shared" si="34"/>
        <v>0</v>
      </c>
      <c r="O43" s="50">
        <f t="shared" si="34"/>
        <v>0</v>
      </c>
      <c r="P43" s="50">
        <f t="shared" si="34"/>
        <v>0</v>
      </c>
      <c r="Q43" s="50">
        <f t="shared" si="34"/>
        <v>0</v>
      </c>
      <c r="R43" s="50">
        <f t="shared" si="34"/>
        <v>0</v>
      </c>
      <c r="S43" s="50">
        <f t="shared" si="34"/>
        <v>0</v>
      </c>
      <c r="T43" s="50">
        <f t="shared" si="34"/>
        <v>0</v>
      </c>
      <c r="U43" s="50">
        <f t="shared" si="34"/>
        <v>0</v>
      </c>
      <c r="V43" s="50">
        <f t="shared" si="34"/>
        <v>0</v>
      </c>
      <c r="W43" s="50">
        <f t="shared" si="34"/>
        <v>0</v>
      </c>
      <c r="X43" s="50">
        <f t="shared" si="34"/>
        <v>0</v>
      </c>
      <c r="Y43" s="50">
        <f t="shared" si="34"/>
        <v>0</v>
      </c>
      <c r="Z43" s="50">
        <f t="shared" si="34"/>
        <v>0</v>
      </c>
      <c r="AA43" s="50">
        <f t="shared" si="34"/>
        <v>0</v>
      </c>
      <c r="AB43" s="50">
        <f t="shared" si="34"/>
        <v>0</v>
      </c>
      <c r="AC43" s="50">
        <f t="shared" si="34"/>
        <v>0</v>
      </c>
      <c r="AD43" s="50">
        <f t="shared" si="34"/>
        <v>0</v>
      </c>
      <c r="AE43" s="50">
        <f t="shared" si="34"/>
        <v>0</v>
      </c>
      <c r="AF43" s="50">
        <f t="shared" si="34"/>
        <v>0</v>
      </c>
      <c r="AG43" s="50">
        <f t="shared" si="34"/>
        <v>0</v>
      </c>
      <c r="AH43" s="50">
        <f t="shared" si="34"/>
        <v>0</v>
      </c>
      <c r="AI43" s="50">
        <f t="shared" si="34"/>
        <v>0</v>
      </c>
      <c r="AJ43" s="50">
        <f t="shared" si="34"/>
        <v>0</v>
      </c>
      <c r="AK43" s="50">
        <f t="shared" si="34"/>
        <v>0</v>
      </c>
      <c r="AL43" s="50">
        <f t="shared" si="34"/>
        <v>0</v>
      </c>
      <c r="AM43" s="50">
        <f t="shared" si="34"/>
        <v>0</v>
      </c>
      <c r="AN43" s="50">
        <f t="shared" si="34"/>
        <v>0</v>
      </c>
      <c r="AO43" s="50">
        <f t="shared" si="34"/>
        <v>0</v>
      </c>
      <c r="AP43" s="50">
        <f t="shared" si="34"/>
        <v>0</v>
      </c>
      <c r="AQ43" s="50">
        <f t="shared" si="34"/>
        <v>0</v>
      </c>
      <c r="AR43" s="50">
        <f t="shared" si="34"/>
        <v>0</v>
      </c>
      <c r="AS43" s="50">
        <f t="shared" si="34"/>
        <v>0</v>
      </c>
      <c r="AT43" s="50">
        <f t="shared" si="34"/>
        <v>0</v>
      </c>
      <c r="AU43" s="50">
        <f t="shared" si="34"/>
        <v>0</v>
      </c>
      <c r="AV43" s="50">
        <f t="shared" si="34"/>
        <v>0</v>
      </c>
      <c r="AW43" s="50">
        <f t="shared" si="34"/>
        <v>0</v>
      </c>
      <c r="AX43" s="50">
        <f t="shared" si="34"/>
        <v>0</v>
      </c>
      <c r="AY43" s="50">
        <f t="shared" si="34"/>
        <v>0</v>
      </c>
      <c r="AZ43" s="50">
        <f t="shared" si="34"/>
        <v>0</v>
      </c>
      <c r="BA43" s="50">
        <f t="shared" si="34"/>
        <v>0</v>
      </c>
      <c r="BB43" s="50">
        <f t="shared" si="34"/>
        <v>0</v>
      </c>
      <c r="BC43" s="50">
        <f t="shared" si="34"/>
        <v>0</v>
      </c>
      <c r="BD43" s="50">
        <f t="shared" si="34"/>
        <v>0</v>
      </c>
      <c r="BE43" s="50">
        <f t="shared" si="34"/>
        <v>0</v>
      </c>
      <c r="BF43" s="50">
        <f t="shared" si="34"/>
        <v>0</v>
      </c>
      <c r="BG43" s="50">
        <f t="shared" si="34"/>
        <v>0</v>
      </c>
      <c r="BH43" s="50">
        <f t="shared" si="34"/>
        <v>0</v>
      </c>
      <c r="BI43" s="50">
        <f t="shared" si="34"/>
        <v>0</v>
      </c>
      <c r="BJ43" s="50">
        <f t="shared" si="34"/>
        <v>0</v>
      </c>
      <c r="BK43" s="50">
        <f t="shared" si="34"/>
        <v>0</v>
      </c>
      <c r="BL43" s="50">
        <f t="shared" si="34"/>
        <v>0</v>
      </c>
      <c r="BM43" s="50">
        <f t="shared" si="34"/>
        <v>0</v>
      </c>
      <c r="BN43" s="50">
        <f t="shared" si="34"/>
        <v>0</v>
      </c>
      <c r="BO43" s="50">
        <f t="shared" si="34"/>
        <v>0</v>
      </c>
      <c r="BP43" s="50">
        <f t="shared" ref="BP43:CB43" si="35">IF(BP42&gt;$F8+1,0,1)*(IF(BQ43=0,100,0)+IF($G8=1,1,0.5)*$J8*100)</f>
        <v>0</v>
      </c>
      <c r="BQ43" s="50">
        <f t="shared" si="35"/>
        <v>0</v>
      </c>
      <c r="BR43" s="50">
        <f t="shared" si="35"/>
        <v>0</v>
      </c>
      <c r="BS43" s="50">
        <f t="shared" si="35"/>
        <v>0</v>
      </c>
      <c r="BT43" s="50">
        <f t="shared" si="35"/>
        <v>0</v>
      </c>
      <c r="BU43" s="50">
        <f t="shared" si="35"/>
        <v>0</v>
      </c>
      <c r="BV43" s="50">
        <f t="shared" si="35"/>
        <v>0</v>
      </c>
      <c r="BW43" s="50">
        <f t="shared" si="35"/>
        <v>0</v>
      </c>
      <c r="BX43" s="50">
        <f t="shared" si="35"/>
        <v>0</v>
      </c>
      <c r="BY43" s="50">
        <f t="shared" si="35"/>
        <v>0</v>
      </c>
      <c r="BZ43" s="50">
        <f t="shared" si="35"/>
        <v>0</v>
      </c>
      <c r="CA43" s="50">
        <f t="shared" si="35"/>
        <v>0</v>
      </c>
      <c r="CB43" s="51">
        <f t="shared" si="35"/>
        <v>0</v>
      </c>
    </row>
    <row r="44" spans="1:80">
      <c r="A44" s="259" t="s">
        <v>49</v>
      </c>
      <c r="B44" s="52" t="str">
        <f>IF(E9=0,F9,E9)</f>
        <v>9/20/2019</v>
      </c>
      <c r="C44" s="53">
        <f t="shared" ref="C44:BN44" si="36">B44+IF($G9=1,365,182.5)</f>
        <v>43910.5</v>
      </c>
      <c r="D44" s="53">
        <f t="shared" si="36"/>
        <v>44093</v>
      </c>
      <c r="E44" s="53">
        <f t="shared" si="36"/>
        <v>44275.5</v>
      </c>
      <c r="F44" s="53">
        <f t="shared" si="36"/>
        <v>44458</v>
      </c>
      <c r="G44" s="53">
        <f t="shared" si="36"/>
        <v>44640.5</v>
      </c>
      <c r="H44" s="53">
        <f t="shared" si="36"/>
        <v>44823</v>
      </c>
      <c r="I44" s="53">
        <f t="shared" si="36"/>
        <v>45005.5</v>
      </c>
      <c r="J44" s="53">
        <f t="shared" si="36"/>
        <v>45188</v>
      </c>
      <c r="K44" s="53">
        <f t="shared" si="36"/>
        <v>45370.5</v>
      </c>
      <c r="L44" s="53">
        <f t="shared" si="36"/>
        <v>45553</v>
      </c>
      <c r="M44" s="53">
        <f t="shared" si="36"/>
        <v>45735.5</v>
      </c>
      <c r="N44" s="53">
        <f t="shared" si="36"/>
        <v>45918</v>
      </c>
      <c r="O44" s="53">
        <f t="shared" si="36"/>
        <v>46100.5</v>
      </c>
      <c r="P44" s="53">
        <f t="shared" si="36"/>
        <v>46283</v>
      </c>
      <c r="Q44" s="53">
        <f t="shared" si="36"/>
        <v>46465.5</v>
      </c>
      <c r="R44" s="53">
        <f t="shared" si="36"/>
        <v>46648</v>
      </c>
      <c r="S44" s="53">
        <f t="shared" si="36"/>
        <v>46830.5</v>
      </c>
      <c r="T44" s="53">
        <f t="shared" si="36"/>
        <v>47013</v>
      </c>
      <c r="U44" s="53">
        <f t="shared" si="36"/>
        <v>47195.5</v>
      </c>
      <c r="V44" s="53">
        <f t="shared" si="36"/>
        <v>47378</v>
      </c>
      <c r="W44" s="53">
        <f t="shared" si="36"/>
        <v>47560.5</v>
      </c>
      <c r="X44" s="53">
        <f t="shared" si="36"/>
        <v>47743</v>
      </c>
      <c r="Y44" s="53">
        <f t="shared" si="36"/>
        <v>47925.5</v>
      </c>
      <c r="Z44" s="53">
        <f t="shared" si="36"/>
        <v>48108</v>
      </c>
      <c r="AA44" s="53">
        <f t="shared" si="36"/>
        <v>48290.5</v>
      </c>
      <c r="AB44" s="53">
        <f t="shared" si="36"/>
        <v>48473</v>
      </c>
      <c r="AC44" s="53">
        <f t="shared" si="36"/>
        <v>48655.5</v>
      </c>
      <c r="AD44" s="53">
        <f t="shared" si="36"/>
        <v>48838</v>
      </c>
      <c r="AE44" s="53">
        <f t="shared" si="36"/>
        <v>49020.5</v>
      </c>
      <c r="AF44" s="53">
        <f t="shared" si="36"/>
        <v>49203</v>
      </c>
      <c r="AG44" s="53">
        <f t="shared" si="36"/>
        <v>49385.5</v>
      </c>
      <c r="AH44" s="53">
        <f t="shared" si="36"/>
        <v>49568</v>
      </c>
      <c r="AI44" s="53">
        <f t="shared" si="36"/>
        <v>49750.5</v>
      </c>
      <c r="AJ44" s="53">
        <f t="shared" si="36"/>
        <v>49933</v>
      </c>
      <c r="AK44" s="53">
        <f t="shared" si="36"/>
        <v>50115.5</v>
      </c>
      <c r="AL44" s="53">
        <f t="shared" si="36"/>
        <v>50298</v>
      </c>
      <c r="AM44" s="53">
        <f t="shared" si="36"/>
        <v>50480.5</v>
      </c>
      <c r="AN44" s="53">
        <f t="shared" si="36"/>
        <v>50663</v>
      </c>
      <c r="AO44" s="53">
        <f t="shared" si="36"/>
        <v>50845.5</v>
      </c>
      <c r="AP44" s="53">
        <f t="shared" si="36"/>
        <v>51028</v>
      </c>
      <c r="AQ44" s="53">
        <f t="shared" si="36"/>
        <v>51210.5</v>
      </c>
      <c r="AR44" s="53">
        <f t="shared" si="36"/>
        <v>51393</v>
      </c>
      <c r="AS44" s="53">
        <f t="shared" si="36"/>
        <v>51575.5</v>
      </c>
      <c r="AT44" s="53">
        <f t="shared" si="36"/>
        <v>51758</v>
      </c>
      <c r="AU44" s="53">
        <f t="shared" si="36"/>
        <v>51940.5</v>
      </c>
      <c r="AV44" s="53">
        <f t="shared" si="36"/>
        <v>52123</v>
      </c>
      <c r="AW44" s="53">
        <f t="shared" si="36"/>
        <v>52305.5</v>
      </c>
      <c r="AX44" s="53">
        <f t="shared" si="36"/>
        <v>52488</v>
      </c>
      <c r="AY44" s="53">
        <f t="shared" si="36"/>
        <v>52670.5</v>
      </c>
      <c r="AZ44" s="53">
        <f t="shared" si="36"/>
        <v>52853</v>
      </c>
      <c r="BA44" s="53">
        <f t="shared" si="36"/>
        <v>53035.5</v>
      </c>
      <c r="BB44" s="53">
        <f t="shared" si="36"/>
        <v>53218</v>
      </c>
      <c r="BC44" s="53">
        <f t="shared" si="36"/>
        <v>53400.5</v>
      </c>
      <c r="BD44" s="53">
        <f t="shared" si="36"/>
        <v>53583</v>
      </c>
      <c r="BE44" s="53">
        <f t="shared" si="36"/>
        <v>53765.5</v>
      </c>
      <c r="BF44" s="53">
        <f t="shared" si="36"/>
        <v>53948</v>
      </c>
      <c r="BG44" s="53">
        <f t="shared" si="36"/>
        <v>54130.5</v>
      </c>
      <c r="BH44" s="53">
        <f t="shared" si="36"/>
        <v>54313</v>
      </c>
      <c r="BI44" s="53">
        <f t="shared" si="36"/>
        <v>54495.5</v>
      </c>
      <c r="BJ44" s="53">
        <f t="shared" si="36"/>
        <v>54678</v>
      </c>
      <c r="BK44" s="53">
        <f t="shared" si="36"/>
        <v>54860.5</v>
      </c>
      <c r="BL44" s="53">
        <f t="shared" si="36"/>
        <v>55043</v>
      </c>
      <c r="BM44" s="53">
        <f t="shared" si="36"/>
        <v>55225.5</v>
      </c>
      <c r="BN44" s="53">
        <f t="shared" si="36"/>
        <v>55408</v>
      </c>
      <c r="BO44" s="53">
        <f t="shared" ref="BO44:CB44" si="37">BN44+IF($G9=1,365,182.5)</f>
        <v>55590.5</v>
      </c>
      <c r="BP44" s="53">
        <f t="shared" si="37"/>
        <v>55773</v>
      </c>
      <c r="BQ44" s="53">
        <f t="shared" si="37"/>
        <v>55955.5</v>
      </c>
      <c r="BR44" s="53">
        <f t="shared" si="37"/>
        <v>56138</v>
      </c>
      <c r="BS44" s="53">
        <f t="shared" si="37"/>
        <v>56320.5</v>
      </c>
      <c r="BT44" s="53">
        <f t="shared" si="37"/>
        <v>56503</v>
      </c>
      <c r="BU44" s="53">
        <f t="shared" si="37"/>
        <v>56685.5</v>
      </c>
      <c r="BV44" s="53">
        <f t="shared" si="37"/>
        <v>56868</v>
      </c>
      <c r="BW44" s="53">
        <f t="shared" si="37"/>
        <v>57050.5</v>
      </c>
      <c r="BX44" s="53">
        <f t="shared" si="37"/>
        <v>57233</v>
      </c>
      <c r="BY44" s="53">
        <f t="shared" si="37"/>
        <v>57415.5</v>
      </c>
      <c r="BZ44" s="53">
        <f t="shared" si="37"/>
        <v>57598</v>
      </c>
      <c r="CA44" s="53">
        <f t="shared" si="37"/>
        <v>57780.5</v>
      </c>
      <c r="CB44" s="54">
        <f t="shared" si="37"/>
        <v>57963</v>
      </c>
    </row>
    <row r="45" spans="1:80">
      <c r="A45" s="169" t="s">
        <v>27</v>
      </c>
      <c r="B45" s="109">
        <f>(IF(B44=F9,100,0)+IF(G9=1,1,0.5)*J9*100)*IF(ISBLANK(F9)=TRUE,0,1)</f>
        <v>0.05</v>
      </c>
      <c r="C45" s="55">
        <f>IF(C44&gt;$F9+1,0,1)*(IF(D45=0,100,0)+IF($G9=1,1,0.5)*$J9*100)</f>
        <v>0.05</v>
      </c>
      <c r="D45" s="55">
        <f t="shared" ref="D45:BO45" si="38">IF(D44&gt;$F9+1,0,1)*(IF(E45=0,100,0)+IF($G9=1,1,0.5)*$J9*100)</f>
        <v>0.05</v>
      </c>
      <c r="E45" s="55">
        <f t="shared" si="38"/>
        <v>0.05</v>
      </c>
      <c r="F45" s="55">
        <f t="shared" si="38"/>
        <v>0.05</v>
      </c>
      <c r="G45" s="55">
        <f t="shared" si="38"/>
        <v>0.05</v>
      </c>
      <c r="H45" s="55">
        <f t="shared" si="38"/>
        <v>0.05</v>
      </c>
      <c r="I45" s="55">
        <f t="shared" si="38"/>
        <v>0.05</v>
      </c>
      <c r="J45" s="55">
        <f t="shared" si="38"/>
        <v>0.05</v>
      </c>
      <c r="K45" s="55">
        <f t="shared" si="38"/>
        <v>100.05</v>
      </c>
      <c r="L45" s="55">
        <f t="shared" si="38"/>
        <v>0</v>
      </c>
      <c r="M45" s="55">
        <f t="shared" si="38"/>
        <v>0</v>
      </c>
      <c r="N45" s="55">
        <f t="shared" si="38"/>
        <v>0</v>
      </c>
      <c r="O45" s="55">
        <f t="shared" si="38"/>
        <v>0</v>
      </c>
      <c r="P45" s="55">
        <f t="shared" si="38"/>
        <v>0</v>
      </c>
      <c r="Q45" s="55">
        <f t="shared" si="38"/>
        <v>0</v>
      </c>
      <c r="R45" s="55">
        <f t="shared" si="38"/>
        <v>0</v>
      </c>
      <c r="S45" s="55">
        <f t="shared" si="38"/>
        <v>0</v>
      </c>
      <c r="T45" s="55">
        <f t="shared" si="38"/>
        <v>0</v>
      </c>
      <c r="U45" s="55">
        <f t="shared" si="38"/>
        <v>0</v>
      </c>
      <c r="V45" s="55">
        <f t="shared" si="38"/>
        <v>0</v>
      </c>
      <c r="W45" s="55">
        <f t="shared" si="38"/>
        <v>0</v>
      </c>
      <c r="X45" s="55">
        <f t="shared" si="38"/>
        <v>0</v>
      </c>
      <c r="Y45" s="55">
        <f t="shared" si="38"/>
        <v>0</v>
      </c>
      <c r="Z45" s="55">
        <f t="shared" si="38"/>
        <v>0</v>
      </c>
      <c r="AA45" s="55">
        <f t="shared" si="38"/>
        <v>0</v>
      </c>
      <c r="AB45" s="55">
        <f t="shared" si="38"/>
        <v>0</v>
      </c>
      <c r="AC45" s="55">
        <f t="shared" si="38"/>
        <v>0</v>
      </c>
      <c r="AD45" s="55">
        <f t="shared" si="38"/>
        <v>0</v>
      </c>
      <c r="AE45" s="55">
        <f t="shared" si="38"/>
        <v>0</v>
      </c>
      <c r="AF45" s="55">
        <f t="shared" si="38"/>
        <v>0</v>
      </c>
      <c r="AG45" s="55">
        <f t="shared" si="38"/>
        <v>0</v>
      </c>
      <c r="AH45" s="55">
        <f t="shared" si="38"/>
        <v>0</v>
      </c>
      <c r="AI45" s="55">
        <f t="shared" si="38"/>
        <v>0</v>
      </c>
      <c r="AJ45" s="55">
        <f t="shared" si="38"/>
        <v>0</v>
      </c>
      <c r="AK45" s="55">
        <f t="shared" si="38"/>
        <v>0</v>
      </c>
      <c r="AL45" s="55">
        <f t="shared" si="38"/>
        <v>0</v>
      </c>
      <c r="AM45" s="55">
        <f t="shared" si="38"/>
        <v>0</v>
      </c>
      <c r="AN45" s="55">
        <f t="shared" si="38"/>
        <v>0</v>
      </c>
      <c r="AO45" s="55">
        <f t="shared" si="38"/>
        <v>0</v>
      </c>
      <c r="AP45" s="55">
        <f t="shared" si="38"/>
        <v>0</v>
      </c>
      <c r="AQ45" s="55">
        <f t="shared" si="38"/>
        <v>0</v>
      </c>
      <c r="AR45" s="55">
        <f t="shared" si="38"/>
        <v>0</v>
      </c>
      <c r="AS45" s="55">
        <f t="shared" si="38"/>
        <v>0</v>
      </c>
      <c r="AT45" s="55">
        <f t="shared" si="38"/>
        <v>0</v>
      </c>
      <c r="AU45" s="55">
        <f t="shared" si="38"/>
        <v>0</v>
      </c>
      <c r="AV45" s="55">
        <f t="shared" si="38"/>
        <v>0</v>
      </c>
      <c r="AW45" s="55">
        <f t="shared" si="38"/>
        <v>0</v>
      </c>
      <c r="AX45" s="55">
        <f t="shared" si="38"/>
        <v>0</v>
      </c>
      <c r="AY45" s="55">
        <f t="shared" si="38"/>
        <v>0</v>
      </c>
      <c r="AZ45" s="55">
        <f t="shared" si="38"/>
        <v>0</v>
      </c>
      <c r="BA45" s="55">
        <f t="shared" si="38"/>
        <v>0</v>
      </c>
      <c r="BB45" s="55">
        <f t="shared" si="38"/>
        <v>0</v>
      </c>
      <c r="BC45" s="55">
        <f t="shared" si="38"/>
        <v>0</v>
      </c>
      <c r="BD45" s="55">
        <f t="shared" si="38"/>
        <v>0</v>
      </c>
      <c r="BE45" s="55">
        <f t="shared" si="38"/>
        <v>0</v>
      </c>
      <c r="BF45" s="55">
        <f t="shared" si="38"/>
        <v>0</v>
      </c>
      <c r="BG45" s="55">
        <f t="shared" si="38"/>
        <v>0</v>
      </c>
      <c r="BH45" s="55">
        <f t="shared" si="38"/>
        <v>0</v>
      </c>
      <c r="BI45" s="55">
        <f t="shared" si="38"/>
        <v>0</v>
      </c>
      <c r="BJ45" s="55">
        <f t="shared" si="38"/>
        <v>0</v>
      </c>
      <c r="BK45" s="55">
        <f t="shared" si="38"/>
        <v>0</v>
      </c>
      <c r="BL45" s="55">
        <f t="shared" si="38"/>
        <v>0</v>
      </c>
      <c r="BM45" s="55">
        <f t="shared" si="38"/>
        <v>0</v>
      </c>
      <c r="BN45" s="55">
        <f t="shared" si="38"/>
        <v>0</v>
      </c>
      <c r="BO45" s="55">
        <f t="shared" si="38"/>
        <v>0</v>
      </c>
      <c r="BP45" s="55">
        <f t="shared" ref="BP45:CB45" si="39">IF(BP44&gt;$F9+1,0,1)*(IF(BQ45=0,100,0)+IF($G9=1,1,0.5)*$J9*100)</f>
        <v>0</v>
      </c>
      <c r="BQ45" s="55">
        <f t="shared" si="39"/>
        <v>0</v>
      </c>
      <c r="BR45" s="55">
        <f t="shared" si="39"/>
        <v>0</v>
      </c>
      <c r="BS45" s="55">
        <f t="shared" si="39"/>
        <v>0</v>
      </c>
      <c r="BT45" s="55">
        <f t="shared" si="39"/>
        <v>0</v>
      </c>
      <c r="BU45" s="55">
        <f t="shared" si="39"/>
        <v>0</v>
      </c>
      <c r="BV45" s="55">
        <f t="shared" si="39"/>
        <v>0</v>
      </c>
      <c r="BW45" s="55">
        <f t="shared" si="39"/>
        <v>0</v>
      </c>
      <c r="BX45" s="55">
        <f t="shared" si="39"/>
        <v>0</v>
      </c>
      <c r="BY45" s="55">
        <f t="shared" si="39"/>
        <v>0</v>
      </c>
      <c r="BZ45" s="55">
        <f t="shared" si="39"/>
        <v>0</v>
      </c>
      <c r="CA45" s="55">
        <f t="shared" si="39"/>
        <v>0</v>
      </c>
      <c r="CB45" s="56">
        <f t="shared" si="39"/>
        <v>0</v>
      </c>
    </row>
    <row r="46" spans="1:80">
      <c r="A46" s="258" t="s">
        <v>49</v>
      </c>
      <c r="B46" s="149" t="str">
        <f>IF(E10=0,F10,E10)</f>
        <v>9/20/2019</v>
      </c>
      <c r="C46" s="150">
        <f t="shared" ref="C46:BN46" si="40">B46+IF($G10=1,365,182.5)</f>
        <v>43910.5</v>
      </c>
      <c r="D46" s="150">
        <f t="shared" si="40"/>
        <v>44093</v>
      </c>
      <c r="E46" s="150">
        <f t="shared" si="40"/>
        <v>44275.5</v>
      </c>
      <c r="F46" s="150">
        <f t="shared" si="40"/>
        <v>44458</v>
      </c>
      <c r="G46" s="150">
        <f t="shared" si="40"/>
        <v>44640.5</v>
      </c>
      <c r="H46" s="150">
        <f t="shared" si="40"/>
        <v>44823</v>
      </c>
      <c r="I46" s="150">
        <f t="shared" si="40"/>
        <v>45005.5</v>
      </c>
      <c r="J46" s="150">
        <f t="shared" si="40"/>
        <v>45188</v>
      </c>
      <c r="K46" s="150">
        <f t="shared" si="40"/>
        <v>45370.5</v>
      </c>
      <c r="L46" s="150">
        <f t="shared" si="40"/>
        <v>45553</v>
      </c>
      <c r="M46" s="150">
        <f t="shared" si="40"/>
        <v>45735.5</v>
      </c>
      <c r="N46" s="150">
        <f t="shared" si="40"/>
        <v>45918</v>
      </c>
      <c r="O46" s="150">
        <f t="shared" si="40"/>
        <v>46100.5</v>
      </c>
      <c r="P46" s="150">
        <f t="shared" si="40"/>
        <v>46283</v>
      </c>
      <c r="Q46" s="150">
        <f t="shared" si="40"/>
        <v>46465.5</v>
      </c>
      <c r="R46" s="150">
        <f t="shared" si="40"/>
        <v>46648</v>
      </c>
      <c r="S46" s="150">
        <f t="shared" si="40"/>
        <v>46830.5</v>
      </c>
      <c r="T46" s="150">
        <f t="shared" si="40"/>
        <v>47013</v>
      </c>
      <c r="U46" s="150">
        <f t="shared" si="40"/>
        <v>47195.5</v>
      </c>
      <c r="V46" s="150">
        <f t="shared" si="40"/>
        <v>47378</v>
      </c>
      <c r="W46" s="150">
        <f t="shared" si="40"/>
        <v>47560.5</v>
      </c>
      <c r="X46" s="150">
        <f t="shared" si="40"/>
        <v>47743</v>
      </c>
      <c r="Y46" s="150">
        <f t="shared" si="40"/>
        <v>47925.5</v>
      </c>
      <c r="Z46" s="150">
        <f t="shared" si="40"/>
        <v>48108</v>
      </c>
      <c r="AA46" s="150">
        <f t="shared" si="40"/>
        <v>48290.5</v>
      </c>
      <c r="AB46" s="150">
        <f t="shared" si="40"/>
        <v>48473</v>
      </c>
      <c r="AC46" s="150">
        <f t="shared" si="40"/>
        <v>48655.5</v>
      </c>
      <c r="AD46" s="150">
        <f t="shared" si="40"/>
        <v>48838</v>
      </c>
      <c r="AE46" s="150">
        <f t="shared" si="40"/>
        <v>49020.5</v>
      </c>
      <c r="AF46" s="150">
        <f t="shared" si="40"/>
        <v>49203</v>
      </c>
      <c r="AG46" s="150">
        <f t="shared" si="40"/>
        <v>49385.5</v>
      </c>
      <c r="AH46" s="150">
        <f t="shared" si="40"/>
        <v>49568</v>
      </c>
      <c r="AI46" s="150">
        <f t="shared" si="40"/>
        <v>49750.5</v>
      </c>
      <c r="AJ46" s="150">
        <f t="shared" si="40"/>
        <v>49933</v>
      </c>
      <c r="AK46" s="150">
        <f t="shared" si="40"/>
        <v>50115.5</v>
      </c>
      <c r="AL46" s="150">
        <f t="shared" si="40"/>
        <v>50298</v>
      </c>
      <c r="AM46" s="150">
        <f t="shared" si="40"/>
        <v>50480.5</v>
      </c>
      <c r="AN46" s="150">
        <f t="shared" si="40"/>
        <v>50663</v>
      </c>
      <c r="AO46" s="150">
        <f t="shared" si="40"/>
        <v>50845.5</v>
      </c>
      <c r="AP46" s="150">
        <f t="shared" si="40"/>
        <v>51028</v>
      </c>
      <c r="AQ46" s="150">
        <f t="shared" si="40"/>
        <v>51210.5</v>
      </c>
      <c r="AR46" s="150">
        <f t="shared" si="40"/>
        <v>51393</v>
      </c>
      <c r="AS46" s="150">
        <f t="shared" si="40"/>
        <v>51575.5</v>
      </c>
      <c r="AT46" s="150">
        <f t="shared" si="40"/>
        <v>51758</v>
      </c>
      <c r="AU46" s="150">
        <f t="shared" si="40"/>
        <v>51940.5</v>
      </c>
      <c r="AV46" s="150">
        <f t="shared" si="40"/>
        <v>52123</v>
      </c>
      <c r="AW46" s="150">
        <f t="shared" si="40"/>
        <v>52305.5</v>
      </c>
      <c r="AX46" s="150">
        <f t="shared" si="40"/>
        <v>52488</v>
      </c>
      <c r="AY46" s="150">
        <f t="shared" si="40"/>
        <v>52670.5</v>
      </c>
      <c r="AZ46" s="150">
        <f t="shared" si="40"/>
        <v>52853</v>
      </c>
      <c r="BA46" s="150">
        <f t="shared" si="40"/>
        <v>53035.5</v>
      </c>
      <c r="BB46" s="150">
        <f t="shared" si="40"/>
        <v>53218</v>
      </c>
      <c r="BC46" s="150">
        <f t="shared" si="40"/>
        <v>53400.5</v>
      </c>
      <c r="BD46" s="150">
        <f t="shared" si="40"/>
        <v>53583</v>
      </c>
      <c r="BE46" s="150">
        <f t="shared" si="40"/>
        <v>53765.5</v>
      </c>
      <c r="BF46" s="150">
        <f t="shared" si="40"/>
        <v>53948</v>
      </c>
      <c r="BG46" s="150">
        <f t="shared" si="40"/>
        <v>54130.5</v>
      </c>
      <c r="BH46" s="150">
        <f t="shared" si="40"/>
        <v>54313</v>
      </c>
      <c r="BI46" s="150">
        <f t="shared" si="40"/>
        <v>54495.5</v>
      </c>
      <c r="BJ46" s="150">
        <f t="shared" si="40"/>
        <v>54678</v>
      </c>
      <c r="BK46" s="150">
        <f t="shared" si="40"/>
        <v>54860.5</v>
      </c>
      <c r="BL46" s="150">
        <f t="shared" si="40"/>
        <v>55043</v>
      </c>
      <c r="BM46" s="150">
        <f t="shared" si="40"/>
        <v>55225.5</v>
      </c>
      <c r="BN46" s="150">
        <f t="shared" si="40"/>
        <v>55408</v>
      </c>
      <c r="BO46" s="150">
        <f t="shared" ref="BO46:CB46" si="41">BN46+IF($G10=1,365,182.5)</f>
        <v>55590.5</v>
      </c>
      <c r="BP46" s="150">
        <f t="shared" si="41"/>
        <v>55773</v>
      </c>
      <c r="BQ46" s="150">
        <f t="shared" si="41"/>
        <v>55955.5</v>
      </c>
      <c r="BR46" s="150">
        <f t="shared" si="41"/>
        <v>56138</v>
      </c>
      <c r="BS46" s="150">
        <f t="shared" si="41"/>
        <v>56320.5</v>
      </c>
      <c r="BT46" s="150">
        <f t="shared" si="41"/>
        <v>56503</v>
      </c>
      <c r="BU46" s="150">
        <f t="shared" si="41"/>
        <v>56685.5</v>
      </c>
      <c r="BV46" s="150">
        <f t="shared" si="41"/>
        <v>56868</v>
      </c>
      <c r="BW46" s="150">
        <f t="shared" si="41"/>
        <v>57050.5</v>
      </c>
      <c r="BX46" s="150">
        <f t="shared" si="41"/>
        <v>57233</v>
      </c>
      <c r="BY46" s="150">
        <f t="shared" si="41"/>
        <v>57415.5</v>
      </c>
      <c r="BZ46" s="150">
        <f t="shared" si="41"/>
        <v>57598</v>
      </c>
      <c r="CA46" s="150">
        <f t="shared" si="41"/>
        <v>57780.5</v>
      </c>
      <c r="CB46" s="151">
        <f t="shared" si="41"/>
        <v>57963</v>
      </c>
    </row>
    <row r="47" spans="1:80">
      <c r="A47" s="170" t="s">
        <v>17</v>
      </c>
      <c r="B47" s="152">
        <f>(IF(B46=F10,100,0)+IF(G10=1,1,0.5)*J10*100)*IF(ISBLANK(F10)=TRUE,0,1)</f>
        <v>0.2</v>
      </c>
      <c r="C47" s="153">
        <f>IF(C46&gt;$F10+1,0,1)*(IF(D47=0,100,0)+IF($G10=1,1,0.5)*$J10*100)</f>
        <v>0.2</v>
      </c>
      <c r="D47" s="153">
        <f t="shared" ref="D47:BO47" si="42">IF(D46&gt;$F10+1,0,1)*(IF(E47=0,100,0)+IF($G10=1,1,0.5)*$J10*100)</f>
        <v>0.2</v>
      </c>
      <c r="E47" s="153">
        <f t="shared" si="42"/>
        <v>0.2</v>
      </c>
      <c r="F47" s="153">
        <f t="shared" si="42"/>
        <v>0.2</v>
      </c>
      <c r="G47" s="153">
        <f t="shared" si="42"/>
        <v>0.2</v>
      </c>
      <c r="H47" s="153">
        <f t="shared" si="42"/>
        <v>0.2</v>
      </c>
      <c r="I47" s="153">
        <f t="shared" si="42"/>
        <v>0.2</v>
      </c>
      <c r="J47" s="153">
        <f t="shared" si="42"/>
        <v>0.2</v>
      </c>
      <c r="K47" s="153">
        <f t="shared" si="42"/>
        <v>0.2</v>
      </c>
      <c r="L47" s="153">
        <f t="shared" si="42"/>
        <v>0.2</v>
      </c>
      <c r="M47" s="153">
        <f t="shared" si="42"/>
        <v>100.2</v>
      </c>
      <c r="N47" s="153">
        <f t="shared" si="42"/>
        <v>0</v>
      </c>
      <c r="O47" s="153">
        <f t="shared" si="42"/>
        <v>0</v>
      </c>
      <c r="P47" s="153">
        <f t="shared" si="42"/>
        <v>0</v>
      </c>
      <c r="Q47" s="153">
        <f t="shared" si="42"/>
        <v>0</v>
      </c>
      <c r="R47" s="153">
        <f t="shared" si="42"/>
        <v>0</v>
      </c>
      <c r="S47" s="153">
        <f t="shared" si="42"/>
        <v>0</v>
      </c>
      <c r="T47" s="153">
        <f t="shared" si="42"/>
        <v>0</v>
      </c>
      <c r="U47" s="153">
        <f t="shared" si="42"/>
        <v>0</v>
      </c>
      <c r="V47" s="153">
        <f t="shared" si="42"/>
        <v>0</v>
      </c>
      <c r="W47" s="153">
        <f t="shared" si="42"/>
        <v>0</v>
      </c>
      <c r="X47" s="153">
        <f t="shared" si="42"/>
        <v>0</v>
      </c>
      <c r="Y47" s="153">
        <f t="shared" si="42"/>
        <v>0</v>
      </c>
      <c r="Z47" s="153">
        <f t="shared" si="42"/>
        <v>0</v>
      </c>
      <c r="AA47" s="153">
        <f t="shared" si="42"/>
        <v>0</v>
      </c>
      <c r="AB47" s="153">
        <f t="shared" si="42"/>
        <v>0</v>
      </c>
      <c r="AC47" s="153">
        <f t="shared" si="42"/>
        <v>0</v>
      </c>
      <c r="AD47" s="153">
        <f t="shared" si="42"/>
        <v>0</v>
      </c>
      <c r="AE47" s="153">
        <f t="shared" si="42"/>
        <v>0</v>
      </c>
      <c r="AF47" s="153">
        <f t="shared" si="42"/>
        <v>0</v>
      </c>
      <c r="AG47" s="153">
        <f t="shared" si="42"/>
        <v>0</v>
      </c>
      <c r="AH47" s="153">
        <f t="shared" si="42"/>
        <v>0</v>
      </c>
      <c r="AI47" s="153">
        <f t="shared" si="42"/>
        <v>0</v>
      </c>
      <c r="AJ47" s="153">
        <f t="shared" si="42"/>
        <v>0</v>
      </c>
      <c r="AK47" s="153">
        <f t="shared" si="42"/>
        <v>0</v>
      </c>
      <c r="AL47" s="153">
        <f t="shared" si="42"/>
        <v>0</v>
      </c>
      <c r="AM47" s="153">
        <f t="shared" si="42"/>
        <v>0</v>
      </c>
      <c r="AN47" s="153">
        <f t="shared" si="42"/>
        <v>0</v>
      </c>
      <c r="AO47" s="153">
        <f t="shared" si="42"/>
        <v>0</v>
      </c>
      <c r="AP47" s="153">
        <f t="shared" si="42"/>
        <v>0</v>
      </c>
      <c r="AQ47" s="153">
        <f t="shared" si="42"/>
        <v>0</v>
      </c>
      <c r="AR47" s="153">
        <f t="shared" si="42"/>
        <v>0</v>
      </c>
      <c r="AS47" s="153">
        <f t="shared" si="42"/>
        <v>0</v>
      </c>
      <c r="AT47" s="153">
        <f t="shared" si="42"/>
        <v>0</v>
      </c>
      <c r="AU47" s="153">
        <f t="shared" si="42"/>
        <v>0</v>
      </c>
      <c r="AV47" s="153">
        <f t="shared" si="42"/>
        <v>0</v>
      </c>
      <c r="AW47" s="153">
        <f t="shared" si="42"/>
        <v>0</v>
      </c>
      <c r="AX47" s="153">
        <f t="shared" si="42"/>
        <v>0</v>
      </c>
      <c r="AY47" s="153">
        <f t="shared" si="42"/>
        <v>0</v>
      </c>
      <c r="AZ47" s="153">
        <f t="shared" si="42"/>
        <v>0</v>
      </c>
      <c r="BA47" s="153">
        <f t="shared" si="42"/>
        <v>0</v>
      </c>
      <c r="BB47" s="153">
        <f t="shared" si="42"/>
        <v>0</v>
      </c>
      <c r="BC47" s="153">
        <f t="shared" si="42"/>
        <v>0</v>
      </c>
      <c r="BD47" s="153">
        <f t="shared" si="42"/>
        <v>0</v>
      </c>
      <c r="BE47" s="153">
        <f t="shared" si="42"/>
        <v>0</v>
      </c>
      <c r="BF47" s="153">
        <f t="shared" si="42"/>
        <v>0</v>
      </c>
      <c r="BG47" s="153">
        <f t="shared" si="42"/>
        <v>0</v>
      </c>
      <c r="BH47" s="153">
        <f t="shared" si="42"/>
        <v>0</v>
      </c>
      <c r="BI47" s="153">
        <f t="shared" si="42"/>
        <v>0</v>
      </c>
      <c r="BJ47" s="153">
        <f t="shared" si="42"/>
        <v>0</v>
      </c>
      <c r="BK47" s="153">
        <f t="shared" si="42"/>
        <v>0</v>
      </c>
      <c r="BL47" s="153">
        <f t="shared" si="42"/>
        <v>0</v>
      </c>
      <c r="BM47" s="153">
        <f t="shared" si="42"/>
        <v>0</v>
      </c>
      <c r="BN47" s="153">
        <f t="shared" si="42"/>
        <v>0</v>
      </c>
      <c r="BO47" s="153">
        <f t="shared" si="42"/>
        <v>0</v>
      </c>
      <c r="BP47" s="153">
        <f t="shared" ref="BP47:CB47" si="43">IF(BP46&gt;$F10+1,0,1)*(IF(BQ47=0,100,0)+IF($G10=1,1,0.5)*$J10*100)</f>
        <v>0</v>
      </c>
      <c r="BQ47" s="153">
        <f t="shared" si="43"/>
        <v>0</v>
      </c>
      <c r="BR47" s="153">
        <f t="shared" si="43"/>
        <v>0</v>
      </c>
      <c r="BS47" s="153">
        <f t="shared" si="43"/>
        <v>0</v>
      </c>
      <c r="BT47" s="153">
        <f t="shared" si="43"/>
        <v>0</v>
      </c>
      <c r="BU47" s="153">
        <f t="shared" si="43"/>
        <v>0</v>
      </c>
      <c r="BV47" s="153">
        <f t="shared" si="43"/>
        <v>0</v>
      </c>
      <c r="BW47" s="153">
        <f t="shared" si="43"/>
        <v>0</v>
      </c>
      <c r="BX47" s="153">
        <f t="shared" si="43"/>
        <v>0</v>
      </c>
      <c r="BY47" s="153">
        <f t="shared" si="43"/>
        <v>0</v>
      </c>
      <c r="BZ47" s="153">
        <f t="shared" si="43"/>
        <v>0</v>
      </c>
      <c r="CA47" s="153">
        <f t="shared" si="43"/>
        <v>0</v>
      </c>
      <c r="CB47" s="155">
        <f t="shared" si="43"/>
        <v>0</v>
      </c>
    </row>
    <row r="48" spans="1:80">
      <c r="A48" s="257" t="s">
        <v>49</v>
      </c>
      <c r="B48" s="57" t="str">
        <f>IF(E11=0,F11,E11)</f>
        <v>12/20/2019</v>
      </c>
      <c r="C48" s="58">
        <f t="shared" ref="C48:BN48" si="44">B48+IF($G11=1,365,182.5)</f>
        <v>44001.5</v>
      </c>
      <c r="D48" s="58">
        <f t="shared" si="44"/>
        <v>44184</v>
      </c>
      <c r="E48" s="58">
        <f t="shared" si="44"/>
        <v>44366.5</v>
      </c>
      <c r="F48" s="58">
        <f t="shared" si="44"/>
        <v>44549</v>
      </c>
      <c r="G48" s="58">
        <f t="shared" si="44"/>
        <v>44731.5</v>
      </c>
      <c r="H48" s="58">
        <f t="shared" si="44"/>
        <v>44914</v>
      </c>
      <c r="I48" s="58">
        <f t="shared" si="44"/>
        <v>45096.5</v>
      </c>
      <c r="J48" s="58">
        <f t="shared" si="44"/>
        <v>45279</v>
      </c>
      <c r="K48" s="58">
        <f t="shared" si="44"/>
        <v>45461.5</v>
      </c>
      <c r="L48" s="58">
        <f t="shared" si="44"/>
        <v>45644</v>
      </c>
      <c r="M48" s="58">
        <f t="shared" si="44"/>
        <v>45826.5</v>
      </c>
      <c r="N48" s="58">
        <f t="shared" si="44"/>
        <v>46009</v>
      </c>
      <c r="O48" s="58">
        <f t="shared" si="44"/>
        <v>46191.5</v>
      </c>
      <c r="P48" s="58">
        <f t="shared" si="44"/>
        <v>46374</v>
      </c>
      <c r="Q48" s="58">
        <f t="shared" si="44"/>
        <v>46556.5</v>
      </c>
      <c r="R48" s="58">
        <f t="shared" si="44"/>
        <v>46739</v>
      </c>
      <c r="S48" s="58">
        <f t="shared" si="44"/>
        <v>46921.5</v>
      </c>
      <c r="T48" s="58">
        <f t="shared" si="44"/>
        <v>47104</v>
      </c>
      <c r="U48" s="58">
        <f t="shared" si="44"/>
        <v>47286.5</v>
      </c>
      <c r="V48" s="58">
        <f t="shared" si="44"/>
        <v>47469</v>
      </c>
      <c r="W48" s="58">
        <f t="shared" si="44"/>
        <v>47651.5</v>
      </c>
      <c r="X48" s="58">
        <f t="shared" si="44"/>
        <v>47834</v>
      </c>
      <c r="Y48" s="58">
        <f t="shared" si="44"/>
        <v>48016.5</v>
      </c>
      <c r="Z48" s="58">
        <f t="shared" si="44"/>
        <v>48199</v>
      </c>
      <c r="AA48" s="58">
        <f t="shared" si="44"/>
        <v>48381.5</v>
      </c>
      <c r="AB48" s="58">
        <f t="shared" si="44"/>
        <v>48564</v>
      </c>
      <c r="AC48" s="58">
        <f t="shared" si="44"/>
        <v>48746.5</v>
      </c>
      <c r="AD48" s="58">
        <f t="shared" si="44"/>
        <v>48929</v>
      </c>
      <c r="AE48" s="58">
        <f t="shared" si="44"/>
        <v>49111.5</v>
      </c>
      <c r="AF48" s="58">
        <f t="shared" si="44"/>
        <v>49294</v>
      </c>
      <c r="AG48" s="58">
        <f t="shared" si="44"/>
        <v>49476.5</v>
      </c>
      <c r="AH48" s="58">
        <f t="shared" si="44"/>
        <v>49659</v>
      </c>
      <c r="AI48" s="58">
        <f t="shared" si="44"/>
        <v>49841.5</v>
      </c>
      <c r="AJ48" s="58">
        <f t="shared" si="44"/>
        <v>50024</v>
      </c>
      <c r="AK48" s="58">
        <f t="shared" si="44"/>
        <v>50206.5</v>
      </c>
      <c r="AL48" s="58">
        <f t="shared" si="44"/>
        <v>50389</v>
      </c>
      <c r="AM48" s="58">
        <f t="shared" si="44"/>
        <v>50571.5</v>
      </c>
      <c r="AN48" s="58">
        <f t="shared" si="44"/>
        <v>50754</v>
      </c>
      <c r="AO48" s="58">
        <f t="shared" si="44"/>
        <v>50936.5</v>
      </c>
      <c r="AP48" s="58">
        <f t="shared" si="44"/>
        <v>51119</v>
      </c>
      <c r="AQ48" s="58">
        <f t="shared" si="44"/>
        <v>51301.5</v>
      </c>
      <c r="AR48" s="58">
        <f t="shared" si="44"/>
        <v>51484</v>
      </c>
      <c r="AS48" s="58">
        <f t="shared" si="44"/>
        <v>51666.5</v>
      </c>
      <c r="AT48" s="58">
        <f t="shared" si="44"/>
        <v>51849</v>
      </c>
      <c r="AU48" s="58">
        <f t="shared" si="44"/>
        <v>52031.5</v>
      </c>
      <c r="AV48" s="58">
        <f t="shared" si="44"/>
        <v>52214</v>
      </c>
      <c r="AW48" s="58">
        <f t="shared" si="44"/>
        <v>52396.5</v>
      </c>
      <c r="AX48" s="58">
        <f t="shared" si="44"/>
        <v>52579</v>
      </c>
      <c r="AY48" s="58">
        <f t="shared" si="44"/>
        <v>52761.5</v>
      </c>
      <c r="AZ48" s="58">
        <f t="shared" si="44"/>
        <v>52944</v>
      </c>
      <c r="BA48" s="58">
        <f t="shared" si="44"/>
        <v>53126.5</v>
      </c>
      <c r="BB48" s="58">
        <f t="shared" si="44"/>
        <v>53309</v>
      </c>
      <c r="BC48" s="58">
        <f t="shared" si="44"/>
        <v>53491.5</v>
      </c>
      <c r="BD48" s="58">
        <f t="shared" si="44"/>
        <v>53674</v>
      </c>
      <c r="BE48" s="58">
        <f t="shared" si="44"/>
        <v>53856.5</v>
      </c>
      <c r="BF48" s="58">
        <f t="shared" si="44"/>
        <v>54039</v>
      </c>
      <c r="BG48" s="58">
        <f t="shared" si="44"/>
        <v>54221.5</v>
      </c>
      <c r="BH48" s="58">
        <f t="shared" si="44"/>
        <v>54404</v>
      </c>
      <c r="BI48" s="58">
        <f t="shared" si="44"/>
        <v>54586.5</v>
      </c>
      <c r="BJ48" s="58">
        <f t="shared" si="44"/>
        <v>54769</v>
      </c>
      <c r="BK48" s="58">
        <f t="shared" si="44"/>
        <v>54951.5</v>
      </c>
      <c r="BL48" s="58">
        <f t="shared" si="44"/>
        <v>55134</v>
      </c>
      <c r="BM48" s="58">
        <f t="shared" si="44"/>
        <v>55316.5</v>
      </c>
      <c r="BN48" s="58">
        <f t="shared" si="44"/>
        <v>55499</v>
      </c>
      <c r="BO48" s="58">
        <f t="shared" ref="BO48:CB48" si="45">BN48+IF($G11=1,365,182.5)</f>
        <v>55681.5</v>
      </c>
      <c r="BP48" s="58">
        <f t="shared" si="45"/>
        <v>55864</v>
      </c>
      <c r="BQ48" s="58">
        <f t="shared" si="45"/>
        <v>56046.5</v>
      </c>
      <c r="BR48" s="58">
        <f t="shared" si="45"/>
        <v>56229</v>
      </c>
      <c r="BS48" s="58">
        <f t="shared" si="45"/>
        <v>56411.5</v>
      </c>
      <c r="BT48" s="58">
        <f t="shared" si="45"/>
        <v>56594</v>
      </c>
      <c r="BU48" s="58">
        <f t="shared" si="45"/>
        <v>56776.5</v>
      </c>
      <c r="BV48" s="58">
        <f t="shared" si="45"/>
        <v>56959</v>
      </c>
      <c r="BW48" s="58">
        <f t="shared" si="45"/>
        <v>57141.5</v>
      </c>
      <c r="BX48" s="58">
        <f t="shared" si="45"/>
        <v>57324</v>
      </c>
      <c r="BY48" s="58">
        <f t="shared" si="45"/>
        <v>57506.5</v>
      </c>
      <c r="BZ48" s="58">
        <f t="shared" si="45"/>
        <v>57689</v>
      </c>
      <c r="CA48" s="58">
        <f t="shared" si="45"/>
        <v>57871.5</v>
      </c>
      <c r="CB48" s="59">
        <f t="shared" si="45"/>
        <v>58054</v>
      </c>
    </row>
    <row r="49" spans="1:80">
      <c r="A49" s="171" t="s">
        <v>28</v>
      </c>
      <c r="B49" s="112">
        <f>(IF(B48=F11,100,0)+IF(G11=1,1,0.5)*J11*100)*IF(ISBLANK(F11)=TRUE,0,1)</f>
        <v>0.05</v>
      </c>
      <c r="C49" s="60">
        <f>IF(C48&gt;$F11+1,0,1)*(IF(D49=0,100,0)+IF($G11=1,1,0.5)*$J11*100)</f>
        <v>0.05</v>
      </c>
      <c r="D49" s="60">
        <f t="shared" ref="D49:BO49" si="46">IF(D48&gt;$F11+1,0,1)*(IF(E49=0,100,0)+IF($G11=1,1,0.5)*$J11*100)</f>
        <v>0.05</v>
      </c>
      <c r="E49" s="60">
        <f t="shared" si="46"/>
        <v>0.05</v>
      </c>
      <c r="F49" s="60">
        <f t="shared" si="46"/>
        <v>0.05</v>
      </c>
      <c r="G49" s="60">
        <f t="shared" si="46"/>
        <v>0.05</v>
      </c>
      <c r="H49" s="60">
        <f t="shared" si="46"/>
        <v>0.05</v>
      </c>
      <c r="I49" s="60">
        <f t="shared" si="46"/>
        <v>0.05</v>
      </c>
      <c r="J49" s="60">
        <f t="shared" si="46"/>
        <v>0.05</v>
      </c>
      <c r="K49" s="60">
        <f t="shared" si="46"/>
        <v>0.05</v>
      </c>
      <c r="L49" s="60">
        <f t="shared" si="46"/>
        <v>0.05</v>
      </c>
      <c r="M49" s="60">
        <f t="shared" si="46"/>
        <v>0.05</v>
      </c>
      <c r="N49" s="60">
        <f t="shared" si="46"/>
        <v>0.05</v>
      </c>
      <c r="O49" s="60">
        <f t="shared" si="46"/>
        <v>100.05</v>
      </c>
      <c r="P49" s="60">
        <f t="shared" si="46"/>
        <v>0</v>
      </c>
      <c r="Q49" s="60">
        <f t="shared" si="46"/>
        <v>0</v>
      </c>
      <c r="R49" s="60">
        <f t="shared" si="46"/>
        <v>0</v>
      </c>
      <c r="S49" s="60">
        <f t="shared" si="46"/>
        <v>0</v>
      </c>
      <c r="T49" s="60">
        <f t="shared" si="46"/>
        <v>0</v>
      </c>
      <c r="U49" s="60">
        <f t="shared" si="46"/>
        <v>0</v>
      </c>
      <c r="V49" s="60">
        <f t="shared" si="46"/>
        <v>0</v>
      </c>
      <c r="W49" s="60">
        <f t="shared" si="46"/>
        <v>0</v>
      </c>
      <c r="X49" s="60">
        <f t="shared" si="46"/>
        <v>0</v>
      </c>
      <c r="Y49" s="60">
        <f t="shared" si="46"/>
        <v>0</v>
      </c>
      <c r="Z49" s="60">
        <f t="shared" si="46"/>
        <v>0</v>
      </c>
      <c r="AA49" s="60">
        <f t="shared" si="46"/>
        <v>0</v>
      </c>
      <c r="AB49" s="60">
        <f t="shared" si="46"/>
        <v>0</v>
      </c>
      <c r="AC49" s="60">
        <f t="shared" si="46"/>
        <v>0</v>
      </c>
      <c r="AD49" s="60">
        <f t="shared" si="46"/>
        <v>0</v>
      </c>
      <c r="AE49" s="60">
        <f t="shared" si="46"/>
        <v>0</v>
      </c>
      <c r="AF49" s="60">
        <f t="shared" si="46"/>
        <v>0</v>
      </c>
      <c r="AG49" s="60">
        <f t="shared" si="46"/>
        <v>0</v>
      </c>
      <c r="AH49" s="60">
        <f t="shared" si="46"/>
        <v>0</v>
      </c>
      <c r="AI49" s="60">
        <f t="shared" si="46"/>
        <v>0</v>
      </c>
      <c r="AJ49" s="60">
        <f t="shared" si="46"/>
        <v>0</v>
      </c>
      <c r="AK49" s="60">
        <f t="shared" si="46"/>
        <v>0</v>
      </c>
      <c r="AL49" s="60">
        <f t="shared" si="46"/>
        <v>0</v>
      </c>
      <c r="AM49" s="60">
        <f t="shared" si="46"/>
        <v>0</v>
      </c>
      <c r="AN49" s="60">
        <f t="shared" si="46"/>
        <v>0</v>
      </c>
      <c r="AO49" s="60">
        <f t="shared" si="46"/>
        <v>0</v>
      </c>
      <c r="AP49" s="60">
        <f t="shared" si="46"/>
        <v>0</v>
      </c>
      <c r="AQ49" s="60">
        <f t="shared" si="46"/>
        <v>0</v>
      </c>
      <c r="AR49" s="60">
        <f t="shared" si="46"/>
        <v>0</v>
      </c>
      <c r="AS49" s="60">
        <f t="shared" si="46"/>
        <v>0</v>
      </c>
      <c r="AT49" s="60">
        <f t="shared" si="46"/>
        <v>0</v>
      </c>
      <c r="AU49" s="60">
        <f t="shared" si="46"/>
        <v>0</v>
      </c>
      <c r="AV49" s="60">
        <f t="shared" si="46"/>
        <v>0</v>
      </c>
      <c r="AW49" s="60">
        <f t="shared" si="46"/>
        <v>0</v>
      </c>
      <c r="AX49" s="60">
        <f t="shared" si="46"/>
        <v>0</v>
      </c>
      <c r="AY49" s="60">
        <f t="shared" si="46"/>
        <v>0</v>
      </c>
      <c r="AZ49" s="60">
        <f t="shared" si="46"/>
        <v>0</v>
      </c>
      <c r="BA49" s="60">
        <f t="shared" si="46"/>
        <v>0</v>
      </c>
      <c r="BB49" s="60">
        <f t="shared" si="46"/>
        <v>0</v>
      </c>
      <c r="BC49" s="60">
        <f t="shared" si="46"/>
        <v>0</v>
      </c>
      <c r="BD49" s="60">
        <f t="shared" si="46"/>
        <v>0</v>
      </c>
      <c r="BE49" s="60">
        <f t="shared" si="46"/>
        <v>0</v>
      </c>
      <c r="BF49" s="60">
        <f t="shared" si="46"/>
        <v>0</v>
      </c>
      <c r="BG49" s="60">
        <f t="shared" si="46"/>
        <v>0</v>
      </c>
      <c r="BH49" s="60">
        <f t="shared" si="46"/>
        <v>0</v>
      </c>
      <c r="BI49" s="60">
        <f t="shared" si="46"/>
        <v>0</v>
      </c>
      <c r="BJ49" s="60">
        <f t="shared" si="46"/>
        <v>0</v>
      </c>
      <c r="BK49" s="60">
        <f t="shared" si="46"/>
        <v>0</v>
      </c>
      <c r="BL49" s="60">
        <f t="shared" si="46"/>
        <v>0</v>
      </c>
      <c r="BM49" s="60">
        <f t="shared" si="46"/>
        <v>0</v>
      </c>
      <c r="BN49" s="60">
        <f t="shared" si="46"/>
        <v>0</v>
      </c>
      <c r="BO49" s="60">
        <f t="shared" si="46"/>
        <v>0</v>
      </c>
      <c r="BP49" s="60">
        <f t="shared" ref="BP49:CB49" si="47">IF(BP48&gt;$F11+1,0,1)*(IF(BQ49=0,100,0)+IF($G11=1,1,0.5)*$J11*100)</f>
        <v>0</v>
      </c>
      <c r="BQ49" s="60">
        <f t="shared" si="47"/>
        <v>0</v>
      </c>
      <c r="BR49" s="60">
        <f t="shared" si="47"/>
        <v>0</v>
      </c>
      <c r="BS49" s="60">
        <f t="shared" si="47"/>
        <v>0</v>
      </c>
      <c r="BT49" s="60">
        <f t="shared" si="47"/>
        <v>0</v>
      </c>
      <c r="BU49" s="60">
        <f t="shared" si="47"/>
        <v>0</v>
      </c>
      <c r="BV49" s="60">
        <f t="shared" si="47"/>
        <v>0</v>
      </c>
      <c r="BW49" s="60">
        <f t="shared" si="47"/>
        <v>0</v>
      </c>
      <c r="BX49" s="60">
        <f t="shared" si="47"/>
        <v>0</v>
      </c>
      <c r="BY49" s="60">
        <f t="shared" si="47"/>
        <v>0</v>
      </c>
      <c r="BZ49" s="60">
        <f t="shared" si="47"/>
        <v>0</v>
      </c>
      <c r="CA49" s="60">
        <f t="shared" si="47"/>
        <v>0</v>
      </c>
      <c r="CB49" s="61">
        <f t="shared" si="47"/>
        <v>0</v>
      </c>
    </row>
    <row r="50" spans="1:80">
      <c r="A50" s="256" t="s">
        <v>49</v>
      </c>
      <c r="B50" s="62" t="str">
        <f>IF(E12=0,F12,E12)</f>
        <v>9/20/2019</v>
      </c>
      <c r="C50" s="63">
        <f t="shared" ref="C50:BN50" si="48">B50+IF($G12=1,365,182.5)</f>
        <v>43910.5</v>
      </c>
      <c r="D50" s="63">
        <f t="shared" si="48"/>
        <v>44093</v>
      </c>
      <c r="E50" s="63">
        <f t="shared" si="48"/>
        <v>44275.5</v>
      </c>
      <c r="F50" s="63">
        <f t="shared" si="48"/>
        <v>44458</v>
      </c>
      <c r="G50" s="63">
        <f t="shared" si="48"/>
        <v>44640.5</v>
      </c>
      <c r="H50" s="63">
        <f t="shared" si="48"/>
        <v>44823</v>
      </c>
      <c r="I50" s="63">
        <f t="shared" si="48"/>
        <v>45005.5</v>
      </c>
      <c r="J50" s="63">
        <f t="shared" si="48"/>
        <v>45188</v>
      </c>
      <c r="K50" s="63">
        <f t="shared" si="48"/>
        <v>45370.5</v>
      </c>
      <c r="L50" s="63">
        <f t="shared" si="48"/>
        <v>45553</v>
      </c>
      <c r="M50" s="63">
        <f t="shared" si="48"/>
        <v>45735.5</v>
      </c>
      <c r="N50" s="63">
        <f t="shared" si="48"/>
        <v>45918</v>
      </c>
      <c r="O50" s="63">
        <f t="shared" si="48"/>
        <v>46100.5</v>
      </c>
      <c r="P50" s="63">
        <f t="shared" si="48"/>
        <v>46283</v>
      </c>
      <c r="Q50" s="63">
        <f t="shared" si="48"/>
        <v>46465.5</v>
      </c>
      <c r="R50" s="63">
        <f t="shared" si="48"/>
        <v>46648</v>
      </c>
      <c r="S50" s="63">
        <f t="shared" si="48"/>
        <v>46830.5</v>
      </c>
      <c r="T50" s="63">
        <f t="shared" si="48"/>
        <v>47013</v>
      </c>
      <c r="U50" s="63">
        <f t="shared" si="48"/>
        <v>47195.5</v>
      </c>
      <c r="V50" s="63">
        <f t="shared" si="48"/>
        <v>47378</v>
      </c>
      <c r="W50" s="63">
        <f t="shared" si="48"/>
        <v>47560.5</v>
      </c>
      <c r="X50" s="63">
        <f t="shared" si="48"/>
        <v>47743</v>
      </c>
      <c r="Y50" s="63">
        <f t="shared" si="48"/>
        <v>47925.5</v>
      </c>
      <c r="Z50" s="63">
        <f t="shared" si="48"/>
        <v>48108</v>
      </c>
      <c r="AA50" s="63">
        <f t="shared" si="48"/>
        <v>48290.5</v>
      </c>
      <c r="AB50" s="63">
        <f t="shared" si="48"/>
        <v>48473</v>
      </c>
      <c r="AC50" s="63">
        <f t="shared" si="48"/>
        <v>48655.5</v>
      </c>
      <c r="AD50" s="63">
        <f t="shared" si="48"/>
        <v>48838</v>
      </c>
      <c r="AE50" s="63">
        <f t="shared" si="48"/>
        <v>49020.5</v>
      </c>
      <c r="AF50" s="63">
        <f t="shared" si="48"/>
        <v>49203</v>
      </c>
      <c r="AG50" s="63">
        <f t="shared" si="48"/>
        <v>49385.5</v>
      </c>
      <c r="AH50" s="63">
        <f t="shared" si="48"/>
        <v>49568</v>
      </c>
      <c r="AI50" s="63">
        <f t="shared" si="48"/>
        <v>49750.5</v>
      </c>
      <c r="AJ50" s="63">
        <f t="shared" si="48"/>
        <v>49933</v>
      </c>
      <c r="AK50" s="63">
        <f t="shared" si="48"/>
        <v>50115.5</v>
      </c>
      <c r="AL50" s="63">
        <f t="shared" si="48"/>
        <v>50298</v>
      </c>
      <c r="AM50" s="63">
        <f t="shared" si="48"/>
        <v>50480.5</v>
      </c>
      <c r="AN50" s="63">
        <f t="shared" si="48"/>
        <v>50663</v>
      </c>
      <c r="AO50" s="63">
        <f t="shared" si="48"/>
        <v>50845.5</v>
      </c>
      <c r="AP50" s="63">
        <f t="shared" si="48"/>
        <v>51028</v>
      </c>
      <c r="AQ50" s="63">
        <f t="shared" si="48"/>
        <v>51210.5</v>
      </c>
      <c r="AR50" s="63">
        <f t="shared" si="48"/>
        <v>51393</v>
      </c>
      <c r="AS50" s="63">
        <f t="shared" si="48"/>
        <v>51575.5</v>
      </c>
      <c r="AT50" s="63">
        <f t="shared" si="48"/>
        <v>51758</v>
      </c>
      <c r="AU50" s="63">
        <f t="shared" si="48"/>
        <v>51940.5</v>
      </c>
      <c r="AV50" s="63">
        <f t="shared" si="48"/>
        <v>52123</v>
      </c>
      <c r="AW50" s="63">
        <f t="shared" si="48"/>
        <v>52305.5</v>
      </c>
      <c r="AX50" s="63">
        <f t="shared" si="48"/>
        <v>52488</v>
      </c>
      <c r="AY50" s="63">
        <f t="shared" si="48"/>
        <v>52670.5</v>
      </c>
      <c r="AZ50" s="63">
        <f t="shared" si="48"/>
        <v>52853</v>
      </c>
      <c r="BA50" s="63">
        <f t="shared" si="48"/>
        <v>53035.5</v>
      </c>
      <c r="BB50" s="63">
        <f t="shared" si="48"/>
        <v>53218</v>
      </c>
      <c r="BC50" s="63">
        <f t="shared" si="48"/>
        <v>53400.5</v>
      </c>
      <c r="BD50" s="63">
        <f t="shared" si="48"/>
        <v>53583</v>
      </c>
      <c r="BE50" s="63">
        <f t="shared" si="48"/>
        <v>53765.5</v>
      </c>
      <c r="BF50" s="63">
        <f t="shared" si="48"/>
        <v>53948</v>
      </c>
      <c r="BG50" s="63">
        <f t="shared" si="48"/>
        <v>54130.5</v>
      </c>
      <c r="BH50" s="63">
        <f t="shared" si="48"/>
        <v>54313</v>
      </c>
      <c r="BI50" s="63">
        <f t="shared" si="48"/>
        <v>54495.5</v>
      </c>
      <c r="BJ50" s="63">
        <f t="shared" si="48"/>
        <v>54678</v>
      </c>
      <c r="BK50" s="63">
        <f t="shared" si="48"/>
        <v>54860.5</v>
      </c>
      <c r="BL50" s="63">
        <f t="shared" si="48"/>
        <v>55043</v>
      </c>
      <c r="BM50" s="63">
        <f t="shared" si="48"/>
        <v>55225.5</v>
      </c>
      <c r="BN50" s="63">
        <f t="shared" si="48"/>
        <v>55408</v>
      </c>
      <c r="BO50" s="63">
        <f t="shared" ref="BO50:CB50" si="49">BN50+IF($G12=1,365,182.5)</f>
        <v>55590.5</v>
      </c>
      <c r="BP50" s="63">
        <f t="shared" si="49"/>
        <v>55773</v>
      </c>
      <c r="BQ50" s="63">
        <f t="shared" si="49"/>
        <v>55955.5</v>
      </c>
      <c r="BR50" s="63">
        <f t="shared" si="49"/>
        <v>56138</v>
      </c>
      <c r="BS50" s="63">
        <f t="shared" si="49"/>
        <v>56320.5</v>
      </c>
      <c r="BT50" s="63">
        <f t="shared" si="49"/>
        <v>56503</v>
      </c>
      <c r="BU50" s="63">
        <f t="shared" si="49"/>
        <v>56685.5</v>
      </c>
      <c r="BV50" s="63">
        <f t="shared" si="49"/>
        <v>56868</v>
      </c>
      <c r="BW50" s="63">
        <f t="shared" si="49"/>
        <v>57050.5</v>
      </c>
      <c r="BX50" s="63">
        <f t="shared" si="49"/>
        <v>57233</v>
      </c>
      <c r="BY50" s="63">
        <f t="shared" si="49"/>
        <v>57415.5</v>
      </c>
      <c r="BZ50" s="63">
        <f t="shared" si="49"/>
        <v>57598</v>
      </c>
      <c r="CA50" s="63">
        <f t="shared" si="49"/>
        <v>57780.5</v>
      </c>
      <c r="CB50" s="64">
        <f t="shared" si="49"/>
        <v>57963</v>
      </c>
    </row>
    <row r="51" spans="1:80">
      <c r="A51" s="172" t="s">
        <v>29</v>
      </c>
      <c r="B51" s="135">
        <f>(IF(B50=F12,100,0)+IF(G12=1,1,0.5)*J12*100)*IF(ISBLANK(F12)=TRUE,0,1)</f>
        <v>0.05</v>
      </c>
      <c r="C51" s="136">
        <f>IF(C50&gt;$F12+1,0,1)*(IF(D51=0,100,0)+IF($G12=1,1,0.5)*$J12*100)</f>
        <v>0.05</v>
      </c>
      <c r="D51" s="136">
        <f t="shared" ref="D51:BO51" si="50">IF(D50&gt;$F12+1,0,1)*(IF(E51=0,100,0)+IF($G12=1,1,0.5)*$J12*100)</f>
        <v>0.05</v>
      </c>
      <c r="E51" s="136">
        <f t="shared" si="50"/>
        <v>0.05</v>
      </c>
      <c r="F51" s="136">
        <f t="shared" si="50"/>
        <v>0.05</v>
      </c>
      <c r="G51" s="136">
        <f t="shared" si="50"/>
        <v>0.05</v>
      </c>
      <c r="H51" s="136">
        <f t="shared" si="50"/>
        <v>0.05</v>
      </c>
      <c r="I51" s="136">
        <f t="shared" si="50"/>
        <v>0.05</v>
      </c>
      <c r="J51" s="136">
        <f t="shared" si="50"/>
        <v>0.05</v>
      </c>
      <c r="K51" s="136">
        <f t="shared" si="50"/>
        <v>0.05</v>
      </c>
      <c r="L51" s="136">
        <f t="shared" si="50"/>
        <v>0.05</v>
      </c>
      <c r="M51" s="136">
        <f t="shared" si="50"/>
        <v>0.05</v>
      </c>
      <c r="N51" s="136">
        <f t="shared" si="50"/>
        <v>0.05</v>
      </c>
      <c r="O51" s="136">
        <f t="shared" si="50"/>
        <v>0.05</v>
      </c>
      <c r="P51" s="136">
        <f t="shared" si="50"/>
        <v>0.05</v>
      </c>
      <c r="Q51" s="136">
        <f t="shared" si="50"/>
        <v>100.05</v>
      </c>
      <c r="R51" s="136">
        <f t="shared" si="50"/>
        <v>0</v>
      </c>
      <c r="S51" s="136">
        <f t="shared" si="50"/>
        <v>0</v>
      </c>
      <c r="T51" s="136">
        <f t="shared" si="50"/>
        <v>0</v>
      </c>
      <c r="U51" s="136">
        <f t="shared" si="50"/>
        <v>0</v>
      </c>
      <c r="V51" s="136">
        <f t="shared" si="50"/>
        <v>0</v>
      </c>
      <c r="W51" s="136">
        <f t="shared" si="50"/>
        <v>0</v>
      </c>
      <c r="X51" s="136">
        <f t="shared" si="50"/>
        <v>0</v>
      </c>
      <c r="Y51" s="136">
        <f t="shared" si="50"/>
        <v>0</v>
      </c>
      <c r="Z51" s="136">
        <f t="shared" si="50"/>
        <v>0</v>
      </c>
      <c r="AA51" s="136">
        <f t="shared" si="50"/>
        <v>0</v>
      </c>
      <c r="AB51" s="136">
        <f t="shared" si="50"/>
        <v>0</v>
      </c>
      <c r="AC51" s="136">
        <f t="shared" si="50"/>
        <v>0</v>
      </c>
      <c r="AD51" s="136">
        <f t="shared" si="50"/>
        <v>0</v>
      </c>
      <c r="AE51" s="136">
        <f t="shared" si="50"/>
        <v>0</v>
      </c>
      <c r="AF51" s="136">
        <f t="shared" si="50"/>
        <v>0</v>
      </c>
      <c r="AG51" s="136">
        <f t="shared" si="50"/>
        <v>0</v>
      </c>
      <c r="AH51" s="136">
        <f t="shared" si="50"/>
        <v>0</v>
      </c>
      <c r="AI51" s="136">
        <f t="shared" si="50"/>
        <v>0</v>
      </c>
      <c r="AJ51" s="136">
        <f t="shared" si="50"/>
        <v>0</v>
      </c>
      <c r="AK51" s="136">
        <f t="shared" si="50"/>
        <v>0</v>
      </c>
      <c r="AL51" s="136">
        <f t="shared" si="50"/>
        <v>0</v>
      </c>
      <c r="AM51" s="136">
        <f t="shared" si="50"/>
        <v>0</v>
      </c>
      <c r="AN51" s="136">
        <f t="shared" si="50"/>
        <v>0</v>
      </c>
      <c r="AO51" s="136">
        <f t="shared" si="50"/>
        <v>0</v>
      </c>
      <c r="AP51" s="136">
        <f t="shared" si="50"/>
        <v>0</v>
      </c>
      <c r="AQ51" s="136">
        <f t="shared" si="50"/>
        <v>0</v>
      </c>
      <c r="AR51" s="136">
        <f t="shared" si="50"/>
        <v>0</v>
      </c>
      <c r="AS51" s="136">
        <f t="shared" si="50"/>
        <v>0</v>
      </c>
      <c r="AT51" s="136">
        <f t="shared" si="50"/>
        <v>0</v>
      </c>
      <c r="AU51" s="136">
        <f t="shared" si="50"/>
        <v>0</v>
      </c>
      <c r="AV51" s="136">
        <f t="shared" si="50"/>
        <v>0</v>
      </c>
      <c r="AW51" s="136">
        <f t="shared" si="50"/>
        <v>0</v>
      </c>
      <c r="AX51" s="136">
        <f t="shared" si="50"/>
        <v>0</v>
      </c>
      <c r="AY51" s="136">
        <f t="shared" si="50"/>
        <v>0</v>
      </c>
      <c r="AZ51" s="136">
        <f t="shared" si="50"/>
        <v>0</v>
      </c>
      <c r="BA51" s="136">
        <f t="shared" si="50"/>
        <v>0</v>
      </c>
      <c r="BB51" s="136">
        <f t="shared" si="50"/>
        <v>0</v>
      </c>
      <c r="BC51" s="136">
        <f t="shared" si="50"/>
        <v>0</v>
      </c>
      <c r="BD51" s="136">
        <f t="shared" si="50"/>
        <v>0</v>
      </c>
      <c r="BE51" s="136">
        <f t="shared" si="50"/>
        <v>0</v>
      </c>
      <c r="BF51" s="136">
        <f t="shared" si="50"/>
        <v>0</v>
      </c>
      <c r="BG51" s="136">
        <f t="shared" si="50"/>
        <v>0</v>
      </c>
      <c r="BH51" s="136">
        <f t="shared" si="50"/>
        <v>0</v>
      </c>
      <c r="BI51" s="136">
        <f t="shared" si="50"/>
        <v>0</v>
      </c>
      <c r="BJ51" s="136">
        <f t="shared" si="50"/>
        <v>0</v>
      </c>
      <c r="BK51" s="136">
        <f t="shared" si="50"/>
        <v>0</v>
      </c>
      <c r="BL51" s="136">
        <f t="shared" si="50"/>
        <v>0</v>
      </c>
      <c r="BM51" s="136">
        <f t="shared" si="50"/>
        <v>0</v>
      </c>
      <c r="BN51" s="136">
        <f t="shared" si="50"/>
        <v>0</v>
      </c>
      <c r="BO51" s="136">
        <f t="shared" si="50"/>
        <v>0</v>
      </c>
      <c r="BP51" s="136">
        <f t="shared" ref="BP51:CB51" si="51">IF(BP50&gt;$F12+1,0,1)*(IF(BQ51=0,100,0)+IF($G12=1,1,0.5)*$J12*100)</f>
        <v>0</v>
      </c>
      <c r="BQ51" s="136">
        <f t="shared" si="51"/>
        <v>0</v>
      </c>
      <c r="BR51" s="136">
        <f t="shared" si="51"/>
        <v>0</v>
      </c>
      <c r="BS51" s="136">
        <f t="shared" si="51"/>
        <v>0</v>
      </c>
      <c r="BT51" s="136">
        <f t="shared" si="51"/>
        <v>0</v>
      </c>
      <c r="BU51" s="136">
        <f t="shared" si="51"/>
        <v>0</v>
      </c>
      <c r="BV51" s="136">
        <f t="shared" si="51"/>
        <v>0</v>
      </c>
      <c r="BW51" s="136">
        <f t="shared" si="51"/>
        <v>0</v>
      </c>
      <c r="BX51" s="136">
        <f t="shared" si="51"/>
        <v>0</v>
      </c>
      <c r="BY51" s="136">
        <f t="shared" si="51"/>
        <v>0</v>
      </c>
      <c r="BZ51" s="136">
        <f t="shared" si="51"/>
        <v>0</v>
      </c>
      <c r="CA51" s="136">
        <f t="shared" si="51"/>
        <v>0</v>
      </c>
      <c r="CB51" s="137">
        <f t="shared" si="51"/>
        <v>0</v>
      </c>
    </row>
    <row r="52" spans="1:80">
      <c r="A52" s="255" t="s">
        <v>49</v>
      </c>
      <c r="B52" s="65" t="str">
        <f>IF(E13=0,F13,E13)</f>
        <v>9/20/2019</v>
      </c>
      <c r="C52" s="66">
        <f t="shared" ref="C52:BN52" si="52">B52+IF($G13=1,365,182.5)</f>
        <v>43910.5</v>
      </c>
      <c r="D52" s="66">
        <f t="shared" si="52"/>
        <v>44093</v>
      </c>
      <c r="E52" s="66">
        <f t="shared" si="52"/>
        <v>44275.5</v>
      </c>
      <c r="F52" s="66">
        <f t="shared" si="52"/>
        <v>44458</v>
      </c>
      <c r="G52" s="66">
        <f t="shared" si="52"/>
        <v>44640.5</v>
      </c>
      <c r="H52" s="66">
        <f t="shared" si="52"/>
        <v>44823</v>
      </c>
      <c r="I52" s="66">
        <f t="shared" si="52"/>
        <v>45005.5</v>
      </c>
      <c r="J52" s="66">
        <f t="shared" si="52"/>
        <v>45188</v>
      </c>
      <c r="K52" s="66">
        <f t="shared" si="52"/>
        <v>45370.5</v>
      </c>
      <c r="L52" s="66">
        <f t="shared" si="52"/>
        <v>45553</v>
      </c>
      <c r="M52" s="66">
        <f t="shared" si="52"/>
        <v>45735.5</v>
      </c>
      <c r="N52" s="66">
        <f t="shared" si="52"/>
        <v>45918</v>
      </c>
      <c r="O52" s="66">
        <f t="shared" si="52"/>
        <v>46100.5</v>
      </c>
      <c r="P52" s="66">
        <f t="shared" si="52"/>
        <v>46283</v>
      </c>
      <c r="Q52" s="66">
        <f t="shared" si="52"/>
        <v>46465.5</v>
      </c>
      <c r="R52" s="66">
        <f t="shared" si="52"/>
        <v>46648</v>
      </c>
      <c r="S52" s="66">
        <f t="shared" si="52"/>
        <v>46830.5</v>
      </c>
      <c r="T52" s="66">
        <f t="shared" si="52"/>
        <v>47013</v>
      </c>
      <c r="U52" s="66">
        <f t="shared" si="52"/>
        <v>47195.5</v>
      </c>
      <c r="V52" s="66">
        <f t="shared" si="52"/>
        <v>47378</v>
      </c>
      <c r="W52" s="66">
        <f t="shared" si="52"/>
        <v>47560.5</v>
      </c>
      <c r="X52" s="66">
        <f t="shared" si="52"/>
        <v>47743</v>
      </c>
      <c r="Y52" s="66">
        <f t="shared" si="52"/>
        <v>47925.5</v>
      </c>
      <c r="Z52" s="66">
        <f t="shared" si="52"/>
        <v>48108</v>
      </c>
      <c r="AA52" s="66">
        <f t="shared" si="52"/>
        <v>48290.5</v>
      </c>
      <c r="AB52" s="66">
        <f t="shared" si="52"/>
        <v>48473</v>
      </c>
      <c r="AC52" s="66">
        <f t="shared" si="52"/>
        <v>48655.5</v>
      </c>
      <c r="AD52" s="66">
        <f t="shared" si="52"/>
        <v>48838</v>
      </c>
      <c r="AE52" s="66">
        <f t="shared" si="52"/>
        <v>49020.5</v>
      </c>
      <c r="AF52" s="66">
        <f t="shared" si="52"/>
        <v>49203</v>
      </c>
      <c r="AG52" s="66">
        <f t="shared" si="52"/>
        <v>49385.5</v>
      </c>
      <c r="AH52" s="66">
        <f t="shared" si="52"/>
        <v>49568</v>
      </c>
      <c r="AI52" s="66">
        <f t="shared" si="52"/>
        <v>49750.5</v>
      </c>
      <c r="AJ52" s="66">
        <f t="shared" si="52"/>
        <v>49933</v>
      </c>
      <c r="AK52" s="66">
        <f t="shared" si="52"/>
        <v>50115.5</v>
      </c>
      <c r="AL52" s="66">
        <f t="shared" si="52"/>
        <v>50298</v>
      </c>
      <c r="AM52" s="66">
        <f t="shared" si="52"/>
        <v>50480.5</v>
      </c>
      <c r="AN52" s="66">
        <f t="shared" si="52"/>
        <v>50663</v>
      </c>
      <c r="AO52" s="66">
        <f t="shared" si="52"/>
        <v>50845.5</v>
      </c>
      <c r="AP52" s="66">
        <f t="shared" si="52"/>
        <v>51028</v>
      </c>
      <c r="AQ52" s="66">
        <f t="shared" si="52"/>
        <v>51210.5</v>
      </c>
      <c r="AR52" s="66">
        <f t="shared" si="52"/>
        <v>51393</v>
      </c>
      <c r="AS52" s="66">
        <f t="shared" si="52"/>
        <v>51575.5</v>
      </c>
      <c r="AT52" s="66">
        <f t="shared" si="52"/>
        <v>51758</v>
      </c>
      <c r="AU52" s="66">
        <f t="shared" si="52"/>
        <v>51940.5</v>
      </c>
      <c r="AV52" s="66">
        <f t="shared" si="52"/>
        <v>52123</v>
      </c>
      <c r="AW52" s="66">
        <f t="shared" si="52"/>
        <v>52305.5</v>
      </c>
      <c r="AX52" s="66">
        <f t="shared" si="52"/>
        <v>52488</v>
      </c>
      <c r="AY52" s="66">
        <f t="shared" si="52"/>
        <v>52670.5</v>
      </c>
      <c r="AZ52" s="66">
        <f t="shared" si="52"/>
        <v>52853</v>
      </c>
      <c r="BA52" s="66">
        <f t="shared" si="52"/>
        <v>53035.5</v>
      </c>
      <c r="BB52" s="66">
        <f t="shared" si="52"/>
        <v>53218</v>
      </c>
      <c r="BC52" s="66">
        <f t="shared" si="52"/>
        <v>53400.5</v>
      </c>
      <c r="BD52" s="66">
        <f t="shared" si="52"/>
        <v>53583</v>
      </c>
      <c r="BE52" s="66">
        <f t="shared" si="52"/>
        <v>53765.5</v>
      </c>
      <c r="BF52" s="66">
        <f t="shared" si="52"/>
        <v>53948</v>
      </c>
      <c r="BG52" s="66">
        <f t="shared" si="52"/>
        <v>54130.5</v>
      </c>
      <c r="BH52" s="66">
        <f t="shared" si="52"/>
        <v>54313</v>
      </c>
      <c r="BI52" s="66">
        <f t="shared" si="52"/>
        <v>54495.5</v>
      </c>
      <c r="BJ52" s="66">
        <f t="shared" si="52"/>
        <v>54678</v>
      </c>
      <c r="BK52" s="66">
        <f t="shared" si="52"/>
        <v>54860.5</v>
      </c>
      <c r="BL52" s="66">
        <f t="shared" si="52"/>
        <v>55043</v>
      </c>
      <c r="BM52" s="66">
        <f t="shared" si="52"/>
        <v>55225.5</v>
      </c>
      <c r="BN52" s="66">
        <f t="shared" si="52"/>
        <v>55408</v>
      </c>
      <c r="BO52" s="66">
        <f t="shared" ref="BO52:CB52" si="53">BN52+IF($G13=1,365,182.5)</f>
        <v>55590.5</v>
      </c>
      <c r="BP52" s="66">
        <f t="shared" si="53"/>
        <v>55773</v>
      </c>
      <c r="BQ52" s="66">
        <f t="shared" si="53"/>
        <v>55955.5</v>
      </c>
      <c r="BR52" s="66">
        <f t="shared" si="53"/>
        <v>56138</v>
      </c>
      <c r="BS52" s="66">
        <f t="shared" si="53"/>
        <v>56320.5</v>
      </c>
      <c r="BT52" s="66">
        <f t="shared" si="53"/>
        <v>56503</v>
      </c>
      <c r="BU52" s="66">
        <f t="shared" si="53"/>
        <v>56685.5</v>
      </c>
      <c r="BV52" s="66">
        <f t="shared" si="53"/>
        <v>56868</v>
      </c>
      <c r="BW52" s="66">
        <f t="shared" si="53"/>
        <v>57050.5</v>
      </c>
      <c r="BX52" s="66">
        <f t="shared" si="53"/>
        <v>57233</v>
      </c>
      <c r="BY52" s="66">
        <f t="shared" si="53"/>
        <v>57415.5</v>
      </c>
      <c r="BZ52" s="66">
        <f t="shared" si="53"/>
        <v>57598</v>
      </c>
      <c r="CA52" s="66">
        <f t="shared" si="53"/>
        <v>57780.5</v>
      </c>
      <c r="CB52" s="67">
        <f t="shared" si="53"/>
        <v>57963</v>
      </c>
    </row>
    <row r="53" spans="1:80">
      <c r="A53" s="173" t="s">
        <v>30</v>
      </c>
      <c r="B53" s="111">
        <f>(IF(B52=F13,100,0)+IF(G13=1,1,0.5)*J13*100)*IF(ISBLANK(F13)=TRUE,0,1)</f>
        <v>0.05</v>
      </c>
      <c r="C53" s="68">
        <f>IF(C52&gt;$F13+1,0,1)*(IF(D53=0,100,0)+IF($G13=1,1,0.5)*$J13*100)</f>
        <v>0.05</v>
      </c>
      <c r="D53" s="68">
        <f t="shared" ref="D53:BO53" si="54">IF(D52&gt;$F13+1,0,1)*(IF(E53=0,100,0)+IF($G13=1,1,0.5)*$J13*100)</f>
        <v>0.05</v>
      </c>
      <c r="E53" s="68">
        <f t="shared" si="54"/>
        <v>0.05</v>
      </c>
      <c r="F53" s="68">
        <f t="shared" si="54"/>
        <v>0.05</v>
      </c>
      <c r="G53" s="68">
        <f t="shared" si="54"/>
        <v>0.05</v>
      </c>
      <c r="H53" s="68">
        <f t="shared" si="54"/>
        <v>0.05</v>
      </c>
      <c r="I53" s="68">
        <f t="shared" si="54"/>
        <v>0.05</v>
      </c>
      <c r="J53" s="68">
        <f t="shared" si="54"/>
        <v>0.05</v>
      </c>
      <c r="K53" s="68">
        <f t="shared" si="54"/>
        <v>0.05</v>
      </c>
      <c r="L53" s="68">
        <f t="shared" si="54"/>
        <v>0.05</v>
      </c>
      <c r="M53" s="68">
        <f t="shared" si="54"/>
        <v>0.05</v>
      </c>
      <c r="N53" s="68">
        <f t="shared" si="54"/>
        <v>0.05</v>
      </c>
      <c r="O53" s="68">
        <f t="shared" si="54"/>
        <v>0.05</v>
      </c>
      <c r="P53" s="68">
        <f t="shared" si="54"/>
        <v>0.05</v>
      </c>
      <c r="Q53" s="68">
        <f t="shared" si="54"/>
        <v>0.05</v>
      </c>
      <c r="R53" s="68">
        <f t="shared" si="54"/>
        <v>0.05</v>
      </c>
      <c r="S53" s="68">
        <f t="shared" si="54"/>
        <v>100.05</v>
      </c>
      <c r="T53" s="68">
        <f t="shared" si="54"/>
        <v>0</v>
      </c>
      <c r="U53" s="68">
        <f t="shared" si="54"/>
        <v>0</v>
      </c>
      <c r="V53" s="68">
        <f t="shared" si="54"/>
        <v>0</v>
      </c>
      <c r="W53" s="68">
        <f t="shared" si="54"/>
        <v>0</v>
      </c>
      <c r="X53" s="68">
        <f t="shared" si="54"/>
        <v>0</v>
      </c>
      <c r="Y53" s="68">
        <f t="shared" si="54"/>
        <v>0</v>
      </c>
      <c r="Z53" s="68">
        <f t="shared" si="54"/>
        <v>0</v>
      </c>
      <c r="AA53" s="68">
        <f t="shared" si="54"/>
        <v>0</v>
      </c>
      <c r="AB53" s="68">
        <f t="shared" si="54"/>
        <v>0</v>
      </c>
      <c r="AC53" s="68">
        <f t="shared" si="54"/>
        <v>0</v>
      </c>
      <c r="AD53" s="68">
        <f t="shared" si="54"/>
        <v>0</v>
      </c>
      <c r="AE53" s="68">
        <f t="shared" si="54"/>
        <v>0</v>
      </c>
      <c r="AF53" s="68">
        <f t="shared" si="54"/>
        <v>0</v>
      </c>
      <c r="AG53" s="68">
        <f t="shared" si="54"/>
        <v>0</v>
      </c>
      <c r="AH53" s="68">
        <f t="shared" si="54"/>
        <v>0</v>
      </c>
      <c r="AI53" s="68">
        <f t="shared" si="54"/>
        <v>0</v>
      </c>
      <c r="AJ53" s="68">
        <f t="shared" si="54"/>
        <v>0</v>
      </c>
      <c r="AK53" s="68">
        <f t="shared" si="54"/>
        <v>0</v>
      </c>
      <c r="AL53" s="68">
        <f t="shared" si="54"/>
        <v>0</v>
      </c>
      <c r="AM53" s="68">
        <f t="shared" si="54"/>
        <v>0</v>
      </c>
      <c r="AN53" s="68">
        <f t="shared" si="54"/>
        <v>0</v>
      </c>
      <c r="AO53" s="68">
        <f t="shared" si="54"/>
        <v>0</v>
      </c>
      <c r="AP53" s="68">
        <f t="shared" si="54"/>
        <v>0</v>
      </c>
      <c r="AQ53" s="68">
        <f t="shared" si="54"/>
        <v>0</v>
      </c>
      <c r="AR53" s="68">
        <f t="shared" si="54"/>
        <v>0</v>
      </c>
      <c r="AS53" s="68">
        <f t="shared" si="54"/>
        <v>0</v>
      </c>
      <c r="AT53" s="68">
        <f t="shared" si="54"/>
        <v>0</v>
      </c>
      <c r="AU53" s="68">
        <f t="shared" si="54"/>
        <v>0</v>
      </c>
      <c r="AV53" s="68">
        <f t="shared" si="54"/>
        <v>0</v>
      </c>
      <c r="AW53" s="68">
        <f t="shared" si="54"/>
        <v>0</v>
      </c>
      <c r="AX53" s="68">
        <f t="shared" si="54"/>
        <v>0</v>
      </c>
      <c r="AY53" s="68">
        <f t="shared" si="54"/>
        <v>0</v>
      </c>
      <c r="AZ53" s="68">
        <f t="shared" si="54"/>
        <v>0</v>
      </c>
      <c r="BA53" s="68">
        <f t="shared" si="54"/>
        <v>0</v>
      </c>
      <c r="BB53" s="68">
        <f t="shared" si="54"/>
        <v>0</v>
      </c>
      <c r="BC53" s="68">
        <f t="shared" si="54"/>
        <v>0</v>
      </c>
      <c r="BD53" s="68">
        <f t="shared" si="54"/>
        <v>0</v>
      </c>
      <c r="BE53" s="68">
        <f t="shared" si="54"/>
        <v>0</v>
      </c>
      <c r="BF53" s="68">
        <f t="shared" si="54"/>
        <v>0</v>
      </c>
      <c r="BG53" s="68">
        <f t="shared" si="54"/>
        <v>0</v>
      </c>
      <c r="BH53" s="68">
        <f t="shared" si="54"/>
        <v>0</v>
      </c>
      <c r="BI53" s="68">
        <f t="shared" si="54"/>
        <v>0</v>
      </c>
      <c r="BJ53" s="68">
        <f t="shared" si="54"/>
        <v>0</v>
      </c>
      <c r="BK53" s="68">
        <f t="shared" si="54"/>
        <v>0</v>
      </c>
      <c r="BL53" s="68">
        <f t="shared" si="54"/>
        <v>0</v>
      </c>
      <c r="BM53" s="68">
        <f t="shared" si="54"/>
        <v>0</v>
      </c>
      <c r="BN53" s="68">
        <f t="shared" si="54"/>
        <v>0</v>
      </c>
      <c r="BO53" s="68">
        <f t="shared" si="54"/>
        <v>0</v>
      </c>
      <c r="BP53" s="68">
        <f t="shared" ref="BP53:CB53" si="55">IF(BP52&gt;$F13+1,0,1)*(IF(BQ53=0,100,0)+IF($G13=1,1,0.5)*$J13*100)</f>
        <v>0</v>
      </c>
      <c r="BQ53" s="68">
        <f t="shared" si="55"/>
        <v>0</v>
      </c>
      <c r="BR53" s="68">
        <f t="shared" si="55"/>
        <v>0</v>
      </c>
      <c r="BS53" s="68">
        <f t="shared" si="55"/>
        <v>0</v>
      </c>
      <c r="BT53" s="68">
        <f t="shared" si="55"/>
        <v>0</v>
      </c>
      <c r="BU53" s="68">
        <f t="shared" si="55"/>
        <v>0</v>
      </c>
      <c r="BV53" s="68">
        <f t="shared" si="55"/>
        <v>0</v>
      </c>
      <c r="BW53" s="68">
        <f t="shared" si="55"/>
        <v>0</v>
      </c>
      <c r="BX53" s="68">
        <f t="shared" si="55"/>
        <v>0</v>
      </c>
      <c r="BY53" s="68">
        <f t="shared" si="55"/>
        <v>0</v>
      </c>
      <c r="BZ53" s="68">
        <f t="shared" si="55"/>
        <v>0</v>
      </c>
      <c r="CA53" s="68">
        <f t="shared" si="55"/>
        <v>0</v>
      </c>
      <c r="CB53" s="69">
        <f t="shared" si="55"/>
        <v>0</v>
      </c>
    </row>
    <row r="54" spans="1:80">
      <c r="A54" s="254" t="s">
        <v>49</v>
      </c>
      <c r="B54" s="138" t="str">
        <f>IF(E14=0,F14,E14)</f>
        <v>9/20/2019</v>
      </c>
      <c r="C54" s="70">
        <f t="shared" ref="C54:BN54" si="56">B54+IF($G14=1,365,182.5)</f>
        <v>43910.5</v>
      </c>
      <c r="D54" s="70">
        <f t="shared" si="56"/>
        <v>44093</v>
      </c>
      <c r="E54" s="70">
        <f t="shared" si="56"/>
        <v>44275.5</v>
      </c>
      <c r="F54" s="70">
        <f t="shared" si="56"/>
        <v>44458</v>
      </c>
      <c r="G54" s="70">
        <f t="shared" si="56"/>
        <v>44640.5</v>
      </c>
      <c r="H54" s="70">
        <f t="shared" si="56"/>
        <v>44823</v>
      </c>
      <c r="I54" s="70">
        <f t="shared" si="56"/>
        <v>45005.5</v>
      </c>
      <c r="J54" s="70">
        <f t="shared" si="56"/>
        <v>45188</v>
      </c>
      <c r="K54" s="70">
        <f t="shared" si="56"/>
        <v>45370.5</v>
      </c>
      <c r="L54" s="70">
        <f t="shared" si="56"/>
        <v>45553</v>
      </c>
      <c r="M54" s="70">
        <f t="shared" si="56"/>
        <v>45735.5</v>
      </c>
      <c r="N54" s="70">
        <f t="shared" si="56"/>
        <v>45918</v>
      </c>
      <c r="O54" s="70">
        <f t="shared" si="56"/>
        <v>46100.5</v>
      </c>
      <c r="P54" s="70">
        <f t="shared" si="56"/>
        <v>46283</v>
      </c>
      <c r="Q54" s="70">
        <f t="shared" si="56"/>
        <v>46465.5</v>
      </c>
      <c r="R54" s="70">
        <f t="shared" si="56"/>
        <v>46648</v>
      </c>
      <c r="S54" s="70">
        <f t="shared" si="56"/>
        <v>46830.5</v>
      </c>
      <c r="T54" s="70">
        <f t="shared" si="56"/>
        <v>47013</v>
      </c>
      <c r="U54" s="70">
        <f t="shared" si="56"/>
        <v>47195.5</v>
      </c>
      <c r="V54" s="70">
        <f t="shared" si="56"/>
        <v>47378</v>
      </c>
      <c r="W54" s="70">
        <f t="shared" si="56"/>
        <v>47560.5</v>
      </c>
      <c r="X54" s="70">
        <f t="shared" si="56"/>
        <v>47743</v>
      </c>
      <c r="Y54" s="70">
        <f t="shared" si="56"/>
        <v>47925.5</v>
      </c>
      <c r="Z54" s="70">
        <f t="shared" si="56"/>
        <v>48108</v>
      </c>
      <c r="AA54" s="70">
        <f t="shared" si="56"/>
        <v>48290.5</v>
      </c>
      <c r="AB54" s="70">
        <f t="shared" si="56"/>
        <v>48473</v>
      </c>
      <c r="AC54" s="70">
        <f t="shared" si="56"/>
        <v>48655.5</v>
      </c>
      <c r="AD54" s="70">
        <f t="shared" si="56"/>
        <v>48838</v>
      </c>
      <c r="AE54" s="70">
        <f t="shared" si="56"/>
        <v>49020.5</v>
      </c>
      <c r="AF54" s="70">
        <f t="shared" si="56"/>
        <v>49203</v>
      </c>
      <c r="AG54" s="70">
        <f t="shared" si="56"/>
        <v>49385.5</v>
      </c>
      <c r="AH54" s="70">
        <f t="shared" si="56"/>
        <v>49568</v>
      </c>
      <c r="AI54" s="70">
        <f t="shared" si="56"/>
        <v>49750.5</v>
      </c>
      <c r="AJ54" s="70">
        <f t="shared" si="56"/>
        <v>49933</v>
      </c>
      <c r="AK54" s="70">
        <f t="shared" si="56"/>
        <v>50115.5</v>
      </c>
      <c r="AL54" s="70">
        <f t="shared" si="56"/>
        <v>50298</v>
      </c>
      <c r="AM54" s="70">
        <f t="shared" si="56"/>
        <v>50480.5</v>
      </c>
      <c r="AN54" s="70">
        <f t="shared" si="56"/>
        <v>50663</v>
      </c>
      <c r="AO54" s="70">
        <f t="shared" si="56"/>
        <v>50845.5</v>
      </c>
      <c r="AP54" s="70">
        <f t="shared" si="56"/>
        <v>51028</v>
      </c>
      <c r="AQ54" s="70">
        <f t="shared" si="56"/>
        <v>51210.5</v>
      </c>
      <c r="AR54" s="70">
        <f t="shared" si="56"/>
        <v>51393</v>
      </c>
      <c r="AS54" s="70">
        <f t="shared" si="56"/>
        <v>51575.5</v>
      </c>
      <c r="AT54" s="70">
        <f t="shared" si="56"/>
        <v>51758</v>
      </c>
      <c r="AU54" s="70">
        <f t="shared" si="56"/>
        <v>51940.5</v>
      </c>
      <c r="AV54" s="70">
        <f t="shared" si="56"/>
        <v>52123</v>
      </c>
      <c r="AW54" s="70">
        <f t="shared" si="56"/>
        <v>52305.5</v>
      </c>
      <c r="AX54" s="70">
        <f t="shared" si="56"/>
        <v>52488</v>
      </c>
      <c r="AY54" s="70">
        <f t="shared" si="56"/>
        <v>52670.5</v>
      </c>
      <c r="AZ54" s="70">
        <f t="shared" si="56"/>
        <v>52853</v>
      </c>
      <c r="BA54" s="70">
        <f t="shared" si="56"/>
        <v>53035.5</v>
      </c>
      <c r="BB54" s="70">
        <f t="shared" si="56"/>
        <v>53218</v>
      </c>
      <c r="BC54" s="70">
        <f t="shared" si="56"/>
        <v>53400.5</v>
      </c>
      <c r="BD54" s="70">
        <f t="shared" si="56"/>
        <v>53583</v>
      </c>
      <c r="BE54" s="70">
        <f t="shared" si="56"/>
        <v>53765.5</v>
      </c>
      <c r="BF54" s="70">
        <f t="shared" si="56"/>
        <v>53948</v>
      </c>
      <c r="BG54" s="70">
        <f t="shared" si="56"/>
        <v>54130.5</v>
      </c>
      <c r="BH54" s="70">
        <f t="shared" si="56"/>
        <v>54313</v>
      </c>
      <c r="BI54" s="70">
        <f t="shared" si="56"/>
        <v>54495.5</v>
      </c>
      <c r="BJ54" s="70">
        <f t="shared" si="56"/>
        <v>54678</v>
      </c>
      <c r="BK54" s="70">
        <f t="shared" si="56"/>
        <v>54860.5</v>
      </c>
      <c r="BL54" s="70">
        <f t="shared" si="56"/>
        <v>55043</v>
      </c>
      <c r="BM54" s="70">
        <f t="shared" si="56"/>
        <v>55225.5</v>
      </c>
      <c r="BN54" s="70">
        <f t="shared" si="56"/>
        <v>55408</v>
      </c>
      <c r="BO54" s="70">
        <f t="shared" ref="BO54:CB54" si="57">BN54+IF($G14=1,365,182.5)</f>
        <v>55590.5</v>
      </c>
      <c r="BP54" s="70">
        <f t="shared" si="57"/>
        <v>55773</v>
      </c>
      <c r="BQ54" s="70">
        <f t="shared" si="57"/>
        <v>55955.5</v>
      </c>
      <c r="BR54" s="70">
        <f t="shared" si="57"/>
        <v>56138</v>
      </c>
      <c r="BS54" s="70">
        <f t="shared" si="57"/>
        <v>56320.5</v>
      </c>
      <c r="BT54" s="70">
        <f t="shared" si="57"/>
        <v>56503</v>
      </c>
      <c r="BU54" s="70">
        <f t="shared" si="57"/>
        <v>56685.5</v>
      </c>
      <c r="BV54" s="70">
        <f t="shared" si="57"/>
        <v>56868</v>
      </c>
      <c r="BW54" s="70">
        <f t="shared" si="57"/>
        <v>57050.5</v>
      </c>
      <c r="BX54" s="70">
        <f t="shared" si="57"/>
        <v>57233</v>
      </c>
      <c r="BY54" s="70">
        <f t="shared" si="57"/>
        <v>57415.5</v>
      </c>
      <c r="BZ54" s="70">
        <f t="shared" si="57"/>
        <v>57598</v>
      </c>
      <c r="CA54" s="70">
        <f t="shared" si="57"/>
        <v>57780.5</v>
      </c>
      <c r="CB54" s="71">
        <f t="shared" si="57"/>
        <v>57963</v>
      </c>
    </row>
    <row r="55" spans="1:80">
      <c r="A55" s="174" t="s">
        <v>31</v>
      </c>
      <c r="B55" s="139">
        <f>(IF(B54=F14,100,0)+IF(G14=1,1,0.5)*J14*100)*IF(ISBLANK(F14)=TRUE,0,1)</f>
        <v>0.05</v>
      </c>
      <c r="C55" s="72">
        <f>IF(C54&gt;$F14+1,0,1)*(IF(D55=0,100,0)+IF($G14=1,1,0.5)*$J14*100)</f>
        <v>0.05</v>
      </c>
      <c r="D55" s="72">
        <f t="shared" ref="D55:BO55" si="58">IF(D54&gt;$F14+1,0,1)*(IF(E55=0,100,0)+IF($G14=1,1,0.5)*$J14*100)</f>
        <v>0.05</v>
      </c>
      <c r="E55" s="72">
        <f t="shared" si="58"/>
        <v>0.05</v>
      </c>
      <c r="F55" s="72">
        <f t="shared" si="58"/>
        <v>0.05</v>
      </c>
      <c r="G55" s="72">
        <f t="shared" si="58"/>
        <v>0.05</v>
      </c>
      <c r="H55" s="72">
        <f t="shared" si="58"/>
        <v>0.05</v>
      </c>
      <c r="I55" s="72">
        <f t="shared" si="58"/>
        <v>0.05</v>
      </c>
      <c r="J55" s="72">
        <f t="shared" si="58"/>
        <v>0.05</v>
      </c>
      <c r="K55" s="72">
        <f t="shared" si="58"/>
        <v>0.05</v>
      </c>
      <c r="L55" s="72">
        <f t="shared" si="58"/>
        <v>0.05</v>
      </c>
      <c r="M55" s="72">
        <f t="shared" si="58"/>
        <v>0.05</v>
      </c>
      <c r="N55" s="72">
        <f t="shared" si="58"/>
        <v>0.05</v>
      </c>
      <c r="O55" s="72">
        <f t="shared" si="58"/>
        <v>0.05</v>
      </c>
      <c r="P55" s="72">
        <f t="shared" si="58"/>
        <v>0.05</v>
      </c>
      <c r="Q55" s="72">
        <f t="shared" si="58"/>
        <v>0.05</v>
      </c>
      <c r="R55" s="72">
        <f t="shared" si="58"/>
        <v>0.05</v>
      </c>
      <c r="S55" s="72">
        <f t="shared" si="58"/>
        <v>0.05</v>
      </c>
      <c r="T55" s="72">
        <f t="shared" si="58"/>
        <v>0.05</v>
      </c>
      <c r="U55" s="72">
        <f t="shared" si="58"/>
        <v>100.05</v>
      </c>
      <c r="V55" s="72">
        <f t="shared" si="58"/>
        <v>0</v>
      </c>
      <c r="W55" s="72">
        <f t="shared" si="58"/>
        <v>0</v>
      </c>
      <c r="X55" s="72">
        <f t="shared" si="58"/>
        <v>0</v>
      </c>
      <c r="Y55" s="72">
        <f t="shared" si="58"/>
        <v>0</v>
      </c>
      <c r="Z55" s="72">
        <f t="shared" si="58"/>
        <v>0</v>
      </c>
      <c r="AA55" s="72">
        <f t="shared" si="58"/>
        <v>0</v>
      </c>
      <c r="AB55" s="72">
        <f t="shared" si="58"/>
        <v>0</v>
      </c>
      <c r="AC55" s="72">
        <f t="shared" si="58"/>
        <v>0</v>
      </c>
      <c r="AD55" s="72">
        <f t="shared" si="58"/>
        <v>0</v>
      </c>
      <c r="AE55" s="72">
        <f t="shared" si="58"/>
        <v>0</v>
      </c>
      <c r="AF55" s="72">
        <f t="shared" si="58"/>
        <v>0</v>
      </c>
      <c r="AG55" s="72">
        <f t="shared" si="58"/>
        <v>0</v>
      </c>
      <c r="AH55" s="72">
        <f t="shared" si="58"/>
        <v>0</v>
      </c>
      <c r="AI55" s="72">
        <f t="shared" si="58"/>
        <v>0</v>
      </c>
      <c r="AJ55" s="72">
        <f t="shared" si="58"/>
        <v>0</v>
      </c>
      <c r="AK55" s="72">
        <f t="shared" si="58"/>
        <v>0</v>
      </c>
      <c r="AL55" s="72">
        <f t="shared" si="58"/>
        <v>0</v>
      </c>
      <c r="AM55" s="72">
        <f t="shared" si="58"/>
        <v>0</v>
      </c>
      <c r="AN55" s="72">
        <f t="shared" si="58"/>
        <v>0</v>
      </c>
      <c r="AO55" s="72">
        <f t="shared" si="58"/>
        <v>0</v>
      </c>
      <c r="AP55" s="72">
        <f t="shared" si="58"/>
        <v>0</v>
      </c>
      <c r="AQ55" s="72">
        <f t="shared" si="58"/>
        <v>0</v>
      </c>
      <c r="AR55" s="72">
        <f t="shared" si="58"/>
        <v>0</v>
      </c>
      <c r="AS55" s="72">
        <f t="shared" si="58"/>
        <v>0</v>
      </c>
      <c r="AT55" s="72">
        <f t="shared" si="58"/>
        <v>0</v>
      </c>
      <c r="AU55" s="72">
        <f t="shared" si="58"/>
        <v>0</v>
      </c>
      <c r="AV55" s="72">
        <f t="shared" si="58"/>
        <v>0</v>
      </c>
      <c r="AW55" s="72">
        <f t="shared" si="58"/>
        <v>0</v>
      </c>
      <c r="AX55" s="72">
        <f t="shared" si="58"/>
        <v>0</v>
      </c>
      <c r="AY55" s="72">
        <f t="shared" si="58"/>
        <v>0</v>
      </c>
      <c r="AZ55" s="72">
        <f t="shared" si="58"/>
        <v>0</v>
      </c>
      <c r="BA55" s="72">
        <f t="shared" si="58"/>
        <v>0</v>
      </c>
      <c r="BB55" s="72">
        <f t="shared" si="58"/>
        <v>0</v>
      </c>
      <c r="BC55" s="72">
        <f t="shared" si="58"/>
        <v>0</v>
      </c>
      <c r="BD55" s="72">
        <f t="shared" si="58"/>
        <v>0</v>
      </c>
      <c r="BE55" s="72">
        <f t="shared" si="58"/>
        <v>0</v>
      </c>
      <c r="BF55" s="72">
        <f t="shared" si="58"/>
        <v>0</v>
      </c>
      <c r="BG55" s="72">
        <f t="shared" si="58"/>
        <v>0</v>
      </c>
      <c r="BH55" s="72">
        <f t="shared" si="58"/>
        <v>0</v>
      </c>
      <c r="BI55" s="72">
        <f t="shared" si="58"/>
        <v>0</v>
      </c>
      <c r="BJ55" s="72">
        <f t="shared" si="58"/>
        <v>0</v>
      </c>
      <c r="BK55" s="72">
        <f t="shared" si="58"/>
        <v>0</v>
      </c>
      <c r="BL55" s="72">
        <f t="shared" si="58"/>
        <v>0</v>
      </c>
      <c r="BM55" s="72">
        <f t="shared" si="58"/>
        <v>0</v>
      </c>
      <c r="BN55" s="72">
        <f t="shared" si="58"/>
        <v>0</v>
      </c>
      <c r="BO55" s="72">
        <f t="shared" si="58"/>
        <v>0</v>
      </c>
      <c r="BP55" s="72">
        <f t="shared" ref="BP55:CB55" si="59">IF(BP54&gt;$F14+1,0,1)*(IF(BQ55=0,100,0)+IF($G14=1,1,0.5)*$J14*100)</f>
        <v>0</v>
      </c>
      <c r="BQ55" s="72">
        <f t="shared" si="59"/>
        <v>0</v>
      </c>
      <c r="BR55" s="72">
        <f t="shared" si="59"/>
        <v>0</v>
      </c>
      <c r="BS55" s="72">
        <f t="shared" si="59"/>
        <v>0</v>
      </c>
      <c r="BT55" s="72">
        <f t="shared" si="59"/>
        <v>0</v>
      </c>
      <c r="BU55" s="72">
        <f t="shared" si="59"/>
        <v>0</v>
      </c>
      <c r="BV55" s="72">
        <f t="shared" si="59"/>
        <v>0</v>
      </c>
      <c r="BW55" s="72">
        <f t="shared" si="59"/>
        <v>0</v>
      </c>
      <c r="BX55" s="72">
        <f t="shared" si="59"/>
        <v>0</v>
      </c>
      <c r="BY55" s="72">
        <f t="shared" si="59"/>
        <v>0</v>
      </c>
      <c r="BZ55" s="72">
        <f t="shared" si="59"/>
        <v>0</v>
      </c>
      <c r="CA55" s="72">
        <f t="shared" si="59"/>
        <v>0</v>
      </c>
      <c r="CB55" s="73">
        <f t="shared" si="59"/>
        <v>0</v>
      </c>
    </row>
    <row r="56" spans="1:80">
      <c r="A56" s="253" t="s">
        <v>49</v>
      </c>
      <c r="B56" s="74" t="str">
        <f>IF(E15=0,F15,E15)</f>
        <v>9/20/2019</v>
      </c>
      <c r="C56" s="75">
        <f t="shared" ref="C56:BN56" si="60">B56+IF($G15=1,365,182.5)</f>
        <v>43910.5</v>
      </c>
      <c r="D56" s="75">
        <f t="shared" si="60"/>
        <v>44093</v>
      </c>
      <c r="E56" s="75">
        <f t="shared" si="60"/>
        <v>44275.5</v>
      </c>
      <c r="F56" s="75">
        <f t="shared" si="60"/>
        <v>44458</v>
      </c>
      <c r="G56" s="75">
        <f t="shared" si="60"/>
        <v>44640.5</v>
      </c>
      <c r="H56" s="75">
        <f t="shared" si="60"/>
        <v>44823</v>
      </c>
      <c r="I56" s="75">
        <f t="shared" si="60"/>
        <v>45005.5</v>
      </c>
      <c r="J56" s="75">
        <f t="shared" si="60"/>
        <v>45188</v>
      </c>
      <c r="K56" s="75">
        <f t="shared" si="60"/>
        <v>45370.5</v>
      </c>
      <c r="L56" s="75">
        <f t="shared" si="60"/>
        <v>45553</v>
      </c>
      <c r="M56" s="75">
        <f t="shared" si="60"/>
        <v>45735.5</v>
      </c>
      <c r="N56" s="75">
        <f t="shared" si="60"/>
        <v>45918</v>
      </c>
      <c r="O56" s="75">
        <f t="shared" si="60"/>
        <v>46100.5</v>
      </c>
      <c r="P56" s="75">
        <f t="shared" si="60"/>
        <v>46283</v>
      </c>
      <c r="Q56" s="75">
        <f t="shared" si="60"/>
        <v>46465.5</v>
      </c>
      <c r="R56" s="75">
        <f t="shared" si="60"/>
        <v>46648</v>
      </c>
      <c r="S56" s="75">
        <f t="shared" si="60"/>
        <v>46830.5</v>
      </c>
      <c r="T56" s="75">
        <f t="shared" si="60"/>
        <v>47013</v>
      </c>
      <c r="U56" s="75">
        <f t="shared" si="60"/>
        <v>47195.5</v>
      </c>
      <c r="V56" s="75">
        <f t="shared" si="60"/>
        <v>47378</v>
      </c>
      <c r="W56" s="75">
        <f t="shared" si="60"/>
        <v>47560.5</v>
      </c>
      <c r="X56" s="75">
        <f t="shared" si="60"/>
        <v>47743</v>
      </c>
      <c r="Y56" s="75">
        <f t="shared" si="60"/>
        <v>47925.5</v>
      </c>
      <c r="Z56" s="75">
        <f t="shared" si="60"/>
        <v>48108</v>
      </c>
      <c r="AA56" s="75">
        <f t="shared" si="60"/>
        <v>48290.5</v>
      </c>
      <c r="AB56" s="75">
        <f t="shared" si="60"/>
        <v>48473</v>
      </c>
      <c r="AC56" s="75">
        <f t="shared" si="60"/>
        <v>48655.5</v>
      </c>
      <c r="AD56" s="75">
        <f t="shared" si="60"/>
        <v>48838</v>
      </c>
      <c r="AE56" s="75">
        <f t="shared" si="60"/>
        <v>49020.5</v>
      </c>
      <c r="AF56" s="75">
        <f t="shared" si="60"/>
        <v>49203</v>
      </c>
      <c r="AG56" s="75">
        <f t="shared" si="60"/>
        <v>49385.5</v>
      </c>
      <c r="AH56" s="75">
        <f t="shared" si="60"/>
        <v>49568</v>
      </c>
      <c r="AI56" s="75">
        <f t="shared" si="60"/>
        <v>49750.5</v>
      </c>
      <c r="AJ56" s="75">
        <f t="shared" si="60"/>
        <v>49933</v>
      </c>
      <c r="AK56" s="75">
        <f t="shared" si="60"/>
        <v>50115.5</v>
      </c>
      <c r="AL56" s="75">
        <f t="shared" si="60"/>
        <v>50298</v>
      </c>
      <c r="AM56" s="75">
        <f t="shared" si="60"/>
        <v>50480.5</v>
      </c>
      <c r="AN56" s="75">
        <f t="shared" si="60"/>
        <v>50663</v>
      </c>
      <c r="AO56" s="75">
        <f t="shared" si="60"/>
        <v>50845.5</v>
      </c>
      <c r="AP56" s="75">
        <f t="shared" si="60"/>
        <v>51028</v>
      </c>
      <c r="AQ56" s="75">
        <f t="shared" si="60"/>
        <v>51210.5</v>
      </c>
      <c r="AR56" s="75">
        <f t="shared" si="60"/>
        <v>51393</v>
      </c>
      <c r="AS56" s="75">
        <f t="shared" si="60"/>
        <v>51575.5</v>
      </c>
      <c r="AT56" s="75">
        <f t="shared" si="60"/>
        <v>51758</v>
      </c>
      <c r="AU56" s="75">
        <f t="shared" si="60"/>
        <v>51940.5</v>
      </c>
      <c r="AV56" s="75">
        <f t="shared" si="60"/>
        <v>52123</v>
      </c>
      <c r="AW56" s="75">
        <f t="shared" si="60"/>
        <v>52305.5</v>
      </c>
      <c r="AX56" s="75">
        <f t="shared" si="60"/>
        <v>52488</v>
      </c>
      <c r="AY56" s="75">
        <f t="shared" si="60"/>
        <v>52670.5</v>
      </c>
      <c r="AZ56" s="75">
        <f t="shared" si="60"/>
        <v>52853</v>
      </c>
      <c r="BA56" s="75">
        <f t="shared" si="60"/>
        <v>53035.5</v>
      </c>
      <c r="BB56" s="75">
        <f t="shared" si="60"/>
        <v>53218</v>
      </c>
      <c r="BC56" s="75">
        <f t="shared" si="60"/>
        <v>53400.5</v>
      </c>
      <c r="BD56" s="75">
        <f t="shared" si="60"/>
        <v>53583</v>
      </c>
      <c r="BE56" s="75">
        <f t="shared" si="60"/>
        <v>53765.5</v>
      </c>
      <c r="BF56" s="75">
        <f t="shared" si="60"/>
        <v>53948</v>
      </c>
      <c r="BG56" s="75">
        <f t="shared" si="60"/>
        <v>54130.5</v>
      </c>
      <c r="BH56" s="75">
        <f t="shared" si="60"/>
        <v>54313</v>
      </c>
      <c r="BI56" s="75">
        <f t="shared" si="60"/>
        <v>54495.5</v>
      </c>
      <c r="BJ56" s="75">
        <f t="shared" si="60"/>
        <v>54678</v>
      </c>
      <c r="BK56" s="75">
        <f t="shared" si="60"/>
        <v>54860.5</v>
      </c>
      <c r="BL56" s="75">
        <f t="shared" si="60"/>
        <v>55043</v>
      </c>
      <c r="BM56" s="75">
        <f t="shared" si="60"/>
        <v>55225.5</v>
      </c>
      <c r="BN56" s="75">
        <f t="shared" si="60"/>
        <v>55408</v>
      </c>
      <c r="BO56" s="75">
        <f t="shared" ref="BO56:CB56" si="61">BN56+IF($G15=1,365,182.5)</f>
        <v>55590.5</v>
      </c>
      <c r="BP56" s="75">
        <f t="shared" si="61"/>
        <v>55773</v>
      </c>
      <c r="BQ56" s="75">
        <f t="shared" si="61"/>
        <v>55955.5</v>
      </c>
      <c r="BR56" s="75">
        <f t="shared" si="61"/>
        <v>56138</v>
      </c>
      <c r="BS56" s="75">
        <f t="shared" si="61"/>
        <v>56320.5</v>
      </c>
      <c r="BT56" s="75">
        <f t="shared" si="61"/>
        <v>56503</v>
      </c>
      <c r="BU56" s="75">
        <f t="shared" si="61"/>
        <v>56685.5</v>
      </c>
      <c r="BV56" s="75">
        <f t="shared" si="61"/>
        <v>56868</v>
      </c>
      <c r="BW56" s="75">
        <f t="shared" si="61"/>
        <v>57050.5</v>
      </c>
      <c r="BX56" s="75">
        <f t="shared" si="61"/>
        <v>57233</v>
      </c>
      <c r="BY56" s="75">
        <f t="shared" si="61"/>
        <v>57415.5</v>
      </c>
      <c r="BZ56" s="75">
        <f t="shared" si="61"/>
        <v>57598</v>
      </c>
      <c r="CA56" s="75">
        <f t="shared" si="61"/>
        <v>57780.5</v>
      </c>
      <c r="CB56" s="76">
        <f t="shared" si="61"/>
        <v>57963</v>
      </c>
    </row>
    <row r="57" spans="1:80">
      <c r="A57" s="175" t="s">
        <v>32</v>
      </c>
      <c r="B57" s="110">
        <f>(IF(B56=F15,100,0)+IF(G15=1,1,0.5)*J15*100)*IF(ISBLANK(F15)=TRUE,0,1)</f>
        <v>0.75</v>
      </c>
      <c r="C57" s="77">
        <f>IF(C56&gt;$F15+1,0,1)*(IF(D57=0,100,0)+IF($G15=1,1,0.5)*$J15*100)</f>
        <v>0.75</v>
      </c>
      <c r="D57" s="77">
        <f t="shared" ref="D57:BO57" si="62">IF(D56&gt;$F15+1,0,1)*(IF(E57=0,100,0)+IF($G15=1,1,0.5)*$J15*100)</f>
        <v>0.75</v>
      </c>
      <c r="E57" s="77">
        <f t="shared" si="62"/>
        <v>0.75</v>
      </c>
      <c r="F57" s="77">
        <f t="shared" si="62"/>
        <v>0.75</v>
      </c>
      <c r="G57" s="77">
        <f t="shared" si="62"/>
        <v>0.75</v>
      </c>
      <c r="H57" s="77">
        <f t="shared" si="62"/>
        <v>0.75</v>
      </c>
      <c r="I57" s="77">
        <f t="shared" si="62"/>
        <v>0.75</v>
      </c>
      <c r="J57" s="77">
        <f t="shared" si="62"/>
        <v>0.75</v>
      </c>
      <c r="K57" s="77">
        <f t="shared" si="62"/>
        <v>0.75</v>
      </c>
      <c r="L57" s="77">
        <f t="shared" si="62"/>
        <v>0.75</v>
      </c>
      <c r="M57" s="77">
        <f t="shared" si="62"/>
        <v>0.75</v>
      </c>
      <c r="N57" s="77">
        <f t="shared" si="62"/>
        <v>0.75</v>
      </c>
      <c r="O57" s="77">
        <f t="shared" si="62"/>
        <v>0.75</v>
      </c>
      <c r="P57" s="77">
        <f t="shared" si="62"/>
        <v>0.75</v>
      </c>
      <c r="Q57" s="77">
        <f t="shared" si="62"/>
        <v>0.75</v>
      </c>
      <c r="R57" s="77">
        <f t="shared" si="62"/>
        <v>0.75</v>
      </c>
      <c r="S57" s="77">
        <f t="shared" si="62"/>
        <v>0.75</v>
      </c>
      <c r="T57" s="77">
        <f t="shared" si="62"/>
        <v>0.75</v>
      </c>
      <c r="U57" s="77">
        <f t="shared" si="62"/>
        <v>0.75</v>
      </c>
      <c r="V57" s="77">
        <f t="shared" si="62"/>
        <v>0.75</v>
      </c>
      <c r="W57" s="77">
        <f t="shared" si="62"/>
        <v>0.75</v>
      </c>
      <c r="X57" s="77">
        <f t="shared" si="62"/>
        <v>0.75</v>
      </c>
      <c r="Y57" s="77">
        <f t="shared" si="62"/>
        <v>0.75</v>
      </c>
      <c r="Z57" s="77">
        <f t="shared" si="62"/>
        <v>0.75</v>
      </c>
      <c r="AA57" s="77">
        <f t="shared" si="62"/>
        <v>0.75</v>
      </c>
      <c r="AB57" s="77">
        <f t="shared" si="62"/>
        <v>0.75</v>
      </c>
      <c r="AC57" s="77">
        <f t="shared" si="62"/>
        <v>0.75</v>
      </c>
      <c r="AD57" s="77">
        <f t="shared" si="62"/>
        <v>0.75</v>
      </c>
      <c r="AE57" s="77">
        <f t="shared" si="62"/>
        <v>100.75</v>
      </c>
      <c r="AF57" s="77">
        <f t="shared" si="62"/>
        <v>0</v>
      </c>
      <c r="AG57" s="77">
        <f t="shared" si="62"/>
        <v>0</v>
      </c>
      <c r="AH57" s="77">
        <f t="shared" si="62"/>
        <v>0</v>
      </c>
      <c r="AI57" s="77">
        <f t="shared" si="62"/>
        <v>0</v>
      </c>
      <c r="AJ57" s="77">
        <f t="shared" si="62"/>
        <v>0</v>
      </c>
      <c r="AK57" s="77">
        <f t="shared" si="62"/>
        <v>0</v>
      </c>
      <c r="AL57" s="77">
        <f t="shared" si="62"/>
        <v>0</v>
      </c>
      <c r="AM57" s="77">
        <f t="shared" si="62"/>
        <v>0</v>
      </c>
      <c r="AN57" s="77">
        <f t="shared" si="62"/>
        <v>0</v>
      </c>
      <c r="AO57" s="77">
        <f t="shared" si="62"/>
        <v>0</v>
      </c>
      <c r="AP57" s="77">
        <f t="shared" si="62"/>
        <v>0</v>
      </c>
      <c r="AQ57" s="77">
        <f t="shared" si="62"/>
        <v>0</v>
      </c>
      <c r="AR57" s="77">
        <f t="shared" si="62"/>
        <v>0</v>
      </c>
      <c r="AS57" s="77">
        <f t="shared" si="62"/>
        <v>0</v>
      </c>
      <c r="AT57" s="77">
        <f t="shared" si="62"/>
        <v>0</v>
      </c>
      <c r="AU57" s="77">
        <f t="shared" si="62"/>
        <v>0</v>
      </c>
      <c r="AV57" s="77">
        <f t="shared" si="62"/>
        <v>0</v>
      </c>
      <c r="AW57" s="77">
        <f t="shared" si="62"/>
        <v>0</v>
      </c>
      <c r="AX57" s="77">
        <f t="shared" si="62"/>
        <v>0</v>
      </c>
      <c r="AY57" s="77">
        <f t="shared" si="62"/>
        <v>0</v>
      </c>
      <c r="AZ57" s="77">
        <f t="shared" si="62"/>
        <v>0</v>
      </c>
      <c r="BA57" s="77">
        <f t="shared" si="62"/>
        <v>0</v>
      </c>
      <c r="BB57" s="77">
        <f t="shared" si="62"/>
        <v>0</v>
      </c>
      <c r="BC57" s="77">
        <f t="shared" si="62"/>
        <v>0</v>
      </c>
      <c r="BD57" s="77">
        <f t="shared" si="62"/>
        <v>0</v>
      </c>
      <c r="BE57" s="77">
        <f t="shared" si="62"/>
        <v>0</v>
      </c>
      <c r="BF57" s="77">
        <f t="shared" si="62"/>
        <v>0</v>
      </c>
      <c r="BG57" s="77">
        <f t="shared" si="62"/>
        <v>0</v>
      </c>
      <c r="BH57" s="77">
        <f t="shared" si="62"/>
        <v>0</v>
      </c>
      <c r="BI57" s="77">
        <f t="shared" si="62"/>
        <v>0</v>
      </c>
      <c r="BJ57" s="77">
        <f t="shared" si="62"/>
        <v>0</v>
      </c>
      <c r="BK57" s="77">
        <f t="shared" si="62"/>
        <v>0</v>
      </c>
      <c r="BL57" s="77">
        <f t="shared" si="62"/>
        <v>0</v>
      </c>
      <c r="BM57" s="77">
        <f t="shared" si="62"/>
        <v>0</v>
      </c>
      <c r="BN57" s="77">
        <f t="shared" si="62"/>
        <v>0</v>
      </c>
      <c r="BO57" s="77">
        <f t="shared" si="62"/>
        <v>0</v>
      </c>
      <c r="BP57" s="77">
        <f t="shared" ref="BP57:CB57" si="63">IF(BP56&gt;$F15+1,0,1)*(IF(BQ57=0,100,0)+IF($G15=1,1,0.5)*$J15*100)</f>
        <v>0</v>
      </c>
      <c r="BQ57" s="77">
        <f t="shared" si="63"/>
        <v>0</v>
      </c>
      <c r="BR57" s="77">
        <f t="shared" si="63"/>
        <v>0</v>
      </c>
      <c r="BS57" s="77">
        <f t="shared" si="63"/>
        <v>0</v>
      </c>
      <c r="BT57" s="77">
        <f t="shared" si="63"/>
        <v>0</v>
      </c>
      <c r="BU57" s="77">
        <f t="shared" si="63"/>
        <v>0</v>
      </c>
      <c r="BV57" s="77">
        <f t="shared" si="63"/>
        <v>0</v>
      </c>
      <c r="BW57" s="77">
        <f t="shared" si="63"/>
        <v>0</v>
      </c>
      <c r="BX57" s="77">
        <f t="shared" si="63"/>
        <v>0</v>
      </c>
      <c r="BY57" s="77">
        <f t="shared" si="63"/>
        <v>0</v>
      </c>
      <c r="BZ57" s="77">
        <f t="shared" si="63"/>
        <v>0</v>
      </c>
      <c r="CA57" s="77">
        <f t="shared" si="63"/>
        <v>0</v>
      </c>
      <c r="CB57" s="78">
        <f t="shared" si="63"/>
        <v>0</v>
      </c>
    </row>
    <row r="58" spans="1:80">
      <c r="A58" s="252" t="s">
        <v>49</v>
      </c>
      <c r="B58" s="47" t="str">
        <f>IF(E16=0,F16,E16)</f>
        <v>9/20/2019</v>
      </c>
      <c r="C58" s="48">
        <f t="shared" ref="C58:BN58" si="64">B58+IF($G16=1,365,182.5)</f>
        <v>43910.5</v>
      </c>
      <c r="D58" s="48">
        <f t="shared" si="64"/>
        <v>44093</v>
      </c>
      <c r="E58" s="48">
        <f t="shared" si="64"/>
        <v>44275.5</v>
      </c>
      <c r="F58" s="48">
        <f t="shared" si="64"/>
        <v>44458</v>
      </c>
      <c r="G58" s="48">
        <f t="shared" si="64"/>
        <v>44640.5</v>
      </c>
      <c r="H58" s="48">
        <f t="shared" si="64"/>
        <v>44823</v>
      </c>
      <c r="I58" s="48">
        <f t="shared" si="64"/>
        <v>45005.5</v>
      </c>
      <c r="J58" s="48">
        <f t="shared" si="64"/>
        <v>45188</v>
      </c>
      <c r="K58" s="48">
        <f t="shared" si="64"/>
        <v>45370.5</v>
      </c>
      <c r="L58" s="48">
        <f t="shared" si="64"/>
        <v>45553</v>
      </c>
      <c r="M58" s="48">
        <f t="shared" si="64"/>
        <v>45735.5</v>
      </c>
      <c r="N58" s="48">
        <f t="shared" si="64"/>
        <v>45918</v>
      </c>
      <c r="O58" s="48">
        <f t="shared" si="64"/>
        <v>46100.5</v>
      </c>
      <c r="P58" s="48">
        <f t="shared" si="64"/>
        <v>46283</v>
      </c>
      <c r="Q58" s="48">
        <f t="shared" si="64"/>
        <v>46465.5</v>
      </c>
      <c r="R58" s="48">
        <f t="shared" si="64"/>
        <v>46648</v>
      </c>
      <c r="S58" s="48">
        <f t="shared" si="64"/>
        <v>46830.5</v>
      </c>
      <c r="T58" s="48">
        <f t="shared" si="64"/>
        <v>47013</v>
      </c>
      <c r="U58" s="48">
        <f t="shared" si="64"/>
        <v>47195.5</v>
      </c>
      <c r="V58" s="48">
        <f t="shared" si="64"/>
        <v>47378</v>
      </c>
      <c r="W58" s="48">
        <f t="shared" si="64"/>
        <v>47560.5</v>
      </c>
      <c r="X58" s="48">
        <f t="shared" si="64"/>
        <v>47743</v>
      </c>
      <c r="Y58" s="48">
        <f t="shared" si="64"/>
        <v>47925.5</v>
      </c>
      <c r="Z58" s="48">
        <f t="shared" si="64"/>
        <v>48108</v>
      </c>
      <c r="AA58" s="48">
        <f t="shared" si="64"/>
        <v>48290.5</v>
      </c>
      <c r="AB58" s="48">
        <f t="shared" si="64"/>
        <v>48473</v>
      </c>
      <c r="AC58" s="48">
        <f t="shared" si="64"/>
        <v>48655.5</v>
      </c>
      <c r="AD58" s="48">
        <f t="shared" si="64"/>
        <v>48838</v>
      </c>
      <c r="AE58" s="48">
        <f t="shared" si="64"/>
        <v>49020.5</v>
      </c>
      <c r="AF58" s="48">
        <f t="shared" si="64"/>
        <v>49203</v>
      </c>
      <c r="AG58" s="48">
        <f t="shared" si="64"/>
        <v>49385.5</v>
      </c>
      <c r="AH58" s="48">
        <f t="shared" si="64"/>
        <v>49568</v>
      </c>
      <c r="AI58" s="48">
        <f t="shared" si="64"/>
        <v>49750.5</v>
      </c>
      <c r="AJ58" s="48">
        <f t="shared" si="64"/>
        <v>49933</v>
      </c>
      <c r="AK58" s="48">
        <f t="shared" si="64"/>
        <v>50115.5</v>
      </c>
      <c r="AL58" s="48">
        <f t="shared" si="64"/>
        <v>50298</v>
      </c>
      <c r="AM58" s="48">
        <f t="shared" si="64"/>
        <v>50480.5</v>
      </c>
      <c r="AN58" s="48">
        <f t="shared" si="64"/>
        <v>50663</v>
      </c>
      <c r="AO58" s="48">
        <f t="shared" si="64"/>
        <v>50845.5</v>
      </c>
      <c r="AP58" s="48">
        <f t="shared" si="64"/>
        <v>51028</v>
      </c>
      <c r="AQ58" s="48">
        <f t="shared" si="64"/>
        <v>51210.5</v>
      </c>
      <c r="AR58" s="48">
        <f t="shared" si="64"/>
        <v>51393</v>
      </c>
      <c r="AS58" s="48">
        <f t="shared" si="64"/>
        <v>51575.5</v>
      </c>
      <c r="AT58" s="48">
        <f t="shared" si="64"/>
        <v>51758</v>
      </c>
      <c r="AU58" s="48">
        <f t="shared" si="64"/>
        <v>51940.5</v>
      </c>
      <c r="AV58" s="48">
        <f t="shared" si="64"/>
        <v>52123</v>
      </c>
      <c r="AW58" s="48">
        <f t="shared" si="64"/>
        <v>52305.5</v>
      </c>
      <c r="AX58" s="48">
        <f t="shared" si="64"/>
        <v>52488</v>
      </c>
      <c r="AY58" s="48">
        <f t="shared" si="64"/>
        <v>52670.5</v>
      </c>
      <c r="AZ58" s="48">
        <f t="shared" si="64"/>
        <v>52853</v>
      </c>
      <c r="BA58" s="48">
        <f t="shared" si="64"/>
        <v>53035.5</v>
      </c>
      <c r="BB58" s="48">
        <f t="shared" si="64"/>
        <v>53218</v>
      </c>
      <c r="BC58" s="48">
        <f t="shared" si="64"/>
        <v>53400.5</v>
      </c>
      <c r="BD58" s="48">
        <f t="shared" si="64"/>
        <v>53583</v>
      </c>
      <c r="BE58" s="48">
        <f t="shared" si="64"/>
        <v>53765.5</v>
      </c>
      <c r="BF58" s="48">
        <f t="shared" si="64"/>
        <v>53948</v>
      </c>
      <c r="BG58" s="48">
        <f t="shared" si="64"/>
        <v>54130.5</v>
      </c>
      <c r="BH58" s="48">
        <f t="shared" si="64"/>
        <v>54313</v>
      </c>
      <c r="BI58" s="48">
        <f t="shared" si="64"/>
        <v>54495.5</v>
      </c>
      <c r="BJ58" s="48">
        <f t="shared" si="64"/>
        <v>54678</v>
      </c>
      <c r="BK58" s="48">
        <f t="shared" si="64"/>
        <v>54860.5</v>
      </c>
      <c r="BL58" s="48">
        <f t="shared" si="64"/>
        <v>55043</v>
      </c>
      <c r="BM58" s="48">
        <f t="shared" si="64"/>
        <v>55225.5</v>
      </c>
      <c r="BN58" s="48">
        <f t="shared" si="64"/>
        <v>55408</v>
      </c>
      <c r="BO58" s="48">
        <f t="shared" ref="BO58:CB58" si="65">BN58+IF($G16=1,365,182.5)</f>
        <v>55590.5</v>
      </c>
      <c r="BP58" s="48">
        <f t="shared" si="65"/>
        <v>55773</v>
      </c>
      <c r="BQ58" s="48">
        <f t="shared" si="65"/>
        <v>55955.5</v>
      </c>
      <c r="BR58" s="48">
        <f t="shared" si="65"/>
        <v>56138</v>
      </c>
      <c r="BS58" s="48">
        <f t="shared" si="65"/>
        <v>56320.5</v>
      </c>
      <c r="BT58" s="48">
        <f t="shared" si="65"/>
        <v>56503</v>
      </c>
      <c r="BU58" s="48">
        <f t="shared" si="65"/>
        <v>56685.5</v>
      </c>
      <c r="BV58" s="48">
        <f t="shared" si="65"/>
        <v>56868</v>
      </c>
      <c r="BW58" s="48">
        <f t="shared" si="65"/>
        <v>57050.5</v>
      </c>
      <c r="BX58" s="48">
        <f t="shared" si="65"/>
        <v>57233</v>
      </c>
      <c r="BY58" s="48">
        <f t="shared" si="65"/>
        <v>57415.5</v>
      </c>
      <c r="BZ58" s="48">
        <f t="shared" si="65"/>
        <v>57598</v>
      </c>
      <c r="CA58" s="48">
        <f t="shared" si="65"/>
        <v>57780.5</v>
      </c>
      <c r="CB58" s="49">
        <f t="shared" si="65"/>
        <v>57963</v>
      </c>
    </row>
    <row r="59" spans="1:80">
      <c r="A59" s="168" t="s">
        <v>18</v>
      </c>
      <c r="B59" s="108">
        <f>(IF(B58=F16,100,0)+IF(G16=1,1,0.5)*J16*100)*IF(ISBLANK(F16)=TRUE,0,1)</f>
        <v>0.2</v>
      </c>
      <c r="C59" s="50">
        <f>IF(C58&gt;$F16+1,0,1)*(IF(D59=0,100,0)+IF($G16=1,1,0.5)*$J16*100)</f>
        <v>0.2</v>
      </c>
      <c r="D59" s="50">
        <f t="shared" ref="D59:BO59" si="66">IF(D58&gt;$F16+1,0,1)*(IF(E59=0,100,0)+IF($G16=1,1,0.5)*$J16*100)</f>
        <v>0.2</v>
      </c>
      <c r="E59" s="50">
        <f t="shared" si="66"/>
        <v>0.2</v>
      </c>
      <c r="F59" s="50">
        <f t="shared" si="66"/>
        <v>0.2</v>
      </c>
      <c r="G59" s="50">
        <f t="shared" si="66"/>
        <v>0.2</v>
      </c>
      <c r="H59" s="50">
        <f t="shared" si="66"/>
        <v>0.2</v>
      </c>
      <c r="I59" s="50">
        <f t="shared" si="66"/>
        <v>0.2</v>
      </c>
      <c r="J59" s="50">
        <f t="shared" si="66"/>
        <v>0.2</v>
      </c>
      <c r="K59" s="50">
        <f t="shared" si="66"/>
        <v>0.2</v>
      </c>
      <c r="L59" s="50">
        <f t="shared" si="66"/>
        <v>0.2</v>
      </c>
      <c r="M59" s="50">
        <f t="shared" si="66"/>
        <v>0.2</v>
      </c>
      <c r="N59" s="50">
        <f t="shared" si="66"/>
        <v>0.2</v>
      </c>
      <c r="O59" s="50">
        <f t="shared" si="66"/>
        <v>0.2</v>
      </c>
      <c r="P59" s="50">
        <f t="shared" si="66"/>
        <v>0.2</v>
      </c>
      <c r="Q59" s="50">
        <f t="shared" si="66"/>
        <v>0.2</v>
      </c>
      <c r="R59" s="50">
        <f t="shared" si="66"/>
        <v>0.2</v>
      </c>
      <c r="S59" s="50">
        <f t="shared" si="66"/>
        <v>0.2</v>
      </c>
      <c r="T59" s="50">
        <f t="shared" si="66"/>
        <v>0.2</v>
      </c>
      <c r="U59" s="50">
        <f t="shared" si="66"/>
        <v>0.2</v>
      </c>
      <c r="V59" s="50">
        <f t="shared" si="66"/>
        <v>0.2</v>
      </c>
      <c r="W59" s="50">
        <f t="shared" si="66"/>
        <v>0.2</v>
      </c>
      <c r="X59" s="50">
        <f t="shared" si="66"/>
        <v>0.2</v>
      </c>
      <c r="Y59" s="50">
        <f t="shared" si="66"/>
        <v>0.2</v>
      </c>
      <c r="Z59" s="50">
        <f t="shared" si="66"/>
        <v>0.2</v>
      </c>
      <c r="AA59" s="50">
        <f t="shared" si="66"/>
        <v>0.2</v>
      </c>
      <c r="AB59" s="50">
        <f t="shared" si="66"/>
        <v>0.2</v>
      </c>
      <c r="AC59" s="50">
        <f t="shared" si="66"/>
        <v>0.2</v>
      </c>
      <c r="AD59" s="50">
        <f t="shared" si="66"/>
        <v>0.2</v>
      </c>
      <c r="AE59" s="50">
        <f t="shared" si="66"/>
        <v>0.2</v>
      </c>
      <c r="AF59" s="50">
        <f t="shared" si="66"/>
        <v>0.2</v>
      </c>
      <c r="AG59" s="50">
        <f t="shared" si="66"/>
        <v>0.2</v>
      </c>
      <c r="AH59" s="50">
        <f t="shared" si="66"/>
        <v>0.2</v>
      </c>
      <c r="AI59" s="50">
        <f t="shared" si="66"/>
        <v>0.2</v>
      </c>
      <c r="AJ59" s="50">
        <f t="shared" si="66"/>
        <v>0.2</v>
      </c>
      <c r="AK59" s="50">
        <f t="shared" si="66"/>
        <v>0.2</v>
      </c>
      <c r="AL59" s="50">
        <f t="shared" si="66"/>
        <v>0.2</v>
      </c>
      <c r="AM59" s="50">
        <f t="shared" si="66"/>
        <v>0.2</v>
      </c>
      <c r="AN59" s="50">
        <f t="shared" si="66"/>
        <v>0.2</v>
      </c>
      <c r="AO59" s="50">
        <f t="shared" si="66"/>
        <v>100.2</v>
      </c>
      <c r="AP59" s="50">
        <f t="shared" si="66"/>
        <v>0</v>
      </c>
      <c r="AQ59" s="50">
        <f t="shared" si="66"/>
        <v>0</v>
      </c>
      <c r="AR59" s="50">
        <f t="shared" si="66"/>
        <v>0</v>
      </c>
      <c r="AS59" s="50">
        <f t="shared" si="66"/>
        <v>0</v>
      </c>
      <c r="AT59" s="50">
        <f t="shared" si="66"/>
        <v>0</v>
      </c>
      <c r="AU59" s="50">
        <f t="shared" si="66"/>
        <v>0</v>
      </c>
      <c r="AV59" s="50">
        <f t="shared" si="66"/>
        <v>0</v>
      </c>
      <c r="AW59" s="50">
        <f t="shared" si="66"/>
        <v>0</v>
      </c>
      <c r="AX59" s="50">
        <f t="shared" si="66"/>
        <v>0</v>
      </c>
      <c r="AY59" s="50">
        <f t="shared" si="66"/>
        <v>0</v>
      </c>
      <c r="AZ59" s="50">
        <f t="shared" si="66"/>
        <v>0</v>
      </c>
      <c r="BA59" s="50">
        <f t="shared" si="66"/>
        <v>0</v>
      </c>
      <c r="BB59" s="50">
        <f t="shared" si="66"/>
        <v>0</v>
      </c>
      <c r="BC59" s="50">
        <f t="shared" si="66"/>
        <v>0</v>
      </c>
      <c r="BD59" s="50">
        <f t="shared" si="66"/>
        <v>0</v>
      </c>
      <c r="BE59" s="50">
        <f t="shared" si="66"/>
        <v>0</v>
      </c>
      <c r="BF59" s="50">
        <f t="shared" si="66"/>
        <v>0</v>
      </c>
      <c r="BG59" s="50">
        <f t="shared" si="66"/>
        <v>0</v>
      </c>
      <c r="BH59" s="50">
        <f t="shared" si="66"/>
        <v>0</v>
      </c>
      <c r="BI59" s="50">
        <f t="shared" si="66"/>
        <v>0</v>
      </c>
      <c r="BJ59" s="50">
        <f t="shared" si="66"/>
        <v>0</v>
      </c>
      <c r="BK59" s="50">
        <f t="shared" si="66"/>
        <v>0</v>
      </c>
      <c r="BL59" s="50">
        <f t="shared" si="66"/>
        <v>0</v>
      </c>
      <c r="BM59" s="50">
        <f t="shared" si="66"/>
        <v>0</v>
      </c>
      <c r="BN59" s="50">
        <f t="shared" si="66"/>
        <v>0</v>
      </c>
      <c r="BO59" s="50">
        <f t="shared" si="66"/>
        <v>0</v>
      </c>
      <c r="BP59" s="50">
        <f t="shared" ref="BP59:CB59" si="67">IF(BP58&gt;$F16+1,0,1)*(IF(BQ59=0,100,0)+IF($G16=1,1,0.5)*$J16*100)</f>
        <v>0</v>
      </c>
      <c r="BQ59" s="50">
        <f t="shared" si="67"/>
        <v>0</v>
      </c>
      <c r="BR59" s="50">
        <f t="shared" si="67"/>
        <v>0</v>
      </c>
      <c r="BS59" s="50">
        <f t="shared" si="67"/>
        <v>0</v>
      </c>
      <c r="BT59" s="50">
        <f t="shared" si="67"/>
        <v>0</v>
      </c>
      <c r="BU59" s="50">
        <f t="shared" si="67"/>
        <v>0</v>
      </c>
      <c r="BV59" s="50">
        <f t="shared" si="67"/>
        <v>0</v>
      </c>
      <c r="BW59" s="50">
        <f t="shared" si="67"/>
        <v>0</v>
      </c>
      <c r="BX59" s="50">
        <f t="shared" si="67"/>
        <v>0</v>
      </c>
      <c r="BY59" s="50">
        <f t="shared" si="67"/>
        <v>0</v>
      </c>
      <c r="BZ59" s="50">
        <f t="shared" si="67"/>
        <v>0</v>
      </c>
      <c r="CA59" s="50">
        <f t="shared" si="67"/>
        <v>0</v>
      </c>
      <c r="CB59" s="51">
        <f t="shared" si="67"/>
        <v>0</v>
      </c>
    </row>
    <row r="60" spans="1:80">
      <c r="A60" s="251" t="s">
        <v>49</v>
      </c>
      <c r="B60" s="79">
        <f>IF(E17=0,F17,E17)</f>
        <v>0</v>
      </c>
      <c r="C60" s="80">
        <f t="shared" ref="C60:BN60" si="68">B60+IF($G17=1,365,182.5)</f>
        <v>182.5</v>
      </c>
      <c r="D60" s="80">
        <f t="shared" si="68"/>
        <v>365</v>
      </c>
      <c r="E60" s="80">
        <f t="shared" si="68"/>
        <v>547.5</v>
      </c>
      <c r="F60" s="80">
        <f t="shared" si="68"/>
        <v>730</v>
      </c>
      <c r="G60" s="80">
        <f t="shared" si="68"/>
        <v>912.5</v>
      </c>
      <c r="H60" s="80">
        <f t="shared" si="68"/>
        <v>1095</v>
      </c>
      <c r="I60" s="80">
        <f t="shared" si="68"/>
        <v>1277.5</v>
      </c>
      <c r="J60" s="80">
        <f t="shared" si="68"/>
        <v>1460</v>
      </c>
      <c r="K60" s="80">
        <f t="shared" si="68"/>
        <v>1642.5</v>
      </c>
      <c r="L60" s="80">
        <f t="shared" si="68"/>
        <v>1825</v>
      </c>
      <c r="M60" s="80">
        <f t="shared" si="68"/>
        <v>2007.5</v>
      </c>
      <c r="N60" s="80">
        <f t="shared" si="68"/>
        <v>2190</v>
      </c>
      <c r="O60" s="80">
        <f t="shared" si="68"/>
        <v>2372.5</v>
      </c>
      <c r="P60" s="80">
        <f t="shared" si="68"/>
        <v>2555</v>
      </c>
      <c r="Q60" s="80">
        <f t="shared" si="68"/>
        <v>2737.5</v>
      </c>
      <c r="R60" s="80">
        <f t="shared" si="68"/>
        <v>2920</v>
      </c>
      <c r="S60" s="80">
        <f t="shared" si="68"/>
        <v>3102.5</v>
      </c>
      <c r="T60" s="80">
        <f t="shared" si="68"/>
        <v>3285</v>
      </c>
      <c r="U60" s="80">
        <f t="shared" si="68"/>
        <v>3467.5</v>
      </c>
      <c r="V60" s="80">
        <f t="shared" si="68"/>
        <v>3650</v>
      </c>
      <c r="W60" s="80">
        <f t="shared" si="68"/>
        <v>3832.5</v>
      </c>
      <c r="X60" s="80">
        <f t="shared" si="68"/>
        <v>4015</v>
      </c>
      <c r="Y60" s="80">
        <f t="shared" si="68"/>
        <v>4197.5</v>
      </c>
      <c r="Z60" s="80">
        <f t="shared" si="68"/>
        <v>4380</v>
      </c>
      <c r="AA60" s="80">
        <f t="shared" si="68"/>
        <v>4562.5</v>
      </c>
      <c r="AB60" s="80">
        <f t="shared" si="68"/>
        <v>4745</v>
      </c>
      <c r="AC60" s="80">
        <f t="shared" si="68"/>
        <v>4927.5</v>
      </c>
      <c r="AD60" s="80">
        <f t="shared" si="68"/>
        <v>5110</v>
      </c>
      <c r="AE60" s="80">
        <f t="shared" si="68"/>
        <v>5292.5</v>
      </c>
      <c r="AF60" s="80">
        <f t="shared" si="68"/>
        <v>5475</v>
      </c>
      <c r="AG60" s="80">
        <f t="shared" si="68"/>
        <v>5657.5</v>
      </c>
      <c r="AH60" s="80">
        <f t="shared" si="68"/>
        <v>5840</v>
      </c>
      <c r="AI60" s="80">
        <f t="shared" si="68"/>
        <v>6022.5</v>
      </c>
      <c r="AJ60" s="80">
        <f t="shared" si="68"/>
        <v>6205</v>
      </c>
      <c r="AK60" s="80">
        <f t="shared" si="68"/>
        <v>6387.5</v>
      </c>
      <c r="AL60" s="80">
        <f t="shared" si="68"/>
        <v>6570</v>
      </c>
      <c r="AM60" s="80">
        <f t="shared" si="68"/>
        <v>6752.5</v>
      </c>
      <c r="AN60" s="80">
        <f t="shared" si="68"/>
        <v>6935</v>
      </c>
      <c r="AO60" s="80">
        <f t="shared" si="68"/>
        <v>7117.5</v>
      </c>
      <c r="AP60" s="80">
        <f t="shared" si="68"/>
        <v>7300</v>
      </c>
      <c r="AQ60" s="80">
        <f t="shared" si="68"/>
        <v>7482.5</v>
      </c>
      <c r="AR60" s="80">
        <f t="shared" si="68"/>
        <v>7665</v>
      </c>
      <c r="AS60" s="80">
        <f t="shared" si="68"/>
        <v>7847.5</v>
      </c>
      <c r="AT60" s="80">
        <f t="shared" si="68"/>
        <v>8030</v>
      </c>
      <c r="AU60" s="80">
        <f t="shared" si="68"/>
        <v>8212.5</v>
      </c>
      <c r="AV60" s="80">
        <f t="shared" si="68"/>
        <v>8395</v>
      </c>
      <c r="AW60" s="80">
        <f t="shared" si="68"/>
        <v>8577.5</v>
      </c>
      <c r="AX60" s="80">
        <f t="shared" si="68"/>
        <v>8760</v>
      </c>
      <c r="AY60" s="80">
        <f t="shared" si="68"/>
        <v>8942.5</v>
      </c>
      <c r="AZ60" s="80">
        <f t="shared" si="68"/>
        <v>9125</v>
      </c>
      <c r="BA60" s="80">
        <f t="shared" si="68"/>
        <v>9307.5</v>
      </c>
      <c r="BB60" s="80">
        <f t="shared" si="68"/>
        <v>9490</v>
      </c>
      <c r="BC60" s="80">
        <f t="shared" si="68"/>
        <v>9672.5</v>
      </c>
      <c r="BD60" s="80">
        <f t="shared" si="68"/>
        <v>9855</v>
      </c>
      <c r="BE60" s="80">
        <f t="shared" si="68"/>
        <v>10037.5</v>
      </c>
      <c r="BF60" s="80">
        <f t="shared" si="68"/>
        <v>10220</v>
      </c>
      <c r="BG60" s="80">
        <f t="shared" si="68"/>
        <v>10402.5</v>
      </c>
      <c r="BH60" s="80">
        <f t="shared" si="68"/>
        <v>10585</v>
      </c>
      <c r="BI60" s="80">
        <f t="shared" si="68"/>
        <v>10767.5</v>
      </c>
      <c r="BJ60" s="80">
        <f t="shared" si="68"/>
        <v>10950</v>
      </c>
      <c r="BK60" s="80">
        <f t="shared" si="68"/>
        <v>11132.5</v>
      </c>
      <c r="BL60" s="80">
        <f t="shared" si="68"/>
        <v>11315</v>
      </c>
      <c r="BM60" s="80">
        <f t="shared" si="68"/>
        <v>11497.5</v>
      </c>
      <c r="BN60" s="80">
        <f t="shared" si="68"/>
        <v>11680</v>
      </c>
      <c r="BO60" s="80">
        <f t="shared" ref="BO60:CB60" si="69">BN60+IF($G17=1,365,182.5)</f>
        <v>11862.5</v>
      </c>
      <c r="BP60" s="80">
        <f t="shared" si="69"/>
        <v>12045</v>
      </c>
      <c r="BQ60" s="80">
        <f t="shared" si="69"/>
        <v>12227.5</v>
      </c>
      <c r="BR60" s="80">
        <f t="shared" si="69"/>
        <v>12410</v>
      </c>
      <c r="BS60" s="80">
        <f t="shared" si="69"/>
        <v>12592.5</v>
      </c>
      <c r="BT60" s="80">
        <f t="shared" si="69"/>
        <v>12775</v>
      </c>
      <c r="BU60" s="80">
        <f t="shared" si="69"/>
        <v>12957.5</v>
      </c>
      <c r="BV60" s="80">
        <f t="shared" si="69"/>
        <v>13140</v>
      </c>
      <c r="BW60" s="80">
        <f t="shared" si="69"/>
        <v>13322.5</v>
      </c>
      <c r="BX60" s="80">
        <f t="shared" si="69"/>
        <v>13505</v>
      </c>
      <c r="BY60" s="80">
        <f t="shared" si="69"/>
        <v>13687.5</v>
      </c>
      <c r="BZ60" s="80">
        <f t="shared" si="69"/>
        <v>13870</v>
      </c>
      <c r="CA60" s="80">
        <f t="shared" si="69"/>
        <v>14052.5</v>
      </c>
      <c r="CB60" s="81">
        <f t="shared" si="69"/>
        <v>14235</v>
      </c>
    </row>
    <row r="61" spans="1:80">
      <c r="A61" s="176" t="s">
        <v>33</v>
      </c>
      <c r="B61" s="114">
        <f>(IF(B60=F17,100,0)+IF(G17=1,1,0.5)*J17*100)*IF(ISBLANK(F17)=TRUE,0,1)</f>
        <v>0</v>
      </c>
      <c r="C61" s="82">
        <f>IF(C60&gt;$F17+1,0,1)*(IF(D61=0,100,0)+IF($G17=1,1,0.5)*$J17*100)</f>
        <v>0</v>
      </c>
      <c r="D61" s="82">
        <f t="shared" ref="D61:BO61" si="70">IF(D60&gt;$F17+1,0,1)*(IF(E61=0,100,0)+IF($G17=1,1,0.5)*$J17*100)</f>
        <v>0</v>
      </c>
      <c r="E61" s="82">
        <f t="shared" si="70"/>
        <v>0</v>
      </c>
      <c r="F61" s="82">
        <f t="shared" si="70"/>
        <v>0</v>
      </c>
      <c r="G61" s="82">
        <f t="shared" si="70"/>
        <v>0</v>
      </c>
      <c r="H61" s="82">
        <f t="shared" si="70"/>
        <v>0</v>
      </c>
      <c r="I61" s="82">
        <f t="shared" si="70"/>
        <v>0</v>
      </c>
      <c r="J61" s="82">
        <f t="shared" si="70"/>
        <v>0</v>
      </c>
      <c r="K61" s="82">
        <f t="shared" si="70"/>
        <v>0</v>
      </c>
      <c r="L61" s="82">
        <f t="shared" si="70"/>
        <v>0</v>
      </c>
      <c r="M61" s="82">
        <f t="shared" si="70"/>
        <v>0</v>
      </c>
      <c r="N61" s="82">
        <f t="shared" si="70"/>
        <v>0</v>
      </c>
      <c r="O61" s="82">
        <f t="shared" si="70"/>
        <v>0</v>
      </c>
      <c r="P61" s="82">
        <f t="shared" si="70"/>
        <v>0</v>
      </c>
      <c r="Q61" s="82">
        <f t="shared" si="70"/>
        <v>0</v>
      </c>
      <c r="R61" s="82">
        <f t="shared" si="70"/>
        <v>0</v>
      </c>
      <c r="S61" s="82">
        <f t="shared" si="70"/>
        <v>0</v>
      </c>
      <c r="T61" s="82">
        <f t="shared" si="70"/>
        <v>0</v>
      </c>
      <c r="U61" s="82">
        <f t="shared" si="70"/>
        <v>0</v>
      </c>
      <c r="V61" s="82">
        <f t="shared" si="70"/>
        <v>0</v>
      </c>
      <c r="W61" s="82">
        <f t="shared" si="70"/>
        <v>0</v>
      </c>
      <c r="X61" s="82">
        <f t="shared" si="70"/>
        <v>0</v>
      </c>
      <c r="Y61" s="82">
        <f t="shared" si="70"/>
        <v>0</v>
      </c>
      <c r="Z61" s="82">
        <f t="shared" si="70"/>
        <v>0</v>
      </c>
      <c r="AA61" s="82">
        <f t="shared" si="70"/>
        <v>0</v>
      </c>
      <c r="AB61" s="82">
        <f t="shared" si="70"/>
        <v>0</v>
      </c>
      <c r="AC61" s="82">
        <f t="shared" si="70"/>
        <v>0</v>
      </c>
      <c r="AD61" s="82">
        <f t="shared" si="70"/>
        <v>0</v>
      </c>
      <c r="AE61" s="82">
        <f t="shared" si="70"/>
        <v>0</v>
      </c>
      <c r="AF61" s="82">
        <f t="shared" si="70"/>
        <v>0</v>
      </c>
      <c r="AG61" s="82">
        <f t="shared" si="70"/>
        <v>0</v>
      </c>
      <c r="AH61" s="82">
        <f t="shared" si="70"/>
        <v>0</v>
      </c>
      <c r="AI61" s="82">
        <f t="shared" si="70"/>
        <v>0</v>
      </c>
      <c r="AJ61" s="82">
        <f t="shared" si="70"/>
        <v>0</v>
      </c>
      <c r="AK61" s="82">
        <f t="shared" si="70"/>
        <v>0</v>
      </c>
      <c r="AL61" s="82">
        <f t="shared" si="70"/>
        <v>0</v>
      </c>
      <c r="AM61" s="82">
        <f t="shared" si="70"/>
        <v>0</v>
      </c>
      <c r="AN61" s="82">
        <f t="shared" si="70"/>
        <v>0</v>
      </c>
      <c r="AO61" s="82">
        <f t="shared" si="70"/>
        <v>0</v>
      </c>
      <c r="AP61" s="82">
        <f t="shared" si="70"/>
        <v>0</v>
      </c>
      <c r="AQ61" s="82">
        <f t="shared" si="70"/>
        <v>0</v>
      </c>
      <c r="AR61" s="82">
        <f t="shared" si="70"/>
        <v>0</v>
      </c>
      <c r="AS61" s="82">
        <f t="shared" si="70"/>
        <v>0</v>
      </c>
      <c r="AT61" s="82">
        <f t="shared" si="70"/>
        <v>0</v>
      </c>
      <c r="AU61" s="82">
        <f t="shared" si="70"/>
        <v>0</v>
      </c>
      <c r="AV61" s="82">
        <f t="shared" si="70"/>
        <v>0</v>
      </c>
      <c r="AW61" s="82">
        <f t="shared" si="70"/>
        <v>0</v>
      </c>
      <c r="AX61" s="82">
        <f t="shared" si="70"/>
        <v>0</v>
      </c>
      <c r="AY61" s="82">
        <f t="shared" si="70"/>
        <v>0</v>
      </c>
      <c r="AZ61" s="82">
        <f t="shared" si="70"/>
        <v>0</v>
      </c>
      <c r="BA61" s="82">
        <f t="shared" si="70"/>
        <v>0</v>
      </c>
      <c r="BB61" s="82">
        <f t="shared" si="70"/>
        <v>0</v>
      </c>
      <c r="BC61" s="82">
        <f t="shared" si="70"/>
        <v>0</v>
      </c>
      <c r="BD61" s="82">
        <f t="shared" si="70"/>
        <v>0</v>
      </c>
      <c r="BE61" s="82">
        <f t="shared" si="70"/>
        <v>0</v>
      </c>
      <c r="BF61" s="82">
        <f t="shared" si="70"/>
        <v>0</v>
      </c>
      <c r="BG61" s="82">
        <f t="shared" si="70"/>
        <v>0</v>
      </c>
      <c r="BH61" s="82">
        <f t="shared" si="70"/>
        <v>0</v>
      </c>
      <c r="BI61" s="82">
        <f t="shared" si="70"/>
        <v>0</v>
      </c>
      <c r="BJ61" s="82">
        <f t="shared" si="70"/>
        <v>0</v>
      </c>
      <c r="BK61" s="82">
        <f t="shared" si="70"/>
        <v>0</v>
      </c>
      <c r="BL61" s="82">
        <f t="shared" si="70"/>
        <v>0</v>
      </c>
      <c r="BM61" s="82">
        <f t="shared" si="70"/>
        <v>0</v>
      </c>
      <c r="BN61" s="82">
        <f t="shared" si="70"/>
        <v>0</v>
      </c>
      <c r="BO61" s="82">
        <f t="shared" si="70"/>
        <v>0</v>
      </c>
      <c r="BP61" s="82">
        <f t="shared" ref="BP61:CB61" si="71">IF(BP60&gt;$F17+1,0,1)*(IF(BQ61=0,100,0)+IF($G17=1,1,0.5)*$J17*100)</f>
        <v>0</v>
      </c>
      <c r="BQ61" s="82">
        <f t="shared" si="71"/>
        <v>0</v>
      </c>
      <c r="BR61" s="82">
        <f t="shared" si="71"/>
        <v>0</v>
      </c>
      <c r="BS61" s="82">
        <f t="shared" si="71"/>
        <v>0</v>
      </c>
      <c r="BT61" s="82">
        <f t="shared" si="71"/>
        <v>0</v>
      </c>
      <c r="BU61" s="82">
        <f t="shared" si="71"/>
        <v>0</v>
      </c>
      <c r="BV61" s="82">
        <f t="shared" si="71"/>
        <v>0</v>
      </c>
      <c r="BW61" s="82">
        <f t="shared" si="71"/>
        <v>0</v>
      </c>
      <c r="BX61" s="82">
        <f t="shared" si="71"/>
        <v>0</v>
      </c>
      <c r="BY61" s="82">
        <f t="shared" si="71"/>
        <v>0</v>
      </c>
      <c r="BZ61" s="82">
        <f t="shared" si="71"/>
        <v>0</v>
      </c>
      <c r="CA61" s="82">
        <f t="shared" si="71"/>
        <v>0</v>
      </c>
      <c r="CB61" s="83">
        <f t="shared" si="71"/>
        <v>0</v>
      </c>
    </row>
    <row r="62" spans="1:80">
      <c r="A62" s="250" t="s">
        <v>49</v>
      </c>
      <c r="B62" s="84">
        <f>IF(E18=0,F18,E18)</f>
        <v>0</v>
      </c>
      <c r="C62" s="85">
        <f t="shared" ref="C62:BN62" si="72">B62+IF($G18=1,365,182.5)</f>
        <v>182.5</v>
      </c>
      <c r="D62" s="85">
        <f t="shared" si="72"/>
        <v>365</v>
      </c>
      <c r="E62" s="85">
        <f t="shared" si="72"/>
        <v>547.5</v>
      </c>
      <c r="F62" s="85">
        <f t="shared" si="72"/>
        <v>730</v>
      </c>
      <c r="G62" s="85">
        <f t="shared" si="72"/>
        <v>912.5</v>
      </c>
      <c r="H62" s="85">
        <f t="shared" si="72"/>
        <v>1095</v>
      </c>
      <c r="I62" s="85">
        <f t="shared" si="72"/>
        <v>1277.5</v>
      </c>
      <c r="J62" s="85">
        <f t="shared" si="72"/>
        <v>1460</v>
      </c>
      <c r="K62" s="85">
        <f t="shared" si="72"/>
        <v>1642.5</v>
      </c>
      <c r="L62" s="85">
        <f t="shared" si="72"/>
        <v>1825</v>
      </c>
      <c r="M62" s="85">
        <f t="shared" si="72"/>
        <v>2007.5</v>
      </c>
      <c r="N62" s="85">
        <f t="shared" si="72"/>
        <v>2190</v>
      </c>
      <c r="O62" s="85">
        <f t="shared" si="72"/>
        <v>2372.5</v>
      </c>
      <c r="P62" s="85">
        <f t="shared" si="72"/>
        <v>2555</v>
      </c>
      <c r="Q62" s="85">
        <f t="shared" si="72"/>
        <v>2737.5</v>
      </c>
      <c r="R62" s="85">
        <f t="shared" si="72"/>
        <v>2920</v>
      </c>
      <c r="S62" s="85">
        <f t="shared" si="72"/>
        <v>3102.5</v>
      </c>
      <c r="T62" s="85">
        <f t="shared" si="72"/>
        <v>3285</v>
      </c>
      <c r="U62" s="85">
        <f t="shared" si="72"/>
        <v>3467.5</v>
      </c>
      <c r="V62" s="85">
        <f t="shared" si="72"/>
        <v>3650</v>
      </c>
      <c r="W62" s="85">
        <f t="shared" si="72"/>
        <v>3832.5</v>
      </c>
      <c r="X62" s="85">
        <f t="shared" si="72"/>
        <v>4015</v>
      </c>
      <c r="Y62" s="85">
        <f t="shared" si="72"/>
        <v>4197.5</v>
      </c>
      <c r="Z62" s="85">
        <f t="shared" si="72"/>
        <v>4380</v>
      </c>
      <c r="AA62" s="85">
        <f t="shared" si="72"/>
        <v>4562.5</v>
      </c>
      <c r="AB62" s="85">
        <f t="shared" si="72"/>
        <v>4745</v>
      </c>
      <c r="AC62" s="85">
        <f t="shared" si="72"/>
        <v>4927.5</v>
      </c>
      <c r="AD62" s="85">
        <f t="shared" si="72"/>
        <v>5110</v>
      </c>
      <c r="AE62" s="85">
        <f t="shared" si="72"/>
        <v>5292.5</v>
      </c>
      <c r="AF62" s="85">
        <f t="shared" si="72"/>
        <v>5475</v>
      </c>
      <c r="AG62" s="85">
        <f t="shared" si="72"/>
        <v>5657.5</v>
      </c>
      <c r="AH62" s="85">
        <f t="shared" si="72"/>
        <v>5840</v>
      </c>
      <c r="AI62" s="85">
        <f t="shared" si="72"/>
        <v>6022.5</v>
      </c>
      <c r="AJ62" s="85">
        <f t="shared" si="72"/>
        <v>6205</v>
      </c>
      <c r="AK62" s="85">
        <f t="shared" si="72"/>
        <v>6387.5</v>
      </c>
      <c r="AL62" s="85">
        <f t="shared" si="72"/>
        <v>6570</v>
      </c>
      <c r="AM62" s="85">
        <f t="shared" si="72"/>
        <v>6752.5</v>
      </c>
      <c r="AN62" s="85">
        <f t="shared" si="72"/>
        <v>6935</v>
      </c>
      <c r="AO62" s="85">
        <f t="shared" si="72"/>
        <v>7117.5</v>
      </c>
      <c r="AP62" s="85">
        <f t="shared" si="72"/>
        <v>7300</v>
      </c>
      <c r="AQ62" s="85">
        <f t="shared" si="72"/>
        <v>7482.5</v>
      </c>
      <c r="AR62" s="85">
        <f t="shared" si="72"/>
        <v>7665</v>
      </c>
      <c r="AS62" s="85">
        <f t="shared" si="72"/>
        <v>7847.5</v>
      </c>
      <c r="AT62" s="85">
        <f t="shared" si="72"/>
        <v>8030</v>
      </c>
      <c r="AU62" s="85">
        <f t="shared" si="72"/>
        <v>8212.5</v>
      </c>
      <c r="AV62" s="85">
        <f t="shared" si="72"/>
        <v>8395</v>
      </c>
      <c r="AW62" s="85">
        <f t="shared" si="72"/>
        <v>8577.5</v>
      </c>
      <c r="AX62" s="85">
        <f t="shared" si="72"/>
        <v>8760</v>
      </c>
      <c r="AY62" s="85">
        <f t="shared" si="72"/>
        <v>8942.5</v>
      </c>
      <c r="AZ62" s="85">
        <f t="shared" si="72"/>
        <v>9125</v>
      </c>
      <c r="BA62" s="85">
        <f t="shared" si="72"/>
        <v>9307.5</v>
      </c>
      <c r="BB62" s="85">
        <f t="shared" si="72"/>
        <v>9490</v>
      </c>
      <c r="BC62" s="85">
        <f t="shared" si="72"/>
        <v>9672.5</v>
      </c>
      <c r="BD62" s="85">
        <f t="shared" si="72"/>
        <v>9855</v>
      </c>
      <c r="BE62" s="85">
        <f t="shared" si="72"/>
        <v>10037.5</v>
      </c>
      <c r="BF62" s="85">
        <f t="shared" si="72"/>
        <v>10220</v>
      </c>
      <c r="BG62" s="85">
        <f t="shared" si="72"/>
        <v>10402.5</v>
      </c>
      <c r="BH62" s="85">
        <f t="shared" si="72"/>
        <v>10585</v>
      </c>
      <c r="BI62" s="85">
        <f t="shared" si="72"/>
        <v>10767.5</v>
      </c>
      <c r="BJ62" s="85">
        <f t="shared" si="72"/>
        <v>10950</v>
      </c>
      <c r="BK62" s="85">
        <f t="shared" si="72"/>
        <v>11132.5</v>
      </c>
      <c r="BL62" s="85">
        <f t="shared" si="72"/>
        <v>11315</v>
      </c>
      <c r="BM62" s="85">
        <f t="shared" si="72"/>
        <v>11497.5</v>
      </c>
      <c r="BN62" s="85">
        <f t="shared" si="72"/>
        <v>11680</v>
      </c>
      <c r="BO62" s="85">
        <f t="shared" ref="BO62:CB62" si="73">BN62+IF($G18=1,365,182.5)</f>
        <v>11862.5</v>
      </c>
      <c r="BP62" s="85">
        <f t="shared" si="73"/>
        <v>12045</v>
      </c>
      <c r="BQ62" s="85">
        <f t="shared" si="73"/>
        <v>12227.5</v>
      </c>
      <c r="BR62" s="85">
        <f t="shared" si="73"/>
        <v>12410</v>
      </c>
      <c r="BS62" s="85">
        <f t="shared" si="73"/>
        <v>12592.5</v>
      </c>
      <c r="BT62" s="85">
        <f t="shared" si="73"/>
        <v>12775</v>
      </c>
      <c r="BU62" s="85">
        <f t="shared" si="73"/>
        <v>12957.5</v>
      </c>
      <c r="BV62" s="85">
        <f t="shared" si="73"/>
        <v>13140</v>
      </c>
      <c r="BW62" s="85">
        <f t="shared" si="73"/>
        <v>13322.5</v>
      </c>
      <c r="BX62" s="85">
        <f t="shared" si="73"/>
        <v>13505</v>
      </c>
      <c r="BY62" s="85">
        <f t="shared" si="73"/>
        <v>13687.5</v>
      </c>
      <c r="BZ62" s="85">
        <f t="shared" si="73"/>
        <v>13870</v>
      </c>
      <c r="CA62" s="85">
        <f t="shared" si="73"/>
        <v>14052.5</v>
      </c>
      <c r="CB62" s="86">
        <f t="shared" si="73"/>
        <v>14235</v>
      </c>
    </row>
    <row r="63" spans="1:80">
      <c r="A63" s="177" t="s">
        <v>34</v>
      </c>
      <c r="B63" s="115">
        <f>(IF(B62=F18,100,0)+IF(G18=1,1,0.5)*J18*100)*IF(ISBLANK(F18)=TRUE,0,1)</f>
        <v>0</v>
      </c>
      <c r="C63" s="87">
        <f>IF(C62&gt;$F18+1,0,1)*(IF(D63=0,100,0)+IF($G18=1,1,0.5)*$J18*100)</f>
        <v>0</v>
      </c>
      <c r="D63" s="87">
        <f t="shared" ref="D63:BO63" si="74">IF(D62&gt;$F18+1,0,1)*(IF(E63=0,100,0)+IF($G18=1,1,0.5)*$J18*100)</f>
        <v>0</v>
      </c>
      <c r="E63" s="87">
        <f t="shared" si="74"/>
        <v>0</v>
      </c>
      <c r="F63" s="87">
        <f t="shared" si="74"/>
        <v>0</v>
      </c>
      <c r="G63" s="87">
        <f t="shared" si="74"/>
        <v>0</v>
      </c>
      <c r="H63" s="87">
        <f t="shared" si="74"/>
        <v>0</v>
      </c>
      <c r="I63" s="87">
        <f t="shared" si="74"/>
        <v>0</v>
      </c>
      <c r="J63" s="87">
        <f t="shared" si="74"/>
        <v>0</v>
      </c>
      <c r="K63" s="87">
        <f t="shared" si="74"/>
        <v>0</v>
      </c>
      <c r="L63" s="87">
        <f t="shared" si="74"/>
        <v>0</v>
      </c>
      <c r="M63" s="87">
        <f t="shared" si="74"/>
        <v>0</v>
      </c>
      <c r="N63" s="87">
        <f t="shared" si="74"/>
        <v>0</v>
      </c>
      <c r="O63" s="87">
        <f t="shared" si="74"/>
        <v>0</v>
      </c>
      <c r="P63" s="87">
        <f t="shared" si="74"/>
        <v>0</v>
      </c>
      <c r="Q63" s="87">
        <f t="shared" si="74"/>
        <v>0</v>
      </c>
      <c r="R63" s="87">
        <f t="shared" si="74"/>
        <v>0</v>
      </c>
      <c r="S63" s="87">
        <f t="shared" si="74"/>
        <v>0</v>
      </c>
      <c r="T63" s="87">
        <f t="shared" si="74"/>
        <v>0</v>
      </c>
      <c r="U63" s="87">
        <f t="shared" si="74"/>
        <v>0</v>
      </c>
      <c r="V63" s="87">
        <f t="shared" si="74"/>
        <v>0</v>
      </c>
      <c r="W63" s="87">
        <f t="shared" si="74"/>
        <v>0</v>
      </c>
      <c r="X63" s="87">
        <f t="shared" si="74"/>
        <v>0</v>
      </c>
      <c r="Y63" s="87">
        <f t="shared" si="74"/>
        <v>0</v>
      </c>
      <c r="Z63" s="87">
        <f t="shared" si="74"/>
        <v>0</v>
      </c>
      <c r="AA63" s="87">
        <f t="shared" si="74"/>
        <v>0</v>
      </c>
      <c r="AB63" s="87">
        <f t="shared" si="74"/>
        <v>0</v>
      </c>
      <c r="AC63" s="87">
        <f t="shared" si="74"/>
        <v>0</v>
      </c>
      <c r="AD63" s="87">
        <f t="shared" si="74"/>
        <v>0</v>
      </c>
      <c r="AE63" s="87">
        <f t="shared" si="74"/>
        <v>0</v>
      </c>
      <c r="AF63" s="87">
        <f t="shared" si="74"/>
        <v>0</v>
      </c>
      <c r="AG63" s="87">
        <f t="shared" si="74"/>
        <v>0</v>
      </c>
      <c r="AH63" s="87">
        <f t="shared" si="74"/>
        <v>0</v>
      </c>
      <c r="AI63" s="87">
        <f t="shared" si="74"/>
        <v>0</v>
      </c>
      <c r="AJ63" s="87">
        <f t="shared" si="74"/>
        <v>0</v>
      </c>
      <c r="AK63" s="87">
        <f t="shared" si="74"/>
        <v>0</v>
      </c>
      <c r="AL63" s="87">
        <f t="shared" si="74"/>
        <v>0</v>
      </c>
      <c r="AM63" s="87">
        <f t="shared" si="74"/>
        <v>0</v>
      </c>
      <c r="AN63" s="87">
        <f t="shared" si="74"/>
        <v>0</v>
      </c>
      <c r="AO63" s="87">
        <f t="shared" si="74"/>
        <v>0</v>
      </c>
      <c r="AP63" s="87">
        <f t="shared" si="74"/>
        <v>0</v>
      </c>
      <c r="AQ63" s="87">
        <f t="shared" si="74"/>
        <v>0</v>
      </c>
      <c r="AR63" s="87">
        <f t="shared" si="74"/>
        <v>0</v>
      </c>
      <c r="AS63" s="87">
        <f t="shared" si="74"/>
        <v>0</v>
      </c>
      <c r="AT63" s="87">
        <f t="shared" si="74"/>
        <v>0</v>
      </c>
      <c r="AU63" s="87">
        <f t="shared" si="74"/>
        <v>0</v>
      </c>
      <c r="AV63" s="87">
        <f t="shared" si="74"/>
        <v>0</v>
      </c>
      <c r="AW63" s="87">
        <f t="shared" si="74"/>
        <v>0</v>
      </c>
      <c r="AX63" s="87">
        <f t="shared" si="74"/>
        <v>0</v>
      </c>
      <c r="AY63" s="87">
        <f t="shared" si="74"/>
        <v>0</v>
      </c>
      <c r="AZ63" s="87">
        <f t="shared" si="74"/>
        <v>0</v>
      </c>
      <c r="BA63" s="87">
        <f t="shared" si="74"/>
        <v>0</v>
      </c>
      <c r="BB63" s="87">
        <f t="shared" si="74"/>
        <v>0</v>
      </c>
      <c r="BC63" s="87">
        <f t="shared" si="74"/>
        <v>0</v>
      </c>
      <c r="BD63" s="87">
        <f t="shared" si="74"/>
        <v>0</v>
      </c>
      <c r="BE63" s="87">
        <f t="shared" si="74"/>
        <v>0</v>
      </c>
      <c r="BF63" s="87">
        <f t="shared" si="74"/>
        <v>0</v>
      </c>
      <c r="BG63" s="87">
        <f t="shared" si="74"/>
        <v>0</v>
      </c>
      <c r="BH63" s="87">
        <f t="shared" si="74"/>
        <v>0</v>
      </c>
      <c r="BI63" s="87">
        <f t="shared" si="74"/>
        <v>0</v>
      </c>
      <c r="BJ63" s="87">
        <f t="shared" si="74"/>
        <v>0</v>
      </c>
      <c r="BK63" s="87">
        <f t="shared" si="74"/>
        <v>0</v>
      </c>
      <c r="BL63" s="87">
        <f t="shared" si="74"/>
        <v>0</v>
      </c>
      <c r="BM63" s="87">
        <f t="shared" si="74"/>
        <v>0</v>
      </c>
      <c r="BN63" s="87">
        <f t="shared" si="74"/>
        <v>0</v>
      </c>
      <c r="BO63" s="87">
        <f t="shared" si="74"/>
        <v>0</v>
      </c>
      <c r="BP63" s="87">
        <f t="shared" ref="BP63:CB63" si="75">IF(BP62&gt;$F18+1,0,1)*(IF(BQ63=0,100,0)+IF($G18=1,1,0.5)*$J18*100)</f>
        <v>0</v>
      </c>
      <c r="BQ63" s="87">
        <f t="shared" si="75"/>
        <v>0</v>
      </c>
      <c r="BR63" s="87">
        <f t="shared" si="75"/>
        <v>0</v>
      </c>
      <c r="BS63" s="87">
        <f t="shared" si="75"/>
        <v>0</v>
      </c>
      <c r="BT63" s="87">
        <f t="shared" si="75"/>
        <v>0</v>
      </c>
      <c r="BU63" s="87">
        <f t="shared" si="75"/>
        <v>0</v>
      </c>
      <c r="BV63" s="87">
        <f t="shared" si="75"/>
        <v>0</v>
      </c>
      <c r="BW63" s="87">
        <f t="shared" si="75"/>
        <v>0</v>
      </c>
      <c r="BX63" s="87">
        <f t="shared" si="75"/>
        <v>0</v>
      </c>
      <c r="BY63" s="87">
        <f t="shared" si="75"/>
        <v>0</v>
      </c>
      <c r="BZ63" s="87">
        <f t="shared" si="75"/>
        <v>0</v>
      </c>
      <c r="CA63" s="87">
        <f t="shared" si="75"/>
        <v>0</v>
      </c>
      <c r="CB63" s="88">
        <f t="shared" si="75"/>
        <v>0</v>
      </c>
    </row>
    <row r="64" spans="1:80">
      <c r="A64" s="249" t="s">
        <v>49</v>
      </c>
      <c r="B64" s="118">
        <f>IF(E19=0,F19,E19)</f>
        <v>0</v>
      </c>
      <c r="C64" s="119">
        <f t="shared" ref="C64:BN64" si="76">B64+IF($G19=1,365,182.5)</f>
        <v>182.5</v>
      </c>
      <c r="D64" s="119">
        <f t="shared" si="76"/>
        <v>365</v>
      </c>
      <c r="E64" s="119">
        <f t="shared" si="76"/>
        <v>547.5</v>
      </c>
      <c r="F64" s="119">
        <f t="shared" si="76"/>
        <v>730</v>
      </c>
      <c r="G64" s="119">
        <f t="shared" si="76"/>
        <v>912.5</v>
      </c>
      <c r="H64" s="119">
        <f t="shared" si="76"/>
        <v>1095</v>
      </c>
      <c r="I64" s="119">
        <f t="shared" si="76"/>
        <v>1277.5</v>
      </c>
      <c r="J64" s="119">
        <f t="shared" si="76"/>
        <v>1460</v>
      </c>
      <c r="K64" s="119">
        <f t="shared" si="76"/>
        <v>1642.5</v>
      </c>
      <c r="L64" s="119">
        <f t="shared" si="76"/>
        <v>1825</v>
      </c>
      <c r="M64" s="119">
        <f t="shared" si="76"/>
        <v>2007.5</v>
      </c>
      <c r="N64" s="119">
        <f t="shared" si="76"/>
        <v>2190</v>
      </c>
      <c r="O64" s="119">
        <f t="shared" si="76"/>
        <v>2372.5</v>
      </c>
      <c r="P64" s="119">
        <f t="shared" si="76"/>
        <v>2555</v>
      </c>
      <c r="Q64" s="119">
        <f t="shared" si="76"/>
        <v>2737.5</v>
      </c>
      <c r="R64" s="119">
        <f t="shared" si="76"/>
        <v>2920</v>
      </c>
      <c r="S64" s="119">
        <f t="shared" si="76"/>
        <v>3102.5</v>
      </c>
      <c r="T64" s="119">
        <f t="shared" si="76"/>
        <v>3285</v>
      </c>
      <c r="U64" s="119">
        <f t="shared" si="76"/>
        <v>3467.5</v>
      </c>
      <c r="V64" s="119">
        <f t="shared" si="76"/>
        <v>3650</v>
      </c>
      <c r="W64" s="119">
        <f t="shared" si="76"/>
        <v>3832.5</v>
      </c>
      <c r="X64" s="119">
        <f t="shared" si="76"/>
        <v>4015</v>
      </c>
      <c r="Y64" s="119">
        <f t="shared" si="76"/>
        <v>4197.5</v>
      </c>
      <c r="Z64" s="119">
        <f t="shared" si="76"/>
        <v>4380</v>
      </c>
      <c r="AA64" s="119">
        <f t="shared" si="76"/>
        <v>4562.5</v>
      </c>
      <c r="AB64" s="119">
        <f t="shared" si="76"/>
        <v>4745</v>
      </c>
      <c r="AC64" s="119">
        <f t="shared" si="76"/>
        <v>4927.5</v>
      </c>
      <c r="AD64" s="119">
        <f t="shared" si="76"/>
        <v>5110</v>
      </c>
      <c r="AE64" s="119">
        <f t="shared" si="76"/>
        <v>5292.5</v>
      </c>
      <c r="AF64" s="119">
        <f t="shared" si="76"/>
        <v>5475</v>
      </c>
      <c r="AG64" s="119">
        <f t="shared" si="76"/>
        <v>5657.5</v>
      </c>
      <c r="AH64" s="119">
        <f t="shared" si="76"/>
        <v>5840</v>
      </c>
      <c r="AI64" s="119">
        <f t="shared" si="76"/>
        <v>6022.5</v>
      </c>
      <c r="AJ64" s="119">
        <f t="shared" si="76"/>
        <v>6205</v>
      </c>
      <c r="AK64" s="119">
        <f t="shared" si="76"/>
        <v>6387.5</v>
      </c>
      <c r="AL64" s="119">
        <f t="shared" si="76"/>
        <v>6570</v>
      </c>
      <c r="AM64" s="119">
        <f t="shared" si="76"/>
        <v>6752.5</v>
      </c>
      <c r="AN64" s="119">
        <f t="shared" si="76"/>
        <v>6935</v>
      </c>
      <c r="AO64" s="119">
        <f t="shared" si="76"/>
        <v>7117.5</v>
      </c>
      <c r="AP64" s="119">
        <f t="shared" si="76"/>
        <v>7300</v>
      </c>
      <c r="AQ64" s="119">
        <f t="shared" si="76"/>
        <v>7482.5</v>
      </c>
      <c r="AR64" s="119">
        <f t="shared" si="76"/>
        <v>7665</v>
      </c>
      <c r="AS64" s="119">
        <f t="shared" si="76"/>
        <v>7847.5</v>
      </c>
      <c r="AT64" s="119">
        <f t="shared" si="76"/>
        <v>8030</v>
      </c>
      <c r="AU64" s="119">
        <f t="shared" si="76"/>
        <v>8212.5</v>
      </c>
      <c r="AV64" s="119">
        <f t="shared" si="76"/>
        <v>8395</v>
      </c>
      <c r="AW64" s="119">
        <f t="shared" si="76"/>
        <v>8577.5</v>
      </c>
      <c r="AX64" s="119">
        <f t="shared" si="76"/>
        <v>8760</v>
      </c>
      <c r="AY64" s="119">
        <f t="shared" si="76"/>
        <v>8942.5</v>
      </c>
      <c r="AZ64" s="119">
        <f t="shared" si="76"/>
        <v>9125</v>
      </c>
      <c r="BA64" s="119">
        <f t="shared" si="76"/>
        <v>9307.5</v>
      </c>
      <c r="BB64" s="119">
        <f t="shared" si="76"/>
        <v>9490</v>
      </c>
      <c r="BC64" s="119">
        <f t="shared" si="76"/>
        <v>9672.5</v>
      </c>
      <c r="BD64" s="119">
        <f t="shared" si="76"/>
        <v>9855</v>
      </c>
      <c r="BE64" s="119">
        <f t="shared" si="76"/>
        <v>10037.5</v>
      </c>
      <c r="BF64" s="119">
        <f t="shared" si="76"/>
        <v>10220</v>
      </c>
      <c r="BG64" s="119">
        <f t="shared" si="76"/>
        <v>10402.5</v>
      </c>
      <c r="BH64" s="119">
        <f t="shared" si="76"/>
        <v>10585</v>
      </c>
      <c r="BI64" s="119">
        <f t="shared" si="76"/>
        <v>10767.5</v>
      </c>
      <c r="BJ64" s="119">
        <f t="shared" si="76"/>
        <v>10950</v>
      </c>
      <c r="BK64" s="119">
        <f t="shared" si="76"/>
        <v>11132.5</v>
      </c>
      <c r="BL64" s="119">
        <f t="shared" si="76"/>
        <v>11315</v>
      </c>
      <c r="BM64" s="119">
        <f t="shared" si="76"/>
        <v>11497.5</v>
      </c>
      <c r="BN64" s="119">
        <f t="shared" si="76"/>
        <v>11680</v>
      </c>
      <c r="BO64" s="119">
        <f t="shared" ref="BO64:CB64" si="77">BN64+IF($G19=1,365,182.5)</f>
        <v>11862.5</v>
      </c>
      <c r="BP64" s="119">
        <f t="shared" si="77"/>
        <v>12045</v>
      </c>
      <c r="BQ64" s="119">
        <f t="shared" si="77"/>
        <v>12227.5</v>
      </c>
      <c r="BR64" s="119">
        <f t="shared" si="77"/>
        <v>12410</v>
      </c>
      <c r="BS64" s="119">
        <f t="shared" si="77"/>
        <v>12592.5</v>
      </c>
      <c r="BT64" s="119">
        <f t="shared" si="77"/>
        <v>12775</v>
      </c>
      <c r="BU64" s="119">
        <f t="shared" si="77"/>
        <v>12957.5</v>
      </c>
      <c r="BV64" s="119">
        <f t="shared" si="77"/>
        <v>13140</v>
      </c>
      <c r="BW64" s="119">
        <f t="shared" si="77"/>
        <v>13322.5</v>
      </c>
      <c r="BX64" s="119">
        <f t="shared" si="77"/>
        <v>13505</v>
      </c>
      <c r="BY64" s="119">
        <f t="shared" si="77"/>
        <v>13687.5</v>
      </c>
      <c r="BZ64" s="119">
        <f t="shared" si="77"/>
        <v>13870</v>
      </c>
      <c r="CA64" s="119">
        <f t="shared" si="77"/>
        <v>14052.5</v>
      </c>
      <c r="CB64" s="120">
        <f t="shared" si="77"/>
        <v>14235</v>
      </c>
    </row>
    <row r="65" spans="1:115">
      <c r="A65" s="178" t="s">
        <v>35</v>
      </c>
      <c r="B65" s="121">
        <f>(IF(B64=F19,100,0)+IF(G19=1,1,0.5)*J19*100)*IF(ISBLANK(F19)=TRUE,0,1)</f>
        <v>0</v>
      </c>
      <c r="C65" s="122">
        <f>IF(C64&gt;$F19+1,0,1)*(IF(D65=0,100,0)+IF($G19=1,1,0.5)*$J19*100)</f>
        <v>0</v>
      </c>
      <c r="D65" s="122">
        <f t="shared" ref="D65:BO65" si="78">IF(D64&gt;$F19+1,0,1)*(IF(E65=0,100,0)+IF($G19=1,1,0.5)*$J19*100)</f>
        <v>0</v>
      </c>
      <c r="E65" s="122">
        <f t="shared" si="78"/>
        <v>0</v>
      </c>
      <c r="F65" s="122">
        <f t="shared" si="78"/>
        <v>0</v>
      </c>
      <c r="G65" s="122">
        <f t="shared" si="78"/>
        <v>0</v>
      </c>
      <c r="H65" s="122">
        <f t="shared" si="78"/>
        <v>0</v>
      </c>
      <c r="I65" s="122">
        <f t="shared" si="78"/>
        <v>0</v>
      </c>
      <c r="J65" s="122">
        <f t="shared" si="78"/>
        <v>0</v>
      </c>
      <c r="K65" s="122">
        <f t="shared" si="78"/>
        <v>0</v>
      </c>
      <c r="L65" s="122">
        <f t="shared" si="78"/>
        <v>0</v>
      </c>
      <c r="M65" s="122">
        <f t="shared" si="78"/>
        <v>0</v>
      </c>
      <c r="N65" s="122">
        <f t="shared" si="78"/>
        <v>0</v>
      </c>
      <c r="O65" s="122">
        <f t="shared" si="78"/>
        <v>0</v>
      </c>
      <c r="P65" s="122">
        <f t="shared" si="78"/>
        <v>0</v>
      </c>
      <c r="Q65" s="122">
        <f t="shared" si="78"/>
        <v>0</v>
      </c>
      <c r="R65" s="122">
        <f t="shared" si="78"/>
        <v>0</v>
      </c>
      <c r="S65" s="122">
        <f t="shared" si="78"/>
        <v>0</v>
      </c>
      <c r="T65" s="122">
        <f t="shared" si="78"/>
        <v>0</v>
      </c>
      <c r="U65" s="122">
        <f t="shared" si="78"/>
        <v>0</v>
      </c>
      <c r="V65" s="122">
        <f t="shared" si="78"/>
        <v>0</v>
      </c>
      <c r="W65" s="122">
        <f t="shared" si="78"/>
        <v>0</v>
      </c>
      <c r="X65" s="122">
        <f t="shared" si="78"/>
        <v>0</v>
      </c>
      <c r="Y65" s="122">
        <f t="shared" si="78"/>
        <v>0</v>
      </c>
      <c r="Z65" s="122">
        <f t="shared" si="78"/>
        <v>0</v>
      </c>
      <c r="AA65" s="122">
        <f t="shared" si="78"/>
        <v>0</v>
      </c>
      <c r="AB65" s="122">
        <f t="shared" si="78"/>
        <v>0</v>
      </c>
      <c r="AC65" s="122">
        <f t="shared" si="78"/>
        <v>0</v>
      </c>
      <c r="AD65" s="122">
        <f t="shared" si="78"/>
        <v>0</v>
      </c>
      <c r="AE65" s="122">
        <f t="shared" si="78"/>
        <v>0</v>
      </c>
      <c r="AF65" s="122">
        <f t="shared" si="78"/>
        <v>0</v>
      </c>
      <c r="AG65" s="122">
        <f t="shared" si="78"/>
        <v>0</v>
      </c>
      <c r="AH65" s="122">
        <f t="shared" si="78"/>
        <v>0</v>
      </c>
      <c r="AI65" s="122">
        <f t="shared" si="78"/>
        <v>0</v>
      </c>
      <c r="AJ65" s="122">
        <f t="shared" si="78"/>
        <v>0</v>
      </c>
      <c r="AK65" s="122">
        <f t="shared" si="78"/>
        <v>0</v>
      </c>
      <c r="AL65" s="122">
        <f t="shared" si="78"/>
        <v>0</v>
      </c>
      <c r="AM65" s="122">
        <f t="shared" si="78"/>
        <v>0</v>
      </c>
      <c r="AN65" s="122">
        <f t="shared" si="78"/>
        <v>0</v>
      </c>
      <c r="AO65" s="122">
        <f t="shared" si="78"/>
        <v>0</v>
      </c>
      <c r="AP65" s="122">
        <f t="shared" si="78"/>
        <v>0</v>
      </c>
      <c r="AQ65" s="122">
        <f t="shared" si="78"/>
        <v>0</v>
      </c>
      <c r="AR65" s="122">
        <f t="shared" si="78"/>
        <v>0</v>
      </c>
      <c r="AS65" s="122">
        <f t="shared" si="78"/>
        <v>0</v>
      </c>
      <c r="AT65" s="122">
        <f t="shared" si="78"/>
        <v>0</v>
      </c>
      <c r="AU65" s="122">
        <f t="shared" si="78"/>
        <v>0</v>
      </c>
      <c r="AV65" s="122">
        <f t="shared" si="78"/>
        <v>0</v>
      </c>
      <c r="AW65" s="122">
        <f t="shared" si="78"/>
        <v>0</v>
      </c>
      <c r="AX65" s="122">
        <f t="shared" si="78"/>
        <v>0</v>
      </c>
      <c r="AY65" s="122">
        <f t="shared" si="78"/>
        <v>0</v>
      </c>
      <c r="AZ65" s="122">
        <f t="shared" si="78"/>
        <v>0</v>
      </c>
      <c r="BA65" s="122">
        <f t="shared" si="78"/>
        <v>0</v>
      </c>
      <c r="BB65" s="122">
        <f t="shared" si="78"/>
        <v>0</v>
      </c>
      <c r="BC65" s="122">
        <f t="shared" si="78"/>
        <v>0</v>
      </c>
      <c r="BD65" s="122">
        <f t="shared" si="78"/>
        <v>0</v>
      </c>
      <c r="BE65" s="122">
        <f t="shared" si="78"/>
        <v>0</v>
      </c>
      <c r="BF65" s="122">
        <f t="shared" si="78"/>
        <v>0</v>
      </c>
      <c r="BG65" s="122">
        <f t="shared" si="78"/>
        <v>0</v>
      </c>
      <c r="BH65" s="122">
        <f t="shared" si="78"/>
        <v>0</v>
      </c>
      <c r="BI65" s="122">
        <f t="shared" si="78"/>
        <v>0</v>
      </c>
      <c r="BJ65" s="122">
        <f t="shared" si="78"/>
        <v>0</v>
      </c>
      <c r="BK65" s="122">
        <f t="shared" si="78"/>
        <v>0</v>
      </c>
      <c r="BL65" s="122">
        <f t="shared" si="78"/>
        <v>0</v>
      </c>
      <c r="BM65" s="122">
        <f t="shared" si="78"/>
        <v>0</v>
      </c>
      <c r="BN65" s="122">
        <f t="shared" si="78"/>
        <v>0</v>
      </c>
      <c r="BO65" s="122">
        <f t="shared" si="78"/>
        <v>0</v>
      </c>
      <c r="BP65" s="122">
        <f t="shared" ref="BP65:CB65" si="79">IF(BP64&gt;$F19+1,0,1)*(IF(BQ65=0,100,0)+IF($G19=1,1,0.5)*$J19*100)</f>
        <v>0</v>
      </c>
      <c r="BQ65" s="122">
        <f t="shared" si="79"/>
        <v>0</v>
      </c>
      <c r="BR65" s="122">
        <f t="shared" si="79"/>
        <v>0</v>
      </c>
      <c r="BS65" s="122">
        <f t="shared" si="79"/>
        <v>0</v>
      </c>
      <c r="BT65" s="122">
        <f t="shared" si="79"/>
        <v>0</v>
      </c>
      <c r="BU65" s="122">
        <f t="shared" si="79"/>
        <v>0</v>
      </c>
      <c r="BV65" s="122">
        <f t="shared" si="79"/>
        <v>0</v>
      </c>
      <c r="BW65" s="122">
        <f t="shared" si="79"/>
        <v>0</v>
      </c>
      <c r="BX65" s="122">
        <f t="shared" si="79"/>
        <v>0</v>
      </c>
      <c r="BY65" s="122">
        <f t="shared" si="79"/>
        <v>0</v>
      </c>
      <c r="BZ65" s="122">
        <f t="shared" si="79"/>
        <v>0</v>
      </c>
      <c r="CA65" s="122">
        <f t="shared" si="79"/>
        <v>0</v>
      </c>
      <c r="CB65" s="123">
        <f t="shared" si="79"/>
        <v>0</v>
      </c>
    </row>
    <row r="66" spans="1:115">
      <c r="A66" s="248" t="s">
        <v>49</v>
      </c>
      <c r="B66" s="89">
        <f>IF(E20=0,F20,E20)</f>
        <v>0</v>
      </c>
      <c r="C66" s="90">
        <f t="shared" ref="C66:BN66" si="80">B66+IF($G20=1,365,182.5)</f>
        <v>182.5</v>
      </c>
      <c r="D66" s="90">
        <f t="shared" si="80"/>
        <v>365</v>
      </c>
      <c r="E66" s="90">
        <f t="shared" si="80"/>
        <v>547.5</v>
      </c>
      <c r="F66" s="90">
        <f t="shared" si="80"/>
        <v>730</v>
      </c>
      <c r="G66" s="90">
        <f t="shared" si="80"/>
        <v>912.5</v>
      </c>
      <c r="H66" s="90">
        <f t="shared" si="80"/>
        <v>1095</v>
      </c>
      <c r="I66" s="90">
        <f t="shared" si="80"/>
        <v>1277.5</v>
      </c>
      <c r="J66" s="90">
        <f t="shared" si="80"/>
        <v>1460</v>
      </c>
      <c r="K66" s="90">
        <f t="shared" si="80"/>
        <v>1642.5</v>
      </c>
      <c r="L66" s="90">
        <f t="shared" si="80"/>
        <v>1825</v>
      </c>
      <c r="M66" s="90">
        <f t="shared" si="80"/>
        <v>2007.5</v>
      </c>
      <c r="N66" s="90">
        <f t="shared" si="80"/>
        <v>2190</v>
      </c>
      <c r="O66" s="90">
        <f t="shared" si="80"/>
        <v>2372.5</v>
      </c>
      <c r="P66" s="90">
        <f t="shared" si="80"/>
        <v>2555</v>
      </c>
      <c r="Q66" s="90">
        <f t="shared" si="80"/>
        <v>2737.5</v>
      </c>
      <c r="R66" s="90">
        <f t="shared" si="80"/>
        <v>2920</v>
      </c>
      <c r="S66" s="90">
        <f t="shared" si="80"/>
        <v>3102.5</v>
      </c>
      <c r="T66" s="90">
        <f t="shared" si="80"/>
        <v>3285</v>
      </c>
      <c r="U66" s="90">
        <f t="shared" si="80"/>
        <v>3467.5</v>
      </c>
      <c r="V66" s="90">
        <f t="shared" si="80"/>
        <v>3650</v>
      </c>
      <c r="W66" s="90">
        <f t="shared" si="80"/>
        <v>3832.5</v>
      </c>
      <c r="X66" s="90">
        <f t="shared" si="80"/>
        <v>4015</v>
      </c>
      <c r="Y66" s="90">
        <f t="shared" si="80"/>
        <v>4197.5</v>
      </c>
      <c r="Z66" s="90">
        <f t="shared" si="80"/>
        <v>4380</v>
      </c>
      <c r="AA66" s="90">
        <f t="shared" si="80"/>
        <v>4562.5</v>
      </c>
      <c r="AB66" s="90">
        <f t="shared" si="80"/>
        <v>4745</v>
      </c>
      <c r="AC66" s="90">
        <f t="shared" si="80"/>
        <v>4927.5</v>
      </c>
      <c r="AD66" s="90">
        <f t="shared" si="80"/>
        <v>5110</v>
      </c>
      <c r="AE66" s="90">
        <f t="shared" si="80"/>
        <v>5292.5</v>
      </c>
      <c r="AF66" s="90">
        <f t="shared" si="80"/>
        <v>5475</v>
      </c>
      <c r="AG66" s="90">
        <f t="shared" si="80"/>
        <v>5657.5</v>
      </c>
      <c r="AH66" s="90">
        <f t="shared" si="80"/>
        <v>5840</v>
      </c>
      <c r="AI66" s="90">
        <f t="shared" si="80"/>
        <v>6022.5</v>
      </c>
      <c r="AJ66" s="90">
        <f t="shared" si="80"/>
        <v>6205</v>
      </c>
      <c r="AK66" s="90">
        <f t="shared" si="80"/>
        <v>6387.5</v>
      </c>
      <c r="AL66" s="90">
        <f t="shared" si="80"/>
        <v>6570</v>
      </c>
      <c r="AM66" s="90">
        <f t="shared" si="80"/>
        <v>6752.5</v>
      </c>
      <c r="AN66" s="90">
        <f t="shared" si="80"/>
        <v>6935</v>
      </c>
      <c r="AO66" s="90">
        <f t="shared" si="80"/>
        <v>7117.5</v>
      </c>
      <c r="AP66" s="90">
        <f t="shared" si="80"/>
        <v>7300</v>
      </c>
      <c r="AQ66" s="90">
        <f t="shared" si="80"/>
        <v>7482.5</v>
      </c>
      <c r="AR66" s="90">
        <f t="shared" si="80"/>
        <v>7665</v>
      </c>
      <c r="AS66" s="90">
        <f t="shared" si="80"/>
        <v>7847.5</v>
      </c>
      <c r="AT66" s="90">
        <f t="shared" si="80"/>
        <v>8030</v>
      </c>
      <c r="AU66" s="90">
        <f t="shared" si="80"/>
        <v>8212.5</v>
      </c>
      <c r="AV66" s="90">
        <f t="shared" si="80"/>
        <v>8395</v>
      </c>
      <c r="AW66" s="90">
        <f t="shared" si="80"/>
        <v>8577.5</v>
      </c>
      <c r="AX66" s="90">
        <f t="shared" si="80"/>
        <v>8760</v>
      </c>
      <c r="AY66" s="90">
        <f t="shared" si="80"/>
        <v>8942.5</v>
      </c>
      <c r="AZ66" s="90">
        <f t="shared" si="80"/>
        <v>9125</v>
      </c>
      <c r="BA66" s="90">
        <f t="shared" si="80"/>
        <v>9307.5</v>
      </c>
      <c r="BB66" s="90">
        <f t="shared" si="80"/>
        <v>9490</v>
      </c>
      <c r="BC66" s="90">
        <f t="shared" si="80"/>
        <v>9672.5</v>
      </c>
      <c r="BD66" s="90">
        <f t="shared" si="80"/>
        <v>9855</v>
      </c>
      <c r="BE66" s="90">
        <f t="shared" si="80"/>
        <v>10037.5</v>
      </c>
      <c r="BF66" s="90">
        <f t="shared" si="80"/>
        <v>10220</v>
      </c>
      <c r="BG66" s="90">
        <f t="shared" si="80"/>
        <v>10402.5</v>
      </c>
      <c r="BH66" s="90">
        <f t="shared" si="80"/>
        <v>10585</v>
      </c>
      <c r="BI66" s="90">
        <f t="shared" si="80"/>
        <v>10767.5</v>
      </c>
      <c r="BJ66" s="90">
        <f t="shared" si="80"/>
        <v>10950</v>
      </c>
      <c r="BK66" s="90">
        <f t="shared" si="80"/>
        <v>11132.5</v>
      </c>
      <c r="BL66" s="90">
        <f t="shared" si="80"/>
        <v>11315</v>
      </c>
      <c r="BM66" s="90">
        <f t="shared" si="80"/>
        <v>11497.5</v>
      </c>
      <c r="BN66" s="90">
        <f t="shared" si="80"/>
        <v>11680</v>
      </c>
      <c r="BO66" s="90">
        <f t="shared" ref="BO66:CB66" si="81">BN66+IF($G20=1,365,182.5)</f>
        <v>11862.5</v>
      </c>
      <c r="BP66" s="90">
        <f t="shared" si="81"/>
        <v>12045</v>
      </c>
      <c r="BQ66" s="90">
        <f t="shared" si="81"/>
        <v>12227.5</v>
      </c>
      <c r="BR66" s="90">
        <f t="shared" si="81"/>
        <v>12410</v>
      </c>
      <c r="BS66" s="90">
        <f t="shared" si="81"/>
        <v>12592.5</v>
      </c>
      <c r="BT66" s="90">
        <f t="shared" si="81"/>
        <v>12775</v>
      </c>
      <c r="BU66" s="90">
        <f t="shared" si="81"/>
        <v>12957.5</v>
      </c>
      <c r="BV66" s="90">
        <f t="shared" si="81"/>
        <v>13140</v>
      </c>
      <c r="BW66" s="90">
        <f t="shared" si="81"/>
        <v>13322.5</v>
      </c>
      <c r="BX66" s="90">
        <f t="shared" si="81"/>
        <v>13505</v>
      </c>
      <c r="BY66" s="90">
        <f t="shared" si="81"/>
        <v>13687.5</v>
      </c>
      <c r="BZ66" s="90">
        <f t="shared" si="81"/>
        <v>13870</v>
      </c>
      <c r="CA66" s="90">
        <f t="shared" si="81"/>
        <v>14052.5</v>
      </c>
      <c r="CB66" s="91">
        <f t="shared" si="81"/>
        <v>14235</v>
      </c>
    </row>
    <row r="67" spans="1:115">
      <c r="A67" s="179" t="s">
        <v>36</v>
      </c>
      <c r="B67" s="113">
        <f>(IF(B66=F20,100,0)+IF(G20=1,1,0.5)*J20*100)*IF(ISBLANK(F20)=TRUE,0,1)</f>
        <v>0</v>
      </c>
      <c r="C67" s="92">
        <f>IF(C66&gt;$F20+1,0,1)*(IF(D67=0,100,0)+IF($G20=1,1,0.5)*$J20*100)</f>
        <v>0</v>
      </c>
      <c r="D67" s="92">
        <f t="shared" ref="D67:BO67" si="82">IF(D66&gt;$F20+1,0,1)*(IF(E67=0,100,0)+IF($G20=1,1,0.5)*$J20*100)</f>
        <v>0</v>
      </c>
      <c r="E67" s="92">
        <f t="shared" si="82"/>
        <v>0</v>
      </c>
      <c r="F67" s="92">
        <f t="shared" si="82"/>
        <v>0</v>
      </c>
      <c r="G67" s="92">
        <f t="shared" si="82"/>
        <v>0</v>
      </c>
      <c r="H67" s="92">
        <f t="shared" si="82"/>
        <v>0</v>
      </c>
      <c r="I67" s="92">
        <f t="shared" si="82"/>
        <v>0</v>
      </c>
      <c r="J67" s="92">
        <f t="shared" si="82"/>
        <v>0</v>
      </c>
      <c r="K67" s="92">
        <f t="shared" si="82"/>
        <v>0</v>
      </c>
      <c r="L67" s="92">
        <f t="shared" si="82"/>
        <v>0</v>
      </c>
      <c r="M67" s="92">
        <f t="shared" si="82"/>
        <v>0</v>
      </c>
      <c r="N67" s="92">
        <f t="shared" si="82"/>
        <v>0</v>
      </c>
      <c r="O67" s="92">
        <f t="shared" si="82"/>
        <v>0</v>
      </c>
      <c r="P67" s="92">
        <f t="shared" si="82"/>
        <v>0</v>
      </c>
      <c r="Q67" s="92">
        <f t="shared" si="82"/>
        <v>0</v>
      </c>
      <c r="R67" s="92">
        <f t="shared" si="82"/>
        <v>0</v>
      </c>
      <c r="S67" s="92">
        <f t="shared" si="82"/>
        <v>0</v>
      </c>
      <c r="T67" s="92">
        <f t="shared" si="82"/>
        <v>0</v>
      </c>
      <c r="U67" s="92">
        <f t="shared" si="82"/>
        <v>0</v>
      </c>
      <c r="V67" s="92">
        <f t="shared" si="82"/>
        <v>0</v>
      </c>
      <c r="W67" s="92">
        <f t="shared" si="82"/>
        <v>0</v>
      </c>
      <c r="X67" s="92">
        <f t="shared" si="82"/>
        <v>0</v>
      </c>
      <c r="Y67" s="92">
        <f t="shared" si="82"/>
        <v>0</v>
      </c>
      <c r="Z67" s="92">
        <f t="shared" si="82"/>
        <v>0</v>
      </c>
      <c r="AA67" s="92">
        <f t="shared" si="82"/>
        <v>0</v>
      </c>
      <c r="AB67" s="92">
        <f t="shared" si="82"/>
        <v>0</v>
      </c>
      <c r="AC67" s="92">
        <f t="shared" si="82"/>
        <v>0</v>
      </c>
      <c r="AD67" s="92">
        <f t="shared" si="82"/>
        <v>0</v>
      </c>
      <c r="AE67" s="92">
        <f t="shared" si="82"/>
        <v>0</v>
      </c>
      <c r="AF67" s="92">
        <f t="shared" si="82"/>
        <v>0</v>
      </c>
      <c r="AG67" s="92">
        <f t="shared" si="82"/>
        <v>0</v>
      </c>
      <c r="AH67" s="92">
        <f t="shared" si="82"/>
        <v>0</v>
      </c>
      <c r="AI67" s="92">
        <f t="shared" si="82"/>
        <v>0</v>
      </c>
      <c r="AJ67" s="92">
        <f t="shared" si="82"/>
        <v>0</v>
      </c>
      <c r="AK67" s="92">
        <f t="shared" si="82"/>
        <v>0</v>
      </c>
      <c r="AL67" s="92">
        <f t="shared" si="82"/>
        <v>0</v>
      </c>
      <c r="AM67" s="92">
        <f t="shared" si="82"/>
        <v>0</v>
      </c>
      <c r="AN67" s="92">
        <f t="shared" si="82"/>
        <v>0</v>
      </c>
      <c r="AO67" s="92">
        <f t="shared" si="82"/>
        <v>0</v>
      </c>
      <c r="AP67" s="92">
        <f t="shared" si="82"/>
        <v>0</v>
      </c>
      <c r="AQ67" s="92">
        <f t="shared" si="82"/>
        <v>0</v>
      </c>
      <c r="AR67" s="92">
        <f t="shared" si="82"/>
        <v>0</v>
      </c>
      <c r="AS67" s="92">
        <f t="shared" si="82"/>
        <v>0</v>
      </c>
      <c r="AT67" s="92">
        <f t="shared" si="82"/>
        <v>0</v>
      </c>
      <c r="AU67" s="92">
        <f t="shared" si="82"/>
        <v>0</v>
      </c>
      <c r="AV67" s="92">
        <f t="shared" si="82"/>
        <v>0</v>
      </c>
      <c r="AW67" s="92">
        <f t="shared" si="82"/>
        <v>0</v>
      </c>
      <c r="AX67" s="92">
        <f t="shared" si="82"/>
        <v>0</v>
      </c>
      <c r="AY67" s="92">
        <f t="shared" si="82"/>
        <v>0</v>
      </c>
      <c r="AZ67" s="92">
        <f t="shared" si="82"/>
        <v>0</v>
      </c>
      <c r="BA67" s="92">
        <f t="shared" si="82"/>
        <v>0</v>
      </c>
      <c r="BB67" s="92">
        <f t="shared" si="82"/>
        <v>0</v>
      </c>
      <c r="BC67" s="92">
        <f t="shared" si="82"/>
        <v>0</v>
      </c>
      <c r="BD67" s="92">
        <f t="shared" si="82"/>
        <v>0</v>
      </c>
      <c r="BE67" s="92">
        <f t="shared" si="82"/>
        <v>0</v>
      </c>
      <c r="BF67" s="92">
        <f t="shared" si="82"/>
        <v>0</v>
      </c>
      <c r="BG67" s="92">
        <f t="shared" si="82"/>
        <v>0</v>
      </c>
      <c r="BH67" s="92">
        <f t="shared" si="82"/>
        <v>0</v>
      </c>
      <c r="BI67" s="92">
        <f t="shared" si="82"/>
        <v>0</v>
      </c>
      <c r="BJ67" s="92">
        <f t="shared" si="82"/>
        <v>0</v>
      </c>
      <c r="BK67" s="92">
        <f t="shared" si="82"/>
        <v>0</v>
      </c>
      <c r="BL67" s="92">
        <f t="shared" si="82"/>
        <v>0</v>
      </c>
      <c r="BM67" s="92">
        <f t="shared" si="82"/>
        <v>0</v>
      </c>
      <c r="BN67" s="92">
        <f t="shared" si="82"/>
        <v>0</v>
      </c>
      <c r="BO67" s="92">
        <f t="shared" si="82"/>
        <v>0</v>
      </c>
      <c r="BP67" s="92">
        <f t="shared" ref="BP67:CB67" si="83">IF(BP66&gt;$F20+1,0,1)*(IF(BQ67=0,100,0)+IF($G20=1,1,0.5)*$J20*100)</f>
        <v>0</v>
      </c>
      <c r="BQ67" s="92">
        <f t="shared" si="83"/>
        <v>0</v>
      </c>
      <c r="BR67" s="92">
        <f t="shared" si="83"/>
        <v>0</v>
      </c>
      <c r="BS67" s="92">
        <f t="shared" si="83"/>
        <v>0</v>
      </c>
      <c r="BT67" s="92">
        <f t="shared" si="83"/>
        <v>0</v>
      </c>
      <c r="BU67" s="92">
        <f t="shared" si="83"/>
        <v>0</v>
      </c>
      <c r="BV67" s="92">
        <f t="shared" si="83"/>
        <v>0</v>
      </c>
      <c r="BW67" s="92">
        <f t="shared" si="83"/>
        <v>0</v>
      </c>
      <c r="BX67" s="92">
        <f t="shared" si="83"/>
        <v>0</v>
      </c>
      <c r="BY67" s="92">
        <f t="shared" si="83"/>
        <v>0</v>
      </c>
      <c r="BZ67" s="92">
        <f t="shared" si="83"/>
        <v>0</v>
      </c>
      <c r="CA67" s="92">
        <f t="shared" si="83"/>
        <v>0</v>
      </c>
      <c r="CB67" s="93">
        <f t="shared" si="83"/>
        <v>0</v>
      </c>
    </row>
    <row r="68" spans="1:115">
      <c r="A68" s="247" t="s">
        <v>49</v>
      </c>
      <c r="B68" s="124">
        <f>IF(E21=0,F21,E21)</f>
        <v>0</v>
      </c>
      <c r="C68" s="125">
        <f t="shared" ref="C68:BN68" si="84">B68+IF($G21=1,365,182.5)</f>
        <v>182.5</v>
      </c>
      <c r="D68" s="125">
        <f t="shared" si="84"/>
        <v>365</v>
      </c>
      <c r="E68" s="125">
        <f t="shared" si="84"/>
        <v>547.5</v>
      </c>
      <c r="F68" s="125">
        <f t="shared" si="84"/>
        <v>730</v>
      </c>
      <c r="G68" s="125">
        <f t="shared" si="84"/>
        <v>912.5</v>
      </c>
      <c r="H68" s="125">
        <f t="shared" si="84"/>
        <v>1095</v>
      </c>
      <c r="I68" s="125">
        <f t="shared" si="84"/>
        <v>1277.5</v>
      </c>
      <c r="J68" s="125">
        <f t="shared" si="84"/>
        <v>1460</v>
      </c>
      <c r="K68" s="125">
        <f t="shared" si="84"/>
        <v>1642.5</v>
      </c>
      <c r="L68" s="125">
        <f t="shared" si="84"/>
        <v>1825</v>
      </c>
      <c r="M68" s="125">
        <f t="shared" si="84"/>
        <v>2007.5</v>
      </c>
      <c r="N68" s="125">
        <f t="shared" si="84"/>
        <v>2190</v>
      </c>
      <c r="O68" s="125">
        <f t="shared" si="84"/>
        <v>2372.5</v>
      </c>
      <c r="P68" s="125">
        <f t="shared" si="84"/>
        <v>2555</v>
      </c>
      <c r="Q68" s="125">
        <f t="shared" si="84"/>
        <v>2737.5</v>
      </c>
      <c r="R68" s="125">
        <f t="shared" si="84"/>
        <v>2920</v>
      </c>
      <c r="S68" s="125">
        <f t="shared" si="84"/>
        <v>3102.5</v>
      </c>
      <c r="T68" s="125">
        <f t="shared" si="84"/>
        <v>3285</v>
      </c>
      <c r="U68" s="125">
        <f t="shared" si="84"/>
        <v>3467.5</v>
      </c>
      <c r="V68" s="125">
        <f t="shared" si="84"/>
        <v>3650</v>
      </c>
      <c r="W68" s="125">
        <f t="shared" si="84"/>
        <v>3832.5</v>
      </c>
      <c r="X68" s="125">
        <f t="shared" si="84"/>
        <v>4015</v>
      </c>
      <c r="Y68" s="125">
        <f t="shared" si="84"/>
        <v>4197.5</v>
      </c>
      <c r="Z68" s="125">
        <f t="shared" si="84"/>
        <v>4380</v>
      </c>
      <c r="AA68" s="125">
        <f t="shared" si="84"/>
        <v>4562.5</v>
      </c>
      <c r="AB68" s="125">
        <f t="shared" si="84"/>
        <v>4745</v>
      </c>
      <c r="AC68" s="125">
        <f t="shared" si="84"/>
        <v>4927.5</v>
      </c>
      <c r="AD68" s="125">
        <f t="shared" si="84"/>
        <v>5110</v>
      </c>
      <c r="AE68" s="125">
        <f t="shared" si="84"/>
        <v>5292.5</v>
      </c>
      <c r="AF68" s="125">
        <f t="shared" si="84"/>
        <v>5475</v>
      </c>
      <c r="AG68" s="125">
        <f t="shared" si="84"/>
        <v>5657.5</v>
      </c>
      <c r="AH68" s="125">
        <f t="shared" si="84"/>
        <v>5840</v>
      </c>
      <c r="AI68" s="125">
        <f t="shared" si="84"/>
        <v>6022.5</v>
      </c>
      <c r="AJ68" s="125">
        <f t="shared" si="84"/>
        <v>6205</v>
      </c>
      <c r="AK68" s="125">
        <f t="shared" si="84"/>
        <v>6387.5</v>
      </c>
      <c r="AL68" s="125">
        <f t="shared" si="84"/>
        <v>6570</v>
      </c>
      <c r="AM68" s="125">
        <f t="shared" si="84"/>
        <v>6752.5</v>
      </c>
      <c r="AN68" s="125">
        <f t="shared" si="84"/>
        <v>6935</v>
      </c>
      <c r="AO68" s="125">
        <f t="shared" si="84"/>
        <v>7117.5</v>
      </c>
      <c r="AP68" s="125">
        <f t="shared" si="84"/>
        <v>7300</v>
      </c>
      <c r="AQ68" s="125">
        <f t="shared" si="84"/>
        <v>7482.5</v>
      </c>
      <c r="AR68" s="125">
        <f t="shared" si="84"/>
        <v>7665</v>
      </c>
      <c r="AS68" s="125">
        <f t="shared" si="84"/>
        <v>7847.5</v>
      </c>
      <c r="AT68" s="125">
        <f t="shared" si="84"/>
        <v>8030</v>
      </c>
      <c r="AU68" s="125">
        <f t="shared" si="84"/>
        <v>8212.5</v>
      </c>
      <c r="AV68" s="125">
        <f t="shared" si="84"/>
        <v>8395</v>
      </c>
      <c r="AW68" s="125">
        <f t="shared" si="84"/>
        <v>8577.5</v>
      </c>
      <c r="AX68" s="125">
        <f t="shared" si="84"/>
        <v>8760</v>
      </c>
      <c r="AY68" s="125">
        <f t="shared" si="84"/>
        <v>8942.5</v>
      </c>
      <c r="AZ68" s="125">
        <f t="shared" si="84"/>
        <v>9125</v>
      </c>
      <c r="BA68" s="125">
        <f t="shared" si="84"/>
        <v>9307.5</v>
      </c>
      <c r="BB68" s="125">
        <f t="shared" si="84"/>
        <v>9490</v>
      </c>
      <c r="BC68" s="125">
        <f t="shared" si="84"/>
        <v>9672.5</v>
      </c>
      <c r="BD68" s="125">
        <f t="shared" si="84"/>
        <v>9855</v>
      </c>
      <c r="BE68" s="125">
        <f t="shared" si="84"/>
        <v>10037.5</v>
      </c>
      <c r="BF68" s="125">
        <f t="shared" si="84"/>
        <v>10220</v>
      </c>
      <c r="BG68" s="125">
        <f t="shared" si="84"/>
        <v>10402.5</v>
      </c>
      <c r="BH68" s="125">
        <f t="shared" si="84"/>
        <v>10585</v>
      </c>
      <c r="BI68" s="125">
        <f t="shared" si="84"/>
        <v>10767.5</v>
      </c>
      <c r="BJ68" s="125">
        <f t="shared" si="84"/>
        <v>10950</v>
      </c>
      <c r="BK68" s="125">
        <f t="shared" si="84"/>
        <v>11132.5</v>
      </c>
      <c r="BL68" s="125">
        <f t="shared" si="84"/>
        <v>11315</v>
      </c>
      <c r="BM68" s="125">
        <f t="shared" si="84"/>
        <v>11497.5</v>
      </c>
      <c r="BN68" s="125">
        <f t="shared" si="84"/>
        <v>11680</v>
      </c>
      <c r="BO68" s="125">
        <f t="shared" ref="BO68:CB68" si="85">BN68+IF($G21=1,365,182.5)</f>
        <v>11862.5</v>
      </c>
      <c r="BP68" s="125">
        <f t="shared" si="85"/>
        <v>12045</v>
      </c>
      <c r="BQ68" s="125">
        <f t="shared" si="85"/>
        <v>12227.5</v>
      </c>
      <c r="BR68" s="125">
        <f t="shared" si="85"/>
        <v>12410</v>
      </c>
      <c r="BS68" s="125">
        <f t="shared" si="85"/>
        <v>12592.5</v>
      </c>
      <c r="BT68" s="125">
        <f t="shared" si="85"/>
        <v>12775</v>
      </c>
      <c r="BU68" s="125">
        <f t="shared" si="85"/>
        <v>12957.5</v>
      </c>
      <c r="BV68" s="125">
        <f t="shared" si="85"/>
        <v>13140</v>
      </c>
      <c r="BW68" s="125">
        <f t="shared" si="85"/>
        <v>13322.5</v>
      </c>
      <c r="BX68" s="125">
        <f t="shared" si="85"/>
        <v>13505</v>
      </c>
      <c r="BY68" s="125">
        <f t="shared" si="85"/>
        <v>13687.5</v>
      </c>
      <c r="BZ68" s="125">
        <f t="shared" si="85"/>
        <v>13870</v>
      </c>
      <c r="CA68" s="125">
        <f t="shared" si="85"/>
        <v>14052.5</v>
      </c>
      <c r="CB68" s="126">
        <f t="shared" si="85"/>
        <v>14235</v>
      </c>
    </row>
    <row r="69" spans="1:115">
      <c r="A69" s="180" t="s">
        <v>37</v>
      </c>
      <c r="B69" s="127">
        <f>(IF(B68=F21,100,0)+IF(G21=1,1,0.5)*J21*100)*IF(ISBLANK(F21)=TRUE,0,1)</f>
        <v>0</v>
      </c>
      <c r="C69" s="128">
        <f>IF(C68&gt;$F21+1,0,1)*(IF(D69=0,100,0)+IF($G21=1,1,0.5)*$J21*100)</f>
        <v>0</v>
      </c>
      <c r="D69" s="128">
        <f t="shared" ref="D69:BO69" si="86">IF(D68&gt;$F21+1,0,1)*(IF(E69=0,100,0)+IF($G21=1,1,0.5)*$J21*100)</f>
        <v>0</v>
      </c>
      <c r="E69" s="128">
        <f t="shared" si="86"/>
        <v>0</v>
      </c>
      <c r="F69" s="128">
        <f t="shared" si="86"/>
        <v>0</v>
      </c>
      <c r="G69" s="128">
        <f t="shared" si="86"/>
        <v>0</v>
      </c>
      <c r="H69" s="128">
        <f t="shared" si="86"/>
        <v>0</v>
      </c>
      <c r="I69" s="128">
        <f t="shared" si="86"/>
        <v>0</v>
      </c>
      <c r="J69" s="128">
        <f t="shared" si="86"/>
        <v>0</v>
      </c>
      <c r="K69" s="128">
        <f t="shared" si="86"/>
        <v>0</v>
      </c>
      <c r="L69" s="128">
        <f t="shared" si="86"/>
        <v>0</v>
      </c>
      <c r="M69" s="128">
        <f t="shared" si="86"/>
        <v>0</v>
      </c>
      <c r="N69" s="128">
        <f t="shared" si="86"/>
        <v>0</v>
      </c>
      <c r="O69" s="128">
        <f t="shared" si="86"/>
        <v>0</v>
      </c>
      <c r="P69" s="128">
        <f t="shared" si="86"/>
        <v>0</v>
      </c>
      <c r="Q69" s="128">
        <f t="shared" si="86"/>
        <v>0</v>
      </c>
      <c r="R69" s="128">
        <f t="shared" si="86"/>
        <v>0</v>
      </c>
      <c r="S69" s="128">
        <f t="shared" si="86"/>
        <v>0</v>
      </c>
      <c r="T69" s="128">
        <f t="shared" si="86"/>
        <v>0</v>
      </c>
      <c r="U69" s="128">
        <f t="shared" si="86"/>
        <v>0</v>
      </c>
      <c r="V69" s="128">
        <f t="shared" si="86"/>
        <v>0</v>
      </c>
      <c r="W69" s="128">
        <f t="shared" si="86"/>
        <v>0</v>
      </c>
      <c r="X69" s="128">
        <f t="shared" si="86"/>
        <v>0</v>
      </c>
      <c r="Y69" s="128">
        <f t="shared" si="86"/>
        <v>0</v>
      </c>
      <c r="Z69" s="128">
        <f t="shared" si="86"/>
        <v>0</v>
      </c>
      <c r="AA69" s="128">
        <f t="shared" si="86"/>
        <v>0</v>
      </c>
      <c r="AB69" s="128">
        <f t="shared" si="86"/>
        <v>0</v>
      </c>
      <c r="AC69" s="128">
        <f t="shared" si="86"/>
        <v>0</v>
      </c>
      <c r="AD69" s="128">
        <f t="shared" si="86"/>
        <v>0</v>
      </c>
      <c r="AE69" s="128">
        <f t="shared" si="86"/>
        <v>0</v>
      </c>
      <c r="AF69" s="128">
        <f t="shared" si="86"/>
        <v>0</v>
      </c>
      <c r="AG69" s="128">
        <f t="shared" si="86"/>
        <v>0</v>
      </c>
      <c r="AH69" s="128">
        <f t="shared" si="86"/>
        <v>0</v>
      </c>
      <c r="AI69" s="128">
        <f t="shared" si="86"/>
        <v>0</v>
      </c>
      <c r="AJ69" s="128">
        <f t="shared" si="86"/>
        <v>0</v>
      </c>
      <c r="AK69" s="128">
        <f t="shared" si="86"/>
        <v>0</v>
      </c>
      <c r="AL69" s="128">
        <f t="shared" si="86"/>
        <v>0</v>
      </c>
      <c r="AM69" s="128">
        <f t="shared" si="86"/>
        <v>0</v>
      </c>
      <c r="AN69" s="128">
        <f t="shared" si="86"/>
        <v>0</v>
      </c>
      <c r="AO69" s="128">
        <f t="shared" si="86"/>
        <v>0</v>
      </c>
      <c r="AP69" s="128">
        <f t="shared" si="86"/>
        <v>0</v>
      </c>
      <c r="AQ69" s="128">
        <f t="shared" si="86"/>
        <v>0</v>
      </c>
      <c r="AR69" s="128">
        <f t="shared" si="86"/>
        <v>0</v>
      </c>
      <c r="AS69" s="128">
        <f t="shared" si="86"/>
        <v>0</v>
      </c>
      <c r="AT69" s="128">
        <f t="shared" si="86"/>
        <v>0</v>
      </c>
      <c r="AU69" s="128">
        <f t="shared" si="86"/>
        <v>0</v>
      </c>
      <c r="AV69" s="128">
        <f t="shared" si="86"/>
        <v>0</v>
      </c>
      <c r="AW69" s="128">
        <f t="shared" si="86"/>
        <v>0</v>
      </c>
      <c r="AX69" s="128">
        <f t="shared" si="86"/>
        <v>0</v>
      </c>
      <c r="AY69" s="128">
        <f t="shared" si="86"/>
        <v>0</v>
      </c>
      <c r="AZ69" s="128">
        <f t="shared" si="86"/>
        <v>0</v>
      </c>
      <c r="BA69" s="128">
        <f t="shared" si="86"/>
        <v>0</v>
      </c>
      <c r="BB69" s="128">
        <f t="shared" si="86"/>
        <v>0</v>
      </c>
      <c r="BC69" s="128">
        <f t="shared" si="86"/>
        <v>0</v>
      </c>
      <c r="BD69" s="128">
        <f t="shared" si="86"/>
        <v>0</v>
      </c>
      <c r="BE69" s="128">
        <f t="shared" si="86"/>
        <v>0</v>
      </c>
      <c r="BF69" s="128">
        <f t="shared" si="86"/>
        <v>0</v>
      </c>
      <c r="BG69" s="128">
        <f t="shared" si="86"/>
        <v>0</v>
      </c>
      <c r="BH69" s="128">
        <f t="shared" si="86"/>
        <v>0</v>
      </c>
      <c r="BI69" s="128">
        <f t="shared" si="86"/>
        <v>0</v>
      </c>
      <c r="BJ69" s="128">
        <f t="shared" si="86"/>
        <v>0</v>
      </c>
      <c r="BK69" s="128">
        <f t="shared" si="86"/>
        <v>0</v>
      </c>
      <c r="BL69" s="128">
        <f t="shared" si="86"/>
        <v>0</v>
      </c>
      <c r="BM69" s="128">
        <f t="shared" si="86"/>
        <v>0</v>
      </c>
      <c r="BN69" s="128">
        <f t="shared" si="86"/>
        <v>0</v>
      </c>
      <c r="BO69" s="128">
        <f t="shared" si="86"/>
        <v>0</v>
      </c>
      <c r="BP69" s="128">
        <f t="shared" ref="BP69:CB69" si="87">IF(BP68&gt;$F21+1,0,1)*(IF(BQ69=0,100,0)+IF($G21=1,1,0.5)*$J21*100)</f>
        <v>0</v>
      </c>
      <c r="BQ69" s="128">
        <f t="shared" si="87"/>
        <v>0</v>
      </c>
      <c r="BR69" s="128">
        <f t="shared" si="87"/>
        <v>0</v>
      </c>
      <c r="BS69" s="128">
        <f t="shared" si="87"/>
        <v>0</v>
      </c>
      <c r="BT69" s="128">
        <f t="shared" si="87"/>
        <v>0</v>
      </c>
      <c r="BU69" s="128">
        <f t="shared" si="87"/>
        <v>0</v>
      </c>
      <c r="BV69" s="128">
        <f t="shared" si="87"/>
        <v>0</v>
      </c>
      <c r="BW69" s="128">
        <f t="shared" si="87"/>
        <v>0</v>
      </c>
      <c r="BX69" s="128">
        <f t="shared" si="87"/>
        <v>0</v>
      </c>
      <c r="BY69" s="128">
        <f t="shared" si="87"/>
        <v>0</v>
      </c>
      <c r="BZ69" s="128">
        <f t="shared" si="87"/>
        <v>0</v>
      </c>
      <c r="CA69" s="128">
        <f t="shared" si="87"/>
        <v>0</v>
      </c>
      <c r="CB69" s="129">
        <f t="shared" si="87"/>
        <v>0</v>
      </c>
    </row>
    <row r="70" spans="1:115">
      <c r="A70" s="246" t="s">
        <v>49</v>
      </c>
      <c r="B70" s="94">
        <f>IF(E22=0,F22,E22)</f>
        <v>0</v>
      </c>
      <c r="C70" s="95">
        <f t="shared" ref="C70:BN70" si="88">B70+IF($G22=1,365,182.5)</f>
        <v>182.5</v>
      </c>
      <c r="D70" s="95">
        <f t="shared" si="88"/>
        <v>365</v>
      </c>
      <c r="E70" s="95">
        <f t="shared" si="88"/>
        <v>547.5</v>
      </c>
      <c r="F70" s="95">
        <f t="shared" si="88"/>
        <v>730</v>
      </c>
      <c r="G70" s="95">
        <f t="shared" si="88"/>
        <v>912.5</v>
      </c>
      <c r="H70" s="95">
        <f t="shared" si="88"/>
        <v>1095</v>
      </c>
      <c r="I70" s="95">
        <f t="shared" si="88"/>
        <v>1277.5</v>
      </c>
      <c r="J70" s="95">
        <f t="shared" si="88"/>
        <v>1460</v>
      </c>
      <c r="K70" s="95">
        <f t="shared" si="88"/>
        <v>1642.5</v>
      </c>
      <c r="L70" s="95">
        <f t="shared" si="88"/>
        <v>1825</v>
      </c>
      <c r="M70" s="95">
        <f t="shared" si="88"/>
        <v>2007.5</v>
      </c>
      <c r="N70" s="95">
        <f t="shared" si="88"/>
        <v>2190</v>
      </c>
      <c r="O70" s="95">
        <f t="shared" si="88"/>
        <v>2372.5</v>
      </c>
      <c r="P70" s="95">
        <f t="shared" si="88"/>
        <v>2555</v>
      </c>
      <c r="Q70" s="95">
        <f t="shared" si="88"/>
        <v>2737.5</v>
      </c>
      <c r="R70" s="95">
        <f t="shared" si="88"/>
        <v>2920</v>
      </c>
      <c r="S70" s="95">
        <f t="shared" si="88"/>
        <v>3102.5</v>
      </c>
      <c r="T70" s="95">
        <f t="shared" si="88"/>
        <v>3285</v>
      </c>
      <c r="U70" s="95">
        <f t="shared" si="88"/>
        <v>3467.5</v>
      </c>
      <c r="V70" s="95">
        <f t="shared" si="88"/>
        <v>3650</v>
      </c>
      <c r="W70" s="95">
        <f t="shared" si="88"/>
        <v>3832.5</v>
      </c>
      <c r="X70" s="95">
        <f t="shared" si="88"/>
        <v>4015</v>
      </c>
      <c r="Y70" s="95">
        <f t="shared" si="88"/>
        <v>4197.5</v>
      </c>
      <c r="Z70" s="95">
        <f t="shared" si="88"/>
        <v>4380</v>
      </c>
      <c r="AA70" s="95">
        <f t="shared" si="88"/>
        <v>4562.5</v>
      </c>
      <c r="AB70" s="95">
        <f t="shared" si="88"/>
        <v>4745</v>
      </c>
      <c r="AC70" s="95">
        <f t="shared" si="88"/>
        <v>4927.5</v>
      </c>
      <c r="AD70" s="95">
        <f t="shared" si="88"/>
        <v>5110</v>
      </c>
      <c r="AE70" s="95">
        <f t="shared" si="88"/>
        <v>5292.5</v>
      </c>
      <c r="AF70" s="95">
        <f t="shared" si="88"/>
        <v>5475</v>
      </c>
      <c r="AG70" s="95">
        <f t="shared" si="88"/>
        <v>5657.5</v>
      </c>
      <c r="AH70" s="95">
        <f t="shared" si="88"/>
        <v>5840</v>
      </c>
      <c r="AI70" s="95">
        <f t="shared" si="88"/>
        <v>6022.5</v>
      </c>
      <c r="AJ70" s="95">
        <f t="shared" si="88"/>
        <v>6205</v>
      </c>
      <c r="AK70" s="95">
        <f t="shared" si="88"/>
        <v>6387.5</v>
      </c>
      <c r="AL70" s="95">
        <f t="shared" si="88"/>
        <v>6570</v>
      </c>
      <c r="AM70" s="95">
        <f t="shared" si="88"/>
        <v>6752.5</v>
      </c>
      <c r="AN70" s="95">
        <f t="shared" si="88"/>
        <v>6935</v>
      </c>
      <c r="AO70" s="95">
        <f t="shared" si="88"/>
        <v>7117.5</v>
      </c>
      <c r="AP70" s="95">
        <f t="shared" si="88"/>
        <v>7300</v>
      </c>
      <c r="AQ70" s="95">
        <f t="shared" si="88"/>
        <v>7482.5</v>
      </c>
      <c r="AR70" s="95">
        <f t="shared" si="88"/>
        <v>7665</v>
      </c>
      <c r="AS70" s="95">
        <f t="shared" si="88"/>
        <v>7847.5</v>
      </c>
      <c r="AT70" s="95">
        <f t="shared" si="88"/>
        <v>8030</v>
      </c>
      <c r="AU70" s="95">
        <f t="shared" si="88"/>
        <v>8212.5</v>
      </c>
      <c r="AV70" s="95">
        <f t="shared" si="88"/>
        <v>8395</v>
      </c>
      <c r="AW70" s="95">
        <f t="shared" si="88"/>
        <v>8577.5</v>
      </c>
      <c r="AX70" s="95">
        <f t="shared" si="88"/>
        <v>8760</v>
      </c>
      <c r="AY70" s="95">
        <f t="shared" si="88"/>
        <v>8942.5</v>
      </c>
      <c r="AZ70" s="95">
        <f t="shared" si="88"/>
        <v>9125</v>
      </c>
      <c r="BA70" s="95">
        <f t="shared" si="88"/>
        <v>9307.5</v>
      </c>
      <c r="BB70" s="95">
        <f t="shared" si="88"/>
        <v>9490</v>
      </c>
      <c r="BC70" s="95">
        <f t="shared" si="88"/>
        <v>9672.5</v>
      </c>
      <c r="BD70" s="95">
        <f t="shared" si="88"/>
        <v>9855</v>
      </c>
      <c r="BE70" s="95">
        <f t="shared" si="88"/>
        <v>10037.5</v>
      </c>
      <c r="BF70" s="95">
        <f t="shared" si="88"/>
        <v>10220</v>
      </c>
      <c r="BG70" s="95">
        <f t="shared" si="88"/>
        <v>10402.5</v>
      </c>
      <c r="BH70" s="95">
        <f t="shared" si="88"/>
        <v>10585</v>
      </c>
      <c r="BI70" s="95">
        <f t="shared" si="88"/>
        <v>10767.5</v>
      </c>
      <c r="BJ70" s="95">
        <f t="shared" si="88"/>
        <v>10950</v>
      </c>
      <c r="BK70" s="95">
        <f t="shared" si="88"/>
        <v>11132.5</v>
      </c>
      <c r="BL70" s="95">
        <f t="shared" si="88"/>
        <v>11315</v>
      </c>
      <c r="BM70" s="95">
        <f t="shared" si="88"/>
        <v>11497.5</v>
      </c>
      <c r="BN70" s="95">
        <f t="shared" si="88"/>
        <v>11680</v>
      </c>
      <c r="BO70" s="95">
        <f t="shared" ref="BO70:CB70" si="89">BN70+IF($G22=1,365,182.5)</f>
        <v>11862.5</v>
      </c>
      <c r="BP70" s="95">
        <f t="shared" si="89"/>
        <v>12045</v>
      </c>
      <c r="BQ70" s="95">
        <f t="shared" si="89"/>
        <v>12227.5</v>
      </c>
      <c r="BR70" s="95">
        <f t="shared" si="89"/>
        <v>12410</v>
      </c>
      <c r="BS70" s="95">
        <f t="shared" si="89"/>
        <v>12592.5</v>
      </c>
      <c r="BT70" s="95">
        <f t="shared" si="89"/>
        <v>12775</v>
      </c>
      <c r="BU70" s="95">
        <f t="shared" si="89"/>
        <v>12957.5</v>
      </c>
      <c r="BV70" s="95">
        <f t="shared" si="89"/>
        <v>13140</v>
      </c>
      <c r="BW70" s="95">
        <f t="shared" si="89"/>
        <v>13322.5</v>
      </c>
      <c r="BX70" s="95">
        <f t="shared" si="89"/>
        <v>13505</v>
      </c>
      <c r="BY70" s="95">
        <f t="shared" si="89"/>
        <v>13687.5</v>
      </c>
      <c r="BZ70" s="95">
        <f t="shared" si="89"/>
        <v>13870</v>
      </c>
      <c r="CA70" s="95">
        <f t="shared" si="89"/>
        <v>14052.5</v>
      </c>
      <c r="CB70" s="96">
        <f t="shared" si="89"/>
        <v>14235</v>
      </c>
    </row>
    <row r="71" spans="1:115">
      <c r="A71" s="181" t="s">
        <v>38</v>
      </c>
      <c r="B71" s="116">
        <f>(IF(B70=F22,100,0)+IF(G22=1,1,0.5)*J22*100)*IF(ISBLANK(F22)=TRUE,0,1)</f>
        <v>0</v>
      </c>
      <c r="C71" s="97">
        <f>IF(C70&gt;$F22+1,0,1)*(  IF(D71=0,100,0)+IF($G22=1,1,0.5)*$J22*100)</f>
        <v>0</v>
      </c>
      <c r="D71" s="97">
        <f t="shared" ref="D71:BO71" si="90">IF(D70&gt;$F22+1,0,1)*(  IF(E71=0,100,0)+IF($G22=1,1,0.5)*$J22*100)</f>
        <v>0</v>
      </c>
      <c r="E71" s="97">
        <f t="shared" si="90"/>
        <v>0</v>
      </c>
      <c r="F71" s="97">
        <f t="shared" si="90"/>
        <v>0</v>
      </c>
      <c r="G71" s="97">
        <f t="shared" si="90"/>
        <v>0</v>
      </c>
      <c r="H71" s="97">
        <f t="shared" si="90"/>
        <v>0</v>
      </c>
      <c r="I71" s="97">
        <f t="shared" si="90"/>
        <v>0</v>
      </c>
      <c r="J71" s="97">
        <f t="shared" si="90"/>
        <v>0</v>
      </c>
      <c r="K71" s="97">
        <f t="shared" si="90"/>
        <v>0</v>
      </c>
      <c r="L71" s="97">
        <f t="shared" si="90"/>
        <v>0</v>
      </c>
      <c r="M71" s="97">
        <f t="shared" si="90"/>
        <v>0</v>
      </c>
      <c r="N71" s="97">
        <f t="shared" si="90"/>
        <v>0</v>
      </c>
      <c r="O71" s="97">
        <f t="shared" si="90"/>
        <v>0</v>
      </c>
      <c r="P71" s="97">
        <f t="shared" si="90"/>
        <v>0</v>
      </c>
      <c r="Q71" s="97">
        <f t="shared" si="90"/>
        <v>0</v>
      </c>
      <c r="R71" s="97">
        <f t="shared" si="90"/>
        <v>0</v>
      </c>
      <c r="S71" s="97">
        <f t="shared" si="90"/>
        <v>0</v>
      </c>
      <c r="T71" s="97">
        <f t="shared" si="90"/>
        <v>0</v>
      </c>
      <c r="U71" s="97">
        <f t="shared" si="90"/>
        <v>0</v>
      </c>
      <c r="V71" s="97">
        <f t="shared" si="90"/>
        <v>0</v>
      </c>
      <c r="W71" s="97">
        <f t="shared" si="90"/>
        <v>0</v>
      </c>
      <c r="X71" s="97">
        <f t="shared" si="90"/>
        <v>0</v>
      </c>
      <c r="Y71" s="97">
        <f t="shared" si="90"/>
        <v>0</v>
      </c>
      <c r="Z71" s="97">
        <f t="shared" si="90"/>
        <v>0</v>
      </c>
      <c r="AA71" s="97">
        <f t="shared" si="90"/>
        <v>0</v>
      </c>
      <c r="AB71" s="97">
        <f t="shared" si="90"/>
        <v>0</v>
      </c>
      <c r="AC71" s="97">
        <f t="shared" si="90"/>
        <v>0</v>
      </c>
      <c r="AD71" s="97">
        <f t="shared" si="90"/>
        <v>0</v>
      </c>
      <c r="AE71" s="97">
        <f t="shared" si="90"/>
        <v>0</v>
      </c>
      <c r="AF71" s="97">
        <f t="shared" si="90"/>
        <v>0</v>
      </c>
      <c r="AG71" s="97">
        <f t="shared" si="90"/>
        <v>0</v>
      </c>
      <c r="AH71" s="97">
        <f t="shared" si="90"/>
        <v>0</v>
      </c>
      <c r="AI71" s="97">
        <f t="shared" si="90"/>
        <v>0</v>
      </c>
      <c r="AJ71" s="97">
        <f t="shared" si="90"/>
        <v>0</v>
      </c>
      <c r="AK71" s="97">
        <f t="shared" si="90"/>
        <v>0</v>
      </c>
      <c r="AL71" s="97">
        <f t="shared" si="90"/>
        <v>0</v>
      </c>
      <c r="AM71" s="97">
        <f t="shared" si="90"/>
        <v>0</v>
      </c>
      <c r="AN71" s="97">
        <f t="shared" si="90"/>
        <v>0</v>
      </c>
      <c r="AO71" s="97">
        <f t="shared" si="90"/>
        <v>0</v>
      </c>
      <c r="AP71" s="97">
        <f t="shared" si="90"/>
        <v>0</v>
      </c>
      <c r="AQ71" s="97">
        <f t="shared" si="90"/>
        <v>0</v>
      </c>
      <c r="AR71" s="97">
        <f t="shared" si="90"/>
        <v>0</v>
      </c>
      <c r="AS71" s="97">
        <f t="shared" si="90"/>
        <v>0</v>
      </c>
      <c r="AT71" s="97">
        <f t="shared" si="90"/>
        <v>0</v>
      </c>
      <c r="AU71" s="97">
        <f t="shared" si="90"/>
        <v>0</v>
      </c>
      <c r="AV71" s="97">
        <f t="shared" si="90"/>
        <v>0</v>
      </c>
      <c r="AW71" s="97">
        <f t="shared" si="90"/>
        <v>0</v>
      </c>
      <c r="AX71" s="97">
        <f t="shared" si="90"/>
        <v>0</v>
      </c>
      <c r="AY71" s="97">
        <f t="shared" si="90"/>
        <v>0</v>
      </c>
      <c r="AZ71" s="97">
        <f t="shared" si="90"/>
        <v>0</v>
      </c>
      <c r="BA71" s="97">
        <f t="shared" si="90"/>
        <v>0</v>
      </c>
      <c r="BB71" s="97">
        <f t="shared" si="90"/>
        <v>0</v>
      </c>
      <c r="BC71" s="97">
        <f t="shared" si="90"/>
        <v>0</v>
      </c>
      <c r="BD71" s="97">
        <f t="shared" si="90"/>
        <v>0</v>
      </c>
      <c r="BE71" s="97">
        <f t="shared" si="90"/>
        <v>0</v>
      </c>
      <c r="BF71" s="97">
        <f t="shared" si="90"/>
        <v>0</v>
      </c>
      <c r="BG71" s="97">
        <f t="shared" si="90"/>
        <v>0</v>
      </c>
      <c r="BH71" s="97">
        <f t="shared" si="90"/>
        <v>0</v>
      </c>
      <c r="BI71" s="97">
        <f t="shared" si="90"/>
        <v>0</v>
      </c>
      <c r="BJ71" s="97">
        <f t="shared" si="90"/>
        <v>0</v>
      </c>
      <c r="BK71" s="97">
        <f t="shared" si="90"/>
        <v>0</v>
      </c>
      <c r="BL71" s="97">
        <f t="shared" si="90"/>
        <v>0</v>
      </c>
      <c r="BM71" s="97">
        <f t="shared" si="90"/>
        <v>0</v>
      </c>
      <c r="BN71" s="97">
        <f t="shared" si="90"/>
        <v>0</v>
      </c>
      <c r="BO71" s="97">
        <f t="shared" si="90"/>
        <v>0</v>
      </c>
      <c r="BP71" s="97">
        <f t="shared" ref="BP71:CB71" si="91">IF(BP70&gt;$F22+1,0,1)*(  IF(BQ71=0,100,0)+IF($G22=1,1,0.5)*$J22*100)</f>
        <v>0</v>
      </c>
      <c r="BQ71" s="97">
        <f t="shared" si="91"/>
        <v>0</v>
      </c>
      <c r="BR71" s="97">
        <f t="shared" si="91"/>
        <v>0</v>
      </c>
      <c r="BS71" s="97">
        <f t="shared" si="91"/>
        <v>0</v>
      </c>
      <c r="BT71" s="97">
        <f t="shared" si="91"/>
        <v>0</v>
      </c>
      <c r="BU71" s="97">
        <f t="shared" si="91"/>
        <v>0</v>
      </c>
      <c r="BV71" s="97">
        <f t="shared" si="91"/>
        <v>0</v>
      </c>
      <c r="BW71" s="97">
        <f t="shared" si="91"/>
        <v>0</v>
      </c>
      <c r="BX71" s="97">
        <f t="shared" si="91"/>
        <v>0</v>
      </c>
      <c r="BY71" s="97">
        <f t="shared" si="91"/>
        <v>0</v>
      </c>
      <c r="BZ71" s="97">
        <f t="shared" si="91"/>
        <v>0</v>
      </c>
      <c r="CA71" s="97">
        <f t="shared" si="91"/>
        <v>0</v>
      </c>
      <c r="CB71" s="98">
        <f t="shared" si="91"/>
        <v>0</v>
      </c>
    </row>
    <row r="72" spans="1:115">
      <c r="A72" s="245" t="s">
        <v>49</v>
      </c>
      <c r="B72" s="99">
        <f>IF(E23=0,F23,E23)</f>
        <v>0</v>
      </c>
      <c r="C72" s="100">
        <f t="shared" ref="C72:BN72" si="92">B72+IF($G23=1,365,182.5)</f>
        <v>182.5</v>
      </c>
      <c r="D72" s="100">
        <f t="shared" si="92"/>
        <v>365</v>
      </c>
      <c r="E72" s="100">
        <f t="shared" si="92"/>
        <v>547.5</v>
      </c>
      <c r="F72" s="100">
        <f t="shared" si="92"/>
        <v>730</v>
      </c>
      <c r="G72" s="100">
        <f t="shared" si="92"/>
        <v>912.5</v>
      </c>
      <c r="H72" s="100">
        <f t="shared" si="92"/>
        <v>1095</v>
      </c>
      <c r="I72" s="100">
        <f t="shared" si="92"/>
        <v>1277.5</v>
      </c>
      <c r="J72" s="100">
        <f t="shared" si="92"/>
        <v>1460</v>
      </c>
      <c r="K72" s="100">
        <f t="shared" si="92"/>
        <v>1642.5</v>
      </c>
      <c r="L72" s="100">
        <f t="shared" si="92"/>
        <v>1825</v>
      </c>
      <c r="M72" s="100">
        <f t="shared" si="92"/>
        <v>2007.5</v>
      </c>
      <c r="N72" s="100">
        <f t="shared" si="92"/>
        <v>2190</v>
      </c>
      <c r="O72" s="100">
        <f t="shared" si="92"/>
        <v>2372.5</v>
      </c>
      <c r="P72" s="100">
        <f t="shared" si="92"/>
        <v>2555</v>
      </c>
      <c r="Q72" s="100">
        <f t="shared" si="92"/>
        <v>2737.5</v>
      </c>
      <c r="R72" s="100">
        <f t="shared" si="92"/>
        <v>2920</v>
      </c>
      <c r="S72" s="100">
        <f t="shared" si="92"/>
        <v>3102.5</v>
      </c>
      <c r="T72" s="100">
        <f t="shared" si="92"/>
        <v>3285</v>
      </c>
      <c r="U72" s="100">
        <f t="shared" si="92"/>
        <v>3467.5</v>
      </c>
      <c r="V72" s="100">
        <f t="shared" si="92"/>
        <v>3650</v>
      </c>
      <c r="W72" s="100">
        <f t="shared" si="92"/>
        <v>3832.5</v>
      </c>
      <c r="X72" s="100">
        <f t="shared" si="92"/>
        <v>4015</v>
      </c>
      <c r="Y72" s="100">
        <f t="shared" si="92"/>
        <v>4197.5</v>
      </c>
      <c r="Z72" s="100">
        <f t="shared" si="92"/>
        <v>4380</v>
      </c>
      <c r="AA72" s="100">
        <f t="shared" si="92"/>
        <v>4562.5</v>
      </c>
      <c r="AB72" s="100">
        <f t="shared" si="92"/>
        <v>4745</v>
      </c>
      <c r="AC72" s="100">
        <f t="shared" si="92"/>
        <v>4927.5</v>
      </c>
      <c r="AD72" s="100">
        <f t="shared" si="92"/>
        <v>5110</v>
      </c>
      <c r="AE72" s="100">
        <f t="shared" si="92"/>
        <v>5292.5</v>
      </c>
      <c r="AF72" s="100">
        <f t="shared" si="92"/>
        <v>5475</v>
      </c>
      <c r="AG72" s="100">
        <f t="shared" si="92"/>
        <v>5657.5</v>
      </c>
      <c r="AH72" s="100">
        <f t="shared" si="92"/>
        <v>5840</v>
      </c>
      <c r="AI72" s="100">
        <f t="shared" si="92"/>
        <v>6022.5</v>
      </c>
      <c r="AJ72" s="100">
        <f t="shared" si="92"/>
        <v>6205</v>
      </c>
      <c r="AK72" s="100">
        <f t="shared" si="92"/>
        <v>6387.5</v>
      </c>
      <c r="AL72" s="100">
        <f t="shared" si="92"/>
        <v>6570</v>
      </c>
      <c r="AM72" s="100">
        <f t="shared" si="92"/>
        <v>6752.5</v>
      </c>
      <c r="AN72" s="100">
        <f t="shared" si="92"/>
        <v>6935</v>
      </c>
      <c r="AO72" s="100">
        <f t="shared" si="92"/>
        <v>7117.5</v>
      </c>
      <c r="AP72" s="100">
        <f t="shared" si="92"/>
        <v>7300</v>
      </c>
      <c r="AQ72" s="100">
        <f t="shared" si="92"/>
        <v>7482.5</v>
      </c>
      <c r="AR72" s="100">
        <f t="shared" si="92"/>
        <v>7665</v>
      </c>
      <c r="AS72" s="100">
        <f t="shared" si="92"/>
        <v>7847.5</v>
      </c>
      <c r="AT72" s="100">
        <f t="shared" si="92"/>
        <v>8030</v>
      </c>
      <c r="AU72" s="100">
        <f t="shared" si="92"/>
        <v>8212.5</v>
      </c>
      <c r="AV72" s="100">
        <f t="shared" si="92"/>
        <v>8395</v>
      </c>
      <c r="AW72" s="100">
        <f t="shared" si="92"/>
        <v>8577.5</v>
      </c>
      <c r="AX72" s="100">
        <f t="shared" si="92"/>
        <v>8760</v>
      </c>
      <c r="AY72" s="100">
        <f t="shared" si="92"/>
        <v>8942.5</v>
      </c>
      <c r="AZ72" s="100">
        <f t="shared" si="92"/>
        <v>9125</v>
      </c>
      <c r="BA72" s="100">
        <f t="shared" si="92"/>
        <v>9307.5</v>
      </c>
      <c r="BB72" s="100">
        <f t="shared" si="92"/>
        <v>9490</v>
      </c>
      <c r="BC72" s="100">
        <f t="shared" si="92"/>
        <v>9672.5</v>
      </c>
      <c r="BD72" s="100">
        <f t="shared" si="92"/>
        <v>9855</v>
      </c>
      <c r="BE72" s="100">
        <f t="shared" si="92"/>
        <v>10037.5</v>
      </c>
      <c r="BF72" s="100">
        <f t="shared" si="92"/>
        <v>10220</v>
      </c>
      <c r="BG72" s="100">
        <f t="shared" si="92"/>
        <v>10402.5</v>
      </c>
      <c r="BH72" s="100">
        <f t="shared" si="92"/>
        <v>10585</v>
      </c>
      <c r="BI72" s="100">
        <f t="shared" si="92"/>
        <v>10767.5</v>
      </c>
      <c r="BJ72" s="100">
        <f t="shared" si="92"/>
        <v>10950</v>
      </c>
      <c r="BK72" s="100">
        <f t="shared" si="92"/>
        <v>11132.5</v>
      </c>
      <c r="BL72" s="100">
        <f t="shared" si="92"/>
        <v>11315</v>
      </c>
      <c r="BM72" s="100">
        <f t="shared" si="92"/>
        <v>11497.5</v>
      </c>
      <c r="BN72" s="100">
        <f t="shared" si="92"/>
        <v>11680</v>
      </c>
      <c r="BO72" s="100">
        <f t="shared" ref="BO72:CB72" si="93">BN72+IF($G23=1,365,182.5)</f>
        <v>11862.5</v>
      </c>
      <c r="BP72" s="100">
        <f t="shared" si="93"/>
        <v>12045</v>
      </c>
      <c r="BQ72" s="100">
        <f t="shared" si="93"/>
        <v>12227.5</v>
      </c>
      <c r="BR72" s="100">
        <f t="shared" si="93"/>
        <v>12410</v>
      </c>
      <c r="BS72" s="100">
        <f t="shared" si="93"/>
        <v>12592.5</v>
      </c>
      <c r="BT72" s="100">
        <f t="shared" si="93"/>
        <v>12775</v>
      </c>
      <c r="BU72" s="100">
        <f t="shared" si="93"/>
        <v>12957.5</v>
      </c>
      <c r="BV72" s="100">
        <f t="shared" si="93"/>
        <v>13140</v>
      </c>
      <c r="BW72" s="100">
        <f t="shared" si="93"/>
        <v>13322.5</v>
      </c>
      <c r="BX72" s="100">
        <f t="shared" si="93"/>
        <v>13505</v>
      </c>
      <c r="BY72" s="100">
        <f t="shared" si="93"/>
        <v>13687.5</v>
      </c>
      <c r="BZ72" s="100">
        <f t="shared" si="93"/>
        <v>13870</v>
      </c>
      <c r="CA72" s="100">
        <f t="shared" si="93"/>
        <v>14052.5</v>
      </c>
      <c r="CB72" s="101">
        <f t="shared" si="93"/>
        <v>14235</v>
      </c>
    </row>
    <row r="73" spans="1:115">
      <c r="A73" s="182" t="s">
        <v>39</v>
      </c>
      <c r="B73" s="117">
        <f>(IF(B72=F23,100,0)+IF(G23=1,1,0.5)*J23*100)*IF(ISBLANK(F23)=TRUE,0,1)</f>
        <v>0</v>
      </c>
      <c r="C73" s="102">
        <f>IF(C72&gt;$F23+1,0,1)*(IF(D73=0,100,0)+IF($G23=1,1,0.5)*$J23*100)</f>
        <v>0</v>
      </c>
      <c r="D73" s="102">
        <f t="shared" ref="D73:BO73" si="94">IF(D72&gt;$F23+1,0,1)*(IF(E73=0,100,0)+IF($G23=1,1,0.5)*$J23*100)</f>
        <v>0</v>
      </c>
      <c r="E73" s="102">
        <f t="shared" si="94"/>
        <v>0</v>
      </c>
      <c r="F73" s="102">
        <f t="shared" si="94"/>
        <v>0</v>
      </c>
      <c r="G73" s="102">
        <f t="shared" si="94"/>
        <v>0</v>
      </c>
      <c r="H73" s="102">
        <f t="shared" si="94"/>
        <v>0</v>
      </c>
      <c r="I73" s="102">
        <f t="shared" si="94"/>
        <v>0</v>
      </c>
      <c r="J73" s="102">
        <f t="shared" si="94"/>
        <v>0</v>
      </c>
      <c r="K73" s="102">
        <f t="shared" si="94"/>
        <v>0</v>
      </c>
      <c r="L73" s="102">
        <f t="shared" si="94"/>
        <v>0</v>
      </c>
      <c r="M73" s="102">
        <f t="shared" si="94"/>
        <v>0</v>
      </c>
      <c r="N73" s="102">
        <f t="shared" si="94"/>
        <v>0</v>
      </c>
      <c r="O73" s="102">
        <f t="shared" si="94"/>
        <v>0</v>
      </c>
      <c r="P73" s="102">
        <f t="shared" si="94"/>
        <v>0</v>
      </c>
      <c r="Q73" s="102">
        <f t="shared" si="94"/>
        <v>0</v>
      </c>
      <c r="R73" s="102">
        <f t="shared" si="94"/>
        <v>0</v>
      </c>
      <c r="S73" s="102">
        <f t="shared" si="94"/>
        <v>0</v>
      </c>
      <c r="T73" s="102">
        <f t="shared" si="94"/>
        <v>0</v>
      </c>
      <c r="U73" s="102">
        <f t="shared" si="94"/>
        <v>0</v>
      </c>
      <c r="V73" s="102">
        <f t="shared" si="94"/>
        <v>0</v>
      </c>
      <c r="W73" s="102">
        <f t="shared" si="94"/>
        <v>0</v>
      </c>
      <c r="X73" s="102">
        <f t="shared" si="94"/>
        <v>0</v>
      </c>
      <c r="Y73" s="102">
        <f t="shared" si="94"/>
        <v>0</v>
      </c>
      <c r="Z73" s="102">
        <f t="shared" si="94"/>
        <v>0</v>
      </c>
      <c r="AA73" s="102">
        <f t="shared" si="94"/>
        <v>0</v>
      </c>
      <c r="AB73" s="102">
        <f t="shared" si="94"/>
        <v>0</v>
      </c>
      <c r="AC73" s="102">
        <f t="shared" si="94"/>
        <v>0</v>
      </c>
      <c r="AD73" s="102">
        <f t="shared" si="94"/>
        <v>0</v>
      </c>
      <c r="AE73" s="102">
        <f t="shared" si="94"/>
        <v>0</v>
      </c>
      <c r="AF73" s="102">
        <f t="shared" si="94"/>
        <v>0</v>
      </c>
      <c r="AG73" s="102">
        <f t="shared" si="94"/>
        <v>0</v>
      </c>
      <c r="AH73" s="102">
        <f t="shared" si="94"/>
        <v>0</v>
      </c>
      <c r="AI73" s="102">
        <f t="shared" si="94"/>
        <v>0</v>
      </c>
      <c r="AJ73" s="102">
        <f t="shared" si="94"/>
        <v>0</v>
      </c>
      <c r="AK73" s="102">
        <f t="shared" si="94"/>
        <v>0</v>
      </c>
      <c r="AL73" s="102">
        <f t="shared" si="94"/>
        <v>0</v>
      </c>
      <c r="AM73" s="102">
        <f t="shared" si="94"/>
        <v>0</v>
      </c>
      <c r="AN73" s="102">
        <f t="shared" si="94"/>
        <v>0</v>
      </c>
      <c r="AO73" s="102">
        <f t="shared" si="94"/>
        <v>0</v>
      </c>
      <c r="AP73" s="102">
        <f t="shared" si="94"/>
        <v>0</v>
      </c>
      <c r="AQ73" s="102">
        <f t="shared" si="94"/>
        <v>0</v>
      </c>
      <c r="AR73" s="102">
        <f t="shared" si="94"/>
        <v>0</v>
      </c>
      <c r="AS73" s="102">
        <f t="shared" si="94"/>
        <v>0</v>
      </c>
      <c r="AT73" s="102">
        <f t="shared" si="94"/>
        <v>0</v>
      </c>
      <c r="AU73" s="102">
        <f t="shared" si="94"/>
        <v>0</v>
      </c>
      <c r="AV73" s="102">
        <f t="shared" si="94"/>
        <v>0</v>
      </c>
      <c r="AW73" s="102">
        <f t="shared" si="94"/>
        <v>0</v>
      </c>
      <c r="AX73" s="102">
        <f t="shared" si="94"/>
        <v>0</v>
      </c>
      <c r="AY73" s="102">
        <f t="shared" si="94"/>
        <v>0</v>
      </c>
      <c r="AZ73" s="102">
        <f t="shared" si="94"/>
        <v>0</v>
      </c>
      <c r="BA73" s="102">
        <f t="shared" si="94"/>
        <v>0</v>
      </c>
      <c r="BB73" s="102">
        <f t="shared" si="94"/>
        <v>0</v>
      </c>
      <c r="BC73" s="102">
        <f t="shared" si="94"/>
        <v>0</v>
      </c>
      <c r="BD73" s="102">
        <f t="shared" si="94"/>
        <v>0</v>
      </c>
      <c r="BE73" s="102">
        <f t="shared" si="94"/>
        <v>0</v>
      </c>
      <c r="BF73" s="102">
        <f t="shared" si="94"/>
        <v>0</v>
      </c>
      <c r="BG73" s="102">
        <f t="shared" si="94"/>
        <v>0</v>
      </c>
      <c r="BH73" s="102">
        <f t="shared" si="94"/>
        <v>0</v>
      </c>
      <c r="BI73" s="102">
        <f t="shared" si="94"/>
        <v>0</v>
      </c>
      <c r="BJ73" s="102">
        <f t="shared" si="94"/>
        <v>0</v>
      </c>
      <c r="BK73" s="102">
        <f t="shared" si="94"/>
        <v>0</v>
      </c>
      <c r="BL73" s="102">
        <f t="shared" si="94"/>
        <v>0</v>
      </c>
      <c r="BM73" s="102">
        <f t="shared" si="94"/>
        <v>0</v>
      </c>
      <c r="BN73" s="102">
        <f t="shared" si="94"/>
        <v>0</v>
      </c>
      <c r="BO73" s="102">
        <f t="shared" si="94"/>
        <v>0</v>
      </c>
      <c r="BP73" s="102">
        <f t="shared" ref="BP73:CB73" si="95">IF(BP72&gt;$F23+1,0,1)*(IF(BQ73=0,100,0)+IF($G23=1,1,0.5)*$J23*100)</f>
        <v>0</v>
      </c>
      <c r="BQ73" s="102">
        <f t="shared" si="95"/>
        <v>0</v>
      </c>
      <c r="BR73" s="102">
        <f t="shared" si="95"/>
        <v>0</v>
      </c>
      <c r="BS73" s="102">
        <f t="shared" si="95"/>
        <v>0</v>
      </c>
      <c r="BT73" s="102">
        <f t="shared" si="95"/>
        <v>0</v>
      </c>
      <c r="BU73" s="102">
        <f t="shared" si="95"/>
        <v>0</v>
      </c>
      <c r="BV73" s="102">
        <f t="shared" si="95"/>
        <v>0</v>
      </c>
      <c r="BW73" s="102">
        <f t="shared" si="95"/>
        <v>0</v>
      </c>
      <c r="BX73" s="102">
        <f t="shared" si="95"/>
        <v>0</v>
      </c>
      <c r="BY73" s="102">
        <f t="shared" si="95"/>
        <v>0</v>
      </c>
      <c r="BZ73" s="102">
        <f t="shared" si="95"/>
        <v>0</v>
      </c>
      <c r="CA73" s="102">
        <f t="shared" si="95"/>
        <v>0</v>
      </c>
      <c r="CB73" s="103">
        <f t="shared" si="95"/>
        <v>0</v>
      </c>
      <c r="CF73" s="9"/>
      <c r="CG73" s="9"/>
      <c r="CH73" s="9"/>
      <c r="CI73" s="9"/>
      <c r="CJ73" s="9"/>
      <c r="CK73" s="9"/>
      <c r="CL73" s="9"/>
      <c r="CM73" s="9"/>
      <c r="CN73" s="9"/>
      <c r="CO73" s="9"/>
      <c r="CP73" s="9"/>
      <c r="CQ73" s="9"/>
      <c r="CR73" s="9"/>
      <c r="CS73" s="9"/>
      <c r="CT73" s="9"/>
      <c r="CU73" s="9"/>
      <c r="CV73" s="9"/>
      <c r="CW73" s="9"/>
      <c r="CX73" s="9"/>
      <c r="CY73" s="9"/>
      <c r="CZ73" s="9"/>
      <c r="DA73" s="9"/>
      <c r="DB73" s="9"/>
      <c r="DC73" s="9"/>
      <c r="DD73" s="9"/>
      <c r="DE73" s="9"/>
      <c r="DF73" s="9"/>
      <c r="DG73" s="9"/>
      <c r="DH73" s="9"/>
      <c r="DI73" s="9"/>
      <c r="DJ73" s="9"/>
      <c r="DK73" s="9"/>
    </row>
    <row r="74" spans="1:115">
      <c r="A74" s="244" t="s">
        <v>49</v>
      </c>
      <c r="B74" s="157">
        <f>IF(E24=0,F24,E24)</f>
        <v>0</v>
      </c>
      <c r="C74" s="188">
        <f>B74+IF($G24=1,365,182.5)</f>
        <v>182.5</v>
      </c>
      <c r="D74" s="188">
        <f>C74+IF($G24=1,365,182.5)</f>
        <v>365</v>
      </c>
      <c r="E74" s="188">
        <f t="shared" ref="E74:BP74" si="96">D74+IF($G24=1,365,182.5)</f>
        <v>547.5</v>
      </c>
      <c r="F74" s="188">
        <f t="shared" si="96"/>
        <v>730</v>
      </c>
      <c r="G74" s="188">
        <f t="shared" si="96"/>
        <v>912.5</v>
      </c>
      <c r="H74" s="188">
        <f t="shared" si="96"/>
        <v>1095</v>
      </c>
      <c r="I74" s="188">
        <f t="shared" si="96"/>
        <v>1277.5</v>
      </c>
      <c r="J74" s="188">
        <f t="shared" si="96"/>
        <v>1460</v>
      </c>
      <c r="K74" s="188">
        <f t="shared" si="96"/>
        <v>1642.5</v>
      </c>
      <c r="L74" s="188">
        <f t="shared" si="96"/>
        <v>1825</v>
      </c>
      <c r="M74" s="188">
        <f t="shared" si="96"/>
        <v>2007.5</v>
      </c>
      <c r="N74" s="188">
        <f t="shared" si="96"/>
        <v>2190</v>
      </c>
      <c r="O74" s="188">
        <f t="shared" si="96"/>
        <v>2372.5</v>
      </c>
      <c r="P74" s="188">
        <f t="shared" si="96"/>
        <v>2555</v>
      </c>
      <c r="Q74" s="188">
        <f t="shared" si="96"/>
        <v>2737.5</v>
      </c>
      <c r="R74" s="188">
        <f t="shared" si="96"/>
        <v>2920</v>
      </c>
      <c r="S74" s="188">
        <f t="shared" si="96"/>
        <v>3102.5</v>
      </c>
      <c r="T74" s="188">
        <f t="shared" si="96"/>
        <v>3285</v>
      </c>
      <c r="U74" s="188">
        <f t="shared" si="96"/>
        <v>3467.5</v>
      </c>
      <c r="V74" s="188">
        <f t="shared" si="96"/>
        <v>3650</v>
      </c>
      <c r="W74" s="188">
        <f t="shared" si="96"/>
        <v>3832.5</v>
      </c>
      <c r="X74" s="188">
        <f t="shared" si="96"/>
        <v>4015</v>
      </c>
      <c r="Y74" s="188">
        <f t="shared" si="96"/>
        <v>4197.5</v>
      </c>
      <c r="Z74" s="188">
        <f t="shared" si="96"/>
        <v>4380</v>
      </c>
      <c r="AA74" s="188">
        <f t="shared" si="96"/>
        <v>4562.5</v>
      </c>
      <c r="AB74" s="188">
        <f t="shared" si="96"/>
        <v>4745</v>
      </c>
      <c r="AC74" s="188">
        <f t="shared" si="96"/>
        <v>4927.5</v>
      </c>
      <c r="AD74" s="188">
        <f t="shared" si="96"/>
        <v>5110</v>
      </c>
      <c r="AE74" s="188">
        <f t="shared" si="96"/>
        <v>5292.5</v>
      </c>
      <c r="AF74" s="188">
        <f t="shared" si="96"/>
        <v>5475</v>
      </c>
      <c r="AG74" s="188">
        <f t="shared" si="96"/>
        <v>5657.5</v>
      </c>
      <c r="AH74" s="188">
        <f t="shared" si="96"/>
        <v>5840</v>
      </c>
      <c r="AI74" s="188">
        <f t="shared" si="96"/>
        <v>6022.5</v>
      </c>
      <c r="AJ74" s="188">
        <f t="shared" si="96"/>
        <v>6205</v>
      </c>
      <c r="AK74" s="188">
        <f t="shared" si="96"/>
        <v>6387.5</v>
      </c>
      <c r="AL74" s="188">
        <f t="shared" si="96"/>
        <v>6570</v>
      </c>
      <c r="AM74" s="188">
        <f t="shared" si="96"/>
        <v>6752.5</v>
      </c>
      <c r="AN74" s="188">
        <f t="shared" si="96"/>
        <v>6935</v>
      </c>
      <c r="AO74" s="188">
        <f t="shared" si="96"/>
        <v>7117.5</v>
      </c>
      <c r="AP74" s="188">
        <f t="shared" si="96"/>
        <v>7300</v>
      </c>
      <c r="AQ74" s="188">
        <f t="shared" si="96"/>
        <v>7482.5</v>
      </c>
      <c r="AR74" s="188">
        <f t="shared" si="96"/>
        <v>7665</v>
      </c>
      <c r="AS74" s="188">
        <f t="shared" si="96"/>
        <v>7847.5</v>
      </c>
      <c r="AT74" s="188">
        <f t="shared" si="96"/>
        <v>8030</v>
      </c>
      <c r="AU74" s="188">
        <f t="shared" si="96"/>
        <v>8212.5</v>
      </c>
      <c r="AV74" s="188">
        <f t="shared" si="96"/>
        <v>8395</v>
      </c>
      <c r="AW74" s="188">
        <f t="shared" si="96"/>
        <v>8577.5</v>
      </c>
      <c r="AX74" s="188">
        <f t="shared" si="96"/>
        <v>8760</v>
      </c>
      <c r="AY74" s="188">
        <f t="shared" si="96"/>
        <v>8942.5</v>
      </c>
      <c r="AZ74" s="188">
        <f t="shared" si="96"/>
        <v>9125</v>
      </c>
      <c r="BA74" s="188">
        <f t="shared" si="96"/>
        <v>9307.5</v>
      </c>
      <c r="BB74" s="188">
        <f t="shared" si="96"/>
        <v>9490</v>
      </c>
      <c r="BC74" s="188">
        <f t="shared" si="96"/>
        <v>9672.5</v>
      </c>
      <c r="BD74" s="188">
        <f t="shared" si="96"/>
        <v>9855</v>
      </c>
      <c r="BE74" s="188">
        <f t="shared" si="96"/>
        <v>10037.5</v>
      </c>
      <c r="BF74" s="188">
        <f t="shared" si="96"/>
        <v>10220</v>
      </c>
      <c r="BG74" s="188">
        <f t="shared" si="96"/>
        <v>10402.5</v>
      </c>
      <c r="BH74" s="188">
        <f t="shared" si="96"/>
        <v>10585</v>
      </c>
      <c r="BI74" s="188">
        <f t="shared" si="96"/>
        <v>10767.5</v>
      </c>
      <c r="BJ74" s="188">
        <f t="shared" si="96"/>
        <v>10950</v>
      </c>
      <c r="BK74" s="188">
        <f t="shared" si="96"/>
        <v>11132.5</v>
      </c>
      <c r="BL74" s="188">
        <f t="shared" si="96"/>
        <v>11315</v>
      </c>
      <c r="BM74" s="188">
        <f t="shared" si="96"/>
        <v>11497.5</v>
      </c>
      <c r="BN74" s="188">
        <f t="shared" si="96"/>
        <v>11680</v>
      </c>
      <c r="BO74" s="188">
        <f t="shared" si="96"/>
        <v>11862.5</v>
      </c>
      <c r="BP74" s="188">
        <f t="shared" si="96"/>
        <v>12045</v>
      </c>
      <c r="BQ74" s="188">
        <f t="shared" ref="BQ74:CB74" si="97">BP74+IF($G24=1,365,182.5)</f>
        <v>12227.5</v>
      </c>
      <c r="BR74" s="188">
        <f t="shared" si="97"/>
        <v>12410</v>
      </c>
      <c r="BS74" s="188">
        <f t="shared" si="97"/>
        <v>12592.5</v>
      </c>
      <c r="BT74" s="188">
        <f t="shared" si="97"/>
        <v>12775</v>
      </c>
      <c r="BU74" s="188">
        <f t="shared" si="97"/>
        <v>12957.5</v>
      </c>
      <c r="BV74" s="188">
        <f t="shared" si="97"/>
        <v>13140</v>
      </c>
      <c r="BW74" s="188">
        <f t="shared" si="97"/>
        <v>13322.5</v>
      </c>
      <c r="BX74" s="188">
        <f t="shared" si="97"/>
        <v>13505</v>
      </c>
      <c r="BY74" s="188">
        <f t="shared" si="97"/>
        <v>13687.5</v>
      </c>
      <c r="BZ74" s="188">
        <f t="shared" si="97"/>
        <v>13870</v>
      </c>
      <c r="CA74" s="188">
        <f t="shared" si="97"/>
        <v>14052.5</v>
      </c>
      <c r="CB74" s="189">
        <f t="shared" si="97"/>
        <v>14235</v>
      </c>
      <c r="CF74" s="9"/>
      <c r="CG74" s="9"/>
      <c r="CH74" s="9"/>
      <c r="CI74" s="9"/>
      <c r="CJ74" s="9"/>
      <c r="CK74" s="9"/>
      <c r="CL74" s="9"/>
      <c r="CM74" s="9"/>
      <c r="CN74" s="9"/>
      <c r="CO74" s="9"/>
      <c r="CP74" s="9"/>
      <c r="CQ74" s="9"/>
      <c r="CR74" s="9"/>
      <c r="CS74" s="9"/>
      <c r="CT74" s="9"/>
      <c r="CU74" s="9"/>
      <c r="CV74" s="9"/>
      <c r="CW74" s="9"/>
      <c r="CX74" s="9"/>
      <c r="CY74" s="9"/>
      <c r="CZ74" s="9"/>
      <c r="DA74" s="9"/>
      <c r="DB74" s="9"/>
      <c r="DC74" s="9"/>
      <c r="DD74" s="9"/>
      <c r="DE74" s="9"/>
      <c r="DF74" s="9"/>
      <c r="DG74" s="9"/>
      <c r="DH74" s="9"/>
      <c r="DI74" s="9"/>
      <c r="DJ74" s="9"/>
      <c r="DK74" s="9"/>
    </row>
    <row r="75" spans="1:115">
      <c r="A75" s="183" t="s">
        <v>127</v>
      </c>
      <c r="B75" s="158">
        <f>(IF(B74=F24,100,0)+IF(G24=1,1,0.5)*J24*100)*IF(ISBLANK(F24)=TRUE,0,1)</f>
        <v>0</v>
      </c>
      <c r="C75" s="521">
        <f>IF(C74&gt;$F24+1,0,1)*(IF(D75=0,100,0)+IF($G24=1,1,0.5)*$J24*100)</f>
        <v>0</v>
      </c>
      <c r="D75" s="159">
        <f t="shared" ref="D75:F75" si="98">IF(D74&gt;$F24+1,0,1)*(IF(E75=0,100,0)+IF($G24=1,1,0.5)*$J24*100)</f>
        <v>0</v>
      </c>
      <c r="E75" s="159">
        <f t="shared" si="98"/>
        <v>0</v>
      </c>
      <c r="F75" s="159">
        <f t="shared" si="98"/>
        <v>0</v>
      </c>
      <c r="G75" s="159">
        <f>IF(G74&gt;$F24+1,0,1)*(IF(H75=0,100,0)+IF($G24=1,1,0.5)*$J24*100)</f>
        <v>0</v>
      </c>
      <c r="H75" s="159">
        <f t="shared" ref="H75:AM75" si="99">IF(H74&gt;$F24+1,0,1)*(IF(I75=0,100,0)+IF($G24=1,1,0.5)*$J24*100)</f>
        <v>0</v>
      </c>
      <c r="I75" s="159">
        <f t="shared" si="99"/>
        <v>0</v>
      </c>
      <c r="J75" s="159">
        <f t="shared" si="99"/>
        <v>0</v>
      </c>
      <c r="K75" s="159">
        <f t="shared" si="99"/>
        <v>0</v>
      </c>
      <c r="L75" s="159">
        <f t="shared" si="99"/>
        <v>0</v>
      </c>
      <c r="M75" s="159">
        <f t="shared" si="99"/>
        <v>0</v>
      </c>
      <c r="N75" s="159">
        <f t="shared" si="99"/>
        <v>0</v>
      </c>
      <c r="O75" s="159">
        <f t="shared" si="99"/>
        <v>0</v>
      </c>
      <c r="P75" s="159">
        <f t="shared" si="99"/>
        <v>0</v>
      </c>
      <c r="Q75" s="159">
        <f t="shared" si="99"/>
        <v>0</v>
      </c>
      <c r="R75" s="159">
        <f t="shared" si="99"/>
        <v>0</v>
      </c>
      <c r="S75" s="159">
        <f t="shared" si="99"/>
        <v>0</v>
      </c>
      <c r="T75" s="159">
        <f t="shared" si="99"/>
        <v>0</v>
      </c>
      <c r="U75" s="159">
        <f t="shared" si="99"/>
        <v>0</v>
      </c>
      <c r="V75" s="159">
        <f t="shared" si="99"/>
        <v>0</v>
      </c>
      <c r="W75" s="159">
        <f t="shared" si="99"/>
        <v>0</v>
      </c>
      <c r="X75" s="159">
        <f t="shared" si="99"/>
        <v>0</v>
      </c>
      <c r="Y75" s="159">
        <f t="shared" si="99"/>
        <v>0</v>
      </c>
      <c r="Z75" s="159">
        <f t="shared" si="99"/>
        <v>0</v>
      </c>
      <c r="AA75" s="159">
        <f t="shared" si="99"/>
        <v>0</v>
      </c>
      <c r="AB75" s="159">
        <f t="shared" si="99"/>
        <v>0</v>
      </c>
      <c r="AC75" s="159">
        <f t="shared" si="99"/>
        <v>0</v>
      </c>
      <c r="AD75" s="159">
        <f t="shared" si="99"/>
        <v>0</v>
      </c>
      <c r="AE75" s="159">
        <f t="shared" si="99"/>
        <v>0</v>
      </c>
      <c r="AF75" s="159">
        <f t="shared" si="99"/>
        <v>0</v>
      </c>
      <c r="AG75" s="159">
        <f t="shared" si="99"/>
        <v>0</v>
      </c>
      <c r="AH75" s="159">
        <f t="shared" si="99"/>
        <v>0</v>
      </c>
      <c r="AI75" s="159">
        <f t="shared" si="99"/>
        <v>0</v>
      </c>
      <c r="AJ75" s="159">
        <f t="shared" si="99"/>
        <v>0</v>
      </c>
      <c r="AK75" s="159">
        <f t="shared" si="99"/>
        <v>0</v>
      </c>
      <c r="AL75" s="159">
        <f t="shared" si="99"/>
        <v>0</v>
      </c>
      <c r="AM75" s="159">
        <f t="shared" si="99"/>
        <v>0</v>
      </c>
      <c r="AN75" s="159">
        <f>IF(AN74&gt;$F24+1,0,1)*(IF(AO75=0,100,0)+IF($G24=1,1,0.5)*$J24*100)</f>
        <v>0</v>
      </c>
      <c r="AO75" s="159">
        <f t="shared" ref="AO75:AQ75" si="100">IF(AO74&gt;$F24+1,0,1)*(IF(AP75=0,100,0)+IF($G24=1,1,0.5)*$J24*100)</f>
        <v>0</v>
      </c>
      <c r="AP75" s="159">
        <f t="shared" si="100"/>
        <v>0</v>
      </c>
      <c r="AQ75" s="159">
        <f t="shared" si="100"/>
        <v>0</v>
      </c>
      <c r="AR75" s="159">
        <f>IF(AR74&gt;$F24+1,0,1)*(IF(AS75=0,100,0)+IF($G24=1,1,0.5)*$J24*100)</f>
        <v>0</v>
      </c>
      <c r="AS75" s="159">
        <f t="shared" ref="AS75" si="101">IF(AS74&gt;$F24+1,0,1)*(IF(AT75=0,100,0)+IF($G24=1,1,0.5)*$J24*100)</f>
        <v>0</v>
      </c>
      <c r="AT75" s="159">
        <f>IF(AT74&gt;$F24+1,0,1)*(IF(AU75=0,100,0)+IF($G24=1,1,0.5)*$J24*100)</f>
        <v>0</v>
      </c>
      <c r="AU75" s="159">
        <f t="shared" ref="AU75:AW75" si="102">IF(AU74&gt;$F24+1,0,1)*(IF(AV75=0,100,0)+IF($G24=1,1,0.5)*$J24*100)</f>
        <v>0</v>
      </c>
      <c r="AV75" s="159">
        <f t="shared" si="102"/>
        <v>0</v>
      </c>
      <c r="AW75" s="159">
        <f t="shared" si="102"/>
        <v>0</v>
      </c>
      <c r="AX75" s="159">
        <f>IF(AX74&gt;$F24+1,0,1)*(IF(AY75=0,100,0)+IF($G24=1,1,0.5)*$J24*100)</f>
        <v>0</v>
      </c>
      <c r="AY75" s="159">
        <f t="shared" ref="AY75:BG75" si="103">IF(AY74&gt;$F24+1,0,1)*(IF(AZ75=0,100,0)+IF($G24=1,1,0.5)*$J24*100)</f>
        <v>0</v>
      </c>
      <c r="AZ75" s="159">
        <f t="shared" si="103"/>
        <v>0</v>
      </c>
      <c r="BA75" s="159">
        <f t="shared" si="103"/>
        <v>0</v>
      </c>
      <c r="BB75" s="159">
        <f t="shared" si="103"/>
        <v>0</v>
      </c>
      <c r="BC75" s="159">
        <f t="shared" si="103"/>
        <v>0</v>
      </c>
      <c r="BD75" s="160">
        <f t="shared" si="103"/>
        <v>0</v>
      </c>
      <c r="BE75" s="159">
        <f t="shared" si="103"/>
        <v>0</v>
      </c>
      <c r="BF75" s="159">
        <f t="shared" si="103"/>
        <v>0</v>
      </c>
      <c r="BG75" s="159">
        <f t="shared" si="103"/>
        <v>0</v>
      </c>
      <c r="BH75" s="159">
        <f>IF(BH74&gt;$F24+1,0,1)*(IF(BI75=0,100,0)+IF($G24=1,1,0.5)*$J24*100)</f>
        <v>0</v>
      </c>
      <c r="BI75" s="159">
        <f t="shared" ref="BI75:BK75" si="104">IF(BI74&gt;$F24+1,0,1)*(IF(BJ75=0,100,0)+IF($G24=1,1,0.5)*$J24*100)</f>
        <v>0</v>
      </c>
      <c r="BJ75" s="159">
        <f t="shared" si="104"/>
        <v>0</v>
      </c>
      <c r="BK75" s="159">
        <f t="shared" si="104"/>
        <v>0</v>
      </c>
      <c r="BL75" s="159">
        <f>IF(BL74&gt;$F24+1,0,1)*(IF(BM75=0,100,0)+IF($G24=1,1,0.5)*$J24*100)</f>
        <v>0</v>
      </c>
      <c r="BM75" s="159">
        <f t="shared" ref="BM75:CB75" si="105">IF(BM74&gt;$F24+1,0,1)*(IF(BN75=0,100,0)+IF($G24=1,1,0.5)*$J24*100)</f>
        <v>0</v>
      </c>
      <c r="BN75" s="159">
        <f t="shared" si="105"/>
        <v>0</v>
      </c>
      <c r="BO75" s="159">
        <f t="shared" si="105"/>
        <v>0</v>
      </c>
      <c r="BP75" s="159">
        <f t="shared" si="105"/>
        <v>0</v>
      </c>
      <c r="BQ75" s="159">
        <f t="shared" si="105"/>
        <v>0</v>
      </c>
      <c r="BR75" s="159">
        <f t="shared" si="105"/>
        <v>0</v>
      </c>
      <c r="BS75" s="159">
        <f t="shared" si="105"/>
        <v>0</v>
      </c>
      <c r="BT75" s="159">
        <f t="shared" si="105"/>
        <v>0</v>
      </c>
      <c r="BU75" s="159">
        <f t="shared" si="105"/>
        <v>0</v>
      </c>
      <c r="BV75" s="159">
        <f t="shared" si="105"/>
        <v>0</v>
      </c>
      <c r="BW75" s="159">
        <f t="shared" si="105"/>
        <v>0</v>
      </c>
      <c r="BX75" s="159">
        <f t="shared" si="105"/>
        <v>0</v>
      </c>
      <c r="BY75" s="159">
        <f t="shared" si="105"/>
        <v>0</v>
      </c>
      <c r="BZ75" s="159">
        <f t="shared" si="105"/>
        <v>0</v>
      </c>
      <c r="CA75" s="159">
        <f t="shared" si="105"/>
        <v>0</v>
      </c>
      <c r="CB75" s="187">
        <f t="shared" si="105"/>
        <v>0</v>
      </c>
      <c r="CF75" s="9"/>
      <c r="CG75" s="9"/>
      <c r="CH75" s="9"/>
      <c r="CI75" s="9"/>
      <c r="CJ75" s="9"/>
      <c r="CK75" s="9"/>
      <c r="CL75" s="9"/>
      <c r="CM75" s="9"/>
      <c r="CN75" s="9"/>
      <c r="CO75" s="9"/>
      <c r="CP75" s="9"/>
      <c r="CQ75" s="9"/>
      <c r="CR75" s="9"/>
      <c r="CS75" s="9"/>
      <c r="CT75" s="9"/>
      <c r="CU75" s="9"/>
      <c r="CV75" s="9"/>
      <c r="CW75" s="9"/>
      <c r="CX75" s="9"/>
      <c r="CY75" s="9"/>
      <c r="CZ75" s="9"/>
      <c r="DA75" s="9"/>
      <c r="DB75" s="9"/>
      <c r="DC75" s="9"/>
      <c r="DD75" s="9"/>
      <c r="DE75" s="9"/>
      <c r="DF75" s="9"/>
      <c r="DG75" s="9"/>
      <c r="DH75" s="9"/>
      <c r="DI75" s="9"/>
      <c r="DJ75" s="9"/>
      <c r="DK75" s="9"/>
    </row>
    <row r="76" spans="1:115">
      <c r="A76" s="221" t="s">
        <v>49</v>
      </c>
      <c r="B76" s="184">
        <f>IF(E25=0,F25,E25)</f>
        <v>0</v>
      </c>
      <c r="C76" s="145">
        <f>B76+IF($G25=1,365,182.5)</f>
        <v>182.5</v>
      </c>
      <c r="D76" s="145">
        <f>C76+IF($G25=1,365,182.5)</f>
        <v>365</v>
      </c>
      <c r="E76" s="145">
        <f t="shared" ref="E76:BP76" si="106">D76+IF($G25=1,365,182.5)</f>
        <v>547.5</v>
      </c>
      <c r="F76" s="145">
        <f t="shared" si="106"/>
        <v>730</v>
      </c>
      <c r="G76" s="145">
        <f t="shared" si="106"/>
        <v>912.5</v>
      </c>
      <c r="H76" s="145">
        <f t="shared" si="106"/>
        <v>1095</v>
      </c>
      <c r="I76" s="145">
        <f t="shared" si="106"/>
        <v>1277.5</v>
      </c>
      <c r="J76" s="145">
        <f t="shared" si="106"/>
        <v>1460</v>
      </c>
      <c r="K76" s="145">
        <f t="shared" si="106"/>
        <v>1642.5</v>
      </c>
      <c r="L76" s="145">
        <f t="shared" si="106"/>
        <v>1825</v>
      </c>
      <c r="M76" s="145">
        <f t="shared" si="106"/>
        <v>2007.5</v>
      </c>
      <c r="N76" s="145">
        <f t="shared" si="106"/>
        <v>2190</v>
      </c>
      <c r="O76" s="145">
        <f t="shared" si="106"/>
        <v>2372.5</v>
      </c>
      <c r="P76" s="145">
        <f t="shared" si="106"/>
        <v>2555</v>
      </c>
      <c r="Q76" s="145">
        <f t="shared" si="106"/>
        <v>2737.5</v>
      </c>
      <c r="R76" s="145">
        <f t="shared" si="106"/>
        <v>2920</v>
      </c>
      <c r="S76" s="145">
        <f t="shared" si="106"/>
        <v>3102.5</v>
      </c>
      <c r="T76" s="145">
        <f t="shared" si="106"/>
        <v>3285</v>
      </c>
      <c r="U76" s="145">
        <f t="shared" si="106"/>
        <v>3467.5</v>
      </c>
      <c r="V76" s="145">
        <f t="shared" si="106"/>
        <v>3650</v>
      </c>
      <c r="W76" s="145">
        <f t="shared" si="106"/>
        <v>3832.5</v>
      </c>
      <c r="X76" s="145">
        <f t="shared" si="106"/>
        <v>4015</v>
      </c>
      <c r="Y76" s="145">
        <f t="shared" si="106"/>
        <v>4197.5</v>
      </c>
      <c r="Z76" s="145">
        <f t="shared" si="106"/>
        <v>4380</v>
      </c>
      <c r="AA76" s="145">
        <f t="shared" si="106"/>
        <v>4562.5</v>
      </c>
      <c r="AB76" s="145">
        <f t="shared" si="106"/>
        <v>4745</v>
      </c>
      <c r="AC76" s="145">
        <f t="shared" si="106"/>
        <v>4927.5</v>
      </c>
      <c r="AD76" s="145">
        <f t="shared" si="106"/>
        <v>5110</v>
      </c>
      <c r="AE76" s="145">
        <f t="shared" si="106"/>
        <v>5292.5</v>
      </c>
      <c r="AF76" s="145">
        <f t="shared" si="106"/>
        <v>5475</v>
      </c>
      <c r="AG76" s="145">
        <f t="shared" si="106"/>
        <v>5657.5</v>
      </c>
      <c r="AH76" s="145">
        <f t="shared" si="106"/>
        <v>5840</v>
      </c>
      <c r="AI76" s="145">
        <f t="shared" si="106"/>
        <v>6022.5</v>
      </c>
      <c r="AJ76" s="145">
        <f t="shared" si="106"/>
        <v>6205</v>
      </c>
      <c r="AK76" s="145">
        <f t="shared" si="106"/>
        <v>6387.5</v>
      </c>
      <c r="AL76" s="145">
        <f t="shared" si="106"/>
        <v>6570</v>
      </c>
      <c r="AM76" s="145">
        <f t="shared" si="106"/>
        <v>6752.5</v>
      </c>
      <c r="AN76" s="145">
        <f t="shared" si="106"/>
        <v>6935</v>
      </c>
      <c r="AO76" s="145">
        <f t="shared" si="106"/>
        <v>7117.5</v>
      </c>
      <c r="AP76" s="145">
        <f t="shared" si="106"/>
        <v>7300</v>
      </c>
      <c r="AQ76" s="145">
        <f t="shared" si="106"/>
        <v>7482.5</v>
      </c>
      <c r="AR76" s="145">
        <f t="shared" si="106"/>
        <v>7665</v>
      </c>
      <c r="AS76" s="145">
        <f t="shared" si="106"/>
        <v>7847.5</v>
      </c>
      <c r="AT76" s="145">
        <f t="shared" si="106"/>
        <v>8030</v>
      </c>
      <c r="AU76" s="145">
        <f t="shared" si="106"/>
        <v>8212.5</v>
      </c>
      <c r="AV76" s="145">
        <f t="shared" si="106"/>
        <v>8395</v>
      </c>
      <c r="AW76" s="145">
        <f t="shared" si="106"/>
        <v>8577.5</v>
      </c>
      <c r="AX76" s="145">
        <f t="shared" si="106"/>
        <v>8760</v>
      </c>
      <c r="AY76" s="145">
        <f t="shared" si="106"/>
        <v>8942.5</v>
      </c>
      <c r="AZ76" s="145">
        <f t="shared" si="106"/>
        <v>9125</v>
      </c>
      <c r="BA76" s="145">
        <f t="shared" si="106"/>
        <v>9307.5</v>
      </c>
      <c r="BB76" s="145">
        <f t="shared" si="106"/>
        <v>9490</v>
      </c>
      <c r="BC76" s="145">
        <f t="shared" si="106"/>
        <v>9672.5</v>
      </c>
      <c r="BD76" s="145">
        <f t="shared" si="106"/>
        <v>9855</v>
      </c>
      <c r="BE76" s="145">
        <f t="shared" si="106"/>
        <v>10037.5</v>
      </c>
      <c r="BF76" s="145">
        <f t="shared" si="106"/>
        <v>10220</v>
      </c>
      <c r="BG76" s="145">
        <f t="shared" si="106"/>
        <v>10402.5</v>
      </c>
      <c r="BH76" s="145">
        <f t="shared" si="106"/>
        <v>10585</v>
      </c>
      <c r="BI76" s="145">
        <f t="shared" si="106"/>
        <v>10767.5</v>
      </c>
      <c r="BJ76" s="145">
        <f t="shared" si="106"/>
        <v>10950</v>
      </c>
      <c r="BK76" s="145">
        <f t="shared" si="106"/>
        <v>11132.5</v>
      </c>
      <c r="BL76" s="145">
        <f t="shared" si="106"/>
        <v>11315</v>
      </c>
      <c r="BM76" s="145">
        <f t="shared" si="106"/>
        <v>11497.5</v>
      </c>
      <c r="BN76" s="145">
        <f t="shared" si="106"/>
        <v>11680</v>
      </c>
      <c r="BO76" s="145">
        <f t="shared" si="106"/>
        <v>11862.5</v>
      </c>
      <c r="BP76" s="145">
        <f t="shared" si="106"/>
        <v>12045</v>
      </c>
      <c r="BQ76" s="145">
        <f t="shared" ref="BQ76:CB76" si="107">BP76+IF($G25=1,365,182.5)</f>
        <v>12227.5</v>
      </c>
      <c r="BR76" s="145">
        <f t="shared" si="107"/>
        <v>12410</v>
      </c>
      <c r="BS76" s="145">
        <f t="shared" si="107"/>
        <v>12592.5</v>
      </c>
      <c r="BT76" s="145">
        <f t="shared" si="107"/>
        <v>12775</v>
      </c>
      <c r="BU76" s="145">
        <f t="shared" si="107"/>
        <v>12957.5</v>
      </c>
      <c r="BV76" s="145">
        <f t="shared" si="107"/>
        <v>13140</v>
      </c>
      <c r="BW76" s="145">
        <f t="shared" si="107"/>
        <v>13322.5</v>
      </c>
      <c r="BX76" s="145">
        <f t="shared" si="107"/>
        <v>13505</v>
      </c>
      <c r="BY76" s="145">
        <f t="shared" si="107"/>
        <v>13687.5</v>
      </c>
      <c r="BZ76" s="145">
        <f t="shared" si="107"/>
        <v>13870</v>
      </c>
      <c r="CA76" s="145">
        <f t="shared" si="107"/>
        <v>14052.5</v>
      </c>
      <c r="CB76" s="146">
        <f t="shared" si="107"/>
        <v>14235</v>
      </c>
      <c r="CF76" s="9"/>
      <c r="CG76" s="9"/>
      <c r="CH76" s="9"/>
      <c r="CI76" s="9"/>
      <c r="CJ76" s="9"/>
      <c r="CK76" s="9"/>
      <c r="CL76" s="9"/>
      <c r="CM76" s="9"/>
      <c r="CN76" s="9"/>
      <c r="CO76" s="9"/>
      <c r="CP76" s="9"/>
      <c r="CQ76" s="9"/>
      <c r="CR76" s="9"/>
      <c r="CS76" s="9"/>
      <c r="CT76" s="9"/>
      <c r="CU76" s="9"/>
      <c r="CV76" s="9"/>
      <c r="CW76" s="9"/>
      <c r="CX76" s="9"/>
      <c r="CY76" s="9"/>
      <c r="CZ76" s="9"/>
      <c r="DA76" s="9"/>
      <c r="DB76" s="9"/>
      <c r="DC76" s="9"/>
      <c r="DD76" s="9"/>
      <c r="DE76" s="9"/>
      <c r="DF76" s="9"/>
      <c r="DG76" s="9"/>
      <c r="DH76" s="9"/>
      <c r="DI76" s="9"/>
      <c r="DJ76" s="9"/>
      <c r="DK76" s="9"/>
    </row>
    <row r="77" spans="1:115">
      <c r="A77" s="143" t="s">
        <v>128</v>
      </c>
      <c r="B77" s="147">
        <f>(IF(B76=F25,100,0)+IF(G25=1,1,0.5)*J25*100)*IF(ISBLANK(F25)=TRUE,0,1)</f>
        <v>0</v>
      </c>
      <c r="C77" s="148">
        <f>IF(C76&gt;$F25+1,0,1)*(IF(D77=0,100,0)+IF($G25=1,1,0.5)*$J25*100)</f>
        <v>0</v>
      </c>
      <c r="D77" s="148">
        <f t="shared" ref="D77:BO77" si="108">IF(D76&gt;$F25+1,0,1)*(IF(E77=0,100,0)+IF($G25=1,1,0.5)*$J25*100)</f>
        <v>0</v>
      </c>
      <c r="E77" s="148">
        <f t="shared" si="108"/>
        <v>0</v>
      </c>
      <c r="F77" s="148">
        <f t="shared" si="108"/>
        <v>0</v>
      </c>
      <c r="G77" s="148">
        <f t="shared" si="108"/>
        <v>0</v>
      </c>
      <c r="H77" s="148">
        <f t="shared" si="108"/>
        <v>0</v>
      </c>
      <c r="I77" s="148">
        <f t="shared" si="108"/>
        <v>0</v>
      </c>
      <c r="J77" s="148">
        <f t="shared" si="108"/>
        <v>0</v>
      </c>
      <c r="K77" s="148">
        <f t="shared" si="108"/>
        <v>0</v>
      </c>
      <c r="L77" s="148">
        <f t="shared" si="108"/>
        <v>0</v>
      </c>
      <c r="M77" s="148">
        <f t="shared" si="108"/>
        <v>0</v>
      </c>
      <c r="N77" s="148">
        <f t="shared" si="108"/>
        <v>0</v>
      </c>
      <c r="O77" s="148">
        <f t="shared" si="108"/>
        <v>0</v>
      </c>
      <c r="P77" s="148">
        <f t="shared" si="108"/>
        <v>0</v>
      </c>
      <c r="Q77" s="148">
        <f t="shared" si="108"/>
        <v>0</v>
      </c>
      <c r="R77" s="148">
        <f t="shared" si="108"/>
        <v>0</v>
      </c>
      <c r="S77" s="148">
        <f t="shared" si="108"/>
        <v>0</v>
      </c>
      <c r="T77" s="148">
        <f t="shared" si="108"/>
        <v>0</v>
      </c>
      <c r="U77" s="148">
        <f t="shared" si="108"/>
        <v>0</v>
      </c>
      <c r="V77" s="148">
        <f t="shared" si="108"/>
        <v>0</v>
      </c>
      <c r="W77" s="148">
        <f t="shared" si="108"/>
        <v>0</v>
      </c>
      <c r="X77" s="148">
        <f t="shared" si="108"/>
        <v>0</v>
      </c>
      <c r="Y77" s="148">
        <f t="shared" si="108"/>
        <v>0</v>
      </c>
      <c r="Z77" s="148">
        <f t="shared" si="108"/>
        <v>0</v>
      </c>
      <c r="AA77" s="148">
        <f t="shared" si="108"/>
        <v>0</v>
      </c>
      <c r="AB77" s="148">
        <f t="shared" si="108"/>
        <v>0</v>
      </c>
      <c r="AC77" s="148">
        <f t="shared" si="108"/>
        <v>0</v>
      </c>
      <c r="AD77" s="148">
        <f t="shared" si="108"/>
        <v>0</v>
      </c>
      <c r="AE77" s="148">
        <f t="shared" si="108"/>
        <v>0</v>
      </c>
      <c r="AF77" s="148">
        <f t="shared" si="108"/>
        <v>0</v>
      </c>
      <c r="AG77" s="148">
        <f t="shared" si="108"/>
        <v>0</v>
      </c>
      <c r="AH77" s="148">
        <f t="shared" si="108"/>
        <v>0</v>
      </c>
      <c r="AI77" s="148">
        <f t="shared" si="108"/>
        <v>0</v>
      </c>
      <c r="AJ77" s="148">
        <f t="shared" si="108"/>
        <v>0</v>
      </c>
      <c r="AK77" s="148">
        <f t="shared" si="108"/>
        <v>0</v>
      </c>
      <c r="AL77" s="148">
        <f t="shared" si="108"/>
        <v>0</v>
      </c>
      <c r="AM77" s="148">
        <f t="shared" si="108"/>
        <v>0</v>
      </c>
      <c r="AN77" s="148">
        <f t="shared" si="108"/>
        <v>0</v>
      </c>
      <c r="AO77" s="148">
        <f t="shared" si="108"/>
        <v>0</v>
      </c>
      <c r="AP77" s="148">
        <f t="shared" si="108"/>
        <v>0</v>
      </c>
      <c r="AQ77" s="148">
        <f t="shared" si="108"/>
        <v>0</v>
      </c>
      <c r="AR77" s="148">
        <f t="shared" si="108"/>
        <v>0</v>
      </c>
      <c r="AS77" s="148">
        <f t="shared" si="108"/>
        <v>0</v>
      </c>
      <c r="AT77" s="148">
        <f t="shared" si="108"/>
        <v>0</v>
      </c>
      <c r="AU77" s="148">
        <f t="shared" si="108"/>
        <v>0</v>
      </c>
      <c r="AV77" s="148">
        <f t="shared" si="108"/>
        <v>0</v>
      </c>
      <c r="AW77" s="148">
        <f t="shared" si="108"/>
        <v>0</v>
      </c>
      <c r="AX77" s="148">
        <f t="shared" si="108"/>
        <v>0</v>
      </c>
      <c r="AY77" s="148">
        <f t="shared" si="108"/>
        <v>0</v>
      </c>
      <c r="AZ77" s="148">
        <f t="shared" si="108"/>
        <v>0</v>
      </c>
      <c r="BA77" s="148">
        <f t="shared" si="108"/>
        <v>0</v>
      </c>
      <c r="BB77" s="148">
        <f t="shared" si="108"/>
        <v>0</v>
      </c>
      <c r="BC77" s="148">
        <f t="shared" si="108"/>
        <v>0</v>
      </c>
      <c r="BD77" s="148">
        <f t="shared" si="108"/>
        <v>0</v>
      </c>
      <c r="BE77" s="148">
        <f t="shared" si="108"/>
        <v>0</v>
      </c>
      <c r="BF77" s="148">
        <f t="shared" si="108"/>
        <v>0</v>
      </c>
      <c r="BG77" s="148">
        <f t="shared" si="108"/>
        <v>0</v>
      </c>
      <c r="BH77" s="148">
        <f t="shared" si="108"/>
        <v>0</v>
      </c>
      <c r="BI77" s="148">
        <f t="shared" si="108"/>
        <v>0</v>
      </c>
      <c r="BJ77" s="148">
        <f t="shared" si="108"/>
        <v>0</v>
      </c>
      <c r="BK77" s="148">
        <f t="shared" si="108"/>
        <v>0</v>
      </c>
      <c r="BL77" s="148">
        <f t="shared" si="108"/>
        <v>0</v>
      </c>
      <c r="BM77" s="148">
        <f t="shared" si="108"/>
        <v>0</v>
      </c>
      <c r="BN77" s="148">
        <f t="shared" si="108"/>
        <v>0</v>
      </c>
      <c r="BO77" s="148">
        <f t="shared" si="108"/>
        <v>0</v>
      </c>
      <c r="BP77" s="148">
        <f t="shared" ref="BP77:CB77" si="109">IF(BP76&gt;$F25+1,0,1)*(IF(BQ77=0,100,0)+IF($G25=1,1,0.5)*$J25*100)</f>
        <v>0</v>
      </c>
      <c r="BQ77" s="148">
        <f t="shared" si="109"/>
        <v>0</v>
      </c>
      <c r="BR77" s="148">
        <f t="shared" si="109"/>
        <v>0</v>
      </c>
      <c r="BS77" s="148">
        <f t="shared" si="109"/>
        <v>0</v>
      </c>
      <c r="BT77" s="148">
        <f t="shared" si="109"/>
        <v>0</v>
      </c>
      <c r="BU77" s="148">
        <f t="shared" si="109"/>
        <v>0</v>
      </c>
      <c r="BV77" s="148">
        <f t="shared" si="109"/>
        <v>0</v>
      </c>
      <c r="BW77" s="148">
        <f t="shared" si="109"/>
        <v>0</v>
      </c>
      <c r="BX77" s="148">
        <f t="shared" si="109"/>
        <v>0</v>
      </c>
      <c r="BY77" s="148">
        <f t="shared" si="109"/>
        <v>0</v>
      </c>
      <c r="BZ77" s="148">
        <f t="shared" si="109"/>
        <v>0</v>
      </c>
      <c r="CA77" s="148">
        <f t="shared" si="109"/>
        <v>0</v>
      </c>
      <c r="CB77" s="154">
        <f t="shared" si="109"/>
        <v>0</v>
      </c>
      <c r="CF77" s="9"/>
      <c r="CG77" s="9"/>
      <c r="CH77" s="9"/>
      <c r="CI77" s="9"/>
      <c r="CJ77" s="9"/>
      <c r="CK77" s="9"/>
      <c r="CL77" s="9"/>
      <c r="CM77" s="9"/>
      <c r="CN77" s="9"/>
      <c r="CO77" s="9"/>
      <c r="CP77" s="9"/>
      <c r="CQ77" s="9"/>
      <c r="CR77" s="9"/>
      <c r="CS77" s="9"/>
      <c r="CT77" s="9"/>
      <c r="CU77" s="9"/>
      <c r="CV77" s="9"/>
      <c r="CW77" s="9"/>
      <c r="CX77" s="9"/>
      <c r="CY77" s="9"/>
      <c r="CZ77" s="9"/>
      <c r="DA77" s="9"/>
      <c r="DB77" s="9"/>
      <c r="DC77" s="9"/>
      <c r="DD77" s="9"/>
      <c r="DE77" s="9"/>
      <c r="DF77" s="9"/>
      <c r="DG77" s="9"/>
      <c r="DH77" s="9"/>
      <c r="DI77" s="9"/>
      <c r="DJ77" s="9"/>
      <c r="DK77" s="9"/>
    </row>
    <row r="78" spans="1:115">
      <c r="A78" s="243" t="s">
        <v>49</v>
      </c>
      <c r="B78" s="185">
        <f>IF(E26=0,F26,E26)</f>
        <v>0</v>
      </c>
      <c r="C78" s="38">
        <f>B78+IF($G26=1,365,182.5)</f>
        <v>182.5</v>
      </c>
      <c r="D78" s="38">
        <f>C78+IF($G26=1,365,182.5)</f>
        <v>365</v>
      </c>
      <c r="E78" s="38">
        <f t="shared" ref="E78:BP78" si="110">D78+IF($G26=1,365,182.5)</f>
        <v>547.5</v>
      </c>
      <c r="F78" s="38">
        <f t="shared" si="110"/>
        <v>730</v>
      </c>
      <c r="G78" s="38">
        <f t="shared" si="110"/>
        <v>912.5</v>
      </c>
      <c r="H78" s="38">
        <f t="shared" si="110"/>
        <v>1095</v>
      </c>
      <c r="I78" s="38">
        <f t="shared" si="110"/>
        <v>1277.5</v>
      </c>
      <c r="J78" s="38">
        <f t="shared" si="110"/>
        <v>1460</v>
      </c>
      <c r="K78" s="38">
        <f t="shared" si="110"/>
        <v>1642.5</v>
      </c>
      <c r="L78" s="38">
        <f t="shared" si="110"/>
        <v>1825</v>
      </c>
      <c r="M78" s="38">
        <f t="shared" si="110"/>
        <v>2007.5</v>
      </c>
      <c r="N78" s="38">
        <f t="shared" si="110"/>
        <v>2190</v>
      </c>
      <c r="O78" s="38">
        <f t="shared" si="110"/>
        <v>2372.5</v>
      </c>
      <c r="P78" s="38">
        <f t="shared" si="110"/>
        <v>2555</v>
      </c>
      <c r="Q78" s="38">
        <f t="shared" si="110"/>
        <v>2737.5</v>
      </c>
      <c r="R78" s="38">
        <f t="shared" si="110"/>
        <v>2920</v>
      </c>
      <c r="S78" s="38">
        <f t="shared" si="110"/>
        <v>3102.5</v>
      </c>
      <c r="T78" s="38">
        <f t="shared" si="110"/>
        <v>3285</v>
      </c>
      <c r="U78" s="38">
        <f t="shared" si="110"/>
        <v>3467.5</v>
      </c>
      <c r="V78" s="38">
        <f t="shared" si="110"/>
        <v>3650</v>
      </c>
      <c r="W78" s="38">
        <f t="shared" si="110"/>
        <v>3832.5</v>
      </c>
      <c r="X78" s="38">
        <f t="shared" si="110"/>
        <v>4015</v>
      </c>
      <c r="Y78" s="38">
        <f t="shared" si="110"/>
        <v>4197.5</v>
      </c>
      <c r="Z78" s="38">
        <f t="shared" si="110"/>
        <v>4380</v>
      </c>
      <c r="AA78" s="38">
        <f t="shared" si="110"/>
        <v>4562.5</v>
      </c>
      <c r="AB78" s="38">
        <f t="shared" si="110"/>
        <v>4745</v>
      </c>
      <c r="AC78" s="38">
        <f t="shared" si="110"/>
        <v>4927.5</v>
      </c>
      <c r="AD78" s="38">
        <f t="shared" si="110"/>
        <v>5110</v>
      </c>
      <c r="AE78" s="38">
        <f t="shared" si="110"/>
        <v>5292.5</v>
      </c>
      <c r="AF78" s="38">
        <f t="shared" si="110"/>
        <v>5475</v>
      </c>
      <c r="AG78" s="38">
        <f t="shared" si="110"/>
        <v>5657.5</v>
      </c>
      <c r="AH78" s="38">
        <f t="shared" si="110"/>
        <v>5840</v>
      </c>
      <c r="AI78" s="38">
        <f t="shared" si="110"/>
        <v>6022.5</v>
      </c>
      <c r="AJ78" s="38">
        <f t="shared" si="110"/>
        <v>6205</v>
      </c>
      <c r="AK78" s="38">
        <f t="shared" si="110"/>
        <v>6387.5</v>
      </c>
      <c r="AL78" s="38">
        <f t="shared" si="110"/>
        <v>6570</v>
      </c>
      <c r="AM78" s="38">
        <f t="shared" si="110"/>
        <v>6752.5</v>
      </c>
      <c r="AN78" s="38">
        <f t="shared" si="110"/>
        <v>6935</v>
      </c>
      <c r="AO78" s="38">
        <f t="shared" si="110"/>
        <v>7117.5</v>
      </c>
      <c r="AP78" s="38">
        <f t="shared" si="110"/>
        <v>7300</v>
      </c>
      <c r="AQ78" s="38">
        <f t="shared" si="110"/>
        <v>7482.5</v>
      </c>
      <c r="AR78" s="38">
        <f t="shared" si="110"/>
        <v>7665</v>
      </c>
      <c r="AS78" s="38">
        <f t="shared" si="110"/>
        <v>7847.5</v>
      </c>
      <c r="AT78" s="38">
        <f t="shared" si="110"/>
        <v>8030</v>
      </c>
      <c r="AU78" s="38">
        <f t="shared" si="110"/>
        <v>8212.5</v>
      </c>
      <c r="AV78" s="38">
        <f t="shared" si="110"/>
        <v>8395</v>
      </c>
      <c r="AW78" s="38">
        <f t="shared" si="110"/>
        <v>8577.5</v>
      </c>
      <c r="AX78" s="38">
        <f t="shared" si="110"/>
        <v>8760</v>
      </c>
      <c r="AY78" s="38">
        <f t="shared" si="110"/>
        <v>8942.5</v>
      </c>
      <c r="AZ78" s="38">
        <f t="shared" si="110"/>
        <v>9125</v>
      </c>
      <c r="BA78" s="38">
        <f t="shared" si="110"/>
        <v>9307.5</v>
      </c>
      <c r="BB78" s="38">
        <f t="shared" si="110"/>
        <v>9490</v>
      </c>
      <c r="BC78" s="38">
        <f t="shared" si="110"/>
        <v>9672.5</v>
      </c>
      <c r="BD78" s="38">
        <f t="shared" si="110"/>
        <v>9855</v>
      </c>
      <c r="BE78" s="38">
        <f t="shared" si="110"/>
        <v>10037.5</v>
      </c>
      <c r="BF78" s="38">
        <f t="shared" si="110"/>
        <v>10220</v>
      </c>
      <c r="BG78" s="38">
        <f t="shared" si="110"/>
        <v>10402.5</v>
      </c>
      <c r="BH78" s="38">
        <f t="shared" si="110"/>
        <v>10585</v>
      </c>
      <c r="BI78" s="38">
        <f t="shared" si="110"/>
        <v>10767.5</v>
      </c>
      <c r="BJ78" s="38">
        <f t="shared" si="110"/>
        <v>10950</v>
      </c>
      <c r="BK78" s="38">
        <f t="shared" si="110"/>
        <v>11132.5</v>
      </c>
      <c r="BL78" s="38">
        <f t="shared" si="110"/>
        <v>11315</v>
      </c>
      <c r="BM78" s="38">
        <f t="shared" si="110"/>
        <v>11497.5</v>
      </c>
      <c r="BN78" s="38">
        <f t="shared" si="110"/>
        <v>11680</v>
      </c>
      <c r="BO78" s="38">
        <f t="shared" si="110"/>
        <v>11862.5</v>
      </c>
      <c r="BP78" s="38">
        <f t="shared" si="110"/>
        <v>12045</v>
      </c>
      <c r="BQ78" s="38">
        <f t="shared" ref="BQ78:CB78" si="111">BP78+IF($G26=1,365,182.5)</f>
        <v>12227.5</v>
      </c>
      <c r="BR78" s="38">
        <f t="shared" si="111"/>
        <v>12410</v>
      </c>
      <c r="BS78" s="38">
        <f t="shared" si="111"/>
        <v>12592.5</v>
      </c>
      <c r="BT78" s="38">
        <f t="shared" si="111"/>
        <v>12775</v>
      </c>
      <c r="BU78" s="38">
        <f t="shared" si="111"/>
        <v>12957.5</v>
      </c>
      <c r="BV78" s="38">
        <f t="shared" si="111"/>
        <v>13140</v>
      </c>
      <c r="BW78" s="38">
        <f t="shared" si="111"/>
        <v>13322.5</v>
      </c>
      <c r="BX78" s="38">
        <f t="shared" si="111"/>
        <v>13505</v>
      </c>
      <c r="BY78" s="38">
        <f t="shared" si="111"/>
        <v>13687.5</v>
      </c>
      <c r="BZ78" s="38">
        <f t="shared" si="111"/>
        <v>13870</v>
      </c>
      <c r="CA78" s="38">
        <f t="shared" si="111"/>
        <v>14052.5</v>
      </c>
      <c r="CB78" s="39">
        <f t="shared" si="111"/>
        <v>14235</v>
      </c>
      <c r="CF78" s="9"/>
      <c r="CG78" s="9"/>
      <c r="CH78" s="9"/>
      <c r="CI78" s="9"/>
      <c r="CJ78" s="9"/>
      <c r="CK78" s="9"/>
      <c r="CL78" s="9"/>
      <c r="CM78" s="9"/>
      <c r="CN78" s="9"/>
      <c r="CO78" s="9"/>
      <c r="CP78" s="9"/>
      <c r="CQ78" s="9"/>
      <c r="CR78" s="9"/>
      <c r="CS78" s="9"/>
      <c r="CT78" s="9"/>
      <c r="CU78" s="9"/>
      <c r="CV78" s="9"/>
      <c r="CW78" s="9"/>
      <c r="CX78" s="9"/>
      <c r="CY78" s="9"/>
      <c r="CZ78" s="9"/>
      <c r="DA78" s="9"/>
      <c r="DB78" s="9"/>
      <c r="DC78" s="9"/>
      <c r="DD78" s="9"/>
      <c r="DE78" s="9"/>
      <c r="DF78" s="9"/>
      <c r="DG78" s="9"/>
      <c r="DH78" s="9"/>
      <c r="DI78" s="9"/>
      <c r="DJ78" s="9"/>
      <c r="DK78" s="9"/>
    </row>
    <row r="79" spans="1:115">
      <c r="A79" s="23" t="s">
        <v>129</v>
      </c>
      <c r="B79" s="106">
        <f>(IF(B78=F26,100,0)+IF(G26=1,1,0.5)*J26*100)*IF(ISBLANK(F26)=TRUE,0,1)</f>
        <v>0</v>
      </c>
      <c r="C79" s="40">
        <f>IF(C78&gt;$F26+1,0,1)*(IF(D79=0,100,0)+IF($G26=1,1,0.5)*$J26*100)</f>
        <v>0</v>
      </c>
      <c r="D79" s="40">
        <f t="shared" ref="D79:BO79" si="112">IF(D78&gt;$F26+1,0,1)*(IF(E79=0,100,0)+IF($G26=1,1,0.5)*$J26*100)</f>
        <v>0</v>
      </c>
      <c r="E79" s="40">
        <f t="shared" si="112"/>
        <v>0</v>
      </c>
      <c r="F79" s="40">
        <f t="shared" si="112"/>
        <v>0</v>
      </c>
      <c r="G79" s="40">
        <f t="shared" si="112"/>
        <v>0</v>
      </c>
      <c r="H79" s="40">
        <f t="shared" si="112"/>
        <v>0</v>
      </c>
      <c r="I79" s="40">
        <f t="shared" si="112"/>
        <v>0</v>
      </c>
      <c r="J79" s="40">
        <f t="shared" si="112"/>
        <v>0</v>
      </c>
      <c r="K79" s="40">
        <f t="shared" si="112"/>
        <v>0</v>
      </c>
      <c r="L79" s="40">
        <f t="shared" si="112"/>
        <v>0</v>
      </c>
      <c r="M79" s="40">
        <f t="shared" si="112"/>
        <v>0</v>
      </c>
      <c r="N79" s="40">
        <f t="shared" si="112"/>
        <v>0</v>
      </c>
      <c r="O79" s="40">
        <f t="shared" si="112"/>
        <v>0</v>
      </c>
      <c r="P79" s="40">
        <f t="shared" si="112"/>
        <v>0</v>
      </c>
      <c r="Q79" s="40">
        <f t="shared" si="112"/>
        <v>0</v>
      </c>
      <c r="R79" s="40">
        <f t="shared" si="112"/>
        <v>0</v>
      </c>
      <c r="S79" s="40">
        <f t="shared" si="112"/>
        <v>0</v>
      </c>
      <c r="T79" s="40">
        <f t="shared" si="112"/>
        <v>0</v>
      </c>
      <c r="U79" s="40">
        <f t="shared" si="112"/>
        <v>0</v>
      </c>
      <c r="V79" s="40">
        <f t="shared" si="112"/>
        <v>0</v>
      </c>
      <c r="W79" s="40">
        <f t="shared" si="112"/>
        <v>0</v>
      </c>
      <c r="X79" s="40">
        <f t="shared" si="112"/>
        <v>0</v>
      </c>
      <c r="Y79" s="40">
        <f t="shared" si="112"/>
        <v>0</v>
      </c>
      <c r="Z79" s="40">
        <f t="shared" si="112"/>
        <v>0</v>
      </c>
      <c r="AA79" s="40">
        <f t="shared" si="112"/>
        <v>0</v>
      </c>
      <c r="AB79" s="40">
        <f t="shared" si="112"/>
        <v>0</v>
      </c>
      <c r="AC79" s="40">
        <f t="shared" si="112"/>
        <v>0</v>
      </c>
      <c r="AD79" s="40">
        <f t="shared" si="112"/>
        <v>0</v>
      </c>
      <c r="AE79" s="40">
        <f t="shared" si="112"/>
        <v>0</v>
      </c>
      <c r="AF79" s="40">
        <f t="shared" si="112"/>
        <v>0</v>
      </c>
      <c r="AG79" s="40">
        <f t="shared" si="112"/>
        <v>0</v>
      </c>
      <c r="AH79" s="40">
        <f t="shared" si="112"/>
        <v>0</v>
      </c>
      <c r="AI79" s="40">
        <f t="shared" si="112"/>
        <v>0</v>
      </c>
      <c r="AJ79" s="40">
        <f t="shared" si="112"/>
        <v>0</v>
      </c>
      <c r="AK79" s="40">
        <f t="shared" si="112"/>
        <v>0</v>
      </c>
      <c r="AL79" s="40">
        <f t="shared" si="112"/>
        <v>0</v>
      </c>
      <c r="AM79" s="40">
        <f t="shared" si="112"/>
        <v>0</v>
      </c>
      <c r="AN79" s="40">
        <f t="shared" si="112"/>
        <v>0</v>
      </c>
      <c r="AO79" s="40">
        <f t="shared" si="112"/>
        <v>0</v>
      </c>
      <c r="AP79" s="40">
        <f t="shared" si="112"/>
        <v>0</v>
      </c>
      <c r="AQ79" s="40">
        <f t="shared" si="112"/>
        <v>0</v>
      </c>
      <c r="AR79" s="40">
        <f t="shared" si="112"/>
        <v>0</v>
      </c>
      <c r="AS79" s="40">
        <f t="shared" si="112"/>
        <v>0</v>
      </c>
      <c r="AT79" s="40">
        <f t="shared" si="112"/>
        <v>0</v>
      </c>
      <c r="AU79" s="40">
        <f t="shared" si="112"/>
        <v>0</v>
      </c>
      <c r="AV79" s="40">
        <f t="shared" si="112"/>
        <v>0</v>
      </c>
      <c r="AW79" s="40">
        <f t="shared" si="112"/>
        <v>0</v>
      </c>
      <c r="AX79" s="40">
        <f t="shared" si="112"/>
        <v>0</v>
      </c>
      <c r="AY79" s="40">
        <f t="shared" si="112"/>
        <v>0</v>
      </c>
      <c r="AZ79" s="40">
        <f t="shared" si="112"/>
        <v>0</v>
      </c>
      <c r="BA79" s="40">
        <f t="shared" si="112"/>
        <v>0</v>
      </c>
      <c r="BB79" s="40">
        <f t="shared" si="112"/>
        <v>0</v>
      </c>
      <c r="BC79" s="40">
        <f t="shared" si="112"/>
        <v>0</v>
      </c>
      <c r="BD79" s="40">
        <f t="shared" si="112"/>
        <v>0</v>
      </c>
      <c r="BE79" s="40">
        <f t="shared" si="112"/>
        <v>0</v>
      </c>
      <c r="BF79" s="40">
        <f t="shared" si="112"/>
        <v>0</v>
      </c>
      <c r="BG79" s="40">
        <f t="shared" si="112"/>
        <v>0</v>
      </c>
      <c r="BH79" s="40">
        <f t="shared" si="112"/>
        <v>0</v>
      </c>
      <c r="BI79" s="40">
        <f t="shared" si="112"/>
        <v>0</v>
      </c>
      <c r="BJ79" s="40">
        <f t="shared" si="112"/>
        <v>0</v>
      </c>
      <c r="BK79" s="40">
        <f t="shared" si="112"/>
        <v>0</v>
      </c>
      <c r="BL79" s="40">
        <f t="shared" si="112"/>
        <v>0</v>
      </c>
      <c r="BM79" s="40">
        <f t="shared" si="112"/>
        <v>0</v>
      </c>
      <c r="BN79" s="40">
        <f t="shared" si="112"/>
        <v>0</v>
      </c>
      <c r="BO79" s="40">
        <f t="shared" si="112"/>
        <v>0</v>
      </c>
      <c r="BP79" s="40">
        <f t="shared" ref="BP79:CB79" si="113">IF(BP78&gt;$F26+1,0,1)*(IF(BQ79=0,100,0)+IF($G26=1,1,0.5)*$J26*100)</f>
        <v>0</v>
      </c>
      <c r="BQ79" s="40">
        <f t="shared" si="113"/>
        <v>0</v>
      </c>
      <c r="BR79" s="40">
        <f t="shared" si="113"/>
        <v>0</v>
      </c>
      <c r="BS79" s="40">
        <f t="shared" si="113"/>
        <v>0</v>
      </c>
      <c r="BT79" s="40">
        <f t="shared" si="113"/>
        <v>0</v>
      </c>
      <c r="BU79" s="40">
        <f t="shared" si="113"/>
        <v>0</v>
      </c>
      <c r="BV79" s="40">
        <f t="shared" si="113"/>
        <v>0</v>
      </c>
      <c r="BW79" s="40">
        <f t="shared" si="113"/>
        <v>0</v>
      </c>
      <c r="BX79" s="40">
        <f t="shared" si="113"/>
        <v>0</v>
      </c>
      <c r="BY79" s="40">
        <f t="shared" si="113"/>
        <v>0</v>
      </c>
      <c r="BZ79" s="40">
        <f t="shared" si="113"/>
        <v>0</v>
      </c>
      <c r="CA79" s="40">
        <f t="shared" si="113"/>
        <v>0</v>
      </c>
      <c r="CB79" s="41">
        <f t="shared" si="113"/>
        <v>0</v>
      </c>
      <c r="CF79" s="9"/>
      <c r="CG79" s="9"/>
      <c r="CH79" s="9"/>
      <c r="CI79" s="9"/>
      <c r="CJ79" s="9"/>
      <c r="CK79" s="9"/>
      <c r="CL79" s="9"/>
      <c r="CM79" s="9"/>
      <c r="CN79" s="9"/>
      <c r="CO79" s="9"/>
      <c r="CP79" s="9"/>
      <c r="CQ79" s="9"/>
      <c r="CR79" s="9"/>
      <c r="CS79" s="9"/>
      <c r="CT79" s="9"/>
      <c r="CU79" s="9"/>
      <c r="CV79" s="9"/>
      <c r="CW79" s="9"/>
      <c r="CX79" s="9"/>
      <c r="CY79" s="9"/>
      <c r="CZ79" s="9"/>
      <c r="DA79" s="9"/>
      <c r="DB79" s="9"/>
      <c r="DC79" s="9"/>
      <c r="DD79" s="9"/>
      <c r="DE79" s="9"/>
      <c r="DF79" s="9"/>
      <c r="DG79" s="9"/>
      <c r="DH79" s="9"/>
      <c r="DI79" s="9"/>
      <c r="DJ79" s="9"/>
      <c r="DK79" s="9"/>
    </row>
    <row r="80" spans="1:115">
      <c r="A80" s="520" t="s">
        <v>49</v>
      </c>
      <c r="B80" s="186">
        <f>IF(E27=0,F27,E27)</f>
        <v>0</v>
      </c>
      <c r="C80" s="80">
        <f>B80+IF($G27=1,365,182.5)</f>
        <v>182.5</v>
      </c>
      <c r="D80" s="80">
        <f>C80+IF($G27=1,365,182.5)</f>
        <v>365</v>
      </c>
      <c r="E80" s="80">
        <f t="shared" ref="E80:BP80" si="114">D80+IF($G27=1,365,182.5)</f>
        <v>547.5</v>
      </c>
      <c r="F80" s="80">
        <f t="shared" si="114"/>
        <v>730</v>
      </c>
      <c r="G80" s="80">
        <f t="shared" si="114"/>
        <v>912.5</v>
      </c>
      <c r="H80" s="80">
        <f t="shared" si="114"/>
        <v>1095</v>
      </c>
      <c r="I80" s="80">
        <f t="shared" si="114"/>
        <v>1277.5</v>
      </c>
      <c r="J80" s="80">
        <f t="shared" si="114"/>
        <v>1460</v>
      </c>
      <c r="K80" s="80">
        <f t="shared" si="114"/>
        <v>1642.5</v>
      </c>
      <c r="L80" s="80">
        <f t="shared" si="114"/>
        <v>1825</v>
      </c>
      <c r="M80" s="80">
        <f t="shared" si="114"/>
        <v>2007.5</v>
      </c>
      <c r="N80" s="80">
        <f t="shared" si="114"/>
        <v>2190</v>
      </c>
      <c r="O80" s="80">
        <f t="shared" si="114"/>
        <v>2372.5</v>
      </c>
      <c r="P80" s="80">
        <f t="shared" si="114"/>
        <v>2555</v>
      </c>
      <c r="Q80" s="80">
        <f t="shared" si="114"/>
        <v>2737.5</v>
      </c>
      <c r="R80" s="80">
        <f t="shared" si="114"/>
        <v>2920</v>
      </c>
      <c r="S80" s="80">
        <f t="shared" si="114"/>
        <v>3102.5</v>
      </c>
      <c r="T80" s="80">
        <f t="shared" si="114"/>
        <v>3285</v>
      </c>
      <c r="U80" s="80">
        <f t="shared" si="114"/>
        <v>3467.5</v>
      </c>
      <c r="V80" s="80">
        <f t="shared" si="114"/>
        <v>3650</v>
      </c>
      <c r="W80" s="80">
        <f t="shared" si="114"/>
        <v>3832.5</v>
      </c>
      <c r="X80" s="80">
        <f t="shared" si="114"/>
        <v>4015</v>
      </c>
      <c r="Y80" s="80">
        <f t="shared" si="114"/>
        <v>4197.5</v>
      </c>
      <c r="Z80" s="80">
        <f t="shared" si="114"/>
        <v>4380</v>
      </c>
      <c r="AA80" s="80">
        <f t="shared" si="114"/>
        <v>4562.5</v>
      </c>
      <c r="AB80" s="80">
        <f t="shared" si="114"/>
        <v>4745</v>
      </c>
      <c r="AC80" s="80">
        <f t="shared" si="114"/>
        <v>4927.5</v>
      </c>
      <c r="AD80" s="80">
        <f t="shared" si="114"/>
        <v>5110</v>
      </c>
      <c r="AE80" s="80">
        <f t="shared" si="114"/>
        <v>5292.5</v>
      </c>
      <c r="AF80" s="80">
        <f t="shared" si="114"/>
        <v>5475</v>
      </c>
      <c r="AG80" s="80">
        <f t="shared" si="114"/>
        <v>5657.5</v>
      </c>
      <c r="AH80" s="80">
        <f t="shared" si="114"/>
        <v>5840</v>
      </c>
      <c r="AI80" s="80">
        <f t="shared" si="114"/>
        <v>6022.5</v>
      </c>
      <c r="AJ80" s="80">
        <f t="shared" si="114"/>
        <v>6205</v>
      </c>
      <c r="AK80" s="80">
        <f t="shared" si="114"/>
        <v>6387.5</v>
      </c>
      <c r="AL80" s="80">
        <f t="shared" si="114"/>
        <v>6570</v>
      </c>
      <c r="AM80" s="80">
        <f t="shared" si="114"/>
        <v>6752.5</v>
      </c>
      <c r="AN80" s="80">
        <f t="shared" si="114"/>
        <v>6935</v>
      </c>
      <c r="AO80" s="80">
        <f t="shared" si="114"/>
        <v>7117.5</v>
      </c>
      <c r="AP80" s="80">
        <f t="shared" si="114"/>
        <v>7300</v>
      </c>
      <c r="AQ80" s="80">
        <f t="shared" si="114"/>
        <v>7482.5</v>
      </c>
      <c r="AR80" s="80">
        <f t="shared" si="114"/>
        <v>7665</v>
      </c>
      <c r="AS80" s="80">
        <f t="shared" si="114"/>
        <v>7847.5</v>
      </c>
      <c r="AT80" s="80">
        <f t="shared" si="114"/>
        <v>8030</v>
      </c>
      <c r="AU80" s="80">
        <f t="shared" si="114"/>
        <v>8212.5</v>
      </c>
      <c r="AV80" s="80">
        <f t="shared" si="114"/>
        <v>8395</v>
      </c>
      <c r="AW80" s="80">
        <f t="shared" si="114"/>
        <v>8577.5</v>
      </c>
      <c r="AX80" s="80">
        <f t="shared" si="114"/>
        <v>8760</v>
      </c>
      <c r="AY80" s="80">
        <f t="shared" si="114"/>
        <v>8942.5</v>
      </c>
      <c r="AZ80" s="80">
        <f t="shared" si="114"/>
        <v>9125</v>
      </c>
      <c r="BA80" s="80">
        <f t="shared" si="114"/>
        <v>9307.5</v>
      </c>
      <c r="BB80" s="80">
        <f t="shared" si="114"/>
        <v>9490</v>
      </c>
      <c r="BC80" s="80">
        <f t="shared" si="114"/>
        <v>9672.5</v>
      </c>
      <c r="BD80" s="80">
        <f t="shared" si="114"/>
        <v>9855</v>
      </c>
      <c r="BE80" s="80">
        <f t="shared" si="114"/>
        <v>10037.5</v>
      </c>
      <c r="BF80" s="80">
        <f t="shared" si="114"/>
        <v>10220</v>
      </c>
      <c r="BG80" s="80">
        <f t="shared" si="114"/>
        <v>10402.5</v>
      </c>
      <c r="BH80" s="80">
        <f t="shared" si="114"/>
        <v>10585</v>
      </c>
      <c r="BI80" s="80">
        <f t="shared" si="114"/>
        <v>10767.5</v>
      </c>
      <c r="BJ80" s="80">
        <f t="shared" si="114"/>
        <v>10950</v>
      </c>
      <c r="BK80" s="80">
        <f t="shared" si="114"/>
        <v>11132.5</v>
      </c>
      <c r="BL80" s="80">
        <f t="shared" si="114"/>
        <v>11315</v>
      </c>
      <c r="BM80" s="80">
        <f t="shared" si="114"/>
        <v>11497.5</v>
      </c>
      <c r="BN80" s="80">
        <f t="shared" si="114"/>
        <v>11680</v>
      </c>
      <c r="BO80" s="80">
        <f t="shared" si="114"/>
        <v>11862.5</v>
      </c>
      <c r="BP80" s="80">
        <f t="shared" si="114"/>
        <v>12045</v>
      </c>
      <c r="BQ80" s="80">
        <f t="shared" ref="BQ80:CB80" si="115">BP80+IF($G27=1,365,182.5)</f>
        <v>12227.5</v>
      </c>
      <c r="BR80" s="80">
        <f t="shared" si="115"/>
        <v>12410</v>
      </c>
      <c r="BS80" s="80">
        <f t="shared" si="115"/>
        <v>12592.5</v>
      </c>
      <c r="BT80" s="80">
        <f t="shared" si="115"/>
        <v>12775</v>
      </c>
      <c r="BU80" s="80">
        <f t="shared" si="115"/>
        <v>12957.5</v>
      </c>
      <c r="BV80" s="80">
        <f t="shared" si="115"/>
        <v>13140</v>
      </c>
      <c r="BW80" s="80">
        <f t="shared" si="115"/>
        <v>13322.5</v>
      </c>
      <c r="BX80" s="80">
        <f t="shared" si="115"/>
        <v>13505</v>
      </c>
      <c r="BY80" s="80">
        <f t="shared" si="115"/>
        <v>13687.5</v>
      </c>
      <c r="BZ80" s="80">
        <f t="shared" si="115"/>
        <v>13870</v>
      </c>
      <c r="CA80" s="80">
        <f t="shared" si="115"/>
        <v>14052.5</v>
      </c>
      <c r="CB80" s="81">
        <f t="shared" si="115"/>
        <v>14235</v>
      </c>
      <c r="CF80" s="9"/>
      <c r="CG80" s="9"/>
      <c r="CH80" s="9"/>
      <c r="CI80" s="9"/>
      <c r="CJ80" s="9"/>
      <c r="CK80" s="9"/>
      <c r="CL80" s="9"/>
      <c r="CM80" s="9"/>
      <c r="CN80" s="9"/>
      <c r="CO80" s="9"/>
      <c r="CP80" s="9"/>
      <c r="CQ80" s="9"/>
      <c r="CR80" s="9"/>
      <c r="CS80" s="9"/>
      <c r="CT80" s="9"/>
      <c r="CU80" s="9"/>
      <c r="CV80" s="9"/>
      <c r="CW80" s="9"/>
      <c r="CX80" s="9"/>
      <c r="CY80" s="9"/>
      <c r="CZ80" s="9"/>
      <c r="DA80" s="9"/>
      <c r="DB80" s="9"/>
      <c r="DC80" s="9"/>
      <c r="DD80" s="9"/>
      <c r="DE80" s="9"/>
      <c r="DF80" s="9"/>
      <c r="DG80" s="9"/>
      <c r="DH80" s="9"/>
      <c r="DI80" s="9"/>
      <c r="DJ80" s="9"/>
      <c r="DK80" s="9"/>
    </row>
    <row r="81" spans="1:115">
      <c r="A81" s="222" t="s">
        <v>130</v>
      </c>
      <c r="B81" s="114">
        <f>(IF(B80=F27,100,0)+IF(G27=1,1,0.5)*J27*100)*IF(ISBLANK(F27)=TRUE,0,1)</f>
        <v>0</v>
      </c>
      <c r="C81" s="82">
        <f>IF(C80&gt;$F27+1,0,1)*(IF(D81=0,100,0)+IF($G27=1,1,0.5)*$J27*100)</f>
        <v>0</v>
      </c>
      <c r="D81" s="82">
        <f t="shared" ref="D81:BO81" si="116">IF(D80&gt;$F27+1,0,1)*(IF(E81=0,100,0)+IF($G27=1,1,0.5)*$J27*100)</f>
        <v>0</v>
      </c>
      <c r="E81" s="82">
        <f t="shared" si="116"/>
        <v>0</v>
      </c>
      <c r="F81" s="82">
        <f t="shared" si="116"/>
        <v>0</v>
      </c>
      <c r="G81" s="82">
        <f t="shared" si="116"/>
        <v>0</v>
      </c>
      <c r="H81" s="82">
        <f t="shared" si="116"/>
        <v>0</v>
      </c>
      <c r="I81" s="82">
        <f t="shared" si="116"/>
        <v>0</v>
      </c>
      <c r="J81" s="82">
        <f t="shared" si="116"/>
        <v>0</v>
      </c>
      <c r="K81" s="82">
        <f t="shared" si="116"/>
        <v>0</v>
      </c>
      <c r="L81" s="82">
        <f t="shared" si="116"/>
        <v>0</v>
      </c>
      <c r="M81" s="82">
        <f t="shared" si="116"/>
        <v>0</v>
      </c>
      <c r="N81" s="82">
        <f t="shared" si="116"/>
        <v>0</v>
      </c>
      <c r="O81" s="82">
        <f t="shared" si="116"/>
        <v>0</v>
      </c>
      <c r="P81" s="82">
        <f t="shared" si="116"/>
        <v>0</v>
      </c>
      <c r="Q81" s="82">
        <f t="shared" si="116"/>
        <v>0</v>
      </c>
      <c r="R81" s="82">
        <f t="shared" si="116"/>
        <v>0</v>
      </c>
      <c r="S81" s="82">
        <f t="shared" si="116"/>
        <v>0</v>
      </c>
      <c r="T81" s="82">
        <f t="shared" si="116"/>
        <v>0</v>
      </c>
      <c r="U81" s="82">
        <f t="shared" si="116"/>
        <v>0</v>
      </c>
      <c r="V81" s="82">
        <f t="shared" si="116"/>
        <v>0</v>
      </c>
      <c r="W81" s="82">
        <f t="shared" si="116"/>
        <v>0</v>
      </c>
      <c r="X81" s="82">
        <f t="shared" si="116"/>
        <v>0</v>
      </c>
      <c r="Y81" s="82">
        <f t="shared" si="116"/>
        <v>0</v>
      </c>
      <c r="Z81" s="82">
        <f t="shared" si="116"/>
        <v>0</v>
      </c>
      <c r="AA81" s="82">
        <f t="shared" si="116"/>
        <v>0</v>
      </c>
      <c r="AB81" s="82">
        <f t="shared" si="116"/>
        <v>0</v>
      </c>
      <c r="AC81" s="82">
        <f t="shared" si="116"/>
        <v>0</v>
      </c>
      <c r="AD81" s="82">
        <f t="shared" si="116"/>
        <v>0</v>
      </c>
      <c r="AE81" s="82">
        <f t="shared" si="116"/>
        <v>0</v>
      </c>
      <c r="AF81" s="82">
        <f t="shared" si="116"/>
        <v>0</v>
      </c>
      <c r="AG81" s="82">
        <f t="shared" si="116"/>
        <v>0</v>
      </c>
      <c r="AH81" s="82">
        <f t="shared" si="116"/>
        <v>0</v>
      </c>
      <c r="AI81" s="82">
        <f t="shared" si="116"/>
        <v>0</v>
      </c>
      <c r="AJ81" s="82">
        <f t="shared" si="116"/>
        <v>0</v>
      </c>
      <c r="AK81" s="82">
        <f t="shared" si="116"/>
        <v>0</v>
      </c>
      <c r="AL81" s="82">
        <f t="shared" si="116"/>
        <v>0</v>
      </c>
      <c r="AM81" s="82">
        <f t="shared" si="116"/>
        <v>0</v>
      </c>
      <c r="AN81" s="82">
        <f t="shared" si="116"/>
        <v>0</v>
      </c>
      <c r="AO81" s="82">
        <f t="shared" si="116"/>
        <v>0</v>
      </c>
      <c r="AP81" s="82">
        <f t="shared" si="116"/>
        <v>0</v>
      </c>
      <c r="AQ81" s="82">
        <f t="shared" si="116"/>
        <v>0</v>
      </c>
      <c r="AR81" s="82">
        <f t="shared" si="116"/>
        <v>0</v>
      </c>
      <c r="AS81" s="82">
        <f t="shared" si="116"/>
        <v>0</v>
      </c>
      <c r="AT81" s="82">
        <f t="shared" si="116"/>
        <v>0</v>
      </c>
      <c r="AU81" s="82">
        <f t="shared" si="116"/>
        <v>0</v>
      </c>
      <c r="AV81" s="82">
        <f t="shared" si="116"/>
        <v>0</v>
      </c>
      <c r="AW81" s="82">
        <f t="shared" si="116"/>
        <v>0</v>
      </c>
      <c r="AX81" s="82">
        <f t="shared" si="116"/>
        <v>0</v>
      </c>
      <c r="AY81" s="82">
        <f t="shared" si="116"/>
        <v>0</v>
      </c>
      <c r="AZ81" s="82">
        <f t="shared" si="116"/>
        <v>0</v>
      </c>
      <c r="BA81" s="82">
        <f t="shared" si="116"/>
        <v>0</v>
      </c>
      <c r="BB81" s="82">
        <f t="shared" si="116"/>
        <v>0</v>
      </c>
      <c r="BC81" s="82">
        <f t="shared" si="116"/>
        <v>0</v>
      </c>
      <c r="BD81" s="82">
        <f t="shared" si="116"/>
        <v>0</v>
      </c>
      <c r="BE81" s="82">
        <f t="shared" si="116"/>
        <v>0</v>
      </c>
      <c r="BF81" s="82">
        <f t="shared" si="116"/>
        <v>0</v>
      </c>
      <c r="BG81" s="82">
        <f t="shared" si="116"/>
        <v>0</v>
      </c>
      <c r="BH81" s="82">
        <f t="shared" si="116"/>
        <v>0</v>
      </c>
      <c r="BI81" s="82">
        <f t="shared" si="116"/>
        <v>0</v>
      </c>
      <c r="BJ81" s="82">
        <f t="shared" si="116"/>
        <v>0</v>
      </c>
      <c r="BK81" s="82">
        <f t="shared" si="116"/>
        <v>0</v>
      </c>
      <c r="BL81" s="82">
        <f t="shared" si="116"/>
        <v>0</v>
      </c>
      <c r="BM81" s="82">
        <f t="shared" si="116"/>
        <v>0</v>
      </c>
      <c r="BN81" s="82">
        <f t="shared" si="116"/>
        <v>0</v>
      </c>
      <c r="BO81" s="82">
        <f t="shared" si="116"/>
        <v>0</v>
      </c>
      <c r="BP81" s="82">
        <f t="shared" ref="BP81:CB81" si="117">IF(BP80&gt;$F27+1,0,1)*(IF(BQ81=0,100,0)+IF($G27=1,1,0.5)*$J27*100)</f>
        <v>0</v>
      </c>
      <c r="BQ81" s="82">
        <f t="shared" si="117"/>
        <v>0</v>
      </c>
      <c r="BR81" s="82">
        <f t="shared" si="117"/>
        <v>0</v>
      </c>
      <c r="BS81" s="82">
        <f t="shared" si="117"/>
        <v>0</v>
      </c>
      <c r="BT81" s="82">
        <f t="shared" si="117"/>
        <v>0</v>
      </c>
      <c r="BU81" s="82">
        <f t="shared" si="117"/>
        <v>0</v>
      </c>
      <c r="BV81" s="82">
        <f t="shared" si="117"/>
        <v>0</v>
      </c>
      <c r="BW81" s="82">
        <f t="shared" si="117"/>
        <v>0</v>
      </c>
      <c r="BX81" s="82">
        <f t="shared" si="117"/>
        <v>0</v>
      </c>
      <c r="BY81" s="82">
        <f t="shared" si="117"/>
        <v>0</v>
      </c>
      <c r="BZ81" s="82">
        <f t="shared" si="117"/>
        <v>0</v>
      </c>
      <c r="CA81" s="82">
        <f t="shared" si="117"/>
        <v>0</v>
      </c>
      <c r="CB81" s="83">
        <f t="shared" si="117"/>
        <v>0</v>
      </c>
      <c r="CF81" s="9"/>
      <c r="CG81" s="9"/>
      <c r="CH81" s="9"/>
      <c r="CI81" s="9"/>
      <c r="CJ81" s="9"/>
      <c r="CK81" s="9"/>
      <c r="CL81" s="9"/>
      <c r="CM81" s="9"/>
      <c r="CN81" s="9"/>
      <c r="CO81" s="9"/>
      <c r="CP81" s="9"/>
      <c r="CQ81" s="9"/>
      <c r="CR81" s="9"/>
      <c r="CS81" s="9"/>
      <c r="CT81" s="9"/>
      <c r="CU81" s="9"/>
      <c r="CV81" s="9"/>
      <c r="CW81" s="9"/>
      <c r="CX81" s="9"/>
      <c r="CY81" s="9"/>
      <c r="CZ81" s="9"/>
      <c r="DA81" s="9"/>
      <c r="DB81" s="9"/>
      <c r="DC81" s="9"/>
      <c r="DD81" s="9"/>
      <c r="DE81" s="9"/>
      <c r="DF81" s="9"/>
      <c r="DG81" s="9"/>
      <c r="DH81" s="9"/>
      <c r="DI81" s="9"/>
      <c r="DJ81" s="9"/>
      <c r="DK81" s="9"/>
    </row>
    <row r="82" spans="1:115" s="6" customForma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10"/>
      <c r="CF82" s="10"/>
      <c r="CG82" s="10"/>
      <c r="CH82" s="10"/>
      <c r="CI82" s="10"/>
      <c r="CJ82" s="10"/>
      <c r="CK82" s="10"/>
      <c r="CL82" s="10"/>
      <c r="CM82" s="10"/>
      <c r="CN82" s="10"/>
      <c r="CO82" s="10"/>
      <c r="CP82" s="10"/>
      <c r="CQ82" s="10"/>
      <c r="CR82" s="10"/>
      <c r="CS82" s="10"/>
      <c r="CT82" s="10"/>
      <c r="CU82" s="10"/>
      <c r="CV82" s="10"/>
      <c r="CW82" s="10"/>
      <c r="CX82" s="10"/>
      <c r="CY82" s="10"/>
      <c r="CZ82" s="10"/>
      <c r="DA82" s="10"/>
      <c r="DB82" s="10"/>
      <c r="DC82" s="10"/>
      <c r="DD82" s="10"/>
      <c r="DE82" s="10"/>
      <c r="DF82" s="10"/>
      <c r="DG82" s="10"/>
      <c r="DH82" s="10"/>
      <c r="DI82" s="10"/>
      <c r="DJ82" s="10"/>
      <c r="DK82" s="10"/>
    </row>
    <row r="83" spans="1:115">
      <c r="A83" s="16" t="s">
        <v>42</v>
      </c>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7"/>
      <c r="CD83" s="17"/>
      <c r="CE83" s="17"/>
      <c r="CF83" s="9"/>
      <c r="CG83" s="9"/>
      <c r="CH83" s="9"/>
      <c r="CI83" s="9"/>
      <c r="CJ83" s="9"/>
      <c r="CK83" s="9"/>
      <c r="CL83" s="9"/>
      <c r="CM83" s="9"/>
      <c r="CN83" s="9"/>
      <c r="CO83" s="9"/>
      <c r="CP83" s="9"/>
      <c r="CQ83" s="9"/>
      <c r="CR83" s="9"/>
      <c r="CS83" s="9"/>
      <c r="CT83" s="9"/>
      <c r="CU83" s="9"/>
      <c r="CV83" s="9"/>
      <c r="CW83" s="9"/>
      <c r="CX83" s="9"/>
      <c r="CY83" s="9"/>
      <c r="CZ83" s="9"/>
      <c r="DA83" s="9"/>
      <c r="DB83" s="9"/>
      <c r="DC83" s="9"/>
      <c r="DD83" s="9"/>
      <c r="DE83" s="9"/>
      <c r="DF83" s="9"/>
      <c r="DG83" s="9"/>
      <c r="DH83" s="9"/>
      <c r="DI83" s="9"/>
      <c r="DJ83" s="9"/>
      <c r="DK83" s="9"/>
    </row>
    <row r="84" spans="1:115">
      <c r="A84" s="16" t="s">
        <v>40</v>
      </c>
      <c r="B84" s="140">
        <f t="shared" ref="B84:BM84" si="118">DAYS360($B$3,B30)</f>
        <v>-43022</v>
      </c>
      <c r="C84" s="140">
        <f t="shared" si="118"/>
        <v>-42842</v>
      </c>
      <c r="D84" s="140">
        <f t="shared" si="118"/>
        <v>-42662</v>
      </c>
      <c r="E84" s="140">
        <f t="shared" si="118"/>
        <v>-42482</v>
      </c>
      <c r="F84" s="140">
        <f t="shared" si="118"/>
        <v>-42302</v>
      </c>
      <c r="G84" s="140">
        <f t="shared" si="118"/>
        <v>-42122</v>
      </c>
      <c r="H84" s="140">
        <f t="shared" si="118"/>
        <v>-41942</v>
      </c>
      <c r="I84" s="140">
        <f t="shared" si="118"/>
        <v>-41762</v>
      </c>
      <c r="J84" s="140">
        <f t="shared" si="118"/>
        <v>-41582</v>
      </c>
      <c r="K84" s="140">
        <f t="shared" si="118"/>
        <v>-41403</v>
      </c>
      <c r="L84" s="140">
        <f t="shared" si="118"/>
        <v>-41223</v>
      </c>
      <c r="M84" s="140">
        <f t="shared" si="118"/>
        <v>-41043</v>
      </c>
      <c r="N84" s="140">
        <f t="shared" si="118"/>
        <v>-40863</v>
      </c>
      <c r="O84" s="140">
        <f t="shared" si="118"/>
        <v>-40683</v>
      </c>
      <c r="P84" s="140">
        <f t="shared" si="118"/>
        <v>-40503</v>
      </c>
      <c r="Q84" s="140">
        <f t="shared" si="118"/>
        <v>-40323</v>
      </c>
      <c r="R84" s="140">
        <f t="shared" si="118"/>
        <v>-40143</v>
      </c>
      <c r="S84" s="140">
        <f t="shared" si="118"/>
        <v>-39964</v>
      </c>
      <c r="T84" s="140">
        <f t="shared" si="118"/>
        <v>-39784</v>
      </c>
      <c r="U84" s="140">
        <f t="shared" si="118"/>
        <v>-39604</v>
      </c>
      <c r="V84" s="140">
        <f t="shared" si="118"/>
        <v>-39424</v>
      </c>
      <c r="W84" s="140">
        <f t="shared" si="118"/>
        <v>-39244</v>
      </c>
      <c r="X84" s="140">
        <f t="shared" si="118"/>
        <v>-39064</v>
      </c>
      <c r="Y84" s="140">
        <f t="shared" si="118"/>
        <v>-38884</v>
      </c>
      <c r="Z84" s="140">
        <f t="shared" si="118"/>
        <v>-38704</v>
      </c>
      <c r="AA84" s="140">
        <f t="shared" si="118"/>
        <v>-38525</v>
      </c>
      <c r="AB84" s="140">
        <f t="shared" si="118"/>
        <v>-38345</v>
      </c>
      <c r="AC84" s="140">
        <f t="shared" si="118"/>
        <v>-38165</v>
      </c>
      <c r="AD84" s="140">
        <f t="shared" si="118"/>
        <v>-37985</v>
      </c>
      <c r="AE84" s="140">
        <f t="shared" si="118"/>
        <v>-37805</v>
      </c>
      <c r="AF84" s="140">
        <f t="shared" si="118"/>
        <v>-37625</v>
      </c>
      <c r="AG84" s="140">
        <f t="shared" si="118"/>
        <v>-37445</v>
      </c>
      <c r="AH84" s="140">
        <f t="shared" si="118"/>
        <v>-37265</v>
      </c>
      <c r="AI84" s="140">
        <f t="shared" si="118"/>
        <v>-37086</v>
      </c>
      <c r="AJ84" s="140">
        <f t="shared" si="118"/>
        <v>-36906</v>
      </c>
      <c r="AK84" s="140">
        <f t="shared" si="118"/>
        <v>-36726</v>
      </c>
      <c r="AL84" s="140">
        <f t="shared" si="118"/>
        <v>-36546</v>
      </c>
      <c r="AM84" s="140">
        <f t="shared" si="118"/>
        <v>-36366</v>
      </c>
      <c r="AN84" s="140">
        <f t="shared" si="118"/>
        <v>-36186</v>
      </c>
      <c r="AO84" s="140">
        <f t="shared" si="118"/>
        <v>-36006</v>
      </c>
      <c r="AP84" s="140">
        <f t="shared" si="118"/>
        <v>-35826</v>
      </c>
      <c r="AQ84" s="140">
        <f t="shared" si="118"/>
        <v>-35647</v>
      </c>
      <c r="AR84" s="140">
        <f t="shared" si="118"/>
        <v>-35467</v>
      </c>
      <c r="AS84" s="140">
        <f t="shared" si="118"/>
        <v>-35287</v>
      </c>
      <c r="AT84" s="140">
        <f t="shared" si="118"/>
        <v>-35107</v>
      </c>
      <c r="AU84" s="140">
        <f t="shared" si="118"/>
        <v>-34927</v>
      </c>
      <c r="AV84" s="140">
        <f t="shared" si="118"/>
        <v>-34747</v>
      </c>
      <c r="AW84" s="140">
        <f t="shared" si="118"/>
        <v>-34567</v>
      </c>
      <c r="AX84" s="140">
        <f t="shared" si="118"/>
        <v>-34387</v>
      </c>
      <c r="AY84" s="140">
        <f t="shared" si="118"/>
        <v>-34208</v>
      </c>
      <c r="AZ84" s="140">
        <f t="shared" si="118"/>
        <v>-34028</v>
      </c>
      <c r="BA84" s="140">
        <f t="shared" si="118"/>
        <v>-33848</v>
      </c>
      <c r="BB84" s="140">
        <f t="shared" si="118"/>
        <v>-33668</v>
      </c>
      <c r="BC84" s="140">
        <f t="shared" si="118"/>
        <v>-33488</v>
      </c>
      <c r="BD84" s="140">
        <f t="shared" si="118"/>
        <v>-33308</v>
      </c>
      <c r="BE84" s="140">
        <f t="shared" si="118"/>
        <v>-33128</v>
      </c>
      <c r="BF84" s="140">
        <f t="shared" si="118"/>
        <v>-32948</v>
      </c>
      <c r="BG84" s="140">
        <f t="shared" si="118"/>
        <v>-32769</v>
      </c>
      <c r="BH84" s="140">
        <f t="shared" si="118"/>
        <v>-32589</v>
      </c>
      <c r="BI84" s="140">
        <f t="shared" si="118"/>
        <v>-32409</v>
      </c>
      <c r="BJ84" s="140">
        <f t="shared" si="118"/>
        <v>-32229</v>
      </c>
      <c r="BK84" s="140">
        <f t="shared" si="118"/>
        <v>-32049</v>
      </c>
      <c r="BL84" s="140">
        <f t="shared" si="118"/>
        <v>-31869</v>
      </c>
      <c r="BM84" s="140">
        <f t="shared" si="118"/>
        <v>-31689</v>
      </c>
      <c r="BN84" s="140">
        <f t="shared" ref="BN84:CB84" si="119">DAYS360($B$3,BN30)</f>
        <v>-31509</v>
      </c>
      <c r="BO84" s="140">
        <f t="shared" si="119"/>
        <v>-31330</v>
      </c>
      <c r="BP84" s="140">
        <f t="shared" si="119"/>
        <v>-31150</v>
      </c>
      <c r="BQ84" s="140">
        <f t="shared" si="119"/>
        <v>-30970</v>
      </c>
      <c r="BR84" s="140">
        <f t="shared" si="119"/>
        <v>-30790</v>
      </c>
      <c r="BS84" s="140">
        <f t="shared" si="119"/>
        <v>-30610</v>
      </c>
      <c r="BT84" s="140">
        <f t="shared" si="119"/>
        <v>-30430</v>
      </c>
      <c r="BU84" s="140">
        <f t="shared" si="119"/>
        <v>-30250</v>
      </c>
      <c r="BV84" s="140">
        <f t="shared" si="119"/>
        <v>-30070</v>
      </c>
      <c r="BW84" s="140">
        <f t="shared" si="119"/>
        <v>-29891</v>
      </c>
      <c r="BX84" s="140">
        <f t="shared" si="119"/>
        <v>-29711</v>
      </c>
      <c r="BY84" s="140">
        <f t="shared" si="119"/>
        <v>-29531</v>
      </c>
      <c r="BZ84" s="140">
        <f t="shared" si="119"/>
        <v>-29351</v>
      </c>
      <c r="CA84" s="140">
        <f t="shared" si="119"/>
        <v>-29171</v>
      </c>
      <c r="CB84" s="140">
        <f t="shared" si="119"/>
        <v>-28991</v>
      </c>
      <c r="CC84" s="17"/>
      <c r="CD84" s="17"/>
      <c r="CE84" s="17"/>
    </row>
    <row r="85" spans="1:115">
      <c r="A85" s="16" t="s">
        <v>41</v>
      </c>
      <c r="B85" s="140">
        <f>B84/360</f>
        <v>-119.50555555555556</v>
      </c>
      <c r="C85" s="140">
        <f t="shared" ref="C85:BN85" si="120">C84/360</f>
        <v>-119.00555555555556</v>
      </c>
      <c r="D85" s="140">
        <f t="shared" si="120"/>
        <v>-118.50555555555556</v>
      </c>
      <c r="E85" s="140">
        <f t="shared" si="120"/>
        <v>-118.00555555555556</v>
      </c>
      <c r="F85" s="140">
        <f t="shared" si="120"/>
        <v>-117.50555555555556</v>
      </c>
      <c r="G85" s="140">
        <f t="shared" si="120"/>
        <v>-117.00555555555556</v>
      </c>
      <c r="H85" s="140">
        <f t="shared" si="120"/>
        <v>-116.50555555555556</v>
      </c>
      <c r="I85" s="140">
        <f t="shared" si="120"/>
        <v>-116.00555555555556</v>
      </c>
      <c r="J85" s="140">
        <f t="shared" si="120"/>
        <v>-115.50555555555556</v>
      </c>
      <c r="K85" s="140">
        <f t="shared" si="120"/>
        <v>-115.00833333333334</v>
      </c>
      <c r="L85" s="140">
        <f t="shared" si="120"/>
        <v>-114.50833333333334</v>
      </c>
      <c r="M85" s="140">
        <f t="shared" si="120"/>
        <v>-114.00833333333334</v>
      </c>
      <c r="N85" s="140">
        <f t="shared" si="120"/>
        <v>-113.50833333333334</v>
      </c>
      <c r="O85" s="140">
        <f t="shared" si="120"/>
        <v>-113.00833333333334</v>
      </c>
      <c r="P85" s="140">
        <f t="shared" si="120"/>
        <v>-112.50833333333334</v>
      </c>
      <c r="Q85" s="140">
        <f t="shared" si="120"/>
        <v>-112.00833333333334</v>
      </c>
      <c r="R85" s="140">
        <f t="shared" si="120"/>
        <v>-111.50833333333334</v>
      </c>
      <c r="S85" s="140">
        <f t="shared" si="120"/>
        <v>-111.01111111111111</v>
      </c>
      <c r="T85" s="140">
        <f t="shared" si="120"/>
        <v>-110.51111111111111</v>
      </c>
      <c r="U85" s="140">
        <f t="shared" si="120"/>
        <v>-110.01111111111111</v>
      </c>
      <c r="V85" s="140">
        <f t="shared" si="120"/>
        <v>-109.51111111111111</v>
      </c>
      <c r="W85" s="140">
        <f t="shared" si="120"/>
        <v>-109.01111111111111</v>
      </c>
      <c r="X85" s="140">
        <f t="shared" si="120"/>
        <v>-108.51111111111111</v>
      </c>
      <c r="Y85" s="140">
        <f t="shared" si="120"/>
        <v>-108.01111111111111</v>
      </c>
      <c r="Z85" s="140">
        <f t="shared" si="120"/>
        <v>-107.51111111111111</v>
      </c>
      <c r="AA85" s="140">
        <f t="shared" si="120"/>
        <v>-107.01388888888889</v>
      </c>
      <c r="AB85" s="140">
        <f t="shared" si="120"/>
        <v>-106.51388888888889</v>
      </c>
      <c r="AC85" s="140">
        <f t="shared" si="120"/>
        <v>-106.01388888888889</v>
      </c>
      <c r="AD85" s="140">
        <f t="shared" si="120"/>
        <v>-105.51388888888889</v>
      </c>
      <c r="AE85" s="140">
        <f t="shared" si="120"/>
        <v>-105.01388888888889</v>
      </c>
      <c r="AF85" s="140">
        <f t="shared" si="120"/>
        <v>-104.51388888888889</v>
      </c>
      <c r="AG85" s="140">
        <f t="shared" si="120"/>
        <v>-104.01388888888889</v>
      </c>
      <c r="AH85" s="140">
        <f t="shared" si="120"/>
        <v>-103.51388888888889</v>
      </c>
      <c r="AI85" s="140">
        <f t="shared" si="120"/>
        <v>-103.01666666666667</v>
      </c>
      <c r="AJ85" s="140">
        <f t="shared" si="120"/>
        <v>-102.51666666666667</v>
      </c>
      <c r="AK85" s="140">
        <f t="shared" si="120"/>
        <v>-102.01666666666667</v>
      </c>
      <c r="AL85" s="140">
        <f t="shared" si="120"/>
        <v>-101.51666666666667</v>
      </c>
      <c r="AM85" s="140">
        <f t="shared" si="120"/>
        <v>-101.01666666666667</v>
      </c>
      <c r="AN85" s="140">
        <f t="shared" si="120"/>
        <v>-100.51666666666667</v>
      </c>
      <c r="AO85" s="140">
        <f t="shared" si="120"/>
        <v>-100.01666666666667</v>
      </c>
      <c r="AP85" s="140">
        <f t="shared" si="120"/>
        <v>-99.516666666666666</v>
      </c>
      <c r="AQ85" s="140">
        <f t="shared" si="120"/>
        <v>-99.019444444444446</v>
      </c>
      <c r="AR85" s="140">
        <f t="shared" si="120"/>
        <v>-98.519444444444446</v>
      </c>
      <c r="AS85" s="140">
        <f t="shared" si="120"/>
        <v>-98.019444444444446</v>
      </c>
      <c r="AT85" s="140">
        <f t="shared" si="120"/>
        <v>-97.519444444444446</v>
      </c>
      <c r="AU85" s="140">
        <f t="shared" si="120"/>
        <v>-97.019444444444446</v>
      </c>
      <c r="AV85" s="140">
        <f t="shared" si="120"/>
        <v>-96.519444444444446</v>
      </c>
      <c r="AW85" s="140">
        <f t="shared" si="120"/>
        <v>-96.019444444444446</v>
      </c>
      <c r="AX85" s="140">
        <f t="shared" si="120"/>
        <v>-95.519444444444446</v>
      </c>
      <c r="AY85" s="140">
        <f t="shared" si="120"/>
        <v>-95.022222222222226</v>
      </c>
      <c r="AZ85" s="140">
        <f t="shared" si="120"/>
        <v>-94.522222222222226</v>
      </c>
      <c r="BA85" s="140">
        <f t="shared" si="120"/>
        <v>-94.022222222222226</v>
      </c>
      <c r="BB85" s="140">
        <f t="shared" si="120"/>
        <v>-93.522222222222226</v>
      </c>
      <c r="BC85" s="140">
        <f t="shared" si="120"/>
        <v>-93.022222222222226</v>
      </c>
      <c r="BD85" s="140">
        <f t="shared" si="120"/>
        <v>-92.522222222222226</v>
      </c>
      <c r="BE85" s="140">
        <f t="shared" si="120"/>
        <v>-92.022222222222226</v>
      </c>
      <c r="BF85" s="140">
        <f t="shared" si="120"/>
        <v>-91.522222222222226</v>
      </c>
      <c r="BG85" s="140">
        <f t="shared" si="120"/>
        <v>-91.025000000000006</v>
      </c>
      <c r="BH85" s="140">
        <f t="shared" si="120"/>
        <v>-90.525000000000006</v>
      </c>
      <c r="BI85" s="140">
        <f t="shared" si="120"/>
        <v>-90.025000000000006</v>
      </c>
      <c r="BJ85" s="140">
        <f t="shared" si="120"/>
        <v>-89.525000000000006</v>
      </c>
      <c r="BK85" s="140">
        <f t="shared" si="120"/>
        <v>-89.025000000000006</v>
      </c>
      <c r="BL85" s="140">
        <f t="shared" si="120"/>
        <v>-88.525000000000006</v>
      </c>
      <c r="BM85" s="140">
        <f t="shared" si="120"/>
        <v>-88.025000000000006</v>
      </c>
      <c r="BN85" s="140">
        <f t="shared" si="120"/>
        <v>-87.525000000000006</v>
      </c>
      <c r="BO85" s="140">
        <f t="shared" ref="BO85:CB85" si="121">BO84/360</f>
        <v>-87.027777777777771</v>
      </c>
      <c r="BP85" s="140">
        <f t="shared" si="121"/>
        <v>-86.527777777777771</v>
      </c>
      <c r="BQ85" s="140">
        <f t="shared" si="121"/>
        <v>-86.027777777777771</v>
      </c>
      <c r="BR85" s="140">
        <f t="shared" si="121"/>
        <v>-85.527777777777771</v>
      </c>
      <c r="BS85" s="140">
        <f t="shared" si="121"/>
        <v>-85.027777777777771</v>
      </c>
      <c r="BT85" s="140">
        <f t="shared" si="121"/>
        <v>-84.527777777777771</v>
      </c>
      <c r="BU85" s="140">
        <f t="shared" si="121"/>
        <v>-84.027777777777771</v>
      </c>
      <c r="BV85" s="140">
        <f t="shared" si="121"/>
        <v>-83.527777777777771</v>
      </c>
      <c r="BW85" s="140">
        <f t="shared" si="121"/>
        <v>-83.030555555555551</v>
      </c>
      <c r="BX85" s="140">
        <f t="shared" si="121"/>
        <v>-82.530555555555551</v>
      </c>
      <c r="BY85" s="140">
        <f t="shared" si="121"/>
        <v>-82.030555555555551</v>
      </c>
      <c r="BZ85" s="140">
        <f t="shared" si="121"/>
        <v>-81.530555555555551</v>
      </c>
      <c r="CA85" s="140">
        <f t="shared" si="121"/>
        <v>-81.030555555555551</v>
      </c>
      <c r="CB85" s="140">
        <f t="shared" si="121"/>
        <v>-80.530555555555551</v>
      </c>
      <c r="CC85" s="17"/>
      <c r="CD85" s="17"/>
      <c r="CE85" s="17"/>
    </row>
    <row r="86" spans="1:115">
      <c r="A86" s="16" t="s">
        <v>43</v>
      </c>
      <c r="B86" s="140">
        <f>IF(B84&lt;0,0,$B$5+$B$6*((1-EXP(-B85/$B$9))/(B85/$B$9))+$B$7*((1-EXP(-B85/$B$9))/(B85/$B$9)-EXP(-B85/$B$9))+$B$8*((1-EXP(-B85/$B$10))/(B85/$B$10)-EXP(-B85/$B$10)))</f>
        <v>0</v>
      </c>
      <c r="C86" s="140">
        <f t="shared" ref="C86:BN86" si="122">IF(C84&lt;0,0,$B$5+$B$6*((1-EXP(-C85/$B$9))/(C85/$B$9))+$B$7*((1-EXP(-C85/$B$9))/(C85/$B$9)-EXP(-C85/$B$9))+$B$8*((1-EXP(-C85/$B$10))/(C85/$B$10)-EXP(-C85/$B$10)))</f>
        <v>0</v>
      </c>
      <c r="D86" s="140">
        <f t="shared" si="122"/>
        <v>0</v>
      </c>
      <c r="E86" s="140">
        <f t="shared" si="122"/>
        <v>0</v>
      </c>
      <c r="F86" s="140">
        <f t="shared" si="122"/>
        <v>0</v>
      </c>
      <c r="G86" s="140">
        <f t="shared" si="122"/>
        <v>0</v>
      </c>
      <c r="H86" s="140">
        <f t="shared" si="122"/>
        <v>0</v>
      </c>
      <c r="I86" s="140">
        <f t="shared" si="122"/>
        <v>0</v>
      </c>
      <c r="J86" s="140">
        <f t="shared" si="122"/>
        <v>0</v>
      </c>
      <c r="K86" s="140">
        <f t="shared" si="122"/>
        <v>0</v>
      </c>
      <c r="L86" s="140">
        <f t="shared" si="122"/>
        <v>0</v>
      </c>
      <c r="M86" s="140">
        <f t="shared" si="122"/>
        <v>0</v>
      </c>
      <c r="N86" s="140">
        <f t="shared" si="122"/>
        <v>0</v>
      </c>
      <c r="O86" s="140">
        <f t="shared" si="122"/>
        <v>0</v>
      </c>
      <c r="P86" s="140">
        <f t="shared" si="122"/>
        <v>0</v>
      </c>
      <c r="Q86" s="140">
        <f t="shared" si="122"/>
        <v>0</v>
      </c>
      <c r="R86" s="140">
        <f t="shared" si="122"/>
        <v>0</v>
      </c>
      <c r="S86" s="140">
        <f t="shared" si="122"/>
        <v>0</v>
      </c>
      <c r="T86" s="140">
        <f t="shared" si="122"/>
        <v>0</v>
      </c>
      <c r="U86" s="140">
        <f t="shared" si="122"/>
        <v>0</v>
      </c>
      <c r="V86" s="140">
        <f t="shared" si="122"/>
        <v>0</v>
      </c>
      <c r="W86" s="140">
        <f t="shared" si="122"/>
        <v>0</v>
      </c>
      <c r="X86" s="140">
        <f t="shared" si="122"/>
        <v>0</v>
      </c>
      <c r="Y86" s="140">
        <f t="shared" si="122"/>
        <v>0</v>
      </c>
      <c r="Z86" s="140">
        <f t="shared" si="122"/>
        <v>0</v>
      </c>
      <c r="AA86" s="140">
        <f t="shared" si="122"/>
        <v>0</v>
      </c>
      <c r="AB86" s="140">
        <f t="shared" si="122"/>
        <v>0</v>
      </c>
      <c r="AC86" s="140">
        <f t="shared" si="122"/>
        <v>0</v>
      </c>
      <c r="AD86" s="140">
        <f t="shared" si="122"/>
        <v>0</v>
      </c>
      <c r="AE86" s="140">
        <f t="shared" si="122"/>
        <v>0</v>
      </c>
      <c r="AF86" s="140">
        <f t="shared" si="122"/>
        <v>0</v>
      </c>
      <c r="AG86" s="140">
        <f t="shared" si="122"/>
        <v>0</v>
      </c>
      <c r="AH86" s="140">
        <f t="shared" si="122"/>
        <v>0</v>
      </c>
      <c r="AI86" s="140">
        <f t="shared" si="122"/>
        <v>0</v>
      </c>
      <c r="AJ86" s="140">
        <f t="shared" si="122"/>
        <v>0</v>
      </c>
      <c r="AK86" s="140">
        <f t="shared" si="122"/>
        <v>0</v>
      </c>
      <c r="AL86" s="140">
        <f t="shared" si="122"/>
        <v>0</v>
      </c>
      <c r="AM86" s="140">
        <f t="shared" si="122"/>
        <v>0</v>
      </c>
      <c r="AN86" s="140">
        <f t="shared" si="122"/>
        <v>0</v>
      </c>
      <c r="AO86" s="140">
        <f t="shared" si="122"/>
        <v>0</v>
      </c>
      <c r="AP86" s="140">
        <f t="shared" si="122"/>
        <v>0</v>
      </c>
      <c r="AQ86" s="140">
        <f t="shared" si="122"/>
        <v>0</v>
      </c>
      <c r="AR86" s="140">
        <f t="shared" si="122"/>
        <v>0</v>
      </c>
      <c r="AS86" s="140">
        <f t="shared" si="122"/>
        <v>0</v>
      </c>
      <c r="AT86" s="140">
        <f t="shared" si="122"/>
        <v>0</v>
      </c>
      <c r="AU86" s="140">
        <f t="shared" si="122"/>
        <v>0</v>
      </c>
      <c r="AV86" s="140">
        <f t="shared" si="122"/>
        <v>0</v>
      </c>
      <c r="AW86" s="140">
        <f t="shared" si="122"/>
        <v>0</v>
      </c>
      <c r="AX86" s="140">
        <f t="shared" si="122"/>
        <v>0</v>
      </c>
      <c r="AY86" s="140">
        <f t="shared" si="122"/>
        <v>0</v>
      </c>
      <c r="AZ86" s="140">
        <f t="shared" si="122"/>
        <v>0</v>
      </c>
      <c r="BA86" s="140">
        <f t="shared" si="122"/>
        <v>0</v>
      </c>
      <c r="BB86" s="140">
        <f t="shared" si="122"/>
        <v>0</v>
      </c>
      <c r="BC86" s="140">
        <f t="shared" si="122"/>
        <v>0</v>
      </c>
      <c r="BD86" s="140">
        <f t="shared" si="122"/>
        <v>0</v>
      </c>
      <c r="BE86" s="140">
        <f t="shared" si="122"/>
        <v>0</v>
      </c>
      <c r="BF86" s="140">
        <f t="shared" si="122"/>
        <v>0</v>
      </c>
      <c r="BG86" s="140">
        <f t="shared" si="122"/>
        <v>0</v>
      </c>
      <c r="BH86" s="140">
        <f t="shared" si="122"/>
        <v>0</v>
      </c>
      <c r="BI86" s="140">
        <f t="shared" si="122"/>
        <v>0</v>
      </c>
      <c r="BJ86" s="140">
        <f t="shared" si="122"/>
        <v>0</v>
      </c>
      <c r="BK86" s="140">
        <f t="shared" si="122"/>
        <v>0</v>
      </c>
      <c r="BL86" s="140">
        <f t="shared" si="122"/>
        <v>0</v>
      </c>
      <c r="BM86" s="140">
        <f t="shared" si="122"/>
        <v>0</v>
      </c>
      <c r="BN86" s="140">
        <f t="shared" si="122"/>
        <v>0</v>
      </c>
      <c r="BO86" s="140">
        <f t="shared" ref="BO86:CB86" si="123">IF(BO84&lt;0,0,$B$5+$B$6*((1-EXP(-BO85/$B$9))/(BO85/$B$9))+$B$7*((1-EXP(-BO85/$B$9))/(BO85/$B$9)-EXP(-BO85/$B$9))+$B$8*((1-EXP(-BO85/$B$10))/(BO85/$B$10)-EXP(-BO85/$B$10)))</f>
        <v>0</v>
      </c>
      <c r="BP86" s="140">
        <f t="shared" si="123"/>
        <v>0</v>
      </c>
      <c r="BQ86" s="140">
        <f t="shared" si="123"/>
        <v>0</v>
      </c>
      <c r="BR86" s="140">
        <f t="shared" si="123"/>
        <v>0</v>
      </c>
      <c r="BS86" s="140">
        <f t="shared" si="123"/>
        <v>0</v>
      </c>
      <c r="BT86" s="140">
        <f t="shared" si="123"/>
        <v>0</v>
      </c>
      <c r="BU86" s="140">
        <f t="shared" si="123"/>
        <v>0</v>
      </c>
      <c r="BV86" s="140">
        <f t="shared" si="123"/>
        <v>0</v>
      </c>
      <c r="BW86" s="140">
        <f t="shared" si="123"/>
        <v>0</v>
      </c>
      <c r="BX86" s="140">
        <f t="shared" si="123"/>
        <v>0</v>
      </c>
      <c r="BY86" s="140">
        <f t="shared" si="123"/>
        <v>0</v>
      </c>
      <c r="BZ86" s="140">
        <f t="shared" si="123"/>
        <v>0</v>
      </c>
      <c r="CA86" s="140">
        <f t="shared" si="123"/>
        <v>0</v>
      </c>
      <c r="CB86" s="140">
        <f t="shared" si="123"/>
        <v>0</v>
      </c>
      <c r="CC86" s="17"/>
      <c r="CD86" s="17"/>
      <c r="CE86" s="17"/>
    </row>
    <row r="87" spans="1:115">
      <c r="A87" s="16" t="s">
        <v>44</v>
      </c>
      <c r="B87" s="140">
        <f>EXP(-B86*B85)</f>
        <v>1</v>
      </c>
      <c r="C87" s="140">
        <f t="shared" ref="C87:BN87" si="124">EXP(-C86*C85)</f>
        <v>1</v>
      </c>
      <c r="D87" s="140">
        <f t="shared" si="124"/>
        <v>1</v>
      </c>
      <c r="E87" s="140">
        <f t="shared" si="124"/>
        <v>1</v>
      </c>
      <c r="F87" s="140">
        <f t="shared" si="124"/>
        <v>1</v>
      </c>
      <c r="G87" s="140">
        <f t="shared" si="124"/>
        <v>1</v>
      </c>
      <c r="H87" s="140">
        <f t="shared" si="124"/>
        <v>1</v>
      </c>
      <c r="I87" s="140">
        <f t="shared" si="124"/>
        <v>1</v>
      </c>
      <c r="J87" s="140">
        <f t="shared" si="124"/>
        <v>1</v>
      </c>
      <c r="K87" s="140">
        <f t="shared" si="124"/>
        <v>1</v>
      </c>
      <c r="L87" s="140">
        <f t="shared" si="124"/>
        <v>1</v>
      </c>
      <c r="M87" s="140">
        <f t="shared" si="124"/>
        <v>1</v>
      </c>
      <c r="N87" s="140">
        <f t="shared" si="124"/>
        <v>1</v>
      </c>
      <c r="O87" s="140">
        <f t="shared" si="124"/>
        <v>1</v>
      </c>
      <c r="P87" s="140">
        <f t="shared" si="124"/>
        <v>1</v>
      </c>
      <c r="Q87" s="140">
        <f t="shared" si="124"/>
        <v>1</v>
      </c>
      <c r="R87" s="140">
        <f t="shared" si="124"/>
        <v>1</v>
      </c>
      <c r="S87" s="140">
        <f t="shared" si="124"/>
        <v>1</v>
      </c>
      <c r="T87" s="140">
        <f t="shared" si="124"/>
        <v>1</v>
      </c>
      <c r="U87" s="140">
        <f t="shared" si="124"/>
        <v>1</v>
      </c>
      <c r="V87" s="140">
        <f t="shared" si="124"/>
        <v>1</v>
      </c>
      <c r="W87" s="140">
        <f t="shared" si="124"/>
        <v>1</v>
      </c>
      <c r="X87" s="140">
        <f t="shared" si="124"/>
        <v>1</v>
      </c>
      <c r="Y87" s="140">
        <f t="shared" si="124"/>
        <v>1</v>
      </c>
      <c r="Z87" s="140">
        <f t="shared" si="124"/>
        <v>1</v>
      </c>
      <c r="AA87" s="140">
        <f t="shared" si="124"/>
        <v>1</v>
      </c>
      <c r="AB87" s="140">
        <f t="shared" si="124"/>
        <v>1</v>
      </c>
      <c r="AC87" s="140">
        <f t="shared" si="124"/>
        <v>1</v>
      </c>
      <c r="AD87" s="140">
        <f t="shared" si="124"/>
        <v>1</v>
      </c>
      <c r="AE87" s="140">
        <f t="shared" si="124"/>
        <v>1</v>
      </c>
      <c r="AF87" s="140">
        <f t="shared" si="124"/>
        <v>1</v>
      </c>
      <c r="AG87" s="140">
        <f t="shared" si="124"/>
        <v>1</v>
      </c>
      <c r="AH87" s="140">
        <f t="shared" si="124"/>
        <v>1</v>
      </c>
      <c r="AI87" s="140">
        <f t="shared" si="124"/>
        <v>1</v>
      </c>
      <c r="AJ87" s="140">
        <f t="shared" si="124"/>
        <v>1</v>
      </c>
      <c r="AK87" s="140">
        <f t="shared" si="124"/>
        <v>1</v>
      </c>
      <c r="AL87" s="140">
        <f t="shared" si="124"/>
        <v>1</v>
      </c>
      <c r="AM87" s="140">
        <f t="shared" si="124"/>
        <v>1</v>
      </c>
      <c r="AN87" s="140">
        <f t="shared" si="124"/>
        <v>1</v>
      </c>
      <c r="AO87" s="140">
        <f t="shared" si="124"/>
        <v>1</v>
      </c>
      <c r="AP87" s="140">
        <f t="shared" si="124"/>
        <v>1</v>
      </c>
      <c r="AQ87" s="140">
        <f t="shared" si="124"/>
        <v>1</v>
      </c>
      <c r="AR87" s="140">
        <f t="shared" si="124"/>
        <v>1</v>
      </c>
      <c r="AS87" s="140">
        <f>EXP(-AS86*AS85)</f>
        <v>1</v>
      </c>
      <c r="AT87" s="140">
        <f t="shared" si="124"/>
        <v>1</v>
      </c>
      <c r="AU87" s="140">
        <f t="shared" si="124"/>
        <v>1</v>
      </c>
      <c r="AV87" s="140">
        <f t="shared" si="124"/>
        <v>1</v>
      </c>
      <c r="AW87" s="140">
        <f t="shared" si="124"/>
        <v>1</v>
      </c>
      <c r="AX87" s="140">
        <f t="shared" si="124"/>
        <v>1</v>
      </c>
      <c r="AY87" s="140">
        <f t="shared" si="124"/>
        <v>1</v>
      </c>
      <c r="AZ87" s="140">
        <f t="shared" si="124"/>
        <v>1</v>
      </c>
      <c r="BA87" s="140">
        <f t="shared" si="124"/>
        <v>1</v>
      </c>
      <c r="BB87" s="140">
        <f t="shared" si="124"/>
        <v>1</v>
      </c>
      <c r="BC87" s="140">
        <f t="shared" si="124"/>
        <v>1</v>
      </c>
      <c r="BD87" s="140">
        <f t="shared" si="124"/>
        <v>1</v>
      </c>
      <c r="BE87" s="140">
        <f t="shared" si="124"/>
        <v>1</v>
      </c>
      <c r="BF87" s="140">
        <f t="shared" si="124"/>
        <v>1</v>
      </c>
      <c r="BG87" s="140">
        <f t="shared" si="124"/>
        <v>1</v>
      </c>
      <c r="BH87" s="140">
        <f t="shared" si="124"/>
        <v>1</v>
      </c>
      <c r="BI87" s="140">
        <f t="shared" si="124"/>
        <v>1</v>
      </c>
      <c r="BJ87" s="140">
        <f t="shared" si="124"/>
        <v>1</v>
      </c>
      <c r="BK87" s="140">
        <f t="shared" si="124"/>
        <v>1</v>
      </c>
      <c r="BL87" s="140">
        <f t="shared" si="124"/>
        <v>1</v>
      </c>
      <c r="BM87" s="140">
        <f t="shared" si="124"/>
        <v>1</v>
      </c>
      <c r="BN87" s="140">
        <f t="shared" si="124"/>
        <v>1</v>
      </c>
      <c r="BO87" s="140">
        <f t="shared" ref="BO87:CA87" si="125">EXP(-BO86*BO85)</f>
        <v>1</v>
      </c>
      <c r="BP87" s="140">
        <f t="shared" si="125"/>
        <v>1</v>
      </c>
      <c r="BQ87" s="140">
        <f t="shared" si="125"/>
        <v>1</v>
      </c>
      <c r="BR87" s="140">
        <f t="shared" si="125"/>
        <v>1</v>
      </c>
      <c r="BS87" s="140">
        <f t="shared" si="125"/>
        <v>1</v>
      </c>
      <c r="BT87" s="140">
        <f t="shared" si="125"/>
        <v>1</v>
      </c>
      <c r="BU87" s="140">
        <f t="shared" si="125"/>
        <v>1</v>
      </c>
      <c r="BV87" s="140">
        <f t="shared" si="125"/>
        <v>1</v>
      </c>
      <c r="BW87" s="140">
        <f t="shared" si="125"/>
        <v>1</v>
      </c>
      <c r="BX87" s="140">
        <f t="shared" si="125"/>
        <v>1</v>
      </c>
      <c r="BY87" s="140">
        <f t="shared" si="125"/>
        <v>1</v>
      </c>
      <c r="BZ87" s="140">
        <f t="shared" si="125"/>
        <v>1</v>
      </c>
      <c r="CA87" s="140">
        <f t="shared" si="125"/>
        <v>1</v>
      </c>
      <c r="CB87" s="140">
        <f>EXP(-CB86*CB85)</f>
        <v>1</v>
      </c>
      <c r="CC87" s="17"/>
      <c r="CD87" s="17"/>
      <c r="CE87" s="17"/>
    </row>
    <row r="88" spans="1:115" s="6" customFormat="1">
      <c r="A88" s="130"/>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19"/>
      <c r="CD88" s="19"/>
      <c r="CE88" s="19"/>
    </row>
    <row r="89" spans="1:115">
      <c r="A89" s="16" t="s">
        <v>40</v>
      </c>
      <c r="B89" s="140">
        <f t="shared" ref="B89:BM89" si="126">DAYS360($B$3,B32)</f>
        <v>88</v>
      </c>
      <c r="C89" s="140">
        <f t="shared" si="126"/>
        <v>268</v>
      </c>
      <c r="D89" s="140">
        <f t="shared" si="126"/>
        <v>447</v>
      </c>
      <c r="E89" s="140">
        <f t="shared" si="126"/>
        <v>628</v>
      </c>
      <c r="F89" s="140">
        <f t="shared" si="126"/>
        <v>807</v>
      </c>
      <c r="G89" s="140">
        <f t="shared" si="126"/>
        <v>988</v>
      </c>
      <c r="H89" s="140">
        <f t="shared" si="126"/>
        <v>1167</v>
      </c>
      <c r="I89" s="140">
        <f t="shared" si="126"/>
        <v>1348</v>
      </c>
      <c r="J89" s="140">
        <f t="shared" si="126"/>
        <v>1527</v>
      </c>
      <c r="K89" s="140">
        <f t="shared" si="126"/>
        <v>1707</v>
      </c>
      <c r="L89" s="140">
        <f t="shared" si="126"/>
        <v>1886</v>
      </c>
      <c r="M89" s="140">
        <f t="shared" si="126"/>
        <v>2067</v>
      </c>
      <c r="N89" s="140">
        <f t="shared" si="126"/>
        <v>2246</v>
      </c>
      <c r="O89" s="140">
        <f t="shared" si="126"/>
        <v>2427</v>
      </c>
      <c r="P89" s="140">
        <f t="shared" si="126"/>
        <v>2606</v>
      </c>
      <c r="Q89" s="140">
        <f t="shared" si="126"/>
        <v>2787</v>
      </c>
      <c r="R89" s="140">
        <f t="shared" si="126"/>
        <v>2966</v>
      </c>
      <c r="S89" s="140">
        <f t="shared" si="126"/>
        <v>3146</v>
      </c>
      <c r="T89" s="140">
        <f t="shared" si="126"/>
        <v>3325</v>
      </c>
      <c r="U89" s="140">
        <f t="shared" si="126"/>
        <v>3506</v>
      </c>
      <c r="V89" s="140">
        <f t="shared" si="126"/>
        <v>3685</v>
      </c>
      <c r="W89" s="140">
        <f t="shared" si="126"/>
        <v>3866</v>
      </c>
      <c r="X89" s="140">
        <f t="shared" si="126"/>
        <v>4045</v>
      </c>
      <c r="Y89" s="140">
        <f t="shared" si="126"/>
        <v>4226</v>
      </c>
      <c r="Z89" s="140">
        <f t="shared" si="126"/>
        <v>4405</v>
      </c>
      <c r="AA89" s="140">
        <f t="shared" si="126"/>
        <v>4585</v>
      </c>
      <c r="AB89" s="140">
        <f t="shared" si="126"/>
        <v>4764</v>
      </c>
      <c r="AC89" s="140">
        <f t="shared" si="126"/>
        <v>4945</v>
      </c>
      <c r="AD89" s="140">
        <f t="shared" si="126"/>
        <v>5124</v>
      </c>
      <c r="AE89" s="140">
        <f t="shared" si="126"/>
        <v>5305</v>
      </c>
      <c r="AF89" s="140">
        <f t="shared" si="126"/>
        <v>5484</v>
      </c>
      <c r="AG89" s="140">
        <f t="shared" si="126"/>
        <v>5665</v>
      </c>
      <c r="AH89" s="140">
        <f t="shared" si="126"/>
        <v>5844</v>
      </c>
      <c r="AI89" s="140">
        <f t="shared" si="126"/>
        <v>6024</v>
      </c>
      <c r="AJ89" s="140">
        <f t="shared" si="126"/>
        <v>6203</v>
      </c>
      <c r="AK89" s="140">
        <f t="shared" si="126"/>
        <v>6384</v>
      </c>
      <c r="AL89" s="140">
        <f t="shared" si="126"/>
        <v>6563</v>
      </c>
      <c r="AM89" s="140">
        <f t="shared" si="126"/>
        <v>6744</v>
      </c>
      <c r="AN89" s="140">
        <f t="shared" si="126"/>
        <v>6923</v>
      </c>
      <c r="AO89" s="140">
        <f t="shared" si="126"/>
        <v>7104</v>
      </c>
      <c r="AP89" s="140">
        <f t="shared" si="126"/>
        <v>7283</v>
      </c>
      <c r="AQ89" s="140">
        <f t="shared" si="126"/>
        <v>7463</v>
      </c>
      <c r="AR89" s="140">
        <f t="shared" si="126"/>
        <v>7642</v>
      </c>
      <c r="AS89" s="140">
        <f t="shared" si="126"/>
        <v>7823</v>
      </c>
      <c r="AT89" s="140">
        <f t="shared" si="126"/>
        <v>8002</v>
      </c>
      <c r="AU89" s="140">
        <f t="shared" si="126"/>
        <v>8183</v>
      </c>
      <c r="AV89" s="140">
        <f t="shared" si="126"/>
        <v>8362</v>
      </c>
      <c r="AW89" s="140">
        <f t="shared" si="126"/>
        <v>8543</v>
      </c>
      <c r="AX89" s="140">
        <f t="shared" si="126"/>
        <v>8722</v>
      </c>
      <c r="AY89" s="140">
        <f t="shared" si="126"/>
        <v>8902</v>
      </c>
      <c r="AZ89" s="140">
        <f t="shared" si="126"/>
        <v>9081</v>
      </c>
      <c r="BA89" s="140">
        <f t="shared" si="126"/>
        <v>9262</v>
      </c>
      <c r="BB89" s="140">
        <f t="shared" si="126"/>
        <v>9441</v>
      </c>
      <c r="BC89" s="140">
        <f t="shared" si="126"/>
        <v>9622</v>
      </c>
      <c r="BD89" s="140">
        <f t="shared" si="126"/>
        <v>9801</v>
      </c>
      <c r="BE89" s="140">
        <f t="shared" si="126"/>
        <v>9982</v>
      </c>
      <c r="BF89" s="140">
        <f t="shared" si="126"/>
        <v>10161</v>
      </c>
      <c r="BG89" s="140">
        <f t="shared" si="126"/>
        <v>10341</v>
      </c>
      <c r="BH89" s="140">
        <f t="shared" si="126"/>
        <v>10520</v>
      </c>
      <c r="BI89" s="140">
        <f t="shared" si="126"/>
        <v>10701</v>
      </c>
      <c r="BJ89" s="140">
        <f t="shared" si="126"/>
        <v>10880</v>
      </c>
      <c r="BK89" s="140">
        <f t="shared" si="126"/>
        <v>11061</v>
      </c>
      <c r="BL89" s="140">
        <f t="shared" si="126"/>
        <v>11240</v>
      </c>
      <c r="BM89" s="140">
        <f t="shared" si="126"/>
        <v>11421</v>
      </c>
      <c r="BN89" s="140">
        <f t="shared" ref="BN89:CB89" si="127">DAYS360($B$3,BN32)</f>
        <v>11600</v>
      </c>
      <c r="BO89" s="140">
        <f t="shared" si="127"/>
        <v>11780</v>
      </c>
      <c r="BP89" s="140">
        <f t="shared" si="127"/>
        <v>11959</v>
      </c>
      <c r="BQ89" s="140">
        <f t="shared" si="127"/>
        <v>12140</v>
      </c>
      <c r="BR89" s="140">
        <f t="shared" si="127"/>
        <v>12319</v>
      </c>
      <c r="BS89" s="140">
        <f t="shared" si="127"/>
        <v>12500</v>
      </c>
      <c r="BT89" s="140">
        <f t="shared" si="127"/>
        <v>12679</v>
      </c>
      <c r="BU89" s="140">
        <f t="shared" si="127"/>
        <v>12860</v>
      </c>
      <c r="BV89" s="140">
        <f t="shared" si="127"/>
        <v>13039</v>
      </c>
      <c r="BW89" s="140">
        <f t="shared" si="127"/>
        <v>13219</v>
      </c>
      <c r="BX89" s="140">
        <f t="shared" si="127"/>
        <v>13398</v>
      </c>
      <c r="BY89" s="140">
        <f t="shared" si="127"/>
        <v>13579</v>
      </c>
      <c r="BZ89" s="140">
        <f t="shared" si="127"/>
        <v>13758</v>
      </c>
      <c r="CA89" s="140">
        <f t="shared" si="127"/>
        <v>13939</v>
      </c>
      <c r="CB89" s="140">
        <f t="shared" si="127"/>
        <v>14118</v>
      </c>
      <c r="CC89" s="17"/>
      <c r="CD89" s="17"/>
      <c r="CE89" s="17"/>
    </row>
    <row r="90" spans="1:115">
      <c r="A90" s="16" t="s">
        <v>41</v>
      </c>
      <c r="B90" s="140">
        <f>B89/360</f>
        <v>0.24444444444444444</v>
      </c>
      <c r="C90" s="140">
        <f t="shared" ref="C90:BN90" si="128">C89/360</f>
        <v>0.74444444444444446</v>
      </c>
      <c r="D90" s="140">
        <f t="shared" si="128"/>
        <v>1.2416666666666667</v>
      </c>
      <c r="E90" s="140">
        <f t="shared" si="128"/>
        <v>1.7444444444444445</v>
      </c>
      <c r="F90" s="140">
        <f t="shared" si="128"/>
        <v>2.2416666666666667</v>
      </c>
      <c r="G90" s="140">
        <f t="shared" si="128"/>
        <v>2.7444444444444445</v>
      </c>
      <c r="H90" s="140">
        <f t="shared" si="128"/>
        <v>3.2416666666666667</v>
      </c>
      <c r="I90" s="140">
        <f t="shared" si="128"/>
        <v>3.7444444444444445</v>
      </c>
      <c r="J90" s="140">
        <f t="shared" si="128"/>
        <v>4.2416666666666663</v>
      </c>
      <c r="K90" s="140">
        <f t="shared" si="128"/>
        <v>4.7416666666666663</v>
      </c>
      <c r="L90" s="140">
        <f t="shared" si="128"/>
        <v>5.2388888888888889</v>
      </c>
      <c r="M90" s="140">
        <f t="shared" si="128"/>
        <v>5.7416666666666663</v>
      </c>
      <c r="N90" s="140">
        <f t="shared" si="128"/>
        <v>6.2388888888888889</v>
      </c>
      <c r="O90" s="140">
        <f t="shared" si="128"/>
        <v>6.7416666666666663</v>
      </c>
      <c r="P90" s="140">
        <f t="shared" si="128"/>
        <v>7.2388888888888889</v>
      </c>
      <c r="Q90" s="140">
        <f t="shared" si="128"/>
        <v>7.7416666666666663</v>
      </c>
      <c r="R90" s="140">
        <f t="shared" si="128"/>
        <v>8.2388888888888889</v>
      </c>
      <c r="S90" s="140">
        <f t="shared" si="128"/>
        <v>8.7388888888888889</v>
      </c>
      <c r="T90" s="140">
        <f t="shared" si="128"/>
        <v>9.2361111111111107</v>
      </c>
      <c r="U90" s="140">
        <f t="shared" si="128"/>
        <v>9.7388888888888889</v>
      </c>
      <c r="V90" s="140">
        <f t="shared" si="128"/>
        <v>10.236111111111111</v>
      </c>
      <c r="W90" s="140">
        <f t="shared" si="128"/>
        <v>10.738888888888889</v>
      </c>
      <c r="X90" s="140">
        <f t="shared" si="128"/>
        <v>11.236111111111111</v>
      </c>
      <c r="Y90" s="140">
        <f t="shared" si="128"/>
        <v>11.738888888888889</v>
      </c>
      <c r="Z90" s="140">
        <f t="shared" si="128"/>
        <v>12.236111111111111</v>
      </c>
      <c r="AA90" s="140">
        <f t="shared" si="128"/>
        <v>12.736111111111111</v>
      </c>
      <c r="AB90" s="140">
        <f t="shared" si="128"/>
        <v>13.233333333333333</v>
      </c>
      <c r="AC90" s="140">
        <f t="shared" si="128"/>
        <v>13.736111111111111</v>
      </c>
      <c r="AD90" s="140">
        <f t="shared" si="128"/>
        <v>14.233333333333333</v>
      </c>
      <c r="AE90" s="140">
        <f t="shared" si="128"/>
        <v>14.736111111111111</v>
      </c>
      <c r="AF90" s="140">
        <f t="shared" si="128"/>
        <v>15.233333333333333</v>
      </c>
      <c r="AG90" s="140">
        <f t="shared" si="128"/>
        <v>15.736111111111111</v>
      </c>
      <c r="AH90" s="140">
        <f t="shared" si="128"/>
        <v>16.233333333333334</v>
      </c>
      <c r="AI90" s="140">
        <f t="shared" si="128"/>
        <v>16.733333333333334</v>
      </c>
      <c r="AJ90" s="140">
        <f t="shared" si="128"/>
        <v>17.230555555555554</v>
      </c>
      <c r="AK90" s="140">
        <f t="shared" si="128"/>
        <v>17.733333333333334</v>
      </c>
      <c r="AL90" s="140">
        <f t="shared" si="128"/>
        <v>18.230555555555554</v>
      </c>
      <c r="AM90" s="140">
        <f t="shared" si="128"/>
        <v>18.733333333333334</v>
      </c>
      <c r="AN90" s="140">
        <f t="shared" si="128"/>
        <v>19.230555555555554</v>
      </c>
      <c r="AO90" s="140">
        <f t="shared" si="128"/>
        <v>19.733333333333334</v>
      </c>
      <c r="AP90" s="140">
        <f t="shared" si="128"/>
        <v>20.230555555555554</v>
      </c>
      <c r="AQ90" s="140">
        <f t="shared" si="128"/>
        <v>20.730555555555554</v>
      </c>
      <c r="AR90" s="140">
        <f t="shared" si="128"/>
        <v>21.227777777777778</v>
      </c>
      <c r="AS90" s="140">
        <f t="shared" si="128"/>
        <v>21.730555555555554</v>
      </c>
      <c r="AT90" s="140">
        <f t="shared" si="128"/>
        <v>22.227777777777778</v>
      </c>
      <c r="AU90" s="140">
        <f t="shared" si="128"/>
        <v>22.730555555555554</v>
      </c>
      <c r="AV90" s="140">
        <f t="shared" si="128"/>
        <v>23.227777777777778</v>
      </c>
      <c r="AW90" s="140">
        <f t="shared" si="128"/>
        <v>23.730555555555554</v>
      </c>
      <c r="AX90" s="140">
        <f t="shared" si="128"/>
        <v>24.227777777777778</v>
      </c>
      <c r="AY90" s="140">
        <f t="shared" si="128"/>
        <v>24.727777777777778</v>
      </c>
      <c r="AZ90" s="140">
        <f t="shared" si="128"/>
        <v>25.225000000000001</v>
      </c>
      <c r="BA90" s="140">
        <f t="shared" si="128"/>
        <v>25.727777777777778</v>
      </c>
      <c r="BB90" s="140">
        <f t="shared" si="128"/>
        <v>26.225000000000001</v>
      </c>
      <c r="BC90" s="140">
        <f t="shared" si="128"/>
        <v>26.727777777777778</v>
      </c>
      <c r="BD90" s="140">
        <f t="shared" si="128"/>
        <v>27.225000000000001</v>
      </c>
      <c r="BE90" s="140">
        <f t="shared" si="128"/>
        <v>27.727777777777778</v>
      </c>
      <c r="BF90" s="140">
        <f t="shared" si="128"/>
        <v>28.225000000000001</v>
      </c>
      <c r="BG90" s="140">
        <f t="shared" si="128"/>
        <v>28.725000000000001</v>
      </c>
      <c r="BH90" s="140">
        <f t="shared" si="128"/>
        <v>29.222222222222221</v>
      </c>
      <c r="BI90" s="140">
        <f t="shared" si="128"/>
        <v>29.725000000000001</v>
      </c>
      <c r="BJ90" s="140">
        <f t="shared" si="128"/>
        <v>30.222222222222221</v>
      </c>
      <c r="BK90" s="140">
        <f t="shared" si="128"/>
        <v>30.725000000000001</v>
      </c>
      <c r="BL90" s="140">
        <f t="shared" si="128"/>
        <v>31.222222222222221</v>
      </c>
      <c r="BM90" s="140">
        <f t="shared" si="128"/>
        <v>31.725000000000001</v>
      </c>
      <c r="BN90" s="140">
        <f t="shared" si="128"/>
        <v>32.222222222222221</v>
      </c>
      <c r="BO90" s="140">
        <f t="shared" ref="BO90:CB90" si="129">BO89/360</f>
        <v>32.722222222222221</v>
      </c>
      <c r="BP90" s="140">
        <f t="shared" si="129"/>
        <v>33.219444444444441</v>
      </c>
      <c r="BQ90" s="140">
        <f t="shared" si="129"/>
        <v>33.722222222222221</v>
      </c>
      <c r="BR90" s="140">
        <f t="shared" si="129"/>
        <v>34.219444444444441</v>
      </c>
      <c r="BS90" s="140">
        <f t="shared" si="129"/>
        <v>34.722222222222221</v>
      </c>
      <c r="BT90" s="140">
        <f t="shared" si="129"/>
        <v>35.219444444444441</v>
      </c>
      <c r="BU90" s="140">
        <f t="shared" si="129"/>
        <v>35.722222222222221</v>
      </c>
      <c r="BV90" s="140">
        <f t="shared" si="129"/>
        <v>36.219444444444441</v>
      </c>
      <c r="BW90" s="140">
        <f t="shared" si="129"/>
        <v>36.719444444444441</v>
      </c>
      <c r="BX90" s="140">
        <f t="shared" si="129"/>
        <v>37.216666666666669</v>
      </c>
      <c r="BY90" s="140">
        <f t="shared" si="129"/>
        <v>37.719444444444441</v>
      </c>
      <c r="BZ90" s="140">
        <f t="shared" si="129"/>
        <v>38.216666666666669</v>
      </c>
      <c r="CA90" s="140">
        <f t="shared" si="129"/>
        <v>38.719444444444441</v>
      </c>
      <c r="CB90" s="140">
        <f t="shared" si="129"/>
        <v>39.216666666666669</v>
      </c>
      <c r="CC90" s="17"/>
      <c r="CD90" s="17"/>
      <c r="CE90" s="17"/>
    </row>
    <row r="91" spans="1:115">
      <c r="A91" s="16" t="s">
        <v>43</v>
      </c>
      <c r="B91" s="140">
        <f>IF(B89&lt;0,0,$B$5+$B$6*((1-EXP(-B90/$B$9))/(B90/$B$9))+$B$7*((1-EXP(-B90/$B$9))/(B90/$B$9)-EXP(-B90/$B$9))+$B$8*((1-EXP(-B90/$B$10))/(B90/$B$10)-EXP(-B90/$B$10)))</f>
        <v>-1.3149377542337728E-3</v>
      </c>
      <c r="C91" s="140">
        <f t="shared" ref="C91:BN91" si="130">IF(C89&lt;0,0,$B$5+$B$6*((1-EXP(-C90/$B$9))/(C90/$B$9))+$B$7*((1-EXP(-C90/$B$9))/(C90/$B$9)-EXP(-C90/$B$9))+$B$8*((1-EXP(-C90/$B$10))/(C90/$B$10)-EXP(-C90/$B$10)))</f>
        <v>-1.6375464442067514E-3</v>
      </c>
      <c r="D91" s="140">
        <f t="shared" si="130"/>
        <v>-1.9043084790026617E-3</v>
      </c>
      <c r="E91" s="140">
        <f t="shared" si="130"/>
        <v>-2.1242842639437121E-3</v>
      </c>
      <c r="F91" s="140">
        <f t="shared" si="130"/>
        <v>-2.2971377026274578E-3</v>
      </c>
      <c r="G91" s="140">
        <f t="shared" si="130"/>
        <v>-2.4309056380461339E-3</v>
      </c>
      <c r="H91" s="140">
        <f t="shared" si="130"/>
        <v>-2.5263701192815412E-3</v>
      </c>
      <c r="I91" s="140">
        <f t="shared" si="130"/>
        <v>-2.5891132964510778E-3</v>
      </c>
      <c r="J91" s="140">
        <f t="shared" si="130"/>
        <v>-2.6208378562356488E-3</v>
      </c>
      <c r="K91" s="140">
        <f t="shared" si="130"/>
        <v>-2.6251518755122491E-3</v>
      </c>
      <c r="L91" s="140">
        <f t="shared" si="130"/>
        <v>-2.6045503766285237E-3</v>
      </c>
      <c r="M91" s="140">
        <f t="shared" si="130"/>
        <v>-2.5608329877896303E-3</v>
      </c>
      <c r="N91" s="140">
        <f t="shared" si="130"/>
        <v>-2.4970797414761887E-3</v>
      </c>
      <c r="O91" s="140">
        <f t="shared" si="130"/>
        <v>-2.4138177483114436E-3</v>
      </c>
      <c r="P91" s="140">
        <f t="shared" si="130"/>
        <v>-2.3146367784398314E-3</v>
      </c>
      <c r="Q91" s="140">
        <f t="shared" si="130"/>
        <v>-2.1989365797987696E-3</v>
      </c>
      <c r="R91" s="140">
        <f t="shared" si="130"/>
        <v>-2.0707233966633272E-3</v>
      </c>
      <c r="S91" s="140">
        <f t="shared" si="130"/>
        <v>-1.9292897598238274E-3</v>
      </c>
      <c r="T91" s="140">
        <f t="shared" si="130"/>
        <v>-1.7774034050836306E-3</v>
      </c>
      <c r="U91" s="140">
        <f t="shared" si="130"/>
        <v>-1.6135333715167318E-3</v>
      </c>
      <c r="V91" s="140">
        <f t="shared" si="130"/>
        <v>-1.4422986057935905E-3</v>
      </c>
      <c r="W91" s="140">
        <f t="shared" si="130"/>
        <v>-1.2607952150147325E-3</v>
      </c>
      <c r="X91" s="140">
        <f t="shared" si="130"/>
        <v>-1.0738629194052413E-3</v>
      </c>
      <c r="Y91" s="140">
        <f t="shared" si="130"/>
        <v>-8.780912589962421E-4</v>
      </c>
      <c r="Z91" s="140">
        <f t="shared" si="130"/>
        <v>-6.784957796210668E-4</v>
      </c>
      <c r="AA91" s="140">
        <f t="shared" si="130"/>
        <v>-4.724132107628092E-4</v>
      </c>
      <c r="AB91" s="140">
        <f t="shared" si="130"/>
        <v>-2.627046857796439E-4</v>
      </c>
      <c r="AC91" s="140">
        <f t="shared" si="130"/>
        <v>-4.6346418314049693E-5</v>
      </c>
      <c r="AD91" s="140">
        <f t="shared" si="130"/>
        <v>1.7140140631922854E-4</v>
      </c>
      <c r="AE91" s="140">
        <f t="shared" si="130"/>
        <v>3.9496064926923362E-4</v>
      </c>
      <c r="AF91" s="140">
        <f t="shared" si="130"/>
        <v>6.1899087567211407E-4</v>
      </c>
      <c r="AG91" s="140">
        <f t="shared" si="130"/>
        <v>8.4812718854563847E-4</v>
      </c>
      <c r="AH91" s="140">
        <f t="shared" si="130"/>
        <v>1.0769712335517269E-3</v>
      </c>
      <c r="AI91" s="140">
        <f t="shared" si="130"/>
        <v>1.3090319311124411E-3</v>
      </c>
      <c r="AJ91" s="140">
        <f t="shared" si="130"/>
        <v>1.5414516521006249E-3</v>
      </c>
      <c r="AK91" s="140">
        <f t="shared" si="130"/>
        <v>1.7778792148302998E-3</v>
      </c>
      <c r="AL91" s="140">
        <f t="shared" si="130"/>
        <v>2.0128541353914725E-3</v>
      </c>
      <c r="AM91" s="140">
        <f t="shared" si="130"/>
        <v>2.251408013410611E-3</v>
      </c>
      <c r="AN91" s="140">
        <f t="shared" si="130"/>
        <v>2.4880707632225483E-3</v>
      </c>
      <c r="AO91" s="140">
        <f t="shared" si="130"/>
        <v>2.7279463193509656E-3</v>
      </c>
      <c r="AP91" s="140">
        <f t="shared" si="130"/>
        <v>2.9655665181835549E-3</v>
      </c>
      <c r="AQ91" s="140">
        <f t="shared" si="130"/>
        <v>3.2047562995886586E-3</v>
      </c>
      <c r="AR91" s="140">
        <f t="shared" si="130"/>
        <v>3.4427175423289483E-3</v>
      </c>
      <c r="AS91" s="140">
        <f t="shared" si="130"/>
        <v>3.6833077870301882E-3</v>
      </c>
      <c r="AT91" s="140">
        <f t="shared" si="130"/>
        <v>3.9210906984313808E-3</v>
      </c>
      <c r="AU91" s="140">
        <f t="shared" si="130"/>
        <v>4.1612682954853229E-3</v>
      </c>
      <c r="AV91" s="140">
        <f t="shared" si="130"/>
        <v>4.3984315627891117E-3</v>
      </c>
      <c r="AW91" s="140">
        <f t="shared" si="130"/>
        <v>4.6377855988228803E-3</v>
      </c>
      <c r="AX91" s="140">
        <f t="shared" si="130"/>
        <v>4.8739548807149868E-3</v>
      </c>
      <c r="AY91" s="140">
        <f t="shared" si="130"/>
        <v>5.1108224852937064E-3</v>
      </c>
      <c r="AZ91" s="140">
        <f t="shared" si="130"/>
        <v>5.3456838278943281E-3</v>
      </c>
      <c r="BA91" s="140">
        <f t="shared" si="130"/>
        <v>5.5824010579567547E-3</v>
      </c>
      <c r="BB91" s="140">
        <f t="shared" si="130"/>
        <v>5.815680677533552E-3</v>
      </c>
      <c r="BC91" s="140">
        <f t="shared" si="130"/>
        <v>6.0506774155982797E-3</v>
      </c>
      <c r="BD91" s="140">
        <f t="shared" si="130"/>
        <v>6.2821450423112442E-3</v>
      </c>
      <c r="BE91" s="140">
        <f t="shared" si="130"/>
        <v>6.5152064504548825E-3</v>
      </c>
      <c r="BF91" s="140">
        <f t="shared" si="130"/>
        <v>6.7446660529683379E-3</v>
      </c>
      <c r="BG91" s="140">
        <f t="shared" si="130"/>
        <v>6.9743363822413734E-3</v>
      </c>
      <c r="BH91" s="140">
        <f t="shared" si="130"/>
        <v>7.2016273862369508E-3</v>
      </c>
      <c r="BI91" s="140">
        <f t="shared" si="130"/>
        <v>7.4303033350650756E-3</v>
      </c>
      <c r="BJ91" s="140">
        <f t="shared" si="130"/>
        <v>7.6552780505265523E-3</v>
      </c>
      <c r="BK91" s="140">
        <f t="shared" si="130"/>
        <v>7.8815484690564347E-3</v>
      </c>
      <c r="BL91" s="140">
        <f t="shared" si="130"/>
        <v>8.1040865556319293E-3</v>
      </c>
      <c r="BM91" s="140">
        <f t="shared" si="130"/>
        <v>8.3278394994649313E-3</v>
      </c>
      <c r="BN91" s="140">
        <f t="shared" si="130"/>
        <v>8.5478392140264439E-3</v>
      </c>
      <c r="BO91" s="140">
        <f t="shared" ref="BO91:CB91" si="131">IF(BO89&lt;0,0,$B$5+$B$6*((1-EXP(-BO90/$B$9))/(BO90/$B$9))+$B$7*((1-EXP(-BO90/$B$9))/(BO90/$B$9)-EXP(-BO90/$B$9))+$B$8*((1-EXP(-BO90/$B$10))/(BO90/$B$10)-EXP(-BO90/$B$10)))</f>
        <v>8.7677621465826073E-3</v>
      </c>
      <c r="BP91" s="140">
        <f t="shared" si="131"/>
        <v>8.9851452757124771E-3</v>
      </c>
      <c r="BQ91" s="140">
        <f t="shared" si="131"/>
        <v>9.2036027528824282E-3</v>
      </c>
      <c r="BR91" s="140">
        <f t="shared" si="131"/>
        <v>9.4182905376020993E-3</v>
      </c>
      <c r="BS91" s="140">
        <f t="shared" si="131"/>
        <v>9.6339911346828393E-3</v>
      </c>
      <c r="BT91" s="140">
        <f t="shared" si="131"/>
        <v>9.8459243041358578E-3</v>
      </c>
      <c r="BU91" s="140">
        <f t="shared" si="131"/>
        <v>1.0058813732185048E-2</v>
      </c>
      <c r="BV91" s="140">
        <f t="shared" si="131"/>
        <v>1.0267943836353067E-2</v>
      </c>
      <c r="BW91" s="140">
        <f t="shared" si="131"/>
        <v>1.0476821643616276E-2</v>
      </c>
      <c r="BX91" s="140">
        <f t="shared" si="131"/>
        <v>1.068311772177743E-2</v>
      </c>
      <c r="BY91" s="140">
        <f t="shared" si="131"/>
        <v>1.0890269918579228E-2</v>
      </c>
      <c r="BZ91" s="140">
        <f t="shared" si="131"/>
        <v>1.1093693662323979E-2</v>
      </c>
      <c r="CA91" s="140">
        <f t="shared" si="131"/>
        <v>1.1297928937504422E-2</v>
      </c>
      <c r="CB91" s="140">
        <f t="shared" si="131"/>
        <v>1.1498457404956714E-2</v>
      </c>
      <c r="CC91" s="17"/>
      <c r="CD91" s="17"/>
      <c r="CE91" s="17"/>
    </row>
    <row r="92" spans="1:115">
      <c r="A92" s="16" t="s">
        <v>44</v>
      </c>
      <c r="B92" s="140">
        <f>EXP(-B91*B90)</f>
        <v>1.0003214808927225</v>
      </c>
      <c r="C92" s="140">
        <f t="shared" ref="C92:AR92" si="132">EXP(-C91*C90)</f>
        <v>1.0012198057114556</v>
      </c>
      <c r="D92" s="140">
        <f t="shared" si="132"/>
        <v>1.0023673140348537</v>
      </c>
      <c r="E92" s="140">
        <f t="shared" si="132"/>
        <v>1.0037125704627228</v>
      </c>
      <c r="F92" s="140">
        <f t="shared" si="132"/>
        <v>1.005162698051272</v>
      </c>
      <c r="G92" s="140">
        <f t="shared" si="132"/>
        <v>1.0066937894050456</v>
      </c>
      <c r="H92" s="140">
        <f t="shared" si="132"/>
        <v>1.0082232767201627</v>
      </c>
      <c r="I92" s="140">
        <f t="shared" si="132"/>
        <v>1.0097419376202517</v>
      </c>
      <c r="J92" s="140">
        <f t="shared" si="132"/>
        <v>1.0111787409195778</v>
      </c>
      <c r="K92" s="140">
        <f t="shared" si="132"/>
        <v>1.0125253889021169</v>
      </c>
      <c r="L92" s="140">
        <f t="shared" si="132"/>
        <v>1.0137384672210272</v>
      </c>
      <c r="M92" s="140">
        <f t="shared" si="132"/>
        <v>1.0148120768635598</v>
      </c>
      <c r="N92" s="140">
        <f t="shared" si="132"/>
        <v>1.0157009883684478</v>
      </c>
      <c r="O92" s="140">
        <f t="shared" si="132"/>
        <v>1.0164062835966559</v>
      </c>
      <c r="P92" s="140">
        <f t="shared" si="132"/>
        <v>1.016896557435589</v>
      </c>
      <c r="Q92" s="140">
        <f t="shared" si="132"/>
        <v>1.0171691584103291</v>
      </c>
      <c r="R92" s="140">
        <f t="shared" si="132"/>
        <v>1.0172068207749774</v>
      </c>
      <c r="S92" s="140">
        <f t="shared" si="132"/>
        <v>1.017002778223189</v>
      </c>
      <c r="T92" s="140">
        <f t="shared" si="132"/>
        <v>1.0165517831019562</v>
      </c>
      <c r="U92" s="140">
        <f t="shared" si="132"/>
        <v>1.0158381367314357</v>
      </c>
      <c r="V92" s="140">
        <f t="shared" si="132"/>
        <v>1.0148730479748922</v>
      </c>
      <c r="W92" s="140">
        <f t="shared" si="132"/>
        <v>1.0136316143738449</v>
      </c>
      <c r="X92" s="140">
        <f t="shared" si="132"/>
        <v>1.0121391314449837</v>
      </c>
      <c r="Y92" s="140">
        <f t="shared" si="132"/>
        <v>1.0103611242635828</v>
      </c>
      <c r="Z92" s="140">
        <f t="shared" si="132"/>
        <v>1.008336708163259</v>
      </c>
      <c r="AA92" s="140">
        <f t="shared" si="132"/>
        <v>1.0060348438812885</v>
      </c>
      <c r="AB92" s="140">
        <f t="shared" si="132"/>
        <v>1.0034825085663113</v>
      </c>
      <c r="AC92" s="140">
        <f t="shared" si="132"/>
        <v>1.0006368222367994</v>
      </c>
      <c r="AD92" s="140">
        <f t="shared" si="132"/>
        <v>0.99756336008820023</v>
      </c>
      <c r="AE92" s="140">
        <f t="shared" si="132"/>
        <v>0.99419672044723129</v>
      </c>
      <c r="AF92" s="140">
        <f t="shared" si="132"/>
        <v>0.99061502205630236</v>
      </c>
      <c r="AG92" s="140">
        <f t="shared" si="132"/>
        <v>0.98674244227769403</v>
      </c>
      <c r="AH92" s="140">
        <f t="shared" si="132"/>
        <v>0.98266910497657134</v>
      </c>
      <c r="AI92" s="140">
        <f t="shared" si="132"/>
        <v>0.97833369310645124</v>
      </c>
      <c r="AJ92" s="140">
        <f t="shared" si="132"/>
        <v>0.97378954816897179</v>
      </c>
      <c r="AK92" s="140">
        <f t="shared" si="132"/>
        <v>0.96896409180092125</v>
      </c>
      <c r="AL92" s="140">
        <f t="shared" si="132"/>
        <v>0.96396966843997789</v>
      </c>
      <c r="AM92" s="140">
        <f t="shared" si="132"/>
        <v>0.9587006731175296</v>
      </c>
      <c r="AN92" s="140">
        <f t="shared" si="132"/>
        <v>0.95327964387268971</v>
      </c>
      <c r="AO92" s="140">
        <f t="shared" si="132"/>
        <v>0.94759178686640211</v>
      </c>
      <c r="AP92" s="140">
        <f t="shared" si="132"/>
        <v>0.9417691876079014</v>
      </c>
      <c r="AQ92" s="140">
        <f t="shared" si="132"/>
        <v>0.93572244601825583</v>
      </c>
      <c r="AR92" s="140">
        <f t="shared" si="132"/>
        <v>0.92952530958892676</v>
      </c>
      <c r="AS92" s="140">
        <f>EXP(-AS91*AS90)</f>
        <v>0.92307912293732886</v>
      </c>
      <c r="AT92" s="140">
        <f t="shared" ref="AT92:CA92" si="133">EXP(-AT91*AT90)</f>
        <v>0.91653306701021242</v>
      </c>
      <c r="AU92" s="140">
        <f t="shared" si="133"/>
        <v>0.90974772773642598</v>
      </c>
      <c r="AV92" s="140">
        <f t="shared" si="133"/>
        <v>0.90287984998657067</v>
      </c>
      <c r="AW92" s="140">
        <f t="shared" si="133"/>
        <v>0.89578286924409978</v>
      </c>
      <c r="AX92" s="140">
        <f t="shared" si="133"/>
        <v>0.88862043157605519</v>
      </c>
      <c r="AY92" s="140">
        <f t="shared" si="133"/>
        <v>0.88128052894784203</v>
      </c>
      <c r="AZ92" s="140">
        <f t="shared" si="133"/>
        <v>0.87385145776751405</v>
      </c>
      <c r="BA92" s="140">
        <f t="shared" si="133"/>
        <v>0.86621444514542345</v>
      </c>
      <c r="BB92" s="140">
        <f t="shared" si="133"/>
        <v>0.85854496329171259</v>
      </c>
      <c r="BC92" s="140">
        <f t="shared" si="133"/>
        <v>0.85067837346573538</v>
      </c>
      <c r="BD92" s="140">
        <f t="shared" si="133"/>
        <v>0.84279511032050558</v>
      </c>
      <c r="BE92" s="140">
        <f t="shared" si="133"/>
        <v>0.8347256285972865</v>
      </c>
      <c r="BF92" s="140">
        <f t="shared" si="133"/>
        <v>0.82665470418073561</v>
      </c>
      <c r="BG92" s="140">
        <f t="shared" si="133"/>
        <v>0.81845422224048225</v>
      </c>
      <c r="BH92" s="140">
        <f t="shared" si="133"/>
        <v>0.81022154542568936</v>
      </c>
      <c r="BI92" s="140">
        <f t="shared" si="133"/>
        <v>0.80182430464134791</v>
      </c>
      <c r="BJ92" s="140">
        <f t="shared" si="133"/>
        <v>0.79345415654423412</v>
      </c>
      <c r="BK92" s="140">
        <f t="shared" si="133"/>
        <v>0.78493012593304023</v>
      </c>
      <c r="BL92" s="140">
        <f t="shared" si="133"/>
        <v>0.77644645832370318</v>
      </c>
      <c r="BM92" s="140">
        <f t="shared" si="133"/>
        <v>0.76781941659834085</v>
      </c>
      <c r="BN92" s="140">
        <f t="shared" si="133"/>
        <v>0.75924529295469545</v>
      </c>
      <c r="BO92" s="140">
        <f t="shared" si="133"/>
        <v>0.75058628736068078</v>
      </c>
      <c r="BP92" s="140">
        <f t="shared" si="133"/>
        <v>0.74194398222985425</v>
      </c>
      <c r="BQ92" s="140">
        <f t="shared" si="133"/>
        <v>0.73317860974373394</v>
      </c>
      <c r="BR92" s="140">
        <f t="shared" si="133"/>
        <v>0.72448902203047727</v>
      </c>
      <c r="BS92" s="140">
        <f t="shared" si="133"/>
        <v>0.71568612498184658</v>
      </c>
      <c r="BT92" s="140">
        <f t="shared" si="133"/>
        <v>0.706969337404593</v>
      </c>
      <c r="BU92" s="140">
        <f t="shared" si="133"/>
        <v>0.69814868759155091</v>
      </c>
      <c r="BV92" s="140">
        <f t="shared" si="133"/>
        <v>0.68942371822219284</v>
      </c>
      <c r="BW92" s="140">
        <f t="shared" si="133"/>
        <v>0.68065271220951906</v>
      </c>
      <c r="BX92" s="140">
        <f t="shared" si="133"/>
        <v>0.67193744458164806</v>
      </c>
      <c r="BY92" s="140">
        <f t="shared" si="133"/>
        <v>0.66313616608124248</v>
      </c>
      <c r="BZ92" s="140">
        <f t="shared" si="133"/>
        <v>0.65444744630787599</v>
      </c>
      <c r="CA92" s="140">
        <f t="shared" si="133"/>
        <v>0.64568111194781641</v>
      </c>
      <c r="CB92" s="140">
        <f>EXP(-CB91*CB90)</f>
        <v>0.6370346869823551</v>
      </c>
      <c r="CC92" s="17"/>
      <c r="CD92" s="17"/>
      <c r="CE92" s="17"/>
    </row>
    <row r="93" spans="1:115" s="6" customFormat="1">
      <c r="A93" s="130"/>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19"/>
      <c r="CD93" s="19"/>
      <c r="CE93" s="19"/>
    </row>
    <row r="94" spans="1:115">
      <c r="A94" s="16" t="s">
        <v>40</v>
      </c>
      <c r="B94" s="140">
        <f t="shared" ref="B94:BM94" si="134">DAYS360($B$3,B34)</f>
        <v>158</v>
      </c>
      <c r="C94" s="140">
        <f t="shared" si="134"/>
        <v>337</v>
      </c>
      <c r="D94" s="140">
        <f t="shared" si="134"/>
        <v>517</v>
      </c>
      <c r="E94" s="140">
        <f t="shared" si="134"/>
        <v>697</v>
      </c>
      <c r="F94" s="140">
        <f t="shared" si="134"/>
        <v>877</v>
      </c>
      <c r="G94" s="140">
        <f t="shared" si="134"/>
        <v>1057</v>
      </c>
      <c r="H94" s="140">
        <f t="shared" si="134"/>
        <v>1237</v>
      </c>
      <c r="I94" s="140">
        <f t="shared" si="134"/>
        <v>1417</v>
      </c>
      <c r="J94" s="140">
        <f t="shared" si="134"/>
        <v>1597</v>
      </c>
      <c r="K94" s="140">
        <f t="shared" si="134"/>
        <v>1776</v>
      </c>
      <c r="L94" s="140">
        <f t="shared" si="134"/>
        <v>1956</v>
      </c>
      <c r="M94" s="140">
        <f t="shared" si="134"/>
        <v>2136</v>
      </c>
      <c r="N94" s="140">
        <f t="shared" si="134"/>
        <v>2316</v>
      </c>
      <c r="O94" s="140">
        <f t="shared" si="134"/>
        <v>2496</v>
      </c>
      <c r="P94" s="140">
        <f t="shared" si="134"/>
        <v>2676</v>
      </c>
      <c r="Q94" s="140">
        <f t="shared" si="134"/>
        <v>2856</v>
      </c>
      <c r="R94" s="140">
        <f t="shared" si="134"/>
        <v>3036</v>
      </c>
      <c r="S94" s="140">
        <f t="shared" si="134"/>
        <v>3215</v>
      </c>
      <c r="T94" s="140">
        <f t="shared" si="134"/>
        <v>3395</v>
      </c>
      <c r="U94" s="140">
        <f t="shared" si="134"/>
        <v>3575</v>
      </c>
      <c r="V94" s="140">
        <f t="shared" si="134"/>
        <v>3755</v>
      </c>
      <c r="W94" s="140">
        <f t="shared" si="134"/>
        <v>3935</v>
      </c>
      <c r="X94" s="140">
        <f t="shared" si="134"/>
        <v>4115</v>
      </c>
      <c r="Y94" s="140">
        <f t="shared" si="134"/>
        <v>4295</v>
      </c>
      <c r="Z94" s="140">
        <f t="shared" si="134"/>
        <v>4475</v>
      </c>
      <c r="AA94" s="140">
        <f t="shared" si="134"/>
        <v>4654</v>
      </c>
      <c r="AB94" s="140">
        <f t="shared" si="134"/>
        <v>4834</v>
      </c>
      <c r="AC94" s="140">
        <f t="shared" si="134"/>
        <v>5014</v>
      </c>
      <c r="AD94" s="140">
        <f t="shared" si="134"/>
        <v>5194</v>
      </c>
      <c r="AE94" s="140">
        <f t="shared" si="134"/>
        <v>5374</v>
      </c>
      <c r="AF94" s="140">
        <f t="shared" si="134"/>
        <v>5554</v>
      </c>
      <c r="AG94" s="140">
        <f t="shared" si="134"/>
        <v>5734</v>
      </c>
      <c r="AH94" s="140">
        <f t="shared" si="134"/>
        <v>5914</v>
      </c>
      <c r="AI94" s="140">
        <f t="shared" si="134"/>
        <v>6093</v>
      </c>
      <c r="AJ94" s="140">
        <f t="shared" si="134"/>
        <v>6273</v>
      </c>
      <c r="AK94" s="140">
        <f t="shared" si="134"/>
        <v>6453</v>
      </c>
      <c r="AL94" s="140">
        <f t="shared" si="134"/>
        <v>6633</v>
      </c>
      <c r="AM94" s="140">
        <f t="shared" si="134"/>
        <v>6813</v>
      </c>
      <c r="AN94" s="140">
        <f t="shared" si="134"/>
        <v>6993</v>
      </c>
      <c r="AO94" s="140">
        <f t="shared" si="134"/>
        <v>7173</v>
      </c>
      <c r="AP94" s="140">
        <f t="shared" si="134"/>
        <v>7353</v>
      </c>
      <c r="AQ94" s="140">
        <f t="shared" si="134"/>
        <v>7532</v>
      </c>
      <c r="AR94" s="140">
        <f t="shared" si="134"/>
        <v>7712</v>
      </c>
      <c r="AS94" s="140">
        <f t="shared" si="134"/>
        <v>7892</v>
      </c>
      <c r="AT94" s="140">
        <f t="shared" si="134"/>
        <v>8072</v>
      </c>
      <c r="AU94" s="140">
        <f t="shared" si="134"/>
        <v>8252</v>
      </c>
      <c r="AV94" s="140">
        <f t="shared" si="134"/>
        <v>8432</v>
      </c>
      <c r="AW94" s="140">
        <f t="shared" si="134"/>
        <v>8612</v>
      </c>
      <c r="AX94" s="140">
        <f t="shared" si="134"/>
        <v>8792</v>
      </c>
      <c r="AY94" s="140">
        <f t="shared" si="134"/>
        <v>8971</v>
      </c>
      <c r="AZ94" s="140">
        <f t="shared" si="134"/>
        <v>9151</v>
      </c>
      <c r="BA94" s="140">
        <f t="shared" si="134"/>
        <v>9331</v>
      </c>
      <c r="BB94" s="140">
        <f t="shared" si="134"/>
        <v>9511</v>
      </c>
      <c r="BC94" s="140">
        <f t="shared" si="134"/>
        <v>9691</v>
      </c>
      <c r="BD94" s="140">
        <f t="shared" si="134"/>
        <v>9871</v>
      </c>
      <c r="BE94" s="140">
        <f t="shared" si="134"/>
        <v>10051</v>
      </c>
      <c r="BF94" s="140">
        <f t="shared" si="134"/>
        <v>10231</v>
      </c>
      <c r="BG94" s="140">
        <f t="shared" si="134"/>
        <v>10410</v>
      </c>
      <c r="BH94" s="140">
        <f t="shared" si="134"/>
        <v>10590</v>
      </c>
      <c r="BI94" s="140">
        <f t="shared" si="134"/>
        <v>10770</v>
      </c>
      <c r="BJ94" s="140">
        <f t="shared" si="134"/>
        <v>10950</v>
      </c>
      <c r="BK94" s="140">
        <f t="shared" si="134"/>
        <v>11130</v>
      </c>
      <c r="BL94" s="140">
        <f t="shared" si="134"/>
        <v>11310</v>
      </c>
      <c r="BM94" s="140">
        <f t="shared" si="134"/>
        <v>11490</v>
      </c>
      <c r="BN94" s="140">
        <f t="shared" ref="BN94:CB94" si="135">DAYS360($B$3,BN34)</f>
        <v>11670</v>
      </c>
      <c r="BO94" s="140">
        <f t="shared" si="135"/>
        <v>11849</v>
      </c>
      <c r="BP94" s="140">
        <f t="shared" si="135"/>
        <v>12029</v>
      </c>
      <c r="BQ94" s="140">
        <f t="shared" si="135"/>
        <v>12209</v>
      </c>
      <c r="BR94" s="140">
        <f t="shared" si="135"/>
        <v>12389</v>
      </c>
      <c r="BS94" s="140">
        <f t="shared" si="135"/>
        <v>12569</v>
      </c>
      <c r="BT94" s="140">
        <f t="shared" si="135"/>
        <v>12749</v>
      </c>
      <c r="BU94" s="140">
        <f t="shared" si="135"/>
        <v>12929</v>
      </c>
      <c r="BV94" s="140">
        <f t="shared" si="135"/>
        <v>13109</v>
      </c>
      <c r="BW94" s="140">
        <f t="shared" si="135"/>
        <v>13289</v>
      </c>
      <c r="BX94" s="140">
        <f t="shared" si="135"/>
        <v>13468</v>
      </c>
      <c r="BY94" s="140">
        <f t="shared" si="135"/>
        <v>13649</v>
      </c>
      <c r="BZ94" s="140">
        <f t="shared" si="135"/>
        <v>13828</v>
      </c>
      <c r="CA94" s="140">
        <f t="shared" si="135"/>
        <v>14009</v>
      </c>
      <c r="CB94" s="140">
        <f t="shared" si="135"/>
        <v>14188</v>
      </c>
      <c r="CC94" s="17"/>
      <c r="CD94" s="17"/>
      <c r="CE94" s="17"/>
    </row>
    <row r="95" spans="1:115">
      <c r="A95" s="16" t="s">
        <v>41</v>
      </c>
      <c r="B95" s="140">
        <f>B94/360</f>
        <v>0.43888888888888888</v>
      </c>
      <c r="C95" s="140">
        <f t="shared" ref="C95:BN95" si="136">C94/360</f>
        <v>0.93611111111111112</v>
      </c>
      <c r="D95" s="140">
        <f t="shared" si="136"/>
        <v>1.4361111111111111</v>
      </c>
      <c r="E95" s="140">
        <f t="shared" si="136"/>
        <v>1.9361111111111111</v>
      </c>
      <c r="F95" s="140">
        <f t="shared" si="136"/>
        <v>2.4361111111111109</v>
      </c>
      <c r="G95" s="140">
        <f t="shared" si="136"/>
        <v>2.9361111111111109</v>
      </c>
      <c r="H95" s="140">
        <f t="shared" si="136"/>
        <v>3.4361111111111109</v>
      </c>
      <c r="I95" s="140">
        <f t="shared" si="136"/>
        <v>3.9361111111111109</v>
      </c>
      <c r="J95" s="140">
        <f t="shared" si="136"/>
        <v>4.4361111111111109</v>
      </c>
      <c r="K95" s="140">
        <f t="shared" si="136"/>
        <v>4.9333333333333336</v>
      </c>
      <c r="L95" s="140">
        <f t="shared" si="136"/>
        <v>5.4333333333333336</v>
      </c>
      <c r="M95" s="140">
        <f t="shared" si="136"/>
        <v>5.9333333333333336</v>
      </c>
      <c r="N95" s="140">
        <f t="shared" si="136"/>
        <v>6.4333333333333336</v>
      </c>
      <c r="O95" s="140">
        <f t="shared" si="136"/>
        <v>6.9333333333333336</v>
      </c>
      <c r="P95" s="140">
        <f t="shared" si="136"/>
        <v>7.4333333333333336</v>
      </c>
      <c r="Q95" s="140">
        <f t="shared" si="136"/>
        <v>7.9333333333333336</v>
      </c>
      <c r="R95" s="140">
        <f t="shared" si="136"/>
        <v>8.4333333333333336</v>
      </c>
      <c r="S95" s="140">
        <f t="shared" si="136"/>
        <v>8.9305555555555554</v>
      </c>
      <c r="T95" s="140">
        <f t="shared" si="136"/>
        <v>9.4305555555555554</v>
      </c>
      <c r="U95" s="140">
        <f t="shared" si="136"/>
        <v>9.9305555555555554</v>
      </c>
      <c r="V95" s="140">
        <f t="shared" si="136"/>
        <v>10.430555555555555</v>
      </c>
      <c r="W95" s="140">
        <f t="shared" si="136"/>
        <v>10.930555555555555</v>
      </c>
      <c r="X95" s="140">
        <f t="shared" si="136"/>
        <v>11.430555555555555</v>
      </c>
      <c r="Y95" s="140">
        <f t="shared" si="136"/>
        <v>11.930555555555555</v>
      </c>
      <c r="Z95" s="140">
        <f t="shared" si="136"/>
        <v>12.430555555555555</v>
      </c>
      <c r="AA95" s="140">
        <f t="shared" si="136"/>
        <v>12.927777777777777</v>
      </c>
      <c r="AB95" s="140">
        <f t="shared" si="136"/>
        <v>13.427777777777777</v>
      </c>
      <c r="AC95" s="140">
        <f t="shared" si="136"/>
        <v>13.927777777777777</v>
      </c>
      <c r="AD95" s="140">
        <f t="shared" si="136"/>
        <v>14.427777777777777</v>
      </c>
      <c r="AE95" s="140">
        <f t="shared" si="136"/>
        <v>14.927777777777777</v>
      </c>
      <c r="AF95" s="140">
        <f t="shared" si="136"/>
        <v>15.427777777777777</v>
      </c>
      <c r="AG95" s="140">
        <f t="shared" si="136"/>
        <v>15.927777777777777</v>
      </c>
      <c r="AH95" s="140">
        <f t="shared" si="136"/>
        <v>16.427777777777777</v>
      </c>
      <c r="AI95" s="140">
        <f t="shared" si="136"/>
        <v>16.925000000000001</v>
      </c>
      <c r="AJ95" s="140">
        <f t="shared" si="136"/>
        <v>17.425000000000001</v>
      </c>
      <c r="AK95" s="140">
        <f t="shared" si="136"/>
        <v>17.925000000000001</v>
      </c>
      <c r="AL95" s="140">
        <f t="shared" si="136"/>
        <v>18.425000000000001</v>
      </c>
      <c r="AM95" s="140">
        <f t="shared" si="136"/>
        <v>18.925000000000001</v>
      </c>
      <c r="AN95" s="140">
        <f t="shared" si="136"/>
        <v>19.425000000000001</v>
      </c>
      <c r="AO95" s="140">
        <f t="shared" si="136"/>
        <v>19.925000000000001</v>
      </c>
      <c r="AP95" s="140">
        <f t="shared" si="136"/>
        <v>20.425000000000001</v>
      </c>
      <c r="AQ95" s="140">
        <f t="shared" si="136"/>
        <v>20.922222222222221</v>
      </c>
      <c r="AR95" s="140">
        <f t="shared" si="136"/>
        <v>21.422222222222221</v>
      </c>
      <c r="AS95" s="140">
        <f t="shared" si="136"/>
        <v>21.922222222222221</v>
      </c>
      <c r="AT95" s="140">
        <f t="shared" si="136"/>
        <v>22.422222222222221</v>
      </c>
      <c r="AU95" s="140">
        <f t="shared" si="136"/>
        <v>22.922222222222221</v>
      </c>
      <c r="AV95" s="140">
        <f t="shared" si="136"/>
        <v>23.422222222222221</v>
      </c>
      <c r="AW95" s="140">
        <f t="shared" si="136"/>
        <v>23.922222222222221</v>
      </c>
      <c r="AX95" s="140">
        <f t="shared" si="136"/>
        <v>24.422222222222221</v>
      </c>
      <c r="AY95" s="140">
        <f t="shared" si="136"/>
        <v>24.919444444444444</v>
      </c>
      <c r="AZ95" s="140">
        <f t="shared" si="136"/>
        <v>25.419444444444444</v>
      </c>
      <c r="BA95" s="140">
        <f t="shared" si="136"/>
        <v>25.919444444444444</v>
      </c>
      <c r="BB95" s="140">
        <f t="shared" si="136"/>
        <v>26.419444444444444</v>
      </c>
      <c r="BC95" s="140">
        <f t="shared" si="136"/>
        <v>26.919444444444444</v>
      </c>
      <c r="BD95" s="140">
        <f t="shared" si="136"/>
        <v>27.419444444444444</v>
      </c>
      <c r="BE95" s="140">
        <f t="shared" si="136"/>
        <v>27.919444444444444</v>
      </c>
      <c r="BF95" s="140">
        <f t="shared" si="136"/>
        <v>28.419444444444444</v>
      </c>
      <c r="BG95" s="140">
        <f t="shared" si="136"/>
        <v>28.916666666666668</v>
      </c>
      <c r="BH95" s="140">
        <f t="shared" si="136"/>
        <v>29.416666666666668</v>
      </c>
      <c r="BI95" s="140">
        <f t="shared" si="136"/>
        <v>29.916666666666668</v>
      </c>
      <c r="BJ95" s="140">
        <f t="shared" si="136"/>
        <v>30.416666666666668</v>
      </c>
      <c r="BK95" s="140">
        <f t="shared" si="136"/>
        <v>30.916666666666668</v>
      </c>
      <c r="BL95" s="140">
        <f t="shared" si="136"/>
        <v>31.416666666666668</v>
      </c>
      <c r="BM95" s="140">
        <f t="shared" si="136"/>
        <v>31.916666666666668</v>
      </c>
      <c r="BN95" s="140">
        <f t="shared" si="136"/>
        <v>32.416666666666664</v>
      </c>
      <c r="BO95" s="140">
        <f t="shared" ref="BO95:CB95" si="137">BO94/360</f>
        <v>32.913888888888891</v>
      </c>
      <c r="BP95" s="140">
        <f t="shared" si="137"/>
        <v>33.413888888888891</v>
      </c>
      <c r="BQ95" s="140">
        <f t="shared" si="137"/>
        <v>33.913888888888891</v>
      </c>
      <c r="BR95" s="140">
        <f t="shared" si="137"/>
        <v>34.413888888888891</v>
      </c>
      <c r="BS95" s="140">
        <f t="shared" si="137"/>
        <v>34.913888888888891</v>
      </c>
      <c r="BT95" s="140">
        <f t="shared" si="137"/>
        <v>35.413888888888891</v>
      </c>
      <c r="BU95" s="140">
        <f t="shared" si="137"/>
        <v>35.913888888888891</v>
      </c>
      <c r="BV95" s="140">
        <f t="shared" si="137"/>
        <v>36.413888888888891</v>
      </c>
      <c r="BW95" s="140">
        <f t="shared" si="137"/>
        <v>36.913888888888891</v>
      </c>
      <c r="BX95" s="140">
        <f t="shared" si="137"/>
        <v>37.411111111111111</v>
      </c>
      <c r="BY95" s="140">
        <f t="shared" si="137"/>
        <v>37.913888888888891</v>
      </c>
      <c r="BZ95" s="140">
        <f t="shared" si="137"/>
        <v>38.411111111111111</v>
      </c>
      <c r="CA95" s="140">
        <f t="shared" si="137"/>
        <v>38.913888888888891</v>
      </c>
      <c r="CB95" s="140">
        <f t="shared" si="137"/>
        <v>39.411111111111111</v>
      </c>
      <c r="CC95" s="17"/>
      <c r="CD95" s="17"/>
      <c r="CE95" s="17"/>
    </row>
    <row r="96" spans="1:115">
      <c r="A96" s="16" t="s">
        <v>43</v>
      </c>
      <c r="B96" s="140">
        <f>IF(B94&lt;0,0,$B$5+$B$6*((1-EXP(-B95/$B$9))/(B95/$B$9))+$B$7*((1-EXP(-B95/$B$9))/(B95/$B$9)-EXP(-B95/$B$9))+$B$8*((1-EXP(-B95/$B$10))/(B95/$B$10)-EXP(-B95/$B$10)))</f>
        <v>-1.4472130268773698E-3</v>
      </c>
      <c r="C96" s="140">
        <f t="shared" ref="C96:BN96" si="138">IF(C94&lt;0,0,$B$5+$B$6*((1-EXP(-C95/$B$9))/(C95/$B$9))+$B$7*((1-EXP(-C95/$B$9))/(C95/$B$9)-EXP(-C95/$B$9))+$B$8*((1-EXP(-C95/$B$10))/(C95/$B$10)-EXP(-C95/$B$10)))</f>
        <v>-1.7464795744455068E-3</v>
      </c>
      <c r="D96" s="140">
        <f t="shared" si="138"/>
        <v>-1.9950546365397667E-3</v>
      </c>
      <c r="E96" s="140">
        <f t="shared" si="138"/>
        <v>-2.1959455056847891E-3</v>
      </c>
      <c r="F96" s="140">
        <f t="shared" si="138"/>
        <v>-2.3535459577285348E-3</v>
      </c>
      <c r="G96" s="140">
        <f t="shared" si="138"/>
        <v>-2.4718494227382835E-3</v>
      </c>
      <c r="H96" s="140">
        <f t="shared" si="138"/>
        <v>-2.5544857842801725E-3</v>
      </c>
      <c r="I96" s="140">
        <f t="shared" si="138"/>
        <v>-2.6047547961004398E-3</v>
      </c>
      <c r="J96" s="140">
        <f t="shared" si="138"/>
        <v>-2.6256564260625755E-3</v>
      </c>
      <c r="K96" s="140">
        <f t="shared" si="138"/>
        <v>-2.6200192117131109E-3</v>
      </c>
      <c r="L96" s="140">
        <f t="shared" si="138"/>
        <v>-2.5902498540883875E-3</v>
      </c>
      <c r="M96" s="140">
        <f t="shared" si="138"/>
        <v>-2.538565434595783E-3</v>
      </c>
      <c r="N96" s="140">
        <f t="shared" si="138"/>
        <v>-2.4670191729133373E-3</v>
      </c>
      <c r="O96" s="140">
        <f t="shared" si="138"/>
        <v>-2.3774790354720147E-3</v>
      </c>
      <c r="P96" s="140">
        <f t="shared" si="138"/>
        <v>-2.2716447430637466E-3</v>
      </c>
      <c r="Q96" s="140">
        <f t="shared" si="138"/>
        <v>-2.1510632109348299E-3</v>
      </c>
      <c r="R96" s="140">
        <f t="shared" si="138"/>
        <v>-2.0171425654113774E-3</v>
      </c>
      <c r="S96" s="140">
        <f t="shared" si="138"/>
        <v>-1.8720069668621184E-3</v>
      </c>
      <c r="T96" s="140">
        <f t="shared" si="138"/>
        <v>-1.7151972319418302E-3</v>
      </c>
      <c r="U96" s="140">
        <f t="shared" si="138"/>
        <v>-1.5485558697790466E-3</v>
      </c>
      <c r="V96" s="140">
        <f t="shared" si="138"/>
        <v>-1.3730523846275187E-3</v>
      </c>
      <c r="W96" s="140">
        <f t="shared" si="138"/>
        <v>-1.1895703604790538E-3</v>
      </c>
      <c r="X96" s="140">
        <f t="shared" si="138"/>
        <v>-9.9891530620557171E-4</v>
      </c>
      <c r="Y96" s="140">
        <f t="shared" si="138"/>
        <v>-8.0182177627375261E-4</v>
      </c>
      <c r="Z96" s="140">
        <f t="shared" si="138"/>
        <v>-5.9895983383988043E-4</v>
      </c>
      <c r="AA96" s="140">
        <f t="shared" si="138"/>
        <v>-3.9210977467740672E-4</v>
      </c>
      <c r="AB96" s="140">
        <f t="shared" si="138"/>
        <v>-1.7951611881345886E-4</v>
      </c>
      <c r="AC96" s="140">
        <f t="shared" si="138"/>
        <v>3.7169411483689661E-5</v>
      </c>
      <c r="AD96" s="140">
        <f t="shared" si="138"/>
        <v>2.5748099609508406E-4</v>
      </c>
      <c r="AE96" s="140">
        <f t="shared" si="138"/>
        <v>4.8099293715666821E-4</v>
      </c>
      <c r="AF96" s="140">
        <f t="shared" si="138"/>
        <v>7.0731604372670492E-4</v>
      </c>
      <c r="AG96" s="140">
        <f t="shared" si="138"/>
        <v>9.3609435026212849E-4</v>
      </c>
      <c r="AH96" s="140">
        <f t="shared" si="138"/>
        <v>1.1670021380058245E-3</v>
      </c>
      <c r="AI96" s="140">
        <f t="shared" si="138"/>
        <v>1.3984436900303199E-3</v>
      </c>
      <c r="AJ96" s="140">
        <f t="shared" si="138"/>
        <v>1.6327330563383315E-3</v>
      </c>
      <c r="AK96" s="140">
        <f t="shared" si="138"/>
        <v>1.8683317454472209E-3</v>
      </c>
      <c r="AL96" s="140">
        <f t="shared" si="138"/>
        <v>2.1050102582170658E-3</v>
      </c>
      <c r="AM96" s="140">
        <f t="shared" si="138"/>
        <v>2.3425581065404308E-3</v>
      </c>
      <c r="AN96" s="140">
        <f t="shared" si="138"/>
        <v>2.5807821449023534E-3</v>
      </c>
      <c r="AO96" s="140">
        <f t="shared" si="138"/>
        <v>2.8195050553092181E-3</v>
      </c>
      <c r="AP96" s="140">
        <f t="shared" si="138"/>
        <v>3.0585639713439821E-3</v>
      </c>
      <c r="AQ96" s="140">
        <f t="shared" si="138"/>
        <v>3.2964798313358558E-3</v>
      </c>
      <c r="AR96" s="140">
        <f t="shared" si="138"/>
        <v>3.5357739200255088E-3</v>
      </c>
      <c r="AS96" s="140">
        <f t="shared" si="138"/>
        <v>3.7749908632609326E-3</v>
      </c>
      <c r="AT96" s="140">
        <f t="shared" si="138"/>
        <v>4.0140141423606404E-3</v>
      </c>
      <c r="AU96" s="140">
        <f t="shared" si="138"/>
        <v>4.2527364891987761E-3</v>
      </c>
      <c r="AV96" s="140">
        <f t="shared" si="138"/>
        <v>4.4910591114397961E-3</v>
      </c>
      <c r="AW96" s="140">
        <f t="shared" si="138"/>
        <v>4.7288909880811398E-3</v>
      </c>
      <c r="AX96" s="140">
        <f t="shared" si="138"/>
        <v>4.9661482287634128E-3</v>
      </c>
      <c r="AY96" s="140">
        <f t="shared" si="138"/>
        <v>5.2014409518526799E-3</v>
      </c>
      <c r="AZ96" s="140">
        <f t="shared" si="138"/>
        <v>5.437327115298065E-3</v>
      </c>
      <c r="BA96" s="140">
        <f t="shared" si="138"/>
        <v>5.6724245354581836E-3</v>
      </c>
      <c r="BB96" s="140">
        <f t="shared" si="138"/>
        <v>5.9066724894487723E-3</v>
      </c>
      <c r="BC96" s="140">
        <f t="shared" si="138"/>
        <v>6.1400149508734807E-3</v>
      </c>
      <c r="BD96" s="140">
        <f t="shared" si="138"/>
        <v>6.3724002246077294E-3</v>
      </c>
      <c r="BE96" s="140">
        <f t="shared" si="138"/>
        <v>6.6037806138049011E-3</v>
      </c>
      <c r="BF96" s="140">
        <f t="shared" si="138"/>
        <v>6.8341121161336624E-3</v>
      </c>
      <c r="BG96" s="140">
        <f t="shared" si="138"/>
        <v>7.062083659313447E-3</v>
      </c>
      <c r="BH96" s="140">
        <f t="shared" si="138"/>
        <v>7.2902051552148983E-3</v>
      </c>
      <c r="BI96" s="140">
        <f t="shared" si="138"/>
        <v>7.5171654538859021E-3</v>
      </c>
      <c r="BJ96" s="140">
        <f t="shared" si="138"/>
        <v>7.7429327737350007E-3</v>
      </c>
      <c r="BK96" s="140">
        <f t="shared" si="138"/>
        <v>7.9674778618532005E-3</v>
      </c>
      <c r="BL96" s="140">
        <f t="shared" si="138"/>
        <v>8.1907738167010941E-3</v>
      </c>
      <c r="BM96" s="140">
        <f t="shared" si="138"/>
        <v>8.4127959256257486E-3</v>
      </c>
      <c r="BN96" s="140">
        <f t="shared" si="138"/>
        <v>8.6335215158448008E-3</v>
      </c>
      <c r="BO96" s="140">
        <f t="shared" ref="BO96:CB96" si="139">IF(BO94&lt;0,0,$B$5+$B$6*((1-EXP(-BO95/$B$9))/(BO95/$B$9))+$B$7*((1-EXP(-BO95/$B$9))/(BO95/$B$9)-EXP(-BO95/$B$9))+$B$8*((1-EXP(-BO95/$B$10))/(BO95/$B$10)-EXP(-BO95/$B$10)))</f>
        <v>8.8517145571246694E-3</v>
      </c>
      <c r="BP96" s="140">
        <f t="shared" si="139"/>
        <v>9.069794051404817E-3</v>
      </c>
      <c r="BQ96" s="140">
        <f t="shared" si="139"/>
        <v>9.2865200264608851E-3</v>
      </c>
      <c r="BR96" s="140">
        <f t="shared" si="139"/>
        <v>9.5018766989526694E-3</v>
      </c>
      <c r="BS96" s="140">
        <f t="shared" si="139"/>
        <v>9.7158497434781926E-3</v>
      </c>
      <c r="BT96" s="140">
        <f t="shared" si="139"/>
        <v>9.9284262020873492E-3</v>
      </c>
      <c r="BU96" s="140">
        <f t="shared" si="139"/>
        <v>1.0139594400710905E-2</v>
      </c>
      <c r="BV96" s="140">
        <f t="shared" si="139"/>
        <v>1.034934387188549E-2</v>
      </c>
      <c r="BW96" s="140">
        <f t="shared" si="139"/>
        <v>1.0557665283213689E-2</v>
      </c>
      <c r="BX96" s="140">
        <f t="shared" si="139"/>
        <v>1.0763404990848553E-2</v>
      </c>
      <c r="BY96" s="140">
        <f t="shared" si="139"/>
        <v>1.0969991878957634E-2</v>
      </c>
      <c r="BZ96" s="140">
        <f t="shared" si="139"/>
        <v>1.1172854229137844E-2</v>
      </c>
      <c r="CA96" s="140">
        <f t="shared" si="139"/>
        <v>1.1376519826032619E-2</v>
      </c>
      <c r="CB96" s="140">
        <f t="shared" si="139"/>
        <v>1.1576483241491572E-2</v>
      </c>
      <c r="CC96" s="17"/>
      <c r="CD96" s="17"/>
      <c r="CE96" s="17"/>
    </row>
    <row r="97" spans="1:83">
      <c r="A97" s="16" t="s">
        <v>44</v>
      </c>
      <c r="B97" s="140">
        <f>EXP(-B96*B95)</f>
        <v>1.0006353674778108</v>
      </c>
      <c r="C97" s="140">
        <f t="shared" ref="C97:AR97" si="140">EXP(-C96*C95)</f>
        <v>1.0016362361108473</v>
      </c>
      <c r="D97" s="140">
        <f t="shared" si="140"/>
        <v>1.0028692285102203</v>
      </c>
      <c r="E97" s="140">
        <f t="shared" si="140"/>
        <v>1.0042606453431195</v>
      </c>
      <c r="F97" s="140">
        <f t="shared" si="140"/>
        <v>1.0057499674241328</v>
      </c>
      <c r="G97" s="140">
        <f t="shared" si="140"/>
        <v>1.0072840249415718</v>
      </c>
      <c r="H97" s="140">
        <f t="shared" si="140"/>
        <v>1.0088161321705529</v>
      </c>
      <c r="I97" s="140">
        <f t="shared" si="140"/>
        <v>1.0103053423220101</v>
      </c>
      <c r="J97" s="140">
        <f t="shared" si="140"/>
        <v>1.0117158022864858</v>
      </c>
      <c r="K97" s="140">
        <f t="shared" si="140"/>
        <v>1.0130093225244479</v>
      </c>
      <c r="L97" s="140">
        <f t="shared" si="140"/>
        <v>1.014173191493652</v>
      </c>
      <c r="M97" s="140">
        <f t="shared" si="140"/>
        <v>1.0151761608397041</v>
      </c>
      <c r="N97" s="140">
        <f t="shared" si="140"/>
        <v>1.0159977724455922</v>
      </c>
      <c r="O97" s="140">
        <f t="shared" si="140"/>
        <v>1.0166204629562325</v>
      </c>
      <c r="P97" s="140">
        <f t="shared" si="140"/>
        <v>1.0170292651286446</v>
      </c>
      <c r="Q97" s="140">
        <f t="shared" si="140"/>
        <v>1.0172115421398831</v>
      </c>
      <c r="R97" s="140">
        <f t="shared" si="140"/>
        <v>1.0171567506629953</v>
      </c>
      <c r="S97" s="140">
        <f t="shared" si="140"/>
        <v>1.0168585910511301</v>
      </c>
      <c r="T97" s="140">
        <f t="shared" si="140"/>
        <v>1.0163067905561194</v>
      </c>
      <c r="U97" s="140">
        <f t="shared" si="140"/>
        <v>1.015496870292133</v>
      </c>
      <c r="V97" s="140">
        <f t="shared" si="140"/>
        <v>1.0144247460600324</v>
      </c>
      <c r="W97" s="140">
        <f t="shared" si="140"/>
        <v>1.013087567145891</v>
      </c>
      <c r="X97" s="140">
        <f t="shared" si="140"/>
        <v>1.0114835928719705</v>
      </c>
      <c r="Y97" s="140">
        <f t="shared" si="140"/>
        <v>1.0096120813928118</v>
      </c>
      <c r="Z97" s="140">
        <f t="shared" si="140"/>
        <v>1.0074731894230118</v>
      </c>
      <c r="AA97" s="140">
        <f t="shared" si="140"/>
        <v>1.0050819776963598</v>
      </c>
      <c r="AB97" s="140">
        <f t="shared" si="140"/>
        <v>1.0024134101480178</v>
      </c>
      <c r="AC97" s="140">
        <f t="shared" si="140"/>
        <v>0.99948244667367603</v>
      </c>
      <c r="AD97" s="140">
        <f t="shared" si="140"/>
        <v>0.99629201303133086</v>
      </c>
      <c r="AE97" s="140">
        <f t="shared" si="140"/>
        <v>0.99284556005476343</v>
      </c>
      <c r="AF97" s="140">
        <f t="shared" si="140"/>
        <v>0.98914700858421745</v>
      </c>
      <c r="AG97" s="140">
        <f t="shared" si="140"/>
        <v>0.98520069943879696</v>
      </c>
      <c r="AH97" s="140">
        <f t="shared" si="140"/>
        <v>0.98101134790813571</v>
      </c>
      <c r="AI97" s="140">
        <f t="shared" si="140"/>
        <v>0.9766092463957069</v>
      </c>
      <c r="AJ97" s="140">
        <f t="shared" si="140"/>
        <v>0.97195052744564459</v>
      </c>
      <c r="AK97" s="140">
        <f t="shared" si="140"/>
        <v>0.96706473023737471</v>
      </c>
      <c r="AL97" s="140">
        <f t="shared" si="140"/>
        <v>0.96195768669564419</v>
      </c>
      <c r="AM97" s="140">
        <f t="shared" si="140"/>
        <v>0.95663542888199993</v>
      </c>
      <c r="AN97" s="140">
        <f t="shared" si="140"/>
        <v>0.9511041623356854</v>
      </c>
      <c r="AO97" s="140">
        <f t="shared" si="140"/>
        <v>0.94537024154151017</v>
      </c>
      <c r="AP97" s="140">
        <f t="shared" si="140"/>
        <v>0.93944014731417147</v>
      </c>
      <c r="AQ97" s="140">
        <f t="shared" si="140"/>
        <v>0.93335497562860992</v>
      </c>
      <c r="AR97" s="140">
        <f t="shared" si="140"/>
        <v>0.92705337706013691</v>
      </c>
      <c r="AS97" s="140">
        <f>EXP(-AS96*AS95)</f>
        <v>0.9205755666867611</v>
      </c>
      <c r="AT97" s="140">
        <f t="shared" ref="AT97:CA97" si="141">EXP(-AT96*AT95)</f>
        <v>0.91392833645788896</v>
      </c>
      <c r="AU97" s="140">
        <f t="shared" si="141"/>
        <v>0.90711851455646231</v>
      </c>
      <c r="AV97" s="140">
        <f t="shared" si="141"/>
        <v>0.90015295101809489</v>
      </c>
      <c r="AW97" s="140">
        <f t="shared" si="141"/>
        <v>0.89303850433260878</v>
      </c>
      <c r="AX97" s="140">
        <f t="shared" si="141"/>
        <v>0.88578202894937974</v>
      </c>
      <c r="AY97" s="140">
        <f t="shared" si="141"/>
        <v>0.87843178934076671</v>
      </c>
      <c r="AZ97" s="140">
        <f t="shared" si="141"/>
        <v>0.8709124406775024</v>
      </c>
      <c r="BA97" s="140">
        <f t="shared" si="141"/>
        <v>0.86327145211530132</v>
      </c>
      <c r="BB97" s="140">
        <f t="shared" si="141"/>
        <v>0.85551555310003891</v>
      </c>
      <c r="BC97" s="140">
        <f t="shared" si="141"/>
        <v>0.84765141801798427</v>
      </c>
      <c r="BD97" s="140">
        <f t="shared" si="141"/>
        <v>0.83968565792575278</v>
      </c>
      <c r="BE97" s="140">
        <f t="shared" si="141"/>
        <v>0.83162481284253231</v>
      </c>
      <c r="BF97" s="140">
        <f t="shared" si="141"/>
        <v>0.82347534457559057</v>
      </c>
      <c r="BG97" s="140">
        <f t="shared" si="141"/>
        <v>0.8152895774057749</v>
      </c>
      <c r="BH97" s="140">
        <f t="shared" si="141"/>
        <v>0.806982307307751</v>
      </c>
      <c r="BI97" s="140">
        <f t="shared" si="141"/>
        <v>0.79860523179821352</v>
      </c>
      <c r="BJ97" s="140">
        <f t="shared" si="141"/>
        <v>0.79016443848433038</v>
      </c>
      <c r="BK97" s="140">
        <f t="shared" si="141"/>
        <v>0.78166590809150926</v>
      </c>
      <c r="BL97" s="140">
        <f t="shared" si="141"/>
        <v>0.77311551002156276</v>
      </c>
      <c r="BM97" s="140">
        <f t="shared" si="141"/>
        <v>0.76451899830579662</v>
      </c>
      <c r="BN97" s="140">
        <f t="shared" si="141"/>
        <v>0.75588200793867399</v>
      </c>
      <c r="BO97" s="140">
        <f t="shared" si="141"/>
        <v>0.74725831574969248</v>
      </c>
      <c r="BP97" s="140">
        <f t="shared" si="141"/>
        <v>0.73855693045040149</v>
      </c>
      <c r="BQ97" s="140">
        <f t="shared" si="141"/>
        <v>0.72983119716316081</v>
      </c>
      <c r="BR97" s="140">
        <f t="shared" si="141"/>
        <v>0.72108624594602388</v>
      </c>
      <c r="BS97" s="140">
        <f t="shared" si="141"/>
        <v>0.71232707474756352</v>
      </c>
      <c r="BT97" s="140">
        <f t="shared" si="141"/>
        <v>0.7035585477521763</v>
      </c>
      <c r="BU97" s="140">
        <f t="shared" si="141"/>
        <v>0.69478539401904937</v>
      </c>
      <c r="BV97" s="140">
        <f t="shared" si="141"/>
        <v>0.68601220640329874</v>
      </c>
      <c r="BW97" s="140">
        <f t="shared" si="141"/>
        <v>0.67724344074787735</v>
      </c>
      <c r="BX97" s="140">
        <f t="shared" si="141"/>
        <v>0.66853205025840923</v>
      </c>
      <c r="BY97" s="140">
        <f t="shared" si="141"/>
        <v>0.65973631058543614</v>
      </c>
      <c r="BZ97" s="140">
        <f t="shared" si="141"/>
        <v>0.65105461568985445</v>
      </c>
      <c r="CA97" s="140">
        <f t="shared" si="141"/>
        <v>0.64229689530010103</v>
      </c>
      <c r="CB97" s="140">
        <f>EXP(-CB96*CB95)</f>
        <v>0.63366043005844508</v>
      </c>
      <c r="CC97" s="17"/>
      <c r="CD97" s="17"/>
      <c r="CE97" s="17"/>
    </row>
    <row r="98" spans="1:83" s="6" customFormat="1">
      <c r="A98" s="130"/>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19"/>
      <c r="CD98" s="19"/>
      <c r="CE98" s="19"/>
    </row>
    <row r="99" spans="1:83">
      <c r="A99" s="16" t="s">
        <v>40</v>
      </c>
      <c r="B99" s="140">
        <f t="shared" ref="B99:BM99" si="142">DAYS360($B$3,B36)</f>
        <v>179</v>
      </c>
      <c r="C99" s="140">
        <f t="shared" si="142"/>
        <v>359</v>
      </c>
      <c r="D99" s="140">
        <f t="shared" si="142"/>
        <v>539</v>
      </c>
      <c r="E99" s="140">
        <f t="shared" si="142"/>
        <v>719</v>
      </c>
      <c r="F99" s="140">
        <f t="shared" si="142"/>
        <v>899</v>
      </c>
      <c r="G99" s="140">
        <f t="shared" si="142"/>
        <v>1079</v>
      </c>
      <c r="H99" s="140">
        <f t="shared" si="142"/>
        <v>1259</v>
      </c>
      <c r="I99" s="140">
        <f t="shared" si="142"/>
        <v>1439</v>
      </c>
      <c r="J99" s="140">
        <f t="shared" si="142"/>
        <v>1619</v>
      </c>
      <c r="K99" s="140">
        <f t="shared" si="142"/>
        <v>1798</v>
      </c>
      <c r="L99" s="140">
        <f t="shared" si="142"/>
        <v>1978</v>
      </c>
      <c r="M99" s="140">
        <f t="shared" si="142"/>
        <v>2158</v>
      </c>
      <c r="N99" s="140">
        <f t="shared" si="142"/>
        <v>2338</v>
      </c>
      <c r="O99" s="140">
        <f t="shared" si="142"/>
        <v>2518</v>
      </c>
      <c r="P99" s="140">
        <f t="shared" si="142"/>
        <v>2698</v>
      </c>
      <c r="Q99" s="140">
        <f t="shared" si="142"/>
        <v>2878</v>
      </c>
      <c r="R99" s="140">
        <f t="shared" si="142"/>
        <v>3058</v>
      </c>
      <c r="S99" s="140">
        <f t="shared" si="142"/>
        <v>3237</v>
      </c>
      <c r="T99" s="140">
        <f t="shared" si="142"/>
        <v>3417</v>
      </c>
      <c r="U99" s="140">
        <f t="shared" si="142"/>
        <v>3597</v>
      </c>
      <c r="V99" s="140">
        <f t="shared" si="142"/>
        <v>3777</v>
      </c>
      <c r="W99" s="140">
        <f t="shared" si="142"/>
        <v>3957</v>
      </c>
      <c r="X99" s="140">
        <f t="shared" si="142"/>
        <v>4137</v>
      </c>
      <c r="Y99" s="140">
        <f t="shared" si="142"/>
        <v>4317</v>
      </c>
      <c r="Z99" s="140">
        <f t="shared" si="142"/>
        <v>4497</v>
      </c>
      <c r="AA99" s="140">
        <f t="shared" si="142"/>
        <v>4676</v>
      </c>
      <c r="AB99" s="140">
        <f t="shared" si="142"/>
        <v>4856</v>
      </c>
      <c r="AC99" s="140">
        <f t="shared" si="142"/>
        <v>5036</v>
      </c>
      <c r="AD99" s="140">
        <f t="shared" si="142"/>
        <v>5216</v>
      </c>
      <c r="AE99" s="140">
        <f t="shared" si="142"/>
        <v>5396</v>
      </c>
      <c r="AF99" s="140">
        <f t="shared" si="142"/>
        <v>5576</v>
      </c>
      <c r="AG99" s="140">
        <f t="shared" si="142"/>
        <v>5756</v>
      </c>
      <c r="AH99" s="140">
        <f t="shared" si="142"/>
        <v>5936</v>
      </c>
      <c r="AI99" s="140">
        <f t="shared" si="142"/>
        <v>6115</v>
      </c>
      <c r="AJ99" s="140">
        <f t="shared" si="142"/>
        <v>6295</v>
      </c>
      <c r="AK99" s="140">
        <f t="shared" si="142"/>
        <v>6475</v>
      </c>
      <c r="AL99" s="140">
        <f t="shared" si="142"/>
        <v>6655</v>
      </c>
      <c r="AM99" s="140">
        <f t="shared" si="142"/>
        <v>6835</v>
      </c>
      <c r="AN99" s="140">
        <f t="shared" si="142"/>
        <v>7015</v>
      </c>
      <c r="AO99" s="140">
        <f t="shared" si="142"/>
        <v>7195</v>
      </c>
      <c r="AP99" s="140">
        <f t="shared" si="142"/>
        <v>7375</v>
      </c>
      <c r="AQ99" s="140">
        <f t="shared" si="142"/>
        <v>7554</v>
      </c>
      <c r="AR99" s="140">
        <f t="shared" si="142"/>
        <v>7734</v>
      </c>
      <c r="AS99" s="140">
        <f t="shared" si="142"/>
        <v>7914</v>
      </c>
      <c r="AT99" s="140">
        <f t="shared" si="142"/>
        <v>8094</v>
      </c>
      <c r="AU99" s="140">
        <f t="shared" si="142"/>
        <v>8274</v>
      </c>
      <c r="AV99" s="140">
        <f t="shared" si="142"/>
        <v>8454</v>
      </c>
      <c r="AW99" s="140">
        <f t="shared" si="142"/>
        <v>8634</v>
      </c>
      <c r="AX99" s="140">
        <f t="shared" si="142"/>
        <v>8814</v>
      </c>
      <c r="AY99" s="140">
        <f t="shared" si="142"/>
        <v>8993</v>
      </c>
      <c r="AZ99" s="140">
        <f t="shared" si="142"/>
        <v>9173</v>
      </c>
      <c r="BA99" s="140">
        <f t="shared" si="142"/>
        <v>9353</v>
      </c>
      <c r="BB99" s="140">
        <f t="shared" si="142"/>
        <v>9533</v>
      </c>
      <c r="BC99" s="140">
        <f t="shared" si="142"/>
        <v>9713</v>
      </c>
      <c r="BD99" s="140">
        <f t="shared" si="142"/>
        <v>9893</v>
      </c>
      <c r="BE99" s="140">
        <f t="shared" si="142"/>
        <v>10073</v>
      </c>
      <c r="BF99" s="140">
        <f t="shared" si="142"/>
        <v>10253</v>
      </c>
      <c r="BG99" s="140">
        <f t="shared" si="142"/>
        <v>10432</v>
      </c>
      <c r="BH99" s="140">
        <f t="shared" si="142"/>
        <v>10612</v>
      </c>
      <c r="BI99" s="140">
        <f t="shared" si="142"/>
        <v>10792</v>
      </c>
      <c r="BJ99" s="140">
        <f t="shared" si="142"/>
        <v>10972</v>
      </c>
      <c r="BK99" s="140">
        <f t="shared" si="142"/>
        <v>11152</v>
      </c>
      <c r="BL99" s="140">
        <f t="shared" si="142"/>
        <v>11332</v>
      </c>
      <c r="BM99" s="140">
        <f t="shared" si="142"/>
        <v>11512</v>
      </c>
      <c r="BN99" s="140">
        <f t="shared" ref="BN99:CB99" si="143">DAYS360($B$3,BN36)</f>
        <v>11692</v>
      </c>
      <c r="BO99" s="140">
        <f t="shared" si="143"/>
        <v>11871</v>
      </c>
      <c r="BP99" s="140">
        <f t="shared" si="143"/>
        <v>12051</v>
      </c>
      <c r="BQ99" s="140">
        <f t="shared" si="143"/>
        <v>12231</v>
      </c>
      <c r="BR99" s="140">
        <f t="shared" si="143"/>
        <v>12411</v>
      </c>
      <c r="BS99" s="140">
        <f t="shared" si="143"/>
        <v>12591</v>
      </c>
      <c r="BT99" s="140">
        <f t="shared" si="143"/>
        <v>12771</v>
      </c>
      <c r="BU99" s="140">
        <f t="shared" si="143"/>
        <v>12951</v>
      </c>
      <c r="BV99" s="140">
        <f t="shared" si="143"/>
        <v>13131</v>
      </c>
      <c r="BW99" s="140">
        <f t="shared" si="143"/>
        <v>13310</v>
      </c>
      <c r="BX99" s="140">
        <f t="shared" si="143"/>
        <v>13490</v>
      </c>
      <c r="BY99" s="140">
        <f t="shared" si="143"/>
        <v>13670</v>
      </c>
      <c r="BZ99" s="140">
        <f t="shared" si="143"/>
        <v>13850</v>
      </c>
      <c r="CA99" s="140">
        <f t="shared" si="143"/>
        <v>14030</v>
      </c>
      <c r="CB99" s="140">
        <f t="shared" si="143"/>
        <v>14210</v>
      </c>
      <c r="CC99" s="17"/>
      <c r="CD99" s="17"/>
      <c r="CE99" s="17"/>
    </row>
    <row r="100" spans="1:83">
      <c r="A100" s="16" t="s">
        <v>41</v>
      </c>
      <c r="B100" s="140">
        <f>B99/360</f>
        <v>0.49722222222222223</v>
      </c>
      <c r="C100" s="140">
        <f t="shared" ref="C100:BN100" si="144">C99/360</f>
        <v>0.99722222222222223</v>
      </c>
      <c r="D100" s="140">
        <f t="shared" si="144"/>
        <v>1.4972222222222222</v>
      </c>
      <c r="E100" s="140">
        <f t="shared" si="144"/>
        <v>1.9972222222222222</v>
      </c>
      <c r="F100" s="140">
        <f t="shared" si="144"/>
        <v>2.4972222222222222</v>
      </c>
      <c r="G100" s="140">
        <f t="shared" si="144"/>
        <v>2.9972222222222222</v>
      </c>
      <c r="H100" s="140">
        <f t="shared" si="144"/>
        <v>3.4972222222222222</v>
      </c>
      <c r="I100" s="140">
        <f t="shared" si="144"/>
        <v>3.9972222222222222</v>
      </c>
      <c r="J100" s="140">
        <f t="shared" si="144"/>
        <v>4.4972222222222218</v>
      </c>
      <c r="K100" s="140">
        <f t="shared" si="144"/>
        <v>4.9944444444444445</v>
      </c>
      <c r="L100" s="140">
        <f t="shared" si="144"/>
        <v>5.4944444444444445</v>
      </c>
      <c r="M100" s="140">
        <f t="shared" si="144"/>
        <v>5.9944444444444445</v>
      </c>
      <c r="N100" s="140">
        <f t="shared" si="144"/>
        <v>6.4944444444444445</v>
      </c>
      <c r="O100" s="140">
        <f t="shared" si="144"/>
        <v>6.9944444444444445</v>
      </c>
      <c r="P100" s="140">
        <f t="shared" si="144"/>
        <v>7.4944444444444445</v>
      </c>
      <c r="Q100" s="140">
        <f t="shared" si="144"/>
        <v>7.9944444444444445</v>
      </c>
      <c r="R100" s="140">
        <f t="shared" si="144"/>
        <v>8.4944444444444436</v>
      </c>
      <c r="S100" s="140">
        <f t="shared" si="144"/>
        <v>8.9916666666666671</v>
      </c>
      <c r="T100" s="140">
        <f t="shared" si="144"/>
        <v>9.4916666666666671</v>
      </c>
      <c r="U100" s="140">
        <f t="shared" si="144"/>
        <v>9.9916666666666671</v>
      </c>
      <c r="V100" s="140">
        <f t="shared" si="144"/>
        <v>10.491666666666667</v>
      </c>
      <c r="W100" s="140">
        <f t="shared" si="144"/>
        <v>10.991666666666667</v>
      </c>
      <c r="X100" s="140">
        <f t="shared" si="144"/>
        <v>11.491666666666667</v>
      </c>
      <c r="Y100" s="140">
        <f t="shared" si="144"/>
        <v>11.991666666666667</v>
      </c>
      <c r="Z100" s="140">
        <f t="shared" si="144"/>
        <v>12.491666666666667</v>
      </c>
      <c r="AA100" s="140">
        <f t="shared" si="144"/>
        <v>12.988888888888889</v>
      </c>
      <c r="AB100" s="140">
        <f t="shared" si="144"/>
        <v>13.488888888888889</v>
      </c>
      <c r="AC100" s="140">
        <f t="shared" si="144"/>
        <v>13.988888888888889</v>
      </c>
      <c r="AD100" s="140">
        <f t="shared" si="144"/>
        <v>14.488888888888889</v>
      </c>
      <c r="AE100" s="140">
        <f t="shared" si="144"/>
        <v>14.988888888888889</v>
      </c>
      <c r="AF100" s="140">
        <f t="shared" si="144"/>
        <v>15.488888888888889</v>
      </c>
      <c r="AG100" s="140">
        <f t="shared" si="144"/>
        <v>15.988888888888889</v>
      </c>
      <c r="AH100" s="140">
        <f t="shared" si="144"/>
        <v>16.488888888888887</v>
      </c>
      <c r="AI100" s="140">
        <f t="shared" si="144"/>
        <v>16.986111111111111</v>
      </c>
      <c r="AJ100" s="140">
        <f t="shared" si="144"/>
        <v>17.486111111111111</v>
      </c>
      <c r="AK100" s="140">
        <f t="shared" si="144"/>
        <v>17.986111111111111</v>
      </c>
      <c r="AL100" s="140">
        <f t="shared" si="144"/>
        <v>18.486111111111111</v>
      </c>
      <c r="AM100" s="140">
        <f t="shared" si="144"/>
        <v>18.986111111111111</v>
      </c>
      <c r="AN100" s="140">
        <f t="shared" si="144"/>
        <v>19.486111111111111</v>
      </c>
      <c r="AO100" s="140">
        <f t="shared" si="144"/>
        <v>19.986111111111111</v>
      </c>
      <c r="AP100" s="140">
        <f t="shared" si="144"/>
        <v>20.486111111111111</v>
      </c>
      <c r="AQ100" s="140">
        <f t="shared" si="144"/>
        <v>20.983333333333334</v>
      </c>
      <c r="AR100" s="140">
        <f t="shared" si="144"/>
        <v>21.483333333333334</v>
      </c>
      <c r="AS100" s="140">
        <f t="shared" si="144"/>
        <v>21.983333333333334</v>
      </c>
      <c r="AT100" s="140">
        <f t="shared" si="144"/>
        <v>22.483333333333334</v>
      </c>
      <c r="AU100" s="140">
        <f t="shared" si="144"/>
        <v>22.983333333333334</v>
      </c>
      <c r="AV100" s="140">
        <f t="shared" si="144"/>
        <v>23.483333333333334</v>
      </c>
      <c r="AW100" s="140">
        <f t="shared" si="144"/>
        <v>23.983333333333334</v>
      </c>
      <c r="AX100" s="140">
        <f t="shared" si="144"/>
        <v>24.483333333333334</v>
      </c>
      <c r="AY100" s="140">
        <f t="shared" si="144"/>
        <v>24.980555555555554</v>
      </c>
      <c r="AZ100" s="140">
        <f t="shared" si="144"/>
        <v>25.480555555555554</v>
      </c>
      <c r="BA100" s="140">
        <f t="shared" si="144"/>
        <v>25.980555555555554</v>
      </c>
      <c r="BB100" s="140">
        <f t="shared" si="144"/>
        <v>26.480555555555554</v>
      </c>
      <c r="BC100" s="140">
        <f t="shared" si="144"/>
        <v>26.980555555555554</v>
      </c>
      <c r="BD100" s="140">
        <f t="shared" si="144"/>
        <v>27.480555555555554</v>
      </c>
      <c r="BE100" s="140">
        <f t="shared" si="144"/>
        <v>27.980555555555554</v>
      </c>
      <c r="BF100" s="140">
        <f t="shared" si="144"/>
        <v>28.480555555555554</v>
      </c>
      <c r="BG100" s="140">
        <f t="shared" si="144"/>
        <v>28.977777777777778</v>
      </c>
      <c r="BH100" s="140">
        <f t="shared" si="144"/>
        <v>29.477777777777778</v>
      </c>
      <c r="BI100" s="140">
        <f t="shared" si="144"/>
        <v>29.977777777777778</v>
      </c>
      <c r="BJ100" s="140">
        <f t="shared" si="144"/>
        <v>30.477777777777778</v>
      </c>
      <c r="BK100" s="140">
        <f t="shared" si="144"/>
        <v>30.977777777777778</v>
      </c>
      <c r="BL100" s="140">
        <f t="shared" si="144"/>
        <v>31.477777777777778</v>
      </c>
      <c r="BM100" s="140">
        <f t="shared" si="144"/>
        <v>31.977777777777778</v>
      </c>
      <c r="BN100" s="140">
        <f t="shared" si="144"/>
        <v>32.477777777777774</v>
      </c>
      <c r="BO100" s="140">
        <f t="shared" ref="BO100:CB100" si="145">BO99/360</f>
        <v>32.975000000000001</v>
      </c>
      <c r="BP100" s="140">
        <f t="shared" si="145"/>
        <v>33.475000000000001</v>
      </c>
      <c r="BQ100" s="140">
        <f t="shared" si="145"/>
        <v>33.975000000000001</v>
      </c>
      <c r="BR100" s="140">
        <f t="shared" si="145"/>
        <v>34.475000000000001</v>
      </c>
      <c r="BS100" s="140">
        <f t="shared" si="145"/>
        <v>34.975000000000001</v>
      </c>
      <c r="BT100" s="140">
        <f t="shared" si="145"/>
        <v>35.475000000000001</v>
      </c>
      <c r="BU100" s="140">
        <f t="shared" si="145"/>
        <v>35.975000000000001</v>
      </c>
      <c r="BV100" s="140">
        <f t="shared" si="145"/>
        <v>36.475000000000001</v>
      </c>
      <c r="BW100" s="140">
        <f t="shared" si="145"/>
        <v>36.972222222222221</v>
      </c>
      <c r="BX100" s="140">
        <f t="shared" si="145"/>
        <v>37.472222222222221</v>
      </c>
      <c r="BY100" s="140">
        <f t="shared" si="145"/>
        <v>37.972222222222221</v>
      </c>
      <c r="BZ100" s="140">
        <f t="shared" si="145"/>
        <v>38.472222222222221</v>
      </c>
      <c r="CA100" s="140">
        <f t="shared" si="145"/>
        <v>38.972222222222221</v>
      </c>
      <c r="CB100" s="140">
        <f t="shared" si="145"/>
        <v>39.472222222222221</v>
      </c>
      <c r="CC100" s="17"/>
      <c r="CD100" s="17"/>
      <c r="CE100" s="17"/>
    </row>
    <row r="101" spans="1:83">
      <c r="A101" s="16" t="s">
        <v>43</v>
      </c>
      <c r="B101" s="140">
        <f>IF(B99&lt;0,0,$B$5+$B$6*((1-EXP(-B100/$B$9))/(B100/$B$9))+$B$7*((1-EXP(-B100/$B$9))/(B100/$B$9)-EXP(-B100/$B$9))+$B$8*((1-EXP(-B100/$B$10))/(B100/$B$10)-EXP(-B100/$B$10)))</f>
        <v>-1.4851770523945996E-3</v>
      </c>
      <c r="C101" s="140">
        <f t="shared" ref="C101:BN101" si="146">IF(C99&lt;0,0,$B$5+$B$6*((1-EXP(-C100/$B$9))/(C100/$B$9))+$B$7*((1-EXP(-C100/$B$9))/(C100/$B$9)-EXP(-C100/$B$9))+$B$8*((1-EXP(-C100/$B$10))/(C100/$B$10)-EXP(-C100/$B$10)))</f>
        <v>-1.7795767861957885E-3</v>
      </c>
      <c r="D101" s="140">
        <f t="shared" si="146"/>
        <v>-2.0220736900707437E-3</v>
      </c>
      <c r="E101" s="140">
        <f t="shared" si="146"/>
        <v>-2.2174462169333871E-3</v>
      </c>
      <c r="F101" s="140">
        <f t="shared" si="146"/>
        <v>-2.3700371158638183E-3</v>
      </c>
      <c r="G101" s="140">
        <f t="shared" si="146"/>
        <v>-2.4837934804392277E-3</v>
      </c>
      <c r="H101" s="140">
        <f t="shared" si="146"/>
        <v>-2.5623031169472975E-3</v>
      </c>
      <c r="I101" s="140">
        <f t="shared" si="146"/>
        <v>-2.6088275694812657E-3</v>
      </c>
      <c r="J101" s="140">
        <f t="shared" si="146"/>
        <v>-2.6263321081698393E-3</v>
      </c>
      <c r="K101" s="140">
        <f t="shared" si="146"/>
        <v>-2.6176300600587567E-3</v>
      </c>
      <c r="L101" s="140">
        <f t="shared" si="146"/>
        <v>-2.5850653934892209E-3</v>
      </c>
      <c r="M101" s="140">
        <f t="shared" si="146"/>
        <v>-2.5308471633003937E-3</v>
      </c>
      <c r="N101" s="140">
        <f t="shared" si="146"/>
        <v>-2.4570049784080248E-3</v>
      </c>
      <c r="O101" s="140">
        <f t="shared" si="146"/>
        <v>-2.3653853624522026E-3</v>
      </c>
      <c r="P101" s="140">
        <f t="shared" si="146"/>
        <v>-2.2576685616196566E-3</v>
      </c>
      <c r="Q101" s="140">
        <f t="shared" si="146"/>
        <v>-2.1353838033069546E-3</v>
      </c>
      <c r="R101" s="140">
        <f t="shared" si="146"/>
        <v>-1.9999231479929831E-3</v>
      </c>
      <c r="S101" s="140">
        <f t="shared" si="146"/>
        <v>-1.8534035069046086E-3</v>
      </c>
      <c r="T101" s="140">
        <f t="shared" si="146"/>
        <v>-1.695337033499552E-3</v>
      </c>
      <c r="U101" s="140">
        <f t="shared" si="146"/>
        <v>-1.5275623190086907E-3</v>
      </c>
      <c r="V101" s="140">
        <f t="shared" si="146"/>
        <v>-1.3510379194302557E-3</v>
      </c>
      <c r="W101" s="140">
        <f t="shared" si="146"/>
        <v>-1.1666374706135424E-3</v>
      </c>
      <c r="X101" s="140">
        <f t="shared" si="146"/>
        <v>-9.751574410557756E-4</v>
      </c>
      <c r="Y101" s="140">
        <f t="shared" si="146"/>
        <v>-7.7732416878573823E-4</v>
      </c>
      <c r="Z101" s="140">
        <f t="shared" si="146"/>
        <v>-5.738002483609405E-4</v>
      </c>
      <c r="AA101" s="140">
        <f t="shared" si="146"/>
        <v>-3.6636228462288067E-4</v>
      </c>
      <c r="AB101" s="140">
        <f t="shared" si="146"/>
        <v>-1.532420820246432E-4</v>
      </c>
      <c r="AC101" s="140">
        <f t="shared" si="146"/>
        <v>6.3910779122332544E-5</v>
      </c>
      <c r="AD101" s="140">
        <f t="shared" si="146"/>
        <v>2.8463558847575303E-4</v>
      </c>
      <c r="AE101" s="140">
        <f t="shared" si="146"/>
        <v>5.0851129705661684E-4</v>
      </c>
      <c r="AF101" s="140">
        <f t="shared" si="146"/>
        <v>7.3515294447527293E-4</v>
      </c>
      <c r="AG101" s="140">
        <f t="shared" si="146"/>
        <v>9.6420841602794412E-4</v>
      </c>
      <c r="AH101" s="140">
        <f t="shared" si="146"/>
        <v>1.1953554991284872E-3</v>
      </c>
      <c r="AI101" s="140">
        <f t="shared" si="146"/>
        <v>1.4270006237000021E-3</v>
      </c>
      <c r="AJ101" s="140">
        <f t="shared" si="146"/>
        <v>1.661463010861456E-3</v>
      </c>
      <c r="AK101" s="140">
        <f t="shared" si="146"/>
        <v>1.897205591126795E-3</v>
      </c>
      <c r="AL101" s="140">
        <f t="shared" si="146"/>
        <v>2.1340012839454522E-3</v>
      </c>
      <c r="AM101" s="140">
        <f t="shared" si="146"/>
        <v>2.3716418071393045E-3</v>
      </c>
      <c r="AN101" s="140">
        <f t="shared" si="146"/>
        <v>2.609936028019239E-3</v>
      </c>
      <c r="AO101" s="140">
        <f t="shared" si="146"/>
        <v>2.8487084660547514E-3</v>
      </c>
      <c r="AP101" s="140">
        <f t="shared" si="146"/>
        <v>3.0877979330219316E-3</v>
      </c>
      <c r="AQ101" s="140">
        <f t="shared" si="146"/>
        <v>3.3257268735019164E-3</v>
      </c>
      <c r="AR101" s="140">
        <f t="shared" si="146"/>
        <v>3.5650181143311766E-3</v>
      </c>
      <c r="AS101" s="140">
        <f t="shared" si="146"/>
        <v>3.8042174444715775E-3</v>
      </c>
      <c r="AT101" s="140">
        <f t="shared" si="146"/>
        <v>4.0432095199559905E-3</v>
      </c>
      <c r="AU101" s="140">
        <f t="shared" si="146"/>
        <v>4.2818881486725129E-3</v>
      </c>
      <c r="AV101" s="140">
        <f t="shared" si="146"/>
        <v>4.5201555245650577E-3</v>
      </c>
      <c r="AW101" s="140">
        <f t="shared" si="146"/>
        <v>4.7579215313078536E-3</v>
      </c>
      <c r="AX101" s="140">
        <f t="shared" si="146"/>
        <v>4.9951031089911415E-3</v>
      </c>
      <c r="AY101" s="140">
        <f t="shared" si="146"/>
        <v>5.2303116330398233E-3</v>
      </c>
      <c r="AZ101" s="140">
        <f t="shared" si="146"/>
        <v>5.466104818987667E-3</v>
      </c>
      <c r="BA101" s="140">
        <f t="shared" si="146"/>
        <v>5.7011015749340197E-3</v>
      </c>
      <c r="BB101" s="140">
        <f t="shared" si="146"/>
        <v>5.9352417727605482E-3</v>
      </c>
      <c r="BC101" s="140">
        <f t="shared" si="146"/>
        <v>6.1684699343630984E-3</v>
      </c>
      <c r="BD101" s="140">
        <f t="shared" si="146"/>
        <v>6.4007348705443891E-3</v>
      </c>
      <c r="BE101" s="140">
        <f t="shared" si="146"/>
        <v>6.6319893517474996E-3</v>
      </c>
      <c r="BF101" s="140">
        <f t="shared" si="146"/>
        <v>6.8621898076745022E-3</v>
      </c>
      <c r="BG101" s="140">
        <f t="shared" si="146"/>
        <v>7.0900263326472103E-3</v>
      </c>
      <c r="BH101" s="140">
        <f t="shared" si="146"/>
        <v>7.3180076987563909E-3</v>
      </c>
      <c r="BI101" s="140">
        <f t="shared" si="146"/>
        <v>7.5448238412355491E-3</v>
      </c>
      <c r="BJ101" s="140">
        <f t="shared" si="146"/>
        <v>7.7704432975992692E-3</v>
      </c>
      <c r="BK101" s="140">
        <f t="shared" si="146"/>
        <v>7.9948371115284491E-3</v>
      </c>
      <c r="BL101" s="140">
        <f t="shared" si="146"/>
        <v>8.2179786574476232E-3</v>
      </c>
      <c r="BM101" s="140">
        <f t="shared" si="146"/>
        <v>8.4398434797582755E-3</v>
      </c>
      <c r="BN101" s="140">
        <f t="shared" si="146"/>
        <v>8.660409145381796E-3</v>
      </c>
      <c r="BO101" s="140">
        <f t="shared" ref="BO101:CB101" si="147">IF(BO99&lt;0,0,$B$5+$B$6*((1-EXP(-BO100/$B$9))/(BO100/$B$9))+$B$7*((1-EXP(-BO100/$B$9))/(BO100/$B$9)-EXP(-BO100/$B$9))+$B$8*((1-EXP(-BO100/$B$10))/(BO100/$B$10)-EXP(-BO100/$B$10)))</f>
        <v>8.8784407560144885E-3</v>
      </c>
      <c r="BP101" s="140">
        <f t="shared" si="147"/>
        <v>9.0963557180939788E-3</v>
      </c>
      <c r="BQ101" s="140">
        <f t="shared" si="147"/>
        <v>9.3129151504500046E-3</v>
      </c>
      <c r="BR101" s="140">
        <f t="shared" si="147"/>
        <v>9.5281034530370241E-3</v>
      </c>
      <c r="BS101" s="140">
        <f t="shared" si="147"/>
        <v>9.7419064722949911E-3</v>
      </c>
      <c r="BT101" s="140">
        <f t="shared" si="147"/>
        <v>9.9543114115435722E-3</v>
      </c>
      <c r="BU101" s="140">
        <f t="shared" si="147"/>
        <v>1.0165306748212619E-2</v>
      </c>
      <c r="BV101" s="140">
        <f t="shared" si="147"/>
        <v>1.0374882157297111E-2</v>
      </c>
      <c r="BW101" s="140">
        <f t="shared" si="147"/>
        <v>1.0581876035398511E-2</v>
      </c>
      <c r="BX101" s="140">
        <f t="shared" si="147"/>
        <v>1.0788593060763638E-2</v>
      </c>
      <c r="BY101" s="140">
        <f t="shared" si="147"/>
        <v>1.0993865722551757E-2</v>
      </c>
      <c r="BZ101" s="140">
        <f t="shared" si="147"/>
        <v>1.119768782162541E-2</v>
      </c>
      <c r="CA101" s="140">
        <f t="shared" si="147"/>
        <v>1.1400054049659372E-2</v>
      </c>
      <c r="CB101" s="140">
        <f t="shared" si="147"/>
        <v>1.1600959939943317E-2</v>
      </c>
      <c r="CC101" s="17"/>
      <c r="CD101" s="17"/>
      <c r="CE101" s="17"/>
    </row>
    <row r="102" spans="1:83">
      <c r="A102" s="16" t="s">
        <v>44</v>
      </c>
      <c r="B102" s="140">
        <f>EXP(-B101*B100)</f>
        <v>1.0007387357653414</v>
      </c>
      <c r="C102" s="140">
        <f t="shared" ref="C102:AR102" si="148">EXP(-C101*C100)</f>
        <v>1.0017762091113018</v>
      </c>
      <c r="D102" s="140">
        <f t="shared" si="148"/>
        <v>1.0030320811510482</v>
      </c>
      <c r="E102" s="140">
        <f t="shared" si="148"/>
        <v>1.00443855419175</v>
      </c>
      <c r="F102" s="140">
        <f t="shared" si="148"/>
        <v>1.0059360583338952</v>
      </c>
      <c r="G102" s="140">
        <f t="shared" si="148"/>
        <v>1.0074722600544994</v>
      </c>
      <c r="H102" s="140">
        <f t="shared" si="148"/>
        <v>1.0090012128481771</v>
      </c>
      <c r="I102" s="140">
        <f t="shared" si="148"/>
        <v>1.0104826252820795</v>
      </c>
      <c r="J102" s="140">
        <f t="shared" si="148"/>
        <v>1.0118812267640249</v>
      </c>
      <c r="K102" s="140">
        <f t="shared" si="148"/>
        <v>1.0131594411652107</v>
      </c>
      <c r="L102" s="140">
        <f t="shared" si="148"/>
        <v>1.0143048471382479</v>
      </c>
      <c r="M102" s="140">
        <f t="shared" si="148"/>
        <v>1.0152866868571382</v>
      </c>
      <c r="N102" s="140">
        <f t="shared" si="148"/>
        <v>1.0160848732513321</v>
      </c>
      <c r="O102" s="140">
        <f t="shared" si="148"/>
        <v>1.0166821755837234</v>
      </c>
      <c r="P102" s="140">
        <f t="shared" si="148"/>
        <v>1.0170639250787985</v>
      </c>
      <c r="Q102" s="140">
        <f t="shared" si="148"/>
        <v>1.0172177529572108</v>
      </c>
      <c r="R102" s="140">
        <f t="shared" si="148"/>
        <v>1.0171333567730998</v>
      </c>
      <c r="S102" s="140">
        <f t="shared" si="148"/>
        <v>1.0168048253780086</v>
      </c>
      <c r="T102" s="140">
        <f t="shared" si="148"/>
        <v>1.0162217406447764</v>
      </c>
      <c r="U102" s="140">
        <f t="shared" si="148"/>
        <v>1.0153799663281546</v>
      </c>
      <c r="V102" s="140">
        <f t="shared" si="148"/>
        <v>1.0142755760564401</v>
      </c>
      <c r="W102" s="140">
        <f t="shared" si="148"/>
        <v>1.0129058611498556</v>
      </c>
      <c r="X102" s="140">
        <f t="shared" si="148"/>
        <v>1.0112692087442841</v>
      </c>
      <c r="Y102" s="140">
        <f t="shared" si="148"/>
        <v>1.0093649919906453</v>
      </c>
      <c r="Z102" s="140">
        <f t="shared" si="148"/>
        <v>1.0071934710362884</v>
      </c>
      <c r="AA102" s="140">
        <f t="shared" si="148"/>
        <v>1.004769979311652</v>
      </c>
      <c r="AB102" s="140">
        <f t="shared" si="148"/>
        <v>1.0020692032700258</v>
      </c>
      <c r="AC102" s="140">
        <f t="shared" si="148"/>
        <v>0.9991063587474448</v>
      </c>
      <c r="AD102" s="140">
        <f t="shared" si="148"/>
        <v>0.99588443881488942</v>
      </c>
      <c r="AE102" s="140">
        <f t="shared" si="148"/>
        <v>0.99240695459899342</v>
      </c>
      <c r="AF102" s="140">
        <f t="shared" si="148"/>
        <v>0.9886778808589558</v>
      </c>
      <c r="AG102" s="140">
        <f t="shared" si="148"/>
        <v>0.98470160653815753</v>
      </c>
      <c r="AH102" s="140">
        <f t="shared" si="148"/>
        <v>0.98048288977508824</v>
      </c>
      <c r="AI102" s="140">
        <f t="shared" si="148"/>
        <v>0.97605221878206649</v>
      </c>
      <c r="AJ102" s="140">
        <f t="shared" si="148"/>
        <v>0.97136544039383876</v>
      </c>
      <c r="AK102" s="140">
        <f t="shared" si="148"/>
        <v>0.96645228485165469</v>
      </c>
      <c r="AL102" s="140">
        <f t="shared" si="148"/>
        <v>0.96131861004845254</v>
      </c>
      <c r="AM102" s="140">
        <f t="shared" si="148"/>
        <v>0.95597047063385643</v>
      </c>
      <c r="AN102" s="140">
        <f t="shared" si="148"/>
        <v>0.95041409162718071</v>
      </c>
      <c r="AO102" s="140">
        <f t="shared" si="148"/>
        <v>0.94465584413032722</v>
      </c>
      <c r="AP102" s="140">
        <f t="shared" si="148"/>
        <v>0.9387022229330747</v>
      </c>
      <c r="AQ102" s="140">
        <f t="shared" si="148"/>
        <v>0.93259445948238584</v>
      </c>
      <c r="AR102" s="140">
        <f t="shared" si="148"/>
        <v>0.92627096116564667</v>
      </c>
      <c r="AS102" s="140">
        <f>EXP(-AS101*AS100)</f>
        <v>0.91977207871930322</v>
      </c>
      <c r="AT102" s="140">
        <f t="shared" ref="AT102:CA102" si="149">EXP(-AT101*AT100)</f>
        <v>0.91310460932780158</v>
      </c>
      <c r="AU102" s="140">
        <f t="shared" si="149"/>
        <v>0.90627538459587509</v>
      </c>
      <c r="AV102" s="140">
        <f t="shared" si="149"/>
        <v>0.8992912562923131</v>
      </c>
      <c r="AW102" s="140">
        <f t="shared" si="149"/>
        <v>0.89215908306597969</v>
      </c>
      <c r="AX102" s="140">
        <f t="shared" si="149"/>
        <v>0.88488571805670202</v>
      </c>
      <c r="AY102" s="140">
        <f t="shared" si="149"/>
        <v>0.87751950995526928</v>
      </c>
      <c r="AZ102" s="140">
        <f t="shared" si="149"/>
        <v>0.86998493157459245</v>
      </c>
      <c r="BA102" s="140">
        <f t="shared" si="149"/>
        <v>0.86232953844446059</v>
      </c>
      <c r="BB102" s="140">
        <f t="shared" si="149"/>
        <v>0.85456005374450827</v>
      </c>
      <c r="BC102" s="140">
        <f t="shared" si="149"/>
        <v>0.84668314455276117</v>
      </c>
      <c r="BD102" s="140">
        <f t="shared" si="149"/>
        <v>0.83870541364598228</v>
      </c>
      <c r="BE102" s="140">
        <f t="shared" si="149"/>
        <v>0.83063339185856422</v>
      </c>
      <c r="BF102" s="140">
        <f t="shared" si="149"/>
        <v>0.82247353097138531</v>
      </c>
      <c r="BG102" s="140">
        <f t="shared" si="149"/>
        <v>0.81427819578327632</v>
      </c>
      <c r="BH102" s="140">
        <f t="shared" si="149"/>
        <v>0.80596206388773384</v>
      </c>
      <c r="BI102" s="140">
        <f t="shared" si="149"/>
        <v>0.79757687619594286</v>
      </c>
      <c r="BJ102" s="140">
        <f t="shared" si="149"/>
        <v>0.78912870750363584</v>
      </c>
      <c r="BK102" s="140">
        <f t="shared" si="149"/>
        <v>0.78062352516020761</v>
      </c>
      <c r="BL102" s="140">
        <f t="shared" si="149"/>
        <v>0.77206718467594704</v>
      </c>
      <c r="BM102" s="140">
        <f t="shared" si="149"/>
        <v>0.76346542572239284</v>
      </c>
      <c r="BN102" s="140">
        <f t="shared" si="149"/>
        <v>0.75482386851156591</v>
      </c>
      <c r="BO102" s="140">
        <f t="shared" si="149"/>
        <v>0.74619629457811754</v>
      </c>
      <c r="BP102" s="140">
        <f t="shared" si="149"/>
        <v>0.73749165383713899</v>
      </c>
      <c r="BQ102" s="140">
        <f t="shared" si="149"/>
        <v>0.72876329913905114</v>
      </c>
      <c r="BR102" s="140">
        <f t="shared" si="149"/>
        <v>0.72001634449409369</v>
      </c>
      <c r="BS102" s="140">
        <f t="shared" si="149"/>
        <v>0.7112557715846447</v>
      </c>
      <c r="BT102" s="140">
        <f t="shared" si="149"/>
        <v>0.70248642814703532</v>
      </c>
      <c r="BU102" s="140">
        <f t="shared" si="149"/>
        <v>0.69371302664562084</v>
      </c>
      <c r="BV102" s="140">
        <f t="shared" si="149"/>
        <v>0.68494014322762131</v>
      </c>
      <c r="BW102" s="140">
        <f t="shared" si="149"/>
        <v>0.67622090599257001</v>
      </c>
      <c r="BX102" s="140">
        <f t="shared" si="149"/>
        <v>0.66746217522824247</v>
      </c>
      <c r="BY102" s="140">
        <f t="shared" si="149"/>
        <v>0.65871684385774643</v>
      </c>
      <c r="BZ102" s="140">
        <f t="shared" si="149"/>
        <v>0.64998893829260174</v>
      </c>
      <c r="CA102" s="140">
        <f t="shared" si="149"/>
        <v>0.64128234721547717</v>
      </c>
      <c r="CB102" s="140">
        <f>EXP(-CB101*CB100)</f>
        <v>0.6326008219820265</v>
      </c>
      <c r="CC102" s="17"/>
      <c r="CD102" s="17"/>
      <c r="CE102" s="17"/>
    </row>
    <row r="103" spans="1:83">
      <c r="A103" s="17"/>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c r="BJ103" s="5"/>
      <c r="BK103" s="5"/>
      <c r="BL103" s="5"/>
      <c r="BM103" s="5"/>
      <c r="BN103" s="5"/>
      <c r="BO103" s="5"/>
      <c r="BP103" s="5"/>
      <c r="BQ103" s="5"/>
      <c r="BR103" s="5"/>
      <c r="BS103" s="5"/>
      <c r="BT103" s="5"/>
      <c r="BU103" s="5"/>
      <c r="BV103" s="5"/>
      <c r="BW103" s="5"/>
      <c r="BX103" s="5"/>
      <c r="BY103" s="5"/>
      <c r="BZ103" s="5"/>
      <c r="CA103" s="5"/>
      <c r="CB103" s="5"/>
      <c r="CC103" s="17"/>
      <c r="CD103" s="17"/>
      <c r="CE103" s="17"/>
    </row>
    <row r="104" spans="1:83">
      <c r="A104" s="16" t="s">
        <v>40</v>
      </c>
      <c r="B104" s="140">
        <f t="shared" ref="B104:BM104" si="150">DAYS360($B$3,B38)</f>
        <v>179</v>
      </c>
      <c r="C104" s="140">
        <f t="shared" si="150"/>
        <v>359</v>
      </c>
      <c r="D104" s="140">
        <f t="shared" si="150"/>
        <v>539</v>
      </c>
      <c r="E104" s="140">
        <f t="shared" si="150"/>
        <v>719</v>
      </c>
      <c r="F104" s="140">
        <f t="shared" si="150"/>
        <v>899</v>
      </c>
      <c r="G104" s="140">
        <f t="shared" si="150"/>
        <v>1079</v>
      </c>
      <c r="H104" s="140">
        <f t="shared" si="150"/>
        <v>1259</v>
      </c>
      <c r="I104" s="140">
        <f t="shared" si="150"/>
        <v>1439</v>
      </c>
      <c r="J104" s="140">
        <f t="shared" si="150"/>
        <v>1619</v>
      </c>
      <c r="K104" s="140">
        <f t="shared" si="150"/>
        <v>1798</v>
      </c>
      <c r="L104" s="140">
        <f t="shared" si="150"/>
        <v>1978</v>
      </c>
      <c r="M104" s="140">
        <f t="shared" si="150"/>
        <v>2158</v>
      </c>
      <c r="N104" s="140">
        <f t="shared" si="150"/>
        <v>2338</v>
      </c>
      <c r="O104" s="140">
        <f t="shared" si="150"/>
        <v>2518</v>
      </c>
      <c r="P104" s="140">
        <f t="shared" si="150"/>
        <v>2698</v>
      </c>
      <c r="Q104" s="140">
        <f t="shared" si="150"/>
        <v>2878</v>
      </c>
      <c r="R104" s="140">
        <f t="shared" si="150"/>
        <v>3058</v>
      </c>
      <c r="S104" s="140">
        <f t="shared" si="150"/>
        <v>3237</v>
      </c>
      <c r="T104" s="140">
        <f t="shared" si="150"/>
        <v>3417</v>
      </c>
      <c r="U104" s="140">
        <f t="shared" si="150"/>
        <v>3597</v>
      </c>
      <c r="V104" s="140">
        <f t="shared" si="150"/>
        <v>3777</v>
      </c>
      <c r="W104" s="140">
        <f t="shared" si="150"/>
        <v>3957</v>
      </c>
      <c r="X104" s="140">
        <f t="shared" si="150"/>
        <v>4137</v>
      </c>
      <c r="Y104" s="140">
        <f t="shared" si="150"/>
        <v>4317</v>
      </c>
      <c r="Z104" s="140">
        <f t="shared" si="150"/>
        <v>4497</v>
      </c>
      <c r="AA104" s="140">
        <f t="shared" si="150"/>
        <v>4676</v>
      </c>
      <c r="AB104" s="140">
        <f t="shared" si="150"/>
        <v>4856</v>
      </c>
      <c r="AC104" s="140">
        <f t="shared" si="150"/>
        <v>5036</v>
      </c>
      <c r="AD104" s="140">
        <f t="shared" si="150"/>
        <v>5216</v>
      </c>
      <c r="AE104" s="140">
        <f t="shared" si="150"/>
        <v>5396</v>
      </c>
      <c r="AF104" s="140">
        <f t="shared" si="150"/>
        <v>5576</v>
      </c>
      <c r="AG104" s="140">
        <f t="shared" si="150"/>
        <v>5756</v>
      </c>
      <c r="AH104" s="140">
        <f t="shared" si="150"/>
        <v>5936</v>
      </c>
      <c r="AI104" s="140">
        <f t="shared" si="150"/>
        <v>6115</v>
      </c>
      <c r="AJ104" s="140">
        <f t="shared" si="150"/>
        <v>6295</v>
      </c>
      <c r="AK104" s="140">
        <f t="shared" si="150"/>
        <v>6475</v>
      </c>
      <c r="AL104" s="140">
        <f t="shared" si="150"/>
        <v>6655</v>
      </c>
      <c r="AM104" s="140">
        <f t="shared" si="150"/>
        <v>6835</v>
      </c>
      <c r="AN104" s="140">
        <f t="shared" si="150"/>
        <v>7015</v>
      </c>
      <c r="AO104" s="140">
        <f t="shared" si="150"/>
        <v>7195</v>
      </c>
      <c r="AP104" s="140">
        <f t="shared" si="150"/>
        <v>7375</v>
      </c>
      <c r="AQ104" s="140">
        <f t="shared" si="150"/>
        <v>7554</v>
      </c>
      <c r="AR104" s="140">
        <f t="shared" si="150"/>
        <v>7734</v>
      </c>
      <c r="AS104" s="140">
        <f t="shared" si="150"/>
        <v>7914</v>
      </c>
      <c r="AT104" s="140">
        <f t="shared" si="150"/>
        <v>8094</v>
      </c>
      <c r="AU104" s="140">
        <f t="shared" si="150"/>
        <v>8274</v>
      </c>
      <c r="AV104" s="140">
        <f t="shared" si="150"/>
        <v>8454</v>
      </c>
      <c r="AW104" s="140">
        <f t="shared" si="150"/>
        <v>8634</v>
      </c>
      <c r="AX104" s="140">
        <f t="shared" si="150"/>
        <v>8814</v>
      </c>
      <c r="AY104" s="140">
        <f t="shared" si="150"/>
        <v>8993</v>
      </c>
      <c r="AZ104" s="140">
        <f t="shared" si="150"/>
        <v>9173</v>
      </c>
      <c r="BA104" s="140">
        <f t="shared" si="150"/>
        <v>9353</v>
      </c>
      <c r="BB104" s="140">
        <f t="shared" si="150"/>
        <v>9533</v>
      </c>
      <c r="BC104" s="140">
        <f t="shared" si="150"/>
        <v>9713</v>
      </c>
      <c r="BD104" s="140">
        <f t="shared" si="150"/>
        <v>9893</v>
      </c>
      <c r="BE104" s="140">
        <f t="shared" si="150"/>
        <v>10073</v>
      </c>
      <c r="BF104" s="140">
        <f t="shared" si="150"/>
        <v>10253</v>
      </c>
      <c r="BG104" s="140">
        <f t="shared" si="150"/>
        <v>10432</v>
      </c>
      <c r="BH104" s="140">
        <f t="shared" si="150"/>
        <v>10612</v>
      </c>
      <c r="BI104" s="140">
        <f t="shared" si="150"/>
        <v>10792</v>
      </c>
      <c r="BJ104" s="140">
        <f t="shared" si="150"/>
        <v>10972</v>
      </c>
      <c r="BK104" s="140">
        <f t="shared" si="150"/>
        <v>11152</v>
      </c>
      <c r="BL104" s="140">
        <f t="shared" si="150"/>
        <v>11332</v>
      </c>
      <c r="BM104" s="140">
        <f t="shared" si="150"/>
        <v>11512</v>
      </c>
      <c r="BN104" s="140">
        <f t="shared" ref="BN104:CB104" si="151">DAYS360($B$3,BN38)</f>
        <v>11692</v>
      </c>
      <c r="BO104" s="140">
        <f t="shared" si="151"/>
        <v>11871</v>
      </c>
      <c r="BP104" s="140">
        <f t="shared" si="151"/>
        <v>12051</v>
      </c>
      <c r="BQ104" s="140">
        <f t="shared" si="151"/>
        <v>12231</v>
      </c>
      <c r="BR104" s="140">
        <f t="shared" si="151"/>
        <v>12411</v>
      </c>
      <c r="BS104" s="140">
        <f t="shared" si="151"/>
        <v>12591</v>
      </c>
      <c r="BT104" s="140">
        <f t="shared" si="151"/>
        <v>12771</v>
      </c>
      <c r="BU104" s="140">
        <f t="shared" si="151"/>
        <v>12951</v>
      </c>
      <c r="BV104" s="140">
        <f t="shared" si="151"/>
        <v>13131</v>
      </c>
      <c r="BW104" s="140">
        <f t="shared" si="151"/>
        <v>13310</v>
      </c>
      <c r="BX104" s="140">
        <f t="shared" si="151"/>
        <v>13490</v>
      </c>
      <c r="BY104" s="140">
        <f t="shared" si="151"/>
        <v>13670</v>
      </c>
      <c r="BZ104" s="140">
        <f t="shared" si="151"/>
        <v>13850</v>
      </c>
      <c r="CA104" s="140">
        <f t="shared" si="151"/>
        <v>14030</v>
      </c>
      <c r="CB104" s="140">
        <f t="shared" si="151"/>
        <v>14210</v>
      </c>
      <c r="CC104" s="17"/>
      <c r="CD104" s="17"/>
      <c r="CE104" s="17"/>
    </row>
    <row r="105" spans="1:83">
      <c r="A105" s="16" t="s">
        <v>41</v>
      </c>
      <c r="B105" s="140">
        <f>B104/360</f>
        <v>0.49722222222222223</v>
      </c>
      <c r="C105" s="140">
        <f t="shared" ref="C105:BN105" si="152">C104/360</f>
        <v>0.99722222222222223</v>
      </c>
      <c r="D105" s="140">
        <f t="shared" si="152"/>
        <v>1.4972222222222222</v>
      </c>
      <c r="E105" s="140">
        <f t="shared" si="152"/>
        <v>1.9972222222222222</v>
      </c>
      <c r="F105" s="140">
        <f t="shared" si="152"/>
        <v>2.4972222222222222</v>
      </c>
      <c r="G105" s="140">
        <f t="shared" si="152"/>
        <v>2.9972222222222222</v>
      </c>
      <c r="H105" s="140">
        <f t="shared" si="152"/>
        <v>3.4972222222222222</v>
      </c>
      <c r="I105" s="140">
        <f t="shared" si="152"/>
        <v>3.9972222222222222</v>
      </c>
      <c r="J105" s="140">
        <f t="shared" si="152"/>
        <v>4.4972222222222218</v>
      </c>
      <c r="K105" s="140">
        <f t="shared" si="152"/>
        <v>4.9944444444444445</v>
      </c>
      <c r="L105" s="140">
        <f t="shared" si="152"/>
        <v>5.4944444444444445</v>
      </c>
      <c r="M105" s="140">
        <f t="shared" si="152"/>
        <v>5.9944444444444445</v>
      </c>
      <c r="N105" s="140">
        <f t="shared" si="152"/>
        <v>6.4944444444444445</v>
      </c>
      <c r="O105" s="140">
        <f t="shared" si="152"/>
        <v>6.9944444444444445</v>
      </c>
      <c r="P105" s="140">
        <f t="shared" si="152"/>
        <v>7.4944444444444445</v>
      </c>
      <c r="Q105" s="140">
        <f t="shared" si="152"/>
        <v>7.9944444444444445</v>
      </c>
      <c r="R105" s="140">
        <f t="shared" si="152"/>
        <v>8.4944444444444436</v>
      </c>
      <c r="S105" s="140">
        <f t="shared" si="152"/>
        <v>8.9916666666666671</v>
      </c>
      <c r="T105" s="140">
        <f t="shared" si="152"/>
        <v>9.4916666666666671</v>
      </c>
      <c r="U105" s="140">
        <f t="shared" si="152"/>
        <v>9.9916666666666671</v>
      </c>
      <c r="V105" s="140">
        <f t="shared" si="152"/>
        <v>10.491666666666667</v>
      </c>
      <c r="W105" s="140">
        <f t="shared" si="152"/>
        <v>10.991666666666667</v>
      </c>
      <c r="X105" s="140">
        <f t="shared" si="152"/>
        <v>11.491666666666667</v>
      </c>
      <c r="Y105" s="140">
        <f t="shared" si="152"/>
        <v>11.991666666666667</v>
      </c>
      <c r="Z105" s="140">
        <f t="shared" si="152"/>
        <v>12.491666666666667</v>
      </c>
      <c r="AA105" s="140">
        <f t="shared" si="152"/>
        <v>12.988888888888889</v>
      </c>
      <c r="AB105" s="140">
        <f t="shared" si="152"/>
        <v>13.488888888888889</v>
      </c>
      <c r="AC105" s="140">
        <f t="shared" si="152"/>
        <v>13.988888888888889</v>
      </c>
      <c r="AD105" s="140">
        <f t="shared" si="152"/>
        <v>14.488888888888889</v>
      </c>
      <c r="AE105" s="140">
        <f t="shared" si="152"/>
        <v>14.988888888888889</v>
      </c>
      <c r="AF105" s="140">
        <f t="shared" si="152"/>
        <v>15.488888888888889</v>
      </c>
      <c r="AG105" s="140">
        <f t="shared" si="152"/>
        <v>15.988888888888889</v>
      </c>
      <c r="AH105" s="140">
        <f t="shared" si="152"/>
        <v>16.488888888888887</v>
      </c>
      <c r="AI105" s="140">
        <f t="shared" si="152"/>
        <v>16.986111111111111</v>
      </c>
      <c r="AJ105" s="140">
        <f t="shared" si="152"/>
        <v>17.486111111111111</v>
      </c>
      <c r="AK105" s="140">
        <f t="shared" si="152"/>
        <v>17.986111111111111</v>
      </c>
      <c r="AL105" s="140">
        <f t="shared" si="152"/>
        <v>18.486111111111111</v>
      </c>
      <c r="AM105" s="140">
        <f t="shared" si="152"/>
        <v>18.986111111111111</v>
      </c>
      <c r="AN105" s="140">
        <f t="shared" si="152"/>
        <v>19.486111111111111</v>
      </c>
      <c r="AO105" s="140">
        <f t="shared" si="152"/>
        <v>19.986111111111111</v>
      </c>
      <c r="AP105" s="140">
        <f t="shared" si="152"/>
        <v>20.486111111111111</v>
      </c>
      <c r="AQ105" s="140">
        <f t="shared" si="152"/>
        <v>20.983333333333334</v>
      </c>
      <c r="AR105" s="140">
        <f t="shared" si="152"/>
        <v>21.483333333333334</v>
      </c>
      <c r="AS105" s="140">
        <f t="shared" si="152"/>
        <v>21.983333333333334</v>
      </c>
      <c r="AT105" s="140">
        <f t="shared" si="152"/>
        <v>22.483333333333334</v>
      </c>
      <c r="AU105" s="140">
        <f t="shared" si="152"/>
        <v>22.983333333333334</v>
      </c>
      <c r="AV105" s="140">
        <f t="shared" si="152"/>
        <v>23.483333333333334</v>
      </c>
      <c r="AW105" s="140">
        <f t="shared" si="152"/>
        <v>23.983333333333334</v>
      </c>
      <c r="AX105" s="140">
        <f t="shared" si="152"/>
        <v>24.483333333333334</v>
      </c>
      <c r="AY105" s="140">
        <f t="shared" si="152"/>
        <v>24.980555555555554</v>
      </c>
      <c r="AZ105" s="140">
        <f t="shared" si="152"/>
        <v>25.480555555555554</v>
      </c>
      <c r="BA105" s="140">
        <f t="shared" si="152"/>
        <v>25.980555555555554</v>
      </c>
      <c r="BB105" s="140">
        <f t="shared" si="152"/>
        <v>26.480555555555554</v>
      </c>
      <c r="BC105" s="140">
        <f t="shared" si="152"/>
        <v>26.980555555555554</v>
      </c>
      <c r="BD105" s="140">
        <f t="shared" si="152"/>
        <v>27.480555555555554</v>
      </c>
      <c r="BE105" s="140">
        <f t="shared" si="152"/>
        <v>27.980555555555554</v>
      </c>
      <c r="BF105" s="140">
        <f t="shared" si="152"/>
        <v>28.480555555555554</v>
      </c>
      <c r="BG105" s="140">
        <f t="shared" si="152"/>
        <v>28.977777777777778</v>
      </c>
      <c r="BH105" s="140">
        <f t="shared" si="152"/>
        <v>29.477777777777778</v>
      </c>
      <c r="BI105" s="140">
        <f t="shared" si="152"/>
        <v>29.977777777777778</v>
      </c>
      <c r="BJ105" s="140">
        <f t="shared" si="152"/>
        <v>30.477777777777778</v>
      </c>
      <c r="BK105" s="140">
        <f t="shared" si="152"/>
        <v>30.977777777777778</v>
      </c>
      <c r="BL105" s="140">
        <f t="shared" si="152"/>
        <v>31.477777777777778</v>
      </c>
      <c r="BM105" s="140">
        <f t="shared" si="152"/>
        <v>31.977777777777778</v>
      </c>
      <c r="BN105" s="140">
        <f t="shared" si="152"/>
        <v>32.477777777777774</v>
      </c>
      <c r="BO105" s="140">
        <f t="shared" ref="BO105:CB105" si="153">BO104/360</f>
        <v>32.975000000000001</v>
      </c>
      <c r="BP105" s="140">
        <f t="shared" si="153"/>
        <v>33.475000000000001</v>
      </c>
      <c r="BQ105" s="140">
        <f t="shared" si="153"/>
        <v>33.975000000000001</v>
      </c>
      <c r="BR105" s="140">
        <f t="shared" si="153"/>
        <v>34.475000000000001</v>
      </c>
      <c r="BS105" s="140">
        <f t="shared" si="153"/>
        <v>34.975000000000001</v>
      </c>
      <c r="BT105" s="140">
        <f t="shared" si="153"/>
        <v>35.475000000000001</v>
      </c>
      <c r="BU105" s="140">
        <f t="shared" si="153"/>
        <v>35.975000000000001</v>
      </c>
      <c r="BV105" s="140">
        <f t="shared" si="153"/>
        <v>36.475000000000001</v>
      </c>
      <c r="BW105" s="140">
        <f t="shared" si="153"/>
        <v>36.972222222222221</v>
      </c>
      <c r="BX105" s="140">
        <f t="shared" si="153"/>
        <v>37.472222222222221</v>
      </c>
      <c r="BY105" s="140">
        <f t="shared" si="153"/>
        <v>37.972222222222221</v>
      </c>
      <c r="BZ105" s="140">
        <f t="shared" si="153"/>
        <v>38.472222222222221</v>
      </c>
      <c r="CA105" s="140">
        <f t="shared" si="153"/>
        <v>38.972222222222221</v>
      </c>
      <c r="CB105" s="140">
        <f t="shared" si="153"/>
        <v>39.472222222222221</v>
      </c>
      <c r="CC105" s="17"/>
      <c r="CD105" s="17"/>
      <c r="CE105" s="17"/>
    </row>
    <row r="106" spans="1:83">
      <c r="A106" s="16" t="s">
        <v>43</v>
      </c>
      <c r="B106" s="140">
        <f>IF(B104&lt;0,0,$B$5+$B$6*((1-EXP(-B105/$B$9))/(B105/$B$9))+$B$7*((1-EXP(-B105/$B$9))/(B105/$B$9)-EXP(-B105/$B$9))+$B$8*((1-EXP(-B105/$B$10))/(B105/$B$10)-EXP(-B105/$B$10)))</f>
        <v>-1.4851770523945996E-3</v>
      </c>
      <c r="C106" s="140">
        <f t="shared" ref="C106:BN106" si="154">IF(C104&lt;0,0,$B$5+$B$6*((1-EXP(-C105/$B$9))/(C105/$B$9))+$B$7*((1-EXP(-C105/$B$9))/(C105/$B$9)-EXP(-C105/$B$9))+$B$8*((1-EXP(-C105/$B$10))/(C105/$B$10)-EXP(-C105/$B$10)))</f>
        <v>-1.7795767861957885E-3</v>
      </c>
      <c r="D106" s="140">
        <f t="shared" si="154"/>
        <v>-2.0220736900707437E-3</v>
      </c>
      <c r="E106" s="140">
        <f t="shared" si="154"/>
        <v>-2.2174462169333871E-3</v>
      </c>
      <c r="F106" s="140">
        <f t="shared" si="154"/>
        <v>-2.3700371158638183E-3</v>
      </c>
      <c r="G106" s="140">
        <f t="shared" si="154"/>
        <v>-2.4837934804392277E-3</v>
      </c>
      <c r="H106" s="140">
        <f t="shared" si="154"/>
        <v>-2.5623031169472975E-3</v>
      </c>
      <c r="I106" s="140">
        <f t="shared" si="154"/>
        <v>-2.6088275694812657E-3</v>
      </c>
      <c r="J106" s="140">
        <f t="shared" si="154"/>
        <v>-2.6263321081698393E-3</v>
      </c>
      <c r="K106" s="140">
        <f t="shared" si="154"/>
        <v>-2.6176300600587567E-3</v>
      </c>
      <c r="L106" s="140">
        <f t="shared" si="154"/>
        <v>-2.5850653934892209E-3</v>
      </c>
      <c r="M106" s="140">
        <f t="shared" si="154"/>
        <v>-2.5308471633003937E-3</v>
      </c>
      <c r="N106" s="140">
        <f t="shared" si="154"/>
        <v>-2.4570049784080248E-3</v>
      </c>
      <c r="O106" s="140">
        <f t="shared" si="154"/>
        <v>-2.3653853624522026E-3</v>
      </c>
      <c r="P106" s="140">
        <f t="shared" si="154"/>
        <v>-2.2576685616196566E-3</v>
      </c>
      <c r="Q106" s="140">
        <f t="shared" si="154"/>
        <v>-2.1353838033069546E-3</v>
      </c>
      <c r="R106" s="140">
        <f t="shared" si="154"/>
        <v>-1.9999231479929831E-3</v>
      </c>
      <c r="S106" s="140">
        <f t="shared" si="154"/>
        <v>-1.8534035069046086E-3</v>
      </c>
      <c r="T106" s="140">
        <f t="shared" si="154"/>
        <v>-1.695337033499552E-3</v>
      </c>
      <c r="U106" s="140">
        <f t="shared" si="154"/>
        <v>-1.5275623190086907E-3</v>
      </c>
      <c r="V106" s="140">
        <f t="shared" si="154"/>
        <v>-1.3510379194302557E-3</v>
      </c>
      <c r="W106" s="140">
        <f t="shared" si="154"/>
        <v>-1.1666374706135424E-3</v>
      </c>
      <c r="X106" s="140">
        <f t="shared" si="154"/>
        <v>-9.751574410557756E-4</v>
      </c>
      <c r="Y106" s="140">
        <f t="shared" si="154"/>
        <v>-7.7732416878573823E-4</v>
      </c>
      <c r="Z106" s="140">
        <f t="shared" si="154"/>
        <v>-5.738002483609405E-4</v>
      </c>
      <c r="AA106" s="140">
        <f t="shared" si="154"/>
        <v>-3.6636228462288067E-4</v>
      </c>
      <c r="AB106" s="140">
        <f t="shared" si="154"/>
        <v>-1.532420820246432E-4</v>
      </c>
      <c r="AC106" s="140">
        <f t="shared" si="154"/>
        <v>6.3910779122332544E-5</v>
      </c>
      <c r="AD106" s="140">
        <f t="shared" si="154"/>
        <v>2.8463558847575303E-4</v>
      </c>
      <c r="AE106" s="140">
        <f t="shared" si="154"/>
        <v>5.0851129705661684E-4</v>
      </c>
      <c r="AF106" s="140">
        <f t="shared" si="154"/>
        <v>7.3515294447527293E-4</v>
      </c>
      <c r="AG106" s="140">
        <f t="shared" si="154"/>
        <v>9.6420841602794412E-4</v>
      </c>
      <c r="AH106" s="140">
        <f t="shared" si="154"/>
        <v>1.1953554991284872E-3</v>
      </c>
      <c r="AI106" s="140">
        <f t="shared" si="154"/>
        <v>1.4270006237000021E-3</v>
      </c>
      <c r="AJ106" s="140">
        <f t="shared" si="154"/>
        <v>1.661463010861456E-3</v>
      </c>
      <c r="AK106" s="140">
        <f t="shared" si="154"/>
        <v>1.897205591126795E-3</v>
      </c>
      <c r="AL106" s="140">
        <f t="shared" si="154"/>
        <v>2.1340012839454522E-3</v>
      </c>
      <c r="AM106" s="140">
        <f t="shared" si="154"/>
        <v>2.3716418071393045E-3</v>
      </c>
      <c r="AN106" s="140">
        <f t="shared" si="154"/>
        <v>2.609936028019239E-3</v>
      </c>
      <c r="AO106" s="140">
        <f t="shared" si="154"/>
        <v>2.8487084660547514E-3</v>
      </c>
      <c r="AP106" s="140">
        <f t="shared" si="154"/>
        <v>3.0877979330219316E-3</v>
      </c>
      <c r="AQ106" s="140">
        <f t="shared" si="154"/>
        <v>3.3257268735019164E-3</v>
      </c>
      <c r="AR106" s="140">
        <f t="shared" si="154"/>
        <v>3.5650181143311766E-3</v>
      </c>
      <c r="AS106" s="140">
        <f t="shared" si="154"/>
        <v>3.8042174444715775E-3</v>
      </c>
      <c r="AT106" s="140">
        <f t="shared" si="154"/>
        <v>4.0432095199559905E-3</v>
      </c>
      <c r="AU106" s="140">
        <f t="shared" si="154"/>
        <v>4.2818881486725129E-3</v>
      </c>
      <c r="AV106" s="140">
        <f t="shared" si="154"/>
        <v>4.5201555245650577E-3</v>
      </c>
      <c r="AW106" s="140">
        <f t="shared" si="154"/>
        <v>4.7579215313078536E-3</v>
      </c>
      <c r="AX106" s="140">
        <f t="shared" si="154"/>
        <v>4.9951031089911415E-3</v>
      </c>
      <c r="AY106" s="140">
        <f t="shared" si="154"/>
        <v>5.2303116330398233E-3</v>
      </c>
      <c r="AZ106" s="140">
        <f t="shared" si="154"/>
        <v>5.466104818987667E-3</v>
      </c>
      <c r="BA106" s="140">
        <f t="shared" si="154"/>
        <v>5.7011015749340197E-3</v>
      </c>
      <c r="BB106" s="140">
        <f t="shared" si="154"/>
        <v>5.9352417727605482E-3</v>
      </c>
      <c r="BC106" s="140">
        <f t="shared" si="154"/>
        <v>6.1684699343630984E-3</v>
      </c>
      <c r="BD106" s="140">
        <f t="shared" si="154"/>
        <v>6.4007348705443891E-3</v>
      </c>
      <c r="BE106" s="140">
        <f t="shared" si="154"/>
        <v>6.6319893517474996E-3</v>
      </c>
      <c r="BF106" s="140">
        <f t="shared" si="154"/>
        <v>6.8621898076745022E-3</v>
      </c>
      <c r="BG106" s="140">
        <f t="shared" si="154"/>
        <v>7.0900263326472103E-3</v>
      </c>
      <c r="BH106" s="140">
        <f t="shared" si="154"/>
        <v>7.3180076987563909E-3</v>
      </c>
      <c r="BI106" s="140">
        <f t="shared" si="154"/>
        <v>7.5448238412355491E-3</v>
      </c>
      <c r="BJ106" s="140">
        <f t="shared" si="154"/>
        <v>7.7704432975992692E-3</v>
      </c>
      <c r="BK106" s="140">
        <f t="shared" si="154"/>
        <v>7.9948371115284491E-3</v>
      </c>
      <c r="BL106" s="140">
        <f t="shared" si="154"/>
        <v>8.2179786574476232E-3</v>
      </c>
      <c r="BM106" s="140">
        <f t="shared" si="154"/>
        <v>8.4398434797582755E-3</v>
      </c>
      <c r="BN106" s="140">
        <f t="shared" si="154"/>
        <v>8.660409145381796E-3</v>
      </c>
      <c r="BO106" s="140">
        <f t="shared" ref="BO106:CB106" si="155">IF(BO104&lt;0,0,$B$5+$B$6*((1-EXP(-BO105/$B$9))/(BO105/$B$9))+$B$7*((1-EXP(-BO105/$B$9))/(BO105/$B$9)-EXP(-BO105/$B$9))+$B$8*((1-EXP(-BO105/$B$10))/(BO105/$B$10)-EXP(-BO105/$B$10)))</f>
        <v>8.8784407560144885E-3</v>
      </c>
      <c r="BP106" s="140">
        <f t="shared" si="155"/>
        <v>9.0963557180939788E-3</v>
      </c>
      <c r="BQ106" s="140">
        <f t="shared" si="155"/>
        <v>9.3129151504500046E-3</v>
      </c>
      <c r="BR106" s="140">
        <f t="shared" si="155"/>
        <v>9.5281034530370241E-3</v>
      </c>
      <c r="BS106" s="140">
        <f t="shared" si="155"/>
        <v>9.7419064722949911E-3</v>
      </c>
      <c r="BT106" s="140">
        <f t="shared" si="155"/>
        <v>9.9543114115435722E-3</v>
      </c>
      <c r="BU106" s="140">
        <f t="shared" si="155"/>
        <v>1.0165306748212619E-2</v>
      </c>
      <c r="BV106" s="140">
        <f t="shared" si="155"/>
        <v>1.0374882157297111E-2</v>
      </c>
      <c r="BW106" s="140">
        <f t="shared" si="155"/>
        <v>1.0581876035398511E-2</v>
      </c>
      <c r="BX106" s="140">
        <f t="shared" si="155"/>
        <v>1.0788593060763638E-2</v>
      </c>
      <c r="BY106" s="140">
        <f t="shared" si="155"/>
        <v>1.0993865722551757E-2</v>
      </c>
      <c r="BZ106" s="140">
        <f t="shared" si="155"/>
        <v>1.119768782162541E-2</v>
      </c>
      <c r="CA106" s="140">
        <f t="shared" si="155"/>
        <v>1.1400054049659372E-2</v>
      </c>
      <c r="CB106" s="140">
        <f t="shared" si="155"/>
        <v>1.1600959939943317E-2</v>
      </c>
      <c r="CC106" s="17"/>
      <c r="CD106" s="17"/>
      <c r="CE106" s="17"/>
    </row>
    <row r="107" spans="1:83">
      <c r="A107" s="16" t="s">
        <v>44</v>
      </c>
      <c r="B107" s="140">
        <f>EXP(-B106*B105)</f>
        <v>1.0007387357653414</v>
      </c>
      <c r="C107" s="140">
        <f t="shared" ref="C107:AR107" si="156">EXP(-C106*C105)</f>
        <v>1.0017762091113018</v>
      </c>
      <c r="D107" s="140">
        <f t="shared" si="156"/>
        <v>1.0030320811510482</v>
      </c>
      <c r="E107" s="140">
        <f t="shared" si="156"/>
        <v>1.00443855419175</v>
      </c>
      <c r="F107" s="140">
        <f t="shared" si="156"/>
        <v>1.0059360583338952</v>
      </c>
      <c r="G107" s="140">
        <f t="shared" si="156"/>
        <v>1.0074722600544994</v>
      </c>
      <c r="H107" s="140">
        <f t="shared" si="156"/>
        <v>1.0090012128481771</v>
      </c>
      <c r="I107" s="140">
        <f t="shared" si="156"/>
        <v>1.0104826252820795</v>
      </c>
      <c r="J107" s="140">
        <f t="shared" si="156"/>
        <v>1.0118812267640249</v>
      </c>
      <c r="K107" s="140">
        <f t="shared" si="156"/>
        <v>1.0131594411652107</v>
      </c>
      <c r="L107" s="140">
        <f t="shared" si="156"/>
        <v>1.0143048471382479</v>
      </c>
      <c r="M107" s="140">
        <f t="shared" si="156"/>
        <v>1.0152866868571382</v>
      </c>
      <c r="N107" s="140">
        <f t="shared" si="156"/>
        <v>1.0160848732513321</v>
      </c>
      <c r="O107" s="140">
        <f t="shared" si="156"/>
        <v>1.0166821755837234</v>
      </c>
      <c r="P107" s="140">
        <f t="shared" si="156"/>
        <v>1.0170639250787985</v>
      </c>
      <c r="Q107" s="140">
        <f t="shared" si="156"/>
        <v>1.0172177529572108</v>
      </c>
      <c r="R107" s="140">
        <f t="shared" si="156"/>
        <v>1.0171333567730998</v>
      </c>
      <c r="S107" s="140">
        <f t="shared" si="156"/>
        <v>1.0168048253780086</v>
      </c>
      <c r="T107" s="140">
        <f t="shared" si="156"/>
        <v>1.0162217406447764</v>
      </c>
      <c r="U107" s="140">
        <f t="shared" si="156"/>
        <v>1.0153799663281546</v>
      </c>
      <c r="V107" s="140">
        <f t="shared" si="156"/>
        <v>1.0142755760564401</v>
      </c>
      <c r="W107" s="140">
        <f t="shared" si="156"/>
        <v>1.0129058611498556</v>
      </c>
      <c r="X107" s="140">
        <f t="shared" si="156"/>
        <v>1.0112692087442841</v>
      </c>
      <c r="Y107" s="140">
        <f t="shared" si="156"/>
        <v>1.0093649919906453</v>
      </c>
      <c r="Z107" s="140">
        <f t="shared" si="156"/>
        <v>1.0071934710362884</v>
      </c>
      <c r="AA107" s="140">
        <f t="shared" si="156"/>
        <v>1.004769979311652</v>
      </c>
      <c r="AB107" s="140">
        <f t="shared" si="156"/>
        <v>1.0020692032700258</v>
      </c>
      <c r="AC107" s="140">
        <f t="shared" si="156"/>
        <v>0.9991063587474448</v>
      </c>
      <c r="AD107" s="140">
        <f t="shared" si="156"/>
        <v>0.99588443881488942</v>
      </c>
      <c r="AE107" s="140">
        <f t="shared" si="156"/>
        <v>0.99240695459899342</v>
      </c>
      <c r="AF107" s="140">
        <f t="shared" si="156"/>
        <v>0.9886778808589558</v>
      </c>
      <c r="AG107" s="140">
        <f t="shared" si="156"/>
        <v>0.98470160653815753</v>
      </c>
      <c r="AH107" s="140">
        <f t="shared" si="156"/>
        <v>0.98048288977508824</v>
      </c>
      <c r="AI107" s="140">
        <f t="shared" si="156"/>
        <v>0.97605221878206649</v>
      </c>
      <c r="AJ107" s="140">
        <f t="shared" si="156"/>
        <v>0.97136544039383876</v>
      </c>
      <c r="AK107" s="140">
        <f t="shared" si="156"/>
        <v>0.96645228485165469</v>
      </c>
      <c r="AL107" s="140">
        <f t="shared" si="156"/>
        <v>0.96131861004845254</v>
      </c>
      <c r="AM107" s="140">
        <f t="shared" si="156"/>
        <v>0.95597047063385643</v>
      </c>
      <c r="AN107" s="140">
        <f t="shared" si="156"/>
        <v>0.95041409162718071</v>
      </c>
      <c r="AO107" s="140">
        <f t="shared" si="156"/>
        <v>0.94465584413032722</v>
      </c>
      <c r="AP107" s="140">
        <f t="shared" si="156"/>
        <v>0.9387022229330747</v>
      </c>
      <c r="AQ107" s="140">
        <f t="shared" si="156"/>
        <v>0.93259445948238584</v>
      </c>
      <c r="AR107" s="140">
        <f t="shared" si="156"/>
        <v>0.92627096116564667</v>
      </c>
      <c r="AS107" s="140">
        <f>EXP(-AS106*AS105)</f>
        <v>0.91977207871930322</v>
      </c>
      <c r="AT107" s="140">
        <f t="shared" ref="AT107:CA107" si="157">EXP(-AT106*AT105)</f>
        <v>0.91310460932780158</v>
      </c>
      <c r="AU107" s="140">
        <f t="shared" si="157"/>
        <v>0.90627538459587509</v>
      </c>
      <c r="AV107" s="140">
        <f t="shared" si="157"/>
        <v>0.8992912562923131</v>
      </c>
      <c r="AW107" s="140">
        <f t="shared" si="157"/>
        <v>0.89215908306597969</v>
      </c>
      <c r="AX107" s="140">
        <f t="shared" si="157"/>
        <v>0.88488571805670202</v>
      </c>
      <c r="AY107" s="140">
        <f t="shared" si="157"/>
        <v>0.87751950995526928</v>
      </c>
      <c r="AZ107" s="140">
        <f t="shared" si="157"/>
        <v>0.86998493157459245</v>
      </c>
      <c r="BA107" s="140">
        <f t="shared" si="157"/>
        <v>0.86232953844446059</v>
      </c>
      <c r="BB107" s="140">
        <f t="shared" si="157"/>
        <v>0.85456005374450827</v>
      </c>
      <c r="BC107" s="140">
        <f t="shared" si="157"/>
        <v>0.84668314455276117</v>
      </c>
      <c r="BD107" s="140">
        <f t="shared" si="157"/>
        <v>0.83870541364598228</v>
      </c>
      <c r="BE107" s="140">
        <f t="shared" si="157"/>
        <v>0.83063339185856422</v>
      </c>
      <c r="BF107" s="140">
        <f t="shared" si="157"/>
        <v>0.82247353097138531</v>
      </c>
      <c r="BG107" s="140">
        <f t="shared" si="157"/>
        <v>0.81427819578327632</v>
      </c>
      <c r="BH107" s="140">
        <f t="shared" si="157"/>
        <v>0.80596206388773384</v>
      </c>
      <c r="BI107" s="140">
        <f t="shared" si="157"/>
        <v>0.79757687619594286</v>
      </c>
      <c r="BJ107" s="140">
        <f t="shared" si="157"/>
        <v>0.78912870750363584</v>
      </c>
      <c r="BK107" s="140">
        <f t="shared" si="157"/>
        <v>0.78062352516020761</v>
      </c>
      <c r="BL107" s="140">
        <f t="shared" si="157"/>
        <v>0.77206718467594704</v>
      </c>
      <c r="BM107" s="140">
        <f t="shared" si="157"/>
        <v>0.76346542572239284</v>
      </c>
      <c r="BN107" s="140">
        <f t="shared" si="157"/>
        <v>0.75482386851156591</v>
      </c>
      <c r="BO107" s="140">
        <f t="shared" si="157"/>
        <v>0.74619629457811754</v>
      </c>
      <c r="BP107" s="140">
        <f t="shared" si="157"/>
        <v>0.73749165383713899</v>
      </c>
      <c r="BQ107" s="140">
        <f t="shared" si="157"/>
        <v>0.72876329913905114</v>
      </c>
      <c r="BR107" s="140">
        <f t="shared" si="157"/>
        <v>0.72001634449409369</v>
      </c>
      <c r="BS107" s="140">
        <f t="shared" si="157"/>
        <v>0.7112557715846447</v>
      </c>
      <c r="BT107" s="140">
        <f t="shared" si="157"/>
        <v>0.70248642814703532</v>
      </c>
      <c r="BU107" s="140">
        <f t="shared" si="157"/>
        <v>0.69371302664562084</v>
      </c>
      <c r="BV107" s="140">
        <f t="shared" si="157"/>
        <v>0.68494014322762131</v>
      </c>
      <c r="BW107" s="140">
        <f t="shared" si="157"/>
        <v>0.67622090599257001</v>
      </c>
      <c r="BX107" s="140">
        <f t="shared" si="157"/>
        <v>0.66746217522824247</v>
      </c>
      <c r="BY107" s="140">
        <f t="shared" si="157"/>
        <v>0.65871684385774643</v>
      </c>
      <c r="BZ107" s="140">
        <f t="shared" si="157"/>
        <v>0.64998893829260174</v>
      </c>
      <c r="CA107" s="140">
        <f t="shared" si="157"/>
        <v>0.64128234721547717</v>
      </c>
      <c r="CB107" s="140">
        <f>EXP(-CB106*CB105)</f>
        <v>0.6326008219820265</v>
      </c>
      <c r="CC107" s="17"/>
      <c r="CD107" s="17"/>
      <c r="CE107" s="17"/>
    </row>
    <row r="108" spans="1:83">
      <c r="A108" s="17"/>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17"/>
      <c r="CD108" s="17"/>
      <c r="CE108" s="17"/>
    </row>
    <row r="109" spans="1:83">
      <c r="A109" s="16" t="s">
        <v>40</v>
      </c>
      <c r="B109" s="140">
        <f t="shared" ref="B109:BM109" si="158">DAYS360($B$3,B40)</f>
        <v>78</v>
      </c>
      <c r="C109" s="140">
        <f t="shared" si="158"/>
        <v>258</v>
      </c>
      <c r="D109" s="140">
        <f t="shared" si="158"/>
        <v>437</v>
      </c>
      <c r="E109" s="140">
        <f t="shared" si="158"/>
        <v>618</v>
      </c>
      <c r="F109" s="140">
        <f t="shared" si="158"/>
        <v>797</v>
      </c>
      <c r="G109" s="140">
        <f t="shared" si="158"/>
        <v>978</v>
      </c>
      <c r="H109" s="140">
        <f t="shared" si="158"/>
        <v>1157</v>
      </c>
      <c r="I109" s="140">
        <f t="shared" si="158"/>
        <v>1338</v>
      </c>
      <c r="J109" s="140">
        <f t="shared" si="158"/>
        <v>1517</v>
      </c>
      <c r="K109" s="140">
        <f t="shared" si="158"/>
        <v>1697</v>
      </c>
      <c r="L109" s="140">
        <f t="shared" si="158"/>
        <v>1876</v>
      </c>
      <c r="M109" s="140">
        <f t="shared" si="158"/>
        <v>2057</v>
      </c>
      <c r="N109" s="140">
        <f t="shared" si="158"/>
        <v>2236</v>
      </c>
      <c r="O109" s="140">
        <f t="shared" si="158"/>
        <v>2417</v>
      </c>
      <c r="P109" s="140">
        <f t="shared" si="158"/>
        <v>2596</v>
      </c>
      <c r="Q109" s="140">
        <f t="shared" si="158"/>
        <v>2777</v>
      </c>
      <c r="R109" s="140">
        <f t="shared" si="158"/>
        <v>2956</v>
      </c>
      <c r="S109" s="140">
        <f t="shared" si="158"/>
        <v>3136</v>
      </c>
      <c r="T109" s="140">
        <f t="shared" si="158"/>
        <v>3315</v>
      </c>
      <c r="U109" s="140">
        <f t="shared" si="158"/>
        <v>3496</v>
      </c>
      <c r="V109" s="140">
        <f t="shared" si="158"/>
        <v>3675</v>
      </c>
      <c r="W109" s="140">
        <f t="shared" si="158"/>
        <v>3856</v>
      </c>
      <c r="X109" s="140">
        <f t="shared" si="158"/>
        <v>4035</v>
      </c>
      <c r="Y109" s="140">
        <f t="shared" si="158"/>
        <v>4216</v>
      </c>
      <c r="Z109" s="140">
        <f t="shared" si="158"/>
        <v>4395</v>
      </c>
      <c r="AA109" s="140">
        <f t="shared" si="158"/>
        <v>4575</v>
      </c>
      <c r="AB109" s="140">
        <f t="shared" si="158"/>
        <v>4754</v>
      </c>
      <c r="AC109" s="140">
        <f t="shared" si="158"/>
        <v>4935</v>
      </c>
      <c r="AD109" s="140">
        <f t="shared" si="158"/>
        <v>5114</v>
      </c>
      <c r="AE109" s="140">
        <f t="shared" si="158"/>
        <v>5295</v>
      </c>
      <c r="AF109" s="140">
        <f t="shared" si="158"/>
        <v>5474</v>
      </c>
      <c r="AG109" s="140">
        <f t="shared" si="158"/>
        <v>5655</v>
      </c>
      <c r="AH109" s="140">
        <f t="shared" si="158"/>
        <v>5834</v>
      </c>
      <c r="AI109" s="140">
        <f t="shared" si="158"/>
        <v>6014</v>
      </c>
      <c r="AJ109" s="140">
        <f t="shared" si="158"/>
        <v>6193</v>
      </c>
      <c r="AK109" s="140">
        <f t="shared" si="158"/>
        <v>6374</v>
      </c>
      <c r="AL109" s="140">
        <f t="shared" si="158"/>
        <v>6553</v>
      </c>
      <c r="AM109" s="140">
        <f t="shared" si="158"/>
        <v>6734</v>
      </c>
      <c r="AN109" s="140">
        <f t="shared" si="158"/>
        <v>6913</v>
      </c>
      <c r="AO109" s="140">
        <f t="shared" si="158"/>
        <v>7094</v>
      </c>
      <c r="AP109" s="140">
        <f t="shared" si="158"/>
        <v>7273</v>
      </c>
      <c r="AQ109" s="140">
        <f t="shared" si="158"/>
        <v>7453</v>
      </c>
      <c r="AR109" s="140">
        <f t="shared" si="158"/>
        <v>7632</v>
      </c>
      <c r="AS109" s="140">
        <f t="shared" si="158"/>
        <v>7813</v>
      </c>
      <c r="AT109" s="140">
        <f t="shared" si="158"/>
        <v>7992</v>
      </c>
      <c r="AU109" s="140">
        <f t="shared" si="158"/>
        <v>8173</v>
      </c>
      <c r="AV109" s="140">
        <f t="shared" si="158"/>
        <v>8352</v>
      </c>
      <c r="AW109" s="140">
        <f t="shared" si="158"/>
        <v>8533</v>
      </c>
      <c r="AX109" s="140">
        <f t="shared" si="158"/>
        <v>8712</v>
      </c>
      <c r="AY109" s="140">
        <f t="shared" si="158"/>
        <v>8892</v>
      </c>
      <c r="AZ109" s="140">
        <f t="shared" si="158"/>
        <v>9071</v>
      </c>
      <c r="BA109" s="140">
        <f t="shared" si="158"/>
        <v>9252</v>
      </c>
      <c r="BB109" s="140">
        <f t="shared" si="158"/>
        <v>9431</v>
      </c>
      <c r="BC109" s="140">
        <f t="shared" si="158"/>
        <v>9612</v>
      </c>
      <c r="BD109" s="140">
        <f t="shared" si="158"/>
        <v>9791</v>
      </c>
      <c r="BE109" s="140">
        <f t="shared" si="158"/>
        <v>9972</v>
      </c>
      <c r="BF109" s="140">
        <f t="shared" si="158"/>
        <v>10151</v>
      </c>
      <c r="BG109" s="140">
        <f t="shared" si="158"/>
        <v>10331</v>
      </c>
      <c r="BH109" s="140">
        <f t="shared" si="158"/>
        <v>10510</v>
      </c>
      <c r="BI109" s="140">
        <f t="shared" si="158"/>
        <v>10691</v>
      </c>
      <c r="BJ109" s="140">
        <f t="shared" si="158"/>
        <v>10870</v>
      </c>
      <c r="BK109" s="140">
        <f t="shared" si="158"/>
        <v>11051</v>
      </c>
      <c r="BL109" s="140">
        <f t="shared" si="158"/>
        <v>11230</v>
      </c>
      <c r="BM109" s="140">
        <f t="shared" si="158"/>
        <v>11411</v>
      </c>
      <c r="BN109" s="140">
        <f t="shared" ref="BN109:CB109" si="159">DAYS360($B$3,BN40)</f>
        <v>11590</v>
      </c>
      <c r="BO109" s="140">
        <f t="shared" si="159"/>
        <v>11770</v>
      </c>
      <c r="BP109" s="140">
        <f t="shared" si="159"/>
        <v>11949</v>
      </c>
      <c r="BQ109" s="140">
        <f t="shared" si="159"/>
        <v>12130</v>
      </c>
      <c r="BR109" s="140">
        <f t="shared" si="159"/>
        <v>12309</v>
      </c>
      <c r="BS109" s="140">
        <f t="shared" si="159"/>
        <v>12490</v>
      </c>
      <c r="BT109" s="140">
        <f t="shared" si="159"/>
        <v>12669</v>
      </c>
      <c r="BU109" s="140">
        <f t="shared" si="159"/>
        <v>12850</v>
      </c>
      <c r="BV109" s="140">
        <f t="shared" si="159"/>
        <v>13029</v>
      </c>
      <c r="BW109" s="140">
        <f t="shared" si="159"/>
        <v>13209</v>
      </c>
      <c r="BX109" s="140">
        <f t="shared" si="159"/>
        <v>13388</v>
      </c>
      <c r="BY109" s="140">
        <f t="shared" si="159"/>
        <v>13569</v>
      </c>
      <c r="BZ109" s="140">
        <f t="shared" si="159"/>
        <v>13748</v>
      </c>
      <c r="CA109" s="140">
        <f t="shared" si="159"/>
        <v>13929</v>
      </c>
      <c r="CB109" s="140">
        <f t="shared" si="159"/>
        <v>14108</v>
      </c>
      <c r="CC109" s="17"/>
      <c r="CD109" s="17"/>
      <c r="CE109" s="17"/>
    </row>
    <row r="110" spans="1:83">
      <c r="A110" s="16" t="s">
        <v>41</v>
      </c>
      <c r="B110" s="140">
        <f>B109/360</f>
        <v>0.21666666666666667</v>
      </c>
      <c r="C110" s="140">
        <f t="shared" ref="C110:BN110" si="160">C109/360</f>
        <v>0.71666666666666667</v>
      </c>
      <c r="D110" s="140">
        <f t="shared" si="160"/>
        <v>1.2138888888888888</v>
      </c>
      <c r="E110" s="140">
        <f t="shared" si="160"/>
        <v>1.7166666666666666</v>
      </c>
      <c r="F110" s="140">
        <f t="shared" si="160"/>
        <v>2.213888888888889</v>
      </c>
      <c r="G110" s="140">
        <f t="shared" si="160"/>
        <v>2.7166666666666668</v>
      </c>
      <c r="H110" s="140">
        <f t="shared" si="160"/>
        <v>3.213888888888889</v>
      </c>
      <c r="I110" s="140">
        <f t="shared" si="160"/>
        <v>3.7166666666666668</v>
      </c>
      <c r="J110" s="140">
        <f t="shared" si="160"/>
        <v>4.2138888888888886</v>
      </c>
      <c r="K110" s="140">
        <f t="shared" si="160"/>
        <v>4.7138888888888886</v>
      </c>
      <c r="L110" s="140">
        <f t="shared" si="160"/>
        <v>5.2111111111111112</v>
      </c>
      <c r="M110" s="140">
        <f t="shared" si="160"/>
        <v>5.7138888888888886</v>
      </c>
      <c r="N110" s="140">
        <f t="shared" si="160"/>
        <v>6.2111111111111112</v>
      </c>
      <c r="O110" s="140">
        <f t="shared" si="160"/>
        <v>6.7138888888888886</v>
      </c>
      <c r="P110" s="140">
        <f t="shared" si="160"/>
        <v>7.2111111111111112</v>
      </c>
      <c r="Q110" s="140">
        <f t="shared" si="160"/>
        <v>7.7138888888888886</v>
      </c>
      <c r="R110" s="140">
        <f t="shared" si="160"/>
        <v>8.2111111111111104</v>
      </c>
      <c r="S110" s="140">
        <f t="shared" si="160"/>
        <v>8.7111111111111104</v>
      </c>
      <c r="T110" s="140">
        <f t="shared" si="160"/>
        <v>9.2083333333333339</v>
      </c>
      <c r="U110" s="140">
        <f t="shared" si="160"/>
        <v>9.7111111111111104</v>
      </c>
      <c r="V110" s="140">
        <f t="shared" si="160"/>
        <v>10.208333333333334</v>
      </c>
      <c r="W110" s="140">
        <f t="shared" si="160"/>
        <v>10.71111111111111</v>
      </c>
      <c r="X110" s="140">
        <f t="shared" si="160"/>
        <v>11.208333333333334</v>
      </c>
      <c r="Y110" s="140">
        <f t="shared" si="160"/>
        <v>11.71111111111111</v>
      </c>
      <c r="Z110" s="140">
        <f t="shared" si="160"/>
        <v>12.208333333333334</v>
      </c>
      <c r="AA110" s="140">
        <f t="shared" si="160"/>
        <v>12.708333333333334</v>
      </c>
      <c r="AB110" s="140">
        <f t="shared" si="160"/>
        <v>13.205555555555556</v>
      </c>
      <c r="AC110" s="140">
        <f t="shared" si="160"/>
        <v>13.708333333333334</v>
      </c>
      <c r="AD110" s="140">
        <f t="shared" si="160"/>
        <v>14.205555555555556</v>
      </c>
      <c r="AE110" s="140">
        <f t="shared" si="160"/>
        <v>14.708333333333334</v>
      </c>
      <c r="AF110" s="140">
        <f t="shared" si="160"/>
        <v>15.205555555555556</v>
      </c>
      <c r="AG110" s="140">
        <f t="shared" si="160"/>
        <v>15.708333333333334</v>
      </c>
      <c r="AH110" s="140">
        <f t="shared" si="160"/>
        <v>16.205555555555556</v>
      </c>
      <c r="AI110" s="140">
        <f t="shared" si="160"/>
        <v>16.705555555555556</v>
      </c>
      <c r="AJ110" s="140">
        <f t="shared" si="160"/>
        <v>17.202777777777779</v>
      </c>
      <c r="AK110" s="140">
        <f t="shared" si="160"/>
        <v>17.705555555555556</v>
      </c>
      <c r="AL110" s="140">
        <f t="shared" si="160"/>
        <v>18.202777777777779</v>
      </c>
      <c r="AM110" s="140">
        <f t="shared" si="160"/>
        <v>18.705555555555556</v>
      </c>
      <c r="AN110" s="140">
        <f t="shared" si="160"/>
        <v>19.202777777777779</v>
      </c>
      <c r="AO110" s="140">
        <f t="shared" si="160"/>
        <v>19.705555555555556</v>
      </c>
      <c r="AP110" s="140">
        <f t="shared" si="160"/>
        <v>20.202777777777779</v>
      </c>
      <c r="AQ110" s="140">
        <f t="shared" si="160"/>
        <v>20.702777777777779</v>
      </c>
      <c r="AR110" s="140">
        <f t="shared" si="160"/>
        <v>21.2</v>
      </c>
      <c r="AS110" s="140">
        <f t="shared" si="160"/>
        <v>21.702777777777779</v>
      </c>
      <c r="AT110" s="140">
        <f t="shared" si="160"/>
        <v>22.2</v>
      </c>
      <c r="AU110" s="140">
        <f t="shared" si="160"/>
        <v>22.702777777777779</v>
      </c>
      <c r="AV110" s="140">
        <f t="shared" si="160"/>
        <v>23.2</v>
      </c>
      <c r="AW110" s="140">
        <f t="shared" si="160"/>
        <v>23.702777777777779</v>
      </c>
      <c r="AX110" s="140">
        <f t="shared" si="160"/>
        <v>24.2</v>
      </c>
      <c r="AY110" s="140">
        <f t="shared" si="160"/>
        <v>24.7</v>
      </c>
      <c r="AZ110" s="140">
        <f t="shared" si="160"/>
        <v>25.197222222222223</v>
      </c>
      <c r="BA110" s="140">
        <f t="shared" si="160"/>
        <v>25.7</v>
      </c>
      <c r="BB110" s="140">
        <f t="shared" si="160"/>
        <v>26.197222222222223</v>
      </c>
      <c r="BC110" s="140">
        <f t="shared" si="160"/>
        <v>26.7</v>
      </c>
      <c r="BD110" s="140">
        <f t="shared" si="160"/>
        <v>27.197222222222223</v>
      </c>
      <c r="BE110" s="140">
        <f t="shared" si="160"/>
        <v>27.7</v>
      </c>
      <c r="BF110" s="140">
        <f t="shared" si="160"/>
        <v>28.197222222222223</v>
      </c>
      <c r="BG110" s="140">
        <f t="shared" si="160"/>
        <v>28.697222222222223</v>
      </c>
      <c r="BH110" s="140">
        <f t="shared" si="160"/>
        <v>29.194444444444443</v>
      </c>
      <c r="BI110" s="140">
        <f t="shared" si="160"/>
        <v>29.697222222222223</v>
      </c>
      <c r="BJ110" s="140">
        <f t="shared" si="160"/>
        <v>30.194444444444443</v>
      </c>
      <c r="BK110" s="140">
        <f t="shared" si="160"/>
        <v>30.697222222222223</v>
      </c>
      <c r="BL110" s="140">
        <f t="shared" si="160"/>
        <v>31.194444444444443</v>
      </c>
      <c r="BM110" s="140">
        <f t="shared" si="160"/>
        <v>31.697222222222223</v>
      </c>
      <c r="BN110" s="140">
        <f t="shared" si="160"/>
        <v>32.194444444444443</v>
      </c>
      <c r="BO110" s="140">
        <f t="shared" ref="BO110:CB110" si="161">BO109/360</f>
        <v>32.694444444444443</v>
      </c>
      <c r="BP110" s="140">
        <f t="shared" si="161"/>
        <v>33.19166666666667</v>
      </c>
      <c r="BQ110" s="140">
        <f t="shared" si="161"/>
        <v>33.694444444444443</v>
      </c>
      <c r="BR110" s="140">
        <f t="shared" si="161"/>
        <v>34.19166666666667</v>
      </c>
      <c r="BS110" s="140">
        <f t="shared" si="161"/>
        <v>34.694444444444443</v>
      </c>
      <c r="BT110" s="140">
        <f t="shared" si="161"/>
        <v>35.19166666666667</v>
      </c>
      <c r="BU110" s="140">
        <f t="shared" si="161"/>
        <v>35.694444444444443</v>
      </c>
      <c r="BV110" s="140">
        <f t="shared" si="161"/>
        <v>36.19166666666667</v>
      </c>
      <c r="BW110" s="140">
        <f t="shared" si="161"/>
        <v>36.69166666666667</v>
      </c>
      <c r="BX110" s="140">
        <f t="shared" si="161"/>
        <v>37.18888888888889</v>
      </c>
      <c r="BY110" s="140">
        <f t="shared" si="161"/>
        <v>37.69166666666667</v>
      </c>
      <c r="BZ110" s="140">
        <f t="shared" si="161"/>
        <v>38.18888888888889</v>
      </c>
      <c r="CA110" s="140">
        <f t="shared" si="161"/>
        <v>38.69166666666667</v>
      </c>
      <c r="CB110" s="140">
        <f t="shared" si="161"/>
        <v>39.18888888888889</v>
      </c>
      <c r="CC110" s="17"/>
      <c r="CD110" s="17"/>
      <c r="CE110" s="17"/>
    </row>
    <row r="111" spans="1:83">
      <c r="A111" s="16" t="s">
        <v>43</v>
      </c>
      <c r="B111" s="140">
        <f>IF(B109&lt;0,0,$B$5+$B$6*((1-EXP(-B110/$B$9))/(B110/$B$9))+$B$7*((1-EXP(-B110/$B$9))/(B110/$B$9)-EXP(-B110/$B$9))+$B$8*((1-EXP(-B110/$B$10))/(B110/$B$10)-EXP(-B110/$B$10)))</f>
        <v>-1.2953087605009255E-3</v>
      </c>
      <c r="C111" s="140">
        <f t="shared" ref="C111:BN111" si="162">IF(C109&lt;0,0,$B$5+$B$6*((1-EXP(-C110/$B$9))/(C110/$B$9))+$B$7*((1-EXP(-C110/$B$9))/(C110/$B$9)-EXP(-C110/$B$9))+$B$8*((1-EXP(-C110/$B$10))/(C110/$B$10)-EXP(-C110/$B$10)))</f>
        <v>-1.6211020717589761E-3</v>
      </c>
      <c r="D111" s="140">
        <f t="shared" si="162"/>
        <v>-1.8907404753556243E-3</v>
      </c>
      <c r="E111" s="140">
        <f t="shared" si="162"/>
        <v>-2.1133570255532841E-3</v>
      </c>
      <c r="F111" s="140">
        <f t="shared" si="162"/>
        <v>-2.2885813676479958E-3</v>
      </c>
      <c r="G111" s="140">
        <f t="shared" si="162"/>
        <v>-2.4245255383396336E-3</v>
      </c>
      <c r="H111" s="140">
        <f t="shared" si="162"/>
        <v>-2.5219433672471411E-3</v>
      </c>
      <c r="I111" s="140">
        <f t="shared" si="162"/>
        <v>-2.5864789715029251E-3</v>
      </c>
      <c r="J111" s="140">
        <f t="shared" si="162"/>
        <v>-2.619811814654822E-3</v>
      </c>
      <c r="K111" s="140">
        <f t="shared" si="162"/>
        <v>-2.6255932587518314E-3</v>
      </c>
      <c r="L111" s="140">
        <f t="shared" si="162"/>
        <v>-2.606315477071719E-3</v>
      </c>
      <c r="M111" s="140">
        <f t="shared" si="162"/>
        <v>-2.5638115820094342E-3</v>
      </c>
      <c r="N111" s="140">
        <f t="shared" si="162"/>
        <v>-2.5011459400013677E-3</v>
      </c>
      <c r="O111" s="140">
        <f t="shared" si="162"/>
        <v>-2.4188802442816266E-3</v>
      </c>
      <c r="P111" s="140">
        <f t="shared" si="162"/>
        <v>-2.32059144502871E-3</v>
      </c>
      <c r="Q111" s="140">
        <f t="shared" si="162"/>
        <v>-2.2057077052865834E-3</v>
      </c>
      <c r="R111" s="140">
        <f t="shared" si="162"/>
        <v>-2.0782248134192239E-3</v>
      </c>
      <c r="S111" s="140">
        <f t="shared" si="162"/>
        <v>-1.937455111028781E-3</v>
      </c>
      <c r="T111" s="140">
        <f t="shared" si="162"/>
        <v>-1.7861651899361251E-3</v>
      </c>
      <c r="U111" s="140">
        <f t="shared" si="162"/>
        <v>-1.6228393128709523E-3</v>
      </c>
      <c r="V111" s="140">
        <f t="shared" si="162"/>
        <v>-1.4520895707154846E-3</v>
      </c>
      <c r="W111" s="140">
        <f t="shared" si="162"/>
        <v>-1.2710276765101275E-3</v>
      </c>
      <c r="X111" s="140">
        <f t="shared" si="162"/>
        <v>-1.0844878620862738E-3</v>
      </c>
      <c r="Y111" s="140">
        <f t="shared" si="162"/>
        <v>-8.8907237510513909E-4</v>
      </c>
      <c r="Z111" s="140">
        <f t="shared" si="162"/>
        <v>-6.8979241604256092E-4</v>
      </c>
      <c r="AA111" s="140">
        <f t="shared" si="162"/>
        <v>-4.8399353067291604E-4</v>
      </c>
      <c r="AB111" s="140">
        <f t="shared" si="162"/>
        <v>-2.7453660173468826E-4</v>
      </c>
      <c r="AC111" s="140">
        <f t="shared" si="162"/>
        <v>-5.840448880103195E-5</v>
      </c>
      <c r="AD111" s="140">
        <f t="shared" si="162"/>
        <v>1.591452092160198E-4</v>
      </c>
      <c r="AE111" s="140">
        <f t="shared" si="162"/>
        <v>3.8252769955380043E-4</v>
      </c>
      <c r="AF111" s="140">
        <f t="shared" si="162"/>
        <v>6.0640445736763081E-4</v>
      </c>
      <c r="AG111" s="140">
        <f t="shared" si="162"/>
        <v>8.354053123539925E-4</v>
      </c>
      <c r="AH111" s="140">
        <f t="shared" si="162"/>
        <v>1.0641332498144518E-3</v>
      </c>
      <c r="AI111" s="140">
        <f t="shared" si="162"/>
        <v>1.2960935813129625E-3</v>
      </c>
      <c r="AJ111" s="140">
        <f t="shared" si="162"/>
        <v>1.5284284269690561E-3</v>
      </c>
      <c r="AK111" s="140">
        <f t="shared" si="162"/>
        <v>1.7647840411522597E-3</v>
      </c>
      <c r="AL111" s="140">
        <f t="shared" si="162"/>
        <v>1.9997003898327864E-3</v>
      </c>
      <c r="AM111" s="140">
        <f t="shared" si="162"/>
        <v>2.2382067085522954E-3</v>
      </c>
      <c r="AN111" s="140">
        <f t="shared" si="162"/>
        <v>2.4748330141953086E-3</v>
      </c>
      <c r="AO111" s="140">
        <f t="shared" si="162"/>
        <v>2.7146815483065972E-3</v>
      </c>
      <c r="AP111" s="140">
        <f t="shared" si="162"/>
        <v>2.9522839540059758E-3</v>
      </c>
      <c r="AQ111" s="140">
        <f t="shared" si="162"/>
        <v>3.1914640725477675E-3</v>
      </c>
      <c r="AR111" s="140">
        <f t="shared" si="162"/>
        <v>3.4294232329004698E-3</v>
      </c>
      <c r="AS111" s="140">
        <f t="shared" si="162"/>
        <v>3.6700183922689254E-3</v>
      </c>
      <c r="AT111" s="140">
        <f t="shared" si="162"/>
        <v>3.9078125540848718E-3</v>
      </c>
      <c r="AU111" s="140">
        <f t="shared" si="162"/>
        <v>4.1480074750510805E-3</v>
      </c>
      <c r="AV111" s="140">
        <f t="shared" si="162"/>
        <v>4.3851932931745939E-3</v>
      </c>
      <c r="AW111" s="140">
        <f t="shared" si="162"/>
        <v>4.624575179290354E-3</v>
      </c>
      <c r="AX111" s="140">
        <f t="shared" si="162"/>
        <v>4.8607766048596665E-3</v>
      </c>
      <c r="AY111" s="140">
        <f t="shared" si="162"/>
        <v>5.0976807868356811E-3</v>
      </c>
      <c r="AZ111" s="140">
        <f t="shared" si="162"/>
        <v>5.332582406261617E-3</v>
      </c>
      <c r="BA111" s="140">
        <f t="shared" si="162"/>
        <v>5.569344013418397E-3</v>
      </c>
      <c r="BB111" s="140">
        <f t="shared" si="162"/>
        <v>5.8026708506391678E-3</v>
      </c>
      <c r="BC111" s="140">
        <f t="shared" si="162"/>
        <v>6.0377184411058351E-3</v>
      </c>
      <c r="BD111" s="140">
        <f t="shared" si="162"/>
        <v>6.2692391940447371E-3</v>
      </c>
      <c r="BE111" s="140">
        <f t="shared" si="162"/>
        <v>6.502356967235271E-3</v>
      </c>
      <c r="BF111" s="140">
        <f t="shared" si="162"/>
        <v>6.7318747256802343E-3</v>
      </c>
      <c r="BG111" s="140">
        <f t="shared" si="162"/>
        <v>6.9616057681954014E-3</v>
      </c>
      <c r="BH111" s="140">
        <f t="shared" si="162"/>
        <v>7.1889591956298959E-3</v>
      </c>
      <c r="BI111" s="140">
        <f t="shared" si="162"/>
        <v>7.417700178721222E-3</v>
      </c>
      <c r="BJ111" s="140">
        <f t="shared" si="162"/>
        <v>7.642740952925468E-3</v>
      </c>
      <c r="BK111" s="140">
        <f t="shared" si="162"/>
        <v>7.8690797902528989E-3</v>
      </c>
      <c r="BL111" s="140">
        <f t="shared" si="162"/>
        <v>8.0916870148342607E-3</v>
      </c>
      <c r="BM111" s="140">
        <f t="shared" si="162"/>
        <v>8.3155112391355927E-3</v>
      </c>
      <c r="BN111" s="140">
        <f t="shared" si="162"/>
        <v>8.5355826895841588E-3</v>
      </c>
      <c r="BO111" s="140">
        <f t="shared" ref="BO111:CB111" si="163">IF(BO109&lt;0,0,$B$5+$B$6*((1-EXP(-BO110/$B$9))/(BO110/$B$9))+$B$7*((1-EXP(-BO110/$B$9))/(BO110/$B$9)-EXP(-BO110/$B$9))+$B$8*((1-EXP(-BO110/$B$10))/(BO110/$B$10)-EXP(-BO110/$B$10)))</f>
        <v>8.7555789005119081E-3</v>
      </c>
      <c r="BP111" s="140">
        <f t="shared" si="163"/>
        <v>8.9730359393047909E-3</v>
      </c>
      <c r="BQ111" s="140">
        <f t="shared" si="163"/>
        <v>9.1915691125536315E-3</v>
      </c>
      <c r="BR111" s="140">
        <f t="shared" si="163"/>
        <v>9.4063326216226196E-3</v>
      </c>
      <c r="BS111" s="140">
        <f t="shared" si="163"/>
        <v>9.6221105823596012E-3</v>
      </c>
      <c r="BT111" s="140">
        <f t="shared" si="163"/>
        <v>9.8341209701012615E-3</v>
      </c>
      <c r="BU111" s="140">
        <f t="shared" si="163"/>
        <v>1.004708912516427E-2</v>
      </c>
      <c r="BV111" s="140">
        <f t="shared" si="163"/>
        <v>1.0256297659074837E-2</v>
      </c>
      <c r="BW111" s="140">
        <f t="shared" si="163"/>
        <v>1.0465254845925611E-2</v>
      </c>
      <c r="BX111" s="140">
        <f t="shared" si="163"/>
        <v>1.0671630313162908E-2</v>
      </c>
      <c r="BY111" s="140">
        <f t="shared" si="163"/>
        <v>1.0878863186872152E-2</v>
      </c>
      <c r="BZ111" s="140">
        <f t="shared" si="163"/>
        <v>1.1082367060306148E-2</v>
      </c>
      <c r="CA111" s="140">
        <f t="shared" si="163"/>
        <v>1.1286683658613784E-2</v>
      </c>
      <c r="CB111" s="140">
        <f t="shared" si="163"/>
        <v>1.1487292798937379E-2</v>
      </c>
      <c r="CC111" s="17"/>
      <c r="CD111" s="17"/>
      <c r="CE111" s="17"/>
    </row>
    <row r="112" spans="1:83">
      <c r="A112" s="16" t="s">
        <v>44</v>
      </c>
      <c r="B112" s="140">
        <f>EXP(-B111*B110)</f>
        <v>1.0002806896174026</v>
      </c>
      <c r="C112" s="140">
        <f t="shared" ref="C112:AR112" si="164">EXP(-C111*C110)</f>
        <v>1.0011624649573159</v>
      </c>
      <c r="D112" s="140">
        <f t="shared" si="164"/>
        <v>1.0022977847251253</v>
      </c>
      <c r="E112" s="140">
        <f t="shared" si="164"/>
        <v>1.0036345184625959</v>
      </c>
      <c r="F112" s="140">
        <f t="shared" si="164"/>
        <v>1.0050795221128521</v>
      </c>
      <c r="G112" s="140">
        <f t="shared" si="164"/>
        <v>1.0066083672486681</v>
      </c>
      <c r="H112" s="140">
        <f t="shared" si="164"/>
        <v>1.0081381821966866</v>
      </c>
      <c r="I112" s="140">
        <f t="shared" si="164"/>
        <v>1.0096594342487364</v>
      </c>
      <c r="J112" s="140">
        <f t="shared" si="164"/>
        <v>1.0111007570932959</v>
      </c>
      <c r="K112" s="140">
        <f t="shared" si="164"/>
        <v>1.0124536638870441</v>
      </c>
      <c r="L112" s="140">
        <f t="shared" si="164"/>
        <v>1.0136744511644336</v>
      </c>
      <c r="M112" s="140">
        <f t="shared" si="164"/>
        <v>1.0147571619022298</v>
      </c>
      <c r="N112" s="140">
        <f t="shared" si="164"/>
        <v>1.0156561891064142</v>
      </c>
      <c r="O112" s="140">
        <f t="shared" si="164"/>
        <v>1.016372680278933</v>
      </c>
      <c r="P112" s="140">
        <f t="shared" si="164"/>
        <v>1.0168748411259341</v>
      </c>
      <c r="Q112" s="140">
        <f t="shared" si="164"/>
        <v>1.0171601566434834</v>
      </c>
      <c r="R112" s="140">
        <f t="shared" si="164"/>
        <v>1.0172109657711386</v>
      </c>
      <c r="S112" s="140">
        <f t="shared" si="164"/>
        <v>1.0170206144719978</v>
      </c>
      <c r="T112" s="140">
        <f t="shared" si="164"/>
        <v>1.0165836109406552</v>
      </c>
      <c r="U112" s="140">
        <f t="shared" si="164"/>
        <v>1.0158844098819337</v>
      </c>
      <c r="V112" s="140">
        <f t="shared" si="164"/>
        <v>1.0149338260593113</v>
      </c>
      <c r="W112" s="140">
        <f t="shared" si="164"/>
        <v>1.0137072127669327</v>
      </c>
      <c r="X112" s="140">
        <f t="shared" si="164"/>
        <v>1.0122294773697971</v>
      </c>
      <c r="Y112" s="140">
        <f t="shared" si="164"/>
        <v>1.0104664191259742</v>
      </c>
      <c r="Z112" s="140">
        <f t="shared" si="164"/>
        <v>1.0084567739274592</v>
      </c>
      <c r="AA112" s="140">
        <f t="shared" si="164"/>
        <v>1.0061697058306094</v>
      </c>
      <c r="AB112" s="140">
        <f t="shared" si="164"/>
        <v>1.0036319880880935</v>
      </c>
      <c r="AC112" s="140">
        <f t="shared" si="164"/>
        <v>1.0008009487889569</v>
      </c>
      <c r="AD112" s="140">
        <f t="shared" si="164"/>
        <v>0.99774180745088958</v>
      </c>
      <c r="AE112" s="140">
        <f t="shared" si="164"/>
        <v>0.99438945332161544</v>
      </c>
      <c r="AF112" s="140">
        <f t="shared" si="164"/>
        <v>0.99082166378287584</v>
      </c>
      <c r="AG112" s="140">
        <f t="shared" si="164"/>
        <v>0.98696290374326889</v>
      </c>
      <c r="AH112" s="140">
        <f t="shared" si="164"/>
        <v>0.98290297122388126</v>
      </c>
      <c r="AI112" s="140">
        <f t="shared" si="164"/>
        <v>0.97858075778096876</v>
      </c>
      <c r="AJ112" s="140">
        <f t="shared" si="164"/>
        <v>0.97404944223627543</v>
      </c>
      <c r="AK112" s="140">
        <f t="shared" si="164"/>
        <v>0.96923664435711854</v>
      </c>
      <c r="AL112" s="140">
        <f t="shared" si="164"/>
        <v>0.96425441634795117</v>
      </c>
      <c r="AM112" s="140">
        <f t="shared" si="164"/>
        <v>0.95899741469969213</v>
      </c>
      <c r="AN112" s="140">
        <f t="shared" si="164"/>
        <v>0.95358790295730833</v>
      </c>
      <c r="AO112" s="140">
        <f t="shared" si="164"/>
        <v>0.94791133643740499</v>
      </c>
      <c r="AP112" s="140">
        <f t="shared" si="164"/>
        <v>0.94209954427603582</v>
      </c>
      <c r="AQ112" s="140">
        <f t="shared" si="164"/>
        <v>0.93606330477989741</v>
      </c>
      <c r="AR112" s="140">
        <f t="shared" si="164"/>
        <v>0.92987624411141234</v>
      </c>
      <c r="AS112" s="140">
        <f>EXP(-AS111*AS110)</f>
        <v>0.92343986893405594</v>
      </c>
      <c r="AT112" s="140">
        <f t="shared" ref="AT112:CA112" si="165">EXP(-AT111*AT110)</f>
        <v>0.91690314059472922</v>
      </c>
      <c r="AU112" s="140">
        <f t="shared" si="165"/>
        <v>0.91012685150613659</v>
      </c>
      <c r="AV112" s="140">
        <f t="shared" si="165"/>
        <v>0.90326754539766474</v>
      </c>
      <c r="AW112" s="140">
        <f t="shared" si="165"/>
        <v>0.89617884888888255</v>
      </c>
      <c r="AX112" s="140">
        <f t="shared" si="165"/>
        <v>0.88902422525169189</v>
      </c>
      <c r="AY112" s="140">
        <f t="shared" si="165"/>
        <v>0.88169180151038606</v>
      </c>
      <c r="AZ112" s="140">
        <f t="shared" si="165"/>
        <v>0.87426979248323877</v>
      </c>
      <c r="BA112" s="140">
        <f t="shared" si="165"/>
        <v>0.86663954258750464</v>
      </c>
      <c r="BB112" s="140">
        <f t="shared" si="165"/>
        <v>0.85897637717308051</v>
      </c>
      <c r="BC112" s="140">
        <f t="shared" si="165"/>
        <v>0.85111580177286372</v>
      </c>
      <c r="BD112" s="140">
        <f t="shared" si="165"/>
        <v>0.84323812165575718</v>
      </c>
      <c r="BE112" s="140">
        <f t="shared" si="165"/>
        <v>0.83517392033618176</v>
      </c>
      <c r="BF112" s="140">
        <f t="shared" si="165"/>
        <v>0.82710786135166148</v>
      </c>
      <c r="BG112" s="140">
        <f t="shared" si="165"/>
        <v>0.81891191913741457</v>
      </c>
      <c r="BH112" s="140">
        <f t="shared" si="165"/>
        <v>0.81068341092773455</v>
      </c>
      <c r="BI112" s="140">
        <f t="shared" si="165"/>
        <v>0.80229004001856929</v>
      </c>
      <c r="BJ112" s="140">
        <f t="shared" si="165"/>
        <v>0.79392338319591482</v>
      </c>
      <c r="BK112" s="140">
        <f t="shared" si="165"/>
        <v>0.78540254928093312</v>
      </c>
      <c r="BL112" s="140">
        <f t="shared" si="165"/>
        <v>0.77692171930420584</v>
      </c>
      <c r="BM112" s="140">
        <f t="shared" si="165"/>
        <v>0.76829722603502426</v>
      </c>
      <c r="BN112" s="140">
        <f t="shared" si="165"/>
        <v>0.75972531193319315</v>
      </c>
      <c r="BO112" s="140">
        <f t="shared" si="165"/>
        <v>0.75106822339511059</v>
      </c>
      <c r="BP112" s="140">
        <f t="shared" si="165"/>
        <v>0.74242752842376181</v>
      </c>
      <c r="BQ112" s="140">
        <f t="shared" si="165"/>
        <v>0.73366349085326332</v>
      </c>
      <c r="BR112" s="140">
        <f t="shared" si="165"/>
        <v>0.72497494049863154</v>
      </c>
      <c r="BS112" s="140">
        <f t="shared" si="165"/>
        <v>0.71617281383602471</v>
      </c>
      <c r="BT112" s="140">
        <f t="shared" si="165"/>
        <v>0.70745652003122694</v>
      </c>
      <c r="BU112" s="140">
        <f t="shared" si="165"/>
        <v>0.69863610598019588</v>
      </c>
      <c r="BV112" s="140">
        <f t="shared" si="165"/>
        <v>0.68991111666815053</v>
      </c>
      <c r="BW112" s="140">
        <f t="shared" si="165"/>
        <v>0.68113984438916697</v>
      </c>
      <c r="BX112" s="140">
        <f t="shared" si="165"/>
        <v>0.6724240746829685</v>
      </c>
      <c r="BY112" s="140">
        <f t="shared" si="165"/>
        <v>0.66362205558631926</v>
      </c>
      <c r="BZ112" s="140">
        <f t="shared" si="165"/>
        <v>0.65493238067160808</v>
      </c>
      <c r="CA112" s="140">
        <f t="shared" si="165"/>
        <v>0.64616486299060838</v>
      </c>
      <c r="CB112" s="140">
        <f>EXP(-CB111*CB110)</f>
        <v>0.63751706024966126</v>
      </c>
      <c r="CC112" s="17"/>
      <c r="CD112" s="17"/>
      <c r="CE112" s="17"/>
    </row>
    <row r="113" spans="1:83">
      <c r="A113" s="17"/>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17"/>
      <c r="CD113" s="17"/>
      <c r="CE113" s="17"/>
    </row>
    <row r="114" spans="1:83">
      <c r="A114" s="16" t="s">
        <v>40</v>
      </c>
      <c r="B114" s="140">
        <f t="shared" ref="B114:BM114" si="166">DAYS360($B$3,B42)</f>
        <v>78</v>
      </c>
      <c r="C114" s="140">
        <f t="shared" si="166"/>
        <v>258</v>
      </c>
      <c r="D114" s="140">
        <f t="shared" si="166"/>
        <v>437</v>
      </c>
      <c r="E114" s="140">
        <f t="shared" si="166"/>
        <v>618</v>
      </c>
      <c r="F114" s="140">
        <f t="shared" si="166"/>
        <v>797</v>
      </c>
      <c r="G114" s="140">
        <f t="shared" si="166"/>
        <v>978</v>
      </c>
      <c r="H114" s="140">
        <f t="shared" si="166"/>
        <v>1157</v>
      </c>
      <c r="I114" s="140">
        <f t="shared" si="166"/>
        <v>1338</v>
      </c>
      <c r="J114" s="140">
        <f t="shared" si="166"/>
        <v>1517</v>
      </c>
      <c r="K114" s="140">
        <f t="shared" si="166"/>
        <v>1697</v>
      </c>
      <c r="L114" s="140">
        <f t="shared" si="166"/>
        <v>1876</v>
      </c>
      <c r="M114" s="140">
        <f t="shared" si="166"/>
        <v>2057</v>
      </c>
      <c r="N114" s="140">
        <f t="shared" si="166"/>
        <v>2236</v>
      </c>
      <c r="O114" s="140">
        <f t="shared" si="166"/>
        <v>2417</v>
      </c>
      <c r="P114" s="140">
        <f t="shared" si="166"/>
        <v>2596</v>
      </c>
      <c r="Q114" s="140">
        <f t="shared" si="166"/>
        <v>2777</v>
      </c>
      <c r="R114" s="140">
        <f t="shared" si="166"/>
        <v>2956</v>
      </c>
      <c r="S114" s="140">
        <f t="shared" si="166"/>
        <v>3136</v>
      </c>
      <c r="T114" s="140">
        <f t="shared" si="166"/>
        <v>3315</v>
      </c>
      <c r="U114" s="140">
        <f t="shared" si="166"/>
        <v>3496</v>
      </c>
      <c r="V114" s="140">
        <f t="shared" si="166"/>
        <v>3675</v>
      </c>
      <c r="W114" s="140">
        <f t="shared" si="166"/>
        <v>3856</v>
      </c>
      <c r="X114" s="140">
        <f t="shared" si="166"/>
        <v>4035</v>
      </c>
      <c r="Y114" s="140">
        <f t="shared" si="166"/>
        <v>4216</v>
      </c>
      <c r="Z114" s="140">
        <f t="shared" si="166"/>
        <v>4395</v>
      </c>
      <c r="AA114" s="140">
        <f t="shared" si="166"/>
        <v>4575</v>
      </c>
      <c r="AB114" s="140">
        <f t="shared" si="166"/>
        <v>4754</v>
      </c>
      <c r="AC114" s="140">
        <f t="shared" si="166"/>
        <v>4935</v>
      </c>
      <c r="AD114" s="140">
        <f t="shared" si="166"/>
        <v>5114</v>
      </c>
      <c r="AE114" s="140">
        <f t="shared" si="166"/>
        <v>5295</v>
      </c>
      <c r="AF114" s="140">
        <f t="shared" si="166"/>
        <v>5474</v>
      </c>
      <c r="AG114" s="140">
        <f t="shared" si="166"/>
        <v>5655</v>
      </c>
      <c r="AH114" s="140">
        <f t="shared" si="166"/>
        <v>5834</v>
      </c>
      <c r="AI114" s="140">
        <f t="shared" si="166"/>
        <v>6014</v>
      </c>
      <c r="AJ114" s="140">
        <f t="shared" si="166"/>
        <v>6193</v>
      </c>
      <c r="AK114" s="140">
        <f t="shared" si="166"/>
        <v>6374</v>
      </c>
      <c r="AL114" s="140">
        <f t="shared" si="166"/>
        <v>6553</v>
      </c>
      <c r="AM114" s="140">
        <f t="shared" si="166"/>
        <v>6734</v>
      </c>
      <c r="AN114" s="140">
        <f t="shared" si="166"/>
        <v>6913</v>
      </c>
      <c r="AO114" s="140">
        <f t="shared" si="166"/>
        <v>7094</v>
      </c>
      <c r="AP114" s="140">
        <f t="shared" si="166"/>
        <v>7273</v>
      </c>
      <c r="AQ114" s="140">
        <f t="shared" si="166"/>
        <v>7453</v>
      </c>
      <c r="AR114" s="140">
        <f t="shared" si="166"/>
        <v>7632</v>
      </c>
      <c r="AS114" s="140">
        <f t="shared" si="166"/>
        <v>7813</v>
      </c>
      <c r="AT114" s="140">
        <f t="shared" si="166"/>
        <v>7992</v>
      </c>
      <c r="AU114" s="140">
        <f t="shared" si="166"/>
        <v>8173</v>
      </c>
      <c r="AV114" s="140">
        <f t="shared" si="166"/>
        <v>8352</v>
      </c>
      <c r="AW114" s="140">
        <f t="shared" si="166"/>
        <v>8533</v>
      </c>
      <c r="AX114" s="140">
        <f t="shared" si="166"/>
        <v>8712</v>
      </c>
      <c r="AY114" s="140">
        <f t="shared" si="166"/>
        <v>8892</v>
      </c>
      <c r="AZ114" s="140">
        <f t="shared" si="166"/>
        <v>9071</v>
      </c>
      <c r="BA114" s="140">
        <f t="shared" si="166"/>
        <v>9252</v>
      </c>
      <c r="BB114" s="140">
        <f t="shared" si="166"/>
        <v>9431</v>
      </c>
      <c r="BC114" s="140">
        <f t="shared" si="166"/>
        <v>9612</v>
      </c>
      <c r="BD114" s="140">
        <f t="shared" si="166"/>
        <v>9791</v>
      </c>
      <c r="BE114" s="140">
        <f t="shared" si="166"/>
        <v>9972</v>
      </c>
      <c r="BF114" s="140">
        <f t="shared" si="166"/>
        <v>10151</v>
      </c>
      <c r="BG114" s="140">
        <f t="shared" si="166"/>
        <v>10331</v>
      </c>
      <c r="BH114" s="140">
        <f t="shared" si="166"/>
        <v>10510</v>
      </c>
      <c r="BI114" s="140">
        <f t="shared" si="166"/>
        <v>10691</v>
      </c>
      <c r="BJ114" s="140">
        <f t="shared" si="166"/>
        <v>10870</v>
      </c>
      <c r="BK114" s="140">
        <f t="shared" si="166"/>
        <v>11051</v>
      </c>
      <c r="BL114" s="140">
        <f t="shared" si="166"/>
        <v>11230</v>
      </c>
      <c r="BM114" s="140">
        <f t="shared" si="166"/>
        <v>11411</v>
      </c>
      <c r="BN114" s="140">
        <f t="shared" ref="BN114:CB114" si="167">DAYS360($B$3,BN42)</f>
        <v>11590</v>
      </c>
      <c r="BO114" s="140">
        <f t="shared" si="167"/>
        <v>11770</v>
      </c>
      <c r="BP114" s="140">
        <f t="shared" si="167"/>
        <v>11949</v>
      </c>
      <c r="BQ114" s="140">
        <f t="shared" si="167"/>
        <v>12130</v>
      </c>
      <c r="BR114" s="140">
        <f t="shared" si="167"/>
        <v>12309</v>
      </c>
      <c r="BS114" s="140">
        <f t="shared" si="167"/>
        <v>12490</v>
      </c>
      <c r="BT114" s="140">
        <f t="shared" si="167"/>
        <v>12669</v>
      </c>
      <c r="BU114" s="140">
        <f t="shared" si="167"/>
        <v>12850</v>
      </c>
      <c r="BV114" s="140">
        <f t="shared" si="167"/>
        <v>13029</v>
      </c>
      <c r="BW114" s="140">
        <f t="shared" si="167"/>
        <v>13209</v>
      </c>
      <c r="BX114" s="140">
        <f t="shared" si="167"/>
        <v>13388</v>
      </c>
      <c r="BY114" s="140">
        <f t="shared" si="167"/>
        <v>13569</v>
      </c>
      <c r="BZ114" s="140">
        <f t="shared" si="167"/>
        <v>13748</v>
      </c>
      <c r="CA114" s="140">
        <f t="shared" si="167"/>
        <v>13929</v>
      </c>
      <c r="CB114" s="140">
        <f t="shared" si="167"/>
        <v>14108</v>
      </c>
      <c r="CC114" s="17"/>
      <c r="CD114" s="17"/>
      <c r="CE114" s="17"/>
    </row>
    <row r="115" spans="1:83">
      <c r="A115" s="16" t="s">
        <v>41</v>
      </c>
      <c r="B115" s="140">
        <f>B114/360</f>
        <v>0.21666666666666667</v>
      </c>
      <c r="C115" s="140">
        <f t="shared" ref="C115:BN115" si="168">C114/360</f>
        <v>0.71666666666666667</v>
      </c>
      <c r="D115" s="140">
        <f t="shared" si="168"/>
        <v>1.2138888888888888</v>
      </c>
      <c r="E115" s="140">
        <f t="shared" si="168"/>
        <v>1.7166666666666666</v>
      </c>
      <c r="F115" s="140">
        <f t="shared" si="168"/>
        <v>2.213888888888889</v>
      </c>
      <c r="G115" s="140">
        <f t="shared" si="168"/>
        <v>2.7166666666666668</v>
      </c>
      <c r="H115" s="140">
        <f t="shared" si="168"/>
        <v>3.213888888888889</v>
      </c>
      <c r="I115" s="140">
        <f t="shared" si="168"/>
        <v>3.7166666666666668</v>
      </c>
      <c r="J115" s="140">
        <f t="shared" si="168"/>
        <v>4.2138888888888886</v>
      </c>
      <c r="K115" s="140">
        <f t="shared" si="168"/>
        <v>4.7138888888888886</v>
      </c>
      <c r="L115" s="140">
        <f t="shared" si="168"/>
        <v>5.2111111111111112</v>
      </c>
      <c r="M115" s="140">
        <f t="shared" si="168"/>
        <v>5.7138888888888886</v>
      </c>
      <c r="N115" s="140">
        <f t="shared" si="168"/>
        <v>6.2111111111111112</v>
      </c>
      <c r="O115" s="140">
        <f t="shared" si="168"/>
        <v>6.7138888888888886</v>
      </c>
      <c r="P115" s="140">
        <f t="shared" si="168"/>
        <v>7.2111111111111112</v>
      </c>
      <c r="Q115" s="140">
        <f t="shared" si="168"/>
        <v>7.7138888888888886</v>
      </c>
      <c r="R115" s="140">
        <f t="shared" si="168"/>
        <v>8.2111111111111104</v>
      </c>
      <c r="S115" s="140">
        <f t="shared" si="168"/>
        <v>8.7111111111111104</v>
      </c>
      <c r="T115" s="140">
        <f t="shared" si="168"/>
        <v>9.2083333333333339</v>
      </c>
      <c r="U115" s="140">
        <f t="shared" si="168"/>
        <v>9.7111111111111104</v>
      </c>
      <c r="V115" s="140">
        <f t="shared" si="168"/>
        <v>10.208333333333334</v>
      </c>
      <c r="W115" s="140">
        <f t="shared" si="168"/>
        <v>10.71111111111111</v>
      </c>
      <c r="X115" s="140">
        <f t="shared" si="168"/>
        <v>11.208333333333334</v>
      </c>
      <c r="Y115" s="140">
        <f t="shared" si="168"/>
        <v>11.71111111111111</v>
      </c>
      <c r="Z115" s="140">
        <f t="shared" si="168"/>
        <v>12.208333333333334</v>
      </c>
      <c r="AA115" s="140">
        <f t="shared" si="168"/>
        <v>12.708333333333334</v>
      </c>
      <c r="AB115" s="140">
        <f t="shared" si="168"/>
        <v>13.205555555555556</v>
      </c>
      <c r="AC115" s="140">
        <f t="shared" si="168"/>
        <v>13.708333333333334</v>
      </c>
      <c r="AD115" s="140">
        <f t="shared" si="168"/>
        <v>14.205555555555556</v>
      </c>
      <c r="AE115" s="140">
        <f t="shared" si="168"/>
        <v>14.708333333333334</v>
      </c>
      <c r="AF115" s="140">
        <f t="shared" si="168"/>
        <v>15.205555555555556</v>
      </c>
      <c r="AG115" s="140">
        <f t="shared" si="168"/>
        <v>15.708333333333334</v>
      </c>
      <c r="AH115" s="140">
        <f t="shared" si="168"/>
        <v>16.205555555555556</v>
      </c>
      <c r="AI115" s="140">
        <f t="shared" si="168"/>
        <v>16.705555555555556</v>
      </c>
      <c r="AJ115" s="140">
        <f t="shared" si="168"/>
        <v>17.202777777777779</v>
      </c>
      <c r="AK115" s="140">
        <f t="shared" si="168"/>
        <v>17.705555555555556</v>
      </c>
      <c r="AL115" s="140">
        <f t="shared" si="168"/>
        <v>18.202777777777779</v>
      </c>
      <c r="AM115" s="140">
        <f t="shared" si="168"/>
        <v>18.705555555555556</v>
      </c>
      <c r="AN115" s="140">
        <f t="shared" si="168"/>
        <v>19.202777777777779</v>
      </c>
      <c r="AO115" s="140">
        <f t="shared" si="168"/>
        <v>19.705555555555556</v>
      </c>
      <c r="AP115" s="140">
        <f t="shared" si="168"/>
        <v>20.202777777777779</v>
      </c>
      <c r="AQ115" s="140">
        <f t="shared" si="168"/>
        <v>20.702777777777779</v>
      </c>
      <c r="AR115" s="140">
        <f t="shared" si="168"/>
        <v>21.2</v>
      </c>
      <c r="AS115" s="140">
        <f t="shared" si="168"/>
        <v>21.702777777777779</v>
      </c>
      <c r="AT115" s="140">
        <f t="shared" si="168"/>
        <v>22.2</v>
      </c>
      <c r="AU115" s="140">
        <f t="shared" si="168"/>
        <v>22.702777777777779</v>
      </c>
      <c r="AV115" s="140">
        <f t="shared" si="168"/>
        <v>23.2</v>
      </c>
      <c r="AW115" s="140">
        <f t="shared" si="168"/>
        <v>23.702777777777779</v>
      </c>
      <c r="AX115" s="140">
        <f t="shared" si="168"/>
        <v>24.2</v>
      </c>
      <c r="AY115" s="140">
        <f t="shared" si="168"/>
        <v>24.7</v>
      </c>
      <c r="AZ115" s="140">
        <f t="shared" si="168"/>
        <v>25.197222222222223</v>
      </c>
      <c r="BA115" s="140">
        <f t="shared" si="168"/>
        <v>25.7</v>
      </c>
      <c r="BB115" s="140">
        <f t="shared" si="168"/>
        <v>26.197222222222223</v>
      </c>
      <c r="BC115" s="140">
        <f t="shared" si="168"/>
        <v>26.7</v>
      </c>
      <c r="BD115" s="140">
        <f t="shared" si="168"/>
        <v>27.197222222222223</v>
      </c>
      <c r="BE115" s="140">
        <f t="shared" si="168"/>
        <v>27.7</v>
      </c>
      <c r="BF115" s="140">
        <f t="shared" si="168"/>
        <v>28.197222222222223</v>
      </c>
      <c r="BG115" s="140">
        <f t="shared" si="168"/>
        <v>28.697222222222223</v>
      </c>
      <c r="BH115" s="140">
        <f t="shared" si="168"/>
        <v>29.194444444444443</v>
      </c>
      <c r="BI115" s="140">
        <f t="shared" si="168"/>
        <v>29.697222222222223</v>
      </c>
      <c r="BJ115" s="140">
        <f t="shared" si="168"/>
        <v>30.194444444444443</v>
      </c>
      <c r="BK115" s="140">
        <f t="shared" si="168"/>
        <v>30.697222222222223</v>
      </c>
      <c r="BL115" s="140">
        <f t="shared" si="168"/>
        <v>31.194444444444443</v>
      </c>
      <c r="BM115" s="140">
        <f t="shared" si="168"/>
        <v>31.697222222222223</v>
      </c>
      <c r="BN115" s="140">
        <f t="shared" si="168"/>
        <v>32.194444444444443</v>
      </c>
      <c r="BO115" s="140">
        <f t="shared" ref="BO115:CB115" si="169">BO114/360</f>
        <v>32.694444444444443</v>
      </c>
      <c r="BP115" s="140">
        <f t="shared" si="169"/>
        <v>33.19166666666667</v>
      </c>
      <c r="BQ115" s="140">
        <f t="shared" si="169"/>
        <v>33.694444444444443</v>
      </c>
      <c r="BR115" s="140">
        <f t="shared" si="169"/>
        <v>34.19166666666667</v>
      </c>
      <c r="BS115" s="140">
        <f t="shared" si="169"/>
        <v>34.694444444444443</v>
      </c>
      <c r="BT115" s="140">
        <f t="shared" si="169"/>
        <v>35.19166666666667</v>
      </c>
      <c r="BU115" s="140">
        <f t="shared" si="169"/>
        <v>35.694444444444443</v>
      </c>
      <c r="BV115" s="140">
        <f t="shared" si="169"/>
        <v>36.19166666666667</v>
      </c>
      <c r="BW115" s="140">
        <f t="shared" si="169"/>
        <v>36.69166666666667</v>
      </c>
      <c r="BX115" s="140">
        <f t="shared" si="169"/>
        <v>37.18888888888889</v>
      </c>
      <c r="BY115" s="140">
        <f t="shared" si="169"/>
        <v>37.69166666666667</v>
      </c>
      <c r="BZ115" s="140">
        <f t="shared" si="169"/>
        <v>38.18888888888889</v>
      </c>
      <c r="CA115" s="140">
        <f t="shared" si="169"/>
        <v>38.69166666666667</v>
      </c>
      <c r="CB115" s="140">
        <f t="shared" si="169"/>
        <v>39.18888888888889</v>
      </c>
      <c r="CC115" s="17"/>
      <c r="CD115" s="17"/>
      <c r="CE115" s="17"/>
    </row>
    <row r="116" spans="1:83">
      <c r="A116" s="16" t="s">
        <v>43</v>
      </c>
      <c r="B116" s="140">
        <f>IF(B114&lt;0,0,$B$5+$B$6*((1-EXP(-B115/$B$9))/(B115/$B$9))+$B$7*((1-EXP(-B115/$B$9))/(B115/$B$9)-EXP(-B115/$B$9))+$B$8*((1-EXP(-B115/$B$10))/(B115/$B$10)-EXP(-B115/$B$10)))</f>
        <v>-1.2953087605009255E-3</v>
      </c>
      <c r="C116" s="140">
        <f t="shared" ref="C116:BN116" si="170">IF(C114&lt;0,0,$B$5+$B$6*((1-EXP(-C115/$B$9))/(C115/$B$9))+$B$7*((1-EXP(-C115/$B$9))/(C115/$B$9)-EXP(-C115/$B$9))+$B$8*((1-EXP(-C115/$B$10))/(C115/$B$10)-EXP(-C115/$B$10)))</f>
        <v>-1.6211020717589761E-3</v>
      </c>
      <c r="D116" s="140">
        <f t="shared" si="170"/>
        <v>-1.8907404753556243E-3</v>
      </c>
      <c r="E116" s="140">
        <f t="shared" si="170"/>
        <v>-2.1133570255532841E-3</v>
      </c>
      <c r="F116" s="140">
        <f t="shared" si="170"/>
        <v>-2.2885813676479958E-3</v>
      </c>
      <c r="G116" s="140">
        <f t="shared" si="170"/>
        <v>-2.4245255383396336E-3</v>
      </c>
      <c r="H116" s="140">
        <f t="shared" si="170"/>
        <v>-2.5219433672471411E-3</v>
      </c>
      <c r="I116" s="140">
        <f t="shared" si="170"/>
        <v>-2.5864789715029251E-3</v>
      </c>
      <c r="J116" s="140">
        <f t="shared" si="170"/>
        <v>-2.619811814654822E-3</v>
      </c>
      <c r="K116" s="140">
        <f t="shared" si="170"/>
        <v>-2.6255932587518314E-3</v>
      </c>
      <c r="L116" s="140">
        <f t="shared" si="170"/>
        <v>-2.606315477071719E-3</v>
      </c>
      <c r="M116" s="140">
        <f t="shared" si="170"/>
        <v>-2.5638115820094342E-3</v>
      </c>
      <c r="N116" s="140">
        <f t="shared" si="170"/>
        <v>-2.5011459400013677E-3</v>
      </c>
      <c r="O116" s="140">
        <f t="shared" si="170"/>
        <v>-2.4188802442816266E-3</v>
      </c>
      <c r="P116" s="140">
        <f t="shared" si="170"/>
        <v>-2.32059144502871E-3</v>
      </c>
      <c r="Q116" s="140">
        <f t="shared" si="170"/>
        <v>-2.2057077052865834E-3</v>
      </c>
      <c r="R116" s="140">
        <f t="shared" si="170"/>
        <v>-2.0782248134192239E-3</v>
      </c>
      <c r="S116" s="140">
        <f t="shared" si="170"/>
        <v>-1.937455111028781E-3</v>
      </c>
      <c r="T116" s="140">
        <f t="shared" si="170"/>
        <v>-1.7861651899361251E-3</v>
      </c>
      <c r="U116" s="140">
        <f t="shared" si="170"/>
        <v>-1.6228393128709523E-3</v>
      </c>
      <c r="V116" s="140">
        <f t="shared" si="170"/>
        <v>-1.4520895707154846E-3</v>
      </c>
      <c r="W116" s="140">
        <f t="shared" si="170"/>
        <v>-1.2710276765101275E-3</v>
      </c>
      <c r="X116" s="140">
        <f t="shared" si="170"/>
        <v>-1.0844878620862738E-3</v>
      </c>
      <c r="Y116" s="140">
        <f t="shared" si="170"/>
        <v>-8.8907237510513909E-4</v>
      </c>
      <c r="Z116" s="140">
        <f t="shared" si="170"/>
        <v>-6.8979241604256092E-4</v>
      </c>
      <c r="AA116" s="140">
        <f t="shared" si="170"/>
        <v>-4.8399353067291604E-4</v>
      </c>
      <c r="AB116" s="140">
        <f t="shared" si="170"/>
        <v>-2.7453660173468826E-4</v>
      </c>
      <c r="AC116" s="140">
        <f t="shared" si="170"/>
        <v>-5.840448880103195E-5</v>
      </c>
      <c r="AD116" s="140">
        <f t="shared" si="170"/>
        <v>1.591452092160198E-4</v>
      </c>
      <c r="AE116" s="140">
        <f t="shared" si="170"/>
        <v>3.8252769955380043E-4</v>
      </c>
      <c r="AF116" s="140">
        <f t="shared" si="170"/>
        <v>6.0640445736763081E-4</v>
      </c>
      <c r="AG116" s="140">
        <f t="shared" si="170"/>
        <v>8.354053123539925E-4</v>
      </c>
      <c r="AH116" s="140">
        <f t="shared" si="170"/>
        <v>1.0641332498144518E-3</v>
      </c>
      <c r="AI116" s="140">
        <f t="shared" si="170"/>
        <v>1.2960935813129625E-3</v>
      </c>
      <c r="AJ116" s="140">
        <f t="shared" si="170"/>
        <v>1.5284284269690561E-3</v>
      </c>
      <c r="AK116" s="140">
        <f t="shared" si="170"/>
        <v>1.7647840411522597E-3</v>
      </c>
      <c r="AL116" s="140">
        <f t="shared" si="170"/>
        <v>1.9997003898327864E-3</v>
      </c>
      <c r="AM116" s="140">
        <f t="shared" si="170"/>
        <v>2.2382067085522954E-3</v>
      </c>
      <c r="AN116" s="140">
        <f t="shared" si="170"/>
        <v>2.4748330141953086E-3</v>
      </c>
      <c r="AO116" s="140">
        <f t="shared" si="170"/>
        <v>2.7146815483065972E-3</v>
      </c>
      <c r="AP116" s="140">
        <f t="shared" si="170"/>
        <v>2.9522839540059758E-3</v>
      </c>
      <c r="AQ116" s="140">
        <f t="shared" si="170"/>
        <v>3.1914640725477675E-3</v>
      </c>
      <c r="AR116" s="140">
        <f t="shared" si="170"/>
        <v>3.4294232329004698E-3</v>
      </c>
      <c r="AS116" s="140">
        <f t="shared" si="170"/>
        <v>3.6700183922689254E-3</v>
      </c>
      <c r="AT116" s="140">
        <f t="shared" si="170"/>
        <v>3.9078125540848718E-3</v>
      </c>
      <c r="AU116" s="140">
        <f t="shared" si="170"/>
        <v>4.1480074750510805E-3</v>
      </c>
      <c r="AV116" s="140">
        <f t="shared" si="170"/>
        <v>4.3851932931745939E-3</v>
      </c>
      <c r="AW116" s="140">
        <f t="shared" si="170"/>
        <v>4.624575179290354E-3</v>
      </c>
      <c r="AX116" s="140">
        <f t="shared" si="170"/>
        <v>4.8607766048596665E-3</v>
      </c>
      <c r="AY116" s="140">
        <f t="shared" si="170"/>
        <v>5.0976807868356811E-3</v>
      </c>
      <c r="AZ116" s="140">
        <f t="shared" si="170"/>
        <v>5.332582406261617E-3</v>
      </c>
      <c r="BA116" s="140">
        <f t="shared" si="170"/>
        <v>5.569344013418397E-3</v>
      </c>
      <c r="BB116" s="140">
        <f t="shared" si="170"/>
        <v>5.8026708506391678E-3</v>
      </c>
      <c r="BC116" s="140">
        <f t="shared" si="170"/>
        <v>6.0377184411058351E-3</v>
      </c>
      <c r="BD116" s="140">
        <f t="shared" si="170"/>
        <v>6.2692391940447371E-3</v>
      </c>
      <c r="BE116" s="140">
        <f t="shared" si="170"/>
        <v>6.502356967235271E-3</v>
      </c>
      <c r="BF116" s="140">
        <f t="shared" si="170"/>
        <v>6.7318747256802343E-3</v>
      </c>
      <c r="BG116" s="140">
        <f t="shared" si="170"/>
        <v>6.9616057681954014E-3</v>
      </c>
      <c r="BH116" s="140">
        <f t="shared" si="170"/>
        <v>7.1889591956298959E-3</v>
      </c>
      <c r="BI116" s="140">
        <f t="shared" si="170"/>
        <v>7.417700178721222E-3</v>
      </c>
      <c r="BJ116" s="140">
        <f t="shared" si="170"/>
        <v>7.642740952925468E-3</v>
      </c>
      <c r="BK116" s="140">
        <f t="shared" si="170"/>
        <v>7.8690797902528989E-3</v>
      </c>
      <c r="BL116" s="140">
        <f t="shared" si="170"/>
        <v>8.0916870148342607E-3</v>
      </c>
      <c r="BM116" s="140">
        <f t="shared" si="170"/>
        <v>8.3155112391355927E-3</v>
      </c>
      <c r="BN116" s="140">
        <f t="shared" si="170"/>
        <v>8.5355826895841588E-3</v>
      </c>
      <c r="BO116" s="140">
        <f t="shared" ref="BO116:CB116" si="171">IF(BO114&lt;0,0,$B$5+$B$6*((1-EXP(-BO115/$B$9))/(BO115/$B$9))+$B$7*((1-EXP(-BO115/$B$9))/(BO115/$B$9)-EXP(-BO115/$B$9))+$B$8*((1-EXP(-BO115/$B$10))/(BO115/$B$10)-EXP(-BO115/$B$10)))</f>
        <v>8.7555789005119081E-3</v>
      </c>
      <c r="BP116" s="140">
        <f t="shared" si="171"/>
        <v>8.9730359393047909E-3</v>
      </c>
      <c r="BQ116" s="140">
        <f t="shared" si="171"/>
        <v>9.1915691125536315E-3</v>
      </c>
      <c r="BR116" s="140">
        <f t="shared" si="171"/>
        <v>9.4063326216226196E-3</v>
      </c>
      <c r="BS116" s="140">
        <f t="shared" si="171"/>
        <v>9.6221105823596012E-3</v>
      </c>
      <c r="BT116" s="140">
        <f t="shared" si="171"/>
        <v>9.8341209701012615E-3</v>
      </c>
      <c r="BU116" s="140">
        <f t="shared" si="171"/>
        <v>1.004708912516427E-2</v>
      </c>
      <c r="BV116" s="140">
        <f t="shared" si="171"/>
        <v>1.0256297659074837E-2</v>
      </c>
      <c r="BW116" s="140">
        <f t="shared" si="171"/>
        <v>1.0465254845925611E-2</v>
      </c>
      <c r="BX116" s="140">
        <f t="shared" si="171"/>
        <v>1.0671630313162908E-2</v>
      </c>
      <c r="BY116" s="140">
        <f t="shared" si="171"/>
        <v>1.0878863186872152E-2</v>
      </c>
      <c r="BZ116" s="140">
        <f t="shared" si="171"/>
        <v>1.1082367060306148E-2</v>
      </c>
      <c r="CA116" s="140">
        <f t="shared" si="171"/>
        <v>1.1286683658613784E-2</v>
      </c>
      <c r="CB116" s="140">
        <f t="shared" si="171"/>
        <v>1.1487292798937379E-2</v>
      </c>
      <c r="CC116" s="17"/>
      <c r="CD116" s="17"/>
      <c r="CE116" s="17"/>
    </row>
    <row r="117" spans="1:83">
      <c r="A117" s="16" t="s">
        <v>44</v>
      </c>
      <c r="B117" s="140">
        <f>EXP(-B116*B115)</f>
        <v>1.0002806896174026</v>
      </c>
      <c r="C117" s="140">
        <f t="shared" ref="C117:AR117" si="172">EXP(-C116*C115)</f>
        <v>1.0011624649573159</v>
      </c>
      <c r="D117" s="140">
        <f t="shared" si="172"/>
        <v>1.0022977847251253</v>
      </c>
      <c r="E117" s="140">
        <f t="shared" si="172"/>
        <v>1.0036345184625959</v>
      </c>
      <c r="F117" s="140">
        <f t="shared" si="172"/>
        <v>1.0050795221128521</v>
      </c>
      <c r="G117" s="140">
        <f t="shared" si="172"/>
        <v>1.0066083672486681</v>
      </c>
      <c r="H117" s="140">
        <f t="shared" si="172"/>
        <v>1.0081381821966866</v>
      </c>
      <c r="I117" s="140">
        <f t="shared" si="172"/>
        <v>1.0096594342487364</v>
      </c>
      <c r="J117" s="140">
        <f t="shared" si="172"/>
        <v>1.0111007570932959</v>
      </c>
      <c r="K117" s="140">
        <f t="shared" si="172"/>
        <v>1.0124536638870441</v>
      </c>
      <c r="L117" s="140">
        <f t="shared" si="172"/>
        <v>1.0136744511644336</v>
      </c>
      <c r="M117" s="140">
        <f t="shared" si="172"/>
        <v>1.0147571619022298</v>
      </c>
      <c r="N117" s="140">
        <f t="shared" si="172"/>
        <v>1.0156561891064142</v>
      </c>
      <c r="O117" s="140">
        <f t="shared" si="172"/>
        <v>1.016372680278933</v>
      </c>
      <c r="P117" s="140">
        <f t="shared" si="172"/>
        <v>1.0168748411259341</v>
      </c>
      <c r="Q117" s="140">
        <f t="shared" si="172"/>
        <v>1.0171601566434834</v>
      </c>
      <c r="R117" s="140">
        <f t="shared" si="172"/>
        <v>1.0172109657711386</v>
      </c>
      <c r="S117" s="140">
        <f t="shared" si="172"/>
        <v>1.0170206144719978</v>
      </c>
      <c r="T117" s="140">
        <f t="shared" si="172"/>
        <v>1.0165836109406552</v>
      </c>
      <c r="U117" s="140">
        <f t="shared" si="172"/>
        <v>1.0158844098819337</v>
      </c>
      <c r="V117" s="140">
        <f t="shared" si="172"/>
        <v>1.0149338260593113</v>
      </c>
      <c r="W117" s="140">
        <f t="shared" si="172"/>
        <v>1.0137072127669327</v>
      </c>
      <c r="X117" s="140">
        <f t="shared" si="172"/>
        <v>1.0122294773697971</v>
      </c>
      <c r="Y117" s="140">
        <f t="shared" si="172"/>
        <v>1.0104664191259742</v>
      </c>
      <c r="Z117" s="140">
        <f t="shared" si="172"/>
        <v>1.0084567739274592</v>
      </c>
      <c r="AA117" s="140">
        <f t="shared" si="172"/>
        <v>1.0061697058306094</v>
      </c>
      <c r="AB117" s="140">
        <f t="shared" si="172"/>
        <v>1.0036319880880935</v>
      </c>
      <c r="AC117" s="140">
        <f t="shared" si="172"/>
        <v>1.0008009487889569</v>
      </c>
      <c r="AD117" s="140">
        <f t="shared" si="172"/>
        <v>0.99774180745088958</v>
      </c>
      <c r="AE117" s="140">
        <f t="shared" si="172"/>
        <v>0.99438945332161544</v>
      </c>
      <c r="AF117" s="140">
        <f t="shared" si="172"/>
        <v>0.99082166378287584</v>
      </c>
      <c r="AG117" s="140">
        <f t="shared" si="172"/>
        <v>0.98696290374326889</v>
      </c>
      <c r="AH117" s="140">
        <f t="shared" si="172"/>
        <v>0.98290297122388126</v>
      </c>
      <c r="AI117" s="140">
        <f t="shared" si="172"/>
        <v>0.97858075778096876</v>
      </c>
      <c r="AJ117" s="140">
        <f t="shared" si="172"/>
        <v>0.97404944223627543</v>
      </c>
      <c r="AK117" s="140">
        <f t="shared" si="172"/>
        <v>0.96923664435711854</v>
      </c>
      <c r="AL117" s="140">
        <f t="shared" si="172"/>
        <v>0.96425441634795117</v>
      </c>
      <c r="AM117" s="140">
        <f t="shared" si="172"/>
        <v>0.95899741469969213</v>
      </c>
      <c r="AN117" s="140">
        <f t="shared" si="172"/>
        <v>0.95358790295730833</v>
      </c>
      <c r="AO117" s="140">
        <f t="shared" si="172"/>
        <v>0.94791133643740499</v>
      </c>
      <c r="AP117" s="140">
        <f t="shared" si="172"/>
        <v>0.94209954427603582</v>
      </c>
      <c r="AQ117" s="140">
        <f t="shared" si="172"/>
        <v>0.93606330477989741</v>
      </c>
      <c r="AR117" s="140">
        <f t="shared" si="172"/>
        <v>0.92987624411141234</v>
      </c>
      <c r="AS117" s="140">
        <f>EXP(-AS116*AS115)</f>
        <v>0.92343986893405594</v>
      </c>
      <c r="AT117" s="140">
        <f t="shared" ref="AT117:CA117" si="173">EXP(-AT116*AT115)</f>
        <v>0.91690314059472922</v>
      </c>
      <c r="AU117" s="140">
        <f t="shared" si="173"/>
        <v>0.91012685150613659</v>
      </c>
      <c r="AV117" s="140">
        <f t="shared" si="173"/>
        <v>0.90326754539766474</v>
      </c>
      <c r="AW117" s="140">
        <f t="shared" si="173"/>
        <v>0.89617884888888255</v>
      </c>
      <c r="AX117" s="140">
        <f t="shared" si="173"/>
        <v>0.88902422525169189</v>
      </c>
      <c r="AY117" s="140">
        <f t="shared" si="173"/>
        <v>0.88169180151038606</v>
      </c>
      <c r="AZ117" s="140">
        <f t="shared" si="173"/>
        <v>0.87426979248323877</v>
      </c>
      <c r="BA117" s="140">
        <f t="shared" si="173"/>
        <v>0.86663954258750464</v>
      </c>
      <c r="BB117" s="140">
        <f t="shared" si="173"/>
        <v>0.85897637717308051</v>
      </c>
      <c r="BC117" s="140">
        <f t="shared" si="173"/>
        <v>0.85111580177286372</v>
      </c>
      <c r="BD117" s="140">
        <f t="shared" si="173"/>
        <v>0.84323812165575718</v>
      </c>
      <c r="BE117" s="140">
        <f t="shared" si="173"/>
        <v>0.83517392033618176</v>
      </c>
      <c r="BF117" s="140">
        <f t="shared" si="173"/>
        <v>0.82710786135166148</v>
      </c>
      <c r="BG117" s="140">
        <f t="shared" si="173"/>
        <v>0.81891191913741457</v>
      </c>
      <c r="BH117" s="140">
        <f t="shared" si="173"/>
        <v>0.81068341092773455</v>
      </c>
      <c r="BI117" s="140">
        <f t="shared" si="173"/>
        <v>0.80229004001856929</v>
      </c>
      <c r="BJ117" s="140">
        <f t="shared" si="173"/>
        <v>0.79392338319591482</v>
      </c>
      <c r="BK117" s="140">
        <f t="shared" si="173"/>
        <v>0.78540254928093312</v>
      </c>
      <c r="BL117" s="140">
        <f t="shared" si="173"/>
        <v>0.77692171930420584</v>
      </c>
      <c r="BM117" s="140">
        <f t="shared" si="173"/>
        <v>0.76829722603502426</v>
      </c>
      <c r="BN117" s="140">
        <f t="shared" si="173"/>
        <v>0.75972531193319315</v>
      </c>
      <c r="BO117" s="140">
        <f t="shared" si="173"/>
        <v>0.75106822339511059</v>
      </c>
      <c r="BP117" s="140">
        <f t="shared" si="173"/>
        <v>0.74242752842376181</v>
      </c>
      <c r="BQ117" s="140">
        <f t="shared" si="173"/>
        <v>0.73366349085326332</v>
      </c>
      <c r="BR117" s="140">
        <f t="shared" si="173"/>
        <v>0.72497494049863154</v>
      </c>
      <c r="BS117" s="140">
        <f t="shared" si="173"/>
        <v>0.71617281383602471</v>
      </c>
      <c r="BT117" s="140">
        <f t="shared" si="173"/>
        <v>0.70745652003122694</v>
      </c>
      <c r="BU117" s="140">
        <f t="shared" si="173"/>
        <v>0.69863610598019588</v>
      </c>
      <c r="BV117" s="140">
        <f t="shared" si="173"/>
        <v>0.68991111666815053</v>
      </c>
      <c r="BW117" s="140">
        <f t="shared" si="173"/>
        <v>0.68113984438916697</v>
      </c>
      <c r="BX117" s="140">
        <f t="shared" si="173"/>
        <v>0.6724240746829685</v>
      </c>
      <c r="BY117" s="140">
        <f t="shared" si="173"/>
        <v>0.66362205558631926</v>
      </c>
      <c r="BZ117" s="140">
        <f t="shared" si="173"/>
        <v>0.65493238067160808</v>
      </c>
      <c r="CA117" s="140">
        <f t="shared" si="173"/>
        <v>0.64616486299060838</v>
      </c>
      <c r="CB117" s="140">
        <f>EXP(-CB116*CB115)</f>
        <v>0.63751706024966126</v>
      </c>
      <c r="CC117" s="17"/>
      <c r="CD117" s="17"/>
      <c r="CE117" s="17"/>
    </row>
    <row r="118" spans="1:83">
      <c r="A118" s="17"/>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17"/>
      <c r="CD118" s="17"/>
      <c r="CE118" s="17"/>
    </row>
    <row r="119" spans="1:83">
      <c r="A119" s="16" t="s">
        <v>40</v>
      </c>
      <c r="B119" s="140">
        <f t="shared" ref="B119:BM119" si="174">DAYS360($B$3,B44)</f>
        <v>78</v>
      </c>
      <c r="C119" s="140">
        <f t="shared" si="174"/>
        <v>258</v>
      </c>
      <c r="D119" s="140">
        <f t="shared" si="174"/>
        <v>437</v>
      </c>
      <c r="E119" s="140">
        <f t="shared" si="174"/>
        <v>618</v>
      </c>
      <c r="F119" s="140">
        <f t="shared" si="174"/>
        <v>797</v>
      </c>
      <c r="G119" s="140">
        <f t="shared" si="174"/>
        <v>978</v>
      </c>
      <c r="H119" s="140">
        <f t="shared" si="174"/>
        <v>1157</v>
      </c>
      <c r="I119" s="140">
        <f t="shared" si="174"/>
        <v>1338</v>
      </c>
      <c r="J119" s="140">
        <f t="shared" si="174"/>
        <v>1517</v>
      </c>
      <c r="K119" s="140">
        <f t="shared" si="174"/>
        <v>1697</v>
      </c>
      <c r="L119" s="140">
        <f t="shared" si="174"/>
        <v>1876</v>
      </c>
      <c r="M119" s="140">
        <f t="shared" si="174"/>
        <v>2057</v>
      </c>
      <c r="N119" s="140">
        <f t="shared" si="174"/>
        <v>2236</v>
      </c>
      <c r="O119" s="140">
        <f t="shared" si="174"/>
        <v>2417</v>
      </c>
      <c r="P119" s="140">
        <f t="shared" si="174"/>
        <v>2596</v>
      </c>
      <c r="Q119" s="140">
        <f t="shared" si="174"/>
        <v>2777</v>
      </c>
      <c r="R119" s="140">
        <f t="shared" si="174"/>
        <v>2956</v>
      </c>
      <c r="S119" s="140">
        <f t="shared" si="174"/>
        <v>3136</v>
      </c>
      <c r="T119" s="140">
        <f t="shared" si="174"/>
        <v>3315</v>
      </c>
      <c r="U119" s="140">
        <f t="shared" si="174"/>
        <v>3496</v>
      </c>
      <c r="V119" s="140">
        <f t="shared" si="174"/>
        <v>3675</v>
      </c>
      <c r="W119" s="140">
        <f t="shared" si="174"/>
        <v>3856</v>
      </c>
      <c r="X119" s="140">
        <f t="shared" si="174"/>
        <v>4035</v>
      </c>
      <c r="Y119" s="140">
        <f t="shared" si="174"/>
        <v>4216</v>
      </c>
      <c r="Z119" s="140">
        <f t="shared" si="174"/>
        <v>4395</v>
      </c>
      <c r="AA119" s="140">
        <f t="shared" si="174"/>
        <v>4575</v>
      </c>
      <c r="AB119" s="140">
        <f t="shared" si="174"/>
        <v>4754</v>
      </c>
      <c r="AC119" s="140">
        <f t="shared" si="174"/>
        <v>4935</v>
      </c>
      <c r="AD119" s="140">
        <f t="shared" si="174"/>
        <v>5114</v>
      </c>
      <c r="AE119" s="140">
        <f t="shared" si="174"/>
        <v>5295</v>
      </c>
      <c r="AF119" s="140">
        <f t="shared" si="174"/>
        <v>5474</v>
      </c>
      <c r="AG119" s="140">
        <f t="shared" si="174"/>
        <v>5655</v>
      </c>
      <c r="AH119" s="140">
        <f t="shared" si="174"/>
        <v>5834</v>
      </c>
      <c r="AI119" s="140">
        <f t="shared" si="174"/>
        <v>6014</v>
      </c>
      <c r="AJ119" s="140">
        <f t="shared" si="174"/>
        <v>6193</v>
      </c>
      <c r="AK119" s="140">
        <f t="shared" si="174"/>
        <v>6374</v>
      </c>
      <c r="AL119" s="140">
        <f t="shared" si="174"/>
        <v>6553</v>
      </c>
      <c r="AM119" s="140">
        <f t="shared" si="174"/>
        <v>6734</v>
      </c>
      <c r="AN119" s="140">
        <f t="shared" si="174"/>
        <v>6913</v>
      </c>
      <c r="AO119" s="140">
        <f t="shared" si="174"/>
        <v>7094</v>
      </c>
      <c r="AP119" s="140">
        <f t="shared" si="174"/>
        <v>7273</v>
      </c>
      <c r="AQ119" s="140">
        <f t="shared" si="174"/>
        <v>7453</v>
      </c>
      <c r="AR119" s="140">
        <f t="shared" si="174"/>
        <v>7632</v>
      </c>
      <c r="AS119" s="140">
        <f t="shared" si="174"/>
        <v>7813</v>
      </c>
      <c r="AT119" s="140">
        <f t="shared" si="174"/>
        <v>7992</v>
      </c>
      <c r="AU119" s="140">
        <f t="shared" si="174"/>
        <v>8173</v>
      </c>
      <c r="AV119" s="140">
        <f t="shared" si="174"/>
        <v>8352</v>
      </c>
      <c r="AW119" s="140">
        <f t="shared" si="174"/>
        <v>8533</v>
      </c>
      <c r="AX119" s="140">
        <f t="shared" si="174"/>
        <v>8712</v>
      </c>
      <c r="AY119" s="140">
        <f t="shared" si="174"/>
        <v>8892</v>
      </c>
      <c r="AZ119" s="140">
        <f t="shared" si="174"/>
        <v>9071</v>
      </c>
      <c r="BA119" s="140">
        <f t="shared" si="174"/>
        <v>9252</v>
      </c>
      <c r="BB119" s="140">
        <f t="shared" si="174"/>
        <v>9431</v>
      </c>
      <c r="BC119" s="140">
        <f t="shared" si="174"/>
        <v>9612</v>
      </c>
      <c r="BD119" s="140">
        <f t="shared" si="174"/>
        <v>9791</v>
      </c>
      <c r="BE119" s="140">
        <f t="shared" si="174"/>
        <v>9972</v>
      </c>
      <c r="BF119" s="140">
        <f t="shared" si="174"/>
        <v>10151</v>
      </c>
      <c r="BG119" s="140">
        <f t="shared" si="174"/>
        <v>10331</v>
      </c>
      <c r="BH119" s="140">
        <f t="shared" si="174"/>
        <v>10510</v>
      </c>
      <c r="BI119" s="140">
        <f t="shared" si="174"/>
        <v>10691</v>
      </c>
      <c r="BJ119" s="140">
        <f t="shared" si="174"/>
        <v>10870</v>
      </c>
      <c r="BK119" s="140">
        <f t="shared" si="174"/>
        <v>11051</v>
      </c>
      <c r="BL119" s="140">
        <f t="shared" si="174"/>
        <v>11230</v>
      </c>
      <c r="BM119" s="140">
        <f t="shared" si="174"/>
        <v>11411</v>
      </c>
      <c r="BN119" s="140">
        <f t="shared" ref="BN119:CB119" si="175">DAYS360($B$3,BN44)</f>
        <v>11590</v>
      </c>
      <c r="BO119" s="140">
        <f t="shared" si="175"/>
        <v>11770</v>
      </c>
      <c r="BP119" s="140">
        <f t="shared" si="175"/>
        <v>11949</v>
      </c>
      <c r="BQ119" s="140">
        <f t="shared" si="175"/>
        <v>12130</v>
      </c>
      <c r="BR119" s="140">
        <f t="shared" si="175"/>
        <v>12309</v>
      </c>
      <c r="BS119" s="140">
        <f t="shared" si="175"/>
        <v>12490</v>
      </c>
      <c r="BT119" s="140">
        <f t="shared" si="175"/>
        <v>12669</v>
      </c>
      <c r="BU119" s="140">
        <f t="shared" si="175"/>
        <v>12850</v>
      </c>
      <c r="BV119" s="140">
        <f t="shared" si="175"/>
        <v>13029</v>
      </c>
      <c r="BW119" s="140">
        <f t="shared" si="175"/>
        <v>13209</v>
      </c>
      <c r="BX119" s="140">
        <f t="shared" si="175"/>
        <v>13388</v>
      </c>
      <c r="BY119" s="140">
        <f t="shared" si="175"/>
        <v>13569</v>
      </c>
      <c r="BZ119" s="140">
        <f t="shared" si="175"/>
        <v>13748</v>
      </c>
      <c r="CA119" s="140">
        <f t="shared" si="175"/>
        <v>13929</v>
      </c>
      <c r="CB119" s="140">
        <f t="shared" si="175"/>
        <v>14108</v>
      </c>
      <c r="CC119" s="17"/>
      <c r="CD119" s="17"/>
      <c r="CE119" s="17"/>
    </row>
    <row r="120" spans="1:83">
      <c r="A120" s="16" t="s">
        <v>41</v>
      </c>
      <c r="B120" s="140">
        <f>B119/360</f>
        <v>0.21666666666666667</v>
      </c>
      <c r="C120" s="140">
        <f t="shared" ref="C120:BN120" si="176">C119/360</f>
        <v>0.71666666666666667</v>
      </c>
      <c r="D120" s="140">
        <f t="shared" si="176"/>
        <v>1.2138888888888888</v>
      </c>
      <c r="E120" s="140">
        <f t="shared" si="176"/>
        <v>1.7166666666666666</v>
      </c>
      <c r="F120" s="140">
        <f t="shared" si="176"/>
        <v>2.213888888888889</v>
      </c>
      <c r="G120" s="140">
        <f t="shared" si="176"/>
        <v>2.7166666666666668</v>
      </c>
      <c r="H120" s="140">
        <f t="shared" si="176"/>
        <v>3.213888888888889</v>
      </c>
      <c r="I120" s="140">
        <f t="shared" si="176"/>
        <v>3.7166666666666668</v>
      </c>
      <c r="J120" s="140">
        <f t="shared" si="176"/>
        <v>4.2138888888888886</v>
      </c>
      <c r="K120" s="140">
        <f t="shared" si="176"/>
        <v>4.7138888888888886</v>
      </c>
      <c r="L120" s="140">
        <f t="shared" si="176"/>
        <v>5.2111111111111112</v>
      </c>
      <c r="M120" s="140">
        <f t="shared" si="176"/>
        <v>5.7138888888888886</v>
      </c>
      <c r="N120" s="140">
        <f t="shared" si="176"/>
        <v>6.2111111111111112</v>
      </c>
      <c r="O120" s="140">
        <f t="shared" si="176"/>
        <v>6.7138888888888886</v>
      </c>
      <c r="P120" s="140">
        <f t="shared" si="176"/>
        <v>7.2111111111111112</v>
      </c>
      <c r="Q120" s="140">
        <f t="shared" si="176"/>
        <v>7.7138888888888886</v>
      </c>
      <c r="R120" s="140">
        <f t="shared" si="176"/>
        <v>8.2111111111111104</v>
      </c>
      <c r="S120" s="140">
        <f t="shared" si="176"/>
        <v>8.7111111111111104</v>
      </c>
      <c r="T120" s="140">
        <f t="shared" si="176"/>
        <v>9.2083333333333339</v>
      </c>
      <c r="U120" s="140">
        <f t="shared" si="176"/>
        <v>9.7111111111111104</v>
      </c>
      <c r="V120" s="140">
        <f t="shared" si="176"/>
        <v>10.208333333333334</v>
      </c>
      <c r="W120" s="140">
        <f t="shared" si="176"/>
        <v>10.71111111111111</v>
      </c>
      <c r="X120" s="140">
        <f t="shared" si="176"/>
        <v>11.208333333333334</v>
      </c>
      <c r="Y120" s="140">
        <f t="shared" si="176"/>
        <v>11.71111111111111</v>
      </c>
      <c r="Z120" s="140">
        <f t="shared" si="176"/>
        <v>12.208333333333334</v>
      </c>
      <c r="AA120" s="140">
        <f t="shared" si="176"/>
        <v>12.708333333333334</v>
      </c>
      <c r="AB120" s="140">
        <f t="shared" si="176"/>
        <v>13.205555555555556</v>
      </c>
      <c r="AC120" s="140">
        <f t="shared" si="176"/>
        <v>13.708333333333334</v>
      </c>
      <c r="AD120" s="140">
        <f t="shared" si="176"/>
        <v>14.205555555555556</v>
      </c>
      <c r="AE120" s="140">
        <f t="shared" si="176"/>
        <v>14.708333333333334</v>
      </c>
      <c r="AF120" s="140">
        <f t="shared" si="176"/>
        <v>15.205555555555556</v>
      </c>
      <c r="AG120" s="140">
        <f t="shared" si="176"/>
        <v>15.708333333333334</v>
      </c>
      <c r="AH120" s="140">
        <f t="shared" si="176"/>
        <v>16.205555555555556</v>
      </c>
      <c r="AI120" s="140">
        <f t="shared" si="176"/>
        <v>16.705555555555556</v>
      </c>
      <c r="AJ120" s="140">
        <f t="shared" si="176"/>
        <v>17.202777777777779</v>
      </c>
      <c r="AK120" s="140">
        <f t="shared" si="176"/>
        <v>17.705555555555556</v>
      </c>
      <c r="AL120" s="140">
        <f t="shared" si="176"/>
        <v>18.202777777777779</v>
      </c>
      <c r="AM120" s="140">
        <f t="shared" si="176"/>
        <v>18.705555555555556</v>
      </c>
      <c r="AN120" s="140">
        <f t="shared" si="176"/>
        <v>19.202777777777779</v>
      </c>
      <c r="AO120" s="140">
        <f t="shared" si="176"/>
        <v>19.705555555555556</v>
      </c>
      <c r="AP120" s="140">
        <f t="shared" si="176"/>
        <v>20.202777777777779</v>
      </c>
      <c r="AQ120" s="140">
        <f t="shared" si="176"/>
        <v>20.702777777777779</v>
      </c>
      <c r="AR120" s="140">
        <f t="shared" si="176"/>
        <v>21.2</v>
      </c>
      <c r="AS120" s="140">
        <f t="shared" si="176"/>
        <v>21.702777777777779</v>
      </c>
      <c r="AT120" s="140">
        <f t="shared" si="176"/>
        <v>22.2</v>
      </c>
      <c r="AU120" s="140">
        <f t="shared" si="176"/>
        <v>22.702777777777779</v>
      </c>
      <c r="AV120" s="140">
        <f t="shared" si="176"/>
        <v>23.2</v>
      </c>
      <c r="AW120" s="140">
        <f t="shared" si="176"/>
        <v>23.702777777777779</v>
      </c>
      <c r="AX120" s="140">
        <f t="shared" si="176"/>
        <v>24.2</v>
      </c>
      <c r="AY120" s="140">
        <f t="shared" si="176"/>
        <v>24.7</v>
      </c>
      <c r="AZ120" s="140">
        <f t="shared" si="176"/>
        <v>25.197222222222223</v>
      </c>
      <c r="BA120" s="140">
        <f t="shared" si="176"/>
        <v>25.7</v>
      </c>
      <c r="BB120" s="140">
        <f t="shared" si="176"/>
        <v>26.197222222222223</v>
      </c>
      <c r="BC120" s="140">
        <f t="shared" si="176"/>
        <v>26.7</v>
      </c>
      <c r="BD120" s="140">
        <f t="shared" si="176"/>
        <v>27.197222222222223</v>
      </c>
      <c r="BE120" s="140">
        <f t="shared" si="176"/>
        <v>27.7</v>
      </c>
      <c r="BF120" s="140">
        <f t="shared" si="176"/>
        <v>28.197222222222223</v>
      </c>
      <c r="BG120" s="140">
        <f t="shared" si="176"/>
        <v>28.697222222222223</v>
      </c>
      <c r="BH120" s="140">
        <f t="shared" si="176"/>
        <v>29.194444444444443</v>
      </c>
      <c r="BI120" s="140">
        <f t="shared" si="176"/>
        <v>29.697222222222223</v>
      </c>
      <c r="BJ120" s="140">
        <f t="shared" si="176"/>
        <v>30.194444444444443</v>
      </c>
      <c r="BK120" s="140">
        <f t="shared" si="176"/>
        <v>30.697222222222223</v>
      </c>
      <c r="BL120" s="140">
        <f t="shared" si="176"/>
        <v>31.194444444444443</v>
      </c>
      <c r="BM120" s="140">
        <f t="shared" si="176"/>
        <v>31.697222222222223</v>
      </c>
      <c r="BN120" s="140">
        <f t="shared" si="176"/>
        <v>32.194444444444443</v>
      </c>
      <c r="BO120" s="140">
        <f t="shared" ref="BO120:CB120" si="177">BO119/360</f>
        <v>32.694444444444443</v>
      </c>
      <c r="BP120" s="140">
        <f t="shared" si="177"/>
        <v>33.19166666666667</v>
      </c>
      <c r="BQ120" s="140">
        <f t="shared" si="177"/>
        <v>33.694444444444443</v>
      </c>
      <c r="BR120" s="140">
        <f t="shared" si="177"/>
        <v>34.19166666666667</v>
      </c>
      <c r="BS120" s="140">
        <f t="shared" si="177"/>
        <v>34.694444444444443</v>
      </c>
      <c r="BT120" s="140">
        <f t="shared" si="177"/>
        <v>35.19166666666667</v>
      </c>
      <c r="BU120" s="140">
        <f t="shared" si="177"/>
        <v>35.694444444444443</v>
      </c>
      <c r="BV120" s="140">
        <f t="shared" si="177"/>
        <v>36.19166666666667</v>
      </c>
      <c r="BW120" s="140">
        <f t="shared" si="177"/>
        <v>36.69166666666667</v>
      </c>
      <c r="BX120" s="140">
        <f t="shared" si="177"/>
        <v>37.18888888888889</v>
      </c>
      <c r="BY120" s="140">
        <f t="shared" si="177"/>
        <v>37.69166666666667</v>
      </c>
      <c r="BZ120" s="140">
        <f t="shared" si="177"/>
        <v>38.18888888888889</v>
      </c>
      <c r="CA120" s="140">
        <f t="shared" si="177"/>
        <v>38.69166666666667</v>
      </c>
      <c r="CB120" s="140">
        <f t="shared" si="177"/>
        <v>39.18888888888889</v>
      </c>
      <c r="CC120" s="17"/>
      <c r="CD120" s="17"/>
      <c r="CE120" s="17"/>
    </row>
    <row r="121" spans="1:83">
      <c r="A121" s="16" t="s">
        <v>43</v>
      </c>
      <c r="B121" s="140">
        <f>IF(B119&lt;0,0,$B$5+$B$6*((1-EXP(-B120/$B$9))/(B120/$B$9))+$B$7*((1-EXP(-B120/$B$9))/(B120/$B$9)-EXP(-B120/$B$9))+$B$8*((1-EXP(-B120/$B$10))/(B120/$B$10)-EXP(-B120/$B$10)))</f>
        <v>-1.2953087605009255E-3</v>
      </c>
      <c r="C121" s="140">
        <f t="shared" ref="C121:BN121" si="178">IF(C119&lt;0,0,$B$5+$B$6*((1-EXP(-C120/$B$9))/(C120/$B$9))+$B$7*((1-EXP(-C120/$B$9))/(C120/$B$9)-EXP(-C120/$B$9))+$B$8*((1-EXP(-C120/$B$10))/(C120/$B$10)-EXP(-C120/$B$10)))</f>
        <v>-1.6211020717589761E-3</v>
      </c>
      <c r="D121" s="140">
        <f t="shared" si="178"/>
        <v>-1.8907404753556243E-3</v>
      </c>
      <c r="E121" s="140">
        <f t="shared" si="178"/>
        <v>-2.1133570255532841E-3</v>
      </c>
      <c r="F121" s="140">
        <f t="shared" si="178"/>
        <v>-2.2885813676479958E-3</v>
      </c>
      <c r="G121" s="140">
        <f t="shared" si="178"/>
        <v>-2.4245255383396336E-3</v>
      </c>
      <c r="H121" s="140">
        <f t="shared" si="178"/>
        <v>-2.5219433672471411E-3</v>
      </c>
      <c r="I121" s="140">
        <f t="shared" si="178"/>
        <v>-2.5864789715029251E-3</v>
      </c>
      <c r="J121" s="140">
        <f t="shared" si="178"/>
        <v>-2.619811814654822E-3</v>
      </c>
      <c r="K121" s="140">
        <f t="shared" si="178"/>
        <v>-2.6255932587518314E-3</v>
      </c>
      <c r="L121" s="140">
        <f t="shared" si="178"/>
        <v>-2.606315477071719E-3</v>
      </c>
      <c r="M121" s="140">
        <f t="shared" si="178"/>
        <v>-2.5638115820094342E-3</v>
      </c>
      <c r="N121" s="140">
        <f t="shared" si="178"/>
        <v>-2.5011459400013677E-3</v>
      </c>
      <c r="O121" s="140">
        <f t="shared" si="178"/>
        <v>-2.4188802442816266E-3</v>
      </c>
      <c r="P121" s="140">
        <f t="shared" si="178"/>
        <v>-2.32059144502871E-3</v>
      </c>
      <c r="Q121" s="140">
        <f t="shared" si="178"/>
        <v>-2.2057077052865834E-3</v>
      </c>
      <c r="R121" s="140">
        <f t="shared" si="178"/>
        <v>-2.0782248134192239E-3</v>
      </c>
      <c r="S121" s="140">
        <f t="shared" si="178"/>
        <v>-1.937455111028781E-3</v>
      </c>
      <c r="T121" s="140">
        <f t="shared" si="178"/>
        <v>-1.7861651899361251E-3</v>
      </c>
      <c r="U121" s="140">
        <f t="shared" si="178"/>
        <v>-1.6228393128709523E-3</v>
      </c>
      <c r="V121" s="140">
        <f t="shared" si="178"/>
        <v>-1.4520895707154846E-3</v>
      </c>
      <c r="W121" s="140">
        <f t="shared" si="178"/>
        <v>-1.2710276765101275E-3</v>
      </c>
      <c r="X121" s="140">
        <f t="shared" si="178"/>
        <v>-1.0844878620862738E-3</v>
      </c>
      <c r="Y121" s="140">
        <f t="shared" si="178"/>
        <v>-8.8907237510513909E-4</v>
      </c>
      <c r="Z121" s="140">
        <f t="shared" si="178"/>
        <v>-6.8979241604256092E-4</v>
      </c>
      <c r="AA121" s="140">
        <f t="shared" si="178"/>
        <v>-4.8399353067291604E-4</v>
      </c>
      <c r="AB121" s="140">
        <f t="shared" si="178"/>
        <v>-2.7453660173468826E-4</v>
      </c>
      <c r="AC121" s="140">
        <f t="shared" si="178"/>
        <v>-5.840448880103195E-5</v>
      </c>
      <c r="AD121" s="140">
        <f t="shared" si="178"/>
        <v>1.591452092160198E-4</v>
      </c>
      <c r="AE121" s="140">
        <f t="shared" si="178"/>
        <v>3.8252769955380043E-4</v>
      </c>
      <c r="AF121" s="140">
        <f t="shared" si="178"/>
        <v>6.0640445736763081E-4</v>
      </c>
      <c r="AG121" s="140">
        <f t="shared" si="178"/>
        <v>8.354053123539925E-4</v>
      </c>
      <c r="AH121" s="140">
        <f t="shared" si="178"/>
        <v>1.0641332498144518E-3</v>
      </c>
      <c r="AI121" s="140">
        <f t="shared" si="178"/>
        <v>1.2960935813129625E-3</v>
      </c>
      <c r="AJ121" s="140">
        <f t="shared" si="178"/>
        <v>1.5284284269690561E-3</v>
      </c>
      <c r="AK121" s="140">
        <f t="shared" si="178"/>
        <v>1.7647840411522597E-3</v>
      </c>
      <c r="AL121" s="140">
        <f t="shared" si="178"/>
        <v>1.9997003898327864E-3</v>
      </c>
      <c r="AM121" s="140">
        <f t="shared" si="178"/>
        <v>2.2382067085522954E-3</v>
      </c>
      <c r="AN121" s="140">
        <f t="shared" si="178"/>
        <v>2.4748330141953086E-3</v>
      </c>
      <c r="AO121" s="140">
        <f t="shared" si="178"/>
        <v>2.7146815483065972E-3</v>
      </c>
      <c r="AP121" s="140">
        <f t="shared" si="178"/>
        <v>2.9522839540059758E-3</v>
      </c>
      <c r="AQ121" s="140">
        <f t="shared" si="178"/>
        <v>3.1914640725477675E-3</v>
      </c>
      <c r="AR121" s="140">
        <f t="shared" si="178"/>
        <v>3.4294232329004698E-3</v>
      </c>
      <c r="AS121" s="140">
        <f t="shared" si="178"/>
        <v>3.6700183922689254E-3</v>
      </c>
      <c r="AT121" s="140">
        <f t="shared" si="178"/>
        <v>3.9078125540848718E-3</v>
      </c>
      <c r="AU121" s="140">
        <f t="shared" si="178"/>
        <v>4.1480074750510805E-3</v>
      </c>
      <c r="AV121" s="140">
        <f t="shared" si="178"/>
        <v>4.3851932931745939E-3</v>
      </c>
      <c r="AW121" s="140">
        <f t="shared" si="178"/>
        <v>4.624575179290354E-3</v>
      </c>
      <c r="AX121" s="140">
        <f t="shared" si="178"/>
        <v>4.8607766048596665E-3</v>
      </c>
      <c r="AY121" s="140">
        <f t="shared" si="178"/>
        <v>5.0976807868356811E-3</v>
      </c>
      <c r="AZ121" s="140">
        <f t="shared" si="178"/>
        <v>5.332582406261617E-3</v>
      </c>
      <c r="BA121" s="140">
        <f t="shared" si="178"/>
        <v>5.569344013418397E-3</v>
      </c>
      <c r="BB121" s="140">
        <f t="shared" si="178"/>
        <v>5.8026708506391678E-3</v>
      </c>
      <c r="BC121" s="140">
        <f t="shared" si="178"/>
        <v>6.0377184411058351E-3</v>
      </c>
      <c r="BD121" s="140">
        <f t="shared" si="178"/>
        <v>6.2692391940447371E-3</v>
      </c>
      <c r="BE121" s="140">
        <f t="shared" si="178"/>
        <v>6.502356967235271E-3</v>
      </c>
      <c r="BF121" s="140">
        <f t="shared" si="178"/>
        <v>6.7318747256802343E-3</v>
      </c>
      <c r="BG121" s="140">
        <f t="shared" si="178"/>
        <v>6.9616057681954014E-3</v>
      </c>
      <c r="BH121" s="140">
        <f t="shared" si="178"/>
        <v>7.1889591956298959E-3</v>
      </c>
      <c r="BI121" s="140">
        <f t="shared" si="178"/>
        <v>7.417700178721222E-3</v>
      </c>
      <c r="BJ121" s="140">
        <f t="shared" si="178"/>
        <v>7.642740952925468E-3</v>
      </c>
      <c r="BK121" s="140">
        <f t="shared" si="178"/>
        <v>7.8690797902528989E-3</v>
      </c>
      <c r="BL121" s="140">
        <f t="shared" si="178"/>
        <v>8.0916870148342607E-3</v>
      </c>
      <c r="BM121" s="140">
        <f t="shared" si="178"/>
        <v>8.3155112391355927E-3</v>
      </c>
      <c r="BN121" s="140">
        <f t="shared" si="178"/>
        <v>8.5355826895841588E-3</v>
      </c>
      <c r="BO121" s="140">
        <f t="shared" ref="BO121:CB121" si="179">IF(BO119&lt;0,0,$B$5+$B$6*((1-EXP(-BO120/$B$9))/(BO120/$B$9))+$B$7*((1-EXP(-BO120/$B$9))/(BO120/$B$9)-EXP(-BO120/$B$9))+$B$8*((1-EXP(-BO120/$B$10))/(BO120/$B$10)-EXP(-BO120/$B$10)))</f>
        <v>8.7555789005119081E-3</v>
      </c>
      <c r="BP121" s="140">
        <f t="shared" si="179"/>
        <v>8.9730359393047909E-3</v>
      </c>
      <c r="BQ121" s="140">
        <f t="shared" si="179"/>
        <v>9.1915691125536315E-3</v>
      </c>
      <c r="BR121" s="140">
        <f t="shared" si="179"/>
        <v>9.4063326216226196E-3</v>
      </c>
      <c r="BS121" s="140">
        <f t="shared" si="179"/>
        <v>9.6221105823596012E-3</v>
      </c>
      <c r="BT121" s="140">
        <f t="shared" si="179"/>
        <v>9.8341209701012615E-3</v>
      </c>
      <c r="BU121" s="140">
        <f t="shared" si="179"/>
        <v>1.004708912516427E-2</v>
      </c>
      <c r="BV121" s="140">
        <f t="shared" si="179"/>
        <v>1.0256297659074837E-2</v>
      </c>
      <c r="BW121" s="140">
        <f t="shared" si="179"/>
        <v>1.0465254845925611E-2</v>
      </c>
      <c r="BX121" s="140">
        <f t="shared" si="179"/>
        <v>1.0671630313162908E-2</v>
      </c>
      <c r="BY121" s="140">
        <f t="shared" si="179"/>
        <v>1.0878863186872152E-2</v>
      </c>
      <c r="BZ121" s="140">
        <f t="shared" si="179"/>
        <v>1.1082367060306148E-2</v>
      </c>
      <c r="CA121" s="140">
        <f t="shared" si="179"/>
        <v>1.1286683658613784E-2</v>
      </c>
      <c r="CB121" s="140">
        <f t="shared" si="179"/>
        <v>1.1487292798937379E-2</v>
      </c>
      <c r="CC121" s="17"/>
      <c r="CD121" s="17"/>
      <c r="CE121" s="17"/>
    </row>
    <row r="122" spans="1:83">
      <c r="A122" s="16" t="s">
        <v>44</v>
      </c>
      <c r="B122" s="140">
        <f>EXP(-B121*B120)</f>
        <v>1.0002806896174026</v>
      </c>
      <c r="C122" s="140">
        <f t="shared" ref="C122:AR122" si="180">EXP(-C121*C120)</f>
        <v>1.0011624649573159</v>
      </c>
      <c r="D122" s="140">
        <f t="shared" si="180"/>
        <v>1.0022977847251253</v>
      </c>
      <c r="E122" s="140">
        <f t="shared" si="180"/>
        <v>1.0036345184625959</v>
      </c>
      <c r="F122" s="140">
        <f t="shared" si="180"/>
        <v>1.0050795221128521</v>
      </c>
      <c r="G122" s="140">
        <f t="shared" si="180"/>
        <v>1.0066083672486681</v>
      </c>
      <c r="H122" s="140">
        <f t="shared" si="180"/>
        <v>1.0081381821966866</v>
      </c>
      <c r="I122" s="140">
        <f t="shared" si="180"/>
        <v>1.0096594342487364</v>
      </c>
      <c r="J122" s="140">
        <f t="shared" si="180"/>
        <v>1.0111007570932959</v>
      </c>
      <c r="K122" s="140">
        <f t="shared" si="180"/>
        <v>1.0124536638870441</v>
      </c>
      <c r="L122" s="140">
        <f t="shared" si="180"/>
        <v>1.0136744511644336</v>
      </c>
      <c r="M122" s="140">
        <f t="shared" si="180"/>
        <v>1.0147571619022298</v>
      </c>
      <c r="N122" s="140">
        <f t="shared" si="180"/>
        <v>1.0156561891064142</v>
      </c>
      <c r="O122" s="140">
        <f t="shared" si="180"/>
        <v>1.016372680278933</v>
      </c>
      <c r="P122" s="140">
        <f t="shared" si="180"/>
        <v>1.0168748411259341</v>
      </c>
      <c r="Q122" s="140">
        <f t="shared" si="180"/>
        <v>1.0171601566434834</v>
      </c>
      <c r="R122" s="140">
        <f t="shared" si="180"/>
        <v>1.0172109657711386</v>
      </c>
      <c r="S122" s="140">
        <f t="shared" si="180"/>
        <v>1.0170206144719978</v>
      </c>
      <c r="T122" s="140">
        <f t="shared" si="180"/>
        <v>1.0165836109406552</v>
      </c>
      <c r="U122" s="140">
        <f t="shared" si="180"/>
        <v>1.0158844098819337</v>
      </c>
      <c r="V122" s="140">
        <f t="shared" si="180"/>
        <v>1.0149338260593113</v>
      </c>
      <c r="W122" s="140">
        <f t="shared" si="180"/>
        <v>1.0137072127669327</v>
      </c>
      <c r="X122" s="140">
        <f t="shared" si="180"/>
        <v>1.0122294773697971</v>
      </c>
      <c r="Y122" s="140">
        <f t="shared" si="180"/>
        <v>1.0104664191259742</v>
      </c>
      <c r="Z122" s="140">
        <f t="shared" si="180"/>
        <v>1.0084567739274592</v>
      </c>
      <c r="AA122" s="140">
        <f t="shared" si="180"/>
        <v>1.0061697058306094</v>
      </c>
      <c r="AB122" s="140">
        <f t="shared" si="180"/>
        <v>1.0036319880880935</v>
      </c>
      <c r="AC122" s="140">
        <f t="shared" si="180"/>
        <v>1.0008009487889569</v>
      </c>
      <c r="AD122" s="140">
        <f t="shared" si="180"/>
        <v>0.99774180745088958</v>
      </c>
      <c r="AE122" s="140">
        <f t="shared" si="180"/>
        <v>0.99438945332161544</v>
      </c>
      <c r="AF122" s="140">
        <f t="shared" si="180"/>
        <v>0.99082166378287584</v>
      </c>
      <c r="AG122" s="140">
        <f t="shared" si="180"/>
        <v>0.98696290374326889</v>
      </c>
      <c r="AH122" s="140">
        <f t="shared" si="180"/>
        <v>0.98290297122388126</v>
      </c>
      <c r="AI122" s="140">
        <f t="shared" si="180"/>
        <v>0.97858075778096876</v>
      </c>
      <c r="AJ122" s="140">
        <f t="shared" si="180"/>
        <v>0.97404944223627543</v>
      </c>
      <c r="AK122" s="140">
        <f t="shared" si="180"/>
        <v>0.96923664435711854</v>
      </c>
      <c r="AL122" s="140">
        <f t="shared" si="180"/>
        <v>0.96425441634795117</v>
      </c>
      <c r="AM122" s="140">
        <f t="shared" si="180"/>
        <v>0.95899741469969213</v>
      </c>
      <c r="AN122" s="140">
        <f t="shared" si="180"/>
        <v>0.95358790295730833</v>
      </c>
      <c r="AO122" s="140">
        <f t="shared" si="180"/>
        <v>0.94791133643740499</v>
      </c>
      <c r="AP122" s="140">
        <f t="shared" si="180"/>
        <v>0.94209954427603582</v>
      </c>
      <c r="AQ122" s="140">
        <f t="shared" si="180"/>
        <v>0.93606330477989741</v>
      </c>
      <c r="AR122" s="140">
        <f t="shared" si="180"/>
        <v>0.92987624411141234</v>
      </c>
      <c r="AS122" s="140">
        <f>EXP(-AS121*AS120)</f>
        <v>0.92343986893405594</v>
      </c>
      <c r="AT122" s="140">
        <f t="shared" ref="AT122:CA122" si="181">EXP(-AT121*AT120)</f>
        <v>0.91690314059472922</v>
      </c>
      <c r="AU122" s="140">
        <f t="shared" si="181"/>
        <v>0.91012685150613659</v>
      </c>
      <c r="AV122" s="140">
        <f t="shared" si="181"/>
        <v>0.90326754539766474</v>
      </c>
      <c r="AW122" s="140">
        <f t="shared" si="181"/>
        <v>0.89617884888888255</v>
      </c>
      <c r="AX122" s="140">
        <f t="shared" si="181"/>
        <v>0.88902422525169189</v>
      </c>
      <c r="AY122" s="140">
        <f t="shared" si="181"/>
        <v>0.88169180151038606</v>
      </c>
      <c r="AZ122" s="140">
        <f t="shared" si="181"/>
        <v>0.87426979248323877</v>
      </c>
      <c r="BA122" s="140">
        <f t="shared" si="181"/>
        <v>0.86663954258750464</v>
      </c>
      <c r="BB122" s="140">
        <f t="shared" si="181"/>
        <v>0.85897637717308051</v>
      </c>
      <c r="BC122" s="140">
        <f t="shared" si="181"/>
        <v>0.85111580177286372</v>
      </c>
      <c r="BD122" s="140">
        <f t="shared" si="181"/>
        <v>0.84323812165575718</v>
      </c>
      <c r="BE122" s="140">
        <f t="shared" si="181"/>
        <v>0.83517392033618176</v>
      </c>
      <c r="BF122" s="140">
        <f t="shared" si="181"/>
        <v>0.82710786135166148</v>
      </c>
      <c r="BG122" s="140">
        <f t="shared" si="181"/>
        <v>0.81891191913741457</v>
      </c>
      <c r="BH122" s="140">
        <f t="shared" si="181"/>
        <v>0.81068341092773455</v>
      </c>
      <c r="BI122" s="140">
        <f t="shared" si="181"/>
        <v>0.80229004001856929</v>
      </c>
      <c r="BJ122" s="140">
        <f t="shared" si="181"/>
        <v>0.79392338319591482</v>
      </c>
      <c r="BK122" s="140">
        <f t="shared" si="181"/>
        <v>0.78540254928093312</v>
      </c>
      <c r="BL122" s="140">
        <f t="shared" si="181"/>
        <v>0.77692171930420584</v>
      </c>
      <c r="BM122" s="140">
        <f t="shared" si="181"/>
        <v>0.76829722603502426</v>
      </c>
      <c r="BN122" s="140">
        <f t="shared" si="181"/>
        <v>0.75972531193319315</v>
      </c>
      <c r="BO122" s="140">
        <f t="shared" si="181"/>
        <v>0.75106822339511059</v>
      </c>
      <c r="BP122" s="140">
        <f t="shared" si="181"/>
        <v>0.74242752842376181</v>
      </c>
      <c r="BQ122" s="140">
        <f t="shared" si="181"/>
        <v>0.73366349085326332</v>
      </c>
      <c r="BR122" s="140">
        <f t="shared" si="181"/>
        <v>0.72497494049863154</v>
      </c>
      <c r="BS122" s="140">
        <f t="shared" si="181"/>
        <v>0.71617281383602471</v>
      </c>
      <c r="BT122" s="140">
        <f t="shared" si="181"/>
        <v>0.70745652003122694</v>
      </c>
      <c r="BU122" s="140">
        <f t="shared" si="181"/>
        <v>0.69863610598019588</v>
      </c>
      <c r="BV122" s="140">
        <f t="shared" si="181"/>
        <v>0.68991111666815053</v>
      </c>
      <c r="BW122" s="140">
        <f t="shared" si="181"/>
        <v>0.68113984438916697</v>
      </c>
      <c r="BX122" s="140">
        <f t="shared" si="181"/>
        <v>0.6724240746829685</v>
      </c>
      <c r="BY122" s="140">
        <f t="shared" si="181"/>
        <v>0.66362205558631926</v>
      </c>
      <c r="BZ122" s="140">
        <f t="shared" si="181"/>
        <v>0.65493238067160808</v>
      </c>
      <c r="CA122" s="140">
        <f t="shared" si="181"/>
        <v>0.64616486299060838</v>
      </c>
      <c r="CB122" s="140">
        <f>EXP(-CB121*CB120)</f>
        <v>0.63751706024966126</v>
      </c>
      <c r="CC122" s="17"/>
      <c r="CD122" s="17"/>
      <c r="CE122" s="17"/>
    </row>
    <row r="123" spans="1:83">
      <c r="A123" s="17"/>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17"/>
      <c r="CD123" s="17"/>
      <c r="CE123" s="17"/>
    </row>
    <row r="124" spans="1:83">
      <c r="A124" s="16" t="s">
        <v>40</v>
      </c>
      <c r="B124" s="140">
        <f t="shared" ref="B124:BM124" si="182">DAYS360($B$3,B46)</f>
        <v>78</v>
      </c>
      <c r="C124" s="140">
        <f t="shared" si="182"/>
        <v>258</v>
      </c>
      <c r="D124" s="140">
        <f t="shared" si="182"/>
        <v>437</v>
      </c>
      <c r="E124" s="140">
        <f t="shared" si="182"/>
        <v>618</v>
      </c>
      <c r="F124" s="140">
        <f t="shared" si="182"/>
        <v>797</v>
      </c>
      <c r="G124" s="140">
        <f t="shared" si="182"/>
        <v>978</v>
      </c>
      <c r="H124" s="140">
        <f t="shared" si="182"/>
        <v>1157</v>
      </c>
      <c r="I124" s="140">
        <f t="shared" si="182"/>
        <v>1338</v>
      </c>
      <c r="J124" s="140">
        <f t="shared" si="182"/>
        <v>1517</v>
      </c>
      <c r="K124" s="140">
        <f t="shared" si="182"/>
        <v>1697</v>
      </c>
      <c r="L124" s="140">
        <f t="shared" si="182"/>
        <v>1876</v>
      </c>
      <c r="M124" s="140">
        <f t="shared" si="182"/>
        <v>2057</v>
      </c>
      <c r="N124" s="140">
        <f t="shared" si="182"/>
        <v>2236</v>
      </c>
      <c r="O124" s="140">
        <f t="shared" si="182"/>
        <v>2417</v>
      </c>
      <c r="P124" s="140">
        <f t="shared" si="182"/>
        <v>2596</v>
      </c>
      <c r="Q124" s="140">
        <f t="shared" si="182"/>
        <v>2777</v>
      </c>
      <c r="R124" s="140">
        <f t="shared" si="182"/>
        <v>2956</v>
      </c>
      <c r="S124" s="140">
        <f t="shared" si="182"/>
        <v>3136</v>
      </c>
      <c r="T124" s="140">
        <f t="shared" si="182"/>
        <v>3315</v>
      </c>
      <c r="U124" s="140">
        <f t="shared" si="182"/>
        <v>3496</v>
      </c>
      <c r="V124" s="140">
        <f t="shared" si="182"/>
        <v>3675</v>
      </c>
      <c r="W124" s="140">
        <f t="shared" si="182"/>
        <v>3856</v>
      </c>
      <c r="X124" s="140">
        <f t="shared" si="182"/>
        <v>4035</v>
      </c>
      <c r="Y124" s="140">
        <f t="shared" si="182"/>
        <v>4216</v>
      </c>
      <c r="Z124" s="140">
        <f t="shared" si="182"/>
        <v>4395</v>
      </c>
      <c r="AA124" s="140">
        <f t="shared" si="182"/>
        <v>4575</v>
      </c>
      <c r="AB124" s="140">
        <f t="shared" si="182"/>
        <v>4754</v>
      </c>
      <c r="AC124" s="140">
        <f t="shared" si="182"/>
        <v>4935</v>
      </c>
      <c r="AD124" s="140">
        <f t="shared" si="182"/>
        <v>5114</v>
      </c>
      <c r="AE124" s="140">
        <f t="shared" si="182"/>
        <v>5295</v>
      </c>
      <c r="AF124" s="140">
        <f t="shared" si="182"/>
        <v>5474</v>
      </c>
      <c r="AG124" s="140">
        <f t="shared" si="182"/>
        <v>5655</v>
      </c>
      <c r="AH124" s="140">
        <f t="shared" si="182"/>
        <v>5834</v>
      </c>
      <c r="AI124" s="140">
        <f t="shared" si="182"/>
        <v>6014</v>
      </c>
      <c r="AJ124" s="140">
        <f t="shared" si="182"/>
        <v>6193</v>
      </c>
      <c r="AK124" s="140">
        <f t="shared" si="182"/>
        <v>6374</v>
      </c>
      <c r="AL124" s="140">
        <f t="shared" si="182"/>
        <v>6553</v>
      </c>
      <c r="AM124" s="140">
        <f t="shared" si="182"/>
        <v>6734</v>
      </c>
      <c r="AN124" s="140">
        <f t="shared" si="182"/>
        <v>6913</v>
      </c>
      <c r="AO124" s="140">
        <f t="shared" si="182"/>
        <v>7094</v>
      </c>
      <c r="AP124" s="140">
        <f t="shared" si="182"/>
        <v>7273</v>
      </c>
      <c r="AQ124" s="140">
        <f t="shared" si="182"/>
        <v>7453</v>
      </c>
      <c r="AR124" s="140">
        <f t="shared" si="182"/>
        <v>7632</v>
      </c>
      <c r="AS124" s="140">
        <f t="shared" si="182"/>
        <v>7813</v>
      </c>
      <c r="AT124" s="140">
        <f t="shared" si="182"/>
        <v>7992</v>
      </c>
      <c r="AU124" s="140">
        <f t="shared" si="182"/>
        <v>8173</v>
      </c>
      <c r="AV124" s="140">
        <f t="shared" si="182"/>
        <v>8352</v>
      </c>
      <c r="AW124" s="140">
        <f t="shared" si="182"/>
        <v>8533</v>
      </c>
      <c r="AX124" s="140">
        <f t="shared" si="182"/>
        <v>8712</v>
      </c>
      <c r="AY124" s="140">
        <f t="shared" si="182"/>
        <v>8892</v>
      </c>
      <c r="AZ124" s="140">
        <f t="shared" si="182"/>
        <v>9071</v>
      </c>
      <c r="BA124" s="140">
        <f t="shared" si="182"/>
        <v>9252</v>
      </c>
      <c r="BB124" s="140">
        <f t="shared" si="182"/>
        <v>9431</v>
      </c>
      <c r="BC124" s="140">
        <f t="shared" si="182"/>
        <v>9612</v>
      </c>
      <c r="BD124" s="140">
        <f t="shared" si="182"/>
        <v>9791</v>
      </c>
      <c r="BE124" s="140">
        <f t="shared" si="182"/>
        <v>9972</v>
      </c>
      <c r="BF124" s="140">
        <f t="shared" si="182"/>
        <v>10151</v>
      </c>
      <c r="BG124" s="140">
        <f t="shared" si="182"/>
        <v>10331</v>
      </c>
      <c r="BH124" s="140">
        <f t="shared" si="182"/>
        <v>10510</v>
      </c>
      <c r="BI124" s="140">
        <f t="shared" si="182"/>
        <v>10691</v>
      </c>
      <c r="BJ124" s="140">
        <f t="shared" si="182"/>
        <v>10870</v>
      </c>
      <c r="BK124" s="140">
        <f t="shared" si="182"/>
        <v>11051</v>
      </c>
      <c r="BL124" s="140">
        <f t="shared" si="182"/>
        <v>11230</v>
      </c>
      <c r="BM124" s="140">
        <f t="shared" si="182"/>
        <v>11411</v>
      </c>
      <c r="BN124" s="140">
        <f t="shared" ref="BN124:CB124" si="183">DAYS360($B$3,BN46)</f>
        <v>11590</v>
      </c>
      <c r="BO124" s="140">
        <f t="shared" si="183"/>
        <v>11770</v>
      </c>
      <c r="BP124" s="140">
        <f t="shared" si="183"/>
        <v>11949</v>
      </c>
      <c r="BQ124" s="140">
        <f t="shared" si="183"/>
        <v>12130</v>
      </c>
      <c r="BR124" s="140">
        <f t="shared" si="183"/>
        <v>12309</v>
      </c>
      <c r="BS124" s="140">
        <f t="shared" si="183"/>
        <v>12490</v>
      </c>
      <c r="BT124" s="140">
        <f t="shared" si="183"/>
        <v>12669</v>
      </c>
      <c r="BU124" s="140">
        <f t="shared" si="183"/>
        <v>12850</v>
      </c>
      <c r="BV124" s="140">
        <f t="shared" si="183"/>
        <v>13029</v>
      </c>
      <c r="BW124" s="140">
        <f t="shared" si="183"/>
        <v>13209</v>
      </c>
      <c r="BX124" s="140">
        <f t="shared" si="183"/>
        <v>13388</v>
      </c>
      <c r="BY124" s="140">
        <f t="shared" si="183"/>
        <v>13569</v>
      </c>
      <c r="BZ124" s="140">
        <f t="shared" si="183"/>
        <v>13748</v>
      </c>
      <c r="CA124" s="140">
        <f t="shared" si="183"/>
        <v>13929</v>
      </c>
      <c r="CB124" s="140">
        <f t="shared" si="183"/>
        <v>14108</v>
      </c>
      <c r="CC124" s="17"/>
      <c r="CD124" s="17"/>
      <c r="CE124" s="17"/>
    </row>
    <row r="125" spans="1:83">
      <c r="A125" s="16" t="s">
        <v>41</v>
      </c>
      <c r="B125" s="140">
        <f>B124/360</f>
        <v>0.21666666666666667</v>
      </c>
      <c r="C125" s="140">
        <f t="shared" ref="C125:BN125" si="184">C124/360</f>
        <v>0.71666666666666667</v>
      </c>
      <c r="D125" s="140">
        <f t="shared" si="184"/>
        <v>1.2138888888888888</v>
      </c>
      <c r="E125" s="140">
        <f t="shared" si="184"/>
        <v>1.7166666666666666</v>
      </c>
      <c r="F125" s="140">
        <f t="shared" si="184"/>
        <v>2.213888888888889</v>
      </c>
      <c r="G125" s="140">
        <f t="shared" si="184"/>
        <v>2.7166666666666668</v>
      </c>
      <c r="H125" s="140">
        <f t="shared" si="184"/>
        <v>3.213888888888889</v>
      </c>
      <c r="I125" s="140">
        <f t="shared" si="184"/>
        <v>3.7166666666666668</v>
      </c>
      <c r="J125" s="140">
        <f t="shared" si="184"/>
        <v>4.2138888888888886</v>
      </c>
      <c r="K125" s="140">
        <f t="shared" si="184"/>
        <v>4.7138888888888886</v>
      </c>
      <c r="L125" s="140">
        <f t="shared" si="184"/>
        <v>5.2111111111111112</v>
      </c>
      <c r="M125" s="140">
        <f t="shared" si="184"/>
        <v>5.7138888888888886</v>
      </c>
      <c r="N125" s="140">
        <f t="shared" si="184"/>
        <v>6.2111111111111112</v>
      </c>
      <c r="O125" s="140">
        <f t="shared" si="184"/>
        <v>6.7138888888888886</v>
      </c>
      <c r="P125" s="140">
        <f t="shared" si="184"/>
        <v>7.2111111111111112</v>
      </c>
      <c r="Q125" s="140">
        <f t="shared" si="184"/>
        <v>7.7138888888888886</v>
      </c>
      <c r="R125" s="140">
        <f t="shared" si="184"/>
        <v>8.2111111111111104</v>
      </c>
      <c r="S125" s="140">
        <f t="shared" si="184"/>
        <v>8.7111111111111104</v>
      </c>
      <c r="T125" s="140">
        <f t="shared" si="184"/>
        <v>9.2083333333333339</v>
      </c>
      <c r="U125" s="140">
        <f t="shared" si="184"/>
        <v>9.7111111111111104</v>
      </c>
      <c r="V125" s="140">
        <f t="shared" si="184"/>
        <v>10.208333333333334</v>
      </c>
      <c r="W125" s="140">
        <f t="shared" si="184"/>
        <v>10.71111111111111</v>
      </c>
      <c r="X125" s="140">
        <f t="shared" si="184"/>
        <v>11.208333333333334</v>
      </c>
      <c r="Y125" s="140">
        <f t="shared" si="184"/>
        <v>11.71111111111111</v>
      </c>
      <c r="Z125" s="140">
        <f t="shared" si="184"/>
        <v>12.208333333333334</v>
      </c>
      <c r="AA125" s="140">
        <f t="shared" si="184"/>
        <v>12.708333333333334</v>
      </c>
      <c r="AB125" s="140">
        <f t="shared" si="184"/>
        <v>13.205555555555556</v>
      </c>
      <c r="AC125" s="140">
        <f t="shared" si="184"/>
        <v>13.708333333333334</v>
      </c>
      <c r="AD125" s="140">
        <f t="shared" si="184"/>
        <v>14.205555555555556</v>
      </c>
      <c r="AE125" s="140">
        <f t="shared" si="184"/>
        <v>14.708333333333334</v>
      </c>
      <c r="AF125" s="140">
        <f t="shared" si="184"/>
        <v>15.205555555555556</v>
      </c>
      <c r="AG125" s="140">
        <f t="shared" si="184"/>
        <v>15.708333333333334</v>
      </c>
      <c r="AH125" s="140">
        <f t="shared" si="184"/>
        <v>16.205555555555556</v>
      </c>
      <c r="AI125" s="140">
        <f t="shared" si="184"/>
        <v>16.705555555555556</v>
      </c>
      <c r="AJ125" s="140">
        <f t="shared" si="184"/>
        <v>17.202777777777779</v>
      </c>
      <c r="AK125" s="140">
        <f t="shared" si="184"/>
        <v>17.705555555555556</v>
      </c>
      <c r="AL125" s="140">
        <f t="shared" si="184"/>
        <v>18.202777777777779</v>
      </c>
      <c r="AM125" s="140">
        <f t="shared" si="184"/>
        <v>18.705555555555556</v>
      </c>
      <c r="AN125" s="140">
        <f t="shared" si="184"/>
        <v>19.202777777777779</v>
      </c>
      <c r="AO125" s="140">
        <f t="shared" si="184"/>
        <v>19.705555555555556</v>
      </c>
      <c r="AP125" s="140">
        <f t="shared" si="184"/>
        <v>20.202777777777779</v>
      </c>
      <c r="AQ125" s="140">
        <f t="shared" si="184"/>
        <v>20.702777777777779</v>
      </c>
      <c r="AR125" s="140">
        <f t="shared" si="184"/>
        <v>21.2</v>
      </c>
      <c r="AS125" s="140">
        <f t="shared" si="184"/>
        <v>21.702777777777779</v>
      </c>
      <c r="AT125" s="140">
        <f t="shared" si="184"/>
        <v>22.2</v>
      </c>
      <c r="AU125" s="140">
        <f t="shared" si="184"/>
        <v>22.702777777777779</v>
      </c>
      <c r="AV125" s="140">
        <f t="shared" si="184"/>
        <v>23.2</v>
      </c>
      <c r="AW125" s="140">
        <f t="shared" si="184"/>
        <v>23.702777777777779</v>
      </c>
      <c r="AX125" s="140">
        <f t="shared" si="184"/>
        <v>24.2</v>
      </c>
      <c r="AY125" s="140">
        <f t="shared" si="184"/>
        <v>24.7</v>
      </c>
      <c r="AZ125" s="140">
        <f t="shared" si="184"/>
        <v>25.197222222222223</v>
      </c>
      <c r="BA125" s="140">
        <f t="shared" si="184"/>
        <v>25.7</v>
      </c>
      <c r="BB125" s="140">
        <f t="shared" si="184"/>
        <v>26.197222222222223</v>
      </c>
      <c r="BC125" s="140">
        <f t="shared" si="184"/>
        <v>26.7</v>
      </c>
      <c r="BD125" s="140">
        <f t="shared" si="184"/>
        <v>27.197222222222223</v>
      </c>
      <c r="BE125" s="140">
        <f t="shared" si="184"/>
        <v>27.7</v>
      </c>
      <c r="BF125" s="140">
        <f t="shared" si="184"/>
        <v>28.197222222222223</v>
      </c>
      <c r="BG125" s="140">
        <f t="shared" si="184"/>
        <v>28.697222222222223</v>
      </c>
      <c r="BH125" s="140">
        <f t="shared" si="184"/>
        <v>29.194444444444443</v>
      </c>
      <c r="BI125" s="140">
        <f t="shared" si="184"/>
        <v>29.697222222222223</v>
      </c>
      <c r="BJ125" s="140">
        <f t="shared" si="184"/>
        <v>30.194444444444443</v>
      </c>
      <c r="BK125" s="140">
        <f t="shared" si="184"/>
        <v>30.697222222222223</v>
      </c>
      <c r="BL125" s="140">
        <f t="shared" si="184"/>
        <v>31.194444444444443</v>
      </c>
      <c r="BM125" s="140">
        <f t="shared" si="184"/>
        <v>31.697222222222223</v>
      </c>
      <c r="BN125" s="140">
        <f t="shared" si="184"/>
        <v>32.194444444444443</v>
      </c>
      <c r="BO125" s="140">
        <f t="shared" ref="BO125:CB125" si="185">BO124/360</f>
        <v>32.694444444444443</v>
      </c>
      <c r="BP125" s="140">
        <f t="shared" si="185"/>
        <v>33.19166666666667</v>
      </c>
      <c r="BQ125" s="140">
        <f t="shared" si="185"/>
        <v>33.694444444444443</v>
      </c>
      <c r="BR125" s="140">
        <f t="shared" si="185"/>
        <v>34.19166666666667</v>
      </c>
      <c r="BS125" s="140">
        <f t="shared" si="185"/>
        <v>34.694444444444443</v>
      </c>
      <c r="BT125" s="140">
        <f t="shared" si="185"/>
        <v>35.19166666666667</v>
      </c>
      <c r="BU125" s="140">
        <f t="shared" si="185"/>
        <v>35.694444444444443</v>
      </c>
      <c r="BV125" s="140">
        <f t="shared" si="185"/>
        <v>36.19166666666667</v>
      </c>
      <c r="BW125" s="140">
        <f t="shared" si="185"/>
        <v>36.69166666666667</v>
      </c>
      <c r="BX125" s="140">
        <f t="shared" si="185"/>
        <v>37.18888888888889</v>
      </c>
      <c r="BY125" s="140">
        <f t="shared" si="185"/>
        <v>37.69166666666667</v>
      </c>
      <c r="BZ125" s="140">
        <f t="shared" si="185"/>
        <v>38.18888888888889</v>
      </c>
      <c r="CA125" s="140">
        <f t="shared" si="185"/>
        <v>38.69166666666667</v>
      </c>
      <c r="CB125" s="140">
        <f t="shared" si="185"/>
        <v>39.18888888888889</v>
      </c>
      <c r="CC125" s="17"/>
      <c r="CD125" s="17"/>
      <c r="CE125" s="17"/>
    </row>
    <row r="126" spans="1:83">
      <c r="A126" s="16" t="s">
        <v>43</v>
      </c>
      <c r="B126" s="140">
        <f>IF(B124&lt;0,0,$B$5+$B$6*((1-EXP(-B125/$B$9))/(B125/$B$9))+$B$7*((1-EXP(-B125/$B$9))/(B125/$B$9)-EXP(-B125/$B$9))+$B$8*((1-EXP(-B125/$B$10))/(B125/$B$10)-EXP(-B125/$B$10)))</f>
        <v>-1.2953087605009255E-3</v>
      </c>
      <c r="C126" s="140">
        <f t="shared" ref="C126:BN126" si="186">IF(C124&lt;0,0,$B$5+$B$6*((1-EXP(-C125/$B$9))/(C125/$B$9))+$B$7*((1-EXP(-C125/$B$9))/(C125/$B$9)-EXP(-C125/$B$9))+$B$8*((1-EXP(-C125/$B$10))/(C125/$B$10)-EXP(-C125/$B$10)))</f>
        <v>-1.6211020717589761E-3</v>
      </c>
      <c r="D126" s="140">
        <f t="shared" si="186"/>
        <v>-1.8907404753556243E-3</v>
      </c>
      <c r="E126" s="140">
        <f t="shared" si="186"/>
        <v>-2.1133570255532841E-3</v>
      </c>
      <c r="F126" s="140">
        <f t="shared" si="186"/>
        <v>-2.2885813676479958E-3</v>
      </c>
      <c r="G126" s="140">
        <f t="shared" si="186"/>
        <v>-2.4245255383396336E-3</v>
      </c>
      <c r="H126" s="140">
        <f t="shared" si="186"/>
        <v>-2.5219433672471411E-3</v>
      </c>
      <c r="I126" s="140">
        <f t="shared" si="186"/>
        <v>-2.5864789715029251E-3</v>
      </c>
      <c r="J126" s="140">
        <f t="shared" si="186"/>
        <v>-2.619811814654822E-3</v>
      </c>
      <c r="K126" s="140">
        <f t="shared" si="186"/>
        <v>-2.6255932587518314E-3</v>
      </c>
      <c r="L126" s="140">
        <f t="shared" si="186"/>
        <v>-2.606315477071719E-3</v>
      </c>
      <c r="M126" s="140">
        <f t="shared" si="186"/>
        <v>-2.5638115820094342E-3</v>
      </c>
      <c r="N126" s="140">
        <f t="shared" si="186"/>
        <v>-2.5011459400013677E-3</v>
      </c>
      <c r="O126" s="140">
        <f t="shared" si="186"/>
        <v>-2.4188802442816266E-3</v>
      </c>
      <c r="P126" s="140">
        <f t="shared" si="186"/>
        <v>-2.32059144502871E-3</v>
      </c>
      <c r="Q126" s="140">
        <f t="shared" si="186"/>
        <v>-2.2057077052865834E-3</v>
      </c>
      <c r="R126" s="140">
        <f t="shared" si="186"/>
        <v>-2.0782248134192239E-3</v>
      </c>
      <c r="S126" s="140">
        <f t="shared" si="186"/>
        <v>-1.937455111028781E-3</v>
      </c>
      <c r="T126" s="140">
        <f t="shared" si="186"/>
        <v>-1.7861651899361251E-3</v>
      </c>
      <c r="U126" s="140">
        <f t="shared" si="186"/>
        <v>-1.6228393128709523E-3</v>
      </c>
      <c r="V126" s="140">
        <f t="shared" si="186"/>
        <v>-1.4520895707154846E-3</v>
      </c>
      <c r="W126" s="140">
        <f t="shared" si="186"/>
        <v>-1.2710276765101275E-3</v>
      </c>
      <c r="X126" s="140">
        <f t="shared" si="186"/>
        <v>-1.0844878620862738E-3</v>
      </c>
      <c r="Y126" s="140">
        <f t="shared" si="186"/>
        <v>-8.8907237510513909E-4</v>
      </c>
      <c r="Z126" s="140">
        <f t="shared" si="186"/>
        <v>-6.8979241604256092E-4</v>
      </c>
      <c r="AA126" s="140">
        <f t="shared" si="186"/>
        <v>-4.8399353067291604E-4</v>
      </c>
      <c r="AB126" s="140">
        <f t="shared" si="186"/>
        <v>-2.7453660173468826E-4</v>
      </c>
      <c r="AC126" s="140">
        <f t="shared" si="186"/>
        <v>-5.840448880103195E-5</v>
      </c>
      <c r="AD126" s="140">
        <f t="shared" si="186"/>
        <v>1.591452092160198E-4</v>
      </c>
      <c r="AE126" s="140">
        <f t="shared" si="186"/>
        <v>3.8252769955380043E-4</v>
      </c>
      <c r="AF126" s="140">
        <f t="shared" si="186"/>
        <v>6.0640445736763081E-4</v>
      </c>
      <c r="AG126" s="140">
        <f t="shared" si="186"/>
        <v>8.354053123539925E-4</v>
      </c>
      <c r="AH126" s="140">
        <f t="shared" si="186"/>
        <v>1.0641332498144518E-3</v>
      </c>
      <c r="AI126" s="140">
        <f t="shared" si="186"/>
        <v>1.2960935813129625E-3</v>
      </c>
      <c r="AJ126" s="140">
        <f t="shared" si="186"/>
        <v>1.5284284269690561E-3</v>
      </c>
      <c r="AK126" s="140">
        <f t="shared" si="186"/>
        <v>1.7647840411522597E-3</v>
      </c>
      <c r="AL126" s="140">
        <f t="shared" si="186"/>
        <v>1.9997003898327864E-3</v>
      </c>
      <c r="AM126" s="140">
        <f t="shared" si="186"/>
        <v>2.2382067085522954E-3</v>
      </c>
      <c r="AN126" s="140">
        <f t="shared" si="186"/>
        <v>2.4748330141953086E-3</v>
      </c>
      <c r="AO126" s="140">
        <f t="shared" si="186"/>
        <v>2.7146815483065972E-3</v>
      </c>
      <c r="AP126" s="140">
        <f t="shared" si="186"/>
        <v>2.9522839540059758E-3</v>
      </c>
      <c r="AQ126" s="140">
        <f t="shared" si="186"/>
        <v>3.1914640725477675E-3</v>
      </c>
      <c r="AR126" s="140">
        <f t="shared" si="186"/>
        <v>3.4294232329004698E-3</v>
      </c>
      <c r="AS126" s="140">
        <f t="shared" si="186"/>
        <v>3.6700183922689254E-3</v>
      </c>
      <c r="AT126" s="140">
        <f t="shared" si="186"/>
        <v>3.9078125540848718E-3</v>
      </c>
      <c r="AU126" s="140">
        <f t="shared" si="186"/>
        <v>4.1480074750510805E-3</v>
      </c>
      <c r="AV126" s="140">
        <f t="shared" si="186"/>
        <v>4.3851932931745939E-3</v>
      </c>
      <c r="AW126" s="140">
        <f t="shared" si="186"/>
        <v>4.624575179290354E-3</v>
      </c>
      <c r="AX126" s="140">
        <f t="shared" si="186"/>
        <v>4.8607766048596665E-3</v>
      </c>
      <c r="AY126" s="140">
        <f t="shared" si="186"/>
        <v>5.0976807868356811E-3</v>
      </c>
      <c r="AZ126" s="140">
        <f t="shared" si="186"/>
        <v>5.332582406261617E-3</v>
      </c>
      <c r="BA126" s="140">
        <f t="shared" si="186"/>
        <v>5.569344013418397E-3</v>
      </c>
      <c r="BB126" s="140">
        <f t="shared" si="186"/>
        <v>5.8026708506391678E-3</v>
      </c>
      <c r="BC126" s="140">
        <f t="shared" si="186"/>
        <v>6.0377184411058351E-3</v>
      </c>
      <c r="BD126" s="140">
        <f t="shared" si="186"/>
        <v>6.2692391940447371E-3</v>
      </c>
      <c r="BE126" s="140">
        <f t="shared" si="186"/>
        <v>6.502356967235271E-3</v>
      </c>
      <c r="BF126" s="140">
        <f t="shared" si="186"/>
        <v>6.7318747256802343E-3</v>
      </c>
      <c r="BG126" s="140">
        <f t="shared" si="186"/>
        <v>6.9616057681954014E-3</v>
      </c>
      <c r="BH126" s="140">
        <f t="shared" si="186"/>
        <v>7.1889591956298959E-3</v>
      </c>
      <c r="BI126" s="140">
        <f t="shared" si="186"/>
        <v>7.417700178721222E-3</v>
      </c>
      <c r="BJ126" s="140">
        <f t="shared" si="186"/>
        <v>7.642740952925468E-3</v>
      </c>
      <c r="BK126" s="140">
        <f t="shared" si="186"/>
        <v>7.8690797902528989E-3</v>
      </c>
      <c r="BL126" s="140">
        <f t="shared" si="186"/>
        <v>8.0916870148342607E-3</v>
      </c>
      <c r="BM126" s="140">
        <f t="shared" si="186"/>
        <v>8.3155112391355927E-3</v>
      </c>
      <c r="BN126" s="140">
        <f t="shared" si="186"/>
        <v>8.5355826895841588E-3</v>
      </c>
      <c r="BO126" s="140">
        <f t="shared" ref="BO126:CB126" si="187">IF(BO124&lt;0,0,$B$5+$B$6*((1-EXP(-BO125/$B$9))/(BO125/$B$9))+$B$7*((1-EXP(-BO125/$B$9))/(BO125/$B$9)-EXP(-BO125/$B$9))+$B$8*((1-EXP(-BO125/$B$10))/(BO125/$B$10)-EXP(-BO125/$B$10)))</f>
        <v>8.7555789005119081E-3</v>
      </c>
      <c r="BP126" s="140">
        <f t="shared" si="187"/>
        <v>8.9730359393047909E-3</v>
      </c>
      <c r="BQ126" s="140">
        <f t="shared" si="187"/>
        <v>9.1915691125536315E-3</v>
      </c>
      <c r="BR126" s="140">
        <f t="shared" si="187"/>
        <v>9.4063326216226196E-3</v>
      </c>
      <c r="BS126" s="140">
        <f t="shared" si="187"/>
        <v>9.6221105823596012E-3</v>
      </c>
      <c r="BT126" s="140">
        <f t="shared" si="187"/>
        <v>9.8341209701012615E-3</v>
      </c>
      <c r="BU126" s="140">
        <f t="shared" si="187"/>
        <v>1.004708912516427E-2</v>
      </c>
      <c r="BV126" s="140">
        <f t="shared" si="187"/>
        <v>1.0256297659074837E-2</v>
      </c>
      <c r="BW126" s="140">
        <f t="shared" si="187"/>
        <v>1.0465254845925611E-2</v>
      </c>
      <c r="BX126" s="140">
        <f t="shared" si="187"/>
        <v>1.0671630313162908E-2</v>
      </c>
      <c r="BY126" s="140">
        <f t="shared" si="187"/>
        <v>1.0878863186872152E-2</v>
      </c>
      <c r="BZ126" s="140">
        <f t="shared" si="187"/>
        <v>1.1082367060306148E-2</v>
      </c>
      <c r="CA126" s="140">
        <f t="shared" si="187"/>
        <v>1.1286683658613784E-2</v>
      </c>
      <c r="CB126" s="140">
        <f t="shared" si="187"/>
        <v>1.1487292798937379E-2</v>
      </c>
      <c r="CC126" s="17"/>
      <c r="CD126" s="17"/>
      <c r="CE126" s="17"/>
    </row>
    <row r="127" spans="1:83">
      <c r="A127" s="16" t="s">
        <v>44</v>
      </c>
      <c r="B127" s="140">
        <f>EXP(-B126*B125)</f>
        <v>1.0002806896174026</v>
      </c>
      <c r="C127" s="140">
        <f t="shared" ref="C127:AR127" si="188">EXP(-C126*C125)</f>
        <v>1.0011624649573159</v>
      </c>
      <c r="D127" s="140">
        <f t="shared" si="188"/>
        <v>1.0022977847251253</v>
      </c>
      <c r="E127" s="140">
        <f t="shared" si="188"/>
        <v>1.0036345184625959</v>
      </c>
      <c r="F127" s="140">
        <f t="shared" si="188"/>
        <v>1.0050795221128521</v>
      </c>
      <c r="G127" s="140">
        <f t="shared" si="188"/>
        <v>1.0066083672486681</v>
      </c>
      <c r="H127" s="140">
        <f t="shared" si="188"/>
        <v>1.0081381821966866</v>
      </c>
      <c r="I127" s="140">
        <f t="shared" si="188"/>
        <v>1.0096594342487364</v>
      </c>
      <c r="J127" s="140">
        <f t="shared" si="188"/>
        <v>1.0111007570932959</v>
      </c>
      <c r="K127" s="140">
        <f t="shared" si="188"/>
        <v>1.0124536638870441</v>
      </c>
      <c r="L127" s="140">
        <f t="shared" si="188"/>
        <v>1.0136744511644336</v>
      </c>
      <c r="M127" s="140">
        <f t="shared" si="188"/>
        <v>1.0147571619022298</v>
      </c>
      <c r="N127" s="140">
        <f t="shared" si="188"/>
        <v>1.0156561891064142</v>
      </c>
      <c r="O127" s="140">
        <f t="shared" si="188"/>
        <v>1.016372680278933</v>
      </c>
      <c r="P127" s="140">
        <f t="shared" si="188"/>
        <v>1.0168748411259341</v>
      </c>
      <c r="Q127" s="140">
        <f t="shared" si="188"/>
        <v>1.0171601566434834</v>
      </c>
      <c r="R127" s="140">
        <f t="shared" si="188"/>
        <v>1.0172109657711386</v>
      </c>
      <c r="S127" s="140">
        <f t="shared" si="188"/>
        <v>1.0170206144719978</v>
      </c>
      <c r="T127" s="140">
        <f t="shared" si="188"/>
        <v>1.0165836109406552</v>
      </c>
      <c r="U127" s="140">
        <f t="shared" si="188"/>
        <v>1.0158844098819337</v>
      </c>
      <c r="V127" s="140">
        <f t="shared" si="188"/>
        <v>1.0149338260593113</v>
      </c>
      <c r="W127" s="140">
        <f t="shared" si="188"/>
        <v>1.0137072127669327</v>
      </c>
      <c r="X127" s="140">
        <f t="shared" si="188"/>
        <v>1.0122294773697971</v>
      </c>
      <c r="Y127" s="140">
        <f t="shared" si="188"/>
        <v>1.0104664191259742</v>
      </c>
      <c r="Z127" s="140">
        <f t="shared" si="188"/>
        <v>1.0084567739274592</v>
      </c>
      <c r="AA127" s="140">
        <f t="shared" si="188"/>
        <v>1.0061697058306094</v>
      </c>
      <c r="AB127" s="140">
        <f t="shared" si="188"/>
        <v>1.0036319880880935</v>
      </c>
      <c r="AC127" s="140">
        <f t="shared" si="188"/>
        <v>1.0008009487889569</v>
      </c>
      <c r="AD127" s="140">
        <f t="shared" si="188"/>
        <v>0.99774180745088958</v>
      </c>
      <c r="AE127" s="140">
        <f t="shared" si="188"/>
        <v>0.99438945332161544</v>
      </c>
      <c r="AF127" s="140">
        <f t="shared" si="188"/>
        <v>0.99082166378287584</v>
      </c>
      <c r="AG127" s="140">
        <f t="shared" si="188"/>
        <v>0.98696290374326889</v>
      </c>
      <c r="AH127" s="140">
        <f t="shared" si="188"/>
        <v>0.98290297122388126</v>
      </c>
      <c r="AI127" s="140">
        <f t="shared" si="188"/>
        <v>0.97858075778096876</v>
      </c>
      <c r="AJ127" s="140">
        <f t="shared" si="188"/>
        <v>0.97404944223627543</v>
      </c>
      <c r="AK127" s="140">
        <f t="shared" si="188"/>
        <v>0.96923664435711854</v>
      </c>
      <c r="AL127" s="140">
        <f t="shared" si="188"/>
        <v>0.96425441634795117</v>
      </c>
      <c r="AM127" s="140">
        <f t="shared" si="188"/>
        <v>0.95899741469969213</v>
      </c>
      <c r="AN127" s="140">
        <f t="shared" si="188"/>
        <v>0.95358790295730833</v>
      </c>
      <c r="AO127" s="140">
        <f t="shared" si="188"/>
        <v>0.94791133643740499</v>
      </c>
      <c r="AP127" s="140">
        <f t="shared" si="188"/>
        <v>0.94209954427603582</v>
      </c>
      <c r="AQ127" s="140">
        <f t="shared" si="188"/>
        <v>0.93606330477989741</v>
      </c>
      <c r="AR127" s="140">
        <f t="shared" si="188"/>
        <v>0.92987624411141234</v>
      </c>
      <c r="AS127" s="140">
        <f>EXP(-AS126*AS125)</f>
        <v>0.92343986893405594</v>
      </c>
      <c r="AT127" s="140">
        <f t="shared" ref="AT127:CA127" si="189">EXP(-AT126*AT125)</f>
        <v>0.91690314059472922</v>
      </c>
      <c r="AU127" s="140">
        <f t="shared" si="189"/>
        <v>0.91012685150613659</v>
      </c>
      <c r="AV127" s="140">
        <f t="shared" si="189"/>
        <v>0.90326754539766474</v>
      </c>
      <c r="AW127" s="140">
        <f t="shared" si="189"/>
        <v>0.89617884888888255</v>
      </c>
      <c r="AX127" s="140">
        <f t="shared" si="189"/>
        <v>0.88902422525169189</v>
      </c>
      <c r="AY127" s="140">
        <f t="shared" si="189"/>
        <v>0.88169180151038606</v>
      </c>
      <c r="AZ127" s="140">
        <f t="shared" si="189"/>
        <v>0.87426979248323877</v>
      </c>
      <c r="BA127" s="140">
        <f t="shared" si="189"/>
        <v>0.86663954258750464</v>
      </c>
      <c r="BB127" s="140">
        <f t="shared" si="189"/>
        <v>0.85897637717308051</v>
      </c>
      <c r="BC127" s="140">
        <f t="shared" si="189"/>
        <v>0.85111580177286372</v>
      </c>
      <c r="BD127" s="140">
        <f t="shared" si="189"/>
        <v>0.84323812165575718</v>
      </c>
      <c r="BE127" s="140">
        <f t="shared" si="189"/>
        <v>0.83517392033618176</v>
      </c>
      <c r="BF127" s="140">
        <f t="shared" si="189"/>
        <v>0.82710786135166148</v>
      </c>
      <c r="BG127" s="140">
        <f t="shared" si="189"/>
        <v>0.81891191913741457</v>
      </c>
      <c r="BH127" s="140">
        <f t="shared" si="189"/>
        <v>0.81068341092773455</v>
      </c>
      <c r="BI127" s="140">
        <f t="shared" si="189"/>
        <v>0.80229004001856929</v>
      </c>
      <c r="BJ127" s="140">
        <f t="shared" si="189"/>
        <v>0.79392338319591482</v>
      </c>
      <c r="BK127" s="140">
        <f t="shared" si="189"/>
        <v>0.78540254928093312</v>
      </c>
      <c r="BL127" s="140">
        <f t="shared" si="189"/>
        <v>0.77692171930420584</v>
      </c>
      <c r="BM127" s="140">
        <f t="shared" si="189"/>
        <v>0.76829722603502426</v>
      </c>
      <c r="BN127" s="140">
        <f t="shared" si="189"/>
        <v>0.75972531193319315</v>
      </c>
      <c r="BO127" s="140">
        <f t="shared" si="189"/>
        <v>0.75106822339511059</v>
      </c>
      <c r="BP127" s="140">
        <f t="shared" si="189"/>
        <v>0.74242752842376181</v>
      </c>
      <c r="BQ127" s="140">
        <f t="shared" si="189"/>
        <v>0.73366349085326332</v>
      </c>
      <c r="BR127" s="140">
        <f t="shared" si="189"/>
        <v>0.72497494049863154</v>
      </c>
      <c r="BS127" s="140">
        <f t="shared" si="189"/>
        <v>0.71617281383602471</v>
      </c>
      <c r="BT127" s="140">
        <f t="shared" si="189"/>
        <v>0.70745652003122694</v>
      </c>
      <c r="BU127" s="140">
        <f t="shared" si="189"/>
        <v>0.69863610598019588</v>
      </c>
      <c r="BV127" s="140">
        <f t="shared" si="189"/>
        <v>0.68991111666815053</v>
      </c>
      <c r="BW127" s="140">
        <f t="shared" si="189"/>
        <v>0.68113984438916697</v>
      </c>
      <c r="BX127" s="140">
        <f t="shared" si="189"/>
        <v>0.6724240746829685</v>
      </c>
      <c r="BY127" s="140">
        <f t="shared" si="189"/>
        <v>0.66362205558631926</v>
      </c>
      <c r="BZ127" s="140">
        <f t="shared" si="189"/>
        <v>0.65493238067160808</v>
      </c>
      <c r="CA127" s="140">
        <f t="shared" si="189"/>
        <v>0.64616486299060838</v>
      </c>
      <c r="CB127" s="140">
        <f>EXP(-CB126*CB125)</f>
        <v>0.63751706024966126</v>
      </c>
      <c r="CC127" s="17"/>
      <c r="CD127" s="17"/>
      <c r="CE127" s="17"/>
    </row>
    <row r="128" spans="1:83">
      <c r="A128" s="17"/>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17"/>
      <c r="CD128" s="17"/>
      <c r="CE128" s="17"/>
    </row>
    <row r="129" spans="1:83">
      <c r="A129" s="16" t="s">
        <v>40</v>
      </c>
      <c r="B129" s="140">
        <f t="shared" ref="B129:BM129" si="190">DAYS360($B$3,B48)</f>
        <v>168</v>
      </c>
      <c r="C129" s="140">
        <f t="shared" si="190"/>
        <v>347</v>
      </c>
      <c r="D129" s="140">
        <f t="shared" si="190"/>
        <v>527</v>
      </c>
      <c r="E129" s="140">
        <f t="shared" si="190"/>
        <v>707</v>
      </c>
      <c r="F129" s="140">
        <f t="shared" si="190"/>
        <v>887</v>
      </c>
      <c r="G129" s="140">
        <f t="shared" si="190"/>
        <v>1067</v>
      </c>
      <c r="H129" s="140">
        <f t="shared" si="190"/>
        <v>1247</v>
      </c>
      <c r="I129" s="140">
        <f t="shared" si="190"/>
        <v>1427</v>
      </c>
      <c r="J129" s="140">
        <f t="shared" si="190"/>
        <v>1607</v>
      </c>
      <c r="K129" s="140">
        <f t="shared" si="190"/>
        <v>1786</v>
      </c>
      <c r="L129" s="140">
        <f t="shared" si="190"/>
        <v>1966</v>
      </c>
      <c r="M129" s="140">
        <f t="shared" si="190"/>
        <v>2146</v>
      </c>
      <c r="N129" s="140">
        <f t="shared" si="190"/>
        <v>2326</v>
      </c>
      <c r="O129" s="140">
        <f t="shared" si="190"/>
        <v>2506</v>
      </c>
      <c r="P129" s="140">
        <f t="shared" si="190"/>
        <v>2686</v>
      </c>
      <c r="Q129" s="140">
        <f t="shared" si="190"/>
        <v>2866</v>
      </c>
      <c r="R129" s="140">
        <f t="shared" si="190"/>
        <v>3046</v>
      </c>
      <c r="S129" s="140">
        <f t="shared" si="190"/>
        <v>3225</v>
      </c>
      <c r="T129" s="140">
        <f t="shared" si="190"/>
        <v>3405</v>
      </c>
      <c r="U129" s="140">
        <f t="shared" si="190"/>
        <v>3585</v>
      </c>
      <c r="V129" s="140">
        <f t="shared" si="190"/>
        <v>3765</v>
      </c>
      <c r="W129" s="140">
        <f t="shared" si="190"/>
        <v>3945</v>
      </c>
      <c r="X129" s="140">
        <f t="shared" si="190"/>
        <v>4125</v>
      </c>
      <c r="Y129" s="140">
        <f t="shared" si="190"/>
        <v>4305</v>
      </c>
      <c r="Z129" s="140">
        <f t="shared" si="190"/>
        <v>4485</v>
      </c>
      <c r="AA129" s="140">
        <f t="shared" si="190"/>
        <v>4664</v>
      </c>
      <c r="AB129" s="140">
        <f t="shared" si="190"/>
        <v>4844</v>
      </c>
      <c r="AC129" s="140">
        <f t="shared" si="190"/>
        <v>5024</v>
      </c>
      <c r="AD129" s="140">
        <f t="shared" si="190"/>
        <v>5204</v>
      </c>
      <c r="AE129" s="140">
        <f t="shared" si="190"/>
        <v>5384</v>
      </c>
      <c r="AF129" s="140">
        <f t="shared" si="190"/>
        <v>5564</v>
      </c>
      <c r="AG129" s="140">
        <f t="shared" si="190"/>
        <v>5744</v>
      </c>
      <c r="AH129" s="140">
        <f t="shared" si="190"/>
        <v>5924</v>
      </c>
      <c r="AI129" s="140">
        <f t="shared" si="190"/>
        <v>6103</v>
      </c>
      <c r="AJ129" s="140">
        <f t="shared" si="190"/>
        <v>6283</v>
      </c>
      <c r="AK129" s="140">
        <f t="shared" si="190"/>
        <v>6463</v>
      </c>
      <c r="AL129" s="140">
        <f t="shared" si="190"/>
        <v>6643</v>
      </c>
      <c r="AM129" s="140">
        <f t="shared" si="190"/>
        <v>6823</v>
      </c>
      <c r="AN129" s="140">
        <f t="shared" si="190"/>
        <v>7003</v>
      </c>
      <c r="AO129" s="140">
        <f t="shared" si="190"/>
        <v>7183</v>
      </c>
      <c r="AP129" s="140">
        <f t="shared" si="190"/>
        <v>7363</v>
      </c>
      <c r="AQ129" s="140">
        <f t="shared" si="190"/>
        <v>7542</v>
      </c>
      <c r="AR129" s="140">
        <f t="shared" si="190"/>
        <v>7722</v>
      </c>
      <c r="AS129" s="140">
        <f t="shared" si="190"/>
        <v>7902</v>
      </c>
      <c r="AT129" s="140">
        <f t="shared" si="190"/>
        <v>8082</v>
      </c>
      <c r="AU129" s="140">
        <f t="shared" si="190"/>
        <v>8262</v>
      </c>
      <c r="AV129" s="140">
        <f t="shared" si="190"/>
        <v>8442</v>
      </c>
      <c r="AW129" s="140">
        <f t="shared" si="190"/>
        <v>8622</v>
      </c>
      <c r="AX129" s="140">
        <f t="shared" si="190"/>
        <v>8802</v>
      </c>
      <c r="AY129" s="140">
        <f t="shared" si="190"/>
        <v>8981</v>
      </c>
      <c r="AZ129" s="140">
        <f t="shared" si="190"/>
        <v>9161</v>
      </c>
      <c r="BA129" s="140">
        <f t="shared" si="190"/>
        <v>9341</v>
      </c>
      <c r="BB129" s="140">
        <f t="shared" si="190"/>
        <v>9521</v>
      </c>
      <c r="BC129" s="140">
        <f t="shared" si="190"/>
        <v>9701</v>
      </c>
      <c r="BD129" s="140">
        <f t="shared" si="190"/>
        <v>9881</v>
      </c>
      <c r="BE129" s="140">
        <f t="shared" si="190"/>
        <v>10061</v>
      </c>
      <c r="BF129" s="140">
        <f t="shared" si="190"/>
        <v>10241</v>
      </c>
      <c r="BG129" s="140">
        <f t="shared" si="190"/>
        <v>10420</v>
      </c>
      <c r="BH129" s="140">
        <f t="shared" si="190"/>
        <v>10600</v>
      </c>
      <c r="BI129" s="140">
        <f t="shared" si="190"/>
        <v>10780</v>
      </c>
      <c r="BJ129" s="140">
        <f t="shared" si="190"/>
        <v>10960</v>
      </c>
      <c r="BK129" s="140">
        <f t="shared" si="190"/>
        <v>11140</v>
      </c>
      <c r="BL129" s="140">
        <f t="shared" si="190"/>
        <v>11320</v>
      </c>
      <c r="BM129" s="140">
        <f t="shared" si="190"/>
        <v>11500</v>
      </c>
      <c r="BN129" s="140">
        <f t="shared" ref="BN129:CB129" si="191">DAYS360($B$3,BN48)</f>
        <v>11680</v>
      </c>
      <c r="BO129" s="140">
        <f t="shared" si="191"/>
        <v>11859</v>
      </c>
      <c r="BP129" s="140">
        <f t="shared" si="191"/>
        <v>12039</v>
      </c>
      <c r="BQ129" s="140">
        <f t="shared" si="191"/>
        <v>12219</v>
      </c>
      <c r="BR129" s="140">
        <f t="shared" si="191"/>
        <v>12399</v>
      </c>
      <c r="BS129" s="140">
        <f t="shared" si="191"/>
        <v>12579</v>
      </c>
      <c r="BT129" s="140">
        <f t="shared" si="191"/>
        <v>12759</v>
      </c>
      <c r="BU129" s="140">
        <f t="shared" si="191"/>
        <v>12939</v>
      </c>
      <c r="BV129" s="140">
        <f t="shared" si="191"/>
        <v>13119</v>
      </c>
      <c r="BW129" s="140">
        <f t="shared" si="191"/>
        <v>13298</v>
      </c>
      <c r="BX129" s="140">
        <f t="shared" si="191"/>
        <v>13478</v>
      </c>
      <c r="BY129" s="140">
        <f t="shared" si="191"/>
        <v>13658</v>
      </c>
      <c r="BZ129" s="140">
        <f t="shared" si="191"/>
        <v>13838</v>
      </c>
      <c r="CA129" s="140">
        <f t="shared" si="191"/>
        <v>14018</v>
      </c>
      <c r="CB129" s="140">
        <f t="shared" si="191"/>
        <v>14198</v>
      </c>
      <c r="CC129" s="17"/>
      <c r="CD129" s="17"/>
      <c r="CE129" s="17"/>
    </row>
    <row r="130" spans="1:83">
      <c r="A130" s="16" t="s">
        <v>41</v>
      </c>
      <c r="B130" s="140">
        <f>B129/360</f>
        <v>0.46666666666666667</v>
      </c>
      <c r="C130" s="140">
        <f t="shared" ref="C130:BN130" si="192">C129/360</f>
        <v>0.96388888888888891</v>
      </c>
      <c r="D130" s="140">
        <f t="shared" si="192"/>
        <v>1.4638888888888888</v>
      </c>
      <c r="E130" s="140">
        <f t="shared" si="192"/>
        <v>1.9638888888888888</v>
      </c>
      <c r="F130" s="140">
        <f t="shared" si="192"/>
        <v>2.463888888888889</v>
      </c>
      <c r="G130" s="140">
        <f t="shared" si="192"/>
        <v>2.963888888888889</v>
      </c>
      <c r="H130" s="140">
        <f t="shared" si="192"/>
        <v>3.463888888888889</v>
      </c>
      <c r="I130" s="140">
        <f t="shared" si="192"/>
        <v>3.963888888888889</v>
      </c>
      <c r="J130" s="140">
        <f t="shared" si="192"/>
        <v>4.4638888888888886</v>
      </c>
      <c r="K130" s="140">
        <f t="shared" si="192"/>
        <v>4.9611111111111112</v>
      </c>
      <c r="L130" s="140">
        <f t="shared" si="192"/>
        <v>5.4611111111111112</v>
      </c>
      <c r="M130" s="140">
        <f t="shared" si="192"/>
        <v>5.9611111111111112</v>
      </c>
      <c r="N130" s="140">
        <f t="shared" si="192"/>
        <v>6.4611111111111112</v>
      </c>
      <c r="O130" s="140">
        <f t="shared" si="192"/>
        <v>6.9611111111111112</v>
      </c>
      <c r="P130" s="140">
        <f t="shared" si="192"/>
        <v>7.4611111111111112</v>
      </c>
      <c r="Q130" s="140">
        <f t="shared" si="192"/>
        <v>7.9611111111111112</v>
      </c>
      <c r="R130" s="140">
        <f t="shared" si="192"/>
        <v>8.4611111111111104</v>
      </c>
      <c r="S130" s="140">
        <f t="shared" si="192"/>
        <v>8.9583333333333339</v>
      </c>
      <c r="T130" s="140">
        <f t="shared" si="192"/>
        <v>9.4583333333333339</v>
      </c>
      <c r="U130" s="140">
        <f t="shared" si="192"/>
        <v>9.9583333333333339</v>
      </c>
      <c r="V130" s="140">
        <f t="shared" si="192"/>
        <v>10.458333333333334</v>
      </c>
      <c r="W130" s="140">
        <f t="shared" si="192"/>
        <v>10.958333333333334</v>
      </c>
      <c r="X130" s="140">
        <f t="shared" si="192"/>
        <v>11.458333333333334</v>
      </c>
      <c r="Y130" s="140">
        <f t="shared" si="192"/>
        <v>11.958333333333334</v>
      </c>
      <c r="Z130" s="140">
        <f t="shared" si="192"/>
        <v>12.458333333333334</v>
      </c>
      <c r="AA130" s="140">
        <f t="shared" si="192"/>
        <v>12.955555555555556</v>
      </c>
      <c r="AB130" s="140">
        <f t="shared" si="192"/>
        <v>13.455555555555556</v>
      </c>
      <c r="AC130" s="140">
        <f t="shared" si="192"/>
        <v>13.955555555555556</v>
      </c>
      <c r="AD130" s="140">
        <f t="shared" si="192"/>
        <v>14.455555555555556</v>
      </c>
      <c r="AE130" s="140">
        <f t="shared" si="192"/>
        <v>14.955555555555556</v>
      </c>
      <c r="AF130" s="140">
        <f t="shared" si="192"/>
        <v>15.455555555555556</v>
      </c>
      <c r="AG130" s="140">
        <f t="shared" si="192"/>
        <v>15.955555555555556</v>
      </c>
      <c r="AH130" s="140">
        <f t="shared" si="192"/>
        <v>16.455555555555556</v>
      </c>
      <c r="AI130" s="140">
        <f t="shared" si="192"/>
        <v>16.952777777777779</v>
      </c>
      <c r="AJ130" s="140">
        <f t="shared" si="192"/>
        <v>17.452777777777779</v>
      </c>
      <c r="AK130" s="140">
        <f t="shared" si="192"/>
        <v>17.952777777777779</v>
      </c>
      <c r="AL130" s="140">
        <f t="shared" si="192"/>
        <v>18.452777777777779</v>
      </c>
      <c r="AM130" s="140">
        <f t="shared" si="192"/>
        <v>18.952777777777779</v>
      </c>
      <c r="AN130" s="140">
        <f t="shared" si="192"/>
        <v>19.452777777777779</v>
      </c>
      <c r="AO130" s="140">
        <f t="shared" si="192"/>
        <v>19.952777777777779</v>
      </c>
      <c r="AP130" s="140">
        <f t="shared" si="192"/>
        <v>20.452777777777779</v>
      </c>
      <c r="AQ130" s="140">
        <f t="shared" si="192"/>
        <v>20.95</v>
      </c>
      <c r="AR130" s="140">
        <f t="shared" si="192"/>
        <v>21.45</v>
      </c>
      <c r="AS130" s="140">
        <f t="shared" si="192"/>
        <v>21.95</v>
      </c>
      <c r="AT130" s="140">
        <f t="shared" si="192"/>
        <v>22.45</v>
      </c>
      <c r="AU130" s="140">
        <f t="shared" si="192"/>
        <v>22.95</v>
      </c>
      <c r="AV130" s="140">
        <f t="shared" si="192"/>
        <v>23.45</v>
      </c>
      <c r="AW130" s="140">
        <f t="shared" si="192"/>
        <v>23.95</v>
      </c>
      <c r="AX130" s="140">
        <f t="shared" si="192"/>
        <v>24.45</v>
      </c>
      <c r="AY130" s="140">
        <f t="shared" si="192"/>
        <v>24.947222222222223</v>
      </c>
      <c r="AZ130" s="140">
        <f t="shared" si="192"/>
        <v>25.447222222222223</v>
      </c>
      <c r="BA130" s="140">
        <f t="shared" si="192"/>
        <v>25.947222222222223</v>
      </c>
      <c r="BB130" s="140">
        <f t="shared" si="192"/>
        <v>26.447222222222223</v>
      </c>
      <c r="BC130" s="140">
        <f t="shared" si="192"/>
        <v>26.947222222222223</v>
      </c>
      <c r="BD130" s="140">
        <f t="shared" si="192"/>
        <v>27.447222222222223</v>
      </c>
      <c r="BE130" s="140">
        <f t="shared" si="192"/>
        <v>27.947222222222223</v>
      </c>
      <c r="BF130" s="140">
        <f t="shared" si="192"/>
        <v>28.447222222222223</v>
      </c>
      <c r="BG130" s="140">
        <f t="shared" si="192"/>
        <v>28.944444444444443</v>
      </c>
      <c r="BH130" s="140">
        <f t="shared" si="192"/>
        <v>29.444444444444443</v>
      </c>
      <c r="BI130" s="140">
        <f t="shared" si="192"/>
        <v>29.944444444444443</v>
      </c>
      <c r="BJ130" s="140">
        <f t="shared" si="192"/>
        <v>30.444444444444443</v>
      </c>
      <c r="BK130" s="140">
        <f t="shared" si="192"/>
        <v>30.944444444444443</v>
      </c>
      <c r="BL130" s="140">
        <f t="shared" si="192"/>
        <v>31.444444444444443</v>
      </c>
      <c r="BM130" s="140">
        <f t="shared" si="192"/>
        <v>31.944444444444443</v>
      </c>
      <c r="BN130" s="140">
        <f t="shared" si="192"/>
        <v>32.444444444444443</v>
      </c>
      <c r="BO130" s="140">
        <f t="shared" ref="BO130:CB130" si="193">BO129/360</f>
        <v>32.94166666666667</v>
      </c>
      <c r="BP130" s="140">
        <f t="shared" si="193"/>
        <v>33.44166666666667</v>
      </c>
      <c r="BQ130" s="140">
        <f t="shared" si="193"/>
        <v>33.94166666666667</v>
      </c>
      <c r="BR130" s="140">
        <f t="shared" si="193"/>
        <v>34.44166666666667</v>
      </c>
      <c r="BS130" s="140">
        <f t="shared" si="193"/>
        <v>34.94166666666667</v>
      </c>
      <c r="BT130" s="140">
        <f t="shared" si="193"/>
        <v>35.44166666666667</v>
      </c>
      <c r="BU130" s="140">
        <f t="shared" si="193"/>
        <v>35.94166666666667</v>
      </c>
      <c r="BV130" s="140">
        <f t="shared" si="193"/>
        <v>36.44166666666667</v>
      </c>
      <c r="BW130" s="140">
        <f t="shared" si="193"/>
        <v>36.93888888888889</v>
      </c>
      <c r="BX130" s="140">
        <f t="shared" si="193"/>
        <v>37.43888888888889</v>
      </c>
      <c r="BY130" s="140">
        <f t="shared" si="193"/>
        <v>37.93888888888889</v>
      </c>
      <c r="BZ130" s="140">
        <f t="shared" si="193"/>
        <v>38.43888888888889</v>
      </c>
      <c r="CA130" s="140">
        <f t="shared" si="193"/>
        <v>38.93888888888889</v>
      </c>
      <c r="CB130" s="140">
        <f t="shared" si="193"/>
        <v>39.43888888888889</v>
      </c>
      <c r="CC130" s="17"/>
      <c r="CD130" s="17"/>
      <c r="CE130" s="17"/>
    </row>
    <row r="131" spans="1:83">
      <c r="A131" s="16" t="s">
        <v>43</v>
      </c>
      <c r="B131" s="140">
        <f>IF(B129&lt;0,0,$B$5+$B$6*((1-EXP(-B130/$B$9))/(B130/$B$9))+$B$7*((1-EXP(-B130/$B$9))/(B130/$B$9)-EXP(-B130/$B$9))+$B$8*((1-EXP(-B130/$B$10))/(B130/$B$10)-EXP(-B130/$B$10)))</f>
        <v>-1.4653886484014052E-3</v>
      </c>
      <c r="C131" s="140">
        <f t="shared" ref="C131:BN131" si="194">IF(C129&lt;0,0,$B$5+$B$6*((1-EXP(-C130/$B$9))/(C130/$B$9))+$B$7*((1-EXP(-C130/$B$9))/(C130/$B$9)-EXP(-C130/$B$9))+$B$8*((1-EXP(-C130/$B$10))/(C130/$B$10)-EXP(-C130/$B$10)))</f>
        <v>-1.7616203898278208E-3</v>
      </c>
      <c r="D131" s="140">
        <f t="shared" si="194"/>
        <v>-2.0074237571047369E-3</v>
      </c>
      <c r="E131" s="140">
        <f t="shared" si="194"/>
        <v>-2.2057982043680604E-3</v>
      </c>
      <c r="F131" s="140">
        <f t="shared" si="194"/>
        <v>-2.3611142389228209E-3</v>
      </c>
      <c r="G131" s="140">
        <f t="shared" si="194"/>
        <v>-2.4773441610887138E-3</v>
      </c>
      <c r="H131" s="140">
        <f t="shared" si="194"/>
        <v>-2.5580986669134446E-3</v>
      </c>
      <c r="I131" s="140">
        <f t="shared" si="194"/>
        <v>-2.6066600862900084E-3</v>
      </c>
      <c r="J131" s="140">
        <f t="shared" si="194"/>
        <v>-2.6260125646907287E-3</v>
      </c>
      <c r="K131" s="140">
        <f t="shared" si="194"/>
        <v>-2.6189777039486496E-3</v>
      </c>
      <c r="L131" s="140">
        <f t="shared" si="194"/>
        <v>-2.5879335979013952E-3</v>
      </c>
      <c r="M131" s="140">
        <f t="shared" si="194"/>
        <v>-2.5350936681392839E-3</v>
      </c>
      <c r="N131" s="140">
        <f t="shared" si="194"/>
        <v>-2.4625003677084954E-3</v>
      </c>
      <c r="O131" s="140">
        <f t="shared" si="194"/>
        <v>-2.3720118850254096E-3</v>
      </c>
      <c r="P131" s="140">
        <f t="shared" si="194"/>
        <v>-2.2653190603812989E-3</v>
      </c>
      <c r="Q131" s="140">
        <f t="shared" si="194"/>
        <v>-2.1439607433024282E-3</v>
      </c>
      <c r="R131" s="140">
        <f t="shared" si="194"/>
        <v>-2.0093377340469828E-3</v>
      </c>
      <c r="S131" s="140">
        <f t="shared" si="194"/>
        <v>-1.8635708880593372E-3</v>
      </c>
      <c r="T131" s="140">
        <f t="shared" si="194"/>
        <v>-1.7061879501834359E-3</v>
      </c>
      <c r="U131" s="140">
        <f t="shared" si="194"/>
        <v>-1.5390296436725986E-3</v>
      </c>
      <c r="V131" s="140">
        <f t="shared" si="194"/>
        <v>-1.3630604803989577E-3</v>
      </c>
      <c r="W131" s="140">
        <f t="shared" si="194"/>
        <v>-1.1791595080377407E-3</v>
      </c>
      <c r="X131" s="140">
        <f t="shared" si="194"/>
        <v>-9.8812811309881071E-4</v>
      </c>
      <c r="Y131" s="140">
        <f t="shared" si="194"/>
        <v>-7.9069710341346522E-4</v>
      </c>
      <c r="Z131" s="140">
        <f t="shared" si="194"/>
        <v>-5.8753313652774126E-4</v>
      </c>
      <c r="AA131" s="140">
        <f t="shared" si="194"/>
        <v>-3.8041482617599256E-4</v>
      </c>
      <c r="AB131" s="140">
        <f t="shared" si="194"/>
        <v>-1.6758089230968455E-4</v>
      </c>
      <c r="AC131" s="140">
        <f t="shared" si="194"/>
        <v>4.9317918521179366E-5</v>
      </c>
      <c r="AD131" s="140">
        <f t="shared" si="194"/>
        <v>2.698181161517074E-4</v>
      </c>
      <c r="AE131" s="140">
        <f t="shared" si="194"/>
        <v>4.9349612249892545E-4</v>
      </c>
      <c r="AF131" s="140">
        <f t="shared" si="194"/>
        <v>7.1996467563671847E-4</v>
      </c>
      <c r="AG131" s="140">
        <f t="shared" si="194"/>
        <v>9.4886956588362964E-4</v>
      </c>
      <c r="AH131" s="140">
        <f t="shared" si="194"/>
        <v>1.1798866731710465E-3</v>
      </c>
      <c r="AI131" s="140">
        <f t="shared" si="194"/>
        <v>1.4114212582549781E-3</v>
      </c>
      <c r="AJ131" s="140">
        <f t="shared" si="194"/>
        <v>1.6457897313144681E-3</v>
      </c>
      <c r="AK131" s="140">
        <f t="shared" si="194"/>
        <v>1.8814542480344531E-3</v>
      </c>
      <c r="AL131" s="140">
        <f t="shared" si="194"/>
        <v>2.118186412014549E-3</v>
      </c>
      <c r="AM131" s="140">
        <f t="shared" si="194"/>
        <v>2.355776740912161E-3</v>
      </c>
      <c r="AN131" s="140">
        <f t="shared" si="194"/>
        <v>2.5940330069206901E-3</v>
      </c>
      <c r="AO131" s="140">
        <f t="shared" si="194"/>
        <v>2.8327787297886104E-3</v>
      </c>
      <c r="AP131" s="140">
        <f t="shared" si="194"/>
        <v>3.0718518082133435E-3</v>
      </c>
      <c r="AQ131" s="140">
        <f t="shared" si="194"/>
        <v>3.3097738659229265E-3</v>
      </c>
      <c r="AR131" s="140">
        <f t="shared" si="194"/>
        <v>3.5490668933162483E-3</v>
      </c>
      <c r="AS131" s="140">
        <f t="shared" si="194"/>
        <v>3.7882760451869294E-3</v>
      </c>
      <c r="AT131" s="140">
        <f t="shared" si="194"/>
        <v>4.0272853383827422E-3</v>
      </c>
      <c r="AU131" s="140">
        <f t="shared" si="194"/>
        <v>4.2659879953006611E-3</v>
      </c>
      <c r="AV131" s="140">
        <f t="shared" si="194"/>
        <v>4.5042856732101927E-3</v>
      </c>
      <c r="AW131" s="140">
        <f t="shared" si="194"/>
        <v>4.7420877635044514E-3</v>
      </c>
      <c r="AX131" s="140">
        <f t="shared" si="194"/>
        <v>4.9793107543736293E-3</v>
      </c>
      <c r="AY131" s="140">
        <f t="shared" si="194"/>
        <v>5.2145653358492651E-3</v>
      </c>
      <c r="AZ131" s="140">
        <f t="shared" si="194"/>
        <v>5.4504093580363608E-3</v>
      </c>
      <c r="BA131" s="140">
        <f t="shared" si="194"/>
        <v>5.6854611335888667E-3</v>
      </c>
      <c r="BB131" s="140">
        <f t="shared" si="194"/>
        <v>5.9196602107081464E-3</v>
      </c>
      <c r="BC131" s="140">
        <f t="shared" si="194"/>
        <v>6.1529508128936984E-3</v>
      </c>
      <c r="BD131" s="140">
        <f t="shared" si="194"/>
        <v>6.3852814756007311E-3</v>
      </c>
      <c r="BE131" s="140">
        <f t="shared" si="194"/>
        <v>6.6166047149461074E-3</v>
      </c>
      <c r="BF131" s="140">
        <f t="shared" si="194"/>
        <v>6.8468767254875737E-3</v>
      </c>
      <c r="BG131" s="140">
        <f t="shared" si="194"/>
        <v>7.0747869653167723E-3</v>
      </c>
      <c r="BH131" s="140">
        <f t="shared" si="194"/>
        <v>7.3028448294125883E-3</v>
      </c>
      <c r="BI131" s="140">
        <f t="shared" si="194"/>
        <v>7.5297396610798876E-3</v>
      </c>
      <c r="BJ131" s="140">
        <f t="shared" si="194"/>
        <v>7.7554398241318663E-3</v>
      </c>
      <c r="BK131" s="140">
        <f t="shared" si="194"/>
        <v>7.9799162007995611E-3</v>
      </c>
      <c r="BL131" s="140">
        <f t="shared" si="194"/>
        <v>8.2031420152808565E-3</v>
      </c>
      <c r="BM131" s="140">
        <f t="shared" si="194"/>
        <v>8.4250926720400993E-3</v>
      </c>
      <c r="BN131" s="140">
        <f t="shared" si="194"/>
        <v>8.6457456075030303E-3</v>
      </c>
      <c r="BO131" s="140">
        <f t="shared" ref="BO131:CB131" si="195">IF(BO129&lt;0,0,$B$5+$B$6*((1-EXP(-BO130/$B$9))/(BO130/$B$9))+$B$7*((1-EXP(-BO130/$B$9))/(BO130/$B$9)-EXP(-BO130/$B$9))+$B$8*((1-EXP(-BO130/$B$10))/(BO130/$B$10)-EXP(-BO130/$B$10)))</f>
        <v>8.8638653059954636E-3</v>
      </c>
      <c r="BP131" s="140">
        <f t="shared" si="195"/>
        <v>9.0818700448292572E-3</v>
      </c>
      <c r="BQ131" s="140">
        <f t="shared" si="195"/>
        <v>9.2985203477065348E-3</v>
      </c>
      <c r="BR131" s="140">
        <f t="shared" si="195"/>
        <v>9.513800514783512E-3</v>
      </c>
      <c r="BS131" s="140">
        <f t="shared" si="195"/>
        <v>9.7276962989348518E-3</v>
      </c>
      <c r="BT131" s="140">
        <f t="shared" si="195"/>
        <v>9.940194815668834E-3</v>
      </c>
      <c r="BU131" s="140">
        <f t="shared" si="195"/>
        <v>1.0151284459921797E-2</v>
      </c>
      <c r="BV131" s="140">
        <f t="shared" si="195"/>
        <v>1.0360954829115986E-2</v>
      </c>
      <c r="BW131" s="140">
        <f t="shared" si="195"/>
        <v>1.0568043714590709E-2</v>
      </c>
      <c r="BX131" s="140">
        <f t="shared" si="195"/>
        <v>1.0774856787649894E-2</v>
      </c>
      <c r="BY131" s="140">
        <f t="shared" si="195"/>
        <v>1.0980225943352509E-2</v>
      </c>
      <c r="BZ131" s="140">
        <f t="shared" si="195"/>
        <v>1.1184144921338322E-2</v>
      </c>
      <c r="CA131" s="140">
        <f t="shared" si="195"/>
        <v>1.1386608355463216E-2</v>
      </c>
      <c r="CB131" s="140">
        <f t="shared" si="195"/>
        <v>1.1587611724372407E-2</v>
      </c>
      <c r="CC131" s="17"/>
      <c r="CD131" s="17"/>
      <c r="CE131" s="17"/>
    </row>
    <row r="132" spans="1:83">
      <c r="A132" s="16" t="s">
        <v>44</v>
      </c>
      <c r="B132" s="140">
        <f>EXP(-B131*B130)</f>
        <v>1.0006840819132978</v>
      </c>
      <c r="C132" s="140">
        <f t="shared" ref="C132:AR132" si="196">EXP(-C131*C130)</f>
        <v>1.0016994487492292</v>
      </c>
      <c r="D132" s="140">
        <f t="shared" si="196"/>
        <v>1.0029429673841359</v>
      </c>
      <c r="E132" s="140">
        <f t="shared" si="196"/>
        <v>1.0043413390113287</v>
      </c>
      <c r="F132" s="140">
        <f t="shared" si="196"/>
        <v>1.0058344777884911</v>
      </c>
      <c r="G132" s="140">
        <f t="shared" si="196"/>
        <v>1.0073695956193454</v>
      </c>
      <c r="H132" s="140">
        <f t="shared" si="196"/>
        <v>1.0089003441528046</v>
      </c>
      <c r="I132" s="140">
        <f t="shared" si="196"/>
        <v>1.0103860756715071</v>
      </c>
      <c r="J132" s="140">
        <f t="shared" si="196"/>
        <v>1.0117912028762706</v>
      </c>
      <c r="K132" s="140">
        <f t="shared" si="196"/>
        <v>1.0130778156924627</v>
      </c>
      <c r="L132" s="140">
        <f t="shared" si="196"/>
        <v>1.0142333358287576</v>
      </c>
      <c r="M132" s="140">
        <f t="shared" si="196"/>
        <v>1.0152267382986668</v>
      </c>
      <c r="N132" s="140">
        <f t="shared" si="196"/>
        <v>1.0160377342606246</v>
      </c>
      <c r="O132" s="140">
        <f t="shared" si="196"/>
        <v>1.0166489120979798</v>
      </c>
      <c r="P132" s="140">
        <f t="shared" si="196"/>
        <v>1.0170454407228098</v>
      </c>
      <c r="Q132" s="140">
        <f t="shared" si="196"/>
        <v>1.0172148055854386</v>
      </c>
      <c r="R132" s="140">
        <f t="shared" si="196"/>
        <v>1.017146573239319</v>
      </c>
      <c r="S132" s="140">
        <f t="shared" si="196"/>
        <v>1.0168346209134616</v>
      </c>
      <c r="T132" s="140">
        <f t="shared" si="196"/>
        <v>1.0162686102305045</v>
      </c>
      <c r="U132" s="140">
        <f t="shared" si="196"/>
        <v>1.0154442182519123</v>
      </c>
      <c r="V132" s="140">
        <f t="shared" si="196"/>
        <v>1.0143574327704861</v>
      </c>
      <c r="W132" s="140">
        <f t="shared" si="196"/>
        <v>1.0130054678602416</v>
      </c>
      <c r="X132" s="140">
        <f t="shared" si="196"/>
        <v>1.0113866411450096</v>
      </c>
      <c r="Y132" s="140">
        <f t="shared" si="196"/>
        <v>1.0095002632347954</v>
      </c>
      <c r="Z132" s="140">
        <f t="shared" si="196"/>
        <v>1.0073465380255131</v>
      </c>
      <c r="AA132" s="140">
        <f t="shared" si="196"/>
        <v>1.0049406503756551</v>
      </c>
      <c r="AB132" s="140">
        <f t="shared" si="196"/>
        <v>1.0022574381919429</v>
      </c>
      <c r="AC132" s="140">
        <f t="shared" si="196"/>
        <v>0.9993119778440569</v>
      </c>
      <c r="AD132" s="140">
        <f t="shared" si="196"/>
        <v>0.99610722579845279</v>
      </c>
      <c r="AE132" s="140">
        <f t="shared" si="196"/>
        <v>0.9926466603960632</v>
      </c>
      <c r="AF132" s="140">
        <f t="shared" si="196"/>
        <v>0.98893422707778988</v>
      </c>
      <c r="AG132" s="140">
        <f t="shared" si="196"/>
        <v>0.98497428862114367</v>
      </c>
      <c r="AH132" s="140">
        <f t="shared" si="196"/>
        <v>0.98077157986879915</v>
      </c>
      <c r="AI132" s="140">
        <f t="shared" si="196"/>
        <v>0.97635648235440953</v>
      </c>
      <c r="AJ132" s="140">
        <f t="shared" si="196"/>
        <v>0.97168499870721459</v>
      </c>
      <c r="AK132" s="140">
        <f t="shared" si="196"/>
        <v>0.96678675506490985</v>
      </c>
      <c r="AL132" s="140">
        <f t="shared" si="196"/>
        <v>0.96166759520939815</v>
      </c>
      <c r="AM132" s="140">
        <f t="shared" si="196"/>
        <v>0.95633356151862159</v>
      </c>
      <c r="AN132" s="140">
        <f t="shared" si="196"/>
        <v>0.95079086843157878</v>
      </c>
      <c r="AO132" s="140">
        <f t="shared" si="196"/>
        <v>0.94504587802795592</v>
      </c>
      <c r="AP132" s="140">
        <f t="shared" si="196"/>
        <v>0.93910507751323358</v>
      </c>
      <c r="AQ132" s="140">
        <f t="shared" si="196"/>
        <v>0.93300962454522107</v>
      </c>
      <c r="AR132" s="140">
        <f t="shared" si="196"/>
        <v>0.92669805905469849</v>
      </c>
      <c r="AS132" s="140">
        <f>EXP(-AS131*AS130)</f>
        <v>0.92021065788153633</v>
      </c>
      <c r="AT132" s="140">
        <f t="shared" ref="AT132:CA132" si="197">EXP(-AT131*AT130)</f>
        <v>0.91355421538318227</v>
      </c>
      <c r="AU132" s="140">
        <f t="shared" si="197"/>
        <v>0.90673556132444333</v>
      </c>
      <c r="AV132" s="140">
        <f t="shared" si="197"/>
        <v>0.89976154655343787</v>
      </c>
      <c r="AW132" s="140">
        <f t="shared" si="197"/>
        <v>0.89263902965531139</v>
      </c>
      <c r="AX132" s="140">
        <f t="shared" si="197"/>
        <v>0.8853748645056867</v>
      </c>
      <c r="AY132" s="140">
        <f t="shared" si="197"/>
        <v>0.87801735394799518</v>
      </c>
      <c r="AZ132" s="140">
        <f t="shared" si="197"/>
        <v>0.87049107014156224</v>
      </c>
      <c r="BA132" s="140">
        <f t="shared" si="197"/>
        <v>0.86284352159078592</v>
      </c>
      <c r="BB132" s="140">
        <f t="shared" si="197"/>
        <v>0.85508143490959398</v>
      </c>
      <c r="BC132" s="140">
        <f t="shared" si="197"/>
        <v>0.84721148117757361</v>
      </c>
      <c r="BD132" s="140">
        <f t="shared" si="197"/>
        <v>0.83924026770198001</v>
      </c>
      <c r="BE132" s="140">
        <f t="shared" si="197"/>
        <v>0.83117433034031929</v>
      </c>
      <c r="BF132" s="140">
        <f t="shared" si="197"/>
        <v>0.82302012635469857</v>
      </c>
      <c r="BG132" s="140">
        <f t="shared" si="197"/>
        <v>0.81482999851875371</v>
      </c>
      <c r="BH132" s="140">
        <f t="shared" si="197"/>
        <v>0.80651868887878309</v>
      </c>
      <c r="BI132" s="140">
        <f t="shared" si="197"/>
        <v>0.79813791475107354</v>
      </c>
      <c r="BJ132" s="140">
        <f t="shared" si="197"/>
        <v>0.78969375792835061</v>
      </c>
      <c r="BK132" s="140">
        <f t="shared" si="197"/>
        <v>0.78119219306419507</v>
      </c>
      <c r="BL132" s="140">
        <f t="shared" si="197"/>
        <v>0.77263908325354003</v>
      </c>
      <c r="BM132" s="140">
        <f t="shared" si="197"/>
        <v>0.76404017600727114</v>
      </c>
      <c r="BN132" s="140">
        <f t="shared" si="197"/>
        <v>0.75540109960662793</v>
      </c>
      <c r="BO132" s="140">
        <f t="shared" si="197"/>
        <v>0.74677563307992867</v>
      </c>
      <c r="BP132" s="140">
        <f t="shared" si="197"/>
        <v>0.73807275830711483</v>
      </c>
      <c r="BQ132" s="140">
        <f t="shared" si="197"/>
        <v>0.72934582398348535</v>
      </c>
      <c r="BR132" s="140">
        <f t="shared" si="197"/>
        <v>0.72059995287622669</v>
      </c>
      <c r="BS132" s="140">
        <f t="shared" si="197"/>
        <v>0.71184013554321612</v>
      </c>
      <c r="BT132" s="140">
        <f t="shared" si="197"/>
        <v>0.70307122869494409</v>
      </c>
      <c r="BU132" s="140">
        <f t="shared" si="197"/>
        <v>0.69429795384945825</v>
      </c>
      <c r="BV132" s="140">
        <f t="shared" si="197"/>
        <v>0.68552489626884183</v>
      </c>
      <c r="BW132" s="140">
        <f t="shared" si="197"/>
        <v>0.67680519658776639</v>
      </c>
      <c r="BX132" s="140">
        <f t="shared" si="197"/>
        <v>0.66804571906963095</v>
      </c>
      <c r="BY132" s="140">
        <f t="shared" si="197"/>
        <v>0.65929936761499752</v>
      </c>
      <c r="BZ132" s="140">
        <f t="shared" si="197"/>
        <v>0.65057017782642657</v>
      </c>
      <c r="CA132" s="140">
        <f t="shared" si="197"/>
        <v>0.64186204755831311</v>
      </c>
      <c r="CB132" s="140">
        <f>EXP(-CB131*CB130)</f>
        <v>0.63317873730482188</v>
      </c>
      <c r="CC132" s="17"/>
      <c r="CD132" s="17"/>
      <c r="CE132" s="17"/>
    </row>
    <row r="133" spans="1:83">
      <c r="A133" s="17"/>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17"/>
      <c r="CD133" s="17"/>
      <c r="CE133" s="17"/>
    </row>
    <row r="134" spans="1:83">
      <c r="A134" s="16" t="s">
        <v>40</v>
      </c>
      <c r="B134" s="140">
        <f t="shared" ref="B134:BM134" si="198">DAYS360($B$3,B50)</f>
        <v>78</v>
      </c>
      <c r="C134" s="140">
        <f t="shared" si="198"/>
        <v>258</v>
      </c>
      <c r="D134" s="140">
        <f t="shared" si="198"/>
        <v>437</v>
      </c>
      <c r="E134" s="140">
        <f t="shared" si="198"/>
        <v>618</v>
      </c>
      <c r="F134" s="140">
        <f t="shared" si="198"/>
        <v>797</v>
      </c>
      <c r="G134" s="140">
        <f t="shared" si="198"/>
        <v>978</v>
      </c>
      <c r="H134" s="140">
        <f t="shared" si="198"/>
        <v>1157</v>
      </c>
      <c r="I134" s="140">
        <f t="shared" si="198"/>
        <v>1338</v>
      </c>
      <c r="J134" s="140">
        <f t="shared" si="198"/>
        <v>1517</v>
      </c>
      <c r="K134" s="140">
        <f t="shared" si="198"/>
        <v>1697</v>
      </c>
      <c r="L134" s="140">
        <f t="shared" si="198"/>
        <v>1876</v>
      </c>
      <c r="M134" s="140">
        <f t="shared" si="198"/>
        <v>2057</v>
      </c>
      <c r="N134" s="140">
        <f t="shared" si="198"/>
        <v>2236</v>
      </c>
      <c r="O134" s="140">
        <f t="shared" si="198"/>
        <v>2417</v>
      </c>
      <c r="P134" s="140">
        <f t="shared" si="198"/>
        <v>2596</v>
      </c>
      <c r="Q134" s="140">
        <f t="shared" si="198"/>
        <v>2777</v>
      </c>
      <c r="R134" s="140">
        <f t="shared" si="198"/>
        <v>2956</v>
      </c>
      <c r="S134" s="140">
        <f t="shared" si="198"/>
        <v>3136</v>
      </c>
      <c r="T134" s="140">
        <f t="shared" si="198"/>
        <v>3315</v>
      </c>
      <c r="U134" s="140">
        <f t="shared" si="198"/>
        <v>3496</v>
      </c>
      <c r="V134" s="140">
        <f t="shared" si="198"/>
        <v>3675</v>
      </c>
      <c r="W134" s="140">
        <f t="shared" si="198"/>
        <v>3856</v>
      </c>
      <c r="X134" s="140">
        <f t="shared" si="198"/>
        <v>4035</v>
      </c>
      <c r="Y134" s="140">
        <f t="shared" si="198"/>
        <v>4216</v>
      </c>
      <c r="Z134" s="140">
        <f t="shared" si="198"/>
        <v>4395</v>
      </c>
      <c r="AA134" s="140">
        <f t="shared" si="198"/>
        <v>4575</v>
      </c>
      <c r="AB134" s="140">
        <f t="shared" si="198"/>
        <v>4754</v>
      </c>
      <c r="AC134" s="140">
        <f t="shared" si="198"/>
        <v>4935</v>
      </c>
      <c r="AD134" s="140">
        <f t="shared" si="198"/>
        <v>5114</v>
      </c>
      <c r="AE134" s="140">
        <f t="shared" si="198"/>
        <v>5295</v>
      </c>
      <c r="AF134" s="140">
        <f t="shared" si="198"/>
        <v>5474</v>
      </c>
      <c r="AG134" s="140">
        <f t="shared" si="198"/>
        <v>5655</v>
      </c>
      <c r="AH134" s="140">
        <f t="shared" si="198"/>
        <v>5834</v>
      </c>
      <c r="AI134" s="140">
        <f t="shared" si="198"/>
        <v>6014</v>
      </c>
      <c r="AJ134" s="140">
        <f t="shared" si="198"/>
        <v>6193</v>
      </c>
      <c r="AK134" s="140">
        <f t="shared" si="198"/>
        <v>6374</v>
      </c>
      <c r="AL134" s="140">
        <f t="shared" si="198"/>
        <v>6553</v>
      </c>
      <c r="AM134" s="140">
        <f t="shared" si="198"/>
        <v>6734</v>
      </c>
      <c r="AN134" s="140">
        <f t="shared" si="198"/>
        <v>6913</v>
      </c>
      <c r="AO134" s="140">
        <f t="shared" si="198"/>
        <v>7094</v>
      </c>
      <c r="AP134" s="140">
        <f t="shared" si="198"/>
        <v>7273</v>
      </c>
      <c r="AQ134" s="140">
        <f t="shared" si="198"/>
        <v>7453</v>
      </c>
      <c r="AR134" s="140">
        <f t="shared" si="198"/>
        <v>7632</v>
      </c>
      <c r="AS134" s="140">
        <f t="shared" si="198"/>
        <v>7813</v>
      </c>
      <c r="AT134" s="140">
        <f t="shared" si="198"/>
        <v>7992</v>
      </c>
      <c r="AU134" s="140">
        <f t="shared" si="198"/>
        <v>8173</v>
      </c>
      <c r="AV134" s="140">
        <f t="shared" si="198"/>
        <v>8352</v>
      </c>
      <c r="AW134" s="140">
        <f t="shared" si="198"/>
        <v>8533</v>
      </c>
      <c r="AX134" s="140">
        <f t="shared" si="198"/>
        <v>8712</v>
      </c>
      <c r="AY134" s="140">
        <f t="shared" si="198"/>
        <v>8892</v>
      </c>
      <c r="AZ134" s="140">
        <f t="shared" si="198"/>
        <v>9071</v>
      </c>
      <c r="BA134" s="140">
        <f t="shared" si="198"/>
        <v>9252</v>
      </c>
      <c r="BB134" s="140">
        <f t="shared" si="198"/>
        <v>9431</v>
      </c>
      <c r="BC134" s="140">
        <f t="shared" si="198"/>
        <v>9612</v>
      </c>
      <c r="BD134" s="140">
        <f t="shared" si="198"/>
        <v>9791</v>
      </c>
      <c r="BE134" s="140">
        <f t="shared" si="198"/>
        <v>9972</v>
      </c>
      <c r="BF134" s="140">
        <f t="shared" si="198"/>
        <v>10151</v>
      </c>
      <c r="BG134" s="140">
        <f t="shared" si="198"/>
        <v>10331</v>
      </c>
      <c r="BH134" s="140">
        <f t="shared" si="198"/>
        <v>10510</v>
      </c>
      <c r="BI134" s="140">
        <f t="shared" si="198"/>
        <v>10691</v>
      </c>
      <c r="BJ134" s="140">
        <f t="shared" si="198"/>
        <v>10870</v>
      </c>
      <c r="BK134" s="140">
        <f t="shared" si="198"/>
        <v>11051</v>
      </c>
      <c r="BL134" s="140">
        <f t="shared" si="198"/>
        <v>11230</v>
      </c>
      <c r="BM134" s="140">
        <f t="shared" si="198"/>
        <v>11411</v>
      </c>
      <c r="BN134" s="140">
        <f t="shared" ref="BN134:CB134" si="199">DAYS360($B$3,BN50)</f>
        <v>11590</v>
      </c>
      <c r="BO134" s="140">
        <f t="shared" si="199"/>
        <v>11770</v>
      </c>
      <c r="BP134" s="140">
        <f t="shared" si="199"/>
        <v>11949</v>
      </c>
      <c r="BQ134" s="140">
        <f t="shared" si="199"/>
        <v>12130</v>
      </c>
      <c r="BR134" s="140">
        <f t="shared" si="199"/>
        <v>12309</v>
      </c>
      <c r="BS134" s="140">
        <f t="shared" si="199"/>
        <v>12490</v>
      </c>
      <c r="BT134" s="140">
        <f t="shared" si="199"/>
        <v>12669</v>
      </c>
      <c r="BU134" s="140">
        <f t="shared" si="199"/>
        <v>12850</v>
      </c>
      <c r="BV134" s="140">
        <f t="shared" si="199"/>
        <v>13029</v>
      </c>
      <c r="BW134" s="140">
        <f t="shared" si="199"/>
        <v>13209</v>
      </c>
      <c r="BX134" s="140">
        <f t="shared" si="199"/>
        <v>13388</v>
      </c>
      <c r="BY134" s="140">
        <f t="shared" si="199"/>
        <v>13569</v>
      </c>
      <c r="BZ134" s="140">
        <f t="shared" si="199"/>
        <v>13748</v>
      </c>
      <c r="CA134" s="140">
        <f t="shared" si="199"/>
        <v>13929</v>
      </c>
      <c r="CB134" s="140">
        <f t="shared" si="199"/>
        <v>14108</v>
      </c>
      <c r="CC134" s="17"/>
      <c r="CD134" s="17"/>
      <c r="CE134" s="17"/>
    </row>
    <row r="135" spans="1:83">
      <c r="A135" s="16" t="s">
        <v>41</v>
      </c>
      <c r="B135" s="140">
        <f>B134/360</f>
        <v>0.21666666666666667</v>
      </c>
      <c r="C135" s="140">
        <f t="shared" ref="C135:BN135" si="200">C134/360</f>
        <v>0.71666666666666667</v>
      </c>
      <c r="D135" s="140">
        <f t="shared" si="200"/>
        <v>1.2138888888888888</v>
      </c>
      <c r="E135" s="140">
        <f t="shared" si="200"/>
        <v>1.7166666666666666</v>
      </c>
      <c r="F135" s="140">
        <f t="shared" si="200"/>
        <v>2.213888888888889</v>
      </c>
      <c r="G135" s="140">
        <f t="shared" si="200"/>
        <v>2.7166666666666668</v>
      </c>
      <c r="H135" s="140">
        <f t="shared" si="200"/>
        <v>3.213888888888889</v>
      </c>
      <c r="I135" s="140">
        <f t="shared" si="200"/>
        <v>3.7166666666666668</v>
      </c>
      <c r="J135" s="140">
        <f t="shared" si="200"/>
        <v>4.2138888888888886</v>
      </c>
      <c r="K135" s="140">
        <f t="shared" si="200"/>
        <v>4.7138888888888886</v>
      </c>
      <c r="L135" s="140">
        <f t="shared" si="200"/>
        <v>5.2111111111111112</v>
      </c>
      <c r="M135" s="140">
        <f t="shared" si="200"/>
        <v>5.7138888888888886</v>
      </c>
      <c r="N135" s="140">
        <f t="shared" si="200"/>
        <v>6.2111111111111112</v>
      </c>
      <c r="O135" s="140">
        <f t="shared" si="200"/>
        <v>6.7138888888888886</v>
      </c>
      <c r="P135" s="140">
        <f t="shared" si="200"/>
        <v>7.2111111111111112</v>
      </c>
      <c r="Q135" s="140">
        <f t="shared" si="200"/>
        <v>7.7138888888888886</v>
      </c>
      <c r="R135" s="140">
        <f t="shared" si="200"/>
        <v>8.2111111111111104</v>
      </c>
      <c r="S135" s="140">
        <f t="shared" si="200"/>
        <v>8.7111111111111104</v>
      </c>
      <c r="T135" s="140">
        <f t="shared" si="200"/>
        <v>9.2083333333333339</v>
      </c>
      <c r="U135" s="140">
        <f t="shared" si="200"/>
        <v>9.7111111111111104</v>
      </c>
      <c r="V135" s="140">
        <f t="shared" si="200"/>
        <v>10.208333333333334</v>
      </c>
      <c r="W135" s="140">
        <f t="shared" si="200"/>
        <v>10.71111111111111</v>
      </c>
      <c r="X135" s="140">
        <f t="shared" si="200"/>
        <v>11.208333333333334</v>
      </c>
      <c r="Y135" s="140">
        <f t="shared" si="200"/>
        <v>11.71111111111111</v>
      </c>
      <c r="Z135" s="140">
        <f t="shared" si="200"/>
        <v>12.208333333333334</v>
      </c>
      <c r="AA135" s="140">
        <f t="shared" si="200"/>
        <v>12.708333333333334</v>
      </c>
      <c r="AB135" s="140">
        <f t="shared" si="200"/>
        <v>13.205555555555556</v>
      </c>
      <c r="AC135" s="140">
        <f t="shared" si="200"/>
        <v>13.708333333333334</v>
      </c>
      <c r="AD135" s="140">
        <f t="shared" si="200"/>
        <v>14.205555555555556</v>
      </c>
      <c r="AE135" s="140">
        <f t="shared" si="200"/>
        <v>14.708333333333334</v>
      </c>
      <c r="AF135" s="140">
        <f t="shared" si="200"/>
        <v>15.205555555555556</v>
      </c>
      <c r="AG135" s="140">
        <f t="shared" si="200"/>
        <v>15.708333333333334</v>
      </c>
      <c r="AH135" s="140">
        <f t="shared" si="200"/>
        <v>16.205555555555556</v>
      </c>
      <c r="AI135" s="140">
        <f t="shared" si="200"/>
        <v>16.705555555555556</v>
      </c>
      <c r="AJ135" s="140">
        <f t="shared" si="200"/>
        <v>17.202777777777779</v>
      </c>
      <c r="AK135" s="140">
        <f t="shared" si="200"/>
        <v>17.705555555555556</v>
      </c>
      <c r="AL135" s="140">
        <f t="shared" si="200"/>
        <v>18.202777777777779</v>
      </c>
      <c r="AM135" s="140">
        <f t="shared" si="200"/>
        <v>18.705555555555556</v>
      </c>
      <c r="AN135" s="140">
        <f t="shared" si="200"/>
        <v>19.202777777777779</v>
      </c>
      <c r="AO135" s="140">
        <f t="shared" si="200"/>
        <v>19.705555555555556</v>
      </c>
      <c r="AP135" s="140">
        <f t="shared" si="200"/>
        <v>20.202777777777779</v>
      </c>
      <c r="AQ135" s="140">
        <f t="shared" si="200"/>
        <v>20.702777777777779</v>
      </c>
      <c r="AR135" s="140">
        <f t="shared" si="200"/>
        <v>21.2</v>
      </c>
      <c r="AS135" s="140">
        <f t="shared" si="200"/>
        <v>21.702777777777779</v>
      </c>
      <c r="AT135" s="140">
        <f t="shared" si="200"/>
        <v>22.2</v>
      </c>
      <c r="AU135" s="140">
        <f t="shared" si="200"/>
        <v>22.702777777777779</v>
      </c>
      <c r="AV135" s="140">
        <f t="shared" si="200"/>
        <v>23.2</v>
      </c>
      <c r="AW135" s="140">
        <f t="shared" si="200"/>
        <v>23.702777777777779</v>
      </c>
      <c r="AX135" s="140">
        <f t="shared" si="200"/>
        <v>24.2</v>
      </c>
      <c r="AY135" s="140">
        <f t="shared" si="200"/>
        <v>24.7</v>
      </c>
      <c r="AZ135" s="140">
        <f t="shared" si="200"/>
        <v>25.197222222222223</v>
      </c>
      <c r="BA135" s="140">
        <f t="shared" si="200"/>
        <v>25.7</v>
      </c>
      <c r="BB135" s="140">
        <f t="shared" si="200"/>
        <v>26.197222222222223</v>
      </c>
      <c r="BC135" s="140">
        <f t="shared" si="200"/>
        <v>26.7</v>
      </c>
      <c r="BD135" s="140">
        <f t="shared" si="200"/>
        <v>27.197222222222223</v>
      </c>
      <c r="BE135" s="140">
        <f t="shared" si="200"/>
        <v>27.7</v>
      </c>
      <c r="BF135" s="140">
        <f t="shared" si="200"/>
        <v>28.197222222222223</v>
      </c>
      <c r="BG135" s="140">
        <f t="shared" si="200"/>
        <v>28.697222222222223</v>
      </c>
      <c r="BH135" s="140">
        <f t="shared" si="200"/>
        <v>29.194444444444443</v>
      </c>
      <c r="BI135" s="140">
        <f t="shared" si="200"/>
        <v>29.697222222222223</v>
      </c>
      <c r="BJ135" s="140">
        <f t="shared" si="200"/>
        <v>30.194444444444443</v>
      </c>
      <c r="BK135" s="140">
        <f t="shared" si="200"/>
        <v>30.697222222222223</v>
      </c>
      <c r="BL135" s="140">
        <f t="shared" si="200"/>
        <v>31.194444444444443</v>
      </c>
      <c r="BM135" s="140">
        <f t="shared" si="200"/>
        <v>31.697222222222223</v>
      </c>
      <c r="BN135" s="140">
        <f t="shared" si="200"/>
        <v>32.194444444444443</v>
      </c>
      <c r="BO135" s="140">
        <f t="shared" ref="BO135:CB135" si="201">BO134/360</f>
        <v>32.694444444444443</v>
      </c>
      <c r="BP135" s="140">
        <f t="shared" si="201"/>
        <v>33.19166666666667</v>
      </c>
      <c r="BQ135" s="140">
        <f t="shared" si="201"/>
        <v>33.694444444444443</v>
      </c>
      <c r="BR135" s="140">
        <f t="shared" si="201"/>
        <v>34.19166666666667</v>
      </c>
      <c r="BS135" s="140">
        <f t="shared" si="201"/>
        <v>34.694444444444443</v>
      </c>
      <c r="BT135" s="140">
        <f t="shared" si="201"/>
        <v>35.19166666666667</v>
      </c>
      <c r="BU135" s="140">
        <f t="shared" si="201"/>
        <v>35.694444444444443</v>
      </c>
      <c r="BV135" s="140">
        <f t="shared" si="201"/>
        <v>36.19166666666667</v>
      </c>
      <c r="BW135" s="140">
        <f t="shared" si="201"/>
        <v>36.69166666666667</v>
      </c>
      <c r="BX135" s="140">
        <f t="shared" si="201"/>
        <v>37.18888888888889</v>
      </c>
      <c r="BY135" s="140">
        <f t="shared" si="201"/>
        <v>37.69166666666667</v>
      </c>
      <c r="BZ135" s="140">
        <f t="shared" si="201"/>
        <v>38.18888888888889</v>
      </c>
      <c r="CA135" s="140">
        <f t="shared" si="201"/>
        <v>38.69166666666667</v>
      </c>
      <c r="CB135" s="140">
        <f t="shared" si="201"/>
        <v>39.18888888888889</v>
      </c>
      <c r="CC135" s="17"/>
      <c r="CD135" s="17"/>
      <c r="CE135" s="17"/>
    </row>
    <row r="136" spans="1:83">
      <c r="A136" s="16" t="s">
        <v>43</v>
      </c>
      <c r="B136" s="140">
        <f>IF(B134&lt;0,0,$B$5+$B$6*((1-EXP(-B135/$B$9))/(B135/$B$9))+$B$7*((1-EXP(-B135/$B$9))/(B135/$B$9)-EXP(-B135/$B$9))+$B$8*((1-EXP(-B135/$B$10))/(B135/$B$10)-EXP(-B135/$B$10)))</f>
        <v>-1.2953087605009255E-3</v>
      </c>
      <c r="C136" s="140">
        <f t="shared" ref="C136:BN136" si="202">IF(C134&lt;0,0,$B$5+$B$6*((1-EXP(-C135/$B$9))/(C135/$B$9))+$B$7*((1-EXP(-C135/$B$9))/(C135/$B$9)-EXP(-C135/$B$9))+$B$8*((1-EXP(-C135/$B$10))/(C135/$B$10)-EXP(-C135/$B$10)))</f>
        <v>-1.6211020717589761E-3</v>
      </c>
      <c r="D136" s="140">
        <f t="shared" si="202"/>
        <v>-1.8907404753556243E-3</v>
      </c>
      <c r="E136" s="140">
        <f t="shared" si="202"/>
        <v>-2.1133570255532841E-3</v>
      </c>
      <c r="F136" s="140">
        <f t="shared" si="202"/>
        <v>-2.2885813676479958E-3</v>
      </c>
      <c r="G136" s="140">
        <f t="shared" si="202"/>
        <v>-2.4245255383396336E-3</v>
      </c>
      <c r="H136" s="140">
        <f t="shared" si="202"/>
        <v>-2.5219433672471411E-3</v>
      </c>
      <c r="I136" s="140">
        <f t="shared" si="202"/>
        <v>-2.5864789715029251E-3</v>
      </c>
      <c r="J136" s="140">
        <f t="shared" si="202"/>
        <v>-2.619811814654822E-3</v>
      </c>
      <c r="K136" s="140">
        <f t="shared" si="202"/>
        <v>-2.6255932587518314E-3</v>
      </c>
      <c r="L136" s="140">
        <f t="shared" si="202"/>
        <v>-2.606315477071719E-3</v>
      </c>
      <c r="M136" s="140">
        <f t="shared" si="202"/>
        <v>-2.5638115820094342E-3</v>
      </c>
      <c r="N136" s="140">
        <f t="shared" si="202"/>
        <v>-2.5011459400013677E-3</v>
      </c>
      <c r="O136" s="140">
        <f t="shared" si="202"/>
        <v>-2.4188802442816266E-3</v>
      </c>
      <c r="P136" s="140">
        <f t="shared" si="202"/>
        <v>-2.32059144502871E-3</v>
      </c>
      <c r="Q136" s="140">
        <f t="shared" si="202"/>
        <v>-2.2057077052865834E-3</v>
      </c>
      <c r="R136" s="140">
        <f t="shared" si="202"/>
        <v>-2.0782248134192239E-3</v>
      </c>
      <c r="S136" s="140">
        <f t="shared" si="202"/>
        <v>-1.937455111028781E-3</v>
      </c>
      <c r="T136" s="140">
        <f t="shared" si="202"/>
        <v>-1.7861651899361251E-3</v>
      </c>
      <c r="U136" s="140">
        <f t="shared" si="202"/>
        <v>-1.6228393128709523E-3</v>
      </c>
      <c r="V136" s="140">
        <f t="shared" si="202"/>
        <v>-1.4520895707154846E-3</v>
      </c>
      <c r="W136" s="140">
        <f t="shared" si="202"/>
        <v>-1.2710276765101275E-3</v>
      </c>
      <c r="X136" s="140">
        <f t="shared" si="202"/>
        <v>-1.0844878620862738E-3</v>
      </c>
      <c r="Y136" s="140">
        <f t="shared" si="202"/>
        <v>-8.8907237510513909E-4</v>
      </c>
      <c r="Z136" s="140">
        <f t="shared" si="202"/>
        <v>-6.8979241604256092E-4</v>
      </c>
      <c r="AA136" s="140">
        <f t="shared" si="202"/>
        <v>-4.8399353067291604E-4</v>
      </c>
      <c r="AB136" s="140">
        <f t="shared" si="202"/>
        <v>-2.7453660173468826E-4</v>
      </c>
      <c r="AC136" s="140">
        <f t="shared" si="202"/>
        <v>-5.840448880103195E-5</v>
      </c>
      <c r="AD136" s="140">
        <f t="shared" si="202"/>
        <v>1.591452092160198E-4</v>
      </c>
      <c r="AE136" s="140">
        <f t="shared" si="202"/>
        <v>3.8252769955380043E-4</v>
      </c>
      <c r="AF136" s="140">
        <f t="shared" si="202"/>
        <v>6.0640445736763081E-4</v>
      </c>
      <c r="AG136" s="140">
        <f t="shared" si="202"/>
        <v>8.354053123539925E-4</v>
      </c>
      <c r="AH136" s="140">
        <f t="shared" si="202"/>
        <v>1.0641332498144518E-3</v>
      </c>
      <c r="AI136" s="140">
        <f t="shared" si="202"/>
        <v>1.2960935813129625E-3</v>
      </c>
      <c r="AJ136" s="140">
        <f t="shared" si="202"/>
        <v>1.5284284269690561E-3</v>
      </c>
      <c r="AK136" s="140">
        <f t="shared" si="202"/>
        <v>1.7647840411522597E-3</v>
      </c>
      <c r="AL136" s="140">
        <f t="shared" si="202"/>
        <v>1.9997003898327864E-3</v>
      </c>
      <c r="AM136" s="140">
        <f t="shared" si="202"/>
        <v>2.2382067085522954E-3</v>
      </c>
      <c r="AN136" s="140">
        <f t="shared" si="202"/>
        <v>2.4748330141953086E-3</v>
      </c>
      <c r="AO136" s="140">
        <f t="shared" si="202"/>
        <v>2.7146815483065972E-3</v>
      </c>
      <c r="AP136" s="140">
        <f t="shared" si="202"/>
        <v>2.9522839540059758E-3</v>
      </c>
      <c r="AQ136" s="140">
        <f t="shared" si="202"/>
        <v>3.1914640725477675E-3</v>
      </c>
      <c r="AR136" s="140">
        <f t="shared" si="202"/>
        <v>3.4294232329004698E-3</v>
      </c>
      <c r="AS136" s="140">
        <f t="shared" si="202"/>
        <v>3.6700183922689254E-3</v>
      </c>
      <c r="AT136" s="140">
        <f t="shared" si="202"/>
        <v>3.9078125540848718E-3</v>
      </c>
      <c r="AU136" s="140">
        <f t="shared" si="202"/>
        <v>4.1480074750510805E-3</v>
      </c>
      <c r="AV136" s="140">
        <f t="shared" si="202"/>
        <v>4.3851932931745939E-3</v>
      </c>
      <c r="AW136" s="140">
        <f t="shared" si="202"/>
        <v>4.624575179290354E-3</v>
      </c>
      <c r="AX136" s="140">
        <f t="shared" si="202"/>
        <v>4.8607766048596665E-3</v>
      </c>
      <c r="AY136" s="140">
        <f t="shared" si="202"/>
        <v>5.0976807868356811E-3</v>
      </c>
      <c r="AZ136" s="140">
        <f t="shared" si="202"/>
        <v>5.332582406261617E-3</v>
      </c>
      <c r="BA136" s="140">
        <f t="shared" si="202"/>
        <v>5.569344013418397E-3</v>
      </c>
      <c r="BB136" s="140">
        <f t="shared" si="202"/>
        <v>5.8026708506391678E-3</v>
      </c>
      <c r="BC136" s="140">
        <f t="shared" si="202"/>
        <v>6.0377184411058351E-3</v>
      </c>
      <c r="BD136" s="140">
        <f t="shared" si="202"/>
        <v>6.2692391940447371E-3</v>
      </c>
      <c r="BE136" s="140">
        <f t="shared" si="202"/>
        <v>6.502356967235271E-3</v>
      </c>
      <c r="BF136" s="140">
        <f t="shared" si="202"/>
        <v>6.7318747256802343E-3</v>
      </c>
      <c r="BG136" s="140">
        <f t="shared" si="202"/>
        <v>6.9616057681954014E-3</v>
      </c>
      <c r="BH136" s="140">
        <f t="shared" si="202"/>
        <v>7.1889591956298959E-3</v>
      </c>
      <c r="BI136" s="140">
        <f t="shared" si="202"/>
        <v>7.417700178721222E-3</v>
      </c>
      <c r="BJ136" s="140">
        <f t="shared" si="202"/>
        <v>7.642740952925468E-3</v>
      </c>
      <c r="BK136" s="140">
        <f t="shared" si="202"/>
        <v>7.8690797902528989E-3</v>
      </c>
      <c r="BL136" s="140">
        <f t="shared" si="202"/>
        <v>8.0916870148342607E-3</v>
      </c>
      <c r="BM136" s="140">
        <f t="shared" si="202"/>
        <v>8.3155112391355927E-3</v>
      </c>
      <c r="BN136" s="140">
        <f t="shared" si="202"/>
        <v>8.5355826895841588E-3</v>
      </c>
      <c r="BO136" s="140">
        <f t="shared" ref="BO136:CB136" si="203">IF(BO134&lt;0,0,$B$5+$B$6*((1-EXP(-BO135/$B$9))/(BO135/$B$9))+$B$7*((1-EXP(-BO135/$B$9))/(BO135/$B$9)-EXP(-BO135/$B$9))+$B$8*((1-EXP(-BO135/$B$10))/(BO135/$B$10)-EXP(-BO135/$B$10)))</f>
        <v>8.7555789005119081E-3</v>
      </c>
      <c r="BP136" s="140">
        <f t="shared" si="203"/>
        <v>8.9730359393047909E-3</v>
      </c>
      <c r="BQ136" s="140">
        <f t="shared" si="203"/>
        <v>9.1915691125536315E-3</v>
      </c>
      <c r="BR136" s="140">
        <f t="shared" si="203"/>
        <v>9.4063326216226196E-3</v>
      </c>
      <c r="BS136" s="140">
        <f t="shared" si="203"/>
        <v>9.6221105823596012E-3</v>
      </c>
      <c r="BT136" s="140">
        <f t="shared" si="203"/>
        <v>9.8341209701012615E-3</v>
      </c>
      <c r="BU136" s="140">
        <f t="shared" si="203"/>
        <v>1.004708912516427E-2</v>
      </c>
      <c r="BV136" s="140">
        <f t="shared" si="203"/>
        <v>1.0256297659074837E-2</v>
      </c>
      <c r="BW136" s="140">
        <f t="shared" si="203"/>
        <v>1.0465254845925611E-2</v>
      </c>
      <c r="BX136" s="140">
        <f t="shared" si="203"/>
        <v>1.0671630313162908E-2</v>
      </c>
      <c r="BY136" s="140">
        <f t="shared" si="203"/>
        <v>1.0878863186872152E-2</v>
      </c>
      <c r="BZ136" s="140">
        <f t="shared" si="203"/>
        <v>1.1082367060306148E-2</v>
      </c>
      <c r="CA136" s="140">
        <f t="shared" si="203"/>
        <v>1.1286683658613784E-2</v>
      </c>
      <c r="CB136" s="140">
        <f t="shared" si="203"/>
        <v>1.1487292798937379E-2</v>
      </c>
      <c r="CC136" s="17"/>
      <c r="CD136" s="17"/>
      <c r="CE136" s="17"/>
    </row>
    <row r="137" spans="1:83">
      <c r="A137" s="16" t="s">
        <v>44</v>
      </c>
      <c r="B137" s="140">
        <f>EXP(-B136*B135)</f>
        <v>1.0002806896174026</v>
      </c>
      <c r="C137" s="140">
        <f t="shared" ref="C137:AR137" si="204">EXP(-C136*C135)</f>
        <v>1.0011624649573159</v>
      </c>
      <c r="D137" s="140">
        <f t="shared" si="204"/>
        <v>1.0022977847251253</v>
      </c>
      <c r="E137" s="140">
        <f t="shared" si="204"/>
        <v>1.0036345184625959</v>
      </c>
      <c r="F137" s="140">
        <f t="shared" si="204"/>
        <v>1.0050795221128521</v>
      </c>
      <c r="G137" s="140">
        <f t="shared" si="204"/>
        <v>1.0066083672486681</v>
      </c>
      <c r="H137" s="140">
        <f t="shared" si="204"/>
        <v>1.0081381821966866</v>
      </c>
      <c r="I137" s="140">
        <f t="shared" si="204"/>
        <v>1.0096594342487364</v>
      </c>
      <c r="J137" s="140">
        <f t="shared" si="204"/>
        <v>1.0111007570932959</v>
      </c>
      <c r="K137" s="140">
        <f t="shared" si="204"/>
        <v>1.0124536638870441</v>
      </c>
      <c r="L137" s="140">
        <f t="shared" si="204"/>
        <v>1.0136744511644336</v>
      </c>
      <c r="M137" s="140">
        <f t="shared" si="204"/>
        <v>1.0147571619022298</v>
      </c>
      <c r="N137" s="140">
        <f t="shared" si="204"/>
        <v>1.0156561891064142</v>
      </c>
      <c r="O137" s="140">
        <f t="shared" si="204"/>
        <v>1.016372680278933</v>
      </c>
      <c r="P137" s="140">
        <f t="shared" si="204"/>
        <v>1.0168748411259341</v>
      </c>
      <c r="Q137" s="140">
        <f t="shared" si="204"/>
        <v>1.0171601566434834</v>
      </c>
      <c r="R137" s="140">
        <f t="shared" si="204"/>
        <v>1.0172109657711386</v>
      </c>
      <c r="S137" s="140">
        <f t="shared" si="204"/>
        <v>1.0170206144719978</v>
      </c>
      <c r="T137" s="140">
        <f t="shared" si="204"/>
        <v>1.0165836109406552</v>
      </c>
      <c r="U137" s="140">
        <f t="shared" si="204"/>
        <v>1.0158844098819337</v>
      </c>
      <c r="V137" s="140">
        <f t="shared" si="204"/>
        <v>1.0149338260593113</v>
      </c>
      <c r="W137" s="140">
        <f t="shared" si="204"/>
        <v>1.0137072127669327</v>
      </c>
      <c r="X137" s="140">
        <f t="shared" si="204"/>
        <v>1.0122294773697971</v>
      </c>
      <c r="Y137" s="140">
        <f t="shared" si="204"/>
        <v>1.0104664191259742</v>
      </c>
      <c r="Z137" s="140">
        <f t="shared" si="204"/>
        <v>1.0084567739274592</v>
      </c>
      <c r="AA137" s="140">
        <f t="shared" si="204"/>
        <v>1.0061697058306094</v>
      </c>
      <c r="AB137" s="140">
        <f t="shared" si="204"/>
        <v>1.0036319880880935</v>
      </c>
      <c r="AC137" s="140">
        <f t="shared" si="204"/>
        <v>1.0008009487889569</v>
      </c>
      <c r="AD137" s="140">
        <f t="shared" si="204"/>
        <v>0.99774180745088958</v>
      </c>
      <c r="AE137" s="140">
        <f t="shared" si="204"/>
        <v>0.99438945332161544</v>
      </c>
      <c r="AF137" s="140">
        <f t="shared" si="204"/>
        <v>0.99082166378287584</v>
      </c>
      <c r="AG137" s="140">
        <f t="shared" si="204"/>
        <v>0.98696290374326889</v>
      </c>
      <c r="AH137" s="140">
        <f t="shared" si="204"/>
        <v>0.98290297122388126</v>
      </c>
      <c r="AI137" s="140">
        <f t="shared" si="204"/>
        <v>0.97858075778096876</v>
      </c>
      <c r="AJ137" s="140">
        <f t="shared" si="204"/>
        <v>0.97404944223627543</v>
      </c>
      <c r="AK137" s="140">
        <f t="shared" si="204"/>
        <v>0.96923664435711854</v>
      </c>
      <c r="AL137" s="140">
        <f t="shared" si="204"/>
        <v>0.96425441634795117</v>
      </c>
      <c r="AM137" s="140">
        <f t="shared" si="204"/>
        <v>0.95899741469969213</v>
      </c>
      <c r="AN137" s="140">
        <f t="shared" si="204"/>
        <v>0.95358790295730833</v>
      </c>
      <c r="AO137" s="140">
        <f t="shared" si="204"/>
        <v>0.94791133643740499</v>
      </c>
      <c r="AP137" s="140">
        <f t="shared" si="204"/>
        <v>0.94209954427603582</v>
      </c>
      <c r="AQ137" s="140">
        <f t="shared" si="204"/>
        <v>0.93606330477989741</v>
      </c>
      <c r="AR137" s="140">
        <f t="shared" si="204"/>
        <v>0.92987624411141234</v>
      </c>
      <c r="AS137" s="140">
        <f>EXP(-AS136*AS135)</f>
        <v>0.92343986893405594</v>
      </c>
      <c r="AT137" s="140">
        <f t="shared" ref="AT137:CA137" si="205">EXP(-AT136*AT135)</f>
        <v>0.91690314059472922</v>
      </c>
      <c r="AU137" s="140">
        <f t="shared" si="205"/>
        <v>0.91012685150613659</v>
      </c>
      <c r="AV137" s="140">
        <f t="shared" si="205"/>
        <v>0.90326754539766474</v>
      </c>
      <c r="AW137" s="140">
        <f t="shared" si="205"/>
        <v>0.89617884888888255</v>
      </c>
      <c r="AX137" s="140">
        <f t="shared" si="205"/>
        <v>0.88902422525169189</v>
      </c>
      <c r="AY137" s="140">
        <f t="shared" si="205"/>
        <v>0.88169180151038606</v>
      </c>
      <c r="AZ137" s="140">
        <f t="shared" si="205"/>
        <v>0.87426979248323877</v>
      </c>
      <c r="BA137" s="140">
        <f t="shared" si="205"/>
        <v>0.86663954258750464</v>
      </c>
      <c r="BB137" s="140">
        <f t="shared" si="205"/>
        <v>0.85897637717308051</v>
      </c>
      <c r="BC137" s="140">
        <f t="shared" si="205"/>
        <v>0.85111580177286372</v>
      </c>
      <c r="BD137" s="140">
        <f t="shared" si="205"/>
        <v>0.84323812165575718</v>
      </c>
      <c r="BE137" s="140">
        <f t="shared" si="205"/>
        <v>0.83517392033618176</v>
      </c>
      <c r="BF137" s="140">
        <f t="shared" si="205"/>
        <v>0.82710786135166148</v>
      </c>
      <c r="BG137" s="140">
        <f t="shared" si="205"/>
        <v>0.81891191913741457</v>
      </c>
      <c r="BH137" s="140">
        <f t="shared" si="205"/>
        <v>0.81068341092773455</v>
      </c>
      <c r="BI137" s="140">
        <f t="shared" si="205"/>
        <v>0.80229004001856929</v>
      </c>
      <c r="BJ137" s="140">
        <f t="shared" si="205"/>
        <v>0.79392338319591482</v>
      </c>
      <c r="BK137" s="140">
        <f t="shared" si="205"/>
        <v>0.78540254928093312</v>
      </c>
      <c r="BL137" s="140">
        <f t="shared" si="205"/>
        <v>0.77692171930420584</v>
      </c>
      <c r="BM137" s="140">
        <f t="shared" si="205"/>
        <v>0.76829722603502426</v>
      </c>
      <c r="BN137" s="140">
        <f t="shared" si="205"/>
        <v>0.75972531193319315</v>
      </c>
      <c r="BO137" s="140">
        <f t="shared" si="205"/>
        <v>0.75106822339511059</v>
      </c>
      <c r="BP137" s="140">
        <f t="shared" si="205"/>
        <v>0.74242752842376181</v>
      </c>
      <c r="BQ137" s="140">
        <f t="shared" si="205"/>
        <v>0.73366349085326332</v>
      </c>
      <c r="BR137" s="140">
        <f t="shared" si="205"/>
        <v>0.72497494049863154</v>
      </c>
      <c r="BS137" s="140">
        <f t="shared" si="205"/>
        <v>0.71617281383602471</v>
      </c>
      <c r="BT137" s="140">
        <f t="shared" si="205"/>
        <v>0.70745652003122694</v>
      </c>
      <c r="BU137" s="140">
        <f t="shared" si="205"/>
        <v>0.69863610598019588</v>
      </c>
      <c r="BV137" s="140">
        <f t="shared" si="205"/>
        <v>0.68991111666815053</v>
      </c>
      <c r="BW137" s="140">
        <f t="shared" si="205"/>
        <v>0.68113984438916697</v>
      </c>
      <c r="BX137" s="140">
        <f t="shared" si="205"/>
        <v>0.6724240746829685</v>
      </c>
      <c r="BY137" s="140">
        <f t="shared" si="205"/>
        <v>0.66362205558631926</v>
      </c>
      <c r="BZ137" s="140">
        <f t="shared" si="205"/>
        <v>0.65493238067160808</v>
      </c>
      <c r="CA137" s="140">
        <f t="shared" si="205"/>
        <v>0.64616486299060838</v>
      </c>
      <c r="CB137" s="140">
        <f>EXP(-CB136*CB135)</f>
        <v>0.63751706024966126</v>
      </c>
      <c r="CC137" s="17"/>
      <c r="CD137" s="17"/>
      <c r="CE137" s="17"/>
    </row>
    <row r="138" spans="1:83">
      <c r="A138" s="17"/>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17"/>
      <c r="CD138" s="17"/>
      <c r="CE138" s="17"/>
    </row>
    <row r="139" spans="1:83">
      <c r="A139" s="16" t="s">
        <v>40</v>
      </c>
      <c r="B139" s="140">
        <f t="shared" ref="B139:BM139" si="206">DAYS360($B$3,B52)</f>
        <v>78</v>
      </c>
      <c r="C139" s="140">
        <f t="shared" si="206"/>
        <v>258</v>
      </c>
      <c r="D139" s="140">
        <f t="shared" si="206"/>
        <v>437</v>
      </c>
      <c r="E139" s="140">
        <f t="shared" si="206"/>
        <v>618</v>
      </c>
      <c r="F139" s="140">
        <f t="shared" si="206"/>
        <v>797</v>
      </c>
      <c r="G139" s="140">
        <f t="shared" si="206"/>
        <v>978</v>
      </c>
      <c r="H139" s="140">
        <f t="shared" si="206"/>
        <v>1157</v>
      </c>
      <c r="I139" s="140">
        <f t="shared" si="206"/>
        <v>1338</v>
      </c>
      <c r="J139" s="140">
        <f t="shared" si="206"/>
        <v>1517</v>
      </c>
      <c r="K139" s="140">
        <f t="shared" si="206"/>
        <v>1697</v>
      </c>
      <c r="L139" s="140">
        <f t="shared" si="206"/>
        <v>1876</v>
      </c>
      <c r="M139" s="140">
        <f t="shared" si="206"/>
        <v>2057</v>
      </c>
      <c r="N139" s="140">
        <f t="shared" si="206"/>
        <v>2236</v>
      </c>
      <c r="O139" s="140">
        <f t="shared" si="206"/>
        <v>2417</v>
      </c>
      <c r="P139" s="140">
        <f t="shared" si="206"/>
        <v>2596</v>
      </c>
      <c r="Q139" s="140">
        <f t="shared" si="206"/>
        <v>2777</v>
      </c>
      <c r="R139" s="140">
        <f t="shared" si="206"/>
        <v>2956</v>
      </c>
      <c r="S139" s="140">
        <f t="shared" si="206"/>
        <v>3136</v>
      </c>
      <c r="T139" s="140">
        <f t="shared" si="206"/>
        <v>3315</v>
      </c>
      <c r="U139" s="140">
        <f t="shared" si="206"/>
        <v>3496</v>
      </c>
      <c r="V139" s="140">
        <f t="shared" si="206"/>
        <v>3675</v>
      </c>
      <c r="W139" s="140">
        <f t="shared" si="206"/>
        <v>3856</v>
      </c>
      <c r="X139" s="140">
        <f t="shared" si="206"/>
        <v>4035</v>
      </c>
      <c r="Y139" s="140">
        <f t="shared" si="206"/>
        <v>4216</v>
      </c>
      <c r="Z139" s="140">
        <f t="shared" si="206"/>
        <v>4395</v>
      </c>
      <c r="AA139" s="140">
        <f t="shared" si="206"/>
        <v>4575</v>
      </c>
      <c r="AB139" s="140">
        <f t="shared" si="206"/>
        <v>4754</v>
      </c>
      <c r="AC139" s="140">
        <f t="shared" si="206"/>
        <v>4935</v>
      </c>
      <c r="AD139" s="140">
        <f t="shared" si="206"/>
        <v>5114</v>
      </c>
      <c r="AE139" s="140">
        <f t="shared" si="206"/>
        <v>5295</v>
      </c>
      <c r="AF139" s="140">
        <f t="shared" si="206"/>
        <v>5474</v>
      </c>
      <c r="AG139" s="140">
        <f t="shared" si="206"/>
        <v>5655</v>
      </c>
      <c r="AH139" s="140">
        <f t="shared" si="206"/>
        <v>5834</v>
      </c>
      <c r="AI139" s="140">
        <f t="shared" si="206"/>
        <v>6014</v>
      </c>
      <c r="AJ139" s="140">
        <f t="shared" si="206"/>
        <v>6193</v>
      </c>
      <c r="AK139" s="140">
        <f t="shared" si="206"/>
        <v>6374</v>
      </c>
      <c r="AL139" s="140">
        <f t="shared" si="206"/>
        <v>6553</v>
      </c>
      <c r="AM139" s="140">
        <f t="shared" si="206"/>
        <v>6734</v>
      </c>
      <c r="AN139" s="140">
        <f t="shared" si="206"/>
        <v>6913</v>
      </c>
      <c r="AO139" s="140">
        <f t="shared" si="206"/>
        <v>7094</v>
      </c>
      <c r="AP139" s="140">
        <f t="shared" si="206"/>
        <v>7273</v>
      </c>
      <c r="AQ139" s="140">
        <f t="shared" si="206"/>
        <v>7453</v>
      </c>
      <c r="AR139" s="140">
        <f t="shared" si="206"/>
        <v>7632</v>
      </c>
      <c r="AS139" s="140">
        <f t="shared" si="206"/>
        <v>7813</v>
      </c>
      <c r="AT139" s="140">
        <f t="shared" si="206"/>
        <v>7992</v>
      </c>
      <c r="AU139" s="140">
        <f t="shared" si="206"/>
        <v>8173</v>
      </c>
      <c r="AV139" s="140">
        <f t="shared" si="206"/>
        <v>8352</v>
      </c>
      <c r="AW139" s="140">
        <f t="shared" si="206"/>
        <v>8533</v>
      </c>
      <c r="AX139" s="140">
        <f t="shared" si="206"/>
        <v>8712</v>
      </c>
      <c r="AY139" s="140">
        <f t="shared" si="206"/>
        <v>8892</v>
      </c>
      <c r="AZ139" s="140">
        <f t="shared" si="206"/>
        <v>9071</v>
      </c>
      <c r="BA139" s="140">
        <f t="shared" si="206"/>
        <v>9252</v>
      </c>
      <c r="BB139" s="140">
        <f t="shared" si="206"/>
        <v>9431</v>
      </c>
      <c r="BC139" s="140">
        <f t="shared" si="206"/>
        <v>9612</v>
      </c>
      <c r="BD139" s="140">
        <f t="shared" si="206"/>
        <v>9791</v>
      </c>
      <c r="BE139" s="140">
        <f t="shared" si="206"/>
        <v>9972</v>
      </c>
      <c r="BF139" s="140">
        <f t="shared" si="206"/>
        <v>10151</v>
      </c>
      <c r="BG139" s="140">
        <f t="shared" si="206"/>
        <v>10331</v>
      </c>
      <c r="BH139" s="140">
        <f t="shared" si="206"/>
        <v>10510</v>
      </c>
      <c r="BI139" s="140">
        <f t="shared" si="206"/>
        <v>10691</v>
      </c>
      <c r="BJ139" s="140">
        <f t="shared" si="206"/>
        <v>10870</v>
      </c>
      <c r="BK139" s="140">
        <f t="shared" si="206"/>
        <v>11051</v>
      </c>
      <c r="BL139" s="140">
        <f t="shared" si="206"/>
        <v>11230</v>
      </c>
      <c r="BM139" s="140">
        <f t="shared" si="206"/>
        <v>11411</v>
      </c>
      <c r="BN139" s="140">
        <f t="shared" ref="BN139:CB139" si="207">DAYS360($B$3,BN52)</f>
        <v>11590</v>
      </c>
      <c r="BO139" s="140">
        <f t="shared" si="207"/>
        <v>11770</v>
      </c>
      <c r="BP139" s="140">
        <f t="shared" si="207"/>
        <v>11949</v>
      </c>
      <c r="BQ139" s="140">
        <f t="shared" si="207"/>
        <v>12130</v>
      </c>
      <c r="BR139" s="140">
        <f t="shared" si="207"/>
        <v>12309</v>
      </c>
      <c r="BS139" s="140">
        <f t="shared" si="207"/>
        <v>12490</v>
      </c>
      <c r="BT139" s="140">
        <f t="shared" si="207"/>
        <v>12669</v>
      </c>
      <c r="BU139" s="140">
        <f t="shared" si="207"/>
        <v>12850</v>
      </c>
      <c r="BV139" s="140">
        <f t="shared" si="207"/>
        <v>13029</v>
      </c>
      <c r="BW139" s="140">
        <f t="shared" si="207"/>
        <v>13209</v>
      </c>
      <c r="BX139" s="140">
        <f t="shared" si="207"/>
        <v>13388</v>
      </c>
      <c r="BY139" s="140">
        <f t="shared" si="207"/>
        <v>13569</v>
      </c>
      <c r="BZ139" s="140">
        <f t="shared" si="207"/>
        <v>13748</v>
      </c>
      <c r="CA139" s="140">
        <f t="shared" si="207"/>
        <v>13929</v>
      </c>
      <c r="CB139" s="140">
        <f t="shared" si="207"/>
        <v>14108</v>
      </c>
      <c r="CC139" s="17"/>
      <c r="CD139" s="17"/>
      <c r="CE139" s="17"/>
    </row>
    <row r="140" spans="1:83">
      <c r="A140" s="16" t="s">
        <v>41</v>
      </c>
      <c r="B140" s="140">
        <f>B139/360</f>
        <v>0.21666666666666667</v>
      </c>
      <c r="C140" s="140">
        <f t="shared" ref="C140:BN140" si="208">C139/360</f>
        <v>0.71666666666666667</v>
      </c>
      <c r="D140" s="140">
        <f t="shared" si="208"/>
        <v>1.2138888888888888</v>
      </c>
      <c r="E140" s="140">
        <f t="shared" si="208"/>
        <v>1.7166666666666666</v>
      </c>
      <c r="F140" s="140">
        <f t="shared" si="208"/>
        <v>2.213888888888889</v>
      </c>
      <c r="G140" s="140">
        <f t="shared" si="208"/>
        <v>2.7166666666666668</v>
      </c>
      <c r="H140" s="140">
        <f t="shared" si="208"/>
        <v>3.213888888888889</v>
      </c>
      <c r="I140" s="140">
        <f t="shared" si="208"/>
        <v>3.7166666666666668</v>
      </c>
      <c r="J140" s="140">
        <f t="shared" si="208"/>
        <v>4.2138888888888886</v>
      </c>
      <c r="K140" s="140">
        <f t="shared" si="208"/>
        <v>4.7138888888888886</v>
      </c>
      <c r="L140" s="140">
        <f t="shared" si="208"/>
        <v>5.2111111111111112</v>
      </c>
      <c r="M140" s="140">
        <f t="shared" si="208"/>
        <v>5.7138888888888886</v>
      </c>
      <c r="N140" s="140">
        <f t="shared" si="208"/>
        <v>6.2111111111111112</v>
      </c>
      <c r="O140" s="140">
        <f t="shared" si="208"/>
        <v>6.7138888888888886</v>
      </c>
      <c r="P140" s="140">
        <f t="shared" si="208"/>
        <v>7.2111111111111112</v>
      </c>
      <c r="Q140" s="140">
        <f t="shared" si="208"/>
        <v>7.7138888888888886</v>
      </c>
      <c r="R140" s="140">
        <f t="shared" si="208"/>
        <v>8.2111111111111104</v>
      </c>
      <c r="S140" s="140">
        <f t="shared" si="208"/>
        <v>8.7111111111111104</v>
      </c>
      <c r="T140" s="140">
        <f t="shared" si="208"/>
        <v>9.2083333333333339</v>
      </c>
      <c r="U140" s="140">
        <f t="shared" si="208"/>
        <v>9.7111111111111104</v>
      </c>
      <c r="V140" s="140">
        <f t="shared" si="208"/>
        <v>10.208333333333334</v>
      </c>
      <c r="W140" s="140">
        <f t="shared" si="208"/>
        <v>10.71111111111111</v>
      </c>
      <c r="X140" s="140">
        <f t="shared" si="208"/>
        <v>11.208333333333334</v>
      </c>
      <c r="Y140" s="140">
        <f t="shared" si="208"/>
        <v>11.71111111111111</v>
      </c>
      <c r="Z140" s="140">
        <f t="shared" si="208"/>
        <v>12.208333333333334</v>
      </c>
      <c r="AA140" s="140">
        <f t="shared" si="208"/>
        <v>12.708333333333334</v>
      </c>
      <c r="AB140" s="140">
        <f t="shared" si="208"/>
        <v>13.205555555555556</v>
      </c>
      <c r="AC140" s="140">
        <f t="shared" si="208"/>
        <v>13.708333333333334</v>
      </c>
      <c r="AD140" s="140">
        <f t="shared" si="208"/>
        <v>14.205555555555556</v>
      </c>
      <c r="AE140" s="140">
        <f t="shared" si="208"/>
        <v>14.708333333333334</v>
      </c>
      <c r="AF140" s="140">
        <f t="shared" si="208"/>
        <v>15.205555555555556</v>
      </c>
      <c r="AG140" s="140">
        <f t="shared" si="208"/>
        <v>15.708333333333334</v>
      </c>
      <c r="AH140" s="140">
        <f t="shared" si="208"/>
        <v>16.205555555555556</v>
      </c>
      <c r="AI140" s="140">
        <f t="shared" si="208"/>
        <v>16.705555555555556</v>
      </c>
      <c r="AJ140" s="140">
        <f t="shared" si="208"/>
        <v>17.202777777777779</v>
      </c>
      <c r="AK140" s="140">
        <f t="shared" si="208"/>
        <v>17.705555555555556</v>
      </c>
      <c r="AL140" s="140">
        <f t="shared" si="208"/>
        <v>18.202777777777779</v>
      </c>
      <c r="AM140" s="140">
        <f t="shared" si="208"/>
        <v>18.705555555555556</v>
      </c>
      <c r="AN140" s="140">
        <f t="shared" si="208"/>
        <v>19.202777777777779</v>
      </c>
      <c r="AO140" s="140">
        <f t="shared" si="208"/>
        <v>19.705555555555556</v>
      </c>
      <c r="AP140" s="140">
        <f t="shared" si="208"/>
        <v>20.202777777777779</v>
      </c>
      <c r="AQ140" s="140">
        <f t="shared" si="208"/>
        <v>20.702777777777779</v>
      </c>
      <c r="AR140" s="140">
        <f t="shared" si="208"/>
        <v>21.2</v>
      </c>
      <c r="AS140" s="140">
        <f t="shared" si="208"/>
        <v>21.702777777777779</v>
      </c>
      <c r="AT140" s="140">
        <f t="shared" si="208"/>
        <v>22.2</v>
      </c>
      <c r="AU140" s="140">
        <f t="shared" si="208"/>
        <v>22.702777777777779</v>
      </c>
      <c r="AV140" s="140">
        <f t="shared" si="208"/>
        <v>23.2</v>
      </c>
      <c r="AW140" s="140">
        <f t="shared" si="208"/>
        <v>23.702777777777779</v>
      </c>
      <c r="AX140" s="140">
        <f t="shared" si="208"/>
        <v>24.2</v>
      </c>
      <c r="AY140" s="140">
        <f t="shared" si="208"/>
        <v>24.7</v>
      </c>
      <c r="AZ140" s="140">
        <f t="shared" si="208"/>
        <v>25.197222222222223</v>
      </c>
      <c r="BA140" s="140">
        <f t="shared" si="208"/>
        <v>25.7</v>
      </c>
      <c r="BB140" s="140">
        <f t="shared" si="208"/>
        <v>26.197222222222223</v>
      </c>
      <c r="BC140" s="140">
        <f t="shared" si="208"/>
        <v>26.7</v>
      </c>
      <c r="BD140" s="140">
        <f t="shared" si="208"/>
        <v>27.197222222222223</v>
      </c>
      <c r="BE140" s="140">
        <f t="shared" si="208"/>
        <v>27.7</v>
      </c>
      <c r="BF140" s="140">
        <f t="shared" si="208"/>
        <v>28.197222222222223</v>
      </c>
      <c r="BG140" s="140">
        <f t="shared" si="208"/>
        <v>28.697222222222223</v>
      </c>
      <c r="BH140" s="140">
        <f t="shared" si="208"/>
        <v>29.194444444444443</v>
      </c>
      <c r="BI140" s="140">
        <f t="shared" si="208"/>
        <v>29.697222222222223</v>
      </c>
      <c r="BJ140" s="140">
        <f t="shared" si="208"/>
        <v>30.194444444444443</v>
      </c>
      <c r="BK140" s="140">
        <f t="shared" si="208"/>
        <v>30.697222222222223</v>
      </c>
      <c r="BL140" s="140">
        <f t="shared" si="208"/>
        <v>31.194444444444443</v>
      </c>
      <c r="BM140" s="140">
        <f t="shared" si="208"/>
        <v>31.697222222222223</v>
      </c>
      <c r="BN140" s="140">
        <f t="shared" si="208"/>
        <v>32.194444444444443</v>
      </c>
      <c r="BO140" s="140">
        <f t="shared" ref="BO140:CB140" si="209">BO139/360</f>
        <v>32.694444444444443</v>
      </c>
      <c r="BP140" s="140">
        <f t="shared" si="209"/>
        <v>33.19166666666667</v>
      </c>
      <c r="BQ140" s="140">
        <f t="shared" si="209"/>
        <v>33.694444444444443</v>
      </c>
      <c r="BR140" s="140">
        <f t="shared" si="209"/>
        <v>34.19166666666667</v>
      </c>
      <c r="BS140" s="140">
        <f t="shared" si="209"/>
        <v>34.694444444444443</v>
      </c>
      <c r="BT140" s="140">
        <f t="shared" si="209"/>
        <v>35.19166666666667</v>
      </c>
      <c r="BU140" s="140">
        <f t="shared" si="209"/>
        <v>35.694444444444443</v>
      </c>
      <c r="BV140" s="140">
        <f t="shared" si="209"/>
        <v>36.19166666666667</v>
      </c>
      <c r="BW140" s="140">
        <f t="shared" si="209"/>
        <v>36.69166666666667</v>
      </c>
      <c r="BX140" s="140">
        <f t="shared" si="209"/>
        <v>37.18888888888889</v>
      </c>
      <c r="BY140" s="140">
        <f t="shared" si="209"/>
        <v>37.69166666666667</v>
      </c>
      <c r="BZ140" s="140">
        <f t="shared" si="209"/>
        <v>38.18888888888889</v>
      </c>
      <c r="CA140" s="140">
        <f t="shared" si="209"/>
        <v>38.69166666666667</v>
      </c>
      <c r="CB140" s="140">
        <f t="shared" si="209"/>
        <v>39.18888888888889</v>
      </c>
      <c r="CC140" s="17"/>
      <c r="CD140" s="17"/>
      <c r="CE140" s="17"/>
    </row>
    <row r="141" spans="1:83">
      <c r="A141" s="16" t="s">
        <v>43</v>
      </c>
      <c r="B141" s="140">
        <f>IF(B139&lt;0,0,$B$5+$B$6*((1-EXP(-B140/$B$9))/(B140/$B$9))+$B$7*((1-EXP(-B140/$B$9))/(B140/$B$9)-EXP(-B140/$B$9))+$B$8*((1-EXP(-B140/$B$10))/(B140/$B$10)-EXP(-B140/$B$10)))</f>
        <v>-1.2953087605009255E-3</v>
      </c>
      <c r="C141" s="140">
        <f t="shared" ref="C141:BN141" si="210">IF(C139&lt;0,0,$B$5+$B$6*((1-EXP(-C140/$B$9))/(C140/$B$9))+$B$7*((1-EXP(-C140/$B$9))/(C140/$B$9)-EXP(-C140/$B$9))+$B$8*((1-EXP(-C140/$B$10))/(C140/$B$10)-EXP(-C140/$B$10)))</f>
        <v>-1.6211020717589761E-3</v>
      </c>
      <c r="D141" s="140">
        <f t="shared" si="210"/>
        <v>-1.8907404753556243E-3</v>
      </c>
      <c r="E141" s="140">
        <f t="shared" si="210"/>
        <v>-2.1133570255532841E-3</v>
      </c>
      <c r="F141" s="140">
        <f t="shared" si="210"/>
        <v>-2.2885813676479958E-3</v>
      </c>
      <c r="G141" s="140">
        <f t="shared" si="210"/>
        <v>-2.4245255383396336E-3</v>
      </c>
      <c r="H141" s="140">
        <f t="shared" si="210"/>
        <v>-2.5219433672471411E-3</v>
      </c>
      <c r="I141" s="140">
        <f t="shared" si="210"/>
        <v>-2.5864789715029251E-3</v>
      </c>
      <c r="J141" s="140">
        <f t="shared" si="210"/>
        <v>-2.619811814654822E-3</v>
      </c>
      <c r="K141" s="140">
        <f t="shared" si="210"/>
        <v>-2.6255932587518314E-3</v>
      </c>
      <c r="L141" s="140">
        <f t="shared" si="210"/>
        <v>-2.606315477071719E-3</v>
      </c>
      <c r="M141" s="140">
        <f t="shared" si="210"/>
        <v>-2.5638115820094342E-3</v>
      </c>
      <c r="N141" s="140">
        <f t="shared" si="210"/>
        <v>-2.5011459400013677E-3</v>
      </c>
      <c r="O141" s="140">
        <f t="shared" si="210"/>
        <v>-2.4188802442816266E-3</v>
      </c>
      <c r="P141" s="140">
        <f t="shared" si="210"/>
        <v>-2.32059144502871E-3</v>
      </c>
      <c r="Q141" s="140">
        <f t="shared" si="210"/>
        <v>-2.2057077052865834E-3</v>
      </c>
      <c r="R141" s="140">
        <f t="shared" si="210"/>
        <v>-2.0782248134192239E-3</v>
      </c>
      <c r="S141" s="140">
        <f t="shared" si="210"/>
        <v>-1.937455111028781E-3</v>
      </c>
      <c r="T141" s="140">
        <f t="shared" si="210"/>
        <v>-1.7861651899361251E-3</v>
      </c>
      <c r="U141" s="140">
        <f t="shared" si="210"/>
        <v>-1.6228393128709523E-3</v>
      </c>
      <c r="V141" s="140">
        <f t="shared" si="210"/>
        <v>-1.4520895707154846E-3</v>
      </c>
      <c r="W141" s="140">
        <f t="shared" si="210"/>
        <v>-1.2710276765101275E-3</v>
      </c>
      <c r="X141" s="140">
        <f t="shared" si="210"/>
        <v>-1.0844878620862738E-3</v>
      </c>
      <c r="Y141" s="140">
        <f t="shared" si="210"/>
        <v>-8.8907237510513909E-4</v>
      </c>
      <c r="Z141" s="140">
        <f t="shared" si="210"/>
        <v>-6.8979241604256092E-4</v>
      </c>
      <c r="AA141" s="140">
        <f t="shared" si="210"/>
        <v>-4.8399353067291604E-4</v>
      </c>
      <c r="AB141" s="140">
        <f t="shared" si="210"/>
        <v>-2.7453660173468826E-4</v>
      </c>
      <c r="AC141" s="140">
        <f t="shared" si="210"/>
        <v>-5.840448880103195E-5</v>
      </c>
      <c r="AD141" s="140">
        <f t="shared" si="210"/>
        <v>1.591452092160198E-4</v>
      </c>
      <c r="AE141" s="140">
        <f t="shared" si="210"/>
        <v>3.8252769955380043E-4</v>
      </c>
      <c r="AF141" s="140">
        <f t="shared" si="210"/>
        <v>6.0640445736763081E-4</v>
      </c>
      <c r="AG141" s="140">
        <f t="shared" si="210"/>
        <v>8.354053123539925E-4</v>
      </c>
      <c r="AH141" s="140">
        <f t="shared" si="210"/>
        <v>1.0641332498144518E-3</v>
      </c>
      <c r="AI141" s="140">
        <f t="shared" si="210"/>
        <v>1.2960935813129625E-3</v>
      </c>
      <c r="AJ141" s="140">
        <f t="shared" si="210"/>
        <v>1.5284284269690561E-3</v>
      </c>
      <c r="AK141" s="140">
        <f t="shared" si="210"/>
        <v>1.7647840411522597E-3</v>
      </c>
      <c r="AL141" s="140">
        <f t="shared" si="210"/>
        <v>1.9997003898327864E-3</v>
      </c>
      <c r="AM141" s="140">
        <f t="shared" si="210"/>
        <v>2.2382067085522954E-3</v>
      </c>
      <c r="AN141" s="140">
        <f t="shared" si="210"/>
        <v>2.4748330141953086E-3</v>
      </c>
      <c r="AO141" s="140">
        <f t="shared" si="210"/>
        <v>2.7146815483065972E-3</v>
      </c>
      <c r="AP141" s="140">
        <f t="shared" si="210"/>
        <v>2.9522839540059758E-3</v>
      </c>
      <c r="AQ141" s="140">
        <f t="shared" si="210"/>
        <v>3.1914640725477675E-3</v>
      </c>
      <c r="AR141" s="140">
        <f t="shared" si="210"/>
        <v>3.4294232329004698E-3</v>
      </c>
      <c r="AS141" s="140">
        <f t="shared" si="210"/>
        <v>3.6700183922689254E-3</v>
      </c>
      <c r="AT141" s="140">
        <f t="shared" si="210"/>
        <v>3.9078125540848718E-3</v>
      </c>
      <c r="AU141" s="140">
        <f t="shared" si="210"/>
        <v>4.1480074750510805E-3</v>
      </c>
      <c r="AV141" s="140">
        <f t="shared" si="210"/>
        <v>4.3851932931745939E-3</v>
      </c>
      <c r="AW141" s="140">
        <f t="shared" si="210"/>
        <v>4.624575179290354E-3</v>
      </c>
      <c r="AX141" s="140">
        <f t="shared" si="210"/>
        <v>4.8607766048596665E-3</v>
      </c>
      <c r="AY141" s="140">
        <f t="shared" si="210"/>
        <v>5.0976807868356811E-3</v>
      </c>
      <c r="AZ141" s="140">
        <f t="shared" si="210"/>
        <v>5.332582406261617E-3</v>
      </c>
      <c r="BA141" s="140">
        <f t="shared" si="210"/>
        <v>5.569344013418397E-3</v>
      </c>
      <c r="BB141" s="140">
        <f t="shared" si="210"/>
        <v>5.8026708506391678E-3</v>
      </c>
      <c r="BC141" s="140">
        <f t="shared" si="210"/>
        <v>6.0377184411058351E-3</v>
      </c>
      <c r="BD141" s="140">
        <f t="shared" si="210"/>
        <v>6.2692391940447371E-3</v>
      </c>
      <c r="BE141" s="140">
        <f t="shared" si="210"/>
        <v>6.502356967235271E-3</v>
      </c>
      <c r="BF141" s="140">
        <f t="shared" si="210"/>
        <v>6.7318747256802343E-3</v>
      </c>
      <c r="BG141" s="140">
        <f t="shared" si="210"/>
        <v>6.9616057681954014E-3</v>
      </c>
      <c r="BH141" s="140">
        <f t="shared" si="210"/>
        <v>7.1889591956298959E-3</v>
      </c>
      <c r="BI141" s="140">
        <f t="shared" si="210"/>
        <v>7.417700178721222E-3</v>
      </c>
      <c r="BJ141" s="140">
        <f t="shared" si="210"/>
        <v>7.642740952925468E-3</v>
      </c>
      <c r="BK141" s="140">
        <f t="shared" si="210"/>
        <v>7.8690797902528989E-3</v>
      </c>
      <c r="BL141" s="140">
        <f t="shared" si="210"/>
        <v>8.0916870148342607E-3</v>
      </c>
      <c r="BM141" s="140">
        <f t="shared" si="210"/>
        <v>8.3155112391355927E-3</v>
      </c>
      <c r="BN141" s="140">
        <f t="shared" si="210"/>
        <v>8.5355826895841588E-3</v>
      </c>
      <c r="BO141" s="140">
        <f t="shared" ref="BO141:CB141" si="211">IF(BO139&lt;0,0,$B$5+$B$6*((1-EXP(-BO140/$B$9))/(BO140/$B$9))+$B$7*((1-EXP(-BO140/$B$9))/(BO140/$B$9)-EXP(-BO140/$B$9))+$B$8*((1-EXP(-BO140/$B$10))/(BO140/$B$10)-EXP(-BO140/$B$10)))</f>
        <v>8.7555789005119081E-3</v>
      </c>
      <c r="BP141" s="140">
        <f t="shared" si="211"/>
        <v>8.9730359393047909E-3</v>
      </c>
      <c r="BQ141" s="140">
        <f t="shared" si="211"/>
        <v>9.1915691125536315E-3</v>
      </c>
      <c r="BR141" s="140">
        <f t="shared" si="211"/>
        <v>9.4063326216226196E-3</v>
      </c>
      <c r="BS141" s="140">
        <f t="shared" si="211"/>
        <v>9.6221105823596012E-3</v>
      </c>
      <c r="BT141" s="140">
        <f t="shared" si="211"/>
        <v>9.8341209701012615E-3</v>
      </c>
      <c r="BU141" s="140">
        <f t="shared" si="211"/>
        <v>1.004708912516427E-2</v>
      </c>
      <c r="BV141" s="140">
        <f t="shared" si="211"/>
        <v>1.0256297659074837E-2</v>
      </c>
      <c r="BW141" s="140">
        <f t="shared" si="211"/>
        <v>1.0465254845925611E-2</v>
      </c>
      <c r="BX141" s="140">
        <f t="shared" si="211"/>
        <v>1.0671630313162908E-2</v>
      </c>
      <c r="BY141" s="140">
        <f t="shared" si="211"/>
        <v>1.0878863186872152E-2</v>
      </c>
      <c r="BZ141" s="140">
        <f t="shared" si="211"/>
        <v>1.1082367060306148E-2</v>
      </c>
      <c r="CA141" s="140">
        <f t="shared" si="211"/>
        <v>1.1286683658613784E-2</v>
      </c>
      <c r="CB141" s="140">
        <f t="shared" si="211"/>
        <v>1.1487292798937379E-2</v>
      </c>
      <c r="CC141" s="17"/>
      <c r="CD141" s="17"/>
      <c r="CE141" s="17"/>
    </row>
    <row r="142" spans="1:83">
      <c r="A142" s="16" t="s">
        <v>44</v>
      </c>
      <c r="B142" s="140">
        <f>EXP(-B141*B140)</f>
        <v>1.0002806896174026</v>
      </c>
      <c r="C142" s="140">
        <f t="shared" ref="C142:AR142" si="212">EXP(-C141*C140)</f>
        <v>1.0011624649573159</v>
      </c>
      <c r="D142" s="140">
        <f t="shared" si="212"/>
        <v>1.0022977847251253</v>
      </c>
      <c r="E142" s="140">
        <f t="shared" si="212"/>
        <v>1.0036345184625959</v>
      </c>
      <c r="F142" s="140">
        <f t="shared" si="212"/>
        <v>1.0050795221128521</v>
      </c>
      <c r="G142" s="140">
        <f t="shared" si="212"/>
        <v>1.0066083672486681</v>
      </c>
      <c r="H142" s="140">
        <f t="shared" si="212"/>
        <v>1.0081381821966866</v>
      </c>
      <c r="I142" s="140">
        <f t="shared" si="212"/>
        <v>1.0096594342487364</v>
      </c>
      <c r="J142" s="140">
        <f t="shared" si="212"/>
        <v>1.0111007570932959</v>
      </c>
      <c r="K142" s="140">
        <f t="shared" si="212"/>
        <v>1.0124536638870441</v>
      </c>
      <c r="L142" s="140">
        <f t="shared" si="212"/>
        <v>1.0136744511644336</v>
      </c>
      <c r="M142" s="140">
        <f t="shared" si="212"/>
        <v>1.0147571619022298</v>
      </c>
      <c r="N142" s="140">
        <f t="shared" si="212"/>
        <v>1.0156561891064142</v>
      </c>
      <c r="O142" s="140">
        <f t="shared" si="212"/>
        <v>1.016372680278933</v>
      </c>
      <c r="P142" s="140">
        <f t="shared" si="212"/>
        <v>1.0168748411259341</v>
      </c>
      <c r="Q142" s="140">
        <f t="shared" si="212"/>
        <v>1.0171601566434834</v>
      </c>
      <c r="R142" s="140">
        <f t="shared" si="212"/>
        <v>1.0172109657711386</v>
      </c>
      <c r="S142" s="140">
        <f t="shared" si="212"/>
        <v>1.0170206144719978</v>
      </c>
      <c r="T142" s="140">
        <f t="shared" si="212"/>
        <v>1.0165836109406552</v>
      </c>
      <c r="U142" s="140">
        <f t="shared" si="212"/>
        <v>1.0158844098819337</v>
      </c>
      <c r="V142" s="140">
        <f t="shared" si="212"/>
        <v>1.0149338260593113</v>
      </c>
      <c r="W142" s="140">
        <f t="shared" si="212"/>
        <v>1.0137072127669327</v>
      </c>
      <c r="X142" s="140">
        <f t="shared" si="212"/>
        <v>1.0122294773697971</v>
      </c>
      <c r="Y142" s="140">
        <f t="shared" si="212"/>
        <v>1.0104664191259742</v>
      </c>
      <c r="Z142" s="140">
        <f t="shared" si="212"/>
        <v>1.0084567739274592</v>
      </c>
      <c r="AA142" s="140">
        <f t="shared" si="212"/>
        <v>1.0061697058306094</v>
      </c>
      <c r="AB142" s="140">
        <f t="shared" si="212"/>
        <v>1.0036319880880935</v>
      </c>
      <c r="AC142" s="140">
        <f t="shared" si="212"/>
        <v>1.0008009487889569</v>
      </c>
      <c r="AD142" s="140">
        <f t="shared" si="212"/>
        <v>0.99774180745088958</v>
      </c>
      <c r="AE142" s="140">
        <f t="shared" si="212"/>
        <v>0.99438945332161544</v>
      </c>
      <c r="AF142" s="140">
        <f t="shared" si="212"/>
        <v>0.99082166378287584</v>
      </c>
      <c r="AG142" s="140">
        <f t="shared" si="212"/>
        <v>0.98696290374326889</v>
      </c>
      <c r="AH142" s="140">
        <f t="shared" si="212"/>
        <v>0.98290297122388126</v>
      </c>
      <c r="AI142" s="140">
        <f t="shared" si="212"/>
        <v>0.97858075778096876</v>
      </c>
      <c r="AJ142" s="140">
        <f t="shared" si="212"/>
        <v>0.97404944223627543</v>
      </c>
      <c r="AK142" s="140">
        <f t="shared" si="212"/>
        <v>0.96923664435711854</v>
      </c>
      <c r="AL142" s="140">
        <f t="shared" si="212"/>
        <v>0.96425441634795117</v>
      </c>
      <c r="AM142" s="140">
        <f t="shared" si="212"/>
        <v>0.95899741469969213</v>
      </c>
      <c r="AN142" s="140">
        <f t="shared" si="212"/>
        <v>0.95358790295730833</v>
      </c>
      <c r="AO142" s="140">
        <f t="shared" si="212"/>
        <v>0.94791133643740499</v>
      </c>
      <c r="AP142" s="140">
        <f t="shared" si="212"/>
        <v>0.94209954427603582</v>
      </c>
      <c r="AQ142" s="140">
        <f t="shared" si="212"/>
        <v>0.93606330477989741</v>
      </c>
      <c r="AR142" s="140">
        <f t="shared" si="212"/>
        <v>0.92987624411141234</v>
      </c>
      <c r="AS142" s="140">
        <f>EXP(-AS141*AS140)</f>
        <v>0.92343986893405594</v>
      </c>
      <c r="AT142" s="140">
        <f t="shared" ref="AT142:CA142" si="213">EXP(-AT141*AT140)</f>
        <v>0.91690314059472922</v>
      </c>
      <c r="AU142" s="140">
        <f t="shared" si="213"/>
        <v>0.91012685150613659</v>
      </c>
      <c r="AV142" s="140">
        <f t="shared" si="213"/>
        <v>0.90326754539766474</v>
      </c>
      <c r="AW142" s="140">
        <f t="shared" si="213"/>
        <v>0.89617884888888255</v>
      </c>
      <c r="AX142" s="140">
        <f t="shared" si="213"/>
        <v>0.88902422525169189</v>
      </c>
      <c r="AY142" s="140">
        <f t="shared" si="213"/>
        <v>0.88169180151038606</v>
      </c>
      <c r="AZ142" s="140">
        <f t="shared" si="213"/>
        <v>0.87426979248323877</v>
      </c>
      <c r="BA142" s="140">
        <f t="shared" si="213"/>
        <v>0.86663954258750464</v>
      </c>
      <c r="BB142" s="140">
        <f t="shared" si="213"/>
        <v>0.85897637717308051</v>
      </c>
      <c r="BC142" s="140">
        <f t="shared" si="213"/>
        <v>0.85111580177286372</v>
      </c>
      <c r="BD142" s="140">
        <f t="shared" si="213"/>
        <v>0.84323812165575718</v>
      </c>
      <c r="BE142" s="140">
        <f t="shared" si="213"/>
        <v>0.83517392033618176</v>
      </c>
      <c r="BF142" s="140">
        <f t="shared" si="213"/>
        <v>0.82710786135166148</v>
      </c>
      <c r="BG142" s="140">
        <f t="shared" si="213"/>
        <v>0.81891191913741457</v>
      </c>
      <c r="BH142" s="140">
        <f t="shared" si="213"/>
        <v>0.81068341092773455</v>
      </c>
      <c r="BI142" s="140">
        <f t="shared" si="213"/>
        <v>0.80229004001856929</v>
      </c>
      <c r="BJ142" s="140">
        <f t="shared" si="213"/>
        <v>0.79392338319591482</v>
      </c>
      <c r="BK142" s="140">
        <f t="shared" si="213"/>
        <v>0.78540254928093312</v>
      </c>
      <c r="BL142" s="140">
        <f t="shared" si="213"/>
        <v>0.77692171930420584</v>
      </c>
      <c r="BM142" s="140">
        <f t="shared" si="213"/>
        <v>0.76829722603502426</v>
      </c>
      <c r="BN142" s="140">
        <f t="shared" si="213"/>
        <v>0.75972531193319315</v>
      </c>
      <c r="BO142" s="140">
        <f t="shared" si="213"/>
        <v>0.75106822339511059</v>
      </c>
      <c r="BP142" s="140">
        <f t="shared" si="213"/>
        <v>0.74242752842376181</v>
      </c>
      <c r="BQ142" s="140">
        <f t="shared" si="213"/>
        <v>0.73366349085326332</v>
      </c>
      <c r="BR142" s="140">
        <f t="shared" si="213"/>
        <v>0.72497494049863154</v>
      </c>
      <c r="BS142" s="140">
        <f t="shared" si="213"/>
        <v>0.71617281383602471</v>
      </c>
      <c r="BT142" s="140">
        <f t="shared" si="213"/>
        <v>0.70745652003122694</v>
      </c>
      <c r="BU142" s="140">
        <f t="shared" si="213"/>
        <v>0.69863610598019588</v>
      </c>
      <c r="BV142" s="140">
        <f t="shared" si="213"/>
        <v>0.68991111666815053</v>
      </c>
      <c r="BW142" s="140">
        <f t="shared" si="213"/>
        <v>0.68113984438916697</v>
      </c>
      <c r="BX142" s="140">
        <f t="shared" si="213"/>
        <v>0.6724240746829685</v>
      </c>
      <c r="BY142" s="140">
        <f t="shared" si="213"/>
        <v>0.66362205558631926</v>
      </c>
      <c r="BZ142" s="140">
        <f t="shared" si="213"/>
        <v>0.65493238067160808</v>
      </c>
      <c r="CA142" s="140">
        <f t="shared" si="213"/>
        <v>0.64616486299060838</v>
      </c>
      <c r="CB142" s="140">
        <f>EXP(-CB141*CB140)</f>
        <v>0.63751706024966126</v>
      </c>
      <c r="CC142" s="17"/>
      <c r="CD142" s="17"/>
      <c r="CE142" s="17"/>
    </row>
    <row r="143" spans="1:83">
      <c r="A143" s="17"/>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17"/>
      <c r="CD143" s="17"/>
      <c r="CE143" s="17"/>
    </row>
    <row r="144" spans="1:83">
      <c r="A144" s="16" t="s">
        <v>40</v>
      </c>
      <c r="B144" s="140">
        <f t="shared" ref="B144:BM144" si="214">DAYS360($B$3,B54)</f>
        <v>78</v>
      </c>
      <c r="C144" s="140">
        <f t="shared" si="214"/>
        <v>258</v>
      </c>
      <c r="D144" s="140">
        <f t="shared" si="214"/>
        <v>437</v>
      </c>
      <c r="E144" s="140">
        <f t="shared" si="214"/>
        <v>618</v>
      </c>
      <c r="F144" s="140">
        <f t="shared" si="214"/>
        <v>797</v>
      </c>
      <c r="G144" s="140">
        <f t="shared" si="214"/>
        <v>978</v>
      </c>
      <c r="H144" s="140">
        <f t="shared" si="214"/>
        <v>1157</v>
      </c>
      <c r="I144" s="140">
        <f t="shared" si="214"/>
        <v>1338</v>
      </c>
      <c r="J144" s="140">
        <f t="shared" si="214"/>
        <v>1517</v>
      </c>
      <c r="K144" s="140">
        <f t="shared" si="214"/>
        <v>1697</v>
      </c>
      <c r="L144" s="140">
        <f t="shared" si="214"/>
        <v>1876</v>
      </c>
      <c r="M144" s="140">
        <f t="shared" si="214"/>
        <v>2057</v>
      </c>
      <c r="N144" s="140">
        <f t="shared" si="214"/>
        <v>2236</v>
      </c>
      <c r="O144" s="140">
        <f t="shared" si="214"/>
        <v>2417</v>
      </c>
      <c r="P144" s="140">
        <f t="shared" si="214"/>
        <v>2596</v>
      </c>
      <c r="Q144" s="140">
        <f t="shared" si="214"/>
        <v>2777</v>
      </c>
      <c r="R144" s="140">
        <f t="shared" si="214"/>
        <v>2956</v>
      </c>
      <c r="S144" s="140">
        <f t="shared" si="214"/>
        <v>3136</v>
      </c>
      <c r="T144" s="140">
        <f t="shared" si="214"/>
        <v>3315</v>
      </c>
      <c r="U144" s="140">
        <f t="shared" si="214"/>
        <v>3496</v>
      </c>
      <c r="V144" s="140">
        <f t="shared" si="214"/>
        <v>3675</v>
      </c>
      <c r="W144" s="140">
        <f t="shared" si="214"/>
        <v>3856</v>
      </c>
      <c r="X144" s="140">
        <f t="shared" si="214"/>
        <v>4035</v>
      </c>
      <c r="Y144" s="140">
        <f t="shared" si="214"/>
        <v>4216</v>
      </c>
      <c r="Z144" s="140">
        <f t="shared" si="214"/>
        <v>4395</v>
      </c>
      <c r="AA144" s="140">
        <f t="shared" si="214"/>
        <v>4575</v>
      </c>
      <c r="AB144" s="140">
        <f t="shared" si="214"/>
        <v>4754</v>
      </c>
      <c r="AC144" s="140">
        <f t="shared" si="214"/>
        <v>4935</v>
      </c>
      <c r="AD144" s="140">
        <f t="shared" si="214"/>
        <v>5114</v>
      </c>
      <c r="AE144" s="140">
        <f t="shared" si="214"/>
        <v>5295</v>
      </c>
      <c r="AF144" s="140">
        <f t="shared" si="214"/>
        <v>5474</v>
      </c>
      <c r="AG144" s="140">
        <f t="shared" si="214"/>
        <v>5655</v>
      </c>
      <c r="AH144" s="140">
        <f t="shared" si="214"/>
        <v>5834</v>
      </c>
      <c r="AI144" s="140">
        <f t="shared" si="214"/>
        <v>6014</v>
      </c>
      <c r="AJ144" s="140">
        <f t="shared" si="214"/>
        <v>6193</v>
      </c>
      <c r="AK144" s="140">
        <f t="shared" si="214"/>
        <v>6374</v>
      </c>
      <c r="AL144" s="140">
        <f t="shared" si="214"/>
        <v>6553</v>
      </c>
      <c r="AM144" s="140">
        <f t="shared" si="214"/>
        <v>6734</v>
      </c>
      <c r="AN144" s="140">
        <f t="shared" si="214"/>
        <v>6913</v>
      </c>
      <c r="AO144" s="140">
        <f t="shared" si="214"/>
        <v>7094</v>
      </c>
      <c r="AP144" s="140">
        <f t="shared" si="214"/>
        <v>7273</v>
      </c>
      <c r="AQ144" s="140">
        <f t="shared" si="214"/>
        <v>7453</v>
      </c>
      <c r="AR144" s="140">
        <f t="shared" si="214"/>
        <v>7632</v>
      </c>
      <c r="AS144" s="140">
        <f t="shared" si="214"/>
        <v>7813</v>
      </c>
      <c r="AT144" s="140">
        <f t="shared" si="214"/>
        <v>7992</v>
      </c>
      <c r="AU144" s="140">
        <f t="shared" si="214"/>
        <v>8173</v>
      </c>
      <c r="AV144" s="140">
        <f t="shared" si="214"/>
        <v>8352</v>
      </c>
      <c r="AW144" s="140">
        <f t="shared" si="214"/>
        <v>8533</v>
      </c>
      <c r="AX144" s="140">
        <f t="shared" si="214"/>
        <v>8712</v>
      </c>
      <c r="AY144" s="140">
        <f t="shared" si="214"/>
        <v>8892</v>
      </c>
      <c r="AZ144" s="140">
        <f t="shared" si="214"/>
        <v>9071</v>
      </c>
      <c r="BA144" s="140">
        <f t="shared" si="214"/>
        <v>9252</v>
      </c>
      <c r="BB144" s="140">
        <f t="shared" si="214"/>
        <v>9431</v>
      </c>
      <c r="BC144" s="140">
        <f t="shared" si="214"/>
        <v>9612</v>
      </c>
      <c r="BD144" s="140">
        <f t="shared" si="214"/>
        <v>9791</v>
      </c>
      <c r="BE144" s="140">
        <f t="shared" si="214"/>
        <v>9972</v>
      </c>
      <c r="BF144" s="140">
        <f t="shared" si="214"/>
        <v>10151</v>
      </c>
      <c r="BG144" s="140">
        <f t="shared" si="214"/>
        <v>10331</v>
      </c>
      <c r="BH144" s="140">
        <f t="shared" si="214"/>
        <v>10510</v>
      </c>
      <c r="BI144" s="140">
        <f t="shared" si="214"/>
        <v>10691</v>
      </c>
      <c r="BJ144" s="140">
        <f t="shared" si="214"/>
        <v>10870</v>
      </c>
      <c r="BK144" s="140">
        <f t="shared" si="214"/>
        <v>11051</v>
      </c>
      <c r="BL144" s="140">
        <f t="shared" si="214"/>
        <v>11230</v>
      </c>
      <c r="BM144" s="140">
        <f t="shared" si="214"/>
        <v>11411</v>
      </c>
      <c r="BN144" s="140">
        <f t="shared" ref="BN144:CB144" si="215">DAYS360($B$3,BN54)</f>
        <v>11590</v>
      </c>
      <c r="BO144" s="140">
        <f t="shared" si="215"/>
        <v>11770</v>
      </c>
      <c r="BP144" s="140">
        <f t="shared" si="215"/>
        <v>11949</v>
      </c>
      <c r="BQ144" s="140">
        <f t="shared" si="215"/>
        <v>12130</v>
      </c>
      <c r="BR144" s="140">
        <f t="shared" si="215"/>
        <v>12309</v>
      </c>
      <c r="BS144" s="140">
        <f t="shared" si="215"/>
        <v>12490</v>
      </c>
      <c r="BT144" s="140">
        <f t="shared" si="215"/>
        <v>12669</v>
      </c>
      <c r="BU144" s="140">
        <f t="shared" si="215"/>
        <v>12850</v>
      </c>
      <c r="BV144" s="140">
        <f t="shared" si="215"/>
        <v>13029</v>
      </c>
      <c r="BW144" s="140">
        <f t="shared" si="215"/>
        <v>13209</v>
      </c>
      <c r="BX144" s="140">
        <f t="shared" si="215"/>
        <v>13388</v>
      </c>
      <c r="BY144" s="140">
        <f t="shared" si="215"/>
        <v>13569</v>
      </c>
      <c r="BZ144" s="140">
        <f t="shared" si="215"/>
        <v>13748</v>
      </c>
      <c r="CA144" s="140">
        <f t="shared" si="215"/>
        <v>13929</v>
      </c>
      <c r="CB144" s="140">
        <f t="shared" si="215"/>
        <v>14108</v>
      </c>
      <c r="CC144" s="17"/>
      <c r="CD144" s="17"/>
      <c r="CE144" s="17"/>
    </row>
    <row r="145" spans="1:83">
      <c r="A145" s="16" t="s">
        <v>41</v>
      </c>
      <c r="B145" s="140">
        <f>B144/360</f>
        <v>0.21666666666666667</v>
      </c>
      <c r="C145" s="140">
        <f t="shared" ref="C145:BN145" si="216">C144/360</f>
        <v>0.71666666666666667</v>
      </c>
      <c r="D145" s="140">
        <f t="shared" si="216"/>
        <v>1.2138888888888888</v>
      </c>
      <c r="E145" s="140">
        <f t="shared" si="216"/>
        <v>1.7166666666666666</v>
      </c>
      <c r="F145" s="140">
        <f t="shared" si="216"/>
        <v>2.213888888888889</v>
      </c>
      <c r="G145" s="140">
        <f t="shared" si="216"/>
        <v>2.7166666666666668</v>
      </c>
      <c r="H145" s="140">
        <f t="shared" si="216"/>
        <v>3.213888888888889</v>
      </c>
      <c r="I145" s="140">
        <f t="shared" si="216"/>
        <v>3.7166666666666668</v>
      </c>
      <c r="J145" s="140">
        <f t="shared" si="216"/>
        <v>4.2138888888888886</v>
      </c>
      <c r="K145" s="140">
        <f t="shared" si="216"/>
        <v>4.7138888888888886</v>
      </c>
      <c r="L145" s="140">
        <f t="shared" si="216"/>
        <v>5.2111111111111112</v>
      </c>
      <c r="M145" s="140">
        <f t="shared" si="216"/>
        <v>5.7138888888888886</v>
      </c>
      <c r="N145" s="140">
        <f t="shared" si="216"/>
        <v>6.2111111111111112</v>
      </c>
      <c r="O145" s="140">
        <f t="shared" si="216"/>
        <v>6.7138888888888886</v>
      </c>
      <c r="P145" s="140">
        <f t="shared" si="216"/>
        <v>7.2111111111111112</v>
      </c>
      <c r="Q145" s="140">
        <f t="shared" si="216"/>
        <v>7.7138888888888886</v>
      </c>
      <c r="R145" s="140">
        <f t="shared" si="216"/>
        <v>8.2111111111111104</v>
      </c>
      <c r="S145" s="140">
        <f t="shared" si="216"/>
        <v>8.7111111111111104</v>
      </c>
      <c r="T145" s="140">
        <f t="shared" si="216"/>
        <v>9.2083333333333339</v>
      </c>
      <c r="U145" s="140">
        <f t="shared" si="216"/>
        <v>9.7111111111111104</v>
      </c>
      <c r="V145" s="140">
        <f t="shared" si="216"/>
        <v>10.208333333333334</v>
      </c>
      <c r="W145" s="140">
        <f t="shared" si="216"/>
        <v>10.71111111111111</v>
      </c>
      <c r="X145" s="140">
        <f t="shared" si="216"/>
        <v>11.208333333333334</v>
      </c>
      <c r="Y145" s="140">
        <f t="shared" si="216"/>
        <v>11.71111111111111</v>
      </c>
      <c r="Z145" s="140">
        <f t="shared" si="216"/>
        <v>12.208333333333334</v>
      </c>
      <c r="AA145" s="140">
        <f t="shared" si="216"/>
        <v>12.708333333333334</v>
      </c>
      <c r="AB145" s="140">
        <f t="shared" si="216"/>
        <v>13.205555555555556</v>
      </c>
      <c r="AC145" s="140">
        <f t="shared" si="216"/>
        <v>13.708333333333334</v>
      </c>
      <c r="AD145" s="140">
        <f t="shared" si="216"/>
        <v>14.205555555555556</v>
      </c>
      <c r="AE145" s="140">
        <f t="shared" si="216"/>
        <v>14.708333333333334</v>
      </c>
      <c r="AF145" s="140">
        <f t="shared" si="216"/>
        <v>15.205555555555556</v>
      </c>
      <c r="AG145" s="140">
        <f t="shared" si="216"/>
        <v>15.708333333333334</v>
      </c>
      <c r="AH145" s="140">
        <f t="shared" si="216"/>
        <v>16.205555555555556</v>
      </c>
      <c r="AI145" s="140">
        <f t="shared" si="216"/>
        <v>16.705555555555556</v>
      </c>
      <c r="AJ145" s="140">
        <f t="shared" si="216"/>
        <v>17.202777777777779</v>
      </c>
      <c r="AK145" s="140">
        <f t="shared" si="216"/>
        <v>17.705555555555556</v>
      </c>
      <c r="AL145" s="140">
        <f t="shared" si="216"/>
        <v>18.202777777777779</v>
      </c>
      <c r="AM145" s="140">
        <f t="shared" si="216"/>
        <v>18.705555555555556</v>
      </c>
      <c r="AN145" s="140">
        <f t="shared" si="216"/>
        <v>19.202777777777779</v>
      </c>
      <c r="AO145" s="140">
        <f t="shared" si="216"/>
        <v>19.705555555555556</v>
      </c>
      <c r="AP145" s="140">
        <f t="shared" si="216"/>
        <v>20.202777777777779</v>
      </c>
      <c r="AQ145" s="140">
        <f t="shared" si="216"/>
        <v>20.702777777777779</v>
      </c>
      <c r="AR145" s="140">
        <f t="shared" si="216"/>
        <v>21.2</v>
      </c>
      <c r="AS145" s="140">
        <f t="shared" si="216"/>
        <v>21.702777777777779</v>
      </c>
      <c r="AT145" s="140">
        <f t="shared" si="216"/>
        <v>22.2</v>
      </c>
      <c r="AU145" s="140">
        <f t="shared" si="216"/>
        <v>22.702777777777779</v>
      </c>
      <c r="AV145" s="140">
        <f t="shared" si="216"/>
        <v>23.2</v>
      </c>
      <c r="AW145" s="140">
        <f t="shared" si="216"/>
        <v>23.702777777777779</v>
      </c>
      <c r="AX145" s="140">
        <f t="shared" si="216"/>
        <v>24.2</v>
      </c>
      <c r="AY145" s="140">
        <f t="shared" si="216"/>
        <v>24.7</v>
      </c>
      <c r="AZ145" s="140">
        <f t="shared" si="216"/>
        <v>25.197222222222223</v>
      </c>
      <c r="BA145" s="140">
        <f t="shared" si="216"/>
        <v>25.7</v>
      </c>
      <c r="BB145" s="140">
        <f t="shared" si="216"/>
        <v>26.197222222222223</v>
      </c>
      <c r="BC145" s="140">
        <f t="shared" si="216"/>
        <v>26.7</v>
      </c>
      <c r="BD145" s="140">
        <f t="shared" si="216"/>
        <v>27.197222222222223</v>
      </c>
      <c r="BE145" s="140">
        <f t="shared" si="216"/>
        <v>27.7</v>
      </c>
      <c r="BF145" s="140">
        <f t="shared" si="216"/>
        <v>28.197222222222223</v>
      </c>
      <c r="BG145" s="140">
        <f t="shared" si="216"/>
        <v>28.697222222222223</v>
      </c>
      <c r="BH145" s="140">
        <f t="shared" si="216"/>
        <v>29.194444444444443</v>
      </c>
      <c r="BI145" s="140">
        <f t="shared" si="216"/>
        <v>29.697222222222223</v>
      </c>
      <c r="BJ145" s="140">
        <f t="shared" si="216"/>
        <v>30.194444444444443</v>
      </c>
      <c r="BK145" s="140">
        <f t="shared" si="216"/>
        <v>30.697222222222223</v>
      </c>
      <c r="BL145" s="140">
        <f t="shared" si="216"/>
        <v>31.194444444444443</v>
      </c>
      <c r="BM145" s="140">
        <f t="shared" si="216"/>
        <v>31.697222222222223</v>
      </c>
      <c r="BN145" s="140">
        <f t="shared" si="216"/>
        <v>32.194444444444443</v>
      </c>
      <c r="BO145" s="140">
        <f t="shared" ref="BO145:CB145" si="217">BO144/360</f>
        <v>32.694444444444443</v>
      </c>
      <c r="BP145" s="140">
        <f t="shared" si="217"/>
        <v>33.19166666666667</v>
      </c>
      <c r="BQ145" s="140">
        <f t="shared" si="217"/>
        <v>33.694444444444443</v>
      </c>
      <c r="BR145" s="140">
        <f t="shared" si="217"/>
        <v>34.19166666666667</v>
      </c>
      <c r="BS145" s="140">
        <f t="shared" si="217"/>
        <v>34.694444444444443</v>
      </c>
      <c r="BT145" s="140">
        <f t="shared" si="217"/>
        <v>35.19166666666667</v>
      </c>
      <c r="BU145" s="140">
        <f t="shared" si="217"/>
        <v>35.694444444444443</v>
      </c>
      <c r="BV145" s="140">
        <f t="shared" si="217"/>
        <v>36.19166666666667</v>
      </c>
      <c r="BW145" s="140">
        <f t="shared" si="217"/>
        <v>36.69166666666667</v>
      </c>
      <c r="BX145" s="140">
        <f t="shared" si="217"/>
        <v>37.18888888888889</v>
      </c>
      <c r="BY145" s="140">
        <f t="shared" si="217"/>
        <v>37.69166666666667</v>
      </c>
      <c r="BZ145" s="140">
        <f t="shared" si="217"/>
        <v>38.18888888888889</v>
      </c>
      <c r="CA145" s="140">
        <f t="shared" si="217"/>
        <v>38.69166666666667</v>
      </c>
      <c r="CB145" s="140">
        <f t="shared" si="217"/>
        <v>39.18888888888889</v>
      </c>
      <c r="CC145" s="17"/>
      <c r="CD145" s="17"/>
      <c r="CE145" s="17"/>
    </row>
    <row r="146" spans="1:83">
      <c r="A146" s="16" t="s">
        <v>43</v>
      </c>
      <c r="B146" s="140">
        <f>IF(B144&lt;0,0,$B$5+$B$6*((1-EXP(-B145/$B$9))/(B145/$B$9))+$B$7*((1-EXP(-B145/$B$9))/(B145/$B$9)-EXP(-B145/$B$9))+$B$8*((1-EXP(-B145/$B$10))/(B145/$B$10)-EXP(-B145/$B$10)))</f>
        <v>-1.2953087605009255E-3</v>
      </c>
      <c r="C146" s="140">
        <f t="shared" ref="C146:BN146" si="218">IF(C144&lt;0,0,$B$5+$B$6*((1-EXP(-C145/$B$9))/(C145/$B$9))+$B$7*((1-EXP(-C145/$B$9))/(C145/$B$9)-EXP(-C145/$B$9))+$B$8*((1-EXP(-C145/$B$10))/(C145/$B$10)-EXP(-C145/$B$10)))</f>
        <v>-1.6211020717589761E-3</v>
      </c>
      <c r="D146" s="140">
        <f t="shared" si="218"/>
        <v>-1.8907404753556243E-3</v>
      </c>
      <c r="E146" s="140">
        <f t="shared" si="218"/>
        <v>-2.1133570255532841E-3</v>
      </c>
      <c r="F146" s="140">
        <f t="shared" si="218"/>
        <v>-2.2885813676479958E-3</v>
      </c>
      <c r="G146" s="140">
        <f t="shared" si="218"/>
        <v>-2.4245255383396336E-3</v>
      </c>
      <c r="H146" s="140">
        <f t="shared" si="218"/>
        <v>-2.5219433672471411E-3</v>
      </c>
      <c r="I146" s="140">
        <f t="shared" si="218"/>
        <v>-2.5864789715029251E-3</v>
      </c>
      <c r="J146" s="140">
        <f t="shared" si="218"/>
        <v>-2.619811814654822E-3</v>
      </c>
      <c r="K146" s="140">
        <f t="shared" si="218"/>
        <v>-2.6255932587518314E-3</v>
      </c>
      <c r="L146" s="140">
        <f t="shared" si="218"/>
        <v>-2.606315477071719E-3</v>
      </c>
      <c r="M146" s="140">
        <f t="shared" si="218"/>
        <v>-2.5638115820094342E-3</v>
      </c>
      <c r="N146" s="140">
        <f t="shared" si="218"/>
        <v>-2.5011459400013677E-3</v>
      </c>
      <c r="O146" s="140">
        <f t="shared" si="218"/>
        <v>-2.4188802442816266E-3</v>
      </c>
      <c r="P146" s="140">
        <f t="shared" si="218"/>
        <v>-2.32059144502871E-3</v>
      </c>
      <c r="Q146" s="140">
        <f t="shared" si="218"/>
        <v>-2.2057077052865834E-3</v>
      </c>
      <c r="R146" s="140">
        <f t="shared" si="218"/>
        <v>-2.0782248134192239E-3</v>
      </c>
      <c r="S146" s="140">
        <f t="shared" si="218"/>
        <v>-1.937455111028781E-3</v>
      </c>
      <c r="T146" s="140">
        <f t="shared" si="218"/>
        <v>-1.7861651899361251E-3</v>
      </c>
      <c r="U146" s="140">
        <f t="shared" si="218"/>
        <v>-1.6228393128709523E-3</v>
      </c>
      <c r="V146" s="140">
        <f t="shared" si="218"/>
        <v>-1.4520895707154846E-3</v>
      </c>
      <c r="W146" s="140">
        <f t="shared" si="218"/>
        <v>-1.2710276765101275E-3</v>
      </c>
      <c r="X146" s="140">
        <f t="shared" si="218"/>
        <v>-1.0844878620862738E-3</v>
      </c>
      <c r="Y146" s="140">
        <f t="shared" si="218"/>
        <v>-8.8907237510513909E-4</v>
      </c>
      <c r="Z146" s="140">
        <f t="shared" si="218"/>
        <v>-6.8979241604256092E-4</v>
      </c>
      <c r="AA146" s="140">
        <f t="shared" si="218"/>
        <v>-4.8399353067291604E-4</v>
      </c>
      <c r="AB146" s="140">
        <f t="shared" si="218"/>
        <v>-2.7453660173468826E-4</v>
      </c>
      <c r="AC146" s="140">
        <f t="shared" si="218"/>
        <v>-5.840448880103195E-5</v>
      </c>
      <c r="AD146" s="140">
        <f t="shared" si="218"/>
        <v>1.591452092160198E-4</v>
      </c>
      <c r="AE146" s="140">
        <f t="shared" si="218"/>
        <v>3.8252769955380043E-4</v>
      </c>
      <c r="AF146" s="140">
        <f t="shared" si="218"/>
        <v>6.0640445736763081E-4</v>
      </c>
      <c r="AG146" s="140">
        <f t="shared" si="218"/>
        <v>8.354053123539925E-4</v>
      </c>
      <c r="AH146" s="140">
        <f t="shared" si="218"/>
        <v>1.0641332498144518E-3</v>
      </c>
      <c r="AI146" s="140">
        <f t="shared" si="218"/>
        <v>1.2960935813129625E-3</v>
      </c>
      <c r="AJ146" s="140">
        <f t="shared" si="218"/>
        <v>1.5284284269690561E-3</v>
      </c>
      <c r="AK146" s="140">
        <f t="shared" si="218"/>
        <v>1.7647840411522597E-3</v>
      </c>
      <c r="AL146" s="140">
        <f t="shared" si="218"/>
        <v>1.9997003898327864E-3</v>
      </c>
      <c r="AM146" s="140">
        <f t="shared" si="218"/>
        <v>2.2382067085522954E-3</v>
      </c>
      <c r="AN146" s="140">
        <f t="shared" si="218"/>
        <v>2.4748330141953086E-3</v>
      </c>
      <c r="AO146" s="140">
        <f t="shared" si="218"/>
        <v>2.7146815483065972E-3</v>
      </c>
      <c r="AP146" s="140">
        <f t="shared" si="218"/>
        <v>2.9522839540059758E-3</v>
      </c>
      <c r="AQ146" s="140">
        <f t="shared" si="218"/>
        <v>3.1914640725477675E-3</v>
      </c>
      <c r="AR146" s="140">
        <f t="shared" si="218"/>
        <v>3.4294232329004698E-3</v>
      </c>
      <c r="AS146" s="140">
        <f t="shared" si="218"/>
        <v>3.6700183922689254E-3</v>
      </c>
      <c r="AT146" s="140">
        <f t="shared" si="218"/>
        <v>3.9078125540848718E-3</v>
      </c>
      <c r="AU146" s="140">
        <f t="shared" si="218"/>
        <v>4.1480074750510805E-3</v>
      </c>
      <c r="AV146" s="140">
        <f t="shared" si="218"/>
        <v>4.3851932931745939E-3</v>
      </c>
      <c r="AW146" s="140">
        <f t="shared" si="218"/>
        <v>4.624575179290354E-3</v>
      </c>
      <c r="AX146" s="140">
        <f t="shared" si="218"/>
        <v>4.8607766048596665E-3</v>
      </c>
      <c r="AY146" s="140">
        <f t="shared" si="218"/>
        <v>5.0976807868356811E-3</v>
      </c>
      <c r="AZ146" s="140">
        <f t="shared" si="218"/>
        <v>5.332582406261617E-3</v>
      </c>
      <c r="BA146" s="140">
        <f t="shared" si="218"/>
        <v>5.569344013418397E-3</v>
      </c>
      <c r="BB146" s="140">
        <f t="shared" si="218"/>
        <v>5.8026708506391678E-3</v>
      </c>
      <c r="BC146" s="140">
        <f t="shared" si="218"/>
        <v>6.0377184411058351E-3</v>
      </c>
      <c r="BD146" s="140">
        <f t="shared" si="218"/>
        <v>6.2692391940447371E-3</v>
      </c>
      <c r="BE146" s="140">
        <f t="shared" si="218"/>
        <v>6.502356967235271E-3</v>
      </c>
      <c r="BF146" s="140">
        <f t="shared" si="218"/>
        <v>6.7318747256802343E-3</v>
      </c>
      <c r="BG146" s="140">
        <f t="shared" si="218"/>
        <v>6.9616057681954014E-3</v>
      </c>
      <c r="BH146" s="140">
        <f t="shared" si="218"/>
        <v>7.1889591956298959E-3</v>
      </c>
      <c r="BI146" s="140">
        <f t="shared" si="218"/>
        <v>7.417700178721222E-3</v>
      </c>
      <c r="BJ146" s="140">
        <f t="shared" si="218"/>
        <v>7.642740952925468E-3</v>
      </c>
      <c r="BK146" s="140">
        <f t="shared" si="218"/>
        <v>7.8690797902528989E-3</v>
      </c>
      <c r="BL146" s="140">
        <f t="shared" si="218"/>
        <v>8.0916870148342607E-3</v>
      </c>
      <c r="BM146" s="140">
        <f t="shared" si="218"/>
        <v>8.3155112391355927E-3</v>
      </c>
      <c r="BN146" s="140">
        <f t="shared" si="218"/>
        <v>8.5355826895841588E-3</v>
      </c>
      <c r="BO146" s="140">
        <f t="shared" ref="BO146:CB146" si="219">IF(BO144&lt;0,0,$B$5+$B$6*((1-EXP(-BO145/$B$9))/(BO145/$B$9))+$B$7*((1-EXP(-BO145/$B$9))/(BO145/$B$9)-EXP(-BO145/$B$9))+$B$8*((1-EXP(-BO145/$B$10))/(BO145/$B$10)-EXP(-BO145/$B$10)))</f>
        <v>8.7555789005119081E-3</v>
      </c>
      <c r="BP146" s="140">
        <f t="shared" si="219"/>
        <v>8.9730359393047909E-3</v>
      </c>
      <c r="BQ146" s="140">
        <f t="shared" si="219"/>
        <v>9.1915691125536315E-3</v>
      </c>
      <c r="BR146" s="140">
        <f t="shared" si="219"/>
        <v>9.4063326216226196E-3</v>
      </c>
      <c r="BS146" s="140">
        <f t="shared" si="219"/>
        <v>9.6221105823596012E-3</v>
      </c>
      <c r="BT146" s="140">
        <f t="shared" si="219"/>
        <v>9.8341209701012615E-3</v>
      </c>
      <c r="BU146" s="140">
        <f t="shared" si="219"/>
        <v>1.004708912516427E-2</v>
      </c>
      <c r="BV146" s="140">
        <f t="shared" si="219"/>
        <v>1.0256297659074837E-2</v>
      </c>
      <c r="BW146" s="140">
        <f t="shared" si="219"/>
        <v>1.0465254845925611E-2</v>
      </c>
      <c r="BX146" s="140">
        <f t="shared" si="219"/>
        <v>1.0671630313162908E-2</v>
      </c>
      <c r="BY146" s="140">
        <f t="shared" si="219"/>
        <v>1.0878863186872152E-2</v>
      </c>
      <c r="BZ146" s="140">
        <f t="shared" si="219"/>
        <v>1.1082367060306148E-2</v>
      </c>
      <c r="CA146" s="140">
        <f t="shared" si="219"/>
        <v>1.1286683658613784E-2</v>
      </c>
      <c r="CB146" s="140">
        <f t="shared" si="219"/>
        <v>1.1487292798937379E-2</v>
      </c>
      <c r="CC146" s="17"/>
      <c r="CD146" s="17"/>
      <c r="CE146" s="17"/>
    </row>
    <row r="147" spans="1:83">
      <c r="A147" s="16" t="s">
        <v>44</v>
      </c>
      <c r="B147" s="140">
        <f>EXP(-B146*B145)</f>
        <v>1.0002806896174026</v>
      </c>
      <c r="C147" s="140">
        <f t="shared" ref="C147:AR147" si="220">EXP(-C146*C145)</f>
        <v>1.0011624649573159</v>
      </c>
      <c r="D147" s="140">
        <f t="shared" si="220"/>
        <v>1.0022977847251253</v>
      </c>
      <c r="E147" s="140">
        <f t="shared" si="220"/>
        <v>1.0036345184625959</v>
      </c>
      <c r="F147" s="140">
        <f t="shared" si="220"/>
        <v>1.0050795221128521</v>
      </c>
      <c r="G147" s="140">
        <f t="shared" si="220"/>
        <v>1.0066083672486681</v>
      </c>
      <c r="H147" s="140">
        <f t="shared" si="220"/>
        <v>1.0081381821966866</v>
      </c>
      <c r="I147" s="140">
        <f t="shared" si="220"/>
        <v>1.0096594342487364</v>
      </c>
      <c r="J147" s="140">
        <f t="shared" si="220"/>
        <v>1.0111007570932959</v>
      </c>
      <c r="K147" s="140">
        <f t="shared" si="220"/>
        <v>1.0124536638870441</v>
      </c>
      <c r="L147" s="140">
        <f t="shared" si="220"/>
        <v>1.0136744511644336</v>
      </c>
      <c r="M147" s="140">
        <f t="shared" si="220"/>
        <v>1.0147571619022298</v>
      </c>
      <c r="N147" s="140">
        <f t="shared" si="220"/>
        <v>1.0156561891064142</v>
      </c>
      <c r="O147" s="140">
        <f t="shared" si="220"/>
        <v>1.016372680278933</v>
      </c>
      <c r="P147" s="140">
        <f t="shared" si="220"/>
        <v>1.0168748411259341</v>
      </c>
      <c r="Q147" s="140">
        <f t="shared" si="220"/>
        <v>1.0171601566434834</v>
      </c>
      <c r="R147" s="140">
        <f t="shared" si="220"/>
        <v>1.0172109657711386</v>
      </c>
      <c r="S147" s="140">
        <f t="shared" si="220"/>
        <v>1.0170206144719978</v>
      </c>
      <c r="T147" s="140">
        <f t="shared" si="220"/>
        <v>1.0165836109406552</v>
      </c>
      <c r="U147" s="140">
        <f t="shared" si="220"/>
        <v>1.0158844098819337</v>
      </c>
      <c r="V147" s="140">
        <f t="shared" si="220"/>
        <v>1.0149338260593113</v>
      </c>
      <c r="W147" s="140">
        <f t="shared" si="220"/>
        <v>1.0137072127669327</v>
      </c>
      <c r="X147" s="140">
        <f t="shared" si="220"/>
        <v>1.0122294773697971</v>
      </c>
      <c r="Y147" s="140">
        <f t="shared" si="220"/>
        <v>1.0104664191259742</v>
      </c>
      <c r="Z147" s="140">
        <f t="shared" si="220"/>
        <v>1.0084567739274592</v>
      </c>
      <c r="AA147" s="140">
        <f t="shared" si="220"/>
        <v>1.0061697058306094</v>
      </c>
      <c r="AB147" s="140">
        <f t="shared" si="220"/>
        <v>1.0036319880880935</v>
      </c>
      <c r="AC147" s="140">
        <f t="shared" si="220"/>
        <v>1.0008009487889569</v>
      </c>
      <c r="AD147" s="140">
        <f t="shared" si="220"/>
        <v>0.99774180745088958</v>
      </c>
      <c r="AE147" s="140">
        <f t="shared" si="220"/>
        <v>0.99438945332161544</v>
      </c>
      <c r="AF147" s="140">
        <f t="shared" si="220"/>
        <v>0.99082166378287584</v>
      </c>
      <c r="AG147" s="140">
        <f t="shared" si="220"/>
        <v>0.98696290374326889</v>
      </c>
      <c r="AH147" s="140">
        <f t="shared" si="220"/>
        <v>0.98290297122388126</v>
      </c>
      <c r="AI147" s="140">
        <f t="shared" si="220"/>
        <v>0.97858075778096876</v>
      </c>
      <c r="AJ147" s="140">
        <f t="shared" si="220"/>
        <v>0.97404944223627543</v>
      </c>
      <c r="AK147" s="140">
        <f t="shared" si="220"/>
        <v>0.96923664435711854</v>
      </c>
      <c r="AL147" s="140">
        <f t="shared" si="220"/>
        <v>0.96425441634795117</v>
      </c>
      <c r="AM147" s="140">
        <f t="shared" si="220"/>
        <v>0.95899741469969213</v>
      </c>
      <c r="AN147" s="140">
        <f t="shared" si="220"/>
        <v>0.95358790295730833</v>
      </c>
      <c r="AO147" s="140">
        <f t="shared" si="220"/>
        <v>0.94791133643740499</v>
      </c>
      <c r="AP147" s="140">
        <f t="shared" si="220"/>
        <v>0.94209954427603582</v>
      </c>
      <c r="AQ147" s="140">
        <f t="shared" si="220"/>
        <v>0.93606330477989741</v>
      </c>
      <c r="AR147" s="140">
        <f t="shared" si="220"/>
        <v>0.92987624411141234</v>
      </c>
      <c r="AS147" s="140">
        <f>EXP(-AS146*AS145)</f>
        <v>0.92343986893405594</v>
      </c>
      <c r="AT147" s="140">
        <f t="shared" ref="AT147:CA147" si="221">EXP(-AT146*AT145)</f>
        <v>0.91690314059472922</v>
      </c>
      <c r="AU147" s="140">
        <f t="shared" si="221"/>
        <v>0.91012685150613659</v>
      </c>
      <c r="AV147" s="140">
        <f t="shared" si="221"/>
        <v>0.90326754539766474</v>
      </c>
      <c r="AW147" s="140">
        <f t="shared" si="221"/>
        <v>0.89617884888888255</v>
      </c>
      <c r="AX147" s="140">
        <f t="shared" si="221"/>
        <v>0.88902422525169189</v>
      </c>
      <c r="AY147" s="140">
        <f t="shared" si="221"/>
        <v>0.88169180151038606</v>
      </c>
      <c r="AZ147" s="140">
        <f t="shared" si="221"/>
        <v>0.87426979248323877</v>
      </c>
      <c r="BA147" s="140">
        <f t="shared" si="221"/>
        <v>0.86663954258750464</v>
      </c>
      <c r="BB147" s="140">
        <f t="shared" si="221"/>
        <v>0.85897637717308051</v>
      </c>
      <c r="BC147" s="140">
        <f t="shared" si="221"/>
        <v>0.85111580177286372</v>
      </c>
      <c r="BD147" s="140">
        <f t="shared" si="221"/>
        <v>0.84323812165575718</v>
      </c>
      <c r="BE147" s="140">
        <f t="shared" si="221"/>
        <v>0.83517392033618176</v>
      </c>
      <c r="BF147" s="140">
        <f t="shared" si="221"/>
        <v>0.82710786135166148</v>
      </c>
      <c r="BG147" s="140">
        <f t="shared" si="221"/>
        <v>0.81891191913741457</v>
      </c>
      <c r="BH147" s="140">
        <f t="shared" si="221"/>
        <v>0.81068341092773455</v>
      </c>
      <c r="BI147" s="140">
        <f t="shared" si="221"/>
        <v>0.80229004001856929</v>
      </c>
      <c r="BJ147" s="140">
        <f t="shared" si="221"/>
        <v>0.79392338319591482</v>
      </c>
      <c r="BK147" s="140">
        <f t="shared" si="221"/>
        <v>0.78540254928093312</v>
      </c>
      <c r="BL147" s="140">
        <f t="shared" si="221"/>
        <v>0.77692171930420584</v>
      </c>
      <c r="BM147" s="140">
        <f t="shared" si="221"/>
        <v>0.76829722603502426</v>
      </c>
      <c r="BN147" s="140">
        <f t="shared" si="221"/>
        <v>0.75972531193319315</v>
      </c>
      <c r="BO147" s="140">
        <f t="shared" si="221"/>
        <v>0.75106822339511059</v>
      </c>
      <c r="BP147" s="140">
        <f t="shared" si="221"/>
        <v>0.74242752842376181</v>
      </c>
      <c r="BQ147" s="140">
        <f t="shared" si="221"/>
        <v>0.73366349085326332</v>
      </c>
      <c r="BR147" s="140">
        <f t="shared" si="221"/>
        <v>0.72497494049863154</v>
      </c>
      <c r="BS147" s="140">
        <f t="shared" si="221"/>
        <v>0.71617281383602471</v>
      </c>
      <c r="BT147" s="140">
        <f t="shared" si="221"/>
        <v>0.70745652003122694</v>
      </c>
      <c r="BU147" s="140">
        <f t="shared" si="221"/>
        <v>0.69863610598019588</v>
      </c>
      <c r="BV147" s="140">
        <f t="shared" si="221"/>
        <v>0.68991111666815053</v>
      </c>
      <c r="BW147" s="140">
        <f t="shared" si="221"/>
        <v>0.68113984438916697</v>
      </c>
      <c r="BX147" s="140">
        <f t="shared" si="221"/>
        <v>0.6724240746829685</v>
      </c>
      <c r="BY147" s="140">
        <f t="shared" si="221"/>
        <v>0.66362205558631926</v>
      </c>
      <c r="BZ147" s="140">
        <f t="shared" si="221"/>
        <v>0.65493238067160808</v>
      </c>
      <c r="CA147" s="140">
        <f t="shared" si="221"/>
        <v>0.64616486299060838</v>
      </c>
      <c r="CB147" s="140">
        <f>EXP(-CB146*CB145)</f>
        <v>0.63751706024966126</v>
      </c>
      <c r="CC147" s="17"/>
      <c r="CD147" s="17"/>
      <c r="CE147" s="17"/>
    </row>
    <row r="148" spans="1:83">
      <c r="A148" s="17"/>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17"/>
      <c r="CD148" s="17"/>
      <c r="CE148" s="17"/>
    </row>
    <row r="149" spans="1:83">
      <c r="A149" s="16" t="s">
        <v>40</v>
      </c>
      <c r="B149" s="140">
        <f t="shared" ref="B149:BM149" si="222">DAYS360($B$3,B56)</f>
        <v>78</v>
      </c>
      <c r="C149" s="140">
        <f t="shared" si="222"/>
        <v>258</v>
      </c>
      <c r="D149" s="140">
        <f t="shared" si="222"/>
        <v>437</v>
      </c>
      <c r="E149" s="140">
        <f t="shared" si="222"/>
        <v>618</v>
      </c>
      <c r="F149" s="140">
        <f t="shared" si="222"/>
        <v>797</v>
      </c>
      <c r="G149" s="140">
        <f t="shared" si="222"/>
        <v>978</v>
      </c>
      <c r="H149" s="140">
        <f t="shared" si="222"/>
        <v>1157</v>
      </c>
      <c r="I149" s="140">
        <f t="shared" si="222"/>
        <v>1338</v>
      </c>
      <c r="J149" s="140">
        <f t="shared" si="222"/>
        <v>1517</v>
      </c>
      <c r="K149" s="140">
        <f t="shared" si="222"/>
        <v>1697</v>
      </c>
      <c r="L149" s="140">
        <f t="shared" si="222"/>
        <v>1876</v>
      </c>
      <c r="M149" s="140">
        <f t="shared" si="222"/>
        <v>2057</v>
      </c>
      <c r="N149" s="140">
        <f t="shared" si="222"/>
        <v>2236</v>
      </c>
      <c r="O149" s="140">
        <f t="shared" si="222"/>
        <v>2417</v>
      </c>
      <c r="P149" s="140">
        <f t="shared" si="222"/>
        <v>2596</v>
      </c>
      <c r="Q149" s="140">
        <f t="shared" si="222"/>
        <v>2777</v>
      </c>
      <c r="R149" s="140">
        <f t="shared" si="222"/>
        <v>2956</v>
      </c>
      <c r="S149" s="140">
        <f t="shared" si="222"/>
        <v>3136</v>
      </c>
      <c r="T149" s="140">
        <f t="shared" si="222"/>
        <v>3315</v>
      </c>
      <c r="U149" s="140">
        <f t="shared" si="222"/>
        <v>3496</v>
      </c>
      <c r="V149" s="140">
        <f t="shared" si="222"/>
        <v>3675</v>
      </c>
      <c r="W149" s="140">
        <f t="shared" si="222"/>
        <v>3856</v>
      </c>
      <c r="X149" s="140">
        <f t="shared" si="222"/>
        <v>4035</v>
      </c>
      <c r="Y149" s="140">
        <f t="shared" si="222"/>
        <v>4216</v>
      </c>
      <c r="Z149" s="140">
        <f t="shared" si="222"/>
        <v>4395</v>
      </c>
      <c r="AA149" s="140">
        <f t="shared" si="222"/>
        <v>4575</v>
      </c>
      <c r="AB149" s="140">
        <f t="shared" si="222"/>
        <v>4754</v>
      </c>
      <c r="AC149" s="140">
        <f t="shared" si="222"/>
        <v>4935</v>
      </c>
      <c r="AD149" s="140">
        <f t="shared" si="222"/>
        <v>5114</v>
      </c>
      <c r="AE149" s="140">
        <f t="shared" si="222"/>
        <v>5295</v>
      </c>
      <c r="AF149" s="140">
        <f t="shared" si="222"/>
        <v>5474</v>
      </c>
      <c r="AG149" s="140">
        <f t="shared" si="222"/>
        <v>5655</v>
      </c>
      <c r="AH149" s="140">
        <f t="shared" si="222"/>
        <v>5834</v>
      </c>
      <c r="AI149" s="140">
        <f t="shared" si="222"/>
        <v>6014</v>
      </c>
      <c r="AJ149" s="140">
        <f t="shared" si="222"/>
        <v>6193</v>
      </c>
      <c r="AK149" s="140">
        <f t="shared" si="222"/>
        <v>6374</v>
      </c>
      <c r="AL149" s="140">
        <f t="shared" si="222"/>
        <v>6553</v>
      </c>
      <c r="AM149" s="140">
        <f t="shared" si="222"/>
        <v>6734</v>
      </c>
      <c r="AN149" s="140">
        <f t="shared" si="222"/>
        <v>6913</v>
      </c>
      <c r="AO149" s="140">
        <f t="shared" si="222"/>
        <v>7094</v>
      </c>
      <c r="AP149" s="140">
        <f t="shared" si="222"/>
        <v>7273</v>
      </c>
      <c r="AQ149" s="140">
        <f t="shared" si="222"/>
        <v>7453</v>
      </c>
      <c r="AR149" s="140">
        <f t="shared" si="222"/>
        <v>7632</v>
      </c>
      <c r="AS149" s="140">
        <f t="shared" si="222"/>
        <v>7813</v>
      </c>
      <c r="AT149" s="140">
        <f t="shared" si="222"/>
        <v>7992</v>
      </c>
      <c r="AU149" s="140">
        <f t="shared" si="222"/>
        <v>8173</v>
      </c>
      <c r="AV149" s="140">
        <f t="shared" si="222"/>
        <v>8352</v>
      </c>
      <c r="AW149" s="140">
        <f t="shared" si="222"/>
        <v>8533</v>
      </c>
      <c r="AX149" s="140">
        <f t="shared" si="222"/>
        <v>8712</v>
      </c>
      <c r="AY149" s="140">
        <f t="shared" si="222"/>
        <v>8892</v>
      </c>
      <c r="AZ149" s="140">
        <f t="shared" si="222"/>
        <v>9071</v>
      </c>
      <c r="BA149" s="140">
        <f t="shared" si="222"/>
        <v>9252</v>
      </c>
      <c r="BB149" s="140">
        <f t="shared" si="222"/>
        <v>9431</v>
      </c>
      <c r="BC149" s="140">
        <f t="shared" si="222"/>
        <v>9612</v>
      </c>
      <c r="BD149" s="140">
        <f t="shared" si="222"/>
        <v>9791</v>
      </c>
      <c r="BE149" s="140">
        <f t="shared" si="222"/>
        <v>9972</v>
      </c>
      <c r="BF149" s="140">
        <f t="shared" si="222"/>
        <v>10151</v>
      </c>
      <c r="BG149" s="140">
        <f t="shared" si="222"/>
        <v>10331</v>
      </c>
      <c r="BH149" s="140">
        <f t="shared" si="222"/>
        <v>10510</v>
      </c>
      <c r="BI149" s="140">
        <f t="shared" si="222"/>
        <v>10691</v>
      </c>
      <c r="BJ149" s="140">
        <f t="shared" si="222"/>
        <v>10870</v>
      </c>
      <c r="BK149" s="140">
        <f t="shared" si="222"/>
        <v>11051</v>
      </c>
      <c r="BL149" s="140">
        <f t="shared" si="222"/>
        <v>11230</v>
      </c>
      <c r="BM149" s="140">
        <f t="shared" si="222"/>
        <v>11411</v>
      </c>
      <c r="BN149" s="140">
        <f t="shared" ref="BN149:CB149" si="223">DAYS360($B$3,BN56)</f>
        <v>11590</v>
      </c>
      <c r="BO149" s="140">
        <f t="shared" si="223"/>
        <v>11770</v>
      </c>
      <c r="BP149" s="140">
        <f t="shared" si="223"/>
        <v>11949</v>
      </c>
      <c r="BQ149" s="140">
        <f t="shared" si="223"/>
        <v>12130</v>
      </c>
      <c r="BR149" s="140">
        <f t="shared" si="223"/>
        <v>12309</v>
      </c>
      <c r="BS149" s="140">
        <f t="shared" si="223"/>
        <v>12490</v>
      </c>
      <c r="BT149" s="140">
        <f t="shared" si="223"/>
        <v>12669</v>
      </c>
      <c r="BU149" s="140">
        <f t="shared" si="223"/>
        <v>12850</v>
      </c>
      <c r="BV149" s="140">
        <f t="shared" si="223"/>
        <v>13029</v>
      </c>
      <c r="BW149" s="140">
        <f t="shared" si="223"/>
        <v>13209</v>
      </c>
      <c r="BX149" s="140">
        <f t="shared" si="223"/>
        <v>13388</v>
      </c>
      <c r="BY149" s="140">
        <f t="shared" si="223"/>
        <v>13569</v>
      </c>
      <c r="BZ149" s="140">
        <f t="shared" si="223"/>
        <v>13748</v>
      </c>
      <c r="CA149" s="140">
        <f t="shared" si="223"/>
        <v>13929</v>
      </c>
      <c r="CB149" s="140">
        <f t="shared" si="223"/>
        <v>14108</v>
      </c>
      <c r="CC149" s="17"/>
      <c r="CD149" s="17"/>
      <c r="CE149" s="17"/>
    </row>
    <row r="150" spans="1:83">
      <c r="A150" s="16" t="s">
        <v>41</v>
      </c>
      <c r="B150" s="140">
        <f>B149/360</f>
        <v>0.21666666666666667</v>
      </c>
      <c r="C150" s="140">
        <f t="shared" ref="C150:BN150" si="224">C149/360</f>
        <v>0.71666666666666667</v>
      </c>
      <c r="D150" s="140">
        <f t="shared" si="224"/>
        <v>1.2138888888888888</v>
      </c>
      <c r="E150" s="140">
        <f t="shared" si="224"/>
        <v>1.7166666666666666</v>
      </c>
      <c r="F150" s="140">
        <f t="shared" si="224"/>
        <v>2.213888888888889</v>
      </c>
      <c r="G150" s="140">
        <f t="shared" si="224"/>
        <v>2.7166666666666668</v>
      </c>
      <c r="H150" s="140">
        <f t="shared" si="224"/>
        <v>3.213888888888889</v>
      </c>
      <c r="I150" s="140">
        <f t="shared" si="224"/>
        <v>3.7166666666666668</v>
      </c>
      <c r="J150" s="140">
        <f t="shared" si="224"/>
        <v>4.2138888888888886</v>
      </c>
      <c r="K150" s="140">
        <f t="shared" si="224"/>
        <v>4.7138888888888886</v>
      </c>
      <c r="L150" s="140">
        <f t="shared" si="224"/>
        <v>5.2111111111111112</v>
      </c>
      <c r="M150" s="140">
        <f t="shared" si="224"/>
        <v>5.7138888888888886</v>
      </c>
      <c r="N150" s="140">
        <f t="shared" si="224"/>
        <v>6.2111111111111112</v>
      </c>
      <c r="O150" s="140">
        <f t="shared" si="224"/>
        <v>6.7138888888888886</v>
      </c>
      <c r="P150" s="140">
        <f t="shared" si="224"/>
        <v>7.2111111111111112</v>
      </c>
      <c r="Q150" s="140">
        <f t="shared" si="224"/>
        <v>7.7138888888888886</v>
      </c>
      <c r="R150" s="140">
        <f t="shared" si="224"/>
        <v>8.2111111111111104</v>
      </c>
      <c r="S150" s="140">
        <f t="shared" si="224"/>
        <v>8.7111111111111104</v>
      </c>
      <c r="T150" s="140">
        <f t="shared" si="224"/>
        <v>9.2083333333333339</v>
      </c>
      <c r="U150" s="140">
        <f t="shared" si="224"/>
        <v>9.7111111111111104</v>
      </c>
      <c r="V150" s="140">
        <f t="shared" si="224"/>
        <v>10.208333333333334</v>
      </c>
      <c r="W150" s="140">
        <f t="shared" si="224"/>
        <v>10.71111111111111</v>
      </c>
      <c r="X150" s="140">
        <f t="shared" si="224"/>
        <v>11.208333333333334</v>
      </c>
      <c r="Y150" s="140">
        <f t="shared" si="224"/>
        <v>11.71111111111111</v>
      </c>
      <c r="Z150" s="140">
        <f t="shared" si="224"/>
        <v>12.208333333333334</v>
      </c>
      <c r="AA150" s="140">
        <f t="shared" si="224"/>
        <v>12.708333333333334</v>
      </c>
      <c r="AB150" s="140">
        <f t="shared" si="224"/>
        <v>13.205555555555556</v>
      </c>
      <c r="AC150" s="140">
        <f t="shared" si="224"/>
        <v>13.708333333333334</v>
      </c>
      <c r="AD150" s="140">
        <f t="shared" si="224"/>
        <v>14.205555555555556</v>
      </c>
      <c r="AE150" s="140">
        <f t="shared" si="224"/>
        <v>14.708333333333334</v>
      </c>
      <c r="AF150" s="140">
        <f t="shared" si="224"/>
        <v>15.205555555555556</v>
      </c>
      <c r="AG150" s="140">
        <f t="shared" si="224"/>
        <v>15.708333333333334</v>
      </c>
      <c r="AH150" s="140">
        <f t="shared" si="224"/>
        <v>16.205555555555556</v>
      </c>
      <c r="AI150" s="140">
        <f t="shared" si="224"/>
        <v>16.705555555555556</v>
      </c>
      <c r="AJ150" s="140">
        <f t="shared" si="224"/>
        <v>17.202777777777779</v>
      </c>
      <c r="AK150" s="140">
        <f t="shared" si="224"/>
        <v>17.705555555555556</v>
      </c>
      <c r="AL150" s="140">
        <f t="shared" si="224"/>
        <v>18.202777777777779</v>
      </c>
      <c r="AM150" s="140">
        <f t="shared" si="224"/>
        <v>18.705555555555556</v>
      </c>
      <c r="AN150" s="140">
        <f t="shared" si="224"/>
        <v>19.202777777777779</v>
      </c>
      <c r="AO150" s="140">
        <f t="shared" si="224"/>
        <v>19.705555555555556</v>
      </c>
      <c r="AP150" s="140">
        <f t="shared" si="224"/>
        <v>20.202777777777779</v>
      </c>
      <c r="AQ150" s="140">
        <f t="shared" si="224"/>
        <v>20.702777777777779</v>
      </c>
      <c r="AR150" s="140">
        <f t="shared" si="224"/>
        <v>21.2</v>
      </c>
      <c r="AS150" s="140">
        <f t="shared" si="224"/>
        <v>21.702777777777779</v>
      </c>
      <c r="AT150" s="140">
        <f t="shared" si="224"/>
        <v>22.2</v>
      </c>
      <c r="AU150" s="140">
        <f t="shared" si="224"/>
        <v>22.702777777777779</v>
      </c>
      <c r="AV150" s="140">
        <f t="shared" si="224"/>
        <v>23.2</v>
      </c>
      <c r="AW150" s="140">
        <f t="shared" si="224"/>
        <v>23.702777777777779</v>
      </c>
      <c r="AX150" s="140">
        <f t="shared" si="224"/>
        <v>24.2</v>
      </c>
      <c r="AY150" s="140">
        <f t="shared" si="224"/>
        <v>24.7</v>
      </c>
      <c r="AZ150" s="140">
        <f t="shared" si="224"/>
        <v>25.197222222222223</v>
      </c>
      <c r="BA150" s="140">
        <f t="shared" si="224"/>
        <v>25.7</v>
      </c>
      <c r="BB150" s="140">
        <f t="shared" si="224"/>
        <v>26.197222222222223</v>
      </c>
      <c r="BC150" s="140">
        <f t="shared" si="224"/>
        <v>26.7</v>
      </c>
      <c r="BD150" s="140">
        <f t="shared" si="224"/>
        <v>27.197222222222223</v>
      </c>
      <c r="BE150" s="140">
        <f t="shared" si="224"/>
        <v>27.7</v>
      </c>
      <c r="BF150" s="140">
        <f t="shared" si="224"/>
        <v>28.197222222222223</v>
      </c>
      <c r="BG150" s="140">
        <f t="shared" si="224"/>
        <v>28.697222222222223</v>
      </c>
      <c r="BH150" s="140">
        <f t="shared" si="224"/>
        <v>29.194444444444443</v>
      </c>
      <c r="BI150" s="140">
        <f t="shared" si="224"/>
        <v>29.697222222222223</v>
      </c>
      <c r="BJ150" s="140">
        <f t="shared" si="224"/>
        <v>30.194444444444443</v>
      </c>
      <c r="BK150" s="140">
        <f t="shared" si="224"/>
        <v>30.697222222222223</v>
      </c>
      <c r="BL150" s="140">
        <f t="shared" si="224"/>
        <v>31.194444444444443</v>
      </c>
      <c r="BM150" s="140">
        <f t="shared" si="224"/>
        <v>31.697222222222223</v>
      </c>
      <c r="BN150" s="140">
        <f t="shared" si="224"/>
        <v>32.194444444444443</v>
      </c>
      <c r="BO150" s="140">
        <f t="shared" ref="BO150:CB150" si="225">BO149/360</f>
        <v>32.694444444444443</v>
      </c>
      <c r="BP150" s="140">
        <f t="shared" si="225"/>
        <v>33.19166666666667</v>
      </c>
      <c r="BQ150" s="140">
        <f t="shared" si="225"/>
        <v>33.694444444444443</v>
      </c>
      <c r="BR150" s="140">
        <f t="shared" si="225"/>
        <v>34.19166666666667</v>
      </c>
      <c r="BS150" s="140">
        <f t="shared" si="225"/>
        <v>34.694444444444443</v>
      </c>
      <c r="BT150" s="140">
        <f t="shared" si="225"/>
        <v>35.19166666666667</v>
      </c>
      <c r="BU150" s="140">
        <f t="shared" si="225"/>
        <v>35.694444444444443</v>
      </c>
      <c r="BV150" s="140">
        <f t="shared" si="225"/>
        <v>36.19166666666667</v>
      </c>
      <c r="BW150" s="140">
        <f t="shared" si="225"/>
        <v>36.69166666666667</v>
      </c>
      <c r="BX150" s="140">
        <f t="shared" si="225"/>
        <v>37.18888888888889</v>
      </c>
      <c r="BY150" s="140">
        <f t="shared" si="225"/>
        <v>37.69166666666667</v>
      </c>
      <c r="BZ150" s="140">
        <f t="shared" si="225"/>
        <v>38.18888888888889</v>
      </c>
      <c r="CA150" s="140">
        <f t="shared" si="225"/>
        <v>38.69166666666667</v>
      </c>
      <c r="CB150" s="140">
        <f t="shared" si="225"/>
        <v>39.18888888888889</v>
      </c>
      <c r="CC150" s="17"/>
      <c r="CD150" s="17"/>
      <c r="CE150" s="17"/>
    </row>
    <row r="151" spans="1:83">
      <c r="A151" s="16" t="s">
        <v>43</v>
      </c>
      <c r="B151" s="140">
        <f>IF(B149&lt;0,0,$B$5+$B$6*((1-EXP(-B150/$B$9))/(B150/$B$9))+$B$7*((1-EXP(-B150/$B$9))/(B150/$B$9)-EXP(-B150/$B$9))+$B$8*((1-EXP(-B150/$B$10))/(B150/$B$10)-EXP(-B150/$B$10)))</f>
        <v>-1.2953087605009255E-3</v>
      </c>
      <c r="C151" s="140">
        <f t="shared" ref="C151:BN151" si="226">IF(C149&lt;0,0,$B$5+$B$6*((1-EXP(-C150/$B$9))/(C150/$B$9))+$B$7*((1-EXP(-C150/$B$9))/(C150/$B$9)-EXP(-C150/$B$9))+$B$8*((1-EXP(-C150/$B$10))/(C150/$B$10)-EXP(-C150/$B$10)))</f>
        <v>-1.6211020717589761E-3</v>
      </c>
      <c r="D151" s="140">
        <f t="shared" si="226"/>
        <v>-1.8907404753556243E-3</v>
      </c>
      <c r="E151" s="140">
        <f t="shared" si="226"/>
        <v>-2.1133570255532841E-3</v>
      </c>
      <c r="F151" s="140">
        <f t="shared" si="226"/>
        <v>-2.2885813676479958E-3</v>
      </c>
      <c r="G151" s="140">
        <f t="shared" si="226"/>
        <v>-2.4245255383396336E-3</v>
      </c>
      <c r="H151" s="140">
        <f t="shared" si="226"/>
        <v>-2.5219433672471411E-3</v>
      </c>
      <c r="I151" s="140">
        <f t="shared" si="226"/>
        <v>-2.5864789715029251E-3</v>
      </c>
      <c r="J151" s="140">
        <f t="shared" si="226"/>
        <v>-2.619811814654822E-3</v>
      </c>
      <c r="K151" s="140">
        <f t="shared" si="226"/>
        <v>-2.6255932587518314E-3</v>
      </c>
      <c r="L151" s="140">
        <f t="shared" si="226"/>
        <v>-2.606315477071719E-3</v>
      </c>
      <c r="M151" s="140">
        <f t="shared" si="226"/>
        <v>-2.5638115820094342E-3</v>
      </c>
      <c r="N151" s="140">
        <f t="shared" si="226"/>
        <v>-2.5011459400013677E-3</v>
      </c>
      <c r="O151" s="140">
        <f t="shared" si="226"/>
        <v>-2.4188802442816266E-3</v>
      </c>
      <c r="P151" s="140">
        <f t="shared" si="226"/>
        <v>-2.32059144502871E-3</v>
      </c>
      <c r="Q151" s="140">
        <f t="shared" si="226"/>
        <v>-2.2057077052865834E-3</v>
      </c>
      <c r="R151" s="140">
        <f t="shared" si="226"/>
        <v>-2.0782248134192239E-3</v>
      </c>
      <c r="S151" s="140">
        <f t="shared" si="226"/>
        <v>-1.937455111028781E-3</v>
      </c>
      <c r="T151" s="140">
        <f t="shared" si="226"/>
        <v>-1.7861651899361251E-3</v>
      </c>
      <c r="U151" s="140">
        <f t="shared" si="226"/>
        <v>-1.6228393128709523E-3</v>
      </c>
      <c r="V151" s="140">
        <f t="shared" si="226"/>
        <v>-1.4520895707154846E-3</v>
      </c>
      <c r="W151" s="140">
        <f t="shared" si="226"/>
        <v>-1.2710276765101275E-3</v>
      </c>
      <c r="X151" s="140">
        <f t="shared" si="226"/>
        <v>-1.0844878620862738E-3</v>
      </c>
      <c r="Y151" s="140">
        <f t="shared" si="226"/>
        <v>-8.8907237510513909E-4</v>
      </c>
      <c r="Z151" s="140">
        <f t="shared" si="226"/>
        <v>-6.8979241604256092E-4</v>
      </c>
      <c r="AA151" s="140">
        <f t="shared" si="226"/>
        <v>-4.8399353067291604E-4</v>
      </c>
      <c r="AB151" s="140">
        <f t="shared" si="226"/>
        <v>-2.7453660173468826E-4</v>
      </c>
      <c r="AC151" s="140">
        <f t="shared" si="226"/>
        <v>-5.840448880103195E-5</v>
      </c>
      <c r="AD151" s="140">
        <f t="shared" si="226"/>
        <v>1.591452092160198E-4</v>
      </c>
      <c r="AE151" s="140">
        <f t="shared" si="226"/>
        <v>3.8252769955380043E-4</v>
      </c>
      <c r="AF151" s="140">
        <f t="shared" si="226"/>
        <v>6.0640445736763081E-4</v>
      </c>
      <c r="AG151" s="140">
        <f t="shared" si="226"/>
        <v>8.354053123539925E-4</v>
      </c>
      <c r="AH151" s="140">
        <f t="shared" si="226"/>
        <v>1.0641332498144518E-3</v>
      </c>
      <c r="AI151" s="140">
        <f t="shared" si="226"/>
        <v>1.2960935813129625E-3</v>
      </c>
      <c r="AJ151" s="140">
        <f t="shared" si="226"/>
        <v>1.5284284269690561E-3</v>
      </c>
      <c r="AK151" s="140">
        <f t="shared" si="226"/>
        <v>1.7647840411522597E-3</v>
      </c>
      <c r="AL151" s="140">
        <f t="shared" si="226"/>
        <v>1.9997003898327864E-3</v>
      </c>
      <c r="AM151" s="140">
        <f t="shared" si="226"/>
        <v>2.2382067085522954E-3</v>
      </c>
      <c r="AN151" s="140">
        <f t="shared" si="226"/>
        <v>2.4748330141953086E-3</v>
      </c>
      <c r="AO151" s="140">
        <f t="shared" si="226"/>
        <v>2.7146815483065972E-3</v>
      </c>
      <c r="AP151" s="140">
        <f t="shared" si="226"/>
        <v>2.9522839540059758E-3</v>
      </c>
      <c r="AQ151" s="140">
        <f t="shared" si="226"/>
        <v>3.1914640725477675E-3</v>
      </c>
      <c r="AR151" s="140">
        <f t="shared" si="226"/>
        <v>3.4294232329004698E-3</v>
      </c>
      <c r="AS151" s="140">
        <f t="shared" si="226"/>
        <v>3.6700183922689254E-3</v>
      </c>
      <c r="AT151" s="140">
        <f t="shared" si="226"/>
        <v>3.9078125540848718E-3</v>
      </c>
      <c r="AU151" s="140">
        <f t="shared" si="226"/>
        <v>4.1480074750510805E-3</v>
      </c>
      <c r="AV151" s="140">
        <f t="shared" si="226"/>
        <v>4.3851932931745939E-3</v>
      </c>
      <c r="AW151" s="140">
        <f t="shared" si="226"/>
        <v>4.624575179290354E-3</v>
      </c>
      <c r="AX151" s="140">
        <f t="shared" si="226"/>
        <v>4.8607766048596665E-3</v>
      </c>
      <c r="AY151" s="140">
        <f t="shared" si="226"/>
        <v>5.0976807868356811E-3</v>
      </c>
      <c r="AZ151" s="140">
        <f t="shared" si="226"/>
        <v>5.332582406261617E-3</v>
      </c>
      <c r="BA151" s="140">
        <f t="shared" si="226"/>
        <v>5.569344013418397E-3</v>
      </c>
      <c r="BB151" s="140">
        <f t="shared" si="226"/>
        <v>5.8026708506391678E-3</v>
      </c>
      <c r="BC151" s="140">
        <f t="shared" si="226"/>
        <v>6.0377184411058351E-3</v>
      </c>
      <c r="BD151" s="140">
        <f t="shared" si="226"/>
        <v>6.2692391940447371E-3</v>
      </c>
      <c r="BE151" s="140">
        <f t="shared" si="226"/>
        <v>6.502356967235271E-3</v>
      </c>
      <c r="BF151" s="140">
        <f t="shared" si="226"/>
        <v>6.7318747256802343E-3</v>
      </c>
      <c r="BG151" s="140">
        <f t="shared" si="226"/>
        <v>6.9616057681954014E-3</v>
      </c>
      <c r="BH151" s="140">
        <f t="shared" si="226"/>
        <v>7.1889591956298959E-3</v>
      </c>
      <c r="BI151" s="140">
        <f t="shared" si="226"/>
        <v>7.417700178721222E-3</v>
      </c>
      <c r="BJ151" s="140">
        <f t="shared" si="226"/>
        <v>7.642740952925468E-3</v>
      </c>
      <c r="BK151" s="140">
        <f t="shared" si="226"/>
        <v>7.8690797902528989E-3</v>
      </c>
      <c r="BL151" s="140">
        <f t="shared" si="226"/>
        <v>8.0916870148342607E-3</v>
      </c>
      <c r="BM151" s="140">
        <f t="shared" si="226"/>
        <v>8.3155112391355927E-3</v>
      </c>
      <c r="BN151" s="140">
        <f t="shared" si="226"/>
        <v>8.5355826895841588E-3</v>
      </c>
      <c r="BO151" s="140">
        <f t="shared" ref="BO151:CB151" si="227">IF(BO149&lt;0,0,$B$5+$B$6*((1-EXP(-BO150/$B$9))/(BO150/$B$9))+$B$7*((1-EXP(-BO150/$B$9))/(BO150/$B$9)-EXP(-BO150/$B$9))+$B$8*((1-EXP(-BO150/$B$10))/(BO150/$B$10)-EXP(-BO150/$B$10)))</f>
        <v>8.7555789005119081E-3</v>
      </c>
      <c r="BP151" s="140">
        <f t="shared" si="227"/>
        <v>8.9730359393047909E-3</v>
      </c>
      <c r="BQ151" s="140">
        <f t="shared" si="227"/>
        <v>9.1915691125536315E-3</v>
      </c>
      <c r="BR151" s="140">
        <f t="shared" si="227"/>
        <v>9.4063326216226196E-3</v>
      </c>
      <c r="BS151" s="140">
        <f t="shared" si="227"/>
        <v>9.6221105823596012E-3</v>
      </c>
      <c r="BT151" s="140">
        <f t="shared" si="227"/>
        <v>9.8341209701012615E-3</v>
      </c>
      <c r="BU151" s="140">
        <f t="shared" si="227"/>
        <v>1.004708912516427E-2</v>
      </c>
      <c r="BV151" s="140">
        <f t="shared" si="227"/>
        <v>1.0256297659074837E-2</v>
      </c>
      <c r="BW151" s="140">
        <f t="shared" si="227"/>
        <v>1.0465254845925611E-2</v>
      </c>
      <c r="BX151" s="140">
        <f t="shared" si="227"/>
        <v>1.0671630313162908E-2</v>
      </c>
      <c r="BY151" s="140">
        <f t="shared" si="227"/>
        <v>1.0878863186872152E-2</v>
      </c>
      <c r="BZ151" s="140">
        <f t="shared" si="227"/>
        <v>1.1082367060306148E-2</v>
      </c>
      <c r="CA151" s="140">
        <f t="shared" si="227"/>
        <v>1.1286683658613784E-2</v>
      </c>
      <c r="CB151" s="140">
        <f t="shared" si="227"/>
        <v>1.1487292798937379E-2</v>
      </c>
      <c r="CC151" s="17"/>
      <c r="CD151" s="17"/>
      <c r="CE151" s="17"/>
    </row>
    <row r="152" spans="1:83">
      <c r="A152" s="16" t="s">
        <v>44</v>
      </c>
      <c r="B152" s="140">
        <f>EXP(-B151*B150)</f>
        <v>1.0002806896174026</v>
      </c>
      <c r="C152" s="140">
        <f t="shared" ref="C152:AR152" si="228">EXP(-C151*C150)</f>
        <v>1.0011624649573159</v>
      </c>
      <c r="D152" s="140">
        <f t="shared" si="228"/>
        <v>1.0022977847251253</v>
      </c>
      <c r="E152" s="140">
        <f t="shared" si="228"/>
        <v>1.0036345184625959</v>
      </c>
      <c r="F152" s="140">
        <f t="shared" si="228"/>
        <v>1.0050795221128521</v>
      </c>
      <c r="G152" s="140">
        <f t="shared" si="228"/>
        <v>1.0066083672486681</v>
      </c>
      <c r="H152" s="140">
        <f t="shared" si="228"/>
        <v>1.0081381821966866</v>
      </c>
      <c r="I152" s="140">
        <f t="shared" si="228"/>
        <v>1.0096594342487364</v>
      </c>
      <c r="J152" s="140">
        <f t="shared" si="228"/>
        <v>1.0111007570932959</v>
      </c>
      <c r="K152" s="140">
        <f t="shared" si="228"/>
        <v>1.0124536638870441</v>
      </c>
      <c r="L152" s="140">
        <f t="shared" si="228"/>
        <v>1.0136744511644336</v>
      </c>
      <c r="M152" s="140">
        <f t="shared" si="228"/>
        <v>1.0147571619022298</v>
      </c>
      <c r="N152" s="140">
        <f t="shared" si="228"/>
        <v>1.0156561891064142</v>
      </c>
      <c r="O152" s="140">
        <f t="shared" si="228"/>
        <v>1.016372680278933</v>
      </c>
      <c r="P152" s="140">
        <f t="shared" si="228"/>
        <v>1.0168748411259341</v>
      </c>
      <c r="Q152" s="140">
        <f t="shared" si="228"/>
        <v>1.0171601566434834</v>
      </c>
      <c r="R152" s="140">
        <f t="shared" si="228"/>
        <v>1.0172109657711386</v>
      </c>
      <c r="S152" s="140">
        <f t="shared" si="228"/>
        <v>1.0170206144719978</v>
      </c>
      <c r="T152" s="140">
        <f t="shared" si="228"/>
        <v>1.0165836109406552</v>
      </c>
      <c r="U152" s="140">
        <f t="shared" si="228"/>
        <v>1.0158844098819337</v>
      </c>
      <c r="V152" s="140">
        <f t="shared" si="228"/>
        <v>1.0149338260593113</v>
      </c>
      <c r="W152" s="140">
        <f t="shared" si="228"/>
        <v>1.0137072127669327</v>
      </c>
      <c r="X152" s="140">
        <f t="shared" si="228"/>
        <v>1.0122294773697971</v>
      </c>
      <c r="Y152" s="140">
        <f t="shared" si="228"/>
        <v>1.0104664191259742</v>
      </c>
      <c r="Z152" s="140">
        <f t="shared" si="228"/>
        <v>1.0084567739274592</v>
      </c>
      <c r="AA152" s="140">
        <f t="shared" si="228"/>
        <v>1.0061697058306094</v>
      </c>
      <c r="AB152" s="140">
        <f t="shared" si="228"/>
        <v>1.0036319880880935</v>
      </c>
      <c r="AC152" s="140">
        <f t="shared" si="228"/>
        <v>1.0008009487889569</v>
      </c>
      <c r="AD152" s="140">
        <f t="shared" si="228"/>
        <v>0.99774180745088958</v>
      </c>
      <c r="AE152" s="140">
        <f t="shared" si="228"/>
        <v>0.99438945332161544</v>
      </c>
      <c r="AF152" s="140">
        <f t="shared" si="228"/>
        <v>0.99082166378287584</v>
      </c>
      <c r="AG152" s="140">
        <f t="shared" si="228"/>
        <v>0.98696290374326889</v>
      </c>
      <c r="AH152" s="140">
        <f t="shared" si="228"/>
        <v>0.98290297122388126</v>
      </c>
      <c r="AI152" s="140">
        <f t="shared" si="228"/>
        <v>0.97858075778096876</v>
      </c>
      <c r="AJ152" s="140">
        <f t="shared" si="228"/>
        <v>0.97404944223627543</v>
      </c>
      <c r="AK152" s="140">
        <f t="shared" si="228"/>
        <v>0.96923664435711854</v>
      </c>
      <c r="AL152" s="140">
        <f t="shared" si="228"/>
        <v>0.96425441634795117</v>
      </c>
      <c r="AM152" s="140">
        <f t="shared" si="228"/>
        <v>0.95899741469969213</v>
      </c>
      <c r="AN152" s="140">
        <f t="shared" si="228"/>
        <v>0.95358790295730833</v>
      </c>
      <c r="AO152" s="140">
        <f t="shared" si="228"/>
        <v>0.94791133643740499</v>
      </c>
      <c r="AP152" s="140">
        <f t="shared" si="228"/>
        <v>0.94209954427603582</v>
      </c>
      <c r="AQ152" s="140">
        <f t="shared" si="228"/>
        <v>0.93606330477989741</v>
      </c>
      <c r="AR152" s="140">
        <f t="shared" si="228"/>
        <v>0.92987624411141234</v>
      </c>
      <c r="AS152" s="140">
        <f>EXP(-AS151*AS150)</f>
        <v>0.92343986893405594</v>
      </c>
      <c r="AT152" s="140">
        <f t="shared" ref="AT152:CA152" si="229">EXP(-AT151*AT150)</f>
        <v>0.91690314059472922</v>
      </c>
      <c r="AU152" s="140">
        <f t="shared" si="229"/>
        <v>0.91012685150613659</v>
      </c>
      <c r="AV152" s="140">
        <f t="shared" si="229"/>
        <v>0.90326754539766474</v>
      </c>
      <c r="AW152" s="140">
        <f t="shared" si="229"/>
        <v>0.89617884888888255</v>
      </c>
      <c r="AX152" s="140">
        <f t="shared" si="229"/>
        <v>0.88902422525169189</v>
      </c>
      <c r="AY152" s="140">
        <f t="shared" si="229"/>
        <v>0.88169180151038606</v>
      </c>
      <c r="AZ152" s="140">
        <f t="shared" si="229"/>
        <v>0.87426979248323877</v>
      </c>
      <c r="BA152" s="140">
        <f t="shared" si="229"/>
        <v>0.86663954258750464</v>
      </c>
      <c r="BB152" s="140">
        <f t="shared" si="229"/>
        <v>0.85897637717308051</v>
      </c>
      <c r="BC152" s="140">
        <f t="shared" si="229"/>
        <v>0.85111580177286372</v>
      </c>
      <c r="BD152" s="140">
        <f t="shared" si="229"/>
        <v>0.84323812165575718</v>
      </c>
      <c r="BE152" s="140">
        <f t="shared" si="229"/>
        <v>0.83517392033618176</v>
      </c>
      <c r="BF152" s="140">
        <f t="shared" si="229"/>
        <v>0.82710786135166148</v>
      </c>
      <c r="BG152" s="140">
        <f t="shared" si="229"/>
        <v>0.81891191913741457</v>
      </c>
      <c r="BH152" s="140">
        <f t="shared" si="229"/>
        <v>0.81068341092773455</v>
      </c>
      <c r="BI152" s="140">
        <f t="shared" si="229"/>
        <v>0.80229004001856929</v>
      </c>
      <c r="BJ152" s="140">
        <f t="shared" si="229"/>
        <v>0.79392338319591482</v>
      </c>
      <c r="BK152" s="140">
        <f t="shared" si="229"/>
        <v>0.78540254928093312</v>
      </c>
      <c r="BL152" s="140">
        <f t="shared" si="229"/>
        <v>0.77692171930420584</v>
      </c>
      <c r="BM152" s="140">
        <f t="shared" si="229"/>
        <v>0.76829722603502426</v>
      </c>
      <c r="BN152" s="140">
        <f t="shared" si="229"/>
        <v>0.75972531193319315</v>
      </c>
      <c r="BO152" s="140">
        <f t="shared" si="229"/>
        <v>0.75106822339511059</v>
      </c>
      <c r="BP152" s="140">
        <f t="shared" si="229"/>
        <v>0.74242752842376181</v>
      </c>
      <c r="BQ152" s="140">
        <f t="shared" si="229"/>
        <v>0.73366349085326332</v>
      </c>
      <c r="BR152" s="140">
        <f t="shared" si="229"/>
        <v>0.72497494049863154</v>
      </c>
      <c r="BS152" s="140">
        <f t="shared" si="229"/>
        <v>0.71617281383602471</v>
      </c>
      <c r="BT152" s="140">
        <f t="shared" si="229"/>
        <v>0.70745652003122694</v>
      </c>
      <c r="BU152" s="140">
        <f t="shared" si="229"/>
        <v>0.69863610598019588</v>
      </c>
      <c r="BV152" s="140">
        <f t="shared" si="229"/>
        <v>0.68991111666815053</v>
      </c>
      <c r="BW152" s="140">
        <f t="shared" si="229"/>
        <v>0.68113984438916697</v>
      </c>
      <c r="BX152" s="140">
        <f t="shared" si="229"/>
        <v>0.6724240746829685</v>
      </c>
      <c r="BY152" s="140">
        <f t="shared" si="229"/>
        <v>0.66362205558631926</v>
      </c>
      <c r="BZ152" s="140">
        <f t="shared" si="229"/>
        <v>0.65493238067160808</v>
      </c>
      <c r="CA152" s="140">
        <f t="shared" si="229"/>
        <v>0.64616486299060838</v>
      </c>
      <c r="CB152" s="140">
        <f>EXP(-CB151*CB150)</f>
        <v>0.63751706024966126</v>
      </c>
      <c r="CC152" s="17"/>
      <c r="CD152" s="17"/>
      <c r="CE152" s="17"/>
    </row>
    <row r="153" spans="1:83">
      <c r="A153" s="17"/>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17"/>
      <c r="CD153" s="17"/>
      <c r="CE153" s="17"/>
    </row>
    <row r="154" spans="1:83">
      <c r="A154" s="16" t="s">
        <v>40</v>
      </c>
      <c r="B154" s="140">
        <f t="shared" ref="B154:BM154" si="230">DAYS360($B$3,B58)</f>
        <v>78</v>
      </c>
      <c r="C154" s="140">
        <f t="shared" si="230"/>
        <v>258</v>
      </c>
      <c r="D154" s="140">
        <f t="shared" si="230"/>
        <v>437</v>
      </c>
      <c r="E154" s="140">
        <f t="shared" si="230"/>
        <v>618</v>
      </c>
      <c r="F154" s="140">
        <f t="shared" si="230"/>
        <v>797</v>
      </c>
      <c r="G154" s="140">
        <f t="shared" si="230"/>
        <v>978</v>
      </c>
      <c r="H154" s="140">
        <f t="shared" si="230"/>
        <v>1157</v>
      </c>
      <c r="I154" s="140">
        <f t="shared" si="230"/>
        <v>1338</v>
      </c>
      <c r="J154" s="140">
        <f t="shared" si="230"/>
        <v>1517</v>
      </c>
      <c r="K154" s="140">
        <f t="shared" si="230"/>
        <v>1697</v>
      </c>
      <c r="L154" s="140">
        <f t="shared" si="230"/>
        <v>1876</v>
      </c>
      <c r="M154" s="140">
        <f t="shared" si="230"/>
        <v>2057</v>
      </c>
      <c r="N154" s="140">
        <f t="shared" si="230"/>
        <v>2236</v>
      </c>
      <c r="O154" s="140">
        <f t="shared" si="230"/>
        <v>2417</v>
      </c>
      <c r="P154" s="140">
        <f t="shared" si="230"/>
        <v>2596</v>
      </c>
      <c r="Q154" s="140">
        <f t="shared" si="230"/>
        <v>2777</v>
      </c>
      <c r="R154" s="140">
        <f t="shared" si="230"/>
        <v>2956</v>
      </c>
      <c r="S154" s="140">
        <f t="shared" si="230"/>
        <v>3136</v>
      </c>
      <c r="T154" s="140">
        <f t="shared" si="230"/>
        <v>3315</v>
      </c>
      <c r="U154" s="140">
        <f t="shared" si="230"/>
        <v>3496</v>
      </c>
      <c r="V154" s="140">
        <f t="shared" si="230"/>
        <v>3675</v>
      </c>
      <c r="W154" s="140">
        <f t="shared" si="230"/>
        <v>3856</v>
      </c>
      <c r="X154" s="140">
        <f t="shared" si="230"/>
        <v>4035</v>
      </c>
      <c r="Y154" s="140">
        <f t="shared" si="230"/>
        <v>4216</v>
      </c>
      <c r="Z154" s="140">
        <f t="shared" si="230"/>
        <v>4395</v>
      </c>
      <c r="AA154" s="140">
        <f t="shared" si="230"/>
        <v>4575</v>
      </c>
      <c r="AB154" s="140">
        <f t="shared" si="230"/>
        <v>4754</v>
      </c>
      <c r="AC154" s="140">
        <f t="shared" si="230"/>
        <v>4935</v>
      </c>
      <c r="AD154" s="140">
        <f t="shared" si="230"/>
        <v>5114</v>
      </c>
      <c r="AE154" s="140">
        <f t="shared" si="230"/>
        <v>5295</v>
      </c>
      <c r="AF154" s="140">
        <f t="shared" si="230"/>
        <v>5474</v>
      </c>
      <c r="AG154" s="140">
        <f t="shared" si="230"/>
        <v>5655</v>
      </c>
      <c r="AH154" s="140">
        <f t="shared" si="230"/>
        <v>5834</v>
      </c>
      <c r="AI154" s="140">
        <f t="shared" si="230"/>
        <v>6014</v>
      </c>
      <c r="AJ154" s="140">
        <f t="shared" si="230"/>
        <v>6193</v>
      </c>
      <c r="AK154" s="140">
        <f t="shared" si="230"/>
        <v>6374</v>
      </c>
      <c r="AL154" s="140">
        <f t="shared" si="230"/>
        <v>6553</v>
      </c>
      <c r="AM154" s="140">
        <f t="shared" si="230"/>
        <v>6734</v>
      </c>
      <c r="AN154" s="140">
        <f t="shared" si="230"/>
        <v>6913</v>
      </c>
      <c r="AO154" s="140">
        <f t="shared" si="230"/>
        <v>7094</v>
      </c>
      <c r="AP154" s="140">
        <f t="shared" si="230"/>
        <v>7273</v>
      </c>
      <c r="AQ154" s="140">
        <f t="shared" si="230"/>
        <v>7453</v>
      </c>
      <c r="AR154" s="140">
        <f t="shared" si="230"/>
        <v>7632</v>
      </c>
      <c r="AS154" s="140">
        <f t="shared" si="230"/>
        <v>7813</v>
      </c>
      <c r="AT154" s="140">
        <f t="shared" si="230"/>
        <v>7992</v>
      </c>
      <c r="AU154" s="140">
        <f t="shared" si="230"/>
        <v>8173</v>
      </c>
      <c r="AV154" s="140">
        <f t="shared" si="230"/>
        <v>8352</v>
      </c>
      <c r="AW154" s="140">
        <f t="shared" si="230"/>
        <v>8533</v>
      </c>
      <c r="AX154" s="140">
        <f t="shared" si="230"/>
        <v>8712</v>
      </c>
      <c r="AY154" s="140">
        <f t="shared" si="230"/>
        <v>8892</v>
      </c>
      <c r="AZ154" s="140">
        <f t="shared" si="230"/>
        <v>9071</v>
      </c>
      <c r="BA154" s="140">
        <f t="shared" si="230"/>
        <v>9252</v>
      </c>
      <c r="BB154" s="140">
        <f t="shared" si="230"/>
        <v>9431</v>
      </c>
      <c r="BC154" s="140">
        <f t="shared" si="230"/>
        <v>9612</v>
      </c>
      <c r="BD154" s="140">
        <f t="shared" si="230"/>
        <v>9791</v>
      </c>
      <c r="BE154" s="140">
        <f t="shared" si="230"/>
        <v>9972</v>
      </c>
      <c r="BF154" s="140">
        <f t="shared" si="230"/>
        <v>10151</v>
      </c>
      <c r="BG154" s="140">
        <f t="shared" si="230"/>
        <v>10331</v>
      </c>
      <c r="BH154" s="140">
        <f t="shared" si="230"/>
        <v>10510</v>
      </c>
      <c r="BI154" s="140">
        <f t="shared" si="230"/>
        <v>10691</v>
      </c>
      <c r="BJ154" s="140">
        <f t="shared" si="230"/>
        <v>10870</v>
      </c>
      <c r="BK154" s="140">
        <f t="shared" si="230"/>
        <v>11051</v>
      </c>
      <c r="BL154" s="140">
        <f t="shared" si="230"/>
        <v>11230</v>
      </c>
      <c r="BM154" s="140">
        <f t="shared" si="230"/>
        <v>11411</v>
      </c>
      <c r="BN154" s="140">
        <f t="shared" ref="BN154:CB154" si="231">DAYS360($B$3,BN58)</f>
        <v>11590</v>
      </c>
      <c r="BO154" s="140">
        <f t="shared" si="231"/>
        <v>11770</v>
      </c>
      <c r="BP154" s="140">
        <f t="shared" si="231"/>
        <v>11949</v>
      </c>
      <c r="BQ154" s="140">
        <f t="shared" si="231"/>
        <v>12130</v>
      </c>
      <c r="BR154" s="140">
        <f t="shared" si="231"/>
        <v>12309</v>
      </c>
      <c r="BS154" s="140">
        <f t="shared" si="231"/>
        <v>12490</v>
      </c>
      <c r="BT154" s="140">
        <f t="shared" si="231"/>
        <v>12669</v>
      </c>
      <c r="BU154" s="140">
        <f t="shared" si="231"/>
        <v>12850</v>
      </c>
      <c r="BV154" s="140">
        <f t="shared" si="231"/>
        <v>13029</v>
      </c>
      <c r="BW154" s="140">
        <f t="shared" si="231"/>
        <v>13209</v>
      </c>
      <c r="BX154" s="140">
        <f t="shared" si="231"/>
        <v>13388</v>
      </c>
      <c r="BY154" s="140">
        <f t="shared" si="231"/>
        <v>13569</v>
      </c>
      <c r="BZ154" s="140">
        <f t="shared" si="231"/>
        <v>13748</v>
      </c>
      <c r="CA154" s="140">
        <f t="shared" si="231"/>
        <v>13929</v>
      </c>
      <c r="CB154" s="140">
        <f t="shared" si="231"/>
        <v>14108</v>
      </c>
      <c r="CC154" s="17"/>
      <c r="CD154" s="17"/>
      <c r="CE154" s="17"/>
    </row>
    <row r="155" spans="1:83">
      <c r="A155" s="16" t="s">
        <v>41</v>
      </c>
      <c r="B155" s="140">
        <f>B154/360</f>
        <v>0.21666666666666667</v>
      </c>
      <c r="C155" s="140">
        <f t="shared" ref="C155:BN155" si="232">C154/360</f>
        <v>0.71666666666666667</v>
      </c>
      <c r="D155" s="140">
        <f t="shared" si="232"/>
        <v>1.2138888888888888</v>
      </c>
      <c r="E155" s="140">
        <f t="shared" si="232"/>
        <v>1.7166666666666666</v>
      </c>
      <c r="F155" s="140">
        <f t="shared" si="232"/>
        <v>2.213888888888889</v>
      </c>
      <c r="G155" s="140">
        <f t="shared" si="232"/>
        <v>2.7166666666666668</v>
      </c>
      <c r="H155" s="140">
        <f t="shared" si="232"/>
        <v>3.213888888888889</v>
      </c>
      <c r="I155" s="140">
        <f t="shared" si="232"/>
        <v>3.7166666666666668</v>
      </c>
      <c r="J155" s="140">
        <f t="shared" si="232"/>
        <v>4.2138888888888886</v>
      </c>
      <c r="K155" s="140">
        <f t="shared" si="232"/>
        <v>4.7138888888888886</v>
      </c>
      <c r="L155" s="140">
        <f t="shared" si="232"/>
        <v>5.2111111111111112</v>
      </c>
      <c r="M155" s="140">
        <f t="shared" si="232"/>
        <v>5.7138888888888886</v>
      </c>
      <c r="N155" s="140">
        <f t="shared" si="232"/>
        <v>6.2111111111111112</v>
      </c>
      <c r="O155" s="140">
        <f t="shared" si="232"/>
        <v>6.7138888888888886</v>
      </c>
      <c r="P155" s="140">
        <f t="shared" si="232"/>
        <v>7.2111111111111112</v>
      </c>
      <c r="Q155" s="140">
        <f t="shared" si="232"/>
        <v>7.7138888888888886</v>
      </c>
      <c r="R155" s="140">
        <f t="shared" si="232"/>
        <v>8.2111111111111104</v>
      </c>
      <c r="S155" s="140">
        <f t="shared" si="232"/>
        <v>8.7111111111111104</v>
      </c>
      <c r="T155" s="140">
        <f t="shared" si="232"/>
        <v>9.2083333333333339</v>
      </c>
      <c r="U155" s="140">
        <f t="shared" si="232"/>
        <v>9.7111111111111104</v>
      </c>
      <c r="V155" s="140">
        <f t="shared" si="232"/>
        <v>10.208333333333334</v>
      </c>
      <c r="W155" s="140">
        <f t="shared" si="232"/>
        <v>10.71111111111111</v>
      </c>
      <c r="X155" s="140">
        <f t="shared" si="232"/>
        <v>11.208333333333334</v>
      </c>
      <c r="Y155" s="140">
        <f t="shared" si="232"/>
        <v>11.71111111111111</v>
      </c>
      <c r="Z155" s="140">
        <f t="shared" si="232"/>
        <v>12.208333333333334</v>
      </c>
      <c r="AA155" s="140">
        <f t="shared" si="232"/>
        <v>12.708333333333334</v>
      </c>
      <c r="AB155" s="140">
        <f t="shared" si="232"/>
        <v>13.205555555555556</v>
      </c>
      <c r="AC155" s="140">
        <f t="shared" si="232"/>
        <v>13.708333333333334</v>
      </c>
      <c r="AD155" s="140">
        <f t="shared" si="232"/>
        <v>14.205555555555556</v>
      </c>
      <c r="AE155" s="140">
        <f t="shared" si="232"/>
        <v>14.708333333333334</v>
      </c>
      <c r="AF155" s="140">
        <f t="shared" si="232"/>
        <v>15.205555555555556</v>
      </c>
      <c r="AG155" s="140">
        <f t="shared" si="232"/>
        <v>15.708333333333334</v>
      </c>
      <c r="AH155" s="140">
        <f t="shared" si="232"/>
        <v>16.205555555555556</v>
      </c>
      <c r="AI155" s="140">
        <f t="shared" si="232"/>
        <v>16.705555555555556</v>
      </c>
      <c r="AJ155" s="140">
        <f t="shared" si="232"/>
        <v>17.202777777777779</v>
      </c>
      <c r="AK155" s="140">
        <f t="shared" si="232"/>
        <v>17.705555555555556</v>
      </c>
      <c r="AL155" s="140">
        <f t="shared" si="232"/>
        <v>18.202777777777779</v>
      </c>
      <c r="AM155" s="140">
        <f t="shared" si="232"/>
        <v>18.705555555555556</v>
      </c>
      <c r="AN155" s="140">
        <f t="shared" si="232"/>
        <v>19.202777777777779</v>
      </c>
      <c r="AO155" s="140">
        <f t="shared" si="232"/>
        <v>19.705555555555556</v>
      </c>
      <c r="AP155" s="140">
        <f t="shared" si="232"/>
        <v>20.202777777777779</v>
      </c>
      <c r="AQ155" s="140">
        <f t="shared" si="232"/>
        <v>20.702777777777779</v>
      </c>
      <c r="AR155" s="140">
        <f t="shared" si="232"/>
        <v>21.2</v>
      </c>
      <c r="AS155" s="140">
        <f t="shared" si="232"/>
        <v>21.702777777777779</v>
      </c>
      <c r="AT155" s="140">
        <f t="shared" si="232"/>
        <v>22.2</v>
      </c>
      <c r="AU155" s="140">
        <f t="shared" si="232"/>
        <v>22.702777777777779</v>
      </c>
      <c r="AV155" s="140">
        <f t="shared" si="232"/>
        <v>23.2</v>
      </c>
      <c r="AW155" s="140">
        <f t="shared" si="232"/>
        <v>23.702777777777779</v>
      </c>
      <c r="AX155" s="140">
        <f t="shared" si="232"/>
        <v>24.2</v>
      </c>
      <c r="AY155" s="140">
        <f t="shared" si="232"/>
        <v>24.7</v>
      </c>
      <c r="AZ155" s="140">
        <f t="shared" si="232"/>
        <v>25.197222222222223</v>
      </c>
      <c r="BA155" s="140">
        <f t="shared" si="232"/>
        <v>25.7</v>
      </c>
      <c r="BB155" s="140">
        <f t="shared" si="232"/>
        <v>26.197222222222223</v>
      </c>
      <c r="BC155" s="140">
        <f t="shared" si="232"/>
        <v>26.7</v>
      </c>
      <c r="BD155" s="140">
        <f t="shared" si="232"/>
        <v>27.197222222222223</v>
      </c>
      <c r="BE155" s="140">
        <f t="shared" si="232"/>
        <v>27.7</v>
      </c>
      <c r="BF155" s="140">
        <f t="shared" si="232"/>
        <v>28.197222222222223</v>
      </c>
      <c r="BG155" s="140">
        <f t="shared" si="232"/>
        <v>28.697222222222223</v>
      </c>
      <c r="BH155" s="140">
        <f t="shared" si="232"/>
        <v>29.194444444444443</v>
      </c>
      <c r="BI155" s="140">
        <f t="shared" si="232"/>
        <v>29.697222222222223</v>
      </c>
      <c r="BJ155" s="140">
        <f t="shared" si="232"/>
        <v>30.194444444444443</v>
      </c>
      <c r="BK155" s="140">
        <f t="shared" si="232"/>
        <v>30.697222222222223</v>
      </c>
      <c r="BL155" s="140">
        <f t="shared" si="232"/>
        <v>31.194444444444443</v>
      </c>
      <c r="BM155" s="140">
        <f t="shared" si="232"/>
        <v>31.697222222222223</v>
      </c>
      <c r="BN155" s="140">
        <f t="shared" si="232"/>
        <v>32.194444444444443</v>
      </c>
      <c r="BO155" s="140">
        <f t="shared" ref="BO155:CB155" si="233">BO154/360</f>
        <v>32.694444444444443</v>
      </c>
      <c r="BP155" s="140">
        <f t="shared" si="233"/>
        <v>33.19166666666667</v>
      </c>
      <c r="BQ155" s="140">
        <f t="shared" si="233"/>
        <v>33.694444444444443</v>
      </c>
      <c r="BR155" s="140">
        <f t="shared" si="233"/>
        <v>34.19166666666667</v>
      </c>
      <c r="BS155" s="140">
        <f t="shared" si="233"/>
        <v>34.694444444444443</v>
      </c>
      <c r="BT155" s="140">
        <f t="shared" si="233"/>
        <v>35.19166666666667</v>
      </c>
      <c r="BU155" s="140">
        <f t="shared" si="233"/>
        <v>35.694444444444443</v>
      </c>
      <c r="BV155" s="140">
        <f t="shared" si="233"/>
        <v>36.19166666666667</v>
      </c>
      <c r="BW155" s="140">
        <f t="shared" si="233"/>
        <v>36.69166666666667</v>
      </c>
      <c r="BX155" s="140">
        <f t="shared" si="233"/>
        <v>37.18888888888889</v>
      </c>
      <c r="BY155" s="140">
        <f t="shared" si="233"/>
        <v>37.69166666666667</v>
      </c>
      <c r="BZ155" s="140">
        <f t="shared" si="233"/>
        <v>38.18888888888889</v>
      </c>
      <c r="CA155" s="140">
        <f t="shared" si="233"/>
        <v>38.69166666666667</v>
      </c>
      <c r="CB155" s="140">
        <f t="shared" si="233"/>
        <v>39.18888888888889</v>
      </c>
      <c r="CC155" s="17"/>
      <c r="CD155" s="17"/>
      <c r="CE155" s="17"/>
    </row>
    <row r="156" spans="1:83">
      <c r="A156" s="16" t="s">
        <v>43</v>
      </c>
      <c r="B156" s="140">
        <f>IF(B154&lt;0,0,$B$5+$B$6*((1-EXP(-B155/$B$9))/(B155/$B$9))+$B$7*((1-EXP(-B155/$B$9))/(B155/$B$9)-EXP(-B155/$B$9))+$B$8*((1-EXP(-B155/$B$10))/(B155/$B$10)-EXP(-B155/$B$10)))</f>
        <v>-1.2953087605009255E-3</v>
      </c>
      <c r="C156" s="140">
        <f t="shared" ref="C156:BN156" si="234">IF(C154&lt;0,0,$B$5+$B$6*((1-EXP(-C155/$B$9))/(C155/$B$9))+$B$7*((1-EXP(-C155/$B$9))/(C155/$B$9)-EXP(-C155/$B$9))+$B$8*((1-EXP(-C155/$B$10))/(C155/$B$10)-EXP(-C155/$B$10)))</f>
        <v>-1.6211020717589761E-3</v>
      </c>
      <c r="D156" s="140">
        <f t="shared" si="234"/>
        <v>-1.8907404753556243E-3</v>
      </c>
      <c r="E156" s="140">
        <f t="shared" si="234"/>
        <v>-2.1133570255532841E-3</v>
      </c>
      <c r="F156" s="140">
        <f t="shared" si="234"/>
        <v>-2.2885813676479958E-3</v>
      </c>
      <c r="G156" s="140">
        <f t="shared" si="234"/>
        <v>-2.4245255383396336E-3</v>
      </c>
      <c r="H156" s="140">
        <f t="shared" si="234"/>
        <v>-2.5219433672471411E-3</v>
      </c>
      <c r="I156" s="140">
        <f t="shared" si="234"/>
        <v>-2.5864789715029251E-3</v>
      </c>
      <c r="J156" s="140">
        <f t="shared" si="234"/>
        <v>-2.619811814654822E-3</v>
      </c>
      <c r="K156" s="140">
        <f t="shared" si="234"/>
        <v>-2.6255932587518314E-3</v>
      </c>
      <c r="L156" s="140">
        <f t="shared" si="234"/>
        <v>-2.606315477071719E-3</v>
      </c>
      <c r="M156" s="140">
        <f t="shared" si="234"/>
        <v>-2.5638115820094342E-3</v>
      </c>
      <c r="N156" s="140">
        <f t="shared" si="234"/>
        <v>-2.5011459400013677E-3</v>
      </c>
      <c r="O156" s="140">
        <f t="shared" si="234"/>
        <v>-2.4188802442816266E-3</v>
      </c>
      <c r="P156" s="140">
        <f t="shared" si="234"/>
        <v>-2.32059144502871E-3</v>
      </c>
      <c r="Q156" s="140">
        <f t="shared" si="234"/>
        <v>-2.2057077052865834E-3</v>
      </c>
      <c r="R156" s="140">
        <f t="shared" si="234"/>
        <v>-2.0782248134192239E-3</v>
      </c>
      <c r="S156" s="140">
        <f t="shared" si="234"/>
        <v>-1.937455111028781E-3</v>
      </c>
      <c r="T156" s="140">
        <f t="shared" si="234"/>
        <v>-1.7861651899361251E-3</v>
      </c>
      <c r="U156" s="140">
        <f t="shared" si="234"/>
        <v>-1.6228393128709523E-3</v>
      </c>
      <c r="V156" s="140">
        <f t="shared" si="234"/>
        <v>-1.4520895707154846E-3</v>
      </c>
      <c r="W156" s="140">
        <f t="shared" si="234"/>
        <v>-1.2710276765101275E-3</v>
      </c>
      <c r="X156" s="140">
        <f t="shared" si="234"/>
        <v>-1.0844878620862738E-3</v>
      </c>
      <c r="Y156" s="140">
        <f t="shared" si="234"/>
        <v>-8.8907237510513909E-4</v>
      </c>
      <c r="Z156" s="140">
        <f t="shared" si="234"/>
        <v>-6.8979241604256092E-4</v>
      </c>
      <c r="AA156" s="140">
        <f t="shared" si="234"/>
        <v>-4.8399353067291604E-4</v>
      </c>
      <c r="AB156" s="140">
        <f t="shared" si="234"/>
        <v>-2.7453660173468826E-4</v>
      </c>
      <c r="AC156" s="140">
        <f t="shared" si="234"/>
        <v>-5.840448880103195E-5</v>
      </c>
      <c r="AD156" s="140">
        <f t="shared" si="234"/>
        <v>1.591452092160198E-4</v>
      </c>
      <c r="AE156" s="140">
        <f t="shared" si="234"/>
        <v>3.8252769955380043E-4</v>
      </c>
      <c r="AF156" s="140">
        <f t="shared" si="234"/>
        <v>6.0640445736763081E-4</v>
      </c>
      <c r="AG156" s="140">
        <f t="shared" si="234"/>
        <v>8.354053123539925E-4</v>
      </c>
      <c r="AH156" s="140">
        <f t="shared" si="234"/>
        <v>1.0641332498144518E-3</v>
      </c>
      <c r="AI156" s="140">
        <f t="shared" si="234"/>
        <v>1.2960935813129625E-3</v>
      </c>
      <c r="AJ156" s="140">
        <f t="shared" si="234"/>
        <v>1.5284284269690561E-3</v>
      </c>
      <c r="AK156" s="140">
        <f t="shared" si="234"/>
        <v>1.7647840411522597E-3</v>
      </c>
      <c r="AL156" s="140">
        <f t="shared" si="234"/>
        <v>1.9997003898327864E-3</v>
      </c>
      <c r="AM156" s="140">
        <f t="shared" si="234"/>
        <v>2.2382067085522954E-3</v>
      </c>
      <c r="AN156" s="140">
        <f t="shared" si="234"/>
        <v>2.4748330141953086E-3</v>
      </c>
      <c r="AO156" s="140">
        <f t="shared" si="234"/>
        <v>2.7146815483065972E-3</v>
      </c>
      <c r="AP156" s="140">
        <f t="shared" si="234"/>
        <v>2.9522839540059758E-3</v>
      </c>
      <c r="AQ156" s="140">
        <f t="shared" si="234"/>
        <v>3.1914640725477675E-3</v>
      </c>
      <c r="AR156" s="140">
        <f t="shared" si="234"/>
        <v>3.4294232329004698E-3</v>
      </c>
      <c r="AS156" s="140">
        <f t="shared" si="234"/>
        <v>3.6700183922689254E-3</v>
      </c>
      <c r="AT156" s="140">
        <f t="shared" si="234"/>
        <v>3.9078125540848718E-3</v>
      </c>
      <c r="AU156" s="140">
        <f t="shared" si="234"/>
        <v>4.1480074750510805E-3</v>
      </c>
      <c r="AV156" s="140">
        <f t="shared" si="234"/>
        <v>4.3851932931745939E-3</v>
      </c>
      <c r="AW156" s="140">
        <f t="shared" si="234"/>
        <v>4.624575179290354E-3</v>
      </c>
      <c r="AX156" s="140">
        <f t="shared" si="234"/>
        <v>4.8607766048596665E-3</v>
      </c>
      <c r="AY156" s="140">
        <f t="shared" si="234"/>
        <v>5.0976807868356811E-3</v>
      </c>
      <c r="AZ156" s="140">
        <f t="shared" si="234"/>
        <v>5.332582406261617E-3</v>
      </c>
      <c r="BA156" s="140">
        <f t="shared" si="234"/>
        <v>5.569344013418397E-3</v>
      </c>
      <c r="BB156" s="140">
        <f t="shared" si="234"/>
        <v>5.8026708506391678E-3</v>
      </c>
      <c r="BC156" s="140">
        <f t="shared" si="234"/>
        <v>6.0377184411058351E-3</v>
      </c>
      <c r="BD156" s="140">
        <f t="shared" si="234"/>
        <v>6.2692391940447371E-3</v>
      </c>
      <c r="BE156" s="140">
        <f t="shared" si="234"/>
        <v>6.502356967235271E-3</v>
      </c>
      <c r="BF156" s="140">
        <f t="shared" si="234"/>
        <v>6.7318747256802343E-3</v>
      </c>
      <c r="BG156" s="140">
        <f t="shared" si="234"/>
        <v>6.9616057681954014E-3</v>
      </c>
      <c r="BH156" s="140">
        <f t="shared" si="234"/>
        <v>7.1889591956298959E-3</v>
      </c>
      <c r="BI156" s="140">
        <f t="shared" si="234"/>
        <v>7.417700178721222E-3</v>
      </c>
      <c r="BJ156" s="140">
        <f t="shared" si="234"/>
        <v>7.642740952925468E-3</v>
      </c>
      <c r="BK156" s="140">
        <f t="shared" si="234"/>
        <v>7.8690797902528989E-3</v>
      </c>
      <c r="BL156" s="140">
        <f t="shared" si="234"/>
        <v>8.0916870148342607E-3</v>
      </c>
      <c r="BM156" s="140">
        <f t="shared" si="234"/>
        <v>8.3155112391355927E-3</v>
      </c>
      <c r="BN156" s="140">
        <f t="shared" si="234"/>
        <v>8.5355826895841588E-3</v>
      </c>
      <c r="BO156" s="140">
        <f t="shared" ref="BO156:CB156" si="235">IF(BO154&lt;0,0,$B$5+$B$6*((1-EXP(-BO155/$B$9))/(BO155/$B$9))+$B$7*((1-EXP(-BO155/$B$9))/(BO155/$B$9)-EXP(-BO155/$B$9))+$B$8*((1-EXP(-BO155/$B$10))/(BO155/$B$10)-EXP(-BO155/$B$10)))</f>
        <v>8.7555789005119081E-3</v>
      </c>
      <c r="BP156" s="140">
        <f t="shared" si="235"/>
        <v>8.9730359393047909E-3</v>
      </c>
      <c r="BQ156" s="140">
        <f t="shared" si="235"/>
        <v>9.1915691125536315E-3</v>
      </c>
      <c r="BR156" s="140">
        <f t="shared" si="235"/>
        <v>9.4063326216226196E-3</v>
      </c>
      <c r="BS156" s="140">
        <f t="shared" si="235"/>
        <v>9.6221105823596012E-3</v>
      </c>
      <c r="BT156" s="140">
        <f t="shared" si="235"/>
        <v>9.8341209701012615E-3</v>
      </c>
      <c r="BU156" s="140">
        <f t="shared" si="235"/>
        <v>1.004708912516427E-2</v>
      </c>
      <c r="BV156" s="140">
        <f t="shared" si="235"/>
        <v>1.0256297659074837E-2</v>
      </c>
      <c r="BW156" s="140">
        <f t="shared" si="235"/>
        <v>1.0465254845925611E-2</v>
      </c>
      <c r="BX156" s="140">
        <f t="shared" si="235"/>
        <v>1.0671630313162908E-2</v>
      </c>
      <c r="BY156" s="140">
        <f t="shared" si="235"/>
        <v>1.0878863186872152E-2</v>
      </c>
      <c r="BZ156" s="140">
        <f t="shared" si="235"/>
        <v>1.1082367060306148E-2</v>
      </c>
      <c r="CA156" s="140">
        <f t="shared" si="235"/>
        <v>1.1286683658613784E-2</v>
      </c>
      <c r="CB156" s="140">
        <f t="shared" si="235"/>
        <v>1.1487292798937379E-2</v>
      </c>
      <c r="CC156" s="17"/>
      <c r="CD156" s="17"/>
      <c r="CE156" s="17"/>
    </row>
    <row r="157" spans="1:83">
      <c r="A157" s="16" t="s">
        <v>44</v>
      </c>
      <c r="B157" s="140">
        <f>EXP(-B156*B155)</f>
        <v>1.0002806896174026</v>
      </c>
      <c r="C157" s="140">
        <f t="shared" ref="C157:AR157" si="236">EXP(-C156*C155)</f>
        <v>1.0011624649573159</v>
      </c>
      <c r="D157" s="140">
        <f t="shared" si="236"/>
        <v>1.0022977847251253</v>
      </c>
      <c r="E157" s="140">
        <f t="shared" si="236"/>
        <v>1.0036345184625959</v>
      </c>
      <c r="F157" s="140">
        <f t="shared" si="236"/>
        <v>1.0050795221128521</v>
      </c>
      <c r="G157" s="140">
        <f t="shared" si="236"/>
        <v>1.0066083672486681</v>
      </c>
      <c r="H157" s="140">
        <f t="shared" si="236"/>
        <v>1.0081381821966866</v>
      </c>
      <c r="I157" s="140">
        <f t="shared" si="236"/>
        <v>1.0096594342487364</v>
      </c>
      <c r="J157" s="140">
        <f t="shared" si="236"/>
        <v>1.0111007570932959</v>
      </c>
      <c r="K157" s="140">
        <f t="shared" si="236"/>
        <v>1.0124536638870441</v>
      </c>
      <c r="L157" s="140">
        <f t="shared" si="236"/>
        <v>1.0136744511644336</v>
      </c>
      <c r="M157" s="140">
        <f t="shared" si="236"/>
        <v>1.0147571619022298</v>
      </c>
      <c r="N157" s="140">
        <f t="shared" si="236"/>
        <v>1.0156561891064142</v>
      </c>
      <c r="O157" s="140">
        <f t="shared" si="236"/>
        <v>1.016372680278933</v>
      </c>
      <c r="P157" s="140">
        <f t="shared" si="236"/>
        <v>1.0168748411259341</v>
      </c>
      <c r="Q157" s="140">
        <f t="shared" si="236"/>
        <v>1.0171601566434834</v>
      </c>
      <c r="R157" s="140">
        <f t="shared" si="236"/>
        <v>1.0172109657711386</v>
      </c>
      <c r="S157" s="140">
        <f t="shared" si="236"/>
        <v>1.0170206144719978</v>
      </c>
      <c r="T157" s="140">
        <f t="shared" si="236"/>
        <v>1.0165836109406552</v>
      </c>
      <c r="U157" s="140">
        <f t="shared" si="236"/>
        <v>1.0158844098819337</v>
      </c>
      <c r="V157" s="140">
        <f t="shared" si="236"/>
        <v>1.0149338260593113</v>
      </c>
      <c r="W157" s="140">
        <f t="shared" si="236"/>
        <v>1.0137072127669327</v>
      </c>
      <c r="X157" s="140">
        <f t="shared" si="236"/>
        <v>1.0122294773697971</v>
      </c>
      <c r="Y157" s="140">
        <f t="shared" si="236"/>
        <v>1.0104664191259742</v>
      </c>
      <c r="Z157" s="140">
        <f t="shared" si="236"/>
        <v>1.0084567739274592</v>
      </c>
      <c r="AA157" s="140">
        <f t="shared" si="236"/>
        <v>1.0061697058306094</v>
      </c>
      <c r="AB157" s="140">
        <f t="shared" si="236"/>
        <v>1.0036319880880935</v>
      </c>
      <c r="AC157" s="140">
        <f t="shared" si="236"/>
        <v>1.0008009487889569</v>
      </c>
      <c r="AD157" s="140">
        <f t="shared" si="236"/>
        <v>0.99774180745088958</v>
      </c>
      <c r="AE157" s="140">
        <f t="shared" si="236"/>
        <v>0.99438945332161544</v>
      </c>
      <c r="AF157" s="140">
        <f t="shared" si="236"/>
        <v>0.99082166378287584</v>
      </c>
      <c r="AG157" s="140">
        <f t="shared" si="236"/>
        <v>0.98696290374326889</v>
      </c>
      <c r="AH157" s="140">
        <f t="shared" si="236"/>
        <v>0.98290297122388126</v>
      </c>
      <c r="AI157" s="140">
        <f t="shared" si="236"/>
        <v>0.97858075778096876</v>
      </c>
      <c r="AJ157" s="140">
        <f t="shared" si="236"/>
        <v>0.97404944223627543</v>
      </c>
      <c r="AK157" s="140">
        <f t="shared" si="236"/>
        <v>0.96923664435711854</v>
      </c>
      <c r="AL157" s="140">
        <f t="shared" si="236"/>
        <v>0.96425441634795117</v>
      </c>
      <c r="AM157" s="140">
        <f t="shared" si="236"/>
        <v>0.95899741469969213</v>
      </c>
      <c r="AN157" s="140">
        <f t="shared" si="236"/>
        <v>0.95358790295730833</v>
      </c>
      <c r="AO157" s="140">
        <f t="shared" si="236"/>
        <v>0.94791133643740499</v>
      </c>
      <c r="AP157" s="140">
        <f t="shared" si="236"/>
        <v>0.94209954427603582</v>
      </c>
      <c r="AQ157" s="140">
        <f t="shared" si="236"/>
        <v>0.93606330477989741</v>
      </c>
      <c r="AR157" s="140">
        <f t="shared" si="236"/>
        <v>0.92987624411141234</v>
      </c>
      <c r="AS157" s="140">
        <f>EXP(-AS156*AS155)</f>
        <v>0.92343986893405594</v>
      </c>
      <c r="AT157" s="140">
        <f t="shared" ref="AT157:CA157" si="237">EXP(-AT156*AT155)</f>
        <v>0.91690314059472922</v>
      </c>
      <c r="AU157" s="140">
        <f t="shared" si="237"/>
        <v>0.91012685150613659</v>
      </c>
      <c r="AV157" s="140">
        <f t="shared" si="237"/>
        <v>0.90326754539766474</v>
      </c>
      <c r="AW157" s="140">
        <f t="shared" si="237"/>
        <v>0.89617884888888255</v>
      </c>
      <c r="AX157" s="140">
        <f t="shared" si="237"/>
        <v>0.88902422525169189</v>
      </c>
      <c r="AY157" s="140">
        <f t="shared" si="237"/>
        <v>0.88169180151038606</v>
      </c>
      <c r="AZ157" s="140">
        <f t="shared" si="237"/>
        <v>0.87426979248323877</v>
      </c>
      <c r="BA157" s="140">
        <f t="shared" si="237"/>
        <v>0.86663954258750464</v>
      </c>
      <c r="BB157" s="140">
        <f t="shared" si="237"/>
        <v>0.85897637717308051</v>
      </c>
      <c r="BC157" s="140">
        <f t="shared" si="237"/>
        <v>0.85111580177286372</v>
      </c>
      <c r="BD157" s="140">
        <f t="shared" si="237"/>
        <v>0.84323812165575718</v>
      </c>
      <c r="BE157" s="140">
        <f t="shared" si="237"/>
        <v>0.83517392033618176</v>
      </c>
      <c r="BF157" s="140">
        <f t="shared" si="237"/>
        <v>0.82710786135166148</v>
      </c>
      <c r="BG157" s="140">
        <f t="shared" si="237"/>
        <v>0.81891191913741457</v>
      </c>
      <c r="BH157" s="140">
        <f t="shared" si="237"/>
        <v>0.81068341092773455</v>
      </c>
      <c r="BI157" s="140">
        <f t="shared" si="237"/>
        <v>0.80229004001856929</v>
      </c>
      <c r="BJ157" s="140">
        <f t="shared" si="237"/>
        <v>0.79392338319591482</v>
      </c>
      <c r="BK157" s="140">
        <f t="shared" si="237"/>
        <v>0.78540254928093312</v>
      </c>
      <c r="BL157" s="140">
        <f t="shared" si="237"/>
        <v>0.77692171930420584</v>
      </c>
      <c r="BM157" s="140">
        <f t="shared" si="237"/>
        <v>0.76829722603502426</v>
      </c>
      <c r="BN157" s="140">
        <f t="shared" si="237"/>
        <v>0.75972531193319315</v>
      </c>
      <c r="BO157" s="140">
        <f t="shared" si="237"/>
        <v>0.75106822339511059</v>
      </c>
      <c r="BP157" s="140">
        <f t="shared" si="237"/>
        <v>0.74242752842376181</v>
      </c>
      <c r="BQ157" s="140">
        <f t="shared" si="237"/>
        <v>0.73366349085326332</v>
      </c>
      <c r="BR157" s="140">
        <f t="shared" si="237"/>
        <v>0.72497494049863154</v>
      </c>
      <c r="BS157" s="140">
        <f t="shared" si="237"/>
        <v>0.71617281383602471</v>
      </c>
      <c r="BT157" s="140">
        <f t="shared" si="237"/>
        <v>0.70745652003122694</v>
      </c>
      <c r="BU157" s="140">
        <f t="shared" si="237"/>
        <v>0.69863610598019588</v>
      </c>
      <c r="BV157" s="140">
        <f t="shared" si="237"/>
        <v>0.68991111666815053</v>
      </c>
      <c r="BW157" s="140">
        <f t="shared" si="237"/>
        <v>0.68113984438916697</v>
      </c>
      <c r="BX157" s="140">
        <f t="shared" si="237"/>
        <v>0.6724240746829685</v>
      </c>
      <c r="BY157" s="140">
        <f t="shared" si="237"/>
        <v>0.66362205558631926</v>
      </c>
      <c r="BZ157" s="140">
        <f t="shared" si="237"/>
        <v>0.65493238067160808</v>
      </c>
      <c r="CA157" s="140">
        <f t="shared" si="237"/>
        <v>0.64616486299060838</v>
      </c>
      <c r="CB157" s="140">
        <f>EXP(-CB156*CB155)</f>
        <v>0.63751706024966126</v>
      </c>
      <c r="CC157" s="17"/>
      <c r="CD157" s="17"/>
      <c r="CE157" s="17"/>
    </row>
    <row r="158" spans="1:83">
      <c r="A158" s="17"/>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17"/>
      <c r="CD158" s="17"/>
      <c r="CE158" s="17"/>
    </row>
    <row r="159" spans="1:83">
      <c r="A159" s="16" t="s">
        <v>40</v>
      </c>
      <c r="B159" s="140">
        <f t="shared" ref="B159:BM159" si="238">DAYS360($B$3,B60)</f>
        <v>-43022</v>
      </c>
      <c r="C159" s="140">
        <f t="shared" si="238"/>
        <v>-42842</v>
      </c>
      <c r="D159" s="140">
        <f t="shared" si="238"/>
        <v>-42662</v>
      </c>
      <c r="E159" s="140">
        <f t="shared" si="238"/>
        <v>-42482</v>
      </c>
      <c r="F159" s="140">
        <f t="shared" si="238"/>
        <v>-42302</v>
      </c>
      <c r="G159" s="140">
        <f t="shared" si="238"/>
        <v>-42122</v>
      </c>
      <c r="H159" s="140">
        <f t="shared" si="238"/>
        <v>-41942</v>
      </c>
      <c r="I159" s="140">
        <f t="shared" si="238"/>
        <v>-41762</v>
      </c>
      <c r="J159" s="140">
        <f t="shared" si="238"/>
        <v>-41582</v>
      </c>
      <c r="K159" s="140">
        <f t="shared" si="238"/>
        <v>-41403</v>
      </c>
      <c r="L159" s="140">
        <f t="shared" si="238"/>
        <v>-41223</v>
      </c>
      <c r="M159" s="140">
        <f t="shared" si="238"/>
        <v>-41043</v>
      </c>
      <c r="N159" s="140">
        <f t="shared" si="238"/>
        <v>-40863</v>
      </c>
      <c r="O159" s="140">
        <f t="shared" si="238"/>
        <v>-40683</v>
      </c>
      <c r="P159" s="140">
        <f t="shared" si="238"/>
        <v>-40503</v>
      </c>
      <c r="Q159" s="140">
        <f t="shared" si="238"/>
        <v>-40323</v>
      </c>
      <c r="R159" s="140">
        <f t="shared" si="238"/>
        <v>-40143</v>
      </c>
      <c r="S159" s="140">
        <f t="shared" si="238"/>
        <v>-39964</v>
      </c>
      <c r="T159" s="140">
        <f t="shared" si="238"/>
        <v>-39784</v>
      </c>
      <c r="U159" s="140">
        <f t="shared" si="238"/>
        <v>-39604</v>
      </c>
      <c r="V159" s="140">
        <f t="shared" si="238"/>
        <v>-39424</v>
      </c>
      <c r="W159" s="140">
        <f t="shared" si="238"/>
        <v>-39244</v>
      </c>
      <c r="X159" s="140">
        <f t="shared" si="238"/>
        <v>-39064</v>
      </c>
      <c r="Y159" s="140">
        <f t="shared" si="238"/>
        <v>-38884</v>
      </c>
      <c r="Z159" s="140">
        <f t="shared" si="238"/>
        <v>-38704</v>
      </c>
      <c r="AA159" s="140">
        <f t="shared" si="238"/>
        <v>-38525</v>
      </c>
      <c r="AB159" s="140">
        <f t="shared" si="238"/>
        <v>-38345</v>
      </c>
      <c r="AC159" s="140">
        <f t="shared" si="238"/>
        <v>-38165</v>
      </c>
      <c r="AD159" s="140">
        <f t="shared" si="238"/>
        <v>-37985</v>
      </c>
      <c r="AE159" s="140">
        <f t="shared" si="238"/>
        <v>-37805</v>
      </c>
      <c r="AF159" s="140">
        <f t="shared" si="238"/>
        <v>-37625</v>
      </c>
      <c r="AG159" s="140">
        <f t="shared" si="238"/>
        <v>-37445</v>
      </c>
      <c r="AH159" s="140">
        <f t="shared" si="238"/>
        <v>-37265</v>
      </c>
      <c r="AI159" s="140">
        <f t="shared" si="238"/>
        <v>-37086</v>
      </c>
      <c r="AJ159" s="140">
        <f t="shared" si="238"/>
        <v>-36906</v>
      </c>
      <c r="AK159" s="140">
        <f t="shared" si="238"/>
        <v>-36726</v>
      </c>
      <c r="AL159" s="140">
        <f t="shared" si="238"/>
        <v>-36546</v>
      </c>
      <c r="AM159" s="140">
        <f t="shared" si="238"/>
        <v>-36366</v>
      </c>
      <c r="AN159" s="140">
        <f t="shared" si="238"/>
        <v>-36186</v>
      </c>
      <c r="AO159" s="140">
        <f t="shared" si="238"/>
        <v>-36006</v>
      </c>
      <c r="AP159" s="140">
        <f t="shared" si="238"/>
        <v>-35826</v>
      </c>
      <c r="AQ159" s="140">
        <f t="shared" si="238"/>
        <v>-35647</v>
      </c>
      <c r="AR159" s="140">
        <f t="shared" si="238"/>
        <v>-35467</v>
      </c>
      <c r="AS159" s="140">
        <f t="shared" si="238"/>
        <v>-35287</v>
      </c>
      <c r="AT159" s="140">
        <f t="shared" si="238"/>
        <v>-35107</v>
      </c>
      <c r="AU159" s="140">
        <f t="shared" si="238"/>
        <v>-34927</v>
      </c>
      <c r="AV159" s="140">
        <f t="shared" si="238"/>
        <v>-34747</v>
      </c>
      <c r="AW159" s="140">
        <f t="shared" si="238"/>
        <v>-34567</v>
      </c>
      <c r="AX159" s="140">
        <f t="shared" si="238"/>
        <v>-34387</v>
      </c>
      <c r="AY159" s="140">
        <f t="shared" si="238"/>
        <v>-34208</v>
      </c>
      <c r="AZ159" s="140">
        <f t="shared" si="238"/>
        <v>-34028</v>
      </c>
      <c r="BA159" s="140">
        <f t="shared" si="238"/>
        <v>-33848</v>
      </c>
      <c r="BB159" s="140">
        <f t="shared" si="238"/>
        <v>-33668</v>
      </c>
      <c r="BC159" s="140">
        <f t="shared" si="238"/>
        <v>-33488</v>
      </c>
      <c r="BD159" s="140">
        <f t="shared" si="238"/>
        <v>-33308</v>
      </c>
      <c r="BE159" s="140">
        <f t="shared" si="238"/>
        <v>-33128</v>
      </c>
      <c r="BF159" s="140">
        <f t="shared" si="238"/>
        <v>-32948</v>
      </c>
      <c r="BG159" s="140">
        <f t="shared" si="238"/>
        <v>-32769</v>
      </c>
      <c r="BH159" s="140">
        <f t="shared" si="238"/>
        <v>-32589</v>
      </c>
      <c r="BI159" s="140">
        <f t="shared" si="238"/>
        <v>-32409</v>
      </c>
      <c r="BJ159" s="140">
        <f t="shared" si="238"/>
        <v>-32229</v>
      </c>
      <c r="BK159" s="140">
        <f t="shared" si="238"/>
        <v>-32049</v>
      </c>
      <c r="BL159" s="140">
        <f t="shared" si="238"/>
        <v>-31869</v>
      </c>
      <c r="BM159" s="140">
        <f t="shared" si="238"/>
        <v>-31689</v>
      </c>
      <c r="BN159" s="140">
        <f t="shared" ref="BN159:CB159" si="239">DAYS360($B$3,BN60)</f>
        <v>-31509</v>
      </c>
      <c r="BO159" s="140">
        <f t="shared" si="239"/>
        <v>-31330</v>
      </c>
      <c r="BP159" s="140">
        <f t="shared" si="239"/>
        <v>-31150</v>
      </c>
      <c r="BQ159" s="140">
        <f t="shared" si="239"/>
        <v>-30970</v>
      </c>
      <c r="BR159" s="140">
        <f t="shared" si="239"/>
        <v>-30790</v>
      </c>
      <c r="BS159" s="140">
        <f t="shared" si="239"/>
        <v>-30610</v>
      </c>
      <c r="BT159" s="140">
        <f t="shared" si="239"/>
        <v>-30430</v>
      </c>
      <c r="BU159" s="140">
        <f t="shared" si="239"/>
        <v>-30250</v>
      </c>
      <c r="BV159" s="140">
        <f t="shared" si="239"/>
        <v>-30070</v>
      </c>
      <c r="BW159" s="140">
        <f t="shared" si="239"/>
        <v>-29891</v>
      </c>
      <c r="BX159" s="140">
        <f t="shared" si="239"/>
        <v>-29711</v>
      </c>
      <c r="BY159" s="140">
        <f t="shared" si="239"/>
        <v>-29531</v>
      </c>
      <c r="BZ159" s="140">
        <f t="shared" si="239"/>
        <v>-29351</v>
      </c>
      <c r="CA159" s="140">
        <f t="shared" si="239"/>
        <v>-29171</v>
      </c>
      <c r="CB159" s="140">
        <f t="shared" si="239"/>
        <v>-28991</v>
      </c>
      <c r="CC159" s="17"/>
      <c r="CD159" s="17"/>
      <c r="CE159" s="17"/>
    </row>
    <row r="160" spans="1:83">
      <c r="A160" s="16" t="s">
        <v>41</v>
      </c>
      <c r="B160" s="140">
        <f>B159/360</f>
        <v>-119.50555555555556</v>
      </c>
      <c r="C160" s="140">
        <f t="shared" ref="C160:BN160" si="240">C159/360</f>
        <v>-119.00555555555556</v>
      </c>
      <c r="D160" s="140">
        <f t="shared" si="240"/>
        <v>-118.50555555555556</v>
      </c>
      <c r="E160" s="140">
        <f t="shared" si="240"/>
        <v>-118.00555555555556</v>
      </c>
      <c r="F160" s="140">
        <f t="shared" si="240"/>
        <v>-117.50555555555556</v>
      </c>
      <c r="G160" s="140">
        <f t="shared" si="240"/>
        <v>-117.00555555555556</v>
      </c>
      <c r="H160" s="140">
        <f t="shared" si="240"/>
        <v>-116.50555555555556</v>
      </c>
      <c r="I160" s="140">
        <f t="shared" si="240"/>
        <v>-116.00555555555556</v>
      </c>
      <c r="J160" s="140">
        <f t="shared" si="240"/>
        <v>-115.50555555555556</v>
      </c>
      <c r="K160" s="140">
        <f t="shared" si="240"/>
        <v>-115.00833333333334</v>
      </c>
      <c r="L160" s="140">
        <f t="shared" si="240"/>
        <v>-114.50833333333334</v>
      </c>
      <c r="M160" s="140">
        <f t="shared" si="240"/>
        <v>-114.00833333333334</v>
      </c>
      <c r="N160" s="140">
        <f t="shared" si="240"/>
        <v>-113.50833333333334</v>
      </c>
      <c r="O160" s="140">
        <f t="shared" si="240"/>
        <v>-113.00833333333334</v>
      </c>
      <c r="P160" s="140">
        <f t="shared" si="240"/>
        <v>-112.50833333333334</v>
      </c>
      <c r="Q160" s="140">
        <f t="shared" si="240"/>
        <v>-112.00833333333334</v>
      </c>
      <c r="R160" s="140">
        <f t="shared" si="240"/>
        <v>-111.50833333333334</v>
      </c>
      <c r="S160" s="140">
        <f t="shared" si="240"/>
        <v>-111.01111111111111</v>
      </c>
      <c r="T160" s="140">
        <f t="shared" si="240"/>
        <v>-110.51111111111111</v>
      </c>
      <c r="U160" s="140">
        <f t="shared" si="240"/>
        <v>-110.01111111111111</v>
      </c>
      <c r="V160" s="140">
        <f t="shared" si="240"/>
        <v>-109.51111111111111</v>
      </c>
      <c r="W160" s="140">
        <f t="shared" si="240"/>
        <v>-109.01111111111111</v>
      </c>
      <c r="X160" s="140">
        <f t="shared" si="240"/>
        <v>-108.51111111111111</v>
      </c>
      <c r="Y160" s="140">
        <f t="shared" si="240"/>
        <v>-108.01111111111111</v>
      </c>
      <c r="Z160" s="140">
        <f t="shared" si="240"/>
        <v>-107.51111111111111</v>
      </c>
      <c r="AA160" s="140">
        <f t="shared" si="240"/>
        <v>-107.01388888888889</v>
      </c>
      <c r="AB160" s="140">
        <f t="shared" si="240"/>
        <v>-106.51388888888889</v>
      </c>
      <c r="AC160" s="140">
        <f t="shared" si="240"/>
        <v>-106.01388888888889</v>
      </c>
      <c r="AD160" s="140">
        <f t="shared" si="240"/>
        <v>-105.51388888888889</v>
      </c>
      <c r="AE160" s="140">
        <f t="shared" si="240"/>
        <v>-105.01388888888889</v>
      </c>
      <c r="AF160" s="140">
        <f t="shared" si="240"/>
        <v>-104.51388888888889</v>
      </c>
      <c r="AG160" s="140">
        <f t="shared" si="240"/>
        <v>-104.01388888888889</v>
      </c>
      <c r="AH160" s="140">
        <f t="shared" si="240"/>
        <v>-103.51388888888889</v>
      </c>
      <c r="AI160" s="140">
        <f t="shared" si="240"/>
        <v>-103.01666666666667</v>
      </c>
      <c r="AJ160" s="140">
        <f t="shared" si="240"/>
        <v>-102.51666666666667</v>
      </c>
      <c r="AK160" s="140">
        <f t="shared" si="240"/>
        <v>-102.01666666666667</v>
      </c>
      <c r="AL160" s="140">
        <f t="shared" si="240"/>
        <v>-101.51666666666667</v>
      </c>
      <c r="AM160" s="140">
        <f t="shared" si="240"/>
        <v>-101.01666666666667</v>
      </c>
      <c r="AN160" s="140">
        <f t="shared" si="240"/>
        <v>-100.51666666666667</v>
      </c>
      <c r="AO160" s="140">
        <f t="shared" si="240"/>
        <v>-100.01666666666667</v>
      </c>
      <c r="AP160" s="140">
        <f t="shared" si="240"/>
        <v>-99.516666666666666</v>
      </c>
      <c r="AQ160" s="140">
        <f t="shared" si="240"/>
        <v>-99.019444444444446</v>
      </c>
      <c r="AR160" s="140">
        <f t="shared" si="240"/>
        <v>-98.519444444444446</v>
      </c>
      <c r="AS160" s="140">
        <f t="shared" si="240"/>
        <v>-98.019444444444446</v>
      </c>
      <c r="AT160" s="140">
        <f t="shared" si="240"/>
        <v>-97.519444444444446</v>
      </c>
      <c r="AU160" s="140">
        <f t="shared" si="240"/>
        <v>-97.019444444444446</v>
      </c>
      <c r="AV160" s="140">
        <f t="shared" si="240"/>
        <v>-96.519444444444446</v>
      </c>
      <c r="AW160" s="140">
        <f t="shared" si="240"/>
        <v>-96.019444444444446</v>
      </c>
      <c r="AX160" s="140">
        <f t="shared" si="240"/>
        <v>-95.519444444444446</v>
      </c>
      <c r="AY160" s="140">
        <f t="shared" si="240"/>
        <v>-95.022222222222226</v>
      </c>
      <c r="AZ160" s="140">
        <f t="shared" si="240"/>
        <v>-94.522222222222226</v>
      </c>
      <c r="BA160" s="140">
        <f t="shared" si="240"/>
        <v>-94.022222222222226</v>
      </c>
      <c r="BB160" s="140">
        <f t="shared" si="240"/>
        <v>-93.522222222222226</v>
      </c>
      <c r="BC160" s="140">
        <f t="shared" si="240"/>
        <v>-93.022222222222226</v>
      </c>
      <c r="BD160" s="140">
        <f t="shared" si="240"/>
        <v>-92.522222222222226</v>
      </c>
      <c r="BE160" s="140">
        <f t="shared" si="240"/>
        <v>-92.022222222222226</v>
      </c>
      <c r="BF160" s="140">
        <f t="shared" si="240"/>
        <v>-91.522222222222226</v>
      </c>
      <c r="BG160" s="140">
        <f t="shared" si="240"/>
        <v>-91.025000000000006</v>
      </c>
      <c r="BH160" s="140">
        <f t="shared" si="240"/>
        <v>-90.525000000000006</v>
      </c>
      <c r="BI160" s="140">
        <f t="shared" si="240"/>
        <v>-90.025000000000006</v>
      </c>
      <c r="BJ160" s="140">
        <f t="shared" si="240"/>
        <v>-89.525000000000006</v>
      </c>
      <c r="BK160" s="140">
        <f t="shared" si="240"/>
        <v>-89.025000000000006</v>
      </c>
      <c r="BL160" s="140">
        <f t="shared" si="240"/>
        <v>-88.525000000000006</v>
      </c>
      <c r="BM160" s="140">
        <f t="shared" si="240"/>
        <v>-88.025000000000006</v>
      </c>
      <c r="BN160" s="140">
        <f t="shared" si="240"/>
        <v>-87.525000000000006</v>
      </c>
      <c r="BO160" s="140">
        <f t="shared" ref="BO160:CB160" si="241">BO159/360</f>
        <v>-87.027777777777771</v>
      </c>
      <c r="BP160" s="140">
        <f t="shared" si="241"/>
        <v>-86.527777777777771</v>
      </c>
      <c r="BQ160" s="140">
        <f t="shared" si="241"/>
        <v>-86.027777777777771</v>
      </c>
      <c r="BR160" s="140">
        <f t="shared" si="241"/>
        <v>-85.527777777777771</v>
      </c>
      <c r="BS160" s="140">
        <f t="shared" si="241"/>
        <v>-85.027777777777771</v>
      </c>
      <c r="BT160" s="140">
        <f t="shared" si="241"/>
        <v>-84.527777777777771</v>
      </c>
      <c r="BU160" s="140">
        <f t="shared" si="241"/>
        <v>-84.027777777777771</v>
      </c>
      <c r="BV160" s="140">
        <f t="shared" si="241"/>
        <v>-83.527777777777771</v>
      </c>
      <c r="BW160" s="140">
        <f t="shared" si="241"/>
        <v>-83.030555555555551</v>
      </c>
      <c r="BX160" s="140">
        <f t="shared" si="241"/>
        <v>-82.530555555555551</v>
      </c>
      <c r="BY160" s="140">
        <f t="shared" si="241"/>
        <v>-82.030555555555551</v>
      </c>
      <c r="BZ160" s="140">
        <f t="shared" si="241"/>
        <v>-81.530555555555551</v>
      </c>
      <c r="CA160" s="140">
        <f t="shared" si="241"/>
        <v>-81.030555555555551</v>
      </c>
      <c r="CB160" s="140">
        <f t="shared" si="241"/>
        <v>-80.530555555555551</v>
      </c>
      <c r="CC160" s="17"/>
      <c r="CD160" s="17"/>
      <c r="CE160" s="17"/>
    </row>
    <row r="161" spans="1:83">
      <c r="A161" s="16" t="s">
        <v>43</v>
      </c>
      <c r="B161" s="140">
        <f>IF(B159&lt;0,0,$B$5+$B$6*((1-EXP(-B160/$B$9))/(B160/$B$9))+$B$7*((1-EXP(-B160/$B$9))/(B160/$B$9)-EXP(-B160/$B$9))+$B$8*((1-EXP(-B160/$B$10))/(B160/$B$10)-EXP(-B160/$B$10)))</f>
        <v>0</v>
      </c>
      <c r="C161" s="140">
        <f t="shared" ref="C161:BN161" si="242">IF(C159&lt;0,0,$B$5+$B$6*((1-EXP(-C160/$B$9))/(C160/$B$9))+$B$7*((1-EXP(-C160/$B$9))/(C160/$B$9)-EXP(-C160/$B$9))+$B$8*((1-EXP(-C160/$B$10))/(C160/$B$10)-EXP(-C160/$B$10)))</f>
        <v>0</v>
      </c>
      <c r="D161" s="140">
        <f t="shared" si="242"/>
        <v>0</v>
      </c>
      <c r="E161" s="140">
        <f t="shared" si="242"/>
        <v>0</v>
      </c>
      <c r="F161" s="140">
        <f t="shared" si="242"/>
        <v>0</v>
      </c>
      <c r="G161" s="140">
        <f t="shared" si="242"/>
        <v>0</v>
      </c>
      <c r="H161" s="140">
        <f t="shared" si="242"/>
        <v>0</v>
      </c>
      <c r="I161" s="140">
        <f t="shared" si="242"/>
        <v>0</v>
      </c>
      <c r="J161" s="140">
        <f t="shared" si="242"/>
        <v>0</v>
      </c>
      <c r="K161" s="140">
        <f t="shared" si="242"/>
        <v>0</v>
      </c>
      <c r="L161" s="140">
        <f t="shared" si="242"/>
        <v>0</v>
      </c>
      <c r="M161" s="140">
        <f t="shared" si="242"/>
        <v>0</v>
      </c>
      <c r="N161" s="140">
        <f t="shared" si="242"/>
        <v>0</v>
      </c>
      <c r="O161" s="140">
        <f t="shared" si="242"/>
        <v>0</v>
      </c>
      <c r="P161" s="140">
        <f t="shared" si="242"/>
        <v>0</v>
      </c>
      <c r="Q161" s="140">
        <f t="shared" si="242"/>
        <v>0</v>
      </c>
      <c r="R161" s="140">
        <f t="shared" si="242"/>
        <v>0</v>
      </c>
      <c r="S161" s="140">
        <f t="shared" si="242"/>
        <v>0</v>
      </c>
      <c r="T161" s="140">
        <f t="shared" si="242"/>
        <v>0</v>
      </c>
      <c r="U161" s="140">
        <f t="shared" si="242"/>
        <v>0</v>
      </c>
      <c r="V161" s="140">
        <f t="shared" si="242"/>
        <v>0</v>
      </c>
      <c r="W161" s="140">
        <f t="shared" si="242"/>
        <v>0</v>
      </c>
      <c r="X161" s="140">
        <f t="shared" si="242"/>
        <v>0</v>
      </c>
      <c r="Y161" s="140">
        <f t="shared" si="242"/>
        <v>0</v>
      </c>
      <c r="Z161" s="140">
        <f t="shared" si="242"/>
        <v>0</v>
      </c>
      <c r="AA161" s="140">
        <f t="shared" si="242"/>
        <v>0</v>
      </c>
      <c r="AB161" s="140">
        <f t="shared" si="242"/>
        <v>0</v>
      </c>
      <c r="AC161" s="140">
        <f t="shared" si="242"/>
        <v>0</v>
      </c>
      <c r="AD161" s="140">
        <f t="shared" si="242"/>
        <v>0</v>
      </c>
      <c r="AE161" s="140">
        <f t="shared" si="242"/>
        <v>0</v>
      </c>
      <c r="AF161" s="140">
        <f t="shared" si="242"/>
        <v>0</v>
      </c>
      <c r="AG161" s="140">
        <f t="shared" si="242"/>
        <v>0</v>
      </c>
      <c r="AH161" s="140">
        <f t="shared" si="242"/>
        <v>0</v>
      </c>
      <c r="AI161" s="140">
        <f t="shared" si="242"/>
        <v>0</v>
      </c>
      <c r="AJ161" s="140">
        <f t="shared" si="242"/>
        <v>0</v>
      </c>
      <c r="AK161" s="140">
        <f t="shared" si="242"/>
        <v>0</v>
      </c>
      <c r="AL161" s="140">
        <f t="shared" si="242"/>
        <v>0</v>
      </c>
      <c r="AM161" s="140">
        <f t="shared" si="242"/>
        <v>0</v>
      </c>
      <c r="AN161" s="140">
        <f t="shared" si="242"/>
        <v>0</v>
      </c>
      <c r="AO161" s="140">
        <f t="shared" si="242"/>
        <v>0</v>
      </c>
      <c r="AP161" s="140">
        <f t="shared" si="242"/>
        <v>0</v>
      </c>
      <c r="AQ161" s="140">
        <f t="shared" si="242"/>
        <v>0</v>
      </c>
      <c r="AR161" s="140">
        <f t="shared" si="242"/>
        <v>0</v>
      </c>
      <c r="AS161" s="140">
        <f t="shared" si="242"/>
        <v>0</v>
      </c>
      <c r="AT161" s="140">
        <f t="shared" si="242"/>
        <v>0</v>
      </c>
      <c r="AU161" s="140">
        <f t="shared" si="242"/>
        <v>0</v>
      </c>
      <c r="AV161" s="140">
        <f t="shared" si="242"/>
        <v>0</v>
      </c>
      <c r="AW161" s="140">
        <f t="shared" si="242"/>
        <v>0</v>
      </c>
      <c r="AX161" s="140">
        <f t="shared" si="242"/>
        <v>0</v>
      </c>
      <c r="AY161" s="140">
        <f t="shared" si="242"/>
        <v>0</v>
      </c>
      <c r="AZ161" s="140">
        <f t="shared" si="242"/>
        <v>0</v>
      </c>
      <c r="BA161" s="140">
        <f t="shared" si="242"/>
        <v>0</v>
      </c>
      <c r="BB161" s="140">
        <f t="shared" si="242"/>
        <v>0</v>
      </c>
      <c r="BC161" s="140">
        <f t="shared" si="242"/>
        <v>0</v>
      </c>
      <c r="BD161" s="140">
        <f t="shared" si="242"/>
        <v>0</v>
      </c>
      <c r="BE161" s="140">
        <f t="shared" si="242"/>
        <v>0</v>
      </c>
      <c r="BF161" s="140">
        <f t="shared" si="242"/>
        <v>0</v>
      </c>
      <c r="BG161" s="140">
        <f t="shared" si="242"/>
        <v>0</v>
      </c>
      <c r="BH161" s="140">
        <f t="shared" si="242"/>
        <v>0</v>
      </c>
      <c r="BI161" s="140">
        <f t="shared" si="242"/>
        <v>0</v>
      </c>
      <c r="BJ161" s="140">
        <f t="shared" si="242"/>
        <v>0</v>
      </c>
      <c r="BK161" s="140">
        <f t="shared" si="242"/>
        <v>0</v>
      </c>
      <c r="BL161" s="140">
        <f t="shared" si="242"/>
        <v>0</v>
      </c>
      <c r="BM161" s="140">
        <f t="shared" si="242"/>
        <v>0</v>
      </c>
      <c r="BN161" s="140">
        <f t="shared" si="242"/>
        <v>0</v>
      </c>
      <c r="BO161" s="140">
        <f t="shared" ref="BO161:CB161" si="243">IF(BO159&lt;0,0,$B$5+$B$6*((1-EXP(-BO160/$B$9))/(BO160/$B$9))+$B$7*((1-EXP(-BO160/$B$9))/(BO160/$B$9)-EXP(-BO160/$B$9))+$B$8*((1-EXP(-BO160/$B$10))/(BO160/$B$10)-EXP(-BO160/$B$10)))</f>
        <v>0</v>
      </c>
      <c r="BP161" s="140">
        <f t="shared" si="243"/>
        <v>0</v>
      </c>
      <c r="BQ161" s="140">
        <f t="shared" si="243"/>
        <v>0</v>
      </c>
      <c r="BR161" s="140">
        <f t="shared" si="243"/>
        <v>0</v>
      </c>
      <c r="BS161" s="140">
        <f t="shared" si="243"/>
        <v>0</v>
      </c>
      <c r="BT161" s="140">
        <f t="shared" si="243"/>
        <v>0</v>
      </c>
      <c r="BU161" s="140">
        <f t="shared" si="243"/>
        <v>0</v>
      </c>
      <c r="BV161" s="140">
        <f t="shared" si="243"/>
        <v>0</v>
      </c>
      <c r="BW161" s="140">
        <f t="shared" si="243"/>
        <v>0</v>
      </c>
      <c r="BX161" s="140">
        <f t="shared" si="243"/>
        <v>0</v>
      </c>
      <c r="BY161" s="140">
        <f t="shared" si="243"/>
        <v>0</v>
      </c>
      <c r="BZ161" s="140">
        <f t="shared" si="243"/>
        <v>0</v>
      </c>
      <c r="CA161" s="140">
        <f t="shared" si="243"/>
        <v>0</v>
      </c>
      <c r="CB161" s="140">
        <f t="shared" si="243"/>
        <v>0</v>
      </c>
      <c r="CC161" s="17"/>
      <c r="CD161" s="17"/>
      <c r="CE161" s="17"/>
    </row>
    <row r="162" spans="1:83">
      <c r="A162" s="16" t="s">
        <v>44</v>
      </c>
      <c r="B162" s="140">
        <f>EXP(-B161*B160)</f>
        <v>1</v>
      </c>
      <c r="C162" s="140">
        <f t="shared" ref="C162:AR162" si="244">EXP(-C161*C160)</f>
        <v>1</v>
      </c>
      <c r="D162" s="140">
        <f t="shared" si="244"/>
        <v>1</v>
      </c>
      <c r="E162" s="140">
        <f t="shared" si="244"/>
        <v>1</v>
      </c>
      <c r="F162" s="140">
        <f t="shared" si="244"/>
        <v>1</v>
      </c>
      <c r="G162" s="140">
        <f t="shared" si="244"/>
        <v>1</v>
      </c>
      <c r="H162" s="140">
        <f t="shared" si="244"/>
        <v>1</v>
      </c>
      <c r="I162" s="140">
        <f t="shared" si="244"/>
        <v>1</v>
      </c>
      <c r="J162" s="140">
        <f t="shared" si="244"/>
        <v>1</v>
      </c>
      <c r="K162" s="140">
        <f t="shared" si="244"/>
        <v>1</v>
      </c>
      <c r="L162" s="140">
        <f t="shared" si="244"/>
        <v>1</v>
      </c>
      <c r="M162" s="140">
        <f t="shared" si="244"/>
        <v>1</v>
      </c>
      <c r="N162" s="140">
        <f t="shared" si="244"/>
        <v>1</v>
      </c>
      <c r="O162" s="140">
        <f t="shared" si="244"/>
        <v>1</v>
      </c>
      <c r="P162" s="140">
        <f t="shared" si="244"/>
        <v>1</v>
      </c>
      <c r="Q162" s="140">
        <f t="shared" si="244"/>
        <v>1</v>
      </c>
      <c r="R162" s="140">
        <f t="shared" si="244"/>
        <v>1</v>
      </c>
      <c r="S162" s="140">
        <f t="shared" si="244"/>
        <v>1</v>
      </c>
      <c r="T162" s="140">
        <f t="shared" si="244"/>
        <v>1</v>
      </c>
      <c r="U162" s="140">
        <f t="shared" si="244"/>
        <v>1</v>
      </c>
      <c r="V162" s="140">
        <f t="shared" si="244"/>
        <v>1</v>
      </c>
      <c r="W162" s="140">
        <f t="shared" si="244"/>
        <v>1</v>
      </c>
      <c r="X162" s="140">
        <f t="shared" si="244"/>
        <v>1</v>
      </c>
      <c r="Y162" s="140">
        <f t="shared" si="244"/>
        <v>1</v>
      </c>
      <c r="Z162" s="140">
        <f t="shared" si="244"/>
        <v>1</v>
      </c>
      <c r="AA162" s="140">
        <f t="shared" si="244"/>
        <v>1</v>
      </c>
      <c r="AB162" s="140">
        <f t="shared" si="244"/>
        <v>1</v>
      </c>
      <c r="AC162" s="140">
        <f t="shared" si="244"/>
        <v>1</v>
      </c>
      <c r="AD162" s="140">
        <f t="shared" si="244"/>
        <v>1</v>
      </c>
      <c r="AE162" s="140">
        <f t="shared" si="244"/>
        <v>1</v>
      </c>
      <c r="AF162" s="140">
        <f t="shared" si="244"/>
        <v>1</v>
      </c>
      <c r="AG162" s="140">
        <f t="shared" si="244"/>
        <v>1</v>
      </c>
      <c r="AH162" s="140">
        <f t="shared" si="244"/>
        <v>1</v>
      </c>
      <c r="AI162" s="140">
        <f t="shared" si="244"/>
        <v>1</v>
      </c>
      <c r="AJ162" s="140">
        <f t="shared" si="244"/>
        <v>1</v>
      </c>
      <c r="AK162" s="140">
        <f t="shared" si="244"/>
        <v>1</v>
      </c>
      <c r="AL162" s="140">
        <f t="shared" si="244"/>
        <v>1</v>
      </c>
      <c r="AM162" s="140">
        <f t="shared" si="244"/>
        <v>1</v>
      </c>
      <c r="AN162" s="140">
        <f t="shared" si="244"/>
        <v>1</v>
      </c>
      <c r="AO162" s="140">
        <f t="shared" si="244"/>
        <v>1</v>
      </c>
      <c r="AP162" s="140">
        <f t="shared" si="244"/>
        <v>1</v>
      </c>
      <c r="AQ162" s="140">
        <f t="shared" si="244"/>
        <v>1</v>
      </c>
      <c r="AR162" s="140">
        <f t="shared" si="244"/>
        <v>1</v>
      </c>
      <c r="AS162" s="140">
        <f>EXP(-AS161*AS160)</f>
        <v>1</v>
      </c>
      <c r="AT162" s="140">
        <f t="shared" ref="AT162:CA162" si="245">EXP(-AT161*AT160)</f>
        <v>1</v>
      </c>
      <c r="AU162" s="140">
        <f t="shared" si="245"/>
        <v>1</v>
      </c>
      <c r="AV162" s="140">
        <f t="shared" si="245"/>
        <v>1</v>
      </c>
      <c r="AW162" s="140">
        <f t="shared" si="245"/>
        <v>1</v>
      </c>
      <c r="AX162" s="140">
        <f t="shared" si="245"/>
        <v>1</v>
      </c>
      <c r="AY162" s="140">
        <f t="shared" si="245"/>
        <v>1</v>
      </c>
      <c r="AZ162" s="140">
        <f t="shared" si="245"/>
        <v>1</v>
      </c>
      <c r="BA162" s="140">
        <f t="shared" si="245"/>
        <v>1</v>
      </c>
      <c r="BB162" s="140">
        <f t="shared" si="245"/>
        <v>1</v>
      </c>
      <c r="BC162" s="140">
        <f t="shared" si="245"/>
        <v>1</v>
      </c>
      <c r="BD162" s="140">
        <f t="shared" si="245"/>
        <v>1</v>
      </c>
      <c r="BE162" s="140">
        <f t="shared" si="245"/>
        <v>1</v>
      </c>
      <c r="BF162" s="140">
        <f t="shared" si="245"/>
        <v>1</v>
      </c>
      <c r="BG162" s="140">
        <f t="shared" si="245"/>
        <v>1</v>
      </c>
      <c r="BH162" s="140">
        <f t="shared" si="245"/>
        <v>1</v>
      </c>
      <c r="BI162" s="140">
        <f t="shared" si="245"/>
        <v>1</v>
      </c>
      <c r="BJ162" s="140">
        <f t="shared" si="245"/>
        <v>1</v>
      </c>
      <c r="BK162" s="140">
        <f t="shared" si="245"/>
        <v>1</v>
      </c>
      <c r="BL162" s="140">
        <f t="shared" si="245"/>
        <v>1</v>
      </c>
      <c r="BM162" s="140">
        <f t="shared" si="245"/>
        <v>1</v>
      </c>
      <c r="BN162" s="140">
        <f t="shared" si="245"/>
        <v>1</v>
      </c>
      <c r="BO162" s="140">
        <f t="shared" si="245"/>
        <v>1</v>
      </c>
      <c r="BP162" s="140">
        <f t="shared" si="245"/>
        <v>1</v>
      </c>
      <c r="BQ162" s="140">
        <f t="shared" si="245"/>
        <v>1</v>
      </c>
      <c r="BR162" s="140">
        <f t="shared" si="245"/>
        <v>1</v>
      </c>
      <c r="BS162" s="140">
        <f t="shared" si="245"/>
        <v>1</v>
      </c>
      <c r="BT162" s="140">
        <f t="shared" si="245"/>
        <v>1</v>
      </c>
      <c r="BU162" s="140">
        <f t="shared" si="245"/>
        <v>1</v>
      </c>
      <c r="BV162" s="140">
        <f t="shared" si="245"/>
        <v>1</v>
      </c>
      <c r="BW162" s="140">
        <f t="shared" si="245"/>
        <v>1</v>
      </c>
      <c r="BX162" s="140">
        <f t="shared" si="245"/>
        <v>1</v>
      </c>
      <c r="BY162" s="140">
        <f t="shared" si="245"/>
        <v>1</v>
      </c>
      <c r="BZ162" s="140">
        <f t="shared" si="245"/>
        <v>1</v>
      </c>
      <c r="CA162" s="140">
        <f t="shared" si="245"/>
        <v>1</v>
      </c>
      <c r="CB162" s="140">
        <f>EXP(-CB161*CB160)</f>
        <v>1</v>
      </c>
      <c r="CC162" s="17"/>
      <c r="CD162" s="17"/>
      <c r="CE162" s="17"/>
    </row>
    <row r="163" spans="1:83">
      <c r="A163" s="17"/>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17"/>
      <c r="CD163" s="17"/>
      <c r="CE163" s="17"/>
    </row>
    <row r="164" spans="1:83">
      <c r="A164" s="16" t="s">
        <v>40</v>
      </c>
      <c r="B164" s="140">
        <f t="shared" ref="B164:BM164" si="246">DAYS360($B$3,B62)</f>
        <v>-43022</v>
      </c>
      <c r="C164" s="140">
        <f t="shared" si="246"/>
        <v>-42842</v>
      </c>
      <c r="D164" s="140">
        <f t="shared" si="246"/>
        <v>-42662</v>
      </c>
      <c r="E164" s="140">
        <f t="shared" si="246"/>
        <v>-42482</v>
      </c>
      <c r="F164" s="140">
        <f t="shared" si="246"/>
        <v>-42302</v>
      </c>
      <c r="G164" s="140">
        <f t="shared" si="246"/>
        <v>-42122</v>
      </c>
      <c r="H164" s="140">
        <f t="shared" si="246"/>
        <v>-41942</v>
      </c>
      <c r="I164" s="140">
        <f t="shared" si="246"/>
        <v>-41762</v>
      </c>
      <c r="J164" s="140">
        <f t="shared" si="246"/>
        <v>-41582</v>
      </c>
      <c r="K164" s="140">
        <f t="shared" si="246"/>
        <v>-41403</v>
      </c>
      <c r="L164" s="140">
        <f t="shared" si="246"/>
        <v>-41223</v>
      </c>
      <c r="M164" s="140">
        <f t="shared" si="246"/>
        <v>-41043</v>
      </c>
      <c r="N164" s="140">
        <f t="shared" si="246"/>
        <v>-40863</v>
      </c>
      <c r="O164" s="140">
        <f t="shared" si="246"/>
        <v>-40683</v>
      </c>
      <c r="P164" s="140">
        <f t="shared" si="246"/>
        <v>-40503</v>
      </c>
      <c r="Q164" s="140">
        <f t="shared" si="246"/>
        <v>-40323</v>
      </c>
      <c r="R164" s="140">
        <f t="shared" si="246"/>
        <v>-40143</v>
      </c>
      <c r="S164" s="140">
        <f t="shared" si="246"/>
        <v>-39964</v>
      </c>
      <c r="T164" s="140">
        <f t="shared" si="246"/>
        <v>-39784</v>
      </c>
      <c r="U164" s="140">
        <f t="shared" si="246"/>
        <v>-39604</v>
      </c>
      <c r="V164" s="140">
        <f t="shared" si="246"/>
        <v>-39424</v>
      </c>
      <c r="W164" s="140">
        <f t="shared" si="246"/>
        <v>-39244</v>
      </c>
      <c r="X164" s="140">
        <f t="shared" si="246"/>
        <v>-39064</v>
      </c>
      <c r="Y164" s="140">
        <f t="shared" si="246"/>
        <v>-38884</v>
      </c>
      <c r="Z164" s="140">
        <f t="shared" si="246"/>
        <v>-38704</v>
      </c>
      <c r="AA164" s="140">
        <f t="shared" si="246"/>
        <v>-38525</v>
      </c>
      <c r="AB164" s="140">
        <f t="shared" si="246"/>
        <v>-38345</v>
      </c>
      <c r="AC164" s="140">
        <f t="shared" si="246"/>
        <v>-38165</v>
      </c>
      <c r="AD164" s="140">
        <f t="shared" si="246"/>
        <v>-37985</v>
      </c>
      <c r="AE164" s="140">
        <f t="shared" si="246"/>
        <v>-37805</v>
      </c>
      <c r="AF164" s="140">
        <f t="shared" si="246"/>
        <v>-37625</v>
      </c>
      <c r="AG164" s="140">
        <f t="shared" si="246"/>
        <v>-37445</v>
      </c>
      <c r="AH164" s="140">
        <f t="shared" si="246"/>
        <v>-37265</v>
      </c>
      <c r="AI164" s="140">
        <f t="shared" si="246"/>
        <v>-37086</v>
      </c>
      <c r="AJ164" s="140">
        <f t="shared" si="246"/>
        <v>-36906</v>
      </c>
      <c r="AK164" s="140">
        <f t="shared" si="246"/>
        <v>-36726</v>
      </c>
      <c r="AL164" s="140">
        <f t="shared" si="246"/>
        <v>-36546</v>
      </c>
      <c r="AM164" s="140">
        <f t="shared" si="246"/>
        <v>-36366</v>
      </c>
      <c r="AN164" s="140">
        <f t="shared" si="246"/>
        <v>-36186</v>
      </c>
      <c r="AO164" s="140">
        <f t="shared" si="246"/>
        <v>-36006</v>
      </c>
      <c r="AP164" s="140">
        <f t="shared" si="246"/>
        <v>-35826</v>
      </c>
      <c r="AQ164" s="140">
        <f t="shared" si="246"/>
        <v>-35647</v>
      </c>
      <c r="AR164" s="140">
        <f t="shared" si="246"/>
        <v>-35467</v>
      </c>
      <c r="AS164" s="140">
        <f t="shared" si="246"/>
        <v>-35287</v>
      </c>
      <c r="AT164" s="140">
        <f t="shared" si="246"/>
        <v>-35107</v>
      </c>
      <c r="AU164" s="140">
        <f t="shared" si="246"/>
        <v>-34927</v>
      </c>
      <c r="AV164" s="140">
        <f t="shared" si="246"/>
        <v>-34747</v>
      </c>
      <c r="AW164" s="140">
        <f t="shared" si="246"/>
        <v>-34567</v>
      </c>
      <c r="AX164" s="140">
        <f t="shared" si="246"/>
        <v>-34387</v>
      </c>
      <c r="AY164" s="140">
        <f t="shared" si="246"/>
        <v>-34208</v>
      </c>
      <c r="AZ164" s="140">
        <f t="shared" si="246"/>
        <v>-34028</v>
      </c>
      <c r="BA164" s="140">
        <f t="shared" si="246"/>
        <v>-33848</v>
      </c>
      <c r="BB164" s="140">
        <f t="shared" si="246"/>
        <v>-33668</v>
      </c>
      <c r="BC164" s="140">
        <f t="shared" si="246"/>
        <v>-33488</v>
      </c>
      <c r="BD164" s="140">
        <f t="shared" si="246"/>
        <v>-33308</v>
      </c>
      <c r="BE164" s="140">
        <f t="shared" si="246"/>
        <v>-33128</v>
      </c>
      <c r="BF164" s="140">
        <f t="shared" si="246"/>
        <v>-32948</v>
      </c>
      <c r="BG164" s="140">
        <f t="shared" si="246"/>
        <v>-32769</v>
      </c>
      <c r="BH164" s="140">
        <f t="shared" si="246"/>
        <v>-32589</v>
      </c>
      <c r="BI164" s="140">
        <f t="shared" si="246"/>
        <v>-32409</v>
      </c>
      <c r="BJ164" s="140">
        <f t="shared" si="246"/>
        <v>-32229</v>
      </c>
      <c r="BK164" s="140">
        <f t="shared" si="246"/>
        <v>-32049</v>
      </c>
      <c r="BL164" s="140">
        <f t="shared" si="246"/>
        <v>-31869</v>
      </c>
      <c r="BM164" s="140">
        <f t="shared" si="246"/>
        <v>-31689</v>
      </c>
      <c r="BN164" s="140">
        <f t="shared" ref="BN164:CB164" si="247">DAYS360($B$3,BN62)</f>
        <v>-31509</v>
      </c>
      <c r="BO164" s="140">
        <f t="shared" si="247"/>
        <v>-31330</v>
      </c>
      <c r="BP164" s="140">
        <f t="shared" si="247"/>
        <v>-31150</v>
      </c>
      <c r="BQ164" s="140">
        <f t="shared" si="247"/>
        <v>-30970</v>
      </c>
      <c r="BR164" s="140">
        <f t="shared" si="247"/>
        <v>-30790</v>
      </c>
      <c r="BS164" s="140">
        <f t="shared" si="247"/>
        <v>-30610</v>
      </c>
      <c r="BT164" s="140">
        <f t="shared" si="247"/>
        <v>-30430</v>
      </c>
      <c r="BU164" s="140">
        <f t="shared" si="247"/>
        <v>-30250</v>
      </c>
      <c r="BV164" s="140">
        <f t="shared" si="247"/>
        <v>-30070</v>
      </c>
      <c r="BW164" s="140">
        <f t="shared" si="247"/>
        <v>-29891</v>
      </c>
      <c r="BX164" s="140">
        <f t="shared" si="247"/>
        <v>-29711</v>
      </c>
      <c r="BY164" s="140">
        <f t="shared" si="247"/>
        <v>-29531</v>
      </c>
      <c r="BZ164" s="140">
        <f t="shared" si="247"/>
        <v>-29351</v>
      </c>
      <c r="CA164" s="140">
        <f t="shared" si="247"/>
        <v>-29171</v>
      </c>
      <c r="CB164" s="140">
        <f t="shared" si="247"/>
        <v>-28991</v>
      </c>
      <c r="CC164" s="17"/>
      <c r="CD164" s="17"/>
      <c r="CE164" s="17"/>
    </row>
    <row r="165" spans="1:83">
      <c r="A165" s="16" t="s">
        <v>41</v>
      </c>
      <c r="B165" s="140">
        <f>B164/360</f>
        <v>-119.50555555555556</v>
      </c>
      <c r="C165" s="140">
        <f t="shared" ref="C165:BN165" si="248">C164/360</f>
        <v>-119.00555555555556</v>
      </c>
      <c r="D165" s="140">
        <f t="shared" si="248"/>
        <v>-118.50555555555556</v>
      </c>
      <c r="E165" s="140">
        <f t="shared" si="248"/>
        <v>-118.00555555555556</v>
      </c>
      <c r="F165" s="140">
        <f t="shared" si="248"/>
        <v>-117.50555555555556</v>
      </c>
      <c r="G165" s="140">
        <f t="shared" si="248"/>
        <v>-117.00555555555556</v>
      </c>
      <c r="H165" s="140">
        <f t="shared" si="248"/>
        <v>-116.50555555555556</v>
      </c>
      <c r="I165" s="140">
        <f t="shared" si="248"/>
        <v>-116.00555555555556</v>
      </c>
      <c r="J165" s="140">
        <f t="shared" si="248"/>
        <v>-115.50555555555556</v>
      </c>
      <c r="K165" s="140">
        <f t="shared" si="248"/>
        <v>-115.00833333333334</v>
      </c>
      <c r="L165" s="140">
        <f t="shared" si="248"/>
        <v>-114.50833333333334</v>
      </c>
      <c r="M165" s="140">
        <f t="shared" si="248"/>
        <v>-114.00833333333334</v>
      </c>
      <c r="N165" s="140">
        <f t="shared" si="248"/>
        <v>-113.50833333333334</v>
      </c>
      <c r="O165" s="140">
        <f t="shared" si="248"/>
        <v>-113.00833333333334</v>
      </c>
      <c r="P165" s="140">
        <f t="shared" si="248"/>
        <v>-112.50833333333334</v>
      </c>
      <c r="Q165" s="140">
        <f t="shared" si="248"/>
        <v>-112.00833333333334</v>
      </c>
      <c r="R165" s="140">
        <f t="shared" si="248"/>
        <v>-111.50833333333334</v>
      </c>
      <c r="S165" s="140">
        <f t="shared" si="248"/>
        <v>-111.01111111111111</v>
      </c>
      <c r="T165" s="140">
        <f t="shared" si="248"/>
        <v>-110.51111111111111</v>
      </c>
      <c r="U165" s="140">
        <f t="shared" si="248"/>
        <v>-110.01111111111111</v>
      </c>
      <c r="V165" s="140">
        <f t="shared" si="248"/>
        <v>-109.51111111111111</v>
      </c>
      <c r="W165" s="140">
        <f t="shared" si="248"/>
        <v>-109.01111111111111</v>
      </c>
      <c r="X165" s="140">
        <f t="shared" si="248"/>
        <v>-108.51111111111111</v>
      </c>
      <c r="Y165" s="140">
        <f t="shared" si="248"/>
        <v>-108.01111111111111</v>
      </c>
      <c r="Z165" s="140">
        <f t="shared" si="248"/>
        <v>-107.51111111111111</v>
      </c>
      <c r="AA165" s="140">
        <f t="shared" si="248"/>
        <v>-107.01388888888889</v>
      </c>
      <c r="AB165" s="140">
        <f t="shared" si="248"/>
        <v>-106.51388888888889</v>
      </c>
      <c r="AC165" s="140">
        <f t="shared" si="248"/>
        <v>-106.01388888888889</v>
      </c>
      <c r="AD165" s="140">
        <f t="shared" si="248"/>
        <v>-105.51388888888889</v>
      </c>
      <c r="AE165" s="140">
        <f t="shared" si="248"/>
        <v>-105.01388888888889</v>
      </c>
      <c r="AF165" s="140">
        <f t="shared" si="248"/>
        <v>-104.51388888888889</v>
      </c>
      <c r="AG165" s="140">
        <f t="shared" si="248"/>
        <v>-104.01388888888889</v>
      </c>
      <c r="AH165" s="140">
        <f t="shared" si="248"/>
        <v>-103.51388888888889</v>
      </c>
      <c r="AI165" s="140">
        <f t="shared" si="248"/>
        <v>-103.01666666666667</v>
      </c>
      <c r="AJ165" s="140">
        <f t="shared" si="248"/>
        <v>-102.51666666666667</v>
      </c>
      <c r="AK165" s="140">
        <f t="shared" si="248"/>
        <v>-102.01666666666667</v>
      </c>
      <c r="AL165" s="140">
        <f t="shared" si="248"/>
        <v>-101.51666666666667</v>
      </c>
      <c r="AM165" s="140">
        <f t="shared" si="248"/>
        <v>-101.01666666666667</v>
      </c>
      <c r="AN165" s="140">
        <f t="shared" si="248"/>
        <v>-100.51666666666667</v>
      </c>
      <c r="AO165" s="140">
        <f t="shared" si="248"/>
        <v>-100.01666666666667</v>
      </c>
      <c r="AP165" s="140">
        <f t="shared" si="248"/>
        <v>-99.516666666666666</v>
      </c>
      <c r="AQ165" s="140">
        <f t="shared" si="248"/>
        <v>-99.019444444444446</v>
      </c>
      <c r="AR165" s="140">
        <f t="shared" si="248"/>
        <v>-98.519444444444446</v>
      </c>
      <c r="AS165" s="140">
        <f t="shared" si="248"/>
        <v>-98.019444444444446</v>
      </c>
      <c r="AT165" s="140">
        <f t="shared" si="248"/>
        <v>-97.519444444444446</v>
      </c>
      <c r="AU165" s="140">
        <f t="shared" si="248"/>
        <v>-97.019444444444446</v>
      </c>
      <c r="AV165" s="140">
        <f t="shared" si="248"/>
        <v>-96.519444444444446</v>
      </c>
      <c r="AW165" s="140">
        <f t="shared" si="248"/>
        <v>-96.019444444444446</v>
      </c>
      <c r="AX165" s="140">
        <f t="shared" si="248"/>
        <v>-95.519444444444446</v>
      </c>
      <c r="AY165" s="140">
        <f t="shared" si="248"/>
        <v>-95.022222222222226</v>
      </c>
      <c r="AZ165" s="140">
        <f t="shared" si="248"/>
        <v>-94.522222222222226</v>
      </c>
      <c r="BA165" s="140">
        <f t="shared" si="248"/>
        <v>-94.022222222222226</v>
      </c>
      <c r="BB165" s="140">
        <f t="shared" si="248"/>
        <v>-93.522222222222226</v>
      </c>
      <c r="BC165" s="140">
        <f t="shared" si="248"/>
        <v>-93.022222222222226</v>
      </c>
      <c r="BD165" s="140">
        <f t="shared" si="248"/>
        <v>-92.522222222222226</v>
      </c>
      <c r="BE165" s="140">
        <f t="shared" si="248"/>
        <v>-92.022222222222226</v>
      </c>
      <c r="BF165" s="140">
        <f t="shared" si="248"/>
        <v>-91.522222222222226</v>
      </c>
      <c r="BG165" s="140">
        <f t="shared" si="248"/>
        <v>-91.025000000000006</v>
      </c>
      <c r="BH165" s="140">
        <f t="shared" si="248"/>
        <v>-90.525000000000006</v>
      </c>
      <c r="BI165" s="140">
        <f t="shared" si="248"/>
        <v>-90.025000000000006</v>
      </c>
      <c r="BJ165" s="140">
        <f t="shared" si="248"/>
        <v>-89.525000000000006</v>
      </c>
      <c r="BK165" s="140">
        <f t="shared" si="248"/>
        <v>-89.025000000000006</v>
      </c>
      <c r="BL165" s="140">
        <f t="shared" si="248"/>
        <v>-88.525000000000006</v>
      </c>
      <c r="BM165" s="140">
        <f t="shared" si="248"/>
        <v>-88.025000000000006</v>
      </c>
      <c r="BN165" s="140">
        <f t="shared" si="248"/>
        <v>-87.525000000000006</v>
      </c>
      <c r="BO165" s="140">
        <f t="shared" ref="BO165:CB165" si="249">BO164/360</f>
        <v>-87.027777777777771</v>
      </c>
      <c r="BP165" s="140">
        <f t="shared" si="249"/>
        <v>-86.527777777777771</v>
      </c>
      <c r="BQ165" s="140">
        <f t="shared" si="249"/>
        <v>-86.027777777777771</v>
      </c>
      <c r="BR165" s="140">
        <f t="shared" si="249"/>
        <v>-85.527777777777771</v>
      </c>
      <c r="BS165" s="140">
        <f t="shared" si="249"/>
        <v>-85.027777777777771</v>
      </c>
      <c r="BT165" s="140">
        <f t="shared" si="249"/>
        <v>-84.527777777777771</v>
      </c>
      <c r="BU165" s="140">
        <f t="shared" si="249"/>
        <v>-84.027777777777771</v>
      </c>
      <c r="BV165" s="140">
        <f t="shared" si="249"/>
        <v>-83.527777777777771</v>
      </c>
      <c r="BW165" s="140">
        <f t="shared" si="249"/>
        <v>-83.030555555555551</v>
      </c>
      <c r="BX165" s="140">
        <f t="shared" si="249"/>
        <v>-82.530555555555551</v>
      </c>
      <c r="BY165" s="140">
        <f t="shared" si="249"/>
        <v>-82.030555555555551</v>
      </c>
      <c r="BZ165" s="140">
        <f t="shared" si="249"/>
        <v>-81.530555555555551</v>
      </c>
      <c r="CA165" s="140">
        <f t="shared" si="249"/>
        <v>-81.030555555555551</v>
      </c>
      <c r="CB165" s="140">
        <f t="shared" si="249"/>
        <v>-80.530555555555551</v>
      </c>
      <c r="CC165" s="17"/>
      <c r="CD165" s="17"/>
      <c r="CE165" s="17"/>
    </row>
    <row r="166" spans="1:83">
      <c r="A166" s="16" t="s">
        <v>43</v>
      </c>
      <c r="B166" s="140">
        <f>IF(B164&lt;0,0,$B$5+$B$6*((1-EXP(-B165/$B$9))/(B165/$B$9))+$B$7*((1-EXP(-B165/$B$9))/(B165/$B$9)-EXP(-B165/$B$9))+$B$8*((1-EXP(-B165/$B$10))/(B165/$B$10)-EXP(-B165/$B$10)))</f>
        <v>0</v>
      </c>
      <c r="C166" s="140">
        <f t="shared" ref="C166:BN166" si="250">IF(C164&lt;0,0,$B$5+$B$6*((1-EXP(-C165/$B$9))/(C165/$B$9))+$B$7*((1-EXP(-C165/$B$9))/(C165/$B$9)-EXP(-C165/$B$9))+$B$8*((1-EXP(-C165/$B$10))/(C165/$B$10)-EXP(-C165/$B$10)))</f>
        <v>0</v>
      </c>
      <c r="D166" s="140">
        <f t="shared" si="250"/>
        <v>0</v>
      </c>
      <c r="E166" s="140">
        <f t="shared" si="250"/>
        <v>0</v>
      </c>
      <c r="F166" s="140">
        <f t="shared" si="250"/>
        <v>0</v>
      </c>
      <c r="G166" s="140">
        <f t="shared" si="250"/>
        <v>0</v>
      </c>
      <c r="H166" s="140">
        <f t="shared" si="250"/>
        <v>0</v>
      </c>
      <c r="I166" s="140">
        <f t="shared" si="250"/>
        <v>0</v>
      </c>
      <c r="J166" s="140">
        <f t="shared" si="250"/>
        <v>0</v>
      </c>
      <c r="K166" s="140">
        <f t="shared" si="250"/>
        <v>0</v>
      </c>
      <c r="L166" s="140">
        <f t="shared" si="250"/>
        <v>0</v>
      </c>
      <c r="M166" s="140">
        <f t="shared" si="250"/>
        <v>0</v>
      </c>
      <c r="N166" s="140">
        <f t="shared" si="250"/>
        <v>0</v>
      </c>
      <c r="O166" s="140">
        <f t="shared" si="250"/>
        <v>0</v>
      </c>
      <c r="P166" s="140">
        <f t="shared" si="250"/>
        <v>0</v>
      </c>
      <c r="Q166" s="140">
        <f t="shared" si="250"/>
        <v>0</v>
      </c>
      <c r="R166" s="140">
        <f t="shared" si="250"/>
        <v>0</v>
      </c>
      <c r="S166" s="140">
        <f t="shared" si="250"/>
        <v>0</v>
      </c>
      <c r="T166" s="140">
        <f t="shared" si="250"/>
        <v>0</v>
      </c>
      <c r="U166" s="140">
        <f t="shared" si="250"/>
        <v>0</v>
      </c>
      <c r="V166" s="140">
        <f t="shared" si="250"/>
        <v>0</v>
      </c>
      <c r="W166" s="140">
        <f t="shared" si="250"/>
        <v>0</v>
      </c>
      <c r="X166" s="140">
        <f t="shared" si="250"/>
        <v>0</v>
      </c>
      <c r="Y166" s="140">
        <f t="shared" si="250"/>
        <v>0</v>
      </c>
      <c r="Z166" s="140">
        <f t="shared" si="250"/>
        <v>0</v>
      </c>
      <c r="AA166" s="140">
        <f t="shared" si="250"/>
        <v>0</v>
      </c>
      <c r="AB166" s="140">
        <f t="shared" si="250"/>
        <v>0</v>
      </c>
      <c r="AC166" s="140">
        <f t="shared" si="250"/>
        <v>0</v>
      </c>
      <c r="AD166" s="140">
        <f t="shared" si="250"/>
        <v>0</v>
      </c>
      <c r="AE166" s="140">
        <f t="shared" si="250"/>
        <v>0</v>
      </c>
      <c r="AF166" s="140">
        <f t="shared" si="250"/>
        <v>0</v>
      </c>
      <c r="AG166" s="140">
        <f t="shared" si="250"/>
        <v>0</v>
      </c>
      <c r="AH166" s="140">
        <f t="shared" si="250"/>
        <v>0</v>
      </c>
      <c r="AI166" s="140">
        <f t="shared" si="250"/>
        <v>0</v>
      </c>
      <c r="AJ166" s="140">
        <f t="shared" si="250"/>
        <v>0</v>
      </c>
      <c r="AK166" s="140">
        <f t="shared" si="250"/>
        <v>0</v>
      </c>
      <c r="AL166" s="140">
        <f t="shared" si="250"/>
        <v>0</v>
      </c>
      <c r="AM166" s="140">
        <f t="shared" si="250"/>
        <v>0</v>
      </c>
      <c r="AN166" s="140">
        <f t="shared" si="250"/>
        <v>0</v>
      </c>
      <c r="AO166" s="140">
        <f t="shared" si="250"/>
        <v>0</v>
      </c>
      <c r="AP166" s="140">
        <f t="shared" si="250"/>
        <v>0</v>
      </c>
      <c r="AQ166" s="140">
        <f t="shared" si="250"/>
        <v>0</v>
      </c>
      <c r="AR166" s="140">
        <f t="shared" si="250"/>
        <v>0</v>
      </c>
      <c r="AS166" s="140">
        <f t="shared" si="250"/>
        <v>0</v>
      </c>
      <c r="AT166" s="140">
        <f t="shared" si="250"/>
        <v>0</v>
      </c>
      <c r="AU166" s="140">
        <f t="shared" si="250"/>
        <v>0</v>
      </c>
      <c r="AV166" s="140">
        <f t="shared" si="250"/>
        <v>0</v>
      </c>
      <c r="AW166" s="140">
        <f t="shared" si="250"/>
        <v>0</v>
      </c>
      <c r="AX166" s="140">
        <f t="shared" si="250"/>
        <v>0</v>
      </c>
      <c r="AY166" s="140">
        <f t="shared" si="250"/>
        <v>0</v>
      </c>
      <c r="AZ166" s="140">
        <f t="shared" si="250"/>
        <v>0</v>
      </c>
      <c r="BA166" s="140">
        <f t="shared" si="250"/>
        <v>0</v>
      </c>
      <c r="BB166" s="140">
        <f t="shared" si="250"/>
        <v>0</v>
      </c>
      <c r="BC166" s="140">
        <f t="shared" si="250"/>
        <v>0</v>
      </c>
      <c r="BD166" s="140">
        <f t="shared" si="250"/>
        <v>0</v>
      </c>
      <c r="BE166" s="140">
        <f t="shared" si="250"/>
        <v>0</v>
      </c>
      <c r="BF166" s="140">
        <f t="shared" si="250"/>
        <v>0</v>
      </c>
      <c r="BG166" s="140">
        <f t="shared" si="250"/>
        <v>0</v>
      </c>
      <c r="BH166" s="140">
        <f t="shared" si="250"/>
        <v>0</v>
      </c>
      <c r="BI166" s="140">
        <f t="shared" si="250"/>
        <v>0</v>
      </c>
      <c r="BJ166" s="140">
        <f t="shared" si="250"/>
        <v>0</v>
      </c>
      <c r="BK166" s="140">
        <f t="shared" si="250"/>
        <v>0</v>
      </c>
      <c r="BL166" s="140">
        <f t="shared" si="250"/>
        <v>0</v>
      </c>
      <c r="BM166" s="140">
        <f t="shared" si="250"/>
        <v>0</v>
      </c>
      <c r="BN166" s="140">
        <f t="shared" si="250"/>
        <v>0</v>
      </c>
      <c r="BO166" s="140">
        <f t="shared" ref="BO166:CB166" si="251">IF(BO164&lt;0,0,$B$5+$B$6*((1-EXP(-BO165/$B$9))/(BO165/$B$9))+$B$7*((1-EXP(-BO165/$B$9))/(BO165/$B$9)-EXP(-BO165/$B$9))+$B$8*((1-EXP(-BO165/$B$10))/(BO165/$B$10)-EXP(-BO165/$B$10)))</f>
        <v>0</v>
      </c>
      <c r="BP166" s="140">
        <f t="shared" si="251"/>
        <v>0</v>
      </c>
      <c r="BQ166" s="140">
        <f t="shared" si="251"/>
        <v>0</v>
      </c>
      <c r="BR166" s="140">
        <f t="shared" si="251"/>
        <v>0</v>
      </c>
      <c r="BS166" s="140">
        <f t="shared" si="251"/>
        <v>0</v>
      </c>
      <c r="BT166" s="140">
        <f t="shared" si="251"/>
        <v>0</v>
      </c>
      <c r="BU166" s="140">
        <f t="shared" si="251"/>
        <v>0</v>
      </c>
      <c r="BV166" s="140">
        <f t="shared" si="251"/>
        <v>0</v>
      </c>
      <c r="BW166" s="140">
        <f t="shared" si="251"/>
        <v>0</v>
      </c>
      <c r="BX166" s="140">
        <f t="shared" si="251"/>
        <v>0</v>
      </c>
      <c r="BY166" s="140">
        <f t="shared" si="251"/>
        <v>0</v>
      </c>
      <c r="BZ166" s="140">
        <f t="shared" si="251"/>
        <v>0</v>
      </c>
      <c r="CA166" s="140">
        <f t="shared" si="251"/>
        <v>0</v>
      </c>
      <c r="CB166" s="140">
        <f t="shared" si="251"/>
        <v>0</v>
      </c>
      <c r="CC166" s="17"/>
      <c r="CD166" s="17"/>
      <c r="CE166" s="17"/>
    </row>
    <row r="167" spans="1:83">
      <c r="A167" s="16" t="s">
        <v>44</v>
      </c>
      <c r="B167" s="140">
        <f>EXP(-B166*B165)</f>
        <v>1</v>
      </c>
      <c r="C167" s="140">
        <f t="shared" ref="C167:AR167" si="252">EXP(-C166*C165)</f>
        <v>1</v>
      </c>
      <c r="D167" s="140">
        <f t="shared" si="252"/>
        <v>1</v>
      </c>
      <c r="E167" s="140">
        <f t="shared" si="252"/>
        <v>1</v>
      </c>
      <c r="F167" s="140">
        <f t="shared" si="252"/>
        <v>1</v>
      </c>
      <c r="G167" s="140">
        <f t="shared" si="252"/>
        <v>1</v>
      </c>
      <c r="H167" s="140">
        <f t="shared" si="252"/>
        <v>1</v>
      </c>
      <c r="I167" s="140">
        <f t="shared" si="252"/>
        <v>1</v>
      </c>
      <c r="J167" s="140">
        <f t="shared" si="252"/>
        <v>1</v>
      </c>
      <c r="K167" s="140">
        <f t="shared" si="252"/>
        <v>1</v>
      </c>
      <c r="L167" s="140">
        <f t="shared" si="252"/>
        <v>1</v>
      </c>
      <c r="M167" s="140">
        <f t="shared" si="252"/>
        <v>1</v>
      </c>
      <c r="N167" s="140">
        <f t="shared" si="252"/>
        <v>1</v>
      </c>
      <c r="O167" s="140">
        <f t="shared" si="252"/>
        <v>1</v>
      </c>
      <c r="P167" s="140">
        <f t="shared" si="252"/>
        <v>1</v>
      </c>
      <c r="Q167" s="140">
        <f t="shared" si="252"/>
        <v>1</v>
      </c>
      <c r="R167" s="140">
        <f t="shared" si="252"/>
        <v>1</v>
      </c>
      <c r="S167" s="140">
        <f t="shared" si="252"/>
        <v>1</v>
      </c>
      <c r="T167" s="140">
        <f t="shared" si="252"/>
        <v>1</v>
      </c>
      <c r="U167" s="140">
        <f t="shared" si="252"/>
        <v>1</v>
      </c>
      <c r="V167" s="140">
        <f t="shared" si="252"/>
        <v>1</v>
      </c>
      <c r="W167" s="140">
        <f t="shared" si="252"/>
        <v>1</v>
      </c>
      <c r="X167" s="140">
        <f t="shared" si="252"/>
        <v>1</v>
      </c>
      <c r="Y167" s="140">
        <f t="shared" si="252"/>
        <v>1</v>
      </c>
      <c r="Z167" s="140">
        <f t="shared" si="252"/>
        <v>1</v>
      </c>
      <c r="AA167" s="140">
        <f t="shared" si="252"/>
        <v>1</v>
      </c>
      <c r="AB167" s="140">
        <f t="shared" si="252"/>
        <v>1</v>
      </c>
      <c r="AC167" s="140">
        <f t="shared" si="252"/>
        <v>1</v>
      </c>
      <c r="AD167" s="140">
        <f t="shared" si="252"/>
        <v>1</v>
      </c>
      <c r="AE167" s="140">
        <f t="shared" si="252"/>
        <v>1</v>
      </c>
      <c r="AF167" s="140">
        <f t="shared" si="252"/>
        <v>1</v>
      </c>
      <c r="AG167" s="140">
        <f t="shared" si="252"/>
        <v>1</v>
      </c>
      <c r="AH167" s="140">
        <f t="shared" si="252"/>
        <v>1</v>
      </c>
      <c r="AI167" s="140">
        <f t="shared" si="252"/>
        <v>1</v>
      </c>
      <c r="AJ167" s="140">
        <f t="shared" si="252"/>
        <v>1</v>
      </c>
      <c r="AK167" s="140">
        <f t="shared" si="252"/>
        <v>1</v>
      </c>
      <c r="AL167" s="140">
        <f t="shared" si="252"/>
        <v>1</v>
      </c>
      <c r="AM167" s="140">
        <f t="shared" si="252"/>
        <v>1</v>
      </c>
      <c r="AN167" s="140">
        <f t="shared" si="252"/>
        <v>1</v>
      </c>
      <c r="AO167" s="140">
        <f t="shared" si="252"/>
        <v>1</v>
      </c>
      <c r="AP167" s="140">
        <f t="shared" si="252"/>
        <v>1</v>
      </c>
      <c r="AQ167" s="140">
        <f t="shared" si="252"/>
        <v>1</v>
      </c>
      <c r="AR167" s="140">
        <f t="shared" si="252"/>
        <v>1</v>
      </c>
      <c r="AS167" s="140">
        <f>EXP(-AS166*AS165)</f>
        <v>1</v>
      </c>
      <c r="AT167" s="140">
        <f t="shared" ref="AT167:CA167" si="253">EXP(-AT166*AT165)</f>
        <v>1</v>
      </c>
      <c r="AU167" s="140">
        <f t="shared" si="253"/>
        <v>1</v>
      </c>
      <c r="AV167" s="140">
        <f t="shared" si="253"/>
        <v>1</v>
      </c>
      <c r="AW167" s="140">
        <f t="shared" si="253"/>
        <v>1</v>
      </c>
      <c r="AX167" s="140">
        <f t="shared" si="253"/>
        <v>1</v>
      </c>
      <c r="AY167" s="140">
        <f t="shared" si="253"/>
        <v>1</v>
      </c>
      <c r="AZ167" s="140">
        <f t="shared" si="253"/>
        <v>1</v>
      </c>
      <c r="BA167" s="140">
        <f t="shared" si="253"/>
        <v>1</v>
      </c>
      <c r="BB167" s="140">
        <f t="shared" si="253"/>
        <v>1</v>
      </c>
      <c r="BC167" s="140">
        <f t="shared" si="253"/>
        <v>1</v>
      </c>
      <c r="BD167" s="140">
        <f t="shared" si="253"/>
        <v>1</v>
      </c>
      <c r="BE167" s="140">
        <f t="shared" si="253"/>
        <v>1</v>
      </c>
      <c r="BF167" s="140">
        <f t="shared" si="253"/>
        <v>1</v>
      </c>
      <c r="BG167" s="140">
        <f t="shared" si="253"/>
        <v>1</v>
      </c>
      <c r="BH167" s="140">
        <f t="shared" si="253"/>
        <v>1</v>
      </c>
      <c r="BI167" s="140">
        <f t="shared" si="253"/>
        <v>1</v>
      </c>
      <c r="BJ167" s="140">
        <f t="shared" si="253"/>
        <v>1</v>
      </c>
      <c r="BK167" s="140">
        <f t="shared" si="253"/>
        <v>1</v>
      </c>
      <c r="BL167" s="140">
        <f t="shared" si="253"/>
        <v>1</v>
      </c>
      <c r="BM167" s="140">
        <f t="shared" si="253"/>
        <v>1</v>
      </c>
      <c r="BN167" s="140">
        <f t="shared" si="253"/>
        <v>1</v>
      </c>
      <c r="BO167" s="140">
        <f t="shared" si="253"/>
        <v>1</v>
      </c>
      <c r="BP167" s="140">
        <f t="shared" si="253"/>
        <v>1</v>
      </c>
      <c r="BQ167" s="140">
        <f t="shared" si="253"/>
        <v>1</v>
      </c>
      <c r="BR167" s="140">
        <f t="shared" si="253"/>
        <v>1</v>
      </c>
      <c r="BS167" s="140">
        <f t="shared" si="253"/>
        <v>1</v>
      </c>
      <c r="BT167" s="140">
        <f t="shared" si="253"/>
        <v>1</v>
      </c>
      <c r="BU167" s="140">
        <f t="shared" si="253"/>
        <v>1</v>
      </c>
      <c r="BV167" s="140">
        <f t="shared" si="253"/>
        <v>1</v>
      </c>
      <c r="BW167" s="140">
        <f t="shared" si="253"/>
        <v>1</v>
      </c>
      <c r="BX167" s="140">
        <f t="shared" si="253"/>
        <v>1</v>
      </c>
      <c r="BY167" s="140">
        <f t="shared" si="253"/>
        <v>1</v>
      </c>
      <c r="BZ167" s="140">
        <f t="shared" si="253"/>
        <v>1</v>
      </c>
      <c r="CA167" s="140">
        <f t="shared" si="253"/>
        <v>1</v>
      </c>
      <c r="CB167" s="140">
        <f>EXP(-CB166*CB165)</f>
        <v>1</v>
      </c>
      <c r="CC167" s="17"/>
      <c r="CD167" s="17"/>
      <c r="CE167" s="17"/>
    </row>
    <row r="168" spans="1:83">
      <c r="A168" s="17"/>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17"/>
      <c r="CD168" s="17"/>
      <c r="CE168" s="17"/>
    </row>
    <row r="169" spans="1:83">
      <c r="A169" s="16" t="s">
        <v>40</v>
      </c>
      <c r="B169" s="140">
        <f t="shared" ref="B169:BM169" si="254">DAYS360($B$3,B64)</f>
        <v>-43022</v>
      </c>
      <c r="C169" s="140">
        <f t="shared" si="254"/>
        <v>-42842</v>
      </c>
      <c r="D169" s="140">
        <f t="shared" si="254"/>
        <v>-42662</v>
      </c>
      <c r="E169" s="140">
        <f t="shared" si="254"/>
        <v>-42482</v>
      </c>
      <c r="F169" s="140">
        <f t="shared" si="254"/>
        <v>-42302</v>
      </c>
      <c r="G169" s="140">
        <f t="shared" si="254"/>
        <v>-42122</v>
      </c>
      <c r="H169" s="140">
        <f t="shared" si="254"/>
        <v>-41942</v>
      </c>
      <c r="I169" s="140">
        <f t="shared" si="254"/>
        <v>-41762</v>
      </c>
      <c r="J169" s="140">
        <f t="shared" si="254"/>
        <v>-41582</v>
      </c>
      <c r="K169" s="140">
        <f t="shared" si="254"/>
        <v>-41403</v>
      </c>
      <c r="L169" s="140">
        <f t="shared" si="254"/>
        <v>-41223</v>
      </c>
      <c r="M169" s="140">
        <f t="shared" si="254"/>
        <v>-41043</v>
      </c>
      <c r="N169" s="140">
        <f t="shared" si="254"/>
        <v>-40863</v>
      </c>
      <c r="O169" s="140">
        <f t="shared" si="254"/>
        <v>-40683</v>
      </c>
      <c r="P169" s="140">
        <f t="shared" si="254"/>
        <v>-40503</v>
      </c>
      <c r="Q169" s="140">
        <f t="shared" si="254"/>
        <v>-40323</v>
      </c>
      <c r="R169" s="140">
        <f t="shared" si="254"/>
        <v>-40143</v>
      </c>
      <c r="S169" s="140">
        <f t="shared" si="254"/>
        <v>-39964</v>
      </c>
      <c r="T169" s="140">
        <f t="shared" si="254"/>
        <v>-39784</v>
      </c>
      <c r="U169" s="140">
        <f t="shared" si="254"/>
        <v>-39604</v>
      </c>
      <c r="V169" s="140">
        <f t="shared" si="254"/>
        <v>-39424</v>
      </c>
      <c r="W169" s="140">
        <f t="shared" si="254"/>
        <v>-39244</v>
      </c>
      <c r="X169" s="140">
        <f t="shared" si="254"/>
        <v>-39064</v>
      </c>
      <c r="Y169" s="140">
        <f t="shared" si="254"/>
        <v>-38884</v>
      </c>
      <c r="Z169" s="140">
        <f t="shared" si="254"/>
        <v>-38704</v>
      </c>
      <c r="AA169" s="140">
        <f t="shared" si="254"/>
        <v>-38525</v>
      </c>
      <c r="AB169" s="140">
        <f t="shared" si="254"/>
        <v>-38345</v>
      </c>
      <c r="AC169" s="140">
        <f t="shared" si="254"/>
        <v>-38165</v>
      </c>
      <c r="AD169" s="140">
        <f t="shared" si="254"/>
        <v>-37985</v>
      </c>
      <c r="AE169" s="140">
        <f t="shared" si="254"/>
        <v>-37805</v>
      </c>
      <c r="AF169" s="140">
        <f t="shared" si="254"/>
        <v>-37625</v>
      </c>
      <c r="AG169" s="140">
        <f t="shared" si="254"/>
        <v>-37445</v>
      </c>
      <c r="AH169" s="140">
        <f t="shared" si="254"/>
        <v>-37265</v>
      </c>
      <c r="AI169" s="140">
        <f t="shared" si="254"/>
        <v>-37086</v>
      </c>
      <c r="AJ169" s="140">
        <f t="shared" si="254"/>
        <v>-36906</v>
      </c>
      <c r="AK169" s="140">
        <f t="shared" si="254"/>
        <v>-36726</v>
      </c>
      <c r="AL169" s="140">
        <f t="shared" si="254"/>
        <v>-36546</v>
      </c>
      <c r="AM169" s="140">
        <f t="shared" si="254"/>
        <v>-36366</v>
      </c>
      <c r="AN169" s="140">
        <f t="shared" si="254"/>
        <v>-36186</v>
      </c>
      <c r="AO169" s="140">
        <f t="shared" si="254"/>
        <v>-36006</v>
      </c>
      <c r="AP169" s="140">
        <f t="shared" si="254"/>
        <v>-35826</v>
      </c>
      <c r="AQ169" s="140">
        <f t="shared" si="254"/>
        <v>-35647</v>
      </c>
      <c r="AR169" s="140">
        <f t="shared" si="254"/>
        <v>-35467</v>
      </c>
      <c r="AS169" s="140">
        <f t="shared" si="254"/>
        <v>-35287</v>
      </c>
      <c r="AT169" s="140">
        <f t="shared" si="254"/>
        <v>-35107</v>
      </c>
      <c r="AU169" s="140">
        <f t="shared" si="254"/>
        <v>-34927</v>
      </c>
      <c r="AV169" s="140">
        <f t="shared" si="254"/>
        <v>-34747</v>
      </c>
      <c r="AW169" s="140">
        <f t="shared" si="254"/>
        <v>-34567</v>
      </c>
      <c r="AX169" s="140">
        <f t="shared" si="254"/>
        <v>-34387</v>
      </c>
      <c r="AY169" s="140">
        <f t="shared" si="254"/>
        <v>-34208</v>
      </c>
      <c r="AZ169" s="140">
        <f t="shared" si="254"/>
        <v>-34028</v>
      </c>
      <c r="BA169" s="140">
        <f t="shared" si="254"/>
        <v>-33848</v>
      </c>
      <c r="BB169" s="140">
        <f t="shared" si="254"/>
        <v>-33668</v>
      </c>
      <c r="BC169" s="140">
        <f t="shared" si="254"/>
        <v>-33488</v>
      </c>
      <c r="BD169" s="140">
        <f t="shared" si="254"/>
        <v>-33308</v>
      </c>
      <c r="BE169" s="140">
        <f t="shared" si="254"/>
        <v>-33128</v>
      </c>
      <c r="BF169" s="140">
        <f t="shared" si="254"/>
        <v>-32948</v>
      </c>
      <c r="BG169" s="140">
        <f t="shared" si="254"/>
        <v>-32769</v>
      </c>
      <c r="BH169" s="140">
        <f t="shared" si="254"/>
        <v>-32589</v>
      </c>
      <c r="BI169" s="140">
        <f t="shared" si="254"/>
        <v>-32409</v>
      </c>
      <c r="BJ169" s="140">
        <f t="shared" si="254"/>
        <v>-32229</v>
      </c>
      <c r="BK169" s="140">
        <f t="shared" si="254"/>
        <v>-32049</v>
      </c>
      <c r="BL169" s="140">
        <f t="shared" si="254"/>
        <v>-31869</v>
      </c>
      <c r="BM169" s="140">
        <f t="shared" si="254"/>
        <v>-31689</v>
      </c>
      <c r="BN169" s="140">
        <f t="shared" ref="BN169:CB169" si="255">DAYS360($B$3,BN64)</f>
        <v>-31509</v>
      </c>
      <c r="BO169" s="140">
        <f t="shared" si="255"/>
        <v>-31330</v>
      </c>
      <c r="BP169" s="140">
        <f t="shared" si="255"/>
        <v>-31150</v>
      </c>
      <c r="BQ169" s="140">
        <f t="shared" si="255"/>
        <v>-30970</v>
      </c>
      <c r="BR169" s="140">
        <f t="shared" si="255"/>
        <v>-30790</v>
      </c>
      <c r="BS169" s="140">
        <f t="shared" si="255"/>
        <v>-30610</v>
      </c>
      <c r="BT169" s="140">
        <f t="shared" si="255"/>
        <v>-30430</v>
      </c>
      <c r="BU169" s="140">
        <f t="shared" si="255"/>
        <v>-30250</v>
      </c>
      <c r="BV169" s="140">
        <f t="shared" si="255"/>
        <v>-30070</v>
      </c>
      <c r="BW169" s="140">
        <f t="shared" si="255"/>
        <v>-29891</v>
      </c>
      <c r="BX169" s="140">
        <f t="shared" si="255"/>
        <v>-29711</v>
      </c>
      <c r="BY169" s="140">
        <f t="shared" si="255"/>
        <v>-29531</v>
      </c>
      <c r="BZ169" s="140">
        <f t="shared" si="255"/>
        <v>-29351</v>
      </c>
      <c r="CA169" s="140">
        <f t="shared" si="255"/>
        <v>-29171</v>
      </c>
      <c r="CB169" s="140">
        <f t="shared" si="255"/>
        <v>-28991</v>
      </c>
      <c r="CC169" s="17"/>
      <c r="CD169" s="17"/>
      <c r="CE169" s="17"/>
    </row>
    <row r="170" spans="1:83">
      <c r="A170" s="16" t="s">
        <v>41</v>
      </c>
      <c r="B170" s="140">
        <f>B169/360</f>
        <v>-119.50555555555556</v>
      </c>
      <c r="C170" s="140">
        <f t="shared" ref="C170:BN170" si="256">C169/360</f>
        <v>-119.00555555555556</v>
      </c>
      <c r="D170" s="140">
        <f t="shared" si="256"/>
        <v>-118.50555555555556</v>
      </c>
      <c r="E170" s="140">
        <f t="shared" si="256"/>
        <v>-118.00555555555556</v>
      </c>
      <c r="F170" s="140">
        <f t="shared" si="256"/>
        <v>-117.50555555555556</v>
      </c>
      <c r="G170" s="140">
        <f t="shared" si="256"/>
        <v>-117.00555555555556</v>
      </c>
      <c r="H170" s="140">
        <f t="shared" si="256"/>
        <v>-116.50555555555556</v>
      </c>
      <c r="I170" s="140">
        <f t="shared" si="256"/>
        <v>-116.00555555555556</v>
      </c>
      <c r="J170" s="140">
        <f t="shared" si="256"/>
        <v>-115.50555555555556</v>
      </c>
      <c r="K170" s="140">
        <f t="shared" si="256"/>
        <v>-115.00833333333334</v>
      </c>
      <c r="L170" s="140">
        <f t="shared" si="256"/>
        <v>-114.50833333333334</v>
      </c>
      <c r="M170" s="140">
        <f t="shared" si="256"/>
        <v>-114.00833333333334</v>
      </c>
      <c r="N170" s="140">
        <f t="shared" si="256"/>
        <v>-113.50833333333334</v>
      </c>
      <c r="O170" s="140">
        <f t="shared" si="256"/>
        <v>-113.00833333333334</v>
      </c>
      <c r="P170" s="140">
        <f t="shared" si="256"/>
        <v>-112.50833333333334</v>
      </c>
      <c r="Q170" s="140">
        <f t="shared" si="256"/>
        <v>-112.00833333333334</v>
      </c>
      <c r="R170" s="140">
        <f t="shared" si="256"/>
        <v>-111.50833333333334</v>
      </c>
      <c r="S170" s="140">
        <f t="shared" si="256"/>
        <v>-111.01111111111111</v>
      </c>
      <c r="T170" s="140">
        <f t="shared" si="256"/>
        <v>-110.51111111111111</v>
      </c>
      <c r="U170" s="140">
        <f t="shared" si="256"/>
        <v>-110.01111111111111</v>
      </c>
      <c r="V170" s="140">
        <f t="shared" si="256"/>
        <v>-109.51111111111111</v>
      </c>
      <c r="W170" s="140">
        <f t="shared" si="256"/>
        <v>-109.01111111111111</v>
      </c>
      <c r="X170" s="140">
        <f t="shared" si="256"/>
        <v>-108.51111111111111</v>
      </c>
      <c r="Y170" s="140">
        <f t="shared" si="256"/>
        <v>-108.01111111111111</v>
      </c>
      <c r="Z170" s="140">
        <f t="shared" si="256"/>
        <v>-107.51111111111111</v>
      </c>
      <c r="AA170" s="140">
        <f t="shared" si="256"/>
        <v>-107.01388888888889</v>
      </c>
      <c r="AB170" s="140">
        <f t="shared" si="256"/>
        <v>-106.51388888888889</v>
      </c>
      <c r="AC170" s="140">
        <f t="shared" si="256"/>
        <v>-106.01388888888889</v>
      </c>
      <c r="AD170" s="140">
        <f t="shared" si="256"/>
        <v>-105.51388888888889</v>
      </c>
      <c r="AE170" s="140">
        <f t="shared" si="256"/>
        <v>-105.01388888888889</v>
      </c>
      <c r="AF170" s="140">
        <f t="shared" si="256"/>
        <v>-104.51388888888889</v>
      </c>
      <c r="AG170" s="140">
        <f t="shared" si="256"/>
        <v>-104.01388888888889</v>
      </c>
      <c r="AH170" s="140">
        <f t="shared" si="256"/>
        <v>-103.51388888888889</v>
      </c>
      <c r="AI170" s="140">
        <f t="shared" si="256"/>
        <v>-103.01666666666667</v>
      </c>
      <c r="AJ170" s="140">
        <f t="shared" si="256"/>
        <v>-102.51666666666667</v>
      </c>
      <c r="AK170" s="140">
        <f t="shared" si="256"/>
        <v>-102.01666666666667</v>
      </c>
      <c r="AL170" s="140">
        <f t="shared" si="256"/>
        <v>-101.51666666666667</v>
      </c>
      <c r="AM170" s="140">
        <f t="shared" si="256"/>
        <v>-101.01666666666667</v>
      </c>
      <c r="AN170" s="140">
        <f t="shared" si="256"/>
        <v>-100.51666666666667</v>
      </c>
      <c r="AO170" s="140">
        <f t="shared" si="256"/>
        <v>-100.01666666666667</v>
      </c>
      <c r="AP170" s="140">
        <f t="shared" si="256"/>
        <v>-99.516666666666666</v>
      </c>
      <c r="AQ170" s="140">
        <f t="shared" si="256"/>
        <v>-99.019444444444446</v>
      </c>
      <c r="AR170" s="140">
        <f t="shared" si="256"/>
        <v>-98.519444444444446</v>
      </c>
      <c r="AS170" s="140">
        <f t="shared" si="256"/>
        <v>-98.019444444444446</v>
      </c>
      <c r="AT170" s="140">
        <f t="shared" si="256"/>
        <v>-97.519444444444446</v>
      </c>
      <c r="AU170" s="140">
        <f t="shared" si="256"/>
        <v>-97.019444444444446</v>
      </c>
      <c r="AV170" s="140">
        <f t="shared" si="256"/>
        <v>-96.519444444444446</v>
      </c>
      <c r="AW170" s="140">
        <f t="shared" si="256"/>
        <v>-96.019444444444446</v>
      </c>
      <c r="AX170" s="140">
        <f t="shared" si="256"/>
        <v>-95.519444444444446</v>
      </c>
      <c r="AY170" s="140">
        <f t="shared" si="256"/>
        <v>-95.022222222222226</v>
      </c>
      <c r="AZ170" s="140">
        <f t="shared" si="256"/>
        <v>-94.522222222222226</v>
      </c>
      <c r="BA170" s="140">
        <f t="shared" si="256"/>
        <v>-94.022222222222226</v>
      </c>
      <c r="BB170" s="140">
        <f t="shared" si="256"/>
        <v>-93.522222222222226</v>
      </c>
      <c r="BC170" s="140">
        <f t="shared" si="256"/>
        <v>-93.022222222222226</v>
      </c>
      <c r="BD170" s="140">
        <f t="shared" si="256"/>
        <v>-92.522222222222226</v>
      </c>
      <c r="BE170" s="140">
        <f t="shared" si="256"/>
        <v>-92.022222222222226</v>
      </c>
      <c r="BF170" s="140">
        <f t="shared" si="256"/>
        <v>-91.522222222222226</v>
      </c>
      <c r="BG170" s="140">
        <f t="shared" si="256"/>
        <v>-91.025000000000006</v>
      </c>
      <c r="BH170" s="140">
        <f t="shared" si="256"/>
        <v>-90.525000000000006</v>
      </c>
      <c r="BI170" s="140">
        <f t="shared" si="256"/>
        <v>-90.025000000000006</v>
      </c>
      <c r="BJ170" s="140">
        <f t="shared" si="256"/>
        <v>-89.525000000000006</v>
      </c>
      <c r="BK170" s="140">
        <f t="shared" si="256"/>
        <v>-89.025000000000006</v>
      </c>
      <c r="BL170" s="140">
        <f t="shared" si="256"/>
        <v>-88.525000000000006</v>
      </c>
      <c r="BM170" s="140">
        <f t="shared" si="256"/>
        <v>-88.025000000000006</v>
      </c>
      <c r="BN170" s="140">
        <f t="shared" si="256"/>
        <v>-87.525000000000006</v>
      </c>
      <c r="BO170" s="140">
        <f t="shared" ref="BO170:CB170" si="257">BO169/360</f>
        <v>-87.027777777777771</v>
      </c>
      <c r="BP170" s="140">
        <f t="shared" si="257"/>
        <v>-86.527777777777771</v>
      </c>
      <c r="BQ170" s="140">
        <f t="shared" si="257"/>
        <v>-86.027777777777771</v>
      </c>
      <c r="BR170" s="140">
        <f t="shared" si="257"/>
        <v>-85.527777777777771</v>
      </c>
      <c r="BS170" s="140">
        <f t="shared" si="257"/>
        <v>-85.027777777777771</v>
      </c>
      <c r="BT170" s="140">
        <f t="shared" si="257"/>
        <v>-84.527777777777771</v>
      </c>
      <c r="BU170" s="140">
        <f t="shared" si="257"/>
        <v>-84.027777777777771</v>
      </c>
      <c r="BV170" s="140">
        <f t="shared" si="257"/>
        <v>-83.527777777777771</v>
      </c>
      <c r="BW170" s="140">
        <f t="shared" si="257"/>
        <v>-83.030555555555551</v>
      </c>
      <c r="BX170" s="140">
        <f t="shared" si="257"/>
        <v>-82.530555555555551</v>
      </c>
      <c r="BY170" s="140">
        <f t="shared" si="257"/>
        <v>-82.030555555555551</v>
      </c>
      <c r="BZ170" s="140">
        <f t="shared" si="257"/>
        <v>-81.530555555555551</v>
      </c>
      <c r="CA170" s="140">
        <f t="shared" si="257"/>
        <v>-81.030555555555551</v>
      </c>
      <c r="CB170" s="140">
        <f t="shared" si="257"/>
        <v>-80.530555555555551</v>
      </c>
      <c r="CC170" s="17"/>
      <c r="CD170" s="17"/>
      <c r="CE170" s="17"/>
    </row>
    <row r="171" spans="1:83">
      <c r="A171" s="16" t="s">
        <v>43</v>
      </c>
      <c r="B171" s="140">
        <f>IF(B169&lt;0,0,$B$5+$B$6*((1-EXP(-B170/$B$9))/(B170/$B$9))+$B$7*((1-EXP(-B170/$B$9))/(B170/$B$9)-EXP(-B170/$B$9))+$B$8*((1-EXP(-B170/$B$10))/(B170/$B$10)-EXP(-B170/$B$10)))</f>
        <v>0</v>
      </c>
      <c r="C171" s="140">
        <f t="shared" ref="C171:BN171" si="258">IF(C169&lt;0,0,$B$5+$B$6*((1-EXP(-C170/$B$9))/(C170/$B$9))+$B$7*((1-EXP(-C170/$B$9))/(C170/$B$9)-EXP(-C170/$B$9))+$B$8*((1-EXP(-C170/$B$10))/(C170/$B$10)-EXP(-C170/$B$10)))</f>
        <v>0</v>
      </c>
      <c r="D171" s="140">
        <f t="shared" si="258"/>
        <v>0</v>
      </c>
      <c r="E171" s="140">
        <f t="shared" si="258"/>
        <v>0</v>
      </c>
      <c r="F171" s="140">
        <f t="shared" si="258"/>
        <v>0</v>
      </c>
      <c r="G171" s="140">
        <f t="shared" si="258"/>
        <v>0</v>
      </c>
      <c r="H171" s="140">
        <f t="shared" si="258"/>
        <v>0</v>
      </c>
      <c r="I171" s="140">
        <f t="shared" si="258"/>
        <v>0</v>
      </c>
      <c r="J171" s="140">
        <f t="shared" si="258"/>
        <v>0</v>
      </c>
      <c r="K171" s="140">
        <f t="shared" si="258"/>
        <v>0</v>
      </c>
      <c r="L171" s="140">
        <f t="shared" si="258"/>
        <v>0</v>
      </c>
      <c r="M171" s="140">
        <f t="shared" si="258"/>
        <v>0</v>
      </c>
      <c r="N171" s="140">
        <f t="shared" si="258"/>
        <v>0</v>
      </c>
      <c r="O171" s="140">
        <f t="shared" si="258"/>
        <v>0</v>
      </c>
      <c r="P171" s="140">
        <f t="shared" si="258"/>
        <v>0</v>
      </c>
      <c r="Q171" s="140">
        <f t="shared" si="258"/>
        <v>0</v>
      </c>
      <c r="R171" s="140">
        <f t="shared" si="258"/>
        <v>0</v>
      </c>
      <c r="S171" s="140">
        <f t="shared" si="258"/>
        <v>0</v>
      </c>
      <c r="T171" s="140">
        <f t="shared" si="258"/>
        <v>0</v>
      </c>
      <c r="U171" s="140">
        <f t="shared" si="258"/>
        <v>0</v>
      </c>
      <c r="V171" s="140">
        <f t="shared" si="258"/>
        <v>0</v>
      </c>
      <c r="W171" s="140">
        <f t="shared" si="258"/>
        <v>0</v>
      </c>
      <c r="X171" s="140">
        <f t="shared" si="258"/>
        <v>0</v>
      </c>
      <c r="Y171" s="140">
        <f t="shared" si="258"/>
        <v>0</v>
      </c>
      <c r="Z171" s="140">
        <f t="shared" si="258"/>
        <v>0</v>
      </c>
      <c r="AA171" s="140">
        <f t="shared" si="258"/>
        <v>0</v>
      </c>
      <c r="AB171" s="140">
        <f t="shared" si="258"/>
        <v>0</v>
      </c>
      <c r="AC171" s="140">
        <f t="shared" si="258"/>
        <v>0</v>
      </c>
      <c r="AD171" s="140">
        <f t="shared" si="258"/>
        <v>0</v>
      </c>
      <c r="AE171" s="140">
        <f t="shared" si="258"/>
        <v>0</v>
      </c>
      <c r="AF171" s="140">
        <f t="shared" si="258"/>
        <v>0</v>
      </c>
      <c r="AG171" s="140">
        <f t="shared" si="258"/>
        <v>0</v>
      </c>
      <c r="AH171" s="140">
        <f t="shared" si="258"/>
        <v>0</v>
      </c>
      <c r="AI171" s="140">
        <f t="shared" si="258"/>
        <v>0</v>
      </c>
      <c r="AJ171" s="140">
        <f t="shared" si="258"/>
        <v>0</v>
      </c>
      <c r="AK171" s="140">
        <f t="shared" si="258"/>
        <v>0</v>
      </c>
      <c r="AL171" s="140">
        <f t="shared" si="258"/>
        <v>0</v>
      </c>
      <c r="AM171" s="140">
        <f t="shared" si="258"/>
        <v>0</v>
      </c>
      <c r="AN171" s="140">
        <f t="shared" si="258"/>
        <v>0</v>
      </c>
      <c r="AO171" s="140">
        <f t="shared" si="258"/>
        <v>0</v>
      </c>
      <c r="AP171" s="140">
        <f t="shared" si="258"/>
        <v>0</v>
      </c>
      <c r="AQ171" s="140">
        <f t="shared" si="258"/>
        <v>0</v>
      </c>
      <c r="AR171" s="140">
        <f t="shared" si="258"/>
        <v>0</v>
      </c>
      <c r="AS171" s="140">
        <f t="shared" si="258"/>
        <v>0</v>
      </c>
      <c r="AT171" s="140">
        <f t="shared" si="258"/>
        <v>0</v>
      </c>
      <c r="AU171" s="140">
        <f t="shared" si="258"/>
        <v>0</v>
      </c>
      <c r="AV171" s="140">
        <f t="shared" si="258"/>
        <v>0</v>
      </c>
      <c r="AW171" s="140">
        <f t="shared" si="258"/>
        <v>0</v>
      </c>
      <c r="AX171" s="140">
        <f t="shared" si="258"/>
        <v>0</v>
      </c>
      <c r="AY171" s="140">
        <f t="shared" si="258"/>
        <v>0</v>
      </c>
      <c r="AZ171" s="140">
        <f t="shared" si="258"/>
        <v>0</v>
      </c>
      <c r="BA171" s="140">
        <f t="shared" si="258"/>
        <v>0</v>
      </c>
      <c r="BB171" s="140">
        <f t="shared" si="258"/>
        <v>0</v>
      </c>
      <c r="BC171" s="140">
        <f t="shared" si="258"/>
        <v>0</v>
      </c>
      <c r="BD171" s="140">
        <f t="shared" si="258"/>
        <v>0</v>
      </c>
      <c r="BE171" s="140">
        <f t="shared" si="258"/>
        <v>0</v>
      </c>
      <c r="BF171" s="140">
        <f t="shared" si="258"/>
        <v>0</v>
      </c>
      <c r="BG171" s="140">
        <f t="shared" si="258"/>
        <v>0</v>
      </c>
      <c r="BH171" s="140">
        <f t="shared" si="258"/>
        <v>0</v>
      </c>
      <c r="BI171" s="140">
        <f t="shared" si="258"/>
        <v>0</v>
      </c>
      <c r="BJ171" s="140">
        <f t="shared" si="258"/>
        <v>0</v>
      </c>
      <c r="BK171" s="140">
        <f t="shared" si="258"/>
        <v>0</v>
      </c>
      <c r="BL171" s="140">
        <f t="shared" si="258"/>
        <v>0</v>
      </c>
      <c r="BM171" s="140">
        <f t="shared" si="258"/>
        <v>0</v>
      </c>
      <c r="BN171" s="140">
        <f t="shared" si="258"/>
        <v>0</v>
      </c>
      <c r="BO171" s="140">
        <f t="shared" ref="BO171:CB171" si="259">IF(BO169&lt;0,0,$B$5+$B$6*((1-EXP(-BO170/$B$9))/(BO170/$B$9))+$B$7*((1-EXP(-BO170/$B$9))/(BO170/$B$9)-EXP(-BO170/$B$9))+$B$8*((1-EXP(-BO170/$B$10))/(BO170/$B$10)-EXP(-BO170/$B$10)))</f>
        <v>0</v>
      </c>
      <c r="BP171" s="140">
        <f t="shared" si="259"/>
        <v>0</v>
      </c>
      <c r="BQ171" s="140">
        <f t="shared" si="259"/>
        <v>0</v>
      </c>
      <c r="BR171" s="140">
        <f t="shared" si="259"/>
        <v>0</v>
      </c>
      <c r="BS171" s="140">
        <f t="shared" si="259"/>
        <v>0</v>
      </c>
      <c r="BT171" s="140">
        <f t="shared" si="259"/>
        <v>0</v>
      </c>
      <c r="BU171" s="140">
        <f t="shared" si="259"/>
        <v>0</v>
      </c>
      <c r="BV171" s="140">
        <f t="shared" si="259"/>
        <v>0</v>
      </c>
      <c r="BW171" s="140">
        <f t="shared" si="259"/>
        <v>0</v>
      </c>
      <c r="BX171" s="140">
        <f t="shared" si="259"/>
        <v>0</v>
      </c>
      <c r="BY171" s="140">
        <f t="shared" si="259"/>
        <v>0</v>
      </c>
      <c r="BZ171" s="140">
        <f t="shared" si="259"/>
        <v>0</v>
      </c>
      <c r="CA171" s="140">
        <f t="shared" si="259"/>
        <v>0</v>
      </c>
      <c r="CB171" s="140">
        <f t="shared" si="259"/>
        <v>0</v>
      </c>
      <c r="CC171" s="17"/>
      <c r="CD171" s="17"/>
      <c r="CE171" s="17"/>
    </row>
    <row r="172" spans="1:83">
      <c r="A172" s="16" t="s">
        <v>44</v>
      </c>
      <c r="B172" s="140">
        <f>EXP(-B171*B170)</f>
        <v>1</v>
      </c>
      <c r="C172" s="140">
        <f t="shared" ref="C172:AR172" si="260">EXP(-C171*C170)</f>
        <v>1</v>
      </c>
      <c r="D172" s="140">
        <f t="shared" si="260"/>
        <v>1</v>
      </c>
      <c r="E172" s="140">
        <f t="shared" si="260"/>
        <v>1</v>
      </c>
      <c r="F172" s="140">
        <f t="shared" si="260"/>
        <v>1</v>
      </c>
      <c r="G172" s="140">
        <f t="shared" si="260"/>
        <v>1</v>
      </c>
      <c r="H172" s="140">
        <f t="shared" si="260"/>
        <v>1</v>
      </c>
      <c r="I172" s="140">
        <f t="shared" si="260"/>
        <v>1</v>
      </c>
      <c r="J172" s="140">
        <f t="shared" si="260"/>
        <v>1</v>
      </c>
      <c r="K172" s="140">
        <f t="shared" si="260"/>
        <v>1</v>
      </c>
      <c r="L172" s="140">
        <f t="shared" si="260"/>
        <v>1</v>
      </c>
      <c r="M172" s="140">
        <f t="shared" si="260"/>
        <v>1</v>
      </c>
      <c r="N172" s="140">
        <f t="shared" si="260"/>
        <v>1</v>
      </c>
      <c r="O172" s="140">
        <f t="shared" si="260"/>
        <v>1</v>
      </c>
      <c r="P172" s="140">
        <f t="shared" si="260"/>
        <v>1</v>
      </c>
      <c r="Q172" s="140">
        <f t="shared" si="260"/>
        <v>1</v>
      </c>
      <c r="R172" s="140">
        <f t="shared" si="260"/>
        <v>1</v>
      </c>
      <c r="S172" s="140">
        <f t="shared" si="260"/>
        <v>1</v>
      </c>
      <c r="T172" s="140">
        <f t="shared" si="260"/>
        <v>1</v>
      </c>
      <c r="U172" s="140">
        <f t="shared" si="260"/>
        <v>1</v>
      </c>
      <c r="V172" s="140">
        <f t="shared" si="260"/>
        <v>1</v>
      </c>
      <c r="W172" s="140">
        <f t="shared" si="260"/>
        <v>1</v>
      </c>
      <c r="X172" s="140">
        <f t="shared" si="260"/>
        <v>1</v>
      </c>
      <c r="Y172" s="140">
        <f t="shared" si="260"/>
        <v>1</v>
      </c>
      <c r="Z172" s="140">
        <f t="shared" si="260"/>
        <v>1</v>
      </c>
      <c r="AA172" s="140">
        <f t="shared" si="260"/>
        <v>1</v>
      </c>
      <c r="AB172" s="140">
        <f t="shared" si="260"/>
        <v>1</v>
      </c>
      <c r="AC172" s="140">
        <f t="shared" si="260"/>
        <v>1</v>
      </c>
      <c r="AD172" s="140">
        <f t="shared" si="260"/>
        <v>1</v>
      </c>
      <c r="AE172" s="140">
        <f t="shared" si="260"/>
        <v>1</v>
      </c>
      <c r="AF172" s="140">
        <f t="shared" si="260"/>
        <v>1</v>
      </c>
      <c r="AG172" s="140">
        <f t="shared" si="260"/>
        <v>1</v>
      </c>
      <c r="AH172" s="140">
        <f t="shared" si="260"/>
        <v>1</v>
      </c>
      <c r="AI172" s="140">
        <f t="shared" si="260"/>
        <v>1</v>
      </c>
      <c r="AJ172" s="140">
        <f t="shared" si="260"/>
        <v>1</v>
      </c>
      <c r="AK172" s="140">
        <f t="shared" si="260"/>
        <v>1</v>
      </c>
      <c r="AL172" s="140">
        <f t="shared" si="260"/>
        <v>1</v>
      </c>
      <c r="AM172" s="140">
        <f t="shared" si="260"/>
        <v>1</v>
      </c>
      <c r="AN172" s="140">
        <f t="shared" si="260"/>
        <v>1</v>
      </c>
      <c r="AO172" s="140">
        <f t="shared" si="260"/>
        <v>1</v>
      </c>
      <c r="AP172" s="140">
        <f t="shared" si="260"/>
        <v>1</v>
      </c>
      <c r="AQ172" s="140">
        <f t="shared" si="260"/>
        <v>1</v>
      </c>
      <c r="AR172" s="140">
        <f t="shared" si="260"/>
        <v>1</v>
      </c>
      <c r="AS172" s="140">
        <f>EXP(-AS171*AS170)</f>
        <v>1</v>
      </c>
      <c r="AT172" s="140">
        <f t="shared" ref="AT172:CA172" si="261">EXP(-AT171*AT170)</f>
        <v>1</v>
      </c>
      <c r="AU172" s="140">
        <f t="shared" si="261"/>
        <v>1</v>
      </c>
      <c r="AV172" s="140">
        <f t="shared" si="261"/>
        <v>1</v>
      </c>
      <c r="AW172" s="140">
        <f t="shared" si="261"/>
        <v>1</v>
      </c>
      <c r="AX172" s="140">
        <f t="shared" si="261"/>
        <v>1</v>
      </c>
      <c r="AY172" s="140">
        <f t="shared" si="261"/>
        <v>1</v>
      </c>
      <c r="AZ172" s="140">
        <f t="shared" si="261"/>
        <v>1</v>
      </c>
      <c r="BA172" s="140">
        <f t="shared" si="261"/>
        <v>1</v>
      </c>
      <c r="BB172" s="140">
        <f t="shared" si="261"/>
        <v>1</v>
      </c>
      <c r="BC172" s="140">
        <f t="shared" si="261"/>
        <v>1</v>
      </c>
      <c r="BD172" s="140">
        <f t="shared" si="261"/>
        <v>1</v>
      </c>
      <c r="BE172" s="140">
        <f t="shared" si="261"/>
        <v>1</v>
      </c>
      <c r="BF172" s="140">
        <f t="shared" si="261"/>
        <v>1</v>
      </c>
      <c r="BG172" s="140">
        <f t="shared" si="261"/>
        <v>1</v>
      </c>
      <c r="BH172" s="140">
        <f t="shared" si="261"/>
        <v>1</v>
      </c>
      <c r="BI172" s="140">
        <f t="shared" si="261"/>
        <v>1</v>
      </c>
      <c r="BJ172" s="140">
        <f t="shared" si="261"/>
        <v>1</v>
      </c>
      <c r="BK172" s="140">
        <f t="shared" si="261"/>
        <v>1</v>
      </c>
      <c r="BL172" s="140">
        <f t="shared" si="261"/>
        <v>1</v>
      </c>
      <c r="BM172" s="140">
        <f t="shared" si="261"/>
        <v>1</v>
      </c>
      <c r="BN172" s="140">
        <f t="shared" si="261"/>
        <v>1</v>
      </c>
      <c r="BO172" s="140">
        <f t="shared" si="261"/>
        <v>1</v>
      </c>
      <c r="BP172" s="140">
        <f t="shared" si="261"/>
        <v>1</v>
      </c>
      <c r="BQ172" s="140">
        <f t="shared" si="261"/>
        <v>1</v>
      </c>
      <c r="BR172" s="140">
        <f t="shared" si="261"/>
        <v>1</v>
      </c>
      <c r="BS172" s="140">
        <f t="shared" si="261"/>
        <v>1</v>
      </c>
      <c r="BT172" s="140">
        <f t="shared" si="261"/>
        <v>1</v>
      </c>
      <c r="BU172" s="140">
        <f t="shared" si="261"/>
        <v>1</v>
      </c>
      <c r="BV172" s="140">
        <f t="shared" si="261"/>
        <v>1</v>
      </c>
      <c r="BW172" s="140">
        <f t="shared" si="261"/>
        <v>1</v>
      </c>
      <c r="BX172" s="140">
        <f t="shared" si="261"/>
        <v>1</v>
      </c>
      <c r="BY172" s="140">
        <f t="shared" si="261"/>
        <v>1</v>
      </c>
      <c r="BZ172" s="140">
        <f t="shared" si="261"/>
        <v>1</v>
      </c>
      <c r="CA172" s="140">
        <f t="shared" si="261"/>
        <v>1</v>
      </c>
      <c r="CB172" s="140">
        <f>EXP(-CB171*CB170)</f>
        <v>1</v>
      </c>
      <c r="CC172" s="17"/>
      <c r="CD172" s="17"/>
      <c r="CE172" s="17"/>
    </row>
    <row r="173" spans="1:83">
      <c r="A173" s="17"/>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17"/>
      <c r="CD173" s="17"/>
      <c r="CE173" s="17"/>
    </row>
    <row r="174" spans="1:83">
      <c r="A174" s="16" t="s">
        <v>40</v>
      </c>
      <c r="B174" s="140">
        <f t="shared" ref="B174:BM174" si="262">DAYS360($B$3,B66)</f>
        <v>-43022</v>
      </c>
      <c r="C174" s="140">
        <f t="shared" si="262"/>
        <v>-42842</v>
      </c>
      <c r="D174" s="140">
        <f t="shared" si="262"/>
        <v>-42662</v>
      </c>
      <c r="E174" s="140">
        <f t="shared" si="262"/>
        <v>-42482</v>
      </c>
      <c r="F174" s="140">
        <f t="shared" si="262"/>
        <v>-42302</v>
      </c>
      <c r="G174" s="140">
        <f t="shared" si="262"/>
        <v>-42122</v>
      </c>
      <c r="H174" s="140">
        <f t="shared" si="262"/>
        <v>-41942</v>
      </c>
      <c r="I174" s="140">
        <f t="shared" si="262"/>
        <v>-41762</v>
      </c>
      <c r="J174" s="140">
        <f t="shared" si="262"/>
        <v>-41582</v>
      </c>
      <c r="K174" s="140">
        <f t="shared" si="262"/>
        <v>-41403</v>
      </c>
      <c r="L174" s="140">
        <f t="shared" si="262"/>
        <v>-41223</v>
      </c>
      <c r="M174" s="140">
        <f t="shared" si="262"/>
        <v>-41043</v>
      </c>
      <c r="N174" s="140">
        <f t="shared" si="262"/>
        <v>-40863</v>
      </c>
      <c r="O174" s="140">
        <f t="shared" si="262"/>
        <v>-40683</v>
      </c>
      <c r="P174" s="140">
        <f t="shared" si="262"/>
        <v>-40503</v>
      </c>
      <c r="Q174" s="140">
        <f t="shared" si="262"/>
        <v>-40323</v>
      </c>
      <c r="R174" s="140">
        <f t="shared" si="262"/>
        <v>-40143</v>
      </c>
      <c r="S174" s="140">
        <f t="shared" si="262"/>
        <v>-39964</v>
      </c>
      <c r="T174" s="140">
        <f t="shared" si="262"/>
        <v>-39784</v>
      </c>
      <c r="U174" s="140">
        <f t="shared" si="262"/>
        <v>-39604</v>
      </c>
      <c r="V174" s="140">
        <f t="shared" si="262"/>
        <v>-39424</v>
      </c>
      <c r="W174" s="140">
        <f t="shared" si="262"/>
        <v>-39244</v>
      </c>
      <c r="X174" s="140">
        <f t="shared" si="262"/>
        <v>-39064</v>
      </c>
      <c r="Y174" s="140">
        <f t="shared" si="262"/>
        <v>-38884</v>
      </c>
      <c r="Z174" s="140">
        <f t="shared" si="262"/>
        <v>-38704</v>
      </c>
      <c r="AA174" s="140">
        <f t="shared" si="262"/>
        <v>-38525</v>
      </c>
      <c r="AB174" s="140">
        <f t="shared" si="262"/>
        <v>-38345</v>
      </c>
      <c r="AC174" s="140">
        <f t="shared" si="262"/>
        <v>-38165</v>
      </c>
      <c r="AD174" s="140">
        <f t="shared" si="262"/>
        <v>-37985</v>
      </c>
      <c r="AE174" s="140">
        <f t="shared" si="262"/>
        <v>-37805</v>
      </c>
      <c r="AF174" s="140">
        <f t="shared" si="262"/>
        <v>-37625</v>
      </c>
      <c r="AG174" s="140">
        <f t="shared" si="262"/>
        <v>-37445</v>
      </c>
      <c r="AH174" s="140">
        <f t="shared" si="262"/>
        <v>-37265</v>
      </c>
      <c r="AI174" s="140">
        <f t="shared" si="262"/>
        <v>-37086</v>
      </c>
      <c r="AJ174" s="140">
        <f t="shared" si="262"/>
        <v>-36906</v>
      </c>
      <c r="AK174" s="140">
        <f t="shared" si="262"/>
        <v>-36726</v>
      </c>
      <c r="AL174" s="140">
        <f t="shared" si="262"/>
        <v>-36546</v>
      </c>
      <c r="AM174" s="140">
        <f t="shared" si="262"/>
        <v>-36366</v>
      </c>
      <c r="AN174" s="140">
        <f t="shared" si="262"/>
        <v>-36186</v>
      </c>
      <c r="AO174" s="140">
        <f t="shared" si="262"/>
        <v>-36006</v>
      </c>
      <c r="AP174" s="140">
        <f t="shared" si="262"/>
        <v>-35826</v>
      </c>
      <c r="AQ174" s="140">
        <f t="shared" si="262"/>
        <v>-35647</v>
      </c>
      <c r="AR174" s="140">
        <f t="shared" si="262"/>
        <v>-35467</v>
      </c>
      <c r="AS174" s="140">
        <f t="shared" si="262"/>
        <v>-35287</v>
      </c>
      <c r="AT174" s="140">
        <f t="shared" si="262"/>
        <v>-35107</v>
      </c>
      <c r="AU174" s="140">
        <f t="shared" si="262"/>
        <v>-34927</v>
      </c>
      <c r="AV174" s="140">
        <f t="shared" si="262"/>
        <v>-34747</v>
      </c>
      <c r="AW174" s="140">
        <f t="shared" si="262"/>
        <v>-34567</v>
      </c>
      <c r="AX174" s="140">
        <f t="shared" si="262"/>
        <v>-34387</v>
      </c>
      <c r="AY174" s="140">
        <f t="shared" si="262"/>
        <v>-34208</v>
      </c>
      <c r="AZ174" s="140">
        <f t="shared" si="262"/>
        <v>-34028</v>
      </c>
      <c r="BA174" s="140">
        <f t="shared" si="262"/>
        <v>-33848</v>
      </c>
      <c r="BB174" s="140">
        <f t="shared" si="262"/>
        <v>-33668</v>
      </c>
      <c r="BC174" s="140">
        <f t="shared" si="262"/>
        <v>-33488</v>
      </c>
      <c r="BD174" s="140">
        <f t="shared" si="262"/>
        <v>-33308</v>
      </c>
      <c r="BE174" s="140">
        <f t="shared" si="262"/>
        <v>-33128</v>
      </c>
      <c r="BF174" s="140">
        <f t="shared" si="262"/>
        <v>-32948</v>
      </c>
      <c r="BG174" s="140">
        <f t="shared" si="262"/>
        <v>-32769</v>
      </c>
      <c r="BH174" s="140">
        <f t="shared" si="262"/>
        <v>-32589</v>
      </c>
      <c r="BI174" s="140">
        <f t="shared" si="262"/>
        <v>-32409</v>
      </c>
      <c r="BJ174" s="140">
        <f t="shared" si="262"/>
        <v>-32229</v>
      </c>
      <c r="BK174" s="140">
        <f t="shared" si="262"/>
        <v>-32049</v>
      </c>
      <c r="BL174" s="140">
        <f t="shared" si="262"/>
        <v>-31869</v>
      </c>
      <c r="BM174" s="140">
        <f t="shared" si="262"/>
        <v>-31689</v>
      </c>
      <c r="BN174" s="140">
        <f t="shared" ref="BN174:CB174" si="263">DAYS360($B$3,BN66)</f>
        <v>-31509</v>
      </c>
      <c r="BO174" s="140">
        <f t="shared" si="263"/>
        <v>-31330</v>
      </c>
      <c r="BP174" s="140">
        <f t="shared" si="263"/>
        <v>-31150</v>
      </c>
      <c r="BQ174" s="140">
        <f t="shared" si="263"/>
        <v>-30970</v>
      </c>
      <c r="BR174" s="140">
        <f t="shared" si="263"/>
        <v>-30790</v>
      </c>
      <c r="BS174" s="140">
        <f t="shared" si="263"/>
        <v>-30610</v>
      </c>
      <c r="BT174" s="140">
        <f t="shared" si="263"/>
        <v>-30430</v>
      </c>
      <c r="BU174" s="140">
        <f t="shared" si="263"/>
        <v>-30250</v>
      </c>
      <c r="BV174" s="140">
        <f t="shared" si="263"/>
        <v>-30070</v>
      </c>
      <c r="BW174" s="140">
        <f t="shared" si="263"/>
        <v>-29891</v>
      </c>
      <c r="BX174" s="140">
        <f t="shared" si="263"/>
        <v>-29711</v>
      </c>
      <c r="BY174" s="140">
        <f t="shared" si="263"/>
        <v>-29531</v>
      </c>
      <c r="BZ174" s="140">
        <f t="shared" si="263"/>
        <v>-29351</v>
      </c>
      <c r="CA174" s="140">
        <f t="shared" si="263"/>
        <v>-29171</v>
      </c>
      <c r="CB174" s="140">
        <f t="shared" si="263"/>
        <v>-28991</v>
      </c>
      <c r="CC174" s="17"/>
      <c r="CD174" s="17"/>
      <c r="CE174" s="17"/>
    </row>
    <row r="175" spans="1:83">
      <c r="A175" s="16" t="s">
        <v>41</v>
      </c>
      <c r="B175" s="140">
        <f>B174/360</f>
        <v>-119.50555555555556</v>
      </c>
      <c r="C175" s="140">
        <f t="shared" ref="C175:BN175" si="264">C174/360</f>
        <v>-119.00555555555556</v>
      </c>
      <c r="D175" s="140">
        <f t="shared" si="264"/>
        <v>-118.50555555555556</v>
      </c>
      <c r="E175" s="140">
        <f t="shared" si="264"/>
        <v>-118.00555555555556</v>
      </c>
      <c r="F175" s="140">
        <f t="shared" si="264"/>
        <v>-117.50555555555556</v>
      </c>
      <c r="G175" s="140">
        <f t="shared" si="264"/>
        <v>-117.00555555555556</v>
      </c>
      <c r="H175" s="140">
        <f t="shared" si="264"/>
        <v>-116.50555555555556</v>
      </c>
      <c r="I175" s="140">
        <f t="shared" si="264"/>
        <v>-116.00555555555556</v>
      </c>
      <c r="J175" s="140">
        <f t="shared" si="264"/>
        <v>-115.50555555555556</v>
      </c>
      <c r="K175" s="140">
        <f t="shared" si="264"/>
        <v>-115.00833333333334</v>
      </c>
      <c r="L175" s="140">
        <f t="shared" si="264"/>
        <v>-114.50833333333334</v>
      </c>
      <c r="M175" s="140">
        <f t="shared" si="264"/>
        <v>-114.00833333333334</v>
      </c>
      <c r="N175" s="140">
        <f t="shared" si="264"/>
        <v>-113.50833333333334</v>
      </c>
      <c r="O175" s="140">
        <f t="shared" si="264"/>
        <v>-113.00833333333334</v>
      </c>
      <c r="P175" s="140">
        <f t="shared" si="264"/>
        <v>-112.50833333333334</v>
      </c>
      <c r="Q175" s="140">
        <f t="shared" si="264"/>
        <v>-112.00833333333334</v>
      </c>
      <c r="R175" s="140">
        <f t="shared" si="264"/>
        <v>-111.50833333333334</v>
      </c>
      <c r="S175" s="140">
        <f t="shared" si="264"/>
        <v>-111.01111111111111</v>
      </c>
      <c r="T175" s="140">
        <f t="shared" si="264"/>
        <v>-110.51111111111111</v>
      </c>
      <c r="U175" s="140">
        <f t="shared" si="264"/>
        <v>-110.01111111111111</v>
      </c>
      <c r="V175" s="140">
        <f t="shared" si="264"/>
        <v>-109.51111111111111</v>
      </c>
      <c r="W175" s="140">
        <f t="shared" si="264"/>
        <v>-109.01111111111111</v>
      </c>
      <c r="X175" s="140">
        <f t="shared" si="264"/>
        <v>-108.51111111111111</v>
      </c>
      <c r="Y175" s="140">
        <f t="shared" si="264"/>
        <v>-108.01111111111111</v>
      </c>
      <c r="Z175" s="140">
        <f t="shared" si="264"/>
        <v>-107.51111111111111</v>
      </c>
      <c r="AA175" s="140">
        <f t="shared" si="264"/>
        <v>-107.01388888888889</v>
      </c>
      <c r="AB175" s="140">
        <f t="shared" si="264"/>
        <v>-106.51388888888889</v>
      </c>
      <c r="AC175" s="140">
        <f t="shared" si="264"/>
        <v>-106.01388888888889</v>
      </c>
      <c r="AD175" s="140">
        <f t="shared" si="264"/>
        <v>-105.51388888888889</v>
      </c>
      <c r="AE175" s="140">
        <f t="shared" si="264"/>
        <v>-105.01388888888889</v>
      </c>
      <c r="AF175" s="140">
        <f t="shared" si="264"/>
        <v>-104.51388888888889</v>
      </c>
      <c r="AG175" s="140">
        <f t="shared" si="264"/>
        <v>-104.01388888888889</v>
      </c>
      <c r="AH175" s="140">
        <f t="shared" si="264"/>
        <v>-103.51388888888889</v>
      </c>
      <c r="AI175" s="140">
        <f t="shared" si="264"/>
        <v>-103.01666666666667</v>
      </c>
      <c r="AJ175" s="140">
        <f t="shared" si="264"/>
        <v>-102.51666666666667</v>
      </c>
      <c r="AK175" s="140">
        <f t="shared" si="264"/>
        <v>-102.01666666666667</v>
      </c>
      <c r="AL175" s="140">
        <f t="shared" si="264"/>
        <v>-101.51666666666667</v>
      </c>
      <c r="AM175" s="140">
        <f t="shared" si="264"/>
        <v>-101.01666666666667</v>
      </c>
      <c r="AN175" s="140">
        <f t="shared" si="264"/>
        <v>-100.51666666666667</v>
      </c>
      <c r="AO175" s="140">
        <f t="shared" si="264"/>
        <v>-100.01666666666667</v>
      </c>
      <c r="AP175" s="140">
        <f t="shared" si="264"/>
        <v>-99.516666666666666</v>
      </c>
      <c r="AQ175" s="140">
        <f t="shared" si="264"/>
        <v>-99.019444444444446</v>
      </c>
      <c r="AR175" s="140">
        <f t="shared" si="264"/>
        <v>-98.519444444444446</v>
      </c>
      <c r="AS175" s="140">
        <f t="shared" si="264"/>
        <v>-98.019444444444446</v>
      </c>
      <c r="AT175" s="140">
        <f t="shared" si="264"/>
        <v>-97.519444444444446</v>
      </c>
      <c r="AU175" s="140">
        <f t="shared" si="264"/>
        <v>-97.019444444444446</v>
      </c>
      <c r="AV175" s="140">
        <f t="shared" si="264"/>
        <v>-96.519444444444446</v>
      </c>
      <c r="AW175" s="140">
        <f t="shared" si="264"/>
        <v>-96.019444444444446</v>
      </c>
      <c r="AX175" s="140">
        <f t="shared" si="264"/>
        <v>-95.519444444444446</v>
      </c>
      <c r="AY175" s="140">
        <f t="shared" si="264"/>
        <v>-95.022222222222226</v>
      </c>
      <c r="AZ175" s="140">
        <f t="shared" si="264"/>
        <v>-94.522222222222226</v>
      </c>
      <c r="BA175" s="140">
        <f t="shared" si="264"/>
        <v>-94.022222222222226</v>
      </c>
      <c r="BB175" s="140">
        <f t="shared" si="264"/>
        <v>-93.522222222222226</v>
      </c>
      <c r="BC175" s="140">
        <f t="shared" si="264"/>
        <v>-93.022222222222226</v>
      </c>
      <c r="BD175" s="140">
        <f t="shared" si="264"/>
        <v>-92.522222222222226</v>
      </c>
      <c r="BE175" s="140">
        <f t="shared" si="264"/>
        <v>-92.022222222222226</v>
      </c>
      <c r="BF175" s="140">
        <f t="shared" si="264"/>
        <v>-91.522222222222226</v>
      </c>
      <c r="BG175" s="140">
        <f t="shared" si="264"/>
        <v>-91.025000000000006</v>
      </c>
      <c r="BH175" s="140">
        <f t="shared" si="264"/>
        <v>-90.525000000000006</v>
      </c>
      <c r="BI175" s="140">
        <f t="shared" si="264"/>
        <v>-90.025000000000006</v>
      </c>
      <c r="BJ175" s="140">
        <f t="shared" si="264"/>
        <v>-89.525000000000006</v>
      </c>
      <c r="BK175" s="140">
        <f t="shared" si="264"/>
        <v>-89.025000000000006</v>
      </c>
      <c r="BL175" s="140">
        <f t="shared" si="264"/>
        <v>-88.525000000000006</v>
      </c>
      <c r="BM175" s="140">
        <f t="shared" si="264"/>
        <v>-88.025000000000006</v>
      </c>
      <c r="BN175" s="140">
        <f t="shared" si="264"/>
        <v>-87.525000000000006</v>
      </c>
      <c r="BO175" s="140">
        <f t="shared" ref="BO175:CB175" si="265">BO174/360</f>
        <v>-87.027777777777771</v>
      </c>
      <c r="BP175" s="140">
        <f t="shared" si="265"/>
        <v>-86.527777777777771</v>
      </c>
      <c r="BQ175" s="140">
        <f t="shared" si="265"/>
        <v>-86.027777777777771</v>
      </c>
      <c r="BR175" s="140">
        <f t="shared" si="265"/>
        <v>-85.527777777777771</v>
      </c>
      <c r="BS175" s="140">
        <f t="shared" si="265"/>
        <v>-85.027777777777771</v>
      </c>
      <c r="BT175" s="140">
        <f t="shared" si="265"/>
        <v>-84.527777777777771</v>
      </c>
      <c r="BU175" s="140">
        <f t="shared" si="265"/>
        <v>-84.027777777777771</v>
      </c>
      <c r="BV175" s="140">
        <f t="shared" si="265"/>
        <v>-83.527777777777771</v>
      </c>
      <c r="BW175" s="140">
        <f t="shared" si="265"/>
        <v>-83.030555555555551</v>
      </c>
      <c r="BX175" s="140">
        <f t="shared" si="265"/>
        <v>-82.530555555555551</v>
      </c>
      <c r="BY175" s="140">
        <f t="shared" si="265"/>
        <v>-82.030555555555551</v>
      </c>
      <c r="BZ175" s="140">
        <f t="shared" si="265"/>
        <v>-81.530555555555551</v>
      </c>
      <c r="CA175" s="140">
        <f t="shared" si="265"/>
        <v>-81.030555555555551</v>
      </c>
      <c r="CB175" s="140">
        <f t="shared" si="265"/>
        <v>-80.530555555555551</v>
      </c>
      <c r="CC175" s="17"/>
      <c r="CD175" s="17"/>
      <c r="CE175" s="17"/>
    </row>
    <row r="176" spans="1:83">
      <c r="A176" s="16" t="s">
        <v>43</v>
      </c>
      <c r="B176" s="140">
        <f>IF(B174&lt;0,0,$B$5+$B$6*((1-EXP(-B175/$B$9))/(B175/$B$9))+$B$7*((1-EXP(-B175/$B$9))/(B175/$B$9)-EXP(-B175/$B$9))+$B$8*((1-EXP(-B175/$B$10))/(B175/$B$10)-EXP(-B175/$B$10)))</f>
        <v>0</v>
      </c>
      <c r="C176" s="140">
        <f t="shared" ref="C176:BN176" si="266">IF(C174&lt;0,0,$B$5+$B$6*((1-EXP(-C175/$B$9))/(C175/$B$9))+$B$7*((1-EXP(-C175/$B$9))/(C175/$B$9)-EXP(-C175/$B$9))+$B$8*((1-EXP(-C175/$B$10))/(C175/$B$10)-EXP(-C175/$B$10)))</f>
        <v>0</v>
      </c>
      <c r="D176" s="140">
        <f t="shared" si="266"/>
        <v>0</v>
      </c>
      <c r="E176" s="140">
        <f t="shared" si="266"/>
        <v>0</v>
      </c>
      <c r="F176" s="140">
        <f t="shared" si="266"/>
        <v>0</v>
      </c>
      <c r="G176" s="140">
        <f t="shared" si="266"/>
        <v>0</v>
      </c>
      <c r="H176" s="140">
        <f t="shared" si="266"/>
        <v>0</v>
      </c>
      <c r="I176" s="140">
        <f t="shared" si="266"/>
        <v>0</v>
      </c>
      <c r="J176" s="140">
        <f t="shared" si="266"/>
        <v>0</v>
      </c>
      <c r="K176" s="140">
        <f t="shared" si="266"/>
        <v>0</v>
      </c>
      <c r="L176" s="140">
        <f t="shared" si="266"/>
        <v>0</v>
      </c>
      <c r="M176" s="140">
        <f t="shared" si="266"/>
        <v>0</v>
      </c>
      <c r="N176" s="140">
        <f t="shared" si="266"/>
        <v>0</v>
      </c>
      <c r="O176" s="140">
        <f t="shared" si="266"/>
        <v>0</v>
      </c>
      <c r="P176" s="140">
        <f t="shared" si="266"/>
        <v>0</v>
      </c>
      <c r="Q176" s="140">
        <f t="shared" si="266"/>
        <v>0</v>
      </c>
      <c r="R176" s="140">
        <f t="shared" si="266"/>
        <v>0</v>
      </c>
      <c r="S176" s="140">
        <f t="shared" si="266"/>
        <v>0</v>
      </c>
      <c r="T176" s="140">
        <f t="shared" si="266"/>
        <v>0</v>
      </c>
      <c r="U176" s="140">
        <f t="shared" si="266"/>
        <v>0</v>
      </c>
      <c r="V176" s="140">
        <f t="shared" si="266"/>
        <v>0</v>
      </c>
      <c r="W176" s="140">
        <f t="shared" si="266"/>
        <v>0</v>
      </c>
      <c r="X176" s="140">
        <f t="shared" si="266"/>
        <v>0</v>
      </c>
      <c r="Y176" s="140">
        <f t="shared" si="266"/>
        <v>0</v>
      </c>
      <c r="Z176" s="140">
        <f t="shared" si="266"/>
        <v>0</v>
      </c>
      <c r="AA176" s="140">
        <f t="shared" si="266"/>
        <v>0</v>
      </c>
      <c r="AB176" s="140">
        <f t="shared" si="266"/>
        <v>0</v>
      </c>
      <c r="AC176" s="140">
        <f t="shared" si="266"/>
        <v>0</v>
      </c>
      <c r="AD176" s="140">
        <f t="shared" si="266"/>
        <v>0</v>
      </c>
      <c r="AE176" s="140">
        <f t="shared" si="266"/>
        <v>0</v>
      </c>
      <c r="AF176" s="140">
        <f t="shared" si="266"/>
        <v>0</v>
      </c>
      <c r="AG176" s="140">
        <f t="shared" si="266"/>
        <v>0</v>
      </c>
      <c r="AH176" s="140">
        <f t="shared" si="266"/>
        <v>0</v>
      </c>
      <c r="AI176" s="140">
        <f t="shared" si="266"/>
        <v>0</v>
      </c>
      <c r="AJ176" s="140">
        <f t="shared" si="266"/>
        <v>0</v>
      </c>
      <c r="AK176" s="140">
        <f t="shared" si="266"/>
        <v>0</v>
      </c>
      <c r="AL176" s="140">
        <f t="shared" si="266"/>
        <v>0</v>
      </c>
      <c r="AM176" s="140">
        <f t="shared" si="266"/>
        <v>0</v>
      </c>
      <c r="AN176" s="140">
        <f t="shared" si="266"/>
        <v>0</v>
      </c>
      <c r="AO176" s="140">
        <f t="shared" si="266"/>
        <v>0</v>
      </c>
      <c r="AP176" s="140">
        <f t="shared" si="266"/>
        <v>0</v>
      </c>
      <c r="AQ176" s="140">
        <f t="shared" si="266"/>
        <v>0</v>
      </c>
      <c r="AR176" s="140">
        <f t="shared" si="266"/>
        <v>0</v>
      </c>
      <c r="AS176" s="140">
        <f t="shared" si="266"/>
        <v>0</v>
      </c>
      <c r="AT176" s="140">
        <f t="shared" si="266"/>
        <v>0</v>
      </c>
      <c r="AU176" s="140">
        <f t="shared" si="266"/>
        <v>0</v>
      </c>
      <c r="AV176" s="140">
        <f t="shared" si="266"/>
        <v>0</v>
      </c>
      <c r="AW176" s="140">
        <f t="shared" si="266"/>
        <v>0</v>
      </c>
      <c r="AX176" s="140">
        <f t="shared" si="266"/>
        <v>0</v>
      </c>
      <c r="AY176" s="140">
        <f t="shared" si="266"/>
        <v>0</v>
      </c>
      <c r="AZ176" s="140">
        <f t="shared" si="266"/>
        <v>0</v>
      </c>
      <c r="BA176" s="140">
        <f t="shared" si="266"/>
        <v>0</v>
      </c>
      <c r="BB176" s="140">
        <f t="shared" si="266"/>
        <v>0</v>
      </c>
      <c r="BC176" s="140">
        <f t="shared" si="266"/>
        <v>0</v>
      </c>
      <c r="BD176" s="140">
        <f t="shared" si="266"/>
        <v>0</v>
      </c>
      <c r="BE176" s="140">
        <f t="shared" si="266"/>
        <v>0</v>
      </c>
      <c r="BF176" s="140">
        <f t="shared" si="266"/>
        <v>0</v>
      </c>
      <c r="BG176" s="140">
        <f t="shared" si="266"/>
        <v>0</v>
      </c>
      <c r="BH176" s="140">
        <f t="shared" si="266"/>
        <v>0</v>
      </c>
      <c r="BI176" s="140">
        <f t="shared" si="266"/>
        <v>0</v>
      </c>
      <c r="BJ176" s="140">
        <f t="shared" si="266"/>
        <v>0</v>
      </c>
      <c r="BK176" s="140">
        <f t="shared" si="266"/>
        <v>0</v>
      </c>
      <c r="BL176" s="140">
        <f t="shared" si="266"/>
        <v>0</v>
      </c>
      <c r="BM176" s="140">
        <f t="shared" si="266"/>
        <v>0</v>
      </c>
      <c r="BN176" s="140">
        <f t="shared" si="266"/>
        <v>0</v>
      </c>
      <c r="BO176" s="140">
        <f t="shared" ref="BO176:CB176" si="267">IF(BO174&lt;0,0,$B$5+$B$6*((1-EXP(-BO175/$B$9))/(BO175/$B$9))+$B$7*((1-EXP(-BO175/$B$9))/(BO175/$B$9)-EXP(-BO175/$B$9))+$B$8*((1-EXP(-BO175/$B$10))/(BO175/$B$10)-EXP(-BO175/$B$10)))</f>
        <v>0</v>
      </c>
      <c r="BP176" s="140">
        <f t="shared" si="267"/>
        <v>0</v>
      </c>
      <c r="BQ176" s="140">
        <f t="shared" si="267"/>
        <v>0</v>
      </c>
      <c r="BR176" s="140">
        <f t="shared" si="267"/>
        <v>0</v>
      </c>
      <c r="BS176" s="140">
        <f t="shared" si="267"/>
        <v>0</v>
      </c>
      <c r="BT176" s="140">
        <f t="shared" si="267"/>
        <v>0</v>
      </c>
      <c r="BU176" s="140">
        <f t="shared" si="267"/>
        <v>0</v>
      </c>
      <c r="BV176" s="140">
        <f t="shared" si="267"/>
        <v>0</v>
      </c>
      <c r="BW176" s="140">
        <f t="shared" si="267"/>
        <v>0</v>
      </c>
      <c r="BX176" s="140">
        <f t="shared" si="267"/>
        <v>0</v>
      </c>
      <c r="BY176" s="140">
        <f t="shared" si="267"/>
        <v>0</v>
      </c>
      <c r="BZ176" s="140">
        <f t="shared" si="267"/>
        <v>0</v>
      </c>
      <c r="CA176" s="140">
        <f t="shared" si="267"/>
        <v>0</v>
      </c>
      <c r="CB176" s="140">
        <f t="shared" si="267"/>
        <v>0</v>
      </c>
      <c r="CC176" s="17"/>
      <c r="CD176" s="17"/>
      <c r="CE176" s="17"/>
    </row>
    <row r="177" spans="1:83">
      <c r="A177" s="16" t="s">
        <v>44</v>
      </c>
      <c r="B177" s="140">
        <f>EXP(-B176*B175)</f>
        <v>1</v>
      </c>
      <c r="C177" s="140">
        <f t="shared" ref="C177:AR177" si="268">EXP(-C176*C175)</f>
        <v>1</v>
      </c>
      <c r="D177" s="140">
        <f t="shared" si="268"/>
        <v>1</v>
      </c>
      <c r="E177" s="140">
        <f t="shared" si="268"/>
        <v>1</v>
      </c>
      <c r="F177" s="140">
        <f t="shared" si="268"/>
        <v>1</v>
      </c>
      <c r="G177" s="140">
        <f t="shared" si="268"/>
        <v>1</v>
      </c>
      <c r="H177" s="140">
        <f t="shared" si="268"/>
        <v>1</v>
      </c>
      <c r="I177" s="140">
        <f t="shared" si="268"/>
        <v>1</v>
      </c>
      <c r="J177" s="140">
        <f t="shared" si="268"/>
        <v>1</v>
      </c>
      <c r="K177" s="140">
        <f t="shared" si="268"/>
        <v>1</v>
      </c>
      <c r="L177" s="140">
        <f t="shared" si="268"/>
        <v>1</v>
      </c>
      <c r="M177" s="140">
        <f t="shared" si="268"/>
        <v>1</v>
      </c>
      <c r="N177" s="140">
        <f t="shared" si="268"/>
        <v>1</v>
      </c>
      <c r="O177" s="140">
        <f t="shared" si="268"/>
        <v>1</v>
      </c>
      <c r="P177" s="140">
        <f t="shared" si="268"/>
        <v>1</v>
      </c>
      <c r="Q177" s="140">
        <f t="shared" si="268"/>
        <v>1</v>
      </c>
      <c r="R177" s="140">
        <f t="shared" si="268"/>
        <v>1</v>
      </c>
      <c r="S177" s="140">
        <f t="shared" si="268"/>
        <v>1</v>
      </c>
      <c r="T177" s="140">
        <f t="shared" si="268"/>
        <v>1</v>
      </c>
      <c r="U177" s="140">
        <f t="shared" si="268"/>
        <v>1</v>
      </c>
      <c r="V177" s="140">
        <f t="shared" si="268"/>
        <v>1</v>
      </c>
      <c r="W177" s="140">
        <f t="shared" si="268"/>
        <v>1</v>
      </c>
      <c r="X177" s="140">
        <f t="shared" si="268"/>
        <v>1</v>
      </c>
      <c r="Y177" s="140">
        <f t="shared" si="268"/>
        <v>1</v>
      </c>
      <c r="Z177" s="140">
        <f t="shared" si="268"/>
        <v>1</v>
      </c>
      <c r="AA177" s="140">
        <f t="shared" si="268"/>
        <v>1</v>
      </c>
      <c r="AB177" s="140">
        <f t="shared" si="268"/>
        <v>1</v>
      </c>
      <c r="AC177" s="140">
        <f t="shared" si="268"/>
        <v>1</v>
      </c>
      <c r="AD177" s="140">
        <f t="shared" si="268"/>
        <v>1</v>
      </c>
      <c r="AE177" s="140">
        <f t="shared" si="268"/>
        <v>1</v>
      </c>
      <c r="AF177" s="140">
        <f t="shared" si="268"/>
        <v>1</v>
      </c>
      <c r="AG177" s="140">
        <f t="shared" si="268"/>
        <v>1</v>
      </c>
      <c r="AH177" s="140">
        <f t="shared" si="268"/>
        <v>1</v>
      </c>
      <c r="AI177" s="140">
        <f t="shared" si="268"/>
        <v>1</v>
      </c>
      <c r="AJ177" s="140">
        <f t="shared" si="268"/>
        <v>1</v>
      </c>
      <c r="AK177" s="140">
        <f t="shared" si="268"/>
        <v>1</v>
      </c>
      <c r="AL177" s="140">
        <f t="shared" si="268"/>
        <v>1</v>
      </c>
      <c r="AM177" s="140">
        <f t="shared" si="268"/>
        <v>1</v>
      </c>
      <c r="AN177" s="140">
        <f t="shared" si="268"/>
        <v>1</v>
      </c>
      <c r="AO177" s="140">
        <f t="shared" si="268"/>
        <v>1</v>
      </c>
      <c r="AP177" s="140">
        <f t="shared" si="268"/>
        <v>1</v>
      </c>
      <c r="AQ177" s="140">
        <f t="shared" si="268"/>
        <v>1</v>
      </c>
      <c r="AR177" s="140">
        <f t="shared" si="268"/>
        <v>1</v>
      </c>
      <c r="AS177" s="140">
        <f>EXP(-AS176*AS175)</f>
        <v>1</v>
      </c>
      <c r="AT177" s="140">
        <f t="shared" ref="AT177:CA177" si="269">EXP(-AT176*AT175)</f>
        <v>1</v>
      </c>
      <c r="AU177" s="140">
        <f t="shared" si="269"/>
        <v>1</v>
      </c>
      <c r="AV177" s="140">
        <f t="shared" si="269"/>
        <v>1</v>
      </c>
      <c r="AW177" s="140">
        <f t="shared" si="269"/>
        <v>1</v>
      </c>
      <c r="AX177" s="140">
        <f t="shared" si="269"/>
        <v>1</v>
      </c>
      <c r="AY177" s="140">
        <f t="shared" si="269"/>
        <v>1</v>
      </c>
      <c r="AZ177" s="140">
        <f t="shared" si="269"/>
        <v>1</v>
      </c>
      <c r="BA177" s="140">
        <f t="shared" si="269"/>
        <v>1</v>
      </c>
      <c r="BB177" s="140">
        <f t="shared" si="269"/>
        <v>1</v>
      </c>
      <c r="BC177" s="140">
        <f t="shared" si="269"/>
        <v>1</v>
      </c>
      <c r="BD177" s="140">
        <f t="shared" si="269"/>
        <v>1</v>
      </c>
      <c r="BE177" s="140">
        <f t="shared" si="269"/>
        <v>1</v>
      </c>
      <c r="BF177" s="140">
        <f t="shared" si="269"/>
        <v>1</v>
      </c>
      <c r="BG177" s="140">
        <f t="shared" si="269"/>
        <v>1</v>
      </c>
      <c r="BH177" s="140">
        <f t="shared" si="269"/>
        <v>1</v>
      </c>
      <c r="BI177" s="140">
        <f t="shared" si="269"/>
        <v>1</v>
      </c>
      <c r="BJ177" s="140">
        <f t="shared" si="269"/>
        <v>1</v>
      </c>
      <c r="BK177" s="140">
        <f t="shared" si="269"/>
        <v>1</v>
      </c>
      <c r="BL177" s="140">
        <f t="shared" si="269"/>
        <v>1</v>
      </c>
      <c r="BM177" s="140">
        <f t="shared" si="269"/>
        <v>1</v>
      </c>
      <c r="BN177" s="140">
        <f t="shared" si="269"/>
        <v>1</v>
      </c>
      <c r="BO177" s="140">
        <f t="shared" si="269"/>
        <v>1</v>
      </c>
      <c r="BP177" s="140">
        <f t="shared" si="269"/>
        <v>1</v>
      </c>
      <c r="BQ177" s="140">
        <f t="shared" si="269"/>
        <v>1</v>
      </c>
      <c r="BR177" s="140">
        <f t="shared" si="269"/>
        <v>1</v>
      </c>
      <c r="BS177" s="140">
        <f t="shared" si="269"/>
        <v>1</v>
      </c>
      <c r="BT177" s="140">
        <f t="shared" si="269"/>
        <v>1</v>
      </c>
      <c r="BU177" s="140">
        <f t="shared" si="269"/>
        <v>1</v>
      </c>
      <c r="BV177" s="140">
        <f t="shared" si="269"/>
        <v>1</v>
      </c>
      <c r="BW177" s="140">
        <f t="shared" si="269"/>
        <v>1</v>
      </c>
      <c r="BX177" s="140">
        <f t="shared" si="269"/>
        <v>1</v>
      </c>
      <c r="BY177" s="140">
        <f t="shared" si="269"/>
        <v>1</v>
      </c>
      <c r="BZ177" s="140">
        <f t="shared" si="269"/>
        <v>1</v>
      </c>
      <c r="CA177" s="140">
        <f t="shared" si="269"/>
        <v>1</v>
      </c>
      <c r="CB177" s="140">
        <f>EXP(-CB176*CB175)</f>
        <v>1</v>
      </c>
      <c r="CC177" s="17"/>
      <c r="CD177" s="17"/>
      <c r="CE177" s="17"/>
    </row>
    <row r="178" spans="1:83">
      <c r="A178" s="17"/>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17"/>
      <c r="CD178" s="17"/>
      <c r="CE178" s="17"/>
    </row>
    <row r="179" spans="1:83">
      <c r="A179" s="16" t="s">
        <v>40</v>
      </c>
      <c r="B179" s="140">
        <f t="shared" ref="B179:BM179" si="270">DAYS360($B$3,B68)</f>
        <v>-43022</v>
      </c>
      <c r="C179" s="140">
        <f t="shared" si="270"/>
        <v>-42842</v>
      </c>
      <c r="D179" s="140">
        <f t="shared" si="270"/>
        <v>-42662</v>
      </c>
      <c r="E179" s="140">
        <f t="shared" si="270"/>
        <v>-42482</v>
      </c>
      <c r="F179" s="140">
        <f t="shared" si="270"/>
        <v>-42302</v>
      </c>
      <c r="G179" s="140">
        <f t="shared" si="270"/>
        <v>-42122</v>
      </c>
      <c r="H179" s="140">
        <f t="shared" si="270"/>
        <v>-41942</v>
      </c>
      <c r="I179" s="140">
        <f t="shared" si="270"/>
        <v>-41762</v>
      </c>
      <c r="J179" s="140">
        <f t="shared" si="270"/>
        <v>-41582</v>
      </c>
      <c r="K179" s="140">
        <f t="shared" si="270"/>
        <v>-41403</v>
      </c>
      <c r="L179" s="140">
        <f t="shared" si="270"/>
        <v>-41223</v>
      </c>
      <c r="M179" s="140">
        <f t="shared" si="270"/>
        <v>-41043</v>
      </c>
      <c r="N179" s="140">
        <f t="shared" si="270"/>
        <v>-40863</v>
      </c>
      <c r="O179" s="140">
        <f t="shared" si="270"/>
        <v>-40683</v>
      </c>
      <c r="P179" s="140">
        <f t="shared" si="270"/>
        <v>-40503</v>
      </c>
      <c r="Q179" s="140">
        <f t="shared" si="270"/>
        <v>-40323</v>
      </c>
      <c r="R179" s="140">
        <f t="shared" si="270"/>
        <v>-40143</v>
      </c>
      <c r="S179" s="140">
        <f t="shared" si="270"/>
        <v>-39964</v>
      </c>
      <c r="T179" s="140">
        <f t="shared" si="270"/>
        <v>-39784</v>
      </c>
      <c r="U179" s="140">
        <f t="shared" si="270"/>
        <v>-39604</v>
      </c>
      <c r="V179" s="140">
        <f t="shared" si="270"/>
        <v>-39424</v>
      </c>
      <c r="W179" s="140">
        <f t="shared" si="270"/>
        <v>-39244</v>
      </c>
      <c r="X179" s="140">
        <f t="shared" si="270"/>
        <v>-39064</v>
      </c>
      <c r="Y179" s="140">
        <f t="shared" si="270"/>
        <v>-38884</v>
      </c>
      <c r="Z179" s="140">
        <f t="shared" si="270"/>
        <v>-38704</v>
      </c>
      <c r="AA179" s="140">
        <f t="shared" si="270"/>
        <v>-38525</v>
      </c>
      <c r="AB179" s="140">
        <f t="shared" si="270"/>
        <v>-38345</v>
      </c>
      <c r="AC179" s="140">
        <f t="shared" si="270"/>
        <v>-38165</v>
      </c>
      <c r="AD179" s="140">
        <f t="shared" si="270"/>
        <v>-37985</v>
      </c>
      <c r="AE179" s="140">
        <f t="shared" si="270"/>
        <v>-37805</v>
      </c>
      <c r="AF179" s="140">
        <f t="shared" si="270"/>
        <v>-37625</v>
      </c>
      <c r="AG179" s="140">
        <f t="shared" si="270"/>
        <v>-37445</v>
      </c>
      <c r="AH179" s="140">
        <f t="shared" si="270"/>
        <v>-37265</v>
      </c>
      <c r="AI179" s="140">
        <f t="shared" si="270"/>
        <v>-37086</v>
      </c>
      <c r="AJ179" s="140">
        <f t="shared" si="270"/>
        <v>-36906</v>
      </c>
      <c r="AK179" s="140">
        <f t="shared" si="270"/>
        <v>-36726</v>
      </c>
      <c r="AL179" s="140">
        <f t="shared" si="270"/>
        <v>-36546</v>
      </c>
      <c r="AM179" s="140">
        <f t="shared" si="270"/>
        <v>-36366</v>
      </c>
      <c r="AN179" s="140">
        <f t="shared" si="270"/>
        <v>-36186</v>
      </c>
      <c r="AO179" s="140">
        <f t="shared" si="270"/>
        <v>-36006</v>
      </c>
      <c r="AP179" s="140">
        <f t="shared" si="270"/>
        <v>-35826</v>
      </c>
      <c r="AQ179" s="140">
        <f t="shared" si="270"/>
        <v>-35647</v>
      </c>
      <c r="AR179" s="140">
        <f t="shared" si="270"/>
        <v>-35467</v>
      </c>
      <c r="AS179" s="140">
        <f t="shared" si="270"/>
        <v>-35287</v>
      </c>
      <c r="AT179" s="140">
        <f t="shared" si="270"/>
        <v>-35107</v>
      </c>
      <c r="AU179" s="140">
        <f t="shared" si="270"/>
        <v>-34927</v>
      </c>
      <c r="AV179" s="140">
        <f t="shared" si="270"/>
        <v>-34747</v>
      </c>
      <c r="AW179" s="140">
        <f t="shared" si="270"/>
        <v>-34567</v>
      </c>
      <c r="AX179" s="140">
        <f t="shared" si="270"/>
        <v>-34387</v>
      </c>
      <c r="AY179" s="140">
        <f t="shared" si="270"/>
        <v>-34208</v>
      </c>
      <c r="AZ179" s="140">
        <f t="shared" si="270"/>
        <v>-34028</v>
      </c>
      <c r="BA179" s="140">
        <f t="shared" si="270"/>
        <v>-33848</v>
      </c>
      <c r="BB179" s="140">
        <f t="shared" si="270"/>
        <v>-33668</v>
      </c>
      <c r="BC179" s="140">
        <f t="shared" si="270"/>
        <v>-33488</v>
      </c>
      <c r="BD179" s="140">
        <f t="shared" si="270"/>
        <v>-33308</v>
      </c>
      <c r="BE179" s="140">
        <f t="shared" si="270"/>
        <v>-33128</v>
      </c>
      <c r="BF179" s="140">
        <f t="shared" si="270"/>
        <v>-32948</v>
      </c>
      <c r="BG179" s="140">
        <f t="shared" si="270"/>
        <v>-32769</v>
      </c>
      <c r="BH179" s="140">
        <f t="shared" si="270"/>
        <v>-32589</v>
      </c>
      <c r="BI179" s="140">
        <f t="shared" si="270"/>
        <v>-32409</v>
      </c>
      <c r="BJ179" s="140">
        <f t="shared" si="270"/>
        <v>-32229</v>
      </c>
      <c r="BK179" s="140">
        <f t="shared" si="270"/>
        <v>-32049</v>
      </c>
      <c r="BL179" s="140">
        <f t="shared" si="270"/>
        <v>-31869</v>
      </c>
      <c r="BM179" s="140">
        <f t="shared" si="270"/>
        <v>-31689</v>
      </c>
      <c r="BN179" s="140">
        <f t="shared" ref="BN179:CB179" si="271">DAYS360($B$3,BN68)</f>
        <v>-31509</v>
      </c>
      <c r="BO179" s="140">
        <f t="shared" si="271"/>
        <v>-31330</v>
      </c>
      <c r="BP179" s="140">
        <f t="shared" si="271"/>
        <v>-31150</v>
      </c>
      <c r="BQ179" s="140">
        <f t="shared" si="271"/>
        <v>-30970</v>
      </c>
      <c r="BR179" s="140">
        <f t="shared" si="271"/>
        <v>-30790</v>
      </c>
      <c r="BS179" s="140">
        <f t="shared" si="271"/>
        <v>-30610</v>
      </c>
      <c r="BT179" s="140">
        <f t="shared" si="271"/>
        <v>-30430</v>
      </c>
      <c r="BU179" s="140">
        <f t="shared" si="271"/>
        <v>-30250</v>
      </c>
      <c r="BV179" s="140">
        <f t="shared" si="271"/>
        <v>-30070</v>
      </c>
      <c r="BW179" s="140">
        <f t="shared" si="271"/>
        <v>-29891</v>
      </c>
      <c r="BX179" s="140">
        <f t="shared" si="271"/>
        <v>-29711</v>
      </c>
      <c r="BY179" s="140">
        <f t="shared" si="271"/>
        <v>-29531</v>
      </c>
      <c r="BZ179" s="140">
        <f t="shared" si="271"/>
        <v>-29351</v>
      </c>
      <c r="CA179" s="140">
        <f t="shared" si="271"/>
        <v>-29171</v>
      </c>
      <c r="CB179" s="140">
        <f t="shared" si="271"/>
        <v>-28991</v>
      </c>
      <c r="CC179" s="17"/>
      <c r="CD179" s="17"/>
      <c r="CE179" s="17"/>
    </row>
    <row r="180" spans="1:83">
      <c r="A180" s="16" t="s">
        <v>41</v>
      </c>
      <c r="B180" s="140">
        <f>B179/360</f>
        <v>-119.50555555555556</v>
      </c>
      <c r="C180" s="140">
        <f t="shared" ref="C180:BN180" si="272">C179/360</f>
        <v>-119.00555555555556</v>
      </c>
      <c r="D180" s="140">
        <f t="shared" si="272"/>
        <v>-118.50555555555556</v>
      </c>
      <c r="E180" s="140">
        <f t="shared" si="272"/>
        <v>-118.00555555555556</v>
      </c>
      <c r="F180" s="140">
        <f t="shared" si="272"/>
        <v>-117.50555555555556</v>
      </c>
      <c r="G180" s="140">
        <f t="shared" si="272"/>
        <v>-117.00555555555556</v>
      </c>
      <c r="H180" s="140">
        <f t="shared" si="272"/>
        <v>-116.50555555555556</v>
      </c>
      <c r="I180" s="140">
        <f t="shared" si="272"/>
        <v>-116.00555555555556</v>
      </c>
      <c r="J180" s="140">
        <f t="shared" si="272"/>
        <v>-115.50555555555556</v>
      </c>
      <c r="K180" s="140">
        <f t="shared" si="272"/>
        <v>-115.00833333333334</v>
      </c>
      <c r="L180" s="140">
        <f t="shared" si="272"/>
        <v>-114.50833333333334</v>
      </c>
      <c r="M180" s="140">
        <f t="shared" si="272"/>
        <v>-114.00833333333334</v>
      </c>
      <c r="N180" s="140">
        <f t="shared" si="272"/>
        <v>-113.50833333333334</v>
      </c>
      <c r="O180" s="140">
        <f t="shared" si="272"/>
        <v>-113.00833333333334</v>
      </c>
      <c r="P180" s="140">
        <f t="shared" si="272"/>
        <v>-112.50833333333334</v>
      </c>
      <c r="Q180" s="140">
        <f t="shared" si="272"/>
        <v>-112.00833333333334</v>
      </c>
      <c r="R180" s="140">
        <f t="shared" si="272"/>
        <v>-111.50833333333334</v>
      </c>
      <c r="S180" s="140">
        <f t="shared" si="272"/>
        <v>-111.01111111111111</v>
      </c>
      <c r="T180" s="140">
        <f t="shared" si="272"/>
        <v>-110.51111111111111</v>
      </c>
      <c r="U180" s="140">
        <f t="shared" si="272"/>
        <v>-110.01111111111111</v>
      </c>
      <c r="V180" s="140">
        <f t="shared" si="272"/>
        <v>-109.51111111111111</v>
      </c>
      <c r="W180" s="140">
        <f t="shared" si="272"/>
        <v>-109.01111111111111</v>
      </c>
      <c r="X180" s="140">
        <f t="shared" si="272"/>
        <v>-108.51111111111111</v>
      </c>
      <c r="Y180" s="140">
        <f t="shared" si="272"/>
        <v>-108.01111111111111</v>
      </c>
      <c r="Z180" s="140">
        <f t="shared" si="272"/>
        <v>-107.51111111111111</v>
      </c>
      <c r="AA180" s="140">
        <f t="shared" si="272"/>
        <v>-107.01388888888889</v>
      </c>
      <c r="AB180" s="140">
        <f t="shared" si="272"/>
        <v>-106.51388888888889</v>
      </c>
      <c r="AC180" s="140">
        <f t="shared" si="272"/>
        <v>-106.01388888888889</v>
      </c>
      <c r="AD180" s="140">
        <f t="shared" si="272"/>
        <v>-105.51388888888889</v>
      </c>
      <c r="AE180" s="140">
        <f t="shared" si="272"/>
        <v>-105.01388888888889</v>
      </c>
      <c r="AF180" s="140">
        <f t="shared" si="272"/>
        <v>-104.51388888888889</v>
      </c>
      <c r="AG180" s="140">
        <f t="shared" si="272"/>
        <v>-104.01388888888889</v>
      </c>
      <c r="AH180" s="140">
        <f t="shared" si="272"/>
        <v>-103.51388888888889</v>
      </c>
      <c r="AI180" s="140">
        <f t="shared" si="272"/>
        <v>-103.01666666666667</v>
      </c>
      <c r="AJ180" s="140">
        <f t="shared" si="272"/>
        <v>-102.51666666666667</v>
      </c>
      <c r="AK180" s="140">
        <f t="shared" si="272"/>
        <v>-102.01666666666667</v>
      </c>
      <c r="AL180" s="140">
        <f t="shared" si="272"/>
        <v>-101.51666666666667</v>
      </c>
      <c r="AM180" s="140">
        <f t="shared" si="272"/>
        <v>-101.01666666666667</v>
      </c>
      <c r="AN180" s="140">
        <f t="shared" si="272"/>
        <v>-100.51666666666667</v>
      </c>
      <c r="AO180" s="140">
        <f t="shared" si="272"/>
        <v>-100.01666666666667</v>
      </c>
      <c r="AP180" s="140">
        <f t="shared" si="272"/>
        <v>-99.516666666666666</v>
      </c>
      <c r="AQ180" s="140">
        <f t="shared" si="272"/>
        <v>-99.019444444444446</v>
      </c>
      <c r="AR180" s="140">
        <f t="shared" si="272"/>
        <v>-98.519444444444446</v>
      </c>
      <c r="AS180" s="140">
        <f t="shared" si="272"/>
        <v>-98.019444444444446</v>
      </c>
      <c r="AT180" s="140">
        <f t="shared" si="272"/>
        <v>-97.519444444444446</v>
      </c>
      <c r="AU180" s="140">
        <f t="shared" si="272"/>
        <v>-97.019444444444446</v>
      </c>
      <c r="AV180" s="140">
        <f t="shared" si="272"/>
        <v>-96.519444444444446</v>
      </c>
      <c r="AW180" s="140">
        <f t="shared" si="272"/>
        <v>-96.019444444444446</v>
      </c>
      <c r="AX180" s="140">
        <f t="shared" si="272"/>
        <v>-95.519444444444446</v>
      </c>
      <c r="AY180" s="140">
        <f t="shared" si="272"/>
        <v>-95.022222222222226</v>
      </c>
      <c r="AZ180" s="140">
        <f t="shared" si="272"/>
        <v>-94.522222222222226</v>
      </c>
      <c r="BA180" s="140">
        <f t="shared" si="272"/>
        <v>-94.022222222222226</v>
      </c>
      <c r="BB180" s="140">
        <f t="shared" si="272"/>
        <v>-93.522222222222226</v>
      </c>
      <c r="BC180" s="140">
        <f t="shared" si="272"/>
        <v>-93.022222222222226</v>
      </c>
      <c r="BD180" s="140">
        <f t="shared" si="272"/>
        <v>-92.522222222222226</v>
      </c>
      <c r="BE180" s="140">
        <f t="shared" si="272"/>
        <v>-92.022222222222226</v>
      </c>
      <c r="BF180" s="140">
        <f t="shared" si="272"/>
        <v>-91.522222222222226</v>
      </c>
      <c r="BG180" s="140">
        <f t="shared" si="272"/>
        <v>-91.025000000000006</v>
      </c>
      <c r="BH180" s="140">
        <f t="shared" si="272"/>
        <v>-90.525000000000006</v>
      </c>
      <c r="BI180" s="140">
        <f t="shared" si="272"/>
        <v>-90.025000000000006</v>
      </c>
      <c r="BJ180" s="140">
        <f t="shared" si="272"/>
        <v>-89.525000000000006</v>
      </c>
      <c r="BK180" s="140">
        <f t="shared" si="272"/>
        <v>-89.025000000000006</v>
      </c>
      <c r="BL180" s="140">
        <f t="shared" si="272"/>
        <v>-88.525000000000006</v>
      </c>
      <c r="BM180" s="140">
        <f t="shared" si="272"/>
        <v>-88.025000000000006</v>
      </c>
      <c r="BN180" s="140">
        <f t="shared" si="272"/>
        <v>-87.525000000000006</v>
      </c>
      <c r="BO180" s="140">
        <f t="shared" ref="BO180:CB180" si="273">BO179/360</f>
        <v>-87.027777777777771</v>
      </c>
      <c r="BP180" s="140">
        <f t="shared" si="273"/>
        <v>-86.527777777777771</v>
      </c>
      <c r="BQ180" s="140">
        <f t="shared" si="273"/>
        <v>-86.027777777777771</v>
      </c>
      <c r="BR180" s="140">
        <f t="shared" si="273"/>
        <v>-85.527777777777771</v>
      </c>
      <c r="BS180" s="140">
        <f t="shared" si="273"/>
        <v>-85.027777777777771</v>
      </c>
      <c r="BT180" s="140">
        <f t="shared" si="273"/>
        <v>-84.527777777777771</v>
      </c>
      <c r="BU180" s="140">
        <f t="shared" si="273"/>
        <v>-84.027777777777771</v>
      </c>
      <c r="BV180" s="140">
        <f t="shared" si="273"/>
        <v>-83.527777777777771</v>
      </c>
      <c r="BW180" s="140">
        <f t="shared" si="273"/>
        <v>-83.030555555555551</v>
      </c>
      <c r="BX180" s="140">
        <f t="shared" si="273"/>
        <v>-82.530555555555551</v>
      </c>
      <c r="BY180" s="140">
        <f t="shared" si="273"/>
        <v>-82.030555555555551</v>
      </c>
      <c r="BZ180" s="140">
        <f t="shared" si="273"/>
        <v>-81.530555555555551</v>
      </c>
      <c r="CA180" s="140">
        <f t="shared" si="273"/>
        <v>-81.030555555555551</v>
      </c>
      <c r="CB180" s="140">
        <f t="shared" si="273"/>
        <v>-80.530555555555551</v>
      </c>
      <c r="CC180" s="17"/>
      <c r="CD180" s="17"/>
      <c r="CE180" s="17"/>
    </row>
    <row r="181" spans="1:83">
      <c r="A181" s="16" t="s">
        <v>43</v>
      </c>
      <c r="B181" s="140">
        <f>IF(B179&lt;0,0,$B$5+$B$6*((1-EXP(-B180/$B$9))/(B180/$B$9))+$B$7*((1-EXP(-B180/$B$9))/(B180/$B$9)-EXP(-B180/$B$9))+$B$8*((1-EXP(-B180/$B$10))/(B180/$B$10)-EXP(-B180/$B$10)))</f>
        <v>0</v>
      </c>
      <c r="C181" s="140">
        <f t="shared" ref="C181:BN181" si="274">IF(C179&lt;0,0,$B$5+$B$6*((1-EXP(-C180/$B$9))/(C180/$B$9))+$B$7*((1-EXP(-C180/$B$9))/(C180/$B$9)-EXP(-C180/$B$9))+$B$8*((1-EXP(-C180/$B$10))/(C180/$B$10)-EXP(-C180/$B$10)))</f>
        <v>0</v>
      </c>
      <c r="D181" s="140">
        <f t="shared" si="274"/>
        <v>0</v>
      </c>
      <c r="E181" s="140">
        <f t="shared" si="274"/>
        <v>0</v>
      </c>
      <c r="F181" s="140">
        <f t="shared" si="274"/>
        <v>0</v>
      </c>
      <c r="G181" s="140">
        <f t="shared" si="274"/>
        <v>0</v>
      </c>
      <c r="H181" s="140">
        <f t="shared" si="274"/>
        <v>0</v>
      </c>
      <c r="I181" s="140">
        <f t="shared" si="274"/>
        <v>0</v>
      </c>
      <c r="J181" s="140">
        <f t="shared" si="274"/>
        <v>0</v>
      </c>
      <c r="K181" s="140">
        <f t="shared" si="274"/>
        <v>0</v>
      </c>
      <c r="L181" s="140">
        <f t="shared" si="274"/>
        <v>0</v>
      </c>
      <c r="M181" s="140">
        <f t="shared" si="274"/>
        <v>0</v>
      </c>
      <c r="N181" s="140">
        <f t="shared" si="274"/>
        <v>0</v>
      </c>
      <c r="O181" s="140">
        <f t="shared" si="274"/>
        <v>0</v>
      </c>
      <c r="P181" s="140">
        <f t="shared" si="274"/>
        <v>0</v>
      </c>
      <c r="Q181" s="140">
        <f t="shared" si="274"/>
        <v>0</v>
      </c>
      <c r="R181" s="140">
        <f t="shared" si="274"/>
        <v>0</v>
      </c>
      <c r="S181" s="140">
        <f t="shared" si="274"/>
        <v>0</v>
      </c>
      <c r="T181" s="140">
        <f t="shared" si="274"/>
        <v>0</v>
      </c>
      <c r="U181" s="140">
        <f t="shared" si="274"/>
        <v>0</v>
      </c>
      <c r="V181" s="140">
        <f t="shared" si="274"/>
        <v>0</v>
      </c>
      <c r="W181" s="140">
        <f t="shared" si="274"/>
        <v>0</v>
      </c>
      <c r="X181" s="140">
        <f t="shared" si="274"/>
        <v>0</v>
      </c>
      <c r="Y181" s="140">
        <f t="shared" si="274"/>
        <v>0</v>
      </c>
      <c r="Z181" s="140">
        <f t="shared" si="274"/>
        <v>0</v>
      </c>
      <c r="AA181" s="140">
        <f t="shared" si="274"/>
        <v>0</v>
      </c>
      <c r="AB181" s="140">
        <f t="shared" si="274"/>
        <v>0</v>
      </c>
      <c r="AC181" s="140">
        <f t="shared" si="274"/>
        <v>0</v>
      </c>
      <c r="AD181" s="140">
        <f t="shared" si="274"/>
        <v>0</v>
      </c>
      <c r="AE181" s="140">
        <f t="shared" si="274"/>
        <v>0</v>
      </c>
      <c r="AF181" s="140">
        <f t="shared" si="274"/>
        <v>0</v>
      </c>
      <c r="AG181" s="140">
        <f t="shared" si="274"/>
        <v>0</v>
      </c>
      <c r="AH181" s="140">
        <f t="shared" si="274"/>
        <v>0</v>
      </c>
      <c r="AI181" s="140">
        <f t="shared" si="274"/>
        <v>0</v>
      </c>
      <c r="AJ181" s="140">
        <f t="shared" si="274"/>
        <v>0</v>
      </c>
      <c r="AK181" s="140">
        <f t="shared" si="274"/>
        <v>0</v>
      </c>
      <c r="AL181" s="140">
        <f t="shared" si="274"/>
        <v>0</v>
      </c>
      <c r="AM181" s="140">
        <f t="shared" si="274"/>
        <v>0</v>
      </c>
      <c r="AN181" s="140">
        <f t="shared" si="274"/>
        <v>0</v>
      </c>
      <c r="AO181" s="140">
        <f t="shared" si="274"/>
        <v>0</v>
      </c>
      <c r="AP181" s="140">
        <f t="shared" si="274"/>
        <v>0</v>
      </c>
      <c r="AQ181" s="140">
        <f t="shared" si="274"/>
        <v>0</v>
      </c>
      <c r="AR181" s="140">
        <f t="shared" si="274"/>
        <v>0</v>
      </c>
      <c r="AS181" s="140">
        <f t="shared" si="274"/>
        <v>0</v>
      </c>
      <c r="AT181" s="140">
        <f t="shared" si="274"/>
        <v>0</v>
      </c>
      <c r="AU181" s="140">
        <f t="shared" si="274"/>
        <v>0</v>
      </c>
      <c r="AV181" s="140">
        <f t="shared" si="274"/>
        <v>0</v>
      </c>
      <c r="AW181" s="140">
        <f t="shared" si="274"/>
        <v>0</v>
      </c>
      <c r="AX181" s="140">
        <f t="shared" si="274"/>
        <v>0</v>
      </c>
      <c r="AY181" s="140">
        <f t="shared" si="274"/>
        <v>0</v>
      </c>
      <c r="AZ181" s="140">
        <f t="shared" si="274"/>
        <v>0</v>
      </c>
      <c r="BA181" s="140">
        <f t="shared" si="274"/>
        <v>0</v>
      </c>
      <c r="BB181" s="140">
        <f t="shared" si="274"/>
        <v>0</v>
      </c>
      <c r="BC181" s="140">
        <f t="shared" si="274"/>
        <v>0</v>
      </c>
      <c r="BD181" s="140">
        <f t="shared" si="274"/>
        <v>0</v>
      </c>
      <c r="BE181" s="140">
        <f t="shared" si="274"/>
        <v>0</v>
      </c>
      <c r="BF181" s="140">
        <f t="shared" si="274"/>
        <v>0</v>
      </c>
      <c r="BG181" s="140">
        <f t="shared" si="274"/>
        <v>0</v>
      </c>
      <c r="BH181" s="140">
        <f t="shared" si="274"/>
        <v>0</v>
      </c>
      <c r="BI181" s="140">
        <f t="shared" si="274"/>
        <v>0</v>
      </c>
      <c r="BJ181" s="140">
        <f t="shared" si="274"/>
        <v>0</v>
      </c>
      <c r="BK181" s="140">
        <f t="shared" si="274"/>
        <v>0</v>
      </c>
      <c r="BL181" s="140">
        <f t="shared" si="274"/>
        <v>0</v>
      </c>
      <c r="BM181" s="140">
        <f t="shared" si="274"/>
        <v>0</v>
      </c>
      <c r="BN181" s="140">
        <f t="shared" si="274"/>
        <v>0</v>
      </c>
      <c r="BO181" s="140">
        <f t="shared" ref="BO181:CB181" si="275">IF(BO179&lt;0,0,$B$5+$B$6*((1-EXP(-BO180/$B$9))/(BO180/$B$9))+$B$7*((1-EXP(-BO180/$B$9))/(BO180/$B$9)-EXP(-BO180/$B$9))+$B$8*((1-EXP(-BO180/$B$10))/(BO180/$B$10)-EXP(-BO180/$B$10)))</f>
        <v>0</v>
      </c>
      <c r="BP181" s="140">
        <f t="shared" si="275"/>
        <v>0</v>
      </c>
      <c r="BQ181" s="140">
        <f t="shared" si="275"/>
        <v>0</v>
      </c>
      <c r="BR181" s="140">
        <f t="shared" si="275"/>
        <v>0</v>
      </c>
      <c r="BS181" s="140">
        <f t="shared" si="275"/>
        <v>0</v>
      </c>
      <c r="BT181" s="140">
        <f t="shared" si="275"/>
        <v>0</v>
      </c>
      <c r="BU181" s="140">
        <f t="shared" si="275"/>
        <v>0</v>
      </c>
      <c r="BV181" s="140">
        <f t="shared" si="275"/>
        <v>0</v>
      </c>
      <c r="BW181" s="140">
        <f t="shared" si="275"/>
        <v>0</v>
      </c>
      <c r="BX181" s="140">
        <f t="shared" si="275"/>
        <v>0</v>
      </c>
      <c r="BY181" s="140">
        <f t="shared" si="275"/>
        <v>0</v>
      </c>
      <c r="BZ181" s="140">
        <f t="shared" si="275"/>
        <v>0</v>
      </c>
      <c r="CA181" s="140">
        <f t="shared" si="275"/>
        <v>0</v>
      </c>
      <c r="CB181" s="140">
        <f t="shared" si="275"/>
        <v>0</v>
      </c>
      <c r="CC181" s="17"/>
      <c r="CD181" s="17"/>
      <c r="CE181" s="17"/>
    </row>
    <row r="182" spans="1:83">
      <c r="A182" s="16" t="s">
        <v>44</v>
      </c>
      <c r="B182" s="140">
        <f>EXP(-B181*B180)</f>
        <v>1</v>
      </c>
      <c r="C182" s="140">
        <f t="shared" ref="C182:AR182" si="276">EXP(-C181*C180)</f>
        <v>1</v>
      </c>
      <c r="D182" s="140">
        <f t="shared" si="276"/>
        <v>1</v>
      </c>
      <c r="E182" s="140">
        <f t="shared" si="276"/>
        <v>1</v>
      </c>
      <c r="F182" s="140">
        <f t="shared" si="276"/>
        <v>1</v>
      </c>
      <c r="G182" s="140">
        <f t="shared" si="276"/>
        <v>1</v>
      </c>
      <c r="H182" s="140">
        <f t="shared" si="276"/>
        <v>1</v>
      </c>
      <c r="I182" s="140">
        <f t="shared" si="276"/>
        <v>1</v>
      </c>
      <c r="J182" s="140">
        <f t="shared" si="276"/>
        <v>1</v>
      </c>
      <c r="K182" s="140">
        <f t="shared" si="276"/>
        <v>1</v>
      </c>
      <c r="L182" s="140">
        <f t="shared" si="276"/>
        <v>1</v>
      </c>
      <c r="M182" s="140">
        <f t="shared" si="276"/>
        <v>1</v>
      </c>
      <c r="N182" s="140">
        <f t="shared" si="276"/>
        <v>1</v>
      </c>
      <c r="O182" s="140">
        <f t="shared" si="276"/>
        <v>1</v>
      </c>
      <c r="P182" s="140">
        <f t="shared" si="276"/>
        <v>1</v>
      </c>
      <c r="Q182" s="140">
        <f t="shared" si="276"/>
        <v>1</v>
      </c>
      <c r="R182" s="140">
        <f t="shared" si="276"/>
        <v>1</v>
      </c>
      <c r="S182" s="140">
        <f t="shared" si="276"/>
        <v>1</v>
      </c>
      <c r="T182" s="140">
        <f t="shared" si="276"/>
        <v>1</v>
      </c>
      <c r="U182" s="140">
        <f t="shared" si="276"/>
        <v>1</v>
      </c>
      <c r="V182" s="140">
        <f t="shared" si="276"/>
        <v>1</v>
      </c>
      <c r="W182" s="140">
        <f t="shared" si="276"/>
        <v>1</v>
      </c>
      <c r="X182" s="140">
        <f t="shared" si="276"/>
        <v>1</v>
      </c>
      <c r="Y182" s="140">
        <f t="shared" si="276"/>
        <v>1</v>
      </c>
      <c r="Z182" s="140">
        <f t="shared" si="276"/>
        <v>1</v>
      </c>
      <c r="AA182" s="140">
        <f t="shared" si="276"/>
        <v>1</v>
      </c>
      <c r="AB182" s="140">
        <f t="shared" si="276"/>
        <v>1</v>
      </c>
      <c r="AC182" s="140">
        <f t="shared" si="276"/>
        <v>1</v>
      </c>
      <c r="AD182" s="140">
        <f t="shared" si="276"/>
        <v>1</v>
      </c>
      <c r="AE182" s="140">
        <f t="shared" si="276"/>
        <v>1</v>
      </c>
      <c r="AF182" s="140">
        <f t="shared" si="276"/>
        <v>1</v>
      </c>
      <c r="AG182" s="140">
        <f t="shared" si="276"/>
        <v>1</v>
      </c>
      <c r="AH182" s="140">
        <f t="shared" si="276"/>
        <v>1</v>
      </c>
      <c r="AI182" s="140">
        <f t="shared" si="276"/>
        <v>1</v>
      </c>
      <c r="AJ182" s="140">
        <f t="shared" si="276"/>
        <v>1</v>
      </c>
      <c r="AK182" s="140">
        <f t="shared" si="276"/>
        <v>1</v>
      </c>
      <c r="AL182" s="140">
        <f t="shared" si="276"/>
        <v>1</v>
      </c>
      <c r="AM182" s="140">
        <f t="shared" si="276"/>
        <v>1</v>
      </c>
      <c r="AN182" s="140">
        <f t="shared" si="276"/>
        <v>1</v>
      </c>
      <c r="AO182" s="140">
        <f t="shared" si="276"/>
        <v>1</v>
      </c>
      <c r="AP182" s="140">
        <f t="shared" si="276"/>
        <v>1</v>
      </c>
      <c r="AQ182" s="140">
        <f t="shared" si="276"/>
        <v>1</v>
      </c>
      <c r="AR182" s="140">
        <f t="shared" si="276"/>
        <v>1</v>
      </c>
      <c r="AS182" s="140">
        <f>EXP(-AS181*AS180)</f>
        <v>1</v>
      </c>
      <c r="AT182" s="140">
        <f t="shared" ref="AT182:CA182" si="277">EXP(-AT181*AT180)</f>
        <v>1</v>
      </c>
      <c r="AU182" s="140">
        <f t="shared" si="277"/>
        <v>1</v>
      </c>
      <c r="AV182" s="140">
        <f t="shared" si="277"/>
        <v>1</v>
      </c>
      <c r="AW182" s="140">
        <f t="shared" si="277"/>
        <v>1</v>
      </c>
      <c r="AX182" s="140">
        <f t="shared" si="277"/>
        <v>1</v>
      </c>
      <c r="AY182" s="140">
        <f t="shared" si="277"/>
        <v>1</v>
      </c>
      <c r="AZ182" s="140">
        <f t="shared" si="277"/>
        <v>1</v>
      </c>
      <c r="BA182" s="140">
        <f t="shared" si="277"/>
        <v>1</v>
      </c>
      <c r="BB182" s="140">
        <f t="shared" si="277"/>
        <v>1</v>
      </c>
      <c r="BC182" s="140">
        <f t="shared" si="277"/>
        <v>1</v>
      </c>
      <c r="BD182" s="140">
        <f t="shared" si="277"/>
        <v>1</v>
      </c>
      <c r="BE182" s="140">
        <f t="shared" si="277"/>
        <v>1</v>
      </c>
      <c r="BF182" s="140">
        <f t="shared" si="277"/>
        <v>1</v>
      </c>
      <c r="BG182" s="140">
        <f t="shared" si="277"/>
        <v>1</v>
      </c>
      <c r="BH182" s="140">
        <f t="shared" si="277"/>
        <v>1</v>
      </c>
      <c r="BI182" s="140">
        <f t="shared" si="277"/>
        <v>1</v>
      </c>
      <c r="BJ182" s="140">
        <f t="shared" si="277"/>
        <v>1</v>
      </c>
      <c r="BK182" s="140">
        <f t="shared" si="277"/>
        <v>1</v>
      </c>
      <c r="BL182" s="140">
        <f t="shared" si="277"/>
        <v>1</v>
      </c>
      <c r="BM182" s="140">
        <f t="shared" si="277"/>
        <v>1</v>
      </c>
      <c r="BN182" s="140">
        <f t="shared" si="277"/>
        <v>1</v>
      </c>
      <c r="BO182" s="140">
        <f t="shared" si="277"/>
        <v>1</v>
      </c>
      <c r="BP182" s="140">
        <f t="shared" si="277"/>
        <v>1</v>
      </c>
      <c r="BQ182" s="140">
        <f t="shared" si="277"/>
        <v>1</v>
      </c>
      <c r="BR182" s="140">
        <f t="shared" si="277"/>
        <v>1</v>
      </c>
      <c r="BS182" s="140">
        <f t="shared" si="277"/>
        <v>1</v>
      </c>
      <c r="BT182" s="140">
        <f t="shared" si="277"/>
        <v>1</v>
      </c>
      <c r="BU182" s="140">
        <f t="shared" si="277"/>
        <v>1</v>
      </c>
      <c r="BV182" s="140">
        <f t="shared" si="277"/>
        <v>1</v>
      </c>
      <c r="BW182" s="140">
        <f t="shared" si="277"/>
        <v>1</v>
      </c>
      <c r="BX182" s="140">
        <f t="shared" si="277"/>
        <v>1</v>
      </c>
      <c r="BY182" s="140">
        <f t="shared" si="277"/>
        <v>1</v>
      </c>
      <c r="BZ182" s="140">
        <f t="shared" si="277"/>
        <v>1</v>
      </c>
      <c r="CA182" s="140">
        <f t="shared" si="277"/>
        <v>1</v>
      </c>
      <c r="CB182" s="140">
        <f>EXP(-CB181*CB180)</f>
        <v>1</v>
      </c>
      <c r="CC182" s="17"/>
      <c r="CD182" s="17"/>
      <c r="CE182" s="17"/>
    </row>
    <row r="183" spans="1:83">
      <c r="A183" s="17"/>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17"/>
      <c r="CD183" s="17"/>
      <c r="CE183" s="17"/>
    </row>
    <row r="184" spans="1:83">
      <c r="A184" s="16" t="s">
        <v>40</v>
      </c>
      <c r="B184" s="140">
        <f t="shared" ref="B184:BM184" si="278">DAYS360($B$3,B70)</f>
        <v>-43022</v>
      </c>
      <c r="C184" s="140">
        <f t="shared" si="278"/>
        <v>-42842</v>
      </c>
      <c r="D184" s="140">
        <f t="shared" si="278"/>
        <v>-42662</v>
      </c>
      <c r="E184" s="140">
        <f t="shared" si="278"/>
        <v>-42482</v>
      </c>
      <c r="F184" s="140">
        <f t="shared" si="278"/>
        <v>-42302</v>
      </c>
      <c r="G184" s="140">
        <f t="shared" si="278"/>
        <v>-42122</v>
      </c>
      <c r="H184" s="140">
        <f t="shared" si="278"/>
        <v>-41942</v>
      </c>
      <c r="I184" s="140">
        <f t="shared" si="278"/>
        <v>-41762</v>
      </c>
      <c r="J184" s="140">
        <f t="shared" si="278"/>
        <v>-41582</v>
      </c>
      <c r="K184" s="140">
        <f t="shared" si="278"/>
        <v>-41403</v>
      </c>
      <c r="L184" s="140">
        <f t="shared" si="278"/>
        <v>-41223</v>
      </c>
      <c r="M184" s="140">
        <f t="shared" si="278"/>
        <v>-41043</v>
      </c>
      <c r="N184" s="140">
        <f t="shared" si="278"/>
        <v>-40863</v>
      </c>
      <c r="O184" s="140">
        <f t="shared" si="278"/>
        <v>-40683</v>
      </c>
      <c r="P184" s="140">
        <f t="shared" si="278"/>
        <v>-40503</v>
      </c>
      <c r="Q184" s="140">
        <f t="shared" si="278"/>
        <v>-40323</v>
      </c>
      <c r="R184" s="140">
        <f t="shared" si="278"/>
        <v>-40143</v>
      </c>
      <c r="S184" s="140">
        <f t="shared" si="278"/>
        <v>-39964</v>
      </c>
      <c r="T184" s="140">
        <f t="shared" si="278"/>
        <v>-39784</v>
      </c>
      <c r="U184" s="140">
        <f t="shared" si="278"/>
        <v>-39604</v>
      </c>
      <c r="V184" s="140">
        <f t="shared" si="278"/>
        <v>-39424</v>
      </c>
      <c r="W184" s="140">
        <f t="shared" si="278"/>
        <v>-39244</v>
      </c>
      <c r="X184" s="140">
        <f t="shared" si="278"/>
        <v>-39064</v>
      </c>
      <c r="Y184" s="140">
        <f t="shared" si="278"/>
        <v>-38884</v>
      </c>
      <c r="Z184" s="140">
        <f t="shared" si="278"/>
        <v>-38704</v>
      </c>
      <c r="AA184" s="140">
        <f t="shared" si="278"/>
        <v>-38525</v>
      </c>
      <c r="AB184" s="140">
        <f t="shared" si="278"/>
        <v>-38345</v>
      </c>
      <c r="AC184" s="140">
        <f t="shared" si="278"/>
        <v>-38165</v>
      </c>
      <c r="AD184" s="140">
        <f t="shared" si="278"/>
        <v>-37985</v>
      </c>
      <c r="AE184" s="140">
        <f t="shared" si="278"/>
        <v>-37805</v>
      </c>
      <c r="AF184" s="140">
        <f t="shared" si="278"/>
        <v>-37625</v>
      </c>
      <c r="AG184" s="140">
        <f t="shared" si="278"/>
        <v>-37445</v>
      </c>
      <c r="AH184" s="140">
        <f t="shared" si="278"/>
        <v>-37265</v>
      </c>
      <c r="AI184" s="140">
        <f t="shared" si="278"/>
        <v>-37086</v>
      </c>
      <c r="AJ184" s="140">
        <f t="shared" si="278"/>
        <v>-36906</v>
      </c>
      <c r="AK184" s="140">
        <f t="shared" si="278"/>
        <v>-36726</v>
      </c>
      <c r="AL184" s="140">
        <f t="shared" si="278"/>
        <v>-36546</v>
      </c>
      <c r="AM184" s="140">
        <f t="shared" si="278"/>
        <v>-36366</v>
      </c>
      <c r="AN184" s="140">
        <f t="shared" si="278"/>
        <v>-36186</v>
      </c>
      <c r="AO184" s="140">
        <f t="shared" si="278"/>
        <v>-36006</v>
      </c>
      <c r="AP184" s="140">
        <f t="shared" si="278"/>
        <v>-35826</v>
      </c>
      <c r="AQ184" s="140">
        <f t="shared" si="278"/>
        <v>-35647</v>
      </c>
      <c r="AR184" s="140">
        <f t="shared" si="278"/>
        <v>-35467</v>
      </c>
      <c r="AS184" s="140">
        <f t="shared" si="278"/>
        <v>-35287</v>
      </c>
      <c r="AT184" s="140">
        <f t="shared" si="278"/>
        <v>-35107</v>
      </c>
      <c r="AU184" s="140">
        <f t="shared" si="278"/>
        <v>-34927</v>
      </c>
      <c r="AV184" s="140">
        <f t="shared" si="278"/>
        <v>-34747</v>
      </c>
      <c r="AW184" s="140">
        <f t="shared" si="278"/>
        <v>-34567</v>
      </c>
      <c r="AX184" s="140">
        <f t="shared" si="278"/>
        <v>-34387</v>
      </c>
      <c r="AY184" s="140">
        <f t="shared" si="278"/>
        <v>-34208</v>
      </c>
      <c r="AZ184" s="140">
        <f t="shared" si="278"/>
        <v>-34028</v>
      </c>
      <c r="BA184" s="140">
        <f t="shared" si="278"/>
        <v>-33848</v>
      </c>
      <c r="BB184" s="140">
        <f t="shared" si="278"/>
        <v>-33668</v>
      </c>
      <c r="BC184" s="140">
        <f t="shared" si="278"/>
        <v>-33488</v>
      </c>
      <c r="BD184" s="140">
        <f t="shared" si="278"/>
        <v>-33308</v>
      </c>
      <c r="BE184" s="140">
        <f t="shared" si="278"/>
        <v>-33128</v>
      </c>
      <c r="BF184" s="140">
        <f t="shared" si="278"/>
        <v>-32948</v>
      </c>
      <c r="BG184" s="140">
        <f t="shared" si="278"/>
        <v>-32769</v>
      </c>
      <c r="BH184" s="140">
        <f t="shared" si="278"/>
        <v>-32589</v>
      </c>
      <c r="BI184" s="140">
        <f t="shared" si="278"/>
        <v>-32409</v>
      </c>
      <c r="BJ184" s="140">
        <f t="shared" si="278"/>
        <v>-32229</v>
      </c>
      <c r="BK184" s="140">
        <f t="shared" si="278"/>
        <v>-32049</v>
      </c>
      <c r="BL184" s="140">
        <f t="shared" si="278"/>
        <v>-31869</v>
      </c>
      <c r="BM184" s="140">
        <f t="shared" si="278"/>
        <v>-31689</v>
      </c>
      <c r="BN184" s="140">
        <f t="shared" ref="BN184:CB184" si="279">DAYS360($B$3,BN70)</f>
        <v>-31509</v>
      </c>
      <c r="BO184" s="140">
        <f t="shared" si="279"/>
        <v>-31330</v>
      </c>
      <c r="BP184" s="140">
        <f t="shared" si="279"/>
        <v>-31150</v>
      </c>
      <c r="BQ184" s="140">
        <f t="shared" si="279"/>
        <v>-30970</v>
      </c>
      <c r="BR184" s="140">
        <f t="shared" si="279"/>
        <v>-30790</v>
      </c>
      <c r="BS184" s="140">
        <f t="shared" si="279"/>
        <v>-30610</v>
      </c>
      <c r="BT184" s="140">
        <f t="shared" si="279"/>
        <v>-30430</v>
      </c>
      <c r="BU184" s="140">
        <f t="shared" si="279"/>
        <v>-30250</v>
      </c>
      <c r="BV184" s="140">
        <f t="shared" si="279"/>
        <v>-30070</v>
      </c>
      <c r="BW184" s="140">
        <f t="shared" si="279"/>
        <v>-29891</v>
      </c>
      <c r="BX184" s="140">
        <f t="shared" si="279"/>
        <v>-29711</v>
      </c>
      <c r="BY184" s="140">
        <f t="shared" si="279"/>
        <v>-29531</v>
      </c>
      <c r="BZ184" s="140">
        <f t="shared" si="279"/>
        <v>-29351</v>
      </c>
      <c r="CA184" s="140">
        <f t="shared" si="279"/>
        <v>-29171</v>
      </c>
      <c r="CB184" s="140">
        <f t="shared" si="279"/>
        <v>-28991</v>
      </c>
      <c r="CC184" s="17"/>
      <c r="CD184" s="17"/>
      <c r="CE184" s="17"/>
    </row>
    <row r="185" spans="1:83">
      <c r="A185" s="16" t="s">
        <v>41</v>
      </c>
      <c r="B185" s="140">
        <f>B184/360</f>
        <v>-119.50555555555556</v>
      </c>
      <c r="C185" s="140">
        <f t="shared" ref="C185:BN185" si="280">C184/360</f>
        <v>-119.00555555555556</v>
      </c>
      <c r="D185" s="140">
        <f t="shared" si="280"/>
        <v>-118.50555555555556</v>
      </c>
      <c r="E185" s="140">
        <f t="shared" si="280"/>
        <v>-118.00555555555556</v>
      </c>
      <c r="F185" s="140">
        <f t="shared" si="280"/>
        <v>-117.50555555555556</v>
      </c>
      <c r="G185" s="140">
        <f t="shared" si="280"/>
        <v>-117.00555555555556</v>
      </c>
      <c r="H185" s="140">
        <f t="shared" si="280"/>
        <v>-116.50555555555556</v>
      </c>
      <c r="I185" s="140">
        <f t="shared" si="280"/>
        <v>-116.00555555555556</v>
      </c>
      <c r="J185" s="140">
        <f t="shared" si="280"/>
        <v>-115.50555555555556</v>
      </c>
      <c r="K185" s="140">
        <f t="shared" si="280"/>
        <v>-115.00833333333334</v>
      </c>
      <c r="L185" s="140">
        <f t="shared" si="280"/>
        <v>-114.50833333333334</v>
      </c>
      <c r="M185" s="140">
        <f t="shared" si="280"/>
        <v>-114.00833333333334</v>
      </c>
      <c r="N185" s="140">
        <f t="shared" si="280"/>
        <v>-113.50833333333334</v>
      </c>
      <c r="O185" s="140">
        <f t="shared" si="280"/>
        <v>-113.00833333333334</v>
      </c>
      <c r="P185" s="140">
        <f t="shared" si="280"/>
        <v>-112.50833333333334</v>
      </c>
      <c r="Q185" s="140">
        <f t="shared" si="280"/>
        <v>-112.00833333333334</v>
      </c>
      <c r="R185" s="140">
        <f t="shared" si="280"/>
        <v>-111.50833333333334</v>
      </c>
      <c r="S185" s="140">
        <f t="shared" si="280"/>
        <v>-111.01111111111111</v>
      </c>
      <c r="T185" s="140">
        <f t="shared" si="280"/>
        <v>-110.51111111111111</v>
      </c>
      <c r="U185" s="140">
        <f t="shared" si="280"/>
        <v>-110.01111111111111</v>
      </c>
      <c r="V185" s="140">
        <f t="shared" si="280"/>
        <v>-109.51111111111111</v>
      </c>
      <c r="W185" s="140">
        <f t="shared" si="280"/>
        <v>-109.01111111111111</v>
      </c>
      <c r="X185" s="140">
        <f t="shared" si="280"/>
        <v>-108.51111111111111</v>
      </c>
      <c r="Y185" s="140">
        <f t="shared" si="280"/>
        <v>-108.01111111111111</v>
      </c>
      <c r="Z185" s="140">
        <f t="shared" si="280"/>
        <v>-107.51111111111111</v>
      </c>
      <c r="AA185" s="140">
        <f t="shared" si="280"/>
        <v>-107.01388888888889</v>
      </c>
      <c r="AB185" s="140">
        <f t="shared" si="280"/>
        <v>-106.51388888888889</v>
      </c>
      <c r="AC185" s="140">
        <f t="shared" si="280"/>
        <v>-106.01388888888889</v>
      </c>
      <c r="AD185" s="140">
        <f t="shared" si="280"/>
        <v>-105.51388888888889</v>
      </c>
      <c r="AE185" s="140">
        <f t="shared" si="280"/>
        <v>-105.01388888888889</v>
      </c>
      <c r="AF185" s="140">
        <f t="shared" si="280"/>
        <v>-104.51388888888889</v>
      </c>
      <c r="AG185" s="140">
        <f t="shared" si="280"/>
        <v>-104.01388888888889</v>
      </c>
      <c r="AH185" s="140">
        <f t="shared" si="280"/>
        <v>-103.51388888888889</v>
      </c>
      <c r="AI185" s="140">
        <f t="shared" si="280"/>
        <v>-103.01666666666667</v>
      </c>
      <c r="AJ185" s="140">
        <f t="shared" si="280"/>
        <v>-102.51666666666667</v>
      </c>
      <c r="AK185" s="140">
        <f t="shared" si="280"/>
        <v>-102.01666666666667</v>
      </c>
      <c r="AL185" s="140">
        <f t="shared" si="280"/>
        <v>-101.51666666666667</v>
      </c>
      <c r="AM185" s="140">
        <f t="shared" si="280"/>
        <v>-101.01666666666667</v>
      </c>
      <c r="AN185" s="140">
        <f t="shared" si="280"/>
        <v>-100.51666666666667</v>
      </c>
      <c r="AO185" s="140">
        <f t="shared" si="280"/>
        <v>-100.01666666666667</v>
      </c>
      <c r="AP185" s="140">
        <f t="shared" si="280"/>
        <v>-99.516666666666666</v>
      </c>
      <c r="AQ185" s="140">
        <f t="shared" si="280"/>
        <v>-99.019444444444446</v>
      </c>
      <c r="AR185" s="140">
        <f t="shared" si="280"/>
        <v>-98.519444444444446</v>
      </c>
      <c r="AS185" s="140">
        <f t="shared" si="280"/>
        <v>-98.019444444444446</v>
      </c>
      <c r="AT185" s="140">
        <f t="shared" si="280"/>
        <v>-97.519444444444446</v>
      </c>
      <c r="AU185" s="140">
        <f t="shared" si="280"/>
        <v>-97.019444444444446</v>
      </c>
      <c r="AV185" s="140">
        <f t="shared" si="280"/>
        <v>-96.519444444444446</v>
      </c>
      <c r="AW185" s="140">
        <f t="shared" si="280"/>
        <v>-96.019444444444446</v>
      </c>
      <c r="AX185" s="140">
        <f t="shared" si="280"/>
        <v>-95.519444444444446</v>
      </c>
      <c r="AY185" s="140">
        <f t="shared" si="280"/>
        <v>-95.022222222222226</v>
      </c>
      <c r="AZ185" s="140">
        <f t="shared" si="280"/>
        <v>-94.522222222222226</v>
      </c>
      <c r="BA185" s="140">
        <f t="shared" si="280"/>
        <v>-94.022222222222226</v>
      </c>
      <c r="BB185" s="140">
        <f t="shared" si="280"/>
        <v>-93.522222222222226</v>
      </c>
      <c r="BC185" s="140">
        <f t="shared" si="280"/>
        <v>-93.022222222222226</v>
      </c>
      <c r="BD185" s="140">
        <f t="shared" si="280"/>
        <v>-92.522222222222226</v>
      </c>
      <c r="BE185" s="140">
        <f t="shared" si="280"/>
        <v>-92.022222222222226</v>
      </c>
      <c r="BF185" s="140">
        <f t="shared" si="280"/>
        <v>-91.522222222222226</v>
      </c>
      <c r="BG185" s="140">
        <f t="shared" si="280"/>
        <v>-91.025000000000006</v>
      </c>
      <c r="BH185" s="140">
        <f t="shared" si="280"/>
        <v>-90.525000000000006</v>
      </c>
      <c r="BI185" s="140">
        <f t="shared" si="280"/>
        <v>-90.025000000000006</v>
      </c>
      <c r="BJ185" s="140">
        <f t="shared" si="280"/>
        <v>-89.525000000000006</v>
      </c>
      <c r="BK185" s="140">
        <f t="shared" si="280"/>
        <v>-89.025000000000006</v>
      </c>
      <c r="BL185" s="140">
        <f t="shared" si="280"/>
        <v>-88.525000000000006</v>
      </c>
      <c r="BM185" s="140">
        <f t="shared" si="280"/>
        <v>-88.025000000000006</v>
      </c>
      <c r="BN185" s="140">
        <f t="shared" si="280"/>
        <v>-87.525000000000006</v>
      </c>
      <c r="BO185" s="140">
        <f t="shared" ref="BO185:CB185" si="281">BO184/360</f>
        <v>-87.027777777777771</v>
      </c>
      <c r="BP185" s="140">
        <f t="shared" si="281"/>
        <v>-86.527777777777771</v>
      </c>
      <c r="BQ185" s="140">
        <f t="shared" si="281"/>
        <v>-86.027777777777771</v>
      </c>
      <c r="BR185" s="140">
        <f t="shared" si="281"/>
        <v>-85.527777777777771</v>
      </c>
      <c r="BS185" s="140">
        <f t="shared" si="281"/>
        <v>-85.027777777777771</v>
      </c>
      <c r="BT185" s="140">
        <f t="shared" si="281"/>
        <v>-84.527777777777771</v>
      </c>
      <c r="BU185" s="140">
        <f t="shared" si="281"/>
        <v>-84.027777777777771</v>
      </c>
      <c r="BV185" s="140">
        <f t="shared" si="281"/>
        <v>-83.527777777777771</v>
      </c>
      <c r="BW185" s="140">
        <f t="shared" si="281"/>
        <v>-83.030555555555551</v>
      </c>
      <c r="BX185" s="140">
        <f t="shared" si="281"/>
        <v>-82.530555555555551</v>
      </c>
      <c r="BY185" s="140">
        <f t="shared" si="281"/>
        <v>-82.030555555555551</v>
      </c>
      <c r="BZ185" s="140">
        <f t="shared" si="281"/>
        <v>-81.530555555555551</v>
      </c>
      <c r="CA185" s="140">
        <f t="shared" si="281"/>
        <v>-81.030555555555551</v>
      </c>
      <c r="CB185" s="140">
        <f t="shared" si="281"/>
        <v>-80.530555555555551</v>
      </c>
      <c r="CC185" s="17"/>
      <c r="CD185" s="17"/>
      <c r="CE185" s="17"/>
    </row>
    <row r="186" spans="1:83">
      <c r="A186" s="16" t="s">
        <v>43</v>
      </c>
      <c r="B186" s="140">
        <f>IF(B184&lt;0,0,$B$5+$B$6*((1-EXP(-B185/$B$9))/(B185/$B$9))+$B$7*((1-EXP(-B185/$B$9))/(B185/$B$9)-EXP(-B185/$B$9))+$B$8*((1-EXP(-B185/$B$10))/(B185/$B$10)-EXP(-B185/$B$10)))</f>
        <v>0</v>
      </c>
      <c r="C186" s="140">
        <f t="shared" ref="C186:BN186" si="282">IF(C184&lt;0,0,$B$5+$B$6*((1-EXP(-C185/$B$9))/(C185/$B$9))+$B$7*((1-EXP(-C185/$B$9))/(C185/$B$9)-EXP(-C185/$B$9))+$B$8*((1-EXP(-C185/$B$10))/(C185/$B$10)-EXP(-C185/$B$10)))</f>
        <v>0</v>
      </c>
      <c r="D186" s="140">
        <f t="shared" si="282"/>
        <v>0</v>
      </c>
      <c r="E186" s="140">
        <f t="shared" si="282"/>
        <v>0</v>
      </c>
      <c r="F186" s="140">
        <f t="shared" si="282"/>
        <v>0</v>
      </c>
      <c r="G186" s="140">
        <f t="shared" si="282"/>
        <v>0</v>
      </c>
      <c r="H186" s="140">
        <f t="shared" si="282"/>
        <v>0</v>
      </c>
      <c r="I186" s="140">
        <f t="shared" si="282"/>
        <v>0</v>
      </c>
      <c r="J186" s="140">
        <f t="shared" si="282"/>
        <v>0</v>
      </c>
      <c r="K186" s="140">
        <f t="shared" si="282"/>
        <v>0</v>
      </c>
      <c r="L186" s="140">
        <f t="shared" si="282"/>
        <v>0</v>
      </c>
      <c r="M186" s="140">
        <f t="shared" si="282"/>
        <v>0</v>
      </c>
      <c r="N186" s="140">
        <f t="shared" si="282"/>
        <v>0</v>
      </c>
      <c r="O186" s="140">
        <f t="shared" si="282"/>
        <v>0</v>
      </c>
      <c r="P186" s="140">
        <f t="shared" si="282"/>
        <v>0</v>
      </c>
      <c r="Q186" s="140">
        <f t="shared" si="282"/>
        <v>0</v>
      </c>
      <c r="R186" s="140">
        <f t="shared" si="282"/>
        <v>0</v>
      </c>
      <c r="S186" s="140">
        <f t="shared" si="282"/>
        <v>0</v>
      </c>
      <c r="T186" s="140">
        <f t="shared" si="282"/>
        <v>0</v>
      </c>
      <c r="U186" s="140">
        <f t="shared" si="282"/>
        <v>0</v>
      </c>
      <c r="V186" s="140">
        <f t="shared" si="282"/>
        <v>0</v>
      </c>
      <c r="W186" s="140">
        <f t="shared" si="282"/>
        <v>0</v>
      </c>
      <c r="X186" s="140">
        <f t="shared" si="282"/>
        <v>0</v>
      </c>
      <c r="Y186" s="140">
        <f t="shared" si="282"/>
        <v>0</v>
      </c>
      <c r="Z186" s="140">
        <f t="shared" si="282"/>
        <v>0</v>
      </c>
      <c r="AA186" s="140">
        <f t="shared" si="282"/>
        <v>0</v>
      </c>
      <c r="AB186" s="140">
        <f t="shared" si="282"/>
        <v>0</v>
      </c>
      <c r="AC186" s="140">
        <f t="shared" si="282"/>
        <v>0</v>
      </c>
      <c r="AD186" s="140">
        <f t="shared" si="282"/>
        <v>0</v>
      </c>
      <c r="AE186" s="140">
        <f t="shared" si="282"/>
        <v>0</v>
      </c>
      <c r="AF186" s="140">
        <f t="shared" si="282"/>
        <v>0</v>
      </c>
      <c r="AG186" s="140">
        <f t="shared" si="282"/>
        <v>0</v>
      </c>
      <c r="AH186" s="140">
        <f t="shared" si="282"/>
        <v>0</v>
      </c>
      <c r="AI186" s="140">
        <f t="shared" si="282"/>
        <v>0</v>
      </c>
      <c r="AJ186" s="140">
        <f t="shared" si="282"/>
        <v>0</v>
      </c>
      <c r="AK186" s="140">
        <f t="shared" si="282"/>
        <v>0</v>
      </c>
      <c r="AL186" s="140">
        <f t="shared" si="282"/>
        <v>0</v>
      </c>
      <c r="AM186" s="140">
        <f t="shared" si="282"/>
        <v>0</v>
      </c>
      <c r="AN186" s="140">
        <f t="shared" si="282"/>
        <v>0</v>
      </c>
      <c r="AO186" s="140">
        <f t="shared" si="282"/>
        <v>0</v>
      </c>
      <c r="AP186" s="140">
        <f t="shared" si="282"/>
        <v>0</v>
      </c>
      <c r="AQ186" s="140">
        <f t="shared" si="282"/>
        <v>0</v>
      </c>
      <c r="AR186" s="140">
        <f t="shared" si="282"/>
        <v>0</v>
      </c>
      <c r="AS186" s="140">
        <f t="shared" si="282"/>
        <v>0</v>
      </c>
      <c r="AT186" s="140">
        <f t="shared" si="282"/>
        <v>0</v>
      </c>
      <c r="AU186" s="140">
        <f t="shared" si="282"/>
        <v>0</v>
      </c>
      <c r="AV186" s="140">
        <f t="shared" si="282"/>
        <v>0</v>
      </c>
      <c r="AW186" s="140">
        <f t="shared" si="282"/>
        <v>0</v>
      </c>
      <c r="AX186" s="140">
        <f t="shared" si="282"/>
        <v>0</v>
      </c>
      <c r="AY186" s="140">
        <f t="shared" si="282"/>
        <v>0</v>
      </c>
      <c r="AZ186" s="140">
        <f t="shared" si="282"/>
        <v>0</v>
      </c>
      <c r="BA186" s="140">
        <f t="shared" si="282"/>
        <v>0</v>
      </c>
      <c r="BB186" s="140">
        <f t="shared" si="282"/>
        <v>0</v>
      </c>
      <c r="BC186" s="140">
        <f t="shared" si="282"/>
        <v>0</v>
      </c>
      <c r="BD186" s="140">
        <f t="shared" si="282"/>
        <v>0</v>
      </c>
      <c r="BE186" s="140">
        <f t="shared" si="282"/>
        <v>0</v>
      </c>
      <c r="BF186" s="140">
        <f t="shared" si="282"/>
        <v>0</v>
      </c>
      <c r="BG186" s="140">
        <f t="shared" si="282"/>
        <v>0</v>
      </c>
      <c r="BH186" s="140">
        <f t="shared" si="282"/>
        <v>0</v>
      </c>
      <c r="BI186" s="140">
        <f t="shared" si="282"/>
        <v>0</v>
      </c>
      <c r="BJ186" s="140">
        <f t="shared" si="282"/>
        <v>0</v>
      </c>
      <c r="BK186" s="140">
        <f t="shared" si="282"/>
        <v>0</v>
      </c>
      <c r="BL186" s="140">
        <f t="shared" si="282"/>
        <v>0</v>
      </c>
      <c r="BM186" s="140">
        <f t="shared" si="282"/>
        <v>0</v>
      </c>
      <c r="BN186" s="140">
        <f t="shared" si="282"/>
        <v>0</v>
      </c>
      <c r="BO186" s="140">
        <f t="shared" ref="BO186:CB186" si="283">IF(BO184&lt;0,0,$B$5+$B$6*((1-EXP(-BO185/$B$9))/(BO185/$B$9))+$B$7*((1-EXP(-BO185/$B$9))/(BO185/$B$9)-EXP(-BO185/$B$9))+$B$8*((1-EXP(-BO185/$B$10))/(BO185/$B$10)-EXP(-BO185/$B$10)))</f>
        <v>0</v>
      </c>
      <c r="BP186" s="140">
        <f t="shared" si="283"/>
        <v>0</v>
      </c>
      <c r="BQ186" s="140">
        <f t="shared" si="283"/>
        <v>0</v>
      </c>
      <c r="BR186" s="140">
        <f t="shared" si="283"/>
        <v>0</v>
      </c>
      <c r="BS186" s="140">
        <f t="shared" si="283"/>
        <v>0</v>
      </c>
      <c r="BT186" s="140">
        <f t="shared" si="283"/>
        <v>0</v>
      </c>
      <c r="BU186" s="140">
        <f t="shared" si="283"/>
        <v>0</v>
      </c>
      <c r="BV186" s="140">
        <f t="shared" si="283"/>
        <v>0</v>
      </c>
      <c r="BW186" s="140">
        <f t="shared" si="283"/>
        <v>0</v>
      </c>
      <c r="BX186" s="140">
        <f t="shared" si="283"/>
        <v>0</v>
      </c>
      <c r="BY186" s="140">
        <f t="shared" si="283"/>
        <v>0</v>
      </c>
      <c r="BZ186" s="140">
        <f t="shared" si="283"/>
        <v>0</v>
      </c>
      <c r="CA186" s="140">
        <f t="shared" si="283"/>
        <v>0</v>
      </c>
      <c r="CB186" s="140">
        <f t="shared" si="283"/>
        <v>0</v>
      </c>
      <c r="CC186" s="17"/>
      <c r="CD186" s="17"/>
      <c r="CE186" s="17"/>
    </row>
    <row r="187" spans="1:83">
      <c r="A187" s="16" t="s">
        <v>44</v>
      </c>
      <c r="B187" s="140">
        <f>EXP(-B186*B185)</f>
        <v>1</v>
      </c>
      <c r="C187" s="140">
        <f t="shared" ref="C187:AR187" si="284">EXP(-C186*C185)</f>
        <v>1</v>
      </c>
      <c r="D187" s="140">
        <f t="shared" si="284"/>
        <v>1</v>
      </c>
      <c r="E187" s="140">
        <f t="shared" si="284"/>
        <v>1</v>
      </c>
      <c r="F187" s="140">
        <f t="shared" si="284"/>
        <v>1</v>
      </c>
      <c r="G187" s="140">
        <f t="shared" si="284"/>
        <v>1</v>
      </c>
      <c r="H187" s="140">
        <f t="shared" si="284"/>
        <v>1</v>
      </c>
      <c r="I187" s="140">
        <f t="shared" si="284"/>
        <v>1</v>
      </c>
      <c r="J187" s="140">
        <f t="shared" si="284"/>
        <v>1</v>
      </c>
      <c r="K187" s="140">
        <f t="shared" si="284"/>
        <v>1</v>
      </c>
      <c r="L187" s="140">
        <f t="shared" si="284"/>
        <v>1</v>
      </c>
      <c r="M187" s="140">
        <f t="shared" si="284"/>
        <v>1</v>
      </c>
      <c r="N187" s="140">
        <f t="shared" si="284"/>
        <v>1</v>
      </c>
      <c r="O187" s="140">
        <f t="shared" si="284"/>
        <v>1</v>
      </c>
      <c r="P187" s="140">
        <f t="shared" si="284"/>
        <v>1</v>
      </c>
      <c r="Q187" s="140">
        <f t="shared" si="284"/>
        <v>1</v>
      </c>
      <c r="R187" s="140">
        <f t="shared" si="284"/>
        <v>1</v>
      </c>
      <c r="S187" s="140">
        <f t="shared" si="284"/>
        <v>1</v>
      </c>
      <c r="T187" s="140">
        <f t="shared" si="284"/>
        <v>1</v>
      </c>
      <c r="U187" s="140">
        <f t="shared" si="284"/>
        <v>1</v>
      </c>
      <c r="V187" s="140">
        <f t="shared" si="284"/>
        <v>1</v>
      </c>
      <c r="W187" s="140">
        <f t="shared" si="284"/>
        <v>1</v>
      </c>
      <c r="X187" s="140">
        <f t="shared" si="284"/>
        <v>1</v>
      </c>
      <c r="Y187" s="140">
        <f t="shared" si="284"/>
        <v>1</v>
      </c>
      <c r="Z187" s="140">
        <f t="shared" si="284"/>
        <v>1</v>
      </c>
      <c r="AA187" s="140">
        <f t="shared" si="284"/>
        <v>1</v>
      </c>
      <c r="AB187" s="140">
        <f t="shared" si="284"/>
        <v>1</v>
      </c>
      <c r="AC187" s="140">
        <f t="shared" si="284"/>
        <v>1</v>
      </c>
      <c r="AD187" s="140">
        <f t="shared" si="284"/>
        <v>1</v>
      </c>
      <c r="AE187" s="140">
        <f t="shared" si="284"/>
        <v>1</v>
      </c>
      <c r="AF187" s="140">
        <f t="shared" si="284"/>
        <v>1</v>
      </c>
      <c r="AG187" s="140">
        <f t="shared" si="284"/>
        <v>1</v>
      </c>
      <c r="AH187" s="140">
        <f t="shared" si="284"/>
        <v>1</v>
      </c>
      <c r="AI187" s="140">
        <f t="shared" si="284"/>
        <v>1</v>
      </c>
      <c r="AJ187" s="140">
        <f t="shared" si="284"/>
        <v>1</v>
      </c>
      <c r="AK187" s="140">
        <f t="shared" si="284"/>
        <v>1</v>
      </c>
      <c r="AL187" s="140">
        <f t="shared" si="284"/>
        <v>1</v>
      </c>
      <c r="AM187" s="140">
        <f t="shared" si="284"/>
        <v>1</v>
      </c>
      <c r="AN187" s="140">
        <f t="shared" si="284"/>
        <v>1</v>
      </c>
      <c r="AO187" s="140">
        <f t="shared" si="284"/>
        <v>1</v>
      </c>
      <c r="AP187" s="140">
        <f t="shared" si="284"/>
        <v>1</v>
      </c>
      <c r="AQ187" s="140">
        <f t="shared" si="284"/>
        <v>1</v>
      </c>
      <c r="AR187" s="140">
        <f t="shared" si="284"/>
        <v>1</v>
      </c>
      <c r="AS187" s="140">
        <f>EXP(-AS186*AS185)</f>
        <v>1</v>
      </c>
      <c r="AT187" s="140">
        <f t="shared" ref="AT187:CA187" si="285">EXP(-AT186*AT185)</f>
        <v>1</v>
      </c>
      <c r="AU187" s="140">
        <f t="shared" si="285"/>
        <v>1</v>
      </c>
      <c r="AV187" s="140">
        <f t="shared" si="285"/>
        <v>1</v>
      </c>
      <c r="AW187" s="140">
        <f t="shared" si="285"/>
        <v>1</v>
      </c>
      <c r="AX187" s="140">
        <f t="shared" si="285"/>
        <v>1</v>
      </c>
      <c r="AY187" s="140">
        <f t="shared" si="285"/>
        <v>1</v>
      </c>
      <c r="AZ187" s="140">
        <f t="shared" si="285"/>
        <v>1</v>
      </c>
      <c r="BA187" s="140">
        <f t="shared" si="285"/>
        <v>1</v>
      </c>
      <c r="BB187" s="140">
        <f t="shared" si="285"/>
        <v>1</v>
      </c>
      <c r="BC187" s="140">
        <f t="shared" si="285"/>
        <v>1</v>
      </c>
      <c r="BD187" s="140">
        <f t="shared" si="285"/>
        <v>1</v>
      </c>
      <c r="BE187" s="140">
        <f t="shared" si="285"/>
        <v>1</v>
      </c>
      <c r="BF187" s="140">
        <f t="shared" si="285"/>
        <v>1</v>
      </c>
      <c r="BG187" s="140">
        <f t="shared" si="285"/>
        <v>1</v>
      </c>
      <c r="BH187" s="140">
        <f t="shared" si="285"/>
        <v>1</v>
      </c>
      <c r="BI187" s="140">
        <f t="shared" si="285"/>
        <v>1</v>
      </c>
      <c r="BJ187" s="140">
        <f t="shared" si="285"/>
        <v>1</v>
      </c>
      <c r="BK187" s="140">
        <f t="shared" si="285"/>
        <v>1</v>
      </c>
      <c r="BL187" s="140">
        <f t="shared" si="285"/>
        <v>1</v>
      </c>
      <c r="BM187" s="140">
        <f t="shared" si="285"/>
        <v>1</v>
      </c>
      <c r="BN187" s="140">
        <f t="shared" si="285"/>
        <v>1</v>
      </c>
      <c r="BO187" s="140">
        <f t="shared" si="285"/>
        <v>1</v>
      </c>
      <c r="BP187" s="140">
        <f t="shared" si="285"/>
        <v>1</v>
      </c>
      <c r="BQ187" s="140">
        <f t="shared" si="285"/>
        <v>1</v>
      </c>
      <c r="BR187" s="140">
        <f t="shared" si="285"/>
        <v>1</v>
      </c>
      <c r="BS187" s="140">
        <f t="shared" si="285"/>
        <v>1</v>
      </c>
      <c r="BT187" s="140">
        <f t="shared" si="285"/>
        <v>1</v>
      </c>
      <c r="BU187" s="140">
        <f t="shared" si="285"/>
        <v>1</v>
      </c>
      <c r="BV187" s="140">
        <f t="shared" si="285"/>
        <v>1</v>
      </c>
      <c r="BW187" s="140">
        <f t="shared" si="285"/>
        <v>1</v>
      </c>
      <c r="BX187" s="140">
        <f t="shared" si="285"/>
        <v>1</v>
      </c>
      <c r="BY187" s="140">
        <f t="shared" si="285"/>
        <v>1</v>
      </c>
      <c r="BZ187" s="140">
        <f t="shared" si="285"/>
        <v>1</v>
      </c>
      <c r="CA187" s="140">
        <f t="shared" si="285"/>
        <v>1</v>
      </c>
      <c r="CB187" s="140">
        <f>EXP(-CB186*CB185)</f>
        <v>1</v>
      </c>
      <c r="CC187" s="17"/>
      <c r="CD187" s="17"/>
      <c r="CE187" s="17"/>
    </row>
    <row r="188" spans="1:83">
      <c r="A188" s="17"/>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17"/>
      <c r="CD188" s="17"/>
      <c r="CE188" s="17"/>
    </row>
    <row r="189" spans="1:83">
      <c r="A189" s="16" t="s">
        <v>40</v>
      </c>
      <c r="B189" s="140">
        <f t="shared" ref="B189:BM189" si="286">DAYS360($B$3,B72)</f>
        <v>-43022</v>
      </c>
      <c r="C189" s="140">
        <f t="shared" si="286"/>
        <v>-42842</v>
      </c>
      <c r="D189" s="140">
        <f t="shared" si="286"/>
        <v>-42662</v>
      </c>
      <c r="E189" s="140">
        <f t="shared" si="286"/>
        <v>-42482</v>
      </c>
      <c r="F189" s="140">
        <f t="shared" si="286"/>
        <v>-42302</v>
      </c>
      <c r="G189" s="140">
        <f t="shared" si="286"/>
        <v>-42122</v>
      </c>
      <c r="H189" s="140">
        <f t="shared" si="286"/>
        <v>-41942</v>
      </c>
      <c r="I189" s="140">
        <f t="shared" si="286"/>
        <v>-41762</v>
      </c>
      <c r="J189" s="140">
        <f t="shared" si="286"/>
        <v>-41582</v>
      </c>
      <c r="K189" s="140">
        <f t="shared" si="286"/>
        <v>-41403</v>
      </c>
      <c r="L189" s="140">
        <f t="shared" si="286"/>
        <v>-41223</v>
      </c>
      <c r="M189" s="140">
        <f t="shared" si="286"/>
        <v>-41043</v>
      </c>
      <c r="N189" s="140">
        <f t="shared" si="286"/>
        <v>-40863</v>
      </c>
      <c r="O189" s="140">
        <f t="shared" si="286"/>
        <v>-40683</v>
      </c>
      <c r="P189" s="140">
        <f t="shared" si="286"/>
        <v>-40503</v>
      </c>
      <c r="Q189" s="140">
        <f t="shared" si="286"/>
        <v>-40323</v>
      </c>
      <c r="R189" s="140">
        <f t="shared" si="286"/>
        <v>-40143</v>
      </c>
      <c r="S189" s="140">
        <f t="shared" si="286"/>
        <v>-39964</v>
      </c>
      <c r="T189" s="140">
        <f t="shared" si="286"/>
        <v>-39784</v>
      </c>
      <c r="U189" s="140">
        <f t="shared" si="286"/>
        <v>-39604</v>
      </c>
      <c r="V189" s="140">
        <f t="shared" si="286"/>
        <v>-39424</v>
      </c>
      <c r="W189" s="140">
        <f t="shared" si="286"/>
        <v>-39244</v>
      </c>
      <c r="X189" s="140">
        <f t="shared" si="286"/>
        <v>-39064</v>
      </c>
      <c r="Y189" s="140">
        <f t="shared" si="286"/>
        <v>-38884</v>
      </c>
      <c r="Z189" s="140">
        <f t="shared" si="286"/>
        <v>-38704</v>
      </c>
      <c r="AA189" s="140">
        <f t="shared" si="286"/>
        <v>-38525</v>
      </c>
      <c r="AB189" s="140">
        <f t="shared" si="286"/>
        <v>-38345</v>
      </c>
      <c r="AC189" s="140">
        <f t="shared" si="286"/>
        <v>-38165</v>
      </c>
      <c r="AD189" s="140">
        <f t="shared" si="286"/>
        <v>-37985</v>
      </c>
      <c r="AE189" s="140">
        <f t="shared" si="286"/>
        <v>-37805</v>
      </c>
      <c r="AF189" s="140">
        <f t="shared" si="286"/>
        <v>-37625</v>
      </c>
      <c r="AG189" s="140">
        <f t="shared" si="286"/>
        <v>-37445</v>
      </c>
      <c r="AH189" s="140">
        <f t="shared" si="286"/>
        <v>-37265</v>
      </c>
      <c r="AI189" s="140">
        <f t="shared" si="286"/>
        <v>-37086</v>
      </c>
      <c r="AJ189" s="140">
        <f t="shared" si="286"/>
        <v>-36906</v>
      </c>
      <c r="AK189" s="140">
        <f t="shared" si="286"/>
        <v>-36726</v>
      </c>
      <c r="AL189" s="140">
        <f t="shared" si="286"/>
        <v>-36546</v>
      </c>
      <c r="AM189" s="140">
        <f t="shared" si="286"/>
        <v>-36366</v>
      </c>
      <c r="AN189" s="140">
        <f t="shared" si="286"/>
        <v>-36186</v>
      </c>
      <c r="AO189" s="140">
        <f t="shared" si="286"/>
        <v>-36006</v>
      </c>
      <c r="AP189" s="140">
        <f t="shared" si="286"/>
        <v>-35826</v>
      </c>
      <c r="AQ189" s="140">
        <f t="shared" si="286"/>
        <v>-35647</v>
      </c>
      <c r="AR189" s="140">
        <f t="shared" si="286"/>
        <v>-35467</v>
      </c>
      <c r="AS189" s="140">
        <f t="shared" si="286"/>
        <v>-35287</v>
      </c>
      <c r="AT189" s="140">
        <f t="shared" si="286"/>
        <v>-35107</v>
      </c>
      <c r="AU189" s="140">
        <f t="shared" si="286"/>
        <v>-34927</v>
      </c>
      <c r="AV189" s="140">
        <f t="shared" si="286"/>
        <v>-34747</v>
      </c>
      <c r="AW189" s="140">
        <f t="shared" si="286"/>
        <v>-34567</v>
      </c>
      <c r="AX189" s="140">
        <f t="shared" si="286"/>
        <v>-34387</v>
      </c>
      <c r="AY189" s="140">
        <f t="shared" si="286"/>
        <v>-34208</v>
      </c>
      <c r="AZ189" s="140">
        <f t="shared" si="286"/>
        <v>-34028</v>
      </c>
      <c r="BA189" s="140">
        <f t="shared" si="286"/>
        <v>-33848</v>
      </c>
      <c r="BB189" s="140">
        <f t="shared" si="286"/>
        <v>-33668</v>
      </c>
      <c r="BC189" s="140">
        <f t="shared" si="286"/>
        <v>-33488</v>
      </c>
      <c r="BD189" s="140">
        <f t="shared" si="286"/>
        <v>-33308</v>
      </c>
      <c r="BE189" s="140">
        <f t="shared" si="286"/>
        <v>-33128</v>
      </c>
      <c r="BF189" s="140">
        <f t="shared" si="286"/>
        <v>-32948</v>
      </c>
      <c r="BG189" s="140">
        <f t="shared" si="286"/>
        <v>-32769</v>
      </c>
      <c r="BH189" s="140">
        <f t="shared" si="286"/>
        <v>-32589</v>
      </c>
      <c r="BI189" s="140">
        <f t="shared" si="286"/>
        <v>-32409</v>
      </c>
      <c r="BJ189" s="140">
        <f t="shared" si="286"/>
        <v>-32229</v>
      </c>
      <c r="BK189" s="140">
        <f t="shared" si="286"/>
        <v>-32049</v>
      </c>
      <c r="BL189" s="140">
        <f t="shared" si="286"/>
        <v>-31869</v>
      </c>
      <c r="BM189" s="140">
        <f t="shared" si="286"/>
        <v>-31689</v>
      </c>
      <c r="BN189" s="140">
        <f t="shared" ref="BN189:CB189" si="287">DAYS360($B$3,BN72)</f>
        <v>-31509</v>
      </c>
      <c r="BO189" s="140">
        <f t="shared" si="287"/>
        <v>-31330</v>
      </c>
      <c r="BP189" s="140">
        <f t="shared" si="287"/>
        <v>-31150</v>
      </c>
      <c r="BQ189" s="140">
        <f t="shared" si="287"/>
        <v>-30970</v>
      </c>
      <c r="BR189" s="140">
        <f t="shared" si="287"/>
        <v>-30790</v>
      </c>
      <c r="BS189" s="140">
        <f t="shared" si="287"/>
        <v>-30610</v>
      </c>
      <c r="BT189" s="140">
        <f t="shared" si="287"/>
        <v>-30430</v>
      </c>
      <c r="BU189" s="140">
        <f t="shared" si="287"/>
        <v>-30250</v>
      </c>
      <c r="BV189" s="140">
        <f t="shared" si="287"/>
        <v>-30070</v>
      </c>
      <c r="BW189" s="140">
        <f t="shared" si="287"/>
        <v>-29891</v>
      </c>
      <c r="BX189" s="140">
        <f t="shared" si="287"/>
        <v>-29711</v>
      </c>
      <c r="BY189" s="140">
        <f t="shared" si="287"/>
        <v>-29531</v>
      </c>
      <c r="BZ189" s="140">
        <f t="shared" si="287"/>
        <v>-29351</v>
      </c>
      <c r="CA189" s="140">
        <f t="shared" si="287"/>
        <v>-29171</v>
      </c>
      <c r="CB189" s="140">
        <f t="shared" si="287"/>
        <v>-28991</v>
      </c>
      <c r="CC189" s="17"/>
      <c r="CD189" s="17"/>
      <c r="CE189" s="17"/>
    </row>
    <row r="190" spans="1:83">
      <c r="A190" s="16" t="s">
        <v>41</v>
      </c>
      <c r="B190" s="140">
        <f>B189/360</f>
        <v>-119.50555555555556</v>
      </c>
      <c r="C190" s="140">
        <f t="shared" ref="C190:BN190" si="288">C189/360</f>
        <v>-119.00555555555556</v>
      </c>
      <c r="D190" s="140">
        <f t="shared" si="288"/>
        <v>-118.50555555555556</v>
      </c>
      <c r="E190" s="140">
        <f t="shared" si="288"/>
        <v>-118.00555555555556</v>
      </c>
      <c r="F190" s="140">
        <f t="shared" si="288"/>
        <v>-117.50555555555556</v>
      </c>
      <c r="G190" s="140">
        <f t="shared" si="288"/>
        <v>-117.00555555555556</v>
      </c>
      <c r="H190" s="140">
        <f t="shared" si="288"/>
        <v>-116.50555555555556</v>
      </c>
      <c r="I190" s="140">
        <f t="shared" si="288"/>
        <v>-116.00555555555556</v>
      </c>
      <c r="J190" s="140">
        <f t="shared" si="288"/>
        <v>-115.50555555555556</v>
      </c>
      <c r="K190" s="140">
        <f t="shared" si="288"/>
        <v>-115.00833333333334</v>
      </c>
      <c r="L190" s="140">
        <f t="shared" si="288"/>
        <v>-114.50833333333334</v>
      </c>
      <c r="M190" s="140">
        <f t="shared" si="288"/>
        <v>-114.00833333333334</v>
      </c>
      <c r="N190" s="140">
        <f t="shared" si="288"/>
        <v>-113.50833333333334</v>
      </c>
      <c r="O190" s="140">
        <f t="shared" si="288"/>
        <v>-113.00833333333334</v>
      </c>
      <c r="P190" s="140">
        <f t="shared" si="288"/>
        <v>-112.50833333333334</v>
      </c>
      <c r="Q190" s="140">
        <f t="shared" si="288"/>
        <v>-112.00833333333334</v>
      </c>
      <c r="R190" s="140">
        <f t="shared" si="288"/>
        <v>-111.50833333333334</v>
      </c>
      <c r="S190" s="140">
        <f t="shared" si="288"/>
        <v>-111.01111111111111</v>
      </c>
      <c r="T190" s="140">
        <f t="shared" si="288"/>
        <v>-110.51111111111111</v>
      </c>
      <c r="U190" s="140">
        <f t="shared" si="288"/>
        <v>-110.01111111111111</v>
      </c>
      <c r="V190" s="140">
        <f t="shared" si="288"/>
        <v>-109.51111111111111</v>
      </c>
      <c r="W190" s="140">
        <f t="shared" si="288"/>
        <v>-109.01111111111111</v>
      </c>
      <c r="X190" s="140">
        <f t="shared" si="288"/>
        <v>-108.51111111111111</v>
      </c>
      <c r="Y190" s="140">
        <f t="shared" si="288"/>
        <v>-108.01111111111111</v>
      </c>
      <c r="Z190" s="140">
        <f t="shared" si="288"/>
        <v>-107.51111111111111</v>
      </c>
      <c r="AA190" s="140">
        <f t="shared" si="288"/>
        <v>-107.01388888888889</v>
      </c>
      <c r="AB190" s="140">
        <f t="shared" si="288"/>
        <v>-106.51388888888889</v>
      </c>
      <c r="AC190" s="140">
        <f t="shared" si="288"/>
        <v>-106.01388888888889</v>
      </c>
      <c r="AD190" s="140">
        <f t="shared" si="288"/>
        <v>-105.51388888888889</v>
      </c>
      <c r="AE190" s="140">
        <f t="shared" si="288"/>
        <v>-105.01388888888889</v>
      </c>
      <c r="AF190" s="140">
        <f t="shared" si="288"/>
        <v>-104.51388888888889</v>
      </c>
      <c r="AG190" s="140">
        <f t="shared" si="288"/>
        <v>-104.01388888888889</v>
      </c>
      <c r="AH190" s="140">
        <f t="shared" si="288"/>
        <v>-103.51388888888889</v>
      </c>
      <c r="AI190" s="140">
        <f t="shared" si="288"/>
        <v>-103.01666666666667</v>
      </c>
      <c r="AJ190" s="140">
        <f t="shared" si="288"/>
        <v>-102.51666666666667</v>
      </c>
      <c r="AK190" s="140">
        <f t="shared" si="288"/>
        <v>-102.01666666666667</v>
      </c>
      <c r="AL190" s="140">
        <f t="shared" si="288"/>
        <v>-101.51666666666667</v>
      </c>
      <c r="AM190" s="140">
        <f t="shared" si="288"/>
        <v>-101.01666666666667</v>
      </c>
      <c r="AN190" s="140">
        <f t="shared" si="288"/>
        <v>-100.51666666666667</v>
      </c>
      <c r="AO190" s="140">
        <f t="shared" si="288"/>
        <v>-100.01666666666667</v>
      </c>
      <c r="AP190" s="140">
        <f t="shared" si="288"/>
        <v>-99.516666666666666</v>
      </c>
      <c r="AQ190" s="140">
        <f t="shared" si="288"/>
        <v>-99.019444444444446</v>
      </c>
      <c r="AR190" s="140">
        <f t="shared" si="288"/>
        <v>-98.519444444444446</v>
      </c>
      <c r="AS190" s="140">
        <f t="shared" si="288"/>
        <v>-98.019444444444446</v>
      </c>
      <c r="AT190" s="140">
        <f t="shared" si="288"/>
        <v>-97.519444444444446</v>
      </c>
      <c r="AU190" s="140">
        <f t="shared" si="288"/>
        <v>-97.019444444444446</v>
      </c>
      <c r="AV190" s="140">
        <f t="shared" si="288"/>
        <v>-96.519444444444446</v>
      </c>
      <c r="AW190" s="140">
        <f t="shared" si="288"/>
        <v>-96.019444444444446</v>
      </c>
      <c r="AX190" s="140">
        <f t="shared" si="288"/>
        <v>-95.519444444444446</v>
      </c>
      <c r="AY190" s="140">
        <f t="shared" si="288"/>
        <v>-95.022222222222226</v>
      </c>
      <c r="AZ190" s="140">
        <f t="shared" si="288"/>
        <v>-94.522222222222226</v>
      </c>
      <c r="BA190" s="140">
        <f t="shared" si="288"/>
        <v>-94.022222222222226</v>
      </c>
      <c r="BB190" s="140">
        <f t="shared" si="288"/>
        <v>-93.522222222222226</v>
      </c>
      <c r="BC190" s="140">
        <f t="shared" si="288"/>
        <v>-93.022222222222226</v>
      </c>
      <c r="BD190" s="140">
        <f t="shared" si="288"/>
        <v>-92.522222222222226</v>
      </c>
      <c r="BE190" s="140">
        <f t="shared" si="288"/>
        <v>-92.022222222222226</v>
      </c>
      <c r="BF190" s="140">
        <f t="shared" si="288"/>
        <v>-91.522222222222226</v>
      </c>
      <c r="BG190" s="140">
        <f t="shared" si="288"/>
        <v>-91.025000000000006</v>
      </c>
      <c r="BH190" s="140">
        <f t="shared" si="288"/>
        <v>-90.525000000000006</v>
      </c>
      <c r="BI190" s="140">
        <f t="shared" si="288"/>
        <v>-90.025000000000006</v>
      </c>
      <c r="BJ190" s="140">
        <f t="shared" si="288"/>
        <v>-89.525000000000006</v>
      </c>
      <c r="BK190" s="140">
        <f t="shared" si="288"/>
        <v>-89.025000000000006</v>
      </c>
      <c r="BL190" s="140">
        <f t="shared" si="288"/>
        <v>-88.525000000000006</v>
      </c>
      <c r="BM190" s="140">
        <f t="shared" si="288"/>
        <v>-88.025000000000006</v>
      </c>
      <c r="BN190" s="140">
        <f t="shared" si="288"/>
        <v>-87.525000000000006</v>
      </c>
      <c r="BO190" s="140">
        <f t="shared" ref="BO190:CB190" si="289">BO189/360</f>
        <v>-87.027777777777771</v>
      </c>
      <c r="BP190" s="140">
        <f t="shared" si="289"/>
        <v>-86.527777777777771</v>
      </c>
      <c r="BQ190" s="140">
        <f t="shared" si="289"/>
        <v>-86.027777777777771</v>
      </c>
      <c r="BR190" s="140">
        <f t="shared" si="289"/>
        <v>-85.527777777777771</v>
      </c>
      <c r="BS190" s="140">
        <f t="shared" si="289"/>
        <v>-85.027777777777771</v>
      </c>
      <c r="BT190" s="140">
        <f t="shared" si="289"/>
        <v>-84.527777777777771</v>
      </c>
      <c r="BU190" s="140">
        <f t="shared" si="289"/>
        <v>-84.027777777777771</v>
      </c>
      <c r="BV190" s="140">
        <f t="shared" si="289"/>
        <v>-83.527777777777771</v>
      </c>
      <c r="BW190" s="140">
        <f t="shared" si="289"/>
        <v>-83.030555555555551</v>
      </c>
      <c r="BX190" s="140">
        <f t="shared" si="289"/>
        <v>-82.530555555555551</v>
      </c>
      <c r="BY190" s="140">
        <f t="shared" si="289"/>
        <v>-82.030555555555551</v>
      </c>
      <c r="BZ190" s="140">
        <f t="shared" si="289"/>
        <v>-81.530555555555551</v>
      </c>
      <c r="CA190" s="140">
        <f t="shared" si="289"/>
        <v>-81.030555555555551</v>
      </c>
      <c r="CB190" s="140">
        <f t="shared" si="289"/>
        <v>-80.530555555555551</v>
      </c>
      <c r="CC190" s="17"/>
      <c r="CD190" s="17"/>
      <c r="CE190" s="17"/>
    </row>
    <row r="191" spans="1:83">
      <c r="A191" s="16" t="s">
        <v>43</v>
      </c>
      <c r="B191" s="140">
        <f>IF(B189&lt;0,0,$B$5+$B$6*((1-EXP(-B190/$B$9))/(B190/$B$9))+$B$7*((1-EXP(-B190/$B$9))/(B190/$B$9)-EXP(-B190/$B$9))+$B$8*((1-EXP(-B190/$B$10))/(B190/$B$10)-EXP(-B190/$B$10)))</f>
        <v>0</v>
      </c>
      <c r="C191" s="140">
        <f t="shared" ref="C191:BN191" si="290">IF(C189&lt;0,0,$B$5+$B$6*((1-EXP(-C190/$B$9))/(C190/$B$9))+$B$7*((1-EXP(-C190/$B$9))/(C190/$B$9)-EXP(-C190/$B$9))+$B$8*((1-EXP(-C190/$B$10))/(C190/$B$10)-EXP(-C190/$B$10)))</f>
        <v>0</v>
      </c>
      <c r="D191" s="140">
        <f t="shared" si="290"/>
        <v>0</v>
      </c>
      <c r="E191" s="140">
        <f t="shared" si="290"/>
        <v>0</v>
      </c>
      <c r="F191" s="140">
        <f t="shared" si="290"/>
        <v>0</v>
      </c>
      <c r="G191" s="140">
        <f t="shared" si="290"/>
        <v>0</v>
      </c>
      <c r="H191" s="140">
        <f t="shared" si="290"/>
        <v>0</v>
      </c>
      <c r="I191" s="140">
        <f t="shared" si="290"/>
        <v>0</v>
      </c>
      <c r="J191" s="140">
        <f t="shared" si="290"/>
        <v>0</v>
      </c>
      <c r="K191" s="140">
        <f t="shared" si="290"/>
        <v>0</v>
      </c>
      <c r="L191" s="140">
        <f t="shared" si="290"/>
        <v>0</v>
      </c>
      <c r="M191" s="140">
        <f t="shared" si="290"/>
        <v>0</v>
      </c>
      <c r="N191" s="140">
        <f t="shared" si="290"/>
        <v>0</v>
      </c>
      <c r="O191" s="140">
        <f t="shared" si="290"/>
        <v>0</v>
      </c>
      <c r="P191" s="140">
        <f t="shared" si="290"/>
        <v>0</v>
      </c>
      <c r="Q191" s="140">
        <f t="shared" si="290"/>
        <v>0</v>
      </c>
      <c r="R191" s="140">
        <f t="shared" si="290"/>
        <v>0</v>
      </c>
      <c r="S191" s="140">
        <f t="shared" si="290"/>
        <v>0</v>
      </c>
      <c r="T191" s="140">
        <f t="shared" si="290"/>
        <v>0</v>
      </c>
      <c r="U191" s="140">
        <f t="shared" si="290"/>
        <v>0</v>
      </c>
      <c r="V191" s="140">
        <f t="shared" si="290"/>
        <v>0</v>
      </c>
      <c r="W191" s="140">
        <f t="shared" si="290"/>
        <v>0</v>
      </c>
      <c r="X191" s="140">
        <f t="shared" si="290"/>
        <v>0</v>
      </c>
      <c r="Y191" s="140">
        <f t="shared" si="290"/>
        <v>0</v>
      </c>
      <c r="Z191" s="140">
        <f t="shared" si="290"/>
        <v>0</v>
      </c>
      <c r="AA191" s="140">
        <f t="shared" si="290"/>
        <v>0</v>
      </c>
      <c r="AB191" s="140">
        <f t="shared" si="290"/>
        <v>0</v>
      </c>
      <c r="AC191" s="140">
        <f t="shared" si="290"/>
        <v>0</v>
      </c>
      <c r="AD191" s="140">
        <f t="shared" si="290"/>
        <v>0</v>
      </c>
      <c r="AE191" s="140">
        <f t="shared" si="290"/>
        <v>0</v>
      </c>
      <c r="AF191" s="140">
        <f t="shared" si="290"/>
        <v>0</v>
      </c>
      <c r="AG191" s="140">
        <f t="shared" si="290"/>
        <v>0</v>
      </c>
      <c r="AH191" s="140">
        <f t="shared" si="290"/>
        <v>0</v>
      </c>
      <c r="AI191" s="140">
        <f t="shared" si="290"/>
        <v>0</v>
      </c>
      <c r="AJ191" s="140">
        <f t="shared" si="290"/>
        <v>0</v>
      </c>
      <c r="AK191" s="140">
        <f t="shared" si="290"/>
        <v>0</v>
      </c>
      <c r="AL191" s="140">
        <f t="shared" si="290"/>
        <v>0</v>
      </c>
      <c r="AM191" s="140">
        <f t="shared" si="290"/>
        <v>0</v>
      </c>
      <c r="AN191" s="140">
        <f t="shared" si="290"/>
        <v>0</v>
      </c>
      <c r="AO191" s="140">
        <f t="shared" si="290"/>
        <v>0</v>
      </c>
      <c r="AP191" s="140">
        <f t="shared" si="290"/>
        <v>0</v>
      </c>
      <c r="AQ191" s="140">
        <f t="shared" si="290"/>
        <v>0</v>
      </c>
      <c r="AR191" s="140">
        <f t="shared" si="290"/>
        <v>0</v>
      </c>
      <c r="AS191" s="140">
        <f t="shared" si="290"/>
        <v>0</v>
      </c>
      <c r="AT191" s="140">
        <f t="shared" si="290"/>
        <v>0</v>
      </c>
      <c r="AU191" s="140">
        <f t="shared" si="290"/>
        <v>0</v>
      </c>
      <c r="AV191" s="140">
        <f t="shared" si="290"/>
        <v>0</v>
      </c>
      <c r="AW191" s="140">
        <f t="shared" si="290"/>
        <v>0</v>
      </c>
      <c r="AX191" s="140">
        <f t="shared" si="290"/>
        <v>0</v>
      </c>
      <c r="AY191" s="140">
        <f t="shared" si="290"/>
        <v>0</v>
      </c>
      <c r="AZ191" s="140">
        <f t="shared" si="290"/>
        <v>0</v>
      </c>
      <c r="BA191" s="140">
        <f t="shared" si="290"/>
        <v>0</v>
      </c>
      <c r="BB191" s="140">
        <f t="shared" si="290"/>
        <v>0</v>
      </c>
      <c r="BC191" s="140">
        <f t="shared" si="290"/>
        <v>0</v>
      </c>
      <c r="BD191" s="140">
        <f t="shared" si="290"/>
        <v>0</v>
      </c>
      <c r="BE191" s="140">
        <f t="shared" si="290"/>
        <v>0</v>
      </c>
      <c r="BF191" s="140">
        <f t="shared" si="290"/>
        <v>0</v>
      </c>
      <c r="BG191" s="140">
        <f t="shared" si="290"/>
        <v>0</v>
      </c>
      <c r="BH191" s="140">
        <f t="shared" si="290"/>
        <v>0</v>
      </c>
      <c r="BI191" s="140">
        <f t="shared" si="290"/>
        <v>0</v>
      </c>
      <c r="BJ191" s="140">
        <f t="shared" si="290"/>
        <v>0</v>
      </c>
      <c r="BK191" s="140">
        <f t="shared" si="290"/>
        <v>0</v>
      </c>
      <c r="BL191" s="140">
        <f t="shared" si="290"/>
        <v>0</v>
      </c>
      <c r="BM191" s="140">
        <f t="shared" si="290"/>
        <v>0</v>
      </c>
      <c r="BN191" s="140">
        <f t="shared" si="290"/>
        <v>0</v>
      </c>
      <c r="BO191" s="140">
        <f t="shared" ref="BO191:CB191" si="291">IF(BO189&lt;0,0,$B$5+$B$6*((1-EXP(-BO190/$B$9))/(BO190/$B$9))+$B$7*((1-EXP(-BO190/$B$9))/(BO190/$B$9)-EXP(-BO190/$B$9))+$B$8*((1-EXP(-BO190/$B$10))/(BO190/$B$10)-EXP(-BO190/$B$10)))</f>
        <v>0</v>
      </c>
      <c r="BP191" s="140">
        <f t="shared" si="291"/>
        <v>0</v>
      </c>
      <c r="BQ191" s="140">
        <f t="shared" si="291"/>
        <v>0</v>
      </c>
      <c r="BR191" s="140">
        <f t="shared" si="291"/>
        <v>0</v>
      </c>
      <c r="BS191" s="140">
        <f t="shared" si="291"/>
        <v>0</v>
      </c>
      <c r="BT191" s="140">
        <f t="shared" si="291"/>
        <v>0</v>
      </c>
      <c r="BU191" s="140">
        <f t="shared" si="291"/>
        <v>0</v>
      </c>
      <c r="BV191" s="140">
        <f t="shared" si="291"/>
        <v>0</v>
      </c>
      <c r="BW191" s="140">
        <f t="shared" si="291"/>
        <v>0</v>
      </c>
      <c r="BX191" s="140">
        <f t="shared" si="291"/>
        <v>0</v>
      </c>
      <c r="BY191" s="140">
        <f t="shared" si="291"/>
        <v>0</v>
      </c>
      <c r="BZ191" s="140">
        <f t="shared" si="291"/>
        <v>0</v>
      </c>
      <c r="CA191" s="140">
        <f t="shared" si="291"/>
        <v>0</v>
      </c>
      <c r="CB191" s="140">
        <f t="shared" si="291"/>
        <v>0</v>
      </c>
      <c r="CC191" s="17"/>
      <c r="CD191" s="17"/>
      <c r="CE191" s="17"/>
    </row>
    <row r="192" spans="1:83">
      <c r="A192" s="16" t="s">
        <v>44</v>
      </c>
      <c r="B192" s="140">
        <f>EXP(-B191*B190)</f>
        <v>1</v>
      </c>
      <c r="C192" s="140">
        <f t="shared" ref="C192:AR192" si="292">EXP(-C191*C190)</f>
        <v>1</v>
      </c>
      <c r="D192" s="140">
        <f t="shared" si="292"/>
        <v>1</v>
      </c>
      <c r="E192" s="140">
        <f t="shared" si="292"/>
        <v>1</v>
      </c>
      <c r="F192" s="140">
        <f t="shared" si="292"/>
        <v>1</v>
      </c>
      <c r="G192" s="140">
        <f t="shared" si="292"/>
        <v>1</v>
      </c>
      <c r="H192" s="140">
        <f t="shared" si="292"/>
        <v>1</v>
      </c>
      <c r="I192" s="140">
        <f t="shared" si="292"/>
        <v>1</v>
      </c>
      <c r="J192" s="140">
        <f t="shared" si="292"/>
        <v>1</v>
      </c>
      <c r="K192" s="140">
        <f t="shared" si="292"/>
        <v>1</v>
      </c>
      <c r="L192" s="140">
        <f t="shared" si="292"/>
        <v>1</v>
      </c>
      <c r="M192" s="140">
        <f t="shared" si="292"/>
        <v>1</v>
      </c>
      <c r="N192" s="140">
        <f t="shared" si="292"/>
        <v>1</v>
      </c>
      <c r="O192" s="140">
        <f t="shared" si="292"/>
        <v>1</v>
      </c>
      <c r="P192" s="140">
        <f t="shared" si="292"/>
        <v>1</v>
      </c>
      <c r="Q192" s="140">
        <f t="shared" si="292"/>
        <v>1</v>
      </c>
      <c r="R192" s="140">
        <f t="shared" si="292"/>
        <v>1</v>
      </c>
      <c r="S192" s="140">
        <f t="shared" si="292"/>
        <v>1</v>
      </c>
      <c r="T192" s="140">
        <f t="shared" si="292"/>
        <v>1</v>
      </c>
      <c r="U192" s="140">
        <f t="shared" si="292"/>
        <v>1</v>
      </c>
      <c r="V192" s="140">
        <f t="shared" si="292"/>
        <v>1</v>
      </c>
      <c r="W192" s="140">
        <f t="shared" si="292"/>
        <v>1</v>
      </c>
      <c r="X192" s="140">
        <f t="shared" si="292"/>
        <v>1</v>
      </c>
      <c r="Y192" s="140">
        <f t="shared" si="292"/>
        <v>1</v>
      </c>
      <c r="Z192" s="140">
        <f t="shared" si="292"/>
        <v>1</v>
      </c>
      <c r="AA192" s="140">
        <f t="shared" si="292"/>
        <v>1</v>
      </c>
      <c r="AB192" s="140">
        <f t="shared" si="292"/>
        <v>1</v>
      </c>
      <c r="AC192" s="140">
        <f t="shared" si="292"/>
        <v>1</v>
      </c>
      <c r="AD192" s="140">
        <f t="shared" si="292"/>
        <v>1</v>
      </c>
      <c r="AE192" s="140">
        <f t="shared" si="292"/>
        <v>1</v>
      </c>
      <c r="AF192" s="140">
        <f t="shared" si="292"/>
        <v>1</v>
      </c>
      <c r="AG192" s="140">
        <f t="shared" si="292"/>
        <v>1</v>
      </c>
      <c r="AH192" s="140">
        <f t="shared" si="292"/>
        <v>1</v>
      </c>
      <c r="AI192" s="140">
        <f t="shared" si="292"/>
        <v>1</v>
      </c>
      <c r="AJ192" s="140">
        <f t="shared" si="292"/>
        <v>1</v>
      </c>
      <c r="AK192" s="140">
        <f t="shared" si="292"/>
        <v>1</v>
      </c>
      <c r="AL192" s="140">
        <f t="shared" si="292"/>
        <v>1</v>
      </c>
      <c r="AM192" s="140">
        <f t="shared" si="292"/>
        <v>1</v>
      </c>
      <c r="AN192" s="140">
        <f t="shared" si="292"/>
        <v>1</v>
      </c>
      <c r="AO192" s="140">
        <f t="shared" si="292"/>
        <v>1</v>
      </c>
      <c r="AP192" s="140">
        <f t="shared" si="292"/>
        <v>1</v>
      </c>
      <c r="AQ192" s="140">
        <f t="shared" si="292"/>
        <v>1</v>
      </c>
      <c r="AR192" s="140">
        <f t="shared" si="292"/>
        <v>1</v>
      </c>
      <c r="AS192" s="140">
        <f>EXP(-AS191*AS190)</f>
        <v>1</v>
      </c>
      <c r="AT192" s="140">
        <f t="shared" ref="AT192:CA192" si="293">EXP(-AT191*AT190)</f>
        <v>1</v>
      </c>
      <c r="AU192" s="140">
        <f t="shared" si="293"/>
        <v>1</v>
      </c>
      <c r="AV192" s="140">
        <f t="shared" si="293"/>
        <v>1</v>
      </c>
      <c r="AW192" s="140">
        <f t="shared" si="293"/>
        <v>1</v>
      </c>
      <c r="AX192" s="140">
        <f t="shared" si="293"/>
        <v>1</v>
      </c>
      <c r="AY192" s="140">
        <f t="shared" si="293"/>
        <v>1</v>
      </c>
      <c r="AZ192" s="140">
        <f t="shared" si="293"/>
        <v>1</v>
      </c>
      <c r="BA192" s="140">
        <f t="shared" si="293"/>
        <v>1</v>
      </c>
      <c r="BB192" s="140">
        <f t="shared" si="293"/>
        <v>1</v>
      </c>
      <c r="BC192" s="140">
        <f t="shared" si="293"/>
        <v>1</v>
      </c>
      <c r="BD192" s="140">
        <f t="shared" si="293"/>
        <v>1</v>
      </c>
      <c r="BE192" s="140">
        <f t="shared" si="293"/>
        <v>1</v>
      </c>
      <c r="BF192" s="140">
        <f t="shared" si="293"/>
        <v>1</v>
      </c>
      <c r="BG192" s="140">
        <f t="shared" si="293"/>
        <v>1</v>
      </c>
      <c r="BH192" s="140">
        <f t="shared" si="293"/>
        <v>1</v>
      </c>
      <c r="BI192" s="140">
        <f t="shared" si="293"/>
        <v>1</v>
      </c>
      <c r="BJ192" s="140">
        <f t="shared" si="293"/>
        <v>1</v>
      </c>
      <c r="BK192" s="140">
        <f t="shared" si="293"/>
        <v>1</v>
      </c>
      <c r="BL192" s="140">
        <f t="shared" si="293"/>
        <v>1</v>
      </c>
      <c r="BM192" s="140">
        <f t="shared" si="293"/>
        <v>1</v>
      </c>
      <c r="BN192" s="140">
        <f t="shared" si="293"/>
        <v>1</v>
      </c>
      <c r="BO192" s="140">
        <f t="shared" si="293"/>
        <v>1</v>
      </c>
      <c r="BP192" s="140">
        <f t="shared" si="293"/>
        <v>1</v>
      </c>
      <c r="BQ192" s="140">
        <f t="shared" si="293"/>
        <v>1</v>
      </c>
      <c r="BR192" s="140">
        <f t="shared" si="293"/>
        <v>1</v>
      </c>
      <c r="BS192" s="140">
        <f t="shared" si="293"/>
        <v>1</v>
      </c>
      <c r="BT192" s="140">
        <f t="shared" si="293"/>
        <v>1</v>
      </c>
      <c r="BU192" s="140">
        <f t="shared" si="293"/>
        <v>1</v>
      </c>
      <c r="BV192" s="140">
        <f t="shared" si="293"/>
        <v>1</v>
      </c>
      <c r="BW192" s="140">
        <f t="shared" si="293"/>
        <v>1</v>
      </c>
      <c r="BX192" s="140">
        <f t="shared" si="293"/>
        <v>1</v>
      </c>
      <c r="BY192" s="140">
        <f t="shared" si="293"/>
        <v>1</v>
      </c>
      <c r="BZ192" s="140">
        <f t="shared" si="293"/>
        <v>1</v>
      </c>
      <c r="CA192" s="140">
        <f t="shared" si="293"/>
        <v>1</v>
      </c>
      <c r="CB192" s="140">
        <f>EXP(-CB191*CB190)</f>
        <v>1</v>
      </c>
      <c r="CC192" s="17"/>
      <c r="CD192" s="17"/>
      <c r="CE192" s="17"/>
    </row>
    <row r="193" spans="1:83">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c r="BE193" s="17"/>
      <c r="BF193" s="17"/>
      <c r="BG193" s="17"/>
      <c r="BH193" s="17"/>
      <c r="BI193" s="17"/>
      <c r="BJ193" s="17"/>
      <c r="BK193" s="17"/>
      <c r="BL193" s="17"/>
      <c r="BM193" s="17"/>
      <c r="BN193" s="17"/>
      <c r="BO193" s="17"/>
      <c r="BP193" s="17"/>
      <c r="BQ193" s="17"/>
      <c r="BR193" s="17"/>
      <c r="BS193" s="17"/>
      <c r="BT193" s="17"/>
      <c r="BU193" s="17"/>
      <c r="BV193" s="17"/>
      <c r="BW193" s="17"/>
      <c r="BX193" s="17"/>
      <c r="BY193" s="17"/>
      <c r="BZ193" s="17"/>
      <c r="CA193" s="17"/>
      <c r="CB193" s="17"/>
      <c r="CC193" s="17"/>
      <c r="CD193" s="17"/>
      <c r="CE193" s="17"/>
    </row>
    <row r="194" spans="1:83">
      <c r="A194" s="16" t="s">
        <v>40</v>
      </c>
      <c r="B194" s="140">
        <f>DAYS360($B$3,B74)</f>
        <v>-43022</v>
      </c>
      <c r="C194" s="140">
        <f t="shared" ref="C194:BN194" si="294">DAYS360($B$3,C74)</f>
        <v>-42842</v>
      </c>
      <c r="D194" s="140">
        <f t="shared" si="294"/>
        <v>-42662</v>
      </c>
      <c r="E194" s="140">
        <f t="shared" si="294"/>
        <v>-42482</v>
      </c>
      <c r="F194" s="140">
        <f t="shared" si="294"/>
        <v>-42302</v>
      </c>
      <c r="G194" s="140">
        <f t="shared" si="294"/>
        <v>-42122</v>
      </c>
      <c r="H194" s="140">
        <f t="shared" si="294"/>
        <v>-41942</v>
      </c>
      <c r="I194" s="140">
        <f t="shared" si="294"/>
        <v>-41762</v>
      </c>
      <c r="J194" s="140">
        <f t="shared" si="294"/>
        <v>-41582</v>
      </c>
      <c r="K194" s="140">
        <f t="shared" si="294"/>
        <v>-41403</v>
      </c>
      <c r="L194" s="140">
        <f t="shared" si="294"/>
        <v>-41223</v>
      </c>
      <c r="M194" s="140">
        <f t="shared" si="294"/>
        <v>-41043</v>
      </c>
      <c r="N194" s="140">
        <f t="shared" si="294"/>
        <v>-40863</v>
      </c>
      <c r="O194" s="140">
        <f t="shared" si="294"/>
        <v>-40683</v>
      </c>
      <c r="P194" s="140">
        <f t="shared" si="294"/>
        <v>-40503</v>
      </c>
      <c r="Q194" s="140">
        <f t="shared" si="294"/>
        <v>-40323</v>
      </c>
      <c r="R194" s="140">
        <f t="shared" si="294"/>
        <v>-40143</v>
      </c>
      <c r="S194" s="140">
        <f t="shared" si="294"/>
        <v>-39964</v>
      </c>
      <c r="T194" s="140">
        <f t="shared" si="294"/>
        <v>-39784</v>
      </c>
      <c r="U194" s="140">
        <f t="shared" si="294"/>
        <v>-39604</v>
      </c>
      <c r="V194" s="140">
        <f t="shared" si="294"/>
        <v>-39424</v>
      </c>
      <c r="W194" s="140">
        <f t="shared" si="294"/>
        <v>-39244</v>
      </c>
      <c r="X194" s="140">
        <f t="shared" si="294"/>
        <v>-39064</v>
      </c>
      <c r="Y194" s="140">
        <f t="shared" si="294"/>
        <v>-38884</v>
      </c>
      <c r="Z194" s="140">
        <f t="shared" si="294"/>
        <v>-38704</v>
      </c>
      <c r="AA194" s="140">
        <f t="shared" si="294"/>
        <v>-38525</v>
      </c>
      <c r="AB194" s="140">
        <f t="shared" si="294"/>
        <v>-38345</v>
      </c>
      <c r="AC194" s="140">
        <f t="shared" si="294"/>
        <v>-38165</v>
      </c>
      <c r="AD194" s="140">
        <f t="shared" si="294"/>
        <v>-37985</v>
      </c>
      <c r="AE194" s="140">
        <f t="shared" si="294"/>
        <v>-37805</v>
      </c>
      <c r="AF194" s="140">
        <f t="shared" si="294"/>
        <v>-37625</v>
      </c>
      <c r="AG194" s="140">
        <f t="shared" si="294"/>
        <v>-37445</v>
      </c>
      <c r="AH194" s="140">
        <f t="shared" si="294"/>
        <v>-37265</v>
      </c>
      <c r="AI194" s="140">
        <f t="shared" si="294"/>
        <v>-37086</v>
      </c>
      <c r="AJ194" s="140">
        <f t="shared" si="294"/>
        <v>-36906</v>
      </c>
      <c r="AK194" s="140">
        <f t="shared" si="294"/>
        <v>-36726</v>
      </c>
      <c r="AL194" s="140">
        <f t="shared" si="294"/>
        <v>-36546</v>
      </c>
      <c r="AM194" s="140">
        <f t="shared" si="294"/>
        <v>-36366</v>
      </c>
      <c r="AN194" s="140">
        <f t="shared" si="294"/>
        <v>-36186</v>
      </c>
      <c r="AO194" s="140">
        <f t="shared" si="294"/>
        <v>-36006</v>
      </c>
      <c r="AP194" s="140">
        <f t="shared" si="294"/>
        <v>-35826</v>
      </c>
      <c r="AQ194" s="140">
        <f t="shared" si="294"/>
        <v>-35647</v>
      </c>
      <c r="AR194" s="140">
        <f t="shared" si="294"/>
        <v>-35467</v>
      </c>
      <c r="AS194" s="140">
        <f t="shared" si="294"/>
        <v>-35287</v>
      </c>
      <c r="AT194" s="140">
        <f t="shared" si="294"/>
        <v>-35107</v>
      </c>
      <c r="AU194" s="140">
        <f t="shared" si="294"/>
        <v>-34927</v>
      </c>
      <c r="AV194" s="140">
        <f t="shared" si="294"/>
        <v>-34747</v>
      </c>
      <c r="AW194" s="140">
        <f t="shared" si="294"/>
        <v>-34567</v>
      </c>
      <c r="AX194" s="140">
        <f t="shared" si="294"/>
        <v>-34387</v>
      </c>
      <c r="AY194" s="140">
        <f t="shared" si="294"/>
        <v>-34208</v>
      </c>
      <c r="AZ194" s="140">
        <f t="shared" si="294"/>
        <v>-34028</v>
      </c>
      <c r="BA194" s="140">
        <f t="shared" si="294"/>
        <v>-33848</v>
      </c>
      <c r="BB194" s="140">
        <f t="shared" si="294"/>
        <v>-33668</v>
      </c>
      <c r="BC194" s="140">
        <f t="shared" si="294"/>
        <v>-33488</v>
      </c>
      <c r="BD194" s="140">
        <f t="shared" si="294"/>
        <v>-33308</v>
      </c>
      <c r="BE194" s="140">
        <f t="shared" si="294"/>
        <v>-33128</v>
      </c>
      <c r="BF194" s="140">
        <f t="shared" si="294"/>
        <v>-32948</v>
      </c>
      <c r="BG194" s="140">
        <f t="shared" si="294"/>
        <v>-32769</v>
      </c>
      <c r="BH194" s="140">
        <f t="shared" si="294"/>
        <v>-32589</v>
      </c>
      <c r="BI194" s="140">
        <f t="shared" si="294"/>
        <v>-32409</v>
      </c>
      <c r="BJ194" s="140">
        <f t="shared" si="294"/>
        <v>-32229</v>
      </c>
      <c r="BK194" s="140">
        <f t="shared" si="294"/>
        <v>-32049</v>
      </c>
      <c r="BL194" s="140">
        <f t="shared" si="294"/>
        <v>-31869</v>
      </c>
      <c r="BM194" s="140">
        <f t="shared" si="294"/>
        <v>-31689</v>
      </c>
      <c r="BN194" s="140">
        <f t="shared" si="294"/>
        <v>-31509</v>
      </c>
      <c r="BO194" s="140">
        <f t="shared" ref="BO194:CB194" si="295">DAYS360($B$3,BO74)</f>
        <v>-31330</v>
      </c>
      <c r="BP194" s="140">
        <f t="shared" si="295"/>
        <v>-31150</v>
      </c>
      <c r="BQ194" s="140">
        <f t="shared" si="295"/>
        <v>-30970</v>
      </c>
      <c r="BR194" s="140">
        <f t="shared" si="295"/>
        <v>-30790</v>
      </c>
      <c r="BS194" s="140">
        <f t="shared" si="295"/>
        <v>-30610</v>
      </c>
      <c r="BT194" s="140">
        <f t="shared" si="295"/>
        <v>-30430</v>
      </c>
      <c r="BU194" s="140">
        <f t="shared" si="295"/>
        <v>-30250</v>
      </c>
      <c r="BV194" s="140">
        <f t="shared" si="295"/>
        <v>-30070</v>
      </c>
      <c r="BW194" s="140">
        <f t="shared" si="295"/>
        <v>-29891</v>
      </c>
      <c r="BX194" s="140">
        <f t="shared" si="295"/>
        <v>-29711</v>
      </c>
      <c r="BY194" s="140">
        <f t="shared" si="295"/>
        <v>-29531</v>
      </c>
      <c r="BZ194" s="140">
        <f t="shared" si="295"/>
        <v>-29351</v>
      </c>
      <c r="CA194" s="140">
        <f t="shared" si="295"/>
        <v>-29171</v>
      </c>
      <c r="CB194" s="140">
        <f t="shared" si="295"/>
        <v>-28991</v>
      </c>
      <c r="CC194" s="17"/>
      <c r="CD194" s="17"/>
      <c r="CE194" s="17"/>
    </row>
    <row r="195" spans="1:83">
      <c r="A195" s="16" t="s">
        <v>41</v>
      </c>
      <c r="B195" s="140">
        <f>B194/360</f>
        <v>-119.50555555555556</v>
      </c>
      <c r="C195" s="140">
        <f t="shared" ref="C195:BN195" si="296">C194/360</f>
        <v>-119.00555555555556</v>
      </c>
      <c r="D195" s="140">
        <f t="shared" si="296"/>
        <v>-118.50555555555556</v>
      </c>
      <c r="E195" s="140">
        <f t="shared" si="296"/>
        <v>-118.00555555555556</v>
      </c>
      <c r="F195" s="140">
        <f t="shared" si="296"/>
        <v>-117.50555555555556</v>
      </c>
      <c r="G195" s="140">
        <f t="shared" si="296"/>
        <v>-117.00555555555556</v>
      </c>
      <c r="H195" s="140">
        <f t="shared" si="296"/>
        <v>-116.50555555555556</v>
      </c>
      <c r="I195" s="140">
        <f t="shared" si="296"/>
        <v>-116.00555555555556</v>
      </c>
      <c r="J195" s="140">
        <f t="shared" si="296"/>
        <v>-115.50555555555556</v>
      </c>
      <c r="K195" s="140">
        <f t="shared" si="296"/>
        <v>-115.00833333333334</v>
      </c>
      <c r="L195" s="140">
        <f t="shared" si="296"/>
        <v>-114.50833333333334</v>
      </c>
      <c r="M195" s="140">
        <f t="shared" si="296"/>
        <v>-114.00833333333334</v>
      </c>
      <c r="N195" s="140">
        <f t="shared" si="296"/>
        <v>-113.50833333333334</v>
      </c>
      <c r="O195" s="140">
        <f t="shared" si="296"/>
        <v>-113.00833333333334</v>
      </c>
      <c r="P195" s="140">
        <f t="shared" si="296"/>
        <v>-112.50833333333334</v>
      </c>
      <c r="Q195" s="140">
        <f t="shared" si="296"/>
        <v>-112.00833333333334</v>
      </c>
      <c r="R195" s="140">
        <f t="shared" si="296"/>
        <v>-111.50833333333334</v>
      </c>
      <c r="S195" s="140">
        <f t="shared" si="296"/>
        <v>-111.01111111111111</v>
      </c>
      <c r="T195" s="140">
        <f t="shared" si="296"/>
        <v>-110.51111111111111</v>
      </c>
      <c r="U195" s="140">
        <f t="shared" si="296"/>
        <v>-110.01111111111111</v>
      </c>
      <c r="V195" s="140">
        <f t="shared" si="296"/>
        <v>-109.51111111111111</v>
      </c>
      <c r="W195" s="140">
        <f t="shared" si="296"/>
        <v>-109.01111111111111</v>
      </c>
      <c r="X195" s="140">
        <f t="shared" si="296"/>
        <v>-108.51111111111111</v>
      </c>
      <c r="Y195" s="140">
        <f t="shared" si="296"/>
        <v>-108.01111111111111</v>
      </c>
      <c r="Z195" s="140">
        <f t="shared" si="296"/>
        <v>-107.51111111111111</v>
      </c>
      <c r="AA195" s="140">
        <f t="shared" si="296"/>
        <v>-107.01388888888889</v>
      </c>
      <c r="AB195" s="140">
        <f t="shared" si="296"/>
        <v>-106.51388888888889</v>
      </c>
      <c r="AC195" s="140">
        <f t="shared" si="296"/>
        <v>-106.01388888888889</v>
      </c>
      <c r="AD195" s="140">
        <f t="shared" si="296"/>
        <v>-105.51388888888889</v>
      </c>
      <c r="AE195" s="140">
        <f t="shared" si="296"/>
        <v>-105.01388888888889</v>
      </c>
      <c r="AF195" s="140">
        <f t="shared" si="296"/>
        <v>-104.51388888888889</v>
      </c>
      <c r="AG195" s="140">
        <f t="shared" si="296"/>
        <v>-104.01388888888889</v>
      </c>
      <c r="AH195" s="140">
        <f t="shared" si="296"/>
        <v>-103.51388888888889</v>
      </c>
      <c r="AI195" s="140">
        <f t="shared" si="296"/>
        <v>-103.01666666666667</v>
      </c>
      <c r="AJ195" s="140">
        <f t="shared" si="296"/>
        <v>-102.51666666666667</v>
      </c>
      <c r="AK195" s="140">
        <f t="shared" si="296"/>
        <v>-102.01666666666667</v>
      </c>
      <c r="AL195" s="140">
        <f t="shared" si="296"/>
        <v>-101.51666666666667</v>
      </c>
      <c r="AM195" s="140">
        <f t="shared" si="296"/>
        <v>-101.01666666666667</v>
      </c>
      <c r="AN195" s="140">
        <f t="shared" si="296"/>
        <v>-100.51666666666667</v>
      </c>
      <c r="AO195" s="140">
        <f t="shared" si="296"/>
        <v>-100.01666666666667</v>
      </c>
      <c r="AP195" s="140">
        <f t="shared" si="296"/>
        <v>-99.516666666666666</v>
      </c>
      <c r="AQ195" s="140">
        <f t="shared" si="296"/>
        <v>-99.019444444444446</v>
      </c>
      <c r="AR195" s="140">
        <f t="shared" si="296"/>
        <v>-98.519444444444446</v>
      </c>
      <c r="AS195" s="140">
        <f t="shared" si="296"/>
        <v>-98.019444444444446</v>
      </c>
      <c r="AT195" s="140">
        <f t="shared" si="296"/>
        <v>-97.519444444444446</v>
      </c>
      <c r="AU195" s="140">
        <f t="shared" si="296"/>
        <v>-97.019444444444446</v>
      </c>
      <c r="AV195" s="140">
        <f t="shared" si="296"/>
        <v>-96.519444444444446</v>
      </c>
      <c r="AW195" s="140">
        <f t="shared" si="296"/>
        <v>-96.019444444444446</v>
      </c>
      <c r="AX195" s="140">
        <f t="shared" si="296"/>
        <v>-95.519444444444446</v>
      </c>
      <c r="AY195" s="140">
        <f t="shared" si="296"/>
        <v>-95.022222222222226</v>
      </c>
      <c r="AZ195" s="140">
        <f t="shared" si="296"/>
        <v>-94.522222222222226</v>
      </c>
      <c r="BA195" s="140">
        <f t="shared" si="296"/>
        <v>-94.022222222222226</v>
      </c>
      <c r="BB195" s="140">
        <f t="shared" si="296"/>
        <v>-93.522222222222226</v>
      </c>
      <c r="BC195" s="140">
        <f t="shared" si="296"/>
        <v>-93.022222222222226</v>
      </c>
      <c r="BD195" s="140">
        <f t="shared" si="296"/>
        <v>-92.522222222222226</v>
      </c>
      <c r="BE195" s="140">
        <f t="shared" si="296"/>
        <v>-92.022222222222226</v>
      </c>
      <c r="BF195" s="140">
        <f t="shared" si="296"/>
        <v>-91.522222222222226</v>
      </c>
      <c r="BG195" s="140">
        <f t="shared" si="296"/>
        <v>-91.025000000000006</v>
      </c>
      <c r="BH195" s="140">
        <f t="shared" si="296"/>
        <v>-90.525000000000006</v>
      </c>
      <c r="BI195" s="140">
        <f t="shared" si="296"/>
        <v>-90.025000000000006</v>
      </c>
      <c r="BJ195" s="140">
        <f t="shared" si="296"/>
        <v>-89.525000000000006</v>
      </c>
      <c r="BK195" s="140">
        <f t="shared" si="296"/>
        <v>-89.025000000000006</v>
      </c>
      <c r="BL195" s="140">
        <f t="shared" si="296"/>
        <v>-88.525000000000006</v>
      </c>
      <c r="BM195" s="140">
        <f t="shared" si="296"/>
        <v>-88.025000000000006</v>
      </c>
      <c r="BN195" s="140">
        <f t="shared" si="296"/>
        <v>-87.525000000000006</v>
      </c>
      <c r="BO195" s="140">
        <f t="shared" ref="BO195:CB195" si="297">BO194/360</f>
        <v>-87.027777777777771</v>
      </c>
      <c r="BP195" s="140">
        <f t="shared" si="297"/>
        <v>-86.527777777777771</v>
      </c>
      <c r="BQ195" s="140">
        <f t="shared" si="297"/>
        <v>-86.027777777777771</v>
      </c>
      <c r="BR195" s="140">
        <f t="shared" si="297"/>
        <v>-85.527777777777771</v>
      </c>
      <c r="BS195" s="140">
        <f t="shared" si="297"/>
        <v>-85.027777777777771</v>
      </c>
      <c r="BT195" s="140">
        <f t="shared" si="297"/>
        <v>-84.527777777777771</v>
      </c>
      <c r="BU195" s="140">
        <f t="shared" si="297"/>
        <v>-84.027777777777771</v>
      </c>
      <c r="BV195" s="140">
        <f t="shared" si="297"/>
        <v>-83.527777777777771</v>
      </c>
      <c r="BW195" s="140">
        <f t="shared" si="297"/>
        <v>-83.030555555555551</v>
      </c>
      <c r="BX195" s="140">
        <f t="shared" si="297"/>
        <v>-82.530555555555551</v>
      </c>
      <c r="BY195" s="140">
        <f t="shared" si="297"/>
        <v>-82.030555555555551</v>
      </c>
      <c r="BZ195" s="140">
        <f t="shared" si="297"/>
        <v>-81.530555555555551</v>
      </c>
      <c r="CA195" s="140">
        <f t="shared" si="297"/>
        <v>-81.030555555555551</v>
      </c>
      <c r="CB195" s="140">
        <f t="shared" si="297"/>
        <v>-80.530555555555551</v>
      </c>
      <c r="CC195" s="17"/>
      <c r="CD195" s="17"/>
      <c r="CE195" s="17"/>
    </row>
    <row r="196" spans="1:83">
      <c r="A196" s="16" t="s">
        <v>43</v>
      </c>
      <c r="B196" s="140">
        <f>IF(B194&lt;0,0,$B$5+$B$6*((1-EXP(-B195/$B$9))/(B195/$B$9))+$B$7*((1-EXP(-B195/$B$9))/(B195/$B$9)-EXP(-B195/$B$9))+$B$8*((1-EXP(-B195/$B$10))/(B195/$B$10)-EXP(-B195/$B$10)))</f>
        <v>0</v>
      </c>
      <c r="C196" s="140">
        <f t="shared" ref="C196:BN196" si="298">IF(C194&lt;0,0,$B$5+$B$6*((1-EXP(-C195/$B$9))/(C195/$B$9))+$B$7*((1-EXP(-C195/$B$9))/(C195/$B$9)-EXP(-C195/$B$9))+$B$8*((1-EXP(-C195/$B$10))/(C195/$B$10)-EXP(-C195/$B$10)))</f>
        <v>0</v>
      </c>
      <c r="D196" s="140">
        <f t="shared" si="298"/>
        <v>0</v>
      </c>
      <c r="E196" s="140">
        <f t="shared" si="298"/>
        <v>0</v>
      </c>
      <c r="F196" s="140">
        <f t="shared" si="298"/>
        <v>0</v>
      </c>
      <c r="G196" s="140">
        <f t="shared" si="298"/>
        <v>0</v>
      </c>
      <c r="H196" s="140">
        <f t="shared" si="298"/>
        <v>0</v>
      </c>
      <c r="I196" s="140">
        <f t="shared" si="298"/>
        <v>0</v>
      </c>
      <c r="J196" s="140">
        <f t="shared" si="298"/>
        <v>0</v>
      </c>
      <c r="K196" s="140">
        <f t="shared" si="298"/>
        <v>0</v>
      </c>
      <c r="L196" s="140">
        <f t="shared" si="298"/>
        <v>0</v>
      </c>
      <c r="M196" s="140">
        <f t="shared" si="298"/>
        <v>0</v>
      </c>
      <c r="N196" s="140">
        <f t="shared" si="298"/>
        <v>0</v>
      </c>
      <c r="O196" s="140">
        <f t="shared" si="298"/>
        <v>0</v>
      </c>
      <c r="P196" s="140">
        <f t="shared" si="298"/>
        <v>0</v>
      </c>
      <c r="Q196" s="140">
        <f t="shared" si="298"/>
        <v>0</v>
      </c>
      <c r="R196" s="140">
        <f t="shared" si="298"/>
        <v>0</v>
      </c>
      <c r="S196" s="140">
        <f t="shared" si="298"/>
        <v>0</v>
      </c>
      <c r="T196" s="140">
        <f t="shared" si="298"/>
        <v>0</v>
      </c>
      <c r="U196" s="140">
        <f t="shared" si="298"/>
        <v>0</v>
      </c>
      <c r="V196" s="140">
        <f t="shared" si="298"/>
        <v>0</v>
      </c>
      <c r="W196" s="140">
        <f t="shared" si="298"/>
        <v>0</v>
      </c>
      <c r="X196" s="140">
        <f t="shared" si="298"/>
        <v>0</v>
      </c>
      <c r="Y196" s="140">
        <f t="shared" si="298"/>
        <v>0</v>
      </c>
      <c r="Z196" s="140">
        <f t="shared" si="298"/>
        <v>0</v>
      </c>
      <c r="AA196" s="140">
        <f t="shared" si="298"/>
        <v>0</v>
      </c>
      <c r="AB196" s="140">
        <f t="shared" si="298"/>
        <v>0</v>
      </c>
      <c r="AC196" s="140">
        <f t="shared" si="298"/>
        <v>0</v>
      </c>
      <c r="AD196" s="140">
        <f t="shared" si="298"/>
        <v>0</v>
      </c>
      <c r="AE196" s="140">
        <f t="shared" si="298"/>
        <v>0</v>
      </c>
      <c r="AF196" s="140">
        <f t="shared" si="298"/>
        <v>0</v>
      </c>
      <c r="AG196" s="140">
        <f t="shared" si="298"/>
        <v>0</v>
      </c>
      <c r="AH196" s="140">
        <f t="shared" si="298"/>
        <v>0</v>
      </c>
      <c r="AI196" s="140">
        <f t="shared" si="298"/>
        <v>0</v>
      </c>
      <c r="AJ196" s="140">
        <f t="shared" si="298"/>
        <v>0</v>
      </c>
      <c r="AK196" s="140">
        <f t="shared" si="298"/>
        <v>0</v>
      </c>
      <c r="AL196" s="140">
        <f t="shared" si="298"/>
        <v>0</v>
      </c>
      <c r="AM196" s="140">
        <f t="shared" si="298"/>
        <v>0</v>
      </c>
      <c r="AN196" s="140">
        <f t="shared" si="298"/>
        <v>0</v>
      </c>
      <c r="AO196" s="140">
        <f t="shared" si="298"/>
        <v>0</v>
      </c>
      <c r="AP196" s="140">
        <f t="shared" si="298"/>
        <v>0</v>
      </c>
      <c r="AQ196" s="140">
        <f t="shared" si="298"/>
        <v>0</v>
      </c>
      <c r="AR196" s="140">
        <f t="shared" si="298"/>
        <v>0</v>
      </c>
      <c r="AS196" s="140">
        <f t="shared" si="298"/>
        <v>0</v>
      </c>
      <c r="AT196" s="140">
        <f t="shared" si="298"/>
        <v>0</v>
      </c>
      <c r="AU196" s="140">
        <f t="shared" si="298"/>
        <v>0</v>
      </c>
      <c r="AV196" s="140">
        <f t="shared" si="298"/>
        <v>0</v>
      </c>
      <c r="AW196" s="140">
        <f t="shared" si="298"/>
        <v>0</v>
      </c>
      <c r="AX196" s="140">
        <f t="shared" si="298"/>
        <v>0</v>
      </c>
      <c r="AY196" s="140">
        <f t="shared" si="298"/>
        <v>0</v>
      </c>
      <c r="AZ196" s="140">
        <f t="shared" si="298"/>
        <v>0</v>
      </c>
      <c r="BA196" s="140">
        <f t="shared" si="298"/>
        <v>0</v>
      </c>
      <c r="BB196" s="140">
        <f t="shared" si="298"/>
        <v>0</v>
      </c>
      <c r="BC196" s="140">
        <f t="shared" si="298"/>
        <v>0</v>
      </c>
      <c r="BD196" s="140">
        <f t="shared" si="298"/>
        <v>0</v>
      </c>
      <c r="BE196" s="140">
        <f t="shared" si="298"/>
        <v>0</v>
      </c>
      <c r="BF196" s="140">
        <f t="shared" si="298"/>
        <v>0</v>
      </c>
      <c r="BG196" s="140">
        <f t="shared" si="298"/>
        <v>0</v>
      </c>
      <c r="BH196" s="140">
        <f t="shared" si="298"/>
        <v>0</v>
      </c>
      <c r="BI196" s="140">
        <f t="shared" si="298"/>
        <v>0</v>
      </c>
      <c r="BJ196" s="140">
        <f t="shared" si="298"/>
        <v>0</v>
      </c>
      <c r="BK196" s="140">
        <f t="shared" si="298"/>
        <v>0</v>
      </c>
      <c r="BL196" s="140">
        <f t="shared" si="298"/>
        <v>0</v>
      </c>
      <c r="BM196" s="140">
        <f t="shared" si="298"/>
        <v>0</v>
      </c>
      <c r="BN196" s="140">
        <f t="shared" si="298"/>
        <v>0</v>
      </c>
      <c r="BO196" s="140">
        <f t="shared" ref="BO196:CB196" si="299">IF(BO194&lt;0,0,$B$5+$B$6*((1-EXP(-BO195/$B$9))/(BO195/$B$9))+$B$7*((1-EXP(-BO195/$B$9))/(BO195/$B$9)-EXP(-BO195/$B$9))+$B$8*((1-EXP(-BO195/$B$10))/(BO195/$B$10)-EXP(-BO195/$B$10)))</f>
        <v>0</v>
      </c>
      <c r="BP196" s="140">
        <f t="shared" si="299"/>
        <v>0</v>
      </c>
      <c r="BQ196" s="140">
        <f t="shared" si="299"/>
        <v>0</v>
      </c>
      <c r="BR196" s="140">
        <f t="shared" si="299"/>
        <v>0</v>
      </c>
      <c r="BS196" s="140">
        <f t="shared" si="299"/>
        <v>0</v>
      </c>
      <c r="BT196" s="140">
        <f t="shared" si="299"/>
        <v>0</v>
      </c>
      <c r="BU196" s="140">
        <f t="shared" si="299"/>
        <v>0</v>
      </c>
      <c r="BV196" s="140">
        <f t="shared" si="299"/>
        <v>0</v>
      </c>
      <c r="BW196" s="140">
        <f t="shared" si="299"/>
        <v>0</v>
      </c>
      <c r="BX196" s="140">
        <f t="shared" si="299"/>
        <v>0</v>
      </c>
      <c r="BY196" s="140">
        <f t="shared" si="299"/>
        <v>0</v>
      </c>
      <c r="BZ196" s="140">
        <f t="shared" si="299"/>
        <v>0</v>
      </c>
      <c r="CA196" s="140">
        <f t="shared" si="299"/>
        <v>0</v>
      </c>
      <c r="CB196" s="140">
        <f t="shared" si="299"/>
        <v>0</v>
      </c>
      <c r="CC196" s="17"/>
      <c r="CD196" s="17"/>
      <c r="CE196" s="17"/>
    </row>
    <row r="197" spans="1:83">
      <c r="A197" s="16" t="s">
        <v>44</v>
      </c>
      <c r="B197" s="140">
        <f>EXP(-B196*B195)</f>
        <v>1</v>
      </c>
      <c r="C197" s="140">
        <f t="shared" ref="C197:BN197" si="300">EXP(-C196*C195)</f>
        <v>1</v>
      </c>
      <c r="D197" s="140">
        <f t="shared" si="300"/>
        <v>1</v>
      </c>
      <c r="E197" s="140">
        <f t="shared" si="300"/>
        <v>1</v>
      </c>
      <c r="F197" s="140">
        <f t="shared" si="300"/>
        <v>1</v>
      </c>
      <c r="G197" s="140">
        <f t="shared" si="300"/>
        <v>1</v>
      </c>
      <c r="H197" s="140">
        <f t="shared" si="300"/>
        <v>1</v>
      </c>
      <c r="I197" s="140">
        <f t="shared" si="300"/>
        <v>1</v>
      </c>
      <c r="J197" s="140">
        <f t="shared" si="300"/>
        <v>1</v>
      </c>
      <c r="K197" s="140">
        <f t="shared" si="300"/>
        <v>1</v>
      </c>
      <c r="L197" s="140">
        <f t="shared" si="300"/>
        <v>1</v>
      </c>
      <c r="M197" s="140">
        <f t="shared" si="300"/>
        <v>1</v>
      </c>
      <c r="N197" s="140">
        <f t="shared" si="300"/>
        <v>1</v>
      </c>
      <c r="O197" s="140">
        <f t="shared" si="300"/>
        <v>1</v>
      </c>
      <c r="P197" s="140">
        <f t="shared" si="300"/>
        <v>1</v>
      </c>
      <c r="Q197" s="140">
        <f t="shared" si="300"/>
        <v>1</v>
      </c>
      <c r="R197" s="140">
        <f t="shared" si="300"/>
        <v>1</v>
      </c>
      <c r="S197" s="140">
        <f t="shared" si="300"/>
        <v>1</v>
      </c>
      <c r="T197" s="140">
        <f t="shared" si="300"/>
        <v>1</v>
      </c>
      <c r="U197" s="140">
        <f t="shared" si="300"/>
        <v>1</v>
      </c>
      <c r="V197" s="140">
        <f t="shared" si="300"/>
        <v>1</v>
      </c>
      <c r="W197" s="140">
        <f t="shared" si="300"/>
        <v>1</v>
      </c>
      <c r="X197" s="140">
        <f t="shared" si="300"/>
        <v>1</v>
      </c>
      <c r="Y197" s="140">
        <f t="shared" si="300"/>
        <v>1</v>
      </c>
      <c r="Z197" s="140">
        <f t="shared" si="300"/>
        <v>1</v>
      </c>
      <c r="AA197" s="140">
        <f t="shared" si="300"/>
        <v>1</v>
      </c>
      <c r="AB197" s="140">
        <f t="shared" si="300"/>
        <v>1</v>
      </c>
      <c r="AC197" s="140">
        <f t="shared" si="300"/>
        <v>1</v>
      </c>
      <c r="AD197" s="140">
        <f t="shared" si="300"/>
        <v>1</v>
      </c>
      <c r="AE197" s="140">
        <f t="shared" si="300"/>
        <v>1</v>
      </c>
      <c r="AF197" s="140">
        <f t="shared" si="300"/>
        <v>1</v>
      </c>
      <c r="AG197" s="140">
        <f t="shared" si="300"/>
        <v>1</v>
      </c>
      <c r="AH197" s="140">
        <f t="shared" si="300"/>
        <v>1</v>
      </c>
      <c r="AI197" s="140">
        <f t="shared" si="300"/>
        <v>1</v>
      </c>
      <c r="AJ197" s="140">
        <f t="shared" si="300"/>
        <v>1</v>
      </c>
      <c r="AK197" s="140">
        <f t="shared" si="300"/>
        <v>1</v>
      </c>
      <c r="AL197" s="140">
        <f t="shared" si="300"/>
        <v>1</v>
      </c>
      <c r="AM197" s="140">
        <f t="shared" si="300"/>
        <v>1</v>
      </c>
      <c r="AN197" s="140">
        <f t="shared" si="300"/>
        <v>1</v>
      </c>
      <c r="AO197" s="140">
        <f t="shared" si="300"/>
        <v>1</v>
      </c>
      <c r="AP197" s="140">
        <f t="shared" si="300"/>
        <v>1</v>
      </c>
      <c r="AQ197" s="140">
        <f t="shared" si="300"/>
        <v>1</v>
      </c>
      <c r="AR197" s="140">
        <f t="shared" si="300"/>
        <v>1</v>
      </c>
      <c r="AS197" s="140">
        <f t="shared" si="300"/>
        <v>1</v>
      </c>
      <c r="AT197" s="140">
        <f t="shared" si="300"/>
        <v>1</v>
      </c>
      <c r="AU197" s="140">
        <f t="shared" si="300"/>
        <v>1</v>
      </c>
      <c r="AV197" s="140">
        <f t="shared" si="300"/>
        <v>1</v>
      </c>
      <c r="AW197" s="140">
        <f t="shared" si="300"/>
        <v>1</v>
      </c>
      <c r="AX197" s="140">
        <f t="shared" si="300"/>
        <v>1</v>
      </c>
      <c r="AY197" s="140">
        <f t="shared" si="300"/>
        <v>1</v>
      </c>
      <c r="AZ197" s="140">
        <f t="shared" si="300"/>
        <v>1</v>
      </c>
      <c r="BA197" s="140">
        <f t="shared" si="300"/>
        <v>1</v>
      </c>
      <c r="BB197" s="140">
        <f t="shared" si="300"/>
        <v>1</v>
      </c>
      <c r="BC197" s="140">
        <f t="shared" si="300"/>
        <v>1</v>
      </c>
      <c r="BD197" s="140">
        <f t="shared" si="300"/>
        <v>1</v>
      </c>
      <c r="BE197" s="140">
        <f t="shared" si="300"/>
        <v>1</v>
      </c>
      <c r="BF197" s="140">
        <f t="shared" si="300"/>
        <v>1</v>
      </c>
      <c r="BG197" s="140">
        <f t="shared" si="300"/>
        <v>1</v>
      </c>
      <c r="BH197" s="140">
        <f t="shared" si="300"/>
        <v>1</v>
      </c>
      <c r="BI197" s="140">
        <f t="shared" si="300"/>
        <v>1</v>
      </c>
      <c r="BJ197" s="140">
        <f t="shared" si="300"/>
        <v>1</v>
      </c>
      <c r="BK197" s="140">
        <f t="shared" si="300"/>
        <v>1</v>
      </c>
      <c r="BL197" s="140">
        <f t="shared" si="300"/>
        <v>1</v>
      </c>
      <c r="BM197" s="140">
        <f t="shared" si="300"/>
        <v>1</v>
      </c>
      <c r="BN197" s="140">
        <f t="shared" si="300"/>
        <v>1</v>
      </c>
      <c r="BO197" s="140">
        <f t="shared" ref="BO197:CB197" si="301">EXP(-BO196*BO195)</f>
        <v>1</v>
      </c>
      <c r="BP197" s="140">
        <f t="shared" si="301"/>
        <v>1</v>
      </c>
      <c r="BQ197" s="140">
        <f t="shared" si="301"/>
        <v>1</v>
      </c>
      <c r="BR197" s="140">
        <f t="shared" si="301"/>
        <v>1</v>
      </c>
      <c r="BS197" s="140">
        <f t="shared" si="301"/>
        <v>1</v>
      </c>
      <c r="BT197" s="140">
        <f t="shared" si="301"/>
        <v>1</v>
      </c>
      <c r="BU197" s="140">
        <f t="shared" si="301"/>
        <v>1</v>
      </c>
      <c r="BV197" s="140">
        <f t="shared" si="301"/>
        <v>1</v>
      </c>
      <c r="BW197" s="140">
        <f t="shared" si="301"/>
        <v>1</v>
      </c>
      <c r="BX197" s="140">
        <f t="shared" si="301"/>
        <v>1</v>
      </c>
      <c r="BY197" s="140">
        <f t="shared" si="301"/>
        <v>1</v>
      </c>
      <c r="BZ197" s="140">
        <f t="shared" si="301"/>
        <v>1</v>
      </c>
      <c r="CA197" s="140">
        <f t="shared" si="301"/>
        <v>1</v>
      </c>
      <c r="CB197" s="140">
        <f t="shared" si="301"/>
        <v>1</v>
      </c>
      <c r="CC197" s="17"/>
      <c r="CD197" s="17"/>
      <c r="CE197" s="17"/>
    </row>
    <row r="198" spans="1:83">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c r="BE198" s="17"/>
      <c r="BF198" s="17"/>
      <c r="BG198" s="17"/>
      <c r="BH198" s="17"/>
      <c r="BI198" s="17"/>
      <c r="BJ198" s="17"/>
      <c r="BK198" s="17"/>
      <c r="BL198" s="17"/>
      <c r="BM198" s="17"/>
      <c r="BN198" s="17"/>
      <c r="BO198" s="17"/>
      <c r="BP198" s="17"/>
      <c r="BQ198" s="17"/>
      <c r="BR198" s="17"/>
      <c r="BS198" s="17"/>
      <c r="BT198" s="17"/>
      <c r="BU198" s="17"/>
      <c r="BV198" s="17"/>
      <c r="BW198" s="17"/>
      <c r="BX198" s="17"/>
      <c r="BY198" s="17"/>
      <c r="BZ198" s="17"/>
      <c r="CA198" s="17"/>
      <c r="CB198" s="17"/>
      <c r="CC198" s="17"/>
      <c r="CD198" s="17"/>
      <c r="CE198" s="17"/>
    </row>
    <row r="199" spans="1:83">
      <c r="A199" s="16" t="s">
        <v>40</v>
      </c>
      <c r="B199" s="140">
        <f>DAYS360($B$3,B76)</f>
        <v>-43022</v>
      </c>
      <c r="C199" s="140">
        <f t="shared" ref="C199:BN199" si="302">DAYS360($B$3,C76)</f>
        <v>-42842</v>
      </c>
      <c r="D199" s="140">
        <f t="shared" si="302"/>
        <v>-42662</v>
      </c>
      <c r="E199" s="140">
        <f t="shared" si="302"/>
        <v>-42482</v>
      </c>
      <c r="F199" s="140">
        <f t="shared" si="302"/>
        <v>-42302</v>
      </c>
      <c r="G199" s="140">
        <f t="shared" si="302"/>
        <v>-42122</v>
      </c>
      <c r="H199" s="140">
        <f t="shared" si="302"/>
        <v>-41942</v>
      </c>
      <c r="I199" s="140">
        <f t="shared" si="302"/>
        <v>-41762</v>
      </c>
      <c r="J199" s="140">
        <f t="shared" si="302"/>
        <v>-41582</v>
      </c>
      <c r="K199" s="140">
        <f t="shared" si="302"/>
        <v>-41403</v>
      </c>
      <c r="L199" s="140">
        <f t="shared" si="302"/>
        <v>-41223</v>
      </c>
      <c r="M199" s="140">
        <f t="shared" si="302"/>
        <v>-41043</v>
      </c>
      <c r="N199" s="140">
        <f t="shared" si="302"/>
        <v>-40863</v>
      </c>
      <c r="O199" s="140">
        <f t="shared" si="302"/>
        <v>-40683</v>
      </c>
      <c r="P199" s="140">
        <f t="shared" si="302"/>
        <v>-40503</v>
      </c>
      <c r="Q199" s="140">
        <f t="shared" si="302"/>
        <v>-40323</v>
      </c>
      <c r="R199" s="140">
        <f t="shared" si="302"/>
        <v>-40143</v>
      </c>
      <c r="S199" s="140">
        <f t="shared" si="302"/>
        <v>-39964</v>
      </c>
      <c r="T199" s="140">
        <f t="shared" si="302"/>
        <v>-39784</v>
      </c>
      <c r="U199" s="140">
        <f t="shared" si="302"/>
        <v>-39604</v>
      </c>
      <c r="V199" s="140">
        <f t="shared" si="302"/>
        <v>-39424</v>
      </c>
      <c r="W199" s="140">
        <f t="shared" si="302"/>
        <v>-39244</v>
      </c>
      <c r="X199" s="140">
        <f t="shared" si="302"/>
        <v>-39064</v>
      </c>
      <c r="Y199" s="140">
        <f t="shared" si="302"/>
        <v>-38884</v>
      </c>
      <c r="Z199" s="140">
        <f t="shared" si="302"/>
        <v>-38704</v>
      </c>
      <c r="AA199" s="140">
        <f t="shared" si="302"/>
        <v>-38525</v>
      </c>
      <c r="AB199" s="140">
        <f t="shared" si="302"/>
        <v>-38345</v>
      </c>
      <c r="AC199" s="140">
        <f t="shared" si="302"/>
        <v>-38165</v>
      </c>
      <c r="AD199" s="140">
        <f t="shared" si="302"/>
        <v>-37985</v>
      </c>
      <c r="AE199" s="140">
        <f t="shared" si="302"/>
        <v>-37805</v>
      </c>
      <c r="AF199" s="140">
        <f t="shared" si="302"/>
        <v>-37625</v>
      </c>
      <c r="AG199" s="140">
        <f t="shared" si="302"/>
        <v>-37445</v>
      </c>
      <c r="AH199" s="140">
        <f t="shared" si="302"/>
        <v>-37265</v>
      </c>
      <c r="AI199" s="140">
        <f t="shared" si="302"/>
        <v>-37086</v>
      </c>
      <c r="AJ199" s="140">
        <f t="shared" si="302"/>
        <v>-36906</v>
      </c>
      <c r="AK199" s="140">
        <f t="shared" si="302"/>
        <v>-36726</v>
      </c>
      <c r="AL199" s="140">
        <f t="shared" si="302"/>
        <v>-36546</v>
      </c>
      <c r="AM199" s="140">
        <f t="shared" si="302"/>
        <v>-36366</v>
      </c>
      <c r="AN199" s="140">
        <f t="shared" si="302"/>
        <v>-36186</v>
      </c>
      <c r="AO199" s="140">
        <f t="shared" si="302"/>
        <v>-36006</v>
      </c>
      <c r="AP199" s="140">
        <f t="shared" si="302"/>
        <v>-35826</v>
      </c>
      <c r="AQ199" s="140">
        <f t="shared" si="302"/>
        <v>-35647</v>
      </c>
      <c r="AR199" s="140">
        <f t="shared" si="302"/>
        <v>-35467</v>
      </c>
      <c r="AS199" s="140">
        <f t="shared" si="302"/>
        <v>-35287</v>
      </c>
      <c r="AT199" s="140">
        <f t="shared" si="302"/>
        <v>-35107</v>
      </c>
      <c r="AU199" s="140">
        <f t="shared" si="302"/>
        <v>-34927</v>
      </c>
      <c r="AV199" s="140">
        <f t="shared" si="302"/>
        <v>-34747</v>
      </c>
      <c r="AW199" s="140">
        <f t="shared" si="302"/>
        <v>-34567</v>
      </c>
      <c r="AX199" s="140">
        <f t="shared" si="302"/>
        <v>-34387</v>
      </c>
      <c r="AY199" s="140">
        <f t="shared" si="302"/>
        <v>-34208</v>
      </c>
      <c r="AZ199" s="140">
        <f t="shared" si="302"/>
        <v>-34028</v>
      </c>
      <c r="BA199" s="140">
        <f t="shared" si="302"/>
        <v>-33848</v>
      </c>
      <c r="BB199" s="140">
        <f t="shared" si="302"/>
        <v>-33668</v>
      </c>
      <c r="BC199" s="140">
        <f t="shared" si="302"/>
        <v>-33488</v>
      </c>
      <c r="BD199" s="140">
        <f t="shared" si="302"/>
        <v>-33308</v>
      </c>
      <c r="BE199" s="140">
        <f t="shared" si="302"/>
        <v>-33128</v>
      </c>
      <c r="BF199" s="140">
        <f t="shared" si="302"/>
        <v>-32948</v>
      </c>
      <c r="BG199" s="140">
        <f t="shared" si="302"/>
        <v>-32769</v>
      </c>
      <c r="BH199" s="140">
        <f t="shared" si="302"/>
        <v>-32589</v>
      </c>
      <c r="BI199" s="140">
        <f t="shared" si="302"/>
        <v>-32409</v>
      </c>
      <c r="BJ199" s="140">
        <f t="shared" si="302"/>
        <v>-32229</v>
      </c>
      <c r="BK199" s="140">
        <f t="shared" si="302"/>
        <v>-32049</v>
      </c>
      <c r="BL199" s="140">
        <f t="shared" si="302"/>
        <v>-31869</v>
      </c>
      <c r="BM199" s="140">
        <f t="shared" si="302"/>
        <v>-31689</v>
      </c>
      <c r="BN199" s="140">
        <f t="shared" si="302"/>
        <v>-31509</v>
      </c>
      <c r="BO199" s="140">
        <f t="shared" ref="BO199:CB199" si="303">DAYS360($B$3,BO76)</f>
        <v>-31330</v>
      </c>
      <c r="BP199" s="140">
        <f t="shared" si="303"/>
        <v>-31150</v>
      </c>
      <c r="BQ199" s="140">
        <f t="shared" si="303"/>
        <v>-30970</v>
      </c>
      <c r="BR199" s="140">
        <f t="shared" si="303"/>
        <v>-30790</v>
      </c>
      <c r="BS199" s="140">
        <f t="shared" si="303"/>
        <v>-30610</v>
      </c>
      <c r="BT199" s="140">
        <f t="shared" si="303"/>
        <v>-30430</v>
      </c>
      <c r="BU199" s="140">
        <f t="shared" si="303"/>
        <v>-30250</v>
      </c>
      <c r="BV199" s="140">
        <f t="shared" si="303"/>
        <v>-30070</v>
      </c>
      <c r="BW199" s="140">
        <f t="shared" si="303"/>
        <v>-29891</v>
      </c>
      <c r="BX199" s="140">
        <f t="shared" si="303"/>
        <v>-29711</v>
      </c>
      <c r="BY199" s="140">
        <f t="shared" si="303"/>
        <v>-29531</v>
      </c>
      <c r="BZ199" s="140">
        <f t="shared" si="303"/>
        <v>-29351</v>
      </c>
      <c r="CA199" s="140">
        <f t="shared" si="303"/>
        <v>-29171</v>
      </c>
      <c r="CB199" s="140">
        <f t="shared" si="303"/>
        <v>-28991</v>
      </c>
      <c r="CC199" s="17"/>
      <c r="CD199" s="17"/>
      <c r="CE199" s="17"/>
    </row>
    <row r="200" spans="1:83">
      <c r="A200" s="16" t="s">
        <v>41</v>
      </c>
      <c r="B200" s="140">
        <f>B199/360</f>
        <v>-119.50555555555556</v>
      </c>
      <c r="C200" s="140">
        <f t="shared" ref="C200:BN200" si="304">C199/360</f>
        <v>-119.00555555555556</v>
      </c>
      <c r="D200" s="140">
        <f t="shared" si="304"/>
        <v>-118.50555555555556</v>
      </c>
      <c r="E200" s="140">
        <f t="shared" si="304"/>
        <v>-118.00555555555556</v>
      </c>
      <c r="F200" s="140">
        <f t="shared" si="304"/>
        <v>-117.50555555555556</v>
      </c>
      <c r="G200" s="140">
        <f t="shared" si="304"/>
        <v>-117.00555555555556</v>
      </c>
      <c r="H200" s="140">
        <f t="shared" si="304"/>
        <v>-116.50555555555556</v>
      </c>
      <c r="I200" s="140">
        <f t="shared" si="304"/>
        <v>-116.00555555555556</v>
      </c>
      <c r="J200" s="140">
        <f t="shared" si="304"/>
        <v>-115.50555555555556</v>
      </c>
      <c r="K200" s="140">
        <f t="shared" si="304"/>
        <v>-115.00833333333334</v>
      </c>
      <c r="L200" s="140">
        <f t="shared" si="304"/>
        <v>-114.50833333333334</v>
      </c>
      <c r="M200" s="140">
        <f t="shared" si="304"/>
        <v>-114.00833333333334</v>
      </c>
      <c r="N200" s="140">
        <f t="shared" si="304"/>
        <v>-113.50833333333334</v>
      </c>
      <c r="O200" s="140">
        <f t="shared" si="304"/>
        <v>-113.00833333333334</v>
      </c>
      <c r="P200" s="140">
        <f t="shared" si="304"/>
        <v>-112.50833333333334</v>
      </c>
      <c r="Q200" s="140">
        <f t="shared" si="304"/>
        <v>-112.00833333333334</v>
      </c>
      <c r="R200" s="140">
        <f t="shared" si="304"/>
        <v>-111.50833333333334</v>
      </c>
      <c r="S200" s="140">
        <f t="shared" si="304"/>
        <v>-111.01111111111111</v>
      </c>
      <c r="T200" s="140">
        <f t="shared" si="304"/>
        <v>-110.51111111111111</v>
      </c>
      <c r="U200" s="140">
        <f t="shared" si="304"/>
        <v>-110.01111111111111</v>
      </c>
      <c r="V200" s="140">
        <f t="shared" si="304"/>
        <v>-109.51111111111111</v>
      </c>
      <c r="W200" s="140">
        <f t="shared" si="304"/>
        <v>-109.01111111111111</v>
      </c>
      <c r="X200" s="140">
        <f t="shared" si="304"/>
        <v>-108.51111111111111</v>
      </c>
      <c r="Y200" s="140">
        <f t="shared" si="304"/>
        <v>-108.01111111111111</v>
      </c>
      <c r="Z200" s="140">
        <f t="shared" si="304"/>
        <v>-107.51111111111111</v>
      </c>
      <c r="AA200" s="140">
        <f t="shared" si="304"/>
        <v>-107.01388888888889</v>
      </c>
      <c r="AB200" s="140">
        <f t="shared" si="304"/>
        <v>-106.51388888888889</v>
      </c>
      <c r="AC200" s="140">
        <f t="shared" si="304"/>
        <v>-106.01388888888889</v>
      </c>
      <c r="AD200" s="140">
        <f t="shared" si="304"/>
        <v>-105.51388888888889</v>
      </c>
      <c r="AE200" s="140">
        <f t="shared" si="304"/>
        <v>-105.01388888888889</v>
      </c>
      <c r="AF200" s="140">
        <f t="shared" si="304"/>
        <v>-104.51388888888889</v>
      </c>
      <c r="AG200" s="140">
        <f t="shared" si="304"/>
        <v>-104.01388888888889</v>
      </c>
      <c r="AH200" s="140">
        <f t="shared" si="304"/>
        <v>-103.51388888888889</v>
      </c>
      <c r="AI200" s="140">
        <f t="shared" si="304"/>
        <v>-103.01666666666667</v>
      </c>
      <c r="AJ200" s="140">
        <f t="shared" si="304"/>
        <v>-102.51666666666667</v>
      </c>
      <c r="AK200" s="140">
        <f t="shared" si="304"/>
        <v>-102.01666666666667</v>
      </c>
      <c r="AL200" s="140">
        <f t="shared" si="304"/>
        <v>-101.51666666666667</v>
      </c>
      <c r="AM200" s="140">
        <f t="shared" si="304"/>
        <v>-101.01666666666667</v>
      </c>
      <c r="AN200" s="140">
        <f t="shared" si="304"/>
        <v>-100.51666666666667</v>
      </c>
      <c r="AO200" s="140">
        <f t="shared" si="304"/>
        <v>-100.01666666666667</v>
      </c>
      <c r="AP200" s="140">
        <f t="shared" si="304"/>
        <v>-99.516666666666666</v>
      </c>
      <c r="AQ200" s="140">
        <f t="shared" si="304"/>
        <v>-99.019444444444446</v>
      </c>
      <c r="AR200" s="140">
        <f t="shared" si="304"/>
        <v>-98.519444444444446</v>
      </c>
      <c r="AS200" s="140">
        <f t="shared" si="304"/>
        <v>-98.019444444444446</v>
      </c>
      <c r="AT200" s="140">
        <f t="shared" si="304"/>
        <v>-97.519444444444446</v>
      </c>
      <c r="AU200" s="140">
        <f t="shared" si="304"/>
        <v>-97.019444444444446</v>
      </c>
      <c r="AV200" s="140">
        <f t="shared" si="304"/>
        <v>-96.519444444444446</v>
      </c>
      <c r="AW200" s="140">
        <f t="shared" si="304"/>
        <v>-96.019444444444446</v>
      </c>
      <c r="AX200" s="140">
        <f t="shared" si="304"/>
        <v>-95.519444444444446</v>
      </c>
      <c r="AY200" s="140">
        <f t="shared" si="304"/>
        <v>-95.022222222222226</v>
      </c>
      <c r="AZ200" s="140">
        <f t="shared" si="304"/>
        <v>-94.522222222222226</v>
      </c>
      <c r="BA200" s="140">
        <f t="shared" si="304"/>
        <v>-94.022222222222226</v>
      </c>
      <c r="BB200" s="140">
        <f t="shared" si="304"/>
        <v>-93.522222222222226</v>
      </c>
      <c r="BC200" s="140">
        <f t="shared" si="304"/>
        <v>-93.022222222222226</v>
      </c>
      <c r="BD200" s="140">
        <f t="shared" si="304"/>
        <v>-92.522222222222226</v>
      </c>
      <c r="BE200" s="140">
        <f t="shared" si="304"/>
        <v>-92.022222222222226</v>
      </c>
      <c r="BF200" s="140">
        <f t="shared" si="304"/>
        <v>-91.522222222222226</v>
      </c>
      <c r="BG200" s="140">
        <f t="shared" si="304"/>
        <v>-91.025000000000006</v>
      </c>
      <c r="BH200" s="140">
        <f t="shared" si="304"/>
        <v>-90.525000000000006</v>
      </c>
      <c r="BI200" s="140">
        <f t="shared" si="304"/>
        <v>-90.025000000000006</v>
      </c>
      <c r="BJ200" s="140">
        <f t="shared" si="304"/>
        <v>-89.525000000000006</v>
      </c>
      <c r="BK200" s="140">
        <f t="shared" si="304"/>
        <v>-89.025000000000006</v>
      </c>
      <c r="BL200" s="140">
        <f t="shared" si="304"/>
        <v>-88.525000000000006</v>
      </c>
      <c r="BM200" s="140">
        <f t="shared" si="304"/>
        <v>-88.025000000000006</v>
      </c>
      <c r="BN200" s="140">
        <f t="shared" si="304"/>
        <v>-87.525000000000006</v>
      </c>
      <c r="BO200" s="140">
        <f t="shared" ref="BO200:CB200" si="305">BO199/360</f>
        <v>-87.027777777777771</v>
      </c>
      <c r="BP200" s="140">
        <f t="shared" si="305"/>
        <v>-86.527777777777771</v>
      </c>
      <c r="BQ200" s="140">
        <f t="shared" si="305"/>
        <v>-86.027777777777771</v>
      </c>
      <c r="BR200" s="140">
        <f t="shared" si="305"/>
        <v>-85.527777777777771</v>
      </c>
      <c r="BS200" s="140">
        <f t="shared" si="305"/>
        <v>-85.027777777777771</v>
      </c>
      <c r="BT200" s="140">
        <f t="shared" si="305"/>
        <v>-84.527777777777771</v>
      </c>
      <c r="BU200" s="140">
        <f t="shared" si="305"/>
        <v>-84.027777777777771</v>
      </c>
      <c r="BV200" s="140">
        <f t="shared" si="305"/>
        <v>-83.527777777777771</v>
      </c>
      <c r="BW200" s="140">
        <f t="shared" si="305"/>
        <v>-83.030555555555551</v>
      </c>
      <c r="BX200" s="140">
        <f t="shared" si="305"/>
        <v>-82.530555555555551</v>
      </c>
      <c r="BY200" s="140">
        <f t="shared" si="305"/>
        <v>-82.030555555555551</v>
      </c>
      <c r="BZ200" s="140">
        <f t="shared" si="305"/>
        <v>-81.530555555555551</v>
      </c>
      <c r="CA200" s="140">
        <f t="shared" si="305"/>
        <v>-81.030555555555551</v>
      </c>
      <c r="CB200" s="140">
        <f t="shared" si="305"/>
        <v>-80.530555555555551</v>
      </c>
      <c r="CC200" s="17"/>
      <c r="CD200" s="17"/>
      <c r="CE200" s="17"/>
    </row>
    <row r="201" spans="1:83">
      <c r="A201" s="16" t="s">
        <v>43</v>
      </c>
      <c r="B201" s="140">
        <f>IF(B199&lt;0,0,$B$5+$B$6*((1-EXP(-B200/$B$9))/(B200/$B$9))+$B$7*((1-EXP(-B200/$B$9))/(B200/$B$9)-EXP(-B200/$B$9))+$B$8*((1-EXP(-B200/$B$10))/(B200/$B$10)-EXP(-B200/$B$10)))</f>
        <v>0</v>
      </c>
      <c r="C201" s="140">
        <f t="shared" ref="C201:BN201" si="306">IF(C199&lt;0,0,$B$5+$B$6*((1-EXP(-C200/$B$9))/(C200/$B$9))+$B$7*((1-EXP(-C200/$B$9))/(C200/$B$9)-EXP(-C200/$B$9))+$B$8*((1-EXP(-C200/$B$10))/(C200/$B$10)-EXP(-C200/$B$10)))</f>
        <v>0</v>
      </c>
      <c r="D201" s="140">
        <f t="shared" si="306"/>
        <v>0</v>
      </c>
      <c r="E201" s="140">
        <f t="shared" si="306"/>
        <v>0</v>
      </c>
      <c r="F201" s="140">
        <f t="shared" si="306"/>
        <v>0</v>
      </c>
      <c r="G201" s="140">
        <f t="shared" si="306"/>
        <v>0</v>
      </c>
      <c r="H201" s="140">
        <f t="shared" si="306"/>
        <v>0</v>
      </c>
      <c r="I201" s="140">
        <f t="shared" si="306"/>
        <v>0</v>
      </c>
      <c r="J201" s="140">
        <f t="shared" si="306"/>
        <v>0</v>
      </c>
      <c r="K201" s="140">
        <f t="shared" si="306"/>
        <v>0</v>
      </c>
      <c r="L201" s="140">
        <f t="shared" si="306"/>
        <v>0</v>
      </c>
      <c r="M201" s="140">
        <f t="shared" si="306"/>
        <v>0</v>
      </c>
      <c r="N201" s="140">
        <f t="shared" si="306"/>
        <v>0</v>
      </c>
      <c r="O201" s="140">
        <f t="shared" si="306"/>
        <v>0</v>
      </c>
      <c r="P201" s="140">
        <f t="shared" si="306"/>
        <v>0</v>
      </c>
      <c r="Q201" s="140">
        <f t="shared" si="306"/>
        <v>0</v>
      </c>
      <c r="R201" s="140">
        <f t="shared" si="306"/>
        <v>0</v>
      </c>
      <c r="S201" s="140">
        <f t="shared" si="306"/>
        <v>0</v>
      </c>
      <c r="T201" s="140">
        <f t="shared" si="306"/>
        <v>0</v>
      </c>
      <c r="U201" s="140">
        <f t="shared" si="306"/>
        <v>0</v>
      </c>
      <c r="V201" s="140">
        <f t="shared" si="306"/>
        <v>0</v>
      </c>
      <c r="W201" s="140">
        <f t="shared" si="306"/>
        <v>0</v>
      </c>
      <c r="X201" s="140">
        <f t="shared" si="306"/>
        <v>0</v>
      </c>
      <c r="Y201" s="140">
        <f t="shared" si="306"/>
        <v>0</v>
      </c>
      <c r="Z201" s="140">
        <f t="shared" si="306"/>
        <v>0</v>
      </c>
      <c r="AA201" s="140">
        <f t="shared" si="306"/>
        <v>0</v>
      </c>
      <c r="AB201" s="140">
        <f t="shared" si="306"/>
        <v>0</v>
      </c>
      <c r="AC201" s="140">
        <f t="shared" si="306"/>
        <v>0</v>
      </c>
      <c r="AD201" s="140">
        <f t="shared" si="306"/>
        <v>0</v>
      </c>
      <c r="AE201" s="140">
        <f t="shared" si="306"/>
        <v>0</v>
      </c>
      <c r="AF201" s="140">
        <f t="shared" si="306"/>
        <v>0</v>
      </c>
      <c r="AG201" s="140">
        <f t="shared" si="306"/>
        <v>0</v>
      </c>
      <c r="AH201" s="140">
        <f t="shared" si="306"/>
        <v>0</v>
      </c>
      <c r="AI201" s="140">
        <f t="shared" si="306"/>
        <v>0</v>
      </c>
      <c r="AJ201" s="140">
        <f t="shared" si="306"/>
        <v>0</v>
      </c>
      <c r="AK201" s="140">
        <f t="shared" si="306"/>
        <v>0</v>
      </c>
      <c r="AL201" s="140">
        <f t="shared" si="306"/>
        <v>0</v>
      </c>
      <c r="AM201" s="140">
        <f t="shared" si="306"/>
        <v>0</v>
      </c>
      <c r="AN201" s="140">
        <f t="shared" si="306"/>
        <v>0</v>
      </c>
      <c r="AO201" s="140">
        <f t="shared" si="306"/>
        <v>0</v>
      </c>
      <c r="AP201" s="140">
        <f t="shared" si="306"/>
        <v>0</v>
      </c>
      <c r="AQ201" s="140">
        <f t="shared" si="306"/>
        <v>0</v>
      </c>
      <c r="AR201" s="140">
        <f t="shared" si="306"/>
        <v>0</v>
      </c>
      <c r="AS201" s="140">
        <f t="shared" si="306"/>
        <v>0</v>
      </c>
      <c r="AT201" s="140">
        <f t="shared" si="306"/>
        <v>0</v>
      </c>
      <c r="AU201" s="140">
        <f t="shared" si="306"/>
        <v>0</v>
      </c>
      <c r="AV201" s="140">
        <f t="shared" si="306"/>
        <v>0</v>
      </c>
      <c r="AW201" s="140">
        <f t="shared" si="306"/>
        <v>0</v>
      </c>
      <c r="AX201" s="140">
        <f t="shared" si="306"/>
        <v>0</v>
      </c>
      <c r="AY201" s="140">
        <f t="shared" si="306"/>
        <v>0</v>
      </c>
      <c r="AZ201" s="140">
        <f t="shared" si="306"/>
        <v>0</v>
      </c>
      <c r="BA201" s="140">
        <f t="shared" si="306"/>
        <v>0</v>
      </c>
      <c r="BB201" s="140">
        <f t="shared" si="306"/>
        <v>0</v>
      </c>
      <c r="BC201" s="140">
        <f t="shared" si="306"/>
        <v>0</v>
      </c>
      <c r="BD201" s="140">
        <f t="shared" si="306"/>
        <v>0</v>
      </c>
      <c r="BE201" s="140">
        <f t="shared" si="306"/>
        <v>0</v>
      </c>
      <c r="BF201" s="140">
        <f t="shared" si="306"/>
        <v>0</v>
      </c>
      <c r="BG201" s="140">
        <f t="shared" si="306"/>
        <v>0</v>
      </c>
      <c r="BH201" s="140">
        <f t="shared" si="306"/>
        <v>0</v>
      </c>
      <c r="BI201" s="140">
        <f t="shared" si="306"/>
        <v>0</v>
      </c>
      <c r="BJ201" s="140">
        <f t="shared" si="306"/>
        <v>0</v>
      </c>
      <c r="BK201" s="140">
        <f t="shared" si="306"/>
        <v>0</v>
      </c>
      <c r="BL201" s="140">
        <f t="shared" si="306"/>
        <v>0</v>
      </c>
      <c r="BM201" s="140">
        <f t="shared" si="306"/>
        <v>0</v>
      </c>
      <c r="BN201" s="140">
        <f t="shared" si="306"/>
        <v>0</v>
      </c>
      <c r="BO201" s="140">
        <f t="shared" ref="BO201:CB201" si="307">IF(BO199&lt;0,0,$B$5+$B$6*((1-EXP(-BO200/$B$9))/(BO200/$B$9))+$B$7*((1-EXP(-BO200/$B$9))/(BO200/$B$9)-EXP(-BO200/$B$9))+$B$8*((1-EXP(-BO200/$B$10))/(BO200/$B$10)-EXP(-BO200/$B$10)))</f>
        <v>0</v>
      </c>
      <c r="BP201" s="140">
        <f t="shared" si="307"/>
        <v>0</v>
      </c>
      <c r="BQ201" s="140">
        <f t="shared" si="307"/>
        <v>0</v>
      </c>
      <c r="BR201" s="140">
        <f t="shared" si="307"/>
        <v>0</v>
      </c>
      <c r="BS201" s="140">
        <f t="shared" si="307"/>
        <v>0</v>
      </c>
      <c r="BT201" s="140">
        <f t="shared" si="307"/>
        <v>0</v>
      </c>
      <c r="BU201" s="140">
        <f t="shared" si="307"/>
        <v>0</v>
      </c>
      <c r="BV201" s="140">
        <f t="shared" si="307"/>
        <v>0</v>
      </c>
      <c r="BW201" s="140">
        <f t="shared" si="307"/>
        <v>0</v>
      </c>
      <c r="BX201" s="140">
        <f t="shared" si="307"/>
        <v>0</v>
      </c>
      <c r="BY201" s="140">
        <f t="shared" si="307"/>
        <v>0</v>
      </c>
      <c r="BZ201" s="140">
        <f t="shared" si="307"/>
        <v>0</v>
      </c>
      <c r="CA201" s="140">
        <f t="shared" si="307"/>
        <v>0</v>
      </c>
      <c r="CB201" s="140">
        <f t="shared" si="307"/>
        <v>0</v>
      </c>
      <c r="CC201" s="17"/>
      <c r="CD201" s="17"/>
      <c r="CE201" s="17"/>
    </row>
    <row r="202" spans="1:83">
      <c r="A202" s="16" t="s">
        <v>44</v>
      </c>
      <c r="B202" s="140">
        <f>EXP(-B201*B200)</f>
        <v>1</v>
      </c>
      <c r="C202" s="140">
        <f t="shared" ref="C202:BN202" si="308">EXP(-C201*C200)</f>
        <v>1</v>
      </c>
      <c r="D202" s="140">
        <f t="shared" si="308"/>
        <v>1</v>
      </c>
      <c r="E202" s="140">
        <f t="shared" si="308"/>
        <v>1</v>
      </c>
      <c r="F202" s="140">
        <f t="shared" si="308"/>
        <v>1</v>
      </c>
      <c r="G202" s="140">
        <f t="shared" si="308"/>
        <v>1</v>
      </c>
      <c r="H202" s="140">
        <f t="shared" si="308"/>
        <v>1</v>
      </c>
      <c r="I202" s="140">
        <f t="shared" si="308"/>
        <v>1</v>
      </c>
      <c r="J202" s="140">
        <f t="shared" si="308"/>
        <v>1</v>
      </c>
      <c r="K202" s="140">
        <f t="shared" si="308"/>
        <v>1</v>
      </c>
      <c r="L202" s="140">
        <f t="shared" si="308"/>
        <v>1</v>
      </c>
      <c r="M202" s="140">
        <f t="shared" si="308"/>
        <v>1</v>
      </c>
      <c r="N202" s="140">
        <f t="shared" si="308"/>
        <v>1</v>
      </c>
      <c r="O202" s="140">
        <f t="shared" si="308"/>
        <v>1</v>
      </c>
      <c r="P202" s="140">
        <f t="shared" si="308"/>
        <v>1</v>
      </c>
      <c r="Q202" s="140">
        <f t="shared" si="308"/>
        <v>1</v>
      </c>
      <c r="R202" s="140">
        <f t="shared" si="308"/>
        <v>1</v>
      </c>
      <c r="S202" s="140">
        <f t="shared" si="308"/>
        <v>1</v>
      </c>
      <c r="T202" s="140">
        <f t="shared" si="308"/>
        <v>1</v>
      </c>
      <c r="U202" s="140">
        <f t="shared" si="308"/>
        <v>1</v>
      </c>
      <c r="V202" s="140">
        <f t="shared" si="308"/>
        <v>1</v>
      </c>
      <c r="W202" s="140">
        <f t="shared" si="308"/>
        <v>1</v>
      </c>
      <c r="X202" s="140">
        <f t="shared" si="308"/>
        <v>1</v>
      </c>
      <c r="Y202" s="140">
        <f t="shared" si="308"/>
        <v>1</v>
      </c>
      <c r="Z202" s="140">
        <f t="shared" si="308"/>
        <v>1</v>
      </c>
      <c r="AA202" s="140">
        <f t="shared" si="308"/>
        <v>1</v>
      </c>
      <c r="AB202" s="140">
        <f t="shared" si="308"/>
        <v>1</v>
      </c>
      <c r="AC202" s="140">
        <f t="shared" si="308"/>
        <v>1</v>
      </c>
      <c r="AD202" s="140">
        <f t="shared" si="308"/>
        <v>1</v>
      </c>
      <c r="AE202" s="140">
        <f t="shared" si="308"/>
        <v>1</v>
      </c>
      <c r="AF202" s="140">
        <f t="shared" si="308"/>
        <v>1</v>
      </c>
      <c r="AG202" s="140">
        <f t="shared" si="308"/>
        <v>1</v>
      </c>
      <c r="AH202" s="140">
        <f t="shared" si="308"/>
        <v>1</v>
      </c>
      <c r="AI202" s="140">
        <f t="shared" si="308"/>
        <v>1</v>
      </c>
      <c r="AJ202" s="140">
        <f t="shared" si="308"/>
        <v>1</v>
      </c>
      <c r="AK202" s="140">
        <f t="shared" si="308"/>
        <v>1</v>
      </c>
      <c r="AL202" s="140">
        <f t="shared" si="308"/>
        <v>1</v>
      </c>
      <c r="AM202" s="140">
        <f t="shared" si="308"/>
        <v>1</v>
      </c>
      <c r="AN202" s="140">
        <f t="shared" si="308"/>
        <v>1</v>
      </c>
      <c r="AO202" s="140">
        <f t="shared" si="308"/>
        <v>1</v>
      </c>
      <c r="AP202" s="140">
        <f t="shared" si="308"/>
        <v>1</v>
      </c>
      <c r="AQ202" s="140">
        <f t="shared" si="308"/>
        <v>1</v>
      </c>
      <c r="AR202" s="140">
        <f t="shared" si="308"/>
        <v>1</v>
      </c>
      <c r="AS202" s="140">
        <f t="shared" si="308"/>
        <v>1</v>
      </c>
      <c r="AT202" s="140">
        <f t="shared" si="308"/>
        <v>1</v>
      </c>
      <c r="AU202" s="140">
        <f t="shared" si="308"/>
        <v>1</v>
      </c>
      <c r="AV202" s="140">
        <f t="shared" si="308"/>
        <v>1</v>
      </c>
      <c r="AW202" s="140">
        <f t="shared" si="308"/>
        <v>1</v>
      </c>
      <c r="AX202" s="140">
        <f t="shared" si="308"/>
        <v>1</v>
      </c>
      <c r="AY202" s="140">
        <f t="shared" si="308"/>
        <v>1</v>
      </c>
      <c r="AZ202" s="140">
        <f t="shared" si="308"/>
        <v>1</v>
      </c>
      <c r="BA202" s="140">
        <f t="shared" si="308"/>
        <v>1</v>
      </c>
      <c r="BB202" s="140">
        <f t="shared" si="308"/>
        <v>1</v>
      </c>
      <c r="BC202" s="140">
        <f t="shared" si="308"/>
        <v>1</v>
      </c>
      <c r="BD202" s="140">
        <f t="shared" si="308"/>
        <v>1</v>
      </c>
      <c r="BE202" s="140">
        <f t="shared" si="308"/>
        <v>1</v>
      </c>
      <c r="BF202" s="140">
        <f t="shared" si="308"/>
        <v>1</v>
      </c>
      <c r="BG202" s="140">
        <f t="shared" si="308"/>
        <v>1</v>
      </c>
      <c r="BH202" s="140">
        <f t="shared" si="308"/>
        <v>1</v>
      </c>
      <c r="BI202" s="140">
        <f t="shared" si="308"/>
        <v>1</v>
      </c>
      <c r="BJ202" s="140">
        <f t="shared" si="308"/>
        <v>1</v>
      </c>
      <c r="BK202" s="140">
        <f t="shared" si="308"/>
        <v>1</v>
      </c>
      <c r="BL202" s="140">
        <f t="shared" si="308"/>
        <v>1</v>
      </c>
      <c r="BM202" s="140">
        <f t="shared" si="308"/>
        <v>1</v>
      </c>
      <c r="BN202" s="140">
        <f t="shared" si="308"/>
        <v>1</v>
      </c>
      <c r="BO202" s="140">
        <f t="shared" ref="BO202:CB202" si="309">EXP(-BO201*BO200)</f>
        <v>1</v>
      </c>
      <c r="BP202" s="140">
        <f t="shared" si="309"/>
        <v>1</v>
      </c>
      <c r="BQ202" s="140">
        <f t="shared" si="309"/>
        <v>1</v>
      </c>
      <c r="BR202" s="140">
        <f t="shared" si="309"/>
        <v>1</v>
      </c>
      <c r="BS202" s="140">
        <f t="shared" si="309"/>
        <v>1</v>
      </c>
      <c r="BT202" s="140">
        <f t="shared" si="309"/>
        <v>1</v>
      </c>
      <c r="BU202" s="140">
        <f t="shared" si="309"/>
        <v>1</v>
      </c>
      <c r="BV202" s="140">
        <f t="shared" si="309"/>
        <v>1</v>
      </c>
      <c r="BW202" s="140">
        <f t="shared" si="309"/>
        <v>1</v>
      </c>
      <c r="BX202" s="140">
        <f t="shared" si="309"/>
        <v>1</v>
      </c>
      <c r="BY202" s="140">
        <f t="shared" si="309"/>
        <v>1</v>
      </c>
      <c r="BZ202" s="140">
        <f t="shared" si="309"/>
        <v>1</v>
      </c>
      <c r="CA202" s="140">
        <f t="shared" si="309"/>
        <v>1</v>
      </c>
      <c r="CB202" s="140">
        <f t="shared" si="309"/>
        <v>1</v>
      </c>
      <c r="CC202" s="17"/>
      <c r="CD202" s="17"/>
      <c r="CE202" s="17"/>
    </row>
    <row r="203" spans="1:83">
      <c r="A203" s="17"/>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c r="AP203" s="17"/>
      <c r="AQ203" s="17"/>
      <c r="AR203" s="17"/>
      <c r="AS203" s="17"/>
      <c r="AT203" s="17"/>
      <c r="AU203" s="17"/>
      <c r="AV203" s="17"/>
      <c r="AW203" s="17"/>
      <c r="AX203" s="17"/>
      <c r="AY203" s="17"/>
      <c r="AZ203" s="17"/>
      <c r="BA203" s="17"/>
      <c r="BB203" s="17"/>
      <c r="BC203" s="17"/>
      <c r="BD203" s="17"/>
      <c r="BE203" s="17"/>
      <c r="BF203" s="17"/>
      <c r="BG203" s="17"/>
      <c r="BH203" s="17"/>
      <c r="BI203" s="17"/>
      <c r="BJ203" s="17"/>
      <c r="BK203" s="17"/>
      <c r="BL203" s="17"/>
      <c r="BM203" s="17"/>
      <c r="BN203" s="17"/>
      <c r="BO203" s="17"/>
      <c r="BP203" s="17"/>
      <c r="BQ203" s="17"/>
      <c r="BR203" s="17"/>
      <c r="BS203" s="17"/>
      <c r="BT203" s="17"/>
      <c r="BU203" s="17"/>
      <c r="BV203" s="17"/>
      <c r="BW203" s="17"/>
      <c r="BX203" s="17"/>
      <c r="BY203" s="17"/>
      <c r="BZ203" s="17"/>
      <c r="CA203" s="17"/>
      <c r="CB203" s="17"/>
      <c r="CC203" s="17"/>
      <c r="CD203" s="17"/>
      <c r="CE203" s="17"/>
    </row>
    <row r="204" spans="1:83">
      <c r="A204" s="16" t="s">
        <v>40</v>
      </c>
      <c r="B204" s="140">
        <f>DAYS360($B$3,B78)</f>
        <v>-43022</v>
      </c>
      <c r="C204" s="140">
        <f t="shared" ref="C204:BN204" si="310">DAYS360($B$3,C78)</f>
        <v>-42842</v>
      </c>
      <c r="D204" s="140">
        <f t="shared" si="310"/>
        <v>-42662</v>
      </c>
      <c r="E204" s="140">
        <f t="shared" si="310"/>
        <v>-42482</v>
      </c>
      <c r="F204" s="140">
        <f t="shared" si="310"/>
        <v>-42302</v>
      </c>
      <c r="G204" s="140">
        <f t="shared" si="310"/>
        <v>-42122</v>
      </c>
      <c r="H204" s="140">
        <f t="shared" si="310"/>
        <v>-41942</v>
      </c>
      <c r="I204" s="140">
        <f t="shared" si="310"/>
        <v>-41762</v>
      </c>
      <c r="J204" s="140">
        <f t="shared" si="310"/>
        <v>-41582</v>
      </c>
      <c r="K204" s="140">
        <f t="shared" si="310"/>
        <v>-41403</v>
      </c>
      <c r="L204" s="140">
        <f t="shared" si="310"/>
        <v>-41223</v>
      </c>
      <c r="M204" s="140">
        <f t="shared" si="310"/>
        <v>-41043</v>
      </c>
      <c r="N204" s="140">
        <f t="shared" si="310"/>
        <v>-40863</v>
      </c>
      <c r="O204" s="140">
        <f t="shared" si="310"/>
        <v>-40683</v>
      </c>
      <c r="P204" s="140">
        <f t="shared" si="310"/>
        <v>-40503</v>
      </c>
      <c r="Q204" s="140">
        <f t="shared" si="310"/>
        <v>-40323</v>
      </c>
      <c r="R204" s="140">
        <f t="shared" si="310"/>
        <v>-40143</v>
      </c>
      <c r="S204" s="140">
        <f t="shared" si="310"/>
        <v>-39964</v>
      </c>
      <c r="T204" s="140">
        <f t="shared" si="310"/>
        <v>-39784</v>
      </c>
      <c r="U204" s="140">
        <f t="shared" si="310"/>
        <v>-39604</v>
      </c>
      <c r="V204" s="140">
        <f t="shared" si="310"/>
        <v>-39424</v>
      </c>
      <c r="W204" s="140">
        <f t="shared" si="310"/>
        <v>-39244</v>
      </c>
      <c r="X204" s="140">
        <f t="shared" si="310"/>
        <v>-39064</v>
      </c>
      <c r="Y204" s="140">
        <f t="shared" si="310"/>
        <v>-38884</v>
      </c>
      <c r="Z204" s="140">
        <f t="shared" si="310"/>
        <v>-38704</v>
      </c>
      <c r="AA204" s="140">
        <f t="shared" si="310"/>
        <v>-38525</v>
      </c>
      <c r="AB204" s="140">
        <f t="shared" si="310"/>
        <v>-38345</v>
      </c>
      <c r="AC204" s="140">
        <f t="shared" si="310"/>
        <v>-38165</v>
      </c>
      <c r="AD204" s="140">
        <f t="shared" si="310"/>
        <v>-37985</v>
      </c>
      <c r="AE204" s="140">
        <f t="shared" si="310"/>
        <v>-37805</v>
      </c>
      <c r="AF204" s="140">
        <f t="shared" si="310"/>
        <v>-37625</v>
      </c>
      <c r="AG204" s="140">
        <f t="shared" si="310"/>
        <v>-37445</v>
      </c>
      <c r="AH204" s="140">
        <f t="shared" si="310"/>
        <v>-37265</v>
      </c>
      <c r="AI204" s="140">
        <f t="shared" si="310"/>
        <v>-37086</v>
      </c>
      <c r="AJ204" s="140">
        <f t="shared" si="310"/>
        <v>-36906</v>
      </c>
      <c r="AK204" s="140">
        <f t="shared" si="310"/>
        <v>-36726</v>
      </c>
      <c r="AL204" s="140">
        <f t="shared" si="310"/>
        <v>-36546</v>
      </c>
      <c r="AM204" s="140">
        <f t="shared" si="310"/>
        <v>-36366</v>
      </c>
      <c r="AN204" s="140">
        <f t="shared" si="310"/>
        <v>-36186</v>
      </c>
      <c r="AO204" s="140">
        <f t="shared" si="310"/>
        <v>-36006</v>
      </c>
      <c r="AP204" s="140">
        <f t="shared" si="310"/>
        <v>-35826</v>
      </c>
      <c r="AQ204" s="140">
        <f t="shared" si="310"/>
        <v>-35647</v>
      </c>
      <c r="AR204" s="140">
        <f t="shared" si="310"/>
        <v>-35467</v>
      </c>
      <c r="AS204" s="140">
        <f t="shared" si="310"/>
        <v>-35287</v>
      </c>
      <c r="AT204" s="140">
        <f t="shared" si="310"/>
        <v>-35107</v>
      </c>
      <c r="AU204" s="140">
        <f t="shared" si="310"/>
        <v>-34927</v>
      </c>
      <c r="AV204" s="140">
        <f t="shared" si="310"/>
        <v>-34747</v>
      </c>
      <c r="AW204" s="140">
        <f t="shared" si="310"/>
        <v>-34567</v>
      </c>
      <c r="AX204" s="140">
        <f t="shared" si="310"/>
        <v>-34387</v>
      </c>
      <c r="AY204" s="140">
        <f t="shared" si="310"/>
        <v>-34208</v>
      </c>
      <c r="AZ204" s="140">
        <f t="shared" si="310"/>
        <v>-34028</v>
      </c>
      <c r="BA204" s="140">
        <f t="shared" si="310"/>
        <v>-33848</v>
      </c>
      <c r="BB204" s="140">
        <f t="shared" si="310"/>
        <v>-33668</v>
      </c>
      <c r="BC204" s="140">
        <f t="shared" si="310"/>
        <v>-33488</v>
      </c>
      <c r="BD204" s="140">
        <f t="shared" si="310"/>
        <v>-33308</v>
      </c>
      <c r="BE204" s="140">
        <f t="shared" si="310"/>
        <v>-33128</v>
      </c>
      <c r="BF204" s="140">
        <f t="shared" si="310"/>
        <v>-32948</v>
      </c>
      <c r="BG204" s="140">
        <f t="shared" si="310"/>
        <v>-32769</v>
      </c>
      <c r="BH204" s="140">
        <f t="shared" si="310"/>
        <v>-32589</v>
      </c>
      <c r="BI204" s="140">
        <f t="shared" si="310"/>
        <v>-32409</v>
      </c>
      <c r="BJ204" s="140">
        <f t="shared" si="310"/>
        <v>-32229</v>
      </c>
      <c r="BK204" s="140">
        <f t="shared" si="310"/>
        <v>-32049</v>
      </c>
      <c r="BL204" s="140">
        <f t="shared" si="310"/>
        <v>-31869</v>
      </c>
      <c r="BM204" s="140">
        <f t="shared" si="310"/>
        <v>-31689</v>
      </c>
      <c r="BN204" s="140">
        <f t="shared" si="310"/>
        <v>-31509</v>
      </c>
      <c r="BO204" s="140">
        <f t="shared" ref="BO204:CB204" si="311">DAYS360($B$3,BO78)</f>
        <v>-31330</v>
      </c>
      <c r="BP204" s="140">
        <f t="shared" si="311"/>
        <v>-31150</v>
      </c>
      <c r="BQ204" s="140">
        <f t="shared" si="311"/>
        <v>-30970</v>
      </c>
      <c r="BR204" s="140">
        <f t="shared" si="311"/>
        <v>-30790</v>
      </c>
      <c r="BS204" s="140">
        <f t="shared" si="311"/>
        <v>-30610</v>
      </c>
      <c r="BT204" s="140">
        <f t="shared" si="311"/>
        <v>-30430</v>
      </c>
      <c r="BU204" s="140">
        <f t="shared" si="311"/>
        <v>-30250</v>
      </c>
      <c r="BV204" s="140">
        <f t="shared" si="311"/>
        <v>-30070</v>
      </c>
      <c r="BW204" s="140">
        <f t="shared" si="311"/>
        <v>-29891</v>
      </c>
      <c r="BX204" s="140">
        <f t="shared" si="311"/>
        <v>-29711</v>
      </c>
      <c r="BY204" s="140">
        <f t="shared" si="311"/>
        <v>-29531</v>
      </c>
      <c r="BZ204" s="140">
        <f t="shared" si="311"/>
        <v>-29351</v>
      </c>
      <c r="CA204" s="140">
        <f t="shared" si="311"/>
        <v>-29171</v>
      </c>
      <c r="CB204" s="140">
        <f t="shared" si="311"/>
        <v>-28991</v>
      </c>
      <c r="CC204" s="17"/>
      <c r="CD204" s="17"/>
      <c r="CE204" s="17"/>
    </row>
    <row r="205" spans="1:83">
      <c r="A205" s="16" t="s">
        <v>41</v>
      </c>
      <c r="B205" s="140">
        <f>B204/360</f>
        <v>-119.50555555555556</v>
      </c>
      <c r="C205" s="140">
        <f t="shared" ref="C205:BN205" si="312">C204/360</f>
        <v>-119.00555555555556</v>
      </c>
      <c r="D205" s="140">
        <f t="shared" si="312"/>
        <v>-118.50555555555556</v>
      </c>
      <c r="E205" s="140">
        <f t="shared" si="312"/>
        <v>-118.00555555555556</v>
      </c>
      <c r="F205" s="140">
        <f t="shared" si="312"/>
        <v>-117.50555555555556</v>
      </c>
      <c r="G205" s="140">
        <f t="shared" si="312"/>
        <v>-117.00555555555556</v>
      </c>
      <c r="H205" s="140">
        <f t="shared" si="312"/>
        <v>-116.50555555555556</v>
      </c>
      <c r="I205" s="140">
        <f t="shared" si="312"/>
        <v>-116.00555555555556</v>
      </c>
      <c r="J205" s="140">
        <f t="shared" si="312"/>
        <v>-115.50555555555556</v>
      </c>
      <c r="K205" s="140">
        <f t="shared" si="312"/>
        <v>-115.00833333333334</v>
      </c>
      <c r="L205" s="140">
        <f t="shared" si="312"/>
        <v>-114.50833333333334</v>
      </c>
      <c r="M205" s="140">
        <f t="shared" si="312"/>
        <v>-114.00833333333334</v>
      </c>
      <c r="N205" s="140">
        <f t="shared" si="312"/>
        <v>-113.50833333333334</v>
      </c>
      <c r="O205" s="140">
        <f t="shared" si="312"/>
        <v>-113.00833333333334</v>
      </c>
      <c r="P205" s="140">
        <f t="shared" si="312"/>
        <v>-112.50833333333334</v>
      </c>
      <c r="Q205" s="140">
        <f t="shared" si="312"/>
        <v>-112.00833333333334</v>
      </c>
      <c r="R205" s="140">
        <f t="shared" si="312"/>
        <v>-111.50833333333334</v>
      </c>
      <c r="S205" s="140">
        <f t="shared" si="312"/>
        <v>-111.01111111111111</v>
      </c>
      <c r="T205" s="140">
        <f t="shared" si="312"/>
        <v>-110.51111111111111</v>
      </c>
      <c r="U205" s="140">
        <f t="shared" si="312"/>
        <v>-110.01111111111111</v>
      </c>
      <c r="V205" s="140">
        <f t="shared" si="312"/>
        <v>-109.51111111111111</v>
      </c>
      <c r="W205" s="140">
        <f t="shared" si="312"/>
        <v>-109.01111111111111</v>
      </c>
      <c r="X205" s="140">
        <f t="shared" si="312"/>
        <v>-108.51111111111111</v>
      </c>
      <c r="Y205" s="140">
        <f t="shared" si="312"/>
        <v>-108.01111111111111</v>
      </c>
      <c r="Z205" s="140">
        <f t="shared" si="312"/>
        <v>-107.51111111111111</v>
      </c>
      <c r="AA205" s="140">
        <f t="shared" si="312"/>
        <v>-107.01388888888889</v>
      </c>
      <c r="AB205" s="140">
        <f t="shared" si="312"/>
        <v>-106.51388888888889</v>
      </c>
      <c r="AC205" s="140">
        <f t="shared" si="312"/>
        <v>-106.01388888888889</v>
      </c>
      <c r="AD205" s="140">
        <f t="shared" si="312"/>
        <v>-105.51388888888889</v>
      </c>
      <c r="AE205" s="140">
        <f t="shared" si="312"/>
        <v>-105.01388888888889</v>
      </c>
      <c r="AF205" s="140">
        <f t="shared" si="312"/>
        <v>-104.51388888888889</v>
      </c>
      <c r="AG205" s="140">
        <f t="shared" si="312"/>
        <v>-104.01388888888889</v>
      </c>
      <c r="AH205" s="140">
        <f t="shared" si="312"/>
        <v>-103.51388888888889</v>
      </c>
      <c r="AI205" s="140">
        <f t="shared" si="312"/>
        <v>-103.01666666666667</v>
      </c>
      <c r="AJ205" s="140">
        <f t="shared" si="312"/>
        <v>-102.51666666666667</v>
      </c>
      <c r="AK205" s="140">
        <f t="shared" si="312"/>
        <v>-102.01666666666667</v>
      </c>
      <c r="AL205" s="140">
        <f t="shared" si="312"/>
        <v>-101.51666666666667</v>
      </c>
      <c r="AM205" s="140">
        <f t="shared" si="312"/>
        <v>-101.01666666666667</v>
      </c>
      <c r="AN205" s="140">
        <f t="shared" si="312"/>
        <v>-100.51666666666667</v>
      </c>
      <c r="AO205" s="140">
        <f t="shared" si="312"/>
        <v>-100.01666666666667</v>
      </c>
      <c r="AP205" s="140">
        <f t="shared" si="312"/>
        <v>-99.516666666666666</v>
      </c>
      <c r="AQ205" s="140">
        <f t="shared" si="312"/>
        <v>-99.019444444444446</v>
      </c>
      <c r="AR205" s="140">
        <f t="shared" si="312"/>
        <v>-98.519444444444446</v>
      </c>
      <c r="AS205" s="140">
        <f t="shared" si="312"/>
        <v>-98.019444444444446</v>
      </c>
      <c r="AT205" s="140">
        <f t="shared" si="312"/>
        <v>-97.519444444444446</v>
      </c>
      <c r="AU205" s="140">
        <f t="shared" si="312"/>
        <v>-97.019444444444446</v>
      </c>
      <c r="AV205" s="140">
        <f t="shared" si="312"/>
        <v>-96.519444444444446</v>
      </c>
      <c r="AW205" s="140">
        <f t="shared" si="312"/>
        <v>-96.019444444444446</v>
      </c>
      <c r="AX205" s="140">
        <f t="shared" si="312"/>
        <v>-95.519444444444446</v>
      </c>
      <c r="AY205" s="140">
        <f t="shared" si="312"/>
        <v>-95.022222222222226</v>
      </c>
      <c r="AZ205" s="140">
        <f t="shared" si="312"/>
        <v>-94.522222222222226</v>
      </c>
      <c r="BA205" s="140">
        <f t="shared" si="312"/>
        <v>-94.022222222222226</v>
      </c>
      <c r="BB205" s="140">
        <f t="shared" si="312"/>
        <v>-93.522222222222226</v>
      </c>
      <c r="BC205" s="140">
        <f t="shared" si="312"/>
        <v>-93.022222222222226</v>
      </c>
      <c r="BD205" s="140">
        <f t="shared" si="312"/>
        <v>-92.522222222222226</v>
      </c>
      <c r="BE205" s="140">
        <f t="shared" si="312"/>
        <v>-92.022222222222226</v>
      </c>
      <c r="BF205" s="140">
        <f t="shared" si="312"/>
        <v>-91.522222222222226</v>
      </c>
      <c r="BG205" s="140">
        <f t="shared" si="312"/>
        <v>-91.025000000000006</v>
      </c>
      <c r="BH205" s="140">
        <f t="shared" si="312"/>
        <v>-90.525000000000006</v>
      </c>
      <c r="BI205" s="140">
        <f t="shared" si="312"/>
        <v>-90.025000000000006</v>
      </c>
      <c r="BJ205" s="140">
        <f t="shared" si="312"/>
        <v>-89.525000000000006</v>
      </c>
      <c r="BK205" s="140">
        <f t="shared" si="312"/>
        <v>-89.025000000000006</v>
      </c>
      <c r="BL205" s="140">
        <f t="shared" si="312"/>
        <v>-88.525000000000006</v>
      </c>
      <c r="BM205" s="140">
        <f t="shared" si="312"/>
        <v>-88.025000000000006</v>
      </c>
      <c r="BN205" s="140">
        <f t="shared" si="312"/>
        <v>-87.525000000000006</v>
      </c>
      <c r="BO205" s="140">
        <f t="shared" ref="BO205:CB205" si="313">BO204/360</f>
        <v>-87.027777777777771</v>
      </c>
      <c r="BP205" s="140">
        <f t="shared" si="313"/>
        <v>-86.527777777777771</v>
      </c>
      <c r="BQ205" s="140">
        <f t="shared" si="313"/>
        <v>-86.027777777777771</v>
      </c>
      <c r="BR205" s="140">
        <f t="shared" si="313"/>
        <v>-85.527777777777771</v>
      </c>
      <c r="BS205" s="140">
        <f t="shared" si="313"/>
        <v>-85.027777777777771</v>
      </c>
      <c r="BT205" s="140">
        <f t="shared" si="313"/>
        <v>-84.527777777777771</v>
      </c>
      <c r="BU205" s="140">
        <f t="shared" si="313"/>
        <v>-84.027777777777771</v>
      </c>
      <c r="BV205" s="140">
        <f t="shared" si="313"/>
        <v>-83.527777777777771</v>
      </c>
      <c r="BW205" s="140">
        <f t="shared" si="313"/>
        <v>-83.030555555555551</v>
      </c>
      <c r="BX205" s="140">
        <f t="shared" si="313"/>
        <v>-82.530555555555551</v>
      </c>
      <c r="BY205" s="140">
        <f t="shared" si="313"/>
        <v>-82.030555555555551</v>
      </c>
      <c r="BZ205" s="140">
        <f t="shared" si="313"/>
        <v>-81.530555555555551</v>
      </c>
      <c r="CA205" s="140">
        <f t="shared" si="313"/>
        <v>-81.030555555555551</v>
      </c>
      <c r="CB205" s="140">
        <f t="shared" si="313"/>
        <v>-80.530555555555551</v>
      </c>
      <c r="CC205" s="17"/>
      <c r="CD205" s="17"/>
      <c r="CE205" s="17"/>
    </row>
    <row r="206" spans="1:83">
      <c r="A206" s="16" t="s">
        <v>43</v>
      </c>
      <c r="B206" s="140">
        <f>IF(B204&lt;0,0,$B$5+$B$6*((1-EXP(-B205/$B$9))/(B205/$B$9))+$B$7*((1-EXP(-B205/$B$9))/(B205/$B$9)-EXP(-B205/$B$9))+$B$8*((1-EXP(-B205/$B$10))/(B205/$B$10)-EXP(-B205/$B$10)))</f>
        <v>0</v>
      </c>
      <c r="C206" s="140">
        <f t="shared" ref="C206:BN206" si="314">IF(C204&lt;0,0,$B$5+$B$6*((1-EXP(-C205/$B$9))/(C205/$B$9))+$B$7*((1-EXP(-C205/$B$9))/(C205/$B$9)-EXP(-C205/$B$9))+$B$8*((1-EXP(-C205/$B$10))/(C205/$B$10)-EXP(-C205/$B$10)))</f>
        <v>0</v>
      </c>
      <c r="D206" s="140">
        <f t="shared" si="314"/>
        <v>0</v>
      </c>
      <c r="E206" s="140">
        <f t="shared" si="314"/>
        <v>0</v>
      </c>
      <c r="F206" s="140">
        <f t="shared" si="314"/>
        <v>0</v>
      </c>
      <c r="G206" s="140">
        <f t="shared" si="314"/>
        <v>0</v>
      </c>
      <c r="H206" s="140">
        <f t="shared" si="314"/>
        <v>0</v>
      </c>
      <c r="I206" s="140">
        <f t="shared" si="314"/>
        <v>0</v>
      </c>
      <c r="J206" s="140">
        <f t="shared" si="314"/>
        <v>0</v>
      </c>
      <c r="K206" s="140">
        <f t="shared" si="314"/>
        <v>0</v>
      </c>
      <c r="L206" s="140">
        <f t="shared" si="314"/>
        <v>0</v>
      </c>
      <c r="M206" s="140">
        <f t="shared" si="314"/>
        <v>0</v>
      </c>
      <c r="N206" s="140">
        <f t="shared" si="314"/>
        <v>0</v>
      </c>
      <c r="O206" s="140">
        <f t="shared" si="314"/>
        <v>0</v>
      </c>
      <c r="P206" s="140">
        <f t="shared" si="314"/>
        <v>0</v>
      </c>
      <c r="Q206" s="140">
        <f t="shared" si="314"/>
        <v>0</v>
      </c>
      <c r="R206" s="140">
        <f t="shared" si="314"/>
        <v>0</v>
      </c>
      <c r="S206" s="140">
        <f t="shared" si="314"/>
        <v>0</v>
      </c>
      <c r="T206" s="140">
        <f t="shared" si="314"/>
        <v>0</v>
      </c>
      <c r="U206" s="140">
        <f t="shared" si="314"/>
        <v>0</v>
      </c>
      <c r="V206" s="140">
        <f t="shared" si="314"/>
        <v>0</v>
      </c>
      <c r="W206" s="140">
        <f t="shared" si="314"/>
        <v>0</v>
      </c>
      <c r="X206" s="140">
        <f t="shared" si="314"/>
        <v>0</v>
      </c>
      <c r="Y206" s="140">
        <f t="shared" si="314"/>
        <v>0</v>
      </c>
      <c r="Z206" s="140">
        <f t="shared" si="314"/>
        <v>0</v>
      </c>
      <c r="AA206" s="140">
        <f t="shared" si="314"/>
        <v>0</v>
      </c>
      <c r="AB206" s="140">
        <f t="shared" si="314"/>
        <v>0</v>
      </c>
      <c r="AC206" s="140">
        <f t="shared" si="314"/>
        <v>0</v>
      </c>
      <c r="AD206" s="140">
        <f t="shared" si="314"/>
        <v>0</v>
      </c>
      <c r="AE206" s="140">
        <f t="shared" si="314"/>
        <v>0</v>
      </c>
      <c r="AF206" s="140">
        <f t="shared" si="314"/>
        <v>0</v>
      </c>
      <c r="AG206" s="140">
        <f t="shared" si="314"/>
        <v>0</v>
      </c>
      <c r="AH206" s="140">
        <f t="shared" si="314"/>
        <v>0</v>
      </c>
      <c r="AI206" s="140">
        <f t="shared" si="314"/>
        <v>0</v>
      </c>
      <c r="AJ206" s="140">
        <f t="shared" si="314"/>
        <v>0</v>
      </c>
      <c r="AK206" s="140">
        <f t="shared" si="314"/>
        <v>0</v>
      </c>
      <c r="AL206" s="140">
        <f t="shared" si="314"/>
        <v>0</v>
      </c>
      <c r="AM206" s="140">
        <f t="shared" si="314"/>
        <v>0</v>
      </c>
      <c r="AN206" s="140">
        <f t="shared" si="314"/>
        <v>0</v>
      </c>
      <c r="AO206" s="140">
        <f t="shared" si="314"/>
        <v>0</v>
      </c>
      <c r="AP206" s="140">
        <f t="shared" si="314"/>
        <v>0</v>
      </c>
      <c r="AQ206" s="140">
        <f t="shared" si="314"/>
        <v>0</v>
      </c>
      <c r="AR206" s="140">
        <f t="shared" si="314"/>
        <v>0</v>
      </c>
      <c r="AS206" s="140">
        <f t="shared" si="314"/>
        <v>0</v>
      </c>
      <c r="AT206" s="140">
        <f t="shared" si="314"/>
        <v>0</v>
      </c>
      <c r="AU206" s="140">
        <f t="shared" si="314"/>
        <v>0</v>
      </c>
      <c r="AV206" s="140">
        <f t="shared" si="314"/>
        <v>0</v>
      </c>
      <c r="AW206" s="140">
        <f t="shared" si="314"/>
        <v>0</v>
      </c>
      <c r="AX206" s="140">
        <f t="shared" si="314"/>
        <v>0</v>
      </c>
      <c r="AY206" s="140">
        <f t="shared" si="314"/>
        <v>0</v>
      </c>
      <c r="AZ206" s="140">
        <f t="shared" si="314"/>
        <v>0</v>
      </c>
      <c r="BA206" s="140">
        <f t="shared" si="314"/>
        <v>0</v>
      </c>
      <c r="BB206" s="140">
        <f t="shared" si="314"/>
        <v>0</v>
      </c>
      <c r="BC206" s="140">
        <f t="shared" si="314"/>
        <v>0</v>
      </c>
      <c r="BD206" s="140">
        <f t="shared" si="314"/>
        <v>0</v>
      </c>
      <c r="BE206" s="140">
        <f t="shared" si="314"/>
        <v>0</v>
      </c>
      <c r="BF206" s="140">
        <f t="shared" si="314"/>
        <v>0</v>
      </c>
      <c r="BG206" s="140">
        <f t="shared" si="314"/>
        <v>0</v>
      </c>
      <c r="BH206" s="140">
        <f t="shared" si="314"/>
        <v>0</v>
      </c>
      <c r="BI206" s="140">
        <f t="shared" si="314"/>
        <v>0</v>
      </c>
      <c r="BJ206" s="140">
        <f t="shared" si="314"/>
        <v>0</v>
      </c>
      <c r="BK206" s="140">
        <f t="shared" si="314"/>
        <v>0</v>
      </c>
      <c r="BL206" s="140">
        <f t="shared" si="314"/>
        <v>0</v>
      </c>
      <c r="BM206" s="140">
        <f t="shared" si="314"/>
        <v>0</v>
      </c>
      <c r="BN206" s="140">
        <f t="shared" si="314"/>
        <v>0</v>
      </c>
      <c r="BO206" s="140">
        <f t="shared" ref="BO206:CB206" si="315">IF(BO204&lt;0,0,$B$5+$B$6*((1-EXP(-BO205/$B$9))/(BO205/$B$9))+$B$7*((1-EXP(-BO205/$B$9))/(BO205/$B$9)-EXP(-BO205/$B$9))+$B$8*((1-EXP(-BO205/$B$10))/(BO205/$B$10)-EXP(-BO205/$B$10)))</f>
        <v>0</v>
      </c>
      <c r="BP206" s="140">
        <f t="shared" si="315"/>
        <v>0</v>
      </c>
      <c r="BQ206" s="140">
        <f t="shared" si="315"/>
        <v>0</v>
      </c>
      <c r="BR206" s="140">
        <f t="shared" si="315"/>
        <v>0</v>
      </c>
      <c r="BS206" s="140">
        <f t="shared" si="315"/>
        <v>0</v>
      </c>
      <c r="BT206" s="140">
        <f t="shared" si="315"/>
        <v>0</v>
      </c>
      <c r="BU206" s="140">
        <f t="shared" si="315"/>
        <v>0</v>
      </c>
      <c r="BV206" s="140">
        <f t="shared" si="315"/>
        <v>0</v>
      </c>
      <c r="BW206" s="140">
        <f t="shared" si="315"/>
        <v>0</v>
      </c>
      <c r="BX206" s="140">
        <f t="shared" si="315"/>
        <v>0</v>
      </c>
      <c r="BY206" s="140">
        <f t="shared" si="315"/>
        <v>0</v>
      </c>
      <c r="BZ206" s="140">
        <f t="shared" si="315"/>
        <v>0</v>
      </c>
      <c r="CA206" s="140">
        <f t="shared" si="315"/>
        <v>0</v>
      </c>
      <c r="CB206" s="140">
        <f t="shared" si="315"/>
        <v>0</v>
      </c>
      <c r="CC206" s="17"/>
      <c r="CD206" s="17"/>
      <c r="CE206" s="17"/>
    </row>
    <row r="207" spans="1:83">
      <c r="A207" s="16" t="s">
        <v>44</v>
      </c>
      <c r="B207" s="140">
        <f>EXP(-B206*B205)</f>
        <v>1</v>
      </c>
      <c r="C207" s="140">
        <f t="shared" ref="C207:BN207" si="316">EXP(-C206*C205)</f>
        <v>1</v>
      </c>
      <c r="D207" s="140">
        <f t="shared" si="316"/>
        <v>1</v>
      </c>
      <c r="E207" s="140">
        <f t="shared" si="316"/>
        <v>1</v>
      </c>
      <c r="F207" s="140">
        <f t="shared" si="316"/>
        <v>1</v>
      </c>
      <c r="G207" s="140">
        <f t="shared" si="316"/>
        <v>1</v>
      </c>
      <c r="H207" s="140">
        <f t="shared" si="316"/>
        <v>1</v>
      </c>
      <c r="I207" s="140">
        <f t="shared" si="316"/>
        <v>1</v>
      </c>
      <c r="J207" s="140">
        <f t="shared" si="316"/>
        <v>1</v>
      </c>
      <c r="K207" s="140">
        <f t="shared" si="316"/>
        <v>1</v>
      </c>
      <c r="L207" s="140">
        <f t="shared" si="316"/>
        <v>1</v>
      </c>
      <c r="M207" s="140">
        <f t="shared" si="316"/>
        <v>1</v>
      </c>
      <c r="N207" s="140">
        <f t="shared" si="316"/>
        <v>1</v>
      </c>
      <c r="O207" s="140">
        <f t="shared" si="316"/>
        <v>1</v>
      </c>
      <c r="P207" s="140">
        <f t="shared" si="316"/>
        <v>1</v>
      </c>
      <c r="Q207" s="140">
        <f t="shared" si="316"/>
        <v>1</v>
      </c>
      <c r="R207" s="140">
        <f t="shared" si="316"/>
        <v>1</v>
      </c>
      <c r="S207" s="140">
        <f t="shared" si="316"/>
        <v>1</v>
      </c>
      <c r="T207" s="140">
        <f t="shared" si="316"/>
        <v>1</v>
      </c>
      <c r="U207" s="140">
        <f t="shared" si="316"/>
        <v>1</v>
      </c>
      <c r="V207" s="140">
        <f t="shared" si="316"/>
        <v>1</v>
      </c>
      <c r="W207" s="140">
        <f t="shared" si="316"/>
        <v>1</v>
      </c>
      <c r="X207" s="140">
        <f t="shared" si="316"/>
        <v>1</v>
      </c>
      <c r="Y207" s="140">
        <f t="shared" si="316"/>
        <v>1</v>
      </c>
      <c r="Z207" s="140">
        <f t="shared" si="316"/>
        <v>1</v>
      </c>
      <c r="AA207" s="140">
        <f t="shared" si="316"/>
        <v>1</v>
      </c>
      <c r="AB207" s="140">
        <f t="shared" si="316"/>
        <v>1</v>
      </c>
      <c r="AC207" s="140">
        <f t="shared" si="316"/>
        <v>1</v>
      </c>
      <c r="AD207" s="140">
        <f t="shared" si="316"/>
        <v>1</v>
      </c>
      <c r="AE207" s="140">
        <f t="shared" si="316"/>
        <v>1</v>
      </c>
      <c r="AF207" s="140">
        <f t="shared" si="316"/>
        <v>1</v>
      </c>
      <c r="AG207" s="140">
        <f t="shared" si="316"/>
        <v>1</v>
      </c>
      <c r="AH207" s="140">
        <f t="shared" si="316"/>
        <v>1</v>
      </c>
      <c r="AI207" s="140">
        <f t="shared" si="316"/>
        <v>1</v>
      </c>
      <c r="AJ207" s="140">
        <f t="shared" si="316"/>
        <v>1</v>
      </c>
      <c r="AK207" s="140">
        <f t="shared" si="316"/>
        <v>1</v>
      </c>
      <c r="AL207" s="140">
        <f t="shared" si="316"/>
        <v>1</v>
      </c>
      <c r="AM207" s="140">
        <f t="shared" si="316"/>
        <v>1</v>
      </c>
      <c r="AN207" s="140">
        <f t="shared" si="316"/>
        <v>1</v>
      </c>
      <c r="AO207" s="140">
        <f t="shared" si="316"/>
        <v>1</v>
      </c>
      <c r="AP207" s="140">
        <f t="shared" si="316"/>
        <v>1</v>
      </c>
      <c r="AQ207" s="140">
        <f t="shared" si="316"/>
        <v>1</v>
      </c>
      <c r="AR207" s="140">
        <f t="shared" si="316"/>
        <v>1</v>
      </c>
      <c r="AS207" s="140">
        <f t="shared" si="316"/>
        <v>1</v>
      </c>
      <c r="AT207" s="140">
        <f t="shared" si="316"/>
        <v>1</v>
      </c>
      <c r="AU207" s="140">
        <f t="shared" si="316"/>
        <v>1</v>
      </c>
      <c r="AV207" s="140">
        <f t="shared" si="316"/>
        <v>1</v>
      </c>
      <c r="AW207" s="140">
        <f t="shared" si="316"/>
        <v>1</v>
      </c>
      <c r="AX207" s="140">
        <f t="shared" si="316"/>
        <v>1</v>
      </c>
      <c r="AY207" s="140">
        <f t="shared" si="316"/>
        <v>1</v>
      </c>
      <c r="AZ207" s="140">
        <f t="shared" si="316"/>
        <v>1</v>
      </c>
      <c r="BA207" s="140">
        <f t="shared" si="316"/>
        <v>1</v>
      </c>
      <c r="BB207" s="140">
        <f t="shared" si="316"/>
        <v>1</v>
      </c>
      <c r="BC207" s="140">
        <f t="shared" si="316"/>
        <v>1</v>
      </c>
      <c r="BD207" s="140">
        <f t="shared" si="316"/>
        <v>1</v>
      </c>
      <c r="BE207" s="140">
        <f t="shared" si="316"/>
        <v>1</v>
      </c>
      <c r="BF207" s="140">
        <f t="shared" si="316"/>
        <v>1</v>
      </c>
      <c r="BG207" s="140">
        <f t="shared" si="316"/>
        <v>1</v>
      </c>
      <c r="BH207" s="140">
        <f t="shared" si="316"/>
        <v>1</v>
      </c>
      <c r="BI207" s="140">
        <f t="shared" si="316"/>
        <v>1</v>
      </c>
      <c r="BJ207" s="140">
        <f t="shared" si="316"/>
        <v>1</v>
      </c>
      <c r="BK207" s="140">
        <f t="shared" si="316"/>
        <v>1</v>
      </c>
      <c r="BL207" s="140">
        <f t="shared" si="316"/>
        <v>1</v>
      </c>
      <c r="BM207" s="140">
        <f t="shared" si="316"/>
        <v>1</v>
      </c>
      <c r="BN207" s="140">
        <f t="shared" si="316"/>
        <v>1</v>
      </c>
      <c r="BO207" s="140">
        <f t="shared" ref="BO207:CB207" si="317">EXP(-BO206*BO205)</f>
        <v>1</v>
      </c>
      <c r="BP207" s="140">
        <f t="shared" si="317"/>
        <v>1</v>
      </c>
      <c r="BQ207" s="140">
        <f t="shared" si="317"/>
        <v>1</v>
      </c>
      <c r="BR207" s="140">
        <f t="shared" si="317"/>
        <v>1</v>
      </c>
      <c r="BS207" s="140">
        <f t="shared" si="317"/>
        <v>1</v>
      </c>
      <c r="BT207" s="140">
        <f t="shared" si="317"/>
        <v>1</v>
      </c>
      <c r="BU207" s="140">
        <f t="shared" si="317"/>
        <v>1</v>
      </c>
      <c r="BV207" s="140">
        <f t="shared" si="317"/>
        <v>1</v>
      </c>
      <c r="BW207" s="140">
        <f t="shared" si="317"/>
        <v>1</v>
      </c>
      <c r="BX207" s="140">
        <f t="shared" si="317"/>
        <v>1</v>
      </c>
      <c r="BY207" s="140">
        <f t="shared" si="317"/>
        <v>1</v>
      </c>
      <c r="BZ207" s="140">
        <f t="shared" si="317"/>
        <v>1</v>
      </c>
      <c r="CA207" s="140">
        <f t="shared" si="317"/>
        <v>1</v>
      </c>
      <c r="CB207" s="140">
        <f t="shared" si="317"/>
        <v>1</v>
      </c>
      <c r="CC207" s="17"/>
      <c r="CD207" s="17"/>
      <c r="CE207" s="17"/>
    </row>
    <row r="208" spans="1:83">
      <c r="A208" s="17"/>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c r="AP208" s="17"/>
      <c r="AQ208" s="17"/>
      <c r="AR208" s="17"/>
      <c r="AS208" s="17"/>
      <c r="AT208" s="17"/>
      <c r="AU208" s="17"/>
      <c r="AV208" s="17"/>
      <c r="AW208" s="17"/>
      <c r="AX208" s="17"/>
      <c r="AY208" s="17"/>
      <c r="AZ208" s="17"/>
      <c r="BA208" s="17"/>
      <c r="BB208" s="17"/>
      <c r="BC208" s="17"/>
      <c r="BD208" s="17"/>
      <c r="BE208" s="17"/>
      <c r="BF208" s="17"/>
      <c r="BG208" s="17"/>
      <c r="BH208" s="17"/>
      <c r="BI208" s="17"/>
      <c r="BJ208" s="17"/>
      <c r="BK208" s="17"/>
      <c r="BL208" s="17"/>
      <c r="BM208" s="17"/>
      <c r="BN208" s="17"/>
      <c r="BO208" s="17"/>
      <c r="BP208" s="17"/>
      <c r="BQ208" s="17"/>
      <c r="BR208" s="17"/>
      <c r="BS208" s="17"/>
      <c r="BT208" s="17"/>
      <c r="BU208" s="17"/>
      <c r="BV208" s="17"/>
      <c r="BW208" s="17"/>
      <c r="BX208" s="17"/>
      <c r="BY208" s="17"/>
      <c r="BZ208" s="17"/>
      <c r="CA208" s="17"/>
      <c r="CB208" s="17"/>
      <c r="CC208" s="17"/>
      <c r="CD208" s="17"/>
      <c r="CE208" s="17"/>
    </row>
    <row r="209" spans="1:134">
      <c r="A209" s="16" t="s">
        <v>40</v>
      </c>
      <c r="B209" s="140">
        <f>DAYS360($B$3,B80)</f>
        <v>-43022</v>
      </c>
      <c r="C209" s="140">
        <f t="shared" ref="C209:BN209" si="318">DAYS360($B$3,C80)</f>
        <v>-42842</v>
      </c>
      <c r="D209" s="140">
        <f t="shared" si="318"/>
        <v>-42662</v>
      </c>
      <c r="E209" s="140">
        <f t="shared" si="318"/>
        <v>-42482</v>
      </c>
      <c r="F209" s="140">
        <f t="shared" si="318"/>
        <v>-42302</v>
      </c>
      <c r="G209" s="140">
        <f t="shared" si="318"/>
        <v>-42122</v>
      </c>
      <c r="H209" s="140">
        <f t="shared" si="318"/>
        <v>-41942</v>
      </c>
      <c r="I209" s="140">
        <f t="shared" si="318"/>
        <v>-41762</v>
      </c>
      <c r="J209" s="140">
        <f t="shared" si="318"/>
        <v>-41582</v>
      </c>
      <c r="K209" s="140">
        <f t="shared" si="318"/>
        <v>-41403</v>
      </c>
      <c r="L209" s="140">
        <f t="shared" si="318"/>
        <v>-41223</v>
      </c>
      <c r="M209" s="140">
        <f t="shared" si="318"/>
        <v>-41043</v>
      </c>
      <c r="N209" s="140">
        <f t="shared" si="318"/>
        <v>-40863</v>
      </c>
      <c r="O209" s="140">
        <f t="shared" si="318"/>
        <v>-40683</v>
      </c>
      <c r="P209" s="140">
        <f t="shared" si="318"/>
        <v>-40503</v>
      </c>
      <c r="Q209" s="140">
        <f t="shared" si="318"/>
        <v>-40323</v>
      </c>
      <c r="R209" s="140">
        <f t="shared" si="318"/>
        <v>-40143</v>
      </c>
      <c r="S209" s="140">
        <f t="shared" si="318"/>
        <v>-39964</v>
      </c>
      <c r="T209" s="140">
        <f t="shared" si="318"/>
        <v>-39784</v>
      </c>
      <c r="U209" s="140">
        <f t="shared" si="318"/>
        <v>-39604</v>
      </c>
      <c r="V209" s="140">
        <f t="shared" si="318"/>
        <v>-39424</v>
      </c>
      <c r="W209" s="140">
        <f t="shared" si="318"/>
        <v>-39244</v>
      </c>
      <c r="X209" s="140">
        <f t="shared" si="318"/>
        <v>-39064</v>
      </c>
      <c r="Y209" s="140">
        <f t="shared" si="318"/>
        <v>-38884</v>
      </c>
      <c r="Z209" s="140">
        <f t="shared" si="318"/>
        <v>-38704</v>
      </c>
      <c r="AA209" s="140">
        <f t="shared" si="318"/>
        <v>-38525</v>
      </c>
      <c r="AB209" s="140">
        <f t="shared" si="318"/>
        <v>-38345</v>
      </c>
      <c r="AC209" s="140">
        <f t="shared" si="318"/>
        <v>-38165</v>
      </c>
      <c r="AD209" s="140">
        <f t="shared" si="318"/>
        <v>-37985</v>
      </c>
      <c r="AE209" s="140">
        <f t="shared" si="318"/>
        <v>-37805</v>
      </c>
      <c r="AF209" s="140">
        <f t="shared" si="318"/>
        <v>-37625</v>
      </c>
      <c r="AG209" s="140">
        <f t="shared" si="318"/>
        <v>-37445</v>
      </c>
      <c r="AH209" s="140">
        <f t="shared" si="318"/>
        <v>-37265</v>
      </c>
      <c r="AI209" s="140">
        <f t="shared" si="318"/>
        <v>-37086</v>
      </c>
      <c r="AJ209" s="140">
        <f t="shared" si="318"/>
        <v>-36906</v>
      </c>
      <c r="AK209" s="140">
        <f t="shared" si="318"/>
        <v>-36726</v>
      </c>
      <c r="AL209" s="140">
        <f t="shared" si="318"/>
        <v>-36546</v>
      </c>
      <c r="AM209" s="140">
        <f t="shared" si="318"/>
        <v>-36366</v>
      </c>
      <c r="AN209" s="140">
        <f t="shared" si="318"/>
        <v>-36186</v>
      </c>
      <c r="AO209" s="140">
        <f t="shared" si="318"/>
        <v>-36006</v>
      </c>
      <c r="AP209" s="140">
        <f t="shared" si="318"/>
        <v>-35826</v>
      </c>
      <c r="AQ209" s="140">
        <f t="shared" si="318"/>
        <v>-35647</v>
      </c>
      <c r="AR209" s="140">
        <f t="shared" si="318"/>
        <v>-35467</v>
      </c>
      <c r="AS209" s="140">
        <f t="shared" si="318"/>
        <v>-35287</v>
      </c>
      <c r="AT209" s="140">
        <f t="shared" si="318"/>
        <v>-35107</v>
      </c>
      <c r="AU209" s="140">
        <f t="shared" si="318"/>
        <v>-34927</v>
      </c>
      <c r="AV209" s="140">
        <f t="shared" si="318"/>
        <v>-34747</v>
      </c>
      <c r="AW209" s="140">
        <f t="shared" si="318"/>
        <v>-34567</v>
      </c>
      <c r="AX209" s="140">
        <f t="shared" si="318"/>
        <v>-34387</v>
      </c>
      <c r="AY209" s="140">
        <f t="shared" si="318"/>
        <v>-34208</v>
      </c>
      <c r="AZ209" s="140">
        <f t="shared" si="318"/>
        <v>-34028</v>
      </c>
      <c r="BA209" s="140">
        <f t="shared" si="318"/>
        <v>-33848</v>
      </c>
      <c r="BB209" s="140">
        <f t="shared" si="318"/>
        <v>-33668</v>
      </c>
      <c r="BC209" s="140">
        <f t="shared" si="318"/>
        <v>-33488</v>
      </c>
      <c r="BD209" s="140">
        <f t="shared" si="318"/>
        <v>-33308</v>
      </c>
      <c r="BE209" s="140">
        <f t="shared" si="318"/>
        <v>-33128</v>
      </c>
      <c r="BF209" s="140">
        <f t="shared" si="318"/>
        <v>-32948</v>
      </c>
      <c r="BG209" s="140">
        <f t="shared" si="318"/>
        <v>-32769</v>
      </c>
      <c r="BH209" s="140">
        <f t="shared" si="318"/>
        <v>-32589</v>
      </c>
      <c r="BI209" s="140">
        <f t="shared" si="318"/>
        <v>-32409</v>
      </c>
      <c r="BJ209" s="140">
        <f t="shared" si="318"/>
        <v>-32229</v>
      </c>
      <c r="BK209" s="140">
        <f t="shared" si="318"/>
        <v>-32049</v>
      </c>
      <c r="BL209" s="140">
        <f t="shared" si="318"/>
        <v>-31869</v>
      </c>
      <c r="BM209" s="140">
        <f t="shared" si="318"/>
        <v>-31689</v>
      </c>
      <c r="BN209" s="140">
        <f t="shared" si="318"/>
        <v>-31509</v>
      </c>
      <c r="BO209" s="140">
        <f t="shared" ref="BO209:CB209" si="319">DAYS360($B$3,BO80)</f>
        <v>-31330</v>
      </c>
      <c r="BP209" s="140">
        <f t="shared" si="319"/>
        <v>-31150</v>
      </c>
      <c r="BQ209" s="140">
        <f t="shared" si="319"/>
        <v>-30970</v>
      </c>
      <c r="BR209" s="140">
        <f t="shared" si="319"/>
        <v>-30790</v>
      </c>
      <c r="BS209" s="140">
        <f t="shared" si="319"/>
        <v>-30610</v>
      </c>
      <c r="BT209" s="140">
        <f t="shared" si="319"/>
        <v>-30430</v>
      </c>
      <c r="BU209" s="140">
        <f t="shared" si="319"/>
        <v>-30250</v>
      </c>
      <c r="BV209" s="140">
        <f t="shared" si="319"/>
        <v>-30070</v>
      </c>
      <c r="BW209" s="140">
        <f t="shared" si="319"/>
        <v>-29891</v>
      </c>
      <c r="BX209" s="140">
        <f t="shared" si="319"/>
        <v>-29711</v>
      </c>
      <c r="BY209" s="140">
        <f t="shared" si="319"/>
        <v>-29531</v>
      </c>
      <c r="BZ209" s="140">
        <f t="shared" si="319"/>
        <v>-29351</v>
      </c>
      <c r="CA209" s="140">
        <f t="shared" si="319"/>
        <v>-29171</v>
      </c>
      <c r="CB209" s="140">
        <f t="shared" si="319"/>
        <v>-28991</v>
      </c>
      <c r="CC209" s="17"/>
      <c r="CD209" s="17"/>
      <c r="CE209" s="17"/>
    </row>
    <row r="210" spans="1:134">
      <c r="A210" s="16" t="s">
        <v>41</v>
      </c>
      <c r="B210" s="140">
        <f>B209/360</f>
        <v>-119.50555555555556</v>
      </c>
      <c r="C210" s="140">
        <f t="shared" ref="C210:BN210" si="320">C209/360</f>
        <v>-119.00555555555556</v>
      </c>
      <c r="D210" s="140">
        <f t="shared" si="320"/>
        <v>-118.50555555555556</v>
      </c>
      <c r="E210" s="140">
        <f t="shared" si="320"/>
        <v>-118.00555555555556</v>
      </c>
      <c r="F210" s="140">
        <f t="shared" si="320"/>
        <v>-117.50555555555556</v>
      </c>
      <c r="G210" s="140">
        <f t="shared" si="320"/>
        <v>-117.00555555555556</v>
      </c>
      <c r="H210" s="140">
        <f t="shared" si="320"/>
        <v>-116.50555555555556</v>
      </c>
      <c r="I210" s="140">
        <f t="shared" si="320"/>
        <v>-116.00555555555556</v>
      </c>
      <c r="J210" s="140">
        <f t="shared" si="320"/>
        <v>-115.50555555555556</v>
      </c>
      <c r="K210" s="140">
        <f t="shared" si="320"/>
        <v>-115.00833333333334</v>
      </c>
      <c r="L210" s="140">
        <f t="shared" si="320"/>
        <v>-114.50833333333334</v>
      </c>
      <c r="M210" s="140">
        <f t="shared" si="320"/>
        <v>-114.00833333333334</v>
      </c>
      <c r="N210" s="140">
        <f t="shared" si="320"/>
        <v>-113.50833333333334</v>
      </c>
      <c r="O210" s="140">
        <f t="shared" si="320"/>
        <v>-113.00833333333334</v>
      </c>
      <c r="P210" s="140">
        <f t="shared" si="320"/>
        <v>-112.50833333333334</v>
      </c>
      <c r="Q210" s="140">
        <f t="shared" si="320"/>
        <v>-112.00833333333334</v>
      </c>
      <c r="R210" s="140">
        <f t="shared" si="320"/>
        <v>-111.50833333333334</v>
      </c>
      <c r="S210" s="140">
        <f t="shared" si="320"/>
        <v>-111.01111111111111</v>
      </c>
      <c r="T210" s="140">
        <f t="shared" si="320"/>
        <v>-110.51111111111111</v>
      </c>
      <c r="U210" s="140">
        <f t="shared" si="320"/>
        <v>-110.01111111111111</v>
      </c>
      <c r="V210" s="140">
        <f t="shared" si="320"/>
        <v>-109.51111111111111</v>
      </c>
      <c r="W210" s="140">
        <f t="shared" si="320"/>
        <v>-109.01111111111111</v>
      </c>
      <c r="X210" s="140">
        <f t="shared" si="320"/>
        <v>-108.51111111111111</v>
      </c>
      <c r="Y210" s="140">
        <f t="shared" si="320"/>
        <v>-108.01111111111111</v>
      </c>
      <c r="Z210" s="140">
        <f t="shared" si="320"/>
        <v>-107.51111111111111</v>
      </c>
      <c r="AA210" s="140">
        <f t="shared" si="320"/>
        <v>-107.01388888888889</v>
      </c>
      <c r="AB210" s="140">
        <f t="shared" si="320"/>
        <v>-106.51388888888889</v>
      </c>
      <c r="AC210" s="140">
        <f t="shared" si="320"/>
        <v>-106.01388888888889</v>
      </c>
      <c r="AD210" s="140">
        <f t="shared" si="320"/>
        <v>-105.51388888888889</v>
      </c>
      <c r="AE210" s="140">
        <f t="shared" si="320"/>
        <v>-105.01388888888889</v>
      </c>
      <c r="AF210" s="140">
        <f t="shared" si="320"/>
        <v>-104.51388888888889</v>
      </c>
      <c r="AG210" s="140">
        <f t="shared" si="320"/>
        <v>-104.01388888888889</v>
      </c>
      <c r="AH210" s="140">
        <f t="shared" si="320"/>
        <v>-103.51388888888889</v>
      </c>
      <c r="AI210" s="140">
        <f t="shared" si="320"/>
        <v>-103.01666666666667</v>
      </c>
      <c r="AJ210" s="140">
        <f t="shared" si="320"/>
        <v>-102.51666666666667</v>
      </c>
      <c r="AK210" s="140">
        <f t="shared" si="320"/>
        <v>-102.01666666666667</v>
      </c>
      <c r="AL210" s="140">
        <f t="shared" si="320"/>
        <v>-101.51666666666667</v>
      </c>
      <c r="AM210" s="140">
        <f t="shared" si="320"/>
        <v>-101.01666666666667</v>
      </c>
      <c r="AN210" s="140">
        <f t="shared" si="320"/>
        <v>-100.51666666666667</v>
      </c>
      <c r="AO210" s="140">
        <f t="shared" si="320"/>
        <v>-100.01666666666667</v>
      </c>
      <c r="AP210" s="140">
        <f t="shared" si="320"/>
        <v>-99.516666666666666</v>
      </c>
      <c r="AQ210" s="140">
        <f t="shared" si="320"/>
        <v>-99.019444444444446</v>
      </c>
      <c r="AR210" s="140">
        <f t="shared" si="320"/>
        <v>-98.519444444444446</v>
      </c>
      <c r="AS210" s="140">
        <f t="shared" si="320"/>
        <v>-98.019444444444446</v>
      </c>
      <c r="AT210" s="140">
        <f t="shared" si="320"/>
        <v>-97.519444444444446</v>
      </c>
      <c r="AU210" s="140">
        <f t="shared" si="320"/>
        <v>-97.019444444444446</v>
      </c>
      <c r="AV210" s="140">
        <f t="shared" si="320"/>
        <v>-96.519444444444446</v>
      </c>
      <c r="AW210" s="140">
        <f t="shared" si="320"/>
        <v>-96.019444444444446</v>
      </c>
      <c r="AX210" s="140">
        <f t="shared" si="320"/>
        <v>-95.519444444444446</v>
      </c>
      <c r="AY210" s="140">
        <f t="shared" si="320"/>
        <v>-95.022222222222226</v>
      </c>
      <c r="AZ210" s="140">
        <f t="shared" si="320"/>
        <v>-94.522222222222226</v>
      </c>
      <c r="BA210" s="140">
        <f t="shared" si="320"/>
        <v>-94.022222222222226</v>
      </c>
      <c r="BB210" s="140">
        <f t="shared" si="320"/>
        <v>-93.522222222222226</v>
      </c>
      <c r="BC210" s="140">
        <f t="shared" si="320"/>
        <v>-93.022222222222226</v>
      </c>
      <c r="BD210" s="140">
        <f t="shared" si="320"/>
        <v>-92.522222222222226</v>
      </c>
      <c r="BE210" s="140">
        <f t="shared" si="320"/>
        <v>-92.022222222222226</v>
      </c>
      <c r="BF210" s="140">
        <f t="shared" si="320"/>
        <v>-91.522222222222226</v>
      </c>
      <c r="BG210" s="140">
        <f t="shared" si="320"/>
        <v>-91.025000000000006</v>
      </c>
      <c r="BH210" s="140">
        <f t="shared" si="320"/>
        <v>-90.525000000000006</v>
      </c>
      <c r="BI210" s="140">
        <f t="shared" si="320"/>
        <v>-90.025000000000006</v>
      </c>
      <c r="BJ210" s="140">
        <f t="shared" si="320"/>
        <v>-89.525000000000006</v>
      </c>
      <c r="BK210" s="140">
        <f t="shared" si="320"/>
        <v>-89.025000000000006</v>
      </c>
      <c r="BL210" s="140">
        <f t="shared" si="320"/>
        <v>-88.525000000000006</v>
      </c>
      <c r="BM210" s="140">
        <f t="shared" si="320"/>
        <v>-88.025000000000006</v>
      </c>
      <c r="BN210" s="140">
        <f t="shared" si="320"/>
        <v>-87.525000000000006</v>
      </c>
      <c r="BO210" s="140">
        <f t="shared" ref="BO210:CB210" si="321">BO209/360</f>
        <v>-87.027777777777771</v>
      </c>
      <c r="BP210" s="140">
        <f t="shared" si="321"/>
        <v>-86.527777777777771</v>
      </c>
      <c r="BQ210" s="140">
        <f t="shared" si="321"/>
        <v>-86.027777777777771</v>
      </c>
      <c r="BR210" s="140">
        <f t="shared" si="321"/>
        <v>-85.527777777777771</v>
      </c>
      <c r="BS210" s="140">
        <f t="shared" si="321"/>
        <v>-85.027777777777771</v>
      </c>
      <c r="BT210" s="140">
        <f t="shared" si="321"/>
        <v>-84.527777777777771</v>
      </c>
      <c r="BU210" s="140">
        <f t="shared" si="321"/>
        <v>-84.027777777777771</v>
      </c>
      <c r="BV210" s="140">
        <f t="shared" si="321"/>
        <v>-83.527777777777771</v>
      </c>
      <c r="BW210" s="140">
        <f t="shared" si="321"/>
        <v>-83.030555555555551</v>
      </c>
      <c r="BX210" s="140">
        <f t="shared" si="321"/>
        <v>-82.530555555555551</v>
      </c>
      <c r="BY210" s="140">
        <f t="shared" si="321"/>
        <v>-82.030555555555551</v>
      </c>
      <c r="BZ210" s="140">
        <f t="shared" si="321"/>
        <v>-81.530555555555551</v>
      </c>
      <c r="CA210" s="140">
        <f t="shared" si="321"/>
        <v>-81.030555555555551</v>
      </c>
      <c r="CB210" s="140">
        <f t="shared" si="321"/>
        <v>-80.530555555555551</v>
      </c>
      <c r="CC210" s="17"/>
      <c r="CD210" s="17"/>
      <c r="CE210" s="17"/>
    </row>
    <row r="211" spans="1:134">
      <c r="A211" s="16" t="s">
        <v>43</v>
      </c>
      <c r="B211" s="140">
        <f>IF(B209&lt;0,0,$B$5+$B$6*((1-EXP(-B210/$B$9))/(B210/$B$9))+$B$7*((1-EXP(-B210/$B$9))/(B210/$B$9)-EXP(-B210/$B$9))+$B$8*((1-EXP(-B210/$B$10))/(B210/$B$10)-EXP(-B210/$B$10)))</f>
        <v>0</v>
      </c>
      <c r="C211" s="140">
        <f t="shared" ref="C211:BN211" si="322">IF(C209&lt;0,0,$B$5+$B$6*((1-EXP(-C210/$B$9))/(C210/$B$9))+$B$7*((1-EXP(-C210/$B$9))/(C210/$B$9)-EXP(-C210/$B$9))+$B$8*((1-EXP(-C210/$B$10))/(C210/$B$10)-EXP(-C210/$B$10)))</f>
        <v>0</v>
      </c>
      <c r="D211" s="140">
        <f t="shared" si="322"/>
        <v>0</v>
      </c>
      <c r="E211" s="140">
        <f t="shared" si="322"/>
        <v>0</v>
      </c>
      <c r="F211" s="140">
        <f t="shared" si="322"/>
        <v>0</v>
      </c>
      <c r="G211" s="140">
        <f t="shared" si="322"/>
        <v>0</v>
      </c>
      <c r="H211" s="140">
        <f t="shared" si="322"/>
        <v>0</v>
      </c>
      <c r="I211" s="140">
        <f t="shared" si="322"/>
        <v>0</v>
      </c>
      <c r="J211" s="140">
        <f t="shared" si="322"/>
        <v>0</v>
      </c>
      <c r="K211" s="140">
        <f t="shared" si="322"/>
        <v>0</v>
      </c>
      <c r="L211" s="140">
        <f t="shared" si="322"/>
        <v>0</v>
      </c>
      <c r="M211" s="140">
        <f t="shared" si="322"/>
        <v>0</v>
      </c>
      <c r="N211" s="140">
        <f t="shared" si="322"/>
        <v>0</v>
      </c>
      <c r="O211" s="140">
        <f t="shared" si="322"/>
        <v>0</v>
      </c>
      <c r="P211" s="140">
        <f t="shared" si="322"/>
        <v>0</v>
      </c>
      <c r="Q211" s="140">
        <f t="shared" si="322"/>
        <v>0</v>
      </c>
      <c r="R211" s="140">
        <f t="shared" si="322"/>
        <v>0</v>
      </c>
      <c r="S211" s="140">
        <f t="shared" si="322"/>
        <v>0</v>
      </c>
      <c r="T211" s="140">
        <f t="shared" si="322"/>
        <v>0</v>
      </c>
      <c r="U211" s="140">
        <f t="shared" si="322"/>
        <v>0</v>
      </c>
      <c r="V211" s="140">
        <f t="shared" si="322"/>
        <v>0</v>
      </c>
      <c r="W211" s="140">
        <f t="shared" si="322"/>
        <v>0</v>
      </c>
      <c r="X211" s="140">
        <f t="shared" si="322"/>
        <v>0</v>
      </c>
      <c r="Y211" s="140">
        <f t="shared" si="322"/>
        <v>0</v>
      </c>
      <c r="Z211" s="140">
        <f t="shared" si="322"/>
        <v>0</v>
      </c>
      <c r="AA211" s="140">
        <f t="shared" si="322"/>
        <v>0</v>
      </c>
      <c r="AB211" s="140">
        <f t="shared" si="322"/>
        <v>0</v>
      </c>
      <c r="AC211" s="140">
        <f t="shared" si="322"/>
        <v>0</v>
      </c>
      <c r="AD211" s="140">
        <f t="shared" si="322"/>
        <v>0</v>
      </c>
      <c r="AE211" s="140">
        <f t="shared" si="322"/>
        <v>0</v>
      </c>
      <c r="AF211" s="140">
        <f t="shared" si="322"/>
        <v>0</v>
      </c>
      <c r="AG211" s="140">
        <f t="shared" si="322"/>
        <v>0</v>
      </c>
      <c r="AH211" s="140">
        <f t="shared" si="322"/>
        <v>0</v>
      </c>
      <c r="AI211" s="140">
        <f t="shared" si="322"/>
        <v>0</v>
      </c>
      <c r="AJ211" s="140">
        <f t="shared" si="322"/>
        <v>0</v>
      </c>
      <c r="AK211" s="140">
        <f t="shared" si="322"/>
        <v>0</v>
      </c>
      <c r="AL211" s="140">
        <f t="shared" si="322"/>
        <v>0</v>
      </c>
      <c r="AM211" s="140">
        <f t="shared" si="322"/>
        <v>0</v>
      </c>
      <c r="AN211" s="140">
        <f t="shared" si="322"/>
        <v>0</v>
      </c>
      <c r="AO211" s="140">
        <f t="shared" si="322"/>
        <v>0</v>
      </c>
      <c r="AP211" s="140">
        <f t="shared" si="322"/>
        <v>0</v>
      </c>
      <c r="AQ211" s="140">
        <f t="shared" si="322"/>
        <v>0</v>
      </c>
      <c r="AR211" s="140">
        <f t="shared" si="322"/>
        <v>0</v>
      </c>
      <c r="AS211" s="140">
        <f t="shared" si="322"/>
        <v>0</v>
      </c>
      <c r="AT211" s="140">
        <f t="shared" si="322"/>
        <v>0</v>
      </c>
      <c r="AU211" s="140">
        <f t="shared" si="322"/>
        <v>0</v>
      </c>
      <c r="AV211" s="140">
        <f t="shared" si="322"/>
        <v>0</v>
      </c>
      <c r="AW211" s="140">
        <f t="shared" si="322"/>
        <v>0</v>
      </c>
      <c r="AX211" s="140">
        <f t="shared" si="322"/>
        <v>0</v>
      </c>
      <c r="AY211" s="140">
        <f t="shared" si="322"/>
        <v>0</v>
      </c>
      <c r="AZ211" s="140">
        <f t="shared" si="322"/>
        <v>0</v>
      </c>
      <c r="BA211" s="140">
        <f t="shared" si="322"/>
        <v>0</v>
      </c>
      <c r="BB211" s="140">
        <f t="shared" si="322"/>
        <v>0</v>
      </c>
      <c r="BC211" s="140">
        <f t="shared" si="322"/>
        <v>0</v>
      </c>
      <c r="BD211" s="140">
        <f t="shared" si="322"/>
        <v>0</v>
      </c>
      <c r="BE211" s="140">
        <f t="shared" si="322"/>
        <v>0</v>
      </c>
      <c r="BF211" s="140">
        <f t="shared" si="322"/>
        <v>0</v>
      </c>
      <c r="BG211" s="140">
        <f t="shared" si="322"/>
        <v>0</v>
      </c>
      <c r="BH211" s="140">
        <f t="shared" si="322"/>
        <v>0</v>
      </c>
      <c r="BI211" s="140">
        <f t="shared" si="322"/>
        <v>0</v>
      </c>
      <c r="BJ211" s="140">
        <f t="shared" si="322"/>
        <v>0</v>
      </c>
      <c r="BK211" s="140">
        <f t="shared" si="322"/>
        <v>0</v>
      </c>
      <c r="BL211" s="140">
        <f t="shared" si="322"/>
        <v>0</v>
      </c>
      <c r="BM211" s="140">
        <f t="shared" si="322"/>
        <v>0</v>
      </c>
      <c r="BN211" s="140">
        <f t="shared" si="322"/>
        <v>0</v>
      </c>
      <c r="BO211" s="140">
        <f t="shared" ref="BO211:CB211" si="323">IF(BO209&lt;0,0,$B$5+$B$6*((1-EXP(-BO210/$B$9))/(BO210/$B$9))+$B$7*((1-EXP(-BO210/$B$9))/(BO210/$B$9)-EXP(-BO210/$B$9))+$B$8*((1-EXP(-BO210/$B$10))/(BO210/$B$10)-EXP(-BO210/$B$10)))</f>
        <v>0</v>
      </c>
      <c r="BP211" s="140">
        <f t="shared" si="323"/>
        <v>0</v>
      </c>
      <c r="BQ211" s="140">
        <f t="shared" si="323"/>
        <v>0</v>
      </c>
      <c r="BR211" s="140">
        <f t="shared" si="323"/>
        <v>0</v>
      </c>
      <c r="BS211" s="140">
        <f t="shared" si="323"/>
        <v>0</v>
      </c>
      <c r="BT211" s="140">
        <f t="shared" si="323"/>
        <v>0</v>
      </c>
      <c r="BU211" s="140">
        <f t="shared" si="323"/>
        <v>0</v>
      </c>
      <c r="BV211" s="140">
        <f t="shared" si="323"/>
        <v>0</v>
      </c>
      <c r="BW211" s="140">
        <f t="shared" si="323"/>
        <v>0</v>
      </c>
      <c r="BX211" s="140">
        <f t="shared" si="323"/>
        <v>0</v>
      </c>
      <c r="BY211" s="140">
        <f t="shared" si="323"/>
        <v>0</v>
      </c>
      <c r="BZ211" s="140">
        <f t="shared" si="323"/>
        <v>0</v>
      </c>
      <c r="CA211" s="140">
        <f t="shared" si="323"/>
        <v>0</v>
      </c>
      <c r="CB211" s="140">
        <f t="shared" si="323"/>
        <v>0</v>
      </c>
      <c r="CC211" s="17"/>
      <c r="CD211" s="17"/>
      <c r="CE211" s="17"/>
    </row>
    <row r="212" spans="1:134">
      <c r="A212" s="16" t="s">
        <v>44</v>
      </c>
      <c r="B212" s="140">
        <f>EXP(-B211*B210)</f>
        <v>1</v>
      </c>
      <c r="C212" s="140">
        <f t="shared" ref="C212:BN212" si="324">EXP(-C211*C210)</f>
        <v>1</v>
      </c>
      <c r="D212" s="140">
        <f t="shared" si="324"/>
        <v>1</v>
      </c>
      <c r="E212" s="140">
        <f t="shared" si="324"/>
        <v>1</v>
      </c>
      <c r="F212" s="140">
        <f t="shared" si="324"/>
        <v>1</v>
      </c>
      <c r="G212" s="140">
        <f t="shared" si="324"/>
        <v>1</v>
      </c>
      <c r="H212" s="140">
        <f t="shared" si="324"/>
        <v>1</v>
      </c>
      <c r="I212" s="140">
        <f t="shared" si="324"/>
        <v>1</v>
      </c>
      <c r="J212" s="140">
        <f t="shared" si="324"/>
        <v>1</v>
      </c>
      <c r="K212" s="140">
        <f t="shared" si="324"/>
        <v>1</v>
      </c>
      <c r="L212" s="140">
        <f t="shared" si="324"/>
        <v>1</v>
      </c>
      <c r="M212" s="140">
        <f t="shared" si="324"/>
        <v>1</v>
      </c>
      <c r="N212" s="140">
        <f t="shared" si="324"/>
        <v>1</v>
      </c>
      <c r="O212" s="140">
        <f t="shared" si="324"/>
        <v>1</v>
      </c>
      <c r="P212" s="140">
        <f t="shared" si="324"/>
        <v>1</v>
      </c>
      <c r="Q212" s="140">
        <f t="shared" si="324"/>
        <v>1</v>
      </c>
      <c r="R212" s="140">
        <f t="shared" si="324"/>
        <v>1</v>
      </c>
      <c r="S212" s="140">
        <f t="shared" si="324"/>
        <v>1</v>
      </c>
      <c r="T212" s="140">
        <f t="shared" si="324"/>
        <v>1</v>
      </c>
      <c r="U212" s="140">
        <f t="shared" si="324"/>
        <v>1</v>
      </c>
      <c r="V212" s="140">
        <f t="shared" si="324"/>
        <v>1</v>
      </c>
      <c r="W212" s="140">
        <f t="shared" si="324"/>
        <v>1</v>
      </c>
      <c r="X212" s="140">
        <f t="shared" si="324"/>
        <v>1</v>
      </c>
      <c r="Y212" s="140">
        <f t="shared" si="324"/>
        <v>1</v>
      </c>
      <c r="Z212" s="140">
        <f t="shared" si="324"/>
        <v>1</v>
      </c>
      <c r="AA212" s="140">
        <f t="shared" si="324"/>
        <v>1</v>
      </c>
      <c r="AB212" s="140">
        <f t="shared" si="324"/>
        <v>1</v>
      </c>
      <c r="AC212" s="140">
        <f t="shared" si="324"/>
        <v>1</v>
      </c>
      <c r="AD212" s="140">
        <f t="shared" si="324"/>
        <v>1</v>
      </c>
      <c r="AE212" s="140">
        <f t="shared" si="324"/>
        <v>1</v>
      </c>
      <c r="AF212" s="140">
        <f t="shared" si="324"/>
        <v>1</v>
      </c>
      <c r="AG212" s="140">
        <f t="shared" si="324"/>
        <v>1</v>
      </c>
      <c r="AH212" s="140">
        <f t="shared" si="324"/>
        <v>1</v>
      </c>
      <c r="AI212" s="140">
        <f t="shared" si="324"/>
        <v>1</v>
      </c>
      <c r="AJ212" s="140">
        <f t="shared" si="324"/>
        <v>1</v>
      </c>
      <c r="AK212" s="140">
        <f t="shared" si="324"/>
        <v>1</v>
      </c>
      <c r="AL212" s="140">
        <f t="shared" si="324"/>
        <v>1</v>
      </c>
      <c r="AM212" s="140">
        <f t="shared" si="324"/>
        <v>1</v>
      </c>
      <c r="AN212" s="140">
        <f t="shared" si="324"/>
        <v>1</v>
      </c>
      <c r="AO212" s="140">
        <f t="shared" si="324"/>
        <v>1</v>
      </c>
      <c r="AP212" s="140">
        <f t="shared" si="324"/>
        <v>1</v>
      </c>
      <c r="AQ212" s="140">
        <f t="shared" si="324"/>
        <v>1</v>
      </c>
      <c r="AR212" s="140">
        <f t="shared" si="324"/>
        <v>1</v>
      </c>
      <c r="AS212" s="140">
        <f t="shared" si="324"/>
        <v>1</v>
      </c>
      <c r="AT212" s="140">
        <f t="shared" si="324"/>
        <v>1</v>
      </c>
      <c r="AU212" s="140">
        <f t="shared" si="324"/>
        <v>1</v>
      </c>
      <c r="AV212" s="140">
        <f t="shared" si="324"/>
        <v>1</v>
      </c>
      <c r="AW212" s="140">
        <f t="shared" si="324"/>
        <v>1</v>
      </c>
      <c r="AX212" s="140">
        <f t="shared" si="324"/>
        <v>1</v>
      </c>
      <c r="AY212" s="140">
        <f t="shared" si="324"/>
        <v>1</v>
      </c>
      <c r="AZ212" s="140">
        <f t="shared" si="324"/>
        <v>1</v>
      </c>
      <c r="BA212" s="140">
        <f t="shared" si="324"/>
        <v>1</v>
      </c>
      <c r="BB212" s="140">
        <f t="shared" si="324"/>
        <v>1</v>
      </c>
      <c r="BC212" s="140">
        <f t="shared" si="324"/>
        <v>1</v>
      </c>
      <c r="BD212" s="140">
        <f t="shared" si="324"/>
        <v>1</v>
      </c>
      <c r="BE212" s="140">
        <f t="shared" si="324"/>
        <v>1</v>
      </c>
      <c r="BF212" s="140">
        <f t="shared" si="324"/>
        <v>1</v>
      </c>
      <c r="BG212" s="140">
        <f t="shared" si="324"/>
        <v>1</v>
      </c>
      <c r="BH212" s="140">
        <f t="shared" si="324"/>
        <v>1</v>
      </c>
      <c r="BI212" s="140">
        <f t="shared" si="324"/>
        <v>1</v>
      </c>
      <c r="BJ212" s="140">
        <f t="shared" si="324"/>
        <v>1</v>
      </c>
      <c r="BK212" s="140">
        <f t="shared" si="324"/>
        <v>1</v>
      </c>
      <c r="BL212" s="140">
        <f t="shared" si="324"/>
        <v>1</v>
      </c>
      <c r="BM212" s="140">
        <f t="shared" si="324"/>
        <v>1</v>
      </c>
      <c r="BN212" s="140">
        <f t="shared" si="324"/>
        <v>1</v>
      </c>
      <c r="BO212" s="140">
        <f t="shared" ref="BO212:CB212" si="325">EXP(-BO211*BO210)</f>
        <v>1</v>
      </c>
      <c r="BP212" s="140">
        <f t="shared" si="325"/>
        <v>1</v>
      </c>
      <c r="BQ212" s="140">
        <f t="shared" si="325"/>
        <v>1</v>
      </c>
      <c r="BR212" s="140">
        <f t="shared" si="325"/>
        <v>1</v>
      </c>
      <c r="BS212" s="140">
        <f t="shared" si="325"/>
        <v>1</v>
      </c>
      <c r="BT212" s="140">
        <f t="shared" si="325"/>
        <v>1</v>
      </c>
      <c r="BU212" s="140">
        <f t="shared" si="325"/>
        <v>1</v>
      </c>
      <c r="BV212" s="140">
        <f t="shared" si="325"/>
        <v>1</v>
      </c>
      <c r="BW212" s="140">
        <f t="shared" si="325"/>
        <v>1</v>
      </c>
      <c r="BX212" s="140">
        <f t="shared" si="325"/>
        <v>1</v>
      </c>
      <c r="BY212" s="140">
        <f t="shared" si="325"/>
        <v>1</v>
      </c>
      <c r="BZ212" s="140">
        <f t="shared" si="325"/>
        <v>1</v>
      </c>
      <c r="CA212" s="140">
        <f t="shared" si="325"/>
        <v>1</v>
      </c>
      <c r="CB212" s="140">
        <f t="shared" si="325"/>
        <v>1</v>
      </c>
      <c r="CC212" s="17"/>
      <c r="CD212" s="17"/>
      <c r="CE212" s="17"/>
    </row>
    <row r="213" spans="1:134">
      <c r="A213" s="17"/>
      <c r="B213" s="17"/>
      <c r="C213" s="17"/>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c r="AP213" s="17"/>
      <c r="AQ213" s="17"/>
      <c r="AR213" s="17"/>
      <c r="AS213" s="17"/>
      <c r="AT213" s="17"/>
      <c r="AU213" s="17"/>
      <c r="AV213" s="17"/>
      <c r="AW213" s="17"/>
      <c r="AX213" s="17"/>
      <c r="AY213" s="17"/>
      <c r="AZ213" s="17"/>
      <c r="BA213" s="17"/>
      <c r="BB213" s="17"/>
      <c r="BC213" s="17"/>
      <c r="BD213" s="17"/>
      <c r="BE213" s="17"/>
      <c r="BF213" s="17"/>
      <c r="BG213" s="17"/>
      <c r="BH213" s="17"/>
      <c r="BI213" s="17"/>
      <c r="BJ213" s="17"/>
      <c r="BK213" s="17"/>
      <c r="BL213" s="17"/>
      <c r="BM213" s="17"/>
      <c r="BN213" s="17"/>
      <c r="BO213" s="17"/>
      <c r="BP213" s="17"/>
      <c r="BQ213" s="17"/>
      <c r="BR213" s="17"/>
      <c r="BS213" s="17"/>
      <c r="BT213" s="17"/>
      <c r="BU213" s="17"/>
      <c r="BV213" s="17"/>
      <c r="BW213" s="17"/>
      <c r="BX213" s="17"/>
      <c r="BY213" s="17"/>
      <c r="BZ213" s="17"/>
      <c r="CA213" s="17"/>
      <c r="CB213" s="17"/>
      <c r="CC213" s="17"/>
      <c r="CD213" s="17"/>
      <c r="CE213" s="17"/>
    </row>
    <row r="214" spans="1:134">
      <c r="A214" s="16" t="s">
        <v>45</v>
      </c>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7"/>
      <c r="CD214" s="17"/>
      <c r="CE214" s="17"/>
    </row>
    <row r="215" spans="1:134">
      <c r="A215" s="18" t="str">
        <f>A31</f>
        <v>Bond 1</v>
      </c>
      <c r="B215" s="18">
        <f t="shared" ref="B215:BM215" si="326">B31*B87</f>
        <v>0</v>
      </c>
      <c r="C215" s="18">
        <f t="shared" si="326"/>
        <v>0</v>
      </c>
      <c r="D215" s="18">
        <f t="shared" si="326"/>
        <v>0</v>
      </c>
      <c r="E215" s="18">
        <f t="shared" si="326"/>
        <v>0</v>
      </c>
      <c r="F215" s="18">
        <f t="shared" si="326"/>
        <v>0</v>
      </c>
      <c r="G215" s="18">
        <f t="shared" si="326"/>
        <v>0</v>
      </c>
      <c r="H215" s="18">
        <f t="shared" si="326"/>
        <v>0</v>
      </c>
      <c r="I215" s="18">
        <f t="shared" si="326"/>
        <v>0</v>
      </c>
      <c r="J215" s="18">
        <f t="shared" si="326"/>
        <v>0</v>
      </c>
      <c r="K215" s="18">
        <f t="shared" si="326"/>
        <v>0</v>
      </c>
      <c r="L215" s="18">
        <f t="shared" si="326"/>
        <v>0</v>
      </c>
      <c r="M215" s="18">
        <f t="shared" si="326"/>
        <v>0</v>
      </c>
      <c r="N215" s="18">
        <f t="shared" si="326"/>
        <v>0</v>
      </c>
      <c r="O215" s="18">
        <f t="shared" si="326"/>
        <v>0</v>
      </c>
      <c r="P215" s="18">
        <f t="shared" si="326"/>
        <v>0</v>
      </c>
      <c r="Q215" s="18">
        <f t="shared" si="326"/>
        <v>0</v>
      </c>
      <c r="R215" s="18">
        <f t="shared" si="326"/>
        <v>0</v>
      </c>
      <c r="S215" s="18">
        <f t="shared" si="326"/>
        <v>0</v>
      </c>
      <c r="T215" s="18">
        <f t="shared" si="326"/>
        <v>0</v>
      </c>
      <c r="U215" s="18">
        <f t="shared" si="326"/>
        <v>0</v>
      </c>
      <c r="V215" s="18">
        <f t="shared" si="326"/>
        <v>0</v>
      </c>
      <c r="W215" s="18">
        <f t="shared" si="326"/>
        <v>0</v>
      </c>
      <c r="X215" s="18">
        <f t="shared" si="326"/>
        <v>0</v>
      </c>
      <c r="Y215" s="18">
        <f t="shared" si="326"/>
        <v>0</v>
      </c>
      <c r="Z215" s="18">
        <f t="shared" si="326"/>
        <v>0</v>
      </c>
      <c r="AA215" s="18">
        <f t="shared" si="326"/>
        <v>0</v>
      </c>
      <c r="AB215" s="18">
        <f t="shared" si="326"/>
        <v>0</v>
      </c>
      <c r="AC215" s="18">
        <f t="shared" si="326"/>
        <v>0</v>
      </c>
      <c r="AD215" s="18">
        <f t="shared" si="326"/>
        <v>0</v>
      </c>
      <c r="AE215" s="18">
        <f t="shared" si="326"/>
        <v>0</v>
      </c>
      <c r="AF215" s="18">
        <f t="shared" si="326"/>
        <v>0</v>
      </c>
      <c r="AG215" s="18">
        <f t="shared" si="326"/>
        <v>0</v>
      </c>
      <c r="AH215" s="18">
        <f t="shared" si="326"/>
        <v>0</v>
      </c>
      <c r="AI215" s="18">
        <f t="shared" si="326"/>
        <v>0</v>
      </c>
      <c r="AJ215" s="18">
        <f t="shared" si="326"/>
        <v>0</v>
      </c>
      <c r="AK215" s="18">
        <f t="shared" si="326"/>
        <v>0</v>
      </c>
      <c r="AL215" s="18">
        <f t="shared" si="326"/>
        <v>0</v>
      </c>
      <c r="AM215" s="18">
        <f t="shared" si="326"/>
        <v>0</v>
      </c>
      <c r="AN215" s="18">
        <f t="shared" si="326"/>
        <v>0</v>
      </c>
      <c r="AO215" s="18">
        <f t="shared" si="326"/>
        <v>0</v>
      </c>
      <c r="AP215" s="18">
        <f t="shared" si="326"/>
        <v>0</v>
      </c>
      <c r="AQ215" s="18">
        <f t="shared" si="326"/>
        <v>0</v>
      </c>
      <c r="AR215" s="18">
        <f t="shared" si="326"/>
        <v>0</v>
      </c>
      <c r="AS215" s="18">
        <f t="shared" si="326"/>
        <v>0</v>
      </c>
      <c r="AT215" s="18">
        <f t="shared" si="326"/>
        <v>0</v>
      </c>
      <c r="AU215" s="18">
        <f t="shared" si="326"/>
        <v>0</v>
      </c>
      <c r="AV215" s="18">
        <f t="shared" si="326"/>
        <v>0</v>
      </c>
      <c r="AW215" s="18">
        <f t="shared" si="326"/>
        <v>0</v>
      </c>
      <c r="AX215" s="18">
        <f t="shared" si="326"/>
        <v>0</v>
      </c>
      <c r="AY215" s="18">
        <f t="shared" si="326"/>
        <v>0</v>
      </c>
      <c r="AZ215" s="18">
        <f t="shared" si="326"/>
        <v>0</v>
      </c>
      <c r="BA215" s="18">
        <f t="shared" si="326"/>
        <v>0</v>
      </c>
      <c r="BB215" s="18">
        <f t="shared" si="326"/>
        <v>0</v>
      </c>
      <c r="BC215" s="18">
        <f t="shared" si="326"/>
        <v>0</v>
      </c>
      <c r="BD215" s="18">
        <f t="shared" si="326"/>
        <v>0</v>
      </c>
      <c r="BE215" s="18">
        <f t="shared" si="326"/>
        <v>0</v>
      </c>
      <c r="BF215" s="18">
        <f t="shared" si="326"/>
        <v>0</v>
      </c>
      <c r="BG215" s="18">
        <f t="shared" si="326"/>
        <v>0</v>
      </c>
      <c r="BH215" s="18">
        <f t="shared" si="326"/>
        <v>0</v>
      </c>
      <c r="BI215" s="18">
        <f t="shared" si="326"/>
        <v>0</v>
      </c>
      <c r="BJ215" s="18">
        <f t="shared" si="326"/>
        <v>0</v>
      </c>
      <c r="BK215" s="18">
        <f t="shared" si="326"/>
        <v>0</v>
      </c>
      <c r="BL215" s="18">
        <f t="shared" si="326"/>
        <v>0</v>
      </c>
      <c r="BM215" s="18">
        <f t="shared" si="326"/>
        <v>0</v>
      </c>
      <c r="BN215" s="18">
        <f t="shared" ref="BN215:CB215" si="327">BN31*BN87</f>
        <v>0</v>
      </c>
      <c r="BO215" s="18">
        <f t="shared" si="327"/>
        <v>0</v>
      </c>
      <c r="BP215" s="18">
        <f t="shared" si="327"/>
        <v>0</v>
      </c>
      <c r="BQ215" s="18">
        <f t="shared" si="327"/>
        <v>0</v>
      </c>
      <c r="BR215" s="18">
        <f t="shared" si="327"/>
        <v>0</v>
      </c>
      <c r="BS215" s="18">
        <f t="shared" si="327"/>
        <v>0</v>
      </c>
      <c r="BT215" s="18">
        <f t="shared" si="327"/>
        <v>0</v>
      </c>
      <c r="BU215" s="18">
        <f t="shared" si="327"/>
        <v>0</v>
      </c>
      <c r="BV215" s="18">
        <f t="shared" si="327"/>
        <v>0</v>
      </c>
      <c r="BW215" s="18">
        <f t="shared" si="327"/>
        <v>0</v>
      </c>
      <c r="BX215" s="18">
        <f t="shared" si="327"/>
        <v>0</v>
      </c>
      <c r="BY215" s="18">
        <f t="shared" si="327"/>
        <v>0</v>
      </c>
      <c r="BZ215" s="18">
        <f t="shared" si="327"/>
        <v>0</v>
      </c>
      <c r="CA215" s="18">
        <f t="shared" si="327"/>
        <v>0</v>
      </c>
      <c r="CB215" s="18">
        <f t="shared" si="327"/>
        <v>0</v>
      </c>
      <c r="CC215" s="17"/>
      <c r="CD215" s="17"/>
      <c r="CE215" s="17"/>
    </row>
    <row r="216" spans="1:134">
      <c r="A216" s="18" t="str">
        <f>A33</f>
        <v>Bond 2</v>
      </c>
      <c r="B216" s="18">
        <f t="shared" ref="B216:BM216" si="328">B33*B92</f>
        <v>100.03214808927225</v>
      </c>
      <c r="C216" s="18">
        <f t="shared" si="328"/>
        <v>0</v>
      </c>
      <c r="D216" s="18">
        <f t="shared" si="328"/>
        <v>0</v>
      </c>
      <c r="E216" s="18">
        <f t="shared" si="328"/>
        <v>0</v>
      </c>
      <c r="F216" s="18">
        <f t="shared" si="328"/>
        <v>0</v>
      </c>
      <c r="G216" s="18">
        <f t="shared" si="328"/>
        <v>0</v>
      </c>
      <c r="H216" s="18">
        <f t="shared" si="328"/>
        <v>0</v>
      </c>
      <c r="I216" s="18">
        <f t="shared" si="328"/>
        <v>0</v>
      </c>
      <c r="J216" s="18">
        <f t="shared" si="328"/>
        <v>0</v>
      </c>
      <c r="K216" s="18">
        <f t="shared" si="328"/>
        <v>0</v>
      </c>
      <c r="L216" s="18">
        <f t="shared" si="328"/>
        <v>0</v>
      </c>
      <c r="M216" s="18">
        <f t="shared" si="328"/>
        <v>0</v>
      </c>
      <c r="N216" s="18">
        <f t="shared" si="328"/>
        <v>0</v>
      </c>
      <c r="O216" s="18">
        <f t="shared" si="328"/>
        <v>0</v>
      </c>
      <c r="P216" s="18">
        <f t="shared" si="328"/>
        <v>0</v>
      </c>
      <c r="Q216" s="18">
        <f t="shared" si="328"/>
        <v>0</v>
      </c>
      <c r="R216" s="18">
        <f t="shared" si="328"/>
        <v>0</v>
      </c>
      <c r="S216" s="18">
        <f t="shared" si="328"/>
        <v>0</v>
      </c>
      <c r="T216" s="18">
        <f t="shared" si="328"/>
        <v>0</v>
      </c>
      <c r="U216" s="18">
        <f t="shared" si="328"/>
        <v>0</v>
      </c>
      <c r="V216" s="18">
        <f t="shared" si="328"/>
        <v>0</v>
      </c>
      <c r="W216" s="18">
        <f t="shared" si="328"/>
        <v>0</v>
      </c>
      <c r="X216" s="18">
        <f t="shared" si="328"/>
        <v>0</v>
      </c>
      <c r="Y216" s="18">
        <f t="shared" si="328"/>
        <v>0</v>
      </c>
      <c r="Z216" s="18">
        <f t="shared" si="328"/>
        <v>0</v>
      </c>
      <c r="AA216" s="18">
        <f t="shared" si="328"/>
        <v>0</v>
      </c>
      <c r="AB216" s="18">
        <f t="shared" si="328"/>
        <v>0</v>
      </c>
      <c r="AC216" s="18">
        <f t="shared" si="328"/>
        <v>0</v>
      </c>
      <c r="AD216" s="18">
        <f t="shared" si="328"/>
        <v>0</v>
      </c>
      <c r="AE216" s="18">
        <f t="shared" si="328"/>
        <v>0</v>
      </c>
      <c r="AF216" s="18">
        <f t="shared" si="328"/>
        <v>0</v>
      </c>
      <c r="AG216" s="18">
        <f t="shared" si="328"/>
        <v>0</v>
      </c>
      <c r="AH216" s="18">
        <f t="shared" si="328"/>
        <v>0</v>
      </c>
      <c r="AI216" s="18">
        <f t="shared" si="328"/>
        <v>0</v>
      </c>
      <c r="AJ216" s="18">
        <f t="shared" si="328"/>
        <v>0</v>
      </c>
      <c r="AK216" s="18">
        <f t="shared" si="328"/>
        <v>0</v>
      </c>
      <c r="AL216" s="18">
        <f t="shared" si="328"/>
        <v>0</v>
      </c>
      <c r="AM216" s="18">
        <f t="shared" si="328"/>
        <v>0</v>
      </c>
      <c r="AN216" s="18">
        <f t="shared" si="328"/>
        <v>0</v>
      </c>
      <c r="AO216" s="18">
        <f t="shared" si="328"/>
        <v>0</v>
      </c>
      <c r="AP216" s="18">
        <f t="shared" si="328"/>
        <v>0</v>
      </c>
      <c r="AQ216" s="18">
        <f t="shared" si="328"/>
        <v>0</v>
      </c>
      <c r="AR216" s="18">
        <f t="shared" si="328"/>
        <v>0</v>
      </c>
      <c r="AS216" s="18">
        <f t="shared" si="328"/>
        <v>0</v>
      </c>
      <c r="AT216" s="18">
        <f t="shared" si="328"/>
        <v>0</v>
      </c>
      <c r="AU216" s="18">
        <f t="shared" si="328"/>
        <v>0</v>
      </c>
      <c r="AV216" s="18">
        <f t="shared" si="328"/>
        <v>0</v>
      </c>
      <c r="AW216" s="18">
        <f t="shared" si="328"/>
        <v>0</v>
      </c>
      <c r="AX216" s="18">
        <f t="shared" si="328"/>
        <v>0</v>
      </c>
      <c r="AY216" s="18">
        <f t="shared" si="328"/>
        <v>0</v>
      </c>
      <c r="AZ216" s="18">
        <f t="shared" si="328"/>
        <v>0</v>
      </c>
      <c r="BA216" s="18">
        <f t="shared" si="328"/>
        <v>0</v>
      </c>
      <c r="BB216" s="18">
        <f t="shared" si="328"/>
        <v>0</v>
      </c>
      <c r="BC216" s="18">
        <f t="shared" si="328"/>
        <v>0</v>
      </c>
      <c r="BD216" s="18">
        <f t="shared" si="328"/>
        <v>0</v>
      </c>
      <c r="BE216" s="18">
        <f t="shared" si="328"/>
        <v>0</v>
      </c>
      <c r="BF216" s="18">
        <f t="shared" si="328"/>
        <v>0</v>
      </c>
      <c r="BG216" s="18">
        <f t="shared" si="328"/>
        <v>0</v>
      </c>
      <c r="BH216" s="18">
        <f t="shared" si="328"/>
        <v>0</v>
      </c>
      <c r="BI216" s="18">
        <f t="shared" si="328"/>
        <v>0</v>
      </c>
      <c r="BJ216" s="18">
        <f t="shared" si="328"/>
        <v>0</v>
      </c>
      <c r="BK216" s="18">
        <f t="shared" si="328"/>
        <v>0</v>
      </c>
      <c r="BL216" s="18">
        <f t="shared" si="328"/>
        <v>0</v>
      </c>
      <c r="BM216" s="18">
        <f t="shared" si="328"/>
        <v>0</v>
      </c>
      <c r="BN216" s="18">
        <f t="shared" ref="BN216:CB216" si="329">BN33*BN92</f>
        <v>0</v>
      </c>
      <c r="BO216" s="18">
        <f t="shared" si="329"/>
        <v>0</v>
      </c>
      <c r="BP216" s="18">
        <f t="shared" si="329"/>
        <v>0</v>
      </c>
      <c r="BQ216" s="18">
        <f t="shared" si="329"/>
        <v>0</v>
      </c>
      <c r="BR216" s="18">
        <f t="shared" si="329"/>
        <v>0</v>
      </c>
      <c r="BS216" s="18">
        <f t="shared" si="329"/>
        <v>0</v>
      </c>
      <c r="BT216" s="18">
        <f t="shared" si="329"/>
        <v>0</v>
      </c>
      <c r="BU216" s="18">
        <f t="shared" si="329"/>
        <v>0</v>
      </c>
      <c r="BV216" s="18">
        <f t="shared" si="329"/>
        <v>0</v>
      </c>
      <c r="BW216" s="18">
        <f t="shared" si="329"/>
        <v>0</v>
      </c>
      <c r="BX216" s="18">
        <f t="shared" si="329"/>
        <v>0</v>
      </c>
      <c r="BY216" s="18">
        <f t="shared" si="329"/>
        <v>0</v>
      </c>
      <c r="BZ216" s="18">
        <f t="shared" si="329"/>
        <v>0</v>
      </c>
      <c r="CA216" s="18">
        <f t="shared" si="329"/>
        <v>0</v>
      </c>
      <c r="CB216" s="18">
        <f t="shared" si="329"/>
        <v>0</v>
      </c>
      <c r="CC216" s="17"/>
      <c r="CD216" s="17"/>
      <c r="CE216" s="17"/>
      <c r="CH216" s="11"/>
      <c r="CI216" s="11"/>
      <c r="CJ216" s="11"/>
      <c r="CK216" s="11"/>
      <c r="CL216" s="11"/>
      <c r="CM216" s="11"/>
      <c r="CN216" s="11"/>
      <c r="CO216" s="11"/>
      <c r="CP216" s="11"/>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11"/>
      <c r="DM216" s="11"/>
      <c r="DN216" s="11"/>
      <c r="DO216" s="11"/>
      <c r="DP216" s="11"/>
      <c r="DQ216" s="11"/>
      <c r="DR216" s="11"/>
      <c r="DS216" s="11"/>
      <c r="DT216" s="11"/>
      <c r="DU216" s="11"/>
      <c r="DV216" s="11"/>
      <c r="DW216" s="11"/>
      <c r="DX216" s="11"/>
      <c r="DY216" s="11"/>
      <c r="DZ216" s="11"/>
      <c r="EA216" s="11"/>
      <c r="EB216" s="11"/>
      <c r="EC216" s="11"/>
      <c r="ED216" s="11"/>
    </row>
    <row r="217" spans="1:134">
      <c r="A217" s="18" t="str">
        <f>A35</f>
        <v>Bond 3</v>
      </c>
      <c r="B217" s="18">
        <f t="shared" ref="B217:BM217" si="330">B35*B97</f>
        <v>100.06353674778109</v>
      </c>
      <c r="C217" s="18">
        <f t="shared" si="330"/>
        <v>0</v>
      </c>
      <c r="D217" s="18">
        <f t="shared" si="330"/>
        <v>0</v>
      </c>
      <c r="E217" s="18">
        <f t="shared" si="330"/>
        <v>0</v>
      </c>
      <c r="F217" s="18">
        <f t="shared" si="330"/>
        <v>0</v>
      </c>
      <c r="G217" s="18">
        <f t="shared" si="330"/>
        <v>0</v>
      </c>
      <c r="H217" s="18">
        <f t="shared" si="330"/>
        <v>0</v>
      </c>
      <c r="I217" s="18">
        <f t="shared" si="330"/>
        <v>0</v>
      </c>
      <c r="J217" s="18">
        <f t="shared" si="330"/>
        <v>0</v>
      </c>
      <c r="K217" s="18">
        <f t="shared" si="330"/>
        <v>0</v>
      </c>
      <c r="L217" s="18">
        <f t="shared" si="330"/>
        <v>0</v>
      </c>
      <c r="M217" s="18">
        <f t="shared" si="330"/>
        <v>0</v>
      </c>
      <c r="N217" s="18">
        <f t="shared" si="330"/>
        <v>0</v>
      </c>
      <c r="O217" s="18">
        <f t="shared" si="330"/>
        <v>0</v>
      </c>
      <c r="P217" s="18">
        <f t="shared" si="330"/>
        <v>0</v>
      </c>
      <c r="Q217" s="18">
        <f t="shared" si="330"/>
        <v>0</v>
      </c>
      <c r="R217" s="18">
        <f t="shared" si="330"/>
        <v>0</v>
      </c>
      <c r="S217" s="18">
        <f t="shared" si="330"/>
        <v>0</v>
      </c>
      <c r="T217" s="18">
        <f t="shared" si="330"/>
        <v>0</v>
      </c>
      <c r="U217" s="18">
        <f t="shared" si="330"/>
        <v>0</v>
      </c>
      <c r="V217" s="18">
        <f t="shared" si="330"/>
        <v>0</v>
      </c>
      <c r="W217" s="18">
        <f t="shared" si="330"/>
        <v>0</v>
      </c>
      <c r="X217" s="18">
        <f t="shared" si="330"/>
        <v>0</v>
      </c>
      <c r="Y217" s="18">
        <f t="shared" si="330"/>
        <v>0</v>
      </c>
      <c r="Z217" s="18">
        <f t="shared" si="330"/>
        <v>0</v>
      </c>
      <c r="AA217" s="18">
        <f t="shared" si="330"/>
        <v>0</v>
      </c>
      <c r="AB217" s="18">
        <f t="shared" si="330"/>
        <v>0</v>
      </c>
      <c r="AC217" s="18">
        <f t="shared" si="330"/>
        <v>0</v>
      </c>
      <c r="AD217" s="18">
        <f t="shared" si="330"/>
        <v>0</v>
      </c>
      <c r="AE217" s="18">
        <f t="shared" si="330"/>
        <v>0</v>
      </c>
      <c r="AF217" s="18">
        <f t="shared" si="330"/>
        <v>0</v>
      </c>
      <c r="AG217" s="18">
        <f t="shared" si="330"/>
        <v>0</v>
      </c>
      <c r="AH217" s="18">
        <f t="shared" si="330"/>
        <v>0</v>
      </c>
      <c r="AI217" s="18">
        <f t="shared" si="330"/>
        <v>0</v>
      </c>
      <c r="AJ217" s="18">
        <f t="shared" si="330"/>
        <v>0</v>
      </c>
      <c r="AK217" s="18">
        <f t="shared" si="330"/>
        <v>0</v>
      </c>
      <c r="AL217" s="18">
        <f t="shared" si="330"/>
        <v>0</v>
      </c>
      <c r="AM217" s="18">
        <f t="shared" si="330"/>
        <v>0</v>
      </c>
      <c r="AN217" s="18">
        <f t="shared" si="330"/>
        <v>0</v>
      </c>
      <c r="AO217" s="18">
        <f t="shared" si="330"/>
        <v>0</v>
      </c>
      <c r="AP217" s="18">
        <f t="shared" si="330"/>
        <v>0</v>
      </c>
      <c r="AQ217" s="18">
        <f t="shared" si="330"/>
        <v>0</v>
      </c>
      <c r="AR217" s="18">
        <f t="shared" si="330"/>
        <v>0</v>
      </c>
      <c r="AS217" s="18">
        <f t="shared" si="330"/>
        <v>0</v>
      </c>
      <c r="AT217" s="18">
        <f t="shared" si="330"/>
        <v>0</v>
      </c>
      <c r="AU217" s="18">
        <f t="shared" si="330"/>
        <v>0</v>
      </c>
      <c r="AV217" s="18">
        <f t="shared" si="330"/>
        <v>0</v>
      </c>
      <c r="AW217" s="18">
        <f t="shared" si="330"/>
        <v>0</v>
      </c>
      <c r="AX217" s="18">
        <f t="shared" si="330"/>
        <v>0</v>
      </c>
      <c r="AY217" s="18">
        <f t="shared" si="330"/>
        <v>0</v>
      </c>
      <c r="AZ217" s="18">
        <f t="shared" si="330"/>
        <v>0</v>
      </c>
      <c r="BA217" s="18">
        <f t="shared" si="330"/>
        <v>0</v>
      </c>
      <c r="BB217" s="18">
        <f t="shared" si="330"/>
        <v>0</v>
      </c>
      <c r="BC217" s="18">
        <f t="shared" si="330"/>
        <v>0</v>
      </c>
      <c r="BD217" s="18">
        <f t="shared" si="330"/>
        <v>0</v>
      </c>
      <c r="BE217" s="18">
        <f t="shared" si="330"/>
        <v>0</v>
      </c>
      <c r="BF217" s="18">
        <f t="shared" si="330"/>
        <v>0</v>
      </c>
      <c r="BG217" s="18">
        <f t="shared" si="330"/>
        <v>0</v>
      </c>
      <c r="BH217" s="18">
        <f t="shared" si="330"/>
        <v>0</v>
      </c>
      <c r="BI217" s="18">
        <f t="shared" si="330"/>
        <v>0</v>
      </c>
      <c r="BJ217" s="18">
        <f t="shared" si="330"/>
        <v>0</v>
      </c>
      <c r="BK217" s="18">
        <f t="shared" si="330"/>
        <v>0</v>
      </c>
      <c r="BL217" s="18">
        <f t="shared" si="330"/>
        <v>0</v>
      </c>
      <c r="BM217" s="18">
        <f t="shared" si="330"/>
        <v>0</v>
      </c>
      <c r="BN217" s="18">
        <f t="shared" ref="BN217:CB217" si="331">BN35*BN97</f>
        <v>0</v>
      </c>
      <c r="BO217" s="18">
        <f t="shared" si="331"/>
        <v>0</v>
      </c>
      <c r="BP217" s="18">
        <f t="shared" si="331"/>
        <v>0</v>
      </c>
      <c r="BQ217" s="18">
        <f t="shared" si="331"/>
        <v>0</v>
      </c>
      <c r="BR217" s="18">
        <f t="shared" si="331"/>
        <v>0</v>
      </c>
      <c r="BS217" s="18">
        <f t="shared" si="331"/>
        <v>0</v>
      </c>
      <c r="BT217" s="18">
        <f t="shared" si="331"/>
        <v>0</v>
      </c>
      <c r="BU217" s="18">
        <f t="shared" si="331"/>
        <v>0</v>
      </c>
      <c r="BV217" s="18">
        <f t="shared" si="331"/>
        <v>0</v>
      </c>
      <c r="BW217" s="18">
        <f t="shared" si="331"/>
        <v>0</v>
      </c>
      <c r="BX217" s="18">
        <f t="shared" si="331"/>
        <v>0</v>
      </c>
      <c r="BY217" s="18">
        <f t="shared" si="331"/>
        <v>0</v>
      </c>
      <c r="BZ217" s="18">
        <f t="shared" si="331"/>
        <v>0</v>
      </c>
      <c r="CA217" s="18">
        <f t="shared" si="331"/>
        <v>0</v>
      </c>
      <c r="CB217" s="18">
        <f t="shared" si="331"/>
        <v>0</v>
      </c>
      <c r="CC217" s="17"/>
      <c r="CD217" s="17"/>
      <c r="CE217" s="17"/>
      <c r="CH217" s="11"/>
      <c r="CI217" s="11"/>
      <c r="CJ217" s="11"/>
      <c r="CK217" s="11"/>
      <c r="CL217" s="11"/>
      <c r="CM217" s="11"/>
      <c r="CN217" s="11"/>
      <c r="CO217" s="11"/>
      <c r="CP217" s="11"/>
      <c r="CQ217" s="11"/>
      <c r="CR217" s="11"/>
      <c r="CS217" s="11"/>
      <c r="CT217" s="11"/>
      <c r="CU217" s="11"/>
      <c r="CV217" s="11"/>
      <c r="CW217" s="11"/>
      <c r="CX217" s="11"/>
      <c r="CY217" s="11"/>
      <c r="CZ217" s="11"/>
      <c r="DA217" s="11"/>
      <c r="DB217" s="11"/>
      <c r="DC217" s="11"/>
      <c r="DD217" s="11"/>
      <c r="DE217" s="11"/>
      <c r="DF217" s="11"/>
      <c r="DG217" s="11"/>
      <c r="DH217" s="11"/>
      <c r="DI217" s="11"/>
      <c r="DJ217" s="11"/>
      <c r="DK217" s="11"/>
      <c r="DL217" s="11"/>
      <c r="DM217" s="11"/>
      <c r="DN217" s="11"/>
      <c r="DO217" s="11"/>
      <c r="DP217" s="11"/>
      <c r="DQ217" s="11"/>
      <c r="DR217" s="11"/>
      <c r="DS217" s="11"/>
      <c r="DT217" s="11"/>
      <c r="DU217" s="11"/>
      <c r="DV217" s="11"/>
      <c r="DW217" s="11"/>
      <c r="DX217" s="11"/>
      <c r="DY217" s="11"/>
      <c r="DZ217" s="11"/>
      <c r="EA217" s="11"/>
      <c r="EB217" s="11"/>
      <c r="EC217" s="11"/>
      <c r="ED217" s="11"/>
    </row>
    <row r="218" spans="1:134">
      <c r="A218" s="18" t="str">
        <f>A37</f>
        <v>Bond 4</v>
      </c>
      <c r="B218" s="18">
        <f t="shared" ref="B218:BM218" si="332">B37*B102</f>
        <v>5.0036936788267074E-2</v>
      </c>
      <c r="C218" s="18">
        <f t="shared" si="332"/>
        <v>100.22770972158574</v>
      </c>
      <c r="D218" s="18">
        <f t="shared" si="332"/>
        <v>0</v>
      </c>
      <c r="E218" s="18">
        <f t="shared" si="332"/>
        <v>0</v>
      </c>
      <c r="F218" s="18">
        <f t="shared" si="332"/>
        <v>0</v>
      </c>
      <c r="G218" s="18">
        <f t="shared" si="332"/>
        <v>0</v>
      </c>
      <c r="H218" s="18">
        <f t="shared" si="332"/>
        <v>0</v>
      </c>
      <c r="I218" s="18">
        <f t="shared" si="332"/>
        <v>0</v>
      </c>
      <c r="J218" s="18">
        <f t="shared" si="332"/>
        <v>0</v>
      </c>
      <c r="K218" s="18">
        <f t="shared" si="332"/>
        <v>0</v>
      </c>
      <c r="L218" s="18">
        <f t="shared" si="332"/>
        <v>0</v>
      </c>
      <c r="M218" s="18">
        <f t="shared" si="332"/>
        <v>0</v>
      </c>
      <c r="N218" s="18">
        <f t="shared" si="332"/>
        <v>0</v>
      </c>
      <c r="O218" s="18">
        <f t="shared" si="332"/>
        <v>0</v>
      </c>
      <c r="P218" s="18">
        <f t="shared" si="332"/>
        <v>0</v>
      </c>
      <c r="Q218" s="18">
        <f t="shared" si="332"/>
        <v>0</v>
      </c>
      <c r="R218" s="18">
        <f t="shared" si="332"/>
        <v>0</v>
      </c>
      <c r="S218" s="18">
        <f t="shared" si="332"/>
        <v>0</v>
      </c>
      <c r="T218" s="18">
        <f t="shared" si="332"/>
        <v>0</v>
      </c>
      <c r="U218" s="18">
        <f t="shared" si="332"/>
        <v>0</v>
      </c>
      <c r="V218" s="18">
        <f t="shared" si="332"/>
        <v>0</v>
      </c>
      <c r="W218" s="18">
        <f t="shared" si="332"/>
        <v>0</v>
      </c>
      <c r="X218" s="18">
        <f t="shared" si="332"/>
        <v>0</v>
      </c>
      <c r="Y218" s="18">
        <f t="shared" si="332"/>
        <v>0</v>
      </c>
      <c r="Z218" s="18">
        <f t="shared" si="332"/>
        <v>0</v>
      </c>
      <c r="AA218" s="18">
        <f t="shared" si="332"/>
        <v>0</v>
      </c>
      <c r="AB218" s="18">
        <f t="shared" si="332"/>
        <v>0</v>
      </c>
      <c r="AC218" s="18">
        <f t="shared" si="332"/>
        <v>0</v>
      </c>
      <c r="AD218" s="18">
        <f t="shared" si="332"/>
        <v>0</v>
      </c>
      <c r="AE218" s="18">
        <f t="shared" si="332"/>
        <v>0</v>
      </c>
      <c r="AF218" s="18">
        <f t="shared" si="332"/>
        <v>0</v>
      </c>
      <c r="AG218" s="18">
        <f t="shared" si="332"/>
        <v>0</v>
      </c>
      <c r="AH218" s="18">
        <f t="shared" si="332"/>
        <v>0</v>
      </c>
      <c r="AI218" s="18">
        <f t="shared" si="332"/>
        <v>0</v>
      </c>
      <c r="AJ218" s="18">
        <f t="shared" si="332"/>
        <v>0</v>
      </c>
      <c r="AK218" s="18">
        <f t="shared" si="332"/>
        <v>0</v>
      </c>
      <c r="AL218" s="18">
        <f t="shared" si="332"/>
        <v>0</v>
      </c>
      <c r="AM218" s="18">
        <f t="shared" si="332"/>
        <v>0</v>
      </c>
      <c r="AN218" s="18">
        <f t="shared" si="332"/>
        <v>0</v>
      </c>
      <c r="AO218" s="18">
        <f t="shared" si="332"/>
        <v>0</v>
      </c>
      <c r="AP218" s="18">
        <f t="shared" si="332"/>
        <v>0</v>
      </c>
      <c r="AQ218" s="18">
        <f t="shared" si="332"/>
        <v>0</v>
      </c>
      <c r="AR218" s="18">
        <f t="shared" si="332"/>
        <v>0</v>
      </c>
      <c r="AS218" s="18">
        <f t="shared" si="332"/>
        <v>0</v>
      </c>
      <c r="AT218" s="18">
        <f t="shared" si="332"/>
        <v>0</v>
      </c>
      <c r="AU218" s="18">
        <f t="shared" si="332"/>
        <v>0</v>
      </c>
      <c r="AV218" s="18">
        <f t="shared" si="332"/>
        <v>0</v>
      </c>
      <c r="AW218" s="18">
        <f t="shared" si="332"/>
        <v>0</v>
      </c>
      <c r="AX218" s="18">
        <f t="shared" si="332"/>
        <v>0</v>
      </c>
      <c r="AY218" s="18">
        <f t="shared" si="332"/>
        <v>0</v>
      </c>
      <c r="AZ218" s="18">
        <f t="shared" si="332"/>
        <v>0</v>
      </c>
      <c r="BA218" s="18">
        <f t="shared" si="332"/>
        <v>0</v>
      </c>
      <c r="BB218" s="18">
        <f t="shared" si="332"/>
        <v>0</v>
      </c>
      <c r="BC218" s="18">
        <f t="shared" si="332"/>
        <v>0</v>
      </c>
      <c r="BD218" s="18">
        <f t="shared" si="332"/>
        <v>0</v>
      </c>
      <c r="BE218" s="18">
        <f t="shared" si="332"/>
        <v>0</v>
      </c>
      <c r="BF218" s="18">
        <f t="shared" si="332"/>
        <v>0</v>
      </c>
      <c r="BG218" s="18">
        <f t="shared" si="332"/>
        <v>0</v>
      </c>
      <c r="BH218" s="18">
        <f t="shared" si="332"/>
        <v>0</v>
      </c>
      <c r="BI218" s="18">
        <f t="shared" si="332"/>
        <v>0</v>
      </c>
      <c r="BJ218" s="18">
        <f t="shared" si="332"/>
        <v>0</v>
      </c>
      <c r="BK218" s="18">
        <f t="shared" si="332"/>
        <v>0</v>
      </c>
      <c r="BL218" s="18">
        <f t="shared" si="332"/>
        <v>0</v>
      </c>
      <c r="BM218" s="18">
        <f t="shared" si="332"/>
        <v>0</v>
      </c>
      <c r="BN218" s="18">
        <f t="shared" ref="BN218:CB218" si="333">BN37*BN102</f>
        <v>0</v>
      </c>
      <c r="BO218" s="18">
        <f t="shared" si="333"/>
        <v>0</v>
      </c>
      <c r="BP218" s="18">
        <f t="shared" si="333"/>
        <v>0</v>
      </c>
      <c r="BQ218" s="18">
        <f t="shared" si="333"/>
        <v>0</v>
      </c>
      <c r="BR218" s="18">
        <f t="shared" si="333"/>
        <v>0</v>
      </c>
      <c r="BS218" s="18">
        <f t="shared" si="333"/>
        <v>0</v>
      </c>
      <c r="BT218" s="18">
        <f t="shared" si="333"/>
        <v>0</v>
      </c>
      <c r="BU218" s="18">
        <f t="shared" si="333"/>
        <v>0</v>
      </c>
      <c r="BV218" s="18">
        <f t="shared" si="333"/>
        <v>0</v>
      </c>
      <c r="BW218" s="18">
        <f t="shared" si="333"/>
        <v>0</v>
      </c>
      <c r="BX218" s="18">
        <f t="shared" si="333"/>
        <v>0</v>
      </c>
      <c r="BY218" s="18">
        <f t="shared" si="333"/>
        <v>0</v>
      </c>
      <c r="BZ218" s="18">
        <f t="shared" si="333"/>
        <v>0</v>
      </c>
      <c r="CA218" s="18">
        <f t="shared" si="333"/>
        <v>0</v>
      </c>
      <c r="CB218" s="18">
        <f t="shared" si="333"/>
        <v>0</v>
      </c>
      <c r="CC218" s="17"/>
      <c r="CD218" s="17"/>
      <c r="CE218" s="17"/>
      <c r="CH218" s="5"/>
      <c r="CI218" s="11"/>
      <c r="CJ218" s="11"/>
      <c r="CK218" s="11"/>
      <c r="CL218" s="11"/>
      <c r="CM218" s="11"/>
      <c r="CN218" s="11"/>
      <c r="CO218" s="11"/>
      <c r="CP218" s="11"/>
      <c r="CQ218" s="11"/>
      <c r="CR218" s="11"/>
      <c r="CS218" s="11"/>
      <c r="CT218" s="11"/>
      <c r="CU218" s="11"/>
      <c r="CV218" s="11"/>
      <c r="CW218" s="11"/>
      <c r="CX218" s="11"/>
      <c r="CY218" s="11"/>
      <c r="CZ218" s="11"/>
      <c r="DA218" s="11"/>
      <c r="DB218" s="11"/>
      <c r="DC218" s="11"/>
      <c r="DD218" s="11"/>
      <c r="DE218" s="11"/>
      <c r="DF218" s="11"/>
      <c r="DG218" s="11"/>
      <c r="DH218" s="11"/>
      <c r="DI218" s="11"/>
      <c r="DJ218" s="11"/>
      <c r="DK218" s="11"/>
      <c r="DL218" s="11"/>
      <c r="DM218" s="11"/>
      <c r="DN218" s="11"/>
      <c r="DO218" s="11"/>
      <c r="DP218" s="11"/>
      <c r="DQ218" s="11"/>
      <c r="DR218" s="11"/>
      <c r="DS218" s="11"/>
      <c r="DT218" s="11"/>
      <c r="DU218" s="11"/>
      <c r="DV218" s="11"/>
      <c r="DW218" s="11"/>
      <c r="DX218" s="11"/>
      <c r="DY218" s="11"/>
      <c r="DZ218" s="11"/>
      <c r="EA218" s="11"/>
      <c r="EB218" s="11"/>
      <c r="EC218" s="11"/>
      <c r="ED218" s="11"/>
    </row>
    <row r="219" spans="1:134">
      <c r="A219" s="18" t="str">
        <f>A39</f>
        <v>Bond 5</v>
      </c>
      <c r="B219" s="18">
        <f t="shared" ref="B219:BM219" si="334">B39*B107</f>
        <v>5.0036936788267074E-2</v>
      </c>
      <c r="C219" s="18">
        <f t="shared" si="334"/>
        <v>5.0088810455565097E-2</v>
      </c>
      <c r="D219" s="18">
        <f t="shared" si="334"/>
        <v>5.0151604057552417E-2</v>
      </c>
      <c r="E219" s="18">
        <f t="shared" si="334"/>
        <v>100.49407734688458</v>
      </c>
      <c r="F219" s="18">
        <f t="shared" si="334"/>
        <v>0</v>
      </c>
      <c r="G219" s="18">
        <f t="shared" si="334"/>
        <v>0</v>
      </c>
      <c r="H219" s="18">
        <f t="shared" si="334"/>
        <v>0</v>
      </c>
      <c r="I219" s="18">
        <f t="shared" si="334"/>
        <v>0</v>
      </c>
      <c r="J219" s="18">
        <f t="shared" si="334"/>
        <v>0</v>
      </c>
      <c r="K219" s="18">
        <f t="shared" si="334"/>
        <v>0</v>
      </c>
      <c r="L219" s="18">
        <f t="shared" si="334"/>
        <v>0</v>
      </c>
      <c r="M219" s="18">
        <f t="shared" si="334"/>
        <v>0</v>
      </c>
      <c r="N219" s="18">
        <f t="shared" si="334"/>
        <v>0</v>
      </c>
      <c r="O219" s="18">
        <f t="shared" si="334"/>
        <v>0</v>
      </c>
      <c r="P219" s="18">
        <f t="shared" si="334"/>
        <v>0</v>
      </c>
      <c r="Q219" s="18">
        <f t="shared" si="334"/>
        <v>0</v>
      </c>
      <c r="R219" s="18">
        <f t="shared" si="334"/>
        <v>0</v>
      </c>
      <c r="S219" s="18">
        <f t="shared" si="334"/>
        <v>0</v>
      </c>
      <c r="T219" s="18">
        <f t="shared" si="334"/>
        <v>0</v>
      </c>
      <c r="U219" s="18">
        <f t="shared" si="334"/>
        <v>0</v>
      </c>
      <c r="V219" s="18">
        <f t="shared" si="334"/>
        <v>0</v>
      </c>
      <c r="W219" s="18">
        <f t="shared" si="334"/>
        <v>0</v>
      </c>
      <c r="X219" s="18">
        <f t="shared" si="334"/>
        <v>0</v>
      </c>
      <c r="Y219" s="18">
        <f t="shared" si="334"/>
        <v>0</v>
      </c>
      <c r="Z219" s="18">
        <f t="shared" si="334"/>
        <v>0</v>
      </c>
      <c r="AA219" s="18">
        <f t="shared" si="334"/>
        <v>0</v>
      </c>
      <c r="AB219" s="18">
        <f t="shared" si="334"/>
        <v>0</v>
      </c>
      <c r="AC219" s="18">
        <f t="shared" si="334"/>
        <v>0</v>
      </c>
      <c r="AD219" s="18">
        <f t="shared" si="334"/>
        <v>0</v>
      </c>
      <c r="AE219" s="18">
        <f t="shared" si="334"/>
        <v>0</v>
      </c>
      <c r="AF219" s="18">
        <f t="shared" si="334"/>
        <v>0</v>
      </c>
      <c r="AG219" s="18">
        <f t="shared" si="334"/>
        <v>0</v>
      </c>
      <c r="AH219" s="18">
        <f t="shared" si="334"/>
        <v>0</v>
      </c>
      <c r="AI219" s="18">
        <f t="shared" si="334"/>
        <v>0</v>
      </c>
      <c r="AJ219" s="18">
        <f t="shared" si="334"/>
        <v>0</v>
      </c>
      <c r="AK219" s="18">
        <f t="shared" si="334"/>
        <v>0</v>
      </c>
      <c r="AL219" s="18">
        <f t="shared" si="334"/>
        <v>0</v>
      </c>
      <c r="AM219" s="18">
        <f t="shared" si="334"/>
        <v>0</v>
      </c>
      <c r="AN219" s="18">
        <f t="shared" si="334"/>
        <v>0</v>
      </c>
      <c r="AO219" s="18">
        <f t="shared" si="334"/>
        <v>0</v>
      </c>
      <c r="AP219" s="18">
        <f t="shared" si="334"/>
        <v>0</v>
      </c>
      <c r="AQ219" s="18">
        <f t="shared" si="334"/>
        <v>0</v>
      </c>
      <c r="AR219" s="18">
        <f t="shared" si="334"/>
        <v>0</v>
      </c>
      <c r="AS219" s="18">
        <f t="shared" si="334"/>
        <v>0</v>
      </c>
      <c r="AT219" s="18">
        <f t="shared" si="334"/>
        <v>0</v>
      </c>
      <c r="AU219" s="18">
        <f t="shared" si="334"/>
        <v>0</v>
      </c>
      <c r="AV219" s="18">
        <f t="shared" si="334"/>
        <v>0</v>
      </c>
      <c r="AW219" s="18">
        <f t="shared" si="334"/>
        <v>0</v>
      </c>
      <c r="AX219" s="18">
        <f t="shared" si="334"/>
        <v>0</v>
      </c>
      <c r="AY219" s="18">
        <f t="shared" si="334"/>
        <v>0</v>
      </c>
      <c r="AZ219" s="18">
        <f t="shared" si="334"/>
        <v>0</v>
      </c>
      <c r="BA219" s="18">
        <f t="shared" si="334"/>
        <v>0</v>
      </c>
      <c r="BB219" s="18">
        <f t="shared" si="334"/>
        <v>0</v>
      </c>
      <c r="BC219" s="18">
        <f t="shared" si="334"/>
        <v>0</v>
      </c>
      <c r="BD219" s="18">
        <f t="shared" si="334"/>
        <v>0</v>
      </c>
      <c r="BE219" s="18">
        <f t="shared" si="334"/>
        <v>0</v>
      </c>
      <c r="BF219" s="18">
        <f t="shared" si="334"/>
        <v>0</v>
      </c>
      <c r="BG219" s="18">
        <f t="shared" si="334"/>
        <v>0</v>
      </c>
      <c r="BH219" s="18">
        <f t="shared" si="334"/>
        <v>0</v>
      </c>
      <c r="BI219" s="18">
        <f t="shared" si="334"/>
        <v>0</v>
      </c>
      <c r="BJ219" s="18">
        <f t="shared" si="334"/>
        <v>0</v>
      </c>
      <c r="BK219" s="18">
        <f t="shared" si="334"/>
        <v>0</v>
      </c>
      <c r="BL219" s="18">
        <f t="shared" si="334"/>
        <v>0</v>
      </c>
      <c r="BM219" s="18">
        <f t="shared" si="334"/>
        <v>0</v>
      </c>
      <c r="BN219" s="18">
        <f t="shared" ref="BN219:CB219" si="335">BN39*BN107</f>
        <v>0</v>
      </c>
      <c r="BO219" s="18">
        <f t="shared" si="335"/>
        <v>0</v>
      </c>
      <c r="BP219" s="18">
        <f t="shared" si="335"/>
        <v>0</v>
      </c>
      <c r="BQ219" s="18">
        <f t="shared" si="335"/>
        <v>0</v>
      </c>
      <c r="BR219" s="18">
        <f t="shared" si="335"/>
        <v>0</v>
      </c>
      <c r="BS219" s="18">
        <f t="shared" si="335"/>
        <v>0</v>
      </c>
      <c r="BT219" s="18">
        <f t="shared" si="335"/>
        <v>0</v>
      </c>
      <c r="BU219" s="18">
        <f t="shared" si="335"/>
        <v>0</v>
      </c>
      <c r="BV219" s="18">
        <f t="shared" si="335"/>
        <v>0</v>
      </c>
      <c r="BW219" s="18">
        <f t="shared" si="335"/>
        <v>0</v>
      </c>
      <c r="BX219" s="18">
        <f t="shared" si="335"/>
        <v>0</v>
      </c>
      <c r="BY219" s="18">
        <f t="shared" si="335"/>
        <v>0</v>
      </c>
      <c r="BZ219" s="18">
        <f t="shared" si="335"/>
        <v>0</v>
      </c>
      <c r="CA219" s="18">
        <f t="shared" si="335"/>
        <v>0</v>
      </c>
      <c r="CB219" s="18">
        <f t="shared" si="335"/>
        <v>0</v>
      </c>
      <c r="CC219" s="17"/>
      <c r="CD219" s="17"/>
      <c r="CE219" s="17"/>
      <c r="CH219" s="11"/>
      <c r="CI219" s="11"/>
      <c r="CJ219" s="11"/>
      <c r="CK219" s="11"/>
      <c r="CL219" s="11"/>
      <c r="CM219" s="11"/>
      <c r="CN219" s="11"/>
      <c r="CO219" s="11"/>
      <c r="CP219" s="11"/>
      <c r="CQ219" s="11"/>
      <c r="CR219" s="11"/>
      <c r="CS219" s="11"/>
      <c r="CT219" s="11"/>
      <c r="CU219" s="11"/>
      <c r="CV219" s="11"/>
      <c r="CW219" s="11"/>
      <c r="CX219" s="11"/>
      <c r="CY219" s="11"/>
      <c r="CZ219" s="11"/>
      <c r="DA219" s="11"/>
      <c r="DB219" s="11"/>
      <c r="DC219" s="11"/>
      <c r="DD219" s="11"/>
      <c r="DE219" s="11"/>
      <c r="DF219" s="11"/>
      <c r="DG219" s="11"/>
      <c r="DH219" s="11"/>
      <c r="DI219" s="11"/>
      <c r="DJ219" s="11"/>
      <c r="DK219" s="11"/>
      <c r="DL219" s="11"/>
      <c r="DM219" s="11"/>
      <c r="DN219" s="11"/>
      <c r="DO219" s="11"/>
      <c r="DP219" s="11"/>
      <c r="DQ219" s="11"/>
      <c r="DR219" s="11"/>
      <c r="DS219" s="11"/>
      <c r="DT219" s="11"/>
      <c r="DU219" s="11"/>
      <c r="DV219" s="11"/>
      <c r="DW219" s="11"/>
      <c r="DX219" s="11"/>
      <c r="DY219" s="11"/>
      <c r="DZ219" s="11"/>
      <c r="EA219" s="11"/>
      <c r="EB219" s="11"/>
      <c r="EC219" s="11"/>
      <c r="ED219" s="11"/>
    </row>
    <row r="220" spans="1:134">
      <c r="A220" s="18" t="str">
        <f>A41</f>
        <v>Bond 6</v>
      </c>
      <c r="B220" s="18">
        <f t="shared" ref="B220:BM220" si="336">B41*B112</f>
        <v>0.50014034480870129</v>
      </c>
      <c r="C220" s="18">
        <f t="shared" si="336"/>
        <v>0.50058123247865793</v>
      </c>
      <c r="D220" s="18">
        <f t="shared" si="336"/>
        <v>0.50114889236256266</v>
      </c>
      <c r="E220" s="18">
        <f t="shared" si="336"/>
        <v>0.50181725923129794</v>
      </c>
      <c r="F220" s="18">
        <f t="shared" si="336"/>
        <v>0.50253976105642606</v>
      </c>
      <c r="G220" s="18">
        <f t="shared" si="336"/>
        <v>101.16414090849115</v>
      </c>
      <c r="H220" s="18">
        <f t="shared" si="336"/>
        <v>0</v>
      </c>
      <c r="I220" s="18">
        <f t="shared" si="336"/>
        <v>0</v>
      </c>
      <c r="J220" s="18">
        <f t="shared" si="336"/>
        <v>0</v>
      </c>
      <c r="K220" s="18">
        <f t="shared" si="336"/>
        <v>0</v>
      </c>
      <c r="L220" s="18">
        <f t="shared" si="336"/>
        <v>0</v>
      </c>
      <c r="M220" s="18">
        <f t="shared" si="336"/>
        <v>0</v>
      </c>
      <c r="N220" s="18">
        <f t="shared" si="336"/>
        <v>0</v>
      </c>
      <c r="O220" s="18">
        <f t="shared" si="336"/>
        <v>0</v>
      </c>
      <c r="P220" s="18">
        <f t="shared" si="336"/>
        <v>0</v>
      </c>
      <c r="Q220" s="18">
        <f t="shared" si="336"/>
        <v>0</v>
      </c>
      <c r="R220" s="18">
        <f t="shared" si="336"/>
        <v>0</v>
      </c>
      <c r="S220" s="18">
        <f t="shared" si="336"/>
        <v>0</v>
      </c>
      <c r="T220" s="18">
        <f t="shared" si="336"/>
        <v>0</v>
      </c>
      <c r="U220" s="18">
        <f t="shared" si="336"/>
        <v>0</v>
      </c>
      <c r="V220" s="18">
        <f t="shared" si="336"/>
        <v>0</v>
      </c>
      <c r="W220" s="18">
        <f t="shared" si="336"/>
        <v>0</v>
      </c>
      <c r="X220" s="18">
        <f t="shared" si="336"/>
        <v>0</v>
      </c>
      <c r="Y220" s="18">
        <f t="shared" si="336"/>
        <v>0</v>
      </c>
      <c r="Z220" s="18">
        <f t="shared" si="336"/>
        <v>0</v>
      </c>
      <c r="AA220" s="18">
        <f t="shared" si="336"/>
        <v>0</v>
      </c>
      <c r="AB220" s="18">
        <f t="shared" si="336"/>
        <v>0</v>
      </c>
      <c r="AC220" s="18">
        <f t="shared" si="336"/>
        <v>0</v>
      </c>
      <c r="AD220" s="18">
        <f t="shared" si="336"/>
        <v>0</v>
      </c>
      <c r="AE220" s="18">
        <f t="shared" si="336"/>
        <v>0</v>
      </c>
      <c r="AF220" s="18">
        <f t="shared" si="336"/>
        <v>0</v>
      </c>
      <c r="AG220" s="18">
        <f t="shared" si="336"/>
        <v>0</v>
      </c>
      <c r="AH220" s="18">
        <f t="shared" si="336"/>
        <v>0</v>
      </c>
      <c r="AI220" s="18">
        <f t="shared" si="336"/>
        <v>0</v>
      </c>
      <c r="AJ220" s="18">
        <f t="shared" si="336"/>
        <v>0</v>
      </c>
      <c r="AK220" s="18">
        <f t="shared" si="336"/>
        <v>0</v>
      </c>
      <c r="AL220" s="18">
        <f t="shared" si="336"/>
        <v>0</v>
      </c>
      <c r="AM220" s="18">
        <f t="shared" si="336"/>
        <v>0</v>
      </c>
      <c r="AN220" s="18">
        <f t="shared" si="336"/>
        <v>0</v>
      </c>
      <c r="AO220" s="18">
        <f t="shared" si="336"/>
        <v>0</v>
      </c>
      <c r="AP220" s="18">
        <f t="shared" si="336"/>
        <v>0</v>
      </c>
      <c r="AQ220" s="18">
        <f t="shared" si="336"/>
        <v>0</v>
      </c>
      <c r="AR220" s="18">
        <f t="shared" si="336"/>
        <v>0</v>
      </c>
      <c r="AS220" s="18">
        <f t="shared" si="336"/>
        <v>0</v>
      </c>
      <c r="AT220" s="18">
        <f t="shared" si="336"/>
        <v>0</v>
      </c>
      <c r="AU220" s="18">
        <f t="shared" si="336"/>
        <v>0</v>
      </c>
      <c r="AV220" s="18">
        <f t="shared" si="336"/>
        <v>0</v>
      </c>
      <c r="AW220" s="18">
        <f t="shared" si="336"/>
        <v>0</v>
      </c>
      <c r="AX220" s="18">
        <f t="shared" si="336"/>
        <v>0</v>
      </c>
      <c r="AY220" s="18">
        <f t="shared" si="336"/>
        <v>0</v>
      </c>
      <c r="AZ220" s="18">
        <f t="shared" si="336"/>
        <v>0</v>
      </c>
      <c r="BA220" s="18">
        <f t="shared" si="336"/>
        <v>0</v>
      </c>
      <c r="BB220" s="18">
        <f t="shared" si="336"/>
        <v>0</v>
      </c>
      <c r="BC220" s="18">
        <f t="shared" si="336"/>
        <v>0</v>
      </c>
      <c r="BD220" s="18">
        <f t="shared" si="336"/>
        <v>0</v>
      </c>
      <c r="BE220" s="18">
        <f t="shared" si="336"/>
        <v>0</v>
      </c>
      <c r="BF220" s="18">
        <f t="shared" si="336"/>
        <v>0</v>
      </c>
      <c r="BG220" s="18">
        <f t="shared" si="336"/>
        <v>0</v>
      </c>
      <c r="BH220" s="18">
        <f t="shared" si="336"/>
        <v>0</v>
      </c>
      <c r="BI220" s="18">
        <f t="shared" si="336"/>
        <v>0</v>
      </c>
      <c r="BJ220" s="18">
        <f t="shared" si="336"/>
        <v>0</v>
      </c>
      <c r="BK220" s="18">
        <f t="shared" si="336"/>
        <v>0</v>
      </c>
      <c r="BL220" s="18">
        <f t="shared" si="336"/>
        <v>0</v>
      </c>
      <c r="BM220" s="18">
        <f t="shared" si="336"/>
        <v>0</v>
      </c>
      <c r="BN220" s="18">
        <f t="shared" ref="BN220:CB220" si="337">BN41*BN112</f>
        <v>0</v>
      </c>
      <c r="BO220" s="18">
        <f t="shared" si="337"/>
        <v>0</v>
      </c>
      <c r="BP220" s="18">
        <f t="shared" si="337"/>
        <v>0</v>
      </c>
      <c r="BQ220" s="18">
        <f t="shared" si="337"/>
        <v>0</v>
      </c>
      <c r="BR220" s="18">
        <f t="shared" si="337"/>
        <v>0</v>
      </c>
      <c r="BS220" s="18">
        <f t="shared" si="337"/>
        <v>0</v>
      </c>
      <c r="BT220" s="18">
        <f t="shared" si="337"/>
        <v>0</v>
      </c>
      <c r="BU220" s="18">
        <f t="shared" si="337"/>
        <v>0</v>
      </c>
      <c r="BV220" s="18">
        <f t="shared" si="337"/>
        <v>0</v>
      </c>
      <c r="BW220" s="18">
        <f t="shared" si="337"/>
        <v>0</v>
      </c>
      <c r="BX220" s="18">
        <f t="shared" si="337"/>
        <v>0</v>
      </c>
      <c r="BY220" s="18">
        <f t="shared" si="337"/>
        <v>0</v>
      </c>
      <c r="BZ220" s="18">
        <f t="shared" si="337"/>
        <v>0</v>
      </c>
      <c r="CA220" s="18">
        <f t="shared" si="337"/>
        <v>0</v>
      </c>
      <c r="CB220" s="18">
        <f t="shared" si="337"/>
        <v>0</v>
      </c>
      <c r="CC220" s="17"/>
      <c r="CD220" s="17"/>
      <c r="CE220" s="17"/>
      <c r="CH220" s="5"/>
      <c r="CI220" s="11"/>
      <c r="CJ220" s="11"/>
      <c r="CK220" s="11"/>
      <c r="CL220" s="11"/>
      <c r="CM220" s="11"/>
      <c r="CN220" s="11"/>
      <c r="CO220" s="11"/>
      <c r="CP220" s="11"/>
      <c r="CQ220" s="11"/>
      <c r="CR220" s="11"/>
      <c r="CS220" s="11"/>
      <c r="CT220" s="11"/>
      <c r="CU220" s="11"/>
      <c r="CV220" s="11"/>
      <c r="CW220" s="11"/>
      <c r="CX220" s="11"/>
      <c r="CY220" s="11"/>
      <c r="CZ220" s="11"/>
      <c r="DA220" s="11"/>
      <c r="DB220" s="11"/>
      <c r="DC220" s="11"/>
      <c r="DD220" s="11"/>
      <c r="DE220" s="11"/>
      <c r="DF220" s="11"/>
      <c r="DG220" s="11"/>
      <c r="DH220" s="11"/>
      <c r="DI220" s="11"/>
      <c r="DJ220" s="11"/>
      <c r="DK220" s="11"/>
      <c r="DL220" s="11"/>
      <c r="DM220" s="11"/>
      <c r="DN220" s="11"/>
      <c r="DO220" s="11"/>
      <c r="DP220" s="11"/>
      <c r="DQ220" s="11"/>
      <c r="DR220" s="11"/>
      <c r="DS220" s="11"/>
      <c r="DT220" s="11"/>
      <c r="DU220" s="11"/>
      <c r="DV220" s="11"/>
      <c r="DW220" s="11"/>
      <c r="DX220" s="11"/>
      <c r="DY220" s="11"/>
      <c r="DZ220" s="11"/>
      <c r="EA220" s="11"/>
      <c r="EB220" s="11"/>
      <c r="EC220" s="11"/>
      <c r="ED220" s="11"/>
    </row>
    <row r="221" spans="1:134">
      <c r="A221" s="18" t="str">
        <f>A43</f>
        <v>Bond 7</v>
      </c>
      <c r="B221" s="18">
        <f t="shared" ref="B221:BM221" si="338">B43*B117</f>
        <v>0.30008420688522075</v>
      </c>
      <c r="C221" s="18">
        <f t="shared" si="338"/>
        <v>0.30034873948719476</v>
      </c>
      <c r="D221" s="18">
        <f t="shared" si="338"/>
        <v>0.30068933541753756</v>
      </c>
      <c r="E221" s="18">
        <f t="shared" si="338"/>
        <v>0.30109035553877878</v>
      </c>
      <c r="F221" s="18">
        <f t="shared" si="338"/>
        <v>0.30152385663385561</v>
      </c>
      <c r="G221" s="18">
        <f t="shared" si="338"/>
        <v>0.30198251017460043</v>
      </c>
      <c r="H221" s="18">
        <f t="shared" si="338"/>
        <v>0.30244145465900596</v>
      </c>
      <c r="I221" s="18">
        <f t="shared" si="338"/>
        <v>101.26884125514826</v>
      </c>
      <c r="J221" s="18">
        <f t="shared" si="338"/>
        <v>0</v>
      </c>
      <c r="K221" s="18">
        <f t="shared" si="338"/>
        <v>0</v>
      </c>
      <c r="L221" s="18">
        <f t="shared" si="338"/>
        <v>0</v>
      </c>
      <c r="M221" s="18">
        <f t="shared" si="338"/>
        <v>0</v>
      </c>
      <c r="N221" s="18">
        <f t="shared" si="338"/>
        <v>0</v>
      </c>
      <c r="O221" s="18">
        <f t="shared" si="338"/>
        <v>0</v>
      </c>
      <c r="P221" s="18">
        <f t="shared" si="338"/>
        <v>0</v>
      </c>
      <c r="Q221" s="18">
        <f t="shared" si="338"/>
        <v>0</v>
      </c>
      <c r="R221" s="18">
        <f t="shared" si="338"/>
        <v>0</v>
      </c>
      <c r="S221" s="18">
        <f t="shared" si="338"/>
        <v>0</v>
      </c>
      <c r="T221" s="18">
        <f t="shared" si="338"/>
        <v>0</v>
      </c>
      <c r="U221" s="18">
        <f t="shared" si="338"/>
        <v>0</v>
      </c>
      <c r="V221" s="18">
        <f t="shared" si="338"/>
        <v>0</v>
      </c>
      <c r="W221" s="18">
        <f t="shared" si="338"/>
        <v>0</v>
      </c>
      <c r="X221" s="18">
        <f t="shared" si="338"/>
        <v>0</v>
      </c>
      <c r="Y221" s="18">
        <f t="shared" si="338"/>
        <v>0</v>
      </c>
      <c r="Z221" s="18">
        <f t="shared" si="338"/>
        <v>0</v>
      </c>
      <c r="AA221" s="18">
        <f t="shared" si="338"/>
        <v>0</v>
      </c>
      <c r="AB221" s="18">
        <f t="shared" si="338"/>
        <v>0</v>
      </c>
      <c r="AC221" s="18">
        <f t="shared" si="338"/>
        <v>0</v>
      </c>
      <c r="AD221" s="18">
        <f t="shared" si="338"/>
        <v>0</v>
      </c>
      <c r="AE221" s="18">
        <f t="shared" si="338"/>
        <v>0</v>
      </c>
      <c r="AF221" s="18">
        <f t="shared" si="338"/>
        <v>0</v>
      </c>
      <c r="AG221" s="18">
        <f t="shared" si="338"/>
        <v>0</v>
      </c>
      <c r="AH221" s="18">
        <f t="shared" si="338"/>
        <v>0</v>
      </c>
      <c r="AI221" s="18">
        <f t="shared" si="338"/>
        <v>0</v>
      </c>
      <c r="AJ221" s="18">
        <f t="shared" si="338"/>
        <v>0</v>
      </c>
      <c r="AK221" s="18">
        <f t="shared" si="338"/>
        <v>0</v>
      </c>
      <c r="AL221" s="18">
        <f t="shared" si="338"/>
        <v>0</v>
      </c>
      <c r="AM221" s="18">
        <f t="shared" si="338"/>
        <v>0</v>
      </c>
      <c r="AN221" s="18">
        <f t="shared" si="338"/>
        <v>0</v>
      </c>
      <c r="AO221" s="18">
        <f t="shared" si="338"/>
        <v>0</v>
      </c>
      <c r="AP221" s="18">
        <f t="shared" si="338"/>
        <v>0</v>
      </c>
      <c r="AQ221" s="18">
        <f t="shared" si="338"/>
        <v>0</v>
      </c>
      <c r="AR221" s="18">
        <f t="shared" si="338"/>
        <v>0</v>
      </c>
      <c r="AS221" s="18">
        <f t="shared" si="338"/>
        <v>0</v>
      </c>
      <c r="AT221" s="18">
        <f t="shared" si="338"/>
        <v>0</v>
      </c>
      <c r="AU221" s="18">
        <f t="shared" si="338"/>
        <v>0</v>
      </c>
      <c r="AV221" s="18">
        <f t="shared" si="338"/>
        <v>0</v>
      </c>
      <c r="AW221" s="18">
        <f t="shared" si="338"/>
        <v>0</v>
      </c>
      <c r="AX221" s="18">
        <f t="shared" si="338"/>
        <v>0</v>
      </c>
      <c r="AY221" s="18">
        <f t="shared" si="338"/>
        <v>0</v>
      </c>
      <c r="AZ221" s="18">
        <f t="shared" si="338"/>
        <v>0</v>
      </c>
      <c r="BA221" s="18">
        <f t="shared" si="338"/>
        <v>0</v>
      </c>
      <c r="BB221" s="18">
        <f t="shared" si="338"/>
        <v>0</v>
      </c>
      <c r="BC221" s="18">
        <f t="shared" si="338"/>
        <v>0</v>
      </c>
      <c r="BD221" s="18">
        <f t="shared" si="338"/>
        <v>0</v>
      </c>
      <c r="BE221" s="18">
        <f t="shared" si="338"/>
        <v>0</v>
      </c>
      <c r="BF221" s="18">
        <f t="shared" si="338"/>
        <v>0</v>
      </c>
      <c r="BG221" s="18">
        <f t="shared" si="338"/>
        <v>0</v>
      </c>
      <c r="BH221" s="18">
        <f t="shared" si="338"/>
        <v>0</v>
      </c>
      <c r="BI221" s="18">
        <f t="shared" si="338"/>
        <v>0</v>
      </c>
      <c r="BJ221" s="18">
        <f t="shared" si="338"/>
        <v>0</v>
      </c>
      <c r="BK221" s="18">
        <f t="shared" si="338"/>
        <v>0</v>
      </c>
      <c r="BL221" s="18">
        <f t="shared" si="338"/>
        <v>0</v>
      </c>
      <c r="BM221" s="18">
        <f t="shared" si="338"/>
        <v>0</v>
      </c>
      <c r="BN221" s="18">
        <f t="shared" ref="BN221:CB221" si="339">BN43*BN117</f>
        <v>0</v>
      </c>
      <c r="BO221" s="18">
        <f t="shared" si="339"/>
        <v>0</v>
      </c>
      <c r="BP221" s="18">
        <f t="shared" si="339"/>
        <v>0</v>
      </c>
      <c r="BQ221" s="18">
        <f t="shared" si="339"/>
        <v>0</v>
      </c>
      <c r="BR221" s="18">
        <f t="shared" si="339"/>
        <v>0</v>
      </c>
      <c r="BS221" s="18">
        <f t="shared" si="339"/>
        <v>0</v>
      </c>
      <c r="BT221" s="18">
        <f t="shared" si="339"/>
        <v>0</v>
      </c>
      <c r="BU221" s="18">
        <f t="shared" si="339"/>
        <v>0</v>
      </c>
      <c r="BV221" s="18">
        <f t="shared" si="339"/>
        <v>0</v>
      </c>
      <c r="BW221" s="18">
        <f t="shared" si="339"/>
        <v>0</v>
      </c>
      <c r="BX221" s="18">
        <f t="shared" si="339"/>
        <v>0</v>
      </c>
      <c r="BY221" s="18">
        <f t="shared" si="339"/>
        <v>0</v>
      </c>
      <c r="BZ221" s="18">
        <f t="shared" si="339"/>
        <v>0</v>
      </c>
      <c r="CA221" s="18">
        <f t="shared" si="339"/>
        <v>0</v>
      </c>
      <c r="CB221" s="18">
        <f t="shared" si="339"/>
        <v>0</v>
      </c>
      <c r="CC221" s="17"/>
      <c r="CD221" s="17"/>
      <c r="CE221" s="17"/>
      <c r="CH221" s="5"/>
      <c r="CI221" s="11"/>
      <c r="CJ221" s="11"/>
      <c r="CK221" s="11"/>
      <c r="CL221" s="11"/>
      <c r="CM221" s="11"/>
      <c r="CN221" s="11"/>
      <c r="CO221" s="11"/>
      <c r="CP221" s="11"/>
      <c r="CQ221" s="11"/>
      <c r="CR221" s="11"/>
      <c r="CS221" s="11"/>
      <c r="CT221" s="11"/>
      <c r="CU221" s="11"/>
      <c r="CV221" s="11"/>
      <c r="CW221" s="11"/>
      <c r="CX221" s="11"/>
      <c r="CY221" s="11"/>
      <c r="CZ221" s="11"/>
      <c r="DA221" s="11"/>
      <c r="DB221" s="11"/>
      <c r="DC221" s="11"/>
      <c r="DD221" s="11"/>
      <c r="DE221" s="11"/>
      <c r="DF221" s="11"/>
      <c r="DG221" s="11"/>
      <c r="DH221" s="11"/>
      <c r="DI221" s="11"/>
      <c r="DJ221" s="11"/>
      <c r="DK221" s="11"/>
      <c r="DL221" s="11"/>
      <c r="DM221" s="11"/>
      <c r="DN221" s="11"/>
      <c r="DO221" s="11"/>
      <c r="DP221" s="11"/>
      <c r="DQ221" s="11"/>
      <c r="DR221" s="11"/>
      <c r="DS221" s="11"/>
      <c r="DT221" s="11"/>
      <c r="DU221" s="11"/>
      <c r="DV221" s="11"/>
      <c r="DW221" s="11"/>
      <c r="DX221" s="11"/>
      <c r="DY221" s="11"/>
      <c r="DZ221" s="11"/>
      <c r="EA221" s="11"/>
      <c r="EB221" s="11"/>
      <c r="EC221" s="11"/>
      <c r="ED221" s="11"/>
    </row>
    <row r="222" spans="1:134">
      <c r="A222" s="18" t="str">
        <f>A45</f>
        <v>Bond 8</v>
      </c>
      <c r="B222" s="18">
        <f t="shared" ref="B222:BM222" si="340">B45*B122</f>
        <v>5.0014034480870134E-2</v>
      </c>
      <c r="C222" s="18">
        <f t="shared" si="340"/>
        <v>5.0058123247865793E-2</v>
      </c>
      <c r="D222" s="18">
        <f t="shared" si="340"/>
        <v>5.0114889236256267E-2</v>
      </c>
      <c r="E222" s="18">
        <f t="shared" si="340"/>
        <v>5.0181725923129798E-2</v>
      </c>
      <c r="F222" s="18">
        <f t="shared" si="340"/>
        <v>5.0253976105642612E-2</v>
      </c>
      <c r="G222" s="18">
        <f t="shared" si="340"/>
        <v>5.0330418362433404E-2</v>
      </c>
      <c r="H222" s="18">
        <f t="shared" si="340"/>
        <v>5.0406909109834336E-2</v>
      </c>
      <c r="I222" s="18">
        <f t="shared" si="340"/>
        <v>5.0482971712436819E-2</v>
      </c>
      <c r="J222" s="18">
        <f t="shared" si="340"/>
        <v>5.0555037854664801E-2</v>
      </c>
      <c r="K222" s="18">
        <f t="shared" si="340"/>
        <v>101.29598907189876</v>
      </c>
      <c r="L222" s="18">
        <f t="shared" si="340"/>
        <v>0</v>
      </c>
      <c r="M222" s="18">
        <f t="shared" si="340"/>
        <v>0</v>
      </c>
      <c r="N222" s="18">
        <f t="shared" si="340"/>
        <v>0</v>
      </c>
      <c r="O222" s="18">
        <f t="shared" si="340"/>
        <v>0</v>
      </c>
      <c r="P222" s="18">
        <f t="shared" si="340"/>
        <v>0</v>
      </c>
      <c r="Q222" s="18">
        <f t="shared" si="340"/>
        <v>0</v>
      </c>
      <c r="R222" s="18">
        <f t="shared" si="340"/>
        <v>0</v>
      </c>
      <c r="S222" s="18">
        <f t="shared" si="340"/>
        <v>0</v>
      </c>
      <c r="T222" s="18">
        <f t="shared" si="340"/>
        <v>0</v>
      </c>
      <c r="U222" s="18">
        <f t="shared" si="340"/>
        <v>0</v>
      </c>
      <c r="V222" s="18">
        <f t="shared" si="340"/>
        <v>0</v>
      </c>
      <c r="W222" s="18">
        <f t="shared" si="340"/>
        <v>0</v>
      </c>
      <c r="X222" s="18">
        <f t="shared" si="340"/>
        <v>0</v>
      </c>
      <c r="Y222" s="18">
        <f t="shared" si="340"/>
        <v>0</v>
      </c>
      <c r="Z222" s="18">
        <f t="shared" si="340"/>
        <v>0</v>
      </c>
      <c r="AA222" s="18">
        <f t="shared" si="340"/>
        <v>0</v>
      </c>
      <c r="AB222" s="18">
        <f t="shared" si="340"/>
        <v>0</v>
      </c>
      <c r="AC222" s="18">
        <f t="shared" si="340"/>
        <v>0</v>
      </c>
      <c r="AD222" s="18">
        <f t="shared" si="340"/>
        <v>0</v>
      </c>
      <c r="AE222" s="18">
        <f t="shared" si="340"/>
        <v>0</v>
      </c>
      <c r="AF222" s="18">
        <f t="shared" si="340"/>
        <v>0</v>
      </c>
      <c r="AG222" s="18">
        <f t="shared" si="340"/>
        <v>0</v>
      </c>
      <c r="AH222" s="18">
        <f t="shared" si="340"/>
        <v>0</v>
      </c>
      <c r="AI222" s="18">
        <f t="shared" si="340"/>
        <v>0</v>
      </c>
      <c r="AJ222" s="18">
        <f t="shared" si="340"/>
        <v>0</v>
      </c>
      <c r="AK222" s="18">
        <f t="shared" si="340"/>
        <v>0</v>
      </c>
      <c r="AL222" s="18">
        <f t="shared" si="340"/>
        <v>0</v>
      </c>
      <c r="AM222" s="18">
        <f t="shared" si="340"/>
        <v>0</v>
      </c>
      <c r="AN222" s="18">
        <f t="shared" si="340"/>
        <v>0</v>
      </c>
      <c r="AO222" s="18">
        <f t="shared" si="340"/>
        <v>0</v>
      </c>
      <c r="AP222" s="18">
        <f t="shared" si="340"/>
        <v>0</v>
      </c>
      <c r="AQ222" s="18">
        <f t="shared" si="340"/>
        <v>0</v>
      </c>
      <c r="AR222" s="18">
        <f t="shared" si="340"/>
        <v>0</v>
      </c>
      <c r="AS222" s="18">
        <f t="shared" si="340"/>
        <v>0</v>
      </c>
      <c r="AT222" s="18">
        <f t="shared" si="340"/>
        <v>0</v>
      </c>
      <c r="AU222" s="18">
        <f t="shared" si="340"/>
        <v>0</v>
      </c>
      <c r="AV222" s="18">
        <f t="shared" si="340"/>
        <v>0</v>
      </c>
      <c r="AW222" s="18">
        <f t="shared" si="340"/>
        <v>0</v>
      </c>
      <c r="AX222" s="18">
        <f t="shared" si="340"/>
        <v>0</v>
      </c>
      <c r="AY222" s="18">
        <f t="shared" si="340"/>
        <v>0</v>
      </c>
      <c r="AZ222" s="18">
        <f t="shared" si="340"/>
        <v>0</v>
      </c>
      <c r="BA222" s="18">
        <f t="shared" si="340"/>
        <v>0</v>
      </c>
      <c r="BB222" s="18">
        <f t="shared" si="340"/>
        <v>0</v>
      </c>
      <c r="BC222" s="18">
        <f t="shared" si="340"/>
        <v>0</v>
      </c>
      <c r="BD222" s="18">
        <f t="shared" si="340"/>
        <v>0</v>
      </c>
      <c r="BE222" s="18">
        <f t="shared" si="340"/>
        <v>0</v>
      </c>
      <c r="BF222" s="18">
        <f t="shared" si="340"/>
        <v>0</v>
      </c>
      <c r="BG222" s="18">
        <f t="shared" si="340"/>
        <v>0</v>
      </c>
      <c r="BH222" s="18">
        <f t="shared" si="340"/>
        <v>0</v>
      </c>
      <c r="BI222" s="18">
        <f t="shared" si="340"/>
        <v>0</v>
      </c>
      <c r="BJ222" s="18">
        <f t="shared" si="340"/>
        <v>0</v>
      </c>
      <c r="BK222" s="18">
        <f t="shared" si="340"/>
        <v>0</v>
      </c>
      <c r="BL222" s="18">
        <f t="shared" si="340"/>
        <v>0</v>
      </c>
      <c r="BM222" s="18">
        <f t="shared" si="340"/>
        <v>0</v>
      </c>
      <c r="BN222" s="18">
        <f t="shared" ref="BN222:CB222" si="341">BN45*BN122</f>
        <v>0</v>
      </c>
      <c r="BO222" s="18">
        <f t="shared" si="341"/>
        <v>0</v>
      </c>
      <c r="BP222" s="18">
        <f t="shared" si="341"/>
        <v>0</v>
      </c>
      <c r="BQ222" s="18">
        <f t="shared" si="341"/>
        <v>0</v>
      </c>
      <c r="BR222" s="18">
        <f t="shared" si="341"/>
        <v>0</v>
      </c>
      <c r="BS222" s="18">
        <f t="shared" si="341"/>
        <v>0</v>
      </c>
      <c r="BT222" s="18">
        <f t="shared" si="341"/>
        <v>0</v>
      </c>
      <c r="BU222" s="18">
        <f t="shared" si="341"/>
        <v>0</v>
      </c>
      <c r="BV222" s="18">
        <f t="shared" si="341"/>
        <v>0</v>
      </c>
      <c r="BW222" s="18">
        <f t="shared" si="341"/>
        <v>0</v>
      </c>
      <c r="BX222" s="18">
        <f t="shared" si="341"/>
        <v>0</v>
      </c>
      <c r="BY222" s="18">
        <f t="shared" si="341"/>
        <v>0</v>
      </c>
      <c r="BZ222" s="18">
        <f t="shared" si="341"/>
        <v>0</v>
      </c>
      <c r="CA222" s="18">
        <f t="shared" si="341"/>
        <v>0</v>
      </c>
      <c r="CB222" s="18">
        <f t="shared" si="341"/>
        <v>0</v>
      </c>
      <c r="CC222" s="17"/>
      <c r="CD222" s="17"/>
      <c r="CE222" s="17"/>
      <c r="CH222" s="5"/>
      <c r="CI222" s="11"/>
      <c r="CJ222" s="11"/>
      <c r="CK222" s="11"/>
      <c r="CL222" s="11"/>
      <c r="CM222" s="11"/>
      <c r="CN222" s="11"/>
      <c r="CO222" s="11"/>
      <c r="CP222" s="11"/>
      <c r="CQ222" s="11"/>
      <c r="CR222" s="11"/>
      <c r="CS222" s="11"/>
      <c r="CT222" s="11"/>
      <c r="CU222" s="11"/>
      <c r="CV222" s="11"/>
      <c r="CW222" s="11"/>
      <c r="CX222" s="11"/>
      <c r="CY222" s="11"/>
      <c r="CZ222" s="11"/>
      <c r="DA222" s="11"/>
      <c r="DB222" s="11"/>
      <c r="DC222" s="11"/>
      <c r="DD222" s="11"/>
      <c r="DE222" s="11"/>
      <c r="DF222" s="11"/>
      <c r="DG222" s="11"/>
      <c r="DH222" s="11"/>
      <c r="DI222" s="11"/>
      <c r="DJ222" s="11"/>
      <c r="DK222" s="11"/>
      <c r="DL222" s="11"/>
      <c r="DM222" s="11"/>
      <c r="DN222" s="11"/>
      <c r="DO222" s="11"/>
      <c r="DP222" s="11"/>
      <c r="DQ222" s="11"/>
      <c r="DR222" s="11"/>
      <c r="DS222" s="11"/>
      <c r="DT222" s="11"/>
      <c r="DU222" s="11"/>
      <c r="DV222" s="11"/>
      <c r="DW222" s="11"/>
      <c r="DX222" s="11"/>
      <c r="DY222" s="11"/>
      <c r="DZ222" s="11"/>
      <c r="EA222" s="11"/>
      <c r="EB222" s="11"/>
      <c r="EC222" s="11"/>
      <c r="ED222" s="11"/>
    </row>
    <row r="223" spans="1:134">
      <c r="A223" s="18" t="str">
        <f>A47</f>
        <v>Bond 9</v>
      </c>
      <c r="B223" s="18">
        <f t="shared" ref="B223:BM223" si="342">B47*B127</f>
        <v>0.20005613792348054</v>
      </c>
      <c r="C223" s="18">
        <f t="shared" si="342"/>
        <v>0.20023249299146317</v>
      </c>
      <c r="D223" s="18">
        <f t="shared" si="342"/>
        <v>0.20045955694502507</v>
      </c>
      <c r="E223" s="18">
        <f t="shared" si="342"/>
        <v>0.20072690369251919</v>
      </c>
      <c r="F223" s="18">
        <f t="shared" si="342"/>
        <v>0.20101590442257045</v>
      </c>
      <c r="G223" s="18">
        <f t="shared" si="342"/>
        <v>0.20132167344973362</v>
      </c>
      <c r="H223" s="18">
        <f t="shared" si="342"/>
        <v>0.20162763643933734</v>
      </c>
      <c r="I223" s="18">
        <f t="shared" si="342"/>
        <v>0.20193188684974728</v>
      </c>
      <c r="J223" s="18">
        <f t="shared" si="342"/>
        <v>0.20222015141865921</v>
      </c>
      <c r="K223" s="18">
        <f t="shared" si="342"/>
        <v>0.20249073277740881</v>
      </c>
      <c r="L223" s="18">
        <f t="shared" si="342"/>
        <v>0.20273489023288671</v>
      </c>
      <c r="M223" s="18">
        <f t="shared" si="342"/>
        <v>101.67866762260343</v>
      </c>
      <c r="N223" s="18">
        <f t="shared" si="342"/>
        <v>0</v>
      </c>
      <c r="O223" s="18">
        <f t="shared" si="342"/>
        <v>0</v>
      </c>
      <c r="P223" s="18">
        <f t="shared" si="342"/>
        <v>0</v>
      </c>
      <c r="Q223" s="18">
        <f t="shared" si="342"/>
        <v>0</v>
      </c>
      <c r="R223" s="18">
        <f t="shared" si="342"/>
        <v>0</v>
      </c>
      <c r="S223" s="18">
        <f t="shared" si="342"/>
        <v>0</v>
      </c>
      <c r="T223" s="18">
        <f t="shared" si="342"/>
        <v>0</v>
      </c>
      <c r="U223" s="18">
        <f t="shared" si="342"/>
        <v>0</v>
      </c>
      <c r="V223" s="18">
        <f t="shared" si="342"/>
        <v>0</v>
      </c>
      <c r="W223" s="18">
        <f t="shared" si="342"/>
        <v>0</v>
      </c>
      <c r="X223" s="18">
        <f t="shared" si="342"/>
        <v>0</v>
      </c>
      <c r="Y223" s="18">
        <f t="shared" si="342"/>
        <v>0</v>
      </c>
      <c r="Z223" s="18">
        <f t="shared" si="342"/>
        <v>0</v>
      </c>
      <c r="AA223" s="18">
        <f t="shared" si="342"/>
        <v>0</v>
      </c>
      <c r="AB223" s="18">
        <f t="shared" si="342"/>
        <v>0</v>
      </c>
      <c r="AC223" s="18">
        <f t="shared" si="342"/>
        <v>0</v>
      </c>
      <c r="AD223" s="18">
        <f t="shared" si="342"/>
        <v>0</v>
      </c>
      <c r="AE223" s="18">
        <f t="shared" si="342"/>
        <v>0</v>
      </c>
      <c r="AF223" s="18">
        <f t="shared" si="342"/>
        <v>0</v>
      </c>
      <c r="AG223" s="18">
        <f t="shared" si="342"/>
        <v>0</v>
      </c>
      <c r="AH223" s="18">
        <f t="shared" si="342"/>
        <v>0</v>
      </c>
      <c r="AI223" s="18">
        <f t="shared" si="342"/>
        <v>0</v>
      </c>
      <c r="AJ223" s="18">
        <f t="shared" si="342"/>
        <v>0</v>
      </c>
      <c r="AK223" s="18">
        <f t="shared" si="342"/>
        <v>0</v>
      </c>
      <c r="AL223" s="18">
        <f t="shared" si="342"/>
        <v>0</v>
      </c>
      <c r="AM223" s="18">
        <f t="shared" si="342"/>
        <v>0</v>
      </c>
      <c r="AN223" s="18">
        <f t="shared" si="342"/>
        <v>0</v>
      </c>
      <c r="AO223" s="18">
        <f t="shared" si="342"/>
        <v>0</v>
      </c>
      <c r="AP223" s="18">
        <f t="shared" si="342"/>
        <v>0</v>
      </c>
      <c r="AQ223" s="18">
        <f t="shared" si="342"/>
        <v>0</v>
      </c>
      <c r="AR223" s="18">
        <f t="shared" si="342"/>
        <v>0</v>
      </c>
      <c r="AS223" s="18">
        <f t="shared" si="342"/>
        <v>0</v>
      </c>
      <c r="AT223" s="18">
        <f t="shared" si="342"/>
        <v>0</v>
      </c>
      <c r="AU223" s="18">
        <f t="shared" si="342"/>
        <v>0</v>
      </c>
      <c r="AV223" s="18">
        <f t="shared" si="342"/>
        <v>0</v>
      </c>
      <c r="AW223" s="18">
        <f t="shared" si="342"/>
        <v>0</v>
      </c>
      <c r="AX223" s="18">
        <f t="shared" si="342"/>
        <v>0</v>
      </c>
      <c r="AY223" s="18">
        <f t="shared" si="342"/>
        <v>0</v>
      </c>
      <c r="AZ223" s="18">
        <f t="shared" si="342"/>
        <v>0</v>
      </c>
      <c r="BA223" s="18">
        <f t="shared" si="342"/>
        <v>0</v>
      </c>
      <c r="BB223" s="18">
        <f t="shared" si="342"/>
        <v>0</v>
      </c>
      <c r="BC223" s="18">
        <f t="shared" si="342"/>
        <v>0</v>
      </c>
      <c r="BD223" s="18">
        <f t="shared" si="342"/>
        <v>0</v>
      </c>
      <c r="BE223" s="18">
        <f t="shared" si="342"/>
        <v>0</v>
      </c>
      <c r="BF223" s="18">
        <f t="shared" si="342"/>
        <v>0</v>
      </c>
      <c r="BG223" s="18">
        <f t="shared" si="342"/>
        <v>0</v>
      </c>
      <c r="BH223" s="18">
        <f t="shared" si="342"/>
        <v>0</v>
      </c>
      <c r="BI223" s="18">
        <f t="shared" si="342"/>
        <v>0</v>
      </c>
      <c r="BJ223" s="18">
        <f t="shared" si="342"/>
        <v>0</v>
      </c>
      <c r="BK223" s="18">
        <f t="shared" si="342"/>
        <v>0</v>
      </c>
      <c r="BL223" s="18">
        <f t="shared" si="342"/>
        <v>0</v>
      </c>
      <c r="BM223" s="18">
        <f t="shared" si="342"/>
        <v>0</v>
      </c>
      <c r="BN223" s="18">
        <f t="shared" ref="BN223:CB223" si="343">BN47*BN127</f>
        <v>0</v>
      </c>
      <c r="BO223" s="18">
        <f t="shared" si="343"/>
        <v>0</v>
      </c>
      <c r="BP223" s="18">
        <f t="shared" si="343"/>
        <v>0</v>
      </c>
      <c r="BQ223" s="18">
        <f t="shared" si="343"/>
        <v>0</v>
      </c>
      <c r="BR223" s="18">
        <f t="shared" si="343"/>
        <v>0</v>
      </c>
      <c r="BS223" s="18">
        <f t="shared" si="343"/>
        <v>0</v>
      </c>
      <c r="BT223" s="18">
        <f t="shared" si="343"/>
        <v>0</v>
      </c>
      <c r="BU223" s="18">
        <f t="shared" si="343"/>
        <v>0</v>
      </c>
      <c r="BV223" s="18">
        <f t="shared" si="343"/>
        <v>0</v>
      </c>
      <c r="BW223" s="18">
        <f t="shared" si="343"/>
        <v>0</v>
      </c>
      <c r="BX223" s="18">
        <f t="shared" si="343"/>
        <v>0</v>
      </c>
      <c r="BY223" s="18">
        <f t="shared" si="343"/>
        <v>0</v>
      </c>
      <c r="BZ223" s="18">
        <f t="shared" si="343"/>
        <v>0</v>
      </c>
      <c r="CA223" s="18">
        <f t="shared" si="343"/>
        <v>0</v>
      </c>
      <c r="CB223" s="18">
        <f t="shared" si="343"/>
        <v>0</v>
      </c>
      <c r="CC223" s="17"/>
      <c r="CD223" s="17"/>
      <c r="CE223" s="17"/>
      <c r="CH223" s="5"/>
      <c r="CI223" s="11"/>
      <c r="CJ223" s="11"/>
      <c r="CK223" s="11"/>
      <c r="CL223" s="11"/>
      <c r="CM223" s="11"/>
      <c r="CN223" s="11"/>
      <c r="CO223" s="11"/>
      <c r="CP223" s="11"/>
      <c r="CQ223" s="11"/>
      <c r="CR223" s="11"/>
      <c r="CS223" s="11"/>
      <c r="CT223" s="11"/>
      <c r="CU223" s="11"/>
      <c r="CV223" s="11"/>
      <c r="CW223" s="11"/>
      <c r="CX223" s="11"/>
      <c r="CY223" s="11"/>
      <c r="CZ223" s="11"/>
      <c r="DA223" s="11"/>
      <c r="DB223" s="11"/>
      <c r="DC223" s="11"/>
      <c r="DD223" s="11"/>
      <c r="DE223" s="11"/>
      <c r="DF223" s="11"/>
      <c r="DG223" s="11"/>
      <c r="DH223" s="11"/>
      <c r="DI223" s="11"/>
      <c r="DJ223" s="11"/>
      <c r="DK223" s="11"/>
      <c r="DL223" s="11"/>
      <c r="DM223" s="11"/>
      <c r="DN223" s="11"/>
      <c r="DO223" s="11"/>
      <c r="DP223" s="11"/>
      <c r="DQ223" s="11"/>
      <c r="DR223" s="11"/>
      <c r="DS223" s="11"/>
      <c r="DT223" s="11"/>
      <c r="DU223" s="11"/>
      <c r="DV223" s="11"/>
      <c r="DW223" s="11"/>
      <c r="DX223" s="11"/>
      <c r="DY223" s="11"/>
      <c r="DZ223" s="11"/>
      <c r="EA223" s="11"/>
      <c r="EB223" s="11"/>
      <c r="EC223" s="11"/>
      <c r="ED223" s="11"/>
    </row>
    <row r="224" spans="1:134">
      <c r="A224" s="18" t="str">
        <f>A49</f>
        <v>Bond 10</v>
      </c>
      <c r="B224" s="18">
        <f t="shared" ref="B224:BM224" si="344">B49*B132</f>
        <v>5.0034204095664891E-2</v>
      </c>
      <c r="C224" s="18">
        <f t="shared" si="344"/>
        <v>5.0084972437461461E-2</v>
      </c>
      <c r="D224" s="18">
        <f t="shared" si="344"/>
        <v>5.01471483692068E-2</v>
      </c>
      <c r="E224" s="18">
        <f t="shared" si="344"/>
        <v>5.0217066950566436E-2</v>
      </c>
      <c r="F224" s="18">
        <f t="shared" si="344"/>
        <v>5.0291723889424558E-2</v>
      </c>
      <c r="G224" s="18">
        <f t="shared" si="344"/>
        <v>5.0368479780967271E-2</v>
      </c>
      <c r="H224" s="18">
        <f t="shared" si="344"/>
        <v>5.0445017207640233E-2</v>
      </c>
      <c r="I224" s="18">
        <f t="shared" si="344"/>
        <v>5.0519303783575359E-2</v>
      </c>
      <c r="J224" s="18">
        <f t="shared" si="344"/>
        <v>5.0589560143813529E-2</v>
      </c>
      <c r="K224" s="18">
        <f t="shared" si="344"/>
        <v>5.0653890784623137E-2</v>
      </c>
      <c r="L224" s="18">
        <f t="shared" si="344"/>
        <v>5.0711666791437883E-2</v>
      </c>
      <c r="M224" s="18">
        <f t="shared" si="344"/>
        <v>5.0761336914933342E-2</v>
      </c>
      <c r="N224" s="18">
        <f t="shared" si="344"/>
        <v>5.0801886713031236E-2</v>
      </c>
      <c r="O224" s="18">
        <f t="shared" si="344"/>
        <v>101.71572365540288</v>
      </c>
      <c r="P224" s="18">
        <f t="shared" si="344"/>
        <v>0</v>
      </c>
      <c r="Q224" s="18">
        <f t="shared" si="344"/>
        <v>0</v>
      </c>
      <c r="R224" s="18">
        <f t="shared" si="344"/>
        <v>0</v>
      </c>
      <c r="S224" s="18">
        <f t="shared" si="344"/>
        <v>0</v>
      </c>
      <c r="T224" s="18">
        <f t="shared" si="344"/>
        <v>0</v>
      </c>
      <c r="U224" s="18">
        <f t="shared" si="344"/>
        <v>0</v>
      </c>
      <c r="V224" s="18">
        <f t="shared" si="344"/>
        <v>0</v>
      </c>
      <c r="W224" s="18">
        <f t="shared" si="344"/>
        <v>0</v>
      </c>
      <c r="X224" s="18">
        <f t="shared" si="344"/>
        <v>0</v>
      </c>
      <c r="Y224" s="18">
        <f t="shared" si="344"/>
        <v>0</v>
      </c>
      <c r="Z224" s="18">
        <f t="shared" si="344"/>
        <v>0</v>
      </c>
      <c r="AA224" s="18">
        <f t="shared" si="344"/>
        <v>0</v>
      </c>
      <c r="AB224" s="18">
        <f t="shared" si="344"/>
        <v>0</v>
      </c>
      <c r="AC224" s="18">
        <f t="shared" si="344"/>
        <v>0</v>
      </c>
      <c r="AD224" s="18">
        <f t="shared" si="344"/>
        <v>0</v>
      </c>
      <c r="AE224" s="18">
        <f t="shared" si="344"/>
        <v>0</v>
      </c>
      <c r="AF224" s="18">
        <f t="shared" si="344"/>
        <v>0</v>
      </c>
      <c r="AG224" s="18">
        <f t="shared" si="344"/>
        <v>0</v>
      </c>
      <c r="AH224" s="18">
        <f t="shared" si="344"/>
        <v>0</v>
      </c>
      <c r="AI224" s="18">
        <f t="shared" si="344"/>
        <v>0</v>
      </c>
      <c r="AJ224" s="18">
        <f t="shared" si="344"/>
        <v>0</v>
      </c>
      <c r="AK224" s="18">
        <f t="shared" si="344"/>
        <v>0</v>
      </c>
      <c r="AL224" s="18">
        <f t="shared" si="344"/>
        <v>0</v>
      </c>
      <c r="AM224" s="18">
        <f t="shared" si="344"/>
        <v>0</v>
      </c>
      <c r="AN224" s="18">
        <f t="shared" si="344"/>
        <v>0</v>
      </c>
      <c r="AO224" s="18">
        <f t="shared" si="344"/>
        <v>0</v>
      </c>
      <c r="AP224" s="18">
        <f t="shared" si="344"/>
        <v>0</v>
      </c>
      <c r="AQ224" s="18">
        <f t="shared" si="344"/>
        <v>0</v>
      </c>
      <c r="AR224" s="18">
        <f t="shared" si="344"/>
        <v>0</v>
      </c>
      <c r="AS224" s="18">
        <f t="shared" si="344"/>
        <v>0</v>
      </c>
      <c r="AT224" s="18">
        <f t="shared" si="344"/>
        <v>0</v>
      </c>
      <c r="AU224" s="18">
        <f t="shared" si="344"/>
        <v>0</v>
      </c>
      <c r="AV224" s="18">
        <f t="shared" si="344"/>
        <v>0</v>
      </c>
      <c r="AW224" s="18">
        <f t="shared" si="344"/>
        <v>0</v>
      </c>
      <c r="AX224" s="18">
        <f t="shared" si="344"/>
        <v>0</v>
      </c>
      <c r="AY224" s="18">
        <f t="shared" si="344"/>
        <v>0</v>
      </c>
      <c r="AZ224" s="18">
        <f t="shared" si="344"/>
        <v>0</v>
      </c>
      <c r="BA224" s="18">
        <f t="shared" si="344"/>
        <v>0</v>
      </c>
      <c r="BB224" s="18">
        <f t="shared" si="344"/>
        <v>0</v>
      </c>
      <c r="BC224" s="18">
        <f t="shared" si="344"/>
        <v>0</v>
      </c>
      <c r="BD224" s="18">
        <f t="shared" si="344"/>
        <v>0</v>
      </c>
      <c r="BE224" s="18">
        <f t="shared" si="344"/>
        <v>0</v>
      </c>
      <c r="BF224" s="18">
        <f t="shared" si="344"/>
        <v>0</v>
      </c>
      <c r="BG224" s="18">
        <f t="shared" si="344"/>
        <v>0</v>
      </c>
      <c r="BH224" s="18">
        <f t="shared" si="344"/>
        <v>0</v>
      </c>
      <c r="BI224" s="18">
        <f t="shared" si="344"/>
        <v>0</v>
      </c>
      <c r="BJ224" s="18">
        <f t="shared" si="344"/>
        <v>0</v>
      </c>
      <c r="BK224" s="18">
        <f t="shared" si="344"/>
        <v>0</v>
      </c>
      <c r="BL224" s="18">
        <f t="shared" si="344"/>
        <v>0</v>
      </c>
      <c r="BM224" s="18">
        <f t="shared" si="344"/>
        <v>0</v>
      </c>
      <c r="BN224" s="18">
        <f t="shared" ref="BN224:CB224" si="345">BN49*BN132</f>
        <v>0</v>
      </c>
      <c r="BO224" s="18">
        <f t="shared" si="345"/>
        <v>0</v>
      </c>
      <c r="BP224" s="18">
        <f t="shared" si="345"/>
        <v>0</v>
      </c>
      <c r="BQ224" s="18">
        <f t="shared" si="345"/>
        <v>0</v>
      </c>
      <c r="BR224" s="18">
        <f t="shared" si="345"/>
        <v>0</v>
      </c>
      <c r="BS224" s="18">
        <f t="shared" si="345"/>
        <v>0</v>
      </c>
      <c r="BT224" s="18">
        <f t="shared" si="345"/>
        <v>0</v>
      </c>
      <c r="BU224" s="18">
        <f t="shared" si="345"/>
        <v>0</v>
      </c>
      <c r="BV224" s="18">
        <f t="shared" si="345"/>
        <v>0</v>
      </c>
      <c r="BW224" s="18">
        <f t="shared" si="345"/>
        <v>0</v>
      </c>
      <c r="BX224" s="18">
        <f t="shared" si="345"/>
        <v>0</v>
      </c>
      <c r="BY224" s="18">
        <f t="shared" si="345"/>
        <v>0</v>
      </c>
      <c r="BZ224" s="18">
        <f t="shared" si="345"/>
        <v>0</v>
      </c>
      <c r="CA224" s="18">
        <f t="shared" si="345"/>
        <v>0</v>
      </c>
      <c r="CB224" s="18">
        <f t="shared" si="345"/>
        <v>0</v>
      </c>
      <c r="CC224" s="17"/>
      <c r="CD224" s="17"/>
      <c r="CE224" s="17"/>
      <c r="CH224" s="5"/>
      <c r="CI224" s="11"/>
      <c r="CJ224" s="11"/>
      <c r="CK224" s="11"/>
      <c r="CL224" s="11"/>
      <c r="CM224" s="11"/>
      <c r="CN224" s="11"/>
      <c r="CO224" s="11"/>
      <c r="CP224" s="11"/>
      <c r="CQ224" s="11"/>
      <c r="CR224" s="11"/>
      <c r="CS224" s="11"/>
      <c r="CT224" s="11"/>
      <c r="CU224" s="11"/>
      <c r="CV224" s="11"/>
      <c r="CW224" s="11"/>
      <c r="CX224" s="11"/>
      <c r="CY224" s="11"/>
      <c r="CZ224" s="11"/>
      <c r="DA224" s="11"/>
      <c r="DB224" s="11"/>
      <c r="DC224" s="11"/>
      <c r="DD224" s="11"/>
      <c r="DE224" s="11"/>
      <c r="DF224" s="11"/>
      <c r="DG224" s="11"/>
      <c r="DH224" s="11"/>
      <c r="DI224" s="11"/>
      <c r="DJ224" s="11"/>
      <c r="DK224" s="11"/>
      <c r="DL224" s="11"/>
      <c r="DM224" s="11"/>
      <c r="DN224" s="11"/>
      <c r="DO224" s="11"/>
      <c r="DP224" s="11"/>
      <c r="DQ224" s="11"/>
      <c r="DR224" s="11"/>
      <c r="DS224" s="11"/>
      <c r="DT224" s="11"/>
      <c r="DU224" s="11"/>
      <c r="DV224" s="11"/>
      <c r="DW224" s="11"/>
      <c r="DX224" s="11"/>
      <c r="DY224" s="11"/>
      <c r="DZ224" s="11"/>
      <c r="EA224" s="11"/>
      <c r="EB224" s="11"/>
      <c r="EC224" s="11"/>
      <c r="ED224" s="11"/>
    </row>
    <row r="225" spans="1:256">
      <c r="A225" s="18" t="str">
        <f>A51</f>
        <v>Bond 11</v>
      </c>
      <c r="B225" s="18">
        <f t="shared" ref="B225:BM225" si="346">B51*B137</f>
        <v>5.0014034480870134E-2</v>
      </c>
      <c r="C225" s="18">
        <f t="shared" si="346"/>
        <v>5.0058123247865793E-2</v>
      </c>
      <c r="D225" s="18">
        <f t="shared" si="346"/>
        <v>5.0114889236256267E-2</v>
      </c>
      <c r="E225" s="18">
        <f t="shared" si="346"/>
        <v>5.0181725923129798E-2</v>
      </c>
      <c r="F225" s="18">
        <f t="shared" si="346"/>
        <v>5.0253976105642612E-2</v>
      </c>
      <c r="G225" s="18">
        <f t="shared" si="346"/>
        <v>5.0330418362433404E-2</v>
      </c>
      <c r="H225" s="18">
        <f t="shared" si="346"/>
        <v>5.0406909109834336E-2</v>
      </c>
      <c r="I225" s="18">
        <f t="shared" si="346"/>
        <v>5.0482971712436819E-2</v>
      </c>
      <c r="J225" s="18">
        <f t="shared" si="346"/>
        <v>5.0555037854664801E-2</v>
      </c>
      <c r="K225" s="18">
        <f t="shared" si="346"/>
        <v>5.0622683194352203E-2</v>
      </c>
      <c r="L225" s="18">
        <f t="shared" si="346"/>
        <v>5.0683722558221678E-2</v>
      </c>
      <c r="M225" s="18">
        <f t="shared" si="346"/>
        <v>5.0737858095111492E-2</v>
      </c>
      <c r="N225" s="18">
        <f t="shared" si="346"/>
        <v>5.078280945532071E-2</v>
      </c>
      <c r="O225" s="18">
        <f t="shared" si="346"/>
        <v>5.0818634013946651E-2</v>
      </c>
      <c r="P225" s="18">
        <f t="shared" si="346"/>
        <v>5.0843742056296708E-2</v>
      </c>
      <c r="Q225" s="18">
        <f t="shared" si="346"/>
        <v>101.76687367218051</v>
      </c>
      <c r="R225" s="18">
        <f t="shared" si="346"/>
        <v>0</v>
      </c>
      <c r="S225" s="18">
        <f t="shared" si="346"/>
        <v>0</v>
      </c>
      <c r="T225" s="18">
        <f t="shared" si="346"/>
        <v>0</v>
      </c>
      <c r="U225" s="18">
        <f t="shared" si="346"/>
        <v>0</v>
      </c>
      <c r="V225" s="18">
        <f t="shared" si="346"/>
        <v>0</v>
      </c>
      <c r="W225" s="18">
        <f t="shared" si="346"/>
        <v>0</v>
      </c>
      <c r="X225" s="18">
        <f t="shared" si="346"/>
        <v>0</v>
      </c>
      <c r="Y225" s="18">
        <f t="shared" si="346"/>
        <v>0</v>
      </c>
      <c r="Z225" s="18">
        <f t="shared" si="346"/>
        <v>0</v>
      </c>
      <c r="AA225" s="18">
        <f t="shared" si="346"/>
        <v>0</v>
      </c>
      <c r="AB225" s="18">
        <f t="shared" si="346"/>
        <v>0</v>
      </c>
      <c r="AC225" s="18">
        <f t="shared" si="346"/>
        <v>0</v>
      </c>
      <c r="AD225" s="18">
        <f t="shared" si="346"/>
        <v>0</v>
      </c>
      <c r="AE225" s="18">
        <f t="shared" si="346"/>
        <v>0</v>
      </c>
      <c r="AF225" s="18">
        <f t="shared" si="346"/>
        <v>0</v>
      </c>
      <c r="AG225" s="18">
        <f t="shared" si="346"/>
        <v>0</v>
      </c>
      <c r="AH225" s="18">
        <f t="shared" si="346"/>
        <v>0</v>
      </c>
      <c r="AI225" s="18">
        <f t="shared" si="346"/>
        <v>0</v>
      </c>
      <c r="AJ225" s="18">
        <f t="shared" si="346"/>
        <v>0</v>
      </c>
      <c r="AK225" s="18">
        <f t="shared" si="346"/>
        <v>0</v>
      </c>
      <c r="AL225" s="18">
        <f t="shared" si="346"/>
        <v>0</v>
      </c>
      <c r="AM225" s="18">
        <f t="shared" si="346"/>
        <v>0</v>
      </c>
      <c r="AN225" s="18">
        <f t="shared" si="346"/>
        <v>0</v>
      </c>
      <c r="AO225" s="18">
        <f t="shared" si="346"/>
        <v>0</v>
      </c>
      <c r="AP225" s="18">
        <f t="shared" si="346"/>
        <v>0</v>
      </c>
      <c r="AQ225" s="18">
        <f t="shared" si="346"/>
        <v>0</v>
      </c>
      <c r="AR225" s="18">
        <f t="shared" si="346"/>
        <v>0</v>
      </c>
      <c r="AS225" s="18">
        <f t="shared" si="346"/>
        <v>0</v>
      </c>
      <c r="AT225" s="18">
        <f t="shared" si="346"/>
        <v>0</v>
      </c>
      <c r="AU225" s="18">
        <f t="shared" si="346"/>
        <v>0</v>
      </c>
      <c r="AV225" s="18">
        <f t="shared" si="346"/>
        <v>0</v>
      </c>
      <c r="AW225" s="18">
        <f t="shared" si="346"/>
        <v>0</v>
      </c>
      <c r="AX225" s="18">
        <f t="shared" si="346"/>
        <v>0</v>
      </c>
      <c r="AY225" s="18">
        <f t="shared" si="346"/>
        <v>0</v>
      </c>
      <c r="AZ225" s="18">
        <f t="shared" si="346"/>
        <v>0</v>
      </c>
      <c r="BA225" s="18">
        <f t="shared" si="346"/>
        <v>0</v>
      </c>
      <c r="BB225" s="18">
        <f t="shared" si="346"/>
        <v>0</v>
      </c>
      <c r="BC225" s="18">
        <f t="shared" si="346"/>
        <v>0</v>
      </c>
      <c r="BD225" s="18">
        <f t="shared" si="346"/>
        <v>0</v>
      </c>
      <c r="BE225" s="18">
        <f t="shared" si="346"/>
        <v>0</v>
      </c>
      <c r="BF225" s="18">
        <f t="shared" si="346"/>
        <v>0</v>
      </c>
      <c r="BG225" s="18">
        <f t="shared" si="346"/>
        <v>0</v>
      </c>
      <c r="BH225" s="18">
        <f t="shared" si="346"/>
        <v>0</v>
      </c>
      <c r="BI225" s="18">
        <f t="shared" si="346"/>
        <v>0</v>
      </c>
      <c r="BJ225" s="18">
        <f t="shared" si="346"/>
        <v>0</v>
      </c>
      <c r="BK225" s="18">
        <f t="shared" si="346"/>
        <v>0</v>
      </c>
      <c r="BL225" s="18">
        <f t="shared" si="346"/>
        <v>0</v>
      </c>
      <c r="BM225" s="18">
        <f t="shared" si="346"/>
        <v>0</v>
      </c>
      <c r="BN225" s="18">
        <f t="shared" ref="BN225:CB225" si="347">BN51*BN137</f>
        <v>0</v>
      </c>
      <c r="BO225" s="18">
        <f t="shared" si="347"/>
        <v>0</v>
      </c>
      <c r="BP225" s="18">
        <f t="shared" si="347"/>
        <v>0</v>
      </c>
      <c r="BQ225" s="18">
        <f t="shared" si="347"/>
        <v>0</v>
      </c>
      <c r="BR225" s="18">
        <f t="shared" si="347"/>
        <v>0</v>
      </c>
      <c r="BS225" s="18">
        <f t="shared" si="347"/>
        <v>0</v>
      </c>
      <c r="BT225" s="18">
        <f t="shared" si="347"/>
        <v>0</v>
      </c>
      <c r="BU225" s="18">
        <f t="shared" si="347"/>
        <v>0</v>
      </c>
      <c r="BV225" s="18">
        <f t="shared" si="347"/>
        <v>0</v>
      </c>
      <c r="BW225" s="18">
        <f t="shared" si="347"/>
        <v>0</v>
      </c>
      <c r="BX225" s="18">
        <f t="shared" si="347"/>
        <v>0</v>
      </c>
      <c r="BY225" s="18">
        <f t="shared" si="347"/>
        <v>0</v>
      </c>
      <c r="BZ225" s="18">
        <f t="shared" si="347"/>
        <v>0</v>
      </c>
      <c r="CA225" s="18">
        <f t="shared" si="347"/>
        <v>0</v>
      </c>
      <c r="CB225" s="18">
        <f t="shared" si="347"/>
        <v>0</v>
      </c>
      <c r="CC225" s="17"/>
      <c r="CD225" s="17"/>
      <c r="CE225" s="17"/>
      <c r="CH225" s="5"/>
      <c r="CI225" s="11"/>
      <c r="CJ225" s="11"/>
      <c r="CK225" s="11"/>
      <c r="CL225" s="11"/>
      <c r="CM225" s="11"/>
      <c r="CN225" s="11"/>
      <c r="CO225" s="11"/>
      <c r="CP225" s="11"/>
      <c r="CQ225" s="11"/>
      <c r="CR225" s="11"/>
      <c r="CS225" s="11"/>
      <c r="CT225" s="11"/>
      <c r="CU225" s="11"/>
      <c r="CV225" s="11"/>
      <c r="CW225" s="11"/>
      <c r="CX225" s="11"/>
      <c r="CY225" s="11"/>
      <c r="CZ225" s="11"/>
      <c r="DA225" s="11"/>
      <c r="DB225" s="11"/>
      <c r="DC225" s="11"/>
      <c r="DD225" s="11"/>
      <c r="DE225" s="11"/>
      <c r="DF225" s="11"/>
      <c r="DG225" s="11"/>
      <c r="DH225" s="11"/>
      <c r="DI225" s="11"/>
      <c r="DJ225" s="11"/>
      <c r="DK225" s="11"/>
      <c r="DL225" s="11"/>
      <c r="DM225" s="11"/>
      <c r="DN225" s="11"/>
      <c r="DO225" s="11"/>
      <c r="DP225" s="11"/>
      <c r="DQ225" s="11"/>
      <c r="DR225" s="11"/>
      <c r="DS225" s="11"/>
      <c r="DT225" s="11"/>
      <c r="DU225" s="11"/>
      <c r="DV225" s="11"/>
      <c r="DW225" s="11"/>
      <c r="DX225" s="11"/>
      <c r="DY225" s="11"/>
      <c r="DZ225" s="11"/>
      <c r="EA225" s="11"/>
      <c r="EB225" s="11"/>
      <c r="EC225" s="11"/>
      <c r="ED225" s="11"/>
    </row>
    <row r="226" spans="1:256">
      <c r="A226" s="18" t="str">
        <f>A53</f>
        <v>Bond 12</v>
      </c>
      <c r="B226" s="18">
        <f t="shared" ref="B226:BM226" si="348">B53*B142</f>
        <v>5.0014034480870134E-2</v>
      </c>
      <c r="C226" s="18">
        <f t="shared" si="348"/>
        <v>5.0058123247865793E-2</v>
      </c>
      <c r="D226" s="18">
        <f t="shared" si="348"/>
        <v>5.0114889236256267E-2</v>
      </c>
      <c r="E226" s="18">
        <f t="shared" si="348"/>
        <v>5.0181725923129798E-2</v>
      </c>
      <c r="F226" s="18">
        <f t="shared" si="348"/>
        <v>5.0253976105642612E-2</v>
      </c>
      <c r="G226" s="18">
        <f t="shared" si="348"/>
        <v>5.0330418362433404E-2</v>
      </c>
      <c r="H226" s="18">
        <f t="shared" si="348"/>
        <v>5.0406909109834336E-2</v>
      </c>
      <c r="I226" s="18">
        <f t="shared" si="348"/>
        <v>5.0482971712436819E-2</v>
      </c>
      <c r="J226" s="18">
        <f t="shared" si="348"/>
        <v>5.0555037854664801E-2</v>
      </c>
      <c r="K226" s="18">
        <f t="shared" si="348"/>
        <v>5.0622683194352203E-2</v>
      </c>
      <c r="L226" s="18">
        <f t="shared" si="348"/>
        <v>5.0683722558221678E-2</v>
      </c>
      <c r="M226" s="18">
        <f t="shared" si="348"/>
        <v>5.0737858095111492E-2</v>
      </c>
      <c r="N226" s="18">
        <f t="shared" si="348"/>
        <v>5.078280945532071E-2</v>
      </c>
      <c r="O226" s="18">
        <f t="shared" si="348"/>
        <v>5.0818634013946651E-2</v>
      </c>
      <c r="P226" s="18">
        <f t="shared" si="348"/>
        <v>5.0843742056296708E-2</v>
      </c>
      <c r="Q226" s="18">
        <f t="shared" si="348"/>
        <v>5.0858007832174174E-2</v>
      </c>
      <c r="R226" s="18">
        <f t="shared" si="348"/>
        <v>5.0860548288556934E-2</v>
      </c>
      <c r="S226" s="18">
        <f t="shared" si="348"/>
        <v>101.75291247792337</v>
      </c>
      <c r="T226" s="18">
        <f t="shared" si="348"/>
        <v>0</v>
      </c>
      <c r="U226" s="18">
        <f t="shared" si="348"/>
        <v>0</v>
      </c>
      <c r="V226" s="18">
        <f t="shared" si="348"/>
        <v>0</v>
      </c>
      <c r="W226" s="18">
        <f t="shared" si="348"/>
        <v>0</v>
      </c>
      <c r="X226" s="18">
        <f t="shared" si="348"/>
        <v>0</v>
      </c>
      <c r="Y226" s="18">
        <f t="shared" si="348"/>
        <v>0</v>
      </c>
      <c r="Z226" s="18">
        <f t="shared" si="348"/>
        <v>0</v>
      </c>
      <c r="AA226" s="18">
        <f t="shared" si="348"/>
        <v>0</v>
      </c>
      <c r="AB226" s="18">
        <f t="shared" si="348"/>
        <v>0</v>
      </c>
      <c r="AC226" s="18">
        <f t="shared" si="348"/>
        <v>0</v>
      </c>
      <c r="AD226" s="18">
        <f t="shared" si="348"/>
        <v>0</v>
      </c>
      <c r="AE226" s="18">
        <f t="shared" si="348"/>
        <v>0</v>
      </c>
      <c r="AF226" s="18">
        <f t="shared" si="348"/>
        <v>0</v>
      </c>
      <c r="AG226" s="18">
        <f t="shared" si="348"/>
        <v>0</v>
      </c>
      <c r="AH226" s="18">
        <f t="shared" si="348"/>
        <v>0</v>
      </c>
      <c r="AI226" s="18">
        <f t="shared" si="348"/>
        <v>0</v>
      </c>
      <c r="AJ226" s="18">
        <f t="shared" si="348"/>
        <v>0</v>
      </c>
      <c r="AK226" s="18">
        <f t="shared" si="348"/>
        <v>0</v>
      </c>
      <c r="AL226" s="18">
        <f t="shared" si="348"/>
        <v>0</v>
      </c>
      <c r="AM226" s="18">
        <f t="shared" si="348"/>
        <v>0</v>
      </c>
      <c r="AN226" s="18">
        <f t="shared" si="348"/>
        <v>0</v>
      </c>
      <c r="AO226" s="18">
        <f t="shared" si="348"/>
        <v>0</v>
      </c>
      <c r="AP226" s="18">
        <f t="shared" si="348"/>
        <v>0</v>
      </c>
      <c r="AQ226" s="18">
        <f t="shared" si="348"/>
        <v>0</v>
      </c>
      <c r="AR226" s="18">
        <f t="shared" si="348"/>
        <v>0</v>
      </c>
      <c r="AS226" s="18">
        <f t="shared" si="348"/>
        <v>0</v>
      </c>
      <c r="AT226" s="18">
        <f t="shared" si="348"/>
        <v>0</v>
      </c>
      <c r="AU226" s="18">
        <f t="shared" si="348"/>
        <v>0</v>
      </c>
      <c r="AV226" s="18">
        <f t="shared" si="348"/>
        <v>0</v>
      </c>
      <c r="AW226" s="18">
        <f t="shared" si="348"/>
        <v>0</v>
      </c>
      <c r="AX226" s="18">
        <f t="shared" si="348"/>
        <v>0</v>
      </c>
      <c r="AY226" s="18">
        <f t="shared" si="348"/>
        <v>0</v>
      </c>
      <c r="AZ226" s="18">
        <f t="shared" si="348"/>
        <v>0</v>
      </c>
      <c r="BA226" s="18">
        <f t="shared" si="348"/>
        <v>0</v>
      </c>
      <c r="BB226" s="18">
        <f t="shared" si="348"/>
        <v>0</v>
      </c>
      <c r="BC226" s="18">
        <f t="shared" si="348"/>
        <v>0</v>
      </c>
      <c r="BD226" s="18">
        <f t="shared" si="348"/>
        <v>0</v>
      </c>
      <c r="BE226" s="18">
        <f t="shared" si="348"/>
        <v>0</v>
      </c>
      <c r="BF226" s="18">
        <f t="shared" si="348"/>
        <v>0</v>
      </c>
      <c r="BG226" s="18">
        <f t="shared" si="348"/>
        <v>0</v>
      </c>
      <c r="BH226" s="18">
        <f t="shared" si="348"/>
        <v>0</v>
      </c>
      <c r="BI226" s="18">
        <f t="shared" si="348"/>
        <v>0</v>
      </c>
      <c r="BJ226" s="18">
        <f t="shared" si="348"/>
        <v>0</v>
      </c>
      <c r="BK226" s="18">
        <f t="shared" si="348"/>
        <v>0</v>
      </c>
      <c r="BL226" s="18">
        <f t="shared" si="348"/>
        <v>0</v>
      </c>
      <c r="BM226" s="18">
        <f t="shared" si="348"/>
        <v>0</v>
      </c>
      <c r="BN226" s="18">
        <f t="shared" ref="BN226:CB226" si="349">BN53*BN142</f>
        <v>0</v>
      </c>
      <c r="BO226" s="18">
        <f t="shared" si="349"/>
        <v>0</v>
      </c>
      <c r="BP226" s="18">
        <f t="shared" si="349"/>
        <v>0</v>
      </c>
      <c r="BQ226" s="18">
        <f t="shared" si="349"/>
        <v>0</v>
      </c>
      <c r="BR226" s="18">
        <f t="shared" si="349"/>
        <v>0</v>
      </c>
      <c r="BS226" s="18">
        <f t="shared" si="349"/>
        <v>0</v>
      </c>
      <c r="BT226" s="18">
        <f t="shared" si="349"/>
        <v>0</v>
      </c>
      <c r="BU226" s="18">
        <f t="shared" si="349"/>
        <v>0</v>
      </c>
      <c r="BV226" s="18">
        <f t="shared" si="349"/>
        <v>0</v>
      </c>
      <c r="BW226" s="18">
        <f t="shared" si="349"/>
        <v>0</v>
      </c>
      <c r="BX226" s="18">
        <f t="shared" si="349"/>
        <v>0</v>
      </c>
      <c r="BY226" s="18">
        <f t="shared" si="349"/>
        <v>0</v>
      </c>
      <c r="BZ226" s="18">
        <f t="shared" si="349"/>
        <v>0</v>
      </c>
      <c r="CA226" s="18">
        <f t="shared" si="349"/>
        <v>0</v>
      </c>
      <c r="CB226" s="18">
        <f t="shared" si="349"/>
        <v>0</v>
      </c>
      <c r="CC226" s="17"/>
      <c r="CD226" s="17"/>
      <c r="CE226" s="17"/>
      <c r="CH226" s="5"/>
      <c r="CI226" s="11"/>
      <c r="CJ226" s="11"/>
      <c r="CK226" s="11"/>
      <c r="CL226" s="11"/>
      <c r="CM226" s="11"/>
      <c r="CN226" s="11"/>
      <c r="CO226" s="11"/>
      <c r="CP226" s="11"/>
      <c r="CQ226" s="11"/>
      <c r="CR226" s="11"/>
      <c r="CS226" s="11"/>
      <c r="CT226" s="11"/>
      <c r="CU226" s="11"/>
      <c r="CV226" s="11"/>
      <c r="CW226" s="11"/>
      <c r="CX226" s="11"/>
      <c r="CY226" s="11"/>
      <c r="CZ226" s="11"/>
      <c r="DA226" s="11"/>
      <c r="DB226" s="11"/>
      <c r="DC226" s="11"/>
      <c r="DD226" s="11"/>
      <c r="DE226" s="11"/>
      <c r="DF226" s="11"/>
      <c r="DG226" s="11"/>
      <c r="DH226" s="11"/>
      <c r="DI226" s="11"/>
      <c r="DJ226" s="11"/>
      <c r="DK226" s="11"/>
      <c r="DL226" s="11"/>
      <c r="DM226" s="11"/>
      <c r="DN226" s="11"/>
      <c r="DO226" s="11"/>
      <c r="DP226" s="11"/>
      <c r="DQ226" s="11"/>
      <c r="DR226" s="11"/>
      <c r="DS226" s="11"/>
      <c r="DT226" s="11"/>
      <c r="DU226" s="11"/>
      <c r="DV226" s="11"/>
      <c r="DW226" s="11"/>
      <c r="DX226" s="11"/>
      <c r="DY226" s="11"/>
      <c r="DZ226" s="11"/>
      <c r="EA226" s="11"/>
      <c r="EB226" s="11"/>
      <c r="EC226" s="11"/>
      <c r="ED226" s="11"/>
    </row>
    <row r="227" spans="1:256">
      <c r="A227" s="18" t="str">
        <f>A55</f>
        <v>Bond 13</v>
      </c>
      <c r="B227" s="18">
        <f t="shared" ref="B227:BM227" si="350">B55*B147</f>
        <v>5.0014034480870134E-2</v>
      </c>
      <c r="C227" s="18">
        <f t="shared" si="350"/>
        <v>5.0058123247865793E-2</v>
      </c>
      <c r="D227" s="18">
        <f t="shared" si="350"/>
        <v>5.0114889236256267E-2</v>
      </c>
      <c r="E227" s="18">
        <f t="shared" si="350"/>
        <v>5.0181725923129798E-2</v>
      </c>
      <c r="F227" s="18">
        <f t="shared" si="350"/>
        <v>5.0253976105642612E-2</v>
      </c>
      <c r="G227" s="18">
        <f t="shared" si="350"/>
        <v>5.0330418362433404E-2</v>
      </c>
      <c r="H227" s="18">
        <f t="shared" si="350"/>
        <v>5.0406909109834336E-2</v>
      </c>
      <c r="I227" s="18">
        <f t="shared" si="350"/>
        <v>5.0482971712436819E-2</v>
      </c>
      <c r="J227" s="18">
        <f t="shared" si="350"/>
        <v>5.0555037854664801E-2</v>
      </c>
      <c r="K227" s="18">
        <f t="shared" si="350"/>
        <v>5.0622683194352203E-2</v>
      </c>
      <c r="L227" s="18">
        <f t="shared" si="350"/>
        <v>5.0683722558221678E-2</v>
      </c>
      <c r="M227" s="18">
        <f t="shared" si="350"/>
        <v>5.0737858095111492E-2</v>
      </c>
      <c r="N227" s="18">
        <f t="shared" si="350"/>
        <v>5.078280945532071E-2</v>
      </c>
      <c r="O227" s="18">
        <f t="shared" si="350"/>
        <v>5.0818634013946651E-2</v>
      </c>
      <c r="P227" s="18">
        <f t="shared" si="350"/>
        <v>5.0843742056296708E-2</v>
      </c>
      <c r="Q227" s="18">
        <f t="shared" si="350"/>
        <v>5.0858007832174174E-2</v>
      </c>
      <c r="R227" s="18">
        <f t="shared" si="350"/>
        <v>5.0860548288556934E-2</v>
      </c>
      <c r="S227" s="18">
        <f t="shared" si="350"/>
        <v>5.0851030723599894E-2</v>
      </c>
      <c r="T227" s="18">
        <f t="shared" si="350"/>
        <v>5.0829180547032761E-2</v>
      </c>
      <c r="U227" s="18">
        <f t="shared" si="350"/>
        <v>101.63923520868747</v>
      </c>
      <c r="V227" s="18">
        <f t="shared" si="350"/>
        <v>0</v>
      </c>
      <c r="W227" s="18">
        <f t="shared" si="350"/>
        <v>0</v>
      </c>
      <c r="X227" s="18">
        <f t="shared" si="350"/>
        <v>0</v>
      </c>
      <c r="Y227" s="18">
        <f t="shared" si="350"/>
        <v>0</v>
      </c>
      <c r="Z227" s="18">
        <f t="shared" si="350"/>
        <v>0</v>
      </c>
      <c r="AA227" s="18">
        <f t="shared" si="350"/>
        <v>0</v>
      </c>
      <c r="AB227" s="18">
        <f t="shared" si="350"/>
        <v>0</v>
      </c>
      <c r="AC227" s="18">
        <f t="shared" si="350"/>
        <v>0</v>
      </c>
      <c r="AD227" s="18">
        <f t="shared" si="350"/>
        <v>0</v>
      </c>
      <c r="AE227" s="18">
        <f t="shared" si="350"/>
        <v>0</v>
      </c>
      <c r="AF227" s="18">
        <f t="shared" si="350"/>
        <v>0</v>
      </c>
      <c r="AG227" s="18">
        <f t="shared" si="350"/>
        <v>0</v>
      </c>
      <c r="AH227" s="18">
        <f t="shared" si="350"/>
        <v>0</v>
      </c>
      <c r="AI227" s="18">
        <f t="shared" si="350"/>
        <v>0</v>
      </c>
      <c r="AJ227" s="18">
        <f t="shared" si="350"/>
        <v>0</v>
      </c>
      <c r="AK227" s="18">
        <f t="shared" si="350"/>
        <v>0</v>
      </c>
      <c r="AL227" s="18">
        <f t="shared" si="350"/>
        <v>0</v>
      </c>
      <c r="AM227" s="18">
        <f t="shared" si="350"/>
        <v>0</v>
      </c>
      <c r="AN227" s="18">
        <f t="shared" si="350"/>
        <v>0</v>
      </c>
      <c r="AO227" s="18">
        <f t="shared" si="350"/>
        <v>0</v>
      </c>
      <c r="AP227" s="18">
        <f t="shared" si="350"/>
        <v>0</v>
      </c>
      <c r="AQ227" s="18">
        <f t="shared" si="350"/>
        <v>0</v>
      </c>
      <c r="AR227" s="18">
        <f t="shared" si="350"/>
        <v>0</v>
      </c>
      <c r="AS227" s="18">
        <f t="shared" si="350"/>
        <v>0</v>
      </c>
      <c r="AT227" s="18">
        <f t="shared" si="350"/>
        <v>0</v>
      </c>
      <c r="AU227" s="18">
        <f t="shared" si="350"/>
        <v>0</v>
      </c>
      <c r="AV227" s="18">
        <f t="shared" si="350"/>
        <v>0</v>
      </c>
      <c r="AW227" s="18">
        <f t="shared" si="350"/>
        <v>0</v>
      </c>
      <c r="AX227" s="18">
        <f t="shared" si="350"/>
        <v>0</v>
      </c>
      <c r="AY227" s="18">
        <f t="shared" si="350"/>
        <v>0</v>
      </c>
      <c r="AZ227" s="18">
        <f t="shared" si="350"/>
        <v>0</v>
      </c>
      <c r="BA227" s="18">
        <f t="shared" si="350"/>
        <v>0</v>
      </c>
      <c r="BB227" s="18">
        <f t="shared" si="350"/>
        <v>0</v>
      </c>
      <c r="BC227" s="18">
        <f t="shared" si="350"/>
        <v>0</v>
      </c>
      <c r="BD227" s="18">
        <f t="shared" si="350"/>
        <v>0</v>
      </c>
      <c r="BE227" s="18">
        <f t="shared" si="350"/>
        <v>0</v>
      </c>
      <c r="BF227" s="18">
        <f t="shared" si="350"/>
        <v>0</v>
      </c>
      <c r="BG227" s="18">
        <f t="shared" si="350"/>
        <v>0</v>
      </c>
      <c r="BH227" s="18">
        <f t="shared" si="350"/>
        <v>0</v>
      </c>
      <c r="BI227" s="18">
        <f t="shared" si="350"/>
        <v>0</v>
      </c>
      <c r="BJ227" s="18">
        <f t="shared" si="350"/>
        <v>0</v>
      </c>
      <c r="BK227" s="18">
        <f t="shared" si="350"/>
        <v>0</v>
      </c>
      <c r="BL227" s="18">
        <f t="shared" si="350"/>
        <v>0</v>
      </c>
      <c r="BM227" s="18">
        <f t="shared" si="350"/>
        <v>0</v>
      </c>
      <c r="BN227" s="18">
        <f t="shared" ref="BN227:CB227" si="351">BN55*BN147</f>
        <v>0</v>
      </c>
      <c r="BO227" s="18">
        <f t="shared" si="351"/>
        <v>0</v>
      </c>
      <c r="BP227" s="18">
        <f t="shared" si="351"/>
        <v>0</v>
      </c>
      <c r="BQ227" s="18">
        <f t="shared" si="351"/>
        <v>0</v>
      </c>
      <c r="BR227" s="18">
        <f t="shared" si="351"/>
        <v>0</v>
      </c>
      <c r="BS227" s="18">
        <f t="shared" si="351"/>
        <v>0</v>
      </c>
      <c r="BT227" s="18">
        <f t="shared" si="351"/>
        <v>0</v>
      </c>
      <c r="BU227" s="18">
        <f t="shared" si="351"/>
        <v>0</v>
      </c>
      <c r="BV227" s="18">
        <f t="shared" si="351"/>
        <v>0</v>
      </c>
      <c r="BW227" s="18">
        <f t="shared" si="351"/>
        <v>0</v>
      </c>
      <c r="BX227" s="18">
        <f t="shared" si="351"/>
        <v>0</v>
      </c>
      <c r="BY227" s="18">
        <f t="shared" si="351"/>
        <v>0</v>
      </c>
      <c r="BZ227" s="18">
        <f t="shared" si="351"/>
        <v>0</v>
      </c>
      <c r="CA227" s="18">
        <f t="shared" si="351"/>
        <v>0</v>
      </c>
      <c r="CB227" s="18">
        <f t="shared" si="351"/>
        <v>0</v>
      </c>
      <c r="CC227" s="17"/>
      <c r="CD227" s="17"/>
      <c r="CE227" s="17"/>
      <c r="CH227" s="5"/>
      <c r="CI227" s="11"/>
      <c r="CJ227" s="11"/>
      <c r="CK227" s="11"/>
      <c r="CL227" s="11"/>
      <c r="CM227" s="11"/>
      <c r="CN227" s="11"/>
      <c r="CO227" s="11"/>
      <c r="CP227" s="11"/>
      <c r="CQ227" s="11"/>
      <c r="CR227" s="11"/>
      <c r="CS227" s="11"/>
      <c r="CT227" s="11"/>
      <c r="CU227" s="11"/>
      <c r="CV227" s="11"/>
      <c r="CW227" s="11"/>
      <c r="CX227" s="11"/>
      <c r="CY227" s="11"/>
      <c r="CZ227" s="11"/>
      <c r="DA227" s="11"/>
      <c r="DB227" s="11"/>
      <c r="DC227" s="11"/>
      <c r="DD227" s="11"/>
      <c r="DE227" s="11"/>
      <c r="DF227" s="11"/>
      <c r="DG227" s="11"/>
      <c r="DH227" s="11"/>
      <c r="DI227" s="11"/>
      <c r="DJ227" s="11"/>
      <c r="DK227" s="11"/>
      <c r="DL227" s="11"/>
      <c r="DM227" s="11"/>
      <c r="DN227" s="11"/>
      <c r="DO227" s="11"/>
      <c r="DP227" s="11"/>
      <c r="DQ227" s="11"/>
      <c r="DR227" s="11"/>
      <c r="DS227" s="11"/>
      <c r="DT227" s="11"/>
      <c r="DU227" s="11"/>
      <c r="DV227" s="11"/>
      <c r="DW227" s="11"/>
      <c r="DX227" s="11"/>
      <c r="DY227" s="11"/>
      <c r="DZ227" s="11"/>
      <c r="EA227" s="11"/>
      <c r="EB227" s="11"/>
      <c r="EC227" s="11"/>
      <c r="ED227" s="11"/>
    </row>
    <row r="228" spans="1:256">
      <c r="A228" s="18" t="str">
        <f>A57</f>
        <v>Bond 14</v>
      </c>
      <c r="B228" s="18">
        <f t="shared" ref="B228:BM228" si="352">B57*B152</f>
        <v>0.75021051721305199</v>
      </c>
      <c r="C228" s="18">
        <f t="shared" si="352"/>
        <v>0.75087184871798685</v>
      </c>
      <c r="D228" s="18">
        <f t="shared" si="352"/>
        <v>0.75172333854384399</v>
      </c>
      <c r="E228" s="18">
        <f t="shared" si="352"/>
        <v>0.75272588884694691</v>
      </c>
      <c r="F228" s="18">
        <f t="shared" si="352"/>
        <v>0.75380964158463915</v>
      </c>
      <c r="G228" s="18">
        <f t="shared" si="352"/>
        <v>0.75495627543650112</v>
      </c>
      <c r="H228" s="18">
        <f t="shared" si="352"/>
        <v>0.7561036366475149</v>
      </c>
      <c r="I228" s="18">
        <f t="shared" si="352"/>
        <v>0.75724457568655223</v>
      </c>
      <c r="J228" s="18">
        <f t="shared" si="352"/>
        <v>0.75832556781997196</v>
      </c>
      <c r="K228" s="18">
        <f t="shared" si="352"/>
        <v>0.7593402479152831</v>
      </c>
      <c r="L228" s="18">
        <f t="shared" si="352"/>
        <v>0.76025583837332511</v>
      </c>
      <c r="M228" s="18">
        <f t="shared" si="352"/>
        <v>0.76106787142667232</v>
      </c>
      <c r="N228" s="18">
        <f t="shared" si="352"/>
        <v>0.7617421418298107</v>
      </c>
      <c r="O228" s="18">
        <f t="shared" si="352"/>
        <v>0.76227951020919971</v>
      </c>
      <c r="P228" s="18">
        <f t="shared" si="352"/>
        <v>0.76265613084445061</v>
      </c>
      <c r="Q228" s="18">
        <f t="shared" si="352"/>
        <v>0.76287011748261246</v>
      </c>
      <c r="R228" s="18">
        <f t="shared" si="352"/>
        <v>0.76290822432835392</v>
      </c>
      <c r="S228" s="18">
        <f t="shared" si="352"/>
        <v>0.76276546085399832</v>
      </c>
      <c r="T228" s="18">
        <f t="shared" si="352"/>
        <v>0.76243770820549139</v>
      </c>
      <c r="U228" s="18">
        <f t="shared" si="352"/>
        <v>0.76191330741145036</v>
      </c>
      <c r="V228" s="18">
        <f t="shared" si="352"/>
        <v>0.76120036954448345</v>
      </c>
      <c r="W228" s="18">
        <f t="shared" si="352"/>
        <v>0.76028040957519949</v>
      </c>
      <c r="X228" s="18">
        <f t="shared" si="352"/>
        <v>0.7591721080273478</v>
      </c>
      <c r="Y228" s="18">
        <f t="shared" si="352"/>
        <v>0.75784981434448073</v>
      </c>
      <c r="Z228" s="18">
        <f t="shared" si="352"/>
        <v>0.75634258044559444</v>
      </c>
      <c r="AA228" s="18">
        <f t="shared" si="352"/>
        <v>0.75462727937295704</v>
      </c>
      <c r="AB228" s="18">
        <f t="shared" si="352"/>
        <v>0.75272399106607013</v>
      </c>
      <c r="AC228" s="18">
        <f t="shared" si="352"/>
        <v>0.75060071159171771</v>
      </c>
      <c r="AD228" s="18">
        <f t="shared" si="352"/>
        <v>0.74830635558816716</v>
      </c>
      <c r="AE228" s="18">
        <f t="shared" si="352"/>
        <v>100.18473742215275</v>
      </c>
      <c r="AF228" s="18">
        <f t="shared" si="352"/>
        <v>0</v>
      </c>
      <c r="AG228" s="18">
        <f t="shared" si="352"/>
        <v>0</v>
      </c>
      <c r="AH228" s="18">
        <f t="shared" si="352"/>
        <v>0</v>
      </c>
      <c r="AI228" s="18">
        <f t="shared" si="352"/>
        <v>0</v>
      </c>
      <c r="AJ228" s="18">
        <f t="shared" si="352"/>
        <v>0</v>
      </c>
      <c r="AK228" s="18">
        <f t="shared" si="352"/>
        <v>0</v>
      </c>
      <c r="AL228" s="18">
        <f t="shared" si="352"/>
        <v>0</v>
      </c>
      <c r="AM228" s="18">
        <f t="shared" si="352"/>
        <v>0</v>
      </c>
      <c r="AN228" s="18">
        <f t="shared" si="352"/>
        <v>0</v>
      </c>
      <c r="AO228" s="18">
        <f t="shared" si="352"/>
        <v>0</v>
      </c>
      <c r="AP228" s="18">
        <f t="shared" si="352"/>
        <v>0</v>
      </c>
      <c r="AQ228" s="18">
        <f t="shared" si="352"/>
        <v>0</v>
      </c>
      <c r="AR228" s="18">
        <f t="shared" si="352"/>
        <v>0</v>
      </c>
      <c r="AS228" s="18">
        <f t="shared" si="352"/>
        <v>0</v>
      </c>
      <c r="AT228" s="18">
        <f t="shared" si="352"/>
        <v>0</v>
      </c>
      <c r="AU228" s="18">
        <f t="shared" si="352"/>
        <v>0</v>
      </c>
      <c r="AV228" s="18">
        <f t="shared" si="352"/>
        <v>0</v>
      </c>
      <c r="AW228" s="18">
        <f t="shared" si="352"/>
        <v>0</v>
      </c>
      <c r="AX228" s="18">
        <f t="shared" si="352"/>
        <v>0</v>
      </c>
      <c r="AY228" s="18">
        <f t="shared" si="352"/>
        <v>0</v>
      </c>
      <c r="AZ228" s="18">
        <f t="shared" si="352"/>
        <v>0</v>
      </c>
      <c r="BA228" s="18">
        <f t="shared" si="352"/>
        <v>0</v>
      </c>
      <c r="BB228" s="18">
        <f t="shared" si="352"/>
        <v>0</v>
      </c>
      <c r="BC228" s="18">
        <f t="shared" si="352"/>
        <v>0</v>
      </c>
      <c r="BD228" s="18">
        <f t="shared" si="352"/>
        <v>0</v>
      </c>
      <c r="BE228" s="18">
        <f t="shared" si="352"/>
        <v>0</v>
      </c>
      <c r="BF228" s="18">
        <f t="shared" si="352"/>
        <v>0</v>
      </c>
      <c r="BG228" s="18">
        <f t="shared" si="352"/>
        <v>0</v>
      </c>
      <c r="BH228" s="18">
        <f t="shared" si="352"/>
        <v>0</v>
      </c>
      <c r="BI228" s="18">
        <f t="shared" si="352"/>
        <v>0</v>
      </c>
      <c r="BJ228" s="18">
        <f t="shared" si="352"/>
        <v>0</v>
      </c>
      <c r="BK228" s="18">
        <f t="shared" si="352"/>
        <v>0</v>
      </c>
      <c r="BL228" s="18">
        <f t="shared" si="352"/>
        <v>0</v>
      </c>
      <c r="BM228" s="18">
        <f t="shared" si="352"/>
        <v>0</v>
      </c>
      <c r="BN228" s="18">
        <f t="shared" ref="BN228:CB228" si="353">BN57*BN152</f>
        <v>0</v>
      </c>
      <c r="BO228" s="18">
        <f t="shared" si="353"/>
        <v>0</v>
      </c>
      <c r="BP228" s="18">
        <f t="shared" si="353"/>
        <v>0</v>
      </c>
      <c r="BQ228" s="18">
        <f t="shared" si="353"/>
        <v>0</v>
      </c>
      <c r="BR228" s="18">
        <f t="shared" si="353"/>
        <v>0</v>
      </c>
      <c r="BS228" s="18">
        <f t="shared" si="353"/>
        <v>0</v>
      </c>
      <c r="BT228" s="18">
        <f t="shared" si="353"/>
        <v>0</v>
      </c>
      <c r="BU228" s="18">
        <f t="shared" si="353"/>
        <v>0</v>
      </c>
      <c r="BV228" s="18">
        <f t="shared" si="353"/>
        <v>0</v>
      </c>
      <c r="BW228" s="18">
        <f t="shared" si="353"/>
        <v>0</v>
      </c>
      <c r="BX228" s="18">
        <f t="shared" si="353"/>
        <v>0</v>
      </c>
      <c r="BY228" s="18">
        <f t="shared" si="353"/>
        <v>0</v>
      </c>
      <c r="BZ228" s="18">
        <f t="shared" si="353"/>
        <v>0</v>
      </c>
      <c r="CA228" s="18">
        <f t="shared" si="353"/>
        <v>0</v>
      </c>
      <c r="CB228" s="18">
        <f t="shared" si="353"/>
        <v>0</v>
      </c>
      <c r="CC228" s="17"/>
      <c r="CD228" s="17"/>
      <c r="CE228" s="17"/>
      <c r="CH228" s="5"/>
      <c r="CI228" s="11"/>
      <c r="CJ228" s="11"/>
      <c r="CK228" s="11"/>
      <c r="CL228" s="11"/>
      <c r="CM228" s="11"/>
      <c r="CN228" s="11"/>
      <c r="CO228" s="11"/>
      <c r="CP228" s="11"/>
      <c r="CQ228" s="11"/>
      <c r="CR228" s="11"/>
      <c r="CS228" s="11"/>
      <c r="CT228" s="11"/>
      <c r="CU228" s="11"/>
      <c r="CV228" s="11"/>
      <c r="CW228" s="11"/>
      <c r="CX228" s="11"/>
      <c r="CY228" s="11"/>
      <c r="CZ228" s="11"/>
      <c r="DA228" s="11"/>
      <c r="DB228" s="11"/>
      <c r="DC228" s="11"/>
      <c r="DD228" s="11"/>
      <c r="DE228" s="11"/>
      <c r="DF228" s="11"/>
      <c r="DG228" s="11"/>
      <c r="DH228" s="11"/>
      <c r="DI228" s="11"/>
      <c r="DJ228" s="11"/>
      <c r="DK228" s="11"/>
      <c r="DL228" s="11"/>
      <c r="DM228" s="11"/>
      <c r="DN228" s="11"/>
      <c r="DO228" s="11"/>
      <c r="DP228" s="11"/>
      <c r="DQ228" s="11"/>
      <c r="DR228" s="11"/>
      <c r="DS228" s="11"/>
      <c r="DT228" s="11"/>
      <c r="DU228" s="11"/>
      <c r="DV228" s="11"/>
      <c r="DW228" s="11"/>
      <c r="DX228" s="11"/>
      <c r="DY228" s="11"/>
      <c r="DZ228" s="11"/>
      <c r="EA228" s="11"/>
      <c r="EB228" s="11"/>
      <c r="EC228" s="11"/>
      <c r="ED228" s="11"/>
    </row>
    <row r="229" spans="1:256">
      <c r="A229" s="18" t="str">
        <f>A59</f>
        <v>Bond 15</v>
      </c>
      <c r="B229" s="18">
        <f t="shared" ref="B229:BM229" si="354">B59*B157</f>
        <v>0.20005613792348054</v>
      </c>
      <c r="C229" s="18">
        <f t="shared" si="354"/>
        <v>0.20023249299146317</v>
      </c>
      <c r="D229" s="18">
        <f t="shared" si="354"/>
        <v>0.20045955694502507</v>
      </c>
      <c r="E229" s="18">
        <f t="shared" si="354"/>
        <v>0.20072690369251919</v>
      </c>
      <c r="F229" s="18">
        <f t="shared" si="354"/>
        <v>0.20101590442257045</v>
      </c>
      <c r="G229" s="18">
        <f t="shared" si="354"/>
        <v>0.20132167344973362</v>
      </c>
      <c r="H229" s="18">
        <f t="shared" si="354"/>
        <v>0.20162763643933734</v>
      </c>
      <c r="I229" s="18">
        <f t="shared" si="354"/>
        <v>0.20193188684974728</v>
      </c>
      <c r="J229" s="18">
        <f t="shared" si="354"/>
        <v>0.20222015141865921</v>
      </c>
      <c r="K229" s="18">
        <f t="shared" si="354"/>
        <v>0.20249073277740881</v>
      </c>
      <c r="L229" s="18">
        <f t="shared" si="354"/>
        <v>0.20273489023288671</v>
      </c>
      <c r="M229" s="18">
        <f t="shared" si="354"/>
        <v>0.20295143238044597</v>
      </c>
      <c r="N229" s="18">
        <f t="shared" si="354"/>
        <v>0.20313123782128284</v>
      </c>
      <c r="O229" s="18">
        <f t="shared" si="354"/>
        <v>0.2032745360557866</v>
      </c>
      <c r="P229" s="18">
        <f t="shared" si="354"/>
        <v>0.20337496822518683</v>
      </c>
      <c r="Q229" s="18">
        <f t="shared" si="354"/>
        <v>0.20343203132869669</v>
      </c>
      <c r="R229" s="18">
        <f t="shared" si="354"/>
        <v>0.20344219315422774</v>
      </c>
      <c r="S229" s="18">
        <f t="shared" si="354"/>
        <v>0.20340412289439957</v>
      </c>
      <c r="T229" s="18">
        <f t="shared" si="354"/>
        <v>0.20331672218813104</v>
      </c>
      <c r="U229" s="18">
        <f t="shared" si="354"/>
        <v>0.20317688197638675</v>
      </c>
      <c r="V229" s="18">
        <f t="shared" si="354"/>
        <v>0.20298676521186226</v>
      </c>
      <c r="W229" s="18">
        <f t="shared" si="354"/>
        <v>0.20274144255338655</v>
      </c>
      <c r="X229" s="18">
        <f t="shared" si="354"/>
        <v>0.20244589547395941</v>
      </c>
      <c r="Y229" s="18">
        <f t="shared" si="354"/>
        <v>0.20209328382519487</v>
      </c>
      <c r="Z229" s="18">
        <f t="shared" si="354"/>
        <v>0.20169135478549186</v>
      </c>
      <c r="AA229" s="18">
        <f t="shared" si="354"/>
        <v>0.20123394116612189</v>
      </c>
      <c r="AB229" s="18">
        <f t="shared" si="354"/>
        <v>0.20072639761761871</v>
      </c>
      <c r="AC229" s="18">
        <f t="shared" si="354"/>
        <v>0.20016018975779137</v>
      </c>
      <c r="AD229" s="18">
        <f t="shared" si="354"/>
        <v>0.19954836149017793</v>
      </c>
      <c r="AE229" s="18">
        <f t="shared" si="354"/>
        <v>0.1988778906643231</v>
      </c>
      <c r="AF229" s="18">
        <f t="shared" si="354"/>
        <v>0.19816433275657519</v>
      </c>
      <c r="AG229" s="18">
        <f t="shared" si="354"/>
        <v>0.19739258074865379</v>
      </c>
      <c r="AH229" s="18">
        <f t="shared" si="354"/>
        <v>0.19658059424477625</v>
      </c>
      <c r="AI229" s="18">
        <f t="shared" si="354"/>
        <v>0.19571615155619376</v>
      </c>
      <c r="AJ229" s="18">
        <f t="shared" si="354"/>
        <v>0.19480988844725511</v>
      </c>
      <c r="AK229" s="18">
        <f t="shared" si="354"/>
        <v>0.19384732887142372</v>
      </c>
      <c r="AL229" s="18">
        <f t="shared" si="354"/>
        <v>0.19285088326959024</v>
      </c>
      <c r="AM229" s="18">
        <f t="shared" si="354"/>
        <v>0.19179948293993843</v>
      </c>
      <c r="AN229" s="18">
        <f t="shared" si="354"/>
        <v>0.19071758059146168</v>
      </c>
      <c r="AO229" s="18">
        <f t="shared" si="354"/>
        <v>94.980715911027985</v>
      </c>
      <c r="AP229" s="18">
        <f t="shared" si="354"/>
        <v>0</v>
      </c>
      <c r="AQ229" s="18">
        <f t="shared" si="354"/>
        <v>0</v>
      </c>
      <c r="AR229" s="18">
        <f t="shared" si="354"/>
        <v>0</v>
      </c>
      <c r="AS229" s="18">
        <f t="shared" si="354"/>
        <v>0</v>
      </c>
      <c r="AT229" s="18">
        <f t="shared" si="354"/>
        <v>0</v>
      </c>
      <c r="AU229" s="18">
        <f t="shared" si="354"/>
        <v>0</v>
      </c>
      <c r="AV229" s="18">
        <f t="shared" si="354"/>
        <v>0</v>
      </c>
      <c r="AW229" s="18">
        <f t="shared" si="354"/>
        <v>0</v>
      </c>
      <c r="AX229" s="18">
        <f t="shared" si="354"/>
        <v>0</v>
      </c>
      <c r="AY229" s="18">
        <f t="shared" si="354"/>
        <v>0</v>
      </c>
      <c r="AZ229" s="18">
        <f t="shared" si="354"/>
        <v>0</v>
      </c>
      <c r="BA229" s="18">
        <f t="shared" si="354"/>
        <v>0</v>
      </c>
      <c r="BB229" s="18">
        <f t="shared" si="354"/>
        <v>0</v>
      </c>
      <c r="BC229" s="18">
        <f t="shared" si="354"/>
        <v>0</v>
      </c>
      <c r="BD229" s="18">
        <f t="shared" si="354"/>
        <v>0</v>
      </c>
      <c r="BE229" s="18">
        <f t="shared" si="354"/>
        <v>0</v>
      </c>
      <c r="BF229" s="18">
        <f t="shared" si="354"/>
        <v>0</v>
      </c>
      <c r="BG229" s="18">
        <f t="shared" si="354"/>
        <v>0</v>
      </c>
      <c r="BH229" s="18">
        <f t="shared" si="354"/>
        <v>0</v>
      </c>
      <c r="BI229" s="18">
        <f t="shared" si="354"/>
        <v>0</v>
      </c>
      <c r="BJ229" s="18">
        <f t="shared" si="354"/>
        <v>0</v>
      </c>
      <c r="BK229" s="18">
        <f t="shared" si="354"/>
        <v>0</v>
      </c>
      <c r="BL229" s="18">
        <f t="shared" si="354"/>
        <v>0</v>
      </c>
      <c r="BM229" s="18">
        <f t="shared" si="354"/>
        <v>0</v>
      </c>
      <c r="BN229" s="18">
        <f t="shared" ref="BN229:CB229" si="355">BN59*BN157</f>
        <v>0</v>
      </c>
      <c r="BO229" s="18">
        <f t="shared" si="355"/>
        <v>0</v>
      </c>
      <c r="BP229" s="18">
        <f t="shared" si="355"/>
        <v>0</v>
      </c>
      <c r="BQ229" s="18">
        <f t="shared" si="355"/>
        <v>0</v>
      </c>
      <c r="BR229" s="18">
        <f t="shared" si="355"/>
        <v>0</v>
      </c>
      <c r="BS229" s="18">
        <f t="shared" si="355"/>
        <v>0</v>
      </c>
      <c r="BT229" s="18">
        <f t="shared" si="355"/>
        <v>0</v>
      </c>
      <c r="BU229" s="18">
        <f t="shared" si="355"/>
        <v>0</v>
      </c>
      <c r="BV229" s="18">
        <f t="shared" si="355"/>
        <v>0</v>
      </c>
      <c r="BW229" s="18">
        <f t="shared" si="355"/>
        <v>0</v>
      </c>
      <c r="BX229" s="18">
        <f t="shared" si="355"/>
        <v>0</v>
      </c>
      <c r="BY229" s="18">
        <f t="shared" si="355"/>
        <v>0</v>
      </c>
      <c r="BZ229" s="18">
        <f t="shared" si="355"/>
        <v>0</v>
      </c>
      <c r="CA229" s="18">
        <f t="shared" si="355"/>
        <v>0</v>
      </c>
      <c r="CB229" s="18">
        <f t="shared" si="355"/>
        <v>0</v>
      </c>
      <c r="CC229" s="17"/>
      <c r="CD229" s="17"/>
      <c r="CE229" s="17"/>
      <c r="CH229" s="5"/>
      <c r="CI229" s="11"/>
      <c r="CJ229" s="11"/>
      <c r="CK229" s="11"/>
      <c r="CL229" s="11"/>
      <c r="CM229" s="11"/>
      <c r="CN229" s="11"/>
      <c r="CO229" s="11"/>
      <c r="CP229" s="11"/>
      <c r="CQ229" s="11"/>
      <c r="CR229" s="11"/>
      <c r="CS229" s="11"/>
      <c r="CT229" s="11"/>
      <c r="CU229" s="11"/>
      <c r="CV229" s="11"/>
      <c r="CW229" s="11"/>
      <c r="CX229" s="11"/>
      <c r="CY229" s="11"/>
      <c r="CZ229" s="11"/>
      <c r="DA229" s="11"/>
      <c r="DB229" s="11"/>
      <c r="DC229" s="11"/>
      <c r="DD229" s="11"/>
      <c r="DE229" s="11"/>
      <c r="DF229" s="11"/>
      <c r="DG229" s="11"/>
      <c r="DH229" s="11"/>
      <c r="DI229" s="11"/>
      <c r="DJ229" s="11"/>
      <c r="DK229" s="11"/>
      <c r="DL229" s="11"/>
      <c r="DM229" s="11"/>
      <c r="DN229" s="11"/>
      <c r="DO229" s="11"/>
      <c r="DP229" s="11"/>
      <c r="DQ229" s="11"/>
      <c r="DR229" s="11"/>
      <c r="DS229" s="11"/>
      <c r="DT229" s="11"/>
      <c r="DU229" s="11"/>
      <c r="DV229" s="11"/>
      <c r="DW229" s="11"/>
      <c r="DX229" s="11"/>
      <c r="DY229" s="11"/>
      <c r="DZ229" s="11"/>
      <c r="EA229" s="11"/>
      <c r="EB229" s="11"/>
      <c r="EC229" s="11"/>
      <c r="ED229" s="11"/>
    </row>
    <row r="230" spans="1:256">
      <c r="A230" s="18" t="str">
        <f>A61</f>
        <v>Bond 16</v>
      </c>
      <c r="B230" s="18">
        <f t="shared" ref="B230:BM230" si="356">B61*B162</f>
        <v>0</v>
      </c>
      <c r="C230" s="18">
        <f t="shared" si="356"/>
        <v>0</v>
      </c>
      <c r="D230" s="18">
        <f t="shared" si="356"/>
        <v>0</v>
      </c>
      <c r="E230" s="18">
        <f t="shared" si="356"/>
        <v>0</v>
      </c>
      <c r="F230" s="18">
        <f t="shared" si="356"/>
        <v>0</v>
      </c>
      <c r="G230" s="18">
        <f t="shared" si="356"/>
        <v>0</v>
      </c>
      <c r="H230" s="18">
        <f t="shared" si="356"/>
        <v>0</v>
      </c>
      <c r="I230" s="18">
        <f t="shared" si="356"/>
        <v>0</v>
      </c>
      <c r="J230" s="18">
        <f t="shared" si="356"/>
        <v>0</v>
      </c>
      <c r="K230" s="18">
        <f t="shared" si="356"/>
        <v>0</v>
      </c>
      <c r="L230" s="18">
        <f t="shared" si="356"/>
        <v>0</v>
      </c>
      <c r="M230" s="18">
        <f t="shared" si="356"/>
        <v>0</v>
      </c>
      <c r="N230" s="18">
        <f t="shared" si="356"/>
        <v>0</v>
      </c>
      <c r="O230" s="18">
        <f t="shared" si="356"/>
        <v>0</v>
      </c>
      <c r="P230" s="18">
        <f t="shared" si="356"/>
        <v>0</v>
      </c>
      <c r="Q230" s="18">
        <f t="shared" si="356"/>
        <v>0</v>
      </c>
      <c r="R230" s="18">
        <f t="shared" si="356"/>
        <v>0</v>
      </c>
      <c r="S230" s="18">
        <f t="shared" si="356"/>
        <v>0</v>
      </c>
      <c r="T230" s="18">
        <f t="shared" si="356"/>
        <v>0</v>
      </c>
      <c r="U230" s="18">
        <f t="shared" si="356"/>
        <v>0</v>
      </c>
      <c r="V230" s="18">
        <f t="shared" si="356"/>
        <v>0</v>
      </c>
      <c r="W230" s="18">
        <f t="shared" si="356"/>
        <v>0</v>
      </c>
      <c r="X230" s="18">
        <f t="shared" si="356"/>
        <v>0</v>
      </c>
      <c r="Y230" s="18">
        <f t="shared" si="356"/>
        <v>0</v>
      </c>
      <c r="Z230" s="18">
        <f t="shared" si="356"/>
        <v>0</v>
      </c>
      <c r="AA230" s="18">
        <f t="shared" si="356"/>
        <v>0</v>
      </c>
      <c r="AB230" s="18">
        <f t="shared" si="356"/>
        <v>0</v>
      </c>
      <c r="AC230" s="18">
        <f t="shared" si="356"/>
        <v>0</v>
      </c>
      <c r="AD230" s="18">
        <f t="shared" si="356"/>
        <v>0</v>
      </c>
      <c r="AE230" s="18">
        <f t="shared" si="356"/>
        <v>0</v>
      </c>
      <c r="AF230" s="18">
        <f t="shared" si="356"/>
        <v>0</v>
      </c>
      <c r="AG230" s="18">
        <f t="shared" si="356"/>
        <v>0</v>
      </c>
      <c r="AH230" s="18">
        <f t="shared" si="356"/>
        <v>0</v>
      </c>
      <c r="AI230" s="18">
        <f t="shared" si="356"/>
        <v>0</v>
      </c>
      <c r="AJ230" s="18">
        <f t="shared" si="356"/>
        <v>0</v>
      </c>
      <c r="AK230" s="18">
        <f t="shared" si="356"/>
        <v>0</v>
      </c>
      <c r="AL230" s="18">
        <f t="shared" si="356"/>
        <v>0</v>
      </c>
      <c r="AM230" s="18">
        <f t="shared" si="356"/>
        <v>0</v>
      </c>
      <c r="AN230" s="18">
        <f t="shared" si="356"/>
        <v>0</v>
      </c>
      <c r="AO230" s="18">
        <f t="shared" si="356"/>
        <v>0</v>
      </c>
      <c r="AP230" s="18">
        <f t="shared" si="356"/>
        <v>0</v>
      </c>
      <c r="AQ230" s="18">
        <f t="shared" si="356"/>
        <v>0</v>
      </c>
      <c r="AR230" s="18">
        <f t="shared" si="356"/>
        <v>0</v>
      </c>
      <c r="AS230" s="18">
        <f t="shared" si="356"/>
        <v>0</v>
      </c>
      <c r="AT230" s="18">
        <f t="shared" si="356"/>
        <v>0</v>
      </c>
      <c r="AU230" s="18">
        <f t="shared" si="356"/>
        <v>0</v>
      </c>
      <c r="AV230" s="18">
        <f t="shared" si="356"/>
        <v>0</v>
      </c>
      <c r="AW230" s="18">
        <f t="shared" si="356"/>
        <v>0</v>
      </c>
      <c r="AX230" s="18">
        <f t="shared" si="356"/>
        <v>0</v>
      </c>
      <c r="AY230" s="18">
        <f t="shared" si="356"/>
        <v>0</v>
      </c>
      <c r="AZ230" s="18">
        <f t="shared" si="356"/>
        <v>0</v>
      </c>
      <c r="BA230" s="18">
        <f t="shared" si="356"/>
        <v>0</v>
      </c>
      <c r="BB230" s="18">
        <f t="shared" si="356"/>
        <v>0</v>
      </c>
      <c r="BC230" s="18">
        <f t="shared" si="356"/>
        <v>0</v>
      </c>
      <c r="BD230" s="18">
        <f t="shared" si="356"/>
        <v>0</v>
      </c>
      <c r="BE230" s="18">
        <f t="shared" si="356"/>
        <v>0</v>
      </c>
      <c r="BF230" s="18">
        <f t="shared" si="356"/>
        <v>0</v>
      </c>
      <c r="BG230" s="18">
        <f t="shared" si="356"/>
        <v>0</v>
      </c>
      <c r="BH230" s="18">
        <f t="shared" si="356"/>
        <v>0</v>
      </c>
      <c r="BI230" s="18">
        <f t="shared" si="356"/>
        <v>0</v>
      </c>
      <c r="BJ230" s="18">
        <f t="shared" si="356"/>
        <v>0</v>
      </c>
      <c r="BK230" s="18">
        <f t="shared" si="356"/>
        <v>0</v>
      </c>
      <c r="BL230" s="18">
        <f t="shared" si="356"/>
        <v>0</v>
      </c>
      <c r="BM230" s="18">
        <f t="shared" si="356"/>
        <v>0</v>
      </c>
      <c r="BN230" s="18">
        <f t="shared" ref="BN230:CB230" si="357">BN61*BN162</f>
        <v>0</v>
      </c>
      <c r="BO230" s="18">
        <f t="shared" si="357"/>
        <v>0</v>
      </c>
      <c r="BP230" s="18">
        <f t="shared" si="357"/>
        <v>0</v>
      </c>
      <c r="BQ230" s="18">
        <f t="shared" si="357"/>
        <v>0</v>
      </c>
      <c r="BR230" s="18">
        <f t="shared" si="357"/>
        <v>0</v>
      </c>
      <c r="BS230" s="18">
        <f t="shared" si="357"/>
        <v>0</v>
      </c>
      <c r="BT230" s="18">
        <f t="shared" si="357"/>
        <v>0</v>
      </c>
      <c r="BU230" s="18">
        <f t="shared" si="357"/>
        <v>0</v>
      </c>
      <c r="BV230" s="18">
        <f t="shared" si="357"/>
        <v>0</v>
      </c>
      <c r="BW230" s="18">
        <f t="shared" si="357"/>
        <v>0</v>
      </c>
      <c r="BX230" s="18">
        <f t="shared" si="357"/>
        <v>0</v>
      </c>
      <c r="BY230" s="18">
        <f t="shared" si="357"/>
        <v>0</v>
      </c>
      <c r="BZ230" s="18">
        <f t="shared" si="357"/>
        <v>0</v>
      </c>
      <c r="CA230" s="18">
        <f t="shared" si="357"/>
        <v>0</v>
      </c>
      <c r="CB230" s="18">
        <f t="shared" si="357"/>
        <v>0</v>
      </c>
      <c r="CC230" s="17"/>
      <c r="CD230" s="17"/>
      <c r="CE230" s="17"/>
      <c r="CH230" s="5"/>
      <c r="CI230" s="11"/>
      <c r="CJ230" s="11"/>
      <c r="CK230" s="11"/>
      <c r="CL230" s="11"/>
      <c r="CM230" s="11"/>
      <c r="CN230" s="11"/>
      <c r="CO230" s="11"/>
      <c r="CP230" s="11"/>
      <c r="CQ230" s="11"/>
      <c r="CR230" s="11"/>
      <c r="CS230" s="11"/>
      <c r="CT230" s="11"/>
      <c r="CU230" s="11"/>
      <c r="CV230" s="11"/>
      <c r="CW230" s="11"/>
      <c r="CX230" s="11"/>
      <c r="CY230" s="11"/>
      <c r="CZ230" s="11"/>
      <c r="DA230" s="11"/>
      <c r="DB230" s="11"/>
      <c r="DC230" s="11"/>
      <c r="DD230" s="11"/>
      <c r="DE230" s="11"/>
      <c r="DF230" s="11"/>
      <c r="DG230" s="11"/>
      <c r="DH230" s="11"/>
      <c r="DI230" s="11"/>
      <c r="DJ230" s="11"/>
      <c r="DK230" s="11"/>
      <c r="DL230" s="11"/>
      <c r="DM230" s="11"/>
      <c r="DN230" s="11"/>
      <c r="DO230" s="11"/>
      <c r="DP230" s="11"/>
      <c r="DQ230" s="11"/>
      <c r="DR230" s="11"/>
      <c r="DS230" s="11"/>
      <c r="DT230" s="11"/>
      <c r="DU230" s="11"/>
      <c r="DV230" s="11"/>
      <c r="DW230" s="11"/>
      <c r="DX230" s="11"/>
      <c r="DY230" s="11"/>
      <c r="DZ230" s="11"/>
      <c r="EA230" s="11"/>
      <c r="EB230" s="11"/>
      <c r="EC230" s="11"/>
      <c r="ED230" s="11"/>
      <c r="EE230" s="11"/>
      <c r="EF230" s="11"/>
      <c r="EG230" s="11"/>
      <c r="EH230" s="11"/>
      <c r="EI230" s="11"/>
      <c r="EJ230" s="11"/>
      <c r="EK230" s="11"/>
      <c r="EL230" s="11"/>
      <c r="EM230" s="11"/>
      <c r="EN230" s="11"/>
      <c r="EO230" s="11"/>
      <c r="EP230" s="11"/>
      <c r="EQ230" s="11"/>
      <c r="ER230" s="11"/>
      <c r="ES230" s="11"/>
      <c r="ET230" s="11"/>
      <c r="EU230" s="11"/>
      <c r="EV230" s="11"/>
      <c r="EW230" s="11"/>
      <c r="EX230" s="11"/>
      <c r="EY230" s="11"/>
      <c r="EZ230" s="11"/>
      <c r="FA230" s="11"/>
      <c r="FB230" s="11"/>
      <c r="FC230" s="11"/>
      <c r="FD230" s="11"/>
      <c r="FE230" s="11"/>
      <c r="FF230" s="11"/>
      <c r="FG230" s="11"/>
      <c r="FH230" s="11"/>
      <c r="FI230" s="11"/>
      <c r="FJ230" s="11"/>
      <c r="FK230" s="11"/>
      <c r="FL230" s="11"/>
    </row>
    <row r="231" spans="1:256">
      <c r="A231" s="18" t="str">
        <f>A63</f>
        <v>Bond 17</v>
      </c>
      <c r="B231" s="18">
        <f t="shared" ref="B231:BM231" si="358">B63*B167</f>
        <v>0</v>
      </c>
      <c r="C231" s="18">
        <f t="shared" si="358"/>
        <v>0</v>
      </c>
      <c r="D231" s="18">
        <f t="shared" si="358"/>
        <v>0</v>
      </c>
      <c r="E231" s="18">
        <f t="shared" si="358"/>
        <v>0</v>
      </c>
      <c r="F231" s="18">
        <f t="shared" si="358"/>
        <v>0</v>
      </c>
      <c r="G231" s="18">
        <f t="shared" si="358"/>
        <v>0</v>
      </c>
      <c r="H231" s="18">
        <f t="shared" si="358"/>
        <v>0</v>
      </c>
      <c r="I231" s="18">
        <f t="shared" si="358"/>
        <v>0</v>
      </c>
      <c r="J231" s="18">
        <f t="shared" si="358"/>
        <v>0</v>
      </c>
      <c r="K231" s="18">
        <f t="shared" si="358"/>
        <v>0</v>
      </c>
      <c r="L231" s="18">
        <f t="shared" si="358"/>
        <v>0</v>
      </c>
      <c r="M231" s="18">
        <f t="shared" si="358"/>
        <v>0</v>
      </c>
      <c r="N231" s="18">
        <f t="shared" si="358"/>
        <v>0</v>
      </c>
      <c r="O231" s="18">
        <f t="shared" si="358"/>
        <v>0</v>
      </c>
      <c r="P231" s="18">
        <f t="shared" si="358"/>
        <v>0</v>
      </c>
      <c r="Q231" s="18">
        <f t="shared" si="358"/>
        <v>0</v>
      </c>
      <c r="R231" s="18">
        <f t="shared" si="358"/>
        <v>0</v>
      </c>
      <c r="S231" s="18">
        <f t="shared" si="358"/>
        <v>0</v>
      </c>
      <c r="T231" s="18">
        <f t="shared" si="358"/>
        <v>0</v>
      </c>
      <c r="U231" s="18">
        <f t="shared" si="358"/>
        <v>0</v>
      </c>
      <c r="V231" s="18">
        <f t="shared" si="358"/>
        <v>0</v>
      </c>
      <c r="W231" s="18">
        <f t="shared" si="358"/>
        <v>0</v>
      </c>
      <c r="X231" s="18">
        <f t="shared" si="358"/>
        <v>0</v>
      </c>
      <c r="Y231" s="18">
        <f t="shared" si="358"/>
        <v>0</v>
      </c>
      <c r="Z231" s="18">
        <f t="shared" si="358"/>
        <v>0</v>
      </c>
      <c r="AA231" s="18">
        <f t="shared" si="358"/>
        <v>0</v>
      </c>
      <c r="AB231" s="18">
        <f t="shared" si="358"/>
        <v>0</v>
      </c>
      <c r="AC231" s="18">
        <f t="shared" si="358"/>
        <v>0</v>
      </c>
      <c r="AD231" s="18">
        <f t="shared" si="358"/>
        <v>0</v>
      </c>
      <c r="AE231" s="18">
        <f t="shared" si="358"/>
        <v>0</v>
      </c>
      <c r="AF231" s="18">
        <f t="shared" si="358"/>
        <v>0</v>
      </c>
      <c r="AG231" s="18">
        <f t="shared" si="358"/>
        <v>0</v>
      </c>
      <c r="AH231" s="18">
        <f t="shared" si="358"/>
        <v>0</v>
      </c>
      <c r="AI231" s="18">
        <f t="shared" si="358"/>
        <v>0</v>
      </c>
      <c r="AJ231" s="18">
        <f t="shared" si="358"/>
        <v>0</v>
      </c>
      <c r="AK231" s="18">
        <f t="shared" si="358"/>
        <v>0</v>
      </c>
      <c r="AL231" s="18">
        <f t="shared" si="358"/>
        <v>0</v>
      </c>
      <c r="AM231" s="18">
        <f t="shared" si="358"/>
        <v>0</v>
      </c>
      <c r="AN231" s="18">
        <f t="shared" si="358"/>
        <v>0</v>
      </c>
      <c r="AO231" s="18">
        <f t="shared" si="358"/>
        <v>0</v>
      </c>
      <c r="AP231" s="18">
        <f t="shared" si="358"/>
        <v>0</v>
      </c>
      <c r="AQ231" s="18">
        <f t="shared" si="358"/>
        <v>0</v>
      </c>
      <c r="AR231" s="18">
        <f t="shared" si="358"/>
        <v>0</v>
      </c>
      <c r="AS231" s="18">
        <f t="shared" si="358"/>
        <v>0</v>
      </c>
      <c r="AT231" s="18">
        <f t="shared" si="358"/>
        <v>0</v>
      </c>
      <c r="AU231" s="18">
        <f t="shared" si="358"/>
        <v>0</v>
      </c>
      <c r="AV231" s="18">
        <f t="shared" si="358"/>
        <v>0</v>
      </c>
      <c r="AW231" s="18">
        <f t="shared" si="358"/>
        <v>0</v>
      </c>
      <c r="AX231" s="18">
        <f t="shared" si="358"/>
        <v>0</v>
      </c>
      <c r="AY231" s="18">
        <f t="shared" si="358"/>
        <v>0</v>
      </c>
      <c r="AZ231" s="18">
        <f t="shared" si="358"/>
        <v>0</v>
      </c>
      <c r="BA231" s="18">
        <f t="shared" si="358"/>
        <v>0</v>
      </c>
      <c r="BB231" s="18">
        <f t="shared" si="358"/>
        <v>0</v>
      </c>
      <c r="BC231" s="18">
        <f t="shared" si="358"/>
        <v>0</v>
      </c>
      <c r="BD231" s="18">
        <f t="shared" si="358"/>
        <v>0</v>
      </c>
      <c r="BE231" s="18">
        <f t="shared" si="358"/>
        <v>0</v>
      </c>
      <c r="BF231" s="18">
        <f t="shared" si="358"/>
        <v>0</v>
      </c>
      <c r="BG231" s="18">
        <f t="shared" si="358"/>
        <v>0</v>
      </c>
      <c r="BH231" s="18">
        <f t="shared" si="358"/>
        <v>0</v>
      </c>
      <c r="BI231" s="18">
        <f t="shared" si="358"/>
        <v>0</v>
      </c>
      <c r="BJ231" s="18">
        <f t="shared" si="358"/>
        <v>0</v>
      </c>
      <c r="BK231" s="18">
        <f t="shared" si="358"/>
        <v>0</v>
      </c>
      <c r="BL231" s="18">
        <f t="shared" si="358"/>
        <v>0</v>
      </c>
      <c r="BM231" s="18">
        <f t="shared" si="358"/>
        <v>0</v>
      </c>
      <c r="BN231" s="18">
        <f t="shared" ref="BN231:CB231" si="359">BN63*BN167</f>
        <v>0</v>
      </c>
      <c r="BO231" s="18">
        <f t="shared" si="359"/>
        <v>0</v>
      </c>
      <c r="BP231" s="18">
        <f t="shared" si="359"/>
        <v>0</v>
      </c>
      <c r="BQ231" s="18">
        <f t="shared" si="359"/>
        <v>0</v>
      </c>
      <c r="BR231" s="18">
        <f t="shared" si="359"/>
        <v>0</v>
      </c>
      <c r="BS231" s="18">
        <f t="shared" si="359"/>
        <v>0</v>
      </c>
      <c r="BT231" s="18">
        <f t="shared" si="359"/>
        <v>0</v>
      </c>
      <c r="BU231" s="18">
        <f t="shared" si="359"/>
        <v>0</v>
      </c>
      <c r="BV231" s="18">
        <f t="shared" si="359"/>
        <v>0</v>
      </c>
      <c r="BW231" s="18">
        <f t="shared" si="359"/>
        <v>0</v>
      </c>
      <c r="BX231" s="18">
        <f t="shared" si="359"/>
        <v>0</v>
      </c>
      <c r="BY231" s="18">
        <f t="shared" si="359"/>
        <v>0</v>
      </c>
      <c r="BZ231" s="18">
        <f t="shared" si="359"/>
        <v>0</v>
      </c>
      <c r="CA231" s="18">
        <f t="shared" si="359"/>
        <v>0</v>
      </c>
      <c r="CB231" s="18">
        <f t="shared" si="359"/>
        <v>0</v>
      </c>
      <c r="CC231" s="17"/>
      <c r="CD231" s="17"/>
      <c r="CE231" s="17"/>
      <c r="CH231" s="5"/>
      <c r="CI231" s="11"/>
      <c r="CJ231" s="11"/>
      <c r="CK231" s="11"/>
      <c r="CL231" s="11"/>
      <c r="CM231" s="11"/>
      <c r="CN231" s="11"/>
      <c r="CO231" s="11"/>
      <c r="CP231" s="11"/>
      <c r="CQ231" s="11"/>
      <c r="CR231" s="11"/>
      <c r="CS231" s="11"/>
      <c r="CT231" s="11"/>
      <c r="CU231" s="11"/>
      <c r="CV231" s="11"/>
      <c r="CW231" s="11"/>
      <c r="CX231" s="11"/>
      <c r="CY231" s="11"/>
      <c r="CZ231" s="11"/>
      <c r="DA231" s="11"/>
      <c r="DB231" s="11"/>
      <c r="DC231" s="11"/>
      <c r="DD231" s="11"/>
      <c r="DE231" s="11"/>
      <c r="DF231" s="11"/>
      <c r="DG231" s="11"/>
      <c r="DH231" s="11"/>
      <c r="DI231" s="11"/>
      <c r="DJ231" s="11"/>
      <c r="DK231" s="11"/>
      <c r="DL231" s="11"/>
      <c r="DM231" s="11"/>
      <c r="DN231" s="11"/>
      <c r="DO231" s="11"/>
      <c r="DP231" s="11"/>
      <c r="DQ231" s="11"/>
      <c r="DR231" s="11"/>
      <c r="DS231" s="11"/>
      <c r="DT231" s="11"/>
      <c r="DU231" s="11"/>
      <c r="DV231" s="11"/>
      <c r="DW231" s="11"/>
      <c r="DX231" s="11"/>
      <c r="DY231" s="11"/>
      <c r="DZ231" s="11"/>
      <c r="EA231" s="11"/>
      <c r="EB231" s="11"/>
      <c r="EC231" s="11"/>
      <c r="ED231" s="11"/>
      <c r="EE231" s="11"/>
      <c r="EF231" s="11"/>
      <c r="EG231" s="11"/>
      <c r="EH231" s="11"/>
      <c r="EI231" s="11"/>
      <c r="EJ231" s="11"/>
      <c r="EK231" s="11"/>
      <c r="EL231" s="11"/>
      <c r="EM231" s="11"/>
    </row>
    <row r="232" spans="1:256">
      <c r="A232" s="18" t="str">
        <f>A65</f>
        <v>Bond 18</v>
      </c>
      <c r="B232" s="18">
        <f t="shared" ref="B232:BM232" si="360">B65*B172</f>
        <v>0</v>
      </c>
      <c r="C232" s="18">
        <f t="shared" si="360"/>
        <v>0</v>
      </c>
      <c r="D232" s="18">
        <f t="shared" si="360"/>
        <v>0</v>
      </c>
      <c r="E232" s="18">
        <f t="shared" si="360"/>
        <v>0</v>
      </c>
      <c r="F232" s="18">
        <f t="shared" si="360"/>
        <v>0</v>
      </c>
      <c r="G232" s="18">
        <f t="shared" si="360"/>
        <v>0</v>
      </c>
      <c r="H232" s="18">
        <f t="shared" si="360"/>
        <v>0</v>
      </c>
      <c r="I232" s="18">
        <f t="shared" si="360"/>
        <v>0</v>
      </c>
      <c r="J232" s="18">
        <f t="shared" si="360"/>
        <v>0</v>
      </c>
      <c r="K232" s="18">
        <f t="shared" si="360"/>
        <v>0</v>
      </c>
      <c r="L232" s="18">
        <f t="shared" si="360"/>
        <v>0</v>
      </c>
      <c r="M232" s="18">
        <f t="shared" si="360"/>
        <v>0</v>
      </c>
      <c r="N232" s="18">
        <f t="shared" si="360"/>
        <v>0</v>
      </c>
      <c r="O232" s="18">
        <f t="shared" si="360"/>
        <v>0</v>
      </c>
      <c r="P232" s="18">
        <f t="shared" si="360"/>
        <v>0</v>
      </c>
      <c r="Q232" s="18">
        <f t="shared" si="360"/>
        <v>0</v>
      </c>
      <c r="R232" s="18">
        <f t="shared" si="360"/>
        <v>0</v>
      </c>
      <c r="S232" s="18">
        <f t="shared" si="360"/>
        <v>0</v>
      </c>
      <c r="T232" s="18">
        <f t="shared" si="360"/>
        <v>0</v>
      </c>
      <c r="U232" s="18">
        <f t="shared" si="360"/>
        <v>0</v>
      </c>
      <c r="V232" s="18">
        <f t="shared" si="360"/>
        <v>0</v>
      </c>
      <c r="W232" s="18">
        <f t="shared" si="360"/>
        <v>0</v>
      </c>
      <c r="X232" s="18">
        <f t="shared" si="360"/>
        <v>0</v>
      </c>
      <c r="Y232" s="18">
        <f t="shared" si="360"/>
        <v>0</v>
      </c>
      <c r="Z232" s="18">
        <f t="shared" si="360"/>
        <v>0</v>
      </c>
      <c r="AA232" s="18">
        <f t="shared" si="360"/>
        <v>0</v>
      </c>
      <c r="AB232" s="18">
        <f t="shared" si="360"/>
        <v>0</v>
      </c>
      <c r="AC232" s="18">
        <f t="shared" si="360"/>
        <v>0</v>
      </c>
      <c r="AD232" s="18">
        <f t="shared" si="360"/>
        <v>0</v>
      </c>
      <c r="AE232" s="18">
        <f t="shared" si="360"/>
        <v>0</v>
      </c>
      <c r="AF232" s="18">
        <f t="shared" si="360"/>
        <v>0</v>
      </c>
      <c r="AG232" s="18">
        <f t="shared" si="360"/>
        <v>0</v>
      </c>
      <c r="AH232" s="18">
        <f t="shared" si="360"/>
        <v>0</v>
      </c>
      <c r="AI232" s="18">
        <f t="shared" si="360"/>
        <v>0</v>
      </c>
      <c r="AJ232" s="18">
        <f t="shared" si="360"/>
        <v>0</v>
      </c>
      <c r="AK232" s="18">
        <f t="shared" si="360"/>
        <v>0</v>
      </c>
      <c r="AL232" s="18">
        <f t="shared" si="360"/>
        <v>0</v>
      </c>
      <c r="AM232" s="18">
        <f t="shared" si="360"/>
        <v>0</v>
      </c>
      <c r="AN232" s="18">
        <f t="shared" si="360"/>
        <v>0</v>
      </c>
      <c r="AO232" s="18">
        <f t="shared" si="360"/>
        <v>0</v>
      </c>
      <c r="AP232" s="18">
        <f t="shared" si="360"/>
        <v>0</v>
      </c>
      <c r="AQ232" s="18">
        <f t="shared" si="360"/>
        <v>0</v>
      </c>
      <c r="AR232" s="18">
        <f t="shared" si="360"/>
        <v>0</v>
      </c>
      <c r="AS232" s="18">
        <f t="shared" si="360"/>
        <v>0</v>
      </c>
      <c r="AT232" s="18">
        <f t="shared" si="360"/>
        <v>0</v>
      </c>
      <c r="AU232" s="18">
        <f t="shared" si="360"/>
        <v>0</v>
      </c>
      <c r="AV232" s="18">
        <f t="shared" si="360"/>
        <v>0</v>
      </c>
      <c r="AW232" s="18">
        <f t="shared" si="360"/>
        <v>0</v>
      </c>
      <c r="AX232" s="18">
        <f t="shared" si="360"/>
        <v>0</v>
      </c>
      <c r="AY232" s="18">
        <f t="shared" si="360"/>
        <v>0</v>
      </c>
      <c r="AZ232" s="18">
        <f t="shared" si="360"/>
        <v>0</v>
      </c>
      <c r="BA232" s="18">
        <f t="shared" si="360"/>
        <v>0</v>
      </c>
      <c r="BB232" s="18">
        <f t="shared" si="360"/>
        <v>0</v>
      </c>
      <c r="BC232" s="18">
        <f t="shared" si="360"/>
        <v>0</v>
      </c>
      <c r="BD232" s="18">
        <f t="shared" si="360"/>
        <v>0</v>
      </c>
      <c r="BE232" s="18">
        <f t="shared" si="360"/>
        <v>0</v>
      </c>
      <c r="BF232" s="18">
        <f t="shared" si="360"/>
        <v>0</v>
      </c>
      <c r="BG232" s="18">
        <f t="shared" si="360"/>
        <v>0</v>
      </c>
      <c r="BH232" s="18">
        <f t="shared" si="360"/>
        <v>0</v>
      </c>
      <c r="BI232" s="18">
        <f t="shared" si="360"/>
        <v>0</v>
      </c>
      <c r="BJ232" s="18">
        <f t="shared" si="360"/>
        <v>0</v>
      </c>
      <c r="BK232" s="18">
        <f t="shared" si="360"/>
        <v>0</v>
      </c>
      <c r="BL232" s="18">
        <f t="shared" si="360"/>
        <v>0</v>
      </c>
      <c r="BM232" s="18">
        <f t="shared" si="360"/>
        <v>0</v>
      </c>
      <c r="BN232" s="18">
        <f t="shared" ref="BN232:CB232" si="361">BN65*BN172</f>
        <v>0</v>
      </c>
      <c r="BO232" s="18">
        <f t="shared" si="361"/>
        <v>0</v>
      </c>
      <c r="BP232" s="18">
        <f t="shared" si="361"/>
        <v>0</v>
      </c>
      <c r="BQ232" s="18">
        <f t="shared" si="361"/>
        <v>0</v>
      </c>
      <c r="BR232" s="18">
        <f t="shared" si="361"/>
        <v>0</v>
      </c>
      <c r="BS232" s="18">
        <f t="shared" si="361"/>
        <v>0</v>
      </c>
      <c r="BT232" s="18">
        <f t="shared" si="361"/>
        <v>0</v>
      </c>
      <c r="BU232" s="18">
        <f t="shared" si="361"/>
        <v>0</v>
      </c>
      <c r="BV232" s="18">
        <f t="shared" si="361"/>
        <v>0</v>
      </c>
      <c r="BW232" s="18">
        <f t="shared" si="361"/>
        <v>0</v>
      </c>
      <c r="BX232" s="18">
        <f t="shared" si="361"/>
        <v>0</v>
      </c>
      <c r="BY232" s="18">
        <f t="shared" si="361"/>
        <v>0</v>
      </c>
      <c r="BZ232" s="18">
        <f t="shared" si="361"/>
        <v>0</v>
      </c>
      <c r="CA232" s="18">
        <f t="shared" si="361"/>
        <v>0</v>
      </c>
      <c r="CB232" s="18">
        <f t="shared" si="361"/>
        <v>0</v>
      </c>
      <c r="CC232" s="17"/>
      <c r="CD232" s="17"/>
      <c r="CE232" s="17"/>
      <c r="CH232" s="5"/>
      <c r="CI232" s="11"/>
      <c r="CJ232" s="11"/>
      <c r="CK232" s="11"/>
      <c r="CL232" s="11"/>
      <c r="CM232" s="11"/>
      <c r="CN232" s="11"/>
      <c r="CO232" s="11"/>
      <c r="CP232" s="11"/>
      <c r="CQ232" s="11"/>
      <c r="CR232" s="11"/>
      <c r="CS232" s="11"/>
      <c r="CT232" s="11"/>
      <c r="CU232" s="11"/>
      <c r="CV232" s="11"/>
      <c r="CW232" s="11"/>
      <c r="CX232" s="11"/>
      <c r="CY232" s="11"/>
      <c r="CZ232" s="11"/>
      <c r="DA232" s="11"/>
      <c r="DB232" s="11"/>
      <c r="DC232" s="11"/>
      <c r="DD232" s="11"/>
      <c r="DE232" s="11"/>
      <c r="DF232" s="11"/>
      <c r="DG232" s="11"/>
      <c r="DH232" s="11"/>
      <c r="DI232" s="11"/>
      <c r="DJ232" s="11"/>
      <c r="DK232" s="11"/>
      <c r="DL232" s="11"/>
      <c r="DM232" s="11"/>
      <c r="DN232" s="11"/>
      <c r="DO232" s="11"/>
      <c r="DP232" s="11"/>
      <c r="DQ232" s="11"/>
      <c r="DR232" s="11"/>
      <c r="DS232" s="11"/>
      <c r="DT232" s="11"/>
      <c r="DU232" s="11"/>
      <c r="DV232" s="11"/>
      <c r="DW232" s="11"/>
      <c r="DX232" s="11"/>
      <c r="DY232" s="11"/>
      <c r="DZ232" s="11"/>
      <c r="EA232" s="11"/>
      <c r="EB232" s="11"/>
      <c r="EC232" s="11"/>
      <c r="ED232" s="11"/>
      <c r="EE232" s="11"/>
      <c r="EF232" s="11"/>
    </row>
    <row r="233" spans="1:256">
      <c r="A233" s="18" t="str">
        <f>A67</f>
        <v>Bond 19</v>
      </c>
      <c r="B233" s="18">
        <f t="shared" ref="B233:BM233" si="362">B67*B177</f>
        <v>0</v>
      </c>
      <c r="C233" s="18">
        <f t="shared" si="362"/>
        <v>0</v>
      </c>
      <c r="D233" s="18">
        <f t="shared" si="362"/>
        <v>0</v>
      </c>
      <c r="E233" s="18">
        <f t="shared" si="362"/>
        <v>0</v>
      </c>
      <c r="F233" s="18">
        <f t="shared" si="362"/>
        <v>0</v>
      </c>
      <c r="G233" s="18">
        <f t="shared" si="362"/>
        <v>0</v>
      </c>
      <c r="H233" s="18">
        <f t="shared" si="362"/>
        <v>0</v>
      </c>
      <c r="I233" s="18">
        <f t="shared" si="362"/>
        <v>0</v>
      </c>
      <c r="J233" s="18">
        <f t="shared" si="362"/>
        <v>0</v>
      </c>
      <c r="K233" s="18">
        <f t="shared" si="362"/>
        <v>0</v>
      </c>
      <c r="L233" s="18">
        <f t="shared" si="362"/>
        <v>0</v>
      </c>
      <c r="M233" s="18">
        <f t="shared" si="362"/>
        <v>0</v>
      </c>
      <c r="N233" s="18">
        <f t="shared" si="362"/>
        <v>0</v>
      </c>
      <c r="O233" s="18">
        <f t="shared" si="362"/>
        <v>0</v>
      </c>
      <c r="P233" s="18">
        <f t="shared" si="362"/>
        <v>0</v>
      </c>
      <c r="Q233" s="18">
        <f t="shared" si="362"/>
        <v>0</v>
      </c>
      <c r="R233" s="18">
        <f t="shared" si="362"/>
        <v>0</v>
      </c>
      <c r="S233" s="18">
        <f t="shared" si="362"/>
        <v>0</v>
      </c>
      <c r="T233" s="18">
        <f t="shared" si="362"/>
        <v>0</v>
      </c>
      <c r="U233" s="18">
        <f t="shared" si="362"/>
        <v>0</v>
      </c>
      <c r="V233" s="18">
        <f t="shared" si="362"/>
        <v>0</v>
      </c>
      <c r="W233" s="18">
        <f t="shared" si="362"/>
        <v>0</v>
      </c>
      <c r="X233" s="18">
        <f t="shared" si="362"/>
        <v>0</v>
      </c>
      <c r="Y233" s="18">
        <f t="shared" si="362"/>
        <v>0</v>
      </c>
      <c r="Z233" s="18">
        <f t="shared" si="362"/>
        <v>0</v>
      </c>
      <c r="AA233" s="18">
        <f t="shared" si="362"/>
        <v>0</v>
      </c>
      <c r="AB233" s="18">
        <f t="shared" si="362"/>
        <v>0</v>
      </c>
      <c r="AC233" s="18">
        <f t="shared" si="362"/>
        <v>0</v>
      </c>
      <c r="AD233" s="18">
        <f t="shared" si="362"/>
        <v>0</v>
      </c>
      <c r="AE233" s="18">
        <f t="shared" si="362"/>
        <v>0</v>
      </c>
      <c r="AF233" s="18">
        <f t="shared" si="362"/>
        <v>0</v>
      </c>
      <c r="AG233" s="18">
        <f t="shared" si="362"/>
        <v>0</v>
      </c>
      <c r="AH233" s="18">
        <f t="shared" si="362"/>
        <v>0</v>
      </c>
      <c r="AI233" s="18">
        <f t="shared" si="362"/>
        <v>0</v>
      </c>
      <c r="AJ233" s="18">
        <f t="shared" si="362"/>
        <v>0</v>
      </c>
      <c r="AK233" s="18">
        <f t="shared" si="362"/>
        <v>0</v>
      </c>
      <c r="AL233" s="18">
        <f t="shared" si="362"/>
        <v>0</v>
      </c>
      <c r="AM233" s="18">
        <f t="shared" si="362"/>
        <v>0</v>
      </c>
      <c r="AN233" s="18">
        <f t="shared" si="362"/>
        <v>0</v>
      </c>
      <c r="AO233" s="18">
        <f t="shared" si="362"/>
        <v>0</v>
      </c>
      <c r="AP233" s="18">
        <f t="shared" si="362"/>
        <v>0</v>
      </c>
      <c r="AQ233" s="18">
        <f t="shared" si="362"/>
        <v>0</v>
      </c>
      <c r="AR233" s="18">
        <f t="shared" si="362"/>
        <v>0</v>
      </c>
      <c r="AS233" s="18">
        <f t="shared" si="362"/>
        <v>0</v>
      </c>
      <c r="AT233" s="18">
        <f t="shared" si="362"/>
        <v>0</v>
      </c>
      <c r="AU233" s="18">
        <f t="shared" si="362"/>
        <v>0</v>
      </c>
      <c r="AV233" s="18">
        <f t="shared" si="362"/>
        <v>0</v>
      </c>
      <c r="AW233" s="18">
        <f t="shared" si="362"/>
        <v>0</v>
      </c>
      <c r="AX233" s="18">
        <f t="shared" si="362"/>
        <v>0</v>
      </c>
      <c r="AY233" s="18">
        <f t="shared" si="362"/>
        <v>0</v>
      </c>
      <c r="AZ233" s="18">
        <f t="shared" si="362"/>
        <v>0</v>
      </c>
      <c r="BA233" s="18">
        <f t="shared" si="362"/>
        <v>0</v>
      </c>
      <c r="BB233" s="18">
        <f t="shared" si="362"/>
        <v>0</v>
      </c>
      <c r="BC233" s="18">
        <f t="shared" si="362"/>
        <v>0</v>
      </c>
      <c r="BD233" s="18">
        <f t="shared" si="362"/>
        <v>0</v>
      </c>
      <c r="BE233" s="18">
        <f t="shared" si="362"/>
        <v>0</v>
      </c>
      <c r="BF233" s="18">
        <f t="shared" si="362"/>
        <v>0</v>
      </c>
      <c r="BG233" s="18">
        <f t="shared" si="362"/>
        <v>0</v>
      </c>
      <c r="BH233" s="18">
        <f t="shared" si="362"/>
        <v>0</v>
      </c>
      <c r="BI233" s="18">
        <f t="shared" si="362"/>
        <v>0</v>
      </c>
      <c r="BJ233" s="18">
        <f t="shared" si="362"/>
        <v>0</v>
      </c>
      <c r="BK233" s="18">
        <f t="shared" si="362"/>
        <v>0</v>
      </c>
      <c r="BL233" s="18">
        <f t="shared" si="362"/>
        <v>0</v>
      </c>
      <c r="BM233" s="18">
        <f t="shared" si="362"/>
        <v>0</v>
      </c>
      <c r="BN233" s="18">
        <f t="shared" ref="BN233:CB233" si="363">BN67*BN177</f>
        <v>0</v>
      </c>
      <c r="BO233" s="18">
        <f t="shared" si="363"/>
        <v>0</v>
      </c>
      <c r="BP233" s="18">
        <f t="shared" si="363"/>
        <v>0</v>
      </c>
      <c r="BQ233" s="18">
        <f t="shared" si="363"/>
        <v>0</v>
      </c>
      <c r="BR233" s="18">
        <f t="shared" si="363"/>
        <v>0</v>
      </c>
      <c r="BS233" s="18">
        <f t="shared" si="363"/>
        <v>0</v>
      </c>
      <c r="BT233" s="18">
        <f t="shared" si="363"/>
        <v>0</v>
      </c>
      <c r="BU233" s="18">
        <f t="shared" si="363"/>
        <v>0</v>
      </c>
      <c r="BV233" s="18">
        <f t="shared" si="363"/>
        <v>0</v>
      </c>
      <c r="BW233" s="18">
        <f t="shared" si="363"/>
        <v>0</v>
      </c>
      <c r="BX233" s="18">
        <f t="shared" si="363"/>
        <v>0</v>
      </c>
      <c r="BY233" s="18">
        <f t="shared" si="363"/>
        <v>0</v>
      </c>
      <c r="BZ233" s="18">
        <f t="shared" si="363"/>
        <v>0</v>
      </c>
      <c r="CA233" s="18">
        <f t="shared" si="363"/>
        <v>0</v>
      </c>
      <c r="CB233" s="18">
        <f t="shared" si="363"/>
        <v>0</v>
      </c>
      <c r="CC233" s="17"/>
      <c r="CD233" s="17"/>
      <c r="CE233" s="17"/>
      <c r="CH233" s="5"/>
      <c r="CI233" s="11"/>
      <c r="CJ233" s="11"/>
      <c r="CK233" s="11"/>
      <c r="CL233" s="11"/>
      <c r="CM233" s="11"/>
      <c r="CN233" s="11"/>
      <c r="CO233" s="11"/>
      <c r="CP233" s="11"/>
      <c r="CQ233" s="11"/>
      <c r="CR233" s="11"/>
      <c r="CS233" s="11"/>
      <c r="CT233" s="11"/>
      <c r="CU233" s="11"/>
      <c r="CV233" s="11"/>
      <c r="CW233" s="11"/>
      <c r="CX233" s="11"/>
      <c r="CY233" s="11"/>
      <c r="CZ233" s="11"/>
      <c r="DA233" s="11"/>
      <c r="DB233" s="11"/>
      <c r="DC233" s="11"/>
      <c r="DD233" s="11"/>
      <c r="DE233" s="11"/>
      <c r="DF233" s="11"/>
      <c r="DG233" s="11"/>
      <c r="DH233" s="11"/>
      <c r="DI233" s="11"/>
      <c r="DJ233" s="11"/>
      <c r="DK233" s="11"/>
      <c r="DL233" s="11"/>
      <c r="DM233" s="11"/>
      <c r="DN233" s="11"/>
      <c r="DO233" s="11"/>
      <c r="DP233" s="11"/>
      <c r="DQ233" s="11"/>
      <c r="DR233" s="11"/>
      <c r="DS233" s="11"/>
      <c r="DT233" s="11"/>
      <c r="DU233" s="11"/>
      <c r="DV233" s="11"/>
      <c r="DW233" s="11"/>
      <c r="DX233" s="11"/>
      <c r="DY233" s="11"/>
      <c r="DZ233" s="11"/>
      <c r="EA233" s="11"/>
      <c r="EB233" s="11"/>
      <c r="EC233" s="11"/>
      <c r="ED233" s="11"/>
      <c r="EE233" s="11"/>
      <c r="EF233" s="11"/>
      <c r="EG233" s="11"/>
      <c r="EH233" s="11"/>
      <c r="EI233" s="11"/>
      <c r="EJ233" s="11"/>
      <c r="EK233" s="11"/>
      <c r="EL233" s="11"/>
      <c r="EM233" s="11"/>
      <c r="EN233" s="11"/>
      <c r="EO233" s="11"/>
      <c r="EP233" s="11"/>
      <c r="EQ233" s="11"/>
      <c r="ER233" s="11"/>
      <c r="ES233" s="11"/>
      <c r="ET233" s="11"/>
      <c r="EU233" s="11"/>
      <c r="EV233" s="11"/>
      <c r="EW233" s="11"/>
      <c r="EX233" s="11"/>
      <c r="EY233" s="11"/>
      <c r="EZ233" s="11"/>
      <c r="FA233" s="11"/>
      <c r="FB233" s="11"/>
      <c r="FC233" s="11"/>
      <c r="FD233" s="11"/>
    </row>
    <row r="234" spans="1:256">
      <c r="A234" s="18" t="str">
        <f>A69</f>
        <v>Bond 20</v>
      </c>
      <c r="B234" s="18">
        <f t="shared" ref="B234:BM234" si="364">B69*B182</f>
        <v>0</v>
      </c>
      <c r="C234" s="18">
        <f t="shared" si="364"/>
        <v>0</v>
      </c>
      <c r="D234" s="18">
        <f t="shared" si="364"/>
        <v>0</v>
      </c>
      <c r="E234" s="18">
        <f t="shared" si="364"/>
        <v>0</v>
      </c>
      <c r="F234" s="18">
        <f t="shared" si="364"/>
        <v>0</v>
      </c>
      <c r="G234" s="18">
        <f t="shared" si="364"/>
        <v>0</v>
      </c>
      <c r="H234" s="18">
        <f t="shared" si="364"/>
        <v>0</v>
      </c>
      <c r="I234" s="18">
        <f t="shared" si="364"/>
        <v>0</v>
      </c>
      <c r="J234" s="18">
        <f t="shared" si="364"/>
        <v>0</v>
      </c>
      <c r="K234" s="18">
        <f t="shared" si="364"/>
        <v>0</v>
      </c>
      <c r="L234" s="18">
        <f t="shared" si="364"/>
        <v>0</v>
      </c>
      <c r="M234" s="18">
        <f t="shared" si="364"/>
        <v>0</v>
      </c>
      <c r="N234" s="18">
        <f t="shared" si="364"/>
        <v>0</v>
      </c>
      <c r="O234" s="18">
        <f t="shared" si="364"/>
        <v>0</v>
      </c>
      <c r="P234" s="18">
        <f t="shared" si="364"/>
        <v>0</v>
      </c>
      <c r="Q234" s="18">
        <f t="shared" si="364"/>
        <v>0</v>
      </c>
      <c r="R234" s="18">
        <f t="shared" si="364"/>
        <v>0</v>
      </c>
      <c r="S234" s="18">
        <f t="shared" si="364"/>
        <v>0</v>
      </c>
      <c r="T234" s="18">
        <f t="shared" si="364"/>
        <v>0</v>
      </c>
      <c r="U234" s="18">
        <f t="shared" si="364"/>
        <v>0</v>
      </c>
      <c r="V234" s="18">
        <f t="shared" si="364"/>
        <v>0</v>
      </c>
      <c r="W234" s="18">
        <f t="shared" si="364"/>
        <v>0</v>
      </c>
      <c r="X234" s="18">
        <f t="shared" si="364"/>
        <v>0</v>
      </c>
      <c r="Y234" s="18">
        <f t="shared" si="364"/>
        <v>0</v>
      </c>
      <c r="Z234" s="18">
        <f t="shared" si="364"/>
        <v>0</v>
      </c>
      <c r="AA234" s="18">
        <f t="shared" si="364"/>
        <v>0</v>
      </c>
      <c r="AB234" s="18">
        <f t="shared" si="364"/>
        <v>0</v>
      </c>
      <c r="AC234" s="18">
        <f t="shared" si="364"/>
        <v>0</v>
      </c>
      <c r="AD234" s="18">
        <f t="shared" si="364"/>
        <v>0</v>
      </c>
      <c r="AE234" s="18">
        <f t="shared" si="364"/>
        <v>0</v>
      </c>
      <c r="AF234" s="18">
        <f t="shared" si="364"/>
        <v>0</v>
      </c>
      <c r="AG234" s="18">
        <f t="shared" si="364"/>
        <v>0</v>
      </c>
      <c r="AH234" s="18">
        <f t="shared" si="364"/>
        <v>0</v>
      </c>
      <c r="AI234" s="18">
        <f t="shared" si="364"/>
        <v>0</v>
      </c>
      <c r="AJ234" s="18">
        <f t="shared" si="364"/>
        <v>0</v>
      </c>
      <c r="AK234" s="18">
        <f t="shared" si="364"/>
        <v>0</v>
      </c>
      <c r="AL234" s="18">
        <f t="shared" si="364"/>
        <v>0</v>
      </c>
      <c r="AM234" s="18">
        <f t="shared" si="364"/>
        <v>0</v>
      </c>
      <c r="AN234" s="18">
        <f t="shared" si="364"/>
        <v>0</v>
      </c>
      <c r="AO234" s="18">
        <f t="shared" si="364"/>
        <v>0</v>
      </c>
      <c r="AP234" s="18">
        <f t="shared" si="364"/>
        <v>0</v>
      </c>
      <c r="AQ234" s="18">
        <f t="shared" si="364"/>
        <v>0</v>
      </c>
      <c r="AR234" s="18">
        <f t="shared" si="364"/>
        <v>0</v>
      </c>
      <c r="AS234" s="18">
        <f t="shared" si="364"/>
        <v>0</v>
      </c>
      <c r="AT234" s="18">
        <f t="shared" si="364"/>
        <v>0</v>
      </c>
      <c r="AU234" s="18">
        <f t="shared" si="364"/>
        <v>0</v>
      </c>
      <c r="AV234" s="18">
        <f t="shared" si="364"/>
        <v>0</v>
      </c>
      <c r="AW234" s="18">
        <f t="shared" si="364"/>
        <v>0</v>
      </c>
      <c r="AX234" s="18">
        <f t="shared" si="364"/>
        <v>0</v>
      </c>
      <c r="AY234" s="18">
        <f t="shared" si="364"/>
        <v>0</v>
      </c>
      <c r="AZ234" s="18">
        <f t="shared" si="364"/>
        <v>0</v>
      </c>
      <c r="BA234" s="18">
        <f t="shared" si="364"/>
        <v>0</v>
      </c>
      <c r="BB234" s="18">
        <f t="shared" si="364"/>
        <v>0</v>
      </c>
      <c r="BC234" s="18">
        <f t="shared" si="364"/>
        <v>0</v>
      </c>
      <c r="BD234" s="18">
        <f t="shared" si="364"/>
        <v>0</v>
      </c>
      <c r="BE234" s="18">
        <f t="shared" si="364"/>
        <v>0</v>
      </c>
      <c r="BF234" s="18">
        <f t="shared" si="364"/>
        <v>0</v>
      </c>
      <c r="BG234" s="18">
        <f t="shared" si="364"/>
        <v>0</v>
      </c>
      <c r="BH234" s="18">
        <f t="shared" si="364"/>
        <v>0</v>
      </c>
      <c r="BI234" s="18">
        <f t="shared" si="364"/>
        <v>0</v>
      </c>
      <c r="BJ234" s="18">
        <f t="shared" si="364"/>
        <v>0</v>
      </c>
      <c r="BK234" s="18">
        <f t="shared" si="364"/>
        <v>0</v>
      </c>
      <c r="BL234" s="18">
        <f t="shared" si="364"/>
        <v>0</v>
      </c>
      <c r="BM234" s="18">
        <f t="shared" si="364"/>
        <v>0</v>
      </c>
      <c r="BN234" s="18">
        <f t="shared" ref="BN234:CB234" si="365">BN69*BN182</f>
        <v>0</v>
      </c>
      <c r="BO234" s="18">
        <f t="shared" si="365"/>
        <v>0</v>
      </c>
      <c r="BP234" s="18">
        <f t="shared" si="365"/>
        <v>0</v>
      </c>
      <c r="BQ234" s="18">
        <f t="shared" si="365"/>
        <v>0</v>
      </c>
      <c r="BR234" s="18">
        <f t="shared" si="365"/>
        <v>0</v>
      </c>
      <c r="BS234" s="18">
        <f t="shared" si="365"/>
        <v>0</v>
      </c>
      <c r="BT234" s="18">
        <f t="shared" si="365"/>
        <v>0</v>
      </c>
      <c r="BU234" s="18">
        <f t="shared" si="365"/>
        <v>0</v>
      </c>
      <c r="BV234" s="18">
        <f t="shared" si="365"/>
        <v>0</v>
      </c>
      <c r="BW234" s="18">
        <f t="shared" si="365"/>
        <v>0</v>
      </c>
      <c r="BX234" s="18">
        <f t="shared" si="365"/>
        <v>0</v>
      </c>
      <c r="BY234" s="18">
        <f t="shared" si="365"/>
        <v>0</v>
      </c>
      <c r="BZ234" s="18">
        <f t="shared" si="365"/>
        <v>0</v>
      </c>
      <c r="CA234" s="18">
        <f t="shared" si="365"/>
        <v>0</v>
      </c>
      <c r="CB234" s="18">
        <f t="shared" si="365"/>
        <v>0</v>
      </c>
      <c r="CC234" s="17"/>
      <c r="CD234" s="17"/>
      <c r="CE234" s="17"/>
      <c r="CH234" s="5"/>
      <c r="CI234" s="11"/>
      <c r="CJ234" s="11"/>
      <c r="CK234" s="11"/>
      <c r="CL234" s="11"/>
      <c r="CM234" s="11"/>
      <c r="CN234" s="11"/>
      <c r="CO234" s="11"/>
      <c r="CP234" s="11"/>
      <c r="CQ234" s="11"/>
      <c r="CR234" s="11"/>
      <c r="CS234" s="11"/>
      <c r="CT234" s="11"/>
      <c r="CU234" s="11"/>
      <c r="CV234" s="11"/>
      <c r="CW234" s="11"/>
      <c r="CX234" s="11"/>
      <c r="CY234" s="11"/>
      <c r="CZ234" s="11"/>
      <c r="DA234" s="11"/>
      <c r="DB234" s="11"/>
      <c r="DC234" s="11"/>
      <c r="DD234" s="11"/>
      <c r="DE234" s="11"/>
      <c r="DF234" s="11"/>
      <c r="DG234" s="11"/>
      <c r="DH234" s="11"/>
      <c r="DI234" s="11"/>
      <c r="DJ234" s="11"/>
      <c r="DK234" s="11"/>
      <c r="DL234" s="11"/>
      <c r="DM234" s="11"/>
      <c r="DN234" s="11"/>
      <c r="DO234" s="11"/>
      <c r="DP234" s="11"/>
      <c r="DQ234" s="11"/>
      <c r="DR234" s="11"/>
      <c r="DS234" s="11"/>
      <c r="DT234" s="11"/>
      <c r="DU234" s="11"/>
      <c r="DV234" s="11"/>
      <c r="DW234" s="11"/>
      <c r="DX234" s="11"/>
      <c r="DY234" s="11"/>
      <c r="DZ234" s="11"/>
      <c r="EA234" s="11"/>
      <c r="EB234" s="11"/>
      <c r="EC234" s="11"/>
      <c r="ED234" s="11"/>
    </row>
    <row r="235" spans="1:256">
      <c r="A235" s="18" t="str">
        <f>A71</f>
        <v>Bond 21</v>
      </c>
      <c r="B235" s="18">
        <f t="shared" ref="B235:BM235" si="366">B71*B187</f>
        <v>0</v>
      </c>
      <c r="C235" s="18">
        <f t="shared" si="366"/>
        <v>0</v>
      </c>
      <c r="D235" s="18">
        <f t="shared" si="366"/>
        <v>0</v>
      </c>
      <c r="E235" s="18">
        <f t="shared" si="366"/>
        <v>0</v>
      </c>
      <c r="F235" s="18">
        <f t="shared" si="366"/>
        <v>0</v>
      </c>
      <c r="G235" s="18">
        <f t="shared" si="366"/>
        <v>0</v>
      </c>
      <c r="H235" s="18">
        <f t="shared" si="366"/>
        <v>0</v>
      </c>
      <c r="I235" s="18">
        <f t="shared" si="366"/>
        <v>0</v>
      </c>
      <c r="J235" s="18">
        <f t="shared" si="366"/>
        <v>0</v>
      </c>
      <c r="K235" s="18">
        <f t="shared" si="366"/>
        <v>0</v>
      </c>
      <c r="L235" s="18">
        <f t="shared" si="366"/>
        <v>0</v>
      </c>
      <c r="M235" s="18">
        <f t="shared" si="366"/>
        <v>0</v>
      </c>
      <c r="N235" s="18">
        <f t="shared" si="366"/>
        <v>0</v>
      </c>
      <c r="O235" s="18">
        <f t="shared" si="366"/>
        <v>0</v>
      </c>
      <c r="P235" s="18">
        <f t="shared" si="366"/>
        <v>0</v>
      </c>
      <c r="Q235" s="18">
        <f t="shared" si="366"/>
        <v>0</v>
      </c>
      <c r="R235" s="18">
        <f t="shared" si="366"/>
        <v>0</v>
      </c>
      <c r="S235" s="18">
        <f t="shared" si="366"/>
        <v>0</v>
      </c>
      <c r="T235" s="18">
        <f t="shared" si="366"/>
        <v>0</v>
      </c>
      <c r="U235" s="18">
        <f t="shared" si="366"/>
        <v>0</v>
      </c>
      <c r="V235" s="18">
        <f t="shared" si="366"/>
        <v>0</v>
      </c>
      <c r="W235" s="18">
        <f t="shared" si="366"/>
        <v>0</v>
      </c>
      <c r="X235" s="18">
        <f t="shared" si="366"/>
        <v>0</v>
      </c>
      <c r="Y235" s="18">
        <f t="shared" si="366"/>
        <v>0</v>
      </c>
      <c r="Z235" s="18">
        <f t="shared" si="366"/>
        <v>0</v>
      </c>
      <c r="AA235" s="18">
        <f t="shared" si="366"/>
        <v>0</v>
      </c>
      <c r="AB235" s="18">
        <f t="shared" si="366"/>
        <v>0</v>
      </c>
      <c r="AC235" s="18">
        <f t="shared" si="366"/>
        <v>0</v>
      </c>
      <c r="AD235" s="18">
        <f t="shared" si="366"/>
        <v>0</v>
      </c>
      <c r="AE235" s="18">
        <f t="shared" si="366"/>
        <v>0</v>
      </c>
      <c r="AF235" s="18">
        <f t="shared" si="366"/>
        <v>0</v>
      </c>
      <c r="AG235" s="18">
        <f t="shared" si="366"/>
        <v>0</v>
      </c>
      <c r="AH235" s="18">
        <f t="shared" si="366"/>
        <v>0</v>
      </c>
      <c r="AI235" s="18">
        <f t="shared" si="366"/>
        <v>0</v>
      </c>
      <c r="AJ235" s="18">
        <f t="shared" si="366"/>
        <v>0</v>
      </c>
      <c r="AK235" s="18">
        <f t="shared" si="366"/>
        <v>0</v>
      </c>
      <c r="AL235" s="18">
        <f t="shared" si="366"/>
        <v>0</v>
      </c>
      <c r="AM235" s="18">
        <f t="shared" si="366"/>
        <v>0</v>
      </c>
      <c r="AN235" s="18">
        <f t="shared" si="366"/>
        <v>0</v>
      </c>
      <c r="AO235" s="18">
        <f t="shared" si="366"/>
        <v>0</v>
      </c>
      <c r="AP235" s="18">
        <f t="shared" si="366"/>
        <v>0</v>
      </c>
      <c r="AQ235" s="18">
        <f t="shared" si="366"/>
        <v>0</v>
      </c>
      <c r="AR235" s="18">
        <f t="shared" si="366"/>
        <v>0</v>
      </c>
      <c r="AS235" s="18">
        <f t="shared" si="366"/>
        <v>0</v>
      </c>
      <c r="AT235" s="18">
        <f t="shared" si="366"/>
        <v>0</v>
      </c>
      <c r="AU235" s="18">
        <f t="shared" si="366"/>
        <v>0</v>
      </c>
      <c r="AV235" s="18">
        <f t="shared" si="366"/>
        <v>0</v>
      </c>
      <c r="AW235" s="18">
        <f t="shared" si="366"/>
        <v>0</v>
      </c>
      <c r="AX235" s="18">
        <f t="shared" si="366"/>
        <v>0</v>
      </c>
      <c r="AY235" s="18">
        <f t="shared" si="366"/>
        <v>0</v>
      </c>
      <c r="AZ235" s="18">
        <f t="shared" si="366"/>
        <v>0</v>
      </c>
      <c r="BA235" s="18">
        <f t="shared" si="366"/>
        <v>0</v>
      </c>
      <c r="BB235" s="18">
        <f t="shared" si="366"/>
        <v>0</v>
      </c>
      <c r="BC235" s="18">
        <f t="shared" si="366"/>
        <v>0</v>
      </c>
      <c r="BD235" s="18">
        <f t="shared" si="366"/>
        <v>0</v>
      </c>
      <c r="BE235" s="18">
        <f t="shared" si="366"/>
        <v>0</v>
      </c>
      <c r="BF235" s="18">
        <f t="shared" si="366"/>
        <v>0</v>
      </c>
      <c r="BG235" s="18">
        <f t="shared" si="366"/>
        <v>0</v>
      </c>
      <c r="BH235" s="18">
        <f t="shared" si="366"/>
        <v>0</v>
      </c>
      <c r="BI235" s="18">
        <f t="shared" si="366"/>
        <v>0</v>
      </c>
      <c r="BJ235" s="18">
        <f t="shared" si="366"/>
        <v>0</v>
      </c>
      <c r="BK235" s="18">
        <f t="shared" si="366"/>
        <v>0</v>
      </c>
      <c r="BL235" s="18">
        <f t="shared" si="366"/>
        <v>0</v>
      </c>
      <c r="BM235" s="18">
        <f t="shared" si="366"/>
        <v>0</v>
      </c>
      <c r="BN235" s="18">
        <f t="shared" ref="BN235:CB235" si="367">BN71*BN187</f>
        <v>0</v>
      </c>
      <c r="BO235" s="18">
        <f t="shared" si="367"/>
        <v>0</v>
      </c>
      <c r="BP235" s="18">
        <f t="shared" si="367"/>
        <v>0</v>
      </c>
      <c r="BQ235" s="18">
        <f t="shared" si="367"/>
        <v>0</v>
      </c>
      <c r="BR235" s="18">
        <f t="shared" si="367"/>
        <v>0</v>
      </c>
      <c r="BS235" s="18">
        <f t="shared" si="367"/>
        <v>0</v>
      </c>
      <c r="BT235" s="18">
        <f t="shared" si="367"/>
        <v>0</v>
      </c>
      <c r="BU235" s="18">
        <f t="shared" si="367"/>
        <v>0</v>
      </c>
      <c r="BV235" s="18">
        <f t="shared" si="367"/>
        <v>0</v>
      </c>
      <c r="BW235" s="18">
        <f t="shared" si="367"/>
        <v>0</v>
      </c>
      <c r="BX235" s="18">
        <f t="shared" si="367"/>
        <v>0</v>
      </c>
      <c r="BY235" s="18">
        <f t="shared" si="367"/>
        <v>0</v>
      </c>
      <c r="BZ235" s="18">
        <f t="shared" si="367"/>
        <v>0</v>
      </c>
      <c r="CA235" s="18">
        <f t="shared" si="367"/>
        <v>0</v>
      </c>
      <c r="CB235" s="18">
        <f t="shared" si="367"/>
        <v>0</v>
      </c>
      <c r="CC235" s="17"/>
      <c r="CD235" s="17"/>
      <c r="CE235" s="17"/>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K235" s="5"/>
      <c r="DL235" s="5"/>
      <c r="DM235" s="5"/>
      <c r="DN235" s="5"/>
      <c r="DO235" s="5"/>
      <c r="DP235" s="5"/>
      <c r="DQ235" s="5"/>
      <c r="DR235" s="5"/>
      <c r="DS235" s="5"/>
      <c r="DT235" s="5"/>
      <c r="DU235" s="5"/>
      <c r="DV235" s="5"/>
      <c r="DW235" s="5"/>
      <c r="DX235" s="5"/>
      <c r="DY235" s="5"/>
      <c r="DZ235" s="5"/>
      <c r="EA235" s="5"/>
      <c r="EB235" s="5"/>
      <c r="EC235" s="5"/>
      <c r="ED235" s="5"/>
      <c r="EE235" s="5"/>
      <c r="EF235" s="5"/>
      <c r="EG235" s="5"/>
      <c r="EH235" s="5"/>
      <c r="EI235" s="5"/>
      <c r="EJ235" s="5"/>
      <c r="EK235" s="5"/>
      <c r="EL235" s="5"/>
      <c r="EM235" s="5"/>
      <c r="EN235" s="5"/>
      <c r="EO235" s="5"/>
      <c r="EP235" s="5"/>
      <c r="EQ235" s="5"/>
      <c r="ER235" s="5"/>
      <c r="ES235" s="5"/>
      <c r="ET235" s="5"/>
      <c r="EU235" s="5"/>
      <c r="EV235" s="5"/>
      <c r="EW235" s="5"/>
      <c r="EX235" s="5"/>
      <c r="EY235" s="5"/>
      <c r="EZ235" s="5"/>
      <c r="FA235" s="5"/>
      <c r="FB235" s="5"/>
      <c r="FC235" s="5"/>
      <c r="FD235" s="5"/>
      <c r="FE235" s="5"/>
      <c r="FF235" s="5"/>
      <c r="FG235" s="5"/>
      <c r="FH235" s="5"/>
      <c r="FI235" s="5"/>
      <c r="FJ235" s="5"/>
      <c r="FK235" s="5"/>
      <c r="FL235" s="5"/>
      <c r="FM235" s="5"/>
      <c r="FN235" s="5"/>
      <c r="FO235" s="5"/>
      <c r="FP235" s="5"/>
      <c r="FQ235" s="5"/>
      <c r="FR235" s="5"/>
      <c r="FS235" s="5"/>
      <c r="FT235" s="5"/>
      <c r="FU235" s="5"/>
      <c r="FV235" s="5"/>
      <c r="FW235" s="5"/>
      <c r="FX235" s="5"/>
      <c r="FY235" s="5"/>
      <c r="FZ235" s="5"/>
      <c r="GA235" s="5"/>
      <c r="GB235" s="5"/>
      <c r="GC235" s="5"/>
      <c r="GD235" s="5"/>
      <c r="GE235" s="5"/>
      <c r="GF235" s="5"/>
      <c r="GG235" s="5"/>
      <c r="GH235" s="5"/>
      <c r="GI235" s="5"/>
      <c r="GJ235" s="5"/>
      <c r="GK235" s="5"/>
      <c r="GL235" s="5"/>
      <c r="GM235" s="5"/>
      <c r="GN235" s="5"/>
      <c r="GO235" s="5"/>
      <c r="GP235" s="5"/>
      <c r="GQ235" s="5"/>
      <c r="GR235" s="5"/>
      <c r="GS235" s="5"/>
    </row>
    <row r="236" spans="1:256">
      <c r="A236" s="18" t="str">
        <f>A73</f>
        <v>Bond 22</v>
      </c>
      <c r="B236" s="18">
        <f>B73*B192</f>
        <v>0</v>
      </c>
      <c r="C236" s="18">
        <f t="shared" ref="C236:BN236" si="368">C73*C192</f>
        <v>0</v>
      </c>
      <c r="D236" s="18">
        <f t="shared" si="368"/>
        <v>0</v>
      </c>
      <c r="E236" s="18">
        <f t="shared" si="368"/>
        <v>0</v>
      </c>
      <c r="F236" s="18">
        <f t="shared" si="368"/>
        <v>0</v>
      </c>
      <c r="G236" s="18">
        <f t="shared" si="368"/>
        <v>0</v>
      </c>
      <c r="H236" s="18">
        <f t="shared" si="368"/>
        <v>0</v>
      </c>
      <c r="I236" s="18">
        <f t="shared" si="368"/>
        <v>0</v>
      </c>
      <c r="J236" s="18">
        <f t="shared" si="368"/>
        <v>0</v>
      </c>
      <c r="K236" s="18">
        <f t="shared" si="368"/>
        <v>0</v>
      </c>
      <c r="L236" s="18">
        <f t="shared" si="368"/>
        <v>0</v>
      </c>
      <c r="M236" s="18">
        <f t="shared" si="368"/>
        <v>0</v>
      </c>
      <c r="N236" s="18">
        <f t="shared" si="368"/>
        <v>0</v>
      </c>
      <c r="O236" s="18">
        <f t="shared" si="368"/>
        <v>0</v>
      </c>
      <c r="P236" s="18">
        <f t="shared" si="368"/>
        <v>0</v>
      </c>
      <c r="Q236" s="18">
        <f t="shared" si="368"/>
        <v>0</v>
      </c>
      <c r="R236" s="18">
        <f t="shared" si="368"/>
        <v>0</v>
      </c>
      <c r="S236" s="18">
        <f t="shared" si="368"/>
        <v>0</v>
      </c>
      <c r="T236" s="18">
        <f t="shared" si="368"/>
        <v>0</v>
      </c>
      <c r="U236" s="18">
        <f t="shared" si="368"/>
        <v>0</v>
      </c>
      <c r="V236" s="18">
        <f t="shared" si="368"/>
        <v>0</v>
      </c>
      <c r="W236" s="18">
        <f t="shared" si="368"/>
        <v>0</v>
      </c>
      <c r="X236" s="18">
        <f t="shared" si="368"/>
        <v>0</v>
      </c>
      <c r="Y236" s="18">
        <f t="shared" si="368"/>
        <v>0</v>
      </c>
      <c r="Z236" s="18">
        <f t="shared" si="368"/>
        <v>0</v>
      </c>
      <c r="AA236" s="18">
        <f t="shared" si="368"/>
        <v>0</v>
      </c>
      <c r="AB236" s="18">
        <f t="shared" si="368"/>
        <v>0</v>
      </c>
      <c r="AC236" s="18">
        <f t="shared" si="368"/>
        <v>0</v>
      </c>
      <c r="AD236" s="18">
        <f t="shared" si="368"/>
        <v>0</v>
      </c>
      <c r="AE236" s="18">
        <f t="shared" si="368"/>
        <v>0</v>
      </c>
      <c r="AF236" s="18">
        <f t="shared" si="368"/>
        <v>0</v>
      </c>
      <c r="AG236" s="18">
        <f t="shared" si="368"/>
        <v>0</v>
      </c>
      <c r="AH236" s="18">
        <f t="shared" si="368"/>
        <v>0</v>
      </c>
      <c r="AI236" s="18">
        <f t="shared" si="368"/>
        <v>0</v>
      </c>
      <c r="AJ236" s="18">
        <f t="shared" si="368"/>
        <v>0</v>
      </c>
      <c r="AK236" s="18">
        <f t="shared" si="368"/>
        <v>0</v>
      </c>
      <c r="AL236" s="18">
        <f t="shared" si="368"/>
        <v>0</v>
      </c>
      <c r="AM236" s="18">
        <f t="shared" si="368"/>
        <v>0</v>
      </c>
      <c r="AN236" s="18">
        <f t="shared" si="368"/>
        <v>0</v>
      </c>
      <c r="AO236" s="18">
        <f t="shared" si="368"/>
        <v>0</v>
      </c>
      <c r="AP236" s="18">
        <f t="shared" si="368"/>
        <v>0</v>
      </c>
      <c r="AQ236" s="18">
        <f t="shared" si="368"/>
        <v>0</v>
      </c>
      <c r="AR236" s="18">
        <f t="shared" si="368"/>
        <v>0</v>
      </c>
      <c r="AS236" s="18">
        <f t="shared" si="368"/>
        <v>0</v>
      </c>
      <c r="AT236" s="18">
        <f t="shared" si="368"/>
        <v>0</v>
      </c>
      <c r="AU236" s="18">
        <f t="shared" si="368"/>
        <v>0</v>
      </c>
      <c r="AV236" s="18">
        <f t="shared" si="368"/>
        <v>0</v>
      </c>
      <c r="AW236" s="18">
        <f t="shared" si="368"/>
        <v>0</v>
      </c>
      <c r="AX236" s="18">
        <f t="shared" si="368"/>
        <v>0</v>
      </c>
      <c r="AY236" s="18">
        <f t="shared" si="368"/>
        <v>0</v>
      </c>
      <c r="AZ236" s="18">
        <f t="shared" si="368"/>
        <v>0</v>
      </c>
      <c r="BA236" s="18">
        <f t="shared" si="368"/>
        <v>0</v>
      </c>
      <c r="BB236" s="18">
        <f t="shared" si="368"/>
        <v>0</v>
      </c>
      <c r="BC236" s="18">
        <f t="shared" si="368"/>
        <v>0</v>
      </c>
      <c r="BD236" s="18">
        <f t="shared" si="368"/>
        <v>0</v>
      </c>
      <c r="BE236" s="18">
        <f t="shared" si="368"/>
        <v>0</v>
      </c>
      <c r="BF236" s="18">
        <f t="shared" si="368"/>
        <v>0</v>
      </c>
      <c r="BG236" s="18">
        <f t="shared" si="368"/>
        <v>0</v>
      </c>
      <c r="BH236" s="18">
        <f t="shared" si="368"/>
        <v>0</v>
      </c>
      <c r="BI236" s="18">
        <f t="shared" si="368"/>
        <v>0</v>
      </c>
      <c r="BJ236" s="18">
        <f t="shared" si="368"/>
        <v>0</v>
      </c>
      <c r="BK236" s="18">
        <f t="shared" si="368"/>
        <v>0</v>
      </c>
      <c r="BL236" s="18">
        <f t="shared" si="368"/>
        <v>0</v>
      </c>
      <c r="BM236" s="18">
        <f t="shared" si="368"/>
        <v>0</v>
      </c>
      <c r="BN236" s="18">
        <f t="shared" si="368"/>
        <v>0</v>
      </c>
      <c r="BO236" s="18">
        <f t="shared" ref="BO236:CB236" si="369">BO73*BO192</f>
        <v>0</v>
      </c>
      <c r="BP236" s="18">
        <f t="shared" si="369"/>
        <v>0</v>
      </c>
      <c r="BQ236" s="18">
        <f t="shared" si="369"/>
        <v>0</v>
      </c>
      <c r="BR236" s="18">
        <f t="shared" si="369"/>
        <v>0</v>
      </c>
      <c r="BS236" s="18">
        <f t="shared" si="369"/>
        <v>0</v>
      </c>
      <c r="BT236" s="18">
        <f t="shared" si="369"/>
        <v>0</v>
      </c>
      <c r="BU236" s="18">
        <f t="shared" si="369"/>
        <v>0</v>
      </c>
      <c r="BV236" s="18">
        <f t="shared" si="369"/>
        <v>0</v>
      </c>
      <c r="BW236" s="18">
        <f t="shared" si="369"/>
        <v>0</v>
      </c>
      <c r="BX236" s="18">
        <f t="shared" si="369"/>
        <v>0</v>
      </c>
      <c r="BY236" s="18">
        <f t="shared" si="369"/>
        <v>0</v>
      </c>
      <c r="BZ236" s="18">
        <f t="shared" si="369"/>
        <v>0</v>
      </c>
      <c r="CA236" s="18">
        <f t="shared" si="369"/>
        <v>0</v>
      </c>
      <c r="CB236" s="18">
        <f t="shared" si="369"/>
        <v>0</v>
      </c>
      <c r="CC236" s="17"/>
      <c r="CD236" s="17"/>
      <c r="CE236" s="17"/>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c r="DG236" s="5"/>
      <c r="DH236" s="5"/>
      <c r="DI236" s="5"/>
      <c r="DJ236" s="5"/>
      <c r="DK236" s="5"/>
      <c r="DL236" s="5"/>
      <c r="DM236" s="5"/>
      <c r="DN236" s="5"/>
      <c r="DO236" s="5"/>
      <c r="DP236" s="5"/>
      <c r="DQ236" s="5"/>
      <c r="DR236" s="5"/>
      <c r="DS236" s="5"/>
      <c r="DT236" s="5"/>
      <c r="DU236" s="5"/>
      <c r="DV236" s="5"/>
      <c r="DW236" s="5"/>
      <c r="DX236" s="5"/>
      <c r="DY236" s="5"/>
      <c r="DZ236" s="5"/>
      <c r="EA236" s="5"/>
      <c r="EB236" s="5"/>
      <c r="EC236" s="5"/>
      <c r="ED236" s="5"/>
      <c r="EE236" s="5"/>
      <c r="EF236" s="5"/>
      <c r="EG236" s="5"/>
      <c r="EH236" s="5"/>
      <c r="EI236" s="5"/>
      <c r="EJ236" s="5"/>
      <c r="EK236" s="5"/>
      <c r="EL236" s="5"/>
      <c r="EM236" s="5"/>
      <c r="EN236" s="5"/>
      <c r="EO236" s="5"/>
      <c r="EP236" s="5"/>
      <c r="EQ236" s="5"/>
      <c r="ER236" s="5"/>
      <c r="ES236" s="5"/>
      <c r="ET236" s="5"/>
      <c r="EU236" s="5"/>
      <c r="EV236" s="5"/>
      <c r="EW236" s="5"/>
      <c r="EX236" s="5"/>
      <c r="EY236" s="5"/>
      <c r="EZ236" s="5"/>
      <c r="FA236" s="5"/>
      <c r="FB236" s="5"/>
      <c r="FC236" s="5"/>
      <c r="FD236" s="5"/>
      <c r="FE236" s="5"/>
      <c r="FF236" s="5"/>
      <c r="FG236" s="5"/>
      <c r="FH236" s="5"/>
      <c r="FI236" s="5"/>
      <c r="FJ236" s="5"/>
      <c r="FK236" s="5"/>
      <c r="FL236" s="5"/>
      <c r="FM236" s="5"/>
      <c r="FN236" s="5"/>
      <c r="FO236" s="5"/>
      <c r="FP236" s="5"/>
      <c r="FQ236" s="5"/>
      <c r="FR236" s="5"/>
      <c r="FS236" s="5"/>
      <c r="FT236" s="5"/>
      <c r="FU236" s="5"/>
      <c r="FV236" s="5"/>
      <c r="FW236" s="5"/>
      <c r="FX236" s="5"/>
      <c r="FY236" s="5"/>
      <c r="FZ236" s="5"/>
      <c r="GA236" s="5"/>
      <c r="GB236" s="5"/>
      <c r="GC236" s="5"/>
      <c r="GD236" s="5"/>
      <c r="GE236" s="5"/>
      <c r="GF236" s="5"/>
      <c r="GG236" s="5"/>
      <c r="GH236" s="5"/>
      <c r="GI236" s="5"/>
      <c r="GJ236" s="5"/>
      <c r="GK236" s="5"/>
      <c r="GL236" s="5"/>
      <c r="GM236" s="5"/>
      <c r="GN236" s="5"/>
      <c r="GO236" s="5"/>
      <c r="GP236" s="5"/>
      <c r="GQ236" s="5"/>
      <c r="GR236" s="5"/>
      <c r="GS236" s="5"/>
      <c r="GT236" s="5"/>
      <c r="GU236" s="5"/>
      <c r="GV236" s="5"/>
      <c r="GW236" s="5"/>
      <c r="GX236" s="5"/>
      <c r="GY236" s="5"/>
      <c r="GZ236" s="5"/>
      <c r="HA236" s="5"/>
      <c r="HB236" s="5"/>
      <c r="HC236" s="5"/>
      <c r="HD236" s="5"/>
      <c r="HE236" s="5"/>
      <c r="HF236" s="5"/>
      <c r="HG236" s="5"/>
      <c r="HH236" s="5"/>
      <c r="HI236" s="5"/>
      <c r="HJ236" s="5"/>
      <c r="HK236" s="5"/>
      <c r="HL236" s="5"/>
      <c r="HM236" s="5"/>
      <c r="HN236" s="5"/>
      <c r="HO236" s="5"/>
      <c r="HP236" s="5"/>
      <c r="HQ236" s="5"/>
      <c r="HR236" s="5"/>
      <c r="HS236" s="5"/>
      <c r="HT236" s="5"/>
      <c r="HU236" s="5"/>
      <c r="HV236" s="5"/>
      <c r="HW236" s="5"/>
      <c r="HX236" s="5"/>
      <c r="HY236" s="5"/>
      <c r="HZ236" s="5"/>
      <c r="IA236" s="5"/>
      <c r="IB236" s="5"/>
      <c r="IC236" s="5"/>
      <c r="ID236" s="5"/>
      <c r="IE236" s="5"/>
      <c r="IF236" s="5"/>
      <c r="IG236" s="5"/>
      <c r="IH236" s="5"/>
      <c r="II236" s="5"/>
      <c r="IJ236" s="5"/>
      <c r="IK236" s="5"/>
      <c r="IL236" s="5"/>
      <c r="IM236" s="5"/>
      <c r="IN236" s="5"/>
      <c r="IO236" s="5"/>
      <c r="IP236" s="5"/>
      <c r="IQ236" s="5"/>
      <c r="IR236" s="5"/>
      <c r="IS236" s="5"/>
      <c r="IT236" s="5"/>
      <c r="IU236" s="5"/>
      <c r="IV236" s="5"/>
    </row>
    <row r="237" spans="1:256">
      <c r="A237" s="18" t="str">
        <f>A75</f>
        <v>Bond 23</v>
      </c>
      <c r="B237" s="18">
        <f>B75*B197</f>
        <v>0</v>
      </c>
      <c r="C237" s="18">
        <f t="shared" ref="C237:BN237" si="370">C75*C197</f>
        <v>0</v>
      </c>
      <c r="D237" s="18">
        <f t="shared" si="370"/>
        <v>0</v>
      </c>
      <c r="E237" s="18">
        <f t="shared" si="370"/>
        <v>0</v>
      </c>
      <c r="F237" s="18">
        <f t="shared" si="370"/>
        <v>0</v>
      </c>
      <c r="G237" s="18">
        <f t="shared" si="370"/>
        <v>0</v>
      </c>
      <c r="H237" s="18">
        <f t="shared" si="370"/>
        <v>0</v>
      </c>
      <c r="I237" s="18">
        <f t="shared" si="370"/>
        <v>0</v>
      </c>
      <c r="J237" s="18">
        <f t="shared" si="370"/>
        <v>0</v>
      </c>
      <c r="K237" s="18">
        <f t="shared" si="370"/>
        <v>0</v>
      </c>
      <c r="L237" s="18">
        <f t="shared" si="370"/>
        <v>0</v>
      </c>
      <c r="M237" s="18">
        <f t="shared" si="370"/>
        <v>0</v>
      </c>
      <c r="N237" s="18">
        <f t="shared" si="370"/>
        <v>0</v>
      </c>
      <c r="O237" s="18">
        <f t="shared" si="370"/>
        <v>0</v>
      </c>
      <c r="P237" s="18">
        <f t="shared" si="370"/>
        <v>0</v>
      </c>
      <c r="Q237" s="18">
        <f t="shared" si="370"/>
        <v>0</v>
      </c>
      <c r="R237" s="18">
        <f t="shared" si="370"/>
        <v>0</v>
      </c>
      <c r="S237" s="18">
        <f t="shared" si="370"/>
        <v>0</v>
      </c>
      <c r="T237" s="18">
        <f t="shared" si="370"/>
        <v>0</v>
      </c>
      <c r="U237" s="18">
        <f t="shared" si="370"/>
        <v>0</v>
      </c>
      <c r="V237" s="18">
        <f t="shared" si="370"/>
        <v>0</v>
      </c>
      <c r="W237" s="18">
        <f t="shared" si="370"/>
        <v>0</v>
      </c>
      <c r="X237" s="18">
        <f t="shared" si="370"/>
        <v>0</v>
      </c>
      <c r="Y237" s="18">
        <f t="shared" si="370"/>
        <v>0</v>
      </c>
      <c r="Z237" s="18">
        <f t="shared" si="370"/>
        <v>0</v>
      </c>
      <c r="AA237" s="18">
        <f t="shared" si="370"/>
        <v>0</v>
      </c>
      <c r="AB237" s="18">
        <f t="shared" si="370"/>
        <v>0</v>
      </c>
      <c r="AC237" s="18">
        <f t="shared" si="370"/>
        <v>0</v>
      </c>
      <c r="AD237" s="18">
        <f t="shared" si="370"/>
        <v>0</v>
      </c>
      <c r="AE237" s="18">
        <f t="shared" si="370"/>
        <v>0</v>
      </c>
      <c r="AF237" s="18">
        <f t="shared" si="370"/>
        <v>0</v>
      </c>
      <c r="AG237" s="18">
        <f t="shared" si="370"/>
        <v>0</v>
      </c>
      <c r="AH237" s="18">
        <f t="shared" si="370"/>
        <v>0</v>
      </c>
      <c r="AI237" s="18">
        <f t="shared" si="370"/>
        <v>0</v>
      </c>
      <c r="AJ237" s="18">
        <f t="shared" si="370"/>
        <v>0</v>
      </c>
      <c r="AK237" s="18">
        <f t="shared" si="370"/>
        <v>0</v>
      </c>
      <c r="AL237" s="18">
        <f t="shared" si="370"/>
        <v>0</v>
      </c>
      <c r="AM237" s="18">
        <f t="shared" si="370"/>
        <v>0</v>
      </c>
      <c r="AN237" s="18">
        <f t="shared" si="370"/>
        <v>0</v>
      </c>
      <c r="AO237" s="18">
        <f t="shared" si="370"/>
        <v>0</v>
      </c>
      <c r="AP237" s="18">
        <f t="shared" si="370"/>
        <v>0</v>
      </c>
      <c r="AQ237" s="18">
        <f t="shared" si="370"/>
        <v>0</v>
      </c>
      <c r="AR237" s="18">
        <f t="shared" si="370"/>
        <v>0</v>
      </c>
      <c r="AS237" s="18">
        <f t="shared" si="370"/>
        <v>0</v>
      </c>
      <c r="AT237" s="18">
        <f t="shared" si="370"/>
        <v>0</v>
      </c>
      <c r="AU237" s="18">
        <f t="shared" si="370"/>
        <v>0</v>
      </c>
      <c r="AV237" s="18">
        <f t="shared" si="370"/>
        <v>0</v>
      </c>
      <c r="AW237" s="18">
        <f t="shared" si="370"/>
        <v>0</v>
      </c>
      <c r="AX237" s="18">
        <f t="shared" si="370"/>
        <v>0</v>
      </c>
      <c r="AY237" s="18">
        <f t="shared" si="370"/>
        <v>0</v>
      </c>
      <c r="AZ237" s="18">
        <f t="shared" si="370"/>
        <v>0</v>
      </c>
      <c r="BA237" s="18">
        <f t="shared" si="370"/>
        <v>0</v>
      </c>
      <c r="BB237" s="18">
        <f t="shared" si="370"/>
        <v>0</v>
      </c>
      <c r="BC237" s="18">
        <f t="shared" si="370"/>
        <v>0</v>
      </c>
      <c r="BD237" s="18">
        <f t="shared" si="370"/>
        <v>0</v>
      </c>
      <c r="BE237" s="18">
        <f t="shared" si="370"/>
        <v>0</v>
      </c>
      <c r="BF237" s="18">
        <f t="shared" si="370"/>
        <v>0</v>
      </c>
      <c r="BG237" s="18">
        <f t="shared" si="370"/>
        <v>0</v>
      </c>
      <c r="BH237" s="18">
        <f t="shared" si="370"/>
        <v>0</v>
      </c>
      <c r="BI237" s="18">
        <f t="shared" si="370"/>
        <v>0</v>
      </c>
      <c r="BJ237" s="18">
        <f t="shared" si="370"/>
        <v>0</v>
      </c>
      <c r="BK237" s="18">
        <f t="shared" si="370"/>
        <v>0</v>
      </c>
      <c r="BL237" s="18">
        <f t="shared" si="370"/>
        <v>0</v>
      </c>
      <c r="BM237" s="18">
        <f t="shared" si="370"/>
        <v>0</v>
      </c>
      <c r="BN237" s="18">
        <f t="shared" si="370"/>
        <v>0</v>
      </c>
      <c r="BO237" s="18">
        <f t="shared" ref="BO237:CB237" si="371">BO75*BO197</f>
        <v>0</v>
      </c>
      <c r="BP237" s="18">
        <f t="shared" si="371"/>
        <v>0</v>
      </c>
      <c r="BQ237" s="18">
        <f t="shared" si="371"/>
        <v>0</v>
      </c>
      <c r="BR237" s="18">
        <f t="shared" si="371"/>
        <v>0</v>
      </c>
      <c r="BS237" s="18">
        <f t="shared" si="371"/>
        <v>0</v>
      </c>
      <c r="BT237" s="18">
        <f t="shared" si="371"/>
        <v>0</v>
      </c>
      <c r="BU237" s="18">
        <f t="shared" si="371"/>
        <v>0</v>
      </c>
      <c r="BV237" s="18">
        <f t="shared" si="371"/>
        <v>0</v>
      </c>
      <c r="BW237" s="18">
        <f t="shared" si="371"/>
        <v>0</v>
      </c>
      <c r="BX237" s="18">
        <f t="shared" si="371"/>
        <v>0</v>
      </c>
      <c r="BY237" s="18">
        <f t="shared" si="371"/>
        <v>0</v>
      </c>
      <c r="BZ237" s="18">
        <f t="shared" si="371"/>
        <v>0</v>
      </c>
      <c r="CA237" s="18">
        <f t="shared" si="371"/>
        <v>0</v>
      </c>
      <c r="CB237" s="18">
        <f t="shared" si="371"/>
        <v>0</v>
      </c>
      <c r="CC237" s="17"/>
      <c r="CD237" s="17"/>
      <c r="CE237" s="17"/>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c r="DG237" s="5"/>
      <c r="DH237" s="5"/>
      <c r="DI237" s="5"/>
      <c r="DJ237" s="5"/>
      <c r="DK237" s="5"/>
      <c r="DL237" s="5"/>
      <c r="DM237" s="5"/>
      <c r="DN237" s="5"/>
      <c r="DO237" s="5"/>
      <c r="DP237" s="5"/>
      <c r="DQ237" s="5"/>
      <c r="DR237" s="5"/>
      <c r="DS237" s="5"/>
      <c r="DT237" s="5"/>
      <c r="DU237" s="5"/>
      <c r="DV237" s="5"/>
      <c r="DW237" s="5"/>
      <c r="DX237" s="5"/>
      <c r="DY237" s="5"/>
      <c r="DZ237" s="5"/>
      <c r="EA237" s="5"/>
      <c r="EB237" s="5"/>
      <c r="EC237" s="5"/>
      <c r="ED237" s="5"/>
      <c r="EE237" s="5"/>
      <c r="EF237" s="5"/>
      <c r="EG237" s="5"/>
      <c r="EH237" s="5"/>
      <c r="EI237" s="5"/>
      <c r="EJ237" s="5"/>
      <c r="EK237" s="5"/>
      <c r="EL237" s="5"/>
      <c r="EM237" s="5"/>
      <c r="EN237" s="5"/>
      <c r="EO237" s="5"/>
      <c r="EP237" s="5"/>
      <c r="EQ237" s="5"/>
      <c r="ER237" s="5"/>
      <c r="ES237" s="5"/>
      <c r="ET237" s="5"/>
      <c r="EU237" s="5"/>
      <c r="EV237" s="5"/>
      <c r="EW237" s="5"/>
      <c r="EX237" s="5"/>
      <c r="EY237" s="5"/>
      <c r="EZ237" s="5"/>
      <c r="FA237" s="5"/>
      <c r="FB237" s="5"/>
      <c r="FC237" s="5"/>
      <c r="FD237" s="5"/>
      <c r="FE237" s="5"/>
      <c r="FF237" s="5"/>
      <c r="FG237" s="5"/>
      <c r="FH237" s="5"/>
      <c r="FI237" s="5"/>
      <c r="FJ237" s="5"/>
      <c r="FK237" s="5"/>
      <c r="FL237" s="5"/>
      <c r="FM237" s="5"/>
      <c r="FN237" s="5"/>
      <c r="FO237" s="5"/>
      <c r="FP237" s="5"/>
      <c r="FQ237" s="5"/>
      <c r="FR237" s="5"/>
      <c r="FS237" s="5"/>
      <c r="FT237" s="5"/>
      <c r="FU237" s="5"/>
      <c r="FV237" s="5"/>
      <c r="FW237" s="5"/>
      <c r="FX237" s="5"/>
      <c r="FY237" s="5"/>
      <c r="FZ237" s="5"/>
      <c r="GA237" s="5"/>
      <c r="GB237" s="5"/>
      <c r="GC237" s="5"/>
      <c r="GD237" s="5"/>
      <c r="GE237" s="5"/>
      <c r="GF237" s="5"/>
      <c r="GG237" s="5"/>
      <c r="GH237" s="5"/>
      <c r="GI237" s="5"/>
      <c r="GJ237" s="5"/>
      <c r="GK237" s="5"/>
      <c r="GL237" s="5"/>
      <c r="GM237" s="5"/>
      <c r="GN237" s="5"/>
      <c r="GO237" s="5"/>
      <c r="GP237" s="5"/>
      <c r="GQ237" s="5"/>
      <c r="GR237" s="5"/>
      <c r="GS237" s="5"/>
      <c r="GT237" s="5"/>
      <c r="GU237" s="5"/>
      <c r="GV237" s="5"/>
      <c r="GW237" s="5"/>
      <c r="GX237" s="5"/>
      <c r="GY237" s="5"/>
      <c r="GZ237" s="5"/>
      <c r="HA237" s="5"/>
      <c r="HB237" s="5"/>
      <c r="HC237" s="5"/>
      <c r="HD237" s="5"/>
      <c r="HE237" s="5"/>
      <c r="HF237" s="5"/>
      <c r="HG237" s="5"/>
      <c r="HH237" s="5"/>
      <c r="HI237" s="5"/>
      <c r="HJ237" s="5"/>
      <c r="HK237" s="5"/>
      <c r="HL237" s="5"/>
      <c r="HM237" s="5"/>
      <c r="HN237" s="5"/>
      <c r="HO237" s="5"/>
      <c r="HP237" s="5"/>
      <c r="HQ237" s="5"/>
      <c r="HR237" s="5"/>
      <c r="HS237" s="5"/>
      <c r="HT237" s="5"/>
      <c r="HU237" s="5"/>
      <c r="HV237" s="5"/>
      <c r="HW237" s="5"/>
      <c r="HX237" s="5"/>
      <c r="HY237" s="5"/>
      <c r="HZ237" s="5"/>
      <c r="IA237" s="5"/>
      <c r="IB237" s="5"/>
      <c r="IC237" s="5"/>
      <c r="ID237" s="5"/>
      <c r="IE237" s="5"/>
      <c r="IF237" s="5"/>
      <c r="IG237" s="5"/>
      <c r="IH237" s="5"/>
      <c r="II237" s="5"/>
      <c r="IJ237" s="5"/>
      <c r="IK237" s="5"/>
      <c r="IL237" s="5"/>
      <c r="IM237" s="5"/>
      <c r="IN237" s="5"/>
      <c r="IO237" s="5"/>
      <c r="IP237" s="5"/>
      <c r="IQ237" s="5"/>
      <c r="IR237" s="5"/>
      <c r="IS237" s="5"/>
      <c r="IT237" s="5"/>
      <c r="IU237" s="5"/>
      <c r="IV237" s="5"/>
    </row>
    <row r="238" spans="1:256">
      <c r="A238" s="18" t="str">
        <f>A77</f>
        <v>Bond 24</v>
      </c>
      <c r="B238" s="18">
        <f>B77*B202</f>
        <v>0</v>
      </c>
      <c r="C238" s="18">
        <f t="shared" ref="C238:BN238" si="372">C77*C202</f>
        <v>0</v>
      </c>
      <c r="D238" s="18">
        <f t="shared" si="372"/>
        <v>0</v>
      </c>
      <c r="E238" s="18">
        <f t="shared" si="372"/>
        <v>0</v>
      </c>
      <c r="F238" s="18">
        <f t="shared" si="372"/>
        <v>0</v>
      </c>
      <c r="G238" s="18">
        <f t="shared" si="372"/>
        <v>0</v>
      </c>
      <c r="H238" s="18">
        <f t="shared" si="372"/>
        <v>0</v>
      </c>
      <c r="I238" s="18">
        <f t="shared" si="372"/>
        <v>0</v>
      </c>
      <c r="J238" s="18">
        <f t="shared" si="372"/>
        <v>0</v>
      </c>
      <c r="K238" s="18">
        <f t="shared" si="372"/>
        <v>0</v>
      </c>
      <c r="L238" s="18">
        <f t="shared" si="372"/>
        <v>0</v>
      </c>
      <c r="M238" s="18">
        <f t="shared" si="372"/>
        <v>0</v>
      </c>
      <c r="N238" s="18">
        <f t="shared" si="372"/>
        <v>0</v>
      </c>
      <c r="O238" s="18">
        <f t="shared" si="372"/>
        <v>0</v>
      </c>
      <c r="P238" s="18">
        <f t="shared" si="372"/>
        <v>0</v>
      </c>
      <c r="Q238" s="18">
        <f t="shared" si="372"/>
        <v>0</v>
      </c>
      <c r="R238" s="18">
        <f t="shared" si="372"/>
        <v>0</v>
      </c>
      <c r="S238" s="18">
        <f t="shared" si="372"/>
        <v>0</v>
      </c>
      <c r="T238" s="18">
        <f t="shared" si="372"/>
        <v>0</v>
      </c>
      <c r="U238" s="18">
        <f t="shared" si="372"/>
        <v>0</v>
      </c>
      <c r="V238" s="18">
        <f t="shared" si="372"/>
        <v>0</v>
      </c>
      <c r="W238" s="18">
        <f t="shared" si="372"/>
        <v>0</v>
      </c>
      <c r="X238" s="18">
        <f t="shared" si="372"/>
        <v>0</v>
      </c>
      <c r="Y238" s="18">
        <f t="shared" si="372"/>
        <v>0</v>
      </c>
      <c r="Z238" s="18">
        <f t="shared" si="372"/>
        <v>0</v>
      </c>
      <c r="AA238" s="18">
        <f t="shared" si="372"/>
        <v>0</v>
      </c>
      <c r="AB238" s="18">
        <f t="shared" si="372"/>
        <v>0</v>
      </c>
      <c r="AC238" s="18">
        <f t="shared" si="372"/>
        <v>0</v>
      </c>
      <c r="AD238" s="18">
        <f t="shared" si="372"/>
        <v>0</v>
      </c>
      <c r="AE238" s="18">
        <f t="shared" si="372"/>
        <v>0</v>
      </c>
      <c r="AF238" s="18">
        <f t="shared" si="372"/>
        <v>0</v>
      </c>
      <c r="AG238" s="18">
        <f t="shared" si="372"/>
        <v>0</v>
      </c>
      <c r="AH238" s="18">
        <f t="shared" si="372"/>
        <v>0</v>
      </c>
      <c r="AI238" s="18">
        <f t="shared" si="372"/>
        <v>0</v>
      </c>
      <c r="AJ238" s="18">
        <f t="shared" si="372"/>
        <v>0</v>
      </c>
      <c r="AK238" s="18">
        <f t="shared" si="372"/>
        <v>0</v>
      </c>
      <c r="AL238" s="18">
        <f t="shared" si="372"/>
        <v>0</v>
      </c>
      <c r="AM238" s="18">
        <f t="shared" si="372"/>
        <v>0</v>
      </c>
      <c r="AN238" s="18">
        <f t="shared" si="372"/>
        <v>0</v>
      </c>
      <c r="AO238" s="18">
        <f t="shared" si="372"/>
        <v>0</v>
      </c>
      <c r="AP238" s="18">
        <f t="shared" si="372"/>
        <v>0</v>
      </c>
      <c r="AQ238" s="18">
        <f t="shared" si="372"/>
        <v>0</v>
      </c>
      <c r="AR238" s="18">
        <f t="shared" si="372"/>
        <v>0</v>
      </c>
      <c r="AS238" s="18">
        <f t="shared" si="372"/>
        <v>0</v>
      </c>
      <c r="AT238" s="18">
        <f t="shared" si="372"/>
        <v>0</v>
      </c>
      <c r="AU238" s="18">
        <f t="shared" si="372"/>
        <v>0</v>
      </c>
      <c r="AV238" s="18">
        <f t="shared" si="372"/>
        <v>0</v>
      </c>
      <c r="AW238" s="18">
        <f t="shared" si="372"/>
        <v>0</v>
      </c>
      <c r="AX238" s="18">
        <f t="shared" si="372"/>
        <v>0</v>
      </c>
      <c r="AY238" s="18">
        <f t="shared" si="372"/>
        <v>0</v>
      </c>
      <c r="AZ238" s="18">
        <f t="shared" si="372"/>
        <v>0</v>
      </c>
      <c r="BA238" s="18">
        <f t="shared" si="372"/>
        <v>0</v>
      </c>
      <c r="BB238" s="18">
        <f t="shared" si="372"/>
        <v>0</v>
      </c>
      <c r="BC238" s="18">
        <f t="shared" si="372"/>
        <v>0</v>
      </c>
      <c r="BD238" s="18">
        <f t="shared" si="372"/>
        <v>0</v>
      </c>
      <c r="BE238" s="18">
        <f t="shared" si="372"/>
        <v>0</v>
      </c>
      <c r="BF238" s="18">
        <f t="shared" si="372"/>
        <v>0</v>
      </c>
      <c r="BG238" s="18">
        <f t="shared" si="372"/>
        <v>0</v>
      </c>
      <c r="BH238" s="18">
        <f t="shared" si="372"/>
        <v>0</v>
      </c>
      <c r="BI238" s="18">
        <f t="shared" si="372"/>
        <v>0</v>
      </c>
      <c r="BJ238" s="18">
        <f t="shared" si="372"/>
        <v>0</v>
      </c>
      <c r="BK238" s="18">
        <f t="shared" si="372"/>
        <v>0</v>
      </c>
      <c r="BL238" s="18">
        <f t="shared" si="372"/>
        <v>0</v>
      </c>
      <c r="BM238" s="18">
        <f t="shared" si="372"/>
        <v>0</v>
      </c>
      <c r="BN238" s="18">
        <f t="shared" si="372"/>
        <v>0</v>
      </c>
      <c r="BO238" s="18">
        <f t="shared" ref="BO238:CB238" si="373">BO77*BO202</f>
        <v>0</v>
      </c>
      <c r="BP238" s="18">
        <f t="shared" si="373"/>
        <v>0</v>
      </c>
      <c r="BQ238" s="18">
        <f t="shared" si="373"/>
        <v>0</v>
      </c>
      <c r="BR238" s="18">
        <f t="shared" si="373"/>
        <v>0</v>
      </c>
      <c r="BS238" s="18">
        <f t="shared" si="373"/>
        <v>0</v>
      </c>
      <c r="BT238" s="18">
        <f t="shared" si="373"/>
        <v>0</v>
      </c>
      <c r="BU238" s="18">
        <f t="shared" si="373"/>
        <v>0</v>
      </c>
      <c r="BV238" s="18">
        <f t="shared" si="373"/>
        <v>0</v>
      </c>
      <c r="BW238" s="18">
        <f t="shared" si="373"/>
        <v>0</v>
      </c>
      <c r="BX238" s="18">
        <f t="shared" si="373"/>
        <v>0</v>
      </c>
      <c r="BY238" s="18">
        <f t="shared" si="373"/>
        <v>0</v>
      </c>
      <c r="BZ238" s="18">
        <f t="shared" si="373"/>
        <v>0</v>
      </c>
      <c r="CA238" s="18">
        <f t="shared" si="373"/>
        <v>0</v>
      </c>
      <c r="CB238" s="18">
        <f t="shared" si="373"/>
        <v>0</v>
      </c>
      <c r="CC238" s="17"/>
      <c r="CD238" s="17"/>
      <c r="CE238" s="17"/>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c r="DG238" s="5"/>
      <c r="DH238" s="5"/>
      <c r="DI238" s="5"/>
      <c r="DJ238" s="5"/>
      <c r="DK238" s="5"/>
      <c r="DL238" s="5"/>
      <c r="DM238" s="5"/>
      <c r="DN238" s="5"/>
      <c r="DO238" s="5"/>
      <c r="DP238" s="5"/>
      <c r="DQ238" s="5"/>
      <c r="DR238" s="5"/>
      <c r="DS238" s="5"/>
      <c r="DT238" s="5"/>
      <c r="DU238" s="5"/>
      <c r="DV238" s="5"/>
      <c r="DW238" s="5"/>
      <c r="DX238" s="5"/>
      <c r="DY238" s="5"/>
      <c r="DZ238" s="5"/>
      <c r="EA238" s="5"/>
      <c r="EB238" s="5"/>
      <c r="EC238" s="5"/>
      <c r="ED238" s="5"/>
      <c r="EE238" s="5"/>
      <c r="EF238" s="5"/>
      <c r="EG238" s="5"/>
      <c r="EH238" s="5"/>
      <c r="EI238" s="5"/>
      <c r="EJ238" s="5"/>
      <c r="EK238" s="5"/>
      <c r="EL238" s="5"/>
      <c r="EM238" s="5"/>
      <c r="EN238" s="5"/>
      <c r="EO238" s="5"/>
      <c r="EP238" s="5"/>
      <c r="EQ238" s="5"/>
      <c r="ER238" s="5"/>
      <c r="ES238" s="5"/>
      <c r="ET238" s="5"/>
      <c r="EU238" s="5"/>
      <c r="EV238" s="5"/>
      <c r="EW238" s="5"/>
      <c r="EX238" s="5"/>
      <c r="EY238" s="5"/>
      <c r="EZ238" s="5"/>
      <c r="FA238" s="5"/>
      <c r="FB238" s="5"/>
      <c r="FC238" s="5"/>
      <c r="FD238" s="5"/>
      <c r="FE238" s="5"/>
      <c r="FF238" s="5"/>
      <c r="FG238" s="5"/>
      <c r="FH238" s="5"/>
      <c r="FI238" s="5"/>
      <c r="FJ238" s="5"/>
      <c r="FK238" s="5"/>
      <c r="FL238" s="5"/>
      <c r="FM238" s="5"/>
      <c r="FN238" s="5"/>
      <c r="FO238" s="5"/>
      <c r="FP238" s="5"/>
      <c r="FQ238" s="5"/>
      <c r="FR238" s="5"/>
      <c r="FS238" s="5"/>
      <c r="FT238" s="5"/>
      <c r="FU238" s="5"/>
      <c r="FV238" s="5"/>
      <c r="FW238" s="5"/>
      <c r="FX238" s="5"/>
      <c r="FY238" s="5"/>
      <c r="FZ238" s="5"/>
      <c r="GA238" s="5"/>
      <c r="GB238" s="5"/>
      <c r="GC238" s="5"/>
      <c r="GD238" s="5"/>
      <c r="GE238" s="5"/>
      <c r="GF238" s="5"/>
      <c r="GG238" s="5"/>
      <c r="GH238" s="5"/>
      <c r="GI238" s="5"/>
      <c r="GJ238" s="5"/>
      <c r="GK238" s="5"/>
      <c r="GL238" s="5"/>
      <c r="GM238" s="5"/>
      <c r="GN238" s="5"/>
      <c r="GO238" s="5"/>
      <c r="GP238" s="5"/>
      <c r="GQ238" s="5"/>
      <c r="GR238" s="5"/>
      <c r="GS238" s="5"/>
      <c r="GT238" s="5"/>
      <c r="GU238" s="5"/>
      <c r="GV238" s="5"/>
      <c r="GW238" s="5"/>
      <c r="GX238" s="5"/>
      <c r="GY238" s="5"/>
      <c r="GZ238" s="5"/>
      <c r="HA238" s="5"/>
      <c r="HB238" s="5"/>
      <c r="HC238" s="5"/>
      <c r="HD238" s="5"/>
      <c r="HE238" s="5"/>
      <c r="HF238" s="5"/>
      <c r="HG238" s="5"/>
      <c r="HH238" s="5"/>
      <c r="HI238" s="5"/>
      <c r="HJ238" s="5"/>
      <c r="HK238" s="5"/>
      <c r="HL238" s="5"/>
      <c r="HM238" s="5"/>
      <c r="HN238" s="5"/>
      <c r="HO238" s="5"/>
      <c r="HP238" s="5"/>
      <c r="HQ238" s="5"/>
      <c r="HR238" s="5"/>
      <c r="HS238" s="5"/>
      <c r="HT238" s="5"/>
      <c r="HU238" s="5"/>
      <c r="HV238" s="5"/>
      <c r="HW238" s="5"/>
      <c r="HX238" s="5"/>
      <c r="HY238" s="5"/>
      <c r="HZ238" s="5"/>
      <c r="IA238" s="5"/>
      <c r="IB238" s="5"/>
      <c r="IC238" s="5"/>
      <c r="ID238" s="5"/>
      <c r="IE238" s="5"/>
      <c r="IF238" s="5"/>
      <c r="IG238" s="5"/>
      <c r="IH238" s="5"/>
      <c r="II238" s="5"/>
      <c r="IJ238" s="5"/>
      <c r="IK238" s="5"/>
      <c r="IL238" s="5"/>
      <c r="IM238" s="5"/>
      <c r="IN238" s="5"/>
      <c r="IO238" s="5"/>
      <c r="IP238" s="5"/>
      <c r="IQ238" s="5"/>
      <c r="IR238" s="5"/>
      <c r="IS238" s="5"/>
      <c r="IT238" s="5"/>
      <c r="IU238" s="5"/>
      <c r="IV238" s="5"/>
    </row>
    <row r="239" spans="1:256">
      <c r="A239" s="18" t="str">
        <f>A79</f>
        <v>Bond 25</v>
      </c>
      <c r="B239" s="18">
        <f>B79*B207</f>
        <v>0</v>
      </c>
      <c r="C239" s="18">
        <f t="shared" ref="C239:BN239" si="374">C79*C207</f>
        <v>0</v>
      </c>
      <c r="D239" s="18">
        <f t="shared" si="374"/>
        <v>0</v>
      </c>
      <c r="E239" s="18">
        <f t="shared" si="374"/>
        <v>0</v>
      </c>
      <c r="F239" s="18">
        <f t="shared" si="374"/>
        <v>0</v>
      </c>
      <c r="G239" s="18">
        <f t="shared" si="374"/>
        <v>0</v>
      </c>
      <c r="H239" s="18">
        <f t="shared" si="374"/>
        <v>0</v>
      </c>
      <c r="I239" s="18">
        <f t="shared" si="374"/>
        <v>0</v>
      </c>
      <c r="J239" s="18">
        <f t="shared" si="374"/>
        <v>0</v>
      </c>
      <c r="K239" s="18">
        <f t="shared" si="374"/>
        <v>0</v>
      </c>
      <c r="L239" s="18">
        <f t="shared" si="374"/>
        <v>0</v>
      </c>
      <c r="M239" s="18">
        <f t="shared" si="374"/>
        <v>0</v>
      </c>
      <c r="N239" s="18">
        <f t="shared" si="374"/>
        <v>0</v>
      </c>
      <c r="O239" s="18">
        <f t="shared" si="374"/>
        <v>0</v>
      </c>
      <c r="P239" s="18">
        <f t="shared" si="374"/>
        <v>0</v>
      </c>
      <c r="Q239" s="18">
        <f t="shared" si="374"/>
        <v>0</v>
      </c>
      <c r="R239" s="18">
        <f t="shared" si="374"/>
        <v>0</v>
      </c>
      <c r="S239" s="18">
        <f t="shared" si="374"/>
        <v>0</v>
      </c>
      <c r="T239" s="18">
        <f t="shared" si="374"/>
        <v>0</v>
      </c>
      <c r="U239" s="18">
        <f t="shared" si="374"/>
        <v>0</v>
      </c>
      <c r="V239" s="18">
        <f t="shared" si="374"/>
        <v>0</v>
      </c>
      <c r="W239" s="18">
        <f t="shared" si="374"/>
        <v>0</v>
      </c>
      <c r="X239" s="18">
        <f t="shared" si="374"/>
        <v>0</v>
      </c>
      <c r="Y239" s="18">
        <f t="shared" si="374"/>
        <v>0</v>
      </c>
      <c r="Z239" s="18">
        <f t="shared" si="374"/>
        <v>0</v>
      </c>
      <c r="AA239" s="18">
        <f t="shared" si="374"/>
        <v>0</v>
      </c>
      <c r="AB239" s="18">
        <f t="shared" si="374"/>
        <v>0</v>
      </c>
      <c r="AC239" s="18">
        <f t="shared" si="374"/>
        <v>0</v>
      </c>
      <c r="AD239" s="18">
        <f t="shared" si="374"/>
        <v>0</v>
      </c>
      <c r="AE239" s="18">
        <f t="shared" si="374"/>
        <v>0</v>
      </c>
      <c r="AF239" s="18">
        <f t="shared" si="374"/>
        <v>0</v>
      </c>
      <c r="AG239" s="18">
        <f t="shared" si="374"/>
        <v>0</v>
      </c>
      <c r="AH239" s="18">
        <f t="shared" si="374"/>
        <v>0</v>
      </c>
      <c r="AI239" s="18">
        <f t="shared" si="374"/>
        <v>0</v>
      </c>
      <c r="AJ239" s="18">
        <f t="shared" si="374"/>
        <v>0</v>
      </c>
      <c r="AK239" s="18">
        <f t="shared" si="374"/>
        <v>0</v>
      </c>
      <c r="AL239" s="18">
        <f t="shared" si="374"/>
        <v>0</v>
      </c>
      <c r="AM239" s="18">
        <f t="shared" si="374"/>
        <v>0</v>
      </c>
      <c r="AN239" s="18">
        <f t="shared" si="374"/>
        <v>0</v>
      </c>
      <c r="AO239" s="18">
        <f t="shared" si="374"/>
        <v>0</v>
      </c>
      <c r="AP239" s="18">
        <f t="shared" si="374"/>
        <v>0</v>
      </c>
      <c r="AQ239" s="18">
        <f t="shared" si="374"/>
        <v>0</v>
      </c>
      <c r="AR239" s="18">
        <f t="shared" si="374"/>
        <v>0</v>
      </c>
      <c r="AS239" s="18">
        <f t="shared" si="374"/>
        <v>0</v>
      </c>
      <c r="AT239" s="18">
        <f t="shared" si="374"/>
        <v>0</v>
      </c>
      <c r="AU239" s="18">
        <f t="shared" si="374"/>
        <v>0</v>
      </c>
      <c r="AV239" s="18">
        <f t="shared" si="374"/>
        <v>0</v>
      </c>
      <c r="AW239" s="18">
        <f t="shared" si="374"/>
        <v>0</v>
      </c>
      <c r="AX239" s="18">
        <f t="shared" si="374"/>
        <v>0</v>
      </c>
      <c r="AY239" s="18">
        <f t="shared" si="374"/>
        <v>0</v>
      </c>
      <c r="AZ239" s="18">
        <f t="shared" si="374"/>
        <v>0</v>
      </c>
      <c r="BA239" s="18">
        <f t="shared" si="374"/>
        <v>0</v>
      </c>
      <c r="BB239" s="18">
        <f t="shared" si="374"/>
        <v>0</v>
      </c>
      <c r="BC239" s="18">
        <f t="shared" si="374"/>
        <v>0</v>
      </c>
      <c r="BD239" s="18">
        <f t="shared" si="374"/>
        <v>0</v>
      </c>
      <c r="BE239" s="18">
        <f t="shared" si="374"/>
        <v>0</v>
      </c>
      <c r="BF239" s="18">
        <f t="shared" si="374"/>
        <v>0</v>
      </c>
      <c r="BG239" s="18">
        <f t="shared" si="374"/>
        <v>0</v>
      </c>
      <c r="BH239" s="18">
        <f t="shared" si="374"/>
        <v>0</v>
      </c>
      <c r="BI239" s="18">
        <f t="shared" si="374"/>
        <v>0</v>
      </c>
      <c r="BJ239" s="18">
        <f t="shared" si="374"/>
        <v>0</v>
      </c>
      <c r="BK239" s="18">
        <f t="shared" si="374"/>
        <v>0</v>
      </c>
      <c r="BL239" s="18">
        <f t="shared" si="374"/>
        <v>0</v>
      </c>
      <c r="BM239" s="18">
        <f t="shared" si="374"/>
        <v>0</v>
      </c>
      <c r="BN239" s="18">
        <f t="shared" si="374"/>
        <v>0</v>
      </c>
      <c r="BO239" s="18">
        <f t="shared" ref="BO239:CB239" si="375">BO79*BO207</f>
        <v>0</v>
      </c>
      <c r="BP239" s="18">
        <f t="shared" si="375"/>
        <v>0</v>
      </c>
      <c r="BQ239" s="18">
        <f t="shared" si="375"/>
        <v>0</v>
      </c>
      <c r="BR239" s="18">
        <f t="shared" si="375"/>
        <v>0</v>
      </c>
      <c r="BS239" s="18">
        <f t="shared" si="375"/>
        <v>0</v>
      </c>
      <c r="BT239" s="18">
        <f t="shared" si="375"/>
        <v>0</v>
      </c>
      <c r="BU239" s="18">
        <f t="shared" si="375"/>
        <v>0</v>
      </c>
      <c r="BV239" s="18">
        <f t="shared" si="375"/>
        <v>0</v>
      </c>
      <c r="BW239" s="18">
        <f t="shared" si="375"/>
        <v>0</v>
      </c>
      <c r="BX239" s="18">
        <f t="shared" si="375"/>
        <v>0</v>
      </c>
      <c r="BY239" s="18">
        <f t="shared" si="375"/>
        <v>0</v>
      </c>
      <c r="BZ239" s="18">
        <f t="shared" si="375"/>
        <v>0</v>
      </c>
      <c r="CA239" s="18">
        <f t="shared" si="375"/>
        <v>0</v>
      </c>
      <c r="CB239" s="18">
        <f t="shared" si="375"/>
        <v>0</v>
      </c>
      <c r="CC239" s="17"/>
      <c r="CD239" s="17"/>
      <c r="CE239" s="17"/>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c r="DG239" s="5"/>
      <c r="DH239" s="5"/>
      <c r="DI239" s="5"/>
      <c r="DJ239" s="5"/>
      <c r="DK239" s="5"/>
      <c r="DL239" s="5"/>
      <c r="DM239" s="5"/>
      <c r="DN239" s="5"/>
      <c r="DO239" s="5"/>
      <c r="DP239" s="5"/>
      <c r="DQ239" s="5"/>
      <c r="DR239" s="5"/>
      <c r="DS239" s="5"/>
      <c r="DT239" s="5"/>
      <c r="DU239" s="5"/>
      <c r="DV239" s="5"/>
      <c r="DW239" s="5"/>
      <c r="DX239" s="5"/>
      <c r="DY239" s="5"/>
      <c r="DZ239" s="5"/>
      <c r="EA239" s="5"/>
      <c r="EB239" s="5"/>
      <c r="EC239" s="5"/>
      <c r="ED239" s="5"/>
      <c r="EE239" s="5"/>
      <c r="EF239" s="5"/>
      <c r="EG239" s="5"/>
      <c r="EH239" s="5"/>
      <c r="EI239" s="5"/>
      <c r="EJ239" s="5"/>
      <c r="EK239" s="5"/>
      <c r="EL239" s="5"/>
      <c r="EM239" s="5"/>
      <c r="EN239" s="5"/>
      <c r="EO239" s="5"/>
      <c r="EP239" s="5"/>
      <c r="EQ239" s="5"/>
      <c r="ER239" s="5"/>
      <c r="ES239" s="5"/>
      <c r="ET239" s="5"/>
      <c r="EU239" s="5"/>
      <c r="EV239" s="5"/>
      <c r="EW239" s="5"/>
      <c r="EX239" s="5"/>
      <c r="EY239" s="5"/>
      <c r="EZ239" s="5"/>
      <c r="FA239" s="5"/>
      <c r="FB239" s="5"/>
      <c r="FC239" s="5"/>
      <c r="FD239" s="5"/>
      <c r="FE239" s="5"/>
      <c r="FF239" s="5"/>
      <c r="FG239" s="5"/>
      <c r="FH239" s="5"/>
      <c r="FI239" s="5"/>
      <c r="FJ239" s="5"/>
      <c r="FK239" s="5"/>
      <c r="FL239" s="5"/>
      <c r="FM239" s="5"/>
      <c r="FN239" s="5"/>
      <c r="FO239" s="5"/>
      <c r="FP239" s="5"/>
      <c r="FQ239" s="5"/>
      <c r="FR239" s="5"/>
      <c r="FS239" s="5"/>
      <c r="FT239" s="5"/>
      <c r="FU239" s="5"/>
      <c r="FV239" s="5"/>
      <c r="FW239" s="5"/>
      <c r="FX239" s="5"/>
      <c r="FY239" s="5"/>
      <c r="FZ239" s="5"/>
      <c r="GA239" s="5"/>
      <c r="GB239" s="5"/>
      <c r="GC239" s="5"/>
      <c r="GD239" s="5"/>
      <c r="GE239" s="5"/>
      <c r="GF239" s="5"/>
      <c r="GG239" s="5"/>
      <c r="GH239" s="5"/>
      <c r="GI239" s="5"/>
      <c r="GJ239" s="5"/>
      <c r="GK239" s="5"/>
      <c r="GL239" s="5"/>
      <c r="GM239" s="5"/>
      <c r="GN239" s="5"/>
      <c r="GO239" s="5"/>
      <c r="GP239" s="5"/>
      <c r="GQ239" s="5"/>
      <c r="GR239" s="5"/>
      <c r="GS239" s="5"/>
      <c r="GT239" s="5"/>
      <c r="GU239" s="5"/>
      <c r="GV239" s="5"/>
      <c r="GW239" s="5"/>
      <c r="GX239" s="5"/>
      <c r="GY239" s="5"/>
      <c r="GZ239" s="5"/>
      <c r="HA239" s="5"/>
      <c r="HB239" s="5"/>
      <c r="HC239" s="5"/>
      <c r="HD239" s="5"/>
      <c r="HE239" s="5"/>
      <c r="HF239" s="5"/>
      <c r="HG239" s="5"/>
      <c r="HH239" s="5"/>
      <c r="HI239" s="5"/>
      <c r="HJ239" s="5"/>
      <c r="HK239" s="5"/>
      <c r="HL239" s="5"/>
      <c r="HM239" s="5"/>
      <c r="HN239" s="5"/>
      <c r="HO239" s="5"/>
      <c r="HP239" s="5"/>
      <c r="HQ239" s="5"/>
      <c r="HR239" s="5"/>
      <c r="HS239" s="5"/>
      <c r="HT239" s="5"/>
      <c r="HU239" s="5"/>
      <c r="HV239" s="5"/>
      <c r="HW239" s="5"/>
      <c r="HX239" s="5"/>
      <c r="HY239" s="5"/>
      <c r="HZ239" s="5"/>
      <c r="IA239" s="5"/>
      <c r="IB239" s="5"/>
      <c r="IC239" s="5"/>
      <c r="ID239" s="5"/>
      <c r="IE239" s="5"/>
      <c r="IF239" s="5"/>
      <c r="IG239" s="5"/>
      <c r="IH239" s="5"/>
      <c r="II239" s="5"/>
      <c r="IJ239" s="5"/>
      <c r="IK239" s="5"/>
      <c r="IL239" s="5"/>
      <c r="IM239" s="5"/>
      <c r="IN239" s="5"/>
      <c r="IO239" s="5"/>
      <c r="IP239" s="5"/>
      <c r="IQ239" s="5"/>
      <c r="IR239" s="5"/>
      <c r="IS239" s="5"/>
      <c r="IT239" s="5"/>
      <c r="IU239" s="5"/>
      <c r="IV239" s="5"/>
    </row>
    <row r="240" spans="1:256">
      <c r="A240" s="140" t="str">
        <f>A81</f>
        <v>Bond 26</v>
      </c>
      <c r="B240" s="18">
        <f>B81*B212</f>
        <v>0</v>
      </c>
      <c r="C240" s="18">
        <f t="shared" ref="C240:BN240" si="376">C81*C212</f>
        <v>0</v>
      </c>
      <c r="D240" s="18">
        <f t="shared" si="376"/>
        <v>0</v>
      </c>
      <c r="E240" s="18">
        <f t="shared" si="376"/>
        <v>0</v>
      </c>
      <c r="F240" s="18">
        <f t="shared" si="376"/>
        <v>0</v>
      </c>
      <c r="G240" s="18">
        <f t="shared" si="376"/>
        <v>0</v>
      </c>
      <c r="H240" s="18">
        <f t="shared" si="376"/>
        <v>0</v>
      </c>
      <c r="I240" s="18">
        <f t="shared" si="376"/>
        <v>0</v>
      </c>
      <c r="J240" s="18">
        <f t="shared" si="376"/>
        <v>0</v>
      </c>
      <c r="K240" s="18">
        <f t="shared" si="376"/>
        <v>0</v>
      </c>
      <c r="L240" s="18">
        <f t="shared" si="376"/>
        <v>0</v>
      </c>
      <c r="M240" s="18">
        <f t="shared" si="376"/>
        <v>0</v>
      </c>
      <c r="N240" s="18">
        <f t="shared" si="376"/>
        <v>0</v>
      </c>
      <c r="O240" s="18">
        <f t="shared" si="376"/>
        <v>0</v>
      </c>
      <c r="P240" s="18">
        <f t="shared" si="376"/>
        <v>0</v>
      </c>
      <c r="Q240" s="18">
        <f t="shared" si="376"/>
        <v>0</v>
      </c>
      <c r="R240" s="18">
        <f t="shared" si="376"/>
        <v>0</v>
      </c>
      <c r="S240" s="18">
        <f t="shared" si="376"/>
        <v>0</v>
      </c>
      <c r="T240" s="18">
        <f t="shared" si="376"/>
        <v>0</v>
      </c>
      <c r="U240" s="18">
        <f t="shared" si="376"/>
        <v>0</v>
      </c>
      <c r="V240" s="18">
        <f t="shared" si="376"/>
        <v>0</v>
      </c>
      <c r="W240" s="18">
        <f t="shared" si="376"/>
        <v>0</v>
      </c>
      <c r="X240" s="18">
        <f t="shared" si="376"/>
        <v>0</v>
      </c>
      <c r="Y240" s="18">
        <f t="shared" si="376"/>
        <v>0</v>
      </c>
      <c r="Z240" s="18">
        <f t="shared" si="376"/>
        <v>0</v>
      </c>
      <c r="AA240" s="18">
        <f t="shared" si="376"/>
        <v>0</v>
      </c>
      <c r="AB240" s="18">
        <f t="shared" si="376"/>
        <v>0</v>
      </c>
      <c r="AC240" s="18">
        <f t="shared" si="376"/>
        <v>0</v>
      </c>
      <c r="AD240" s="18">
        <f t="shared" si="376"/>
        <v>0</v>
      </c>
      <c r="AE240" s="18">
        <f t="shared" si="376"/>
        <v>0</v>
      </c>
      <c r="AF240" s="18">
        <f t="shared" si="376"/>
        <v>0</v>
      </c>
      <c r="AG240" s="18">
        <f t="shared" si="376"/>
        <v>0</v>
      </c>
      <c r="AH240" s="18">
        <f t="shared" si="376"/>
        <v>0</v>
      </c>
      <c r="AI240" s="18">
        <f t="shared" si="376"/>
        <v>0</v>
      </c>
      <c r="AJ240" s="18">
        <f t="shared" si="376"/>
        <v>0</v>
      </c>
      <c r="AK240" s="18">
        <f t="shared" si="376"/>
        <v>0</v>
      </c>
      <c r="AL240" s="18">
        <f t="shared" si="376"/>
        <v>0</v>
      </c>
      <c r="AM240" s="18">
        <f t="shared" si="376"/>
        <v>0</v>
      </c>
      <c r="AN240" s="18">
        <f t="shared" si="376"/>
        <v>0</v>
      </c>
      <c r="AO240" s="18">
        <f t="shared" si="376"/>
        <v>0</v>
      </c>
      <c r="AP240" s="18">
        <f t="shared" si="376"/>
        <v>0</v>
      </c>
      <c r="AQ240" s="18">
        <f t="shared" si="376"/>
        <v>0</v>
      </c>
      <c r="AR240" s="18">
        <f t="shared" si="376"/>
        <v>0</v>
      </c>
      <c r="AS240" s="18">
        <f t="shared" si="376"/>
        <v>0</v>
      </c>
      <c r="AT240" s="18">
        <f t="shared" si="376"/>
        <v>0</v>
      </c>
      <c r="AU240" s="18">
        <f t="shared" si="376"/>
        <v>0</v>
      </c>
      <c r="AV240" s="18">
        <f t="shared" si="376"/>
        <v>0</v>
      </c>
      <c r="AW240" s="18">
        <f t="shared" si="376"/>
        <v>0</v>
      </c>
      <c r="AX240" s="18">
        <f t="shared" si="376"/>
        <v>0</v>
      </c>
      <c r="AY240" s="18">
        <f t="shared" si="376"/>
        <v>0</v>
      </c>
      <c r="AZ240" s="18">
        <f t="shared" si="376"/>
        <v>0</v>
      </c>
      <c r="BA240" s="18">
        <f t="shared" si="376"/>
        <v>0</v>
      </c>
      <c r="BB240" s="18">
        <f t="shared" si="376"/>
        <v>0</v>
      </c>
      <c r="BC240" s="18">
        <f t="shared" si="376"/>
        <v>0</v>
      </c>
      <c r="BD240" s="18">
        <f t="shared" si="376"/>
        <v>0</v>
      </c>
      <c r="BE240" s="18">
        <f t="shared" si="376"/>
        <v>0</v>
      </c>
      <c r="BF240" s="18">
        <f t="shared" si="376"/>
        <v>0</v>
      </c>
      <c r="BG240" s="18">
        <f t="shared" si="376"/>
        <v>0</v>
      </c>
      <c r="BH240" s="18">
        <f t="shared" si="376"/>
        <v>0</v>
      </c>
      <c r="BI240" s="18">
        <f t="shared" si="376"/>
        <v>0</v>
      </c>
      <c r="BJ240" s="18">
        <f t="shared" si="376"/>
        <v>0</v>
      </c>
      <c r="BK240" s="18">
        <f t="shared" si="376"/>
        <v>0</v>
      </c>
      <c r="BL240" s="18">
        <f t="shared" si="376"/>
        <v>0</v>
      </c>
      <c r="BM240" s="18">
        <f t="shared" si="376"/>
        <v>0</v>
      </c>
      <c r="BN240" s="18">
        <f t="shared" si="376"/>
        <v>0</v>
      </c>
      <c r="BO240" s="18">
        <f t="shared" ref="BO240:CB240" si="377">BO81*BO212</f>
        <v>0</v>
      </c>
      <c r="BP240" s="18">
        <f t="shared" si="377"/>
        <v>0</v>
      </c>
      <c r="BQ240" s="18">
        <f t="shared" si="377"/>
        <v>0</v>
      </c>
      <c r="BR240" s="18">
        <f t="shared" si="377"/>
        <v>0</v>
      </c>
      <c r="BS240" s="18">
        <f t="shared" si="377"/>
        <v>0</v>
      </c>
      <c r="BT240" s="18">
        <f t="shared" si="377"/>
        <v>0</v>
      </c>
      <c r="BU240" s="18">
        <f t="shared" si="377"/>
        <v>0</v>
      </c>
      <c r="BV240" s="18">
        <f t="shared" si="377"/>
        <v>0</v>
      </c>
      <c r="BW240" s="18">
        <f t="shared" si="377"/>
        <v>0</v>
      </c>
      <c r="BX240" s="18">
        <f t="shared" si="377"/>
        <v>0</v>
      </c>
      <c r="BY240" s="18">
        <f t="shared" si="377"/>
        <v>0</v>
      </c>
      <c r="BZ240" s="18">
        <f t="shared" si="377"/>
        <v>0</v>
      </c>
      <c r="CA240" s="18">
        <f t="shared" si="377"/>
        <v>0</v>
      </c>
      <c r="CB240" s="18">
        <f t="shared" si="377"/>
        <v>0</v>
      </c>
      <c r="CC240" s="17"/>
      <c r="CD240" s="17"/>
      <c r="CE240" s="17"/>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c r="DI240" s="5"/>
      <c r="DJ240" s="5"/>
      <c r="DK240" s="5"/>
      <c r="DL240" s="5"/>
      <c r="DM240" s="5"/>
      <c r="DN240" s="5"/>
      <c r="DO240" s="5"/>
      <c r="DP240" s="5"/>
      <c r="DQ240" s="5"/>
      <c r="DR240" s="5"/>
      <c r="DS240" s="5"/>
      <c r="DT240" s="5"/>
      <c r="DU240" s="5"/>
      <c r="DV240" s="5"/>
      <c r="DW240" s="5"/>
      <c r="DX240" s="5"/>
      <c r="DY240" s="5"/>
      <c r="DZ240" s="5"/>
      <c r="EA240" s="5"/>
      <c r="EB240" s="5"/>
      <c r="EC240" s="5"/>
      <c r="ED240" s="5"/>
      <c r="EE240" s="5"/>
      <c r="EF240" s="5"/>
      <c r="EG240" s="5"/>
      <c r="EH240" s="5"/>
      <c r="EI240" s="5"/>
      <c r="EJ240" s="5"/>
      <c r="EK240" s="5"/>
      <c r="EL240" s="5"/>
      <c r="EM240" s="5"/>
      <c r="EN240" s="5"/>
      <c r="EO240" s="5"/>
      <c r="EP240" s="5"/>
      <c r="EQ240" s="5"/>
      <c r="ER240" s="5"/>
      <c r="ES240" s="5"/>
      <c r="ET240" s="5"/>
      <c r="EU240" s="5"/>
      <c r="EV240" s="5"/>
      <c r="EW240" s="5"/>
      <c r="EX240" s="5"/>
      <c r="EY240" s="5"/>
      <c r="EZ240" s="5"/>
      <c r="FA240" s="5"/>
      <c r="FB240" s="5"/>
      <c r="FC240" s="5"/>
      <c r="FD240" s="5"/>
      <c r="FE240" s="5"/>
      <c r="FF240" s="5"/>
      <c r="FG240" s="5"/>
      <c r="FH240" s="5"/>
      <c r="FI240" s="5"/>
      <c r="FJ240" s="5"/>
      <c r="FK240" s="5"/>
      <c r="FL240" s="5"/>
      <c r="FM240" s="5"/>
      <c r="FN240" s="5"/>
      <c r="FO240" s="5"/>
      <c r="FP240" s="5"/>
      <c r="FQ240" s="5"/>
      <c r="FR240" s="5"/>
      <c r="FS240" s="5"/>
      <c r="FT240" s="5"/>
      <c r="FU240" s="5"/>
      <c r="FV240" s="5"/>
      <c r="FW240" s="5"/>
      <c r="FX240" s="5"/>
      <c r="FY240" s="5"/>
      <c r="FZ240" s="5"/>
      <c r="GA240" s="5"/>
      <c r="GB240" s="5"/>
      <c r="GC240" s="5"/>
      <c r="GD240" s="5"/>
      <c r="GE240" s="5"/>
      <c r="GF240" s="5"/>
      <c r="GG240" s="5"/>
      <c r="GH240" s="5"/>
      <c r="GI240" s="5"/>
      <c r="GJ240" s="5"/>
      <c r="GK240" s="5"/>
      <c r="GL240" s="5"/>
      <c r="GM240" s="5"/>
      <c r="GN240" s="5"/>
      <c r="GO240" s="5"/>
      <c r="GP240" s="5"/>
      <c r="GQ240" s="5"/>
      <c r="GR240" s="5"/>
      <c r="GS240" s="5"/>
      <c r="GT240" s="5"/>
      <c r="GU240" s="5"/>
      <c r="GV240" s="5"/>
      <c r="GW240" s="5"/>
      <c r="GX240" s="5"/>
      <c r="GY240" s="5"/>
      <c r="GZ240" s="5"/>
      <c r="HA240" s="5"/>
      <c r="HB240" s="5"/>
      <c r="HC240" s="5"/>
      <c r="HD240" s="5"/>
      <c r="HE240" s="5"/>
      <c r="HF240" s="5"/>
      <c r="HG240" s="5"/>
      <c r="HH240" s="5"/>
      <c r="HI240" s="5"/>
      <c r="HJ240" s="5"/>
      <c r="HK240" s="5"/>
      <c r="HL240" s="5"/>
      <c r="HM240" s="5"/>
      <c r="HN240" s="5"/>
      <c r="HO240" s="5"/>
      <c r="HP240" s="5"/>
      <c r="HQ240" s="5"/>
      <c r="HR240" s="5"/>
      <c r="HS240" s="5"/>
      <c r="HT240" s="5"/>
      <c r="HU240" s="5"/>
      <c r="HV240" s="5"/>
      <c r="HW240" s="5"/>
      <c r="HX240" s="5"/>
      <c r="HY240" s="5"/>
      <c r="HZ240" s="5"/>
      <c r="IA240" s="5"/>
      <c r="IB240" s="5"/>
      <c r="IC240" s="5"/>
      <c r="ID240" s="5"/>
      <c r="IE240" s="5"/>
      <c r="IF240" s="5"/>
      <c r="IG240" s="5"/>
      <c r="IH240" s="5"/>
      <c r="II240" s="5"/>
      <c r="IJ240" s="5"/>
      <c r="IK240" s="5"/>
      <c r="IL240" s="5"/>
      <c r="IM240" s="5"/>
      <c r="IN240" s="5"/>
      <c r="IO240" s="5"/>
      <c r="IP240" s="5"/>
      <c r="IQ240" s="5"/>
      <c r="IR240" s="5"/>
      <c r="IS240" s="5"/>
      <c r="IT240" s="5"/>
      <c r="IU240" s="5"/>
      <c r="IV240" s="5"/>
    </row>
    <row r="241" spans="1:256">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7"/>
      <c r="AB241" s="17"/>
      <c r="AC241" s="17"/>
      <c r="AD241" s="17"/>
      <c r="AE241" s="17"/>
      <c r="AF241" s="17"/>
      <c r="AG241" s="17"/>
      <c r="AH241" s="17"/>
      <c r="AI241" s="17"/>
      <c r="AJ241" s="17"/>
      <c r="AK241" s="17"/>
      <c r="AL241" s="17"/>
      <c r="AM241" s="17"/>
      <c r="AN241" s="17"/>
      <c r="AO241" s="17"/>
      <c r="AP241" s="17"/>
      <c r="AQ241" s="17"/>
      <c r="AR241" s="17"/>
      <c r="AS241" s="17"/>
      <c r="AT241" s="17"/>
      <c r="AU241" s="17"/>
      <c r="AV241" s="17"/>
      <c r="AW241" s="17"/>
      <c r="AX241" s="17"/>
      <c r="AY241" s="17"/>
      <c r="AZ241" s="17"/>
      <c r="BA241" s="17"/>
      <c r="BB241" s="17"/>
      <c r="BC241" s="17"/>
      <c r="BD241" s="17"/>
      <c r="BE241" s="17"/>
      <c r="BF241" s="17"/>
      <c r="BG241" s="17"/>
      <c r="BH241" s="17"/>
      <c r="BI241" s="17"/>
      <c r="BJ241" s="17"/>
      <c r="BK241" s="17"/>
      <c r="BL241" s="17"/>
      <c r="BM241" s="17"/>
      <c r="BN241" s="17"/>
      <c r="BO241" s="17"/>
      <c r="BP241" s="17"/>
      <c r="BQ241" s="17"/>
      <c r="BR241" s="17"/>
      <c r="BS241" s="17"/>
      <c r="BT241" s="17"/>
      <c r="BU241" s="17"/>
      <c r="BV241" s="17"/>
      <c r="BW241" s="17"/>
      <c r="BX241" s="17"/>
      <c r="BY241" s="17"/>
      <c r="BZ241" s="17"/>
      <c r="CA241" s="17"/>
      <c r="CB241" s="17"/>
      <c r="CC241" s="17"/>
      <c r="CD241" s="17"/>
      <c r="CE241" s="17"/>
      <c r="CH241" s="11"/>
      <c r="CI241" s="11"/>
      <c r="CJ241" s="11"/>
      <c r="CK241" s="11"/>
      <c r="CL241" s="11"/>
      <c r="CM241" s="11"/>
      <c r="CN241" s="11"/>
      <c r="CO241" s="11"/>
      <c r="CP241" s="11"/>
      <c r="CQ241" s="11"/>
      <c r="CR241" s="11"/>
      <c r="CS241" s="11"/>
      <c r="CT241" s="11"/>
      <c r="CU241" s="11"/>
      <c r="CV241" s="11"/>
      <c r="CW241" s="11"/>
      <c r="CX241" s="11"/>
      <c r="CY241" s="11"/>
      <c r="CZ241" s="11"/>
      <c r="DA241" s="11"/>
      <c r="DB241" s="11"/>
      <c r="DC241" s="11"/>
      <c r="DD241" s="11"/>
      <c r="DE241" s="11"/>
      <c r="DF241" s="11"/>
      <c r="DG241" s="11"/>
      <c r="DH241" s="11"/>
      <c r="DI241" s="5"/>
      <c r="DJ241" s="5"/>
      <c r="DK241" s="5"/>
      <c r="DL241" s="5"/>
      <c r="DM241" s="5"/>
      <c r="DN241" s="5"/>
      <c r="DO241" s="5"/>
      <c r="DP241" s="5"/>
      <c r="DQ241" s="5"/>
      <c r="DR241" s="5"/>
      <c r="DS241" s="5"/>
      <c r="DT241" s="5"/>
      <c r="DU241" s="5"/>
      <c r="DV241" s="5"/>
      <c r="DW241" s="5"/>
      <c r="DX241" s="5"/>
      <c r="DY241" s="5"/>
      <c r="DZ241" s="5"/>
      <c r="EA241" s="5"/>
      <c r="EB241" s="5"/>
      <c r="EC241" s="5"/>
      <c r="ED241" s="5"/>
      <c r="EE241" s="5"/>
      <c r="EF241" s="5"/>
      <c r="EG241" s="5"/>
      <c r="EH241" s="5"/>
      <c r="EI241" s="5"/>
      <c r="EJ241" s="5"/>
      <c r="EK241" s="5"/>
      <c r="EL241" s="5"/>
      <c r="EM241" s="5"/>
      <c r="EN241" s="5"/>
      <c r="EO241" s="5"/>
      <c r="EP241" s="5"/>
      <c r="EQ241" s="5"/>
      <c r="ER241" s="5"/>
      <c r="ES241" s="5"/>
      <c r="ET241" s="5"/>
      <c r="EU241" s="5"/>
      <c r="EV241" s="5"/>
      <c r="EW241" s="5"/>
      <c r="EX241" s="5"/>
      <c r="EY241" s="5"/>
      <c r="EZ241" s="5"/>
      <c r="FA241" s="5"/>
      <c r="FB241" s="5"/>
      <c r="FC241" s="5"/>
      <c r="FD241" s="5"/>
      <c r="FE241" s="5"/>
      <c r="FF241" s="5"/>
      <c r="FG241" s="5"/>
      <c r="FH241" s="5"/>
      <c r="FI241" s="5"/>
      <c r="FJ241" s="5"/>
      <c r="FK241" s="5"/>
      <c r="FL241" s="5"/>
      <c r="FM241" s="5"/>
      <c r="FN241" s="5"/>
      <c r="FO241" s="5"/>
      <c r="FP241" s="5"/>
      <c r="FQ241" s="5"/>
      <c r="FR241" s="5"/>
      <c r="FS241" s="5"/>
      <c r="FT241" s="5"/>
      <c r="FU241" s="5"/>
      <c r="FV241" s="5"/>
      <c r="FW241" s="5"/>
      <c r="FX241" s="5"/>
      <c r="FY241" s="5"/>
      <c r="FZ241" s="5"/>
      <c r="GA241" s="5"/>
      <c r="GB241" s="5"/>
      <c r="GC241" s="5"/>
      <c r="GD241" s="5"/>
      <c r="GE241" s="5"/>
      <c r="GF241" s="5"/>
      <c r="GG241" s="5"/>
      <c r="GH241" s="5"/>
      <c r="GI241" s="5"/>
      <c r="GJ241" s="5"/>
      <c r="GK241" s="5"/>
      <c r="GL241" s="5"/>
      <c r="GM241" s="5"/>
      <c r="GN241" s="5"/>
      <c r="GO241" s="5"/>
      <c r="GP241" s="5"/>
      <c r="GQ241" s="5"/>
      <c r="GR241" s="5"/>
      <c r="GS241" s="5"/>
      <c r="GT241" s="5"/>
      <c r="GU241" s="5"/>
      <c r="GV241" s="5"/>
      <c r="GW241" s="5"/>
      <c r="GX241" s="5"/>
      <c r="GY241" s="5"/>
      <c r="GZ241" s="5"/>
      <c r="HA241" s="5"/>
      <c r="HB241" s="5"/>
      <c r="HC241" s="5"/>
      <c r="HD241" s="5"/>
      <c r="HE241" s="5"/>
      <c r="HF241" s="5"/>
      <c r="HG241" s="5"/>
      <c r="HH241" s="5"/>
      <c r="HI241" s="5"/>
      <c r="HJ241" s="5"/>
      <c r="HK241" s="5"/>
      <c r="HL241" s="5"/>
      <c r="HM241" s="5"/>
      <c r="HN241" s="5"/>
      <c r="HO241" s="5"/>
      <c r="HP241" s="5"/>
      <c r="HQ241" s="5"/>
      <c r="HR241" s="5"/>
      <c r="HS241" s="5"/>
      <c r="HT241" s="5"/>
      <c r="HU241" s="5"/>
      <c r="HV241" s="5"/>
      <c r="HW241" s="5"/>
      <c r="HX241" s="5"/>
      <c r="HY241" s="5"/>
      <c r="HZ241" s="5"/>
      <c r="IA241" s="5"/>
      <c r="IB241" s="5"/>
      <c r="IC241" s="5"/>
      <c r="ID241" s="5"/>
      <c r="IE241" s="5"/>
      <c r="IF241" s="5"/>
      <c r="IG241" s="5"/>
      <c r="IH241" s="5"/>
      <c r="II241" s="5"/>
      <c r="IJ241" s="5"/>
      <c r="IK241" s="5"/>
      <c r="IL241" s="5"/>
      <c r="IM241" s="5"/>
      <c r="IN241" s="5"/>
      <c r="IO241" s="5"/>
      <c r="IP241" s="5"/>
      <c r="IQ241" s="5"/>
      <c r="IR241" s="5"/>
      <c r="IS241" s="5"/>
      <c r="IT241" s="5"/>
      <c r="IU241" s="5"/>
      <c r="IV241" s="5"/>
    </row>
    <row r="242" spans="1:256">
      <c r="A242" s="190"/>
      <c r="B242" s="18" t="s">
        <v>13</v>
      </c>
      <c r="C242" s="18" t="s">
        <v>47</v>
      </c>
      <c r="D242" s="18" t="s">
        <v>14</v>
      </c>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c r="AS242" s="17"/>
      <c r="AT242" s="17"/>
      <c r="AU242" s="17"/>
      <c r="AV242" s="17"/>
      <c r="AW242" s="17"/>
      <c r="AX242" s="17"/>
      <c r="AY242" s="17"/>
      <c r="AZ242" s="17"/>
      <c r="BA242" s="17"/>
      <c r="BB242" s="17"/>
      <c r="BC242" s="17"/>
      <c r="BD242" s="17"/>
      <c r="BE242" s="17"/>
      <c r="BF242" s="17"/>
      <c r="BG242" s="17"/>
      <c r="BH242" s="17"/>
      <c r="BI242" s="17"/>
      <c r="BJ242" s="17"/>
      <c r="BK242" s="17"/>
      <c r="BL242" s="17"/>
      <c r="BM242" s="17"/>
      <c r="BN242" s="17"/>
      <c r="BO242" s="17"/>
      <c r="BP242" s="17"/>
      <c r="BQ242" s="17"/>
      <c r="BR242" s="17"/>
      <c r="BS242" s="17"/>
      <c r="BT242" s="17"/>
      <c r="BU242" s="17"/>
      <c r="BV242" s="17"/>
      <c r="BW242" s="17"/>
      <c r="BX242" s="17"/>
      <c r="BY242" s="17"/>
      <c r="BZ242" s="17"/>
      <c r="CA242" s="17"/>
      <c r="CB242" s="17"/>
      <c r="CC242" s="17"/>
      <c r="CD242" s="17"/>
      <c r="CE242" s="17"/>
      <c r="CH242" s="5"/>
    </row>
    <row r="243" spans="1:256">
      <c r="A243" s="18" t="str">
        <f t="shared" ref="A243:A257" si="378">A215</f>
        <v>Bond 1</v>
      </c>
      <c r="B243" s="230"/>
      <c r="C243" s="18"/>
      <c r="D243" s="18"/>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c r="AI243" s="19"/>
      <c r="AJ243" s="19"/>
      <c r="AK243" s="19"/>
      <c r="AL243" s="19"/>
      <c r="AM243" s="19"/>
      <c r="AN243" s="19"/>
      <c r="AO243" s="19"/>
      <c r="AP243" s="19"/>
      <c r="AQ243" s="19"/>
      <c r="AR243" s="19"/>
      <c r="AS243" s="19"/>
      <c r="AT243" s="19"/>
      <c r="AU243" s="19"/>
      <c r="AV243" s="19"/>
      <c r="AW243" s="19"/>
      <c r="AX243" s="19"/>
      <c r="AY243" s="19"/>
      <c r="AZ243" s="19"/>
      <c r="BA243" s="19"/>
      <c r="BB243" s="19"/>
      <c r="BC243" s="19"/>
      <c r="BD243" s="19"/>
      <c r="BE243" s="19"/>
      <c r="BF243" s="19"/>
      <c r="BG243" s="19"/>
      <c r="BH243" s="19"/>
      <c r="BI243" s="19"/>
      <c r="BJ243" s="19"/>
      <c r="BK243" s="19"/>
      <c r="BL243" s="19"/>
      <c r="BM243" s="19"/>
      <c r="BN243" s="19"/>
      <c r="BO243" s="19"/>
      <c r="BP243" s="19"/>
      <c r="BQ243" s="19"/>
      <c r="BR243" s="19"/>
      <c r="BS243" s="19"/>
      <c r="BT243" s="19"/>
      <c r="BU243" s="19"/>
      <c r="BV243" s="19"/>
      <c r="BW243" s="19"/>
      <c r="BX243" s="19"/>
      <c r="BY243" s="19"/>
      <c r="BZ243" s="19"/>
      <c r="CA243" s="19"/>
      <c r="CB243" s="19"/>
      <c r="CC243" s="19"/>
      <c r="CD243" s="19"/>
      <c r="CE243" s="19"/>
      <c r="CF243" s="7"/>
      <c r="CH243" s="5"/>
    </row>
    <row r="244" spans="1:256">
      <c r="A244" s="18" t="str">
        <f t="shared" si="378"/>
        <v>Bond 2</v>
      </c>
      <c r="B244" s="18">
        <f t="shared" ref="B244:B257" si="379">SUM(B216:CB216)</f>
        <v>100.03214808927225</v>
      </c>
      <c r="C244" s="18">
        <f t="shared" ref="C244:C257" si="380">K3</f>
        <v>100.02775</v>
      </c>
      <c r="D244" s="230">
        <f>P3*(B244-K3)^2</f>
        <v>1.934318924674445E-5</v>
      </c>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c r="AI244" s="19"/>
      <c r="AJ244" s="19"/>
      <c r="AK244" s="19"/>
      <c r="AL244" s="19"/>
      <c r="AM244" s="19"/>
      <c r="AN244" s="19"/>
      <c r="AO244" s="19"/>
      <c r="AP244" s="19"/>
      <c r="AQ244" s="19"/>
      <c r="AR244" s="19"/>
      <c r="AS244" s="19"/>
      <c r="AT244" s="19"/>
      <c r="AU244" s="19"/>
      <c r="AV244" s="19"/>
      <c r="AW244" s="19"/>
      <c r="AX244" s="19"/>
      <c r="AY244" s="19"/>
      <c r="AZ244" s="19"/>
      <c r="BA244" s="19"/>
      <c r="BB244" s="19"/>
      <c r="BC244" s="19"/>
      <c r="BD244" s="19"/>
      <c r="BE244" s="19"/>
      <c r="BF244" s="19"/>
      <c r="BG244" s="19"/>
      <c r="BH244" s="19"/>
      <c r="BI244" s="19"/>
      <c r="BJ244" s="19"/>
      <c r="BK244" s="19"/>
      <c r="BL244" s="19"/>
      <c r="BM244" s="19"/>
      <c r="BN244" s="19"/>
      <c r="BO244" s="19"/>
      <c r="BP244" s="19"/>
      <c r="BQ244" s="19"/>
      <c r="BR244" s="19"/>
      <c r="BS244" s="19"/>
      <c r="BT244" s="19"/>
      <c r="BU244" s="19"/>
      <c r="BV244" s="19"/>
      <c r="BW244" s="19"/>
      <c r="BX244" s="19"/>
      <c r="BY244" s="19"/>
      <c r="BZ244" s="19"/>
      <c r="CA244" s="19"/>
      <c r="CB244" s="19"/>
      <c r="CC244" s="19"/>
      <c r="CD244" s="19"/>
      <c r="CE244" s="19"/>
      <c r="CF244" s="7"/>
    </row>
    <row r="245" spans="1:256">
      <c r="A245" s="18" t="str">
        <f t="shared" si="378"/>
        <v>Bond 3</v>
      </c>
      <c r="B245" s="18">
        <f t="shared" si="379"/>
        <v>100.06353674778109</v>
      </c>
      <c r="C245" s="18">
        <f t="shared" si="380"/>
        <v>100.0821</v>
      </c>
      <c r="D245" s="230">
        <f t="shared" ref="D245:D257" si="381">P4*(B245-K4)^2</f>
        <v>3.4459433294290322E-4</v>
      </c>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c r="AI245" s="19"/>
      <c r="AJ245" s="19"/>
      <c r="AK245" s="19"/>
      <c r="AL245" s="19"/>
      <c r="AM245" s="19"/>
      <c r="AN245" s="19"/>
      <c r="AO245" s="19"/>
      <c r="AP245" s="19"/>
      <c r="AQ245" s="19"/>
      <c r="AR245" s="19"/>
      <c r="AS245" s="19"/>
      <c r="AT245" s="19"/>
      <c r="AU245" s="19"/>
      <c r="AV245" s="19"/>
      <c r="AW245" s="19"/>
      <c r="AX245" s="19"/>
      <c r="AY245" s="19"/>
      <c r="AZ245" s="19"/>
      <c r="BA245" s="19"/>
      <c r="BB245" s="19"/>
      <c r="BC245" s="19"/>
      <c r="BD245" s="19"/>
      <c r="BE245" s="19"/>
      <c r="BF245" s="19"/>
      <c r="BG245" s="19"/>
      <c r="BH245" s="19"/>
      <c r="BI245" s="19"/>
      <c r="BJ245" s="19"/>
      <c r="BK245" s="19"/>
      <c r="BL245" s="19"/>
      <c r="BM245" s="19"/>
      <c r="BN245" s="19"/>
      <c r="BO245" s="19"/>
      <c r="BP245" s="19"/>
      <c r="BQ245" s="19"/>
      <c r="BR245" s="19"/>
      <c r="BS245" s="19"/>
      <c r="BT245" s="19"/>
      <c r="BU245" s="19"/>
      <c r="BV245" s="19"/>
      <c r="BW245" s="19"/>
      <c r="BX245" s="19"/>
      <c r="BY245" s="19"/>
      <c r="BZ245" s="19"/>
      <c r="CA245" s="19"/>
      <c r="CB245" s="19"/>
      <c r="CC245" s="19"/>
      <c r="CD245" s="19"/>
      <c r="CE245" s="19"/>
      <c r="CF245" s="12"/>
    </row>
    <row r="246" spans="1:256">
      <c r="A246" s="18" t="str">
        <f t="shared" si="378"/>
        <v>Bond 4</v>
      </c>
      <c r="B246" s="18">
        <f t="shared" si="379"/>
        <v>100.27774665837401</v>
      </c>
      <c r="C246" s="18">
        <f t="shared" si="380"/>
        <v>100.3008219</v>
      </c>
      <c r="D246" s="230">
        <f t="shared" si="381"/>
        <v>5.3246677609777328E-4</v>
      </c>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c r="AI246" s="19"/>
      <c r="AJ246" s="19"/>
      <c r="AK246" s="19"/>
      <c r="AL246" s="19"/>
      <c r="AM246" s="19"/>
      <c r="AN246" s="19"/>
      <c r="AO246" s="19"/>
      <c r="AP246" s="19"/>
      <c r="AQ246" s="19"/>
      <c r="AR246" s="19"/>
      <c r="AS246" s="19"/>
      <c r="AT246" s="19"/>
      <c r="AU246" s="19"/>
      <c r="AV246" s="19"/>
      <c r="AW246" s="19"/>
      <c r="AX246" s="19"/>
      <c r="AY246" s="19"/>
      <c r="AZ246" s="19"/>
      <c r="BA246" s="19"/>
      <c r="BB246" s="19"/>
      <c r="BC246" s="19"/>
      <c r="BD246" s="19"/>
      <c r="BE246" s="19"/>
      <c r="BF246" s="19"/>
      <c r="BG246" s="19"/>
      <c r="BH246" s="19"/>
      <c r="BI246" s="19"/>
      <c r="BJ246" s="19"/>
      <c r="BK246" s="19"/>
      <c r="BL246" s="19"/>
      <c r="BM246" s="19"/>
      <c r="BN246" s="19"/>
      <c r="BO246" s="19"/>
      <c r="BP246" s="19"/>
      <c r="BQ246" s="19"/>
      <c r="BR246" s="19"/>
      <c r="BS246" s="19"/>
      <c r="BT246" s="19"/>
      <c r="BU246" s="19"/>
      <c r="BV246" s="19"/>
      <c r="BW246" s="19"/>
      <c r="BX246" s="19"/>
      <c r="BY246" s="19"/>
      <c r="BZ246" s="19"/>
      <c r="CA246" s="19"/>
      <c r="CB246" s="19"/>
      <c r="CC246" s="19"/>
      <c r="CD246" s="19"/>
      <c r="CE246" s="19"/>
      <c r="CF246" s="6"/>
    </row>
    <row r="247" spans="1:256">
      <c r="A247" s="18" t="str">
        <f t="shared" si="378"/>
        <v>Bond 5</v>
      </c>
      <c r="B247" s="18">
        <f t="shared" si="379"/>
        <v>100.64435469818596</v>
      </c>
      <c r="C247" s="18">
        <f t="shared" si="380"/>
        <v>100.63882190000001</v>
      </c>
      <c r="D247" s="230">
        <f t="shared" si="381"/>
        <v>3.0611855766489507E-5</v>
      </c>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c r="AI247" s="19"/>
      <c r="AJ247" s="19"/>
      <c r="AK247" s="19"/>
      <c r="AL247" s="19"/>
      <c r="AM247" s="19"/>
      <c r="AN247" s="19"/>
      <c r="AO247" s="19"/>
      <c r="AP247" s="19"/>
      <c r="AQ247" s="19"/>
      <c r="AR247" s="19"/>
      <c r="AS247" s="19"/>
      <c r="AT247" s="19"/>
      <c r="AU247" s="19"/>
      <c r="AV247" s="19"/>
      <c r="AW247" s="19"/>
      <c r="AX247" s="19"/>
      <c r="AY247" s="19"/>
      <c r="AZ247" s="19"/>
      <c r="BA247" s="19"/>
      <c r="BB247" s="19"/>
      <c r="BC247" s="19"/>
      <c r="BD247" s="19"/>
      <c r="BE247" s="19"/>
      <c r="BF247" s="19"/>
      <c r="BG247" s="19"/>
      <c r="BH247" s="19"/>
      <c r="BI247" s="19"/>
      <c r="BJ247" s="19"/>
      <c r="BK247" s="19"/>
      <c r="BL247" s="19"/>
      <c r="BM247" s="19"/>
      <c r="BN247" s="19"/>
      <c r="BO247" s="19"/>
      <c r="BP247" s="19"/>
      <c r="BQ247" s="19"/>
      <c r="BR247" s="19"/>
      <c r="BS247" s="19"/>
      <c r="BT247" s="19"/>
      <c r="BU247" s="19"/>
      <c r="BV247" s="19"/>
      <c r="BW247" s="19"/>
      <c r="BX247" s="19"/>
      <c r="BY247" s="19"/>
      <c r="BZ247" s="19"/>
      <c r="CA247" s="19"/>
      <c r="CB247" s="19"/>
      <c r="CC247" s="19"/>
      <c r="CD247" s="19"/>
      <c r="CE247" s="19"/>
      <c r="CF247" s="6"/>
    </row>
    <row r="248" spans="1:256">
      <c r="A248" s="18" t="str">
        <f t="shared" si="378"/>
        <v>Bond 6</v>
      </c>
      <c r="B248" s="18">
        <f t="shared" si="379"/>
        <v>103.67036839842879</v>
      </c>
      <c r="C248" s="18">
        <f t="shared" si="380"/>
        <v>103.6154109</v>
      </c>
      <c r="D248" s="230">
        <f t="shared" si="381"/>
        <v>2.9822890216724596E-4</v>
      </c>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c r="AI248" s="19"/>
      <c r="AJ248" s="19"/>
      <c r="AK248" s="19"/>
      <c r="AL248" s="19"/>
      <c r="AM248" s="19"/>
      <c r="AN248" s="19"/>
      <c r="AO248" s="19"/>
      <c r="AP248" s="19"/>
      <c r="AQ248" s="19"/>
      <c r="AR248" s="19"/>
      <c r="AS248" s="19"/>
      <c r="AT248" s="19"/>
      <c r="AU248" s="19"/>
      <c r="AV248" s="19"/>
      <c r="AW248" s="19"/>
      <c r="AX248" s="19"/>
      <c r="AY248" s="19"/>
      <c r="AZ248" s="19"/>
      <c r="BA248" s="19"/>
      <c r="BB248" s="19"/>
      <c r="BC248" s="19"/>
      <c r="BD248" s="19"/>
      <c r="BE248" s="19"/>
      <c r="BF248" s="19"/>
      <c r="BG248" s="19"/>
      <c r="BH248" s="19"/>
      <c r="BI248" s="19"/>
      <c r="BJ248" s="19"/>
      <c r="BK248" s="19"/>
      <c r="BL248" s="19"/>
      <c r="BM248" s="19"/>
      <c r="BN248" s="19"/>
      <c r="BO248" s="19"/>
      <c r="BP248" s="19"/>
      <c r="BQ248" s="19"/>
      <c r="BR248" s="19"/>
      <c r="BS248" s="19"/>
      <c r="BT248" s="19"/>
      <c r="BU248" s="19"/>
      <c r="BV248" s="19"/>
      <c r="BW248" s="19"/>
      <c r="BX248" s="19"/>
      <c r="BY248" s="19"/>
      <c r="BZ248" s="19"/>
      <c r="CA248" s="19"/>
      <c r="CB248" s="19"/>
      <c r="CC248" s="19"/>
      <c r="CD248" s="19"/>
      <c r="CE248" s="19"/>
      <c r="CF248" s="12"/>
    </row>
    <row r="249" spans="1:256">
      <c r="A249" s="18" t="str">
        <f t="shared" si="378"/>
        <v>Bond 7</v>
      </c>
      <c r="B249" s="18">
        <f t="shared" si="379"/>
        <v>103.37700171394445</v>
      </c>
      <c r="C249" s="18">
        <f t="shared" si="380"/>
        <v>103.2792465</v>
      </c>
      <c r="D249" s="230">
        <f t="shared" si="381"/>
        <v>9.4357337662761198E-4</v>
      </c>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c r="AS249" s="19"/>
      <c r="AT249" s="19"/>
      <c r="AU249" s="19"/>
      <c r="AV249" s="19"/>
      <c r="AW249" s="19"/>
      <c r="AX249" s="19"/>
      <c r="AY249" s="19"/>
      <c r="AZ249" s="19"/>
      <c r="BA249" s="19"/>
      <c r="BB249" s="19"/>
      <c r="BC249" s="19"/>
      <c r="BD249" s="19"/>
      <c r="BE249" s="19"/>
      <c r="BF249" s="19"/>
      <c r="BG249" s="19"/>
      <c r="BH249" s="19"/>
      <c r="BI249" s="19"/>
      <c r="BJ249" s="19"/>
      <c r="BK249" s="19"/>
      <c r="BL249" s="19"/>
      <c r="BM249" s="19"/>
      <c r="BN249" s="19"/>
      <c r="BO249" s="19"/>
      <c r="BP249" s="19"/>
      <c r="BQ249" s="19"/>
      <c r="BR249" s="19"/>
      <c r="BS249" s="19"/>
      <c r="BT249" s="19"/>
      <c r="BU249" s="19"/>
      <c r="BV249" s="19"/>
      <c r="BW249" s="19"/>
      <c r="BX249" s="19"/>
      <c r="BY249" s="19"/>
      <c r="BZ249" s="19"/>
      <c r="CA249" s="19"/>
      <c r="CB249" s="19"/>
      <c r="CC249" s="19"/>
      <c r="CD249" s="19"/>
      <c r="CE249" s="19"/>
      <c r="CF249" s="12"/>
    </row>
    <row r="250" spans="1:256">
      <c r="A250" s="18" t="str">
        <f t="shared" si="378"/>
        <v>Bond 8</v>
      </c>
      <c r="B250" s="18">
        <f t="shared" si="379"/>
        <v>101.74838715793189</v>
      </c>
      <c r="C250" s="18">
        <f t="shared" si="380"/>
        <v>101.66054099999999</v>
      </c>
      <c r="D250" s="230">
        <f t="shared" si="381"/>
        <v>7.619761202400507E-4</v>
      </c>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c r="AK250" s="19"/>
      <c r="AL250" s="19"/>
      <c r="AM250" s="19"/>
      <c r="AN250" s="19"/>
      <c r="AO250" s="19"/>
      <c r="AP250" s="19"/>
      <c r="AQ250" s="19"/>
      <c r="AR250" s="19"/>
      <c r="AS250" s="19"/>
      <c r="AT250" s="19"/>
      <c r="AU250" s="19"/>
      <c r="AV250" s="19"/>
      <c r="AW250" s="19"/>
      <c r="AX250" s="19"/>
      <c r="AY250" s="19"/>
      <c r="AZ250" s="19"/>
      <c r="BA250" s="19"/>
      <c r="BB250" s="19"/>
      <c r="BC250" s="19"/>
      <c r="BD250" s="19"/>
      <c r="BE250" s="19"/>
      <c r="BF250" s="19"/>
      <c r="BG250" s="19"/>
      <c r="BH250" s="19"/>
      <c r="BI250" s="19"/>
      <c r="BJ250" s="19"/>
      <c r="BK250" s="19"/>
      <c r="BL250" s="19"/>
      <c r="BM250" s="19"/>
      <c r="BN250" s="19"/>
      <c r="BO250" s="19"/>
      <c r="BP250" s="19"/>
      <c r="BQ250" s="19"/>
      <c r="BR250" s="19"/>
      <c r="BS250" s="19"/>
      <c r="BT250" s="19"/>
      <c r="BU250" s="19"/>
      <c r="BV250" s="19"/>
      <c r="BW250" s="19"/>
      <c r="BX250" s="19"/>
      <c r="BY250" s="19"/>
      <c r="BZ250" s="19"/>
      <c r="CA250" s="19"/>
      <c r="CB250" s="19"/>
      <c r="CC250" s="19"/>
      <c r="CD250" s="19"/>
      <c r="CE250" s="19"/>
      <c r="CF250" s="12"/>
    </row>
    <row r="251" spans="1:256">
      <c r="A251" s="18" t="str">
        <f t="shared" si="378"/>
        <v>Bond 9</v>
      </c>
      <c r="B251" s="18">
        <f t="shared" si="379"/>
        <v>103.89348558974626</v>
      </c>
      <c r="C251" s="18">
        <f t="shared" si="380"/>
        <v>103.85616429999999</v>
      </c>
      <c r="D251" s="230">
        <f t="shared" si="381"/>
        <v>1.3753369304249767E-4</v>
      </c>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c r="AK251" s="19"/>
      <c r="AL251" s="19"/>
      <c r="AM251" s="19"/>
      <c r="AN251" s="19"/>
      <c r="AO251" s="19"/>
      <c r="AP251" s="19"/>
      <c r="AQ251" s="19"/>
      <c r="AR251" s="19"/>
      <c r="AS251" s="19"/>
      <c r="AT251" s="19"/>
      <c r="AU251" s="19"/>
      <c r="AV251" s="19"/>
      <c r="AW251" s="19"/>
      <c r="AX251" s="19"/>
      <c r="AY251" s="19"/>
      <c r="AZ251" s="19"/>
      <c r="BA251" s="19"/>
      <c r="BB251" s="19"/>
      <c r="BC251" s="19"/>
      <c r="BD251" s="19"/>
      <c r="BE251" s="19"/>
      <c r="BF251" s="19"/>
      <c r="BG251" s="19"/>
      <c r="BH251" s="19"/>
      <c r="BI251" s="19"/>
      <c r="BJ251" s="19"/>
      <c r="BK251" s="19"/>
      <c r="BL251" s="19"/>
      <c r="BM251" s="19"/>
      <c r="BN251" s="19"/>
      <c r="BO251" s="19"/>
      <c r="BP251" s="19"/>
      <c r="BQ251" s="19"/>
      <c r="BR251" s="19"/>
      <c r="BS251" s="19"/>
      <c r="BT251" s="19"/>
      <c r="BU251" s="19"/>
      <c r="BV251" s="19"/>
      <c r="BW251" s="19"/>
      <c r="BX251" s="19"/>
      <c r="BY251" s="19"/>
      <c r="BZ251" s="19"/>
      <c r="CA251" s="19"/>
      <c r="CB251" s="19"/>
      <c r="CC251" s="19"/>
      <c r="CD251" s="19"/>
      <c r="CE251" s="19"/>
      <c r="CF251" s="6"/>
    </row>
    <row r="252" spans="1:256">
      <c r="A252" s="18" t="str">
        <f t="shared" si="378"/>
        <v>Bond 10</v>
      </c>
      <c r="B252" s="18">
        <f t="shared" si="379"/>
        <v>102.37134991326523</v>
      </c>
      <c r="C252" s="18">
        <f t="shared" si="380"/>
        <v>102.43933559999999</v>
      </c>
      <c r="D252" s="230">
        <f t="shared" si="381"/>
        <v>4.563844041938301E-4</v>
      </c>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19"/>
      <c r="AE252" s="19"/>
      <c r="AF252" s="19"/>
      <c r="AG252" s="19"/>
      <c r="AH252" s="19"/>
      <c r="AI252" s="19"/>
      <c r="AJ252" s="19"/>
      <c r="AK252" s="19"/>
      <c r="AL252" s="19"/>
      <c r="AM252" s="19"/>
      <c r="AN252" s="19"/>
      <c r="AO252" s="19"/>
      <c r="AP252" s="19"/>
      <c r="AQ252" s="19"/>
      <c r="AR252" s="19"/>
      <c r="AS252" s="19"/>
      <c r="AT252" s="19"/>
      <c r="AU252" s="19"/>
      <c r="AV252" s="19"/>
      <c r="AW252" s="19"/>
      <c r="AX252" s="19"/>
      <c r="AY252" s="19"/>
      <c r="AZ252" s="19"/>
      <c r="BA252" s="19"/>
      <c r="BB252" s="19"/>
      <c r="BC252" s="19"/>
      <c r="BD252" s="19"/>
      <c r="BE252" s="19"/>
      <c r="BF252" s="19"/>
      <c r="BG252" s="19"/>
      <c r="BH252" s="19"/>
      <c r="BI252" s="19"/>
      <c r="BJ252" s="19"/>
      <c r="BK252" s="19"/>
      <c r="BL252" s="19"/>
      <c r="BM252" s="19"/>
      <c r="BN252" s="19"/>
      <c r="BO252" s="19"/>
      <c r="BP252" s="19"/>
      <c r="BQ252" s="19"/>
      <c r="BR252" s="19"/>
      <c r="BS252" s="19"/>
      <c r="BT252" s="19"/>
      <c r="BU252" s="19"/>
      <c r="BV252" s="19"/>
      <c r="BW252" s="19"/>
      <c r="BX252" s="19"/>
      <c r="BY252" s="19"/>
      <c r="BZ252" s="19"/>
      <c r="CA252" s="19"/>
      <c r="CB252" s="19"/>
      <c r="CC252" s="19"/>
      <c r="CD252" s="19"/>
      <c r="CE252" s="19"/>
      <c r="CF252" s="6"/>
    </row>
    <row r="253" spans="1:256">
      <c r="A253" s="18" t="str">
        <f t="shared" si="378"/>
        <v>Bond 11</v>
      </c>
      <c r="B253" s="18">
        <f t="shared" si="379"/>
        <v>102.52376120758689</v>
      </c>
      <c r="C253" s="18">
        <f t="shared" si="380"/>
        <v>102.68354100000001</v>
      </c>
      <c r="D253" s="230">
        <f t="shared" si="381"/>
        <v>2.5208065733802543E-3</v>
      </c>
      <c r="E253" s="19"/>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19"/>
      <c r="AE253" s="19"/>
      <c r="AF253" s="19"/>
      <c r="AG253" s="19"/>
      <c r="AH253" s="19"/>
      <c r="AI253" s="19"/>
      <c r="AJ253" s="19"/>
      <c r="AK253" s="19"/>
      <c r="AL253" s="19"/>
      <c r="AM253" s="19"/>
      <c r="AN253" s="19"/>
      <c r="AO253" s="19"/>
      <c r="AP253" s="19"/>
      <c r="AQ253" s="19"/>
      <c r="AR253" s="19"/>
      <c r="AS253" s="19"/>
      <c r="AT253" s="19"/>
      <c r="AU253" s="19"/>
      <c r="AV253" s="19"/>
      <c r="AW253" s="19"/>
      <c r="AX253" s="19"/>
      <c r="AY253" s="19"/>
      <c r="AZ253" s="19"/>
      <c r="BA253" s="19"/>
      <c r="BB253" s="19"/>
      <c r="BC253" s="19"/>
      <c r="BD253" s="19"/>
      <c r="BE253" s="19"/>
      <c r="BF253" s="19"/>
      <c r="BG253" s="19"/>
      <c r="BH253" s="19"/>
      <c r="BI253" s="19"/>
      <c r="BJ253" s="19"/>
      <c r="BK253" s="19"/>
      <c r="BL253" s="19"/>
      <c r="BM253" s="19"/>
      <c r="BN253" s="19"/>
      <c r="BO253" s="19"/>
      <c r="BP253" s="19"/>
      <c r="BQ253" s="19"/>
      <c r="BR253" s="19"/>
      <c r="BS253" s="19"/>
      <c r="BT253" s="19"/>
      <c r="BU253" s="19"/>
      <c r="BV253" s="19"/>
      <c r="BW253" s="19"/>
      <c r="BX253" s="19"/>
      <c r="BY253" s="19"/>
      <c r="BZ253" s="19"/>
      <c r="CA253" s="19"/>
      <c r="CB253" s="19"/>
      <c r="CC253" s="19"/>
      <c r="CD253" s="19"/>
      <c r="CE253" s="19"/>
      <c r="CF253" s="12"/>
    </row>
    <row r="254" spans="1:256">
      <c r="A254" s="18" t="str">
        <f t="shared" si="378"/>
        <v>Bond 12</v>
      </c>
      <c r="B254" s="18">
        <f t="shared" si="379"/>
        <v>102.61151856945048</v>
      </c>
      <c r="C254" s="18">
        <f t="shared" si="380"/>
        <v>102.692041</v>
      </c>
      <c r="D254" s="230">
        <f t="shared" si="381"/>
        <v>6.4022048853287794E-4</v>
      </c>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19"/>
      <c r="AE254" s="19"/>
      <c r="AF254" s="19"/>
      <c r="AG254" s="19"/>
      <c r="AH254" s="19"/>
      <c r="AI254" s="19"/>
      <c r="AJ254" s="19"/>
      <c r="AK254" s="19"/>
      <c r="AL254" s="19"/>
      <c r="AM254" s="19"/>
      <c r="AN254" s="19"/>
      <c r="AO254" s="19"/>
      <c r="AP254" s="19"/>
      <c r="AQ254" s="19"/>
      <c r="AR254" s="19"/>
      <c r="AS254" s="19"/>
      <c r="AT254" s="19"/>
      <c r="AU254" s="19"/>
      <c r="AV254" s="19"/>
      <c r="AW254" s="19"/>
      <c r="AX254" s="19"/>
      <c r="AY254" s="19"/>
      <c r="AZ254" s="19"/>
      <c r="BA254" s="19"/>
      <c r="BB254" s="19"/>
      <c r="BC254" s="19"/>
      <c r="BD254" s="19"/>
      <c r="BE254" s="19"/>
      <c r="BF254" s="19"/>
      <c r="BG254" s="19"/>
      <c r="BH254" s="19"/>
      <c r="BI254" s="19"/>
      <c r="BJ254" s="19"/>
      <c r="BK254" s="19"/>
      <c r="BL254" s="19"/>
      <c r="BM254" s="19"/>
      <c r="BN254" s="19"/>
      <c r="BO254" s="19"/>
      <c r="BP254" s="19"/>
      <c r="BQ254" s="19"/>
      <c r="BR254" s="19"/>
      <c r="BS254" s="19"/>
      <c r="BT254" s="19"/>
      <c r="BU254" s="19"/>
      <c r="BV254" s="19"/>
      <c r="BW254" s="19"/>
      <c r="BX254" s="19"/>
      <c r="BY254" s="19"/>
      <c r="BZ254" s="19"/>
      <c r="CA254" s="19"/>
      <c r="CB254" s="19"/>
      <c r="CC254" s="19"/>
      <c r="CD254" s="19"/>
      <c r="CE254" s="19"/>
      <c r="CF254" s="12"/>
    </row>
    <row r="255" spans="1:256">
      <c r="A255" s="18" t="str">
        <f t="shared" si="378"/>
        <v>Bond 13</v>
      </c>
      <c r="B255" s="18">
        <f t="shared" si="379"/>
        <v>102.59952151148521</v>
      </c>
      <c r="C255" s="18">
        <f t="shared" si="380"/>
        <v>102.49154100000001</v>
      </c>
      <c r="D255" s="230">
        <f t="shared" si="381"/>
        <v>1.1512948928208834E-3</v>
      </c>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9"/>
      <c r="AE255" s="19"/>
      <c r="AF255" s="19"/>
      <c r="AG255" s="19"/>
      <c r="AH255" s="19"/>
      <c r="AI255" s="19"/>
      <c r="AJ255" s="19"/>
      <c r="AK255" s="19"/>
      <c r="AL255" s="19"/>
      <c r="AM255" s="19"/>
      <c r="AN255" s="19"/>
      <c r="AO255" s="19"/>
      <c r="AP255" s="19"/>
      <c r="AQ255" s="19"/>
      <c r="AR255" s="19"/>
      <c r="AS255" s="19"/>
      <c r="AT255" s="19"/>
      <c r="AU255" s="19"/>
      <c r="AV255" s="19"/>
      <c r="AW255" s="19"/>
      <c r="AX255" s="19"/>
      <c r="AY255" s="19"/>
      <c r="AZ255" s="19"/>
      <c r="BA255" s="19"/>
      <c r="BB255" s="19"/>
      <c r="BC255" s="19"/>
      <c r="BD255" s="19"/>
      <c r="BE255" s="19"/>
      <c r="BF255" s="19"/>
      <c r="BG255" s="19"/>
      <c r="BH255" s="19"/>
      <c r="BI255" s="19"/>
      <c r="BJ255" s="19"/>
      <c r="BK255" s="19"/>
      <c r="BL255" s="19"/>
      <c r="BM255" s="19"/>
      <c r="BN255" s="19"/>
      <c r="BO255" s="19"/>
      <c r="BP255" s="19"/>
      <c r="BQ255" s="19"/>
      <c r="BR255" s="19"/>
      <c r="BS255" s="19"/>
      <c r="BT255" s="19"/>
      <c r="BU255" s="19"/>
      <c r="BV255" s="19"/>
      <c r="BW255" s="19"/>
      <c r="BX255" s="19"/>
      <c r="BY255" s="19"/>
      <c r="BZ255" s="19"/>
      <c r="CA255" s="19"/>
      <c r="CB255" s="19"/>
      <c r="CC255" s="19"/>
      <c r="CD255" s="19"/>
      <c r="CE255" s="19"/>
      <c r="CF255" s="12"/>
    </row>
    <row r="256" spans="1:256">
      <c r="A256" s="18" t="str">
        <f t="shared" si="378"/>
        <v>Bond 14</v>
      </c>
      <c r="B256" s="18">
        <f t="shared" si="379"/>
        <v>122.15204889108642</v>
      </c>
      <c r="C256" s="18">
        <f t="shared" si="380"/>
        <v>121.46661640000001</v>
      </c>
      <c r="D256" s="230">
        <f t="shared" si="381"/>
        <v>3.4688080116534489E-3</v>
      </c>
      <c r="E256" s="19"/>
      <c r="F256" s="19"/>
      <c r="G256" s="19"/>
      <c r="H256" s="19"/>
      <c r="I256" s="19"/>
      <c r="J256" s="19"/>
      <c r="K256" s="19"/>
      <c r="L256" s="19"/>
      <c r="M256" s="19"/>
      <c r="N256" s="19"/>
      <c r="O256" s="19"/>
      <c r="P256" s="19"/>
      <c r="Q256" s="19"/>
      <c r="R256" s="19"/>
      <c r="S256" s="19"/>
      <c r="T256" s="19"/>
      <c r="U256" s="19"/>
      <c r="V256" s="19"/>
      <c r="W256" s="19"/>
      <c r="X256" s="19"/>
      <c r="Y256" s="19"/>
      <c r="Z256" s="19"/>
      <c r="AA256" s="19"/>
      <c r="AB256" s="19"/>
      <c r="AC256" s="19"/>
      <c r="AD256" s="19"/>
      <c r="AE256" s="19"/>
      <c r="AF256" s="19"/>
      <c r="AG256" s="19"/>
      <c r="AH256" s="19"/>
      <c r="AI256" s="19"/>
      <c r="AJ256" s="19"/>
      <c r="AK256" s="19"/>
      <c r="AL256" s="19"/>
      <c r="AM256" s="19"/>
      <c r="AN256" s="19"/>
      <c r="AO256" s="19"/>
      <c r="AP256" s="19"/>
      <c r="AQ256" s="19"/>
      <c r="AR256" s="19"/>
      <c r="AS256" s="19"/>
      <c r="AT256" s="19"/>
      <c r="AU256" s="19"/>
      <c r="AV256" s="19"/>
      <c r="AW256" s="19"/>
      <c r="AX256" s="19"/>
      <c r="AY256" s="19"/>
      <c r="AZ256" s="19"/>
      <c r="BA256" s="19"/>
      <c r="BB256" s="19"/>
      <c r="BC256" s="19"/>
      <c r="BD256" s="19"/>
      <c r="BE256" s="19"/>
      <c r="BF256" s="19"/>
      <c r="BG256" s="19"/>
      <c r="BH256" s="19"/>
      <c r="BI256" s="19"/>
      <c r="BJ256" s="19"/>
      <c r="BK256" s="19"/>
      <c r="BL256" s="19"/>
      <c r="BM256" s="19"/>
      <c r="BN256" s="19"/>
      <c r="BO256" s="19"/>
      <c r="BP256" s="19"/>
      <c r="BQ256" s="19"/>
      <c r="BR256" s="19"/>
      <c r="BS256" s="19"/>
      <c r="BT256" s="19"/>
      <c r="BU256" s="19"/>
      <c r="BV256" s="19"/>
      <c r="BW256" s="19"/>
      <c r="BX256" s="19"/>
      <c r="BY256" s="19"/>
      <c r="BZ256" s="19"/>
      <c r="CA256" s="19"/>
      <c r="CB256" s="19"/>
      <c r="CC256" s="19"/>
      <c r="CD256" s="19"/>
      <c r="CE256" s="19"/>
      <c r="CF256" s="6"/>
    </row>
    <row r="257" spans="1:84">
      <c r="A257" s="18" t="str">
        <f t="shared" si="378"/>
        <v>Bond 15</v>
      </c>
      <c r="B257" s="18">
        <f t="shared" si="379"/>
        <v>102.78942235016716</v>
      </c>
      <c r="C257" s="18">
        <f t="shared" si="380"/>
        <v>103.2241643</v>
      </c>
      <c r="D257" s="230">
        <f t="shared" si="381"/>
        <v>9.8480014299001575E-4</v>
      </c>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9"/>
      <c r="AD257" s="19"/>
      <c r="AE257" s="19"/>
      <c r="AF257" s="19"/>
      <c r="AG257" s="19"/>
      <c r="AH257" s="19"/>
      <c r="AI257" s="19"/>
      <c r="AJ257" s="19"/>
      <c r="AK257" s="19"/>
      <c r="AL257" s="19"/>
      <c r="AM257" s="19"/>
      <c r="AN257" s="19"/>
      <c r="AO257" s="19"/>
      <c r="AP257" s="19"/>
      <c r="AQ257" s="19"/>
      <c r="AR257" s="19"/>
      <c r="AS257" s="19"/>
      <c r="AT257" s="19"/>
      <c r="AU257" s="19"/>
      <c r="AV257" s="19"/>
      <c r="AW257" s="19"/>
      <c r="AX257" s="19"/>
      <c r="AY257" s="19"/>
      <c r="AZ257" s="19"/>
      <c r="BA257" s="19"/>
      <c r="BB257" s="19"/>
      <c r="BC257" s="19"/>
      <c r="BD257" s="19"/>
      <c r="BE257" s="19"/>
      <c r="BF257" s="19"/>
      <c r="BG257" s="19"/>
      <c r="BH257" s="19"/>
      <c r="BI257" s="19"/>
      <c r="BJ257" s="19"/>
      <c r="BK257" s="19"/>
      <c r="BL257" s="19"/>
      <c r="BM257" s="19"/>
      <c r="BN257" s="19"/>
      <c r="BO257" s="19"/>
      <c r="BP257" s="19"/>
      <c r="BQ257" s="19"/>
      <c r="BR257" s="19"/>
      <c r="BS257" s="19"/>
      <c r="BT257" s="19"/>
      <c r="BU257" s="19"/>
      <c r="BV257" s="19"/>
      <c r="BW257" s="19"/>
      <c r="BX257" s="19"/>
      <c r="BY257" s="19"/>
      <c r="BZ257" s="19"/>
      <c r="CA257" s="19"/>
      <c r="CB257" s="19"/>
      <c r="CC257" s="19"/>
      <c r="CD257" s="19"/>
      <c r="CE257" s="19"/>
      <c r="CF257" s="6"/>
    </row>
    <row r="258" spans="1:84">
      <c r="A258" s="18"/>
      <c r="B258" s="18"/>
      <c r="C258" s="18"/>
      <c r="D258" s="18"/>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9"/>
      <c r="AD258" s="19"/>
      <c r="AE258" s="19"/>
      <c r="AF258" s="19"/>
      <c r="AG258" s="19"/>
      <c r="AH258" s="19"/>
      <c r="AI258" s="19"/>
      <c r="AJ258" s="19"/>
      <c r="AK258" s="19"/>
      <c r="AL258" s="19"/>
      <c r="AM258" s="19"/>
      <c r="AN258" s="19"/>
      <c r="AO258" s="19"/>
      <c r="AP258" s="19"/>
      <c r="AQ258" s="19"/>
      <c r="AR258" s="19"/>
      <c r="AS258" s="19"/>
      <c r="AT258" s="19"/>
      <c r="AU258" s="19"/>
      <c r="AV258" s="19"/>
      <c r="AW258" s="19"/>
      <c r="AX258" s="19"/>
      <c r="AY258" s="19"/>
      <c r="AZ258" s="19"/>
      <c r="BA258" s="19"/>
      <c r="BB258" s="19"/>
      <c r="BC258" s="19"/>
      <c r="BD258" s="19"/>
      <c r="BE258" s="19"/>
      <c r="BF258" s="19"/>
      <c r="BG258" s="19"/>
      <c r="BH258" s="19"/>
      <c r="BI258" s="19"/>
      <c r="BJ258" s="19"/>
      <c r="BK258" s="19"/>
      <c r="BL258" s="19"/>
      <c r="BM258" s="19"/>
      <c r="BN258" s="19"/>
      <c r="BO258" s="19"/>
      <c r="BP258" s="19"/>
      <c r="BQ258" s="19"/>
      <c r="BR258" s="19"/>
      <c r="BS258" s="19"/>
      <c r="BT258" s="19"/>
      <c r="BU258" s="19"/>
      <c r="BV258" s="19"/>
      <c r="BW258" s="19"/>
      <c r="BX258" s="19"/>
      <c r="BY258" s="19"/>
      <c r="BZ258" s="19"/>
      <c r="CA258" s="19"/>
      <c r="CB258" s="19"/>
      <c r="CC258" s="19"/>
      <c r="CD258" s="19"/>
      <c r="CE258" s="19"/>
      <c r="CF258" s="6"/>
    </row>
    <row r="259" spans="1:84">
      <c r="A259" s="18"/>
      <c r="B259" s="18"/>
      <c r="C259" s="18"/>
      <c r="D259" s="18"/>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c r="BP259" s="19"/>
      <c r="BQ259" s="19"/>
      <c r="BR259" s="19"/>
      <c r="BS259" s="19"/>
      <c r="BT259" s="19"/>
      <c r="BU259" s="19"/>
      <c r="BV259" s="19"/>
      <c r="BW259" s="19"/>
      <c r="BX259" s="19"/>
      <c r="BY259" s="19"/>
      <c r="BZ259" s="19"/>
      <c r="CA259" s="19"/>
      <c r="CB259" s="19"/>
      <c r="CC259" s="19"/>
      <c r="CD259" s="19"/>
      <c r="CE259" s="19"/>
      <c r="CF259" s="6"/>
    </row>
    <row r="260" spans="1:84">
      <c r="A260" s="18"/>
      <c r="B260" s="18"/>
      <c r="C260" s="18"/>
      <c r="D260" s="18"/>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c r="AG260" s="19"/>
      <c r="AH260" s="19"/>
      <c r="AI260" s="19"/>
      <c r="AJ260" s="19"/>
      <c r="AK260" s="19"/>
      <c r="AL260" s="19"/>
      <c r="AM260" s="19"/>
      <c r="AN260" s="19"/>
      <c r="AO260" s="19"/>
      <c r="AP260" s="19"/>
      <c r="AQ260" s="19"/>
      <c r="AR260" s="19"/>
      <c r="AS260" s="19"/>
      <c r="AT260" s="19"/>
      <c r="AU260" s="19"/>
      <c r="AV260" s="19"/>
      <c r="AW260" s="19"/>
      <c r="AX260" s="19"/>
      <c r="AY260" s="19"/>
      <c r="AZ260" s="19"/>
      <c r="BA260" s="19"/>
      <c r="BB260" s="19"/>
      <c r="BC260" s="19"/>
      <c r="BD260" s="19"/>
      <c r="BE260" s="19"/>
      <c r="BF260" s="19"/>
      <c r="BG260" s="19"/>
      <c r="BH260" s="19"/>
      <c r="BI260" s="19"/>
      <c r="BJ260" s="19"/>
      <c r="BK260" s="19"/>
      <c r="BL260" s="19"/>
      <c r="BM260" s="19"/>
      <c r="BN260" s="19"/>
      <c r="BO260" s="19"/>
      <c r="BP260" s="19"/>
      <c r="BQ260" s="19"/>
      <c r="BR260" s="19"/>
      <c r="BS260" s="19"/>
      <c r="BT260" s="19"/>
      <c r="BU260" s="19"/>
      <c r="BV260" s="19"/>
      <c r="BW260" s="19"/>
      <c r="BX260" s="19"/>
      <c r="BY260" s="19"/>
      <c r="BZ260" s="19"/>
      <c r="CA260" s="19"/>
      <c r="CB260" s="19"/>
      <c r="CC260" s="19"/>
      <c r="CD260" s="19"/>
      <c r="CE260" s="19"/>
      <c r="CF260" s="6"/>
    </row>
    <row r="261" spans="1:84">
      <c r="A261" s="18"/>
      <c r="B261" s="18"/>
      <c r="C261" s="18"/>
      <c r="D261" s="18"/>
      <c r="E261" s="19"/>
      <c r="F261" s="19"/>
      <c r="G261" s="19"/>
      <c r="H261" s="19"/>
      <c r="I261" s="19"/>
      <c r="J261" s="19"/>
      <c r="K261" s="19"/>
      <c r="L261" s="19"/>
      <c r="M261" s="19"/>
      <c r="N261" s="19"/>
      <c r="O261" s="19"/>
      <c r="P261" s="19"/>
      <c r="Q261" s="19"/>
      <c r="R261" s="19"/>
      <c r="S261" s="19"/>
      <c r="T261" s="19"/>
      <c r="U261" s="19"/>
      <c r="V261" s="19"/>
      <c r="W261" s="19"/>
      <c r="X261" s="19"/>
      <c r="Y261" s="19"/>
      <c r="Z261" s="19"/>
      <c r="AA261" s="19"/>
      <c r="AB261" s="19"/>
      <c r="AC261" s="19"/>
      <c r="AD261" s="19"/>
      <c r="AE261" s="19"/>
      <c r="AF261" s="19"/>
      <c r="AG261" s="19"/>
      <c r="AH261" s="19"/>
      <c r="AI261" s="19"/>
      <c r="AJ261" s="19"/>
      <c r="AK261" s="19"/>
      <c r="AL261" s="19"/>
      <c r="AM261" s="19"/>
      <c r="AN261" s="19"/>
      <c r="AO261" s="19"/>
      <c r="AP261" s="19"/>
      <c r="AQ261" s="19"/>
      <c r="AR261" s="19"/>
      <c r="AS261" s="19"/>
      <c r="AT261" s="19"/>
      <c r="AU261" s="19"/>
      <c r="AV261" s="19"/>
      <c r="AW261" s="19"/>
      <c r="AX261" s="19"/>
      <c r="AY261" s="19"/>
      <c r="AZ261" s="19"/>
      <c r="BA261" s="19"/>
      <c r="BB261" s="19"/>
      <c r="BC261" s="19"/>
      <c r="BD261" s="19"/>
      <c r="BE261" s="19"/>
      <c r="BF261" s="19"/>
      <c r="BG261" s="19"/>
      <c r="BH261" s="19"/>
      <c r="BI261" s="19"/>
      <c r="BJ261" s="19"/>
      <c r="BK261" s="19"/>
      <c r="BL261" s="19"/>
      <c r="BM261" s="19"/>
      <c r="BN261" s="19"/>
      <c r="BO261" s="19"/>
      <c r="BP261" s="19"/>
      <c r="BQ261" s="19"/>
      <c r="BR261" s="19"/>
      <c r="BS261" s="19"/>
      <c r="BT261" s="19"/>
      <c r="BU261" s="19"/>
      <c r="BV261" s="19"/>
      <c r="BW261" s="19"/>
      <c r="BX261" s="19"/>
      <c r="BY261" s="19"/>
      <c r="BZ261" s="19"/>
      <c r="CA261" s="19"/>
      <c r="CB261" s="19"/>
      <c r="CC261" s="19"/>
      <c r="CD261" s="19"/>
      <c r="CE261" s="19"/>
      <c r="CF261" s="6"/>
    </row>
    <row r="262" spans="1:84">
      <c r="A262" s="18"/>
      <c r="B262" s="18"/>
      <c r="C262" s="18"/>
      <c r="D262" s="18"/>
      <c r="E262" s="19"/>
      <c r="F262" s="19"/>
      <c r="G262" s="19"/>
      <c r="H262" s="19"/>
      <c r="I262" s="19"/>
      <c r="J262" s="19"/>
      <c r="K262" s="19"/>
      <c r="L262" s="19"/>
      <c r="M262" s="19"/>
      <c r="N262" s="19"/>
      <c r="O262" s="19"/>
      <c r="P262" s="19"/>
      <c r="Q262" s="19"/>
      <c r="R262" s="19"/>
      <c r="S262" s="19"/>
      <c r="T262" s="19"/>
      <c r="U262" s="19"/>
      <c r="V262" s="19"/>
      <c r="W262" s="19"/>
      <c r="X262" s="19"/>
      <c r="Y262" s="19"/>
      <c r="Z262" s="19"/>
      <c r="AA262" s="19"/>
      <c r="AB262" s="19"/>
      <c r="AC262" s="19"/>
      <c r="AD262" s="19"/>
      <c r="AE262" s="19"/>
      <c r="AF262" s="19"/>
      <c r="AG262" s="19"/>
      <c r="AH262" s="19"/>
      <c r="AI262" s="19"/>
      <c r="AJ262" s="19"/>
      <c r="AK262" s="19"/>
      <c r="AL262" s="19"/>
      <c r="AM262" s="19"/>
      <c r="AN262" s="19"/>
      <c r="AO262" s="19"/>
      <c r="AP262" s="19"/>
      <c r="AQ262" s="19"/>
      <c r="AR262" s="19"/>
      <c r="AS262" s="19"/>
      <c r="AT262" s="19"/>
      <c r="AU262" s="19"/>
      <c r="AV262" s="19"/>
      <c r="AW262" s="19"/>
      <c r="AX262" s="19"/>
      <c r="AY262" s="19"/>
      <c r="AZ262" s="19"/>
      <c r="BA262" s="19"/>
      <c r="BB262" s="19"/>
      <c r="BC262" s="19"/>
      <c r="BD262" s="19"/>
      <c r="BE262" s="19"/>
      <c r="BF262" s="19"/>
      <c r="BG262" s="19"/>
      <c r="BH262" s="19"/>
      <c r="BI262" s="19"/>
      <c r="BJ262" s="19"/>
      <c r="BK262" s="19"/>
      <c r="BL262" s="19"/>
      <c r="BM262" s="19"/>
      <c r="BN262" s="19"/>
      <c r="BO262" s="19"/>
      <c r="BP262" s="19"/>
      <c r="BQ262" s="19"/>
      <c r="BR262" s="19"/>
      <c r="BS262" s="19"/>
      <c r="BT262" s="19"/>
      <c r="BU262" s="19"/>
      <c r="BV262" s="19"/>
      <c r="BW262" s="19"/>
      <c r="BX262" s="19"/>
      <c r="BY262" s="19"/>
      <c r="BZ262" s="19"/>
      <c r="CA262" s="19"/>
      <c r="CB262" s="19"/>
      <c r="CC262" s="19"/>
      <c r="CD262" s="19"/>
      <c r="CE262" s="19"/>
      <c r="CF262" s="6"/>
    </row>
    <row r="263" spans="1:84">
      <c r="A263" s="18"/>
      <c r="B263" s="18"/>
      <c r="C263" s="18"/>
      <c r="D263" s="18"/>
      <c r="E263" s="20"/>
      <c r="F263" s="19"/>
      <c r="G263" s="19"/>
      <c r="H263" s="19"/>
      <c r="I263" s="19"/>
      <c r="J263" s="19"/>
      <c r="K263" s="19"/>
      <c r="L263" s="19"/>
      <c r="M263" s="19"/>
      <c r="N263" s="19"/>
      <c r="O263" s="19"/>
      <c r="P263" s="19"/>
      <c r="Q263" s="19"/>
      <c r="R263" s="19"/>
      <c r="S263" s="19"/>
      <c r="T263" s="19"/>
      <c r="U263" s="19"/>
      <c r="V263" s="19"/>
      <c r="W263" s="19"/>
      <c r="X263" s="19"/>
      <c r="Y263" s="19"/>
      <c r="Z263" s="19"/>
      <c r="AA263" s="19"/>
      <c r="AB263" s="19"/>
      <c r="AC263" s="19"/>
      <c r="AD263" s="19"/>
      <c r="AE263" s="19"/>
      <c r="AF263" s="19"/>
      <c r="AG263" s="19"/>
      <c r="AH263" s="19"/>
      <c r="AI263" s="19"/>
      <c r="AJ263" s="19"/>
      <c r="AK263" s="19"/>
      <c r="AL263" s="19"/>
      <c r="AM263" s="19"/>
      <c r="AN263" s="19"/>
      <c r="AO263" s="19"/>
      <c r="AP263" s="19"/>
      <c r="AQ263" s="19"/>
      <c r="AR263" s="19"/>
      <c r="AS263" s="19"/>
      <c r="AT263" s="19"/>
      <c r="AU263" s="19"/>
      <c r="AV263" s="19"/>
      <c r="AW263" s="19"/>
      <c r="AX263" s="19"/>
      <c r="AY263" s="19"/>
      <c r="AZ263" s="19"/>
      <c r="BA263" s="19"/>
      <c r="BB263" s="19"/>
      <c r="BC263" s="19"/>
      <c r="BD263" s="19"/>
      <c r="BE263" s="19"/>
      <c r="BF263" s="19"/>
      <c r="BG263" s="19"/>
      <c r="BH263" s="19"/>
      <c r="BI263" s="19"/>
      <c r="BJ263" s="19"/>
      <c r="BK263" s="19"/>
      <c r="BL263" s="19"/>
      <c r="BM263" s="19"/>
      <c r="BN263" s="19"/>
      <c r="BO263" s="19"/>
      <c r="BP263" s="19"/>
      <c r="BQ263" s="19"/>
      <c r="BR263" s="19"/>
      <c r="BS263" s="19"/>
      <c r="BT263" s="19"/>
      <c r="BU263" s="19"/>
      <c r="BV263" s="19"/>
      <c r="BW263" s="19"/>
      <c r="BX263" s="19"/>
      <c r="BY263" s="19"/>
      <c r="BZ263" s="19"/>
      <c r="CA263" s="19"/>
      <c r="CB263" s="19"/>
      <c r="CC263" s="19"/>
      <c r="CD263" s="19"/>
      <c r="CE263" s="19"/>
      <c r="CF263" s="6"/>
    </row>
    <row r="264" spans="1:84">
      <c r="A264" s="18"/>
      <c r="B264" s="18"/>
      <c r="C264" s="18"/>
      <c r="D264" s="18"/>
      <c r="E264" s="20"/>
      <c r="F264" s="19"/>
      <c r="G264" s="19"/>
      <c r="H264" s="19"/>
      <c r="I264" s="19"/>
      <c r="J264" s="19"/>
      <c r="K264" s="19"/>
      <c r="L264" s="19"/>
      <c r="M264" s="19"/>
      <c r="N264" s="19"/>
      <c r="O264" s="19"/>
      <c r="P264" s="19"/>
      <c r="Q264" s="19"/>
      <c r="R264" s="19"/>
      <c r="S264" s="19"/>
      <c r="T264" s="19"/>
      <c r="U264" s="19"/>
      <c r="V264" s="19"/>
      <c r="W264" s="19"/>
      <c r="X264" s="19"/>
      <c r="Y264" s="19"/>
      <c r="Z264" s="19"/>
      <c r="AA264" s="19"/>
      <c r="AB264" s="19"/>
      <c r="AC264" s="19"/>
      <c r="AD264" s="19"/>
      <c r="AE264" s="19"/>
      <c r="AF264" s="19"/>
      <c r="AG264" s="19"/>
      <c r="AH264" s="19"/>
      <c r="AI264" s="19"/>
      <c r="AJ264" s="19"/>
      <c r="AK264" s="19"/>
      <c r="AL264" s="19"/>
      <c r="AM264" s="19"/>
      <c r="AN264" s="19"/>
      <c r="AO264" s="19"/>
      <c r="AP264" s="19"/>
      <c r="AQ264" s="19"/>
      <c r="AR264" s="19"/>
      <c r="AS264" s="19"/>
      <c r="AT264" s="19"/>
      <c r="AU264" s="19"/>
      <c r="AV264" s="19"/>
      <c r="AW264" s="19"/>
      <c r="AX264" s="19"/>
      <c r="AY264" s="19"/>
      <c r="AZ264" s="19"/>
      <c r="BA264" s="19"/>
      <c r="BB264" s="19"/>
      <c r="BC264" s="19"/>
      <c r="BD264" s="19"/>
      <c r="BE264" s="19"/>
      <c r="BF264" s="19"/>
      <c r="BG264" s="19"/>
      <c r="BH264" s="19"/>
      <c r="BI264" s="19"/>
      <c r="BJ264" s="19"/>
      <c r="BK264" s="19"/>
      <c r="BL264" s="19"/>
      <c r="BM264" s="19"/>
      <c r="BN264" s="19"/>
      <c r="BO264" s="19"/>
      <c r="BP264" s="19"/>
      <c r="BQ264" s="19"/>
      <c r="BR264" s="19"/>
      <c r="BS264" s="19"/>
      <c r="BT264" s="19"/>
      <c r="BU264" s="19"/>
      <c r="BV264" s="19"/>
      <c r="BW264" s="19"/>
      <c r="BX264" s="19"/>
      <c r="BY264" s="19"/>
      <c r="BZ264" s="19"/>
      <c r="CA264" s="19"/>
      <c r="CB264" s="19"/>
      <c r="CC264" s="19"/>
      <c r="CD264" s="19"/>
      <c r="CE264" s="19"/>
      <c r="CF264" s="6"/>
    </row>
    <row r="265" spans="1:84">
      <c r="A265" s="18"/>
      <c r="B265" s="18"/>
      <c r="C265" s="18"/>
      <c r="D265" s="18"/>
      <c r="E265" s="20"/>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19"/>
      <c r="AE265" s="19"/>
      <c r="AF265" s="19"/>
      <c r="AG265" s="19"/>
      <c r="AH265" s="19"/>
      <c r="AI265" s="19"/>
      <c r="AJ265" s="19"/>
      <c r="AK265" s="19"/>
      <c r="AL265" s="19"/>
      <c r="AM265" s="19"/>
      <c r="AN265" s="19"/>
      <c r="AO265" s="19"/>
      <c r="AP265" s="19"/>
      <c r="AQ265" s="19"/>
      <c r="AR265" s="19"/>
      <c r="AS265" s="19"/>
      <c r="AT265" s="19"/>
      <c r="AU265" s="19"/>
      <c r="AV265" s="19"/>
      <c r="AW265" s="19"/>
      <c r="AX265" s="19"/>
      <c r="AY265" s="19"/>
      <c r="AZ265" s="19"/>
      <c r="BA265" s="19"/>
      <c r="BB265" s="19"/>
      <c r="BC265" s="19"/>
      <c r="BD265" s="19"/>
      <c r="BE265" s="19"/>
      <c r="BF265" s="19"/>
      <c r="BG265" s="19"/>
      <c r="BH265" s="19"/>
      <c r="BI265" s="19"/>
      <c r="BJ265" s="19"/>
      <c r="BK265" s="19"/>
      <c r="BL265" s="19"/>
      <c r="BM265" s="19"/>
      <c r="BN265" s="19"/>
      <c r="BO265" s="19"/>
      <c r="BP265" s="19"/>
      <c r="BQ265" s="19"/>
      <c r="BR265" s="19"/>
      <c r="BS265" s="19"/>
      <c r="BT265" s="19"/>
      <c r="BU265" s="19"/>
      <c r="BV265" s="19"/>
      <c r="BW265" s="19"/>
      <c r="BX265" s="19"/>
      <c r="BY265" s="19"/>
      <c r="BZ265" s="19"/>
      <c r="CA265" s="19"/>
      <c r="CB265" s="19"/>
      <c r="CC265" s="19"/>
      <c r="CD265" s="19"/>
      <c r="CE265" s="19"/>
      <c r="CF265" s="6"/>
    </row>
    <row r="266" spans="1:84">
      <c r="A266" s="18"/>
      <c r="B266" s="18"/>
      <c r="C266" s="18"/>
      <c r="D266" s="18"/>
      <c r="E266" s="20"/>
      <c r="F266" s="19"/>
      <c r="G266" s="19"/>
      <c r="H266" s="19"/>
      <c r="I266" s="19"/>
      <c r="J266" s="19"/>
      <c r="K266" s="19"/>
      <c r="L266" s="19"/>
      <c r="M266" s="19"/>
      <c r="N266" s="19"/>
      <c r="O266" s="19"/>
      <c r="P266" s="19"/>
      <c r="Q266" s="19"/>
      <c r="R266" s="19"/>
      <c r="S266" s="19"/>
      <c r="T266" s="19"/>
      <c r="U266" s="19"/>
      <c r="V266" s="19"/>
      <c r="W266" s="19"/>
      <c r="X266" s="19"/>
      <c r="Y266" s="19"/>
      <c r="Z266" s="19"/>
      <c r="AA266" s="19"/>
      <c r="AB266" s="19"/>
      <c r="AC266" s="19"/>
      <c r="AD266" s="19"/>
      <c r="AE266" s="19"/>
      <c r="AF266" s="19"/>
      <c r="AG266" s="19"/>
      <c r="AH266" s="19"/>
      <c r="AI266" s="19"/>
      <c r="AJ266" s="19"/>
      <c r="AK266" s="19"/>
      <c r="AL266" s="19"/>
      <c r="AM266" s="19"/>
      <c r="AN266" s="19"/>
      <c r="AO266" s="19"/>
      <c r="AP266" s="19"/>
      <c r="AQ266" s="19"/>
      <c r="AR266" s="19"/>
      <c r="AS266" s="19"/>
      <c r="AT266" s="19"/>
      <c r="AU266" s="19"/>
      <c r="AV266" s="19"/>
      <c r="AW266" s="19"/>
      <c r="AX266" s="19"/>
      <c r="AY266" s="19"/>
      <c r="AZ266" s="19"/>
      <c r="BA266" s="19"/>
      <c r="BB266" s="19"/>
      <c r="BC266" s="19"/>
      <c r="BD266" s="19"/>
      <c r="BE266" s="19"/>
      <c r="BF266" s="19"/>
      <c r="BG266" s="19"/>
      <c r="BH266" s="19"/>
      <c r="BI266" s="19"/>
      <c r="BJ266" s="19"/>
      <c r="BK266" s="19"/>
      <c r="BL266" s="19"/>
      <c r="BM266" s="19"/>
      <c r="BN266" s="19"/>
      <c r="BO266" s="19"/>
      <c r="BP266" s="19"/>
      <c r="BQ266" s="19"/>
      <c r="BR266" s="19"/>
      <c r="BS266" s="19"/>
      <c r="BT266" s="19"/>
      <c r="BU266" s="19"/>
      <c r="BV266" s="19"/>
      <c r="BW266" s="19"/>
      <c r="BX266" s="19"/>
      <c r="BY266" s="19"/>
      <c r="BZ266" s="19"/>
      <c r="CA266" s="19"/>
      <c r="CB266" s="19"/>
      <c r="CC266" s="19"/>
      <c r="CD266" s="19"/>
      <c r="CE266" s="19"/>
      <c r="CF266" s="6"/>
    </row>
    <row r="267" spans="1:84">
      <c r="A267" s="18"/>
      <c r="B267" s="18"/>
      <c r="C267" s="18"/>
      <c r="D267" s="18"/>
      <c r="E267" s="20"/>
      <c r="F267" s="19"/>
      <c r="G267" s="19"/>
      <c r="H267" s="19"/>
      <c r="I267" s="19"/>
      <c r="J267" s="19"/>
      <c r="K267" s="19"/>
      <c r="L267" s="19"/>
      <c r="M267" s="19"/>
      <c r="N267" s="19"/>
      <c r="O267" s="19"/>
      <c r="P267" s="19"/>
      <c r="Q267" s="19"/>
      <c r="R267" s="19"/>
      <c r="S267" s="19"/>
      <c r="T267" s="19"/>
      <c r="U267" s="19"/>
      <c r="V267" s="19"/>
      <c r="W267" s="19"/>
      <c r="X267" s="19"/>
      <c r="Y267" s="19"/>
      <c r="Z267" s="19"/>
      <c r="AA267" s="19"/>
      <c r="AB267" s="19"/>
      <c r="AC267" s="19"/>
      <c r="AD267" s="19"/>
      <c r="AE267" s="19"/>
      <c r="AF267" s="19"/>
      <c r="AG267" s="19"/>
      <c r="AH267" s="19"/>
      <c r="AI267" s="19"/>
      <c r="AJ267" s="19"/>
      <c r="AK267" s="19"/>
      <c r="AL267" s="19"/>
      <c r="AM267" s="19"/>
      <c r="AN267" s="19"/>
      <c r="AO267" s="19"/>
      <c r="AP267" s="19"/>
      <c r="AQ267" s="19"/>
      <c r="AR267" s="19"/>
      <c r="AS267" s="19"/>
      <c r="AT267" s="19"/>
      <c r="AU267" s="19"/>
      <c r="AV267" s="19"/>
      <c r="AW267" s="19"/>
      <c r="AX267" s="19"/>
      <c r="AY267" s="19"/>
      <c r="AZ267" s="19"/>
      <c r="BA267" s="19"/>
      <c r="BB267" s="19"/>
      <c r="BC267" s="19"/>
      <c r="BD267" s="19"/>
      <c r="BE267" s="19"/>
      <c r="BF267" s="19"/>
      <c r="BG267" s="19"/>
      <c r="BH267" s="19"/>
      <c r="BI267" s="19"/>
      <c r="BJ267" s="19"/>
      <c r="BK267" s="19"/>
      <c r="BL267" s="19"/>
      <c r="BM267" s="19"/>
      <c r="BN267" s="19"/>
      <c r="BO267" s="19"/>
      <c r="BP267" s="19"/>
      <c r="BQ267" s="19"/>
      <c r="BR267" s="19"/>
      <c r="BS267" s="19"/>
      <c r="BT267" s="19"/>
      <c r="BU267" s="19"/>
      <c r="BV267" s="19"/>
      <c r="BW267" s="19"/>
      <c r="BX267" s="19"/>
      <c r="BY267" s="19"/>
      <c r="BZ267" s="19"/>
      <c r="CA267" s="19"/>
      <c r="CB267" s="19"/>
      <c r="CC267" s="19"/>
      <c r="CD267" s="19"/>
      <c r="CE267" s="19"/>
      <c r="CF267" s="6"/>
    </row>
    <row r="268" spans="1:84">
      <c r="A268" s="18"/>
      <c r="B268" s="18"/>
      <c r="C268" s="18"/>
      <c r="D268" s="18"/>
      <c r="E268" s="20"/>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c r="AG268" s="19"/>
      <c r="AH268" s="19"/>
      <c r="AI268" s="19"/>
      <c r="AJ268" s="19"/>
      <c r="AK268" s="19"/>
      <c r="AL268" s="19"/>
      <c r="AM268" s="19"/>
      <c r="AN268" s="19"/>
      <c r="AO268" s="19"/>
      <c r="AP268" s="19"/>
      <c r="AQ268" s="19"/>
      <c r="AR268" s="19"/>
      <c r="AS268" s="19"/>
      <c r="AT268" s="19"/>
      <c r="AU268" s="19"/>
      <c r="AV268" s="19"/>
      <c r="AW268" s="19"/>
      <c r="AX268" s="19"/>
      <c r="AY268" s="19"/>
      <c r="AZ268" s="19"/>
      <c r="BA268" s="19"/>
      <c r="BB268" s="19"/>
      <c r="BC268" s="19"/>
      <c r="BD268" s="19"/>
      <c r="BE268" s="19"/>
      <c r="BF268" s="19"/>
      <c r="BG268" s="19"/>
      <c r="BH268" s="19"/>
      <c r="BI268" s="19"/>
      <c r="BJ268" s="19"/>
      <c r="BK268" s="19"/>
      <c r="BL268" s="19"/>
      <c r="BM268" s="19"/>
      <c r="BN268" s="19"/>
      <c r="BO268" s="19"/>
      <c r="BP268" s="19"/>
      <c r="BQ268" s="19"/>
      <c r="BR268" s="19"/>
      <c r="BS268" s="19"/>
      <c r="BT268" s="19"/>
      <c r="BU268" s="19"/>
      <c r="BV268" s="19"/>
      <c r="BW268" s="19"/>
      <c r="BX268" s="19"/>
      <c r="BY268" s="19"/>
      <c r="BZ268" s="19"/>
      <c r="CA268" s="19"/>
      <c r="CB268" s="19"/>
      <c r="CC268" s="19"/>
      <c r="CD268" s="19"/>
      <c r="CE268" s="19"/>
      <c r="CF268" s="6"/>
    </row>
    <row r="269" spans="1:84">
      <c r="B269" s="17"/>
      <c r="C269" s="21" t="s">
        <v>15</v>
      </c>
      <c r="D269" s="21">
        <f>SUM(D243:D268)</f>
        <v>1.2290642759702628E-2</v>
      </c>
      <c r="E269" s="20"/>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c r="AG269" s="19"/>
      <c r="AH269" s="19"/>
      <c r="AI269" s="19"/>
      <c r="AJ269" s="19"/>
      <c r="AK269" s="19"/>
      <c r="AL269" s="19"/>
      <c r="AM269" s="19"/>
      <c r="AN269" s="19"/>
      <c r="AO269" s="19"/>
      <c r="AP269" s="19"/>
      <c r="AQ269" s="19"/>
      <c r="AR269" s="19"/>
      <c r="AS269" s="19"/>
      <c r="AT269" s="19"/>
      <c r="AU269" s="19"/>
      <c r="AV269" s="19"/>
      <c r="AW269" s="19"/>
      <c r="AX269" s="19"/>
      <c r="AY269" s="19"/>
      <c r="AZ269" s="19"/>
      <c r="BA269" s="19"/>
      <c r="BB269" s="19"/>
      <c r="BC269" s="19"/>
      <c r="BD269" s="19"/>
      <c r="BE269" s="19"/>
      <c r="BF269" s="19"/>
      <c r="BG269" s="19"/>
      <c r="BH269" s="19"/>
      <c r="BI269" s="19"/>
      <c r="BJ269" s="19"/>
      <c r="BK269" s="19"/>
      <c r="BL269" s="19"/>
      <c r="BM269" s="19"/>
      <c r="BN269" s="19"/>
      <c r="BO269" s="19"/>
      <c r="BP269" s="19"/>
      <c r="BQ269" s="19"/>
      <c r="BR269" s="19"/>
      <c r="BS269" s="19"/>
      <c r="BT269" s="19"/>
      <c r="BU269" s="19"/>
      <c r="BV269" s="19"/>
      <c r="BW269" s="19"/>
      <c r="BX269" s="19"/>
      <c r="BY269" s="19"/>
      <c r="BZ269" s="19"/>
      <c r="CA269" s="19"/>
      <c r="CB269" s="19"/>
      <c r="CC269" s="19"/>
      <c r="CD269" s="19"/>
      <c r="CE269" s="19"/>
      <c r="CF269" s="6"/>
    </row>
    <row r="270" spans="1:84">
      <c r="A270" s="17"/>
      <c r="B270" s="17"/>
      <c r="C270" s="17"/>
      <c r="D270" s="19"/>
      <c r="E270" s="20"/>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9"/>
      <c r="AD270" s="19"/>
      <c r="AE270" s="19"/>
      <c r="AF270" s="19"/>
      <c r="AG270" s="19"/>
      <c r="AH270" s="19"/>
      <c r="AI270" s="19"/>
      <c r="AJ270" s="19"/>
      <c r="AK270" s="19"/>
      <c r="AL270" s="19"/>
      <c r="AM270" s="19"/>
      <c r="AN270" s="19"/>
      <c r="AO270" s="19"/>
      <c r="AP270" s="19"/>
      <c r="AQ270" s="19"/>
      <c r="AR270" s="19"/>
      <c r="AS270" s="19"/>
      <c r="AT270" s="19"/>
      <c r="AU270" s="19"/>
      <c r="AV270" s="19"/>
      <c r="AW270" s="19"/>
      <c r="AX270" s="19"/>
      <c r="AY270" s="19"/>
      <c r="AZ270" s="19"/>
      <c r="BA270" s="19"/>
      <c r="BB270" s="19"/>
      <c r="BC270" s="19"/>
      <c r="BD270" s="19"/>
      <c r="BE270" s="19"/>
      <c r="BF270" s="19"/>
      <c r="BG270" s="19"/>
      <c r="BH270" s="19"/>
      <c r="BI270" s="19"/>
      <c r="BJ270" s="19"/>
      <c r="BK270" s="19"/>
      <c r="BL270" s="19"/>
      <c r="BM270" s="19"/>
      <c r="BN270" s="19"/>
      <c r="BO270" s="19"/>
      <c r="BP270" s="19"/>
      <c r="BQ270" s="19"/>
      <c r="BR270" s="19"/>
      <c r="BS270" s="19"/>
      <c r="BT270" s="19"/>
      <c r="BU270" s="19"/>
      <c r="BV270" s="19"/>
      <c r="BW270" s="19"/>
      <c r="BX270" s="19"/>
      <c r="BY270" s="19"/>
      <c r="BZ270" s="19"/>
      <c r="CA270" s="19"/>
      <c r="CB270" s="19"/>
      <c r="CC270" s="19"/>
      <c r="CD270" s="19"/>
      <c r="CE270" s="19"/>
      <c r="CF270" s="6"/>
    </row>
    <row r="271" spans="1:84">
      <c r="A271" s="17"/>
      <c r="B271" s="17"/>
      <c r="C271" s="17"/>
      <c r="D271" s="19"/>
      <c r="E271" s="20"/>
      <c r="F271" s="19"/>
      <c r="G271" s="19"/>
      <c r="H271" s="19"/>
      <c r="I271" s="19"/>
      <c r="J271" s="19"/>
      <c r="K271" s="19"/>
      <c r="L271" s="19"/>
      <c r="M271" s="19"/>
      <c r="N271" s="19"/>
      <c r="O271" s="19"/>
      <c r="P271" s="19"/>
      <c r="Q271" s="19"/>
      <c r="R271" s="19"/>
      <c r="S271" s="19"/>
      <c r="T271" s="19"/>
      <c r="U271" s="19"/>
      <c r="V271" s="19"/>
      <c r="W271" s="19"/>
      <c r="X271" s="19"/>
      <c r="Y271" s="19"/>
      <c r="Z271" s="19"/>
      <c r="AA271" s="19"/>
      <c r="AB271" s="19"/>
      <c r="AC271" s="19"/>
      <c r="AD271" s="19"/>
      <c r="AE271" s="19"/>
      <c r="AF271" s="19"/>
      <c r="AG271" s="19"/>
      <c r="AH271" s="19"/>
      <c r="AI271" s="19"/>
      <c r="AJ271" s="19"/>
      <c r="AK271" s="19"/>
      <c r="AL271" s="19"/>
      <c r="AM271" s="19"/>
      <c r="AN271" s="19"/>
      <c r="AO271" s="19"/>
      <c r="AP271" s="19"/>
      <c r="AQ271" s="19"/>
      <c r="AR271" s="19"/>
      <c r="AS271" s="19"/>
      <c r="AT271" s="19"/>
      <c r="AU271" s="19"/>
      <c r="AV271" s="19"/>
      <c r="AW271" s="19"/>
      <c r="AX271" s="19"/>
      <c r="AY271" s="19"/>
      <c r="AZ271" s="19"/>
      <c r="BA271" s="19"/>
      <c r="BB271" s="19"/>
      <c r="BC271" s="19"/>
      <c r="BD271" s="19"/>
      <c r="BE271" s="19"/>
      <c r="BF271" s="19"/>
      <c r="BG271" s="19"/>
      <c r="BH271" s="19"/>
      <c r="BI271" s="19"/>
      <c r="BJ271" s="19"/>
      <c r="BK271" s="19"/>
      <c r="BL271" s="19"/>
      <c r="BM271" s="19"/>
      <c r="BN271" s="19"/>
      <c r="BO271" s="19"/>
      <c r="BP271" s="19"/>
      <c r="BQ271" s="19"/>
      <c r="BR271" s="19"/>
      <c r="BS271" s="19"/>
      <c r="BT271" s="19"/>
      <c r="BU271" s="19"/>
      <c r="BV271" s="19"/>
      <c r="BW271" s="19"/>
      <c r="BX271" s="19"/>
      <c r="BY271" s="19"/>
      <c r="BZ271" s="19"/>
      <c r="CA271" s="19"/>
      <c r="CB271" s="19"/>
      <c r="CC271" s="19"/>
      <c r="CD271" s="19"/>
      <c r="CE271" s="19"/>
      <c r="CF271" s="6"/>
    </row>
    <row r="272" spans="1:84">
      <c r="A272" s="17"/>
      <c r="B272" s="17"/>
      <c r="C272" s="17"/>
      <c r="D272" s="19"/>
      <c r="E272" s="20"/>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9"/>
      <c r="AD272" s="19"/>
      <c r="AE272" s="19"/>
      <c r="AF272" s="19"/>
      <c r="AG272" s="19"/>
      <c r="AH272" s="19"/>
      <c r="AI272" s="19"/>
      <c r="AJ272" s="19"/>
      <c r="AK272" s="19"/>
      <c r="AL272" s="19"/>
      <c r="AM272" s="19"/>
      <c r="AN272" s="19"/>
      <c r="AO272" s="19"/>
      <c r="AP272" s="19"/>
      <c r="AQ272" s="19"/>
      <c r="AR272" s="19"/>
      <c r="AS272" s="19"/>
      <c r="AT272" s="19"/>
      <c r="AU272" s="19"/>
      <c r="AV272" s="19"/>
      <c r="AW272" s="19"/>
      <c r="AX272" s="19"/>
      <c r="AY272" s="19"/>
      <c r="AZ272" s="19"/>
      <c r="BA272" s="19"/>
      <c r="BB272" s="19"/>
      <c r="BC272" s="19"/>
      <c r="BD272" s="19"/>
      <c r="BE272" s="19"/>
      <c r="BF272" s="19"/>
      <c r="BG272" s="19"/>
      <c r="BH272" s="19"/>
      <c r="BI272" s="19"/>
      <c r="BJ272" s="19"/>
      <c r="BK272" s="19"/>
      <c r="BL272" s="19"/>
      <c r="BM272" s="19"/>
      <c r="BN272" s="19"/>
      <c r="BO272" s="19"/>
      <c r="BP272" s="19"/>
      <c r="BQ272" s="19"/>
      <c r="BR272" s="19"/>
      <c r="BS272" s="19"/>
      <c r="BT272" s="19"/>
      <c r="BU272" s="19"/>
      <c r="BV272" s="19"/>
      <c r="BW272" s="19"/>
      <c r="BX272" s="19"/>
      <c r="BY272" s="19"/>
      <c r="BZ272" s="19"/>
      <c r="CA272" s="19"/>
      <c r="CB272" s="19"/>
      <c r="CC272" s="19"/>
      <c r="CD272" s="19"/>
      <c r="CE272" s="19"/>
      <c r="CF272" s="6"/>
    </row>
    <row r="273" spans="1:84">
      <c r="A273" s="17"/>
      <c r="B273" s="17"/>
      <c r="C273" s="17"/>
      <c r="D273" s="19"/>
      <c r="E273" s="20"/>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9"/>
      <c r="AD273" s="19"/>
      <c r="AE273" s="19"/>
      <c r="AF273" s="19"/>
      <c r="AG273" s="19"/>
      <c r="AH273" s="19"/>
      <c r="AI273" s="19"/>
      <c r="AJ273" s="19"/>
      <c r="AK273" s="19"/>
      <c r="AL273" s="19"/>
      <c r="AM273" s="19"/>
      <c r="AN273" s="19"/>
      <c r="AO273" s="19"/>
      <c r="AP273" s="19"/>
      <c r="AQ273" s="19"/>
      <c r="AR273" s="19"/>
      <c r="AS273" s="19"/>
      <c r="AT273" s="19"/>
      <c r="AU273" s="19"/>
      <c r="AV273" s="19"/>
      <c r="AW273" s="19"/>
      <c r="AX273" s="19"/>
      <c r="AY273" s="19"/>
      <c r="AZ273" s="19"/>
      <c r="BA273" s="19"/>
      <c r="BB273" s="19"/>
      <c r="BC273" s="19"/>
      <c r="BD273" s="19"/>
      <c r="BE273" s="19"/>
      <c r="BF273" s="19"/>
      <c r="BG273" s="19"/>
      <c r="BH273" s="19"/>
      <c r="BI273" s="19"/>
      <c r="BJ273" s="19"/>
      <c r="BK273" s="19"/>
      <c r="BL273" s="19"/>
      <c r="BM273" s="19"/>
      <c r="BN273" s="19"/>
      <c r="BO273" s="19"/>
      <c r="BP273" s="19"/>
      <c r="BQ273" s="19"/>
      <c r="BR273" s="19"/>
      <c r="BS273" s="19"/>
      <c r="BT273" s="19"/>
      <c r="BU273" s="19"/>
      <c r="BV273" s="19"/>
      <c r="BW273" s="19"/>
      <c r="BX273" s="19"/>
      <c r="BY273" s="19"/>
      <c r="BZ273" s="19"/>
      <c r="CA273" s="19"/>
      <c r="CB273" s="19"/>
      <c r="CC273" s="19"/>
      <c r="CD273" s="19"/>
      <c r="CE273" s="19"/>
      <c r="CF273" s="6"/>
    </row>
    <row r="274" spans="1:84">
      <c r="A274" s="17"/>
      <c r="B274" s="17"/>
      <c r="C274" s="17"/>
      <c r="D274" s="19"/>
      <c r="E274" s="20"/>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9"/>
      <c r="AD274" s="19"/>
      <c r="AE274" s="19"/>
      <c r="AF274" s="19"/>
      <c r="AG274" s="19"/>
      <c r="AH274" s="19"/>
      <c r="AI274" s="19"/>
      <c r="AJ274" s="19"/>
      <c r="AK274" s="19"/>
      <c r="AL274" s="19"/>
      <c r="AM274" s="19"/>
      <c r="AN274" s="19"/>
      <c r="AO274" s="19"/>
      <c r="AP274" s="19"/>
      <c r="AQ274" s="19"/>
      <c r="AR274" s="19"/>
      <c r="AS274" s="19"/>
      <c r="AT274" s="19"/>
      <c r="AU274" s="19"/>
      <c r="AV274" s="19"/>
      <c r="AW274" s="19"/>
      <c r="AX274" s="19"/>
      <c r="AY274" s="19"/>
      <c r="AZ274" s="19"/>
      <c r="BA274" s="19"/>
      <c r="BB274" s="19"/>
      <c r="BC274" s="19"/>
      <c r="BD274" s="19"/>
      <c r="BE274" s="19"/>
      <c r="BF274" s="19"/>
      <c r="BG274" s="19"/>
      <c r="BH274" s="19"/>
      <c r="BI274" s="19"/>
      <c r="BJ274" s="19"/>
      <c r="BK274" s="19"/>
      <c r="BL274" s="19"/>
      <c r="BM274" s="19"/>
      <c r="BN274" s="19"/>
      <c r="BO274" s="19"/>
      <c r="BP274" s="19"/>
      <c r="BQ274" s="19"/>
      <c r="BR274" s="19"/>
      <c r="BS274" s="19"/>
      <c r="BT274" s="19"/>
      <c r="BU274" s="19"/>
      <c r="BV274" s="19"/>
      <c r="BW274" s="19"/>
      <c r="BX274" s="19"/>
      <c r="BY274" s="19"/>
      <c r="BZ274" s="19"/>
      <c r="CA274" s="19"/>
      <c r="CB274" s="19"/>
      <c r="CC274" s="19"/>
      <c r="CD274" s="19"/>
      <c r="CE274" s="19"/>
      <c r="CF274" s="6"/>
    </row>
    <row r="275" spans="1:84">
      <c r="A275" s="17"/>
      <c r="B275" s="17"/>
      <c r="C275" s="17"/>
      <c r="D275" s="19"/>
      <c r="E275" s="20"/>
      <c r="F275" s="19"/>
      <c r="G275" s="19"/>
      <c r="H275" s="19"/>
      <c r="I275" s="19"/>
      <c r="J275" s="19"/>
      <c r="K275" s="19"/>
      <c r="L275" s="19"/>
      <c r="M275" s="19"/>
      <c r="N275" s="19"/>
      <c r="O275" s="19"/>
      <c r="P275" s="19"/>
      <c r="Q275" s="19"/>
      <c r="R275" s="19"/>
      <c r="S275" s="19"/>
      <c r="T275" s="19"/>
      <c r="U275" s="19"/>
      <c r="V275" s="19"/>
      <c r="W275" s="19"/>
      <c r="X275" s="19"/>
      <c r="Y275" s="19"/>
      <c r="Z275" s="19"/>
      <c r="AA275" s="19"/>
      <c r="AB275" s="19"/>
      <c r="AC275" s="19"/>
      <c r="AD275" s="19"/>
      <c r="AE275" s="19"/>
      <c r="AF275" s="19"/>
      <c r="AG275" s="19"/>
      <c r="AH275" s="19"/>
      <c r="AI275" s="19"/>
      <c r="AJ275" s="19"/>
      <c r="AK275" s="19"/>
      <c r="AL275" s="19"/>
      <c r="AM275" s="19"/>
      <c r="AN275" s="19"/>
      <c r="AO275" s="19"/>
      <c r="AP275" s="19"/>
      <c r="AQ275" s="19"/>
      <c r="AR275" s="19"/>
      <c r="AS275" s="19"/>
      <c r="AT275" s="19"/>
      <c r="AU275" s="19"/>
      <c r="AV275" s="19"/>
      <c r="AW275" s="19"/>
      <c r="AX275" s="19"/>
      <c r="AY275" s="19"/>
      <c r="AZ275" s="19"/>
      <c r="BA275" s="19"/>
      <c r="BB275" s="19"/>
      <c r="BC275" s="19"/>
      <c r="BD275" s="19"/>
      <c r="BE275" s="19"/>
      <c r="BF275" s="19"/>
      <c r="BG275" s="19"/>
      <c r="BH275" s="19"/>
      <c r="BI275" s="19"/>
      <c r="BJ275" s="19"/>
      <c r="BK275" s="19"/>
      <c r="BL275" s="19"/>
      <c r="BM275" s="19"/>
      <c r="BN275" s="19"/>
      <c r="BO275" s="19"/>
      <c r="BP275" s="19"/>
      <c r="BQ275" s="19"/>
      <c r="BR275" s="19"/>
      <c r="BS275" s="19"/>
      <c r="BT275" s="19"/>
      <c r="BU275" s="19"/>
      <c r="BV275" s="19"/>
      <c r="BW275" s="19"/>
      <c r="BX275" s="19"/>
      <c r="BY275" s="19"/>
      <c r="BZ275" s="19"/>
      <c r="CA275" s="19"/>
      <c r="CB275" s="19"/>
      <c r="CC275" s="19"/>
      <c r="CD275" s="19"/>
      <c r="CE275" s="19"/>
      <c r="CF275" s="6"/>
    </row>
    <row r="276" spans="1:84">
      <c r="A276" s="17"/>
      <c r="B276" s="17"/>
      <c r="C276" s="17"/>
      <c r="D276" s="19"/>
      <c r="E276" s="20"/>
      <c r="F276" s="19"/>
      <c r="G276" s="19"/>
      <c r="H276" s="19"/>
      <c r="I276" s="19"/>
      <c r="J276" s="19"/>
      <c r="K276" s="19"/>
      <c r="L276" s="19"/>
      <c r="M276" s="19"/>
      <c r="N276" s="19"/>
      <c r="O276" s="19"/>
      <c r="P276" s="19"/>
      <c r="Q276" s="19"/>
      <c r="R276" s="19"/>
      <c r="S276" s="19"/>
      <c r="T276" s="19"/>
      <c r="U276" s="19"/>
      <c r="V276" s="19"/>
      <c r="W276" s="19"/>
      <c r="X276" s="19"/>
      <c r="Y276" s="19"/>
      <c r="Z276" s="19"/>
      <c r="AA276" s="19"/>
      <c r="AB276" s="19"/>
      <c r="AC276" s="19"/>
      <c r="AD276" s="19"/>
      <c r="AE276" s="19"/>
      <c r="AF276" s="19"/>
      <c r="AG276" s="19"/>
      <c r="AH276" s="19"/>
      <c r="AI276" s="19"/>
      <c r="AJ276" s="19"/>
      <c r="AK276" s="19"/>
      <c r="AL276" s="19"/>
      <c r="AM276" s="19"/>
      <c r="AN276" s="19"/>
      <c r="AO276" s="19"/>
      <c r="AP276" s="19"/>
      <c r="AQ276" s="19"/>
      <c r="AR276" s="19"/>
      <c r="AS276" s="19"/>
      <c r="AT276" s="19"/>
      <c r="AU276" s="19"/>
      <c r="AV276" s="19"/>
      <c r="AW276" s="19"/>
      <c r="AX276" s="19"/>
      <c r="AY276" s="19"/>
      <c r="AZ276" s="19"/>
      <c r="BA276" s="19"/>
      <c r="BB276" s="19"/>
      <c r="BC276" s="19"/>
      <c r="BD276" s="19"/>
      <c r="BE276" s="19"/>
      <c r="BF276" s="19"/>
      <c r="BG276" s="19"/>
      <c r="BH276" s="19"/>
      <c r="BI276" s="19"/>
      <c r="BJ276" s="19"/>
      <c r="BK276" s="19"/>
      <c r="BL276" s="19"/>
      <c r="BM276" s="19"/>
      <c r="BN276" s="19"/>
      <c r="BO276" s="19"/>
      <c r="BP276" s="19"/>
      <c r="BQ276" s="19"/>
      <c r="BR276" s="19"/>
      <c r="BS276" s="19"/>
      <c r="BT276" s="19"/>
      <c r="BU276" s="19"/>
      <c r="BV276" s="19"/>
      <c r="BW276" s="19"/>
      <c r="BX276" s="19"/>
      <c r="BY276" s="19"/>
      <c r="BZ276" s="19"/>
      <c r="CA276" s="19"/>
      <c r="CB276" s="19"/>
      <c r="CC276" s="19"/>
      <c r="CD276" s="19"/>
      <c r="CE276" s="19"/>
      <c r="CF276" s="6"/>
    </row>
    <row r="277" spans="1:84">
      <c r="A277" s="17"/>
      <c r="B277" s="17"/>
      <c r="C277" s="17"/>
      <c r="D277" s="19"/>
      <c r="E277" s="20"/>
      <c r="F277" s="19"/>
      <c r="G277" s="19"/>
      <c r="H277" s="19"/>
      <c r="I277" s="19"/>
      <c r="J277" s="19"/>
      <c r="K277" s="19"/>
      <c r="L277" s="19"/>
      <c r="M277" s="19"/>
      <c r="N277" s="19"/>
      <c r="O277" s="19"/>
      <c r="P277" s="19"/>
      <c r="Q277" s="19"/>
      <c r="R277" s="19"/>
      <c r="S277" s="19"/>
      <c r="T277" s="19"/>
      <c r="U277" s="19"/>
      <c r="V277" s="19"/>
      <c r="W277" s="19"/>
      <c r="X277" s="19"/>
      <c r="Y277" s="19"/>
      <c r="Z277" s="19"/>
      <c r="AA277" s="19"/>
      <c r="AB277" s="19"/>
      <c r="AC277" s="19"/>
      <c r="AD277" s="19"/>
      <c r="AE277" s="19"/>
      <c r="AF277" s="19"/>
      <c r="AG277" s="19"/>
      <c r="AH277" s="19"/>
      <c r="AI277" s="19"/>
      <c r="AJ277" s="19"/>
      <c r="AK277" s="19"/>
      <c r="AL277" s="19"/>
      <c r="AM277" s="19"/>
      <c r="AN277" s="19"/>
      <c r="AO277" s="19"/>
      <c r="AP277" s="19"/>
      <c r="AQ277" s="19"/>
      <c r="AR277" s="19"/>
      <c r="AS277" s="19"/>
      <c r="AT277" s="19"/>
      <c r="AU277" s="19"/>
      <c r="AV277" s="19"/>
      <c r="AW277" s="19"/>
      <c r="AX277" s="19"/>
      <c r="AY277" s="19"/>
      <c r="AZ277" s="19"/>
      <c r="BA277" s="19"/>
      <c r="BB277" s="19"/>
      <c r="BC277" s="19"/>
      <c r="BD277" s="19"/>
      <c r="BE277" s="19"/>
      <c r="BF277" s="19"/>
      <c r="BG277" s="19"/>
      <c r="BH277" s="19"/>
      <c r="BI277" s="19"/>
      <c r="BJ277" s="19"/>
      <c r="BK277" s="19"/>
      <c r="BL277" s="19"/>
      <c r="BM277" s="19"/>
      <c r="BN277" s="19"/>
      <c r="BO277" s="19"/>
      <c r="BP277" s="19"/>
      <c r="BQ277" s="19"/>
      <c r="BR277" s="19"/>
      <c r="BS277" s="19"/>
      <c r="BT277" s="19"/>
      <c r="BU277" s="19"/>
      <c r="BV277" s="19"/>
      <c r="BW277" s="19"/>
      <c r="BX277" s="19"/>
      <c r="BY277" s="19"/>
      <c r="BZ277" s="19"/>
      <c r="CA277" s="19"/>
      <c r="CB277" s="19"/>
      <c r="CC277" s="19"/>
      <c r="CD277" s="19"/>
      <c r="CE277" s="19"/>
      <c r="CF277" s="6"/>
    </row>
    <row r="278" spans="1:84">
      <c r="A278" s="17"/>
      <c r="B278" s="17"/>
      <c r="C278" s="17"/>
      <c r="D278" s="19"/>
      <c r="E278" s="20"/>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19"/>
      <c r="AE278" s="19"/>
      <c r="AF278" s="19"/>
      <c r="AG278" s="19"/>
      <c r="AH278" s="19"/>
      <c r="AI278" s="19"/>
      <c r="AJ278" s="19"/>
      <c r="AK278" s="19"/>
      <c r="AL278" s="19"/>
      <c r="AM278" s="19"/>
      <c r="AN278" s="19"/>
      <c r="AO278" s="19"/>
      <c r="AP278" s="19"/>
      <c r="AQ278" s="19"/>
      <c r="AR278" s="19"/>
      <c r="AS278" s="19"/>
      <c r="AT278" s="19"/>
      <c r="AU278" s="19"/>
      <c r="AV278" s="19"/>
      <c r="AW278" s="19"/>
      <c r="AX278" s="19"/>
      <c r="AY278" s="19"/>
      <c r="AZ278" s="19"/>
      <c r="BA278" s="19"/>
      <c r="BB278" s="19"/>
      <c r="BC278" s="19"/>
      <c r="BD278" s="19"/>
      <c r="BE278" s="19"/>
      <c r="BF278" s="19"/>
      <c r="BG278" s="19"/>
      <c r="BH278" s="19"/>
      <c r="BI278" s="19"/>
      <c r="BJ278" s="19"/>
      <c r="BK278" s="19"/>
      <c r="BL278" s="19"/>
      <c r="BM278" s="19"/>
      <c r="BN278" s="19"/>
      <c r="BO278" s="19"/>
      <c r="BP278" s="19"/>
      <c r="BQ278" s="19"/>
      <c r="BR278" s="19"/>
      <c r="BS278" s="19"/>
      <c r="BT278" s="19"/>
      <c r="BU278" s="19"/>
      <c r="BV278" s="19"/>
      <c r="BW278" s="19"/>
      <c r="BX278" s="19"/>
      <c r="BY278" s="19"/>
      <c r="BZ278" s="19"/>
      <c r="CA278" s="19"/>
      <c r="CB278" s="19"/>
      <c r="CC278" s="19"/>
      <c r="CD278" s="19"/>
      <c r="CE278" s="19"/>
      <c r="CF278" s="6"/>
    </row>
    <row r="279" spans="1:84">
      <c r="A279" s="17"/>
      <c r="B279" s="17"/>
      <c r="C279" s="17"/>
      <c r="D279" s="19"/>
      <c r="E279" s="20"/>
      <c r="F279" s="19"/>
      <c r="G279" s="19"/>
      <c r="H279" s="19"/>
      <c r="I279" s="19"/>
      <c r="J279" s="19"/>
      <c r="K279" s="19"/>
      <c r="L279" s="19"/>
      <c r="M279" s="19"/>
      <c r="N279" s="19"/>
      <c r="O279" s="19"/>
      <c r="P279" s="19"/>
      <c r="Q279" s="19"/>
      <c r="R279" s="19"/>
      <c r="S279" s="19"/>
      <c r="T279" s="19"/>
      <c r="U279" s="19"/>
      <c r="V279" s="19"/>
      <c r="W279" s="19"/>
      <c r="X279" s="19"/>
      <c r="Y279" s="19"/>
      <c r="Z279" s="19"/>
      <c r="AA279" s="19"/>
      <c r="AB279" s="19"/>
      <c r="AC279" s="19"/>
      <c r="AD279" s="19"/>
      <c r="AE279" s="19"/>
      <c r="AF279" s="19"/>
      <c r="AG279" s="19"/>
      <c r="AH279" s="19"/>
      <c r="AI279" s="19"/>
      <c r="AJ279" s="19"/>
      <c r="AK279" s="19"/>
      <c r="AL279" s="19"/>
      <c r="AM279" s="19"/>
      <c r="AN279" s="19"/>
      <c r="AO279" s="19"/>
      <c r="AP279" s="19"/>
      <c r="AQ279" s="19"/>
      <c r="AR279" s="19"/>
      <c r="AS279" s="19"/>
      <c r="AT279" s="19"/>
      <c r="AU279" s="19"/>
      <c r="AV279" s="19"/>
      <c r="AW279" s="19"/>
      <c r="AX279" s="19"/>
      <c r="AY279" s="19"/>
      <c r="AZ279" s="19"/>
      <c r="BA279" s="19"/>
      <c r="BB279" s="19"/>
      <c r="BC279" s="19"/>
      <c r="BD279" s="19"/>
      <c r="BE279" s="19"/>
      <c r="BF279" s="19"/>
      <c r="BG279" s="19"/>
      <c r="BH279" s="19"/>
      <c r="BI279" s="19"/>
      <c r="BJ279" s="19"/>
      <c r="BK279" s="19"/>
      <c r="BL279" s="19"/>
      <c r="BM279" s="19"/>
      <c r="BN279" s="19"/>
      <c r="BO279" s="19"/>
      <c r="BP279" s="19"/>
      <c r="BQ279" s="19"/>
      <c r="BR279" s="19"/>
      <c r="BS279" s="19"/>
      <c r="BT279" s="19"/>
      <c r="BU279" s="19"/>
      <c r="BV279" s="19"/>
      <c r="BW279" s="19"/>
      <c r="BX279" s="19"/>
      <c r="BY279" s="19"/>
      <c r="BZ279" s="19"/>
      <c r="CA279" s="19"/>
      <c r="CB279" s="19"/>
      <c r="CC279" s="19"/>
      <c r="CD279" s="19"/>
      <c r="CE279" s="19"/>
      <c r="CF279" s="6"/>
    </row>
    <row r="280" spans="1:84">
      <c r="A280" s="17"/>
      <c r="B280" s="17"/>
      <c r="C280" s="17"/>
      <c r="D280" s="19"/>
      <c r="E280" s="20"/>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9"/>
      <c r="AE280" s="19"/>
      <c r="AF280" s="19"/>
      <c r="AG280" s="19"/>
      <c r="AH280" s="19"/>
      <c r="AI280" s="19"/>
      <c r="AJ280" s="19"/>
      <c r="AK280" s="19"/>
      <c r="AL280" s="19"/>
      <c r="AM280" s="19"/>
      <c r="AN280" s="19"/>
      <c r="AO280" s="19"/>
      <c r="AP280" s="19"/>
      <c r="AQ280" s="19"/>
      <c r="AR280" s="19"/>
      <c r="AS280" s="19"/>
      <c r="AT280" s="19"/>
      <c r="AU280" s="19"/>
      <c r="AV280" s="19"/>
      <c r="AW280" s="19"/>
      <c r="AX280" s="19"/>
      <c r="AY280" s="19"/>
      <c r="AZ280" s="19"/>
      <c r="BA280" s="19"/>
      <c r="BB280" s="19"/>
      <c r="BC280" s="19"/>
      <c r="BD280" s="19"/>
      <c r="BE280" s="19"/>
      <c r="BF280" s="19"/>
      <c r="BG280" s="19"/>
      <c r="BH280" s="19"/>
      <c r="BI280" s="19"/>
      <c r="BJ280" s="19"/>
      <c r="BK280" s="19"/>
      <c r="BL280" s="19"/>
      <c r="BM280" s="19"/>
      <c r="BN280" s="19"/>
      <c r="BO280" s="19"/>
      <c r="BP280" s="19"/>
      <c r="BQ280" s="19"/>
      <c r="BR280" s="19"/>
      <c r="BS280" s="19"/>
      <c r="BT280" s="19"/>
      <c r="BU280" s="19"/>
      <c r="BV280" s="19"/>
      <c r="BW280" s="19"/>
      <c r="BX280" s="19"/>
      <c r="BY280" s="19"/>
      <c r="BZ280" s="19"/>
      <c r="CA280" s="19"/>
      <c r="CB280" s="19"/>
      <c r="CC280" s="19"/>
      <c r="CD280" s="19"/>
      <c r="CE280" s="19"/>
      <c r="CF280" s="6"/>
    </row>
    <row r="281" spans="1:84">
      <c r="A281" s="17"/>
      <c r="B281" s="17"/>
      <c r="C281" s="17"/>
      <c r="D281" s="19"/>
      <c r="E281" s="20"/>
      <c r="F281" s="19"/>
      <c r="G281" s="19"/>
      <c r="H281" s="19"/>
      <c r="I281" s="19"/>
      <c r="J281" s="19"/>
      <c r="K281" s="19"/>
      <c r="L281" s="19"/>
      <c r="M281" s="19"/>
      <c r="N281" s="19"/>
      <c r="O281" s="19"/>
      <c r="P281" s="19"/>
      <c r="Q281" s="19"/>
      <c r="R281" s="19"/>
      <c r="S281" s="19"/>
      <c r="T281" s="19"/>
      <c r="U281" s="19"/>
      <c r="V281" s="19"/>
      <c r="W281" s="19"/>
      <c r="X281" s="19"/>
      <c r="Y281" s="19"/>
      <c r="Z281" s="19"/>
      <c r="AA281" s="19"/>
      <c r="AB281" s="19"/>
      <c r="AC281" s="19"/>
      <c r="AD281" s="19"/>
      <c r="AE281" s="19"/>
      <c r="AF281" s="19"/>
      <c r="AG281" s="19"/>
      <c r="AH281" s="19"/>
      <c r="AI281" s="19"/>
      <c r="AJ281" s="19"/>
      <c r="AK281" s="19"/>
      <c r="AL281" s="19"/>
      <c r="AM281" s="19"/>
      <c r="AN281" s="19"/>
      <c r="AO281" s="19"/>
      <c r="AP281" s="19"/>
      <c r="AQ281" s="19"/>
      <c r="AR281" s="19"/>
      <c r="AS281" s="19"/>
      <c r="AT281" s="19"/>
      <c r="AU281" s="19"/>
      <c r="AV281" s="19"/>
      <c r="AW281" s="19"/>
      <c r="AX281" s="19"/>
      <c r="AY281" s="19"/>
      <c r="AZ281" s="19"/>
      <c r="BA281" s="19"/>
      <c r="BB281" s="19"/>
      <c r="BC281" s="19"/>
      <c r="BD281" s="19"/>
      <c r="BE281" s="19"/>
      <c r="BF281" s="19"/>
      <c r="BG281" s="19"/>
      <c r="BH281" s="19"/>
      <c r="BI281" s="19"/>
      <c r="BJ281" s="19"/>
      <c r="BK281" s="19"/>
      <c r="BL281" s="19"/>
      <c r="BM281" s="19"/>
      <c r="BN281" s="19"/>
      <c r="BO281" s="19"/>
      <c r="BP281" s="19"/>
      <c r="BQ281" s="19"/>
      <c r="BR281" s="19"/>
      <c r="BS281" s="19"/>
      <c r="BT281" s="19"/>
      <c r="BU281" s="19"/>
      <c r="BV281" s="19"/>
      <c r="BW281" s="19"/>
      <c r="BX281" s="19"/>
      <c r="BY281" s="19"/>
      <c r="BZ281" s="19"/>
      <c r="CA281" s="19"/>
      <c r="CB281" s="19"/>
      <c r="CC281" s="19"/>
      <c r="CD281" s="19"/>
      <c r="CE281" s="19"/>
      <c r="CF281" s="6"/>
    </row>
    <row r="282" spans="1:84">
      <c r="A282" s="17"/>
      <c r="B282" s="17"/>
      <c r="C282" s="17"/>
      <c r="D282" s="19"/>
      <c r="E282" s="20"/>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9"/>
      <c r="AE282" s="19"/>
      <c r="AF282" s="19"/>
      <c r="AG282" s="19"/>
      <c r="AH282" s="19"/>
      <c r="AI282" s="19"/>
      <c r="AJ282" s="19"/>
      <c r="AK282" s="19"/>
      <c r="AL282" s="19"/>
      <c r="AM282" s="19"/>
      <c r="AN282" s="19"/>
      <c r="AO282" s="19"/>
      <c r="AP282" s="19"/>
      <c r="AQ282" s="19"/>
      <c r="AR282" s="19"/>
      <c r="AS282" s="19"/>
      <c r="AT282" s="19"/>
      <c r="AU282" s="19"/>
      <c r="AV282" s="19"/>
      <c r="AW282" s="19"/>
      <c r="AX282" s="19"/>
      <c r="AY282" s="19"/>
      <c r="AZ282" s="19"/>
      <c r="BA282" s="19"/>
      <c r="BB282" s="19"/>
      <c r="BC282" s="19"/>
      <c r="BD282" s="19"/>
      <c r="BE282" s="19"/>
      <c r="BF282" s="19"/>
      <c r="BG282" s="19"/>
      <c r="BH282" s="19"/>
      <c r="BI282" s="19"/>
      <c r="BJ282" s="19"/>
      <c r="BK282" s="19"/>
      <c r="BL282" s="19"/>
      <c r="BM282" s="19"/>
      <c r="BN282" s="19"/>
      <c r="BO282" s="19"/>
      <c r="BP282" s="19"/>
      <c r="BQ282" s="19"/>
      <c r="BR282" s="19"/>
      <c r="BS282" s="19"/>
      <c r="BT282" s="19"/>
      <c r="BU282" s="19"/>
      <c r="BV282" s="19"/>
      <c r="BW282" s="19"/>
      <c r="BX282" s="19"/>
      <c r="BY282" s="19"/>
      <c r="BZ282" s="19"/>
      <c r="CA282" s="19"/>
      <c r="CB282" s="19"/>
      <c r="CC282" s="19"/>
      <c r="CD282" s="19"/>
      <c r="CE282" s="19"/>
      <c r="CF282" s="6"/>
    </row>
    <row r="283" spans="1:84">
      <c r="A283" s="17"/>
      <c r="B283" s="17"/>
      <c r="C283" s="17"/>
      <c r="D283" s="19"/>
      <c r="E283" s="20"/>
      <c r="F283" s="19"/>
      <c r="G283" s="19"/>
      <c r="H283" s="19"/>
      <c r="I283" s="19"/>
      <c r="J283" s="19"/>
      <c r="K283" s="19"/>
      <c r="L283" s="19"/>
      <c r="M283" s="19"/>
      <c r="N283" s="19"/>
      <c r="O283" s="19"/>
      <c r="P283" s="19"/>
      <c r="Q283" s="19"/>
      <c r="R283" s="19"/>
      <c r="S283" s="19"/>
      <c r="T283" s="19"/>
      <c r="U283" s="19"/>
      <c r="V283" s="19"/>
      <c r="W283" s="19"/>
      <c r="X283" s="19"/>
      <c r="Y283" s="19"/>
      <c r="Z283" s="19"/>
      <c r="AA283" s="19"/>
      <c r="AB283" s="19"/>
      <c r="AC283" s="19"/>
      <c r="AD283" s="19"/>
      <c r="AE283" s="19"/>
      <c r="AF283" s="19"/>
      <c r="AG283" s="19"/>
      <c r="AH283" s="19"/>
      <c r="AI283" s="19"/>
      <c r="AJ283" s="19"/>
      <c r="AK283" s="19"/>
      <c r="AL283" s="19"/>
      <c r="AM283" s="19"/>
      <c r="AN283" s="19"/>
      <c r="AO283" s="19"/>
      <c r="AP283" s="19"/>
      <c r="AQ283" s="19"/>
      <c r="AR283" s="19"/>
      <c r="AS283" s="19"/>
      <c r="AT283" s="19"/>
      <c r="AU283" s="19"/>
      <c r="AV283" s="19"/>
      <c r="AW283" s="19"/>
      <c r="AX283" s="19"/>
      <c r="AY283" s="19"/>
      <c r="AZ283" s="19"/>
      <c r="BA283" s="19"/>
      <c r="BB283" s="19"/>
      <c r="BC283" s="19"/>
      <c r="BD283" s="19"/>
      <c r="BE283" s="19"/>
      <c r="BF283" s="19"/>
      <c r="BG283" s="19"/>
      <c r="BH283" s="19"/>
      <c r="BI283" s="19"/>
      <c r="BJ283" s="19"/>
      <c r="BK283" s="19"/>
      <c r="BL283" s="19"/>
      <c r="BM283" s="19"/>
      <c r="BN283" s="19"/>
      <c r="BO283" s="19"/>
      <c r="BP283" s="19"/>
      <c r="BQ283" s="19"/>
      <c r="BR283" s="19"/>
      <c r="BS283" s="19"/>
      <c r="BT283" s="19"/>
      <c r="BU283" s="19"/>
      <c r="BV283" s="19"/>
      <c r="BW283" s="19"/>
      <c r="BX283" s="19"/>
      <c r="BY283" s="19"/>
      <c r="BZ283" s="19"/>
      <c r="CA283" s="19"/>
      <c r="CB283" s="19"/>
      <c r="CC283" s="19"/>
      <c r="CD283" s="19"/>
      <c r="CE283" s="19"/>
      <c r="CF283" s="6"/>
    </row>
    <row r="284" spans="1:84">
      <c r="A284" s="17"/>
      <c r="B284" s="17"/>
      <c r="C284" s="17"/>
      <c r="D284" s="19"/>
      <c r="E284" s="20"/>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9"/>
      <c r="AD284" s="19"/>
      <c r="AE284" s="19"/>
      <c r="AF284" s="19"/>
      <c r="AG284" s="19"/>
      <c r="AH284" s="19"/>
      <c r="AI284" s="19"/>
      <c r="AJ284" s="19"/>
      <c r="AK284" s="19"/>
      <c r="AL284" s="19"/>
      <c r="AM284" s="19"/>
      <c r="AN284" s="19"/>
      <c r="AO284" s="19"/>
      <c r="AP284" s="19"/>
      <c r="AQ284" s="19"/>
      <c r="AR284" s="19"/>
      <c r="AS284" s="19"/>
      <c r="AT284" s="19"/>
      <c r="AU284" s="19"/>
      <c r="AV284" s="19"/>
      <c r="AW284" s="19"/>
      <c r="AX284" s="19"/>
      <c r="AY284" s="19"/>
      <c r="AZ284" s="19"/>
      <c r="BA284" s="19"/>
      <c r="BB284" s="19"/>
      <c r="BC284" s="19"/>
      <c r="BD284" s="19"/>
      <c r="BE284" s="19"/>
      <c r="BF284" s="19"/>
      <c r="BG284" s="19"/>
      <c r="BH284" s="19"/>
      <c r="BI284" s="19"/>
      <c r="BJ284" s="19"/>
      <c r="BK284" s="19"/>
      <c r="BL284" s="19"/>
      <c r="BM284" s="19"/>
      <c r="BN284" s="19"/>
      <c r="BO284" s="19"/>
      <c r="BP284" s="19"/>
      <c r="BQ284" s="19"/>
      <c r="BR284" s="19"/>
      <c r="BS284" s="19"/>
      <c r="BT284" s="19"/>
      <c r="BU284" s="19"/>
      <c r="BV284" s="19"/>
      <c r="BW284" s="19"/>
      <c r="BX284" s="19"/>
      <c r="BY284" s="19"/>
      <c r="BZ284" s="19"/>
      <c r="CA284" s="19"/>
      <c r="CB284" s="19"/>
      <c r="CC284" s="19"/>
      <c r="CD284" s="19"/>
      <c r="CE284" s="19"/>
      <c r="CF284" s="6"/>
    </row>
    <row r="285" spans="1:84">
      <c r="A285" s="17"/>
      <c r="B285" s="17"/>
      <c r="C285" s="17"/>
      <c r="D285" s="19"/>
      <c r="E285" s="19"/>
      <c r="F285" s="19"/>
      <c r="G285" s="19"/>
      <c r="H285" s="19"/>
      <c r="I285" s="19"/>
      <c r="J285" s="19"/>
      <c r="K285" s="19"/>
      <c r="L285" s="19"/>
      <c r="M285" s="19"/>
      <c r="N285" s="19"/>
      <c r="O285" s="19"/>
      <c r="P285" s="19"/>
      <c r="Q285" s="19"/>
      <c r="R285" s="19"/>
      <c r="S285" s="19"/>
      <c r="T285" s="19"/>
      <c r="U285" s="19"/>
      <c r="V285" s="19"/>
      <c r="W285" s="19"/>
      <c r="X285" s="19"/>
      <c r="Y285" s="19"/>
      <c r="Z285" s="19"/>
      <c r="AA285" s="19"/>
      <c r="AB285" s="19"/>
      <c r="AC285" s="19"/>
      <c r="AD285" s="19"/>
      <c r="AE285" s="19"/>
      <c r="AF285" s="19"/>
      <c r="AG285" s="19"/>
      <c r="AH285" s="19"/>
      <c r="AI285" s="19"/>
      <c r="AJ285" s="19"/>
      <c r="AK285" s="19"/>
      <c r="AL285" s="19"/>
      <c r="AM285" s="19"/>
      <c r="AN285" s="19"/>
      <c r="AO285" s="19"/>
      <c r="AP285" s="19"/>
      <c r="AQ285" s="19"/>
      <c r="AR285" s="19"/>
      <c r="AS285" s="19"/>
      <c r="AT285" s="19"/>
      <c r="AU285" s="19"/>
      <c r="AV285" s="19"/>
      <c r="AW285" s="19"/>
      <c r="AX285" s="19"/>
      <c r="AY285" s="19"/>
      <c r="AZ285" s="19"/>
      <c r="BA285" s="19"/>
      <c r="BB285" s="19"/>
      <c r="BC285" s="19"/>
      <c r="BD285" s="19"/>
      <c r="BE285" s="19"/>
      <c r="BF285" s="19"/>
      <c r="BG285" s="19"/>
      <c r="BH285" s="19"/>
      <c r="BI285" s="19"/>
      <c r="BJ285" s="19"/>
      <c r="BK285" s="19"/>
      <c r="BL285" s="19"/>
      <c r="BM285" s="19"/>
      <c r="BN285" s="19"/>
      <c r="BO285" s="19"/>
      <c r="BP285" s="19"/>
      <c r="BQ285" s="19"/>
      <c r="BR285" s="19"/>
      <c r="BS285" s="19"/>
      <c r="BT285" s="19"/>
      <c r="BU285" s="19"/>
      <c r="BV285" s="19"/>
      <c r="BW285" s="19"/>
      <c r="BX285" s="19"/>
      <c r="BY285" s="19"/>
      <c r="BZ285" s="19"/>
      <c r="CA285" s="19"/>
      <c r="CB285" s="19"/>
      <c r="CC285" s="19"/>
      <c r="CD285" s="19"/>
      <c r="CE285" s="19"/>
      <c r="CF285" s="6"/>
    </row>
    <row r="286" spans="1:84">
      <c r="A286" s="17"/>
      <c r="B286" s="17"/>
      <c r="C286" s="17"/>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9"/>
      <c r="AD286" s="19"/>
      <c r="AE286" s="19"/>
      <c r="AF286" s="19"/>
      <c r="AG286" s="19"/>
      <c r="AH286" s="19"/>
      <c r="AI286" s="19"/>
      <c r="AJ286" s="19"/>
      <c r="AK286" s="19"/>
      <c r="AL286" s="19"/>
      <c r="AM286" s="19"/>
      <c r="AN286" s="19"/>
      <c r="AO286" s="19"/>
      <c r="AP286" s="19"/>
      <c r="AQ286" s="19"/>
      <c r="AR286" s="19"/>
      <c r="AS286" s="19"/>
      <c r="AT286" s="19"/>
      <c r="AU286" s="19"/>
      <c r="AV286" s="19"/>
      <c r="AW286" s="19"/>
      <c r="AX286" s="19"/>
      <c r="AY286" s="19"/>
      <c r="AZ286" s="19"/>
      <c r="BA286" s="19"/>
      <c r="BB286" s="19"/>
      <c r="BC286" s="19"/>
      <c r="BD286" s="19"/>
      <c r="BE286" s="19"/>
      <c r="BF286" s="19"/>
      <c r="BG286" s="19"/>
      <c r="BH286" s="19"/>
      <c r="BI286" s="19"/>
      <c r="BJ286" s="19"/>
      <c r="BK286" s="19"/>
      <c r="BL286" s="19"/>
      <c r="BM286" s="19"/>
      <c r="BN286" s="19"/>
      <c r="BO286" s="19"/>
      <c r="BP286" s="19"/>
      <c r="BQ286" s="19"/>
      <c r="BR286" s="19"/>
      <c r="BS286" s="19"/>
      <c r="BT286" s="19"/>
      <c r="BU286" s="19"/>
      <c r="BV286" s="19"/>
      <c r="BW286" s="19"/>
      <c r="BX286" s="19"/>
      <c r="BY286" s="19"/>
      <c r="BZ286" s="19"/>
      <c r="CA286" s="19"/>
      <c r="CB286" s="19"/>
      <c r="CC286" s="19"/>
      <c r="CD286" s="19"/>
      <c r="CE286" s="19"/>
      <c r="CF286" s="6"/>
    </row>
    <row r="287" spans="1:84">
      <c r="A287" s="17"/>
      <c r="B287" s="17"/>
      <c r="C287" s="17"/>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19"/>
      <c r="AG287" s="19"/>
      <c r="AH287" s="19"/>
      <c r="AI287" s="19"/>
      <c r="AJ287" s="19"/>
      <c r="AK287" s="19"/>
      <c r="AL287" s="19"/>
      <c r="AM287" s="19"/>
      <c r="AN287" s="19"/>
      <c r="AO287" s="19"/>
      <c r="AP287" s="19"/>
      <c r="AQ287" s="19"/>
      <c r="AR287" s="19"/>
      <c r="AS287" s="19"/>
      <c r="AT287" s="19"/>
      <c r="AU287" s="19"/>
      <c r="AV287" s="19"/>
      <c r="AW287" s="19"/>
      <c r="AX287" s="19"/>
      <c r="AY287" s="19"/>
      <c r="AZ287" s="19"/>
      <c r="BA287" s="19"/>
      <c r="BB287" s="19"/>
      <c r="BC287" s="19"/>
      <c r="BD287" s="19"/>
      <c r="BE287" s="19"/>
      <c r="BF287" s="19"/>
      <c r="BG287" s="19"/>
      <c r="BH287" s="19"/>
      <c r="BI287" s="19"/>
      <c r="BJ287" s="19"/>
      <c r="BK287" s="19"/>
      <c r="BL287" s="19"/>
      <c r="BM287" s="19"/>
      <c r="BN287" s="19"/>
      <c r="BO287" s="19"/>
      <c r="BP287" s="19"/>
      <c r="BQ287" s="19"/>
      <c r="BR287" s="19"/>
      <c r="BS287" s="19"/>
      <c r="BT287" s="19"/>
      <c r="BU287" s="19"/>
      <c r="BV287" s="19"/>
      <c r="BW287" s="19"/>
      <c r="BX287" s="19"/>
      <c r="BY287" s="19"/>
      <c r="BZ287" s="19"/>
      <c r="CA287" s="19"/>
      <c r="CB287" s="19"/>
      <c r="CC287" s="19"/>
      <c r="CD287" s="19"/>
      <c r="CE287" s="19"/>
      <c r="CF287" s="6"/>
    </row>
    <row r="288" spans="1:84">
      <c r="A288" s="17"/>
      <c r="B288" s="17"/>
      <c r="C288" s="17"/>
      <c r="D288" s="19"/>
      <c r="E288" s="19"/>
      <c r="F288" s="19"/>
      <c r="G288" s="19"/>
      <c r="H288" s="19"/>
      <c r="I288" s="19"/>
      <c r="J288" s="19"/>
      <c r="K288" s="19"/>
      <c r="L288" s="19"/>
      <c r="M288" s="19"/>
      <c r="N288" s="19"/>
      <c r="O288" s="19"/>
      <c r="P288" s="19"/>
      <c r="Q288" s="19"/>
      <c r="R288" s="19"/>
      <c r="S288" s="19"/>
      <c r="T288" s="19"/>
      <c r="U288" s="19"/>
      <c r="V288" s="19"/>
      <c r="W288" s="19"/>
      <c r="X288" s="19"/>
      <c r="Y288" s="19"/>
      <c r="Z288" s="19"/>
      <c r="AA288" s="19"/>
      <c r="AB288" s="19"/>
      <c r="AC288" s="19"/>
      <c r="AD288" s="19"/>
      <c r="AE288" s="19"/>
      <c r="AF288" s="19"/>
      <c r="AG288" s="19"/>
      <c r="AH288" s="19"/>
      <c r="AI288" s="19"/>
      <c r="AJ288" s="19"/>
      <c r="AK288" s="19"/>
      <c r="AL288" s="19"/>
      <c r="AM288" s="19"/>
      <c r="AN288" s="19"/>
      <c r="AO288" s="19"/>
      <c r="AP288" s="19"/>
      <c r="AQ288" s="19"/>
      <c r="AR288" s="19"/>
      <c r="AS288" s="19"/>
      <c r="AT288" s="19"/>
      <c r="AU288" s="19"/>
      <c r="AV288" s="19"/>
      <c r="AW288" s="19"/>
      <c r="AX288" s="19"/>
      <c r="AY288" s="19"/>
      <c r="AZ288" s="19"/>
      <c r="BA288" s="19"/>
      <c r="BB288" s="19"/>
      <c r="BC288" s="19"/>
      <c r="BD288" s="19"/>
      <c r="BE288" s="19"/>
      <c r="BF288" s="19"/>
      <c r="BG288" s="19"/>
      <c r="BH288" s="19"/>
      <c r="BI288" s="19"/>
      <c r="BJ288" s="19"/>
      <c r="BK288" s="19"/>
      <c r="BL288" s="19"/>
      <c r="BM288" s="19"/>
      <c r="BN288" s="19"/>
      <c r="BO288" s="19"/>
      <c r="BP288" s="19"/>
      <c r="BQ288" s="19"/>
      <c r="BR288" s="19"/>
      <c r="BS288" s="19"/>
      <c r="BT288" s="19"/>
      <c r="BU288" s="19"/>
      <c r="BV288" s="19"/>
      <c r="BW288" s="19"/>
      <c r="BX288" s="19"/>
      <c r="BY288" s="19"/>
      <c r="BZ288" s="19"/>
      <c r="CA288" s="19"/>
      <c r="CB288" s="19"/>
      <c r="CC288" s="19"/>
      <c r="CD288" s="19"/>
      <c r="CE288" s="19"/>
      <c r="CF288" s="6"/>
    </row>
    <row r="289" spans="1:84">
      <c r="A289" s="17"/>
      <c r="B289" s="17"/>
      <c r="C289" s="17"/>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19"/>
      <c r="AE289" s="19"/>
      <c r="AF289" s="19"/>
      <c r="AG289" s="19"/>
      <c r="AH289" s="19"/>
      <c r="AI289" s="19"/>
      <c r="AJ289" s="19"/>
      <c r="AK289" s="19"/>
      <c r="AL289" s="19"/>
      <c r="AM289" s="19"/>
      <c r="AN289" s="19"/>
      <c r="AO289" s="19"/>
      <c r="AP289" s="19"/>
      <c r="AQ289" s="19"/>
      <c r="AR289" s="19"/>
      <c r="AS289" s="19"/>
      <c r="AT289" s="19"/>
      <c r="AU289" s="19"/>
      <c r="AV289" s="19"/>
      <c r="AW289" s="19"/>
      <c r="AX289" s="19"/>
      <c r="AY289" s="19"/>
      <c r="AZ289" s="19"/>
      <c r="BA289" s="19"/>
      <c r="BB289" s="19"/>
      <c r="BC289" s="19"/>
      <c r="BD289" s="19"/>
      <c r="BE289" s="19"/>
      <c r="BF289" s="19"/>
      <c r="BG289" s="19"/>
      <c r="BH289" s="19"/>
      <c r="BI289" s="19"/>
      <c r="BJ289" s="19"/>
      <c r="BK289" s="19"/>
      <c r="BL289" s="19"/>
      <c r="BM289" s="19"/>
      <c r="BN289" s="19"/>
      <c r="BO289" s="19"/>
      <c r="BP289" s="19"/>
      <c r="BQ289" s="19"/>
      <c r="BR289" s="19"/>
      <c r="BS289" s="19"/>
      <c r="BT289" s="19"/>
      <c r="BU289" s="19"/>
      <c r="BV289" s="19"/>
      <c r="BW289" s="19"/>
      <c r="BX289" s="19"/>
      <c r="BY289" s="19"/>
      <c r="BZ289" s="19"/>
      <c r="CA289" s="19"/>
      <c r="CB289" s="19"/>
      <c r="CC289" s="19"/>
      <c r="CD289" s="19"/>
      <c r="CE289" s="19"/>
      <c r="CF289" s="6"/>
    </row>
    <row r="290" spans="1:84">
      <c r="A290" s="17"/>
      <c r="B290" s="17"/>
      <c r="C290" s="17"/>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19"/>
      <c r="AE290" s="19"/>
      <c r="AF290" s="19"/>
      <c r="AG290" s="19"/>
      <c r="AH290" s="19"/>
      <c r="AI290" s="19"/>
      <c r="AJ290" s="19"/>
      <c r="AK290" s="19"/>
      <c r="AL290" s="19"/>
      <c r="AM290" s="19"/>
      <c r="AN290" s="19"/>
      <c r="AO290" s="19"/>
      <c r="AP290" s="19"/>
      <c r="AQ290" s="19"/>
      <c r="AR290" s="19"/>
      <c r="AS290" s="19"/>
      <c r="AT290" s="19"/>
      <c r="AU290" s="19"/>
      <c r="AV290" s="19"/>
      <c r="AW290" s="19"/>
      <c r="AX290" s="19"/>
      <c r="AY290" s="19"/>
      <c r="AZ290" s="19"/>
      <c r="BA290" s="19"/>
      <c r="BB290" s="19"/>
      <c r="BC290" s="19"/>
      <c r="BD290" s="19"/>
      <c r="BE290" s="19"/>
      <c r="BF290" s="19"/>
      <c r="BG290" s="19"/>
      <c r="BH290" s="19"/>
      <c r="BI290" s="19"/>
      <c r="BJ290" s="19"/>
      <c r="BK290" s="19"/>
      <c r="BL290" s="19"/>
      <c r="BM290" s="19"/>
      <c r="BN290" s="19"/>
      <c r="BO290" s="19"/>
      <c r="BP290" s="19"/>
      <c r="BQ290" s="19"/>
      <c r="BR290" s="19"/>
      <c r="BS290" s="19"/>
      <c r="BT290" s="19"/>
      <c r="BU290" s="19"/>
      <c r="BV290" s="19"/>
      <c r="BW290" s="19"/>
      <c r="BX290" s="19"/>
      <c r="BY290" s="19"/>
      <c r="BZ290" s="19"/>
      <c r="CA290" s="19"/>
      <c r="CB290" s="19"/>
      <c r="CC290" s="19"/>
      <c r="CD290" s="19"/>
      <c r="CE290" s="19"/>
      <c r="CF290" s="6"/>
    </row>
    <row r="291" spans="1:84">
      <c r="A291" s="17"/>
      <c r="B291" s="17"/>
      <c r="C291" s="17"/>
      <c r="D291" s="19"/>
      <c r="E291" s="19"/>
      <c r="F291" s="19"/>
      <c r="G291" s="19"/>
      <c r="H291" s="19"/>
      <c r="I291" s="19"/>
      <c r="J291" s="19"/>
      <c r="K291" s="19"/>
      <c r="L291" s="19"/>
      <c r="M291" s="19"/>
      <c r="N291" s="19"/>
      <c r="O291" s="19"/>
      <c r="P291" s="19"/>
      <c r="Q291" s="19"/>
      <c r="R291" s="19"/>
      <c r="S291" s="19"/>
      <c r="T291" s="19"/>
      <c r="U291" s="19"/>
      <c r="V291" s="19"/>
      <c r="W291" s="19"/>
      <c r="X291" s="19"/>
      <c r="Y291" s="19"/>
      <c r="Z291" s="19"/>
      <c r="AA291" s="19"/>
      <c r="AB291" s="19"/>
      <c r="AC291" s="19"/>
      <c r="AD291" s="19"/>
      <c r="AE291" s="19"/>
      <c r="AF291" s="19"/>
      <c r="AG291" s="19"/>
      <c r="AH291" s="19"/>
      <c r="AI291" s="19"/>
      <c r="AJ291" s="19"/>
      <c r="AK291" s="19"/>
      <c r="AL291" s="19"/>
      <c r="AM291" s="19"/>
      <c r="AN291" s="19"/>
      <c r="AO291" s="19"/>
      <c r="AP291" s="19"/>
      <c r="AQ291" s="19"/>
      <c r="AR291" s="19"/>
      <c r="AS291" s="19"/>
      <c r="AT291" s="19"/>
      <c r="AU291" s="19"/>
      <c r="AV291" s="19"/>
      <c r="AW291" s="19"/>
      <c r="AX291" s="19"/>
      <c r="AY291" s="19"/>
      <c r="AZ291" s="19"/>
      <c r="BA291" s="19"/>
      <c r="BB291" s="19"/>
      <c r="BC291" s="19"/>
      <c r="BD291" s="19"/>
      <c r="BE291" s="19"/>
      <c r="BF291" s="19"/>
      <c r="BG291" s="19"/>
      <c r="BH291" s="19"/>
      <c r="BI291" s="19"/>
      <c r="BJ291" s="19"/>
      <c r="BK291" s="19"/>
      <c r="BL291" s="19"/>
      <c r="BM291" s="19"/>
      <c r="BN291" s="19"/>
      <c r="BO291" s="19"/>
      <c r="BP291" s="19"/>
      <c r="BQ291" s="19"/>
      <c r="BR291" s="19"/>
      <c r="BS291" s="19"/>
      <c r="BT291" s="19"/>
      <c r="BU291" s="19"/>
      <c r="BV291" s="19"/>
      <c r="BW291" s="19"/>
      <c r="BX291" s="19"/>
      <c r="BY291" s="19"/>
      <c r="BZ291" s="19"/>
      <c r="CA291" s="19"/>
      <c r="CB291" s="19"/>
      <c r="CC291" s="19"/>
      <c r="CD291" s="19"/>
      <c r="CE291" s="19"/>
      <c r="CF291" s="6"/>
    </row>
    <row r="292" spans="1:84">
      <c r="A292" s="17"/>
      <c r="B292" s="17"/>
      <c r="C292" s="17"/>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19"/>
      <c r="AE292" s="19"/>
      <c r="AF292" s="19"/>
      <c r="AG292" s="19"/>
      <c r="AH292" s="19"/>
      <c r="AI292" s="19"/>
      <c r="AJ292" s="19"/>
      <c r="AK292" s="19"/>
      <c r="AL292" s="19"/>
      <c r="AM292" s="19"/>
      <c r="AN292" s="19"/>
      <c r="AO292" s="19"/>
      <c r="AP292" s="19"/>
      <c r="AQ292" s="19"/>
      <c r="AR292" s="19"/>
      <c r="AS292" s="19"/>
      <c r="AT292" s="19"/>
      <c r="AU292" s="19"/>
      <c r="AV292" s="19"/>
      <c r="AW292" s="19"/>
      <c r="AX292" s="19"/>
      <c r="AY292" s="19"/>
      <c r="AZ292" s="19"/>
      <c r="BA292" s="19"/>
      <c r="BB292" s="19"/>
      <c r="BC292" s="19"/>
      <c r="BD292" s="19"/>
      <c r="BE292" s="19"/>
      <c r="BF292" s="19"/>
      <c r="BG292" s="19"/>
      <c r="BH292" s="19"/>
      <c r="BI292" s="19"/>
      <c r="BJ292" s="19"/>
      <c r="BK292" s="19"/>
      <c r="BL292" s="19"/>
      <c r="BM292" s="19"/>
      <c r="BN292" s="19"/>
      <c r="BO292" s="19"/>
      <c r="BP292" s="19"/>
      <c r="BQ292" s="19"/>
      <c r="BR292" s="19"/>
      <c r="BS292" s="19"/>
      <c r="BT292" s="19"/>
      <c r="BU292" s="19"/>
      <c r="BV292" s="19"/>
      <c r="BW292" s="19"/>
      <c r="BX292" s="19"/>
      <c r="BY292" s="19"/>
      <c r="BZ292" s="19"/>
      <c r="CA292" s="19"/>
      <c r="CB292" s="19"/>
      <c r="CC292" s="19"/>
      <c r="CD292" s="19"/>
      <c r="CE292" s="19"/>
      <c r="CF292" s="6"/>
    </row>
    <row r="293" spans="1:84">
      <c r="A293" s="17"/>
      <c r="B293" s="17"/>
      <c r="C293" s="17"/>
      <c r="D293" s="19"/>
      <c r="E293" s="19"/>
      <c r="F293" s="19"/>
      <c r="G293" s="19"/>
      <c r="H293" s="19"/>
      <c r="I293" s="19"/>
      <c r="J293" s="19"/>
      <c r="K293" s="19"/>
      <c r="L293" s="19"/>
      <c r="M293" s="19"/>
      <c r="N293" s="19"/>
      <c r="O293" s="19"/>
      <c r="P293" s="19"/>
      <c r="Q293" s="19"/>
      <c r="R293" s="19"/>
      <c r="S293" s="19"/>
      <c r="T293" s="19"/>
      <c r="U293" s="19"/>
      <c r="V293" s="19"/>
      <c r="W293" s="19"/>
      <c r="X293" s="19"/>
      <c r="Y293" s="19"/>
      <c r="Z293" s="19"/>
      <c r="AA293" s="19"/>
      <c r="AB293" s="19"/>
      <c r="AC293" s="19"/>
      <c r="AD293" s="19"/>
      <c r="AE293" s="19"/>
      <c r="AF293" s="19"/>
      <c r="AG293" s="19"/>
      <c r="AH293" s="19"/>
      <c r="AI293" s="19"/>
      <c r="AJ293" s="19"/>
      <c r="AK293" s="19"/>
      <c r="AL293" s="19"/>
      <c r="AM293" s="19"/>
      <c r="AN293" s="19"/>
      <c r="AO293" s="19"/>
      <c r="AP293" s="19"/>
      <c r="AQ293" s="19"/>
      <c r="AR293" s="19"/>
      <c r="AS293" s="19"/>
      <c r="AT293" s="19"/>
      <c r="AU293" s="19"/>
      <c r="AV293" s="19"/>
      <c r="AW293" s="19"/>
      <c r="AX293" s="19"/>
      <c r="AY293" s="19"/>
      <c r="AZ293" s="19"/>
      <c r="BA293" s="19"/>
      <c r="BB293" s="19"/>
      <c r="BC293" s="19"/>
      <c r="BD293" s="19"/>
      <c r="BE293" s="19"/>
      <c r="BF293" s="19"/>
      <c r="BG293" s="19"/>
      <c r="BH293" s="19"/>
      <c r="BI293" s="19"/>
      <c r="BJ293" s="19"/>
      <c r="BK293" s="19"/>
      <c r="BL293" s="19"/>
      <c r="BM293" s="19"/>
      <c r="BN293" s="19"/>
      <c r="BO293" s="19"/>
      <c r="BP293" s="19"/>
      <c r="BQ293" s="19"/>
      <c r="BR293" s="19"/>
      <c r="BS293" s="19"/>
      <c r="BT293" s="19"/>
      <c r="BU293" s="19"/>
      <c r="BV293" s="19"/>
      <c r="BW293" s="19"/>
      <c r="BX293" s="19"/>
      <c r="BY293" s="19"/>
      <c r="BZ293" s="19"/>
      <c r="CA293" s="19"/>
      <c r="CB293" s="19"/>
      <c r="CC293" s="19"/>
      <c r="CD293" s="19"/>
      <c r="CE293" s="19"/>
      <c r="CF293" s="6"/>
    </row>
    <row r="294" spans="1:84">
      <c r="A294" s="17"/>
      <c r="B294" s="17"/>
      <c r="C294" s="17"/>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c r="AB294" s="19"/>
      <c r="AC294" s="19"/>
      <c r="AD294" s="19"/>
      <c r="AE294" s="19"/>
      <c r="AF294" s="19"/>
      <c r="AG294" s="19"/>
      <c r="AH294" s="19"/>
      <c r="AI294" s="19"/>
      <c r="AJ294" s="19"/>
      <c r="AK294" s="19"/>
      <c r="AL294" s="19"/>
      <c r="AM294" s="19"/>
      <c r="AN294" s="19"/>
      <c r="AO294" s="19"/>
      <c r="AP294" s="19"/>
      <c r="AQ294" s="19"/>
      <c r="AR294" s="19"/>
      <c r="AS294" s="19"/>
      <c r="AT294" s="19"/>
      <c r="AU294" s="19"/>
      <c r="AV294" s="19"/>
      <c r="AW294" s="19"/>
      <c r="AX294" s="19"/>
      <c r="AY294" s="19"/>
      <c r="AZ294" s="19"/>
      <c r="BA294" s="19"/>
      <c r="BB294" s="19"/>
      <c r="BC294" s="19"/>
      <c r="BD294" s="19"/>
      <c r="BE294" s="19"/>
      <c r="BF294" s="19"/>
      <c r="BG294" s="19"/>
      <c r="BH294" s="19"/>
      <c r="BI294" s="19"/>
      <c r="BJ294" s="19"/>
      <c r="BK294" s="19"/>
      <c r="BL294" s="19"/>
      <c r="BM294" s="19"/>
      <c r="BN294" s="19"/>
      <c r="BO294" s="19"/>
      <c r="BP294" s="19"/>
      <c r="BQ294" s="19"/>
      <c r="BR294" s="19"/>
      <c r="BS294" s="19"/>
      <c r="BT294" s="19"/>
      <c r="BU294" s="19"/>
      <c r="BV294" s="19"/>
      <c r="BW294" s="19"/>
      <c r="BX294" s="19"/>
      <c r="BY294" s="19"/>
      <c r="BZ294" s="19"/>
      <c r="CA294" s="19"/>
      <c r="CB294" s="19"/>
      <c r="CC294" s="19"/>
      <c r="CD294" s="19"/>
      <c r="CE294" s="19"/>
      <c r="CF294" s="6"/>
    </row>
    <row r="295" spans="1:84">
      <c r="A295" s="17"/>
      <c r="B295" s="17"/>
      <c r="C295" s="17"/>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9"/>
      <c r="AG295" s="19"/>
      <c r="AH295" s="19"/>
      <c r="AI295" s="19"/>
      <c r="AJ295" s="19"/>
      <c r="AK295" s="19"/>
      <c r="AL295" s="19"/>
      <c r="AM295" s="19"/>
      <c r="AN295" s="19"/>
      <c r="AO295" s="19"/>
      <c r="AP295" s="19"/>
      <c r="AQ295" s="19"/>
      <c r="AR295" s="19"/>
      <c r="AS295" s="19"/>
      <c r="AT295" s="19"/>
      <c r="AU295" s="19"/>
      <c r="AV295" s="19"/>
      <c r="AW295" s="19"/>
      <c r="AX295" s="19"/>
      <c r="AY295" s="19"/>
      <c r="AZ295" s="19"/>
      <c r="BA295" s="19"/>
      <c r="BB295" s="19"/>
      <c r="BC295" s="19"/>
      <c r="BD295" s="19"/>
      <c r="BE295" s="19"/>
      <c r="BF295" s="19"/>
      <c r="BG295" s="19"/>
      <c r="BH295" s="19"/>
      <c r="BI295" s="19"/>
      <c r="BJ295" s="19"/>
      <c r="BK295" s="19"/>
      <c r="BL295" s="19"/>
      <c r="BM295" s="19"/>
      <c r="BN295" s="19"/>
      <c r="BO295" s="19"/>
      <c r="BP295" s="19"/>
      <c r="BQ295" s="19"/>
      <c r="BR295" s="19"/>
      <c r="BS295" s="19"/>
      <c r="BT295" s="19"/>
      <c r="BU295" s="19"/>
      <c r="BV295" s="19"/>
      <c r="BW295" s="19"/>
      <c r="BX295" s="19"/>
      <c r="BY295" s="19"/>
      <c r="BZ295" s="19"/>
      <c r="CA295" s="19"/>
      <c r="CB295" s="19"/>
      <c r="CC295" s="19"/>
      <c r="CD295" s="19"/>
      <c r="CE295" s="19"/>
      <c r="CF295" s="6"/>
    </row>
    <row r="296" spans="1:84">
      <c r="A296" s="17"/>
      <c r="B296" s="17"/>
      <c r="C296" s="17"/>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19"/>
      <c r="AG296" s="19"/>
      <c r="AH296" s="19"/>
      <c r="AI296" s="19"/>
      <c r="AJ296" s="19"/>
      <c r="AK296" s="19"/>
      <c r="AL296" s="19"/>
      <c r="AM296" s="19"/>
      <c r="AN296" s="19"/>
      <c r="AO296" s="19"/>
      <c r="AP296" s="19"/>
      <c r="AQ296" s="19"/>
      <c r="AR296" s="19"/>
      <c r="AS296" s="19"/>
      <c r="AT296" s="19"/>
      <c r="AU296" s="19"/>
      <c r="AV296" s="19"/>
      <c r="AW296" s="19"/>
      <c r="AX296" s="19"/>
      <c r="AY296" s="19"/>
      <c r="AZ296" s="19"/>
      <c r="BA296" s="19"/>
      <c r="BB296" s="19"/>
      <c r="BC296" s="19"/>
      <c r="BD296" s="19"/>
      <c r="BE296" s="19"/>
      <c r="BF296" s="19"/>
      <c r="BG296" s="19"/>
      <c r="BH296" s="19"/>
      <c r="BI296" s="19"/>
      <c r="BJ296" s="19"/>
      <c r="BK296" s="19"/>
      <c r="BL296" s="19"/>
      <c r="BM296" s="19"/>
      <c r="BN296" s="19"/>
      <c r="BO296" s="19"/>
      <c r="BP296" s="19"/>
      <c r="BQ296" s="19"/>
      <c r="BR296" s="19"/>
      <c r="BS296" s="19"/>
      <c r="BT296" s="19"/>
      <c r="BU296" s="19"/>
      <c r="BV296" s="19"/>
      <c r="BW296" s="19"/>
      <c r="BX296" s="19"/>
      <c r="BY296" s="19"/>
      <c r="BZ296" s="19"/>
      <c r="CA296" s="19"/>
      <c r="CB296" s="19"/>
      <c r="CC296" s="19"/>
      <c r="CD296" s="19"/>
      <c r="CE296" s="19"/>
      <c r="CF296" s="6"/>
    </row>
    <row r="297" spans="1:84">
      <c r="A297" s="17"/>
      <c r="B297" s="17"/>
      <c r="C297" s="17"/>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r="AE297" s="19"/>
      <c r="AF297" s="19"/>
      <c r="AG297" s="19"/>
      <c r="AH297" s="19"/>
      <c r="AI297" s="19"/>
      <c r="AJ297" s="19"/>
      <c r="AK297" s="19"/>
      <c r="AL297" s="19"/>
      <c r="AM297" s="19"/>
      <c r="AN297" s="19"/>
      <c r="AO297" s="19"/>
      <c r="AP297" s="19"/>
      <c r="AQ297" s="19"/>
      <c r="AR297" s="19"/>
      <c r="AS297" s="19"/>
      <c r="AT297" s="19"/>
      <c r="AU297" s="19"/>
      <c r="AV297" s="19"/>
      <c r="AW297" s="19"/>
      <c r="AX297" s="19"/>
      <c r="AY297" s="19"/>
      <c r="AZ297" s="19"/>
      <c r="BA297" s="19"/>
      <c r="BB297" s="19"/>
      <c r="BC297" s="19"/>
      <c r="BD297" s="19"/>
      <c r="BE297" s="19"/>
      <c r="BF297" s="19"/>
      <c r="BG297" s="19"/>
      <c r="BH297" s="19"/>
      <c r="BI297" s="19"/>
      <c r="BJ297" s="19"/>
      <c r="BK297" s="19"/>
      <c r="BL297" s="19"/>
      <c r="BM297" s="19"/>
      <c r="BN297" s="19"/>
      <c r="BO297" s="19"/>
      <c r="BP297" s="19"/>
      <c r="BQ297" s="19"/>
      <c r="BR297" s="19"/>
      <c r="BS297" s="19"/>
      <c r="BT297" s="19"/>
      <c r="BU297" s="19"/>
      <c r="BV297" s="19"/>
      <c r="BW297" s="19"/>
      <c r="BX297" s="19"/>
      <c r="BY297" s="19"/>
      <c r="BZ297" s="19"/>
      <c r="CA297" s="19"/>
      <c r="CB297" s="19"/>
      <c r="CC297" s="19"/>
      <c r="CD297" s="19"/>
      <c r="CE297" s="19"/>
      <c r="CF297" s="6"/>
    </row>
    <row r="298" spans="1:84">
      <c r="A298" s="17"/>
      <c r="B298" s="17"/>
      <c r="C298" s="17"/>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19"/>
      <c r="AE298" s="19"/>
      <c r="AF298" s="19"/>
      <c r="AG298" s="19"/>
      <c r="AH298" s="19"/>
      <c r="AI298" s="19"/>
      <c r="AJ298" s="19"/>
      <c r="AK298" s="19"/>
      <c r="AL298" s="19"/>
      <c r="AM298" s="19"/>
      <c r="AN298" s="19"/>
      <c r="AO298" s="19"/>
      <c r="AP298" s="19"/>
      <c r="AQ298" s="19"/>
      <c r="AR298" s="19"/>
      <c r="AS298" s="19"/>
      <c r="AT298" s="19"/>
      <c r="AU298" s="19"/>
      <c r="AV298" s="19"/>
      <c r="AW298" s="19"/>
      <c r="AX298" s="19"/>
      <c r="AY298" s="19"/>
      <c r="AZ298" s="19"/>
      <c r="BA298" s="19"/>
      <c r="BB298" s="19"/>
      <c r="BC298" s="19"/>
      <c r="BD298" s="19"/>
      <c r="BE298" s="19"/>
      <c r="BF298" s="19"/>
      <c r="BG298" s="19"/>
      <c r="BH298" s="19"/>
      <c r="BI298" s="19"/>
      <c r="BJ298" s="19"/>
      <c r="BK298" s="19"/>
      <c r="BL298" s="19"/>
      <c r="BM298" s="19"/>
      <c r="BN298" s="19"/>
      <c r="BO298" s="19"/>
      <c r="BP298" s="19"/>
      <c r="BQ298" s="19"/>
      <c r="BR298" s="19"/>
      <c r="BS298" s="19"/>
      <c r="BT298" s="19"/>
      <c r="BU298" s="19"/>
      <c r="BV298" s="19"/>
      <c r="BW298" s="19"/>
      <c r="BX298" s="19"/>
      <c r="BY298" s="19"/>
      <c r="BZ298" s="19"/>
      <c r="CA298" s="19"/>
      <c r="CB298" s="19"/>
      <c r="CC298" s="19"/>
      <c r="CD298" s="19"/>
      <c r="CE298" s="19"/>
      <c r="CF298" s="6"/>
    </row>
    <row r="299" spans="1:84">
      <c r="A299" s="17"/>
      <c r="B299" s="17"/>
      <c r="C299" s="17"/>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19"/>
      <c r="AE299" s="19"/>
      <c r="AF299" s="19"/>
      <c r="AG299" s="19"/>
      <c r="AH299" s="19"/>
      <c r="AI299" s="19"/>
      <c r="AJ299" s="19"/>
      <c r="AK299" s="19"/>
      <c r="AL299" s="19"/>
      <c r="AM299" s="19"/>
      <c r="AN299" s="19"/>
      <c r="AO299" s="19"/>
      <c r="AP299" s="19"/>
      <c r="AQ299" s="19"/>
      <c r="AR299" s="19"/>
      <c r="AS299" s="19"/>
      <c r="AT299" s="19"/>
      <c r="AU299" s="19"/>
      <c r="AV299" s="19"/>
      <c r="AW299" s="19"/>
      <c r="AX299" s="19"/>
      <c r="AY299" s="19"/>
      <c r="AZ299" s="19"/>
      <c r="BA299" s="19"/>
      <c r="BB299" s="19"/>
      <c r="BC299" s="19"/>
      <c r="BD299" s="19"/>
      <c r="BE299" s="19"/>
      <c r="BF299" s="19"/>
      <c r="BG299" s="19"/>
      <c r="BH299" s="19"/>
      <c r="BI299" s="19"/>
      <c r="BJ299" s="19"/>
      <c r="BK299" s="19"/>
      <c r="BL299" s="19"/>
      <c r="BM299" s="19"/>
      <c r="BN299" s="19"/>
      <c r="BO299" s="19"/>
      <c r="BP299" s="19"/>
      <c r="BQ299" s="19"/>
      <c r="BR299" s="19"/>
      <c r="BS299" s="19"/>
      <c r="BT299" s="19"/>
      <c r="BU299" s="19"/>
      <c r="BV299" s="19"/>
      <c r="BW299" s="19"/>
      <c r="BX299" s="19"/>
      <c r="BY299" s="19"/>
      <c r="BZ299" s="19"/>
      <c r="CA299" s="19"/>
      <c r="CB299" s="19"/>
      <c r="CC299" s="19"/>
      <c r="CD299" s="19"/>
      <c r="CE299" s="19"/>
      <c r="CF299" s="6"/>
    </row>
    <row r="300" spans="1:84">
      <c r="A300" s="17"/>
      <c r="B300" s="17"/>
      <c r="C300" s="17"/>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19"/>
      <c r="AE300" s="19"/>
      <c r="AF300" s="19"/>
      <c r="AG300" s="19"/>
      <c r="AH300" s="19"/>
      <c r="AI300" s="19"/>
      <c r="AJ300" s="19"/>
      <c r="AK300" s="19"/>
      <c r="AL300" s="19"/>
      <c r="AM300" s="19"/>
      <c r="AN300" s="19"/>
      <c r="AO300" s="19"/>
      <c r="AP300" s="19"/>
      <c r="AQ300" s="19"/>
      <c r="AR300" s="19"/>
      <c r="AS300" s="19"/>
      <c r="AT300" s="19"/>
      <c r="AU300" s="19"/>
      <c r="AV300" s="19"/>
      <c r="AW300" s="19"/>
      <c r="AX300" s="19"/>
      <c r="AY300" s="19"/>
      <c r="AZ300" s="19"/>
      <c r="BA300" s="19"/>
      <c r="BB300" s="19"/>
      <c r="BC300" s="19"/>
      <c r="BD300" s="19"/>
      <c r="BE300" s="19"/>
      <c r="BF300" s="19"/>
      <c r="BG300" s="19"/>
      <c r="BH300" s="19"/>
      <c r="BI300" s="19"/>
      <c r="BJ300" s="19"/>
      <c r="BK300" s="19"/>
      <c r="BL300" s="19"/>
      <c r="BM300" s="19"/>
      <c r="BN300" s="19"/>
      <c r="BO300" s="19"/>
      <c r="BP300" s="19"/>
      <c r="BQ300" s="19"/>
      <c r="BR300" s="19"/>
      <c r="BS300" s="19"/>
      <c r="BT300" s="19"/>
      <c r="BU300" s="19"/>
      <c r="BV300" s="19"/>
      <c r="BW300" s="19"/>
      <c r="BX300" s="19"/>
      <c r="BY300" s="19"/>
      <c r="BZ300" s="19"/>
      <c r="CA300" s="19"/>
      <c r="CB300" s="19"/>
      <c r="CC300" s="19"/>
      <c r="CD300" s="19"/>
      <c r="CE300" s="19"/>
      <c r="CF300" s="6"/>
    </row>
    <row r="301" spans="1:84">
      <c r="A301" s="17"/>
      <c r="B301" s="17"/>
      <c r="C301" s="17"/>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19"/>
      <c r="AE301" s="19"/>
      <c r="AF301" s="19"/>
      <c r="AG301" s="19"/>
      <c r="AH301" s="19"/>
      <c r="AI301" s="19"/>
      <c r="AJ301" s="19"/>
      <c r="AK301" s="19"/>
      <c r="AL301" s="19"/>
      <c r="AM301" s="19"/>
      <c r="AN301" s="19"/>
      <c r="AO301" s="19"/>
      <c r="AP301" s="19"/>
      <c r="AQ301" s="19"/>
      <c r="AR301" s="19"/>
      <c r="AS301" s="19"/>
      <c r="AT301" s="19"/>
      <c r="AU301" s="19"/>
      <c r="AV301" s="19"/>
      <c r="AW301" s="19"/>
      <c r="AX301" s="19"/>
      <c r="AY301" s="19"/>
      <c r="AZ301" s="19"/>
      <c r="BA301" s="19"/>
      <c r="BB301" s="19"/>
      <c r="BC301" s="19"/>
      <c r="BD301" s="19"/>
      <c r="BE301" s="19"/>
      <c r="BF301" s="19"/>
      <c r="BG301" s="19"/>
      <c r="BH301" s="19"/>
      <c r="BI301" s="19"/>
      <c r="BJ301" s="19"/>
      <c r="BK301" s="19"/>
      <c r="BL301" s="19"/>
      <c r="BM301" s="19"/>
      <c r="BN301" s="19"/>
      <c r="BO301" s="19"/>
      <c r="BP301" s="19"/>
      <c r="BQ301" s="19"/>
      <c r="BR301" s="19"/>
      <c r="BS301" s="19"/>
      <c r="BT301" s="19"/>
      <c r="BU301" s="19"/>
      <c r="BV301" s="19"/>
      <c r="BW301" s="19"/>
      <c r="BX301" s="19"/>
      <c r="BY301" s="19"/>
      <c r="BZ301" s="19"/>
      <c r="CA301" s="19"/>
      <c r="CB301" s="19"/>
      <c r="CC301" s="19"/>
      <c r="CD301" s="19"/>
      <c r="CE301" s="19"/>
      <c r="CF301" s="6"/>
    </row>
    <row r="302" spans="1:84">
      <c r="A302" s="17"/>
      <c r="B302" s="17"/>
      <c r="C302" s="17"/>
      <c r="D302" s="19"/>
      <c r="E302" s="19"/>
      <c r="F302" s="19"/>
      <c r="G302" s="19"/>
      <c r="H302" s="19"/>
      <c r="I302" s="19"/>
      <c r="J302" s="19"/>
      <c r="K302" s="19"/>
      <c r="L302" s="19"/>
      <c r="M302" s="19"/>
      <c r="N302" s="19"/>
      <c r="O302" s="19"/>
      <c r="P302" s="19"/>
      <c r="Q302" s="19"/>
      <c r="R302" s="19"/>
      <c r="S302" s="19"/>
      <c r="T302" s="19"/>
      <c r="U302" s="19"/>
      <c r="V302" s="19"/>
      <c r="W302" s="19"/>
      <c r="X302" s="19"/>
      <c r="Y302" s="19"/>
      <c r="Z302" s="19"/>
      <c r="AA302" s="19"/>
      <c r="AB302" s="19"/>
      <c r="AC302" s="19"/>
      <c r="AD302" s="19"/>
      <c r="AE302" s="19"/>
      <c r="AF302" s="19"/>
      <c r="AG302" s="19"/>
      <c r="AH302" s="19"/>
      <c r="AI302" s="19"/>
      <c r="AJ302" s="19"/>
      <c r="AK302" s="19"/>
      <c r="AL302" s="19"/>
      <c r="AM302" s="19"/>
      <c r="AN302" s="19"/>
      <c r="AO302" s="19"/>
      <c r="AP302" s="19"/>
      <c r="AQ302" s="19"/>
      <c r="AR302" s="19"/>
      <c r="AS302" s="19"/>
      <c r="AT302" s="19"/>
      <c r="AU302" s="19"/>
      <c r="AV302" s="19"/>
      <c r="AW302" s="19"/>
      <c r="AX302" s="19"/>
      <c r="AY302" s="19"/>
      <c r="AZ302" s="19"/>
      <c r="BA302" s="19"/>
      <c r="BB302" s="19"/>
      <c r="BC302" s="19"/>
      <c r="BD302" s="19"/>
      <c r="BE302" s="19"/>
      <c r="BF302" s="19"/>
      <c r="BG302" s="19"/>
      <c r="BH302" s="19"/>
      <c r="BI302" s="19"/>
      <c r="BJ302" s="19"/>
      <c r="BK302" s="19"/>
      <c r="BL302" s="19"/>
      <c r="BM302" s="19"/>
      <c r="BN302" s="19"/>
      <c r="BO302" s="19"/>
      <c r="BP302" s="19"/>
      <c r="BQ302" s="19"/>
      <c r="BR302" s="19"/>
      <c r="BS302" s="19"/>
      <c r="BT302" s="19"/>
      <c r="BU302" s="19"/>
      <c r="BV302" s="19"/>
      <c r="BW302" s="19"/>
      <c r="BX302" s="19"/>
      <c r="BY302" s="19"/>
      <c r="BZ302" s="19"/>
      <c r="CA302" s="19"/>
      <c r="CB302" s="19"/>
      <c r="CC302" s="19"/>
      <c r="CD302" s="19"/>
      <c r="CE302" s="19"/>
      <c r="CF302" s="6"/>
    </row>
    <row r="303" spans="1:84">
      <c r="A303" s="17"/>
      <c r="B303" s="17"/>
      <c r="C303" s="17"/>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c r="AR303" s="19"/>
      <c r="AS303" s="19"/>
      <c r="AT303" s="19"/>
      <c r="AU303" s="19"/>
      <c r="AV303" s="19"/>
      <c r="AW303" s="19"/>
      <c r="AX303" s="19"/>
      <c r="AY303" s="19"/>
      <c r="AZ303" s="19"/>
      <c r="BA303" s="19"/>
      <c r="BB303" s="19"/>
      <c r="BC303" s="19"/>
      <c r="BD303" s="19"/>
      <c r="BE303" s="19"/>
      <c r="BF303" s="19"/>
      <c r="BG303" s="19"/>
      <c r="BH303" s="19"/>
      <c r="BI303" s="19"/>
      <c r="BJ303" s="19"/>
      <c r="BK303" s="19"/>
      <c r="BL303" s="19"/>
      <c r="BM303" s="19"/>
      <c r="BN303" s="19"/>
      <c r="BO303" s="19"/>
      <c r="BP303" s="19"/>
      <c r="BQ303" s="19"/>
      <c r="BR303" s="19"/>
      <c r="BS303" s="19"/>
      <c r="BT303" s="19"/>
      <c r="BU303" s="19"/>
      <c r="BV303" s="19"/>
      <c r="BW303" s="19"/>
      <c r="BX303" s="19"/>
      <c r="BY303" s="19"/>
      <c r="BZ303" s="19"/>
      <c r="CA303" s="19"/>
      <c r="CB303" s="19"/>
      <c r="CC303" s="19"/>
      <c r="CD303" s="19"/>
      <c r="CE303" s="19"/>
      <c r="CF303" s="6"/>
    </row>
    <row r="304" spans="1:84">
      <c r="A304" s="17"/>
      <c r="B304" s="17"/>
      <c r="C304" s="17"/>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c r="AS304" s="19"/>
      <c r="AT304" s="19"/>
      <c r="AU304" s="19"/>
      <c r="AV304" s="19"/>
      <c r="AW304" s="19"/>
      <c r="AX304" s="19"/>
      <c r="AY304" s="19"/>
      <c r="AZ304" s="19"/>
      <c r="BA304" s="19"/>
      <c r="BB304" s="19"/>
      <c r="BC304" s="19"/>
      <c r="BD304" s="19"/>
      <c r="BE304" s="19"/>
      <c r="BF304" s="19"/>
      <c r="BG304" s="19"/>
      <c r="BH304" s="19"/>
      <c r="BI304" s="19"/>
      <c r="BJ304" s="19"/>
      <c r="BK304" s="19"/>
      <c r="BL304" s="19"/>
      <c r="BM304" s="19"/>
      <c r="BN304" s="19"/>
      <c r="BO304" s="19"/>
      <c r="BP304" s="19"/>
      <c r="BQ304" s="19"/>
      <c r="BR304" s="19"/>
      <c r="BS304" s="19"/>
      <c r="BT304" s="19"/>
      <c r="BU304" s="19"/>
      <c r="BV304" s="19"/>
      <c r="BW304" s="19"/>
      <c r="BX304" s="19"/>
      <c r="BY304" s="19"/>
      <c r="BZ304" s="19"/>
      <c r="CA304" s="19"/>
      <c r="CB304" s="19"/>
      <c r="CC304" s="19"/>
      <c r="CD304" s="19"/>
      <c r="CE304" s="19"/>
      <c r="CF304" s="6"/>
    </row>
    <row r="305" spans="1:84">
      <c r="A305" s="17"/>
      <c r="B305" s="17"/>
      <c r="C305" s="17"/>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c r="AR305" s="19"/>
      <c r="AS305" s="19"/>
      <c r="AT305" s="19"/>
      <c r="AU305" s="19"/>
      <c r="AV305" s="19"/>
      <c r="AW305" s="19"/>
      <c r="AX305" s="19"/>
      <c r="AY305" s="19"/>
      <c r="AZ305" s="19"/>
      <c r="BA305" s="19"/>
      <c r="BB305" s="19"/>
      <c r="BC305" s="19"/>
      <c r="BD305" s="19"/>
      <c r="BE305" s="19"/>
      <c r="BF305" s="19"/>
      <c r="BG305" s="19"/>
      <c r="BH305" s="19"/>
      <c r="BI305" s="19"/>
      <c r="BJ305" s="19"/>
      <c r="BK305" s="19"/>
      <c r="BL305" s="19"/>
      <c r="BM305" s="19"/>
      <c r="BN305" s="19"/>
      <c r="BO305" s="19"/>
      <c r="BP305" s="19"/>
      <c r="BQ305" s="19"/>
      <c r="BR305" s="19"/>
      <c r="BS305" s="19"/>
      <c r="BT305" s="19"/>
      <c r="BU305" s="19"/>
      <c r="BV305" s="19"/>
      <c r="BW305" s="19"/>
      <c r="BX305" s="19"/>
      <c r="BY305" s="19"/>
      <c r="BZ305" s="19"/>
      <c r="CA305" s="19"/>
      <c r="CB305" s="19"/>
      <c r="CC305" s="19"/>
      <c r="CD305" s="19"/>
      <c r="CE305" s="19"/>
      <c r="CF305" s="6"/>
    </row>
    <row r="306" spans="1:84">
      <c r="A306" s="17"/>
      <c r="B306" s="17"/>
      <c r="C306" s="17"/>
      <c r="D306" s="19"/>
      <c r="E306" s="19"/>
      <c r="F306" s="19"/>
      <c r="G306" s="19"/>
      <c r="H306" s="19"/>
      <c r="I306" s="19"/>
      <c r="J306" s="19"/>
      <c r="K306" s="19"/>
      <c r="L306" s="19"/>
      <c r="M306" s="19"/>
      <c r="N306" s="19"/>
      <c r="O306" s="19"/>
      <c r="P306" s="19"/>
      <c r="Q306" s="19"/>
      <c r="R306" s="19"/>
      <c r="S306" s="19"/>
      <c r="T306" s="19"/>
      <c r="U306" s="19"/>
      <c r="V306" s="19"/>
      <c r="W306" s="19"/>
      <c r="X306" s="19"/>
      <c r="Y306" s="19"/>
      <c r="Z306" s="19"/>
      <c r="AA306" s="19"/>
      <c r="AB306" s="19"/>
      <c r="AC306" s="19"/>
      <c r="AD306" s="19"/>
      <c r="AE306" s="19"/>
      <c r="AF306" s="19"/>
      <c r="AG306" s="19"/>
      <c r="AH306" s="19"/>
      <c r="AI306" s="19"/>
      <c r="AJ306" s="19"/>
      <c r="AK306" s="19"/>
      <c r="AL306" s="19"/>
      <c r="AM306" s="19"/>
      <c r="AN306" s="19"/>
      <c r="AO306" s="19"/>
      <c r="AP306" s="19"/>
      <c r="AQ306" s="19"/>
      <c r="AR306" s="19"/>
      <c r="AS306" s="19"/>
      <c r="AT306" s="19"/>
      <c r="AU306" s="19"/>
      <c r="AV306" s="19"/>
      <c r="AW306" s="19"/>
      <c r="AX306" s="19"/>
      <c r="AY306" s="19"/>
      <c r="AZ306" s="19"/>
      <c r="BA306" s="19"/>
      <c r="BB306" s="19"/>
      <c r="BC306" s="19"/>
      <c r="BD306" s="19"/>
      <c r="BE306" s="19"/>
      <c r="BF306" s="19"/>
      <c r="BG306" s="19"/>
      <c r="BH306" s="19"/>
      <c r="BI306" s="19"/>
      <c r="BJ306" s="19"/>
      <c r="BK306" s="19"/>
      <c r="BL306" s="19"/>
      <c r="BM306" s="19"/>
      <c r="BN306" s="19"/>
      <c r="BO306" s="19"/>
      <c r="BP306" s="19"/>
      <c r="BQ306" s="19"/>
      <c r="BR306" s="19"/>
      <c r="BS306" s="19"/>
      <c r="BT306" s="19"/>
      <c r="BU306" s="19"/>
      <c r="BV306" s="19"/>
      <c r="BW306" s="19"/>
      <c r="BX306" s="19"/>
      <c r="BY306" s="19"/>
      <c r="BZ306" s="19"/>
      <c r="CA306" s="19"/>
      <c r="CB306" s="19"/>
      <c r="CC306" s="19"/>
      <c r="CD306" s="19"/>
      <c r="CE306" s="19"/>
      <c r="CF306" s="6"/>
    </row>
    <row r="307" spans="1:84">
      <c r="A307" s="17"/>
      <c r="B307" s="17"/>
      <c r="C307" s="17"/>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19"/>
      <c r="AG307" s="19"/>
      <c r="AH307" s="19"/>
      <c r="AI307" s="19"/>
      <c r="AJ307" s="19"/>
      <c r="AK307" s="19"/>
      <c r="AL307" s="19"/>
      <c r="AM307" s="19"/>
      <c r="AN307" s="19"/>
      <c r="AO307" s="19"/>
      <c r="AP307" s="19"/>
      <c r="AQ307" s="19"/>
      <c r="AR307" s="19"/>
      <c r="AS307" s="19"/>
      <c r="AT307" s="19"/>
      <c r="AU307" s="19"/>
      <c r="AV307" s="19"/>
      <c r="AW307" s="19"/>
      <c r="AX307" s="19"/>
      <c r="AY307" s="19"/>
      <c r="AZ307" s="19"/>
      <c r="BA307" s="19"/>
      <c r="BB307" s="19"/>
      <c r="BC307" s="19"/>
      <c r="BD307" s="19"/>
      <c r="BE307" s="19"/>
      <c r="BF307" s="19"/>
      <c r="BG307" s="19"/>
      <c r="BH307" s="19"/>
      <c r="BI307" s="19"/>
      <c r="BJ307" s="19"/>
      <c r="BK307" s="19"/>
      <c r="BL307" s="19"/>
      <c r="BM307" s="19"/>
      <c r="BN307" s="19"/>
      <c r="BO307" s="19"/>
      <c r="BP307" s="19"/>
      <c r="BQ307" s="19"/>
      <c r="BR307" s="19"/>
      <c r="BS307" s="19"/>
      <c r="BT307" s="19"/>
      <c r="BU307" s="19"/>
      <c r="BV307" s="19"/>
      <c r="BW307" s="19"/>
      <c r="BX307" s="19"/>
      <c r="BY307" s="19"/>
      <c r="BZ307" s="19"/>
      <c r="CA307" s="19"/>
      <c r="CB307" s="19"/>
      <c r="CC307" s="19"/>
      <c r="CD307" s="19"/>
      <c r="CE307" s="19"/>
      <c r="CF307" s="6"/>
    </row>
    <row r="308" spans="1:84">
      <c r="A308" s="17"/>
      <c r="B308" s="17"/>
      <c r="C308" s="17"/>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19"/>
      <c r="AE308" s="19"/>
      <c r="AF308" s="19"/>
      <c r="AG308" s="19"/>
      <c r="AH308" s="19"/>
      <c r="AI308" s="19"/>
      <c r="AJ308" s="19"/>
      <c r="AK308" s="19"/>
      <c r="AL308" s="19"/>
      <c r="AM308" s="19"/>
      <c r="AN308" s="19"/>
      <c r="AO308" s="19"/>
      <c r="AP308" s="19"/>
      <c r="AQ308" s="19"/>
      <c r="AR308" s="19"/>
      <c r="AS308" s="19"/>
      <c r="AT308" s="19"/>
      <c r="AU308" s="19"/>
      <c r="AV308" s="19"/>
      <c r="AW308" s="19"/>
      <c r="AX308" s="19"/>
      <c r="AY308" s="19"/>
      <c r="AZ308" s="19"/>
      <c r="BA308" s="19"/>
      <c r="BB308" s="19"/>
      <c r="BC308" s="19"/>
      <c r="BD308" s="19"/>
      <c r="BE308" s="19"/>
      <c r="BF308" s="19"/>
      <c r="BG308" s="19"/>
      <c r="BH308" s="19"/>
      <c r="BI308" s="19"/>
      <c r="BJ308" s="19"/>
      <c r="BK308" s="19"/>
      <c r="BL308" s="19"/>
      <c r="BM308" s="19"/>
      <c r="BN308" s="19"/>
      <c r="BO308" s="19"/>
      <c r="BP308" s="19"/>
      <c r="BQ308" s="19"/>
      <c r="BR308" s="19"/>
      <c r="BS308" s="19"/>
      <c r="BT308" s="19"/>
      <c r="BU308" s="19"/>
      <c r="BV308" s="19"/>
      <c r="BW308" s="19"/>
      <c r="BX308" s="19"/>
      <c r="BY308" s="19"/>
      <c r="BZ308" s="19"/>
      <c r="CA308" s="19"/>
      <c r="CB308" s="19"/>
      <c r="CC308" s="19"/>
      <c r="CD308" s="19"/>
      <c r="CE308" s="19"/>
      <c r="CF308" s="6"/>
    </row>
    <row r="309" spans="1:84">
      <c r="A309" s="17"/>
      <c r="B309" s="17"/>
      <c r="C309" s="17"/>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19"/>
      <c r="AE309" s="19"/>
      <c r="AF309" s="19"/>
      <c r="AG309" s="19"/>
      <c r="AH309" s="19"/>
      <c r="AI309" s="19"/>
      <c r="AJ309" s="19"/>
      <c r="AK309" s="19"/>
      <c r="AL309" s="19"/>
      <c r="AM309" s="19"/>
      <c r="AN309" s="19"/>
      <c r="AO309" s="19"/>
      <c r="AP309" s="19"/>
      <c r="AQ309" s="19"/>
      <c r="AR309" s="19"/>
      <c r="AS309" s="19"/>
      <c r="AT309" s="19"/>
      <c r="AU309" s="19"/>
      <c r="AV309" s="19"/>
      <c r="AW309" s="19"/>
      <c r="AX309" s="19"/>
      <c r="AY309" s="19"/>
      <c r="AZ309" s="19"/>
      <c r="BA309" s="19"/>
      <c r="BB309" s="19"/>
      <c r="BC309" s="19"/>
      <c r="BD309" s="19"/>
      <c r="BE309" s="19"/>
      <c r="BF309" s="19"/>
      <c r="BG309" s="19"/>
      <c r="BH309" s="19"/>
      <c r="BI309" s="19"/>
      <c r="BJ309" s="19"/>
      <c r="BK309" s="19"/>
      <c r="BL309" s="19"/>
      <c r="BM309" s="19"/>
      <c r="BN309" s="19"/>
      <c r="BO309" s="19"/>
      <c r="BP309" s="19"/>
      <c r="BQ309" s="19"/>
      <c r="BR309" s="19"/>
      <c r="BS309" s="19"/>
      <c r="BT309" s="19"/>
      <c r="BU309" s="19"/>
      <c r="BV309" s="19"/>
      <c r="BW309" s="19"/>
      <c r="BX309" s="19"/>
      <c r="BY309" s="19"/>
      <c r="BZ309" s="19"/>
      <c r="CA309" s="19"/>
      <c r="CB309" s="19"/>
      <c r="CC309" s="19"/>
      <c r="CD309" s="19"/>
      <c r="CE309" s="19"/>
      <c r="CF309" s="6"/>
    </row>
    <row r="310" spans="1:84">
      <c r="A310" s="17"/>
      <c r="B310" s="17"/>
      <c r="C310" s="17"/>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19"/>
      <c r="AE310" s="19"/>
      <c r="AF310" s="19"/>
      <c r="AG310" s="19"/>
      <c r="AH310" s="19"/>
      <c r="AI310" s="19"/>
      <c r="AJ310" s="19"/>
      <c r="AK310" s="19"/>
      <c r="AL310" s="19"/>
      <c r="AM310" s="19"/>
      <c r="AN310" s="19"/>
      <c r="AO310" s="19"/>
      <c r="AP310" s="19"/>
      <c r="AQ310" s="19"/>
      <c r="AR310" s="19"/>
      <c r="AS310" s="19"/>
      <c r="AT310" s="19"/>
      <c r="AU310" s="19"/>
      <c r="AV310" s="19"/>
      <c r="AW310" s="19"/>
      <c r="AX310" s="19"/>
      <c r="AY310" s="19"/>
      <c r="AZ310" s="19"/>
      <c r="BA310" s="19"/>
      <c r="BB310" s="19"/>
      <c r="BC310" s="19"/>
      <c r="BD310" s="19"/>
      <c r="BE310" s="19"/>
      <c r="BF310" s="19"/>
      <c r="BG310" s="19"/>
      <c r="BH310" s="19"/>
      <c r="BI310" s="19"/>
      <c r="BJ310" s="19"/>
      <c r="BK310" s="19"/>
      <c r="BL310" s="19"/>
      <c r="BM310" s="19"/>
      <c r="BN310" s="19"/>
      <c r="BO310" s="19"/>
      <c r="BP310" s="19"/>
      <c r="BQ310" s="19"/>
      <c r="BR310" s="19"/>
      <c r="BS310" s="19"/>
      <c r="BT310" s="19"/>
      <c r="BU310" s="19"/>
      <c r="BV310" s="19"/>
      <c r="BW310" s="19"/>
      <c r="BX310" s="19"/>
      <c r="BY310" s="19"/>
      <c r="BZ310" s="19"/>
      <c r="CA310" s="19"/>
      <c r="CB310" s="19"/>
      <c r="CC310" s="19"/>
      <c r="CD310" s="19"/>
      <c r="CE310" s="19"/>
      <c r="CF310" s="6"/>
    </row>
    <row r="311" spans="1:84">
      <c r="A311" s="17"/>
      <c r="B311" s="17"/>
      <c r="C311" s="17"/>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r="AE311" s="19"/>
      <c r="AF311" s="19"/>
      <c r="AG311" s="19"/>
      <c r="AH311" s="19"/>
      <c r="AI311" s="19"/>
      <c r="AJ311" s="19"/>
      <c r="AK311" s="19"/>
      <c r="AL311" s="19"/>
      <c r="AM311" s="19"/>
      <c r="AN311" s="19"/>
      <c r="AO311" s="19"/>
      <c r="AP311" s="19"/>
      <c r="AQ311" s="19"/>
      <c r="AR311" s="19"/>
      <c r="AS311" s="19"/>
      <c r="AT311" s="19"/>
      <c r="AU311" s="19"/>
      <c r="AV311" s="19"/>
      <c r="AW311" s="19"/>
      <c r="AX311" s="19"/>
      <c r="AY311" s="19"/>
      <c r="AZ311" s="19"/>
      <c r="BA311" s="19"/>
      <c r="BB311" s="19"/>
      <c r="BC311" s="19"/>
      <c r="BD311" s="19"/>
      <c r="BE311" s="19"/>
      <c r="BF311" s="19"/>
      <c r="BG311" s="19"/>
      <c r="BH311" s="19"/>
      <c r="BI311" s="19"/>
      <c r="BJ311" s="19"/>
      <c r="BK311" s="19"/>
      <c r="BL311" s="19"/>
      <c r="BM311" s="19"/>
      <c r="BN311" s="19"/>
      <c r="BO311" s="19"/>
      <c r="BP311" s="19"/>
      <c r="BQ311" s="19"/>
      <c r="BR311" s="19"/>
      <c r="BS311" s="19"/>
      <c r="BT311" s="19"/>
      <c r="BU311" s="19"/>
      <c r="BV311" s="19"/>
      <c r="BW311" s="19"/>
      <c r="BX311" s="19"/>
      <c r="BY311" s="19"/>
      <c r="BZ311" s="19"/>
      <c r="CA311" s="19"/>
      <c r="CB311" s="19"/>
      <c r="CC311" s="19"/>
      <c r="CD311" s="19"/>
      <c r="CE311" s="19"/>
      <c r="CF311" s="6"/>
    </row>
    <row r="312" spans="1:84">
      <c r="A312" s="17"/>
      <c r="B312" s="17"/>
      <c r="C312" s="17"/>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19"/>
      <c r="AE312" s="19"/>
      <c r="AF312" s="19"/>
      <c r="AG312" s="19"/>
      <c r="AH312" s="19"/>
      <c r="AI312" s="19"/>
      <c r="AJ312" s="19"/>
      <c r="AK312" s="19"/>
      <c r="AL312" s="19"/>
      <c r="AM312" s="19"/>
      <c r="AN312" s="19"/>
      <c r="AO312" s="19"/>
      <c r="AP312" s="19"/>
      <c r="AQ312" s="19"/>
      <c r="AR312" s="19"/>
      <c r="AS312" s="19"/>
      <c r="AT312" s="19"/>
      <c r="AU312" s="19"/>
      <c r="AV312" s="19"/>
      <c r="AW312" s="19"/>
      <c r="AX312" s="19"/>
      <c r="AY312" s="19"/>
      <c r="AZ312" s="19"/>
      <c r="BA312" s="19"/>
      <c r="BB312" s="19"/>
      <c r="BC312" s="19"/>
      <c r="BD312" s="19"/>
      <c r="BE312" s="19"/>
      <c r="BF312" s="19"/>
      <c r="BG312" s="19"/>
      <c r="BH312" s="19"/>
      <c r="BI312" s="19"/>
      <c r="BJ312" s="19"/>
      <c r="BK312" s="19"/>
      <c r="BL312" s="19"/>
      <c r="BM312" s="19"/>
      <c r="BN312" s="19"/>
      <c r="BO312" s="19"/>
      <c r="BP312" s="19"/>
      <c r="BQ312" s="19"/>
      <c r="BR312" s="19"/>
      <c r="BS312" s="19"/>
      <c r="BT312" s="19"/>
      <c r="BU312" s="19"/>
      <c r="BV312" s="19"/>
      <c r="BW312" s="19"/>
      <c r="BX312" s="19"/>
      <c r="BY312" s="19"/>
      <c r="BZ312" s="19"/>
      <c r="CA312" s="19"/>
      <c r="CB312" s="19"/>
      <c r="CC312" s="19"/>
      <c r="CD312" s="19"/>
      <c r="CE312" s="19"/>
      <c r="CF312" s="6"/>
    </row>
    <row r="313" spans="1:84">
      <c r="A313" s="17"/>
      <c r="B313" s="17"/>
      <c r="C313" s="17"/>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19"/>
      <c r="AE313" s="19"/>
      <c r="AF313" s="19"/>
      <c r="AG313" s="19"/>
      <c r="AH313" s="19"/>
      <c r="AI313" s="19"/>
      <c r="AJ313" s="19"/>
      <c r="AK313" s="19"/>
      <c r="AL313" s="19"/>
      <c r="AM313" s="19"/>
      <c r="AN313" s="19"/>
      <c r="AO313" s="19"/>
      <c r="AP313" s="19"/>
      <c r="AQ313" s="19"/>
      <c r="AR313" s="19"/>
      <c r="AS313" s="19"/>
      <c r="AT313" s="19"/>
      <c r="AU313" s="19"/>
      <c r="AV313" s="19"/>
      <c r="AW313" s="19"/>
      <c r="AX313" s="19"/>
      <c r="AY313" s="19"/>
      <c r="AZ313" s="19"/>
      <c r="BA313" s="19"/>
      <c r="BB313" s="19"/>
      <c r="BC313" s="19"/>
      <c r="BD313" s="19"/>
      <c r="BE313" s="19"/>
      <c r="BF313" s="19"/>
      <c r="BG313" s="19"/>
      <c r="BH313" s="19"/>
      <c r="BI313" s="19"/>
      <c r="BJ313" s="19"/>
      <c r="BK313" s="19"/>
      <c r="BL313" s="19"/>
      <c r="BM313" s="19"/>
      <c r="BN313" s="19"/>
      <c r="BO313" s="19"/>
      <c r="BP313" s="19"/>
      <c r="BQ313" s="19"/>
      <c r="BR313" s="19"/>
      <c r="BS313" s="19"/>
      <c r="BT313" s="19"/>
      <c r="BU313" s="19"/>
      <c r="BV313" s="19"/>
      <c r="BW313" s="19"/>
      <c r="BX313" s="19"/>
      <c r="BY313" s="19"/>
      <c r="BZ313" s="19"/>
      <c r="CA313" s="19"/>
      <c r="CB313" s="19"/>
      <c r="CC313" s="19"/>
      <c r="CD313" s="19"/>
      <c r="CE313" s="19"/>
      <c r="CF313" s="6"/>
    </row>
    <row r="314" spans="1:84">
      <c r="A314" s="17"/>
      <c r="B314" s="17"/>
      <c r="C314" s="17"/>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9"/>
      <c r="AG314" s="19"/>
      <c r="AH314" s="19"/>
      <c r="AI314" s="19"/>
      <c r="AJ314" s="19"/>
      <c r="AK314" s="19"/>
      <c r="AL314" s="19"/>
      <c r="AM314" s="19"/>
      <c r="AN314" s="19"/>
      <c r="AO314" s="19"/>
      <c r="AP314" s="19"/>
      <c r="AQ314" s="19"/>
      <c r="AR314" s="19"/>
      <c r="AS314" s="19"/>
      <c r="AT314" s="19"/>
      <c r="AU314" s="19"/>
      <c r="AV314" s="19"/>
      <c r="AW314" s="19"/>
      <c r="AX314" s="19"/>
      <c r="AY314" s="19"/>
      <c r="AZ314" s="19"/>
      <c r="BA314" s="19"/>
      <c r="BB314" s="19"/>
      <c r="BC314" s="19"/>
      <c r="BD314" s="19"/>
      <c r="BE314" s="19"/>
      <c r="BF314" s="19"/>
      <c r="BG314" s="19"/>
      <c r="BH314" s="19"/>
      <c r="BI314" s="19"/>
      <c r="BJ314" s="19"/>
      <c r="BK314" s="19"/>
      <c r="BL314" s="19"/>
      <c r="BM314" s="19"/>
      <c r="BN314" s="19"/>
      <c r="BO314" s="19"/>
      <c r="BP314" s="19"/>
      <c r="BQ314" s="19"/>
      <c r="BR314" s="19"/>
      <c r="BS314" s="19"/>
      <c r="BT314" s="19"/>
      <c r="BU314" s="19"/>
      <c r="BV314" s="19"/>
      <c r="BW314" s="19"/>
      <c r="BX314" s="19"/>
      <c r="BY314" s="19"/>
      <c r="BZ314" s="19"/>
      <c r="CA314" s="19"/>
      <c r="CB314" s="19"/>
      <c r="CC314" s="19"/>
      <c r="CD314" s="19"/>
      <c r="CE314" s="19"/>
      <c r="CF314" s="6"/>
    </row>
    <row r="315" spans="1:84">
      <c r="A315" s="17"/>
      <c r="B315" s="17"/>
      <c r="C315" s="17"/>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19"/>
      <c r="AE315" s="19"/>
      <c r="AF315" s="19"/>
      <c r="AG315" s="19"/>
      <c r="AH315" s="19"/>
      <c r="AI315" s="19"/>
      <c r="AJ315" s="19"/>
      <c r="AK315" s="19"/>
      <c r="AL315" s="19"/>
      <c r="AM315" s="19"/>
      <c r="AN315" s="19"/>
      <c r="AO315" s="19"/>
      <c r="AP315" s="19"/>
      <c r="AQ315" s="19"/>
      <c r="AR315" s="19"/>
      <c r="AS315" s="19"/>
      <c r="AT315" s="19"/>
      <c r="AU315" s="19"/>
      <c r="AV315" s="19"/>
      <c r="AW315" s="19"/>
      <c r="AX315" s="19"/>
      <c r="AY315" s="19"/>
      <c r="AZ315" s="19"/>
      <c r="BA315" s="19"/>
      <c r="BB315" s="19"/>
      <c r="BC315" s="19"/>
      <c r="BD315" s="19"/>
      <c r="BE315" s="19"/>
      <c r="BF315" s="19"/>
      <c r="BG315" s="19"/>
      <c r="BH315" s="19"/>
      <c r="BI315" s="19"/>
      <c r="BJ315" s="19"/>
      <c r="BK315" s="19"/>
      <c r="BL315" s="19"/>
      <c r="BM315" s="19"/>
      <c r="BN315" s="19"/>
      <c r="BO315" s="19"/>
      <c r="BP315" s="19"/>
      <c r="BQ315" s="19"/>
      <c r="BR315" s="19"/>
      <c r="BS315" s="19"/>
      <c r="BT315" s="19"/>
      <c r="BU315" s="19"/>
      <c r="BV315" s="19"/>
      <c r="BW315" s="19"/>
      <c r="BX315" s="19"/>
      <c r="BY315" s="19"/>
      <c r="BZ315" s="19"/>
      <c r="CA315" s="19"/>
      <c r="CB315" s="19"/>
      <c r="CC315" s="19"/>
      <c r="CD315" s="19"/>
      <c r="CE315" s="19"/>
      <c r="CF315" s="6"/>
    </row>
    <row r="316" spans="1:84">
      <c r="A316" s="17"/>
      <c r="B316" s="17"/>
      <c r="C316" s="17"/>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c r="AB316" s="19"/>
      <c r="AC316" s="19"/>
      <c r="AD316" s="19"/>
      <c r="AE316" s="19"/>
      <c r="AF316" s="19"/>
      <c r="AG316" s="19"/>
      <c r="AH316" s="19"/>
      <c r="AI316" s="19"/>
      <c r="AJ316" s="19"/>
      <c r="AK316" s="19"/>
      <c r="AL316" s="19"/>
      <c r="AM316" s="19"/>
      <c r="AN316" s="19"/>
      <c r="AO316" s="19"/>
      <c r="AP316" s="19"/>
      <c r="AQ316" s="19"/>
      <c r="AR316" s="19"/>
      <c r="AS316" s="19"/>
      <c r="AT316" s="19"/>
      <c r="AU316" s="19"/>
      <c r="AV316" s="19"/>
      <c r="AW316" s="19"/>
      <c r="AX316" s="19"/>
      <c r="AY316" s="19"/>
      <c r="AZ316" s="19"/>
      <c r="BA316" s="19"/>
      <c r="BB316" s="19"/>
      <c r="BC316" s="19"/>
      <c r="BD316" s="19"/>
      <c r="BE316" s="19"/>
      <c r="BF316" s="19"/>
      <c r="BG316" s="19"/>
      <c r="BH316" s="19"/>
      <c r="BI316" s="19"/>
      <c r="BJ316" s="19"/>
      <c r="BK316" s="19"/>
      <c r="BL316" s="19"/>
      <c r="BM316" s="19"/>
      <c r="BN316" s="19"/>
      <c r="BO316" s="19"/>
      <c r="BP316" s="19"/>
      <c r="BQ316" s="19"/>
      <c r="BR316" s="19"/>
      <c r="BS316" s="19"/>
      <c r="BT316" s="19"/>
      <c r="BU316" s="19"/>
      <c r="BV316" s="19"/>
      <c r="BW316" s="19"/>
      <c r="BX316" s="19"/>
      <c r="BY316" s="19"/>
      <c r="BZ316" s="19"/>
      <c r="CA316" s="19"/>
      <c r="CB316" s="19"/>
      <c r="CC316" s="19"/>
      <c r="CD316" s="19"/>
      <c r="CE316" s="19"/>
      <c r="CF316" s="6"/>
    </row>
    <row r="317" spans="1:84">
      <c r="A317" s="17"/>
      <c r="B317" s="17"/>
      <c r="C317" s="17"/>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c r="AB317" s="19"/>
      <c r="AC317" s="19"/>
      <c r="AD317" s="19"/>
      <c r="AE317" s="19"/>
      <c r="AF317" s="19"/>
      <c r="AG317" s="19"/>
      <c r="AH317" s="19"/>
      <c r="AI317" s="19"/>
      <c r="AJ317" s="19"/>
      <c r="AK317" s="19"/>
      <c r="AL317" s="19"/>
      <c r="AM317" s="19"/>
      <c r="AN317" s="19"/>
      <c r="AO317" s="19"/>
      <c r="AP317" s="19"/>
      <c r="AQ317" s="19"/>
      <c r="AR317" s="19"/>
      <c r="AS317" s="19"/>
      <c r="AT317" s="19"/>
      <c r="AU317" s="19"/>
      <c r="AV317" s="19"/>
      <c r="AW317" s="19"/>
      <c r="AX317" s="19"/>
      <c r="AY317" s="19"/>
      <c r="AZ317" s="19"/>
      <c r="BA317" s="19"/>
      <c r="BB317" s="19"/>
      <c r="BC317" s="19"/>
      <c r="BD317" s="19"/>
      <c r="BE317" s="19"/>
      <c r="BF317" s="19"/>
      <c r="BG317" s="19"/>
      <c r="BH317" s="19"/>
      <c r="BI317" s="19"/>
      <c r="BJ317" s="19"/>
      <c r="BK317" s="19"/>
      <c r="BL317" s="19"/>
      <c r="BM317" s="19"/>
      <c r="BN317" s="19"/>
      <c r="BO317" s="19"/>
      <c r="BP317" s="19"/>
      <c r="BQ317" s="19"/>
      <c r="BR317" s="19"/>
      <c r="BS317" s="19"/>
      <c r="BT317" s="19"/>
      <c r="BU317" s="19"/>
      <c r="BV317" s="19"/>
      <c r="BW317" s="19"/>
      <c r="BX317" s="19"/>
      <c r="BY317" s="19"/>
      <c r="BZ317" s="19"/>
      <c r="CA317" s="19"/>
      <c r="CB317" s="19"/>
      <c r="CC317" s="19"/>
      <c r="CD317" s="19"/>
      <c r="CE317" s="19"/>
      <c r="CF317" s="6"/>
    </row>
    <row r="318" spans="1:84">
      <c r="A318" s="17"/>
      <c r="B318" s="17"/>
      <c r="C318" s="17"/>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9"/>
      <c r="AB318" s="19"/>
      <c r="AC318" s="19"/>
      <c r="AD318" s="19"/>
      <c r="AE318" s="19"/>
      <c r="AF318" s="19"/>
      <c r="AG318" s="19"/>
      <c r="AH318" s="19"/>
      <c r="AI318" s="19"/>
      <c r="AJ318" s="19"/>
      <c r="AK318" s="19"/>
      <c r="AL318" s="19"/>
      <c r="AM318" s="19"/>
      <c r="AN318" s="19"/>
      <c r="AO318" s="19"/>
      <c r="AP318" s="19"/>
      <c r="AQ318" s="19"/>
      <c r="AR318" s="19"/>
      <c r="AS318" s="19"/>
      <c r="AT318" s="19"/>
      <c r="AU318" s="19"/>
      <c r="AV318" s="19"/>
      <c r="AW318" s="19"/>
      <c r="AX318" s="19"/>
      <c r="AY318" s="19"/>
      <c r="AZ318" s="19"/>
      <c r="BA318" s="19"/>
      <c r="BB318" s="19"/>
      <c r="BC318" s="19"/>
      <c r="BD318" s="19"/>
      <c r="BE318" s="19"/>
      <c r="BF318" s="19"/>
      <c r="BG318" s="19"/>
      <c r="BH318" s="19"/>
      <c r="BI318" s="19"/>
      <c r="BJ318" s="19"/>
      <c r="BK318" s="19"/>
      <c r="BL318" s="19"/>
      <c r="BM318" s="19"/>
      <c r="BN318" s="19"/>
      <c r="BO318" s="19"/>
      <c r="BP318" s="19"/>
      <c r="BQ318" s="19"/>
      <c r="BR318" s="19"/>
      <c r="BS318" s="19"/>
      <c r="BT318" s="19"/>
      <c r="BU318" s="19"/>
      <c r="BV318" s="19"/>
      <c r="BW318" s="19"/>
      <c r="BX318" s="19"/>
      <c r="BY318" s="19"/>
      <c r="BZ318" s="19"/>
      <c r="CA318" s="19"/>
      <c r="CB318" s="19"/>
      <c r="CC318" s="19"/>
      <c r="CD318" s="19"/>
      <c r="CE318" s="19"/>
      <c r="CF318" s="6"/>
    </row>
    <row r="319" spans="1:84">
      <c r="A319" s="17"/>
      <c r="B319" s="17"/>
      <c r="C319" s="17"/>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9"/>
      <c r="AB319" s="19"/>
      <c r="AC319" s="19"/>
      <c r="AD319" s="19"/>
      <c r="AE319" s="19"/>
      <c r="AF319" s="19"/>
      <c r="AG319" s="19"/>
      <c r="AH319" s="19"/>
      <c r="AI319" s="19"/>
      <c r="AJ319" s="19"/>
      <c r="AK319" s="19"/>
      <c r="AL319" s="19"/>
      <c r="AM319" s="19"/>
      <c r="AN319" s="19"/>
      <c r="AO319" s="19"/>
      <c r="AP319" s="19"/>
      <c r="AQ319" s="19"/>
      <c r="AR319" s="19"/>
      <c r="AS319" s="19"/>
      <c r="AT319" s="19"/>
      <c r="AU319" s="19"/>
      <c r="AV319" s="19"/>
      <c r="AW319" s="19"/>
      <c r="AX319" s="19"/>
      <c r="AY319" s="19"/>
      <c r="AZ319" s="19"/>
      <c r="BA319" s="19"/>
      <c r="BB319" s="19"/>
      <c r="BC319" s="19"/>
      <c r="BD319" s="19"/>
      <c r="BE319" s="19"/>
      <c r="BF319" s="19"/>
      <c r="BG319" s="19"/>
      <c r="BH319" s="19"/>
      <c r="BI319" s="19"/>
      <c r="BJ319" s="19"/>
      <c r="BK319" s="19"/>
      <c r="BL319" s="19"/>
      <c r="BM319" s="19"/>
      <c r="BN319" s="19"/>
      <c r="BO319" s="19"/>
      <c r="BP319" s="19"/>
      <c r="BQ319" s="19"/>
      <c r="BR319" s="19"/>
      <c r="BS319" s="19"/>
      <c r="BT319" s="19"/>
      <c r="BU319" s="19"/>
      <c r="BV319" s="19"/>
      <c r="BW319" s="19"/>
      <c r="BX319" s="19"/>
      <c r="BY319" s="19"/>
      <c r="BZ319" s="19"/>
      <c r="CA319" s="19"/>
      <c r="CB319" s="19"/>
      <c r="CC319" s="19"/>
      <c r="CD319" s="19"/>
      <c r="CE319" s="19"/>
      <c r="CF319" s="6"/>
    </row>
    <row r="320" spans="1:84">
      <c r="A320" s="17"/>
      <c r="B320" s="17"/>
      <c r="C320" s="17"/>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9"/>
      <c r="AB320" s="19"/>
      <c r="AC320" s="19"/>
      <c r="AD320" s="19"/>
      <c r="AE320" s="19"/>
      <c r="AF320" s="19"/>
      <c r="AG320" s="19"/>
      <c r="AH320" s="19"/>
      <c r="AI320" s="19"/>
      <c r="AJ320" s="19"/>
      <c r="AK320" s="19"/>
      <c r="AL320" s="19"/>
      <c r="AM320" s="19"/>
      <c r="AN320" s="19"/>
      <c r="AO320" s="19"/>
      <c r="AP320" s="19"/>
      <c r="AQ320" s="19"/>
      <c r="AR320" s="19"/>
      <c r="AS320" s="19"/>
      <c r="AT320" s="19"/>
      <c r="AU320" s="19"/>
      <c r="AV320" s="19"/>
      <c r="AW320" s="19"/>
      <c r="AX320" s="19"/>
      <c r="AY320" s="19"/>
      <c r="AZ320" s="19"/>
      <c r="BA320" s="19"/>
      <c r="BB320" s="19"/>
      <c r="BC320" s="19"/>
      <c r="BD320" s="19"/>
      <c r="BE320" s="19"/>
      <c r="BF320" s="19"/>
      <c r="BG320" s="19"/>
      <c r="BH320" s="19"/>
      <c r="BI320" s="19"/>
      <c r="BJ320" s="19"/>
      <c r="BK320" s="19"/>
      <c r="BL320" s="19"/>
      <c r="BM320" s="19"/>
      <c r="BN320" s="19"/>
      <c r="BO320" s="19"/>
      <c r="BP320" s="19"/>
      <c r="BQ320" s="19"/>
      <c r="BR320" s="19"/>
      <c r="BS320" s="19"/>
      <c r="BT320" s="19"/>
      <c r="BU320" s="19"/>
      <c r="BV320" s="19"/>
      <c r="BW320" s="19"/>
      <c r="BX320" s="19"/>
      <c r="BY320" s="19"/>
      <c r="BZ320" s="19"/>
      <c r="CA320" s="19"/>
      <c r="CB320" s="19"/>
      <c r="CC320" s="19"/>
      <c r="CD320" s="19"/>
      <c r="CE320" s="19"/>
      <c r="CF320" s="6"/>
    </row>
    <row r="321" spans="1:84">
      <c r="A321" s="17"/>
      <c r="B321" s="17"/>
      <c r="C321" s="17"/>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9"/>
      <c r="AB321" s="19"/>
      <c r="AC321" s="19"/>
      <c r="AD321" s="19"/>
      <c r="AE321" s="19"/>
      <c r="AF321" s="19"/>
      <c r="AG321" s="19"/>
      <c r="AH321" s="19"/>
      <c r="AI321" s="19"/>
      <c r="AJ321" s="19"/>
      <c r="AK321" s="19"/>
      <c r="AL321" s="19"/>
      <c r="AM321" s="19"/>
      <c r="AN321" s="19"/>
      <c r="AO321" s="19"/>
      <c r="AP321" s="19"/>
      <c r="AQ321" s="19"/>
      <c r="AR321" s="19"/>
      <c r="AS321" s="19"/>
      <c r="AT321" s="19"/>
      <c r="AU321" s="19"/>
      <c r="AV321" s="19"/>
      <c r="AW321" s="19"/>
      <c r="AX321" s="19"/>
      <c r="AY321" s="19"/>
      <c r="AZ321" s="19"/>
      <c r="BA321" s="19"/>
      <c r="BB321" s="19"/>
      <c r="BC321" s="19"/>
      <c r="BD321" s="19"/>
      <c r="BE321" s="19"/>
      <c r="BF321" s="19"/>
      <c r="BG321" s="19"/>
      <c r="BH321" s="19"/>
      <c r="BI321" s="19"/>
      <c r="BJ321" s="19"/>
      <c r="BK321" s="19"/>
      <c r="BL321" s="19"/>
      <c r="BM321" s="19"/>
      <c r="BN321" s="19"/>
      <c r="BO321" s="19"/>
      <c r="BP321" s="19"/>
      <c r="BQ321" s="19"/>
      <c r="BR321" s="19"/>
      <c r="BS321" s="19"/>
      <c r="BT321" s="19"/>
      <c r="BU321" s="19"/>
      <c r="BV321" s="19"/>
      <c r="BW321" s="19"/>
      <c r="BX321" s="19"/>
      <c r="BY321" s="19"/>
      <c r="BZ321" s="19"/>
      <c r="CA321" s="19"/>
      <c r="CB321" s="19"/>
      <c r="CC321" s="19"/>
      <c r="CD321" s="19"/>
      <c r="CE321" s="19"/>
      <c r="CF321" s="6"/>
    </row>
    <row r="322" spans="1:84">
      <c r="A322" s="17"/>
      <c r="B322" s="17"/>
      <c r="C322" s="17"/>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9"/>
      <c r="AB322" s="19"/>
      <c r="AC322" s="19"/>
      <c r="AD322" s="19"/>
      <c r="AE322" s="19"/>
      <c r="AF322" s="19"/>
      <c r="AG322" s="19"/>
      <c r="AH322" s="19"/>
      <c r="AI322" s="19"/>
      <c r="AJ322" s="19"/>
      <c r="AK322" s="19"/>
      <c r="AL322" s="19"/>
      <c r="AM322" s="19"/>
      <c r="AN322" s="19"/>
      <c r="AO322" s="19"/>
      <c r="AP322" s="19"/>
      <c r="AQ322" s="19"/>
      <c r="AR322" s="19"/>
      <c r="AS322" s="19"/>
      <c r="AT322" s="19"/>
      <c r="AU322" s="19"/>
      <c r="AV322" s="19"/>
      <c r="AW322" s="19"/>
      <c r="AX322" s="19"/>
      <c r="AY322" s="19"/>
      <c r="AZ322" s="19"/>
      <c r="BA322" s="19"/>
      <c r="BB322" s="19"/>
      <c r="BC322" s="19"/>
      <c r="BD322" s="19"/>
      <c r="BE322" s="19"/>
      <c r="BF322" s="19"/>
      <c r="BG322" s="19"/>
      <c r="BH322" s="19"/>
      <c r="BI322" s="19"/>
      <c r="BJ322" s="19"/>
      <c r="BK322" s="19"/>
      <c r="BL322" s="19"/>
      <c r="BM322" s="19"/>
      <c r="BN322" s="19"/>
      <c r="BO322" s="19"/>
      <c r="BP322" s="19"/>
      <c r="BQ322" s="19"/>
      <c r="BR322" s="19"/>
      <c r="BS322" s="19"/>
      <c r="BT322" s="19"/>
      <c r="BU322" s="19"/>
      <c r="BV322" s="19"/>
      <c r="BW322" s="19"/>
      <c r="BX322" s="19"/>
      <c r="BY322" s="19"/>
      <c r="BZ322" s="19"/>
      <c r="CA322" s="19"/>
      <c r="CB322" s="19"/>
      <c r="CC322" s="19"/>
      <c r="CD322" s="19"/>
      <c r="CE322" s="19"/>
      <c r="CF322" s="6"/>
    </row>
    <row r="323" spans="1:84">
      <c r="A323" s="17"/>
      <c r="B323" s="17"/>
      <c r="C323" s="17"/>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9"/>
      <c r="AB323" s="19"/>
      <c r="AC323" s="19"/>
      <c r="AD323" s="19"/>
      <c r="AE323" s="19"/>
      <c r="AF323" s="19"/>
      <c r="AG323" s="19"/>
      <c r="AH323" s="19"/>
      <c r="AI323" s="19"/>
      <c r="AJ323" s="19"/>
      <c r="AK323" s="19"/>
      <c r="AL323" s="19"/>
      <c r="AM323" s="19"/>
      <c r="AN323" s="19"/>
      <c r="AO323" s="19"/>
      <c r="AP323" s="19"/>
      <c r="AQ323" s="19"/>
      <c r="AR323" s="19"/>
      <c r="AS323" s="19"/>
      <c r="AT323" s="19"/>
      <c r="AU323" s="19"/>
      <c r="AV323" s="19"/>
      <c r="AW323" s="19"/>
      <c r="AX323" s="19"/>
      <c r="AY323" s="19"/>
      <c r="AZ323" s="19"/>
      <c r="BA323" s="19"/>
      <c r="BB323" s="19"/>
      <c r="BC323" s="19"/>
      <c r="BD323" s="19"/>
      <c r="BE323" s="19"/>
      <c r="BF323" s="19"/>
      <c r="BG323" s="19"/>
      <c r="BH323" s="19"/>
      <c r="BI323" s="19"/>
      <c r="BJ323" s="19"/>
      <c r="BK323" s="19"/>
      <c r="BL323" s="19"/>
      <c r="BM323" s="19"/>
      <c r="BN323" s="19"/>
      <c r="BO323" s="19"/>
      <c r="BP323" s="19"/>
      <c r="BQ323" s="19"/>
      <c r="BR323" s="19"/>
      <c r="BS323" s="19"/>
      <c r="BT323" s="19"/>
      <c r="BU323" s="19"/>
      <c r="BV323" s="19"/>
      <c r="BW323" s="19"/>
      <c r="BX323" s="19"/>
      <c r="BY323" s="19"/>
      <c r="BZ323" s="19"/>
      <c r="CA323" s="19"/>
      <c r="CB323" s="19"/>
      <c r="CC323" s="19"/>
      <c r="CD323" s="19"/>
      <c r="CE323" s="19"/>
      <c r="CF323" s="6"/>
    </row>
    <row r="324" spans="1:84">
      <c r="A324" s="17"/>
      <c r="B324" s="17"/>
      <c r="C324" s="17"/>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9"/>
      <c r="AB324" s="19"/>
      <c r="AC324" s="19"/>
      <c r="AD324" s="19"/>
      <c r="AE324" s="19"/>
      <c r="AF324" s="19"/>
      <c r="AG324" s="19"/>
      <c r="AH324" s="19"/>
      <c r="AI324" s="19"/>
      <c r="AJ324" s="19"/>
      <c r="AK324" s="19"/>
      <c r="AL324" s="19"/>
      <c r="AM324" s="19"/>
      <c r="AN324" s="19"/>
      <c r="AO324" s="19"/>
      <c r="AP324" s="19"/>
      <c r="AQ324" s="19"/>
      <c r="AR324" s="19"/>
      <c r="AS324" s="19"/>
      <c r="AT324" s="19"/>
      <c r="AU324" s="19"/>
      <c r="AV324" s="19"/>
      <c r="AW324" s="19"/>
      <c r="AX324" s="19"/>
      <c r="AY324" s="19"/>
      <c r="AZ324" s="19"/>
      <c r="BA324" s="19"/>
      <c r="BB324" s="19"/>
      <c r="BC324" s="19"/>
      <c r="BD324" s="19"/>
      <c r="BE324" s="19"/>
      <c r="BF324" s="19"/>
      <c r="BG324" s="19"/>
      <c r="BH324" s="19"/>
      <c r="BI324" s="19"/>
      <c r="BJ324" s="19"/>
      <c r="BK324" s="19"/>
      <c r="BL324" s="19"/>
      <c r="BM324" s="19"/>
      <c r="BN324" s="19"/>
      <c r="BO324" s="19"/>
      <c r="BP324" s="19"/>
      <c r="BQ324" s="19"/>
      <c r="BR324" s="19"/>
      <c r="BS324" s="19"/>
      <c r="BT324" s="19"/>
      <c r="BU324" s="19"/>
      <c r="BV324" s="19"/>
      <c r="BW324" s="19"/>
      <c r="BX324" s="19"/>
      <c r="BY324" s="19"/>
      <c r="BZ324" s="19"/>
      <c r="CA324" s="19"/>
      <c r="CB324" s="19"/>
      <c r="CC324" s="19"/>
      <c r="CD324" s="19"/>
      <c r="CE324" s="19"/>
      <c r="CF324" s="6"/>
    </row>
    <row r="325" spans="1:84">
      <c r="A325" s="17"/>
      <c r="B325" s="17"/>
      <c r="C325" s="17"/>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9"/>
      <c r="AB325" s="19"/>
      <c r="AC325" s="19"/>
      <c r="AD325" s="19"/>
      <c r="AE325" s="19"/>
      <c r="AF325" s="19"/>
      <c r="AG325" s="19"/>
      <c r="AH325" s="19"/>
      <c r="AI325" s="19"/>
      <c r="AJ325" s="19"/>
      <c r="AK325" s="19"/>
      <c r="AL325" s="19"/>
      <c r="AM325" s="19"/>
      <c r="AN325" s="19"/>
      <c r="AO325" s="19"/>
      <c r="AP325" s="19"/>
      <c r="AQ325" s="19"/>
      <c r="AR325" s="19"/>
      <c r="AS325" s="19"/>
      <c r="AT325" s="19"/>
      <c r="AU325" s="19"/>
      <c r="AV325" s="19"/>
      <c r="AW325" s="19"/>
      <c r="AX325" s="19"/>
      <c r="AY325" s="19"/>
      <c r="AZ325" s="19"/>
      <c r="BA325" s="19"/>
      <c r="BB325" s="19"/>
      <c r="BC325" s="19"/>
      <c r="BD325" s="19"/>
      <c r="BE325" s="19"/>
      <c r="BF325" s="19"/>
      <c r="BG325" s="19"/>
      <c r="BH325" s="19"/>
      <c r="BI325" s="19"/>
      <c r="BJ325" s="19"/>
      <c r="BK325" s="19"/>
      <c r="BL325" s="19"/>
      <c r="BM325" s="19"/>
      <c r="BN325" s="19"/>
      <c r="BO325" s="19"/>
      <c r="BP325" s="19"/>
      <c r="BQ325" s="19"/>
      <c r="BR325" s="19"/>
      <c r="BS325" s="19"/>
      <c r="BT325" s="19"/>
      <c r="BU325" s="19"/>
      <c r="BV325" s="19"/>
      <c r="BW325" s="19"/>
      <c r="BX325" s="19"/>
      <c r="BY325" s="19"/>
      <c r="BZ325" s="19"/>
      <c r="CA325" s="19"/>
      <c r="CB325" s="19"/>
      <c r="CC325" s="19"/>
      <c r="CD325" s="19"/>
      <c r="CE325" s="19"/>
      <c r="CF325" s="6"/>
    </row>
    <row r="326" spans="1:84">
      <c r="A326" s="17"/>
      <c r="B326" s="17"/>
      <c r="C326" s="17"/>
      <c r="D326" s="19"/>
      <c r="E326" s="19"/>
      <c r="F326" s="19"/>
      <c r="G326" s="19"/>
      <c r="H326" s="19"/>
      <c r="I326" s="19"/>
      <c r="J326" s="19"/>
      <c r="K326" s="19"/>
      <c r="L326" s="19"/>
      <c r="M326" s="19"/>
      <c r="N326" s="19"/>
      <c r="O326" s="19"/>
      <c r="P326" s="19"/>
      <c r="Q326" s="19"/>
      <c r="R326" s="19"/>
      <c r="S326" s="19"/>
      <c r="T326" s="19"/>
      <c r="U326" s="19"/>
      <c r="V326" s="19"/>
      <c r="W326" s="19"/>
      <c r="X326" s="19"/>
      <c r="Y326" s="19"/>
      <c r="Z326" s="19"/>
      <c r="AA326" s="19"/>
      <c r="AB326" s="19"/>
      <c r="AC326" s="19"/>
      <c r="AD326" s="19"/>
      <c r="AE326" s="19"/>
      <c r="AF326" s="19"/>
      <c r="AG326" s="19"/>
      <c r="AH326" s="19"/>
      <c r="AI326" s="19"/>
      <c r="AJ326" s="19"/>
      <c r="AK326" s="19"/>
      <c r="AL326" s="19"/>
      <c r="AM326" s="19"/>
      <c r="AN326" s="19"/>
      <c r="AO326" s="19"/>
      <c r="AP326" s="19"/>
      <c r="AQ326" s="19"/>
      <c r="AR326" s="19"/>
      <c r="AS326" s="19"/>
      <c r="AT326" s="19"/>
      <c r="AU326" s="19"/>
      <c r="AV326" s="19"/>
      <c r="AW326" s="19"/>
      <c r="AX326" s="19"/>
      <c r="AY326" s="19"/>
      <c r="AZ326" s="19"/>
      <c r="BA326" s="19"/>
      <c r="BB326" s="19"/>
      <c r="BC326" s="19"/>
      <c r="BD326" s="19"/>
      <c r="BE326" s="19"/>
      <c r="BF326" s="19"/>
      <c r="BG326" s="19"/>
      <c r="BH326" s="19"/>
      <c r="BI326" s="19"/>
      <c r="BJ326" s="19"/>
      <c r="BK326" s="19"/>
      <c r="BL326" s="19"/>
      <c r="BM326" s="19"/>
      <c r="BN326" s="19"/>
      <c r="BO326" s="19"/>
      <c r="BP326" s="19"/>
      <c r="BQ326" s="19"/>
      <c r="BR326" s="19"/>
      <c r="BS326" s="19"/>
      <c r="BT326" s="19"/>
      <c r="BU326" s="19"/>
      <c r="BV326" s="19"/>
      <c r="BW326" s="19"/>
      <c r="BX326" s="19"/>
      <c r="BY326" s="19"/>
      <c r="BZ326" s="19"/>
      <c r="CA326" s="19"/>
      <c r="CB326" s="19"/>
      <c r="CC326" s="19"/>
      <c r="CD326" s="19"/>
      <c r="CE326" s="19"/>
      <c r="CF326" s="6"/>
    </row>
    <row r="327" spans="1:84">
      <c r="A327" s="17"/>
      <c r="B327" s="17"/>
      <c r="C327" s="17"/>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9"/>
      <c r="AB327" s="19"/>
      <c r="AC327" s="19"/>
      <c r="AD327" s="19"/>
      <c r="AE327" s="19"/>
      <c r="AF327" s="19"/>
      <c r="AG327" s="19"/>
      <c r="AH327" s="19"/>
      <c r="AI327" s="19"/>
      <c r="AJ327" s="19"/>
      <c r="AK327" s="19"/>
      <c r="AL327" s="19"/>
      <c r="AM327" s="19"/>
      <c r="AN327" s="19"/>
      <c r="AO327" s="19"/>
      <c r="AP327" s="19"/>
      <c r="AQ327" s="19"/>
      <c r="AR327" s="19"/>
      <c r="AS327" s="19"/>
      <c r="AT327" s="19"/>
      <c r="AU327" s="19"/>
      <c r="AV327" s="19"/>
      <c r="AW327" s="19"/>
      <c r="AX327" s="19"/>
      <c r="AY327" s="19"/>
      <c r="AZ327" s="19"/>
      <c r="BA327" s="19"/>
      <c r="BB327" s="19"/>
      <c r="BC327" s="19"/>
      <c r="BD327" s="19"/>
      <c r="BE327" s="19"/>
      <c r="BF327" s="19"/>
      <c r="BG327" s="19"/>
      <c r="BH327" s="19"/>
      <c r="BI327" s="19"/>
      <c r="BJ327" s="19"/>
      <c r="BK327" s="19"/>
      <c r="BL327" s="19"/>
      <c r="BM327" s="19"/>
      <c r="BN327" s="19"/>
      <c r="BO327" s="19"/>
      <c r="BP327" s="19"/>
      <c r="BQ327" s="19"/>
      <c r="BR327" s="19"/>
      <c r="BS327" s="19"/>
      <c r="BT327" s="19"/>
      <c r="BU327" s="19"/>
      <c r="BV327" s="19"/>
      <c r="BW327" s="19"/>
      <c r="BX327" s="19"/>
      <c r="BY327" s="19"/>
      <c r="BZ327" s="19"/>
      <c r="CA327" s="19"/>
      <c r="CB327" s="19"/>
      <c r="CC327" s="19"/>
      <c r="CD327" s="19"/>
      <c r="CE327" s="19"/>
      <c r="CF327" s="6"/>
    </row>
    <row r="328" spans="1:84">
      <c r="A328" s="17"/>
      <c r="B328" s="17"/>
      <c r="C328" s="17"/>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9"/>
      <c r="AB328" s="19"/>
      <c r="AC328" s="19"/>
      <c r="AD328" s="19"/>
      <c r="AE328" s="19"/>
      <c r="AF328" s="19"/>
      <c r="AG328" s="19"/>
      <c r="AH328" s="19"/>
      <c r="AI328" s="19"/>
      <c r="AJ328" s="19"/>
      <c r="AK328" s="19"/>
      <c r="AL328" s="19"/>
      <c r="AM328" s="19"/>
      <c r="AN328" s="19"/>
      <c r="AO328" s="19"/>
      <c r="AP328" s="19"/>
      <c r="AQ328" s="19"/>
      <c r="AR328" s="19"/>
      <c r="AS328" s="19"/>
      <c r="AT328" s="19"/>
      <c r="AU328" s="19"/>
      <c r="AV328" s="19"/>
      <c r="AW328" s="19"/>
      <c r="AX328" s="19"/>
      <c r="AY328" s="19"/>
      <c r="AZ328" s="19"/>
      <c r="BA328" s="19"/>
      <c r="BB328" s="19"/>
      <c r="BC328" s="19"/>
      <c r="BD328" s="19"/>
      <c r="BE328" s="19"/>
      <c r="BF328" s="19"/>
      <c r="BG328" s="19"/>
      <c r="BH328" s="19"/>
      <c r="BI328" s="19"/>
      <c r="BJ328" s="19"/>
      <c r="BK328" s="19"/>
      <c r="BL328" s="19"/>
      <c r="BM328" s="19"/>
      <c r="BN328" s="19"/>
      <c r="BO328" s="19"/>
      <c r="BP328" s="19"/>
      <c r="BQ328" s="19"/>
      <c r="BR328" s="19"/>
      <c r="BS328" s="19"/>
      <c r="BT328" s="19"/>
      <c r="BU328" s="19"/>
      <c r="BV328" s="19"/>
      <c r="BW328" s="19"/>
      <c r="BX328" s="19"/>
      <c r="BY328" s="19"/>
      <c r="BZ328" s="19"/>
      <c r="CA328" s="19"/>
      <c r="CB328" s="19"/>
      <c r="CC328" s="19"/>
      <c r="CD328" s="19"/>
      <c r="CE328" s="19"/>
      <c r="CF328" s="6"/>
    </row>
    <row r="329" spans="1:84">
      <c r="A329" s="17"/>
      <c r="B329" s="17"/>
      <c r="C329" s="17"/>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9"/>
      <c r="AB329" s="19"/>
      <c r="AC329" s="19"/>
      <c r="AD329" s="19"/>
      <c r="AE329" s="19"/>
      <c r="AF329" s="19"/>
      <c r="AG329" s="19"/>
      <c r="AH329" s="19"/>
      <c r="AI329" s="19"/>
      <c r="AJ329" s="19"/>
      <c r="AK329" s="19"/>
      <c r="AL329" s="19"/>
      <c r="AM329" s="19"/>
      <c r="AN329" s="19"/>
      <c r="AO329" s="19"/>
      <c r="AP329" s="19"/>
      <c r="AQ329" s="19"/>
      <c r="AR329" s="19"/>
      <c r="AS329" s="19"/>
      <c r="AT329" s="19"/>
      <c r="AU329" s="19"/>
      <c r="AV329" s="19"/>
      <c r="AW329" s="19"/>
      <c r="AX329" s="19"/>
      <c r="AY329" s="19"/>
      <c r="AZ329" s="19"/>
      <c r="BA329" s="19"/>
      <c r="BB329" s="19"/>
      <c r="BC329" s="19"/>
      <c r="BD329" s="19"/>
      <c r="BE329" s="19"/>
      <c r="BF329" s="19"/>
      <c r="BG329" s="19"/>
      <c r="BH329" s="19"/>
      <c r="BI329" s="19"/>
      <c r="BJ329" s="19"/>
      <c r="BK329" s="19"/>
      <c r="BL329" s="19"/>
      <c r="BM329" s="19"/>
      <c r="BN329" s="19"/>
      <c r="BO329" s="19"/>
      <c r="BP329" s="19"/>
      <c r="BQ329" s="19"/>
      <c r="BR329" s="19"/>
      <c r="BS329" s="19"/>
      <c r="BT329" s="19"/>
      <c r="BU329" s="19"/>
      <c r="BV329" s="19"/>
      <c r="BW329" s="19"/>
      <c r="BX329" s="19"/>
      <c r="BY329" s="19"/>
      <c r="BZ329" s="19"/>
      <c r="CA329" s="19"/>
      <c r="CB329" s="19"/>
      <c r="CC329" s="19"/>
      <c r="CD329" s="19"/>
      <c r="CE329" s="19"/>
      <c r="CF329" s="6"/>
    </row>
    <row r="330" spans="1:84">
      <c r="A330" s="17"/>
      <c r="B330" s="17"/>
      <c r="C330" s="17"/>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9"/>
      <c r="AB330" s="19"/>
      <c r="AC330" s="19"/>
      <c r="AD330" s="19"/>
      <c r="AE330" s="19"/>
      <c r="AF330" s="19"/>
      <c r="AG330" s="19"/>
      <c r="AH330" s="19"/>
      <c r="AI330" s="19"/>
      <c r="AJ330" s="19"/>
      <c r="AK330" s="19"/>
      <c r="AL330" s="19"/>
      <c r="AM330" s="19"/>
      <c r="AN330" s="19"/>
      <c r="AO330" s="19"/>
      <c r="AP330" s="19"/>
      <c r="AQ330" s="19"/>
      <c r="AR330" s="19"/>
      <c r="AS330" s="19"/>
      <c r="AT330" s="19"/>
      <c r="AU330" s="19"/>
      <c r="AV330" s="19"/>
      <c r="AW330" s="19"/>
      <c r="AX330" s="19"/>
      <c r="AY330" s="19"/>
      <c r="AZ330" s="19"/>
      <c r="BA330" s="19"/>
      <c r="BB330" s="19"/>
      <c r="BC330" s="19"/>
      <c r="BD330" s="19"/>
      <c r="BE330" s="19"/>
      <c r="BF330" s="19"/>
      <c r="BG330" s="19"/>
      <c r="BH330" s="19"/>
      <c r="BI330" s="19"/>
      <c r="BJ330" s="19"/>
      <c r="BK330" s="19"/>
      <c r="BL330" s="19"/>
      <c r="BM330" s="19"/>
      <c r="BN330" s="19"/>
      <c r="BO330" s="19"/>
      <c r="BP330" s="19"/>
      <c r="BQ330" s="19"/>
      <c r="BR330" s="19"/>
      <c r="BS330" s="19"/>
      <c r="BT330" s="19"/>
      <c r="BU330" s="19"/>
      <c r="BV330" s="19"/>
      <c r="BW330" s="19"/>
      <c r="BX330" s="19"/>
      <c r="BY330" s="19"/>
      <c r="BZ330" s="19"/>
      <c r="CA330" s="19"/>
      <c r="CB330" s="19"/>
      <c r="CC330" s="19"/>
      <c r="CD330" s="19"/>
      <c r="CE330" s="19"/>
      <c r="CF330" s="6"/>
    </row>
    <row r="331" spans="1:84">
      <c r="A331" s="17"/>
      <c r="B331" s="17"/>
      <c r="C331" s="17"/>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9"/>
      <c r="AB331" s="19"/>
      <c r="AC331" s="19"/>
      <c r="AD331" s="19"/>
      <c r="AE331" s="19"/>
      <c r="AF331" s="19"/>
      <c r="AG331" s="19"/>
      <c r="AH331" s="19"/>
      <c r="AI331" s="19"/>
      <c r="AJ331" s="19"/>
      <c r="AK331" s="19"/>
      <c r="AL331" s="19"/>
      <c r="AM331" s="19"/>
      <c r="AN331" s="19"/>
      <c r="AO331" s="19"/>
      <c r="AP331" s="19"/>
      <c r="AQ331" s="19"/>
      <c r="AR331" s="19"/>
      <c r="AS331" s="19"/>
      <c r="AT331" s="19"/>
      <c r="AU331" s="19"/>
      <c r="AV331" s="19"/>
      <c r="AW331" s="19"/>
      <c r="AX331" s="19"/>
      <c r="AY331" s="19"/>
      <c r="AZ331" s="19"/>
      <c r="BA331" s="19"/>
      <c r="BB331" s="19"/>
      <c r="BC331" s="19"/>
      <c r="BD331" s="19"/>
      <c r="BE331" s="19"/>
      <c r="BF331" s="19"/>
      <c r="BG331" s="19"/>
      <c r="BH331" s="19"/>
      <c r="BI331" s="19"/>
      <c r="BJ331" s="19"/>
      <c r="BK331" s="19"/>
      <c r="BL331" s="19"/>
      <c r="BM331" s="19"/>
      <c r="BN331" s="19"/>
      <c r="BO331" s="19"/>
      <c r="BP331" s="19"/>
      <c r="BQ331" s="19"/>
      <c r="BR331" s="19"/>
      <c r="BS331" s="19"/>
      <c r="BT331" s="19"/>
      <c r="BU331" s="19"/>
      <c r="BV331" s="19"/>
      <c r="BW331" s="19"/>
      <c r="BX331" s="19"/>
      <c r="BY331" s="19"/>
      <c r="BZ331" s="19"/>
      <c r="CA331" s="19"/>
      <c r="CB331" s="19"/>
      <c r="CC331" s="19"/>
      <c r="CD331" s="19"/>
      <c r="CE331" s="19"/>
      <c r="CF331" s="6"/>
    </row>
    <row r="332" spans="1:84">
      <c r="A332" s="17"/>
      <c r="B332" s="17"/>
      <c r="C332" s="17"/>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9"/>
      <c r="AB332" s="19"/>
      <c r="AC332" s="19"/>
      <c r="AD332" s="19"/>
      <c r="AE332" s="19"/>
      <c r="AF332" s="19"/>
      <c r="AG332" s="19"/>
      <c r="AH332" s="19"/>
      <c r="AI332" s="19"/>
      <c r="AJ332" s="19"/>
      <c r="AK332" s="19"/>
      <c r="AL332" s="19"/>
      <c r="AM332" s="19"/>
      <c r="AN332" s="19"/>
      <c r="AO332" s="19"/>
      <c r="AP332" s="19"/>
      <c r="AQ332" s="19"/>
      <c r="AR332" s="19"/>
      <c r="AS332" s="19"/>
      <c r="AT332" s="19"/>
      <c r="AU332" s="19"/>
      <c r="AV332" s="19"/>
      <c r="AW332" s="19"/>
      <c r="AX332" s="19"/>
      <c r="AY332" s="19"/>
      <c r="AZ332" s="19"/>
      <c r="BA332" s="19"/>
      <c r="BB332" s="19"/>
      <c r="BC332" s="19"/>
      <c r="BD332" s="19"/>
      <c r="BE332" s="19"/>
      <c r="BF332" s="19"/>
      <c r="BG332" s="19"/>
      <c r="BH332" s="19"/>
      <c r="BI332" s="19"/>
      <c r="BJ332" s="19"/>
      <c r="BK332" s="19"/>
      <c r="BL332" s="19"/>
      <c r="BM332" s="19"/>
      <c r="BN332" s="19"/>
      <c r="BO332" s="19"/>
      <c r="BP332" s="19"/>
      <c r="BQ332" s="19"/>
      <c r="BR332" s="19"/>
      <c r="BS332" s="19"/>
      <c r="BT332" s="19"/>
      <c r="BU332" s="19"/>
      <c r="BV332" s="19"/>
      <c r="BW332" s="19"/>
      <c r="BX332" s="19"/>
      <c r="BY332" s="19"/>
      <c r="BZ332" s="19"/>
      <c r="CA332" s="19"/>
      <c r="CB332" s="19"/>
      <c r="CC332" s="19"/>
      <c r="CD332" s="19"/>
      <c r="CE332" s="19"/>
      <c r="CF332" s="6"/>
    </row>
    <row r="333" spans="1:84">
      <c r="A333" s="17"/>
      <c r="B333" s="17"/>
      <c r="C333" s="17"/>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9"/>
      <c r="AB333" s="19"/>
      <c r="AC333" s="19"/>
      <c r="AD333" s="19"/>
      <c r="AE333" s="19"/>
      <c r="AF333" s="19"/>
      <c r="AG333" s="19"/>
      <c r="AH333" s="19"/>
      <c r="AI333" s="19"/>
      <c r="AJ333" s="19"/>
      <c r="AK333" s="19"/>
      <c r="AL333" s="19"/>
      <c r="AM333" s="19"/>
      <c r="AN333" s="19"/>
      <c r="AO333" s="19"/>
      <c r="AP333" s="19"/>
      <c r="AQ333" s="19"/>
      <c r="AR333" s="19"/>
      <c r="AS333" s="19"/>
      <c r="AT333" s="19"/>
      <c r="AU333" s="19"/>
      <c r="AV333" s="19"/>
      <c r="AW333" s="19"/>
      <c r="AX333" s="19"/>
      <c r="AY333" s="19"/>
      <c r="AZ333" s="19"/>
      <c r="BA333" s="19"/>
      <c r="BB333" s="19"/>
      <c r="BC333" s="19"/>
      <c r="BD333" s="19"/>
      <c r="BE333" s="19"/>
      <c r="BF333" s="19"/>
      <c r="BG333" s="19"/>
      <c r="BH333" s="19"/>
      <c r="BI333" s="19"/>
      <c r="BJ333" s="19"/>
      <c r="BK333" s="19"/>
      <c r="BL333" s="19"/>
      <c r="BM333" s="19"/>
      <c r="BN333" s="19"/>
      <c r="BO333" s="19"/>
      <c r="BP333" s="19"/>
      <c r="BQ333" s="19"/>
      <c r="BR333" s="19"/>
      <c r="BS333" s="19"/>
      <c r="BT333" s="19"/>
      <c r="BU333" s="19"/>
      <c r="BV333" s="19"/>
      <c r="BW333" s="19"/>
      <c r="BX333" s="19"/>
      <c r="BY333" s="19"/>
      <c r="BZ333" s="19"/>
      <c r="CA333" s="19"/>
      <c r="CB333" s="19"/>
      <c r="CC333" s="19"/>
      <c r="CD333" s="19"/>
      <c r="CE333" s="19"/>
      <c r="CF333" s="6"/>
    </row>
    <row r="334" spans="1:84">
      <c r="D334" s="6"/>
      <c r="E334" s="6"/>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6"/>
      <c r="AZ334" s="6"/>
      <c r="BA334" s="6"/>
      <c r="BB334" s="6"/>
      <c r="BC334" s="6"/>
      <c r="BD334" s="6"/>
      <c r="BE334" s="6"/>
      <c r="BF334" s="6"/>
      <c r="BG334" s="6"/>
      <c r="BH334" s="6"/>
      <c r="BI334" s="6"/>
      <c r="BJ334" s="6"/>
      <c r="BK334" s="6"/>
      <c r="BL334" s="6"/>
      <c r="BM334" s="6"/>
      <c r="BN334" s="6"/>
      <c r="BO334" s="6"/>
      <c r="BP334" s="6"/>
      <c r="BQ334" s="6"/>
      <c r="BR334" s="6"/>
      <c r="BS334" s="6"/>
      <c r="BT334" s="6"/>
      <c r="BU334" s="6"/>
      <c r="BV334" s="6"/>
      <c r="BW334" s="6"/>
      <c r="BX334" s="6"/>
      <c r="BY334" s="6"/>
      <c r="BZ334" s="6"/>
      <c r="CA334" s="6"/>
      <c r="CB334" s="6"/>
      <c r="CC334" s="6"/>
      <c r="CD334" s="6"/>
      <c r="CE334" s="6"/>
      <c r="CF334" s="6"/>
    </row>
    <row r="335" spans="1:84">
      <c r="D335" s="6"/>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6"/>
      <c r="AZ335" s="6"/>
      <c r="BA335" s="6"/>
      <c r="BB335" s="6"/>
      <c r="BC335" s="6"/>
      <c r="BD335" s="6"/>
      <c r="BE335" s="6"/>
      <c r="BF335" s="6"/>
      <c r="BG335" s="6"/>
      <c r="BH335" s="6"/>
      <c r="BI335" s="6"/>
      <c r="BJ335" s="6"/>
      <c r="BK335" s="6"/>
      <c r="BL335" s="6"/>
      <c r="BM335" s="6"/>
      <c r="BN335" s="6"/>
      <c r="BO335" s="6"/>
      <c r="BP335" s="6"/>
      <c r="BQ335" s="6"/>
      <c r="BR335" s="6"/>
      <c r="BS335" s="6"/>
      <c r="BT335" s="6"/>
      <c r="BU335" s="6"/>
      <c r="BV335" s="6"/>
      <c r="BW335" s="6"/>
      <c r="BX335" s="6"/>
      <c r="BY335" s="6"/>
      <c r="BZ335" s="6"/>
      <c r="CA335" s="6"/>
      <c r="CB335" s="6"/>
      <c r="CC335" s="6"/>
      <c r="CD335" s="6"/>
      <c r="CE335" s="6"/>
      <c r="CF335" s="6"/>
    </row>
    <row r="336" spans="1:84">
      <c r="D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c r="AZ336" s="6"/>
      <c r="BA336" s="6"/>
      <c r="BB336" s="6"/>
      <c r="BC336" s="6"/>
      <c r="BD336" s="6"/>
      <c r="BE336" s="6"/>
      <c r="BF336" s="6"/>
      <c r="BG336" s="6"/>
      <c r="BH336" s="6"/>
      <c r="BI336" s="6"/>
      <c r="BJ336" s="6"/>
      <c r="BK336" s="6"/>
      <c r="BL336" s="6"/>
      <c r="BM336" s="6"/>
      <c r="BN336" s="6"/>
      <c r="BO336" s="6"/>
      <c r="BP336" s="6"/>
      <c r="BQ336" s="6"/>
      <c r="BR336" s="6"/>
      <c r="BS336" s="6"/>
      <c r="BT336" s="6"/>
      <c r="BU336" s="6"/>
      <c r="BV336" s="6"/>
      <c r="BW336" s="6"/>
      <c r="BX336" s="6"/>
      <c r="BY336" s="6"/>
      <c r="BZ336" s="6"/>
      <c r="CA336" s="6"/>
      <c r="CB336" s="6"/>
      <c r="CC336" s="6"/>
      <c r="CD336" s="6"/>
      <c r="CE336" s="6"/>
      <c r="CF336" s="6"/>
    </row>
    <row r="337" spans="4:84">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c r="AZ337" s="6"/>
      <c r="BA337" s="6"/>
      <c r="BB337" s="6"/>
      <c r="BC337" s="6"/>
      <c r="BD337" s="6"/>
      <c r="BE337" s="6"/>
      <c r="BF337" s="6"/>
      <c r="BG337" s="6"/>
      <c r="BH337" s="6"/>
      <c r="BI337" s="6"/>
      <c r="BJ337" s="6"/>
      <c r="BK337" s="6"/>
      <c r="BL337" s="6"/>
      <c r="BM337" s="6"/>
      <c r="BN337" s="6"/>
      <c r="BO337" s="6"/>
      <c r="BP337" s="6"/>
      <c r="BQ337" s="6"/>
      <c r="BR337" s="6"/>
      <c r="BS337" s="6"/>
      <c r="BT337" s="6"/>
      <c r="BU337" s="6"/>
      <c r="BV337" s="6"/>
      <c r="BW337" s="6"/>
      <c r="BX337" s="6"/>
      <c r="BY337" s="6"/>
      <c r="BZ337" s="6"/>
      <c r="CA337" s="6"/>
      <c r="CB337" s="6"/>
      <c r="CC337" s="6"/>
      <c r="CD337" s="6"/>
      <c r="CE337" s="6"/>
      <c r="CF337" s="6"/>
    </row>
    <row r="338" spans="4:84">
      <c r="D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c r="AZ338" s="6"/>
      <c r="BA338" s="6"/>
      <c r="BB338" s="6"/>
      <c r="BC338" s="6"/>
      <c r="BD338" s="6"/>
      <c r="BE338" s="6"/>
      <c r="BF338" s="6"/>
      <c r="BG338" s="6"/>
      <c r="BH338" s="6"/>
      <c r="BI338" s="6"/>
      <c r="BJ338" s="6"/>
      <c r="BK338" s="6"/>
      <c r="BL338" s="6"/>
      <c r="BM338" s="6"/>
      <c r="BN338" s="6"/>
      <c r="BO338" s="6"/>
      <c r="BP338" s="6"/>
      <c r="BQ338" s="6"/>
      <c r="BR338" s="6"/>
      <c r="BS338" s="6"/>
      <c r="BT338" s="6"/>
      <c r="BU338" s="6"/>
      <c r="BV338" s="6"/>
      <c r="BW338" s="6"/>
      <c r="BX338" s="6"/>
      <c r="BY338" s="6"/>
      <c r="BZ338" s="6"/>
      <c r="CA338" s="6"/>
      <c r="CB338" s="6"/>
      <c r="CC338" s="6"/>
      <c r="CD338" s="6"/>
      <c r="CE338" s="6"/>
      <c r="CF338" s="6"/>
    </row>
    <row r="339" spans="4:84">
      <c r="D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c r="AZ339" s="6"/>
      <c r="BA339" s="6"/>
      <c r="BB339" s="6"/>
      <c r="BC339" s="6"/>
      <c r="BD339" s="6"/>
      <c r="BE339" s="6"/>
      <c r="BF339" s="6"/>
      <c r="BG339" s="6"/>
      <c r="BH339" s="6"/>
      <c r="BI339" s="6"/>
      <c r="BJ339" s="6"/>
      <c r="BK339" s="6"/>
      <c r="BL339" s="6"/>
      <c r="BM339" s="6"/>
      <c r="BN339" s="6"/>
      <c r="BO339" s="6"/>
      <c r="BP339" s="6"/>
      <c r="BQ339" s="6"/>
      <c r="BR339" s="6"/>
      <c r="BS339" s="6"/>
      <c r="BT339" s="6"/>
      <c r="BU339" s="6"/>
      <c r="BV339" s="6"/>
      <c r="BW339" s="6"/>
      <c r="BX339" s="6"/>
      <c r="BY339" s="6"/>
      <c r="BZ339" s="6"/>
      <c r="CA339" s="6"/>
      <c r="CB339" s="6"/>
      <c r="CC339" s="6"/>
      <c r="CD339" s="6"/>
      <c r="CE339" s="6"/>
      <c r="CF339" s="6"/>
    </row>
    <row r="340" spans="4:84">
      <c r="D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c r="AZ340" s="6"/>
      <c r="BA340" s="6"/>
      <c r="BB340" s="6"/>
      <c r="BC340" s="6"/>
      <c r="BD340" s="6"/>
      <c r="BE340" s="6"/>
      <c r="BF340" s="6"/>
      <c r="BG340" s="6"/>
      <c r="BH340" s="6"/>
      <c r="BI340" s="6"/>
      <c r="BJ340" s="6"/>
      <c r="BK340" s="6"/>
      <c r="BL340" s="6"/>
      <c r="BM340" s="6"/>
      <c r="BN340" s="6"/>
      <c r="BO340" s="6"/>
      <c r="BP340" s="6"/>
      <c r="BQ340" s="6"/>
      <c r="BR340" s="6"/>
      <c r="BS340" s="6"/>
      <c r="BT340" s="6"/>
      <c r="BU340" s="6"/>
      <c r="BV340" s="6"/>
      <c r="BW340" s="6"/>
      <c r="BX340" s="6"/>
      <c r="BY340" s="6"/>
      <c r="BZ340" s="6"/>
      <c r="CA340" s="6"/>
      <c r="CB340" s="6"/>
      <c r="CC340" s="6"/>
      <c r="CD340" s="6"/>
      <c r="CE340" s="6"/>
      <c r="CF340" s="6"/>
    </row>
    <row r="341" spans="4:84">
      <c r="D341" s="6"/>
      <c r="E341" s="6"/>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6"/>
      <c r="AZ341" s="6"/>
      <c r="BA341" s="6"/>
      <c r="BB341" s="6"/>
      <c r="BC341" s="6"/>
      <c r="BD341" s="6"/>
      <c r="BE341" s="6"/>
      <c r="BF341" s="6"/>
      <c r="BG341" s="6"/>
      <c r="BH341" s="6"/>
      <c r="BI341" s="6"/>
      <c r="BJ341" s="6"/>
      <c r="BK341" s="6"/>
      <c r="BL341" s="6"/>
      <c r="BM341" s="6"/>
      <c r="BN341" s="6"/>
      <c r="BO341" s="6"/>
      <c r="BP341" s="6"/>
      <c r="BQ341" s="6"/>
      <c r="BR341" s="6"/>
      <c r="BS341" s="6"/>
      <c r="BT341" s="6"/>
      <c r="BU341" s="6"/>
      <c r="BV341" s="6"/>
      <c r="BW341" s="6"/>
      <c r="BX341" s="6"/>
      <c r="BY341" s="6"/>
      <c r="BZ341" s="6"/>
      <c r="CA341" s="6"/>
      <c r="CB341" s="6"/>
      <c r="CC341" s="6"/>
      <c r="CD341" s="6"/>
      <c r="CE341" s="6"/>
      <c r="CF341" s="6"/>
    </row>
    <row r="342" spans="4:84">
      <c r="D342" s="6"/>
      <c r="E342" s="6"/>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6"/>
      <c r="AZ342" s="6"/>
      <c r="BA342" s="6"/>
      <c r="BB342" s="6"/>
      <c r="BC342" s="6"/>
      <c r="BD342" s="6"/>
      <c r="BE342" s="6"/>
      <c r="BF342" s="6"/>
      <c r="BG342" s="6"/>
      <c r="BH342" s="6"/>
      <c r="BI342" s="6"/>
      <c r="BJ342" s="6"/>
      <c r="BK342" s="6"/>
      <c r="BL342" s="6"/>
      <c r="BM342" s="6"/>
      <c r="BN342" s="6"/>
      <c r="BO342" s="6"/>
      <c r="BP342" s="6"/>
      <c r="BQ342" s="6"/>
      <c r="BR342" s="6"/>
      <c r="BS342" s="6"/>
      <c r="BT342" s="6"/>
      <c r="BU342" s="6"/>
      <c r="BV342" s="6"/>
      <c r="BW342" s="6"/>
      <c r="BX342" s="6"/>
      <c r="BY342" s="6"/>
      <c r="BZ342" s="6"/>
      <c r="CA342" s="6"/>
      <c r="CB342" s="6"/>
      <c r="CC342" s="6"/>
      <c r="CD342" s="6"/>
      <c r="CE342" s="6"/>
      <c r="CF342" s="6"/>
    </row>
    <row r="343" spans="4:84">
      <c r="D343" s="6"/>
      <c r="E343" s="6"/>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6"/>
      <c r="AZ343" s="6"/>
      <c r="BA343" s="6"/>
      <c r="BB343" s="6"/>
      <c r="BC343" s="6"/>
      <c r="BD343" s="6"/>
      <c r="BE343" s="6"/>
      <c r="BF343" s="6"/>
      <c r="BG343" s="6"/>
      <c r="BH343" s="6"/>
      <c r="BI343" s="6"/>
      <c r="BJ343" s="6"/>
      <c r="BK343" s="6"/>
      <c r="BL343" s="6"/>
      <c r="BM343" s="6"/>
      <c r="BN343" s="6"/>
      <c r="BO343" s="6"/>
      <c r="BP343" s="6"/>
      <c r="BQ343" s="6"/>
      <c r="BR343" s="6"/>
      <c r="BS343" s="6"/>
      <c r="BT343" s="6"/>
      <c r="BU343" s="6"/>
      <c r="BV343" s="6"/>
      <c r="BW343" s="6"/>
      <c r="BX343" s="6"/>
      <c r="BY343" s="6"/>
      <c r="BZ343" s="6"/>
      <c r="CA343" s="6"/>
      <c r="CB343" s="6"/>
      <c r="CC343" s="6"/>
      <c r="CD343" s="6"/>
      <c r="CE343" s="6"/>
      <c r="CF343" s="6"/>
    </row>
    <row r="344" spans="4:84">
      <c r="D344" s="6"/>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c r="AZ344" s="6"/>
      <c r="BA344" s="6"/>
      <c r="BB344" s="6"/>
      <c r="BC344" s="6"/>
      <c r="BD344" s="6"/>
      <c r="BE344" s="6"/>
      <c r="BF344" s="6"/>
      <c r="BG344" s="6"/>
      <c r="BH344" s="6"/>
      <c r="BI344" s="6"/>
      <c r="BJ344" s="6"/>
      <c r="BK344" s="6"/>
      <c r="BL344" s="6"/>
      <c r="BM344" s="6"/>
      <c r="BN344" s="6"/>
      <c r="BO344" s="6"/>
      <c r="BP344" s="6"/>
      <c r="BQ344" s="6"/>
      <c r="BR344" s="6"/>
      <c r="BS344" s="6"/>
      <c r="BT344" s="6"/>
      <c r="BU344" s="6"/>
      <c r="BV344" s="6"/>
      <c r="BW344" s="6"/>
      <c r="BX344" s="6"/>
      <c r="BY344" s="6"/>
      <c r="BZ344" s="6"/>
      <c r="CA344" s="6"/>
      <c r="CB344" s="6"/>
      <c r="CC344" s="6"/>
      <c r="CD344" s="6"/>
      <c r="CE344" s="6"/>
      <c r="CF344" s="6"/>
    </row>
    <row r="345" spans="4:84">
      <c r="D345" s="6"/>
      <c r="E345" s="6"/>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c r="AZ345" s="6"/>
      <c r="BA345" s="6"/>
      <c r="BB345" s="6"/>
      <c r="BC345" s="6"/>
      <c r="BD345" s="6"/>
      <c r="BE345" s="6"/>
      <c r="BF345" s="6"/>
      <c r="BG345" s="6"/>
      <c r="BH345" s="6"/>
      <c r="BI345" s="6"/>
      <c r="BJ345" s="6"/>
      <c r="BK345" s="6"/>
      <c r="BL345" s="6"/>
      <c r="BM345" s="6"/>
      <c r="BN345" s="6"/>
      <c r="BO345" s="6"/>
      <c r="BP345" s="6"/>
      <c r="BQ345" s="6"/>
      <c r="BR345" s="6"/>
      <c r="BS345" s="6"/>
      <c r="BT345" s="6"/>
      <c r="BU345" s="6"/>
      <c r="BV345" s="6"/>
      <c r="BW345" s="6"/>
      <c r="BX345" s="6"/>
      <c r="BY345" s="6"/>
      <c r="BZ345" s="6"/>
      <c r="CA345" s="6"/>
      <c r="CB345" s="6"/>
      <c r="CC345" s="6"/>
      <c r="CD345" s="6"/>
      <c r="CE345" s="6"/>
      <c r="CF345" s="6"/>
    </row>
    <row r="346" spans="4:84">
      <c r="D346" s="6"/>
      <c r="E346" s="6"/>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6"/>
      <c r="AZ346" s="6"/>
      <c r="BA346" s="6"/>
      <c r="BB346" s="6"/>
      <c r="BC346" s="6"/>
      <c r="BD346" s="6"/>
      <c r="BE346" s="6"/>
      <c r="BF346" s="6"/>
      <c r="BG346" s="6"/>
      <c r="BH346" s="6"/>
      <c r="BI346" s="6"/>
      <c r="BJ346" s="6"/>
      <c r="BK346" s="6"/>
      <c r="BL346" s="6"/>
      <c r="BM346" s="6"/>
      <c r="BN346" s="6"/>
      <c r="BO346" s="6"/>
      <c r="BP346" s="6"/>
      <c r="BQ346" s="6"/>
      <c r="BR346" s="6"/>
      <c r="BS346" s="6"/>
      <c r="BT346" s="6"/>
      <c r="BU346" s="6"/>
      <c r="BV346" s="6"/>
      <c r="BW346" s="6"/>
      <c r="BX346" s="6"/>
      <c r="BY346" s="6"/>
      <c r="BZ346" s="6"/>
      <c r="CA346" s="6"/>
      <c r="CB346" s="6"/>
      <c r="CC346" s="6"/>
      <c r="CD346" s="6"/>
      <c r="CE346" s="6"/>
      <c r="CF346" s="6"/>
    </row>
    <row r="347" spans="4:84">
      <c r="D347" s="6"/>
      <c r="E347" s="6"/>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c r="AZ347" s="6"/>
      <c r="BA347" s="6"/>
      <c r="BB347" s="6"/>
      <c r="BC347" s="6"/>
      <c r="BD347" s="6"/>
      <c r="BE347" s="6"/>
      <c r="BF347" s="6"/>
      <c r="BG347" s="6"/>
      <c r="BH347" s="6"/>
      <c r="BI347" s="6"/>
      <c r="BJ347" s="6"/>
      <c r="BK347" s="6"/>
      <c r="BL347" s="6"/>
      <c r="BM347" s="6"/>
      <c r="BN347" s="6"/>
      <c r="BO347" s="6"/>
      <c r="BP347" s="6"/>
      <c r="BQ347" s="6"/>
      <c r="BR347" s="6"/>
      <c r="BS347" s="6"/>
      <c r="BT347" s="6"/>
      <c r="BU347" s="6"/>
      <c r="BV347" s="6"/>
      <c r="BW347" s="6"/>
      <c r="BX347" s="6"/>
      <c r="BY347" s="6"/>
      <c r="BZ347" s="6"/>
      <c r="CA347" s="6"/>
      <c r="CB347" s="6"/>
      <c r="CC347" s="6"/>
      <c r="CD347" s="6"/>
      <c r="CE347" s="6"/>
      <c r="CF347" s="6"/>
    </row>
    <row r="348" spans="4:84">
      <c r="D348" s="6"/>
      <c r="E348" s="6"/>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6"/>
      <c r="AZ348" s="6"/>
      <c r="BA348" s="6"/>
      <c r="BB348" s="6"/>
      <c r="BC348" s="6"/>
      <c r="BD348" s="6"/>
      <c r="BE348" s="6"/>
      <c r="BF348" s="6"/>
      <c r="BG348" s="6"/>
      <c r="BH348" s="6"/>
      <c r="BI348" s="6"/>
      <c r="BJ348" s="6"/>
      <c r="BK348" s="6"/>
      <c r="BL348" s="6"/>
      <c r="BM348" s="6"/>
      <c r="BN348" s="6"/>
      <c r="BO348" s="6"/>
      <c r="BP348" s="6"/>
      <c r="BQ348" s="6"/>
      <c r="BR348" s="6"/>
      <c r="BS348" s="6"/>
      <c r="BT348" s="6"/>
      <c r="BU348" s="6"/>
      <c r="BV348" s="6"/>
      <c r="BW348" s="6"/>
      <c r="BX348" s="6"/>
      <c r="BY348" s="6"/>
      <c r="BZ348" s="6"/>
      <c r="CA348" s="6"/>
      <c r="CB348" s="6"/>
      <c r="CC348" s="6"/>
      <c r="CD348" s="6"/>
      <c r="CE348" s="6"/>
      <c r="CF348" s="6"/>
    </row>
    <row r="349" spans="4:84">
      <c r="D349" s="6"/>
      <c r="E349" s="6"/>
      <c r="F349" s="6"/>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c r="AZ349" s="6"/>
      <c r="BA349" s="6"/>
      <c r="BB349" s="6"/>
      <c r="BC349" s="6"/>
      <c r="BD349" s="6"/>
      <c r="BE349" s="6"/>
      <c r="BF349" s="6"/>
      <c r="BG349" s="6"/>
      <c r="BH349" s="6"/>
      <c r="BI349" s="6"/>
      <c r="BJ349" s="6"/>
      <c r="BK349" s="6"/>
      <c r="BL349" s="6"/>
      <c r="BM349" s="6"/>
      <c r="BN349" s="6"/>
      <c r="BO349" s="6"/>
      <c r="BP349" s="6"/>
      <c r="BQ349" s="6"/>
      <c r="BR349" s="6"/>
      <c r="BS349" s="6"/>
      <c r="BT349" s="6"/>
      <c r="BU349" s="6"/>
      <c r="BV349" s="6"/>
      <c r="BW349" s="6"/>
      <c r="BX349" s="6"/>
      <c r="BY349" s="6"/>
      <c r="BZ349" s="6"/>
      <c r="CA349" s="6"/>
      <c r="CB349" s="6"/>
      <c r="CC349" s="6"/>
      <c r="CD349" s="6"/>
      <c r="CE349" s="6"/>
      <c r="CF349" s="6"/>
    </row>
    <row r="350" spans="4:84">
      <c r="D350" s="6"/>
      <c r="E350" s="6"/>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c r="AZ350" s="6"/>
      <c r="BA350" s="6"/>
      <c r="BB350" s="6"/>
      <c r="BC350" s="6"/>
      <c r="BD350" s="6"/>
      <c r="BE350" s="6"/>
      <c r="BF350" s="6"/>
      <c r="BG350" s="6"/>
      <c r="BH350" s="6"/>
      <c r="BI350" s="6"/>
      <c r="BJ350" s="6"/>
      <c r="BK350" s="6"/>
      <c r="BL350" s="6"/>
      <c r="BM350" s="6"/>
      <c r="BN350" s="6"/>
      <c r="BO350" s="6"/>
      <c r="BP350" s="6"/>
      <c r="BQ350" s="6"/>
      <c r="BR350" s="6"/>
      <c r="BS350" s="6"/>
      <c r="BT350" s="6"/>
      <c r="BU350" s="6"/>
      <c r="BV350" s="6"/>
      <c r="BW350" s="6"/>
      <c r="BX350" s="6"/>
      <c r="BY350" s="6"/>
      <c r="BZ350" s="6"/>
      <c r="CA350" s="6"/>
      <c r="CB350" s="6"/>
      <c r="CC350" s="6"/>
      <c r="CD350" s="6"/>
      <c r="CE350" s="6"/>
      <c r="CF350" s="6"/>
    </row>
    <row r="351" spans="4:84">
      <c r="D351" s="6"/>
      <c r="E351" s="6"/>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6"/>
      <c r="AZ351" s="6"/>
      <c r="BA351" s="6"/>
      <c r="BB351" s="6"/>
      <c r="BC351" s="6"/>
      <c r="BD351" s="6"/>
      <c r="BE351" s="6"/>
      <c r="BF351" s="6"/>
      <c r="BG351" s="6"/>
      <c r="BH351" s="6"/>
      <c r="BI351" s="6"/>
      <c r="BJ351" s="6"/>
      <c r="BK351" s="6"/>
      <c r="BL351" s="6"/>
      <c r="BM351" s="6"/>
      <c r="BN351" s="6"/>
      <c r="BO351" s="6"/>
      <c r="BP351" s="6"/>
      <c r="BQ351" s="6"/>
      <c r="BR351" s="6"/>
      <c r="BS351" s="6"/>
      <c r="BT351" s="6"/>
      <c r="BU351" s="6"/>
      <c r="BV351" s="6"/>
      <c r="BW351" s="6"/>
      <c r="BX351" s="6"/>
      <c r="BY351" s="6"/>
      <c r="BZ351" s="6"/>
      <c r="CA351" s="6"/>
      <c r="CB351" s="6"/>
      <c r="CC351" s="6"/>
      <c r="CD351" s="6"/>
      <c r="CE351" s="6"/>
      <c r="CF351" s="6"/>
    </row>
    <row r="352" spans="4:84">
      <c r="D352" s="6"/>
      <c r="E352" s="6"/>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c r="AZ352" s="6"/>
      <c r="BA352" s="6"/>
      <c r="BB352" s="6"/>
      <c r="BC352" s="6"/>
      <c r="BD352" s="6"/>
      <c r="BE352" s="6"/>
      <c r="BF352" s="6"/>
      <c r="BG352" s="6"/>
      <c r="BH352" s="6"/>
      <c r="BI352" s="6"/>
      <c r="BJ352" s="6"/>
      <c r="BK352" s="6"/>
      <c r="BL352" s="6"/>
      <c r="BM352" s="6"/>
      <c r="BN352" s="6"/>
      <c r="BO352" s="6"/>
      <c r="BP352" s="6"/>
      <c r="BQ352" s="6"/>
      <c r="BR352" s="6"/>
      <c r="BS352" s="6"/>
      <c r="BT352" s="6"/>
      <c r="BU352" s="6"/>
      <c r="BV352" s="6"/>
      <c r="BW352" s="6"/>
      <c r="BX352" s="6"/>
      <c r="BY352" s="6"/>
      <c r="BZ352" s="6"/>
      <c r="CA352" s="6"/>
      <c r="CB352" s="6"/>
      <c r="CC352" s="6"/>
      <c r="CD352" s="6"/>
      <c r="CE352" s="6"/>
      <c r="CF352" s="6"/>
    </row>
    <row r="353" spans="4:84">
      <c r="D353" s="6"/>
      <c r="E353" s="6"/>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c r="AZ353" s="6"/>
      <c r="BA353" s="6"/>
      <c r="BB353" s="6"/>
      <c r="BC353" s="6"/>
      <c r="BD353" s="6"/>
      <c r="BE353" s="6"/>
      <c r="BF353" s="6"/>
      <c r="BG353" s="6"/>
      <c r="BH353" s="6"/>
      <c r="BI353" s="6"/>
      <c r="BJ353" s="6"/>
      <c r="BK353" s="6"/>
      <c r="BL353" s="6"/>
      <c r="BM353" s="6"/>
      <c r="BN353" s="6"/>
      <c r="BO353" s="6"/>
      <c r="BP353" s="6"/>
      <c r="BQ353" s="6"/>
      <c r="BR353" s="6"/>
      <c r="BS353" s="6"/>
      <c r="BT353" s="6"/>
      <c r="BU353" s="6"/>
      <c r="BV353" s="6"/>
      <c r="BW353" s="6"/>
      <c r="BX353" s="6"/>
      <c r="BY353" s="6"/>
      <c r="BZ353" s="6"/>
      <c r="CA353" s="6"/>
      <c r="CB353" s="6"/>
      <c r="CC353" s="6"/>
      <c r="CD353" s="6"/>
      <c r="CE353" s="6"/>
      <c r="CF353" s="6"/>
    </row>
    <row r="354" spans="4:84">
      <c r="D354" s="6"/>
      <c r="E354" s="6"/>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6"/>
      <c r="AZ354" s="6"/>
      <c r="BA354" s="6"/>
      <c r="BB354" s="6"/>
      <c r="BC354" s="6"/>
      <c r="BD354" s="6"/>
      <c r="BE354" s="6"/>
      <c r="BF354" s="6"/>
      <c r="BG354" s="6"/>
      <c r="BH354" s="6"/>
      <c r="BI354" s="6"/>
      <c r="BJ354" s="6"/>
      <c r="BK354" s="6"/>
      <c r="BL354" s="6"/>
      <c r="BM354" s="6"/>
      <c r="BN354" s="6"/>
      <c r="BO354" s="6"/>
      <c r="BP354" s="6"/>
      <c r="BQ354" s="6"/>
      <c r="BR354" s="6"/>
      <c r="BS354" s="6"/>
      <c r="BT354" s="6"/>
      <c r="BU354" s="6"/>
      <c r="BV354" s="6"/>
      <c r="BW354" s="6"/>
      <c r="BX354" s="6"/>
      <c r="BY354" s="6"/>
      <c r="BZ354" s="6"/>
      <c r="CA354" s="6"/>
      <c r="CB354" s="6"/>
      <c r="CC354" s="6"/>
      <c r="CD354" s="6"/>
      <c r="CE354" s="6"/>
      <c r="CF354" s="6"/>
    </row>
    <row r="355" spans="4:84">
      <c r="D355" s="6"/>
      <c r="E355" s="6"/>
      <c r="F355" s="6"/>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6"/>
      <c r="AZ355" s="6"/>
      <c r="BA355" s="6"/>
      <c r="BB355" s="6"/>
      <c r="BC355" s="6"/>
      <c r="BD355" s="6"/>
      <c r="BE355" s="6"/>
      <c r="BF355" s="6"/>
      <c r="BG355" s="6"/>
      <c r="BH355" s="6"/>
      <c r="BI355" s="6"/>
      <c r="BJ355" s="6"/>
      <c r="BK355" s="6"/>
      <c r="BL355" s="6"/>
      <c r="BM355" s="6"/>
      <c r="BN355" s="6"/>
      <c r="BO355" s="6"/>
      <c r="BP355" s="6"/>
      <c r="BQ355" s="6"/>
      <c r="BR355" s="6"/>
      <c r="BS355" s="6"/>
      <c r="BT355" s="6"/>
      <c r="BU355" s="6"/>
      <c r="BV355" s="6"/>
      <c r="BW355" s="6"/>
      <c r="BX355" s="6"/>
      <c r="BY355" s="6"/>
      <c r="BZ355" s="6"/>
      <c r="CA355" s="6"/>
      <c r="CB355" s="6"/>
      <c r="CC355" s="6"/>
      <c r="CD355" s="6"/>
      <c r="CE355" s="6"/>
      <c r="CF355" s="6"/>
    </row>
    <row r="356" spans="4:84">
      <c r="D356" s="6"/>
      <c r="E356" s="6"/>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6"/>
      <c r="AZ356" s="6"/>
      <c r="BA356" s="6"/>
      <c r="BB356" s="6"/>
      <c r="BC356" s="6"/>
      <c r="BD356" s="6"/>
      <c r="BE356" s="6"/>
      <c r="BF356" s="6"/>
      <c r="BG356" s="6"/>
      <c r="BH356" s="6"/>
      <c r="BI356" s="6"/>
      <c r="BJ356" s="6"/>
      <c r="BK356" s="6"/>
      <c r="BL356" s="6"/>
      <c r="BM356" s="6"/>
      <c r="BN356" s="6"/>
      <c r="BO356" s="6"/>
      <c r="BP356" s="6"/>
      <c r="BQ356" s="6"/>
      <c r="BR356" s="6"/>
      <c r="BS356" s="6"/>
      <c r="BT356" s="6"/>
      <c r="BU356" s="6"/>
      <c r="BV356" s="6"/>
      <c r="BW356" s="6"/>
      <c r="BX356" s="6"/>
      <c r="BY356" s="6"/>
      <c r="BZ356" s="6"/>
      <c r="CA356" s="6"/>
      <c r="CB356" s="6"/>
      <c r="CC356" s="6"/>
      <c r="CD356" s="6"/>
      <c r="CE356" s="6"/>
      <c r="CF356" s="6"/>
    </row>
    <row r="357" spans="4:84">
      <c r="D357" s="6"/>
      <c r="E357" s="6"/>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6"/>
      <c r="AZ357" s="6"/>
      <c r="BA357" s="6"/>
      <c r="BB357" s="6"/>
      <c r="BC357" s="6"/>
      <c r="BD357" s="6"/>
      <c r="BE357" s="6"/>
      <c r="BF357" s="6"/>
      <c r="BG357" s="6"/>
      <c r="BH357" s="6"/>
      <c r="BI357" s="6"/>
      <c r="BJ357" s="6"/>
      <c r="BK357" s="6"/>
      <c r="BL357" s="6"/>
      <c r="BM357" s="6"/>
      <c r="BN357" s="6"/>
      <c r="BO357" s="6"/>
      <c r="BP357" s="6"/>
      <c r="BQ357" s="6"/>
      <c r="BR357" s="6"/>
      <c r="BS357" s="6"/>
      <c r="BT357" s="6"/>
      <c r="BU357" s="6"/>
      <c r="BV357" s="6"/>
      <c r="BW357" s="6"/>
      <c r="BX357" s="6"/>
      <c r="BY357" s="6"/>
      <c r="BZ357" s="6"/>
      <c r="CA357" s="6"/>
      <c r="CB357" s="6"/>
      <c r="CC357" s="6"/>
      <c r="CD357" s="6"/>
      <c r="CE357" s="6"/>
      <c r="CF357" s="6"/>
    </row>
    <row r="358" spans="4:84">
      <c r="D358" s="6"/>
      <c r="E358" s="6"/>
      <c r="F358" s="6"/>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6"/>
      <c r="AZ358" s="6"/>
      <c r="BA358" s="6"/>
      <c r="BB358" s="6"/>
      <c r="BC358" s="6"/>
      <c r="BD358" s="6"/>
      <c r="BE358" s="6"/>
      <c r="BF358" s="6"/>
      <c r="BG358" s="6"/>
      <c r="BH358" s="6"/>
      <c r="BI358" s="6"/>
      <c r="BJ358" s="6"/>
      <c r="BK358" s="6"/>
      <c r="BL358" s="6"/>
      <c r="BM358" s="6"/>
      <c r="BN358" s="6"/>
      <c r="BO358" s="6"/>
      <c r="BP358" s="6"/>
      <c r="BQ358" s="6"/>
      <c r="BR358" s="6"/>
      <c r="BS358" s="6"/>
      <c r="BT358" s="6"/>
      <c r="BU358" s="6"/>
      <c r="BV358" s="6"/>
      <c r="BW358" s="6"/>
      <c r="BX358" s="6"/>
      <c r="BY358" s="6"/>
      <c r="BZ358" s="6"/>
      <c r="CA358" s="6"/>
      <c r="CB358" s="6"/>
      <c r="CC358" s="6"/>
      <c r="CD358" s="6"/>
      <c r="CE358" s="6"/>
      <c r="CF358" s="6"/>
    </row>
    <row r="359" spans="4:84">
      <c r="D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c r="AZ359" s="6"/>
      <c r="BA359" s="6"/>
      <c r="BB359" s="6"/>
      <c r="BC359" s="6"/>
      <c r="BD359" s="6"/>
      <c r="BE359" s="6"/>
      <c r="BF359" s="6"/>
      <c r="BG359" s="6"/>
      <c r="BH359" s="6"/>
      <c r="BI359" s="6"/>
      <c r="BJ359" s="6"/>
      <c r="BK359" s="6"/>
      <c r="BL359" s="6"/>
      <c r="BM359" s="6"/>
      <c r="BN359" s="6"/>
      <c r="BO359" s="6"/>
      <c r="BP359" s="6"/>
      <c r="BQ359" s="6"/>
      <c r="BR359" s="6"/>
      <c r="BS359" s="6"/>
      <c r="BT359" s="6"/>
      <c r="BU359" s="6"/>
      <c r="BV359" s="6"/>
      <c r="BW359" s="6"/>
      <c r="BX359" s="6"/>
      <c r="BY359" s="6"/>
      <c r="BZ359" s="6"/>
      <c r="CA359" s="6"/>
      <c r="CB359" s="6"/>
      <c r="CC359" s="6"/>
      <c r="CD359" s="6"/>
      <c r="CE359" s="6"/>
      <c r="CF359" s="6"/>
    </row>
    <row r="360" spans="4:84">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c r="AU360" s="6"/>
      <c r="AV360" s="6"/>
      <c r="AW360" s="6"/>
      <c r="AX360" s="6"/>
      <c r="AY360" s="6"/>
      <c r="AZ360" s="6"/>
      <c r="BA360" s="6"/>
      <c r="BB360" s="6"/>
      <c r="BC360" s="6"/>
      <c r="BD360" s="6"/>
      <c r="BE360" s="6"/>
      <c r="BF360" s="6"/>
      <c r="BG360" s="6"/>
      <c r="BH360" s="6"/>
      <c r="BI360" s="6"/>
      <c r="BJ360" s="6"/>
      <c r="BK360" s="6"/>
      <c r="BL360" s="6"/>
      <c r="BM360" s="6"/>
      <c r="BN360" s="6"/>
      <c r="BO360" s="6"/>
      <c r="BP360" s="6"/>
      <c r="BQ360" s="6"/>
      <c r="BR360" s="6"/>
      <c r="BS360" s="6"/>
      <c r="BT360" s="6"/>
      <c r="BU360" s="6"/>
      <c r="BV360" s="6"/>
      <c r="BW360" s="6"/>
      <c r="BX360" s="6"/>
      <c r="BY360" s="6"/>
      <c r="BZ360" s="6"/>
      <c r="CA360" s="6"/>
      <c r="CB360" s="6"/>
      <c r="CC360" s="6"/>
      <c r="CD360" s="6"/>
      <c r="CE360" s="6"/>
      <c r="CF360" s="6"/>
    </row>
    <row r="361" spans="4:84">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c r="AZ361" s="6"/>
      <c r="BA361" s="6"/>
      <c r="BB361" s="6"/>
      <c r="BC361" s="6"/>
      <c r="BD361" s="6"/>
      <c r="BE361" s="6"/>
      <c r="BF361" s="6"/>
      <c r="BG361" s="6"/>
      <c r="BH361" s="6"/>
      <c r="BI361" s="6"/>
      <c r="BJ361" s="6"/>
      <c r="BK361" s="6"/>
      <c r="BL361" s="6"/>
      <c r="BM361" s="6"/>
      <c r="BN361" s="6"/>
      <c r="BO361" s="6"/>
      <c r="BP361" s="6"/>
      <c r="BQ361" s="6"/>
      <c r="BR361" s="6"/>
      <c r="BS361" s="6"/>
      <c r="BT361" s="6"/>
      <c r="BU361" s="6"/>
      <c r="BV361" s="6"/>
      <c r="BW361" s="6"/>
      <c r="BX361" s="6"/>
      <c r="BY361" s="6"/>
      <c r="BZ361" s="6"/>
      <c r="CA361" s="6"/>
      <c r="CB361" s="6"/>
      <c r="CC361" s="6"/>
      <c r="CD361" s="6"/>
      <c r="CE361" s="6"/>
      <c r="CF361" s="6"/>
    </row>
    <row r="362" spans="4:84">
      <c r="D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6"/>
      <c r="AX362" s="6"/>
      <c r="AY362" s="6"/>
      <c r="AZ362" s="6"/>
      <c r="BA362" s="6"/>
      <c r="BB362" s="6"/>
      <c r="BC362" s="6"/>
      <c r="BD362" s="6"/>
      <c r="BE362" s="6"/>
      <c r="BF362" s="6"/>
      <c r="BG362" s="6"/>
      <c r="BH362" s="6"/>
      <c r="BI362" s="6"/>
      <c r="BJ362" s="6"/>
      <c r="BK362" s="6"/>
      <c r="BL362" s="6"/>
      <c r="BM362" s="6"/>
      <c r="BN362" s="6"/>
      <c r="BO362" s="6"/>
      <c r="BP362" s="6"/>
      <c r="BQ362" s="6"/>
      <c r="BR362" s="6"/>
      <c r="BS362" s="6"/>
      <c r="BT362" s="6"/>
      <c r="BU362" s="6"/>
      <c r="BV362" s="6"/>
      <c r="BW362" s="6"/>
      <c r="BX362" s="6"/>
      <c r="BY362" s="6"/>
      <c r="BZ362" s="6"/>
      <c r="CA362" s="6"/>
      <c r="CB362" s="6"/>
      <c r="CC362" s="6"/>
      <c r="CD362" s="6"/>
      <c r="CE362" s="6"/>
      <c r="CF362" s="6"/>
    </row>
    <row r="363" spans="4:84">
      <c r="D363" s="6"/>
      <c r="E363" s="6"/>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c r="AU363" s="6"/>
      <c r="AV363" s="6"/>
      <c r="AW363" s="6"/>
      <c r="AX363" s="6"/>
      <c r="AY363" s="6"/>
      <c r="AZ363" s="6"/>
      <c r="BA363" s="6"/>
      <c r="BB363" s="6"/>
      <c r="BC363" s="6"/>
      <c r="BD363" s="6"/>
      <c r="BE363" s="6"/>
      <c r="BF363" s="6"/>
      <c r="BG363" s="6"/>
      <c r="BH363" s="6"/>
      <c r="BI363" s="6"/>
      <c r="BJ363" s="6"/>
      <c r="BK363" s="6"/>
      <c r="BL363" s="6"/>
      <c r="BM363" s="6"/>
      <c r="BN363" s="6"/>
      <c r="BO363" s="6"/>
      <c r="BP363" s="6"/>
      <c r="BQ363" s="6"/>
      <c r="BR363" s="6"/>
      <c r="BS363" s="6"/>
      <c r="BT363" s="6"/>
      <c r="BU363" s="6"/>
      <c r="BV363" s="6"/>
      <c r="BW363" s="6"/>
      <c r="BX363" s="6"/>
      <c r="BY363" s="6"/>
      <c r="BZ363" s="6"/>
      <c r="CA363" s="6"/>
      <c r="CB363" s="6"/>
      <c r="CC363" s="6"/>
      <c r="CD363" s="6"/>
      <c r="CE363" s="6"/>
      <c r="CF363" s="6"/>
    </row>
    <row r="364" spans="4:84">
      <c r="D364" s="6"/>
      <c r="E364" s="6"/>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c r="AU364" s="6"/>
      <c r="AV364" s="6"/>
      <c r="AW364" s="6"/>
      <c r="AX364" s="6"/>
      <c r="AY364" s="6"/>
      <c r="AZ364" s="6"/>
      <c r="BA364" s="6"/>
      <c r="BB364" s="6"/>
      <c r="BC364" s="6"/>
      <c r="BD364" s="6"/>
      <c r="BE364" s="6"/>
      <c r="BF364" s="6"/>
      <c r="BG364" s="6"/>
      <c r="BH364" s="6"/>
      <c r="BI364" s="6"/>
      <c r="BJ364" s="6"/>
      <c r="BK364" s="6"/>
      <c r="BL364" s="6"/>
      <c r="BM364" s="6"/>
      <c r="BN364" s="6"/>
      <c r="BO364" s="6"/>
      <c r="BP364" s="6"/>
      <c r="BQ364" s="6"/>
      <c r="BR364" s="6"/>
      <c r="BS364" s="6"/>
      <c r="BT364" s="6"/>
      <c r="BU364" s="6"/>
      <c r="BV364" s="6"/>
      <c r="BW364" s="6"/>
      <c r="BX364" s="6"/>
      <c r="BY364" s="6"/>
      <c r="BZ364" s="6"/>
      <c r="CA364" s="6"/>
      <c r="CB364" s="6"/>
      <c r="CC364" s="6"/>
      <c r="CD364" s="6"/>
      <c r="CE364" s="6"/>
      <c r="CF364" s="6"/>
    </row>
    <row r="365" spans="4:84">
      <c r="D365" s="6"/>
      <c r="E365" s="6"/>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c r="AU365" s="6"/>
      <c r="AV365" s="6"/>
      <c r="AW365" s="6"/>
      <c r="AX365" s="6"/>
      <c r="AY365" s="6"/>
      <c r="AZ365" s="6"/>
      <c r="BA365" s="6"/>
      <c r="BB365" s="6"/>
      <c r="BC365" s="6"/>
      <c r="BD365" s="6"/>
      <c r="BE365" s="6"/>
      <c r="BF365" s="6"/>
      <c r="BG365" s="6"/>
      <c r="BH365" s="6"/>
      <c r="BI365" s="6"/>
      <c r="BJ365" s="6"/>
      <c r="BK365" s="6"/>
      <c r="BL365" s="6"/>
      <c r="BM365" s="6"/>
      <c r="BN365" s="6"/>
      <c r="BO365" s="6"/>
      <c r="BP365" s="6"/>
      <c r="BQ365" s="6"/>
      <c r="BR365" s="6"/>
      <c r="BS365" s="6"/>
      <c r="BT365" s="6"/>
      <c r="BU365" s="6"/>
      <c r="BV365" s="6"/>
      <c r="BW365" s="6"/>
      <c r="BX365" s="6"/>
      <c r="BY365" s="6"/>
      <c r="BZ365" s="6"/>
      <c r="CA365" s="6"/>
      <c r="CB365" s="6"/>
      <c r="CC365" s="6"/>
      <c r="CD365" s="6"/>
      <c r="CE365" s="6"/>
      <c r="CF365" s="6"/>
    </row>
    <row r="366" spans="4:84">
      <c r="D366" s="6"/>
      <c r="E366" s="6"/>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c r="AU366" s="6"/>
      <c r="AV366" s="6"/>
      <c r="AW366" s="6"/>
      <c r="AX366" s="6"/>
      <c r="AY366" s="6"/>
      <c r="AZ366" s="6"/>
      <c r="BA366" s="6"/>
      <c r="BB366" s="6"/>
      <c r="BC366" s="6"/>
      <c r="BD366" s="6"/>
      <c r="BE366" s="6"/>
      <c r="BF366" s="6"/>
      <c r="BG366" s="6"/>
      <c r="BH366" s="6"/>
      <c r="BI366" s="6"/>
      <c r="BJ366" s="6"/>
      <c r="BK366" s="6"/>
      <c r="BL366" s="6"/>
      <c r="BM366" s="6"/>
      <c r="BN366" s="6"/>
      <c r="BO366" s="6"/>
      <c r="BP366" s="6"/>
      <c r="BQ366" s="6"/>
      <c r="BR366" s="6"/>
      <c r="BS366" s="6"/>
      <c r="BT366" s="6"/>
      <c r="BU366" s="6"/>
      <c r="BV366" s="6"/>
      <c r="BW366" s="6"/>
      <c r="BX366" s="6"/>
      <c r="BY366" s="6"/>
      <c r="BZ366" s="6"/>
      <c r="CA366" s="6"/>
      <c r="CB366" s="6"/>
      <c r="CC366" s="6"/>
      <c r="CD366" s="6"/>
      <c r="CE366" s="6"/>
      <c r="CF366" s="6"/>
    </row>
    <row r="367" spans="4:84">
      <c r="D367" s="6"/>
      <c r="E367" s="6"/>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c r="AU367" s="6"/>
      <c r="AV367" s="6"/>
      <c r="AW367" s="6"/>
      <c r="AX367" s="6"/>
      <c r="AY367" s="6"/>
      <c r="AZ367" s="6"/>
      <c r="BA367" s="6"/>
      <c r="BB367" s="6"/>
      <c r="BC367" s="6"/>
      <c r="BD367" s="6"/>
      <c r="BE367" s="6"/>
      <c r="BF367" s="6"/>
      <c r="BG367" s="6"/>
      <c r="BH367" s="6"/>
      <c r="BI367" s="6"/>
      <c r="BJ367" s="6"/>
      <c r="BK367" s="6"/>
      <c r="BL367" s="6"/>
      <c r="BM367" s="6"/>
      <c r="BN367" s="6"/>
      <c r="BO367" s="6"/>
      <c r="BP367" s="6"/>
      <c r="BQ367" s="6"/>
      <c r="BR367" s="6"/>
      <c r="BS367" s="6"/>
      <c r="BT367" s="6"/>
      <c r="BU367" s="6"/>
      <c r="BV367" s="6"/>
      <c r="BW367" s="6"/>
      <c r="BX367" s="6"/>
      <c r="BY367" s="6"/>
      <c r="BZ367" s="6"/>
      <c r="CA367" s="6"/>
      <c r="CB367" s="6"/>
      <c r="CC367" s="6"/>
      <c r="CD367" s="6"/>
      <c r="CE367" s="6"/>
      <c r="CF367" s="6"/>
    </row>
    <row r="368" spans="4:84">
      <c r="D368" s="6"/>
      <c r="E368" s="6"/>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c r="AU368" s="6"/>
      <c r="AV368" s="6"/>
      <c r="AW368" s="6"/>
      <c r="AX368" s="6"/>
      <c r="AY368" s="6"/>
      <c r="AZ368" s="6"/>
      <c r="BA368" s="6"/>
      <c r="BB368" s="6"/>
      <c r="BC368" s="6"/>
      <c r="BD368" s="6"/>
      <c r="BE368" s="6"/>
      <c r="BF368" s="6"/>
      <c r="BG368" s="6"/>
      <c r="BH368" s="6"/>
      <c r="BI368" s="6"/>
      <c r="BJ368" s="6"/>
      <c r="BK368" s="6"/>
      <c r="BL368" s="6"/>
      <c r="BM368" s="6"/>
      <c r="BN368" s="6"/>
      <c r="BO368" s="6"/>
      <c r="BP368" s="6"/>
      <c r="BQ368" s="6"/>
      <c r="BR368" s="6"/>
      <c r="BS368" s="6"/>
      <c r="BT368" s="6"/>
      <c r="BU368" s="6"/>
      <c r="BV368" s="6"/>
      <c r="BW368" s="6"/>
      <c r="BX368" s="6"/>
      <c r="BY368" s="6"/>
      <c r="BZ368" s="6"/>
      <c r="CA368" s="6"/>
      <c r="CB368" s="6"/>
      <c r="CC368" s="6"/>
      <c r="CD368" s="6"/>
      <c r="CE368" s="6"/>
      <c r="CF368" s="6"/>
    </row>
    <row r="369" spans="4:84">
      <c r="D369" s="6"/>
      <c r="E369" s="6"/>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c r="AU369" s="6"/>
      <c r="AV369" s="6"/>
      <c r="AW369" s="6"/>
      <c r="AX369" s="6"/>
      <c r="AY369" s="6"/>
      <c r="AZ369" s="6"/>
      <c r="BA369" s="6"/>
      <c r="BB369" s="6"/>
      <c r="BC369" s="6"/>
      <c r="BD369" s="6"/>
      <c r="BE369" s="6"/>
      <c r="BF369" s="6"/>
      <c r="BG369" s="6"/>
      <c r="BH369" s="6"/>
      <c r="BI369" s="6"/>
      <c r="BJ369" s="6"/>
      <c r="BK369" s="6"/>
      <c r="BL369" s="6"/>
      <c r="BM369" s="6"/>
      <c r="BN369" s="6"/>
      <c r="BO369" s="6"/>
      <c r="BP369" s="6"/>
      <c r="BQ369" s="6"/>
      <c r="BR369" s="6"/>
      <c r="BS369" s="6"/>
      <c r="BT369" s="6"/>
      <c r="BU369" s="6"/>
      <c r="BV369" s="6"/>
      <c r="BW369" s="6"/>
      <c r="BX369" s="6"/>
      <c r="BY369" s="6"/>
      <c r="BZ369" s="6"/>
      <c r="CA369" s="6"/>
      <c r="CB369" s="6"/>
      <c r="CC369" s="6"/>
      <c r="CD369" s="6"/>
      <c r="CE369" s="6"/>
      <c r="CF369" s="6"/>
    </row>
    <row r="370" spans="4:84">
      <c r="D370" s="6"/>
      <c r="E370" s="6"/>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c r="AU370" s="6"/>
      <c r="AV370" s="6"/>
      <c r="AW370" s="6"/>
      <c r="AX370" s="6"/>
      <c r="AY370" s="6"/>
      <c r="AZ370" s="6"/>
      <c r="BA370" s="6"/>
      <c r="BB370" s="6"/>
      <c r="BC370" s="6"/>
      <c r="BD370" s="6"/>
      <c r="BE370" s="6"/>
      <c r="BF370" s="6"/>
      <c r="BG370" s="6"/>
      <c r="BH370" s="6"/>
      <c r="BI370" s="6"/>
      <c r="BJ370" s="6"/>
      <c r="BK370" s="6"/>
      <c r="BL370" s="6"/>
      <c r="BM370" s="6"/>
      <c r="BN370" s="6"/>
      <c r="BO370" s="6"/>
      <c r="BP370" s="6"/>
      <c r="BQ370" s="6"/>
      <c r="BR370" s="6"/>
      <c r="BS370" s="6"/>
      <c r="BT370" s="6"/>
      <c r="BU370" s="6"/>
      <c r="BV370" s="6"/>
      <c r="BW370" s="6"/>
      <c r="BX370" s="6"/>
      <c r="BY370" s="6"/>
      <c r="BZ370" s="6"/>
      <c r="CA370" s="6"/>
      <c r="CB370" s="6"/>
      <c r="CC370" s="6"/>
      <c r="CD370" s="6"/>
      <c r="CE370" s="6"/>
      <c r="CF370" s="6"/>
    </row>
    <row r="371" spans="4:84">
      <c r="D371" s="6"/>
      <c r="E371" s="6"/>
      <c r="F371" s="6"/>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c r="AU371" s="6"/>
      <c r="AV371" s="6"/>
      <c r="AW371" s="6"/>
      <c r="AX371" s="6"/>
      <c r="AY371" s="6"/>
      <c r="AZ371" s="6"/>
      <c r="BA371" s="6"/>
      <c r="BB371" s="6"/>
      <c r="BC371" s="6"/>
      <c r="BD371" s="6"/>
      <c r="BE371" s="6"/>
      <c r="BF371" s="6"/>
      <c r="BG371" s="6"/>
      <c r="BH371" s="6"/>
      <c r="BI371" s="6"/>
      <c r="BJ371" s="6"/>
      <c r="BK371" s="6"/>
      <c r="BL371" s="6"/>
      <c r="BM371" s="6"/>
      <c r="BN371" s="6"/>
      <c r="BO371" s="6"/>
      <c r="BP371" s="6"/>
      <c r="BQ371" s="6"/>
      <c r="BR371" s="6"/>
      <c r="BS371" s="6"/>
      <c r="BT371" s="6"/>
      <c r="BU371" s="6"/>
      <c r="BV371" s="6"/>
      <c r="BW371" s="6"/>
      <c r="BX371" s="6"/>
      <c r="BY371" s="6"/>
      <c r="BZ371" s="6"/>
      <c r="CA371" s="6"/>
      <c r="CB371" s="6"/>
      <c r="CC371" s="6"/>
      <c r="CD371" s="6"/>
      <c r="CE371" s="6"/>
      <c r="CF371" s="6"/>
    </row>
    <row r="372" spans="4:84">
      <c r="D372" s="6"/>
      <c r="E372" s="6"/>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c r="AU372" s="6"/>
      <c r="AV372" s="6"/>
      <c r="AW372" s="6"/>
      <c r="AX372" s="6"/>
      <c r="AY372" s="6"/>
      <c r="AZ372" s="6"/>
      <c r="BA372" s="6"/>
      <c r="BB372" s="6"/>
      <c r="BC372" s="6"/>
      <c r="BD372" s="6"/>
      <c r="BE372" s="6"/>
      <c r="BF372" s="6"/>
      <c r="BG372" s="6"/>
      <c r="BH372" s="6"/>
      <c r="BI372" s="6"/>
      <c r="BJ372" s="6"/>
      <c r="BK372" s="6"/>
      <c r="BL372" s="6"/>
      <c r="BM372" s="6"/>
      <c r="BN372" s="6"/>
      <c r="BO372" s="6"/>
      <c r="BP372" s="6"/>
      <c r="BQ372" s="6"/>
      <c r="BR372" s="6"/>
      <c r="BS372" s="6"/>
      <c r="BT372" s="6"/>
      <c r="BU372" s="6"/>
      <c r="BV372" s="6"/>
      <c r="BW372" s="6"/>
      <c r="BX372" s="6"/>
      <c r="BY372" s="6"/>
      <c r="BZ372" s="6"/>
      <c r="CA372" s="6"/>
      <c r="CB372" s="6"/>
      <c r="CC372" s="6"/>
      <c r="CD372" s="6"/>
      <c r="CE372" s="6"/>
      <c r="CF372" s="6"/>
    </row>
    <row r="373" spans="4:84">
      <c r="D373" s="6"/>
      <c r="E373" s="6"/>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c r="AU373" s="6"/>
      <c r="AV373" s="6"/>
      <c r="AW373" s="6"/>
      <c r="AX373" s="6"/>
      <c r="AY373" s="6"/>
      <c r="AZ373" s="6"/>
      <c r="BA373" s="6"/>
      <c r="BB373" s="6"/>
      <c r="BC373" s="6"/>
      <c r="BD373" s="6"/>
      <c r="BE373" s="6"/>
      <c r="BF373" s="6"/>
      <c r="BG373" s="6"/>
      <c r="BH373" s="6"/>
      <c r="BI373" s="6"/>
      <c r="BJ373" s="6"/>
      <c r="BK373" s="6"/>
      <c r="BL373" s="6"/>
      <c r="BM373" s="6"/>
      <c r="BN373" s="6"/>
      <c r="BO373" s="6"/>
      <c r="BP373" s="6"/>
      <c r="BQ373" s="6"/>
      <c r="BR373" s="6"/>
      <c r="BS373" s="6"/>
      <c r="BT373" s="6"/>
      <c r="BU373" s="6"/>
      <c r="BV373" s="6"/>
      <c r="BW373" s="6"/>
      <c r="BX373" s="6"/>
      <c r="BY373" s="6"/>
      <c r="BZ373" s="6"/>
      <c r="CA373" s="6"/>
      <c r="CB373" s="6"/>
      <c r="CC373" s="6"/>
      <c r="CD373" s="6"/>
      <c r="CE373" s="6"/>
      <c r="CF373" s="6"/>
    </row>
    <row r="374" spans="4:84">
      <c r="D374" s="6"/>
      <c r="E374" s="6"/>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c r="AU374" s="6"/>
      <c r="AV374" s="6"/>
      <c r="AW374" s="6"/>
      <c r="AX374" s="6"/>
      <c r="AY374" s="6"/>
      <c r="AZ374" s="6"/>
      <c r="BA374" s="6"/>
      <c r="BB374" s="6"/>
      <c r="BC374" s="6"/>
      <c r="BD374" s="6"/>
      <c r="BE374" s="6"/>
      <c r="BF374" s="6"/>
      <c r="BG374" s="6"/>
      <c r="BH374" s="6"/>
      <c r="BI374" s="6"/>
      <c r="BJ374" s="6"/>
      <c r="BK374" s="6"/>
      <c r="BL374" s="6"/>
      <c r="BM374" s="6"/>
      <c r="BN374" s="6"/>
      <c r="BO374" s="6"/>
      <c r="BP374" s="6"/>
      <c r="BQ374" s="6"/>
      <c r="BR374" s="6"/>
      <c r="BS374" s="6"/>
      <c r="BT374" s="6"/>
      <c r="BU374" s="6"/>
      <c r="BV374" s="6"/>
      <c r="BW374" s="6"/>
      <c r="BX374" s="6"/>
      <c r="BY374" s="6"/>
      <c r="BZ374" s="6"/>
      <c r="CA374" s="6"/>
      <c r="CB374" s="6"/>
      <c r="CC374" s="6"/>
      <c r="CD374" s="6"/>
      <c r="CE374" s="6"/>
      <c r="CF374" s="6"/>
    </row>
    <row r="375" spans="4:84">
      <c r="D375" s="6"/>
      <c r="E375" s="6"/>
      <c r="F375" s="6"/>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c r="AU375" s="6"/>
      <c r="AV375" s="6"/>
      <c r="AW375" s="6"/>
      <c r="AX375" s="6"/>
      <c r="AY375" s="6"/>
      <c r="AZ375" s="6"/>
      <c r="BA375" s="6"/>
      <c r="BB375" s="6"/>
      <c r="BC375" s="6"/>
      <c r="BD375" s="6"/>
      <c r="BE375" s="6"/>
      <c r="BF375" s="6"/>
      <c r="BG375" s="6"/>
      <c r="BH375" s="6"/>
      <c r="BI375" s="6"/>
      <c r="BJ375" s="6"/>
      <c r="BK375" s="6"/>
      <c r="BL375" s="6"/>
      <c r="BM375" s="6"/>
      <c r="BN375" s="6"/>
      <c r="BO375" s="6"/>
      <c r="BP375" s="6"/>
      <c r="BQ375" s="6"/>
      <c r="BR375" s="6"/>
      <c r="BS375" s="6"/>
      <c r="BT375" s="6"/>
      <c r="BU375" s="6"/>
      <c r="BV375" s="6"/>
      <c r="BW375" s="6"/>
      <c r="BX375" s="6"/>
      <c r="BY375" s="6"/>
      <c r="BZ375" s="6"/>
      <c r="CA375" s="6"/>
      <c r="CB375" s="6"/>
      <c r="CC375" s="6"/>
      <c r="CD375" s="6"/>
      <c r="CE375" s="6"/>
      <c r="CF375" s="6"/>
    </row>
    <row r="376" spans="4:84">
      <c r="D376" s="6"/>
      <c r="E376" s="6"/>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c r="AU376" s="6"/>
      <c r="AV376" s="6"/>
      <c r="AW376" s="6"/>
      <c r="AX376" s="6"/>
      <c r="AY376" s="6"/>
      <c r="AZ376" s="6"/>
      <c r="BA376" s="6"/>
      <c r="BB376" s="6"/>
      <c r="BC376" s="6"/>
      <c r="BD376" s="6"/>
      <c r="BE376" s="6"/>
      <c r="BF376" s="6"/>
      <c r="BG376" s="6"/>
      <c r="BH376" s="6"/>
      <c r="BI376" s="6"/>
      <c r="BJ376" s="6"/>
      <c r="BK376" s="6"/>
      <c r="BL376" s="6"/>
      <c r="BM376" s="6"/>
      <c r="BN376" s="6"/>
      <c r="BO376" s="6"/>
      <c r="BP376" s="6"/>
      <c r="BQ376" s="6"/>
      <c r="BR376" s="6"/>
      <c r="BS376" s="6"/>
      <c r="BT376" s="6"/>
      <c r="BU376" s="6"/>
      <c r="BV376" s="6"/>
      <c r="BW376" s="6"/>
      <c r="BX376" s="6"/>
      <c r="BY376" s="6"/>
      <c r="BZ376" s="6"/>
      <c r="CA376" s="6"/>
      <c r="CB376" s="6"/>
      <c r="CC376" s="6"/>
      <c r="CD376" s="6"/>
      <c r="CE376" s="6"/>
      <c r="CF376" s="6"/>
    </row>
    <row r="377" spans="4:84">
      <c r="D377" s="6"/>
      <c r="E377" s="6"/>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c r="AU377" s="6"/>
      <c r="AV377" s="6"/>
      <c r="AW377" s="6"/>
      <c r="AX377" s="6"/>
      <c r="AY377" s="6"/>
      <c r="AZ377" s="6"/>
      <c r="BA377" s="6"/>
      <c r="BB377" s="6"/>
      <c r="BC377" s="6"/>
      <c r="BD377" s="6"/>
      <c r="BE377" s="6"/>
      <c r="BF377" s="6"/>
      <c r="BG377" s="6"/>
      <c r="BH377" s="6"/>
      <c r="BI377" s="6"/>
      <c r="BJ377" s="6"/>
      <c r="BK377" s="6"/>
      <c r="BL377" s="6"/>
      <c r="BM377" s="6"/>
      <c r="BN377" s="6"/>
      <c r="BO377" s="6"/>
      <c r="BP377" s="6"/>
      <c r="BQ377" s="6"/>
      <c r="BR377" s="6"/>
      <c r="BS377" s="6"/>
      <c r="BT377" s="6"/>
      <c r="BU377" s="6"/>
      <c r="BV377" s="6"/>
      <c r="BW377" s="6"/>
      <c r="BX377" s="6"/>
      <c r="BY377" s="6"/>
      <c r="BZ377" s="6"/>
      <c r="CA377" s="6"/>
      <c r="CB377" s="6"/>
      <c r="CC377" s="6"/>
      <c r="CD377" s="6"/>
      <c r="CE377" s="6"/>
      <c r="CF377" s="6"/>
    </row>
    <row r="378" spans="4:84">
      <c r="D378" s="6"/>
      <c r="E378" s="6"/>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c r="AU378" s="6"/>
      <c r="AV378" s="6"/>
      <c r="AW378" s="6"/>
      <c r="AX378" s="6"/>
      <c r="AY378" s="6"/>
      <c r="AZ378" s="6"/>
      <c r="BA378" s="6"/>
      <c r="BB378" s="6"/>
      <c r="BC378" s="6"/>
      <c r="BD378" s="6"/>
      <c r="BE378" s="6"/>
      <c r="BF378" s="6"/>
      <c r="BG378" s="6"/>
      <c r="BH378" s="6"/>
      <c r="BI378" s="6"/>
      <c r="BJ378" s="6"/>
      <c r="BK378" s="6"/>
      <c r="BL378" s="6"/>
      <c r="BM378" s="6"/>
      <c r="BN378" s="6"/>
      <c r="BO378" s="6"/>
      <c r="BP378" s="6"/>
      <c r="BQ378" s="6"/>
      <c r="BR378" s="6"/>
      <c r="BS378" s="6"/>
      <c r="BT378" s="6"/>
      <c r="BU378" s="6"/>
      <c r="BV378" s="6"/>
      <c r="BW378" s="6"/>
      <c r="BX378" s="6"/>
      <c r="BY378" s="6"/>
      <c r="BZ378" s="6"/>
      <c r="CA378" s="6"/>
      <c r="CB378" s="6"/>
      <c r="CC378" s="6"/>
      <c r="CD378" s="6"/>
      <c r="CE378" s="6"/>
      <c r="CF378" s="6"/>
    </row>
    <row r="379" spans="4:84">
      <c r="D379" s="6"/>
      <c r="E379" s="6"/>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c r="AU379" s="6"/>
      <c r="AV379" s="6"/>
      <c r="AW379" s="6"/>
      <c r="AX379" s="6"/>
      <c r="AY379" s="6"/>
      <c r="AZ379" s="6"/>
      <c r="BA379" s="6"/>
      <c r="BB379" s="6"/>
      <c r="BC379" s="6"/>
      <c r="BD379" s="6"/>
      <c r="BE379" s="6"/>
      <c r="BF379" s="6"/>
      <c r="BG379" s="6"/>
      <c r="BH379" s="6"/>
      <c r="BI379" s="6"/>
      <c r="BJ379" s="6"/>
      <c r="BK379" s="6"/>
      <c r="BL379" s="6"/>
      <c r="BM379" s="6"/>
      <c r="BN379" s="6"/>
      <c r="BO379" s="6"/>
      <c r="BP379" s="6"/>
      <c r="BQ379" s="6"/>
      <c r="BR379" s="6"/>
      <c r="BS379" s="6"/>
      <c r="BT379" s="6"/>
      <c r="BU379" s="6"/>
      <c r="BV379" s="6"/>
      <c r="BW379" s="6"/>
      <c r="BX379" s="6"/>
      <c r="BY379" s="6"/>
      <c r="BZ379" s="6"/>
      <c r="CA379" s="6"/>
      <c r="CB379" s="6"/>
      <c r="CC379" s="6"/>
      <c r="CD379" s="6"/>
      <c r="CE379" s="6"/>
      <c r="CF379" s="6"/>
    </row>
    <row r="380" spans="4:84">
      <c r="D380" s="6"/>
      <c r="E380" s="6"/>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c r="AU380" s="6"/>
      <c r="AV380" s="6"/>
      <c r="AW380" s="6"/>
      <c r="AX380" s="6"/>
      <c r="AY380" s="6"/>
      <c r="AZ380" s="6"/>
      <c r="BA380" s="6"/>
      <c r="BB380" s="6"/>
      <c r="BC380" s="6"/>
      <c r="BD380" s="6"/>
      <c r="BE380" s="6"/>
      <c r="BF380" s="6"/>
      <c r="BG380" s="6"/>
      <c r="BH380" s="6"/>
      <c r="BI380" s="6"/>
      <c r="BJ380" s="6"/>
      <c r="BK380" s="6"/>
      <c r="BL380" s="6"/>
      <c r="BM380" s="6"/>
      <c r="BN380" s="6"/>
      <c r="BO380" s="6"/>
      <c r="BP380" s="6"/>
      <c r="BQ380" s="6"/>
      <c r="BR380" s="6"/>
      <c r="BS380" s="6"/>
      <c r="BT380" s="6"/>
      <c r="BU380" s="6"/>
      <c r="BV380" s="6"/>
      <c r="BW380" s="6"/>
      <c r="BX380" s="6"/>
      <c r="BY380" s="6"/>
      <c r="BZ380" s="6"/>
      <c r="CA380" s="6"/>
      <c r="CB380" s="6"/>
      <c r="CC380" s="6"/>
      <c r="CD380" s="6"/>
      <c r="CE380" s="6"/>
      <c r="CF380" s="6"/>
    </row>
    <row r="381" spans="4:84">
      <c r="D381" s="6"/>
      <c r="E381" s="6"/>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c r="AU381" s="6"/>
      <c r="AV381" s="6"/>
      <c r="AW381" s="6"/>
      <c r="AX381" s="6"/>
      <c r="AY381" s="6"/>
      <c r="AZ381" s="6"/>
      <c r="BA381" s="6"/>
      <c r="BB381" s="6"/>
      <c r="BC381" s="6"/>
      <c r="BD381" s="6"/>
      <c r="BE381" s="6"/>
      <c r="BF381" s="6"/>
      <c r="BG381" s="6"/>
      <c r="BH381" s="6"/>
      <c r="BI381" s="6"/>
      <c r="BJ381" s="6"/>
      <c r="BK381" s="6"/>
      <c r="BL381" s="6"/>
      <c r="BM381" s="6"/>
      <c r="BN381" s="6"/>
      <c r="BO381" s="6"/>
      <c r="BP381" s="6"/>
      <c r="BQ381" s="6"/>
      <c r="BR381" s="6"/>
      <c r="BS381" s="6"/>
      <c r="BT381" s="6"/>
      <c r="BU381" s="6"/>
      <c r="BV381" s="6"/>
      <c r="BW381" s="6"/>
      <c r="BX381" s="6"/>
      <c r="BY381" s="6"/>
      <c r="BZ381" s="6"/>
      <c r="CA381" s="6"/>
      <c r="CB381" s="6"/>
      <c r="CC381" s="6"/>
      <c r="CD381" s="6"/>
      <c r="CE381" s="6"/>
      <c r="CF381" s="6"/>
    </row>
    <row r="382" spans="4:84">
      <c r="D382" s="6"/>
      <c r="E382" s="6"/>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c r="AU382" s="6"/>
      <c r="AV382" s="6"/>
      <c r="AW382" s="6"/>
      <c r="AX382" s="6"/>
      <c r="AY382" s="6"/>
      <c r="AZ382" s="6"/>
      <c r="BA382" s="6"/>
      <c r="BB382" s="6"/>
      <c r="BC382" s="6"/>
      <c r="BD382" s="6"/>
      <c r="BE382" s="6"/>
      <c r="BF382" s="6"/>
      <c r="BG382" s="6"/>
      <c r="BH382" s="6"/>
      <c r="BI382" s="6"/>
      <c r="BJ382" s="6"/>
      <c r="BK382" s="6"/>
      <c r="BL382" s="6"/>
      <c r="BM382" s="6"/>
      <c r="BN382" s="6"/>
      <c r="BO382" s="6"/>
      <c r="BP382" s="6"/>
      <c r="BQ382" s="6"/>
      <c r="BR382" s="6"/>
      <c r="BS382" s="6"/>
      <c r="BT382" s="6"/>
      <c r="BU382" s="6"/>
      <c r="BV382" s="6"/>
      <c r="BW382" s="6"/>
      <c r="BX382" s="6"/>
      <c r="BY382" s="6"/>
      <c r="BZ382" s="6"/>
      <c r="CA382" s="6"/>
      <c r="CB382" s="6"/>
      <c r="CC382" s="6"/>
      <c r="CD382" s="6"/>
      <c r="CE382" s="6"/>
      <c r="CF382" s="6"/>
    </row>
    <row r="383" spans="4:84">
      <c r="D383" s="6"/>
      <c r="E383" s="6"/>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c r="AU383" s="6"/>
      <c r="AV383" s="6"/>
      <c r="AW383" s="6"/>
      <c r="AX383" s="6"/>
      <c r="AY383" s="6"/>
      <c r="AZ383" s="6"/>
      <c r="BA383" s="6"/>
      <c r="BB383" s="6"/>
      <c r="BC383" s="6"/>
      <c r="BD383" s="6"/>
      <c r="BE383" s="6"/>
      <c r="BF383" s="6"/>
      <c r="BG383" s="6"/>
      <c r="BH383" s="6"/>
      <c r="BI383" s="6"/>
      <c r="BJ383" s="6"/>
      <c r="BK383" s="6"/>
      <c r="BL383" s="6"/>
      <c r="BM383" s="6"/>
      <c r="BN383" s="6"/>
      <c r="BO383" s="6"/>
      <c r="BP383" s="6"/>
      <c r="BQ383" s="6"/>
      <c r="BR383" s="6"/>
      <c r="BS383" s="6"/>
      <c r="BT383" s="6"/>
      <c r="BU383" s="6"/>
      <c r="BV383" s="6"/>
      <c r="BW383" s="6"/>
      <c r="BX383" s="6"/>
      <c r="BY383" s="6"/>
      <c r="BZ383" s="6"/>
      <c r="CA383" s="6"/>
      <c r="CB383" s="6"/>
      <c r="CC383" s="6"/>
      <c r="CD383" s="6"/>
      <c r="CE383" s="6"/>
      <c r="CF383" s="6"/>
    </row>
    <row r="384" spans="4:84">
      <c r="D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6"/>
      <c r="AX384" s="6"/>
      <c r="AY384" s="6"/>
      <c r="AZ384" s="6"/>
      <c r="BA384" s="6"/>
      <c r="BB384" s="6"/>
      <c r="BC384" s="6"/>
      <c r="BD384" s="6"/>
      <c r="BE384" s="6"/>
      <c r="BF384" s="6"/>
      <c r="BG384" s="6"/>
      <c r="BH384" s="6"/>
      <c r="BI384" s="6"/>
      <c r="BJ384" s="6"/>
      <c r="BK384" s="6"/>
      <c r="BL384" s="6"/>
      <c r="BM384" s="6"/>
      <c r="BN384" s="6"/>
      <c r="BO384" s="6"/>
      <c r="BP384" s="6"/>
      <c r="BQ384" s="6"/>
      <c r="BR384" s="6"/>
      <c r="BS384" s="6"/>
      <c r="BT384" s="6"/>
      <c r="BU384" s="6"/>
      <c r="BV384" s="6"/>
      <c r="BW384" s="6"/>
      <c r="BX384" s="6"/>
      <c r="BY384" s="6"/>
      <c r="BZ384" s="6"/>
      <c r="CA384" s="6"/>
      <c r="CB384" s="6"/>
      <c r="CC384" s="6"/>
      <c r="CD384" s="6"/>
      <c r="CE384" s="6"/>
      <c r="CF384" s="6"/>
    </row>
    <row r="385" spans="4:84">
      <c r="D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6"/>
      <c r="AX385" s="6"/>
      <c r="AY385" s="6"/>
      <c r="AZ385" s="6"/>
      <c r="BA385" s="6"/>
      <c r="BB385" s="6"/>
      <c r="BC385" s="6"/>
      <c r="BD385" s="6"/>
      <c r="BE385" s="6"/>
      <c r="BF385" s="6"/>
      <c r="BG385" s="6"/>
      <c r="BH385" s="6"/>
      <c r="BI385" s="6"/>
      <c r="BJ385" s="6"/>
      <c r="BK385" s="6"/>
      <c r="BL385" s="6"/>
      <c r="BM385" s="6"/>
      <c r="BN385" s="6"/>
      <c r="BO385" s="6"/>
      <c r="BP385" s="6"/>
      <c r="BQ385" s="6"/>
      <c r="BR385" s="6"/>
      <c r="BS385" s="6"/>
      <c r="BT385" s="6"/>
      <c r="BU385" s="6"/>
      <c r="BV385" s="6"/>
      <c r="BW385" s="6"/>
      <c r="BX385" s="6"/>
      <c r="BY385" s="6"/>
      <c r="BZ385" s="6"/>
      <c r="CA385" s="6"/>
      <c r="CB385" s="6"/>
      <c r="CC385" s="6"/>
      <c r="CD385" s="6"/>
      <c r="CE385" s="6"/>
      <c r="CF385" s="6"/>
    </row>
    <row r="386" spans="4:84">
      <c r="D386" s="6"/>
      <c r="E386" s="6"/>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c r="AU386" s="6"/>
      <c r="AV386" s="6"/>
      <c r="AW386" s="6"/>
      <c r="AX386" s="6"/>
      <c r="AY386" s="6"/>
      <c r="AZ386" s="6"/>
      <c r="BA386" s="6"/>
      <c r="BB386" s="6"/>
      <c r="BC386" s="6"/>
      <c r="BD386" s="6"/>
      <c r="BE386" s="6"/>
      <c r="BF386" s="6"/>
      <c r="BG386" s="6"/>
      <c r="BH386" s="6"/>
      <c r="BI386" s="6"/>
      <c r="BJ386" s="6"/>
      <c r="BK386" s="6"/>
      <c r="BL386" s="6"/>
      <c r="BM386" s="6"/>
      <c r="BN386" s="6"/>
      <c r="BO386" s="6"/>
      <c r="BP386" s="6"/>
      <c r="BQ386" s="6"/>
      <c r="BR386" s="6"/>
      <c r="BS386" s="6"/>
      <c r="BT386" s="6"/>
      <c r="BU386" s="6"/>
      <c r="BV386" s="6"/>
      <c r="BW386" s="6"/>
      <c r="BX386" s="6"/>
      <c r="BY386" s="6"/>
      <c r="BZ386" s="6"/>
      <c r="CA386" s="6"/>
      <c r="CB386" s="6"/>
      <c r="CC386" s="6"/>
      <c r="CD386" s="6"/>
      <c r="CE386" s="6"/>
      <c r="CF386" s="6"/>
    </row>
    <row r="387" spans="4:84">
      <c r="D387" s="6"/>
      <c r="E387" s="6"/>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c r="AU387" s="6"/>
      <c r="AV387" s="6"/>
      <c r="AW387" s="6"/>
      <c r="AX387" s="6"/>
      <c r="AY387" s="6"/>
      <c r="AZ387" s="6"/>
      <c r="BA387" s="6"/>
      <c r="BB387" s="6"/>
      <c r="BC387" s="6"/>
      <c r="BD387" s="6"/>
      <c r="BE387" s="6"/>
      <c r="BF387" s="6"/>
      <c r="BG387" s="6"/>
      <c r="BH387" s="6"/>
      <c r="BI387" s="6"/>
      <c r="BJ387" s="6"/>
      <c r="BK387" s="6"/>
      <c r="BL387" s="6"/>
      <c r="BM387" s="6"/>
      <c r="BN387" s="6"/>
      <c r="BO387" s="6"/>
      <c r="BP387" s="6"/>
      <c r="BQ387" s="6"/>
      <c r="BR387" s="6"/>
      <c r="BS387" s="6"/>
      <c r="BT387" s="6"/>
      <c r="BU387" s="6"/>
      <c r="BV387" s="6"/>
      <c r="BW387" s="6"/>
      <c r="BX387" s="6"/>
      <c r="BY387" s="6"/>
      <c r="BZ387" s="6"/>
      <c r="CA387" s="6"/>
      <c r="CB387" s="6"/>
      <c r="CC387" s="6"/>
      <c r="CD387" s="6"/>
      <c r="CE387" s="6"/>
      <c r="CF387" s="6"/>
    </row>
    <row r="388" spans="4:84">
      <c r="D388" s="6"/>
      <c r="E388" s="6"/>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c r="AU388" s="6"/>
      <c r="AV388" s="6"/>
      <c r="AW388" s="6"/>
      <c r="AX388" s="6"/>
      <c r="AY388" s="6"/>
      <c r="AZ388" s="6"/>
      <c r="BA388" s="6"/>
      <c r="BB388" s="6"/>
      <c r="BC388" s="6"/>
      <c r="BD388" s="6"/>
      <c r="BE388" s="6"/>
      <c r="BF388" s="6"/>
      <c r="BG388" s="6"/>
      <c r="BH388" s="6"/>
      <c r="BI388" s="6"/>
      <c r="BJ388" s="6"/>
      <c r="BK388" s="6"/>
      <c r="BL388" s="6"/>
      <c r="BM388" s="6"/>
      <c r="BN388" s="6"/>
      <c r="BO388" s="6"/>
      <c r="BP388" s="6"/>
      <c r="BQ388" s="6"/>
      <c r="BR388" s="6"/>
      <c r="BS388" s="6"/>
      <c r="BT388" s="6"/>
      <c r="BU388" s="6"/>
      <c r="BV388" s="6"/>
      <c r="BW388" s="6"/>
      <c r="BX388" s="6"/>
      <c r="BY388" s="6"/>
      <c r="BZ388" s="6"/>
      <c r="CA388" s="6"/>
      <c r="CB388" s="6"/>
      <c r="CC388" s="6"/>
      <c r="CD388" s="6"/>
      <c r="CE388" s="6"/>
      <c r="CF388" s="6"/>
    </row>
    <row r="389" spans="4:84">
      <c r="D389" s="6"/>
      <c r="E389" s="6"/>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c r="AU389" s="6"/>
      <c r="AV389" s="6"/>
      <c r="AW389" s="6"/>
      <c r="AX389" s="6"/>
      <c r="AY389" s="6"/>
      <c r="AZ389" s="6"/>
      <c r="BA389" s="6"/>
      <c r="BB389" s="6"/>
      <c r="BC389" s="6"/>
      <c r="BD389" s="6"/>
      <c r="BE389" s="6"/>
      <c r="BF389" s="6"/>
      <c r="BG389" s="6"/>
      <c r="BH389" s="6"/>
      <c r="BI389" s="6"/>
      <c r="BJ389" s="6"/>
      <c r="BK389" s="6"/>
      <c r="BL389" s="6"/>
      <c r="BM389" s="6"/>
      <c r="BN389" s="6"/>
      <c r="BO389" s="6"/>
      <c r="BP389" s="6"/>
      <c r="BQ389" s="6"/>
      <c r="BR389" s="6"/>
      <c r="BS389" s="6"/>
      <c r="BT389" s="6"/>
      <c r="BU389" s="6"/>
      <c r="BV389" s="6"/>
      <c r="BW389" s="6"/>
      <c r="BX389" s="6"/>
      <c r="BY389" s="6"/>
      <c r="BZ389" s="6"/>
      <c r="CA389" s="6"/>
      <c r="CB389" s="6"/>
      <c r="CC389" s="6"/>
      <c r="CD389" s="6"/>
      <c r="CE389" s="6"/>
      <c r="CF389" s="6"/>
    </row>
    <row r="390" spans="4:84">
      <c r="D390" s="6"/>
      <c r="E390" s="6"/>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c r="AU390" s="6"/>
      <c r="AV390" s="6"/>
      <c r="AW390" s="6"/>
      <c r="AX390" s="6"/>
      <c r="AY390" s="6"/>
      <c r="AZ390" s="6"/>
      <c r="BA390" s="6"/>
      <c r="BB390" s="6"/>
      <c r="BC390" s="6"/>
      <c r="BD390" s="6"/>
      <c r="BE390" s="6"/>
      <c r="BF390" s="6"/>
      <c r="BG390" s="6"/>
      <c r="BH390" s="6"/>
      <c r="BI390" s="6"/>
      <c r="BJ390" s="6"/>
      <c r="BK390" s="6"/>
      <c r="BL390" s="6"/>
      <c r="BM390" s="6"/>
      <c r="BN390" s="6"/>
      <c r="BO390" s="6"/>
      <c r="BP390" s="6"/>
      <c r="BQ390" s="6"/>
      <c r="BR390" s="6"/>
      <c r="BS390" s="6"/>
      <c r="BT390" s="6"/>
      <c r="BU390" s="6"/>
      <c r="BV390" s="6"/>
      <c r="BW390" s="6"/>
      <c r="BX390" s="6"/>
      <c r="BY390" s="6"/>
      <c r="BZ390" s="6"/>
      <c r="CA390" s="6"/>
      <c r="CB390" s="6"/>
      <c r="CC390" s="6"/>
      <c r="CD390" s="6"/>
      <c r="CE390" s="6"/>
      <c r="CF390" s="6"/>
    </row>
    <row r="391" spans="4:84">
      <c r="D391" s="6"/>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6"/>
      <c r="AX391" s="6"/>
      <c r="AY391" s="6"/>
      <c r="AZ391" s="6"/>
      <c r="BA391" s="6"/>
      <c r="BB391" s="6"/>
      <c r="BC391" s="6"/>
      <c r="BD391" s="6"/>
      <c r="BE391" s="6"/>
      <c r="BF391" s="6"/>
      <c r="BG391" s="6"/>
      <c r="BH391" s="6"/>
      <c r="BI391" s="6"/>
      <c r="BJ391" s="6"/>
      <c r="BK391" s="6"/>
      <c r="BL391" s="6"/>
      <c r="BM391" s="6"/>
      <c r="BN391" s="6"/>
      <c r="BO391" s="6"/>
      <c r="BP391" s="6"/>
      <c r="BQ391" s="6"/>
      <c r="BR391" s="6"/>
      <c r="BS391" s="6"/>
      <c r="BT391" s="6"/>
      <c r="BU391" s="6"/>
      <c r="BV391" s="6"/>
      <c r="BW391" s="6"/>
      <c r="BX391" s="6"/>
      <c r="BY391" s="6"/>
      <c r="BZ391" s="6"/>
      <c r="CA391" s="6"/>
      <c r="CB391" s="6"/>
      <c r="CC391" s="6"/>
      <c r="CD391" s="6"/>
      <c r="CE391" s="6"/>
      <c r="CF391" s="6"/>
    </row>
    <row r="392" spans="4:84">
      <c r="D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6"/>
      <c r="AX392" s="6"/>
      <c r="AY392" s="6"/>
      <c r="AZ392" s="6"/>
      <c r="BA392" s="6"/>
      <c r="BB392" s="6"/>
      <c r="BC392" s="6"/>
      <c r="BD392" s="6"/>
      <c r="BE392" s="6"/>
      <c r="BF392" s="6"/>
      <c r="BG392" s="6"/>
      <c r="BH392" s="6"/>
      <c r="BI392" s="6"/>
      <c r="BJ392" s="6"/>
      <c r="BK392" s="6"/>
      <c r="BL392" s="6"/>
      <c r="BM392" s="6"/>
      <c r="BN392" s="6"/>
      <c r="BO392" s="6"/>
      <c r="BP392" s="6"/>
      <c r="BQ392" s="6"/>
      <c r="BR392" s="6"/>
      <c r="BS392" s="6"/>
      <c r="BT392" s="6"/>
      <c r="BU392" s="6"/>
      <c r="BV392" s="6"/>
      <c r="BW392" s="6"/>
      <c r="BX392" s="6"/>
      <c r="BY392" s="6"/>
      <c r="BZ392" s="6"/>
      <c r="CA392" s="6"/>
      <c r="CB392" s="6"/>
      <c r="CC392" s="6"/>
      <c r="CD392" s="6"/>
      <c r="CE392" s="6"/>
      <c r="CF392" s="6"/>
    </row>
    <row r="393" spans="4:84">
      <c r="D393" s="6"/>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6"/>
      <c r="AX393" s="6"/>
      <c r="AY393" s="6"/>
      <c r="AZ393" s="6"/>
      <c r="BA393" s="6"/>
      <c r="BB393" s="6"/>
      <c r="BC393" s="6"/>
      <c r="BD393" s="6"/>
      <c r="BE393" s="6"/>
      <c r="BF393" s="6"/>
      <c r="BG393" s="6"/>
      <c r="BH393" s="6"/>
      <c r="BI393" s="6"/>
      <c r="BJ393" s="6"/>
      <c r="BK393" s="6"/>
      <c r="BL393" s="6"/>
      <c r="BM393" s="6"/>
      <c r="BN393" s="6"/>
      <c r="BO393" s="6"/>
      <c r="BP393" s="6"/>
      <c r="BQ393" s="6"/>
      <c r="BR393" s="6"/>
      <c r="BS393" s="6"/>
      <c r="BT393" s="6"/>
      <c r="BU393" s="6"/>
      <c r="BV393" s="6"/>
      <c r="BW393" s="6"/>
      <c r="BX393" s="6"/>
      <c r="BY393" s="6"/>
      <c r="BZ393" s="6"/>
      <c r="CA393" s="6"/>
      <c r="CB393" s="6"/>
      <c r="CC393" s="6"/>
      <c r="CD393" s="6"/>
      <c r="CE393" s="6"/>
      <c r="CF393" s="6"/>
    </row>
    <row r="394" spans="4:84">
      <c r="D394" s="6"/>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6"/>
      <c r="AX394" s="6"/>
      <c r="AY394" s="6"/>
      <c r="AZ394" s="6"/>
      <c r="BA394" s="6"/>
      <c r="BB394" s="6"/>
      <c r="BC394" s="6"/>
      <c r="BD394" s="6"/>
      <c r="BE394" s="6"/>
      <c r="BF394" s="6"/>
      <c r="BG394" s="6"/>
      <c r="BH394" s="6"/>
      <c r="BI394" s="6"/>
      <c r="BJ394" s="6"/>
      <c r="BK394" s="6"/>
      <c r="BL394" s="6"/>
      <c r="BM394" s="6"/>
      <c r="BN394" s="6"/>
      <c r="BO394" s="6"/>
      <c r="BP394" s="6"/>
      <c r="BQ394" s="6"/>
      <c r="BR394" s="6"/>
      <c r="BS394" s="6"/>
      <c r="BT394" s="6"/>
      <c r="BU394" s="6"/>
      <c r="BV394" s="6"/>
      <c r="BW394" s="6"/>
      <c r="BX394" s="6"/>
      <c r="BY394" s="6"/>
      <c r="BZ394" s="6"/>
      <c r="CA394" s="6"/>
      <c r="CB394" s="6"/>
      <c r="CC394" s="6"/>
      <c r="CD394" s="6"/>
      <c r="CE394" s="6"/>
      <c r="CF394" s="6"/>
    </row>
    <row r="395" spans="4:84">
      <c r="D395" s="6"/>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c r="AZ395" s="6"/>
      <c r="BA395" s="6"/>
      <c r="BB395" s="6"/>
      <c r="BC395" s="6"/>
      <c r="BD395" s="6"/>
      <c r="BE395" s="6"/>
      <c r="BF395" s="6"/>
      <c r="BG395" s="6"/>
      <c r="BH395" s="6"/>
      <c r="BI395" s="6"/>
      <c r="BJ395" s="6"/>
      <c r="BK395" s="6"/>
      <c r="BL395" s="6"/>
      <c r="BM395" s="6"/>
      <c r="BN395" s="6"/>
      <c r="BO395" s="6"/>
      <c r="BP395" s="6"/>
      <c r="BQ395" s="6"/>
      <c r="BR395" s="6"/>
      <c r="BS395" s="6"/>
      <c r="BT395" s="6"/>
      <c r="BU395" s="6"/>
      <c r="BV395" s="6"/>
      <c r="BW395" s="6"/>
      <c r="BX395" s="6"/>
      <c r="BY395" s="6"/>
      <c r="BZ395" s="6"/>
      <c r="CA395" s="6"/>
      <c r="CB395" s="6"/>
      <c r="CC395" s="6"/>
      <c r="CD395" s="6"/>
      <c r="CE395" s="6"/>
      <c r="CF395" s="6"/>
    </row>
    <row r="396" spans="4:84">
      <c r="D396" s="6"/>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c r="AU396" s="6"/>
      <c r="AV396" s="6"/>
      <c r="AW396" s="6"/>
      <c r="AX396" s="6"/>
      <c r="AY396" s="6"/>
      <c r="AZ396" s="6"/>
      <c r="BA396" s="6"/>
      <c r="BB396" s="6"/>
      <c r="BC396" s="6"/>
      <c r="BD396" s="6"/>
      <c r="BE396" s="6"/>
      <c r="BF396" s="6"/>
      <c r="BG396" s="6"/>
      <c r="BH396" s="6"/>
      <c r="BI396" s="6"/>
      <c r="BJ396" s="6"/>
      <c r="BK396" s="6"/>
      <c r="BL396" s="6"/>
      <c r="BM396" s="6"/>
      <c r="BN396" s="6"/>
      <c r="BO396" s="6"/>
      <c r="BP396" s="6"/>
      <c r="BQ396" s="6"/>
      <c r="BR396" s="6"/>
      <c r="BS396" s="6"/>
      <c r="BT396" s="6"/>
      <c r="BU396" s="6"/>
      <c r="BV396" s="6"/>
      <c r="BW396" s="6"/>
      <c r="BX396" s="6"/>
      <c r="BY396" s="6"/>
      <c r="BZ396" s="6"/>
      <c r="CA396" s="6"/>
      <c r="CB396" s="6"/>
      <c r="CC396" s="6"/>
      <c r="CD396" s="6"/>
      <c r="CE396" s="6"/>
      <c r="CF396" s="6"/>
    </row>
    <row r="397" spans="4:84">
      <c r="D397" s="6"/>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6"/>
      <c r="AX397" s="6"/>
      <c r="AY397" s="6"/>
      <c r="AZ397" s="6"/>
      <c r="BA397" s="6"/>
      <c r="BB397" s="6"/>
      <c r="BC397" s="6"/>
      <c r="BD397" s="6"/>
      <c r="BE397" s="6"/>
      <c r="BF397" s="6"/>
      <c r="BG397" s="6"/>
      <c r="BH397" s="6"/>
      <c r="BI397" s="6"/>
      <c r="BJ397" s="6"/>
      <c r="BK397" s="6"/>
      <c r="BL397" s="6"/>
      <c r="BM397" s="6"/>
      <c r="BN397" s="6"/>
      <c r="BO397" s="6"/>
      <c r="BP397" s="6"/>
      <c r="BQ397" s="6"/>
      <c r="BR397" s="6"/>
      <c r="BS397" s="6"/>
      <c r="BT397" s="6"/>
      <c r="BU397" s="6"/>
      <c r="BV397" s="6"/>
      <c r="BW397" s="6"/>
      <c r="BX397" s="6"/>
      <c r="BY397" s="6"/>
      <c r="BZ397" s="6"/>
      <c r="CA397" s="6"/>
      <c r="CB397" s="6"/>
      <c r="CC397" s="6"/>
      <c r="CD397" s="6"/>
      <c r="CE397" s="6"/>
      <c r="CF397" s="6"/>
    </row>
    <row r="398" spans="4:84">
      <c r="D398" s="6"/>
      <c r="E398" s="6"/>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c r="AU398" s="6"/>
      <c r="AV398" s="6"/>
      <c r="AW398" s="6"/>
      <c r="AX398" s="6"/>
      <c r="AY398" s="6"/>
      <c r="AZ398" s="6"/>
      <c r="BA398" s="6"/>
      <c r="BB398" s="6"/>
      <c r="BC398" s="6"/>
      <c r="BD398" s="6"/>
      <c r="BE398" s="6"/>
      <c r="BF398" s="6"/>
      <c r="BG398" s="6"/>
      <c r="BH398" s="6"/>
      <c r="BI398" s="6"/>
      <c r="BJ398" s="6"/>
      <c r="BK398" s="6"/>
      <c r="BL398" s="6"/>
      <c r="BM398" s="6"/>
      <c r="BN398" s="6"/>
      <c r="BO398" s="6"/>
      <c r="BP398" s="6"/>
      <c r="BQ398" s="6"/>
      <c r="BR398" s="6"/>
      <c r="BS398" s="6"/>
      <c r="BT398" s="6"/>
      <c r="BU398" s="6"/>
      <c r="BV398" s="6"/>
      <c r="BW398" s="6"/>
      <c r="BX398" s="6"/>
      <c r="BY398" s="6"/>
      <c r="BZ398" s="6"/>
      <c r="CA398" s="6"/>
      <c r="CB398" s="6"/>
      <c r="CC398" s="6"/>
      <c r="CD398" s="6"/>
      <c r="CE398" s="6"/>
      <c r="CF398" s="6"/>
    </row>
  </sheetData>
  <pageMargins left="0.75" right="0.75" top="1" bottom="1" header="0.5" footer="0.5"/>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92D050"/>
    <pageSetUpPr autoPageBreaks="0"/>
  </sheetPr>
  <dimension ref="A1:IV398"/>
  <sheetViews>
    <sheetView topLeftCell="A227" zoomScaleNormal="100" workbookViewId="0">
      <selection activeCell="C25" sqref="C25"/>
    </sheetView>
  </sheetViews>
  <sheetFormatPr defaultRowHeight="12.75"/>
  <cols>
    <col min="1" max="1" width="29" style="4" bestFit="1" customWidth="1"/>
    <col min="2" max="2" width="14.42578125" style="4" bestFit="1" customWidth="1"/>
    <col min="3" max="4" width="17.85546875" style="4" bestFit="1" customWidth="1"/>
    <col min="5" max="5" width="12.5703125" style="4" bestFit="1" customWidth="1"/>
    <col min="6" max="6" width="10.140625" style="4" bestFit="1" customWidth="1"/>
    <col min="7" max="7" width="16.7109375" style="4" customWidth="1"/>
    <col min="8" max="8" width="12" style="4" bestFit="1" customWidth="1"/>
    <col min="9" max="9" width="11" style="4" bestFit="1" customWidth="1"/>
    <col min="10" max="10" width="11.7109375" style="4" bestFit="1" customWidth="1"/>
    <col min="11" max="11" width="12" style="4" bestFit="1" customWidth="1"/>
    <col min="12" max="12" width="14.7109375" style="4" bestFit="1" customWidth="1"/>
    <col min="13" max="13" width="16.5703125" style="4" bestFit="1" customWidth="1"/>
    <col min="14" max="14" width="12" style="4" bestFit="1" customWidth="1"/>
    <col min="15" max="15" width="25.140625" style="4" bestFit="1" customWidth="1"/>
    <col min="16" max="16" width="21.85546875" style="4" bestFit="1" customWidth="1"/>
    <col min="17" max="17" width="15.28515625" style="4" bestFit="1" customWidth="1"/>
    <col min="18" max="27" width="10.140625" style="4" bestFit="1" customWidth="1"/>
    <col min="28" max="28" width="18.7109375" style="4" customWidth="1"/>
    <col min="29" max="80" width="10.140625" style="4" bestFit="1" customWidth="1"/>
    <col min="81" max="82" width="17.85546875" style="4" bestFit="1" customWidth="1"/>
    <col min="83" max="83" width="17.85546875" style="4" customWidth="1"/>
    <col min="84" max="84" width="24.140625" style="4" customWidth="1"/>
    <col min="85" max="85" width="24.7109375" style="4" customWidth="1"/>
    <col min="86" max="102" width="15.7109375" style="4" bestFit="1" customWidth="1"/>
    <col min="103" max="103" width="20.85546875" style="4" customWidth="1"/>
    <col min="104" max="104" width="13.85546875" style="4" customWidth="1"/>
    <col min="105" max="142" width="9.140625" style="4"/>
    <col min="143" max="143" width="13.28515625" style="4" customWidth="1"/>
    <col min="144" max="16384" width="9.140625" style="4"/>
  </cols>
  <sheetData>
    <row r="1" spans="1:152">
      <c r="C1" s="156"/>
      <c r="D1" s="4" t="s">
        <v>109</v>
      </c>
      <c r="E1" s="4" t="s">
        <v>108</v>
      </c>
      <c r="F1" s="1" t="s">
        <v>3</v>
      </c>
      <c r="G1" s="4" t="s">
        <v>107</v>
      </c>
      <c r="H1" s="1" t="s">
        <v>0</v>
      </c>
      <c r="I1" s="1" t="s">
        <v>1</v>
      </c>
      <c r="J1" s="1" t="s">
        <v>2</v>
      </c>
      <c r="K1" s="2" t="s">
        <v>4</v>
      </c>
      <c r="L1" s="2" t="s">
        <v>6</v>
      </c>
      <c r="M1" s="2" t="s">
        <v>7</v>
      </c>
      <c r="N1" s="2" t="s">
        <v>5</v>
      </c>
      <c r="O1" s="2" t="s">
        <v>9</v>
      </c>
      <c r="P1" s="2" t="s">
        <v>10</v>
      </c>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3"/>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row>
    <row r="2" spans="1:152">
      <c r="A2" s="14" t="s">
        <v>20</v>
      </c>
      <c r="B2" s="14"/>
      <c r="C2" s="1"/>
      <c r="D2" t="str">
        <f>'Bond Data'!B123</f>
        <v>CTAUD12M GOVT</v>
      </c>
      <c r="E2" s="192" t="str">
        <f>'Bond Data'!C123</f>
        <v>10/15/2019</v>
      </c>
      <c r="F2" s="192" t="str">
        <f>'Bond Data'!D123</f>
        <v>4/15/2020</v>
      </c>
      <c r="G2">
        <f>'Bond Data'!E123</f>
        <v>2</v>
      </c>
      <c r="H2">
        <f>'Bond Data'!F123</f>
        <v>102.71549999999999</v>
      </c>
      <c r="I2">
        <f>'Bond Data'!G123</f>
        <v>0.98399999999999999</v>
      </c>
      <c r="J2">
        <f>'Bond Data'!H123/100</f>
        <v>4.4999999999999998E-2</v>
      </c>
      <c r="K2">
        <f>'Bond Data'!I123</f>
        <v>103.69949999999999</v>
      </c>
      <c r="L2" s="4">
        <f>YIELD($B$3,F2,J2,H2,100,G2,0)</f>
        <v>1.0211636469902415E-2</v>
      </c>
      <c r="M2" s="4">
        <f>MDURATION($B$3,F2,J2,L2,G2,0)</f>
        <v>0.77135339311971352</v>
      </c>
      <c r="N2" s="4">
        <f>DURATION($B$3,F2,J2,L2,G2,0)</f>
        <v>0.77529178333989568</v>
      </c>
      <c r="O2" s="4">
        <f>1/M2</f>
        <v>1.2964226370425789</v>
      </c>
      <c r="P2" s="4">
        <f t="shared" ref="P2:P13" si="0">O2/$O$28</f>
        <v>0.35834110571277644</v>
      </c>
      <c r="BO2" s="3"/>
    </row>
    <row r="3" spans="1:152">
      <c r="A3" s="14" t="s">
        <v>21</v>
      </c>
      <c r="B3" s="229">
        <f>'Instructions &amp; Dashboard'!$D$45</f>
        <v>43648</v>
      </c>
      <c r="C3" s="1"/>
      <c r="D3" t="str">
        <f>'Bond Data'!B124</f>
        <v>CTAUD2Y GOVT</v>
      </c>
      <c r="E3" s="192" t="str">
        <f>'Bond Data'!C124</f>
        <v>11/15/2019</v>
      </c>
      <c r="F3" s="192" t="str">
        <f>'Bond Data'!D124</f>
        <v>5/15/2021</v>
      </c>
      <c r="G3">
        <f>'Bond Data'!E124</f>
        <v>2</v>
      </c>
      <c r="H3">
        <f>'Bond Data'!F124</f>
        <v>108.813</v>
      </c>
      <c r="I3">
        <f>'Bond Data'!G124</f>
        <v>0.78100000000000003</v>
      </c>
      <c r="J3">
        <f>'Bond Data'!H124/100</f>
        <v>5.7500000000000002E-2</v>
      </c>
      <c r="K3">
        <f>'Bond Data'!I124</f>
        <v>109.59400000000001</v>
      </c>
      <c r="L3" s="549">
        <f t="shared" ref="L3:L13" si="1">YIELD($B$3,F3,J3,H3,100,G3,0)</f>
        <v>9.8016672909578342E-3</v>
      </c>
      <c r="M3" s="549">
        <f t="shared" ref="M3:M13" si="2">MDURATION($B$3,F3,J3,L3,G3,0)</f>
        <v>1.7825258157802666</v>
      </c>
      <c r="N3" s="549">
        <f t="shared" ref="N3:N13" si="3">DURATION($B$3,F3,J3,L3,G3,0)</f>
        <v>1.7912616782721773</v>
      </c>
      <c r="O3" s="4">
        <f t="shared" ref="O3:O13" si="4">1/M3</f>
        <v>0.56100169273692635</v>
      </c>
      <c r="P3" s="4">
        <f t="shared" si="0"/>
        <v>0.15506514707324334</v>
      </c>
      <c r="BO3" s="3"/>
    </row>
    <row r="4" spans="1:152">
      <c r="A4" s="14" t="s">
        <v>46</v>
      </c>
      <c r="B4" s="14"/>
      <c r="C4" s="1"/>
      <c r="D4" t="str">
        <f>'Bond Data'!B125</f>
        <v>CTAUD3Y GOVT</v>
      </c>
      <c r="E4" s="192" t="str">
        <f>'Bond Data'!C125</f>
        <v>7/15/2019</v>
      </c>
      <c r="F4" s="192" t="str">
        <f>'Bond Data'!D125</f>
        <v>7/15/2022</v>
      </c>
      <c r="G4">
        <f>'Bond Data'!E125</f>
        <v>2</v>
      </c>
      <c r="H4">
        <f>'Bond Data'!F125</f>
        <v>114.254</v>
      </c>
      <c r="I4">
        <f>'Bond Data'!G125</f>
        <v>2.7</v>
      </c>
      <c r="J4">
        <f>'Bond Data'!H125/100</f>
        <v>5.7500000000000002E-2</v>
      </c>
      <c r="K4">
        <f>'Bond Data'!I125</f>
        <v>116.95400000000001</v>
      </c>
      <c r="L4" s="549">
        <f t="shared" si="1"/>
        <v>9.7385292707629321E-3</v>
      </c>
      <c r="M4" s="549">
        <f t="shared" si="2"/>
        <v>2.7666182606261618</v>
      </c>
      <c r="N4" s="549">
        <f t="shared" si="3"/>
        <v>2.7800896570822293</v>
      </c>
      <c r="O4" s="4">
        <f>1/M4</f>
        <v>0.36145210715614684</v>
      </c>
      <c r="P4" s="4">
        <f t="shared" si="0"/>
        <v>9.9908119497216591E-2</v>
      </c>
      <c r="BO4" s="3"/>
    </row>
    <row r="5" spans="1:152">
      <c r="A5" s="14" t="s">
        <v>50</v>
      </c>
      <c r="B5" s="238">
        <f>'Instructions &amp; Dashboard'!$D$40/100</f>
        <v>4.2000000000000003E-2</v>
      </c>
      <c r="C5" s="1"/>
      <c r="D5" t="str">
        <f>'Bond Data'!B126</f>
        <v>CTAUD4Y GOVT</v>
      </c>
      <c r="E5" s="192" t="str">
        <f>'Bond Data'!C126</f>
        <v>10/21/2019</v>
      </c>
      <c r="F5" s="192" t="str">
        <f>'Bond Data'!D126</f>
        <v>4/21/2023</v>
      </c>
      <c r="G5">
        <f>'Bond Data'!E126</f>
        <v>2</v>
      </c>
      <c r="H5">
        <f>'Bond Data'!F126</f>
        <v>116.8125</v>
      </c>
      <c r="I5">
        <f>'Bond Data'!G126</f>
        <v>1.1120000000000001</v>
      </c>
      <c r="J5">
        <f>'Bond Data'!H126/100</f>
        <v>5.5E-2</v>
      </c>
      <c r="K5">
        <f>'Bond Data'!I126</f>
        <v>117.92449999999999</v>
      </c>
      <c r="L5" s="549">
        <f t="shared" si="1"/>
        <v>9.8432623463931886E-3</v>
      </c>
      <c r="M5" s="549">
        <f t="shared" si="2"/>
        <v>3.4633160966445513</v>
      </c>
      <c r="N5" s="549">
        <f t="shared" si="3"/>
        <v>3.4803612611084307</v>
      </c>
      <c r="O5" s="4">
        <f t="shared" si="4"/>
        <v>0.28874060931627188</v>
      </c>
      <c r="P5" s="4">
        <f t="shared" si="0"/>
        <v>7.9810106866542968E-2</v>
      </c>
      <c r="BO5" s="3"/>
    </row>
    <row r="6" spans="1:152">
      <c r="A6" s="14" t="s">
        <v>11</v>
      </c>
      <c r="B6" s="14">
        <v>-3.0768234231114178E-2</v>
      </c>
      <c r="C6" s="1"/>
      <c r="D6" t="str">
        <f>'Bond Data'!B127</f>
        <v>CTAUD5Y GOVT</v>
      </c>
      <c r="E6" s="192" t="str">
        <f>'Bond Data'!C127</f>
        <v>10/21/2019</v>
      </c>
      <c r="F6" s="192" t="str">
        <f>'Bond Data'!D127</f>
        <v>4/21/2024</v>
      </c>
      <c r="G6">
        <f>'Bond Data'!E127</f>
        <v>2</v>
      </c>
      <c r="H6">
        <f>'Bond Data'!F127</f>
        <v>108.0475</v>
      </c>
      <c r="I6">
        <f>'Bond Data'!G127</f>
        <v>0.55600000000000005</v>
      </c>
      <c r="J6">
        <f>'Bond Data'!H127/100</f>
        <v>2.75E-2</v>
      </c>
      <c r="K6">
        <f>'Bond Data'!I127</f>
        <v>108.6035</v>
      </c>
      <c r="L6" s="549">
        <f t="shared" si="1"/>
        <v>1.0282112928918634E-2</v>
      </c>
      <c r="M6" s="549">
        <f t="shared" si="2"/>
        <v>4.499466167137065</v>
      </c>
      <c r="N6" s="549">
        <f t="shared" si="3"/>
        <v>4.5225981767622416</v>
      </c>
      <c r="O6" s="4">
        <f t="shared" si="4"/>
        <v>0.22224858746660678</v>
      </c>
      <c r="P6" s="4">
        <f t="shared" si="0"/>
        <v>6.1431204840394119E-2</v>
      </c>
      <c r="BO6" s="3"/>
    </row>
    <row r="7" spans="1:152">
      <c r="A7" s="14" t="s">
        <v>12</v>
      </c>
      <c r="B7" s="14">
        <v>2.6341192267091352E-2</v>
      </c>
      <c r="C7" s="1"/>
      <c r="D7" t="str">
        <f>'Bond Data'!B128</f>
        <v>CTAUD6Y GOVT</v>
      </c>
      <c r="E7" s="192" t="str">
        <f>'Bond Data'!C128</f>
        <v>10/21/2019</v>
      </c>
      <c r="F7" s="192" t="str">
        <f>'Bond Data'!D128</f>
        <v>4/21/2025</v>
      </c>
      <c r="G7">
        <f>'Bond Data'!E128</f>
        <v>2</v>
      </c>
      <c r="H7">
        <f>'Bond Data'!F128</f>
        <v>112.00700000000001</v>
      </c>
      <c r="I7">
        <f>'Bond Data'!G128</f>
        <v>0.65700000000000003</v>
      </c>
      <c r="J7">
        <f>'Bond Data'!H128/100</f>
        <v>3.2500000000000001E-2</v>
      </c>
      <c r="K7">
        <f>'Bond Data'!I128</f>
        <v>112.664</v>
      </c>
      <c r="L7" s="549">
        <f t="shared" si="1"/>
        <v>1.107691937640848E-2</v>
      </c>
      <c r="M7" s="549">
        <f t="shared" si="2"/>
        <v>5.3075350249712505</v>
      </c>
      <c r="N7" s="549">
        <f t="shared" si="3"/>
        <v>5.336930593750786</v>
      </c>
      <c r="O7" s="4">
        <f t="shared" si="4"/>
        <v>0.18841138029144081</v>
      </c>
      <c r="P7" s="4">
        <f t="shared" si="0"/>
        <v>5.2078342674209167E-2</v>
      </c>
      <c r="BO7" s="3"/>
    </row>
    <row r="8" spans="1:152">
      <c r="A8" s="14" t="s">
        <v>51</v>
      </c>
      <c r="B8" s="14">
        <v>-1.0065339593401893E-2</v>
      </c>
      <c r="C8" s="1"/>
      <c r="D8" t="str">
        <f>'Bond Data'!B129</f>
        <v>CTAUD7Y GOVT</v>
      </c>
      <c r="E8" s="192" t="str">
        <f>'Bond Data'!C129</f>
        <v>10/21/2019</v>
      </c>
      <c r="F8" s="192" t="str">
        <f>'Bond Data'!D129</f>
        <v>4/21/2026</v>
      </c>
      <c r="G8">
        <f>'Bond Data'!E129</f>
        <v>2</v>
      </c>
      <c r="H8">
        <f>'Bond Data'!F129</f>
        <v>120.0615</v>
      </c>
      <c r="I8">
        <f>'Bond Data'!G129</f>
        <v>0.85899999999999999</v>
      </c>
      <c r="J8">
        <f>'Bond Data'!H129/100</f>
        <v>4.2500000000000003E-2</v>
      </c>
      <c r="K8">
        <f>'Bond Data'!I129</f>
        <v>120.92049999999999</v>
      </c>
      <c r="L8" s="549">
        <f t="shared" si="1"/>
        <v>1.1729064927879127E-2</v>
      </c>
      <c r="M8" s="549">
        <f t="shared" si="2"/>
        <v>5.9890388566579444</v>
      </c>
      <c r="N8" s="549">
        <f t="shared" si="3"/>
        <v>6.0241617694606102</v>
      </c>
      <c r="O8" s="4">
        <f t="shared" si="4"/>
        <v>0.16697170012318616</v>
      </c>
      <c r="P8" s="4">
        <f t="shared" si="0"/>
        <v>4.6152251538415207E-2</v>
      </c>
      <c r="BO8" s="3"/>
    </row>
    <row r="9" spans="1:152">
      <c r="A9" s="14" t="s">
        <v>53</v>
      </c>
      <c r="B9" s="14">
        <v>63.243018913710777</v>
      </c>
      <c r="C9" s="1"/>
      <c r="D9" t="str">
        <f>'Bond Data'!B130</f>
        <v>CTAUD8Y GOVT</v>
      </c>
      <c r="E9" s="192" t="str">
        <f>'Bond Data'!C130</f>
        <v>10/21/2019</v>
      </c>
      <c r="F9" s="192" t="str">
        <f>'Bond Data'!D130</f>
        <v>4/21/2027</v>
      </c>
      <c r="G9">
        <f>'Bond Data'!E130</f>
        <v>2</v>
      </c>
      <c r="H9">
        <f>'Bond Data'!F130</f>
        <v>126.0275</v>
      </c>
      <c r="I9">
        <f>'Bond Data'!G130</f>
        <v>0.96</v>
      </c>
      <c r="J9">
        <f>'Bond Data'!H130/100</f>
        <v>4.7500000000000001E-2</v>
      </c>
      <c r="K9">
        <f>'Bond Data'!I130</f>
        <v>126.9875</v>
      </c>
      <c r="L9" s="549">
        <f t="shared" si="1"/>
        <v>1.2398235604729078E-2</v>
      </c>
      <c r="M9" s="549">
        <f t="shared" si="2"/>
        <v>6.6747441525346893</v>
      </c>
      <c r="N9" s="549">
        <f t="shared" si="3"/>
        <v>6.7161216778368962</v>
      </c>
      <c r="O9" s="4">
        <f t="shared" si="4"/>
        <v>0.14981847650598812</v>
      </c>
      <c r="P9" s="4">
        <f t="shared" si="0"/>
        <v>4.1410969689505792E-2</v>
      </c>
      <c r="BO9" s="3"/>
    </row>
    <row r="10" spans="1:152">
      <c r="A10" s="14" t="s">
        <v>52</v>
      </c>
      <c r="B10" s="14">
        <v>1.7536208484834075</v>
      </c>
      <c r="C10" s="1"/>
      <c r="D10" t="str">
        <f>'Bond Data'!B131</f>
        <v>CTAUD9Y GOVT</v>
      </c>
      <c r="E10" s="192" t="str">
        <f>'Bond Data'!C131</f>
        <v>11/21/2019</v>
      </c>
      <c r="F10" s="192" t="str">
        <f>'Bond Data'!D131</f>
        <v>5/21/2028</v>
      </c>
      <c r="G10">
        <f>'Bond Data'!E131</f>
        <v>2</v>
      </c>
      <c r="H10">
        <f>'Bond Data'!F131</f>
        <v>107.84649999999999</v>
      </c>
      <c r="I10">
        <f>'Bond Data'!G131</f>
        <v>0.26900000000000002</v>
      </c>
      <c r="J10">
        <f>'Bond Data'!H131/100</f>
        <v>2.2499999999999999E-2</v>
      </c>
      <c r="K10">
        <f>'Bond Data'!I131</f>
        <v>108.1155</v>
      </c>
      <c r="L10" s="549">
        <f t="shared" si="1"/>
        <v>1.3115711095574085E-2</v>
      </c>
      <c r="M10" s="549">
        <f t="shared" si="2"/>
        <v>8.0679567330869748</v>
      </c>
      <c r="N10" s="549">
        <f t="shared" si="3"/>
        <v>8.1208652279083537</v>
      </c>
      <c r="O10" s="4">
        <f t="shared" si="4"/>
        <v>0.12394711983257976</v>
      </c>
      <c r="P10" s="4">
        <f t="shared" si="0"/>
        <v>3.4259929363808145E-2</v>
      </c>
      <c r="BO10" s="3"/>
    </row>
    <row r="11" spans="1:152">
      <c r="A11" s="14"/>
      <c r="B11" s="14"/>
      <c r="C11" s="1"/>
      <c r="D11" t="str">
        <f>'Bond Data'!B132</f>
        <v>CTAUD10Y GOVT</v>
      </c>
      <c r="E11" s="192" t="str">
        <f>'Bond Data'!C132</f>
        <v>10/21/2019</v>
      </c>
      <c r="F11" s="192" t="str">
        <f>'Bond Data'!D132</f>
        <v>4/21/2029</v>
      </c>
      <c r="G11">
        <f>'Bond Data'!E132</f>
        <v>2</v>
      </c>
      <c r="H11">
        <f>'Bond Data'!F132</f>
        <v>117.547</v>
      </c>
      <c r="I11">
        <f>'Bond Data'!G132</f>
        <v>0.65700000000000003</v>
      </c>
      <c r="J11">
        <f>'Bond Data'!H132/100</f>
        <v>3.2500000000000001E-2</v>
      </c>
      <c r="K11">
        <f>'Bond Data'!I132</f>
        <v>118.20399999999999</v>
      </c>
      <c r="L11" s="549">
        <f t="shared" si="1"/>
        <v>1.3342857133058128E-2</v>
      </c>
      <c r="M11" s="549">
        <f t="shared" si="2"/>
        <v>8.4954704327528177</v>
      </c>
      <c r="N11" s="549">
        <f t="shared" si="3"/>
        <v>8.552147356883987</v>
      </c>
      <c r="O11" s="4">
        <f t="shared" si="4"/>
        <v>0.11770978522209587</v>
      </c>
      <c r="P11" s="4">
        <f t="shared" si="0"/>
        <v>3.2535882500417897E-2</v>
      </c>
      <c r="BO11" s="3"/>
    </row>
    <row r="12" spans="1:152">
      <c r="C12" s="1"/>
      <c r="D12" t="str">
        <f>'Bond Data'!B133</f>
        <v>CTAUD15Y GOVT</v>
      </c>
      <c r="E12" s="192" t="str">
        <f>'Bond Data'!C133</f>
        <v>12/21/2019</v>
      </c>
      <c r="F12" s="192" t="str">
        <f>'Bond Data'!D133</f>
        <v>6/21/2035</v>
      </c>
      <c r="G12">
        <f>'Bond Data'!E133</f>
        <v>2</v>
      </c>
      <c r="H12">
        <f>'Bond Data'!F133</f>
        <v>116.54349999999999</v>
      </c>
      <c r="I12">
        <f>'Bond Data'!G133</f>
        <v>9.8000000000000004E-2</v>
      </c>
      <c r="J12">
        <f>'Bond Data'!H133/100</f>
        <v>2.75E-2</v>
      </c>
      <c r="K12">
        <f>'Bond Data'!I133</f>
        <v>116.64149999999999</v>
      </c>
      <c r="L12" s="549">
        <f t="shared" si="1"/>
        <v>1.5743068111905133E-2</v>
      </c>
      <c r="M12" s="549">
        <f t="shared" si="2"/>
        <v>13.177708166711708</v>
      </c>
      <c r="N12" s="549">
        <f t="shared" si="3"/>
        <v>13.281436945325384</v>
      </c>
      <c r="O12" s="4">
        <f t="shared" si="4"/>
        <v>7.5885729699653418E-2</v>
      </c>
      <c r="P12" s="4">
        <f t="shared" si="0"/>
        <v>2.0975394529077152E-2</v>
      </c>
      <c r="BO12" s="3"/>
    </row>
    <row r="13" spans="1:152">
      <c r="C13" s="1"/>
      <c r="D13" t="str">
        <f>'Bond Data'!B134</f>
        <v>CTAUD20Y GOVT</v>
      </c>
      <c r="E13" s="192" t="str">
        <f>'Bond Data'!C134</f>
        <v>12/21/2019</v>
      </c>
      <c r="F13" s="192" t="str">
        <f>'Bond Data'!D134</f>
        <v>6/21/2039</v>
      </c>
      <c r="G13">
        <f>'Bond Data'!E134</f>
        <v>2</v>
      </c>
      <c r="H13">
        <f>'Bond Data'!F134</f>
        <v>125.24100000000001</v>
      </c>
      <c r="I13">
        <f>'Bond Data'!G134</f>
        <v>0.115</v>
      </c>
      <c r="J13">
        <f>'Bond Data'!H134/100</f>
        <v>3.2500000000000001E-2</v>
      </c>
      <c r="K13">
        <f>'Bond Data'!I134</f>
        <v>125.35600000000001</v>
      </c>
      <c r="L13" s="549">
        <f t="shared" si="1"/>
        <v>1.7472306347026189E-2</v>
      </c>
      <c r="M13" s="549">
        <f t="shared" si="2"/>
        <v>15.329114439988722</v>
      </c>
      <c r="N13" s="549">
        <f t="shared" si="3"/>
        <v>15.463031931750773</v>
      </c>
      <c r="O13" s="4">
        <f t="shared" si="4"/>
        <v>6.5235340496338265E-2</v>
      </c>
      <c r="P13" s="4">
        <f t="shared" si="0"/>
        <v>1.8031545714393103E-2</v>
      </c>
      <c r="BO13" s="3"/>
    </row>
    <row r="14" spans="1:152" ht="14.25">
      <c r="C14" s="1"/>
      <c r="D14" s="548"/>
      <c r="E14" s="220"/>
      <c r="F14" s="220"/>
      <c r="G14" s="226"/>
      <c r="H14" s="223"/>
      <c r="I14" s="226"/>
      <c r="J14" s="227"/>
      <c r="K14" s="224"/>
      <c r="L14" s="226"/>
      <c r="M14" s="226"/>
      <c r="N14" s="226"/>
      <c r="O14" s="226"/>
      <c r="P14" s="226"/>
      <c r="Q14" s="226"/>
      <c r="BO14" s="3"/>
    </row>
    <row r="15" spans="1:152">
      <c r="C15" s="1"/>
      <c r="D15" s="548"/>
      <c r="E15"/>
      <c r="F15"/>
      <c r="G15"/>
      <c r="H15"/>
      <c r="I15"/>
      <c r="J15"/>
      <c r="K15"/>
      <c r="BO15" s="3"/>
    </row>
    <row r="16" spans="1:152">
      <c r="C16" s="1"/>
      <c r="D16"/>
      <c r="E16"/>
      <c r="F16"/>
      <c r="G16"/>
      <c r="H16"/>
      <c r="I16"/>
      <c r="J16"/>
      <c r="K16"/>
      <c r="BO16" s="3"/>
    </row>
    <row r="17" spans="1:83">
      <c r="C17" s="1"/>
      <c r="D17"/>
      <c r="E17"/>
      <c r="F17"/>
      <c r="G17"/>
      <c r="H17"/>
      <c r="I17"/>
      <c r="J17"/>
      <c r="K17"/>
      <c r="BO17" s="3"/>
    </row>
    <row r="18" spans="1:83">
      <c r="C18" s="1"/>
      <c r="E18"/>
      <c r="F18"/>
      <c r="G18"/>
      <c r="H18"/>
      <c r="I18"/>
      <c r="J18"/>
      <c r="K18"/>
      <c r="BO18" s="3"/>
    </row>
    <row r="19" spans="1:83">
      <c r="C19" s="1"/>
      <c r="D19"/>
      <c r="E19"/>
      <c r="F19"/>
      <c r="G19"/>
      <c r="H19"/>
      <c r="I19"/>
      <c r="J19"/>
      <c r="K19"/>
      <c r="BO19" s="3"/>
    </row>
    <row r="20" spans="1:83">
      <c r="C20" s="1"/>
      <c r="D20"/>
      <c r="E20"/>
      <c r="F20"/>
      <c r="G20"/>
      <c r="H20"/>
      <c r="I20"/>
      <c r="J20"/>
      <c r="K20"/>
      <c r="BO20" s="3"/>
    </row>
    <row r="21" spans="1:83">
      <c r="C21" s="1"/>
      <c r="D21"/>
      <c r="E21"/>
      <c r="F21"/>
      <c r="G21"/>
      <c r="H21"/>
      <c r="I21"/>
      <c r="J21"/>
      <c r="K21"/>
      <c r="BO21" s="3"/>
    </row>
    <row r="22" spans="1:83">
      <c r="C22" s="1"/>
      <c r="D22"/>
      <c r="E22"/>
      <c r="F22"/>
      <c r="G22"/>
      <c r="H22"/>
      <c r="I22"/>
      <c r="J22"/>
      <c r="K22"/>
      <c r="BO22" s="3"/>
    </row>
    <row r="23" spans="1:83">
      <c r="C23" s="1"/>
      <c r="D23"/>
      <c r="E23"/>
      <c r="F23"/>
      <c r="G23"/>
      <c r="H23"/>
      <c r="I23"/>
      <c r="J23"/>
      <c r="K23"/>
    </row>
    <row r="24" spans="1:83">
      <c r="C24" s="1"/>
      <c r="D24"/>
      <c r="E24"/>
      <c r="F24"/>
      <c r="G24"/>
      <c r="H24"/>
      <c r="I24"/>
      <c r="J24"/>
      <c r="K24"/>
    </row>
    <row r="25" spans="1:83">
      <c r="C25" s="1"/>
      <c r="D25"/>
      <c r="E25"/>
      <c r="F25"/>
      <c r="G25"/>
      <c r="H25"/>
      <c r="I25"/>
      <c r="J25"/>
      <c r="K25"/>
    </row>
    <row r="26" spans="1:83">
      <c r="C26" s="1"/>
      <c r="D26"/>
      <c r="E26"/>
      <c r="F26"/>
      <c r="G26"/>
      <c r="H26"/>
      <c r="I26"/>
      <c r="J26"/>
      <c r="K26"/>
    </row>
    <row r="27" spans="1:83">
      <c r="C27" s="1"/>
      <c r="D27"/>
      <c r="E27"/>
      <c r="F27"/>
      <c r="G27"/>
      <c r="H27"/>
      <c r="I27"/>
      <c r="J27"/>
      <c r="K27"/>
    </row>
    <row r="28" spans="1:83">
      <c r="D28"/>
      <c r="N28" s="13" t="s">
        <v>48</v>
      </c>
      <c r="O28" s="13">
        <f>SUM(O2:O27)</f>
        <v>3.6178451658898134</v>
      </c>
      <c r="P28" s="6"/>
    </row>
    <row r="29" spans="1:83">
      <c r="A29" s="6"/>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row>
    <row r="30" spans="1:83" s="22" customFormat="1">
      <c r="A30" s="161" t="s">
        <v>49</v>
      </c>
      <c r="B30" s="142" t="str">
        <f>IF(E2=0,F2,E2)</f>
        <v>10/15/2019</v>
      </c>
      <c r="C30" s="24">
        <f t="shared" ref="C30:BN30" si="5">B30+IF($G2=1,365,182.5)</f>
        <v>43935.5</v>
      </c>
      <c r="D30" s="24">
        <f t="shared" si="5"/>
        <v>44118</v>
      </c>
      <c r="E30" s="24">
        <f t="shared" si="5"/>
        <v>44300.5</v>
      </c>
      <c r="F30" s="24">
        <f t="shared" si="5"/>
        <v>44483</v>
      </c>
      <c r="G30" s="24">
        <f t="shared" si="5"/>
        <v>44665.5</v>
      </c>
      <c r="H30" s="24">
        <f t="shared" si="5"/>
        <v>44848</v>
      </c>
      <c r="I30" s="24">
        <f t="shared" si="5"/>
        <v>45030.5</v>
      </c>
      <c r="J30" s="24">
        <f t="shared" si="5"/>
        <v>45213</v>
      </c>
      <c r="K30" s="24">
        <f t="shared" si="5"/>
        <v>45395.5</v>
      </c>
      <c r="L30" s="24">
        <f t="shared" si="5"/>
        <v>45578</v>
      </c>
      <c r="M30" s="24">
        <f t="shared" si="5"/>
        <v>45760.5</v>
      </c>
      <c r="N30" s="24">
        <f t="shared" si="5"/>
        <v>45943</v>
      </c>
      <c r="O30" s="24">
        <f t="shared" si="5"/>
        <v>46125.5</v>
      </c>
      <c r="P30" s="24">
        <f t="shared" si="5"/>
        <v>46308</v>
      </c>
      <c r="Q30" s="24">
        <f t="shared" si="5"/>
        <v>46490.5</v>
      </c>
      <c r="R30" s="24">
        <f t="shared" si="5"/>
        <v>46673</v>
      </c>
      <c r="S30" s="24">
        <f t="shared" si="5"/>
        <v>46855.5</v>
      </c>
      <c r="T30" s="24">
        <f t="shared" si="5"/>
        <v>47038</v>
      </c>
      <c r="U30" s="24">
        <f t="shared" si="5"/>
        <v>47220.5</v>
      </c>
      <c r="V30" s="24">
        <f t="shared" si="5"/>
        <v>47403</v>
      </c>
      <c r="W30" s="24">
        <f t="shared" si="5"/>
        <v>47585.5</v>
      </c>
      <c r="X30" s="24">
        <f t="shared" si="5"/>
        <v>47768</v>
      </c>
      <c r="Y30" s="24">
        <f t="shared" si="5"/>
        <v>47950.5</v>
      </c>
      <c r="Z30" s="24">
        <f t="shared" si="5"/>
        <v>48133</v>
      </c>
      <c r="AA30" s="24">
        <f t="shared" si="5"/>
        <v>48315.5</v>
      </c>
      <c r="AB30" s="24">
        <f t="shared" si="5"/>
        <v>48498</v>
      </c>
      <c r="AC30" s="24">
        <f t="shared" si="5"/>
        <v>48680.5</v>
      </c>
      <c r="AD30" s="24">
        <f t="shared" si="5"/>
        <v>48863</v>
      </c>
      <c r="AE30" s="24">
        <f t="shared" si="5"/>
        <v>49045.5</v>
      </c>
      <c r="AF30" s="24">
        <f t="shared" si="5"/>
        <v>49228</v>
      </c>
      <c r="AG30" s="24">
        <f t="shared" si="5"/>
        <v>49410.5</v>
      </c>
      <c r="AH30" s="24">
        <f t="shared" si="5"/>
        <v>49593</v>
      </c>
      <c r="AI30" s="24">
        <f t="shared" si="5"/>
        <v>49775.5</v>
      </c>
      <c r="AJ30" s="24">
        <f t="shared" si="5"/>
        <v>49958</v>
      </c>
      <c r="AK30" s="24">
        <f t="shared" si="5"/>
        <v>50140.5</v>
      </c>
      <c r="AL30" s="24">
        <f t="shared" si="5"/>
        <v>50323</v>
      </c>
      <c r="AM30" s="24">
        <f t="shared" si="5"/>
        <v>50505.5</v>
      </c>
      <c r="AN30" s="24">
        <f t="shared" si="5"/>
        <v>50688</v>
      </c>
      <c r="AO30" s="24">
        <f t="shared" si="5"/>
        <v>50870.5</v>
      </c>
      <c r="AP30" s="24">
        <f t="shared" si="5"/>
        <v>51053</v>
      </c>
      <c r="AQ30" s="24">
        <f t="shared" si="5"/>
        <v>51235.5</v>
      </c>
      <c r="AR30" s="24">
        <f t="shared" si="5"/>
        <v>51418</v>
      </c>
      <c r="AS30" s="24">
        <f t="shared" si="5"/>
        <v>51600.5</v>
      </c>
      <c r="AT30" s="24">
        <f t="shared" si="5"/>
        <v>51783</v>
      </c>
      <c r="AU30" s="24">
        <f t="shared" si="5"/>
        <v>51965.5</v>
      </c>
      <c r="AV30" s="24">
        <f t="shared" si="5"/>
        <v>52148</v>
      </c>
      <c r="AW30" s="24">
        <f t="shared" si="5"/>
        <v>52330.5</v>
      </c>
      <c r="AX30" s="24">
        <f t="shared" si="5"/>
        <v>52513</v>
      </c>
      <c r="AY30" s="24">
        <f t="shared" si="5"/>
        <v>52695.5</v>
      </c>
      <c r="AZ30" s="24">
        <f t="shared" si="5"/>
        <v>52878</v>
      </c>
      <c r="BA30" s="24">
        <f t="shared" si="5"/>
        <v>53060.5</v>
      </c>
      <c r="BB30" s="24">
        <f t="shared" si="5"/>
        <v>53243</v>
      </c>
      <c r="BC30" s="24">
        <f t="shared" si="5"/>
        <v>53425.5</v>
      </c>
      <c r="BD30" s="24">
        <f t="shared" si="5"/>
        <v>53608</v>
      </c>
      <c r="BE30" s="24">
        <f t="shared" si="5"/>
        <v>53790.5</v>
      </c>
      <c r="BF30" s="24">
        <f t="shared" si="5"/>
        <v>53973</v>
      </c>
      <c r="BG30" s="24">
        <f t="shared" si="5"/>
        <v>54155.5</v>
      </c>
      <c r="BH30" s="24">
        <f t="shared" si="5"/>
        <v>54338</v>
      </c>
      <c r="BI30" s="24">
        <f t="shared" si="5"/>
        <v>54520.5</v>
      </c>
      <c r="BJ30" s="24">
        <f t="shared" si="5"/>
        <v>54703</v>
      </c>
      <c r="BK30" s="24">
        <f t="shared" si="5"/>
        <v>54885.5</v>
      </c>
      <c r="BL30" s="24">
        <f t="shared" si="5"/>
        <v>55068</v>
      </c>
      <c r="BM30" s="24">
        <f t="shared" si="5"/>
        <v>55250.5</v>
      </c>
      <c r="BN30" s="24">
        <f t="shared" si="5"/>
        <v>55433</v>
      </c>
      <c r="BO30" s="24">
        <f t="shared" ref="BO30:CB30" si="6">BN30+IF($G2=1,365,182.5)</f>
        <v>55615.5</v>
      </c>
      <c r="BP30" s="24">
        <f t="shared" si="6"/>
        <v>55798</v>
      </c>
      <c r="BQ30" s="24">
        <f t="shared" si="6"/>
        <v>55980.5</v>
      </c>
      <c r="BR30" s="24">
        <f t="shared" si="6"/>
        <v>56163</v>
      </c>
      <c r="BS30" s="24">
        <f t="shared" si="6"/>
        <v>56345.5</v>
      </c>
      <c r="BT30" s="24">
        <f t="shared" si="6"/>
        <v>56528</v>
      </c>
      <c r="BU30" s="24">
        <f t="shared" si="6"/>
        <v>56710.5</v>
      </c>
      <c r="BV30" s="24">
        <f t="shared" si="6"/>
        <v>56893</v>
      </c>
      <c r="BW30" s="24">
        <f t="shared" si="6"/>
        <v>57075.5</v>
      </c>
      <c r="BX30" s="24">
        <f t="shared" si="6"/>
        <v>57258</v>
      </c>
      <c r="BY30" s="24">
        <f t="shared" si="6"/>
        <v>57440.5</v>
      </c>
      <c r="BZ30" s="24">
        <f t="shared" si="6"/>
        <v>57623</v>
      </c>
      <c r="CA30" s="24">
        <f t="shared" si="6"/>
        <v>57805.5</v>
      </c>
      <c r="CB30" s="25">
        <f t="shared" si="6"/>
        <v>57988</v>
      </c>
    </row>
    <row r="31" spans="1:83">
      <c r="A31" s="162" t="s">
        <v>22</v>
      </c>
      <c r="B31" s="104">
        <f>(IF(B30=F2,100,0)+IF(G2=1,1,0.5)*J2*100)*IF(ISBLANK(F2)=TRUE,0,1)</f>
        <v>2.25</v>
      </c>
      <c r="C31" s="26">
        <f>IF(C30&gt;$F2+2,0,1)*(IF(D31=0,100,0)+IF($G2=1,1,0.5)*$J2*100)</f>
        <v>102.25</v>
      </c>
      <c r="D31" s="26">
        <f t="shared" ref="D31:BO31" si="7">IF(D30&gt;$F2+2,0,1)*(IF(E31=0,100,0)+IF($G2=1,1,0.5)*$J2*100)</f>
        <v>0</v>
      </c>
      <c r="E31" s="26">
        <f t="shared" si="7"/>
        <v>0</v>
      </c>
      <c r="F31" s="26">
        <f t="shared" si="7"/>
        <v>0</v>
      </c>
      <c r="G31" s="26">
        <f t="shared" si="7"/>
        <v>0</v>
      </c>
      <c r="H31" s="26">
        <f t="shared" si="7"/>
        <v>0</v>
      </c>
      <c r="I31" s="26">
        <f t="shared" si="7"/>
        <v>0</v>
      </c>
      <c r="J31" s="26">
        <f t="shared" si="7"/>
        <v>0</v>
      </c>
      <c r="K31" s="26">
        <f t="shared" si="7"/>
        <v>0</v>
      </c>
      <c r="L31" s="26">
        <f t="shared" si="7"/>
        <v>0</v>
      </c>
      <c r="M31" s="26">
        <f t="shared" si="7"/>
        <v>0</v>
      </c>
      <c r="N31" s="26">
        <f t="shared" si="7"/>
        <v>0</v>
      </c>
      <c r="O31" s="26">
        <f t="shared" si="7"/>
        <v>0</v>
      </c>
      <c r="P31" s="26">
        <f t="shared" si="7"/>
        <v>0</v>
      </c>
      <c r="Q31" s="26">
        <f t="shared" si="7"/>
        <v>0</v>
      </c>
      <c r="R31" s="26">
        <f t="shared" si="7"/>
        <v>0</v>
      </c>
      <c r="S31" s="26">
        <f t="shared" si="7"/>
        <v>0</v>
      </c>
      <c r="T31" s="26">
        <f t="shared" si="7"/>
        <v>0</v>
      </c>
      <c r="U31" s="26">
        <f t="shared" si="7"/>
        <v>0</v>
      </c>
      <c r="V31" s="26">
        <f t="shared" si="7"/>
        <v>0</v>
      </c>
      <c r="W31" s="26">
        <f t="shared" si="7"/>
        <v>0</v>
      </c>
      <c r="X31" s="26">
        <f t="shared" si="7"/>
        <v>0</v>
      </c>
      <c r="Y31" s="26">
        <f t="shared" si="7"/>
        <v>0</v>
      </c>
      <c r="Z31" s="26">
        <f t="shared" si="7"/>
        <v>0</v>
      </c>
      <c r="AA31" s="26">
        <f t="shared" si="7"/>
        <v>0</v>
      </c>
      <c r="AB31" s="26">
        <f t="shared" si="7"/>
        <v>0</v>
      </c>
      <c r="AC31" s="26">
        <f t="shared" si="7"/>
        <v>0</v>
      </c>
      <c r="AD31" s="26">
        <f t="shared" si="7"/>
        <v>0</v>
      </c>
      <c r="AE31" s="26">
        <f t="shared" si="7"/>
        <v>0</v>
      </c>
      <c r="AF31" s="26">
        <f t="shared" si="7"/>
        <v>0</v>
      </c>
      <c r="AG31" s="26">
        <f t="shared" si="7"/>
        <v>0</v>
      </c>
      <c r="AH31" s="26">
        <f t="shared" si="7"/>
        <v>0</v>
      </c>
      <c r="AI31" s="26">
        <f t="shared" si="7"/>
        <v>0</v>
      </c>
      <c r="AJ31" s="26">
        <f t="shared" si="7"/>
        <v>0</v>
      </c>
      <c r="AK31" s="26">
        <f t="shared" si="7"/>
        <v>0</v>
      </c>
      <c r="AL31" s="26">
        <f t="shared" si="7"/>
        <v>0</v>
      </c>
      <c r="AM31" s="26">
        <f t="shared" si="7"/>
        <v>0</v>
      </c>
      <c r="AN31" s="26">
        <f t="shared" si="7"/>
        <v>0</v>
      </c>
      <c r="AO31" s="26">
        <f t="shared" si="7"/>
        <v>0</v>
      </c>
      <c r="AP31" s="26">
        <f t="shared" si="7"/>
        <v>0</v>
      </c>
      <c r="AQ31" s="26">
        <f t="shared" si="7"/>
        <v>0</v>
      </c>
      <c r="AR31" s="26">
        <f t="shared" si="7"/>
        <v>0</v>
      </c>
      <c r="AS31" s="26">
        <f t="shared" si="7"/>
        <v>0</v>
      </c>
      <c r="AT31" s="26">
        <f t="shared" si="7"/>
        <v>0</v>
      </c>
      <c r="AU31" s="26">
        <f t="shared" si="7"/>
        <v>0</v>
      </c>
      <c r="AV31" s="26">
        <f t="shared" si="7"/>
        <v>0</v>
      </c>
      <c r="AW31" s="26">
        <f t="shared" si="7"/>
        <v>0</v>
      </c>
      <c r="AX31" s="26">
        <f t="shared" si="7"/>
        <v>0</v>
      </c>
      <c r="AY31" s="26">
        <f t="shared" si="7"/>
        <v>0</v>
      </c>
      <c r="AZ31" s="26">
        <f t="shared" si="7"/>
        <v>0</v>
      </c>
      <c r="BA31" s="26">
        <f t="shared" si="7"/>
        <v>0</v>
      </c>
      <c r="BB31" s="26">
        <f t="shared" si="7"/>
        <v>0</v>
      </c>
      <c r="BC31" s="26">
        <f t="shared" si="7"/>
        <v>0</v>
      </c>
      <c r="BD31" s="26">
        <f t="shared" si="7"/>
        <v>0</v>
      </c>
      <c r="BE31" s="26">
        <f t="shared" si="7"/>
        <v>0</v>
      </c>
      <c r="BF31" s="26">
        <f t="shared" si="7"/>
        <v>0</v>
      </c>
      <c r="BG31" s="26">
        <f t="shared" si="7"/>
        <v>0</v>
      </c>
      <c r="BH31" s="26">
        <f t="shared" si="7"/>
        <v>0</v>
      </c>
      <c r="BI31" s="26">
        <f t="shared" si="7"/>
        <v>0</v>
      </c>
      <c r="BJ31" s="26">
        <f t="shared" si="7"/>
        <v>0</v>
      </c>
      <c r="BK31" s="26">
        <f t="shared" si="7"/>
        <v>0</v>
      </c>
      <c r="BL31" s="26">
        <f t="shared" si="7"/>
        <v>0</v>
      </c>
      <c r="BM31" s="26">
        <f t="shared" si="7"/>
        <v>0</v>
      </c>
      <c r="BN31" s="26">
        <f t="shared" si="7"/>
        <v>0</v>
      </c>
      <c r="BO31" s="26">
        <f t="shared" si="7"/>
        <v>0</v>
      </c>
      <c r="BP31" s="26">
        <f t="shared" ref="BP31:CB31" si="8">IF(BP30&gt;$F2+2,0,1)*(IF(BQ31=0,100,0)+IF($G2=1,1,0.5)*$J2*100)</f>
        <v>0</v>
      </c>
      <c r="BQ31" s="26">
        <f t="shared" si="8"/>
        <v>0</v>
      </c>
      <c r="BR31" s="26">
        <f t="shared" si="8"/>
        <v>0</v>
      </c>
      <c r="BS31" s="26">
        <f t="shared" si="8"/>
        <v>0</v>
      </c>
      <c r="BT31" s="26">
        <f t="shared" si="8"/>
        <v>0</v>
      </c>
      <c r="BU31" s="26">
        <f t="shared" si="8"/>
        <v>0</v>
      </c>
      <c r="BV31" s="26">
        <f t="shared" si="8"/>
        <v>0</v>
      </c>
      <c r="BW31" s="26">
        <f t="shared" si="8"/>
        <v>0</v>
      </c>
      <c r="BX31" s="26">
        <f t="shared" si="8"/>
        <v>0</v>
      </c>
      <c r="BY31" s="26">
        <f t="shared" si="8"/>
        <v>0</v>
      </c>
      <c r="BZ31" s="26">
        <f t="shared" si="8"/>
        <v>0</v>
      </c>
      <c r="CA31" s="26">
        <f t="shared" si="8"/>
        <v>0</v>
      </c>
      <c r="CB31" s="26">
        <f t="shared" si="8"/>
        <v>0</v>
      </c>
    </row>
    <row r="32" spans="1:83" s="22" customFormat="1">
      <c r="A32" s="264" t="s">
        <v>49</v>
      </c>
      <c r="B32" s="142" t="str">
        <f>IF(E3=0,F3,E3)</f>
        <v>11/15/2019</v>
      </c>
      <c r="C32" s="28">
        <f t="shared" ref="C32:BN32" si="9">B32+IF($G3=1,365,182.5)</f>
        <v>43966.5</v>
      </c>
      <c r="D32" s="28">
        <f t="shared" si="9"/>
        <v>44149</v>
      </c>
      <c r="E32" s="28">
        <f t="shared" si="9"/>
        <v>44331.5</v>
      </c>
      <c r="F32" s="28">
        <f t="shared" si="9"/>
        <v>44514</v>
      </c>
      <c r="G32" s="28">
        <f t="shared" si="9"/>
        <v>44696.5</v>
      </c>
      <c r="H32" s="28">
        <f t="shared" si="9"/>
        <v>44879</v>
      </c>
      <c r="I32" s="28">
        <f t="shared" si="9"/>
        <v>45061.5</v>
      </c>
      <c r="J32" s="28">
        <f t="shared" si="9"/>
        <v>45244</v>
      </c>
      <c r="K32" s="28">
        <f t="shared" si="9"/>
        <v>45426.5</v>
      </c>
      <c r="L32" s="28">
        <f t="shared" si="9"/>
        <v>45609</v>
      </c>
      <c r="M32" s="28">
        <f t="shared" si="9"/>
        <v>45791.5</v>
      </c>
      <c r="N32" s="28">
        <f t="shared" si="9"/>
        <v>45974</v>
      </c>
      <c r="O32" s="28">
        <f t="shared" si="9"/>
        <v>46156.5</v>
      </c>
      <c r="P32" s="28">
        <f t="shared" si="9"/>
        <v>46339</v>
      </c>
      <c r="Q32" s="28">
        <f t="shared" si="9"/>
        <v>46521.5</v>
      </c>
      <c r="R32" s="28">
        <f t="shared" si="9"/>
        <v>46704</v>
      </c>
      <c r="S32" s="28">
        <f t="shared" si="9"/>
        <v>46886.5</v>
      </c>
      <c r="T32" s="28">
        <f t="shared" si="9"/>
        <v>47069</v>
      </c>
      <c r="U32" s="28">
        <f t="shared" si="9"/>
        <v>47251.5</v>
      </c>
      <c r="V32" s="28">
        <f t="shared" si="9"/>
        <v>47434</v>
      </c>
      <c r="W32" s="28">
        <f t="shared" si="9"/>
        <v>47616.5</v>
      </c>
      <c r="X32" s="28">
        <f t="shared" si="9"/>
        <v>47799</v>
      </c>
      <c r="Y32" s="28">
        <f t="shared" si="9"/>
        <v>47981.5</v>
      </c>
      <c r="Z32" s="28">
        <f t="shared" si="9"/>
        <v>48164</v>
      </c>
      <c r="AA32" s="28">
        <f t="shared" si="9"/>
        <v>48346.5</v>
      </c>
      <c r="AB32" s="28">
        <f t="shared" si="9"/>
        <v>48529</v>
      </c>
      <c r="AC32" s="28">
        <f t="shared" si="9"/>
        <v>48711.5</v>
      </c>
      <c r="AD32" s="28">
        <f t="shared" si="9"/>
        <v>48894</v>
      </c>
      <c r="AE32" s="28">
        <f t="shared" si="9"/>
        <v>49076.5</v>
      </c>
      <c r="AF32" s="28">
        <f t="shared" si="9"/>
        <v>49259</v>
      </c>
      <c r="AG32" s="28">
        <f t="shared" si="9"/>
        <v>49441.5</v>
      </c>
      <c r="AH32" s="28">
        <f t="shared" si="9"/>
        <v>49624</v>
      </c>
      <c r="AI32" s="28">
        <f t="shared" si="9"/>
        <v>49806.5</v>
      </c>
      <c r="AJ32" s="28">
        <f t="shared" si="9"/>
        <v>49989</v>
      </c>
      <c r="AK32" s="28">
        <f t="shared" si="9"/>
        <v>50171.5</v>
      </c>
      <c r="AL32" s="28">
        <f t="shared" si="9"/>
        <v>50354</v>
      </c>
      <c r="AM32" s="28">
        <f t="shared" si="9"/>
        <v>50536.5</v>
      </c>
      <c r="AN32" s="28">
        <f t="shared" si="9"/>
        <v>50719</v>
      </c>
      <c r="AO32" s="28">
        <f t="shared" si="9"/>
        <v>50901.5</v>
      </c>
      <c r="AP32" s="28">
        <f t="shared" si="9"/>
        <v>51084</v>
      </c>
      <c r="AQ32" s="28">
        <f t="shared" si="9"/>
        <v>51266.5</v>
      </c>
      <c r="AR32" s="28">
        <f t="shared" si="9"/>
        <v>51449</v>
      </c>
      <c r="AS32" s="28">
        <f t="shared" si="9"/>
        <v>51631.5</v>
      </c>
      <c r="AT32" s="28">
        <f t="shared" si="9"/>
        <v>51814</v>
      </c>
      <c r="AU32" s="28">
        <f t="shared" si="9"/>
        <v>51996.5</v>
      </c>
      <c r="AV32" s="28">
        <f t="shared" si="9"/>
        <v>52179</v>
      </c>
      <c r="AW32" s="28">
        <f t="shared" si="9"/>
        <v>52361.5</v>
      </c>
      <c r="AX32" s="28">
        <f t="shared" si="9"/>
        <v>52544</v>
      </c>
      <c r="AY32" s="28">
        <f t="shared" si="9"/>
        <v>52726.5</v>
      </c>
      <c r="AZ32" s="28">
        <f t="shared" si="9"/>
        <v>52909</v>
      </c>
      <c r="BA32" s="28">
        <f t="shared" si="9"/>
        <v>53091.5</v>
      </c>
      <c r="BB32" s="28">
        <f t="shared" si="9"/>
        <v>53274</v>
      </c>
      <c r="BC32" s="28">
        <f t="shared" si="9"/>
        <v>53456.5</v>
      </c>
      <c r="BD32" s="28">
        <f t="shared" si="9"/>
        <v>53639</v>
      </c>
      <c r="BE32" s="28">
        <f t="shared" si="9"/>
        <v>53821.5</v>
      </c>
      <c r="BF32" s="28">
        <f t="shared" si="9"/>
        <v>54004</v>
      </c>
      <c r="BG32" s="28">
        <f t="shared" si="9"/>
        <v>54186.5</v>
      </c>
      <c r="BH32" s="28">
        <f t="shared" si="9"/>
        <v>54369</v>
      </c>
      <c r="BI32" s="28">
        <f t="shared" si="9"/>
        <v>54551.5</v>
      </c>
      <c r="BJ32" s="28">
        <f t="shared" si="9"/>
        <v>54734</v>
      </c>
      <c r="BK32" s="28">
        <f t="shared" si="9"/>
        <v>54916.5</v>
      </c>
      <c r="BL32" s="28">
        <f t="shared" si="9"/>
        <v>55099</v>
      </c>
      <c r="BM32" s="28">
        <f t="shared" si="9"/>
        <v>55281.5</v>
      </c>
      <c r="BN32" s="28">
        <f t="shared" si="9"/>
        <v>55464</v>
      </c>
      <c r="BO32" s="28">
        <f t="shared" ref="BO32:CB32" si="10">BN32+IF($G3=1,365,182.5)</f>
        <v>55646.5</v>
      </c>
      <c r="BP32" s="28">
        <f t="shared" si="10"/>
        <v>55829</v>
      </c>
      <c r="BQ32" s="28">
        <f t="shared" si="10"/>
        <v>56011.5</v>
      </c>
      <c r="BR32" s="28">
        <f t="shared" si="10"/>
        <v>56194</v>
      </c>
      <c r="BS32" s="28">
        <f t="shared" si="10"/>
        <v>56376.5</v>
      </c>
      <c r="BT32" s="28">
        <f t="shared" si="10"/>
        <v>56559</v>
      </c>
      <c r="BU32" s="28">
        <f t="shared" si="10"/>
        <v>56741.5</v>
      </c>
      <c r="BV32" s="28">
        <f t="shared" si="10"/>
        <v>56924</v>
      </c>
      <c r="BW32" s="28">
        <f t="shared" si="10"/>
        <v>57106.5</v>
      </c>
      <c r="BX32" s="28">
        <f t="shared" si="10"/>
        <v>57289</v>
      </c>
      <c r="BY32" s="28">
        <f t="shared" si="10"/>
        <v>57471.5</v>
      </c>
      <c r="BZ32" s="28">
        <f t="shared" si="10"/>
        <v>57654</v>
      </c>
      <c r="CA32" s="28">
        <f t="shared" si="10"/>
        <v>57836.5</v>
      </c>
      <c r="CB32" s="29">
        <f t="shared" si="10"/>
        <v>58019</v>
      </c>
    </row>
    <row r="33" spans="1:80" s="5" customFormat="1">
      <c r="A33" s="163" t="s">
        <v>23</v>
      </c>
      <c r="B33" s="30">
        <f>(IF(B32=F3,100,0)+IF(G3=1,1,0.5)*J3*100)*IF(ISBLANK(F3)=TRUE,0,1)</f>
        <v>2.875</v>
      </c>
      <c r="C33" s="31">
        <f>IF(C32&gt;$F3+1,0,1)*(IF(D33=0,100,0)+IF($G3=1,1,0.5)*$J3*100)</f>
        <v>2.875</v>
      </c>
      <c r="D33" s="31">
        <f t="shared" ref="D33:BO33" si="11">IF(D32&gt;$F3+1,0,1)*(IF(E33=0,100,0)+IF($G3=1,1,0.5)*$J3*100)</f>
        <v>2.875</v>
      </c>
      <c r="E33" s="31">
        <f t="shared" si="11"/>
        <v>102.875</v>
      </c>
      <c r="F33" s="31">
        <f t="shared" si="11"/>
        <v>0</v>
      </c>
      <c r="G33" s="31">
        <f t="shared" si="11"/>
        <v>0</v>
      </c>
      <c r="H33" s="31">
        <f t="shared" si="11"/>
        <v>0</v>
      </c>
      <c r="I33" s="31">
        <f t="shared" si="11"/>
        <v>0</v>
      </c>
      <c r="J33" s="31">
        <f t="shared" si="11"/>
        <v>0</v>
      </c>
      <c r="K33" s="31">
        <f t="shared" si="11"/>
        <v>0</v>
      </c>
      <c r="L33" s="31">
        <f t="shared" si="11"/>
        <v>0</v>
      </c>
      <c r="M33" s="31">
        <f t="shared" si="11"/>
        <v>0</v>
      </c>
      <c r="N33" s="31">
        <f t="shared" si="11"/>
        <v>0</v>
      </c>
      <c r="O33" s="31">
        <f t="shared" si="11"/>
        <v>0</v>
      </c>
      <c r="P33" s="31">
        <f t="shared" si="11"/>
        <v>0</v>
      </c>
      <c r="Q33" s="31">
        <f t="shared" si="11"/>
        <v>0</v>
      </c>
      <c r="R33" s="31">
        <f t="shared" si="11"/>
        <v>0</v>
      </c>
      <c r="S33" s="31">
        <f t="shared" si="11"/>
        <v>0</v>
      </c>
      <c r="T33" s="31">
        <f t="shared" si="11"/>
        <v>0</v>
      </c>
      <c r="U33" s="31">
        <f t="shared" si="11"/>
        <v>0</v>
      </c>
      <c r="V33" s="31">
        <f t="shared" si="11"/>
        <v>0</v>
      </c>
      <c r="W33" s="31">
        <f t="shared" si="11"/>
        <v>0</v>
      </c>
      <c r="X33" s="31">
        <f t="shared" si="11"/>
        <v>0</v>
      </c>
      <c r="Y33" s="31">
        <f t="shared" si="11"/>
        <v>0</v>
      </c>
      <c r="Z33" s="31">
        <f t="shared" si="11"/>
        <v>0</v>
      </c>
      <c r="AA33" s="31">
        <f t="shared" si="11"/>
        <v>0</v>
      </c>
      <c r="AB33" s="31">
        <f t="shared" si="11"/>
        <v>0</v>
      </c>
      <c r="AC33" s="31">
        <f t="shared" si="11"/>
        <v>0</v>
      </c>
      <c r="AD33" s="31">
        <f t="shared" si="11"/>
        <v>0</v>
      </c>
      <c r="AE33" s="31">
        <f t="shared" si="11"/>
        <v>0</v>
      </c>
      <c r="AF33" s="31">
        <f t="shared" si="11"/>
        <v>0</v>
      </c>
      <c r="AG33" s="31">
        <f t="shared" si="11"/>
        <v>0</v>
      </c>
      <c r="AH33" s="31">
        <f t="shared" si="11"/>
        <v>0</v>
      </c>
      <c r="AI33" s="31">
        <f t="shared" si="11"/>
        <v>0</v>
      </c>
      <c r="AJ33" s="31">
        <f t="shared" si="11"/>
        <v>0</v>
      </c>
      <c r="AK33" s="31">
        <f t="shared" si="11"/>
        <v>0</v>
      </c>
      <c r="AL33" s="31">
        <f t="shared" si="11"/>
        <v>0</v>
      </c>
      <c r="AM33" s="31">
        <f t="shared" si="11"/>
        <v>0</v>
      </c>
      <c r="AN33" s="31">
        <f t="shared" si="11"/>
        <v>0</v>
      </c>
      <c r="AO33" s="31">
        <f t="shared" si="11"/>
        <v>0</v>
      </c>
      <c r="AP33" s="31">
        <f t="shared" si="11"/>
        <v>0</v>
      </c>
      <c r="AQ33" s="31">
        <f t="shared" si="11"/>
        <v>0</v>
      </c>
      <c r="AR33" s="31">
        <f t="shared" si="11"/>
        <v>0</v>
      </c>
      <c r="AS33" s="31">
        <f t="shared" si="11"/>
        <v>0</v>
      </c>
      <c r="AT33" s="31">
        <f t="shared" si="11"/>
        <v>0</v>
      </c>
      <c r="AU33" s="31">
        <f t="shared" si="11"/>
        <v>0</v>
      </c>
      <c r="AV33" s="31">
        <f t="shared" si="11"/>
        <v>0</v>
      </c>
      <c r="AW33" s="31">
        <f t="shared" si="11"/>
        <v>0</v>
      </c>
      <c r="AX33" s="31">
        <f t="shared" si="11"/>
        <v>0</v>
      </c>
      <c r="AY33" s="31">
        <f t="shared" si="11"/>
        <v>0</v>
      </c>
      <c r="AZ33" s="31">
        <f t="shared" si="11"/>
        <v>0</v>
      </c>
      <c r="BA33" s="31">
        <f t="shared" si="11"/>
        <v>0</v>
      </c>
      <c r="BB33" s="31">
        <f t="shared" si="11"/>
        <v>0</v>
      </c>
      <c r="BC33" s="31">
        <f t="shared" si="11"/>
        <v>0</v>
      </c>
      <c r="BD33" s="31">
        <f t="shared" si="11"/>
        <v>0</v>
      </c>
      <c r="BE33" s="31">
        <f t="shared" si="11"/>
        <v>0</v>
      </c>
      <c r="BF33" s="31">
        <f t="shared" si="11"/>
        <v>0</v>
      </c>
      <c r="BG33" s="31">
        <f t="shared" si="11"/>
        <v>0</v>
      </c>
      <c r="BH33" s="31">
        <f t="shared" si="11"/>
        <v>0</v>
      </c>
      <c r="BI33" s="31">
        <f t="shared" si="11"/>
        <v>0</v>
      </c>
      <c r="BJ33" s="31">
        <f t="shared" si="11"/>
        <v>0</v>
      </c>
      <c r="BK33" s="31">
        <f t="shared" si="11"/>
        <v>0</v>
      </c>
      <c r="BL33" s="31">
        <f t="shared" si="11"/>
        <v>0</v>
      </c>
      <c r="BM33" s="31">
        <f t="shared" si="11"/>
        <v>0</v>
      </c>
      <c r="BN33" s="31">
        <f t="shared" si="11"/>
        <v>0</v>
      </c>
      <c r="BO33" s="31">
        <f t="shared" si="11"/>
        <v>0</v>
      </c>
      <c r="BP33" s="31">
        <f t="shared" ref="BP33:CB33" si="12">IF(BP32&gt;$F3+1,0,1)*(IF(BQ33=0,100,0)+IF($G3=1,1,0.5)*$J3*100)</f>
        <v>0</v>
      </c>
      <c r="BQ33" s="31">
        <f t="shared" si="12"/>
        <v>0</v>
      </c>
      <c r="BR33" s="31">
        <f t="shared" si="12"/>
        <v>0</v>
      </c>
      <c r="BS33" s="31">
        <f t="shared" si="12"/>
        <v>0</v>
      </c>
      <c r="BT33" s="31">
        <f t="shared" si="12"/>
        <v>0</v>
      </c>
      <c r="BU33" s="31">
        <f t="shared" si="12"/>
        <v>0</v>
      </c>
      <c r="BV33" s="31">
        <f t="shared" si="12"/>
        <v>0</v>
      </c>
      <c r="BW33" s="31">
        <f t="shared" si="12"/>
        <v>0</v>
      </c>
      <c r="BX33" s="31">
        <f t="shared" si="12"/>
        <v>0</v>
      </c>
      <c r="BY33" s="31">
        <f t="shared" si="12"/>
        <v>0</v>
      </c>
      <c r="BZ33" s="31">
        <f t="shared" si="12"/>
        <v>0</v>
      </c>
      <c r="CA33" s="31">
        <f t="shared" si="12"/>
        <v>0</v>
      </c>
      <c r="CB33" s="32">
        <f t="shared" si="12"/>
        <v>0</v>
      </c>
    </row>
    <row r="34" spans="1:80" s="6" customFormat="1">
      <c r="A34" s="263" t="s">
        <v>49</v>
      </c>
      <c r="B34" s="142" t="str">
        <f>IF(E4=0,F4,E4)</f>
        <v>7/15/2019</v>
      </c>
      <c r="C34" s="33">
        <f t="shared" ref="C34:BN34" si="13">B34+IF($G4=1,365,182.5)</f>
        <v>43843.5</v>
      </c>
      <c r="D34" s="33">
        <f t="shared" si="13"/>
        <v>44026</v>
      </c>
      <c r="E34" s="33">
        <f t="shared" si="13"/>
        <v>44208.5</v>
      </c>
      <c r="F34" s="33">
        <f t="shared" si="13"/>
        <v>44391</v>
      </c>
      <c r="G34" s="33">
        <f t="shared" si="13"/>
        <v>44573.5</v>
      </c>
      <c r="H34" s="33">
        <f t="shared" si="13"/>
        <v>44756</v>
      </c>
      <c r="I34" s="33">
        <f t="shared" si="13"/>
        <v>44938.5</v>
      </c>
      <c r="J34" s="33">
        <f t="shared" si="13"/>
        <v>45121</v>
      </c>
      <c r="K34" s="33">
        <f t="shared" si="13"/>
        <v>45303.5</v>
      </c>
      <c r="L34" s="33">
        <f t="shared" si="13"/>
        <v>45486</v>
      </c>
      <c r="M34" s="33">
        <f t="shared" si="13"/>
        <v>45668.5</v>
      </c>
      <c r="N34" s="33">
        <f t="shared" si="13"/>
        <v>45851</v>
      </c>
      <c r="O34" s="33">
        <f t="shared" si="13"/>
        <v>46033.5</v>
      </c>
      <c r="P34" s="33">
        <f t="shared" si="13"/>
        <v>46216</v>
      </c>
      <c r="Q34" s="33">
        <f t="shared" si="13"/>
        <v>46398.5</v>
      </c>
      <c r="R34" s="33">
        <f t="shared" si="13"/>
        <v>46581</v>
      </c>
      <c r="S34" s="33">
        <f t="shared" si="13"/>
        <v>46763.5</v>
      </c>
      <c r="T34" s="33">
        <f t="shared" si="13"/>
        <v>46946</v>
      </c>
      <c r="U34" s="33">
        <f t="shared" si="13"/>
        <v>47128.5</v>
      </c>
      <c r="V34" s="33">
        <f t="shared" si="13"/>
        <v>47311</v>
      </c>
      <c r="W34" s="33">
        <f t="shared" si="13"/>
        <v>47493.5</v>
      </c>
      <c r="X34" s="33">
        <f t="shared" si="13"/>
        <v>47676</v>
      </c>
      <c r="Y34" s="33">
        <f t="shared" si="13"/>
        <v>47858.5</v>
      </c>
      <c r="Z34" s="33">
        <f t="shared" si="13"/>
        <v>48041</v>
      </c>
      <c r="AA34" s="33">
        <f t="shared" si="13"/>
        <v>48223.5</v>
      </c>
      <c r="AB34" s="33">
        <f t="shared" si="13"/>
        <v>48406</v>
      </c>
      <c r="AC34" s="33">
        <f t="shared" si="13"/>
        <v>48588.5</v>
      </c>
      <c r="AD34" s="33">
        <f t="shared" si="13"/>
        <v>48771</v>
      </c>
      <c r="AE34" s="33">
        <f t="shared" si="13"/>
        <v>48953.5</v>
      </c>
      <c r="AF34" s="33">
        <f t="shared" si="13"/>
        <v>49136</v>
      </c>
      <c r="AG34" s="33">
        <f t="shared" si="13"/>
        <v>49318.5</v>
      </c>
      <c r="AH34" s="33">
        <f t="shared" si="13"/>
        <v>49501</v>
      </c>
      <c r="AI34" s="33">
        <f t="shared" si="13"/>
        <v>49683.5</v>
      </c>
      <c r="AJ34" s="33">
        <f t="shared" si="13"/>
        <v>49866</v>
      </c>
      <c r="AK34" s="33">
        <f t="shared" si="13"/>
        <v>50048.5</v>
      </c>
      <c r="AL34" s="33">
        <f t="shared" si="13"/>
        <v>50231</v>
      </c>
      <c r="AM34" s="33">
        <f t="shared" si="13"/>
        <v>50413.5</v>
      </c>
      <c r="AN34" s="33">
        <f t="shared" si="13"/>
        <v>50596</v>
      </c>
      <c r="AO34" s="33">
        <f t="shared" si="13"/>
        <v>50778.5</v>
      </c>
      <c r="AP34" s="33">
        <f t="shared" si="13"/>
        <v>50961</v>
      </c>
      <c r="AQ34" s="33">
        <f t="shared" si="13"/>
        <v>51143.5</v>
      </c>
      <c r="AR34" s="33">
        <f t="shared" si="13"/>
        <v>51326</v>
      </c>
      <c r="AS34" s="33">
        <f t="shared" si="13"/>
        <v>51508.5</v>
      </c>
      <c r="AT34" s="33">
        <f t="shared" si="13"/>
        <v>51691</v>
      </c>
      <c r="AU34" s="33">
        <f t="shared" si="13"/>
        <v>51873.5</v>
      </c>
      <c r="AV34" s="33">
        <f t="shared" si="13"/>
        <v>52056</v>
      </c>
      <c r="AW34" s="33">
        <f t="shared" si="13"/>
        <v>52238.5</v>
      </c>
      <c r="AX34" s="33">
        <f t="shared" si="13"/>
        <v>52421</v>
      </c>
      <c r="AY34" s="33">
        <f t="shared" si="13"/>
        <v>52603.5</v>
      </c>
      <c r="AZ34" s="33">
        <f t="shared" si="13"/>
        <v>52786</v>
      </c>
      <c r="BA34" s="33">
        <f t="shared" si="13"/>
        <v>52968.5</v>
      </c>
      <c r="BB34" s="33">
        <f t="shared" si="13"/>
        <v>53151</v>
      </c>
      <c r="BC34" s="33">
        <f t="shared" si="13"/>
        <v>53333.5</v>
      </c>
      <c r="BD34" s="33">
        <f t="shared" si="13"/>
        <v>53516</v>
      </c>
      <c r="BE34" s="33">
        <f t="shared" si="13"/>
        <v>53698.5</v>
      </c>
      <c r="BF34" s="33">
        <f t="shared" si="13"/>
        <v>53881</v>
      </c>
      <c r="BG34" s="33">
        <f t="shared" si="13"/>
        <v>54063.5</v>
      </c>
      <c r="BH34" s="33">
        <f t="shared" si="13"/>
        <v>54246</v>
      </c>
      <c r="BI34" s="33">
        <f t="shared" si="13"/>
        <v>54428.5</v>
      </c>
      <c r="BJ34" s="33">
        <f t="shared" si="13"/>
        <v>54611</v>
      </c>
      <c r="BK34" s="33">
        <f t="shared" si="13"/>
        <v>54793.5</v>
      </c>
      <c r="BL34" s="33">
        <f t="shared" si="13"/>
        <v>54976</v>
      </c>
      <c r="BM34" s="33">
        <f t="shared" si="13"/>
        <v>55158.5</v>
      </c>
      <c r="BN34" s="33">
        <f t="shared" si="13"/>
        <v>55341</v>
      </c>
      <c r="BO34" s="33">
        <f t="shared" ref="BO34:CB34" si="14">BN34+IF($G4=1,365,182.5)</f>
        <v>55523.5</v>
      </c>
      <c r="BP34" s="33">
        <f t="shared" si="14"/>
        <v>55706</v>
      </c>
      <c r="BQ34" s="33">
        <f t="shared" si="14"/>
        <v>55888.5</v>
      </c>
      <c r="BR34" s="33">
        <f t="shared" si="14"/>
        <v>56071</v>
      </c>
      <c r="BS34" s="33">
        <f t="shared" si="14"/>
        <v>56253.5</v>
      </c>
      <c r="BT34" s="33">
        <f t="shared" si="14"/>
        <v>56436</v>
      </c>
      <c r="BU34" s="33">
        <f t="shared" si="14"/>
        <v>56618.5</v>
      </c>
      <c r="BV34" s="33">
        <f t="shared" si="14"/>
        <v>56801</v>
      </c>
      <c r="BW34" s="33">
        <f t="shared" si="14"/>
        <v>56983.5</v>
      </c>
      <c r="BX34" s="33">
        <f t="shared" si="14"/>
        <v>57166</v>
      </c>
      <c r="BY34" s="33">
        <f t="shared" si="14"/>
        <v>57348.5</v>
      </c>
      <c r="BZ34" s="33">
        <f t="shared" si="14"/>
        <v>57531</v>
      </c>
      <c r="CA34" s="33">
        <f t="shared" si="14"/>
        <v>57713.5</v>
      </c>
      <c r="CB34" s="34">
        <f t="shared" si="14"/>
        <v>57896</v>
      </c>
    </row>
    <row r="35" spans="1:80">
      <c r="A35" s="164" t="s">
        <v>19</v>
      </c>
      <c r="B35" s="105">
        <f>(IF(B34=F4,100,0)+IF(G4=1,1,0.5)*J4*100)*IF(ISBLANK(F4)=TRUE,0,1)</f>
        <v>2.875</v>
      </c>
      <c r="C35" s="35">
        <f>IF(C34&gt;$F4+1,0,1)*(IF(D35=0,100,0)+IF($G4=1,1,0.5)*$J4*100)</f>
        <v>2.875</v>
      </c>
      <c r="D35" s="35">
        <f t="shared" ref="D35:BO35" si="15">IF(D34&gt;$F4+1,0,1)*(IF(E35=0,100,0)+IF($G4=1,1,0.5)*$J4*100)</f>
        <v>2.875</v>
      </c>
      <c r="E35" s="35">
        <f t="shared" si="15"/>
        <v>2.875</v>
      </c>
      <c r="F35" s="35">
        <f t="shared" si="15"/>
        <v>2.875</v>
      </c>
      <c r="G35" s="35">
        <f t="shared" si="15"/>
        <v>2.875</v>
      </c>
      <c r="H35" s="35">
        <f t="shared" si="15"/>
        <v>102.875</v>
      </c>
      <c r="I35" s="35">
        <f t="shared" si="15"/>
        <v>0</v>
      </c>
      <c r="J35" s="35">
        <f t="shared" si="15"/>
        <v>0</v>
      </c>
      <c r="K35" s="35">
        <f t="shared" si="15"/>
        <v>0</v>
      </c>
      <c r="L35" s="35">
        <f t="shared" si="15"/>
        <v>0</v>
      </c>
      <c r="M35" s="35">
        <f t="shared" si="15"/>
        <v>0</v>
      </c>
      <c r="N35" s="35">
        <f t="shared" si="15"/>
        <v>0</v>
      </c>
      <c r="O35" s="35">
        <f t="shared" si="15"/>
        <v>0</v>
      </c>
      <c r="P35" s="35">
        <f t="shared" si="15"/>
        <v>0</v>
      </c>
      <c r="Q35" s="35">
        <f t="shared" si="15"/>
        <v>0</v>
      </c>
      <c r="R35" s="35">
        <f t="shared" si="15"/>
        <v>0</v>
      </c>
      <c r="S35" s="35">
        <f t="shared" si="15"/>
        <v>0</v>
      </c>
      <c r="T35" s="35">
        <f t="shared" si="15"/>
        <v>0</v>
      </c>
      <c r="U35" s="35">
        <f t="shared" si="15"/>
        <v>0</v>
      </c>
      <c r="V35" s="35">
        <f t="shared" si="15"/>
        <v>0</v>
      </c>
      <c r="W35" s="35">
        <f t="shared" si="15"/>
        <v>0</v>
      </c>
      <c r="X35" s="35">
        <f t="shared" si="15"/>
        <v>0</v>
      </c>
      <c r="Y35" s="35">
        <f t="shared" si="15"/>
        <v>0</v>
      </c>
      <c r="Z35" s="35">
        <f t="shared" si="15"/>
        <v>0</v>
      </c>
      <c r="AA35" s="35">
        <f t="shared" si="15"/>
        <v>0</v>
      </c>
      <c r="AB35" s="35">
        <f t="shared" si="15"/>
        <v>0</v>
      </c>
      <c r="AC35" s="35">
        <f t="shared" si="15"/>
        <v>0</v>
      </c>
      <c r="AD35" s="35">
        <f t="shared" si="15"/>
        <v>0</v>
      </c>
      <c r="AE35" s="35">
        <f t="shared" si="15"/>
        <v>0</v>
      </c>
      <c r="AF35" s="35">
        <f t="shared" si="15"/>
        <v>0</v>
      </c>
      <c r="AG35" s="35">
        <f t="shared" si="15"/>
        <v>0</v>
      </c>
      <c r="AH35" s="35">
        <f t="shared" si="15"/>
        <v>0</v>
      </c>
      <c r="AI35" s="35">
        <f t="shared" si="15"/>
        <v>0</v>
      </c>
      <c r="AJ35" s="35">
        <f t="shared" si="15"/>
        <v>0</v>
      </c>
      <c r="AK35" s="35">
        <f t="shared" si="15"/>
        <v>0</v>
      </c>
      <c r="AL35" s="35">
        <f t="shared" si="15"/>
        <v>0</v>
      </c>
      <c r="AM35" s="35">
        <f t="shared" si="15"/>
        <v>0</v>
      </c>
      <c r="AN35" s="35">
        <f t="shared" si="15"/>
        <v>0</v>
      </c>
      <c r="AO35" s="35">
        <f t="shared" si="15"/>
        <v>0</v>
      </c>
      <c r="AP35" s="35">
        <f t="shared" si="15"/>
        <v>0</v>
      </c>
      <c r="AQ35" s="35">
        <f t="shared" si="15"/>
        <v>0</v>
      </c>
      <c r="AR35" s="35">
        <f t="shared" si="15"/>
        <v>0</v>
      </c>
      <c r="AS35" s="35">
        <f t="shared" si="15"/>
        <v>0</v>
      </c>
      <c r="AT35" s="35">
        <f t="shared" si="15"/>
        <v>0</v>
      </c>
      <c r="AU35" s="35">
        <f t="shared" si="15"/>
        <v>0</v>
      </c>
      <c r="AV35" s="35">
        <f t="shared" si="15"/>
        <v>0</v>
      </c>
      <c r="AW35" s="35">
        <f t="shared" si="15"/>
        <v>0</v>
      </c>
      <c r="AX35" s="35">
        <f t="shared" si="15"/>
        <v>0</v>
      </c>
      <c r="AY35" s="35">
        <f t="shared" si="15"/>
        <v>0</v>
      </c>
      <c r="AZ35" s="35">
        <f t="shared" si="15"/>
        <v>0</v>
      </c>
      <c r="BA35" s="35">
        <f t="shared" si="15"/>
        <v>0</v>
      </c>
      <c r="BB35" s="35">
        <f t="shared" si="15"/>
        <v>0</v>
      </c>
      <c r="BC35" s="35">
        <f t="shared" si="15"/>
        <v>0</v>
      </c>
      <c r="BD35" s="35">
        <f t="shared" si="15"/>
        <v>0</v>
      </c>
      <c r="BE35" s="35">
        <f t="shared" si="15"/>
        <v>0</v>
      </c>
      <c r="BF35" s="35">
        <f t="shared" si="15"/>
        <v>0</v>
      </c>
      <c r="BG35" s="35">
        <f t="shared" si="15"/>
        <v>0</v>
      </c>
      <c r="BH35" s="35">
        <f t="shared" si="15"/>
        <v>0</v>
      </c>
      <c r="BI35" s="35">
        <f t="shared" si="15"/>
        <v>0</v>
      </c>
      <c r="BJ35" s="35">
        <f t="shared" si="15"/>
        <v>0</v>
      </c>
      <c r="BK35" s="35">
        <f t="shared" si="15"/>
        <v>0</v>
      </c>
      <c r="BL35" s="35">
        <f t="shared" si="15"/>
        <v>0</v>
      </c>
      <c r="BM35" s="35">
        <f t="shared" si="15"/>
        <v>0</v>
      </c>
      <c r="BN35" s="35">
        <f t="shared" si="15"/>
        <v>0</v>
      </c>
      <c r="BO35" s="35">
        <f t="shared" si="15"/>
        <v>0</v>
      </c>
      <c r="BP35" s="35">
        <f t="shared" ref="BP35:CB35" si="16">IF(BP34&gt;$F4+1,0,1)*(IF(BQ35=0,100,0)+IF($G4=1,1,0.5)*$J4*100)</f>
        <v>0</v>
      </c>
      <c r="BQ35" s="35">
        <f t="shared" si="16"/>
        <v>0</v>
      </c>
      <c r="BR35" s="35">
        <f t="shared" si="16"/>
        <v>0</v>
      </c>
      <c r="BS35" s="35">
        <f t="shared" si="16"/>
        <v>0</v>
      </c>
      <c r="BT35" s="35">
        <f t="shared" si="16"/>
        <v>0</v>
      </c>
      <c r="BU35" s="35">
        <f t="shared" si="16"/>
        <v>0</v>
      </c>
      <c r="BV35" s="35">
        <f t="shared" si="16"/>
        <v>0</v>
      </c>
      <c r="BW35" s="35">
        <f t="shared" si="16"/>
        <v>0</v>
      </c>
      <c r="BX35" s="35">
        <f t="shared" si="16"/>
        <v>0</v>
      </c>
      <c r="BY35" s="35">
        <f t="shared" si="16"/>
        <v>0</v>
      </c>
      <c r="BZ35" s="35">
        <f t="shared" si="16"/>
        <v>0</v>
      </c>
      <c r="CA35" s="35">
        <f t="shared" si="16"/>
        <v>0</v>
      </c>
      <c r="CB35" s="36">
        <f t="shared" si="16"/>
        <v>0</v>
      </c>
    </row>
    <row r="36" spans="1:80">
      <c r="A36" s="262" t="s">
        <v>49</v>
      </c>
      <c r="B36" s="144" t="str">
        <f>IF(E5=0,F5,E5)</f>
        <v>10/21/2019</v>
      </c>
      <c r="C36" s="145">
        <f>B36+IF($G5=1,365,182.5)</f>
        <v>43941.5</v>
      </c>
      <c r="D36" s="145">
        <f t="shared" ref="D36:BO36" si="17">C36+IF($G5=1,365,182.5)</f>
        <v>44124</v>
      </c>
      <c r="E36" s="141">
        <f t="shared" si="17"/>
        <v>44306.5</v>
      </c>
      <c r="F36" s="145">
        <f t="shared" si="17"/>
        <v>44489</v>
      </c>
      <c r="G36" s="145">
        <f t="shared" si="17"/>
        <v>44671.5</v>
      </c>
      <c r="H36" s="145">
        <f t="shared" si="17"/>
        <v>44854</v>
      </c>
      <c r="I36" s="145">
        <f t="shared" si="17"/>
        <v>45036.5</v>
      </c>
      <c r="J36" s="145">
        <f t="shared" si="17"/>
        <v>45219</v>
      </c>
      <c r="K36" s="145">
        <f t="shared" si="17"/>
        <v>45401.5</v>
      </c>
      <c r="L36" s="145">
        <f t="shared" si="17"/>
        <v>45584</v>
      </c>
      <c r="M36" s="145">
        <f t="shared" si="17"/>
        <v>45766.5</v>
      </c>
      <c r="N36" s="145">
        <f t="shared" si="17"/>
        <v>45949</v>
      </c>
      <c r="O36" s="145">
        <f t="shared" si="17"/>
        <v>46131.5</v>
      </c>
      <c r="P36" s="145">
        <f t="shared" si="17"/>
        <v>46314</v>
      </c>
      <c r="Q36" s="145">
        <f t="shared" si="17"/>
        <v>46496.5</v>
      </c>
      <c r="R36" s="145">
        <f t="shared" si="17"/>
        <v>46679</v>
      </c>
      <c r="S36" s="145">
        <f t="shared" si="17"/>
        <v>46861.5</v>
      </c>
      <c r="T36" s="145">
        <f t="shared" si="17"/>
        <v>47044</v>
      </c>
      <c r="U36" s="145">
        <f t="shared" si="17"/>
        <v>47226.5</v>
      </c>
      <c r="V36" s="145">
        <f t="shared" si="17"/>
        <v>47409</v>
      </c>
      <c r="W36" s="145">
        <f t="shared" si="17"/>
        <v>47591.5</v>
      </c>
      <c r="X36" s="145">
        <f t="shared" si="17"/>
        <v>47774</v>
      </c>
      <c r="Y36" s="145">
        <f t="shared" si="17"/>
        <v>47956.5</v>
      </c>
      <c r="Z36" s="145">
        <f t="shared" si="17"/>
        <v>48139</v>
      </c>
      <c r="AA36" s="145">
        <f t="shared" si="17"/>
        <v>48321.5</v>
      </c>
      <c r="AB36" s="145">
        <f t="shared" si="17"/>
        <v>48504</v>
      </c>
      <c r="AC36" s="145">
        <f t="shared" si="17"/>
        <v>48686.5</v>
      </c>
      <c r="AD36" s="145">
        <f t="shared" si="17"/>
        <v>48869</v>
      </c>
      <c r="AE36" s="145">
        <f t="shared" si="17"/>
        <v>49051.5</v>
      </c>
      <c r="AF36" s="145">
        <f t="shared" si="17"/>
        <v>49234</v>
      </c>
      <c r="AG36" s="145">
        <f t="shared" si="17"/>
        <v>49416.5</v>
      </c>
      <c r="AH36" s="145">
        <f t="shared" si="17"/>
        <v>49599</v>
      </c>
      <c r="AI36" s="145">
        <f t="shared" si="17"/>
        <v>49781.5</v>
      </c>
      <c r="AJ36" s="145">
        <f t="shared" si="17"/>
        <v>49964</v>
      </c>
      <c r="AK36" s="145">
        <f t="shared" si="17"/>
        <v>50146.5</v>
      </c>
      <c r="AL36" s="145">
        <f t="shared" si="17"/>
        <v>50329</v>
      </c>
      <c r="AM36" s="145">
        <f t="shared" si="17"/>
        <v>50511.5</v>
      </c>
      <c r="AN36" s="145">
        <f t="shared" si="17"/>
        <v>50694</v>
      </c>
      <c r="AO36" s="145">
        <f t="shared" si="17"/>
        <v>50876.5</v>
      </c>
      <c r="AP36" s="145">
        <f t="shared" si="17"/>
        <v>51059</v>
      </c>
      <c r="AQ36" s="145">
        <f t="shared" si="17"/>
        <v>51241.5</v>
      </c>
      <c r="AR36" s="145">
        <f t="shared" si="17"/>
        <v>51424</v>
      </c>
      <c r="AS36" s="145">
        <f t="shared" si="17"/>
        <v>51606.5</v>
      </c>
      <c r="AT36" s="145">
        <f t="shared" si="17"/>
        <v>51789</v>
      </c>
      <c r="AU36" s="145">
        <f t="shared" si="17"/>
        <v>51971.5</v>
      </c>
      <c r="AV36" s="145">
        <f t="shared" si="17"/>
        <v>52154</v>
      </c>
      <c r="AW36" s="145">
        <f t="shared" si="17"/>
        <v>52336.5</v>
      </c>
      <c r="AX36" s="145">
        <f t="shared" si="17"/>
        <v>52519</v>
      </c>
      <c r="AY36" s="145">
        <f t="shared" si="17"/>
        <v>52701.5</v>
      </c>
      <c r="AZ36" s="145">
        <f t="shared" si="17"/>
        <v>52884</v>
      </c>
      <c r="BA36" s="145">
        <f t="shared" si="17"/>
        <v>53066.5</v>
      </c>
      <c r="BB36" s="145">
        <f t="shared" si="17"/>
        <v>53249</v>
      </c>
      <c r="BC36" s="145">
        <f t="shared" si="17"/>
        <v>53431.5</v>
      </c>
      <c r="BD36" s="145">
        <f t="shared" si="17"/>
        <v>53614</v>
      </c>
      <c r="BE36" s="145">
        <f t="shared" si="17"/>
        <v>53796.5</v>
      </c>
      <c r="BF36" s="145">
        <f t="shared" si="17"/>
        <v>53979</v>
      </c>
      <c r="BG36" s="145">
        <f t="shared" si="17"/>
        <v>54161.5</v>
      </c>
      <c r="BH36" s="145">
        <f t="shared" si="17"/>
        <v>54344</v>
      </c>
      <c r="BI36" s="145">
        <f t="shared" si="17"/>
        <v>54526.5</v>
      </c>
      <c r="BJ36" s="145">
        <f t="shared" si="17"/>
        <v>54709</v>
      </c>
      <c r="BK36" s="145">
        <f t="shared" si="17"/>
        <v>54891.5</v>
      </c>
      <c r="BL36" s="145">
        <f t="shared" si="17"/>
        <v>55074</v>
      </c>
      <c r="BM36" s="145">
        <f t="shared" si="17"/>
        <v>55256.5</v>
      </c>
      <c r="BN36" s="145">
        <f t="shared" si="17"/>
        <v>55439</v>
      </c>
      <c r="BO36" s="145">
        <f t="shared" si="17"/>
        <v>55621.5</v>
      </c>
      <c r="BP36" s="145">
        <f t="shared" ref="BP36:CB36" si="18">BO36+IF($G5=1,365,182.5)</f>
        <v>55804</v>
      </c>
      <c r="BQ36" s="145">
        <f t="shared" si="18"/>
        <v>55986.5</v>
      </c>
      <c r="BR36" s="145">
        <f t="shared" si="18"/>
        <v>56169</v>
      </c>
      <c r="BS36" s="145">
        <f t="shared" si="18"/>
        <v>56351.5</v>
      </c>
      <c r="BT36" s="145">
        <f t="shared" si="18"/>
        <v>56534</v>
      </c>
      <c r="BU36" s="145">
        <f t="shared" si="18"/>
        <v>56716.5</v>
      </c>
      <c r="BV36" s="145">
        <f t="shared" si="18"/>
        <v>56899</v>
      </c>
      <c r="BW36" s="145">
        <f t="shared" si="18"/>
        <v>57081.5</v>
      </c>
      <c r="BX36" s="145">
        <f t="shared" si="18"/>
        <v>57264</v>
      </c>
      <c r="BY36" s="145">
        <f t="shared" si="18"/>
        <v>57446.5</v>
      </c>
      <c r="BZ36" s="145">
        <f t="shared" si="18"/>
        <v>57629</v>
      </c>
      <c r="CA36" s="145">
        <f t="shared" si="18"/>
        <v>57811.5</v>
      </c>
      <c r="CB36" s="146">
        <f t="shared" si="18"/>
        <v>57994</v>
      </c>
    </row>
    <row r="37" spans="1:80">
      <c r="A37" s="165" t="s">
        <v>24</v>
      </c>
      <c r="B37" s="147">
        <f>(IF(B36=F5,100,0)+IF(G5=1,1,0.5)*J5*100)*IF(ISBLANK(F5)=TRUE,0,1)</f>
        <v>2.75</v>
      </c>
      <c r="C37" s="148">
        <f>IF(C36&gt;$F5+1,0,1)*(IF(D37=0,100,0)+IF($G5=1,1,0.5)*$J5*100)</f>
        <v>2.75</v>
      </c>
      <c r="D37" s="148">
        <f t="shared" ref="D37:BO37" si="19">IF(D36&gt;$F5+1,0,1)*(IF(E37=0,100,0)+IF($G5=1,1,0.5)*$J5*100)</f>
        <v>2.75</v>
      </c>
      <c r="E37" s="148">
        <f t="shared" si="19"/>
        <v>2.75</v>
      </c>
      <c r="F37" s="148">
        <f t="shared" si="19"/>
        <v>2.75</v>
      </c>
      <c r="G37" s="148">
        <f t="shared" si="19"/>
        <v>2.75</v>
      </c>
      <c r="H37" s="148">
        <f t="shared" si="19"/>
        <v>2.75</v>
      </c>
      <c r="I37" s="148">
        <f t="shared" si="19"/>
        <v>102.75</v>
      </c>
      <c r="J37" s="148">
        <f t="shared" si="19"/>
        <v>0</v>
      </c>
      <c r="K37" s="148">
        <f t="shared" si="19"/>
        <v>0</v>
      </c>
      <c r="L37" s="148">
        <f t="shared" si="19"/>
        <v>0</v>
      </c>
      <c r="M37" s="148">
        <f t="shared" si="19"/>
        <v>0</v>
      </c>
      <c r="N37" s="148">
        <f t="shared" si="19"/>
        <v>0</v>
      </c>
      <c r="O37" s="148">
        <f t="shared" si="19"/>
        <v>0</v>
      </c>
      <c r="P37" s="148">
        <f t="shared" si="19"/>
        <v>0</v>
      </c>
      <c r="Q37" s="148">
        <f t="shared" si="19"/>
        <v>0</v>
      </c>
      <c r="R37" s="148">
        <f t="shared" si="19"/>
        <v>0</v>
      </c>
      <c r="S37" s="148">
        <f t="shared" si="19"/>
        <v>0</v>
      </c>
      <c r="T37" s="148">
        <f t="shared" si="19"/>
        <v>0</v>
      </c>
      <c r="U37" s="148">
        <f t="shared" si="19"/>
        <v>0</v>
      </c>
      <c r="V37" s="148">
        <f t="shared" si="19"/>
        <v>0</v>
      </c>
      <c r="W37" s="148">
        <f t="shared" si="19"/>
        <v>0</v>
      </c>
      <c r="X37" s="148">
        <f t="shared" si="19"/>
        <v>0</v>
      </c>
      <c r="Y37" s="148">
        <f t="shared" si="19"/>
        <v>0</v>
      </c>
      <c r="Z37" s="148">
        <f t="shared" si="19"/>
        <v>0</v>
      </c>
      <c r="AA37" s="148">
        <f t="shared" si="19"/>
        <v>0</v>
      </c>
      <c r="AB37" s="148">
        <f t="shared" si="19"/>
        <v>0</v>
      </c>
      <c r="AC37" s="148">
        <f t="shared" si="19"/>
        <v>0</v>
      </c>
      <c r="AD37" s="148">
        <f t="shared" si="19"/>
        <v>0</v>
      </c>
      <c r="AE37" s="148">
        <f t="shared" si="19"/>
        <v>0</v>
      </c>
      <c r="AF37" s="148">
        <f t="shared" si="19"/>
        <v>0</v>
      </c>
      <c r="AG37" s="148">
        <f t="shared" si="19"/>
        <v>0</v>
      </c>
      <c r="AH37" s="148">
        <f t="shared" si="19"/>
        <v>0</v>
      </c>
      <c r="AI37" s="148">
        <f t="shared" si="19"/>
        <v>0</v>
      </c>
      <c r="AJ37" s="148">
        <f t="shared" si="19"/>
        <v>0</v>
      </c>
      <c r="AK37" s="148">
        <f t="shared" si="19"/>
        <v>0</v>
      </c>
      <c r="AL37" s="148">
        <f t="shared" si="19"/>
        <v>0</v>
      </c>
      <c r="AM37" s="148">
        <f t="shared" si="19"/>
        <v>0</v>
      </c>
      <c r="AN37" s="148">
        <f t="shared" si="19"/>
        <v>0</v>
      </c>
      <c r="AO37" s="148">
        <f t="shared" si="19"/>
        <v>0</v>
      </c>
      <c r="AP37" s="148">
        <f t="shared" si="19"/>
        <v>0</v>
      </c>
      <c r="AQ37" s="148">
        <f t="shared" si="19"/>
        <v>0</v>
      </c>
      <c r="AR37" s="148">
        <f t="shared" si="19"/>
        <v>0</v>
      </c>
      <c r="AS37" s="148">
        <f t="shared" si="19"/>
        <v>0</v>
      </c>
      <c r="AT37" s="148">
        <f t="shared" si="19"/>
        <v>0</v>
      </c>
      <c r="AU37" s="148">
        <f t="shared" si="19"/>
        <v>0</v>
      </c>
      <c r="AV37" s="148">
        <f t="shared" si="19"/>
        <v>0</v>
      </c>
      <c r="AW37" s="148">
        <f t="shared" si="19"/>
        <v>0</v>
      </c>
      <c r="AX37" s="148">
        <f t="shared" si="19"/>
        <v>0</v>
      </c>
      <c r="AY37" s="148">
        <f t="shared" si="19"/>
        <v>0</v>
      </c>
      <c r="AZ37" s="148">
        <f t="shared" si="19"/>
        <v>0</v>
      </c>
      <c r="BA37" s="148">
        <f t="shared" si="19"/>
        <v>0</v>
      </c>
      <c r="BB37" s="148">
        <f t="shared" si="19"/>
        <v>0</v>
      </c>
      <c r="BC37" s="148">
        <f t="shared" si="19"/>
        <v>0</v>
      </c>
      <c r="BD37" s="148">
        <f t="shared" si="19"/>
        <v>0</v>
      </c>
      <c r="BE37" s="148">
        <f t="shared" si="19"/>
        <v>0</v>
      </c>
      <c r="BF37" s="148">
        <f t="shared" si="19"/>
        <v>0</v>
      </c>
      <c r="BG37" s="148">
        <f t="shared" si="19"/>
        <v>0</v>
      </c>
      <c r="BH37" s="148">
        <f t="shared" si="19"/>
        <v>0</v>
      </c>
      <c r="BI37" s="148">
        <f t="shared" si="19"/>
        <v>0</v>
      </c>
      <c r="BJ37" s="148">
        <f t="shared" si="19"/>
        <v>0</v>
      </c>
      <c r="BK37" s="148">
        <f t="shared" si="19"/>
        <v>0</v>
      </c>
      <c r="BL37" s="148">
        <f t="shared" si="19"/>
        <v>0</v>
      </c>
      <c r="BM37" s="148">
        <f t="shared" si="19"/>
        <v>0</v>
      </c>
      <c r="BN37" s="148">
        <f t="shared" si="19"/>
        <v>0</v>
      </c>
      <c r="BO37" s="148">
        <f t="shared" si="19"/>
        <v>0</v>
      </c>
      <c r="BP37" s="148">
        <f t="shared" ref="BP37:CB37" si="20">IF(BP36&gt;$F5+1,0,1)*(IF(BQ37=0,100,0)+IF($G5=1,1,0.5)*$J5*100)</f>
        <v>0</v>
      </c>
      <c r="BQ37" s="148">
        <f t="shared" si="20"/>
        <v>0</v>
      </c>
      <c r="BR37" s="148">
        <f t="shared" si="20"/>
        <v>0</v>
      </c>
      <c r="BS37" s="148">
        <f t="shared" si="20"/>
        <v>0</v>
      </c>
      <c r="BT37" s="148">
        <f t="shared" si="20"/>
        <v>0</v>
      </c>
      <c r="BU37" s="148">
        <f t="shared" si="20"/>
        <v>0</v>
      </c>
      <c r="BV37" s="148">
        <f t="shared" si="20"/>
        <v>0</v>
      </c>
      <c r="BW37" s="148">
        <f t="shared" si="20"/>
        <v>0</v>
      </c>
      <c r="BX37" s="148">
        <f t="shared" si="20"/>
        <v>0</v>
      </c>
      <c r="BY37" s="148">
        <f t="shared" si="20"/>
        <v>0</v>
      </c>
      <c r="BZ37" s="148">
        <f t="shared" si="20"/>
        <v>0</v>
      </c>
      <c r="CA37" s="148">
        <f t="shared" si="20"/>
        <v>0</v>
      </c>
      <c r="CB37" s="154">
        <f t="shared" si="20"/>
        <v>0</v>
      </c>
    </row>
    <row r="38" spans="1:80">
      <c r="A38" s="261" t="s">
        <v>49</v>
      </c>
      <c r="B38" s="37" t="str">
        <f>IF(E6=0,F6,E6)</f>
        <v>10/21/2019</v>
      </c>
      <c r="C38" s="38">
        <f>B38+IF($G6=1,365,182.5)</f>
        <v>43941.5</v>
      </c>
      <c r="D38" s="38">
        <f t="shared" ref="D38:BO38" si="21">C38+IF($G6=1,365,182.5)</f>
        <v>44124</v>
      </c>
      <c r="E38" s="38">
        <f t="shared" si="21"/>
        <v>44306.5</v>
      </c>
      <c r="F38" s="38">
        <f t="shared" si="21"/>
        <v>44489</v>
      </c>
      <c r="G38" s="141">
        <f t="shared" si="21"/>
        <v>44671.5</v>
      </c>
      <c r="H38" s="38">
        <f t="shared" si="21"/>
        <v>44854</v>
      </c>
      <c r="I38" s="38">
        <f t="shared" si="21"/>
        <v>45036.5</v>
      </c>
      <c r="J38" s="38">
        <f t="shared" si="21"/>
        <v>45219</v>
      </c>
      <c r="K38" s="38">
        <f t="shared" si="21"/>
        <v>45401.5</v>
      </c>
      <c r="L38" s="38">
        <f t="shared" si="21"/>
        <v>45584</v>
      </c>
      <c r="M38" s="38">
        <f t="shared" si="21"/>
        <v>45766.5</v>
      </c>
      <c r="N38" s="38">
        <f t="shared" si="21"/>
        <v>45949</v>
      </c>
      <c r="O38" s="38">
        <f t="shared" si="21"/>
        <v>46131.5</v>
      </c>
      <c r="P38" s="38">
        <f t="shared" si="21"/>
        <v>46314</v>
      </c>
      <c r="Q38" s="38">
        <f t="shared" si="21"/>
        <v>46496.5</v>
      </c>
      <c r="R38" s="38">
        <f t="shared" si="21"/>
        <v>46679</v>
      </c>
      <c r="S38" s="38">
        <f t="shared" si="21"/>
        <v>46861.5</v>
      </c>
      <c r="T38" s="38">
        <f t="shared" si="21"/>
        <v>47044</v>
      </c>
      <c r="U38" s="38">
        <f t="shared" si="21"/>
        <v>47226.5</v>
      </c>
      <c r="V38" s="38">
        <f t="shared" si="21"/>
        <v>47409</v>
      </c>
      <c r="W38" s="38">
        <f t="shared" si="21"/>
        <v>47591.5</v>
      </c>
      <c r="X38" s="38">
        <f t="shared" si="21"/>
        <v>47774</v>
      </c>
      <c r="Y38" s="38">
        <f t="shared" si="21"/>
        <v>47956.5</v>
      </c>
      <c r="Z38" s="38">
        <f t="shared" si="21"/>
        <v>48139</v>
      </c>
      <c r="AA38" s="38">
        <f t="shared" si="21"/>
        <v>48321.5</v>
      </c>
      <c r="AB38" s="38">
        <f t="shared" si="21"/>
        <v>48504</v>
      </c>
      <c r="AC38" s="38">
        <f t="shared" si="21"/>
        <v>48686.5</v>
      </c>
      <c r="AD38" s="38">
        <f t="shared" si="21"/>
        <v>48869</v>
      </c>
      <c r="AE38" s="38">
        <f t="shared" si="21"/>
        <v>49051.5</v>
      </c>
      <c r="AF38" s="38">
        <f t="shared" si="21"/>
        <v>49234</v>
      </c>
      <c r="AG38" s="38">
        <f t="shared" si="21"/>
        <v>49416.5</v>
      </c>
      <c r="AH38" s="38">
        <f t="shared" si="21"/>
        <v>49599</v>
      </c>
      <c r="AI38" s="38">
        <f t="shared" si="21"/>
        <v>49781.5</v>
      </c>
      <c r="AJ38" s="38">
        <f t="shared" si="21"/>
        <v>49964</v>
      </c>
      <c r="AK38" s="38">
        <f t="shared" si="21"/>
        <v>50146.5</v>
      </c>
      <c r="AL38" s="38">
        <f t="shared" si="21"/>
        <v>50329</v>
      </c>
      <c r="AM38" s="38">
        <f t="shared" si="21"/>
        <v>50511.5</v>
      </c>
      <c r="AN38" s="38">
        <f t="shared" si="21"/>
        <v>50694</v>
      </c>
      <c r="AO38" s="38">
        <f t="shared" si="21"/>
        <v>50876.5</v>
      </c>
      <c r="AP38" s="38">
        <f t="shared" si="21"/>
        <v>51059</v>
      </c>
      <c r="AQ38" s="38">
        <f t="shared" si="21"/>
        <v>51241.5</v>
      </c>
      <c r="AR38" s="38">
        <f t="shared" si="21"/>
        <v>51424</v>
      </c>
      <c r="AS38" s="38">
        <f t="shared" si="21"/>
        <v>51606.5</v>
      </c>
      <c r="AT38" s="38">
        <f t="shared" si="21"/>
        <v>51789</v>
      </c>
      <c r="AU38" s="38">
        <f t="shared" si="21"/>
        <v>51971.5</v>
      </c>
      <c r="AV38" s="38">
        <f t="shared" si="21"/>
        <v>52154</v>
      </c>
      <c r="AW38" s="38">
        <f t="shared" si="21"/>
        <v>52336.5</v>
      </c>
      <c r="AX38" s="38">
        <f t="shared" si="21"/>
        <v>52519</v>
      </c>
      <c r="AY38" s="38">
        <f t="shared" si="21"/>
        <v>52701.5</v>
      </c>
      <c r="AZ38" s="38">
        <f t="shared" si="21"/>
        <v>52884</v>
      </c>
      <c r="BA38" s="38">
        <f t="shared" si="21"/>
        <v>53066.5</v>
      </c>
      <c r="BB38" s="38">
        <f t="shared" si="21"/>
        <v>53249</v>
      </c>
      <c r="BC38" s="38">
        <f t="shared" si="21"/>
        <v>53431.5</v>
      </c>
      <c r="BD38" s="38">
        <f t="shared" si="21"/>
        <v>53614</v>
      </c>
      <c r="BE38" s="38">
        <f t="shared" si="21"/>
        <v>53796.5</v>
      </c>
      <c r="BF38" s="38">
        <f t="shared" si="21"/>
        <v>53979</v>
      </c>
      <c r="BG38" s="38">
        <f t="shared" si="21"/>
        <v>54161.5</v>
      </c>
      <c r="BH38" s="38">
        <f t="shared" si="21"/>
        <v>54344</v>
      </c>
      <c r="BI38" s="38">
        <f t="shared" si="21"/>
        <v>54526.5</v>
      </c>
      <c r="BJ38" s="38">
        <f t="shared" si="21"/>
        <v>54709</v>
      </c>
      <c r="BK38" s="38">
        <f t="shared" si="21"/>
        <v>54891.5</v>
      </c>
      <c r="BL38" s="38">
        <f t="shared" si="21"/>
        <v>55074</v>
      </c>
      <c r="BM38" s="38">
        <f t="shared" si="21"/>
        <v>55256.5</v>
      </c>
      <c r="BN38" s="38">
        <f t="shared" si="21"/>
        <v>55439</v>
      </c>
      <c r="BO38" s="38">
        <f t="shared" si="21"/>
        <v>55621.5</v>
      </c>
      <c r="BP38" s="38">
        <f t="shared" ref="BP38:CB38" si="22">BO38+IF($G6=1,365,182.5)</f>
        <v>55804</v>
      </c>
      <c r="BQ38" s="38">
        <f t="shared" si="22"/>
        <v>55986.5</v>
      </c>
      <c r="BR38" s="38">
        <f t="shared" si="22"/>
        <v>56169</v>
      </c>
      <c r="BS38" s="38">
        <f t="shared" si="22"/>
        <v>56351.5</v>
      </c>
      <c r="BT38" s="38">
        <f t="shared" si="22"/>
        <v>56534</v>
      </c>
      <c r="BU38" s="38">
        <f t="shared" si="22"/>
        <v>56716.5</v>
      </c>
      <c r="BV38" s="38">
        <f t="shared" si="22"/>
        <v>56899</v>
      </c>
      <c r="BW38" s="38">
        <f t="shared" si="22"/>
        <v>57081.5</v>
      </c>
      <c r="BX38" s="38">
        <f t="shared" si="22"/>
        <v>57264</v>
      </c>
      <c r="BY38" s="38">
        <f t="shared" si="22"/>
        <v>57446.5</v>
      </c>
      <c r="BZ38" s="38">
        <f t="shared" si="22"/>
        <v>57629</v>
      </c>
      <c r="CA38" s="38">
        <f t="shared" si="22"/>
        <v>57811.5</v>
      </c>
      <c r="CB38" s="39">
        <f t="shared" si="22"/>
        <v>57994</v>
      </c>
    </row>
    <row r="39" spans="1:80">
      <c r="A39" s="166" t="s">
        <v>25</v>
      </c>
      <c r="B39" s="106">
        <f>(IF(B38=F6,100,0)+IF(G6=1,1,0.5)*J6*100)*IF(ISBLANK(F6)=TRUE,0,1)</f>
        <v>1.375</v>
      </c>
      <c r="C39" s="40">
        <f>IF(C38&gt;$F6+1,0,1)*(IF(D39=0,100,0)+IF($G6=1,1,0.5)*$J6*100)</f>
        <v>1.375</v>
      </c>
      <c r="D39" s="40">
        <f t="shared" ref="D39:BO39" si="23">IF(D38&gt;$F6+1,0,1)*(IF(E39=0,100,0)+IF($G6=1,1,0.5)*$J6*100)</f>
        <v>1.375</v>
      </c>
      <c r="E39" s="40">
        <f t="shared" si="23"/>
        <v>1.375</v>
      </c>
      <c r="F39" s="40">
        <f t="shared" si="23"/>
        <v>1.375</v>
      </c>
      <c r="G39" s="40">
        <f t="shared" si="23"/>
        <v>1.375</v>
      </c>
      <c r="H39" s="40">
        <f t="shared" si="23"/>
        <v>1.375</v>
      </c>
      <c r="I39" s="40">
        <f t="shared" si="23"/>
        <v>1.375</v>
      </c>
      <c r="J39" s="40">
        <f t="shared" si="23"/>
        <v>1.375</v>
      </c>
      <c r="K39" s="40">
        <f t="shared" si="23"/>
        <v>101.375</v>
      </c>
      <c r="L39" s="40">
        <f t="shared" si="23"/>
        <v>0</v>
      </c>
      <c r="M39" s="40">
        <f t="shared" si="23"/>
        <v>0</v>
      </c>
      <c r="N39" s="40">
        <f t="shared" si="23"/>
        <v>0</v>
      </c>
      <c r="O39" s="40">
        <f t="shared" si="23"/>
        <v>0</v>
      </c>
      <c r="P39" s="40">
        <f t="shared" si="23"/>
        <v>0</v>
      </c>
      <c r="Q39" s="40">
        <f t="shared" si="23"/>
        <v>0</v>
      </c>
      <c r="R39" s="40">
        <f t="shared" si="23"/>
        <v>0</v>
      </c>
      <c r="S39" s="40">
        <f t="shared" si="23"/>
        <v>0</v>
      </c>
      <c r="T39" s="40">
        <f t="shared" si="23"/>
        <v>0</v>
      </c>
      <c r="U39" s="40">
        <f t="shared" si="23"/>
        <v>0</v>
      </c>
      <c r="V39" s="40">
        <f t="shared" si="23"/>
        <v>0</v>
      </c>
      <c r="W39" s="40">
        <f t="shared" si="23"/>
        <v>0</v>
      </c>
      <c r="X39" s="40">
        <f t="shared" si="23"/>
        <v>0</v>
      </c>
      <c r="Y39" s="40">
        <f t="shared" si="23"/>
        <v>0</v>
      </c>
      <c r="Z39" s="40">
        <f t="shared" si="23"/>
        <v>0</v>
      </c>
      <c r="AA39" s="40">
        <f t="shared" si="23"/>
        <v>0</v>
      </c>
      <c r="AB39" s="40">
        <f t="shared" si="23"/>
        <v>0</v>
      </c>
      <c r="AC39" s="40">
        <f t="shared" si="23"/>
        <v>0</v>
      </c>
      <c r="AD39" s="40">
        <f t="shared" si="23"/>
        <v>0</v>
      </c>
      <c r="AE39" s="40">
        <f t="shared" si="23"/>
        <v>0</v>
      </c>
      <c r="AF39" s="40">
        <f t="shared" si="23"/>
        <v>0</v>
      </c>
      <c r="AG39" s="40">
        <f t="shared" si="23"/>
        <v>0</v>
      </c>
      <c r="AH39" s="40">
        <f t="shared" si="23"/>
        <v>0</v>
      </c>
      <c r="AI39" s="40">
        <f t="shared" si="23"/>
        <v>0</v>
      </c>
      <c r="AJ39" s="40">
        <f t="shared" si="23"/>
        <v>0</v>
      </c>
      <c r="AK39" s="40">
        <f t="shared" si="23"/>
        <v>0</v>
      </c>
      <c r="AL39" s="40">
        <f t="shared" si="23"/>
        <v>0</v>
      </c>
      <c r="AM39" s="40">
        <f t="shared" si="23"/>
        <v>0</v>
      </c>
      <c r="AN39" s="40">
        <f t="shared" si="23"/>
        <v>0</v>
      </c>
      <c r="AO39" s="40">
        <f t="shared" si="23"/>
        <v>0</v>
      </c>
      <c r="AP39" s="40">
        <f t="shared" si="23"/>
        <v>0</v>
      </c>
      <c r="AQ39" s="40">
        <f t="shared" si="23"/>
        <v>0</v>
      </c>
      <c r="AR39" s="40">
        <f t="shared" si="23"/>
        <v>0</v>
      </c>
      <c r="AS39" s="40">
        <f t="shared" si="23"/>
        <v>0</v>
      </c>
      <c r="AT39" s="40">
        <f t="shared" si="23"/>
        <v>0</v>
      </c>
      <c r="AU39" s="40">
        <f t="shared" si="23"/>
        <v>0</v>
      </c>
      <c r="AV39" s="40">
        <f t="shared" si="23"/>
        <v>0</v>
      </c>
      <c r="AW39" s="40">
        <f t="shared" si="23"/>
        <v>0</v>
      </c>
      <c r="AX39" s="40">
        <f t="shared" si="23"/>
        <v>0</v>
      </c>
      <c r="AY39" s="40">
        <f t="shared" si="23"/>
        <v>0</v>
      </c>
      <c r="AZ39" s="40">
        <f t="shared" si="23"/>
        <v>0</v>
      </c>
      <c r="BA39" s="40">
        <f t="shared" si="23"/>
        <v>0</v>
      </c>
      <c r="BB39" s="40">
        <f t="shared" si="23"/>
        <v>0</v>
      </c>
      <c r="BC39" s="40">
        <f t="shared" si="23"/>
        <v>0</v>
      </c>
      <c r="BD39" s="40">
        <f t="shared" si="23"/>
        <v>0</v>
      </c>
      <c r="BE39" s="40">
        <f t="shared" si="23"/>
        <v>0</v>
      </c>
      <c r="BF39" s="40">
        <f t="shared" si="23"/>
        <v>0</v>
      </c>
      <c r="BG39" s="40">
        <f t="shared" si="23"/>
        <v>0</v>
      </c>
      <c r="BH39" s="40">
        <f t="shared" si="23"/>
        <v>0</v>
      </c>
      <c r="BI39" s="40">
        <f t="shared" si="23"/>
        <v>0</v>
      </c>
      <c r="BJ39" s="40">
        <f t="shared" si="23"/>
        <v>0</v>
      </c>
      <c r="BK39" s="40">
        <f t="shared" si="23"/>
        <v>0</v>
      </c>
      <c r="BL39" s="40">
        <f t="shared" si="23"/>
        <v>0</v>
      </c>
      <c r="BM39" s="40">
        <f t="shared" si="23"/>
        <v>0</v>
      </c>
      <c r="BN39" s="40">
        <f t="shared" si="23"/>
        <v>0</v>
      </c>
      <c r="BO39" s="40">
        <f t="shared" si="23"/>
        <v>0</v>
      </c>
      <c r="BP39" s="40">
        <f t="shared" ref="BP39:CB39" si="24">IF(BP38&gt;$F6+1,0,1)*(IF(BQ39=0,100,0)+IF($G6=1,1,0.5)*$J6*100)</f>
        <v>0</v>
      </c>
      <c r="BQ39" s="40">
        <f t="shared" si="24"/>
        <v>0</v>
      </c>
      <c r="BR39" s="40">
        <f t="shared" si="24"/>
        <v>0</v>
      </c>
      <c r="BS39" s="40">
        <f t="shared" si="24"/>
        <v>0</v>
      </c>
      <c r="BT39" s="40">
        <f t="shared" si="24"/>
        <v>0</v>
      </c>
      <c r="BU39" s="40">
        <f t="shared" si="24"/>
        <v>0</v>
      </c>
      <c r="BV39" s="40">
        <f t="shared" si="24"/>
        <v>0</v>
      </c>
      <c r="BW39" s="40">
        <f t="shared" si="24"/>
        <v>0</v>
      </c>
      <c r="BX39" s="40">
        <f t="shared" si="24"/>
        <v>0</v>
      </c>
      <c r="BY39" s="40">
        <f t="shared" si="24"/>
        <v>0</v>
      </c>
      <c r="BZ39" s="40">
        <f t="shared" si="24"/>
        <v>0</v>
      </c>
      <c r="CA39" s="40">
        <f t="shared" si="24"/>
        <v>0</v>
      </c>
      <c r="CB39" s="41">
        <f t="shared" si="24"/>
        <v>0</v>
      </c>
    </row>
    <row r="40" spans="1:80">
      <c r="A40" s="260" t="s">
        <v>49</v>
      </c>
      <c r="B40" s="42" t="str">
        <f>IF(E7=0,F7,E7)</f>
        <v>10/21/2019</v>
      </c>
      <c r="C40" s="43">
        <f t="shared" ref="C40:BN40" si="25">B40+IF($G7=1,365,182.5)</f>
        <v>43941.5</v>
      </c>
      <c r="D40" s="43">
        <f t="shared" si="25"/>
        <v>44124</v>
      </c>
      <c r="E40" s="43">
        <f t="shared" si="25"/>
        <v>44306.5</v>
      </c>
      <c r="F40" s="43">
        <f t="shared" si="25"/>
        <v>44489</v>
      </c>
      <c r="G40" s="43">
        <f t="shared" si="25"/>
        <v>44671.5</v>
      </c>
      <c r="H40" s="43">
        <f t="shared" si="25"/>
        <v>44854</v>
      </c>
      <c r="I40" s="43">
        <f t="shared" si="25"/>
        <v>45036.5</v>
      </c>
      <c r="J40" s="43">
        <f t="shared" si="25"/>
        <v>45219</v>
      </c>
      <c r="K40" s="100">
        <f t="shared" si="25"/>
        <v>45401.5</v>
      </c>
      <c r="L40" s="43">
        <f t="shared" si="25"/>
        <v>45584</v>
      </c>
      <c r="M40" s="43">
        <f t="shared" si="25"/>
        <v>45766.5</v>
      </c>
      <c r="N40" s="43">
        <f t="shared" si="25"/>
        <v>45949</v>
      </c>
      <c r="O40" s="43">
        <f t="shared" si="25"/>
        <v>46131.5</v>
      </c>
      <c r="P40" s="43">
        <f t="shared" si="25"/>
        <v>46314</v>
      </c>
      <c r="Q40" s="43">
        <f t="shared" si="25"/>
        <v>46496.5</v>
      </c>
      <c r="R40" s="43">
        <f t="shared" si="25"/>
        <v>46679</v>
      </c>
      <c r="S40" s="43">
        <f t="shared" si="25"/>
        <v>46861.5</v>
      </c>
      <c r="T40" s="43">
        <f t="shared" si="25"/>
        <v>47044</v>
      </c>
      <c r="U40" s="43">
        <f t="shared" si="25"/>
        <v>47226.5</v>
      </c>
      <c r="V40" s="43">
        <f t="shared" si="25"/>
        <v>47409</v>
      </c>
      <c r="W40" s="43">
        <f t="shared" si="25"/>
        <v>47591.5</v>
      </c>
      <c r="X40" s="43">
        <f t="shared" si="25"/>
        <v>47774</v>
      </c>
      <c r="Y40" s="43">
        <f t="shared" si="25"/>
        <v>47956.5</v>
      </c>
      <c r="Z40" s="43">
        <f t="shared" si="25"/>
        <v>48139</v>
      </c>
      <c r="AA40" s="43">
        <f t="shared" si="25"/>
        <v>48321.5</v>
      </c>
      <c r="AB40" s="43">
        <f t="shared" si="25"/>
        <v>48504</v>
      </c>
      <c r="AC40" s="43">
        <f t="shared" si="25"/>
        <v>48686.5</v>
      </c>
      <c r="AD40" s="43">
        <f t="shared" si="25"/>
        <v>48869</v>
      </c>
      <c r="AE40" s="43">
        <f t="shared" si="25"/>
        <v>49051.5</v>
      </c>
      <c r="AF40" s="43">
        <f t="shared" si="25"/>
        <v>49234</v>
      </c>
      <c r="AG40" s="43">
        <f t="shared" si="25"/>
        <v>49416.5</v>
      </c>
      <c r="AH40" s="43">
        <f t="shared" si="25"/>
        <v>49599</v>
      </c>
      <c r="AI40" s="43">
        <f t="shared" si="25"/>
        <v>49781.5</v>
      </c>
      <c r="AJ40" s="43">
        <f t="shared" si="25"/>
        <v>49964</v>
      </c>
      <c r="AK40" s="43">
        <f t="shared" si="25"/>
        <v>50146.5</v>
      </c>
      <c r="AL40" s="43">
        <f t="shared" si="25"/>
        <v>50329</v>
      </c>
      <c r="AM40" s="43">
        <f t="shared" si="25"/>
        <v>50511.5</v>
      </c>
      <c r="AN40" s="43">
        <f t="shared" si="25"/>
        <v>50694</v>
      </c>
      <c r="AO40" s="43">
        <f t="shared" si="25"/>
        <v>50876.5</v>
      </c>
      <c r="AP40" s="43">
        <f t="shared" si="25"/>
        <v>51059</v>
      </c>
      <c r="AQ40" s="43">
        <f t="shared" si="25"/>
        <v>51241.5</v>
      </c>
      <c r="AR40" s="43">
        <f t="shared" si="25"/>
        <v>51424</v>
      </c>
      <c r="AS40" s="43">
        <f t="shared" si="25"/>
        <v>51606.5</v>
      </c>
      <c r="AT40" s="43">
        <f t="shared" si="25"/>
        <v>51789</v>
      </c>
      <c r="AU40" s="43">
        <f t="shared" si="25"/>
        <v>51971.5</v>
      </c>
      <c r="AV40" s="43">
        <f t="shared" si="25"/>
        <v>52154</v>
      </c>
      <c r="AW40" s="43">
        <f t="shared" si="25"/>
        <v>52336.5</v>
      </c>
      <c r="AX40" s="43">
        <f t="shared" si="25"/>
        <v>52519</v>
      </c>
      <c r="AY40" s="43">
        <f t="shared" si="25"/>
        <v>52701.5</v>
      </c>
      <c r="AZ40" s="43">
        <f t="shared" si="25"/>
        <v>52884</v>
      </c>
      <c r="BA40" s="43">
        <f t="shared" si="25"/>
        <v>53066.5</v>
      </c>
      <c r="BB40" s="43">
        <f t="shared" si="25"/>
        <v>53249</v>
      </c>
      <c r="BC40" s="43">
        <f t="shared" si="25"/>
        <v>53431.5</v>
      </c>
      <c r="BD40" s="43">
        <f t="shared" si="25"/>
        <v>53614</v>
      </c>
      <c r="BE40" s="43">
        <f t="shared" si="25"/>
        <v>53796.5</v>
      </c>
      <c r="BF40" s="43">
        <f t="shared" si="25"/>
        <v>53979</v>
      </c>
      <c r="BG40" s="43">
        <f t="shared" si="25"/>
        <v>54161.5</v>
      </c>
      <c r="BH40" s="43">
        <f t="shared" si="25"/>
        <v>54344</v>
      </c>
      <c r="BI40" s="43">
        <f t="shared" si="25"/>
        <v>54526.5</v>
      </c>
      <c r="BJ40" s="43">
        <f t="shared" si="25"/>
        <v>54709</v>
      </c>
      <c r="BK40" s="43">
        <f t="shared" si="25"/>
        <v>54891.5</v>
      </c>
      <c r="BL40" s="43">
        <f t="shared" si="25"/>
        <v>55074</v>
      </c>
      <c r="BM40" s="43">
        <f t="shared" si="25"/>
        <v>55256.5</v>
      </c>
      <c r="BN40" s="43">
        <f t="shared" si="25"/>
        <v>55439</v>
      </c>
      <c r="BO40" s="43">
        <f t="shared" ref="BO40:CB40" si="26">BN40+IF($G7=1,365,182.5)</f>
        <v>55621.5</v>
      </c>
      <c r="BP40" s="43">
        <f t="shared" si="26"/>
        <v>55804</v>
      </c>
      <c r="BQ40" s="43">
        <f t="shared" si="26"/>
        <v>55986.5</v>
      </c>
      <c r="BR40" s="43">
        <f t="shared" si="26"/>
        <v>56169</v>
      </c>
      <c r="BS40" s="43">
        <f t="shared" si="26"/>
        <v>56351.5</v>
      </c>
      <c r="BT40" s="43">
        <f t="shared" si="26"/>
        <v>56534</v>
      </c>
      <c r="BU40" s="43">
        <f t="shared" si="26"/>
        <v>56716.5</v>
      </c>
      <c r="BV40" s="43">
        <f t="shared" si="26"/>
        <v>56899</v>
      </c>
      <c r="BW40" s="43">
        <f t="shared" si="26"/>
        <v>57081.5</v>
      </c>
      <c r="BX40" s="43">
        <f t="shared" si="26"/>
        <v>57264</v>
      </c>
      <c r="BY40" s="43">
        <f t="shared" si="26"/>
        <v>57446.5</v>
      </c>
      <c r="BZ40" s="43">
        <f t="shared" si="26"/>
        <v>57629</v>
      </c>
      <c r="CA40" s="43">
        <f t="shared" si="26"/>
        <v>57811.5</v>
      </c>
      <c r="CB40" s="44">
        <f t="shared" si="26"/>
        <v>57994</v>
      </c>
    </row>
    <row r="41" spans="1:80">
      <c r="A41" s="167" t="s">
        <v>16</v>
      </c>
      <c r="B41" s="107">
        <f>(IF(B40=F7,100,0)+IF(G7=1,1,0.5)*J7*100)*IF(ISBLANK(F7)=TRUE,0,1)</f>
        <v>1.625</v>
      </c>
      <c r="C41" s="45">
        <f>IF(C40&gt;$F7+1,0,1)*(IF(D41=0,100,0)+IF($G7=1,1,0.5)*$J7*100)</f>
        <v>1.625</v>
      </c>
      <c r="D41" s="45">
        <f t="shared" ref="D41:BO41" si="27">IF(D40&gt;$F7+1,0,1)*(IF(E41=0,100,0)+IF($G7=1,1,0.5)*$J7*100)</f>
        <v>1.625</v>
      </c>
      <c r="E41" s="45">
        <f t="shared" si="27"/>
        <v>1.625</v>
      </c>
      <c r="F41" s="45">
        <f t="shared" si="27"/>
        <v>1.625</v>
      </c>
      <c r="G41" s="45">
        <f t="shared" si="27"/>
        <v>1.625</v>
      </c>
      <c r="H41" s="45">
        <f t="shared" si="27"/>
        <v>1.625</v>
      </c>
      <c r="I41" s="45">
        <f t="shared" si="27"/>
        <v>1.625</v>
      </c>
      <c r="J41" s="45">
        <f t="shared" si="27"/>
        <v>1.625</v>
      </c>
      <c r="K41" s="45">
        <f t="shared" si="27"/>
        <v>1.625</v>
      </c>
      <c r="L41" s="45">
        <f t="shared" si="27"/>
        <v>1.625</v>
      </c>
      <c r="M41" s="45">
        <f t="shared" si="27"/>
        <v>101.625</v>
      </c>
      <c r="N41" s="45">
        <f t="shared" si="27"/>
        <v>0</v>
      </c>
      <c r="O41" s="45">
        <f t="shared" si="27"/>
        <v>0</v>
      </c>
      <c r="P41" s="45">
        <f t="shared" si="27"/>
        <v>0</v>
      </c>
      <c r="Q41" s="45">
        <f t="shared" si="27"/>
        <v>0</v>
      </c>
      <c r="R41" s="45">
        <f t="shared" si="27"/>
        <v>0</v>
      </c>
      <c r="S41" s="45">
        <f t="shared" si="27"/>
        <v>0</v>
      </c>
      <c r="T41" s="45">
        <f t="shared" si="27"/>
        <v>0</v>
      </c>
      <c r="U41" s="45">
        <f t="shared" si="27"/>
        <v>0</v>
      </c>
      <c r="V41" s="45">
        <f t="shared" si="27"/>
        <v>0</v>
      </c>
      <c r="W41" s="45">
        <f t="shared" si="27"/>
        <v>0</v>
      </c>
      <c r="X41" s="45">
        <f t="shared" si="27"/>
        <v>0</v>
      </c>
      <c r="Y41" s="45">
        <f t="shared" si="27"/>
        <v>0</v>
      </c>
      <c r="Z41" s="45">
        <f t="shared" si="27"/>
        <v>0</v>
      </c>
      <c r="AA41" s="45">
        <f t="shared" si="27"/>
        <v>0</v>
      </c>
      <c r="AB41" s="45">
        <f t="shared" si="27"/>
        <v>0</v>
      </c>
      <c r="AC41" s="45">
        <f t="shared" si="27"/>
        <v>0</v>
      </c>
      <c r="AD41" s="45">
        <f t="shared" si="27"/>
        <v>0</v>
      </c>
      <c r="AE41" s="45">
        <f t="shared" si="27"/>
        <v>0</v>
      </c>
      <c r="AF41" s="45">
        <f t="shared" si="27"/>
        <v>0</v>
      </c>
      <c r="AG41" s="45">
        <f t="shared" si="27"/>
        <v>0</v>
      </c>
      <c r="AH41" s="45">
        <f t="shared" si="27"/>
        <v>0</v>
      </c>
      <c r="AI41" s="45">
        <f t="shared" si="27"/>
        <v>0</v>
      </c>
      <c r="AJ41" s="45">
        <f t="shared" si="27"/>
        <v>0</v>
      </c>
      <c r="AK41" s="45">
        <f t="shared" si="27"/>
        <v>0</v>
      </c>
      <c r="AL41" s="45">
        <f t="shared" si="27"/>
        <v>0</v>
      </c>
      <c r="AM41" s="45">
        <f t="shared" si="27"/>
        <v>0</v>
      </c>
      <c r="AN41" s="45">
        <f t="shared" si="27"/>
        <v>0</v>
      </c>
      <c r="AO41" s="45">
        <f t="shared" si="27"/>
        <v>0</v>
      </c>
      <c r="AP41" s="45">
        <f t="shared" si="27"/>
        <v>0</v>
      </c>
      <c r="AQ41" s="45">
        <f t="shared" si="27"/>
        <v>0</v>
      </c>
      <c r="AR41" s="45">
        <f t="shared" si="27"/>
        <v>0</v>
      </c>
      <c r="AS41" s="45">
        <f t="shared" si="27"/>
        <v>0</v>
      </c>
      <c r="AT41" s="45">
        <f t="shared" si="27"/>
        <v>0</v>
      </c>
      <c r="AU41" s="45">
        <f t="shared" si="27"/>
        <v>0</v>
      </c>
      <c r="AV41" s="45">
        <f t="shared" si="27"/>
        <v>0</v>
      </c>
      <c r="AW41" s="45">
        <f t="shared" si="27"/>
        <v>0</v>
      </c>
      <c r="AX41" s="45">
        <f t="shared" si="27"/>
        <v>0</v>
      </c>
      <c r="AY41" s="45">
        <f t="shared" si="27"/>
        <v>0</v>
      </c>
      <c r="AZ41" s="45">
        <f t="shared" si="27"/>
        <v>0</v>
      </c>
      <c r="BA41" s="45">
        <f t="shared" si="27"/>
        <v>0</v>
      </c>
      <c r="BB41" s="45">
        <f t="shared" si="27"/>
        <v>0</v>
      </c>
      <c r="BC41" s="45">
        <f t="shared" si="27"/>
        <v>0</v>
      </c>
      <c r="BD41" s="45">
        <f t="shared" si="27"/>
        <v>0</v>
      </c>
      <c r="BE41" s="45">
        <f t="shared" si="27"/>
        <v>0</v>
      </c>
      <c r="BF41" s="45">
        <f t="shared" si="27"/>
        <v>0</v>
      </c>
      <c r="BG41" s="45">
        <f t="shared" si="27"/>
        <v>0</v>
      </c>
      <c r="BH41" s="45">
        <f t="shared" si="27"/>
        <v>0</v>
      </c>
      <c r="BI41" s="45">
        <f t="shared" si="27"/>
        <v>0</v>
      </c>
      <c r="BJ41" s="45">
        <f t="shared" si="27"/>
        <v>0</v>
      </c>
      <c r="BK41" s="45">
        <f t="shared" si="27"/>
        <v>0</v>
      </c>
      <c r="BL41" s="45">
        <f t="shared" si="27"/>
        <v>0</v>
      </c>
      <c r="BM41" s="45">
        <f t="shared" si="27"/>
        <v>0</v>
      </c>
      <c r="BN41" s="45">
        <f t="shared" si="27"/>
        <v>0</v>
      </c>
      <c r="BO41" s="45">
        <f t="shared" si="27"/>
        <v>0</v>
      </c>
      <c r="BP41" s="45">
        <f t="shared" ref="BP41:CB41" si="28">IF(BP40&gt;$F7+1,0,1)*(IF(BQ41=0,100,0)+IF($G7=1,1,0.5)*$J7*100)</f>
        <v>0</v>
      </c>
      <c r="BQ41" s="45">
        <f t="shared" si="28"/>
        <v>0</v>
      </c>
      <c r="BR41" s="45">
        <f t="shared" si="28"/>
        <v>0</v>
      </c>
      <c r="BS41" s="45">
        <f t="shared" si="28"/>
        <v>0</v>
      </c>
      <c r="BT41" s="45">
        <f t="shared" si="28"/>
        <v>0</v>
      </c>
      <c r="BU41" s="45">
        <f t="shared" si="28"/>
        <v>0</v>
      </c>
      <c r="BV41" s="45">
        <f t="shared" si="28"/>
        <v>0</v>
      </c>
      <c r="BW41" s="45">
        <f t="shared" si="28"/>
        <v>0</v>
      </c>
      <c r="BX41" s="45">
        <f t="shared" si="28"/>
        <v>0</v>
      </c>
      <c r="BY41" s="45">
        <f t="shared" si="28"/>
        <v>0</v>
      </c>
      <c r="BZ41" s="45">
        <f t="shared" si="28"/>
        <v>0</v>
      </c>
      <c r="CA41" s="45">
        <f t="shared" si="28"/>
        <v>0</v>
      </c>
      <c r="CB41" s="46">
        <f t="shared" si="28"/>
        <v>0</v>
      </c>
    </row>
    <row r="42" spans="1:80">
      <c r="A42" s="252" t="s">
        <v>49</v>
      </c>
      <c r="B42" s="47" t="str">
        <f>IF(E8=0,F8,E8)</f>
        <v>10/21/2019</v>
      </c>
      <c r="C42" s="48">
        <f t="shared" ref="C42:BN42" si="29">B42+IF($G8=1,365,182.5)</f>
        <v>43941.5</v>
      </c>
      <c r="D42" s="48">
        <f t="shared" si="29"/>
        <v>44124</v>
      </c>
      <c r="E42" s="48">
        <f t="shared" si="29"/>
        <v>44306.5</v>
      </c>
      <c r="F42" s="48">
        <f t="shared" si="29"/>
        <v>44489</v>
      </c>
      <c r="G42" s="48">
        <f t="shared" si="29"/>
        <v>44671.5</v>
      </c>
      <c r="H42" s="48">
        <f t="shared" si="29"/>
        <v>44854</v>
      </c>
      <c r="I42" s="48">
        <f t="shared" si="29"/>
        <v>45036.5</v>
      </c>
      <c r="J42" s="48">
        <f t="shared" si="29"/>
        <v>45219</v>
      </c>
      <c r="K42" s="141">
        <f t="shared" si="29"/>
        <v>45401.5</v>
      </c>
      <c r="L42" s="48">
        <f t="shared" si="29"/>
        <v>45584</v>
      </c>
      <c r="M42" s="48">
        <f t="shared" si="29"/>
        <v>45766.5</v>
      </c>
      <c r="N42" s="48">
        <f t="shared" si="29"/>
        <v>45949</v>
      </c>
      <c r="O42" s="48">
        <f t="shared" si="29"/>
        <v>46131.5</v>
      </c>
      <c r="P42" s="48">
        <f t="shared" si="29"/>
        <v>46314</v>
      </c>
      <c r="Q42" s="48">
        <f t="shared" si="29"/>
        <v>46496.5</v>
      </c>
      <c r="R42" s="48">
        <f t="shared" si="29"/>
        <v>46679</v>
      </c>
      <c r="S42" s="48">
        <f t="shared" si="29"/>
        <v>46861.5</v>
      </c>
      <c r="T42" s="48">
        <f t="shared" si="29"/>
        <v>47044</v>
      </c>
      <c r="U42" s="48">
        <f t="shared" si="29"/>
        <v>47226.5</v>
      </c>
      <c r="V42" s="48">
        <f t="shared" si="29"/>
        <v>47409</v>
      </c>
      <c r="W42" s="48">
        <f t="shared" si="29"/>
        <v>47591.5</v>
      </c>
      <c r="X42" s="48">
        <f t="shared" si="29"/>
        <v>47774</v>
      </c>
      <c r="Y42" s="48">
        <f t="shared" si="29"/>
        <v>47956.5</v>
      </c>
      <c r="Z42" s="48">
        <f t="shared" si="29"/>
        <v>48139</v>
      </c>
      <c r="AA42" s="48">
        <f t="shared" si="29"/>
        <v>48321.5</v>
      </c>
      <c r="AB42" s="48">
        <f t="shared" si="29"/>
        <v>48504</v>
      </c>
      <c r="AC42" s="48">
        <f t="shared" si="29"/>
        <v>48686.5</v>
      </c>
      <c r="AD42" s="48">
        <f t="shared" si="29"/>
        <v>48869</v>
      </c>
      <c r="AE42" s="48">
        <f t="shared" si="29"/>
        <v>49051.5</v>
      </c>
      <c r="AF42" s="48">
        <f t="shared" si="29"/>
        <v>49234</v>
      </c>
      <c r="AG42" s="48">
        <f t="shared" si="29"/>
        <v>49416.5</v>
      </c>
      <c r="AH42" s="48">
        <f t="shared" si="29"/>
        <v>49599</v>
      </c>
      <c r="AI42" s="48">
        <f t="shared" si="29"/>
        <v>49781.5</v>
      </c>
      <c r="AJ42" s="48">
        <f t="shared" si="29"/>
        <v>49964</v>
      </c>
      <c r="AK42" s="48">
        <f t="shared" si="29"/>
        <v>50146.5</v>
      </c>
      <c r="AL42" s="48">
        <f t="shared" si="29"/>
        <v>50329</v>
      </c>
      <c r="AM42" s="48">
        <f t="shared" si="29"/>
        <v>50511.5</v>
      </c>
      <c r="AN42" s="48">
        <f t="shared" si="29"/>
        <v>50694</v>
      </c>
      <c r="AO42" s="48">
        <f t="shared" si="29"/>
        <v>50876.5</v>
      </c>
      <c r="AP42" s="48">
        <f t="shared" si="29"/>
        <v>51059</v>
      </c>
      <c r="AQ42" s="48">
        <f t="shared" si="29"/>
        <v>51241.5</v>
      </c>
      <c r="AR42" s="48">
        <f t="shared" si="29"/>
        <v>51424</v>
      </c>
      <c r="AS42" s="48">
        <f t="shared" si="29"/>
        <v>51606.5</v>
      </c>
      <c r="AT42" s="48">
        <f t="shared" si="29"/>
        <v>51789</v>
      </c>
      <c r="AU42" s="48">
        <f t="shared" si="29"/>
        <v>51971.5</v>
      </c>
      <c r="AV42" s="48">
        <f t="shared" si="29"/>
        <v>52154</v>
      </c>
      <c r="AW42" s="48">
        <f t="shared" si="29"/>
        <v>52336.5</v>
      </c>
      <c r="AX42" s="48">
        <f t="shared" si="29"/>
        <v>52519</v>
      </c>
      <c r="AY42" s="48">
        <f t="shared" si="29"/>
        <v>52701.5</v>
      </c>
      <c r="AZ42" s="48">
        <f t="shared" si="29"/>
        <v>52884</v>
      </c>
      <c r="BA42" s="48">
        <f t="shared" si="29"/>
        <v>53066.5</v>
      </c>
      <c r="BB42" s="48">
        <f t="shared" si="29"/>
        <v>53249</v>
      </c>
      <c r="BC42" s="48">
        <f t="shared" si="29"/>
        <v>53431.5</v>
      </c>
      <c r="BD42" s="48">
        <f t="shared" si="29"/>
        <v>53614</v>
      </c>
      <c r="BE42" s="48">
        <f t="shared" si="29"/>
        <v>53796.5</v>
      </c>
      <c r="BF42" s="48">
        <f t="shared" si="29"/>
        <v>53979</v>
      </c>
      <c r="BG42" s="48">
        <f t="shared" si="29"/>
        <v>54161.5</v>
      </c>
      <c r="BH42" s="48">
        <f t="shared" si="29"/>
        <v>54344</v>
      </c>
      <c r="BI42" s="48">
        <f t="shared" si="29"/>
        <v>54526.5</v>
      </c>
      <c r="BJ42" s="48">
        <f t="shared" si="29"/>
        <v>54709</v>
      </c>
      <c r="BK42" s="48">
        <f t="shared" si="29"/>
        <v>54891.5</v>
      </c>
      <c r="BL42" s="48">
        <f t="shared" si="29"/>
        <v>55074</v>
      </c>
      <c r="BM42" s="48">
        <f t="shared" si="29"/>
        <v>55256.5</v>
      </c>
      <c r="BN42" s="48">
        <f t="shared" si="29"/>
        <v>55439</v>
      </c>
      <c r="BO42" s="48">
        <f t="shared" ref="BO42:CB42" si="30">BN42+IF($G8=1,365,182.5)</f>
        <v>55621.5</v>
      </c>
      <c r="BP42" s="48">
        <f t="shared" si="30"/>
        <v>55804</v>
      </c>
      <c r="BQ42" s="48">
        <f t="shared" si="30"/>
        <v>55986.5</v>
      </c>
      <c r="BR42" s="48">
        <f t="shared" si="30"/>
        <v>56169</v>
      </c>
      <c r="BS42" s="48">
        <f t="shared" si="30"/>
        <v>56351.5</v>
      </c>
      <c r="BT42" s="48">
        <f t="shared" si="30"/>
        <v>56534</v>
      </c>
      <c r="BU42" s="48">
        <f t="shared" si="30"/>
        <v>56716.5</v>
      </c>
      <c r="BV42" s="48">
        <f t="shared" si="30"/>
        <v>56899</v>
      </c>
      <c r="BW42" s="48">
        <f t="shared" si="30"/>
        <v>57081.5</v>
      </c>
      <c r="BX42" s="48">
        <f t="shared" si="30"/>
        <v>57264</v>
      </c>
      <c r="BY42" s="48">
        <f t="shared" si="30"/>
        <v>57446.5</v>
      </c>
      <c r="BZ42" s="48">
        <f t="shared" si="30"/>
        <v>57629</v>
      </c>
      <c r="CA42" s="48">
        <f t="shared" si="30"/>
        <v>57811.5</v>
      </c>
      <c r="CB42" s="49">
        <f t="shared" si="30"/>
        <v>57994</v>
      </c>
    </row>
    <row r="43" spans="1:80">
      <c r="A43" s="168" t="s">
        <v>26</v>
      </c>
      <c r="B43" s="108">
        <f>(IF(B42=F8,100,0)+IF(G8=1,1,0.5)*J8*100)*IF(ISBLANK(F8)=TRUE,0,1)</f>
        <v>2.125</v>
      </c>
      <c r="C43" s="50">
        <f>IF(C42&gt;$F8+1,0,1)*(IF(D43=0,100,0)+IF($G8=1,1,0.5)*$J8*100)</f>
        <v>2.125</v>
      </c>
      <c r="D43" s="50">
        <f t="shared" ref="D43:BO43" si="31">IF(D42&gt;$F8+1,0,1)*(IF(E43=0,100,0)+IF($G8=1,1,0.5)*$J8*100)</f>
        <v>2.125</v>
      </c>
      <c r="E43" s="50">
        <f t="shared" si="31"/>
        <v>2.125</v>
      </c>
      <c r="F43" s="50">
        <f t="shared" si="31"/>
        <v>2.125</v>
      </c>
      <c r="G43" s="50">
        <f t="shared" si="31"/>
        <v>2.125</v>
      </c>
      <c r="H43" s="50">
        <f t="shared" si="31"/>
        <v>2.125</v>
      </c>
      <c r="I43" s="50">
        <f t="shared" si="31"/>
        <v>2.125</v>
      </c>
      <c r="J43" s="50">
        <f t="shared" si="31"/>
        <v>2.125</v>
      </c>
      <c r="K43" s="50">
        <f t="shared" si="31"/>
        <v>2.125</v>
      </c>
      <c r="L43" s="50">
        <f t="shared" si="31"/>
        <v>2.125</v>
      </c>
      <c r="M43" s="50">
        <f t="shared" si="31"/>
        <v>2.125</v>
      </c>
      <c r="N43" s="50">
        <f t="shared" si="31"/>
        <v>2.125</v>
      </c>
      <c r="O43" s="50">
        <f t="shared" si="31"/>
        <v>102.125</v>
      </c>
      <c r="P43" s="50">
        <f t="shared" si="31"/>
        <v>0</v>
      </c>
      <c r="Q43" s="50">
        <f t="shared" si="31"/>
        <v>0</v>
      </c>
      <c r="R43" s="50">
        <f t="shared" si="31"/>
        <v>0</v>
      </c>
      <c r="S43" s="50">
        <f t="shared" si="31"/>
        <v>0</v>
      </c>
      <c r="T43" s="50">
        <f t="shared" si="31"/>
        <v>0</v>
      </c>
      <c r="U43" s="50">
        <f t="shared" si="31"/>
        <v>0</v>
      </c>
      <c r="V43" s="50">
        <f t="shared" si="31"/>
        <v>0</v>
      </c>
      <c r="W43" s="50">
        <f t="shared" si="31"/>
        <v>0</v>
      </c>
      <c r="X43" s="50">
        <f t="shared" si="31"/>
        <v>0</v>
      </c>
      <c r="Y43" s="50">
        <f t="shared" si="31"/>
        <v>0</v>
      </c>
      <c r="Z43" s="50">
        <f t="shared" si="31"/>
        <v>0</v>
      </c>
      <c r="AA43" s="50">
        <f t="shared" si="31"/>
        <v>0</v>
      </c>
      <c r="AB43" s="50">
        <f t="shared" si="31"/>
        <v>0</v>
      </c>
      <c r="AC43" s="50">
        <f t="shared" si="31"/>
        <v>0</v>
      </c>
      <c r="AD43" s="50">
        <f t="shared" si="31"/>
        <v>0</v>
      </c>
      <c r="AE43" s="50">
        <f t="shared" si="31"/>
        <v>0</v>
      </c>
      <c r="AF43" s="50">
        <f t="shared" si="31"/>
        <v>0</v>
      </c>
      <c r="AG43" s="50">
        <f t="shared" si="31"/>
        <v>0</v>
      </c>
      <c r="AH43" s="50">
        <f t="shared" si="31"/>
        <v>0</v>
      </c>
      <c r="AI43" s="50">
        <f t="shared" si="31"/>
        <v>0</v>
      </c>
      <c r="AJ43" s="50">
        <f t="shared" si="31"/>
        <v>0</v>
      </c>
      <c r="AK43" s="50">
        <f t="shared" si="31"/>
        <v>0</v>
      </c>
      <c r="AL43" s="50">
        <f t="shared" si="31"/>
        <v>0</v>
      </c>
      <c r="AM43" s="50">
        <f t="shared" si="31"/>
        <v>0</v>
      </c>
      <c r="AN43" s="50">
        <f t="shared" si="31"/>
        <v>0</v>
      </c>
      <c r="AO43" s="50">
        <f t="shared" si="31"/>
        <v>0</v>
      </c>
      <c r="AP43" s="50">
        <f t="shared" si="31"/>
        <v>0</v>
      </c>
      <c r="AQ43" s="50">
        <f t="shared" si="31"/>
        <v>0</v>
      </c>
      <c r="AR43" s="50">
        <f t="shared" si="31"/>
        <v>0</v>
      </c>
      <c r="AS43" s="50">
        <f t="shared" si="31"/>
        <v>0</v>
      </c>
      <c r="AT43" s="50">
        <f t="shared" si="31"/>
        <v>0</v>
      </c>
      <c r="AU43" s="50">
        <f t="shared" si="31"/>
        <v>0</v>
      </c>
      <c r="AV43" s="50">
        <f t="shared" si="31"/>
        <v>0</v>
      </c>
      <c r="AW43" s="50">
        <f t="shared" si="31"/>
        <v>0</v>
      </c>
      <c r="AX43" s="50">
        <f t="shared" si="31"/>
        <v>0</v>
      </c>
      <c r="AY43" s="50">
        <f t="shared" si="31"/>
        <v>0</v>
      </c>
      <c r="AZ43" s="50">
        <f t="shared" si="31"/>
        <v>0</v>
      </c>
      <c r="BA43" s="50">
        <f t="shared" si="31"/>
        <v>0</v>
      </c>
      <c r="BB43" s="50">
        <f t="shared" si="31"/>
        <v>0</v>
      </c>
      <c r="BC43" s="50">
        <f t="shared" si="31"/>
        <v>0</v>
      </c>
      <c r="BD43" s="50">
        <f t="shared" si="31"/>
        <v>0</v>
      </c>
      <c r="BE43" s="50">
        <f t="shared" si="31"/>
        <v>0</v>
      </c>
      <c r="BF43" s="50">
        <f t="shared" si="31"/>
        <v>0</v>
      </c>
      <c r="BG43" s="50">
        <f t="shared" si="31"/>
        <v>0</v>
      </c>
      <c r="BH43" s="50">
        <f t="shared" si="31"/>
        <v>0</v>
      </c>
      <c r="BI43" s="50">
        <f t="shared" si="31"/>
        <v>0</v>
      </c>
      <c r="BJ43" s="50">
        <f t="shared" si="31"/>
        <v>0</v>
      </c>
      <c r="BK43" s="50">
        <f t="shared" si="31"/>
        <v>0</v>
      </c>
      <c r="BL43" s="50">
        <f t="shared" si="31"/>
        <v>0</v>
      </c>
      <c r="BM43" s="50">
        <f t="shared" si="31"/>
        <v>0</v>
      </c>
      <c r="BN43" s="50">
        <f t="shared" si="31"/>
        <v>0</v>
      </c>
      <c r="BO43" s="50">
        <f t="shared" si="31"/>
        <v>0</v>
      </c>
      <c r="BP43" s="50">
        <f t="shared" ref="BP43:CB43" si="32">IF(BP42&gt;$F8+1,0,1)*(IF(BQ43=0,100,0)+IF($G8=1,1,0.5)*$J8*100)</f>
        <v>0</v>
      </c>
      <c r="BQ43" s="50">
        <f t="shared" si="32"/>
        <v>0</v>
      </c>
      <c r="BR43" s="50">
        <f t="shared" si="32"/>
        <v>0</v>
      </c>
      <c r="BS43" s="50">
        <f t="shared" si="32"/>
        <v>0</v>
      </c>
      <c r="BT43" s="50">
        <f t="shared" si="32"/>
        <v>0</v>
      </c>
      <c r="BU43" s="50">
        <f t="shared" si="32"/>
        <v>0</v>
      </c>
      <c r="BV43" s="50">
        <f t="shared" si="32"/>
        <v>0</v>
      </c>
      <c r="BW43" s="50">
        <f t="shared" si="32"/>
        <v>0</v>
      </c>
      <c r="BX43" s="50">
        <f t="shared" si="32"/>
        <v>0</v>
      </c>
      <c r="BY43" s="50">
        <f t="shared" si="32"/>
        <v>0</v>
      </c>
      <c r="BZ43" s="50">
        <f t="shared" si="32"/>
        <v>0</v>
      </c>
      <c r="CA43" s="50">
        <f t="shared" si="32"/>
        <v>0</v>
      </c>
      <c r="CB43" s="51">
        <f t="shared" si="32"/>
        <v>0</v>
      </c>
    </row>
    <row r="44" spans="1:80">
      <c r="A44" s="259" t="s">
        <v>49</v>
      </c>
      <c r="B44" s="52" t="str">
        <f>IF(E9=0,F9,E9)</f>
        <v>10/21/2019</v>
      </c>
      <c r="C44" s="53">
        <f t="shared" ref="C44:BN44" si="33">B44+IF($G9=1,365,182.5)</f>
        <v>43941.5</v>
      </c>
      <c r="D44" s="53">
        <f t="shared" si="33"/>
        <v>44124</v>
      </c>
      <c r="E44" s="53">
        <f t="shared" si="33"/>
        <v>44306.5</v>
      </c>
      <c r="F44" s="53">
        <f t="shared" si="33"/>
        <v>44489</v>
      </c>
      <c r="G44" s="53">
        <f t="shared" si="33"/>
        <v>44671.5</v>
      </c>
      <c r="H44" s="53">
        <f t="shared" si="33"/>
        <v>44854</v>
      </c>
      <c r="I44" s="53">
        <f t="shared" si="33"/>
        <v>45036.5</v>
      </c>
      <c r="J44" s="53">
        <f t="shared" si="33"/>
        <v>45219</v>
      </c>
      <c r="K44" s="53">
        <f t="shared" si="33"/>
        <v>45401.5</v>
      </c>
      <c r="L44" s="53">
        <f t="shared" si="33"/>
        <v>45584</v>
      </c>
      <c r="M44" s="53">
        <f t="shared" si="33"/>
        <v>45766.5</v>
      </c>
      <c r="N44" s="53">
        <f t="shared" si="33"/>
        <v>45949</v>
      </c>
      <c r="O44" s="53">
        <f t="shared" si="33"/>
        <v>46131.5</v>
      </c>
      <c r="P44" s="53">
        <f t="shared" si="33"/>
        <v>46314</v>
      </c>
      <c r="Q44" s="53">
        <f t="shared" si="33"/>
        <v>46496.5</v>
      </c>
      <c r="R44" s="53">
        <f t="shared" si="33"/>
        <v>46679</v>
      </c>
      <c r="S44" s="53">
        <f t="shared" si="33"/>
        <v>46861.5</v>
      </c>
      <c r="T44" s="53">
        <f t="shared" si="33"/>
        <v>47044</v>
      </c>
      <c r="U44" s="53">
        <f t="shared" si="33"/>
        <v>47226.5</v>
      </c>
      <c r="V44" s="53">
        <f t="shared" si="33"/>
        <v>47409</v>
      </c>
      <c r="W44" s="53">
        <f t="shared" si="33"/>
        <v>47591.5</v>
      </c>
      <c r="X44" s="53">
        <f t="shared" si="33"/>
        <v>47774</v>
      </c>
      <c r="Y44" s="53">
        <f t="shared" si="33"/>
        <v>47956.5</v>
      </c>
      <c r="Z44" s="53">
        <f t="shared" si="33"/>
        <v>48139</v>
      </c>
      <c r="AA44" s="53">
        <f t="shared" si="33"/>
        <v>48321.5</v>
      </c>
      <c r="AB44" s="53">
        <f t="shared" si="33"/>
        <v>48504</v>
      </c>
      <c r="AC44" s="53">
        <f t="shared" si="33"/>
        <v>48686.5</v>
      </c>
      <c r="AD44" s="53">
        <f t="shared" si="33"/>
        <v>48869</v>
      </c>
      <c r="AE44" s="53">
        <f t="shared" si="33"/>
        <v>49051.5</v>
      </c>
      <c r="AF44" s="53">
        <f t="shared" si="33"/>
        <v>49234</v>
      </c>
      <c r="AG44" s="53">
        <f t="shared" si="33"/>
        <v>49416.5</v>
      </c>
      <c r="AH44" s="53">
        <f t="shared" si="33"/>
        <v>49599</v>
      </c>
      <c r="AI44" s="53">
        <f t="shared" si="33"/>
        <v>49781.5</v>
      </c>
      <c r="AJ44" s="53">
        <f t="shared" si="33"/>
        <v>49964</v>
      </c>
      <c r="AK44" s="53">
        <f t="shared" si="33"/>
        <v>50146.5</v>
      </c>
      <c r="AL44" s="53">
        <f t="shared" si="33"/>
        <v>50329</v>
      </c>
      <c r="AM44" s="53">
        <f t="shared" si="33"/>
        <v>50511.5</v>
      </c>
      <c r="AN44" s="53">
        <f t="shared" si="33"/>
        <v>50694</v>
      </c>
      <c r="AO44" s="53">
        <f t="shared" si="33"/>
        <v>50876.5</v>
      </c>
      <c r="AP44" s="53">
        <f t="shared" si="33"/>
        <v>51059</v>
      </c>
      <c r="AQ44" s="53">
        <f t="shared" si="33"/>
        <v>51241.5</v>
      </c>
      <c r="AR44" s="53">
        <f t="shared" si="33"/>
        <v>51424</v>
      </c>
      <c r="AS44" s="53">
        <f t="shared" si="33"/>
        <v>51606.5</v>
      </c>
      <c r="AT44" s="53">
        <f t="shared" si="33"/>
        <v>51789</v>
      </c>
      <c r="AU44" s="53">
        <f t="shared" si="33"/>
        <v>51971.5</v>
      </c>
      <c r="AV44" s="53">
        <f t="shared" si="33"/>
        <v>52154</v>
      </c>
      <c r="AW44" s="53">
        <f t="shared" si="33"/>
        <v>52336.5</v>
      </c>
      <c r="AX44" s="53">
        <f t="shared" si="33"/>
        <v>52519</v>
      </c>
      <c r="AY44" s="53">
        <f t="shared" si="33"/>
        <v>52701.5</v>
      </c>
      <c r="AZ44" s="53">
        <f t="shared" si="33"/>
        <v>52884</v>
      </c>
      <c r="BA44" s="53">
        <f t="shared" si="33"/>
        <v>53066.5</v>
      </c>
      <c r="BB44" s="53">
        <f t="shared" si="33"/>
        <v>53249</v>
      </c>
      <c r="BC44" s="53">
        <f t="shared" si="33"/>
        <v>53431.5</v>
      </c>
      <c r="BD44" s="53">
        <f t="shared" si="33"/>
        <v>53614</v>
      </c>
      <c r="BE44" s="53">
        <f t="shared" si="33"/>
        <v>53796.5</v>
      </c>
      <c r="BF44" s="53">
        <f t="shared" si="33"/>
        <v>53979</v>
      </c>
      <c r="BG44" s="53">
        <f t="shared" si="33"/>
        <v>54161.5</v>
      </c>
      <c r="BH44" s="53">
        <f t="shared" si="33"/>
        <v>54344</v>
      </c>
      <c r="BI44" s="53">
        <f t="shared" si="33"/>
        <v>54526.5</v>
      </c>
      <c r="BJ44" s="53">
        <f t="shared" si="33"/>
        <v>54709</v>
      </c>
      <c r="BK44" s="53">
        <f t="shared" si="33"/>
        <v>54891.5</v>
      </c>
      <c r="BL44" s="53">
        <f t="shared" si="33"/>
        <v>55074</v>
      </c>
      <c r="BM44" s="53">
        <f t="shared" si="33"/>
        <v>55256.5</v>
      </c>
      <c r="BN44" s="53">
        <f t="shared" si="33"/>
        <v>55439</v>
      </c>
      <c r="BO44" s="53">
        <f t="shared" ref="BO44:CB44" si="34">BN44+IF($G9=1,365,182.5)</f>
        <v>55621.5</v>
      </c>
      <c r="BP44" s="53">
        <f t="shared" si="34"/>
        <v>55804</v>
      </c>
      <c r="BQ44" s="53">
        <f t="shared" si="34"/>
        <v>55986.5</v>
      </c>
      <c r="BR44" s="53">
        <f t="shared" si="34"/>
        <v>56169</v>
      </c>
      <c r="BS44" s="53">
        <f t="shared" si="34"/>
        <v>56351.5</v>
      </c>
      <c r="BT44" s="53">
        <f t="shared" si="34"/>
        <v>56534</v>
      </c>
      <c r="BU44" s="53">
        <f t="shared" si="34"/>
        <v>56716.5</v>
      </c>
      <c r="BV44" s="53">
        <f t="shared" si="34"/>
        <v>56899</v>
      </c>
      <c r="BW44" s="53">
        <f t="shared" si="34"/>
        <v>57081.5</v>
      </c>
      <c r="BX44" s="53">
        <f t="shared" si="34"/>
        <v>57264</v>
      </c>
      <c r="BY44" s="53">
        <f t="shared" si="34"/>
        <v>57446.5</v>
      </c>
      <c r="BZ44" s="53">
        <f t="shared" si="34"/>
        <v>57629</v>
      </c>
      <c r="CA44" s="53">
        <f t="shared" si="34"/>
        <v>57811.5</v>
      </c>
      <c r="CB44" s="54">
        <f t="shared" si="34"/>
        <v>57994</v>
      </c>
    </row>
    <row r="45" spans="1:80">
      <c r="A45" s="169" t="s">
        <v>27</v>
      </c>
      <c r="B45" s="109">
        <f>(IF(B44=F9,100,0)+IF(G9=1,1,0.5)*J9*100)*IF(ISBLANK(F9)=TRUE,0,1)</f>
        <v>2.375</v>
      </c>
      <c r="C45" s="55">
        <f>IF(C44&gt;$F9+1,0,1)*(IF(D45=0,100,0)+IF($G9=1,1,0.5)*$J9*100)</f>
        <v>2.375</v>
      </c>
      <c r="D45" s="55">
        <f t="shared" ref="D45:BO45" si="35">IF(D44&gt;$F9+1,0,1)*(IF(E45=0,100,0)+IF($G9=1,1,0.5)*$J9*100)</f>
        <v>2.375</v>
      </c>
      <c r="E45" s="55">
        <f t="shared" si="35"/>
        <v>2.375</v>
      </c>
      <c r="F45" s="55">
        <f t="shared" si="35"/>
        <v>2.375</v>
      </c>
      <c r="G45" s="55">
        <f t="shared" si="35"/>
        <v>2.375</v>
      </c>
      <c r="H45" s="55">
        <f t="shared" si="35"/>
        <v>2.375</v>
      </c>
      <c r="I45" s="55">
        <f t="shared" si="35"/>
        <v>2.375</v>
      </c>
      <c r="J45" s="55">
        <f t="shared" si="35"/>
        <v>2.375</v>
      </c>
      <c r="K45" s="55">
        <f t="shared" si="35"/>
        <v>2.375</v>
      </c>
      <c r="L45" s="55">
        <f t="shared" si="35"/>
        <v>2.375</v>
      </c>
      <c r="M45" s="55">
        <f t="shared" si="35"/>
        <v>2.375</v>
      </c>
      <c r="N45" s="55">
        <f t="shared" si="35"/>
        <v>2.375</v>
      </c>
      <c r="O45" s="55">
        <f t="shared" si="35"/>
        <v>2.375</v>
      </c>
      <c r="P45" s="55">
        <f t="shared" si="35"/>
        <v>2.375</v>
      </c>
      <c r="Q45" s="55">
        <f t="shared" si="35"/>
        <v>102.375</v>
      </c>
      <c r="R45" s="55">
        <f t="shared" si="35"/>
        <v>0</v>
      </c>
      <c r="S45" s="55">
        <f t="shared" si="35"/>
        <v>0</v>
      </c>
      <c r="T45" s="55">
        <f t="shared" si="35"/>
        <v>0</v>
      </c>
      <c r="U45" s="55">
        <f t="shared" si="35"/>
        <v>0</v>
      </c>
      <c r="V45" s="55">
        <f t="shared" si="35"/>
        <v>0</v>
      </c>
      <c r="W45" s="55">
        <f t="shared" si="35"/>
        <v>0</v>
      </c>
      <c r="X45" s="55">
        <f t="shared" si="35"/>
        <v>0</v>
      </c>
      <c r="Y45" s="55">
        <f t="shared" si="35"/>
        <v>0</v>
      </c>
      <c r="Z45" s="55">
        <f t="shared" si="35"/>
        <v>0</v>
      </c>
      <c r="AA45" s="55">
        <f t="shared" si="35"/>
        <v>0</v>
      </c>
      <c r="AB45" s="55">
        <f t="shared" si="35"/>
        <v>0</v>
      </c>
      <c r="AC45" s="55">
        <f t="shared" si="35"/>
        <v>0</v>
      </c>
      <c r="AD45" s="55">
        <f t="shared" si="35"/>
        <v>0</v>
      </c>
      <c r="AE45" s="55">
        <f t="shared" si="35"/>
        <v>0</v>
      </c>
      <c r="AF45" s="55">
        <f t="shared" si="35"/>
        <v>0</v>
      </c>
      <c r="AG45" s="55">
        <f t="shared" si="35"/>
        <v>0</v>
      </c>
      <c r="AH45" s="55">
        <f t="shared" si="35"/>
        <v>0</v>
      </c>
      <c r="AI45" s="55">
        <f t="shared" si="35"/>
        <v>0</v>
      </c>
      <c r="AJ45" s="55">
        <f t="shared" si="35"/>
        <v>0</v>
      </c>
      <c r="AK45" s="55">
        <f t="shared" si="35"/>
        <v>0</v>
      </c>
      <c r="AL45" s="55">
        <f t="shared" si="35"/>
        <v>0</v>
      </c>
      <c r="AM45" s="55">
        <f t="shared" si="35"/>
        <v>0</v>
      </c>
      <c r="AN45" s="55">
        <f t="shared" si="35"/>
        <v>0</v>
      </c>
      <c r="AO45" s="55">
        <f t="shared" si="35"/>
        <v>0</v>
      </c>
      <c r="AP45" s="55">
        <f t="shared" si="35"/>
        <v>0</v>
      </c>
      <c r="AQ45" s="55">
        <f t="shared" si="35"/>
        <v>0</v>
      </c>
      <c r="AR45" s="55">
        <f t="shared" si="35"/>
        <v>0</v>
      </c>
      <c r="AS45" s="55">
        <f t="shared" si="35"/>
        <v>0</v>
      </c>
      <c r="AT45" s="55">
        <f t="shared" si="35"/>
        <v>0</v>
      </c>
      <c r="AU45" s="55">
        <f t="shared" si="35"/>
        <v>0</v>
      </c>
      <c r="AV45" s="55">
        <f t="shared" si="35"/>
        <v>0</v>
      </c>
      <c r="AW45" s="55">
        <f t="shared" si="35"/>
        <v>0</v>
      </c>
      <c r="AX45" s="55">
        <f t="shared" si="35"/>
        <v>0</v>
      </c>
      <c r="AY45" s="55">
        <f t="shared" si="35"/>
        <v>0</v>
      </c>
      <c r="AZ45" s="55">
        <f t="shared" si="35"/>
        <v>0</v>
      </c>
      <c r="BA45" s="55">
        <f t="shared" si="35"/>
        <v>0</v>
      </c>
      <c r="BB45" s="55">
        <f t="shared" si="35"/>
        <v>0</v>
      </c>
      <c r="BC45" s="55">
        <f t="shared" si="35"/>
        <v>0</v>
      </c>
      <c r="BD45" s="55">
        <f t="shared" si="35"/>
        <v>0</v>
      </c>
      <c r="BE45" s="55">
        <f t="shared" si="35"/>
        <v>0</v>
      </c>
      <c r="BF45" s="55">
        <f t="shared" si="35"/>
        <v>0</v>
      </c>
      <c r="BG45" s="55">
        <f t="shared" si="35"/>
        <v>0</v>
      </c>
      <c r="BH45" s="55">
        <f t="shared" si="35"/>
        <v>0</v>
      </c>
      <c r="BI45" s="55">
        <f t="shared" si="35"/>
        <v>0</v>
      </c>
      <c r="BJ45" s="55">
        <f t="shared" si="35"/>
        <v>0</v>
      </c>
      <c r="BK45" s="55">
        <f t="shared" si="35"/>
        <v>0</v>
      </c>
      <c r="BL45" s="55">
        <f t="shared" si="35"/>
        <v>0</v>
      </c>
      <c r="BM45" s="55">
        <f t="shared" si="35"/>
        <v>0</v>
      </c>
      <c r="BN45" s="55">
        <f t="shared" si="35"/>
        <v>0</v>
      </c>
      <c r="BO45" s="55">
        <f t="shared" si="35"/>
        <v>0</v>
      </c>
      <c r="BP45" s="55">
        <f t="shared" ref="BP45:CB45" si="36">IF(BP44&gt;$F9+1,0,1)*(IF(BQ45=0,100,0)+IF($G9=1,1,0.5)*$J9*100)</f>
        <v>0</v>
      </c>
      <c r="BQ45" s="55">
        <f t="shared" si="36"/>
        <v>0</v>
      </c>
      <c r="BR45" s="55">
        <f t="shared" si="36"/>
        <v>0</v>
      </c>
      <c r="BS45" s="55">
        <f t="shared" si="36"/>
        <v>0</v>
      </c>
      <c r="BT45" s="55">
        <f t="shared" si="36"/>
        <v>0</v>
      </c>
      <c r="BU45" s="55">
        <f t="shared" si="36"/>
        <v>0</v>
      </c>
      <c r="BV45" s="55">
        <f t="shared" si="36"/>
        <v>0</v>
      </c>
      <c r="BW45" s="55">
        <f t="shared" si="36"/>
        <v>0</v>
      </c>
      <c r="BX45" s="55">
        <f t="shared" si="36"/>
        <v>0</v>
      </c>
      <c r="BY45" s="55">
        <f t="shared" si="36"/>
        <v>0</v>
      </c>
      <c r="BZ45" s="55">
        <f t="shared" si="36"/>
        <v>0</v>
      </c>
      <c r="CA45" s="55">
        <f t="shared" si="36"/>
        <v>0</v>
      </c>
      <c r="CB45" s="56">
        <f t="shared" si="36"/>
        <v>0</v>
      </c>
    </row>
    <row r="46" spans="1:80">
      <c r="A46" s="258" t="s">
        <v>49</v>
      </c>
      <c r="B46" s="149" t="str">
        <f>IF(E10=0,F10,E10)</f>
        <v>11/21/2019</v>
      </c>
      <c r="C46" s="150">
        <f t="shared" ref="C46:BN46" si="37">B46+IF($G10=1,365,182.5)</f>
        <v>43972.5</v>
      </c>
      <c r="D46" s="150">
        <f t="shared" si="37"/>
        <v>44155</v>
      </c>
      <c r="E46" s="150">
        <f t="shared" si="37"/>
        <v>44337.5</v>
      </c>
      <c r="F46" s="150">
        <f t="shared" si="37"/>
        <v>44520</v>
      </c>
      <c r="G46" s="150">
        <f t="shared" si="37"/>
        <v>44702.5</v>
      </c>
      <c r="H46" s="150">
        <f t="shared" si="37"/>
        <v>44885</v>
      </c>
      <c r="I46" s="150">
        <f t="shared" si="37"/>
        <v>45067.5</v>
      </c>
      <c r="J46" s="150">
        <f t="shared" si="37"/>
        <v>45250</v>
      </c>
      <c r="K46" s="150">
        <f t="shared" si="37"/>
        <v>45432.5</v>
      </c>
      <c r="L46" s="150">
        <f t="shared" si="37"/>
        <v>45615</v>
      </c>
      <c r="M46" s="150">
        <f t="shared" si="37"/>
        <v>45797.5</v>
      </c>
      <c r="N46" s="150">
        <f t="shared" si="37"/>
        <v>45980</v>
      </c>
      <c r="O46" s="150">
        <f t="shared" si="37"/>
        <v>46162.5</v>
      </c>
      <c r="P46" s="150">
        <f t="shared" si="37"/>
        <v>46345</v>
      </c>
      <c r="Q46" s="150">
        <f t="shared" si="37"/>
        <v>46527.5</v>
      </c>
      <c r="R46" s="150">
        <f t="shared" si="37"/>
        <v>46710</v>
      </c>
      <c r="S46" s="150">
        <f t="shared" si="37"/>
        <v>46892.5</v>
      </c>
      <c r="T46" s="150">
        <f t="shared" si="37"/>
        <v>47075</v>
      </c>
      <c r="U46" s="150">
        <f t="shared" si="37"/>
        <v>47257.5</v>
      </c>
      <c r="V46" s="150">
        <f t="shared" si="37"/>
        <v>47440</v>
      </c>
      <c r="W46" s="150">
        <f t="shared" si="37"/>
        <v>47622.5</v>
      </c>
      <c r="X46" s="150">
        <f t="shared" si="37"/>
        <v>47805</v>
      </c>
      <c r="Y46" s="150">
        <f t="shared" si="37"/>
        <v>47987.5</v>
      </c>
      <c r="Z46" s="150">
        <f t="shared" si="37"/>
        <v>48170</v>
      </c>
      <c r="AA46" s="150">
        <f t="shared" si="37"/>
        <v>48352.5</v>
      </c>
      <c r="AB46" s="150">
        <f t="shared" si="37"/>
        <v>48535</v>
      </c>
      <c r="AC46" s="150">
        <f t="shared" si="37"/>
        <v>48717.5</v>
      </c>
      <c r="AD46" s="150">
        <f t="shared" si="37"/>
        <v>48900</v>
      </c>
      <c r="AE46" s="150">
        <f t="shared" si="37"/>
        <v>49082.5</v>
      </c>
      <c r="AF46" s="150">
        <f t="shared" si="37"/>
        <v>49265</v>
      </c>
      <c r="AG46" s="150">
        <f t="shared" si="37"/>
        <v>49447.5</v>
      </c>
      <c r="AH46" s="150">
        <f t="shared" si="37"/>
        <v>49630</v>
      </c>
      <c r="AI46" s="150">
        <f t="shared" si="37"/>
        <v>49812.5</v>
      </c>
      <c r="AJ46" s="150">
        <f t="shared" si="37"/>
        <v>49995</v>
      </c>
      <c r="AK46" s="150">
        <f t="shared" si="37"/>
        <v>50177.5</v>
      </c>
      <c r="AL46" s="150">
        <f t="shared" si="37"/>
        <v>50360</v>
      </c>
      <c r="AM46" s="150">
        <f t="shared" si="37"/>
        <v>50542.5</v>
      </c>
      <c r="AN46" s="150">
        <f t="shared" si="37"/>
        <v>50725</v>
      </c>
      <c r="AO46" s="150">
        <f t="shared" si="37"/>
        <v>50907.5</v>
      </c>
      <c r="AP46" s="150">
        <f t="shared" si="37"/>
        <v>51090</v>
      </c>
      <c r="AQ46" s="150">
        <f t="shared" si="37"/>
        <v>51272.5</v>
      </c>
      <c r="AR46" s="150">
        <f t="shared" si="37"/>
        <v>51455</v>
      </c>
      <c r="AS46" s="150">
        <f t="shared" si="37"/>
        <v>51637.5</v>
      </c>
      <c r="AT46" s="150">
        <f t="shared" si="37"/>
        <v>51820</v>
      </c>
      <c r="AU46" s="150">
        <f t="shared" si="37"/>
        <v>52002.5</v>
      </c>
      <c r="AV46" s="150">
        <f t="shared" si="37"/>
        <v>52185</v>
      </c>
      <c r="AW46" s="150">
        <f t="shared" si="37"/>
        <v>52367.5</v>
      </c>
      <c r="AX46" s="150">
        <f t="shared" si="37"/>
        <v>52550</v>
      </c>
      <c r="AY46" s="150">
        <f t="shared" si="37"/>
        <v>52732.5</v>
      </c>
      <c r="AZ46" s="150">
        <f t="shared" si="37"/>
        <v>52915</v>
      </c>
      <c r="BA46" s="150">
        <f t="shared" si="37"/>
        <v>53097.5</v>
      </c>
      <c r="BB46" s="150">
        <f t="shared" si="37"/>
        <v>53280</v>
      </c>
      <c r="BC46" s="150">
        <f t="shared" si="37"/>
        <v>53462.5</v>
      </c>
      <c r="BD46" s="150">
        <f t="shared" si="37"/>
        <v>53645</v>
      </c>
      <c r="BE46" s="150">
        <f t="shared" si="37"/>
        <v>53827.5</v>
      </c>
      <c r="BF46" s="150">
        <f t="shared" si="37"/>
        <v>54010</v>
      </c>
      <c r="BG46" s="150">
        <f t="shared" si="37"/>
        <v>54192.5</v>
      </c>
      <c r="BH46" s="150">
        <f t="shared" si="37"/>
        <v>54375</v>
      </c>
      <c r="BI46" s="150">
        <f t="shared" si="37"/>
        <v>54557.5</v>
      </c>
      <c r="BJ46" s="150">
        <f t="shared" si="37"/>
        <v>54740</v>
      </c>
      <c r="BK46" s="150">
        <f t="shared" si="37"/>
        <v>54922.5</v>
      </c>
      <c r="BL46" s="150">
        <f t="shared" si="37"/>
        <v>55105</v>
      </c>
      <c r="BM46" s="150">
        <f t="shared" si="37"/>
        <v>55287.5</v>
      </c>
      <c r="BN46" s="150">
        <f t="shared" si="37"/>
        <v>55470</v>
      </c>
      <c r="BO46" s="150">
        <f t="shared" ref="BO46:CB46" si="38">BN46+IF($G10=1,365,182.5)</f>
        <v>55652.5</v>
      </c>
      <c r="BP46" s="150">
        <f t="shared" si="38"/>
        <v>55835</v>
      </c>
      <c r="BQ46" s="150">
        <f t="shared" si="38"/>
        <v>56017.5</v>
      </c>
      <c r="BR46" s="150">
        <f t="shared" si="38"/>
        <v>56200</v>
      </c>
      <c r="BS46" s="150">
        <f t="shared" si="38"/>
        <v>56382.5</v>
      </c>
      <c r="BT46" s="150">
        <f t="shared" si="38"/>
        <v>56565</v>
      </c>
      <c r="BU46" s="150">
        <f t="shared" si="38"/>
        <v>56747.5</v>
      </c>
      <c r="BV46" s="150">
        <f t="shared" si="38"/>
        <v>56930</v>
      </c>
      <c r="BW46" s="150">
        <f t="shared" si="38"/>
        <v>57112.5</v>
      </c>
      <c r="BX46" s="150">
        <f t="shared" si="38"/>
        <v>57295</v>
      </c>
      <c r="BY46" s="150">
        <f t="shared" si="38"/>
        <v>57477.5</v>
      </c>
      <c r="BZ46" s="150">
        <f t="shared" si="38"/>
        <v>57660</v>
      </c>
      <c r="CA46" s="150">
        <f t="shared" si="38"/>
        <v>57842.5</v>
      </c>
      <c r="CB46" s="151">
        <f t="shared" si="38"/>
        <v>58025</v>
      </c>
    </row>
    <row r="47" spans="1:80">
      <c r="A47" s="170" t="s">
        <v>17</v>
      </c>
      <c r="B47" s="152">
        <f>(IF(B46=F10,100,0)+IF(G10=1,1,0.5)*J10*100)*IF(ISBLANK(F10)=TRUE,0,1)</f>
        <v>1.125</v>
      </c>
      <c r="C47" s="153">
        <f>IF(C46&gt;$F10+1,0,1)*(IF(D47=0,100,0)+IF($G10=1,1,0.5)*$J10*100)</f>
        <v>1.125</v>
      </c>
      <c r="D47" s="153">
        <f t="shared" ref="D47:BO47" si="39">IF(D46&gt;$F10+1,0,1)*(IF(E47=0,100,0)+IF($G10=1,1,0.5)*$J10*100)</f>
        <v>1.125</v>
      </c>
      <c r="E47" s="153">
        <f t="shared" si="39"/>
        <v>1.125</v>
      </c>
      <c r="F47" s="153">
        <f t="shared" si="39"/>
        <v>1.125</v>
      </c>
      <c r="G47" s="153">
        <f t="shared" si="39"/>
        <v>1.125</v>
      </c>
      <c r="H47" s="153">
        <f t="shared" si="39"/>
        <v>1.125</v>
      </c>
      <c r="I47" s="153">
        <f t="shared" si="39"/>
        <v>1.125</v>
      </c>
      <c r="J47" s="153">
        <f t="shared" si="39"/>
        <v>1.125</v>
      </c>
      <c r="K47" s="153">
        <f t="shared" si="39"/>
        <v>1.125</v>
      </c>
      <c r="L47" s="153">
        <f t="shared" si="39"/>
        <v>1.125</v>
      </c>
      <c r="M47" s="153">
        <f t="shared" si="39"/>
        <v>1.125</v>
      </c>
      <c r="N47" s="153">
        <f t="shared" si="39"/>
        <v>1.125</v>
      </c>
      <c r="O47" s="153">
        <f t="shared" si="39"/>
        <v>1.125</v>
      </c>
      <c r="P47" s="153">
        <f t="shared" si="39"/>
        <v>1.125</v>
      </c>
      <c r="Q47" s="153">
        <f t="shared" si="39"/>
        <v>1.125</v>
      </c>
      <c r="R47" s="153">
        <f t="shared" si="39"/>
        <v>1.125</v>
      </c>
      <c r="S47" s="153">
        <f t="shared" si="39"/>
        <v>101.125</v>
      </c>
      <c r="T47" s="153">
        <f t="shared" si="39"/>
        <v>0</v>
      </c>
      <c r="U47" s="153">
        <f t="shared" si="39"/>
        <v>0</v>
      </c>
      <c r="V47" s="153">
        <f t="shared" si="39"/>
        <v>0</v>
      </c>
      <c r="W47" s="153">
        <f t="shared" si="39"/>
        <v>0</v>
      </c>
      <c r="X47" s="153">
        <f t="shared" si="39"/>
        <v>0</v>
      </c>
      <c r="Y47" s="153">
        <f t="shared" si="39"/>
        <v>0</v>
      </c>
      <c r="Z47" s="153">
        <f t="shared" si="39"/>
        <v>0</v>
      </c>
      <c r="AA47" s="153">
        <f t="shared" si="39"/>
        <v>0</v>
      </c>
      <c r="AB47" s="153">
        <f t="shared" si="39"/>
        <v>0</v>
      </c>
      <c r="AC47" s="153">
        <f t="shared" si="39"/>
        <v>0</v>
      </c>
      <c r="AD47" s="153">
        <f t="shared" si="39"/>
        <v>0</v>
      </c>
      <c r="AE47" s="153">
        <f t="shared" si="39"/>
        <v>0</v>
      </c>
      <c r="AF47" s="153">
        <f t="shared" si="39"/>
        <v>0</v>
      </c>
      <c r="AG47" s="153">
        <f t="shared" si="39"/>
        <v>0</v>
      </c>
      <c r="AH47" s="153">
        <f t="shared" si="39"/>
        <v>0</v>
      </c>
      <c r="AI47" s="153">
        <f t="shared" si="39"/>
        <v>0</v>
      </c>
      <c r="AJ47" s="153">
        <f t="shared" si="39"/>
        <v>0</v>
      </c>
      <c r="AK47" s="153">
        <f t="shared" si="39"/>
        <v>0</v>
      </c>
      <c r="AL47" s="153">
        <f t="shared" si="39"/>
        <v>0</v>
      </c>
      <c r="AM47" s="153">
        <f t="shared" si="39"/>
        <v>0</v>
      </c>
      <c r="AN47" s="153">
        <f t="shared" si="39"/>
        <v>0</v>
      </c>
      <c r="AO47" s="153">
        <f t="shared" si="39"/>
        <v>0</v>
      </c>
      <c r="AP47" s="153">
        <f t="shared" si="39"/>
        <v>0</v>
      </c>
      <c r="AQ47" s="153">
        <f t="shared" si="39"/>
        <v>0</v>
      </c>
      <c r="AR47" s="153">
        <f t="shared" si="39"/>
        <v>0</v>
      </c>
      <c r="AS47" s="153">
        <f t="shared" si="39"/>
        <v>0</v>
      </c>
      <c r="AT47" s="153">
        <f t="shared" si="39"/>
        <v>0</v>
      </c>
      <c r="AU47" s="153">
        <f t="shared" si="39"/>
        <v>0</v>
      </c>
      <c r="AV47" s="153">
        <f t="shared" si="39"/>
        <v>0</v>
      </c>
      <c r="AW47" s="153">
        <f t="shared" si="39"/>
        <v>0</v>
      </c>
      <c r="AX47" s="153">
        <f t="shared" si="39"/>
        <v>0</v>
      </c>
      <c r="AY47" s="153">
        <f t="shared" si="39"/>
        <v>0</v>
      </c>
      <c r="AZ47" s="153">
        <f t="shared" si="39"/>
        <v>0</v>
      </c>
      <c r="BA47" s="153">
        <f t="shared" si="39"/>
        <v>0</v>
      </c>
      <c r="BB47" s="153">
        <f t="shared" si="39"/>
        <v>0</v>
      </c>
      <c r="BC47" s="153">
        <f t="shared" si="39"/>
        <v>0</v>
      </c>
      <c r="BD47" s="153">
        <f t="shared" si="39"/>
        <v>0</v>
      </c>
      <c r="BE47" s="153">
        <f t="shared" si="39"/>
        <v>0</v>
      </c>
      <c r="BF47" s="153">
        <f t="shared" si="39"/>
        <v>0</v>
      </c>
      <c r="BG47" s="153">
        <f t="shared" si="39"/>
        <v>0</v>
      </c>
      <c r="BH47" s="153">
        <f t="shared" si="39"/>
        <v>0</v>
      </c>
      <c r="BI47" s="153">
        <f t="shared" si="39"/>
        <v>0</v>
      </c>
      <c r="BJ47" s="153">
        <f t="shared" si="39"/>
        <v>0</v>
      </c>
      <c r="BK47" s="153">
        <f t="shared" si="39"/>
        <v>0</v>
      </c>
      <c r="BL47" s="153">
        <f t="shared" si="39"/>
        <v>0</v>
      </c>
      <c r="BM47" s="153">
        <f t="shared" si="39"/>
        <v>0</v>
      </c>
      <c r="BN47" s="153">
        <f t="shared" si="39"/>
        <v>0</v>
      </c>
      <c r="BO47" s="153">
        <f t="shared" si="39"/>
        <v>0</v>
      </c>
      <c r="BP47" s="153">
        <f t="shared" ref="BP47:CB47" si="40">IF(BP46&gt;$F10+1,0,1)*(IF(BQ47=0,100,0)+IF($G10=1,1,0.5)*$J10*100)</f>
        <v>0</v>
      </c>
      <c r="BQ47" s="153">
        <f t="shared" si="40"/>
        <v>0</v>
      </c>
      <c r="BR47" s="153">
        <f t="shared" si="40"/>
        <v>0</v>
      </c>
      <c r="BS47" s="153">
        <f t="shared" si="40"/>
        <v>0</v>
      </c>
      <c r="BT47" s="153">
        <f t="shared" si="40"/>
        <v>0</v>
      </c>
      <c r="BU47" s="153">
        <f t="shared" si="40"/>
        <v>0</v>
      </c>
      <c r="BV47" s="153">
        <f t="shared" si="40"/>
        <v>0</v>
      </c>
      <c r="BW47" s="153">
        <f t="shared" si="40"/>
        <v>0</v>
      </c>
      <c r="BX47" s="153">
        <f t="shared" si="40"/>
        <v>0</v>
      </c>
      <c r="BY47" s="153">
        <f t="shared" si="40"/>
        <v>0</v>
      </c>
      <c r="BZ47" s="153">
        <f t="shared" si="40"/>
        <v>0</v>
      </c>
      <c r="CA47" s="153">
        <f t="shared" si="40"/>
        <v>0</v>
      </c>
      <c r="CB47" s="155">
        <f t="shared" si="40"/>
        <v>0</v>
      </c>
    </row>
    <row r="48" spans="1:80">
      <c r="A48" s="257" t="s">
        <v>49</v>
      </c>
      <c r="B48" s="57" t="str">
        <f>IF(E11=0,F11,E11)</f>
        <v>10/21/2019</v>
      </c>
      <c r="C48" s="58">
        <f t="shared" ref="C48:BN48" si="41">B48+IF($G11=1,365,182.5)</f>
        <v>43941.5</v>
      </c>
      <c r="D48" s="58">
        <f t="shared" si="41"/>
        <v>44124</v>
      </c>
      <c r="E48" s="58">
        <f t="shared" si="41"/>
        <v>44306.5</v>
      </c>
      <c r="F48" s="58">
        <f t="shared" si="41"/>
        <v>44489</v>
      </c>
      <c r="G48" s="58">
        <f t="shared" si="41"/>
        <v>44671.5</v>
      </c>
      <c r="H48" s="58">
        <f t="shared" si="41"/>
        <v>44854</v>
      </c>
      <c r="I48" s="58">
        <f t="shared" si="41"/>
        <v>45036.5</v>
      </c>
      <c r="J48" s="58">
        <f t="shared" si="41"/>
        <v>45219</v>
      </c>
      <c r="K48" s="58">
        <f t="shared" si="41"/>
        <v>45401.5</v>
      </c>
      <c r="L48" s="58">
        <f t="shared" si="41"/>
        <v>45584</v>
      </c>
      <c r="M48" s="58">
        <f t="shared" si="41"/>
        <v>45766.5</v>
      </c>
      <c r="N48" s="58">
        <f t="shared" si="41"/>
        <v>45949</v>
      </c>
      <c r="O48" s="58">
        <f t="shared" si="41"/>
        <v>46131.5</v>
      </c>
      <c r="P48" s="58">
        <f t="shared" si="41"/>
        <v>46314</v>
      </c>
      <c r="Q48" s="58">
        <f t="shared" si="41"/>
        <v>46496.5</v>
      </c>
      <c r="R48" s="58">
        <f t="shared" si="41"/>
        <v>46679</v>
      </c>
      <c r="S48" s="58">
        <f t="shared" si="41"/>
        <v>46861.5</v>
      </c>
      <c r="T48" s="58">
        <f t="shared" si="41"/>
        <v>47044</v>
      </c>
      <c r="U48" s="58">
        <f t="shared" si="41"/>
        <v>47226.5</v>
      </c>
      <c r="V48" s="58">
        <f t="shared" si="41"/>
        <v>47409</v>
      </c>
      <c r="W48" s="58">
        <f t="shared" si="41"/>
        <v>47591.5</v>
      </c>
      <c r="X48" s="58">
        <f t="shared" si="41"/>
        <v>47774</v>
      </c>
      <c r="Y48" s="58">
        <f t="shared" si="41"/>
        <v>47956.5</v>
      </c>
      <c r="Z48" s="58">
        <f t="shared" si="41"/>
        <v>48139</v>
      </c>
      <c r="AA48" s="58">
        <f t="shared" si="41"/>
        <v>48321.5</v>
      </c>
      <c r="AB48" s="58">
        <f t="shared" si="41"/>
        <v>48504</v>
      </c>
      <c r="AC48" s="58">
        <f t="shared" si="41"/>
        <v>48686.5</v>
      </c>
      <c r="AD48" s="58">
        <f t="shared" si="41"/>
        <v>48869</v>
      </c>
      <c r="AE48" s="58">
        <f t="shared" si="41"/>
        <v>49051.5</v>
      </c>
      <c r="AF48" s="58">
        <f t="shared" si="41"/>
        <v>49234</v>
      </c>
      <c r="AG48" s="58">
        <f t="shared" si="41"/>
        <v>49416.5</v>
      </c>
      <c r="AH48" s="58">
        <f t="shared" si="41"/>
        <v>49599</v>
      </c>
      <c r="AI48" s="58">
        <f t="shared" si="41"/>
        <v>49781.5</v>
      </c>
      <c r="AJ48" s="58">
        <f t="shared" si="41"/>
        <v>49964</v>
      </c>
      <c r="AK48" s="58">
        <f t="shared" si="41"/>
        <v>50146.5</v>
      </c>
      <c r="AL48" s="58">
        <f t="shared" si="41"/>
        <v>50329</v>
      </c>
      <c r="AM48" s="58">
        <f t="shared" si="41"/>
        <v>50511.5</v>
      </c>
      <c r="AN48" s="58">
        <f t="shared" si="41"/>
        <v>50694</v>
      </c>
      <c r="AO48" s="58">
        <f t="shared" si="41"/>
        <v>50876.5</v>
      </c>
      <c r="AP48" s="58">
        <f t="shared" si="41"/>
        <v>51059</v>
      </c>
      <c r="AQ48" s="58">
        <f t="shared" si="41"/>
        <v>51241.5</v>
      </c>
      <c r="AR48" s="58">
        <f t="shared" si="41"/>
        <v>51424</v>
      </c>
      <c r="AS48" s="58">
        <f t="shared" si="41"/>
        <v>51606.5</v>
      </c>
      <c r="AT48" s="58">
        <f t="shared" si="41"/>
        <v>51789</v>
      </c>
      <c r="AU48" s="58">
        <f t="shared" si="41"/>
        <v>51971.5</v>
      </c>
      <c r="AV48" s="58">
        <f t="shared" si="41"/>
        <v>52154</v>
      </c>
      <c r="AW48" s="58">
        <f t="shared" si="41"/>
        <v>52336.5</v>
      </c>
      <c r="AX48" s="58">
        <f t="shared" si="41"/>
        <v>52519</v>
      </c>
      <c r="AY48" s="58">
        <f t="shared" si="41"/>
        <v>52701.5</v>
      </c>
      <c r="AZ48" s="58">
        <f t="shared" si="41"/>
        <v>52884</v>
      </c>
      <c r="BA48" s="58">
        <f t="shared" si="41"/>
        <v>53066.5</v>
      </c>
      <c r="BB48" s="58">
        <f t="shared" si="41"/>
        <v>53249</v>
      </c>
      <c r="BC48" s="58">
        <f t="shared" si="41"/>
        <v>53431.5</v>
      </c>
      <c r="BD48" s="58">
        <f t="shared" si="41"/>
        <v>53614</v>
      </c>
      <c r="BE48" s="58">
        <f t="shared" si="41"/>
        <v>53796.5</v>
      </c>
      <c r="BF48" s="58">
        <f t="shared" si="41"/>
        <v>53979</v>
      </c>
      <c r="BG48" s="58">
        <f t="shared" si="41"/>
        <v>54161.5</v>
      </c>
      <c r="BH48" s="58">
        <f t="shared" si="41"/>
        <v>54344</v>
      </c>
      <c r="BI48" s="58">
        <f t="shared" si="41"/>
        <v>54526.5</v>
      </c>
      <c r="BJ48" s="58">
        <f t="shared" si="41"/>
        <v>54709</v>
      </c>
      <c r="BK48" s="58">
        <f t="shared" si="41"/>
        <v>54891.5</v>
      </c>
      <c r="BL48" s="58">
        <f t="shared" si="41"/>
        <v>55074</v>
      </c>
      <c r="BM48" s="58">
        <f t="shared" si="41"/>
        <v>55256.5</v>
      </c>
      <c r="BN48" s="58">
        <f t="shared" si="41"/>
        <v>55439</v>
      </c>
      <c r="BO48" s="58">
        <f t="shared" ref="BO48:CB48" si="42">BN48+IF($G11=1,365,182.5)</f>
        <v>55621.5</v>
      </c>
      <c r="BP48" s="58">
        <f t="shared" si="42"/>
        <v>55804</v>
      </c>
      <c r="BQ48" s="58">
        <f t="shared" si="42"/>
        <v>55986.5</v>
      </c>
      <c r="BR48" s="58">
        <f t="shared" si="42"/>
        <v>56169</v>
      </c>
      <c r="BS48" s="58">
        <f t="shared" si="42"/>
        <v>56351.5</v>
      </c>
      <c r="BT48" s="58">
        <f t="shared" si="42"/>
        <v>56534</v>
      </c>
      <c r="BU48" s="58">
        <f t="shared" si="42"/>
        <v>56716.5</v>
      </c>
      <c r="BV48" s="58">
        <f t="shared" si="42"/>
        <v>56899</v>
      </c>
      <c r="BW48" s="58">
        <f t="shared" si="42"/>
        <v>57081.5</v>
      </c>
      <c r="BX48" s="58">
        <f t="shared" si="42"/>
        <v>57264</v>
      </c>
      <c r="BY48" s="58">
        <f t="shared" si="42"/>
        <v>57446.5</v>
      </c>
      <c r="BZ48" s="58">
        <f t="shared" si="42"/>
        <v>57629</v>
      </c>
      <c r="CA48" s="58">
        <f t="shared" si="42"/>
        <v>57811.5</v>
      </c>
      <c r="CB48" s="59">
        <f t="shared" si="42"/>
        <v>57994</v>
      </c>
    </row>
    <row r="49" spans="1:201">
      <c r="A49" s="171" t="s">
        <v>28</v>
      </c>
      <c r="B49" s="112">
        <f>(IF(B48=F11,100,0)+IF(G11=1,1,0.5)*J11*100)*IF(ISBLANK(F11)=TRUE,0,1)</f>
        <v>1.625</v>
      </c>
      <c r="C49" s="60">
        <f>IF(C48&gt;$F11+1,0,1)*(IF(D49=0,100,0)+IF($G11=1,1,0.5)*$J11*100)</f>
        <v>1.625</v>
      </c>
      <c r="D49" s="60">
        <f t="shared" ref="D49:BO49" si="43">IF(D48&gt;$F11+1,0,1)*(IF(E49=0,100,0)+IF($G11=1,1,0.5)*$J11*100)</f>
        <v>1.625</v>
      </c>
      <c r="E49" s="60">
        <f t="shared" si="43"/>
        <v>1.625</v>
      </c>
      <c r="F49" s="60">
        <f t="shared" si="43"/>
        <v>1.625</v>
      </c>
      <c r="G49" s="60">
        <f t="shared" si="43"/>
        <v>1.625</v>
      </c>
      <c r="H49" s="60">
        <f t="shared" si="43"/>
        <v>1.625</v>
      </c>
      <c r="I49" s="60">
        <f t="shared" si="43"/>
        <v>1.625</v>
      </c>
      <c r="J49" s="60">
        <f t="shared" si="43"/>
        <v>1.625</v>
      </c>
      <c r="K49" s="60">
        <f t="shared" si="43"/>
        <v>1.625</v>
      </c>
      <c r="L49" s="60">
        <f t="shared" si="43"/>
        <v>1.625</v>
      </c>
      <c r="M49" s="60">
        <f t="shared" si="43"/>
        <v>1.625</v>
      </c>
      <c r="N49" s="60">
        <f t="shared" si="43"/>
        <v>1.625</v>
      </c>
      <c r="O49" s="60">
        <f t="shared" si="43"/>
        <v>1.625</v>
      </c>
      <c r="P49" s="60">
        <f t="shared" si="43"/>
        <v>1.625</v>
      </c>
      <c r="Q49" s="60">
        <f t="shared" si="43"/>
        <v>1.625</v>
      </c>
      <c r="R49" s="60">
        <f t="shared" si="43"/>
        <v>1.625</v>
      </c>
      <c r="S49" s="60">
        <f t="shared" si="43"/>
        <v>1.625</v>
      </c>
      <c r="T49" s="60">
        <f t="shared" si="43"/>
        <v>1.625</v>
      </c>
      <c r="U49" s="60">
        <f t="shared" si="43"/>
        <v>101.625</v>
      </c>
      <c r="V49" s="60">
        <f t="shared" si="43"/>
        <v>0</v>
      </c>
      <c r="W49" s="60">
        <f t="shared" si="43"/>
        <v>0</v>
      </c>
      <c r="X49" s="60">
        <f t="shared" si="43"/>
        <v>0</v>
      </c>
      <c r="Y49" s="60">
        <f t="shared" si="43"/>
        <v>0</v>
      </c>
      <c r="Z49" s="60">
        <f t="shared" si="43"/>
        <v>0</v>
      </c>
      <c r="AA49" s="60">
        <f t="shared" si="43"/>
        <v>0</v>
      </c>
      <c r="AB49" s="60">
        <f t="shared" si="43"/>
        <v>0</v>
      </c>
      <c r="AC49" s="60">
        <f t="shared" si="43"/>
        <v>0</v>
      </c>
      <c r="AD49" s="60">
        <f t="shared" si="43"/>
        <v>0</v>
      </c>
      <c r="AE49" s="60">
        <f t="shared" si="43"/>
        <v>0</v>
      </c>
      <c r="AF49" s="60">
        <f t="shared" si="43"/>
        <v>0</v>
      </c>
      <c r="AG49" s="60">
        <f t="shared" si="43"/>
        <v>0</v>
      </c>
      <c r="AH49" s="60">
        <f t="shared" si="43"/>
        <v>0</v>
      </c>
      <c r="AI49" s="60">
        <f t="shared" si="43"/>
        <v>0</v>
      </c>
      <c r="AJ49" s="60">
        <f t="shared" si="43"/>
        <v>0</v>
      </c>
      <c r="AK49" s="60">
        <f t="shared" si="43"/>
        <v>0</v>
      </c>
      <c r="AL49" s="60">
        <f t="shared" si="43"/>
        <v>0</v>
      </c>
      <c r="AM49" s="60">
        <f t="shared" si="43"/>
        <v>0</v>
      </c>
      <c r="AN49" s="60">
        <f t="shared" si="43"/>
        <v>0</v>
      </c>
      <c r="AO49" s="60">
        <f t="shared" si="43"/>
        <v>0</v>
      </c>
      <c r="AP49" s="60">
        <f t="shared" si="43"/>
        <v>0</v>
      </c>
      <c r="AQ49" s="60">
        <f t="shared" si="43"/>
        <v>0</v>
      </c>
      <c r="AR49" s="60">
        <f t="shared" si="43"/>
        <v>0</v>
      </c>
      <c r="AS49" s="60">
        <f t="shared" si="43"/>
        <v>0</v>
      </c>
      <c r="AT49" s="60">
        <f t="shared" si="43"/>
        <v>0</v>
      </c>
      <c r="AU49" s="60">
        <f t="shared" si="43"/>
        <v>0</v>
      </c>
      <c r="AV49" s="60">
        <f t="shared" si="43"/>
        <v>0</v>
      </c>
      <c r="AW49" s="60">
        <f t="shared" si="43"/>
        <v>0</v>
      </c>
      <c r="AX49" s="60">
        <f t="shared" si="43"/>
        <v>0</v>
      </c>
      <c r="AY49" s="60">
        <f t="shared" si="43"/>
        <v>0</v>
      </c>
      <c r="AZ49" s="60">
        <f t="shared" si="43"/>
        <v>0</v>
      </c>
      <c r="BA49" s="60">
        <f t="shared" si="43"/>
        <v>0</v>
      </c>
      <c r="BB49" s="60">
        <f t="shared" si="43"/>
        <v>0</v>
      </c>
      <c r="BC49" s="60">
        <f t="shared" si="43"/>
        <v>0</v>
      </c>
      <c r="BD49" s="60">
        <f t="shared" si="43"/>
        <v>0</v>
      </c>
      <c r="BE49" s="60">
        <f t="shared" si="43"/>
        <v>0</v>
      </c>
      <c r="BF49" s="60">
        <f t="shared" si="43"/>
        <v>0</v>
      </c>
      <c r="BG49" s="60">
        <f t="shared" si="43"/>
        <v>0</v>
      </c>
      <c r="BH49" s="60">
        <f t="shared" si="43"/>
        <v>0</v>
      </c>
      <c r="BI49" s="60">
        <f t="shared" si="43"/>
        <v>0</v>
      </c>
      <c r="BJ49" s="60">
        <f t="shared" si="43"/>
        <v>0</v>
      </c>
      <c r="BK49" s="60">
        <f t="shared" si="43"/>
        <v>0</v>
      </c>
      <c r="BL49" s="60">
        <f t="shared" si="43"/>
        <v>0</v>
      </c>
      <c r="BM49" s="60">
        <f t="shared" si="43"/>
        <v>0</v>
      </c>
      <c r="BN49" s="60">
        <f t="shared" si="43"/>
        <v>0</v>
      </c>
      <c r="BO49" s="60">
        <f t="shared" si="43"/>
        <v>0</v>
      </c>
      <c r="BP49" s="60">
        <f t="shared" ref="BP49:CB49" si="44">IF(BP48&gt;$F11+1,0,1)*(IF(BQ49=0,100,0)+IF($G11=1,1,0.5)*$J11*100)</f>
        <v>0</v>
      </c>
      <c r="BQ49" s="60">
        <f t="shared" si="44"/>
        <v>0</v>
      </c>
      <c r="BR49" s="60">
        <f t="shared" si="44"/>
        <v>0</v>
      </c>
      <c r="BS49" s="60">
        <f t="shared" si="44"/>
        <v>0</v>
      </c>
      <c r="BT49" s="60">
        <f t="shared" si="44"/>
        <v>0</v>
      </c>
      <c r="BU49" s="60">
        <f t="shared" si="44"/>
        <v>0</v>
      </c>
      <c r="BV49" s="60">
        <f t="shared" si="44"/>
        <v>0</v>
      </c>
      <c r="BW49" s="60">
        <f t="shared" si="44"/>
        <v>0</v>
      </c>
      <c r="BX49" s="60">
        <f t="shared" si="44"/>
        <v>0</v>
      </c>
      <c r="BY49" s="60">
        <f t="shared" si="44"/>
        <v>0</v>
      </c>
      <c r="BZ49" s="60">
        <f t="shared" si="44"/>
        <v>0</v>
      </c>
      <c r="CA49" s="60">
        <f t="shared" si="44"/>
        <v>0</v>
      </c>
      <c r="CB49" s="61">
        <f t="shared" si="44"/>
        <v>0</v>
      </c>
    </row>
    <row r="50" spans="1:201">
      <c r="A50" s="256" t="s">
        <v>49</v>
      </c>
      <c r="B50" s="62" t="str">
        <f>IF(E12=0,F12,E12)</f>
        <v>12/21/2019</v>
      </c>
      <c r="C50" s="63">
        <f t="shared" ref="C50:BN50" si="45">B50+IF($G12=1,365,182.5)</f>
        <v>44002.5</v>
      </c>
      <c r="D50" s="63">
        <f t="shared" si="45"/>
        <v>44185</v>
      </c>
      <c r="E50" s="63">
        <f t="shared" si="45"/>
        <v>44367.5</v>
      </c>
      <c r="F50" s="63">
        <f t="shared" si="45"/>
        <v>44550</v>
      </c>
      <c r="G50" s="63">
        <f t="shared" si="45"/>
        <v>44732.5</v>
      </c>
      <c r="H50" s="63">
        <f t="shared" si="45"/>
        <v>44915</v>
      </c>
      <c r="I50" s="63">
        <f t="shared" si="45"/>
        <v>45097.5</v>
      </c>
      <c r="J50" s="63">
        <f t="shared" si="45"/>
        <v>45280</v>
      </c>
      <c r="K50" s="63">
        <f t="shared" si="45"/>
        <v>45462.5</v>
      </c>
      <c r="L50" s="63">
        <f t="shared" si="45"/>
        <v>45645</v>
      </c>
      <c r="M50" s="63">
        <f t="shared" si="45"/>
        <v>45827.5</v>
      </c>
      <c r="N50" s="63">
        <f t="shared" si="45"/>
        <v>46010</v>
      </c>
      <c r="O50" s="63">
        <f t="shared" si="45"/>
        <v>46192.5</v>
      </c>
      <c r="P50" s="63">
        <f t="shared" si="45"/>
        <v>46375</v>
      </c>
      <c r="Q50" s="63">
        <f t="shared" si="45"/>
        <v>46557.5</v>
      </c>
      <c r="R50" s="63">
        <f t="shared" si="45"/>
        <v>46740</v>
      </c>
      <c r="S50" s="63">
        <f t="shared" si="45"/>
        <v>46922.5</v>
      </c>
      <c r="T50" s="63">
        <f t="shared" si="45"/>
        <v>47105</v>
      </c>
      <c r="U50" s="63">
        <f t="shared" si="45"/>
        <v>47287.5</v>
      </c>
      <c r="V50" s="63">
        <f t="shared" si="45"/>
        <v>47470</v>
      </c>
      <c r="W50" s="63">
        <f t="shared" si="45"/>
        <v>47652.5</v>
      </c>
      <c r="X50" s="63">
        <f t="shared" si="45"/>
        <v>47835</v>
      </c>
      <c r="Y50" s="63">
        <f t="shared" si="45"/>
        <v>48017.5</v>
      </c>
      <c r="Z50" s="63">
        <f t="shared" si="45"/>
        <v>48200</v>
      </c>
      <c r="AA50" s="63">
        <f t="shared" si="45"/>
        <v>48382.5</v>
      </c>
      <c r="AB50" s="63">
        <f t="shared" si="45"/>
        <v>48565</v>
      </c>
      <c r="AC50" s="63">
        <f t="shared" si="45"/>
        <v>48747.5</v>
      </c>
      <c r="AD50" s="63">
        <f t="shared" si="45"/>
        <v>48930</v>
      </c>
      <c r="AE50" s="63">
        <f t="shared" si="45"/>
        <v>49112.5</v>
      </c>
      <c r="AF50" s="63">
        <f t="shared" si="45"/>
        <v>49295</v>
      </c>
      <c r="AG50" s="63">
        <f t="shared" si="45"/>
        <v>49477.5</v>
      </c>
      <c r="AH50" s="63">
        <f t="shared" si="45"/>
        <v>49660</v>
      </c>
      <c r="AI50" s="63">
        <f t="shared" si="45"/>
        <v>49842.5</v>
      </c>
      <c r="AJ50" s="63">
        <f t="shared" si="45"/>
        <v>50025</v>
      </c>
      <c r="AK50" s="63">
        <f t="shared" si="45"/>
        <v>50207.5</v>
      </c>
      <c r="AL50" s="63">
        <f t="shared" si="45"/>
        <v>50390</v>
      </c>
      <c r="AM50" s="63">
        <f t="shared" si="45"/>
        <v>50572.5</v>
      </c>
      <c r="AN50" s="63">
        <f t="shared" si="45"/>
        <v>50755</v>
      </c>
      <c r="AO50" s="63">
        <f t="shared" si="45"/>
        <v>50937.5</v>
      </c>
      <c r="AP50" s="63">
        <f t="shared" si="45"/>
        <v>51120</v>
      </c>
      <c r="AQ50" s="63">
        <f t="shared" si="45"/>
        <v>51302.5</v>
      </c>
      <c r="AR50" s="63">
        <f t="shared" si="45"/>
        <v>51485</v>
      </c>
      <c r="AS50" s="63">
        <f t="shared" si="45"/>
        <v>51667.5</v>
      </c>
      <c r="AT50" s="63">
        <f t="shared" si="45"/>
        <v>51850</v>
      </c>
      <c r="AU50" s="63">
        <f t="shared" si="45"/>
        <v>52032.5</v>
      </c>
      <c r="AV50" s="63">
        <f t="shared" si="45"/>
        <v>52215</v>
      </c>
      <c r="AW50" s="63">
        <f t="shared" si="45"/>
        <v>52397.5</v>
      </c>
      <c r="AX50" s="63">
        <f t="shared" si="45"/>
        <v>52580</v>
      </c>
      <c r="AY50" s="63">
        <f t="shared" si="45"/>
        <v>52762.5</v>
      </c>
      <c r="AZ50" s="63">
        <f t="shared" si="45"/>
        <v>52945</v>
      </c>
      <c r="BA50" s="63">
        <f t="shared" si="45"/>
        <v>53127.5</v>
      </c>
      <c r="BB50" s="63">
        <f t="shared" si="45"/>
        <v>53310</v>
      </c>
      <c r="BC50" s="63">
        <f t="shared" si="45"/>
        <v>53492.5</v>
      </c>
      <c r="BD50" s="63">
        <f t="shared" si="45"/>
        <v>53675</v>
      </c>
      <c r="BE50" s="63">
        <f t="shared" si="45"/>
        <v>53857.5</v>
      </c>
      <c r="BF50" s="63">
        <f t="shared" si="45"/>
        <v>54040</v>
      </c>
      <c r="BG50" s="63">
        <f t="shared" si="45"/>
        <v>54222.5</v>
      </c>
      <c r="BH50" s="63">
        <f t="shared" si="45"/>
        <v>54405</v>
      </c>
      <c r="BI50" s="63">
        <f t="shared" si="45"/>
        <v>54587.5</v>
      </c>
      <c r="BJ50" s="63">
        <f t="shared" si="45"/>
        <v>54770</v>
      </c>
      <c r="BK50" s="63">
        <f t="shared" si="45"/>
        <v>54952.5</v>
      </c>
      <c r="BL50" s="63">
        <f t="shared" si="45"/>
        <v>55135</v>
      </c>
      <c r="BM50" s="63">
        <f t="shared" si="45"/>
        <v>55317.5</v>
      </c>
      <c r="BN50" s="63">
        <f t="shared" si="45"/>
        <v>55500</v>
      </c>
      <c r="BO50" s="63">
        <f t="shared" ref="BO50:CB50" si="46">BN50+IF($G12=1,365,182.5)</f>
        <v>55682.5</v>
      </c>
      <c r="BP50" s="63">
        <f t="shared" si="46"/>
        <v>55865</v>
      </c>
      <c r="BQ50" s="63">
        <f t="shared" si="46"/>
        <v>56047.5</v>
      </c>
      <c r="BR50" s="63">
        <f t="shared" si="46"/>
        <v>56230</v>
      </c>
      <c r="BS50" s="63">
        <f t="shared" si="46"/>
        <v>56412.5</v>
      </c>
      <c r="BT50" s="63">
        <f t="shared" si="46"/>
        <v>56595</v>
      </c>
      <c r="BU50" s="63">
        <f t="shared" si="46"/>
        <v>56777.5</v>
      </c>
      <c r="BV50" s="63">
        <f t="shared" si="46"/>
        <v>56960</v>
      </c>
      <c r="BW50" s="63">
        <f t="shared" si="46"/>
        <v>57142.5</v>
      </c>
      <c r="BX50" s="63">
        <f t="shared" si="46"/>
        <v>57325</v>
      </c>
      <c r="BY50" s="63">
        <f t="shared" si="46"/>
        <v>57507.5</v>
      </c>
      <c r="BZ50" s="63">
        <f t="shared" si="46"/>
        <v>57690</v>
      </c>
      <c r="CA50" s="63">
        <f t="shared" si="46"/>
        <v>57872.5</v>
      </c>
      <c r="CB50" s="64">
        <f t="shared" si="46"/>
        <v>58055</v>
      </c>
    </row>
    <row r="51" spans="1:201">
      <c r="A51" s="172" t="s">
        <v>29</v>
      </c>
      <c r="B51" s="135">
        <f>(IF(B50=F12,100,0)+IF(G12=1,1,0.5)*J12*100)*IF(ISBLANK(F12)=TRUE,0,1)</f>
        <v>1.375</v>
      </c>
      <c r="C51" s="136">
        <f>IF(C50&gt;$F12+1,0,1)*(IF(D51=0,100,0)+IF($G12=1,1,0.5)*$J12*100)</f>
        <v>1.375</v>
      </c>
      <c r="D51" s="136">
        <f t="shared" ref="D51:BO51" si="47">IF(D50&gt;$F12+1,0,1)*(IF(E51=0,100,0)+IF($G12=1,1,0.5)*$J12*100)</f>
        <v>1.375</v>
      </c>
      <c r="E51" s="136">
        <f t="shared" si="47"/>
        <v>1.375</v>
      </c>
      <c r="F51" s="136">
        <f t="shared" si="47"/>
        <v>1.375</v>
      </c>
      <c r="G51" s="136">
        <f t="shared" si="47"/>
        <v>1.375</v>
      </c>
      <c r="H51" s="136">
        <f t="shared" si="47"/>
        <v>1.375</v>
      </c>
      <c r="I51" s="136">
        <f t="shared" si="47"/>
        <v>1.375</v>
      </c>
      <c r="J51" s="136">
        <f t="shared" si="47"/>
        <v>1.375</v>
      </c>
      <c r="K51" s="136">
        <f t="shared" si="47"/>
        <v>1.375</v>
      </c>
      <c r="L51" s="136">
        <f t="shared" si="47"/>
        <v>1.375</v>
      </c>
      <c r="M51" s="136">
        <f t="shared" si="47"/>
        <v>1.375</v>
      </c>
      <c r="N51" s="136">
        <f t="shared" si="47"/>
        <v>1.375</v>
      </c>
      <c r="O51" s="136">
        <f t="shared" si="47"/>
        <v>1.375</v>
      </c>
      <c r="P51" s="136">
        <f t="shared" si="47"/>
        <v>1.375</v>
      </c>
      <c r="Q51" s="136">
        <f t="shared" si="47"/>
        <v>1.375</v>
      </c>
      <c r="R51" s="136">
        <f t="shared" si="47"/>
        <v>1.375</v>
      </c>
      <c r="S51" s="136">
        <f t="shared" si="47"/>
        <v>1.375</v>
      </c>
      <c r="T51" s="136">
        <f t="shared" si="47"/>
        <v>1.375</v>
      </c>
      <c r="U51" s="136">
        <f t="shared" si="47"/>
        <v>1.375</v>
      </c>
      <c r="V51" s="136">
        <f t="shared" si="47"/>
        <v>1.375</v>
      </c>
      <c r="W51" s="136">
        <f t="shared" si="47"/>
        <v>1.375</v>
      </c>
      <c r="X51" s="136">
        <f t="shared" si="47"/>
        <v>1.375</v>
      </c>
      <c r="Y51" s="136">
        <f t="shared" si="47"/>
        <v>1.375</v>
      </c>
      <c r="Z51" s="136">
        <f t="shared" si="47"/>
        <v>1.375</v>
      </c>
      <c r="AA51" s="136">
        <f t="shared" si="47"/>
        <v>1.375</v>
      </c>
      <c r="AB51" s="136">
        <f t="shared" si="47"/>
        <v>1.375</v>
      </c>
      <c r="AC51" s="136">
        <f t="shared" si="47"/>
        <v>1.375</v>
      </c>
      <c r="AD51" s="136">
        <f t="shared" si="47"/>
        <v>1.375</v>
      </c>
      <c r="AE51" s="136">
        <f t="shared" si="47"/>
        <v>1.375</v>
      </c>
      <c r="AF51" s="136">
        <f t="shared" si="47"/>
        <v>1.375</v>
      </c>
      <c r="AG51" s="136">
        <f t="shared" si="47"/>
        <v>101.375</v>
      </c>
      <c r="AH51" s="136">
        <f t="shared" si="47"/>
        <v>0</v>
      </c>
      <c r="AI51" s="136">
        <f t="shared" si="47"/>
        <v>0</v>
      </c>
      <c r="AJ51" s="136">
        <f t="shared" si="47"/>
        <v>0</v>
      </c>
      <c r="AK51" s="136">
        <f t="shared" si="47"/>
        <v>0</v>
      </c>
      <c r="AL51" s="136">
        <f t="shared" si="47"/>
        <v>0</v>
      </c>
      <c r="AM51" s="136">
        <f t="shared" si="47"/>
        <v>0</v>
      </c>
      <c r="AN51" s="136">
        <f t="shared" si="47"/>
        <v>0</v>
      </c>
      <c r="AO51" s="136">
        <f t="shared" si="47"/>
        <v>0</v>
      </c>
      <c r="AP51" s="136">
        <f t="shared" si="47"/>
        <v>0</v>
      </c>
      <c r="AQ51" s="136">
        <f t="shared" si="47"/>
        <v>0</v>
      </c>
      <c r="AR51" s="136">
        <f t="shared" si="47"/>
        <v>0</v>
      </c>
      <c r="AS51" s="136">
        <f t="shared" si="47"/>
        <v>0</v>
      </c>
      <c r="AT51" s="136">
        <f t="shared" si="47"/>
        <v>0</v>
      </c>
      <c r="AU51" s="136">
        <f t="shared" si="47"/>
        <v>0</v>
      </c>
      <c r="AV51" s="136">
        <f t="shared" si="47"/>
        <v>0</v>
      </c>
      <c r="AW51" s="136">
        <f t="shared" si="47"/>
        <v>0</v>
      </c>
      <c r="AX51" s="136">
        <f t="shared" si="47"/>
        <v>0</v>
      </c>
      <c r="AY51" s="136">
        <f t="shared" si="47"/>
        <v>0</v>
      </c>
      <c r="AZ51" s="136">
        <f t="shared" si="47"/>
        <v>0</v>
      </c>
      <c r="BA51" s="136">
        <f t="shared" si="47"/>
        <v>0</v>
      </c>
      <c r="BB51" s="136">
        <f t="shared" si="47"/>
        <v>0</v>
      </c>
      <c r="BC51" s="136">
        <f t="shared" si="47"/>
        <v>0</v>
      </c>
      <c r="BD51" s="136">
        <f t="shared" si="47"/>
        <v>0</v>
      </c>
      <c r="BE51" s="136">
        <f t="shared" si="47"/>
        <v>0</v>
      </c>
      <c r="BF51" s="136">
        <f t="shared" si="47"/>
        <v>0</v>
      </c>
      <c r="BG51" s="136">
        <f t="shared" si="47"/>
        <v>0</v>
      </c>
      <c r="BH51" s="136">
        <f t="shared" si="47"/>
        <v>0</v>
      </c>
      <c r="BI51" s="136">
        <f t="shared" si="47"/>
        <v>0</v>
      </c>
      <c r="BJ51" s="136">
        <f t="shared" si="47"/>
        <v>0</v>
      </c>
      <c r="BK51" s="136">
        <f t="shared" si="47"/>
        <v>0</v>
      </c>
      <c r="BL51" s="136">
        <f t="shared" si="47"/>
        <v>0</v>
      </c>
      <c r="BM51" s="136">
        <f t="shared" si="47"/>
        <v>0</v>
      </c>
      <c r="BN51" s="136">
        <f t="shared" si="47"/>
        <v>0</v>
      </c>
      <c r="BO51" s="136">
        <f t="shared" si="47"/>
        <v>0</v>
      </c>
      <c r="BP51" s="136">
        <f t="shared" ref="BP51:CB51" si="48">IF(BP50&gt;$F12+1,0,1)*(IF(BQ51=0,100,0)+IF($G12=1,1,0.5)*$J12*100)</f>
        <v>0</v>
      </c>
      <c r="BQ51" s="136">
        <f t="shared" si="48"/>
        <v>0</v>
      </c>
      <c r="BR51" s="136">
        <f t="shared" si="48"/>
        <v>0</v>
      </c>
      <c r="BS51" s="136">
        <f t="shared" si="48"/>
        <v>0</v>
      </c>
      <c r="BT51" s="136">
        <f t="shared" si="48"/>
        <v>0</v>
      </c>
      <c r="BU51" s="136">
        <f t="shared" si="48"/>
        <v>0</v>
      </c>
      <c r="BV51" s="136">
        <f t="shared" si="48"/>
        <v>0</v>
      </c>
      <c r="BW51" s="136">
        <f t="shared" si="48"/>
        <v>0</v>
      </c>
      <c r="BX51" s="136">
        <f t="shared" si="48"/>
        <v>0</v>
      </c>
      <c r="BY51" s="136">
        <f t="shared" si="48"/>
        <v>0</v>
      </c>
      <c r="BZ51" s="136">
        <f t="shared" si="48"/>
        <v>0</v>
      </c>
      <c r="CA51" s="136">
        <f t="shared" si="48"/>
        <v>0</v>
      </c>
      <c r="CB51" s="137">
        <f t="shared" si="48"/>
        <v>0</v>
      </c>
    </row>
    <row r="52" spans="1:201">
      <c r="A52" s="255" t="s">
        <v>49</v>
      </c>
      <c r="B52" s="65" t="str">
        <f>IF(E13=0,F13,E13)</f>
        <v>12/21/2019</v>
      </c>
      <c r="C52" s="66">
        <f t="shared" ref="C52:BN52" si="49">B52+IF($G13=1,365,182.5)</f>
        <v>44002.5</v>
      </c>
      <c r="D52" s="66">
        <f t="shared" si="49"/>
        <v>44185</v>
      </c>
      <c r="E52" s="66">
        <f t="shared" si="49"/>
        <v>44367.5</v>
      </c>
      <c r="F52" s="66">
        <f t="shared" si="49"/>
        <v>44550</v>
      </c>
      <c r="G52" s="66">
        <f t="shared" si="49"/>
        <v>44732.5</v>
      </c>
      <c r="H52" s="66">
        <f t="shared" si="49"/>
        <v>44915</v>
      </c>
      <c r="I52" s="66">
        <f t="shared" si="49"/>
        <v>45097.5</v>
      </c>
      <c r="J52" s="66">
        <f t="shared" si="49"/>
        <v>45280</v>
      </c>
      <c r="K52" s="66">
        <f t="shared" si="49"/>
        <v>45462.5</v>
      </c>
      <c r="L52" s="66">
        <f t="shared" si="49"/>
        <v>45645</v>
      </c>
      <c r="M52" s="66">
        <f t="shared" si="49"/>
        <v>45827.5</v>
      </c>
      <c r="N52" s="66">
        <f t="shared" si="49"/>
        <v>46010</v>
      </c>
      <c r="O52" s="66">
        <f t="shared" si="49"/>
        <v>46192.5</v>
      </c>
      <c r="P52" s="66">
        <f t="shared" si="49"/>
        <v>46375</v>
      </c>
      <c r="Q52" s="66">
        <f t="shared" si="49"/>
        <v>46557.5</v>
      </c>
      <c r="R52" s="66">
        <f t="shared" si="49"/>
        <v>46740</v>
      </c>
      <c r="S52" s="66">
        <f t="shared" si="49"/>
        <v>46922.5</v>
      </c>
      <c r="T52" s="66">
        <f t="shared" si="49"/>
        <v>47105</v>
      </c>
      <c r="U52" s="66">
        <f t="shared" si="49"/>
        <v>47287.5</v>
      </c>
      <c r="V52" s="66">
        <f t="shared" si="49"/>
        <v>47470</v>
      </c>
      <c r="W52" s="66">
        <f t="shared" si="49"/>
        <v>47652.5</v>
      </c>
      <c r="X52" s="66">
        <f t="shared" si="49"/>
        <v>47835</v>
      </c>
      <c r="Y52" s="66">
        <f t="shared" si="49"/>
        <v>48017.5</v>
      </c>
      <c r="Z52" s="66">
        <f t="shared" si="49"/>
        <v>48200</v>
      </c>
      <c r="AA52" s="66">
        <f t="shared" si="49"/>
        <v>48382.5</v>
      </c>
      <c r="AB52" s="66">
        <f t="shared" si="49"/>
        <v>48565</v>
      </c>
      <c r="AC52" s="66">
        <f t="shared" si="49"/>
        <v>48747.5</v>
      </c>
      <c r="AD52" s="66">
        <f t="shared" si="49"/>
        <v>48930</v>
      </c>
      <c r="AE52" s="66">
        <f t="shared" si="49"/>
        <v>49112.5</v>
      </c>
      <c r="AF52" s="66">
        <f t="shared" si="49"/>
        <v>49295</v>
      </c>
      <c r="AG52" s="66">
        <f t="shared" si="49"/>
        <v>49477.5</v>
      </c>
      <c r="AH52" s="66">
        <f t="shared" si="49"/>
        <v>49660</v>
      </c>
      <c r="AI52" s="66">
        <f t="shared" si="49"/>
        <v>49842.5</v>
      </c>
      <c r="AJ52" s="66">
        <f t="shared" si="49"/>
        <v>50025</v>
      </c>
      <c r="AK52" s="66">
        <f t="shared" si="49"/>
        <v>50207.5</v>
      </c>
      <c r="AL52" s="66">
        <f t="shared" si="49"/>
        <v>50390</v>
      </c>
      <c r="AM52" s="66">
        <f t="shared" si="49"/>
        <v>50572.5</v>
      </c>
      <c r="AN52" s="66">
        <f t="shared" si="49"/>
        <v>50755</v>
      </c>
      <c r="AO52" s="66">
        <f t="shared" si="49"/>
        <v>50937.5</v>
      </c>
      <c r="AP52" s="66">
        <f t="shared" si="49"/>
        <v>51120</v>
      </c>
      <c r="AQ52" s="66">
        <f t="shared" si="49"/>
        <v>51302.5</v>
      </c>
      <c r="AR52" s="66">
        <f t="shared" si="49"/>
        <v>51485</v>
      </c>
      <c r="AS52" s="66">
        <f t="shared" si="49"/>
        <v>51667.5</v>
      </c>
      <c r="AT52" s="66">
        <f t="shared" si="49"/>
        <v>51850</v>
      </c>
      <c r="AU52" s="66">
        <f t="shared" si="49"/>
        <v>52032.5</v>
      </c>
      <c r="AV52" s="66">
        <f t="shared" si="49"/>
        <v>52215</v>
      </c>
      <c r="AW52" s="66">
        <f t="shared" si="49"/>
        <v>52397.5</v>
      </c>
      <c r="AX52" s="66">
        <f t="shared" si="49"/>
        <v>52580</v>
      </c>
      <c r="AY52" s="66">
        <f t="shared" si="49"/>
        <v>52762.5</v>
      </c>
      <c r="AZ52" s="66">
        <f t="shared" si="49"/>
        <v>52945</v>
      </c>
      <c r="BA52" s="66">
        <f t="shared" si="49"/>
        <v>53127.5</v>
      </c>
      <c r="BB52" s="66">
        <f t="shared" si="49"/>
        <v>53310</v>
      </c>
      <c r="BC52" s="66">
        <f t="shared" si="49"/>
        <v>53492.5</v>
      </c>
      <c r="BD52" s="66">
        <f t="shared" si="49"/>
        <v>53675</v>
      </c>
      <c r="BE52" s="66">
        <f t="shared" si="49"/>
        <v>53857.5</v>
      </c>
      <c r="BF52" s="66">
        <f t="shared" si="49"/>
        <v>54040</v>
      </c>
      <c r="BG52" s="66">
        <f t="shared" si="49"/>
        <v>54222.5</v>
      </c>
      <c r="BH52" s="66">
        <f t="shared" si="49"/>
        <v>54405</v>
      </c>
      <c r="BI52" s="66">
        <f t="shared" si="49"/>
        <v>54587.5</v>
      </c>
      <c r="BJ52" s="66">
        <f t="shared" si="49"/>
        <v>54770</v>
      </c>
      <c r="BK52" s="66">
        <f t="shared" si="49"/>
        <v>54952.5</v>
      </c>
      <c r="BL52" s="66">
        <f t="shared" si="49"/>
        <v>55135</v>
      </c>
      <c r="BM52" s="66">
        <f t="shared" si="49"/>
        <v>55317.5</v>
      </c>
      <c r="BN52" s="66">
        <f t="shared" si="49"/>
        <v>55500</v>
      </c>
      <c r="BO52" s="66">
        <f t="shared" ref="BO52:CB52" si="50">BN52+IF($G13=1,365,182.5)</f>
        <v>55682.5</v>
      </c>
      <c r="BP52" s="66">
        <f t="shared" si="50"/>
        <v>55865</v>
      </c>
      <c r="BQ52" s="66">
        <f t="shared" si="50"/>
        <v>56047.5</v>
      </c>
      <c r="BR52" s="66">
        <f t="shared" si="50"/>
        <v>56230</v>
      </c>
      <c r="BS52" s="66">
        <f t="shared" si="50"/>
        <v>56412.5</v>
      </c>
      <c r="BT52" s="66">
        <f t="shared" si="50"/>
        <v>56595</v>
      </c>
      <c r="BU52" s="66">
        <f t="shared" si="50"/>
        <v>56777.5</v>
      </c>
      <c r="BV52" s="66">
        <f t="shared" si="50"/>
        <v>56960</v>
      </c>
      <c r="BW52" s="66">
        <f t="shared" si="50"/>
        <v>57142.5</v>
      </c>
      <c r="BX52" s="66">
        <f t="shared" si="50"/>
        <v>57325</v>
      </c>
      <c r="BY52" s="66">
        <f t="shared" si="50"/>
        <v>57507.5</v>
      </c>
      <c r="BZ52" s="66">
        <f t="shared" si="50"/>
        <v>57690</v>
      </c>
      <c r="CA52" s="66">
        <f t="shared" si="50"/>
        <v>57872.5</v>
      </c>
      <c r="CB52" s="67">
        <f t="shared" si="50"/>
        <v>58055</v>
      </c>
    </row>
    <row r="53" spans="1:201">
      <c r="A53" s="173" t="s">
        <v>30</v>
      </c>
      <c r="B53" s="111">
        <f>(IF(B52=F13,100,0)+IF(G13=1,1,0.5)*J13*100)*IF(ISBLANK(F13)=TRUE,0,1)</f>
        <v>1.625</v>
      </c>
      <c r="C53" s="68">
        <f>IF(C52&gt;$F13+1,0,1)*(IF(D53=0,100,0)+IF($G13=1,1,0.5)*$J13*100)</f>
        <v>1.625</v>
      </c>
      <c r="D53" s="68">
        <f t="shared" ref="D53:BO53" si="51">IF(D52&gt;$F13+1,0,1)*(IF(E53=0,100,0)+IF($G13=1,1,0.5)*$J13*100)</f>
        <v>1.625</v>
      </c>
      <c r="E53" s="68">
        <f t="shared" si="51"/>
        <v>1.625</v>
      </c>
      <c r="F53" s="68">
        <f t="shared" si="51"/>
        <v>1.625</v>
      </c>
      <c r="G53" s="68">
        <f t="shared" si="51"/>
        <v>1.625</v>
      </c>
      <c r="H53" s="68">
        <f t="shared" si="51"/>
        <v>1.625</v>
      </c>
      <c r="I53" s="68">
        <f t="shared" si="51"/>
        <v>1.625</v>
      </c>
      <c r="J53" s="68">
        <f t="shared" si="51"/>
        <v>1.625</v>
      </c>
      <c r="K53" s="68">
        <f t="shared" si="51"/>
        <v>1.625</v>
      </c>
      <c r="L53" s="68">
        <f t="shared" si="51"/>
        <v>1.625</v>
      </c>
      <c r="M53" s="68">
        <f t="shared" si="51"/>
        <v>1.625</v>
      </c>
      <c r="N53" s="68">
        <f t="shared" si="51"/>
        <v>1.625</v>
      </c>
      <c r="O53" s="68">
        <f t="shared" si="51"/>
        <v>1.625</v>
      </c>
      <c r="P53" s="68">
        <f t="shared" si="51"/>
        <v>1.625</v>
      </c>
      <c r="Q53" s="68">
        <f t="shared" si="51"/>
        <v>1.625</v>
      </c>
      <c r="R53" s="68">
        <f t="shared" si="51"/>
        <v>1.625</v>
      </c>
      <c r="S53" s="68">
        <f t="shared" si="51"/>
        <v>1.625</v>
      </c>
      <c r="T53" s="68">
        <f t="shared" si="51"/>
        <v>1.625</v>
      </c>
      <c r="U53" s="68">
        <f t="shared" si="51"/>
        <v>1.625</v>
      </c>
      <c r="V53" s="68">
        <f t="shared" si="51"/>
        <v>1.625</v>
      </c>
      <c r="W53" s="68">
        <f t="shared" si="51"/>
        <v>1.625</v>
      </c>
      <c r="X53" s="68">
        <f t="shared" si="51"/>
        <v>1.625</v>
      </c>
      <c r="Y53" s="68">
        <f t="shared" si="51"/>
        <v>1.625</v>
      </c>
      <c r="Z53" s="68">
        <f t="shared" si="51"/>
        <v>1.625</v>
      </c>
      <c r="AA53" s="68">
        <f t="shared" si="51"/>
        <v>1.625</v>
      </c>
      <c r="AB53" s="68">
        <f t="shared" si="51"/>
        <v>1.625</v>
      </c>
      <c r="AC53" s="68">
        <f t="shared" si="51"/>
        <v>1.625</v>
      </c>
      <c r="AD53" s="68">
        <f t="shared" si="51"/>
        <v>1.625</v>
      </c>
      <c r="AE53" s="68">
        <f t="shared" si="51"/>
        <v>1.625</v>
      </c>
      <c r="AF53" s="68">
        <f t="shared" si="51"/>
        <v>1.625</v>
      </c>
      <c r="AG53" s="68">
        <f t="shared" si="51"/>
        <v>1.625</v>
      </c>
      <c r="AH53" s="68">
        <f t="shared" si="51"/>
        <v>1.625</v>
      </c>
      <c r="AI53" s="68">
        <f t="shared" si="51"/>
        <v>1.625</v>
      </c>
      <c r="AJ53" s="68">
        <f t="shared" si="51"/>
        <v>1.625</v>
      </c>
      <c r="AK53" s="68">
        <f t="shared" si="51"/>
        <v>1.625</v>
      </c>
      <c r="AL53" s="68">
        <f t="shared" si="51"/>
        <v>1.625</v>
      </c>
      <c r="AM53" s="68">
        <f t="shared" si="51"/>
        <v>1.625</v>
      </c>
      <c r="AN53" s="68">
        <f t="shared" si="51"/>
        <v>1.625</v>
      </c>
      <c r="AO53" s="68">
        <f t="shared" si="51"/>
        <v>101.625</v>
      </c>
      <c r="AP53" s="68">
        <f t="shared" si="51"/>
        <v>0</v>
      </c>
      <c r="AQ53" s="68">
        <f t="shared" si="51"/>
        <v>0</v>
      </c>
      <c r="AR53" s="68">
        <f t="shared" si="51"/>
        <v>0</v>
      </c>
      <c r="AS53" s="68">
        <f t="shared" si="51"/>
        <v>0</v>
      </c>
      <c r="AT53" s="68">
        <f t="shared" si="51"/>
        <v>0</v>
      </c>
      <c r="AU53" s="68">
        <f t="shared" si="51"/>
        <v>0</v>
      </c>
      <c r="AV53" s="68">
        <f t="shared" si="51"/>
        <v>0</v>
      </c>
      <c r="AW53" s="68">
        <f t="shared" si="51"/>
        <v>0</v>
      </c>
      <c r="AX53" s="68">
        <f t="shared" si="51"/>
        <v>0</v>
      </c>
      <c r="AY53" s="68">
        <f t="shared" si="51"/>
        <v>0</v>
      </c>
      <c r="AZ53" s="68">
        <f t="shared" si="51"/>
        <v>0</v>
      </c>
      <c r="BA53" s="68">
        <f t="shared" si="51"/>
        <v>0</v>
      </c>
      <c r="BB53" s="68">
        <f t="shared" si="51"/>
        <v>0</v>
      </c>
      <c r="BC53" s="68">
        <f t="shared" si="51"/>
        <v>0</v>
      </c>
      <c r="BD53" s="68">
        <f t="shared" si="51"/>
        <v>0</v>
      </c>
      <c r="BE53" s="68">
        <f t="shared" si="51"/>
        <v>0</v>
      </c>
      <c r="BF53" s="68">
        <f t="shared" si="51"/>
        <v>0</v>
      </c>
      <c r="BG53" s="68">
        <f t="shared" si="51"/>
        <v>0</v>
      </c>
      <c r="BH53" s="68">
        <f t="shared" si="51"/>
        <v>0</v>
      </c>
      <c r="BI53" s="68">
        <f t="shared" si="51"/>
        <v>0</v>
      </c>
      <c r="BJ53" s="68">
        <f t="shared" si="51"/>
        <v>0</v>
      </c>
      <c r="BK53" s="68">
        <f t="shared" si="51"/>
        <v>0</v>
      </c>
      <c r="BL53" s="68">
        <f t="shared" si="51"/>
        <v>0</v>
      </c>
      <c r="BM53" s="68">
        <f t="shared" si="51"/>
        <v>0</v>
      </c>
      <c r="BN53" s="68">
        <f t="shared" si="51"/>
        <v>0</v>
      </c>
      <c r="BO53" s="68">
        <f t="shared" si="51"/>
        <v>0</v>
      </c>
      <c r="BP53" s="68">
        <f t="shared" ref="BP53:CB53" si="52">IF(BP52&gt;$F13+1,0,1)*(IF(BQ53=0,100,0)+IF($G13=1,1,0.5)*$J13*100)</f>
        <v>0</v>
      </c>
      <c r="BQ53" s="68">
        <f t="shared" si="52"/>
        <v>0</v>
      </c>
      <c r="BR53" s="68">
        <f t="shared" si="52"/>
        <v>0</v>
      </c>
      <c r="BS53" s="68">
        <f t="shared" si="52"/>
        <v>0</v>
      </c>
      <c r="BT53" s="68">
        <f t="shared" si="52"/>
        <v>0</v>
      </c>
      <c r="BU53" s="68">
        <f t="shared" si="52"/>
        <v>0</v>
      </c>
      <c r="BV53" s="68">
        <f t="shared" si="52"/>
        <v>0</v>
      </c>
      <c r="BW53" s="68">
        <f t="shared" si="52"/>
        <v>0</v>
      </c>
      <c r="BX53" s="68">
        <f t="shared" si="52"/>
        <v>0</v>
      </c>
      <c r="BY53" s="68">
        <f t="shared" si="52"/>
        <v>0</v>
      </c>
      <c r="BZ53" s="68">
        <f t="shared" si="52"/>
        <v>0</v>
      </c>
      <c r="CA53" s="68">
        <f t="shared" si="52"/>
        <v>0</v>
      </c>
      <c r="CB53" s="69">
        <f t="shared" si="52"/>
        <v>0</v>
      </c>
    </row>
    <row r="54" spans="1:201">
      <c r="A54" s="254" t="s">
        <v>49</v>
      </c>
      <c r="B54" s="138">
        <f>IF(E14=0,F14,E14)</f>
        <v>0</v>
      </c>
      <c r="C54" s="70">
        <f t="shared" ref="C54:BN54" si="53">B54+IF($G14=1,365,182.5)</f>
        <v>182.5</v>
      </c>
      <c r="D54" s="70">
        <f t="shared" si="53"/>
        <v>365</v>
      </c>
      <c r="E54" s="70">
        <f t="shared" si="53"/>
        <v>547.5</v>
      </c>
      <c r="F54" s="70">
        <f t="shared" si="53"/>
        <v>730</v>
      </c>
      <c r="G54" s="70">
        <f t="shared" si="53"/>
        <v>912.5</v>
      </c>
      <c r="H54" s="70">
        <f t="shared" si="53"/>
        <v>1095</v>
      </c>
      <c r="I54" s="70">
        <f t="shared" si="53"/>
        <v>1277.5</v>
      </c>
      <c r="J54" s="70">
        <f t="shared" si="53"/>
        <v>1460</v>
      </c>
      <c r="K54" s="70">
        <f t="shared" si="53"/>
        <v>1642.5</v>
      </c>
      <c r="L54" s="70">
        <f t="shared" si="53"/>
        <v>1825</v>
      </c>
      <c r="M54" s="70">
        <f t="shared" si="53"/>
        <v>2007.5</v>
      </c>
      <c r="N54" s="70">
        <f t="shared" si="53"/>
        <v>2190</v>
      </c>
      <c r="O54" s="70">
        <f t="shared" si="53"/>
        <v>2372.5</v>
      </c>
      <c r="P54" s="70">
        <f t="shared" si="53"/>
        <v>2555</v>
      </c>
      <c r="Q54" s="70">
        <f t="shared" si="53"/>
        <v>2737.5</v>
      </c>
      <c r="R54" s="70">
        <f t="shared" si="53"/>
        <v>2920</v>
      </c>
      <c r="S54" s="70">
        <f t="shared" si="53"/>
        <v>3102.5</v>
      </c>
      <c r="T54" s="70">
        <f t="shared" si="53"/>
        <v>3285</v>
      </c>
      <c r="U54" s="70">
        <f t="shared" si="53"/>
        <v>3467.5</v>
      </c>
      <c r="V54" s="70">
        <f t="shared" si="53"/>
        <v>3650</v>
      </c>
      <c r="W54" s="70">
        <f t="shared" si="53"/>
        <v>3832.5</v>
      </c>
      <c r="X54" s="70">
        <f t="shared" si="53"/>
        <v>4015</v>
      </c>
      <c r="Y54" s="70">
        <f t="shared" si="53"/>
        <v>4197.5</v>
      </c>
      <c r="Z54" s="70">
        <f t="shared" si="53"/>
        <v>4380</v>
      </c>
      <c r="AA54" s="70">
        <f t="shared" si="53"/>
        <v>4562.5</v>
      </c>
      <c r="AB54" s="70">
        <f t="shared" si="53"/>
        <v>4745</v>
      </c>
      <c r="AC54" s="70">
        <f t="shared" si="53"/>
        <v>4927.5</v>
      </c>
      <c r="AD54" s="70">
        <f t="shared" si="53"/>
        <v>5110</v>
      </c>
      <c r="AE54" s="70">
        <f t="shared" si="53"/>
        <v>5292.5</v>
      </c>
      <c r="AF54" s="70">
        <f t="shared" si="53"/>
        <v>5475</v>
      </c>
      <c r="AG54" s="70">
        <f t="shared" si="53"/>
        <v>5657.5</v>
      </c>
      <c r="AH54" s="70">
        <f t="shared" si="53"/>
        <v>5840</v>
      </c>
      <c r="AI54" s="70">
        <f t="shared" si="53"/>
        <v>6022.5</v>
      </c>
      <c r="AJ54" s="70">
        <f t="shared" si="53"/>
        <v>6205</v>
      </c>
      <c r="AK54" s="70">
        <f t="shared" si="53"/>
        <v>6387.5</v>
      </c>
      <c r="AL54" s="70">
        <f t="shared" si="53"/>
        <v>6570</v>
      </c>
      <c r="AM54" s="70">
        <f t="shared" si="53"/>
        <v>6752.5</v>
      </c>
      <c r="AN54" s="70">
        <f t="shared" si="53"/>
        <v>6935</v>
      </c>
      <c r="AO54" s="70">
        <f t="shared" si="53"/>
        <v>7117.5</v>
      </c>
      <c r="AP54" s="70">
        <f t="shared" si="53"/>
        <v>7300</v>
      </c>
      <c r="AQ54" s="70">
        <f t="shared" si="53"/>
        <v>7482.5</v>
      </c>
      <c r="AR54" s="70">
        <f t="shared" si="53"/>
        <v>7665</v>
      </c>
      <c r="AS54" s="70">
        <f t="shared" si="53"/>
        <v>7847.5</v>
      </c>
      <c r="AT54" s="70">
        <f t="shared" si="53"/>
        <v>8030</v>
      </c>
      <c r="AU54" s="70">
        <f t="shared" si="53"/>
        <v>8212.5</v>
      </c>
      <c r="AV54" s="70">
        <f t="shared" si="53"/>
        <v>8395</v>
      </c>
      <c r="AW54" s="70">
        <f t="shared" si="53"/>
        <v>8577.5</v>
      </c>
      <c r="AX54" s="70">
        <f t="shared" si="53"/>
        <v>8760</v>
      </c>
      <c r="AY54" s="70">
        <f t="shared" si="53"/>
        <v>8942.5</v>
      </c>
      <c r="AZ54" s="70">
        <f t="shared" si="53"/>
        <v>9125</v>
      </c>
      <c r="BA54" s="70">
        <f t="shared" si="53"/>
        <v>9307.5</v>
      </c>
      <c r="BB54" s="70">
        <f t="shared" si="53"/>
        <v>9490</v>
      </c>
      <c r="BC54" s="70">
        <f t="shared" si="53"/>
        <v>9672.5</v>
      </c>
      <c r="BD54" s="70">
        <f t="shared" si="53"/>
        <v>9855</v>
      </c>
      <c r="BE54" s="70">
        <f t="shared" si="53"/>
        <v>10037.5</v>
      </c>
      <c r="BF54" s="70">
        <f t="shared" si="53"/>
        <v>10220</v>
      </c>
      <c r="BG54" s="70">
        <f t="shared" si="53"/>
        <v>10402.5</v>
      </c>
      <c r="BH54" s="70">
        <f t="shared" si="53"/>
        <v>10585</v>
      </c>
      <c r="BI54" s="70">
        <f t="shared" si="53"/>
        <v>10767.5</v>
      </c>
      <c r="BJ54" s="70">
        <f t="shared" si="53"/>
        <v>10950</v>
      </c>
      <c r="BK54" s="70">
        <f t="shared" si="53"/>
        <v>11132.5</v>
      </c>
      <c r="BL54" s="70">
        <f t="shared" si="53"/>
        <v>11315</v>
      </c>
      <c r="BM54" s="70">
        <f t="shared" si="53"/>
        <v>11497.5</v>
      </c>
      <c r="BN54" s="70">
        <f t="shared" si="53"/>
        <v>11680</v>
      </c>
      <c r="BO54" s="70">
        <f t="shared" ref="BO54:CB54" si="54">BN54+IF($G14=1,365,182.5)</f>
        <v>11862.5</v>
      </c>
      <c r="BP54" s="70">
        <f t="shared" si="54"/>
        <v>12045</v>
      </c>
      <c r="BQ54" s="70">
        <f t="shared" si="54"/>
        <v>12227.5</v>
      </c>
      <c r="BR54" s="70">
        <f t="shared" si="54"/>
        <v>12410</v>
      </c>
      <c r="BS54" s="70">
        <f t="shared" si="54"/>
        <v>12592.5</v>
      </c>
      <c r="BT54" s="70">
        <f t="shared" si="54"/>
        <v>12775</v>
      </c>
      <c r="BU54" s="70">
        <f t="shared" si="54"/>
        <v>12957.5</v>
      </c>
      <c r="BV54" s="70">
        <f t="shared" si="54"/>
        <v>13140</v>
      </c>
      <c r="BW54" s="70">
        <f t="shared" si="54"/>
        <v>13322.5</v>
      </c>
      <c r="BX54" s="70">
        <f t="shared" si="54"/>
        <v>13505</v>
      </c>
      <c r="BY54" s="70">
        <f t="shared" si="54"/>
        <v>13687.5</v>
      </c>
      <c r="BZ54" s="70">
        <f t="shared" si="54"/>
        <v>13870</v>
      </c>
      <c r="CA54" s="70">
        <f t="shared" si="54"/>
        <v>14052.5</v>
      </c>
      <c r="CB54" s="71">
        <f t="shared" si="54"/>
        <v>14235</v>
      </c>
      <c r="CC54" s="231">
        <f t="shared" ref="CC54" si="55">CB54+IF($G14=1,365,182.5)</f>
        <v>14417.5</v>
      </c>
      <c r="CD54" s="231">
        <f t="shared" ref="CD54" si="56">CC54+IF($G14=1,365,182.5)</f>
        <v>14600</v>
      </c>
      <c r="CE54" s="231">
        <f t="shared" ref="CE54" si="57">CD54+IF($G14=1,365,182.5)</f>
        <v>14782.5</v>
      </c>
      <c r="CF54" s="231">
        <f t="shared" ref="CF54" si="58">CE54+IF($G14=1,365,182.5)</f>
        <v>14965</v>
      </c>
      <c r="CG54" s="231">
        <f t="shared" ref="CG54" si="59">CF54+IF($G14=1,365,182.5)</f>
        <v>15147.5</v>
      </c>
      <c r="CH54" s="231">
        <f t="shared" ref="CH54" si="60">CG54+IF($G14=1,365,182.5)</f>
        <v>15330</v>
      </c>
      <c r="CI54" s="231">
        <f t="shared" ref="CI54" si="61">CH54+IF($G14=1,365,182.5)</f>
        <v>15512.5</v>
      </c>
      <c r="CJ54" s="231">
        <f t="shared" ref="CJ54" si="62">CI54+IF($G14=1,365,182.5)</f>
        <v>15695</v>
      </c>
      <c r="CK54" s="231">
        <f t="shared" ref="CK54" si="63">CJ54+IF($G14=1,365,182.5)</f>
        <v>15877.5</v>
      </c>
      <c r="CL54" s="231">
        <f t="shared" ref="CL54" si="64">CK54+IF($G14=1,365,182.5)</f>
        <v>16060</v>
      </c>
      <c r="CM54" s="231">
        <f t="shared" ref="CM54" si="65">CL54+IF($G14=1,365,182.5)</f>
        <v>16242.5</v>
      </c>
      <c r="CN54" s="231">
        <f t="shared" ref="CN54" si="66">CM54+IF($G14=1,365,182.5)</f>
        <v>16425</v>
      </c>
      <c r="CO54" s="231">
        <f t="shared" ref="CO54" si="67">CN54+IF($G14=1,365,182.5)</f>
        <v>16607.5</v>
      </c>
      <c r="CP54" s="231">
        <f t="shared" ref="CP54" si="68">CO54+IF($G14=1,365,182.5)</f>
        <v>16790</v>
      </c>
      <c r="CQ54" s="231">
        <f t="shared" ref="CQ54" si="69">CP54+IF($G14=1,365,182.5)</f>
        <v>16972.5</v>
      </c>
      <c r="CR54" s="231">
        <f t="shared" ref="CR54" si="70">CQ54+IF($G14=1,365,182.5)</f>
        <v>17155</v>
      </c>
      <c r="CS54" s="231">
        <f t="shared" ref="CS54" si="71">CR54+IF($G14=1,365,182.5)</f>
        <v>17337.5</v>
      </c>
      <c r="CT54" s="231">
        <f t="shared" ref="CT54" si="72">CS54+IF($G14=1,365,182.5)</f>
        <v>17520</v>
      </c>
      <c r="CU54" s="231">
        <f t="shared" ref="CU54" si="73">CT54+IF($G14=1,365,182.5)</f>
        <v>17702.5</v>
      </c>
      <c r="CV54" s="231">
        <f t="shared" ref="CV54" si="74">CU54+IF($G14=1,365,182.5)</f>
        <v>17885</v>
      </c>
      <c r="CW54" s="231">
        <f t="shared" ref="CW54" si="75">CV54+IF($G14=1,365,182.5)</f>
        <v>18067.5</v>
      </c>
      <c r="CX54" s="231">
        <f t="shared" ref="CX54" si="76">CW54+IF($G14=1,365,182.5)</f>
        <v>18250</v>
      </c>
      <c r="CY54" s="231">
        <f t="shared" ref="CY54" si="77">CX54+IF($G14=1,365,182.5)</f>
        <v>18432.5</v>
      </c>
      <c r="CZ54" s="231">
        <f t="shared" ref="CZ54" si="78">CY54+IF($G14=1,365,182.5)</f>
        <v>18615</v>
      </c>
      <c r="DA54" s="231">
        <f t="shared" ref="DA54" si="79">CZ54+IF($G14=1,365,182.5)</f>
        <v>18797.5</v>
      </c>
      <c r="DB54" s="231">
        <f t="shared" ref="DB54" si="80">DA54+IF($G14=1,365,182.5)</f>
        <v>18980</v>
      </c>
      <c r="DC54" s="231">
        <f t="shared" ref="DC54" si="81">DB54+IF($G14=1,365,182.5)</f>
        <v>19162.5</v>
      </c>
      <c r="DD54" s="231">
        <f t="shared" ref="DD54" si="82">DC54+IF($G14=1,365,182.5)</f>
        <v>19345</v>
      </c>
      <c r="DE54" s="231">
        <f t="shared" ref="DE54" si="83">DD54+IF($G14=1,365,182.5)</f>
        <v>19527.5</v>
      </c>
      <c r="DF54" s="231">
        <f t="shared" ref="DF54" si="84">DE54+IF($G14=1,365,182.5)</f>
        <v>19710</v>
      </c>
      <c r="DG54" s="231">
        <f t="shared" ref="DG54" si="85">DF54+IF($G14=1,365,182.5)</f>
        <v>19892.5</v>
      </c>
      <c r="DH54" s="231">
        <f t="shared" ref="DH54" si="86">DG54+IF($G14=1,365,182.5)</f>
        <v>20075</v>
      </c>
      <c r="DI54" s="231">
        <f t="shared" ref="DI54" si="87">DH54+IF($G14=1,365,182.5)</f>
        <v>20257.5</v>
      </c>
      <c r="DJ54" s="231">
        <f t="shared" ref="DJ54" si="88">DI54+IF($G14=1,365,182.5)</f>
        <v>20440</v>
      </c>
      <c r="DK54" s="231">
        <f t="shared" ref="DK54" si="89">DJ54+IF($G14=1,365,182.5)</f>
        <v>20622.5</v>
      </c>
      <c r="DL54" s="231">
        <f t="shared" ref="DL54" si="90">DK54+IF($G14=1,365,182.5)</f>
        <v>20805</v>
      </c>
      <c r="DM54" s="231">
        <f t="shared" ref="DM54" si="91">DL54+IF($G14=1,365,182.5)</f>
        <v>20987.5</v>
      </c>
      <c r="DN54" s="231">
        <f t="shared" ref="DN54" si="92">DM54+IF($G14=1,365,182.5)</f>
        <v>21170</v>
      </c>
      <c r="DO54" s="231">
        <f t="shared" ref="DO54" si="93">DN54+IF($G14=1,365,182.5)</f>
        <v>21352.5</v>
      </c>
      <c r="DP54" s="231">
        <f t="shared" ref="DP54" si="94">DO54+IF($G14=1,365,182.5)</f>
        <v>21535</v>
      </c>
      <c r="DQ54" s="231">
        <f t="shared" ref="DQ54" si="95">DP54+IF($G14=1,365,182.5)</f>
        <v>21717.5</v>
      </c>
      <c r="DR54" s="231">
        <f t="shared" ref="DR54" si="96">DQ54+IF($G14=1,365,182.5)</f>
        <v>21900</v>
      </c>
      <c r="DS54" s="231">
        <f t="shared" ref="DS54" si="97">DR54+IF($G14=1,365,182.5)</f>
        <v>22082.5</v>
      </c>
      <c r="DT54" s="231">
        <f t="shared" ref="DT54" si="98">DS54+IF($G14=1,365,182.5)</f>
        <v>22265</v>
      </c>
      <c r="DU54" s="231">
        <f t="shared" ref="DU54" si="99">DT54+IF($G14=1,365,182.5)</f>
        <v>22447.5</v>
      </c>
      <c r="DV54" s="231">
        <f t="shared" ref="DV54" si="100">DU54+IF($G14=1,365,182.5)</f>
        <v>22630</v>
      </c>
      <c r="DW54" s="231">
        <f t="shared" ref="DW54" si="101">DV54+IF($G14=1,365,182.5)</f>
        <v>22812.5</v>
      </c>
      <c r="DX54" s="231">
        <f t="shared" ref="DX54" si="102">DW54+IF($G14=1,365,182.5)</f>
        <v>22995</v>
      </c>
      <c r="DY54" s="231">
        <f t="shared" ref="DY54" si="103">DX54+IF($G14=1,365,182.5)</f>
        <v>23177.5</v>
      </c>
      <c r="DZ54" s="231">
        <f t="shared" ref="DZ54" si="104">DY54+IF($G14=1,365,182.5)</f>
        <v>23360</v>
      </c>
      <c r="EA54" s="231">
        <f t="shared" ref="EA54" si="105">DZ54+IF($G14=1,365,182.5)</f>
        <v>23542.5</v>
      </c>
      <c r="EB54" s="231">
        <f t="shared" ref="EB54" si="106">EA54+IF($G14=1,365,182.5)</f>
        <v>23725</v>
      </c>
      <c r="EC54" s="231">
        <f t="shared" ref="EC54" si="107">EB54+IF($G14=1,365,182.5)</f>
        <v>23907.5</v>
      </c>
      <c r="ED54" s="231">
        <f t="shared" ref="ED54" si="108">EC54+IF($G14=1,365,182.5)</f>
        <v>24090</v>
      </c>
      <c r="EE54" s="231">
        <f t="shared" ref="EE54" si="109">ED54+IF($G14=1,365,182.5)</f>
        <v>24272.5</v>
      </c>
      <c r="EF54" s="231">
        <f t="shared" ref="EF54" si="110">EE54+IF($G14=1,365,182.5)</f>
        <v>24455</v>
      </c>
      <c r="EG54" s="231">
        <f t="shared" ref="EG54" si="111">EF54+IF($G14=1,365,182.5)</f>
        <v>24637.5</v>
      </c>
      <c r="EH54" s="231">
        <f t="shared" ref="EH54" si="112">EG54+IF($G14=1,365,182.5)</f>
        <v>24820</v>
      </c>
      <c r="EI54" s="231">
        <f t="shared" ref="EI54" si="113">EH54+IF($G14=1,365,182.5)</f>
        <v>25002.5</v>
      </c>
      <c r="EJ54" s="231">
        <f t="shared" ref="EJ54" si="114">EI54+IF($G14=1,365,182.5)</f>
        <v>25185</v>
      </c>
      <c r="EK54" s="231">
        <f t="shared" ref="EK54" si="115">EJ54+IF($G14=1,365,182.5)</f>
        <v>25367.5</v>
      </c>
      <c r="EL54" s="231">
        <f t="shared" ref="EL54" si="116">EK54+IF($G14=1,365,182.5)</f>
        <v>25550</v>
      </c>
      <c r="EM54" s="231">
        <f t="shared" ref="EM54" si="117">EL54+IF($G14=1,365,182.5)</f>
        <v>25732.5</v>
      </c>
      <c r="EN54" s="231">
        <f t="shared" ref="EN54" si="118">EM54+IF($G14=1,365,182.5)</f>
        <v>25915</v>
      </c>
      <c r="EO54" s="231">
        <f t="shared" ref="EO54" si="119">EN54+IF($G14=1,365,182.5)</f>
        <v>26097.5</v>
      </c>
      <c r="EP54" s="231">
        <f t="shared" ref="EP54" si="120">EO54+IF($G14=1,365,182.5)</f>
        <v>26280</v>
      </c>
      <c r="EQ54" s="231">
        <f t="shared" ref="EQ54" si="121">EP54+IF($G14=1,365,182.5)</f>
        <v>26462.5</v>
      </c>
      <c r="ER54" s="231">
        <f t="shared" ref="ER54" si="122">EQ54+IF($G14=1,365,182.5)</f>
        <v>26645</v>
      </c>
      <c r="ES54" s="231">
        <f t="shared" ref="ES54" si="123">ER54+IF($G14=1,365,182.5)</f>
        <v>26827.5</v>
      </c>
      <c r="ET54" s="231">
        <f t="shared" ref="ET54" si="124">ES54+IF($G14=1,365,182.5)</f>
        <v>27010</v>
      </c>
      <c r="EU54" s="231">
        <f t="shared" ref="EU54" si="125">ET54+IF($G14=1,365,182.5)</f>
        <v>27192.5</v>
      </c>
      <c r="EV54" s="231">
        <f t="shared" ref="EV54" si="126">EU54+IF($G14=1,365,182.5)</f>
        <v>27375</v>
      </c>
      <c r="EW54" s="231">
        <f t="shared" ref="EW54" si="127">EV54+IF($G14=1,365,182.5)</f>
        <v>27557.5</v>
      </c>
      <c r="EX54" s="231">
        <f t="shared" ref="EX54" si="128">EW54+IF($G14=1,365,182.5)</f>
        <v>27740</v>
      </c>
      <c r="EY54" s="231">
        <f t="shared" ref="EY54" si="129">EX54+IF($G14=1,365,182.5)</f>
        <v>27922.5</v>
      </c>
      <c r="EZ54" s="231">
        <f t="shared" ref="EZ54" si="130">EY54+IF($G14=1,365,182.5)</f>
        <v>28105</v>
      </c>
      <c r="FA54" s="231">
        <f t="shared" ref="FA54" si="131">EZ54+IF($G14=1,365,182.5)</f>
        <v>28287.5</v>
      </c>
      <c r="FB54" s="231">
        <f t="shared" ref="FB54" si="132">FA54+IF($G14=1,365,182.5)</f>
        <v>28470</v>
      </c>
      <c r="FC54" s="231">
        <f t="shared" ref="FC54" si="133">FB54+IF($G14=1,365,182.5)</f>
        <v>28652.5</v>
      </c>
      <c r="FD54" s="231">
        <f t="shared" ref="FD54" si="134">FC54+IF($G14=1,365,182.5)</f>
        <v>28835</v>
      </c>
      <c r="FE54" s="231">
        <f t="shared" ref="FE54" si="135">FD54+IF($G14=1,365,182.5)</f>
        <v>29017.5</v>
      </c>
      <c r="FF54" s="231">
        <f t="shared" ref="FF54" si="136">FE54+IF($G14=1,365,182.5)</f>
        <v>29200</v>
      </c>
      <c r="FG54" s="231">
        <f t="shared" ref="FG54" si="137">FF54+IF($G14=1,365,182.5)</f>
        <v>29382.5</v>
      </c>
      <c r="FH54" s="231">
        <f t="shared" ref="FH54" si="138">FG54+IF($G14=1,365,182.5)</f>
        <v>29565</v>
      </c>
      <c r="FI54" s="231">
        <f t="shared" ref="FI54" si="139">FH54+IF($G14=1,365,182.5)</f>
        <v>29747.5</v>
      </c>
      <c r="FJ54" s="231">
        <f t="shared" ref="FJ54" si="140">FI54+IF($G14=1,365,182.5)</f>
        <v>29930</v>
      </c>
      <c r="FK54" s="231">
        <f t="shared" ref="FK54" si="141">FJ54+IF($G14=1,365,182.5)</f>
        <v>30112.5</v>
      </c>
      <c r="FL54" s="231">
        <f t="shared" ref="FL54" si="142">FK54+IF($G14=1,365,182.5)</f>
        <v>30295</v>
      </c>
      <c r="FM54" s="231">
        <f t="shared" ref="FM54" si="143">FL54+IF($G14=1,365,182.5)</f>
        <v>30477.5</v>
      </c>
      <c r="FN54" s="231">
        <f t="shared" ref="FN54" si="144">FM54+IF($G14=1,365,182.5)</f>
        <v>30660</v>
      </c>
      <c r="FO54" s="231">
        <f t="shared" ref="FO54" si="145">FN54+IF($G14=1,365,182.5)</f>
        <v>30842.5</v>
      </c>
      <c r="FP54" s="231">
        <f t="shared" ref="FP54" si="146">FO54+IF($G14=1,365,182.5)</f>
        <v>31025</v>
      </c>
      <c r="FQ54" s="231">
        <f t="shared" ref="FQ54" si="147">FP54+IF($G14=1,365,182.5)</f>
        <v>31207.5</v>
      </c>
      <c r="FR54" s="231">
        <f t="shared" ref="FR54" si="148">FQ54+IF($G14=1,365,182.5)</f>
        <v>31390</v>
      </c>
      <c r="FS54" s="231">
        <f t="shared" ref="FS54" si="149">FR54+IF($G14=1,365,182.5)</f>
        <v>31572.5</v>
      </c>
      <c r="FT54" s="231">
        <f t="shared" ref="FT54" si="150">FS54+IF($G14=1,365,182.5)</f>
        <v>31755</v>
      </c>
      <c r="FU54" s="231">
        <f t="shared" ref="FU54" si="151">FT54+IF($G14=1,365,182.5)</f>
        <v>31937.5</v>
      </c>
      <c r="FV54" s="231">
        <f t="shared" ref="FV54" si="152">FU54+IF($G14=1,365,182.5)</f>
        <v>32120</v>
      </c>
      <c r="FW54" s="231">
        <f t="shared" ref="FW54" si="153">FV54+IF($G14=1,365,182.5)</f>
        <v>32302.5</v>
      </c>
      <c r="FX54" s="231">
        <f t="shared" ref="FX54" si="154">FW54+IF($G14=1,365,182.5)</f>
        <v>32485</v>
      </c>
      <c r="FY54" s="231">
        <f t="shared" ref="FY54" si="155">FX54+IF($G14=1,365,182.5)</f>
        <v>32667.5</v>
      </c>
      <c r="FZ54" s="231">
        <f t="shared" ref="FZ54" si="156">FY54+IF($G14=1,365,182.5)</f>
        <v>32850</v>
      </c>
      <c r="GA54" s="231">
        <f t="shared" ref="GA54" si="157">FZ54+IF($G14=1,365,182.5)</f>
        <v>33032.5</v>
      </c>
      <c r="GB54" s="231">
        <f t="shared" ref="GB54" si="158">GA54+IF($G14=1,365,182.5)</f>
        <v>33215</v>
      </c>
      <c r="GC54" s="231">
        <f t="shared" ref="GC54" si="159">GB54+IF($G14=1,365,182.5)</f>
        <v>33397.5</v>
      </c>
      <c r="GD54" s="231">
        <f t="shared" ref="GD54" si="160">GC54+IF($G14=1,365,182.5)</f>
        <v>33580</v>
      </c>
      <c r="GE54" s="231">
        <f t="shared" ref="GE54" si="161">GD54+IF($G14=1,365,182.5)</f>
        <v>33762.5</v>
      </c>
      <c r="GF54" s="231">
        <f t="shared" ref="GF54" si="162">GE54+IF($G14=1,365,182.5)</f>
        <v>33945</v>
      </c>
      <c r="GG54" s="231">
        <f t="shared" ref="GG54" si="163">GF54+IF($G14=1,365,182.5)</f>
        <v>34127.5</v>
      </c>
      <c r="GH54" s="231">
        <f t="shared" ref="GH54" si="164">GG54+IF($G14=1,365,182.5)</f>
        <v>34310</v>
      </c>
      <c r="GI54" s="231">
        <f t="shared" ref="GI54" si="165">GH54+IF($G14=1,365,182.5)</f>
        <v>34492.5</v>
      </c>
      <c r="GJ54" s="231">
        <f t="shared" ref="GJ54" si="166">GI54+IF($G14=1,365,182.5)</f>
        <v>34675</v>
      </c>
      <c r="GK54" s="231">
        <f t="shared" ref="GK54" si="167">GJ54+IF($G14=1,365,182.5)</f>
        <v>34857.5</v>
      </c>
      <c r="GL54" s="231">
        <f t="shared" ref="GL54" si="168">GK54+IF($G14=1,365,182.5)</f>
        <v>35040</v>
      </c>
      <c r="GM54" s="231">
        <f t="shared" ref="GM54" si="169">GL54+IF($G14=1,365,182.5)</f>
        <v>35222.5</v>
      </c>
      <c r="GN54" s="231">
        <f t="shared" ref="GN54" si="170">GM54+IF($G14=1,365,182.5)</f>
        <v>35405</v>
      </c>
      <c r="GO54" s="231">
        <f t="shared" ref="GO54" si="171">GN54+IF($G14=1,365,182.5)</f>
        <v>35587.5</v>
      </c>
      <c r="GP54" s="231">
        <f t="shared" ref="GP54" si="172">GO54+IF($G14=1,365,182.5)</f>
        <v>35770</v>
      </c>
      <c r="GQ54" s="231">
        <f t="shared" ref="GQ54" si="173">GP54+IF($G14=1,365,182.5)</f>
        <v>35952.5</v>
      </c>
      <c r="GR54" s="231">
        <f t="shared" ref="GR54" si="174">GQ54+IF($G14=1,365,182.5)</f>
        <v>36135</v>
      </c>
      <c r="GS54" s="231">
        <f t="shared" ref="GS54" si="175">GR54+IF($G14=1,365,182.5)</f>
        <v>36317.5</v>
      </c>
    </row>
    <row r="55" spans="1:201">
      <c r="A55" s="174" t="s">
        <v>31</v>
      </c>
      <c r="B55" s="139">
        <f>(IF(B54=F14,100,0)+IF(G14=1,1,0.5)*J14*100)*IF(ISBLANK(F14)=TRUE,0,1)</f>
        <v>0</v>
      </c>
      <c r="C55" s="72">
        <f>IF(C54&gt;$F14+1,0,1)*(IF(D55=0,100,0)+IF($G14=1,1,0.5)*$J14*100)</f>
        <v>0</v>
      </c>
      <c r="D55" s="72">
        <f t="shared" ref="D55:BO55" si="176">IF(D54&gt;$F14+1,0,1)*(IF(E55=0,100,0)+IF($G14=1,1,0.5)*$J14*100)</f>
        <v>0</v>
      </c>
      <c r="E55" s="72">
        <f t="shared" si="176"/>
        <v>0</v>
      </c>
      <c r="F55" s="72">
        <f t="shared" si="176"/>
        <v>0</v>
      </c>
      <c r="G55" s="72">
        <f t="shared" si="176"/>
        <v>0</v>
      </c>
      <c r="H55" s="72">
        <f t="shared" si="176"/>
        <v>0</v>
      </c>
      <c r="I55" s="72">
        <f t="shared" si="176"/>
        <v>0</v>
      </c>
      <c r="J55" s="72">
        <f t="shared" si="176"/>
        <v>0</v>
      </c>
      <c r="K55" s="72">
        <f t="shared" si="176"/>
        <v>0</v>
      </c>
      <c r="L55" s="72">
        <f t="shared" si="176"/>
        <v>0</v>
      </c>
      <c r="M55" s="72">
        <f t="shared" si="176"/>
        <v>0</v>
      </c>
      <c r="N55" s="72">
        <f t="shared" si="176"/>
        <v>0</v>
      </c>
      <c r="O55" s="72">
        <f t="shared" si="176"/>
        <v>0</v>
      </c>
      <c r="P55" s="72">
        <f t="shared" si="176"/>
        <v>0</v>
      </c>
      <c r="Q55" s="72">
        <f t="shared" si="176"/>
        <v>0</v>
      </c>
      <c r="R55" s="72">
        <f t="shared" si="176"/>
        <v>0</v>
      </c>
      <c r="S55" s="72">
        <f t="shared" si="176"/>
        <v>0</v>
      </c>
      <c r="T55" s="72">
        <f t="shared" si="176"/>
        <v>0</v>
      </c>
      <c r="U55" s="72">
        <f t="shared" si="176"/>
        <v>0</v>
      </c>
      <c r="V55" s="72">
        <f t="shared" si="176"/>
        <v>0</v>
      </c>
      <c r="W55" s="72">
        <f t="shared" si="176"/>
        <v>0</v>
      </c>
      <c r="X55" s="72">
        <f t="shared" si="176"/>
        <v>0</v>
      </c>
      <c r="Y55" s="72">
        <f t="shared" si="176"/>
        <v>0</v>
      </c>
      <c r="Z55" s="72">
        <f t="shared" si="176"/>
        <v>0</v>
      </c>
      <c r="AA55" s="72">
        <f t="shared" si="176"/>
        <v>0</v>
      </c>
      <c r="AB55" s="72">
        <f t="shared" si="176"/>
        <v>0</v>
      </c>
      <c r="AC55" s="72">
        <f t="shared" si="176"/>
        <v>0</v>
      </c>
      <c r="AD55" s="72">
        <f t="shared" si="176"/>
        <v>0</v>
      </c>
      <c r="AE55" s="72">
        <f t="shared" si="176"/>
        <v>0</v>
      </c>
      <c r="AF55" s="72">
        <f t="shared" si="176"/>
        <v>0</v>
      </c>
      <c r="AG55" s="72">
        <f t="shared" si="176"/>
        <v>0</v>
      </c>
      <c r="AH55" s="72">
        <f t="shared" si="176"/>
        <v>0</v>
      </c>
      <c r="AI55" s="72">
        <f t="shared" si="176"/>
        <v>0</v>
      </c>
      <c r="AJ55" s="72">
        <f t="shared" si="176"/>
        <v>0</v>
      </c>
      <c r="AK55" s="72">
        <f t="shared" si="176"/>
        <v>0</v>
      </c>
      <c r="AL55" s="72">
        <f t="shared" si="176"/>
        <v>0</v>
      </c>
      <c r="AM55" s="72">
        <f t="shared" si="176"/>
        <v>0</v>
      </c>
      <c r="AN55" s="72">
        <f t="shared" si="176"/>
        <v>0</v>
      </c>
      <c r="AO55" s="72">
        <f t="shared" si="176"/>
        <v>0</v>
      </c>
      <c r="AP55" s="72">
        <f t="shared" si="176"/>
        <v>0</v>
      </c>
      <c r="AQ55" s="72">
        <f t="shared" si="176"/>
        <v>0</v>
      </c>
      <c r="AR55" s="72">
        <f t="shared" si="176"/>
        <v>0</v>
      </c>
      <c r="AS55" s="72">
        <f t="shared" si="176"/>
        <v>0</v>
      </c>
      <c r="AT55" s="72">
        <f t="shared" si="176"/>
        <v>0</v>
      </c>
      <c r="AU55" s="72">
        <f t="shared" si="176"/>
        <v>0</v>
      </c>
      <c r="AV55" s="72">
        <f t="shared" si="176"/>
        <v>0</v>
      </c>
      <c r="AW55" s="72">
        <f t="shared" si="176"/>
        <v>0</v>
      </c>
      <c r="AX55" s="72">
        <f t="shared" si="176"/>
        <v>0</v>
      </c>
      <c r="AY55" s="72">
        <f t="shared" si="176"/>
        <v>0</v>
      </c>
      <c r="AZ55" s="72">
        <f t="shared" si="176"/>
        <v>0</v>
      </c>
      <c r="BA55" s="72">
        <f t="shared" si="176"/>
        <v>0</v>
      </c>
      <c r="BB55" s="72">
        <f t="shared" si="176"/>
        <v>0</v>
      </c>
      <c r="BC55" s="72">
        <f t="shared" si="176"/>
        <v>0</v>
      </c>
      <c r="BD55" s="72">
        <f t="shared" si="176"/>
        <v>0</v>
      </c>
      <c r="BE55" s="72">
        <f t="shared" si="176"/>
        <v>0</v>
      </c>
      <c r="BF55" s="72">
        <f t="shared" si="176"/>
        <v>0</v>
      </c>
      <c r="BG55" s="72">
        <f t="shared" si="176"/>
        <v>0</v>
      </c>
      <c r="BH55" s="72">
        <f t="shared" si="176"/>
        <v>0</v>
      </c>
      <c r="BI55" s="72">
        <f t="shared" si="176"/>
        <v>0</v>
      </c>
      <c r="BJ55" s="72">
        <f t="shared" si="176"/>
        <v>0</v>
      </c>
      <c r="BK55" s="72">
        <f t="shared" si="176"/>
        <v>0</v>
      </c>
      <c r="BL55" s="72">
        <f t="shared" si="176"/>
        <v>0</v>
      </c>
      <c r="BM55" s="72">
        <f t="shared" si="176"/>
        <v>0</v>
      </c>
      <c r="BN55" s="72">
        <f t="shared" si="176"/>
        <v>0</v>
      </c>
      <c r="BO55" s="72">
        <f t="shared" si="176"/>
        <v>0</v>
      </c>
      <c r="BP55" s="72">
        <f t="shared" ref="BP55:CB55" si="177">IF(BP54&gt;$F14+1,0,1)*(IF(BQ55=0,100,0)+IF($G14=1,1,0.5)*$J14*100)</f>
        <v>0</v>
      </c>
      <c r="BQ55" s="72">
        <f t="shared" si="177"/>
        <v>0</v>
      </c>
      <c r="BR55" s="72">
        <f t="shared" si="177"/>
        <v>0</v>
      </c>
      <c r="BS55" s="72">
        <f t="shared" si="177"/>
        <v>0</v>
      </c>
      <c r="BT55" s="72">
        <f t="shared" si="177"/>
        <v>0</v>
      </c>
      <c r="BU55" s="72">
        <f t="shared" si="177"/>
        <v>0</v>
      </c>
      <c r="BV55" s="72">
        <f t="shared" si="177"/>
        <v>0</v>
      </c>
      <c r="BW55" s="72">
        <f t="shared" si="177"/>
        <v>0</v>
      </c>
      <c r="BX55" s="72">
        <f t="shared" si="177"/>
        <v>0</v>
      </c>
      <c r="BY55" s="72">
        <f t="shared" si="177"/>
        <v>0</v>
      </c>
      <c r="BZ55" s="72">
        <f t="shared" si="177"/>
        <v>0</v>
      </c>
      <c r="CA55" s="72">
        <f t="shared" si="177"/>
        <v>0</v>
      </c>
      <c r="CB55" s="73">
        <f t="shared" si="177"/>
        <v>0</v>
      </c>
      <c r="CC55" s="232">
        <f t="shared" ref="CC55" si="178">IF(CC54&gt;$F14+1,0,1)*(IF(CD55=0,100,0)+IF($G14=1,1,0.5)*$J14*100)</f>
        <v>0</v>
      </c>
      <c r="CD55" s="232">
        <f t="shared" ref="CD55" si="179">IF(CD54&gt;$F14+1,0,1)*(IF(CE55=0,100,0)+IF($G14=1,1,0.5)*$J14*100)</f>
        <v>0</v>
      </c>
      <c r="CE55" s="232">
        <f t="shared" ref="CE55" si="180">IF(CE54&gt;$F14+1,0,1)*(IF(CF55=0,100,0)+IF($G14=1,1,0.5)*$J14*100)</f>
        <v>0</v>
      </c>
      <c r="CF55" s="232">
        <f t="shared" ref="CF55" si="181">IF(CF54&gt;$F14+1,0,1)*(IF(CG55=0,100,0)+IF($G14=1,1,0.5)*$J14*100)</f>
        <v>0</v>
      </c>
      <c r="CG55" s="232">
        <f t="shared" ref="CG55" si="182">IF(CG54&gt;$F14+1,0,1)*(IF(CH55=0,100,0)+IF($G14=1,1,0.5)*$J14*100)</f>
        <v>0</v>
      </c>
      <c r="CH55" s="232">
        <f t="shared" ref="CH55" si="183">IF(CH54&gt;$F14+1,0,1)*(IF(CI55=0,100,0)+IF($G14=1,1,0.5)*$J14*100)</f>
        <v>0</v>
      </c>
      <c r="CI55" s="232">
        <f t="shared" ref="CI55" si="184">IF(CI54&gt;$F14+1,0,1)*(IF(CJ55=0,100,0)+IF($G14=1,1,0.5)*$J14*100)</f>
        <v>0</v>
      </c>
      <c r="CJ55" s="232">
        <f t="shared" ref="CJ55" si="185">IF(CJ54&gt;$F14+1,0,1)*(IF(CK55=0,100,0)+IF($G14=1,1,0.5)*$J14*100)</f>
        <v>0</v>
      </c>
      <c r="CK55" s="232">
        <f t="shared" ref="CK55" si="186">IF(CK54&gt;$F14+1,0,1)*(IF(CL55=0,100,0)+IF($G14=1,1,0.5)*$J14*100)</f>
        <v>0</v>
      </c>
      <c r="CL55" s="232">
        <f t="shared" ref="CL55" si="187">IF(CL54&gt;$F14+1,0,1)*(IF(CM55=0,100,0)+IF($G14=1,1,0.5)*$J14*100)</f>
        <v>0</v>
      </c>
      <c r="CM55" s="232">
        <f t="shared" ref="CM55" si="188">IF(CM54&gt;$F14+1,0,1)*(IF(CN55=0,100,0)+IF($G14=1,1,0.5)*$J14*100)</f>
        <v>0</v>
      </c>
      <c r="CN55" s="232">
        <f t="shared" ref="CN55" si="189">IF(CN54&gt;$F14+1,0,1)*(IF(CO55=0,100,0)+IF($G14=1,1,0.5)*$J14*100)</f>
        <v>0</v>
      </c>
      <c r="CO55" s="232">
        <f t="shared" ref="CO55" si="190">IF(CO54&gt;$F14+1,0,1)*(IF(CP55=0,100,0)+IF($G14=1,1,0.5)*$J14*100)</f>
        <v>0</v>
      </c>
      <c r="CP55" s="232">
        <f t="shared" ref="CP55" si="191">IF(CP54&gt;$F14+1,0,1)*(IF(CQ55=0,100,0)+IF($G14=1,1,0.5)*$J14*100)</f>
        <v>0</v>
      </c>
      <c r="CQ55" s="232">
        <f t="shared" ref="CQ55" si="192">IF(CQ54&gt;$F14+1,0,1)*(IF(CR55=0,100,0)+IF($G14=1,1,0.5)*$J14*100)</f>
        <v>0</v>
      </c>
      <c r="CR55" s="232">
        <f t="shared" ref="CR55" si="193">IF(CR54&gt;$F14+1,0,1)*(IF(CS55=0,100,0)+IF($G14=1,1,0.5)*$J14*100)</f>
        <v>0</v>
      </c>
      <c r="CS55" s="232">
        <f t="shared" ref="CS55" si="194">IF(CS54&gt;$F14+1,0,1)*(IF(CT55=0,100,0)+IF($G14=1,1,0.5)*$J14*100)</f>
        <v>0</v>
      </c>
      <c r="CT55" s="232">
        <f t="shared" ref="CT55" si="195">IF(CT54&gt;$F14+1,0,1)*(IF(CU55=0,100,0)+IF($G14=1,1,0.5)*$J14*100)</f>
        <v>0</v>
      </c>
      <c r="CU55" s="232">
        <f t="shared" ref="CU55" si="196">IF(CU54&gt;$F14+1,0,1)*(IF(CV55=0,100,0)+IF($G14=1,1,0.5)*$J14*100)</f>
        <v>0</v>
      </c>
      <c r="CV55" s="232">
        <f t="shared" ref="CV55" si="197">IF(CV54&gt;$F14+1,0,1)*(IF(CW55=0,100,0)+IF($G14=1,1,0.5)*$J14*100)</f>
        <v>0</v>
      </c>
      <c r="CW55" s="232">
        <f t="shared" ref="CW55" si="198">IF(CW54&gt;$F14+1,0,1)*(IF(CX55=0,100,0)+IF($G14=1,1,0.5)*$J14*100)</f>
        <v>0</v>
      </c>
      <c r="CX55" s="232">
        <f t="shared" ref="CX55" si="199">IF(CX54&gt;$F14+1,0,1)*(IF(CY55=0,100,0)+IF($G14=1,1,0.5)*$J14*100)</f>
        <v>0</v>
      </c>
      <c r="CY55" s="232">
        <f t="shared" ref="CY55" si="200">IF(CY54&gt;$F14+1,0,1)*(IF(CZ55=0,100,0)+IF($G14=1,1,0.5)*$J14*100)</f>
        <v>0</v>
      </c>
      <c r="CZ55" s="232">
        <f t="shared" ref="CZ55" si="201">IF(CZ54&gt;$F14+1,0,1)*(IF(DA55=0,100,0)+IF($G14=1,1,0.5)*$J14*100)</f>
        <v>0</v>
      </c>
      <c r="DA55" s="232">
        <f t="shared" ref="DA55" si="202">IF(DA54&gt;$F14+1,0,1)*(IF(DB55=0,100,0)+IF($G14=1,1,0.5)*$J14*100)</f>
        <v>0</v>
      </c>
      <c r="DB55" s="232">
        <f t="shared" ref="DB55" si="203">IF(DB54&gt;$F14+1,0,1)*(IF(DC55=0,100,0)+IF($G14=1,1,0.5)*$J14*100)</f>
        <v>0</v>
      </c>
      <c r="DC55" s="232">
        <f t="shared" ref="DC55" si="204">IF(DC54&gt;$F14+1,0,1)*(IF(DD55=0,100,0)+IF($G14=1,1,0.5)*$J14*100)</f>
        <v>0</v>
      </c>
      <c r="DD55" s="232">
        <f t="shared" ref="DD55" si="205">IF(DD54&gt;$F14+1,0,1)*(IF(DE55=0,100,0)+IF($G14=1,1,0.5)*$J14*100)</f>
        <v>0</v>
      </c>
      <c r="DE55" s="232">
        <f t="shared" ref="DE55" si="206">IF(DE54&gt;$F14+1,0,1)*(IF(DF55=0,100,0)+IF($G14=1,1,0.5)*$J14*100)</f>
        <v>0</v>
      </c>
      <c r="DF55" s="232">
        <f t="shared" ref="DF55" si="207">IF(DF54&gt;$F14+1,0,1)*(IF(DG55=0,100,0)+IF($G14=1,1,0.5)*$J14*100)</f>
        <v>0</v>
      </c>
      <c r="DG55" s="232">
        <f t="shared" ref="DG55" si="208">IF(DG54&gt;$F14+1,0,1)*(IF(DH55=0,100,0)+IF($G14=1,1,0.5)*$J14*100)</f>
        <v>0</v>
      </c>
      <c r="DH55" s="232">
        <f t="shared" ref="DH55" si="209">IF(DH54&gt;$F14+1,0,1)*(IF(DI55=0,100,0)+IF($G14=1,1,0.5)*$J14*100)</f>
        <v>0</v>
      </c>
      <c r="DI55" s="232">
        <f t="shared" ref="DI55" si="210">IF(DI54&gt;$F14+1,0,1)*(IF(DJ55=0,100,0)+IF($G14=1,1,0.5)*$J14*100)</f>
        <v>0</v>
      </c>
      <c r="DJ55" s="232">
        <f t="shared" ref="DJ55" si="211">IF(DJ54&gt;$F14+1,0,1)*(IF(DK55=0,100,0)+IF($G14=1,1,0.5)*$J14*100)</f>
        <v>0</v>
      </c>
      <c r="DK55" s="232">
        <f t="shared" ref="DK55" si="212">IF(DK54&gt;$F14+1,0,1)*(IF(DL55=0,100,0)+IF($G14=1,1,0.5)*$J14*100)</f>
        <v>0</v>
      </c>
      <c r="DL55" s="232">
        <f t="shared" ref="DL55" si="213">IF(DL54&gt;$F14+1,0,1)*(IF(DM55=0,100,0)+IF($G14=1,1,0.5)*$J14*100)</f>
        <v>0</v>
      </c>
      <c r="DM55" s="232">
        <f t="shared" ref="DM55" si="214">IF(DM54&gt;$F14+1,0,1)*(IF(DN55=0,100,0)+IF($G14=1,1,0.5)*$J14*100)</f>
        <v>0</v>
      </c>
      <c r="DN55" s="232">
        <f t="shared" ref="DN55" si="215">IF(DN54&gt;$F14+1,0,1)*(IF(DO55=0,100,0)+IF($G14=1,1,0.5)*$J14*100)</f>
        <v>0</v>
      </c>
      <c r="DO55" s="232">
        <f t="shared" ref="DO55" si="216">IF(DO54&gt;$F14+1,0,1)*(IF(DP55=0,100,0)+IF($G14=1,1,0.5)*$J14*100)</f>
        <v>0</v>
      </c>
      <c r="DP55" s="232">
        <f t="shared" ref="DP55" si="217">IF(DP54&gt;$F14+1,0,1)*(IF(DQ55=0,100,0)+IF($G14=1,1,0.5)*$J14*100)</f>
        <v>0</v>
      </c>
      <c r="DQ55" s="232">
        <f t="shared" ref="DQ55" si="218">IF(DQ54&gt;$F14+1,0,1)*(IF(DR55=0,100,0)+IF($G14=1,1,0.5)*$J14*100)</f>
        <v>0</v>
      </c>
      <c r="DR55" s="232">
        <f t="shared" ref="DR55" si="219">IF(DR54&gt;$F14+1,0,1)*(IF(DS55=0,100,0)+IF($G14=1,1,0.5)*$J14*100)</f>
        <v>0</v>
      </c>
      <c r="DS55" s="232">
        <f t="shared" ref="DS55" si="220">IF(DS54&gt;$F14+1,0,1)*(IF(DT55=0,100,0)+IF($G14=1,1,0.5)*$J14*100)</f>
        <v>0</v>
      </c>
      <c r="DT55" s="232">
        <f t="shared" ref="DT55" si="221">IF(DT54&gt;$F14+1,0,1)*(IF(DU55=0,100,0)+IF($G14=1,1,0.5)*$J14*100)</f>
        <v>0</v>
      </c>
      <c r="DU55" s="232">
        <f t="shared" ref="DU55" si="222">IF(DU54&gt;$F14+1,0,1)*(IF(DV55=0,100,0)+IF($G14=1,1,0.5)*$J14*100)</f>
        <v>0</v>
      </c>
      <c r="DV55" s="232">
        <f t="shared" ref="DV55" si="223">IF(DV54&gt;$F14+1,0,1)*(IF(DW55=0,100,0)+IF($G14=1,1,0.5)*$J14*100)</f>
        <v>0</v>
      </c>
      <c r="DW55" s="232">
        <f t="shared" ref="DW55" si="224">IF(DW54&gt;$F14+1,0,1)*(IF(DX55=0,100,0)+IF($G14=1,1,0.5)*$J14*100)</f>
        <v>0</v>
      </c>
      <c r="DX55" s="232">
        <f t="shared" ref="DX55" si="225">IF(DX54&gt;$F14+1,0,1)*(IF(DY55=0,100,0)+IF($G14=1,1,0.5)*$J14*100)</f>
        <v>0</v>
      </c>
      <c r="DY55" s="232">
        <f t="shared" ref="DY55" si="226">IF(DY54&gt;$F14+1,0,1)*(IF(DZ55=0,100,0)+IF($G14=1,1,0.5)*$J14*100)</f>
        <v>0</v>
      </c>
      <c r="DZ55" s="232">
        <f t="shared" ref="DZ55" si="227">IF(DZ54&gt;$F14+1,0,1)*(IF(EA55=0,100,0)+IF($G14=1,1,0.5)*$J14*100)</f>
        <v>0</v>
      </c>
      <c r="EA55" s="232">
        <f t="shared" ref="EA55" si="228">IF(EA54&gt;$F14+1,0,1)*(IF(EB55=0,100,0)+IF($G14=1,1,0.5)*$J14*100)</f>
        <v>0</v>
      </c>
      <c r="EB55" s="232">
        <f t="shared" ref="EB55" si="229">IF(EB54&gt;$F14+1,0,1)*(IF(EC55=0,100,0)+IF($G14=1,1,0.5)*$J14*100)</f>
        <v>0</v>
      </c>
      <c r="EC55" s="232">
        <f t="shared" ref="EC55" si="230">IF(EC54&gt;$F14+1,0,1)*(IF(ED55=0,100,0)+IF($G14=1,1,0.5)*$J14*100)</f>
        <v>0</v>
      </c>
      <c r="ED55" s="232">
        <f t="shared" ref="ED55" si="231">IF(ED54&gt;$F14+1,0,1)*(IF(EE55=0,100,0)+IF($G14=1,1,0.5)*$J14*100)</f>
        <v>0</v>
      </c>
      <c r="EE55" s="232">
        <f t="shared" ref="EE55" si="232">IF(EE54&gt;$F14+1,0,1)*(IF(EF55=0,100,0)+IF($G14=1,1,0.5)*$J14*100)</f>
        <v>0</v>
      </c>
      <c r="EF55" s="232">
        <f t="shared" ref="EF55" si="233">IF(EF54&gt;$F14+1,0,1)*(IF(EG55=0,100,0)+IF($G14=1,1,0.5)*$J14*100)</f>
        <v>0</v>
      </c>
      <c r="EG55" s="232">
        <f t="shared" ref="EG55" si="234">IF(EG54&gt;$F14+1,0,1)*(IF(EH55=0,100,0)+IF($G14=1,1,0.5)*$J14*100)</f>
        <v>0</v>
      </c>
      <c r="EH55" s="232">
        <f t="shared" ref="EH55" si="235">IF(EH54&gt;$F14+1,0,1)*(IF(EI55=0,100,0)+IF($G14=1,1,0.5)*$J14*100)</f>
        <v>0</v>
      </c>
      <c r="EI55" s="232">
        <f t="shared" ref="EI55" si="236">IF(EI54&gt;$F14+1,0,1)*(IF(EJ55=0,100,0)+IF($G14=1,1,0.5)*$J14*100)</f>
        <v>0</v>
      </c>
      <c r="EJ55" s="232">
        <f t="shared" ref="EJ55" si="237">IF(EJ54&gt;$F14+1,0,1)*(IF(EK55=0,100,0)+IF($G14=1,1,0.5)*$J14*100)</f>
        <v>0</v>
      </c>
      <c r="EK55" s="232">
        <f t="shared" ref="EK55" si="238">IF(EK54&gt;$F14+1,0,1)*(IF(EL55=0,100,0)+IF($G14=1,1,0.5)*$J14*100)</f>
        <v>0</v>
      </c>
      <c r="EL55" s="232">
        <f t="shared" ref="EL55" si="239">IF(EL54&gt;$F14+1,0,1)*(IF(EM55=0,100,0)+IF($G14=1,1,0.5)*$J14*100)</f>
        <v>0</v>
      </c>
      <c r="EM55" s="232">
        <f t="shared" ref="EM55" si="240">IF(EM54&gt;$F14+1,0,1)*(IF(EN55=0,100,0)+IF($G14=1,1,0.5)*$J14*100)</f>
        <v>0</v>
      </c>
      <c r="EN55" s="232">
        <f t="shared" ref="EN55" si="241">IF(EN54&gt;$F14+1,0,1)*(IF(EO55=0,100,0)+IF($G14=1,1,0.5)*$J14*100)</f>
        <v>0</v>
      </c>
      <c r="EO55" s="232">
        <f t="shared" ref="EO55" si="242">IF(EO54&gt;$F14+1,0,1)*(IF(EP55=0,100,0)+IF($G14=1,1,0.5)*$J14*100)</f>
        <v>0</v>
      </c>
      <c r="EP55" s="232">
        <f t="shared" ref="EP55" si="243">IF(EP54&gt;$F14+1,0,1)*(IF(EQ55=0,100,0)+IF($G14=1,1,0.5)*$J14*100)</f>
        <v>0</v>
      </c>
      <c r="EQ55" s="232">
        <f t="shared" ref="EQ55" si="244">IF(EQ54&gt;$F14+1,0,1)*(IF(ER55=0,100,0)+IF($G14=1,1,0.5)*$J14*100)</f>
        <v>0</v>
      </c>
      <c r="ER55" s="232">
        <f t="shared" ref="ER55" si="245">IF(ER54&gt;$F14+1,0,1)*(IF(ES55=0,100,0)+IF($G14=1,1,0.5)*$J14*100)</f>
        <v>0</v>
      </c>
      <c r="ES55" s="232">
        <f t="shared" ref="ES55" si="246">IF(ES54&gt;$F14+1,0,1)*(IF(ET55=0,100,0)+IF($G14=1,1,0.5)*$J14*100)</f>
        <v>0</v>
      </c>
      <c r="ET55" s="232">
        <f t="shared" ref="ET55" si="247">IF(ET54&gt;$F14+1,0,1)*(IF(EU55=0,100,0)+IF($G14=1,1,0.5)*$J14*100)</f>
        <v>0</v>
      </c>
      <c r="EU55" s="232">
        <f t="shared" ref="EU55" si="248">IF(EU54&gt;$F14+1,0,1)*(IF(EV55=0,100,0)+IF($G14=1,1,0.5)*$J14*100)</f>
        <v>0</v>
      </c>
      <c r="EV55" s="232">
        <f t="shared" ref="EV55" si="249">IF(EV54&gt;$F14+1,0,1)*(IF(EW55=0,100,0)+IF($G14=1,1,0.5)*$J14*100)</f>
        <v>0</v>
      </c>
      <c r="EW55" s="232">
        <f t="shared" ref="EW55" si="250">IF(EW54&gt;$F14+1,0,1)*(IF(EX55=0,100,0)+IF($G14=1,1,0.5)*$J14*100)</f>
        <v>0</v>
      </c>
      <c r="EX55" s="232">
        <f t="shared" ref="EX55" si="251">IF(EX54&gt;$F14+1,0,1)*(IF(EY55=0,100,0)+IF($G14=1,1,0.5)*$J14*100)</f>
        <v>0</v>
      </c>
      <c r="EY55" s="232">
        <f t="shared" ref="EY55" si="252">IF(EY54&gt;$F14+1,0,1)*(IF(EZ55=0,100,0)+IF($G14=1,1,0.5)*$J14*100)</f>
        <v>0</v>
      </c>
      <c r="EZ55" s="232">
        <f t="shared" ref="EZ55" si="253">IF(EZ54&gt;$F14+1,0,1)*(IF(FA55=0,100,0)+IF($G14=1,1,0.5)*$J14*100)</f>
        <v>0</v>
      </c>
      <c r="FA55" s="232">
        <f t="shared" ref="FA55" si="254">IF(FA54&gt;$F14+1,0,1)*(IF(FB55=0,100,0)+IF($G14=1,1,0.5)*$J14*100)</f>
        <v>0</v>
      </c>
      <c r="FB55" s="232">
        <f t="shared" ref="FB55" si="255">IF(FB54&gt;$F14+1,0,1)*(IF(FC55=0,100,0)+IF($G14=1,1,0.5)*$J14*100)</f>
        <v>0</v>
      </c>
      <c r="FC55" s="232">
        <f t="shared" ref="FC55" si="256">IF(FC54&gt;$F14+1,0,1)*(IF(FD55=0,100,0)+IF($G14=1,1,0.5)*$J14*100)</f>
        <v>0</v>
      </c>
      <c r="FD55" s="232">
        <f t="shared" ref="FD55" si="257">IF(FD54&gt;$F14+1,0,1)*(IF(FE55=0,100,0)+IF($G14=1,1,0.5)*$J14*100)</f>
        <v>0</v>
      </c>
      <c r="FE55" s="232">
        <f t="shared" ref="FE55" si="258">IF(FE54&gt;$F14+1,0,1)*(IF(FF55=0,100,0)+IF($G14=1,1,0.5)*$J14*100)</f>
        <v>0</v>
      </c>
      <c r="FF55" s="232">
        <f t="shared" ref="FF55" si="259">IF(FF54&gt;$F14+1,0,1)*(IF(FG55=0,100,0)+IF($G14=1,1,0.5)*$J14*100)</f>
        <v>0</v>
      </c>
      <c r="FG55" s="232">
        <f t="shared" ref="FG55" si="260">IF(FG54&gt;$F14+1,0,1)*(IF(FH55=0,100,0)+IF($G14=1,1,0.5)*$J14*100)</f>
        <v>0</v>
      </c>
      <c r="FH55" s="232">
        <f t="shared" ref="FH55" si="261">IF(FH54&gt;$F14+1,0,1)*(IF(FI55=0,100,0)+IF($G14=1,1,0.5)*$J14*100)</f>
        <v>0</v>
      </c>
      <c r="FI55" s="232">
        <f t="shared" ref="FI55" si="262">IF(FI54&gt;$F14+1,0,1)*(IF(FJ55=0,100,0)+IF($G14=1,1,0.5)*$J14*100)</f>
        <v>0</v>
      </c>
      <c r="FJ55" s="232">
        <f t="shared" ref="FJ55" si="263">IF(FJ54&gt;$F14+1,0,1)*(IF(FK55=0,100,0)+IF($G14=1,1,0.5)*$J14*100)</f>
        <v>0</v>
      </c>
      <c r="FK55" s="232">
        <f t="shared" ref="FK55" si="264">IF(FK54&gt;$F14+1,0,1)*(IF(FL55=0,100,0)+IF($G14=1,1,0.5)*$J14*100)</f>
        <v>0</v>
      </c>
      <c r="FL55" s="232">
        <f t="shared" ref="FL55" si="265">IF(FL54&gt;$F14+1,0,1)*(IF(FM55=0,100,0)+IF($G14=1,1,0.5)*$J14*100)</f>
        <v>0</v>
      </c>
      <c r="FM55" s="232">
        <f t="shared" ref="FM55" si="266">IF(FM54&gt;$F14+1,0,1)*(IF(FN55=0,100,0)+IF($G14=1,1,0.5)*$J14*100)</f>
        <v>0</v>
      </c>
      <c r="FN55" s="232">
        <f t="shared" ref="FN55" si="267">IF(FN54&gt;$F14+1,0,1)*(IF(FO55=0,100,0)+IF($G14=1,1,0.5)*$J14*100)</f>
        <v>0</v>
      </c>
      <c r="FO55" s="232">
        <f t="shared" ref="FO55" si="268">IF(FO54&gt;$F14+1,0,1)*(IF(FP55=0,100,0)+IF($G14=1,1,0.5)*$J14*100)</f>
        <v>0</v>
      </c>
      <c r="FP55" s="232">
        <f t="shared" ref="FP55" si="269">IF(FP54&gt;$F14+1,0,1)*(IF(FQ55=0,100,0)+IF($G14=1,1,0.5)*$J14*100)</f>
        <v>0</v>
      </c>
      <c r="FQ55" s="232">
        <f t="shared" ref="FQ55" si="270">IF(FQ54&gt;$F14+1,0,1)*(IF(FR55=0,100,0)+IF($G14=1,1,0.5)*$J14*100)</f>
        <v>0</v>
      </c>
      <c r="FR55" s="232">
        <f t="shared" ref="FR55" si="271">IF(FR54&gt;$F14+1,0,1)*(IF(FS55=0,100,0)+IF($G14=1,1,0.5)*$J14*100)</f>
        <v>0</v>
      </c>
      <c r="FS55" s="232">
        <f t="shared" ref="FS55" si="272">IF(FS54&gt;$F14+1,0,1)*(IF(FT55=0,100,0)+IF($G14=1,1,0.5)*$J14*100)</f>
        <v>0</v>
      </c>
      <c r="FT55" s="232">
        <f t="shared" ref="FT55" si="273">IF(FT54&gt;$F14+1,0,1)*(IF(FU55=0,100,0)+IF($G14=1,1,0.5)*$J14*100)</f>
        <v>0</v>
      </c>
      <c r="FU55" s="232">
        <f t="shared" ref="FU55" si="274">IF(FU54&gt;$F14+1,0,1)*(IF(FV55=0,100,0)+IF($G14=1,1,0.5)*$J14*100)</f>
        <v>0</v>
      </c>
      <c r="FV55" s="232">
        <f t="shared" ref="FV55" si="275">IF(FV54&gt;$F14+1,0,1)*(IF(FW55=0,100,0)+IF($G14=1,1,0.5)*$J14*100)</f>
        <v>0</v>
      </c>
      <c r="FW55" s="232">
        <f t="shared" ref="FW55" si="276">IF(FW54&gt;$F14+1,0,1)*(IF(FX55=0,100,0)+IF($G14=1,1,0.5)*$J14*100)</f>
        <v>0</v>
      </c>
      <c r="FX55" s="232">
        <f t="shared" ref="FX55" si="277">IF(FX54&gt;$F14+1,0,1)*(IF(FY55=0,100,0)+IF($G14=1,1,0.5)*$J14*100)</f>
        <v>0</v>
      </c>
      <c r="FY55" s="232">
        <f t="shared" ref="FY55" si="278">IF(FY54&gt;$F14+1,0,1)*(IF(FZ55=0,100,0)+IF($G14=1,1,0.5)*$J14*100)</f>
        <v>0</v>
      </c>
      <c r="FZ55" s="232">
        <f t="shared" ref="FZ55" si="279">IF(FZ54&gt;$F14+1,0,1)*(IF(GA55=0,100,0)+IF($G14=1,1,0.5)*$J14*100)</f>
        <v>0</v>
      </c>
      <c r="GA55" s="232">
        <f t="shared" ref="GA55" si="280">IF(GA54&gt;$F14+1,0,1)*(IF(GB55=0,100,0)+IF($G14=1,1,0.5)*$J14*100)</f>
        <v>0</v>
      </c>
      <c r="GB55" s="232">
        <f t="shared" ref="GB55" si="281">IF(GB54&gt;$F14+1,0,1)*(IF(GC55=0,100,0)+IF($G14=1,1,0.5)*$J14*100)</f>
        <v>0</v>
      </c>
      <c r="GC55" s="232">
        <f t="shared" ref="GC55" si="282">IF(GC54&gt;$F14+1,0,1)*(IF(GD55=0,100,0)+IF($G14=1,1,0.5)*$J14*100)</f>
        <v>0</v>
      </c>
      <c r="GD55" s="232">
        <f t="shared" ref="GD55" si="283">IF(GD54&gt;$F14+1,0,1)*(IF(GE55=0,100,0)+IF($G14=1,1,0.5)*$J14*100)</f>
        <v>0</v>
      </c>
      <c r="GE55" s="232">
        <f t="shared" ref="GE55" si="284">IF(GE54&gt;$F14+1,0,1)*(IF(GF55=0,100,0)+IF($G14=1,1,0.5)*$J14*100)</f>
        <v>0</v>
      </c>
      <c r="GF55" s="232">
        <f t="shared" ref="GF55" si="285">IF(GF54&gt;$F14+1,0,1)*(IF(GG55=0,100,0)+IF($G14=1,1,0.5)*$J14*100)</f>
        <v>0</v>
      </c>
      <c r="GG55" s="232">
        <f t="shared" ref="GG55" si="286">IF(GG54&gt;$F14+1,0,1)*(IF(GH55=0,100,0)+IF($G14=1,1,0.5)*$J14*100)</f>
        <v>0</v>
      </c>
      <c r="GH55" s="232">
        <f t="shared" ref="GH55" si="287">IF(GH54&gt;$F14+1,0,1)*(IF(GI55=0,100,0)+IF($G14=1,1,0.5)*$J14*100)</f>
        <v>0</v>
      </c>
      <c r="GI55" s="232">
        <f t="shared" ref="GI55" si="288">IF(GI54&gt;$F14+1,0,1)*(IF(GJ55=0,100,0)+IF($G14=1,1,0.5)*$J14*100)</f>
        <v>0</v>
      </c>
      <c r="GJ55" s="232">
        <f t="shared" ref="GJ55" si="289">IF(GJ54&gt;$F14+1,0,1)*(IF(GK55=0,100,0)+IF($G14=1,1,0.5)*$J14*100)</f>
        <v>0</v>
      </c>
      <c r="GK55" s="232">
        <f t="shared" ref="GK55" si="290">IF(GK54&gt;$F14+1,0,1)*(IF(GL55=0,100,0)+IF($G14=1,1,0.5)*$J14*100)</f>
        <v>0</v>
      </c>
      <c r="GL55" s="232">
        <f t="shared" ref="GL55" si="291">IF(GL54&gt;$F14+1,0,1)*(IF(GM55=0,100,0)+IF($G14=1,1,0.5)*$J14*100)</f>
        <v>0</v>
      </c>
      <c r="GM55" s="232">
        <f t="shared" ref="GM55" si="292">IF(GM54&gt;$F14+1,0,1)*(IF(GN55=0,100,0)+IF($G14=1,1,0.5)*$J14*100)</f>
        <v>0</v>
      </c>
      <c r="GN55" s="232">
        <f t="shared" ref="GN55" si="293">IF(GN54&gt;$F14+1,0,1)*(IF(GO55=0,100,0)+IF($G14=1,1,0.5)*$J14*100)</f>
        <v>0</v>
      </c>
      <c r="GO55" s="232">
        <f t="shared" ref="GO55" si="294">IF(GO54&gt;$F14+1,0,1)*(IF(GP55=0,100,0)+IF($G14=1,1,0.5)*$J14*100)</f>
        <v>0</v>
      </c>
      <c r="GP55" s="232">
        <f t="shared" ref="GP55" si="295">IF(GP54&gt;$F14+1,0,1)*(IF(GQ55=0,100,0)+IF($G14=1,1,0.5)*$J14*100)</f>
        <v>0</v>
      </c>
      <c r="GQ55" s="232">
        <f t="shared" ref="GQ55" si="296">IF(GQ54&gt;$F14+1,0,1)*(IF(GR55=0,100,0)+IF($G14=1,1,0.5)*$J14*100)</f>
        <v>0</v>
      </c>
      <c r="GR55" s="232">
        <f t="shared" ref="GR55" si="297">IF(GR54&gt;$F14+1,0,1)*(IF(GS55=0,100,0)+IF($G14=1,1,0.5)*$J14*100)</f>
        <v>0</v>
      </c>
      <c r="GS55" s="232">
        <f t="shared" ref="GS55" si="298">IF(GS54&gt;$F14+1,0,1)*(IF(GT55=0,100,0)+IF($G14=1,1,0.5)*$J14*100)</f>
        <v>0</v>
      </c>
    </row>
    <row r="56" spans="1:201">
      <c r="A56" s="253" t="s">
        <v>49</v>
      </c>
      <c r="B56" s="74">
        <f>IF(E15=0,F15,E15)</f>
        <v>0</v>
      </c>
      <c r="C56" s="75">
        <f t="shared" ref="C56:BN56" si="299">B56+IF($G15=1,365,182.5)</f>
        <v>182.5</v>
      </c>
      <c r="D56" s="75">
        <f t="shared" si="299"/>
        <v>365</v>
      </c>
      <c r="E56" s="75">
        <f t="shared" si="299"/>
        <v>547.5</v>
      </c>
      <c r="F56" s="75">
        <f t="shared" si="299"/>
        <v>730</v>
      </c>
      <c r="G56" s="75">
        <f t="shared" si="299"/>
        <v>912.5</v>
      </c>
      <c r="H56" s="75">
        <f t="shared" si="299"/>
        <v>1095</v>
      </c>
      <c r="I56" s="75">
        <f t="shared" si="299"/>
        <v>1277.5</v>
      </c>
      <c r="J56" s="75">
        <f t="shared" si="299"/>
        <v>1460</v>
      </c>
      <c r="K56" s="75">
        <f t="shared" si="299"/>
        <v>1642.5</v>
      </c>
      <c r="L56" s="75">
        <f t="shared" si="299"/>
        <v>1825</v>
      </c>
      <c r="M56" s="75">
        <f t="shared" si="299"/>
        <v>2007.5</v>
      </c>
      <c r="N56" s="75">
        <f t="shared" si="299"/>
        <v>2190</v>
      </c>
      <c r="O56" s="75">
        <f t="shared" si="299"/>
        <v>2372.5</v>
      </c>
      <c r="P56" s="75">
        <f t="shared" si="299"/>
        <v>2555</v>
      </c>
      <c r="Q56" s="75">
        <f t="shared" si="299"/>
        <v>2737.5</v>
      </c>
      <c r="R56" s="75">
        <f t="shared" si="299"/>
        <v>2920</v>
      </c>
      <c r="S56" s="75">
        <f t="shared" si="299"/>
        <v>3102.5</v>
      </c>
      <c r="T56" s="75">
        <f t="shared" si="299"/>
        <v>3285</v>
      </c>
      <c r="U56" s="75">
        <f t="shared" si="299"/>
        <v>3467.5</v>
      </c>
      <c r="V56" s="75">
        <f t="shared" si="299"/>
        <v>3650</v>
      </c>
      <c r="W56" s="75">
        <f t="shared" si="299"/>
        <v>3832.5</v>
      </c>
      <c r="X56" s="75">
        <f t="shared" si="299"/>
        <v>4015</v>
      </c>
      <c r="Y56" s="75">
        <f t="shared" si="299"/>
        <v>4197.5</v>
      </c>
      <c r="Z56" s="75">
        <f t="shared" si="299"/>
        <v>4380</v>
      </c>
      <c r="AA56" s="75">
        <f t="shared" si="299"/>
        <v>4562.5</v>
      </c>
      <c r="AB56" s="75">
        <f t="shared" si="299"/>
        <v>4745</v>
      </c>
      <c r="AC56" s="75">
        <f t="shared" si="299"/>
        <v>4927.5</v>
      </c>
      <c r="AD56" s="75">
        <f t="shared" si="299"/>
        <v>5110</v>
      </c>
      <c r="AE56" s="75">
        <f t="shared" si="299"/>
        <v>5292.5</v>
      </c>
      <c r="AF56" s="75">
        <f t="shared" si="299"/>
        <v>5475</v>
      </c>
      <c r="AG56" s="75">
        <f t="shared" si="299"/>
        <v>5657.5</v>
      </c>
      <c r="AH56" s="75">
        <f t="shared" si="299"/>
        <v>5840</v>
      </c>
      <c r="AI56" s="75">
        <f t="shared" si="299"/>
        <v>6022.5</v>
      </c>
      <c r="AJ56" s="75">
        <f t="shared" si="299"/>
        <v>6205</v>
      </c>
      <c r="AK56" s="75">
        <f t="shared" si="299"/>
        <v>6387.5</v>
      </c>
      <c r="AL56" s="75">
        <f t="shared" si="299"/>
        <v>6570</v>
      </c>
      <c r="AM56" s="75">
        <f t="shared" si="299"/>
        <v>6752.5</v>
      </c>
      <c r="AN56" s="75">
        <f t="shared" si="299"/>
        <v>6935</v>
      </c>
      <c r="AO56" s="75">
        <f t="shared" si="299"/>
        <v>7117.5</v>
      </c>
      <c r="AP56" s="75">
        <f t="shared" si="299"/>
        <v>7300</v>
      </c>
      <c r="AQ56" s="75">
        <f t="shared" si="299"/>
        <v>7482.5</v>
      </c>
      <c r="AR56" s="75">
        <f t="shared" si="299"/>
        <v>7665</v>
      </c>
      <c r="AS56" s="75">
        <f t="shared" si="299"/>
        <v>7847.5</v>
      </c>
      <c r="AT56" s="75">
        <f t="shared" si="299"/>
        <v>8030</v>
      </c>
      <c r="AU56" s="75">
        <f t="shared" si="299"/>
        <v>8212.5</v>
      </c>
      <c r="AV56" s="75">
        <f t="shared" si="299"/>
        <v>8395</v>
      </c>
      <c r="AW56" s="75">
        <f t="shared" si="299"/>
        <v>8577.5</v>
      </c>
      <c r="AX56" s="75">
        <f t="shared" si="299"/>
        <v>8760</v>
      </c>
      <c r="AY56" s="75">
        <f t="shared" si="299"/>
        <v>8942.5</v>
      </c>
      <c r="AZ56" s="75">
        <f t="shared" si="299"/>
        <v>9125</v>
      </c>
      <c r="BA56" s="75">
        <f t="shared" si="299"/>
        <v>9307.5</v>
      </c>
      <c r="BB56" s="75">
        <f t="shared" si="299"/>
        <v>9490</v>
      </c>
      <c r="BC56" s="75">
        <f t="shared" si="299"/>
        <v>9672.5</v>
      </c>
      <c r="BD56" s="75">
        <f t="shared" si="299"/>
        <v>9855</v>
      </c>
      <c r="BE56" s="75">
        <f t="shared" si="299"/>
        <v>10037.5</v>
      </c>
      <c r="BF56" s="75">
        <f t="shared" si="299"/>
        <v>10220</v>
      </c>
      <c r="BG56" s="75">
        <f t="shared" si="299"/>
        <v>10402.5</v>
      </c>
      <c r="BH56" s="75">
        <f t="shared" si="299"/>
        <v>10585</v>
      </c>
      <c r="BI56" s="75">
        <f t="shared" si="299"/>
        <v>10767.5</v>
      </c>
      <c r="BJ56" s="75">
        <f t="shared" si="299"/>
        <v>10950</v>
      </c>
      <c r="BK56" s="75">
        <f t="shared" si="299"/>
        <v>11132.5</v>
      </c>
      <c r="BL56" s="75">
        <f t="shared" si="299"/>
        <v>11315</v>
      </c>
      <c r="BM56" s="75">
        <f t="shared" si="299"/>
        <v>11497.5</v>
      </c>
      <c r="BN56" s="75">
        <f t="shared" si="299"/>
        <v>11680</v>
      </c>
      <c r="BO56" s="75">
        <f t="shared" ref="BO56:CB56" si="300">BN56+IF($G15=1,365,182.5)</f>
        <v>11862.5</v>
      </c>
      <c r="BP56" s="75">
        <f t="shared" si="300"/>
        <v>12045</v>
      </c>
      <c r="BQ56" s="75">
        <f t="shared" si="300"/>
        <v>12227.5</v>
      </c>
      <c r="BR56" s="75">
        <f t="shared" si="300"/>
        <v>12410</v>
      </c>
      <c r="BS56" s="75">
        <f t="shared" si="300"/>
        <v>12592.5</v>
      </c>
      <c r="BT56" s="75">
        <f t="shared" si="300"/>
        <v>12775</v>
      </c>
      <c r="BU56" s="75">
        <f t="shared" si="300"/>
        <v>12957.5</v>
      </c>
      <c r="BV56" s="75">
        <f t="shared" si="300"/>
        <v>13140</v>
      </c>
      <c r="BW56" s="75">
        <f t="shared" si="300"/>
        <v>13322.5</v>
      </c>
      <c r="BX56" s="75">
        <f t="shared" si="300"/>
        <v>13505</v>
      </c>
      <c r="BY56" s="75">
        <f t="shared" si="300"/>
        <v>13687.5</v>
      </c>
      <c r="BZ56" s="75">
        <f t="shared" si="300"/>
        <v>13870</v>
      </c>
      <c r="CA56" s="75">
        <f t="shared" si="300"/>
        <v>14052.5</v>
      </c>
      <c r="CB56" s="76">
        <f t="shared" si="300"/>
        <v>14235</v>
      </c>
    </row>
    <row r="57" spans="1:201">
      <c r="A57" s="175" t="s">
        <v>32</v>
      </c>
      <c r="B57" s="110">
        <f>(IF(B56=F15,100,0)+IF(G15=1,1,0.5)*J15*100)*IF(ISBLANK(F15)=TRUE,0,1)</f>
        <v>0</v>
      </c>
      <c r="C57" s="77">
        <f>IF(C56&gt;$F15+1,0,1)*(IF(D57=0,100,0)+IF($G15=1,1,0.5)*$J15*100)</f>
        <v>0</v>
      </c>
      <c r="D57" s="77">
        <f t="shared" ref="D57:BO57" si="301">IF(D56&gt;$F15+1,0,1)*(IF(E57=0,100,0)+IF($G15=1,1,0.5)*$J15*100)</f>
        <v>0</v>
      </c>
      <c r="E57" s="77">
        <f t="shared" si="301"/>
        <v>0</v>
      </c>
      <c r="F57" s="77">
        <f t="shared" si="301"/>
        <v>0</v>
      </c>
      <c r="G57" s="77">
        <f t="shared" si="301"/>
        <v>0</v>
      </c>
      <c r="H57" s="77">
        <f t="shared" si="301"/>
        <v>0</v>
      </c>
      <c r="I57" s="77">
        <f t="shared" si="301"/>
        <v>0</v>
      </c>
      <c r="J57" s="77">
        <f t="shared" si="301"/>
        <v>0</v>
      </c>
      <c r="K57" s="77">
        <f t="shared" si="301"/>
        <v>0</v>
      </c>
      <c r="L57" s="77">
        <f t="shared" si="301"/>
        <v>0</v>
      </c>
      <c r="M57" s="77">
        <f t="shared" si="301"/>
        <v>0</v>
      </c>
      <c r="N57" s="77">
        <f t="shared" si="301"/>
        <v>0</v>
      </c>
      <c r="O57" s="77">
        <f t="shared" si="301"/>
        <v>0</v>
      </c>
      <c r="P57" s="77">
        <f t="shared" si="301"/>
        <v>0</v>
      </c>
      <c r="Q57" s="77">
        <f t="shared" si="301"/>
        <v>0</v>
      </c>
      <c r="R57" s="77">
        <f t="shared" si="301"/>
        <v>0</v>
      </c>
      <c r="S57" s="77">
        <f t="shared" si="301"/>
        <v>0</v>
      </c>
      <c r="T57" s="77">
        <f t="shared" si="301"/>
        <v>0</v>
      </c>
      <c r="U57" s="77">
        <f t="shared" si="301"/>
        <v>0</v>
      </c>
      <c r="V57" s="77">
        <f t="shared" si="301"/>
        <v>0</v>
      </c>
      <c r="W57" s="77">
        <f t="shared" si="301"/>
        <v>0</v>
      </c>
      <c r="X57" s="77">
        <f t="shared" si="301"/>
        <v>0</v>
      </c>
      <c r="Y57" s="77">
        <f t="shared" si="301"/>
        <v>0</v>
      </c>
      <c r="Z57" s="77">
        <f t="shared" si="301"/>
        <v>0</v>
      </c>
      <c r="AA57" s="77">
        <f t="shared" si="301"/>
        <v>0</v>
      </c>
      <c r="AB57" s="77">
        <f t="shared" si="301"/>
        <v>0</v>
      </c>
      <c r="AC57" s="77">
        <f t="shared" si="301"/>
        <v>0</v>
      </c>
      <c r="AD57" s="77">
        <f t="shared" si="301"/>
        <v>0</v>
      </c>
      <c r="AE57" s="77">
        <f t="shared" si="301"/>
        <v>0</v>
      </c>
      <c r="AF57" s="77">
        <f t="shared" si="301"/>
        <v>0</v>
      </c>
      <c r="AG57" s="77">
        <f t="shared" si="301"/>
        <v>0</v>
      </c>
      <c r="AH57" s="77">
        <f t="shared" si="301"/>
        <v>0</v>
      </c>
      <c r="AI57" s="77">
        <f t="shared" si="301"/>
        <v>0</v>
      </c>
      <c r="AJ57" s="77">
        <f t="shared" si="301"/>
        <v>0</v>
      </c>
      <c r="AK57" s="77">
        <f t="shared" si="301"/>
        <v>0</v>
      </c>
      <c r="AL57" s="77">
        <f t="shared" si="301"/>
        <v>0</v>
      </c>
      <c r="AM57" s="77">
        <f t="shared" si="301"/>
        <v>0</v>
      </c>
      <c r="AN57" s="77">
        <f t="shared" si="301"/>
        <v>0</v>
      </c>
      <c r="AO57" s="77">
        <f t="shared" si="301"/>
        <v>0</v>
      </c>
      <c r="AP57" s="77">
        <f t="shared" si="301"/>
        <v>0</v>
      </c>
      <c r="AQ57" s="77">
        <f t="shared" si="301"/>
        <v>0</v>
      </c>
      <c r="AR57" s="77">
        <f t="shared" si="301"/>
        <v>0</v>
      </c>
      <c r="AS57" s="77">
        <f t="shared" si="301"/>
        <v>0</v>
      </c>
      <c r="AT57" s="77">
        <f t="shared" si="301"/>
        <v>0</v>
      </c>
      <c r="AU57" s="77">
        <f t="shared" si="301"/>
        <v>0</v>
      </c>
      <c r="AV57" s="77">
        <f t="shared" si="301"/>
        <v>0</v>
      </c>
      <c r="AW57" s="77">
        <f t="shared" si="301"/>
        <v>0</v>
      </c>
      <c r="AX57" s="77">
        <f t="shared" si="301"/>
        <v>0</v>
      </c>
      <c r="AY57" s="77">
        <f t="shared" si="301"/>
        <v>0</v>
      </c>
      <c r="AZ57" s="77">
        <f t="shared" si="301"/>
        <v>0</v>
      </c>
      <c r="BA57" s="77">
        <f t="shared" si="301"/>
        <v>0</v>
      </c>
      <c r="BB57" s="77">
        <f t="shared" si="301"/>
        <v>0</v>
      </c>
      <c r="BC57" s="77">
        <f t="shared" si="301"/>
        <v>0</v>
      </c>
      <c r="BD57" s="77">
        <f t="shared" si="301"/>
        <v>0</v>
      </c>
      <c r="BE57" s="77">
        <f t="shared" si="301"/>
        <v>0</v>
      </c>
      <c r="BF57" s="77">
        <f t="shared" si="301"/>
        <v>0</v>
      </c>
      <c r="BG57" s="77">
        <f t="shared" si="301"/>
        <v>0</v>
      </c>
      <c r="BH57" s="77">
        <f t="shared" si="301"/>
        <v>0</v>
      </c>
      <c r="BI57" s="77">
        <f t="shared" si="301"/>
        <v>0</v>
      </c>
      <c r="BJ57" s="77">
        <f t="shared" si="301"/>
        <v>0</v>
      </c>
      <c r="BK57" s="77">
        <f t="shared" si="301"/>
        <v>0</v>
      </c>
      <c r="BL57" s="77">
        <f t="shared" si="301"/>
        <v>0</v>
      </c>
      <c r="BM57" s="77">
        <f t="shared" si="301"/>
        <v>0</v>
      </c>
      <c r="BN57" s="77">
        <f t="shared" si="301"/>
        <v>0</v>
      </c>
      <c r="BO57" s="77">
        <f t="shared" si="301"/>
        <v>0</v>
      </c>
      <c r="BP57" s="77">
        <f t="shared" ref="BP57:CB57" si="302">IF(BP56&gt;$F15+1,0,1)*(IF(BQ57=0,100,0)+IF($G15=1,1,0.5)*$J15*100)</f>
        <v>0</v>
      </c>
      <c r="BQ57" s="77">
        <f t="shared" si="302"/>
        <v>0</v>
      </c>
      <c r="BR57" s="77">
        <f t="shared" si="302"/>
        <v>0</v>
      </c>
      <c r="BS57" s="77">
        <f t="shared" si="302"/>
        <v>0</v>
      </c>
      <c r="BT57" s="77">
        <f t="shared" si="302"/>
        <v>0</v>
      </c>
      <c r="BU57" s="77">
        <f t="shared" si="302"/>
        <v>0</v>
      </c>
      <c r="BV57" s="77">
        <f t="shared" si="302"/>
        <v>0</v>
      </c>
      <c r="BW57" s="77">
        <f t="shared" si="302"/>
        <v>0</v>
      </c>
      <c r="BX57" s="77">
        <f t="shared" si="302"/>
        <v>0</v>
      </c>
      <c r="BY57" s="77">
        <f t="shared" si="302"/>
        <v>0</v>
      </c>
      <c r="BZ57" s="77">
        <f t="shared" si="302"/>
        <v>0</v>
      </c>
      <c r="CA57" s="77">
        <f t="shared" si="302"/>
        <v>0</v>
      </c>
      <c r="CB57" s="78">
        <f t="shared" si="302"/>
        <v>0</v>
      </c>
    </row>
    <row r="58" spans="1:201">
      <c r="A58" s="252" t="s">
        <v>49</v>
      </c>
      <c r="B58" s="47">
        <f>IF(E16=0,F16,E16)</f>
        <v>0</v>
      </c>
      <c r="C58" s="48">
        <f t="shared" ref="C58:BN58" si="303">B58+IF($G16=1,365,182.5)</f>
        <v>182.5</v>
      </c>
      <c r="D58" s="48">
        <f t="shared" si="303"/>
        <v>365</v>
      </c>
      <c r="E58" s="48">
        <f t="shared" si="303"/>
        <v>547.5</v>
      </c>
      <c r="F58" s="48">
        <f t="shared" si="303"/>
        <v>730</v>
      </c>
      <c r="G58" s="48">
        <f t="shared" si="303"/>
        <v>912.5</v>
      </c>
      <c r="H58" s="48">
        <f t="shared" si="303"/>
        <v>1095</v>
      </c>
      <c r="I58" s="48">
        <f t="shared" si="303"/>
        <v>1277.5</v>
      </c>
      <c r="J58" s="48">
        <f t="shared" si="303"/>
        <v>1460</v>
      </c>
      <c r="K58" s="48">
        <f t="shared" si="303"/>
        <v>1642.5</v>
      </c>
      <c r="L58" s="48">
        <f t="shared" si="303"/>
        <v>1825</v>
      </c>
      <c r="M58" s="48">
        <f t="shared" si="303"/>
        <v>2007.5</v>
      </c>
      <c r="N58" s="48">
        <f t="shared" si="303"/>
        <v>2190</v>
      </c>
      <c r="O58" s="48">
        <f t="shared" si="303"/>
        <v>2372.5</v>
      </c>
      <c r="P58" s="48">
        <f t="shared" si="303"/>
        <v>2555</v>
      </c>
      <c r="Q58" s="48">
        <f t="shared" si="303"/>
        <v>2737.5</v>
      </c>
      <c r="R58" s="48">
        <f t="shared" si="303"/>
        <v>2920</v>
      </c>
      <c r="S58" s="48">
        <f t="shared" si="303"/>
        <v>3102.5</v>
      </c>
      <c r="T58" s="48">
        <f t="shared" si="303"/>
        <v>3285</v>
      </c>
      <c r="U58" s="48">
        <f t="shared" si="303"/>
        <v>3467.5</v>
      </c>
      <c r="V58" s="48">
        <f t="shared" si="303"/>
        <v>3650</v>
      </c>
      <c r="W58" s="48">
        <f t="shared" si="303"/>
        <v>3832.5</v>
      </c>
      <c r="X58" s="48">
        <f t="shared" si="303"/>
        <v>4015</v>
      </c>
      <c r="Y58" s="48">
        <f t="shared" si="303"/>
        <v>4197.5</v>
      </c>
      <c r="Z58" s="48">
        <f t="shared" si="303"/>
        <v>4380</v>
      </c>
      <c r="AA58" s="48">
        <f t="shared" si="303"/>
        <v>4562.5</v>
      </c>
      <c r="AB58" s="48">
        <f t="shared" si="303"/>
        <v>4745</v>
      </c>
      <c r="AC58" s="48">
        <f t="shared" si="303"/>
        <v>4927.5</v>
      </c>
      <c r="AD58" s="48">
        <f t="shared" si="303"/>
        <v>5110</v>
      </c>
      <c r="AE58" s="48">
        <f t="shared" si="303"/>
        <v>5292.5</v>
      </c>
      <c r="AF58" s="48">
        <f t="shared" si="303"/>
        <v>5475</v>
      </c>
      <c r="AG58" s="48">
        <f t="shared" si="303"/>
        <v>5657.5</v>
      </c>
      <c r="AH58" s="48">
        <f t="shared" si="303"/>
        <v>5840</v>
      </c>
      <c r="AI58" s="48">
        <f t="shared" si="303"/>
        <v>6022.5</v>
      </c>
      <c r="AJ58" s="48">
        <f t="shared" si="303"/>
        <v>6205</v>
      </c>
      <c r="AK58" s="48">
        <f t="shared" si="303"/>
        <v>6387.5</v>
      </c>
      <c r="AL58" s="48">
        <f t="shared" si="303"/>
        <v>6570</v>
      </c>
      <c r="AM58" s="48">
        <f t="shared" si="303"/>
        <v>6752.5</v>
      </c>
      <c r="AN58" s="48">
        <f t="shared" si="303"/>
        <v>6935</v>
      </c>
      <c r="AO58" s="48">
        <f t="shared" si="303"/>
        <v>7117.5</v>
      </c>
      <c r="AP58" s="48">
        <f t="shared" si="303"/>
        <v>7300</v>
      </c>
      <c r="AQ58" s="48">
        <f t="shared" si="303"/>
        <v>7482.5</v>
      </c>
      <c r="AR58" s="48">
        <f t="shared" si="303"/>
        <v>7665</v>
      </c>
      <c r="AS58" s="48">
        <f t="shared" si="303"/>
        <v>7847.5</v>
      </c>
      <c r="AT58" s="48">
        <f t="shared" si="303"/>
        <v>8030</v>
      </c>
      <c r="AU58" s="48">
        <f t="shared" si="303"/>
        <v>8212.5</v>
      </c>
      <c r="AV58" s="48">
        <f t="shared" si="303"/>
        <v>8395</v>
      </c>
      <c r="AW58" s="48">
        <f t="shared" si="303"/>
        <v>8577.5</v>
      </c>
      <c r="AX58" s="48">
        <f t="shared" si="303"/>
        <v>8760</v>
      </c>
      <c r="AY58" s="48">
        <f t="shared" si="303"/>
        <v>8942.5</v>
      </c>
      <c r="AZ58" s="48">
        <f t="shared" si="303"/>
        <v>9125</v>
      </c>
      <c r="BA58" s="48">
        <f t="shared" si="303"/>
        <v>9307.5</v>
      </c>
      <c r="BB58" s="48">
        <f t="shared" si="303"/>
        <v>9490</v>
      </c>
      <c r="BC58" s="48">
        <f t="shared" si="303"/>
        <v>9672.5</v>
      </c>
      <c r="BD58" s="48">
        <f t="shared" si="303"/>
        <v>9855</v>
      </c>
      <c r="BE58" s="48">
        <f t="shared" si="303"/>
        <v>10037.5</v>
      </c>
      <c r="BF58" s="48">
        <f t="shared" si="303"/>
        <v>10220</v>
      </c>
      <c r="BG58" s="48">
        <f t="shared" si="303"/>
        <v>10402.5</v>
      </c>
      <c r="BH58" s="48">
        <f t="shared" si="303"/>
        <v>10585</v>
      </c>
      <c r="BI58" s="48">
        <f t="shared" si="303"/>
        <v>10767.5</v>
      </c>
      <c r="BJ58" s="48">
        <f t="shared" si="303"/>
        <v>10950</v>
      </c>
      <c r="BK58" s="48">
        <f t="shared" si="303"/>
        <v>11132.5</v>
      </c>
      <c r="BL58" s="48">
        <f t="shared" si="303"/>
        <v>11315</v>
      </c>
      <c r="BM58" s="48">
        <f t="shared" si="303"/>
        <v>11497.5</v>
      </c>
      <c r="BN58" s="48">
        <f t="shared" si="303"/>
        <v>11680</v>
      </c>
      <c r="BO58" s="48">
        <f t="shared" ref="BO58:CB58" si="304">BN58+IF($G16=1,365,182.5)</f>
        <v>11862.5</v>
      </c>
      <c r="BP58" s="48">
        <f t="shared" si="304"/>
        <v>12045</v>
      </c>
      <c r="BQ58" s="48">
        <f t="shared" si="304"/>
        <v>12227.5</v>
      </c>
      <c r="BR58" s="48">
        <f t="shared" si="304"/>
        <v>12410</v>
      </c>
      <c r="BS58" s="48">
        <f t="shared" si="304"/>
        <v>12592.5</v>
      </c>
      <c r="BT58" s="48">
        <f t="shared" si="304"/>
        <v>12775</v>
      </c>
      <c r="BU58" s="48">
        <f t="shared" si="304"/>
        <v>12957.5</v>
      </c>
      <c r="BV58" s="48">
        <f t="shared" si="304"/>
        <v>13140</v>
      </c>
      <c r="BW58" s="48">
        <f t="shared" si="304"/>
        <v>13322.5</v>
      </c>
      <c r="BX58" s="48">
        <f t="shared" si="304"/>
        <v>13505</v>
      </c>
      <c r="BY58" s="48">
        <f t="shared" si="304"/>
        <v>13687.5</v>
      </c>
      <c r="BZ58" s="48">
        <f t="shared" si="304"/>
        <v>13870</v>
      </c>
      <c r="CA58" s="48">
        <f t="shared" si="304"/>
        <v>14052.5</v>
      </c>
      <c r="CB58" s="49">
        <f t="shared" si="304"/>
        <v>14235</v>
      </c>
    </row>
    <row r="59" spans="1:201">
      <c r="A59" s="168" t="s">
        <v>18</v>
      </c>
      <c r="B59" s="108">
        <f>(IF(B58=F16,100,0)+IF(G16=1,1,0.5)*J16*100)*IF(ISBLANK(F16)=TRUE,0,1)</f>
        <v>0</v>
      </c>
      <c r="C59" s="50">
        <f>IF(C58&gt;$F16+1,0,1)*(IF(D59=0,100,0)+IF($G16=1,1,0.5)*$J16*100)</f>
        <v>0</v>
      </c>
      <c r="D59" s="50">
        <f t="shared" ref="D59:BO59" si="305">IF(D58&gt;$F16+1,0,1)*(IF(E59=0,100,0)+IF($G16=1,1,0.5)*$J16*100)</f>
        <v>0</v>
      </c>
      <c r="E59" s="50">
        <f t="shared" si="305"/>
        <v>0</v>
      </c>
      <c r="F59" s="50">
        <f t="shared" si="305"/>
        <v>0</v>
      </c>
      <c r="G59" s="50">
        <f t="shared" si="305"/>
        <v>0</v>
      </c>
      <c r="H59" s="50">
        <f t="shared" si="305"/>
        <v>0</v>
      </c>
      <c r="I59" s="50">
        <f t="shared" si="305"/>
        <v>0</v>
      </c>
      <c r="J59" s="50">
        <f t="shared" si="305"/>
        <v>0</v>
      </c>
      <c r="K59" s="50">
        <f t="shared" si="305"/>
        <v>0</v>
      </c>
      <c r="L59" s="50">
        <f t="shared" si="305"/>
        <v>0</v>
      </c>
      <c r="M59" s="50">
        <f t="shared" si="305"/>
        <v>0</v>
      </c>
      <c r="N59" s="50">
        <f t="shared" si="305"/>
        <v>0</v>
      </c>
      <c r="O59" s="50">
        <f t="shared" si="305"/>
        <v>0</v>
      </c>
      <c r="P59" s="50">
        <f t="shared" si="305"/>
        <v>0</v>
      </c>
      <c r="Q59" s="50">
        <f t="shared" si="305"/>
        <v>0</v>
      </c>
      <c r="R59" s="50">
        <f t="shared" si="305"/>
        <v>0</v>
      </c>
      <c r="S59" s="50">
        <f t="shared" si="305"/>
        <v>0</v>
      </c>
      <c r="T59" s="50">
        <f t="shared" si="305"/>
        <v>0</v>
      </c>
      <c r="U59" s="50">
        <f t="shared" si="305"/>
        <v>0</v>
      </c>
      <c r="V59" s="50">
        <f t="shared" si="305"/>
        <v>0</v>
      </c>
      <c r="W59" s="50">
        <f t="shared" si="305"/>
        <v>0</v>
      </c>
      <c r="X59" s="50">
        <f t="shared" si="305"/>
        <v>0</v>
      </c>
      <c r="Y59" s="50">
        <f t="shared" si="305"/>
        <v>0</v>
      </c>
      <c r="Z59" s="50">
        <f t="shared" si="305"/>
        <v>0</v>
      </c>
      <c r="AA59" s="50">
        <f t="shared" si="305"/>
        <v>0</v>
      </c>
      <c r="AB59" s="50">
        <f t="shared" si="305"/>
        <v>0</v>
      </c>
      <c r="AC59" s="50">
        <f t="shared" si="305"/>
        <v>0</v>
      </c>
      <c r="AD59" s="50">
        <f t="shared" si="305"/>
        <v>0</v>
      </c>
      <c r="AE59" s="50">
        <f t="shared" si="305"/>
        <v>0</v>
      </c>
      <c r="AF59" s="50">
        <f t="shared" si="305"/>
        <v>0</v>
      </c>
      <c r="AG59" s="50">
        <f t="shared" si="305"/>
        <v>0</v>
      </c>
      <c r="AH59" s="50">
        <f t="shared" si="305"/>
        <v>0</v>
      </c>
      <c r="AI59" s="50">
        <f t="shared" si="305"/>
        <v>0</v>
      </c>
      <c r="AJ59" s="50">
        <f t="shared" si="305"/>
        <v>0</v>
      </c>
      <c r="AK59" s="50">
        <f t="shared" si="305"/>
        <v>0</v>
      </c>
      <c r="AL59" s="50">
        <f t="shared" si="305"/>
        <v>0</v>
      </c>
      <c r="AM59" s="50">
        <f t="shared" si="305"/>
        <v>0</v>
      </c>
      <c r="AN59" s="50">
        <f t="shared" si="305"/>
        <v>0</v>
      </c>
      <c r="AO59" s="50">
        <f t="shared" si="305"/>
        <v>0</v>
      </c>
      <c r="AP59" s="50">
        <f t="shared" si="305"/>
        <v>0</v>
      </c>
      <c r="AQ59" s="50">
        <f t="shared" si="305"/>
        <v>0</v>
      </c>
      <c r="AR59" s="50">
        <f t="shared" si="305"/>
        <v>0</v>
      </c>
      <c r="AS59" s="50">
        <f t="shared" si="305"/>
        <v>0</v>
      </c>
      <c r="AT59" s="50">
        <f t="shared" si="305"/>
        <v>0</v>
      </c>
      <c r="AU59" s="50">
        <f t="shared" si="305"/>
        <v>0</v>
      </c>
      <c r="AV59" s="50">
        <f t="shared" si="305"/>
        <v>0</v>
      </c>
      <c r="AW59" s="50">
        <f t="shared" si="305"/>
        <v>0</v>
      </c>
      <c r="AX59" s="50">
        <f t="shared" si="305"/>
        <v>0</v>
      </c>
      <c r="AY59" s="50">
        <f t="shared" si="305"/>
        <v>0</v>
      </c>
      <c r="AZ59" s="50">
        <f t="shared" si="305"/>
        <v>0</v>
      </c>
      <c r="BA59" s="50">
        <f t="shared" si="305"/>
        <v>0</v>
      </c>
      <c r="BB59" s="50">
        <f t="shared" si="305"/>
        <v>0</v>
      </c>
      <c r="BC59" s="50">
        <f t="shared" si="305"/>
        <v>0</v>
      </c>
      <c r="BD59" s="50">
        <f t="shared" si="305"/>
        <v>0</v>
      </c>
      <c r="BE59" s="50">
        <f t="shared" si="305"/>
        <v>0</v>
      </c>
      <c r="BF59" s="50">
        <f t="shared" si="305"/>
        <v>0</v>
      </c>
      <c r="BG59" s="50">
        <f t="shared" si="305"/>
        <v>0</v>
      </c>
      <c r="BH59" s="50">
        <f t="shared" si="305"/>
        <v>0</v>
      </c>
      <c r="BI59" s="50">
        <f t="shared" si="305"/>
        <v>0</v>
      </c>
      <c r="BJ59" s="50">
        <f t="shared" si="305"/>
        <v>0</v>
      </c>
      <c r="BK59" s="50">
        <f t="shared" si="305"/>
        <v>0</v>
      </c>
      <c r="BL59" s="50">
        <f t="shared" si="305"/>
        <v>0</v>
      </c>
      <c r="BM59" s="50">
        <f t="shared" si="305"/>
        <v>0</v>
      </c>
      <c r="BN59" s="50">
        <f t="shared" si="305"/>
        <v>0</v>
      </c>
      <c r="BO59" s="50">
        <f t="shared" si="305"/>
        <v>0</v>
      </c>
      <c r="BP59" s="50">
        <f t="shared" ref="BP59:CB59" si="306">IF(BP58&gt;$F16+1,0,1)*(IF(BQ59=0,100,0)+IF($G16=1,1,0.5)*$J16*100)</f>
        <v>0</v>
      </c>
      <c r="BQ59" s="50">
        <f t="shared" si="306"/>
        <v>0</v>
      </c>
      <c r="BR59" s="50">
        <f t="shared" si="306"/>
        <v>0</v>
      </c>
      <c r="BS59" s="50">
        <f t="shared" si="306"/>
        <v>0</v>
      </c>
      <c r="BT59" s="50">
        <f t="shared" si="306"/>
        <v>0</v>
      </c>
      <c r="BU59" s="50">
        <f t="shared" si="306"/>
        <v>0</v>
      </c>
      <c r="BV59" s="50">
        <f t="shared" si="306"/>
        <v>0</v>
      </c>
      <c r="BW59" s="50">
        <f t="shared" si="306"/>
        <v>0</v>
      </c>
      <c r="BX59" s="50">
        <f t="shared" si="306"/>
        <v>0</v>
      </c>
      <c r="BY59" s="50">
        <f t="shared" si="306"/>
        <v>0</v>
      </c>
      <c r="BZ59" s="50">
        <f t="shared" si="306"/>
        <v>0</v>
      </c>
      <c r="CA59" s="50">
        <f t="shared" si="306"/>
        <v>0</v>
      </c>
      <c r="CB59" s="51">
        <f t="shared" si="306"/>
        <v>0</v>
      </c>
    </row>
    <row r="60" spans="1:201">
      <c r="A60" s="251" t="s">
        <v>49</v>
      </c>
      <c r="B60" s="79">
        <f>IF(E17=0,F17,E17)</f>
        <v>0</v>
      </c>
      <c r="C60" s="80">
        <f t="shared" ref="C60:BN60" si="307">B60+IF($G17=1,365,182.5)</f>
        <v>182.5</v>
      </c>
      <c r="D60" s="80">
        <f t="shared" si="307"/>
        <v>365</v>
      </c>
      <c r="E60" s="80">
        <f t="shared" si="307"/>
        <v>547.5</v>
      </c>
      <c r="F60" s="80">
        <f t="shared" si="307"/>
        <v>730</v>
      </c>
      <c r="G60" s="80">
        <f t="shared" si="307"/>
        <v>912.5</v>
      </c>
      <c r="H60" s="80">
        <f t="shared" si="307"/>
        <v>1095</v>
      </c>
      <c r="I60" s="80">
        <f t="shared" si="307"/>
        <v>1277.5</v>
      </c>
      <c r="J60" s="80">
        <f t="shared" si="307"/>
        <v>1460</v>
      </c>
      <c r="K60" s="80">
        <f t="shared" si="307"/>
        <v>1642.5</v>
      </c>
      <c r="L60" s="80">
        <f t="shared" si="307"/>
        <v>1825</v>
      </c>
      <c r="M60" s="80">
        <f t="shared" si="307"/>
        <v>2007.5</v>
      </c>
      <c r="N60" s="80">
        <f t="shared" si="307"/>
        <v>2190</v>
      </c>
      <c r="O60" s="80">
        <f t="shared" si="307"/>
        <v>2372.5</v>
      </c>
      <c r="P60" s="80">
        <f t="shared" si="307"/>
        <v>2555</v>
      </c>
      <c r="Q60" s="80">
        <f t="shared" si="307"/>
        <v>2737.5</v>
      </c>
      <c r="R60" s="80">
        <f t="shared" si="307"/>
        <v>2920</v>
      </c>
      <c r="S60" s="80">
        <f t="shared" si="307"/>
        <v>3102.5</v>
      </c>
      <c r="T60" s="80">
        <f t="shared" si="307"/>
        <v>3285</v>
      </c>
      <c r="U60" s="80">
        <f t="shared" si="307"/>
        <v>3467.5</v>
      </c>
      <c r="V60" s="80">
        <f t="shared" si="307"/>
        <v>3650</v>
      </c>
      <c r="W60" s="80">
        <f t="shared" si="307"/>
        <v>3832.5</v>
      </c>
      <c r="X60" s="80">
        <f t="shared" si="307"/>
        <v>4015</v>
      </c>
      <c r="Y60" s="80">
        <f t="shared" si="307"/>
        <v>4197.5</v>
      </c>
      <c r="Z60" s="80">
        <f t="shared" si="307"/>
        <v>4380</v>
      </c>
      <c r="AA60" s="80">
        <f t="shared" si="307"/>
        <v>4562.5</v>
      </c>
      <c r="AB60" s="80">
        <f t="shared" si="307"/>
        <v>4745</v>
      </c>
      <c r="AC60" s="80">
        <f t="shared" si="307"/>
        <v>4927.5</v>
      </c>
      <c r="AD60" s="80">
        <f t="shared" si="307"/>
        <v>5110</v>
      </c>
      <c r="AE60" s="80">
        <f t="shared" si="307"/>
        <v>5292.5</v>
      </c>
      <c r="AF60" s="80">
        <f t="shared" si="307"/>
        <v>5475</v>
      </c>
      <c r="AG60" s="80">
        <f t="shared" si="307"/>
        <v>5657.5</v>
      </c>
      <c r="AH60" s="80">
        <f t="shared" si="307"/>
        <v>5840</v>
      </c>
      <c r="AI60" s="80">
        <f t="shared" si="307"/>
        <v>6022.5</v>
      </c>
      <c r="AJ60" s="80">
        <f t="shared" si="307"/>
        <v>6205</v>
      </c>
      <c r="AK60" s="80">
        <f t="shared" si="307"/>
        <v>6387.5</v>
      </c>
      <c r="AL60" s="80">
        <f t="shared" si="307"/>
        <v>6570</v>
      </c>
      <c r="AM60" s="80">
        <f t="shared" si="307"/>
        <v>6752.5</v>
      </c>
      <c r="AN60" s="80">
        <f t="shared" si="307"/>
        <v>6935</v>
      </c>
      <c r="AO60" s="80">
        <f t="shared" si="307"/>
        <v>7117.5</v>
      </c>
      <c r="AP60" s="80">
        <f t="shared" si="307"/>
        <v>7300</v>
      </c>
      <c r="AQ60" s="80">
        <f t="shared" si="307"/>
        <v>7482.5</v>
      </c>
      <c r="AR60" s="80">
        <f t="shared" si="307"/>
        <v>7665</v>
      </c>
      <c r="AS60" s="80">
        <f t="shared" si="307"/>
        <v>7847.5</v>
      </c>
      <c r="AT60" s="80">
        <f t="shared" si="307"/>
        <v>8030</v>
      </c>
      <c r="AU60" s="80">
        <f t="shared" si="307"/>
        <v>8212.5</v>
      </c>
      <c r="AV60" s="80">
        <f t="shared" si="307"/>
        <v>8395</v>
      </c>
      <c r="AW60" s="80">
        <f t="shared" si="307"/>
        <v>8577.5</v>
      </c>
      <c r="AX60" s="80">
        <f t="shared" si="307"/>
        <v>8760</v>
      </c>
      <c r="AY60" s="80">
        <f t="shared" si="307"/>
        <v>8942.5</v>
      </c>
      <c r="AZ60" s="80">
        <f t="shared" si="307"/>
        <v>9125</v>
      </c>
      <c r="BA60" s="80">
        <f t="shared" si="307"/>
        <v>9307.5</v>
      </c>
      <c r="BB60" s="80">
        <f t="shared" si="307"/>
        <v>9490</v>
      </c>
      <c r="BC60" s="80">
        <f t="shared" si="307"/>
        <v>9672.5</v>
      </c>
      <c r="BD60" s="80">
        <f t="shared" si="307"/>
        <v>9855</v>
      </c>
      <c r="BE60" s="80">
        <f t="shared" si="307"/>
        <v>10037.5</v>
      </c>
      <c r="BF60" s="80">
        <f t="shared" si="307"/>
        <v>10220</v>
      </c>
      <c r="BG60" s="80">
        <f t="shared" si="307"/>
        <v>10402.5</v>
      </c>
      <c r="BH60" s="80">
        <f t="shared" si="307"/>
        <v>10585</v>
      </c>
      <c r="BI60" s="80">
        <f t="shared" si="307"/>
        <v>10767.5</v>
      </c>
      <c r="BJ60" s="80">
        <f t="shared" si="307"/>
        <v>10950</v>
      </c>
      <c r="BK60" s="80">
        <f t="shared" si="307"/>
        <v>11132.5</v>
      </c>
      <c r="BL60" s="80">
        <f t="shared" si="307"/>
        <v>11315</v>
      </c>
      <c r="BM60" s="80">
        <f t="shared" si="307"/>
        <v>11497.5</v>
      </c>
      <c r="BN60" s="80">
        <f t="shared" si="307"/>
        <v>11680</v>
      </c>
      <c r="BO60" s="80">
        <f t="shared" ref="BO60:CB60" si="308">BN60+IF($G17=1,365,182.5)</f>
        <v>11862.5</v>
      </c>
      <c r="BP60" s="80">
        <f t="shared" si="308"/>
        <v>12045</v>
      </c>
      <c r="BQ60" s="80">
        <f t="shared" si="308"/>
        <v>12227.5</v>
      </c>
      <c r="BR60" s="80">
        <f t="shared" si="308"/>
        <v>12410</v>
      </c>
      <c r="BS60" s="80">
        <f t="shared" si="308"/>
        <v>12592.5</v>
      </c>
      <c r="BT60" s="80">
        <f t="shared" si="308"/>
        <v>12775</v>
      </c>
      <c r="BU60" s="80">
        <f t="shared" si="308"/>
        <v>12957.5</v>
      </c>
      <c r="BV60" s="80">
        <f t="shared" si="308"/>
        <v>13140</v>
      </c>
      <c r="BW60" s="80">
        <f t="shared" si="308"/>
        <v>13322.5</v>
      </c>
      <c r="BX60" s="80">
        <f t="shared" si="308"/>
        <v>13505</v>
      </c>
      <c r="BY60" s="80">
        <f t="shared" si="308"/>
        <v>13687.5</v>
      </c>
      <c r="BZ60" s="80">
        <f t="shared" si="308"/>
        <v>13870</v>
      </c>
      <c r="CA60" s="80">
        <f t="shared" si="308"/>
        <v>14052.5</v>
      </c>
      <c r="CB60" s="81">
        <f t="shared" si="308"/>
        <v>14235</v>
      </c>
    </row>
    <row r="61" spans="1:201">
      <c r="A61" s="176" t="s">
        <v>33</v>
      </c>
      <c r="B61" s="114">
        <f>(IF(B60=F17,100,0)+IF(G17=1,1,0.5)*J17*100)*IF(ISBLANK(F17)=TRUE,0,1)</f>
        <v>0</v>
      </c>
      <c r="C61" s="82">
        <f>IF(C60&gt;$F17+1,0,1)*(IF(D61=0,100,0)+IF($G17=1,1,0.5)*$J17*100)</f>
        <v>0</v>
      </c>
      <c r="D61" s="82">
        <f t="shared" ref="D61:BO61" si="309">IF(D60&gt;$F17+1,0,1)*(IF(E61=0,100,0)+IF($G17=1,1,0.5)*$J17*100)</f>
        <v>0</v>
      </c>
      <c r="E61" s="82">
        <f t="shared" si="309"/>
        <v>0</v>
      </c>
      <c r="F61" s="82">
        <f t="shared" si="309"/>
        <v>0</v>
      </c>
      <c r="G61" s="82">
        <f t="shared" si="309"/>
        <v>0</v>
      </c>
      <c r="H61" s="82">
        <f t="shared" si="309"/>
        <v>0</v>
      </c>
      <c r="I61" s="82">
        <f t="shared" si="309"/>
        <v>0</v>
      </c>
      <c r="J61" s="82">
        <f t="shared" si="309"/>
        <v>0</v>
      </c>
      <c r="K61" s="82">
        <f t="shared" si="309"/>
        <v>0</v>
      </c>
      <c r="L61" s="82">
        <f t="shared" si="309"/>
        <v>0</v>
      </c>
      <c r="M61" s="82">
        <f t="shared" si="309"/>
        <v>0</v>
      </c>
      <c r="N61" s="82">
        <f t="shared" si="309"/>
        <v>0</v>
      </c>
      <c r="O61" s="82">
        <f t="shared" si="309"/>
        <v>0</v>
      </c>
      <c r="P61" s="82">
        <f t="shared" si="309"/>
        <v>0</v>
      </c>
      <c r="Q61" s="82">
        <f t="shared" si="309"/>
        <v>0</v>
      </c>
      <c r="R61" s="82">
        <f t="shared" si="309"/>
        <v>0</v>
      </c>
      <c r="S61" s="82">
        <f t="shared" si="309"/>
        <v>0</v>
      </c>
      <c r="T61" s="82">
        <f t="shared" si="309"/>
        <v>0</v>
      </c>
      <c r="U61" s="82">
        <f t="shared" si="309"/>
        <v>0</v>
      </c>
      <c r="V61" s="82">
        <f t="shared" si="309"/>
        <v>0</v>
      </c>
      <c r="W61" s="82">
        <f t="shared" si="309"/>
        <v>0</v>
      </c>
      <c r="X61" s="82">
        <f t="shared" si="309"/>
        <v>0</v>
      </c>
      <c r="Y61" s="82">
        <f t="shared" si="309"/>
        <v>0</v>
      </c>
      <c r="Z61" s="82">
        <f t="shared" si="309"/>
        <v>0</v>
      </c>
      <c r="AA61" s="82">
        <f t="shared" si="309"/>
        <v>0</v>
      </c>
      <c r="AB61" s="82">
        <f t="shared" si="309"/>
        <v>0</v>
      </c>
      <c r="AC61" s="82">
        <f t="shared" si="309"/>
        <v>0</v>
      </c>
      <c r="AD61" s="82">
        <f t="shared" si="309"/>
        <v>0</v>
      </c>
      <c r="AE61" s="82">
        <f t="shared" si="309"/>
        <v>0</v>
      </c>
      <c r="AF61" s="82">
        <f t="shared" si="309"/>
        <v>0</v>
      </c>
      <c r="AG61" s="82">
        <f t="shared" si="309"/>
        <v>0</v>
      </c>
      <c r="AH61" s="82">
        <f t="shared" si="309"/>
        <v>0</v>
      </c>
      <c r="AI61" s="82">
        <f t="shared" si="309"/>
        <v>0</v>
      </c>
      <c r="AJ61" s="82">
        <f t="shared" si="309"/>
        <v>0</v>
      </c>
      <c r="AK61" s="82">
        <f t="shared" si="309"/>
        <v>0</v>
      </c>
      <c r="AL61" s="82">
        <f t="shared" si="309"/>
        <v>0</v>
      </c>
      <c r="AM61" s="82">
        <f t="shared" si="309"/>
        <v>0</v>
      </c>
      <c r="AN61" s="82">
        <f t="shared" si="309"/>
        <v>0</v>
      </c>
      <c r="AO61" s="82">
        <f t="shared" si="309"/>
        <v>0</v>
      </c>
      <c r="AP61" s="82">
        <f t="shared" si="309"/>
        <v>0</v>
      </c>
      <c r="AQ61" s="82">
        <f t="shared" si="309"/>
        <v>0</v>
      </c>
      <c r="AR61" s="82">
        <f t="shared" si="309"/>
        <v>0</v>
      </c>
      <c r="AS61" s="82">
        <f t="shared" si="309"/>
        <v>0</v>
      </c>
      <c r="AT61" s="82">
        <f t="shared" si="309"/>
        <v>0</v>
      </c>
      <c r="AU61" s="82">
        <f t="shared" si="309"/>
        <v>0</v>
      </c>
      <c r="AV61" s="82">
        <f t="shared" si="309"/>
        <v>0</v>
      </c>
      <c r="AW61" s="82">
        <f t="shared" si="309"/>
        <v>0</v>
      </c>
      <c r="AX61" s="82">
        <f t="shared" si="309"/>
        <v>0</v>
      </c>
      <c r="AY61" s="82">
        <f t="shared" si="309"/>
        <v>0</v>
      </c>
      <c r="AZ61" s="82">
        <f t="shared" si="309"/>
        <v>0</v>
      </c>
      <c r="BA61" s="82">
        <f t="shared" si="309"/>
        <v>0</v>
      </c>
      <c r="BB61" s="82">
        <f t="shared" si="309"/>
        <v>0</v>
      </c>
      <c r="BC61" s="82">
        <f t="shared" si="309"/>
        <v>0</v>
      </c>
      <c r="BD61" s="82">
        <f t="shared" si="309"/>
        <v>0</v>
      </c>
      <c r="BE61" s="82">
        <f t="shared" si="309"/>
        <v>0</v>
      </c>
      <c r="BF61" s="82">
        <f t="shared" si="309"/>
        <v>0</v>
      </c>
      <c r="BG61" s="82">
        <f t="shared" si="309"/>
        <v>0</v>
      </c>
      <c r="BH61" s="82">
        <f t="shared" si="309"/>
        <v>0</v>
      </c>
      <c r="BI61" s="82">
        <f t="shared" si="309"/>
        <v>0</v>
      </c>
      <c r="BJ61" s="82">
        <f t="shared" si="309"/>
        <v>0</v>
      </c>
      <c r="BK61" s="82">
        <f t="shared" si="309"/>
        <v>0</v>
      </c>
      <c r="BL61" s="82">
        <f t="shared" si="309"/>
        <v>0</v>
      </c>
      <c r="BM61" s="82">
        <f t="shared" si="309"/>
        <v>0</v>
      </c>
      <c r="BN61" s="82">
        <f t="shared" si="309"/>
        <v>0</v>
      </c>
      <c r="BO61" s="82">
        <f t="shared" si="309"/>
        <v>0</v>
      </c>
      <c r="BP61" s="82">
        <f t="shared" ref="BP61:CB61" si="310">IF(BP60&gt;$F17+1,0,1)*(IF(BQ61=0,100,0)+IF($G17=1,1,0.5)*$J17*100)</f>
        <v>0</v>
      </c>
      <c r="BQ61" s="82">
        <f t="shared" si="310"/>
        <v>0</v>
      </c>
      <c r="BR61" s="82">
        <f t="shared" si="310"/>
        <v>0</v>
      </c>
      <c r="BS61" s="82">
        <f t="shared" si="310"/>
        <v>0</v>
      </c>
      <c r="BT61" s="82">
        <f t="shared" si="310"/>
        <v>0</v>
      </c>
      <c r="BU61" s="82">
        <f t="shared" si="310"/>
        <v>0</v>
      </c>
      <c r="BV61" s="82">
        <f t="shared" si="310"/>
        <v>0</v>
      </c>
      <c r="BW61" s="82">
        <f t="shared" si="310"/>
        <v>0</v>
      </c>
      <c r="BX61" s="82">
        <f t="shared" si="310"/>
        <v>0</v>
      </c>
      <c r="BY61" s="82">
        <f t="shared" si="310"/>
        <v>0</v>
      </c>
      <c r="BZ61" s="82">
        <f t="shared" si="310"/>
        <v>0</v>
      </c>
      <c r="CA61" s="82">
        <f t="shared" si="310"/>
        <v>0</v>
      </c>
      <c r="CB61" s="83">
        <f t="shared" si="310"/>
        <v>0</v>
      </c>
    </row>
    <row r="62" spans="1:201">
      <c r="A62" s="250" t="s">
        <v>49</v>
      </c>
      <c r="B62" s="84">
        <f>IF(E18=0,F18,E18)</f>
        <v>0</v>
      </c>
      <c r="C62" s="85">
        <f t="shared" ref="C62:BN62" si="311">B62+IF($G18=1,365,182.5)</f>
        <v>182.5</v>
      </c>
      <c r="D62" s="85">
        <f t="shared" si="311"/>
        <v>365</v>
      </c>
      <c r="E62" s="85">
        <f t="shared" si="311"/>
        <v>547.5</v>
      </c>
      <c r="F62" s="85">
        <f t="shared" si="311"/>
        <v>730</v>
      </c>
      <c r="G62" s="85">
        <f t="shared" si="311"/>
        <v>912.5</v>
      </c>
      <c r="H62" s="85">
        <f t="shared" si="311"/>
        <v>1095</v>
      </c>
      <c r="I62" s="85">
        <f t="shared" si="311"/>
        <v>1277.5</v>
      </c>
      <c r="J62" s="85">
        <f t="shared" si="311"/>
        <v>1460</v>
      </c>
      <c r="K62" s="85">
        <f t="shared" si="311"/>
        <v>1642.5</v>
      </c>
      <c r="L62" s="85">
        <f t="shared" si="311"/>
        <v>1825</v>
      </c>
      <c r="M62" s="85">
        <f t="shared" si="311"/>
        <v>2007.5</v>
      </c>
      <c r="N62" s="85">
        <f t="shared" si="311"/>
        <v>2190</v>
      </c>
      <c r="O62" s="85">
        <f t="shared" si="311"/>
        <v>2372.5</v>
      </c>
      <c r="P62" s="85">
        <f t="shared" si="311"/>
        <v>2555</v>
      </c>
      <c r="Q62" s="85">
        <f t="shared" si="311"/>
        <v>2737.5</v>
      </c>
      <c r="R62" s="85">
        <f t="shared" si="311"/>
        <v>2920</v>
      </c>
      <c r="S62" s="85">
        <f t="shared" si="311"/>
        <v>3102.5</v>
      </c>
      <c r="T62" s="85">
        <f t="shared" si="311"/>
        <v>3285</v>
      </c>
      <c r="U62" s="85">
        <f t="shared" si="311"/>
        <v>3467.5</v>
      </c>
      <c r="V62" s="85">
        <f t="shared" si="311"/>
        <v>3650</v>
      </c>
      <c r="W62" s="85">
        <f t="shared" si="311"/>
        <v>3832.5</v>
      </c>
      <c r="X62" s="85">
        <f t="shared" si="311"/>
        <v>4015</v>
      </c>
      <c r="Y62" s="85">
        <f t="shared" si="311"/>
        <v>4197.5</v>
      </c>
      <c r="Z62" s="85">
        <f t="shared" si="311"/>
        <v>4380</v>
      </c>
      <c r="AA62" s="85">
        <f t="shared" si="311"/>
        <v>4562.5</v>
      </c>
      <c r="AB62" s="85">
        <f t="shared" si="311"/>
        <v>4745</v>
      </c>
      <c r="AC62" s="85">
        <f t="shared" si="311"/>
        <v>4927.5</v>
      </c>
      <c r="AD62" s="85">
        <f t="shared" si="311"/>
        <v>5110</v>
      </c>
      <c r="AE62" s="85">
        <f t="shared" si="311"/>
        <v>5292.5</v>
      </c>
      <c r="AF62" s="85">
        <f t="shared" si="311"/>
        <v>5475</v>
      </c>
      <c r="AG62" s="85">
        <f t="shared" si="311"/>
        <v>5657.5</v>
      </c>
      <c r="AH62" s="85">
        <f t="shared" si="311"/>
        <v>5840</v>
      </c>
      <c r="AI62" s="85">
        <f t="shared" si="311"/>
        <v>6022.5</v>
      </c>
      <c r="AJ62" s="85">
        <f t="shared" si="311"/>
        <v>6205</v>
      </c>
      <c r="AK62" s="85">
        <f t="shared" si="311"/>
        <v>6387.5</v>
      </c>
      <c r="AL62" s="85">
        <f t="shared" si="311"/>
        <v>6570</v>
      </c>
      <c r="AM62" s="85">
        <f t="shared" si="311"/>
        <v>6752.5</v>
      </c>
      <c r="AN62" s="85">
        <f t="shared" si="311"/>
        <v>6935</v>
      </c>
      <c r="AO62" s="85">
        <f t="shared" si="311"/>
        <v>7117.5</v>
      </c>
      <c r="AP62" s="85">
        <f t="shared" si="311"/>
        <v>7300</v>
      </c>
      <c r="AQ62" s="85">
        <f t="shared" si="311"/>
        <v>7482.5</v>
      </c>
      <c r="AR62" s="85">
        <f t="shared" si="311"/>
        <v>7665</v>
      </c>
      <c r="AS62" s="85">
        <f t="shared" si="311"/>
        <v>7847.5</v>
      </c>
      <c r="AT62" s="85">
        <f t="shared" si="311"/>
        <v>8030</v>
      </c>
      <c r="AU62" s="85">
        <f t="shared" si="311"/>
        <v>8212.5</v>
      </c>
      <c r="AV62" s="85">
        <f t="shared" si="311"/>
        <v>8395</v>
      </c>
      <c r="AW62" s="85">
        <f t="shared" si="311"/>
        <v>8577.5</v>
      </c>
      <c r="AX62" s="85">
        <f t="shared" si="311"/>
        <v>8760</v>
      </c>
      <c r="AY62" s="85">
        <f t="shared" si="311"/>
        <v>8942.5</v>
      </c>
      <c r="AZ62" s="85">
        <f t="shared" si="311"/>
        <v>9125</v>
      </c>
      <c r="BA62" s="85">
        <f t="shared" si="311"/>
        <v>9307.5</v>
      </c>
      <c r="BB62" s="85">
        <f t="shared" si="311"/>
        <v>9490</v>
      </c>
      <c r="BC62" s="85">
        <f t="shared" si="311"/>
        <v>9672.5</v>
      </c>
      <c r="BD62" s="85">
        <f t="shared" si="311"/>
        <v>9855</v>
      </c>
      <c r="BE62" s="85">
        <f t="shared" si="311"/>
        <v>10037.5</v>
      </c>
      <c r="BF62" s="85">
        <f t="shared" si="311"/>
        <v>10220</v>
      </c>
      <c r="BG62" s="85">
        <f t="shared" si="311"/>
        <v>10402.5</v>
      </c>
      <c r="BH62" s="85">
        <f t="shared" si="311"/>
        <v>10585</v>
      </c>
      <c r="BI62" s="85">
        <f t="shared" si="311"/>
        <v>10767.5</v>
      </c>
      <c r="BJ62" s="85">
        <f t="shared" si="311"/>
        <v>10950</v>
      </c>
      <c r="BK62" s="85">
        <f t="shared" si="311"/>
        <v>11132.5</v>
      </c>
      <c r="BL62" s="85">
        <f t="shared" si="311"/>
        <v>11315</v>
      </c>
      <c r="BM62" s="85">
        <f t="shared" si="311"/>
        <v>11497.5</v>
      </c>
      <c r="BN62" s="85">
        <f t="shared" si="311"/>
        <v>11680</v>
      </c>
      <c r="BO62" s="85">
        <f t="shared" ref="BO62:CB62" si="312">BN62+IF($G18=1,365,182.5)</f>
        <v>11862.5</v>
      </c>
      <c r="BP62" s="85">
        <f t="shared" si="312"/>
        <v>12045</v>
      </c>
      <c r="BQ62" s="85">
        <f t="shared" si="312"/>
        <v>12227.5</v>
      </c>
      <c r="BR62" s="85">
        <f t="shared" si="312"/>
        <v>12410</v>
      </c>
      <c r="BS62" s="85">
        <f t="shared" si="312"/>
        <v>12592.5</v>
      </c>
      <c r="BT62" s="85">
        <f t="shared" si="312"/>
        <v>12775</v>
      </c>
      <c r="BU62" s="85">
        <f t="shared" si="312"/>
        <v>12957.5</v>
      </c>
      <c r="BV62" s="85">
        <f t="shared" si="312"/>
        <v>13140</v>
      </c>
      <c r="BW62" s="85">
        <f t="shared" si="312"/>
        <v>13322.5</v>
      </c>
      <c r="BX62" s="85">
        <f t="shared" si="312"/>
        <v>13505</v>
      </c>
      <c r="BY62" s="85">
        <f t="shared" si="312"/>
        <v>13687.5</v>
      </c>
      <c r="BZ62" s="85">
        <f t="shared" si="312"/>
        <v>13870</v>
      </c>
      <c r="CA62" s="85">
        <f t="shared" si="312"/>
        <v>14052.5</v>
      </c>
      <c r="CB62" s="86">
        <f t="shared" si="312"/>
        <v>14235</v>
      </c>
    </row>
    <row r="63" spans="1:201">
      <c r="A63" s="177" t="s">
        <v>34</v>
      </c>
      <c r="B63" s="115">
        <f>(IF(B62=F18,100,0)+IF(G18=1,1,0.5)*J18*100)*IF(ISBLANK(F18)=TRUE,0,1)</f>
        <v>0</v>
      </c>
      <c r="C63" s="87">
        <f>IF(C62&gt;$F18+1,0,1)*(IF(D63=0,100,0)+IF($G18=1,1,0.5)*$J18*100)</f>
        <v>0</v>
      </c>
      <c r="D63" s="87">
        <f t="shared" ref="D63:BO63" si="313">IF(D62&gt;$F18+1,0,1)*(IF(E63=0,100,0)+IF($G18=1,1,0.5)*$J18*100)</f>
        <v>0</v>
      </c>
      <c r="E63" s="87">
        <f t="shared" si="313"/>
        <v>0</v>
      </c>
      <c r="F63" s="87">
        <f t="shared" si="313"/>
        <v>0</v>
      </c>
      <c r="G63" s="87">
        <f t="shared" si="313"/>
        <v>0</v>
      </c>
      <c r="H63" s="87">
        <f t="shared" si="313"/>
        <v>0</v>
      </c>
      <c r="I63" s="87">
        <f t="shared" si="313"/>
        <v>0</v>
      </c>
      <c r="J63" s="87">
        <f t="shared" si="313"/>
        <v>0</v>
      </c>
      <c r="K63" s="87">
        <f t="shared" si="313"/>
        <v>0</v>
      </c>
      <c r="L63" s="87">
        <f t="shared" si="313"/>
        <v>0</v>
      </c>
      <c r="M63" s="87">
        <f t="shared" si="313"/>
        <v>0</v>
      </c>
      <c r="N63" s="87">
        <f t="shared" si="313"/>
        <v>0</v>
      </c>
      <c r="O63" s="87">
        <f t="shared" si="313"/>
        <v>0</v>
      </c>
      <c r="P63" s="87">
        <f t="shared" si="313"/>
        <v>0</v>
      </c>
      <c r="Q63" s="87">
        <f t="shared" si="313"/>
        <v>0</v>
      </c>
      <c r="R63" s="87">
        <f t="shared" si="313"/>
        <v>0</v>
      </c>
      <c r="S63" s="87">
        <f t="shared" si="313"/>
        <v>0</v>
      </c>
      <c r="T63" s="87">
        <f t="shared" si="313"/>
        <v>0</v>
      </c>
      <c r="U63" s="87">
        <f t="shared" si="313"/>
        <v>0</v>
      </c>
      <c r="V63" s="87">
        <f t="shared" si="313"/>
        <v>0</v>
      </c>
      <c r="W63" s="87">
        <f t="shared" si="313"/>
        <v>0</v>
      </c>
      <c r="X63" s="87">
        <f t="shared" si="313"/>
        <v>0</v>
      </c>
      <c r="Y63" s="87">
        <f t="shared" si="313"/>
        <v>0</v>
      </c>
      <c r="Z63" s="87">
        <f t="shared" si="313"/>
        <v>0</v>
      </c>
      <c r="AA63" s="87">
        <f t="shared" si="313"/>
        <v>0</v>
      </c>
      <c r="AB63" s="87">
        <f t="shared" si="313"/>
        <v>0</v>
      </c>
      <c r="AC63" s="87">
        <f t="shared" si="313"/>
        <v>0</v>
      </c>
      <c r="AD63" s="87">
        <f t="shared" si="313"/>
        <v>0</v>
      </c>
      <c r="AE63" s="87">
        <f t="shared" si="313"/>
        <v>0</v>
      </c>
      <c r="AF63" s="87">
        <f t="shared" si="313"/>
        <v>0</v>
      </c>
      <c r="AG63" s="87">
        <f t="shared" si="313"/>
        <v>0</v>
      </c>
      <c r="AH63" s="87">
        <f t="shared" si="313"/>
        <v>0</v>
      </c>
      <c r="AI63" s="87">
        <f t="shared" si="313"/>
        <v>0</v>
      </c>
      <c r="AJ63" s="87">
        <f t="shared" si="313"/>
        <v>0</v>
      </c>
      <c r="AK63" s="87">
        <f t="shared" si="313"/>
        <v>0</v>
      </c>
      <c r="AL63" s="87">
        <f t="shared" si="313"/>
        <v>0</v>
      </c>
      <c r="AM63" s="87">
        <f t="shared" si="313"/>
        <v>0</v>
      </c>
      <c r="AN63" s="87">
        <f t="shared" si="313"/>
        <v>0</v>
      </c>
      <c r="AO63" s="87">
        <f t="shared" si="313"/>
        <v>0</v>
      </c>
      <c r="AP63" s="87">
        <f t="shared" si="313"/>
        <v>0</v>
      </c>
      <c r="AQ63" s="87">
        <f t="shared" si="313"/>
        <v>0</v>
      </c>
      <c r="AR63" s="87">
        <f t="shared" si="313"/>
        <v>0</v>
      </c>
      <c r="AS63" s="87">
        <f t="shared" si="313"/>
        <v>0</v>
      </c>
      <c r="AT63" s="87">
        <f t="shared" si="313"/>
        <v>0</v>
      </c>
      <c r="AU63" s="87">
        <f t="shared" si="313"/>
        <v>0</v>
      </c>
      <c r="AV63" s="87">
        <f t="shared" si="313"/>
        <v>0</v>
      </c>
      <c r="AW63" s="87">
        <f t="shared" si="313"/>
        <v>0</v>
      </c>
      <c r="AX63" s="87">
        <f t="shared" si="313"/>
        <v>0</v>
      </c>
      <c r="AY63" s="87">
        <f t="shared" si="313"/>
        <v>0</v>
      </c>
      <c r="AZ63" s="87">
        <f t="shared" si="313"/>
        <v>0</v>
      </c>
      <c r="BA63" s="87">
        <f t="shared" si="313"/>
        <v>0</v>
      </c>
      <c r="BB63" s="87">
        <f t="shared" si="313"/>
        <v>0</v>
      </c>
      <c r="BC63" s="87">
        <f t="shared" si="313"/>
        <v>0</v>
      </c>
      <c r="BD63" s="87">
        <f t="shared" si="313"/>
        <v>0</v>
      </c>
      <c r="BE63" s="87">
        <f t="shared" si="313"/>
        <v>0</v>
      </c>
      <c r="BF63" s="87">
        <f t="shared" si="313"/>
        <v>0</v>
      </c>
      <c r="BG63" s="87">
        <f t="shared" si="313"/>
        <v>0</v>
      </c>
      <c r="BH63" s="87">
        <f t="shared" si="313"/>
        <v>0</v>
      </c>
      <c r="BI63" s="87">
        <f t="shared" si="313"/>
        <v>0</v>
      </c>
      <c r="BJ63" s="87">
        <f t="shared" si="313"/>
        <v>0</v>
      </c>
      <c r="BK63" s="87">
        <f t="shared" si="313"/>
        <v>0</v>
      </c>
      <c r="BL63" s="87">
        <f t="shared" si="313"/>
        <v>0</v>
      </c>
      <c r="BM63" s="87">
        <f t="shared" si="313"/>
        <v>0</v>
      </c>
      <c r="BN63" s="87">
        <f t="shared" si="313"/>
        <v>0</v>
      </c>
      <c r="BO63" s="87">
        <f t="shared" si="313"/>
        <v>0</v>
      </c>
      <c r="BP63" s="87">
        <f t="shared" ref="BP63:CB63" si="314">IF(BP62&gt;$F18+1,0,1)*(IF(BQ63=0,100,0)+IF($G18=1,1,0.5)*$J18*100)</f>
        <v>0</v>
      </c>
      <c r="BQ63" s="87">
        <f t="shared" si="314"/>
        <v>0</v>
      </c>
      <c r="BR63" s="87">
        <f t="shared" si="314"/>
        <v>0</v>
      </c>
      <c r="BS63" s="87">
        <f t="shared" si="314"/>
        <v>0</v>
      </c>
      <c r="BT63" s="87">
        <f t="shared" si="314"/>
        <v>0</v>
      </c>
      <c r="BU63" s="87">
        <f t="shared" si="314"/>
        <v>0</v>
      </c>
      <c r="BV63" s="87">
        <f t="shared" si="314"/>
        <v>0</v>
      </c>
      <c r="BW63" s="87">
        <f t="shared" si="314"/>
        <v>0</v>
      </c>
      <c r="BX63" s="87">
        <f t="shared" si="314"/>
        <v>0</v>
      </c>
      <c r="BY63" s="87">
        <f t="shared" si="314"/>
        <v>0</v>
      </c>
      <c r="BZ63" s="87">
        <f t="shared" si="314"/>
        <v>0</v>
      </c>
      <c r="CA63" s="87">
        <f t="shared" si="314"/>
        <v>0</v>
      </c>
      <c r="CB63" s="88">
        <f t="shared" si="314"/>
        <v>0</v>
      </c>
    </row>
    <row r="64" spans="1:201">
      <c r="A64" s="249" t="s">
        <v>49</v>
      </c>
      <c r="B64" s="118">
        <f>IF(E19=0,F19,E19)</f>
        <v>0</v>
      </c>
      <c r="C64" s="119">
        <f t="shared" ref="C64:BN64" si="315">B64+IF($G19=1,365,182.5)</f>
        <v>182.5</v>
      </c>
      <c r="D64" s="119">
        <f t="shared" si="315"/>
        <v>365</v>
      </c>
      <c r="E64" s="119">
        <f t="shared" si="315"/>
        <v>547.5</v>
      </c>
      <c r="F64" s="119">
        <f t="shared" si="315"/>
        <v>730</v>
      </c>
      <c r="G64" s="119">
        <f t="shared" si="315"/>
        <v>912.5</v>
      </c>
      <c r="H64" s="119">
        <f t="shared" si="315"/>
        <v>1095</v>
      </c>
      <c r="I64" s="119">
        <f t="shared" si="315"/>
        <v>1277.5</v>
      </c>
      <c r="J64" s="119">
        <f t="shared" si="315"/>
        <v>1460</v>
      </c>
      <c r="K64" s="119">
        <f t="shared" si="315"/>
        <v>1642.5</v>
      </c>
      <c r="L64" s="119">
        <f t="shared" si="315"/>
        <v>1825</v>
      </c>
      <c r="M64" s="119">
        <f t="shared" si="315"/>
        <v>2007.5</v>
      </c>
      <c r="N64" s="119">
        <f t="shared" si="315"/>
        <v>2190</v>
      </c>
      <c r="O64" s="119">
        <f t="shared" si="315"/>
        <v>2372.5</v>
      </c>
      <c r="P64" s="119">
        <f t="shared" si="315"/>
        <v>2555</v>
      </c>
      <c r="Q64" s="119">
        <f t="shared" si="315"/>
        <v>2737.5</v>
      </c>
      <c r="R64" s="119">
        <f t="shared" si="315"/>
        <v>2920</v>
      </c>
      <c r="S64" s="119">
        <f t="shared" si="315"/>
        <v>3102.5</v>
      </c>
      <c r="T64" s="119">
        <f t="shared" si="315"/>
        <v>3285</v>
      </c>
      <c r="U64" s="119">
        <f t="shared" si="315"/>
        <v>3467.5</v>
      </c>
      <c r="V64" s="119">
        <f t="shared" si="315"/>
        <v>3650</v>
      </c>
      <c r="W64" s="119">
        <f t="shared" si="315"/>
        <v>3832.5</v>
      </c>
      <c r="X64" s="119">
        <f t="shared" si="315"/>
        <v>4015</v>
      </c>
      <c r="Y64" s="119">
        <f t="shared" si="315"/>
        <v>4197.5</v>
      </c>
      <c r="Z64" s="119">
        <f t="shared" si="315"/>
        <v>4380</v>
      </c>
      <c r="AA64" s="119">
        <f t="shared" si="315"/>
        <v>4562.5</v>
      </c>
      <c r="AB64" s="119">
        <f t="shared" si="315"/>
        <v>4745</v>
      </c>
      <c r="AC64" s="119">
        <f t="shared" si="315"/>
        <v>4927.5</v>
      </c>
      <c r="AD64" s="119">
        <f t="shared" si="315"/>
        <v>5110</v>
      </c>
      <c r="AE64" s="119">
        <f t="shared" si="315"/>
        <v>5292.5</v>
      </c>
      <c r="AF64" s="119">
        <f t="shared" si="315"/>
        <v>5475</v>
      </c>
      <c r="AG64" s="119">
        <f t="shared" si="315"/>
        <v>5657.5</v>
      </c>
      <c r="AH64" s="119">
        <f t="shared" si="315"/>
        <v>5840</v>
      </c>
      <c r="AI64" s="119">
        <f t="shared" si="315"/>
        <v>6022.5</v>
      </c>
      <c r="AJ64" s="119">
        <f t="shared" si="315"/>
        <v>6205</v>
      </c>
      <c r="AK64" s="119">
        <f t="shared" si="315"/>
        <v>6387.5</v>
      </c>
      <c r="AL64" s="119">
        <f t="shared" si="315"/>
        <v>6570</v>
      </c>
      <c r="AM64" s="119">
        <f t="shared" si="315"/>
        <v>6752.5</v>
      </c>
      <c r="AN64" s="119">
        <f t="shared" si="315"/>
        <v>6935</v>
      </c>
      <c r="AO64" s="119">
        <f t="shared" si="315"/>
        <v>7117.5</v>
      </c>
      <c r="AP64" s="119">
        <f t="shared" si="315"/>
        <v>7300</v>
      </c>
      <c r="AQ64" s="119">
        <f t="shared" si="315"/>
        <v>7482.5</v>
      </c>
      <c r="AR64" s="119">
        <f t="shared" si="315"/>
        <v>7665</v>
      </c>
      <c r="AS64" s="119">
        <f t="shared" si="315"/>
        <v>7847.5</v>
      </c>
      <c r="AT64" s="119">
        <f t="shared" si="315"/>
        <v>8030</v>
      </c>
      <c r="AU64" s="119">
        <f t="shared" si="315"/>
        <v>8212.5</v>
      </c>
      <c r="AV64" s="119">
        <f t="shared" si="315"/>
        <v>8395</v>
      </c>
      <c r="AW64" s="119">
        <f t="shared" si="315"/>
        <v>8577.5</v>
      </c>
      <c r="AX64" s="119">
        <f t="shared" si="315"/>
        <v>8760</v>
      </c>
      <c r="AY64" s="119">
        <f t="shared" si="315"/>
        <v>8942.5</v>
      </c>
      <c r="AZ64" s="119">
        <f t="shared" si="315"/>
        <v>9125</v>
      </c>
      <c r="BA64" s="119">
        <f t="shared" si="315"/>
        <v>9307.5</v>
      </c>
      <c r="BB64" s="119">
        <f t="shared" si="315"/>
        <v>9490</v>
      </c>
      <c r="BC64" s="119">
        <f t="shared" si="315"/>
        <v>9672.5</v>
      </c>
      <c r="BD64" s="119">
        <f t="shared" si="315"/>
        <v>9855</v>
      </c>
      <c r="BE64" s="119">
        <f t="shared" si="315"/>
        <v>10037.5</v>
      </c>
      <c r="BF64" s="119">
        <f t="shared" si="315"/>
        <v>10220</v>
      </c>
      <c r="BG64" s="119">
        <f t="shared" si="315"/>
        <v>10402.5</v>
      </c>
      <c r="BH64" s="119">
        <f t="shared" si="315"/>
        <v>10585</v>
      </c>
      <c r="BI64" s="119">
        <f t="shared" si="315"/>
        <v>10767.5</v>
      </c>
      <c r="BJ64" s="119">
        <f t="shared" si="315"/>
        <v>10950</v>
      </c>
      <c r="BK64" s="119">
        <f t="shared" si="315"/>
        <v>11132.5</v>
      </c>
      <c r="BL64" s="119">
        <f t="shared" si="315"/>
        <v>11315</v>
      </c>
      <c r="BM64" s="119">
        <f t="shared" si="315"/>
        <v>11497.5</v>
      </c>
      <c r="BN64" s="119">
        <f t="shared" si="315"/>
        <v>11680</v>
      </c>
      <c r="BO64" s="119">
        <f t="shared" ref="BO64:CB64" si="316">BN64+IF($G19=1,365,182.5)</f>
        <v>11862.5</v>
      </c>
      <c r="BP64" s="119">
        <f t="shared" si="316"/>
        <v>12045</v>
      </c>
      <c r="BQ64" s="119">
        <f t="shared" si="316"/>
        <v>12227.5</v>
      </c>
      <c r="BR64" s="119">
        <f t="shared" si="316"/>
        <v>12410</v>
      </c>
      <c r="BS64" s="119">
        <f t="shared" si="316"/>
        <v>12592.5</v>
      </c>
      <c r="BT64" s="119">
        <f t="shared" si="316"/>
        <v>12775</v>
      </c>
      <c r="BU64" s="119">
        <f t="shared" si="316"/>
        <v>12957.5</v>
      </c>
      <c r="BV64" s="119">
        <f t="shared" si="316"/>
        <v>13140</v>
      </c>
      <c r="BW64" s="119">
        <f t="shared" si="316"/>
        <v>13322.5</v>
      </c>
      <c r="BX64" s="119">
        <f t="shared" si="316"/>
        <v>13505</v>
      </c>
      <c r="BY64" s="119">
        <f t="shared" si="316"/>
        <v>13687.5</v>
      </c>
      <c r="BZ64" s="119">
        <f t="shared" si="316"/>
        <v>13870</v>
      </c>
      <c r="CA64" s="119">
        <f t="shared" si="316"/>
        <v>14052.5</v>
      </c>
      <c r="CB64" s="120">
        <f t="shared" si="316"/>
        <v>14235</v>
      </c>
    </row>
    <row r="65" spans="1:115">
      <c r="A65" s="178" t="s">
        <v>35</v>
      </c>
      <c r="B65" s="121">
        <f>(IF(B64=F19,100,0)+IF(G19=1,1,0.5)*J19*100)*IF(ISBLANK(F19)=TRUE,0,1)</f>
        <v>0</v>
      </c>
      <c r="C65" s="122">
        <f>IF(C64&gt;$F19+1,0,1)*(IF(D65=0,100,0)+IF($G19=1,1,0.5)*$J19*100)</f>
        <v>0</v>
      </c>
      <c r="D65" s="122">
        <f t="shared" ref="D65:BO65" si="317">IF(D64&gt;$F19+1,0,1)*(IF(E65=0,100,0)+IF($G19=1,1,0.5)*$J19*100)</f>
        <v>0</v>
      </c>
      <c r="E65" s="122">
        <f t="shared" si="317"/>
        <v>0</v>
      </c>
      <c r="F65" s="122">
        <f t="shared" si="317"/>
        <v>0</v>
      </c>
      <c r="G65" s="122">
        <f t="shared" si="317"/>
        <v>0</v>
      </c>
      <c r="H65" s="122">
        <f t="shared" si="317"/>
        <v>0</v>
      </c>
      <c r="I65" s="122">
        <f t="shared" si="317"/>
        <v>0</v>
      </c>
      <c r="J65" s="122">
        <f t="shared" si="317"/>
        <v>0</v>
      </c>
      <c r="K65" s="122">
        <f t="shared" si="317"/>
        <v>0</v>
      </c>
      <c r="L65" s="122">
        <f t="shared" si="317"/>
        <v>0</v>
      </c>
      <c r="M65" s="122">
        <f t="shared" si="317"/>
        <v>0</v>
      </c>
      <c r="N65" s="122">
        <f t="shared" si="317"/>
        <v>0</v>
      </c>
      <c r="O65" s="122">
        <f t="shared" si="317"/>
        <v>0</v>
      </c>
      <c r="P65" s="122">
        <f t="shared" si="317"/>
        <v>0</v>
      </c>
      <c r="Q65" s="122">
        <f t="shared" si="317"/>
        <v>0</v>
      </c>
      <c r="R65" s="122">
        <f t="shared" si="317"/>
        <v>0</v>
      </c>
      <c r="S65" s="122">
        <f t="shared" si="317"/>
        <v>0</v>
      </c>
      <c r="T65" s="122">
        <f t="shared" si="317"/>
        <v>0</v>
      </c>
      <c r="U65" s="122">
        <f t="shared" si="317"/>
        <v>0</v>
      </c>
      <c r="V65" s="122">
        <f t="shared" si="317"/>
        <v>0</v>
      </c>
      <c r="W65" s="122">
        <f t="shared" si="317"/>
        <v>0</v>
      </c>
      <c r="X65" s="122">
        <f t="shared" si="317"/>
        <v>0</v>
      </c>
      <c r="Y65" s="122">
        <f t="shared" si="317"/>
        <v>0</v>
      </c>
      <c r="Z65" s="122">
        <f t="shared" si="317"/>
        <v>0</v>
      </c>
      <c r="AA65" s="122">
        <f t="shared" si="317"/>
        <v>0</v>
      </c>
      <c r="AB65" s="122">
        <f t="shared" si="317"/>
        <v>0</v>
      </c>
      <c r="AC65" s="122">
        <f t="shared" si="317"/>
        <v>0</v>
      </c>
      <c r="AD65" s="122">
        <f t="shared" si="317"/>
        <v>0</v>
      </c>
      <c r="AE65" s="122">
        <f t="shared" si="317"/>
        <v>0</v>
      </c>
      <c r="AF65" s="122">
        <f t="shared" si="317"/>
        <v>0</v>
      </c>
      <c r="AG65" s="122">
        <f t="shared" si="317"/>
        <v>0</v>
      </c>
      <c r="AH65" s="122">
        <f t="shared" si="317"/>
        <v>0</v>
      </c>
      <c r="AI65" s="122">
        <f t="shared" si="317"/>
        <v>0</v>
      </c>
      <c r="AJ65" s="122">
        <f t="shared" si="317"/>
        <v>0</v>
      </c>
      <c r="AK65" s="122">
        <f t="shared" si="317"/>
        <v>0</v>
      </c>
      <c r="AL65" s="122">
        <f t="shared" si="317"/>
        <v>0</v>
      </c>
      <c r="AM65" s="122">
        <f t="shared" si="317"/>
        <v>0</v>
      </c>
      <c r="AN65" s="122">
        <f t="shared" si="317"/>
        <v>0</v>
      </c>
      <c r="AO65" s="122">
        <f t="shared" si="317"/>
        <v>0</v>
      </c>
      <c r="AP65" s="122">
        <f t="shared" si="317"/>
        <v>0</v>
      </c>
      <c r="AQ65" s="122">
        <f t="shared" si="317"/>
        <v>0</v>
      </c>
      <c r="AR65" s="122">
        <f t="shared" si="317"/>
        <v>0</v>
      </c>
      <c r="AS65" s="122">
        <f t="shared" si="317"/>
        <v>0</v>
      </c>
      <c r="AT65" s="122">
        <f t="shared" si="317"/>
        <v>0</v>
      </c>
      <c r="AU65" s="122">
        <f t="shared" si="317"/>
        <v>0</v>
      </c>
      <c r="AV65" s="122">
        <f t="shared" si="317"/>
        <v>0</v>
      </c>
      <c r="AW65" s="122">
        <f t="shared" si="317"/>
        <v>0</v>
      </c>
      <c r="AX65" s="122">
        <f t="shared" si="317"/>
        <v>0</v>
      </c>
      <c r="AY65" s="122">
        <f t="shared" si="317"/>
        <v>0</v>
      </c>
      <c r="AZ65" s="122">
        <f t="shared" si="317"/>
        <v>0</v>
      </c>
      <c r="BA65" s="122">
        <f t="shared" si="317"/>
        <v>0</v>
      </c>
      <c r="BB65" s="122">
        <f t="shared" si="317"/>
        <v>0</v>
      </c>
      <c r="BC65" s="122">
        <f t="shared" si="317"/>
        <v>0</v>
      </c>
      <c r="BD65" s="122">
        <f t="shared" si="317"/>
        <v>0</v>
      </c>
      <c r="BE65" s="122">
        <f t="shared" si="317"/>
        <v>0</v>
      </c>
      <c r="BF65" s="122">
        <f t="shared" si="317"/>
        <v>0</v>
      </c>
      <c r="BG65" s="122">
        <f t="shared" si="317"/>
        <v>0</v>
      </c>
      <c r="BH65" s="122">
        <f t="shared" si="317"/>
        <v>0</v>
      </c>
      <c r="BI65" s="122">
        <f t="shared" si="317"/>
        <v>0</v>
      </c>
      <c r="BJ65" s="122">
        <f t="shared" si="317"/>
        <v>0</v>
      </c>
      <c r="BK65" s="122">
        <f t="shared" si="317"/>
        <v>0</v>
      </c>
      <c r="BL65" s="122">
        <f t="shared" si="317"/>
        <v>0</v>
      </c>
      <c r="BM65" s="122">
        <f t="shared" si="317"/>
        <v>0</v>
      </c>
      <c r="BN65" s="122">
        <f t="shared" si="317"/>
        <v>0</v>
      </c>
      <c r="BO65" s="122">
        <f t="shared" si="317"/>
        <v>0</v>
      </c>
      <c r="BP65" s="122">
        <f t="shared" ref="BP65:CB65" si="318">IF(BP64&gt;$F19+1,0,1)*(IF(BQ65=0,100,0)+IF($G19=1,1,0.5)*$J19*100)</f>
        <v>0</v>
      </c>
      <c r="BQ65" s="122">
        <f t="shared" si="318"/>
        <v>0</v>
      </c>
      <c r="BR65" s="122">
        <f t="shared" si="318"/>
        <v>0</v>
      </c>
      <c r="BS65" s="122">
        <f t="shared" si="318"/>
        <v>0</v>
      </c>
      <c r="BT65" s="122">
        <f t="shared" si="318"/>
        <v>0</v>
      </c>
      <c r="BU65" s="122">
        <f t="shared" si="318"/>
        <v>0</v>
      </c>
      <c r="BV65" s="122">
        <f t="shared" si="318"/>
        <v>0</v>
      </c>
      <c r="BW65" s="122">
        <f t="shared" si="318"/>
        <v>0</v>
      </c>
      <c r="BX65" s="122">
        <f t="shared" si="318"/>
        <v>0</v>
      </c>
      <c r="BY65" s="122">
        <f t="shared" si="318"/>
        <v>0</v>
      </c>
      <c r="BZ65" s="122">
        <f t="shared" si="318"/>
        <v>0</v>
      </c>
      <c r="CA65" s="122">
        <f t="shared" si="318"/>
        <v>0</v>
      </c>
      <c r="CB65" s="123">
        <f t="shared" si="318"/>
        <v>0</v>
      </c>
    </row>
    <row r="66" spans="1:115">
      <c r="A66" s="248" t="s">
        <v>49</v>
      </c>
      <c r="B66" s="89">
        <f>IF(E20=0,F20,E20)</f>
        <v>0</v>
      </c>
      <c r="C66" s="90">
        <f t="shared" ref="C66:BN66" si="319">B66+IF($G20=1,365,182.5)</f>
        <v>182.5</v>
      </c>
      <c r="D66" s="90">
        <f t="shared" si="319"/>
        <v>365</v>
      </c>
      <c r="E66" s="90">
        <f t="shared" si="319"/>
        <v>547.5</v>
      </c>
      <c r="F66" s="90">
        <f t="shared" si="319"/>
        <v>730</v>
      </c>
      <c r="G66" s="90">
        <f t="shared" si="319"/>
        <v>912.5</v>
      </c>
      <c r="H66" s="90">
        <f t="shared" si="319"/>
        <v>1095</v>
      </c>
      <c r="I66" s="90">
        <f t="shared" si="319"/>
        <v>1277.5</v>
      </c>
      <c r="J66" s="90">
        <f t="shared" si="319"/>
        <v>1460</v>
      </c>
      <c r="K66" s="90">
        <f t="shared" si="319"/>
        <v>1642.5</v>
      </c>
      <c r="L66" s="90">
        <f t="shared" si="319"/>
        <v>1825</v>
      </c>
      <c r="M66" s="90">
        <f t="shared" si="319"/>
        <v>2007.5</v>
      </c>
      <c r="N66" s="90">
        <f t="shared" si="319"/>
        <v>2190</v>
      </c>
      <c r="O66" s="90">
        <f t="shared" si="319"/>
        <v>2372.5</v>
      </c>
      <c r="P66" s="90">
        <f t="shared" si="319"/>
        <v>2555</v>
      </c>
      <c r="Q66" s="90">
        <f t="shared" si="319"/>
        <v>2737.5</v>
      </c>
      <c r="R66" s="90">
        <f t="shared" si="319"/>
        <v>2920</v>
      </c>
      <c r="S66" s="90">
        <f t="shared" si="319"/>
        <v>3102.5</v>
      </c>
      <c r="T66" s="90">
        <f t="shared" si="319"/>
        <v>3285</v>
      </c>
      <c r="U66" s="90">
        <f t="shared" si="319"/>
        <v>3467.5</v>
      </c>
      <c r="V66" s="90">
        <f t="shared" si="319"/>
        <v>3650</v>
      </c>
      <c r="W66" s="90">
        <f t="shared" si="319"/>
        <v>3832.5</v>
      </c>
      <c r="X66" s="90">
        <f t="shared" si="319"/>
        <v>4015</v>
      </c>
      <c r="Y66" s="90">
        <f t="shared" si="319"/>
        <v>4197.5</v>
      </c>
      <c r="Z66" s="90">
        <f t="shared" si="319"/>
        <v>4380</v>
      </c>
      <c r="AA66" s="90">
        <f t="shared" si="319"/>
        <v>4562.5</v>
      </c>
      <c r="AB66" s="90">
        <f t="shared" si="319"/>
        <v>4745</v>
      </c>
      <c r="AC66" s="90">
        <f t="shared" si="319"/>
        <v>4927.5</v>
      </c>
      <c r="AD66" s="90">
        <f t="shared" si="319"/>
        <v>5110</v>
      </c>
      <c r="AE66" s="90">
        <f t="shared" si="319"/>
        <v>5292.5</v>
      </c>
      <c r="AF66" s="90">
        <f t="shared" si="319"/>
        <v>5475</v>
      </c>
      <c r="AG66" s="90">
        <f t="shared" si="319"/>
        <v>5657.5</v>
      </c>
      <c r="AH66" s="90">
        <f t="shared" si="319"/>
        <v>5840</v>
      </c>
      <c r="AI66" s="90">
        <f t="shared" si="319"/>
        <v>6022.5</v>
      </c>
      <c r="AJ66" s="90">
        <f t="shared" si="319"/>
        <v>6205</v>
      </c>
      <c r="AK66" s="90">
        <f t="shared" si="319"/>
        <v>6387.5</v>
      </c>
      <c r="AL66" s="90">
        <f t="shared" si="319"/>
        <v>6570</v>
      </c>
      <c r="AM66" s="90">
        <f t="shared" si="319"/>
        <v>6752.5</v>
      </c>
      <c r="AN66" s="90">
        <f t="shared" si="319"/>
        <v>6935</v>
      </c>
      <c r="AO66" s="90">
        <f t="shared" si="319"/>
        <v>7117.5</v>
      </c>
      <c r="AP66" s="90">
        <f t="shared" si="319"/>
        <v>7300</v>
      </c>
      <c r="AQ66" s="90">
        <f t="shared" si="319"/>
        <v>7482.5</v>
      </c>
      <c r="AR66" s="90">
        <f t="shared" si="319"/>
        <v>7665</v>
      </c>
      <c r="AS66" s="90">
        <f t="shared" si="319"/>
        <v>7847.5</v>
      </c>
      <c r="AT66" s="90">
        <f t="shared" si="319"/>
        <v>8030</v>
      </c>
      <c r="AU66" s="90">
        <f t="shared" si="319"/>
        <v>8212.5</v>
      </c>
      <c r="AV66" s="90">
        <f t="shared" si="319"/>
        <v>8395</v>
      </c>
      <c r="AW66" s="90">
        <f t="shared" si="319"/>
        <v>8577.5</v>
      </c>
      <c r="AX66" s="90">
        <f t="shared" si="319"/>
        <v>8760</v>
      </c>
      <c r="AY66" s="90">
        <f t="shared" si="319"/>
        <v>8942.5</v>
      </c>
      <c r="AZ66" s="90">
        <f t="shared" si="319"/>
        <v>9125</v>
      </c>
      <c r="BA66" s="90">
        <f t="shared" si="319"/>
        <v>9307.5</v>
      </c>
      <c r="BB66" s="90">
        <f t="shared" si="319"/>
        <v>9490</v>
      </c>
      <c r="BC66" s="90">
        <f t="shared" si="319"/>
        <v>9672.5</v>
      </c>
      <c r="BD66" s="90">
        <f t="shared" si="319"/>
        <v>9855</v>
      </c>
      <c r="BE66" s="90">
        <f t="shared" si="319"/>
        <v>10037.5</v>
      </c>
      <c r="BF66" s="90">
        <f t="shared" si="319"/>
        <v>10220</v>
      </c>
      <c r="BG66" s="90">
        <f t="shared" si="319"/>
        <v>10402.5</v>
      </c>
      <c r="BH66" s="90">
        <f t="shared" si="319"/>
        <v>10585</v>
      </c>
      <c r="BI66" s="90">
        <f t="shared" si="319"/>
        <v>10767.5</v>
      </c>
      <c r="BJ66" s="90">
        <f t="shared" si="319"/>
        <v>10950</v>
      </c>
      <c r="BK66" s="90">
        <f t="shared" si="319"/>
        <v>11132.5</v>
      </c>
      <c r="BL66" s="90">
        <f t="shared" si="319"/>
        <v>11315</v>
      </c>
      <c r="BM66" s="90">
        <f t="shared" si="319"/>
        <v>11497.5</v>
      </c>
      <c r="BN66" s="90">
        <f t="shared" si="319"/>
        <v>11680</v>
      </c>
      <c r="BO66" s="90">
        <f t="shared" ref="BO66:CB66" si="320">BN66+IF($G20=1,365,182.5)</f>
        <v>11862.5</v>
      </c>
      <c r="BP66" s="90">
        <f t="shared" si="320"/>
        <v>12045</v>
      </c>
      <c r="BQ66" s="90">
        <f t="shared" si="320"/>
        <v>12227.5</v>
      </c>
      <c r="BR66" s="90">
        <f t="shared" si="320"/>
        <v>12410</v>
      </c>
      <c r="BS66" s="90">
        <f t="shared" si="320"/>
        <v>12592.5</v>
      </c>
      <c r="BT66" s="90">
        <f t="shared" si="320"/>
        <v>12775</v>
      </c>
      <c r="BU66" s="90">
        <f t="shared" si="320"/>
        <v>12957.5</v>
      </c>
      <c r="BV66" s="90">
        <f t="shared" si="320"/>
        <v>13140</v>
      </c>
      <c r="BW66" s="90">
        <f t="shared" si="320"/>
        <v>13322.5</v>
      </c>
      <c r="BX66" s="90">
        <f t="shared" si="320"/>
        <v>13505</v>
      </c>
      <c r="BY66" s="90">
        <f t="shared" si="320"/>
        <v>13687.5</v>
      </c>
      <c r="BZ66" s="90">
        <f t="shared" si="320"/>
        <v>13870</v>
      </c>
      <c r="CA66" s="90">
        <f t="shared" si="320"/>
        <v>14052.5</v>
      </c>
      <c r="CB66" s="91">
        <f t="shared" si="320"/>
        <v>14235</v>
      </c>
    </row>
    <row r="67" spans="1:115">
      <c r="A67" s="179" t="s">
        <v>36</v>
      </c>
      <c r="B67" s="113">
        <f>(IF(B66=F20,100,0)+IF(G20=1,1,0.5)*J20*100)*IF(ISBLANK(F20)=TRUE,0,1)</f>
        <v>0</v>
      </c>
      <c r="C67" s="92">
        <f>IF(C66&gt;$F20+1,0,1)*(IF(D67=0,100,0)+IF($G20=1,1,0.5)*$J20*100)</f>
        <v>0</v>
      </c>
      <c r="D67" s="92">
        <f t="shared" ref="D67:BO67" si="321">IF(D66&gt;$F20+1,0,1)*(IF(E67=0,100,0)+IF($G20=1,1,0.5)*$J20*100)</f>
        <v>0</v>
      </c>
      <c r="E67" s="92">
        <f t="shared" si="321"/>
        <v>0</v>
      </c>
      <c r="F67" s="92">
        <f t="shared" si="321"/>
        <v>0</v>
      </c>
      <c r="G67" s="92">
        <f t="shared" si="321"/>
        <v>0</v>
      </c>
      <c r="H67" s="92">
        <f t="shared" si="321"/>
        <v>0</v>
      </c>
      <c r="I67" s="92">
        <f t="shared" si="321"/>
        <v>0</v>
      </c>
      <c r="J67" s="92">
        <f t="shared" si="321"/>
        <v>0</v>
      </c>
      <c r="K67" s="92">
        <f t="shared" si="321"/>
        <v>0</v>
      </c>
      <c r="L67" s="92">
        <f t="shared" si="321"/>
        <v>0</v>
      </c>
      <c r="M67" s="92">
        <f t="shared" si="321"/>
        <v>0</v>
      </c>
      <c r="N67" s="92">
        <f t="shared" si="321"/>
        <v>0</v>
      </c>
      <c r="O67" s="92">
        <f t="shared" si="321"/>
        <v>0</v>
      </c>
      <c r="P67" s="92">
        <f t="shared" si="321"/>
        <v>0</v>
      </c>
      <c r="Q67" s="92">
        <f t="shared" si="321"/>
        <v>0</v>
      </c>
      <c r="R67" s="92">
        <f t="shared" si="321"/>
        <v>0</v>
      </c>
      <c r="S67" s="92">
        <f t="shared" si="321"/>
        <v>0</v>
      </c>
      <c r="T67" s="92">
        <f t="shared" si="321"/>
        <v>0</v>
      </c>
      <c r="U67" s="92">
        <f t="shared" si="321"/>
        <v>0</v>
      </c>
      <c r="V67" s="92">
        <f t="shared" si="321"/>
        <v>0</v>
      </c>
      <c r="W67" s="92">
        <f t="shared" si="321"/>
        <v>0</v>
      </c>
      <c r="X67" s="92">
        <f t="shared" si="321"/>
        <v>0</v>
      </c>
      <c r="Y67" s="92">
        <f t="shared" si="321"/>
        <v>0</v>
      </c>
      <c r="Z67" s="92">
        <f t="shared" si="321"/>
        <v>0</v>
      </c>
      <c r="AA67" s="92">
        <f t="shared" si="321"/>
        <v>0</v>
      </c>
      <c r="AB67" s="92">
        <f t="shared" si="321"/>
        <v>0</v>
      </c>
      <c r="AC67" s="92">
        <f t="shared" si="321"/>
        <v>0</v>
      </c>
      <c r="AD67" s="92">
        <f t="shared" si="321"/>
        <v>0</v>
      </c>
      <c r="AE67" s="92">
        <f t="shared" si="321"/>
        <v>0</v>
      </c>
      <c r="AF67" s="92">
        <f t="shared" si="321"/>
        <v>0</v>
      </c>
      <c r="AG67" s="92">
        <f t="shared" si="321"/>
        <v>0</v>
      </c>
      <c r="AH67" s="92">
        <f t="shared" si="321"/>
        <v>0</v>
      </c>
      <c r="AI67" s="92">
        <f t="shared" si="321"/>
        <v>0</v>
      </c>
      <c r="AJ67" s="92">
        <f t="shared" si="321"/>
        <v>0</v>
      </c>
      <c r="AK67" s="92">
        <f t="shared" si="321"/>
        <v>0</v>
      </c>
      <c r="AL67" s="92">
        <f t="shared" si="321"/>
        <v>0</v>
      </c>
      <c r="AM67" s="92">
        <f t="shared" si="321"/>
        <v>0</v>
      </c>
      <c r="AN67" s="92">
        <f t="shared" si="321"/>
        <v>0</v>
      </c>
      <c r="AO67" s="92">
        <f t="shared" si="321"/>
        <v>0</v>
      </c>
      <c r="AP67" s="92">
        <f t="shared" si="321"/>
        <v>0</v>
      </c>
      <c r="AQ67" s="92">
        <f t="shared" si="321"/>
        <v>0</v>
      </c>
      <c r="AR67" s="92">
        <f t="shared" si="321"/>
        <v>0</v>
      </c>
      <c r="AS67" s="92">
        <f t="shared" si="321"/>
        <v>0</v>
      </c>
      <c r="AT67" s="92">
        <f t="shared" si="321"/>
        <v>0</v>
      </c>
      <c r="AU67" s="92">
        <f t="shared" si="321"/>
        <v>0</v>
      </c>
      <c r="AV67" s="92">
        <f t="shared" si="321"/>
        <v>0</v>
      </c>
      <c r="AW67" s="92">
        <f t="shared" si="321"/>
        <v>0</v>
      </c>
      <c r="AX67" s="92">
        <f t="shared" si="321"/>
        <v>0</v>
      </c>
      <c r="AY67" s="92">
        <f t="shared" si="321"/>
        <v>0</v>
      </c>
      <c r="AZ67" s="92">
        <f t="shared" si="321"/>
        <v>0</v>
      </c>
      <c r="BA67" s="92">
        <f t="shared" si="321"/>
        <v>0</v>
      </c>
      <c r="BB67" s="92">
        <f t="shared" si="321"/>
        <v>0</v>
      </c>
      <c r="BC67" s="92">
        <f t="shared" si="321"/>
        <v>0</v>
      </c>
      <c r="BD67" s="92">
        <f t="shared" si="321"/>
        <v>0</v>
      </c>
      <c r="BE67" s="92">
        <f t="shared" si="321"/>
        <v>0</v>
      </c>
      <c r="BF67" s="92">
        <f t="shared" si="321"/>
        <v>0</v>
      </c>
      <c r="BG67" s="92">
        <f t="shared" si="321"/>
        <v>0</v>
      </c>
      <c r="BH67" s="92">
        <f t="shared" si="321"/>
        <v>0</v>
      </c>
      <c r="BI67" s="92">
        <f t="shared" si="321"/>
        <v>0</v>
      </c>
      <c r="BJ67" s="92">
        <f t="shared" si="321"/>
        <v>0</v>
      </c>
      <c r="BK67" s="92">
        <f t="shared" si="321"/>
        <v>0</v>
      </c>
      <c r="BL67" s="92">
        <f t="shared" si="321"/>
        <v>0</v>
      </c>
      <c r="BM67" s="92">
        <f t="shared" si="321"/>
        <v>0</v>
      </c>
      <c r="BN67" s="92">
        <f t="shared" si="321"/>
        <v>0</v>
      </c>
      <c r="BO67" s="92">
        <f t="shared" si="321"/>
        <v>0</v>
      </c>
      <c r="BP67" s="92">
        <f t="shared" ref="BP67:CB67" si="322">IF(BP66&gt;$F20+1,0,1)*(IF(BQ67=0,100,0)+IF($G20=1,1,0.5)*$J20*100)</f>
        <v>0</v>
      </c>
      <c r="BQ67" s="92">
        <f t="shared" si="322"/>
        <v>0</v>
      </c>
      <c r="BR67" s="92">
        <f t="shared" si="322"/>
        <v>0</v>
      </c>
      <c r="BS67" s="92">
        <f t="shared" si="322"/>
        <v>0</v>
      </c>
      <c r="BT67" s="92">
        <f t="shared" si="322"/>
        <v>0</v>
      </c>
      <c r="BU67" s="92">
        <f t="shared" si="322"/>
        <v>0</v>
      </c>
      <c r="BV67" s="92">
        <f t="shared" si="322"/>
        <v>0</v>
      </c>
      <c r="BW67" s="92">
        <f t="shared" si="322"/>
        <v>0</v>
      </c>
      <c r="BX67" s="92">
        <f t="shared" si="322"/>
        <v>0</v>
      </c>
      <c r="BY67" s="92">
        <f t="shared" si="322"/>
        <v>0</v>
      </c>
      <c r="BZ67" s="92">
        <f t="shared" si="322"/>
        <v>0</v>
      </c>
      <c r="CA67" s="92">
        <f t="shared" si="322"/>
        <v>0</v>
      </c>
      <c r="CB67" s="93">
        <f t="shared" si="322"/>
        <v>0</v>
      </c>
    </row>
    <row r="68" spans="1:115">
      <c r="A68" s="247" t="s">
        <v>49</v>
      </c>
      <c r="B68" s="124">
        <f>IF(E21=0,F21,E21)</f>
        <v>0</v>
      </c>
      <c r="C68" s="125">
        <f t="shared" ref="C68:BN68" si="323">B68+IF($G21=1,365,182.5)</f>
        <v>182.5</v>
      </c>
      <c r="D68" s="125">
        <f t="shared" si="323"/>
        <v>365</v>
      </c>
      <c r="E68" s="125">
        <f t="shared" si="323"/>
        <v>547.5</v>
      </c>
      <c r="F68" s="125">
        <f t="shared" si="323"/>
        <v>730</v>
      </c>
      <c r="G68" s="125">
        <f t="shared" si="323"/>
        <v>912.5</v>
      </c>
      <c r="H68" s="125">
        <f t="shared" si="323"/>
        <v>1095</v>
      </c>
      <c r="I68" s="125">
        <f t="shared" si="323"/>
        <v>1277.5</v>
      </c>
      <c r="J68" s="125">
        <f t="shared" si="323"/>
        <v>1460</v>
      </c>
      <c r="K68" s="125">
        <f t="shared" si="323"/>
        <v>1642.5</v>
      </c>
      <c r="L68" s="125">
        <f t="shared" si="323"/>
        <v>1825</v>
      </c>
      <c r="M68" s="125">
        <f t="shared" si="323"/>
        <v>2007.5</v>
      </c>
      <c r="N68" s="125">
        <f t="shared" si="323"/>
        <v>2190</v>
      </c>
      <c r="O68" s="125">
        <f t="shared" si="323"/>
        <v>2372.5</v>
      </c>
      <c r="P68" s="125">
        <f t="shared" si="323"/>
        <v>2555</v>
      </c>
      <c r="Q68" s="125">
        <f t="shared" si="323"/>
        <v>2737.5</v>
      </c>
      <c r="R68" s="125">
        <f t="shared" si="323"/>
        <v>2920</v>
      </c>
      <c r="S68" s="125">
        <f t="shared" si="323"/>
        <v>3102.5</v>
      </c>
      <c r="T68" s="125">
        <f t="shared" si="323"/>
        <v>3285</v>
      </c>
      <c r="U68" s="125">
        <f t="shared" si="323"/>
        <v>3467.5</v>
      </c>
      <c r="V68" s="125">
        <f t="shared" si="323"/>
        <v>3650</v>
      </c>
      <c r="W68" s="125">
        <f t="shared" si="323"/>
        <v>3832.5</v>
      </c>
      <c r="X68" s="125">
        <f t="shared" si="323"/>
        <v>4015</v>
      </c>
      <c r="Y68" s="125">
        <f t="shared" si="323"/>
        <v>4197.5</v>
      </c>
      <c r="Z68" s="125">
        <f t="shared" si="323"/>
        <v>4380</v>
      </c>
      <c r="AA68" s="125">
        <f t="shared" si="323"/>
        <v>4562.5</v>
      </c>
      <c r="AB68" s="125">
        <f t="shared" si="323"/>
        <v>4745</v>
      </c>
      <c r="AC68" s="125">
        <f t="shared" si="323"/>
        <v>4927.5</v>
      </c>
      <c r="AD68" s="125">
        <f t="shared" si="323"/>
        <v>5110</v>
      </c>
      <c r="AE68" s="125">
        <f t="shared" si="323"/>
        <v>5292.5</v>
      </c>
      <c r="AF68" s="125">
        <f t="shared" si="323"/>
        <v>5475</v>
      </c>
      <c r="AG68" s="125">
        <f t="shared" si="323"/>
        <v>5657.5</v>
      </c>
      <c r="AH68" s="125">
        <f t="shared" si="323"/>
        <v>5840</v>
      </c>
      <c r="AI68" s="125">
        <f t="shared" si="323"/>
        <v>6022.5</v>
      </c>
      <c r="AJ68" s="125">
        <f t="shared" si="323"/>
        <v>6205</v>
      </c>
      <c r="AK68" s="125">
        <f t="shared" si="323"/>
        <v>6387.5</v>
      </c>
      <c r="AL68" s="125">
        <f t="shared" si="323"/>
        <v>6570</v>
      </c>
      <c r="AM68" s="125">
        <f t="shared" si="323"/>
        <v>6752.5</v>
      </c>
      <c r="AN68" s="125">
        <f t="shared" si="323"/>
        <v>6935</v>
      </c>
      <c r="AO68" s="125">
        <f t="shared" si="323"/>
        <v>7117.5</v>
      </c>
      <c r="AP68" s="125">
        <f t="shared" si="323"/>
        <v>7300</v>
      </c>
      <c r="AQ68" s="125">
        <f t="shared" si="323"/>
        <v>7482.5</v>
      </c>
      <c r="AR68" s="125">
        <f t="shared" si="323"/>
        <v>7665</v>
      </c>
      <c r="AS68" s="125">
        <f t="shared" si="323"/>
        <v>7847.5</v>
      </c>
      <c r="AT68" s="125">
        <f t="shared" si="323"/>
        <v>8030</v>
      </c>
      <c r="AU68" s="125">
        <f t="shared" si="323"/>
        <v>8212.5</v>
      </c>
      <c r="AV68" s="125">
        <f t="shared" si="323"/>
        <v>8395</v>
      </c>
      <c r="AW68" s="125">
        <f t="shared" si="323"/>
        <v>8577.5</v>
      </c>
      <c r="AX68" s="125">
        <f t="shared" si="323"/>
        <v>8760</v>
      </c>
      <c r="AY68" s="125">
        <f t="shared" si="323"/>
        <v>8942.5</v>
      </c>
      <c r="AZ68" s="125">
        <f t="shared" si="323"/>
        <v>9125</v>
      </c>
      <c r="BA68" s="125">
        <f t="shared" si="323"/>
        <v>9307.5</v>
      </c>
      <c r="BB68" s="125">
        <f t="shared" si="323"/>
        <v>9490</v>
      </c>
      <c r="BC68" s="125">
        <f t="shared" si="323"/>
        <v>9672.5</v>
      </c>
      <c r="BD68" s="125">
        <f t="shared" si="323"/>
        <v>9855</v>
      </c>
      <c r="BE68" s="125">
        <f t="shared" si="323"/>
        <v>10037.5</v>
      </c>
      <c r="BF68" s="125">
        <f t="shared" si="323"/>
        <v>10220</v>
      </c>
      <c r="BG68" s="125">
        <f t="shared" si="323"/>
        <v>10402.5</v>
      </c>
      <c r="BH68" s="125">
        <f t="shared" si="323"/>
        <v>10585</v>
      </c>
      <c r="BI68" s="125">
        <f t="shared" si="323"/>
        <v>10767.5</v>
      </c>
      <c r="BJ68" s="125">
        <f t="shared" si="323"/>
        <v>10950</v>
      </c>
      <c r="BK68" s="125">
        <f t="shared" si="323"/>
        <v>11132.5</v>
      </c>
      <c r="BL68" s="125">
        <f t="shared" si="323"/>
        <v>11315</v>
      </c>
      <c r="BM68" s="125">
        <f t="shared" si="323"/>
        <v>11497.5</v>
      </c>
      <c r="BN68" s="125">
        <f t="shared" si="323"/>
        <v>11680</v>
      </c>
      <c r="BO68" s="125">
        <f t="shared" ref="BO68:CB68" si="324">BN68+IF($G21=1,365,182.5)</f>
        <v>11862.5</v>
      </c>
      <c r="BP68" s="125">
        <f t="shared" si="324"/>
        <v>12045</v>
      </c>
      <c r="BQ68" s="125">
        <f t="shared" si="324"/>
        <v>12227.5</v>
      </c>
      <c r="BR68" s="125">
        <f t="shared" si="324"/>
        <v>12410</v>
      </c>
      <c r="BS68" s="125">
        <f t="shared" si="324"/>
        <v>12592.5</v>
      </c>
      <c r="BT68" s="125">
        <f t="shared" si="324"/>
        <v>12775</v>
      </c>
      <c r="BU68" s="125">
        <f t="shared" si="324"/>
        <v>12957.5</v>
      </c>
      <c r="BV68" s="125">
        <f t="shared" si="324"/>
        <v>13140</v>
      </c>
      <c r="BW68" s="125">
        <f t="shared" si="324"/>
        <v>13322.5</v>
      </c>
      <c r="BX68" s="125">
        <f t="shared" si="324"/>
        <v>13505</v>
      </c>
      <c r="BY68" s="125">
        <f t="shared" si="324"/>
        <v>13687.5</v>
      </c>
      <c r="BZ68" s="125">
        <f t="shared" si="324"/>
        <v>13870</v>
      </c>
      <c r="CA68" s="125">
        <f t="shared" si="324"/>
        <v>14052.5</v>
      </c>
      <c r="CB68" s="126">
        <f t="shared" si="324"/>
        <v>14235</v>
      </c>
    </row>
    <row r="69" spans="1:115">
      <c r="A69" s="180" t="s">
        <v>37</v>
      </c>
      <c r="B69" s="127">
        <f>(IF(B68=F21,100,0)+IF(G21=1,1,0.5)*J21*100)*IF(ISBLANK(F21)=TRUE,0,1)</f>
        <v>0</v>
      </c>
      <c r="C69" s="128">
        <f>IF(C68&gt;$F21+1,0,1)*(IF(D69=0,100,0)+IF($G21=1,1,0.5)*$J21*100)</f>
        <v>0</v>
      </c>
      <c r="D69" s="128">
        <f t="shared" ref="D69:BO69" si="325">IF(D68&gt;$F21+1,0,1)*(IF(E69=0,100,0)+IF($G21=1,1,0.5)*$J21*100)</f>
        <v>0</v>
      </c>
      <c r="E69" s="128">
        <f t="shared" si="325"/>
        <v>0</v>
      </c>
      <c r="F69" s="128">
        <f t="shared" si="325"/>
        <v>0</v>
      </c>
      <c r="G69" s="128">
        <f t="shared" si="325"/>
        <v>0</v>
      </c>
      <c r="H69" s="128">
        <f t="shared" si="325"/>
        <v>0</v>
      </c>
      <c r="I69" s="128">
        <f t="shared" si="325"/>
        <v>0</v>
      </c>
      <c r="J69" s="128">
        <f t="shared" si="325"/>
        <v>0</v>
      </c>
      <c r="K69" s="128">
        <f t="shared" si="325"/>
        <v>0</v>
      </c>
      <c r="L69" s="128">
        <f t="shared" si="325"/>
        <v>0</v>
      </c>
      <c r="M69" s="128">
        <f t="shared" si="325"/>
        <v>0</v>
      </c>
      <c r="N69" s="128">
        <f t="shared" si="325"/>
        <v>0</v>
      </c>
      <c r="O69" s="128">
        <f t="shared" si="325"/>
        <v>0</v>
      </c>
      <c r="P69" s="128">
        <f t="shared" si="325"/>
        <v>0</v>
      </c>
      <c r="Q69" s="128">
        <f t="shared" si="325"/>
        <v>0</v>
      </c>
      <c r="R69" s="128">
        <f t="shared" si="325"/>
        <v>0</v>
      </c>
      <c r="S69" s="128">
        <f t="shared" si="325"/>
        <v>0</v>
      </c>
      <c r="T69" s="128">
        <f t="shared" si="325"/>
        <v>0</v>
      </c>
      <c r="U69" s="128">
        <f t="shared" si="325"/>
        <v>0</v>
      </c>
      <c r="V69" s="128">
        <f t="shared" si="325"/>
        <v>0</v>
      </c>
      <c r="W69" s="128">
        <f t="shared" si="325"/>
        <v>0</v>
      </c>
      <c r="X69" s="128">
        <f t="shared" si="325"/>
        <v>0</v>
      </c>
      <c r="Y69" s="128">
        <f t="shared" si="325"/>
        <v>0</v>
      </c>
      <c r="Z69" s="128">
        <f t="shared" si="325"/>
        <v>0</v>
      </c>
      <c r="AA69" s="128">
        <f t="shared" si="325"/>
        <v>0</v>
      </c>
      <c r="AB69" s="128">
        <f t="shared" si="325"/>
        <v>0</v>
      </c>
      <c r="AC69" s="128">
        <f t="shared" si="325"/>
        <v>0</v>
      </c>
      <c r="AD69" s="128">
        <f t="shared" si="325"/>
        <v>0</v>
      </c>
      <c r="AE69" s="128">
        <f t="shared" si="325"/>
        <v>0</v>
      </c>
      <c r="AF69" s="128">
        <f t="shared" si="325"/>
        <v>0</v>
      </c>
      <c r="AG69" s="128">
        <f t="shared" si="325"/>
        <v>0</v>
      </c>
      <c r="AH69" s="128">
        <f t="shared" si="325"/>
        <v>0</v>
      </c>
      <c r="AI69" s="128">
        <f t="shared" si="325"/>
        <v>0</v>
      </c>
      <c r="AJ69" s="128">
        <f t="shared" si="325"/>
        <v>0</v>
      </c>
      <c r="AK69" s="128">
        <f t="shared" si="325"/>
        <v>0</v>
      </c>
      <c r="AL69" s="128">
        <f t="shared" si="325"/>
        <v>0</v>
      </c>
      <c r="AM69" s="128">
        <f t="shared" si="325"/>
        <v>0</v>
      </c>
      <c r="AN69" s="128">
        <f t="shared" si="325"/>
        <v>0</v>
      </c>
      <c r="AO69" s="128">
        <f t="shared" si="325"/>
        <v>0</v>
      </c>
      <c r="AP69" s="128">
        <f t="shared" si="325"/>
        <v>0</v>
      </c>
      <c r="AQ69" s="128">
        <f t="shared" si="325"/>
        <v>0</v>
      </c>
      <c r="AR69" s="128">
        <f t="shared" si="325"/>
        <v>0</v>
      </c>
      <c r="AS69" s="128">
        <f t="shared" si="325"/>
        <v>0</v>
      </c>
      <c r="AT69" s="128">
        <f t="shared" si="325"/>
        <v>0</v>
      </c>
      <c r="AU69" s="128">
        <f t="shared" si="325"/>
        <v>0</v>
      </c>
      <c r="AV69" s="128">
        <f t="shared" si="325"/>
        <v>0</v>
      </c>
      <c r="AW69" s="128">
        <f t="shared" si="325"/>
        <v>0</v>
      </c>
      <c r="AX69" s="128">
        <f t="shared" si="325"/>
        <v>0</v>
      </c>
      <c r="AY69" s="128">
        <f t="shared" si="325"/>
        <v>0</v>
      </c>
      <c r="AZ69" s="128">
        <f t="shared" si="325"/>
        <v>0</v>
      </c>
      <c r="BA69" s="128">
        <f t="shared" si="325"/>
        <v>0</v>
      </c>
      <c r="BB69" s="128">
        <f t="shared" si="325"/>
        <v>0</v>
      </c>
      <c r="BC69" s="128">
        <f t="shared" si="325"/>
        <v>0</v>
      </c>
      <c r="BD69" s="128">
        <f t="shared" si="325"/>
        <v>0</v>
      </c>
      <c r="BE69" s="128">
        <f t="shared" si="325"/>
        <v>0</v>
      </c>
      <c r="BF69" s="128">
        <f t="shared" si="325"/>
        <v>0</v>
      </c>
      <c r="BG69" s="128">
        <f t="shared" si="325"/>
        <v>0</v>
      </c>
      <c r="BH69" s="128">
        <f t="shared" si="325"/>
        <v>0</v>
      </c>
      <c r="BI69" s="128">
        <f t="shared" si="325"/>
        <v>0</v>
      </c>
      <c r="BJ69" s="128">
        <f t="shared" si="325"/>
        <v>0</v>
      </c>
      <c r="BK69" s="128">
        <f t="shared" si="325"/>
        <v>0</v>
      </c>
      <c r="BL69" s="128">
        <f t="shared" si="325"/>
        <v>0</v>
      </c>
      <c r="BM69" s="128">
        <f t="shared" si="325"/>
        <v>0</v>
      </c>
      <c r="BN69" s="128">
        <f t="shared" si="325"/>
        <v>0</v>
      </c>
      <c r="BO69" s="128">
        <f t="shared" si="325"/>
        <v>0</v>
      </c>
      <c r="BP69" s="128">
        <f t="shared" ref="BP69:CB69" si="326">IF(BP68&gt;$F21+1,0,1)*(IF(BQ69=0,100,0)+IF($G21=1,1,0.5)*$J21*100)</f>
        <v>0</v>
      </c>
      <c r="BQ69" s="128">
        <f t="shared" si="326"/>
        <v>0</v>
      </c>
      <c r="BR69" s="128">
        <f t="shared" si="326"/>
        <v>0</v>
      </c>
      <c r="BS69" s="128">
        <f t="shared" si="326"/>
        <v>0</v>
      </c>
      <c r="BT69" s="128">
        <f t="shared" si="326"/>
        <v>0</v>
      </c>
      <c r="BU69" s="128">
        <f t="shared" si="326"/>
        <v>0</v>
      </c>
      <c r="BV69" s="128">
        <f t="shared" si="326"/>
        <v>0</v>
      </c>
      <c r="BW69" s="128">
        <f t="shared" si="326"/>
        <v>0</v>
      </c>
      <c r="BX69" s="128">
        <f t="shared" si="326"/>
        <v>0</v>
      </c>
      <c r="BY69" s="128">
        <f t="shared" si="326"/>
        <v>0</v>
      </c>
      <c r="BZ69" s="128">
        <f t="shared" si="326"/>
        <v>0</v>
      </c>
      <c r="CA69" s="128">
        <f t="shared" si="326"/>
        <v>0</v>
      </c>
      <c r="CB69" s="129">
        <f t="shared" si="326"/>
        <v>0</v>
      </c>
    </row>
    <row r="70" spans="1:115">
      <c r="A70" s="246" t="s">
        <v>49</v>
      </c>
      <c r="B70" s="94">
        <f>IF(E22=0,F22,E22)</f>
        <v>0</v>
      </c>
      <c r="C70" s="95">
        <f t="shared" ref="C70:BN70" si="327">B70+IF($G22=1,365,182.5)</f>
        <v>182.5</v>
      </c>
      <c r="D70" s="95">
        <f t="shared" si="327"/>
        <v>365</v>
      </c>
      <c r="E70" s="95">
        <f t="shared" si="327"/>
        <v>547.5</v>
      </c>
      <c r="F70" s="95">
        <f t="shared" si="327"/>
        <v>730</v>
      </c>
      <c r="G70" s="95">
        <f t="shared" si="327"/>
        <v>912.5</v>
      </c>
      <c r="H70" s="95">
        <f t="shared" si="327"/>
        <v>1095</v>
      </c>
      <c r="I70" s="95">
        <f t="shared" si="327"/>
        <v>1277.5</v>
      </c>
      <c r="J70" s="95">
        <f t="shared" si="327"/>
        <v>1460</v>
      </c>
      <c r="K70" s="95">
        <f t="shared" si="327"/>
        <v>1642.5</v>
      </c>
      <c r="L70" s="95">
        <f t="shared" si="327"/>
        <v>1825</v>
      </c>
      <c r="M70" s="95">
        <f t="shared" si="327"/>
        <v>2007.5</v>
      </c>
      <c r="N70" s="95">
        <f t="shared" si="327"/>
        <v>2190</v>
      </c>
      <c r="O70" s="95">
        <f t="shared" si="327"/>
        <v>2372.5</v>
      </c>
      <c r="P70" s="95">
        <f t="shared" si="327"/>
        <v>2555</v>
      </c>
      <c r="Q70" s="95">
        <f t="shared" si="327"/>
        <v>2737.5</v>
      </c>
      <c r="R70" s="95">
        <f t="shared" si="327"/>
        <v>2920</v>
      </c>
      <c r="S70" s="95">
        <f t="shared" si="327"/>
        <v>3102.5</v>
      </c>
      <c r="T70" s="95">
        <f t="shared" si="327"/>
        <v>3285</v>
      </c>
      <c r="U70" s="95">
        <f t="shared" si="327"/>
        <v>3467.5</v>
      </c>
      <c r="V70" s="95">
        <f t="shared" si="327"/>
        <v>3650</v>
      </c>
      <c r="W70" s="95">
        <f t="shared" si="327"/>
        <v>3832.5</v>
      </c>
      <c r="X70" s="95">
        <f t="shared" si="327"/>
        <v>4015</v>
      </c>
      <c r="Y70" s="95">
        <f t="shared" si="327"/>
        <v>4197.5</v>
      </c>
      <c r="Z70" s="95">
        <f t="shared" si="327"/>
        <v>4380</v>
      </c>
      <c r="AA70" s="95">
        <f t="shared" si="327"/>
        <v>4562.5</v>
      </c>
      <c r="AB70" s="95">
        <f t="shared" si="327"/>
        <v>4745</v>
      </c>
      <c r="AC70" s="95">
        <f t="shared" si="327"/>
        <v>4927.5</v>
      </c>
      <c r="AD70" s="95">
        <f t="shared" si="327"/>
        <v>5110</v>
      </c>
      <c r="AE70" s="95">
        <f t="shared" si="327"/>
        <v>5292.5</v>
      </c>
      <c r="AF70" s="95">
        <f t="shared" si="327"/>
        <v>5475</v>
      </c>
      <c r="AG70" s="95">
        <f t="shared" si="327"/>
        <v>5657.5</v>
      </c>
      <c r="AH70" s="95">
        <f t="shared" si="327"/>
        <v>5840</v>
      </c>
      <c r="AI70" s="95">
        <f t="shared" si="327"/>
        <v>6022.5</v>
      </c>
      <c r="AJ70" s="95">
        <f t="shared" si="327"/>
        <v>6205</v>
      </c>
      <c r="AK70" s="95">
        <f t="shared" si="327"/>
        <v>6387.5</v>
      </c>
      <c r="AL70" s="95">
        <f t="shared" si="327"/>
        <v>6570</v>
      </c>
      <c r="AM70" s="95">
        <f t="shared" si="327"/>
        <v>6752.5</v>
      </c>
      <c r="AN70" s="95">
        <f t="shared" si="327"/>
        <v>6935</v>
      </c>
      <c r="AO70" s="95">
        <f t="shared" si="327"/>
        <v>7117.5</v>
      </c>
      <c r="AP70" s="95">
        <f t="shared" si="327"/>
        <v>7300</v>
      </c>
      <c r="AQ70" s="95">
        <f t="shared" si="327"/>
        <v>7482.5</v>
      </c>
      <c r="AR70" s="95">
        <f t="shared" si="327"/>
        <v>7665</v>
      </c>
      <c r="AS70" s="95">
        <f t="shared" si="327"/>
        <v>7847.5</v>
      </c>
      <c r="AT70" s="95">
        <f t="shared" si="327"/>
        <v>8030</v>
      </c>
      <c r="AU70" s="95">
        <f t="shared" si="327"/>
        <v>8212.5</v>
      </c>
      <c r="AV70" s="95">
        <f t="shared" si="327"/>
        <v>8395</v>
      </c>
      <c r="AW70" s="95">
        <f t="shared" si="327"/>
        <v>8577.5</v>
      </c>
      <c r="AX70" s="95">
        <f t="shared" si="327"/>
        <v>8760</v>
      </c>
      <c r="AY70" s="95">
        <f t="shared" si="327"/>
        <v>8942.5</v>
      </c>
      <c r="AZ70" s="95">
        <f t="shared" si="327"/>
        <v>9125</v>
      </c>
      <c r="BA70" s="95">
        <f t="shared" si="327"/>
        <v>9307.5</v>
      </c>
      <c r="BB70" s="95">
        <f t="shared" si="327"/>
        <v>9490</v>
      </c>
      <c r="BC70" s="95">
        <f t="shared" si="327"/>
        <v>9672.5</v>
      </c>
      <c r="BD70" s="95">
        <f t="shared" si="327"/>
        <v>9855</v>
      </c>
      <c r="BE70" s="95">
        <f t="shared" si="327"/>
        <v>10037.5</v>
      </c>
      <c r="BF70" s="95">
        <f t="shared" si="327"/>
        <v>10220</v>
      </c>
      <c r="BG70" s="95">
        <f t="shared" si="327"/>
        <v>10402.5</v>
      </c>
      <c r="BH70" s="95">
        <f t="shared" si="327"/>
        <v>10585</v>
      </c>
      <c r="BI70" s="95">
        <f t="shared" si="327"/>
        <v>10767.5</v>
      </c>
      <c r="BJ70" s="95">
        <f t="shared" si="327"/>
        <v>10950</v>
      </c>
      <c r="BK70" s="95">
        <f t="shared" si="327"/>
        <v>11132.5</v>
      </c>
      <c r="BL70" s="95">
        <f t="shared" si="327"/>
        <v>11315</v>
      </c>
      <c r="BM70" s="95">
        <f t="shared" si="327"/>
        <v>11497.5</v>
      </c>
      <c r="BN70" s="95">
        <f t="shared" si="327"/>
        <v>11680</v>
      </c>
      <c r="BO70" s="95">
        <f t="shared" ref="BO70:CB70" si="328">BN70+IF($G22=1,365,182.5)</f>
        <v>11862.5</v>
      </c>
      <c r="BP70" s="95">
        <f t="shared" si="328"/>
        <v>12045</v>
      </c>
      <c r="BQ70" s="95">
        <f t="shared" si="328"/>
        <v>12227.5</v>
      </c>
      <c r="BR70" s="95">
        <f t="shared" si="328"/>
        <v>12410</v>
      </c>
      <c r="BS70" s="95">
        <f t="shared" si="328"/>
        <v>12592.5</v>
      </c>
      <c r="BT70" s="95">
        <f t="shared" si="328"/>
        <v>12775</v>
      </c>
      <c r="BU70" s="95">
        <f t="shared" si="328"/>
        <v>12957.5</v>
      </c>
      <c r="BV70" s="95">
        <f t="shared" si="328"/>
        <v>13140</v>
      </c>
      <c r="BW70" s="95">
        <f t="shared" si="328"/>
        <v>13322.5</v>
      </c>
      <c r="BX70" s="95">
        <f t="shared" si="328"/>
        <v>13505</v>
      </c>
      <c r="BY70" s="95">
        <f t="shared" si="328"/>
        <v>13687.5</v>
      </c>
      <c r="BZ70" s="95">
        <f t="shared" si="328"/>
        <v>13870</v>
      </c>
      <c r="CA70" s="95">
        <f t="shared" si="328"/>
        <v>14052.5</v>
      </c>
      <c r="CB70" s="96">
        <f t="shared" si="328"/>
        <v>14235</v>
      </c>
    </row>
    <row r="71" spans="1:115">
      <c r="A71" s="181" t="s">
        <v>38</v>
      </c>
      <c r="B71" s="116">
        <f>(IF(B70=F22,100,0)+IF(G22=1,1,0.5)*J22*100)*IF(ISBLANK(F22)=TRUE,0,1)</f>
        <v>0</v>
      </c>
      <c r="C71" s="97">
        <f>IF(C70&gt;$F22+1,0,1)*(  IF(D71=0,100,0)+IF($G22=1,1,0.5)*$J22*100)</f>
        <v>0</v>
      </c>
      <c r="D71" s="97">
        <f t="shared" ref="D71:BO71" si="329">IF(D70&gt;$F22+1,0,1)*(  IF(E71=0,100,0)+IF($G22=1,1,0.5)*$J22*100)</f>
        <v>0</v>
      </c>
      <c r="E71" s="97">
        <f t="shared" si="329"/>
        <v>0</v>
      </c>
      <c r="F71" s="97">
        <f t="shared" si="329"/>
        <v>0</v>
      </c>
      <c r="G71" s="97">
        <f t="shared" si="329"/>
        <v>0</v>
      </c>
      <c r="H71" s="97">
        <f t="shared" si="329"/>
        <v>0</v>
      </c>
      <c r="I71" s="97">
        <f t="shared" si="329"/>
        <v>0</v>
      </c>
      <c r="J71" s="97">
        <f t="shared" si="329"/>
        <v>0</v>
      </c>
      <c r="K71" s="97">
        <f t="shared" si="329"/>
        <v>0</v>
      </c>
      <c r="L71" s="97">
        <f t="shared" si="329"/>
        <v>0</v>
      </c>
      <c r="M71" s="97">
        <f t="shared" si="329"/>
        <v>0</v>
      </c>
      <c r="N71" s="97">
        <f t="shared" si="329"/>
        <v>0</v>
      </c>
      <c r="O71" s="97">
        <f t="shared" si="329"/>
        <v>0</v>
      </c>
      <c r="P71" s="97">
        <f t="shared" si="329"/>
        <v>0</v>
      </c>
      <c r="Q71" s="97">
        <f t="shared" si="329"/>
        <v>0</v>
      </c>
      <c r="R71" s="97">
        <f t="shared" si="329"/>
        <v>0</v>
      </c>
      <c r="S71" s="97">
        <f t="shared" si="329"/>
        <v>0</v>
      </c>
      <c r="T71" s="97">
        <f t="shared" si="329"/>
        <v>0</v>
      </c>
      <c r="U71" s="97">
        <f t="shared" si="329"/>
        <v>0</v>
      </c>
      <c r="V71" s="97">
        <f t="shared" si="329"/>
        <v>0</v>
      </c>
      <c r="W71" s="97">
        <f t="shared" si="329"/>
        <v>0</v>
      </c>
      <c r="X71" s="97">
        <f t="shared" si="329"/>
        <v>0</v>
      </c>
      <c r="Y71" s="97">
        <f t="shared" si="329"/>
        <v>0</v>
      </c>
      <c r="Z71" s="97">
        <f t="shared" si="329"/>
        <v>0</v>
      </c>
      <c r="AA71" s="97">
        <f t="shared" si="329"/>
        <v>0</v>
      </c>
      <c r="AB71" s="97">
        <f t="shared" si="329"/>
        <v>0</v>
      </c>
      <c r="AC71" s="97">
        <f t="shared" si="329"/>
        <v>0</v>
      </c>
      <c r="AD71" s="97">
        <f t="shared" si="329"/>
        <v>0</v>
      </c>
      <c r="AE71" s="97">
        <f t="shared" si="329"/>
        <v>0</v>
      </c>
      <c r="AF71" s="97">
        <f t="shared" si="329"/>
        <v>0</v>
      </c>
      <c r="AG71" s="97">
        <f t="shared" si="329"/>
        <v>0</v>
      </c>
      <c r="AH71" s="97">
        <f t="shared" si="329"/>
        <v>0</v>
      </c>
      <c r="AI71" s="97">
        <f t="shared" si="329"/>
        <v>0</v>
      </c>
      <c r="AJ71" s="97">
        <f t="shared" si="329"/>
        <v>0</v>
      </c>
      <c r="AK71" s="97">
        <f t="shared" si="329"/>
        <v>0</v>
      </c>
      <c r="AL71" s="97">
        <f t="shared" si="329"/>
        <v>0</v>
      </c>
      <c r="AM71" s="97">
        <f t="shared" si="329"/>
        <v>0</v>
      </c>
      <c r="AN71" s="97">
        <f t="shared" si="329"/>
        <v>0</v>
      </c>
      <c r="AO71" s="97">
        <f t="shared" si="329"/>
        <v>0</v>
      </c>
      <c r="AP71" s="97">
        <f t="shared" si="329"/>
        <v>0</v>
      </c>
      <c r="AQ71" s="97">
        <f t="shared" si="329"/>
        <v>0</v>
      </c>
      <c r="AR71" s="97">
        <f t="shared" si="329"/>
        <v>0</v>
      </c>
      <c r="AS71" s="97">
        <f t="shared" si="329"/>
        <v>0</v>
      </c>
      <c r="AT71" s="97">
        <f t="shared" si="329"/>
        <v>0</v>
      </c>
      <c r="AU71" s="97">
        <f t="shared" si="329"/>
        <v>0</v>
      </c>
      <c r="AV71" s="97">
        <f t="shared" si="329"/>
        <v>0</v>
      </c>
      <c r="AW71" s="97">
        <f t="shared" si="329"/>
        <v>0</v>
      </c>
      <c r="AX71" s="97">
        <f t="shared" si="329"/>
        <v>0</v>
      </c>
      <c r="AY71" s="97">
        <f t="shared" si="329"/>
        <v>0</v>
      </c>
      <c r="AZ71" s="97">
        <f t="shared" si="329"/>
        <v>0</v>
      </c>
      <c r="BA71" s="97">
        <f t="shared" si="329"/>
        <v>0</v>
      </c>
      <c r="BB71" s="97">
        <f t="shared" si="329"/>
        <v>0</v>
      </c>
      <c r="BC71" s="97">
        <f t="shared" si="329"/>
        <v>0</v>
      </c>
      <c r="BD71" s="97">
        <f t="shared" si="329"/>
        <v>0</v>
      </c>
      <c r="BE71" s="97">
        <f t="shared" si="329"/>
        <v>0</v>
      </c>
      <c r="BF71" s="97">
        <f t="shared" si="329"/>
        <v>0</v>
      </c>
      <c r="BG71" s="97">
        <f t="shared" si="329"/>
        <v>0</v>
      </c>
      <c r="BH71" s="97">
        <f t="shared" si="329"/>
        <v>0</v>
      </c>
      <c r="BI71" s="97">
        <f t="shared" si="329"/>
        <v>0</v>
      </c>
      <c r="BJ71" s="97">
        <f t="shared" si="329"/>
        <v>0</v>
      </c>
      <c r="BK71" s="97">
        <f t="shared" si="329"/>
        <v>0</v>
      </c>
      <c r="BL71" s="97">
        <f t="shared" si="329"/>
        <v>0</v>
      </c>
      <c r="BM71" s="97">
        <f t="shared" si="329"/>
        <v>0</v>
      </c>
      <c r="BN71" s="97">
        <f t="shared" si="329"/>
        <v>0</v>
      </c>
      <c r="BO71" s="97">
        <f t="shared" si="329"/>
        <v>0</v>
      </c>
      <c r="BP71" s="97">
        <f t="shared" ref="BP71:CB71" si="330">IF(BP70&gt;$F22+1,0,1)*(  IF(BQ71=0,100,0)+IF($G22=1,1,0.5)*$J22*100)</f>
        <v>0</v>
      </c>
      <c r="BQ71" s="97">
        <f t="shared" si="330"/>
        <v>0</v>
      </c>
      <c r="BR71" s="97">
        <f t="shared" si="330"/>
        <v>0</v>
      </c>
      <c r="BS71" s="97">
        <f t="shared" si="330"/>
        <v>0</v>
      </c>
      <c r="BT71" s="97">
        <f t="shared" si="330"/>
        <v>0</v>
      </c>
      <c r="BU71" s="97">
        <f t="shared" si="330"/>
        <v>0</v>
      </c>
      <c r="BV71" s="97">
        <f t="shared" si="330"/>
        <v>0</v>
      </c>
      <c r="BW71" s="97">
        <f t="shared" si="330"/>
        <v>0</v>
      </c>
      <c r="BX71" s="97">
        <f t="shared" si="330"/>
        <v>0</v>
      </c>
      <c r="BY71" s="97">
        <f t="shared" si="330"/>
        <v>0</v>
      </c>
      <c r="BZ71" s="97">
        <f t="shared" si="330"/>
        <v>0</v>
      </c>
      <c r="CA71" s="97">
        <f t="shared" si="330"/>
        <v>0</v>
      </c>
      <c r="CB71" s="98">
        <f t="shared" si="330"/>
        <v>0</v>
      </c>
    </row>
    <row r="72" spans="1:115">
      <c r="A72" s="245" t="s">
        <v>49</v>
      </c>
      <c r="B72" s="99">
        <f>IF(E23=0,F23,E23)</f>
        <v>0</v>
      </c>
      <c r="C72" s="100">
        <f t="shared" ref="C72:BN72" si="331">B72+IF($G23=1,365,182.5)</f>
        <v>182.5</v>
      </c>
      <c r="D72" s="100">
        <f t="shared" si="331"/>
        <v>365</v>
      </c>
      <c r="E72" s="100">
        <f t="shared" si="331"/>
        <v>547.5</v>
      </c>
      <c r="F72" s="100">
        <f t="shared" si="331"/>
        <v>730</v>
      </c>
      <c r="G72" s="100">
        <f t="shared" si="331"/>
        <v>912.5</v>
      </c>
      <c r="H72" s="100">
        <f t="shared" si="331"/>
        <v>1095</v>
      </c>
      <c r="I72" s="100">
        <f t="shared" si="331"/>
        <v>1277.5</v>
      </c>
      <c r="J72" s="100">
        <f t="shared" si="331"/>
        <v>1460</v>
      </c>
      <c r="K72" s="100">
        <f t="shared" si="331"/>
        <v>1642.5</v>
      </c>
      <c r="L72" s="100">
        <f t="shared" si="331"/>
        <v>1825</v>
      </c>
      <c r="M72" s="100">
        <f t="shared" si="331"/>
        <v>2007.5</v>
      </c>
      <c r="N72" s="100">
        <f t="shared" si="331"/>
        <v>2190</v>
      </c>
      <c r="O72" s="100">
        <f t="shared" si="331"/>
        <v>2372.5</v>
      </c>
      <c r="P72" s="100">
        <f t="shared" si="331"/>
        <v>2555</v>
      </c>
      <c r="Q72" s="100">
        <f t="shared" si="331"/>
        <v>2737.5</v>
      </c>
      <c r="R72" s="100">
        <f t="shared" si="331"/>
        <v>2920</v>
      </c>
      <c r="S72" s="100">
        <f t="shared" si="331"/>
        <v>3102.5</v>
      </c>
      <c r="T72" s="100">
        <f t="shared" si="331"/>
        <v>3285</v>
      </c>
      <c r="U72" s="100">
        <f t="shared" si="331"/>
        <v>3467.5</v>
      </c>
      <c r="V72" s="100">
        <f t="shared" si="331"/>
        <v>3650</v>
      </c>
      <c r="W72" s="100">
        <f t="shared" si="331"/>
        <v>3832.5</v>
      </c>
      <c r="X72" s="100">
        <f t="shared" si="331"/>
        <v>4015</v>
      </c>
      <c r="Y72" s="100">
        <f t="shared" si="331"/>
        <v>4197.5</v>
      </c>
      <c r="Z72" s="100">
        <f t="shared" si="331"/>
        <v>4380</v>
      </c>
      <c r="AA72" s="100">
        <f t="shared" si="331"/>
        <v>4562.5</v>
      </c>
      <c r="AB72" s="100">
        <f t="shared" si="331"/>
        <v>4745</v>
      </c>
      <c r="AC72" s="100">
        <f t="shared" si="331"/>
        <v>4927.5</v>
      </c>
      <c r="AD72" s="100">
        <f t="shared" si="331"/>
        <v>5110</v>
      </c>
      <c r="AE72" s="100">
        <f t="shared" si="331"/>
        <v>5292.5</v>
      </c>
      <c r="AF72" s="100">
        <f t="shared" si="331"/>
        <v>5475</v>
      </c>
      <c r="AG72" s="100">
        <f t="shared" si="331"/>
        <v>5657.5</v>
      </c>
      <c r="AH72" s="100">
        <f t="shared" si="331"/>
        <v>5840</v>
      </c>
      <c r="AI72" s="100">
        <f t="shared" si="331"/>
        <v>6022.5</v>
      </c>
      <c r="AJ72" s="100">
        <f t="shared" si="331"/>
        <v>6205</v>
      </c>
      <c r="AK72" s="100">
        <f t="shared" si="331"/>
        <v>6387.5</v>
      </c>
      <c r="AL72" s="100">
        <f t="shared" si="331"/>
        <v>6570</v>
      </c>
      <c r="AM72" s="100">
        <f t="shared" si="331"/>
        <v>6752.5</v>
      </c>
      <c r="AN72" s="100">
        <f t="shared" si="331"/>
        <v>6935</v>
      </c>
      <c r="AO72" s="100">
        <f t="shared" si="331"/>
        <v>7117.5</v>
      </c>
      <c r="AP72" s="100">
        <f t="shared" si="331"/>
        <v>7300</v>
      </c>
      <c r="AQ72" s="100">
        <f t="shared" si="331"/>
        <v>7482.5</v>
      </c>
      <c r="AR72" s="100">
        <f t="shared" si="331"/>
        <v>7665</v>
      </c>
      <c r="AS72" s="100">
        <f t="shared" si="331"/>
        <v>7847.5</v>
      </c>
      <c r="AT72" s="100">
        <f t="shared" si="331"/>
        <v>8030</v>
      </c>
      <c r="AU72" s="100">
        <f t="shared" si="331"/>
        <v>8212.5</v>
      </c>
      <c r="AV72" s="100">
        <f t="shared" si="331"/>
        <v>8395</v>
      </c>
      <c r="AW72" s="100">
        <f t="shared" si="331"/>
        <v>8577.5</v>
      </c>
      <c r="AX72" s="100">
        <f t="shared" si="331"/>
        <v>8760</v>
      </c>
      <c r="AY72" s="100">
        <f t="shared" si="331"/>
        <v>8942.5</v>
      </c>
      <c r="AZ72" s="100">
        <f t="shared" si="331"/>
        <v>9125</v>
      </c>
      <c r="BA72" s="100">
        <f t="shared" si="331"/>
        <v>9307.5</v>
      </c>
      <c r="BB72" s="100">
        <f t="shared" si="331"/>
        <v>9490</v>
      </c>
      <c r="BC72" s="100">
        <f t="shared" si="331"/>
        <v>9672.5</v>
      </c>
      <c r="BD72" s="100">
        <f t="shared" si="331"/>
        <v>9855</v>
      </c>
      <c r="BE72" s="100">
        <f t="shared" si="331"/>
        <v>10037.5</v>
      </c>
      <c r="BF72" s="100">
        <f t="shared" si="331"/>
        <v>10220</v>
      </c>
      <c r="BG72" s="100">
        <f t="shared" si="331"/>
        <v>10402.5</v>
      </c>
      <c r="BH72" s="100">
        <f t="shared" si="331"/>
        <v>10585</v>
      </c>
      <c r="BI72" s="100">
        <f t="shared" si="331"/>
        <v>10767.5</v>
      </c>
      <c r="BJ72" s="100">
        <f t="shared" si="331"/>
        <v>10950</v>
      </c>
      <c r="BK72" s="100">
        <f t="shared" si="331"/>
        <v>11132.5</v>
      </c>
      <c r="BL72" s="100">
        <f t="shared" si="331"/>
        <v>11315</v>
      </c>
      <c r="BM72" s="100">
        <f t="shared" si="331"/>
        <v>11497.5</v>
      </c>
      <c r="BN72" s="100">
        <f t="shared" si="331"/>
        <v>11680</v>
      </c>
      <c r="BO72" s="100">
        <f t="shared" ref="BO72:CB72" si="332">BN72+IF($G23=1,365,182.5)</f>
        <v>11862.5</v>
      </c>
      <c r="BP72" s="100">
        <f t="shared" si="332"/>
        <v>12045</v>
      </c>
      <c r="BQ72" s="100">
        <f t="shared" si="332"/>
        <v>12227.5</v>
      </c>
      <c r="BR72" s="100">
        <f t="shared" si="332"/>
        <v>12410</v>
      </c>
      <c r="BS72" s="100">
        <f t="shared" si="332"/>
        <v>12592.5</v>
      </c>
      <c r="BT72" s="100">
        <f t="shared" si="332"/>
        <v>12775</v>
      </c>
      <c r="BU72" s="100">
        <f t="shared" si="332"/>
        <v>12957.5</v>
      </c>
      <c r="BV72" s="100">
        <f t="shared" si="332"/>
        <v>13140</v>
      </c>
      <c r="BW72" s="100">
        <f t="shared" si="332"/>
        <v>13322.5</v>
      </c>
      <c r="BX72" s="100">
        <f t="shared" si="332"/>
        <v>13505</v>
      </c>
      <c r="BY72" s="100">
        <f t="shared" si="332"/>
        <v>13687.5</v>
      </c>
      <c r="BZ72" s="100">
        <f t="shared" si="332"/>
        <v>13870</v>
      </c>
      <c r="CA72" s="100">
        <f t="shared" si="332"/>
        <v>14052.5</v>
      </c>
      <c r="CB72" s="101">
        <f t="shared" si="332"/>
        <v>14235</v>
      </c>
    </row>
    <row r="73" spans="1:115">
      <c r="A73" s="182" t="s">
        <v>39</v>
      </c>
      <c r="B73" s="117">
        <f>(IF(B72=F23,100,0)+IF(G23=1,1,0.5)*J23*100)*IF(ISBLANK(F23)=TRUE,0,1)</f>
        <v>0</v>
      </c>
      <c r="C73" s="102">
        <f>IF(C72&gt;$F23+1,0,1)*(IF(D73=0,100,0)+IF($G23=1,1,0.5)*$J23*100)</f>
        <v>0</v>
      </c>
      <c r="D73" s="102">
        <f t="shared" ref="D73:BO73" si="333">IF(D72&gt;$F23+1,0,1)*(IF(E73=0,100,0)+IF($G23=1,1,0.5)*$J23*100)</f>
        <v>0</v>
      </c>
      <c r="E73" s="102">
        <f t="shared" si="333"/>
        <v>0</v>
      </c>
      <c r="F73" s="102">
        <f t="shared" si="333"/>
        <v>0</v>
      </c>
      <c r="G73" s="102">
        <f t="shared" si="333"/>
        <v>0</v>
      </c>
      <c r="H73" s="102">
        <f t="shared" si="333"/>
        <v>0</v>
      </c>
      <c r="I73" s="102">
        <f t="shared" si="333"/>
        <v>0</v>
      </c>
      <c r="J73" s="102">
        <f t="shared" si="333"/>
        <v>0</v>
      </c>
      <c r="K73" s="102">
        <f t="shared" si="333"/>
        <v>0</v>
      </c>
      <c r="L73" s="102">
        <f t="shared" si="333"/>
        <v>0</v>
      </c>
      <c r="M73" s="102">
        <f t="shared" si="333"/>
        <v>0</v>
      </c>
      <c r="N73" s="102">
        <f t="shared" si="333"/>
        <v>0</v>
      </c>
      <c r="O73" s="102">
        <f t="shared" si="333"/>
        <v>0</v>
      </c>
      <c r="P73" s="102">
        <f t="shared" si="333"/>
        <v>0</v>
      </c>
      <c r="Q73" s="102">
        <f t="shared" si="333"/>
        <v>0</v>
      </c>
      <c r="R73" s="102">
        <f t="shared" si="333"/>
        <v>0</v>
      </c>
      <c r="S73" s="102">
        <f t="shared" si="333"/>
        <v>0</v>
      </c>
      <c r="T73" s="102">
        <f t="shared" si="333"/>
        <v>0</v>
      </c>
      <c r="U73" s="102">
        <f t="shared" si="333"/>
        <v>0</v>
      </c>
      <c r="V73" s="102">
        <f t="shared" si="333"/>
        <v>0</v>
      </c>
      <c r="W73" s="102">
        <f t="shared" si="333"/>
        <v>0</v>
      </c>
      <c r="X73" s="102">
        <f t="shared" si="333"/>
        <v>0</v>
      </c>
      <c r="Y73" s="102">
        <f t="shared" si="333"/>
        <v>0</v>
      </c>
      <c r="Z73" s="102">
        <f t="shared" si="333"/>
        <v>0</v>
      </c>
      <c r="AA73" s="102">
        <f t="shared" si="333"/>
        <v>0</v>
      </c>
      <c r="AB73" s="102">
        <f t="shared" si="333"/>
        <v>0</v>
      </c>
      <c r="AC73" s="102">
        <f t="shared" si="333"/>
        <v>0</v>
      </c>
      <c r="AD73" s="102">
        <f t="shared" si="333"/>
        <v>0</v>
      </c>
      <c r="AE73" s="102">
        <f t="shared" si="333"/>
        <v>0</v>
      </c>
      <c r="AF73" s="102">
        <f t="shared" si="333"/>
        <v>0</v>
      </c>
      <c r="AG73" s="102">
        <f t="shared" si="333"/>
        <v>0</v>
      </c>
      <c r="AH73" s="102">
        <f t="shared" si="333"/>
        <v>0</v>
      </c>
      <c r="AI73" s="102">
        <f t="shared" si="333"/>
        <v>0</v>
      </c>
      <c r="AJ73" s="102">
        <f t="shared" si="333"/>
        <v>0</v>
      </c>
      <c r="AK73" s="102">
        <f t="shared" si="333"/>
        <v>0</v>
      </c>
      <c r="AL73" s="102">
        <f t="shared" si="333"/>
        <v>0</v>
      </c>
      <c r="AM73" s="102">
        <f t="shared" si="333"/>
        <v>0</v>
      </c>
      <c r="AN73" s="102">
        <f t="shared" si="333"/>
        <v>0</v>
      </c>
      <c r="AO73" s="102">
        <f t="shared" si="333"/>
        <v>0</v>
      </c>
      <c r="AP73" s="102">
        <f t="shared" si="333"/>
        <v>0</v>
      </c>
      <c r="AQ73" s="102">
        <f t="shared" si="333"/>
        <v>0</v>
      </c>
      <c r="AR73" s="102">
        <f t="shared" si="333"/>
        <v>0</v>
      </c>
      <c r="AS73" s="102">
        <f t="shared" si="333"/>
        <v>0</v>
      </c>
      <c r="AT73" s="102">
        <f t="shared" si="333"/>
        <v>0</v>
      </c>
      <c r="AU73" s="102">
        <f t="shared" si="333"/>
        <v>0</v>
      </c>
      <c r="AV73" s="102">
        <f t="shared" si="333"/>
        <v>0</v>
      </c>
      <c r="AW73" s="102">
        <f t="shared" si="333"/>
        <v>0</v>
      </c>
      <c r="AX73" s="102">
        <f t="shared" si="333"/>
        <v>0</v>
      </c>
      <c r="AY73" s="102">
        <f t="shared" si="333"/>
        <v>0</v>
      </c>
      <c r="AZ73" s="102">
        <f t="shared" si="333"/>
        <v>0</v>
      </c>
      <c r="BA73" s="102">
        <f t="shared" si="333"/>
        <v>0</v>
      </c>
      <c r="BB73" s="102">
        <f t="shared" si="333"/>
        <v>0</v>
      </c>
      <c r="BC73" s="102">
        <f t="shared" si="333"/>
        <v>0</v>
      </c>
      <c r="BD73" s="102">
        <f t="shared" si="333"/>
        <v>0</v>
      </c>
      <c r="BE73" s="102">
        <f t="shared" si="333"/>
        <v>0</v>
      </c>
      <c r="BF73" s="102">
        <f t="shared" si="333"/>
        <v>0</v>
      </c>
      <c r="BG73" s="102">
        <f t="shared" si="333"/>
        <v>0</v>
      </c>
      <c r="BH73" s="102">
        <f t="shared" si="333"/>
        <v>0</v>
      </c>
      <c r="BI73" s="102">
        <f t="shared" si="333"/>
        <v>0</v>
      </c>
      <c r="BJ73" s="102">
        <f t="shared" si="333"/>
        <v>0</v>
      </c>
      <c r="BK73" s="102">
        <f t="shared" si="333"/>
        <v>0</v>
      </c>
      <c r="BL73" s="102">
        <f t="shared" si="333"/>
        <v>0</v>
      </c>
      <c r="BM73" s="102">
        <f t="shared" si="333"/>
        <v>0</v>
      </c>
      <c r="BN73" s="102">
        <f t="shared" si="333"/>
        <v>0</v>
      </c>
      <c r="BO73" s="102">
        <f t="shared" si="333"/>
        <v>0</v>
      </c>
      <c r="BP73" s="102">
        <f t="shared" ref="BP73:CB73" si="334">IF(BP72&gt;$F23+1,0,1)*(IF(BQ73=0,100,0)+IF($G23=1,1,0.5)*$J23*100)</f>
        <v>0</v>
      </c>
      <c r="BQ73" s="102">
        <f t="shared" si="334"/>
        <v>0</v>
      </c>
      <c r="BR73" s="102">
        <f t="shared" si="334"/>
        <v>0</v>
      </c>
      <c r="BS73" s="102">
        <f t="shared" si="334"/>
        <v>0</v>
      </c>
      <c r="BT73" s="102">
        <f t="shared" si="334"/>
        <v>0</v>
      </c>
      <c r="BU73" s="102">
        <f t="shared" si="334"/>
        <v>0</v>
      </c>
      <c r="BV73" s="102">
        <f t="shared" si="334"/>
        <v>0</v>
      </c>
      <c r="BW73" s="102">
        <f t="shared" si="334"/>
        <v>0</v>
      </c>
      <c r="BX73" s="102">
        <f t="shared" si="334"/>
        <v>0</v>
      </c>
      <c r="BY73" s="102">
        <f t="shared" si="334"/>
        <v>0</v>
      </c>
      <c r="BZ73" s="102">
        <f t="shared" si="334"/>
        <v>0</v>
      </c>
      <c r="CA73" s="102">
        <f t="shared" si="334"/>
        <v>0</v>
      </c>
      <c r="CB73" s="103">
        <f t="shared" si="334"/>
        <v>0</v>
      </c>
      <c r="CF73" s="9"/>
      <c r="CG73" s="9"/>
      <c r="CH73" s="9"/>
      <c r="CI73" s="9"/>
      <c r="CJ73" s="9"/>
      <c r="CK73" s="9"/>
      <c r="CL73" s="9"/>
      <c r="CM73" s="9"/>
      <c r="CN73" s="9"/>
      <c r="CO73" s="9"/>
      <c r="CP73" s="9"/>
      <c r="CQ73" s="9"/>
      <c r="CR73" s="9"/>
      <c r="CS73" s="9"/>
      <c r="CT73" s="9"/>
      <c r="CU73" s="9"/>
      <c r="CV73" s="9"/>
      <c r="CW73" s="9"/>
      <c r="CX73" s="9"/>
      <c r="CY73" s="9"/>
      <c r="CZ73" s="9"/>
      <c r="DA73" s="9"/>
      <c r="DB73" s="9"/>
      <c r="DC73" s="9"/>
      <c r="DD73" s="9"/>
      <c r="DE73" s="9"/>
      <c r="DF73" s="9"/>
      <c r="DG73" s="9"/>
      <c r="DH73" s="9"/>
      <c r="DI73" s="9"/>
      <c r="DJ73" s="9"/>
      <c r="DK73" s="9"/>
    </row>
    <row r="74" spans="1:115">
      <c r="A74" s="244" t="s">
        <v>49</v>
      </c>
      <c r="B74" s="216">
        <f>IF(E24=0,F24,E24)</f>
        <v>0</v>
      </c>
      <c r="C74" s="188">
        <f>B74+IF($G24=1,365,182.5)</f>
        <v>182.5</v>
      </c>
      <c r="D74" s="188">
        <f>C74+IF($G24=1,365,182.5)</f>
        <v>365</v>
      </c>
      <c r="E74" s="188">
        <f t="shared" ref="E74:BP74" si="335">D74+IF($G24=1,365,182.5)</f>
        <v>547.5</v>
      </c>
      <c r="F74" s="188">
        <f t="shared" si="335"/>
        <v>730</v>
      </c>
      <c r="G74" s="188">
        <f t="shared" si="335"/>
        <v>912.5</v>
      </c>
      <c r="H74" s="188">
        <f t="shared" si="335"/>
        <v>1095</v>
      </c>
      <c r="I74" s="188">
        <f t="shared" si="335"/>
        <v>1277.5</v>
      </c>
      <c r="J74" s="188">
        <f t="shared" si="335"/>
        <v>1460</v>
      </c>
      <c r="K74" s="188">
        <f t="shared" si="335"/>
        <v>1642.5</v>
      </c>
      <c r="L74" s="188">
        <f t="shared" si="335"/>
        <v>1825</v>
      </c>
      <c r="M74" s="188">
        <f t="shared" si="335"/>
        <v>2007.5</v>
      </c>
      <c r="N74" s="188">
        <f t="shared" si="335"/>
        <v>2190</v>
      </c>
      <c r="O74" s="188">
        <f t="shared" si="335"/>
        <v>2372.5</v>
      </c>
      <c r="P74" s="188">
        <f t="shared" si="335"/>
        <v>2555</v>
      </c>
      <c r="Q74" s="188">
        <f t="shared" si="335"/>
        <v>2737.5</v>
      </c>
      <c r="R74" s="188">
        <f t="shared" si="335"/>
        <v>2920</v>
      </c>
      <c r="S74" s="188">
        <f t="shared" si="335"/>
        <v>3102.5</v>
      </c>
      <c r="T74" s="188">
        <f t="shared" si="335"/>
        <v>3285</v>
      </c>
      <c r="U74" s="188">
        <f t="shared" si="335"/>
        <v>3467.5</v>
      </c>
      <c r="V74" s="188">
        <f t="shared" si="335"/>
        <v>3650</v>
      </c>
      <c r="W74" s="188">
        <f t="shared" si="335"/>
        <v>3832.5</v>
      </c>
      <c r="X74" s="188">
        <f t="shared" si="335"/>
        <v>4015</v>
      </c>
      <c r="Y74" s="188">
        <f t="shared" si="335"/>
        <v>4197.5</v>
      </c>
      <c r="Z74" s="188">
        <f t="shared" si="335"/>
        <v>4380</v>
      </c>
      <c r="AA74" s="188">
        <f t="shared" si="335"/>
        <v>4562.5</v>
      </c>
      <c r="AB74" s="188">
        <f t="shared" si="335"/>
        <v>4745</v>
      </c>
      <c r="AC74" s="188">
        <f t="shared" si="335"/>
        <v>4927.5</v>
      </c>
      <c r="AD74" s="188">
        <f t="shared" si="335"/>
        <v>5110</v>
      </c>
      <c r="AE74" s="188">
        <f t="shared" si="335"/>
        <v>5292.5</v>
      </c>
      <c r="AF74" s="188">
        <f t="shared" si="335"/>
        <v>5475</v>
      </c>
      <c r="AG74" s="188">
        <f t="shared" si="335"/>
        <v>5657.5</v>
      </c>
      <c r="AH74" s="188">
        <f t="shared" si="335"/>
        <v>5840</v>
      </c>
      <c r="AI74" s="188">
        <f t="shared" si="335"/>
        <v>6022.5</v>
      </c>
      <c r="AJ74" s="188">
        <f t="shared" si="335"/>
        <v>6205</v>
      </c>
      <c r="AK74" s="188">
        <f t="shared" si="335"/>
        <v>6387.5</v>
      </c>
      <c r="AL74" s="188">
        <f t="shared" si="335"/>
        <v>6570</v>
      </c>
      <c r="AM74" s="188">
        <f t="shared" si="335"/>
        <v>6752.5</v>
      </c>
      <c r="AN74" s="188">
        <f t="shared" si="335"/>
        <v>6935</v>
      </c>
      <c r="AO74" s="188">
        <f t="shared" si="335"/>
        <v>7117.5</v>
      </c>
      <c r="AP74" s="188">
        <f t="shared" si="335"/>
        <v>7300</v>
      </c>
      <c r="AQ74" s="188">
        <f t="shared" si="335"/>
        <v>7482.5</v>
      </c>
      <c r="AR74" s="188">
        <f t="shared" si="335"/>
        <v>7665</v>
      </c>
      <c r="AS74" s="188">
        <f t="shared" si="335"/>
        <v>7847.5</v>
      </c>
      <c r="AT74" s="188">
        <f t="shared" si="335"/>
        <v>8030</v>
      </c>
      <c r="AU74" s="188">
        <f t="shared" si="335"/>
        <v>8212.5</v>
      </c>
      <c r="AV74" s="188">
        <f t="shared" si="335"/>
        <v>8395</v>
      </c>
      <c r="AW74" s="188">
        <f t="shared" si="335"/>
        <v>8577.5</v>
      </c>
      <c r="AX74" s="188">
        <f t="shared" si="335"/>
        <v>8760</v>
      </c>
      <c r="AY74" s="188">
        <f t="shared" si="335"/>
        <v>8942.5</v>
      </c>
      <c r="AZ74" s="188">
        <f t="shared" si="335"/>
        <v>9125</v>
      </c>
      <c r="BA74" s="188">
        <f t="shared" si="335"/>
        <v>9307.5</v>
      </c>
      <c r="BB74" s="188">
        <f t="shared" si="335"/>
        <v>9490</v>
      </c>
      <c r="BC74" s="188">
        <f t="shared" si="335"/>
        <v>9672.5</v>
      </c>
      <c r="BD74" s="188">
        <f t="shared" si="335"/>
        <v>9855</v>
      </c>
      <c r="BE74" s="188">
        <f t="shared" si="335"/>
        <v>10037.5</v>
      </c>
      <c r="BF74" s="188">
        <f t="shared" si="335"/>
        <v>10220</v>
      </c>
      <c r="BG74" s="188">
        <f t="shared" si="335"/>
        <v>10402.5</v>
      </c>
      <c r="BH74" s="188">
        <f t="shared" si="335"/>
        <v>10585</v>
      </c>
      <c r="BI74" s="188">
        <f t="shared" si="335"/>
        <v>10767.5</v>
      </c>
      <c r="BJ74" s="188">
        <f t="shared" si="335"/>
        <v>10950</v>
      </c>
      <c r="BK74" s="188">
        <f t="shared" si="335"/>
        <v>11132.5</v>
      </c>
      <c r="BL74" s="188">
        <f t="shared" si="335"/>
        <v>11315</v>
      </c>
      <c r="BM74" s="188">
        <f t="shared" si="335"/>
        <v>11497.5</v>
      </c>
      <c r="BN74" s="188">
        <f t="shared" si="335"/>
        <v>11680</v>
      </c>
      <c r="BO74" s="188">
        <f t="shared" si="335"/>
        <v>11862.5</v>
      </c>
      <c r="BP74" s="188">
        <f t="shared" si="335"/>
        <v>12045</v>
      </c>
      <c r="BQ74" s="188">
        <f t="shared" ref="BQ74:CB74" si="336">BP74+IF($G24=1,365,182.5)</f>
        <v>12227.5</v>
      </c>
      <c r="BR74" s="188">
        <f t="shared" si="336"/>
        <v>12410</v>
      </c>
      <c r="BS74" s="188">
        <f t="shared" si="336"/>
        <v>12592.5</v>
      </c>
      <c r="BT74" s="188">
        <f t="shared" si="336"/>
        <v>12775</v>
      </c>
      <c r="BU74" s="188">
        <f t="shared" si="336"/>
        <v>12957.5</v>
      </c>
      <c r="BV74" s="188">
        <f t="shared" si="336"/>
        <v>13140</v>
      </c>
      <c r="BW74" s="188">
        <f t="shared" si="336"/>
        <v>13322.5</v>
      </c>
      <c r="BX74" s="188">
        <f t="shared" si="336"/>
        <v>13505</v>
      </c>
      <c r="BY74" s="188">
        <f t="shared" si="336"/>
        <v>13687.5</v>
      </c>
      <c r="BZ74" s="188">
        <f t="shared" si="336"/>
        <v>13870</v>
      </c>
      <c r="CA74" s="188">
        <f t="shared" si="336"/>
        <v>14052.5</v>
      </c>
      <c r="CB74" s="189">
        <f t="shared" si="336"/>
        <v>14235</v>
      </c>
      <c r="CF74" s="9"/>
      <c r="CG74" s="9"/>
      <c r="CH74" s="9"/>
      <c r="CI74" s="9"/>
      <c r="CJ74" s="9"/>
      <c r="CK74" s="9"/>
      <c r="CL74" s="9"/>
      <c r="CM74" s="9"/>
      <c r="CN74" s="9"/>
      <c r="CO74" s="9"/>
      <c r="CP74" s="9"/>
      <c r="CQ74" s="9"/>
      <c r="CR74" s="9"/>
      <c r="CS74" s="9"/>
      <c r="CT74" s="9"/>
      <c r="CU74" s="9"/>
      <c r="CV74" s="9"/>
      <c r="CW74" s="9"/>
      <c r="CX74" s="9"/>
      <c r="CY74" s="9"/>
      <c r="CZ74" s="9"/>
      <c r="DA74" s="9"/>
      <c r="DB74" s="9"/>
      <c r="DC74" s="9"/>
      <c r="DD74" s="9"/>
      <c r="DE74" s="9"/>
      <c r="DF74" s="9"/>
      <c r="DG74" s="9"/>
      <c r="DH74" s="9"/>
      <c r="DI74" s="9"/>
      <c r="DJ74" s="9"/>
      <c r="DK74" s="9"/>
    </row>
    <row r="75" spans="1:115">
      <c r="A75" s="183" t="s">
        <v>127</v>
      </c>
      <c r="B75" s="522">
        <f>(IF(B74=F24,100,0)+IF(G24=1,1,0.5)*J24*100)*IF(ISBLANK(F24)=TRUE,0,1)</f>
        <v>0</v>
      </c>
      <c r="C75" s="159">
        <f>IF(C74&gt;$F24+1,0,1)*(IF(D75=0,100,0)+IF($G24=1,1,0.5)*$J24*100)</f>
        <v>0</v>
      </c>
      <c r="D75" s="159">
        <f t="shared" ref="D75:F75" si="337">IF(D74&gt;$F24+1,0,1)*(IF(E75=0,100,0)+IF($G24=1,1,0.5)*$J24*100)</f>
        <v>0</v>
      </c>
      <c r="E75" s="159">
        <f t="shared" si="337"/>
        <v>0</v>
      </c>
      <c r="F75" s="159">
        <f t="shared" si="337"/>
        <v>0</v>
      </c>
      <c r="G75" s="159">
        <f>IF(G74&gt;$F24+1,0,1)*(IF(H75=0,100,0)+IF($G24=1,1,0.5)*$J24*100)</f>
        <v>0</v>
      </c>
      <c r="H75" s="159">
        <f t="shared" ref="H75:AM75" si="338">IF(H74&gt;$F24+1,0,1)*(IF(I75=0,100,0)+IF($G24=1,1,0.5)*$J24*100)</f>
        <v>0</v>
      </c>
      <c r="I75" s="159">
        <f t="shared" si="338"/>
        <v>0</v>
      </c>
      <c r="J75" s="159">
        <f t="shared" si="338"/>
        <v>0</v>
      </c>
      <c r="K75" s="159">
        <f t="shared" si="338"/>
        <v>0</v>
      </c>
      <c r="L75" s="159">
        <f t="shared" si="338"/>
        <v>0</v>
      </c>
      <c r="M75" s="159">
        <f t="shared" si="338"/>
        <v>0</v>
      </c>
      <c r="N75" s="159">
        <f t="shared" si="338"/>
        <v>0</v>
      </c>
      <c r="O75" s="159">
        <f t="shared" si="338"/>
        <v>0</v>
      </c>
      <c r="P75" s="159">
        <f t="shared" si="338"/>
        <v>0</v>
      </c>
      <c r="Q75" s="159">
        <f t="shared" si="338"/>
        <v>0</v>
      </c>
      <c r="R75" s="159">
        <f t="shared" si="338"/>
        <v>0</v>
      </c>
      <c r="S75" s="159">
        <f t="shared" si="338"/>
        <v>0</v>
      </c>
      <c r="T75" s="159">
        <f t="shared" si="338"/>
        <v>0</v>
      </c>
      <c r="U75" s="159">
        <f t="shared" si="338"/>
        <v>0</v>
      </c>
      <c r="V75" s="159">
        <f t="shared" si="338"/>
        <v>0</v>
      </c>
      <c r="W75" s="159">
        <f t="shared" si="338"/>
        <v>0</v>
      </c>
      <c r="X75" s="159">
        <f t="shared" si="338"/>
        <v>0</v>
      </c>
      <c r="Y75" s="159">
        <f t="shared" si="338"/>
        <v>0</v>
      </c>
      <c r="Z75" s="159">
        <f t="shared" si="338"/>
        <v>0</v>
      </c>
      <c r="AA75" s="159">
        <f t="shared" si="338"/>
        <v>0</v>
      </c>
      <c r="AB75" s="159">
        <f t="shared" si="338"/>
        <v>0</v>
      </c>
      <c r="AC75" s="159">
        <f t="shared" si="338"/>
        <v>0</v>
      </c>
      <c r="AD75" s="159">
        <f t="shared" si="338"/>
        <v>0</v>
      </c>
      <c r="AE75" s="159">
        <f t="shared" si="338"/>
        <v>0</v>
      </c>
      <c r="AF75" s="159">
        <f t="shared" si="338"/>
        <v>0</v>
      </c>
      <c r="AG75" s="159">
        <f t="shared" si="338"/>
        <v>0</v>
      </c>
      <c r="AH75" s="159">
        <f t="shared" si="338"/>
        <v>0</v>
      </c>
      <c r="AI75" s="159">
        <f t="shared" si="338"/>
        <v>0</v>
      </c>
      <c r="AJ75" s="159">
        <f t="shared" si="338"/>
        <v>0</v>
      </c>
      <c r="AK75" s="159">
        <f t="shared" si="338"/>
        <v>0</v>
      </c>
      <c r="AL75" s="159">
        <f t="shared" si="338"/>
        <v>0</v>
      </c>
      <c r="AM75" s="159">
        <f t="shared" si="338"/>
        <v>0</v>
      </c>
      <c r="AN75" s="159">
        <f>IF(AN74&gt;$F24+1,0,1)*(IF(AO75=0,100,0)+IF($G24=1,1,0.5)*$J24*100)</f>
        <v>0</v>
      </c>
      <c r="AO75" s="159">
        <f t="shared" ref="AO75:AQ75" si="339">IF(AO74&gt;$F24+1,0,1)*(IF(AP75=0,100,0)+IF($G24=1,1,0.5)*$J24*100)</f>
        <v>0</v>
      </c>
      <c r="AP75" s="159">
        <f t="shared" si="339"/>
        <v>0</v>
      </c>
      <c r="AQ75" s="159">
        <f t="shared" si="339"/>
        <v>0</v>
      </c>
      <c r="AR75" s="159">
        <f>IF(AR74&gt;$F24+1,0,1)*(IF(AS75=0,100,0)+IF($G24=1,1,0.5)*$J24*100)</f>
        <v>0</v>
      </c>
      <c r="AS75" s="159">
        <f t="shared" ref="AS75" si="340">IF(AS74&gt;$F24+1,0,1)*(IF(AT75=0,100,0)+IF($G24=1,1,0.5)*$J24*100)</f>
        <v>0</v>
      </c>
      <c r="AT75" s="159">
        <f>IF(AT74&gt;$F24+1,0,1)*(IF(AU75=0,100,0)+IF($G24=1,1,0.5)*$J24*100)</f>
        <v>0</v>
      </c>
      <c r="AU75" s="159">
        <f t="shared" ref="AU75:AW75" si="341">IF(AU74&gt;$F24+1,0,1)*(IF(AV75=0,100,0)+IF($G24=1,1,0.5)*$J24*100)</f>
        <v>0</v>
      </c>
      <c r="AV75" s="159">
        <f t="shared" si="341"/>
        <v>0</v>
      </c>
      <c r="AW75" s="159">
        <f t="shared" si="341"/>
        <v>0</v>
      </c>
      <c r="AX75" s="159">
        <f>IF(AX74&gt;$F24+1,0,1)*(IF(AY75=0,100,0)+IF($G24=1,1,0.5)*$J24*100)</f>
        <v>0</v>
      </c>
      <c r="AY75" s="159">
        <f t="shared" ref="AY75:BG75" si="342">IF(AY74&gt;$F24+1,0,1)*(IF(AZ75=0,100,0)+IF($G24=1,1,0.5)*$J24*100)</f>
        <v>0</v>
      </c>
      <c r="AZ75" s="159">
        <f t="shared" si="342"/>
        <v>0</v>
      </c>
      <c r="BA75" s="159">
        <f t="shared" si="342"/>
        <v>0</v>
      </c>
      <c r="BB75" s="159">
        <f t="shared" si="342"/>
        <v>0</v>
      </c>
      <c r="BC75" s="159">
        <f t="shared" si="342"/>
        <v>0</v>
      </c>
      <c r="BD75" s="160">
        <f t="shared" si="342"/>
        <v>0</v>
      </c>
      <c r="BE75" s="159">
        <f t="shared" si="342"/>
        <v>0</v>
      </c>
      <c r="BF75" s="159">
        <f t="shared" si="342"/>
        <v>0</v>
      </c>
      <c r="BG75" s="159">
        <f t="shared" si="342"/>
        <v>0</v>
      </c>
      <c r="BH75" s="159">
        <f>IF(BH74&gt;$F24+1,0,1)*(IF(BI75=0,100,0)+IF($G24=1,1,0.5)*$J24*100)</f>
        <v>0</v>
      </c>
      <c r="BI75" s="159">
        <f t="shared" ref="BI75:BK75" si="343">IF(BI74&gt;$F24+1,0,1)*(IF(BJ75=0,100,0)+IF($G24=1,1,0.5)*$J24*100)</f>
        <v>0</v>
      </c>
      <c r="BJ75" s="159">
        <f t="shared" si="343"/>
        <v>0</v>
      </c>
      <c r="BK75" s="159">
        <f t="shared" si="343"/>
        <v>0</v>
      </c>
      <c r="BL75" s="159">
        <f>IF(BL74&gt;$F24+1,0,1)*(IF(BM75=0,100,0)+IF($G24=1,1,0.5)*$J24*100)</f>
        <v>0</v>
      </c>
      <c r="BM75" s="159">
        <f t="shared" ref="BM75:CB75" si="344">IF(BM74&gt;$F24+1,0,1)*(IF(BN75=0,100,0)+IF($G24=1,1,0.5)*$J24*100)</f>
        <v>0</v>
      </c>
      <c r="BN75" s="159">
        <f t="shared" si="344"/>
        <v>0</v>
      </c>
      <c r="BO75" s="159">
        <f t="shared" si="344"/>
        <v>0</v>
      </c>
      <c r="BP75" s="159">
        <f t="shared" si="344"/>
        <v>0</v>
      </c>
      <c r="BQ75" s="159">
        <f t="shared" si="344"/>
        <v>0</v>
      </c>
      <c r="BR75" s="159">
        <f t="shared" si="344"/>
        <v>0</v>
      </c>
      <c r="BS75" s="159">
        <f t="shared" si="344"/>
        <v>0</v>
      </c>
      <c r="BT75" s="159">
        <f t="shared" si="344"/>
        <v>0</v>
      </c>
      <c r="BU75" s="159">
        <f t="shared" si="344"/>
        <v>0</v>
      </c>
      <c r="BV75" s="159">
        <f t="shared" si="344"/>
        <v>0</v>
      </c>
      <c r="BW75" s="159">
        <f t="shared" si="344"/>
        <v>0</v>
      </c>
      <c r="BX75" s="159">
        <f t="shared" si="344"/>
        <v>0</v>
      </c>
      <c r="BY75" s="159">
        <f t="shared" si="344"/>
        <v>0</v>
      </c>
      <c r="BZ75" s="159">
        <f t="shared" si="344"/>
        <v>0</v>
      </c>
      <c r="CA75" s="159">
        <f t="shared" si="344"/>
        <v>0</v>
      </c>
      <c r="CB75" s="187">
        <f t="shared" si="344"/>
        <v>0</v>
      </c>
      <c r="CF75" s="9"/>
      <c r="CG75" s="9"/>
      <c r="CH75" s="9"/>
      <c r="CI75" s="9"/>
      <c r="CJ75" s="9"/>
      <c r="CK75" s="9"/>
      <c r="CL75" s="9"/>
      <c r="CM75" s="9"/>
      <c r="CN75" s="9"/>
      <c r="CO75" s="9"/>
      <c r="CP75" s="9"/>
      <c r="CQ75" s="9"/>
      <c r="CR75" s="9"/>
      <c r="CS75" s="9"/>
      <c r="CT75" s="9"/>
      <c r="CU75" s="9"/>
      <c r="CV75" s="9"/>
      <c r="CW75" s="9"/>
      <c r="CX75" s="9"/>
      <c r="CY75" s="9"/>
      <c r="CZ75" s="9"/>
      <c r="DA75" s="9"/>
      <c r="DB75" s="9"/>
      <c r="DC75" s="9"/>
      <c r="DD75" s="9"/>
      <c r="DE75" s="9"/>
      <c r="DF75" s="9"/>
      <c r="DG75" s="9"/>
      <c r="DH75" s="9"/>
      <c r="DI75" s="9"/>
      <c r="DJ75" s="9"/>
      <c r="DK75" s="9"/>
    </row>
    <row r="76" spans="1:115">
      <c r="A76" s="221" t="s">
        <v>49</v>
      </c>
      <c r="B76" s="144">
        <f>IF(E25=0,F25,E25)</f>
        <v>0</v>
      </c>
      <c r="C76" s="145">
        <f>B76+IF($G25=1,365,182.5)</f>
        <v>182.5</v>
      </c>
      <c r="D76" s="145">
        <f>C76+IF($G25=1,365,182.5)</f>
        <v>365</v>
      </c>
      <c r="E76" s="145">
        <f t="shared" ref="E76:BP76" si="345">D76+IF($G25=1,365,182.5)</f>
        <v>547.5</v>
      </c>
      <c r="F76" s="145">
        <f t="shared" si="345"/>
        <v>730</v>
      </c>
      <c r="G76" s="145">
        <f t="shared" si="345"/>
        <v>912.5</v>
      </c>
      <c r="H76" s="145">
        <f t="shared" si="345"/>
        <v>1095</v>
      </c>
      <c r="I76" s="145">
        <f t="shared" si="345"/>
        <v>1277.5</v>
      </c>
      <c r="J76" s="145">
        <f t="shared" si="345"/>
        <v>1460</v>
      </c>
      <c r="K76" s="145">
        <f t="shared" si="345"/>
        <v>1642.5</v>
      </c>
      <c r="L76" s="145">
        <f t="shared" si="345"/>
        <v>1825</v>
      </c>
      <c r="M76" s="145">
        <f t="shared" si="345"/>
        <v>2007.5</v>
      </c>
      <c r="N76" s="145">
        <f t="shared" si="345"/>
        <v>2190</v>
      </c>
      <c r="O76" s="145">
        <f t="shared" si="345"/>
        <v>2372.5</v>
      </c>
      <c r="P76" s="145">
        <f t="shared" si="345"/>
        <v>2555</v>
      </c>
      <c r="Q76" s="145">
        <f t="shared" si="345"/>
        <v>2737.5</v>
      </c>
      <c r="R76" s="145">
        <f t="shared" si="345"/>
        <v>2920</v>
      </c>
      <c r="S76" s="145">
        <f t="shared" si="345"/>
        <v>3102.5</v>
      </c>
      <c r="T76" s="145">
        <f t="shared" si="345"/>
        <v>3285</v>
      </c>
      <c r="U76" s="145">
        <f t="shared" si="345"/>
        <v>3467.5</v>
      </c>
      <c r="V76" s="145">
        <f t="shared" si="345"/>
        <v>3650</v>
      </c>
      <c r="W76" s="145">
        <f t="shared" si="345"/>
        <v>3832.5</v>
      </c>
      <c r="X76" s="145">
        <f t="shared" si="345"/>
        <v>4015</v>
      </c>
      <c r="Y76" s="145">
        <f t="shared" si="345"/>
        <v>4197.5</v>
      </c>
      <c r="Z76" s="145">
        <f t="shared" si="345"/>
        <v>4380</v>
      </c>
      <c r="AA76" s="145">
        <f t="shared" si="345"/>
        <v>4562.5</v>
      </c>
      <c r="AB76" s="145">
        <f t="shared" si="345"/>
        <v>4745</v>
      </c>
      <c r="AC76" s="145">
        <f t="shared" si="345"/>
        <v>4927.5</v>
      </c>
      <c r="AD76" s="145">
        <f t="shared" si="345"/>
        <v>5110</v>
      </c>
      <c r="AE76" s="145">
        <f t="shared" si="345"/>
        <v>5292.5</v>
      </c>
      <c r="AF76" s="145">
        <f t="shared" si="345"/>
        <v>5475</v>
      </c>
      <c r="AG76" s="145">
        <f t="shared" si="345"/>
        <v>5657.5</v>
      </c>
      <c r="AH76" s="145">
        <f t="shared" si="345"/>
        <v>5840</v>
      </c>
      <c r="AI76" s="145">
        <f t="shared" si="345"/>
        <v>6022.5</v>
      </c>
      <c r="AJ76" s="145">
        <f t="shared" si="345"/>
        <v>6205</v>
      </c>
      <c r="AK76" s="145">
        <f t="shared" si="345"/>
        <v>6387.5</v>
      </c>
      <c r="AL76" s="145">
        <f t="shared" si="345"/>
        <v>6570</v>
      </c>
      <c r="AM76" s="145">
        <f t="shared" si="345"/>
        <v>6752.5</v>
      </c>
      <c r="AN76" s="145">
        <f t="shared" si="345"/>
        <v>6935</v>
      </c>
      <c r="AO76" s="145">
        <f t="shared" si="345"/>
        <v>7117.5</v>
      </c>
      <c r="AP76" s="145">
        <f t="shared" si="345"/>
        <v>7300</v>
      </c>
      <c r="AQ76" s="145">
        <f t="shared" si="345"/>
        <v>7482.5</v>
      </c>
      <c r="AR76" s="145">
        <f t="shared" si="345"/>
        <v>7665</v>
      </c>
      <c r="AS76" s="145">
        <f t="shared" si="345"/>
        <v>7847.5</v>
      </c>
      <c r="AT76" s="145">
        <f t="shared" si="345"/>
        <v>8030</v>
      </c>
      <c r="AU76" s="145">
        <f t="shared" si="345"/>
        <v>8212.5</v>
      </c>
      <c r="AV76" s="145">
        <f t="shared" si="345"/>
        <v>8395</v>
      </c>
      <c r="AW76" s="145">
        <f t="shared" si="345"/>
        <v>8577.5</v>
      </c>
      <c r="AX76" s="145">
        <f t="shared" si="345"/>
        <v>8760</v>
      </c>
      <c r="AY76" s="145">
        <f t="shared" si="345"/>
        <v>8942.5</v>
      </c>
      <c r="AZ76" s="145">
        <f t="shared" si="345"/>
        <v>9125</v>
      </c>
      <c r="BA76" s="145">
        <f t="shared" si="345"/>
        <v>9307.5</v>
      </c>
      <c r="BB76" s="145">
        <f t="shared" si="345"/>
        <v>9490</v>
      </c>
      <c r="BC76" s="145">
        <f t="shared" si="345"/>
        <v>9672.5</v>
      </c>
      <c r="BD76" s="145">
        <f t="shared" si="345"/>
        <v>9855</v>
      </c>
      <c r="BE76" s="145">
        <f t="shared" si="345"/>
        <v>10037.5</v>
      </c>
      <c r="BF76" s="145">
        <f t="shared" si="345"/>
        <v>10220</v>
      </c>
      <c r="BG76" s="145">
        <f t="shared" si="345"/>
        <v>10402.5</v>
      </c>
      <c r="BH76" s="145">
        <f t="shared" si="345"/>
        <v>10585</v>
      </c>
      <c r="BI76" s="145">
        <f t="shared" si="345"/>
        <v>10767.5</v>
      </c>
      <c r="BJ76" s="145">
        <f t="shared" si="345"/>
        <v>10950</v>
      </c>
      <c r="BK76" s="145">
        <f t="shared" si="345"/>
        <v>11132.5</v>
      </c>
      <c r="BL76" s="145">
        <f t="shared" si="345"/>
        <v>11315</v>
      </c>
      <c r="BM76" s="145">
        <f t="shared" si="345"/>
        <v>11497.5</v>
      </c>
      <c r="BN76" s="145">
        <f t="shared" si="345"/>
        <v>11680</v>
      </c>
      <c r="BO76" s="145">
        <f t="shared" si="345"/>
        <v>11862.5</v>
      </c>
      <c r="BP76" s="145">
        <f t="shared" si="345"/>
        <v>12045</v>
      </c>
      <c r="BQ76" s="145">
        <f t="shared" ref="BQ76:CB76" si="346">BP76+IF($G25=1,365,182.5)</f>
        <v>12227.5</v>
      </c>
      <c r="BR76" s="145">
        <f t="shared" si="346"/>
        <v>12410</v>
      </c>
      <c r="BS76" s="145">
        <f t="shared" si="346"/>
        <v>12592.5</v>
      </c>
      <c r="BT76" s="145">
        <f t="shared" si="346"/>
        <v>12775</v>
      </c>
      <c r="BU76" s="145">
        <f t="shared" si="346"/>
        <v>12957.5</v>
      </c>
      <c r="BV76" s="145">
        <f t="shared" si="346"/>
        <v>13140</v>
      </c>
      <c r="BW76" s="145">
        <f t="shared" si="346"/>
        <v>13322.5</v>
      </c>
      <c r="BX76" s="145">
        <f t="shared" si="346"/>
        <v>13505</v>
      </c>
      <c r="BY76" s="145">
        <f t="shared" si="346"/>
        <v>13687.5</v>
      </c>
      <c r="BZ76" s="145">
        <f t="shared" si="346"/>
        <v>13870</v>
      </c>
      <c r="CA76" s="145">
        <f t="shared" si="346"/>
        <v>14052.5</v>
      </c>
      <c r="CB76" s="146">
        <f t="shared" si="346"/>
        <v>14235</v>
      </c>
      <c r="CF76" s="9"/>
      <c r="CG76" s="9"/>
      <c r="CH76" s="9"/>
      <c r="CI76" s="9"/>
      <c r="CJ76" s="9"/>
      <c r="CK76" s="9"/>
      <c r="CL76" s="9"/>
      <c r="CM76" s="9"/>
      <c r="CN76" s="9"/>
      <c r="CO76" s="9"/>
      <c r="CP76" s="9"/>
      <c r="CQ76" s="9"/>
      <c r="CR76" s="9"/>
      <c r="CS76" s="9"/>
      <c r="CT76" s="9"/>
      <c r="CU76" s="9"/>
      <c r="CV76" s="9"/>
      <c r="CW76" s="9"/>
      <c r="CX76" s="9"/>
      <c r="CY76" s="9"/>
      <c r="CZ76" s="9"/>
      <c r="DA76" s="9"/>
      <c r="DB76" s="9"/>
      <c r="DC76" s="9"/>
      <c r="DD76" s="9"/>
      <c r="DE76" s="9"/>
      <c r="DF76" s="9"/>
      <c r="DG76" s="9"/>
      <c r="DH76" s="9"/>
      <c r="DI76" s="9"/>
      <c r="DJ76" s="9"/>
      <c r="DK76" s="9"/>
    </row>
    <row r="77" spans="1:115">
      <c r="A77" s="143" t="s">
        <v>128</v>
      </c>
      <c r="B77" s="147">
        <f>(IF(B76=F25,100,0)+IF(G25=1,1,0.5)*J25*100)*IF(ISBLANK(F25)=TRUE,0,1)</f>
        <v>0</v>
      </c>
      <c r="C77" s="148">
        <f>IF(C76&gt;$F25+1,0,1)*(IF(D77=0,100,0)+IF($G25=1,1,0.5)*$J25*100)</f>
        <v>0</v>
      </c>
      <c r="D77" s="148">
        <f t="shared" ref="D77:BO77" si="347">IF(D76&gt;$F25+1,0,1)*(IF(E77=0,100,0)+IF($G25=1,1,0.5)*$J25*100)</f>
        <v>0</v>
      </c>
      <c r="E77" s="148">
        <f t="shared" si="347"/>
        <v>0</v>
      </c>
      <c r="F77" s="148">
        <f t="shared" si="347"/>
        <v>0</v>
      </c>
      <c r="G77" s="148">
        <f t="shared" si="347"/>
        <v>0</v>
      </c>
      <c r="H77" s="148">
        <f t="shared" si="347"/>
        <v>0</v>
      </c>
      <c r="I77" s="148">
        <f t="shared" si="347"/>
        <v>0</v>
      </c>
      <c r="J77" s="148">
        <f t="shared" si="347"/>
        <v>0</v>
      </c>
      <c r="K77" s="148">
        <f t="shared" si="347"/>
        <v>0</v>
      </c>
      <c r="L77" s="148">
        <f t="shared" si="347"/>
        <v>0</v>
      </c>
      <c r="M77" s="148">
        <f t="shared" si="347"/>
        <v>0</v>
      </c>
      <c r="N77" s="148">
        <f t="shared" si="347"/>
        <v>0</v>
      </c>
      <c r="O77" s="148">
        <f t="shared" si="347"/>
        <v>0</v>
      </c>
      <c r="P77" s="148">
        <f t="shared" si="347"/>
        <v>0</v>
      </c>
      <c r="Q77" s="148">
        <f t="shared" si="347"/>
        <v>0</v>
      </c>
      <c r="R77" s="148">
        <f t="shared" si="347"/>
        <v>0</v>
      </c>
      <c r="S77" s="148">
        <f t="shared" si="347"/>
        <v>0</v>
      </c>
      <c r="T77" s="148">
        <f t="shared" si="347"/>
        <v>0</v>
      </c>
      <c r="U77" s="148">
        <f t="shared" si="347"/>
        <v>0</v>
      </c>
      <c r="V77" s="148">
        <f t="shared" si="347"/>
        <v>0</v>
      </c>
      <c r="W77" s="148">
        <f t="shared" si="347"/>
        <v>0</v>
      </c>
      <c r="X77" s="148">
        <f t="shared" si="347"/>
        <v>0</v>
      </c>
      <c r="Y77" s="148">
        <f t="shared" si="347"/>
        <v>0</v>
      </c>
      <c r="Z77" s="148">
        <f t="shared" si="347"/>
        <v>0</v>
      </c>
      <c r="AA77" s="148">
        <f t="shared" si="347"/>
        <v>0</v>
      </c>
      <c r="AB77" s="148">
        <f t="shared" si="347"/>
        <v>0</v>
      </c>
      <c r="AC77" s="148">
        <f t="shared" si="347"/>
        <v>0</v>
      </c>
      <c r="AD77" s="148">
        <f t="shared" si="347"/>
        <v>0</v>
      </c>
      <c r="AE77" s="148">
        <f t="shared" si="347"/>
        <v>0</v>
      </c>
      <c r="AF77" s="148">
        <f t="shared" si="347"/>
        <v>0</v>
      </c>
      <c r="AG77" s="148">
        <f t="shared" si="347"/>
        <v>0</v>
      </c>
      <c r="AH77" s="148">
        <f t="shared" si="347"/>
        <v>0</v>
      </c>
      <c r="AI77" s="148">
        <f t="shared" si="347"/>
        <v>0</v>
      </c>
      <c r="AJ77" s="148">
        <f t="shared" si="347"/>
        <v>0</v>
      </c>
      <c r="AK77" s="148">
        <f t="shared" si="347"/>
        <v>0</v>
      </c>
      <c r="AL77" s="148">
        <f t="shared" si="347"/>
        <v>0</v>
      </c>
      <c r="AM77" s="148">
        <f t="shared" si="347"/>
        <v>0</v>
      </c>
      <c r="AN77" s="148">
        <f t="shared" si="347"/>
        <v>0</v>
      </c>
      <c r="AO77" s="148">
        <f t="shared" si="347"/>
        <v>0</v>
      </c>
      <c r="AP77" s="148">
        <f t="shared" si="347"/>
        <v>0</v>
      </c>
      <c r="AQ77" s="148">
        <f t="shared" si="347"/>
        <v>0</v>
      </c>
      <c r="AR77" s="148">
        <f t="shared" si="347"/>
        <v>0</v>
      </c>
      <c r="AS77" s="148">
        <f t="shared" si="347"/>
        <v>0</v>
      </c>
      <c r="AT77" s="148">
        <f t="shared" si="347"/>
        <v>0</v>
      </c>
      <c r="AU77" s="148">
        <f t="shared" si="347"/>
        <v>0</v>
      </c>
      <c r="AV77" s="148">
        <f t="shared" si="347"/>
        <v>0</v>
      </c>
      <c r="AW77" s="148">
        <f t="shared" si="347"/>
        <v>0</v>
      </c>
      <c r="AX77" s="148">
        <f t="shared" si="347"/>
        <v>0</v>
      </c>
      <c r="AY77" s="148">
        <f t="shared" si="347"/>
        <v>0</v>
      </c>
      <c r="AZ77" s="148">
        <f t="shared" si="347"/>
        <v>0</v>
      </c>
      <c r="BA77" s="148">
        <f t="shared" si="347"/>
        <v>0</v>
      </c>
      <c r="BB77" s="148">
        <f t="shared" si="347"/>
        <v>0</v>
      </c>
      <c r="BC77" s="148">
        <f t="shared" si="347"/>
        <v>0</v>
      </c>
      <c r="BD77" s="148">
        <f t="shared" si="347"/>
        <v>0</v>
      </c>
      <c r="BE77" s="148">
        <f t="shared" si="347"/>
        <v>0</v>
      </c>
      <c r="BF77" s="148">
        <f t="shared" si="347"/>
        <v>0</v>
      </c>
      <c r="BG77" s="148">
        <f t="shared" si="347"/>
        <v>0</v>
      </c>
      <c r="BH77" s="148">
        <f t="shared" si="347"/>
        <v>0</v>
      </c>
      <c r="BI77" s="148">
        <f t="shared" si="347"/>
        <v>0</v>
      </c>
      <c r="BJ77" s="148">
        <f t="shared" si="347"/>
        <v>0</v>
      </c>
      <c r="BK77" s="148">
        <f t="shared" si="347"/>
        <v>0</v>
      </c>
      <c r="BL77" s="148">
        <f t="shared" si="347"/>
        <v>0</v>
      </c>
      <c r="BM77" s="148">
        <f t="shared" si="347"/>
        <v>0</v>
      </c>
      <c r="BN77" s="148">
        <f t="shared" si="347"/>
        <v>0</v>
      </c>
      <c r="BO77" s="148">
        <f t="shared" si="347"/>
        <v>0</v>
      </c>
      <c r="BP77" s="148">
        <f t="shared" ref="BP77:CB77" si="348">IF(BP76&gt;$F25+1,0,1)*(IF(BQ77=0,100,0)+IF($G25=1,1,0.5)*$J25*100)</f>
        <v>0</v>
      </c>
      <c r="BQ77" s="148">
        <f t="shared" si="348"/>
        <v>0</v>
      </c>
      <c r="BR77" s="148">
        <f t="shared" si="348"/>
        <v>0</v>
      </c>
      <c r="BS77" s="148">
        <f t="shared" si="348"/>
        <v>0</v>
      </c>
      <c r="BT77" s="148">
        <f t="shared" si="348"/>
        <v>0</v>
      </c>
      <c r="BU77" s="148">
        <f t="shared" si="348"/>
        <v>0</v>
      </c>
      <c r="BV77" s="148">
        <f t="shared" si="348"/>
        <v>0</v>
      </c>
      <c r="BW77" s="148">
        <f t="shared" si="348"/>
        <v>0</v>
      </c>
      <c r="BX77" s="148">
        <f t="shared" si="348"/>
        <v>0</v>
      </c>
      <c r="BY77" s="148">
        <f t="shared" si="348"/>
        <v>0</v>
      </c>
      <c r="BZ77" s="148">
        <f t="shared" si="348"/>
        <v>0</v>
      </c>
      <c r="CA77" s="148">
        <f t="shared" si="348"/>
        <v>0</v>
      </c>
      <c r="CB77" s="154">
        <f t="shared" si="348"/>
        <v>0</v>
      </c>
      <c r="CF77" s="9"/>
      <c r="CG77" s="9"/>
      <c r="CH77" s="9"/>
      <c r="CI77" s="9"/>
      <c r="CJ77" s="9"/>
      <c r="CK77" s="9"/>
      <c r="CL77" s="9"/>
      <c r="CM77" s="9"/>
      <c r="CN77" s="9"/>
      <c r="CO77" s="9"/>
      <c r="CP77" s="9"/>
      <c r="CQ77" s="9"/>
      <c r="CR77" s="9"/>
      <c r="CS77" s="9"/>
      <c r="CT77" s="9"/>
      <c r="CU77" s="9"/>
      <c r="CV77" s="9"/>
      <c r="CW77" s="9"/>
      <c r="CX77" s="9"/>
      <c r="CY77" s="9"/>
      <c r="CZ77" s="9"/>
      <c r="DA77" s="9"/>
      <c r="DB77" s="9"/>
      <c r="DC77" s="9"/>
      <c r="DD77" s="9"/>
      <c r="DE77" s="9"/>
      <c r="DF77" s="9"/>
      <c r="DG77" s="9"/>
      <c r="DH77" s="9"/>
      <c r="DI77" s="9"/>
      <c r="DJ77" s="9"/>
      <c r="DK77" s="9"/>
    </row>
    <row r="78" spans="1:115">
      <c r="A78" s="243" t="s">
        <v>49</v>
      </c>
      <c r="B78" s="37">
        <f>IF(E26=0,F26,E26)</f>
        <v>0</v>
      </c>
      <c r="C78" s="38">
        <f>B78+IF($G26=1,365,182.5)</f>
        <v>182.5</v>
      </c>
      <c r="D78" s="38">
        <f>C78+IF($G26=1,365,182.5)</f>
        <v>365</v>
      </c>
      <c r="E78" s="38">
        <f t="shared" ref="E78:BP78" si="349">D78+IF($G26=1,365,182.5)</f>
        <v>547.5</v>
      </c>
      <c r="F78" s="38">
        <f t="shared" si="349"/>
        <v>730</v>
      </c>
      <c r="G78" s="38">
        <f t="shared" si="349"/>
        <v>912.5</v>
      </c>
      <c r="H78" s="38">
        <f t="shared" si="349"/>
        <v>1095</v>
      </c>
      <c r="I78" s="38">
        <f t="shared" si="349"/>
        <v>1277.5</v>
      </c>
      <c r="J78" s="38">
        <f t="shared" si="349"/>
        <v>1460</v>
      </c>
      <c r="K78" s="38">
        <f t="shared" si="349"/>
        <v>1642.5</v>
      </c>
      <c r="L78" s="38">
        <f t="shared" si="349"/>
        <v>1825</v>
      </c>
      <c r="M78" s="38">
        <f t="shared" si="349"/>
        <v>2007.5</v>
      </c>
      <c r="N78" s="38">
        <f t="shared" si="349"/>
        <v>2190</v>
      </c>
      <c r="O78" s="38">
        <f t="shared" si="349"/>
        <v>2372.5</v>
      </c>
      <c r="P78" s="38">
        <f t="shared" si="349"/>
        <v>2555</v>
      </c>
      <c r="Q78" s="38">
        <f t="shared" si="349"/>
        <v>2737.5</v>
      </c>
      <c r="R78" s="38">
        <f t="shared" si="349"/>
        <v>2920</v>
      </c>
      <c r="S78" s="38">
        <f t="shared" si="349"/>
        <v>3102.5</v>
      </c>
      <c r="T78" s="38">
        <f t="shared" si="349"/>
        <v>3285</v>
      </c>
      <c r="U78" s="38">
        <f t="shared" si="349"/>
        <v>3467.5</v>
      </c>
      <c r="V78" s="38">
        <f t="shared" si="349"/>
        <v>3650</v>
      </c>
      <c r="W78" s="38">
        <f t="shared" si="349"/>
        <v>3832.5</v>
      </c>
      <c r="X78" s="38">
        <f t="shared" si="349"/>
        <v>4015</v>
      </c>
      <c r="Y78" s="38">
        <f t="shared" si="349"/>
        <v>4197.5</v>
      </c>
      <c r="Z78" s="38">
        <f t="shared" si="349"/>
        <v>4380</v>
      </c>
      <c r="AA78" s="38">
        <f t="shared" si="349"/>
        <v>4562.5</v>
      </c>
      <c r="AB78" s="38">
        <f t="shared" si="349"/>
        <v>4745</v>
      </c>
      <c r="AC78" s="38">
        <f t="shared" si="349"/>
        <v>4927.5</v>
      </c>
      <c r="AD78" s="38">
        <f t="shared" si="349"/>
        <v>5110</v>
      </c>
      <c r="AE78" s="38">
        <f t="shared" si="349"/>
        <v>5292.5</v>
      </c>
      <c r="AF78" s="38">
        <f t="shared" si="349"/>
        <v>5475</v>
      </c>
      <c r="AG78" s="38">
        <f t="shared" si="349"/>
        <v>5657.5</v>
      </c>
      <c r="AH78" s="38">
        <f t="shared" si="349"/>
        <v>5840</v>
      </c>
      <c r="AI78" s="38">
        <f t="shared" si="349"/>
        <v>6022.5</v>
      </c>
      <c r="AJ78" s="38">
        <f t="shared" si="349"/>
        <v>6205</v>
      </c>
      <c r="AK78" s="38">
        <f t="shared" si="349"/>
        <v>6387.5</v>
      </c>
      <c r="AL78" s="38">
        <f t="shared" si="349"/>
        <v>6570</v>
      </c>
      <c r="AM78" s="38">
        <f t="shared" si="349"/>
        <v>6752.5</v>
      </c>
      <c r="AN78" s="38">
        <f t="shared" si="349"/>
        <v>6935</v>
      </c>
      <c r="AO78" s="38">
        <f t="shared" si="349"/>
        <v>7117.5</v>
      </c>
      <c r="AP78" s="38">
        <f t="shared" si="349"/>
        <v>7300</v>
      </c>
      <c r="AQ78" s="38">
        <f t="shared" si="349"/>
        <v>7482.5</v>
      </c>
      <c r="AR78" s="38">
        <f t="shared" si="349"/>
        <v>7665</v>
      </c>
      <c r="AS78" s="38">
        <f t="shared" si="349"/>
        <v>7847.5</v>
      </c>
      <c r="AT78" s="38">
        <f t="shared" si="349"/>
        <v>8030</v>
      </c>
      <c r="AU78" s="38">
        <f t="shared" si="349"/>
        <v>8212.5</v>
      </c>
      <c r="AV78" s="38">
        <f t="shared" si="349"/>
        <v>8395</v>
      </c>
      <c r="AW78" s="38">
        <f t="shared" si="349"/>
        <v>8577.5</v>
      </c>
      <c r="AX78" s="38">
        <f t="shared" si="349"/>
        <v>8760</v>
      </c>
      <c r="AY78" s="38">
        <f t="shared" si="349"/>
        <v>8942.5</v>
      </c>
      <c r="AZ78" s="38">
        <f t="shared" si="349"/>
        <v>9125</v>
      </c>
      <c r="BA78" s="38">
        <f t="shared" si="349"/>
        <v>9307.5</v>
      </c>
      <c r="BB78" s="38">
        <f t="shared" si="349"/>
        <v>9490</v>
      </c>
      <c r="BC78" s="38">
        <f t="shared" si="349"/>
        <v>9672.5</v>
      </c>
      <c r="BD78" s="38">
        <f t="shared" si="349"/>
        <v>9855</v>
      </c>
      <c r="BE78" s="38">
        <f t="shared" si="349"/>
        <v>10037.5</v>
      </c>
      <c r="BF78" s="38">
        <f t="shared" si="349"/>
        <v>10220</v>
      </c>
      <c r="BG78" s="38">
        <f t="shared" si="349"/>
        <v>10402.5</v>
      </c>
      <c r="BH78" s="38">
        <f t="shared" si="349"/>
        <v>10585</v>
      </c>
      <c r="BI78" s="38">
        <f t="shared" si="349"/>
        <v>10767.5</v>
      </c>
      <c r="BJ78" s="38">
        <f t="shared" si="349"/>
        <v>10950</v>
      </c>
      <c r="BK78" s="38">
        <f t="shared" si="349"/>
        <v>11132.5</v>
      </c>
      <c r="BL78" s="38">
        <f t="shared" si="349"/>
        <v>11315</v>
      </c>
      <c r="BM78" s="38">
        <f t="shared" si="349"/>
        <v>11497.5</v>
      </c>
      <c r="BN78" s="38">
        <f t="shared" si="349"/>
        <v>11680</v>
      </c>
      <c r="BO78" s="38">
        <f t="shared" si="349"/>
        <v>11862.5</v>
      </c>
      <c r="BP78" s="38">
        <f t="shared" si="349"/>
        <v>12045</v>
      </c>
      <c r="BQ78" s="38">
        <f t="shared" ref="BQ78:CB78" si="350">BP78+IF($G26=1,365,182.5)</f>
        <v>12227.5</v>
      </c>
      <c r="BR78" s="38">
        <f t="shared" si="350"/>
        <v>12410</v>
      </c>
      <c r="BS78" s="38">
        <f t="shared" si="350"/>
        <v>12592.5</v>
      </c>
      <c r="BT78" s="38">
        <f t="shared" si="350"/>
        <v>12775</v>
      </c>
      <c r="BU78" s="38">
        <f t="shared" si="350"/>
        <v>12957.5</v>
      </c>
      <c r="BV78" s="38">
        <f t="shared" si="350"/>
        <v>13140</v>
      </c>
      <c r="BW78" s="38">
        <f t="shared" si="350"/>
        <v>13322.5</v>
      </c>
      <c r="BX78" s="38">
        <f t="shared" si="350"/>
        <v>13505</v>
      </c>
      <c r="BY78" s="38">
        <f t="shared" si="350"/>
        <v>13687.5</v>
      </c>
      <c r="BZ78" s="38">
        <f t="shared" si="350"/>
        <v>13870</v>
      </c>
      <c r="CA78" s="38">
        <f t="shared" si="350"/>
        <v>14052.5</v>
      </c>
      <c r="CB78" s="39">
        <f t="shared" si="350"/>
        <v>14235</v>
      </c>
      <c r="CF78" s="9"/>
      <c r="CG78" s="9"/>
      <c r="CH78" s="9"/>
      <c r="CI78" s="9"/>
      <c r="CJ78" s="9"/>
      <c r="CK78" s="9"/>
      <c r="CL78" s="9"/>
      <c r="CM78" s="9"/>
      <c r="CN78" s="9"/>
      <c r="CO78" s="9"/>
      <c r="CP78" s="9"/>
      <c r="CQ78" s="9"/>
      <c r="CR78" s="9"/>
      <c r="CS78" s="9"/>
      <c r="CT78" s="9"/>
      <c r="CU78" s="9"/>
      <c r="CV78" s="9"/>
      <c r="CW78" s="9"/>
      <c r="CX78" s="9"/>
      <c r="CY78" s="9"/>
      <c r="CZ78" s="9"/>
      <c r="DA78" s="9"/>
      <c r="DB78" s="9"/>
      <c r="DC78" s="9"/>
      <c r="DD78" s="9"/>
      <c r="DE78" s="9"/>
      <c r="DF78" s="9"/>
      <c r="DG78" s="9"/>
      <c r="DH78" s="9"/>
      <c r="DI78" s="9"/>
      <c r="DJ78" s="9"/>
      <c r="DK78" s="9"/>
    </row>
    <row r="79" spans="1:115">
      <c r="A79" s="23" t="s">
        <v>129</v>
      </c>
      <c r="B79" s="106">
        <f>(IF(B78=F26,100,0)+IF(G26=1,1,0.5)*J26*100)*IF(ISBLANK(F26)=TRUE,0,1)</f>
        <v>0</v>
      </c>
      <c r="C79" s="40">
        <f>IF(C78&gt;$F26+1,0,1)*(IF(D79=0,100,0)+IF($G26=1,1,0.5)*$J26*100)</f>
        <v>0</v>
      </c>
      <c r="D79" s="40">
        <f t="shared" ref="D79:BO79" si="351">IF(D78&gt;$F26+1,0,1)*(IF(E79=0,100,0)+IF($G26=1,1,0.5)*$J26*100)</f>
        <v>0</v>
      </c>
      <c r="E79" s="40">
        <f t="shared" si="351"/>
        <v>0</v>
      </c>
      <c r="F79" s="40">
        <f t="shared" si="351"/>
        <v>0</v>
      </c>
      <c r="G79" s="40">
        <f t="shared" si="351"/>
        <v>0</v>
      </c>
      <c r="H79" s="40">
        <f t="shared" si="351"/>
        <v>0</v>
      </c>
      <c r="I79" s="40">
        <f t="shared" si="351"/>
        <v>0</v>
      </c>
      <c r="J79" s="40">
        <f t="shared" si="351"/>
        <v>0</v>
      </c>
      <c r="K79" s="40">
        <f t="shared" si="351"/>
        <v>0</v>
      </c>
      <c r="L79" s="40">
        <f t="shared" si="351"/>
        <v>0</v>
      </c>
      <c r="M79" s="40">
        <f t="shared" si="351"/>
        <v>0</v>
      </c>
      <c r="N79" s="40">
        <f t="shared" si="351"/>
        <v>0</v>
      </c>
      <c r="O79" s="40">
        <f t="shared" si="351"/>
        <v>0</v>
      </c>
      <c r="P79" s="40">
        <f t="shared" si="351"/>
        <v>0</v>
      </c>
      <c r="Q79" s="40">
        <f t="shared" si="351"/>
        <v>0</v>
      </c>
      <c r="R79" s="40">
        <f t="shared" si="351"/>
        <v>0</v>
      </c>
      <c r="S79" s="40">
        <f t="shared" si="351"/>
        <v>0</v>
      </c>
      <c r="T79" s="40">
        <f t="shared" si="351"/>
        <v>0</v>
      </c>
      <c r="U79" s="40">
        <f t="shared" si="351"/>
        <v>0</v>
      </c>
      <c r="V79" s="40">
        <f t="shared" si="351"/>
        <v>0</v>
      </c>
      <c r="W79" s="40">
        <f t="shared" si="351"/>
        <v>0</v>
      </c>
      <c r="X79" s="40">
        <f t="shared" si="351"/>
        <v>0</v>
      </c>
      <c r="Y79" s="40">
        <f t="shared" si="351"/>
        <v>0</v>
      </c>
      <c r="Z79" s="40">
        <f t="shared" si="351"/>
        <v>0</v>
      </c>
      <c r="AA79" s="40">
        <f t="shared" si="351"/>
        <v>0</v>
      </c>
      <c r="AB79" s="40">
        <f t="shared" si="351"/>
        <v>0</v>
      </c>
      <c r="AC79" s="40">
        <f t="shared" si="351"/>
        <v>0</v>
      </c>
      <c r="AD79" s="40">
        <f t="shared" si="351"/>
        <v>0</v>
      </c>
      <c r="AE79" s="40">
        <f t="shared" si="351"/>
        <v>0</v>
      </c>
      <c r="AF79" s="40">
        <f t="shared" si="351"/>
        <v>0</v>
      </c>
      <c r="AG79" s="40">
        <f t="shared" si="351"/>
        <v>0</v>
      </c>
      <c r="AH79" s="40">
        <f t="shared" si="351"/>
        <v>0</v>
      </c>
      <c r="AI79" s="40">
        <f t="shared" si="351"/>
        <v>0</v>
      </c>
      <c r="AJ79" s="40">
        <f t="shared" si="351"/>
        <v>0</v>
      </c>
      <c r="AK79" s="40">
        <f t="shared" si="351"/>
        <v>0</v>
      </c>
      <c r="AL79" s="40">
        <f t="shared" si="351"/>
        <v>0</v>
      </c>
      <c r="AM79" s="40">
        <f t="shared" si="351"/>
        <v>0</v>
      </c>
      <c r="AN79" s="40">
        <f t="shared" si="351"/>
        <v>0</v>
      </c>
      <c r="AO79" s="40">
        <f t="shared" si="351"/>
        <v>0</v>
      </c>
      <c r="AP79" s="40">
        <f t="shared" si="351"/>
        <v>0</v>
      </c>
      <c r="AQ79" s="40">
        <f t="shared" si="351"/>
        <v>0</v>
      </c>
      <c r="AR79" s="40">
        <f t="shared" si="351"/>
        <v>0</v>
      </c>
      <c r="AS79" s="40">
        <f t="shared" si="351"/>
        <v>0</v>
      </c>
      <c r="AT79" s="40">
        <f t="shared" si="351"/>
        <v>0</v>
      </c>
      <c r="AU79" s="40">
        <f t="shared" si="351"/>
        <v>0</v>
      </c>
      <c r="AV79" s="40">
        <f t="shared" si="351"/>
        <v>0</v>
      </c>
      <c r="AW79" s="40">
        <f t="shared" si="351"/>
        <v>0</v>
      </c>
      <c r="AX79" s="40">
        <f t="shared" si="351"/>
        <v>0</v>
      </c>
      <c r="AY79" s="40">
        <f t="shared" si="351"/>
        <v>0</v>
      </c>
      <c r="AZ79" s="40">
        <f t="shared" si="351"/>
        <v>0</v>
      </c>
      <c r="BA79" s="40">
        <f t="shared" si="351"/>
        <v>0</v>
      </c>
      <c r="BB79" s="40">
        <f t="shared" si="351"/>
        <v>0</v>
      </c>
      <c r="BC79" s="40">
        <f t="shared" si="351"/>
        <v>0</v>
      </c>
      <c r="BD79" s="40">
        <f t="shared" si="351"/>
        <v>0</v>
      </c>
      <c r="BE79" s="40">
        <f t="shared" si="351"/>
        <v>0</v>
      </c>
      <c r="BF79" s="40">
        <f t="shared" si="351"/>
        <v>0</v>
      </c>
      <c r="BG79" s="40">
        <f t="shared" si="351"/>
        <v>0</v>
      </c>
      <c r="BH79" s="40">
        <f t="shared" si="351"/>
        <v>0</v>
      </c>
      <c r="BI79" s="40">
        <f t="shared" si="351"/>
        <v>0</v>
      </c>
      <c r="BJ79" s="40">
        <f t="shared" si="351"/>
        <v>0</v>
      </c>
      <c r="BK79" s="40">
        <f t="shared" si="351"/>
        <v>0</v>
      </c>
      <c r="BL79" s="40">
        <f t="shared" si="351"/>
        <v>0</v>
      </c>
      <c r="BM79" s="40">
        <f t="shared" si="351"/>
        <v>0</v>
      </c>
      <c r="BN79" s="40">
        <f t="shared" si="351"/>
        <v>0</v>
      </c>
      <c r="BO79" s="40">
        <f t="shared" si="351"/>
        <v>0</v>
      </c>
      <c r="BP79" s="40">
        <f t="shared" ref="BP79:CB79" si="352">IF(BP78&gt;$F26+1,0,1)*(IF(BQ79=0,100,0)+IF($G26=1,1,0.5)*$J26*100)</f>
        <v>0</v>
      </c>
      <c r="BQ79" s="40">
        <f t="shared" si="352"/>
        <v>0</v>
      </c>
      <c r="BR79" s="40">
        <f t="shared" si="352"/>
        <v>0</v>
      </c>
      <c r="BS79" s="40">
        <f t="shared" si="352"/>
        <v>0</v>
      </c>
      <c r="BT79" s="40">
        <f t="shared" si="352"/>
        <v>0</v>
      </c>
      <c r="BU79" s="40">
        <f t="shared" si="352"/>
        <v>0</v>
      </c>
      <c r="BV79" s="40">
        <f t="shared" si="352"/>
        <v>0</v>
      </c>
      <c r="BW79" s="40">
        <f t="shared" si="352"/>
        <v>0</v>
      </c>
      <c r="BX79" s="40">
        <f t="shared" si="352"/>
        <v>0</v>
      </c>
      <c r="BY79" s="40">
        <f t="shared" si="352"/>
        <v>0</v>
      </c>
      <c r="BZ79" s="40">
        <f t="shared" si="352"/>
        <v>0</v>
      </c>
      <c r="CA79" s="40">
        <f t="shared" si="352"/>
        <v>0</v>
      </c>
      <c r="CB79" s="41">
        <f t="shared" si="352"/>
        <v>0</v>
      </c>
      <c r="CF79" s="9"/>
      <c r="CG79" s="9"/>
      <c r="CH79" s="9"/>
      <c r="CI79" s="9"/>
      <c r="CJ79" s="9"/>
      <c r="CK79" s="9"/>
      <c r="CL79" s="9"/>
      <c r="CM79" s="9"/>
      <c r="CN79" s="9"/>
      <c r="CO79" s="9"/>
      <c r="CP79" s="9"/>
      <c r="CQ79" s="9"/>
      <c r="CR79" s="9"/>
      <c r="CS79" s="9"/>
      <c r="CT79" s="9"/>
      <c r="CU79" s="9"/>
      <c r="CV79" s="9"/>
      <c r="CW79" s="9"/>
      <c r="CX79" s="9"/>
      <c r="CY79" s="9"/>
      <c r="CZ79" s="9"/>
      <c r="DA79" s="9"/>
      <c r="DB79" s="9"/>
      <c r="DC79" s="9"/>
      <c r="DD79" s="9"/>
      <c r="DE79" s="9"/>
      <c r="DF79" s="9"/>
      <c r="DG79" s="9"/>
      <c r="DH79" s="9"/>
      <c r="DI79" s="9"/>
      <c r="DJ79" s="9"/>
      <c r="DK79" s="9"/>
    </row>
    <row r="80" spans="1:115">
      <c r="A80" s="520" t="s">
        <v>49</v>
      </c>
      <c r="B80" s="79">
        <f>IF(E27=0,F27,E27)</f>
        <v>0</v>
      </c>
      <c r="C80" s="80">
        <f>B80+IF($G27=1,365,182.5)</f>
        <v>182.5</v>
      </c>
      <c r="D80" s="80">
        <f>C80+IF($G27=1,365,182.5)</f>
        <v>365</v>
      </c>
      <c r="E80" s="80">
        <f t="shared" ref="E80:BP80" si="353">D80+IF($G27=1,365,182.5)</f>
        <v>547.5</v>
      </c>
      <c r="F80" s="80">
        <f t="shared" si="353"/>
        <v>730</v>
      </c>
      <c r="G80" s="80">
        <f t="shared" si="353"/>
        <v>912.5</v>
      </c>
      <c r="H80" s="80">
        <f t="shared" si="353"/>
        <v>1095</v>
      </c>
      <c r="I80" s="80">
        <f t="shared" si="353"/>
        <v>1277.5</v>
      </c>
      <c r="J80" s="80">
        <f t="shared" si="353"/>
        <v>1460</v>
      </c>
      <c r="K80" s="80">
        <f t="shared" si="353"/>
        <v>1642.5</v>
      </c>
      <c r="L80" s="80">
        <f t="shared" si="353"/>
        <v>1825</v>
      </c>
      <c r="M80" s="80">
        <f t="shared" si="353"/>
        <v>2007.5</v>
      </c>
      <c r="N80" s="80">
        <f t="shared" si="353"/>
        <v>2190</v>
      </c>
      <c r="O80" s="80">
        <f t="shared" si="353"/>
        <v>2372.5</v>
      </c>
      <c r="P80" s="80">
        <f t="shared" si="353"/>
        <v>2555</v>
      </c>
      <c r="Q80" s="80">
        <f t="shared" si="353"/>
        <v>2737.5</v>
      </c>
      <c r="R80" s="80">
        <f t="shared" si="353"/>
        <v>2920</v>
      </c>
      <c r="S80" s="80">
        <f t="shared" si="353"/>
        <v>3102.5</v>
      </c>
      <c r="T80" s="80">
        <f t="shared" si="353"/>
        <v>3285</v>
      </c>
      <c r="U80" s="80">
        <f t="shared" si="353"/>
        <v>3467.5</v>
      </c>
      <c r="V80" s="80">
        <f t="shared" si="353"/>
        <v>3650</v>
      </c>
      <c r="W80" s="80">
        <f t="shared" si="353"/>
        <v>3832.5</v>
      </c>
      <c r="X80" s="80">
        <f t="shared" si="353"/>
        <v>4015</v>
      </c>
      <c r="Y80" s="80">
        <f t="shared" si="353"/>
        <v>4197.5</v>
      </c>
      <c r="Z80" s="80">
        <f t="shared" si="353"/>
        <v>4380</v>
      </c>
      <c r="AA80" s="80">
        <f t="shared" si="353"/>
        <v>4562.5</v>
      </c>
      <c r="AB80" s="80">
        <f t="shared" si="353"/>
        <v>4745</v>
      </c>
      <c r="AC80" s="80">
        <f t="shared" si="353"/>
        <v>4927.5</v>
      </c>
      <c r="AD80" s="80">
        <f t="shared" si="353"/>
        <v>5110</v>
      </c>
      <c r="AE80" s="80">
        <f t="shared" si="353"/>
        <v>5292.5</v>
      </c>
      <c r="AF80" s="80">
        <f t="shared" si="353"/>
        <v>5475</v>
      </c>
      <c r="AG80" s="80">
        <f t="shared" si="353"/>
        <v>5657.5</v>
      </c>
      <c r="AH80" s="80">
        <f t="shared" si="353"/>
        <v>5840</v>
      </c>
      <c r="AI80" s="80">
        <f t="shared" si="353"/>
        <v>6022.5</v>
      </c>
      <c r="AJ80" s="80">
        <f t="shared" si="353"/>
        <v>6205</v>
      </c>
      <c r="AK80" s="80">
        <f t="shared" si="353"/>
        <v>6387.5</v>
      </c>
      <c r="AL80" s="80">
        <f t="shared" si="353"/>
        <v>6570</v>
      </c>
      <c r="AM80" s="80">
        <f t="shared" si="353"/>
        <v>6752.5</v>
      </c>
      <c r="AN80" s="80">
        <f t="shared" si="353"/>
        <v>6935</v>
      </c>
      <c r="AO80" s="80">
        <f t="shared" si="353"/>
        <v>7117.5</v>
      </c>
      <c r="AP80" s="80">
        <f t="shared" si="353"/>
        <v>7300</v>
      </c>
      <c r="AQ80" s="80">
        <f t="shared" si="353"/>
        <v>7482.5</v>
      </c>
      <c r="AR80" s="80">
        <f t="shared" si="353"/>
        <v>7665</v>
      </c>
      <c r="AS80" s="80">
        <f t="shared" si="353"/>
        <v>7847.5</v>
      </c>
      <c r="AT80" s="80">
        <f t="shared" si="353"/>
        <v>8030</v>
      </c>
      <c r="AU80" s="80">
        <f t="shared" si="353"/>
        <v>8212.5</v>
      </c>
      <c r="AV80" s="80">
        <f t="shared" si="353"/>
        <v>8395</v>
      </c>
      <c r="AW80" s="80">
        <f t="shared" si="353"/>
        <v>8577.5</v>
      </c>
      <c r="AX80" s="80">
        <f t="shared" si="353"/>
        <v>8760</v>
      </c>
      <c r="AY80" s="80">
        <f t="shared" si="353"/>
        <v>8942.5</v>
      </c>
      <c r="AZ80" s="80">
        <f t="shared" si="353"/>
        <v>9125</v>
      </c>
      <c r="BA80" s="80">
        <f t="shared" si="353"/>
        <v>9307.5</v>
      </c>
      <c r="BB80" s="80">
        <f t="shared" si="353"/>
        <v>9490</v>
      </c>
      <c r="BC80" s="80">
        <f t="shared" si="353"/>
        <v>9672.5</v>
      </c>
      <c r="BD80" s="80">
        <f t="shared" si="353"/>
        <v>9855</v>
      </c>
      <c r="BE80" s="80">
        <f t="shared" si="353"/>
        <v>10037.5</v>
      </c>
      <c r="BF80" s="80">
        <f t="shared" si="353"/>
        <v>10220</v>
      </c>
      <c r="BG80" s="80">
        <f t="shared" si="353"/>
        <v>10402.5</v>
      </c>
      <c r="BH80" s="80">
        <f t="shared" si="353"/>
        <v>10585</v>
      </c>
      <c r="BI80" s="80">
        <f t="shared" si="353"/>
        <v>10767.5</v>
      </c>
      <c r="BJ80" s="80">
        <f t="shared" si="353"/>
        <v>10950</v>
      </c>
      <c r="BK80" s="80">
        <f t="shared" si="353"/>
        <v>11132.5</v>
      </c>
      <c r="BL80" s="80">
        <f t="shared" si="353"/>
        <v>11315</v>
      </c>
      <c r="BM80" s="80">
        <f t="shared" si="353"/>
        <v>11497.5</v>
      </c>
      <c r="BN80" s="80">
        <f t="shared" si="353"/>
        <v>11680</v>
      </c>
      <c r="BO80" s="80">
        <f t="shared" si="353"/>
        <v>11862.5</v>
      </c>
      <c r="BP80" s="80">
        <f t="shared" si="353"/>
        <v>12045</v>
      </c>
      <c r="BQ80" s="80">
        <f t="shared" ref="BQ80:CB80" si="354">BP80+IF($G27=1,365,182.5)</f>
        <v>12227.5</v>
      </c>
      <c r="BR80" s="80">
        <f t="shared" si="354"/>
        <v>12410</v>
      </c>
      <c r="BS80" s="80">
        <f t="shared" si="354"/>
        <v>12592.5</v>
      </c>
      <c r="BT80" s="80">
        <f t="shared" si="354"/>
        <v>12775</v>
      </c>
      <c r="BU80" s="80">
        <f t="shared" si="354"/>
        <v>12957.5</v>
      </c>
      <c r="BV80" s="80">
        <f t="shared" si="354"/>
        <v>13140</v>
      </c>
      <c r="BW80" s="80">
        <f t="shared" si="354"/>
        <v>13322.5</v>
      </c>
      <c r="BX80" s="80">
        <f t="shared" si="354"/>
        <v>13505</v>
      </c>
      <c r="BY80" s="80">
        <f t="shared" si="354"/>
        <v>13687.5</v>
      </c>
      <c r="BZ80" s="80">
        <f t="shared" si="354"/>
        <v>13870</v>
      </c>
      <c r="CA80" s="80">
        <f t="shared" si="354"/>
        <v>14052.5</v>
      </c>
      <c r="CB80" s="81">
        <f t="shared" si="354"/>
        <v>14235</v>
      </c>
      <c r="CF80" s="9"/>
      <c r="CG80" s="9"/>
      <c r="CH80" s="9"/>
      <c r="CI80" s="9"/>
      <c r="CJ80" s="9"/>
      <c r="CK80" s="9"/>
      <c r="CL80" s="9"/>
      <c r="CM80" s="9"/>
      <c r="CN80" s="9"/>
      <c r="CO80" s="9"/>
      <c r="CP80" s="9"/>
      <c r="CQ80" s="9"/>
      <c r="CR80" s="9"/>
      <c r="CS80" s="9"/>
      <c r="CT80" s="9"/>
      <c r="CU80" s="9"/>
      <c r="CV80" s="9"/>
      <c r="CW80" s="9"/>
      <c r="CX80" s="9"/>
      <c r="CY80" s="9"/>
      <c r="CZ80" s="9"/>
      <c r="DA80" s="9"/>
      <c r="DB80" s="9"/>
      <c r="DC80" s="9"/>
      <c r="DD80" s="9"/>
      <c r="DE80" s="9"/>
      <c r="DF80" s="9"/>
      <c r="DG80" s="9"/>
      <c r="DH80" s="9"/>
      <c r="DI80" s="9"/>
      <c r="DJ80" s="9"/>
      <c r="DK80" s="9"/>
    </row>
    <row r="81" spans="1:115">
      <c r="A81" s="222" t="s">
        <v>130</v>
      </c>
      <c r="B81" s="114">
        <f>(IF(B80=F27,100,0)+IF(G27=1,1,0.5)*J27*100)*IF(ISBLANK(F27)=TRUE,0,1)</f>
        <v>0</v>
      </c>
      <c r="C81" s="82">
        <f>IF(C80&gt;$F27+1,0,1)*(IF(D81=0,100,0)+IF($G27=1,1,0.5)*$J27*100)</f>
        <v>0</v>
      </c>
      <c r="D81" s="82">
        <f t="shared" ref="D81:BO81" si="355">IF(D80&gt;$F27+1,0,1)*(IF(E81=0,100,0)+IF($G27=1,1,0.5)*$J27*100)</f>
        <v>0</v>
      </c>
      <c r="E81" s="82">
        <f t="shared" si="355"/>
        <v>0</v>
      </c>
      <c r="F81" s="82">
        <f t="shared" si="355"/>
        <v>0</v>
      </c>
      <c r="G81" s="82">
        <f t="shared" si="355"/>
        <v>0</v>
      </c>
      <c r="H81" s="82">
        <f t="shared" si="355"/>
        <v>0</v>
      </c>
      <c r="I81" s="82">
        <f t="shared" si="355"/>
        <v>0</v>
      </c>
      <c r="J81" s="82">
        <f t="shared" si="355"/>
        <v>0</v>
      </c>
      <c r="K81" s="82">
        <f t="shared" si="355"/>
        <v>0</v>
      </c>
      <c r="L81" s="82">
        <f t="shared" si="355"/>
        <v>0</v>
      </c>
      <c r="M81" s="82">
        <f t="shared" si="355"/>
        <v>0</v>
      </c>
      <c r="N81" s="82">
        <f t="shared" si="355"/>
        <v>0</v>
      </c>
      <c r="O81" s="82">
        <f t="shared" si="355"/>
        <v>0</v>
      </c>
      <c r="P81" s="82">
        <f t="shared" si="355"/>
        <v>0</v>
      </c>
      <c r="Q81" s="82">
        <f t="shared" si="355"/>
        <v>0</v>
      </c>
      <c r="R81" s="82">
        <f t="shared" si="355"/>
        <v>0</v>
      </c>
      <c r="S81" s="82">
        <f t="shared" si="355"/>
        <v>0</v>
      </c>
      <c r="T81" s="82">
        <f t="shared" si="355"/>
        <v>0</v>
      </c>
      <c r="U81" s="82">
        <f t="shared" si="355"/>
        <v>0</v>
      </c>
      <c r="V81" s="82">
        <f t="shared" si="355"/>
        <v>0</v>
      </c>
      <c r="W81" s="82">
        <f t="shared" si="355"/>
        <v>0</v>
      </c>
      <c r="X81" s="82">
        <f t="shared" si="355"/>
        <v>0</v>
      </c>
      <c r="Y81" s="82">
        <f t="shared" si="355"/>
        <v>0</v>
      </c>
      <c r="Z81" s="82">
        <f t="shared" si="355"/>
        <v>0</v>
      </c>
      <c r="AA81" s="82">
        <f t="shared" si="355"/>
        <v>0</v>
      </c>
      <c r="AB81" s="82">
        <f t="shared" si="355"/>
        <v>0</v>
      </c>
      <c r="AC81" s="82">
        <f t="shared" si="355"/>
        <v>0</v>
      </c>
      <c r="AD81" s="82">
        <f t="shared" si="355"/>
        <v>0</v>
      </c>
      <c r="AE81" s="82">
        <f t="shared" si="355"/>
        <v>0</v>
      </c>
      <c r="AF81" s="82">
        <f t="shared" si="355"/>
        <v>0</v>
      </c>
      <c r="AG81" s="82">
        <f t="shared" si="355"/>
        <v>0</v>
      </c>
      <c r="AH81" s="82">
        <f t="shared" si="355"/>
        <v>0</v>
      </c>
      <c r="AI81" s="82">
        <f t="shared" si="355"/>
        <v>0</v>
      </c>
      <c r="AJ81" s="82">
        <f t="shared" si="355"/>
        <v>0</v>
      </c>
      <c r="AK81" s="82">
        <f t="shared" si="355"/>
        <v>0</v>
      </c>
      <c r="AL81" s="82">
        <f t="shared" si="355"/>
        <v>0</v>
      </c>
      <c r="AM81" s="82">
        <f t="shared" si="355"/>
        <v>0</v>
      </c>
      <c r="AN81" s="82">
        <f t="shared" si="355"/>
        <v>0</v>
      </c>
      <c r="AO81" s="82">
        <f t="shared" si="355"/>
        <v>0</v>
      </c>
      <c r="AP81" s="82">
        <f t="shared" si="355"/>
        <v>0</v>
      </c>
      <c r="AQ81" s="82">
        <f t="shared" si="355"/>
        <v>0</v>
      </c>
      <c r="AR81" s="82">
        <f t="shared" si="355"/>
        <v>0</v>
      </c>
      <c r="AS81" s="82">
        <f t="shared" si="355"/>
        <v>0</v>
      </c>
      <c r="AT81" s="82">
        <f t="shared" si="355"/>
        <v>0</v>
      </c>
      <c r="AU81" s="82">
        <f t="shared" si="355"/>
        <v>0</v>
      </c>
      <c r="AV81" s="82">
        <f t="shared" si="355"/>
        <v>0</v>
      </c>
      <c r="AW81" s="82">
        <f t="shared" si="355"/>
        <v>0</v>
      </c>
      <c r="AX81" s="82">
        <f t="shared" si="355"/>
        <v>0</v>
      </c>
      <c r="AY81" s="82">
        <f t="shared" si="355"/>
        <v>0</v>
      </c>
      <c r="AZ81" s="82">
        <f t="shared" si="355"/>
        <v>0</v>
      </c>
      <c r="BA81" s="82">
        <f t="shared" si="355"/>
        <v>0</v>
      </c>
      <c r="BB81" s="82">
        <f t="shared" si="355"/>
        <v>0</v>
      </c>
      <c r="BC81" s="82">
        <f t="shared" si="355"/>
        <v>0</v>
      </c>
      <c r="BD81" s="82">
        <f t="shared" si="355"/>
        <v>0</v>
      </c>
      <c r="BE81" s="82">
        <f t="shared" si="355"/>
        <v>0</v>
      </c>
      <c r="BF81" s="82">
        <f t="shared" si="355"/>
        <v>0</v>
      </c>
      <c r="BG81" s="82">
        <f t="shared" si="355"/>
        <v>0</v>
      </c>
      <c r="BH81" s="82">
        <f t="shared" si="355"/>
        <v>0</v>
      </c>
      <c r="BI81" s="82">
        <f t="shared" si="355"/>
        <v>0</v>
      </c>
      <c r="BJ81" s="82">
        <f t="shared" si="355"/>
        <v>0</v>
      </c>
      <c r="BK81" s="82">
        <f t="shared" si="355"/>
        <v>0</v>
      </c>
      <c r="BL81" s="82">
        <f t="shared" si="355"/>
        <v>0</v>
      </c>
      <c r="BM81" s="82">
        <f t="shared" si="355"/>
        <v>0</v>
      </c>
      <c r="BN81" s="82">
        <f t="shared" si="355"/>
        <v>0</v>
      </c>
      <c r="BO81" s="82">
        <f t="shared" si="355"/>
        <v>0</v>
      </c>
      <c r="BP81" s="82">
        <f t="shared" ref="BP81:CB81" si="356">IF(BP80&gt;$F27+1,0,1)*(IF(BQ81=0,100,0)+IF($G27=1,1,0.5)*$J27*100)</f>
        <v>0</v>
      </c>
      <c r="BQ81" s="82">
        <f t="shared" si="356"/>
        <v>0</v>
      </c>
      <c r="BR81" s="82">
        <f t="shared" si="356"/>
        <v>0</v>
      </c>
      <c r="BS81" s="82">
        <f t="shared" si="356"/>
        <v>0</v>
      </c>
      <c r="BT81" s="82">
        <f t="shared" si="356"/>
        <v>0</v>
      </c>
      <c r="BU81" s="82">
        <f t="shared" si="356"/>
        <v>0</v>
      </c>
      <c r="BV81" s="82">
        <f t="shared" si="356"/>
        <v>0</v>
      </c>
      <c r="BW81" s="82">
        <f t="shared" si="356"/>
        <v>0</v>
      </c>
      <c r="BX81" s="82">
        <f t="shared" si="356"/>
        <v>0</v>
      </c>
      <c r="BY81" s="82">
        <f t="shared" si="356"/>
        <v>0</v>
      </c>
      <c r="BZ81" s="82">
        <f t="shared" si="356"/>
        <v>0</v>
      </c>
      <c r="CA81" s="82">
        <f t="shared" si="356"/>
        <v>0</v>
      </c>
      <c r="CB81" s="83">
        <f t="shared" si="356"/>
        <v>0</v>
      </c>
      <c r="CF81" s="9"/>
      <c r="CG81" s="9"/>
      <c r="CH81" s="9"/>
      <c r="CI81" s="9"/>
      <c r="CJ81" s="9"/>
      <c r="CK81" s="9"/>
      <c r="CL81" s="9"/>
      <c r="CM81" s="9"/>
      <c r="CN81" s="9"/>
      <c r="CO81" s="9"/>
      <c r="CP81" s="9"/>
      <c r="CQ81" s="9"/>
      <c r="CR81" s="9"/>
      <c r="CS81" s="9"/>
      <c r="CT81" s="9"/>
      <c r="CU81" s="9"/>
      <c r="CV81" s="9"/>
      <c r="CW81" s="9"/>
      <c r="CX81" s="9"/>
      <c r="CY81" s="9"/>
      <c r="CZ81" s="9"/>
      <c r="DA81" s="9"/>
      <c r="DB81" s="9"/>
      <c r="DC81" s="9"/>
      <c r="DD81" s="9"/>
      <c r="DE81" s="9"/>
      <c r="DF81" s="9"/>
      <c r="DG81" s="9"/>
      <c r="DH81" s="9"/>
      <c r="DI81" s="9"/>
      <c r="DJ81" s="9"/>
      <c r="DK81" s="9"/>
    </row>
    <row r="82" spans="1:115" s="6" customForma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10"/>
      <c r="CF82" s="10"/>
      <c r="CG82" s="10"/>
      <c r="CH82" s="10"/>
      <c r="CI82" s="10"/>
      <c r="CJ82" s="10"/>
      <c r="CK82" s="10"/>
      <c r="CL82" s="10"/>
      <c r="CM82" s="10"/>
      <c r="CN82" s="10"/>
      <c r="CO82" s="10"/>
      <c r="CP82" s="10"/>
      <c r="CQ82" s="10"/>
      <c r="CR82" s="10"/>
      <c r="CS82" s="10"/>
      <c r="CT82" s="10"/>
      <c r="CU82" s="10"/>
      <c r="CV82" s="10"/>
      <c r="CW82" s="10"/>
      <c r="CX82" s="10"/>
      <c r="CY82" s="10"/>
      <c r="CZ82" s="10"/>
      <c r="DA82" s="10"/>
      <c r="DB82" s="10"/>
      <c r="DC82" s="10"/>
      <c r="DD82" s="10"/>
      <c r="DE82" s="10"/>
      <c r="DF82" s="10"/>
      <c r="DG82" s="10"/>
      <c r="DH82" s="10"/>
      <c r="DI82" s="10"/>
      <c r="DJ82" s="10"/>
      <c r="DK82" s="10"/>
    </row>
    <row r="83" spans="1:115">
      <c r="A83" s="16" t="s">
        <v>42</v>
      </c>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7"/>
      <c r="CD83" s="17"/>
      <c r="CE83" s="17"/>
      <c r="CF83" s="9"/>
      <c r="CG83" s="9"/>
      <c r="CH83" s="9"/>
      <c r="CI83" s="9"/>
      <c r="CJ83" s="9"/>
      <c r="CK83" s="9"/>
      <c r="CL83" s="9"/>
      <c r="CM83" s="9"/>
      <c r="CN83" s="9"/>
      <c r="CO83" s="9"/>
      <c r="CP83" s="9"/>
      <c r="CQ83" s="9"/>
      <c r="CR83" s="9"/>
      <c r="CS83" s="9"/>
      <c r="CT83" s="9"/>
      <c r="CU83" s="9"/>
      <c r="CV83" s="9"/>
      <c r="CW83" s="9"/>
      <c r="CX83" s="9"/>
      <c r="CY83" s="9"/>
      <c r="CZ83" s="9"/>
      <c r="DA83" s="9"/>
      <c r="DB83" s="9"/>
      <c r="DC83" s="9"/>
      <c r="DD83" s="9"/>
      <c r="DE83" s="9"/>
      <c r="DF83" s="9"/>
      <c r="DG83" s="9"/>
      <c r="DH83" s="9"/>
      <c r="DI83" s="9"/>
      <c r="DJ83" s="9"/>
      <c r="DK83" s="9"/>
    </row>
    <row r="84" spans="1:115">
      <c r="A84" s="16" t="s">
        <v>40</v>
      </c>
      <c r="B84" s="140">
        <f t="shared" ref="B84:BM84" si="357">DAYS360($B$3,B30)</f>
        <v>103</v>
      </c>
      <c r="C84" s="140">
        <f t="shared" si="357"/>
        <v>282</v>
      </c>
      <c r="D84" s="140">
        <f t="shared" si="357"/>
        <v>462</v>
      </c>
      <c r="E84" s="140">
        <f t="shared" si="357"/>
        <v>642</v>
      </c>
      <c r="F84" s="140">
        <f t="shared" si="357"/>
        <v>822</v>
      </c>
      <c r="G84" s="140">
        <f t="shared" si="357"/>
        <v>1002</v>
      </c>
      <c r="H84" s="140">
        <f t="shared" si="357"/>
        <v>1182</v>
      </c>
      <c r="I84" s="140">
        <f t="shared" si="357"/>
        <v>1362</v>
      </c>
      <c r="J84" s="140">
        <f t="shared" si="357"/>
        <v>1542</v>
      </c>
      <c r="K84" s="140">
        <f t="shared" si="357"/>
        <v>1721</v>
      </c>
      <c r="L84" s="140">
        <f t="shared" si="357"/>
        <v>1901</v>
      </c>
      <c r="M84" s="140">
        <f t="shared" si="357"/>
        <v>2081</v>
      </c>
      <c r="N84" s="140">
        <f t="shared" si="357"/>
        <v>2261</v>
      </c>
      <c r="O84" s="140">
        <f t="shared" si="357"/>
        <v>2441</v>
      </c>
      <c r="P84" s="140">
        <f t="shared" si="357"/>
        <v>2621</v>
      </c>
      <c r="Q84" s="140">
        <f t="shared" si="357"/>
        <v>2801</v>
      </c>
      <c r="R84" s="140">
        <f t="shared" si="357"/>
        <v>2981</v>
      </c>
      <c r="S84" s="140">
        <f t="shared" si="357"/>
        <v>3160</v>
      </c>
      <c r="T84" s="140">
        <f t="shared" si="357"/>
        <v>3340</v>
      </c>
      <c r="U84" s="140">
        <f t="shared" si="357"/>
        <v>3520</v>
      </c>
      <c r="V84" s="140">
        <f t="shared" si="357"/>
        <v>3700</v>
      </c>
      <c r="W84" s="140">
        <f t="shared" si="357"/>
        <v>3880</v>
      </c>
      <c r="X84" s="140">
        <f t="shared" si="357"/>
        <v>4060</v>
      </c>
      <c r="Y84" s="140">
        <f t="shared" si="357"/>
        <v>4240</v>
      </c>
      <c r="Z84" s="140">
        <f t="shared" si="357"/>
        <v>4420</v>
      </c>
      <c r="AA84" s="140">
        <f t="shared" si="357"/>
        <v>4599</v>
      </c>
      <c r="AB84" s="140">
        <f t="shared" si="357"/>
        <v>4779</v>
      </c>
      <c r="AC84" s="140">
        <f t="shared" si="357"/>
        <v>4959</v>
      </c>
      <c r="AD84" s="140">
        <f t="shared" si="357"/>
        <v>5139</v>
      </c>
      <c r="AE84" s="140">
        <f t="shared" si="357"/>
        <v>5319</v>
      </c>
      <c r="AF84" s="140">
        <f t="shared" si="357"/>
        <v>5499</v>
      </c>
      <c r="AG84" s="140">
        <f t="shared" si="357"/>
        <v>5679</v>
      </c>
      <c r="AH84" s="140">
        <f t="shared" si="357"/>
        <v>5859</v>
      </c>
      <c r="AI84" s="140">
        <f t="shared" si="357"/>
        <v>6038</v>
      </c>
      <c r="AJ84" s="140">
        <f t="shared" si="357"/>
        <v>6218</v>
      </c>
      <c r="AK84" s="140">
        <f t="shared" si="357"/>
        <v>6398</v>
      </c>
      <c r="AL84" s="140">
        <f t="shared" si="357"/>
        <v>6578</v>
      </c>
      <c r="AM84" s="140">
        <f t="shared" si="357"/>
        <v>6758</v>
      </c>
      <c r="AN84" s="140">
        <f t="shared" si="357"/>
        <v>6938</v>
      </c>
      <c r="AO84" s="140">
        <f t="shared" si="357"/>
        <v>7118</v>
      </c>
      <c r="AP84" s="140">
        <f t="shared" si="357"/>
        <v>7298</v>
      </c>
      <c r="AQ84" s="140">
        <f t="shared" si="357"/>
        <v>7477</v>
      </c>
      <c r="AR84" s="140">
        <f t="shared" si="357"/>
        <v>7657</v>
      </c>
      <c r="AS84" s="140">
        <f t="shared" si="357"/>
        <v>7837</v>
      </c>
      <c r="AT84" s="140">
        <f t="shared" si="357"/>
        <v>8017</v>
      </c>
      <c r="AU84" s="140">
        <f t="shared" si="357"/>
        <v>8197</v>
      </c>
      <c r="AV84" s="140">
        <f t="shared" si="357"/>
        <v>8377</v>
      </c>
      <c r="AW84" s="140">
        <f t="shared" si="357"/>
        <v>8557</v>
      </c>
      <c r="AX84" s="140">
        <f t="shared" si="357"/>
        <v>8737</v>
      </c>
      <c r="AY84" s="140">
        <f t="shared" si="357"/>
        <v>8916</v>
      </c>
      <c r="AZ84" s="140">
        <f t="shared" si="357"/>
        <v>9096</v>
      </c>
      <c r="BA84" s="140">
        <f t="shared" si="357"/>
        <v>9276</v>
      </c>
      <c r="BB84" s="140">
        <f t="shared" si="357"/>
        <v>9456</v>
      </c>
      <c r="BC84" s="140">
        <f t="shared" si="357"/>
        <v>9636</v>
      </c>
      <c r="BD84" s="140">
        <f t="shared" si="357"/>
        <v>9816</v>
      </c>
      <c r="BE84" s="140">
        <f t="shared" si="357"/>
        <v>9996</v>
      </c>
      <c r="BF84" s="140">
        <f t="shared" si="357"/>
        <v>10176</v>
      </c>
      <c r="BG84" s="140">
        <f t="shared" si="357"/>
        <v>10355</v>
      </c>
      <c r="BH84" s="140">
        <f t="shared" si="357"/>
        <v>10535</v>
      </c>
      <c r="BI84" s="140">
        <f t="shared" si="357"/>
        <v>10715</v>
      </c>
      <c r="BJ84" s="140">
        <f t="shared" si="357"/>
        <v>10895</v>
      </c>
      <c r="BK84" s="140">
        <f t="shared" si="357"/>
        <v>11075</v>
      </c>
      <c r="BL84" s="140">
        <f t="shared" si="357"/>
        <v>11255</v>
      </c>
      <c r="BM84" s="140">
        <f t="shared" si="357"/>
        <v>11435</v>
      </c>
      <c r="BN84" s="140">
        <f t="shared" ref="BN84:CB84" si="358">DAYS360($B$3,BN30)</f>
        <v>11615</v>
      </c>
      <c r="BO84" s="140">
        <f t="shared" si="358"/>
        <v>11794</v>
      </c>
      <c r="BP84" s="140">
        <f t="shared" si="358"/>
        <v>11974</v>
      </c>
      <c r="BQ84" s="140">
        <f t="shared" si="358"/>
        <v>12154</v>
      </c>
      <c r="BR84" s="140">
        <f t="shared" si="358"/>
        <v>12334</v>
      </c>
      <c r="BS84" s="140">
        <f t="shared" si="358"/>
        <v>12514</v>
      </c>
      <c r="BT84" s="140">
        <f t="shared" si="358"/>
        <v>12694</v>
      </c>
      <c r="BU84" s="140">
        <f t="shared" si="358"/>
        <v>12874</v>
      </c>
      <c r="BV84" s="140">
        <f t="shared" si="358"/>
        <v>13054</v>
      </c>
      <c r="BW84" s="140">
        <f t="shared" si="358"/>
        <v>13233</v>
      </c>
      <c r="BX84" s="140">
        <f t="shared" si="358"/>
        <v>13413</v>
      </c>
      <c r="BY84" s="140">
        <f t="shared" si="358"/>
        <v>13593</v>
      </c>
      <c r="BZ84" s="140">
        <f t="shared" si="358"/>
        <v>13773</v>
      </c>
      <c r="CA84" s="140">
        <f t="shared" si="358"/>
        <v>13953</v>
      </c>
      <c r="CB84" s="140">
        <f t="shared" si="358"/>
        <v>14133</v>
      </c>
      <c r="CC84" s="17"/>
      <c r="CD84" s="17"/>
      <c r="CE84" s="17"/>
    </row>
    <row r="85" spans="1:115">
      <c r="A85" s="16" t="s">
        <v>41</v>
      </c>
      <c r="B85" s="140">
        <f>B84/360</f>
        <v>0.28611111111111109</v>
      </c>
      <c r="C85" s="140">
        <f t="shared" ref="C85:BN85" si="359">C84/360</f>
        <v>0.78333333333333333</v>
      </c>
      <c r="D85" s="140">
        <f t="shared" si="359"/>
        <v>1.2833333333333334</v>
      </c>
      <c r="E85" s="140">
        <f t="shared" si="359"/>
        <v>1.7833333333333334</v>
      </c>
      <c r="F85" s="140">
        <f t="shared" si="359"/>
        <v>2.2833333333333332</v>
      </c>
      <c r="G85" s="140">
        <f t="shared" si="359"/>
        <v>2.7833333333333332</v>
      </c>
      <c r="H85" s="140">
        <f t="shared" si="359"/>
        <v>3.2833333333333332</v>
      </c>
      <c r="I85" s="140">
        <f t="shared" si="359"/>
        <v>3.7833333333333332</v>
      </c>
      <c r="J85" s="140">
        <f t="shared" si="359"/>
        <v>4.2833333333333332</v>
      </c>
      <c r="K85" s="140">
        <f t="shared" si="359"/>
        <v>4.7805555555555559</v>
      </c>
      <c r="L85" s="140">
        <f t="shared" si="359"/>
        <v>5.2805555555555559</v>
      </c>
      <c r="M85" s="140">
        <f t="shared" si="359"/>
        <v>5.7805555555555559</v>
      </c>
      <c r="N85" s="140">
        <f t="shared" si="359"/>
        <v>6.2805555555555559</v>
      </c>
      <c r="O85" s="140">
        <f t="shared" si="359"/>
        <v>6.7805555555555559</v>
      </c>
      <c r="P85" s="140">
        <f t="shared" si="359"/>
        <v>7.2805555555555559</v>
      </c>
      <c r="Q85" s="140">
        <f t="shared" si="359"/>
        <v>7.7805555555555559</v>
      </c>
      <c r="R85" s="140">
        <f t="shared" si="359"/>
        <v>8.280555555555555</v>
      </c>
      <c r="S85" s="140">
        <f t="shared" si="359"/>
        <v>8.7777777777777786</v>
      </c>
      <c r="T85" s="140">
        <f t="shared" si="359"/>
        <v>9.2777777777777786</v>
      </c>
      <c r="U85" s="140">
        <f t="shared" si="359"/>
        <v>9.7777777777777786</v>
      </c>
      <c r="V85" s="140">
        <f t="shared" si="359"/>
        <v>10.277777777777779</v>
      </c>
      <c r="W85" s="140">
        <f t="shared" si="359"/>
        <v>10.777777777777779</v>
      </c>
      <c r="X85" s="140">
        <f t="shared" si="359"/>
        <v>11.277777777777779</v>
      </c>
      <c r="Y85" s="140">
        <f t="shared" si="359"/>
        <v>11.777777777777779</v>
      </c>
      <c r="Z85" s="140">
        <f t="shared" si="359"/>
        <v>12.277777777777779</v>
      </c>
      <c r="AA85" s="140">
        <f t="shared" si="359"/>
        <v>12.775</v>
      </c>
      <c r="AB85" s="140">
        <f t="shared" si="359"/>
        <v>13.275</v>
      </c>
      <c r="AC85" s="140">
        <f t="shared" si="359"/>
        <v>13.775</v>
      </c>
      <c r="AD85" s="140">
        <f t="shared" si="359"/>
        <v>14.275</v>
      </c>
      <c r="AE85" s="140">
        <f t="shared" si="359"/>
        <v>14.775</v>
      </c>
      <c r="AF85" s="140">
        <f t="shared" si="359"/>
        <v>15.275</v>
      </c>
      <c r="AG85" s="140">
        <f t="shared" si="359"/>
        <v>15.775</v>
      </c>
      <c r="AH85" s="140">
        <f t="shared" si="359"/>
        <v>16.274999999999999</v>
      </c>
      <c r="AI85" s="140">
        <f t="shared" si="359"/>
        <v>16.772222222222222</v>
      </c>
      <c r="AJ85" s="140">
        <f t="shared" si="359"/>
        <v>17.272222222222222</v>
      </c>
      <c r="AK85" s="140">
        <f t="shared" si="359"/>
        <v>17.772222222222222</v>
      </c>
      <c r="AL85" s="140">
        <f t="shared" si="359"/>
        <v>18.272222222222222</v>
      </c>
      <c r="AM85" s="140">
        <f t="shared" si="359"/>
        <v>18.772222222222222</v>
      </c>
      <c r="AN85" s="140">
        <f t="shared" si="359"/>
        <v>19.272222222222222</v>
      </c>
      <c r="AO85" s="140">
        <f t="shared" si="359"/>
        <v>19.772222222222222</v>
      </c>
      <c r="AP85" s="140">
        <f t="shared" si="359"/>
        <v>20.272222222222222</v>
      </c>
      <c r="AQ85" s="140">
        <f t="shared" si="359"/>
        <v>20.769444444444446</v>
      </c>
      <c r="AR85" s="140">
        <f t="shared" si="359"/>
        <v>21.269444444444446</v>
      </c>
      <c r="AS85" s="140">
        <f t="shared" si="359"/>
        <v>21.769444444444446</v>
      </c>
      <c r="AT85" s="140">
        <f t="shared" si="359"/>
        <v>22.269444444444446</v>
      </c>
      <c r="AU85" s="140">
        <f t="shared" si="359"/>
        <v>22.769444444444446</v>
      </c>
      <c r="AV85" s="140">
        <f t="shared" si="359"/>
        <v>23.269444444444446</v>
      </c>
      <c r="AW85" s="140">
        <f t="shared" si="359"/>
        <v>23.769444444444446</v>
      </c>
      <c r="AX85" s="140">
        <f t="shared" si="359"/>
        <v>24.269444444444446</v>
      </c>
      <c r="AY85" s="140">
        <f t="shared" si="359"/>
        <v>24.766666666666666</v>
      </c>
      <c r="AZ85" s="140">
        <f t="shared" si="359"/>
        <v>25.266666666666666</v>
      </c>
      <c r="BA85" s="140">
        <f t="shared" si="359"/>
        <v>25.766666666666666</v>
      </c>
      <c r="BB85" s="140">
        <f t="shared" si="359"/>
        <v>26.266666666666666</v>
      </c>
      <c r="BC85" s="140">
        <f t="shared" si="359"/>
        <v>26.766666666666666</v>
      </c>
      <c r="BD85" s="140">
        <f t="shared" si="359"/>
        <v>27.266666666666666</v>
      </c>
      <c r="BE85" s="140">
        <f t="shared" si="359"/>
        <v>27.766666666666666</v>
      </c>
      <c r="BF85" s="140">
        <f t="shared" si="359"/>
        <v>28.266666666666666</v>
      </c>
      <c r="BG85" s="140">
        <f t="shared" si="359"/>
        <v>28.763888888888889</v>
      </c>
      <c r="BH85" s="140">
        <f t="shared" si="359"/>
        <v>29.263888888888889</v>
      </c>
      <c r="BI85" s="140">
        <f t="shared" si="359"/>
        <v>29.763888888888889</v>
      </c>
      <c r="BJ85" s="140">
        <f t="shared" si="359"/>
        <v>30.263888888888889</v>
      </c>
      <c r="BK85" s="140">
        <f t="shared" si="359"/>
        <v>30.763888888888889</v>
      </c>
      <c r="BL85" s="140">
        <f t="shared" si="359"/>
        <v>31.263888888888889</v>
      </c>
      <c r="BM85" s="140">
        <f t="shared" si="359"/>
        <v>31.763888888888889</v>
      </c>
      <c r="BN85" s="140">
        <f t="shared" si="359"/>
        <v>32.263888888888886</v>
      </c>
      <c r="BO85" s="140">
        <f t="shared" ref="BO85:CB85" si="360">BO84/360</f>
        <v>32.761111111111113</v>
      </c>
      <c r="BP85" s="140">
        <f t="shared" si="360"/>
        <v>33.261111111111113</v>
      </c>
      <c r="BQ85" s="140">
        <f t="shared" si="360"/>
        <v>33.761111111111113</v>
      </c>
      <c r="BR85" s="140">
        <f t="shared" si="360"/>
        <v>34.261111111111113</v>
      </c>
      <c r="BS85" s="140">
        <f t="shared" si="360"/>
        <v>34.761111111111113</v>
      </c>
      <c r="BT85" s="140">
        <f t="shared" si="360"/>
        <v>35.261111111111113</v>
      </c>
      <c r="BU85" s="140">
        <f t="shared" si="360"/>
        <v>35.761111111111113</v>
      </c>
      <c r="BV85" s="140">
        <f t="shared" si="360"/>
        <v>36.261111111111113</v>
      </c>
      <c r="BW85" s="140">
        <f t="shared" si="360"/>
        <v>36.758333333333333</v>
      </c>
      <c r="BX85" s="140">
        <f t="shared" si="360"/>
        <v>37.258333333333333</v>
      </c>
      <c r="BY85" s="140">
        <f t="shared" si="360"/>
        <v>37.758333333333333</v>
      </c>
      <c r="BZ85" s="140">
        <f t="shared" si="360"/>
        <v>38.258333333333333</v>
      </c>
      <c r="CA85" s="140">
        <f t="shared" si="360"/>
        <v>38.758333333333333</v>
      </c>
      <c r="CB85" s="140">
        <f t="shared" si="360"/>
        <v>39.258333333333333</v>
      </c>
      <c r="CC85" s="17"/>
      <c r="CD85" s="17"/>
      <c r="CE85" s="17"/>
    </row>
    <row r="86" spans="1:115">
      <c r="A86" s="16" t="s">
        <v>43</v>
      </c>
      <c r="B86" s="140">
        <f>IF(B84&lt;0,0,$B$5+$B$6*((1-EXP(-B85/$B$9))/(B85/$B$9))+$B$7*((1-EXP(-B85/$B$9))/(B85/$B$9)-EXP(-B85/$B$9))+$B$8*((1-EXP(-B85/$B$10))/(B85/$B$10)-EXP(-B85/$B$10)))</f>
        <v>1.0623636880732239E-2</v>
      </c>
      <c r="C86" s="140">
        <f t="shared" ref="C86:BN86" si="361">IF(C84&lt;0,0,$B$5+$B$6*((1-EXP(-C85/$B$9))/(C85/$B$9))+$B$7*((1-EXP(-C85/$B$9))/(C85/$B$9)-EXP(-C85/$B$9))+$B$8*((1-EXP(-C85/$B$10))/(C85/$B$10)-EXP(-C85/$B$10)))</f>
        <v>9.9047827137946597E-3</v>
      </c>
      <c r="D86" s="140">
        <f t="shared" si="361"/>
        <v>9.5094745858173135E-3</v>
      </c>
      <c r="E86" s="140">
        <f t="shared" si="361"/>
        <v>9.3489435127927234E-3</v>
      </c>
      <c r="F86" s="140">
        <f t="shared" si="361"/>
        <v>9.3543710595200193E-3</v>
      </c>
      <c r="G86" s="140">
        <f t="shared" si="361"/>
        <v>9.4755108981776949E-3</v>
      </c>
      <c r="H86" s="140">
        <f t="shared" si="361"/>
        <v>9.675835905202124E-3</v>
      </c>
      <c r="I86" s="140">
        <f t="shared" si="361"/>
        <v>9.9289324055429947E-3</v>
      </c>
      <c r="J86" s="140">
        <f t="shared" si="361"/>
        <v>1.0215824165588236E-2</v>
      </c>
      <c r="K86" s="140">
        <f t="shared" si="361"/>
        <v>1.0521245565519187E-2</v>
      </c>
      <c r="L86" s="140">
        <f t="shared" si="361"/>
        <v>1.083910853554514E-2</v>
      </c>
      <c r="M86" s="140">
        <f t="shared" si="361"/>
        <v>1.1161105049158482E-2</v>
      </c>
      <c r="N86" s="140">
        <f t="shared" si="361"/>
        <v>1.1482693517072883E-2</v>
      </c>
      <c r="O86" s="140">
        <f t="shared" si="361"/>
        <v>1.1800849354287359E-2</v>
      </c>
      <c r="P86" s="140">
        <f t="shared" si="361"/>
        <v>1.2113632768129854E-2</v>
      </c>
      <c r="Q86" s="140">
        <f t="shared" si="361"/>
        <v>1.2419872678610073E-2</v>
      </c>
      <c r="R86" s="140">
        <f t="shared" si="361"/>
        <v>1.271893643516687E-2</v>
      </c>
      <c r="S86" s="140">
        <f t="shared" si="361"/>
        <v>1.3008963301530225E-2</v>
      </c>
      <c r="T86" s="140">
        <f t="shared" si="361"/>
        <v>1.3293183019041595E-2</v>
      </c>
      <c r="U86" s="140">
        <f t="shared" si="361"/>
        <v>1.3570108115037546E-2</v>
      </c>
      <c r="V86" s="140">
        <f t="shared" si="361"/>
        <v>1.3839995677473113E-2</v>
      </c>
      <c r="W86" s="140">
        <f t="shared" si="361"/>
        <v>1.4103163100777525E-2</v>
      </c>
      <c r="X86" s="140">
        <f t="shared" si="361"/>
        <v>1.4359958098394769E-2</v>
      </c>
      <c r="Y86" s="140">
        <f t="shared" si="361"/>
        <v>1.461073827401406E-2</v>
      </c>
      <c r="Z86" s="140">
        <f t="shared" si="361"/>
        <v>1.4855857551072459E-2</v>
      </c>
      <c r="AA86" s="140">
        <f t="shared" si="361"/>
        <v>1.509433935288472E-2</v>
      </c>
      <c r="AB86" s="140">
        <f t="shared" si="361"/>
        <v>1.5329170779153019E-2</v>
      </c>
      <c r="AC86" s="140">
        <f t="shared" si="361"/>
        <v>1.5559308655842182E-2</v>
      </c>
      <c r="AD86" s="140">
        <f t="shared" si="361"/>
        <v>1.5785034912585639E-2</v>
      </c>
      <c r="AE86" s="140">
        <f t="shared" si="361"/>
        <v>1.6006609697587906E-2</v>
      </c>
      <c r="AF86" s="140">
        <f t="shared" si="361"/>
        <v>1.6224271977572865E-2</v>
      </c>
      <c r="AG86" s="140">
        <f t="shared" si="361"/>
        <v>1.6438240578199422E-2</v>
      </c>
      <c r="AH86" s="140">
        <f t="shared" si="361"/>
        <v>1.6648715474069577E-2</v>
      </c>
      <c r="AI86" s="140">
        <f t="shared" si="361"/>
        <v>1.6854737121381278E-2</v>
      </c>
      <c r="AJ86" s="140">
        <f t="shared" si="361"/>
        <v>1.7058773237323566E-2</v>
      </c>
      <c r="AK86" s="140">
        <f t="shared" si="361"/>
        <v>1.72598158371252E-2</v>
      </c>
      <c r="AL86" s="140">
        <f t="shared" si="361"/>
        <v>1.7458003680255341E-2</v>
      </c>
      <c r="AM86" s="140">
        <f t="shared" si="361"/>
        <v>1.7653463536820173E-2</v>
      </c>
      <c r="AN86" s="140">
        <f t="shared" si="361"/>
        <v>1.7846311355918732E-2</v>
      </c>
      <c r="AO86" s="140">
        <f t="shared" si="361"/>
        <v>1.8036653335380921E-2</v>
      </c>
      <c r="AP86" s="140">
        <f t="shared" si="361"/>
        <v>1.8224586893957975E-2</v>
      </c>
      <c r="AQ86" s="140">
        <f t="shared" si="361"/>
        <v>1.8409176608612125E-2</v>
      </c>
      <c r="AR86" s="140">
        <f t="shared" si="361"/>
        <v>1.8592566980046351E-2</v>
      </c>
      <c r="AS86" s="140">
        <f t="shared" si="361"/>
        <v>1.8773796460255145E-2</v>
      </c>
      <c r="AT86" s="140">
        <f t="shared" si="361"/>
        <v>1.8952935323272333E-2</v>
      </c>
      <c r="AU86" s="140">
        <f t="shared" si="361"/>
        <v>1.9130048643162874E-2</v>
      </c>
      <c r="AV86" s="140">
        <f t="shared" si="361"/>
        <v>1.9305196801532542E-2</v>
      </c>
      <c r="AW86" s="140">
        <f t="shared" si="361"/>
        <v>1.9478435940576105E-2</v>
      </c>
      <c r="AX86" s="140">
        <f t="shared" si="361"/>
        <v>1.9649818367465103E-2</v>
      </c>
      <c r="AY86" s="140">
        <f t="shared" si="361"/>
        <v>1.9818455743275266E-2</v>
      </c>
      <c r="AZ86" s="140">
        <f t="shared" si="361"/>
        <v>1.9986277763025993E-2</v>
      </c>
      <c r="BA86" s="140">
        <f t="shared" si="361"/>
        <v>2.0152380173300569E-2</v>
      </c>
      <c r="BB86" s="140">
        <f t="shared" si="361"/>
        <v>2.0316803200722426E-2</v>
      </c>
      <c r="BC86" s="140">
        <f t="shared" si="361"/>
        <v>2.0479584696041674E-2</v>
      </c>
      <c r="BD86" s="140">
        <f t="shared" si="361"/>
        <v>2.0640760341192291E-2</v>
      </c>
      <c r="BE86" s="140">
        <f t="shared" si="361"/>
        <v>2.0800363835116461E-2</v>
      </c>
      <c r="BF86" s="140">
        <f t="shared" si="361"/>
        <v>2.0958427060743696E-2</v>
      </c>
      <c r="BG86" s="140">
        <f t="shared" si="361"/>
        <v>2.1114114613305118E-2</v>
      </c>
      <c r="BH86" s="140">
        <f t="shared" si="361"/>
        <v>2.12691945766133E-2</v>
      </c>
      <c r="BI86" s="140">
        <f t="shared" si="361"/>
        <v>2.1422820306165838E-2</v>
      </c>
      <c r="BJ86" s="140">
        <f t="shared" si="361"/>
        <v>2.1575017789460367E-2</v>
      </c>
      <c r="BK86" s="140">
        <f t="shared" si="361"/>
        <v>2.1725811815394132E-2</v>
      </c>
      <c r="BL86" s="140">
        <f t="shared" si="361"/>
        <v>2.1875226064781244E-2</v>
      </c>
      <c r="BM86" s="140">
        <f t="shared" si="361"/>
        <v>2.2023283192485078E-2</v>
      </c>
      <c r="BN86" s="140">
        <f t="shared" si="361"/>
        <v>2.2170004902047995E-2</v>
      </c>
      <c r="BO86" s="140">
        <f t="shared" ref="BO86:CB86" si="362">IF(BO84&lt;0,0,$B$5+$B$6*((1-EXP(-BO85/$B$9))/(BO85/$B$9))+$B$7*((1-EXP(-BO85/$B$9))/(BO85/$B$9)-EXP(-BO85/$B$9))+$B$8*((1-EXP(-BO85/$B$10))/(BO85/$B$10)-EXP(-BO85/$B$10)))</f>
        <v>2.2314607790597088E-2</v>
      </c>
      <c r="BP86" s="140">
        <f t="shared" si="362"/>
        <v>2.2458727441133981E-2</v>
      </c>
      <c r="BQ86" s="140">
        <f t="shared" si="362"/>
        <v>2.260157162092951E-2</v>
      </c>
      <c r="BR86" s="140">
        <f t="shared" si="362"/>
        <v>2.274315885383554E-2</v>
      </c>
      <c r="BS86" s="140">
        <f t="shared" si="362"/>
        <v>2.2883506997155752E-2</v>
      </c>
      <c r="BT86" s="140">
        <f t="shared" si="362"/>
        <v>2.3022633284901641E-2</v>
      </c>
      <c r="BU86" s="140">
        <f t="shared" si="362"/>
        <v>2.3160554367469874E-2</v>
      </c>
      <c r="BV86" s="140">
        <f t="shared" si="362"/>
        <v>2.3297286348083101E-2</v>
      </c>
      <c r="BW86" s="140">
        <f t="shared" si="362"/>
        <v>2.3432094927387903E-2</v>
      </c>
      <c r="BX86" s="140">
        <f t="shared" si="362"/>
        <v>2.356650138465833E-2</v>
      </c>
      <c r="BY86" s="140">
        <f t="shared" si="362"/>
        <v>2.3699764008456234E-2</v>
      </c>
      <c r="BZ86" s="140">
        <f t="shared" si="362"/>
        <v>2.3831897025337955E-2</v>
      </c>
      <c r="CA86" s="140">
        <f t="shared" si="362"/>
        <v>2.3962914257852505E-2</v>
      </c>
      <c r="CB86" s="140">
        <f t="shared" si="362"/>
        <v>2.4092829146981128E-2</v>
      </c>
      <c r="CC86" s="17"/>
      <c r="CD86" s="17"/>
      <c r="CE86" s="17"/>
    </row>
    <row r="87" spans="1:115">
      <c r="A87" s="16" t="s">
        <v>44</v>
      </c>
      <c r="B87" s="140">
        <f>EXP(-B86*B85)</f>
        <v>0.99696507417466262</v>
      </c>
      <c r="C87" s="140">
        <f t="shared" ref="C87:BN87" si="363">EXP(-C86*C85)</f>
        <v>0.99227127492123501</v>
      </c>
      <c r="D87" s="140">
        <f t="shared" si="363"/>
        <v>0.98787033895844845</v>
      </c>
      <c r="E87" s="140">
        <f t="shared" si="363"/>
        <v>0.98346593072915645</v>
      </c>
      <c r="F87" s="140">
        <f t="shared" si="363"/>
        <v>0.97886734391424501</v>
      </c>
      <c r="G87" s="140">
        <f t="shared" si="363"/>
        <v>0.97397123821084564</v>
      </c>
      <c r="H87" s="140">
        <f t="shared" si="363"/>
        <v>0.96873033821622356</v>
      </c>
      <c r="I87" s="140">
        <f t="shared" si="363"/>
        <v>0.96313233130983433</v>
      </c>
      <c r="J87" s="140">
        <f t="shared" si="363"/>
        <v>0.95718577876698596</v>
      </c>
      <c r="K87" s="140">
        <f t="shared" si="363"/>
        <v>0.95094657194065502</v>
      </c>
      <c r="L87" s="140">
        <f t="shared" si="363"/>
        <v>0.94437068531204482</v>
      </c>
      <c r="M87" s="140">
        <f t="shared" si="363"/>
        <v>0.93751981271515272</v>
      </c>
      <c r="N87" s="140">
        <f t="shared" si="363"/>
        <v>0.93042138383016848</v>
      </c>
      <c r="O87" s="140">
        <f t="shared" si="363"/>
        <v>0.92310128618985965</v>
      </c>
      <c r="P87" s="140">
        <f t="shared" si="363"/>
        <v>0.9155832580003197</v>
      </c>
      <c r="Q87" s="140">
        <f t="shared" si="363"/>
        <v>0.90788867786357497</v>
      </c>
      <c r="R87" s="140">
        <f t="shared" si="363"/>
        <v>0.90003659105277856</v>
      </c>
      <c r="S87" s="140">
        <f t="shared" si="363"/>
        <v>0.89208863122346194</v>
      </c>
      <c r="T87" s="140">
        <f t="shared" si="363"/>
        <v>0.88397084468849296</v>
      </c>
      <c r="U87" s="140">
        <f t="shared" si="363"/>
        <v>0.87574046780675319</v>
      </c>
      <c r="V87" s="140">
        <f t="shared" si="363"/>
        <v>0.86740923574479256</v>
      </c>
      <c r="W87" s="140">
        <f t="shared" si="363"/>
        <v>0.8589876297451311</v>
      </c>
      <c r="X87" s="140">
        <f t="shared" si="363"/>
        <v>0.85048507454854771</v>
      </c>
      <c r="Y87" s="140">
        <f t="shared" si="363"/>
        <v>0.84191010966149005</v>
      </c>
      <c r="Z87" s="140">
        <f t="shared" si="363"/>
        <v>0.83327053493593961</v>
      </c>
      <c r="AA87" s="140">
        <f t="shared" si="363"/>
        <v>0.82462199524184698</v>
      </c>
      <c r="AB87" s="140">
        <f t="shared" si="363"/>
        <v>0.81587449410340052</v>
      </c>
      <c r="AC87" s="140">
        <f t="shared" si="363"/>
        <v>0.8070824263294083</v>
      </c>
      <c r="AD87" s="140">
        <f t="shared" si="363"/>
        <v>0.79825165558026767</v>
      </c>
      <c r="AE87" s="140">
        <f t="shared" si="363"/>
        <v>0.78938773082337221</v>
      </c>
      <c r="AF87" s="140">
        <f t="shared" si="363"/>
        <v>0.78049592936689505</v>
      </c>
      <c r="AG87" s="140">
        <f t="shared" si="363"/>
        <v>0.77158129111003659</v>
      </c>
      <c r="AH87" s="140">
        <f t="shared" si="363"/>
        <v>0.76264864568406265</v>
      </c>
      <c r="AI87" s="140">
        <f t="shared" si="363"/>
        <v>0.75375236259071465</v>
      </c>
      <c r="AJ87" s="140">
        <f t="shared" si="363"/>
        <v>0.74479749064323086</v>
      </c>
      <c r="AK87" s="140">
        <f t="shared" si="363"/>
        <v>0.73583800780309672</v>
      </c>
      <c r="AL87" s="140">
        <f t="shared" si="363"/>
        <v>0.72687807680093963</v>
      </c>
      <c r="AM87" s="140">
        <f t="shared" si="363"/>
        <v>0.71792172031741497</v>
      </c>
      <c r="AN87" s="140">
        <f t="shared" si="363"/>
        <v>0.708972827494317</v>
      </c>
      <c r="AO87" s="140">
        <f t="shared" si="363"/>
        <v>0.70003515911542091</v>
      </c>
      <c r="AP87" s="140">
        <f t="shared" si="363"/>
        <v>0.69111235176905528</v>
      </c>
      <c r="AQ87" s="140">
        <f t="shared" si="363"/>
        <v>0.68225733323979976</v>
      </c>
      <c r="AR87" s="140">
        <f t="shared" si="363"/>
        <v>0.67337454716875123</v>
      </c>
      <c r="AS87" s="140">
        <f>EXP(-AS86*AS85)</f>
        <v>0.66451679995252066</v>
      </c>
      <c r="AT87" s="140">
        <f t="shared" si="363"/>
        <v>0.65568726083781215</v>
      </c>
      <c r="AU87" s="140">
        <f t="shared" si="363"/>
        <v>0.64688898735364664</v>
      </c>
      <c r="AV87" s="140">
        <f t="shared" si="363"/>
        <v>0.63812492699906509</v>
      </c>
      <c r="AW87" s="140">
        <f t="shared" si="363"/>
        <v>0.62939791882791341</v>
      </c>
      <c r="AX87" s="140">
        <f t="shared" si="363"/>
        <v>0.62071069497032894</v>
      </c>
      <c r="AY87" s="140">
        <f t="shared" si="363"/>
        <v>0.61211378702425367</v>
      </c>
      <c r="AZ87" s="140">
        <f t="shared" si="363"/>
        <v>0.60351365150470215</v>
      </c>
      <c r="BA87" s="140">
        <f t="shared" si="363"/>
        <v>0.59496085681543209</v>
      </c>
      <c r="BB87" s="140">
        <f t="shared" si="363"/>
        <v>0.5864577227815857</v>
      </c>
      <c r="BC87" s="140">
        <f t="shared" si="363"/>
        <v>0.57800646975149628</v>
      </c>
      <c r="BD87" s="140">
        <f t="shared" si="363"/>
        <v>0.56960922014113768</v>
      </c>
      <c r="BE87" s="140">
        <f t="shared" si="363"/>
        <v>0.56126800000863808</v>
      </c>
      <c r="BF87" s="140">
        <f t="shared" si="363"/>
        <v>0.5529847406600259</v>
      </c>
      <c r="BG87" s="140">
        <f t="shared" si="363"/>
        <v>0.54480679774216578</v>
      </c>
      <c r="BH87" s="140">
        <f t="shared" si="363"/>
        <v>0.5366445365060174</v>
      </c>
      <c r="BI87" s="140">
        <f t="shared" si="363"/>
        <v>0.52854546901826271</v>
      </c>
      <c r="BJ87" s="140">
        <f t="shared" si="363"/>
        <v>0.52051116472558911</v>
      </c>
      <c r="BK87" s="140">
        <f t="shared" si="363"/>
        <v>0.51254310678345949</v>
      </c>
      <c r="BL87" s="140">
        <f t="shared" si="363"/>
        <v>0.50464269382537674</v>
      </c>
      <c r="BM87" s="140">
        <f t="shared" si="363"/>
        <v>0.49681124175148961</v>
      </c>
      <c r="BN87" s="140">
        <f t="shared" si="363"/>
        <v>0.48904998553382134</v>
      </c>
      <c r="BO87" s="140">
        <f t="shared" ref="BO87:CA87" si="364">EXP(-BO86*BO85)</f>
        <v>0.48140260361299042</v>
      </c>
      <c r="BP87" s="140">
        <f t="shared" si="364"/>
        <v>0.47378472418742484</v>
      </c>
      <c r="BQ87" s="140">
        <f t="shared" si="364"/>
        <v>0.46624027284156455</v>
      </c>
      <c r="BR87" s="140">
        <f t="shared" si="364"/>
        <v>0.45877017952798138</v>
      </c>
      <c r="BS87" s="140">
        <f t="shared" si="364"/>
        <v>0.45137530244143548</v>
      </c>
      <c r="BT87" s="140">
        <f t="shared" si="364"/>
        <v>0.44405642986761329</v>
      </c>
      <c r="BU87" s="140">
        <f t="shared" si="364"/>
        <v>0.43681428203036143</v>
      </c>
      <c r="BV87" s="140">
        <f t="shared" si="364"/>
        <v>0.4296495129351548</v>
      </c>
      <c r="BW87" s="140">
        <f t="shared" si="364"/>
        <v>0.4226018669499001</v>
      </c>
      <c r="BX87" s="140">
        <f t="shared" si="364"/>
        <v>0.41559312423208417</v>
      </c>
      <c r="BY87" s="140">
        <f t="shared" si="364"/>
        <v>0.40866334086973105</v>
      </c>
      <c r="BZ87" s="140">
        <f t="shared" si="364"/>
        <v>0.40181292460319862</v>
      </c>
      <c r="CA87" s="140">
        <f t="shared" si="364"/>
        <v>0.39504222603349648</v>
      </c>
      <c r="CB87" s="140">
        <f>EXP(-CB86*CB85)</f>
        <v>0.38835154040158115</v>
      </c>
      <c r="CC87" s="17"/>
      <c r="CD87" s="17"/>
      <c r="CE87" s="17"/>
    </row>
    <row r="88" spans="1:115" s="6" customFormat="1">
      <c r="A88" s="130"/>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19"/>
      <c r="CD88" s="19"/>
      <c r="CE88" s="19"/>
    </row>
    <row r="89" spans="1:115">
      <c r="A89" s="16" t="s">
        <v>40</v>
      </c>
      <c r="B89" s="140">
        <f t="shared" ref="B89:BM89" si="365">DAYS360($B$3,B32)</f>
        <v>133</v>
      </c>
      <c r="C89" s="140">
        <f t="shared" si="365"/>
        <v>313</v>
      </c>
      <c r="D89" s="140">
        <f t="shared" si="365"/>
        <v>492</v>
      </c>
      <c r="E89" s="140">
        <f t="shared" si="365"/>
        <v>673</v>
      </c>
      <c r="F89" s="140">
        <f t="shared" si="365"/>
        <v>852</v>
      </c>
      <c r="G89" s="140">
        <f t="shared" si="365"/>
        <v>1033</v>
      </c>
      <c r="H89" s="140">
        <f t="shared" si="365"/>
        <v>1212</v>
      </c>
      <c r="I89" s="140">
        <f t="shared" si="365"/>
        <v>1393</v>
      </c>
      <c r="J89" s="140">
        <f t="shared" si="365"/>
        <v>1572</v>
      </c>
      <c r="K89" s="140">
        <f t="shared" si="365"/>
        <v>1752</v>
      </c>
      <c r="L89" s="140">
        <f t="shared" si="365"/>
        <v>1931</v>
      </c>
      <c r="M89" s="140">
        <f t="shared" si="365"/>
        <v>2112</v>
      </c>
      <c r="N89" s="140">
        <f t="shared" si="365"/>
        <v>2291</v>
      </c>
      <c r="O89" s="140">
        <f t="shared" si="365"/>
        <v>2472</v>
      </c>
      <c r="P89" s="140">
        <f t="shared" si="365"/>
        <v>2651</v>
      </c>
      <c r="Q89" s="140">
        <f t="shared" si="365"/>
        <v>2832</v>
      </c>
      <c r="R89" s="140">
        <f t="shared" si="365"/>
        <v>3011</v>
      </c>
      <c r="S89" s="140">
        <f t="shared" si="365"/>
        <v>3191</v>
      </c>
      <c r="T89" s="140">
        <f t="shared" si="365"/>
        <v>3370</v>
      </c>
      <c r="U89" s="140">
        <f t="shared" si="365"/>
        <v>3551</v>
      </c>
      <c r="V89" s="140">
        <f t="shared" si="365"/>
        <v>3730</v>
      </c>
      <c r="W89" s="140">
        <f t="shared" si="365"/>
        <v>3911</v>
      </c>
      <c r="X89" s="140">
        <f t="shared" si="365"/>
        <v>4090</v>
      </c>
      <c r="Y89" s="140">
        <f t="shared" si="365"/>
        <v>4271</v>
      </c>
      <c r="Z89" s="140">
        <f t="shared" si="365"/>
        <v>4450</v>
      </c>
      <c r="AA89" s="140">
        <f t="shared" si="365"/>
        <v>4630</v>
      </c>
      <c r="AB89" s="140">
        <f t="shared" si="365"/>
        <v>4809</v>
      </c>
      <c r="AC89" s="140">
        <f t="shared" si="365"/>
        <v>4990</v>
      </c>
      <c r="AD89" s="140">
        <f t="shared" si="365"/>
        <v>5169</v>
      </c>
      <c r="AE89" s="140">
        <f t="shared" si="365"/>
        <v>5350</v>
      </c>
      <c r="AF89" s="140">
        <f t="shared" si="365"/>
        <v>5529</v>
      </c>
      <c r="AG89" s="140">
        <f t="shared" si="365"/>
        <v>5710</v>
      </c>
      <c r="AH89" s="140">
        <f t="shared" si="365"/>
        <v>5889</v>
      </c>
      <c r="AI89" s="140">
        <f t="shared" si="365"/>
        <v>6069</v>
      </c>
      <c r="AJ89" s="140">
        <f t="shared" si="365"/>
        <v>6248</v>
      </c>
      <c r="AK89" s="140">
        <f t="shared" si="365"/>
        <v>6429</v>
      </c>
      <c r="AL89" s="140">
        <f t="shared" si="365"/>
        <v>6608</v>
      </c>
      <c r="AM89" s="140">
        <f t="shared" si="365"/>
        <v>6789</v>
      </c>
      <c r="AN89" s="140">
        <f t="shared" si="365"/>
        <v>6968</v>
      </c>
      <c r="AO89" s="140">
        <f t="shared" si="365"/>
        <v>7149</v>
      </c>
      <c r="AP89" s="140">
        <f t="shared" si="365"/>
        <v>7328</v>
      </c>
      <c r="AQ89" s="140">
        <f t="shared" si="365"/>
        <v>7508</v>
      </c>
      <c r="AR89" s="140">
        <f t="shared" si="365"/>
        <v>7687</v>
      </c>
      <c r="AS89" s="140">
        <f t="shared" si="365"/>
        <v>7868</v>
      </c>
      <c r="AT89" s="140">
        <f t="shared" si="365"/>
        <v>8047</v>
      </c>
      <c r="AU89" s="140">
        <f t="shared" si="365"/>
        <v>8228</v>
      </c>
      <c r="AV89" s="140">
        <f t="shared" si="365"/>
        <v>8407</v>
      </c>
      <c r="AW89" s="140">
        <f t="shared" si="365"/>
        <v>8588</v>
      </c>
      <c r="AX89" s="140">
        <f t="shared" si="365"/>
        <v>8767</v>
      </c>
      <c r="AY89" s="140">
        <f t="shared" si="365"/>
        <v>8947</v>
      </c>
      <c r="AZ89" s="140">
        <f t="shared" si="365"/>
        <v>9126</v>
      </c>
      <c r="BA89" s="140">
        <f t="shared" si="365"/>
        <v>9307</v>
      </c>
      <c r="BB89" s="140">
        <f t="shared" si="365"/>
        <v>9486</v>
      </c>
      <c r="BC89" s="140">
        <f t="shared" si="365"/>
        <v>9667</v>
      </c>
      <c r="BD89" s="140">
        <f t="shared" si="365"/>
        <v>9846</v>
      </c>
      <c r="BE89" s="140">
        <f t="shared" si="365"/>
        <v>10027</v>
      </c>
      <c r="BF89" s="140">
        <f t="shared" si="365"/>
        <v>10206</v>
      </c>
      <c r="BG89" s="140">
        <f t="shared" si="365"/>
        <v>10386</v>
      </c>
      <c r="BH89" s="140">
        <f t="shared" si="365"/>
        <v>10565</v>
      </c>
      <c r="BI89" s="140">
        <f t="shared" si="365"/>
        <v>10746</v>
      </c>
      <c r="BJ89" s="140">
        <f t="shared" si="365"/>
        <v>10925</v>
      </c>
      <c r="BK89" s="140">
        <f t="shared" si="365"/>
        <v>11106</v>
      </c>
      <c r="BL89" s="140">
        <f t="shared" si="365"/>
        <v>11285</v>
      </c>
      <c r="BM89" s="140">
        <f t="shared" si="365"/>
        <v>11466</v>
      </c>
      <c r="BN89" s="140">
        <f t="shared" ref="BN89:CB89" si="366">DAYS360($B$3,BN32)</f>
        <v>11645</v>
      </c>
      <c r="BO89" s="140">
        <f t="shared" si="366"/>
        <v>11825</v>
      </c>
      <c r="BP89" s="140">
        <f t="shared" si="366"/>
        <v>12004</v>
      </c>
      <c r="BQ89" s="140">
        <f t="shared" si="366"/>
        <v>12185</v>
      </c>
      <c r="BR89" s="140">
        <f t="shared" si="366"/>
        <v>12364</v>
      </c>
      <c r="BS89" s="140">
        <f t="shared" si="366"/>
        <v>12545</v>
      </c>
      <c r="BT89" s="140">
        <f t="shared" si="366"/>
        <v>12724</v>
      </c>
      <c r="BU89" s="140">
        <f t="shared" si="366"/>
        <v>12905</v>
      </c>
      <c r="BV89" s="140">
        <f t="shared" si="366"/>
        <v>13084</v>
      </c>
      <c r="BW89" s="140">
        <f t="shared" si="366"/>
        <v>13264</v>
      </c>
      <c r="BX89" s="140">
        <f t="shared" si="366"/>
        <v>13443</v>
      </c>
      <c r="BY89" s="140">
        <f t="shared" si="366"/>
        <v>13624</v>
      </c>
      <c r="BZ89" s="140">
        <f t="shared" si="366"/>
        <v>13803</v>
      </c>
      <c r="CA89" s="140">
        <f t="shared" si="366"/>
        <v>13984</v>
      </c>
      <c r="CB89" s="140">
        <f t="shared" si="366"/>
        <v>14163</v>
      </c>
      <c r="CC89" s="17"/>
      <c r="CD89" s="17"/>
      <c r="CE89" s="17"/>
    </row>
    <row r="90" spans="1:115">
      <c r="A90" s="16" t="s">
        <v>41</v>
      </c>
      <c r="B90" s="140">
        <f>B89/360</f>
        <v>0.36944444444444446</v>
      </c>
      <c r="C90" s="140">
        <f t="shared" ref="C90:BN90" si="367">C89/360</f>
        <v>0.86944444444444446</v>
      </c>
      <c r="D90" s="140">
        <f t="shared" si="367"/>
        <v>1.3666666666666667</v>
      </c>
      <c r="E90" s="140">
        <f t="shared" si="367"/>
        <v>1.8694444444444445</v>
      </c>
      <c r="F90" s="140">
        <f t="shared" si="367"/>
        <v>2.3666666666666667</v>
      </c>
      <c r="G90" s="140">
        <f t="shared" si="367"/>
        <v>2.8694444444444445</v>
      </c>
      <c r="H90" s="140">
        <f t="shared" si="367"/>
        <v>3.3666666666666667</v>
      </c>
      <c r="I90" s="140">
        <f t="shared" si="367"/>
        <v>3.8694444444444445</v>
      </c>
      <c r="J90" s="140">
        <f t="shared" si="367"/>
        <v>4.3666666666666663</v>
      </c>
      <c r="K90" s="140">
        <f t="shared" si="367"/>
        <v>4.8666666666666663</v>
      </c>
      <c r="L90" s="140">
        <f t="shared" si="367"/>
        <v>5.3638888888888889</v>
      </c>
      <c r="M90" s="140">
        <f t="shared" si="367"/>
        <v>5.8666666666666663</v>
      </c>
      <c r="N90" s="140">
        <f t="shared" si="367"/>
        <v>6.3638888888888889</v>
      </c>
      <c r="O90" s="140">
        <f t="shared" si="367"/>
        <v>6.8666666666666663</v>
      </c>
      <c r="P90" s="140">
        <f t="shared" si="367"/>
        <v>7.3638888888888889</v>
      </c>
      <c r="Q90" s="140">
        <f t="shared" si="367"/>
        <v>7.8666666666666663</v>
      </c>
      <c r="R90" s="140">
        <f t="shared" si="367"/>
        <v>8.3638888888888889</v>
      </c>
      <c r="S90" s="140">
        <f t="shared" si="367"/>
        <v>8.8638888888888889</v>
      </c>
      <c r="T90" s="140">
        <f t="shared" si="367"/>
        <v>9.3611111111111107</v>
      </c>
      <c r="U90" s="140">
        <f t="shared" si="367"/>
        <v>9.8638888888888889</v>
      </c>
      <c r="V90" s="140">
        <f t="shared" si="367"/>
        <v>10.361111111111111</v>
      </c>
      <c r="W90" s="140">
        <f t="shared" si="367"/>
        <v>10.863888888888889</v>
      </c>
      <c r="X90" s="140">
        <f t="shared" si="367"/>
        <v>11.361111111111111</v>
      </c>
      <c r="Y90" s="140">
        <f t="shared" si="367"/>
        <v>11.863888888888889</v>
      </c>
      <c r="Z90" s="140">
        <f t="shared" si="367"/>
        <v>12.361111111111111</v>
      </c>
      <c r="AA90" s="140">
        <f t="shared" si="367"/>
        <v>12.861111111111111</v>
      </c>
      <c r="AB90" s="140">
        <f t="shared" si="367"/>
        <v>13.358333333333333</v>
      </c>
      <c r="AC90" s="140">
        <f t="shared" si="367"/>
        <v>13.861111111111111</v>
      </c>
      <c r="AD90" s="140">
        <f t="shared" si="367"/>
        <v>14.358333333333333</v>
      </c>
      <c r="AE90" s="140">
        <f t="shared" si="367"/>
        <v>14.861111111111111</v>
      </c>
      <c r="AF90" s="140">
        <f t="shared" si="367"/>
        <v>15.358333333333333</v>
      </c>
      <c r="AG90" s="140">
        <f t="shared" si="367"/>
        <v>15.861111111111111</v>
      </c>
      <c r="AH90" s="140">
        <f t="shared" si="367"/>
        <v>16.358333333333334</v>
      </c>
      <c r="AI90" s="140">
        <f t="shared" si="367"/>
        <v>16.858333333333334</v>
      </c>
      <c r="AJ90" s="140">
        <f t="shared" si="367"/>
        <v>17.355555555555554</v>
      </c>
      <c r="AK90" s="140">
        <f t="shared" si="367"/>
        <v>17.858333333333334</v>
      </c>
      <c r="AL90" s="140">
        <f t="shared" si="367"/>
        <v>18.355555555555554</v>
      </c>
      <c r="AM90" s="140">
        <f t="shared" si="367"/>
        <v>18.858333333333334</v>
      </c>
      <c r="AN90" s="140">
        <f t="shared" si="367"/>
        <v>19.355555555555554</v>
      </c>
      <c r="AO90" s="140">
        <f t="shared" si="367"/>
        <v>19.858333333333334</v>
      </c>
      <c r="AP90" s="140">
        <f t="shared" si="367"/>
        <v>20.355555555555554</v>
      </c>
      <c r="AQ90" s="140">
        <f t="shared" si="367"/>
        <v>20.855555555555554</v>
      </c>
      <c r="AR90" s="140">
        <f t="shared" si="367"/>
        <v>21.352777777777778</v>
      </c>
      <c r="AS90" s="140">
        <f t="shared" si="367"/>
        <v>21.855555555555554</v>
      </c>
      <c r="AT90" s="140">
        <f t="shared" si="367"/>
        <v>22.352777777777778</v>
      </c>
      <c r="AU90" s="140">
        <f t="shared" si="367"/>
        <v>22.855555555555554</v>
      </c>
      <c r="AV90" s="140">
        <f t="shared" si="367"/>
        <v>23.352777777777778</v>
      </c>
      <c r="AW90" s="140">
        <f t="shared" si="367"/>
        <v>23.855555555555554</v>
      </c>
      <c r="AX90" s="140">
        <f t="shared" si="367"/>
        <v>24.352777777777778</v>
      </c>
      <c r="AY90" s="140">
        <f t="shared" si="367"/>
        <v>24.852777777777778</v>
      </c>
      <c r="AZ90" s="140">
        <f t="shared" si="367"/>
        <v>25.35</v>
      </c>
      <c r="BA90" s="140">
        <f t="shared" si="367"/>
        <v>25.852777777777778</v>
      </c>
      <c r="BB90" s="140">
        <f t="shared" si="367"/>
        <v>26.35</v>
      </c>
      <c r="BC90" s="140">
        <f t="shared" si="367"/>
        <v>26.852777777777778</v>
      </c>
      <c r="BD90" s="140">
        <f t="shared" si="367"/>
        <v>27.35</v>
      </c>
      <c r="BE90" s="140">
        <f t="shared" si="367"/>
        <v>27.852777777777778</v>
      </c>
      <c r="BF90" s="140">
        <f t="shared" si="367"/>
        <v>28.35</v>
      </c>
      <c r="BG90" s="140">
        <f t="shared" si="367"/>
        <v>28.85</v>
      </c>
      <c r="BH90" s="140">
        <f t="shared" si="367"/>
        <v>29.347222222222221</v>
      </c>
      <c r="BI90" s="140">
        <f t="shared" si="367"/>
        <v>29.85</v>
      </c>
      <c r="BJ90" s="140">
        <f t="shared" si="367"/>
        <v>30.347222222222221</v>
      </c>
      <c r="BK90" s="140">
        <f t="shared" si="367"/>
        <v>30.85</v>
      </c>
      <c r="BL90" s="140">
        <f t="shared" si="367"/>
        <v>31.347222222222221</v>
      </c>
      <c r="BM90" s="140">
        <f t="shared" si="367"/>
        <v>31.85</v>
      </c>
      <c r="BN90" s="140">
        <f t="shared" si="367"/>
        <v>32.347222222222221</v>
      </c>
      <c r="BO90" s="140">
        <f t="shared" ref="BO90:CB90" si="368">BO89/360</f>
        <v>32.847222222222221</v>
      </c>
      <c r="BP90" s="140">
        <f t="shared" si="368"/>
        <v>33.344444444444441</v>
      </c>
      <c r="BQ90" s="140">
        <f t="shared" si="368"/>
        <v>33.847222222222221</v>
      </c>
      <c r="BR90" s="140">
        <f t="shared" si="368"/>
        <v>34.344444444444441</v>
      </c>
      <c r="BS90" s="140">
        <f t="shared" si="368"/>
        <v>34.847222222222221</v>
      </c>
      <c r="BT90" s="140">
        <f t="shared" si="368"/>
        <v>35.344444444444441</v>
      </c>
      <c r="BU90" s="140">
        <f t="shared" si="368"/>
        <v>35.847222222222221</v>
      </c>
      <c r="BV90" s="140">
        <f t="shared" si="368"/>
        <v>36.344444444444441</v>
      </c>
      <c r="BW90" s="140">
        <f t="shared" si="368"/>
        <v>36.844444444444441</v>
      </c>
      <c r="BX90" s="140">
        <f t="shared" si="368"/>
        <v>37.341666666666669</v>
      </c>
      <c r="BY90" s="140">
        <f t="shared" si="368"/>
        <v>37.844444444444441</v>
      </c>
      <c r="BZ90" s="140">
        <f t="shared" si="368"/>
        <v>38.341666666666669</v>
      </c>
      <c r="CA90" s="140">
        <f t="shared" si="368"/>
        <v>38.844444444444441</v>
      </c>
      <c r="CB90" s="140">
        <f t="shared" si="368"/>
        <v>39.341666666666669</v>
      </c>
      <c r="CC90" s="17"/>
      <c r="CD90" s="17"/>
      <c r="CE90" s="17"/>
    </row>
    <row r="91" spans="1:115">
      <c r="A91" s="16" t="s">
        <v>43</v>
      </c>
      <c r="B91" s="140">
        <f>IF(B89&lt;0,0,$B$5+$B$6*((1-EXP(-B90/$B$9))/(B90/$B$9))+$B$7*((1-EXP(-B90/$B$9))/(B90/$B$9)-EXP(-B90/$B$9))+$B$8*((1-EXP(-B90/$B$10))/(B90/$B$10)-EXP(-B90/$B$10)))</f>
        <v>1.0475622104017812E-2</v>
      </c>
      <c r="C91" s="140">
        <f t="shared" ref="C91:BN91" si="369">IF(C89&lt;0,0,$B$5+$B$6*((1-EXP(-C90/$B$9))/(C90/$B$9))+$B$7*((1-EXP(-C90/$B$9))/(C90/$B$9)-EXP(-C90/$B$9))+$B$8*((1-EXP(-C90/$B$10))/(C90/$B$10)-EXP(-C90/$B$10)))</f>
        <v>9.8162638550836241E-3</v>
      </c>
      <c r="D91" s="140">
        <f t="shared" si="369"/>
        <v>9.4685446836717951E-3</v>
      </c>
      <c r="E91" s="140">
        <f t="shared" si="369"/>
        <v>9.3396538101546793E-3</v>
      </c>
      <c r="F91" s="140">
        <f t="shared" si="369"/>
        <v>9.3676596441890497E-3</v>
      </c>
      <c r="G91" s="140">
        <f t="shared" si="369"/>
        <v>9.5052144254408003E-3</v>
      </c>
      <c r="H91" s="140">
        <f t="shared" si="369"/>
        <v>9.7149463418775162E-3</v>
      </c>
      <c r="I91" s="140">
        <f t="shared" si="369"/>
        <v>9.9763693432162216E-3</v>
      </c>
      <c r="J91" s="140">
        <f t="shared" si="369"/>
        <v>1.0265910664921916E-2</v>
      </c>
      <c r="K91" s="140">
        <f t="shared" si="369"/>
        <v>1.0575437213836917E-2</v>
      </c>
      <c r="L91" s="140">
        <f t="shared" si="369"/>
        <v>1.0892632665386282E-2</v>
      </c>
      <c r="M91" s="140">
        <f t="shared" si="369"/>
        <v>1.121661962055457E-2</v>
      </c>
      <c r="N91" s="140">
        <f t="shared" si="369"/>
        <v>1.153602173104285E-2</v>
      </c>
      <c r="O91" s="140">
        <f t="shared" si="369"/>
        <v>1.1855141494151341E-2</v>
      </c>
      <c r="P91" s="140">
        <f t="shared" si="369"/>
        <v>1.2165149879052151E-2</v>
      </c>
      <c r="Q91" s="140">
        <f t="shared" si="369"/>
        <v>1.2471900858232278E-2</v>
      </c>
      <c r="R91" s="140">
        <f t="shared" si="369"/>
        <v>1.2768060161361734E-2</v>
      </c>
      <c r="S91" s="140">
        <f t="shared" si="369"/>
        <v>1.3058440592541016E-2</v>
      </c>
      <c r="T91" s="140">
        <f t="shared" si="369"/>
        <v>1.3339837839715159E-2</v>
      </c>
      <c r="U91" s="140">
        <f t="shared" si="369"/>
        <v>1.3617082124292627E-2</v>
      </c>
      <c r="V91" s="140">
        <f t="shared" si="369"/>
        <v>1.3884314445666006E-2</v>
      </c>
      <c r="W91" s="140">
        <f t="shared" si="369"/>
        <v>1.4147833213487457E-2</v>
      </c>
      <c r="X91" s="140">
        <f t="shared" si="369"/>
        <v>1.4402162829569251E-2</v>
      </c>
      <c r="Y91" s="140">
        <f t="shared" si="369"/>
        <v>1.465334706729023E-2</v>
      </c>
      <c r="Z91" s="140">
        <f t="shared" si="369"/>
        <v>1.4896184618752301E-2</v>
      </c>
      <c r="AA91" s="140">
        <f t="shared" si="369"/>
        <v>1.5135130017452701E-2</v>
      </c>
      <c r="AB91" s="140">
        <f t="shared" si="369"/>
        <v>1.5367845147957868E-2</v>
      </c>
      <c r="AC91" s="140">
        <f t="shared" si="369"/>
        <v>1.5598490676362032E-2</v>
      </c>
      <c r="AD91" s="140">
        <f t="shared" si="369"/>
        <v>1.582224562903288E-2</v>
      </c>
      <c r="AE91" s="140">
        <f t="shared" si="369"/>
        <v>1.604436852140461E-2</v>
      </c>
      <c r="AF91" s="140">
        <f t="shared" si="369"/>
        <v>1.6260184290013389E-2</v>
      </c>
      <c r="AG91" s="140">
        <f t="shared" si="369"/>
        <v>1.6474732768806673E-2</v>
      </c>
      <c r="AH91" s="140">
        <f t="shared" si="369"/>
        <v>1.6683468016117642E-2</v>
      </c>
      <c r="AI91" s="140">
        <f t="shared" si="369"/>
        <v>1.6890096478595688E-2</v>
      </c>
      <c r="AJ91" s="140">
        <f t="shared" si="369"/>
        <v>1.7092484315960391E-2</v>
      </c>
      <c r="AK91" s="140">
        <f t="shared" si="369"/>
        <v>1.729414800069223E-2</v>
      </c>
      <c r="AL91" s="140">
        <f t="shared" si="369"/>
        <v>1.749076650723401E-2</v>
      </c>
      <c r="AM91" s="140">
        <f t="shared" si="369"/>
        <v>1.7686859328728179E-2</v>
      </c>
      <c r="AN91" s="140">
        <f t="shared" si="369"/>
        <v>1.7878206301174138E-2</v>
      </c>
      <c r="AO91" s="140">
        <f t="shared" si="369"/>
        <v>1.8069188755542264E-2</v>
      </c>
      <c r="AP91" s="140">
        <f t="shared" si="369"/>
        <v>1.8255681395318232E-2</v>
      </c>
      <c r="AQ91" s="140">
        <f t="shared" si="369"/>
        <v>1.8440917760709653E-2</v>
      </c>
      <c r="AR91" s="140">
        <f t="shared" si="369"/>
        <v>1.8622919989285284E-2</v>
      </c>
      <c r="AS91" s="140">
        <f t="shared" si="369"/>
        <v>1.8804795298642474E-2</v>
      </c>
      <c r="AT91" s="140">
        <f t="shared" si="369"/>
        <v>1.8982593186440397E-2</v>
      </c>
      <c r="AU91" s="140">
        <f t="shared" si="369"/>
        <v>1.9160351511336878E-2</v>
      </c>
      <c r="AV91" s="140">
        <f t="shared" si="369"/>
        <v>1.9334201104114396E-2</v>
      </c>
      <c r="AW91" s="140">
        <f t="shared" si="369"/>
        <v>1.9508082748578254E-2</v>
      </c>
      <c r="AX91" s="140">
        <f t="shared" si="369"/>
        <v>1.9678205068200571E-2</v>
      </c>
      <c r="AY91" s="140">
        <f t="shared" si="369"/>
        <v>1.9847482824939994E-2</v>
      </c>
      <c r="AZ91" s="140">
        <f t="shared" si="369"/>
        <v>2.0014079798065649E-2</v>
      </c>
      <c r="BA91" s="140">
        <f t="shared" si="369"/>
        <v>2.0180816097063028E-2</v>
      </c>
      <c r="BB91" s="140">
        <f t="shared" si="369"/>
        <v>2.0344046455797085E-2</v>
      </c>
      <c r="BC91" s="140">
        <f t="shared" si="369"/>
        <v>2.0507456227343328E-2</v>
      </c>
      <c r="BD91" s="140">
        <f t="shared" si="369"/>
        <v>2.0667469218013278E-2</v>
      </c>
      <c r="BE91" s="140">
        <f t="shared" si="369"/>
        <v>2.082769476470734E-2</v>
      </c>
      <c r="BF91" s="140">
        <f t="shared" si="369"/>
        <v>2.0984623328178593E-2</v>
      </c>
      <c r="BG91" s="140">
        <f t="shared" si="369"/>
        <v>2.1140927655946152E-2</v>
      </c>
      <c r="BH91" s="140">
        <f t="shared" si="369"/>
        <v>2.1294899135992931E-2</v>
      </c>
      <c r="BI91" s="140">
        <f t="shared" si="369"/>
        <v>2.1449133196423411E-2</v>
      </c>
      <c r="BJ91" s="140">
        <f t="shared" si="369"/>
        <v>2.1600246936649595E-2</v>
      </c>
      <c r="BK91" s="140">
        <f t="shared" si="369"/>
        <v>2.1751641977502952E-2</v>
      </c>
      <c r="BL91" s="140">
        <f t="shared" si="369"/>
        <v>2.1899995899768744E-2</v>
      </c>
      <c r="BM91" s="140">
        <f t="shared" si="369"/>
        <v>2.2048646530338036E-2</v>
      </c>
      <c r="BN91" s="140">
        <f t="shared" si="369"/>
        <v>2.219433016223004E-2</v>
      </c>
      <c r="BO91" s="140">
        <f t="shared" ref="BO91:CB91" si="370">IF(BO89&lt;0,0,$B$5+$B$6*((1-EXP(-BO90/$B$9))/(BO90/$B$9))+$B$7*((1-EXP(-BO90/$B$9))/(BO90/$B$9)-EXP(-BO90/$B$9))+$B$8*((1-EXP(-BO90/$B$10))/(BO90/$B$10)-EXP(-BO90/$B$10)))</f>
        <v>2.23395201397531E-2</v>
      </c>
      <c r="BP91" s="140">
        <f t="shared" si="370"/>
        <v>2.248262286996092E-2</v>
      </c>
      <c r="BQ91" s="140">
        <f t="shared" si="370"/>
        <v>2.2626045179477635E-2</v>
      </c>
      <c r="BR91" s="140">
        <f t="shared" si="370"/>
        <v>2.2766635786025249E-2</v>
      </c>
      <c r="BS91" s="140">
        <f t="shared" si="370"/>
        <v>2.2907554259551561E-2</v>
      </c>
      <c r="BT91" s="140">
        <f t="shared" si="370"/>
        <v>2.304570338532794E-2</v>
      </c>
      <c r="BU91" s="140">
        <f t="shared" si="370"/>
        <v>2.3184186972669073E-2</v>
      </c>
      <c r="BV91" s="140">
        <f t="shared" si="370"/>
        <v>2.3319960506242458E-2</v>
      </c>
      <c r="BW91" s="140">
        <f t="shared" si="370"/>
        <v>2.345532487038178E-2</v>
      </c>
      <c r="BX91" s="140">
        <f t="shared" si="370"/>
        <v>2.358879086546713E-2</v>
      </c>
      <c r="BY91" s="140">
        <f t="shared" si="370"/>
        <v>2.3722600379606242E-2</v>
      </c>
      <c r="BZ91" s="140">
        <f t="shared" si="370"/>
        <v>2.3853810348185584E-2</v>
      </c>
      <c r="CA91" s="140">
        <f t="shared" si="370"/>
        <v>2.398536669595179E-2</v>
      </c>
      <c r="CB91" s="140">
        <f t="shared" si="370"/>
        <v>2.4114375379763589E-2</v>
      </c>
      <c r="CC91" s="17"/>
      <c r="CD91" s="17"/>
      <c r="CE91" s="17"/>
    </row>
    <row r="92" spans="1:115">
      <c r="A92" s="16" t="s">
        <v>44</v>
      </c>
      <c r="B92" s="140">
        <f>EXP(-B91*B90)</f>
        <v>0.9961373190303261</v>
      </c>
      <c r="C92" s="140">
        <f t="shared" ref="C92:AR92" si="371">EXP(-C91*C90)</f>
        <v>0.99150162105254791</v>
      </c>
      <c r="D92" s="140">
        <f t="shared" si="371"/>
        <v>0.98714302187205549</v>
      </c>
      <c r="E92" s="140">
        <f t="shared" si="371"/>
        <v>0.98269157798786133</v>
      </c>
      <c r="F92" s="140">
        <f t="shared" si="371"/>
        <v>0.97807382332413739</v>
      </c>
      <c r="G92" s="140">
        <f t="shared" si="371"/>
        <v>0.97309391077560192</v>
      </c>
      <c r="H92" s="140">
        <f t="shared" si="371"/>
        <v>0.96782210345458008</v>
      </c>
      <c r="I92" s="140">
        <f t="shared" si="371"/>
        <v>0.96213259330983092</v>
      </c>
      <c r="J92" s="140">
        <f t="shared" si="371"/>
        <v>0.95616210930496115</v>
      </c>
      <c r="K92" s="140">
        <f t="shared" si="371"/>
        <v>0.94983487263560729</v>
      </c>
      <c r="L92" s="140">
        <f t="shared" si="371"/>
        <v>0.94324721629706754</v>
      </c>
      <c r="M92" s="140">
        <f t="shared" si="371"/>
        <v>0.93631420621006889</v>
      </c>
      <c r="N92" s="140">
        <f t="shared" si="371"/>
        <v>0.92921609162511609</v>
      </c>
      <c r="O92" s="140">
        <f t="shared" si="371"/>
        <v>0.92181999753338018</v>
      </c>
      <c r="P92" s="140">
        <f t="shared" si="371"/>
        <v>0.9143125459147744</v>
      </c>
      <c r="Q92" s="140">
        <f t="shared" si="371"/>
        <v>0.90654710480927669</v>
      </c>
      <c r="R92" s="140">
        <f t="shared" si="371"/>
        <v>0.89871381114935922</v>
      </c>
      <c r="S92" s="140">
        <f t="shared" si="371"/>
        <v>0.89069914677204487</v>
      </c>
      <c r="T92" s="140">
        <f t="shared" si="371"/>
        <v>0.88260660004120484</v>
      </c>
      <c r="U92" s="140">
        <f t="shared" si="371"/>
        <v>0.87431252682442395</v>
      </c>
      <c r="V92" s="140">
        <f t="shared" si="371"/>
        <v>0.86601164409479503</v>
      </c>
      <c r="W92" s="140">
        <f t="shared" si="371"/>
        <v>0.8575288226819362</v>
      </c>
      <c r="X92" s="140">
        <f t="shared" si="371"/>
        <v>0.84906072309610248</v>
      </c>
      <c r="Y92" s="140">
        <f t="shared" si="371"/>
        <v>0.84042658105767287</v>
      </c>
      <c r="Z92" s="140">
        <f t="shared" si="371"/>
        <v>0.83182483664555751</v>
      </c>
      <c r="AA92" s="140">
        <f t="shared" si="371"/>
        <v>0.82311892342477877</v>
      </c>
      <c r="AB92" s="140">
        <f t="shared" si="371"/>
        <v>0.81441208178235902</v>
      </c>
      <c r="AC92" s="140">
        <f t="shared" si="371"/>
        <v>0.80556417185523521</v>
      </c>
      <c r="AD92" s="140">
        <f t="shared" si="371"/>
        <v>0.79677649147053309</v>
      </c>
      <c r="AE92" s="140">
        <f t="shared" si="371"/>
        <v>0.78785820886453617</v>
      </c>
      <c r="AF92" s="140">
        <f t="shared" si="371"/>
        <v>0.77901160930844893</v>
      </c>
      <c r="AG92" s="140">
        <f t="shared" si="371"/>
        <v>0.77004404307468377</v>
      </c>
      <c r="AH92" s="140">
        <f t="shared" si="371"/>
        <v>0.76115844920252962</v>
      </c>
      <c r="AI92" s="140">
        <f t="shared" si="371"/>
        <v>0.75221064857780517</v>
      </c>
      <c r="AJ92" s="140">
        <f t="shared" si="371"/>
        <v>0.7433044494983776</v>
      </c>
      <c r="AK92" s="140">
        <f t="shared" si="371"/>
        <v>0.73429482673682922</v>
      </c>
      <c r="AL92" s="140">
        <f t="shared" si="371"/>
        <v>0.72538499583689464</v>
      </c>
      <c r="AM92" s="140">
        <f t="shared" si="371"/>
        <v>0.71637988373794403</v>
      </c>
      <c r="AN92" s="140">
        <f t="shared" si="371"/>
        <v>0.70748233689483253</v>
      </c>
      <c r="AO92" s="140">
        <f t="shared" si="371"/>
        <v>0.69849729465511767</v>
      </c>
      <c r="AP92" s="140">
        <f t="shared" si="371"/>
        <v>0.689626910638101</v>
      </c>
      <c r="AQ92" s="140">
        <f t="shared" si="371"/>
        <v>0.68072587639993509</v>
      </c>
      <c r="AR92" s="140">
        <f t="shared" si="371"/>
        <v>0.67189643017218836</v>
      </c>
      <c r="AS92" s="140">
        <f>EXP(-AS91*AS90)</f>
        <v>0.66299405983564152</v>
      </c>
      <c r="AT92" s="140">
        <f t="shared" ref="AT92:CA92" si="372">EXP(-AT91*AT90)</f>
        <v>0.6542186297455499</v>
      </c>
      <c r="AU92" s="140">
        <f t="shared" si="372"/>
        <v>0.64537710221631961</v>
      </c>
      <c r="AV92" s="140">
        <f t="shared" si="372"/>
        <v>0.63666777746908731</v>
      </c>
      <c r="AW92" s="140">
        <f t="shared" si="372"/>
        <v>0.62789887547668155</v>
      </c>
      <c r="AX92" s="140">
        <f t="shared" si="372"/>
        <v>0.61926687821153859</v>
      </c>
      <c r="AY92" s="140">
        <f t="shared" si="372"/>
        <v>0.61062938191482086</v>
      </c>
      <c r="AZ92" s="140">
        <f t="shared" si="372"/>
        <v>0.60208483427388781</v>
      </c>
      <c r="BA92" s="140">
        <f t="shared" si="372"/>
        <v>0.59349282522236846</v>
      </c>
      <c r="BB92" s="140">
        <f t="shared" si="372"/>
        <v>0.58504551924026538</v>
      </c>
      <c r="BC92" s="140">
        <f t="shared" si="372"/>
        <v>0.57655636970461555</v>
      </c>
      <c r="BD92" s="140">
        <f t="shared" si="372"/>
        <v>0.56821507252845072</v>
      </c>
      <c r="BE92" s="140">
        <f t="shared" si="372"/>
        <v>0.55983725480776614</v>
      </c>
      <c r="BF92" s="140">
        <f t="shared" si="372"/>
        <v>0.5516099629287281</v>
      </c>
      <c r="BG92" s="140">
        <f t="shared" si="372"/>
        <v>0.54339664131792897</v>
      </c>
      <c r="BH92" s="140">
        <f t="shared" si="372"/>
        <v>0.53529026000481406</v>
      </c>
      <c r="BI92" s="140">
        <f t="shared" si="372"/>
        <v>0.52715712450461094</v>
      </c>
      <c r="BJ92" s="140">
        <f t="shared" si="372"/>
        <v>0.51917851581916863</v>
      </c>
      <c r="BK92" s="140">
        <f t="shared" si="372"/>
        <v>0.51117762062052485</v>
      </c>
      <c r="BL92" s="140">
        <f t="shared" si="372"/>
        <v>0.50333262851891358</v>
      </c>
      <c r="BM92" s="140">
        <f t="shared" si="372"/>
        <v>0.49546954414694144</v>
      </c>
      <c r="BN92" s="140">
        <f t="shared" si="372"/>
        <v>0.48776334972844715</v>
      </c>
      <c r="BO92" s="140">
        <f t="shared" si="372"/>
        <v>0.4800854441057108</v>
      </c>
      <c r="BP92" s="140">
        <f t="shared" si="372"/>
        <v>0.47252219044194721</v>
      </c>
      <c r="BQ92" s="140">
        <f t="shared" si="372"/>
        <v>0.46494843166032401</v>
      </c>
      <c r="BR92" s="140">
        <f t="shared" si="372"/>
        <v>0.45753245452046976</v>
      </c>
      <c r="BS92" s="140">
        <f t="shared" si="372"/>
        <v>0.45010939135932715</v>
      </c>
      <c r="BT92" s="140">
        <f t="shared" si="372"/>
        <v>0.44284405864941401</v>
      </c>
      <c r="BU92" s="140">
        <f t="shared" si="372"/>
        <v>0.43557481671981385</v>
      </c>
      <c r="BV92" s="140">
        <f t="shared" si="372"/>
        <v>0.42846295001179679</v>
      </c>
      <c r="BW92" s="140">
        <f t="shared" si="372"/>
        <v>0.42138919691690141</v>
      </c>
      <c r="BX92" s="140">
        <f t="shared" si="372"/>
        <v>0.4144326653184669</v>
      </c>
      <c r="BY92" s="140">
        <f t="shared" si="372"/>
        <v>0.40747787911959349</v>
      </c>
      <c r="BZ92" s="140">
        <f t="shared" si="372"/>
        <v>0.40067893024134543</v>
      </c>
      <c r="CA92" s="140">
        <f t="shared" si="372"/>
        <v>0.39388423049164983</v>
      </c>
      <c r="CB92" s="140">
        <f>EXP(-CB91*CB90)</f>
        <v>0.38724422290029298</v>
      </c>
      <c r="CC92" s="17"/>
      <c r="CD92" s="17"/>
      <c r="CE92" s="17"/>
    </row>
    <row r="93" spans="1:115" s="6" customFormat="1">
      <c r="A93" s="130"/>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19"/>
      <c r="CD93" s="19"/>
      <c r="CE93" s="19"/>
    </row>
    <row r="94" spans="1:115">
      <c r="A94" s="16" t="s">
        <v>40</v>
      </c>
      <c r="B94" s="140">
        <f t="shared" ref="B94:BM94" si="373">DAYS360($B$3,B34)</f>
        <v>13</v>
      </c>
      <c r="C94" s="140">
        <f t="shared" si="373"/>
        <v>191</v>
      </c>
      <c r="D94" s="140">
        <f t="shared" si="373"/>
        <v>372</v>
      </c>
      <c r="E94" s="140">
        <f t="shared" si="373"/>
        <v>550</v>
      </c>
      <c r="F94" s="140">
        <f t="shared" si="373"/>
        <v>732</v>
      </c>
      <c r="G94" s="140">
        <f t="shared" si="373"/>
        <v>910</v>
      </c>
      <c r="H94" s="140">
        <f t="shared" si="373"/>
        <v>1092</v>
      </c>
      <c r="I94" s="140">
        <f t="shared" si="373"/>
        <v>1270</v>
      </c>
      <c r="J94" s="140">
        <f t="shared" si="373"/>
        <v>1452</v>
      </c>
      <c r="K94" s="140">
        <f t="shared" si="373"/>
        <v>1630</v>
      </c>
      <c r="L94" s="140">
        <f t="shared" si="373"/>
        <v>1811</v>
      </c>
      <c r="M94" s="140">
        <f t="shared" si="373"/>
        <v>1989</v>
      </c>
      <c r="N94" s="140">
        <f t="shared" si="373"/>
        <v>2171</v>
      </c>
      <c r="O94" s="140">
        <f t="shared" si="373"/>
        <v>2349</v>
      </c>
      <c r="P94" s="140">
        <f t="shared" si="373"/>
        <v>2531</v>
      </c>
      <c r="Q94" s="140">
        <f t="shared" si="373"/>
        <v>2709</v>
      </c>
      <c r="R94" s="140">
        <f t="shared" si="373"/>
        <v>2891</v>
      </c>
      <c r="S94" s="140">
        <f t="shared" si="373"/>
        <v>3069</v>
      </c>
      <c r="T94" s="140">
        <f t="shared" si="373"/>
        <v>3250</v>
      </c>
      <c r="U94" s="140">
        <f t="shared" si="373"/>
        <v>3428</v>
      </c>
      <c r="V94" s="140">
        <f t="shared" si="373"/>
        <v>3610</v>
      </c>
      <c r="W94" s="140">
        <f t="shared" si="373"/>
        <v>3788</v>
      </c>
      <c r="X94" s="140">
        <f t="shared" si="373"/>
        <v>3970</v>
      </c>
      <c r="Y94" s="140">
        <f t="shared" si="373"/>
        <v>4148</v>
      </c>
      <c r="Z94" s="140">
        <f t="shared" si="373"/>
        <v>4330</v>
      </c>
      <c r="AA94" s="140">
        <f t="shared" si="373"/>
        <v>4508</v>
      </c>
      <c r="AB94" s="140">
        <f t="shared" si="373"/>
        <v>4689</v>
      </c>
      <c r="AC94" s="140">
        <f t="shared" si="373"/>
        <v>4867</v>
      </c>
      <c r="AD94" s="140">
        <f t="shared" si="373"/>
        <v>5049</v>
      </c>
      <c r="AE94" s="140">
        <f t="shared" si="373"/>
        <v>5227</v>
      </c>
      <c r="AF94" s="140">
        <f t="shared" si="373"/>
        <v>5409</v>
      </c>
      <c r="AG94" s="140">
        <f t="shared" si="373"/>
        <v>5587</v>
      </c>
      <c r="AH94" s="140">
        <f t="shared" si="373"/>
        <v>5769</v>
      </c>
      <c r="AI94" s="140">
        <f t="shared" si="373"/>
        <v>5947</v>
      </c>
      <c r="AJ94" s="140">
        <f t="shared" si="373"/>
        <v>6128</v>
      </c>
      <c r="AK94" s="140">
        <f t="shared" si="373"/>
        <v>6306</v>
      </c>
      <c r="AL94" s="140">
        <f t="shared" si="373"/>
        <v>6488</v>
      </c>
      <c r="AM94" s="140">
        <f t="shared" si="373"/>
        <v>6666</v>
      </c>
      <c r="AN94" s="140">
        <f t="shared" si="373"/>
        <v>6848</v>
      </c>
      <c r="AO94" s="140">
        <f t="shared" si="373"/>
        <v>7026</v>
      </c>
      <c r="AP94" s="140">
        <f t="shared" si="373"/>
        <v>7208</v>
      </c>
      <c r="AQ94" s="140">
        <f t="shared" si="373"/>
        <v>7386</v>
      </c>
      <c r="AR94" s="140">
        <f t="shared" si="373"/>
        <v>7567</v>
      </c>
      <c r="AS94" s="140">
        <f t="shared" si="373"/>
        <v>7745</v>
      </c>
      <c r="AT94" s="140">
        <f t="shared" si="373"/>
        <v>7927</v>
      </c>
      <c r="AU94" s="140">
        <f t="shared" si="373"/>
        <v>8105</v>
      </c>
      <c r="AV94" s="140">
        <f t="shared" si="373"/>
        <v>8287</v>
      </c>
      <c r="AW94" s="140">
        <f t="shared" si="373"/>
        <v>8465</v>
      </c>
      <c r="AX94" s="140">
        <f t="shared" si="373"/>
        <v>8647</v>
      </c>
      <c r="AY94" s="140">
        <f t="shared" si="373"/>
        <v>8825</v>
      </c>
      <c r="AZ94" s="140">
        <f t="shared" si="373"/>
        <v>9006</v>
      </c>
      <c r="BA94" s="140">
        <f t="shared" si="373"/>
        <v>9184</v>
      </c>
      <c r="BB94" s="140">
        <f t="shared" si="373"/>
        <v>9366</v>
      </c>
      <c r="BC94" s="140">
        <f t="shared" si="373"/>
        <v>9544</v>
      </c>
      <c r="BD94" s="140">
        <f t="shared" si="373"/>
        <v>9726</v>
      </c>
      <c r="BE94" s="140">
        <f t="shared" si="373"/>
        <v>9904</v>
      </c>
      <c r="BF94" s="140">
        <f t="shared" si="373"/>
        <v>10086</v>
      </c>
      <c r="BG94" s="140">
        <f t="shared" si="373"/>
        <v>10264</v>
      </c>
      <c r="BH94" s="140">
        <f t="shared" si="373"/>
        <v>10445</v>
      </c>
      <c r="BI94" s="140">
        <f t="shared" si="373"/>
        <v>10623</v>
      </c>
      <c r="BJ94" s="140">
        <f t="shared" si="373"/>
        <v>10805</v>
      </c>
      <c r="BK94" s="140">
        <f t="shared" si="373"/>
        <v>10983</v>
      </c>
      <c r="BL94" s="140">
        <f t="shared" si="373"/>
        <v>11165</v>
      </c>
      <c r="BM94" s="140">
        <f t="shared" si="373"/>
        <v>11343</v>
      </c>
      <c r="BN94" s="140">
        <f t="shared" ref="BN94:CB94" si="374">DAYS360($B$3,BN34)</f>
        <v>11525</v>
      </c>
      <c r="BO94" s="140">
        <f t="shared" si="374"/>
        <v>11703</v>
      </c>
      <c r="BP94" s="140">
        <f t="shared" si="374"/>
        <v>11884</v>
      </c>
      <c r="BQ94" s="140">
        <f t="shared" si="374"/>
        <v>12062</v>
      </c>
      <c r="BR94" s="140">
        <f t="shared" si="374"/>
        <v>12244</v>
      </c>
      <c r="BS94" s="140">
        <f t="shared" si="374"/>
        <v>12422</v>
      </c>
      <c r="BT94" s="140">
        <f t="shared" si="374"/>
        <v>12604</v>
      </c>
      <c r="BU94" s="140">
        <f t="shared" si="374"/>
        <v>12782</v>
      </c>
      <c r="BV94" s="140">
        <f t="shared" si="374"/>
        <v>12964</v>
      </c>
      <c r="BW94" s="140">
        <f t="shared" si="374"/>
        <v>13142</v>
      </c>
      <c r="BX94" s="140">
        <f t="shared" si="374"/>
        <v>13323</v>
      </c>
      <c r="BY94" s="140">
        <f t="shared" si="374"/>
        <v>13501</v>
      </c>
      <c r="BZ94" s="140">
        <f t="shared" si="374"/>
        <v>13683</v>
      </c>
      <c r="CA94" s="140">
        <f t="shared" si="374"/>
        <v>13861</v>
      </c>
      <c r="CB94" s="140">
        <f t="shared" si="374"/>
        <v>14043</v>
      </c>
      <c r="CC94" s="17"/>
      <c r="CD94" s="17"/>
      <c r="CE94" s="17"/>
    </row>
    <row r="95" spans="1:115">
      <c r="A95" s="16" t="s">
        <v>41</v>
      </c>
      <c r="B95" s="140">
        <f>B94/360</f>
        <v>3.6111111111111108E-2</v>
      </c>
      <c r="C95" s="140">
        <f t="shared" ref="C95:BN95" si="375">C94/360</f>
        <v>0.53055555555555556</v>
      </c>
      <c r="D95" s="140">
        <f t="shared" si="375"/>
        <v>1.0333333333333334</v>
      </c>
      <c r="E95" s="140">
        <f t="shared" si="375"/>
        <v>1.5277777777777777</v>
      </c>
      <c r="F95" s="140">
        <f t="shared" si="375"/>
        <v>2.0333333333333332</v>
      </c>
      <c r="G95" s="140">
        <f t="shared" si="375"/>
        <v>2.5277777777777777</v>
      </c>
      <c r="H95" s="140">
        <f t="shared" si="375"/>
        <v>3.0333333333333332</v>
      </c>
      <c r="I95" s="140">
        <f t="shared" si="375"/>
        <v>3.5277777777777777</v>
      </c>
      <c r="J95" s="140">
        <f t="shared" si="375"/>
        <v>4.0333333333333332</v>
      </c>
      <c r="K95" s="140">
        <f t="shared" si="375"/>
        <v>4.5277777777777777</v>
      </c>
      <c r="L95" s="140">
        <f t="shared" si="375"/>
        <v>5.0305555555555559</v>
      </c>
      <c r="M95" s="140">
        <f t="shared" si="375"/>
        <v>5.5250000000000004</v>
      </c>
      <c r="N95" s="140">
        <f t="shared" si="375"/>
        <v>6.0305555555555559</v>
      </c>
      <c r="O95" s="140">
        <f t="shared" si="375"/>
        <v>6.5250000000000004</v>
      </c>
      <c r="P95" s="140">
        <f t="shared" si="375"/>
        <v>7.0305555555555559</v>
      </c>
      <c r="Q95" s="140">
        <f t="shared" si="375"/>
        <v>7.5250000000000004</v>
      </c>
      <c r="R95" s="140">
        <f t="shared" si="375"/>
        <v>8.030555555555555</v>
      </c>
      <c r="S95" s="140">
        <f t="shared" si="375"/>
        <v>8.5250000000000004</v>
      </c>
      <c r="T95" s="140">
        <f t="shared" si="375"/>
        <v>9.0277777777777786</v>
      </c>
      <c r="U95" s="140">
        <f t="shared" si="375"/>
        <v>9.5222222222222221</v>
      </c>
      <c r="V95" s="140">
        <f t="shared" si="375"/>
        <v>10.027777777777779</v>
      </c>
      <c r="W95" s="140">
        <f t="shared" si="375"/>
        <v>10.522222222222222</v>
      </c>
      <c r="X95" s="140">
        <f t="shared" si="375"/>
        <v>11.027777777777779</v>
      </c>
      <c r="Y95" s="140">
        <f t="shared" si="375"/>
        <v>11.522222222222222</v>
      </c>
      <c r="Z95" s="140">
        <f t="shared" si="375"/>
        <v>12.027777777777779</v>
      </c>
      <c r="AA95" s="140">
        <f t="shared" si="375"/>
        <v>12.522222222222222</v>
      </c>
      <c r="AB95" s="140">
        <f t="shared" si="375"/>
        <v>13.025</v>
      </c>
      <c r="AC95" s="140">
        <f t="shared" si="375"/>
        <v>13.519444444444444</v>
      </c>
      <c r="AD95" s="140">
        <f t="shared" si="375"/>
        <v>14.025</v>
      </c>
      <c r="AE95" s="140">
        <f t="shared" si="375"/>
        <v>14.519444444444444</v>
      </c>
      <c r="AF95" s="140">
        <f t="shared" si="375"/>
        <v>15.025</v>
      </c>
      <c r="AG95" s="140">
        <f t="shared" si="375"/>
        <v>15.519444444444444</v>
      </c>
      <c r="AH95" s="140">
        <f t="shared" si="375"/>
        <v>16.024999999999999</v>
      </c>
      <c r="AI95" s="140">
        <f t="shared" si="375"/>
        <v>16.519444444444446</v>
      </c>
      <c r="AJ95" s="140">
        <f t="shared" si="375"/>
        <v>17.022222222222222</v>
      </c>
      <c r="AK95" s="140">
        <f t="shared" si="375"/>
        <v>17.516666666666666</v>
      </c>
      <c r="AL95" s="140">
        <f t="shared" si="375"/>
        <v>18.022222222222222</v>
      </c>
      <c r="AM95" s="140">
        <f t="shared" si="375"/>
        <v>18.516666666666666</v>
      </c>
      <c r="AN95" s="140">
        <f t="shared" si="375"/>
        <v>19.022222222222222</v>
      </c>
      <c r="AO95" s="140">
        <f t="shared" si="375"/>
        <v>19.516666666666666</v>
      </c>
      <c r="AP95" s="140">
        <f t="shared" si="375"/>
        <v>20.022222222222222</v>
      </c>
      <c r="AQ95" s="140">
        <f t="shared" si="375"/>
        <v>20.516666666666666</v>
      </c>
      <c r="AR95" s="140">
        <f t="shared" si="375"/>
        <v>21.019444444444446</v>
      </c>
      <c r="AS95" s="140">
        <f t="shared" si="375"/>
        <v>21.513888888888889</v>
      </c>
      <c r="AT95" s="140">
        <f t="shared" si="375"/>
        <v>22.019444444444446</v>
      </c>
      <c r="AU95" s="140">
        <f t="shared" si="375"/>
        <v>22.513888888888889</v>
      </c>
      <c r="AV95" s="140">
        <f t="shared" si="375"/>
        <v>23.019444444444446</v>
      </c>
      <c r="AW95" s="140">
        <f t="shared" si="375"/>
        <v>23.513888888888889</v>
      </c>
      <c r="AX95" s="140">
        <f t="shared" si="375"/>
        <v>24.019444444444446</v>
      </c>
      <c r="AY95" s="140">
        <f t="shared" si="375"/>
        <v>24.513888888888889</v>
      </c>
      <c r="AZ95" s="140">
        <f t="shared" si="375"/>
        <v>25.016666666666666</v>
      </c>
      <c r="BA95" s="140">
        <f t="shared" si="375"/>
        <v>25.511111111111113</v>
      </c>
      <c r="BB95" s="140">
        <f t="shared" si="375"/>
        <v>26.016666666666666</v>
      </c>
      <c r="BC95" s="140">
        <f t="shared" si="375"/>
        <v>26.511111111111113</v>
      </c>
      <c r="BD95" s="140">
        <f t="shared" si="375"/>
        <v>27.016666666666666</v>
      </c>
      <c r="BE95" s="140">
        <f t="shared" si="375"/>
        <v>27.511111111111113</v>
      </c>
      <c r="BF95" s="140">
        <f t="shared" si="375"/>
        <v>28.016666666666666</v>
      </c>
      <c r="BG95" s="140">
        <f t="shared" si="375"/>
        <v>28.511111111111113</v>
      </c>
      <c r="BH95" s="140">
        <f t="shared" si="375"/>
        <v>29.013888888888889</v>
      </c>
      <c r="BI95" s="140">
        <f t="shared" si="375"/>
        <v>29.508333333333333</v>
      </c>
      <c r="BJ95" s="140">
        <f t="shared" si="375"/>
        <v>30.013888888888889</v>
      </c>
      <c r="BK95" s="140">
        <f t="shared" si="375"/>
        <v>30.508333333333333</v>
      </c>
      <c r="BL95" s="140">
        <f t="shared" si="375"/>
        <v>31.013888888888889</v>
      </c>
      <c r="BM95" s="140">
        <f t="shared" si="375"/>
        <v>31.508333333333333</v>
      </c>
      <c r="BN95" s="140">
        <f t="shared" si="375"/>
        <v>32.013888888888886</v>
      </c>
      <c r="BO95" s="140">
        <f t="shared" ref="BO95:CB95" si="376">BO94/360</f>
        <v>32.508333333333333</v>
      </c>
      <c r="BP95" s="140">
        <f t="shared" si="376"/>
        <v>33.011111111111113</v>
      </c>
      <c r="BQ95" s="140">
        <f t="shared" si="376"/>
        <v>33.505555555555553</v>
      </c>
      <c r="BR95" s="140">
        <f t="shared" si="376"/>
        <v>34.011111111111113</v>
      </c>
      <c r="BS95" s="140">
        <f t="shared" si="376"/>
        <v>34.505555555555553</v>
      </c>
      <c r="BT95" s="140">
        <f t="shared" si="376"/>
        <v>35.011111111111113</v>
      </c>
      <c r="BU95" s="140">
        <f t="shared" si="376"/>
        <v>35.505555555555553</v>
      </c>
      <c r="BV95" s="140">
        <f t="shared" si="376"/>
        <v>36.011111111111113</v>
      </c>
      <c r="BW95" s="140">
        <f t="shared" si="376"/>
        <v>36.505555555555553</v>
      </c>
      <c r="BX95" s="140">
        <f t="shared" si="376"/>
        <v>37.008333333333333</v>
      </c>
      <c r="BY95" s="140">
        <f t="shared" si="376"/>
        <v>37.50277777777778</v>
      </c>
      <c r="BZ95" s="140">
        <f t="shared" si="376"/>
        <v>38.008333333333333</v>
      </c>
      <c r="CA95" s="140">
        <f t="shared" si="376"/>
        <v>38.50277777777778</v>
      </c>
      <c r="CB95" s="140">
        <f t="shared" si="376"/>
        <v>39.008333333333333</v>
      </c>
      <c r="CC95" s="17"/>
      <c r="CD95" s="17"/>
      <c r="CE95" s="17"/>
    </row>
    <row r="96" spans="1:115">
      <c r="A96" s="16" t="s">
        <v>43</v>
      </c>
      <c r="B96" s="140">
        <f>IF(B94&lt;0,0,$B$5+$B$6*((1-EXP(-B95/$B$9))/(B95/$B$9))+$B$7*((1-EXP(-B95/$B$9))/(B95/$B$9)-EXP(-B95/$B$9))+$B$8*((1-EXP(-B95/$B$10))/(B95/$B$10)-EXP(-B95/$B$10)))</f>
        <v>1.1145843152449316E-2</v>
      </c>
      <c r="C96" s="140">
        <f t="shared" ref="C96:BN96" si="377">IF(C94&lt;0,0,$B$5+$B$6*((1-EXP(-C95/$B$9))/(C95/$B$9))+$B$7*((1-EXP(-C95/$B$9))/(C95/$B$9)-EXP(-C95/$B$9))+$B$8*((1-EXP(-C95/$B$10))/(C95/$B$10)-EXP(-C95/$B$10)))</f>
        <v>1.0222623916951215E-2</v>
      </c>
      <c r="D96" s="140">
        <f t="shared" si="377"/>
        <v>9.6725901738589221E-3</v>
      </c>
      <c r="E96" s="140">
        <f t="shared" si="377"/>
        <v>9.4064297027568501E-3</v>
      </c>
      <c r="F96" s="140">
        <f t="shared" si="377"/>
        <v>9.3344242729366273E-3</v>
      </c>
      <c r="G96" s="140">
        <f t="shared" si="377"/>
        <v>9.4016771098839463E-3</v>
      </c>
      <c r="H96" s="140">
        <f t="shared" si="377"/>
        <v>9.5676278974943692E-3</v>
      </c>
      <c r="I96" s="140">
        <f t="shared" si="377"/>
        <v>9.7943036391158235E-3</v>
      </c>
      <c r="J96" s="140">
        <f t="shared" si="377"/>
        <v>1.0069107488787195E-2</v>
      </c>
      <c r="K96" s="140">
        <f t="shared" si="377"/>
        <v>1.0364131182384682E-2</v>
      </c>
      <c r="L96" s="140">
        <f t="shared" si="377"/>
        <v>1.0679302431769155E-2</v>
      </c>
      <c r="M96" s="140">
        <f t="shared" si="377"/>
        <v>1.0996335806469165E-2</v>
      </c>
      <c r="N96" s="140">
        <f t="shared" si="377"/>
        <v>1.1322169161367503E-2</v>
      </c>
      <c r="O96" s="140">
        <f t="shared" si="377"/>
        <v>1.1638806759250555E-2</v>
      </c>
      <c r="P96" s="140">
        <f t="shared" si="377"/>
        <v>1.195800076792276E-2</v>
      </c>
      <c r="Q96" s="140">
        <f t="shared" si="377"/>
        <v>1.2264217222345105E-2</v>
      </c>
      <c r="R96" s="140">
        <f t="shared" si="377"/>
        <v>1.2570325003744861E-2</v>
      </c>
      <c r="S96" s="140">
        <f t="shared" si="377"/>
        <v>1.286244390716291E-2</v>
      </c>
      <c r="T96" s="140">
        <f t="shared" si="377"/>
        <v>1.3151997628605173E-2</v>
      </c>
      <c r="U96" s="140">
        <f t="shared" si="377"/>
        <v>1.3429465903795729E-2</v>
      </c>
      <c r="V96" s="140">
        <f t="shared" si="377"/>
        <v>1.3705912758363352E-2</v>
      </c>
      <c r="W96" s="140">
        <f t="shared" si="377"/>
        <v>1.3969473781573295E-2</v>
      </c>
      <c r="X96" s="140">
        <f t="shared" si="377"/>
        <v>1.4232334847335047E-2</v>
      </c>
      <c r="Y96" s="140">
        <f t="shared" si="377"/>
        <v>1.4483291068405233E-2</v>
      </c>
      <c r="Z96" s="140">
        <f t="shared" si="377"/>
        <v>1.4733983812410169E-2</v>
      </c>
      <c r="AA96" s="140">
        <f t="shared" si="377"/>
        <v>1.4973737121955003E-2</v>
      </c>
      <c r="AB96" s="140">
        <f t="shared" si="377"/>
        <v>1.5212360234432287E-2</v>
      </c>
      <c r="AC96" s="140">
        <f t="shared" si="377"/>
        <v>1.5442251039336996E-2</v>
      </c>
      <c r="AD96" s="140">
        <f t="shared" si="377"/>
        <v>1.5672706471256907E-2</v>
      </c>
      <c r="AE96" s="140">
        <f t="shared" si="377"/>
        <v>1.5893863737620566E-2</v>
      </c>
      <c r="AF96" s="140">
        <f t="shared" si="377"/>
        <v>1.6115915766319999E-2</v>
      </c>
      <c r="AG96" s="140">
        <f t="shared" si="377"/>
        <v>1.6329327505718329E-2</v>
      </c>
      <c r="AH96" s="140">
        <f t="shared" si="377"/>
        <v>1.6543902939048092E-2</v>
      </c>
      <c r="AI96" s="140">
        <f t="shared" si="377"/>
        <v>1.6750398524681784E-2</v>
      </c>
      <c r="AJ96" s="140">
        <f t="shared" si="377"/>
        <v>1.6957138543602462E-2</v>
      </c>
      <c r="AK96" s="140">
        <f t="shared" si="377"/>
        <v>1.7157425836054389E-2</v>
      </c>
      <c r="AL96" s="140">
        <f t="shared" si="377"/>
        <v>1.7359258413312432E-2</v>
      </c>
      <c r="AM96" s="140">
        <f t="shared" si="377"/>
        <v>1.7553895232171518E-2</v>
      </c>
      <c r="AN96" s="140">
        <f t="shared" si="377"/>
        <v>1.7750207097004804E-2</v>
      </c>
      <c r="AO96" s="140">
        <f t="shared" si="377"/>
        <v>1.7939674274496119E-2</v>
      </c>
      <c r="AP96" s="140">
        <f t="shared" si="377"/>
        <v>1.8130915396899778E-2</v>
      </c>
      <c r="AQ96" s="140">
        <f t="shared" si="377"/>
        <v>1.8315616288818264E-2</v>
      </c>
      <c r="AR96" s="140">
        <f t="shared" si="377"/>
        <v>1.8501146516077177E-2</v>
      </c>
      <c r="AS96" s="140">
        <f t="shared" si="377"/>
        <v>1.8681433551654331E-2</v>
      </c>
      <c r="AT96" s="140">
        <f t="shared" si="377"/>
        <v>1.8863623036137502E-2</v>
      </c>
      <c r="AU96" s="140">
        <f t="shared" si="377"/>
        <v>1.903977327686689E-2</v>
      </c>
      <c r="AV96" s="140">
        <f t="shared" si="377"/>
        <v>1.9217864764252489E-2</v>
      </c>
      <c r="AW96" s="140">
        <f t="shared" si="377"/>
        <v>1.9390126672502232E-2</v>
      </c>
      <c r="AX96" s="140">
        <f t="shared" si="377"/>
        <v>1.9564356113500821E-2</v>
      </c>
      <c r="AY96" s="140">
        <f t="shared" si="377"/>
        <v>1.9732944450191556E-2</v>
      </c>
      <c r="AZ96" s="140">
        <f t="shared" si="377"/>
        <v>1.9902584317446313E-2</v>
      </c>
      <c r="BA96" s="140">
        <f t="shared" si="377"/>
        <v>2.0067695678306952E-2</v>
      </c>
      <c r="BB96" s="140">
        <f t="shared" si="377"/>
        <v>2.0234799191048043E-2</v>
      </c>
      <c r="BC96" s="140">
        <f t="shared" si="377"/>
        <v>2.0396588094236601E-2</v>
      </c>
      <c r="BD96" s="140">
        <f t="shared" si="377"/>
        <v>2.0560371099271176E-2</v>
      </c>
      <c r="BE96" s="140">
        <f t="shared" si="377"/>
        <v>2.0718983120200197E-2</v>
      </c>
      <c r="BF96" s="140">
        <f t="shared" si="377"/>
        <v>2.0879586055507989E-2</v>
      </c>
      <c r="BG96" s="140">
        <f t="shared" si="377"/>
        <v>2.1035151018324472E-2</v>
      </c>
      <c r="BH96" s="140">
        <f t="shared" si="377"/>
        <v>2.1191838047880326E-2</v>
      </c>
      <c r="BI96" s="140">
        <f t="shared" si="377"/>
        <v>2.1344480537696074E-2</v>
      </c>
      <c r="BJ96" s="140">
        <f t="shared" si="377"/>
        <v>2.1499096002301075E-2</v>
      </c>
      <c r="BK96" s="140">
        <f t="shared" si="377"/>
        <v>2.164891316546496E-2</v>
      </c>
      <c r="BL96" s="140">
        <f t="shared" si="377"/>
        <v>2.180068997309053E-2</v>
      </c>
      <c r="BM96" s="140">
        <f t="shared" si="377"/>
        <v>2.1947777738653858E-2</v>
      </c>
      <c r="BN96" s="140">
        <f t="shared" si="377"/>
        <v>2.2096809653324084E-2</v>
      </c>
      <c r="BO96" s="140">
        <f t="shared" ref="BO96:CB96" si="378">IF(BO94&lt;0,0,$B$5+$B$6*((1-EXP(-BO95/$B$9))/(BO95/$B$9))+$B$7*((1-EXP(-BO95/$B$9))/(BO95/$B$9)-EXP(-BO95/$B$9))+$B$8*((1-EXP(-BO95/$B$10))/(BO95/$B$10)-EXP(-BO95/$B$10)))</f>
        <v>2.2241255808252574E-2</v>
      </c>
      <c r="BP96" s="140">
        <f t="shared" si="378"/>
        <v>2.2386828234748204E-2</v>
      </c>
      <c r="BQ96" s="140">
        <f t="shared" si="378"/>
        <v>2.2528720563842163E-2</v>
      </c>
      <c r="BR96" s="140">
        <f t="shared" si="378"/>
        <v>2.2672521224565277E-2</v>
      </c>
      <c r="BS96" s="140">
        <f t="shared" si="378"/>
        <v>2.2811927228651999E-2</v>
      </c>
      <c r="BT96" s="140">
        <f t="shared" si="378"/>
        <v>2.2953221819089282E-2</v>
      </c>
      <c r="BU96" s="140">
        <f t="shared" si="378"/>
        <v>2.3090210935048698E-2</v>
      </c>
      <c r="BV96" s="140">
        <f t="shared" si="378"/>
        <v>2.3229068009508358E-2</v>
      </c>
      <c r="BW96" s="140">
        <f t="shared" si="378"/>
        <v>2.3363705045917713E-2</v>
      </c>
      <c r="BX96" s="140">
        <f t="shared" si="378"/>
        <v>2.3499442040798645E-2</v>
      </c>
      <c r="BY96" s="140">
        <f t="shared" si="378"/>
        <v>2.363179401743697E-2</v>
      </c>
      <c r="BZ96" s="140">
        <f t="shared" si="378"/>
        <v>2.3765970844654826E-2</v>
      </c>
      <c r="CA96" s="140">
        <f t="shared" si="378"/>
        <v>2.3896088456622666E-2</v>
      </c>
      <c r="CB96" s="140">
        <f t="shared" si="378"/>
        <v>2.4028008669604847E-2</v>
      </c>
      <c r="CC96" s="17"/>
      <c r="CD96" s="17"/>
      <c r="CE96" s="17"/>
    </row>
    <row r="97" spans="1:83">
      <c r="A97" s="16" t="s">
        <v>44</v>
      </c>
      <c r="B97" s="140">
        <f>EXP(-B96*B95)</f>
        <v>0.99959759220723821</v>
      </c>
      <c r="C97" s="140">
        <f t="shared" ref="C97:AR97" si="379">EXP(-C96*C95)</f>
        <v>0.99459101163155428</v>
      </c>
      <c r="D97" s="140">
        <f t="shared" si="379"/>
        <v>0.99005477426231536</v>
      </c>
      <c r="E97" s="140">
        <f t="shared" si="379"/>
        <v>0.98573183472329828</v>
      </c>
      <c r="F97" s="140">
        <f t="shared" si="379"/>
        <v>0.98119898992985299</v>
      </c>
      <c r="G97" s="140">
        <f t="shared" si="379"/>
        <v>0.97651482161813907</v>
      </c>
      <c r="H97" s="140">
        <f t="shared" si="379"/>
        <v>0.97139528332832858</v>
      </c>
      <c r="I97" s="140">
        <f t="shared" si="379"/>
        <v>0.96603798197596868</v>
      </c>
      <c r="J97" s="140">
        <f t="shared" si="379"/>
        <v>0.96020155169775778</v>
      </c>
      <c r="K97" s="140">
        <f t="shared" si="379"/>
        <v>0.95415754195165703</v>
      </c>
      <c r="L97" s="140">
        <f t="shared" si="379"/>
        <v>0.94769474817237054</v>
      </c>
      <c r="M97" s="140">
        <f t="shared" si="379"/>
        <v>0.94105399995547401</v>
      </c>
      <c r="N97" s="140">
        <f t="shared" si="379"/>
        <v>0.9339998791556039</v>
      </c>
      <c r="O97" s="140">
        <f t="shared" si="379"/>
        <v>0.92686883814234888</v>
      </c>
      <c r="P97" s="140">
        <f t="shared" si="379"/>
        <v>0.91936562140617106</v>
      </c>
      <c r="Q97" s="140">
        <f t="shared" si="379"/>
        <v>0.9118422871686791</v>
      </c>
      <c r="R97" s="140">
        <f t="shared" si="379"/>
        <v>0.90398121986265911</v>
      </c>
      <c r="S97" s="140">
        <f t="shared" si="379"/>
        <v>0.89614564023724086</v>
      </c>
      <c r="T97" s="140">
        <f t="shared" si="379"/>
        <v>0.88804460008976205</v>
      </c>
      <c r="U97" s="140">
        <f t="shared" si="379"/>
        <v>0.87996041219688126</v>
      </c>
      <c r="V97" s="140">
        <f t="shared" si="379"/>
        <v>0.87158677664635575</v>
      </c>
      <c r="W97" s="140">
        <f t="shared" si="379"/>
        <v>0.8633026902916846</v>
      </c>
      <c r="X97" s="140">
        <f t="shared" si="379"/>
        <v>0.85474591815744028</v>
      </c>
      <c r="Y97" s="140">
        <f t="shared" si="379"/>
        <v>0.84630141679775839</v>
      </c>
      <c r="Z97" s="140">
        <f t="shared" si="379"/>
        <v>0.83759793644826785</v>
      </c>
      <c r="AA97" s="140">
        <f t="shared" si="379"/>
        <v>0.82902541761966708</v>
      </c>
      <c r="AB97" s="140">
        <f t="shared" si="379"/>
        <v>0.82025419566120772</v>
      </c>
      <c r="AC97" s="140">
        <f t="shared" si="379"/>
        <v>0.81158134640564616</v>
      </c>
      <c r="AD97" s="140">
        <f t="shared" si="379"/>
        <v>0.80267152519232887</v>
      </c>
      <c r="AE97" s="140">
        <f t="shared" si="379"/>
        <v>0.79392199030654276</v>
      </c>
      <c r="AF97" s="140">
        <f t="shared" si="379"/>
        <v>0.78494499447368382</v>
      </c>
      <c r="AG97" s="140">
        <f t="shared" si="379"/>
        <v>0.77614021084622475</v>
      </c>
      <c r="AH97" s="140">
        <f t="shared" si="379"/>
        <v>0.76711692503515072</v>
      </c>
      <c r="AI97" s="140">
        <f t="shared" si="379"/>
        <v>0.75827642893271996</v>
      </c>
      <c r="AJ97" s="140">
        <f t="shared" si="379"/>
        <v>0.74927576883130431</v>
      </c>
      <c r="AK97" s="140">
        <f t="shared" si="379"/>
        <v>0.74041761362551239</v>
      </c>
      <c r="AL97" s="140">
        <f t="shared" si="379"/>
        <v>0.73135784370597168</v>
      </c>
      <c r="AM97" s="140">
        <f t="shared" si="379"/>
        <v>0.72249872282331362</v>
      </c>
      <c r="AN97" s="140">
        <f t="shared" si="379"/>
        <v>0.71344610294402477</v>
      </c>
      <c r="AO97" s="140">
        <f t="shared" si="379"/>
        <v>0.70460167001043272</v>
      </c>
      <c r="AP97" s="140">
        <f t="shared" si="379"/>
        <v>0.6955716752807195</v>
      </c>
      <c r="AQ97" s="140">
        <f t="shared" si="379"/>
        <v>0.68675656523398843</v>
      </c>
      <c r="AR97" s="140">
        <f t="shared" si="379"/>
        <v>0.67781301283837259</v>
      </c>
      <c r="AS97" s="140">
        <f>EXP(-AS96*AS95)</f>
        <v>0.66904076551159997</v>
      </c>
      <c r="AT97" s="140">
        <f t="shared" ref="AT97:CA97" si="380">EXP(-AT96*AT95)</f>
        <v>0.66009831068892211</v>
      </c>
      <c r="AU97" s="140">
        <f t="shared" si="380"/>
        <v>0.65138179109380845</v>
      </c>
      <c r="AV97" s="140">
        <f t="shared" si="380"/>
        <v>0.6425025005706656</v>
      </c>
      <c r="AW97" s="140">
        <f t="shared" si="380"/>
        <v>0.6338535885384341</v>
      </c>
      <c r="AX97" s="140">
        <f t="shared" si="380"/>
        <v>0.6250491672376921</v>
      </c>
      <c r="AY97" s="140">
        <f t="shared" si="380"/>
        <v>0.61647888441983534</v>
      </c>
      <c r="AZ97" s="140">
        <f t="shared" si="380"/>
        <v>0.60780795057722981</v>
      </c>
      <c r="BA97" s="140">
        <f t="shared" si="380"/>
        <v>0.59932622433846872</v>
      </c>
      <c r="BB97" s="140">
        <f t="shared" si="380"/>
        <v>0.59070294113127941</v>
      </c>
      <c r="BC97" s="140">
        <f t="shared" si="380"/>
        <v>0.58231938327584887</v>
      </c>
      <c r="BD97" s="140">
        <f t="shared" si="380"/>
        <v>0.57380096565049443</v>
      </c>
      <c r="BE97" s="140">
        <f t="shared" si="380"/>
        <v>0.56552416811852535</v>
      </c>
      <c r="BF97" s="140">
        <f t="shared" si="380"/>
        <v>0.55711900818642279</v>
      </c>
      <c r="BG97" s="140">
        <f t="shared" si="380"/>
        <v>0.54895680064274599</v>
      </c>
      <c r="BH97" s="140">
        <f t="shared" si="380"/>
        <v>0.54071786941464983</v>
      </c>
      <c r="BI97" s="140">
        <f t="shared" si="380"/>
        <v>0.53267699772544086</v>
      </c>
      <c r="BJ97" s="140">
        <f t="shared" si="380"/>
        <v>0.52452012677350635</v>
      </c>
      <c r="BK97" s="140">
        <f t="shared" si="380"/>
        <v>0.51660730434376267</v>
      </c>
      <c r="BL97" s="140">
        <f t="shared" si="380"/>
        <v>0.5085843605196706</v>
      </c>
      <c r="BM97" s="140">
        <f t="shared" si="380"/>
        <v>0.50080528961817461</v>
      </c>
      <c r="BN97" s="140">
        <f t="shared" si="380"/>
        <v>0.49292176508647317</v>
      </c>
      <c r="BO97" s="140">
        <f t="shared" si="380"/>
        <v>0.48528149343948995</v>
      </c>
      <c r="BP97" s="140">
        <f t="shared" si="380"/>
        <v>0.47758454636586412</v>
      </c>
      <c r="BQ97" s="140">
        <f t="shared" si="380"/>
        <v>0.47008709240864266</v>
      </c>
      <c r="BR97" s="140">
        <f t="shared" si="380"/>
        <v>0.4624958761334087</v>
      </c>
      <c r="BS97" s="140">
        <f t="shared" si="380"/>
        <v>0.455145458405466</v>
      </c>
      <c r="BT97" s="140">
        <f t="shared" si="380"/>
        <v>0.44770631900287111</v>
      </c>
      <c r="BU97" s="140">
        <f t="shared" si="380"/>
        <v>0.44050619632010646</v>
      </c>
      <c r="BV97" s="140">
        <f t="shared" si="380"/>
        <v>0.43322218680102037</v>
      </c>
      <c r="BW97" s="140">
        <f t="shared" si="380"/>
        <v>0.42617507944234556</v>
      </c>
      <c r="BX97" s="140">
        <f t="shared" si="380"/>
        <v>0.41908765343630755</v>
      </c>
      <c r="BY97" s="140">
        <f t="shared" si="380"/>
        <v>0.41219533845640266</v>
      </c>
      <c r="BZ97" s="140">
        <f t="shared" si="380"/>
        <v>0.40522818861864957</v>
      </c>
      <c r="CA97" s="140">
        <f t="shared" si="380"/>
        <v>0.39849282592821605</v>
      </c>
      <c r="CB97" s="140">
        <f>EXP(-CB96*CB95)</f>
        <v>0.39168686526194063</v>
      </c>
      <c r="CC97" s="17"/>
      <c r="CD97" s="17"/>
      <c r="CE97" s="17"/>
    </row>
    <row r="98" spans="1:83" s="6" customFormat="1">
      <c r="A98" s="130"/>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19"/>
      <c r="CD98" s="19"/>
      <c r="CE98" s="19"/>
    </row>
    <row r="99" spans="1:83">
      <c r="A99" s="16" t="s">
        <v>40</v>
      </c>
      <c r="B99" s="140">
        <f t="shared" ref="B99:BM99" si="381">DAYS360($B$3,B36)</f>
        <v>109</v>
      </c>
      <c r="C99" s="140">
        <f t="shared" si="381"/>
        <v>288</v>
      </c>
      <c r="D99" s="140">
        <f t="shared" si="381"/>
        <v>468</v>
      </c>
      <c r="E99" s="140">
        <f t="shared" si="381"/>
        <v>648</v>
      </c>
      <c r="F99" s="140">
        <f t="shared" si="381"/>
        <v>828</v>
      </c>
      <c r="G99" s="140">
        <f t="shared" si="381"/>
        <v>1008</v>
      </c>
      <c r="H99" s="140">
        <f t="shared" si="381"/>
        <v>1188</v>
      </c>
      <c r="I99" s="140">
        <f t="shared" si="381"/>
        <v>1368</v>
      </c>
      <c r="J99" s="140">
        <f t="shared" si="381"/>
        <v>1548</v>
      </c>
      <c r="K99" s="140">
        <f t="shared" si="381"/>
        <v>1727</v>
      </c>
      <c r="L99" s="140">
        <f t="shared" si="381"/>
        <v>1907</v>
      </c>
      <c r="M99" s="140">
        <f t="shared" si="381"/>
        <v>2087</v>
      </c>
      <c r="N99" s="140">
        <f t="shared" si="381"/>
        <v>2267</v>
      </c>
      <c r="O99" s="140">
        <f t="shared" si="381"/>
        <v>2447</v>
      </c>
      <c r="P99" s="140">
        <f t="shared" si="381"/>
        <v>2627</v>
      </c>
      <c r="Q99" s="140">
        <f t="shared" si="381"/>
        <v>2807</v>
      </c>
      <c r="R99" s="140">
        <f t="shared" si="381"/>
        <v>2987</v>
      </c>
      <c r="S99" s="140">
        <f t="shared" si="381"/>
        <v>3166</v>
      </c>
      <c r="T99" s="140">
        <f t="shared" si="381"/>
        <v>3346</v>
      </c>
      <c r="U99" s="140">
        <f t="shared" si="381"/>
        <v>3526</v>
      </c>
      <c r="V99" s="140">
        <f t="shared" si="381"/>
        <v>3706</v>
      </c>
      <c r="W99" s="140">
        <f t="shared" si="381"/>
        <v>3886</v>
      </c>
      <c r="X99" s="140">
        <f t="shared" si="381"/>
        <v>4066</v>
      </c>
      <c r="Y99" s="140">
        <f t="shared" si="381"/>
        <v>4246</v>
      </c>
      <c r="Z99" s="140">
        <f t="shared" si="381"/>
        <v>4426</v>
      </c>
      <c r="AA99" s="140">
        <f t="shared" si="381"/>
        <v>4605</v>
      </c>
      <c r="AB99" s="140">
        <f t="shared" si="381"/>
        <v>4785</v>
      </c>
      <c r="AC99" s="140">
        <f t="shared" si="381"/>
        <v>4965</v>
      </c>
      <c r="AD99" s="140">
        <f t="shared" si="381"/>
        <v>5145</v>
      </c>
      <c r="AE99" s="140">
        <f t="shared" si="381"/>
        <v>5325</v>
      </c>
      <c r="AF99" s="140">
        <f t="shared" si="381"/>
        <v>5505</v>
      </c>
      <c r="AG99" s="140">
        <f t="shared" si="381"/>
        <v>5685</v>
      </c>
      <c r="AH99" s="140">
        <f t="shared" si="381"/>
        <v>5865</v>
      </c>
      <c r="AI99" s="140">
        <f t="shared" si="381"/>
        <v>6044</v>
      </c>
      <c r="AJ99" s="140">
        <f t="shared" si="381"/>
        <v>6224</v>
      </c>
      <c r="AK99" s="140">
        <f t="shared" si="381"/>
        <v>6404</v>
      </c>
      <c r="AL99" s="140">
        <f t="shared" si="381"/>
        <v>6584</v>
      </c>
      <c r="AM99" s="140">
        <f t="shared" si="381"/>
        <v>6764</v>
      </c>
      <c r="AN99" s="140">
        <f t="shared" si="381"/>
        <v>6944</v>
      </c>
      <c r="AO99" s="140">
        <f t="shared" si="381"/>
        <v>7124</v>
      </c>
      <c r="AP99" s="140">
        <f t="shared" si="381"/>
        <v>7304</v>
      </c>
      <c r="AQ99" s="140">
        <f t="shared" si="381"/>
        <v>7483</v>
      </c>
      <c r="AR99" s="140">
        <f t="shared" si="381"/>
        <v>7663</v>
      </c>
      <c r="AS99" s="140">
        <f t="shared" si="381"/>
        <v>7843</v>
      </c>
      <c r="AT99" s="140">
        <f t="shared" si="381"/>
        <v>8023</v>
      </c>
      <c r="AU99" s="140">
        <f t="shared" si="381"/>
        <v>8203</v>
      </c>
      <c r="AV99" s="140">
        <f t="shared" si="381"/>
        <v>8383</v>
      </c>
      <c r="AW99" s="140">
        <f t="shared" si="381"/>
        <v>8563</v>
      </c>
      <c r="AX99" s="140">
        <f t="shared" si="381"/>
        <v>8743</v>
      </c>
      <c r="AY99" s="140">
        <f t="shared" si="381"/>
        <v>8922</v>
      </c>
      <c r="AZ99" s="140">
        <f t="shared" si="381"/>
        <v>9102</v>
      </c>
      <c r="BA99" s="140">
        <f t="shared" si="381"/>
        <v>9282</v>
      </c>
      <c r="BB99" s="140">
        <f t="shared" si="381"/>
        <v>9462</v>
      </c>
      <c r="BC99" s="140">
        <f t="shared" si="381"/>
        <v>9642</v>
      </c>
      <c r="BD99" s="140">
        <f t="shared" si="381"/>
        <v>9822</v>
      </c>
      <c r="BE99" s="140">
        <f t="shared" si="381"/>
        <v>10002</v>
      </c>
      <c r="BF99" s="140">
        <f t="shared" si="381"/>
        <v>10182</v>
      </c>
      <c r="BG99" s="140">
        <f t="shared" si="381"/>
        <v>10361</v>
      </c>
      <c r="BH99" s="140">
        <f t="shared" si="381"/>
        <v>10541</v>
      </c>
      <c r="BI99" s="140">
        <f t="shared" si="381"/>
        <v>10721</v>
      </c>
      <c r="BJ99" s="140">
        <f t="shared" si="381"/>
        <v>10901</v>
      </c>
      <c r="BK99" s="140">
        <f t="shared" si="381"/>
        <v>11081</v>
      </c>
      <c r="BL99" s="140">
        <f t="shared" si="381"/>
        <v>11261</v>
      </c>
      <c r="BM99" s="140">
        <f t="shared" si="381"/>
        <v>11441</v>
      </c>
      <c r="BN99" s="140">
        <f t="shared" ref="BN99:CB99" si="382">DAYS360($B$3,BN36)</f>
        <v>11621</v>
      </c>
      <c r="BO99" s="140">
        <f t="shared" si="382"/>
        <v>11800</v>
      </c>
      <c r="BP99" s="140">
        <f t="shared" si="382"/>
        <v>11980</v>
      </c>
      <c r="BQ99" s="140">
        <f t="shared" si="382"/>
        <v>12160</v>
      </c>
      <c r="BR99" s="140">
        <f t="shared" si="382"/>
        <v>12340</v>
      </c>
      <c r="BS99" s="140">
        <f t="shared" si="382"/>
        <v>12520</v>
      </c>
      <c r="BT99" s="140">
        <f t="shared" si="382"/>
        <v>12700</v>
      </c>
      <c r="BU99" s="140">
        <f t="shared" si="382"/>
        <v>12880</v>
      </c>
      <c r="BV99" s="140">
        <f t="shared" si="382"/>
        <v>13060</v>
      </c>
      <c r="BW99" s="140">
        <f t="shared" si="382"/>
        <v>13239</v>
      </c>
      <c r="BX99" s="140">
        <f t="shared" si="382"/>
        <v>13419</v>
      </c>
      <c r="BY99" s="140">
        <f t="shared" si="382"/>
        <v>13599</v>
      </c>
      <c r="BZ99" s="140">
        <f t="shared" si="382"/>
        <v>13779</v>
      </c>
      <c r="CA99" s="140">
        <f t="shared" si="382"/>
        <v>13959</v>
      </c>
      <c r="CB99" s="140">
        <f t="shared" si="382"/>
        <v>14139</v>
      </c>
      <c r="CC99" s="17"/>
      <c r="CD99" s="17"/>
      <c r="CE99" s="17"/>
    </row>
    <row r="100" spans="1:83">
      <c r="A100" s="16" t="s">
        <v>41</v>
      </c>
      <c r="B100" s="140">
        <f>B99/360</f>
        <v>0.30277777777777776</v>
      </c>
      <c r="C100" s="140">
        <f t="shared" ref="C100:BN100" si="383">C99/360</f>
        <v>0.8</v>
      </c>
      <c r="D100" s="140">
        <f t="shared" si="383"/>
        <v>1.3</v>
      </c>
      <c r="E100" s="140">
        <f t="shared" si="383"/>
        <v>1.8</v>
      </c>
      <c r="F100" s="140">
        <f t="shared" si="383"/>
        <v>2.2999999999999998</v>
      </c>
      <c r="G100" s="140">
        <f t="shared" si="383"/>
        <v>2.8</v>
      </c>
      <c r="H100" s="140">
        <f t="shared" si="383"/>
        <v>3.3</v>
      </c>
      <c r="I100" s="140">
        <f t="shared" si="383"/>
        <v>3.8</v>
      </c>
      <c r="J100" s="140">
        <f t="shared" si="383"/>
        <v>4.3</v>
      </c>
      <c r="K100" s="140">
        <f t="shared" si="383"/>
        <v>4.7972222222222225</v>
      </c>
      <c r="L100" s="140">
        <f t="shared" si="383"/>
        <v>5.2972222222222225</v>
      </c>
      <c r="M100" s="140">
        <f t="shared" si="383"/>
        <v>5.7972222222222225</v>
      </c>
      <c r="N100" s="140">
        <f t="shared" si="383"/>
        <v>6.2972222222222225</v>
      </c>
      <c r="O100" s="140">
        <f t="shared" si="383"/>
        <v>6.7972222222222225</v>
      </c>
      <c r="P100" s="140">
        <f t="shared" si="383"/>
        <v>7.2972222222222225</v>
      </c>
      <c r="Q100" s="140">
        <f t="shared" si="383"/>
        <v>7.7972222222222225</v>
      </c>
      <c r="R100" s="140">
        <f t="shared" si="383"/>
        <v>8.2972222222222225</v>
      </c>
      <c r="S100" s="140">
        <f t="shared" si="383"/>
        <v>8.7944444444444443</v>
      </c>
      <c r="T100" s="140">
        <f t="shared" si="383"/>
        <v>9.2944444444444443</v>
      </c>
      <c r="U100" s="140">
        <f t="shared" si="383"/>
        <v>9.7944444444444443</v>
      </c>
      <c r="V100" s="140">
        <f t="shared" si="383"/>
        <v>10.294444444444444</v>
      </c>
      <c r="W100" s="140">
        <f t="shared" si="383"/>
        <v>10.794444444444444</v>
      </c>
      <c r="X100" s="140">
        <f t="shared" si="383"/>
        <v>11.294444444444444</v>
      </c>
      <c r="Y100" s="140">
        <f t="shared" si="383"/>
        <v>11.794444444444444</v>
      </c>
      <c r="Z100" s="140">
        <f t="shared" si="383"/>
        <v>12.294444444444444</v>
      </c>
      <c r="AA100" s="140">
        <f t="shared" si="383"/>
        <v>12.791666666666666</v>
      </c>
      <c r="AB100" s="140">
        <f t="shared" si="383"/>
        <v>13.291666666666666</v>
      </c>
      <c r="AC100" s="140">
        <f t="shared" si="383"/>
        <v>13.791666666666666</v>
      </c>
      <c r="AD100" s="140">
        <f t="shared" si="383"/>
        <v>14.291666666666666</v>
      </c>
      <c r="AE100" s="140">
        <f t="shared" si="383"/>
        <v>14.791666666666666</v>
      </c>
      <c r="AF100" s="140">
        <f t="shared" si="383"/>
        <v>15.291666666666666</v>
      </c>
      <c r="AG100" s="140">
        <f t="shared" si="383"/>
        <v>15.791666666666666</v>
      </c>
      <c r="AH100" s="140">
        <f t="shared" si="383"/>
        <v>16.291666666666668</v>
      </c>
      <c r="AI100" s="140">
        <f t="shared" si="383"/>
        <v>16.788888888888888</v>
      </c>
      <c r="AJ100" s="140">
        <f t="shared" si="383"/>
        <v>17.288888888888888</v>
      </c>
      <c r="AK100" s="140">
        <f t="shared" si="383"/>
        <v>17.788888888888888</v>
      </c>
      <c r="AL100" s="140">
        <f t="shared" si="383"/>
        <v>18.288888888888888</v>
      </c>
      <c r="AM100" s="140">
        <f t="shared" si="383"/>
        <v>18.788888888888888</v>
      </c>
      <c r="AN100" s="140">
        <f t="shared" si="383"/>
        <v>19.288888888888888</v>
      </c>
      <c r="AO100" s="140">
        <f t="shared" si="383"/>
        <v>19.788888888888888</v>
      </c>
      <c r="AP100" s="140">
        <f t="shared" si="383"/>
        <v>20.288888888888888</v>
      </c>
      <c r="AQ100" s="140">
        <f t="shared" si="383"/>
        <v>20.786111111111111</v>
      </c>
      <c r="AR100" s="140">
        <f t="shared" si="383"/>
        <v>21.286111111111111</v>
      </c>
      <c r="AS100" s="140">
        <f t="shared" si="383"/>
        <v>21.786111111111111</v>
      </c>
      <c r="AT100" s="140">
        <f t="shared" si="383"/>
        <v>22.286111111111111</v>
      </c>
      <c r="AU100" s="140">
        <f t="shared" si="383"/>
        <v>22.786111111111111</v>
      </c>
      <c r="AV100" s="140">
        <f t="shared" si="383"/>
        <v>23.286111111111111</v>
      </c>
      <c r="AW100" s="140">
        <f t="shared" si="383"/>
        <v>23.786111111111111</v>
      </c>
      <c r="AX100" s="140">
        <f t="shared" si="383"/>
        <v>24.286111111111111</v>
      </c>
      <c r="AY100" s="140">
        <f t="shared" si="383"/>
        <v>24.783333333333335</v>
      </c>
      <c r="AZ100" s="140">
        <f t="shared" si="383"/>
        <v>25.283333333333335</v>
      </c>
      <c r="BA100" s="140">
        <f t="shared" si="383"/>
        <v>25.783333333333335</v>
      </c>
      <c r="BB100" s="140">
        <f t="shared" si="383"/>
        <v>26.283333333333335</v>
      </c>
      <c r="BC100" s="140">
        <f t="shared" si="383"/>
        <v>26.783333333333335</v>
      </c>
      <c r="BD100" s="140">
        <f t="shared" si="383"/>
        <v>27.283333333333335</v>
      </c>
      <c r="BE100" s="140">
        <f t="shared" si="383"/>
        <v>27.783333333333335</v>
      </c>
      <c r="BF100" s="140">
        <f t="shared" si="383"/>
        <v>28.283333333333335</v>
      </c>
      <c r="BG100" s="140">
        <f t="shared" si="383"/>
        <v>28.780555555555555</v>
      </c>
      <c r="BH100" s="140">
        <f t="shared" si="383"/>
        <v>29.280555555555555</v>
      </c>
      <c r="BI100" s="140">
        <f t="shared" si="383"/>
        <v>29.780555555555555</v>
      </c>
      <c r="BJ100" s="140">
        <f t="shared" si="383"/>
        <v>30.280555555555555</v>
      </c>
      <c r="BK100" s="140">
        <f t="shared" si="383"/>
        <v>30.780555555555555</v>
      </c>
      <c r="BL100" s="140">
        <f t="shared" si="383"/>
        <v>31.280555555555555</v>
      </c>
      <c r="BM100" s="140">
        <f t="shared" si="383"/>
        <v>31.780555555555555</v>
      </c>
      <c r="BN100" s="140">
        <f t="shared" si="383"/>
        <v>32.280555555555559</v>
      </c>
      <c r="BO100" s="140">
        <f t="shared" ref="BO100:CB100" si="384">BO99/360</f>
        <v>32.777777777777779</v>
      </c>
      <c r="BP100" s="140">
        <f t="shared" si="384"/>
        <v>33.277777777777779</v>
      </c>
      <c r="BQ100" s="140">
        <f t="shared" si="384"/>
        <v>33.777777777777779</v>
      </c>
      <c r="BR100" s="140">
        <f t="shared" si="384"/>
        <v>34.277777777777779</v>
      </c>
      <c r="BS100" s="140">
        <f t="shared" si="384"/>
        <v>34.777777777777779</v>
      </c>
      <c r="BT100" s="140">
        <f t="shared" si="384"/>
        <v>35.277777777777779</v>
      </c>
      <c r="BU100" s="140">
        <f t="shared" si="384"/>
        <v>35.777777777777779</v>
      </c>
      <c r="BV100" s="140">
        <f t="shared" si="384"/>
        <v>36.277777777777779</v>
      </c>
      <c r="BW100" s="140">
        <f t="shared" si="384"/>
        <v>36.774999999999999</v>
      </c>
      <c r="BX100" s="140">
        <f t="shared" si="384"/>
        <v>37.274999999999999</v>
      </c>
      <c r="BY100" s="140">
        <f t="shared" si="384"/>
        <v>37.774999999999999</v>
      </c>
      <c r="BZ100" s="140">
        <f t="shared" si="384"/>
        <v>38.274999999999999</v>
      </c>
      <c r="CA100" s="140">
        <f t="shared" si="384"/>
        <v>38.774999999999999</v>
      </c>
      <c r="CB100" s="140">
        <f t="shared" si="384"/>
        <v>39.274999999999999</v>
      </c>
      <c r="CC100" s="17"/>
      <c r="CD100" s="17"/>
      <c r="CE100" s="17"/>
    </row>
    <row r="101" spans="1:83">
      <c r="A101" s="16" t="s">
        <v>43</v>
      </c>
      <c r="B101" s="140">
        <f>IF(B99&lt;0,0,$B$5+$B$6*((1-EXP(-B100/$B$9))/(B100/$B$9))+$B$7*((1-EXP(-B100/$B$9))/(B100/$B$9)-EXP(-B100/$B$9))+$B$8*((1-EXP(-B100/$B$10))/(B100/$B$10)-EXP(-B100/$B$10)))</f>
        <v>1.0593051206230915E-2</v>
      </c>
      <c r="C101" s="140">
        <f t="shared" ref="C101:BN101" si="385">IF(C99&lt;0,0,$B$5+$B$6*((1-EXP(-C100/$B$9))/(C100/$B$9))+$B$7*((1-EXP(-C100/$B$9))/(C100/$B$9)-EXP(-C100/$B$9))+$B$8*((1-EXP(-C100/$B$10))/(C100/$B$10)-EXP(-C100/$B$10)))</f>
        <v>9.8869125748729629E-3</v>
      </c>
      <c r="D101" s="140">
        <f t="shared" si="385"/>
        <v>9.5007830922842571E-3</v>
      </c>
      <c r="E101" s="140">
        <f t="shared" si="385"/>
        <v>9.3467739762119143E-3</v>
      </c>
      <c r="F101" s="140">
        <f t="shared" si="385"/>
        <v>9.3567803370807924E-3</v>
      </c>
      <c r="G101" s="140">
        <f t="shared" si="385"/>
        <v>9.4810833962820588E-3</v>
      </c>
      <c r="H101" s="140">
        <f t="shared" si="385"/>
        <v>9.6835453144392142E-3</v>
      </c>
      <c r="I101" s="140">
        <f t="shared" si="385"/>
        <v>9.9380390303831605E-3</v>
      </c>
      <c r="J101" s="140">
        <f t="shared" si="385"/>
        <v>1.0225798779962558E-2</v>
      </c>
      <c r="K101" s="140">
        <f t="shared" si="385"/>
        <v>1.0531711096881108E-2</v>
      </c>
      <c r="L101" s="140">
        <f t="shared" si="385"/>
        <v>1.0849805351304856E-2</v>
      </c>
      <c r="M101" s="140">
        <f t="shared" si="385"/>
        <v>1.1171851607943012E-2</v>
      </c>
      <c r="N101" s="140">
        <f t="shared" si="385"/>
        <v>1.1493367333450657E-2</v>
      </c>
      <c r="O101" s="140">
        <f t="shared" si="385"/>
        <v>1.1811370323526497E-2</v>
      </c>
      <c r="P101" s="140">
        <f t="shared" si="385"/>
        <v>1.2123950952693675E-2</v>
      </c>
      <c r="Q101" s="140">
        <f t="shared" si="385"/>
        <v>1.2429959393585092E-2</v>
      </c>
      <c r="R101" s="140">
        <f t="shared" si="385"/>
        <v>1.2728777768424626E-2</v>
      </c>
      <c r="S101" s="140">
        <f t="shared" si="385"/>
        <v>1.3018556808501053E-2</v>
      </c>
      <c r="T101" s="140">
        <f t="shared" si="385"/>
        <v>1.330253017923807E-2</v>
      </c>
      <c r="U101" s="140">
        <f t="shared" si="385"/>
        <v>1.3579216113277497E-2</v>
      </c>
      <c r="V101" s="140">
        <f t="shared" si="385"/>
        <v>1.3848874319784453E-2</v>
      </c>
      <c r="W101" s="140">
        <f t="shared" si="385"/>
        <v>1.4111823625118642E-2</v>
      </c>
      <c r="X101" s="140">
        <f t="shared" si="385"/>
        <v>1.4368412357028106E-2</v>
      </c>
      <c r="Y101" s="140">
        <f t="shared" si="385"/>
        <v>1.4618998183361409E-2</v>
      </c>
      <c r="Z101" s="140">
        <f t="shared" si="385"/>
        <v>1.4863934732728651E-2</v>
      </c>
      <c r="AA101" s="140">
        <f t="shared" si="385"/>
        <v>1.5102245833999495E-2</v>
      </c>
      <c r="AB101" s="140">
        <f t="shared" si="385"/>
        <v>1.5336916035731516E-2</v>
      </c>
      <c r="AC101" s="140">
        <f t="shared" si="385"/>
        <v>1.5566902437758528E-2</v>
      </c>
      <c r="AD101" s="140">
        <f t="shared" si="385"/>
        <v>1.5792486240631013E-2</v>
      </c>
      <c r="AE101" s="140">
        <f t="shared" si="385"/>
        <v>1.6013926873754258E-2</v>
      </c>
      <c r="AF101" s="140">
        <f t="shared" si="385"/>
        <v>1.6231462613892345E-2</v>
      </c>
      <c r="AG101" s="140">
        <f t="shared" si="385"/>
        <v>1.644531163659264E-2</v>
      </c>
      <c r="AH101" s="140">
        <f t="shared" si="385"/>
        <v>1.6655673311976583E-2</v>
      </c>
      <c r="AI101" s="140">
        <f t="shared" si="385"/>
        <v>1.686158812132901E-2</v>
      </c>
      <c r="AJ101" s="140">
        <f t="shared" si="385"/>
        <v>1.7065522081450929E-2</v>
      </c>
      <c r="AK101" s="140">
        <f t="shared" si="385"/>
        <v>1.7266467357006678E-2</v>
      </c>
      <c r="AL101" s="140">
        <f t="shared" si="385"/>
        <v>1.7464562287972933E-2</v>
      </c>
      <c r="AM101" s="140">
        <f t="shared" si="385"/>
        <v>1.765993326547597E-2</v>
      </c>
      <c r="AN101" s="140">
        <f t="shared" si="385"/>
        <v>1.7852695896886119E-2</v>
      </c>
      <c r="AO101" s="140">
        <f t="shared" si="385"/>
        <v>1.8042956072266816E-2</v>
      </c>
      <c r="AP101" s="140">
        <f t="shared" si="385"/>
        <v>1.8230810933369781E-2</v>
      </c>
      <c r="AQ101" s="140">
        <f t="shared" si="385"/>
        <v>1.8415325221761265E-2</v>
      </c>
      <c r="AR101" s="140">
        <f t="shared" si="385"/>
        <v>1.8598642372028698E-2</v>
      </c>
      <c r="AS101" s="140">
        <f t="shared" si="385"/>
        <v>1.8779801063141085E-2</v>
      </c>
      <c r="AT101" s="140">
        <f t="shared" si="385"/>
        <v>1.8958871386999757E-2</v>
      </c>
      <c r="AU101" s="140">
        <f t="shared" si="385"/>
        <v>1.9135918253396684E-2</v>
      </c>
      <c r="AV101" s="140">
        <f t="shared" si="385"/>
        <v>1.9311001895610136E-2</v>
      </c>
      <c r="AW101" s="140">
        <f t="shared" si="385"/>
        <v>1.9484178321740171E-2</v>
      </c>
      <c r="AX101" s="140">
        <f t="shared" si="385"/>
        <v>1.9655499717568442E-2</v>
      </c>
      <c r="AY101" s="140">
        <f t="shared" si="385"/>
        <v>1.9824077960300796E-2</v>
      </c>
      <c r="AZ101" s="140">
        <f t="shared" si="385"/>
        <v>1.9991841984779202E-2</v>
      </c>
      <c r="BA101" s="140">
        <f t="shared" si="385"/>
        <v>2.015788778131649E-2</v>
      </c>
      <c r="BB101" s="140">
        <f t="shared" si="385"/>
        <v>2.0322255493759524E-2</v>
      </c>
      <c r="BC101" s="140">
        <f t="shared" si="385"/>
        <v>2.0484982897353451E-2</v>
      </c>
      <c r="BD101" s="140">
        <f t="shared" si="385"/>
        <v>2.0646105605049463E-2</v>
      </c>
      <c r="BE101" s="140">
        <f t="shared" si="385"/>
        <v>2.080565725266411E-2</v>
      </c>
      <c r="BF101" s="140">
        <f t="shared" si="385"/>
        <v>2.0963669665268008E-2</v>
      </c>
      <c r="BG101" s="140">
        <f t="shared" si="385"/>
        <v>2.111930765920882E-2</v>
      </c>
      <c r="BH101" s="140">
        <f t="shared" si="385"/>
        <v>2.1274338715945536E-2</v>
      </c>
      <c r="BI101" s="140">
        <f t="shared" si="385"/>
        <v>2.142791642551508E-2</v>
      </c>
      <c r="BJ101" s="140">
        <f t="shared" si="385"/>
        <v>2.1580066733907239E-2</v>
      </c>
      <c r="BK101" s="140">
        <f t="shared" si="385"/>
        <v>2.173081439167392E-2</v>
      </c>
      <c r="BL101" s="140">
        <f t="shared" si="385"/>
        <v>2.1880183044151572E-2</v>
      </c>
      <c r="BM101" s="140">
        <f t="shared" si="385"/>
        <v>2.2028195313329824E-2</v>
      </c>
      <c r="BN101" s="140">
        <f t="shared" si="385"/>
        <v>2.2174872872245115E-2</v>
      </c>
      <c r="BO101" s="140">
        <f t="shared" ref="BO101:CB101" si="386">IF(BO99&lt;0,0,$B$5+$B$6*((1-EXP(-BO100/$B$9))/(BO100/$B$9))+$B$7*((1-EXP(-BO100/$B$9))/(BO100/$B$9)-EXP(-BO100/$B$9))+$B$8*((1-EXP(-BO100/$B$10))/(BO100/$B$10)-EXP(-BO100/$B$10)))</f>
        <v>2.2319432529353183E-2</v>
      </c>
      <c r="BP101" s="140">
        <f t="shared" si="386"/>
        <v>2.2463509358355942E-2</v>
      </c>
      <c r="BQ101" s="140">
        <f t="shared" si="386"/>
        <v>2.2606311345305122E-2</v>
      </c>
      <c r="BR101" s="140">
        <f t="shared" si="386"/>
        <v>2.2747856991096698E-2</v>
      </c>
      <c r="BS101" s="140">
        <f t="shared" si="386"/>
        <v>2.2888164131581883E-2</v>
      </c>
      <c r="BT101" s="140">
        <f t="shared" si="386"/>
        <v>2.302724998069795E-2</v>
      </c>
      <c r="BU101" s="140">
        <f t="shared" si="386"/>
        <v>2.31651311700324E-2</v>
      </c>
      <c r="BV101" s="140">
        <f t="shared" si="386"/>
        <v>2.3301823785161314E-2</v>
      </c>
      <c r="BW101" s="140">
        <f t="shared" si="386"/>
        <v>2.3436593724628828E-2</v>
      </c>
      <c r="BX101" s="140">
        <f t="shared" si="386"/>
        <v>2.3570961820457287E-2</v>
      </c>
      <c r="BY101" s="140">
        <f t="shared" si="386"/>
        <v>2.3704186563791762E-2</v>
      </c>
      <c r="BZ101" s="140">
        <f t="shared" si="386"/>
        <v>2.3836282167341384E-2</v>
      </c>
      <c r="CA101" s="140">
        <f t="shared" si="386"/>
        <v>2.396726244058435E-2</v>
      </c>
      <c r="CB101" s="140">
        <f t="shared" si="386"/>
        <v>2.4097140812149635E-2</v>
      </c>
      <c r="CC101" s="17"/>
      <c r="CD101" s="17"/>
      <c r="CE101" s="17"/>
    </row>
    <row r="102" spans="1:83">
      <c r="A102" s="16" t="s">
        <v>44</v>
      </c>
      <c r="B102" s="140">
        <f>EXP(-B101*B100)</f>
        <v>0.99679779751784936</v>
      </c>
      <c r="C102" s="140">
        <f t="shared" ref="C102:AR102" si="387">EXP(-C101*C100)</f>
        <v>0.99212166796489365</v>
      </c>
      <c r="D102" s="140">
        <f t="shared" si="387"/>
        <v>0.98772494275053335</v>
      </c>
      <c r="E102" s="140">
        <f t="shared" si="387"/>
        <v>0.98331654321655781</v>
      </c>
      <c r="F102" s="140">
        <f t="shared" si="387"/>
        <v>0.97870932096305352</v>
      </c>
      <c r="G102" s="140">
        <f t="shared" si="387"/>
        <v>0.97380224142135896</v>
      </c>
      <c r="H102" s="140">
        <f t="shared" si="387"/>
        <v>0.96854948831894938</v>
      </c>
      <c r="I102" s="140">
        <f t="shared" si="387"/>
        <v>0.96293963996215648</v>
      </c>
      <c r="J102" s="140">
        <f t="shared" si="387"/>
        <v>0.95698177197960121</v>
      </c>
      <c r="K102" s="140">
        <f t="shared" si="387"/>
        <v>0.95073210102742922</v>
      </c>
      <c r="L102" s="140">
        <f t="shared" si="387"/>
        <v>0.94414659836664483</v>
      </c>
      <c r="M102" s="140">
        <f t="shared" si="387"/>
        <v>0.93728703800367519</v>
      </c>
      <c r="N102" s="140">
        <f t="shared" si="387"/>
        <v>0.93018081390361707</v>
      </c>
      <c r="O102" s="140">
        <f t="shared" si="387"/>
        <v>0.92285374898502592</v>
      </c>
      <c r="P102" s="140">
        <f t="shared" si="387"/>
        <v>0.91532950451043071</v>
      </c>
      <c r="Q102" s="140">
        <f t="shared" si="387"/>
        <v>0.90762937991542336</v>
      </c>
      <c r="R102" s="140">
        <f t="shared" si="387"/>
        <v>0.89977234490387958</v>
      </c>
      <c r="S102" s="140">
        <f t="shared" si="387"/>
        <v>0.89181998741462454</v>
      </c>
      <c r="T102" s="140">
        <f t="shared" si="387"/>
        <v>0.88369824385717066</v>
      </c>
      <c r="U102" s="140">
        <f t="shared" si="387"/>
        <v>0.8754643236078149</v>
      </c>
      <c r="V102" s="140">
        <f t="shared" si="387"/>
        <v>0.86712991658975935</v>
      </c>
      <c r="W102" s="140">
        <f t="shared" si="387"/>
        <v>0.85870546579106932</v>
      </c>
      <c r="X102" s="140">
        <f t="shared" si="387"/>
        <v>0.85020036383137076</v>
      </c>
      <c r="Y102" s="140">
        <f t="shared" si="387"/>
        <v>0.84162312335474831</v>
      </c>
      <c r="Z102" s="140">
        <f t="shared" si="387"/>
        <v>0.83298152178087392</v>
      </c>
      <c r="AA102" s="140">
        <f t="shared" si="387"/>
        <v>0.82433119460513227</v>
      </c>
      <c r="AB102" s="140">
        <f t="shared" si="387"/>
        <v>0.81558210971679446</v>
      </c>
      <c r="AC102" s="140">
        <f t="shared" si="387"/>
        <v>0.80678865925354759</v>
      </c>
      <c r="AD102" s="140">
        <f t="shared" si="387"/>
        <v>0.79795669558498661</v>
      </c>
      <c r="AE102" s="140">
        <f t="shared" si="387"/>
        <v>0.78909175798365827</v>
      </c>
      <c r="AF102" s="140">
        <f t="shared" si="387"/>
        <v>0.78019911533599484</v>
      </c>
      <c r="AG102" s="140">
        <f t="shared" si="387"/>
        <v>0.7712838001302067</v>
      </c>
      <c r="AH102" s="140">
        <f t="shared" si="387"/>
        <v>0.76235063538590575</v>
      </c>
      <c r="AI102" s="140">
        <f t="shared" si="387"/>
        <v>0.7534539862573969</v>
      </c>
      <c r="AJ102" s="140">
        <f t="shared" si="387"/>
        <v>0.74449889200688035</v>
      </c>
      <c r="AK102" s="140">
        <f t="shared" si="387"/>
        <v>0.73553932795929899</v>
      </c>
      <c r="AL102" s="140">
        <f t="shared" si="387"/>
        <v>0.7265794520550608</v>
      </c>
      <c r="AM102" s="140">
        <f t="shared" si="387"/>
        <v>0.71762328242698126</v>
      </c>
      <c r="AN102" s="140">
        <f t="shared" si="387"/>
        <v>0.70867470386120568</v>
      </c>
      <c r="AO102" s="140">
        <f t="shared" si="387"/>
        <v>0.69973747293948907</v>
      </c>
      <c r="AP102" s="140">
        <f t="shared" si="387"/>
        <v>0.69081522217238667</v>
      </c>
      <c r="AQ102" s="140">
        <f t="shared" si="387"/>
        <v>0.68196087132607064</v>
      </c>
      <c r="AR102" s="140">
        <f t="shared" si="387"/>
        <v>0.6730788676293803</v>
      </c>
      <c r="AS102" s="140">
        <f>EXP(-AS101*AS100)</f>
        <v>0.66422201024790173</v>
      </c>
      <c r="AT102" s="140">
        <f t="shared" ref="AT102:CA102" si="388">EXP(-AT101*AT100)</f>
        <v>0.65539346467575199</v>
      </c>
      <c r="AU102" s="140">
        <f t="shared" si="388"/>
        <v>0.6465962847477934</v>
      </c>
      <c r="AV102" s="140">
        <f t="shared" si="388"/>
        <v>0.63783341432314122</v>
      </c>
      <c r="AW102" s="140">
        <f t="shared" si="388"/>
        <v>0.62910768886726298</v>
      </c>
      <c r="AX102" s="140">
        <f t="shared" si="388"/>
        <v>0.62042183697191322</v>
      </c>
      <c r="AY102" s="140">
        <f t="shared" si="388"/>
        <v>0.61182637841693888</v>
      </c>
      <c r="AZ102" s="140">
        <f t="shared" si="388"/>
        <v>0.60322778248753184</v>
      </c>
      <c r="BA102" s="140">
        <f t="shared" si="388"/>
        <v>0.59467660633468444</v>
      </c>
      <c r="BB102" s="140">
        <f t="shared" si="388"/>
        <v>0.58617516644306167</v>
      </c>
      <c r="BC102" s="140">
        <f t="shared" si="388"/>
        <v>0.57772567987154066</v>
      </c>
      <c r="BD102" s="140">
        <f t="shared" si="388"/>
        <v>0.56933026579862811</v>
      </c>
      <c r="BE102" s="140">
        <f t="shared" si="388"/>
        <v>0.56099094709800423</v>
      </c>
      <c r="BF102" s="140">
        <f t="shared" si="388"/>
        <v>0.55270965194531485</v>
      </c>
      <c r="BG102" s="140">
        <f t="shared" si="388"/>
        <v>0.54453372150902246</v>
      </c>
      <c r="BH102" s="140">
        <f t="shared" si="388"/>
        <v>0.53637354052051434</v>
      </c>
      <c r="BI102" s="140">
        <f t="shared" si="388"/>
        <v>0.52827660700405521</v>
      </c>
      <c r="BJ102" s="140">
        <f t="shared" si="388"/>
        <v>0.52024448750167873</v>
      </c>
      <c r="BK102" s="140">
        <f t="shared" si="388"/>
        <v>0.51227866232283015</v>
      </c>
      <c r="BL102" s="140">
        <f t="shared" si="388"/>
        <v>0.50438052731431726</v>
      </c>
      <c r="BM102" s="140">
        <f t="shared" si="388"/>
        <v>0.49655139564951606</v>
      </c>
      <c r="BN102" s="140">
        <f t="shared" si="388"/>
        <v>0.4887924996341052</v>
      </c>
      <c r="BO102" s="140">
        <f t="shared" si="388"/>
        <v>0.4811475016863459</v>
      </c>
      <c r="BP102" s="140">
        <f t="shared" si="388"/>
        <v>0.47353205410850258</v>
      </c>
      <c r="BQ102" s="140">
        <f t="shared" si="388"/>
        <v>0.46599006678440474</v>
      </c>
      <c r="BR102" s="140">
        <f t="shared" si="388"/>
        <v>0.45852246724491419</v>
      </c>
      <c r="BS102" s="140">
        <f t="shared" si="388"/>
        <v>0.45113011132470582</v>
      </c>
      <c r="BT102" s="140">
        <f t="shared" si="388"/>
        <v>0.44381378501099172</v>
      </c>
      <c r="BU102" s="140">
        <f t="shared" si="388"/>
        <v>0.43657420629066623</v>
      </c>
      <c r="BV102" s="140">
        <f t="shared" si="388"/>
        <v>0.42941202699361058</v>
      </c>
      <c r="BW102" s="140">
        <f t="shared" si="388"/>
        <v>0.42236697483485836</v>
      </c>
      <c r="BX102" s="140">
        <f t="shared" si="388"/>
        <v>0.4153608569088838</v>
      </c>
      <c r="BY102" s="140">
        <f t="shared" si="388"/>
        <v>0.40843371286920938</v>
      </c>
      <c r="BZ102" s="140">
        <f t="shared" si="388"/>
        <v>0.40158594852271734</v>
      </c>
      <c r="CA102" s="140">
        <f t="shared" si="388"/>
        <v>0.39481791259650412</v>
      </c>
      <c r="CB102" s="140">
        <f>EXP(-CB101*CB100)</f>
        <v>0.38812989851664409</v>
      </c>
      <c r="CC102" s="17"/>
      <c r="CD102" s="17"/>
      <c r="CE102" s="17"/>
    </row>
    <row r="103" spans="1:83">
      <c r="A103" s="17"/>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c r="BJ103" s="5"/>
      <c r="BK103" s="5"/>
      <c r="BL103" s="5"/>
      <c r="BM103" s="5"/>
      <c r="BN103" s="5"/>
      <c r="BO103" s="5"/>
      <c r="BP103" s="5"/>
      <c r="BQ103" s="5"/>
      <c r="BR103" s="5"/>
      <c r="BS103" s="5"/>
      <c r="BT103" s="5"/>
      <c r="BU103" s="5"/>
      <c r="BV103" s="5"/>
      <c r="BW103" s="5"/>
      <c r="BX103" s="5"/>
      <c r="BY103" s="5"/>
      <c r="BZ103" s="5"/>
      <c r="CA103" s="5"/>
      <c r="CB103" s="5"/>
      <c r="CC103" s="17"/>
      <c r="CD103" s="17"/>
      <c r="CE103" s="17"/>
    </row>
    <row r="104" spans="1:83">
      <c r="A104" s="16" t="s">
        <v>40</v>
      </c>
      <c r="B104" s="140">
        <f t="shared" ref="B104:BM104" si="389">DAYS360($B$3,B38)</f>
        <v>109</v>
      </c>
      <c r="C104" s="140">
        <f t="shared" si="389"/>
        <v>288</v>
      </c>
      <c r="D104" s="140">
        <f t="shared" si="389"/>
        <v>468</v>
      </c>
      <c r="E104" s="140">
        <f t="shared" si="389"/>
        <v>648</v>
      </c>
      <c r="F104" s="140">
        <f t="shared" si="389"/>
        <v>828</v>
      </c>
      <c r="G104" s="140">
        <f t="shared" si="389"/>
        <v>1008</v>
      </c>
      <c r="H104" s="140">
        <f t="shared" si="389"/>
        <v>1188</v>
      </c>
      <c r="I104" s="140">
        <f t="shared" si="389"/>
        <v>1368</v>
      </c>
      <c r="J104" s="140">
        <f t="shared" si="389"/>
        <v>1548</v>
      </c>
      <c r="K104" s="140">
        <f t="shared" si="389"/>
        <v>1727</v>
      </c>
      <c r="L104" s="140">
        <f t="shared" si="389"/>
        <v>1907</v>
      </c>
      <c r="M104" s="140">
        <f t="shared" si="389"/>
        <v>2087</v>
      </c>
      <c r="N104" s="140">
        <f t="shared" si="389"/>
        <v>2267</v>
      </c>
      <c r="O104" s="140">
        <f t="shared" si="389"/>
        <v>2447</v>
      </c>
      <c r="P104" s="140">
        <f t="shared" si="389"/>
        <v>2627</v>
      </c>
      <c r="Q104" s="140">
        <f t="shared" si="389"/>
        <v>2807</v>
      </c>
      <c r="R104" s="140">
        <f t="shared" si="389"/>
        <v>2987</v>
      </c>
      <c r="S104" s="140">
        <f t="shared" si="389"/>
        <v>3166</v>
      </c>
      <c r="T104" s="140">
        <f t="shared" si="389"/>
        <v>3346</v>
      </c>
      <c r="U104" s="140">
        <f t="shared" si="389"/>
        <v>3526</v>
      </c>
      <c r="V104" s="140">
        <f t="shared" si="389"/>
        <v>3706</v>
      </c>
      <c r="W104" s="140">
        <f t="shared" si="389"/>
        <v>3886</v>
      </c>
      <c r="X104" s="140">
        <f t="shared" si="389"/>
        <v>4066</v>
      </c>
      <c r="Y104" s="140">
        <f t="shared" si="389"/>
        <v>4246</v>
      </c>
      <c r="Z104" s="140">
        <f t="shared" si="389"/>
        <v>4426</v>
      </c>
      <c r="AA104" s="140">
        <f t="shared" si="389"/>
        <v>4605</v>
      </c>
      <c r="AB104" s="140">
        <f t="shared" si="389"/>
        <v>4785</v>
      </c>
      <c r="AC104" s="140">
        <f t="shared" si="389"/>
        <v>4965</v>
      </c>
      <c r="AD104" s="140">
        <f t="shared" si="389"/>
        <v>5145</v>
      </c>
      <c r="AE104" s="140">
        <f t="shared" si="389"/>
        <v>5325</v>
      </c>
      <c r="AF104" s="140">
        <f t="shared" si="389"/>
        <v>5505</v>
      </c>
      <c r="AG104" s="140">
        <f t="shared" si="389"/>
        <v>5685</v>
      </c>
      <c r="AH104" s="140">
        <f t="shared" si="389"/>
        <v>5865</v>
      </c>
      <c r="AI104" s="140">
        <f t="shared" si="389"/>
        <v>6044</v>
      </c>
      <c r="AJ104" s="140">
        <f t="shared" si="389"/>
        <v>6224</v>
      </c>
      <c r="AK104" s="140">
        <f t="shared" si="389"/>
        <v>6404</v>
      </c>
      <c r="AL104" s="140">
        <f t="shared" si="389"/>
        <v>6584</v>
      </c>
      <c r="AM104" s="140">
        <f t="shared" si="389"/>
        <v>6764</v>
      </c>
      <c r="AN104" s="140">
        <f t="shared" si="389"/>
        <v>6944</v>
      </c>
      <c r="AO104" s="140">
        <f t="shared" si="389"/>
        <v>7124</v>
      </c>
      <c r="AP104" s="140">
        <f t="shared" si="389"/>
        <v>7304</v>
      </c>
      <c r="AQ104" s="140">
        <f t="shared" si="389"/>
        <v>7483</v>
      </c>
      <c r="AR104" s="140">
        <f t="shared" si="389"/>
        <v>7663</v>
      </c>
      <c r="AS104" s="140">
        <f t="shared" si="389"/>
        <v>7843</v>
      </c>
      <c r="AT104" s="140">
        <f t="shared" si="389"/>
        <v>8023</v>
      </c>
      <c r="AU104" s="140">
        <f t="shared" si="389"/>
        <v>8203</v>
      </c>
      <c r="AV104" s="140">
        <f t="shared" si="389"/>
        <v>8383</v>
      </c>
      <c r="AW104" s="140">
        <f t="shared" si="389"/>
        <v>8563</v>
      </c>
      <c r="AX104" s="140">
        <f t="shared" si="389"/>
        <v>8743</v>
      </c>
      <c r="AY104" s="140">
        <f t="shared" si="389"/>
        <v>8922</v>
      </c>
      <c r="AZ104" s="140">
        <f t="shared" si="389"/>
        <v>9102</v>
      </c>
      <c r="BA104" s="140">
        <f t="shared" si="389"/>
        <v>9282</v>
      </c>
      <c r="BB104" s="140">
        <f t="shared" si="389"/>
        <v>9462</v>
      </c>
      <c r="BC104" s="140">
        <f t="shared" si="389"/>
        <v>9642</v>
      </c>
      <c r="BD104" s="140">
        <f t="shared" si="389"/>
        <v>9822</v>
      </c>
      <c r="BE104" s="140">
        <f t="shared" si="389"/>
        <v>10002</v>
      </c>
      <c r="BF104" s="140">
        <f t="shared" si="389"/>
        <v>10182</v>
      </c>
      <c r="BG104" s="140">
        <f t="shared" si="389"/>
        <v>10361</v>
      </c>
      <c r="BH104" s="140">
        <f t="shared" si="389"/>
        <v>10541</v>
      </c>
      <c r="BI104" s="140">
        <f t="shared" si="389"/>
        <v>10721</v>
      </c>
      <c r="BJ104" s="140">
        <f t="shared" si="389"/>
        <v>10901</v>
      </c>
      <c r="BK104" s="140">
        <f t="shared" si="389"/>
        <v>11081</v>
      </c>
      <c r="BL104" s="140">
        <f t="shared" si="389"/>
        <v>11261</v>
      </c>
      <c r="BM104" s="140">
        <f t="shared" si="389"/>
        <v>11441</v>
      </c>
      <c r="BN104" s="140">
        <f t="shared" ref="BN104:CB104" si="390">DAYS360($B$3,BN38)</f>
        <v>11621</v>
      </c>
      <c r="BO104" s="140">
        <f t="shared" si="390"/>
        <v>11800</v>
      </c>
      <c r="BP104" s="140">
        <f t="shared" si="390"/>
        <v>11980</v>
      </c>
      <c r="BQ104" s="140">
        <f t="shared" si="390"/>
        <v>12160</v>
      </c>
      <c r="BR104" s="140">
        <f t="shared" si="390"/>
        <v>12340</v>
      </c>
      <c r="BS104" s="140">
        <f t="shared" si="390"/>
        <v>12520</v>
      </c>
      <c r="BT104" s="140">
        <f t="shared" si="390"/>
        <v>12700</v>
      </c>
      <c r="BU104" s="140">
        <f t="shared" si="390"/>
        <v>12880</v>
      </c>
      <c r="BV104" s="140">
        <f t="shared" si="390"/>
        <v>13060</v>
      </c>
      <c r="BW104" s="140">
        <f t="shared" si="390"/>
        <v>13239</v>
      </c>
      <c r="BX104" s="140">
        <f t="shared" si="390"/>
        <v>13419</v>
      </c>
      <c r="BY104" s="140">
        <f t="shared" si="390"/>
        <v>13599</v>
      </c>
      <c r="BZ104" s="140">
        <f t="shared" si="390"/>
        <v>13779</v>
      </c>
      <c r="CA104" s="140">
        <f t="shared" si="390"/>
        <v>13959</v>
      </c>
      <c r="CB104" s="140">
        <f t="shared" si="390"/>
        <v>14139</v>
      </c>
      <c r="CC104" s="17"/>
      <c r="CD104" s="17"/>
      <c r="CE104" s="17"/>
    </row>
    <row r="105" spans="1:83">
      <c r="A105" s="16" t="s">
        <v>41</v>
      </c>
      <c r="B105" s="140">
        <f>B104/360</f>
        <v>0.30277777777777776</v>
      </c>
      <c r="C105" s="140">
        <f t="shared" ref="C105:BN105" si="391">C104/360</f>
        <v>0.8</v>
      </c>
      <c r="D105" s="140">
        <f t="shared" si="391"/>
        <v>1.3</v>
      </c>
      <c r="E105" s="140">
        <f t="shared" si="391"/>
        <v>1.8</v>
      </c>
      <c r="F105" s="140">
        <f t="shared" si="391"/>
        <v>2.2999999999999998</v>
      </c>
      <c r="G105" s="140">
        <f t="shared" si="391"/>
        <v>2.8</v>
      </c>
      <c r="H105" s="140">
        <f t="shared" si="391"/>
        <v>3.3</v>
      </c>
      <c r="I105" s="140">
        <f t="shared" si="391"/>
        <v>3.8</v>
      </c>
      <c r="J105" s="140">
        <f t="shared" si="391"/>
        <v>4.3</v>
      </c>
      <c r="K105" s="140">
        <f t="shared" si="391"/>
        <v>4.7972222222222225</v>
      </c>
      <c r="L105" s="140">
        <f t="shared" si="391"/>
        <v>5.2972222222222225</v>
      </c>
      <c r="M105" s="140">
        <f t="shared" si="391"/>
        <v>5.7972222222222225</v>
      </c>
      <c r="N105" s="140">
        <f t="shared" si="391"/>
        <v>6.2972222222222225</v>
      </c>
      <c r="O105" s="140">
        <f t="shared" si="391"/>
        <v>6.7972222222222225</v>
      </c>
      <c r="P105" s="140">
        <f t="shared" si="391"/>
        <v>7.2972222222222225</v>
      </c>
      <c r="Q105" s="140">
        <f t="shared" si="391"/>
        <v>7.7972222222222225</v>
      </c>
      <c r="R105" s="140">
        <f t="shared" si="391"/>
        <v>8.2972222222222225</v>
      </c>
      <c r="S105" s="140">
        <f t="shared" si="391"/>
        <v>8.7944444444444443</v>
      </c>
      <c r="T105" s="140">
        <f t="shared" si="391"/>
        <v>9.2944444444444443</v>
      </c>
      <c r="U105" s="140">
        <f t="shared" si="391"/>
        <v>9.7944444444444443</v>
      </c>
      <c r="V105" s="140">
        <f t="shared" si="391"/>
        <v>10.294444444444444</v>
      </c>
      <c r="W105" s="140">
        <f t="shared" si="391"/>
        <v>10.794444444444444</v>
      </c>
      <c r="X105" s="140">
        <f t="shared" si="391"/>
        <v>11.294444444444444</v>
      </c>
      <c r="Y105" s="140">
        <f t="shared" si="391"/>
        <v>11.794444444444444</v>
      </c>
      <c r="Z105" s="140">
        <f t="shared" si="391"/>
        <v>12.294444444444444</v>
      </c>
      <c r="AA105" s="140">
        <f t="shared" si="391"/>
        <v>12.791666666666666</v>
      </c>
      <c r="AB105" s="140">
        <f t="shared" si="391"/>
        <v>13.291666666666666</v>
      </c>
      <c r="AC105" s="140">
        <f t="shared" si="391"/>
        <v>13.791666666666666</v>
      </c>
      <c r="AD105" s="140">
        <f t="shared" si="391"/>
        <v>14.291666666666666</v>
      </c>
      <c r="AE105" s="140">
        <f t="shared" si="391"/>
        <v>14.791666666666666</v>
      </c>
      <c r="AF105" s="140">
        <f t="shared" si="391"/>
        <v>15.291666666666666</v>
      </c>
      <c r="AG105" s="140">
        <f t="shared" si="391"/>
        <v>15.791666666666666</v>
      </c>
      <c r="AH105" s="140">
        <f t="shared" si="391"/>
        <v>16.291666666666668</v>
      </c>
      <c r="AI105" s="140">
        <f t="shared" si="391"/>
        <v>16.788888888888888</v>
      </c>
      <c r="AJ105" s="140">
        <f t="shared" si="391"/>
        <v>17.288888888888888</v>
      </c>
      <c r="AK105" s="140">
        <f t="shared" si="391"/>
        <v>17.788888888888888</v>
      </c>
      <c r="AL105" s="140">
        <f t="shared" si="391"/>
        <v>18.288888888888888</v>
      </c>
      <c r="AM105" s="140">
        <f t="shared" si="391"/>
        <v>18.788888888888888</v>
      </c>
      <c r="AN105" s="140">
        <f t="shared" si="391"/>
        <v>19.288888888888888</v>
      </c>
      <c r="AO105" s="140">
        <f t="shared" si="391"/>
        <v>19.788888888888888</v>
      </c>
      <c r="AP105" s="140">
        <f t="shared" si="391"/>
        <v>20.288888888888888</v>
      </c>
      <c r="AQ105" s="140">
        <f t="shared" si="391"/>
        <v>20.786111111111111</v>
      </c>
      <c r="AR105" s="140">
        <f t="shared" si="391"/>
        <v>21.286111111111111</v>
      </c>
      <c r="AS105" s="140">
        <f t="shared" si="391"/>
        <v>21.786111111111111</v>
      </c>
      <c r="AT105" s="140">
        <f t="shared" si="391"/>
        <v>22.286111111111111</v>
      </c>
      <c r="AU105" s="140">
        <f t="shared" si="391"/>
        <v>22.786111111111111</v>
      </c>
      <c r="AV105" s="140">
        <f t="shared" si="391"/>
        <v>23.286111111111111</v>
      </c>
      <c r="AW105" s="140">
        <f t="shared" si="391"/>
        <v>23.786111111111111</v>
      </c>
      <c r="AX105" s="140">
        <f t="shared" si="391"/>
        <v>24.286111111111111</v>
      </c>
      <c r="AY105" s="140">
        <f t="shared" si="391"/>
        <v>24.783333333333335</v>
      </c>
      <c r="AZ105" s="140">
        <f t="shared" si="391"/>
        <v>25.283333333333335</v>
      </c>
      <c r="BA105" s="140">
        <f t="shared" si="391"/>
        <v>25.783333333333335</v>
      </c>
      <c r="BB105" s="140">
        <f t="shared" si="391"/>
        <v>26.283333333333335</v>
      </c>
      <c r="BC105" s="140">
        <f t="shared" si="391"/>
        <v>26.783333333333335</v>
      </c>
      <c r="BD105" s="140">
        <f t="shared" si="391"/>
        <v>27.283333333333335</v>
      </c>
      <c r="BE105" s="140">
        <f t="shared" si="391"/>
        <v>27.783333333333335</v>
      </c>
      <c r="BF105" s="140">
        <f t="shared" si="391"/>
        <v>28.283333333333335</v>
      </c>
      <c r="BG105" s="140">
        <f t="shared" si="391"/>
        <v>28.780555555555555</v>
      </c>
      <c r="BH105" s="140">
        <f t="shared" si="391"/>
        <v>29.280555555555555</v>
      </c>
      <c r="BI105" s="140">
        <f t="shared" si="391"/>
        <v>29.780555555555555</v>
      </c>
      <c r="BJ105" s="140">
        <f t="shared" si="391"/>
        <v>30.280555555555555</v>
      </c>
      <c r="BK105" s="140">
        <f t="shared" si="391"/>
        <v>30.780555555555555</v>
      </c>
      <c r="BL105" s="140">
        <f t="shared" si="391"/>
        <v>31.280555555555555</v>
      </c>
      <c r="BM105" s="140">
        <f t="shared" si="391"/>
        <v>31.780555555555555</v>
      </c>
      <c r="BN105" s="140">
        <f t="shared" si="391"/>
        <v>32.280555555555559</v>
      </c>
      <c r="BO105" s="140">
        <f t="shared" ref="BO105:CB105" si="392">BO104/360</f>
        <v>32.777777777777779</v>
      </c>
      <c r="BP105" s="140">
        <f t="shared" si="392"/>
        <v>33.277777777777779</v>
      </c>
      <c r="BQ105" s="140">
        <f t="shared" si="392"/>
        <v>33.777777777777779</v>
      </c>
      <c r="BR105" s="140">
        <f t="shared" si="392"/>
        <v>34.277777777777779</v>
      </c>
      <c r="BS105" s="140">
        <f t="shared" si="392"/>
        <v>34.777777777777779</v>
      </c>
      <c r="BT105" s="140">
        <f t="shared" si="392"/>
        <v>35.277777777777779</v>
      </c>
      <c r="BU105" s="140">
        <f t="shared" si="392"/>
        <v>35.777777777777779</v>
      </c>
      <c r="BV105" s="140">
        <f t="shared" si="392"/>
        <v>36.277777777777779</v>
      </c>
      <c r="BW105" s="140">
        <f t="shared" si="392"/>
        <v>36.774999999999999</v>
      </c>
      <c r="BX105" s="140">
        <f t="shared" si="392"/>
        <v>37.274999999999999</v>
      </c>
      <c r="BY105" s="140">
        <f t="shared" si="392"/>
        <v>37.774999999999999</v>
      </c>
      <c r="BZ105" s="140">
        <f t="shared" si="392"/>
        <v>38.274999999999999</v>
      </c>
      <c r="CA105" s="140">
        <f t="shared" si="392"/>
        <v>38.774999999999999</v>
      </c>
      <c r="CB105" s="140">
        <f t="shared" si="392"/>
        <v>39.274999999999999</v>
      </c>
      <c r="CC105" s="17"/>
      <c r="CD105" s="17"/>
      <c r="CE105" s="17"/>
    </row>
    <row r="106" spans="1:83">
      <c r="A106" s="16" t="s">
        <v>43</v>
      </c>
      <c r="B106" s="140">
        <f>IF(B104&lt;0,0,$B$5+$B$6*((1-EXP(-B105/$B$9))/(B105/$B$9))+$B$7*((1-EXP(-B105/$B$9))/(B105/$B$9)-EXP(-B105/$B$9))+$B$8*((1-EXP(-B105/$B$10))/(B105/$B$10)-EXP(-B105/$B$10)))</f>
        <v>1.0593051206230915E-2</v>
      </c>
      <c r="C106" s="140">
        <f t="shared" ref="C106:BN106" si="393">IF(C104&lt;0,0,$B$5+$B$6*((1-EXP(-C105/$B$9))/(C105/$B$9))+$B$7*((1-EXP(-C105/$B$9))/(C105/$B$9)-EXP(-C105/$B$9))+$B$8*((1-EXP(-C105/$B$10))/(C105/$B$10)-EXP(-C105/$B$10)))</f>
        <v>9.8869125748729629E-3</v>
      </c>
      <c r="D106" s="140">
        <f t="shared" si="393"/>
        <v>9.5007830922842571E-3</v>
      </c>
      <c r="E106" s="140">
        <f t="shared" si="393"/>
        <v>9.3467739762119143E-3</v>
      </c>
      <c r="F106" s="140">
        <f t="shared" si="393"/>
        <v>9.3567803370807924E-3</v>
      </c>
      <c r="G106" s="140">
        <f t="shared" si="393"/>
        <v>9.4810833962820588E-3</v>
      </c>
      <c r="H106" s="140">
        <f t="shared" si="393"/>
        <v>9.6835453144392142E-3</v>
      </c>
      <c r="I106" s="140">
        <f t="shared" si="393"/>
        <v>9.9380390303831605E-3</v>
      </c>
      <c r="J106" s="140">
        <f t="shared" si="393"/>
        <v>1.0225798779962558E-2</v>
      </c>
      <c r="K106" s="140">
        <f t="shared" si="393"/>
        <v>1.0531711096881108E-2</v>
      </c>
      <c r="L106" s="140">
        <f t="shared" si="393"/>
        <v>1.0849805351304856E-2</v>
      </c>
      <c r="M106" s="140">
        <f t="shared" si="393"/>
        <v>1.1171851607943012E-2</v>
      </c>
      <c r="N106" s="140">
        <f t="shared" si="393"/>
        <v>1.1493367333450657E-2</v>
      </c>
      <c r="O106" s="140">
        <f t="shared" si="393"/>
        <v>1.1811370323526497E-2</v>
      </c>
      <c r="P106" s="140">
        <f t="shared" si="393"/>
        <v>1.2123950952693675E-2</v>
      </c>
      <c r="Q106" s="140">
        <f t="shared" si="393"/>
        <v>1.2429959393585092E-2</v>
      </c>
      <c r="R106" s="140">
        <f t="shared" si="393"/>
        <v>1.2728777768424626E-2</v>
      </c>
      <c r="S106" s="140">
        <f t="shared" si="393"/>
        <v>1.3018556808501053E-2</v>
      </c>
      <c r="T106" s="140">
        <f t="shared" si="393"/>
        <v>1.330253017923807E-2</v>
      </c>
      <c r="U106" s="140">
        <f t="shared" si="393"/>
        <v>1.3579216113277497E-2</v>
      </c>
      <c r="V106" s="140">
        <f t="shared" si="393"/>
        <v>1.3848874319784453E-2</v>
      </c>
      <c r="W106" s="140">
        <f t="shared" si="393"/>
        <v>1.4111823625118642E-2</v>
      </c>
      <c r="X106" s="140">
        <f t="shared" si="393"/>
        <v>1.4368412357028106E-2</v>
      </c>
      <c r="Y106" s="140">
        <f t="shared" si="393"/>
        <v>1.4618998183361409E-2</v>
      </c>
      <c r="Z106" s="140">
        <f t="shared" si="393"/>
        <v>1.4863934732728651E-2</v>
      </c>
      <c r="AA106" s="140">
        <f t="shared" si="393"/>
        <v>1.5102245833999495E-2</v>
      </c>
      <c r="AB106" s="140">
        <f t="shared" si="393"/>
        <v>1.5336916035731516E-2</v>
      </c>
      <c r="AC106" s="140">
        <f t="shared" si="393"/>
        <v>1.5566902437758528E-2</v>
      </c>
      <c r="AD106" s="140">
        <f t="shared" si="393"/>
        <v>1.5792486240631013E-2</v>
      </c>
      <c r="AE106" s="140">
        <f t="shared" si="393"/>
        <v>1.6013926873754258E-2</v>
      </c>
      <c r="AF106" s="140">
        <f t="shared" si="393"/>
        <v>1.6231462613892345E-2</v>
      </c>
      <c r="AG106" s="140">
        <f t="shared" si="393"/>
        <v>1.644531163659264E-2</v>
      </c>
      <c r="AH106" s="140">
        <f t="shared" si="393"/>
        <v>1.6655673311976583E-2</v>
      </c>
      <c r="AI106" s="140">
        <f t="shared" si="393"/>
        <v>1.686158812132901E-2</v>
      </c>
      <c r="AJ106" s="140">
        <f t="shared" si="393"/>
        <v>1.7065522081450929E-2</v>
      </c>
      <c r="AK106" s="140">
        <f t="shared" si="393"/>
        <v>1.7266467357006678E-2</v>
      </c>
      <c r="AL106" s="140">
        <f t="shared" si="393"/>
        <v>1.7464562287972933E-2</v>
      </c>
      <c r="AM106" s="140">
        <f t="shared" si="393"/>
        <v>1.765993326547597E-2</v>
      </c>
      <c r="AN106" s="140">
        <f t="shared" si="393"/>
        <v>1.7852695896886119E-2</v>
      </c>
      <c r="AO106" s="140">
        <f t="shared" si="393"/>
        <v>1.8042956072266816E-2</v>
      </c>
      <c r="AP106" s="140">
        <f t="shared" si="393"/>
        <v>1.8230810933369781E-2</v>
      </c>
      <c r="AQ106" s="140">
        <f t="shared" si="393"/>
        <v>1.8415325221761265E-2</v>
      </c>
      <c r="AR106" s="140">
        <f t="shared" si="393"/>
        <v>1.8598642372028698E-2</v>
      </c>
      <c r="AS106" s="140">
        <f t="shared" si="393"/>
        <v>1.8779801063141085E-2</v>
      </c>
      <c r="AT106" s="140">
        <f t="shared" si="393"/>
        <v>1.8958871386999757E-2</v>
      </c>
      <c r="AU106" s="140">
        <f t="shared" si="393"/>
        <v>1.9135918253396684E-2</v>
      </c>
      <c r="AV106" s="140">
        <f t="shared" si="393"/>
        <v>1.9311001895610136E-2</v>
      </c>
      <c r="AW106" s="140">
        <f t="shared" si="393"/>
        <v>1.9484178321740171E-2</v>
      </c>
      <c r="AX106" s="140">
        <f t="shared" si="393"/>
        <v>1.9655499717568442E-2</v>
      </c>
      <c r="AY106" s="140">
        <f t="shared" si="393"/>
        <v>1.9824077960300796E-2</v>
      </c>
      <c r="AZ106" s="140">
        <f t="shared" si="393"/>
        <v>1.9991841984779202E-2</v>
      </c>
      <c r="BA106" s="140">
        <f t="shared" si="393"/>
        <v>2.015788778131649E-2</v>
      </c>
      <c r="BB106" s="140">
        <f t="shared" si="393"/>
        <v>2.0322255493759524E-2</v>
      </c>
      <c r="BC106" s="140">
        <f t="shared" si="393"/>
        <v>2.0484982897353451E-2</v>
      </c>
      <c r="BD106" s="140">
        <f t="shared" si="393"/>
        <v>2.0646105605049463E-2</v>
      </c>
      <c r="BE106" s="140">
        <f t="shared" si="393"/>
        <v>2.080565725266411E-2</v>
      </c>
      <c r="BF106" s="140">
        <f t="shared" si="393"/>
        <v>2.0963669665268008E-2</v>
      </c>
      <c r="BG106" s="140">
        <f t="shared" si="393"/>
        <v>2.111930765920882E-2</v>
      </c>
      <c r="BH106" s="140">
        <f t="shared" si="393"/>
        <v>2.1274338715945536E-2</v>
      </c>
      <c r="BI106" s="140">
        <f t="shared" si="393"/>
        <v>2.142791642551508E-2</v>
      </c>
      <c r="BJ106" s="140">
        <f t="shared" si="393"/>
        <v>2.1580066733907239E-2</v>
      </c>
      <c r="BK106" s="140">
        <f t="shared" si="393"/>
        <v>2.173081439167392E-2</v>
      </c>
      <c r="BL106" s="140">
        <f t="shared" si="393"/>
        <v>2.1880183044151572E-2</v>
      </c>
      <c r="BM106" s="140">
        <f t="shared" si="393"/>
        <v>2.2028195313329824E-2</v>
      </c>
      <c r="BN106" s="140">
        <f t="shared" si="393"/>
        <v>2.2174872872245115E-2</v>
      </c>
      <c r="BO106" s="140">
        <f t="shared" ref="BO106:CB106" si="394">IF(BO104&lt;0,0,$B$5+$B$6*((1-EXP(-BO105/$B$9))/(BO105/$B$9))+$B$7*((1-EXP(-BO105/$B$9))/(BO105/$B$9)-EXP(-BO105/$B$9))+$B$8*((1-EXP(-BO105/$B$10))/(BO105/$B$10)-EXP(-BO105/$B$10)))</f>
        <v>2.2319432529353183E-2</v>
      </c>
      <c r="BP106" s="140">
        <f t="shared" si="394"/>
        <v>2.2463509358355942E-2</v>
      </c>
      <c r="BQ106" s="140">
        <f t="shared" si="394"/>
        <v>2.2606311345305122E-2</v>
      </c>
      <c r="BR106" s="140">
        <f t="shared" si="394"/>
        <v>2.2747856991096698E-2</v>
      </c>
      <c r="BS106" s="140">
        <f t="shared" si="394"/>
        <v>2.2888164131581883E-2</v>
      </c>
      <c r="BT106" s="140">
        <f t="shared" si="394"/>
        <v>2.302724998069795E-2</v>
      </c>
      <c r="BU106" s="140">
        <f t="shared" si="394"/>
        <v>2.31651311700324E-2</v>
      </c>
      <c r="BV106" s="140">
        <f t="shared" si="394"/>
        <v>2.3301823785161314E-2</v>
      </c>
      <c r="BW106" s="140">
        <f t="shared" si="394"/>
        <v>2.3436593724628828E-2</v>
      </c>
      <c r="BX106" s="140">
        <f t="shared" si="394"/>
        <v>2.3570961820457287E-2</v>
      </c>
      <c r="BY106" s="140">
        <f t="shared" si="394"/>
        <v>2.3704186563791762E-2</v>
      </c>
      <c r="BZ106" s="140">
        <f t="shared" si="394"/>
        <v>2.3836282167341384E-2</v>
      </c>
      <c r="CA106" s="140">
        <f t="shared" si="394"/>
        <v>2.396726244058435E-2</v>
      </c>
      <c r="CB106" s="140">
        <f t="shared" si="394"/>
        <v>2.4097140812149635E-2</v>
      </c>
      <c r="CC106" s="17"/>
      <c r="CD106" s="17"/>
      <c r="CE106" s="17"/>
    </row>
    <row r="107" spans="1:83">
      <c r="A107" s="16" t="s">
        <v>44</v>
      </c>
      <c r="B107" s="140">
        <f>EXP(-B106*B105)</f>
        <v>0.99679779751784936</v>
      </c>
      <c r="C107" s="140">
        <f t="shared" ref="C107:AR107" si="395">EXP(-C106*C105)</f>
        <v>0.99212166796489365</v>
      </c>
      <c r="D107" s="140">
        <f t="shared" si="395"/>
        <v>0.98772494275053335</v>
      </c>
      <c r="E107" s="140">
        <f t="shared" si="395"/>
        <v>0.98331654321655781</v>
      </c>
      <c r="F107" s="140">
        <f t="shared" si="395"/>
        <v>0.97870932096305352</v>
      </c>
      <c r="G107" s="140">
        <f t="shared" si="395"/>
        <v>0.97380224142135896</v>
      </c>
      <c r="H107" s="140">
        <f t="shared" si="395"/>
        <v>0.96854948831894938</v>
      </c>
      <c r="I107" s="140">
        <f t="shared" si="395"/>
        <v>0.96293963996215648</v>
      </c>
      <c r="J107" s="140">
        <f t="shared" si="395"/>
        <v>0.95698177197960121</v>
      </c>
      <c r="K107" s="140">
        <f t="shared" si="395"/>
        <v>0.95073210102742922</v>
      </c>
      <c r="L107" s="140">
        <f t="shared" si="395"/>
        <v>0.94414659836664483</v>
      </c>
      <c r="M107" s="140">
        <f t="shared" si="395"/>
        <v>0.93728703800367519</v>
      </c>
      <c r="N107" s="140">
        <f t="shared" si="395"/>
        <v>0.93018081390361707</v>
      </c>
      <c r="O107" s="140">
        <f t="shared" si="395"/>
        <v>0.92285374898502592</v>
      </c>
      <c r="P107" s="140">
        <f t="shared" si="395"/>
        <v>0.91532950451043071</v>
      </c>
      <c r="Q107" s="140">
        <f t="shared" si="395"/>
        <v>0.90762937991542336</v>
      </c>
      <c r="R107" s="140">
        <f t="shared" si="395"/>
        <v>0.89977234490387958</v>
      </c>
      <c r="S107" s="140">
        <f t="shared" si="395"/>
        <v>0.89181998741462454</v>
      </c>
      <c r="T107" s="140">
        <f t="shared" si="395"/>
        <v>0.88369824385717066</v>
      </c>
      <c r="U107" s="140">
        <f t="shared" si="395"/>
        <v>0.8754643236078149</v>
      </c>
      <c r="V107" s="140">
        <f t="shared" si="395"/>
        <v>0.86712991658975935</v>
      </c>
      <c r="W107" s="140">
        <f t="shared" si="395"/>
        <v>0.85870546579106932</v>
      </c>
      <c r="X107" s="140">
        <f t="shared" si="395"/>
        <v>0.85020036383137076</v>
      </c>
      <c r="Y107" s="140">
        <f t="shared" si="395"/>
        <v>0.84162312335474831</v>
      </c>
      <c r="Z107" s="140">
        <f t="shared" si="395"/>
        <v>0.83298152178087392</v>
      </c>
      <c r="AA107" s="140">
        <f t="shared" si="395"/>
        <v>0.82433119460513227</v>
      </c>
      <c r="AB107" s="140">
        <f t="shared" si="395"/>
        <v>0.81558210971679446</v>
      </c>
      <c r="AC107" s="140">
        <f t="shared" si="395"/>
        <v>0.80678865925354759</v>
      </c>
      <c r="AD107" s="140">
        <f t="shared" si="395"/>
        <v>0.79795669558498661</v>
      </c>
      <c r="AE107" s="140">
        <f t="shared" si="395"/>
        <v>0.78909175798365827</v>
      </c>
      <c r="AF107" s="140">
        <f t="shared" si="395"/>
        <v>0.78019911533599484</v>
      </c>
      <c r="AG107" s="140">
        <f t="shared" si="395"/>
        <v>0.7712838001302067</v>
      </c>
      <c r="AH107" s="140">
        <f t="shared" si="395"/>
        <v>0.76235063538590575</v>
      </c>
      <c r="AI107" s="140">
        <f t="shared" si="395"/>
        <v>0.7534539862573969</v>
      </c>
      <c r="AJ107" s="140">
        <f t="shared" si="395"/>
        <v>0.74449889200688035</v>
      </c>
      <c r="AK107" s="140">
        <f t="shared" si="395"/>
        <v>0.73553932795929899</v>
      </c>
      <c r="AL107" s="140">
        <f t="shared" si="395"/>
        <v>0.7265794520550608</v>
      </c>
      <c r="AM107" s="140">
        <f t="shared" si="395"/>
        <v>0.71762328242698126</v>
      </c>
      <c r="AN107" s="140">
        <f t="shared" si="395"/>
        <v>0.70867470386120568</v>
      </c>
      <c r="AO107" s="140">
        <f t="shared" si="395"/>
        <v>0.69973747293948907</v>
      </c>
      <c r="AP107" s="140">
        <f t="shared" si="395"/>
        <v>0.69081522217238667</v>
      </c>
      <c r="AQ107" s="140">
        <f t="shared" si="395"/>
        <v>0.68196087132607064</v>
      </c>
      <c r="AR107" s="140">
        <f t="shared" si="395"/>
        <v>0.6730788676293803</v>
      </c>
      <c r="AS107" s="140">
        <f>EXP(-AS106*AS105)</f>
        <v>0.66422201024790173</v>
      </c>
      <c r="AT107" s="140">
        <f t="shared" ref="AT107:CA107" si="396">EXP(-AT106*AT105)</f>
        <v>0.65539346467575199</v>
      </c>
      <c r="AU107" s="140">
        <f t="shared" si="396"/>
        <v>0.6465962847477934</v>
      </c>
      <c r="AV107" s="140">
        <f t="shared" si="396"/>
        <v>0.63783341432314122</v>
      </c>
      <c r="AW107" s="140">
        <f t="shared" si="396"/>
        <v>0.62910768886726298</v>
      </c>
      <c r="AX107" s="140">
        <f t="shared" si="396"/>
        <v>0.62042183697191322</v>
      </c>
      <c r="AY107" s="140">
        <f t="shared" si="396"/>
        <v>0.61182637841693888</v>
      </c>
      <c r="AZ107" s="140">
        <f t="shared" si="396"/>
        <v>0.60322778248753184</v>
      </c>
      <c r="BA107" s="140">
        <f t="shared" si="396"/>
        <v>0.59467660633468444</v>
      </c>
      <c r="BB107" s="140">
        <f t="shared" si="396"/>
        <v>0.58617516644306167</v>
      </c>
      <c r="BC107" s="140">
        <f t="shared" si="396"/>
        <v>0.57772567987154066</v>
      </c>
      <c r="BD107" s="140">
        <f t="shared" si="396"/>
        <v>0.56933026579862811</v>
      </c>
      <c r="BE107" s="140">
        <f t="shared" si="396"/>
        <v>0.56099094709800423</v>
      </c>
      <c r="BF107" s="140">
        <f t="shared" si="396"/>
        <v>0.55270965194531485</v>
      </c>
      <c r="BG107" s="140">
        <f t="shared" si="396"/>
        <v>0.54453372150902246</v>
      </c>
      <c r="BH107" s="140">
        <f t="shared" si="396"/>
        <v>0.53637354052051434</v>
      </c>
      <c r="BI107" s="140">
        <f t="shared" si="396"/>
        <v>0.52827660700405521</v>
      </c>
      <c r="BJ107" s="140">
        <f t="shared" si="396"/>
        <v>0.52024448750167873</v>
      </c>
      <c r="BK107" s="140">
        <f t="shared" si="396"/>
        <v>0.51227866232283015</v>
      </c>
      <c r="BL107" s="140">
        <f t="shared" si="396"/>
        <v>0.50438052731431726</v>
      </c>
      <c r="BM107" s="140">
        <f t="shared" si="396"/>
        <v>0.49655139564951606</v>
      </c>
      <c r="BN107" s="140">
        <f t="shared" si="396"/>
        <v>0.4887924996341052</v>
      </c>
      <c r="BO107" s="140">
        <f t="shared" si="396"/>
        <v>0.4811475016863459</v>
      </c>
      <c r="BP107" s="140">
        <f t="shared" si="396"/>
        <v>0.47353205410850258</v>
      </c>
      <c r="BQ107" s="140">
        <f t="shared" si="396"/>
        <v>0.46599006678440474</v>
      </c>
      <c r="BR107" s="140">
        <f t="shared" si="396"/>
        <v>0.45852246724491419</v>
      </c>
      <c r="BS107" s="140">
        <f t="shared" si="396"/>
        <v>0.45113011132470582</v>
      </c>
      <c r="BT107" s="140">
        <f t="shared" si="396"/>
        <v>0.44381378501099172</v>
      </c>
      <c r="BU107" s="140">
        <f t="shared" si="396"/>
        <v>0.43657420629066623</v>
      </c>
      <c r="BV107" s="140">
        <f t="shared" si="396"/>
        <v>0.42941202699361058</v>
      </c>
      <c r="BW107" s="140">
        <f t="shared" si="396"/>
        <v>0.42236697483485836</v>
      </c>
      <c r="BX107" s="140">
        <f t="shared" si="396"/>
        <v>0.4153608569088838</v>
      </c>
      <c r="BY107" s="140">
        <f t="shared" si="396"/>
        <v>0.40843371286920938</v>
      </c>
      <c r="BZ107" s="140">
        <f t="shared" si="396"/>
        <v>0.40158594852271734</v>
      </c>
      <c r="CA107" s="140">
        <f t="shared" si="396"/>
        <v>0.39481791259650412</v>
      </c>
      <c r="CB107" s="140">
        <f>EXP(-CB106*CB105)</f>
        <v>0.38812989851664409</v>
      </c>
      <c r="CC107" s="17"/>
      <c r="CD107" s="17"/>
      <c r="CE107" s="17"/>
    </row>
    <row r="108" spans="1:83">
      <c r="A108" s="17"/>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17"/>
      <c r="CD108" s="17"/>
      <c r="CE108" s="17"/>
    </row>
    <row r="109" spans="1:83">
      <c r="A109" s="16" t="s">
        <v>40</v>
      </c>
      <c r="B109" s="140">
        <f t="shared" ref="B109:BM109" si="397">DAYS360($B$3,B40)</f>
        <v>109</v>
      </c>
      <c r="C109" s="140">
        <f t="shared" si="397"/>
        <v>288</v>
      </c>
      <c r="D109" s="140">
        <f t="shared" si="397"/>
        <v>468</v>
      </c>
      <c r="E109" s="140">
        <f t="shared" si="397"/>
        <v>648</v>
      </c>
      <c r="F109" s="140">
        <f t="shared" si="397"/>
        <v>828</v>
      </c>
      <c r="G109" s="140">
        <f t="shared" si="397"/>
        <v>1008</v>
      </c>
      <c r="H109" s="140">
        <f t="shared" si="397"/>
        <v>1188</v>
      </c>
      <c r="I109" s="140">
        <f t="shared" si="397"/>
        <v>1368</v>
      </c>
      <c r="J109" s="140">
        <f t="shared" si="397"/>
        <v>1548</v>
      </c>
      <c r="K109" s="140">
        <f t="shared" si="397"/>
        <v>1727</v>
      </c>
      <c r="L109" s="140">
        <f t="shared" si="397"/>
        <v>1907</v>
      </c>
      <c r="M109" s="140">
        <f t="shared" si="397"/>
        <v>2087</v>
      </c>
      <c r="N109" s="140">
        <f t="shared" si="397"/>
        <v>2267</v>
      </c>
      <c r="O109" s="140">
        <f t="shared" si="397"/>
        <v>2447</v>
      </c>
      <c r="P109" s="140">
        <f t="shared" si="397"/>
        <v>2627</v>
      </c>
      <c r="Q109" s="140">
        <f t="shared" si="397"/>
        <v>2807</v>
      </c>
      <c r="R109" s="140">
        <f t="shared" si="397"/>
        <v>2987</v>
      </c>
      <c r="S109" s="140">
        <f t="shared" si="397"/>
        <v>3166</v>
      </c>
      <c r="T109" s="140">
        <f t="shared" si="397"/>
        <v>3346</v>
      </c>
      <c r="U109" s="140">
        <f t="shared" si="397"/>
        <v>3526</v>
      </c>
      <c r="V109" s="140">
        <f t="shared" si="397"/>
        <v>3706</v>
      </c>
      <c r="W109" s="140">
        <f t="shared" si="397"/>
        <v>3886</v>
      </c>
      <c r="X109" s="140">
        <f t="shared" si="397"/>
        <v>4066</v>
      </c>
      <c r="Y109" s="140">
        <f t="shared" si="397"/>
        <v>4246</v>
      </c>
      <c r="Z109" s="140">
        <f t="shared" si="397"/>
        <v>4426</v>
      </c>
      <c r="AA109" s="140">
        <f t="shared" si="397"/>
        <v>4605</v>
      </c>
      <c r="AB109" s="140">
        <f t="shared" si="397"/>
        <v>4785</v>
      </c>
      <c r="AC109" s="140">
        <f t="shared" si="397"/>
        <v>4965</v>
      </c>
      <c r="AD109" s="140">
        <f t="shared" si="397"/>
        <v>5145</v>
      </c>
      <c r="AE109" s="140">
        <f t="shared" si="397"/>
        <v>5325</v>
      </c>
      <c r="AF109" s="140">
        <f t="shared" si="397"/>
        <v>5505</v>
      </c>
      <c r="AG109" s="140">
        <f t="shared" si="397"/>
        <v>5685</v>
      </c>
      <c r="AH109" s="140">
        <f t="shared" si="397"/>
        <v>5865</v>
      </c>
      <c r="AI109" s="140">
        <f t="shared" si="397"/>
        <v>6044</v>
      </c>
      <c r="AJ109" s="140">
        <f t="shared" si="397"/>
        <v>6224</v>
      </c>
      <c r="AK109" s="140">
        <f t="shared" si="397"/>
        <v>6404</v>
      </c>
      <c r="AL109" s="140">
        <f t="shared" si="397"/>
        <v>6584</v>
      </c>
      <c r="AM109" s="140">
        <f t="shared" si="397"/>
        <v>6764</v>
      </c>
      <c r="AN109" s="140">
        <f t="shared" si="397"/>
        <v>6944</v>
      </c>
      <c r="AO109" s="140">
        <f t="shared" si="397"/>
        <v>7124</v>
      </c>
      <c r="AP109" s="140">
        <f t="shared" si="397"/>
        <v>7304</v>
      </c>
      <c r="AQ109" s="140">
        <f t="shared" si="397"/>
        <v>7483</v>
      </c>
      <c r="AR109" s="140">
        <f t="shared" si="397"/>
        <v>7663</v>
      </c>
      <c r="AS109" s="140">
        <f t="shared" si="397"/>
        <v>7843</v>
      </c>
      <c r="AT109" s="140">
        <f t="shared" si="397"/>
        <v>8023</v>
      </c>
      <c r="AU109" s="140">
        <f t="shared" si="397"/>
        <v>8203</v>
      </c>
      <c r="AV109" s="140">
        <f t="shared" si="397"/>
        <v>8383</v>
      </c>
      <c r="AW109" s="140">
        <f t="shared" si="397"/>
        <v>8563</v>
      </c>
      <c r="AX109" s="140">
        <f t="shared" si="397"/>
        <v>8743</v>
      </c>
      <c r="AY109" s="140">
        <f t="shared" si="397"/>
        <v>8922</v>
      </c>
      <c r="AZ109" s="140">
        <f t="shared" si="397"/>
        <v>9102</v>
      </c>
      <c r="BA109" s="140">
        <f t="shared" si="397"/>
        <v>9282</v>
      </c>
      <c r="BB109" s="140">
        <f t="shared" si="397"/>
        <v>9462</v>
      </c>
      <c r="BC109" s="140">
        <f t="shared" si="397"/>
        <v>9642</v>
      </c>
      <c r="BD109" s="140">
        <f t="shared" si="397"/>
        <v>9822</v>
      </c>
      <c r="BE109" s="140">
        <f t="shared" si="397"/>
        <v>10002</v>
      </c>
      <c r="BF109" s="140">
        <f t="shared" si="397"/>
        <v>10182</v>
      </c>
      <c r="BG109" s="140">
        <f t="shared" si="397"/>
        <v>10361</v>
      </c>
      <c r="BH109" s="140">
        <f t="shared" si="397"/>
        <v>10541</v>
      </c>
      <c r="BI109" s="140">
        <f t="shared" si="397"/>
        <v>10721</v>
      </c>
      <c r="BJ109" s="140">
        <f t="shared" si="397"/>
        <v>10901</v>
      </c>
      <c r="BK109" s="140">
        <f t="shared" si="397"/>
        <v>11081</v>
      </c>
      <c r="BL109" s="140">
        <f t="shared" si="397"/>
        <v>11261</v>
      </c>
      <c r="BM109" s="140">
        <f t="shared" si="397"/>
        <v>11441</v>
      </c>
      <c r="BN109" s="140">
        <f t="shared" ref="BN109:CB109" si="398">DAYS360($B$3,BN40)</f>
        <v>11621</v>
      </c>
      <c r="BO109" s="140">
        <f t="shared" si="398"/>
        <v>11800</v>
      </c>
      <c r="BP109" s="140">
        <f t="shared" si="398"/>
        <v>11980</v>
      </c>
      <c r="BQ109" s="140">
        <f t="shared" si="398"/>
        <v>12160</v>
      </c>
      <c r="BR109" s="140">
        <f t="shared" si="398"/>
        <v>12340</v>
      </c>
      <c r="BS109" s="140">
        <f t="shared" si="398"/>
        <v>12520</v>
      </c>
      <c r="BT109" s="140">
        <f t="shared" si="398"/>
        <v>12700</v>
      </c>
      <c r="BU109" s="140">
        <f t="shared" si="398"/>
        <v>12880</v>
      </c>
      <c r="BV109" s="140">
        <f t="shared" si="398"/>
        <v>13060</v>
      </c>
      <c r="BW109" s="140">
        <f t="shared" si="398"/>
        <v>13239</v>
      </c>
      <c r="BX109" s="140">
        <f t="shared" si="398"/>
        <v>13419</v>
      </c>
      <c r="BY109" s="140">
        <f t="shared" si="398"/>
        <v>13599</v>
      </c>
      <c r="BZ109" s="140">
        <f t="shared" si="398"/>
        <v>13779</v>
      </c>
      <c r="CA109" s="140">
        <f t="shared" si="398"/>
        <v>13959</v>
      </c>
      <c r="CB109" s="140">
        <f t="shared" si="398"/>
        <v>14139</v>
      </c>
      <c r="CC109" s="17"/>
      <c r="CD109" s="17"/>
      <c r="CE109" s="17"/>
    </row>
    <row r="110" spans="1:83">
      <c r="A110" s="16" t="s">
        <v>41</v>
      </c>
      <c r="B110" s="140">
        <f>B109/360</f>
        <v>0.30277777777777776</v>
      </c>
      <c r="C110" s="140">
        <f t="shared" ref="C110:BN110" si="399">C109/360</f>
        <v>0.8</v>
      </c>
      <c r="D110" s="140">
        <f t="shared" si="399"/>
        <v>1.3</v>
      </c>
      <c r="E110" s="140">
        <f t="shared" si="399"/>
        <v>1.8</v>
      </c>
      <c r="F110" s="140">
        <f t="shared" si="399"/>
        <v>2.2999999999999998</v>
      </c>
      <c r="G110" s="140">
        <f t="shared" si="399"/>
        <v>2.8</v>
      </c>
      <c r="H110" s="140">
        <f t="shared" si="399"/>
        <v>3.3</v>
      </c>
      <c r="I110" s="140">
        <f t="shared" si="399"/>
        <v>3.8</v>
      </c>
      <c r="J110" s="140">
        <f t="shared" si="399"/>
        <v>4.3</v>
      </c>
      <c r="K110" s="140">
        <f t="shared" si="399"/>
        <v>4.7972222222222225</v>
      </c>
      <c r="L110" s="140">
        <f t="shared" si="399"/>
        <v>5.2972222222222225</v>
      </c>
      <c r="M110" s="140">
        <f t="shared" si="399"/>
        <v>5.7972222222222225</v>
      </c>
      <c r="N110" s="140">
        <f t="shared" si="399"/>
        <v>6.2972222222222225</v>
      </c>
      <c r="O110" s="140">
        <f t="shared" si="399"/>
        <v>6.7972222222222225</v>
      </c>
      <c r="P110" s="140">
        <f t="shared" si="399"/>
        <v>7.2972222222222225</v>
      </c>
      <c r="Q110" s="140">
        <f t="shared" si="399"/>
        <v>7.7972222222222225</v>
      </c>
      <c r="R110" s="140">
        <f t="shared" si="399"/>
        <v>8.2972222222222225</v>
      </c>
      <c r="S110" s="140">
        <f t="shared" si="399"/>
        <v>8.7944444444444443</v>
      </c>
      <c r="T110" s="140">
        <f t="shared" si="399"/>
        <v>9.2944444444444443</v>
      </c>
      <c r="U110" s="140">
        <f t="shared" si="399"/>
        <v>9.7944444444444443</v>
      </c>
      <c r="V110" s="140">
        <f t="shared" si="399"/>
        <v>10.294444444444444</v>
      </c>
      <c r="W110" s="140">
        <f t="shared" si="399"/>
        <v>10.794444444444444</v>
      </c>
      <c r="X110" s="140">
        <f t="shared" si="399"/>
        <v>11.294444444444444</v>
      </c>
      <c r="Y110" s="140">
        <f t="shared" si="399"/>
        <v>11.794444444444444</v>
      </c>
      <c r="Z110" s="140">
        <f t="shared" si="399"/>
        <v>12.294444444444444</v>
      </c>
      <c r="AA110" s="140">
        <f t="shared" si="399"/>
        <v>12.791666666666666</v>
      </c>
      <c r="AB110" s="140">
        <f t="shared" si="399"/>
        <v>13.291666666666666</v>
      </c>
      <c r="AC110" s="140">
        <f t="shared" si="399"/>
        <v>13.791666666666666</v>
      </c>
      <c r="AD110" s="140">
        <f t="shared" si="399"/>
        <v>14.291666666666666</v>
      </c>
      <c r="AE110" s="140">
        <f t="shared" si="399"/>
        <v>14.791666666666666</v>
      </c>
      <c r="AF110" s="140">
        <f t="shared" si="399"/>
        <v>15.291666666666666</v>
      </c>
      <c r="AG110" s="140">
        <f t="shared" si="399"/>
        <v>15.791666666666666</v>
      </c>
      <c r="AH110" s="140">
        <f t="shared" si="399"/>
        <v>16.291666666666668</v>
      </c>
      <c r="AI110" s="140">
        <f t="shared" si="399"/>
        <v>16.788888888888888</v>
      </c>
      <c r="AJ110" s="140">
        <f t="shared" si="399"/>
        <v>17.288888888888888</v>
      </c>
      <c r="AK110" s="140">
        <f t="shared" si="399"/>
        <v>17.788888888888888</v>
      </c>
      <c r="AL110" s="140">
        <f t="shared" si="399"/>
        <v>18.288888888888888</v>
      </c>
      <c r="AM110" s="140">
        <f t="shared" si="399"/>
        <v>18.788888888888888</v>
      </c>
      <c r="AN110" s="140">
        <f t="shared" si="399"/>
        <v>19.288888888888888</v>
      </c>
      <c r="AO110" s="140">
        <f t="shared" si="399"/>
        <v>19.788888888888888</v>
      </c>
      <c r="AP110" s="140">
        <f t="shared" si="399"/>
        <v>20.288888888888888</v>
      </c>
      <c r="AQ110" s="140">
        <f t="shared" si="399"/>
        <v>20.786111111111111</v>
      </c>
      <c r="AR110" s="140">
        <f t="shared" si="399"/>
        <v>21.286111111111111</v>
      </c>
      <c r="AS110" s="140">
        <f t="shared" si="399"/>
        <v>21.786111111111111</v>
      </c>
      <c r="AT110" s="140">
        <f t="shared" si="399"/>
        <v>22.286111111111111</v>
      </c>
      <c r="AU110" s="140">
        <f t="shared" si="399"/>
        <v>22.786111111111111</v>
      </c>
      <c r="AV110" s="140">
        <f t="shared" si="399"/>
        <v>23.286111111111111</v>
      </c>
      <c r="AW110" s="140">
        <f t="shared" si="399"/>
        <v>23.786111111111111</v>
      </c>
      <c r="AX110" s="140">
        <f t="shared" si="399"/>
        <v>24.286111111111111</v>
      </c>
      <c r="AY110" s="140">
        <f t="shared" si="399"/>
        <v>24.783333333333335</v>
      </c>
      <c r="AZ110" s="140">
        <f t="shared" si="399"/>
        <v>25.283333333333335</v>
      </c>
      <c r="BA110" s="140">
        <f t="shared" si="399"/>
        <v>25.783333333333335</v>
      </c>
      <c r="BB110" s="140">
        <f t="shared" si="399"/>
        <v>26.283333333333335</v>
      </c>
      <c r="BC110" s="140">
        <f t="shared" si="399"/>
        <v>26.783333333333335</v>
      </c>
      <c r="BD110" s="140">
        <f t="shared" si="399"/>
        <v>27.283333333333335</v>
      </c>
      <c r="BE110" s="140">
        <f t="shared" si="399"/>
        <v>27.783333333333335</v>
      </c>
      <c r="BF110" s="140">
        <f t="shared" si="399"/>
        <v>28.283333333333335</v>
      </c>
      <c r="BG110" s="140">
        <f t="shared" si="399"/>
        <v>28.780555555555555</v>
      </c>
      <c r="BH110" s="140">
        <f t="shared" si="399"/>
        <v>29.280555555555555</v>
      </c>
      <c r="BI110" s="140">
        <f t="shared" si="399"/>
        <v>29.780555555555555</v>
      </c>
      <c r="BJ110" s="140">
        <f t="shared" si="399"/>
        <v>30.280555555555555</v>
      </c>
      <c r="BK110" s="140">
        <f t="shared" si="399"/>
        <v>30.780555555555555</v>
      </c>
      <c r="BL110" s="140">
        <f t="shared" si="399"/>
        <v>31.280555555555555</v>
      </c>
      <c r="BM110" s="140">
        <f t="shared" si="399"/>
        <v>31.780555555555555</v>
      </c>
      <c r="BN110" s="140">
        <f t="shared" si="399"/>
        <v>32.280555555555559</v>
      </c>
      <c r="BO110" s="140">
        <f t="shared" ref="BO110:CB110" si="400">BO109/360</f>
        <v>32.777777777777779</v>
      </c>
      <c r="BP110" s="140">
        <f t="shared" si="400"/>
        <v>33.277777777777779</v>
      </c>
      <c r="BQ110" s="140">
        <f t="shared" si="400"/>
        <v>33.777777777777779</v>
      </c>
      <c r="BR110" s="140">
        <f t="shared" si="400"/>
        <v>34.277777777777779</v>
      </c>
      <c r="BS110" s="140">
        <f t="shared" si="400"/>
        <v>34.777777777777779</v>
      </c>
      <c r="BT110" s="140">
        <f t="shared" si="400"/>
        <v>35.277777777777779</v>
      </c>
      <c r="BU110" s="140">
        <f t="shared" si="400"/>
        <v>35.777777777777779</v>
      </c>
      <c r="BV110" s="140">
        <f t="shared" si="400"/>
        <v>36.277777777777779</v>
      </c>
      <c r="BW110" s="140">
        <f t="shared" si="400"/>
        <v>36.774999999999999</v>
      </c>
      <c r="BX110" s="140">
        <f t="shared" si="400"/>
        <v>37.274999999999999</v>
      </c>
      <c r="BY110" s="140">
        <f t="shared" si="400"/>
        <v>37.774999999999999</v>
      </c>
      <c r="BZ110" s="140">
        <f t="shared" si="400"/>
        <v>38.274999999999999</v>
      </c>
      <c r="CA110" s="140">
        <f t="shared" si="400"/>
        <v>38.774999999999999</v>
      </c>
      <c r="CB110" s="140">
        <f t="shared" si="400"/>
        <v>39.274999999999999</v>
      </c>
      <c r="CC110" s="17"/>
      <c r="CD110" s="17"/>
      <c r="CE110" s="17"/>
    </row>
    <row r="111" spans="1:83">
      <c r="A111" s="16" t="s">
        <v>43</v>
      </c>
      <c r="B111" s="140">
        <f>IF(B109&lt;0,0,$B$5+$B$6*((1-EXP(-B110/$B$9))/(B110/$B$9))+$B$7*((1-EXP(-B110/$B$9))/(B110/$B$9)-EXP(-B110/$B$9))+$B$8*((1-EXP(-B110/$B$10))/(B110/$B$10)-EXP(-B110/$B$10)))</f>
        <v>1.0593051206230915E-2</v>
      </c>
      <c r="C111" s="140">
        <f t="shared" ref="C111:BN111" si="401">IF(C109&lt;0,0,$B$5+$B$6*((1-EXP(-C110/$B$9))/(C110/$B$9))+$B$7*((1-EXP(-C110/$B$9))/(C110/$B$9)-EXP(-C110/$B$9))+$B$8*((1-EXP(-C110/$B$10))/(C110/$B$10)-EXP(-C110/$B$10)))</f>
        <v>9.8869125748729629E-3</v>
      </c>
      <c r="D111" s="140">
        <f t="shared" si="401"/>
        <v>9.5007830922842571E-3</v>
      </c>
      <c r="E111" s="140">
        <f t="shared" si="401"/>
        <v>9.3467739762119143E-3</v>
      </c>
      <c r="F111" s="140">
        <f t="shared" si="401"/>
        <v>9.3567803370807924E-3</v>
      </c>
      <c r="G111" s="140">
        <f t="shared" si="401"/>
        <v>9.4810833962820588E-3</v>
      </c>
      <c r="H111" s="140">
        <f t="shared" si="401"/>
        <v>9.6835453144392142E-3</v>
      </c>
      <c r="I111" s="140">
        <f t="shared" si="401"/>
        <v>9.9380390303831605E-3</v>
      </c>
      <c r="J111" s="140">
        <f t="shared" si="401"/>
        <v>1.0225798779962558E-2</v>
      </c>
      <c r="K111" s="140">
        <f t="shared" si="401"/>
        <v>1.0531711096881108E-2</v>
      </c>
      <c r="L111" s="140">
        <f t="shared" si="401"/>
        <v>1.0849805351304856E-2</v>
      </c>
      <c r="M111" s="140">
        <f t="shared" si="401"/>
        <v>1.1171851607943012E-2</v>
      </c>
      <c r="N111" s="140">
        <f t="shared" si="401"/>
        <v>1.1493367333450657E-2</v>
      </c>
      <c r="O111" s="140">
        <f t="shared" si="401"/>
        <v>1.1811370323526497E-2</v>
      </c>
      <c r="P111" s="140">
        <f t="shared" si="401"/>
        <v>1.2123950952693675E-2</v>
      </c>
      <c r="Q111" s="140">
        <f t="shared" si="401"/>
        <v>1.2429959393585092E-2</v>
      </c>
      <c r="R111" s="140">
        <f t="shared" si="401"/>
        <v>1.2728777768424626E-2</v>
      </c>
      <c r="S111" s="140">
        <f t="shared" si="401"/>
        <v>1.3018556808501053E-2</v>
      </c>
      <c r="T111" s="140">
        <f t="shared" si="401"/>
        <v>1.330253017923807E-2</v>
      </c>
      <c r="U111" s="140">
        <f t="shared" si="401"/>
        <v>1.3579216113277497E-2</v>
      </c>
      <c r="V111" s="140">
        <f t="shared" si="401"/>
        <v>1.3848874319784453E-2</v>
      </c>
      <c r="W111" s="140">
        <f t="shared" si="401"/>
        <v>1.4111823625118642E-2</v>
      </c>
      <c r="X111" s="140">
        <f t="shared" si="401"/>
        <v>1.4368412357028106E-2</v>
      </c>
      <c r="Y111" s="140">
        <f t="shared" si="401"/>
        <v>1.4618998183361409E-2</v>
      </c>
      <c r="Z111" s="140">
        <f t="shared" si="401"/>
        <v>1.4863934732728651E-2</v>
      </c>
      <c r="AA111" s="140">
        <f t="shared" si="401"/>
        <v>1.5102245833999495E-2</v>
      </c>
      <c r="AB111" s="140">
        <f t="shared" si="401"/>
        <v>1.5336916035731516E-2</v>
      </c>
      <c r="AC111" s="140">
        <f t="shared" si="401"/>
        <v>1.5566902437758528E-2</v>
      </c>
      <c r="AD111" s="140">
        <f t="shared" si="401"/>
        <v>1.5792486240631013E-2</v>
      </c>
      <c r="AE111" s="140">
        <f t="shared" si="401"/>
        <v>1.6013926873754258E-2</v>
      </c>
      <c r="AF111" s="140">
        <f t="shared" si="401"/>
        <v>1.6231462613892345E-2</v>
      </c>
      <c r="AG111" s="140">
        <f t="shared" si="401"/>
        <v>1.644531163659264E-2</v>
      </c>
      <c r="AH111" s="140">
        <f t="shared" si="401"/>
        <v>1.6655673311976583E-2</v>
      </c>
      <c r="AI111" s="140">
        <f t="shared" si="401"/>
        <v>1.686158812132901E-2</v>
      </c>
      <c r="AJ111" s="140">
        <f t="shared" si="401"/>
        <v>1.7065522081450929E-2</v>
      </c>
      <c r="AK111" s="140">
        <f t="shared" si="401"/>
        <v>1.7266467357006678E-2</v>
      </c>
      <c r="AL111" s="140">
        <f t="shared" si="401"/>
        <v>1.7464562287972933E-2</v>
      </c>
      <c r="AM111" s="140">
        <f t="shared" si="401"/>
        <v>1.765993326547597E-2</v>
      </c>
      <c r="AN111" s="140">
        <f t="shared" si="401"/>
        <v>1.7852695896886119E-2</v>
      </c>
      <c r="AO111" s="140">
        <f t="shared" si="401"/>
        <v>1.8042956072266816E-2</v>
      </c>
      <c r="AP111" s="140">
        <f t="shared" si="401"/>
        <v>1.8230810933369781E-2</v>
      </c>
      <c r="AQ111" s="140">
        <f t="shared" si="401"/>
        <v>1.8415325221761265E-2</v>
      </c>
      <c r="AR111" s="140">
        <f t="shared" si="401"/>
        <v>1.8598642372028698E-2</v>
      </c>
      <c r="AS111" s="140">
        <f t="shared" si="401"/>
        <v>1.8779801063141085E-2</v>
      </c>
      <c r="AT111" s="140">
        <f t="shared" si="401"/>
        <v>1.8958871386999757E-2</v>
      </c>
      <c r="AU111" s="140">
        <f t="shared" si="401"/>
        <v>1.9135918253396684E-2</v>
      </c>
      <c r="AV111" s="140">
        <f t="shared" si="401"/>
        <v>1.9311001895610136E-2</v>
      </c>
      <c r="AW111" s="140">
        <f t="shared" si="401"/>
        <v>1.9484178321740171E-2</v>
      </c>
      <c r="AX111" s="140">
        <f t="shared" si="401"/>
        <v>1.9655499717568442E-2</v>
      </c>
      <c r="AY111" s="140">
        <f t="shared" si="401"/>
        <v>1.9824077960300796E-2</v>
      </c>
      <c r="AZ111" s="140">
        <f t="shared" si="401"/>
        <v>1.9991841984779202E-2</v>
      </c>
      <c r="BA111" s="140">
        <f t="shared" si="401"/>
        <v>2.015788778131649E-2</v>
      </c>
      <c r="BB111" s="140">
        <f t="shared" si="401"/>
        <v>2.0322255493759524E-2</v>
      </c>
      <c r="BC111" s="140">
        <f t="shared" si="401"/>
        <v>2.0484982897353451E-2</v>
      </c>
      <c r="BD111" s="140">
        <f t="shared" si="401"/>
        <v>2.0646105605049463E-2</v>
      </c>
      <c r="BE111" s="140">
        <f t="shared" si="401"/>
        <v>2.080565725266411E-2</v>
      </c>
      <c r="BF111" s="140">
        <f t="shared" si="401"/>
        <v>2.0963669665268008E-2</v>
      </c>
      <c r="BG111" s="140">
        <f t="shared" si="401"/>
        <v>2.111930765920882E-2</v>
      </c>
      <c r="BH111" s="140">
        <f t="shared" si="401"/>
        <v>2.1274338715945536E-2</v>
      </c>
      <c r="BI111" s="140">
        <f t="shared" si="401"/>
        <v>2.142791642551508E-2</v>
      </c>
      <c r="BJ111" s="140">
        <f t="shared" si="401"/>
        <v>2.1580066733907239E-2</v>
      </c>
      <c r="BK111" s="140">
        <f t="shared" si="401"/>
        <v>2.173081439167392E-2</v>
      </c>
      <c r="BL111" s="140">
        <f t="shared" si="401"/>
        <v>2.1880183044151572E-2</v>
      </c>
      <c r="BM111" s="140">
        <f t="shared" si="401"/>
        <v>2.2028195313329824E-2</v>
      </c>
      <c r="BN111" s="140">
        <f t="shared" si="401"/>
        <v>2.2174872872245115E-2</v>
      </c>
      <c r="BO111" s="140">
        <f t="shared" ref="BO111:CB111" si="402">IF(BO109&lt;0,0,$B$5+$B$6*((1-EXP(-BO110/$B$9))/(BO110/$B$9))+$B$7*((1-EXP(-BO110/$B$9))/(BO110/$B$9)-EXP(-BO110/$B$9))+$B$8*((1-EXP(-BO110/$B$10))/(BO110/$B$10)-EXP(-BO110/$B$10)))</f>
        <v>2.2319432529353183E-2</v>
      </c>
      <c r="BP111" s="140">
        <f t="shared" si="402"/>
        <v>2.2463509358355942E-2</v>
      </c>
      <c r="BQ111" s="140">
        <f t="shared" si="402"/>
        <v>2.2606311345305122E-2</v>
      </c>
      <c r="BR111" s="140">
        <f t="shared" si="402"/>
        <v>2.2747856991096698E-2</v>
      </c>
      <c r="BS111" s="140">
        <f t="shared" si="402"/>
        <v>2.2888164131581883E-2</v>
      </c>
      <c r="BT111" s="140">
        <f t="shared" si="402"/>
        <v>2.302724998069795E-2</v>
      </c>
      <c r="BU111" s="140">
        <f t="shared" si="402"/>
        <v>2.31651311700324E-2</v>
      </c>
      <c r="BV111" s="140">
        <f t="shared" si="402"/>
        <v>2.3301823785161314E-2</v>
      </c>
      <c r="BW111" s="140">
        <f t="shared" si="402"/>
        <v>2.3436593724628828E-2</v>
      </c>
      <c r="BX111" s="140">
        <f t="shared" si="402"/>
        <v>2.3570961820457287E-2</v>
      </c>
      <c r="BY111" s="140">
        <f t="shared" si="402"/>
        <v>2.3704186563791762E-2</v>
      </c>
      <c r="BZ111" s="140">
        <f t="shared" si="402"/>
        <v>2.3836282167341384E-2</v>
      </c>
      <c r="CA111" s="140">
        <f t="shared" si="402"/>
        <v>2.396726244058435E-2</v>
      </c>
      <c r="CB111" s="140">
        <f t="shared" si="402"/>
        <v>2.4097140812149635E-2</v>
      </c>
      <c r="CC111" s="17"/>
      <c r="CD111" s="17"/>
      <c r="CE111" s="17"/>
    </row>
    <row r="112" spans="1:83">
      <c r="A112" s="16" t="s">
        <v>44</v>
      </c>
      <c r="B112" s="140">
        <f>EXP(-B111*B110)</f>
        <v>0.99679779751784936</v>
      </c>
      <c r="C112" s="140">
        <f t="shared" ref="C112:AR112" si="403">EXP(-C111*C110)</f>
        <v>0.99212166796489365</v>
      </c>
      <c r="D112" s="140">
        <f t="shared" si="403"/>
        <v>0.98772494275053335</v>
      </c>
      <c r="E112" s="140">
        <f t="shared" si="403"/>
        <v>0.98331654321655781</v>
      </c>
      <c r="F112" s="140">
        <f t="shared" si="403"/>
        <v>0.97870932096305352</v>
      </c>
      <c r="G112" s="140">
        <f t="shared" si="403"/>
        <v>0.97380224142135896</v>
      </c>
      <c r="H112" s="140">
        <f t="shared" si="403"/>
        <v>0.96854948831894938</v>
      </c>
      <c r="I112" s="140">
        <f t="shared" si="403"/>
        <v>0.96293963996215648</v>
      </c>
      <c r="J112" s="140">
        <f t="shared" si="403"/>
        <v>0.95698177197960121</v>
      </c>
      <c r="K112" s="140">
        <f t="shared" si="403"/>
        <v>0.95073210102742922</v>
      </c>
      <c r="L112" s="140">
        <f t="shared" si="403"/>
        <v>0.94414659836664483</v>
      </c>
      <c r="M112" s="140">
        <f t="shared" si="403"/>
        <v>0.93728703800367519</v>
      </c>
      <c r="N112" s="140">
        <f t="shared" si="403"/>
        <v>0.93018081390361707</v>
      </c>
      <c r="O112" s="140">
        <f t="shared" si="403"/>
        <v>0.92285374898502592</v>
      </c>
      <c r="P112" s="140">
        <f t="shared" si="403"/>
        <v>0.91532950451043071</v>
      </c>
      <c r="Q112" s="140">
        <f t="shared" si="403"/>
        <v>0.90762937991542336</v>
      </c>
      <c r="R112" s="140">
        <f t="shared" si="403"/>
        <v>0.89977234490387958</v>
      </c>
      <c r="S112" s="140">
        <f t="shared" si="403"/>
        <v>0.89181998741462454</v>
      </c>
      <c r="T112" s="140">
        <f t="shared" si="403"/>
        <v>0.88369824385717066</v>
      </c>
      <c r="U112" s="140">
        <f t="shared" si="403"/>
        <v>0.8754643236078149</v>
      </c>
      <c r="V112" s="140">
        <f t="shared" si="403"/>
        <v>0.86712991658975935</v>
      </c>
      <c r="W112" s="140">
        <f t="shared" si="403"/>
        <v>0.85870546579106932</v>
      </c>
      <c r="X112" s="140">
        <f t="shared" si="403"/>
        <v>0.85020036383137076</v>
      </c>
      <c r="Y112" s="140">
        <f t="shared" si="403"/>
        <v>0.84162312335474831</v>
      </c>
      <c r="Z112" s="140">
        <f t="shared" si="403"/>
        <v>0.83298152178087392</v>
      </c>
      <c r="AA112" s="140">
        <f t="shared" si="403"/>
        <v>0.82433119460513227</v>
      </c>
      <c r="AB112" s="140">
        <f t="shared" si="403"/>
        <v>0.81558210971679446</v>
      </c>
      <c r="AC112" s="140">
        <f t="shared" si="403"/>
        <v>0.80678865925354759</v>
      </c>
      <c r="AD112" s="140">
        <f t="shared" si="403"/>
        <v>0.79795669558498661</v>
      </c>
      <c r="AE112" s="140">
        <f t="shared" si="403"/>
        <v>0.78909175798365827</v>
      </c>
      <c r="AF112" s="140">
        <f t="shared" si="403"/>
        <v>0.78019911533599484</v>
      </c>
      <c r="AG112" s="140">
        <f t="shared" si="403"/>
        <v>0.7712838001302067</v>
      </c>
      <c r="AH112" s="140">
        <f t="shared" si="403"/>
        <v>0.76235063538590575</v>
      </c>
      <c r="AI112" s="140">
        <f t="shared" si="403"/>
        <v>0.7534539862573969</v>
      </c>
      <c r="AJ112" s="140">
        <f t="shared" si="403"/>
        <v>0.74449889200688035</v>
      </c>
      <c r="AK112" s="140">
        <f t="shared" si="403"/>
        <v>0.73553932795929899</v>
      </c>
      <c r="AL112" s="140">
        <f t="shared" si="403"/>
        <v>0.7265794520550608</v>
      </c>
      <c r="AM112" s="140">
        <f t="shared" si="403"/>
        <v>0.71762328242698126</v>
      </c>
      <c r="AN112" s="140">
        <f t="shared" si="403"/>
        <v>0.70867470386120568</v>
      </c>
      <c r="AO112" s="140">
        <f t="shared" si="403"/>
        <v>0.69973747293948907</v>
      </c>
      <c r="AP112" s="140">
        <f t="shared" si="403"/>
        <v>0.69081522217238667</v>
      </c>
      <c r="AQ112" s="140">
        <f t="shared" si="403"/>
        <v>0.68196087132607064</v>
      </c>
      <c r="AR112" s="140">
        <f t="shared" si="403"/>
        <v>0.6730788676293803</v>
      </c>
      <c r="AS112" s="140">
        <f>EXP(-AS111*AS110)</f>
        <v>0.66422201024790173</v>
      </c>
      <c r="AT112" s="140">
        <f t="shared" ref="AT112:CA112" si="404">EXP(-AT111*AT110)</f>
        <v>0.65539346467575199</v>
      </c>
      <c r="AU112" s="140">
        <f t="shared" si="404"/>
        <v>0.6465962847477934</v>
      </c>
      <c r="AV112" s="140">
        <f t="shared" si="404"/>
        <v>0.63783341432314122</v>
      </c>
      <c r="AW112" s="140">
        <f t="shared" si="404"/>
        <v>0.62910768886726298</v>
      </c>
      <c r="AX112" s="140">
        <f t="shared" si="404"/>
        <v>0.62042183697191322</v>
      </c>
      <c r="AY112" s="140">
        <f t="shared" si="404"/>
        <v>0.61182637841693888</v>
      </c>
      <c r="AZ112" s="140">
        <f t="shared" si="404"/>
        <v>0.60322778248753184</v>
      </c>
      <c r="BA112" s="140">
        <f t="shared" si="404"/>
        <v>0.59467660633468444</v>
      </c>
      <c r="BB112" s="140">
        <f t="shared" si="404"/>
        <v>0.58617516644306167</v>
      </c>
      <c r="BC112" s="140">
        <f t="shared" si="404"/>
        <v>0.57772567987154066</v>
      </c>
      <c r="BD112" s="140">
        <f t="shared" si="404"/>
        <v>0.56933026579862811</v>
      </c>
      <c r="BE112" s="140">
        <f t="shared" si="404"/>
        <v>0.56099094709800423</v>
      </c>
      <c r="BF112" s="140">
        <f t="shared" si="404"/>
        <v>0.55270965194531485</v>
      </c>
      <c r="BG112" s="140">
        <f t="shared" si="404"/>
        <v>0.54453372150902246</v>
      </c>
      <c r="BH112" s="140">
        <f t="shared" si="404"/>
        <v>0.53637354052051434</v>
      </c>
      <c r="BI112" s="140">
        <f t="shared" si="404"/>
        <v>0.52827660700405521</v>
      </c>
      <c r="BJ112" s="140">
        <f t="shared" si="404"/>
        <v>0.52024448750167873</v>
      </c>
      <c r="BK112" s="140">
        <f t="shared" si="404"/>
        <v>0.51227866232283015</v>
      </c>
      <c r="BL112" s="140">
        <f t="shared" si="404"/>
        <v>0.50438052731431726</v>
      </c>
      <c r="BM112" s="140">
        <f t="shared" si="404"/>
        <v>0.49655139564951606</v>
      </c>
      <c r="BN112" s="140">
        <f t="shared" si="404"/>
        <v>0.4887924996341052</v>
      </c>
      <c r="BO112" s="140">
        <f t="shared" si="404"/>
        <v>0.4811475016863459</v>
      </c>
      <c r="BP112" s="140">
        <f t="shared" si="404"/>
        <v>0.47353205410850258</v>
      </c>
      <c r="BQ112" s="140">
        <f t="shared" si="404"/>
        <v>0.46599006678440474</v>
      </c>
      <c r="BR112" s="140">
        <f t="shared" si="404"/>
        <v>0.45852246724491419</v>
      </c>
      <c r="BS112" s="140">
        <f t="shared" si="404"/>
        <v>0.45113011132470582</v>
      </c>
      <c r="BT112" s="140">
        <f t="shared" si="404"/>
        <v>0.44381378501099172</v>
      </c>
      <c r="BU112" s="140">
        <f t="shared" si="404"/>
        <v>0.43657420629066623</v>
      </c>
      <c r="BV112" s="140">
        <f t="shared" si="404"/>
        <v>0.42941202699361058</v>
      </c>
      <c r="BW112" s="140">
        <f t="shared" si="404"/>
        <v>0.42236697483485836</v>
      </c>
      <c r="BX112" s="140">
        <f t="shared" si="404"/>
        <v>0.4153608569088838</v>
      </c>
      <c r="BY112" s="140">
        <f t="shared" si="404"/>
        <v>0.40843371286920938</v>
      </c>
      <c r="BZ112" s="140">
        <f t="shared" si="404"/>
        <v>0.40158594852271734</v>
      </c>
      <c r="CA112" s="140">
        <f t="shared" si="404"/>
        <v>0.39481791259650412</v>
      </c>
      <c r="CB112" s="140">
        <f>EXP(-CB111*CB110)</f>
        <v>0.38812989851664409</v>
      </c>
      <c r="CC112" s="17"/>
      <c r="CD112" s="17"/>
      <c r="CE112" s="17"/>
    </row>
    <row r="113" spans="1:83">
      <c r="A113" s="17"/>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17"/>
      <c r="CD113" s="17"/>
      <c r="CE113" s="17"/>
    </row>
    <row r="114" spans="1:83">
      <c r="A114" s="16" t="s">
        <v>40</v>
      </c>
      <c r="B114" s="140">
        <f t="shared" ref="B114:BM114" si="405">DAYS360($B$3,B42)</f>
        <v>109</v>
      </c>
      <c r="C114" s="140">
        <f t="shared" si="405"/>
        <v>288</v>
      </c>
      <c r="D114" s="140">
        <f t="shared" si="405"/>
        <v>468</v>
      </c>
      <c r="E114" s="140">
        <f t="shared" si="405"/>
        <v>648</v>
      </c>
      <c r="F114" s="140">
        <f t="shared" si="405"/>
        <v>828</v>
      </c>
      <c r="G114" s="140">
        <f t="shared" si="405"/>
        <v>1008</v>
      </c>
      <c r="H114" s="140">
        <f t="shared" si="405"/>
        <v>1188</v>
      </c>
      <c r="I114" s="140">
        <f t="shared" si="405"/>
        <v>1368</v>
      </c>
      <c r="J114" s="140">
        <f t="shared" si="405"/>
        <v>1548</v>
      </c>
      <c r="K114" s="140">
        <f t="shared" si="405"/>
        <v>1727</v>
      </c>
      <c r="L114" s="140">
        <f t="shared" si="405"/>
        <v>1907</v>
      </c>
      <c r="M114" s="140">
        <f t="shared" si="405"/>
        <v>2087</v>
      </c>
      <c r="N114" s="140">
        <f t="shared" si="405"/>
        <v>2267</v>
      </c>
      <c r="O114" s="140">
        <f t="shared" si="405"/>
        <v>2447</v>
      </c>
      <c r="P114" s="140">
        <f t="shared" si="405"/>
        <v>2627</v>
      </c>
      <c r="Q114" s="140">
        <f t="shared" si="405"/>
        <v>2807</v>
      </c>
      <c r="R114" s="140">
        <f t="shared" si="405"/>
        <v>2987</v>
      </c>
      <c r="S114" s="140">
        <f t="shared" si="405"/>
        <v>3166</v>
      </c>
      <c r="T114" s="140">
        <f t="shared" si="405"/>
        <v>3346</v>
      </c>
      <c r="U114" s="140">
        <f t="shared" si="405"/>
        <v>3526</v>
      </c>
      <c r="V114" s="140">
        <f t="shared" si="405"/>
        <v>3706</v>
      </c>
      <c r="W114" s="140">
        <f t="shared" si="405"/>
        <v>3886</v>
      </c>
      <c r="X114" s="140">
        <f t="shared" si="405"/>
        <v>4066</v>
      </c>
      <c r="Y114" s="140">
        <f t="shared" si="405"/>
        <v>4246</v>
      </c>
      <c r="Z114" s="140">
        <f t="shared" si="405"/>
        <v>4426</v>
      </c>
      <c r="AA114" s="140">
        <f t="shared" si="405"/>
        <v>4605</v>
      </c>
      <c r="AB114" s="140">
        <f t="shared" si="405"/>
        <v>4785</v>
      </c>
      <c r="AC114" s="140">
        <f t="shared" si="405"/>
        <v>4965</v>
      </c>
      <c r="AD114" s="140">
        <f t="shared" si="405"/>
        <v>5145</v>
      </c>
      <c r="AE114" s="140">
        <f t="shared" si="405"/>
        <v>5325</v>
      </c>
      <c r="AF114" s="140">
        <f t="shared" si="405"/>
        <v>5505</v>
      </c>
      <c r="AG114" s="140">
        <f t="shared" si="405"/>
        <v>5685</v>
      </c>
      <c r="AH114" s="140">
        <f t="shared" si="405"/>
        <v>5865</v>
      </c>
      <c r="AI114" s="140">
        <f t="shared" si="405"/>
        <v>6044</v>
      </c>
      <c r="AJ114" s="140">
        <f t="shared" si="405"/>
        <v>6224</v>
      </c>
      <c r="AK114" s="140">
        <f t="shared" si="405"/>
        <v>6404</v>
      </c>
      <c r="AL114" s="140">
        <f t="shared" si="405"/>
        <v>6584</v>
      </c>
      <c r="AM114" s="140">
        <f t="shared" si="405"/>
        <v>6764</v>
      </c>
      <c r="AN114" s="140">
        <f t="shared" si="405"/>
        <v>6944</v>
      </c>
      <c r="AO114" s="140">
        <f t="shared" si="405"/>
        <v>7124</v>
      </c>
      <c r="AP114" s="140">
        <f t="shared" si="405"/>
        <v>7304</v>
      </c>
      <c r="AQ114" s="140">
        <f t="shared" si="405"/>
        <v>7483</v>
      </c>
      <c r="AR114" s="140">
        <f t="shared" si="405"/>
        <v>7663</v>
      </c>
      <c r="AS114" s="140">
        <f t="shared" si="405"/>
        <v>7843</v>
      </c>
      <c r="AT114" s="140">
        <f t="shared" si="405"/>
        <v>8023</v>
      </c>
      <c r="AU114" s="140">
        <f t="shared" si="405"/>
        <v>8203</v>
      </c>
      <c r="AV114" s="140">
        <f t="shared" si="405"/>
        <v>8383</v>
      </c>
      <c r="AW114" s="140">
        <f t="shared" si="405"/>
        <v>8563</v>
      </c>
      <c r="AX114" s="140">
        <f t="shared" si="405"/>
        <v>8743</v>
      </c>
      <c r="AY114" s="140">
        <f t="shared" si="405"/>
        <v>8922</v>
      </c>
      <c r="AZ114" s="140">
        <f t="shared" si="405"/>
        <v>9102</v>
      </c>
      <c r="BA114" s="140">
        <f t="shared" si="405"/>
        <v>9282</v>
      </c>
      <c r="BB114" s="140">
        <f t="shared" si="405"/>
        <v>9462</v>
      </c>
      <c r="BC114" s="140">
        <f t="shared" si="405"/>
        <v>9642</v>
      </c>
      <c r="BD114" s="140">
        <f t="shared" si="405"/>
        <v>9822</v>
      </c>
      <c r="BE114" s="140">
        <f t="shared" si="405"/>
        <v>10002</v>
      </c>
      <c r="BF114" s="140">
        <f t="shared" si="405"/>
        <v>10182</v>
      </c>
      <c r="BG114" s="140">
        <f t="shared" si="405"/>
        <v>10361</v>
      </c>
      <c r="BH114" s="140">
        <f t="shared" si="405"/>
        <v>10541</v>
      </c>
      <c r="BI114" s="140">
        <f t="shared" si="405"/>
        <v>10721</v>
      </c>
      <c r="BJ114" s="140">
        <f t="shared" si="405"/>
        <v>10901</v>
      </c>
      <c r="BK114" s="140">
        <f t="shared" si="405"/>
        <v>11081</v>
      </c>
      <c r="BL114" s="140">
        <f t="shared" si="405"/>
        <v>11261</v>
      </c>
      <c r="BM114" s="140">
        <f t="shared" si="405"/>
        <v>11441</v>
      </c>
      <c r="BN114" s="140">
        <f t="shared" ref="BN114:CB114" si="406">DAYS360($B$3,BN42)</f>
        <v>11621</v>
      </c>
      <c r="BO114" s="140">
        <f t="shared" si="406"/>
        <v>11800</v>
      </c>
      <c r="BP114" s="140">
        <f t="shared" si="406"/>
        <v>11980</v>
      </c>
      <c r="BQ114" s="140">
        <f t="shared" si="406"/>
        <v>12160</v>
      </c>
      <c r="BR114" s="140">
        <f t="shared" si="406"/>
        <v>12340</v>
      </c>
      <c r="BS114" s="140">
        <f t="shared" si="406"/>
        <v>12520</v>
      </c>
      <c r="BT114" s="140">
        <f t="shared" si="406"/>
        <v>12700</v>
      </c>
      <c r="BU114" s="140">
        <f t="shared" si="406"/>
        <v>12880</v>
      </c>
      <c r="BV114" s="140">
        <f t="shared" si="406"/>
        <v>13060</v>
      </c>
      <c r="BW114" s="140">
        <f t="shared" si="406"/>
        <v>13239</v>
      </c>
      <c r="BX114" s="140">
        <f t="shared" si="406"/>
        <v>13419</v>
      </c>
      <c r="BY114" s="140">
        <f t="shared" si="406"/>
        <v>13599</v>
      </c>
      <c r="BZ114" s="140">
        <f t="shared" si="406"/>
        <v>13779</v>
      </c>
      <c r="CA114" s="140">
        <f t="shared" si="406"/>
        <v>13959</v>
      </c>
      <c r="CB114" s="140">
        <f t="shared" si="406"/>
        <v>14139</v>
      </c>
      <c r="CC114" s="17"/>
      <c r="CD114" s="17"/>
      <c r="CE114" s="17"/>
    </row>
    <row r="115" spans="1:83">
      <c r="A115" s="16" t="s">
        <v>41</v>
      </c>
      <c r="B115" s="140">
        <f>B114/360</f>
        <v>0.30277777777777776</v>
      </c>
      <c r="C115" s="140">
        <f t="shared" ref="C115:BN115" si="407">C114/360</f>
        <v>0.8</v>
      </c>
      <c r="D115" s="140">
        <f t="shared" si="407"/>
        <v>1.3</v>
      </c>
      <c r="E115" s="140">
        <f t="shared" si="407"/>
        <v>1.8</v>
      </c>
      <c r="F115" s="140">
        <f t="shared" si="407"/>
        <v>2.2999999999999998</v>
      </c>
      <c r="G115" s="140">
        <f t="shared" si="407"/>
        <v>2.8</v>
      </c>
      <c r="H115" s="140">
        <f t="shared" si="407"/>
        <v>3.3</v>
      </c>
      <c r="I115" s="140">
        <f t="shared" si="407"/>
        <v>3.8</v>
      </c>
      <c r="J115" s="140">
        <f t="shared" si="407"/>
        <v>4.3</v>
      </c>
      <c r="K115" s="140">
        <f t="shared" si="407"/>
        <v>4.7972222222222225</v>
      </c>
      <c r="L115" s="140">
        <f t="shared" si="407"/>
        <v>5.2972222222222225</v>
      </c>
      <c r="M115" s="140">
        <f t="shared" si="407"/>
        <v>5.7972222222222225</v>
      </c>
      <c r="N115" s="140">
        <f t="shared" si="407"/>
        <v>6.2972222222222225</v>
      </c>
      <c r="O115" s="140">
        <f t="shared" si="407"/>
        <v>6.7972222222222225</v>
      </c>
      <c r="P115" s="140">
        <f t="shared" si="407"/>
        <v>7.2972222222222225</v>
      </c>
      <c r="Q115" s="140">
        <f t="shared" si="407"/>
        <v>7.7972222222222225</v>
      </c>
      <c r="R115" s="140">
        <f t="shared" si="407"/>
        <v>8.2972222222222225</v>
      </c>
      <c r="S115" s="140">
        <f t="shared" si="407"/>
        <v>8.7944444444444443</v>
      </c>
      <c r="T115" s="140">
        <f t="shared" si="407"/>
        <v>9.2944444444444443</v>
      </c>
      <c r="U115" s="140">
        <f t="shared" si="407"/>
        <v>9.7944444444444443</v>
      </c>
      <c r="V115" s="140">
        <f t="shared" si="407"/>
        <v>10.294444444444444</v>
      </c>
      <c r="W115" s="140">
        <f t="shared" si="407"/>
        <v>10.794444444444444</v>
      </c>
      <c r="X115" s="140">
        <f t="shared" si="407"/>
        <v>11.294444444444444</v>
      </c>
      <c r="Y115" s="140">
        <f t="shared" si="407"/>
        <v>11.794444444444444</v>
      </c>
      <c r="Z115" s="140">
        <f t="shared" si="407"/>
        <v>12.294444444444444</v>
      </c>
      <c r="AA115" s="140">
        <f t="shared" si="407"/>
        <v>12.791666666666666</v>
      </c>
      <c r="AB115" s="140">
        <f t="shared" si="407"/>
        <v>13.291666666666666</v>
      </c>
      <c r="AC115" s="140">
        <f t="shared" si="407"/>
        <v>13.791666666666666</v>
      </c>
      <c r="AD115" s="140">
        <f t="shared" si="407"/>
        <v>14.291666666666666</v>
      </c>
      <c r="AE115" s="140">
        <f t="shared" si="407"/>
        <v>14.791666666666666</v>
      </c>
      <c r="AF115" s="140">
        <f t="shared" si="407"/>
        <v>15.291666666666666</v>
      </c>
      <c r="AG115" s="140">
        <f t="shared" si="407"/>
        <v>15.791666666666666</v>
      </c>
      <c r="AH115" s="140">
        <f t="shared" si="407"/>
        <v>16.291666666666668</v>
      </c>
      <c r="AI115" s="140">
        <f t="shared" si="407"/>
        <v>16.788888888888888</v>
      </c>
      <c r="AJ115" s="140">
        <f t="shared" si="407"/>
        <v>17.288888888888888</v>
      </c>
      <c r="AK115" s="140">
        <f t="shared" si="407"/>
        <v>17.788888888888888</v>
      </c>
      <c r="AL115" s="140">
        <f t="shared" si="407"/>
        <v>18.288888888888888</v>
      </c>
      <c r="AM115" s="140">
        <f t="shared" si="407"/>
        <v>18.788888888888888</v>
      </c>
      <c r="AN115" s="140">
        <f t="shared" si="407"/>
        <v>19.288888888888888</v>
      </c>
      <c r="AO115" s="140">
        <f t="shared" si="407"/>
        <v>19.788888888888888</v>
      </c>
      <c r="AP115" s="140">
        <f t="shared" si="407"/>
        <v>20.288888888888888</v>
      </c>
      <c r="AQ115" s="140">
        <f t="shared" si="407"/>
        <v>20.786111111111111</v>
      </c>
      <c r="AR115" s="140">
        <f t="shared" si="407"/>
        <v>21.286111111111111</v>
      </c>
      <c r="AS115" s="140">
        <f t="shared" si="407"/>
        <v>21.786111111111111</v>
      </c>
      <c r="AT115" s="140">
        <f t="shared" si="407"/>
        <v>22.286111111111111</v>
      </c>
      <c r="AU115" s="140">
        <f t="shared" si="407"/>
        <v>22.786111111111111</v>
      </c>
      <c r="AV115" s="140">
        <f t="shared" si="407"/>
        <v>23.286111111111111</v>
      </c>
      <c r="AW115" s="140">
        <f t="shared" si="407"/>
        <v>23.786111111111111</v>
      </c>
      <c r="AX115" s="140">
        <f t="shared" si="407"/>
        <v>24.286111111111111</v>
      </c>
      <c r="AY115" s="140">
        <f t="shared" si="407"/>
        <v>24.783333333333335</v>
      </c>
      <c r="AZ115" s="140">
        <f t="shared" si="407"/>
        <v>25.283333333333335</v>
      </c>
      <c r="BA115" s="140">
        <f t="shared" si="407"/>
        <v>25.783333333333335</v>
      </c>
      <c r="BB115" s="140">
        <f t="shared" si="407"/>
        <v>26.283333333333335</v>
      </c>
      <c r="BC115" s="140">
        <f t="shared" si="407"/>
        <v>26.783333333333335</v>
      </c>
      <c r="BD115" s="140">
        <f t="shared" si="407"/>
        <v>27.283333333333335</v>
      </c>
      <c r="BE115" s="140">
        <f t="shared" si="407"/>
        <v>27.783333333333335</v>
      </c>
      <c r="BF115" s="140">
        <f t="shared" si="407"/>
        <v>28.283333333333335</v>
      </c>
      <c r="BG115" s="140">
        <f t="shared" si="407"/>
        <v>28.780555555555555</v>
      </c>
      <c r="BH115" s="140">
        <f t="shared" si="407"/>
        <v>29.280555555555555</v>
      </c>
      <c r="BI115" s="140">
        <f t="shared" si="407"/>
        <v>29.780555555555555</v>
      </c>
      <c r="BJ115" s="140">
        <f t="shared" si="407"/>
        <v>30.280555555555555</v>
      </c>
      <c r="BK115" s="140">
        <f t="shared" si="407"/>
        <v>30.780555555555555</v>
      </c>
      <c r="BL115" s="140">
        <f t="shared" si="407"/>
        <v>31.280555555555555</v>
      </c>
      <c r="BM115" s="140">
        <f t="shared" si="407"/>
        <v>31.780555555555555</v>
      </c>
      <c r="BN115" s="140">
        <f t="shared" si="407"/>
        <v>32.280555555555559</v>
      </c>
      <c r="BO115" s="140">
        <f t="shared" ref="BO115:CB115" si="408">BO114/360</f>
        <v>32.777777777777779</v>
      </c>
      <c r="BP115" s="140">
        <f t="shared" si="408"/>
        <v>33.277777777777779</v>
      </c>
      <c r="BQ115" s="140">
        <f t="shared" si="408"/>
        <v>33.777777777777779</v>
      </c>
      <c r="BR115" s="140">
        <f t="shared" si="408"/>
        <v>34.277777777777779</v>
      </c>
      <c r="BS115" s="140">
        <f t="shared" si="408"/>
        <v>34.777777777777779</v>
      </c>
      <c r="BT115" s="140">
        <f t="shared" si="408"/>
        <v>35.277777777777779</v>
      </c>
      <c r="BU115" s="140">
        <f t="shared" si="408"/>
        <v>35.777777777777779</v>
      </c>
      <c r="BV115" s="140">
        <f t="shared" si="408"/>
        <v>36.277777777777779</v>
      </c>
      <c r="BW115" s="140">
        <f t="shared" si="408"/>
        <v>36.774999999999999</v>
      </c>
      <c r="BX115" s="140">
        <f t="shared" si="408"/>
        <v>37.274999999999999</v>
      </c>
      <c r="BY115" s="140">
        <f t="shared" si="408"/>
        <v>37.774999999999999</v>
      </c>
      <c r="BZ115" s="140">
        <f t="shared" si="408"/>
        <v>38.274999999999999</v>
      </c>
      <c r="CA115" s="140">
        <f t="shared" si="408"/>
        <v>38.774999999999999</v>
      </c>
      <c r="CB115" s="140">
        <f t="shared" si="408"/>
        <v>39.274999999999999</v>
      </c>
      <c r="CC115" s="17"/>
      <c r="CD115" s="17"/>
      <c r="CE115" s="17"/>
    </row>
    <row r="116" spans="1:83">
      <c r="A116" s="16" t="s">
        <v>43</v>
      </c>
      <c r="B116" s="140">
        <f>IF(B114&lt;0,0,$B$5+$B$6*((1-EXP(-B115/$B$9))/(B115/$B$9))+$B$7*((1-EXP(-B115/$B$9))/(B115/$B$9)-EXP(-B115/$B$9))+$B$8*((1-EXP(-B115/$B$10))/(B115/$B$10)-EXP(-B115/$B$10)))</f>
        <v>1.0593051206230915E-2</v>
      </c>
      <c r="C116" s="140">
        <f t="shared" ref="C116:BN116" si="409">IF(C114&lt;0,0,$B$5+$B$6*((1-EXP(-C115/$B$9))/(C115/$B$9))+$B$7*((1-EXP(-C115/$B$9))/(C115/$B$9)-EXP(-C115/$B$9))+$B$8*((1-EXP(-C115/$B$10))/(C115/$B$10)-EXP(-C115/$B$10)))</f>
        <v>9.8869125748729629E-3</v>
      </c>
      <c r="D116" s="140">
        <f t="shared" si="409"/>
        <v>9.5007830922842571E-3</v>
      </c>
      <c r="E116" s="140">
        <f t="shared" si="409"/>
        <v>9.3467739762119143E-3</v>
      </c>
      <c r="F116" s="140">
        <f t="shared" si="409"/>
        <v>9.3567803370807924E-3</v>
      </c>
      <c r="G116" s="140">
        <f t="shared" si="409"/>
        <v>9.4810833962820588E-3</v>
      </c>
      <c r="H116" s="140">
        <f t="shared" si="409"/>
        <v>9.6835453144392142E-3</v>
      </c>
      <c r="I116" s="140">
        <f t="shared" si="409"/>
        <v>9.9380390303831605E-3</v>
      </c>
      <c r="J116" s="140">
        <f t="shared" si="409"/>
        <v>1.0225798779962558E-2</v>
      </c>
      <c r="K116" s="140">
        <f t="shared" si="409"/>
        <v>1.0531711096881108E-2</v>
      </c>
      <c r="L116" s="140">
        <f t="shared" si="409"/>
        <v>1.0849805351304856E-2</v>
      </c>
      <c r="M116" s="140">
        <f t="shared" si="409"/>
        <v>1.1171851607943012E-2</v>
      </c>
      <c r="N116" s="140">
        <f t="shared" si="409"/>
        <v>1.1493367333450657E-2</v>
      </c>
      <c r="O116" s="140">
        <f t="shared" si="409"/>
        <v>1.1811370323526497E-2</v>
      </c>
      <c r="P116" s="140">
        <f t="shared" si="409"/>
        <v>1.2123950952693675E-2</v>
      </c>
      <c r="Q116" s="140">
        <f t="shared" si="409"/>
        <v>1.2429959393585092E-2</v>
      </c>
      <c r="R116" s="140">
        <f t="shared" si="409"/>
        <v>1.2728777768424626E-2</v>
      </c>
      <c r="S116" s="140">
        <f t="shared" si="409"/>
        <v>1.3018556808501053E-2</v>
      </c>
      <c r="T116" s="140">
        <f t="shared" si="409"/>
        <v>1.330253017923807E-2</v>
      </c>
      <c r="U116" s="140">
        <f t="shared" si="409"/>
        <v>1.3579216113277497E-2</v>
      </c>
      <c r="V116" s="140">
        <f t="shared" si="409"/>
        <v>1.3848874319784453E-2</v>
      </c>
      <c r="W116" s="140">
        <f t="shared" si="409"/>
        <v>1.4111823625118642E-2</v>
      </c>
      <c r="X116" s="140">
        <f t="shared" si="409"/>
        <v>1.4368412357028106E-2</v>
      </c>
      <c r="Y116" s="140">
        <f t="shared" si="409"/>
        <v>1.4618998183361409E-2</v>
      </c>
      <c r="Z116" s="140">
        <f t="shared" si="409"/>
        <v>1.4863934732728651E-2</v>
      </c>
      <c r="AA116" s="140">
        <f t="shared" si="409"/>
        <v>1.5102245833999495E-2</v>
      </c>
      <c r="AB116" s="140">
        <f t="shared" si="409"/>
        <v>1.5336916035731516E-2</v>
      </c>
      <c r="AC116" s="140">
        <f t="shared" si="409"/>
        <v>1.5566902437758528E-2</v>
      </c>
      <c r="AD116" s="140">
        <f t="shared" si="409"/>
        <v>1.5792486240631013E-2</v>
      </c>
      <c r="AE116" s="140">
        <f t="shared" si="409"/>
        <v>1.6013926873754258E-2</v>
      </c>
      <c r="AF116" s="140">
        <f t="shared" si="409"/>
        <v>1.6231462613892345E-2</v>
      </c>
      <c r="AG116" s="140">
        <f t="shared" si="409"/>
        <v>1.644531163659264E-2</v>
      </c>
      <c r="AH116" s="140">
        <f t="shared" si="409"/>
        <v>1.6655673311976583E-2</v>
      </c>
      <c r="AI116" s="140">
        <f t="shared" si="409"/>
        <v>1.686158812132901E-2</v>
      </c>
      <c r="AJ116" s="140">
        <f t="shared" si="409"/>
        <v>1.7065522081450929E-2</v>
      </c>
      <c r="AK116" s="140">
        <f t="shared" si="409"/>
        <v>1.7266467357006678E-2</v>
      </c>
      <c r="AL116" s="140">
        <f t="shared" si="409"/>
        <v>1.7464562287972933E-2</v>
      </c>
      <c r="AM116" s="140">
        <f t="shared" si="409"/>
        <v>1.765993326547597E-2</v>
      </c>
      <c r="AN116" s="140">
        <f t="shared" si="409"/>
        <v>1.7852695896886119E-2</v>
      </c>
      <c r="AO116" s="140">
        <f t="shared" si="409"/>
        <v>1.8042956072266816E-2</v>
      </c>
      <c r="AP116" s="140">
        <f t="shared" si="409"/>
        <v>1.8230810933369781E-2</v>
      </c>
      <c r="AQ116" s="140">
        <f t="shared" si="409"/>
        <v>1.8415325221761265E-2</v>
      </c>
      <c r="AR116" s="140">
        <f t="shared" si="409"/>
        <v>1.8598642372028698E-2</v>
      </c>
      <c r="AS116" s="140">
        <f t="shared" si="409"/>
        <v>1.8779801063141085E-2</v>
      </c>
      <c r="AT116" s="140">
        <f t="shared" si="409"/>
        <v>1.8958871386999757E-2</v>
      </c>
      <c r="AU116" s="140">
        <f t="shared" si="409"/>
        <v>1.9135918253396684E-2</v>
      </c>
      <c r="AV116" s="140">
        <f t="shared" si="409"/>
        <v>1.9311001895610136E-2</v>
      </c>
      <c r="AW116" s="140">
        <f t="shared" si="409"/>
        <v>1.9484178321740171E-2</v>
      </c>
      <c r="AX116" s="140">
        <f t="shared" si="409"/>
        <v>1.9655499717568442E-2</v>
      </c>
      <c r="AY116" s="140">
        <f t="shared" si="409"/>
        <v>1.9824077960300796E-2</v>
      </c>
      <c r="AZ116" s="140">
        <f t="shared" si="409"/>
        <v>1.9991841984779202E-2</v>
      </c>
      <c r="BA116" s="140">
        <f t="shared" si="409"/>
        <v>2.015788778131649E-2</v>
      </c>
      <c r="BB116" s="140">
        <f t="shared" si="409"/>
        <v>2.0322255493759524E-2</v>
      </c>
      <c r="BC116" s="140">
        <f t="shared" si="409"/>
        <v>2.0484982897353451E-2</v>
      </c>
      <c r="BD116" s="140">
        <f t="shared" si="409"/>
        <v>2.0646105605049463E-2</v>
      </c>
      <c r="BE116" s="140">
        <f t="shared" si="409"/>
        <v>2.080565725266411E-2</v>
      </c>
      <c r="BF116" s="140">
        <f t="shared" si="409"/>
        <v>2.0963669665268008E-2</v>
      </c>
      <c r="BG116" s="140">
        <f t="shared" si="409"/>
        <v>2.111930765920882E-2</v>
      </c>
      <c r="BH116" s="140">
        <f t="shared" si="409"/>
        <v>2.1274338715945536E-2</v>
      </c>
      <c r="BI116" s="140">
        <f t="shared" si="409"/>
        <v>2.142791642551508E-2</v>
      </c>
      <c r="BJ116" s="140">
        <f t="shared" si="409"/>
        <v>2.1580066733907239E-2</v>
      </c>
      <c r="BK116" s="140">
        <f t="shared" si="409"/>
        <v>2.173081439167392E-2</v>
      </c>
      <c r="BL116" s="140">
        <f t="shared" si="409"/>
        <v>2.1880183044151572E-2</v>
      </c>
      <c r="BM116" s="140">
        <f t="shared" si="409"/>
        <v>2.2028195313329824E-2</v>
      </c>
      <c r="BN116" s="140">
        <f t="shared" si="409"/>
        <v>2.2174872872245115E-2</v>
      </c>
      <c r="BO116" s="140">
        <f t="shared" ref="BO116:CB116" si="410">IF(BO114&lt;0,0,$B$5+$B$6*((1-EXP(-BO115/$B$9))/(BO115/$B$9))+$B$7*((1-EXP(-BO115/$B$9))/(BO115/$B$9)-EXP(-BO115/$B$9))+$B$8*((1-EXP(-BO115/$B$10))/(BO115/$B$10)-EXP(-BO115/$B$10)))</f>
        <v>2.2319432529353183E-2</v>
      </c>
      <c r="BP116" s="140">
        <f t="shared" si="410"/>
        <v>2.2463509358355942E-2</v>
      </c>
      <c r="BQ116" s="140">
        <f t="shared" si="410"/>
        <v>2.2606311345305122E-2</v>
      </c>
      <c r="BR116" s="140">
        <f t="shared" si="410"/>
        <v>2.2747856991096698E-2</v>
      </c>
      <c r="BS116" s="140">
        <f t="shared" si="410"/>
        <v>2.2888164131581883E-2</v>
      </c>
      <c r="BT116" s="140">
        <f t="shared" si="410"/>
        <v>2.302724998069795E-2</v>
      </c>
      <c r="BU116" s="140">
        <f t="shared" si="410"/>
        <v>2.31651311700324E-2</v>
      </c>
      <c r="BV116" s="140">
        <f t="shared" si="410"/>
        <v>2.3301823785161314E-2</v>
      </c>
      <c r="BW116" s="140">
        <f t="shared" si="410"/>
        <v>2.3436593724628828E-2</v>
      </c>
      <c r="BX116" s="140">
        <f t="shared" si="410"/>
        <v>2.3570961820457287E-2</v>
      </c>
      <c r="BY116" s="140">
        <f t="shared" si="410"/>
        <v>2.3704186563791762E-2</v>
      </c>
      <c r="BZ116" s="140">
        <f t="shared" si="410"/>
        <v>2.3836282167341384E-2</v>
      </c>
      <c r="CA116" s="140">
        <f t="shared" si="410"/>
        <v>2.396726244058435E-2</v>
      </c>
      <c r="CB116" s="140">
        <f t="shared" si="410"/>
        <v>2.4097140812149635E-2</v>
      </c>
      <c r="CC116" s="17"/>
      <c r="CD116" s="17"/>
      <c r="CE116" s="17"/>
    </row>
    <row r="117" spans="1:83">
      <c r="A117" s="16" t="s">
        <v>44</v>
      </c>
      <c r="B117" s="140">
        <f>EXP(-B116*B115)</f>
        <v>0.99679779751784936</v>
      </c>
      <c r="C117" s="140">
        <f t="shared" ref="C117:AR117" si="411">EXP(-C116*C115)</f>
        <v>0.99212166796489365</v>
      </c>
      <c r="D117" s="140">
        <f t="shared" si="411"/>
        <v>0.98772494275053335</v>
      </c>
      <c r="E117" s="140">
        <f t="shared" si="411"/>
        <v>0.98331654321655781</v>
      </c>
      <c r="F117" s="140">
        <f t="shared" si="411"/>
        <v>0.97870932096305352</v>
      </c>
      <c r="G117" s="140">
        <f t="shared" si="411"/>
        <v>0.97380224142135896</v>
      </c>
      <c r="H117" s="140">
        <f t="shared" si="411"/>
        <v>0.96854948831894938</v>
      </c>
      <c r="I117" s="140">
        <f t="shared" si="411"/>
        <v>0.96293963996215648</v>
      </c>
      <c r="J117" s="140">
        <f t="shared" si="411"/>
        <v>0.95698177197960121</v>
      </c>
      <c r="K117" s="140">
        <f t="shared" si="411"/>
        <v>0.95073210102742922</v>
      </c>
      <c r="L117" s="140">
        <f t="shared" si="411"/>
        <v>0.94414659836664483</v>
      </c>
      <c r="M117" s="140">
        <f t="shared" si="411"/>
        <v>0.93728703800367519</v>
      </c>
      <c r="N117" s="140">
        <f t="shared" si="411"/>
        <v>0.93018081390361707</v>
      </c>
      <c r="O117" s="140">
        <f t="shared" si="411"/>
        <v>0.92285374898502592</v>
      </c>
      <c r="P117" s="140">
        <f t="shared" si="411"/>
        <v>0.91532950451043071</v>
      </c>
      <c r="Q117" s="140">
        <f t="shared" si="411"/>
        <v>0.90762937991542336</v>
      </c>
      <c r="R117" s="140">
        <f t="shared" si="411"/>
        <v>0.89977234490387958</v>
      </c>
      <c r="S117" s="140">
        <f t="shared" si="411"/>
        <v>0.89181998741462454</v>
      </c>
      <c r="T117" s="140">
        <f t="shared" si="411"/>
        <v>0.88369824385717066</v>
      </c>
      <c r="U117" s="140">
        <f t="shared" si="411"/>
        <v>0.8754643236078149</v>
      </c>
      <c r="V117" s="140">
        <f t="shared" si="411"/>
        <v>0.86712991658975935</v>
      </c>
      <c r="W117" s="140">
        <f t="shared" si="411"/>
        <v>0.85870546579106932</v>
      </c>
      <c r="X117" s="140">
        <f t="shared" si="411"/>
        <v>0.85020036383137076</v>
      </c>
      <c r="Y117" s="140">
        <f t="shared" si="411"/>
        <v>0.84162312335474831</v>
      </c>
      <c r="Z117" s="140">
        <f t="shared" si="411"/>
        <v>0.83298152178087392</v>
      </c>
      <c r="AA117" s="140">
        <f t="shared" si="411"/>
        <v>0.82433119460513227</v>
      </c>
      <c r="AB117" s="140">
        <f t="shared" si="411"/>
        <v>0.81558210971679446</v>
      </c>
      <c r="AC117" s="140">
        <f t="shared" si="411"/>
        <v>0.80678865925354759</v>
      </c>
      <c r="AD117" s="140">
        <f t="shared" si="411"/>
        <v>0.79795669558498661</v>
      </c>
      <c r="AE117" s="140">
        <f t="shared" si="411"/>
        <v>0.78909175798365827</v>
      </c>
      <c r="AF117" s="140">
        <f t="shared" si="411"/>
        <v>0.78019911533599484</v>
      </c>
      <c r="AG117" s="140">
        <f t="shared" si="411"/>
        <v>0.7712838001302067</v>
      </c>
      <c r="AH117" s="140">
        <f t="shared" si="411"/>
        <v>0.76235063538590575</v>
      </c>
      <c r="AI117" s="140">
        <f t="shared" si="411"/>
        <v>0.7534539862573969</v>
      </c>
      <c r="AJ117" s="140">
        <f t="shared" si="411"/>
        <v>0.74449889200688035</v>
      </c>
      <c r="AK117" s="140">
        <f t="shared" si="411"/>
        <v>0.73553932795929899</v>
      </c>
      <c r="AL117" s="140">
        <f t="shared" si="411"/>
        <v>0.7265794520550608</v>
      </c>
      <c r="AM117" s="140">
        <f t="shared" si="411"/>
        <v>0.71762328242698126</v>
      </c>
      <c r="AN117" s="140">
        <f t="shared" si="411"/>
        <v>0.70867470386120568</v>
      </c>
      <c r="AO117" s="140">
        <f t="shared" si="411"/>
        <v>0.69973747293948907</v>
      </c>
      <c r="AP117" s="140">
        <f t="shared" si="411"/>
        <v>0.69081522217238667</v>
      </c>
      <c r="AQ117" s="140">
        <f t="shared" si="411"/>
        <v>0.68196087132607064</v>
      </c>
      <c r="AR117" s="140">
        <f t="shared" si="411"/>
        <v>0.6730788676293803</v>
      </c>
      <c r="AS117" s="140">
        <f>EXP(-AS116*AS115)</f>
        <v>0.66422201024790173</v>
      </c>
      <c r="AT117" s="140">
        <f t="shared" ref="AT117:CA117" si="412">EXP(-AT116*AT115)</f>
        <v>0.65539346467575199</v>
      </c>
      <c r="AU117" s="140">
        <f t="shared" si="412"/>
        <v>0.6465962847477934</v>
      </c>
      <c r="AV117" s="140">
        <f t="shared" si="412"/>
        <v>0.63783341432314122</v>
      </c>
      <c r="AW117" s="140">
        <f t="shared" si="412"/>
        <v>0.62910768886726298</v>
      </c>
      <c r="AX117" s="140">
        <f t="shared" si="412"/>
        <v>0.62042183697191322</v>
      </c>
      <c r="AY117" s="140">
        <f t="shared" si="412"/>
        <v>0.61182637841693888</v>
      </c>
      <c r="AZ117" s="140">
        <f t="shared" si="412"/>
        <v>0.60322778248753184</v>
      </c>
      <c r="BA117" s="140">
        <f t="shared" si="412"/>
        <v>0.59467660633468444</v>
      </c>
      <c r="BB117" s="140">
        <f t="shared" si="412"/>
        <v>0.58617516644306167</v>
      </c>
      <c r="BC117" s="140">
        <f t="shared" si="412"/>
        <v>0.57772567987154066</v>
      </c>
      <c r="BD117" s="140">
        <f t="shared" si="412"/>
        <v>0.56933026579862811</v>
      </c>
      <c r="BE117" s="140">
        <f t="shared" si="412"/>
        <v>0.56099094709800423</v>
      </c>
      <c r="BF117" s="140">
        <f t="shared" si="412"/>
        <v>0.55270965194531485</v>
      </c>
      <c r="BG117" s="140">
        <f t="shared" si="412"/>
        <v>0.54453372150902246</v>
      </c>
      <c r="BH117" s="140">
        <f t="shared" si="412"/>
        <v>0.53637354052051434</v>
      </c>
      <c r="BI117" s="140">
        <f t="shared" si="412"/>
        <v>0.52827660700405521</v>
      </c>
      <c r="BJ117" s="140">
        <f t="shared" si="412"/>
        <v>0.52024448750167873</v>
      </c>
      <c r="BK117" s="140">
        <f t="shared" si="412"/>
        <v>0.51227866232283015</v>
      </c>
      <c r="BL117" s="140">
        <f t="shared" si="412"/>
        <v>0.50438052731431726</v>
      </c>
      <c r="BM117" s="140">
        <f t="shared" si="412"/>
        <v>0.49655139564951606</v>
      </c>
      <c r="BN117" s="140">
        <f t="shared" si="412"/>
        <v>0.4887924996341052</v>
      </c>
      <c r="BO117" s="140">
        <f t="shared" si="412"/>
        <v>0.4811475016863459</v>
      </c>
      <c r="BP117" s="140">
        <f t="shared" si="412"/>
        <v>0.47353205410850258</v>
      </c>
      <c r="BQ117" s="140">
        <f t="shared" si="412"/>
        <v>0.46599006678440474</v>
      </c>
      <c r="BR117" s="140">
        <f t="shared" si="412"/>
        <v>0.45852246724491419</v>
      </c>
      <c r="BS117" s="140">
        <f t="shared" si="412"/>
        <v>0.45113011132470582</v>
      </c>
      <c r="BT117" s="140">
        <f t="shared" si="412"/>
        <v>0.44381378501099172</v>
      </c>
      <c r="BU117" s="140">
        <f t="shared" si="412"/>
        <v>0.43657420629066623</v>
      </c>
      <c r="BV117" s="140">
        <f t="shared" si="412"/>
        <v>0.42941202699361058</v>
      </c>
      <c r="BW117" s="140">
        <f t="shared" si="412"/>
        <v>0.42236697483485836</v>
      </c>
      <c r="BX117" s="140">
        <f t="shared" si="412"/>
        <v>0.4153608569088838</v>
      </c>
      <c r="BY117" s="140">
        <f t="shared" si="412"/>
        <v>0.40843371286920938</v>
      </c>
      <c r="BZ117" s="140">
        <f t="shared" si="412"/>
        <v>0.40158594852271734</v>
      </c>
      <c r="CA117" s="140">
        <f t="shared" si="412"/>
        <v>0.39481791259650412</v>
      </c>
      <c r="CB117" s="140">
        <f>EXP(-CB116*CB115)</f>
        <v>0.38812989851664409</v>
      </c>
      <c r="CC117" s="17"/>
      <c r="CD117" s="17"/>
      <c r="CE117" s="17"/>
    </row>
    <row r="118" spans="1:83">
      <c r="A118" s="17"/>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17"/>
      <c r="CD118" s="17"/>
      <c r="CE118" s="17"/>
    </row>
    <row r="119" spans="1:83">
      <c r="A119" s="16" t="s">
        <v>40</v>
      </c>
      <c r="B119" s="140">
        <f t="shared" ref="B119:BM119" si="413">DAYS360($B$3,B44)</f>
        <v>109</v>
      </c>
      <c r="C119" s="140">
        <f t="shared" si="413"/>
        <v>288</v>
      </c>
      <c r="D119" s="140">
        <f t="shared" si="413"/>
        <v>468</v>
      </c>
      <c r="E119" s="140">
        <f t="shared" si="413"/>
        <v>648</v>
      </c>
      <c r="F119" s="140">
        <f t="shared" si="413"/>
        <v>828</v>
      </c>
      <c r="G119" s="140">
        <f t="shared" si="413"/>
        <v>1008</v>
      </c>
      <c r="H119" s="140">
        <f t="shared" si="413"/>
        <v>1188</v>
      </c>
      <c r="I119" s="140">
        <f t="shared" si="413"/>
        <v>1368</v>
      </c>
      <c r="J119" s="140">
        <f t="shared" si="413"/>
        <v>1548</v>
      </c>
      <c r="K119" s="140">
        <f t="shared" si="413"/>
        <v>1727</v>
      </c>
      <c r="L119" s="140">
        <f t="shared" si="413"/>
        <v>1907</v>
      </c>
      <c r="M119" s="140">
        <f t="shared" si="413"/>
        <v>2087</v>
      </c>
      <c r="N119" s="140">
        <f t="shared" si="413"/>
        <v>2267</v>
      </c>
      <c r="O119" s="140">
        <f t="shared" si="413"/>
        <v>2447</v>
      </c>
      <c r="P119" s="140">
        <f t="shared" si="413"/>
        <v>2627</v>
      </c>
      <c r="Q119" s="140">
        <f t="shared" si="413"/>
        <v>2807</v>
      </c>
      <c r="R119" s="140">
        <f t="shared" si="413"/>
        <v>2987</v>
      </c>
      <c r="S119" s="140">
        <f t="shared" si="413"/>
        <v>3166</v>
      </c>
      <c r="T119" s="140">
        <f t="shared" si="413"/>
        <v>3346</v>
      </c>
      <c r="U119" s="140">
        <f t="shared" si="413"/>
        <v>3526</v>
      </c>
      <c r="V119" s="140">
        <f t="shared" si="413"/>
        <v>3706</v>
      </c>
      <c r="W119" s="140">
        <f t="shared" si="413"/>
        <v>3886</v>
      </c>
      <c r="X119" s="140">
        <f t="shared" si="413"/>
        <v>4066</v>
      </c>
      <c r="Y119" s="140">
        <f t="shared" si="413"/>
        <v>4246</v>
      </c>
      <c r="Z119" s="140">
        <f t="shared" si="413"/>
        <v>4426</v>
      </c>
      <c r="AA119" s="140">
        <f t="shared" si="413"/>
        <v>4605</v>
      </c>
      <c r="AB119" s="140">
        <f t="shared" si="413"/>
        <v>4785</v>
      </c>
      <c r="AC119" s="140">
        <f t="shared" si="413"/>
        <v>4965</v>
      </c>
      <c r="AD119" s="140">
        <f t="shared" si="413"/>
        <v>5145</v>
      </c>
      <c r="AE119" s="140">
        <f t="shared" si="413"/>
        <v>5325</v>
      </c>
      <c r="AF119" s="140">
        <f t="shared" si="413"/>
        <v>5505</v>
      </c>
      <c r="AG119" s="140">
        <f t="shared" si="413"/>
        <v>5685</v>
      </c>
      <c r="AH119" s="140">
        <f t="shared" si="413"/>
        <v>5865</v>
      </c>
      <c r="AI119" s="140">
        <f t="shared" si="413"/>
        <v>6044</v>
      </c>
      <c r="AJ119" s="140">
        <f t="shared" si="413"/>
        <v>6224</v>
      </c>
      <c r="AK119" s="140">
        <f t="shared" si="413"/>
        <v>6404</v>
      </c>
      <c r="AL119" s="140">
        <f t="shared" si="413"/>
        <v>6584</v>
      </c>
      <c r="AM119" s="140">
        <f t="shared" si="413"/>
        <v>6764</v>
      </c>
      <c r="AN119" s="140">
        <f t="shared" si="413"/>
        <v>6944</v>
      </c>
      <c r="AO119" s="140">
        <f t="shared" si="413"/>
        <v>7124</v>
      </c>
      <c r="AP119" s="140">
        <f t="shared" si="413"/>
        <v>7304</v>
      </c>
      <c r="AQ119" s="140">
        <f t="shared" si="413"/>
        <v>7483</v>
      </c>
      <c r="AR119" s="140">
        <f t="shared" si="413"/>
        <v>7663</v>
      </c>
      <c r="AS119" s="140">
        <f t="shared" si="413"/>
        <v>7843</v>
      </c>
      <c r="AT119" s="140">
        <f t="shared" si="413"/>
        <v>8023</v>
      </c>
      <c r="AU119" s="140">
        <f t="shared" si="413"/>
        <v>8203</v>
      </c>
      <c r="AV119" s="140">
        <f t="shared" si="413"/>
        <v>8383</v>
      </c>
      <c r="AW119" s="140">
        <f t="shared" si="413"/>
        <v>8563</v>
      </c>
      <c r="AX119" s="140">
        <f t="shared" si="413"/>
        <v>8743</v>
      </c>
      <c r="AY119" s="140">
        <f t="shared" si="413"/>
        <v>8922</v>
      </c>
      <c r="AZ119" s="140">
        <f t="shared" si="413"/>
        <v>9102</v>
      </c>
      <c r="BA119" s="140">
        <f t="shared" si="413"/>
        <v>9282</v>
      </c>
      <c r="BB119" s="140">
        <f t="shared" si="413"/>
        <v>9462</v>
      </c>
      <c r="BC119" s="140">
        <f t="shared" si="413"/>
        <v>9642</v>
      </c>
      <c r="BD119" s="140">
        <f t="shared" si="413"/>
        <v>9822</v>
      </c>
      <c r="BE119" s="140">
        <f t="shared" si="413"/>
        <v>10002</v>
      </c>
      <c r="BF119" s="140">
        <f t="shared" si="413"/>
        <v>10182</v>
      </c>
      <c r="BG119" s="140">
        <f t="shared" si="413"/>
        <v>10361</v>
      </c>
      <c r="BH119" s="140">
        <f t="shared" si="413"/>
        <v>10541</v>
      </c>
      <c r="BI119" s="140">
        <f t="shared" si="413"/>
        <v>10721</v>
      </c>
      <c r="BJ119" s="140">
        <f t="shared" si="413"/>
        <v>10901</v>
      </c>
      <c r="BK119" s="140">
        <f t="shared" si="413"/>
        <v>11081</v>
      </c>
      <c r="BL119" s="140">
        <f t="shared" si="413"/>
        <v>11261</v>
      </c>
      <c r="BM119" s="140">
        <f t="shared" si="413"/>
        <v>11441</v>
      </c>
      <c r="BN119" s="140">
        <f t="shared" ref="BN119:CB119" si="414">DAYS360($B$3,BN44)</f>
        <v>11621</v>
      </c>
      <c r="BO119" s="140">
        <f t="shared" si="414"/>
        <v>11800</v>
      </c>
      <c r="BP119" s="140">
        <f t="shared" si="414"/>
        <v>11980</v>
      </c>
      <c r="BQ119" s="140">
        <f t="shared" si="414"/>
        <v>12160</v>
      </c>
      <c r="BR119" s="140">
        <f t="shared" si="414"/>
        <v>12340</v>
      </c>
      <c r="BS119" s="140">
        <f t="shared" si="414"/>
        <v>12520</v>
      </c>
      <c r="BT119" s="140">
        <f t="shared" si="414"/>
        <v>12700</v>
      </c>
      <c r="BU119" s="140">
        <f t="shared" si="414"/>
        <v>12880</v>
      </c>
      <c r="BV119" s="140">
        <f t="shared" si="414"/>
        <v>13060</v>
      </c>
      <c r="BW119" s="140">
        <f t="shared" si="414"/>
        <v>13239</v>
      </c>
      <c r="BX119" s="140">
        <f t="shared" si="414"/>
        <v>13419</v>
      </c>
      <c r="BY119" s="140">
        <f t="shared" si="414"/>
        <v>13599</v>
      </c>
      <c r="BZ119" s="140">
        <f t="shared" si="414"/>
        <v>13779</v>
      </c>
      <c r="CA119" s="140">
        <f t="shared" si="414"/>
        <v>13959</v>
      </c>
      <c r="CB119" s="140">
        <f t="shared" si="414"/>
        <v>14139</v>
      </c>
      <c r="CC119" s="17"/>
      <c r="CD119" s="17"/>
      <c r="CE119" s="17"/>
    </row>
    <row r="120" spans="1:83">
      <c r="A120" s="16" t="s">
        <v>41</v>
      </c>
      <c r="B120" s="140">
        <f>B119/360</f>
        <v>0.30277777777777776</v>
      </c>
      <c r="C120" s="140">
        <f t="shared" ref="C120:BN120" si="415">C119/360</f>
        <v>0.8</v>
      </c>
      <c r="D120" s="140">
        <f t="shared" si="415"/>
        <v>1.3</v>
      </c>
      <c r="E120" s="140">
        <f t="shared" si="415"/>
        <v>1.8</v>
      </c>
      <c r="F120" s="140">
        <f t="shared" si="415"/>
        <v>2.2999999999999998</v>
      </c>
      <c r="G120" s="140">
        <f t="shared" si="415"/>
        <v>2.8</v>
      </c>
      <c r="H120" s="140">
        <f t="shared" si="415"/>
        <v>3.3</v>
      </c>
      <c r="I120" s="140">
        <f t="shared" si="415"/>
        <v>3.8</v>
      </c>
      <c r="J120" s="140">
        <f t="shared" si="415"/>
        <v>4.3</v>
      </c>
      <c r="K120" s="140">
        <f t="shared" si="415"/>
        <v>4.7972222222222225</v>
      </c>
      <c r="L120" s="140">
        <f t="shared" si="415"/>
        <v>5.2972222222222225</v>
      </c>
      <c r="M120" s="140">
        <f t="shared" si="415"/>
        <v>5.7972222222222225</v>
      </c>
      <c r="N120" s="140">
        <f t="shared" si="415"/>
        <v>6.2972222222222225</v>
      </c>
      <c r="O120" s="140">
        <f t="shared" si="415"/>
        <v>6.7972222222222225</v>
      </c>
      <c r="P120" s="140">
        <f t="shared" si="415"/>
        <v>7.2972222222222225</v>
      </c>
      <c r="Q120" s="140">
        <f t="shared" si="415"/>
        <v>7.7972222222222225</v>
      </c>
      <c r="R120" s="140">
        <f t="shared" si="415"/>
        <v>8.2972222222222225</v>
      </c>
      <c r="S120" s="140">
        <f t="shared" si="415"/>
        <v>8.7944444444444443</v>
      </c>
      <c r="T120" s="140">
        <f t="shared" si="415"/>
        <v>9.2944444444444443</v>
      </c>
      <c r="U120" s="140">
        <f t="shared" si="415"/>
        <v>9.7944444444444443</v>
      </c>
      <c r="V120" s="140">
        <f t="shared" si="415"/>
        <v>10.294444444444444</v>
      </c>
      <c r="W120" s="140">
        <f t="shared" si="415"/>
        <v>10.794444444444444</v>
      </c>
      <c r="X120" s="140">
        <f t="shared" si="415"/>
        <v>11.294444444444444</v>
      </c>
      <c r="Y120" s="140">
        <f t="shared" si="415"/>
        <v>11.794444444444444</v>
      </c>
      <c r="Z120" s="140">
        <f t="shared" si="415"/>
        <v>12.294444444444444</v>
      </c>
      <c r="AA120" s="140">
        <f t="shared" si="415"/>
        <v>12.791666666666666</v>
      </c>
      <c r="AB120" s="140">
        <f t="shared" si="415"/>
        <v>13.291666666666666</v>
      </c>
      <c r="AC120" s="140">
        <f t="shared" si="415"/>
        <v>13.791666666666666</v>
      </c>
      <c r="AD120" s="140">
        <f t="shared" si="415"/>
        <v>14.291666666666666</v>
      </c>
      <c r="AE120" s="140">
        <f t="shared" si="415"/>
        <v>14.791666666666666</v>
      </c>
      <c r="AF120" s="140">
        <f t="shared" si="415"/>
        <v>15.291666666666666</v>
      </c>
      <c r="AG120" s="140">
        <f t="shared" si="415"/>
        <v>15.791666666666666</v>
      </c>
      <c r="AH120" s="140">
        <f t="shared" si="415"/>
        <v>16.291666666666668</v>
      </c>
      <c r="AI120" s="140">
        <f t="shared" si="415"/>
        <v>16.788888888888888</v>
      </c>
      <c r="AJ120" s="140">
        <f t="shared" si="415"/>
        <v>17.288888888888888</v>
      </c>
      <c r="AK120" s="140">
        <f t="shared" si="415"/>
        <v>17.788888888888888</v>
      </c>
      <c r="AL120" s="140">
        <f t="shared" si="415"/>
        <v>18.288888888888888</v>
      </c>
      <c r="AM120" s="140">
        <f t="shared" si="415"/>
        <v>18.788888888888888</v>
      </c>
      <c r="AN120" s="140">
        <f t="shared" si="415"/>
        <v>19.288888888888888</v>
      </c>
      <c r="AO120" s="140">
        <f t="shared" si="415"/>
        <v>19.788888888888888</v>
      </c>
      <c r="AP120" s="140">
        <f t="shared" si="415"/>
        <v>20.288888888888888</v>
      </c>
      <c r="AQ120" s="140">
        <f t="shared" si="415"/>
        <v>20.786111111111111</v>
      </c>
      <c r="AR120" s="140">
        <f t="shared" si="415"/>
        <v>21.286111111111111</v>
      </c>
      <c r="AS120" s="140">
        <f t="shared" si="415"/>
        <v>21.786111111111111</v>
      </c>
      <c r="AT120" s="140">
        <f t="shared" si="415"/>
        <v>22.286111111111111</v>
      </c>
      <c r="AU120" s="140">
        <f t="shared" si="415"/>
        <v>22.786111111111111</v>
      </c>
      <c r="AV120" s="140">
        <f t="shared" si="415"/>
        <v>23.286111111111111</v>
      </c>
      <c r="AW120" s="140">
        <f t="shared" si="415"/>
        <v>23.786111111111111</v>
      </c>
      <c r="AX120" s="140">
        <f t="shared" si="415"/>
        <v>24.286111111111111</v>
      </c>
      <c r="AY120" s="140">
        <f t="shared" si="415"/>
        <v>24.783333333333335</v>
      </c>
      <c r="AZ120" s="140">
        <f t="shared" si="415"/>
        <v>25.283333333333335</v>
      </c>
      <c r="BA120" s="140">
        <f t="shared" si="415"/>
        <v>25.783333333333335</v>
      </c>
      <c r="BB120" s="140">
        <f t="shared" si="415"/>
        <v>26.283333333333335</v>
      </c>
      <c r="BC120" s="140">
        <f t="shared" si="415"/>
        <v>26.783333333333335</v>
      </c>
      <c r="BD120" s="140">
        <f t="shared" si="415"/>
        <v>27.283333333333335</v>
      </c>
      <c r="BE120" s="140">
        <f t="shared" si="415"/>
        <v>27.783333333333335</v>
      </c>
      <c r="BF120" s="140">
        <f t="shared" si="415"/>
        <v>28.283333333333335</v>
      </c>
      <c r="BG120" s="140">
        <f t="shared" si="415"/>
        <v>28.780555555555555</v>
      </c>
      <c r="BH120" s="140">
        <f t="shared" si="415"/>
        <v>29.280555555555555</v>
      </c>
      <c r="BI120" s="140">
        <f t="shared" si="415"/>
        <v>29.780555555555555</v>
      </c>
      <c r="BJ120" s="140">
        <f t="shared" si="415"/>
        <v>30.280555555555555</v>
      </c>
      <c r="BK120" s="140">
        <f t="shared" si="415"/>
        <v>30.780555555555555</v>
      </c>
      <c r="BL120" s="140">
        <f t="shared" si="415"/>
        <v>31.280555555555555</v>
      </c>
      <c r="BM120" s="140">
        <f t="shared" si="415"/>
        <v>31.780555555555555</v>
      </c>
      <c r="BN120" s="140">
        <f t="shared" si="415"/>
        <v>32.280555555555559</v>
      </c>
      <c r="BO120" s="140">
        <f t="shared" ref="BO120:CB120" si="416">BO119/360</f>
        <v>32.777777777777779</v>
      </c>
      <c r="BP120" s="140">
        <f t="shared" si="416"/>
        <v>33.277777777777779</v>
      </c>
      <c r="BQ120" s="140">
        <f t="shared" si="416"/>
        <v>33.777777777777779</v>
      </c>
      <c r="BR120" s="140">
        <f t="shared" si="416"/>
        <v>34.277777777777779</v>
      </c>
      <c r="BS120" s="140">
        <f t="shared" si="416"/>
        <v>34.777777777777779</v>
      </c>
      <c r="BT120" s="140">
        <f t="shared" si="416"/>
        <v>35.277777777777779</v>
      </c>
      <c r="BU120" s="140">
        <f t="shared" si="416"/>
        <v>35.777777777777779</v>
      </c>
      <c r="BV120" s="140">
        <f t="shared" si="416"/>
        <v>36.277777777777779</v>
      </c>
      <c r="BW120" s="140">
        <f t="shared" si="416"/>
        <v>36.774999999999999</v>
      </c>
      <c r="BX120" s="140">
        <f t="shared" si="416"/>
        <v>37.274999999999999</v>
      </c>
      <c r="BY120" s="140">
        <f t="shared" si="416"/>
        <v>37.774999999999999</v>
      </c>
      <c r="BZ120" s="140">
        <f t="shared" si="416"/>
        <v>38.274999999999999</v>
      </c>
      <c r="CA120" s="140">
        <f t="shared" si="416"/>
        <v>38.774999999999999</v>
      </c>
      <c r="CB120" s="140">
        <f t="shared" si="416"/>
        <v>39.274999999999999</v>
      </c>
      <c r="CC120" s="17"/>
      <c r="CD120" s="17"/>
      <c r="CE120" s="17"/>
    </row>
    <row r="121" spans="1:83">
      <c r="A121" s="16" t="s">
        <v>43</v>
      </c>
      <c r="B121" s="140">
        <f>IF(B119&lt;0,0,$B$5+$B$6*((1-EXP(-B120/$B$9))/(B120/$B$9))+$B$7*((1-EXP(-B120/$B$9))/(B120/$B$9)-EXP(-B120/$B$9))+$B$8*((1-EXP(-B120/$B$10))/(B120/$B$10)-EXP(-B120/$B$10)))</f>
        <v>1.0593051206230915E-2</v>
      </c>
      <c r="C121" s="140">
        <f t="shared" ref="C121:BN121" si="417">IF(C119&lt;0,0,$B$5+$B$6*((1-EXP(-C120/$B$9))/(C120/$B$9))+$B$7*((1-EXP(-C120/$B$9))/(C120/$B$9)-EXP(-C120/$B$9))+$B$8*((1-EXP(-C120/$B$10))/(C120/$B$10)-EXP(-C120/$B$10)))</f>
        <v>9.8869125748729629E-3</v>
      </c>
      <c r="D121" s="140">
        <f t="shared" si="417"/>
        <v>9.5007830922842571E-3</v>
      </c>
      <c r="E121" s="140">
        <f t="shared" si="417"/>
        <v>9.3467739762119143E-3</v>
      </c>
      <c r="F121" s="140">
        <f t="shared" si="417"/>
        <v>9.3567803370807924E-3</v>
      </c>
      <c r="G121" s="140">
        <f t="shared" si="417"/>
        <v>9.4810833962820588E-3</v>
      </c>
      <c r="H121" s="140">
        <f t="shared" si="417"/>
        <v>9.6835453144392142E-3</v>
      </c>
      <c r="I121" s="140">
        <f t="shared" si="417"/>
        <v>9.9380390303831605E-3</v>
      </c>
      <c r="J121" s="140">
        <f t="shared" si="417"/>
        <v>1.0225798779962558E-2</v>
      </c>
      <c r="K121" s="140">
        <f t="shared" si="417"/>
        <v>1.0531711096881108E-2</v>
      </c>
      <c r="L121" s="140">
        <f t="shared" si="417"/>
        <v>1.0849805351304856E-2</v>
      </c>
      <c r="M121" s="140">
        <f t="shared" si="417"/>
        <v>1.1171851607943012E-2</v>
      </c>
      <c r="N121" s="140">
        <f t="shared" si="417"/>
        <v>1.1493367333450657E-2</v>
      </c>
      <c r="O121" s="140">
        <f t="shared" si="417"/>
        <v>1.1811370323526497E-2</v>
      </c>
      <c r="P121" s="140">
        <f t="shared" si="417"/>
        <v>1.2123950952693675E-2</v>
      </c>
      <c r="Q121" s="140">
        <f t="shared" si="417"/>
        <v>1.2429959393585092E-2</v>
      </c>
      <c r="R121" s="140">
        <f t="shared" si="417"/>
        <v>1.2728777768424626E-2</v>
      </c>
      <c r="S121" s="140">
        <f t="shared" si="417"/>
        <v>1.3018556808501053E-2</v>
      </c>
      <c r="T121" s="140">
        <f t="shared" si="417"/>
        <v>1.330253017923807E-2</v>
      </c>
      <c r="U121" s="140">
        <f t="shared" si="417"/>
        <v>1.3579216113277497E-2</v>
      </c>
      <c r="V121" s="140">
        <f t="shared" si="417"/>
        <v>1.3848874319784453E-2</v>
      </c>
      <c r="W121" s="140">
        <f t="shared" si="417"/>
        <v>1.4111823625118642E-2</v>
      </c>
      <c r="X121" s="140">
        <f t="shared" si="417"/>
        <v>1.4368412357028106E-2</v>
      </c>
      <c r="Y121" s="140">
        <f t="shared" si="417"/>
        <v>1.4618998183361409E-2</v>
      </c>
      <c r="Z121" s="140">
        <f t="shared" si="417"/>
        <v>1.4863934732728651E-2</v>
      </c>
      <c r="AA121" s="140">
        <f t="shared" si="417"/>
        <v>1.5102245833999495E-2</v>
      </c>
      <c r="AB121" s="140">
        <f t="shared" si="417"/>
        <v>1.5336916035731516E-2</v>
      </c>
      <c r="AC121" s="140">
        <f t="shared" si="417"/>
        <v>1.5566902437758528E-2</v>
      </c>
      <c r="AD121" s="140">
        <f t="shared" si="417"/>
        <v>1.5792486240631013E-2</v>
      </c>
      <c r="AE121" s="140">
        <f t="shared" si="417"/>
        <v>1.6013926873754258E-2</v>
      </c>
      <c r="AF121" s="140">
        <f t="shared" si="417"/>
        <v>1.6231462613892345E-2</v>
      </c>
      <c r="AG121" s="140">
        <f t="shared" si="417"/>
        <v>1.644531163659264E-2</v>
      </c>
      <c r="AH121" s="140">
        <f t="shared" si="417"/>
        <v>1.6655673311976583E-2</v>
      </c>
      <c r="AI121" s="140">
        <f t="shared" si="417"/>
        <v>1.686158812132901E-2</v>
      </c>
      <c r="AJ121" s="140">
        <f t="shared" si="417"/>
        <v>1.7065522081450929E-2</v>
      </c>
      <c r="AK121" s="140">
        <f t="shared" si="417"/>
        <v>1.7266467357006678E-2</v>
      </c>
      <c r="AL121" s="140">
        <f t="shared" si="417"/>
        <v>1.7464562287972933E-2</v>
      </c>
      <c r="AM121" s="140">
        <f t="shared" si="417"/>
        <v>1.765993326547597E-2</v>
      </c>
      <c r="AN121" s="140">
        <f t="shared" si="417"/>
        <v>1.7852695896886119E-2</v>
      </c>
      <c r="AO121" s="140">
        <f t="shared" si="417"/>
        <v>1.8042956072266816E-2</v>
      </c>
      <c r="AP121" s="140">
        <f t="shared" si="417"/>
        <v>1.8230810933369781E-2</v>
      </c>
      <c r="AQ121" s="140">
        <f t="shared" si="417"/>
        <v>1.8415325221761265E-2</v>
      </c>
      <c r="AR121" s="140">
        <f t="shared" si="417"/>
        <v>1.8598642372028698E-2</v>
      </c>
      <c r="AS121" s="140">
        <f t="shared" si="417"/>
        <v>1.8779801063141085E-2</v>
      </c>
      <c r="AT121" s="140">
        <f t="shared" si="417"/>
        <v>1.8958871386999757E-2</v>
      </c>
      <c r="AU121" s="140">
        <f t="shared" si="417"/>
        <v>1.9135918253396684E-2</v>
      </c>
      <c r="AV121" s="140">
        <f t="shared" si="417"/>
        <v>1.9311001895610136E-2</v>
      </c>
      <c r="AW121" s="140">
        <f t="shared" si="417"/>
        <v>1.9484178321740171E-2</v>
      </c>
      <c r="AX121" s="140">
        <f t="shared" si="417"/>
        <v>1.9655499717568442E-2</v>
      </c>
      <c r="AY121" s="140">
        <f t="shared" si="417"/>
        <v>1.9824077960300796E-2</v>
      </c>
      <c r="AZ121" s="140">
        <f t="shared" si="417"/>
        <v>1.9991841984779202E-2</v>
      </c>
      <c r="BA121" s="140">
        <f t="shared" si="417"/>
        <v>2.015788778131649E-2</v>
      </c>
      <c r="BB121" s="140">
        <f t="shared" si="417"/>
        <v>2.0322255493759524E-2</v>
      </c>
      <c r="BC121" s="140">
        <f t="shared" si="417"/>
        <v>2.0484982897353451E-2</v>
      </c>
      <c r="BD121" s="140">
        <f t="shared" si="417"/>
        <v>2.0646105605049463E-2</v>
      </c>
      <c r="BE121" s="140">
        <f t="shared" si="417"/>
        <v>2.080565725266411E-2</v>
      </c>
      <c r="BF121" s="140">
        <f t="shared" si="417"/>
        <v>2.0963669665268008E-2</v>
      </c>
      <c r="BG121" s="140">
        <f t="shared" si="417"/>
        <v>2.111930765920882E-2</v>
      </c>
      <c r="BH121" s="140">
        <f t="shared" si="417"/>
        <v>2.1274338715945536E-2</v>
      </c>
      <c r="BI121" s="140">
        <f t="shared" si="417"/>
        <v>2.142791642551508E-2</v>
      </c>
      <c r="BJ121" s="140">
        <f t="shared" si="417"/>
        <v>2.1580066733907239E-2</v>
      </c>
      <c r="BK121" s="140">
        <f t="shared" si="417"/>
        <v>2.173081439167392E-2</v>
      </c>
      <c r="BL121" s="140">
        <f t="shared" si="417"/>
        <v>2.1880183044151572E-2</v>
      </c>
      <c r="BM121" s="140">
        <f t="shared" si="417"/>
        <v>2.2028195313329824E-2</v>
      </c>
      <c r="BN121" s="140">
        <f t="shared" si="417"/>
        <v>2.2174872872245115E-2</v>
      </c>
      <c r="BO121" s="140">
        <f t="shared" ref="BO121:CB121" si="418">IF(BO119&lt;0,0,$B$5+$B$6*((1-EXP(-BO120/$B$9))/(BO120/$B$9))+$B$7*((1-EXP(-BO120/$B$9))/(BO120/$B$9)-EXP(-BO120/$B$9))+$B$8*((1-EXP(-BO120/$B$10))/(BO120/$B$10)-EXP(-BO120/$B$10)))</f>
        <v>2.2319432529353183E-2</v>
      </c>
      <c r="BP121" s="140">
        <f t="shared" si="418"/>
        <v>2.2463509358355942E-2</v>
      </c>
      <c r="BQ121" s="140">
        <f t="shared" si="418"/>
        <v>2.2606311345305122E-2</v>
      </c>
      <c r="BR121" s="140">
        <f t="shared" si="418"/>
        <v>2.2747856991096698E-2</v>
      </c>
      <c r="BS121" s="140">
        <f t="shared" si="418"/>
        <v>2.2888164131581883E-2</v>
      </c>
      <c r="BT121" s="140">
        <f t="shared" si="418"/>
        <v>2.302724998069795E-2</v>
      </c>
      <c r="BU121" s="140">
        <f t="shared" si="418"/>
        <v>2.31651311700324E-2</v>
      </c>
      <c r="BV121" s="140">
        <f t="shared" si="418"/>
        <v>2.3301823785161314E-2</v>
      </c>
      <c r="BW121" s="140">
        <f t="shared" si="418"/>
        <v>2.3436593724628828E-2</v>
      </c>
      <c r="BX121" s="140">
        <f t="shared" si="418"/>
        <v>2.3570961820457287E-2</v>
      </c>
      <c r="BY121" s="140">
        <f t="shared" si="418"/>
        <v>2.3704186563791762E-2</v>
      </c>
      <c r="BZ121" s="140">
        <f t="shared" si="418"/>
        <v>2.3836282167341384E-2</v>
      </c>
      <c r="CA121" s="140">
        <f t="shared" si="418"/>
        <v>2.396726244058435E-2</v>
      </c>
      <c r="CB121" s="140">
        <f t="shared" si="418"/>
        <v>2.4097140812149635E-2</v>
      </c>
      <c r="CC121" s="17"/>
      <c r="CD121" s="17"/>
      <c r="CE121" s="17"/>
    </row>
    <row r="122" spans="1:83">
      <c r="A122" s="16" t="s">
        <v>44</v>
      </c>
      <c r="B122" s="140">
        <f>EXP(-B121*B120)</f>
        <v>0.99679779751784936</v>
      </c>
      <c r="C122" s="140">
        <f t="shared" ref="C122:AR122" si="419">EXP(-C121*C120)</f>
        <v>0.99212166796489365</v>
      </c>
      <c r="D122" s="140">
        <f t="shared" si="419"/>
        <v>0.98772494275053335</v>
      </c>
      <c r="E122" s="140">
        <f t="shared" si="419"/>
        <v>0.98331654321655781</v>
      </c>
      <c r="F122" s="140">
        <f t="shared" si="419"/>
        <v>0.97870932096305352</v>
      </c>
      <c r="G122" s="140">
        <f t="shared" si="419"/>
        <v>0.97380224142135896</v>
      </c>
      <c r="H122" s="140">
        <f t="shared" si="419"/>
        <v>0.96854948831894938</v>
      </c>
      <c r="I122" s="140">
        <f t="shared" si="419"/>
        <v>0.96293963996215648</v>
      </c>
      <c r="J122" s="140">
        <f t="shared" si="419"/>
        <v>0.95698177197960121</v>
      </c>
      <c r="K122" s="140">
        <f t="shared" si="419"/>
        <v>0.95073210102742922</v>
      </c>
      <c r="L122" s="140">
        <f t="shared" si="419"/>
        <v>0.94414659836664483</v>
      </c>
      <c r="M122" s="140">
        <f t="shared" si="419"/>
        <v>0.93728703800367519</v>
      </c>
      <c r="N122" s="140">
        <f t="shared" si="419"/>
        <v>0.93018081390361707</v>
      </c>
      <c r="O122" s="140">
        <f t="shared" si="419"/>
        <v>0.92285374898502592</v>
      </c>
      <c r="P122" s="140">
        <f t="shared" si="419"/>
        <v>0.91532950451043071</v>
      </c>
      <c r="Q122" s="140">
        <f t="shared" si="419"/>
        <v>0.90762937991542336</v>
      </c>
      <c r="R122" s="140">
        <f t="shared" si="419"/>
        <v>0.89977234490387958</v>
      </c>
      <c r="S122" s="140">
        <f t="shared" si="419"/>
        <v>0.89181998741462454</v>
      </c>
      <c r="T122" s="140">
        <f t="shared" si="419"/>
        <v>0.88369824385717066</v>
      </c>
      <c r="U122" s="140">
        <f t="shared" si="419"/>
        <v>0.8754643236078149</v>
      </c>
      <c r="V122" s="140">
        <f t="shared" si="419"/>
        <v>0.86712991658975935</v>
      </c>
      <c r="W122" s="140">
        <f t="shared" si="419"/>
        <v>0.85870546579106932</v>
      </c>
      <c r="X122" s="140">
        <f t="shared" si="419"/>
        <v>0.85020036383137076</v>
      </c>
      <c r="Y122" s="140">
        <f t="shared" si="419"/>
        <v>0.84162312335474831</v>
      </c>
      <c r="Z122" s="140">
        <f t="shared" si="419"/>
        <v>0.83298152178087392</v>
      </c>
      <c r="AA122" s="140">
        <f t="shared" si="419"/>
        <v>0.82433119460513227</v>
      </c>
      <c r="AB122" s="140">
        <f t="shared" si="419"/>
        <v>0.81558210971679446</v>
      </c>
      <c r="AC122" s="140">
        <f t="shared" si="419"/>
        <v>0.80678865925354759</v>
      </c>
      <c r="AD122" s="140">
        <f t="shared" si="419"/>
        <v>0.79795669558498661</v>
      </c>
      <c r="AE122" s="140">
        <f t="shared" si="419"/>
        <v>0.78909175798365827</v>
      </c>
      <c r="AF122" s="140">
        <f t="shared" si="419"/>
        <v>0.78019911533599484</v>
      </c>
      <c r="AG122" s="140">
        <f t="shared" si="419"/>
        <v>0.7712838001302067</v>
      </c>
      <c r="AH122" s="140">
        <f t="shared" si="419"/>
        <v>0.76235063538590575</v>
      </c>
      <c r="AI122" s="140">
        <f t="shared" si="419"/>
        <v>0.7534539862573969</v>
      </c>
      <c r="AJ122" s="140">
        <f t="shared" si="419"/>
        <v>0.74449889200688035</v>
      </c>
      <c r="AK122" s="140">
        <f t="shared" si="419"/>
        <v>0.73553932795929899</v>
      </c>
      <c r="AL122" s="140">
        <f t="shared" si="419"/>
        <v>0.7265794520550608</v>
      </c>
      <c r="AM122" s="140">
        <f t="shared" si="419"/>
        <v>0.71762328242698126</v>
      </c>
      <c r="AN122" s="140">
        <f t="shared" si="419"/>
        <v>0.70867470386120568</v>
      </c>
      <c r="AO122" s="140">
        <f t="shared" si="419"/>
        <v>0.69973747293948907</v>
      </c>
      <c r="AP122" s="140">
        <f t="shared" si="419"/>
        <v>0.69081522217238667</v>
      </c>
      <c r="AQ122" s="140">
        <f t="shared" si="419"/>
        <v>0.68196087132607064</v>
      </c>
      <c r="AR122" s="140">
        <f t="shared" si="419"/>
        <v>0.6730788676293803</v>
      </c>
      <c r="AS122" s="140">
        <f>EXP(-AS121*AS120)</f>
        <v>0.66422201024790173</v>
      </c>
      <c r="AT122" s="140">
        <f t="shared" ref="AT122:CA122" si="420">EXP(-AT121*AT120)</f>
        <v>0.65539346467575199</v>
      </c>
      <c r="AU122" s="140">
        <f t="shared" si="420"/>
        <v>0.6465962847477934</v>
      </c>
      <c r="AV122" s="140">
        <f t="shared" si="420"/>
        <v>0.63783341432314122</v>
      </c>
      <c r="AW122" s="140">
        <f t="shared" si="420"/>
        <v>0.62910768886726298</v>
      </c>
      <c r="AX122" s="140">
        <f t="shared" si="420"/>
        <v>0.62042183697191322</v>
      </c>
      <c r="AY122" s="140">
        <f t="shared" si="420"/>
        <v>0.61182637841693888</v>
      </c>
      <c r="AZ122" s="140">
        <f t="shared" si="420"/>
        <v>0.60322778248753184</v>
      </c>
      <c r="BA122" s="140">
        <f t="shared" si="420"/>
        <v>0.59467660633468444</v>
      </c>
      <c r="BB122" s="140">
        <f t="shared" si="420"/>
        <v>0.58617516644306167</v>
      </c>
      <c r="BC122" s="140">
        <f t="shared" si="420"/>
        <v>0.57772567987154066</v>
      </c>
      <c r="BD122" s="140">
        <f t="shared" si="420"/>
        <v>0.56933026579862811</v>
      </c>
      <c r="BE122" s="140">
        <f t="shared" si="420"/>
        <v>0.56099094709800423</v>
      </c>
      <c r="BF122" s="140">
        <f t="shared" si="420"/>
        <v>0.55270965194531485</v>
      </c>
      <c r="BG122" s="140">
        <f t="shared" si="420"/>
        <v>0.54453372150902246</v>
      </c>
      <c r="BH122" s="140">
        <f t="shared" si="420"/>
        <v>0.53637354052051434</v>
      </c>
      <c r="BI122" s="140">
        <f t="shared" si="420"/>
        <v>0.52827660700405521</v>
      </c>
      <c r="BJ122" s="140">
        <f t="shared" si="420"/>
        <v>0.52024448750167873</v>
      </c>
      <c r="BK122" s="140">
        <f t="shared" si="420"/>
        <v>0.51227866232283015</v>
      </c>
      <c r="BL122" s="140">
        <f t="shared" si="420"/>
        <v>0.50438052731431726</v>
      </c>
      <c r="BM122" s="140">
        <f t="shared" si="420"/>
        <v>0.49655139564951606</v>
      </c>
      <c r="BN122" s="140">
        <f t="shared" si="420"/>
        <v>0.4887924996341052</v>
      </c>
      <c r="BO122" s="140">
        <f t="shared" si="420"/>
        <v>0.4811475016863459</v>
      </c>
      <c r="BP122" s="140">
        <f t="shared" si="420"/>
        <v>0.47353205410850258</v>
      </c>
      <c r="BQ122" s="140">
        <f t="shared" si="420"/>
        <v>0.46599006678440474</v>
      </c>
      <c r="BR122" s="140">
        <f t="shared" si="420"/>
        <v>0.45852246724491419</v>
      </c>
      <c r="BS122" s="140">
        <f t="shared" si="420"/>
        <v>0.45113011132470582</v>
      </c>
      <c r="BT122" s="140">
        <f t="shared" si="420"/>
        <v>0.44381378501099172</v>
      </c>
      <c r="BU122" s="140">
        <f t="shared" si="420"/>
        <v>0.43657420629066623</v>
      </c>
      <c r="BV122" s="140">
        <f t="shared" si="420"/>
        <v>0.42941202699361058</v>
      </c>
      <c r="BW122" s="140">
        <f t="shared" si="420"/>
        <v>0.42236697483485836</v>
      </c>
      <c r="BX122" s="140">
        <f t="shared" si="420"/>
        <v>0.4153608569088838</v>
      </c>
      <c r="BY122" s="140">
        <f t="shared" si="420"/>
        <v>0.40843371286920938</v>
      </c>
      <c r="BZ122" s="140">
        <f t="shared" si="420"/>
        <v>0.40158594852271734</v>
      </c>
      <c r="CA122" s="140">
        <f t="shared" si="420"/>
        <v>0.39481791259650412</v>
      </c>
      <c r="CB122" s="140">
        <f>EXP(-CB121*CB120)</f>
        <v>0.38812989851664409</v>
      </c>
      <c r="CC122" s="17"/>
      <c r="CD122" s="17"/>
      <c r="CE122" s="17"/>
    </row>
    <row r="123" spans="1:83">
      <c r="A123" s="17"/>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17"/>
      <c r="CD123" s="17"/>
      <c r="CE123" s="17"/>
    </row>
    <row r="124" spans="1:83">
      <c r="A124" s="16" t="s">
        <v>40</v>
      </c>
      <c r="B124" s="140">
        <f t="shared" ref="B124:BM124" si="421">DAYS360($B$3,B46)</f>
        <v>139</v>
      </c>
      <c r="C124" s="140">
        <f t="shared" si="421"/>
        <v>319</v>
      </c>
      <c r="D124" s="140">
        <f t="shared" si="421"/>
        <v>498</v>
      </c>
      <c r="E124" s="140">
        <f t="shared" si="421"/>
        <v>679</v>
      </c>
      <c r="F124" s="140">
        <f t="shared" si="421"/>
        <v>858</v>
      </c>
      <c r="G124" s="140">
        <f t="shared" si="421"/>
        <v>1039</v>
      </c>
      <c r="H124" s="140">
        <f t="shared" si="421"/>
        <v>1218</v>
      </c>
      <c r="I124" s="140">
        <f t="shared" si="421"/>
        <v>1399</v>
      </c>
      <c r="J124" s="140">
        <f t="shared" si="421"/>
        <v>1578</v>
      </c>
      <c r="K124" s="140">
        <f t="shared" si="421"/>
        <v>1758</v>
      </c>
      <c r="L124" s="140">
        <f t="shared" si="421"/>
        <v>1937</v>
      </c>
      <c r="M124" s="140">
        <f t="shared" si="421"/>
        <v>2118</v>
      </c>
      <c r="N124" s="140">
        <f t="shared" si="421"/>
        <v>2297</v>
      </c>
      <c r="O124" s="140">
        <f t="shared" si="421"/>
        <v>2478</v>
      </c>
      <c r="P124" s="140">
        <f t="shared" si="421"/>
        <v>2657</v>
      </c>
      <c r="Q124" s="140">
        <f t="shared" si="421"/>
        <v>2838</v>
      </c>
      <c r="R124" s="140">
        <f t="shared" si="421"/>
        <v>3017</v>
      </c>
      <c r="S124" s="140">
        <f t="shared" si="421"/>
        <v>3197</v>
      </c>
      <c r="T124" s="140">
        <f t="shared" si="421"/>
        <v>3376</v>
      </c>
      <c r="U124" s="140">
        <f t="shared" si="421"/>
        <v>3557</v>
      </c>
      <c r="V124" s="140">
        <f t="shared" si="421"/>
        <v>3736</v>
      </c>
      <c r="W124" s="140">
        <f t="shared" si="421"/>
        <v>3917</v>
      </c>
      <c r="X124" s="140">
        <f t="shared" si="421"/>
        <v>4096</v>
      </c>
      <c r="Y124" s="140">
        <f t="shared" si="421"/>
        <v>4277</v>
      </c>
      <c r="Z124" s="140">
        <f t="shared" si="421"/>
        <v>4456</v>
      </c>
      <c r="AA124" s="140">
        <f t="shared" si="421"/>
        <v>4636</v>
      </c>
      <c r="AB124" s="140">
        <f t="shared" si="421"/>
        <v>4815</v>
      </c>
      <c r="AC124" s="140">
        <f t="shared" si="421"/>
        <v>4996</v>
      </c>
      <c r="AD124" s="140">
        <f t="shared" si="421"/>
        <v>5175</v>
      </c>
      <c r="AE124" s="140">
        <f t="shared" si="421"/>
        <v>5356</v>
      </c>
      <c r="AF124" s="140">
        <f t="shared" si="421"/>
        <v>5535</v>
      </c>
      <c r="AG124" s="140">
        <f t="shared" si="421"/>
        <v>5716</v>
      </c>
      <c r="AH124" s="140">
        <f t="shared" si="421"/>
        <v>5895</v>
      </c>
      <c r="AI124" s="140">
        <f t="shared" si="421"/>
        <v>6075</v>
      </c>
      <c r="AJ124" s="140">
        <f t="shared" si="421"/>
        <v>6254</v>
      </c>
      <c r="AK124" s="140">
        <f t="shared" si="421"/>
        <v>6435</v>
      </c>
      <c r="AL124" s="140">
        <f t="shared" si="421"/>
        <v>6614</v>
      </c>
      <c r="AM124" s="140">
        <f t="shared" si="421"/>
        <v>6795</v>
      </c>
      <c r="AN124" s="140">
        <f t="shared" si="421"/>
        <v>6974</v>
      </c>
      <c r="AO124" s="140">
        <f t="shared" si="421"/>
        <v>7155</v>
      </c>
      <c r="AP124" s="140">
        <f t="shared" si="421"/>
        <v>7334</v>
      </c>
      <c r="AQ124" s="140">
        <f t="shared" si="421"/>
        <v>7514</v>
      </c>
      <c r="AR124" s="140">
        <f t="shared" si="421"/>
        <v>7693</v>
      </c>
      <c r="AS124" s="140">
        <f t="shared" si="421"/>
        <v>7874</v>
      </c>
      <c r="AT124" s="140">
        <f t="shared" si="421"/>
        <v>8053</v>
      </c>
      <c r="AU124" s="140">
        <f t="shared" si="421"/>
        <v>8234</v>
      </c>
      <c r="AV124" s="140">
        <f t="shared" si="421"/>
        <v>8413</v>
      </c>
      <c r="AW124" s="140">
        <f t="shared" si="421"/>
        <v>8594</v>
      </c>
      <c r="AX124" s="140">
        <f t="shared" si="421"/>
        <v>8773</v>
      </c>
      <c r="AY124" s="140">
        <f t="shared" si="421"/>
        <v>8953</v>
      </c>
      <c r="AZ124" s="140">
        <f t="shared" si="421"/>
        <v>9132</v>
      </c>
      <c r="BA124" s="140">
        <f t="shared" si="421"/>
        <v>9313</v>
      </c>
      <c r="BB124" s="140">
        <f t="shared" si="421"/>
        <v>9492</v>
      </c>
      <c r="BC124" s="140">
        <f t="shared" si="421"/>
        <v>9673</v>
      </c>
      <c r="BD124" s="140">
        <f t="shared" si="421"/>
        <v>9852</v>
      </c>
      <c r="BE124" s="140">
        <f t="shared" si="421"/>
        <v>10033</v>
      </c>
      <c r="BF124" s="140">
        <f t="shared" si="421"/>
        <v>10212</v>
      </c>
      <c r="BG124" s="140">
        <f t="shared" si="421"/>
        <v>10392</v>
      </c>
      <c r="BH124" s="140">
        <f t="shared" si="421"/>
        <v>10571</v>
      </c>
      <c r="BI124" s="140">
        <f t="shared" si="421"/>
        <v>10752</v>
      </c>
      <c r="BJ124" s="140">
        <f t="shared" si="421"/>
        <v>10931</v>
      </c>
      <c r="BK124" s="140">
        <f t="shared" si="421"/>
        <v>11112</v>
      </c>
      <c r="BL124" s="140">
        <f t="shared" si="421"/>
        <v>11291</v>
      </c>
      <c r="BM124" s="140">
        <f t="shared" si="421"/>
        <v>11472</v>
      </c>
      <c r="BN124" s="140">
        <f t="shared" ref="BN124:CB124" si="422">DAYS360($B$3,BN46)</f>
        <v>11651</v>
      </c>
      <c r="BO124" s="140">
        <f t="shared" si="422"/>
        <v>11831</v>
      </c>
      <c r="BP124" s="140">
        <f t="shared" si="422"/>
        <v>12010</v>
      </c>
      <c r="BQ124" s="140">
        <f t="shared" si="422"/>
        <v>12191</v>
      </c>
      <c r="BR124" s="140">
        <f t="shared" si="422"/>
        <v>12370</v>
      </c>
      <c r="BS124" s="140">
        <f t="shared" si="422"/>
        <v>12551</v>
      </c>
      <c r="BT124" s="140">
        <f t="shared" si="422"/>
        <v>12730</v>
      </c>
      <c r="BU124" s="140">
        <f t="shared" si="422"/>
        <v>12911</v>
      </c>
      <c r="BV124" s="140">
        <f t="shared" si="422"/>
        <v>13090</v>
      </c>
      <c r="BW124" s="140">
        <f t="shared" si="422"/>
        <v>13270</v>
      </c>
      <c r="BX124" s="140">
        <f t="shared" si="422"/>
        <v>13449</v>
      </c>
      <c r="BY124" s="140">
        <f t="shared" si="422"/>
        <v>13630</v>
      </c>
      <c r="BZ124" s="140">
        <f t="shared" si="422"/>
        <v>13809</v>
      </c>
      <c r="CA124" s="140">
        <f t="shared" si="422"/>
        <v>13990</v>
      </c>
      <c r="CB124" s="140">
        <f t="shared" si="422"/>
        <v>14169</v>
      </c>
      <c r="CC124" s="17"/>
      <c r="CD124" s="17"/>
      <c r="CE124" s="17"/>
    </row>
    <row r="125" spans="1:83">
      <c r="A125" s="16" t="s">
        <v>41</v>
      </c>
      <c r="B125" s="140">
        <f>B124/360</f>
        <v>0.38611111111111113</v>
      </c>
      <c r="C125" s="140">
        <f t="shared" ref="C125:BN125" si="423">C124/360</f>
        <v>0.88611111111111107</v>
      </c>
      <c r="D125" s="140">
        <f t="shared" si="423"/>
        <v>1.3833333333333333</v>
      </c>
      <c r="E125" s="140">
        <f t="shared" si="423"/>
        <v>1.8861111111111111</v>
      </c>
      <c r="F125" s="140">
        <f t="shared" si="423"/>
        <v>2.3833333333333333</v>
      </c>
      <c r="G125" s="140">
        <f t="shared" si="423"/>
        <v>2.8861111111111111</v>
      </c>
      <c r="H125" s="140">
        <f t="shared" si="423"/>
        <v>3.3833333333333333</v>
      </c>
      <c r="I125" s="140">
        <f t="shared" si="423"/>
        <v>3.8861111111111111</v>
      </c>
      <c r="J125" s="140">
        <f t="shared" si="423"/>
        <v>4.3833333333333337</v>
      </c>
      <c r="K125" s="140">
        <f t="shared" si="423"/>
        <v>4.8833333333333337</v>
      </c>
      <c r="L125" s="140">
        <f t="shared" si="423"/>
        <v>5.3805555555555555</v>
      </c>
      <c r="M125" s="140">
        <f t="shared" si="423"/>
        <v>5.8833333333333337</v>
      </c>
      <c r="N125" s="140">
        <f t="shared" si="423"/>
        <v>6.3805555555555555</v>
      </c>
      <c r="O125" s="140">
        <f t="shared" si="423"/>
        <v>6.8833333333333337</v>
      </c>
      <c r="P125" s="140">
        <f t="shared" si="423"/>
        <v>7.3805555555555555</v>
      </c>
      <c r="Q125" s="140">
        <f t="shared" si="423"/>
        <v>7.8833333333333337</v>
      </c>
      <c r="R125" s="140">
        <f t="shared" si="423"/>
        <v>8.3805555555555564</v>
      </c>
      <c r="S125" s="140">
        <f t="shared" si="423"/>
        <v>8.8805555555555564</v>
      </c>
      <c r="T125" s="140">
        <f t="shared" si="423"/>
        <v>9.3777777777777782</v>
      </c>
      <c r="U125" s="140">
        <f t="shared" si="423"/>
        <v>9.8805555555555564</v>
      </c>
      <c r="V125" s="140">
        <f t="shared" si="423"/>
        <v>10.377777777777778</v>
      </c>
      <c r="W125" s="140">
        <f t="shared" si="423"/>
        <v>10.880555555555556</v>
      </c>
      <c r="X125" s="140">
        <f t="shared" si="423"/>
        <v>11.377777777777778</v>
      </c>
      <c r="Y125" s="140">
        <f t="shared" si="423"/>
        <v>11.880555555555556</v>
      </c>
      <c r="Z125" s="140">
        <f t="shared" si="423"/>
        <v>12.377777777777778</v>
      </c>
      <c r="AA125" s="140">
        <f t="shared" si="423"/>
        <v>12.877777777777778</v>
      </c>
      <c r="AB125" s="140">
        <f t="shared" si="423"/>
        <v>13.375</v>
      </c>
      <c r="AC125" s="140">
        <f t="shared" si="423"/>
        <v>13.877777777777778</v>
      </c>
      <c r="AD125" s="140">
        <f t="shared" si="423"/>
        <v>14.375</v>
      </c>
      <c r="AE125" s="140">
        <f t="shared" si="423"/>
        <v>14.877777777777778</v>
      </c>
      <c r="AF125" s="140">
        <f t="shared" si="423"/>
        <v>15.375</v>
      </c>
      <c r="AG125" s="140">
        <f t="shared" si="423"/>
        <v>15.877777777777778</v>
      </c>
      <c r="AH125" s="140">
        <f t="shared" si="423"/>
        <v>16.375</v>
      </c>
      <c r="AI125" s="140">
        <f t="shared" si="423"/>
        <v>16.875</v>
      </c>
      <c r="AJ125" s="140">
        <f t="shared" si="423"/>
        <v>17.372222222222224</v>
      </c>
      <c r="AK125" s="140">
        <f t="shared" si="423"/>
        <v>17.875</v>
      </c>
      <c r="AL125" s="140">
        <f t="shared" si="423"/>
        <v>18.372222222222224</v>
      </c>
      <c r="AM125" s="140">
        <f t="shared" si="423"/>
        <v>18.875</v>
      </c>
      <c r="AN125" s="140">
        <f t="shared" si="423"/>
        <v>19.372222222222224</v>
      </c>
      <c r="AO125" s="140">
        <f t="shared" si="423"/>
        <v>19.875</v>
      </c>
      <c r="AP125" s="140">
        <f t="shared" si="423"/>
        <v>20.372222222222224</v>
      </c>
      <c r="AQ125" s="140">
        <f t="shared" si="423"/>
        <v>20.872222222222224</v>
      </c>
      <c r="AR125" s="140">
        <f t="shared" si="423"/>
        <v>21.369444444444444</v>
      </c>
      <c r="AS125" s="140">
        <f t="shared" si="423"/>
        <v>21.872222222222224</v>
      </c>
      <c r="AT125" s="140">
        <f t="shared" si="423"/>
        <v>22.369444444444444</v>
      </c>
      <c r="AU125" s="140">
        <f t="shared" si="423"/>
        <v>22.872222222222224</v>
      </c>
      <c r="AV125" s="140">
        <f t="shared" si="423"/>
        <v>23.369444444444444</v>
      </c>
      <c r="AW125" s="140">
        <f t="shared" si="423"/>
        <v>23.872222222222224</v>
      </c>
      <c r="AX125" s="140">
        <f t="shared" si="423"/>
        <v>24.369444444444444</v>
      </c>
      <c r="AY125" s="140">
        <f t="shared" si="423"/>
        <v>24.869444444444444</v>
      </c>
      <c r="AZ125" s="140">
        <f t="shared" si="423"/>
        <v>25.366666666666667</v>
      </c>
      <c r="BA125" s="140">
        <f t="shared" si="423"/>
        <v>25.869444444444444</v>
      </c>
      <c r="BB125" s="140">
        <f t="shared" si="423"/>
        <v>26.366666666666667</v>
      </c>
      <c r="BC125" s="140">
        <f t="shared" si="423"/>
        <v>26.869444444444444</v>
      </c>
      <c r="BD125" s="140">
        <f t="shared" si="423"/>
        <v>27.366666666666667</v>
      </c>
      <c r="BE125" s="140">
        <f t="shared" si="423"/>
        <v>27.869444444444444</v>
      </c>
      <c r="BF125" s="140">
        <f t="shared" si="423"/>
        <v>28.366666666666667</v>
      </c>
      <c r="BG125" s="140">
        <f t="shared" si="423"/>
        <v>28.866666666666667</v>
      </c>
      <c r="BH125" s="140">
        <f t="shared" si="423"/>
        <v>29.363888888888887</v>
      </c>
      <c r="BI125" s="140">
        <f t="shared" si="423"/>
        <v>29.866666666666667</v>
      </c>
      <c r="BJ125" s="140">
        <f t="shared" si="423"/>
        <v>30.363888888888887</v>
      </c>
      <c r="BK125" s="140">
        <f t="shared" si="423"/>
        <v>30.866666666666667</v>
      </c>
      <c r="BL125" s="140">
        <f t="shared" si="423"/>
        <v>31.363888888888887</v>
      </c>
      <c r="BM125" s="140">
        <f t="shared" si="423"/>
        <v>31.866666666666667</v>
      </c>
      <c r="BN125" s="140">
        <f t="shared" si="423"/>
        <v>32.363888888888887</v>
      </c>
      <c r="BO125" s="140">
        <f t="shared" ref="BO125:CB125" si="424">BO124/360</f>
        <v>32.863888888888887</v>
      </c>
      <c r="BP125" s="140">
        <f t="shared" si="424"/>
        <v>33.361111111111114</v>
      </c>
      <c r="BQ125" s="140">
        <f t="shared" si="424"/>
        <v>33.863888888888887</v>
      </c>
      <c r="BR125" s="140">
        <f t="shared" si="424"/>
        <v>34.361111111111114</v>
      </c>
      <c r="BS125" s="140">
        <f t="shared" si="424"/>
        <v>34.863888888888887</v>
      </c>
      <c r="BT125" s="140">
        <f t="shared" si="424"/>
        <v>35.361111111111114</v>
      </c>
      <c r="BU125" s="140">
        <f t="shared" si="424"/>
        <v>35.863888888888887</v>
      </c>
      <c r="BV125" s="140">
        <f t="shared" si="424"/>
        <v>36.361111111111114</v>
      </c>
      <c r="BW125" s="140">
        <f t="shared" si="424"/>
        <v>36.861111111111114</v>
      </c>
      <c r="BX125" s="140">
        <f t="shared" si="424"/>
        <v>37.358333333333334</v>
      </c>
      <c r="BY125" s="140">
        <f t="shared" si="424"/>
        <v>37.861111111111114</v>
      </c>
      <c r="BZ125" s="140">
        <f t="shared" si="424"/>
        <v>38.358333333333334</v>
      </c>
      <c r="CA125" s="140">
        <f t="shared" si="424"/>
        <v>38.861111111111114</v>
      </c>
      <c r="CB125" s="140">
        <f t="shared" si="424"/>
        <v>39.358333333333334</v>
      </c>
      <c r="CC125" s="17"/>
      <c r="CD125" s="17"/>
      <c r="CE125" s="17"/>
    </row>
    <row r="126" spans="1:83">
      <c r="A126" s="16" t="s">
        <v>43</v>
      </c>
      <c r="B126" s="140">
        <f>IF(B124&lt;0,0,$B$5+$B$6*((1-EXP(-B125/$B$9))/(B125/$B$9))+$B$7*((1-EXP(-B125/$B$9))/(B125/$B$9)-EXP(-B125/$B$9))+$B$8*((1-EXP(-B125/$B$10))/(B125/$B$10)-EXP(-B125/$B$10)))</f>
        <v>1.044746682906874E-2</v>
      </c>
      <c r="C126" s="140">
        <f t="shared" ref="C126:BN126" si="425">IF(C124&lt;0,0,$B$5+$B$6*((1-EXP(-C125/$B$9))/(C125/$B$9))+$B$7*((1-EXP(-C125/$B$9))/(C125/$B$9)-EXP(-C125/$B$9))+$B$8*((1-EXP(-C125/$B$10))/(C125/$B$10)-EXP(-C125/$B$10)))</f>
        <v>9.8002019655160904E-3</v>
      </c>
      <c r="D126" s="140">
        <f t="shared" si="425"/>
        <v>9.4611027020193219E-3</v>
      </c>
      <c r="E126" s="140">
        <f t="shared" si="425"/>
        <v>9.3383945960768926E-3</v>
      </c>
      <c r="F126" s="140">
        <f t="shared" si="425"/>
        <v>9.3706824234424269E-3</v>
      </c>
      <c r="G126" s="140">
        <f t="shared" si="425"/>
        <v>9.5112189810111249E-3</v>
      </c>
      <c r="H126" s="140">
        <f t="shared" si="425"/>
        <v>9.722933482509917E-3</v>
      </c>
      <c r="I126" s="140">
        <f t="shared" si="425"/>
        <v>9.9856582624213829E-3</v>
      </c>
      <c r="J126" s="140">
        <f t="shared" si="425"/>
        <v>1.0275989987234111E-2</v>
      </c>
      <c r="K126" s="140">
        <f t="shared" si="425"/>
        <v>1.0585958727476176E-2</v>
      </c>
      <c r="L126" s="140">
        <f t="shared" si="425"/>
        <v>1.090334853976932E-2</v>
      </c>
      <c r="M126" s="140">
        <f t="shared" si="425"/>
        <v>1.1227361017924278E-2</v>
      </c>
      <c r="N126" s="140">
        <f t="shared" si="425"/>
        <v>1.1546674690098235E-2</v>
      </c>
      <c r="O126" s="140">
        <f t="shared" si="425"/>
        <v>1.186563040897704E-2</v>
      </c>
      <c r="P126" s="140">
        <f t="shared" si="425"/>
        <v>1.2175431009222325E-2</v>
      </c>
      <c r="Q126" s="140">
        <f t="shared" si="425"/>
        <v>1.2481945972479837E-2</v>
      </c>
      <c r="R126" s="140">
        <f t="shared" si="425"/>
        <v>1.2777860008540165E-2</v>
      </c>
      <c r="S126" s="140">
        <f t="shared" si="425"/>
        <v>1.3067991322600461E-2</v>
      </c>
      <c r="T126" s="140">
        <f t="shared" si="425"/>
        <v>1.334914455195013E-2</v>
      </c>
      <c r="U126" s="140">
        <f t="shared" si="425"/>
        <v>1.3626149870717769E-2</v>
      </c>
      <c r="V126" s="140">
        <f t="shared" si="425"/>
        <v>1.3893155929520092E-2</v>
      </c>
      <c r="W126" s="140">
        <f t="shared" si="425"/>
        <v>1.4156457361889819E-2</v>
      </c>
      <c r="X126" s="140">
        <f t="shared" si="425"/>
        <v>1.4410583873491884E-2</v>
      </c>
      <c r="Y126" s="140">
        <f t="shared" si="425"/>
        <v>1.4661574690679427E-2</v>
      </c>
      <c r="Z126" s="140">
        <f t="shared" si="425"/>
        <v>1.4904232441568584E-2</v>
      </c>
      <c r="AA126" s="140">
        <f t="shared" si="425"/>
        <v>1.5143008005788135E-2</v>
      </c>
      <c r="AB126" s="140">
        <f t="shared" si="425"/>
        <v>1.5375564501328785E-2</v>
      </c>
      <c r="AC126" s="140">
        <f t="shared" si="425"/>
        <v>1.5606059301823729E-2</v>
      </c>
      <c r="AD126" s="140">
        <f t="shared" si="425"/>
        <v>1.5829674040969768E-2</v>
      </c>
      <c r="AE126" s="140">
        <f t="shared" si="425"/>
        <v>1.6051663380662686E-2</v>
      </c>
      <c r="AF126" s="140">
        <f t="shared" si="425"/>
        <v>1.626735453012066E-2</v>
      </c>
      <c r="AG126" s="140">
        <f t="shared" si="425"/>
        <v>1.6481783891068903E-2</v>
      </c>
      <c r="AH126" s="140">
        <f t="shared" si="425"/>
        <v>1.6690407562240335E-2</v>
      </c>
      <c r="AI126" s="140">
        <f t="shared" si="425"/>
        <v>1.6896929521107121E-2</v>
      </c>
      <c r="AJ126" s="140">
        <f t="shared" si="425"/>
        <v>1.7099216615706687E-2</v>
      </c>
      <c r="AK126" s="140">
        <f t="shared" si="425"/>
        <v>1.7300783215590695E-2</v>
      </c>
      <c r="AL126" s="140">
        <f t="shared" si="425"/>
        <v>1.7497310031370235E-2</v>
      </c>
      <c r="AM126" s="140">
        <f t="shared" si="425"/>
        <v>1.7693314132032914E-2</v>
      </c>
      <c r="AN126" s="140">
        <f t="shared" si="425"/>
        <v>1.7884576981000044E-2</v>
      </c>
      <c r="AO126" s="140">
        <f t="shared" si="425"/>
        <v>1.8075477724811977E-2</v>
      </c>
      <c r="AP126" s="140">
        <f t="shared" si="425"/>
        <v>1.8261892602634541E-2</v>
      </c>
      <c r="AQ126" s="140">
        <f t="shared" si="425"/>
        <v>1.8447053581679571E-2</v>
      </c>
      <c r="AR126" s="140">
        <f t="shared" si="425"/>
        <v>1.8628983419345265E-2</v>
      </c>
      <c r="AS126" s="140">
        <f t="shared" si="425"/>
        <v>1.8810787941976263E-2</v>
      </c>
      <c r="AT126" s="140">
        <f t="shared" si="425"/>
        <v>1.8988518033941162E-2</v>
      </c>
      <c r="AU126" s="140">
        <f t="shared" si="425"/>
        <v>1.9166209876266899E-2</v>
      </c>
      <c r="AV126" s="140">
        <f t="shared" si="425"/>
        <v>1.9339995624242386E-2</v>
      </c>
      <c r="AW126" s="140">
        <f t="shared" si="425"/>
        <v>1.9513814502155842E-2</v>
      </c>
      <c r="AX126" s="140">
        <f t="shared" si="425"/>
        <v>1.968387640209264E-2</v>
      </c>
      <c r="AY126" s="140">
        <f t="shared" si="425"/>
        <v>1.985309495157634E-2</v>
      </c>
      <c r="AZ126" s="140">
        <f t="shared" si="425"/>
        <v>2.001963449058719E-2</v>
      </c>
      <c r="BA126" s="140">
        <f t="shared" si="425"/>
        <v>2.01863140882249E-2</v>
      </c>
      <c r="BB126" s="140">
        <f t="shared" si="425"/>
        <v>2.0349489650538389E-2</v>
      </c>
      <c r="BC126" s="140">
        <f t="shared" si="425"/>
        <v>2.0512845231200918E-2</v>
      </c>
      <c r="BD126" s="140">
        <f t="shared" si="425"/>
        <v>2.0672805766669675E-2</v>
      </c>
      <c r="BE126" s="140">
        <f t="shared" si="425"/>
        <v>2.0832979359006711E-2</v>
      </c>
      <c r="BF126" s="140">
        <f t="shared" si="425"/>
        <v>2.0989857560529526E-2</v>
      </c>
      <c r="BG126" s="140">
        <f t="shared" si="425"/>
        <v>2.1146112213947341E-2</v>
      </c>
      <c r="BH126" s="140">
        <f t="shared" si="425"/>
        <v>2.130003521158836E-2</v>
      </c>
      <c r="BI126" s="140">
        <f t="shared" si="425"/>
        <v>2.1454221132074593E-2</v>
      </c>
      <c r="BJ126" s="140">
        <f t="shared" si="425"/>
        <v>2.1605288098037457E-2</v>
      </c>
      <c r="BK126" s="140">
        <f t="shared" si="425"/>
        <v>2.175663664695314E-2</v>
      </c>
      <c r="BL126" s="140">
        <f t="shared" si="425"/>
        <v>2.1904945352293443E-2</v>
      </c>
      <c r="BM126" s="140">
        <f t="shared" si="425"/>
        <v>2.2053550997817927E-2</v>
      </c>
      <c r="BN126" s="140">
        <f t="shared" si="425"/>
        <v>2.2199190840787027E-2</v>
      </c>
      <c r="BO126" s="140">
        <f t="shared" ref="BO126:CB126" si="426">IF(BO124&lt;0,0,$B$5+$B$6*((1-EXP(-BO125/$B$9))/(BO125/$B$9))+$B$7*((1-EXP(-BO125/$B$9))/(BO125/$B$9)-EXP(-BO125/$B$9))+$B$8*((1-EXP(-BO125/$B$10))/(BO125/$B$10)-EXP(-BO125/$B$10)))</f>
        <v>2.2344337457829721E-2</v>
      </c>
      <c r="BP126" s="140">
        <f t="shared" si="426"/>
        <v>2.2487397712022451E-2</v>
      </c>
      <c r="BQ126" s="140">
        <f t="shared" si="426"/>
        <v>2.2630777699066806E-2</v>
      </c>
      <c r="BR126" s="140">
        <f t="shared" si="426"/>
        <v>2.2771327049464163E-2</v>
      </c>
      <c r="BS126" s="140">
        <f t="shared" si="426"/>
        <v>2.2912204389869347E-2</v>
      </c>
      <c r="BT126" s="140">
        <f t="shared" si="426"/>
        <v>2.3050313394867662E-2</v>
      </c>
      <c r="BU126" s="140">
        <f t="shared" si="426"/>
        <v>2.3188756958476803E-2</v>
      </c>
      <c r="BV126" s="140">
        <f t="shared" si="426"/>
        <v>2.3324491432536797E-2</v>
      </c>
      <c r="BW126" s="140">
        <f t="shared" si="426"/>
        <v>2.3459817026018692E-2</v>
      </c>
      <c r="BX126" s="140">
        <f t="shared" si="426"/>
        <v>2.3593244954838229E-2</v>
      </c>
      <c r="BY126" s="140">
        <f t="shared" si="426"/>
        <v>2.3727016458610653E-2</v>
      </c>
      <c r="BZ126" s="140">
        <f t="shared" si="426"/>
        <v>2.3858189299120623E-2</v>
      </c>
      <c r="CA126" s="140">
        <f t="shared" si="426"/>
        <v>2.3989708558396071E-2</v>
      </c>
      <c r="CB126" s="140">
        <f t="shared" si="426"/>
        <v>2.4118681000785534E-2</v>
      </c>
      <c r="CC126" s="17"/>
      <c r="CD126" s="17"/>
      <c r="CE126" s="17"/>
    </row>
    <row r="127" spans="1:83">
      <c r="A127" s="16" t="s">
        <v>44</v>
      </c>
      <c r="B127" s="140">
        <f>EXP(-B126*B125)</f>
        <v>0.99597424215145447</v>
      </c>
      <c r="C127" s="140">
        <f t="shared" ref="C127:AR127" si="427">EXP(-C126*C125)</f>
        <v>0.99135352975236024</v>
      </c>
      <c r="D127" s="140">
        <f t="shared" si="427"/>
        <v>0.9869974148637064</v>
      </c>
      <c r="E127" s="140">
        <f t="shared" si="427"/>
        <v>0.98254095678972031</v>
      </c>
      <c r="F127" s="140">
        <f t="shared" si="427"/>
        <v>0.97791408566355476</v>
      </c>
      <c r="G127" s="140">
        <f t="shared" si="427"/>
        <v>0.97292290449491114</v>
      </c>
      <c r="H127" s="140">
        <f t="shared" si="427"/>
        <v>0.96763926145399726</v>
      </c>
      <c r="I127" s="140">
        <f t="shared" si="427"/>
        <v>0.96193790566510706</v>
      </c>
      <c r="J127" s="140">
        <f t="shared" si="427"/>
        <v>0.95595628932058896</v>
      </c>
      <c r="K127" s="140">
        <f t="shared" si="427"/>
        <v>0.94961867935461741</v>
      </c>
      <c r="L127" s="140">
        <f t="shared" si="427"/>
        <v>0.94302161738067503</v>
      </c>
      <c r="M127" s="140">
        <f t="shared" si="427"/>
        <v>0.9360800269116577</v>
      </c>
      <c r="N127" s="140">
        <f t="shared" si="427"/>
        <v>0.92897430498289246</v>
      </c>
      <c r="O127" s="140">
        <f t="shared" si="427"/>
        <v>0.92157133843260841</v>
      </c>
      <c r="P127" s="140">
        <f t="shared" si="427"/>
        <v>0.91405782380117262</v>
      </c>
      <c r="Q127" s="140">
        <f t="shared" si="427"/>
        <v>0.90628691418437024</v>
      </c>
      <c r="R127" s="140">
        <f t="shared" si="427"/>
        <v>0.89844879331686622</v>
      </c>
      <c r="S127" s="140">
        <f t="shared" si="427"/>
        <v>0.89042978979278276</v>
      </c>
      <c r="T127" s="140">
        <f t="shared" si="427"/>
        <v>0.88233338123655614</v>
      </c>
      <c r="U127" s="140">
        <f t="shared" si="427"/>
        <v>0.87403581071666947</v>
      </c>
      <c r="V127" s="140">
        <f t="shared" si="427"/>
        <v>0.86573182881766442</v>
      </c>
      <c r="W127" s="140">
        <f t="shared" si="427"/>
        <v>0.8572461996847669</v>
      </c>
      <c r="X127" s="140">
        <f t="shared" si="427"/>
        <v>0.8487756149389013</v>
      </c>
      <c r="Y127" s="140">
        <f t="shared" si="427"/>
        <v>0.84013922851736189</v>
      </c>
      <c r="Z127" s="140">
        <f t="shared" si="427"/>
        <v>0.83153550850144731</v>
      </c>
      <c r="AA127" s="140">
        <f t="shared" si="427"/>
        <v>0.82282783515112967</v>
      </c>
      <c r="AB127" s="140">
        <f t="shared" si="427"/>
        <v>0.81411945331224222</v>
      </c>
      <c r="AC127" s="140">
        <f t="shared" si="427"/>
        <v>0.80527018609356205</v>
      </c>
      <c r="AD127" s="140">
        <f t="shared" si="427"/>
        <v>0.79648135040428714</v>
      </c>
      <c r="AE127" s="140">
        <f t="shared" si="427"/>
        <v>0.78756207913540122</v>
      </c>
      <c r="AF127" s="140">
        <f t="shared" si="427"/>
        <v>0.77871467123445948</v>
      </c>
      <c r="AG127" s="140">
        <f t="shared" si="427"/>
        <v>0.7697464515944441</v>
      </c>
      <c r="AH127" s="140">
        <f t="shared" si="427"/>
        <v>0.76086036724863682</v>
      </c>
      <c r="AI127" s="140">
        <f t="shared" si="427"/>
        <v>0.7519122236846304</v>
      </c>
      <c r="AJ127" s="140">
        <f t="shared" si="427"/>
        <v>0.74300582766192647</v>
      </c>
      <c r="AK127" s="140">
        <f t="shared" si="427"/>
        <v>0.73399614679559422</v>
      </c>
      <c r="AL127" s="140">
        <f t="shared" si="427"/>
        <v>0.72508639320353685</v>
      </c>
      <c r="AM127" s="140">
        <f t="shared" si="427"/>
        <v>0.71608149100709639</v>
      </c>
      <c r="AN127" s="140">
        <f t="shared" si="427"/>
        <v>0.70718427772723313</v>
      </c>
      <c r="AO127" s="140">
        <f t="shared" si="427"/>
        <v>0.69819969595530551</v>
      </c>
      <c r="AP127" s="140">
        <f t="shared" si="427"/>
        <v>0.68932988510547233</v>
      </c>
      <c r="AQ127" s="140">
        <f t="shared" si="427"/>
        <v>0.68042954140368894</v>
      </c>
      <c r="AR127" s="140">
        <f t="shared" si="427"/>
        <v>0.67160089157818581</v>
      </c>
      <c r="AS127" s="140">
        <f>EXP(-AS126*AS125)</f>
        <v>0.66269943395235464</v>
      </c>
      <c r="AT127" s="140">
        <f t="shared" ref="AT127:CA127" si="428">EXP(-AT126*AT125)</f>
        <v>0.65392500899641925</v>
      </c>
      <c r="AU127" s="140">
        <f t="shared" si="428"/>
        <v>0.64508459777383031</v>
      </c>
      <c r="AV127" s="140">
        <f t="shared" si="428"/>
        <v>0.63637647223178695</v>
      </c>
      <c r="AW127" s="140">
        <f t="shared" si="428"/>
        <v>0.62760887553462019</v>
      </c>
      <c r="AX127" s="140">
        <f t="shared" si="428"/>
        <v>0.6189782573045739</v>
      </c>
      <c r="AY127" s="140">
        <f t="shared" si="428"/>
        <v>0.61034223268516541</v>
      </c>
      <c r="AZ127" s="140">
        <f t="shared" si="428"/>
        <v>0.60179922962124632</v>
      </c>
      <c r="BA127" s="140">
        <f t="shared" si="428"/>
        <v>0.59320886121358607</v>
      </c>
      <c r="BB127" s="140">
        <f t="shared" si="428"/>
        <v>0.58476325237761495</v>
      </c>
      <c r="BC127" s="140">
        <f t="shared" si="428"/>
        <v>0.57627589111037059</v>
      </c>
      <c r="BD127" s="140">
        <f t="shared" si="428"/>
        <v>0.56793643060046617</v>
      </c>
      <c r="BE127" s="140">
        <f t="shared" si="428"/>
        <v>0.55956053578780418</v>
      </c>
      <c r="BF127" s="140">
        <f t="shared" si="428"/>
        <v>0.55133520746531439</v>
      </c>
      <c r="BG127" s="140">
        <f t="shared" si="428"/>
        <v>0.54312391939226135</v>
      </c>
      <c r="BH127" s="140">
        <f t="shared" si="428"/>
        <v>0.53501961602954828</v>
      </c>
      <c r="BI127" s="140">
        <f t="shared" si="428"/>
        <v>0.52688863521743967</v>
      </c>
      <c r="BJ127" s="140">
        <f t="shared" si="428"/>
        <v>0.51891220746701039</v>
      </c>
      <c r="BK127" s="140">
        <f t="shared" si="428"/>
        <v>0.51091356532922738</v>
      </c>
      <c r="BL127" s="140">
        <f t="shared" si="428"/>
        <v>0.50307084586688244</v>
      </c>
      <c r="BM127" s="140">
        <f t="shared" si="428"/>
        <v>0.49521010176109953</v>
      </c>
      <c r="BN127" s="140">
        <f t="shared" si="428"/>
        <v>0.4875062608807133</v>
      </c>
      <c r="BO127" s="140">
        <f t="shared" si="428"/>
        <v>0.47983075859682978</v>
      </c>
      <c r="BP127" s="140">
        <f t="shared" si="428"/>
        <v>0.47226992886517383</v>
      </c>
      <c r="BQ127" s="140">
        <f t="shared" si="428"/>
        <v>0.46469865303222657</v>
      </c>
      <c r="BR127" s="140">
        <f t="shared" si="428"/>
        <v>0.45728516059238822</v>
      </c>
      <c r="BS127" s="140">
        <f t="shared" si="428"/>
        <v>0.44986463703955271</v>
      </c>
      <c r="BT127" s="140">
        <f t="shared" si="428"/>
        <v>0.44260184045118062</v>
      </c>
      <c r="BU127" s="140">
        <f t="shared" si="428"/>
        <v>0.43533518558640505</v>
      </c>
      <c r="BV127" s="140">
        <f t="shared" si="428"/>
        <v>0.42822589756459106</v>
      </c>
      <c r="BW127" s="140">
        <f t="shared" si="428"/>
        <v>0.42115475572776456</v>
      </c>
      <c r="BX127" s="140">
        <f t="shared" si="428"/>
        <v>0.41420083692625032</v>
      </c>
      <c r="BY127" s="140">
        <f t="shared" si="428"/>
        <v>0.40724870699363153</v>
      </c>
      <c r="BZ127" s="140">
        <f t="shared" si="428"/>
        <v>0.40045239723983572</v>
      </c>
      <c r="CA127" s="140">
        <f t="shared" si="428"/>
        <v>0.39366037656994018</v>
      </c>
      <c r="CB127" s="140">
        <f>EXP(-CB126*CB125)</f>
        <v>0.38702302701596336</v>
      </c>
      <c r="CC127" s="17"/>
      <c r="CD127" s="17"/>
      <c r="CE127" s="17"/>
    </row>
    <row r="128" spans="1:83">
      <c r="A128" s="17"/>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17"/>
      <c r="CD128" s="17"/>
      <c r="CE128" s="17"/>
    </row>
    <row r="129" spans="1:201">
      <c r="A129" s="16" t="s">
        <v>40</v>
      </c>
      <c r="B129" s="140">
        <f t="shared" ref="B129:BM129" si="429">DAYS360($B$3,B48)</f>
        <v>109</v>
      </c>
      <c r="C129" s="140">
        <f t="shared" si="429"/>
        <v>288</v>
      </c>
      <c r="D129" s="140">
        <f t="shared" si="429"/>
        <v>468</v>
      </c>
      <c r="E129" s="140">
        <f t="shared" si="429"/>
        <v>648</v>
      </c>
      <c r="F129" s="140">
        <f t="shared" si="429"/>
        <v>828</v>
      </c>
      <c r="G129" s="140">
        <f t="shared" si="429"/>
        <v>1008</v>
      </c>
      <c r="H129" s="140">
        <f t="shared" si="429"/>
        <v>1188</v>
      </c>
      <c r="I129" s="140">
        <f t="shared" si="429"/>
        <v>1368</v>
      </c>
      <c r="J129" s="140">
        <f t="shared" si="429"/>
        <v>1548</v>
      </c>
      <c r="K129" s="140">
        <f t="shared" si="429"/>
        <v>1727</v>
      </c>
      <c r="L129" s="140">
        <f t="shared" si="429"/>
        <v>1907</v>
      </c>
      <c r="M129" s="140">
        <f t="shared" si="429"/>
        <v>2087</v>
      </c>
      <c r="N129" s="140">
        <f t="shared" si="429"/>
        <v>2267</v>
      </c>
      <c r="O129" s="140">
        <f t="shared" si="429"/>
        <v>2447</v>
      </c>
      <c r="P129" s="140">
        <f t="shared" si="429"/>
        <v>2627</v>
      </c>
      <c r="Q129" s="140">
        <f t="shared" si="429"/>
        <v>2807</v>
      </c>
      <c r="R129" s="140">
        <f t="shared" si="429"/>
        <v>2987</v>
      </c>
      <c r="S129" s="140">
        <f t="shared" si="429"/>
        <v>3166</v>
      </c>
      <c r="T129" s="140">
        <f t="shared" si="429"/>
        <v>3346</v>
      </c>
      <c r="U129" s="140">
        <f t="shared" si="429"/>
        <v>3526</v>
      </c>
      <c r="V129" s="140">
        <f t="shared" si="429"/>
        <v>3706</v>
      </c>
      <c r="W129" s="140">
        <f t="shared" si="429"/>
        <v>3886</v>
      </c>
      <c r="X129" s="140">
        <f t="shared" si="429"/>
        <v>4066</v>
      </c>
      <c r="Y129" s="140">
        <f t="shared" si="429"/>
        <v>4246</v>
      </c>
      <c r="Z129" s="140">
        <f t="shared" si="429"/>
        <v>4426</v>
      </c>
      <c r="AA129" s="140">
        <f t="shared" si="429"/>
        <v>4605</v>
      </c>
      <c r="AB129" s="140">
        <f t="shared" si="429"/>
        <v>4785</v>
      </c>
      <c r="AC129" s="140">
        <f t="shared" si="429"/>
        <v>4965</v>
      </c>
      <c r="AD129" s="140">
        <f t="shared" si="429"/>
        <v>5145</v>
      </c>
      <c r="AE129" s="140">
        <f t="shared" si="429"/>
        <v>5325</v>
      </c>
      <c r="AF129" s="140">
        <f t="shared" si="429"/>
        <v>5505</v>
      </c>
      <c r="AG129" s="140">
        <f t="shared" si="429"/>
        <v>5685</v>
      </c>
      <c r="AH129" s="140">
        <f t="shared" si="429"/>
        <v>5865</v>
      </c>
      <c r="AI129" s="140">
        <f t="shared" si="429"/>
        <v>6044</v>
      </c>
      <c r="AJ129" s="140">
        <f t="shared" si="429"/>
        <v>6224</v>
      </c>
      <c r="AK129" s="140">
        <f t="shared" si="429"/>
        <v>6404</v>
      </c>
      <c r="AL129" s="140">
        <f t="shared" si="429"/>
        <v>6584</v>
      </c>
      <c r="AM129" s="140">
        <f t="shared" si="429"/>
        <v>6764</v>
      </c>
      <c r="AN129" s="140">
        <f t="shared" si="429"/>
        <v>6944</v>
      </c>
      <c r="AO129" s="140">
        <f t="shared" si="429"/>
        <v>7124</v>
      </c>
      <c r="AP129" s="140">
        <f t="shared" si="429"/>
        <v>7304</v>
      </c>
      <c r="AQ129" s="140">
        <f t="shared" si="429"/>
        <v>7483</v>
      </c>
      <c r="AR129" s="140">
        <f t="shared" si="429"/>
        <v>7663</v>
      </c>
      <c r="AS129" s="140">
        <f t="shared" si="429"/>
        <v>7843</v>
      </c>
      <c r="AT129" s="140">
        <f t="shared" si="429"/>
        <v>8023</v>
      </c>
      <c r="AU129" s="140">
        <f t="shared" si="429"/>
        <v>8203</v>
      </c>
      <c r="AV129" s="140">
        <f t="shared" si="429"/>
        <v>8383</v>
      </c>
      <c r="AW129" s="140">
        <f t="shared" si="429"/>
        <v>8563</v>
      </c>
      <c r="AX129" s="140">
        <f t="shared" si="429"/>
        <v>8743</v>
      </c>
      <c r="AY129" s="140">
        <f t="shared" si="429"/>
        <v>8922</v>
      </c>
      <c r="AZ129" s="140">
        <f t="shared" si="429"/>
        <v>9102</v>
      </c>
      <c r="BA129" s="140">
        <f t="shared" si="429"/>
        <v>9282</v>
      </c>
      <c r="BB129" s="140">
        <f t="shared" si="429"/>
        <v>9462</v>
      </c>
      <c r="BC129" s="140">
        <f t="shared" si="429"/>
        <v>9642</v>
      </c>
      <c r="BD129" s="140">
        <f t="shared" si="429"/>
        <v>9822</v>
      </c>
      <c r="BE129" s="140">
        <f t="shared" si="429"/>
        <v>10002</v>
      </c>
      <c r="BF129" s="140">
        <f t="shared" si="429"/>
        <v>10182</v>
      </c>
      <c r="BG129" s="140">
        <f t="shared" si="429"/>
        <v>10361</v>
      </c>
      <c r="BH129" s="140">
        <f t="shared" si="429"/>
        <v>10541</v>
      </c>
      <c r="BI129" s="140">
        <f t="shared" si="429"/>
        <v>10721</v>
      </c>
      <c r="BJ129" s="140">
        <f t="shared" si="429"/>
        <v>10901</v>
      </c>
      <c r="BK129" s="140">
        <f t="shared" si="429"/>
        <v>11081</v>
      </c>
      <c r="BL129" s="140">
        <f t="shared" si="429"/>
        <v>11261</v>
      </c>
      <c r="BM129" s="140">
        <f t="shared" si="429"/>
        <v>11441</v>
      </c>
      <c r="BN129" s="140">
        <f t="shared" ref="BN129:CB129" si="430">DAYS360($B$3,BN48)</f>
        <v>11621</v>
      </c>
      <c r="BO129" s="140">
        <f t="shared" si="430"/>
        <v>11800</v>
      </c>
      <c r="BP129" s="140">
        <f t="shared" si="430"/>
        <v>11980</v>
      </c>
      <c r="BQ129" s="140">
        <f t="shared" si="430"/>
        <v>12160</v>
      </c>
      <c r="BR129" s="140">
        <f t="shared" si="430"/>
        <v>12340</v>
      </c>
      <c r="BS129" s="140">
        <f t="shared" si="430"/>
        <v>12520</v>
      </c>
      <c r="BT129" s="140">
        <f t="shared" si="430"/>
        <v>12700</v>
      </c>
      <c r="BU129" s="140">
        <f t="shared" si="430"/>
        <v>12880</v>
      </c>
      <c r="BV129" s="140">
        <f t="shared" si="430"/>
        <v>13060</v>
      </c>
      <c r="BW129" s="140">
        <f t="shared" si="430"/>
        <v>13239</v>
      </c>
      <c r="BX129" s="140">
        <f t="shared" si="430"/>
        <v>13419</v>
      </c>
      <c r="BY129" s="140">
        <f t="shared" si="430"/>
        <v>13599</v>
      </c>
      <c r="BZ129" s="140">
        <f t="shared" si="430"/>
        <v>13779</v>
      </c>
      <c r="CA129" s="140">
        <f t="shared" si="430"/>
        <v>13959</v>
      </c>
      <c r="CB129" s="140">
        <f t="shared" si="430"/>
        <v>14139</v>
      </c>
      <c r="CC129" s="17"/>
      <c r="CD129" s="17"/>
      <c r="CE129" s="17"/>
    </row>
    <row r="130" spans="1:201">
      <c r="A130" s="16" t="s">
        <v>41</v>
      </c>
      <c r="B130" s="140">
        <f>B129/360</f>
        <v>0.30277777777777776</v>
      </c>
      <c r="C130" s="140">
        <f t="shared" ref="C130:BN130" si="431">C129/360</f>
        <v>0.8</v>
      </c>
      <c r="D130" s="140">
        <f t="shared" si="431"/>
        <v>1.3</v>
      </c>
      <c r="E130" s="140">
        <f t="shared" si="431"/>
        <v>1.8</v>
      </c>
      <c r="F130" s="140">
        <f t="shared" si="431"/>
        <v>2.2999999999999998</v>
      </c>
      <c r="G130" s="140">
        <f t="shared" si="431"/>
        <v>2.8</v>
      </c>
      <c r="H130" s="140">
        <f t="shared" si="431"/>
        <v>3.3</v>
      </c>
      <c r="I130" s="140">
        <f t="shared" si="431"/>
        <v>3.8</v>
      </c>
      <c r="J130" s="140">
        <f t="shared" si="431"/>
        <v>4.3</v>
      </c>
      <c r="K130" s="140">
        <f t="shared" si="431"/>
        <v>4.7972222222222225</v>
      </c>
      <c r="L130" s="140">
        <f t="shared" si="431"/>
        <v>5.2972222222222225</v>
      </c>
      <c r="M130" s="140">
        <f t="shared" si="431"/>
        <v>5.7972222222222225</v>
      </c>
      <c r="N130" s="140">
        <f t="shared" si="431"/>
        <v>6.2972222222222225</v>
      </c>
      <c r="O130" s="140">
        <f t="shared" si="431"/>
        <v>6.7972222222222225</v>
      </c>
      <c r="P130" s="140">
        <f t="shared" si="431"/>
        <v>7.2972222222222225</v>
      </c>
      <c r="Q130" s="140">
        <f t="shared" si="431"/>
        <v>7.7972222222222225</v>
      </c>
      <c r="R130" s="140">
        <f t="shared" si="431"/>
        <v>8.2972222222222225</v>
      </c>
      <c r="S130" s="140">
        <f t="shared" si="431"/>
        <v>8.7944444444444443</v>
      </c>
      <c r="T130" s="140">
        <f t="shared" si="431"/>
        <v>9.2944444444444443</v>
      </c>
      <c r="U130" s="140">
        <f t="shared" si="431"/>
        <v>9.7944444444444443</v>
      </c>
      <c r="V130" s="140">
        <f t="shared" si="431"/>
        <v>10.294444444444444</v>
      </c>
      <c r="W130" s="140">
        <f t="shared" si="431"/>
        <v>10.794444444444444</v>
      </c>
      <c r="X130" s="140">
        <f t="shared" si="431"/>
        <v>11.294444444444444</v>
      </c>
      <c r="Y130" s="140">
        <f t="shared" si="431"/>
        <v>11.794444444444444</v>
      </c>
      <c r="Z130" s="140">
        <f t="shared" si="431"/>
        <v>12.294444444444444</v>
      </c>
      <c r="AA130" s="140">
        <f t="shared" si="431"/>
        <v>12.791666666666666</v>
      </c>
      <c r="AB130" s="140">
        <f t="shared" si="431"/>
        <v>13.291666666666666</v>
      </c>
      <c r="AC130" s="140">
        <f t="shared" si="431"/>
        <v>13.791666666666666</v>
      </c>
      <c r="AD130" s="140">
        <f t="shared" si="431"/>
        <v>14.291666666666666</v>
      </c>
      <c r="AE130" s="140">
        <f t="shared" si="431"/>
        <v>14.791666666666666</v>
      </c>
      <c r="AF130" s="140">
        <f t="shared" si="431"/>
        <v>15.291666666666666</v>
      </c>
      <c r="AG130" s="140">
        <f t="shared" si="431"/>
        <v>15.791666666666666</v>
      </c>
      <c r="AH130" s="140">
        <f t="shared" si="431"/>
        <v>16.291666666666668</v>
      </c>
      <c r="AI130" s="140">
        <f t="shared" si="431"/>
        <v>16.788888888888888</v>
      </c>
      <c r="AJ130" s="140">
        <f t="shared" si="431"/>
        <v>17.288888888888888</v>
      </c>
      <c r="AK130" s="140">
        <f t="shared" si="431"/>
        <v>17.788888888888888</v>
      </c>
      <c r="AL130" s="140">
        <f t="shared" si="431"/>
        <v>18.288888888888888</v>
      </c>
      <c r="AM130" s="140">
        <f t="shared" si="431"/>
        <v>18.788888888888888</v>
      </c>
      <c r="AN130" s="140">
        <f t="shared" si="431"/>
        <v>19.288888888888888</v>
      </c>
      <c r="AO130" s="140">
        <f t="shared" si="431"/>
        <v>19.788888888888888</v>
      </c>
      <c r="AP130" s="140">
        <f t="shared" si="431"/>
        <v>20.288888888888888</v>
      </c>
      <c r="AQ130" s="140">
        <f t="shared" si="431"/>
        <v>20.786111111111111</v>
      </c>
      <c r="AR130" s="140">
        <f t="shared" si="431"/>
        <v>21.286111111111111</v>
      </c>
      <c r="AS130" s="140">
        <f t="shared" si="431"/>
        <v>21.786111111111111</v>
      </c>
      <c r="AT130" s="140">
        <f t="shared" si="431"/>
        <v>22.286111111111111</v>
      </c>
      <c r="AU130" s="140">
        <f t="shared" si="431"/>
        <v>22.786111111111111</v>
      </c>
      <c r="AV130" s="140">
        <f t="shared" si="431"/>
        <v>23.286111111111111</v>
      </c>
      <c r="AW130" s="140">
        <f t="shared" si="431"/>
        <v>23.786111111111111</v>
      </c>
      <c r="AX130" s="140">
        <f t="shared" si="431"/>
        <v>24.286111111111111</v>
      </c>
      <c r="AY130" s="140">
        <f t="shared" si="431"/>
        <v>24.783333333333335</v>
      </c>
      <c r="AZ130" s="140">
        <f t="shared" si="431"/>
        <v>25.283333333333335</v>
      </c>
      <c r="BA130" s="140">
        <f t="shared" si="431"/>
        <v>25.783333333333335</v>
      </c>
      <c r="BB130" s="140">
        <f t="shared" si="431"/>
        <v>26.283333333333335</v>
      </c>
      <c r="BC130" s="140">
        <f t="shared" si="431"/>
        <v>26.783333333333335</v>
      </c>
      <c r="BD130" s="140">
        <f t="shared" si="431"/>
        <v>27.283333333333335</v>
      </c>
      <c r="BE130" s="140">
        <f t="shared" si="431"/>
        <v>27.783333333333335</v>
      </c>
      <c r="BF130" s="140">
        <f t="shared" si="431"/>
        <v>28.283333333333335</v>
      </c>
      <c r="BG130" s="140">
        <f t="shared" si="431"/>
        <v>28.780555555555555</v>
      </c>
      <c r="BH130" s="140">
        <f t="shared" si="431"/>
        <v>29.280555555555555</v>
      </c>
      <c r="BI130" s="140">
        <f t="shared" si="431"/>
        <v>29.780555555555555</v>
      </c>
      <c r="BJ130" s="140">
        <f t="shared" si="431"/>
        <v>30.280555555555555</v>
      </c>
      <c r="BK130" s="140">
        <f t="shared" si="431"/>
        <v>30.780555555555555</v>
      </c>
      <c r="BL130" s="140">
        <f t="shared" si="431"/>
        <v>31.280555555555555</v>
      </c>
      <c r="BM130" s="140">
        <f t="shared" si="431"/>
        <v>31.780555555555555</v>
      </c>
      <c r="BN130" s="140">
        <f t="shared" si="431"/>
        <v>32.280555555555559</v>
      </c>
      <c r="BO130" s="140">
        <f t="shared" ref="BO130:CB130" si="432">BO129/360</f>
        <v>32.777777777777779</v>
      </c>
      <c r="BP130" s="140">
        <f t="shared" si="432"/>
        <v>33.277777777777779</v>
      </c>
      <c r="BQ130" s="140">
        <f t="shared" si="432"/>
        <v>33.777777777777779</v>
      </c>
      <c r="BR130" s="140">
        <f t="shared" si="432"/>
        <v>34.277777777777779</v>
      </c>
      <c r="BS130" s="140">
        <f t="shared" si="432"/>
        <v>34.777777777777779</v>
      </c>
      <c r="BT130" s="140">
        <f t="shared" si="432"/>
        <v>35.277777777777779</v>
      </c>
      <c r="BU130" s="140">
        <f t="shared" si="432"/>
        <v>35.777777777777779</v>
      </c>
      <c r="BV130" s="140">
        <f t="shared" si="432"/>
        <v>36.277777777777779</v>
      </c>
      <c r="BW130" s="140">
        <f t="shared" si="432"/>
        <v>36.774999999999999</v>
      </c>
      <c r="BX130" s="140">
        <f t="shared" si="432"/>
        <v>37.274999999999999</v>
      </c>
      <c r="BY130" s="140">
        <f t="shared" si="432"/>
        <v>37.774999999999999</v>
      </c>
      <c r="BZ130" s="140">
        <f t="shared" si="432"/>
        <v>38.274999999999999</v>
      </c>
      <c r="CA130" s="140">
        <f t="shared" si="432"/>
        <v>38.774999999999999</v>
      </c>
      <c r="CB130" s="140">
        <f t="shared" si="432"/>
        <v>39.274999999999999</v>
      </c>
      <c r="CC130" s="17"/>
      <c r="CD130" s="17"/>
      <c r="CE130" s="17"/>
    </row>
    <row r="131" spans="1:201">
      <c r="A131" s="16" t="s">
        <v>43</v>
      </c>
      <c r="B131" s="140">
        <f>IF(B129&lt;0,0,$B$5+$B$6*((1-EXP(-B130/$B$9))/(B130/$B$9))+$B$7*((1-EXP(-B130/$B$9))/(B130/$B$9)-EXP(-B130/$B$9))+$B$8*((1-EXP(-B130/$B$10))/(B130/$B$10)-EXP(-B130/$B$10)))</f>
        <v>1.0593051206230915E-2</v>
      </c>
      <c r="C131" s="140">
        <f t="shared" ref="C131:BN131" si="433">IF(C129&lt;0,0,$B$5+$B$6*((1-EXP(-C130/$B$9))/(C130/$B$9))+$B$7*((1-EXP(-C130/$B$9))/(C130/$B$9)-EXP(-C130/$B$9))+$B$8*((1-EXP(-C130/$B$10))/(C130/$B$10)-EXP(-C130/$B$10)))</f>
        <v>9.8869125748729629E-3</v>
      </c>
      <c r="D131" s="140">
        <f t="shared" si="433"/>
        <v>9.5007830922842571E-3</v>
      </c>
      <c r="E131" s="140">
        <f t="shared" si="433"/>
        <v>9.3467739762119143E-3</v>
      </c>
      <c r="F131" s="140">
        <f t="shared" si="433"/>
        <v>9.3567803370807924E-3</v>
      </c>
      <c r="G131" s="140">
        <f t="shared" si="433"/>
        <v>9.4810833962820588E-3</v>
      </c>
      <c r="H131" s="140">
        <f t="shared" si="433"/>
        <v>9.6835453144392142E-3</v>
      </c>
      <c r="I131" s="140">
        <f t="shared" si="433"/>
        <v>9.9380390303831605E-3</v>
      </c>
      <c r="J131" s="140">
        <f t="shared" si="433"/>
        <v>1.0225798779962558E-2</v>
      </c>
      <c r="K131" s="140">
        <f t="shared" si="433"/>
        <v>1.0531711096881108E-2</v>
      </c>
      <c r="L131" s="140">
        <f t="shared" si="433"/>
        <v>1.0849805351304856E-2</v>
      </c>
      <c r="M131" s="140">
        <f t="shared" si="433"/>
        <v>1.1171851607943012E-2</v>
      </c>
      <c r="N131" s="140">
        <f t="shared" si="433"/>
        <v>1.1493367333450657E-2</v>
      </c>
      <c r="O131" s="140">
        <f t="shared" si="433"/>
        <v>1.1811370323526497E-2</v>
      </c>
      <c r="P131" s="140">
        <f t="shared" si="433"/>
        <v>1.2123950952693675E-2</v>
      </c>
      <c r="Q131" s="140">
        <f t="shared" si="433"/>
        <v>1.2429959393585092E-2</v>
      </c>
      <c r="R131" s="140">
        <f t="shared" si="433"/>
        <v>1.2728777768424626E-2</v>
      </c>
      <c r="S131" s="140">
        <f t="shared" si="433"/>
        <v>1.3018556808501053E-2</v>
      </c>
      <c r="T131" s="140">
        <f t="shared" si="433"/>
        <v>1.330253017923807E-2</v>
      </c>
      <c r="U131" s="140">
        <f t="shared" si="433"/>
        <v>1.3579216113277497E-2</v>
      </c>
      <c r="V131" s="140">
        <f t="shared" si="433"/>
        <v>1.3848874319784453E-2</v>
      </c>
      <c r="W131" s="140">
        <f t="shared" si="433"/>
        <v>1.4111823625118642E-2</v>
      </c>
      <c r="X131" s="140">
        <f t="shared" si="433"/>
        <v>1.4368412357028106E-2</v>
      </c>
      <c r="Y131" s="140">
        <f t="shared" si="433"/>
        <v>1.4618998183361409E-2</v>
      </c>
      <c r="Z131" s="140">
        <f t="shared" si="433"/>
        <v>1.4863934732728651E-2</v>
      </c>
      <c r="AA131" s="140">
        <f t="shared" si="433"/>
        <v>1.5102245833999495E-2</v>
      </c>
      <c r="AB131" s="140">
        <f t="shared" si="433"/>
        <v>1.5336916035731516E-2</v>
      </c>
      <c r="AC131" s="140">
        <f t="shared" si="433"/>
        <v>1.5566902437758528E-2</v>
      </c>
      <c r="AD131" s="140">
        <f t="shared" si="433"/>
        <v>1.5792486240631013E-2</v>
      </c>
      <c r="AE131" s="140">
        <f t="shared" si="433"/>
        <v>1.6013926873754258E-2</v>
      </c>
      <c r="AF131" s="140">
        <f t="shared" si="433"/>
        <v>1.6231462613892345E-2</v>
      </c>
      <c r="AG131" s="140">
        <f t="shared" si="433"/>
        <v>1.644531163659264E-2</v>
      </c>
      <c r="AH131" s="140">
        <f t="shared" si="433"/>
        <v>1.6655673311976583E-2</v>
      </c>
      <c r="AI131" s="140">
        <f t="shared" si="433"/>
        <v>1.686158812132901E-2</v>
      </c>
      <c r="AJ131" s="140">
        <f t="shared" si="433"/>
        <v>1.7065522081450929E-2</v>
      </c>
      <c r="AK131" s="140">
        <f t="shared" si="433"/>
        <v>1.7266467357006678E-2</v>
      </c>
      <c r="AL131" s="140">
        <f t="shared" si="433"/>
        <v>1.7464562287972933E-2</v>
      </c>
      <c r="AM131" s="140">
        <f t="shared" si="433"/>
        <v>1.765993326547597E-2</v>
      </c>
      <c r="AN131" s="140">
        <f t="shared" si="433"/>
        <v>1.7852695896886119E-2</v>
      </c>
      <c r="AO131" s="140">
        <f t="shared" si="433"/>
        <v>1.8042956072266816E-2</v>
      </c>
      <c r="AP131" s="140">
        <f t="shared" si="433"/>
        <v>1.8230810933369781E-2</v>
      </c>
      <c r="AQ131" s="140">
        <f t="shared" si="433"/>
        <v>1.8415325221761265E-2</v>
      </c>
      <c r="AR131" s="140">
        <f t="shared" si="433"/>
        <v>1.8598642372028698E-2</v>
      </c>
      <c r="AS131" s="140">
        <f t="shared" si="433"/>
        <v>1.8779801063141085E-2</v>
      </c>
      <c r="AT131" s="140">
        <f t="shared" si="433"/>
        <v>1.8958871386999757E-2</v>
      </c>
      <c r="AU131" s="140">
        <f t="shared" si="433"/>
        <v>1.9135918253396684E-2</v>
      </c>
      <c r="AV131" s="140">
        <f t="shared" si="433"/>
        <v>1.9311001895610136E-2</v>
      </c>
      <c r="AW131" s="140">
        <f t="shared" si="433"/>
        <v>1.9484178321740171E-2</v>
      </c>
      <c r="AX131" s="140">
        <f t="shared" si="433"/>
        <v>1.9655499717568442E-2</v>
      </c>
      <c r="AY131" s="140">
        <f t="shared" si="433"/>
        <v>1.9824077960300796E-2</v>
      </c>
      <c r="AZ131" s="140">
        <f t="shared" si="433"/>
        <v>1.9991841984779202E-2</v>
      </c>
      <c r="BA131" s="140">
        <f t="shared" si="433"/>
        <v>2.015788778131649E-2</v>
      </c>
      <c r="BB131" s="140">
        <f t="shared" si="433"/>
        <v>2.0322255493759524E-2</v>
      </c>
      <c r="BC131" s="140">
        <f t="shared" si="433"/>
        <v>2.0484982897353451E-2</v>
      </c>
      <c r="BD131" s="140">
        <f t="shared" si="433"/>
        <v>2.0646105605049463E-2</v>
      </c>
      <c r="BE131" s="140">
        <f t="shared" si="433"/>
        <v>2.080565725266411E-2</v>
      </c>
      <c r="BF131" s="140">
        <f t="shared" si="433"/>
        <v>2.0963669665268008E-2</v>
      </c>
      <c r="BG131" s="140">
        <f t="shared" si="433"/>
        <v>2.111930765920882E-2</v>
      </c>
      <c r="BH131" s="140">
        <f t="shared" si="433"/>
        <v>2.1274338715945536E-2</v>
      </c>
      <c r="BI131" s="140">
        <f t="shared" si="433"/>
        <v>2.142791642551508E-2</v>
      </c>
      <c r="BJ131" s="140">
        <f t="shared" si="433"/>
        <v>2.1580066733907239E-2</v>
      </c>
      <c r="BK131" s="140">
        <f t="shared" si="433"/>
        <v>2.173081439167392E-2</v>
      </c>
      <c r="BL131" s="140">
        <f t="shared" si="433"/>
        <v>2.1880183044151572E-2</v>
      </c>
      <c r="BM131" s="140">
        <f t="shared" si="433"/>
        <v>2.2028195313329824E-2</v>
      </c>
      <c r="BN131" s="140">
        <f t="shared" si="433"/>
        <v>2.2174872872245115E-2</v>
      </c>
      <c r="BO131" s="140">
        <f t="shared" ref="BO131:CB131" si="434">IF(BO129&lt;0,0,$B$5+$B$6*((1-EXP(-BO130/$B$9))/(BO130/$B$9))+$B$7*((1-EXP(-BO130/$B$9))/(BO130/$B$9)-EXP(-BO130/$B$9))+$B$8*((1-EXP(-BO130/$B$10))/(BO130/$B$10)-EXP(-BO130/$B$10)))</f>
        <v>2.2319432529353183E-2</v>
      </c>
      <c r="BP131" s="140">
        <f t="shared" si="434"/>
        <v>2.2463509358355942E-2</v>
      </c>
      <c r="BQ131" s="140">
        <f t="shared" si="434"/>
        <v>2.2606311345305122E-2</v>
      </c>
      <c r="BR131" s="140">
        <f t="shared" si="434"/>
        <v>2.2747856991096698E-2</v>
      </c>
      <c r="BS131" s="140">
        <f t="shared" si="434"/>
        <v>2.2888164131581883E-2</v>
      </c>
      <c r="BT131" s="140">
        <f t="shared" si="434"/>
        <v>2.302724998069795E-2</v>
      </c>
      <c r="BU131" s="140">
        <f t="shared" si="434"/>
        <v>2.31651311700324E-2</v>
      </c>
      <c r="BV131" s="140">
        <f t="shared" si="434"/>
        <v>2.3301823785161314E-2</v>
      </c>
      <c r="BW131" s="140">
        <f t="shared" si="434"/>
        <v>2.3436593724628828E-2</v>
      </c>
      <c r="BX131" s="140">
        <f t="shared" si="434"/>
        <v>2.3570961820457287E-2</v>
      </c>
      <c r="BY131" s="140">
        <f t="shared" si="434"/>
        <v>2.3704186563791762E-2</v>
      </c>
      <c r="BZ131" s="140">
        <f t="shared" si="434"/>
        <v>2.3836282167341384E-2</v>
      </c>
      <c r="CA131" s="140">
        <f t="shared" si="434"/>
        <v>2.396726244058435E-2</v>
      </c>
      <c r="CB131" s="140">
        <f t="shared" si="434"/>
        <v>2.4097140812149635E-2</v>
      </c>
      <c r="CC131" s="17"/>
      <c r="CD131" s="17"/>
      <c r="CE131" s="17"/>
    </row>
    <row r="132" spans="1:201">
      <c r="A132" s="16" t="s">
        <v>44</v>
      </c>
      <c r="B132" s="140">
        <f>EXP(-B131*B130)</f>
        <v>0.99679779751784936</v>
      </c>
      <c r="C132" s="140">
        <f t="shared" ref="C132:AR132" si="435">EXP(-C131*C130)</f>
        <v>0.99212166796489365</v>
      </c>
      <c r="D132" s="140">
        <f t="shared" si="435"/>
        <v>0.98772494275053335</v>
      </c>
      <c r="E132" s="140">
        <f t="shared" si="435"/>
        <v>0.98331654321655781</v>
      </c>
      <c r="F132" s="140">
        <f t="shared" si="435"/>
        <v>0.97870932096305352</v>
      </c>
      <c r="G132" s="140">
        <f t="shared" si="435"/>
        <v>0.97380224142135896</v>
      </c>
      <c r="H132" s="140">
        <f t="shared" si="435"/>
        <v>0.96854948831894938</v>
      </c>
      <c r="I132" s="140">
        <f t="shared" si="435"/>
        <v>0.96293963996215648</v>
      </c>
      <c r="J132" s="140">
        <f t="shared" si="435"/>
        <v>0.95698177197960121</v>
      </c>
      <c r="K132" s="140">
        <f t="shared" si="435"/>
        <v>0.95073210102742922</v>
      </c>
      <c r="L132" s="140">
        <f t="shared" si="435"/>
        <v>0.94414659836664483</v>
      </c>
      <c r="M132" s="140">
        <f t="shared" si="435"/>
        <v>0.93728703800367519</v>
      </c>
      <c r="N132" s="140">
        <f t="shared" si="435"/>
        <v>0.93018081390361707</v>
      </c>
      <c r="O132" s="140">
        <f t="shared" si="435"/>
        <v>0.92285374898502592</v>
      </c>
      <c r="P132" s="140">
        <f t="shared" si="435"/>
        <v>0.91532950451043071</v>
      </c>
      <c r="Q132" s="140">
        <f t="shared" si="435"/>
        <v>0.90762937991542336</v>
      </c>
      <c r="R132" s="140">
        <f t="shared" si="435"/>
        <v>0.89977234490387958</v>
      </c>
      <c r="S132" s="140">
        <f t="shared" si="435"/>
        <v>0.89181998741462454</v>
      </c>
      <c r="T132" s="140">
        <f t="shared" si="435"/>
        <v>0.88369824385717066</v>
      </c>
      <c r="U132" s="140">
        <f t="shared" si="435"/>
        <v>0.8754643236078149</v>
      </c>
      <c r="V132" s="140">
        <f t="shared" si="435"/>
        <v>0.86712991658975935</v>
      </c>
      <c r="W132" s="140">
        <f t="shared" si="435"/>
        <v>0.85870546579106932</v>
      </c>
      <c r="X132" s="140">
        <f t="shared" si="435"/>
        <v>0.85020036383137076</v>
      </c>
      <c r="Y132" s="140">
        <f t="shared" si="435"/>
        <v>0.84162312335474831</v>
      </c>
      <c r="Z132" s="140">
        <f t="shared" si="435"/>
        <v>0.83298152178087392</v>
      </c>
      <c r="AA132" s="140">
        <f t="shared" si="435"/>
        <v>0.82433119460513227</v>
      </c>
      <c r="AB132" s="140">
        <f t="shared" si="435"/>
        <v>0.81558210971679446</v>
      </c>
      <c r="AC132" s="140">
        <f t="shared" si="435"/>
        <v>0.80678865925354759</v>
      </c>
      <c r="AD132" s="140">
        <f t="shared" si="435"/>
        <v>0.79795669558498661</v>
      </c>
      <c r="AE132" s="140">
        <f t="shared" si="435"/>
        <v>0.78909175798365827</v>
      </c>
      <c r="AF132" s="140">
        <f t="shared" si="435"/>
        <v>0.78019911533599484</v>
      </c>
      <c r="AG132" s="140">
        <f t="shared" si="435"/>
        <v>0.7712838001302067</v>
      </c>
      <c r="AH132" s="140">
        <f t="shared" si="435"/>
        <v>0.76235063538590575</v>
      </c>
      <c r="AI132" s="140">
        <f t="shared" si="435"/>
        <v>0.7534539862573969</v>
      </c>
      <c r="AJ132" s="140">
        <f t="shared" si="435"/>
        <v>0.74449889200688035</v>
      </c>
      <c r="AK132" s="140">
        <f t="shared" si="435"/>
        <v>0.73553932795929899</v>
      </c>
      <c r="AL132" s="140">
        <f t="shared" si="435"/>
        <v>0.7265794520550608</v>
      </c>
      <c r="AM132" s="140">
        <f t="shared" si="435"/>
        <v>0.71762328242698126</v>
      </c>
      <c r="AN132" s="140">
        <f t="shared" si="435"/>
        <v>0.70867470386120568</v>
      </c>
      <c r="AO132" s="140">
        <f t="shared" si="435"/>
        <v>0.69973747293948907</v>
      </c>
      <c r="AP132" s="140">
        <f t="shared" si="435"/>
        <v>0.69081522217238667</v>
      </c>
      <c r="AQ132" s="140">
        <f t="shared" si="435"/>
        <v>0.68196087132607064</v>
      </c>
      <c r="AR132" s="140">
        <f t="shared" si="435"/>
        <v>0.6730788676293803</v>
      </c>
      <c r="AS132" s="140">
        <f>EXP(-AS131*AS130)</f>
        <v>0.66422201024790173</v>
      </c>
      <c r="AT132" s="140">
        <f t="shared" ref="AT132:CA132" si="436">EXP(-AT131*AT130)</f>
        <v>0.65539346467575199</v>
      </c>
      <c r="AU132" s="140">
        <f t="shared" si="436"/>
        <v>0.6465962847477934</v>
      </c>
      <c r="AV132" s="140">
        <f t="shared" si="436"/>
        <v>0.63783341432314122</v>
      </c>
      <c r="AW132" s="140">
        <f t="shared" si="436"/>
        <v>0.62910768886726298</v>
      </c>
      <c r="AX132" s="140">
        <f t="shared" si="436"/>
        <v>0.62042183697191322</v>
      </c>
      <c r="AY132" s="140">
        <f t="shared" si="436"/>
        <v>0.61182637841693888</v>
      </c>
      <c r="AZ132" s="140">
        <f t="shared" si="436"/>
        <v>0.60322778248753184</v>
      </c>
      <c r="BA132" s="140">
        <f t="shared" si="436"/>
        <v>0.59467660633468444</v>
      </c>
      <c r="BB132" s="140">
        <f t="shared" si="436"/>
        <v>0.58617516644306167</v>
      </c>
      <c r="BC132" s="140">
        <f t="shared" si="436"/>
        <v>0.57772567987154066</v>
      </c>
      <c r="BD132" s="140">
        <f t="shared" si="436"/>
        <v>0.56933026579862811</v>
      </c>
      <c r="BE132" s="140">
        <f t="shared" si="436"/>
        <v>0.56099094709800423</v>
      </c>
      <c r="BF132" s="140">
        <f t="shared" si="436"/>
        <v>0.55270965194531485</v>
      </c>
      <c r="BG132" s="140">
        <f t="shared" si="436"/>
        <v>0.54453372150902246</v>
      </c>
      <c r="BH132" s="140">
        <f t="shared" si="436"/>
        <v>0.53637354052051434</v>
      </c>
      <c r="BI132" s="140">
        <f t="shared" si="436"/>
        <v>0.52827660700405521</v>
      </c>
      <c r="BJ132" s="140">
        <f t="shared" si="436"/>
        <v>0.52024448750167873</v>
      </c>
      <c r="BK132" s="140">
        <f t="shared" si="436"/>
        <v>0.51227866232283015</v>
      </c>
      <c r="BL132" s="140">
        <f t="shared" si="436"/>
        <v>0.50438052731431726</v>
      </c>
      <c r="BM132" s="140">
        <f t="shared" si="436"/>
        <v>0.49655139564951606</v>
      </c>
      <c r="BN132" s="140">
        <f t="shared" si="436"/>
        <v>0.4887924996341052</v>
      </c>
      <c r="BO132" s="140">
        <f t="shared" si="436"/>
        <v>0.4811475016863459</v>
      </c>
      <c r="BP132" s="140">
        <f t="shared" si="436"/>
        <v>0.47353205410850258</v>
      </c>
      <c r="BQ132" s="140">
        <f t="shared" si="436"/>
        <v>0.46599006678440474</v>
      </c>
      <c r="BR132" s="140">
        <f t="shared" si="436"/>
        <v>0.45852246724491419</v>
      </c>
      <c r="BS132" s="140">
        <f t="shared" si="436"/>
        <v>0.45113011132470582</v>
      </c>
      <c r="BT132" s="140">
        <f t="shared" si="436"/>
        <v>0.44381378501099172</v>
      </c>
      <c r="BU132" s="140">
        <f t="shared" si="436"/>
        <v>0.43657420629066623</v>
      </c>
      <c r="BV132" s="140">
        <f t="shared" si="436"/>
        <v>0.42941202699361058</v>
      </c>
      <c r="BW132" s="140">
        <f t="shared" si="436"/>
        <v>0.42236697483485836</v>
      </c>
      <c r="BX132" s="140">
        <f t="shared" si="436"/>
        <v>0.4153608569088838</v>
      </c>
      <c r="BY132" s="140">
        <f t="shared" si="436"/>
        <v>0.40843371286920938</v>
      </c>
      <c r="BZ132" s="140">
        <f t="shared" si="436"/>
        <v>0.40158594852271734</v>
      </c>
      <c r="CA132" s="140">
        <f t="shared" si="436"/>
        <v>0.39481791259650412</v>
      </c>
      <c r="CB132" s="140">
        <f>EXP(-CB131*CB130)</f>
        <v>0.38812989851664409</v>
      </c>
      <c r="CC132" s="17"/>
      <c r="CD132" s="17"/>
      <c r="CE132" s="17"/>
    </row>
    <row r="133" spans="1:201">
      <c r="A133" s="17"/>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17"/>
      <c r="CD133" s="17"/>
      <c r="CE133" s="17"/>
    </row>
    <row r="134" spans="1:201">
      <c r="A134" s="16" t="s">
        <v>40</v>
      </c>
      <c r="B134" s="140">
        <f t="shared" ref="B134:BM134" si="437">DAYS360($B$3,B50)</f>
        <v>169</v>
      </c>
      <c r="C134" s="140">
        <f t="shared" si="437"/>
        <v>348</v>
      </c>
      <c r="D134" s="140">
        <f t="shared" si="437"/>
        <v>528</v>
      </c>
      <c r="E134" s="140">
        <f t="shared" si="437"/>
        <v>708</v>
      </c>
      <c r="F134" s="140">
        <f t="shared" si="437"/>
        <v>888</v>
      </c>
      <c r="G134" s="140">
        <f t="shared" si="437"/>
        <v>1068</v>
      </c>
      <c r="H134" s="140">
        <f t="shared" si="437"/>
        <v>1248</v>
      </c>
      <c r="I134" s="140">
        <f t="shared" si="437"/>
        <v>1428</v>
      </c>
      <c r="J134" s="140">
        <f t="shared" si="437"/>
        <v>1608</v>
      </c>
      <c r="K134" s="140">
        <f t="shared" si="437"/>
        <v>1787</v>
      </c>
      <c r="L134" s="140">
        <f t="shared" si="437"/>
        <v>1967</v>
      </c>
      <c r="M134" s="140">
        <f t="shared" si="437"/>
        <v>2147</v>
      </c>
      <c r="N134" s="140">
        <f t="shared" si="437"/>
        <v>2327</v>
      </c>
      <c r="O134" s="140">
        <f t="shared" si="437"/>
        <v>2507</v>
      </c>
      <c r="P134" s="140">
        <f t="shared" si="437"/>
        <v>2687</v>
      </c>
      <c r="Q134" s="140">
        <f t="shared" si="437"/>
        <v>2867</v>
      </c>
      <c r="R134" s="140">
        <f t="shared" si="437"/>
        <v>3047</v>
      </c>
      <c r="S134" s="140">
        <f t="shared" si="437"/>
        <v>3226</v>
      </c>
      <c r="T134" s="140">
        <f t="shared" si="437"/>
        <v>3406</v>
      </c>
      <c r="U134" s="140">
        <f t="shared" si="437"/>
        <v>3586</v>
      </c>
      <c r="V134" s="140">
        <f t="shared" si="437"/>
        <v>3766</v>
      </c>
      <c r="W134" s="140">
        <f t="shared" si="437"/>
        <v>3946</v>
      </c>
      <c r="X134" s="140">
        <f t="shared" si="437"/>
        <v>4126</v>
      </c>
      <c r="Y134" s="140">
        <f t="shared" si="437"/>
        <v>4306</v>
      </c>
      <c r="Z134" s="140">
        <f t="shared" si="437"/>
        <v>4486</v>
      </c>
      <c r="AA134" s="140">
        <f t="shared" si="437"/>
        <v>4665</v>
      </c>
      <c r="AB134" s="140">
        <f t="shared" si="437"/>
        <v>4845</v>
      </c>
      <c r="AC134" s="140">
        <f t="shared" si="437"/>
        <v>5025</v>
      </c>
      <c r="AD134" s="140">
        <f t="shared" si="437"/>
        <v>5205</v>
      </c>
      <c r="AE134" s="140">
        <f t="shared" si="437"/>
        <v>5385</v>
      </c>
      <c r="AF134" s="140">
        <f t="shared" si="437"/>
        <v>5565</v>
      </c>
      <c r="AG134" s="140">
        <f t="shared" si="437"/>
        <v>5745</v>
      </c>
      <c r="AH134" s="140">
        <f t="shared" si="437"/>
        <v>5925</v>
      </c>
      <c r="AI134" s="140">
        <f t="shared" si="437"/>
        <v>6104</v>
      </c>
      <c r="AJ134" s="140">
        <f t="shared" si="437"/>
        <v>6284</v>
      </c>
      <c r="AK134" s="140">
        <f t="shared" si="437"/>
        <v>6464</v>
      </c>
      <c r="AL134" s="140">
        <f t="shared" si="437"/>
        <v>6644</v>
      </c>
      <c r="AM134" s="140">
        <f t="shared" si="437"/>
        <v>6824</v>
      </c>
      <c r="AN134" s="140">
        <f t="shared" si="437"/>
        <v>7004</v>
      </c>
      <c r="AO134" s="140">
        <f t="shared" si="437"/>
        <v>7184</v>
      </c>
      <c r="AP134" s="140">
        <f t="shared" si="437"/>
        <v>7364</v>
      </c>
      <c r="AQ134" s="140">
        <f t="shared" si="437"/>
        <v>7543</v>
      </c>
      <c r="AR134" s="140">
        <f t="shared" si="437"/>
        <v>7723</v>
      </c>
      <c r="AS134" s="140">
        <f t="shared" si="437"/>
        <v>7903</v>
      </c>
      <c r="AT134" s="140">
        <f t="shared" si="437"/>
        <v>8083</v>
      </c>
      <c r="AU134" s="140">
        <f t="shared" si="437"/>
        <v>8263</v>
      </c>
      <c r="AV134" s="140">
        <f t="shared" si="437"/>
        <v>8443</v>
      </c>
      <c r="AW134" s="140">
        <f t="shared" si="437"/>
        <v>8623</v>
      </c>
      <c r="AX134" s="140">
        <f t="shared" si="437"/>
        <v>8803</v>
      </c>
      <c r="AY134" s="140">
        <f t="shared" si="437"/>
        <v>8982</v>
      </c>
      <c r="AZ134" s="140">
        <f t="shared" si="437"/>
        <v>9162</v>
      </c>
      <c r="BA134" s="140">
        <f t="shared" si="437"/>
        <v>9342</v>
      </c>
      <c r="BB134" s="140">
        <f t="shared" si="437"/>
        <v>9522</v>
      </c>
      <c r="BC134" s="140">
        <f t="shared" si="437"/>
        <v>9702</v>
      </c>
      <c r="BD134" s="140">
        <f t="shared" si="437"/>
        <v>9882</v>
      </c>
      <c r="BE134" s="140">
        <f t="shared" si="437"/>
        <v>10062</v>
      </c>
      <c r="BF134" s="140">
        <f t="shared" si="437"/>
        <v>10242</v>
      </c>
      <c r="BG134" s="140">
        <f t="shared" si="437"/>
        <v>10421</v>
      </c>
      <c r="BH134" s="140">
        <f t="shared" si="437"/>
        <v>10601</v>
      </c>
      <c r="BI134" s="140">
        <f t="shared" si="437"/>
        <v>10781</v>
      </c>
      <c r="BJ134" s="140">
        <f t="shared" si="437"/>
        <v>10961</v>
      </c>
      <c r="BK134" s="140">
        <f t="shared" si="437"/>
        <v>11141</v>
      </c>
      <c r="BL134" s="140">
        <f t="shared" si="437"/>
        <v>11321</v>
      </c>
      <c r="BM134" s="140">
        <f t="shared" si="437"/>
        <v>11501</v>
      </c>
      <c r="BN134" s="140">
        <f t="shared" ref="BN134:CB134" si="438">DAYS360($B$3,BN50)</f>
        <v>11681</v>
      </c>
      <c r="BO134" s="140">
        <f t="shared" si="438"/>
        <v>11860</v>
      </c>
      <c r="BP134" s="140">
        <f t="shared" si="438"/>
        <v>12040</v>
      </c>
      <c r="BQ134" s="140">
        <f t="shared" si="438"/>
        <v>12220</v>
      </c>
      <c r="BR134" s="140">
        <f t="shared" si="438"/>
        <v>12400</v>
      </c>
      <c r="BS134" s="140">
        <f t="shared" si="438"/>
        <v>12580</v>
      </c>
      <c r="BT134" s="140">
        <f t="shared" si="438"/>
        <v>12760</v>
      </c>
      <c r="BU134" s="140">
        <f t="shared" si="438"/>
        <v>12940</v>
      </c>
      <c r="BV134" s="140">
        <f t="shared" si="438"/>
        <v>13120</v>
      </c>
      <c r="BW134" s="140">
        <f t="shared" si="438"/>
        <v>13299</v>
      </c>
      <c r="BX134" s="140">
        <f t="shared" si="438"/>
        <v>13479</v>
      </c>
      <c r="BY134" s="140">
        <f t="shared" si="438"/>
        <v>13659</v>
      </c>
      <c r="BZ134" s="140">
        <f t="shared" si="438"/>
        <v>13839</v>
      </c>
      <c r="CA134" s="140">
        <f t="shared" si="438"/>
        <v>14019</v>
      </c>
      <c r="CB134" s="140">
        <f t="shared" si="438"/>
        <v>14199</v>
      </c>
      <c r="CC134" s="17"/>
      <c r="CD134" s="17"/>
      <c r="CE134" s="17"/>
    </row>
    <row r="135" spans="1:201">
      <c r="A135" s="16" t="s">
        <v>41</v>
      </c>
      <c r="B135" s="140">
        <f>B134/360</f>
        <v>0.46944444444444444</v>
      </c>
      <c r="C135" s="140">
        <f t="shared" ref="C135:BN135" si="439">C134/360</f>
        <v>0.96666666666666667</v>
      </c>
      <c r="D135" s="140">
        <f t="shared" si="439"/>
        <v>1.4666666666666666</v>
      </c>
      <c r="E135" s="140">
        <f t="shared" si="439"/>
        <v>1.9666666666666666</v>
      </c>
      <c r="F135" s="140">
        <f t="shared" si="439"/>
        <v>2.4666666666666668</v>
      </c>
      <c r="G135" s="140">
        <f t="shared" si="439"/>
        <v>2.9666666666666668</v>
      </c>
      <c r="H135" s="140">
        <f t="shared" si="439"/>
        <v>3.4666666666666668</v>
      </c>
      <c r="I135" s="140">
        <f t="shared" si="439"/>
        <v>3.9666666666666668</v>
      </c>
      <c r="J135" s="140">
        <f t="shared" si="439"/>
        <v>4.4666666666666668</v>
      </c>
      <c r="K135" s="140">
        <f t="shared" si="439"/>
        <v>4.9638888888888886</v>
      </c>
      <c r="L135" s="140">
        <f t="shared" si="439"/>
        <v>5.4638888888888886</v>
      </c>
      <c r="M135" s="140">
        <f t="shared" si="439"/>
        <v>5.9638888888888886</v>
      </c>
      <c r="N135" s="140">
        <f t="shared" si="439"/>
        <v>6.4638888888888886</v>
      </c>
      <c r="O135" s="140">
        <f t="shared" si="439"/>
        <v>6.9638888888888886</v>
      </c>
      <c r="P135" s="140">
        <f t="shared" si="439"/>
        <v>7.4638888888888886</v>
      </c>
      <c r="Q135" s="140">
        <f t="shared" si="439"/>
        <v>7.9638888888888886</v>
      </c>
      <c r="R135" s="140">
        <f t="shared" si="439"/>
        <v>8.4638888888888886</v>
      </c>
      <c r="S135" s="140">
        <f t="shared" si="439"/>
        <v>8.9611111111111104</v>
      </c>
      <c r="T135" s="140">
        <f t="shared" si="439"/>
        <v>9.4611111111111104</v>
      </c>
      <c r="U135" s="140">
        <f t="shared" si="439"/>
        <v>9.9611111111111104</v>
      </c>
      <c r="V135" s="140">
        <f t="shared" si="439"/>
        <v>10.46111111111111</v>
      </c>
      <c r="W135" s="140">
        <f t="shared" si="439"/>
        <v>10.96111111111111</v>
      </c>
      <c r="X135" s="140">
        <f t="shared" si="439"/>
        <v>11.46111111111111</v>
      </c>
      <c r="Y135" s="140">
        <f t="shared" si="439"/>
        <v>11.96111111111111</v>
      </c>
      <c r="Z135" s="140">
        <f t="shared" si="439"/>
        <v>12.46111111111111</v>
      </c>
      <c r="AA135" s="140">
        <f t="shared" si="439"/>
        <v>12.958333333333334</v>
      </c>
      <c r="AB135" s="140">
        <f t="shared" si="439"/>
        <v>13.458333333333334</v>
      </c>
      <c r="AC135" s="140">
        <f t="shared" si="439"/>
        <v>13.958333333333334</v>
      </c>
      <c r="AD135" s="140">
        <f t="shared" si="439"/>
        <v>14.458333333333334</v>
      </c>
      <c r="AE135" s="140">
        <f t="shared" si="439"/>
        <v>14.958333333333334</v>
      </c>
      <c r="AF135" s="140">
        <f t="shared" si="439"/>
        <v>15.458333333333334</v>
      </c>
      <c r="AG135" s="140">
        <f t="shared" si="439"/>
        <v>15.958333333333334</v>
      </c>
      <c r="AH135" s="140">
        <f t="shared" si="439"/>
        <v>16.458333333333332</v>
      </c>
      <c r="AI135" s="140">
        <f t="shared" si="439"/>
        <v>16.955555555555556</v>
      </c>
      <c r="AJ135" s="140">
        <f t="shared" si="439"/>
        <v>17.455555555555556</v>
      </c>
      <c r="AK135" s="140">
        <f t="shared" si="439"/>
        <v>17.955555555555556</v>
      </c>
      <c r="AL135" s="140">
        <f t="shared" si="439"/>
        <v>18.455555555555556</v>
      </c>
      <c r="AM135" s="140">
        <f t="shared" si="439"/>
        <v>18.955555555555556</v>
      </c>
      <c r="AN135" s="140">
        <f t="shared" si="439"/>
        <v>19.455555555555556</v>
      </c>
      <c r="AO135" s="140">
        <f t="shared" si="439"/>
        <v>19.955555555555556</v>
      </c>
      <c r="AP135" s="140">
        <f t="shared" si="439"/>
        <v>20.455555555555556</v>
      </c>
      <c r="AQ135" s="140">
        <f t="shared" si="439"/>
        <v>20.952777777777779</v>
      </c>
      <c r="AR135" s="140">
        <f t="shared" si="439"/>
        <v>21.452777777777779</v>
      </c>
      <c r="AS135" s="140">
        <f t="shared" si="439"/>
        <v>21.952777777777779</v>
      </c>
      <c r="AT135" s="140">
        <f t="shared" si="439"/>
        <v>22.452777777777779</v>
      </c>
      <c r="AU135" s="140">
        <f t="shared" si="439"/>
        <v>22.952777777777779</v>
      </c>
      <c r="AV135" s="140">
        <f t="shared" si="439"/>
        <v>23.452777777777779</v>
      </c>
      <c r="AW135" s="140">
        <f t="shared" si="439"/>
        <v>23.952777777777779</v>
      </c>
      <c r="AX135" s="140">
        <f t="shared" si="439"/>
        <v>24.452777777777779</v>
      </c>
      <c r="AY135" s="140">
        <f t="shared" si="439"/>
        <v>24.95</v>
      </c>
      <c r="AZ135" s="140">
        <f t="shared" si="439"/>
        <v>25.45</v>
      </c>
      <c r="BA135" s="140">
        <f t="shared" si="439"/>
        <v>25.95</v>
      </c>
      <c r="BB135" s="140">
        <f t="shared" si="439"/>
        <v>26.45</v>
      </c>
      <c r="BC135" s="140">
        <f t="shared" si="439"/>
        <v>26.95</v>
      </c>
      <c r="BD135" s="140">
        <f t="shared" si="439"/>
        <v>27.45</v>
      </c>
      <c r="BE135" s="140">
        <f t="shared" si="439"/>
        <v>27.95</v>
      </c>
      <c r="BF135" s="140">
        <f t="shared" si="439"/>
        <v>28.45</v>
      </c>
      <c r="BG135" s="140">
        <f t="shared" si="439"/>
        <v>28.947222222222223</v>
      </c>
      <c r="BH135" s="140">
        <f t="shared" si="439"/>
        <v>29.447222222222223</v>
      </c>
      <c r="BI135" s="140">
        <f t="shared" si="439"/>
        <v>29.947222222222223</v>
      </c>
      <c r="BJ135" s="140">
        <f t="shared" si="439"/>
        <v>30.447222222222223</v>
      </c>
      <c r="BK135" s="140">
        <f t="shared" si="439"/>
        <v>30.947222222222223</v>
      </c>
      <c r="BL135" s="140">
        <f t="shared" si="439"/>
        <v>31.447222222222223</v>
      </c>
      <c r="BM135" s="140">
        <f t="shared" si="439"/>
        <v>31.947222222222223</v>
      </c>
      <c r="BN135" s="140">
        <f t="shared" si="439"/>
        <v>32.447222222222223</v>
      </c>
      <c r="BO135" s="140">
        <f t="shared" ref="BO135:CB135" si="440">BO134/360</f>
        <v>32.944444444444443</v>
      </c>
      <c r="BP135" s="140">
        <f t="shared" si="440"/>
        <v>33.444444444444443</v>
      </c>
      <c r="BQ135" s="140">
        <f t="shared" si="440"/>
        <v>33.944444444444443</v>
      </c>
      <c r="BR135" s="140">
        <f t="shared" si="440"/>
        <v>34.444444444444443</v>
      </c>
      <c r="BS135" s="140">
        <f t="shared" si="440"/>
        <v>34.944444444444443</v>
      </c>
      <c r="BT135" s="140">
        <f t="shared" si="440"/>
        <v>35.444444444444443</v>
      </c>
      <c r="BU135" s="140">
        <f t="shared" si="440"/>
        <v>35.944444444444443</v>
      </c>
      <c r="BV135" s="140">
        <f t="shared" si="440"/>
        <v>36.444444444444443</v>
      </c>
      <c r="BW135" s="140">
        <f t="shared" si="440"/>
        <v>36.94166666666667</v>
      </c>
      <c r="BX135" s="140">
        <f t="shared" si="440"/>
        <v>37.44166666666667</v>
      </c>
      <c r="BY135" s="140">
        <f t="shared" si="440"/>
        <v>37.94166666666667</v>
      </c>
      <c r="BZ135" s="140">
        <f t="shared" si="440"/>
        <v>38.44166666666667</v>
      </c>
      <c r="CA135" s="140">
        <f t="shared" si="440"/>
        <v>38.94166666666667</v>
      </c>
      <c r="CB135" s="140">
        <f t="shared" si="440"/>
        <v>39.44166666666667</v>
      </c>
      <c r="CC135" s="17"/>
      <c r="CD135" s="17"/>
      <c r="CE135" s="17"/>
    </row>
    <row r="136" spans="1:201">
      <c r="A136" s="16" t="s">
        <v>43</v>
      </c>
      <c r="B136" s="140">
        <f>IF(B134&lt;0,0,$B$5+$B$6*((1-EXP(-B135/$B$9))/(B135/$B$9))+$B$7*((1-EXP(-B135/$B$9))/(B135/$B$9)-EXP(-B135/$B$9))+$B$8*((1-EXP(-B135/$B$10))/(B135/$B$10)-EXP(-B135/$B$10)))</f>
        <v>1.0313645755796727E-2</v>
      </c>
      <c r="C136" s="140">
        <f t="shared" ref="C136:BN136" si="441">IF(C134&lt;0,0,$B$5+$B$6*((1-EXP(-C135/$B$9))/(C135/$B$9))+$B$7*((1-EXP(-C135/$B$9))/(C135/$B$9)-EXP(-C135/$B$9))+$B$8*((1-EXP(-C135/$B$10))/(C135/$B$10)-EXP(-C135/$B$10)))</f>
        <v>9.7272693824835259E-3</v>
      </c>
      <c r="D136" s="140">
        <f t="shared" si="441"/>
        <v>9.4274598172649458E-3</v>
      </c>
      <c r="E136" s="140">
        <f t="shared" si="441"/>
        <v>9.3346668144159012E-3</v>
      </c>
      <c r="F136" s="140">
        <f t="shared" si="441"/>
        <v>9.3875402570281173E-3</v>
      </c>
      <c r="G136" s="140">
        <f t="shared" si="441"/>
        <v>9.5413537641151451E-3</v>
      </c>
      <c r="H136" s="140">
        <f t="shared" si="441"/>
        <v>9.7636520356443306E-3</v>
      </c>
      <c r="I136" s="140">
        <f t="shared" si="441"/>
        <v>1.003101810676494E-2</v>
      </c>
      <c r="J136" s="140">
        <f t="shared" si="441"/>
        <v>1.0326675281879357E-2</v>
      </c>
      <c r="K136" s="140">
        <f t="shared" si="441"/>
        <v>1.0636948627692678E-2</v>
      </c>
      <c r="L136" s="140">
        <f t="shared" si="441"/>
        <v>1.095697285241546E-2</v>
      </c>
      <c r="M136" s="140">
        <f t="shared" si="441"/>
        <v>1.1279255927508683E-2</v>
      </c>
      <c r="N136" s="140">
        <f t="shared" si="441"/>
        <v>1.1599871581414345E-2</v>
      </c>
      <c r="O136" s="140">
        <f t="shared" si="441"/>
        <v>1.1916236267661846E-2</v>
      </c>
      <c r="P136" s="140">
        <f t="shared" si="441"/>
        <v>1.2226723651874046E-2</v>
      </c>
      <c r="Q136" s="140">
        <f t="shared" si="441"/>
        <v>1.2530383050805186E-2</v>
      </c>
      <c r="R136" s="140">
        <f t="shared" si="441"/>
        <v>1.2826734616891718E-2</v>
      </c>
      <c r="S136" s="140">
        <f t="shared" si="441"/>
        <v>1.3114036731485668E-2</v>
      </c>
      <c r="T136" s="140">
        <f t="shared" si="441"/>
        <v>1.3395557333542227E-2</v>
      </c>
      <c r="U136" s="140">
        <f t="shared" si="441"/>
        <v>1.3669868180798055E-2</v>
      </c>
      <c r="V136" s="140">
        <f t="shared" si="441"/>
        <v>1.3937252699611659E-2</v>
      </c>
      <c r="W136" s="140">
        <f t="shared" si="441"/>
        <v>1.4198042309507346E-2</v>
      </c>
      <c r="X136" s="140">
        <f t="shared" si="441"/>
        <v>1.4452590309658045E-2</v>
      </c>
      <c r="Y136" s="140">
        <f t="shared" si="441"/>
        <v>1.4701254235278157E-2</v>
      </c>
      <c r="Z136" s="140">
        <f t="shared" si="441"/>
        <v>1.4944384274969667E-2</v>
      </c>
      <c r="AA136" s="140">
        <f t="shared" si="441"/>
        <v>1.5181007914450427E-2</v>
      </c>
      <c r="AB136" s="140">
        <f t="shared" si="441"/>
        <v>1.5414084254712166E-2</v>
      </c>
      <c r="AC136" s="140">
        <f t="shared" si="441"/>
        <v>1.5642572960681524E-2</v>
      </c>
      <c r="AD136" s="140">
        <f t="shared" si="441"/>
        <v>1.5866747943902602E-2</v>
      </c>
      <c r="AE136" s="140">
        <f t="shared" si="441"/>
        <v>1.6086861488134773E-2</v>
      </c>
      <c r="AF136" s="140">
        <f t="shared" si="441"/>
        <v>1.6303145037614399E-2</v>
      </c>
      <c r="AG136" s="140">
        <f t="shared" si="441"/>
        <v>1.6515810347567546E-2</v>
      </c>
      <c r="AH136" s="140">
        <f t="shared" si="441"/>
        <v>1.6725050830291483E-2</v>
      </c>
      <c r="AI136" s="140">
        <f t="shared" si="441"/>
        <v>1.6929907252757798E-2</v>
      </c>
      <c r="AJ136" s="140">
        <f t="shared" si="441"/>
        <v>1.7132828825127674E-2</v>
      </c>
      <c r="AK136" s="140">
        <f t="shared" si="441"/>
        <v>1.7332809229824414E-2</v>
      </c>
      <c r="AL136" s="140">
        <f t="shared" si="441"/>
        <v>1.7529982688404777E-2</v>
      </c>
      <c r="AM136" s="140">
        <f t="shared" si="441"/>
        <v>1.7724471872809219E-2</v>
      </c>
      <c r="AN136" s="140">
        <f t="shared" si="441"/>
        <v>1.7916389037682071E-2</v>
      </c>
      <c r="AO136" s="140">
        <f t="shared" si="441"/>
        <v>1.810583705403265E-2</v>
      </c>
      <c r="AP136" s="140">
        <f t="shared" si="441"/>
        <v>1.8292910346544827E-2</v>
      </c>
      <c r="AQ136" s="140">
        <f t="shared" si="441"/>
        <v>1.847667532387735E-2</v>
      </c>
      <c r="AR136" s="140">
        <f t="shared" si="441"/>
        <v>1.8659264857298612E-2</v>
      </c>
      <c r="AS136" s="140">
        <f t="shared" si="441"/>
        <v>1.8839719904950314E-2</v>
      </c>
      <c r="AT136" s="140">
        <f t="shared" si="441"/>
        <v>1.9018108771584646E-2</v>
      </c>
      <c r="AU136" s="140">
        <f t="shared" si="441"/>
        <v>1.9194494754782306E-2</v>
      </c>
      <c r="AV136" s="140">
        <f t="shared" si="441"/>
        <v>1.9368936631788552E-2</v>
      </c>
      <c r="AW136" s="140">
        <f t="shared" si="441"/>
        <v>1.9541489094071936E-2</v>
      </c>
      <c r="AX136" s="140">
        <f t="shared" si="441"/>
        <v>1.9712203135224451E-2</v>
      </c>
      <c r="AY136" s="140">
        <f t="shared" si="441"/>
        <v>1.9880192798270288E-2</v>
      </c>
      <c r="AZ136" s="140">
        <f t="shared" si="441"/>
        <v>2.0047379464274366E-2</v>
      </c>
      <c r="BA136" s="140">
        <f t="shared" si="441"/>
        <v>2.0212861560481854E-2</v>
      </c>
      <c r="BB136" s="140">
        <f t="shared" si="441"/>
        <v>2.0376678416870138E-2</v>
      </c>
      <c r="BC136" s="140">
        <f t="shared" si="441"/>
        <v>2.0538867066093203E-2</v>
      </c>
      <c r="BD136" s="140">
        <f t="shared" si="441"/>
        <v>2.0699462442457156E-2</v>
      </c>
      <c r="BE136" s="140">
        <f t="shared" si="441"/>
        <v>2.0858497560572894E-2</v>
      </c>
      <c r="BF136" s="140">
        <f t="shared" si="441"/>
        <v>2.1016003675967402E-2</v>
      </c>
      <c r="BG136" s="140">
        <f t="shared" si="441"/>
        <v>2.1171147814876234E-2</v>
      </c>
      <c r="BH136" s="140">
        <f t="shared" si="441"/>
        <v>2.1325691461889298E-2</v>
      </c>
      <c r="BI136" s="140">
        <f t="shared" si="441"/>
        <v>2.1478790549167081E-2</v>
      </c>
      <c r="BJ136" s="140">
        <f t="shared" si="441"/>
        <v>2.1630470613640179E-2</v>
      </c>
      <c r="BK136" s="140">
        <f t="shared" si="441"/>
        <v>2.1780756027862461E-2</v>
      </c>
      <c r="BL136" s="140">
        <f t="shared" si="441"/>
        <v>2.1929670087344425E-2</v>
      </c>
      <c r="BM136" s="140">
        <f t="shared" si="441"/>
        <v>2.207723508983786E-2</v>
      </c>
      <c r="BN136" s="140">
        <f t="shared" si="441"/>
        <v>2.2223472407415124E-2</v>
      </c>
      <c r="BO136" s="140">
        <f t="shared" ref="BO136:CB136" si="442">IF(BO134&lt;0,0,$B$5+$B$6*((1-EXP(-BO135/$B$9))/(BO135/$B$9))+$B$7*((1-EXP(-BO135/$B$9))/(BO135/$B$9)-EXP(-BO135/$B$9))+$B$8*((1-EXP(-BO135/$B$10))/(BO135/$B$10)-EXP(-BO135/$B$10)))</f>
        <v>2.236760095892899E-2</v>
      </c>
      <c r="BP136" s="140">
        <f t="shared" si="442"/>
        <v>2.2511250741981976E-2</v>
      </c>
      <c r="BQ136" s="140">
        <f t="shared" si="442"/>
        <v>2.2653631926660967E-2</v>
      </c>
      <c r="BR136" s="140">
        <f t="shared" si="442"/>
        <v>2.2794762787152638E-2</v>
      </c>
      <c r="BS136" s="140">
        <f t="shared" si="442"/>
        <v>2.2934660947394828E-2</v>
      </c>
      <c r="BT136" s="140">
        <f t="shared" si="442"/>
        <v>2.3073343422978138E-2</v>
      </c>
      <c r="BU136" s="140">
        <f t="shared" si="442"/>
        <v>2.3210826659598869E-2</v>
      </c>
      <c r="BV136" s="140">
        <f t="shared" si="442"/>
        <v>2.3347126568391441E-2</v>
      </c>
      <c r="BW136" s="140">
        <f t="shared" si="442"/>
        <v>2.3481511023709843E-2</v>
      </c>
      <c r="BX136" s="140">
        <f t="shared" si="442"/>
        <v>2.3615496396984924E-2</v>
      </c>
      <c r="BY136" s="140">
        <f t="shared" si="442"/>
        <v>2.3748343201593577E-2</v>
      </c>
      <c r="BZ136" s="140">
        <f t="shared" si="442"/>
        <v>2.3880065513239204E-2</v>
      </c>
      <c r="CA136" s="140">
        <f t="shared" si="442"/>
        <v>2.401067701204827E-2</v>
      </c>
      <c r="CB136" s="140">
        <f t="shared" si="442"/>
        <v>2.4140191004383315E-2</v>
      </c>
      <c r="CC136" s="17"/>
      <c r="CD136" s="17"/>
      <c r="CE136" s="17"/>
    </row>
    <row r="137" spans="1:201">
      <c r="A137" s="16" t="s">
        <v>44</v>
      </c>
      <c r="B137" s="140">
        <f>EXP(-B136*B135)</f>
        <v>0.99517001835500463</v>
      </c>
      <c r="C137" s="140">
        <f t="shared" ref="C137:AR137" si="443">EXP(-C136*C135)</f>
        <v>0.99064104314997703</v>
      </c>
      <c r="D137" s="140">
        <f t="shared" si="443"/>
        <v>0.9862682120207249</v>
      </c>
      <c r="E137" s="140">
        <f t="shared" si="443"/>
        <v>0.98180930681086964</v>
      </c>
      <c r="F137" s="140">
        <f t="shared" si="443"/>
        <v>0.97711010854051472</v>
      </c>
      <c r="G137" s="140">
        <f t="shared" si="443"/>
        <v>0.97209084576596982</v>
      </c>
      <c r="H137" s="140">
        <f t="shared" si="443"/>
        <v>0.96671908521933014</v>
      </c>
      <c r="I137" s="140">
        <f t="shared" si="443"/>
        <v>0.96099150946317247</v>
      </c>
      <c r="J137" s="140">
        <f t="shared" si="443"/>
        <v>0.95492180994249709</v>
      </c>
      <c r="K137" s="140">
        <f t="shared" si="443"/>
        <v>0.94856910880706136</v>
      </c>
      <c r="L137" s="140">
        <f t="shared" si="443"/>
        <v>0.94188915401725559</v>
      </c>
      <c r="M137" s="140">
        <f t="shared" si="443"/>
        <v>0.93494438840782657</v>
      </c>
      <c r="N137" s="140">
        <f t="shared" si="443"/>
        <v>0.92776178065708703</v>
      </c>
      <c r="O137" s="140">
        <f t="shared" si="443"/>
        <v>0.92036647548159922</v>
      </c>
      <c r="P137" s="140">
        <f t="shared" si="443"/>
        <v>0.9127813549921614</v>
      </c>
      <c r="Q137" s="140">
        <f t="shared" si="443"/>
        <v>0.9050269304226769</v>
      </c>
      <c r="R137" s="140">
        <f t="shared" si="443"/>
        <v>0.8971214264238524</v>
      </c>
      <c r="S137" s="140">
        <f t="shared" si="443"/>
        <v>0.88912598307264479</v>
      </c>
      <c r="T137" s="140">
        <f t="shared" si="443"/>
        <v>0.88096546258560104</v>
      </c>
      <c r="U137" s="140">
        <f t="shared" si="443"/>
        <v>0.87269681376912744</v>
      </c>
      <c r="V137" s="140">
        <f t="shared" si="443"/>
        <v>0.86433128749100407</v>
      </c>
      <c r="W137" s="140">
        <f t="shared" si="443"/>
        <v>0.85587895605694342</v>
      </c>
      <c r="X137" s="140">
        <f t="shared" si="443"/>
        <v>0.84734890112367545</v>
      </c>
      <c r="Y137" s="140">
        <f t="shared" si="443"/>
        <v>0.83874937539601646</v>
      </c>
      <c r="Z137" s="140">
        <f t="shared" si="443"/>
        <v>0.83008793921907165</v>
      </c>
      <c r="AA137" s="140">
        <f t="shared" si="443"/>
        <v>0.82142013815602599</v>
      </c>
      <c r="AB137" s="140">
        <f t="shared" si="443"/>
        <v>0.8126555930868955</v>
      </c>
      <c r="AC137" s="140">
        <f t="shared" si="443"/>
        <v>0.80384867107385771</v>
      </c>
      <c r="AD137" s="140">
        <f t="shared" si="443"/>
        <v>0.79500511475936286</v>
      </c>
      <c r="AE137" s="140">
        <f t="shared" si="443"/>
        <v>0.78613036900979039</v>
      </c>
      <c r="AF137" s="140">
        <f t="shared" si="443"/>
        <v>0.77722962051580458</v>
      </c>
      <c r="AG137" s="140">
        <f t="shared" si="443"/>
        <v>0.7683078292565616</v>
      </c>
      <c r="AH137" s="140">
        <f t="shared" si="443"/>
        <v>0.75936975339855095</v>
      </c>
      <c r="AI137" s="140">
        <f t="shared" si="443"/>
        <v>0.75046971413412722</v>
      </c>
      <c r="AJ137" s="140">
        <f t="shared" si="443"/>
        <v>0.74151265901334196</v>
      </c>
      <c r="AK137" s="140">
        <f t="shared" si="443"/>
        <v>0.73255253607407111</v>
      </c>
      <c r="AL137" s="140">
        <f t="shared" si="443"/>
        <v>0.72359345583982959</v>
      </c>
      <c r="AM137" s="140">
        <f t="shared" si="443"/>
        <v>0.71463939134897247</v>
      </c>
      <c r="AN137" s="140">
        <f t="shared" si="443"/>
        <v>0.70569418413699025</v>
      </c>
      <c r="AO137" s="140">
        <f t="shared" si="443"/>
        <v>0.69676154901158316</v>
      </c>
      <c r="AP137" s="140">
        <f t="shared" si="443"/>
        <v>0.68784507790648786</v>
      </c>
      <c r="AQ137" s="140">
        <f t="shared" si="443"/>
        <v>0.67899760944217835</v>
      </c>
      <c r="AR137" s="140">
        <f t="shared" si="443"/>
        <v>0.67012362916294987</v>
      </c>
      <c r="AS137" s="140">
        <f>EXP(-AS136*AS135)</f>
        <v>0.66127586287978535</v>
      </c>
      <c r="AT137" s="140">
        <f t="shared" ref="AT137:CA137" si="444">EXP(-AT136*AT135)</f>
        <v>0.65245743867175554</v>
      </c>
      <c r="AU137" s="140">
        <f t="shared" si="444"/>
        <v>0.64367137353402615</v>
      </c>
      <c r="AV137" s="140">
        <f t="shared" si="444"/>
        <v>0.63492057502247889</v>
      </c>
      <c r="AW137" s="140">
        <f t="shared" si="444"/>
        <v>0.62620784281127184</v>
      </c>
      <c r="AX137" s="140">
        <f t="shared" si="444"/>
        <v>0.61753587019898581</v>
      </c>
      <c r="AY137" s="140">
        <f t="shared" si="444"/>
        <v>0.60895505804019356</v>
      </c>
      <c r="AZ137" s="140">
        <f t="shared" si="444"/>
        <v>0.60037200511565114</v>
      </c>
      <c r="BA137" s="140">
        <f t="shared" si="444"/>
        <v>0.59183715527075775</v>
      </c>
      <c r="BB137" s="140">
        <f t="shared" si="444"/>
        <v>0.58335279167830567</v>
      </c>
      <c r="BC137" s="140">
        <f t="shared" si="444"/>
        <v>0.5749210985972194</v>
      </c>
      <c r="BD137" s="140">
        <f t="shared" si="444"/>
        <v>0.56654416292780374</v>
      </c>
      <c r="BE137" s="140">
        <f t="shared" si="444"/>
        <v>0.55822397579764349</v>
      </c>
      <c r="BF137" s="140">
        <f t="shared" si="444"/>
        <v>0.5499624341788506</v>
      </c>
      <c r="BG137" s="140">
        <f t="shared" si="444"/>
        <v>0.54180673398432866</v>
      </c>
      <c r="BH137" s="140">
        <f t="shared" si="444"/>
        <v>0.53366745603108445</v>
      </c>
      <c r="BI137" s="140">
        <f t="shared" si="444"/>
        <v>0.52559195742034914</v>
      </c>
      <c r="BJ137" s="140">
        <f t="shared" si="444"/>
        <v>0.51758177575459774</v>
      </c>
      <c r="BK137" s="140">
        <f t="shared" si="444"/>
        <v>0.5096383629913952</v>
      </c>
      <c r="BL137" s="140">
        <f t="shared" si="444"/>
        <v>0.50176308722006568</v>
      </c>
      <c r="BM137" s="140">
        <f t="shared" si="444"/>
        <v>0.49395723445671141</v>
      </c>
      <c r="BN137" s="140">
        <f t="shared" si="444"/>
        <v>0.48622201045484892</v>
      </c>
      <c r="BO137" s="140">
        <f t="shared" si="444"/>
        <v>0.47860091717121789</v>
      </c>
      <c r="BP137" s="140">
        <f t="shared" si="444"/>
        <v>0.47100984878387581</v>
      </c>
      <c r="BQ137" s="140">
        <f t="shared" si="444"/>
        <v>0.46349255790758953</v>
      </c>
      <c r="BR137" s="140">
        <f t="shared" si="444"/>
        <v>0.4560499479690765</v>
      </c>
      <c r="BS137" s="140">
        <f t="shared" si="444"/>
        <v>0.44868285131514041</v>
      </c>
      <c r="BT137" s="140">
        <f t="shared" si="444"/>
        <v>0.44139203106112679</v>
      </c>
      <c r="BU137" s="140">
        <f t="shared" si="444"/>
        <v>0.4341781829370332</v>
      </c>
      <c r="BV137" s="140">
        <f t="shared" si="444"/>
        <v>0.42704193712905031</v>
      </c>
      <c r="BW137" s="140">
        <f t="shared" si="444"/>
        <v>0.42002285476942491</v>
      </c>
      <c r="BX137" s="140">
        <f t="shared" si="444"/>
        <v>0.41304301278545075</v>
      </c>
      <c r="BY137" s="140">
        <f t="shared" si="444"/>
        <v>0.40614228640937855</v>
      </c>
      <c r="BZ137" s="140">
        <f t="shared" si="444"/>
        <v>0.39932106222288477</v>
      </c>
      <c r="CA137" s="140">
        <f t="shared" si="444"/>
        <v>0.3925796703225467</v>
      </c>
      <c r="CB137" s="140">
        <f>EXP(-CB136*CB135)</f>
        <v>0.38591838609319734</v>
      </c>
      <c r="CC137" s="17"/>
      <c r="CD137" s="17"/>
      <c r="CE137" s="17"/>
    </row>
    <row r="138" spans="1:201">
      <c r="A138" s="17"/>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17"/>
      <c r="CD138" s="17"/>
      <c r="CE138" s="17"/>
    </row>
    <row r="139" spans="1:201">
      <c r="A139" s="16" t="s">
        <v>40</v>
      </c>
      <c r="B139" s="140">
        <f t="shared" ref="B139:BM139" si="445">DAYS360($B$3,B52)</f>
        <v>169</v>
      </c>
      <c r="C139" s="140">
        <f t="shared" si="445"/>
        <v>348</v>
      </c>
      <c r="D139" s="140">
        <f t="shared" si="445"/>
        <v>528</v>
      </c>
      <c r="E139" s="140">
        <f t="shared" si="445"/>
        <v>708</v>
      </c>
      <c r="F139" s="140">
        <f t="shared" si="445"/>
        <v>888</v>
      </c>
      <c r="G139" s="140">
        <f t="shared" si="445"/>
        <v>1068</v>
      </c>
      <c r="H139" s="140">
        <f t="shared" si="445"/>
        <v>1248</v>
      </c>
      <c r="I139" s="140">
        <f t="shared" si="445"/>
        <v>1428</v>
      </c>
      <c r="J139" s="140">
        <f t="shared" si="445"/>
        <v>1608</v>
      </c>
      <c r="K139" s="140">
        <f t="shared" si="445"/>
        <v>1787</v>
      </c>
      <c r="L139" s="140">
        <f t="shared" si="445"/>
        <v>1967</v>
      </c>
      <c r="M139" s="140">
        <f t="shared" si="445"/>
        <v>2147</v>
      </c>
      <c r="N139" s="140">
        <f t="shared" si="445"/>
        <v>2327</v>
      </c>
      <c r="O139" s="140">
        <f t="shared" si="445"/>
        <v>2507</v>
      </c>
      <c r="P139" s="140">
        <f t="shared" si="445"/>
        <v>2687</v>
      </c>
      <c r="Q139" s="140">
        <f t="shared" si="445"/>
        <v>2867</v>
      </c>
      <c r="R139" s="140">
        <f t="shared" si="445"/>
        <v>3047</v>
      </c>
      <c r="S139" s="140">
        <f t="shared" si="445"/>
        <v>3226</v>
      </c>
      <c r="T139" s="140">
        <f t="shared" si="445"/>
        <v>3406</v>
      </c>
      <c r="U139" s="140">
        <f t="shared" si="445"/>
        <v>3586</v>
      </c>
      <c r="V139" s="140">
        <f t="shared" si="445"/>
        <v>3766</v>
      </c>
      <c r="W139" s="140">
        <f t="shared" si="445"/>
        <v>3946</v>
      </c>
      <c r="X139" s="140">
        <f t="shared" si="445"/>
        <v>4126</v>
      </c>
      <c r="Y139" s="140">
        <f t="shared" si="445"/>
        <v>4306</v>
      </c>
      <c r="Z139" s="140">
        <f t="shared" si="445"/>
        <v>4486</v>
      </c>
      <c r="AA139" s="140">
        <f t="shared" si="445"/>
        <v>4665</v>
      </c>
      <c r="AB139" s="140">
        <f t="shared" si="445"/>
        <v>4845</v>
      </c>
      <c r="AC139" s="140">
        <f t="shared" si="445"/>
        <v>5025</v>
      </c>
      <c r="AD139" s="140">
        <f t="shared" si="445"/>
        <v>5205</v>
      </c>
      <c r="AE139" s="140">
        <f t="shared" si="445"/>
        <v>5385</v>
      </c>
      <c r="AF139" s="140">
        <f t="shared" si="445"/>
        <v>5565</v>
      </c>
      <c r="AG139" s="140">
        <f t="shared" si="445"/>
        <v>5745</v>
      </c>
      <c r="AH139" s="140">
        <f t="shared" si="445"/>
        <v>5925</v>
      </c>
      <c r="AI139" s="140">
        <f t="shared" si="445"/>
        <v>6104</v>
      </c>
      <c r="AJ139" s="140">
        <f t="shared" si="445"/>
        <v>6284</v>
      </c>
      <c r="AK139" s="140">
        <f t="shared" si="445"/>
        <v>6464</v>
      </c>
      <c r="AL139" s="140">
        <f t="shared" si="445"/>
        <v>6644</v>
      </c>
      <c r="AM139" s="140">
        <f t="shared" si="445"/>
        <v>6824</v>
      </c>
      <c r="AN139" s="140">
        <f t="shared" si="445"/>
        <v>7004</v>
      </c>
      <c r="AO139" s="140">
        <f t="shared" si="445"/>
        <v>7184</v>
      </c>
      <c r="AP139" s="140">
        <f t="shared" si="445"/>
        <v>7364</v>
      </c>
      <c r="AQ139" s="140">
        <f t="shared" si="445"/>
        <v>7543</v>
      </c>
      <c r="AR139" s="140">
        <f t="shared" si="445"/>
        <v>7723</v>
      </c>
      <c r="AS139" s="140">
        <f t="shared" si="445"/>
        <v>7903</v>
      </c>
      <c r="AT139" s="140">
        <f t="shared" si="445"/>
        <v>8083</v>
      </c>
      <c r="AU139" s="140">
        <f t="shared" si="445"/>
        <v>8263</v>
      </c>
      <c r="AV139" s="140">
        <f t="shared" si="445"/>
        <v>8443</v>
      </c>
      <c r="AW139" s="140">
        <f t="shared" si="445"/>
        <v>8623</v>
      </c>
      <c r="AX139" s="140">
        <f t="shared" si="445"/>
        <v>8803</v>
      </c>
      <c r="AY139" s="140">
        <f t="shared" si="445"/>
        <v>8982</v>
      </c>
      <c r="AZ139" s="140">
        <f t="shared" si="445"/>
        <v>9162</v>
      </c>
      <c r="BA139" s="140">
        <f t="shared" si="445"/>
        <v>9342</v>
      </c>
      <c r="BB139" s="140">
        <f t="shared" si="445"/>
        <v>9522</v>
      </c>
      <c r="BC139" s="140">
        <f t="shared" si="445"/>
        <v>9702</v>
      </c>
      <c r="BD139" s="140">
        <f t="shared" si="445"/>
        <v>9882</v>
      </c>
      <c r="BE139" s="140">
        <f t="shared" si="445"/>
        <v>10062</v>
      </c>
      <c r="BF139" s="140">
        <f t="shared" si="445"/>
        <v>10242</v>
      </c>
      <c r="BG139" s="140">
        <f t="shared" si="445"/>
        <v>10421</v>
      </c>
      <c r="BH139" s="140">
        <f t="shared" si="445"/>
        <v>10601</v>
      </c>
      <c r="BI139" s="140">
        <f t="shared" si="445"/>
        <v>10781</v>
      </c>
      <c r="BJ139" s="140">
        <f t="shared" si="445"/>
        <v>10961</v>
      </c>
      <c r="BK139" s="140">
        <f t="shared" si="445"/>
        <v>11141</v>
      </c>
      <c r="BL139" s="140">
        <f t="shared" si="445"/>
        <v>11321</v>
      </c>
      <c r="BM139" s="140">
        <f t="shared" si="445"/>
        <v>11501</v>
      </c>
      <c r="BN139" s="140">
        <f t="shared" ref="BN139:CB139" si="446">DAYS360($B$3,BN52)</f>
        <v>11681</v>
      </c>
      <c r="BO139" s="140">
        <f t="shared" si="446"/>
        <v>11860</v>
      </c>
      <c r="BP139" s="140">
        <f t="shared" si="446"/>
        <v>12040</v>
      </c>
      <c r="BQ139" s="140">
        <f t="shared" si="446"/>
        <v>12220</v>
      </c>
      <c r="BR139" s="140">
        <f t="shared" si="446"/>
        <v>12400</v>
      </c>
      <c r="BS139" s="140">
        <f t="shared" si="446"/>
        <v>12580</v>
      </c>
      <c r="BT139" s="140">
        <f t="shared" si="446"/>
        <v>12760</v>
      </c>
      <c r="BU139" s="140">
        <f t="shared" si="446"/>
        <v>12940</v>
      </c>
      <c r="BV139" s="140">
        <f t="shared" si="446"/>
        <v>13120</v>
      </c>
      <c r="BW139" s="140">
        <f t="shared" si="446"/>
        <v>13299</v>
      </c>
      <c r="BX139" s="140">
        <f t="shared" si="446"/>
        <v>13479</v>
      </c>
      <c r="BY139" s="140">
        <f t="shared" si="446"/>
        <v>13659</v>
      </c>
      <c r="BZ139" s="140">
        <f t="shared" si="446"/>
        <v>13839</v>
      </c>
      <c r="CA139" s="140">
        <f t="shared" si="446"/>
        <v>14019</v>
      </c>
      <c r="CB139" s="140">
        <f t="shared" si="446"/>
        <v>14199</v>
      </c>
      <c r="CC139" s="17"/>
      <c r="CD139" s="17"/>
      <c r="CE139" s="17"/>
    </row>
    <row r="140" spans="1:201">
      <c r="A140" s="16" t="s">
        <v>41</v>
      </c>
      <c r="B140" s="140">
        <f>B139/360</f>
        <v>0.46944444444444444</v>
      </c>
      <c r="C140" s="140">
        <f t="shared" ref="C140:BN140" si="447">C139/360</f>
        <v>0.96666666666666667</v>
      </c>
      <c r="D140" s="140">
        <f t="shared" si="447"/>
        <v>1.4666666666666666</v>
      </c>
      <c r="E140" s="140">
        <f t="shared" si="447"/>
        <v>1.9666666666666666</v>
      </c>
      <c r="F140" s="140">
        <f t="shared" si="447"/>
        <v>2.4666666666666668</v>
      </c>
      <c r="G140" s="140">
        <f t="shared" si="447"/>
        <v>2.9666666666666668</v>
      </c>
      <c r="H140" s="140">
        <f t="shared" si="447"/>
        <v>3.4666666666666668</v>
      </c>
      <c r="I140" s="140">
        <f t="shared" si="447"/>
        <v>3.9666666666666668</v>
      </c>
      <c r="J140" s="140">
        <f t="shared" si="447"/>
        <v>4.4666666666666668</v>
      </c>
      <c r="K140" s="140">
        <f t="shared" si="447"/>
        <v>4.9638888888888886</v>
      </c>
      <c r="L140" s="140">
        <f t="shared" si="447"/>
        <v>5.4638888888888886</v>
      </c>
      <c r="M140" s="140">
        <f t="shared" si="447"/>
        <v>5.9638888888888886</v>
      </c>
      <c r="N140" s="140">
        <f t="shared" si="447"/>
        <v>6.4638888888888886</v>
      </c>
      <c r="O140" s="140">
        <f t="shared" si="447"/>
        <v>6.9638888888888886</v>
      </c>
      <c r="P140" s="140">
        <f t="shared" si="447"/>
        <v>7.4638888888888886</v>
      </c>
      <c r="Q140" s="140">
        <f t="shared" si="447"/>
        <v>7.9638888888888886</v>
      </c>
      <c r="R140" s="140">
        <f t="shared" si="447"/>
        <v>8.4638888888888886</v>
      </c>
      <c r="S140" s="140">
        <f t="shared" si="447"/>
        <v>8.9611111111111104</v>
      </c>
      <c r="T140" s="140">
        <f t="shared" si="447"/>
        <v>9.4611111111111104</v>
      </c>
      <c r="U140" s="140">
        <f t="shared" si="447"/>
        <v>9.9611111111111104</v>
      </c>
      <c r="V140" s="140">
        <f t="shared" si="447"/>
        <v>10.46111111111111</v>
      </c>
      <c r="W140" s="140">
        <f t="shared" si="447"/>
        <v>10.96111111111111</v>
      </c>
      <c r="X140" s="140">
        <f t="shared" si="447"/>
        <v>11.46111111111111</v>
      </c>
      <c r="Y140" s="140">
        <f t="shared" si="447"/>
        <v>11.96111111111111</v>
      </c>
      <c r="Z140" s="140">
        <f t="shared" si="447"/>
        <v>12.46111111111111</v>
      </c>
      <c r="AA140" s="140">
        <f t="shared" si="447"/>
        <v>12.958333333333334</v>
      </c>
      <c r="AB140" s="140">
        <f t="shared" si="447"/>
        <v>13.458333333333334</v>
      </c>
      <c r="AC140" s="140">
        <f t="shared" si="447"/>
        <v>13.958333333333334</v>
      </c>
      <c r="AD140" s="140">
        <f t="shared" si="447"/>
        <v>14.458333333333334</v>
      </c>
      <c r="AE140" s="140">
        <f t="shared" si="447"/>
        <v>14.958333333333334</v>
      </c>
      <c r="AF140" s="140">
        <f t="shared" si="447"/>
        <v>15.458333333333334</v>
      </c>
      <c r="AG140" s="140">
        <f t="shared" si="447"/>
        <v>15.958333333333334</v>
      </c>
      <c r="AH140" s="140">
        <f t="shared" si="447"/>
        <v>16.458333333333332</v>
      </c>
      <c r="AI140" s="140">
        <f t="shared" si="447"/>
        <v>16.955555555555556</v>
      </c>
      <c r="AJ140" s="140">
        <f t="shared" si="447"/>
        <v>17.455555555555556</v>
      </c>
      <c r="AK140" s="140">
        <f t="shared" si="447"/>
        <v>17.955555555555556</v>
      </c>
      <c r="AL140" s="140">
        <f t="shared" si="447"/>
        <v>18.455555555555556</v>
      </c>
      <c r="AM140" s="140">
        <f t="shared" si="447"/>
        <v>18.955555555555556</v>
      </c>
      <c r="AN140" s="140">
        <f t="shared" si="447"/>
        <v>19.455555555555556</v>
      </c>
      <c r="AO140" s="140">
        <f t="shared" si="447"/>
        <v>19.955555555555556</v>
      </c>
      <c r="AP140" s="140">
        <f t="shared" si="447"/>
        <v>20.455555555555556</v>
      </c>
      <c r="AQ140" s="140">
        <f t="shared" si="447"/>
        <v>20.952777777777779</v>
      </c>
      <c r="AR140" s="140">
        <f t="shared" si="447"/>
        <v>21.452777777777779</v>
      </c>
      <c r="AS140" s="140">
        <f t="shared" si="447"/>
        <v>21.952777777777779</v>
      </c>
      <c r="AT140" s="140">
        <f t="shared" si="447"/>
        <v>22.452777777777779</v>
      </c>
      <c r="AU140" s="140">
        <f t="shared" si="447"/>
        <v>22.952777777777779</v>
      </c>
      <c r="AV140" s="140">
        <f t="shared" si="447"/>
        <v>23.452777777777779</v>
      </c>
      <c r="AW140" s="140">
        <f t="shared" si="447"/>
        <v>23.952777777777779</v>
      </c>
      <c r="AX140" s="140">
        <f t="shared" si="447"/>
        <v>24.452777777777779</v>
      </c>
      <c r="AY140" s="140">
        <f t="shared" si="447"/>
        <v>24.95</v>
      </c>
      <c r="AZ140" s="140">
        <f t="shared" si="447"/>
        <v>25.45</v>
      </c>
      <c r="BA140" s="140">
        <f t="shared" si="447"/>
        <v>25.95</v>
      </c>
      <c r="BB140" s="140">
        <f t="shared" si="447"/>
        <v>26.45</v>
      </c>
      <c r="BC140" s="140">
        <f t="shared" si="447"/>
        <v>26.95</v>
      </c>
      <c r="BD140" s="140">
        <f t="shared" si="447"/>
        <v>27.45</v>
      </c>
      <c r="BE140" s="140">
        <f t="shared" si="447"/>
        <v>27.95</v>
      </c>
      <c r="BF140" s="140">
        <f t="shared" si="447"/>
        <v>28.45</v>
      </c>
      <c r="BG140" s="140">
        <f t="shared" si="447"/>
        <v>28.947222222222223</v>
      </c>
      <c r="BH140" s="140">
        <f t="shared" si="447"/>
        <v>29.447222222222223</v>
      </c>
      <c r="BI140" s="140">
        <f t="shared" si="447"/>
        <v>29.947222222222223</v>
      </c>
      <c r="BJ140" s="140">
        <f t="shared" si="447"/>
        <v>30.447222222222223</v>
      </c>
      <c r="BK140" s="140">
        <f t="shared" si="447"/>
        <v>30.947222222222223</v>
      </c>
      <c r="BL140" s="140">
        <f t="shared" si="447"/>
        <v>31.447222222222223</v>
      </c>
      <c r="BM140" s="140">
        <f t="shared" si="447"/>
        <v>31.947222222222223</v>
      </c>
      <c r="BN140" s="140">
        <f t="shared" si="447"/>
        <v>32.447222222222223</v>
      </c>
      <c r="BO140" s="140">
        <f t="shared" ref="BO140:CB140" si="448">BO139/360</f>
        <v>32.944444444444443</v>
      </c>
      <c r="BP140" s="140">
        <f t="shared" si="448"/>
        <v>33.444444444444443</v>
      </c>
      <c r="BQ140" s="140">
        <f t="shared" si="448"/>
        <v>33.944444444444443</v>
      </c>
      <c r="BR140" s="140">
        <f t="shared" si="448"/>
        <v>34.444444444444443</v>
      </c>
      <c r="BS140" s="140">
        <f t="shared" si="448"/>
        <v>34.944444444444443</v>
      </c>
      <c r="BT140" s="140">
        <f t="shared" si="448"/>
        <v>35.444444444444443</v>
      </c>
      <c r="BU140" s="140">
        <f t="shared" si="448"/>
        <v>35.944444444444443</v>
      </c>
      <c r="BV140" s="140">
        <f t="shared" si="448"/>
        <v>36.444444444444443</v>
      </c>
      <c r="BW140" s="140">
        <f t="shared" si="448"/>
        <v>36.94166666666667</v>
      </c>
      <c r="BX140" s="140">
        <f t="shared" si="448"/>
        <v>37.44166666666667</v>
      </c>
      <c r="BY140" s="140">
        <f t="shared" si="448"/>
        <v>37.94166666666667</v>
      </c>
      <c r="BZ140" s="140">
        <f t="shared" si="448"/>
        <v>38.44166666666667</v>
      </c>
      <c r="CA140" s="140">
        <f t="shared" si="448"/>
        <v>38.94166666666667</v>
      </c>
      <c r="CB140" s="140">
        <f t="shared" si="448"/>
        <v>39.44166666666667</v>
      </c>
      <c r="CC140" s="17"/>
      <c r="CD140" s="17"/>
      <c r="CE140" s="17"/>
    </row>
    <row r="141" spans="1:201">
      <c r="A141" s="16" t="s">
        <v>43</v>
      </c>
      <c r="B141" s="140">
        <f>IF(B139&lt;0,0,$B$5+$B$6*((1-EXP(-B140/$B$9))/(B140/$B$9))+$B$7*((1-EXP(-B140/$B$9))/(B140/$B$9)-EXP(-B140/$B$9))+$B$8*((1-EXP(-B140/$B$10))/(B140/$B$10)-EXP(-B140/$B$10)))</f>
        <v>1.0313645755796727E-2</v>
      </c>
      <c r="C141" s="140">
        <f t="shared" ref="C141:BN141" si="449">IF(C139&lt;0,0,$B$5+$B$6*((1-EXP(-C140/$B$9))/(C140/$B$9))+$B$7*((1-EXP(-C140/$B$9))/(C140/$B$9)-EXP(-C140/$B$9))+$B$8*((1-EXP(-C140/$B$10))/(C140/$B$10)-EXP(-C140/$B$10)))</f>
        <v>9.7272693824835259E-3</v>
      </c>
      <c r="D141" s="140">
        <f t="shared" si="449"/>
        <v>9.4274598172649458E-3</v>
      </c>
      <c r="E141" s="140">
        <f t="shared" si="449"/>
        <v>9.3346668144159012E-3</v>
      </c>
      <c r="F141" s="140">
        <f t="shared" si="449"/>
        <v>9.3875402570281173E-3</v>
      </c>
      <c r="G141" s="140">
        <f t="shared" si="449"/>
        <v>9.5413537641151451E-3</v>
      </c>
      <c r="H141" s="140">
        <f t="shared" si="449"/>
        <v>9.7636520356443306E-3</v>
      </c>
      <c r="I141" s="140">
        <f t="shared" si="449"/>
        <v>1.003101810676494E-2</v>
      </c>
      <c r="J141" s="140">
        <f t="shared" si="449"/>
        <v>1.0326675281879357E-2</v>
      </c>
      <c r="K141" s="140">
        <f t="shared" si="449"/>
        <v>1.0636948627692678E-2</v>
      </c>
      <c r="L141" s="140">
        <f t="shared" si="449"/>
        <v>1.095697285241546E-2</v>
      </c>
      <c r="M141" s="140">
        <f t="shared" si="449"/>
        <v>1.1279255927508683E-2</v>
      </c>
      <c r="N141" s="140">
        <f t="shared" si="449"/>
        <v>1.1599871581414345E-2</v>
      </c>
      <c r="O141" s="140">
        <f t="shared" si="449"/>
        <v>1.1916236267661846E-2</v>
      </c>
      <c r="P141" s="140">
        <f t="shared" si="449"/>
        <v>1.2226723651874046E-2</v>
      </c>
      <c r="Q141" s="140">
        <f t="shared" si="449"/>
        <v>1.2530383050805186E-2</v>
      </c>
      <c r="R141" s="140">
        <f t="shared" si="449"/>
        <v>1.2826734616891718E-2</v>
      </c>
      <c r="S141" s="140">
        <f t="shared" si="449"/>
        <v>1.3114036731485668E-2</v>
      </c>
      <c r="T141" s="140">
        <f t="shared" si="449"/>
        <v>1.3395557333542227E-2</v>
      </c>
      <c r="U141" s="140">
        <f t="shared" si="449"/>
        <v>1.3669868180798055E-2</v>
      </c>
      <c r="V141" s="140">
        <f t="shared" si="449"/>
        <v>1.3937252699611659E-2</v>
      </c>
      <c r="W141" s="140">
        <f t="shared" si="449"/>
        <v>1.4198042309507346E-2</v>
      </c>
      <c r="X141" s="140">
        <f t="shared" si="449"/>
        <v>1.4452590309658045E-2</v>
      </c>
      <c r="Y141" s="140">
        <f t="shared" si="449"/>
        <v>1.4701254235278157E-2</v>
      </c>
      <c r="Z141" s="140">
        <f t="shared" si="449"/>
        <v>1.4944384274969667E-2</v>
      </c>
      <c r="AA141" s="140">
        <f t="shared" si="449"/>
        <v>1.5181007914450427E-2</v>
      </c>
      <c r="AB141" s="140">
        <f t="shared" si="449"/>
        <v>1.5414084254712166E-2</v>
      </c>
      <c r="AC141" s="140">
        <f t="shared" si="449"/>
        <v>1.5642572960681524E-2</v>
      </c>
      <c r="AD141" s="140">
        <f t="shared" si="449"/>
        <v>1.5866747943902602E-2</v>
      </c>
      <c r="AE141" s="140">
        <f t="shared" si="449"/>
        <v>1.6086861488134773E-2</v>
      </c>
      <c r="AF141" s="140">
        <f t="shared" si="449"/>
        <v>1.6303145037614399E-2</v>
      </c>
      <c r="AG141" s="140">
        <f t="shared" si="449"/>
        <v>1.6515810347567546E-2</v>
      </c>
      <c r="AH141" s="140">
        <f t="shared" si="449"/>
        <v>1.6725050830291483E-2</v>
      </c>
      <c r="AI141" s="140">
        <f t="shared" si="449"/>
        <v>1.6929907252757798E-2</v>
      </c>
      <c r="AJ141" s="140">
        <f t="shared" si="449"/>
        <v>1.7132828825127674E-2</v>
      </c>
      <c r="AK141" s="140">
        <f t="shared" si="449"/>
        <v>1.7332809229824414E-2</v>
      </c>
      <c r="AL141" s="140">
        <f t="shared" si="449"/>
        <v>1.7529982688404777E-2</v>
      </c>
      <c r="AM141" s="140">
        <f t="shared" si="449"/>
        <v>1.7724471872809219E-2</v>
      </c>
      <c r="AN141" s="140">
        <f t="shared" si="449"/>
        <v>1.7916389037682071E-2</v>
      </c>
      <c r="AO141" s="140">
        <f t="shared" si="449"/>
        <v>1.810583705403265E-2</v>
      </c>
      <c r="AP141" s="140">
        <f t="shared" si="449"/>
        <v>1.8292910346544827E-2</v>
      </c>
      <c r="AQ141" s="140">
        <f t="shared" si="449"/>
        <v>1.847667532387735E-2</v>
      </c>
      <c r="AR141" s="140">
        <f t="shared" si="449"/>
        <v>1.8659264857298612E-2</v>
      </c>
      <c r="AS141" s="140">
        <f t="shared" si="449"/>
        <v>1.8839719904950314E-2</v>
      </c>
      <c r="AT141" s="140">
        <f t="shared" si="449"/>
        <v>1.9018108771584646E-2</v>
      </c>
      <c r="AU141" s="140">
        <f t="shared" si="449"/>
        <v>1.9194494754782306E-2</v>
      </c>
      <c r="AV141" s="140">
        <f t="shared" si="449"/>
        <v>1.9368936631788552E-2</v>
      </c>
      <c r="AW141" s="140">
        <f t="shared" si="449"/>
        <v>1.9541489094071936E-2</v>
      </c>
      <c r="AX141" s="140">
        <f t="shared" si="449"/>
        <v>1.9712203135224451E-2</v>
      </c>
      <c r="AY141" s="140">
        <f t="shared" si="449"/>
        <v>1.9880192798270288E-2</v>
      </c>
      <c r="AZ141" s="140">
        <f t="shared" si="449"/>
        <v>2.0047379464274366E-2</v>
      </c>
      <c r="BA141" s="140">
        <f t="shared" si="449"/>
        <v>2.0212861560481854E-2</v>
      </c>
      <c r="BB141" s="140">
        <f t="shared" si="449"/>
        <v>2.0376678416870138E-2</v>
      </c>
      <c r="BC141" s="140">
        <f t="shared" si="449"/>
        <v>2.0538867066093203E-2</v>
      </c>
      <c r="BD141" s="140">
        <f t="shared" si="449"/>
        <v>2.0699462442457156E-2</v>
      </c>
      <c r="BE141" s="140">
        <f t="shared" si="449"/>
        <v>2.0858497560572894E-2</v>
      </c>
      <c r="BF141" s="140">
        <f t="shared" si="449"/>
        <v>2.1016003675967402E-2</v>
      </c>
      <c r="BG141" s="140">
        <f t="shared" si="449"/>
        <v>2.1171147814876234E-2</v>
      </c>
      <c r="BH141" s="140">
        <f t="shared" si="449"/>
        <v>2.1325691461889298E-2</v>
      </c>
      <c r="BI141" s="140">
        <f t="shared" si="449"/>
        <v>2.1478790549167081E-2</v>
      </c>
      <c r="BJ141" s="140">
        <f t="shared" si="449"/>
        <v>2.1630470613640179E-2</v>
      </c>
      <c r="BK141" s="140">
        <f t="shared" si="449"/>
        <v>2.1780756027862461E-2</v>
      </c>
      <c r="BL141" s="140">
        <f t="shared" si="449"/>
        <v>2.1929670087344425E-2</v>
      </c>
      <c r="BM141" s="140">
        <f t="shared" si="449"/>
        <v>2.207723508983786E-2</v>
      </c>
      <c r="BN141" s="140">
        <f t="shared" si="449"/>
        <v>2.2223472407415124E-2</v>
      </c>
      <c r="BO141" s="140">
        <f t="shared" ref="BO141:CB141" si="450">IF(BO139&lt;0,0,$B$5+$B$6*((1-EXP(-BO140/$B$9))/(BO140/$B$9))+$B$7*((1-EXP(-BO140/$B$9))/(BO140/$B$9)-EXP(-BO140/$B$9))+$B$8*((1-EXP(-BO140/$B$10))/(BO140/$B$10)-EXP(-BO140/$B$10)))</f>
        <v>2.236760095892899E-2</v>
      </c>
      <c r="BP141" s="140">
        <f t="shared" si="450"/>
        <v>2.2511250741981976E-2</v>
      </c>
      <c r="BQ141" s="140">
        <f t="shared" si="450"/>
        <v>2.2653631926660967E-2</v>
      </c>
      <c r="BR141" s="140">
        <f t="shared" si="450"/>
        <v>2.2794762787152638E-2</v>
      </c>
      <c r="BS141" s="140">
        <f t="shared" si="450"/>
        <v>2.2934660947394828E-2</v>
      </c>
      <c r="BT141" s="140">
        <f t="shared" si="450"/>
        <v>2.3073343422978138E-2</v>
      </c>
      <c r="BU141" s="140">
        <f t="shared" si="450"/>
        <v>2.3210826659598869E-2</v>
      </c>
      <c r="BV141" s="140">
        <f t="shared" si="450"/>
        <v>2.3347126568391441E-2</v>
      </c>
      <c r="BW141" s="140">
        <f t="shared" si="450"/>
        <v>2.3481511023709843E-2</v>
      </c>
      <c r="BX141" s="140">
        <f t="shared" si="450"/>
        <v>2.3615496396984924E-2</v>
      </c>
      <c r="BY141" s="140">
        <f t="shared" si="450"/>
        <v>2.3748343201593577E-2</v>
      </c>
      <c r="BZ141" s="140">
        <f t="shared" si="450"/>
        <v>2.3880065513239204E-2</v>
      </c>
      <c r="CA141" s="140">
        <f t="shared" si="450"/>
        <v>2.401067701204827E-2</v>
      </c>
      <c r="CB141" s="140">
        <f t="shared" si="450"/>
        <v>2.4140191004383315E-2</v>
      </c>
      <c r="CC141" s="17"/>
      <c r="CD141" s="17"/>
      <c r="CE141" s="17"/>
    </row>
    <row r="142" spans="1:201">
      <c r="A142" s="16" t="s">
        <v>44</v>
      </c>
      <c r="B142" s="140">
        <f>EXP(-B141*B140)</f>
        <v>0.99517001835500463</v>
      </c>
      <c r="C142" s="140">
        <f t="shared" ref="C142:AR142" si="451">EXP(-C141*C140)</f>
        <v>0.99064104314997703</v>
      </c>
      <c r="D142" s="140">
        <f t="shared" si="451"/>
        <v>0.9862682120207249</v>
      </c>
      <c r="E142" s="140">
        <f t="shared" si="451"/>
        <v>0.98180930681086964</v>
      </c>
      <c r="F142" s="140">
        <f t="shared" si="451"/>
        <v>0.97711010854051472</v>
      </c>
      <c r="G142" s="140">
        <f t="shared" si="451"/>
        <v>0.97209084576596982</v>
      </c>
      <c r="H142" s="140">
        <f t="shared" si="451"/>
        <v>0.96671908521933014</v>
      </c>
      <c r="I142" s="140">
        <f t="shared" si="451"/>
        <v>0.96099150946317247</v>
      </c>
      <c r="J142" s="140">
        <f t="shared" si="451"/>
        <v>0.95492180994249709</v>
      </c>
      <c r="K142" s="140">
        <f t="shared" si="451"/>
        <v>0.94856910880706136</v>
      </c>
      <c r="L142" s="140">
        <f t="shared" si="451"/>
        <v>0.94188915401725559</v>
      </c>
      <c r="M142" s="140">
        <f t="shared" si="451"/>
        <v>0.93494438840782657</v>
      </c>
      <c r="N142" s="140">
        <f t="shared" si="451"/>
        <v>0.92776178065708703</v>
      </c>
      <c r="O142" s="140">
        <f t="shared" si="451"/>
        <v>0.92036647548159922</v>
      </c>
      <c r="P142" s="140">
        <f t="shared" si="451"/>
        <v>0.9127813549921614</v>
      </c>
      <c r="Q142" s="140">
        <f t="shared" si="451"/>
        <v>0.9050269304226769</v>
      </c>
      <c r="R142" s="140">
        <f t="shared" si="451"/>
        <v>0.8971214264238524</v>
      </c>
      <c r="S142" s="140">
        <f t="shared" si="451"/>
        <v>0.88912598307264479</v>
      </c>
      <c r="T142" s="140">
        <f t="shared" si="451"/>
        <v>0.88096546258560104</v>
      </c>
      <c r="U142" s="140">
        <f t="shared" si="451"/>
        <v>0.87269681376912744</v>
      </c>
      <c r="V142" s="140">
        <f t="shared" si="451"/>
        <v>0.86433128749100407</v>
      </c>
      <c r="W142" s="140">
        <f t="shared" si="451"/>
        <v>0.85587895605694342</v>
      </c>
      <c r="X142" s="140">
        <f t="shared" si="451"/>
        <v>0.84734890112367545</v>
      </c>
      <c r="Y142" s="140">
        <f t="shared" si="451"/>
        <v>0.83874937539601646</v>
      </c>
      <c r="Z142" s="140">
        <f t="shared" si="451"/>
        <v>0.83008793921907165</v>
      </c>
      <c r="AA142" s="140">
        <f t="shared" si="451"/>
        <v>0.82142013815602599</v>
      </c>
      <c r="AB142" s="140">
        <f t="shared" si="451"/>
        <v>0.8126555930868955</v>
      </c>
      <c r="AC142" s="140">
        <f t="shared" si="451"/>
        <v>0.80384867107385771</v>
      </c>
      <c r="AD142" s="140">
        <f t="shared" si="451"/>
        <v>0.79500511475936286</v>
      </c>
      <c r="AE142" s="140">
        <f t="shared" si="451"/>
        <v>0.78613036900979039</v>
      </c>
      <c r="AF142" s="140">
        <f t="shared" si="451"/>
        <v>0.77722962051580458</v>
      </c>
      <c r="AG142" s="140">
        <f t="shared" si="451"/>
        <v>0.7683078292565616</v>
      </c>
      <c r="AH142" s="140">
        <f t="shared" si="451"/>
        <v>0.75936975339855095</v>
      </c>
      <c r="AI142" s="140">
        <f t="shared" si="451"/>
        <v>0.75046971413412722</v>
      </c>
      <c r="AJ142" s="140">
        <f t="shared" si="451"/>
        <v>0.74151265901334196</v>
      </c>
      <c r="AK142" s="140">
        <f t="shared" si="451"/>
        <v>0.73255253607407111</v>
      </c>
      <c r="AL142" s="140">
        <f t="shared" si="451"/>
        <v>0.72359345583982959</v>
      </c>
      <c r="AM142" s="140">
        <f t="shared" si="451"/>
        <v>0.71463939134897247</v>
      </c>
      <c r="AN142" s="140">
        <f t="shared" si="451"/>
        <v>0.70569418413699025</v>
      </c>
      <c r="AO142" s="140">
        <f t="shared" si="451"/>
        <v>0.69676154901158316</v>
      </c>
      <c r="AP142" s="140">
        <f t="shared" si="451"/>
        <v>0.68784507790648786</v>
      </c>
      <c r="AQ142" s="140">
        <f t="shared" si="451"/>
        <v>0.67899760944217835</v>
      </c>
      <c r="AR142" s="140">
        <f t="shared" si="451"/>
        <v>0.67012362916294987</v>
      </c>
      <c r="AS142" s="140">
        <f>EXP(-AS141*AS140)</f>
        <v>0.66127586287978535</v>
      </c>
      <c r="AT142" s="140">
        <f t="shared" ref="AT142:CA142" si="452">EXP(-AT141*AT140)</f>
        <v>0.65245743867175554</v>
      </c>
      <c r="AU142" s="140">
        <f t="shared" si="452"/>
        <v>0.64367137353402615</v>
      </c>
      <c r="AV142" s="140">
        <f t="shared" si="452"/>
        <v>0.63492057502247889</v>
      </c>
      <c r="AW142" s="140">
        <f t="shared" si="452"/>
        <v>0.62620784281127184</v>
      </c>
      <c r="AX142" s="140">
        <f t="shared" si="452"/>
        <v>0.61753587019898581</v>
      </c>
      <c r="AY142" s="140">
        <f t="shared" si="452"/>
        <v>0.60895505804019356</v>
      </c>
      <c r="AZ142" s="140">
        <f t="shared" si="452"/>
        <v>0.60037200511565114</v>
      </c>
      <c r="BA142" s="140">
        <f t="shared" si="452"/>
        <v>0.59183715527075775</v>
      </c>
      <c r="BB142" s="140">
        <f t="shared" si="452"/>
        <v>0.58335279167830567</v>
      </c>
      <c r="BC142" s="140">
        <f t="shared" si="452"/>
        <v>0.5749210985972194</v>
      </c>
      <c r="BD142" s="140">
        <f t="shared" si="452"/>
        <v>0.56654416292780374</v>
      </c>
      <c r="BE142" s="140">
        <f t="shared" si="452"/>
        <v>0.55822397579764349</v>
      </c>
      <c r="BF142" s="140">
        <f t="shared" si="452"/>
        <v>0.5499624341788506</v>
      </c>
      <c r="BG142" s="140">
        <f t="shared" si="452"/>
        <v>0.54180673398432866</v>
      </c>
      <c r="BH142" s="140">
        <f t="shared" si="452"/>
        <v>0.53366745603108445</v>
      </c>
      <c r="BI142" s="140">
        <f t="shared" si="452"/>
        <v>0.52559195742034914</v>
      </c>
      <c r="BJ142" s="140">
        <f t="shared" si="452"/>
        <v>0.51758177575459774</v>
      </c>
      <c r="BK142" s="140">
        <f t="shared" si="452"/>
        <v>0.5096383629913952</v>
      </c>
      <c r="BL142" s="140">
        <f t="shared" si="452"/>
        <v>0.50176308722006568</v>
      </c>
      <c r="BM142" s="140">
        <f t="shared" si="452"/>
        <v>0.49395723445671141</v>
      </c>
      <c r="BN142" s="140">
        <f t="shared" si="452"/>
        <v>0.48622201045484892</v>
      </c>
      <c r="BO142" s="140">
        <f t="shared" si="452"/>
        <v>0.47860091717121789</v>
      </c>
      <c r="BP142" s="140">
        <f t="shared" si="452"/>
        <v>0.47100984878387581</v>
      </c>
      <c r="BQ142" s="140">
        <f t="shared" si="452"/>
        <v>0.46349255790758953</v>
      </c>
      <c r="BR142" s="140">
        <f t="shared" si="452"/>
        <v>0.4560499479690765</v>
      </c>
      <c r="BS142" s="140">
        <f t="shared" si="452"/>
        <v>0.44868285131514041</v>
      </c>
      <c r="BT142" s="140">
        <f t="shared" si="452"/>
        <v>0.44139203106112679</v>
      </c>
      <c r="BU142" s="140">
        <f t="shared" si="452"/>
        <v>0.4341781829370332</v>
      </c>
      <c r="BV142" s="140">
        <f t="shared" si="452"/>
        <v>0.42704193712905031</v>
      </c>
      <c r="BW142" s="140">
        <f t="shared" si="452"/>
        <v>0.42002285476942491</v>
      </c>
      <c r="BX142" s="140">
        <f t="shared" si="452"/>
        <v>0.41304301278545075</v>
      </c>
      <c r="BY142" s="140">
        <f t="shared" si="452"/>
        <v>0.40614228640937855</v>
      </c>
      <c r="BZ142" s="140">
        <f t="shared" si="452"/>
        <v>0.39932106222288477</v>
      </c>
      <c r="CA142" s="140">
        <f t="shared" si="452"/>
        <v>0.3925796703225467</v>
      </c>
      <c r="CB142" s="140">
        <f>EXP(-CB141*CB140)</f>
        <v>0.38591838609319734</v>
      </c>
      <c r="CC142" s="17"/>
      <c r="CD142" s="17"/>
      <c r="CE142" s="17"/>
    </row>
    <row r="143" spans="1:201">
      <c r="A143" s="17"/>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17"/>
      <c r="CD143" s="17"/>
      <c r="CE143" s="17"/>
    </row>
    <row r="144" spans="1:201">
      <c r="A144" s="16" t="s">
        <v>40</v>
      </c>
      <c r="B144" s="140">
        <f t="shared" ref="B144:BM144" si="453">DAYS360($B$3,B54)</f>
        <v>-43022</v>
      </c>
      <c r="C144" s="140">
        <f t="shared" si="453"/>
        <v>-42842</v>
      </c>
      <c r="D144" s="140">
        <f t="shared" si="453"/>
        <v>-42662</v>
      </c>
      <c r="E144" s="140">
        <f t="shared" si="453"/>
        <v>-42482</v>
      </c>
      <c r="F144" s="140">
        <f t="shared" si="453"/>
        <v>-42302</v>
      </c>
      <c r="G144" s="140">
        <f t="shared" si="453"/>
        <v>-42122</v>
      </c>
      <c r="H144" s="140">
        <f t="shared" si="453"/>
        <v>-41942</v>
      </c>
      <c r="I144" s="140">
        <f t="shared" si="453"/>
        <v>-41762</v>
      </c>
      <c r="J144" s="140">
        <f t="shared" si="453"/>
        <v>-41582</v>
      </c>
      <c r="K144" s="140">
        <f t="shared" si="453"/>
        <v>-41403</v>
      </c>
      <c r="L144" s="140">
        <f t="shared" si="453"/>
        <v>-41223</v>
      </c>
      <c r="M144" s="140">
        <f t="shared" si="453"/>
        <v>-41043</v>
      </c>
      <c r="N144" s="140">
        <f t="shared" si="453"/>
        <v>-40863</v>
      </c>
      <c r="O144" s="140">
        <f t="shared" si="453"/>
        <v>-40683</v>
      </c>
      <c r="P144" s="140">
        <f t="shared" si="453"/>
        <v>-40503</v>
      </c>
      <c r="Q144" s="140">
        <f t="shared" si="453"/>
        <v>-40323</v>
      </c>
      <c r="R144" s="140">
        <f t="shared" si="453"/>
        <v>-40143</v>
      </c>
      <c r="S144" s="140">
        <f t="shared" si="453"/>
        <v>-39964</v>
      </c>
      <c r="T144" s="140">
        <f t="shared" si="453"/>
        <v>-39784</v>
      </c>
      <c r="U144" s="140">
        <f t="shared" si="453"/>
        <v>-39604</v>
      </c>
      <c r="V144" s="140">
        <f t="shared" si="453"/>
        <v>-39424</v>
      </c>
      <c r="W144" s="140">
        <f t="shared" si="453"/>
        <v>-39244</v>
      </c>
      <c r="X144" s="140">
        <f t="shared" si="453"/>
        <v>-39064</v>
      </c>
      <c r="Y144" s="140">
        <f t="shared" si="453"/>
        <v>-38884</v>
      </c>
      <c r="Z144" s="140">
        <f t="shared" si="453"/>
        <v>-38704</v>
      </c>
      <c r="AA144" s="140">
        <f t="shared" si="453"/>
        <v>-38525</v>
      </c>
      <c r="AB144" s="140">
        <f t="shared" si="453"/>
        <v>-38345</v>
      </c>
      <c r="AC144" s="140">
        <f t="shared" si="453"/>
        <v>-38165</v>
      </c>
      <c r="AD144" s="140">
        <f t="shared" si="453"/>
        <v>-37985</v>
      </c>
      <c r="AE144" s="140">
        <f t="shared" si="453"/>
        <v>-37805</v>
      </c>
      <c r="AF144" s="140">
        <f t="shared" si="453"/>
        <v>-37625</v>
      </c>
      <c r="AG144" s="140">
        <f t="shared" si="453"/>
        <v>-37445</v>
      </c>
      <c r="AH144" s="140">
        <f t="shared" si="453"/>
        <v>-37265</v>
      </c>
      <c r="AI144" s="140">
        <f t="shared" si="453"/>
        <v>-37086</v>
      </c>
      <c r="AJ144" s="140">
        <f t="shared" si="453"/>
        <v>-36906</v>
      </c>
      <c r="AK144" s="140">
        <f t="shared" si="453"/>
        <v>-36726</v>
      </c>
      <c r="AL144" s="140">
        <f t="shared" si="453"/>
        <v>-36546</v>
      </c>
      <c r="AM144" s="140">
        <f t="shared" si="453"/>
        <v>-36366</v>
      </c>
      <c r="AN144" s="140">
        <f t="shared" si="453"/>
        <v>-36186</v>
      </c>
      <c r="AO144" s="140">
        <f t="shared" si="453"/>
        <v>-36006</v>
      </c>
      <c r="AP144" s="140">
        <f t="shared" si="453"/>
        <v>-35826</v>
      </c>
      <c r="AQ144" s="140">
        <f t="shared" si="453"/>
        <v>-35647</v>
      </c>
      <c r="AR144" s="140">
        <f t="shared" si="453"/>
        <v>-35467</v>
      </c>
      <c r="AS144" s="140">
        <f t="shared" si="453"/>
        <v>-35287</v>
      </c>
      <c r="AT144" s="140">
        <f t="shared" si="453"/>
        <v>-35107</v>
      </c>
      <c r="AU144" s="140">
        <f t="shared" si="453"/>
        <v>-34927</v>
      </c>
      <c r="AV144" s="140">
        <f t="shared" si="453"/>
        <v>-34747</v>
      </c>
      <c r="AW144" s="140">
        <f t="shared" si="453"/>
        <v>-34567</v>
      </c>
      <c r="AX144" s="140">
        <f t="shared" si="453"/>
        <v>-34387</v>
      </c>
      <c r="AY144" s="140">
        <f t="shared" si="453"/>
        <v>-34208</v>
      </c>
      <c r="AZ144" s="140">
        <f t="shared" si="453"/>
        <v>-34028</v>
      </c>
      <c r="BA144" s="140">
        <f t="shared" si="453"/>
        <v>-33848</v>
      </c>
      <c r="BB144" s="140">
        <f t="shared" si="453"/>
        <v>-33668</v>
      </c>
      <c r="BC144" s="140">
        <f t="shared" si="453"/>
        <v>-33488</v>
      </c>
      <c r="BD144" s="140">
        <f t="shared" si="453"/>
        <v>-33308</v>
      </c>
      <c r="BE144" s="140">
        <f t="shared" si="453"/>
        <v>-33128</v>
      </c>
      <c r="BF144" s="140">
        <f t="shared" si="453"/>
        <v>-32948</v>
      </c>
      <c r="BG144" s="140">
        <f t="shared" si="453"/>
        <v>-32769</v>
      </c>
      <c r="BH144" s="140">
        <f t="shared" si="453"/>
        <v>-32589</v>
      </c>
      <c r="BI144" s="140">
        <f t="shared" si="453"/>
        <v>-32409</v>
      </c>
      <c r="BJ144" s="140">
        <f t="shared" si="453"/>
        <v>-32229</v>
      </c>
      <c r="BK144" s="140">
        <f t="shared" si="453"/>
        <v>-32049</v>
      </c>
      <c r="BL144" s="140">
        <f t="shared" si="453"/>
        <v>-31869</v>
      </c>
      <c r="BM144" s="140">
        <f t="shared" si="453"/>
        <v>-31689</v>
      </c>
      <c r="BN144" s="140">
        <f t="shared" ref="BN144:CB144" si="454">DAYS360($B$3,BN54)</f>
        <v>-31509</v>
      </c>
      <c r="BO144" s="140">
        <f t="shared" si="454"/>
        <v>-31330</v>
      </c>
      <c r="BP144" s="140">
        <f t="shared" si="454"/>
        <v>-31150</v>
      </c>
      <c r="BQ144" s="140">
        <f t="shared" si="454"/>
        <v>-30970</v>
      </c>
      <c r="BR144" s="140">
        <f t="shared" si="454"/>
        <v>-30790</v>
      </c>
      <c r="BS144" s="140">
        <f t="shared" si="454"/>
        <v>-30610</v>
      </c>
      <c r="BT144" s="140">
        <f t="shared" si="454"/>
        <v>-30430</v>
      </c>
      <c r="BU144" s="140">
        <f t="shared" si="454"/>
        <v>-30250</v>
      </c>
      <c r="BV144" s="140">
        <f t="shared" si="454"/>
        <v>-30070</v>
      </c>
      <c r="BW144" s="140">
        <f t="shared" si="454"/>
        <v>-29891</v>
      </c>
      <c r="BX144" s="140">
        <f t="shared" si="454"/>
        <v>-29711</v>
      </c>
      <c r="BY144" s="140">
        <f t="shared" si="454"/>
        <v>-29531</v>
      </c>
      <c r="BZ144" s="140">
        <f t="shared" si="454"/>
        <v>-29351</v>
      </c>
      <c r="CA144" s="140">
        <f t="shared" si="454"/>
        <v>-29171</v>
      </c>
      <c r="CB144" s="140">
        <f t="shared" si="454"/>
        <v>-28991</v>
      </c>
      <c r="CC144" s="233">
        <f t="shared" ref="CC144:EN144" si="455">DAYS360($B$3,CC54)</f>
        <v>-28811</v>
      </c>
      <c r="CD144" s="233">
        <f t="shared" si="455"/>
        <v>-28631</v>
      </c>
      <c r="CE144" s="233">
        <f t="shared" si="455"/>
        <v>-28452</v>
      </c>
      <c r="CF144" s="233">
        <f t="shared" si="455"/>
        <v>-28272</v>
      </c>
      <c r="CG144" s="233">
        <f t="shared" si="455"/>
        <v>-28092</v>
      </c>
      <c r="CH144" s="233">
        <f t="shared" si="455"/>
        <v>-27912</v>
      </c>
      <c r="CI144" s="233">
        <f t="shared" si="455"/>
        <v>-27732</v>
      </c>
      <c r="CJ144" s="233">
        <f t="shared" si="455"/>
        <v>-27552</v>
      </c>
      <c r="CK144" s="233">
        <f t="shared" si="455"/>
        <v>-27372</v>
      </c>
      <c r="CL144" s="233">
        <f t="shared" si="455"/>
        <v>-27192</v>
      </c>
      <c r="CM144" s="233">
        <f t="shared" si="455"/>
        <v>-27013</v>
      </c>
      <c r="CN144" s="233">
        <f t="shared" si="455"/>
        <v>-26833</v>
      </c>
      <c r="CO144" s="233">
        <f t="shared" si="455"/>
        <v>-26653</v>
      </c>
      <c r="CP144" s="233">
        <f t="shared" si="455"/>
        <v>-26473</v>
      </c>
      <c r="CQ144" s="233">
        <f t="shared" si="455"/>
        <v>-26293</v>
      </c>
      <c r="CR144" s="233">
        <f t="shared" si="455"/>
        <v>-26113</v>
      </c>
      <c r="CS144" s="233">
        <f t="shared" si="455"/>
        <v>-25933</v>
      </c>
      <c r="CT144" s="233">
        <f t="shared" si="455"/>
        <v>-25753</v>
      </c>
      <c r="CU144" s="233">
        <f t="shared" si="455"/>
        <v>-25574</v>
      </c>
      <c r="CV144" s="233">
        <f t="shared" si="455"/>
        <v>-25394</v>
      </c>
      <c r="CW144" s="233">
        <f t="shared" si="455"/>
        <v>-25214</v>
      </c>
      <c r="CX144" s="233">
        <f t="shared" si="455"/>
        <v>-25034</v>
      </c>
      <c r="CY144" s="233">
        <f t="shared" si="455"/>
        <v>-24854</v>
      </c>
      <c r="CZ144" s="233">
        <f t="shared" si="455"/>
        <v>-24674</v>
      </c>
      <c r="DA144" s="233">
        <f t="shared" si="455"/>
        <v>-24494</v>
      </c>
      <c r="DB144" s="233">
        <f t="shared" si="455"/>
        <v>-24314</v>
      </c>
      <c r="DC144" s="233">
        <f t="shared" si="455"/>
        <v>-24135</v>
      </c>
      <c r="DD144" s="233">
        <f t="shared" si="455"/>
        <v>-23955</v>
      </c>
      <c r="DE144" s="233">
        <f t="shared" si="455"/>
        <v>-23775</v>
      </c>
      <c r="DF144" s="233">
        <f t="shared" si="455"/>
        <v>-23595</v>
      </c>
      <c r="DG144" s="233">
        <f t="shared" si="455"/>
        <v>-23415</v>
      </c>
      <c r="DH144" s="233">
        <f t="shared" si="455"/>
        <v>-23235</v>
      </c>
      <c r="DI144" s="233">
        <f t="shared" si="455"/>
        <v>-23055</v>
      </c>
      <c r="DJ144" s="233">
        <f t="shared" si="455"/>
        <v>-22875</v>
      </c>
      <c r="DK144" s="233">
        <f t="shared" si="455"/>
        <v>-22696</v>
      </c>
      <c r="DL144" s="233">
        <f t="shared" si="455"/>
        <v>-22516</v>
      </c>
      <c r="DM144" s="233">
        <f t="shared" si="455"/>
        <v>-22336</v>
      </c>
      <c r="DN144" s="233">
        <f t="shared" si="455"/>
        <v>-22156</v>
      </c>
      <c r="DO144" s="233">
        <f t="shared" si="455"/>
        <v>-21976</v>
      </c>
      <c r="DP144" s="233">
        <f t="shared" si="455"/>
        <v>-21796</v>
      </c>
      <c r="DQ144" s="233">
        <f t="shared" si="455"/>
        <v>-21616</v>
      </c>
      <c r="DR144" s="233">
        <f t="shared" si="455"/>
        <v>-21436</v>
      </c>
      <c r="DS144" s="233">
        <f t="shared" si="455"/>
        <v>-21257</v>
      </c>
      <c r="DT144" s="233">
        <f t="shared" si="455"/>
        <v>-21077</v>
      </c>
      <c r="DU144" s="233">
        <f t="shared" si="455"/>
        <v>-20897</v>
      </c>
      <c r="DV144" s="233">
        <f t="shared" si="455"/>
        <v>-20717</v>
      </c>
      <c r="DW144" s="233">
        <f t="shared" si="455"/>
        <v>-20537</v>
      </c>
      <c r="DX144" s="233">
        <f t="shared" si="455"/>
        <v>-20357</v>
      </c>
      <c r="DY144" s="233">
        <f t="shared" si="455"/>
        <v>-20177</v>
      </c>
      <c r="DZ144" s="233">
        <f t="shared" si="455"/>
        <v>-19997</v>
      </c>
      <c r="EA144" s="233">
        <f t="shared" si="455"/>
        <v>-19818</v>
      </c>
      <c r="EB144" s="233">
        <f t="shared" si="455"/>
        <v>-19638</v>
      </c>
      <c r="EC144" s="233">
        <f t="shared" si="455"/>
        <v>-19458</v>
      </c>
      <c r="ED144" s="233">
        <f t="shared" si="455"/>
        <v>-19278</v>
      </c>
      <c r="EE144" s="233">
        <f t="shared" si="455"/>
        <v>-19098</v>
      </c>
      <c r="EF144" s="233">
        <f t="shared" si="455"/>
        <v>-18918</v>
      </c>
      <c r="EG144" s="233">
        <f t="shared" si="455"/>
        <v>-18738</v>
      </c>
      <c r="EH144" s="233">
        <f t="shared" si="455"/>
        <v>-18558</v>
      </c>
      <c r="EI144" s="233">
        <f t="shared" si="455"/>
        <v>-18379</v>
      </c>
      <c r="EJ144" s="233">
        <f t="shared" si="455"/>
        <v>-18199</v>
      </c>
      <c r="EK144" s="233">
        <f t="shared" si="455"/>
        <v>-18019</v>
      </c>
      <c r="EL144" s="233">
        <f t="shared" si="455"/>
        <v>-17839</v>
      </c>
      <c r="EM144" s="233">
        <f t="shared" si="455"/>
        <v>-17659</v>
      </c>
      <c r="EN144" s="233">
        <f t="shared" si="455"/>
        <v>-17479</v>
      </c>
      <c r="EO144" s="233">
        <f t="shared" ref="EO144:GS144" si="456">DAYS360($B$3,EO54)</f>
        <v>-17299</v>
      </c>
      <c r="EP144" s="233">
        <f t="shared" si="456"/>
        <v>-17119</v>
      </c>
      <c r="EQ144" s="233">
        <f t="shared" si="456"/>
        <v>-16940</v>
      </c>
      <c r="ER144" s="233">
        <f t="shared" si="456"/>
        <v>-16760</v>
      </c>
      <c r="ES144" s="233">
        <f t="shared" si="456"/>
        <v>-16580</v>
      </c>
      <c r="ET144" s="233">
        <f t="shared" si="456"/>
        <v>-16400</v>
      </c>
      <c r="EU144" s="233">
        <f t="shared" si="456"/>
        <v>-16220</v>
      </c>
      <c r="EV144" s="233">
        <f t="shared" si="456"/>
        <v>-16040</v>
      </c>
      <c r="EW144" s="233">
        <f t="shared" si="456"/>
        <v>-15860</v>
      </c>
      <c r="EX144" s="233">
        <f t="shared" si="456"/>
        <v>-15680</v>
      </c>
      <c r="EY144" s="233">
        <f t="shared" si="456"/>
        <v>-15501</v>
      </c>
      <c r="EZ144" s="233">
        <f t="shared" si="456"/>
        <v>-15321</v>
      </c>
      <c r="FA144" s="233">
        <f t="shared" si="456"/>
        <v>-15141</v>
      </c>
      <c r="FB144" s="233">
        <f t="shared" si="456"/>
        <v>-14961</v>
      </c>
      <c r="FC144" s="233">
        <f t="shared" si="456"/>
        <v>-14781</v>
      </c>
      <c r="FD144" s="233">
        <f t="shared" si="456"/>
        <v>-14601</v>
      </c>
      <c r="FE144" s="233">
        <f t="shared" si="456"/>
        <v>-14421</v>
      </c>
      <c r="FF144" s="233">
        <f t="shared" si="456"/>
        <v>-14241</v>
      </c>
      <c r="FG144" s="233">
        <f t="shared" si="456"/>
        <v>-14062</v>
      </c>
      <c r="FH144" s="233">
        <f t="shared" si="456"/>
        <v>-13882</v>
      </c>
      <c r="FI144" s="233">
        <f t="shared" si="456"/>
        <v>-13702</v>
      </c>
      <c r="FJ144" s="233">
        <f t="shared" si="456"/>
        <v>-13522</v>
      </c>
      <c r="FK144" s="233">
        <f t="shared" si="456"/>
        <v>-13342</v>
      </c>
      <c r="FL144" s="233">
        <f t="shared" si="456"/>
        <v>-13162</v>
      </c>
      <c r="FM144" s="233">
        <f t="shared" si="456"/>
        <v>-12982</v>
      </c>
      <c r="FN144" s="233">
        <f t="shared" si="456"/>
        <v>-12802</v>
      </c>
      <c r="FO144" s="233">
        <f t="shared" si="456"/>
        <v>-12623</v>
      </c>
      <c r="FP144" s="233">
        <f t="shared" si="456"/>
        <v>-12443</v>
      </c>
      <c r="FQ144" s="233">
        <f t="shared" si="456"/>
        <v>-12263</v>
      </c>
      <c r="FR144" s="233">
        <f t="shared" si="456"/>
        <v>-12083</v>
      </c>
      <c r="FS144" s="233">
        <f t="shared" si="456"/>
        <v>-11903</v>
      </c>
      <c r="FT144" s="233">
        <f t="shared" si="456"/>
        <v>-11723</v>
      </c>
      <c r="FU144" s="233">
        <f t="shared" si="456"/>
        <v>-11543</v>
      </c>
      <c r="FV144" s="233">
        <f t="shared" si="456"/>
        <v>-11363</v>
      </c>
      <c r="FW144" s="233">
        <f t="shared" si="456"/>
        <v>-11184</v>
      </c>
      <c r="FX144" s="233">
        <f t="shared" si="456"/>
        <v>-11004</v>
      </c>
      <c r="FY144" s="233">
        <f t="shared" si="456"/>
        <v>-10824</v>
      </c>
      <c r="FZ144" s="233">
        <f t="shared" si="456"/>
        <v>-10644</v>
      </c>
      <c r="GA144" s="233">
        <f t="shared" si="456"/>
        <v>-10464</v>
      </c>
      <c r="GB144" s="233">
        <f t="shared" si="456"/>
        <v>-10284</v>
      </c>
      <c r="GC144" s="233">
        <f t="shared" si="456"/>
        <v>-10104</v>
      </c>
      <c r="GD144" s="233">
        <f t="shared" si="456"/>
        <v>-9924</v>
      </c>
      <c r="GE144" s="233">
        <f t="shared" si="456"/>
        <v>-9745</v>
      </c>
      <c r="GF144" s="233">
        <f t="shared" si="456"/>
        <v>-9565</v>
      </c>
      <c r="GG144" s="233">
        <f t="shared" si="456"/>
        <v>-9385</v>
      </c>
      <c r="GH144" s="233">
        <f t="shared" si="456"/>
        <v>-9205</v>
      </c>
      <c r="GI144" s="233">
        <f t="shared" si="456"/>
        <v>-9025</v>
      </c>
      <c r="GJ144" s="233">
        <f t="shared" si="456"/>
        <v>-8845</v>
      </c>
      <c r="GK144" s="233">
        <f t="shared" si="456"/>
        <v>-8665</v>
      </c>
      <c r="GL144" s="233">
        <f t="shared" si="456"/>
        <v>-8485</v>
      </c>
      <c r="GM144" s="233">
        <f t="shared" si="456"/>
        <v>-8306</v>
      </c>
      <c r="GN144" s="233">
        <f t="shared" si="456"/>
        <v>-8126</v>
      </c>
      <c r="GO144" s="233">
        <f t="shared" si="456"/>
        <v>-7946</v>
      </c>
      <c r="GP144" s="233">
        <f t="shared" si="456"/>
        <v>-7766</v>
      </c>
      <c r="GQ144" s="233">
        <f t="shared" si="456"/>
        <v>-7586</v>
      </c>
      <c r="GR144" s="233">
        <f t="shared" si="456"/>
        <v>-7406</v>
      </c>
      <c r="GS144" s="233">
        <f t="shared" si="456"/>
        <v>-7226</v>
      </c>
    </row>
    <row r="145" spans="1:201">
      <c r="A145" s="16" t="s">
        <v>41</v>
      </c>
      <c r="B145" s="140">
        <f>B144/360</f>
        <v>-119.50555555555556</v>
      </c>
      <c r="C145" s="140">
        <f t="shared" ref="C145:BN145" si="457">C144/360</f>
        <v>-119.00555555555556</v>
      </c>
      <c r="D145" s="140">
        <f t="shared" si="457"/>
        <v>-118.50555555555556</v>
      </c>
      <c r="E145" s="140">
        <f t="shared" si="457"/>
        <v>-118.00555555555556</v>
      </c>
      <c r="F145" s="140">
        <f t="shared" si="457"/>
        <v>-117.50555555555556</v>
      </c>
      <c r="G145" s="140">
        <f t="shared" si="457"/>
        <v>-117.00555555555556</v>
      </c>
      <c r="H145" s="140">
        <f t="shared" si="457"/>
        <v>-116.50555555555556</v>
      </c>
      <c r="I145" s="140">
        <f t="shared" si="457"/>
        <v>-116.00555555555556</v>
      </c>
      <c r="J145" s="140">
        <f t="shared" si="457"/>
        <v>-115.50555555555556</v>
      </c>
      <c r="K145" s="140">
        <f t="shared" si="457"/>
        <v>-115.00833333333334</v>
      </c>
      <c r="L145" s="140">
        <f t="shared" si="457"/>
        <v>-114.50833333333334</v>
      </c>
      <c r="M145" s="140">
        <f t="shared" si="457"/>
        <v>-114.00833333333334</v>
      </c>
      <c r="N145" s="140">
        <f t="shared" si="457"/>
        <v>-113.50833333333334</v>
      </c>
      <c r="O145" s="140">
        <f t="shared" si="457"/>
        <v>-113.00833333333334</v>
      </c>
      <c r="P145" s="140">
        <f t="shared" si="457"/>
        <v>-112.50833333333334</v>
      </c>
      <c r="Q145" s="140">
        <f t="shared" si="457"/>
        <v>-112.00833333333334</v>
      </c>
      <c r="R145" s="140">
        <f t="shared" si="457"/>
        <v>-111.50833333333334</v>
      </c>
      <c r="S145" s="140">
        <f t="shared" si="457"/>
        <v>-111.01111111111111</v>
      </c>
      <c r="T145" s="140">
        <f t="shared" si="457"/>
        <v>-110.51111111111111</v>
      </c>
      <c r="U145" s="140">
        <f t="shared" si="457"/>
        <v>-110.01111111111111</v>
      </c>
      <c r="V145" s="140">
        <f t="shared" si="457"/>
        <v>-109.51111111111111</v>
      </c>
      <c r="W145" s="140">
        <f t="shared" si="457"/>
        <v>-109.01111111111111</v>
      </c>
      <c r="X145" s="140">
        <f t="shared" si="457"/>
        <v>-108.51111111111111</v>
      </c>
      <c r="Y145" s="140">
        <f t="shared" si="457"/>
        <v>-108.01111111111111</v>
      </c>
      <c r="Z145" s="140">
        <f t="shared" si="457"/>
        <v>-107.51111111111111</v>
      </c>
      <c r="AA145" s="140">
        <f t="shared" si="457"/>
        <v>-107.01388888888889</v>
      </c>
      <c r="AB145" s="140">
        <f t="shared" si="457"/>
        <v>-106.51388888888889</v>
      </c>
      <c r="AC145" s="140">
        <f t="shared" si="457"/>
        <v>-106.01388888888889</v>
      </c>
      <c r="AD145" s="140">
        <f t="shared" si="457"/>
        <v>-105.51388888888889</v>
      </c>
      <c r="AE145" s="140">
        <f t="shared" si="457"/>
        <v>-105.01388888888889</v>
      </c>
      <c r="AF145" s="140">
        <f t="shared" si="457"/>
        <v>-104.51388888888889</v>
      </c>
      <c r="AG145" s="140">
        <f t="shared" si="457"/>
        <v>-104.01388888888889</v>
      </c>
      <c r="AH145" s="140">
        <f t="shared" si="457"/>
        <v>-103.51388888888889</v>
      </c>
      <c r="AI145" s="140">
        <f t="shared" si="457"/>
        <v>-103.01666666666667</v>
      </c>
      <c r="AJ145" s="140">
        <f t="shared" si="457"/>
        <v>-102.51666666666667</v>
      </c>
      <c r="AK145" s="140">
        <f t="shared" si="457"/>
        <v>-102.01666666666667</v>
      </c>
      <c r="AL145" s="140">
        <f t="shared" si="457"/>
        <v>-101.51666666666667</v>
      </c>
      <c r="AM145" s="140">
        <f t="shared" si="457"/>
        <v>-101.01666666666667</v>
      </c>
      <c r="AN145" s="140">
        <f t="shared" si="457"/>
        <v>-100.51666666666667</v>
      </c>
      <c r="AO145" s="140">
        <f t="shared" si="457"/>
        <v>-100.01666666666667</v>
      </c>
      <c r="AP145" s="140">
        <f t="shared" si="457"/>
        <v>-99.516666666666666</v>
      </c>
      <c r="AQ145" s="140">
        <f t="shared" si="457"/>
        <v>-99.019444444444446</v>
      </c>
      <c r="AR145" s="140">
        <f t="shared" si="457"/>
        <v>-98.519444444444446</v>
      </c>
      <c r="AS145" s="140">
        <f t="shared" si="457"/>
        <v>-98.019444444444446</v>
      </c>
      <c r="AT145" s="140">
        <f t="shared" si="457"/>
        <v>-97.519444444444446</v>
      </c>
      <c r="AU145" s="140">
        <f t="shared" si="457"/>
        <v>-97.019444444444446</v>
      </c>
      <c r="AV145" s="140">
        <f t="shared" si="457"/>
        <v>-96.519444444444446</v>
      </c>
      <c r="AW145" s="140">
        <f t="shared" si="457"/>
        <v>-96.019444444444446</v>
      </c>
      <c r="AX145" s="140">
        <f t="shared" si="457"/>
        <v>-95.519444444444446</v>
      </c>
      <c r="AY145" s="140">
        <f t="shared" si="457"/>
        <v>-95.022222222222226</v>
      </c>
      <c r="AZ145" s="140">
        <f t="shared" si="457"/>
        <v>-94.522222222222226</v>
      </c>
      <c r="BA145" s="140">
        <f t="shared" si="457"/>
        <v>-94.022222222222226</v>
      </c>
      <c r="BB145" s="140">
        <f t="shared" si="457"/>
        <v>-93.522222222222226</v>
      </c>
      <c r="BC145" s="140">
        <f t="shared" si="457"/>
        <v>-93.022222222222226</v>
      </c>
      <c r="BD145" s="140">
        <f t="shared" si="457"/>
        <v>-92.522222222222226</v>
      </c>
      <c r="BE145" s="140">
        <f t="shared" si="457"/>
        <v>-92.022222222222226</v>
      </c>
      <c r="BF145" s="140">
        <f t="shared" si="457"/>
        <v>-91.522222222222226</v>
      </c>
      <c r="BG145" s="140">
        <f t="shared" si="457"/>
        <v>-91.025000000000006</v>
      </c>
      <c r="BH145" s="140">
        <f t="shared" si="457"/>
        <v>-90.525000000000006</v>
      </c>
      <c r="BI145" s="140">
        <f t="shared" si="457"/>
        <v>-90.025000000000006</v>
      </c>
      <c r="BJ145" s="140">
        <f t="shared" si="457"/>
        <v>-89.525000000000006</v>
      </c>
      <c r="BK145" s="140">
        <f t="shared" si="457"/>
        <v>-89.025000000000006</v>
      </c>
      <c r="BL145" s="140">
        <f t="shared" si="457"/>
        <v>-88.525000000000006</v>
      </c>
      <c r="BM145" s="140">
        <f t="shared" si="457"/>
        <v>-88.025000000000006</v>
      </c>
      <c r="BN145" s="140">
        <f t="shared" si="457"/>
        <v>-87.525000000000006</v>
      </c>
      <c r="BO145" s="140">
        <f t="shared" ref="BO145:CB145" si="458">BO144/360</f>
        <v>-87.027777777777771</v>
      </c>
      <c r="BP145" s="140">
        <f t="shared" si="458"/>
        <v>-86.527777777777771</v>
      </c>
      <c r="BQ145" s="140">
        <f t="shared" si="458"/>
        <v>-86.027777777777771</v>
      </c>
      <c r="BR145" s="140">
        <f t="shared" si="458"/>
        <v>-85.527777777777771</v>
      </c>
      <c r="BS145" s="140">
        <f t="shared" si="458"/>
        <v>-85.027777777777771</v>
      </c>
      <c r="BT145" s="140">
        <f t="shared" si="458"/>
        <v>-84.527777777777771</v>
      </c>
      <c r="BU145" s="140">
        <f t="shared" si="458"/>
        <v>-84.027777777777771</v>
      </c>
      <c r="BV145" s="140">
        <f t="shared" si="458"/>
        <v>-83.527777777777771</v>
      </c>
      <c r="BW145" s="140">
        <f t="shared" si="458"/>
        <v>-83.030555555555551</v>
      </c>
      <c r="BX145" s="140">
        <f t="shared" si="458"/>
        <v>-82.530555555555551</v>
      </c>
      <c r="BY145" s="140">
        <f t="shared" si="458"/>
        <v>-82.030555555555551</v>
      </c>
      <c r="BZ145" s="140">
        <f t="shared" si="458"/>
        <v>-81.530555555555551</v>
      </c>
      <c r="CA145" s="140">
        <f t="shared" si="458"/>
        <v>-81.030555555555551</v>
      </c>
      <c r="CB145" s="140">
        <f t="shared" si="458"/>
        <v>-80.530555555555551</v>
      </c>
      <c r="CC145" s="233">
        <f t="shared" ref="CC145:EN145" si="459">CC144/360</f>
        <v>-80.030555555555551</v>
      </c>
      <c r="CD145" s="233">
        <f t="shared" si="459"/>
        <v>-79.530555555555551</v>
      </c>
      <c r="CE145" s="233">
        <f t="shared" si="459"/>
        <v>-79.033333333333331</v>
      </c>
      <c r="CF145" s="233">
        <f t="shared" si="459"/>
        <v>-78.533333333333331</v>
      </c>
      <c r="CG145" s="233">
        <f t="shared" si="459"/>
        <v>-78.033333333333331</v>
      </c>
      <c r="CH145" s="233">
        <f t="shared" si="459"/>
        <v>-77.533333333333331</v>
      </c>
      <c r="CI145" s="233">
        <f t="shared" si="459"/>
        <v>-77.033333333333331</v>
      </c>
      <c r="CJ145" s="233">
        <f t="shared" si="459"/>
        <v>-76.533333333333331</v>
      </c>
      <c r="CK145" s="233">
        <f t="shared" si="459"/>
        <v>-76.033333333333331</v>
      </c>
      <c r="CL145" s="233">
        <f t="shared" si="459"/>
        <v>-75.533333333333331</v>
      </c>
      <c r="CM145" s="233">
        <f t="shared" si="459"/>
        <v>-75.036111111111111</v>
      </c>
      <c r="CN145" s="233">
        <f t="shared" si="459"/>
        <v>-74.536111111111111</v>
      </c>
      <c r="CO145" s="233">
        <f t="shared" si="459"/>
        <v>-74.036111111111111</v>
      </c>
      <c r="CP145" s="233">
        <f t="shared" si="459"/>
        <v>-73.536111111111111</v>
      </c>
      <c r="CQ145" s="233">
        <f t="shared" si="459"/>
        <v>-73.036111111111111</v>
      </c>
      <c r="CR145" s="233">
        <f t="shared" si="459"/>
        <v>-72.536111111111111</v>
      </c>
      <c r="CS145" s="233">
        <f t="shared" si="459"/>
        <v>-72.036111111111111</v>
      </c>
      <c r="CT145" s="233">
        <f t="shared" si="459"/>
        <v>-71.536111111111111</v>
      </c>
      <c r="CU145" s="233">
        <f t="shared" si="459"/>
        <v>-71.038888888888891</v>
      </c>
      <c r="CV145" s="233">
        <f t="shared" si="459"/>
        <v>-70.538888888888891</v>
      </c>
      <c r="CW145" s="233">
        <f t="shared" si="459"/>
        <v>-70.038888888888891</v>
      </c>
      <c r="CX145" s="233">
        <f t="shared" si="459"/>
        <v>-69.538888888888891</v>
      </c>
      <c r="CY145" s="233">
        <f t="shared" si="459"/>
        <v>-69.038888888888891</v>
      </c>
      <c r="CZ145" s="233">
        <f t="shared" si="459"/>
        <v>-68.538888888888891</v>
      </c>
      <c r="DA145" s="233">
        <f t="shared" si="459"/>
        <v>-68.038888888888891</v>
      </c>
      <c r="DB145" s="233">
        <f t="shared" si="459"/>
        <v>-67.538888888888891</v>
      </c>
      <c r="DC145" s="233">
        <f t="shared" si="459"/>
        <v>-67.041666666666671</v>
      </c>
      <c r="DD145" s="233">
        <f t="shared" si="459"/>
        <v>-66.541666666666671</v>
      </c>
      <c r="DE145" s="233">
        <f t="shared" si="459"/>
        <v>-66.041666666666671</v>
      </c>
      <c r="DF145" s="233">
        <f t="shared" si="459"/>
        <v>-65.541666666666671</v>
      </c>
      <c r="DG145" s="233">
        <f t="shared" si="459"/>
        <v>-65.041666666666671</v>
      </c>
      <c r="DH145" s="233">
        <f t="shared" si="459"/>
        <v>-64.541666666666671</v>
      </c>
      <c r="DI145" s="233">
        <f t="shared" si="459"/>
        <v>-64.041666666666671</v>
      </c>
      <c r="DJ145" s="233">
        <f t="shared" si="459"/>
        <v>-63.541666666666664</v>
      </c>
      <c r="DK145" s="233">
        <f t="shared" si="459"/>
        <v>-63.044444444444444</v>
      </c>
      <c r="DL145" s="233">
        <f t="shared" si="459"/>
        <v>-62.544444444444444</v>
      </c>
      <c r="DM145" s="233">
        <f t="shared" si="459"/>
        <v>-62.044444444444444</v>
      </c>
      <c r="DN145" s="233">
        <f t="shared" si="459"/>
        <v>-61.544444444444444</v>
      </c>
      <c r="DO145" s="233">
        <f t="shared" si="459"/>
        <v>-61.044444444444444</v>
      </c>
      <c r="DP145" s="233">
        <f t="shared" si="459"/>
        <v>-60.544444444444444</v>
      </c>
      <c r="DQ145" s="233">
        <f t="shared" si="459"/>
        <v>-60.044444444444444</v>
      </c>
      <c r="DR145" s="233">
        <f t="shared" si="459"/>
        <v>-59.544444444444444</v>
      </c>
      <c r="DS145" s="233">
        <f t="shared" si="459"/>
        <v>-59.047222222222224</v>
      </c>
      <c r="DT145" s="233">
        <f t="shared" si="459"/>
        <v>-58.547222222222224</v>
      </c>
      <c r="DU145" s="233">
        <f t="shared" si="459"/>
        <v>-58.047222222222224</v>
      </c>
      <c r="DV145" s="233">
        <f t="shared" si="459"/>
        <v>-57.547222222222224</v>
      </c>
      <c r="DW145" s="233">
        <f t="shared" si="459"/>
        <v>-57.047222222222224</v>
      </c>
      <c r="DX145" s="233">
        <f t="shared" si="459"/>
        <v>-56.547222222222224</v>
      </c>
      <c r="DY145" s="233">
        <f t="shared" si="459"/>
        <v>-56.047222222222224</v>
      </c>
      <c r="DZ145" s="233">
        <f t="shared" si="459"/>
        <v>-55.547222222222224</v>
      </c>
      <c r="EA145" s="233">
        <f t="shared" si="459"/>
        <v>-55.05</v>
      </c>
      <c r="EB145" s="233">
        <f t="shared" si="459"/>
        <v>-54.55</v>
      </c>
      <c r="EC145" s="233">
        <f t="shared" si="459"/>
        <v>-54.05</v>
      </c>
      <c r="ED145" s="233">
        <f t="shared" si="459"/>
        <v>-53.55</v>
      </c>
      <c r="EE145" s="233">
        <f t="shared" si="459"/>
        <v>-53.05</v>
      </c>
      <c r="EF145" s="233">
        <f t="shared" si="459"/>
        <v>-52.55</v>
      </c>
      <c r="EG145" s="233">
        <f t="shared" si="459"/>
        <v>-52.05</v>
      </c>
      <c r="EH145" s="233">
        <f t="shared" si="459"/>
        <v>-51.55</v>
      </c>
      <c r="EI145" s="233">
        <f t="shared" si="459"/>
        <v>-51.052777777777777</v>
      </c>
      <c r="EJ145" s="233">
        <f t="shared" si="459"/>
        <v>-50.552777777777777</v>
      </c>
      <c r="EK145" s="233">
        <f t="shared" si="459"/>
        <v>-50.052777777777777</v>
      </c>
      <c r="EL145" s="233">
        <f t="shared" si="459"/>
        <v>-49.552777777777777</v>
      </c>
      <c r="EM145" s="233">
        <f t="shared" si="459"/>
        <v>-49.052777777777777</v>
      </c>
      <c r="EN145" s="233">
        <f t="shared" si="459"/>
        <v>-48.552777777777777</v>
      </c>
      <c r="EO145" s="233">
        <f t="shared" ref="EO145:GS145" si="460">EO144/360</f>
        <v>-48.052777777777777</v>
      </c>
      <c r="EP145" s="233">
        <f t="shared" si="460"/>
        <v>-47.552777777777777</v>
      </c>
      <c r="EQ145" s="233">
        <f t="shared" si="460"/>
        <v>-47.055555555555557</v>
      </c>
      <c r="ER145" s="233">
        <f t="shared" si="460"/>
        <v>-46.555555555555557</v>
      </c>
      <c r="ES145" s="233">
        <f t="shared" si="460"/>
        <v>-46.055555555555557</v>
      </c>
      <c r="ET145" s="233">
        <f t="shared" si="460"/>
        <v>-45.555555555555557</v>
      </c>
      <c r="EU145" s="233">
        <f t="shared" si="460"/>
        <v>-45.055555555555557</v>
      </c>
      <c r="EV145" s="233">
        <f t="shared" si="460"/>
        <v>-44.555555555555557</v>
      </c>
      <c r="EW145" s="233">
        <f t="shared" si="460"/>
        <v>-44.055555555555557</v>
      </c>
      <c r="EX145" s="233">
        <f t="shared" si="460"/>
        <v>-43.555555555555557</v>
      </c>
      <c r="EY145" s="233">
        <f t="shared" si="460"/>
        <v>-43.05833333333333</v>
      </c>
      <c r="EZ145" s="233">
        <f t="shared" si="460"/>
        <v>-42.55833333333333</v>
      </c>
      <c r="FA145" s="233">
        <f t="shared" si="460"/>
        <v>-42.05833333333333</v>
      </c>
      <c r="FB145" s="233">
        <f t="shared" si="460"/>
        <v>-41.55833333333333</v>
      </c>
      <c r="FC145" s="233">
        <f t="shared" si="460"/>
        <v>-41.05833333333333</v>
      </c>
      <c r="FD145" s="233">
        <f t="shared" si="460"/>
        <v>-40.55833333333333</v>
      </c>
      <c r="FE145" s="233">
        <f t="shared" si="460"/>
        <v>-40.05833333333333</v>
      </c>
      <c r="FF145" s="233">
        <f t="shared" si="460"/>
        <v>-39.55833333333333</v>
      </c>
      <c r="FG145" s="233">
        <f t="shared" si="460"/>
        <v>-39.06111111111111</v>
      </c>
      <c r="FH145" s="233">
        <f t="shared" si="460"/>
        <v>-38.56111111111111</v>
      </c>
      <c r="FI145" s="233">
        <f t="shared" si="460"/>
        <v>-38.06111111111111</v>
      </c>
      <c r="FJ145" s="233">
        <f t="shared" si="460"/>
        <v>-37.56111111111111</v>
      </c>
      <c r="FK145" s="233">
        <f t="shared" si="460"/>
        <v>-37.06111111111111</v>
      </c>
      <c r="FL145" s="233">
        <f t="shared" si="460"/>
        <v>-36.56111111111111</v>
      </c>
      <c r="FM145" s="233">
        <f t="shared" si="460"/>
        <v>-36.06111111111111</v>
      </c>
      <c r="FN145" s="233">
        <f t="shared" si="460"/>
        <v>-35.56111111111111</v>
      </c>
      <c r="FO145" s="233">
        <f t="shared" si="460"/>
        <v>-35.06388888888889</v>
      </c>
      <c r="FP145" s="233">
        <f t="shared" si="460"/>
        <v>-34.56388888888889</v>
      </c>
      <c r="FQ145" s="233">
        <f t="shared" si="460"/>
        <v>-34.06388888888889</v>
      </c>
      <c r="FR145" s="233">
        <f t="shared" si="460"/>
        <v>-33.56388888888889</v>
      </c>
      <c r="FS145" s="233">
        <f t="shared" si="460"/>
        <v>-33.06388888888889</v>
      </c>
      <c r="FT145" s="233">
        <f t="shared" si="460"/>
        <v>-32.56388888888889</v>
      </c>
      <c r="FU145" s="233">
        <f t="shared" si="460"/>
        <v>-32.06388888888889</v>
      </c>
      <c r="FV145" s="233">
        <f t="shared" si="460"/>
        <v>-31.56388888888889</v>
      </c>
      <c r="FW145" s="233">
        <f t="shared" si="460"/>
        <v>-31.066666666666666</v>
      </c>
      <c r="FX145" s="233">
        <f t="shared" si="460"/>
        <v>-30.566666666666666</v>
      </c>
      <c r="FY145" s="233">
        <f t="shared" si="460"/>
        <v>-30.066666666666666</v>
      </c>
      <c r="FZ145" s="233">
        <f t="shared" si="460"/>
        <v>-29.566666666666666</v>
      </c>
      <c r="GA145" s="233">
        <f t="shared" si="460"/>
        <v>-29.066666666666666</v>
      </c>
      <c r="GB145" s="233">
        <f t="shared" si="460"/>
        <v>-28.566666666666666</v>
      </c>
      <c r="GC145" s="233">
        <f t="shared" si="460"/>
        <v>-28.066666666666666</v>
      </c>
      <c r="GD145" s="233">
        <f t="shared" si="460"/>
        <v>-27.566666666666666</v>
      </c>
      <c r="GE145" s="233">
        <f t="shared" si="460"/>
        <v>-27.069444444444443</v>
      </c>
      <c r="GF145" s="233">
        <f t="shared" si="460"/>
        <v>-26.569444444444443</v>
      </c>
      <c r="GG145" s="233">
        <f t="shared" si="460"/>
        <v>-26.069444444444443</v>
      </c>
      <c r="GH145" s="233">
        <f t="shared" si="460"/>
        <v>-25.569444444444443</v>
      </c>
      <c r="GI145" s="233">
        <f t="shared" si="460"/>
        <v>-25.069444444444443</v>
      </c>
      <c r="GJ145" s="233">
        <f t="shared" si="460"/>
        <v>-24.569444444444443</v>
      </c>
      <c r="GK145" s="233">
        <f t="shared" si="460"/>
        <v>-24.069444444444443</v>
      </c>
      <c r="GL145" s="233">
        <f t="shared" si="460"/>
        <v>-23.569444444444443</v>
      </c>
      <c r="GM145" s="233">
        <f t="shared" si="460"/>
        <v>-23.072222222222223</v>
      </c>
      <c r="GN145" s="233">
        <f t="shared" si="460"/>
        <v>-22.572222222222223</v>
      </c>
      <c r="GO145" s="233">
        <f t="shared" si="460"/>
        <v>-22.072222222222223</v>
      </c>
      <c r="GP145" s="233">
        <f t="shared" si="460"/>
        <v>-21.572222222222223</v>
      </c>
      <c r="GQ145" s="233">
        <f t="shared" si="460"/>
        <v>-21.072222222222223</v>
      </c>
      <c r="GR145" s="233">
        <f t="shared" si="460"/>
        <v>-20.572222222222223</v>
      </c>
      <c r="GS145" s="233">
        <f t="shared" si="460"/>
        <v>-20.072222222222223</v>
      </c>
    </row>
    <row r="146" spans="1:201">
      <c r="A146" s="16" t="s">
        <v>43</v>
      </c>
      <c r="B146" s="140">
        <f>IF(B144&lt;0,0,$B$5+$B$6*((1-EXP(-B145/$B$9))/(B145/$B$9))+$B$7*((1-EXP(-B145/$B$9))/(B145/$B$9)-EXP(-B145/$B$9))+$B$8*((1-EXP(-B145/$B$10))/(B145/$B$10)-EXP(-B145/$B$10)))</f>
        <v>0</v>
      </c>
      <c r="C146" s="140">
        <f t="shared" ref="C146:BN146" si="461">IF(C144&lt;0,0,$B$5+$B$6*((1-EXP(-C145/$B$9))/(C145/$B$9))+$B$7*((1-EXP(-C145/$B$9))/(C145/$B$9)-EXP(-C145/$B$9))+$B$8*((1-EXP(-C145/$B$10))/(C145/$B$10)-EXP(-C145/$B$10)))</f>
        <v>0</v>
      </c>
      <c r="D146" s="140">
        <f t="shared" si="461"/>
        <v>0</v>
      </c>
      <c r="E146" s="140">
        <f t="shared" si="461"/>
        <v>0</v>
      </c>
      <c r="F146" s="140">
        <f t="shared" si="461"/>
        <v>0</v>
      </c>
      <c r="G146" s="140">
        <f t="shared" si="461"/>
        <v>0</v>
      </c>
      <c r="H146" s="140">
        <f t="shared" si="461"/>
        <v>0</v>
      </c>
      <c r="I146" s="140">
        <f t="shared" si="461"/>
        <v>0</v>
      </c>
      <c r="J146" s="140">
        <f t="shared" si="461"/>
        <v>0</v>
      </c>
      <c r="K146" s="140">
        <f t="shared" si="461"/>
        <v>0</v>
      </c>
      <c r="L146" s="140">
        <f t="shared" si="461"/>
        <v>0</v>
      </c>
      <c r="M146" s="140">
        <f t="shared" si="461"/>
        <v>0</v>
      </c>
      <c r="N146" s="140">
        <f t="shared" si="461"/>
        <v>0</v>
      </c>
      <c r="O146" s="140">
        <f t="shared" si="461"/>
        <v>0</v>
      </c>
      <c r="P146" s="140">
        <f t="shared" si="461"/>
        <v>0</v>
      </c>
      <c r="Q146" s="140">
        <f t="shared" si="461"/>
        <v>0</v>
      </c>
      <c r="R146" s="140">
        <f t="shared" si="461"/>
        <v>0</v>
      </c>
      <c r="S146" s="140">
        <f t="shared" si="461"/>
        <v>0</v>
      </c>
      <c r="T146" s="140">
        <f t="shared" si="461"/>
        <v>0</v>
      </c>
      <c r="U146" s="140">
        <f t="shared" si="461"/>
        <v>0</v>
      </c>
      <c r="V146" s="140">
        <f t="shared" si="461"/>
        <v>0</v>
      </c>
      <c r="W146" s="140">
        <f t="shared" si="461"/>
        <v>0</v>
      </c>
      <c r="X146" s="140">
        <f t="shared" si="461"/>
        <v>0</v>
      </c>
      <c r="Y146" s="140">
        <f t="shared" si="461"/>
        <v>0</v>
      </c>
      <c r="Z146" s="140">
        <f t="shared" si="461"/>
        <v>0</v>
      </c>
      <c r="AA146" s="140">
        <f t="shared" si="461"/>
        <v>0</v>
      </c>
      <c r="AB146" s="140">
        <f t="shared" si="461"/>
        <v>0</v>
      </c>
      <c r="AC146" s="140">
        <f t="shared" si="461"/>
        <v>0</v>
      </c>
      <c r="AD146" s="140">
        <f t="shared" si="461"/>
        <v>0</v>
      </c>
      <c r="AE146" s="140">
        <f t="shared" si="461"/>
        <v>0</v>
      </c>
      <c r="AF146" s="140">
        <f t="shared" si="461"/>
        <v>0</v>
      </c>
      <c r="AG146" s="140">
        <f t="shared" si="461"/>
        <v>0</v>
      </c>
      <c r="AH146" s="140">
        <f t="shared" si="461"/>
        <v>0</v>
      </c>
      <c r="AI146" s="140">
        <f t="shared" si="461"/>
        <v>0</v>
      </c>
      <c r="AJ146" s="140">
        <f t="shared" si="461"/>
        <v>0</v>
      </c>
      <c r="AK146" s="140">
        <f t="shared" si="461"/>
        <v>0</v>
      </c>
      <c r="AL146" s="140">
        <f t="shared" si="461"/>
        <v>0</v>
      </c>
      <c r="AM146" s="140">
        <f t="shared" si="461"/>
        <v>0</v>
      </c>
      <c r="AN146" s="140">
        <f t="shared" si="461"/>
        <v>0</v>
      </c>
      <c r="AO146" s="140">
        <f t="shared" si="461"/>
        <v>0</v>
      </c>
      <c r="AP146" s="140">
        <f t="shared" si="461"/>
        <v>0</v>
      </c>
      <c r="AQ146" s="140">
        <f t="shared" si="461"/>
        <v>0</v>
      </c>
      <c r="AR146" s="140">
        <f t="shared" si="461"/>
        <v>0</v>
      </c>
      <c r="AS146" s="140">
        <f t="shared" si="461"/>
        <v>0</v>
      </c>
      <c r="AT146" s="140">
        <f t="shared" si="461"/>
        <v>0</v>
      </c>
      <c r="AU146" s="140">
        <f t="shared" si="461"/>
        <v>0</v>
      </c>
      <c r="AV146" s="140">
        <f t="shared" si="461"/>
        <v>0</v>
      </c>
      <c r="AW146" s="140">
        <f t="shared" si="461"/>
        <v>0</v>
      </c>
      <c r="AX146" s="140">
        <f t="shared" si="461"/>
        <v>0</v>
      </c>
      <c r="AY146" s="140">
        <f t="shared" si="461"/>
        <v>0</v>
      </c>
      <c r="AZ146" s="140">
        <f t="shared" si="461"/>
        <v>0</v>
      </c>
      <c r="BA146" s="140">
        <f t="shared" si="461"/>
        <v>0</v>
      </c>
      <c r="BB146" s="140">
        <f t="shared" si="461"/>
        <v>0</v>
      </c>
      <c r="BC146" s="140">
        <f t="shared" si="461"/>
        <v>0</v>
      </c>
      <c r="BD146" s="140">
        <f t="shared" si="461"/>
        <v>0</v>
      </c>
      <c r="BE146" s="140">
        <f t="shared" si="461"/>
        <v>0</v>
      </c>
      <c r="BF146" s="140">
        <f t="shared" si="461"/>
        <v>0</v>
      </c>
      <c r="BG146" s="140">
        <f t="shared" si="461"/>
        <v>0</v>
      </c>
      <c r="BH146" s="140">
        <f t="shared" si="461"/>
        <v>0</v>
      </c>
      <c r="BI146" s="140">
        <f t="shared" si="461"/>
        <v>0</v>
      </c>
      <c r="BJ146" s="140">
        <f t="shared" si="461"/>
        <v>0</v>
      </c>
      <c r="BK146" s="140">
        <f t="shared" si="461"/>
        <v>0</v>
      </c>
      <c r="BL146" s="140">
        <f t="shared" si="461"/>
        <v>0</v>
      </c>
      <c r="BM146" s="140">
        <f t="shared" si="461"/>
        <v>0</v>
      </c>
      <c r="BN146" s="140">
        <f t="shared" si="461"/>
        <v>0</v>
      </c>
      <c r="BO146" s="140">
        <f t="shared" ref="BO146:CB146" si="462">IF(BO144&lt;0,0,$B$5+$B$6*((1-EXP(-BO145/$B$9))/(BO145/$B$9))+$B$7*((1-EXP(-BO145/$B$9))/(BO145/$B$9)-EXP(-BO145/$B$9))+$B$8*((1-EXP(-BO145/$B$10))/(BO145/$B$10)-EXP(-BO145/$B$10)))</f>
        <v>0</v>
      </c>
      <c r="BP146" s="140">
        <f t="shared" si="462"/>
        <v>0</v>
      </c>
      <c r="BQ146" s="140">
        <f t="shared" si="462"/>
        <v>0</v>
      </c>
      <c r="BR146" s="140">
        <f t="shared" si="462"/>
        <v>0</v>
      </c>
      <c r="BS146" s="140">
        <f t="shared" si="462"/>
        <v>0</v>
      </c>
      <c r="BT146" s="140">
        <f t="shared" si="462"/>
        <v>0</v>
      </c>
      <c r="BU146" s="140">
        <f t="shared" si="462"/>
        <v>0</v>
      </c>
      <c r="BV146" s="140">
        <f t="shared" si="462"/>
        <v>0</v>
      </c>
      <c r="BW146" s="140">
        <f t="shared" si="462"/>
        <v>0</v>
      </c>
      <c r="BX146" s="140">
        <f t="shared" si="462"/>
        <v>0</v>
      </c>
      <c r="BY146" s="140">
        <f t="shared" si="462"/>
        <v>0</v>
      </c>
      <c r="BZ146" s="140">
        <f t="shared" si="462"/>
        <v>0</v>
      </c>
      <c r="CA146" s="140">
        <f t="shared" si="462"/>
        <v>0</v>
      </c>
      <c r="CB146" s="140">
        <f t="shared" si="462"/>
        <v>0</v>
      </c>
      <c r="CC146" s="233">
        <f t="shared" ref="CC146:EN146" si="463">IF(CC144&lt;0,0,$B$5+$B$6*((1-EXP(-CC145/$B$9))/(CC145/$B$9))+$B$7*((1-EXP(-CC145/$B$9))/(CC145/$B$9)-EXP(-CC145/$B$9))+$B$8*((1-EXP(-CC145/$B$10))/(CC145/$B$10)-EXP(-CC145/$B$10)))</f>
        <v>0</v>
      </c>
      <c r="CD146" s="233">
        <f t="shared" si="463"/>
        <v>0</v>
      </c>
      <c r="CE146" s="233">
        <f t="shared" si="463"/>
        <v>0</v>
      </c>
      <c r="CF146" s="233">
        <f t="shared" si="463"/>
        <v>0</v>
      </c>
      <c r="CG146" s="233">
        <f t="shared" si="463"/>
        <v>0</v>
      </c>
      <c r="CH146" s="233">
        <f t="shared" si="463"/>
        <v>0</v>
      </c>
      <c r="CI146" s="233">
        <f t="shared" si="463"/>
        <v>0</v>
      </c>
      <c r="CJ146" s="233">
        <f t="shared" si="463"/>
        <v>0</v>
      </c>
      <c r="CK146" s="233">
        <f t="shared" si="463"/>
        <v>0</v>
      </c>
      <c r="CL146" s="233">
        <f t="shared" si="463"/>
        <v>0</v>
      </c>
      <c r="CM146" s="233">
        <f t="shared" si="463"/>
        <v>0</v>
      </c>
      <c r="CN146" s="233">
        <f t="shared" si="463"/>
        <v>0</v>
      </c>
      <c r="CO146" s="233">
        <f t="shared" si="463"/>
        <v>0</v>
      </c>
      <c r="CP146" s="233">
        <f t="shared" si="463"/>
        <v>0</v>
      </c>
      <c r="CQ146" s="233">
        <f t="shared" si="463"/>
        <v>0</v>
      </c>
      <c r="CR146" s="233">
        <f t="shared" si="463"/>
        <v>0</v>
      </c>
      <c r="CS146" s="233">
        <f t="shared" si="463"/>
        <v>0</v>
      </c>
      <c r="CT146" s="233">
        <f t="shared" si="463"/>
        <v>0</v>
      </c>
      <c r="CU146" s="233">
        <f t="shared" si="463"/>
        <v>0</v>
      </c>
      <c r="CV146" s="233">
        <f t="shared" si="463"/>
        <v>0</v>
      </c>
      <c r="CW146" s="233">
        <f t="shared" si="463"/>
        <v>0</v>
      </c>
      <c r="CX146" s="233">
        <f t="shared" si="463"/>
        <v>0</v>
      </c>
      <c r="CY146" s="233">
        <f t="shared" si="463"/>
        <v>0</v>
      </c>
      <c r="CZ146" s="233">
        <f t="shared" si="463"/>
        <v>0</v>
      </c>
      <c r="DA146" s="233">
        <f t="shared" si="463"/>
        <v>0</v>
      </c>
      <c r="DB146" s="233">
        <f t="shared" si="463"/>
        <v>0</v>
      </c>
      <c r="DC146" s="233">
        <f t="shared" si="463"/>
        <v>0</v>
      </c>
      <c r="DD146" s="233">
        <f t="shared" si="463"/>
        <v>0</v>
      </c>
      <c r="DE146" s="233">
        <f t="shared" si="463"/>
        <v>0</v>
      </c>
      <c r="DF146" s="233">
        <f t="shared" si="463"/>
        <v>0</v>
      </c>
      <c r="DG146" s="233">
        <f t="shared" si="463"/>
        <v>0</v>
      </c>
      <c r="DH146" s="233">
        <f t="shared" si="463"/>
        <v>0</v>
      </c>
      <c r="DI146" s="233">
        <f t="shared" si="463"/>
        <v>0</v>
      </c>
      <c r="DJ146" s="233">
        <f t="shared" si="463"/>
        <v>0</v>
      </c>
      <c r="DK146" s="233">
        <f t="shared" si="463"/>
        <v>0</v>
      </c>
      <c r="DL146" s="233">
        <f t="shared" si="463"/>
        <v>0</v>
      </c>
      <c r="DM146" s="233">
        <f t="shared" si="463"/>
        <v>0</v>
      </c>
      <c r="DN146" s="233">
        <f t="shared" si="463"/>
        <v>0</v>
      </c>
      <c r="DO146" s="233">
        <f t="shared" si="463"/>
        <v>0</v>
      </c>
      <c r="DP146" s="233">
        <f t="shared" si="463"/>
        <v>0</v>
      </c>
      <c r="DQ146" s="233">
        <f t="shared" si="463"/>
        <v>0</v>
      </c>
      <c r="DR146" s="233">
        <f t="shared" si="463"/>
        <v>0</v>
      </c>
      <c r="DS146" s="233">
        <f t="shared" si="463"/>
        <v>0</v>
      </c>
      <c r="DT146" s="233">
        <f t="shared" si="463"/>
        <v>0</v>
      </c>
      <c r="DU146" s="233">
        <f t="shared" si="463"/>
        <v>0</v>
      </c>
      <c r="DV146" s="233">
        <f t="shared" si="463"/>
        <v>0</v>
      </c>
      <c r="DW146" s="233">
        <f t="shared" si="463"/>
        <v>0</v>
      </c>
      <c r="DX146" s="233">
        <f t="shared" si="463"/>
        <v>0</v>
      </c>
      <c r="DY146" s="233">
        <f t="shared" si="463"/>
        <v>0</v>
      </c>
      <c r="DZ146" s="233">
        <f t="shared" si="463"/>
        <v>0</v>
      </c>
      <c r="EA146" s="233">
        <f t="shared" si="463"/>
        <v>0</v>
      </c>
      <c r="EB146" s="233">
        <f t="shared" si="463"/>
        <v>0</v>
      </c>
      <c r="EC146" s="233">
        <f t="shared" si="463"/>
        <v>0</v>
      </c>
      <c r="ED146" s="233">
        <f t="shared" si="463"/>
        <v>0</v>
      </c>
      <c r="EE146" s="233">
        <f t="shared" si="463"/>
        <v>0</v>
      </c>
      <c r="EF146" s="233">
        <f t="shared" si="463"/>
        <v>0</v>
      </c>
      <c r="EG146" s="233">
        <f t="shared" si="463"/>
        <v>0</v>
      </c>
      <c r="EH146" s="233">
        <f t="shared" si="463"/>
        <v>0</v>
      </c>
      <c r="EI146" s="233">
        <f t="shared" si="463"/>
        <v>0</v>
      </c>
      <c r="EJ146" s="233">
        <f t="shared" si="463"/>
        <v>0</v>
      </c>
      <c r="EK146" s="233">
        <f t="shared" si="463"/>
        <v>0</v>
      </c>
      <c r="EL146" s="233">
        <f t="shared" si="463"/>
        <v>0</v>
      </c>
      <c r="EM146" s="233">
        <f t="shared" si="463"/>
        <v>0</v>
      </c>
      <c r="EN146" s="233">
        <f t="shared" si="463"/>
        <v>0</v>
      </c>
      <c r="EO146" s="233">
        <f t="shared" ref="EO146:GS146" si="464">IF(EO144&lt;0,0,$B$5+$B$6*((1-EXP(-EO145/$B$9))/(EO145/$B$9))+$B$7*((1-EXP(-EO145/$B$9))/(EO145/$B$9)-EXP(-EO145/$B$9))+$B$8*((1-EXP(-EO145/$B$10))/(EO145/$B$10)-EXP(-EO145/$B$10)))</f>
        <v>0</v>
      </c>
      <c r="EP146" s="233">
        <f t="shared" si="464"/>
        <v>0</v>
      </c>
      <c r="EQ146" s="233">
        <f t="shared" si="464"/>
        <v>0</v>
      </c>
      <c r="ER146" s="233">
        <f t="shared" si="464"/>
        <v>0</v>
      </c>
      <c r="ES146" s="233">
        <f t="shared" si="464"/>
        <v>0</v>
      </c>
      <c r="ET146" s="233">
        <f t="shared" si="464"/>
        <v>0</v>
      </c>
      <c r="EU146" s="233">
        <f t="shared" si="464"/>
        <v>0</v>
      </c>
      <c r="EV146" s="233">
        <f t="shared" si="464"/>
        <v>0</v>
      </c>
      <c r="EW146" s="233">
        <f t="shared" si="464"/>
        <v>0</v>
      </c>
      <c r="EX146" s="233">
        <f t="shared" si="464"/>
        <v>0</v>
      </c>
      <c r="EY146" s="233">
        <f t="shared" si="464"/>
        <v>0</v>
      </c>
      <c r="EZ146" s="233">
        <f t="shared" si="464"/>
        <v>0</v>
      </c>
      <c r="FA146" s="233">
        <f t="shared" si="464"/>
        <v>0</v>
      </c>
      <c r="FB146" s="233">
        <f t="shared" si="464"/>
        <v>0</v>
      </c>
      <c r="FC146" s="233">
        <f t="shared" si="464"/>
        <v>0</v>
      </c>
      <c r="FD146" s="233">
        <f t="shared" si="464"/>
        <v>0</v>
      </c>
      <c r="FE146" s="233">
        <f t="shared" si="464"/>
        <v>0</v>
      </c>
      <c r="FF146" s="233">
        <f t="shared" si="464"/>
        <v>0</v>
      </c>
      <c r="FG146" s="233">
        <f t="shared" si="464"/>
        <v>0</v>
      </c>
      <c r="FH146" s="233">
        <f t="shared" si="464"/>
        <v>0</v>
      </c>
      <c r="FI146" s="233">
        <f t="shared" si="464"/>
        <v>0</v>
      </c>
      <c r="FJ146" s="233">
        <f t="shared" si="464"/>
        <v>0</v>
      </c>
      <c r="FK146" s="233">
        <f t="shared" si="464"/>
        <v>0</v>
      </c>
      <c r="FL146" s="233">
        <f t="shared" si="464"/>
        <v>0</v>
      </c>
      <c r="FM146" s="233">
        <f t="shared" si="464"/>
        <v>0</v>
      </c>
      <c r="FN146" s="233">
        <f t="shared" si="464"/>
        <v>0</v>
      </c>
      <c r="FO146" s="233">
        <f t="shared" si="464"/>
        <v>0</v>
      </c>
      <c r="FP146" s="233">
        <f t="shared" si="464"/>
        <v>0</v>
      </c>
      <c r="FQ146" s="233">
        <f t="shared" si="464"/>
        <v>0</v>
      </c>
      <c r="FR146" s="233">
        <f t="shared" si="464"/>
        <v>0</v>
      </c>
      <c r="FS146" s="233">
        <f t="shared" si="464"/>
        <v>0</v>
      </c>
      <c r="FT146" s="233">
        <f t="shared" si="464"/>
        <v>0</v>
      </c>
      <c r="FU146" s="233">
        <f t="shared" si="464"/>
        <v>0</v>
      </c>
      <c r="FV146" s="233">
        <f t="shared" si="464"/>
        <v>0</v>
      </c>
      <c r="FW146" s="233">
        <f t="shared" si="464"/>
        <v>0</v>
      </c>
      <c r="FX146" s="233">
        <f t="shared" si="464"/>
        <v>0</v>
      </c>
      <c r="FY146" s="233">
        <f t="shared" si="464"/>
        <v>0</v>
      </c>
      <c r="FZ146" s="233">
        <f t="shared" si="464"/>
        <v>0</v>
      </c>
      <c r="GA146" s="233">
        <f t="shared" si="464"/>
        <v>0</v>
      </c>
      <c r="GB146" s="233">
        <f t="shared" si="464"/>
        <v>0</v>
      </c>
      <c r="GC146" s="233">
        <f t="shared" si="464"/>
        <v>0</v>
      </c>
      <c r="GD146" s="233">
        <f t="shared" si="464"/>
        <v>0</v>
      </c>
      <c r="GE146" s="233">
        <f t="shared" si="464"/>
        <v>0</v>
      </c>
      <c r="GF146" s="233">
        <f t="shared" si="464"/>
        <v>0</v>
      </c>
      <c r="GG146" s="233">
        <f t="shared" si="464"/>
        <v>0</v>
      </c>
      <c r="GH146" s="233">
        <f t="shared" si="464"/>
        <v>0</v>
      </c>
      <c r="GI146" s="233">
        <f t="shared" si="464"/>
        <v>0</v>
      </c>
      <c r="GJ146" s="233">
        <f t="shared" si="464"/>
        <v>0</v>
      </c>
      <c r="GK146" s="233">
        <f t="shared" si="464"/>
        <v>0</v>
      </c>
      <c r="GL146" s="233">
        <f t="shared" si="464"/>
        <v>0</v>
      </c>
      <c r="GM146" s="233">
        <f t="shared" si="464"/>
        <v>0</v>
      </c>
      <c r="GN146" s="233">
        <f t="shared" si="464"/>
        <v>0</v>
      </c>
      <c r="GO146" s="233">
        <f t="shared" si="464"/>
        <v>0</v>
      </c>
      <c r="GP146" s="233">
        <f t="shared" si="464"/>
        <v>0</v>
      </c>
      <c r="GQ146" s="233">
        <f t="shared" si="464"/>
        <v>0</v>
      </c>
      <c r="GR146" s="233">
        <f t="shared" si="464"/>
        <v>0</v>
      </c>
      <c r="GS146" s="233">
        <f t="shared" si="464"/>
        <v>0</v>
      </c>
    </row>
    <row r="147" spans="1:201">
      <c r="A147" s="16" t="s">
        <v>44</v>
      </c>
      <c r="B147" s="140">
        <f>EXP(-B146*B145)</f>
        <v>1</v>
      </c>
      <c r="C147" s="140">
        <f t="shared" ref="C147:AR147" si="465">EXP(-C146*C145)</f>
        <v>1</v>
      </c>
      <c r="D147" s="140">
        <f t="shared" si="465"/>
        <v>1</v>
      </c>
      <c r="E147" s="140">
        <f t="shared" si="465"/>
        <v>1</v>
      </c>
      <c r="F147" s="140">
        <f t="shared" si="465"/>
        <v>1</v>
      </c>
      <c r="G147" s="140">
        <f t="shared" si="465"/>
        <v>1</v>
      </c>
      <c r="H147" s="140">
        <f t="shared" si="465"/>
        <v>1</v>
      </c>
      <c r="I147" s="140">
        <f t="shared" si="465"/>
        <v>1</v>
      </c>
      <c r="J147" s="140">
        <f t="shared" si="465"/>
        <v>1</v>
      </c>
      <c r="K147" s="140">
        <f t="shared" si="465"/>
        <v>1</v>
      </c>
      <c r="L147" s="140">
        <f t="shared" si="465"/>
        <v>1</v>
      </c>
      <c r="M147" s="140">
        <f t="shared" si="465"/>
        <v>1</v>
      </c>
      <c r="N147" s="140">
        <f t="shared" si="465"/>
        <v>1</v>
      </c>
      <c r="O147" s="140">
        <f t="shared" si="465"/>
        <v>1</v>
      </c>
      <c r="P147" s="140">
        <f t="shared" si="465"/>
        <v>1</v>
      </c>
      <c r="Q147" s="140">
        <f t="shared" si="465"/>
        <v>1</v>
      </c>
      <c r="R147" s="140">
        <f t="shared" si="465"/>
        <v>1</v>
      </c>
      <c r="S147" s="140">
        <f t="shared" si="465"/>
        <v>1</v>
      </c>
      <c r="T147" s="140">
        <f t="shared" si="465"/>
        <v>1</v>
      </c>
      <c r="U147" s="140">
        <f t="shared" si="465"/>
        <v>1</v>
      </c>
      <c r="V147" s="140">
        <f t="shared" si="465"/>
        <v>1</v>
      </c>
      <c r="W147" s="140">
        <f t="shared" si="465"/>
        <v>1</v>
      </c>
      <c r="X147" s="140">
        <f t="shared" si="465"/>
        <v>1</v>
      </c>
      <c r="Y147" s="140">
        <f t="shared" si="465"/>
        <v>1</v>
      </c>
      <c r="Z147" s="140">
        <f t="shared" si="465"/>
        <v>1</v>
      </c>
      <c r="AA147" s="140">
        <f t="shared" si="465"/>
        <v>1</v>
      </c>
      <c r="AB147" s="140">
        <f t="shared" si="465"/>
        <v>1</v>
      </c>
      <c r="AC147" s="140">
        <f t="shared" si="465"/>
        <v>1</v>
      </c>
      <c r="AD147" s="140">
        <f t="shared" si="465"/>
        <v>1</v>
      </c>
      <c r="AE147" s="140">
        <f t="shared" si="465"/>
        <v>1</v>
      </c>
      <c r="AF147" s="140">
        <f t="shared" si="465"/>
        <v>1</v>
      </c>
      <c r="AG147" s="140">
        <f t="shared" si="465"/>
        <v>1</v>
      </c>
      <c r="AH147" s="140">
        <f t="shared" si="465"/>
        <v>1</v>
      </c>
      <c r="AI147" s="140">
        <f t="shared" si="465"/>
        <v>1</v>
      </c>
      <c r="AJ147" s="140">
        <f t="shared" si="465"/>
        <v>1</v>
      </c>
      <c r="AK147" s="140">
        <f t="shared" si="465"/>
        <v>1</v>
      </c>
      <c r="AL147" s="140">
        <f t="shared" si="465"/>
        <v>1</v>
      </c>
      <c r="AM147" s="140">
        <f t="shared" si="465"/>
        <v>1</v>
      </c>
      <c r="AN147" s="140">
        <f t="shared" si="465"/>
        <v>1</v>
      </c>
      <c r="AO147" s="140">
        <f t="shared" si="465"/>
        <v>1</v>
      </c>
      <c r="AP147" s="140">
        <f t="shared" si="465"/>
        <v>1</v>
      </c>
      <c r="AQ147" s="140">
        <f t="shared" si="465"/>
        <v>1</v>
      </c>
      <c r="AR147" s="140">
        <f t="shared" si="465"/>
        <v>1</v>
      </c>
      <c r="AS147" s="140">
        <f>EXP(-AS146*AS145)</f>
        <v>1</v>
      </c>
      <c r="AT147" s="140">
        <f t="shared" ref="AT147:CA147" si="466">EXP(-AT146*AT145)</f>
        <v>1</v>
      </c>
      <c r="AU147" s="140">
        <f t="shared" si="466"/>
        <v>1</v>
      </c>
      <c r="AV147" s="140">
        <f t="shared" si="466"/>
        <v>1</v>
      </c>
      <c r="AW147" s="140">
        <f t="shared" si="466"/>
        <v>1</v>
      </c>
      <c r="AX147" s="140">
        <f t="shared" si="466"/>
        <v>1</v>
      </c>
      <c r="AY147" s="140">
        <f t="shared" si="466"/>
        <v>1</v>
      </c>
      <c r="AZ147" s="140">
        <f t="shared" si="466"/>
        <v>1</v>
      </c>
      <c r="BA147" s="140">
        <f t="shared" si="466"/>
        <v>1</v>
      </c>
      <c r="BB147" s="140">
        <f t="shared" si="466"/>
        <v>1</v>
      </c>
      <c r="BC147" s="140">
        <f t="shared" si="466"/>
        <v>1</v>
      </c>
      <c r="BD147" s="140">
        <f t="shared" si="466"/>
        <v>1</v>
      </c>
      <c r="BE147" s="140">
        <f t="shared" si="466"/>
        <v>1</v>
      </c>
      <c r="BF147" s="140">
        <f t="shared" si="466"/>
        <v>1</v>
      </c>
      <c r="BG147" s="140">
        <f t="shared" si="466"/>
        <v>1</v>
      </c>
      <c r="BH147" s="140">
        <f t="shared" si="466"/>
        <v>1</v>
      </c>
      <c r="BI147" s="140">
        <f t="shared" si="466"/>
        <v>1</v>
      </c>
      <c r="BJ147" s="140">
        <f t="shared" si="466"/>
        <v>1</v>
      </c>
      <c r="BK147" s="140">
        <f t="shared" si="466"/>
        <v>1</v>
      </c>
      <c r="BL147" s="140">
        <f t="shared" si="466"/>
        <v>1</v>
      </c>
      <c r="BM147" s="140">
        <f t="shared" si="466"/>
        <v>1</v>
      </c>
      <c r="BN147" s="140">
        <f t="shared" si="466"/>
        <v>1</v>
      </c>
      <c r="BO147" s="140">
        <f t="shared" si="466"/>
        <v>1</v>
      </c>
      <c r="BP147" s="140">
        <f t="shared" si="466"/>
        <v>1</v>
      </c>
      <c r="BQ147" s="140">
        <f t="shared" si="466"/>
        <v>1</v>
      </c>
      <c r="BR147" s="140">
        <f t="shared" si="466"/>
        <v>1</v>
      </c>
      <c r="BS147" s="140">
        <f t="shared" si="466"/>
        <v>1</v>
      </c>
      <c r="BT147" s="140">
        <f t="shared" si="466"/>
        <v>1</v>
      </c>
      <c r="BU147" s="140">
        <f t="shared" si="466"/>
        <v>1</v>
      </c>
      <c r="BV147" s="140">
        <f t="shared" si="466"/>
        <v>1</v>
      </c>
      <c r="BW147" s="140">
        <f t="shared" si="466"/>
        <v>1</v>
      </c>
      <c r="BX147" s="140">
        <f t="shared" si="466"/>
        <v>1</v>
      </c>
      <c r="BY147" s="140">
        <f t="shared" si="466"/>
        <v>1</v>
      </c>
      <c r="BZ147" s="140">
        <f t="shared" si="466"/>
        <v>1</v>
      </c>
      <c r="CA147" s="140">
        <f t="shared" si="466"/>
        <v>1</v>
      </c>
      <c r="CB147" s="140">
        <f>EXP(-CB146*CB145)</f>
        <v>1</v>
      </c>
      <c r="CC147" s="233">
        <f t="shared" ref="CC147:EN147" si="467">EXP(-CC146*CC145)</f>
        <v>1</v>
      </c>
      <c r="CD147" s="233">
        <f t="shared" si="467"/>
        <v>1</v>
      </c>
      <c r="CE147" s="233">
        <f t="shared" si="467"/>
        <v>1</v>
      </c>
      <c r="CF147" s="233">
        <f t="shared" si="467"/>
        <v>1</v>
      </c>
      <c r="CG147" s="233">
        <f t="shared" si="467"/>
        <v>1</v>
      </c>
      <c r="CH147" s="233">
        <f t="shared" si="467"/>
        <v>1</v>
      </c>
      <c r="CI147" s="233">
        <f t="shared" si="467"/>
        <v>1</v>
      </c>
      <c r="CJ147" s="233">
        <f t="shared" si="467"/>
        <v>1</v>
      </c>
      <c r="CK147" s="233">
        <f t="shared" si="467"/>
        <v>1</v>
      </c>
      <c r="CL147" s="233">
        <f t="shared" si="467"/>
        <v>1</v>
      </c>
      <c r="CM147" s="233">
        <f t="shared" si="467"/>
        <v>1</v>
      </c>
      <c r="CN147" s="233">
        <f t="shared" si="467"/>
        <v>1</v>
      </c>
      <c r="CO147" s="233">
        <f t="shared" si="467"/>
        <v>1</v>
      </c>
      <c r="CP147" s="233">
        <f t="shared" si="467"/>
        <v>1</v>
      </c>
      <c r="CQ147" s="233">
        <f t="shared" si="467"/>
        <v>1</v>
      </c>
      <c r="CR147" s="233">
        <f t="shared" si="467"/>
        <v>1</v>
      </c>
      <c r="CS147" s="233">
        <f t="shared" si="467"/>
        <v>1</v>
      </c>
      <c r="CT147" s="233">
        <f t="shared" si="467"/>
        <v>1</v>
      </c>
      <c r="CU147" s="233">
        <f t="shared" si="467"/>
        <v>1</v>
      </c>
      <c r="CV147" s="233">
        <f t="shared" si="467"/>
        <v>1</v>
      </c>
      <c r="CW147" s="233">
        <f t="shared" si="467"/>
        <v>1</v>
      </c>
      <c r="CX147" s="233">
        <f t="shared" si="467"/>
        <v>1</v>
      </c>
      <c r="CY147" s="233">
        <f t="shared" si="467"/>
        <v>1</v>
      </c>
      <c r="CZ147" s="233">
        <f t="shared" si="467"/>
        <v>1</v>
      </c>
      <c r="DA147" s="233">
        <f t="shared" si="467"/>
        <v>1</v>
      </c>
      <c r="DB147" s="233">
        <f t="shared" si="467"/>
        <v>1</v>
      </c>
      <c r="DC147" s="233">
        <f t="shared" si="467"/>
        <v>1</v>
      </c>
      <c r="DD147" s="233">
        <f t="shared" si="467"/>
        <v>1</v>
      </c>
      <c r="DE147" s="233">
        <f t="shared" si="467"/>
        <v>1</v>
      </c>
      <c r="DF147" s="233">
        <f t="shared" si="467"/>
        <v>1</v>
      </c>
      <c r="DG147" s="233">
        <f t="shared" si="467"/>
        <v>1</v>
      </c>
      <c r="DH147" s="233">
        <f t="shared" si="467"/>
        <v>1</v>
      </c>
      <c r="DI147" s="233">
        <f t="shared" si="467"/>
        <v>1</v>
      </c>
      <c r="DJ147" s="233">
        <f t="shared" si="467"/>
        <v>1</v>
      </c>
      <c r="DK147" s="233">
        <f t="shared" si="467"/>
        <v>1</v>
      </c>
      <c r="DL147" s="233">
        <f t="shared" si="467"/>
        <v>1</v>
      </c>
      <c r="DM147" s="233">
        <f t="shared" si="467"/>
        <v>1</v>
      </c>
      <c r="DN147" s="233">
        <f t="shared" si="467"/>
        <v>1</v>
      </c>
      <c r="DO147" s="233">
        <f t="shared" si="467"/>
        <v>1</v>
      </c>
      <c r="DP147" s="233">
        <f t="shared" si="467"/>
        <v>1</v>
      </c>
      <c r="DQ147" s="233">
        <f t="shared" si="467"/>
        <v>1</v>
      </c>
      <c r="DR147" s="233">
        <f t="shared" si="467"/>
        <v>1</v>
      </c>
      <c r="DS147" s="233">
        <f t="shared" si="467"/>
        <v>1</v>
      </c>
      <c r="DT147" s="233">
        <f t="shared" si="467"/>
        <v>1</v>
      </c>
      <c r="DU147" s="233">
        <f t="shared" si="467"/>
        <v>1</v>
      </c>
      <c r="DV147" s="233">
        <f t="shared" si="467"/>
        <v>1</v>
      </c>
      <c r="DW147" s="233">
        <f t="shared" si="467"/>
        <v>1</v>
      </c>
      <c r="DX147" s="233">
        <f t="shared" si="467"/>
        <v>1</v>
      </c>
      <c r="DY147" s="233">
        <f t="shared" si="467"/>
        <v>1</v>
      </c>
      <c r="DZ147" s="233">
        <f t="shared" si="467"/>
        <v>1</v>
      </c>
      <c r="EA147" s="233">
        <f t="shared" si="467"/>
        <v>1</v>
      </c>
      <c r="EB147" s="233">
        <f t="shared" si="467"/>
        <v>1</v>
      </c>
      <c r="EC147" s="233">
        <f t="shared" si="467"/>
        <v>1</v>
      </c>
      <c r="ED147" s="233">
        <f t="shared" si="467"/>
        <v>1</v>
      </c>
      <c r="EE147" s="233">
        <f t="shared" si="467"/>
        <v>1</v>
      </c>
      <c r="EF147" s="233">
        <f t="shared" si="467"/>
        <v>1</v>
      </c>
      <c r="EG147" s="233">
        <f t="shared" si="467"/>
        <v>1</v>
      </c>
      <c r="EH147" s="233">
        <f t="shared" si="467"/>
        <v>1</v>
      </c>
      <c r="EI147" s="233">
        <f t="shared" si="467"/>
        <v>1</v>
      </c>
      <c r="EJ147" s="233">
        <f t="shared" si="467"/>
        <v>1</v>
      </c>
      <c r="EK147" s="233">
        <f t="shared" si="467"/>
        <v>1</v>
      </c>
      <c r="EL147" s="233">
        <f t="shared" si="467"/>
        <v>1</v>
      </c>
      <c r="EM147" s="233">
        <f t="shared" si="467"/>
        <v>1</v>
      </c>
      <c r="EN147" s="233">
        <f t="shared" si="467"/>
        <v>1</v>
      </c>
      <c r="EO147" s="233">
        <f t="shared" ref="EO147:GS147" si="468">EXP(-EO146*EO145)</f>
        <v>1</v>
      </c>
      <c r="EP147" s="233">
        <f t="shared" si="468"/>
        <v>1</v>
      </c>
      <c r="EQ147" s="233">
        <f t="shared" si="468"/>
        <v>1</v>
      </c>
      <c r="ER147" s="233">
        <f t="shared" si="468"/>
        <v>1</v>
      </c>
      <c r="ES147" s="233">
        <f t="shared" si="468"/>
        <v>1</v>
      </c>
      <c r="ET147" s="233">
        <f t="shared" si="468"/>
        <v>1</v>
      </c>
      <c r="EU147" s="233">
        <f t="shared" si="468"/>
        <v>1</v>
      </c>
      <c r="EV147" s="233">
        <f t="shared" si="468"/>
        <v>1</v>
      </c>
      <c r="EW147" s="233">
        <f t="shared" si="468"/>
        <v>1</v>
      </c>
      <c r="EX147" s="233">
        <f t="shared" si="468"/>
        <v>1</v>
      </c>
      <c r="EY147" s="233">
        <f t="shared" si="468"/>
        <v>1</v>
      </c>
      <c r="EZ147" s="233">
        <f t="shared" si="468"/>
        <v>1</v>
      </c>
      <c r="FA147" s="233">
        <f t="shared" si="468"/>
        <v>1</v>
      </c>
      <c r="FB147" s="233">
        <f t="shared" si="468"/>
        <v>1</v>
      </c>
      <c r="FC147" s="233">
        <f t="shared" si="468"/>
        <v>1</v>
      </c>
      <c r="FD147" s="233">
        <f t="shared" si="468"/>
        <v>1</v>
      </c>
      <c r="FE147" s="233">
        <f t="shared" si="468"/>
        <v>1</v>
      </c>
      <c r="FF147" s="233">
        <f t="shared" si="468"/>
        <v>1</v>
      </c>
      <c r="FG147" s="233">
        <f t="shared" si="468"/>
        <v>1</v>
      </c>
      <c r="FH147" s="233">
        <f t="shared" si="468"/>
        <v>1</v>
      </c>
      <c r="FI147" s="233">
        <f t="shared" si="468"/>
        <v>1</v>
      </c>
      <c r="FJ147" s="233">
        <f t="shared" si="468"/>
        <v>1</v>
      </c>
      <c r="FK147" s="233">
        <f t="shared" si="468"/>
        <v>1</v>
      </c>
      <c r="FL147" s="233">
        <f t="shared" si="468"/>
        <v>1</v>
      </c>
      <c r="FM147" s="233">
        <f t="shared" si="468"/>
        <v>1</v>
      </c>
      <c r="FN147" s="233">
        <f t="shared" si="468"/>
        <v>1</v>
      </c>
      <c r="FO147" s="233">
        <f t="shared" si="468"/>
        <v>1</v>
      </c>
      <c r="FP147" s="233">
        <f t="shared" si="468"/>
        <v>1</v>
      </c>
      <c r="FQ147" s="233">
        <f t="shared" si="468"/>
        <v>1</v>
      </c>
      <c r="FR147" s="233">
        <f t="shared" si="468"/>
        <v>1</v>
      </c>
      <c r="FS147" s="233">
        <f t="shared" si="468"/>
        <v>1</v>
      </c>
      <c r="FT147" s="233">
        <f t="shared" si="468"/>
        <v>1</v>
      </c>
      <c r="FU147" s="233">
        <f t="shared" si="468"/>
        <v>1</v>
      </c>
      <c r="FV147" s="233">
        <f t="shared" si="468"/>
        <v>1</v>
      </c>
      <c r="FW147" s="233">
        <f t="shared" si="468"/>
        <v>1</v>
      </c>
      <c r="FX147" s="233">
        <f t="shared" si="468"/>
        <v>1</v>
      </c>
      <c r="FY147" s="233">
        <f t="shared" si="468"/>
        <v>1</v>
      </c>
      <c r="FZ147" s="233">
        <f t="shared" si="468"/>
        <v>1</v>
      </c>
      <c r="GA147" s="233">
        <f t="shared" si="468"/>
        <v>1</v>
      </c>
      <c r="GB147" s="233">
        <f t="shared" si="468"/>
        <v>1</v>
      </c>
      <c r="GC147" s="233">
        <f t="shared" si="468"/>
        <v>1</v>
      </c>
      <c r="GD147" s="233">
        <f t="shared" si="468"/>
        <v>1</v>
      </c>
      <c r="GE147" s="233">
        <f t="shared" si="468"/>
        <v>1</v>
      </c>
      <c r="GF147" s="233">
        <f t="shared" si="468"/>
        <v>1</v>
      </c>
      <c r="GG147" s="233">
        <f t="shared" si="468"/>
        <v>1</v>
      </c>
      <c r="GH147" s="233">
        <f t="shared" si="468"/>
        <v>1</v>
      </c>
      <c r="GI147" s="233">
        <f t="shared" si="468"/>
        <v>1</v>
      </c>
      <c r="GJ147" s="233">
        <f t="shared" si="468"/>
        <v>1</v>
      </c>
      <c r="GK147" s="233">
        <f t="shared" si="468"/>
        <v>1</v>
      </c>
      <c r="GL147" s="233">
        <f t="shared" si="468"/>
        <v>1</v>
      </c>
      <c r="GM147" s="233">
        <f t="shared" si="468"/>
        <v>1</v>
      </c>
      <c r="GN147" s="233">
        <f t="shared" si="468"/>
        <v>1</v>
      </c>
      <c r="GO147" s="233">
        <f t="shared" si="468"/>
        <v>1</v>
      </c>
      <c r="GP147" s="233">
        <f t="shared" si="468"/>
        <v>1</v>
      </c>
      <c r="GQ147" s="233">
        <f t="shared" si="468"/>
        <v>1</v>
      </c>
      <c r="GR147" s="233">
        <f t="shared" si="468"/>
        <v>1</v>
      </c>
      <c r="GS147" s="233">
        <f t="shared" si="468"/>
        <v>1</v>
      </c>
    </row>
    <row r="148" spans="1:201">
      <c r="A148" s="17"/>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17"/>
      <c r="CD148" s="17"/>
      <c r="CE148" s="17"/>
    </row>
    <row r="149" spans="1:201">
      <c r="A149" s="16" t="s">
        <v>40</v>
      </c>
      <c r="B149" s="140">
        <f t="shared" ref="B149:BM149" si="469">DAYS360($B$3,B56)</f>
        <v>-43022</v>
      </c>
      <c r="C149" s="140">
        <f t="shared" si="469"/>
        <v>-42842</v>
      </c>
      <c r="D149" s="140">
        <f t="shared" si="469"/>
        <v>-42662</v>
      </c>
      <c r="E149" s="140">
        <f t="shared" si="469"/>
        <v>-42482</v>
      </c>
      <c r="F149" s="140">
        <f t="shared" si="469"/>
        <v>-42302</v>
      </c>
      <c r="G149" s="140">
        <f t="shared" si="469"/>
        <v>-42122</v>
      </c>
      <c r="H149" s="140">
        <f t="shared" si="469"/>
        <v>-41942</v>
      </c>
      <c r="I149" s="140">
        <f t="shared" si="469"/>
        <v>-41762</v>
      </c>
      <c r="J149" s="140">
        <f t="shared" si="469"/>
        <v>-41582</v>
      </c>
      <c r="K149" s="140">
        <f t="shared" si="469"/>
        <v>-41403</v>
      </c>
      <c r="L149" s="140">
        <f t="shared" si="469"/>
        <v>-41223</v>
      </c>
      <c r="M149" s="140">
        <f t="shared" si="469"/>
        <v>-41043</v>
      </c>
      <c r="N149" s="140">
        <f t="shared" si="469"/>
        <v>-40863</v>
      </c>
      <c r="O149" s="140">
        <f t="shared" si="469"/>
        <v>-40683</v>
      </c>
      <c r="P149" s="140">
        <f t="shared" si="469"/>
        <v>-40503</v>
      </c>
      <c r="Q149" s="140">
        <f t="shared" si="469"/>
        <v>-40323</v>
      </c>
      <c r="R149" s="140">
        <f t="shared" si="469"/>
        <v>-40143</v>
      </c>
      <c r="S149" s="140">
        <f t="shared" si="469"/>
        <v>-39964</v>
      </c>
      <c r="T149" s="140">
        <f t="shared" si="469"/>
        <v>-39784</v>
      </c>
      <c r="U149" s="140">
        <f t="shared" si="469"/>
        <v>-39604</v>
      </c>
      <c r="V149" s="140">
        <f t="shared" si="469"/>
        <v>-39424</v>
      </c>
      <c r="W149" s="140">
        <f t="shared" si="469"/>
        <v>-39244</v>
      </c>
      <c r="X149" s="140">
        <f t="shared" si="469"/>
        <v>-39064</v>
      </c>
      <c r="Y149" s="140">
        <f t="shared" si="469"/>
        <v>-38884</v>
      </c>
      <c r="Z149" s="140">
        <f t="shared" si="469"/>
        <v>-38704</v>
      </c>
      <c r="AA149" s="140">
        <f t="shared" si="469"/>
        <v>-38525</v>
      </c>
      <c r="AB149" s="140">
        <f t="shared" si="469"/>
        <v>-38345</v>
      </c>
      <c r="AC149" s="140">
        <f t="shared" si="469"/>
        <v>-38165</v>
      </c>
      <c r="AD149" s="140">
        <f t="shared" si="469"/>
        <v>-37985</v>
      </c>
      <c r="AE149" s="140">
        <f t="shared" si="469"/>
        <v>-37805</v>
      </c>
      <c r="AF149" s="140">
        <f t="shared" si="469"/>
        <v>-37625</v>
      </c>
      <c r="AG149" s="140">
        <f t="shared" si="469"/>
        <v>-37445</v>
      </c>
      <c r="AH149" s="140">
        <f t="shared" si="469"/>
        <v>-37265</v>
      </c>
      <c r="AI149" s="140">
        <f t="shared" si="469"/>
        <v>-37086</v>
      </c>
      <c r="AJ149" s="140">
        <f t="shared" si="469"/>
        <v>-36906</v>
      </c>
      <c r="AK149" s="140">
        <f t="shared" si="469"/>
        <v>-36726</v>
      </c>
      <c r="AL149" s="140">
        <f t="shared" si="469"/>
        <v>-36546</v>
      </c>
      <c r="AM149" s="140">
        <f t="shared" si="469"/>
        <v>-36366</v>
      </c>
      <c r="AN149" s="140">
        <f t="shared" si="469"/>
        <v>-36186</v>
      </c>
      <c r="AO149" s="140">
        <f t="shared" si="469"/>
        <v>-36006</v>
      </c>
      <c r="AP149" s="140">
        <f t="shared" si="469"/>
        <v>-35826</v>
      </c>
      <c r="AQ149" s="140">
        <f t="shared" si="469"/>
        <v>-35647</v>
      </c>
      <c r="AR149" s="140">
        <f t="shared" si="469"/>
        <v>-35467</v>
      </c>
      <c r="AS149" s="140">
        <f t="shared" si="469"/>
        <v>-35287</v>
      </c>
      <c r="AT149" s="140">
        <f t="shared" si="469"/>
        <v>-35107</v>
      </c>
      <c r="AU149" s="140">
        <f t="shared" si="469"/>
        <v>-34927</v>
      </c>
      <c r="AV149" s="140">
        <f t="shared" si="469"/>
        <v>-34747</v>
      </c>
      <c r="AW149" s="140">
        <f t="shared" si="469"/>
        <v>-34567</v>
      </c>
      <c r="AX149" s="140">
        <f t="shared" si="469"/>
        <v>-34387</v>
      </c>
      <c r="AY149" s="140">
        <f t="shared" si="469"/>
        <v>-34208</v>
      </c>
      <c r="AZ149" s="140">
        <f t="shared" si="469"/>
        <v>-34028</v>
      </c>
      <c r="BA149" s="140">
        <f t="shared" si="469"/>
        <v>-33848</v>
      </c>
      <c r="BB149" s="140">
        <f t="shared" si="469"/>
        <v>-33668</v>
      </c>
      <c r="BC149" s="140">
        <f t="shared" si="469"/>
        <v>-33488</v>
      </c>
      <c r="BD149" s="140">
        <f t="shared" si="469"/>
        <v>-33308</v>
      </c>
      <c r="BE149" s="140">
        <f t="shared" si="469"/>
        <v>-33128</v>
      </c>
      <c r="BF149" s="140">
        <f t="shared" si="469"/>
        <v>-32948</v>
      </c>
      <c r="BG149" s="140">
        <f t="shared" si="469"/>
        <v>-32769</v>
      </c>
      <c r="BH149" s="140">
        <f t="shared" si="469"/>
        <v>-32589</v>
      </c>
      <c r="BI149" s="140">
        <f t="shared" si="469"/>
        <v>-32409</v>
      </c>
      <c r="BJ149" s="140">
        <f t="shared" si="469"/>
        <v>-32229</v>
      </c>
      <c r="BK149" s="140">
        <f t="shared" si="469"/>
        <v>-32049</v>
      </c>
      <c r="BL149" s="140">
        <f t="shared" si="469"/>
        <v>-31869</v>
      </c>
      <c r="BM149" s="140">
        <f t="shared" si="469"/>
        <v>-31689</v>
      </c>
      <c r="BN149" s="140">
        <f t="shared" ref="BN149:CB149" si="470">DAYS360($B$3,BN56)</f>
        <v>-31509</v>
      </c>
      <c r="BO149" s="140">
        <f t="shared" si="470"/>
        <v>-31330</v>
      </c>
      <c r="BP149" s="140">
        <f t="shared" si="470"/>
        <v>-31150</v>
      </c>
      <c r="BQ149" s="140">
        <f t="shared" si="470"/>
        <v>-30970</v>
      </c>
      <c r="BR149" s="140">
        <f t="shared" si="470"/>
        <v>-30790</v>
      </c>
      <c r="BS149" s="140">
        <f t="shared" si="470"/>
        <v>-30610</v>
      </c>
      <c r="BT149" s="140">
        <f t="shared" si="470"/>
        <v>-30430</v>
      </c>
      <c r="BU149" s="140">
        <f t="shared" si="470"/>
        <v>-30250</v>
      </c>
      <c r="BV149" s="140">
        <f t="shared" si="470"/>
        <v>-30070</v>
      </c>
      <c r="BW149" s="140">
        <f t="shared" si="470"/>
        <v>-29891</v>
      </c>
      <c r="BX149" s="140">
        <f t="shared" si="470"/>
        <v>-29711</v>
      </c>
      <c r="BY149" s="140">
        <f t="shared" si="470"/>
        <v>-29531</v>
      </c>
      <c r="BZ149" s="140">
        <f t="shared" si="470"/>
        <v>-29351</v>
      </c>
      <c r="CA149" s="140">
        <f t="shared" si="470"/>
        <v>-29171</v>
      </c>
      <c r="CB149" s="140">
        <f t="shared" si="470"/>
        <v>-28991</v>
      </c>
      <c r="CC149" s="17"/>
      <c r="CD149" s="17"/>
      <c r="CE149" s="17"/>
    </row>
    <row r="150" spans="1:201">
      <c r="A150" s="16" t="s">
        <v>41</v>
      </c>
      <c r="B150" s="140">
        <f>B149/360</f>
        <v>-119.50555555555556</v>
      </c>
      <c r="C150" s="140">
        <f t="shared" ref="C150:BN150" si="471">C149/360</f>
        <v>-119.00555555555556</v>
      </c>
      <c r="D150" s="140">
        <f t="shared" si="471"/>
        <v>-118.50555555555556</v>
      </c>
      <c r="E150" s="140">
        <f t="shared" si="471"/>
        <v>-118.00555555555556</v>
      </c>
      <c r="F150" s="140">
        <f t="shared" si="471"/>
        <v>-117.50555555555556</v>
      </c>
      <c r="G150" s="140">
        <f t="shared" si="471"/>
        <v>-117.00555555555556</v>
      </c>
      <c r="H150" s="140">
        <f t="shared" si="471"/>
        <v>-116.50555555555556</v>
      </c>
      <c r="I150" s="140">
        <f t="shared" si="471"/>
        <v>-116.00555555555556</v>
      </c>
      <c r="J150" s="140">
        <f t="shared" si="471"/>
        <v>-115.50555555555556</v>
      </c>
      <c r="K150" s="140">
        <f t="shared" si="471"/>
        <v>-115.00833333333334</v>
      </c>
      <c r="L150" s="140">
        <f t="shared" si="471"/>
        <v>-114.50833333333334</v>
      </c>
      <c r="M150" s="140">
        <f t="shared" si="471"/>
        <v>-114.00833333333334</v>
      </c>
      <c r="N150" s="140">
        <f t="shared" si="471"/>
        <v>-113.50833333333334</v>
      </c>
      <c r="O150" s="140">
        <f t="shared" si="471"/>
        <v>-113.00833333333334</v>
      </c>
      <c r="P150" s="140">
        <f t="shared" si="471"/>
        <v>-112.50833333333334</v>
      </c>
      <c r="Q150" s="140">
        <f t="shared" si="471"/>
        <v>-112.00833333333334</v>
      </c>
      <c r="R150" s="140">
        <f t="shared" si="471"/>
        <v>-111.50833333333334</v>
      </c>
      <c r="S150" s="140">
        <f t="shared" si="471"/>
        <v>-111.01111111111111</v>
      </c>
      <c r="T150" s="140">
        <f t="shared" si="471"/>
        <v>-110.51111111111111</v>
      </c>
      <c r="U150" s="140">
        <f t="shared" si="471"/>
        <v>-110.01111111111111</v>
      </c>
      <c r="V150" s="140">
        <f t="shared" si="471"/>
        <v>-109.51111111111111</v>
      </c>
      <c r="W150" s="140">
        <f t="shared" si="471"/>
        <v>-109.01111111111111</v>
      </c>
      <c r="X150" s="140">
        <f t="shared" si="471"/>
        <v>-108.51111111111111</v>
      </c>
      <c r="Y150" s="140">
        <f t="shared" si="471"/>
        <v>-108.01111111111111</v>
      </c>
      <c r="Z150" s="140">
        <f t="shared" si="471"/>
        <v>-107.51111111111111</v>
      </c>
      <c r="AA150" s="140">
        <f t="shared" si="471"/>
        <v>-107.01388888888889</v>
      </c>
      <c r="AB150" s="140">
        <f t="shared" si="471"/>
        <v>-106.51388888888889</v>
      </c>
      <c r="AC150" s="140">
        <f t="shared" si="471"/>
        <v>-106.01388888888889</v>
      </c>
      <c r="AD150" s="140">
        <f t="shared" si="471"/>
        <v>-105.51388888888889</v>
      </c>
      <c r="AE150" s="140">
        <f t="shared" si="471"/>
        <v>-105.01388888888889</v>
      </c>
      <c r="AF150" s="140">
        <f t="shared" si="471"/>
        <v>-104.51388888888889</v>
      </c>
      <c r="AG150" s="140">
        <f t="shared" si="471"/>
        <v>-104.01388888888889</v>
      </c>
      <c r="AH150" s="140">
        <f t="shared" si="471"/>
        <v>-103.51388888888889</v>
      </c>
      <c r="AI150" s="140">
        <f t="shared" si="471"/>
        <v>-103.01666666666667</v>
      </c>
      <c r="AJ150" s="140">
        <f t="shared" si="471"/>
        <v>-102.51666666666667</v>
      </c>
      <c r="AK150" s="140">
        <f t="shared" si="471"/>
        <v>-102.01666666666667</v>
      </c>
      <c r="AL150" s="140">
        <f t="shared" si="471"/>
        <v>-101.51666666666667</v>
      </c>
      <c r="AM150" s="140">
        <f t="shared" si="471"/>
        <v>-101.01666666666667</v>
      </c>
      <c r="AN150" s="140">
        <f t="shared" si="471"/>
        <v>-100.51666666666667</v>
      </c>
      <c r="AO150" s="140">
        <f t="shared" si="471"/>
        <v>-100.01666666666667</v>
      </c>
      <c r="AP150" s="140">
        <f t="shared" si="471"/>
        <v>-99.516666666666666</v>
      </c>
      <c r="AQ150" s="140">
        <f t="shared" si="471"/>
        <v>-99.019444444444446</v>
      </c>
      <c r="AR150" s="140">
        <f t="shared" si="471"/>
        <v>-98.519444444444446</v>
      </c>
      <c r="AS150" s="140">
        <f t="shared" si="471"/>
        <v>-98.019444444444446</v>
      </c>
      <c r="AT150" s="140">
        <f t="shared" si="471"/>
        <v>-97.519444444444446</v>
      </c>
      <c r="AU150" s="140">
        <f t="shared" si="471"/>
        <v>-97.019444444444446</v>
      </c>
      <c r="AV150" s="140">
        <f t="shared" si="471"/>
        <v>-96.519444444444446</v>
      </c>
      <c r="AW150" s="140">
        <f t="shared" si="471"/>
        <v>-96.019444444444446</v>
      </c>
      <c r="AX150" s="140">
        <f t="shared" si="471"/>
        <v>-95.519444444444446</v>
      </c>
      <c r="AY150" s="140">
        <f t="shared" si="471"/>
        <v>-95.022222222222226</v>
      </c>
      <c r="AZ150" s="140">
        <f t="shared" si="471"/>
        <v>-94.522222222222226</v>
      </c>
      <c r="BA150" s="140">
        <f t="shared" si="471"/>
        <v>-94.022222222222226</v>
      </c>
      <c r="BB150" s="140">
        <f t="shared" si="471"/>
        <v>-93.522222222222226</v>
      </c>
      <c r="BC150" s="140">
        <f t="shared" si="471"/>
        <v>-93.022222222222226</v>
      </c>
      <c r="BD150" s="140">
        <f t="shared" si="471"/>
        <v>-92.522222222222226</v>
      </c>
      <c r="BE150" s="140">
        <f t="shared" si="471"/>
        <v>-92.022222222222226</v>
      </c>
      <c r="BF150" s="140">
        <f t="shared" si="471"/>
        <v>-91.522222222222226</v>
      </c>
      <c r="BG150" s="140">
        <f t="shared" si="471"/>
        <v>-91.025000000000006</v>
      </c>
      <c r="BH150" s="140">
        <f t="shared" si="471"/>
        <v>-90.525000000000006</v>
      </c>
      <c r="BI150" s="140">
        <f t="shared" si="471"/>
        <v>-90.025000000000006</v>
      </c>
      <c r="BJ150" s="140">
        <f t="shared" si="471"/>
        <v>-89.525000000000006</v>
      </c>
      <c r="BK150" s="140">
        <f t="shared" si="471"/>
        <v>-89.025000000000006</v>
      </c>
      <c r="BL150" s="140">
        <f t="shared" si="471"/>
        <v>-88.525000000000006</v>
      </c>
      <c r="BM150" s="140">
        <f t="shared" si="471"/>
        <v>-88.025000000000006</v>
      </c>
      <c r="BN150" s="140">
        <f t="shared" si="471"/>
        <v>-87.525000000000006</v>
      </c>
      <c r="BO150" s="140">
        <f t="shared" ref="BO150:CB150" si="472">BO149/360</f>
        <v>-87.027777777777771</v>
      </c>
      <c r="BP150" s="140">
        <f t="shared" si="472"/>
        <v>-86.527777777777771</v>
      </c>
      <c r="BQ150" s="140">
        <f t="shared" si="472"/>
        <v>-86.027777777777771</v>
      </c>
      <c r="BR150" s="140">
        <f t="shared" si="472"/>
        <v>-85.527777777777771</v>
      </c>
      <c r="BS150" s="140">
        <f t="shared" si="472"/>
        <v>-85.027777777777771</v>
      </c>
      <c r="BT150" s="140">
        <f t="shared" si="472"/>
        <v>-84.527777777777771</v>
      </c>
      <c r="BU150" s="140">
        <f t="shared" si="472"/>
        <v>-84.027777777777771</v>
      </c>
      <c r="BV150" s="140">
        <f t="shared" si="472"/>
        <v>-83.527777777777771</v>
      </c>
      <c r="BW150" s="140">
        <f t="shared" si="472"/>
        <v>-83.030555555555551</v>
      </c>
      <c r="BX150" s="140">
        <f t="shared" si="472"/>
        <v>-82.530555555555551</v>
      </c>
      <c r="BY150" s="140">
        <f t="shared" si="472"/>
        <v>-82.030555555555551</v>
      </c>
      <c r="BZ150" s="140">
        <f t="shared" si="472"/>
        <v>-81.530555555555551</v>
      </c>
      <c r="CA150" s="140">
        <f t="shared" si="472"/>
        <v>-81.030555555555551</v>
      </c>
      <c r="CB150" s="140">
        <f t="shared" si="472"/>
        <v>-80.530555555555551</v>
      </c>
      <c r="CC150" s="17"/>
      <c r="CD150" s="17"/>
      <c r="CE150" s="17"/>
    </row>
    <row r="151" spans="1:201">
      <c r="A151" s="16" t="s">
        <v>43</v>
      </c>
      <c r="B151" s="140">
        <f>IF(B149&lt;0,0,$B$5+$B$6*((1-EXP(-B150/$B$9))/(B150/$B$9))+$B$7*((1-EXP(-B150/$B$9))/(B150/$B$9)-EXP(-B150/$B$9))+$B$8*((1-EXP(-B150/$B$10))/(B150/$B$10)-EXP(-B150/$B$10)))</f>
        <v>0</v>
      </c>
      <c r="C151" s="140">
        <f t="shared" ref="C151:BN151" si="473">IF(C149&lt;0,0,$B$5+$B$6*((1-EXP(-C150/$B$9))/(C150/$B$9))+$B$7*((1-EXP(-C150/$B$9))/(C150/$B$9)-EXP(-C150/$B$9))+$B$8*((1-EXP(-C150/$B$10))/(C150/$B$10)-EXP(-C150/$B$10)))</f>
        <v>0</v>
      </c>
      <c r="D151" s="140">
        <f t="shared" si="473"/>
        <v>0</v>
      </c>
      <c r="E151" s="140">
        <f t="shared" si="473"/>
        <v>0</v>
      </c>
      <c r="F151" s="140">
        <f t="shared" si="473"/>
        <v>0</v>
      </c>
      <c r="G151" s="140">
        <f t="shared" si="473"/>
        <v>0</v>
      </c>
      <c r="H151" s="140">
        <f t="shared" si="473"/>
        <v>0</v>
      </c>
      <c r="I151" s="140">
        <f t="shared" si="473"/>
        <v>0</v>
      </c>
      <c r="J151" s="140">
        <f t="shared" si="473"/>
        <v>0</v>
      </c>
      <c r="K151" s="140">
        <f t="shared" si="473"/>
        <v>0</v>
      </c>
      <c r="L151" s="140">
        <f t="shared" si="473"/>
        <v>0</v>
      </c>
      <c r="M151" s="140">
        <f t="shared" si="473"/>
        <v>0</v>
      </c>
      <c r="N151" s="140">
        <f t="shared" si="473"/>
        <v>0</v>
      </c>
      <c r="O151" s="140">
        <f t="shared" si="473"/>
        <v>0</v>
      </c>
      <c r="P151" s="140">
        <f t="shared" si="473"/>
        <v>0</v>
      </c>
      <c r="Q151" s="140">
        <f t="shared" si="473"/>
        <v>0</v>
      </c>
      <c r="R151" s="140">
        <f t="shared" si="473"/>
        <v>0</v>
      </c>
      <c r="S151" s="140">
        <f t="shared" si="473"/>
        <v>0</v>
      </c>
      <c r="T151" s="140">
        <f t="shared" si="473"/>
        <v>0</v>
      </c>
      <c r="U151" s="140">
        <f t="shared" si="473"/>
        <v>0</v>
      </c>
      <c r="V151" s="140">
        <f t="shared" si="473"/>
        <v>0</v>
      </c>
      <c r="W151" s="140">
        <f t="shared" si="473"/>
        <v>0</v>
      </c>
      <c r="X151" s="140">
        <f t="shared" si="473"/>
        <v>0</v>
      </c>
      <c r="Y151" s="140">
        <f t="shared" si="473"/>
        <v>0</v>
      </c>
      <c r="Z151" s="140">
        <f t="shared" si="473"/>
        <v>0</v>
      </c>
      <c r="AA151" s="140">
        <f t="shared" si="473"/>
        <v>0</v>
      </c>
      <c r="AB151" s="140">
        <f t="shared" si="473"/>
        <v>0</v>
      </c>
      <c r="AC151" s="140">
        <f t="shared" si="473"/>
        <v>0</v>
      </c>
      <c r="AD151" s="140">
        <f t="shared" si="473"/>
        <v>0</v>
      </c>
      <c r="AE151" s="140">
        <f t="shared" si="473"/>
        <v>0</v>
      </c>
      <c r="AF151" s="140">
        <f t="shared" si="473"/>
        <v>0</v>
      </c>
      <c r="AG151" s="140">
        <f t="shared" si="473"/>
        <v>0</v>
      </c>
      <c r="AH151" s="140">
        <f t="shared" si="473"/>
        <v>0</v>
      </c>
      <c r="AI151" s="140">
        <f t="shared" si="473"/>
        <v>0</v>
      </c>
      <c r="AJ151" s="140">
        <f t="shared" si="473"/>
        <v>0</v>
      </c>
      <c r="AK151" s="140">
        <f t="shared" si="473"/>
        <v>0</v>
      </c>
      <c r="AL151" s="140">
        <f t="shared" si="473"/>
        <v>0</v>
      </c>
      <c r="AM151" s="140">
        <f t="shared" si="473"/>
        <v>0</v>
      </c>
      <c r="AN151" s="140">
        <f t="shared" si="473"/>
        <v>0</v>
      </c>
      <c r="AO151" s="140">
        <f t="shared" si="473"/>
        <v>0</v>
      </c>
      <c r="AP151" s="140">
        <f t="shared" si="473"/>
        <v>0</v>
      </c>
      <c r="AQ151" s="140">
        <f t="shared" si="473"/>
        <v>0</v>
      </c>
      <c r="AR151" s="140">
        <f t="shared" si="473"/>
        <v>0</v>
      </c>
      <c r="AS151" s="140">
        <f t="shared" si="473"/>
        <v>0</v>
      </c>
      <c r="AT151" s="140">
        <f t="shared" si="473"/>
        <v>0</v>
      </c>
      <c r="AU151" s="140">
        <f t="shared" si="473"/>
        <v>0</v>
      </c>
      <c r="AV151" s="140">
        <f t="shared" si="473"/>
        <v>0</v>
      </c>
      <c r="AW151" s="140">
        <f t="shared" si="473"/>
        <v>0</v>
      </c>
      <c r="AX151" s="140">
        <f t="shared" si="473"/>
        <v>0</v>
      </c>
      <c r="AY151" s="140">
        <f t="shared" si="473"/>
        <v>0</v>
      </c>
      <c r="AZ151" s="140">
        <f t="shared" si="473"/>
        <v>0</v>
      </c>
      <c r="BA151" s="140">
        <f t="shared" si="473"/>
        <v>0</v>
      </c>
      <c r="BB151" s="140">
        <f t="shared" si="473"/>
        <v>0</v>
      </c>
      <c r="BC151" s="140">
        <f t="shared" si="473"/>
        <v>0</v>
      </c>
      <c r="BD151" s="140">
        <f t="shared" si="473"/>
        <v>0</v>
      </c>
      <c r="BE151" s="140">
        <f t="shared" si="473"/>
        <v>0</v>
      </c>
      <c r="BF151" s="140">
        <f t="shared" si="473"/>
        <v>0</v>
      </c>
      <c r="BG151" s="140">
        <f t="shared" si="473"/>
        <v>0</v>
      </c>
      <c r="BH151" s="140">
        <f t="shared" si="473"/>
        <v>0</v>
      </c>
      <c r="BI151" s="140">
        <f t="shared" si="473"/>
        <v>0</v>
      </c>
      <c r="BJ151" s="140">
        <f t="shared" si="473"/>
        <v>0</v>
      </c>
      <c r="BK151" s="140">
        <f t="shared" si="473"/>
        <v>0</v>
      </c>
      <c r="BL151" s="140">
        <f t="shared" si="473"/>
        <v>0</v>
      </c>
      <c r="BM151" s="140">
        <f t="shared" si="473"/>
        <v>0</v>
      </c>
      <c r="BN151" s="140">
        <f t="shared" si="473"/>
        <v>0</v>
      </c>
      <c r="BO151" s="140">
        <f t="shared" ref="BO151:CB151" si="474">IF(BO149&lt;0,0,$B$5+$B$6*((1-EXP(-BO150/$B$9))/(BO150/$B$9))+$B$7*((1-EXP(-BO150/$B$9))/(BO150/$B$9)-EXP(-BO150/$B$9))+$B$8*((1-EXP(-BO150/$B$10))/(BO150/$B$10)-EXP(-BO150/$B$10)))</f>
        <v>0</v>
      </c>
      <c r="BP151" s="140">
        <f t="shared" si="474"/>
        <v>0</v>
      </c>
      <c r="BQ151" s="140">
        <f t="shared" si="474"/>
        <v>0</v>
      </c>
      <c r="BR151" s="140">
        <f t="shared" si="474"/>
        <v>0</v>
      </c>
      <c r="BS151" s="140">
        <f t="shared" si="474"/>
        <v>0</v>
      </c>
      <c r="BT151" s="140">
        <f t="shared" si="474"/>
        <v>0</v>
      </c>
      <c r="BU151" s="140">
        <f t="shared" si="474"/>
        <v>0</v>
      </c>
      <c r="BV151" s="140">
        <f t="shared" si="474"/>
        <v>0</v>
      </c>
      <c r="BW151" s="140">
        <f t="shared" si="474"/>
        <v>0</v>
      </c>
      <c r="BX151" s="140">
        <f t="shared" si="474"/>
        <v>0</v>
      </c>
      <c r="BY151" s="140">
        <f t="shared" si="474"/>
        <v>0</v>
      </c>
      <c r="BZ151" s="140">
        <f t="shared" si="474"/>
        <v>0</v>
      </c>
      <c r="CA151" s="140">
        <f t="shared" si="474"/>
        <v>0</v>
      </c>
      <c r="CB151" s="140">
        <f t="shared" si="474"/>
        <v>0</v>
      </c>
      <c r="CC151" s="17"/>
      <c r="CD151" s="17"/>
      <c r="CE151" s="17"/>
    </row>
    <row r="152" spans="1:201">
      <c r="A152" s="16" t="s">
        <v>44</v>
      </c>
      <c r="B152" s="140">
        <f>EXP(-B151*B150)</f>
        <v>1</v>
      </c>
      <c r="C152" s="140">
        <f t="shared" ref="C152:AR152" si="475">EXP(-C151*C150)</f>
        <v>1</v>
      </c>
      <c r="D152" s="140">
        <f t="shared" si="475"/>
        <v>1</v>
      </c>
      <c r="E152" s="140">
        <f t="shared" si="475"/>
        <v>1</v>
      </c>
      <c r="F152" s="140">
        <f t="shared" si="475"/>
        <v>1</v>
      </c>
      <c r="G152" s="140">
        <f t="shared" si="475"/>
        <v>1</v>
      </c>
      <c r="H152" s="140">
        <f t="shared" si="475"/>
        <v>1</v>
      </c>
      <c r="I152" s="140">
        <f t="shared" si="475"/>
        <v>1</v>
      </c>
      <c r="J152" s="140">
        <f t="shared" si="475"/>
        <v>1</v>
      </c>
      <c r="K152" s="140">
        <f t="shared" si="475"/>
        <v>1</v>
      </c>
      <c r="L152" s="140">
        <f t="shared" si="475"/>
        <v>1</v>
      </c>
      <c r="M152" s="140">
        <f t="shared" si="475"/>
        <v>1</v>
      </c>
      <c r="N152" s="140">
        <f t="shared" si="475"/>
        <v>1</v>
      </c>
      <c r="O152" s="140">
        <f t="shared" si="475"/>
        <v>1</v>
      </c>
      <c r="P152" s="140">
        <f t="shared" si="475"/>
        <v>1</v>
      </c>
      <c r="Q152" s="140">
        <f t="shared" si="475"/>
        <v>1</v>
      </c>
      <c r="R152" s="140">
        <f t="shared" si="475"/>
        <v>1</v>
      </c>
      <c r="S152" s="140">
        <f t="shared" si="475"/>
        <v>1</v>
      </c>
      <c r="T152" s="140">
        <f t="shared" si="475"/>
        <v>1</v>
      </c>
      <c r="U152" s="140">
        <f t="shared" si="475"/>
        <v>1</v>
      </c>
      <c r="V152" s="140">
        <f t="shared" si="475"/>
        <v>1</v>
      </c>
      <c r="W152" s="140">
        <f t="shared" si="475"/>
        <v>1</v>
      </c>
      <c r="X152" s="140">
        <f t="shared" si="475"/>
        <v>1</v>
      </c>
      <c r="Y152" s="140">
        <f t="shared" si="475"/>
        <v>1</v>
      </c>
      <c r="Z152" s="140">
        <f t="shared" si="475"/>
        <v>1</v>
      </c>
      <c r="AA152" s="140">
        <f t="shared" si="475"/>
        <v>1</v>
      </c>
      <c r="AB152" s="140">
        <f t="shared" si="475"/>
        <v>1</v>
      </c>
      <c r="AC152" s="140">
        <f t="shared" si="475"/>
        <v>1</v>
      </c>
      <c r="AD152" s="140">
        <f t="shared" si="475"/>
        <v>1</v>
      </c>
      <c r="AE152" s="140">
        <f t="shared" si="475"/>
        <v>1</v>
      </c>
      <c r="AF152" s="140">
        <f t="shared" si="475"/>
        <v>1</v>
      </c>
      <c r="AG152" s="140">
        <f t="shared" si="475"/>
        <v>1</v>
      </c>
      <c r="AH152" s="140">
        <f t="shared" si="475"/>
        <v>1</v>
      </c>
      <c r="AI152" s="140">
        <f t="shared" si="475"/>
        <v>1</v>
      </c>
      <c r="AJ152" s="140">
        <f t="shared" si="475"/>
        <v>1</v>
      </c>
      <c r="AK152" s="140">
        <f t="shared" si="475"/>
        <v>1</v>
      </c>
      <c r="AL152" s="140">
        <f t="shared" si="475"/>
        <v>1</v>
      </c>
      <c r="AM152" s="140">
        <f t="shared" si="475"/>
        <v>1</v>
      </c>
      <c r="AN152" s="140">
        <f t="shared" si="475"/>
        <v>1</v>
      </c>
      <c r="AO152" s="140">
        <f t="shared" si="475"/>
        <v>1</v>
      </c>
      <c r="AP152" s="140">
        <f t="shared" si="475"/>
        <v>1</v>
      </c>
      <c r="AQ152" s="140">
        <f t="shared" si="475"/>
        <v>1</v>
      </c>
      <c r="AR152" s="140">
        <f t="shared" si="475"/>
        <v>1</v>
      </c>
      <c r="AS152" s="140">
        <f>EXP(-AS151*AS150)</f>
        <v>1</v>
      </c>
      <c r="AT152" s="140">
        <f t="shared" ref="AT152:CA152" si="476">EXP(-AT151*AT150)</f>
        <v>1</v>
      </c>
      <c r="AU152" s="140">
        <f t="shared" si="476"/>
        <v>1</v>
      </c>
      <c r="AV152" s="140">
        <f t="shared" si="476"/>
        <v>1</v>
      </c>
      <c r="AW152" s="140">
        <f t="shared" si="476"/>
        <v>1</v>
      </c>
      <c r="AX152" s="140">
        <f t="shared" si="476"/>
        <v>1</v>
      </c>
      <c r="AY152" s="140">
        <f t="shared" si="476"/>
        <v>1</v>
      </c>
      <c r="AZ152" s="140">
        <f t="shared" si="476"/>
        <v>1</v>
      </c>
      <c r="BA152" s="140">
        <f t="shared" si="476"/>
        <v>1</v>
      </c>
      <c r="BB152" s="140">
        <f t="shared" si="476"/>
        <v>1</v>
      </c>
      <c r="BC152" s="140">
        <f t="shared" si="476"/>
        <v>1</v>
      </c>
      <c r="BD152" s="140">
        <f t="shared" si="476"/>
        <v>1</v>
      </c>
      <c r="BE152" s="140">
        <f t="shared" si="476"/>
        <v>1</v>
      </c>
      <c r="BF152" s="140">
        <f t="shared" si="476"/>
        <v>1</v>
      </c>
      <c r="BG152" s="140">
        <f t="shared" si="476"/>
        <v>1</v>
      </c>
      <c r="BH152" s="140">
        <f t="shared" si="476"/>
        <v>1</v>
      </c>
      <c r="BI152" s="140">
        <f t="shared" si="476"/>
        <v>1</v>
      </c>
      <c r="BJ152" s="140">
        <f t="shared" si="476"/>
        <v>1</v>
      </c>
      <c r="BK152" s="140">
        <f t="shared" si="476"/>
        <v>1</v>
      </c>
      <c r="BL152" s="140">
        <f t="shared" si="476"/>
        <v>1</v>
      </c>
      <c r="BM152" s="140">
        <f t="shared" si="476"/>
        <v>1</v>
      </c>
      <c r="BN152" s="140">
        <f t="shared" si="476"/>
        <v>1</v>
      </c>
      <c r="BO152" s="140">
        <f t="shared" si="476"/>
        <v>1</v>
      </c>
      <c r="BP152" s="140">
        <f t="shared" si="476"/>
        <v>1</v>
      </c>
      <c r="BQ152" s="140">
        <f t="shared" si="476"/>
        <v>1</v>
      </c>
      <c r="BR152" s="140">
        <f t="shared" si="476"/>
        <v>1</v>
      </c>
      <c r="BS152" s="140">
        <f t="shared" si="476"/>
        <v>1</v>
      </c>
      <c r="BT152" s="140">
        <f t="shared" si="476"/>
        <v>1</v>
      </c>
      <c r="BU152" s="140">
        <f t="shared" si="476"/>
        <v>1</v>
      </c>
      <c r="BV152" s="140">
        <f t="shared" si="476"/>
        <v>1</v>
      </c>
      <c r="BW152" s="140">
        <f t="shared" si="476"/>
        <v>1</v>
      </c>
      <c r="BX152" s="140">
        <f t="shared" si="476"/>
        <v>1</v>
      </c>
      <c r="BY152" s="140">
        <f t="shared" si="476"/>
        <v>1</v>
      </c>
      <c r="BZ152" s="140">
        <f t="shared" si="476"/>
        <v>1</v>
      </c>
      <c r="CA152" s="140">
        <f t="shared" si="476"/>
        <v>1</v>
      </c>
      <c r="CB152" s="140">
        <f>EXP(-CB151*CB150)</f>
        <v>1</v>
      </c>
      <c r="CC152" s="17"/>
      <c r="CD152" s="17"/>
      <c r="CE152" s="17"/>
    </row>
    <row r="153" spans="1:201">
      <c r="A153" s="17"/>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17"/>
      <c r="CD153" s="17"/>
      <c r="CE153" s="17"/>
    </row>
    <row r="154" spans="1:201">
      <c r="A154" s="16" t="s">
        <v>40</v>
      </c>
      <c r="B154" s="140">
        <f t="shared" ref="B154:BM154" si="477">DAYS360($B$3,B58)</f>
        <v>-43022</v>
      </c>
      <c r="C154" s="140">
        <f t="shared" si="477"/>
        <v>-42842</v>
      </c>
      <c r="D154" s="140">
        <f t="shared" si="477"/>
        <v>-42662</v>
      </c>
      <c r="E154" s="140">
        <f t="shared" si="477"/>
        <v>-42482</v>
      </c>
      <c r="F154" s="140">
        <f t="shared" si="477"/>
        <v>-42302</v>
      </c>
      <c r="G154" s="140">
        <f t="shared" si="477"/>
        <v>-42122</v>
      </c>
      <c r="H154" s="140">
        <f t="shared" si="477"/>
        <v>-41942</v>
      </c>
      <c r="I154" s="140">
        <f t="shared" si="477"/>
        <v>-41762</v>
      </c>
      <c r="J154" s="140">
        <f t="shared" si="477"/>
        <v>-41582</v>
      </c>
      <c r="K154" s="140">
        <f t="shared" si="477"/>
        <v>-41403</v>
      </c>
      <c r="L154" s="140">
        <f t="shared" si="477"/>
        <v>-41223</v>
      </c>
      <c r="M154" s="140">
        <f t="shared" si="477"/>
        <v>-41043</v>
      </c>
      <c r="N154" s="140">
        <f t="shared" si="477"/>
        <v>-40863</v>
      </c>
      <c r="O154" s="140">
        <f t="shared" si="477"/>
        <v>-40683</v>
      </c>
      <c r="P154" s="140">
        <f t="shared" si="477"/>
        <v>-40503</v>
      </c>
      <c r="Q154" s="140">
        <f t="shared" si="477"/>
        <v>-40323</v>
      </c>
      <c r="R154" s="140">
        <f t="shared" si="477"/>
        <v>-40143</v>
      </c>
      <c r="S154" s="140">
        <f t="shared" si="477"/>
        <v>-39964</v>
      </c>
      <c r="T154" s="140">
        <f t="shared" si="477"/>
        <v>-39784</v>
      </c>
      <c r="U154" s="140">
        <f t="shared" si="477"/>
        <v>-39604</v>
      </c>
      <c r="V154" s="140">
        <f t="shared" si="477"/>
        <v>-39424</v>
      </c>
      <c r="W154" s="140">
        <f t="shared" si="477"/>
        <v>-39244</v>
      </c>
      <c r="X154" s="140">
        <f t="shared" si="477"/>
        <v>-39064</v>
      </c>
      <c r="Y154" s="140">
        <f t="shared" si="477"/>
        <v>-38884</v>
      </c>
      <c r="Z154" s="140">
        <f t="shared" si="477"/>
        <v>-38704</v>
      </c>
      <c r="AA154" s="140">
        <f t="shared" si="477"/>
        <v>-38525</v>
      </c>
      <c r="AB154" s="140">
        <f t="shared" si="477"/>
        <v>-38345</v>
      </c>
      <c r="AC154" s="140">
        <f t="shared" si="477"/>
        <v>-38165</v>
      </c>
      <c r="AD154" s="140">
        <f t="shared" si="477"/>
        <v>-37985</v>
      </c>
      <c r="AE154" s="140">
        <f t="shared" si="477"/>
        <v>-37805</v>
      </c>
      <c r="AF154" s="140">
        <f t="shared" si="477"/>
        <v>-37625</v>
      </c>
      <c r="AG154" s="140">
        <f t="shared" si="477"/>
        <v>-37445</v>
      </c>
      <c r="AH154" s="140">
        <f t="shared" si="477"/>
        <v>-37265</v>
      </c>
      <c r="AI154" s="140">
        <f t="shared" si="477"/>
        <v>-37086</v>
      </c>
      <c r="AJ154" s="140">
        <f t="shared" si="477"/>
        <v>-36906</v>
      </c>
      <c r="AK154" s="140">
        <f t="shared" si="477"/>
        <v>-36726</v>
      </c>
      <c r="AL154" s="140">
        <f t="shared" si="477"/>
        <v>-36546</v>
      </c>
      <c r="AM154" s="140">
        <f t="shared" si="477"/>
        <v>-36366</v>
      </c>
      <c r="AN154" s="140">
        <f t="shared" si="477"/>
        <v>-36186</v>
      </c>
      <c r="AO154" s="140">
        <f t="shared" si="477"/>
        <v>-36006</v>
      </c>
      <c r="AP154" s="140">
        <f t="shared" si="477"/>
        <v>-35826</v>
      </c>
      <c r="AQ154" s="140">
        <f t="shared" si="477"/>
        <v>-35647</v>
      </c>
      <c r="AR154" s="140">
        <f t="shared" si="477"/>
        <v>-35467</v>
      </c>
      <c r="AS154" s="140">
        <f t="shared" si="477"/>
        <v>-35287</v>
      </c>
      <c r="AT154" s="140">
        <f t="shared" si="477"/>
        <v>-35107</v>
      </c>
      <c r="AU154" s="140">
        <f t="shared" si="477"/>
        <v>-34927</v>
      </c>
      <c r="AV154" s="140">
        <f t="shared" si="477"/>
        <v>-34747</v>
      </c>
      <c r="AW154" s="140">
        <f t="shared" si="477"/>
        <v>-34567</v>
      </c>
      <c r="AX154" s="140">
        <f t="shared" si="477"/>
        <v>-34387</v>
      </c>
      <c r="AY154" s="140">
        <f t="shared" si="477"/>
        <v>-34208</v>
      </c>
      <c r="AZ154" s="140">
        <f t="shared" si="477"/>
        <v>-34028</v>
      </c>
      <c r="BA154" s="140">
        <f t="shared" si="477"/>
        <v>-33848</v>
      </c>
      <c r="BB154" s="140">
        <f t="shared" si="477"/>
        <v>-33668</v>
      </c>
      <c r="BC154" s="140">
        <f t="shared" si="477"/>
        <v>-33488</v>
      </c>
      <c r="BD154" s="140">
        <f t="shared" si="477"/>
        <v>-33308</v>
      </c>
      <c r="BE154" s="140">
        <f t="shared" si="477"/>
        <v>-33128</v>
      </c>
      <c r="BF154" s="140">
        <f t="shared" si="477"/>
        <v>-32948</v>
      </c>
      <c r="BG154" s="140">
        <f t="shared" si="477"/>
        <v>-32769</v>
      </c>
      <c r="BH154" s="140">
        <f t="shared" si="477"/>
        <v>-32589</v>
      </c>
      <c r="BI154" s="140">
        <f t="shared" si="477"/>
        <v>-32409</v>
      </c>
      <c r="BJ154" s="140">
        <f t="shared" si="477"/>
        <v>-32229</v>
      </c>
      <c r="BK154" s="140">
        <f t="shared" si="477"/>
        <v>-32049</v>
      </c>
      <c r="BL154" s="140">
        <f t="shared" si="477"/>
        <v>-31869</v>
      </c>
      <c r="BM154" s="140">
        <f t="shared" si="477"/>
        <v>-31689</v>
      </c>
      <c r="BN154" s="140">
        <f t="shared" ref="BN154:CB154" si="478">DAYS360($B$3,BN58)</f>
        <v>-31509</v>
      </c>
      <c r="BO154" s="140">
        <f t="shared" si="478"/>
        <v>-31330</v>
      </c>
      <c r="BP154" s="140">
        <f t="shared" si="478"/>
        <v>-31150</v>
      </c>
      <c r="BQ154" s="140">
        <f t="shared" si="478"/>
        <v>-30970</v>
      </c>
      <c r="BR154" s="140">
        <f t="shared" si="478"/>
        <v>-30790</v>
      </c>
      <c r="BS154" s="140">
        <f t="shared" si="478"/>
        <v>-30610</v>
      </c>
      <c r="BT154" s="140">
        <f t="shared" si="478"/>
        <v>-30430</v>
      </c>
      <c r="BU154" s="140">
        <f t="shared" si="478"/>
        <v>-30250</v>
      </c>
      <c r="BV154" s="140">
        <f t="shared" si="478"/>
        <v>-30070</v>
      </c>
      <c r="BW154" s="140">
        <f t="shared" si="478"/>
        <v>-29891</v>
      </c>
      <c r="BX154" s="140">
        <f t="shared" si="478"/>
        <v>-29711</v>
      </c>
      <c r="BY154" s="140">
        <f t="shared" si="478"/>
        <v>-29531</v>
      </c>
      <c r="BZ154" s="140">
        <f t="shared" si="478"/>
        <v>-29351</v>
      </c>
      <c r="CA154" s="140">
        <f t="shared" si="478"/>
        <v>-29171</v>
      </c>
      <c r="CB154" s="140">
        <f t="shared" si="478"/>
        <v>-28991</v>
      </c>
      <c r="CC154" s="17"/>
      <c r="CD154" s="17"/>
      <c r="CE154" s="17"/>
    </row>
    <row r="155" spans="1:201">
      <c r="A155" s="16" t="s">
        <v>41</v>
      </c>
      <c r="B155" s="140">
        <f>B154/360</f>
        <v>-119.50555555555556</v>
      </c>
      <c r="C155" s="140">
        <f t="shared" ref="C155:BN155" si="479">C154/360</f>
        <v>-119.00555555555556</v>
      </c>
      <c r="D155" s="140">
        <f t="shared" si="479"/>
        <v>-118.50555555555556</v>
      </c>
      <c r="E155" s="140">
        <f t="shared" si="479"/>
        <v>-118.00555555555556</v>
      </c>
      <c r="F155" s="140">
        <f t="shared" si="479"/>
        <v>-117.50555555555556</v>
      </c>
      <c r="G155" s="140">
        <f t="shared" si="479"/>
        <v>-117.00555555555556</v>
      </c>
      <c r="H155" s="140">
        <f t="shared" si="479"/>
        <v>-116.50555555555556</v>
      </c>
      <c r="I155" s="140">
        <f t="shared" si="479"/>
        <v>-116.00555555555556</v>
      </c>
      <c r="J155" s="140">
        <f t="shared" si="479"/>
        <v>-115.50555555555556</v>
      </c>
      <c r="K155" s="140">
        <f t="shared" si="479"/>
        <v>-115.00833333333334</v>
      </c>
      <c r="L155" s="140">
        <f t="shared" si="479"/>
        <v>-114.50833333333334</v>
      </c>
      <c r="M155" s="140">
        <f t="shared" si="479"/>
        <v>-114.00833333333334</v>
      </c>
      <c r="N155" s="140">
        <f t="shared" si="479"/>
        <v>-113.50833333333334</v>
      </c>
      <c r="O155" s="140">
        <f t="shared" si="479"/>
        <v>-113.00833333333334</v>
      </c>
      <c r="P155" s="140">
        <f t="shared" si="479"/>
        <v>-112.50833333333334</v>
      </c>
      <c r="Q155" s="140">
        <f t="shared" si="479"/>
        <v>-112.00833333333334</v>
      </c>
      <c r="R155" s="140">
        <f t="shared" si="479"/>
        <v>-111.50833333333334</v>
      </c>
      <c r="S155" s="140">
        <f t="shared" si="479"/>
        <v>-111.01111111111111</v>
      </c>
      <c r="T155" s="140">
        <f t="shared" si="479"/>
        <v>-110.51111111111111</v>
      </c>
      <c r="U155" s="140">
        <f t="shared" si="479"/>
        <v>-110.01111111111111</v>
      </c>
      <c r="V155" s="140">
        <f t="shared" si="479"/>
        <v>-109.51111111111111</v>
      </c>
      <c r="W155" s="140">
        <f t="shared" si="479"/>
        <v>-109.01111111111111</v>
      </c>
      <c r="X155" s="140">
        <f t="shared" si="479"/>
        <v>-108.51111111111111</v>
      </c>
      <c r="Y155" s="140">
        <f t="shared" si="479"/>
        <v>-108.01111111111111</v>
      </c>
      <c r="Z155" s="140">
        <f t="shared" si="479"/>
        <v>-107.51111111111111</v>
      </c>
      <c r="AA155" s="140">
        <f t="shared" si="479"/>
        <v>-107.01388888888889</v>
      </c>
      <c r="AB155" s="140">
        <f t="shared" si="479"/>
        <v>-106.51388888888889</v>
      </c>
      <c r="AC155" s="140">
        <f t="shared" si="479"/>
        <v>-106.01388888888889</v>
      </c>
      <c r="AD155" s="140">
        <f t="shared" si="479"/>
        <v>-105.51388888888889</v>
      </c>
      <c r="AE155" s="140">
        <f t="shared" si="479"/>
        <v>-105.01388888888889</v>
      </c>
      <c r="AF155" s="140">
        <f t="shared" si="479"/>
        <v>-104.51388888888889</v>
      </c>
      <c r="AG155" s="140">
        <f t="shared" si="479"/>
        <v>-104.01388888888889</v>
      </c>
      <c r="AH155" s="140">
        <f t="shared" si="479"/>
        <v>-103.51388888888889</v>
      </c>
      <c r="AI155" s="140">
        <f t="shared" si="479"/>
        <v>-103.01666666666667</v>
      </c>
      <c r="AJ155" s="140">
        <f t="shared" si="479"/>
        <v>-102.51666666666667</v>
      </c>
      <c r="AK155" s="140">
        <f t="shared" si="479"/>
        <v>-102.01666666666667</v>
      </c>
      <c r="AL155" s="140">
        <f t="shared" si="479"/>
        <v>-101.51666666666667</v>
      </c>
      <c r="AM155" s="140">
        <f t="shared" si="479"/>
        <v>-101.01666666666667</v>
      </c>
      <c r="AN155" s="140">
        <f t="shared" si="479"/>
        <v>-100.51666666666667</v>
      </c>
      <c r="AO155" s="140">
        <f t="shared" si="479"/>
        <v>-100.01666666666667</v>
      </c>
      <c r="AP155" s="140">
        <f t="shared" si="479"/>
        <v>-99.516666666666666</v>
      </c>
      <c r="AQ155" s="140">
        <f t="shared" si="479"/>
        <v>-99.019444444444446</v>
      </c>
      <c r="AR155" s="140">
        <f t="shared" si="479"/>
        <v>-98.519444444444446</v>
      </c>
      <c r="AS155" s="140">
        <f t="shared" si="479"/>
        <v>-98.019444444444446</v>
      </c>
      <c r="AT155" s="140">
        <f t="shared" si="479"/>
        <v>-97.519444444444446</v>
      </c>
      <c r="AU155" s="140">
        <f t="shared" si="479"/>
        <v>-97.019444444444446</v>
      </c>
      <c r="AV155" s="140">
        <f t="shared" si="479"/>
        <v>-96.519444444444446</v>
      </c>
      <c r="AW155" s="140">
        <f t="shared" si="479"/>
        <v>-96.019444444444446</v>
      </c>
      <c r="AX155" s="140">
        <f t="shared" si="479"/>
        <v>-95.519444444444446</v>
      </c>
      <c r="AY155" s="140">
        <f t="shared" si="479"/>
        <v>-95.022222222222226</v>
      </c>
      <c r="AZ155" s="140">
        <f t="shared" si="479"/>
        <v>-94.522222222222226</v>
      </c>
      <c r="BA155" s="140">
        <f t="shared" si="479"/>
        <v>-94.022222222222226</v>
      </c>
      <c r="BB155" s="140">
        <f t="shared" si="479"/>
        <v>-93.522222222222226</v>
      </c>
      <c r="BC155" s="140">
        <f t="shared" si="479"/>
        <v>-93.022222222222226</v>
      </c>
      <c r="BD155" s="140">
        <f t="shared" si="479"/>
        <v>-92.522222222222226</v>
      </c>
      <c r="BE155" s="140">
        <f t="shared" si="479"/>
        <v>-92.022222222222226</v>
      </c>
      <c r="BF155" s="140">
        <f t="shared" si="479"/>
        <v>-91.522222222222226</v>
      </c>
      <c r="BG155" s="140">
        <f t="shared" si="479"/>
        <v>-91.025000000000006</v>
      </c>
      <c r="BH155" s="140">
        <f t="shared" si="479"/>
        <v>-90.525000000000006</v>
      </c>
      <c r="BI155" s="140">
        <f t="shared" si="479"/>
        <v>-90.025000000000006</v>
      </c>
      <c r="BJ155" s="140">
        <f t="shared" si="479"/>
        <v>-89.525000000000006</v>
      </c>
      <c r="BK155" s="140">
        <f t="shared" si="479"/>
        <v>-89.025000000000006</v>
      </c>
      <c r="BL155" s="140">
        <f t="shared" si="479"/>
        <v>-88.525000000000006</v>
      </c>
      <c r="BM155" s="140">
        <f t="shared" si="479"/>
        <v>-88.025000000000006</v>
      </c>
      <c r="BN155" s="140">
        <f t="shared" si="479"/>
        <v>-87.525000000000006</v>
      </c>
      <c r="BO155" s="140">
        <f t="shared" ref="BO155:CB155" si="480">BO154/360</f>
        <v>-87.027777777777771</v>
      </c>
      <c r="BP155" s="140">
        <f t="shared" si="480"/>
        <v>-86.527777777777771</v>
      </c>
      <c r="BQ155" s="140">
        <f t="shared" si="480"/>
        <v>-86.027777777777771</v>
      </c>
      <c r="BR155" s="140">
        <f t="shared" si="480"/>
        <v>-85.527777777777771</v>
      </c>
      <c r="BS155" s="140">
        <f t="shared" si="480"/>
        <v>-85.027777777777771</v>
      </c>
      <c r="BT155" s="140">
        <f t="shared" si="480"/>
        <v>-84.527777777777771</v>
      </c>
      <c r="BU155" s="140">
        <f t="shared" si="480"/>
        <v>-84.027777777777771</v>
      </c>
      <c r="BV155" s="140">
        <f t="shared" si="480"/>
        <v>-83.527777777777771</v>
      </c>
      <c r="BW155" s="140">
        <f t="shared" si="480"/>
        <v>-83.030555555555551</v>
      </c>
      <c r="BX155" s="140">
        <f t="shared" si="480"/>
        <v>-82.530555555555551</v>
      </c>
      <c r="BY155" s="140">
        <f t="shared" si="480"/>
        <v>-82.030555555555551</v>
      </c>
      <c r="BZ155" s="140">
        <f t="shared" si="480"/>
        <v>-81.530555555555551</v>
      </c>
      <c r="CA155" s="140">
        <f t="shared" si="480"/>
        <v>-81.030555555555551</v>
      </c>
      <c r="CB155" s="140">
        <f t="shared" si="480"/>
        <v>-80.530555555555551</v>
      </c>
      <c r="CC155" s="17"/>
      <c r="CD155" s="17"/>
      <c r="CE155" s="17"/>
    </row>
    <row r="156" spans="1:201">
      <c r="A156" s="16" t="s">
        <v>43</v>
      </c>
      <c r="B156" s="140">
        <f>IF(B154&lt;0,0,$B$5+$B$6*((1-EXP(-B155/$B$9))/(B155/$B$9))+$B$7*((1-EXP(-B155/$B$9))/(B155/$B$9)-EXP(-B155/$B$9))+$B$8*((1-EXP(-B155/$B$10))/(B155/$B$10)-EXP(-B155/$B$10)))</f>
        <v>0</v>
      </c>
      <c r="C156" s="140">
        <f t="shared" ref="C156:BN156" si="481">IF(C154&lt;0,0,$B$5+$B$6*((1-EXP(-C155/$B$9))/(C155/$B$9))+$B$7*((1-EXP(-C155/$B$9))/(C155/$B$9)-EXP(-C155/$B$9))+$B$8*((1-EXP(-C155/$B$10))/(C155/$B$10)-EXP(-C155/$B$10)))</f>
        <v>0</v>
      </c>
      <c r="D156" s="140">
        <f t="shared" si="481"/>
        <v>0</v>
      </c>
      <c r="E156" s="140">
        <f t="shared" si="481"/>
        <v>0</v>
      </c>
      <c r="F156" s="140">
        <f t="shared" si="481"/>
        <v>0</v>
      </c>
      <c r="G156" s="140">
        <f t="shared" si="481"/>
        <v>0</v>
      </c>
      <c r="H156" s="140">
        <f t="shared" si="481"/>
        <v>0</v>
      </c>
      <c r="I156" s="140">
        <f t="shared" si="481"/>
        <v>0</v>
      </c>
      <c r="J156" s="140">
        <f t="shared" si="481"/>
        <v>0</v>
      </c>
      <c r="K156" s="140">
        <f t="shared" si="481"/>
        <v>0</v>
      </c>
      <c r="L156" s="140">
        <f t="shared" si="481"/>
        <v>0</v>
      </c>
      <c r="M156" s="140">
        <f t="shared" si="481"/>
        <v>0</v>
      </c>
      <c r="N156" s="140">
        <f t="shared" si="481"/>
        <v>0</v>
      </c>
      <c r="O156" s="140">
        <f t="shared" si="481"/>
        <v>0</v>
      </c>
      <c r="P156" s="140">
        <f t="shared" si="481"/>
        <v>0</v>
      </c>
      <c r="Q156" s="140">
        <f t="shared" si="481"/>
        <v>0</v>
      </c>
      <c r="R156" s="140">
        <f t="shared" si="481"/>
        <v>0</v>
      </c>
      <c r="S156" s="140">
        <f t="shared" si="481"/>
        <v>0</v>
      </c>
      <c r="T156" s="140">
        <f t="shared" si="481"/>
        <v>0</v>
      </c>
      <c r="U156" s="140">
        <f t="shared" si="481"/>
        <v>0</v>
      </c>
      <c r="V156" s="140">
        <f t="shared" si="481"/>
        <v>0</v>
      </c>
      <c r="W156" s="140">
        <f t="shared" si="481"/>
        <v>0</v>
      </c>
      <c r="X156" s="140">
        <f t="shared" si="481"/>
        <v>0</v>
      </c>
      <c r="Y156" s="140">
        <f t="shared" si="481"/>
        <v>0</v>
      </c>
      <c r="Z156" s="140">
        <f t="shared" si="481"/>
        <v>0</v>
      </c>
      <c r="AA156" s="140">
        <f t="shared" si="481"/>
        <v>0</v>
      </c>
      <c r="AB156" s="140">
        <f t="shared" si="481"/>
        <v>0</v>
      </c>
      <c r="AC156" s="140">
        <f t="shared" si="481"/>
        <v>0</v>
      </c>
      <c r="AD156" s="140">
        <f t="shared" si="481"/>
        <v>0</v>
      </c>
      <c r="AE156" s="140">
        <f t="shared" si="481"/>
        <v>0</v>
      </c>
      <c r="AF156" s="140">
        <f t="shared" si="481"/>
        <v>0</v>
      </c>
      <c r="AG156" s="140">
        <f t="shared" si="481"/>
        <v>0</v>
      </c>
      <c r="AH156" s="140">
        <f t="shared" si="481"/>
        <v>0</v>
      </c>
      <c r="AI156" s="140">
        <f t="shared" si="481"/>
        <v>0</v>
      </c>
      <c r="AJ156" s="140">
        <f t="shared" si="481"/>
        <v>0</v>
      </c>
      <c r="AK156" s="140">
        <f t="shared" si="481"/>
        <v>0</v>
      </c>
      <c r="AL156" s="140">
        <f t="shared" si="481"/>
        <v>0</v>
      </c>
      <c r="AM156" s="140">
        <f t="shared" si="481"/>
        <v>0</v>
      </c>
      <c r="AN156" s="140">
        <f t="shared" si="481"/>
        <v>0</v>
      </c>
      <c r="AO156" s="140">
        <f t="shared" si="481"/>
        <v>0</v>
      </c>
      <c r="AP156" s="140">
        <f t="shared" si="481"/>
        <v>0</v>
      </c>
      <c r="AQ156" s="140">
        <f t="shared" si="481"/>
        <v>0</v>
      </c>
      <c r="AR156" s="140">
        <f t="shared" si="481"/>
        <v>0</v>
      </c>
      <c r="AS156" s="140">
        <f t="shared" si="481"/>
        <v>0</v>
      </c>
      <c r="AT156" s="140">
        <f t="shared" si="481"/>
        <v>0</v>
      </c>
      <c r="AU156" s="140">
        <f t="shared" si="481"/>
        <v>0</v>
      </c>
      <c r="AV156" s="140">
        <f t="shared" si="481"/>
        <v>0</v>
      </c>
      <c r="AW156" s="140">
        <f t="shared" si="481"/>
        <v>0</v>
      </c>
      <c r="AX156" s="140">
        <f t="shared" si="481"/>
        <v>0</v>
      </c>
      <c r="AY156" s="140">
        <f t="shared" si="481"/>
        <v>0</v>
      </c>
      <c r="AZ156" s="140">
        <f t="shared" si="481"/>
        <v>0</v>
      </c>
      <c r="BA156" s="140">
        <f t="shared" si="481"/>
        <v>0</v>
      </c>
      <c r="BB156" s="140">
        <f t="shared" si="481"/>
        <v>0</v>
      </c>
      <c r="BC156" s="140">
        <f t="shared" si="481"/>
        <v>0</v>
      </c>
      <c r="BD156" s="140">
        <f t="shared" si="481"/>
        <v>0</v>
      </c>
      <c r="BE156" s="140">
        <f t="shared" si="481"/>
        <v>0</v>
      </c>
      <c r="BF156" s="140">
        <f t="shared" si="481"/>
        <v>0</v>
      </c>
      <c r="BG156" s="140">
        <f t="shared" si="481"/>
        <v>0</v>
      </c>
      <c r="BH156" s="140">
        <f t="shared" si="481"/>
        <v>0</v>
      </c>
      <c r="BI156" s="140">
        <f t="shared" si="481"/>
        <v>0</v>
      </c>
      <c r="BJ156" s="140">
        <f t="shared" si="481"/>
        <v>0</v>
      </c>
      <c r="BK156" s="140">
        <f t="shared" si="481"/>
        <v>0</v>
      </c>
      <c r="BL156" s="140">
        <f t="shared" si="481"/>
        <v>0</v>
      </c>
      <c r="BM156" s="140">
        <f t="shared" si="481"/>
        <v>0</v>
      </c>
      <c r="BN156" s="140">
        <f t="shared" si="481"/>
        <v>0</v>
      </c>
      <c r="BO156" s="140">
        <f t="shared" ref="BO156:CB156" si="482">IF(BO154&lt;0,0,$B$5+$B$6*((1-EXP(-BO155/$B$9))/(BO155/$B$9))+$B$7*((1-EXP(-BO155/$B$9))/(BO155/$B$9)-EXP(-BO155/$B$9))+$B$8*((1-EXP(-BO155/$B$10))/(BO155/$B$10)-EXP(-BO155/$B$10)))</f>
        <v>0</v>
      </c>
      <c r="BP156" s="140">
        <f t="shared" si="482"/>
        <v>0</v>
      </c>
      <c r="BQ156" s="140">
        <f t="shared" si="482"/>
        <v>0</v>
      </c>
      <c r="BR156" s="140">
        <f t="shared" si="482"/>
        <v>0</v>
      </c>
      <c r="BS156" s="140">
        <f t="shared" si="482"/>
        <v>0</v>
      </c>
      <c r="BT156" s="140">
        <f t="shared" si="482"/>
        <v>0</v>
      </c>
      <c r="BU156" s="140">
        <f t="shared" si="482"/>
        <v>0</v>
      </c>
      <c r="BV156" s="140">
        <f t="shared" si="482"/>
        <v>0</v>
      </c>
      <c r="BW156" s="140">
        <f t="shared" si="482"/>
        <v>0</v>
      </c>
      <c r="BX156" s="140">
        <f t="shared" si="482"/>
        <v>0</v>
      </c>
      <c r="BY156" s="140">
        <f t="shared" si="482"/>
        <v>0</v>
      </c>
      <c r="BZ156" s="140">
        <f t="shared" si="482"/>
        <v>0</v>
      </c>
      <c r="CA156" s="140">
        <f t="shared" si="482"/>
        <v>0</v>
      </c>
      <c r="CB156" s="140">
        <f t="shared" si="482"/>
        <v>0</v>
      </c>
      <c r="CC156" s="17"/>
      <c r="CD156" s="17"/>
      <c r="CE156" s="17"/>
    </row>
    <row r="157" spans="1:201">
      <c r="A157" s="16" t="s">
        <v>44</v>
      </c>
      <c r="B157" s="140">
        <f>EXP(-B156*B155)</f>
        <v>1</v>
      </c>
      <c r="C157" s="140">
        <f t="shared" ref="C157:AR157" si="483">EXP(-C156*C155)</f>
        <v>1</v>
      </c>
      <c r="D157" s="140">
        <f t="shared" si="483"/>
        <v>1</v>
      </c>
      <c r="E157" s="140">
        <f t="shared" si="483"/>
        <v>1</v>
      </c>
      <c r="F157" s="140">
        <f t="shared" si="483"/>
        <v>1</v>
      </c>
      <c r="G157" s="140">
        <f t="shared" si="483"/>
        <v>1</v>
      </c>
      <c r="H157" s="140">
        <f t="shared" si="483"/>
        <v>1</v>
      </c>
      <c r="I157" s="140">
        <f t="shared" si="483"/>
        <v>1</v>
      </c>
      <c r="J157" s="140">
        <f t="shared" si="483"/>
        <v>1</v>
      </c>
      <c r="K157" s="140">
        <f t="shared" si="483"/>
        <v>1</v>
      </c>
      <c r="L157" s="140">
        <f t="shared" si="483"/>
        <v>1</v>
      </c>
      <c r="M157" s="140">
        <f t="shared" si="483"/>
        <v>1</v>
      </c>
      <c r="N157" s="140">
        <f t="shared" si="483"/>
        <v>1</v>
      </c>
      <c r="O157" s="140">
        <f t="shared" si="483"/>
        <v>1</v>
      </c>
      <c r="P157" s="140">
        <f t="shared" si="483"/>
        <v>1</v>
      </c>
      <c r="Q157" s="140">
        <f t="shared" si="483"/>
        <v>1</v>
      </c>
      <c r="R157" s="140">
        <f t="shared" si="483"/>
        <v>1</v>
      </c>
      <c r="S157" s="140">
        <f t="shared" si="483"/>
        <v>1</v>
      </c>
      <c r="T157" s="140">
        <f t="shared" si="483"/>
        <v>1</v>
      </c>
      <c r="U157" s="140">
        <f t="shared" si="483"/>
        <v>1</v>
      </c>
      <c r="V157" s="140">
        <f t="shared" si="483"/>
        <v>1</v>
      </c>
      <c r="W157" s="140">
        <f t="shared" si="483"/>
        <v>1</v>
      </c>
      <c r="X157" s="140">
        <f t="shared" si="483"/>
        <v>1</v>
      </c>
      <c r="Y157" s="140">
        <f t="shared" si="483"/>
        <v>1</v>
      </c>
      <c r="Z157" s="140">
        <f t="shared" si="483"/>
        <v>1</v>
      </c>
      <c r="AA157" s="140">
        <f t="shared" si="483"/>
        <v>1</v>
      </c>
      <c r="AB157" s="140">
        <f t="shared" si="483"/>
        <v>1</v>
      </c>
      <c r="AC157" s="140">
        <f t="shared" si="483"/>
        <v>1</v>
      </c>
      <c r="AD157" s="140">
        <f t="shared" si="483"/>
        <v>1</v>
      </c>
      <c r="AE157" s="140">
        <f t="shared" si="483"/>
        <v>1</v>
      </c>
      <c r="AF157" s="140">
        <f t="shared" si="483"/>
        <v>1</v>
      </c>
      <c r="AG157" s="140">
        <f t="shared" si="483"/>
        <v>1</v>
      </c>
      <c r="AH157" s="140">
        <f t="shared" si="483"/>
        <v>1</v>
      </c>
      <c r="AI157" s="140">
        <f t="shared" si="483"/>
        <v>1</v>
      </c>
      <c r="AJ157" s="140">
        <f t="shared" si="483"/>
        <v>1</v>
      </c>
      <c r="AK157" s="140">
        <f t="shared" si="483"/>
        <v>1</v>
      </c>
      <c r="AL157" s="140">
        <f t="shared" si="483"/>
        <v>1</v>
      </c>
      <c r="AM157" s="140">
        <f t="shared" si="483"/>
        <v>1</v>
      </c>
      <c r="AN157" s="140">
        <f t="shared" si="483"/>
        <v>1</v>
      </c>
      <c r="AO157" s="140">
        <f t="shared" si="483"/>
        <v>1</v>
      </c>
      <c r="AP157" s="140">
        <f t="shared" si="483"/>
        <v>1</v>
      </c>
      <c r="AQ157" s="140">
        <f t="shared" si="483"/>
        <v>1</v>
      </c>
      <c r="AR157" s="140">
        <f t="shared" si="483"/>
        <v>1</v>
      </c>
      <c r="AS157" s="140">
        <f>EXP(-AS156*AS155)</f>
        <v>1</v>
      </c>
      <c r="AT157" s="140">
        <f t="shared" ref="AT157:CA157" si="484">EXP(-AT156*AT155)</f>
        <v>1</v>
      </c>
      <c r="AU157" s="140">
        <f t="shared" si="484"/>
        <v>1</v>
      </c>
      <c r="AV157" s="140">
        <f t="shared" si="484"/>
        <v>1</v>
      </c>
      <c r="AW157" s="140">
        <f t="shared" si="484"/>
        <v>1</v>
      </c>
      <c r="AX157" s="140">
        <f t="shared" si="484"/>
        <v>1</v>
      </c>
      <c r="AY157" s="140">
        <f t="shared" si="484"/>
        <v>1</v>
      </c>
      <c r="AZ157" s="140">
        <f t="shared" si="484"/>
        <v>1</v>
      </c>
      <c r="BA157" s="140">
        <f t="shared" si="484"/>
        <v>1</v>
      </c>
      <c r="BB157" s="140">
        <f t="shared" si="484"/>
        <v>1</v>
      </c>
      <c r="BC157" s="140">
        <f t="shared" si="484"/>
        <v>1</v>
      </c>
      <c r="BD157" s="140">
        <f t="shared" si="484"/>
        <v>1</v>
      </c>
      <c r="BE157" s="140">
        <f t="shared" si="484"/>
        <v>1</v>
      </c>
      <c r="BF157" s="140">
        <f t="shared" si="484"/>
        <v>1</v>
      </c>
      <c r="BG157" s="140">
        <f t="shared" si="484"/>
        <v>1</v>
      </c>
      <c r="BH157" s="140">
        <f t="shared" si="484"/>
        <v>1</v>
      </c>
      <c r="BI157" s="140">
        <f t="shared" si="484"/>
        <v>1</v>
      </c>
      <c r="BJ157" s="140">
        <f t="shared" si="484"/>
        <v>1</v>
      </c>
      <c r="BK157" s="140">
        <f t="shared" si="484"/>
        <v>1</v>
      </c>
      <c r="BL157" s="140">
        <f t="shared" si="484"/>
        <v>1</v>
      </c>
      <c r="BM157" s="140">
        <f t="shared" si="484"/>
        <v>1</v>
      </c>
      <c r="BN157" s="140">
        <f t="shared" si="484"/>
        <v>1</v>
      </c>
      <c r="BO157" s="140">
        <f t="shared" si="484"/>
        <v>1</v>
      </c>
      <c r="BP157" s="140">
        <f t="shared" si="484"/>
        <v>1</v>
      </c>
      <c r="BQ157" s="140">
        <f t="shared" si="484"/>
        <v>1</v>
      </c>
      <c r="BR157" s="140">
        <f t="shared" si="484"/>
        <v>1</v>
      </c>
      <c r="BS157" s="140">
        <f t="shared" si="484"/>
        <v>1</v>
      </c>
      <c r="BT157" s="140">
        <f t="shared" si="484"/>
        <v>1</v>
      </c>
      <c r="BU157" s="140">
        <f t="shared" si="484"/>
        <v>1</v>
      </c>
      <c r="BV157" s="140">
        <f t="shared" si="484"/>
        <v>1</v>
      </c>
      <c r="BW157" s="140">
        <f t="shared" si="484"/>
        <v>1</v>
      </c>
      <c r="BX157" s="140">
        <f t="shared" si="484"/>
        <v>1</v>
      </c>
      <c r="BY157" s="140">
        <f t="shared" si="484"/>
        <v>1</v>
      </c>
      <c r="BZ157" s="140">
        <f t="shared" si="484"/>
        <v>1</v>
      </c>
      <c r="CA157" s="140">
        <f t="shared" si="484"/>
        <v>1</v>
      </c>
      <c r="CB157" s="140">
        <f>EXP(-CB156*CB155)</f>
        <v>1</v>
      </c>
      <c r="CC157" s="17"/>
      <c r="CD157" s="17"/>
      <c r="CE157" s="17"/>
    </row>
    <row r="158" spans="1:201">
      <c r="A158" s="17"/>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17"/>
      <c r="CD158" s="17"/>
      <c r="CE158" s="17"/>
    </row>
    <row r="159" spans="1:201">
      <c r="A159" s="16" t="s">
        <v>40</v>
      </c>
      <c r="B159" s="140">
        <f t="shared" ref="B159:BM159" si="485">DAYS360($B$3,B60)</f>
        <v>-43022</v>
      </c>
      <c r="C159" s="140">
        <f t="shared" si="485"/>
        <v>-42842</v>
      </c>
      <c r="D159" s="140">
        <f t="shared" si="485"/>
        <v>-42662</v>
      </c>
      <c r="E159" s="140">
        <f t="shared" si="485"/>
        <v>-42482</v>
      </c>
      <c r="F159" s="140">
        <f t="shared" si="485"/>
        <v>-42302</v>
      </c>
      <c r="G159" s="140">
        <f t="shared" si="485"/>
        <v>-42122</v>
      </c>
      <c r="H159" s="140">
        <f t="shared" si="485"/>
        <v>-41942</v>
      </c>
      <c r="I159" s="140">
        <f t="shared" si="485"/>
        <v>-41762</v>
      </c>
      <c r="J159" s="140">
        <f t="shared" si="485"/>
        <v>-41582</v>
      </c>
      <c r="K159" s="140">
        <f t="shared" si="485"/>
        <v>-41403</v>
      </c>
      <c r="L159" s="140">
        <f t="shared" si="485"/>
        <v>-41223</v>
      </c>
      <c r="M159" s="140">
        <f t="shared" si="485"/>
        <v>-41043</v>
      </c>
      <c r="N159" s="140">
        <f t="shared" si="485"/>
        <v>-40863</v>
      </c>
      <c r="O159" s="140">
        <f t="shared" si="485"/>
        <v>-40683</v>
      </c>
      <c r="P159" s="140">
        <f t="shared" si="485"/>
        <v>-40503</v>
      </c>
      <c r="Q159" s="140">
        <f t="shared" si="485"/>
        <v>-40323</v>
      </c>
      <c r="R159" s="140">
        <f t="shared" si="485"/>
        <v>-40143</v>
      </c>
      <c r="S159" s="140">
        <f t="shared" si="485"/>
        <v>-39964</v>
      </c>
      <c r="T159" s="140">
        <f t="shared" si="485"/>
        <v>-39784</v>
      </c>
      <c r="U159" s="140">
        <f t="shared" si="485"/>
        <v>-39604</v>
      </c>
      <c r="V159" s="140">
        <f t="shared" si="485"/>
        <v>-39424</v>
      </c>
      <c r="W159" s="140">
        <f t="shared" si="485"/>
        <v>-39244</v>
      </c>
      <c r="X159" s="140">
        <f t="shared" si="485"/>
        <v>-39064</v>
      </c>
      <c r="Y159" s="140">
        <f t="shared" si="485"/>
        <v>-38884</v>
      </c>
      <c r="Z159" s="140">
        <f t="shared" si="485"/>
        <v>-38704</v>
      </c>
      <c r="AA159" s="140">
        <f t="shared" si="485"/>
        <v>-38525</v>
      </c>
      <c r="AB159" s="140">
        <f t="shared" si="485"/>
        <v>-38345</v>
      </c>
      <c r="AC159" s="140">
        <f t="shared" si="485"/>
        <v>-38165</v>
      </c>
      <c r="AD159" s="140">
        <f t="shared" si="485"/>
        <v>-37985</v>
      </c>
      <c r="AE159" s="140">
        <f t="shared" si="485"/>
        <v>-37805</v>
      </c>
      <c r="AF159" s="140">
        <f t="shared" si="485"/>
        <v>-37625</v>
      </c>
      <c r="AG159" s="140">
        <f t="shared" si="485"/>
        <v>-37445</v>
      </c>
      <c r="AH159" s="140">
        <f t="shared" si="485"/>
        <v>-37265</v>
      </c>
      <c r="AI159" s="140">
        <f t="shared" si="485"/>
        <v>-37086</v>
      </c>
      <c r="AJ159" s="140">
        <f t="shared" si="485"/>
        <v>-36906</v>
      </c>
      <c r="AK159" s="140">
        <f t="shared" si="485"/>
        <v>-36726</v>
      </c>
      <c r="AL159" s="140">
        <f t="shared" si="485"/>
        <v>-36546</v>
      </c>
      <c r="AM159" s="140">
        <f t="shared" si="485"/>
        <v>-36366</v>
      </c>
      <c r="AN159" s="140">
        <f t="shared" si="485"/>
        <v>-36186</v>
      </c>
      <c r="AO159" s="140">
        <f t="shared" si="485"/>
        <v>-36006</v>
      </c>
      <c r="AP159" s="140">
        <f t="shared" si="485"/>
        <v>-35826</v>
      </c>
      <c r="AQ159" s="140">
        <f t="shared" si="485"/>
        <v>-35647</v>
      </c>
      <c r="AR159" s="140">
        <f t="shared" si="485"/>
        <v>-35467</v>
      </c>
      <c r="AS159" s="140">
        <f t="shared" si="485"/>
        <v>-35287</v>
      </c>
      <c r="AT159" s="140">
        <f t="shared" si="485"/>
        <v>-35107</v>
      </c>
      <c r="AU159" s="140">
        <f t="shared" si="485"/>
        <v>-34927</v>
      </c>
      <c r="AV159" s="140">
        <f t="shared" si="485"/>
        <v>-34747</v>
      </c>
      <c r="AW159" s="140">
        <f t="shared" si="485"/>
        <v>-34567</v>
      </c>
      <c r="AX159" s="140">
        <f t="shared" si="485"/>
        <v>-34387</v>
      </c>
      <c r="AY159" s="140">
        <f t="shared" si="485"/>
        <v>-34208</v>
      </c>
      <c r="AZ159" s="140">
        <f t="shared" si="485"/>
        <v>-34028</v>
      </c>
      <c r="BA159" s="140">
        <f t="shared" si="485"/>
        <v>-33848</v>
      </c>
      <c r="BB159" s="140">
        <f t="shared" si="485"/>
        <v>-33668</v>
      </c>
      <c r="BC159" s="140">
        <f t="shared" si="485"/>
        <v>-33488</v>
      </c>
      <c r="BD159" s="140">
        <f t="shared" si="485"/>
        <v>-33308</v>
      </c>
      <c r="BE159" s="140">
        <f t="shared" si="485"/>
        <v>-33128</v>
      </c>
      <c r="BF159" s="140">
        <f t="shared" si="485"/>
        <v>-32948</v>
      </c>
      <c r="BG159" s="140">
        <f t="shared" si="485"/>
        <v>-32769</v>
      </c>
      <c r="BH159" s="140">
        <f t="shared" si="485"/>
        <v>-32589</v>
      </c>
      <c r="BI159" s="140">
        <f t="shared" si="485"/>
        <v>-32409</v>
      </c>
      <c r="BJ159" s="140">
        <f t="shared" si="485"/>
        <v>-32229</v>
      </c>
      <c r="BK159" s="140">
        <f t="shared" si="485"/>
        <v>-32049</v>
      </c>
      <c r="BL159" s="140">
        <f t="shared" si="485"/>
        <v>-31869</v>
      </c>
      <c r="BM159" s="140">
        <f t="shared" si="485"/>
        <v>-31689</v>
      </c>
      <c r="BN159" s="140">
        <f t="shared" ref="BN159:CB159" si="486">DAYS360($B$3,BN60)</f>
        <v>-31509</v>
      </c>
      <c r="BO159" s="140">
        <f t="shared" si="486"/>
        <v>-31330</v>
      </c>
      <c r="BP159" s="140">
        <f t="shared" si="486"/>
        <v>-31150</v>
      </c>
      <c r="BQ159" s="140">
        <f t="shared" si="486"/>
        <v>-30970</v>
      </c>
      <c r="BR159" s="140">
        <f t="shared" si="486"/>
        <v>-30790</v>
      </c>
      <c r="BS159" s="140">
        <f t="shared" si="486"/>
        <v>-30610</v>
      </c>
      <c r="BT159" s="140">
        <f t="shared" si="486"/>
        <v>-30430</v>
      </c>
      <c r="BU159" s="140">
        <f t="shared" si="486"/>
        <v>-30250</v>
      </c>
      <c r="BV159" s="140">
        <f t="shared" si="486"/>
        <v>-30070</v>
      </c>
      <c r="BW159" s="140">
        <f t="shared" si="486"/>
        <v>-29891</v>
      </c>
      <c r="BX159" s="140">
        <f t="shared" si="486"/>
        <v>-29711</v>
      </c>
      <c r="BY159" s="140">
        <f t="shared" si="486"/>
        <v>-29531</v>
      </c>
      <c r="BZ159" s="140">
        <f t="shared" si="486"/>
        <v>-29351</v>
      </c>
      <c r="CA159" s="140">
        <f t="shared" si="486"/>
        <v>-29171</v>
      </c>
      <c r="CB159" s="140">
        <f t="shared" si="486"/>
        <v>-28991</v>
      </c>
      <c r="CC159" s="17"/>
      <c r="CD159" s="17"/>
      <c r="CE159" s="17"/>
    </row>
    <row r="160" spans="1:201">
      <c r="A160" s="16" t="s">
        <v>41</v>
      </c>
      <c r="B160" s="140">
        <f>B159/360</f>
        <v>-119.50555555555556</v>
      </c>
      <c r="C160" s="140">
        <f t="shared" ref="C160:BN160" si="487">C159/360</f>
        <v>-119.00555555555556</v>
      </c>
      <c r="D160" s="140">
        <f t="shared" si="487"/>
        <v>-118.50555555555556</v>
      </c>
      <c r="E160" s="140">
        <f t="shared" si="487"/>
        <v>-118.00555555555556</v>
      </c>
      <c r="F160" s="140">
        <f t="shared" si="487"/>
        <v>-117.50555555555556</v>
      </c>
      <c r="G160" s="140">
        <f t="shared" si="487"/>
        <v>-117.00555555555556</v>
      </c>
      <c r="H160" s="140">
        <f t="shared" si="487"/>
        <v>-116.50555555555556</v>
      </c>
      <c r="I160" s="140">
        <f t="shared" si="487"/>
        <v>-116.00555555555556</v>
      </c>
      <c r="J160" s="140">
        <f t="shared" si="487"/>
        <v>-115.50555555555556</v>
      </c>
      <c r="K160" s="140">
        <f t="shared" si="487"/>
        <v>-115.00833333333334</v>
      </c>
      <c r="L160" s="140">
        <f t="shared" si="487"/>
        <v>-114.50833333333334</v>
      </c>
      <c r="M160" s="140">
        <f t="shared" si="487"/>
        <v>-114.00833333333334</v>
      </c>
      <c r="N160" s="140">
        <f t="shared" si="487"/>
        <v>-113.50833333333334</v>
      </c>
      <c r="O160" s="140">
        <f t="shared" si="487"/>
        <v>-113.00833333333334</v>
      </c>
      <c r="P160" s="140">
        <f t="shared" si="487"/>
        <v>-112.50833333333334</v>
      </c>
      <c r="Q160" s="140">
        <f t="shared" si="487"/>
        <v>-112.00833333333334</v>
      </c>
      <c r="R160" s="140">
        <f t="shared" si="487"/>
        <v>-111.50833333333334</v>
      </c>
      <c r="S160" s="140">
        <f t="shared" si="487"/>
        <v>-111.01111111111111</v>
      </c>
      <c r="T160" s="140">
        <f t="shared" si="487"/>
        <v>-110.51111111111111</v>
      </c>
      <c r="U160" s="140">
        <f t="shared" si="487"/>
        <v>-110.01111111111111</v>
      </c>
      <c r="V160" s="140">
        <f t="shared" si="487"/>
        <v>-109.51111111111111</v>
      </c>
      <c r="W160" s="140">
        <f t="shared" si="487"/>
        <v>-109.01111111111111</v>
      </c>
      <c r="X160" s="140">
        <f t="shared" si="487"/>
        <v>-108.51111111111111</v>
      </c>
      <c r="Y160" s="140">
        <f t="shared" si="487"/>
        <v>-108.01111111111111</v>
      </c>
      <c r="Z160" s="140">
        <f t="shared" si="487"/>
        <v>-107.51111111111111</v>
      </c>
      <c r="AA160" s="140">
        <f t="shared" si="487"/>
        <v>-107.01388888888889</v>
      </c>
      <c r="AB160" s="140">
        <f t="shared" si="487"/>
        <v>-106.51388888888889</v>
      </c>
      <c r="AC160" s="140">
        <f t="shared" si="487"/>
        <v>-106.01388888888889</v>
      </c>
      <c r="AD160" s="140">
        <f t="shared" si="487"/>
        <v>-105.51388888888889</v>
      </c>
      <c r="AE160" s="140">
        <f t="shared" si="487"/>
        <v>-105.01388888888889</v>
      </c>
      <c r="AF160" s="140">
        <f t="shared" si="487"/>
        <v>-104.51388888888889</v>
      </c>
      <c r="AG160" s="140">
        <f t="shared" si="487"/>
        <v>-104.01388888888889</v>
      </c>
      <c r="AH160" s="140">
        <f t="shared" si="487"/>
        <v>-103.51388888888889</v>
      </c>
      <c r="AI160" s="140">
        <f t="shared" si="487"/>
        <v>-103.01666666666667</v>
      </c>
      <c r="AJ160" s="140">
        <f t="shared" si="487"/>
        <v>-102.51666666666667</v>
      </c>
      <c r="AK160" s="140">
        <f t="shared" si="487"/>
        <v>-102.01666666666667</v>
      </c>
      <c r="AL160" s="140">
        <f t="shared" si="487"/>
        <v>-101.51666666666667</v>
      </c>
      <c r="AM160" s="140">
        <f t="shared" si="487"/>
        <v>-101.01666666666667</v>
      </c>
      <c r="AN160" s="140">
        <f t="shared" si="487"/>
        <v>-100.51666666666667</v>
      </c>
      <c r="AO160" s="140">
        <f t="shared" si="487"/>
        <v>-100.01666666666667</v>
      </c>
      <c r="AP160" s="140">
        <f t="shared" si="487"/>
        <v>-99.516666666666666</v>
      </c>
      <c r="AQ160" s="140">
        <f t="shared" si="487"/>
        <v>-99.019444444444446</v>
      </c>
      <c r="AR160" s="140">
        <f t="shared" si="487"/>
        <v>-98.519444444444446</v>
      </c>
      <c r="AS160" s="140">
        <f t="shared" si="487"/>
        <v>-98.019444444444446</v>
      </c>
      <c r="AT160" s="140">
        <f t="shared" si="487"/>
        <v>-97.519444444444446</v>
      </c>
      <c r="AU160" s="140">
        <f t="shared" si="487"/>
        <v>-97.019444444444446</v>
      </c>
      <c r="AV160" s="140">
        <f t="shared" si="487"/>
        <v>-96.519444444444446</v>
      </c>
      <c r="AW160" s="140">
        <f t="shared" si="487"/>
        <v>-96.019444444444446</v>
      </c>
      <c r="AX160" s="140">
        <f t="shared" si="487"/>
        <v>-95.519444444444446</v>
      </c>
      <c r="AY160" s="140">
        <f t="shared" si="487"/>
        <v>-95.022222222222226</v>
      </c>
      <c r="AZ160" s="140">
        <f t="shared" si="487"/>
        <v>-94.522222222222226</v>
      </c>
      <c r="BA160" s="140">
        <f t="shared" si="487"/>
        <v>-94.022222222222226</v>
      </c>
      <c r="BB160" s="140">
        <f t="shared" si="487"/>
        <v>-93.522222222222226</v>
      </c>
      <c r="BC160" s="140">
        <f t="shared" si="487"/>
        <v>-93.022222222222226</v>
      </c>
      <c r="BD160" s="140">
        <f t="shared" si="487"/>
        <v>-92.522222222222226</v>
      </c>
      <c r="BE160" s="140">
        <f t="shared" si="487"/>
        <v>-92.022222222222226</v>
      </c>
      <c r="BF160" s="140">
        <f t="shared" si="487"/>
        <v>-91.522222222222226</v>
      </c>
      <c r="BG160" s="140">
        <f t="shared" si="487"/>
        <v>-91.025000000000006</v>
      </c>
      <c r="BH160" s="140">
        <f t="shared" si="487"/>
        <v>-90.525000000000006</v>
      </c>
      <c r="BI160" s="140">
        <f t="shared" si="487"/>
        <v>-90.025000000000006</v>
      </c>
      <c r="BJ160" s="140">
        <f t="shared" si="487"/>
        <v>-89.525000000000006</v>
      </c>
      <c r="BK160" s="140">
        <f t="shared" si="487"/>
        <v>-89.025000000000006</v>
      </c>
      <c r="BL160" s="140">
        <f t="shared" si="487"/>
        <v>-88.525000000000006</v>
      </c>
      <c r="BM160" s="140">
        <f t="shared" si="487"/>
        <v>-88.025000000000006</v>
      </c>
      <c r="BN160" s="140">
        <f t="shared" si="487"/>
        <v>-87.525000000000006</v>
      </c>
      <c r="BO160" s="140">
        <f t="shared" ref="BO160:CB160" si="488">BO159/360</f>
        <v>-87.027777777777771</v>
      </c>
      <c r="BP160" s="140">
        <f t="shared" si="488"/>
        <v>-86.527777777777771</v>
      </c>
      <c r="BQ160" s="140">
        <f t="shared" si="488"/>
        <v>-86.027777777777771</v>
      </c>
      <c r="BR160" s="140">
        <f t="shared" si="488"/>
        <v>-85.527777777777771</v>
      </c>
      <c r="BS160" s="140">
        <f t="shared" si="488"/>
        <v>-85.027777777777771</v>
      </c>
      <c r="BT160" s="140">
        <f t="shared" si="488"/>
        <v>-84.527777777777771</v>
      </c>
      <c r="BU160" s="140">
        <f t="shared" si="488"/>
        <v>-84.027777777777771</v>
      </c>
      <c r="BV160" s="140">
        <f t="shared" si="488"/>
        <v>-83.527777777777771</v>
      </c>
      <c r="BW160" s="140">
        <f t="shared" si="488"/>
        <v>-83.030555555555551</v>
      </c>
      <c r="BX160" s="140">
        <f t="shared" si="488"/>
        <v>-82.530555555555551</v>
      </c>
      <c r="BY160" s="140">
        <f t="shared" si="488"/>
        <v>-82.030555555555551</v>
      </c>
      <c r="BZ160" s="140">
        <f t="shared" si="488"/>
        <v>-81.530555555555551</v>
      </c>
      <c r="CA160" s="140">
        <f t="shared" si="488"/>
        <v>-81.030555555555551</v>
      </c>
      <c r="CB160" s="140">
        <f t="shared" si="488"/>
        <v>-80.530555555555551</v>
      </c>
      <c r="CC160" s="17"/>
      <c r="CD160" s="17"/>
      <c r="CE160" s="17"/>
    </row>
    <row r="161" spans="1:83">
      <c r="A161" s="16" t="s">
        <v>43</v>
      </c>
      <c r="B161" s="140">
        <f>IF(B159&lt;0,0,$B$5+$B$6*((1-EXP(-B160/$B$9))/(B160/$B$9))+$B$7*((1-EXP(-B160/$B$9))/(B160/$B$9)-EXP(-B160/$B$9))+$B$8*((1-EXP(-B160/$B$10))/(B160/$B$10)-EXP(-B160/$B$10)))</f>
        <v>0</v>
      </c>
      <c r="C161" s="140">
        <f t="shared" ref="C161:BN161" si="489">IF(C159&lt;0,0,$B$5+$B$6*((1-EXP(-C160/$B$9))/(C160/$B$9))+$B$7*((1-EXP(-C160/$B$9))/(C160/$B$9)-EXP(-C160/$B$9))+$B$8*((1-EXP(-C160/$B$10))/(C160/$B$10)-EXP(-C160/$B$10)))</f>
        <v>0</v>
      </c>
      <c r="D161" s="140">
        <f t="shared" si="489"/>
        <v>0</v>
      </c>
      <c r="E161" s="140">
        <f t="shared" si="489"/>
        <v>0</v>
      </c>
      <c r="F161" s="140">
        <f t="shared" si="489"/>
        <v>0</v>
      </c>
      <c r="G161" s="140">
        <f t="shared" si="489"/>
        <v>0</v>
      </c>
      <c r="H161" s="140">
        <f t="shared" si="489"/>
        <v>0</v>
      </c>
      <c r="I161" s="140">
        <f t="shared" si="489"/>
        <v>0</v>
      </c>
      <c r="J161" s="140">
        <f t="shared" si="489"/>
        <v>0</v>
      </c>
      <c r="K161" s="140">
        <f t="shared" si="489"/>
        <v>0</v>
      </c>
      <c r="L161" s="140">
        <f t="shared" si="489"/>
        <v>0</v>
      </c>
      <c r="M161" s="140">
        <f t="shared" si="489"/>
        <v>0</v>
      </c>
      <c r="N161" s="140">
        <f t="shared" si="489"/>
        <v>0</v>
      </c>
      <c r="O161" s="140">
        <f t="shared" si="489"/>
        <v>0</v>
      </c>
      <c r="P161" s="140">
        <f t="shared" si="489"/>
        <v>0</v>
      </c>
      <c r="Q161" s="140">
        <f t="shared" si="489"/>
        <v>0</v>
      </c>
      <c r="R161" s="140">
        <f t="shared" si="489"/>
        <v>0</v>
      </c>
      <c r="S161" s="140">
        <f t="shared" si="489"/>
        <v>0</v>
      </c>
      <c r="T161" s="140">
        <f t="shared" si="489"/>
        <v>0</v>
      </c>
      <c r="U161" s="140">
        <f t="shared" si="489"/>
        <v>0</v>
      </c>
      <c r="V161" s="140">
        <f t="shared" si="489"/>
        <v>0</v>
      </c>
      <c r="W161" s="140">
        <f t="shared" si="489"/>
        <v>0</v>
      </c>
      <c r="X161" s="140">
        <f t="shared" si="489"/>
        <v>0</v>
      </c>
      <c r="Y161" s="140">
        <f t="shared" si="489"/>
        <v>0</v>
      </c>
      <c r="Z161" s="140">
        <f t="shared" si="489"/>
        <v>0</v>
      </c>
      <c r="AA161" s="140">
        <f t="shared" si="489"/>
        <v>0</v>
      </c>
      <c r="AB161" s="140">
        <f t="shared" si="489"/>
        <v>0</v>
      </c>
      <c r="AC161" s="140">
        <f t="shared" si="489"/>
        <v>0</v>
      </c>
      <c r="AD161" s="140">
        <f t="shared" si="489"/>
        <v>0</v>
      </c>
      <c r="AE161" s="140">
        <f t="shared" si="489"/>
        <v>0</v>
      </c>
      <c r="AF161" s="140">
        <f t="shared" si="489"/>
        <v>0</v>
      </c>
      <c r="AG161" s="140">
        <f t="shared" si="489"/>
        <v>0</v>
      </c>
      <c r="AH161" s="140">
        <f t="shared" si="489"/>
        <v>0</v>
      </c>
      <c r="AI161" s="140">
        <f t="shared" si="489"/>
        <v>0</v>
      </c>
      <c r="AJ161" s="140">
        <f t="shared" si="489"/>
        <v>0</v>
      </c>
      <c r="AK161" s="140">
        <f t="shared" si="489"/>
        <v>0</v>
      </c>
      <c r="AL161" s="140">
        <f t="shared" si="489"/>
        <v>0</v>
      </c>
      <c r="AM161" s="140">
        <f t="shared" si="489"/>
        <v>0</v>
      </c>
      <c r="AN161" s="140">
        <f t="shared" si="489"/>
        <v>0</v>
      </c>
      <c r="AO161" s="140">
        <f t="shared" si="489"/>
        <v>0</v>
      </c>
      <c r="AP161" s="140">
        <f t="shared" si="489"/>
        <v>0</v>
      </c>
      <c r="AQ161" s="140">
        <f t="shared" si="489"/>
        <v>0</v>
      </c>
      <c r="AR161" s="140">
        <f t="shared" si="489"/>
        <v>0</v>
      </c>
      <c r="AS161" s="140">
        <f t="shared" si="489"/>
        <v>0</v>
      </c>
      <c r="AT161" s="140">
        <f t="shared" si="489"/>
        <v>0</v>
      </c>
      <c r="AU161" s="140">
        <f t="shared" si="489"/>
        <v>0</v>
      </c>
      <c r="AV161" s="140">
        <f t="shared" si="489"/>
        <v>0</v>
      </c>
      <c r="AW161" s="140">
        <f t="shared" si="489"/>
        <v>0</v>
      </c>
      <c r="AX161" s="140">
        <f t="shared" si="489"/>
        <v>0</v>
      </c>
      <c r="AY161" s="140">
        <f t="shared" si="489"/>
        <v>0</v>
      </c>
      <c r="AZ161" s="140">
        <f t="shared" si="489"/>
        <v>0</v>
      </c>
      <c r="BA161" s="140">
        <f t="shared" si="489"/>
        <v>0</v>
      </c>
      <c r="BB161" s="140">
        <f t="shared" si="489"/>
        <v>0</v>
      </c>
      <c r="BC161" s="140">
        <f t="shared" si="489"/>
        <v>0</v>
      </c>
      <c r="BD161" s="140">
        <f t="shared" si="489"/>
        <v>0</v>
      </c>
      <c r="BE161" s="140">
        <f t="shared" si="489"/>
        <v>0</v>
      </c>
      <c r="BF161" s="140">
        <f t="shared" si="489"/>
        <v>0</v>
      </c>
      <c r="BG161" s="140">
        <f t="shared" si="489"/>
        <v>0</v>
      </c>
      <c r="BH161" s="140">
        <f t="shared" si="489"/>
        <v>0</v>
      </c>
      <c r="BI161" s="140">
        <f t="shared" si="489"/>
        <v>0</v>
      </c>
      <c r="BJ161" s="140">
        <f t="shared" si="489"/>
        <v>0</v>
      </c>
      <c r="BK161" s="140">
        <f t="shared" si="489"/>
        <v>0</v>
      </c>
      <c r="BL161" s="140">
        <f t="shared" si="489"/>
        <v>0</v>
      </c>
      <c r="BM161" s="140">
        <f t="shared" si="489"/>
        <v>0</v>
      </c>
      <c r="BN161" s="140">
        <f t="shared" si="489"/>
        <v>0</v>
      </c>
      <c r="BO161" s="140">
        <f t="shared" ref="BO161:CB161" si="490">IF(BO159&lt;0,0,$B$5+$B$6*((1-EXP(-BO160/$B$9))/(BO160/$B$9))+$B$7*((1-EXP(-BO160/$B$9))/(BO160/$B$9)-EXP(-BO160/$B$9))+$B$8*((1-EXP(-BO160/$B$10))/(BO160/$B$10)-EXP(-BO160/$B$10)))</f>
        <v>0</v>
      </c>
      <c r="BP161" s="140">
        <f t="shared" si="490"/>
        <v>0</v>
      </c>
      <c r="BQ161" s="140">
        <f t="shared" si="490"/>
        <v>0</v>
      </c>
      <c r="BR161" s="140">
        <f t="shared" si="490"/>
        <v>0</v>
      </c>
      <c r="BS161" s="140">
        <f t="shared" si="490"/>
        <v>0</v>
      </c>
      <c r="BT161" s="140">
        <f t="shared" si="490"/>
        <v>0</v>
      </c>
      <c r="BU161" s="140">
        <f t="shared" si="490"/>
        <v>0</v>
      </c>
      <c r="BV161" s="140">
        <f t="shared" si="490"/>
        <v>0</v>
      </c>
      <c r="BW161" s="140">
        <f t="shared" si="490"/>
        <v>0</v>
      </c>
      <c r="BX161" s="140">
        <f t="shared" si="490"/>
        <v>0</v>
      </c>
      <c r="BY161" s="140">
        <f t="shared" si="490"/>
        <v>0</v>
      </c>
      <c r="BZ161" s="140">
        <f t="shared" si="490"/>
        <v>0</v>
      </c>
      <c r="CA161" s="140">
        <f t="shared" si="490"/>
        <v>0</v>
      </c>
      <c r="CB161" s="140">
        <f t="shared" si="490"/>
        <v>0</v>
      </c>
      <c r="CC161" s="17"/>
      <c r="CD161" s="17"/>
      <c r="CE161" s="17"/>
    </row>
    <row r="162" spans="1:83">
      <c r="A162" s="16" t="s">
        <v>44</v>
      </c>
      <c r="B162" s="140">
        <f>EXP(-B161*B160)</f>
        <v>1</v>
      </c>
      <c r="C162" s="140">
        <f t="shared" ref="C162:AR162" si="491">EXP(-C161*C160)</f>
        <v>1</v>
      </c>
      <c r="D162" s="140">
        <f t="shared" si="491"/>
        <v>1</v>
      </c>
      <c r="E162" s="140">
        <f t="shared" si="491"/>
        <v>1</v>
      </c>
      <c r="F162" s="140">
        <f t="shared" si="491"/>
        <v>1</v>
      </c>
      <c r="G162" s="140">
        <f t="shared" si="491"/>
        <v>1</v>
      </c>
      <c r="H162" s="140">
        <f t="shared" si="491"/>
        <v>1</v>
      </c>
      <c r="I162" s="140">
        <f t="shared" si="491"/>
        <v>1</v>
      </c>
      <c r="J162" s="140">
        <f t="shared" si="491"/>
        <v>1</v>
      </c>
      <c r="K162" s="140">
        <f t="shared" si="491"/>
        <v>1</v>
      </c>
      <c r="L162" s="140">
        <f t="shared" si="491"/>
        <v>1</v>
      </c>
      <c r="M162" s="140">
        <f t="shared" si="491"/>
        <v>1</v>
      </c>
      <c r="N162" s="140">
        <f t="shared" si="491"/>
        <v>1</v>
      </c>
      <c r="O162" s="140">
        <f t="shared" si="491"/>
        <v>1</v>
      </c>
      <c r="P162" s="140">
        <f t="shared" si="491"/>
        <v>1</v>
      </c>
      <c r="Q162" s="140">
        <f t="shared" si="491"/>
        <v>1</v>
      </c>
      <c r="R162" s="140">
        <f t="shared" si="491"/>
        <v>1</v>
      </c>
      <c r="S162" s="140">
        <f t="shared" si="491"/>
        <v>1</v>
      </c>
      <c r="T162" s="140">
        <f t="shared" si="491"/>
        <v>1</v>
      </c>
      <c r="U162" s="140">
        <f t="shared" si="491"/>
        <v>1</v>
      </c>
      <c r="V162" s="140">
        <f t="shared" si="491"/>
        <v>1</v>
      </c>
      <c r="W162" s="140">
        <f t="shared" si="491"/>
        <v>1</v>
      </c>
      <c r="X162" s="140">
        <f t="shared" si="491"/>
        <v>1</v>
      </c>
      <c r="Y162" s="140">
        <f t="shared" si="491"/>
        <v>1</v>
      </c>
      <c r="Z162" s="140">
        <f t="shared" si="491"/>
        <v>1</v>
      </c>
      <c r="AA162" s="140">
        <f t="shared" si="491"/>
        <v>1</v>
      </c>
      <c r="AB162" s="140">
        <f t="shared" si="491"/>
        <v>1</v>
      </c>
      <c r="AC162" s="140">
        <f t="shared" si="491"/>
        <v>1</v>
      </c>
      <c r="AD162" s="140">
        <f t="shared" si="491"/>
        <v>1</v>
      </c>
      <c r="AE162" s="140">
        <f t="shared" si="491"/>
        <v>1</v>
      </c>
      <c r="AF162" s="140">
        <f t="shared" si="491"/>
        <v>1</v>
      </c>
      <c r="AG162" s="140">
        <f t="shared" si="491"/>
        <v>1</v>
      </c>
      <c r="AH162" s="140">
        <f t="shared" si="491"/>
        <v>1</v>
      </c>
      <c r="AI162" s="140">
        <f t="shared" si="491"/>
        <v>1</v>
      </c>
      <c r="AJ162" s="140">
        <f t="shared" si="491"/>
        <v>1</v>
      </c>
      <c r="AK162" s="140">
        <f t="shared" si="491"/>
        <v>1</v>
      </c>
      <c r="AL162" s="140">
        <f t="shared" si="491"/>
        <v>1</v>
      </c>
      <c r="AM162" s="140">
        <f t="shared" si="491"/>
        <v>1</v>
      </c>
      <c r="AN162" s="140">
        <f t="shared" si="491"/>
        <v>1</v>
      </c>
      <c r="AO162" s="140">
        <f t="shared" si="491"/>
        <v>1</v>
      </c>
      <c r="AP162" s="140">
        <f t="shared" si="491"/>
        <v>1</v>
      </c>
      <c r="AQ162" s="140">
        <f t="shared" si="491"/>
        <v>1</v>
      </c>
      <c r="AR162" s="140">
        <f t="shared" si="491"/>
        <v>1</v>
      </c>
      <c r="AS162" s="140">
        <f>EXP(-AS161*AS160)</f>
        <v>1</v>
      </c>
      <c r="AT162" s="140">
        <f t="shared" ref="AT162:CA162" si="492">EXP(-AT161*AT160)</f>
        <v>1</v>
      </c>
      <c r="AU162" s="140">
        <f t="shared" si="492"/>
        <v>1</v>
      </c>
      <c r="AV162" s="140">
        <f t="shared" si="492"/>
        <v>1</v>
      </c>
      <c r="AW162" s="140">
        <f t="shared" si="492"/>
        <v>1</v>
      </c>
      <c r="AX162" s="140">
        <f t="shared" si="492"/>
        <v>1</v>
      </c>
      <c r="AY162" s="140">
        <f t="shared" si="492"/>
        <v>1</v>
      </c>
      <c r="AZ162" s="140">
        <f t="shared" si="492"/>
        <v>1</v>
      </c>
      <c r="BA162" s="140">
        <f t="shared" si="492"/>
        <v>1</v>
      </c>
      <c r="BB162" s="140">
        <f t="shared" si="492"/>
        <v>1</v>
      </c>
      <c r="BC162" s="140">
        <f t="shared" si="492"/>
        <v>1</v>
      </c>
      <c r="BD162" s="140">
        <f t="shared" si="492"/>
        <v>1</v>
      </c>
      <c r="BE162" s="140">
        <f t="shared" si="492"/>
        <v>1</v>
      </c>
      <c r="BF162" s="140">
        <f t="shared" si="492"/>
        <v>1</v>
      </c>
      <c r="BG162" s="140">
        <f t="shared" si="492"/>
        <v>1</v>
      </c>
      <c r="BH162" s="140">
        <f t="shared" si="492"/>
        <v>1</v>
      </c>
      <c r="BI162" s="140">
        <f t="shared" si="492"/>
        <v>1</v>
      </c>
      <c r="BJ162" s="140">
        <f t="shared" si="492"/>
        <v>1</v>
      </c>
      <c r="BK162" s="140">
        <f t="shared" si="492"/>
        <v>1</v>
      </c>
      <c r="BL162" s="140">
        <f t="shared" si="492"/>
        <v>1</v>
      </c>
      <c r="BM162" s="140">
        <f t="shared" si="492"/>
        <v>1</v>
      </c>
      <c r="BN162" s="140">
        <f t="shared" si="492"/>
        <v>1</v>
      </c>
      <c r="BO162" s="140">
        <f t="shared" si="492"/>
        <v>1</v>
      </c>
      <c r="BP162" s="140">
        <f t="shared" si="492"/>
        <v>1</v>
      </c>
      <c r="BQ162" s="140">
        <f t="shared" si="492"/>
        <v>1</v>
      </c>
      <c r="BR162" s="140">
        <f t="shared" si="492"/>
        <v>1</v>
      </c>
      <c r="BS162" s="140">
        <f t="shared" si="492"/>
        <v>1</v>
      </c>
      <c r="BT162" s="140">
        <f t="shared" si="492"/>
        <v>1</v>
      </c>
      <c r="BU162" s="140">
        <f t="shared" si="492"/>
        <v>1</v>
      </c>
      <c r="BV162" s="140">
        <f t="shared" si="492"/>
        <v>1</v>
      </c>
      <c r="BW162" s="140">
        <f t="shared" si="492"/>
        <v>1</v>
      </c>
      <c r="BX162" s="140">
        <f t="shared" si="492"/>
        <v>1</v>
      </c>
      <c r="BY162" s="140">
        <f t="shared" si="492"/>
        <v>1</v>
      </c>
      <c r="BZ162" s="140">
        <f t="shared" si="492"/>
        <v>1</v>
      </c>
      <c r="CA162" s="140">
        <f t="shared" si="492"/>
        <v>1</v>
      </c>
      <c r="CB162" s="140">
        <f>EXP(-CB161*CB160)</f>
        <v>1</v>
      </c>
      <c r="CC162" s="17"/>
      <c r="CD162" s="17"/>
      <c r="CE162" s="17"/>
    </row>
    <row r="163" spans="1:83">
      <c r="A163" s="17"/>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17"/>
      <c r="CD163" s="17"/>
      <c r="CE163" s="17"/>
    </row>
    <row r="164" spans="1:83">
      <c r="A164" s="16" t="s">
        <v>40</v>
      </c>
      <c r="B164" s="140">
        <f t="shared" ref="B164:BM164" si="493">DAYS360($B$3,B62)</f>
        <v>-43022</v>
      </c>
      <c r="C164" s="140">
        <f t="shared" si="493"/>
        <v>-42842</v>
      </c>
      <c r="D164" s="140">
        <f t="shared" si="493"/>
        <v>-42662</v>
      </c>
      <c r="E164" s="140">
        <f t="shared" si="493"/>
        <v>-42482</v>
      </c>
      <c r="F164" s="140">
        <f t="shared" si="493"/>
        <v>-42302</v>
      </c>
      <c r="G164" s="140">
        <f t="shared" si="493"/>
        <v>-42122</v>
      </c>
      <c r="H164" s="140">
        <f t="shared" si="493"/>
        <v>-41942</v>
      </c>
      <c r="I164" s="140">
        <f t="shared" si="493"/>
        <v>-41762</v>
      </c>
      <c r="J164" s="140">
        <f t="shared" si="493"/>
        <v>-41582</v>
      </c>
      <c r="K164" s="140">
        <f t="shared" si="493"/>
        <v>-41403</v>
      </c>
      <c r="L164" s="140">
        <f t="shared" si="493"/>
        <v>-41223</v>
      </c>
      <c r="M164" s="140">
        <f t="shared" si="493"/>
        <v>-41043</v>
      </c>
      <c r="N164" s="140">
        <f t="shared" si="493"/>
        <v>-40863</v>
      </c>
      <c r="O164" s="140">
        <f t="shared" si="493"/>
        <v>-40683</v>
      </c>
      <c r="P164" s="140">
        <f t="shared" si="493"/>
        <v>-40503</v>
      </c>
      <c r="Q164" s="140">
        <f t="shared" si="493"/>
        <v>-40323</v>
      </c>
      <c r="R164" s="140">
        <f t="shared" si="493"/>
        <v>-40143</v>
      </c>
      <c r="S164" s="140">
        <f t="shared" si="493"/>
        <v>-39964</v>
      </c>
      <c r="T164" s="140">
        <f t="shared" si="493"/>
        <v>-39784</v>
      </c>
      <c r="U164" s="140">
        <f t="shared" si="493"/>
        <v>-39604</v>
      </c>
      <c r="V164" s="140">
        <f t="shared" si="493"/>
        <v>-39424</v>
      </c>
      <c r="W164" s="140">
        <f t="shared" si="493"/>
        <v>-39244</v>
      </c>
      <c r="X164" s="140">
        <f t="shared" si="493"/>
        <v>-39064</v>
      </c>
      <c r="Y164" s="140">
        <f t="shared" si="493"/>
        <v>-38884</v>
      </c>
      <c r="Z164" s="140">
        <f t="shared" si="493"/>
        <v>-38704</v>
      </c>
      <c r="AA164" s="140">
        <f t="shared" si="493"/>
        <v>-38525</v>
      </c>
      <c r="AB164" s="140">
        <f t="shared" si="493"/>
        <v>-38345</v>
      </c>
      <c r="AC164" s="140">
        <f t="shared" si="493"/>
        <v>-38165</v>
      </c>
      <c r="AD164" s="140">
        <f t="shared" si="493"/>
        <v>-37985</v>
      </c>
      <c r="AE164" s="140">
        <f t="shared" si="493"/>
        <v>-37805</v>
      </c>
      <c r="AF164" s="140">
        <f t="shared" si="493"/>
        <v>-37625</v>
      </c>
      <c r="AG164" s="140">
        <f t="shared" si="493"/>
        <v>-37445</v>
      </c>
      <c r="AH164" s="140">
        <f t="shared" si="493"/>
        <v>-37265</v>
      </c>
      <c r="AI164" s="140">
        <f t="shared" si="493"/>
        <v>-37086</v>
      </c>
      <c r="AJ164" s="140">
        <f t="shared" si="493"/>
        <v>-36906</v>
      </c>
      <c r="AK164" s="140">
        <f t="shared" si="493"/>
        <v>-36726</v>
      </c>
      <c r="AL164" s="140">
        <f t="shared" si="493"/>
        <v>-36546</v>
      </c>
      <c r="AM164" s="140">
        <f t="shared" si="493"/>
        <v>-36366</v>
      </c>
      <c r="AN164" s="140">
        <f t="shared" si="493"/>
        <v>-36186</v>
      </c>
      <c r="AO164" s="140">
        <f t="shared" si="493"/>
        <v>-36006</v>
      </c>
      <c r="AP164" s="140">
        <f t="shared" si="493"/>
        <v>-35826</v>
      </c>
      <c r="AQ164" s="140">
        <f t="shared" si="493"/>
        <v>-35647</v>
      </c>
      <c r="AR164" s="140">
        <f t="shared" si="493"/>
        <v>-35467</v>
      </c>
      <c r="AS164" s="140">
        <f t="shared" si="493"/>
        <v>-35287</v>
      </c>
      <c r="AT164" s="140">
        <f t="shared" si="493"/>
        <v>-35107</v>
      </c>
      <c r="AU164" s="140">
        <f t="shared" si="493"/>
        <v>-34927</v>
      </c>
      <c r="AV164" s="140">
        <f t="shared" si="493"/>
        <v>-34747</v>
      </c>
      <c r="AW164" s="140">
        <f t="shared" si="493"/>
        <v>-34567</v>
      </c>
      <c r="AX164" s="140">
        <f t="shared" si="493"/>
        <v>-34387</v>
      </c>
      <c r="AY164" s="140">
        <f t="shared" si="493"/>
        <v>-34208</v>
      </c>
      <c r="AZ164" s="140">
        <f t="shared" si="493"/>
        <v>-34028</v>
      </c>
      <c r="BA164" s="140">
        <f t="shared" si="493"/>
        <v>-33848</v>
      </c>
      <c r="BB164" s="140">
        <f t="shared" si="493"/>
        <v>-33668</v>
      </c>
      <c r="BC164" s="140">
        <f t="shared" si="493"/>
        <v>-33488</v>
      </c>
      <c r="BD164" s="140">
        <f t="shared" si="493"/>
        <v>-33308</v>
      </c>
      <c r="BE164" s="140">
        <f t="shared" si="493"/>
        <v>-33128</v>
      </c>
      <c r="BF164" s="140">
        <f t="shared" si="493"/>
        <v>-32948</v>
      </c>
      <c r="BG164" s="140">
        <f t="shared" si="493"/>
        <v>-32769</v>
      </c>
      <c r="BH164" s="140">
        <f t="shared" si="493"/>
        <v>-32589</v>
      </c>
      <c r="BI164" s="140">
        <f t="shared" si="493"/>
        <v>-32409</v>
      </c>
      <c r="BJ164" s="140">
        <f t="shared" si="493"/>
        <v>-32229</v>
      </c>
      <c r="BK164" s="140">
        <f t="shared" si="493"/>
        <v>-32049</v>
      </c>
      <c r="BL164" s="140">
        <f t="shared" si="493"/>
        <v>-31869</v>
      </c>
      <c r="BM164" s="140">
        <f t="shared" si="493"/>
        <v>-31689</v>
      </c>
      <c r="BN164" s="140">
        <f t="shared" ref="BN164:CB164" si="494">DAYS360($B$3,BN62)</f>
        <v>-31509</v>
      </c>
      <c r="BO164" s="140">
        <f t="shared" si="494"/>
        <v>-31330</v>
      </c>
      <c r="BP164" s="140">
        <f t="shared" si="494"/>
        <v>-31150</v>
      </c>
      <c r="BQ164" s="140">
        <f t="shared" si="494"/>
        <v>-30970</v>
      </c>
      <c r="BR164" s="140">
        <f t="shared" si="494"/>
        <v>-30790</v>
      </c>
      <c r="BS164" s="140">
        <f t="shared" si="494"/>
        <v>-30610</v>
      </c>
      <c r="BT164" s="140">
        <f t="shared" si="494"/>
        <v>-30430</v>
      </c>
      <c r="BU164" s="140">
        <f t="shared" si="494"/>
        <v>-30250</v>
      </c>
      <c r="BV164" s="140">
        <f t="shared" si="494"/>
        <v>-30070</v>
      </c>
      <c r="BW164" s="140">
        <f t="shared" si="494"/>
        <v>-29891</v>
      </c>
      <c r="BX164" s="140">
        <f t="shared" si="494"/>
        <v>-29711</v>
      </c>
      <c r="BY164" s="140">
        <f t="shared" si="494"/>
        <v>-29531</v>
      </c>
      <c r="BZ164" s="140">
        <f t="shared" si="494"/>
        <v>-29351</v>
      </c>
      <c r="CA164" s="140">
        <f t="shared" si="494"/>
        <v>-29171</v>
      </c>
      <c r="CB164" s="140">
        <f t="shared" si="494"/>
        <v>-28991</v>
      </c>
      <c r="CC164" s="17"/>
      <c r="CD164" s="17"/>
      <c r="CE164" s="17"/>
    </row>
    <row r="165" spans="1:83">
      <c r="A165" s="16" t="s">
        <v>41</v>
      </c>
      <c r="B165" s="140">
        <f>B164/360</f>
        <v>-119.50555555555556</v>
      </c>
      <c r="C165" s="140">
        <f t="shared" ref="C165:BN165" si="495">C164/360</f>
        <v>-119.00555555555556</v>
      </c>
      <c r="D165" s="140">
        <f t="shared" si="495"/>
        <v>-118.50555555555556</v>
      </c>
      <c r="E165" s="140">
        <f t="shared" si="495"/>
        <v>-118.00555555555556</v>
      </c>
      <c r="F165" s="140">
        <f t="shared" si="495"/>
        <v>-117.50555555555556</v>
      </c>
      <c r="G165" s="140">
        <f t="shared" si="495"/>
        <v>-117.00555555555556</v>
      </c>
      <c r="H165" s="140">
        <f t="shared" si="495"/>
        <v>-116.50555555555556</v>
      </c>
      <c r="I165" s="140">
        <f t="shared" si="495"/>
        <v>-116.00555555555556</v>
      </c>
      <c r="J165" s="140">
        <f t="shared" si="495"/>
        <v>-115.50555555555556</v>
      </c>
      <c r="K165" s="140">
        <f t="shared" si="495"/>
        <v>-115.00833333333334</v>
      </c>
      <c r="L165" s="140">
        <f t="shared" si="495"/>
        <v>-114.50833333333334</v>
      </c>
      <c r="M165" s="140">
        <f t="shared" si="495"/>
        <v>-114.00833333333334</v>
      </c>
      <c r="N165" s="140">
        <f t="shared" si="495"/>
        <v>-113.50833333333334</v>
      </c>
      <c r="O165" s="140">
        <f t="shared" si="495"/>
        <v>-113.00833333333334</v>
      </c>
      <c r="P165" s="140">
        <f t="shared" si="495"/>
        <v>-112.50833333333334</v>
      </c>
      <c r="Q165" s="140">
        <f t="shared" si="495"/>
        <v>-112.00833333333334</v>
      </c>
      <c r="R165" s="140">
        <f t="shared" si="495"/>
        <v>-111.50833333333334</v>
      </c>
      <c r="S165" s="140">
        <f t="shared" si="495"/>
        <v>-111.01111111111111</v>
      </c>
      <c r="T165" s="140">
        <f t="shared" si="495"/>
        <v>-110.51111111111111</v>
      </c>
      <c r="U165" s="140">
        <f t="shared" si="495"/>
        <v>-110.01111111111111</v>
      </c>
      <c r="V165" s="140">
        <f t="shared" si="495"/>
        <v>-109.51111111111111</v>
      </c>
      <c r="W165" s="140">
        <f t="shared" si="495"/>
        <v>-109.01111111111111</v>
      </c>
      <c r="X165" s="140">
        <f t="shared" si="495"/>
        <v>-108.51111111111111</v>
      </c>
      <c r="Y165" s="140">
        <f t="shared" si="495"/>
        <v>-108.01111111111111</v>
      </c>
      <c r="Z165" s="140">
        <f t="shared" si="495"/>
        <v>-107.51111111111111</v>
      </c>
      <c r="AA165" s="140">
        <f t="shared" si="495"/>
        <v>-107.01388888888889</v>
      </c>
      <c r="AB165" s="140">
        <f t="shared" si="495"/>
        <v>-106.51388888888889</v>
      </c>
      <c r="AC165" s="140">
        <f t="shared" si="495"/>
        <v>-106.01388888888889</v>
      </c>
      <c r="AD165" s="140">
        <f t="shared" si="495"/>
        <v>-105.51388888888889</v>
      </c>
      <c r="AE165" s="140">
        <f t="shared" si="495"/>
        <v>-105.01388888888889</v>
      </c>
      <c r="AF165" s="140">
        <f t="shared" si="495"/>
        <v>-104.51388888888889</v>
      </c>
      <c r="AG165" s="140">
        <f t="shared" si="495"/>
        <v>-104.01388888888889</v>
      </c>
      <c r="AH165" s="140">
        <f t="shared" si="495"/>
        <v>-103.51388888888889</v>
      </c>
      <c r="AI165" s="140">
        <f t="shared" si="495"/>
        <v>-103.01666666666667</v>
      </c>
      <c r="AJ165" s="140">
        <f t="shared" si="495"/>
        <v>-102.51666666666667</v>
      </c>
      <c r="AK165" s="140">
        <f t="shared" si="495"/>
        <v>-102.01666666666667</v>
      </c>
      <c r="AL165" s="140">
        <f t="shared" si="495"/>
        <v>-101.51666666666667</v>
      </c>
      <c r="AM165" s="140">
        <f t="shared" si="495"/>
        <v>-101.01666666666667</v>
      </c>
      <c r="AN165" s="140">
        <f t="shared" si="495"/>
        <v>-100.51666666666667</v>
      </c>
      <c r="AO165" s="140">
        <f t="shared" si="495"/>
        <v>-100.01666666666667</v>
      </c>
      <c r="AP165" s="140">
        <f t="shared" si="495"/>
        <v>-99.516666666666666</v>
      </c>
      <c r="AQ165" s="140">
        <f t="shared" si="495"/>
        <v>-99.019444444444446</v>
      </c>
      <c r="AR165" s="140">
        <f t="shared" si="495"/>
        <v>-98.519444444444446</v>
      </c>
      <c r="AS165" s="140">
        <f t="shared" si="495"/>
        <v>-98.019444444444446</v>
      </c>
      <c r="AT165" s="140">
        <f t="shared" si="495"/>
        <v>-97.519444444444446</v>
      </c>
      <c r="AU165" s="140">
        <f t="shared" si="495"/>
        <v>-97.019444444444446</v>
      </c>
      <c r="AV165" s="140">
        <f t="shared" si="495"/>
        <v>-96.519444444444446</v>
      </c>
      <c r="AW165" s="140">
        <f t="shared" si="495"/>
        <v>-96.019444444444446</v>
      </c>
      <c r="AX165" s="140">
        <f t="shared" si="495"/>
        <v>-95.519444444444446</v>
      </c>
      <c r="AY165" s="140">
        <f t="shared" si="495"/>
        <v>-95.022222222222226</v>
      </c>
      <c r="AZ165" s="140">
        <f t="shared" si="495"/>
        <v>-94.522222222222226</v>
      </c>
      <c r="BA165" s="140">
        <f t="shared" si="495"/>
        <v>-94.022222222222226</v>
      </c>
      <c r="BB165" s="140">
        <f t="shared" si="495"/>
        <v>-93.522222222222226</v>
      </c>
      <c r="BC165" s="140">
        <f t="shared" si="495"/>
        <v>-93.022222222222226</v>
      </c>
      <c r="BD165" s="140">
        <f t="shared" si="495"/>
        <v>-92.522222222222226</v>
      </c>
      <c r="BE165" s="140">
        <f t="shared" si="495"/>
        <v>-92.022222222222226</v>
      </c>
      <c r="BF165" s="140">
        <f t="shared" si="495"/>
        <v>-91.522222222222226</v>
      </c>
      <c r="BG165" s="140">
        <f t="shared" si="495"/>
        <v>-91.025000000000006</v>
      </c>
      <c r="BH165" s="140">
        <f t="shared" si="495"/>
        <v>-90.525000000000006</v>
      </c>
      <c r="BI165" s="140">
        <f t="shared" si="495"/>
        <v>-90.025000000000006</v>
      </c>
      <c r="BJ165" s="140">
        <f t="shared" si="495"/>
        <v>-89.525000000000006</v>
      </c>
      <c r="BK165" s="140">
        <f t="shared" si="495"/>
        <v>-89.025000000000006</v>
      </c>
      <c r="BL165" s="140">
        <f t="shared" si="495"/>
        <v>-88.525000000000006</v>
      </c>
      <c r="BM165" s="140">
        <f t="shared" si="495"/>
        <v>-88.025000000000006</v>
      </c>
      <c r="BN165" s="140">
        <f t="shared" si="495"/>
        <v>-87.525000000000006</v>
      </c>
      <c r="BO165" s="140">
        <f t="shared" ref="BO165:CB165" si="496">BO164/360</f>
        <v>-87.027777777777771</v>
      </c>
      <c r="BP165" s="140">
        <f t="shared" si="496"/>
        <v>-86.527777777777771</v>
      </c>
      <c r="BQ165" s="140">
        <f t="shared" si="496"/>
        <v>-86.027777777777771</v>
      </c>
      <c r="BR165" s="140">
        <f t="shared" si="496"/>
        <v>-85.527777777777771</v>
      </c>
      <c r="BS165" s="140">
        <f t="shared" si="496"/>
        <v>-85.027777777777771</v>
      </c>
      <c r="BT165" s="140">
        <f t="shared" si="496"/>
        <v>-84.527777777777771</v>
      </c>
      <c r="BU165" s="140">
        <f t="shared" si="496"/>
        <v>-84.027777777777771</v>
      </c>
      <c r="BV165" s="140">
        <f t="shared" si="496"/>
        <v>-83.527777777777771</v>
      </c>
      <c r="BW165" s="140">
        <f t="shared" si="496"/>
        <v>-83.030555555555551</v>
      </c>
      <c r="BX165" s="140">
        <f t="shared" si="496"/>
        <v>-82.530555555555551</v>
      </c>
      <c r="BY165" s="140">
        <f t="shared" si="496"/>
        <v>-82.030555555555551</v>
      </c>
      <c r="BZ165" s="140">
        <f t="shared" si="496"/>
        <v>-81.530555555555551</v>
      </c>
      <c r="CA165" s="140">
        <f t="shared" si="496"/>
        <v>-81.030555555555551</v>
      </c>
      <c r="CB165" s="140">
        <f t="shared" si="496"/>
        <v>-80.530555555555551</v>
      </c>
      <c r="CC165" s="17"/>
      <c r="CD165" s="17"/>
      <c r="CE165" s="17"/>
    </row>
    <row r="166" spans="1:83">
      <c r="A166" s="16" t="s">
        <v>43</v>
      </c>
      <c r="B166" s="140">
        <f>IF(B164&lt;0,0,$B$5+$B$6*((1-EXP(-B165/$B$9))/(B165/$B$9))+$B$7*((1-EXP(-B165/$B$9))/(B165/$B$9)-EXP(-B165/$B$9))+$B$8*((1-EXP(-B165/$B$10))/(B165/$B$10)-EXP(-B165/$B$10)))</f>
        <v>0</v>
      </c>
      <c r="C166" s="140">
        <f t="shared" ref="C166:BN166" si="497">IF(C164&lt;0,0,$B$5+$B$6*((1-EXP(-C165/$B$9))/(C165/$B$9))+$B$7*((1-EXP(-C165/$B$9))/(C165/$B$9)-EXP(-C165/$B$9))+$B$8*((1-EXP(-C165/$B$10))/(C165/$B$10)-EXP(-C165/$B$10)))</f>
        <v>0</v>
      </c>
      <c r="D166" s="140">
        <f t="shared" si="497"/>
        <v>0</v>
      </c>
      <c r="E166" s="140">
        <f t="shared" si="497"/>
        <v>0</v>
      </c>
      <c r="F166" s="140">
        <f t="shared" si="497"/>
        <v>0</v>
      </c>
      <c r="G166" s="140">
        <f t="shared" si="497"/>
        <v>0</v>
      </c>
      <c r="H166" s="140">
        <f t="shared" si="497"/>
        <v>0</v>
      </c>
      <c r="I166" s="140">
        <f t="shared" si="497"/>
        <v>0</v>
      </c>
      <c r="J166" s="140">
        <f t="shared" si="497"/>
        <v>0</v>
      </c>
      <c r="K166" s="140">
        <f t="shared" si="497"/>
        <v>0</v>
      </c>
      <c r="L166" s="140">
        <f t="shared" si="497"/>
        <v>0</v>
      </c>
      <c r="M166" s="140">
        <f t="shared" si="497"/>
        <v>0</v>
      </c>
      <c r="N166" s="140">
        <f t="shared" si="497"/>
        <v>0</v>
      </c>
      <c r="O166" s="140">
        <f t="shared" si="497"/>
        <v>0</v>
      </c>
      <c r="P166" s="140">
        <f t="shared" si="497"/>
        <v>0</v>
      </c>
      <c r="Q166" s="140">
        <f t="shared" si="497"/>
        <v>0</v>
      </c>
      <c r="R166" s="140">
        <f t="shared" si="497"/>
        <v>0</v>
      </c>
      <c r="S166" s="140">
        <f t="shared" si="497"/>
        <v>0</v>
      </c>
      <c r="T166" s="140">
        <f t="shared" si="497"/>
        <v>0</v>
      </c>
      <c r="U166" s="140">
        <f t="shared" si="497"/>
        <v>0</v>
      </c>
      <c r="V166" s="140">
        <f t="shared" si="497"/>
        <v>0</v>
      </c>
      <c r="W166" s="140">
        <f t="shared" si="497"/>
        <v>0</v>
      </c>
      <c r="X166" s="140">
        <f t="shared" si="497"/>
        <v>0</v>
      </c>
      <c r="Y166" s="140">
        <f t="shared" si="497"/>
        <v>0</v>
      </c>
      <c r="Z166" s="140">
        <f t="shared" si="497"/>
        <v>0</v>
      </c>
      <c r="AA166" s="140">
        <f t="shared" si="497"/>
        <v>0</v>
      </c>
      <c r="AB166" s="140">
        <f t="shared" si="497"/>
        <v>0</v>
      </c>
      <c r="AC166" s="140">
        <f t="shared" si="497"/>
        <v>0</v>
      </c>
      <c r="AD166" s="140">
        <f t="shared" si="497"/>
        <v>0</v>
      </c>
      <c r="AE166" s="140">
        <f t="shared" si="497"/>
        <v>0</v>
      </c>
      <c r="AF166" s="140">
        <f t="shared" si="497"/>
        <v>0</v>
      </c>
      <c r="AG166" s="140">
        <f t="shared" si="497"/>
        <v>0</v>
      </c>
      <c r="AH166" s="140">
        <f t="shared" si="497"/>
        <v>0</v>
      </c>
      <c r="AI166" s="140">
        <f t="shared" si="497"/>
        <v>0</v>
      </c>
      <c r="AJ166" s="140">
        <f t="shared" si="497"/>
        <v>0</v>
      </c>
      <c r="AK166" s="140">
        <f t="shared" si="497"/>
        <v>0</v>
      </c>
      <c r="AL166" s="140">
        <f t="shared" si="497"/>
        <v>0</v>
      </c>
      <c r="AM166" s="140">
        <f t="shared" si="497"/>
        <v>0</v>
      </c>
      <c r="AN166" s="140">
        <f t="shared" si="497"/>
        <v>0</v>
      </c>
      <c r="AO166" s="140">
        <f t="shared" si="497"/>
        <v>0</v>
      </c>
      <c r="AP166" s="140">
        <f t="shared" si="497"/>
        <v>0</v>
      </c>
      <c r="AQ166" s="140">
        <f t="shared" si="497"/>
        <v>0</v>
      </c>
      <c r="AR166" s="140">
        <f t="shared" si="497"/>
        <v>0</v>
      </c>
      <c r="AS166" s="140">
        <f t="shared" si="497"/>
        <v>0</v>
      </c>
      <c r="AT166" s="140">
        <f t="shared" si="497"/>
        <v>0</v>
      </c>
      <c r="AU166" s="140">
        <f t="shared" si="497"/>
        <v>0</v>
      </c>
      <c r="AV166" s="140">
        <f t="shared" si="497"/>
        <v>0</v>
      </c>
      <c r="AW166" s="140">
        <f t="shared" si="497"/>
        <v>0</v>
      </c>
      <c r="AX166" s="140">
        <f t="shared" si="497"/>
        <v>0</v>
      </c>
      <c r="AY166" s="140">
        <f t="shared" si="497"/>
        <v>0</v>
      </c>
      <c r="AZ166" s="140">
        <f t="shared" si="497"/>
        <v>0</v>
      </c>
      <c r="BA166" s="140">
        <f t="shared" si="497"/>
        <v>0</v>
      </c>
      <c r="BB166" s="140">
        <f t="shared" si="497"/>
        <v>0</v>
      </c>
      <c r="BC166" s="140">
        <f t="shared" si="497"/>
        <v>0</v>
      </c>
      <c r="BD166" s="140">
        <f t="shared" si="497"/>
        <v>0</v>
      </c>
      <c r="BE166" s="140">
        <f t="shared" si="497"/>
        <v>0</v>
      </c>
      <c r="BF166" s="140">
        <f t="shared" si="497"/>
        <v>0</v>
      </c>
      <c r="BG166" s="140">
        <f t="shared" si="497"/>
        <v>0</v>
      </c>
      <c r="BH166" s="140">
        <f t="shared" si="497"/>
        <v>0</v>
      </c>
      <c r="BI166" s="140">
        <f t="shared" si="497"/>
        <v>0</v>
      </c>
      <c r="BJ166" s="140">
        <f t="shared" si="497"/>
        <v>0</v>
      </c>
      <c r="BK166" s="140">
        <f t="shared" si="497"/>
        <v>0</v>
      </c>
      <c r="BL166" s="140">
        <f t="shared" si="497"/>
        <v>0</v>
      </c>
      <c r="BM166" s="140">
        <f t="shared" si="497"/>
        <v>0</v>
      </c>
      <c r="BN166" s="140">
        <f t="shared" si="497"/>
        <v>0</v>
      </c>
      <c r="BO166" s="140">
        <f t="shared" ref="BO166:CB166" si="498">IF(BO164&lt;0,0,$B$5+$B$6*((1-EXP(-BO165/$B$9))/(BO165/$B$9))+$B$7*((1-EXP(-BO165/$B$9))/(BO165/$B$9)-EXP(-BO165/$B$9))+$B$8*((1-EXP(-BO165/$B$10))/(BO165/$B$10)-EXP(-BO165/$B$10)))</f>
        <v>0</v>
      </c>
      <c r="BP166" s="140">
        <f t="shared" si="498"/>
        <v>0</v>
      </c>
      <c r="BQ166" s="140">
        <f t="shared" si="498"/>
        <v>0</v>
      </c>
      <c r="BR166" s="140">
        <f t="shared" si="498"/>
        <v>0</v>
      </c>
      <c r="BS166" s="140">
        <f t="shared" si="498"/>
        <v>0</v>
      </c>
      <c r="BT166" s="140">
        <f t="shared" si="498"/>
        <v>0</v>
      </c>
      <c r="BU166" s="140">
        <f t="shared" si="498"/>
        <v>0</v>
      </c>
      <c r="BV166" s="140">
        <f t="shared" si="498"/>
        <v>0</v>
      </c>
      <c r="BW166" s="140">
        <f t="shared" si="498"/>
        <v>0</v>
      </c>
      <c r="BX166" s="140">
        <f t="shared" si="498"/>
        <v>0</v>
      </c>
      <c r="BY166" s="140">
        <f t="shared" si="498"/>
        <v>0</v>
      </c>
      <c r="BZ166" s="140">
        <f t="shared" si="498"/>
        <v>0</v>
      </c>
      <c r="CA166" s="140">
        <f t="shared" si="498"/>
        <v>0</v>
      </c>
      <c r="CB166" s="140">
        <f t="shared" si="498"/>
        <v>0</v>
      </c>
      <c r="CC166" s="17"/>
      <c r="CD166" s="17"/>
      <c r="CE166" s="17"/>
    </row>
    <row r="167" spans="1:83">
      <c r="A167" s="16" t="s">
        <v>44</v>
      </c>
      <c r="B167" s="140">
        <f>EXP(-B166*B165)</f>
        <v>1</v>
      </c>
      <c r="C167" s="140">
        <f t="shared" ref="C167:AR167" si="499">EXP(-C166*C165)</f>
        <v>1</v>
      </c>
      <c r="D167" s="140">
        <f t="shared" si="499"/>
        <v>1</v>
      </c>
      <c r="E167" s="140">
        <f t="shared" si="499"/>
        <v>1</v>
      </c>
      <c r="F167" s="140">
        <f t="shared" si="499"/>
        <v>1</v>
      </c>
      <c r="G167" s="140">
        <f t="shared" si="499"/>
        <v>1</v>
      </c>
      <c r="H167" s="140">
        <f t="shared" si="499"/>
        <v>1</v>
      </c>
      <c r="I167" s="140">
        <f t="shared" si="499"/>
        <v>1</v>
      </c>
      <c r="J167" s="140">
        <f t="shared" si="499"/>
        <v>1</v>
      </c>
      <c r="K167" s="140">
        <f t="shared" si="499"/>
        <v>1</v>
      </c>
      <c r="L167" s="140">
        <f t="shared" si="499"/>
        <v>1</v>
      </c>
      <c r="M167" s="140">
        <f t="shared" si="499"/>
        <v>1</v>
      </c>
      <c r="N167" s="140">
        <f t="shared" si="499"/>
        <v>1</v>
      </c>
      <c r="O167" s="140">
        <f t="shared" si="499"/>
        <v>1</v>
      </c>
      <c r="P167" s="140">
        <f t="shared" si="499"/>
        <v>1</v>
      </c>
      <c r="Q167" s="140">
        <f t="shared" si="499"/>
        <v>1</v>
      </c>
      <c r="R167" s="140">
        <f t="shared" si="499"/>
        <v>1</v>
      </c>
      <c r="S167" s="140">
        <f t="shared" si="499"/>
        <v>1</v>
      </c>
      <c r="T167" s="140">
        <f t="shared" si="499"/>
        <v>1</v>
      </c>
      <c r="U167" s="140">
        <f t="shared" si="499"/>
        <v>1</v>
      </c>
      <c r="V167" s="140">
        <f t="shared" si="499"/>
        <v>1</v>
      </c>
      <c r="W167" s="140">
        <f t="shared" si="499"/>
        <v>1</v>
      </c>
      <c r="X167" s="140">
        <f t="shared" si="499"/>
        <v>1</v>
      </c>
      <c r="Y167" s="140">
        <f t="shared" si="499"/>
        <v>1</v>
      </c>
      <c r="Z167" s="140">
        <f t="shared" si="499"/>
        <v>1</v>
      </c>
      <c r="AA167" s="140">
        <f t="shared" si="499"/>
        <v>1</v>
      </c>
      <c r="AB167" s="140">
        <f t="shared" si="499"/>
        <v>1</v>
      </c>
      <c r="AC167" s="140">
        <f t="shared" si="499"/>
        <v>1</v>
      </c>
      <c r="AD167" s="140">
        <f t="shared" si="499"/>
        <v>1</v>
      </c>
      <c r="AE167" s="140">
        <f t="shared" si="499"/>
        <v>1</v>
      </c>
      <c r="AF167" s="140">
        <f t="shared" si="499"/>
        <v>1</v>
      </c>
      <c r="AG167" s="140">
        <f t="shared" si="499"/>
        <v>1</v>
      </c>
      <c r="AH167" s="140">
        <f t="shared" si="499"/>
        <v>1</v>
      </c>
      <c r="AI167" s="140">
        <f t="shared" si="499"/>
        <v>1</v>
      </c>
      <c r="AJ167" s="140">
        <f t="shared" si="499"/>
        <v>1</v>
      </c>
      <c r="AK167" s="140">
        <f t="shared" si="499"/>
        <v>1</v>
      </c>
      <c r="AL167" s="140">
        <f t="shared" si="499"/>
        <v>1</v>
      </c>
      <c r="AM167" s="140">
        <f t="shared" si="499"/>
        <v>1</v>
      </c>
      <c r="AN167" s="140">
        <f t="shared" si="499"/>
        <v>1</v>
      </c>
      <c r="AO167" s="140">
        <f t="shared" si="499"/>
        <v>1</v>
      </c>
      <c r="AP167" s="140">
        <f t="shared" si="499"/>
        <v>1</v>
      </c>
      <c r="AQ167" s="140">
        <f t="shared" si="499"/>
        <v>1</v>
      </c>
      <c r="AR167" s="140">
        <f t="shared" si="499"/>
        <v>1</v>
      </c>
      <c r="AS167" s="140">
        <f>EXP(-AS166*AS165)</f>
        <v>1</v>
      </c>
      <c r="AT167" s="140">
        <f t="shared" ref="AT167:CA167" si="500">EXP(-AT166*AT165)</f>
        <v>1</v>
      </c>
      <c r="AU167" s="140">
        <f t="shared" si="500"/>
        <v>1</v>
      </c>
      <c r="AV167" s="140">
        <f t="shared" si="500"/>
        <v>1</v>
      </c>
      <c r="AW167" s="140">
        <f t="shared" si="500"/>
        <v>1</v>
      </c>
      <c r="AX167" s="140">
        <f t="shared" si="500"/>
        <v>1</v>
      </c>
      <c r="AY167" s="140">
        <f t="shared" si="500"/>
        <v>1</v>
      </c>
      <c r="AZ167" s="140">
        <f t="shared" si="500"/>
        <v>1</v>
      </c>
      <c r="BA167" s="140">
        <f t="shared" si="500"/>
        <v>1</v>
      </c>
      <c r="BB167" s="140">
        <f t="shared" si="500"/>
        <v>1</v>
      </c>
      <c r="BC167" s="140">
        <f t="shared" si="500"/>
        <v>1</v>
      </c>
      <c r="BD167" s="140">
        <f t="shared" si="500"/>
        <v>1</v>
      </c>
      <c r="BE167" s="140">
        <f t="shared" si="500"/>
        <v>1</v>
      </c>
      <c r="BF167" s="140">
        <f t="shared" si="500"/>
        <v>1</v>
      </c>
      <c r="BG167" s="140">
        <f t="shared" si="500"/>
        <v>1</v>
      </c>
      <c r="BH167" s="140">
        <f t="shared" si="500"/>
        <v>1</v>
      </c>
      <c r="BI167" s="140">
        <f t="shared" si="500"/>
        <v>1</v>
      </c>
      <c r="BJ167" s="140">
        <f t="shared" si="500"/>
        <v>1</v>
      </c>
      <c r="BK167" s="140">
        <f t="shared" si="500"/>
        <v>1</v>
      </c>
      <c r="BL167" s="140">
        <f t="shared" si="500"/>
        <v>1</v>
      </c>
      <c r="BM167" s="140">
        <f t="shared" si="500"/>
        <v>1</v>
      </c>
      <c r="BN167" s="140">
        <f t="shared" si="500"/>
        <v>1</v>
      </c>
      <c r="BO167" s="140">
        <f t="shared" si="500"/>
        <v>1</v>
      </c>
      <c r="BP167" s="140">
        <f t="shared" si="500"/>
        <v>1</v>
      </c>
      <c r="BQ167" s="140">
        <f t="shared" si="500"/>
        <v>1</v>
      </c>
      <c r="BR167" s="140">
        <f t="shared" si="500"/>
        <v>1</v>
      </c>
      <c r="BS167" s="140">
        <f t="shared" si="500"/>
        <v>1</v>
      </c>
      <c r="BT167" s="140">
        <f t="shared" si="500"/>
        <v>1</v>
      </c>
      <c r="BU167" s="140">
        <f t="shared" si="500"/>
        <v>1</v>
      </c>
      <c r="BV167" s="140">
        <f t="shared" si="500"/>
        <v>1</v>
      </c>
      <c r="BW167" s="140">
        <f t="shared" si="500"/>
        <v>1</v>
      </c>
      <c r="BX167" s="140">
        <f t="shared" si="500"/>
        <v>1</v>
      </c>
      <c r="BY167" s="140">
        <f t="shared" si="500"/>
        <v>1</v>
      </c>
      <c r="BZ167" s="140">
        <f t="shared" si="500"/>
        <v>1</v>
      </c>
      <c r="CA167" s="140">
        <f t="shared" si="500"/>
        <v>1</v>
      </c>
      <c r="CB167" s="140">
        <f>EXP(-CB166*CB165)</f>
        <v>1</v>
      </c>
      <c r="CC167" s="17"/>
      <c r="CD167" s="17"/>
      <c r="CE167" s="17"/>
    </row>
    <row r="168" spans="1:83">
      <c r="A168" s="17"/>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17"/>
      <c r="CD168" s="17"/>
      <c r="CE168" s="17"/>
    </row>
    <row r="169" spans="1:83">
      <c r="A169" s="16" t="s">
        <v>40</v>
      </c>
      <c r="B169" s="140">
        <f t="shared" ref="B169:BM169" si="501">DAYS360($B$3,B64)</f>
        <v>-43022</v>
      </c>
      <c r="C169" s="140">
        <f t="shared" si="501"/>
        <v>-42842</v>
      </c>
      <c r="D169" s="140">
        <f t="shared" si="501"/>
        <v>-42662</v>
      </c>
      <c r="E169" s="140">
        <f t="shared" si="501"/>
        <v>-42482</v>
      </c>
      <c r="F169" s="140">
        <f t="shared" si="501"/>
        <v>-42302</v>
      </c>
      <c r="G169" s="140">
        <f t="shared" si="501"/>
        <v>-42122</v>
      </c>
      <c r="H169" s="140">
        <f t="shared" si="501"/>
        <v>-41942</v>
      </c>
      <c r="I169" s="140">
        <f t="shared" si="501"/>
        <v>-41762</v>
      </c>
      <c r="J169" s="140">
        <f t="shared" si="501"/>
        <v>-41582</v>
      </c>
      <c r="K169" s="140">
        <f t="shared" si="501"/>
        <v>-41403</v>
      </c>
      <c r="L169" s="140">
        <f t="shared" si="501"/>
        <v>-41223</v>
      </c>
      <c r="M169" s="140">
        <f t="shared" si="501"/>
        <v>-41043</v>
      </c>
      <c r="N169" s="140">
        <f t="shared" si="501"/>
        <v>-40863</v>
      </c>
      <c r="O169" s="140">
        <f t="shared" si="501"/>
        <v>-40683</v>
      </c>
      <c r="P169" s="140">
        <f t="shared" si="501"/>
        <v>-40503</v>
      </c>
      <c r="Q169" s="140">
        <f t="shared" si="501"/>
        <v>-40323</v>
      </c>
      <c r="R169" s="140">
        <f t="shared" si="501"/>
        <v>-40143</v>
      </c>
      <c r="S169" s="140">
        <f t="shared" si="501"/>
        <v>-39964</v>
      </c>
      <c r="T169" s="140">
        <f t="shared" si="501"/>
        <v>-39784</v>
      </c>
      <c r="U169" s="140">
        <f t="shared" si="501"/>
        <v>-39604</v>
      </c>
      <c r="V169" s="140">
        <f t="shared" si="501"/>
        <v>-39424</v>
      </c>
      <c r="W169" s="140">
        <f t="shared" si="501"/>
        <v>-39244</v>
      </c>
      <c r="X169" s="140">
        <f t="shared" si="501"/>
        <v>-39064</v>
      </c>
      <c r="Y169" s="140">
        <f t="shared" si="501"/>
        <v>-38884</v>
      </c>
      <c r="Z169" s="140">
        <f t="shared" si="501"/>
        <v>-38704</v>
      </c>
      <c r="AA169" s="140">
        <f t="shared" si="501"/>
        <v>-38525</v>
      </c>
      <c r="AB169" s="140">
        <f t="shared" si="501"/>
        <v>-38345</v>
      </c>
      <c r="AC169" s="140">
        <f t="shared" si="501"/>
        <v>-38165</v>
      </c>
      <c r="AD169" s="140">
        <f t="shared" si="501"/>
        <v>-37985</v>
      </c>
      <c r="AE169" s="140">
        <f t="shared" si="501"/>
        <v>-37805</v>
      </c>
      <c r="AF169" s="140">
        <f t="shared" si="501"/>
        <v>-37625</v>
      </c>
      <c r="AG169" s="140">
        <f t="shared" si="501"/>
        <v>-37445</v>
      </c>
      <c r="AH169" s="140">
        <f t="shared" si="501"/>
        <v>-37265</v>
      </c>
      <c r="AI169" s="140">
        <f t="shared" si="501"/>
        <v>-37086</v>
      </c>
      <c r="AJ169" s="140">
        <f t="shared" si="501"/>
        <v>-36906</v>
      </c>
      <c r="AK169" s="140">
        <f t="shared" si="501"/>
        <v>-36726</v>
      </c>
      <c r="AL169" s="140">
        <f t="shared" si="501"/>
        <v>-36546</v>
      </c>
      <c r="AM169" s="140">
        <f t="shared" si="501"/>
        <v>-36366</v>
      </c>
      <c r="AN169" s="140">
        <f t="shared" si="501"/>
        <v>-36186</v>
      </c>
      <c r="AO169" s="140">
        <f t="shared" si="501"/>
        <v>-36006</v>
      </c>
      <c r="AP169" s="140">
        <f t="shared" si="501"/>
        <v>-35826</v>
      </c>
      <c r="AQ169" s="140">
        <f t="shared" si="501"/>
        <v>-35647</v>
      </c>
      <c r="AR169" s="140">
        <f t="shared" si="501"/>
        <v>-35467</v>
      </c>
      <c r="AS169" s="140">
        <f t="shared" si="501"/>
        <v>-35287</v>
      </c>
      <c r="AT169" s="140">
        <f t="shared" si="501"/>
        <v>-35107</v>
      </c>
      <c r="AU169" s="140">
        <f t="shared" si="501"/>
        <v>-34927</v>
      </c>
      <c r="AV169" s="140">
        <f t="shared" si="501"/>
        <v>-34747</v>
      </c>
      <c r="AW169" s="140">
        <f t="shared" si="501"/>
        <v>-34567</v>
      </c>
      <c r="AX169" s="140">
        <f t="shared" si="501"/>
        <v>-34387</v>
      </c>
      <c r="AY169" s="140">
        <f t="shared" si="501"/>
        <v>-34208</v>
      </c>
      <c r="AZ169" s="140">
        <f t="shared" si="501"/>
        <v>-34028</v>
      </c>
      <c r="BA169" s="140">
        <f t="shared" si="501"/>
        <v>-33848</v>
      </c>
      <c r="BB169" s="140">
        <f t="shared" si="501"/>
        <v>-33668</v>
      </c>
      <c r="BC169" s="140">
        <f t="shared" si="501"/>
        <v>-33488</v>
      </c>
      <c r="BD169" s="140">
        <f t="shared" si="501"/>
        <v>-33308</v>
      </c>
      <c r="BE169" s="140">
        <f t="shared" si="501"/>
        <v>-33128</v>
      </c>
      <c r="BF169" s="140">
        <f t="shared" si="501"/>
        <v>-32948</v>
      </c>
      <c r="BG169" s="140">
        <f t="shared" si="501"/>
        <v>-32769</v>
      </c>
      <c r="BH169" s="140">
        <f t="shared" si="501"/>
        <v>-32589</v>
      </c>
      <c r="BI169" s="140">
        <f t="shared" si="501"/>
        <v>-32409</v>
      </c>
      <c r="BJ169" s="140">
        <f t="shared" si="501"/>
        <v>-32229</v>
      </c>
      <c r="BK169" s="140">
        <f t="shared" si="501"/>
        <v>-32049</v>
      </c>
      <c r="BL169" s="140">
        <f t="shared" si="501"/>
        <v>-31869</v>
      </c>
      <c r="BM169" s="140">
        <f t="shared" si="501"/>
        <v>-31689</v>
      </c>
      <c r="BN169" s="140">
        <f t="shared" ref="BN169:CB169" si="502">DAYS360($B$3,BN64)</f>
        <v>-31509</v>
      </c>
      <c r="BO169" s="140">
        <f t="shared" si="502"/>
        <v>-31330</v>
      </c>
      <c r="BP169" s="140">
        <f t="shared" si="502"/>
        <v>-31150</v>
      </c>
      <c r="BQ169" s="140">
        <f t="shared" si="502"/>
        <v>-30970</v>
      </c>
      <c r="BR169" s="140">
        <f t="shared" si="502"/>
        <v>-30790</v>
      </c>
      <c r="BS169" s="140">
        <f t="shared" si="502"/>
        <v>-30610</v>
      </c>
      <c r="BT169" s="140">
        <f t="shared" si="502"/>
        <v>-30430</v>
      </c>
      <c r="BU169" s="140">
        <f t="shared" si="502"/>
        <v>-30250</v>
      </c>
      <c r="BV169" s="140">
        <f t="shared" si="502"/>
        <v>-30070</v>
      </c>
      <c r="BW169" s="140">
        <f t="shared" si="502"/>
        <v>-29891</v>
      </c>
      <c r="BX169" s="140">
        <f t="shared" si="502"/>
        <v>-29711</v>
      </c>
      <c r="BY169" s="140">
        <f t="shared" si="502"/>
        <v>-29531</v>
      </c>
      <c r="BZ169" s="140">
        <f t="shared" si="502"/>
        <v>-29351</v>
      </c>
      <c r="CA169" s="140">
        <f t="shared" si="502"/>
        <v>-29171</v>
      </c>
      <c r="CB169" s="140">
        <f t="shared" si="502"/>
        <v>-28991</v>
      </c>
      <c r="CC169" s="17"/>
      <c r="CD169" s="17"/>
      <c r="CE169" s="17"/>
    </row>
    <row r="170" spans="1:83">
      <c r="A170" s="16" t="s">
        <v>41</v>
      </c>
      <c r="B170" s="140">
        <f>B169/360</f>
        <v>-119.50555555555556</v>
      </c>
      <c r="C170" s="140">
        <f t="shared" ref="C170:BN170" si="503">C169/360</f>
        <v>-119.00555555555556</v>
      </c>
      <c r="D170" s="140">
        <f t="shared" si="503"/>
        <v>-118.50555555555556</v>
      </c>
      <c r="E170" s="140">
        <f t="shared" si="503"/>
        <v>-118.00555555555556</v>
      </c>
      <c r="F170" s="140">
        <f t="shared" si="503"/>
        <v>-117.50555555555556</v>
      </c>
      <c r="G170" s="140">
        <f t="shared" si="503"/>
        <v>-117.00555555555556</v>
      </c>
      <c r="H170" s="140">
        <f t="shared" si="503"/>
        <v>-116.50555555555556</v>
      </c>
      <c r="I170" s="140">
        <f t="shared" si="503"/>
        <v>-116.00555555555556</v>
      </c>
      <c r="J170" s="140">
        <f t="shared" si="503"/>
        <v>-115.50555555555556</v>
      </c>
      <c r="K170" s="140">
        <f t="shared" si="503"/>
        <v>-115.00833333333334</v>
      </c>
      <c r="L170" s="140">
        <f t="shared" si="503"/>
        <v>-114.50833333333334</v>
      </c>
      <c r="M170" s="140">
        <f t="shared" si="503"/>
        <v>-114.00833333333334</v>
      </c>
      <c r="N170" s="140">
        <f t="shared" si="503"/>
        <v>-113.50833333333334</v>
      </c>
      <c r="O170" s="140">
        <f t="shared" si="503"/>
        <v>-113.00833333333334</v>
      </c>
      <c r="P170" s="140">
        <f t="shared" si="503"/>
        <v>-112.50833333333334</v>
      </c>
      <c r="Q170" s="140">
        <f t="shared" si="503"/>
        <v>-112.00833333333334</v>
      </c>
      <c r="R170" s="140">
        <f t="shared" si="503"/>
        <v>-111.50833333333334</v>
      </c>
      <c r="S170" s="140">
        <f t="shared" si="503"/>
        <v>-111.01111111111111</v>
      </c>
      <c r="T170" s="140">
        <f t="shared" si="503"/>
        <v>-110.51111111111111</v>
      </c>
      <c r="U170" s="140">
        <f t="shared" si="503"/>
        <v>-110.01111111111111</v>
      </c>
      <c r="V170" s="140">
        <f t="shared" si="503"/>
        <v>-109.51111111111111</v>
      </c>
      <c r="W170" s="140">
        <f t="shared" si="503"/>
        <v>-109.01111111111111</v>
      </c>
      <c r="X170" s="140">
        <f t="shared" si="503"/>
        <v>-108.51111111111111</v>
      </c>
      <c r="Y170" s="140">
        <f t="shared" si="503"/>
        <v>-108.01111111111111</v>
      </c>
      <c r="Z170" s="140">
        <f t="shared" si="503"/>
        <v>-107.51111111111111</v>
      </c>
      <c r="AA170" s="140">
        <f t="shared" si="503"/>
        <v>-107.01388888888889</v>
      </c>
      <c r="AB170" s="140">
        <f t="shared" si="503"/>
        <v>-106.51388888888889</v>
      </c>
      <c r="AC170" s="140">
        <f t="shared" si="503"/>
        <v>-106.01388888888889</v>
      </c>
      <c r="AD170" s="140">
        <f t="shared" si="503"/>
        <v>-105.51388888888889</v>
      </c>
      <c r="AE170" s="140">
        <f t="shared" si="503"/>
        <v>-105.01388888888889</v>
      </c>
      <c r="AF170" s="140">
        <f t="shared" si="503"/>
        <v>-104.51388888888889</v>
      </c>
      <c r="AG170" s="140">
        <f t="shared" si="503"/>
        <v>-104.01388888888889</v>
      </c>
      <c r="AH170" s="140">
        <f t="shared" si="503"/>
        <v>-103.51388888888889</v>
      </c>
      <c r="AI170" s="140">
        <f t="shared" si="503"/>
        <v>-103.01666666666667</v>
      </c>
      <c r="AJ170" s="140">
        <f t="shared" si="503"/>
        <v>-102.51666666666667</v>
      </c>
      <c r="AK170" s="140">
        <f t="shared" si="503"/>
        <v>-102.01666666666667</v>
      </c>
      <c r="AL170" s="140">
        <f t="shared" si="503"/>
        <v>-101.51666666666667</v>
      </c>
      <c r="AM170" s="140">
        <f t="shared" si="503"/>
        <v>-101.01666666666667</v>
      </c>
      <c r="AN170" s="140">
        <f t="shared" si="503"/>
        <v>-100.51666666666667</v>
      </c>
      <c r="AO170" s="140">
        <f t="shared" si="503"/>
        <v>-100.01666666666667</v>
      </c>
      <c r="AP170" s="140">
        <f t="shared" si="503"/>
        <v>-99.516666666666666</v>
      </c>
      <c r="AQ170" s="140">
        <f t="shared" si="503"/>
        <v>-99.019444444444446</v>
      </c>
      <c r="AR170" s="140">
        <f t="shared" si="503"/>
        <v>-98.519444444444446</v>
      </c>
      <c r="AS170" s="140">
        <f t="shared" si="503"/>
        <v>-98.019444444444446</v>
      </c>
      <c r="AT170" s="140">
        <f t="shared" si="503"/>
        <v>-97.519444444444446</v>
      </c>
      <c r="AU170" s="140">
        <f t="shared" si="503"/>
        <v>-97.019444444444446</v>
      </c>
      <c r="AV170" s="140">
        <f t="shared" si="503"/>
        <v>-96.519444444444446</v>
      </c>
      <c r="AW170" s="140">
        <f t="shared" si="503"/>
        <v>-96.019444444444446</v>
      </c>
      <c r="AX170" s="140">
        <f t="shared" si="503"/>
        <v>-95.519444444444446</v>
      </c>
      <c r="AY170" s="140">
        <f t="shared" si="503"/>
        <v>-95.022222222222226</v>
      </c>
      <c r="AZ170" s="140">
        <f t="shared" si="503"/>
        <v>-94.522222222222226</v>
      </c>
      <c r="BA170" s="140">
        <f t="shared" si="503"/>
        <v>-94.022222222222226</v>
      </c>
      <c r="BB170" s="140">
        <f t="shared" si="503"/>
        <v>-93.522222222222226</v>
      </c>
      <c r="BC170" s="140">
        <f t="shared" si="503"/>
        <v>-93.022222222222226</v>
      </c>
      <c r="BD170" s="140">
        <f t="shared" si="503"/>
        <v>-92.522222222222226</v>
      </c>
      <c r="BE170" s="140">
        <f t="shared" si="503"/>
        <v>-92.022222222222226</v>
      </c>
      <c r="BF170" s="140">
        <f t="shared" si="503"/>
        <v>-91.522222222222226</v>
      </c>
      <c r="BG170" s="140">
        <f t="shared" si="503"/>
        <v>-91.025000000000006</v>
      </c>
      <c r="BH170" s="140">
        <f t="shared" si="503"/>
        <v>-90.525000000000006</v>
      </c>
      <c r="BI170" s="140">
        <f t="shared" si="503"/>
        <v>-90.025000000000006</v>
      </c>
      <c r="BJ170" s="140">
        <f t="shared" si="503"/>
        <v>-89.525000000000006</v>
      </c>
      <c r="BK170" s="140">
        <f t="shared" si="503"/>
        <v>-89.025000000000006</v>
      </c>
      <c r="BL170" s="140">
        <f t="shared" si="503"/>
        <v>-88.525000000000006</v>
      </c>
      <c r="BM170" s="140">
        <f t="shared" si="503"/>
        <v>-88.025000000000006</v>
      </c>
      <c r="BN170" s="140">
        <f t="shared" si="503"/>
        <v>-87.525000000000006</v>
      </c>
      <c r="BO170" s="140">
        <f t="shared" ref="BO170:CB170" si="504">BO169/360</f>
        <v>-87.027777777777771</v>
      </c>
      <c r="BP170" s="140">
        <f t="shared" si="504"/>
        <v>-86.527777777777771</v>
      </c>
      <c r="BQ170" s="140">
        <f t="shared" si="504"/>
        <v>-86.027777777777771</v>
      </c>
      <c r="BR170" s="140">
        <f t="shared" si="504"/>
        <v>-85.527777777777771</v>
      </c>
      <c r="BS170" s="140">
        <f t="shared" si="504"/>
        <v>-85.027777777777771</v>
      </c>
      <c r="BT170" s="140">
        <f t="shared" si="504"/>
        <v>-84.527777777777771</v>
      </c>
      <c r="BU170" s="140">
        <f t="shared" si="504"/>
        <v>-84.027777777777771</v>
      </c>
      <c r="BV170" s="140">
        <f t="shared" si="504"/>
        <v>-83.527777777777771</v>
      </c>
      <c r="BW170" s="140">
        <f t="shared" si="504"/>
        <v>-83.030555555555551</v>
      </c>
      <c r="BX170" s="140">
        <f t="shared" si="504"/>
        <v>-82.530555555555551</v>
      </c>
      <c r="BY170" s="140">
        <f t="shared" si="504"/>
        <v>-82.030555555555551</v>
      </c>
      <c r="BZ170" s="140">
        <f t="shared" si="504"/>
        <v>-81.530555555555551</v>
      </c>
      <c r="CA170" s="140">
        <f t="shared" si="504"/>
        <v>-81.030555555555551</v>
      </c>
      <c r="CB170" s="140">
        <f t="shared" si="504"/>
        <v>-80.530555555555551</v>
      </c>
      <c r="CC170" s="17"/>
      <c r="CD170" s="17"/>
      <c r="CE170" s="17"/>
    </row>
    <row r="171" spans="1:83">
      <c r="A171" s="16" t="s">
        <v>43</v>
      </c>
      <c r="B171" s="140">
        <f>IF(B169&lt;0,0,$B$5+$B$6*((1-EXP(-B170/$B$9))/(B170/$B$9))+$B$7*((1-EXP(-B170/$B$9))/(B170/$B$9)-EXP(-B170/$B$9))+$B$8*((1-EXP(-B170/$B$10))/(B170/$B$10)-EXP(-B170/$B$10)))</f>
        <v>0</v>
      </c>
      <c r="C171" s="140">
        <f t="shared" ref="C171:BN171" si="505">IF(C169&lt;0,0,$B$5+$B$6*((1-EXP(-C170/$B$9))/(C170/$B$9))+$B$7*((1-EXP(-C170/$B$9))/(C170/$B$9)-EXP(-C170/$B$9))+$B$8*((1-EXP(-C170/$B$10))/(C170/$B$10)-EXP(-C170/$B$10)))</f>
        <v>0</v>
      </c>
      <c r="D171" s="140">
        <f t="shared" si="505"/>
        <v>0</v>
      </c>
      <c r="E171" s="140">
        <f t="shared" si="505"/>
        <v>0</v>
      </c>
      <c r="F171" s="140">
        <f t="shared" si="505"/>
        <v>0</v>
      </c>
      <c r="G171" s="140">
        <f t="shared" si="505"/>
        <v>0</v>
      </c>
      <c r="H171" s="140">
        <f t="shared" si="505"/>
        <v>0</v>
      </c>
      <c r="I171" s="140">
        <f t="shared" si="505"/>
        <v>0</v>
      </c>
      <c r="J171" s="140">
        <f t="shared" si="505"/>
        <v>0</v>
      </c>
      <c r="K171" s="140">
        <f t="shared" si="505"/>
        <v>0</v>
      </c>
      <c r="L171" s="140">
        <f t="shared" si="505"/>
        <v>0</v>
      </c>
      <c r="M171" s="140">
        <f t="shared" si="505"/>
        <v>0</v>
      </c>
      <c r="N171" s="140">
        <f t="shared" si="505"/>
        <v>0</v>
      </c>
      <c r="O171" s="140">
        <f t="shared" si="505"/>
        <v>0</v>
      </c>
      <c r="P171" s="140">
        <f t="shared" si="505"/>
        <v>0</v>
      </c>
      <c r="Q171" s="140">
        <f t="shared" si="505"/>
        <v>0</v>
      </c>
      <c r="R171" s="140">
        <f t="shared" si="505"/>
        <v>0</v>
      </c>
      <c r="S171" s="140">
        <f t="shared" si="505"/>
        <v>0</v>
      </c>
      <c r="T171" s="140">
        <f t="shared" si="505"/>
        <v>0</v>
      </c>
      <c r="U171" s="140">
        <f t="shared" si="505"/>
        <v>0</v>
      </c>
      <c r="V171" s="140">
        <f t="shared" si="505"/>
        <v>0</v>
      </c>
      <c r="W171" s="140">
        <f t="shared" si="505"/>
        <v>0</v>
      </c>
      <c r="X171" s="140">
        <f t="shared" si="505"/>
        <v>0</v>
      </c>
      <c r="Y171" s="140">
        <f t="shared" si="505"/>
        <v>0</v>
      </c>
      <c r="Z171" s="140">
        <f t="shared" si="505"/>
        <v>0</v>
      </c>
      <c r="AA171" s="140">
        <f t="shared" si="505"/>
        <v>0</v>
      </c>
      <c r="AB171" s="140">
        <f t="shared" si="505"/>
        <v>0</v>
      </c>
      <c r="AC171" s="140">
        <f t="shared" si="505"/>
        <v>0</v>
      </c>
      <c r="AD171" s="140">
        <f t="shared" si="505"/>
        <v>0</v>
      </c>
      <c r="AE171" s="140">
        <f t="shared" si="505"/>
        <v>0</v>
      </c>
      <c r="AF171" s="140">
        <f t="shared" si="505"/>
        <v>0</v>
      </c>
      <c r="AG171" s="140">
        <f t="shared" si="505"/>
        <v>0</v>
      </c>
      <c r="AH171" s="140">
        <f t="shared" si="505"/>
        <v>0</v>
      </c>
      <c r="AI171" s="140">
        <f t="shared" si="505"/>
        <v>0</v>
      </c>
      <c r="AJ171" s="140">
        <f t="shared" si="505"/>
        <v>0</v>
      </c>
      <c r="AK171" s="140">
        <f t="shared" si="505"/>
        <v>0</v>
      </c>
      <c r="AL171" s="140">
        <f t="shared" si="505"/>
        <v>0</v>
      </c>
      <c r="AM171" s="140">
        <f t="shared" si="505"/>
        <v>0</v>
      </c>
      <c r="AN171" s="140">
        <f t="shared" si="505"/>
        <v>0</v>
      </c>
      <c r="AO171" s="140">
        <f t="shared" si="505"/>
        <v>0</v>
      </c>
      <c r="AP171" s="140">
        <f t="shared" si="505"/>
        <v>0</v>
      </c>
      <c r="AQ171" s="140">
        <f t="shared" si="505"/>
        <v>0</v>
      </c>
      <c r="AR171" s="140">
        <f t="shared" si="505"/>
        <v>0</v>
      </c>
      <c r="AS171" s="140">
        <f t="shared" si="505"/>
        <v>0</v>
      </c>
      <c r="AT171" s="140">
        <f t="shared" si="505"/>
        <v>0</v>
      </c>
      <c r="AU171" s="140">
        <f t="shared" si="505"/>
        <v>0</v>
      </c>
      <c r="AV171" s="140">
        <f t="shared" si="505"/>
        <v>0</v>
      </c>
      <c r="AW171" s="140">
        <f t="shared" si="505"/>
        <v>0</v>
      </c>
      <c r="AX171" s="140">
        <f t="shared" si="505"/>
        <v>0</v>
      </c>
      <c r="AY171" s="140">
        <f t="shared" si="505"/>
        <v>0</v>
      </c>
      <c r="AZ171" s="140">
        <f t="shared" si="505"/>
        <v>0</v>
      </c>
      <c r="BA171" s="140">
        <f t="shared" si="505"/>
        <v>0</v>
      </c>
      <c r="BB171" s="140">
        <f t="shared" si="505"/>
        <v>0</v>
      </c>
      <c r="BC171" s="140">
        <f t="shared" si="505"/>
        <v>0</v>
      </c>
      <c r="BD171" s="140">
        <f t="shared" si="505"/>
        <v>0</v>
      </c>
      <c r="BE171" s="140">
        <f t="shared" si="505"/>
        <v>0</v>
      </c>
      <c r="BF171" s="140">
        <f t="shared" si="505"/>
        <v>0</v>
      </c>
      <c r="BG171" s="140">
        <f t="shared" si="505"/>
        <v>0</v>
      </c>
      <c r="BH171" s="140">
        <f t="shared" si="505"/>
        <v>0</v>
      </c>
      <c r="BI171" s="140">
        <f t="shared" si="505"/>
        <v>0</v>
      </c>
      <c r="BJ171" s="140">
        <f t="shared" si="505"/>
        <v>0</v>
      </c>
      <c r="BK171" s="140">
        <f t="shared" si="505"/>
        <v>0</v>
      </c>
      <c r="BL171" s="140">
        <f t="shared" si="505"/>
        <v>0</v>
      </c>
      <c r="BM171" s="140">
        <f t="shared" si="505"/>
        <v>0</v>
      </c>
      <c r="BN171" s="140">
        <f t="shared" si="505"/>
        <v>0</v>
      </c>
      <c r="BO171" s="140">
        <f t="shared" ref="BO171:CB171" si="506">IF(BO169&lt;0,0,$B$5+$B$6*((1-EXP(-BO170/$B$9))/(BO170/$B$9))+$B$7*((1-EXP(-BO170/$B$9))/(BO170/$B$9)-EXP(-BO170/$B$9))+$B$8*((1-EXP(-BO170/$B$10))/(BO170/$B$10)-EXP(-BO170/$B$10)))</f>
        <v>0</v>
      </c>
      <c r="BP171" s="140">
        <f t="shared" si="506"/>
        <v>0</v>
      </c>
      <c r="BQ171" s="140">
        <f t="shared" si="506"/>
        <v>0</v>
      </c>
      <c r="BR171" s="140">
        <f t="shared" si="506"/>
        <v>0</v>
      </c>
      <c r="BS171" s="140">
        <f t="shared" si="506"/>
        <v>0</v>
      </c>
      <c r="BT171" s="140">
        <f t="shared" si="506"/>
        <v>0</v>
      </c>
      <c r="BU171" s="140">
        <f t="shared" si="506"/>
        <v>0</v>
      </c>
      <c r="BV171" s="140">
        <f t="shared" si="506"/>
        <v>0</v>
      </c>
      <c r="BW171" s="140">
        <f t="shared" si="506"/>
        <v>0</v>
      </c>
      <c r="BX171" s="140">
        <f t="shared" si="506"/>
        <v>0</v>
      </c>
      <c r="BY171" s="140">
        <f t="shared" si="506"/>
        <v>0</v>
      </c>
      <c r="BZ171" s="140">
        <f t="shared" si="506"/>
        <v>0</v>
      </c>
      <c r="CA171" s="140">
        <f t="shared" si="506"/>
        <v>0</v>
      </c>
      <c r="CB171" s="140">
        <f t="shared" si="506"/>
        <v>0</v>
      </c>
      <c r="CC171" s="17"/>
      <c r="CD171" s="17"/>
      <c r="CE171" s="17"/>
    </row>
    <row r="172" spans="1:83">
      <c r="A172" s="16" t="s">
        <v>44</v>
      </c>
      <c r="B172" s="140">
        <f>EXP(-B171*B170)</f>
        <v>1</v>
      </c>
      <c r="C172" s="140">
        <f t="shared" ref="C172:AR172" si="507">EXP(-C171*C170)</f>
        <v>1</v>
      </c>
      <c r="D172" s="140">
        <f t="shared" si="507"/>
        <v>1</v>
      </c>
      <c r="E172" s="140">
        <f t="shared" si="507"/>
        <v>1</v>
      </c>
      <c r="F172" s="140">
        <f t="shared" si="507"/>
        <v>1</v>
      </c>
      <c r="G172" s="140">
        <f t="shared" si="507"/>
        <v>1</v>
      </c>
      <c r="H172" s="140">
        <f t="shared" si="507"/>
        <v>1</v>
      </c>
      <c r="I172" s="140">
        <f t="shared" si="507"/>
        <v>1</v>
      </c>
      <c r="J172" s="140">
        <f t="shared" si="507"/>
        <v>1</v>
      </c>
      <c r="K172" s="140">
        <f t="shared" si="507"/>
        <v>1</v>
      </c>
      <c r="L172" s="140">
        <f t="shared" si="507"/>
        <v>1</v>
      </c>
      <c r="M172" s="140">
        <f t="shared" si="507"/>
        <v>1</v>
      </c>
      <c r="N172" s="140">
        <f t="shared" si="507"/>
        <v>1</v>
      </c>
      <c r="O172" s="140">
        <f t="shared" si="507"/>
        <v>1</v>
      </c>
      <c r="P172" s="140">
        <f t="shared" si="507"/>
        <v>1</v>
      </c>
      <c r="Q172" s="140">
        <f t="shared" si="507"/>
        <v>1</v>
      </c>
      <c r="R172" s="140">
        <f t="shared" si="507"/>
        <v>1</v>
      </c>
      <c r="S172" s="140">
        <f t="shared" si="507"/>
        <v>1</v>
      </c>
      <c r="T172" s="140">
        <f t="shared" si="507"/>
        <v>1</v>
      </c>
      <c r="U172" s="140">
        <f t="shared" si="507"/>
        <v>1</v>
      </c>
      <c r="V172" s="140">
        <f t="shared" si="507"/>
        <v>1</v>
      </c>
      <c r="W172" s="140">
        <f t="shared" si="507"/>
        <v>1</v>
      </c>
      <c r="X172" s="140">
        <f t="shared" si="507"/>
        <v>1</v>
      </c>
      <c r="Y172" s="140">
        <f t="shared" si="507"/>
        <v>1</v>
      </c>
      <c r="Z172" s="140">
        <f t="shared" si="507"/>
        <v>1</v>
      </c>
      <c r="AA172" s="140">
        <f t="shared" si="507"/>
        <v>1</v>
      </c>
      <c r="AB172" s="140">
        <f t="shared" si="507"/>
        <v>1</v>
      </c>
      <c r="AC172" s="140">
        <f t="shared" si="507"/>
        <v>1</v>
      </c>
      <c r="AD172" s="140">
        <f t="shared" si="507"/>
        <v>1</v>
      </c>
      <c r="AE172" s="140">
        <f t="shared" si="507"/>
        <v>1</v>
      </c>
      <c r="AF172" s="140">
        <f t="shared" si="507"/>
        <v>1</v>
      </c>
      <c r="AG172" s="140">
        <f t="shared" si="507"/>
        <v>1</v>
      </c>
      <c r="AH172" s="140">
        <f t="shared" si="507"/>
        <v>1</v>
      </c>
      <c r="AI172" s="140">
        <f t="shared" si="507"/>
        <v>1</v>
      </c>
      <c r="AJ172" s="140">
        <f t="shared" si="507"/>
        <v>1</v>
      </c>
      <c r="AK172" s="140">
        <f t="shared" si="507"/>
        <v>1</v>
      </c>
      <c r="AL172" s="140">
        <f t="shared" si="507"/>
        <v>1</v>
      </c>
      <c r="AM172" s="140">
        <f t="shared" si="507"/>
        <v>1</v>
      </c>
      <c r="AN172" s="140">
        <f t="shared" si="507"/>
        <v>1</v>
      </c>
      <c r="AO172" s="140">
        <f t="shared" si="507"/>
        <v>1</v>
      </c>
      <c r="AP172" s="140">
        <f t="shared" si="507"/>
        <v>1</v>
      </c>
      <c r="AQ172" s="140">
        <f t="shared" si="507"/>
        <v>1</v>
      </c>
      <c r="AR172" s="140">
        <f t="shared" si="507"/>
        <v>1</v>
      </c>
      <c r="AS172" s="140">
        <f>EXP(-AS171*AS170)</f>
        <v>1</v>
      </c>
      <c r="AT172" s="140">
        <f t="shared" ref="AT172:CA172" si="508">EXP(-AT171*AT170)</f>
        <v>1</v>
      </c>
      <c r="AU172" s="140">
        <f t="shared" si="508"/>
        <v>1</v>
      </c>
      <c r="AV172" s="140">
        <f t="shared" si="508"/>
        <v>1</v>
      </c>
      <c r="AW172" s="140">
        <f t="shared" si="508"/>
        <v>1</v>
      </c>
      <c r="AX172" s="140">
        <f t="shared" si="508"/>
        <v>1</v>
      </c>
      <c r="AY172" s="140">
        <f t="shared" si="508"/>
        <v>1</v>
      </c>
      <c r="AZ172" s="140">
        <f t="shared" si="508"/>
        <v>1</v>
      </c>
      <c r="BA172" s="140">
        <f t="shared" si="508"/>
        <v>1</v>
      </c>
      <c r="BB172" s="140">
        <f t="shared" si="508"/>
        <v>1</v>
      </c>
      <c r="BC172" s="140">
        <f t="shared" si="508"/>
        <v>1</v>
      </c>
      <c r="BD172" s="140">
        <f t="shared" si="508"/>
        <v>1</v>
      </c>
      <c r="BE172" s="140">
        <f t="shared" si="508"/>
        <v>1</v>
      </c>
      <c r="BF172" s="140">
        <f t="shared" si="508"/>
        <v>1</v>
      </c>
      <c r="BG172" s="140">
        <f t="shared" si="508"/>
        <v>1</v>
      </c>
      <c r="BH172" s="140">
        <f t="shared" si="508"/>
        <v>1</v>
      </c>
      <c r="BI172" s="140">
        <f t="shared" si="508"/>
        <v>1</v>
      </c>
      <c r="BJ172" s="140">
        <f t="shared" si="508"/>
        <v>1</v>
      </c>
      <c r="BK172" s="140">
        <f t="shared" si="508"/>
        <v>1</v>
      </c>
      <c r="BL172" s="140">
        <f t="shared" si="508"/>
        <v>1</v>
      </c>
      <c r="BM172" s="140">
        <f t="shared" si="508"/>
        <v>1</v>
      </c>
      <c r="BN172" s="140">
        <f t="shared" si="508"/>
        <v>1</v>
      </c>
      <c r="BO172" s="140">
        <f t="shared" si="508"/>
        <v>1</v>
      </c>
      <c r="BP172" s="140">
        <f t="shared" si="508"/>
        <v>1</v>
      </c>
      <c r="BQ172" s="140">
        <f t="shared" si="508"/>
        <v>1</v>
      </c>
      <c r="BR172" s="140">
        <f t="shared" si="508"/>
        <v>1</v>
      </c>
      <c r="BS172" s="140">
        <f t="shared" si="508"/>
        <v>1</v>
      </c>
      <c r="BT172" s="140">
        <f t="shared" si="508"/>
        <v>1</v>
      </c>
      <c r="BU172" s="140">
        <f t="shared" si="508"/>
        <v>1</v>
      </c>
      <c r="BV172" s="140">
        <f t="shared" si="508"/>
        <v>1</v>
      </c>
      <c r="BW172" s="140">
        <f t="shared" si="508"/>
        <v>1</v>
      </c>
      <c r="BX172" s="140">
        <f t="shared" si="508"/>
        <v>1</v>
      </c>
      <c r="BY172" s="140">
        <f t="shared" si="508"/>
        <v>1</v>
      </c>
      <c r="BZ172" s="140">
        <f t="shared" si="508"/>
        <v>1</v>
      </c>
      <c r="CA172" s="140">
        <f t="shared" si="508"/>
        <v>1</v>
      </c>
      <c r="CB172" s="140">
        <f>EXP(-CB171*CB170)</f>
        <v>1</v>
      </c>
      <c r="CC172" s="17"/>
      <c r="CD172" s="17"/>
      <c r="CE172" s="17"/>
    </row>
    <row r="173" spans="1:83">
      <c r="A173" s="17"/>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17"/>
      <c r="CD173" s="17"/>
      <c r="CE173" s="17"/>
    </row>
    <row r="174" spans="1:83">
      <c r="A174" s="16" t="s">
        <v>40</v>
      </c>
      <c r="B174" s="140">
        <f t="shared" ref="B174:BM174" si="509">DAYS360($B$3,B66)</f>
        <v>-43022</v>
      </c>
      <c r="C174" s="140">
        <f t="shared" si="509"/>
        <v>-42842</v>
      </c>
      <c r="D174" s="140">
        <f t="shared" si="509"/>
        <v>-42662</v>
      </c>
      <c r="E174" s="140">
        <f t="shared" si="509"/>
        <v>-42482</v>
      </c>
      <c r="F174" s="140">
        <f t="shared" si="509"/>
        <v>-42302</v>
      </c>
      <c r="G174" s="140">
        <f t="shared" si="509"/>
        <v>-42122</v>
      </c>
      <c r="H174" s="140">
        <f t="shared" si="509"/>
        <v>-41942</v>
      </c>
      <c r="I174" s="140">
        <f t="shared" si="509"/>
        <v>-41762</v>
      </c>
      <c r="J174" s="140">
        <f t="shared" si="509"/>
        <v>-41582</v>
      </c>
      <c r="K174" s="140">
        <f t="shared" si="509"/>
        <v>-41403</v>
      </c>
      <c r="L174" s="140">
        <f t="shared" si="509"/>
        <v>-41223</v>
      </c>
      <c r="M174" s="140">
        <f t="shared" si="509"/>
        <v>-41043</v>
      </c>
      <c r="N174" s="140">
        <f t="shared" si="509"/>
        <v>-40863</v>
      </c>
      <c r="O174" s="140">
        <f t="shared" si="509"/>
        <v>-40683</v>
      </c>
      <c r="P174" s="140">
        <f t="shared" si="509"/>
        <v>-40503</v>
      </c>
      <c r="Q174" s="140">
        <f t="shared" si="509"/>
        <v>-40323</v>
      </c>
      <c r="R174" s="140">
        <f t="shared" si="509"/>
        <v>-40143</v>
      </c>
      <c r="S174" s="140">
        <f t="shared" si="509"/>
        <v>-39964</v>
      </c>
      <c r="T174" s="140">
        <f t="shared" si="509"/>
        <v>-39784</v>
      </c>
      <c r="U174" s="140">
        <f t="shared" si="509"/>
        <v>-39604</v>
      </c>
      <c r="V174" s="140">
        <f t="shared" si="509"/>
        <v>-39424</v>
      </c>
      <c r="W174" s="140">
        <f t="shared" si="509"/>
        <v>-39244</v>
      </c>
      <c r="X174" s="140">
        <f t="shared" si="509"/>
        <v>-39064</v>
      </c>
      <c r="Y174" s="140">
        <f t="shared" si="509"/>
        <v>-38884</v>
      </c>
      <c r="Z174" s="140">
        <f t="shared" si="509"/>
        <v>-38704</v>
      </c>
      <c r="AA174" s="140">
        <f t="shared" si="509"/>
        <v>-38525</v>
      </c>
      <c r="AB174" s="140">
        <f t="shared" si="509"/>
        <v>-38345</v>
      </c>
      <c r="AC174" s="140">
        <f t="shared" si="509"/>
        <v>-38165</v>
      </c>
      <c r="AD174" s="140">
        <f t="shared" si="509"/>
        <v>-37985</v>
      </c>
      <c r="AE174" s="140">
        <f t="shared" si="509"/>
        <v>-37805</v>
      </c>
      <c r="AF174" s="140">
        <f t="shared" si="509"/>
        <v>-37625</v>
      </c>
      <c r="AG174" s="140">
        <f t="shared" si="509"/>
        <v>-37445</v>
      </c>
      <c r="AH174" s="140">
        <f t="shared" si="509"/>
        <v>-37265</v>
      </c>
      <c r="AI174" s="140">
        <f t="shared" si="509"/>
        <v>-37086</v>
      </c>
      <c r="AJ174" s="140">
        <f t="shared" si="509"/>
        <v>-36906</v>
      </c>
      <c r="AK174" s="140">
        <f t="shared" si="509"/>
        <v>-36726</v>
      </c>
      <c r="AL174" s="140">
        <f t="shared" si="509"/>
        <v>-36546</v>
      </c>
      <c r="AM174" s="140">
        <f t="shared" si="509"/>
        <v>-36366</v>
      </c>
      <c r="AN174" s="140">
        <f t="shared" si="509"/>
        <v>-36186</v>
      </c>
      <c r="AO174" s="140">
        <f t="shared" si="509"/>
        <v>-36006</v>
      </c>
      <c r="AP174" s="140">
        <f t="shared" si="509"/>
        <v>-35826</v>
      </c>
      <c r="AQ174" s="140">
        <f t="shared" si="509"/>
        <v>-35647</v>
      </c>
      <c r="AR174" s="140">
        <f t="shared" si="509"/>
        <v>-35467</v>
      </c>
      <c r="AS174" s="140">
        <f t="shared" si="509"/>
        <v>-35287</v>
      </c>
      <c r="AT174" s="140">
        <f t="shared" si="509"/>
        <v>-35107</v>
      </c>
      <c r="AU174" s="140">
        <f t="shared" si="509"/>
        <v>-34927</v>
      </c>
      <c r="AV174" s="140">
        <f t="shared" si="509"/>
        <v>-34747</v>
      </c>
      <c r="AW174" s="140">
        <f t="shared" si="509"/>
        <v>-34567</v>
      </c>
      <c r="AX174" s="140">
        <f t="shared" si="509"/>
        <v>-34387</v>
      </c>
      <c r="AY174" s="140">
        <f t="shared" si="509"/>
        <v>-34208</v>
      </c>
      <c r="AZ174" s="140">
        <f t="shared" si="509"/>
        <v>-34028</v>
      </c>
      <c r="BA174" s="140">
        <f t="shared" si="509"/>
        <v>-33848</v>
      </c>
      <c r="BB174" s="140">
        <f t="shared" si="509"/>
        <v>-33668</v>
      </c>
      <c r="BC174" s="140">
        <f t="shared" si="509"/>
        <v>-33488</v>
      </c>
      <c r="BD174" s="140">
        <f t="shared" si="509"/>
        <v>-33308</v>
      </c>
      <c r="BE174" s="140">
        <f t="shared" si="509"/>
        <v>-33128</v>
      </c>
      <c r="BF174" s="140">
        <f t="shared" si="509"/>
        <v>-32948</v>
      </c>
      <c r="BG174" s="140">
        <f t="shared" si="509"/>
        <v>-32769</v>
      </c>
      <c r="BH174" s="140">
        <f t="shared" si="509"/>
        <v>-32589</v>
      </c>
      <c r="BI174" s="140">
        <f t="shared" si="509"/>
        <v>-32409</v>
      </c>
      <c r="BJ174" s="140">
        <f t="shared" si="509"/>
        <v>-32229</v>
      </c>
      <c r="BK174" s="140">
        <f t="shared" si="509"/>
        <v>-32049</v>
      </c>
      <c r="BL174" s="140">
        <f t="shared" si="509"/>
        <v>-31869</v>
      </c>
      <c r="BM174" s="140">
        <f t="shared" si="509"/>
        <v>-31689</v>
      </c>
      <c r="BN174" s="140">
        <f t="shared" ref="BN174:CB174" si="510">DAYS360($B$3,BN66)</f>
        <v>-31509</v>
      </c>
      <c r="BO174" s="140">
        <f t="shared" si="510"/>
        <v>-31330</v>
      </c>
      <c r="BP174" s="140">
        <f t="shared" si="510"/>
        <v>-31150</v>
      </c>
      <c r="BQ174" s="140">
        <f t="shared" si="510"/>
        <v>-30970</v>
      </c>
      <c r="BR174" s="140">
        <f t="shared" si="510"/>
        <v>-30790</v>
      </c>
      <c r="BS174" s="140">
        <f t="shared" si="510"/>
        <v>-30610</v>
      </c>
      <c r="BT174" s="140">
        <f t="shared" si="510"/>
        <v>-30430</v>
      </c>
      <c r="BU174" s="140">
        <f t="shared" si="510"/>
        <v>-30250</v>
      </c>
      <c r="BV174" s="140">
        <f t="shared" si="510"/>
        <v>-30070</v>
      </c>
      <c r="BW174" s="140">
        <f t="shared" si="510"/>
        <v>-29891</v>
      </c>
      <c r="BX174" s="140">
        <f t="shared" si="510"/>
        <v>-29711</v>
      </c>
      <c r="BY174" s="140">
        <f t="shared" si="510"/>
        <v>-29531</v>
      </c>
      <c r="BZ174" s="140">
        <f t="shared" si="510"/>
        <v>-29351</v>
      </c>
      <c r="CA174" s="140">
        <f t="shared" si="510"/>
        <v>-29171</v>
      </c>
      <c r="CB174" s="140">
        <f t="shared" si="510"/>
        <v>-28991</v>
      </c>
      <c r="CC174" s="17"/>
      <c r="CD174" s="17"/>
      <c r="CE174" s="17"/>
    </row>
    <row r="175" spans="1:83">
      <c r="A175" s="16" t="s">
        <v>41</v>
      </c>
      <c r="B175" s="140">
        <f>B174/360</f>
        <v>-119.50555555555556</v>
      </c>
      <c r="C175" s="140">
        <f t="shared" ref="C175:BN175" si="511">C174/360</f>
        <v>-119.00555555555556</v>
      </c>
      <c r="D175" s="140">
        <f t="shared" si="511"/>
        <v>-118.50555555555556</v>
      </c>
      <c r="E175" s="140">
        <f t="shared" si="511"/>
        <v>-118.00555555555556</v>
      </c>
      <c r="F175" s="140">
        <f t="shared" si="511"/>
        <v>-117.50555555555556</v>
      </c>
      <c r="G175" s="140">
        <f t="shared" si="511"/>
        <v>-117.00555555555556</v>
      </c>
      <c r="H175" s="140">
        <f t="shared" si="511"/>
        <v>-116.50555555555556</v>
      </c>
      <c r="I175" s="140">
        <f t="shared" si="511"/>
        <v>-116.00555555555556</v>
      </c>
      <c r="J175" s="140">
        <f t="shared" si="511"/>
        <v>-115.50555555555556</v>
      </c>
      <c r="K175" s="140">
        <f t="shared" si="511"/>
        <v>-115.00833333333334</v>
      </c>
      <c r="L175" s="140">
        <f t="shared" si="511"/>
        <v>-114.50833333333334</v>
      </c>
      <c r="M175" s="140">
        <f t="shared" si="511"/>
        <v>-114.00833333333334</v>
      </c>
      <c r="N175" s="140">
        <f t="shared" si="511"/>
        <v>-113.50833333333334</v>
      </c>
      <c r="O175" s="140">
        <f t="shared" si="511"/>
        <v>-113.00833333333334</v>
      </c>
      <c r="P175" s="140">
        <f t="shared" si="511"/>
        <v>-112.50833333333334</v>
      </c>
      <c r="Q175" s="140">
        <f t="shared" si="511"/>
        <v>-112.00833333333334</v>
      </c>
      <c r="R175" s="140">
        <f t="shared" si="511"/>
        <v>-111.50833333333334</v>
      </c>
      <c r="S175" s="140">
        <f t="shared" si="511"/>
        <v>-111.01111111111111</v>
      </c>
      <c r="T175" s="140">
        <f t="shared" si="511"/>
        <v>-110.51111111111111</v>
      </c>
      <c r="U175" s="140">
        <f t="shared" si="511"/>
        <v>-110.01111111111111</v>
      </c>
      <c r="V175" s="140">
        <f t="shared" si="511"/>
        <v>-109.51111111111111</v>
      </c>
      <c r="W175" s="140">
        <f t="shared" si="511"/>
        <v>-109.01111111111111</v>
      </c>
      <c r="X175" s="140">
        <f t="shared" si="511"/>
        <v>-108.51111111111111</v>
      </c>
      <c r="Y175" s="140">
        <f t="shared" si="511"/>
        <v>-108.01111111111111</v>
      </c>
      <c r="Z175" s="140">
        <f t="shared" si="511"/>
        <v>-107.51111111111111</v>
      </c>
      <c r="AA175" s="140">
        <f t="shared" si="511"/>
        <v>-107.01388888888889</v>
      </c>
      <c r="AB175" s="140">
        <f t="shared" si="511"/>
        <v>-106.51388888888889</v>
      </c>
      <c r="AC175" s="140">
        <f t="shared" si="511"/>
        <v>-106.01388888888889</v>
      </c>
      <c r="AD175" s="140">
        <f t="shared" si="511"/>
        <v>-105.51388888888889</v>
      </c>
      <c r="AE175" s="140">
        <f t="shared" si="511"/>
        <v>-105.01388888888889</v>
      </c>
      <c r="AF175" s="140">
        <f t="shared" si="511"/>
        <v>-104.51388888888889</v>
      </c>
      <c r="AG175" s="140">
        <f t="shared" si="511"/>
        <v>-104.01388888888889</v>
      </c>
      <c r="AH175" s="140">
        <f t="shared" si="511"/>
        <v>-103.51388888888889</v>
      </c>
      <c r="AI175" s="140">
        <f t="shared" si="511"/>
        <v>-103.01666666666667</v>
      </c>
      <c r="AJ175" s="140">
        <f t="shared" si="511"/>
        <v>-102.51666666666667</v>
      </c>
      <c r="AK175" s="140">
        <f t="shared" si="511"/>
        <v>-102.01666666666667</v>
      </c>
      <c r="AL175" s="140">
        <f t="shared" si="511"/>
        <v>-101.51666666666667</v>
      </c>
      <c r="AM175" s="140">
        <f t="shared" si="511"/>
        <v>-101.01666666666667</v>
      </c>
      <c r="AN175" s="140">
        <f t="shared" si="511"/>
        <v>-100.51666666666667</v>
      </c>
      <c r="AO175" s="140">
        <f t="shared" si="511"/>
        <v>-100.01666666666667</v>
      </c>
      <c r="AP175" s="140">
        <f t="shared" si="511"/>
        <v>-99.516666666666666</v>
      </c>
      <c r="AQ175" s="140">
        <f t="shared" si="511"/>
        <v>-99.019444444444446</v>
      </c>
      <c r="AR175" s="140">
        <f t="shared" si="511"/>
        <v>-98.519444444444446</v>
      </c>
      <c r="AS175" s="140">
        <f t="shared" si="511"/>
        <v>-98.019444444444446</v>
      </c>
      <c r="AT175" s="140">
        <f t="shared" si="511"/>
        <v>-97.519444444444446</v>
      </c>
      <c r="AU175" s="140">
        <f t="shared" si="511"/>
        <v>-97.019444444444446</v>
      </c>
      <c r="AV175" s="140">
        <f t="shared" si="511"/>
        <v>-96.519444444444446</v>
      </c>
      <c r="AW175" s="140">
        <f t="shared" si="511"/>
        <v>-96.019444444444446</v>
      </c>
      <c r="AX175" s="140">
        <f t="shared" si="511"/>
        <v>-95.519444444444446</v>
      </c>
      <c r="AY175" s="140">
        <f t="shared" si="511"/>
        <v>-95.022222222222226</v>
      </c>
      <c r="AZ175" s="140">
        <f t="shared" si="511"/>
        <v>-94.522222222222226</v>
      </c>
      <c r="BA175" s="140">
        <f t="shared" si="511"/>
        <v>-94.022222222222226</v>
      </c>
      <c r="BB175" s="140">
        <f t="shared" si="511"/>
        <v>-93.522222222222226</v>
      </c>
      <c r="BC175" s="140">
        <f t="shared" si="511"/>
        <v>-93.022222222222226</v>
      </c>
      <c r="BD175" s="140">
        <f t="shared" si="511"/>
        <v>-92.522222222222226</v>
      </c>
      <c r="BE175" s="140">
        <f t="shared" si="511"/>
        <v>-92.022222222222226</v>
      </c>
      <c r="BF175" s="140">
        <f t="shared" si="511"/>
        <v>-91.522222222222226</v>
      </c>
      <c r="BG175" s="140">
        <f t="shared" si="511"/>
        <v>-91.025000000000006</v>
      </c>
      <c r="BH175" s="140">
        <f t="shared" si="511"/>
        <v>-90.525000000000006</v>
      </c>
      <c r="BI175" s="140">
        <f t="shared" si="511"/>
        <v>-90.025000000000006</v>
      </c>
      <c r="BJ175" s="140">
        <f t="shared" si="511"/>
        <v>-89.525000000000006</v>
      </c>
      <c r="BK175" s="140">
        <f t="shared" si="511"/>
        <v>-89.025000000000006</v>
      </c>
      <c r="BL175" s="140">
        <f t="shared" si="511"/>
        <v>-88.525000000000006</v>
      </c>
      <c r="BM175" s="140">
        <f t="shared" si="511"/>
        <v>-88.025000000000006</v>
      </c>
      <c r="BN175" s="140">
        <f t="shared" si="511"/>
        <v>-87.525000000000006</v>
      </c>
      <c r="BO175" s="140">
        <f t="shared" ref="BO175:CB175" si="512">BO174/360</f>
        <v>-87.027777777777771</v>
      </c>
      <c r="BP175" s="140">
        <f t="shared" si="512"/>
        <v>-86.527777777777771</v>
      </c>
      <c r="BQ175" s="140">
        <f t="shared" si="512"/>
        <v>-86.027777777777771</v>
      </c>
      <c r="BR175" s="140">
        <f t="shared" si="512"/>
        <v>-85.527777777777771</v>
      </c>
      <c r="BS175" s="140">
        <f t="shared" si="512"/>
        <v>-85.027777777777771</v>
      </c>
      <c r="BT175" s="140">
        <f t="shared" si="512"/>
        <v>-84.527777777777771</v>
      </c>
      <c r="BU175" s="140">
        <f t="shared" si="512"/>
        <v>-84.027777777777771</v>
      </c>
      <c r="BV175" s="140">
        <f t="shared" si="512"/>
        <v>-83.527777777777771</v>
      </c>
      <c r="BW175" s="140">
        <f t="shared" si="512"/>
        <v>-83.030555555555551</v>
      </c>
      <c r="BX175" s="140">
        <f t="shared" si="512"/>
        <v>-82.530555555555551</v>
      </c>
      <c r="BY175" s="140">
        <f t="shared" si="512"/>
        <v>-82.030555555555551</v>
      </c>
      <c r="BZ175" s="140">
        <f t="shared" si="512"/>
        <v>-81.530555555555551</v>
      </c>
      <c r="CA175" s="140">
        <f t="shared" si="512"/>
        <v>-81.030555555555551</v>
      </c>
      <c r="CB175" s="140">
        <f t="shared" si="512"/>
        <v>-80.530555555555551</v>
      </c>
      <c r="CC175" s="17"/>
      <c r="CD175" s="17"/>
      <c r="CE175" s="17"/>
    </row>
    <row r="176" spans="1:83">
      <c r="A176" s="16" t="s">
        <v>43</v>
      </c>
      <c r="B176" s="140">
        <f>IF(B174&lt;0,0,$B$5+$B$6*((1-EXP(-B175/$B$9))/(B175/$B$9))+$B$7*((1-EXP(-B175/$B$9))/(B175/$B$9)-EXP(-B175/$B$9))+$B$8*((1-EXP(-B175/$B$10))/(B175/$B$10)-EXP(-B175/$B$10)))</f>
        <v>0</v>
      </c>
      <c r="C176" s="140">
        <f t="shared" ref="C176:BN176" si="513">IF(C174&lt;0,0,$B$5+$B$6*((1-EXP(-C175/$B$9))/(C175/$B$9))+$B$7*((1-EXP(-C175/$B$9))/(C175/$B$9)-EXP(-C175/$B$9))+$B$8*((1-EXP(-C175/$B$10))/(C175/$B$10)-EXP(-C175/$B$10)))</f>
        <v>0</v>
      </c>
      <c r="D176" s="140">
        <f t="shared" si="513"/>
        <v>0</v>
      </c>
      <c r="E176" s="140">
        <f t="shared" si="513"/>
        <v>0</v>
      </c>
      <c r="F176" s="140">
        <f t="shared" si="513"/>
        <v>0</v>
      </c>
      <c r="G176" s="140">
        <f t="shared" si="513"/>
        <v>0</v>
      </c>
      <c r="H176" s="140">
        <f t="shared" si="513"/>
        <v>0</v>
      </c>
      <c r="I176" s="140">
        <f t="shared" si="513"/>
        <v>0</v>
      </c>
      <c r="J176" s="140">
        <f t="shared" si="513"/>
        <v>0</v>
      </c>
      <c r="K176" s="140">
        <f t="shared" si="513"/>
        <v>0</v>
      </c>
      <c r="L176" s="140">
        <f t="shared" si="513"/>
        <v>0</v>
      </c>
      <c r="M176" s="140">
        <f t="shared" si="513"/>
        <v>0</v>
      </c>
      <c r="N176" s="140">
        <f t="shared" si="513"/>
        <v>0</v>
      </c>
      <c r="O176" s="140">
        <f t="shared" si="513"/>
        <v>0</v>
      </c>
      <c r="P176" s="140">
        <f t="shared" si="513"/>
        <v>0</v>
      </c>
      <c r="Q176" s="140">
        <f t="shared" si="513"/>
        <v>0</v>
      </c>
      <c r="R176" s="140">
        <f t="shared" si="513"/>
        <v>0</v>
      </c>
      <c r="S176" s="140">
        <f t="shared" si="513"/>
        <v>0</v>
      </c>
      <c r="T176" s="140">
        <f t="shared" si="513"/>
        <v>0</v>
      </c>
      <c r="U176" s="140">
        <f t="shared" si="513"/>
        <v>0</v>
      </c>
      <c r="V176" s="140">
        <f t="shared" si="513"/>
        <v>0</v>
      </c>
      <c r="W176" s="140">
        <f t="shared" si="513"/>
        <v>0</v>
      </c>
      <c r="X176" s="140">
        <f t="shared" si="513"/>
        <v>0</v>
      </c>
      <c r="Y176" s="140">
        <f t="shared" si="513"/>
        <v>0</v>
      </c>
      <c r="Z176" s="140">
        <f t="shared" si="513"/>
        <v>0</v>
      </c>
      <c r="AA176" s="140">
        <f t="shared" si="513"/>
        <v>0</v>
      </c>
      <c r="AB176" s="140">
        <f t="shared" si="513"/>
        <v>0</v>
      </c>
      <c r="AC176" s="140">
        <f t="shared" si="513"/>
        <v>0</v>
      </c>
      <c r="AD176" s="140">
        <f t="shared" si="513"/>
        <v>0</v>
      </c>
      <c r="AE176" s="140">
        <f t="shared" si="513"/>
        <v>0</v>
      </c>
      <c r="AF176" s="140">
        <f t="shared" si="513"/>
        <v>0</v>
      </c>
      <c r="AG176" s="140">
        <f t="shared" si="513"/>
        <v>0</v>
      </c>
      <c r="AH176" s="140">
        <f t="shared" si="513"/>
        <v>0</v>
      </c>
      <c r="AI176" s="140">
        <f t="shared" si="513"/>
        <v>0</v>
      </c>
      <c r="AJ176" s="140">
        <f t="shared" si="513"/>
        <v>0</v>
      </c>
      <c r="AK176" s="140">
        <f t="shared" si="513"/>
        <v>0</v>
      </c>
      <c r="AL176" s="140">
        <f t="shared" si="513"/>
        <v>0</v>
      </c>
      <c r="AM176" s="140">
        <f t="shared" si="513"/>
        <v>0</v>
      </c>
      <c r="AN176" s="140">
        <f t="shared" si="513"/>
        <v>0</v>
      </c>
      <c r="AO176" s="140">
        <f t="shared" si="513"/>
        <v>0</v>
      </c>
      <c r="AP176" s="140">
        <f t="shared" si="513"/>
        <v>0</v>
      </c>
      <c r="AQ176" s="140">
        <f t="shared" si="513"/>
        <v>0</v>
      </c>
      <c r="AR176" s="140">
        <f t="shared" si="513"/>
        <v>0</v>
      </c>
      <c r="AS176" s="140">
        <f t="shared" si="513"/>
        <v>0</v>
      </c>
      <c r="AT176" s="140">
        <f t="shared" si="513"/>
        <v>0</v>
      </c>
      <c r="AU176" s="140">
        <f t="shared" si="513"/>
        <v>0</v>
      </c>
      <c r="AV176" s="140">
        <f t="shared" si="513"/>
        <v>0</v>
      </c>
      <c r="AW176" s="140">
        <f t="shared" si="513"/>
        <v>0</v>
      </c>
      <c r="AX176" s="140">
        <f t="shared" si="513"/>
        <v>0</v>
      </c>
      <c r="AY176" s="140">
        <f t="shared" si="513"/>
        <v>0</v>
      </c>
      <c r="AZ176" s="140">
        <f t="shared" si="513"/>
        <v>0</v>
      </c>
      <c r="BA176" s="140">
        <f t="shared" si="513"/>
        <v>0</v>
      </c>
      <c r="BB176" s="140">
        <f t="shared" si="513"/>
        <v>0</v>
      </c>
      <c r="BC176" s="140">
        <f t="shared" si="513"/>
        <v>0</v>
      </c>
      <c r="BD176" s="140">
        <f t="shared" si="513"/>
        <v>0</v>
      </c>
      <c r="BE176" s="140">
        <f t="shared" si="513"/>
        <v>0</v>
      </c>
      <c r="BF176" s="140">
        <f t="shared" si="513"/>
        <v>0</v>
      </c>
      <c r="BG176" s="140">
        <f t="shared" si="513"/>
        <v>0</v>
      </c>
      <c r="BH176" s="140">
        <f t="shared" si="513"/>
        <v>0</v>
      </c>
      <c r="BI176" s="140">
        <f t="shared" si="513"/>
        <v>0</v>
      </c>
      <c r="BJ176" s="140">
        <f t="shared" si="513"/>
        <v>0</v>
      </c>
      <c r="BK176" s="140">
        <f t="shared" si="513"/>
        <v>0</v>
      </c>
      <c r="BL176" s="140">
        <f t="shared" si="513"/>
        <v>0</v>
      </c>
      <c r="BM176" s="140">
        <f t="shared" si="513"/>
        <v>0</v>
      </c>
      <c r="BN176" s="140">
        <f t="shared" si="513"/>
        <v>0</v>
      </c>
      <c r="BO176" s="140">
        <f t="shared" ref="BO176:CB176" si="514">IF(BO174&lt;0,0,$B$5+$B$6*((1-EXP(-BO175/$B$9))/(BO175/$B$9))+$B$7*((1-EXP(-BO175/$B$9))/(BO175/$B$9)-EXP(-BO175/$B$9))+$B$8*((1-EXP(-BO175/$B$10))/(BO175/$B$10)-EXP(-BO175/$B$10)))</f>
        <v>0</v>
      </c>
      <c r="BP176" s="140">
        <f t="shared" si="514"/>
        <v>0</v>
      </c>
      <c r="BQ176" s="140">
        <f t="shared" si="514"/>
        <v>0</v>
      </c>
      <c r="BR176" s="140">
        <f t="shared" si="514"/>
        <v>0</v>
      </c>
      <c r="BS176" s="140">
        <f t="shared" si="514"/>
        <v>0</v>
      </c>
      <c r="BT176" s="140">
        <f t="shared" si="514"/>
        <v>0</v>
      </c>
      <c r="BU176" s="140">
        <f t="shared" si="514"/>
        <v>0</v>
      </c>
      <c r="BV176" s="140">
        <f t="shared" si="514"/>
        <v>0</v>
      </c>
      <c r="BW176" s="140">
        <f t="shared" si="514"/>
        <v>0</v>
      </c>
      <c r="BX176" s="140">
        <f t="shared" si="514"/>
        <v>0</v>
      </c>
      <c r="BY176" s="140">
        <f t="shared" si="514"/>
        <v>0</v>
      </c>
      <c r="BZ176" s="140">
        <f t="shared" si="514"/>
        <v>0</v>
      </c>
      <c r="CA176" s="140">
        <f t="shared" si="514"/>
        <v>0</v>
      </c>
      <c r="CB176" s="140">
        <f t="shared" si="514"/>
        <v>0</v>
      </c>
      <c r="CC176" s="17"/>
      <c r="CD176" s="17"/>
      <c r="CE176" s="17"/>
    </row>
    <row r="177" spans="1:83">
      <c r="A177" s="16" t="s">
        <v>44</v>
      </c>
      <c r="B177" s="140">
        <f>EXP(-B176*B175)</f>
        <v>1</v>
      </c>
      <c r="C177" s="140">
        <f t="shared" ref="C177:AR177" si="515">EXP(-C176*C175)</f>
        <v>1</v>
      </c>
      <c r="D177" s="140">
        <f t="shared" si="515"/>
        <v>1</v>
      </c>
      <c r="E177" s="140">
        <f t="shared" si="515"/>
        <v>1</v>
      </c>
      <c r="F177" s="140">
        <f t="shared" si="515"/>
        <v>1</v>
      </c>
      <c r="G177" s="140">
        <f t="shared" si="515"/>
        <v>1</v>
      </c>
      <c r="H177" s="140">
        <f t="shared" si="515"/>
        <v>1</v>
      </c>
      <c r="I177" s="140">
        <f t="shared" si="515"/>
        <v>1</v>
      </c>
      <c r="J177" s="140">
        <f t="shared" si="515"/>
        <v>1</v>
      </c>
      <c r="K177" s="140">
        <f t="shared" si="515"/>
        <v>1</v>
      </c>
      <c r="L177" s="140">
        <f t="shared" si="515"/>
        <v>1</v>
      </c>
      <c r="M177" s="140">
        <f t="shared" si="515"/>
        <v>1</v>
      </c>
      <c r="N177" s="140">
        <f t="shared" si="515"/>
        <v>1</v>
      </c>
      <c r="O177" s="140">
        <f t="shared" si="515"/>
        <v>1</v>
      </c>
      <c r="P177" s="140">
        <f t="shared" si="515"/>
        <v>1</v>
      </c>
      <c r="Q177" s="140">
        <f t="shared" si="515"/>
        <v>1</v>
      </c>
      <c r="R177" s="140">
        <f t="shared" si="515"/>
        <v>1</v>
      </c>
      <c r="S177" s="140">
        <f t="shared" si="515"/>
        <v>1</v>
      </c>
      <c r="T177" s="140">
        <f t="shared" si="515"/>
        <v>1</v>
      </c>
      <c r="U177" s="140">
        <f t="shared" si="515"/>
        <v>1</v>
      </c>
      <c r="V177" s="140">
        <f t="shared" si="515"/>
        <v>1</v>
      </c>
      <c r="W177" s="140">
        <f t="shared" si="515"/>
        <v>1</v>
      </c>
      <c r="X177" s="140">
        <f t="shared" si="515"/>
        <v>1</v>
      </c>
      <c r="Y177" s="140">
        <f t="shared" si="515"/>
        <v>1</v>
      </c>
      <c r="Z177" s="140">
        <f t="shared" si="515"/>
        <v>1</v>
      </c>
      <c r="AA177" s="140">
        <f t="shared" si="515"/>
        <v>1</v>
      </c>
      <c r="AB177" s="140">
        <f t="shared" si="515"/>
        <v>1</v>
      </c>
      <c r="AC177" s="140">
        <f t="shared" si="515"/>
        <v>1</v>
      </c>
      <c r="AD177" s="140">
        <f t="shared" si="515"/>
        <v>1</v>
      </c>
      <c r="AE177" s="140">
        <f t="shared" si="515"/>
        <v>1</v>
      </c>
      <c r="AF177" s="140">
        <f t="shared" si="515"/>
        <v>1</v>
      </c>
      <c r="AG177" s="140">
        <f t="shared" si="515"/>
        <v>1</v>
      </c>
      <c r="AH177" s="140">
        <f t="shared" si="515"/>
        <v>1</v>
      </c>
      <c r="AI177" s="140">
        <f t="shared" si="515"/>
        <v>1</v>
      </c>
      <c r="AJ177" s="140">
        <f t="shared" si="515"/>
        <v>1</v>
      </c>
      <c r="AK177" s="140">
        <f t="shared" si="515"/>
        <v>1</v>
      </c>
      <c r="AL177" s="140">
        <f t="shared" si="515"/>
        <v>1</v>
      </c>
      <c r="AM177" s="140">
        <f t="shared" si="515"/>
        <v>1</v>
      </c>
      <c r="AN177" s="140">
        <f t="shared" si="515"/>
        <v>1</v>
      </c>
      <c r="AO177" s="140">
        <f t="shared" si="515"/>
        <v>1</v>
      </c>
      <c r="AP177" s="140">
        <f t="shared" si="515"/>
        <v>1</v>
      </c>
      <c r="AQ177" s="140">
        <f t="shared" si="515"/>
        <v>1</v>
      </c>
      <c r="AR177" s="140">
        <f t="shared" si="515"/>
        <v>1</v>
      </c>
      <c r="AS177" s="140">
        <f>EXP(-AS176*AS175)</f>
        <v>1</v>
      </c>
      <c r="AT177" s="140">
        <f t="shared" ref="AT177:CA177" si="516">EXP(-AT176*AT175)</f>
        <v>1</v>
      </c>
      <c r="AU177" s="140">
        <f t="shared" si="516"/>
        <v>1</v>
      </c>
      <c r="AV177" s="140">
        <f t="shared" si="516"/>
        <v>1</v>
      </c>
      <c r="AW177" s="140">
        <f t="shared" si="516"/>
        <v>1</v>
      </c>
      <c r="AX177" s="140">
        <f t="shared" si="516"/>
        <v>1</v>
      </c>
      <c r="AY177" s="140">
        <f t="shared" si="516"/>
        <v>1</v>
      </c>
      <c r="AZ177" s="140">
        <f t="shared" si="516"/>
        <v>1</v>
      </c>
      <c r="BA177" s="140">
        <f t="shared" si="516"/>
        <v>1</v>
      </c>
      <c r="BB177" s="140">
        <f t="shared" si="516"/>
        <v>1</v>
      </c>
      <c r="BC177" s="140">
        <f t="shared" si="516"/>
        <v>1</v>
      </c>
      <c r="BD177" s="140">
        <f t="shared" si="516"/>
        <v>1</v>
      </c>
      <c r="BE177" s="140">
        <f t="shared" si="516"/>
        <v>1</v>
      </c>
      <c r="BF177" s="140">
        <f t="shared" si="516"/>
        <v>1</v>
      </c>
      <c r="BG177" s="140">
        <f t="shared" si="516"/>
        <v>1</v>
      </c>
      <c r="BH177" s="140">
        <f t="shared" si="516"/>
        <v>1</v>
      </c>
      <c r="BI177" s="140">
        <f t="shared" si="516"/>
        <v>1</v>
      </c>
      <c r="BJ177" s="140">
        <f t="shared" si="516"/>
        <v>1</v>
      </c>
      <c r="BK177" s="140">
        <f t="shared" si="516"/>
        <v>1</v>
      </c>
      <c r="BL177" s="140">
        <f t="shared" si="516"/>
        <v>1</v>
      </c>
      <c r="BM177" s="140">
        <f t="shared" si="516"/>
        <v>1</v>
      </c>
      <c r="BN177" s="140">
        <f t="shared" si="516"/>
        <v>1</v>
      </c>
      <c r="BO177" s="140">
        <f t="shared" si="516"/>
        <v>1</v>
      </c>
      <c r="BP177" s="140">
        <f t="shared" si="516"/>
        <v>1</v>
      </c>
      <c r="BQ177" s="140">
        <f t="shared" si="516"/>
        <v>1</v>
      </c>
      <c r="BR177" s="140">
        <f t="shared" si="516"/>
        <v>1</v>
      </c>
      <c r="BS177" s="140">
        <f t="shared" si="516"/>
        <v>1</v>
      </c>
      <c r="BT177" s="140">
        <f t="shared" si="516"/>
        <v>1</v>
      </c>
      <c r="BU177" s="140">
        <f t="shared" si="516"/>
        <v>1</v>
      </c>
      <c r="BV177" s="140">
        <f t="shared" si="516"/>
        <v>1</v>
      </c>
      <c r="BW177" s="140">
        <f t="shared" si="516"/>
        <v>1</v>
      </c>
      <c r="BX177" s="140">
        <f t="shared" si="516"/>
        <v>1</v>
      </c>
      <c r="BY177" s="140">
        <f t="shared" si="516"/>
        <v>1</v>
      </c>
      <c r="BZ177" s="140">
        <f t="shared" si="516"/>
        <v>1</v>
      </c>
      <c r="CA177" s="140">
        <f t="shared" si="516"/>
        <v>1</v>
      </c>
      <c r="CB177" s="140">
        <f>EXP(-CB176*CB175)</f>
        <v>1</v>
      </c>
      <c r="CC177" s="17"/>
      <c r="CD177" s="17"/>
      <c r="CE177" s="17"/>
    </row>
    <row r="178" spans="1:83">
      <c r="A178" s="17"/>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17"/>
      <c r="CD178" s="17"/>
      <c r="CE178" s="17"/>
    </row>
    <row r="179" spans="1:83">
      <c r="A179" s="16" t="s">
        <v>40</v>
      </c>
      <c r="B179" s="140">
        <f t="shared" ref="B179:BM179" si="517">DAYS360($B$3,B68)</f>
        <v>-43022</v>
      </c>
      <c r="C179" s="140">
        <f t="shared" si="517"/>
        <v>-42842</v>
      </c>
      <c r="D179" s="140">
        <f t="shared" si="517"/>
        <v>-42662</v>
      </c>
      <c r="E179" s="140">
        <f t="shared" si="517"/>
        <v>-42482</v>
      </c>
      <c r="F179" s="140">
        <f t="shared" si="517"/>
        <v>-42302</v>
      </c>
      <c r="G179" s="140">
        <f t="shared" si="517"/>
        <v>-42122</v>
      </c>
      <c r="H179" s="140">
        <f t="shared" si="517"/>
        <v>-41942</v>
      </c>
      <c r="I179" s="140">
        <f t="shared" si="517"/>
        <v>-41762</v>
      </c>
      <c r="J179" s="140">
        <f t="shared" si="517"/>
        <v>-41582</v>
      </c>
      <c r="K179" s="140">
        <f t="shared" si="517"/>
        <v>-41403</v>
      </c>
      <c r="L179" s="140">
        <f t="shared" si="517"/>
        <v>-41223</v>
      </c>
      <c r="M179" s="140">
        <f t="shared" si="517"/>
        <v>-41043</v>
      </c>
      <c r="N179" s="140">
        <f t="shared" si="517"/>
        <v>-40863</v>
      </c>
      <c r="O179" s="140">
        <f t="shared" si="517"/>
        <v>-40683</v>
      </c>
      <c r="P179" s="140">
        <f t="shared" si="517"/>
        <v>-40503</v>
      </c>
      <c r="Q179" s="140">
        <f t="shared" si="517"/>
        <v>-40323</v>
      </c>
      <c r="R179" s="140">
        <f t="shared" si="517"/>
        <v>-40143</v>
      </c>
      <c r="S179" s="140">
        <f t="shared" si="517"/>
        <v>-39964</v>
      </c>
      <c r="T179" s="140">
        <f t="shared" si="517"/>
        <v>-39784</v>
      </c>
      <c r="U179" s="140">
        <f t="shared" si="517"/>
        <v>-39604</v>
      </c>
      <c r="V179" s="140">
        <f t="shared" si="517"/>
        <v>-39424</v>
      </c>
      <c r="W179" s="140">
        <f t="shared" si="517"/>
        <v>-39244</v>
      </c>
      <c r="X179" s="140">
        <f t="shared" si="517"/>
        <v>-39064</v>
      </c>
      <c r="Y179" s="140">
        <f t="shared" si="517"/>
        <v>-38884</v>
      </c>
      <c r="Z179" s="140">
        <f t="shared" si="517"/>
        <v>-38704</v>
      </c>
      <c r="AA179" s="140">
        <f t="shared" si="517"/>
        <v>-38525</v>
      </c>
      <c r="AB179" s="140">
        <f t="shared" si="517"/>
        <v>-38345</v>
      </c>
      <c r="AC179" s="140">
        <f t="shared" si="517"/>
        <v>-38165</v>
      </c>
      <c r="AD179" s="140">
        <f t="shared" si="517"/>
        <v>-37985</v>
      </c>
      <c r="AE179" s="140">
        <f t="shared" si="517"/>
        <v>-37805</v>
      </c>
      <c r="AF179" s="140">
        <f t="shared" si="517"/>
        <v>-37625</v>
      </c>
      <c r="AG179" s="140">
        <f t="shared" si="517"/>
        <v>-37445</v>
      </c>
      <c r="AH179" s="140">
        <f t="shared" si="517"/>
        <v>-37265</v>
      </c>
      <c r="AI179" s="140">
        <f t="shared" si="517"/>
        <v>-37086</v>
      </c>
      <c r="AJ179" s="140">
        <f t="shared" si="517"/>
        <v>-36906</v>
      </c>
      <c r="AK179" s="140">
        <f t="shared" si="517"/>
        <v>-36726</v>
      </c>
      <c r="AL179" s="140">
        <f t="shared" si="517"/>
        <v>-36546</v>
      </c>
      <c r="AM179" s="140">
        <f t="shared" si="517"/>
        <v>-36366</v>
      </c>
      <c r="AN179" s="140">
        <f t="shared" si="517"/>
        <v>-36186</v>
      </c>
      <c r="AO179" s="140">
        <f t="shared" si="517"/>
        <v>-36006</v>
      </c>
      <c r="AP179" s="140">
        <f t="shared" si="517"/>
        <v>-35826</v>
      </c>
      <c r="AQ179" s="140">
        <f t="shared" si="517"/>
        <v>-35647</v>
      </c>
      <c r="AR179" s="140">
        <f t="shared" si="517"/>
        <v>-35467</v>
      </c>
      <c r="AS179" s="140">
        <f t="shared" si="517"/>
        <v>-35287</v>
      </c>
      <c r="AT179" s="140">
        <f t="shared" si="517"/>
        <v>-35107</v>
      </c>
      <c r="AU179" s="140">
        <f t="shared" si="517"/>
        <v>-34927</v>
      </c>
      <c r="AV179" s="140">
        <f t="shared" si="517"/>
        <v>-34747</v>
      </c>
      <c r="AW179" s="140">
        <f t="shared" si="517"/>
        <v>-34567</v>
      </c>
      <c r="AX179" s="140">
        <f t="shared" si="517"/>
        <v>-34387</v>
      </c>
      <c r="AY179" s="140">
        <f t="shared" si="517"/>
        <v>-34208</v>
      </c>
      <c r="AZ179" s="140">
        <f t="shared" si="517"/>
        <v>-34028</v>
      </c>
      <c r="BA179" s="140">
        <f t="shared" si="517"/>
        <v>-33848</v>
      </c>
      <c r="BB179" s="140">
        <f t="shared" si="517"/>
        <v>-33668</v>
      </c>
      <c r="BC179" s="140">
        <f t="shared" si="517"/>
        <v>-33488</v>
      </c>
      <c r="BD179" s="140">
        <f t="shared" si="517"/>
        <v>-33308</v>
      </c>
      <c r="BE179" s="140">
        <f t="shared" si="517"/>
        <v>-33128</v>
      </c>
      <c r="BF179" s="140">
        <f t="shared" si="517"/>
        <v>-32948</v>
      </c>
      <c r="BG179" s="140">
        <f t="shared" si="517"/>
        <v>-32769</v>
      </c>
      <c r="BH179" s="140">
        <f t="shared" si="517"/>
        <v>-32589</v>
      </c>
      <c r="BI179" s="140">
        <f t="shared" si="517"/>
        <v>-32409</v>
      </c>
      <c r="BJ179" s="140">
        <f t="shared" si="517"/>
        <v>-32229</v>
      </c>
      <c r="BK179" s="140">
        <f t="shared" si="517"/>
        <v>-32049</v>
      </c>
      <c r="BL179" s="140">
        <f t="shared" si="517"/>
        <v>-31869</v>
      </c>
      <c r="BM179" s="140">
        <f t="shared" si="517"/>
        <v>-31689</v>
      </c>
      <c r="BN179" s="140">
        <f t="shared" ref="BN179:CB179" si="518">DAYS360($B$3,BN68)</f>
        <v>-31509</v>
      </c>
      <c r="BO179" s="140">
        <f t="shared" si="518"/>
        <v>-31330</v>
      </c>
      <c r="BP179" s="140">
        <f t="shared" si="518"/>
        <v>-31150</v>
      </c>
      <c r="BQ179" s="140">
        <f t="shared" si="518"/>
        <v>-30970</v>
      </c>
      <c r="BR179" s="140">
        <f t="shared" si="518"/>
        <v>-30790</v>
      </c>
      <c r="BS179" s="140">
        <f t="shared" si="518"/>
        <v>-30610</v>
      </c>
      <c r="BT179" s="140">
        <f t="shared" si="518"/>
        <v>-30430</v>
      </c>
      <c r="BU179" s="140">
        <f t="shared" si="518"/>
        <v>-30250</v>
      </c>
      <c r="BV179" s="140">
        <f t="shared" si="518"/>
        <v>-30070</v>
      </c>
      <c r="BW179" s="140">
        <f t="shared" si="518"/>
        <v>-29891</v>
      </c>
      <c r="BX179" s="140">
        <f t="shared" si="518"/>
        <v>-29711</v>
      </c>
      <c r="BY179" s="140">
        <f t="shared" si="518"/>
        <v>-29531</v>
      </c>
      <c r="BZ179" s="140">
        <f t="shared" si="518"/>
        <v>-29351</v>
      </c>
      <c r="CA179" s="140">
        <f t="shared" si="518"/>
        <v>-29171</v>
      </c>
      <c r="CB179" s="140">
        <f t="shared" si="518"/>
        <v>-28991</v>
      </c>
      <c r="CC179" s="17"/>
      <c r="CD179" s="17"/>
      <c r="CE179" s="17"/>
    </row>
    <row r="180" spans="1:83">
      <c r="A180" s="16" t="s">
        <v>41</v>
      </c>
      <c r="B180" s="140">
        <f>B179/360</f>
        <v>-119.50555555555556</v>
      </c>
      <c r="C180" s="140">
        <f t="shared" ref="C180:BN180" si="519">C179/360</f>
        <v>-119.00555555555556</v>
      </c>
      <c r="D180" s="140">
        <f t="shared" si="519"/>
        <v>-118.50555555555556</v>
      </c>
      <c r="E180" s="140">
        <f t="shared" si="519"/>
        <v>-118.00555555555556</v>
      </c>
      <c r="F180" s="140">
        <f t="shared" si="519"/>
        <v>-117.50555555555556</v>
      </c>
      <c r="G180" s="140">
        <f t="shared" si="519"/>
        <v>-117.00555555555556</v>
      </c>
      <c r="H180" s="140">
        <f t="shared" si="519"/>
        <v>-116.50555555555556</v>
      </c>
      <c r="I180" s="140">
        <f t="shared" si="519"/>
        <v>-116.00555555555556</v>
      </c>
      <c r="J180" s="140">
        <f t="shared" si="519"/>
        <v>-115.50555555555556</v>
      </c>
      <c r="K180" s="140">
        <f t="shared" si="519"/>
        <v>-115.00833333333334</v>
      </c>
      <c r="L180" s="140">
        <f t="shared" si="519"/>
        <v>-114.50833333333334</v>
      </c>
      <c r="M180" s="140">
        <f t="shared" si="519"/>
        <v>-114.00833333333334</v>
      </c>
      <c r="N180" s="140">
        <f t="shared" si="519"/>
        <v>-113.50833333333334</v>
      </c>
      <c r="O180" s="140">
        <f t="shared" si="519"/>
        <v>-113.00833333333334</v>
      </c>
      <c r="P180" s="140">
        <f t="shared" si="519"/>
        <v>-112.50833333333334</v>
      </c>
      <c r="Q180" s="140">
        <f t="shared" si="519"/>
        <v>-112.00833333333334</v>
      </c>
      <c r="R180" s="140">
        <f t="shared" si="519"/>
        <v>-111.50833333333334</v>
      </c>
      <c r="S180" s="140">
        <f t="shared" si="519"/>
        <v>-111.01111111111111</v>
      </c>
      <c r="T180" s="140">
        <f t="shared" si="519"/>
        <v>-110.51111111111111</v>
      </c>
      <c r="U180" s="140">
        <f t="shared" si="519"/>
        <v>-110.01111111111111</v>
      </c>
      <c r="V180" s="140">
        <f t="shared" si="519"/>
        <v>-109.51111111111111</v>
      </c>
      <c r="W180" s="140">
        <f t="shared" si="519"/>
        <v>-109.01111111111111</v>
      </c>
      <c r="X180" s="140">
        <f t="shared" si="519"/>
        <v>-108.51111111111111</v>
      </c>
      <c r="Y180" s="140">
        <f t="shared" si="519"/>
        <v>-108.01111111111111</v>
      </c>
      <c r="Z180" s="140">
        <f t="shared" si="519"/>
        <v>-107.51111111111111</v>
      </c>
      <c r="AA180" s="140">
        <f t="shared" si="519"/>
        <v>-107.01388888888889</v>
      </c>
      <c r="AB180" s="140">
        <f t="shared" si="519"/>
        <v>-106.51388888888889</v>
      </c>
      <c r="AC180" s="140">
        <f t="shared" si="519"/>
        <v>-106.01388888888889</v>
      </c>
      <c r="AD180" s="140">
        <f t="shared" si="519"/>
        <v>-105.51388888888889</v>
      </c>
      <c r="AE180" s="140">
        <f t="shared" si="519"/>
        <v>-105.01388888888889</v>
      </c>
      <c r="AF180" s="140">
        <f t="shared" si="519"/>
        <v>-104.51388888888889</v>
      </c>
      <c r="AG180" s="140">
        <f t="shared" si="519"/>
        <v>-104.01388888888889</v>
      </c>
      <c r="AH180" s="140">
        <f t="shared" si="519"/>
        <v>-103.51388888888889</v>
      </c>
      <c r="AI180" s="140">
        <f t="shared" si="519"/>
        <v>-103.01666666666667</v>
      </c>
      <c r="AJ180" s="140">
        <f t="shared" si="519"/>
        <v>-102.51666666666667</v>
      </c>
      <c r="AK180" s="140">
        <f t="shared" si="519"/>
        <v>-102.01666666666667</v>
      </c>
      <c r="AL180" s="140">
        <f t="shared" si="519"/>
        <v>-101.51666666666667</v>
      </c>
      <c r="AM180" s="140">
        <f t="shared" si="519"/>
        <v>-101.01666666666667</v>
      </c>
      <c r="AN180" s="140">
        <f t="shared" si="519"/>
        <v>-100.51666666666667</v>
      </c>
      <c r="AO180" s="140">
        <f t="shared" si="519"/>
        <v>-100.01666666666667</v>
      </c>
      <c r="AP180" s="140">
        <f t="shared" si="519"/>
        <v>-99.516666666666666</v>
      </c>
      <c r="AQ180" s="140">
        <f t="shared" si="519"/>
        <v>-99.019444444444446</v>
      </c>
      <c r="AR180" s="140">
        <f t="shared" si="519"/>
        <v>-98.519444444444446</v>
      </c>
      <c r="AS180" s="140">
        <f t="shared" si="519"/>
        <v>-98.019444444444446</v>
      </c>
      <c r="AT180" s="140">
        <f t="shared" si="519"/>
        <v>-97.519444444444446</v>
      </c>
      <c r="AU180" s="140">
        <f t="shared" si="519"/>
        <v>-97.019444444444446</v>
      </c>
      <c r="AV180" s="140">
        <f t="shared" si="519"/>
        <v>-96.519444444444446</v>
      </c>
      <c r="AW180" s="140">
        <f t="shared" si="519"/>
        <v>-96.019444444444446</v>
      </c>
      <c r="AX180" s="140">
        <f t="shared" si="519"/>
        <v>-95.519444444444446</v>
      </c>
      <c r="AY180" s="140">
        <f t="shared" si="519"/>
        <v>-95.022222222222226</v>
      </c>
      <c r="AZ180" s="140">
        <f t="shared" si="519"/>
        <v>-94.522222222222226</v>
      </c>
      <c r="BA180" s="140">
        <f t="shared" si="519"/>
        <v>-94.022222222222226</v>
      </c>
      <c r="BB180" s="140">
        <f t="shared" si="519"/>
        <v>-93.522222222222226</v>
      </c>
      <c r="BC180" s="140">
        <f t="shared" si="519"/>
        <v>-93.022222222222226</v>
      </c>
      <c r="BD180" s="140">
        <f t="shared" si="519"/>
        <v>-92.522222222222226</v>
      </c>
      <c r="BE180" s="140">
        <f t="shared" si="519"/>
        <v>-92.022222222222226</v>
      </c>
      <c r="BF180" s="140">
        <f t="shared" si="519"/>
        <v>-91.522222222222226</v>
      </c>
      <c r="BG180" s="140">
        <f t="shared" si="519"/>
        <v>-91.025000000000006</v>
      </c>
      <c r="BH180" s="140">
        <f t="shared" si="519"/>
        <v>-90.525000000000006</v>
      </c>
      <c r="BI180" s="140">
        <f t="shared" si="519"/>
        <v>-90.025000000000006</v>
      </c>
      <c r="BJ180" s="140">
        <f t="shared" si="519"/>
        <v>-89.525000000000006</v>
      </c>
      <c r="BK180" s="140">
        <f t="shared" si="519"/>
        <v>-89.025000000000006</v>
      </c>
      <c r="BL180" s="140">
        <f t="shared" si="519"/>
        <v>-88.525000000000006</v>
      </c>
      <c r="BM180" s="140">
        <f t="shared" si="519"/>
        <v>-88.025000000000006</v>
      </c>
      <c r="BN180" s="140">
        <f t="shared" si="519"/>
        <v>-87.525000000000006</v>
      </c>
      <c r="BO180" s="140">
        <f t="shared" ref="BO180:CB180" si="520">BO179/360</f>
        <v>-87.027777777777771</v>
      </c>
      <c r="BP180" s="140">
        <f t="shared" si="520"/>
        <v>-86.527777777777771</v>
      </c>
      <c r="BQ180" s="140">
        <f t="shared" si="520"/>
        <v>-86.027777777777771</v>
      </c>
      <c r="BR180" s="140">
        <f t="shared" si="520"/>
        <v>-85.527777777777771</v>
      </c>
      <c r="BS180" s="140">
        <f t="shared" si="520"/>
        <v>-85.027777777777771</v>
      </c>
      <c r="BT180" s="140">
        <f t="shared" si="520"/>
        <v>-84.527777777777771</v>
      </c>
      <c r="BU180" s="140">
        <f t="shared" si="520"/>
        <v>-84.027777777777771</v>
      </c>
      <c r="BV180" s="140">
        <f t="shared" si="520"/>
        <v>-83.527777777777771</v>
      </c>
      <c r="BW180" s="140">
        <f t="shared" si="520"/>
        <v>-83.030555555555551</v>
      </c>
      <c r="BX180" s="140">
        <f t="shared" si="520"/>
        <v>-82.530555555555551</v>
      </c>
      <c r="BY180" s="140">
        <f t="shared" si="520"/>
        <v>-82.030555555555551</v>
      </c>
      <c r="BZ180" s="140">
        <f t="shared" si="520"/>
        <v>-81.530555555555551</v>
      </c>
      <c r="CA180" s="140">
        <f t="shared" si="520"/>
        <v>-81.030555555555551</v>
      </c>
      <c r="CB180" s="140">
        <f t="shared" si="520"/>
        <v>-80.530555555555551</v>
      </c>
      <c r="CC180" s="17"/>
      <c r="CD180" s="17"/>
      <c r="CE180" s="17"/>
    </row>
    <row r="181" spans="1:83">
      <c r="A181" s="16" t="s">
        <v>43</v>
      </c>
      <c r="B181" s="140">
        <f>IF(B179&lt;0,0,$B$5+$B$6*((1-EXP(-B180/$B$9))/(B180/$B$9))+$B$7*((1-EXP(-B180/$B$9))/(B180/$B$9)-EXP(-B180/$B$9))+$B$8*((1-EXP(-B180/$B$10))/(B180/$B$10)-EXP(-B180/$B$10)))</f>
        <v>0</v>
      </c>
      <c r="C181" s="140">
        <f t="shared" ref="C181:BN181" si="521">IF(C179&lt;0,0,$B$5+$B$6*((1-EXP(-C180/$B$9))/(C180/$B$9))+$B$7*((1-EXP(-C180/$B$9))/(C180/$B$9)-EXP(-C180/$B$9))+$B$8*((1-EXP(-C180/$B$10))/(C180/$B$10)-EXP(-C180/$B$10)))</f>
        <v>0</v>
      </c>
      <c r="D181" s="140">
        <f t="shared" si="521"/>
        <v>0</v>
      </c>
      <c r="E181" s="140">
        <f t="shared" si="521"/>
        <v>0</v>
      </c>
      <c r="F181" s="140">
        <f t="shared" si="521"/>
        <v>0</v>
      </c>
      <c r="G181" s="140">
        <f t="shared" si="521"/>
        <v>0</v>
      </c>
      <c r="H181" s="140">
        <f t="shared" si="521"/>
        <v>0</v>
      </c>
      <c r="I181" s="140">
        <f t="shared" si="521"/>
        <v>0</v>
      </c>
      <c r="J181" s="140">
        <f t="shared" si="521"/>
        <v>0</v>
      </c>
      <c r="K181" s="140">
        <f t="shared" si="521"/>
        <v>0</v>
      </c>
      <c r="L181" s="140">
        <f t="shared" si="521"/>
        <v>0</v>
      </c>
      <c r="M181" s="140">
        <f t="shared" si="521"/>
        <v>0</v>
      </c>
      <c r="N181" s="140">
        <f t="shared" si="521"/>
        <v>0</v>
      </c>
      <c r="O181" s="140">
        <f t="shared" si="521"/>
        <v>0</v>
      </c>
      <c r="P181" s="140">
        <f t="shared" si="521"/>
        <v>0</v>
      </c>
      <c r="Q181" s="140">
        <f t="shared" si="521"/>
        <v>0</v>
      </c>
      <c r="R181" s="140">
        <f t="shared" si="521"/>
        <v>0</v>
      </c>
      <c r="S181" s="140">
        <f t="shared" si="521"/>
        <v>0</v>
      </c>
      <c r="T181" s="140">
        <f t="shared" si="521"/>
        <v>0</v>
      </c>
      <c r="U181" s="140">
        <f t="shared" si="521"/>
        <v>0</v>
      </c>
      <c r="V181" s="140">
        <f t="shared" si="521"/>
        <v>0</v>
      </c>
      <c r="W181" s="140">
        <f t="shared" si="521"/>
        <v>0</v>
      </c>
      <c r="X181" s="140">
        <f t="shared" si="521"/>
        <v>0</v>
      </c>
      <c r="Y181" s="140">
        <f t="shared" si="521"/>
        <v>0</v>
      </c>
      <c r="Z181" s="140">
        <f t="shared" si="521"/>
        <v>0</v>
      </c>
      <c r="AA181" s="140">
        <f t="shared" si="521"/>
        <v>0</v>
      </c>
      <c r="AB181" s="140">
        <f t="shared" si="521"/>
        <v>0</v>
      </c>
      <c r="AC181" s="140">
        <f t="shared" si="521"/>
        <v>0</v>
      </c>
      <c r="AD181" s="140">
        <f t="shared" si="521"/>
        <v>0</v>
      </c>
      <c r="AE181" s="140">
        <f t="shared" si="521"/>
        <v>0</v>
      </c>
      <c r="AF181" s="140">
        <f t="shared" si="521"/>
        <v>0</v>
      </c>
      <c r="AG181" s="140">
        <f t="shared" si="521"/>
        <v>0</v>
      </c>
      <c r="AH181" s="140">
        <f t="shared" si="521"/>
        <v>0</v>
      </c>
      <c r="AI181" s="140">
        <f t="shared" si="521"/>
        <v>0</v>
      </c>
      <c r="AJ181" s="140">
        <f t="shared" si="521"/>
        <v>0</v>
      </c>
      <c r="AK181" s="140">
        <f t="shared" si="521"/>
        <v>0</v>
      </c>
      <c r="AL181" s="140">
        <f t="shared" si="521"/>
        <v>0</v>
      </c>
      <c r="AM181" s="140">
        <f t="shared" si="521"/>
        <v>0</v>
      </c>
      <c r="AN181" s="140">
        <f t="shared" si="521"/>
        <v>0</v>
      </c>
      <c r="AO181" s="140">
        <f t="shared" si="521"/>
        <v>0</v>
      </c>
      <c r="AP181" s="140">
        <f t="shared" si="521"/>
        <v>0</v>
      </c>
      <c r="AQ181" s="140">
        <f t="shared" si="521"/>
        <v>0</v>
      </c>
      <c r="AR181" s="140">
        <f t="shared" si="521"/>
        <v>0</v>
      </c>
      <c r="AS181" s="140">
        <f t="shared" si="521"/>
        <v>0</v>
      </c>
      <c r="AT181" s="140">
        <f t="shared" si="521"/>
        <v>0</v>
      </c>
      <c r="AU181" s="140">
        <f t="shared" si="521"/>
        <v>0</v>
      </c>
      <c r="AV181" s="140">
        <f t="shared" si="521"/>
        <v>0</v>
      </c>
      <c r="AW181" s="140">
        <f t="shared" si="521"/>
        <v>0</v>
      </c>
      <c r="AX181" s="140">
        <f t="shared" si="521"/>
        <v>0</v>
      </c>
      <c r="AY181" s="140">
        <f t="shared" si="521"/>
        <v>0</v>
      </c>
      <c r="AZ181" s="140">
        <f t="shared" si="521"/>
        <v>0</v>
      </c>
      <c r="BA181" s="140">
        <f t="shared" si="521"/>
        <v>0</v>
      </c>
      <c r="BB181" s="140">
        <f t="shared" si="521"/>
        <v>0</v>
      </c>
      <c r="BC181" s="140">
        <f t="shared" si="521"/>
        <v>0</v>
      </c>
      <c r="BD181" s="140">
        <f t="shared" si="521"/>
        <v>0</v>
      </c>
      <c r="BE181" s="140">
        <f t="shared" si="521"/>
        <v>0</v>
      </c>
      <c r="BF181" s="140">
        <f t="shared" si="521"/>
        <v>0</v>
      </c>
      <c r="BG181" s="140">
        <f t="shared" si="521"/>
        <v>0</v>
      </c>
      <c r="BH181" s="140">
        <f t="shared" si="521"/>
        <v>0</v>
      </c>
      <c r="BI181" s="140">
        <f t="shared" si="521"/>
        <v>0</v>
      </c>
      <c r="BJ181" s="140">
        <f t="shared" si="521"/>
        <v>0</v>
      </c>
      <c r="BK181" s="140">
        <f t="shared" si="521"/>
        <v>0</v>
      </c>
      <c r="BL181" s="140">
        <f t="shared" si="521"/>
        <v>0</v>
      </c>
      <c r="BM181" s="140">
        <f t="shared" si="521"/>
        <v>0</v>
      </c>
      <c r="BN181" s="140">
        <f t="shared" si="521"/>
        <v>0</v>
      </c>
      <c r="BO181" s="140">
        <f t="shared" ref="BO181:CB181" si="522">IF(BO179&lt;0,0,$B$5+$B$6*((1-EXP(-BO180/$B$9))/(BO180/$B$9))+$B$7*((1-EXP(-BO180/$B$9))/(BO180/$B$9)-EXP(-BO180/$B$9))+$B$8*((1-EXP(-BO180/$B$10))/(BO180/$B$10)-EXP(-BO180/$B$10)))</f>
        <v>0</v>
      </c>
      <c r="BP181" s="140">
        <f t="shared" si="522"/>
        <v>0</v>
      </c>
      <c r="BQ181" s="140">
        <f t="shared" si="522"/>
        <v>0</v>
      </c>
      <c r="BR181" s="140">
        <f t="shared" si="522"/>
        <v>0</v>
      </c>
      <c r="BS181" s="140">
        <f t="shared" si="522"/>
        <v>0</v>
      </c>
      <c r="BT181" s="140">
        <f t="shared" si="522"/>
        <v>0</v>
      </c>
      <c r="BU181" s="140">
        <f t="shared" si="522"/>
        <v>0</v>
      </c>
      <c r="BV181" s="140">
        <f t="shared" si="522"/>
        <v>0</v>
      </c>
      <c r="BW181" s="140">
        <f t="shared" si="522"/>
        <v>0</v>
      </c>
      <c r="BX181" s="140">
        <f t="shared" si="522"/>
        <v>0</v>
      </c>
      <c r="BY181" s="140">
        <f t="shared" si="522"/>
        <v>0</v>
      </c>
      <c r="BZ181" s="140">
        <f t="shared" si="522"/>
        <v>0</v>
      </c>
      <c r="CA181" s="140">
        <f t="shared" si="522"/>
        <v>0</v>
      </c>
      <c r="CB181" s="140">
        <f t="shared" si="522"/>
        <v>0</v>
      </c>
      <c r="CC181" s="17"/>
      <c r="CD181" s="17"/>
      <c r="CE181" s="17"/>
    </row>
    <row r="182" spans="1:83">
      <c r="A182" s="16" t="s">
        <v>44</v>
      </c>
      <c r="B182" s="140">
        <f>EXP(-B181*B180)</f>
        <v>1</v>
      </c>
      <c r="C182" s="140">
        <f t="shared" ref="C182:AR182" si="523">EXP(-C181*C180)</f>
        <v>1</v>
      </c>
      <c r="D182" s="140">
        <f t="shared" si="523"/>
        <v>1</v>
      </c>
      <c r="E182" s="140">
        <f t="shared" si="523"/>
        <v>1</v>
      </c>
      <c r="F182" s="140">
        <f t="shared" si="523"/>
        <v>1</v>
      </c>
      <c r="G182" s="140">
        <f t="shared" si="523"/>
        <v>1</v>
      </c>
      <c r="H182" s="140">
        <f t="shared" si="523"/>
        <v>1</v>
      </c>
      <c r="I182" s="140">
        <f t="shared" si="523"/>
        <v>1</v>
      </c>
      <c r="J182" s="140">
        <f t="shared" si="523"/>
        <v>1</v>
      </c>
      <c r="K182" s="140">
        <f t="shared" si="523"/>
        <v>1</v>
      </c>
      <c r="L182" s="140">
        <f t="shared" si="523"/>
        <v>1</v>
      </c>
      <c r="M182" s="140">
        <f t="shared" si="523"/>
        <v>1</v>
      </c>
      <c r="N182" s="140">
        <f t="shared" si="523"/>
        <v>1</v>
      </c>
      <c r="O182" s="140">
        <f t="shared" si="523"/>
        <v>1</v>
      </c>
      <c r="P182" s="140">
        <f t="shared" si="523"/>
        <v>1</v>
      </c>
      <c r="Q182" s="140">
        <f t="shared" si="523"/>
        <v>1</v>
      </c>
      <c r="R182" s="140">
        <f t="shared" si="523"/>
        <v>1</v>
      </c>
      <c r="S182" s="140">
        <f t="shared" si="523"/>
        <v>1</v>
      </c>
      <c r="T182" s="140">
        <f t="shared" si="523"/>
        <v>1</v>
      </c>
      <c r="U182" s="140">
        <f t="shared" si="523"/>
        <v>1</v>
      </c>
      <c r="V182" s="140">
        <f t="shared" si="523"/>
        <v>1</v>
      </c>
      <c r="W182" s="140">
        <f t="shared" si="523"/>
        <v>1</v>
      </c>
      <c r="X182" s="140">
        <f t="shared" si="523"/>
        <v>1</v>
      </c>
      <c r="Y182" s="140">
        <f t="shared" si="523"/>
        <v>1</v>
      </c>
      <c r="Z182" s="140">
        <f t="shared" si="523"/>
        <v>1</v>
      </c>
      <c r="AA182" s="140">
        <f t="shared" si="523"/>
        <v>1</v>
      </c>
      <c r="AB182" s="140">
        <f t="shared" si="523"/>
        <v>1</v>
      </c>
      <c r="AC182" s="140">
        <f t="shared" si="523"/>
        <v>1</v>
      </c>
      <c r="AD182" s="140">
        <f t="shared" si="523"/>
        <v>1</v>
      </c>
      <c r="AE182" s="140">
        <f t="shared" si="523"/>
        <v>1</v>
      </c>
      <c r="AF182" s="140">
        <f t="shared" si="523"/>
        <v>1</v>
      </c>
      <c r="AG182" s="140">
        <f t="shared" si="523"/>
        <v>1</v>
      </c>
      <c r="AH182" s="140">
        <f t="shared" si="523"/>
        <v>1</v>
      </c>
      <c r="AI182" s="140">
        <f t="shared" si="523"/>
        <v>1</v>
      </c>
      <c r="AJ182" s="140">
        <f t="shared" si="523"/>
        <v>1</v>
      </c>
      <c r="AK182" s="140">
        <f t="shared" si="523"/>
        <v>1</v>
      </c>
      <c r="AL182" s="140">
        <f t="shared" si="523"/>
        <v>1</v>
      </c>
      <c r="AM182" s="140">
        <f t="shared" si="523"/>
        <v>1</v>
      </c>
      <c r="AN182" s="140">
        <f t="shared" si="523"/>
        <v>1</v>
      </c>
      <c r="AO182" s="140">
        <f t="shared" si="523"/>
        <v>1</v>
      </c>
      <c r="AP182" s="140">
        <f t="shared" si="523"/>
        <v>1</v>
      </c>
      <c r="AQ182" s="140">
        <f t="shared" si="523"/>
        <v>1</v>
      </c>
      <c r="AR182" s="140">
        <f t="shared" si="523"/>
        <v>1</v>
      </c>
      <c r="AS182" s="140">
        <f>EXP(-AS181*AS180)</f>
        <v>1</v>
      </c>
      <c r="AT182" s="140">
        <f t="shared" ref="AT182:CA182" si="524">EXP(-AT181*AT180)</f>
        <v>1</v>
      </c>
      <c r="AU182" s="140">
        <f t="shared" si="524"/>
        <v>1</v>
      </c>
      <c r="AV182" s="140">
        <f t="shared" si="524"/>
        <v>1</v>
      </c>
      <c r="AW182" s="140">
        <f t="shared" si="524"/>
        <v>1</v>
      </c>
      <c r="AX182" s="140">
        <f t="shared" si="524"/>
        <v>1</v>
      </c>
      <c r="AY182" s="140">
        <f t="shared" si="524"/>
        <v>1</v>
      </c>
      <c r="AZ182" s="140">
        <f t="shared" si="524"/>
        <v>1</v>
      </c>
      <c r="BA182" s="140">
        <f t="shared" si="524"/>
        <v>1</v>
      </c>
      <c r="BB182" s="140">
        <f t="shared" si="524"/>
        <v>1</v>
      </c>
      <c r="BC182" s="140">
        <f t="shared" si="524"/>
        <v>1</v>
      </c>
      <c r="BD182" s="140">
        <f t="shared" si="524"/>
        <v>1</v>
      </c>
      <c r="BE182" s="140">
        <f t="shared" si="524"/>
        <v>1</v>
      </c>
      <c r="BF182" s="140">
        <f t="shared" si="524"/>
        <v>1</v>
      </c>
      <c r="BG182" s="140">
        <f t="shared" si="524"/>
        <v>1</v>
      </c>
      <c r="BH182" s="140">
        <f t="shared" si="524"/>
        <v>1</v>
      </c>
      <c r="BI182" s="140">
        <f t="shared" si="524"/>
        <v>1</v>
      </c>
      <c r="BJ182" s="140">
        <f t="shared" si="524"/>
        <v>1</v>
      </c>
      <c r="BK182" s="140">
        <f t="shared" si="524"/>
        <v>1</v>
      </c>
      <c r="BL182" s="140">
        <f t="shared" si="524"/>
        <v>1</v>
      </c>
      <c r="BM182" s="140">
        <f t="shared" si="524"/>
        <v>1</v>
      </c>
      <c r="BN182" s="140">
        <f t="shared" si="524"/>
        <v>1</v>
      </c>
      <c r="BO182" s="140">
        <f t="shared" si="524"/>
        <v>1</v>
      </c>
      <c r="BP182" s="140">
        <f t="shared" si="524"/>
        <v>1</v>
      </c>
      <c r="BQ182" s="140">
        <f t="shared" si="524"/>
        <v>1</v>
      </c>
      <c r="BR182" s="140">
        <f t="shared" si="524"/>
        <v>1</v>
      </c>
      <c r="BS182" s="140">
        <f t="shared" si="524"/>
        <v>1</v>
      </c>
      <c r="BT182" s="140">
        <f t="shared" si="524"/>
        <v>1</v>
      </c>
      <c r="BU182" s="140">
        <f t="shared" si="524"/>
        <v>1</v>
      </c>
      <c r="BV182" s="140">
        <f t="shared" si="524"/>
        <v>1</v>
      </c>
      <c r="BW182" s="140">
        <f t="shared" si="524"/>
        <v>1</v>
      </c>
      <c r="BX182" s="140">
        <f t="shared" si="524"/>
        <v>1</v>
      </c>
      <c r="BY182" s="140">
        <f t="shared" si="524"/>
        <v>1</v>
      </c>
      <c r="BZ182" s="140">
        <f t="shared" si="524"/>
        <v>1</v>
      </c>
      <c r="CA182" s="140">
        <f t="shared" si="524"/>
        <v>1</v>
      </c>
      <c r="CB182" s="140">
        <f>EXP(-CB181*CB180)</f>
        <v>1</v>
      </c>
      <c r="CC182" s="17"/>
      <c r="CD182" s="17"/>
      <c r="CE182" s="17"/>
    </row>
    <row r="183" spans="1:83">
      <c r="A183" s="17"/>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17"/>
      <c r="CD183" s="17"/>
      <c r="CE183" s="17"/>
    </row>
    <row r="184" spans="1:83">
      <c r="A184" s="16" t="s">
        <v>40</v>
      </c>
      <c r="B184" s="140">
        <f t="shared" ref="B184:BM184" si="525">DAYS360($B$3,B70)</f>
        <v>-43022</v>
      </c>
      <c r="C184" s="140">
        <f t="shared" si="525"/>
        <v>-42842</v>
      </c>
      <c r="D184" s="140">
        <f t="shared" si="525"/>
        <v>-42662</v>
      </c>
      <c r="E184" s="140">
        <f t="shared" si="525"/>
        <v>-42482</v>
      </c>
      <c r="F184" s="140">
        <f t="shared" si="525"/>
        <v>-42302</v>
      </c>
      <c r="G184" s="140">
        <f t="shared" si="525"/>
        <v>-42122</v>
      </c>
      <c r="H184" s="140">
        <f t="shared" si="525"/>
        <v>-41942</v>
      </c>
      <c r="I184" s="140">
        <f t="shared" si="525"/>
        <v>-41762</v>
      </c>
      <c r="J184" s="140">
        <f t="shared" si="525"/>
        <v>-41582</v>
      </c>
      <c r="K184" s="140">
        <f t="shared" si="525"/>
        <v>-41403</v>
      </c>
      <c r="L184" s="140">
        <f t="shared" si="525"/>
        <v>-41223</v>
      </c>
      <c r="M184" s="140">
        <f t="shared" si="525"/>
        <v>-41043</v>
      </c>
      <c r="N184" s="140">
        <f t="shared" si="525"/>
        <v>-40863</v>
      </c>
      <c r="O184" s="140">
        <f t="shared" si="525"/>
        <v>-40683</v>
      </c>
      <c r="P184" s="140">
        <f t="shared" si="525"/>
        <v>-40503</v>
      </c>
      <c r="Q184" s="140">
        <f t="shared" si="525"/>
        <v>-40323</v>
      </c>
      <c r="R184" s="140">
        <f t="shared" si="525"/>
        <v>-40143</v>
      </c>
      <c r="S184" s="140">
        <f t="shared" si="525"/>
        <v>-39964</v>
      </c>
      <c r="T184" s="140">
        <f t="shared" si="525"/>
        <v>-39784</v>
      </c>
      <c r="U184" s="140">
        <f t="shared" si="525"/>
        <v>-39604</v>
      </c>
      <c r="V184" s="140">
        <f t="shared" si="525"/>
        <v>-39424</v>
      </c>
      <c r="W184" s="140">
        <f t="shared" si="525"/>
        <v>-39244</v>
      </c>
      <c r="X184" s="140">
        <f t="shared" si="525"/>
        <v>-39064</v>
      </c>
      <c r="Y184" s="140">
        <f t="shared" si="525"/>
        <v>-38884</v>
      </c>
      <c r="Z184" s="140">
        <f t="shared" si="525"/>
        <v>-38704</v>
      </c>
      <c r="AA184" s="140">
        <f t="shared" si="525"/>
        <v>-38525</v>
      </c>
      <c r="AB184" s="140">
        <f t="shared" si="525"/>
        <v>-38345</v>
      </c>
      <c r="AC184" s="140">
        <f t="shared" si="525"/>
        <v>-38165</v>
      </c>
      <c r="AD184" s="140">
        <f t="shared" si="525"/>
        <v>-37985</v>
      </c>
      <c r="AE184" s="140">
        <f t="shared" si="525"/>
        <v>-37805</v>
      </c>
      <c r="AF184" s="140">
        <f t="shared" si="525"/>
        <v>-37625</v>
      </c>
      <c r="AG184" s="140">
        <f t="shared" si="525"/>
        <v>-37445</v>
      </c>
      <c r="AH184" s="140">
        <f t="shared" si="525"/>
        <v>-37265</v>
      </c>
      <c r="AI184" s="140">
        <f t="shared" si="525"/>
        <v>-37086</v>
      </c>
      <c r="AJ184" s="140">
        <f t="shared" si="525"/>
        <v>-36906</v>
      </c>
      <c r="AK184" s="140">
        <f t="shared" si="525"/>
        <v>-36726</v>
      </c>
      <c r="AL184" s="140">
        <f t="shared" si="525"/>
        <v>-36546</v>
      </c>
      <c r="AM184" s="140">
        <f t="shared" si="525"/>
        <v>-36366</v>
      </c>
      <c r="AN184" s="140">
        <f t="shared" si="525"/>
        <v>-36186</v>
      </c>
      <c r="AO184" s="140">
        <f t="shared" si="525"/>
        <v>-36006</v>
      </c>
      <c r="AP184" s="140">
        <f t="shared" si="525"/>
        <v>-35826</v>
      </c>
      <c r="AQ184" s="140">
        <f t="shared" si="525"/>
        <v>-35647</v>
      </c>
      <c r="AR184" s="140">
        <f t="shared" si="525"/>
        <v>-35467</v>
      </c>
      <c r="AS184" s="140">
        <f t="shared" si="525"/>
        <v>-35287</v>
      </c>
      <c r="AT184" s="140">
        <f t="shared" si="525"/>
        <v>-35107</v>
      </c>
      <c r="AU184" s="140">
        <f t="shared" si="525"/>
        <v>-34927</v>
      </c>
      <c r="AV184" s="140">
        <f t="shared" si="525"/>
        <v>-34747</v>
      </c>
      <c r="AW184" s="140">
        <f t="shared" si="525"/>
        <v>-34567</v>
      </c>
      <c r="AX184" s="140">
        <f t="shared" si="525"/>
        <v>-34387</v>
      </c>
      <c r="AY184" s="140">
        <f t="shared" si="525"/>
        <v>-34208</v>
      </c>
      <c r="AZ184" s="140">
        <f t="shared" si="525"/>
        <v>-34028</v>
      </c>
      <c r="BA184" s="140">
        <f t="shared" si="525"/>
        <v>-33848</v>
      </c>
      <c r="BB184" s="140">
        <f t="shared" si="525"/>
        <v>-33668</v>
      </c>
      <c r="BC184" s="140">
        <f t="shared" si="525"/>
        <v>-33488</v>
      </c>
      <c r="BD184" s="140">
        <f t="shared" si="525"/>
        <v>-33308</v>
      </c>
      <c r="BE184" s="140">
        <f t="shared" si="525"/>
        <v>-33128</v>
      </c>
      <c r="BF184" s="140">
        <f t="shared" si="525"/>
        <v>-32948</v>
      </c>
      <c r="BG184" s="140">
        <f t="shared" si="525"/>
        <v>-32769</v>
      </c>
      <c r="BH184" s="140">
        <f t="shared" si="525"/>
        <v>-32589</v>
      </c>
      <c r="BI184" s="140">
        <f t="shared" si="525"/>
        <v>-32409</v>
      </c>
      <c r="BJ184" s="140">
        <f t="shared" si="525"/>
        <v>-32229</v>
      </c>
      <c r="BK184" s="140">
        <f t="shared" si="525"/>
        <v>-32049</v>
      </c>
      <c r="BL184" s="140">
        <f t="shared" si="525"/>
        <v>-31869</v>
      </c>
      <c r="BM184" s="140">
        <f t="shared" si="525"/>
        <v>-31689</v>
      </c>
      <c r="BN184" s="140">
        <f t="shared" ref="BN184:CB184" si="526">DAYS360($B$3,BN70)</f>
        <v>-31509</v>
      </c>
      <c r="BO184" s="140">
        <f t="shared" si="526"/>
        <v>-31330</v>
      </c>
      <c r="BP184" s="140">
        <f t="shared" si="526"/>
        <v>-31150</v>
      </c>
      <c r="BQ184" s="140">
        <f t="shared" si="526"/>
        <v>-30970</v>
      </c>
      <c r="BR184" s="140">
        <f t="shared" si="526"/>
        <v>-30790</v>
      </c>
      <c r="BS184" s="140">
        <f t="shared" si="526"/>
        <v>-30610</v>
      </c>
      <c r="BT184" s="140">
        <f t="shared" si="526"/>
        <v>-30430</v>
      </c>
      <c r="BU184" s="140">
        <f t="shared" si="526"/>
        <v>-30250</v>
      </c>
      <c r="BV184" s="140">
        <f t="shared" si="526"/>
        <v>-30070</v>
      </c>
      <c r="BW184" s="140">
        <f t="shared" si="526"/>
        <v>-29891</v>
      </c>
      <c r="BX184" s="140">
        <f t="shared" si="526"/>
        <v>-29711</v>
      </c>
      <c r="BY184" s="140">
        <f t="shared" si="526"/>
        <v>-29531</v>
      </c>
      <c r="BZ184" s="140">
        <f t="shared" si="526"/>
        <v>-29351</v>
      </c>
      <c r="CA184" s="140">
        <f t="shared" si="526"/>
        <v>-29171</v>
      </c>
      <c r="CB184" s="140">
        <f t="shared" si="526"/>
        <v>-28991</v>
      </c>
      <c r="CC184" s="17"/>
      <c r="CD184" s="17"/>
      <c r="CE184" s="17"/>
    </row>
    <row r="185" spans="1:83">
      <c r="A185" s="16" t="s">
        <v>41</v>
      </c>
      <c r="B185" s="140">
        <f>B184/360</f>
        <v>-119.50555555555556</v>
      </c>
      <c r="C185" s="140">
        <f t="shared" ref="C185:BN185" si="527">C184/360</f>
        <v>-119.00555555555556</v>
      </c>
      <c r="D185" s="140">
        <f t="shared" si="527"/>
        <v>-118.50555555555556</v>
      </c>
      <c r="E185" s="140">
        <f t="shared" si="527"/>
        <v>-118.00555555555556</v>
      </c>
      <c r="F185" s="140">
        <f t="shared" si="527"/>
        <v>-117.50555555555556</v>
      </c>
      <c r="G185" s="140">
        <f t="shared" si="527"/>
        <v>-117.00555555555556</v>
      </c>
      <c r="H185" s="140">
        <f t="shared" si="527"/>
        <v>-116.50555555555556</v>
      </c>
      <c r="I185" s="140">
        <f t="shared" si="527"/>
        <v>-116.00555555555556</v>
      </c>
      <c r="J185" s="140">
        <f t="shared" si="527"/>
        <v>-115.50555555555556</v>
      </c>
      <c r="K185" s="140">
        <f t="shared" si="527"/>
        <v>-115.00833333333334</v>
      </c>
      <c r="L185" s="140">
        <f t="shared" si="527"/>
        <v>-114.50833333333334</v>
      </c>
      <c r="M185" s="140">
        <f t="shared" si="527"/>
        <v>-114.00833333333334</v>
      </c>
      <c r="N185" s="140">
        <f t="shared" si="527"/>
        <v>-113.50833333333334</v>
      </c>
      <c r="O185" s="140">
        <f t="shared" si="527"/>
        <v>-113.00833333333334</v>
      </c>
      <c r="P185" s="140">
        <f t="shared" si="527"/>
        <v>-112.50833333333334</v>
      </c>
      <c r="Q185" s="140">
        <f t="shared" si="527"/>
        <v>-112.00833333333334</v>
      </c>
      <c r="R185" s="140">
        <f t="shared" si="527"/>
        <v>-111.50833333333334</v>
      </c>
      <c r="S185" s="140">
        <f t="shared" si="527"/>
        <v>-111.01111111111111</v>
      </c>
      <c r="T185" s="140">
        <f t="shared" si="527"/>
        <v>-110.51111111111111</v>
      </c>
      <c r="U185" s="140">
        <f t="shared" si="527"/>
        <v>-110.01111111111111</v>
      </c>
      <c r="V185" s="140">
        <f t="shared" si="527"/>
        <v>-109.51111111111111</v>
      </c>
      <c r="W185" s="140">
        <f t="shared" si="527"/>
        <v>-109.01111111111111</v>
      </c>
      <c r="X185" s="140">
        <f t="shared" si="527"/>
        <v>-108.51111111111111</v>
      </c>
      <c r="Y185" s="140">
        <f t="shared" si="527"/>
        <v>-108.01111111111111</v>
      </c>
      <c r="Z185" s="140">
        <f t="shared" si="527"/>
        <v>-107.51111111111111</v>
      </c>
      <c r="AA185" s="140">
        <f t="shared" si="527"/>
        <v>-107.01388888888889</v>
      </c>
      <c r="AB185" s="140">
        <f t="shared" si="527"/>
        <v>-106.51388888888889</v>
      </c>
      <c r="AC185" s="140">
        <f t="shared" si="527"/>
        <v>-106.01388888888889</v>
      </c>
      <c r="AD185" s="140">
        <f t="shared" si="527"/>
        <v>-105.51388888888889</v>
      </c>
      <c r="AE185" s="140">
        <f t="shared" si="527"/>
        <v>-105.01388888888889</v>
      </c>
      <c r="AF185" s="140">
        <f t="shared" si="527"/>
        <v>-104.51388888888889</v>
      </c>
      <c r="AG185" s="140">
        <f t="shared" si="527"/>
        <v>-104.01388888888889</v>
      </c>
      <c r="AH185" s="140">
        <f t="shared" si="527"/>
        <v>-103.51388888888889</v>
      </c>
      <c r="AI185" s="140">
        <f t="shared" si="527"/>
        <v>-103.01666666666667</v>
      </c>
      <c r="AJ185" s="140">
        <f t="shared" si="527"/>
        <v>-102.51666666666667</v>
      </c>
      <c r="AK185" s="140">
        <f t="shared" si="527"/>
        <v>-102.01666666666667</v>
      </c>
      <c r="AL185" s="140">
        <f t="shared" si="527"/>
        <v>-101.51666666666667</v>
      </c>
      <c r="AM185" s="140">
        <f t="shared" si="527"/>
        <v>-101.01666666666667</v>
      </c>
      <c r="AN185" s="140">
        <f t="shared" si="527"/>
        <v>-100.51666666666667</v>
      </c>
      <c r="AO185" s="140">
        <f t="shared" si="527"/>
        <v>-100.01666666666667</v>
      </c>
      <c r="AP185" s="140">
        <f t="shared" si="527"/>
        <v>-99.516666666666666</v>
      </c>
      <c r="AQ185" s="140">
        <f t="shared" si="527"/>
        <v>-99.019444444444446</v>
      </c>
      <c r="AR185" s="140">
        <f t="shared" si="527"/>
        <v>-98.519444444444446</v>
      </c>
      <c r="AS185" s="140">
        <f t="shared" si="527"/>
        <v>-98.019444444444446</v>
      </c>
      <c r="AT185" s="140">
        <f t="shared" si="527"/>
        <v>-97.519444444444446</v>
      </c>
      <c r="AU185" s="140">
        <f t="shared" si="527"/>
        <v>-97.019444444444446</v>
      </c>
      <c r="AV185" s="140">
        <f t="shared" si="527"/>
        <v>-96.519444444444446</v>
      </c>
      <c r="AW185" s="140">
        <f t="shared" si="527"/>
        <v>-96.019444444444446</v>
      </c>
      <c r="AX185" s="140">
        <f t="shared" si="527"/>
        <v>-95.519444444444446</v>
      </c>
      <c r="AY185" s="140">
        <f t="shared" si="527"/>
        <v>-95.022222222222226</v>
      </c>
      <c r="AZ185" s="140">
        <f t="shared" si="527"/>
        <v>-94.522222222222226</v>
      </c>
      <c r="BA185" s="140">
        <f t="shared" si="527"/>
        <v>-94.022222222222226</v>
      </c>
      <c r="BB185" s="140">
        <f t="shared" si="527"/>
        <v>-93.522222222222226</v>
      </c>
      <c r="BC185" s="140">
        <f t="shared" si="527"/>
        <v>-93.022222222222226</v>
      </c>
      <c r="BD185" s="140">
        <f t="shared" si="527"/>
        <v>-92.522222222222226</v>
      </c>
      <c r="BE185" s="140">
        <f t="shared" si="527"/>
        <v>-92.022222222222226</v>
      </c>
      <c r="BF185" s="140">
        <f t="shared" si="527"/>
        <v>-91.522222222222226</v>
      </c>
      <c r="BG185" s="140">
        <f t="shared" si="527"/>
        <v>-91.025000000000006</v>
      </c>
      <c r="BH185" s="140">
        <f t="shared" si="527"/>
        <v>-90.525000000000006</v>
      </c>
      <c r="BI185" s="140">
        <f t="shared" si="527"/>
        <v>-90.025000000000006</v>
      </c>
      <c r="BJ185" s="140">
        <f t="shared" si="527"/>
        <v>-89.525000000000006</v>
      </c>
      <c r="BK185" s="140">
        <f t="shared" si="527"/>
        <v>-89.025000000000006</v>
      </c>
      <c r="BL185" s="140">
        <f t="shared" si="527"/>
        <v>-88.525000000000006</v>
      </c>
      <c r="BM185" s="140">
        <f t="shared" si="527"/>
        <v>-88.025000000000006</v>
      </c>
      <c r="BN185" s="140">
        <f t="shared" si="527"/>
        <v>-87.525000000000006</v>
      </c>
      <c r="BO185" s="140">
        <f t="shared" ref="BO185:CB185" si="528">BO184/360</f>
        <v>-87.027777777777771</v>
      </c>
      <c r="BP185" s="140">
        <f t="shared" si="528"/>
        <v>-86.527777777777771</v>
      </c>
      <c r="BQ185" s="140">
        <f t="shared" si="528"/>
        <v>-86.027777777777771</v>
      </c>
      <c r="BR185" s="140">
        <f t="shared" si="528"/>
        <v>-85.527777777777771</v>
      </c>
      <c r="BS185" s="140">
        <f t="shared" si="528"/>
        <v>-85.027777777777771</v>
      </c>
      <c r="BT185" s="140">
        <f t="shared" si="528"/>
        <v>-84.527777777777771</v>
      </c>
      <c r="BU185" s="140">
        <f t="shared" si="528"/>
        <v>-84.027777777777771</v>
      </c>
      <c r="BV185" s="140">
        <f t="shared" si="528"/>
        <v>-83.527777777777771</v>
      </c>
      <c r="BW185" s="140">
        <f t="shared" si="528"/>
        <v>-83.030555555555551</v>
      </c>
      <c r="BX185" s="140">
        <f t="shared" si="528"/>
        <v>-82.530555555555551</v>
      </c>
      <c r="BY185" s="140">
        <f t="shared" si="528"/>
        <v>-82.030555555555551</v>
      </c>
      <c r="BZ185" s="140">
        <f t="shared" si="528"/>
        <v>-81.530555555555551</v>
      </c>
      <c r="CA185" s="140">
        <f t="shared" si="528"/>
        <v>-81.030555555555551</v>
      </c>
      <c r="CB185" s="140">
        <f t="shared" si="528"/>
        <v>-80.530555555555551</v>
      </c>
      <c r="CC185" s="17"/>
      <c r="CD185" s="17"/>
      <c r="CE185" s="17"/>
    </row>
    <row r="186" spans="1:83">
      <c r="A186" s="16" t="s">
        <v>43</v>
      </c>
      <c r="B186" s="140">
        <f>IF(B184&lt;0,0,$B$5+$B$6*((1-EXP(-B185/$B$9))/(B185/$B$9))+$B$7*((1-EXP(-B185/$B$9))/(B185/$B$9)-EXP(-B185/$B$9))+$B$8*((1-EXP(-B185/$B$10))/(B185/$B$10)-EXP(-B185/$B$10)))</f>
        <v>0</v>
      </c>
      <c r="C186" s="140">
        <f t="shared" ref="C186:BN186" si="529">IF(C184&lt;0,0,$B$5+$B$6*((1-EXP(-C185/$B$9))/(C185/$B$9))+$B$7*((1-EXP(-C185/$B$9))/(C185/$B$9)-EXP(-C185/$B$9))+$B$8*((1-EXP(-C185/$B$10))/(C185/$B$10)-EXP(-C185/$B$10)))</f>
        <v>0</v>
      </c>
      <c r="D186" s="140">
        <f t="shared" si="529"/>
        <v>0</v>
      </c>
      <c r="E186" s="140">
        <f t="shared" si="529"/>
        <v>0</v>
      </c>
      <c r="F186" s="140">
        <f t="shared" si="529"/>
        <v>0</v>
      </c>
      <c r="G186" s="140">
        <f t="shared" si="529"/>
        <v>0</v>
      </c>
      <c r="H186" s="140">
        <f t="shared" si="529"/>
        <v>0</v>
      </c>
      <c r="I186" s="140">
        <f t="shared" si="529"/>
        <v>0</v>
      </c>
      <c r="J186" s="140">
        <f t="shared" si="529"/>
        <v>0</v>
      </c>
      <c r="K186" s="140">
        <f t="shared" si="529"/>
        <v>0</v>
      </c>
      <c r="L186" s="140">
        <f t="shared" si="529"/>
        <v>0</v>
      </c>
      <c r="M186" s="140">
        <f t="shared" si="529"/>
        <v>0</v>
      </c>
      <c r="N186" s="140">
        <f t="shared" si="529"/>
        <v>0</v>
      </c>
      <c r="O186" s="140">
        <f t="shared" si="529"/>
        <v>0</v>
      </c>
      <c r="P186" s="140">
        <f t="shared" si="529"/>
        <v>0</v>
      </c>
      <c r="Q186" s="140">
        <f t="shared" si="529"/>
        <v>0</v>
      </c>
      <c r="R186" s="140">
        <f t="shared" si="529"/>
        <v>0</v>
      </c>
      <c r="S186" s="140">
        <f t="shared" si="529"/>
        <v>0</v>
      </c>
      <c r="T186" s="140">
        <f t="shared" si="529"/>
        <v>0</v>
      </c>
      <c r="U186" s="140">
        <f t="shared" si="529"/>
        <v>0</v>
      </c>
      <c r="V186" s="140">
        <f t="shared" si="529"/>
        <v>0</v>
      </c>
      <c r="W186" s="140">
        <f t="shared" si="529"/>
        <v>0</v>
      </c>
      <c r="X186" s="140">
        <f t="shared" si="529"/>
        <v>0</v>
      </c>
      <c r="Y186" s="140">
        <f t="shared" si="529"/>
        <v>0</v>
      </c>
      <c r="Z186" s="140">
        <f t="shared" si="529"/>
        <v>0</v>
      </c>
      <c r="AA186" s="140">
        <f t="shared" si="529"/>
        <v>0</v>
      </c>
      <c r="AB186" s="140">
        <f t="shared" si="529"/>
        <v>0</v>
      </c>
      <c r="AC186" s="140">
        <f t="shared" si="529"/>
        <v>0</v>
      </c>
      <c r="AD186" s="140">
        <f t="shared" si="529"/>
        <v>0</v>
      </c>
      <c r="AE186" s="140">
        <f t="shared" si="529"/>
        <v>0</v>
      </c>
      <c r="AF186" s="140">
        <f t="shared" si="529"/>
        <v>0</v>
      </c>
      <c r="AG186" s="140">
        <f t="shared" si="529"/>
        <v>0</v>
      </c>
      <c r="AH186" s="140">
        <f t="shared" si="529"/>
        <v>0</v>
      </c>
      <c r="AI186" s="140">
        <f t="shared" si="529"/>
        <v>0</v>
      </c>
      <c r="AJ186" s="140">
        <f t="shared" si="529"/>
        <v>0</v>
      </c>
      <c r="AK186" s="140">
        <f t="shared" si="529"/>
        <v>0</v>
      </c>
      <c r="AL186" s="140">
        <f t="shared" si="529"/>
        <v>0</v>
      </c>
      <c r="AM186" s="140">
        <f t="shared" si="529"/>
        <v>0</v>
      </c>
      <c r="AN186" s="140">
        <f t="shared" si="529"/>
        <v>0</v>
      </c>
      <c r="AO186" s="140">
        <f t="shared" si="529"/>
        <v>0</v>
      </c>
      <c r="AP186" s="140">
        <f t="shared" si="529"/>
        <v>0</v>
      </c>
      <c r="AQ186" s="140">
        <f t="shared" si="529"/>
        <v>0</v>
      </c>
      <c r="AR186" s="140">
        <f t="shared" si="529"/>
        <v>0</v>
      </c>
      <c r="AS186" s="140">
        <f t="shared" si="529"/>
        <v>0</v>
      </c>
      <c r="AT186" s="140">
        <f t="shared" si="529"/>
        <v>0</v>
      </c>
      <c r="AU186" s="140">
        <f t="shared" si="529"/>
        <v>0</v>
      </c>
      <c r="AV186" s="140">
        <f t="shared" si="529"/>
        <v>0</v>
      </c>
      <c r="AW186" s="140">
        <f t="shared" si="529"/>
        <v>0</v>
      </c>
      <c r="AX186" s="140">
        <f t="shared" si="529"/>
        <v>0</v>
      </c>
      <c r="AY186" s="140">
        <f t="shared" si="529"/>
        <v>0</v>
      </c>
      <c r="AZ186" s="140">
        <f t="shared" si="529"/>
        <v>0</v>
      </c>
      <c r="BA186" s="140">
        <f t="shared" si="529"/>
        <v>0</v>
      </c>
      <c r="BB186" s="140">
        <f t="shared" si="529"/>
        <v>0</v>
      </c>
      <c r="BC186" s="140">
        <f t="shared" si="529"/>
        <v>0</v>
      </c>
      <c r="BD186" s="140">
        <f t="shared" si="529"/>
        <v>0</v>
      </c>
      <c r="BE186" s="140">
        <f t="shared" si="529"/>
        <v>0</v>
      </c>
      <c r="BF186" s="140">
        <f t="shared" si="529"/>
        <v>0</v>
      </c>
      <c r="BG186" s="140">
        <f t="shared" si="529"/>
        <v>0</v>
      </c>
      <c r="BH186" s="140">
        <f t="shared" si="529"/>
        <v>0</v>
      </c>
      <c r="BI186" s="140">
        <f t="shared" si="529"/>
        <v>0</v>
      </c>
      <c r="BJ186" s="140">
        <f t="shared" si="529"/>
        <v>0</v>
      </c>
      <c r="BK186" s="140">
        <f t="shared" si="529"/>
        <v>0</v>
      </c>
      <c r="BL186" s="140">
        <f t="shared" si="529"/>
        <v>0</v>
      </c>
      <c r="BM186" s="140">
        <f t="shared" si="529"/>
        <v>0</v>
      </c>
      <c r="BN186" s="140">
        <f t="shared" si="529"/>
        <v>0</v>
      </c>
      <c r="BO186" s="140">
        <f t="shared" ref="BO186:CB186" si="530">IF(BO184&lt;0,0,$B$5+$B$6*((1-EXP(-BO185/$B$9))/(BO185/$B$9))+$B$7*((1-EXP(-BO185/$B$9))/(BO185/$B$9)-EXP(-BO185/$B$9))+$B$8*((1-EXP(-BO185/$B$10))/(BO185/$B$10)-EXP(-BO185/$B$10)))</f>
        <v>0</v>
      </c>
      <c r="BP186" s="140">
        <f t="shared" si="530"/>
        <v>0</v>
      </c>
      <c r="BQ186" s="140">
        <f t="shared" si="530"/>
        <v>0</v>
      </c>
      <c r="BR186" s="140">
        <f t="shared" si="530"/>
        <v>0</v>
      </c>
      <c r="BS186" s="140">
        <f t="shared" si="530"/>
        <v>0</v>
      </c>
      <c r="BT186" s="140">
        <f t="shared" si="530"/>
        <v>0</v>
      </c>
      <c r="BU186" s="140">
        <f t="shared" si="530"/>
        <v>0</v>
      </c>
      <c r="BV186" s="140">
        <f t="shared" si="530"/>
        <v>0</v>
      </c>
      <c r="BW186" s="140">
        <f t="shared" si="530"/>
        <v>0</v>
      </c>
      <c r="BX186" s="140">
        <f t="shared" si="530"/>
        <v>0</v>
      </c>
      <c r="BY186" s="140">
        <f t="shared" si="530"/>
        <v>0</v>
      </c>
      <c r="BZ186" s="140">
        <f t="shared" si="530"/>
        <v>0</v>
      </c>
      <c r="CA186" s="140">
        <f t="shared" si="530"/>
        <v>0</v>
      </c>
      <c r="CB186" s="140">
        <f t="shared" si="530"/>
        <v>0</v>
      </c>
      <c r="CC186" s="17"/>
      <c r="CD186" s="17"/>
      <c r="CE186" s="17"/>
    </row>
    <row r="187" spans="1:83">
      <c r="A187" s="16" t="s">
        <v>44</v>
      </c>
      <c r="B187" s="140">
        <f>EXP(-B186*B185)</f>
        <v>1</v>
      </c>
      <c r="C187" s="140">
        <f t="shared" ref="C187:AR187" si="531">EXP(-C186*C185)</f>
        <v>1</v>
      </c>
      <c r="D187" s="140">
        <f t="shared" si="531"/>
        <v>1</v>
      </c>
      <c r="E187" s="140">
        <f t="shared" si="531"/>
        <v>1</v>
      </c>
      <c r="F187" s="140">
        <f t="shared" si="531"/>
        <v>1</v>
      </c>
      <c r="G187" s="140">
        <f t="shared" si="531"/>
        <v>1</v>
      </c>
      <c r="H187" s="140">
        <f t="shared" si="531"/>
        <v>1</v>
      </c>
      <c r="I187" s="140">
        <f t="shared" si="531"/>
        <v>1</v>
      </c>
      <c r="J187" s="140">
        <f t="shared" si="531"/>
        <v>1</v>
      </c>
      <c r="K187" s="140">
        <f t="shared" si="531"/>
        <v>1</v>
      </c>
      <c r="L187" s="140">
        <f t="shared" si="531"/>
        <v>1</v>
      </c>
      <c r="M187" s="140">
        <f t="shared" si="531"/>
        <v>1</v>
      </c>
      <c r="N187" s="140">
        <f t="shared" si="531"/>
        <v>1</v>
      </c>
      <c r="O187" s="140">
        <f t="shared" si="531"/>
        <v>1</v>
      </c>
      <c r="P187" s="140">
        <f t="shared" si="531"/>
        <v>1</v>
      </c>
      <c r="Q187" s="140">
        <f t="shared" si="531"/>
        <v>1</v>
      </c>
      <c r="R187" s="140">
        <f t="shared" si="531"/>
        <v>1</v>
      </c>
      <c r="S187" s="140">
        <f t="shared" si="531"/>
        <v>1</v>
      </c>
      <c r="T187" s="140">
        <f t="shared" si="531"/>
        <v>1</v>
      </c>
      <c r="U187" s="140">
        <f t="shared" si="531"/>
        <v>1</v>
      </c>
      <c r="V187" s="140">
        <f t="shared" si="531"/>
        <v>1</v>
      </c>
      <c r="W187" s="140">
        <f t="shared" si="531"/>
        <v>1</v>
      </c>
      <c r="X187" s="140">
        <f t="shared" si="531"/>
        <v>1</v>
      </c>
      <c r="Y187" s="140">
        <f t="shared" si="531"/>
        <v>1</v>
      </c>
      <c r="Z187" s="140">
        <f t="shared" si="531"/>
        <v>1</v>
      </c>
      <c r="AA187" s="140">
        <f t="shared" si="531"/>
        <v>1</v>
      </c>
      <c r="AB187" s="140">
        <f t="shared" si="531"/>
        <v>1</v>
      </c>
      <c r="AC187" s="140">
        <f t="shared" si="531"/>
        <v>1</v>
      </c>
      <c r="AD187" s="140">
        <f t="shared" si="531"/>
        <v>1</v>
      </c>
      <c r="AE187" s="140">
        <f t="shared" si="531"/>
        <v>1</v>
      </c>
      <c r="AF187" s="140">
        <f t="shared" si="531"/>
        <v>1</v>
      </c>
      <c r="AG187" s="140">
        <f t="shared" si="531"/>
        <v>1</v>
      </c>
      <c r="AH187" s="140">
        <f t="shared" si="531"/>
        <v>1</v>
      </c>
      <c r="AI187" s="140">
        <f t="shared" si="531"/>
        <v>1</v>
      </c>
      <c r="AJ187" s="140">
        <f t="shared" si="531"/>
        <v>1</v>
      </c>
      <c r="AK187" s="140">
        <f t="shared" si="531"/>
        <v>1</v>
      </c>
      <c r="AL187" s="140">
        <f t="shared" si="531"/>
        <v>1</v>
      </c>
      <c r="AM187" s="140">
        <f t="shared" si="531"/>
        <v>1</v>
      </c>
      <c r="AN187" s="140">
        <f t="shared" si="531"/>
        <v>1</v>
      </c>
      <c r="AO187" s="140">
        <f t="shared" si="531"/>
        <v>1</v>
      </c>
      <c r="AP187" s="140">
        <f t="shared" si="531"/>
        <v>1</v>
      </c>
      <c r="AQ187" s="140">
        <f t="shared" si="531"/>
        <v>1</v>
      </c>
      <c r="AR187" s="140">
        <f t="shared" si="531"/>
        <v>1</v>
      </c>
      <c r="AS187" s="140">
        <f>EXP(-AS186*AS185)</f>
        <v>1</v>
      </c>
      <c r="AT187" s="140">
        <f t="shared" ref="AT187:CA187" si="532">EXP(-AT186*AT185)</f>
        <v>1</v>
      </c>
      <c r="AU187" s="140">
        <f t="shared" si="532"/>
        <v>1</v>
      </c>
      <c r="AV187" s="140">
        <f t="shared" si="532"/>
        <v>1</v>
      </c>
      <c r="AW187" s="140">
        <f t="shared" si="532"/>
        <v>1</v>
      </c>
      <c r="AX187" s="140">
        <f t="shared" si="532"/>
        <v>1</v>
      </c>
      <c r="AY187" s="140">
        <f t="shared" si="532"/>
        <v>1</v>
      </c>
      <c r="AZ187" s="140">
        <f t="shared" si="532"/>
        <v>1</v>
      </c>
      <c r="BA187" s="140">
        <f t="shared" si="532"/>
        <v>1</v>
      </c>
      <c r="BB187" s="140">
        <f t="shared" si="532"/>
        <v>1</v>
      </c>
      <c r="BC187" s="140">
        <f t="shared" si="532"/>
        <v>1</v>
      </c>
      <c r="BD187" s="140">
        <f t="shared" si="532"/>
        <v>1</v>
      </c>
      <c r="BE187" s="140">
        <f t="shared" si="532"/>
        <v>1</v>
      </c>
      <c r="BF187" s="140">
        <f t="shared" si="532"/>
        <v>1</v>
      </c>
      <c r="BG187" s="140">
        <f t="shared" si="532"/>
        <v>1</v>
      </c>
      <c r="BH187" s="140">
        <f t="shared" si="532"/>
        <v>1</v>
      </c>
      <c r="BI187" s="140">
        <f t="shared" si="532"/>
        <v>1</v>
      </c>
      <c r="BJ187" s="140">
        <f t="shared" si="532"/>
        <v>1</v>
      </c>
      <c r="BK187" s="140">
        <f t="shared" si="532"/>
        <v>1</v>
      </c>
      <c r="BL187" s="140">
        <f t="shared" si="532"/>
        <v>1</v>
      </c>
      <c r="BM187" s="140">
        <f t="shared" si="532"/>
        <v>1</v>
      </c>
      <c r="BN187" s="140">
        <f t="shared" si="532"/>
        <v>1</v>
      </c>
      <c r="BO187" s="140">
        <f t="shared" si="532"/>
        <v>1</v>
      </c>
      <c r="BP187" s="140">
        <f t="shared" si="532"/>
        <v>1</v>
      </c>
      <c r="BQ187" s="140">
        <f t="shared" si="532"/>
        <v>1</v>
      </c>
      <c r="BR187" s="140">
        <f t="shared" si="532"/>
        <v>1</v>
      </c>
      <c r="BS187" s="140">
        <f t="shared" si="532"/>
        <v>1</v>
      </c>
      <c r="BT187" s="140">
        <f t="shared" si="532"/>
        <v>1</v>
      </c>
      <c r="BU187" s="140">
        <f t="shared" si="532"/>
        <v>1</v>
      </c>
      <c r="BV187" s="140">
        <f t="shared" si="532"/>
        <v>1</v>
      </c>
      <c r="BW187" s="140">
        <f t="shared" si="532"/>
        <v>1</v>
      </c>
      <c r="BX187" s="140">
        <f t="shared" si="532"/>
        <v>1</v>
      </c>
      <c r="BY187" s="140">
        <f t="shared" si="532"/>
        <v>1</v>
      </c>
      <c r="BZ187" s="140">
        <f t="shared" si="532"/>
        <v>1</v>
      </c>
      <c r="CA187" s="140">
        <f t="shared" si="532"/>
        <v>1</v>
      </c>
      <c r="CB187" s="140">
        <f>EXP(-CB186*CB185)</f>
        <v>1</v>
      </c>
      <c r="CC187" s="17"/>
      <c r="CD187" s="17"/>
      <c r="CE187" s="17"/>
    </row>
    <row r="188" spans="1:83">
      <c r="A188" s="17"/>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17"/>
      <c r="CD188" s="17"/>
      <c r="CE188" s="17"/>
    </row>
    <row r="189" spans="1:83">
      <c r="A189" s="16" t="s">
        <v>40</v>
      </c>
      <c r="B189" s="140">
        <f t="shared" ref="B189:BM189" si="533">DAYS360($B$3,B72)</f>
        <v>-43022</v>
      </c>
      <c r="C189" s="140">
        <f t="shared" si="533"/>
        <v>-42842</v>
      </c>
      <c r="D189" s="140">
        <f t="shared" si="533"/>
        <v>-42662</v>
      </c>
      <c r="E189" s="140">
        <f t="shared" si="533"/>
        <v>-42482</v>
      </c>
      <c r="F189" s="140">
        <f t="shared" si="533"/>
        <v>-42302</v>
      </c>
      <c r="G189" s="140">
        <f t="shared" si="533"/>
        <v>-42122</v>
      </c>
      <c r="H189" s="140">
        <f t="shared" si="533"/>
        <v>-41942</v>
      </c>
      <c r="I189" s="140">
        <f t="shared" si="533"/>
        <v>-41762</v>
      </c>
      <c r="J189" s="140">
        <f t="shared" si="533"/>
        <v>-41582</v>
      </c>
      <c r="K189" s="140">
        <f t="shared" si="533"/>
        <v>-41403</v>
      </c>
      <c r="L189" s="140">
        <f t="shared" si="533"/>
        <v>-41223</v>
      </c>
      <c r="M189" s="140">
        <f t="shared" si="533"/>
        <v>-41043</v>
      </c>
      <c r="N189" s="140">
        <f t="shared" si="533"/>
        <v>-40863</v>
      </c>
      <c r="O189" s="140">
        <f t="shared" si="533"/>
        <v>-40683</v>
      </c>
      <c r="P189" s="140">
        <f t="shared" si="533"/>
        <v>-40503</v>
      </c>
      <c r="Q189" s="140">
        <f t="shared" si="533"/>
        <v>-40323</v>
      </c>
      <c r="R189" s="140">
        <f t="shared" si="533"/>
        <v>-40143</v>
      </c>
      <c r="S189" s="140">
        <f t="shared" si="533"/>
        <v>-39964</v>
      </c>
      <c r="T189" s="140">
        <f t="shared" si="533"/>
        <v>-39784</v>
      </c>
      <c r="U189" s="140">
        <f t="shared" si="533"/>
        <v>-39604</v>
      </c>
      <c r="V189" s="140">
        <f t="shared" si="533"/>
        <v>-39424</v>
      </c>
      <c r="W189" s="140">
        <f t="shared" si="533"/>
        <v>-39244</v>
      </c>
      <c r="X189" s="140">
        <f t="shared" si="533"/>
        <v>-39064</v>
      </c>
      <c r="Y189" s="140">
        <f t="shared" si="533"/>
        <v>-38884</v>
      </c>
      <c r="Z189" s="140">
        <f t="shared" si="533"/>
        <v>-38704</v>
      </c>
      <c r="AA189" s="140">
        <f t="shared" si="533"/>
        <v>-38525</v>
      </c>
      <c r="AB189" s="140">
        <f t="shared" si="533"/>
        <v>-38345</v>
      </c>
      <c r="AC189" s="140">
        <f t="shared" si="533"/>
        <v>-38165</v>
      </c>
      <c r="AD189" s="140">
        <f t="shared" si="533"/>
        <v>-37985</v>
      </c>
      <c r="AE189" s="140">
        <f t="shared" si="533"/>
        <v>-37805</v>
      </c>
      <c r="AF189" s="140">
        <f t="shared" si="533"/>
        <v>-37625</v>
      </c>
      <c r="AG189" s="140">
        <f t="shared" si="533"/>
        <v>-37445</v>
      </c>
      <c r="AH189" s="140">
        <f t="shared" si="533"/>
        <v>-37265</v>
      </c>
      <c r="AI189" s="140">
        <f t="shared" si="533"/>
        <v>-37086</v>
      </c>
      <c r="AJ189" s="140">
        <f t="shared" si="533"/>
        <v>-36906</v>
      </c>
      <c r="AK189" s="140">
        <f t="shared" si="533"/>
        <v>-36726</v>
      </c>
      <c r="AL189" s="140">
        <f t="shared" si="533"/>
        <v>-36546</v>
      </c>
      <c r="AM189" s="140">
        <f t="shared" si="533"/>
        <v>-36366</v>
      </c>
      <c r="AN189" s="140">
        <f t="shared" si="533"/>
        <v>-36186</v>
      </c>
      <c r="AO189" s="140">
        <f t="shared" si="533"/>
        <v>-36006</v>
      </c>
      <c r="AP189" s="140">
        <f t="shared" si="533"/>
        <v>-35826</v>
      </c>
      <c r="AQ189" s="140">
        <f t="shared" si="533"/>
        <v>-35647</v>
      </c>
      <c r="AR189" s="140">
        <f t="shared" si="533"/>
        <v>-35467</v>
      </c>
      <c r="AS189" s="140">
        <f t="shared" si="533"/>
        <v>-35287</v>
      </c>
      <c r="AT189" s="140">
        <f t="shared" si="533"/>
        <v>-35107</v>
      </c>
      <c r="AU189" s="140">
        <f t="shared" si="533"/>
        <v>-34927</v>
      </c>
      <c r="AV189" s="140">
        <f t="shared" si="533"/>
        <v>-34747</v>
      </c>
      <c r="AW189" s="140">
        <f t="shared" si="533"/>
        <v>-34567</v>
      </c>
      <c r="AX189" s="140">
        <f t="shared" si="533"/>
        <v>-34387</v>
      </c>
      <c r="AY189" s="140">
        <f t="shared" si="533"/>
        <v>-34208</v>
      </c>
      <c r="AZ189" s="140">
        <f t="shared" si="533"/>
        <v>-34028</v>
      </c>
      <c r="BA189" s="140">
        <f t="shared" si="533"/>
        <v>-33848</v>
      </c>
      <c r="BB189" s="140">
        <f t="shared" si="533"/>
        <v>-33668</v>
      </c>
      <c r="BC189" s="140">
        <f t="shared" si="533"/>
        <v>-33488</v>
      </c>
      <c r="BD189" s="140">
        <f t="shared" si="533"/>
        <v>-33308</v>
      </c>
      <c r="BE189" s="140">
        <f t="shared" si="533"/>
        <v>-33128</v>
      </c>
      <c r="BF189" s="140">
        <f t="shared" si="533"/>
        <v>-32948</v>
      </c>
      <c r="BG189" s="140">
        <f t="shared" si="533"/>
        <v>-32769</v>
      </c>
      <c r="BH189" s="140">
        <f t="shared" si="533"/>
        <v>-32589</v>
      </c>
      <c r="BI189" s="140">
        <f t="shared" si="533"/>
        <v>-32409</v>
      </c>
      <c r="BJ189" s="140">
        <f t="shared" si="533"/>
        <v>-32229</v>
      </c>
      <c r="BK189" s="140">
        <f t="shared" si="533"/>
        <v>-32049</v>
      </c>
      <c r="BL189" s="140">
        <f t="shared" si="533"/>
        <v>-31869</v>
      </c>
      <c r="BM189" s="140">
        <f t="shared" si="533"/>
        <v>-31689</v>
      </c>
      <c r="BN189" s="140">
        <f t="shared" ref="BN189:CB189" si="534">DAYS360($B$3,BN72)</f>
        <v>-31509</v>
      </c>
      <c r="BO189" s="140">
        <f t="shared" si="534"/>
        <v>-31330</v>
      </c>
      <c r="BP189" s="140">
        <f t="shared" si="534"/>
        <v>-31150</v>
      </c>
      <c r="BQ189" s="140">
        <f t="shared" si="534"/>
        <v>-30970</v>
      </c>
      <c r="BR189" s="140">
        <f t="shared" si="534"/>
        <v>-30790</v>
      </c>
      <c r="BS189" s="140">
        <f t="shared" si="534"/>
        <v>-30610</v>
      </c>
      <c r="BT189" s="140">
        <f t="shared" si="534"/>
        <v>-30430</v>
      </c>
      <c r="BU189" s="140">
        <f t="shared" si="534"/>
        <v>-30250</v>
      </c>
      <c r="BV189" s="140">
        <f t="shared" si="534"/>
        <v>-30070</v>
      </c>
      <c r="BW189" s="140">
        <f t="shared" si="534"/>
        <v>-29891</v>
      </c>
      <c r="BX189" s="140">
        <f t="shared" si="534"/>
        <v>-29711</v>
      </c>
      <c r="BY189" s="140">
        <f t="shared" si="534"/>
        <v>-29531</v>
      </c>
      <c r="BZ189" s="140">
        <f t="shared" si="534"/>
        <v>-29351</v>
      </c>
      <c r="CA189" s="140">
        <f t="shared" si="534"/>
        <v>-29171</v>
      </c>
      <c r="CB189" s="140">
        <f t="shared" si="534"/>
        <v>-28991</v>
      </c>
      <c r="CC189" s="17"/>
      <c r="CD189" s="17"/>
      <c r="CE189" s="17"/>
    </row>
    <row r="190" spans="1:83">
      <c r="A190" s="16" t="s">
        <v>41</v>
      </c>
      <c r="B190" s="140">
        <f>B189/360</f>
        <v>-119.50555555555556</v>
      </c>
      <c r="C190" s="140">
        <f t="shared" ref="C190:BN190" si="535">C189/360</f>
        <v>-119.00555555555556</v>
      </c>
      <c r="D190" s="140">
        <f t="shared" si="535"/>
        <v>-118.50555555555556</v>
      </c>
      <c r="E190" s="140">
        <f t="shared" si="535"/>
        <v>-118.00555555555556</v>
      </c>
      <c r="F190" s="140">
        <f t="shared" si="535"/>
        <v>-117.50555555555556</v>
      </c>
      <c r="G190" s="140">
        <f t="shared" si="535"/>
        <v>-117.00555555555556</v>
      </c>
      <c r="H190" s="140">
        <f t="shared" si="535"/>
        <v>-116.50555555555556</v>
      </c>
      <c r="I190" s="140">
        <f t="shared" si="535"/>
        <v>-116.00555555555556</v>
      </c>
      <c r="J190" s="140">
        <f t="shared" si="535"/>
        <v>-115.50555555555556</v>
      </c>
      <c r="K190" s="140">
        <f t="shared" si="535"/>
        <v>-115.00833333333334</v>
      </c>
      <c r="L190" s="140">
        <f t="shared" si="535"/>
        <v>-114.50833333333334</v>
      </c>
      <c r="M190" s="140">
        <f t="shared" si="535"/>
        <v>-114.00833333333334</v>
      </c>
      <c r="N190" s="140">
        <f t="shared" si="535"/>
        <v>-113.50833333333334</v>
      </c>
      <c r="O190" s="140">
        <f t="shared" si="535"/>
        <v>-113.00833333333334</v>
      </c>
      <c r="P190" s="140">
        <f t="shared" si="535"/>
        <v>-112.50833333333334</v>
      </c>
      <c r="Q190" s="140">
        <f t="shared" si="535"/>
        <v>-112.00833333333334</v>
      </c>
      <c r="R190" s="140">
        <f t="shared" si="535"/>
        <v>-111.50833333333334</v>
      </c>
      <c r="S190" s="140">
        <f t="shared" si="535"/>
        <v>-111.01111111111111</v>
      </c>
      <c r="T190" s="140">
        <f t="shared" si="535"/>
        <v>-110.51111111111111</v>
      </c>
      <c r="U190" s="140">
        <f t="shared" si="535"/>
        <v>-110.01111111111111</v>
      </c>
      <c r="V190" s="140">
        <f t="shared" si="535"/>
        <v>-109.51111111111111</v>
      </c>
      <c r="W190" s="140">
        <f t="shared" si="535"/>
        <v>-109.01111111111111</v>
      </c>
      <c r="X190" s="140">
        <f t="shared" si="535"/>
        <v>-108.51111111111111</v>
      </c>
      <c r="Y190" s="140">
        <f t="shared" si="535"/>
        <v>-108.01111111111111</v>
      </c>
      <c r="Z190" s="140">
        <f t="shared" si="535"/>
        <v>-107.51111111111111</v>
      </c>
      <c r="AA190" s="140">
        <f t="shared" si="535"/>
        <v>-107.01388888888889</v>
      </c>
      <c r="AB190" s="140">
        <f t="shared" si="535"/>
        <v>-106.51388888888889</v>
      </c>
      <c r="AC190" s="140">
        <f t="shared" si="535"/>
        <v>-106.01388888888889</v>
      </c>
      <c r="AD190" s="140">
        <f t="shared" si="535"/>
        <v>-105.51388888888889</v>
      </c>
      <c r="AE190" s="140">
        <f t="shared" si="535"/>
        <v>-105.01388888888889</v>
      </c>
      <c r="AF190" s="140">
        <f t="shared" si="535"/>
        <v>-104.51388888888889</v>
      </c>
      <c r="AG190" s="140">
        <f t="shared" si="535"/>
        <v>-104.01388888888889</v>
      </c>
      <c r="AH190" s="140">
        <f t="shared" si="535"/>
        <v>-103.51388888888889</v>
      </c>
      <c r="AI190" s="140">
        <f t="shared" si="535"/>
        <v>-103.01666666666667</v>
      </c>
      <c r="AJ190" s="140">
        <f t="shared" si="535"/>
        <v>-102.51666666666667</v>
      </c>
      <c r="AK190" s="140">
        <f t="shared" si="535"/>
        <v>-102.01666666666667</v>
      </c>
      <c r="AL190" s="140">
        <f t="shared" si="535"/>
        <v>-101.51666666666667</v>
      </c>
      <c r="AM190" s="140">
        <f t="shared" si="535"/>
        <v>-101.01666666666667</v>
      </c>
      <c r="AN190" s="140">
        <f t="shared" si="535"/>
        <v>-100.51666666666667</v>
      </c>
      <c r="AO190" s="140">
        <f t="shared" si="535"/>
        <v>-100.01666666666667</v>
      </c>
      <c r="AP190" s="140">
        <f t="shared" si="535"/>
        <v>-99.516666666666666</v>
      </c>
      <c r="AQ190" s="140">
        <f t="shared" si="535"/>
        <v>-99.019444444444446</v>
      </c>
      <c r="AR190" s="140">
        <f t="shared" si="535"/>
        <v>-98.519444444444446</v>
      </c>
      <c r="AS190" s="140">
        <f t="shared" si="535"/>
        <v>-98.019444444444446</v>
      </c>
      <c r="AT190" s="140">
        <f t="shared" si="535"/>
        <v>-97.519444444444446</v>
      </c>
      <c r="AU190" s="140">
        <f t="shared" si="535"/>
        <v>-97.019444444444446</v>
      </c>
      <c r="AV190" s="140">
        <f t="shared" si="535"/>
        <v>-96.519444444444446</v>
      </c>
      <c r="AW190" s="140">
        <f t="shared" si="535"/>
        <v>-96.019444444444446</v>
      </c>
      <c r="AX190" s="140">
        <f t="shared" si="535"/>
        <v>-95.519444444444446</v>
      </c>
      <c r="AY190" s="140">
        <f t="shared" si="535"/>
        <v>-95.022222222222226</v>
      </c>
      <c r="AZ190" s="140">
        <f t="shared" si="535"/>
        <v>-94.522222222222226</v>
      </c>
      <c r="BA190" s="140">
        <f t="shared" si="535"/>
        <v>-94.022222222222226</v>
      </c>
      <c r="BB190" s="140">
        <f t="shared" si="535"/>
        <v>-93.522222222222226</v>
      </c>
      <c r="BC190" s="140">
        <f t="shared" si="535"/>
        <v>-93.022222222222226</v>
      </c>
      <c r="BD190" s="140">
        <f t="shared" si="535"/>
        <v>-92.522222222222226</v>
      </c>
      <c r="BE190" s="140">
        <f t="shared" si="535"/>
        <v>-92.022222222222226</v>
      </c>
      <c r="BF190" s="140">
        <f t="shared" si="535"/>
        <v>-91.522222222222226</v>
      </c>
      <c r="BG190" s="140">
        <f t="shared" si="535"/>
        <v>-91.025000000000006</v>
      </c>
      <c r="BH190" s="140">
        <f t="shared" si="535"/>
        <v>-90.525000000000006</v>
      </c>
      <c r="BI190" s="140">
        <f t="shared" si="535"/>
        <v>-90.025000000000006</v>
      </c>
      <c r="BJ190" s="140">
        <f t="shared" si="535"/>
        <v>-89.525000000000006</v>
      </c>
      <c r="BK190" s="140">
        <f t="shared" si="535"/>
        <v>-89.025000000000006</v>
      </c>
      <c r="BL190" s="140">
        <f t="shared" si="535"/>
        <v>-88.525000000000006</v>
      </c>
      <c r="BM190" s="140">
        <f t="shared" si="535"/>
        <v>-88.025000000000006</v>
      </c>
      <c r="BN190" s="140">
        <f t="shared" si="535"/>
        <v>-87.525000000000006</v>
      </c>
      <c r="BO190" s="140">
        <f t="shared" ref="BO190:CB190" si="536">BO189/360</f>
        <v>-87.027777777777771</v>
      </c>
      <c r="BP190" s="140">
        <f t="shared" si="536"/>
        <v>-86.527777777777771</v>
      </c>
      <c r="BQ190" s="140">
        <f t="shared" si="536"/>
        <v>-86.027777777777771</v>
      </c>
      <c r="BR190" s="140">
        <f t="shared" si="536"/>
        <v>-85.527777777777771</v>
      </c>
      <c r="BS190" s="140">
        <f t="shared" si="536"/>
        <v>-85.027777777777771</v>
      </c>
      <c r="BT190" s="140">
        <f t="shared" si="536"/>
        <v>-84.527777777777771</v>
      </c>
      <c r="BU190" s="140">
        <f t="shared" si="536"/>
        <v>-84.027777777777771</v>
      </c>
      <c r="BV190" s="140">
        <f t="shared" si="536"/>
        <v>-83.527777777777771</v>
      </c>
      <c r="BW190" s="140">
        <f t="shared" si="536"/>
        <v>-83.030555555555551</v>
      </c>
      <c r="BX190" s="140">
        <f t="shared" si="536"/>
        <v>-82.530555555555551</v>
      </c>
      <c r="BY190" s="140">
        <f t="shared" si="536"/>
        <v>-82.030555555555551</v>
      </c>
      <c r="BZ190" s="140">
        <f t="shared" si="536"/>
        <v>-81.530555555555551</v>
      </c>
      <c r="CA190" s="140">
        <f t="shared" si="536"/>
        <v>-81.030555555555551</v>
      </c>
      <c r="CB190" s="140">
        <f t="shared" si="536"/>
        <v>-80.530555555555551</v>
      </c>
      <c r="CC190" s="17"/>
      <c r="CD190" s="17"/>
      <c r="CE190" s="17"/>
    </row>
    <row r="191" spans="1:83">
      <c r="A191" s="16" t="s">
        <v>43</v>
      </c>
      <c r="B191" s="140">
        <f>IF(B189&lt;0,0,$B$5+$B$6*((1-EXP(-B190/$B$9))/(B190/$B$9))+$B$7*((1-EXP(-B190/$B$9))/(B190/$B$9)-EXP(-B190/$B$9))+$B$8*((1-EXP(-B190/$B$10))/(B190/$B$10)-EXP(-B190/$B$10)))</f>
        <v>0</v>
      </c>
      <c r="C191" s="140">
        <f t="shared" ref="C191:BN191" si="537">IF(C189&lt;0,0,$B$5+$B$6*((1-EXP(-C190/$B$9))/(C190/$B$9))+$B$7*((1-EXP(-C190/$B$9))/(C190/$B$9)-EXP(-C190/$B$9))+$B$8*((1-EXP(-C190/$B$10))/(C190/$B$10)-EXP(-C190/$B$10)))</f>
        <v>0</v>
      </c>
      <c r="D191" s="140">
        <f t="shared" si="537"/>
        <v>0</v>
      </c>
      <c r="E191" s="140">
        <f t="shared" si="537"/>
        <v>0</v>
      </c>
      <c r="F191" s="140">
        <f t="shared" si="537"/>
        <v>0</v>
      </c>
      <c r="G191" s="140">
        <f t="shared" si="537"/>
        <v>0</v>
      </c>
      <c r="H191" s="140">
        <f t="shared" si="537"/>
        <v>0</v>
      </c>
      <c r="I191" s="140">
        <f t="shared" si="537"/>
        <v>0</v>
      </c>
      <c r="J191" s="140">
        <f t="shared" si="537"/>
        <v>0</v>
      </c>
      <c r="K191" s="140">
        <f t="shared" si="537"/>
        <v>0</v>
      </c>
      <c r="L191" s="140">
        <f t="shared" si="537"/>
        <v>0</v>
      </c>
      <c r="M191" s="140">
        <f t="shared" si="537"/>
        <v>0</v>
      </c>
      <c r="N191" s="140">
        <f t="shared" si="537"/>
        <v>0</v>
      </c>
      <c r="O191" s="140">
        <f t="shared" si="537"/>
        <v>0</v>
      </c>
      <c r="P191" s="140">
        <f t="shared" si="537"/>
        <v>0</v>
      </c>
      <c r="Q191" s="140">
        <f t="shared" si="537"/>
        <v>0</v>
      </c>
      <c r="R191" s="140">
        <f t="shared" si="537"/>
        <v>0</v>
      </c>
      <c r="S191" s="140">
        <f t="shared" si="537"/>
        <v>0</v>
      </c>
      <c r="T191" s="140">
        <f t="shared" si="537"/>
        <v>0</v>
      </c>
      <c r="U191" s="140">
        <f t="shared" si="537"/>
        <v>0</v>
      </c>
      <c r="V191" s="140">
        <f t="shared" si="537"/>
        <v>0</v>
      </c>
      <c r="W191" s="140">
        <f t="shared" si="537"/>
        <v>0</v>
      </c>
      <c r="X191" s="140">
        <f t="shared" si="537"/>
        <v>0</v>
      </c>
      <c r="Y191" s="140">
        <f t="shared" si="537"/>
        <v>0</v>
      </c>
      <c r="Z191" s="140">
        <f t="shared" si="537"/>
        <v>0</v>
      </c>
      <c r="AA191" s="140">
        <f t="shared" si="537"/>
        <v>0</v>
      </c>
      <c r="AB191" s="140">
        <f t="shared" si="537"/>
        <v>0</v>
      </c>
      <c r="AC191" s="140">
        <f t="shared" si="537"/>
        <v>0</v>
      </c>
      <c r="AD191" s="140">
        <f t="shared" si="537"/>
        <v>0</v>
      </c>
      <c r="AE191" s="140">
        <f t="shared" si="537"/>
        <v>0</v>
      </c>
      <c r="AF191" s="140">
        <f t="shared" si="537"/>
        <v>0</v>
      </c>
      <c r="AG191" s="140">
        <f t="shared" si="537"/>
        <v>0</v>
      </c>
      <c r="AH191" s="140">
        <f t="shared" si="537"/>
        <v>0</v>
      </c>
      <c r="AI191" s="140">
        <f t="shared" si="537"/>
        <v>0</v>
      </c>
      <c r="AJ191" s="140">
        <f t="shared" si="537"/>
        <v>0</v>
      </c>
      <c r="AK191" s="140">
        <f t="shared" si="537"/>
        <v>0</v>
      </c>
      <c r="AL191" s="140">
        <f t="shared" si="537"/>
        <v>0</v>
      </c>
      <c r="AM191" s="140">
        <f t="shared" si="537"/>
        <v>0</v>
      </c>
      <c r="AN191" s="140">
        <f t="shared" si="537"/>
        <v>0</v>
      </c>
      <c r="AO191" s="140">
        <f t="shared" si="537"/>
        <v>0</v>
      </c>
      <c r="AP191" s="140">
        <f t="shared" si="537"/>
        <v>0</v>
      </c>
      <c r="AQ191" s="140">
        <f t="shared" si="537"/>
        <v>0</v>
      </c>
      <c r="AR191" s="140">
        <f t="shared" si="537"/>
        <v>0</v>
      </c>
      <c r="AS191" s="140">
        <f t="shared" si="537"/>
        <v>0</v>
      </c>
      <c r="AT191" s="140">
        <f t="shared" si="537"/>
        <v>0</v>
      </c>
      <c r="AU191" s="140">
        <f t="shared" si="537"/>
        <v>0</v>
      </c>
      <c r="AV191" s="140">
        <f t="shared" si="537"/>
        <v>0</v>
      </c>
      <c r="AW191" s="140">
        <f t="shared" si="537"/>
        <v>0</v>
      </c>
      <c r="AX191" s="140">
        <f t="shared" si="537"/>
        <v>0</v>
      </c>
      <c r="AY191" s="140">
        <f t="shared" si="537"/>
        <v>0</v>
      </c>
      <c r="AZ191" s="140">
        <f t="shared" si="537"/>
        <v>0</v>
      </c>
      <c r="BA191" s="140">
        <f t="shared" si="537"/>
        <v>0</v>
      </c>
      <c r="BB191" s="140">
        <f t="shared" si="537"/>
        <v>0</v>
      </c>
      <c r="BC191" s="140">
        <f t="shared" si="537"/>
        <v>0</v>
      </c>
      <c r="BD191" s="140">
        <f t="shared" si="537"/>
        <v>0</v>
      </c>
      <c r="BE191" s="140">
        <f t="shared" si="537"/>
        <v>0</v>
      </c>
      <c r="BF191" s="140">
        <f t="shared" si="537"/>
        <v>0</v>
      </c>
      <c r="BG191" s="140">
        <f t="shared" si="537"/>
        <v>0</v>
      </c>
      <c r="BH191" s="140">
        <f t="shared" si="537"/>
        <v>0</v>
      </c>
      <c r="BI191" s="140">
        <f t="shared" si="537"/>
        <v>0</v>
      </c>
      <c r="BJ191" s="140">
        <f t="shared" si="537"/>
        <v>0</v>
      </c>
      <c r="BK191" s="140">
        <f t="shared" si="537"/>
        <v>0</v>
      </c>
      <c r="BL191" s="140">
        <f t="shared" si="537"/>
        <v>0</v>
      </c>
      <c r="BM191" s="140">
        <f t="shared" si="537"/>
        <v>0</v>
      </c>
      <c r="BN191" s="140">
        <f t="shared" si="537"/>
        <v>0</v>
      </c>
      <c r="BO191" s="140">
        <f t="shared" ref="BO191:CB191" si="538">IF(BO189&lt;0,0,$B$5+$B$6*((1-EXP(-BO190/$B$9))/(BO190/$B$9))+$B$7*((1-EXP(-BO190/$B$9))/(BO190/$B$9)-EXP(-BO190/$B$9))+$B$8*((1-EXP(-BO190/$B$10))/(BO190/$B$10)-EXP(-BO190/$B$10)))</f>
        <v>0</v>
      </c>
      <c r="BP191" s="140">
        <f t="shared" si="538"/>
        <v>0</v>
      </c>
      <c r="BQ191" s="140">
        <f t="shared" si="538"/>
        <v>0</v>
      </c>
      <c r="BR191" s="140">
        <f t="shared" si="538"/>
        <v>0</v>
      </c>
      <c r="BS191" s="140">
        <f t="shared" si="538"/>
        <v>0</v>
      </c>
      <c r="BT191" s="140">
        <f t="shared" si="538"/>
        <v>0</v>
      </c>
      <c r="BU191" s="140">
        <f t="shared" si="538"/>
        <v>0</v>
      </c>
      <c r="BV191" s="140">
        <f t="shared" si="538"/>
        <v>0</v>
      </c>
      <c r="BW191" s="140">
        <f t="shared" si="538"/>
        <v>0</v>
      </c>
      <c r="BX191" s="140">
        <f t="shared" si="538"/>
        <v>0</v>
      </c>
      <c r="BY191" s="140">
        <f t="shared" si="538"/>
        <v>0</v>
      </c>
      <c r="BZ191" s="140">
        <f t="shared" si="538"/>
        <v>0</v>
      </c>
      <c r="CA191" s="140">
        <f t="shared" si="538"/>
        <v>0</v>
      </c>
      <c r="CB191" s="140">
        <f t="shared" si="538"/>
        <v>0</v>
      </c>
      <c r="CC191" s="17"/>
      <c r="CD191" s="17"/>
      <c r="CE191" s="17"/>
    </row>
    <row r="192" spans="1:83">
      <c r="A192" s="16" t="s">
        <v>44</v>
      </c>
      <c r="B192" s="140">
        <f>EXP(-B191*B190)</f>
        <v>1</v>
      </c>
      <c r="C192" s="140">
        <f t="shared" ref="C192:AR192" si="539">EXP(-C191*C190)</f>
        <v>1</v>
      </c>
      <c r="D192" s="140">
        <f t="shared" si="539"/>
        <v>1</v>
      </c>
      <c r="E192" s="140">
        <f t="shared" si="539"/>
        <v>1</v>
      </c>
      <c r="F192" s="140">
        <f t="shared" si="539"/>
        <v>1</v>
      </c>
      <c r="G192" s="140">
        <f t="shared" si="539"/>
        <v>1</v>
      </c>
      <c r="H192" s="140">
        <f t="shared" si="539"/>
        <v>1</v>
      </c>
      <c r="I192" s="140">
        <f t="shared" si="539"/>
        <v>1</v>
      </c>
      <c r="J192" s="140">
        <f t="shared" si="539"/>
        <v>1</v>
      </c>
      <c r="K192" s="140">
        <f t="shared" si="539"/>
        <v>1</v>
      </c>
      <c r="L192" s="140">
        <f t="shared" si="539"/>
        <v>1</v>
      </c>
      <c r="M192" s="140">
        <f t="shared" si="539"/>
        <v>1</v>
      </c>
      <c r="N192" s="140">
        <f t="shared" si="539"/>
        <v>1</v>
      </c>
      <c r="O192" s="140">
        <f t="shared" si="539"/>
        <v>1</v>
      </c>
      <c r="P192" s="140">
        <f t="shared" si="539"/>
        <v>1</v>
      </c>
      <c r="Q192" s="140">
        <f t="shared" si="539"/>
        <v>1</v>
      </c>
      <c r="R192" s="140">
        <f t="shared" si="539"/>
        <v>1</v>
      </c>
      <c r="S192" s="140">
        <f t="shared" si="539"/>
        <v>1</v>
      </c>
      <c r="T192" s="140">
        <f t="shared" si="539"/>
        <v>1</v>
      </c>
      <c r="U192" s="140">
        <f t="shared" si="539"/>
        <v>1</v>
      </c>
      <c r="V192" s="140">
        <f t="shared" si="539"/>
        <v>1</v>
      </c>
      <c r="W192" s="140">
        <f t="shared" si="539"/>
        <v>1</v>
      </c>
      <c r="X192" s="140">
        <f t="shared" si="539"/>
        <v>1</v>
      </c>
      <c r="Y192" s="140">
        <f t="shared" si="539"/>
        <v>1</v>
      </c>
      <c r="Z192" s="140">
        <f t="shared" si="539"/>
        <v>1</v>
      </c>
      <c r="AA192" s="140">
        <f t="shared" si="539"/>
        <v>1</v>
      </c>
      <c r="AB192" s="140">
        <f t="shared" si="539"/>
        <v>1</v>
      </c>
      <c r="AC192" s="140">
        <f t="shared" si="539"/>
        <v>1</v>
      </c>
      <c r="AD192" s="140">
        <f t="shared" si="539"/>
        <v>1</v>
      </c>
      <c r="AE192" s="140">
        <f t="shared" si="539"/>
        <v>1</v>
      </c>
      <c r="AF192" s="140">
        <f t="shared" si="539"/>
        <v>1</v>
      </c>
      <c r="AG192" s="140">
        <f t="shared" si="539"/>
        <v>1</v>
      </c>
      <c r="AH192" s="140">
        <f t="shared" si="539"/>
        <v>1</v>
      </c>
      <c r="AI192" s="140">
        <f t="shared" si="539"/>
        <v>1</v>
      </c>
      <c r="AJ192" s="140">
        <f t="shared" si="539"/>
        <v>1</v>
      </c>
      <c r="AK192" s="140">
        <f t="shared" si="539"/>
        <v>1</v>
      </c>
      <c r="AL192" s="140">
        <f t="shared" si="539"/>
        <v>1</v>
      </c>
      <c r="AM192" s="140">
        <f t="shared" si="539"/>
        <v>1</v>
      </c>
      <c r="AN192" s="140">
        <f t="shared" si="539"/>
        <v>1</v>
      </c>
      <c r="AO192" s="140">
        <f t="shared" si="539"/>
        <v>1</v>
      </c>
      <c r="AP192" s="140">
        <f t="shared" si="539"/>
        <v>1</v>
      </c>
      <c r="AQ192" s="140">
        <f t="shared" si="539"/>
        <v>1</v>
      </c>
      <c r="AR192" s="140">
        <f t="shared" si="539"/>
        <v>1</v>
      </c>
      <c r="AS192" s="140">
        <f>EXP(-AS191*AS190)</f>
        <v>1</v>
      </c>
      <c r="AT192" s="140">
        <f t="shared" ref="AT192:CA192" si="540">EXP(-AT191*AT190)</f>
        <v>1</v>
      </c>
      <c r="AU192" s="140">
        <f t="shared" si="540"/>
        <v>1</v>
      </c>
      <c r="AV192" s="140">
        <f t="shared" si="540"/>
        <v>1</v>
      </c>
      <c r="AW192" s="140">
        <f t="shared" si="540"/>
        <v>1</v>
      </c>
      <c r="AX192" s="140">
        <f t="shared" si="540"/>
        <v>1</v>
      </c>
      <c r="AY192" s="140">
        <f t="shared" si="540"/>
        <v>1</v>
      </c>
      <c r="AZ192" s="140">
        <f t="shared" si="540"/>
        <v>1</v>
      </c>
      <c r="BA192" s="140">
        <f t="shared" si="540"/>
        <v>1</v>
      </c>
      <c r="BB192" s="140">
        <f t="shared" si="540"/>
        <v>1</v>
      </c>
      <c r="BC192" s="140">
        <f t="shared" si="540"/>
        <v>1</v>
      </c>
      <c r="BD192" s="140">
        <f t="shared" si="540"/>
        <v>1</v>
      </c>
      <c r="BE192" s="140">
        <f t="shared" si="540"/>
        <v>1</v>
      </c>
      <c r="BF192" s="140">
        <f t="shared" si="540"/>
        <v>1</v>
      </c>
      <c r="BG192" s="140">
        <f t="shared" si="540"/>
        <v>1</v>
      </c>
      <c r="BH192" s="140">
        <f t="shared" si="540"/>
        <v>1</v>
      </c>
      <c r="BI192" s="140">
        <f t="shared" si="540"/>
        <v>1</v>
      </c>
      <c r="BJ192" s="140">
        <f t="shared" si="540"/>
        <v>1</v>
      </c>
      <c r="BK192" s="140">
        <f t="shared" si="540"/>
        <v>1</v>
      </c>
      <c r="BL192" s="140">
        <f t="shared" si="540"/>
        <v>1</v>
      </c>
      <c r="BM192" s="140">
        <f t="shared" si="540"/>
        <v>1</v>
      </c>
      <c r="BN192" s="140">
        <f t="shared" si="540"/>
        <v>1</v>
      </c>
      <c r="BO192" s="140">
        <f t="shared" si="540"/>
        <v>1</v>
      </c>
      <c r="BP192" s="140">
        <f t="shared" si="540"/>
        <v>1</v>
      </c>
      <c r="BQ192" s="140">
        <f t="shared" si="540"/>
        <v>1</v>
      </c>
      <c r="BR192" s="140">
        <f t="shared" si="540"/>
        <v>1</v>
      </c>
      <c r="BS192" s="140">
        <f t="shared" si="540"/>
        <v>1</v>
      </c>
      <c r="BT192" s="140">
        <f t="shared" si="540"/>
        <v>1</v>
      </c>
      <c r="BU192" s="140">
        <f t="shared" si="540"/>
        <v>1</v>
      </c>
      <c r="BV192" s="140">
        <f t="shared" si="540"/>
        <v>1</v>
      </c>
      <c r="BW192" s="140">
        <f t="shared" si="540"/>
        <v>1</v>
      </c>
      <c r="BX192" s="140">
        <f t="shared" si="540"/>
        <v>1</v>
      </c>
      <c r="BY192" s="140">
        <f t="shared" si="540"/>
        <v>1</v>
      </c>
      <c r="BZ192" s="140">
        <f t="shared" si="540"/>
        <v>1</v>
      </c>
      <c r="CA192" s="140">
        <f t="shared" si="540"/>
        <v>1</v>
      </c>
      <c r="CB192" s="140">
        <f>EXP(-CB191*CB190)</f>
        <v>1</v>
      </c>
      <c r="CC192" s="17"/>
      <c r="CD192" s="17"/>
      <c r="CE192" s="17"/>
    </row>
    <row r="193" spans="1:83">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c r="BE193" s="17"/>
      <c r="BF193" s="17"/>
      <c r="BG193" s="17"/>
      <c r="BH193" s="17"/>
      <c r="BI193" s="17"/>
      <c r="BJ193" s="17"/>
      <c r="BK193" s="17"/>
      <c r="BL193" s="17"/>
      <c r="BM193" s="17"/>
      <c r="BN193" s="17"/>
      <c r="BO193" s="17"/>
      <c r="BP193" s="17"/>
      <c r="BQ193" s="17"/>
      <c r="BR193" s="17"/>
      <c r="BS193" s="17"/>
      <c r="BT193" s="17"/>
      <c r="BU193" s="17"/>
      <c r="BV193" s="17"/>
      <c r="BW193" s="17"/>
      <c r="BX193" s="17"/>
      <c r="BY193" s="17"/>
      <c r="BZ193" s="17"/>
      <c r="CA193" s="17"/>
      <c r="CB193" s="17"/>
      <c r="CC193" s="17"/>
      <c r="CD193" s="17"/>
      <c r="CE193" s="17"/>
    </row>
    <row r="194" spans="1:83">
      <c r="A194" s="16" t="s">
        <v>40</v>
      </c>
      <c r="B194" s="140">
        <f>DAYS360($B$3,B74)</f>
        <v>-43022</v>
      </c>
      <c r="C194" s="140">
        <f t="shared" ref="C194:BN194" si="541">DAYS360($B$3,C74)</f>
        <v>-42842</v>
      </c>
      <c r="D194" s="140">
        <f t="shared" si="541"/>
        <v>-42662</v>
      </c>
      <c r="E194" s="140">
        <f t="shared" si="541"/>
        <v>-42482</v>
      </c>
      <c r="F194" s="140">
        <f t="shared" si="541"/>
        <v>-42302</v>
      </c>
      <c r="G194" s="140">
        <f t="shared" si="541"/>
        <v>-42122</v>
      </c>
      <c r="H194" s="140">
        <f t="shared" si="541"/>
        <v>-41942</v>
      </c>
      <c r="I194" s="140">
        <f t="shared" si="541"/>
        <v>-41762</v>
      </c>
      <c r="J194" s="140">
        <f t="shared" si="541"/>
        <v>-41582</v>
      </c>
      <c r="K194" s="140">
        <f t="shared" si="541"/>
        <v>-41403</v>
      </c>
      <c r="L194" s="140">
        <f t="shared" si="541"/>
        <v>-41223</v>
      </c>
      <c r="M194" s="140">
        <f t="shared" si="541"/>
        <v>-41043</v>
      </c>
      <c r="N194" s="140">
        <f t="shared" si="541"/>
        <v>-40863</v>
      </c>
      <c r="O194" s="140">
        <f t="shared" si="541"/>
        <v>-40683</v>
      </c>
      <c r="P194" s="140">
        <f t="shared" si="541"/>
        <v>-40503</v>
      </c>
      <c r="Q194" s="140">
        <f t="shared" si="541"/>
        <v>-40323</v>
      </c>
      <c r="R194" s="140">
        <f t="shared" si="541"/>
        <v>-40143</v>
      </c>
      <c r="S194" s="140">
        <f t="shared" si="541"/>
        <v>-39964</v>
      </c>
      <c r="T194" s="140">
        <f t="shared" si="541"/>
        <v>-39784</v>
      </c>
      <c r="U194" s="140">
        <f t="shared" si="541"/>
        <v>-39604</v>
      </c>
      <c r="V194" s="140">
        <f t="shared" si="541"/>
        <v>-39424</v>
      </c>
      <c r="W194" s="140">
        <f t="shared" si="541"/>
        <v>-39244</v>
      </c>
      <c r="X194" s="140">
        <f t="shared" si="541"/>
        <v>-39064</v>
      </c>
      <c r="Y194" s="140">
        <f t="shared" si="541"/>
        <v>-38884</v>
      </c>
      <c r="Z194" s="140">
        <f t="shared" si="541"/>
        <v>-38704</v>
      </c>
      <c r="AA194" s="140">
        <f t="shared" si="541"/>
        <v>-38525</v>
      </c>
      <c r="AB194" s="140">
        <f t="shared" si="541"/>
        <v>-38345</v>
      </c>
      <c r="AC194" s="140">
        <f t="shared" si="541"/>
        <v>-38165</v>
      </c>
      <c r="AD194" s="140">
        <f t="shared" si="541"/>
        <v>-37985</v>
      </c>
      <c r="AE194" s="140">
        <f t="shared" si="541"/>
        <v>-37805</v>
      </c>
      <c r="AF194" s="140">
        <f t="shared" si="541"/>
        <v>-37625</v>
      </c>
      <c r="AG194" s="140">
        <f t="shared" si="541"/>
        <v>-37445</v>
      </c>
      <c r="AH194" s="140">
        <f t="shared" si="541"/>
        <v>-37265</v>
      </c>
      <c r="AI194" s="140">
        <f t="shared" si="541"/>
        <v>-37086</v>
      </c>
      <c r="AJ194" s="140">
        <f t="shared" si="541"/>
        <v>-36906</v>
      </c>
      <c r="AK194" s="140">
        <f t="shared" si="541"/>
        <v>-36726</v>
      </c>
      <c r="AL194" s="140">
        <f t="shared" si="541"/>
        <v>-36546</v>
      </c>
      <c r="AM194" s="140">
        <f t="shared" si="541"/>
        <v>-36366</v>
      </c>
      <c r="AN194" s="140">
        <f t="shared" si="541"/>
        <v>-36186</v>
      </c>
      <c r="AO194" s="140">
        <f t="shared" si="541"/>
        <v>-36006</v>
      </c>
      <c r="AP194" s="140">
        <f t="shared" si="541"/>
        <v>-35826</v>
      </c>
      <c r="AQ194" s="140">
        <f t="shared" si="541"/>
        <v>-35647</v>
      </c>
      <c r="AR194" s="140">
        <f t="shared" si="541"/>
        <v>-35467</v>
      </c>
      <c r="AS194" s="140">
        <f t="shared" si="541"/>
        <v>-35287</v>
      </c>
      <c r="AT194" s="140">
        <f t="shared" si="541"/>
        <v>-35107</v>
      </c>
      <c r="AU194" s="140">
        <f t="shared" si="541"/>
        <v>-34927</v>
      </c>
      <c r="AV194" s="140">
        <f t="shared" si="541"/>
        <v>-34747</v>
      </c>
      <c r="AW194" s="140">
        <f t="shared" si="541"/>
        <v>-34567</v>
      </c>
      <c r="AX194" s="140">
        <f t="shared" si="541"/>
        <v>-34387</v>
      </c>
      <c r="AY194" s="140">
        <f t="shared" si="541"/>
        <v>-34208</v>
      </c>
      <c r="AZ194" s="140">
        <f t="shared" si="541"/>
        <v>-34028</v>
      </c>
      <c r="BA194" s="140">
        <f t="shared" si="541"/>
        <v>-33848</v>
      </c>
      <c r="BB194" s="140">
        <f t="shared" si="541"/>
        <v>-33668</v>
      </c>
      <c r="BC194" s="140">
        <f t="shared" si="541"/>
        <v>-33488</v>
      </c>
      <c r="BD194" s="140">
        <f t="shared" si="541"/>
        <v>-33308</v>
      </c>
      <c r="BE194" s="140">
        <f t="shared" si="541"/>
        <v>-33128</v>
      </c>
      <c r="BF194" s="140">
        <f t="shared" si="541"/>
        <v>-32948</v>
      </c>
      <c r="BG194" s="140">
        <f t="shared" si="541"/>
        <v>-32769</v>
      </c>
      <c r="BH194" s="140">
        <f t="shared" si="541"/>
        <v>-32589</v>
      </c>
      <c r="BI194" s="140">
        <f t="shared" si="541"/>
        <v>-32409</v>
      </c>
      <c r="BJ194" s="140">
        <f t="shared" si="541"/>
        <v>-32229</v>
      </c>
      <c r="BK194" s="140">
        <f t="shared" si="541"/>
        <v>-32049</v>
      </c>
      <c r="BL194" s="140">
        <f t="shared" si="541"/>
        <v>-31869</v>
      </c>
      <c r="BM194" s="140">
        <f t="shared" si="541"/>
        <v>-31689</v>
      </c>
      <c r="BN194" s="140">
        <f t="shared" si="541"/>
        <v>-31509</v>
      </c>
      <c r="BO194" s="140">
        <f t="shared" ref="BO194:CB194" si="542">DAYS360($B$3,BO74)</f>
        <v>-31330</v>
      </c>
      <c r="BP194" s="140">
        <f t="shared" si="542"/>
        <v>-31150</v>
      </c>
      <c r="BQ194" s="140">
        <f t="shared" si="542"/>
        <v>-30970</v>
      </c>
      <c r="BR194" s="140">
        <f t="shared" si="542"/>
        <v>-30790</v>
      </c>
      <c r="BS194" s="140">
        <f t="shared" si="542"/>
        <v>-30610</v>
      </c>
      <c r="BT194" s="140">
        <f t="shared" si="542"/>
        <v>-30430</v>
      </c>
      <c r="BU194" s="140">
        <f t="shared" si="542"/>
        <v>-30250</v>
      </c>
      <c r="BV194" s="140">
        <f t="shared" si="542"/>
        <v>-30070</v>
      </c>
      <c r="BW194" s="140">
        <f t="shared" si="542"/>
        <v>-29891</v>
      </c>
      <c r="BX194" s="140">
        <f t="shared" si="542"/>
        <v>-29711</v>
      </c>
      <c r="BY194" s="140">
        <f t="shared" si="542"/>
        <v>-29531</v>
      </c>
      <c r="BZ194" s="140">
        <f t="shared" si="542"/>
        <v>-29351</v>
      </c>
      <c r="CA194" s="140">
        <f t="shared" si="542"/>
        <v>-29171</v>
      </c>
      <c r="CB194" s="140">
        <f t="shared" si="542"/>
        <v>-28991</v>
      </c>
      <c r="CC194" s="17"/>
      <c r="CD194" s="17"/>
      <c r="CE194" s="17"/>
    </row>
    <row r="195" spans="1:83">
      <c r="A195" s="16" t="s">
        <v>41</v>
      </c>
      <c r="B195" s="140">
        <f>B194/360</f>
        <v>-119.50555555555556</v>
      </c>
      <c r="C195" s="140">
        <f t="shared" ref="C195:BN195" si="543">C194/360</f>
        <v>-119.00555555555556</v>
      </c>
      <c r="D195" s="140">
        <f t="shared" si="543"/>
        <v>-118.50555555555556</v>
      </c>
      <c r="E195" s="140">
        <f t="shared" si="543"/>
        <v>-118.00555555555556</v>
      </c>
      <c r="F195" s="140">
        <f t="shared" si="543"/>
        <v>-117.50555555555556</v>
      </c>
      <c r="G195" s="140">
        <f t="shared" si="543"/>
        <v>-117.00555555555556</v>
      </c>
      <c r="H195" s="140">
        <f t="shared" si="543"/>
        <v>-116.50555555555556</v>
      </c>
      <c r="I195" s="140">
        <f t="shared" si="543"/>
        <v>-116.00555555555556</v>
      </c>
      <c r="J195" s="140">
        <f t="shared" si="543"/>
        <v>-115.50555555555556</v>
      </c>
      <c r="K195" s="140">
        <f t="shared" si="543"/>
        <v>-115.00833333333334</v>
      </c>
      <c r="L195" s="140">
        <f t="shared" si="543"/>
        <v>-114.50833333333334</v>
      </c>
      <c r="M195" s="140">
        <f t="shared" si="543"/>
        <v>-114.00833333333334</v>
      </c>
      <c r="N195" s="140">
        <f t="shared" si="543"/>
        <v>-113.50833333333334</v>
      </c>
      <c r="O195" s="140">
        <f t="shared" si="543"/>
        <v>-113.00833333333334</v>
      </c>
      <c r="P195" s="140">
        <f t="shared" si="543"/>
        <v>-112.50833333333334</v>
      </c>
      <c r="Q195" s="140">
        <f t="shared" si="543"/>
        <v>-112.00833333333334</v>
      </c>
      <c r="R195" s="140">
        <f t="shared" si="543"/>
        <v>-111.50833333333334</v>
      </c>
      <c r="S195" s="140">
        <f t="shared" si="543"/>
        <v>-111.01111111111111</v>
      </c>
      <c r="T195" s="140">
        <f t="shared" si="543"/>
        <v>-110.51111111111111</v>
      </c>
      <c r="U195" s="140">
        <f t="shared" si="543"/>
        <v>-110.01111111111111</v>
      </c>
      <c r="V195" s="140">
        <f t="shared" si="543"/>
        <v>-109.51111111111111</v>
      </c>
      <c r="W195" s="140">
        <f t="shared" si="543"/>
        <v>-109.01111111111111</v>
      </c>
      <c r="X195" s="140">
        <f t="shared" si="543"/>
        <v>-108.51111111111111</v>
      </c>
      <c r="Y195" s="140">
        <f t="shared" si="543"/>
        <v>-108.01111111111111</v>
      </c>
      <c r="Z195" s="140">
        <f t="shared" si="543"/>
        <v>-107.51111111111111</v>
      </c>
      <c r="AA195" s="140">
        <f t="shared" si="543"/>
        <v>-107.01388888888889</v>
      </c>
      <c r="AB195" s="140">
        <f t="shared" si="543"/>
        <v>-106.51388888888889</v>
      </c>
      <c r="AC195" s="140">
        <f t="shared" si="543"/>
        <v>-106.01388888888889</v>
      </c>
      <c r="AD195" s="140">
        <f t="shared" si="543"/>
        <v>-105.51388888888889</v>
      </c>
      <c r="AE195" s="140">
        <f t="shared" si="543"/>
        <v>-105.01388888888889</v>
      </c>
      <c r="AF195" s="140">
        <f t="shared" si="543"/>
        <v>-104.51388888888889</v>
      </c>
      <c r="AG195" s="140">
        <f t="shared" si="543"/>
        <v>-104.01388888888889</v>
      </c>
      <c r="AH195" s="140">
        <f t="shared" si="543"/>
        <v>-103.51388888888889</v>
      </c>
      <c r="AI195" s="140">
        <f t="shared" si="543"/>
        <v>-103.01666666666667</v>
      </c>
      <c r="AJ195" s="140">
        <f t="shared" si="543"/>
        <v>-102.51666666666667</v>
      </c>
      <c r="AK195" s="140">
        <f t="shared" si="543"/>
        <v>-102.01666666666667</v>
      </c>
      <c r="AL195" s="140">
        <f t="shared" si="543"/>
        <v>-101.51666666666667</v>
      </c>
      <c r="AM195" s="140">
        <f t="shared" si="543"/>
        <v>-101.01666666666667</v>
      </c>
      <c r="AN195" s="140">
        <f t="shared" si="543"/>
        <v>-100.51666666666667</v>
      </c>
      <c r="AO195" s="140">
        <f t="shared" si="543"/>
        <v>-100.01666666666667</v>
      </c>
      <c r="AP195" s="140">
        <f t="shared" si="543"/>
        <v>-99.516666666666666</v>
      </c>
      <c r="AQ195" s="140">
        <f t="shared" si="543"/>
        <v>-99.019444444444446</v>
      </c>
      <c r="AR195" s="140">
        <f t="shared" si="543"/>
        <v>-98.519444444444446</v>
      </c>
      <c r="AS195" s="140">
        <f t="shared" si="543"/>
        <v>-98.019444444444446</v>
      </c>
      <c r="AT195" s="140">
        <f t="shared" si="543"/>
        <v>-97.519444444444446</v>
      </c>
      <c r="AU195" s="140">
        <f t="shared" si="543"/>
        <v>-97.019444444444446</v>
      </c>
      <c r="AV195" s="140">
        <f t="shared" si="543"/>
        <v>-96.519444444444446</v>
      </c>
      <c r="AW195" s="140">
        <f t="shared" si="543"/>
        <v>-96.019444444444446</v>
      </c>
      <c r="AX195" s="140">
        <f t="shared" si="543"/>
        <v>-95.519444444444446</v>
      </c>
      <c r="AY195" s="140">
        <f t="shared" si="543"/>
        <v>-95.022222222222226</v>
      </c>
      <c r="AZ195" s="140">
        <f t="shared" si="543"/>
        <v>-94.522222222222226</v>
      </c>
      <c r="BA195" s="140">
        <f t="shared" si="543"/>
        <v>-94.022222222222226</v>
      </c>
      <c r="BB195" s="140">
        <f t="shared" si="543"/>
        <v>-93.522222222222226</v>
      </c>
      <c r="BC195" s="140">
        <f t="shared" si="543"/>
        <v>-93.022222222222226</v>
      </c>
      <c r="BD195" s="140">
        <f t="shared" si="543"/>
        <v>-92.522222222222226</v>
      </c>
      <c r="BE195" s="140">
        <f t="shared" si="543"/>
        <v>-92.022222222222226</v>
      </c>
      <c r="BF195" s="140">
        <f t="shared" si="543"/>
        <v>-91.522222222222226</v>
      </c>
      <c r="BG195" s="140">
        <f t="shared" si="543"/>
        <v>-91.025000000000006</v>
      </c>
      <c r="BH195" s="140">
        <f t="shared" si="543"/>
        <v>-90.525000000000006</v>
      </c>
      <c r="BI195" s="140">
        <f t="shared" si="543"/>
        <v>-90.025000000000006</v>
      </c>
      <c r="BJ195" s="140">
        <f t="shared" si="543"/>
        <v>-89.525000000000006</v>
      </c>
      <c r="BK195" s="140">
        <f t="shared" si="543"/>
        <v>-89.025000000000006</v>
      </c>
      <c r="BL195" s="140">
        <f t="shared" si="543"/>
        <v>-88.525000000000006</v>
      </c>
      <c r="BM195" s="140">
        <f t="shared" si="543"/>
        <v>-88.025000000000006</v>
      </c>
      <c r="BN195" s="140">
        <f t="shared" si="543"/>
        <v>-87.525000000000006</v>
      </c>
      <c r="BO195" s="140">
        <f t="shared" ref="BO195:CB195" si="544">BO194/360</f>
        <v>-87.027777777777771</v>
      </c>
      <c r="BP195" s="140">
        <f t="shared" si="544"/>
        <v>-86.527777777777771</v>
      </c>
      <c r="BQ195" s="140">
        <f t="shared" si="544"/>
        <v>-86.027777777777771</v>
      </c>
      <c r="BR195" s="140">
        <f t="shared" si="544"/>
        <v>-85.527777777777771</v>
      </c>
      <c r="BS195" s="140">
        <f t="shared" si="544"/>
        <v>-85.027777777777771</v>
      </c>
      <c r="BT195" s="140">
        <f t="shared" si="544"/>
        <v>-84.527777777777771</v>
      </c>
      <c r="BU195" s="140">
        <f t="shared" si="544"/>
        <v>-84.027777777777771</v>
      </c>
      <c r="BV195" s="140">
        <f t="shared" si="544"/>
        <v>-83.527777777777771</v>
      </c>
      <c r="BW195" s="140">
        <f t="shared" si="544"/>
        <v>-83.030555555555551</v>
      </c>
      <c r="BX195" s="140">
        <f t="shared" si="544"/>
        <v>-82.530555555555551</v>
      </c>
      <c r="BY195" s="140">
        <f t="shared" si="544"/>
        <v>-82.030555555555551</v>
      </c>
      <c r="BZ195" s="140">
        <f t="shared" si="544"/>
        <v>-81.530555555555551</v>
      </c>
      <c r="CA195" s="140">
        <f t="shared" si="544"/>
        <v>-81.030555555555551</v>
      </c>
      <c r="CB195" s="140">
        <f t="shared" si="544"/>
        <v>-80.530555555555551</v>
      </c>
      <c r="CC195" s="17"/>
      <c r="CD195" s="17"/>
      <c r="CE195" s="17"/>
    </row>
    <row r="196" spans="1:83">
      <c r="A196" s="16" t="s">
        <v>43</v>
      </c>
      <c r="B196" s="140">
        <f>IF(B194&lt;0,0,$B$5+$B$6*((1-EXP(-B195/$B$9))/(B195/$B$9))+$B$7*((1-EXP(-B195/$B$9))/(B195/$B$9)-EXP(-B195/$B$9))+$B$8*((1-EXP(-B195/$B$10))/(B195/$B$10)-EXP(-B195/$B$10)))</f>
        <v>0</v>
      </c>
      <c r="C196" s="140">
        <f t="shared" ref="C196:BN196" si="545">IF(C194&lt;0,0,$B$5+$B$6*((1-EXP(-C195/$B$9))/(C195/$B$9))+$B$7*((1-EXP(-C195/$B$9))/(C195/$B$9)-EXP(-C195/$B$9))+$B$8*((1-EXP(-C195/$B$10))/(C195/$B$10)-EXP(-C195/$B$10)))</f>
        <v>0</v>
      </c>
      <c r="D196" s="140">
        <f t="shared" si="545"/>
        <v>0</v>
      </c>
      <c r="E196" s="140">
        <f t="shared" si="545"/>
        <v>0</v>
      </c>
      <c r="F196" s="140">
        <f t="shared" si="545"/>
        <v>0</v>
      </c>
      <c r="G196" s="140">
        <f t="shared" si="545"/>
        <v>0</v>
      </c>
      <c r="H196" s="140">
        <f t="shared" si="545"/>
        <v>0</v>
      </c>
      <c r="I196" s="140">
        <f t="shared" si="545"/>
        <v>0</v>
      </c>
      <c r="J196" s="140">
        <f t="shared" si="545"/>
        <v>0</v>
      </c>
      <c r="K196" s="140">
        <f t="shared" si="545"/>
        <v>0</v>
      </c>
      <c r="L196" s="140">
        <f t="shared" si="545"/>
        <v>0</v>
      </c>
      <c r="M196" s="140">
        <f t="shared" si="545"/>
        <v>0</v>
      </c>
      <c r="N196" s="140">
        <f t="shared" si="545"/>
        <v>0</v>
      </c>
      <c r="O196" s="140">
        <f t="shared" si="545"/>
        <v>0</v>
      </c>
      <c r="P196" s="140">
        <f t="shared" si="545"/>
        <v>0</v>
      </c>
      <c r="Q196" s="140">
        <f t="shared" si="545"/>
        <v>0</v>
      </c>
      <c r="R196" s="140">
        <f t="shared" si="545"/>
        <v>0</v>
      </c>
      <c r="S196" s="140">
        <f t="shared" si="545"/>
        <v>0</v>
      </c>
      <c r="T196" s="140">
        <f t="shared" si="545"/>
        <v>0</v>
      </c>
      <c r="U196" s="140">
        <f t="shared" si="545"/>
        <v>0</v>
      </c>
      <c r="V196" s="140">
        <f t="shared" si="545"/>
        <v>0</v>
      </c>
      <c r="W196" s="140">
        <f t="shared" si="545"/>
        <v>0</v>
      </c>
      <c r="X196" s="140">
        <f t="shared" si="545"/>
        <v>0</v>
      </c>
      <c r="Y196" s="140">
        <f t="shared" si="545"/>
        <v>0</v>
      </c>
      <c r="Z196" s="140">
        <f t="shared" si="545"/>
        <v>0</v>
      </c>
      <c r="AA196" s="140">
        <f t="shared" si="545"/>
        <v>0</v>
      </c>
      <c r="AB196" s="140">
        <f t="shared" si="545"/>
        <v>0</v>
      </c>
      <c r="AC196" s="140">
        <f t="shared" si="545"/>
        <v>0</v>
      </c>
      <c r="AD196" s="140">
        <f t="shared" si="545"/>
        <v>0</v>
      </c>
      <c r="AE196" s="140">
        <f t="shared" si="545"/>
        <v>0</v>
      </c>
      <c r="AF196" s="140">
        <f t="shared" si="545"/>
        <v>0</v>
      </c>
      <c r="AG196" s="140">
        <f t="shared" si="545"/>
        <v>0</v>
      </c>
      <c r="AH196" s="140">
        <f t="shared" si="545"/>
        <v>0</v>
      </c>
      <c r="AI196" s="140">
        <f t="shared" si="545"/>
        <v>0</v>
      </c>
      <c r="AJ196" s="140">
        <f t="shared" si="545"/>
        <v>0</v>
      </c>
      <c r="AK196" s="140">
        <f t="shared" si="545"/>
        <v>0</v>
      </c>
      <c r="AL196" s="140">
        <f t="shared" si="545"/>
        <v>0</v>
      </c>
      <c r="AM196" s="140">
        <f t="shared" si="545"/>
        <v>0</v>
      </c>
      <c r="AN196" s="140">
        <f t="shared" si="545"/>
        <v>0</v>
      </c>
      <c r="AO196" s="140">
        <f t="shared" si="545"/>
        <v>0</v>
      </c>
      <c r="AP196" s="140">
        <f t="shared" si="545"/>
        <v>0</v>
      </c>
      <c r="AQ196" s="140">
        <f t="shared" si="545"/>
        <v>0</v>
      </c>
      <c r="AR196" s="140">
        <f t="shared" si="545"/>
        <v>0</v>
      </c>
      <c r="AS196" s="140">
        <f t="shared" si="545"/>
        <v>0</v>
      </c>
      <c r="AT196" s="140">
        <f t="shared" si="545"/>
        <v>0</v>
      </c>
      <c r="AU196" s="140">
        <f t="shared" si="545"/>
        <v>0</v>
      </c>
      <c r="AV196" s="140">
        <f t="shared" si="545"/>
        <v>0</v>
      </c>
      <c r="AW196" s="140">
        <f t="shared" si="545"/>
        <v>0</v>
      </c>
      <c r="AX196" s="140">
        <f t="shared" si="545"/>
        <v>0</v>
      </c>
      <c r="AY196" s="140">
        <f t="shared" si="545"/>
        <v>0</v>
      </c>
      <c r="AZ196" s="140">
        <f t="shared" si="545"/>
        <v>0</v>
      </c>
      <c r="BA196" s="140">
        <f t="shared" si="545"/>
        <v>0</v>
      </c>
      <c r="BB196" s="140">
        <f t="shared" si="545"/>
        <v>0</v>
      </c>
      <c r="BC196" s="140">
        <f t="shared" si="545"/>
        <v>0</v>
      </c>
      <c r="BD196" s="140">
        <f t="shared" si="545"/>
        <v>0</v>
      </c>
      <c r="BE196" s="140">
        <f t="shared" si="545"/>
        <v>0</v>
      </c>
      <c r="BF196" s="140">
        <f t="shared" si="545"/>
        <v>0</v>
      </c>
      <c r="BG196" s="140">
        <f t="shared" si="545"/>
        <v>0</v>
      </c>
      <c r="BH196" s="140">
        <f t="shared" si="545"/>
        <v>0</v>
      </c>
      <c r="BI196" s="140">
        <f t="shared" si="545"/>
        <v>0</v>
      </c>
      <c r="BJ196" s="140">
        <f t="shared" si="545"/>
        <v>0</v>
      </c>
      <c r="BK196" s="140">
        <f t="shared" si="545"/>
        <v>0</v>
      </c>
      <c r="BL196" s="140">
        <f t="shared" si="545"/>
        <v>0</v>
      </c>
      <c r="BM196" s="140">
        <f t="shared" si="545"/>
        <v>0</v>
      </c>
      <c r="BN196" s="140">
        <f t="shared" si="545"/>
        <v>0</v>
      </c>
      <c r="BO196" s="140">
        <f t="shared" ref="BO196:CB196" si="546">IF(BO194&lt;0,0,$B$5+$B$6*((1-EXP(-BO195/$B$9))/(BO195/$B$9))+$B$7*((1-EXP(-BO195/$B$9))/(BO195/$B$9)-EXP(-BO195/$B$9))+$B$8*((1-EXP(-BO195/$B$10))/(BO195/$B$10)-EXP(-BO195/$B$10)))</f>
        <v>0</v>
      </c>
      <c r="BP196" s="140">
        <f t="shared" si="546"/>
        <v>0</v>
      </c>
      <c r="BQ196" s="140">
        <f t="shared" si="546"/>
        <v>0</v>
      </c>
      <c r="BR196" s="140">
        <f t="shared" si="546"/>
        <v>0</v>
      </c>
      <c r="BS196" s="140">
        <f t="shared" si="546"/>
        <v>0</v>
      </c>
      <c r="BT196" s="140">
        <f t="shared" si="546"/>
        <v>0</v>
      </c>
      <c r="BU196" s="140">
        <f t="shared" si="546"/>
        <v>0</v>
      </c>
      <c r="BV196" s="140">
        <f t="shared" si="546"/>
        <v>0</v>
      </c>
      <c r="BW196" s="140">
        <f t="shared" si="546"/>
        <v>0</v>
      </c>
      <c r="BX196" s="140">
        <f t="shared" si="546"/>
        <v>0</v>
      </c>
      <c r="BY196" s="140">
        <f t="shared" si="546"/>
        <v>0</v>
      </c>
      <c r="BZ196" s="140">
        <f t="shared" si="546"/>
        <v>0</v>
      </c>
      <c r="CA196" s="140">
        <f t="shared" si="546"/>
        <v>0</v>
      </c>
      <c r="CB196" s="140">
        <f t="shared" si="546"/>
        <v>0</v>
      </c>
      <c r="CC196" s="17"/>
      <c r="CD196" s="17"/>
      <c r="CE196" s="17"/>
    </row>
    <row r="197" spans="1:83">
      <c r="A197" s="16" t="s">
        <v>44</v>
      </c>
      <c r="B197" s="140">
        <f>EXP(-B196*B195)</f>
        <v>1</v>
      </c>
      <c r="C197" s="140">
        <f t="shared" ref="C197:BN197" si="547">EXP(-C196*C195)</f>
        <v>1</v>
      </c>
      <c r="D197" s="140">
        <f t="shared" si="547"/>
        <v>1</v>
      </c>
      <c r="E197" s="140">
        <f t="shared" si="547"/>
        <v>1</v>
      </c>
      <c r="F197" s="140">
        <f t="shared" si="547"/>
        <v>1</v>
      </c>
      <c r="G197" s="140">
        <f t="shared" si="547"/>
        <v>1</v>
      </c>
      <c r="H197" s="140">
        <f t="shared" si="547"/>
        <v>1</v>
      </c>
      <c r="I197" s="140">
        <f t="shared" si="547"/>
        <v>1</v>
      </c>
      <c r="J197" s="140">
        <f t="shared" si="547"/>
        <v>1</v>
      </c>
      <c r="K197" s="140">
        <f t="shared" si="547"/>
        <v>1</v>
      </c>
      <c r="L197" s="140">
        <f t="shared" si="547"/>
        <v>1</v>
      </c>
      <c r="M197" s="140">
        <f t="shared" si="547"/>
        <v>1</v>
      </c>
      <c r="N197" s="140">
        <f t="shared" si="547"/>
        <v>1</v>
      </c>
      <c r="O197" s="140">
        <f t="shared" si="547"/>
        <v>1</v>
      </c>
      <c r="P197" s="140">
        <f t="shared" si="547"/>
        <v>1</v>
      </c>
      <c r="Q197" s="140">
        <f t="shared" si="547"/>
        <v>1</v>
      </c>
      <c r="R197" s="140">
        <f t="shared" si="547"/>
        <v>1</v>
      </c>
      <c r="S197" s="140">
        <f t="shared" si="547"/>
        <v>1</v>
      </c>
      <c r="T197" s="140">
        <f t="shared" si="547"/>
        <v>1</v>
      </c>
      <c r="U197" s="140">
        <f t="shared" si="547"/>
        <v>1</v>
      </c>
      <c r="V197" s="140">
        <f t="shared" si="547"/>
        <v>1</v>
      </c>
      <c r="W197" s="140">
        <f t="shared" si="547"/>
        <v>1</v>
      </c>
      <c r="X197" s="140">
        <f t="shared" si="547"/>
        <v>1</v>
      </c>
      <c r="Y197" s="140">
        <f t="shared" si="547"/>
        <v>1</v>
      </c>
      <c r="Z197" s="140">
        <f t="shared" si="547"/>
        <v>1</v>
      </c>
      <c r="AA197" s="140">
        <f t="shared" si="547"/>
        <v>1</v>
      </c>
      <c r="AB197" s="140">
        <f t="shared" si="547"/>
        <v>1</v>
      </c>
      <c r="AC197" s="140">
        <f t="shared" si="547"/>
        <v>1</v>
      </c>
      <c r="AD197" s="140">
        <f t="shared" si="547"/>
        <v>1</v>
      </c>
      <c r="AE197" s="140">
        <f t="shared" si="547"/>
        <v>1</v>
      </c>
      <c r="AF197" s="140">
        <f t="shared" si="547"/>
        <v>1</v>
      </c>
      <c r="AG197" s="140">
        <f t="shared" si="547"/>
        <v>1</v>
      </c>
      <c r="AH197" s="140">
        <f t="shared" si="547"/>
        <v>1</v>
      </c>
      <c r="AI197" s="140">
        <f t="shared" si="547"/>
        <v>1</v>
      </c>
      <c r="AJ197" s="140">
        <f t="shared" si="547"/>
        <v>1</v>
      </c>
      <c r="AK197" s="140">
        <f t="shared" si="547"/>
        <v>1</v>
      </c>
      <c r="AL197" s="140">
        <f t="shared" si="547"/>
        <v>1</v>
      </c>
      <c r="AM197" s="140">
        <f t="shared" si="547"/>
        <v>1</v>
      </c>
      <c r="AN197" s="140">
        <f t="shared" si="547"/>
        <v>1</v>
      </c>
      <c r="AO197" s="140">
        <f t="shared" si="547"/>
        <v>1</v>
      </c>
      <c r="AP197" s="140">
        <f t="shared" si="547"/>
        <v>1</v>
      </c>
      <c r="AQ197" s="140">
        <f t="shared" si="547"/>
        <v>1</v>
      </c>
      <c r="AR197" s="140">
        <f t="shared" si="547"/>
        <v>1</v>
      </c>
      <c r="AS197" s="140">
        <f t="shared" si="547"/>
        <v>1</v>
      </c>
      <c r="AT197" s="140">
        <f t="shared" si="547"/>
        <v>1</v>
      </c>
      <c r="AU197" s="140">
        <f t="shared" si="547"/>
        <v>1</v>
      </c>
      <c r="AV197" s="140">
        <f t="shared" si="547"/>
        <v>1</v>
      </c>
      <c r="AW197" s="140">
        <f t="shared" si="547"/>
        <v>1</v>
      </c>
      <c r="AX197" s="140">
        <f t="shared" si="547"/>
        <v>1</v>
      </c>
      <c r="AY197" s="140">
        <f t="shared" si="547"/>
        <v>1</v>
      </c>
      <c r="AZ197" s="140">
        <f t="shared" si="547"/>
        <v>1</v>
      </c>
      <c r="BA197" s="140">
        <f t="shared" si="547"/>
        <v>1</v>
      </c>
      <c r="BB197" s="140">
        <f t="shared" si="547"/>
        <v>1</v>
      </c>
      <c r="BC197" s="140">
        <f t="shared" si="547"/>
        <v>1</v>
      </c>
      <c r="BD197" s="140">
        <f t="shared" si="547"/>
        <v>1</v>
      </c>
      <c r="BE197" s="140">
        <f t="shared" si="547"/>
        <v>1</v>
      </c>
      <c r="BF197" s="140">
        <f t="shared" si="547"/>
        <v>1</v>
      </c>
      <c r="BG197" s="140">
        <f t="shared" si="547"/>
        <v>1</v>
      </c>
      <c r="BH197" s="140">
        <f t="shared" si="547"/>
        <v>1</v>
      </c>
      <c r="BI197" s="140">
        <f t="shared" si="547"/>
        <v>1</v>
      </c>
      <c r="BJ197" s="140">
        <f t="shared" si="547"/>
        <v>1</v>
      </c>
      <c r="BK197" s="140">
        <f t="shared" si="547"/>
        <v>1</v>
      </c>
      <c r="BL197" s="140">
        <f t="shared" si="547"/>
        <v>1</v>
      </c>
      <c r="BM197" s="140">
        <f t="shared" si="547"/>
        <v>1</v>
      </c>
      <c r="BN197" s="140">
        <f t="shared" si="547"/>
        <v>1</v>
      </c>
      <c r="BO197" s="140">
        <f t="shared" ref="BO197:CB197" si="548">EXP(-BO196*BO195)</f>
        <v>1</v>
      </c>
      <c r="BP197" s="140">
        <f t="shared" si="548"/>
        <v>1</v>
      </c>
      <c r="BQ197" s="140">
        <f t="shared" si="548"/>
        <v>1</v>
      </c>
      <c r="BR197" s="140">
        <f t="shared" si="548"/>
        <v>1</v>
      </c>
      <c r="BS197" s="140">
        <f t="shared" si="548"/>
        <v>1</v>
      </c>
      <c r="BT197" s="140">
        <f t="shared" si="548"/>
        <v>1</v>
      </c>
      <c r="BU197" s="140">
        <f t="shared" si="548"/>
        <v>1</v>
      </c>
      <c r="BV197" s="140">
        <f t="shared" si="548"/>
        <v>1</v>
      </c>
      <c r="BW197" s="140">
        <f t="shared" si="548"/>
        <v>1</v>
      </c>
      <c r="BX197" s="140">
        <f t="shared" si="548"/>
        <v>1</v>
      </c>
      <c r="BY197" s="140">
        <f t="shared" si="548"/>
        <v>1</v>
      </c>
      <c r="BZ197" s="140">
        <f t="shared" si="548"/>
        <v>1</v>
      </c>
      <c r="CA197" s="140">
        <f t="shared" si="548"/>
        <v>1</v>
      </c>
      <c r="CB197" s="140">
        <f t="shared" si="548"/>
        <v>1</v>
      </c>
      <c r="CC197" s="17"/>
      <c r="CD197" s="17"/>
      <c r="CE197" s="17"/>
    </row>
    <row r="198" spans="1:83">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c r="BE198" s="17"/>
      <c r="BF198" s="17"/>
      <c r="BG198" s="17"/>
      <c r="BH198" s="17"/>
      <c r="BI198" s="17"/>
      <c r="BJ198" s="17"/>
      <c r="BK198" s="17"/>
      <c r="BL198" s="17"/>
      <c r="BM198" s="17"/>
      <c r="BN198" s="17"/>
      <c r="BO198" s="17"/>
      <c r="BP198" s="17"/>
      <c r="BQ198" s="17"/>
      <c r="BR198" s="17"/>
      <c r="BS198" s="17"/>
      <c r="BT198" s="17"/>
      <c r="BU198" s="17"/>
      <c r="BV198" s="17"/>
      <c r="BW198" s="17"/>
      <c r="BX198" s="17"/>
      <c r="BY198" s="17"/>
      <c r="BZ198" s="17"/>
      <c r="CA198" s="17"/>
      <c r="CB198" s="17"/>
      <c r="CC198" s="17"/>
      <c r="CD198" s="17"/>
      <c r="CE198" s="17"/>
    </row>
    <row r="199" spans="1:83">
      <c r="A199" s="16" t="s">
        <v>40</v>
      </c>
      <c r="B199" s="140">
        <f>DAYS360($B$3,B76)</f>
        <v>-43022</v>
      </c>
      <c r="C199" s="140">
        <f t="shared" ref="C199:BN199" si="549">DAYS360($B$3,C76)</f>
        <v>-42842</v>
      </c>
      <c r="D199" s="140">
        <f t="shared" si="549"/>
        <v>-42662</v>
      </c>
      <c r="E199" s="140">
        <f t="shared" si="549"/>
        <v>-42482</v>
      </c>
      <c r="F199" s="140">
        <f t="shared" si="549"/>
        <v>-42302</v>
      </c>
      <c r="G199" s="140">
        <f t="shared" si="549"/>
        <v>-42122</v>
      </c>
      <c r="H199" s="140">
        <f t="shared" si="549"/>
        <v>-41942</v>
      </c>
      <c r="I199" s="140">
        <f t="shared" si="549"/>
        <v>-41762</v>
      </c>
      <c r="J199" s="140">
        <f t="shared" si="549"/>
        <v>-41582</v>
      </c>
      <c r="K199" s="140">
        <f t="shared" si="549"/>
        <v>-41403</v>
      </c>
      <c r="L199" s="140">
        <f t="shared" si="549"/>
        <v>-41223</v>
      </c>
      <c r="M199" s="140">
        <f t="shared" si="549"/>
        <v>-41043</v>
      </c>
      <c r="N199" s="140">
        <f t="shared" si="549"/>
        <v>-40863</v>
      </c>
      <c r="O199" s="140">
        <f t="shared" si="549"/>
        <v>-40683</v>
      </c>
      <c r="P199" s="140">
        <f t="shared" si="549"/>
        <v>-40503</v>
      </c>
      <c r="Q199" s="140">
        <f t="shared" si="549"/>
        <v>-40323</v>
      </c>
      <c r="R199" s="140">
        <f t="shared" si="549"/>
        <v>-40143</v>
      </c>
      <c r="S199" s="140">
        <f t="shared" si="549"/>
        <v>-39964</v>
      </c>
      <c r="T199" s="140">
        <f t="shared" si="549"/>
        <v>-39784</v>
      </c>
      <c r="U199" s="140">
        <f t="shared" si="549"/>
        <v>-39604</v>
      </c>
      <c r="V199" s="140">
        <f t="shared" si="549"/>
        <v>-39424</v>
      </c>
      <c r="W199" s="140">
        <f t="shared" si="549"/>
        <v>-39244</v>
      </c>
      <c r="X199" s="140">
        <f t="shared" si="549"/>
        <v>-39064</v>
      </c>
      <c r="Y199" s="140">
        <f t="shared" si="549"/>
        <v>-38884</v>
      </c>
      <c r="Z199" s="140">
        <f t="shared" si="549"/>
        <v>-38704</v>
      </c>
      <c r="AA199" s="140">
        <f t="shared" si="549"/>
        <v>-38525</v>
      </c>
      <c r="AB199" s="140">
        <f t="shared" si="549"/>
        <v>-38345</v>
      </c>
      <c r="AC199" s="140">
        <f t="shared" si="549"/>
        <v>-38165</v>
      </c>
      <c r="AD199" s="140">
        <f t="shared" si="549"/>
        <v>-37985</v>
      </c>
      <c r="AE199" s="140">
        <f t="shared" si="549"/>
        <v>-37805</v>
      </c>
      <c r="AF199" s="140">
        <f t="shared" si="549"/>
        <v>-37625</v>
      </c>
      <c r="AG199" s="140">
        <f t="shared" si="549"/>
        <v>-37445</v>
      </c>
      <c r="AH199" s="140">
        <f t="shared" si="549"/>
        <v>-37265</v>
      </c>
      <c r="AI199" s="140">
        <f t="shared" si="549"/>
        <v>-37086</v>
      </c>
      <c r="AJ199" s="140">
        <f t="shared" si="549"/>
        <v>-36906</v>
      </c>
      <c r="AK199" s="140">
        <f t="shared" si="549"/>
        <v>-36726</v>
      </c>
      <c r="AL199" s="140">
        <f t="shared" si="549"/>
        <v>-36546</v>
      </c>
      <c r="AM199" s="140">
        <f t="shared" si="549"/>
        <v>-36366</v>
      </c>
      <c r="AN199" s="140">
        <f t="shared" si="549"/>
        <v>-36186</v>
      </c>
      <c r="AO199" s="140">
        <f t="shared" si="549"/>
        <v>-36006</v>
      </c>
      <c r="AP199" s="140">
        <f t="shared" si="549"/>
        <v>-35826</v>
      </c>
      <c r="AQ199" s="140">
        <f t="shared" si="549"/>
        <v>-35647</v>
      </c>
      <c r="AR199" s="140">
        <f t="shared" si="549"/>
        <v>-35467</v>
      </c>
      <c r="AS199" s="140">
        <f t="shared" si="549"/>
        <v>-35287</v>
      </c>
      <c r="AT199" s="140">
        <f t="shared" si="549"/>
        <v>-35107</v>
      </c>
      <c r="AU199" s="140">
        <f t="shared" si="549"/>
        <v>-34927</v>
      </c>
      <c r="AV199" s="140">
        <f t="shared" si="549"/>
        <v>-34747</v>
      </c>
      <c r="AW199" s="140">
        <f t="shared" si="549"/>
        <v>-34567</v>
      </c>
      <c r="AX199" s="140">
        <f t="shared" si="549"/>
        <v>-34387</v>
      </c>
      <c r="AY199" s="140">
        <f t="shared" si="549"/>
        <v>-34208</v>
      </c>
      <c r="AZ199" s="140">
        <f t="shared" si="549"/>
        <v>-34028</v>
      </c>
      <c r="BA199" s="140">
        <f t="shared" si="549"/>
        <v>-33848</v>
      </c>
      <c r="BB199" s="140">
        <f t="shared" si="549"/>
        <v>-33668</v>
      </c>
      <c r="BC199" s="140">
        <f t="shared" si="549"/>
        <v>-33488</v>
      </c>
      <c r="BD199" s="140">
        <f t="shared" si="549"/>
        <v>-33308</v>
      </c>
      <c r="BE199" s="140">
        <f t="shared" si="549"/>
        <v>-33128</v>
      </c>
      <c r="BF199" s="140">
        <f t="shared" si="549"/>
        <v>-32948</v>
      </c>
      <c r="BG199" s="140">
        <f t="shared" si="549"/>
        <v>-32769</v>
      </c>
      <c r="BH199" s="140">
        <f t="shared" si="549"/>
        <v>-32589</v>
      </c>
      <c r="BI199" s="140">
        <f t="shared" si="549"/>
        <v>-32409</v>
      </c>
      <c r="BJ199" s="140">
        <f t="shared" si="549"/>
        <v>-32229</v>
      </c>
      <c r="BK199" s="140">
        <f t="shared" si="549"/>
        <v>-32049</v>
      </c>
      <c r="BL199" s="140">
        <f t="shared" si="549"/>
        <v>-31869</v>
      </c>
      <c r="BM199" s="140">
        <f t="shared" si="549"/>
        <v>-31689</v>
      </c>
      <c r="BN199" s="140">
        <f t="shared" si="549"/>
        <v>-31509</v>
      </c>
      <c r="BO199" s="140">
        <f t="shared" ref="BO199:CB199" si="550">DAYS360($B$3,BO76)</f>
        <v>-31330</v>
      </c>
      <c r="BP199" s="140">
        <f t="shared" si="550"/>
        <v>-31150</v>
      </c>
      <c r="BQ199" s="140">
        <f t="shared" si="550"/>
        <v>-30970</v>
      </c>
      <c r="BR199" s="140">
        <f t="shared" si="550"/>
        <v>-30790</v>
      </c>
      <c r="BS199" s="140">
        <f t="shared" si="550"/>
        <v>-30610</v>
      </c>
      <c r="BT199" s="140">
        <f t="shared" si="550"/>
        <v>-30430</v>
      </c>
      <c r="BU199" s="140">
        <f t="shared" si="550"/>
        <v>-30250</v>
      </c>
      <c r="BV199" s="140">
        <f t="shared" si="550"/>
        <v>-30070</v>
      </c>
      <c r="BW199" s="140">
        <f t="shared" si="550"/>
        <v>-29891</v>
      </c>
      <c r="BX199" s="140">
        <f t="shared" si="550"/>
        <v>-29711</v>
      </c>
      <c r="BY199" s="140">
        <f t="shared" si="550"/>
        <v>-29531</v>
      </c>
      <c r="BZ199" s="140">
        <f t="shared" si="550"/>
        <v>-29351</v>
      </c>
      <c r="CA199" s="140">
        <f t="shared" si="550"/>
        <v>-29171</v>
      </c>
      <c r="CB199" s="140">
        <f t="shared" si="550"/>
        <v>-28991</v>
      </c>
      <c r="CC199" s="17"/>
      <c r="CD199" s="17"/>
      <c r="CE199" s="17"/>
    </row>
    <row r="200" spans="1:83">
      <c r="A200" s="16" t="s">
        <v>41</v>
      </c>
      <c r="B200" s="140">
        <f>B199/360</f>
        <v>-119.50555555555556</v>
      </c>
      <c r="C200" s="140">
        <f t="shared" ref="C200:BN200" si="551">C199/360</f>
        <v>-119.00555555555556</v>
      </c>
      <c r="D200" s="140">
        <f t="shared" si="551"/>
        <v>-118.50555555555556</v>
      </c>
      <c r="E200" s="140">
        <f t="shared" si="551"/>
        <v>-118.00555555555556</v>
      </c>
      <c r="F200" s="140">
        <f t="shared" si="551"/>
        <v>-117.50555555555556</v>
      </c>
      <c r="G200" s="140">
        <f t="shared" si="551"/>
        <v>-117.00555555555556</v>
      </c>
      <c r="H200" s="140">
        <f t="shared" si="551"/>
        <v>-116.50555555555556</v>
      </c>
      <c r="I200" s="140">
        <f t="shared" si="551"/>
        <v>-116.00555555555556</v>
      </c>
      <c r="J200" s="140">
        <f t="shared" si="551"/>
        <v>-115.50555555555556</v>
      </c>
      <c r="K200" s="140">
        <f t="shared" si="551"/>
        <v>-115.00833333333334</v>
      </c>
      <c r="L200" s="140">
        <f t="shared" si="551"/>
        <v>-114.50833333333334</v>
      </c>
      <c r="M200" s="140">
        <f t="shared" si="551"/>
        <v>-114.00833333333334</v>
      </c>
      <c r="N200" s="140">
        <f t="shared" si="551"/>
        <v>-113.50833333333334</v>
      </c>
      <c r="O200" s="140">
        <f t="shared" si="551"/>
        <v>-113.00833333333334</v>
      </c>
      <c r="P200" s="140">
        <f t="shared" si="551"/>
        <v>-112.50833333333334</v>
      </c>
      <c r="Q200" s="140">
        <f t="shared" si="551"/>
        <v>-112.00833333333334</v>
      </c>
      <c r="R200" s="140">
        <f t="shared" si="551"/>
        <v>-111.50833333333334</v>
      </c>
      <c r="S200" s="140">
        <f t="shared" si="551"/>
        <v>-111.01111111111111</v>
      </c>
      <c r="T200" s="140">
        <f t="shared" si="551"/>
        <v>-110.51111111111111</v>
      </c>
      <c r="U200" s="140">
        <f t="shared" si="551"/>
        <v>-110.01111111111111</v>
      </c>
      <c r="V200" s="140">
        <f t="shared" si="551"/>
        <v>-109.51111111111111</v>
      </c>
      <c r="W200" s="140">
        <f t="shared" si="551"/>
        <v>-109.01111111111111</v>
      </c>
      <c r="X200" s="140">
        <f t="shared" si="551"/>
        <v>-108.51111111111111</v>
      </c>
      <c r="Y200" s="140">
        <f t="shared" si="551"/>
        <v>-108.01111111111111</v>
      </c>
      <c r="Z200" s="140">
        <f t="shared" si="551"/>
        <v>-107.51111111111111</v>
      </c>
      <c r="AA200" s="140">
        <f t="shared" si="551"/>
        <v>-107.01388888888889</v>
      </c>
      <c r="AB200" s="140">
        <f t="shared" si="551"/>
        <v>-106.51388888888889</v>
      </c>
      <c r="AC200" s="140">
        <f t="shared" si="551"/>
        <v>-106.01388888888889</v>
      </c>
      <c r="AD200" s="140">
        <f t="shared" si="551"/>
        <v>-105.51388888888889</v>
      </c>
      <c r="AE200" s="140">
        <f t="shared" si="551"/>
        <v>-105.01388888888889</v>
      </c>
      <c r="AF200" s="140">
        <f t="shared" si="551"/>
        <v>-104.51388888888889</v>
      </c>
      <c r="AG200" s="140">
        <f t="shared" si="551"/>
        <v>-104.01388888888889</v>
      </c>
      <c r="AH200" s="140">
        <f t="shared" si="551"/>
        <v>-103.51388888888889</v>
      </c>
      <c r="AI200" s="140">
        <f t="shared" si="551"/>
        <v>-103.01666666666667</v>
      </c>
      <c r="AJ200" s="140">
        <f t="shared" si="551"/>
        <v>-102.51666666666667</v>
      </c>
      <c r="AK200" s="140">
        <f t="shared" si="551"/>
        <v>-102.01666666666667</v>
      </c>
      <c r="AL200" s="140">
        <f t="shared" si="551"/>
        <v>-101.51666666666667</v>
      </c>
      <c r="AM200" s="140">
        <f t="shared" si="551"/>
        <v>-101.01666666666667</v>
      </c>
      <c r="AN200" s="140">
        <f t="shared" si="551"/>
        <v>-100.51666666666667</v>
      </c>
      <c r="AO200" s="140">
        <f t="shared" si="551"/>
        <v>-100.01666666666667</v>
      </c>
      <c r="AP200" s="140">
        <f t="shared" si="551"/>
        <v>-99.516666666666666</v>
      </c>
      <c r="AQ200" s="140">
        <f t="shared" si="551"/>
        <v>-99.019444444444446</v>
      </c>
      <c r="AR200" s="140">
        <f t="shared" si="551"/>
        <v>-98.519444444444446</v>
      </c>
      <c r="AS200" s="140">
        <f t="shared" si="551"/>
        <v>-98.019444444444446</v>
      </c>
      <c r="AT200" s="140">
        <f t="shared" si="551"/>
        <v>-97.519444444444446</v>
      </c>
      <c r="AU200" s="140">
        <f t="shared" si="551"/>
        <v>-97.019444444444446</v>
      </c>
      <c r="AV200" s="140">
        <f t="shared" si="551"/>
        <v>-96.519444444444446</v>
      </c>
      <c r="AW200" s="140">
        <f t="shared" si="551"/>
        <v>-96.019444444444446</v>
      </c>
      <c r="AX200" s="140">
        <f t="shared" si="551"/>
        <v>-95.519444444444446</v>
      </c>
      <c r="AY200" s="140">
        <f t="shared" si="551"/>
        <v>-95.022222222222226</v>
      </c>
      <c r="AZ200" s="140">
        <f t="shared" si="551"/>
        <v>-94.522222222222226</v>
      </c>
      <c r="BA200" s="140">
        <f t="shared" si="551"/>
        <v>-94.022222222222226</v>
      </c>
      <c r="BB200" s="140">
        <f t="shared" si="551"/>
        <v>-93.522222222222226</v>
      </c>
      <c r="BC200" s="140">
        <f t="shared" si="551"/>
        <v>-93.022222222222226</v>
      </c>
      <c r="BD200" s="140">
        <f t="shared" si="551"/>
        <v>-92.522222222222226</v>
      </c>
      <c r="BE200" s="140">
        <f t="shared" si="551"/>
        <v>-92.022222222222226</v>
      </c>
      <c r="BF200" s="140">
        <f t="shared" si="551"/>
        <v>-91.522222222222226</v>
      </c>
      <c r="BG200" s="140">
        <f t="shared" si="551"/>
        <v>-91.025000000000006</v>
      </c>
      <c r="BH200" s="140">
        <f t="shared" si="551"/>
        <v>-90.525000000000006</v>
      </c>
      <c r="BI200" s="140">
        <f t="shared" si="551"/>
        <v>-90.025000000000006</v>
      </c>
      <c r="BJ200" s="140">
        <f t="shared" si="551"/>
        <v>-89.525000000000006</v>
      </c>
      <c r="BK200" s="140">
        <f t="shared" si="551"/>
        <v>-89.025000000000006</v>
      </c>
      <c r="BL200" s="140">
        <f t="shared" si="551"/>
        <v>-88.525000000000006</v>
      </c>
      <c r="BM200" s="140">
        <f t="shared" si="551"/>
        <v>-88.025000000000006</v>
      </c>
      <c r="BN200" s="140">
        <f t="shared" si="551"/>
        <v>-87.525000000000006</v>
      </c>
      <c r="BO200" s="140">
        <f t="shared" ref="BO200:CB200" si="552">BO199/360</f>
        <v>-87.027777777777771</v>
      </c>
      <c r="BP200" s="140">
        <f t="shared" si="552"/>
        <v>-86.527777777777771</v>
      </c>
      <c r="BQ200" s="140">
        <f t="shared" si="552"/>
        <v>-86.027777777777771</v>
      </c>
      <c r="BR200" s="140">
        <f t="shared" si="552"/>
        <v>-85.527777777777771</v>
      </c>
      <c r="BS200" s="140">
        <f t="shared" si="552"/>
        <v>-85.027777777777771</v>
      </c>
      <c r="BT200" s="140">
        <f t="shared" si="552"/>
        <v>-84.527777777777771</v>
      </c>
      <c r="BU200" s="140">
        <f t="shared" si="552"/>
        <v>-84.027777777777771</v>
      </c>
      <c r="BV200" s="140">
        <f t="shared" si="552"/>
        <v>-83.527777777777771</v>
      </c>
      <c r="BW200" s="140">
        <f t="shared" si="552"/>
        <v>-83.030555555555551</v>
      </c>
      <c r="BX200" s="140">
        <f t="shared" si="552"/>
        <v>-82.530555555555551</v>
      </c>
      <c r="BY200" s="140">
        <f t="shared" si="552"/>
        <v>-82.030555555555551</v>
      </c>
      <c r="BZ200" s="140">
        <f t="shared" si="552"/>
        <v>-81.530555555555551</v>
      </c>
      <c r="CA200" s="140">
        <f t="shared" si="552"/>
        <v>-81.030555555555551</v>
      </c>
      <c r="CB200" s="140">
        <f t="shared" si="552"/>
        <v>-80.530555555555551</v>
      </c>
      <c r="CC200" s="17"/>
      <c r="CD200" s="17"/>
      <c r="CE200" s="17"/>
    </row>
    <row r="201" spans="1:83">
      <c r="A201" s="16" t="s">
        <v>43</v>
      </c>
      <c r="B201" s="140">
        <f>IF(B199&lt;0,0,$B$5+$B$6*((1-EXP(-B200/$B$9))/(B200/$B$9))+$B$7*((1-EXP(-B200/$B$9))/(B200/$B$9)-EXP(-B200/$B$9))+$B$8*((1-EXP(-B200/$B$10))/(B200/$B$10)-EXP(-B200/$B$10)))</f>
        <v>0</v>
      </c>
      <c r="C201" s="140">
        <f t="shared" ref="C201:BN201" si="553">IF(C199&lt;0,0,$B$5+$B$6*((1-EXP(-C200/$B$9))/(C200/$B$9))+$B$7*((1-EXP(-C200/$B$9))/(C200/$B$9)-EXP(-C200/$B$9))+$B$8*((1-EXP(-C200/$B$10))/(C200/$B$10)-EXP(-C200/$B$10)))</f>
        <v>0</v>
      </c>
      <c r="D201" s="140">
        <f t="shared" si="553"/>
        <v>0</v>
      </c>
      <c r="E201" s="140">
        <f t="shared" si="553"/>
        <v>0</v>
      </c>
      <c r="F201" s="140">
        <f t="shared" si="553"/>
        <v>0</v>
      </c>
      <c r="G201" s="140">
        <f t="shared" si="553"/>
        <v>0</v>
      </c>
      <c r="H201" s="140">
        <f t="shared" si="553"/>
        <v>0</v>
      </c>
      <c r="I201" s="140">
        <f t="shared" si="553"/>
        <v>0</v>
      </c>
      <c r="J201" s="140">
        <f t="shared" si="553"/>
        <v>0</v>
      </c>
      <c r="K201" s="140">
        <f t="shared" si="553"/>
        <v>0</v>
      </c>
      <c r="L201" s="140">
        <f t="shared" si="553"/>
        <v>0</v>
      </c>
      <c r="M201" s="140">
        <f t="shared" si="553"/>
        <v>0</v>
      </c>
      <c r="N201" s="140">
        <f t="shared" si="553"/>
        <v>0</v>
      </c>
      <c r="O201" s="140">
        <f t="shared" si="553"/>
        <v>0</v>
      </c>
      <c r="P201" s="140">
        <f t="shared" si="553"/>
        <v>0</v>
      </c>
      <c r="Q201" s="140">
        <f t="shared" si="553"/>
        <v>0</v>
      </c>
      <c r="R201" s="140">
        <f t="shared" si="553"/>
        <v>0</v>
      </c>
      <c r="S201" s="140">
        <f t="shared" si="553"/>
        <v>0</v>
      </c>
      <c r="T201" s="140">
        <f t="shared" si="553"/>
        <v>0</v>
      </c>
      <c r="U201" s="140">
        <f t="shared" si="553"/>
        <v>0</v>
      </c>
      <c r="V201" s="140">
        <f t="shared" si="553"/>
        <v>0</v>
      </c>
      <c r="W201" s="140">
        <f t="shared" si="553"/>
        <v>0</v>
      </c>
      <c r="X201" s="140">
        <f t="shared" si="553"/>
        <v>0</v>
      </c>
      <c r="Y201" s="140">
        <f t="shared" si="553"/>
        <v>0</v>
      </c>
      <c r="Z201" s="140">
        <f t="shared" si="553"/>
        <v>0</v>
      </c>
      <c r="AA201" s="140">
        <f t="shared" si="553"/>
        <v>0</v>
      </c>
      <c r="AB201" s="140">
        <f t="shared" si="553"/>
        <v>0</v>
      </c>
      <c r="AC201" s="140">
        <f t="shared" si="553"/>
        <v>0</v>
      </c>
      <c r="AD201" s="140">
        <f t="shared" si="553"/>
        <v>0</v>
      </c>
      <c r="AE201" s="140">
        <f t="shared" si="553"/>
        <v>0</v>
      </c>
      <c r="AF201" s="140">
        <f t="shared" si="553"/>
        <v>0</v>
      </c>
      <c r="AG201" s="140">
        <f t="shared" si="553"/>
        <v>0</v>
      </c>
      <c r="AH201" s="140">
        <f t="shared" si="553"/>
        <v>0</v>
      </c>
      <c r="AI201" s="140">
        <f t="shared" si="553"/>
        <v>0</v>
      </c>
      <c r="AJ201" s="140">
        <f t="shared" si="553"/>
        <v>0</v>
      </c>
      <c r="AK201" s="140">
        <f t="shared" si="553"/>
        <v>0</v>
      </c>
      <c r="AL201" s="140">
        <f t="shared" si="553"/>
        <v>0</v>
      </c>
      <c r="AM201" s="140">
        <f t="shared" si="553"/>
        <v>0</v>
      </c>
      <c r="AN201" s="140">
        <f t="shared" si="553"/>
        <v>0</v>
      </c>
      <c r="AO201" s="140">
        <f t="shared" si="553"/>
        <v>0</v>
      </c>
      <c r="AP201" s="140">
        <f t="shared" si="553"/>
        <v>0</v>
      </c>
      <c r="AQ201" s="140">
        <f t="shared" si="553"/>
        <v>0</v>
      </c>
      <c r="AR201" s="140">
        <f t="shared" si="553"/>
        <v>0</v>
      </c>
      <c r="AS201" s="140">
        <f t="shared" si="553"/>
        <v>0</v>
      </c>
      <c r="AT201" s="140">
        <f t="shared" si="553"/>
        <v>0</v>
      </c>
      <c r="AU201" s="140">
        <f t="shared" si="553"/>
        <v>0</v>
      </c>
      <c r="AV201" s="140">
        <f t="shared" si="553"/>
        <v>0</v>
      </c>
      <c r="AW201" s="140">
        <f t="shared" si="553"/>
        <v>0</v>
      </c>
      <c r="AX201" s="140">
        <f t="shared" si="553"/>
        <v>0</v>
      </c>
      <c r="AY201" s="140">
        <f t="shared" si="553"/>
        <v>0</v>
      </c>
      <c r="AZ201" s="140">
        <f t="shared" si="553"/>
        <v>0</v>
      </c>
      <c r="BA201" s="140">
        <f t="shared" si="553"/>
        <v>0</v>
      </c>
      <c r="BB201" s="140">
        <f t="shared" si="553"/>
        <v>0</v>
      </c>
      <c r="BC201" s="140">
        <f t="shared" si="553"/>
        <v>0</v>
      </c>
      <c r="BD201" s="140">
        <f t="shared" si="553"/>
        <v>0</v>
      </c>
      <c r="BE201" s="140">
        <f t="shared" si="553"/>
        <v>0</v>
      </c>
      <c r="BF201" s="140">
        <f t="shared" si="553"/>
        <v>0</v>
      </c>
      <c r="BG201" s="140">
        <f t="shared" si="553"/>
        <v>0</v>
      </c>
      <c r="BH201" s="140">
        <f t="shared" si="553"/>
        <v>0</v>
      </c>
      <c r="BI201" s="140">
        <f t="shared" si="553"/>
        <v>0</v>
      </c>
      <c r="BJ201" s="140">
        <f t="shared" si="553"/>
        <v>0</v>
      </c>
      <c r="BK201" s="140">
        <f t="shared" si="553"/>
        <v>0</v>
      </c>
      <c r="BL201" s="140">
        <f t="shared" si="553"/>
        <v>0</v>
      </c>
      <c r="BM201" s="140">
        <f t="shared" si="553"/>
        <v>0</v>
      </c>
      <c r="BN201" s="140">
        <f t="shared" si="553"/>
        <v>0</v>
      </c>
      <c r="BO201" s="140">
        <f t="shared" ref="BO201:CB201" si="554">IF(BO199&lt;0,0,$B$5+$B$6*((1-EXP(-BO200/$B$9))/(BO200/$B$9))+$B$7*((1-EXP(-BO200/$B$9))/(BO200/$B$9)-EXP(-BO200/$B$9))+$B$8*((1-EXP(-BO200/$B$10))/(BO200/$B$10)-EXP(-BO200/$B$10)))</f>
        <v>0</v>
      </c>
      <c r="BP201" s="140">
        <f t="shared" si="554"/>
        <v>0</v>
      </c>
      <c r="BQ201" s="140">
        <f t="shared" si="554"/>
        <v>0</v>
      </c>
      <c r="BR201" s="140">
        <f t="shared" si="554"/>
        <v>0</v>
      </c>
      <c r="BS201" s="140">
        <f t="shared" si="554"/>
        <v>0</v>
      </c>
      <c r="BT201" s="140">
        <f t="shared" si="554"/>
        <v>0</v>
      </c>
      <c r="BU201" s="140">
        <f t="shared" si="554"/>
        <v>0</v>
      </c>
      <c r="BV201" s="140">
        <f t="shared" si="554"/>
        <v>0</v>
      </c>
      <c r="BW201" s="140">
        <f t="shared" si="554"/>
        <v>0</v>
      </c>
      <c r="BX201" s="140">
        <f t="shared" si="554"/>
        <v>0</v>
      </c>
      <c r="BY201" s="140">
        <f t="shared" si="554"/>
        <v>0</v>
      </c>
      <c r="BZ201" s="140">
        <f t="shared" si="554"/>
        <v>0</v>
      </c>
      <c r="CA201" s="140">
        <f t="shared" si="554"/>
        <v>0</v>
      </c>
      <c r="CB201" s="140">
        <f t="shared" si="554"/>
        <v>0</v>
      </c>
      <c r="CC201" s="17"/>
      <c r="CD201" s="17"/>
      <c r="CE201" s="17"/>
    </row>
    <row r="202" spans="1:83">
      <c r="A202" s="16" t="s">
        <v>44</v>
      </c>
      <c r="B202" s="140">
        <f>EXP(-B201*B200)</f>
        <v>1</v>
      </c>
      <c r="C202" s="140">
        <f t="shared" ref="C202:BN202" si="555">EXP(-C201*C200)</f>
        <v>1</v>
      </c>
      <c r="D202" s="140">
        <f t="shared" si="555"/>
        <v>1</v>
      </c>
      <c r="E202" s="140">
        <f t="shared" si="555"/>
        <v>1</v>
      </c>
      <c r="F202" s="140">
        <f t="shared" si="555"/>
        <v>1</v>
      </c>
      <c r="G202" s="140">
        <f t="shared" si="555"/>
        <v>1</v>
      </c>
      <c r="H202" s="140">
        <f t="shared" si="555"/>
        <v>1</v>
      </c>
      <c r="I202" s="140">
        <f t="shared" si="555"/>
        <v>1</v>
      </c>
      <c r="J202" s="140">
        <f t="shared" si="555"/>
        <v>1</v>
      </c>
      <c r="K202" s="140">
        <f t="shared" si="555"/>
        <v>1</v>
      </c>
      <c r="L202" s="140">
        <f t="shared" si="555"/>
        <v>1</v>
      </c>
      <c r="M202" s="140">
        <f t="shared" si="555"/>
        <v>1</v>
      </c>
      <c r="N202" s="140">
        <f t="shared" si="555"/>
        <v>1</v>
      </c>
      <c r="O202" s="140">
        <f t="shared" si="555"/>
        <v>1</v>
      </c>
      <c r="P202" s="140">
        <f t="shared" si="555"/>
        <v>1</v>
      </c>
      <c r="Q202" s="140">
        <f t="shared" si="555"/>
        <v>1</v>
      </c>
      <c r="R202" s="140">
        <f t="shared" si="555"/>
        <v>1</v>
      </c>
      <c r="S202" s="140">
        <f t="shared" si="555"/>
        <v>1</v>
      </c>
      <c r="T202" s="140">
        <f t="shared" si="555"/>
        <v>1</v>
      </c>
      <c r="U202" s="140">
        <f t="shared" si="555"/>
        <v>1</v>
      </c>
      <c r="V202" s="140">
        <f t="shared" si="555"/>
        <v>1</v>
      </c>
      <c r="W202" s="140">
        <f t="shared" si="555"/>
        <v>1</v>
      </c>
      <c r="X202" s="140">
        <f t="shared" si="555"/>
        <v>1</v>
      </c>
      <c r="Y202" s="140">
        <f t="shared" si="555"/>
        <v>1</v>
      </c>
      <c r="Z202" s="140">
        <f t="shared" si="555"/>
        <v>1</v>
      </c>
      <c r="AA202" s="140">
        <f t="shared" si="555"/>
        <v>1</v>
      </c>
      <c r="AB202" s="140">
        <f t="shared" si="555"/>
        <v>1</v>
      </c>
      <c r="AC202" s="140">
        <f t="shared" si="555"/>
        <v>1</v>
      </c>
      <c r="AD202" s="140">
        <f t="shared" si="555"/>
        <v>1</v>
      </c>
      <c r="AE202" s="140">
        <f t="shared" si="555"/>
        <v>1</v>
      </c>
      <c r="AF202" s="140">
        <f t="shared" si="555"/>
        <v>1</v>
      </c>
      <c r="AG202" s="140">
        <f t="shared" si="555"/>
        <v>1</v>
      </c>
      <c r="AH202" s="140">
        <f t="shared" si="555"/>
        <v>1</v>
      </c>
      <c r="AI202" s="140">
        <f t="shared" si="555"/>
        <v>1</v>
      </c>
      <c r="AJ202" s="140">
        <f t="shared" si="555"/>
        <v>1</v>
      </c>
      <c r="AK202" s="140">
        <f t="shared" si="555"/>
        <v>1</v>
      </c>
      <c r="AL202" s="140">
        <f t="shared" si="555"/>
        <v>1</v>
      </c>
      <c r="AM202" s="140">
        <f t="shared" si="555"/>
        <v>1</v>
      </c>
      <c r="AN202" s="140">
        <f t="shared" si="555"/>
        <v>1</v>
      </c>
      <c r="AO202" s="140">
        <f t="shared" si="555"/>
        <v>1</v>
      </c>
      <c r="AP202" s="140">
        <f t="shared" si="555"/>
        <v>1</v>
      </c>
      <c r="AQ202" s="140">
        <f t="shared" si="555"/>
        <v>1</v>
      </c>
      <c r="AR202" s="140">
        <f t="shared" si="555"/>
        <v>1</v>
      </c>
      <c r="AS202" s="140">
        <f t="shared" si="555"/>
        <v>1</v>
      </c>
      <c r="AT202" s="140">
        <f t="shared" si="555"/>
        <v>1</v>
      </c>
      <c r="AU202" s="140">
        <f t="shared" si="555"/>
        <v>1</v>
      </c>
      <c r="AV202" s="140">
        <f t="shared" si="555"/>
        <v>1</v>
      </c>
      <c r="AW202" s="140">
        <f t="shared" si="555"/>
        <v>1</v>
      </c>
      <c r="AX202" s="140">
        <f t="shared" si="555"/>
        <v>1</v>
      </c>
      <c r="AY202" s="140">
        <f t="shared" si="555"/>
        <v>1</v>
      </c>
      <c r="AZ202" s="140">
        <f t="shared" si="555"/>
        <v>1</v>
      </c>
      <c r="BA202" s="140">
        <f t="shared" si="555"/>
        <v>1</v>
      </c>
      <c r="BB202" s="140">
        <f t="shared" si="555"/>
        <v>1</v>
      </c>
      <c r="BC202" s="140">
        <f t="shared" si="555"/>
        <v>1</v>
      </c>
      <c r="BD202" s="140">
        <f t="shared" si="555"/>
        <v>1</v>
      </c>
      <c r="BE202" s="140">
        <f t="shared" si="555"/>
        <v>1</v>
      </c>
      <c r="BF202" s="140">
        <f t="shared" si="555"/>
        <v>1</v>
      </c>
      <c r="BG202" s="140">
        <f t="shared" si="555"/>
        <v>1</v>
      </c>
      <c r="BH202" s="140">
        <f t="shared" si="555"/>
        <v>1</v>
      </c>
      <c r="BI202" s="140">
        <f t="shared" si="555"/>
        <v>1</v>
      </c>
      <c r="BJ202" s="140">
        <f t="shared" si="555"/>
        <v>1</v>
      </c>
      <c r="BK202" s="140">
        <f t="shared" si="555"/>
        <v>1</v>
      </c>
      <c r="BL202" s="140">
        <f t="shared" si="555"/>
        <v>1</v>
      </c>
      <c r="BM202" s="140">
        <f t="shared" si="555"/>
        <v>1</v>
      </c>
      <c r="BN202" s="140">
        <f t="shared" si="555"/>
        <v>1</v>
      </c>
      <c r="BO202" s="140">
        <f t="shared" ref="BO202:CB202" si="556">EXP(-BO201*BO200)</f>
        <v>1</v>
      </c>
      <c r="BP202" s="140">
        <f t="shared" si="556"/>
        <v>1</v>
      </c>
      <c r="BQ202" s="140">
        <f t="shared" si="556"/>
        <v>1</v>
      </c>
      <c r="BR202" s="140">
        <f t="shared" si="556"/>
        <v>1</v>
      </c>
      <c r="BS202" s="140">
        <f t="shared" si="556"/>
        <v>1</v>
      </c>
      <c r="BT202" s="140">
        <f t="shared" si="556"/>
        <v>1</v>
      </c>
      <c r="BU202" s="140">
        <f t="shared" si="556"/>
        <v>1</v>
      </c>
      <c r="BV202" s="140">
        <f t="shared" si="556"/>
        <v>1</v>
      </c>
      <c r="BW202" s="140">
        <f t="shared" si="556"/>
        <v>1</v>
      </c>
      <c r="BX202" s="140">
        <f t="shared" si="556"/>
        <v>1</v>
      </c>
      <c r="BY202" s="140">
        <f t="shared" si="556"/>
        <v>1</v>
      </c>
      <c r="BZ202" s="140">
        <f t="shared" si="556"/>
        <v>1</v>
      </c>
      <c r="CA202" s="140">
        <f t="shared" si="556"/>
        <v>1</v>
      </c>
      <c r="CB202" s="140">
        <f t="shared" si="556"/>
        <v>1</v>
      </c>
      <c r="CC202" s="17"/>
      <c r="CD202" s="17"/>
      <c r="CE202" s="17"/>
    </row>
    <row r="203" spans="1:83">
      <c r="A203" s="17"/>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c r="AP203" s="17"/>
      <c r="AQ203" s="17"/>
      <c r="AR203" s="17"/>
      <c r="AS203" s="17"/>
      <c r="AT203" s="17"/>
      <c r="AU203" s="17"/>
      <c r="AV203" s="17"/>
      <c r="AW203" s="17"/>
      <c r="AX203" s="17"/>
      <c r="AY203" s="17"/>
      <c r="AZ203" s="17"/>
      <c r="BA203" s="17"/>
      <c r="BB203" s="17"/>
      <c r="BC203" s="17"/>
      <c r="BD203" s="17"/>
      <c r="BE203" s="17"/>
      <c r="BF203" s="17"/>
      <c r="BG203" s="17"/>
      <c r="BH203" s="17"/>
      <c r="BI203" s="17"/>
      <c r="BJ203" s="17"/>
      <c r="BK203" s="17"/>
      <c r="BL203" s="17"/>
      <c r="BM203" s="17"/>
      <c r="BN203" s="17"/>
      <c r="BO203" s="17"/>
      <c r="BP203" s="17"/>
      <c r="BQ203" s="17"/>
      <c r="BR203" s="17"/>
      <c r="BS203" s="17"/>
      <c r="BT203" s="17"/>
      <c r="BU203" s="17"/>
      <c r="BV203" s="17"/>
      <c r="BW203" s="17"/>
      <c r="BX203" s="17"/>
      <c r="BY203" s="17"/>
      <c r="BZ203" s="17"/>
      <c r="CA203" s="17"/>
      <c r="CB203" s="17"/>
      <c r="CC203" s="17"/>
      <c r="CD203" s="17"/>
      <c r="CE203" s="17"/>
    </row>
    <row r="204" spans="1:83">
      <c r="A204" s="16" t="s">
        <v>40</v>
      </c>
      <c r="B204" s="140">
        <f>DAYS360($B$3,B78)</f>
        <v>-43022</v>
      </c>
      <c r="C204" s="140">
        <f t="shared" ref="C204:BN204" si="557">DAYS360($B$3,C78)</f>
        <v>-42842</v>
      </c>
      <c r="D204" s="140">
        <f t="shared" si="557"/>
        <v>-42662</v>
      </c>
      <c r="E204" s="140">
        <f t="shared" si="557"/>
        <v>-42482</v>
      </c>
      <c r="F204" s="140">
        <f t="shared" si="557"/>
        <v>-42302</v>
      </c>
      <c r="G204" s="140">
        <f t="shared" si="557"/>
        <v>-42122</v>
      </c>
      <c r="H204" s="140">
        <f t="shared" si="557"/>
        <v>-41942</v>
      </c>
      <c r="I204" s="140">
        <f t="shared" si="557"/>
        <v>-41762</v>
      </c>
      <c r="J204" s="140">
        <f t="shared" si="557"/>
        <v>-41582</v>
      </c>
      <c r="K204" s="140">
        <f t="shared" si="557"/>
        <v>-41403</v>
      </c>
      <c r="L204" s="140">
        <f t="shared" si="557"/>
        <v>-41223</v>
      </c>
      <c r="M204" s="140">
        <f t="shared" si="557"/>
        <v>-41043</v>
      </c>
      <c r="N204" s="140">
        <f t="shared" si="557"/>
        <v>-40863</v>
      </c>
      <c r="O204" s="140">
        <f t="shared" si="557"/>
        <v>-40683</v>
      </c>
      <c r="P204" s="140">
        <f t="shared" si="557"/>
        <v>-40503</v>
      </c>
      <c r="Q204" s="140">
        <f t="shared" si="557"/>
        <v>-40323</v>
      </c>
      <c r="R204" s="140">
        <f t="shared" si="557"/>
        <v>-40143</v>
      </c>
      <c r="S204" s="140">
        <f t="shared" si="557"/>
        <v>-39964</v>
      </c>
      <c r="T204" s="140">
        <f t="shared" si="557"/>
        <v>-39784</v>
      </c>
      <c r="U204" s="140">
        <f t="shared" si="557"/>
        <v>-39604</v>
      </c>
      <c r="V204" s="140">
        <f t="shared" si="557"/>
        <v>-39424</v>
      </c>
      <c r="W204" s="140">
        <f t="shared" si="557"/>
        <v>-39244</v>
      </c>
      <c r="X204" s="140">
        <f t="shared" si="557"/>
        <v>-39064</v>
      </c>
      <c r="Y204" s="140">
        <f t="shared" si="557"/>
        <v>-38884</v>
      </c>
      <c r="Z204" s="140">
        <f t="shared" si="557"/>
        <v>-38704</v>
      </c>
      <c r="AA204" s="140">
        <f t="shared" si="557"/>
        <v>-38525</v>
      </c>
      <c r="AB204" s="140">
        <f t="shared" si="557"/>
        <v>-38345</v>
      </c>
      <c r="AC204" s="140">
        <f t="shared" si="557"/>
        <v>-38165</v>
      </c>
      <c r="AD204" s="140">
        <f t="shared" si="557"/>
        <v>-37985</v>
      </c>
      <c r="AE204" s="140">
        <f t="shared" si="557"/>
        <v>-37805</v>
      </c>
      <c r="AF204" s="140">
        <f t="shared" si="557"/>
        <v>-37625</v>
      </c>
      <c r="AG204" s="140">
        <f t="shared" si="557"/>
        <v>-37445</v>
      </c>
      <c r="AH204" s="140">
        <f t="shared" si="557"/>
        <v>-37265</v>
      </c>
      <c r="AI204" s="140">
        <f t="shared" si="557"/>
        <v>-37086</v>
      </c>
      <c r="AJ204" s="140">
        <f t="shared" si="557"/>
        <v>-36906</v>
      </c>
      <c r="AK204" s="140">
        <f t="shared" si="557"/>
        <v>-36726</v>
      </c>
      <c r="AL204" s="140">
        <f t="shared" si="557"/>
        <v>-36546</v>
      </c>
      <c r="AM204" s="140">
        <f t="shared" si="557"/>
        <v>-36366</v>
      </c>
      <c r="AN204" s="140">
        <f t="shared" si="557"/>
        <v>-36186</v>
      </c>
      <c r="AO204" s="140">
        <f t="shared" si="557"/>
        <v>-36006</v>
      </c>
      <c r="AP204" s="140">
        <f t="shared" si="557"/>
        <v>-35826</v>
      </c>
      <c r="AQ204" s="140">
        <f t="shared" si="557"/>
        <v>-35647</v>
      </c>
      <c r="AR204" s="140">
        <f t="shared" si="557"/>
        <v>-35467</v>
      </c>
      <c r="AS204" s="140">
        <f t="shared" si="557"/>
        <v>-35287</v>
      </c>
      <c r="AT204" s="140">
        <f t="shared" si="557"/>
        <v>-35107</v>
      </c>
      <c r="AU204" s="140">
        <f t="shared" si="557"/>
        <v>-34927</v>
      </c>
      <c r="AV204" s="140">
        <f t="shared" si="557"/>
        <v>-34747</v>
      </c>
      <c r="AW204" s="140">
        <f t="shared" si="557"/>
        <v>-34567</v>
      </c>
      <c r="AX204" s="140">
        <f t="shared" si="557"/>
        <v>-34387</v>
      </c>
      <c r="AY204" s="140">
        <f t="shared" si="557"/>
        <v>-34208</v>
      </c>
      <c r="AZ204" s="140">
        <f t="shared" si="557"/>
        <v>-34028</v>
      </c>
      <c r="BA204" s="140">
        <f t="shared" si="557"/>
        <v>-33848</v>
      </c>
      <c r="BB204" s="140">
        <f t="shared" si="557"/>
        <v>-33668</v>
      </c>
      <c r="BC204" s="140">
        <f t="shared" si="557"/>
        <v>-33488</v>
      </c>
      <c r="BD204" s="140">
        <f t="shared" si="557"/>
        <v>-33308</v>
      </c>
      <c r="BE204" s="140">
        <f t="shared" si="557"/>
        <v>-33128</v>
      </c>
      <c r="BF204" s="140">
        <f t="shared" si="557"/>
        <v>-32948</v>
      </c>
      <c r="BG204" s="140">
        <f t="shared" si="557"/>
        <v>-32769</v>
      </c>
      <c r="BH204" s="140">
        <f t="shared" si="557"/>
        <v>-32589</v>
      </c>
      <c r="BI204" s="140">
        <f t="shared" si="557"/>
        <v>-32409</v>
      </c>
      <c r="BJ204" s="140">
        <f t="shared" si="557"/>
        <v>-32229</v>
      </c>
      <c r="BK204" s="140">
        <f t="shared" si="557"/>
        <v>-32049</v>
      </c>
      <c r="BL204" s="140">
        <f t="shared" si="557"/>
        <v>-31869</v>
      </c>
      <c r="BM204" s="140">
        <f t="shared" si="557"/>
        <v>-31689</v>
      </c>
      <c r="BN204" s="140">
        <f t="shared" si="557"/>
        <v>-31509</v>
      </c>
      <c r="BO204" s="140">
        <f t="shared" ref="BO204:CB204" si="558">DAYS360($B$3,BO78)</f>
        <v>-31330</v>
      </c>
      <c r="BP204" s="140">
        <f t="shared" si="558"/>
        <v>-31150</v>
      </c>
      <c r="BQ204" s="140">
        <f t="shared" si="558"/>
        <v>-30970</v>
      </c>
      <c r="BR204" s="140">
        <f t="shared" si="558"/>
        <v>-30790</v>
      </c>
      <c r="BS204" s="140">
        <f t="shared" si="558"/>
        <v>-30610</v>
      </c>
      <c r="BT204" s="140">
        <f t="shared" si="558"/>
        <v>-30430</v>
      </c>
      <c r="BU204" s="140">
        <f t="shared" si="558"/>
        <v>-30250</v>
      </c>
      <c r="BV204" s="140">
        <f t="shared" si="558"/>
        <v>-30070</v>
      </c>
      <c r="BW204" s="140">
        <f t="shared" si="558"/>
        <v>-29891</v>
      </c>
      <c r="BX204" s="140">
        <f t="shared" si="558"/>
        <v>-29711</v>
      </c>
      <c r="BY204" s="140">
        <f t="shared" si="558"/>
        <v>-29531</v>
      </c>
      <c r="BZ204" s="140">
        <f t="shared" si="558"/>
        <v>-29351</v>
      </c>
      <c r="CA204" s="140">
        <f t="shared" si="558"/>
        <v>-29171</v>
      </c>
      <c r="CB204" s="140">
        <f t="shared" si="558"/>
        <v>-28991</v>
      </c>
      <c r="CC204" s="17"/>
      <c r="CD204" s="17"/>
      <c r="CE204" s="17"/>
    </row>
    <row r="205" spans="1:83">
      <c r="A205" s="16" t="s">
        <v>41</v>
      </c>
      <c r="B205" s="140">
        <f>B204/360</f>
        <v>-119.50555555555556</v>
      </c>
      <c r="C205" s="140">
        <f t="shared" ref="C205:BN205" si="559">C204/360</f>
        <v>-119.00555555555556</v>
      </c>
      <c r="D205" s="140">
        <f t="shared" si="559"/>
        <v>-118.50555555555556</v>
      </c>
      <c r="E205" s="140">
        <f t="shared" si="559"/>
        <v>-118.00555555555556</v>
      </c>
      <c r="F205" s="140">
        <f t="shared" si="559"/>
        <v>-117.50555555555556</v>
      </c>
      <c r="G205" s="140">
        <f t="shared" si="559"/>
        <v>-117.00555555555556</v>
      </c>
      <c r="H205" s="140">
        <f t="shared" si="559"/>
        <v>-116.50555555555556</v>
      </c>
      <c r="I205" s="140">
        <f t="shared" si="559"/>
        <v>-116.00555555555556</v>
      </c>
      <c r="J205" s="140">
        <f t="shared" si="559"/>
        <v>-115.50555555555556</v>
      </c>
      <c r="K205" s="140">
        <f t="shared" si="559"/>
        <v>-115.00833333333334</v>
      </c>
      <c r="L205" s="140">
        <f t="shared" si="559"/>
        <v>-114.50833333333334</v>
      </c>
      <c r="M205" s="140">
        <f t="shared" si="559"/>
        <v>-114.00833333333334</v>
      </c>
      <c r="N205" s="140">
        <f t="shared" si="559"/>
        <v>-113.50833333333334</v>
      </c>
      <c r="O205" s="140">
        <f t="shared" si="559"/>
        <v>-113.00833333333334</v>
      </c>
      <c r="P205" s="140">
        <f t="shared" si="559"/>
        <v>-112.50833333333334</v>
      </c>
      <c r="Q205" s="140">
        <f t="shared" si="559"/>
        <v>-112.00833333333334</v>
      </c>
      <c r="R205" s="140">
        <f t="shared" si="559"/>
        <v>-111.50833333333334</v>
      </c>
      <c r="S205" s="140">
        <f t="shared" si="559"/>
        <v>-111.01111111111111</v>
      </c>
      <c r="T205" s="140">
        <f t="shared" si="559"/>
        <v>-110.51111111111111</v>
      </c>
      <c r="U205" s="140">
        <f t="shared" si="559"/>
        <v>-110.01111111111111</v>
      </c>
      <c r="V205" s="140">
        <f t="shared" si="559"/>
        <v>-109.51111111111111</v>
      </c>
      <c r="W205" s="140">
        <f t="shared" si="559"/>
        <v>-109.01111111111111</v>
      </c>
      <c r="X205" s="140">
        <f t="shared" si="559"/>
        <v>-108.51111111111111</v>
      </c>
      <c r="Y205" s="140">
        <f t="shared" si="559"/>
        <v>-108.01111111111111</v>
      </c>
      <c r="Z205" s="140">
        <f t="shared" si="559"/>
        <v>-107.51111111111111</v>
      </c>
      <c r="AA205" s="140">
        <f t="shared" si="559"/>
        <v>-107.01388888888889</v>
      </c>
      <c r="AB205" s="140">
        <f t="shared" si="559"/>
        <v>-106.51388888888889</v>
      </c>
      <c r="AC205" s="140">
        <f t="shared" si="559"/>
        <v>-106.01388888888889</v>
      </c>
      <c r="AD205" s="140">
        <f t="shared" si="559"/>
        <v>-105.51388888888889</v>
      </c>
      <c r="AE205" s="140">
        <f t="shared" si="559"/>
        <v>-105.01388888888889</v>
      </c>
      <c r="AF205" s="140">
        <f t="shared" si="559"/>
        <v>-104.51388888888889</v>
      </c>
      <c r="AG205" s="140">
        <f t="shared" si="559"/>
        <v>-104.01388888888889</v>
      </c>
      <c r="AH205" s="140">
        <f t="shared" si="559"/>
        <v>-103.51388888888889</v>
      </c>
      <c r="AI205" s="140">
        <f t="shared" si="559"/>
        <v>-103.01666666666667</v>
      </c>
      <c r="AJ205" s="140">
        <f t="shared" si="559"/>
        <v>-102.51666666666667</v>
      </c>
      <c r="AK205" s="140">
        <f t="shared" si="559"/>
        <v>-102.01666666666667</v>
      </c>
      <c r="AL205" s="140">
        <f t="shared" si="559"/>
        <v>-101.51666666666667</v>
      </c>
      <c r="AM205" s="140">
        <f t="shared" si="559"/>
        <v>-101.01666666666667</v>
      </c>
      <c r="AN205" s="140">
        <f t="shared" si="559"/>
        <v>-100.51666666666667</v>
      </c>
      <c r="AO205" s="140">
        <f t="shared" si="559"/>
        <v>-100.01666666666667</v>
      </c>
      <c r="AP205" s="140">
        <f t="shared" si="559"/>
        <v>-99.516666666666666</v>
      </c>
      <c r="AQ205" s="140">
        <f t="shared" si="559"/>
        <v>-99.019444444444446</v>
      </c>
      <c r="AR205" s="140">
        <f t="shared" si="559"/>
        <v>-98.519444444444446</v>
      </c>
      <c r="AS205" s="140">
        <f t="shared" si="559"/>
        <v>-98.019444444444446</v>
      </c>
      <c r="AT205" s="140">
        <f t="shared" si="559"/>
        <v>-97.519444444444446</v>
      </c>
      <c r="AU205" s="140">
        <f t="shared" si="559"/>
        <v>-97.019444444444446</v>
      </c>
      <c r="AV205" s="140">
        <f t="shared" si="559"/>
        <v>-96.519444444444446</v>
      </c>
      <c r="AW205" s="140">
        <f t="shared" si="559"/>
        <v>-96.019444444444446</v>
      </c>
      <c r="AX205" s="140">
        <f t="shared" si="559"/>
        <v>-95.519444444444446</v>
      </c>
      <c r="AY205" s="140">
        <f t="shared" si="559"/>
        <v>-95.022222222222226</v>
      </c>
      <c r="AZ205" s="140">
        <f t="shared" si="559"/>
        <v>-94.522222222222226</v>
      </c>
      <c r="BA205" s="140">
        <f t="shared" si="559"/>
        <v>-94.022222222222226</v>
      </c>
      <c r="BB205" s="140">
        <f t="shared" si="559"/>
        <v>-93.522222222222226</v>
      </c>
      <c r="BC205" s="140">
        <f t="shared" si="559"/>
        <v>-93.022222222222226</v>
      </c>
      <c r="BD205" s="140">
        <f t="shared" si="559"/>
        <v>-92.522222222222226</v>
      </c>
      <c r="BE205" s="140">
        <f t="shared" si="559"/>
        <v>-92.022222222222226</v>
      </c>
      <c r="BF205" s="140">
        <f t="shared" si="559"/>
        <v>-91.522222222222226</v>
      </c>
      <c r="BG205" s="140">
        <f t="shared" si="559"/>
        <v>-91.025000000000006</v>
      </c>
      <c r="BH205" s="140">
        <f t="shared" si="559"/>
        <v>-90.525000000000006</v>
      </c>
      <c r="BI205" s="140">
        <f t="shared" si="559"/>
        <v>-90.025000000000006</v>
      </c>
      <c r="BJ205" s="140">
        <f t="shared" si="559"/>
        <v>-89.525000000000006</v>
      </c>
      <c r="BK205" s="140">
        <f t="shared" si="559"/>
        <v>-89.025000000000006</v>
      </c>
      <c r="BL205" s="140">
        <f t="shared" si="559"/>
        <v>-88.525000000000006</v>
      </c>
      <c r="BM205" s="140">
        <f t="shared" si="559"/>
        <v>-88.025000000000006</v>
      </c>
      <c r="BN205" s="140">
        <f t="shared" si="559"/>
        <v>-87.525000000000006</v>
      </c>
      <c r="BO205" s="140">
        <f t="shared" ref="BO205:CB205" si="560">BO204/360</f>
        <v>-87.027777777777771</v>
      </c>
      <c r="BP205" s="140">
        <f t="shared" si="560"/>
        <v>-86.527777777777771</v>
      </c>
      <c r="BQ205" s="140">
        <f t="shared" si="560"/>
        <v>-86.027777777777771</v>
      </c>
      <c r="BR205" s="140">
        <f t="shared" si="560"/>
        <v>-85.527777777777771</v>
      </c>
      <c r="BS205" s="140">
        <f t="shared" si="560"/>
        <v>-85.027777777777771</v>
      </c>
      <c r="BT205" s="140">
        <f t="shared" si="560"/>
        <v>-84.527777777777771</v>
      </c>
      <c r="BU205" s="140">
        <f t="shared" si="560"/>
        <v>-84.027777777777771</v>
      </c>
      <c r="BV205" s="140">
        <f t="shared" si="560"/>
        <v>-83.527777777777771</v>
      </c>
      <c r="BW205" s="140">
        <f t="shared" si="560"/>
        <v>-83.030555555555551</v>
      </c>
      <c r="BX205" s="140">
        <f t="shared" si="560"/>
        <v>-82.530555555555551</v>
      </c>
      <c r="BY205" s="140">
        <f t="shared" si="560"/>
        <v>-82.030555555555551</v>
      </c>
      <c r="BZ205" s="140">
        <f t="shared" si="560"/>
        <v>-81.530555555555551</v>
      </c>
      <c r="CA205" s="140">
        <f t="shared" si="560"/>
        <v>-81.030555555555551</v>
      </c>
      <c r="CB205" s="140">
        <f t="shared" si="560"/>
        <v>-80.530555555555551</v>
      </c>
      <c r="CC205" s="17"/>
      <c r="CD205" s="17"/>
      <c r="CE205" s="17"/>
    </row>
    <row r="206" spans="1:83">
      <c r="A206" s="16" t="s">
        <v>43</v>
      </c>
      <c r="B206" s="140">
        <f>IF(B204&lt;0,0,$B$5+$B$6*((1-EXP(-B205/$B$9))/(B205/$B$9))+$B$7*((1-EXP(-B205/$B$9))/(B205/$B$9)-EXP(-B205/$B$9))+$B$8*((1-EXP(-B205/$B$10))/(B205/$B$10)-EXP(-B205/$B$10)))</f>
        <v>0</v>
      </c>
      <c r="C206" s="140">
        <f t="shared" ref="C206:BN206" si="561">IF(C204&lt;0,0,$B$5+$B$6*((1-EXP(-C205/$B$9))/(C205/$B$9))+$B$7*((1-EXP(-C205/$B$9))/(C205/$B$9)-EXP(-C205/$B$9))+$B$8*((1-EXP(-C205/$B$10))/(C205/$B$10)-EXP(-C205/$B$10)))</f>
        <v>0</v>
      </c>
      <c r="D206" s="140">
        <f t="shared" si="561"/>
        <v>0</v>
      </c>
      <c r="E206" s="140">
        <f t="shared" si="561"/>
        <v>0</v>
      </c>
      <c r="F206" s="140">
        <f t="shared" si="561"/>
        <v>0</v>
      </c>
      <c r="G206" s="140">
        <f t="shared" si="561"/>
        <v>0</v>
      </c>
      <c r="H206" s="140">
        <f t="shared" si="561"/>
        <v>0</v>
      </c>
      <c r="I206" s="140">
        <f t="shared" si="561"/>
        <v>0</v>
      </c>
      <c r="J206" s="140">
        <f t="shared" si="561"/>
        <v>0</v>
      </c>
      <c r="K206" s="140">
        <f t="shared" si="561"/>
        <v>0</v>
      </c>
      <c r="L206" s="140">
        <f t="shared" si="561"/>
        <v>0</v>
      </c>
      <c r="M206" s="140">
        <f t="shared" si="561"/>
        <v>0</v>
      </c>
      <c r="N206" s="140">
        <f t="shared" si="561"/>
        <v>0</v>
      </c>
      <c r="O206" s="140">
        <f t="shared" si="561"/>
        <v>0</v>
      </c>
      <c r="P206" s="140">
        <f t="shared" si="561"/>
        <v>0</v>
      </c>
      <c r="Q206" s="140">
        <f t="shared" si="561"/>
        <v>0</v>
      </c>
      <c r="R206" s="140">
        <f t="shared" si="561"/>
        <v>0</v>
      </c>
      <c r="S206" s="140">
        <f t="shared" si="561"/>
        <v>0</v>
      </c>
      <c r="T206" s="140">
        <f t="shared" si="561"/>
        <v>0</v>
      </c>
      <c r="U206" s="140">
        <f t="shared" si="561"/>
        <v>0</v>
      </c>
      <c r="V206" s="140">
        <f t="shared" si="561"/>
        <v>0</v>
      </c>
      <c r="W206" s="140">
        <f t="shared" si="561"/>
        <v>0</v>
      </c>
      <c r="X206" s="140">
        <f t="shared" si="561"/>
        <v>0</v>
      </c>
      <c r="Y206" s="140">
        <f t="shared" si="561"/>
        <v>0</v>
      </c>
      <c r="Z206" s="140">
        <f t="shared" si="561"/>
        <v>0</v>
      </c>
      <c r="AA206" s="140">
        <f t="shared" si="561"/>
        <v>0</v>
      </c>
      <c r="AB206" s="140">
        <f t="shared" si="561"/>
        <v>0</v>
      </c>
      <c r="AC206" s="140">
        <f t="shared" si="561"/>
        <v>0</v>
      </c>
      <c r="AD206" s="140">
        <f t="shared" si="561"/>
        <v>0</v>
      </c>
      <c r="AE206" s="140">
        <f t="shared" si="561"/>
        <v>0</v>
      </c>
      <c r="AF206" s="140">
        <f t="shared" si="561"/>
        <v>0</v>
      </c>
      <c r="AG206" s="140">
        <f t="shared" si="561"/>
        <v>0</v>
      </c>
      <c r="AH206" s="140">
        <f t="shared" si="561"/>
        <v>0</v>
      </c>
      <c r="AI206" s="140">
        <f t="shared" si="561"/>
        <v>0</v>
      </c>
      <c r="AJ206" s="140">
        <f t="shared" si="561"/>
        <v>0</v>
      </c>
      <c r="AK206" s="140">
        <f t="shared" si="561"/>
        <v>0</v>
      </c>
      <c r="AL206" s="140">
        <f t="shared" si="561"/>
        <v>0</v>
      </c>
      <c r="AM206" s="140">
        <f t="shared" si="561"/>
        <v>0</v>
      </c>
      <c r="AN206" s="140">
        <f t="shared" si="561"/>
        <v>0</v>
      </c>
      <c r="AO206" s="140">
        <f t="shared" si="561"/>
        <v>0</v>
      </c>
      <c r="AP206" s="140">
        <f t="shared" si="561"/>
        <v>0</v>
      </c>
      <c r="AQ206" s="140">
        <f t="shared" si="561"/>
        <v>0</v>
      </c>
      <c r="AR206" s="140">
        <f t="shared" si="561"/>
        <v>0</v>
      </c>
      <c r="AS206" s="140">
        <f t="shared" si="561"/>
        <v>0</v>
      </c>
      <c r="AT206" s="140">
        <f t="shared" si="561"/>
        <v>0</v>
      </c>
      <c r="AU206" s="140">
        <f t="shared" si="561"/>
        <v>0</v>
      </c>
      <c r="AV206" s="140">
        <f t="shared" si="561"/>
        <v>0</v>
      </c>
      <c r="AW206" s="140">
        <f t="shared" si="561"/>
        <v>0</v>
      </c>
      <c r="AX206" s="140">
        <f t="shared" si="561"/>
        <v>0</v>
      </c>
      <c r="AY206" s="140">
        <f t="shared" si="561"/>
        <v>0</v>
      </c>
      <c r="AZ206" s="140">
        <f t="shared" si="561"/>
        <v>0</v>
      </c>
      <c r="BA206" s="140">
        <f t="shared" si="561"/>
        <v>0</v>
      </c>
      <c r="BB206" s="140">
        <f t="shared" si="561"/>
        <v>0</v>
      </c>
      <c r="BC206" s="140">
        <f t="shared" si="561"/>
        <v>0</v>
      </c>
      <c r="BD206" s="140">
        <f t="shared" si="561"/>
        <v>0</v>
      </c>
      <c r="BE206" s="140">
        <f t="shared" si="561"/>
        <v>0</v>
      </c>
      <c r="BF206" s="140">
        <f t="shared" si="561"/>
        <v>0</v>
      </c>
      <c r="BG206" s="140">
        <f t="shared" si="561"/>
        <v>0</v>
      </c>
      <c r="BH206" s="140">
        <f t="shared" si="561"/>
        <v>0</v>
      </c>
      <c r="BI206" s="140">
        <f t="shared" si="561"/>
        <v>0</v>
      </c>
      <c r="BJ206" s="140">
        <f t="shared" si="561"/>
        <v>0</v>
      </c>
      <c r="BK206" s="140">
        <f t="shared" si="561"/>
        <v>0</v>
      </c>
      <c r="BL206" s="140">
        <f t="shared" si="561"/>
        <v>0</v>
      </c>
      <c r="BM206" s="140">
        <f t="shared" si="561"/>
        <v>0</v>
      </c>
      <c r="BN206" s="140">
        <f t="shared" si="561"/>
        <v>0</v>
      </c>
      <c r="BO206" s="140">
        <f t="shared" ref="BO206:CB206" si="562">IF(BO204&lt;0,0,$B$5+$B$6*((1-EXP(-BO205/$B$9))/(BO205/$B$9))+$B$7*((1-EXP(-BO205/$B$9))/(BO205/$B$9)-EXP(-BO205/$B$9))+$B$8*((1-EXP(-BO205/$B$10))/(BO205/$B$10)-EXP(-BO205/$B$10)))</f>
        <v>0</v>
      </c>
      <c r="BP206" s="140">
        <f t="shared" si="562"/>
        <v>0</v>
      </c>
      <c r="BQ206" s="140">
        <f t="shared" si="562"/>
        <v>0</v>
      </c>
      <c r="BR206" s="140">
        <f t="shared" si="562"/>
        <v>0</v>
      </c>
      <c r="BS206" s="140">
        <f t="shared" si="562"/>
        <v>0</v>
      </c>
      <c r="BT206" s="140">
        <f t="shared" si="562"/>
        <v>0</v>
      </c>
      <c r="BU206" s="140">
        <f t="shared" si="562"/>
        <v>0</v>
      </c>
      <c r="BV206" s="140">
        <f t="shared" si="562"/>
        <v>0</v>
      </c>
      <c r="BW206" s="140">
        <f t="shared" si="562"/>
        <v>0</v>
      </c>
      <c r="BX206" s="140">
        <f t="shared" si="562"/>
        <v>0</v>
      </c>
      <c r="BY206" s="140">
        <f t="shared" si="562"/>
        <v>0</v>
      </c>
      <c r="BZ206" s="140">
        <f t="shared" si="562"/>
        <v>0</v>
      </c>
      <c r="CA206" s="140">
        <f t="shared" si="562"/>
        <v>0</v>
      </c>
      <c r="CB206" s="140">
        <f t="shared" si="562"/>
        <v>0</v>
      </c>
      <c r="CC206" s="17"/>
      <c r="CD206" s="17"/>
      <c r="CE206" s="17"/>
    </row>
    <row r="207" spans="1:83">
      <c r="A207" s="16" t="s">
        <v>44</v>
      </c>
      <c r="B207" s="140">
        <f>EXP(-B206*B205)</f>
        <v>1</v>
      </c>
      <c r="C207" s="140">
        <f t="shared" ref="C207:BN207" si="563">EXP(-C206*C205)</f>
        <v>1</v>
      </c>
      <c r="D207" s="140">
        <f t="shared" si="563"/>
        <v>1</v>
      </c>
      <c r="E207" s="140">
        <f t="shared" si="563"/>
        <v>1</v>
      </c>
      <c r="F207" s="140">
        <f t="shared" si="563"/>
        <v>1</v>
      </c>
      <c r="G207" s="140">
        <f t="shared" si="563"/>
        <v>1</v>
      </c>
      <c r="H207" s="140">
        <f t="shared" si="563"/>
        <v>1</v>
      </c>
      <c r="I207" s="140">
        <f t="shared" si="563"/>
        <v>1</v>
      </c>
      <c r="J207" s="140">
        <f t="shared" si="563"/>
        <v>1</v>
      </c>
      <c r="K207" s="140">
        <f t="shared" si="563"/>
        <v>1</v>
      </c>
      <c r="L207" s="140">
        <f t="shared" si="563"/>
        <v>1</v>
      </c>
      <c r="M207" s="140">
        <f t="shared" si="563"/>
        <v>1</v>
      </c>
      <c r="N207" s="140">
        <f t="shared" si="563"/>
        <v>1</v>
      </c>
      <c r="O207" s="140">
        <f t="shared" si="563"/>
        <v>1</v>
      </c>
      <c r="P207" s="140">
        <f t="shared" si="563"/>
        <v>1</v>
      </c>
      <c r="Q207" s="140">
        <f t="shared" si="563"/>
        <v>1</v>
      </c>
      <c r="R207" s="140">
        <f t="shared" si="563"/>
        <v>1</v>
      </c>
      <c r="S207" s="140">
        <f t="shared" si="563"/>
        <v>1</v>
      </c>
      <c r="T207" s="140">
        <f t="shared" si="563"/>
        <v>1</v>
      </c>
      <c r="U207" s="140">
        <f t="shared" si="563"/>
        <v>1</v>
      </c>
      <c r="V207" s="140">
        <f t="shared" si="563"/>
        <v>1</v>
      </c>
      <c r="W207" s="140">
        <f t="shared" si="563"/>
        <v>1</v>
      </c>
      <c r="X207" s="140">
        <f t="shared" si="563"/>
        <v>1</v>
      </c>
      <c r="Y207" s="140">
        <f t="shared" si="563"/>
        <v>1</v>
      </c>
      <c r="Z207" s="140">
        <f t="shared" si="563"/>
        <v>1</v>
      </c>
      <c r="AA207" s="140">
        <f t="shared" si="563"/>
        <v>1</v>
      </c>
      <c r="AB207" s="140">
        <f t="shared" si="563"/>
        <v>1</v>
      </c>
      <c r="AC207" s="140">
        <f t="shared" si="563"/>
        <v>1</v>
      </c>
      <c r="AD207" s="140">
        <f t="shared" si="563"/>
        <v>1</v>
      </c>
      <c r="AE207" s="140">
        <f t="shared" si="563"/>
        <v>1</v>
      </c>
      <c r="AF207" s="140">
        <f t="shared" si="563"/>
        <v>1</v>
      </c>
      <c r="AG207" s="140">
        <f t="shared" si="563"/>
        <v>1</v>
      </c>
      <c r="AH207" s="140">
        <f t="shared" si="563"/>
        <v>1</v>
      </c>
      <c r="AI207" s="140">
        <f t="shared" si="563"/>
        <v>1</v>
      </c>
      <c r="AJ207" s="140">
        <f t="shared" si="563"/>
        <v>1</v>
      </c>
      <c r="AK207" s="140">
        <f t="shared" si="563"/>
        <v>1</v>
      </c>
      <c r="AL207" s="140">
        <f t="shared" si="563"/>
        <v>1</v>
      </c>
      <c r="AM207" s="140">
        <f t="shared" si="563"/>
        <v>1</v>
      </c>
      <c r="AN207" s="140">
        <f t="shared" si="563"/>
        <v>1</v>
      </c>
      <c r="AO207" s="140">
        <f t="shared" si="563"/>
        <v>1</v>
      </c>
      <c r="AP207" s="140">
        <f t="shared" si="563"/>
        <v>1</v>
      </c>
      <c r="AQ207" s="140">
        <f t="shared" si="563"/>
        <v>1</v>
      </c>
      <c r="AR207" s="140">
        <f t="shared" si="563"/>
        <v>1</v>
      </c>
      <c r="AS207" s="140">
        <f t="shared" si="563"/>
        <v>1</v>
      </c>
      <c r="AT207" s="140">
        <f t="shared" si="563"/>
        <v>1</v>
      </c>
      <c r="AU207" s="140">
        <f t="shared" si="563"/>
        <v>1</v>
      </c>
      <c r="AV207" s="140">
        <f t="shared" si="563"/>
        <v>1</v>
      </c>
      <c r="AW207" s="140">
        <f t="shared" si="563"/>
        <v>1</v>
      </c>
      <c r="AX207" s="140">
        <f t="shared" si="563"/>
        <v>1</v>
      </c>
      <c r="AY207" s="140">
        <f t="shared" si="563"/>
        <v>1</v>
      </c>
      <c r="AZ207" s="140">
        <f t="shared" si="563"/>
        <v>1</v>
      </c>
      <c r="BA207" s="140">
        <f t="shared" si="563"/>
        <v>1</v>
      </c>
      <c r="BB207" s="140">
        <f t="shared" si="563"/>
        <v>1</v>
      </c>
      <c r="BC207" s="140">
        <f t="shared" si="563"/>
        <v>1</v>
      </c>
      <c r="BD207" s="140">
        <f t="shared" si="563"/>
        <v>1</v>
      </c>
      <c r="BE207" s="140">
        <f t="shared" si="563"/>
        <v>1</v>
      </c>
      <c r="BF207" s="140">
        <f t="shared" si="563"/>
        <v>1</v>
      </c>
      <c r="BG207" s="140">
        <f t="shared" si="563"/>
        <v>1</v>
      </c>
      <c r="BH207" s="140">
        <f t="shared" si="563"/>
        <v>1</v>
      </c>
      <c r="BI207" s="140">
        <f t="shared" si="563"/>
        <v>1</v>
      </c>
      <c r="BJ207" s="140">
        <f t="shared" si="563"/>
        <v>1</v>
      </c>
      <c r="BK207" s="140">
        <f t="shared" si="563"/>
        <v>1</v>
      </c>
      <c r="BL207" s="140">
        <f t="shared" si="563"/>
        <v>1</v>
      </c>
      <c r="BM207" s="140">
        <f t="shared" si="563"/>
        <v>1</v>
      </c>
      <c r="BN207" s="140">
        <f t="shared" si="563"/>
        <v>1</v>
      </c>
      <c r="BO207" s="140">
        <f t="shared" ref="BO207:CB207" si="564">EXP(-BO206*BO205)</f>
        <v>1</v>
      </c>
      <c r="BP207" s="140">
        <f t="shared" si="564"/>
        <v>1</v>
      </c>
      <c r="BQ207" s="140">
        <f t="shared" si="564"/>
        <v>1</v>
      </c>
      <c r="BR207" s="140">
        <f t="shared" si="564"/>
        <v>1</v>
      </c>
      <c r="BS207" s="140">
        <f t="shared" si="564"/>
        <v>1</v>
      </c>
      <c r="BT207" s="140">
        <f t="shared" si="564"/>
        <v>1</v>
      </c>
      <c r="BU207" s="140">
        <f t="shared" si="564"/>
        <v>1</v>
      </c>
      <c r="BV207" s="140">
        <f t="shared" si="564"/>
        <v>1</v>
      </c>
      <c r="BW207" s="140">
        <f t="shared" si="564"/>
        <v>1</v>
      </c>
      <c r="BX207" s="140">
        <f t="shared" si="564"/>
        <v>1</v>
      </c>
      <c r="BY207" s="140">
        <f t="shared" si="564"/>
        <v>1</v>
      </c>
      <c r="BZ207" s="140">
        <f t="shared" si="564"/>
        <v>1</v>
      </c>
      <c r="CA207" s="140">
        <f t="shared" si="564"/>
        <v>1</v>
      </c>
      <c r="CB207" s="140">
        <f t="shared" si="564"/>
        <v>1</v>
      </c>
      <c r="CC207" s="17"/>
      <c r="CD207" s="17"/>
      <c r="CE207" s="17"/>
    </row>
    <row r="208" spans="1:83">
      <c r="A208" s="17"/>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c r="AP208" s="17"/>
      <c r="AQ208" s="17"/>
      <c r="AR208" s="17"/>
      <c r="AS208" s="17"/>
      <c r="AT208" s="17"/>
      <c r="AU208" s="17"/>
      <c r="AV208" s="17"/>
      <c r="AW208" s="17"/>
      <c r="AX208" s="17"/>
      <c r="AY208" s="17"/>
      <c r="AZ208" s="17"/>
      <c r="BA208" s="17"/>
      <c r="BB208" s="17"/>
      <c r="BC208" s="17"/>
      <c r="BD208" s="17"/>
      <c r="BE208" s="17"/>
      <c r="BF208" s="17"/>
      <c r="BG208" s="17"/>
      <c r="BH208" s="17"/>
      <c r="BI208" s="17"/>
      <c r="BJ208" s="17"/>
      <c r="BK208" s="17"/>
      <c r="BL208" s="17"/>
      <c r="BM208" s="17"/>
      <c r="BN208" s="17"/>
      <c r="BO208" s="17"/>
      <c r="BP208" s="17"/>
      <c r="BQ208" s="17"/>
      <c r="BR208" s="17"/>
      <c r="BS208" s="17"/>
      <c r="BT208" s="17"/>
      <c r="BU208" s="17"/>
      <c r="BV208" s="17"/>
      <c r="BW208" s="17"/>
      <c r="BX208" s="17"/>
      <c r="BY208" s="17"/>
      <c r="BZ208" s="17"/>
      <c r="CA208" s="17"/>
      <c r="CB208" s="17"/>
      <c r="CC208" s="17"/>
      <c r="CD208" s="17"/>
      <c r="CE208" s="17"/>
    </row>
    <row r="209" spans="1:134">
      <c r="A209" s="16" t="s">
        <v>40</v>
      </c>
      <c r="B209" s="140">
        <f>DAYS360($B$3,B80)</f>
        <v>-43022</v>
      </c>
      <c r="C209" s="140">
        <f t="shared" ref="C209:BN209" si="565">DAYS360($B$3,C80)</f>
        <v>-42842</v>
      </c>
      <c r="D209" s="140">
        <f t="shared" si="565"/>
        <v>-42662</v>
      </c>
      <c r="E209" s="140">
        <f t="shared" si="565"/>
        <v>-42482</v>
      </c>
      <c r="F209" s="140">
        <f t="shared" si="565"/>
        <v>-42302</v>
      </c>
      <c r="G209" s="140">
        <f t="shared" si="565"/>
        <v>-42122</v>
      </c>
      <c r="H209" s="140">
        <f t="shared" si="565"/>
        <v>-41942</v>
      </c>
      <c r="I209" s="140">
        <f t="shared" si="565"/>
        <v>-41762</v>
      </c>
      <c r="J209" s="140">
        <f t="shared" si="565"/>
        <v>-41582</v>
      </c>
      <c r="K209" s="140">
        <f t="shared" si="565"/>
        <v>-41403</v>
      </c>
      <c r="L209" s="140">
        <f t="shared" si="565"/>
        <v>-41223</v>
      </c>
      <c r="M209" s="140">
        <f t="shared" si="565"/>
        <v>-41043</v>
      </c>
      <c r="N209" s="140">
        <f t="shared" si="565"/>
        <v>-40863</v>
      </c>
      <c r="O209" s="140">
        <f t="shared" si="565"/>
        <v>-40683</v>
      </c>
      <c r="P209" s="140">
        <f t="shared" si="565"/>
        <v>-40503</v>
      </c>
      <c r="Q209" s="140">
        <f t="shared" si="565"/>
        <v>-40323</v>
      </c>
      <c r="R209" s="140">
        <f t="shared" si="565"/>
        <v>-40143</v>
      </c>
      <c r="S209" s="140">
        <f t="shared" si="565"/>
        <v>-39964</v>
      </c>
      <c r="T209" s="140">
        <f t="shared" si="565"/>
        <v>-39784</v>
      </c>
      <c r="U209" s="140">
        <f t="shared" si="565"/>
        <v>-39604</v>
      </c>
      <c r="V209" s="140">
        <f t="shared" si="565"/>
        <v>-39424</v>
      </c>
      <c r="W209" s="140">
        <f t="shared" si="565"/>
        <v>-39244</v>
      </c>
      <c r="X209" s="140">
        <f t="shared" si="565"/>
        <v>-39064</v>
      </c>
      <c r="Y209" s="140">
        <f t="shared" si="565"/>
        <v>-38884</v>
      </c>
      <c r="Z209" s="140">
        <f t="shared" si="565"/>
        <v>-38704</v>
      </c>
      <c r="AA209" s="140">
        <f t="shared" si="565"/>
        <v>-38525</v>
      </c>
      <c r="AB209" s="140">
        <f t="shared" si="565"/>
        <v>-38345</v>
      </c>
      <c r="AC209" s="140">
        <f t="shared" si="565"/>
        <v>-38165</v>
      </c>
      <c r="AD209" s="140">
        <f t="shared" si="565"/>
        <v>-37985</v>
      </c>
      <c r="AE209" s="140">
        <f t="shared" si="565"/>
        <v>-37805</v>
      </c>
      <c r="AF209" s="140">
        <f t="shared" si="565"/>
        <v>-37625</v>
      </c>
      <c r="AG209" s="140">
        <f t="shared" si="565"/>
        <v>-37445</v>
      </c>
      <c r="AH209" s="140">
        <f t="shared" si="565"/>
        <v>-37265</v>
      </c>
      <c r="AI209" s="140">
        <f t="shared" si="565"/>
        <v>-37086</v>
      </c>
      <c r="AJ209" s="140">
        <f t="shared" si="565"/>
        <v>-36906</v>
      </c>
      <c r="AK209" s="140">
        <f t="shared" si="565"/>
        <v>-36726</v>
      </c>
      <c r="AL209" s="140">
        <f t="shared" si="565"/>
        <v>-36546</v>
      </c>
      <c r="AM209" s="140">
        <f t="shared" si="565"/>
        <v>-36366</v>
      </c>
      <c r="AN209" s="140">
        <f t="shared" si="565"/>
        <v>-36186</v>
      </c>
      <c r="AO209" s="140">
        <f t="shared" si="565"/>
        <v>-36006</v>
      </c>
      <c r="AP209" s="140">
        <f t="shared" si="565"/>
        <v>-35826</v>
      </c>
      <c r="AQ209" s="140">
        <f t="shared" si="565"/>
        <v>-35647</v>
      </c>
      <c r="AR209" s="140">
        <f t="shared" si="565"/>
        <v>-35467</v>
      </c>
      <c r="AS209" s="140">
        <f t="shared" si="565"/>
        <v>-35287</v>
      </c>
      <c r="AT209" s="140">
        <f t="shared" si="565"/>
        <v>-35107</v>
      </c>
      <c r="AU209" s="140">
        <f t="shared" si="565"/>
        <v>-34927</v>
      </c>
      <c r="AV209" s="140">
        <f t="shared" si="565"/>
        <v>-34747</v>
      </c>
      <c r="AW209" s="140">
        <f t="shared" si="565"/>
        <v>-34567</v>
      </c>
      <c r="AX209" s="140">
        <f t="shared" si="565"/>
        <v>-34387</v>
      </c>
      <c r="AY209" s="140">
        <f t="shared" si="565"/>
        <v>-34208</v>
      </c>
      <c r="AZ209" s="140">
        <f t="shared" si="565"/>
        <v>-34028</v>
      </c>
      <c r="BA209" s="140">
        <f t="shared" si="565"/>
        <v>-33848</v>
      </c>
      <c r="BB209" s="140">
        <f t="shared" si="565"/>
        <v>-33668</v>
      </c>
      <c r="BC209" s="140">
        <f t="shared" si="565"/>
        <v>-33488</v>
      </c>
      <c r="BD209" s="140">
        <f t="shared" si="565"/>
        <v>-33308</v>
      </c>
      <c r="BE209" s="140">
        <f t="shared" si="565"/>
        <v>-33128</v>
      </c>
      <c r="BF209" s="140">
        <f t="shared" si="565"/>
        <v>-32948</v>
      </c>
      <c r="BG209" s="140">
        <f t="shared" si="565"/>
        <v>-32769</v>
      </c>
      <c r="BH209" s="140">
        <f t="shared" si="565"/>
        <v>-32589</v>
      </c>
      <c r="BI209" s="140">
        <f t="shared" si="565"/>
        <v>-32409</v>
      </c>
      <c r="BJ209" s="140">
        <f t="shared" si="565"/>
        <v>-32229</v>
      </c>
      <c r="BK209" s="140">
        <f t="shared" si="565"/>
        <v>-32049</v>
      </c>
      <c r="BL209" s="140">
        <f t="shared" si="565"/>
        <v>-31869</v>
      </c>
      <c r="BM209" s="140">
        <f t="shared" si="565"/>
        <v>-31689</v>
      </c>
      <c r="BN209" s="140">
        <f t="shared" si="565"/>
        <v>-31509</v>
      </c>
      <c r="BO209" s="140">
        <f t="shared" ref="BO209:CB209" si="566">DAYS360($B$3,BO80)</f>
        <v>-31330</v>
      </c>
      <c r="BP209" s="140">
        <f t="shared" si="566"/>
        <v>-31150</v>
      </c>
      <c r="BQ209" s="140">
        <f t="shared" si="566"/>
        <v>-30970</v>
      </c>
      <c r="BR209" s="140">
        <f t="shared" si="566"/>
        <v>-30790</v>
      </c>
      <c r="BS209" s="140">
        <f t="shared" si="566"/>
        <v>-30610</v>
      </c>
      <c r="BT209" s="140">
        <f t="shared" si="566"/>
        <v>-30430</v>
      </c>
      <c r="BU209" s="140">
        <f t="shared" si="566"/>
        <v>-30250</v>
      </c>
      <c r="BV209" s="140">
        <f t="shared" si="566"/>
        <v>-30070</v>
      </c>
      <c r="BW209" s="140">
        <f t="shared" si="566"/>
        <v>-29891</v>
      </c>
      <c r="BX209" s="140">
        <f t="shared" si="566"/>
        <v>-29711</v>
      </c>
      <c r="BY209" s="140">
        <f t="shared" si="566"/>
        <v>-29531</v>
      </c>
      <c r="BZ209" s="140">
        <f t="shared" si="566"/>
        <v>-29351</v>
      </c>
      <c r="CA209" s="140">
        <f t="shared" si="566"/>
        <v>-29171</v>
      </c>
      <c r="CB209" s="140">
        <f t="shared" si="566"/>
        <v>-28991</v>
      </c>
      <c r="CC209" s="17"/>
      <c r="CD209" s="17"/>
      <c r="CE209" s="17"/>
    </row>
    <row r="210" spans="1:134">
      <c r="A210" s="16" t="s">
        <v>41</v>
      </c>
      <c r="B210" s="140">
        <f>B209/360</f>
        <v>-119.50555555555556</v>
      </c>
      <c r="C210" s="140">
        <f t="shared" ref="C210:BN210" si="567">C209/360</f>
        <v>-119.00555555555556</v>
      </c>
      <c r="D210" s="140">
        <f t="shared" si="567"/>
        <v>-118.50555555555556</v>
      </c>
      <c r="E210" s="140">
        <f t="shared" si="567"/>
        <v>-118.00555555555556</v>
      </c>
      <c r="F210" s="140">
        <f t="shared" si="567"/>
        <v>-117.50555555555556</v>
      </c>
      <c r="G210" s="140">
        <f t="shared" si="567"/>
        <v>-117.00555555555556</v>
      </c>
      <c r="H210" s="140">
        <f t="shared" si="567"/>
        <v>-116.50555555555556</v>
      </c>
      <c r="I210" s="140">
        <f t="shared" si="567"/>
        <v>-116.00555555555556</v>
      </c>
      <c r="J210" s="140">
        <f t="shared" si="567"/>
        <v>-115.50555555555556</v>
      </c>
      <c r="K210" s="140">
        <f t="shared" si="567"/>
        <v>-115.00833333333334</v>
      </c>
      <c r="L210" s="140">
        <f t="shared" si="567"/>
        <v>-114.50833333333334</v>
      </c>
      <c r="M210" s="140">
        <f t="shared" si="567"/>
        <v>-114.00833333333334</v>
      </c>
      <c r="N210" s="140">
        <f t="shared" si="567"/>
        <v>-113.50833333333334</v>
      </c>
      <c r="O210" s="140">
        <f t="shared" si="567"/>
        <v>-113.00833333333334</v>
      </c>
      <c r="P210" s="140">
        <f t="shared" si="567"/>
        <v>-112.50833333333334</v>
      </c>
      <c r="Q210" s="140">
        <f t="shared" si="567"/>
        <v>-112.00833333333334</v>
      </c>
      <c r="R210" s="140">
        <f t="shared" si="567"/>
        <v>-111.50833333333334</v>
      </c>
      <c r="S210" s="140">
        <f t="shared" si="567"/>
        <v>-111.01111111111111</v>
      </c>
      <c r="T210" s="140">
        <f t="shared" si="567"/>
        <v>-110.51111111111111</v>
      </c>
      <c r="U210" s="140">
        <f t="shared" si="567"/>
        <v>-110.01111111111111</v>
      </c>
      <c r="V210" s="140">
        <f t="shared" si="567"/>
        <v>-109.51111111111111</v>
      </c>
      <c r="W210" s="140">
        <f t="shared" si="567"/>
        <v>-109.01111111111111</v>
      </c>
      <c r="X210" s="140">
        <f t="shared" si="567"/>
        <v>-108.51111111111111</v>
      </c>
      <c r="Y210" s="140">
        <f t="shared" si="567"/>
        <v>-108.01111111111111</v>
      </c>
      <c r="Z210" s="140">
        <f t="shared" si="567"/>
        <v>-107.51111111111111</v>
      </c>
      <c r="AA210" s="140">
        <f t="shared" si="567"/>
        <v>-107.01388888888889</v>
      </c>
      <c r="AB210" s="140">
        <f t="shared" si="567"/>
        <v>-106.51388888888889</v>
      </c>
      <c r="AC210" s="140">
        <f t="shared" si="567"/>
        <v>-106.01388888888889</v>
      </c>
      <c r="AD210" s="140">
        <f t="shared" si="567"/>
        <v>-105.51388888888889</v>
      </c>
      <c r="AE210" s="140">
        <f t="shared" si="567"/>
        <v>-105.01388888888889</v>
      </c>
      <c r="AF210" s="140">
        <f t="shared" si="567"/>
        <v>-104.51388888888889</v>
      </c>
      <c r="AG210" s="140">
        <f t="shared" si="567"/>
        <v>-104.01388888888889</v>
      </c>
      <c r="AH210" s="140">
        <f t="shared" si="567"/>
        <v>-103.51388888888889</v>
      </c>
      <c r="AI210" s="140">
        <f t="shared" si="567"/>
        <v>-103.01666666666667</v>
      </c>
      <c r="AJ210" s="140">
        <f t="shared" si="567"/>
        <v>-102.51666666666667</v>
      </c>
      <c r="AK210" s="140">
        <f t="shared" si="567"/>
        <v>-102.01666666666667</v>
      </c>
      <c r="AL210" s="140">
        <f t="shared" si="567"/>
        <v>-101.51666666666667</v>
      </c>
      <c r="AM210" s="140">
        <f t="shared" si="567"/>
        <v>-101.01666666666667</v>
      </c>
      <c r="AN210" s="140">
        <f t="shared" si="567"/>
        <v>-100.51666666666667</v>
      </c>
      <c r="AO210" s="140">
        <f t="shared" si="567"/>
        <v>-100.01666666666667</v>
      </c>
      <c r="AP210" s="140">
        <f t="shared" si="567"/>
        <v>-99.516666666666666</v>
      </c>
      <c r="AQ210" s="140">
        <f t="shared" si="567"/>
        <v>-99.019444444444446</v>
      </c>
      <c r="AR210" s="140">
        <f t="shared" si="567"/>
        <v>-98.519444444444446</v>
      </c>
      <c r="AS210" s="140">
        <f t="shared" si="567"/>
        <v>-98.019444444444446</v>
      </c>
      <c r="AT210" s="140">
        <f t="shared" si="567"/>
        <v>-97.519444444444446</v>
      </c>
      <c r="AU210" s="140">
        <f t="shared" si="567"/>
        <v>-97.019444444444446</v>
      </c>
      <c r="AV210" s="140">
        <f t="shared" si="567"/>
        <v>-96.519444444444446</v>
      </c>
      <c r="AW210" s="140">
        <f t="shared" si="567"/>
        <v>-96.019444444444446</v>
      </c>
      <c r="AX210" s="140">
        <f t="shared" si="567"/>
        <v>-95.519444444444446</v>
      </c>
      <c r="AY210" s="140">
        <f t="shared" si="567"/>
        <v>-95.022222222222226</v>
      </c>
      <c r="AZ210" s="140">
        <f t="shared" si="567"/>
        <v>-94.522222222222226</v>
      </c>
      <c r="BA210" s="140">
        <f t="shared" si="567"/>
        <v>-94.022222222222226</v>
      </c>
      <c r="BB210" s="140">
        <f t="shared" si="567"/>
        <v>-93.522222222222226</v>
      </c>
      <c r="BC210" s="140">
        <f t="shared" si="567"/>
        <v>-93.022222222222226</v>
      </c>
      <c r="BD210" s="140">
        <f t="shared" si="567"/>
        <v>-92.522222222222226</v>
      </c>
      <c r="BE210" s="140">
        <f t="shared" si="567"/>
        <v>-92.022222222222226</v>
      </c>
      <c r="BF210" s="140">
        <f t="shared" si="567"/>
        <v>-91.522222222222226</v>
      </c>
      <c r="BG210" s="140">
        <f t="shared" si="567"/>
        <v>-91.025000000000006</v>
      </c>
      <c r="BH210" s="140">
        <f t="shared" si="567"/>
        <v>-90.525000000000006</v>
      </c>
      <c r="BI210" s="140">
        <f t="shared" si="567"/>
        <v>-90.025000000000006</v>
      </c>
      <c r="BJ210" s="140">
        <f t="shared" si="567"/>
        <v>-89.525000000000006</v>
      </c>
      <c r="BK210" s="140">
        <f t="shared" si="567"/>
        <v>-89.025000000000006</v>
      </c>
      <c r="BL210" s="140">
        <f t="shared" si="567"/>
        <v>-88.525000000000006</v>
      </c>
      <c r="BM210" s="140">
        <f t="shared" si="567"/>
        <v>-88.025000000000006</v>
      </c>
      <c r="BN210" s="140">
        <f t="shared" si="567"/>
        <v>-87.525000000000006</v>
      </c>
      <c r="BO210" s="140">
        <f t="shared" ref="BO210:CB210" si="568">BO209/360</f>
        <v>-87.027777777777771</v>
      </c>
      <c r="BP210" s="140">
        <f t="shared" si="568"/>
        <v>-86.527777777777771</v>
      </c>
      <c r="BQ210" s="140">
        <f t="shared" si="568"/>
        <v>-86.027777777777771</v>
      </c>
      <c r="BR210" s="140">
        <f t="shared" si="568"/>
        <v>-85.527777777777771</v>
      </c>
      <c r="BS210" s="140">
        <f t="shared" si="568"/>
        <v>-85.027777777777771</v>
      </c>
      <c r="BT210" s="140">
        <f t="shared" si="568"/>
        <v>-84.527777777777771</v>
      </c>
      <c r="BU210" s="140">
        <f t="shared" si="568"/>
        <v>-84.027777777777771</v>
      </c>
      <c r="BV210" s="140">
        <f t="shared" si="568"/>
        <v>-83.527777777777771</v>
      </c>
      <c r="BW210" s="140">
        <f t="shared" si="568"/>
        <v>-83.030555555555551</v>
      </c>
      <c r="BX210" s="140">
        <f t="shared" si="568"/>
        <v>-82.530555555555551</v>
      </c>
      <c r="BY210" s="140">
        <f t="shared" si="568"/>
        <v>-82.030555555555551</v>
      </c>
      <c r="BZ210" s="140">
        <f t="shared" si="568"/>
        <v>-81.530555555555551</v>
      </c>
      <c r="CA210" s="140">
        <f t="shared" si="568"/>
        <v>-81.030555555555551</v>
      </c>
      <c r="CB210" s="140">
        <f t="shared" si="568"/>
        <v>-80.530555555555551</v>
      </c>
      <c r="CC210" s="17"/>
      <c r="CD210" s="17"/>
      <c r="CE210" s="17"/>
    </row>
    <row r="211" spans="1:134">
      <c r="A211" s="16" t="s">
        <v>43</v>
      </c>
      <c r="B211" s="140">
        <f>IF(B209&lt;0,0,$B$5+$B$6*((1-EXP(-B210/$B$9))/(B210/$B$9))+$B$7*((1-EXP(-B210/$B$9))/(B210/$B$9)-EXP(-B210/$B$9))+$B$8*((1-EXP(-B210/$B$10))/(B210/$B$10)-EXP(-B210/$B$10)))</f>
        <v>0</v>
      </c>
      <c r="C211" s="140">
        <f t="shared" ref="C211:BN211" si="569">IF(C209&lt;0,0,$B$5+$B$6*((1-EXP(-C210/$B$9))/(C210/$B$9))+$B$7*((1-EXP(-C210/$B$9))/(C210/$B$9)-EXP(-C210/$B$9))+$B$8*((1-EXP(-C210/$B$10))/(C210/$B$10)-EXP(-C210/$B$10)))</f>
        <v>0</v>
      </c>
      <c r="D211" s="140">
        <f t="shared" si="569"/>
        <v>0</v>
      </c>
      <c r="E211" s="140">
        <f t="shared" si="569"/>
        <v>0</v>
      </c>
      <c r="F211" s="140">
        <f t="shared" si="569"/>
        <v>0</v>
      </c>
      <c r="G211" s="140">
        <f t="shared" si="569"/>
        <v>0</v>
      </c>
      <c r="H211" s="140">
        <f t="shared" si="569"/>
        <v>0</v>
      </c>
      <c r="I211" s="140">
        <f t="shared" si="569"/>
        <v>0</v>
      </c>
      <c r="J211" s="140">
        <f t="shared" si="569"/>
        <v>0</v>
      </c>
      <c r="K211" s="140">
        <f t="shared" si="569"/>
        <v>0</v>
      </c>
      <c r="L211" s="140">
        <f t="shared" si="569"/>
        <v>0</v>
      </c>
      <c r="M211" s="140">
        <f t="shared" si="569"/>
        <v>0</v>
      </c>
      <c r="N211" s="140">
        <f t="shared" si="569"/>
        <v>0</v>
      </c>
      <c r="O211" s="140">
        <f t="shared" si="569"/>
        <v>0</v>
      </c>
      <c r="P211" s="140">
        <f t="shared" si="569"/>
        <v>0</v>
      </c>
      <c r="Q211" s="140">
        <f t="shared" si="569"/>
        <v>0</v>
      </c>
      <c r="R211" s="140">
        <f t="shared" si="569"/>
        <v>0</v>
      </c>
      <c r="S211" s="140">
        <f t="shared" si="569"/>
        <v>0</v>
      </c>
      <c r="T211" s="140">
        <f t="shared" si="569"/>
        <v>0</v>
      </c>
      <c r="U211" s="140">
        <f t="shared" si="569"/>
        <v>0</v>
      </c>
      <c r="V211" s="140">
        <f t="shared" si="569"/>
        <v>0</v>
      </c>
      <c r="W211" s="140">
        <f t="shared" si="569"/>
        <v>0</v>
      </c>
      <c r="X211" s="140">
        <f t="shared" si="569"/>
        <v>0</v>
      </c>
      <c r="Y211" s="140">
        <f t="shared" si="569"/>
        <v>0</v>
      </c>
      <c r="Z211" s="140">
        <f t="shared" si="569"/>
        <v>0</v>
      </c>
      <c r="AA211" s="140">
        <f t="shared" si="569"/>
        <v>0</v>
      </c>
      <c r="AB211" s="140">
        <f t="shared" si="569"/>
        <v>0</v>
      </c>
      <c r="AC211" s="140">
        <f t="shared" si="569"/>
        <v>0</v>
      </c>
      <c r="AD211" s="140">
        <f t="shared" si="569"/>
        <v>0</v>
      </c>
      <c r="AE211" s="140">
        <f t="shared" si="569"/>
        <v>0</v>
      </c>
      <c r="AF211" s="140">
        <f t="shared" si="569"/>
        <v>0</v>
      </c>
      <c r="AG211" s="140">
        <f t="shared" si="569"/>
        <v>0</v>
      </c>
      <c r="AH211" s="140">
        <f t="shared" si="569"/>
        <v>0</v>
      </c>
      <c r="AI211" s="140">
        <f t="shared" si="569"/>
        <v>0</v>
      </c>
      <c r="AJ211" s="140">
        <f t="shared" si="569"/>
        <v>0</v>
      </c>
      <c r="AK211" s="140">
        <f t="shared" si="569"/>
        <v>0</v>
      </c>
      <c r="AL211" s="140">
        <f t="shared" si="569"/>
        <v>0</v>
      </c>
      <c r="AM211" s="140">
        <f t="shared" si="569"/>
        <v>0</v>
      </c>
      <c r="AN211" s="140">
        <f t="shared" si="569"/>
        <v>0</v>
      </c>
      <c r="AO211" s="140">
        <f t="shared" si="569"/>
        <v>0</v>
      </c>
      <c r="AP211" s="140">
        <f t="shared" si="569"/>
        <v>0</v>
      </c>
      <c r="AQ211" s="140">
        <f t="shared" si="569"/>
        <v>0</v>
      </c>
      <c r="AR211" s="140">
        <f t="shared" si="569"/>
        <v>0</v>
      </c>
      <c r="AS211" s="140">
        <f t="shared" si="569"/>
        <v>0</v>
      </c>
      <c r="AT211" s="140">
        <f t="shared" si="569"/>
        <v>0</v>
      </c>
      <c r="AU211" s="140">
        <f t="shared" si="569"/>
        <v>0</v>
      </c>
      <c r="AV211" s="140">
        <f t="shared" si="569"/>
        <v>0</v>
      </c>
      <c r="AW211" s="140">
        <f t="shared" si="569"/>
        <v>0</v>
      </c>
      <c r="AX211" s="140">
        <f t="shared" si="569"/>
        <v>0</v>
      </c>
      <c r="AY211" s="140">
        <f t="shared" si="569"/>
        <v>0</v>
      </c>
      <c r="AZ211" s="140">
        <f t="shared" si="569"/>
        <v>0</v>
      </c>
      <c r="BA211" s="140">
        <f t="shared" si="569"/>
        <v>0</v>
      </c>
      <c r="BB211" s="140">
        <f t="shared" si="569"/>
        <v>0</v>
      </c>
      <c r="BC211" s="140">
        <f t="shared" si="569"/>
        <v>0</v>
      </c>
      <c r="BD211" s="140">
        <f t="shared" si="569"/>
        <v>0</v>
      </c>
      <c r="BE211" s="140">
        <f t="shared" si="569"/>
        <v>0</v>
      </c>
      <c r="BF211" s="140">
        <f t="shared" si="569"/>
        <v>0</v>
      </c>
      <c r="BG211" s="140">
        <f t="shared" si="569"/>
        <v>0</v>
      </c>
      <c r="BH211" s="140">
        <f t="shared" si="569"/>
        <v>0</v>
      </c>
      <c r="BI211" s="140">
        <f t="shared" si="569"/>
        <v>0</v>
      </c>
      <c r="BJ211" s="140">
        <f t="shared" si="569"/>
        <v>0</v>
      </c>
      <c r="BK211" s="140">
        <f t="shared" si="569"/>
        <v>0</v>
      </c>
      <c r="BL211" s="140">
        <f t="shared" si="569"/>
        <v>0</v>
      </c>
      <c r="BM211" s="140">
        <f t="shared" si="569"/>
        <v>0</v>
      </c>
      <c r="BN211" s="140">
        <f t="shared" si="569"/>
        <v>0</v>
      </c>
      <c r="BO211" s="140">
        <f t="shared" ref="BO211:CB211" si="570">IF(BO209&lt;0,0,$B$5+$B$6*((1-EXP(-BO210/$B$9))/(BO210/$B$9))+$B$7*((1-EXP(-BO210/$B$9))/(BO210/$B$9)-EXP(-BO210/$B$9))+$B$8*((1-EXP(-BO210/$B$10))/(BO210/$B$10)-EXP(-BO210/$B$10)))</f>
        <v>0</v>
      </c>
      <c r="BP211" s="140">
        <f t="shared" si="570"/>
        <v>0</v>
      </c>
      <c r="BQ211" s="140">
        <f t="shared" si="570"/>
        <v>0</v>
      </c>
      <c r="BR211" s="140">
        <f t="shared" si="570"/>
        <v>0</v>
      </c>
      <c r="BS211" s="140">
        <f t="shared" si="570"/>
        <v>0</v>
      </c>
      <c r="BT211" s="140">
        <f t="shared" si="570"/>
        <v>0</v>
      </c>
      <c r="BU211" s="140">
        <f t="shared" si="570"/>
        <v>0</v>
      </c>
      <c r="BV211" s="140">
        <f t="shared" si="570"/>
        <v>0</v>
      </c>
      <c r="BW211" s="140">
        <f t="shared" si="570"/>
        <v>0</v>
      </c>
      <c r="BX211" s="140">
        <f t="shared" si="570"/>
        <v>0</v>
      </c>
      <c r="BY211" s="140">
        <f t="shared" si="570"/>
        <v>0</v>
      </c>
      <c r="BZ211" s="140">
        <f t="shared" si="570"/>
        <v>0</v>
      </c>
      <c r="CA211" s="140">
        <f t="shared" si="570"/>
        <v>0</v>
      </c>
      <c r="CB211" s="140">
        <f t="shared" si="570"/>
        <v>0</v>
      </c>
      <c r="CC211" s="17"/>
      <c r="CD211" s="17"/>
      <c r="CE211" s="17"/>
    </row>
    <row r="212" spans="1:134">
      <c r="A212" s="16" t="s">
        <v>44</v>
      </c>
      <c r="B212" s="140">
        <f>EXP(-B211*B210)</f>
        <v>1</v>
      </c>
      <c r="C212" s="140">
        <f t="shared" ref="C212:BN212" si="571">EXP(-C211*C210)</f>
        <v>1</v>
      </c>
      <c r="D212" s="140">
        <f t="shared" si="571"/>
        <v>1</v>
      </c>
      <c r="E212" s="140">
        <f t="shared" si="571"/>
        <v>1</v>
      </c>
      <c r="F212" s="140">
        <f t="shared" si="571"/>
        <v>1</v>
      </c>
      <c r="G212" s="140">
        <f t="shared" si="571"/>
        <v>1</v>
      </c>
      <c r="H212" s="140">
        <f t="shared" si="571"/>
        <v>1</v>
      </c>
      <c r="I212" s="140">
        <f t="shared" si="571"/>
        <v>1</v>
      </c>
      <c r="J212" s="140">
        <f t="shared" si="571"/>
        <v>1</v>
      </c>
      <c r="K212" s="140">
        <f t="shared" si="571"/>
        <v>1</v>
      </c>
      <c r="L212" s="140">
        <f t="shared" si="571"/>
        <v>1</v>
      </c>
      <c r="M212" s="140">
        <f t="shared" si="571"/>
        <v>1</v>
      </c>
      <c r="N212" s="140">
        <f t="shared" si="571"/>
        <v>1</v>
      </c>
      <c r="O212" s="140">
        <f t="shared" si="571"/>
        <v>1</v>
      </c>
      <c r="P212" s="140">
        <f t="shared" si="571"/>
        <v>1</v>
      </c>
      <c r="Q212" s="140">
        <f t="shared" si="571"/>
        <v>1</v>
      </c>
      <c r="R212" s="140">
        <f t="shared" si="571"/>
        <v>1</v>
      </c>
      <c r="S212" s="140">
        <f t="shared" si="571"/>
        <v>1</v>
      </c>
      <c r="T212" s="140">
        <f t="shared" si="571"/>
        <v>1</v>
      </c>
      <c r="U212" s="140">
        <f t="shared" si="571"/>
        <v>1</v>
      </c>
      <c r="V212" s="140">
        <f t="shared" si="571"/>
        <v>1</v>
      </c>
      <c r="W212" s="140">
        <f t="shared" si="571"/>
        <v>1</v>
      </c>
      <c r="X212" s="140">
        <f t="shared" si="571"/>
        <v>1</v>
      </c>
      <c r="Y212" s="140">
        <f t="shared" si="571"/>
        <v>1</v>
      </c>
      <c r="Z212" s="140">
        <f t="shared" si="571"/>
        <v>1</v>
      </c>
      <c r="AA212" s="140">
        <f t="shared" si="571"/>
        <v>1</v>
      </c>
      <c r="AB212" s="140">
        <f t="shared" si="571"/>
        <v>1</v>
      </c>
      <c r="AC212" s="140">
        <f t="shared" si="571"/>
        <v>1</v>
      </c>
      <c r="AD212" s="140">
        <f t="shared" si="571"/>
        <v>1</v>
      </c>
      <c r="AE212" s="140">
        <f t="shared" si="571"/>
        <v>1</v>
      </c>
      <c r="AF212" s="140">
        <f t="shared" si="571"/>
        <v>1</v>
      </c>
      <c r="AG212" s="140">
        <f t="shared" si="571"/>
        <v>1</v>
      </c>
      <c r="AH212" s="140">
        <f t="shared" si="571"/>
        <v>1</v>
      </c>
      <c r="AI212" s="140">
        <f t="shared" si="571"/>
        <v>1</v>
      </c>
      <c r="AJ212" s="140">
        <f t="shared" si="571"/>
        <v>1</v>
      </c>
      <c r="AK212" s="140">
        <f t="shared" si="571"/>
        <v>1</v>
      </c>
      <c r="AL212" s="140">
        <f t="shared" si="571"/>
        <v>1</v>
      </c>
      <c r="AM212" s="140">
        <f t="shared" si="571"/>
        <v>1</v>
      </c>
      <c r="AN212" s="140">
        <f t="shared" si="571"/>
        <v>1</v>
      </c>
      <c r="AO212" s="140">
        <f t="shared" si="571"/>
        <v>1</v>
      </c>
      <c r="AP212" s="140">
        <f t="shared" si="571"/>
        <v>1</v>
      </c>
      <c r="AQ212" s="140">
        <f t="shared" si="571"/>
        <v>1</v>
      </c>
      <c r="AR212" s="140">
        <f t="shared" si="571"/>
        <v>1</v>
      </c>
      <c r="AS212" s="140">
        <f t="shared" si="571"/>
        <v>1</v>
      </c>
      <c r="AT212" s="140">
        <f t="shared" si="571"/>
        <v>1</v>
      </c>
      <c r="AU212" s="140">
        <f t="shared" si="571"/>
        <v>1</v>
      </c>
      <c r="AV212" s="140">
        <f t="shared" si="571"/>
        <v>1</v>
      </c>
      <c r="AW212" s="140">
        <f t="shared" si="571"/>
        <v>1</v>
      </c>
      <c r="AX212" s="140">
        <f t="shared" si="571"/>
        <v>1</v>
      </c>
      <c r="AY212" s="140">
        <f t="shared" si="571"/>
        <v>1</v>
      </c>
      <c r="AZ212" s="140">
        <f t="shared" si="571"/>
        <v>1</v>
      </c>
      <c r="BA212" s="140">
        <f t="shared" si="571"/>
        <v>1</v>
      </c>
      <c r="BB212" s="140">
        <f t="shared" si="571"/>
        <v>1</v>
      </c>
      <c r="BC212" s="140">
        <f t="shared" si="571"/>
        <v>1</v>
      </c>
      <c r="BD212" s="140">
        <f t="shared" si="571"/>
        <v>1</v>
      </c>
      <c r="BE212" s="140">
        <f t="shared" si="571"/>
        <v>1</v>
      </c>
      <c r="BF212" s="140">
        <f t="shared" si="571"/>
        <v>1</v>
      </c>
      <c r="BG212" s="140">
        <f t="shared" si="571"/>
        <v>1</v>
      </c>
      <c r="BH212" s="140">
        <f t="shared" si="571"/>
        <v>1</v>
      </c>
      <c r="BI212" s="140">
        <f t="shared" si="571"/>
        <v>1</v>
      </c>
      <c r="BJ212" s="140">
        <f t="shared" si="571"/>
        <v>1</v>
      </c>
      <c r="BK212" s="140">
        <f t="shared" si="571"/>
        <v>1</v>
      </c>
      <c r="BL212" s="140">
        <f t="shared" si="571"/>
        <v>1</v>
      </c>
      <c r="BM212" s="140">
        <f t="shared" si="571"/>
        <v>1</v>
      </c>
      <c r="BN212" s="140">
        <f t="shared" si="571"/>
        <v>1</v>
      </c>
      <c r="BO212" s="140">
        <f t="shared" ref="BO212:CB212" si="572">EXP(-BO211*BO210)</f>
        <v>1</v>
      </c>
      <c r="BP212" s="140">
        <f t="shared" si="572"/>
        <v>1</v>
      </c>
      <c r="BQ212" s="140">
        <f t="shared" si="572"/>
        <v>1</v>
      </c>
      <c r="BR212" s="140">
        <f t="shared" si="572"/>
        <v>1</v>
      </c>
      <c r="BS212" s="140">
        <f t="shared" si="572"/>
        <v>1</v>
      </c>
      <c r="BT212" s="140">
        <f t="shared" si="572"/>
        <v>1</v>
      </c>
      <c r="BU212" s="140">
        <f t="shared" si="572"/>
        <v>1</v>
      </c>
      <c r="BV212" s="140">
        <f t="shared" si="572"/>
        <v>1</v>
      </c>
      <c r="BW212" s="140">
        <f t="shared" si="572"/>
        <v>1</v>
      </c>
      <c r="BX212" s="140">
        <f t="shared" si="572"/>
        <v>1</v>
      </c>
      <c r="BY212" s="140">
        <f t="shared" si="572"/>
        <v>1</v>
      </c>
      <c r="BZ212" s="140">
        <f t="shared" si="572"/>
        <v>1</v>
      </c>
      <c r="CA212" s="140">
        <f t="shared" si="572"/>
        <v>1</v>
      </c>
      <c r="CB212" s="140">
        <f t="shared" si="572"/>
        <v>1</v>
      </c>
      <c r="CC212" s="17"/>
      <c r="CD212" s="17"/>
      <c r="CE212" s="17"/>
    </row>
    <row r="213" spans="1:134">
      <c r="A213" s="17"/>
      <c r="B213" s="17"/>
      <c r="C213" s="17"/>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c r="AP213" s="17"/>
      <c r="AQ213" s="17"/>
      <c r="AR213" s="17"/>
      <c r="AS213" s="17"/>
      <c r="AT213" s="17"/>
      <c r="AU213" s="17"/>
      <c r="AV213" s="17"/>
      <c r="AW213" s="17"/>
      <c r="AX213" s="17"/>
      <c r="AY213" s="17"/>
      <c r="AZ213" s="17"/>
      <c r="BA213" s="17"/>
      <c r="BB213" s="17"/>
      <c r="BC213" s="17"/>
      <c r="BD213" s="17"/>
      <c r="BE213" s="17"/>
      <c r="BF213" s="17"/>
      <c r="BG213" s="17"/>
      <c r="BH213" s="17"/>
      <c r="BI213" s="17"/>
      <c r="BJ213" s="17"/>
      <c r="BK213" s="17"/>
      <c r="BL213" s="17"/>
      <c r="BM213" s="17"/>
      <c r="BN213" s="17"/>
      <c r="BO213" s="17"/>
      <c r="BP213" s="17"/>
      <c r="BQ213" s="17"/>
      <c r="BR213" s="17"/>
      <c r="BS213" s="17"/>
      <c r="BT213" s="17"/>
      <c r="BU213" s="17"/>
      <c r="BV213" s="17"/>
      <c r="BW213" s="17"/>
      <c r="BX213" s="17"/>
      <c r="BY213" s="17"/>
      <c r="BZ213" s="17"/>
      <c r="CA213" s="17"/>
      <c r="CB213" s="17"/>
      <c r="CC213" s="17"/>
      <c r="CD213" s="17"/>
      <c r="CE213" s="17"/>
    </row>
    <row r="214" spans="1:134">
      <c r="A214" s="16" t="s">
        <v>45</v>
      </c>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7"/>
      <c r="CD214" s="17"/>
      <c r="CE214" s="17"/>
    </row>
    <row r="215" spans="1:134">
      <c r="A215" s="18" t="str">
        <f>A31</f>
        <v>Bond 1</v>
      </c>
      <c r="B215" s="18">
        <f t="shared" ref="B215:BM215" si="573">B31*B87</f>
        <v>2.243171416892991</v>
      </c>
      <c r="C215" s="18">
        <f t="shared" si="573"/>
        <v>101.45973786069628</v>
      </c>
      <c r="D215" s="18">
        <f t="shared" si="573"/>
        <v>0</v>
      </c>
      <c r="E215" s="18">
        <f t="shared" si="573"/>
        <v>0</v>
      </c>
      <c r="F215" s="18">
        <f t="shared" si="573"/>
        <v>0</v>
      </c>
      <c r="G215" s="18">
        <f t="shared" si="573"/>
        <v>0</v>
      </c>
      <c r="H215" s="18">
        <f t="shared" si="573"/>
        <v>0</v>
      </c>
      <c r="I215" s="18">
        <f t="shared" si="573"/>
        <v>0</v>
      </c>
      <c r="J215" s="18">
        <f t="shared" si="573"/>
        <v>0</v>
      </c>
      <c r="K215" s="18">
        <f t="shared" si="573"/>
        <v>0</v>
      </c>
      <c r="L215" s="18">
        <f t="shared" si="573"/>
        <v>0</v>
      </c>
      <c r="M215" s="18">
        <f t="shared" si="573"/>
        <v>0</v>
      </c>
      <c r="N215" s="18">
        <f t="shared" si="573"/>
        <v>0</v>
      </c>
      <c r="O215" s="18">
        <f t="shared" si="573"/>
        <v>0</v>
      </c>
      <c r="P215" s="18">
        <f t="shared" si="573"/>
        <v>0</v>
      </c>
      <c r="Q215" s="18">
        <f t="shared" si="573"/>
        <v>0</v>
      </c>
      <c r="R215" s="18">
        <f t="shared" si="573"/>
        <v>0</v>
      </c>
      <c r="S215" s="18">
        <f t="shared" si="573"/>
        <v>0</v>
      </c>
      <c r="T215" s="18">
        <f t="shared" si="573"/>
        <v>0</v>
      </c>
      <c r="U215" s="18">
        <f t="shared" si="573"/>
        <v>0</v>
      </c>
      <c r="V215" s="18">
        <f t="shared" si="573"/>
        <v>0</v>
      </c>
      <c r="W215" s="18">
        <f t="shared" si="573"/>
        <v>0</v>
      </c>
      <c r="X215" s="18">
        <f t="shared" si="573"/>
        <v>0</v>
      </c>
      <c r="Y215" s="18">
        <f t="shared" si="573"/>
        <v>0</v>
      </c>
      <c r="Z215" s="18">
        <f t="shared" si="573"/>
        <v>0</v>
      </c>
      <c r="AA215" s="18">
        <f t="shared" si="573"/>
        <v>0</v>
      </c>
      <c r="AB215" s="18">
        <f t="shared" si="573"/>
        <v>0</v>
      </c>
      <c r="AC215" s="18">
        <f t="shared" si="573"/>
        <v>0</v>
      </c>
      <c r="AD215" s="18">
        <f t="shared" si="573"/>
        <v>0</v>
      </c>
      <c r="AE215" s="18">
        <f t="shared" si="573"/>
        <v>0</v>
      </c>
      <c r="AF215" s="18">
        <f t="shared" si="573"/>
        <v>0</v>
      </c>
      <c r="AG215" s="18">
        <f t="shared" si="573"/>
        <v>0</v>
      </c>
      <c r="AH215" s="18">
        <f t="shared" si="573"/>
        <v>0</v>
      </c>
      <c r="AI215" s="18">
        <f t="shared" si="573"/>
        <v>0</v>
      </c>
      <c r="AJ215" s="18">
        <f t="shared" si="573"/>
        <v>0</v>
      </c>
      <c r="AK215" s="18">
        <f t="shared" si="573"/>
        <v>0</v>
      </c>
      <c r="AL215" s="18">
        <f t="shared" si="573"/>
        <v>0</v>
      </c>
      <c r="AM215" s="18">
        <f t="shared" si="573"/>
        <v>0</v>
      </c>
      <c r="AN215" s="18">
        <f t="shared" si="573"/>
        <v>0</v>
      </c>
      <c r="AO215" s="18">
        <f t="shared" si="573"/>
        <v>0</v>
      </c>
      <c r="AP215" s="18">
        <f t="shared" si="573"/>
        <v>0</v>
      </c>
      <c r="AQ215" s="18">
        <f t="shared" si="573"/>
        <v>0</v>
      </c>
      <c r="AR215" s="18">
        <f t="shared" si="573"/>
        <v>0</v>
      </c>
      <c r="AS215" s="18">
        <f t="shared" si="573"/>
        <v>0</v>
      </c>
      <c r="AT215" s="18">
        <f t="shared" si="573"/>
        <v>0</v>
      </c>
      <c r="AU215" s="18">
        <f t="shared" si="573"/>
        <v>0</v>
      </c>
      <c r="AV215" s="18">
        <f t="shared" si="573"/>
        <v>0</v>
      </c>
      <c r="AW215" s="18">
        <f t="shared" si="573"/>
        <v>0</v>
      </c>
      <c r="AX215" s="18">
        <f t="shared" si="573"/>
        <v>0</v>
      </c>
      <c r="AY215" s="18">
        <f t="shared" si="573"/>
        <v>0</v>
      </c>
      <c r="AZ215" s="18">
        <f t="shared" si="573"/>
        <v>0</v>
      </c>
      <c r="BA215" s="18">
        <f t="shared" si="573"/>
        <v>0</v>
      </c>
      <c r="BB215" s="18">
        <f t="shared" si="573"/>
        <v>0</v>
      </c>
      <c r="BC215" s="18">
        <f t="shared" si="573"/>
        <v>0</v>
      </c>
      <c r="BD215" s="18">
        <f t="shared" si="573"/>
        <v>0</v>
      </c>
      <c r="BE215" s="18">
        <f t="shared" si="573"/>
        <v>0</v>
      </c>
      <c r="BF215" s="18">
        <f t="shared" si="573"/>
        <v>0</v>
      </c>
      <c r="BG215" s="18">
        <f t="shared" si="573"/>
        <v>0</v>
      </c>
      <c r="BH215" s="18">
        <f t="shared" si="573"/>
        <v>0</v>
      </c>
      <c r="BI215" s="18">
        <f t="shared" si="573"/>
        <v>0</v>
      </c>
      <c r="BJ215" s="18">
        <f t="shared" si="573"/>
        <v>0</v>
      </c>
      <c r="BK215" s="18">
        <f t="shared" si="573"/>
        <v>0</v>
      </c>
      <c r="BL215" s="18">
        <f t="shared" si="573"/>
        <v>0</v>
      </c>
      <c r="BM215" s="18">
        <f t="shared" si="573"/>
        <v>0</v>
      </c>
      <c r="BN215" s="18">
        <f t="shared" ref="BN215:CB215" si="574">BN31*BN87</f>
        <v>0</v>
      </c>
      <c r="BO215" s="18">
        <f t="shared" si="574"/>
        <v>0</v>
      </c>
      <c r="BP215" s="18">
        <f t="shared" si="574"/>
        <v>0</v>
      </c>
      <c r="BQ215" s="18">
        <f t="shared" si="574"/>
        <v>0</v>
      </c>
      <c r="BR215" s="18">
        <f t="shared" si="574"/>
        <v>0</v>
      </c>
      <c r="BS215" s="18">
        <f t="shared" si="574"/>
        <v>0</v>
      </c>
      <c r="BT215" s="18">
        <f t="shared" si="574"/>
        <v>0</v>
      </c>
      <c r="BU215" s="18">
        <f t="shared" si="574"/>
        <v>0</v>
      </c>
      <c r="BV215" s="18">
        <f t="shared" si="574"/>
        <v>0</v>
      </c>
      <c r="BW215" s="18">
        <f t="shared" si="574"/>
        <v>0</v>
      </c>
      <c r="BX215" s="18">
        <f t="shared" si="574"/>
        <v>0</v>
      </c>
      <c r="BY215" s="18">
        <f t="shared" si="574"/>
        <v>0</v>
      </c>
      <c r="BZ215" s="18">
        <f t="shared" si="574"/>
        <v>0</v>
      </c>
      <c r="CA215" s="18">
        <f t="shared" si="574"/>
        <v>0</v>
      </c>
      <c r="CB215" s="18">
        <f t="shared" si="574"/>
        <v>0</v>
      </c>
      <c r="CC215" s="17"/>
      <c r="CD215" s="17"/>
      <c r="CE215" s="17"/>
    </row>
    <row r="216" spans="1:134">
      <c r="A216" s="18" t="str">
        <f>A33</f>
        <v>Bond 2</v>
      </c>
      <c r="B216" s="18">
        <f t="shared" ref="B216:BM216" si="575">B33*B92</f>
        <v>2.8638947922121876</v>
      </c>
      <c r="C216" s="18">
        <f t="shared" si="575"/>
        <v>2.8505671605260754</v>
      </c>
      <c r="D216" s="18">
        <f t="shared" si="575"/>
        <v>2.8380361878821594</v>
      </c>
      <c r="E216" s="18">
        <f t="shared" si="575"/>
        <v>101.09439608550123</v>
      </c>
      <c r="F216" s="18">
        <f t="shared" si="575"/>
        <v>0</v>
      </c>
      <c r="G216" s="18">
        <f t="shared" si="575"/>
        <v>0</v>
      </c>
      <c r="H216" s="18">
        <f t="shared" si="575"/>
        <v>0</v>
      </c>
      <c r="I216" s="18">
        <f t="shared" si="575"/>
        <v>0</v>
      </c>
      <c r="J216" s="18">
        <f t="shared" si="575"/>
        <v>0</v>
      </c>
      <c r="K216" s="18">
        <f t="shared" si="575"/>
        <v>0</v>
      </c>
      <c r="L216" s="18">
        <f t="shared" si="575"/>
        <v>0</v>
      </c>
      <c r="M216" s="18">
        <f t="shared" si="575"/>
        <v>0</v>
      </c>
      <c r="N216" s="18">
        <f t="shared" si="575"/>
        <v>0</v>
      </c>
      <c r="O216" s="18">
        <f t="shared" si="575"/>
        <v>0</v>
      </c>
      <c r="P216" s="18">
        <f t="shared" si="575"/>
        <v>0</v>
      </c>
      <c r="Q216" s="18">
        <f t="shared" si="575"/>
        <v>0</v>
      </c>
      <c r="R216" s="18">
        <f t="shared" si="575"/>
        <v>0</v>
      </c>
      <c r="S216" s="18">
        <f t="shared" si="575"/>
        <v>0</v>
      </c>
      <c r="T216" s="18">
        <f t="shared" si="575"/>
        <v>0</v>
      </c>
      <c r="U216" s="18">
        <f t="shared" si="575"/>
        <v>0</v>
      </c>
      <c r="V216" s="18">
        <f t="shared" si="575"/>
        <v>0</v>
      </c>
      <c r="W216" s="18">
        <f t="shared" si="575"/>
        <v>0</v>
      </c>
      <c r="X216" s="18">
        <f t="shared" si="575"/>
        <v>0</v>
      </c>
      <c r="Y216" s="18">
        <f t="shared" si="575"/>
        <v>0</v>
      </c>
      <c r="Z216" s="18">
        <f t="shared" si="575"/>
        <v>0</v>
      </c>
      <c r="AA216" s="18">
        <f t="shared" si="575"/>
        <v>0</v>
      </c>
      <c r="AB216" s="18">
        <f t="shared" si="575"/>
        <v>0</v>
      </c>
      <c r="AC216" s="18">
        <f t="shared" si="575"/>
        <v>0</v>
      </c>
      <c r="AD216" s="18">
        <f t="shared" si="575"/>
        <v>0</v>
      </c>
      <c r="AE216" s="18">
        <f t="shared" si="575"/>
        <v>0</v>
      </c>
      <c r="AF216" s="18">
        <f t="shared" si="575"/>
        <v>0</v>
      </c>
      <c r="AG216" s="18">
        <f t="shared" si="575"/>
        <v>0</v>
      </c>
      <c r="AH216" s="18">
        <f t="shared" si="575"/>
        <v>0</v>
      </c>
      <c r="AI216" s="18">
        <f t="shared" si="575"/>
        <v>0</v>
      </c>
      <c r="AJ216" s="18">
        <f t="shared" si="575"/>
        <v>0</v>
      </c>
      <c r="AK216" s="18">
        <f t="shared" si="575"/>
        <v>0</v>
      </c>
      <c r="AL216" s="18">
        <f t="shared" si="575"/>
        <v>0</v>
      </c>
      <c r="AM216" s="18">
        <f t="shared" si="575"/>
        <v>0</v>
      </c>
      <c r="AN216" s="18">
        <f t="shared" si="575"/>
        <v>0</v>
      </c>
      <c r="AO216" s="18">
        <f t="shared" si="575"/>
        <v>0</v>
      </c>
      <c r="AP216" s="18">
        <f t="shared" si="575"/>
        <v>0</v>
      </c>
      <c r="AQ216" s="18">
        <f t="shared" si="575"/>
        <v>0</v>
      </c>
      <c r="AR216" s="18">
        <f t="shared" si="575"/>
        <v>0</v>
      </c>
      <c r="AS216" s="18">
        <f t="shared" si="575"/>
        <v>0</v>
      </c>
      <c r="AT216" s="18">
        <f t="shared" si="575"/>
        <v>0</v>
      </c>
      <c r="AU216" s="18">
        <f t="shared" si="575"/>
        <v>0</v>
      </c>
      <c r="AV216" s="18">
        <f t="shared" si="575"/>
        <v>0</v>
      </c>
      <c r="AW216" s="18">
        <f t="shared" si="575"/>
        <v>0</v>
      </c>
      <c r="AX216" s="18">
        <f t="shared" si="575"/>
        <v>0</v>
      </c>
      <c r="AY216" s="18">
        <f t="shared" si="575"/>
        <v>0</v>
      </c>
      <c r="AZ216" s="18">
        <f t="shared" si="575"/>
        <v>0</v>
      </c>
      <c r="BA216" s="18">
        <f t="shared" si="575"/>
        <v>0</v>
      </c>
      <c r="BB216" s="18">
        <f t="shared" si="575"/>
        <v>0</v>
      </c>
      <c r="BC216" s="18">
        <f t="shared" si="575"/>
        <v>0</v>
      </c>
      <c r="BD216" s="18">
        <f t="shared" si="575"/>
        <v>0</v>
      </c>
      <c r="BE216" s="18">
        <f t="shared" si="575"/>
        <v>0</v>
      </c>
      <c r="BF216" s="18">
        <f t="shared" si="575"/>
        <v>0</v>
      </c>
      <c r="BG216" s="18">
        <f t="shared" si="575"/>
        <v>0</v>
      </c>
      <c r="BH216" s="18">
        <f t="shared" si="575"/>
        <v>0</v>
      </c>
      <c r="BI216" s="18">
        <f t="shared" si="575"/>
        <v>0</v>
      </c>
      <c r="BJ216" s="18">
        <f t="shared" si="575"/>
        <v>0</v>
      </c>
      <c r="BK216" s="18">
        <f t="shared" si="575"/>
        <v>0</v>
      </c>
      <c r="BL216" s="18">
        <f t="shared" si="575"/>
        <v>0</v>
      </c>
      <c r="BM216" s="18">
        <f t="shared" si="575"/>
        <v>0</v>
      </c>
      <c r="BN216" s="18">
        <f t="shared" ref="BN216:CB216" si="576">BN33*BN92</f>
        <v>0</v>
      </c>
      <c r="BO216" s="18">
        <f t="shared" si="576"/>
        <v>0</v>
      </c>
      <c r="BP216" s="18">
        <f t="shared" si="576"/>
        <v>0</v>
      </c>
      <c r="BQ216" s="18">
        <f t="shared" si="576"/>
        <v>0</v>
      </c>
      <c r="BR216" s="18">
        <f t="shared" si="576"/>
        <v>0</v>
      </c>
      <c r="BS216" s="18">
        <f t="shared" si="576"/>
        <v>0</v>
      </c>
      <c r="BT216" s="18">
        <f t="shared" si="576"/>
        <v>0</v>
      </c>
      <c r="BU216" s="18">
        <f t="shared" si="576"/>
        <v>0</v>
      </c>
      <c r="BV216" s="18">
        <f t="shared" si="576"/>
        <v>0</v>
      </c>
      <c r="BW216" s="18">
        <f t="shared" si="576"/>
        <v>0</v>
      </c>
      <c r="BX216" s="18">
        <f t="shared" si="576"/>
        <v>0</v>
      </c>
      <c r="BY216" s="18">
        <f t="shared" si="576"/>
        <v>0</v>
      </c>
      <c r="BZ216" s="18">
        <f t="shared" si="576"/>
        <v>0</v>
      </c>
      <c r="CA216" s="18">
        <f t="shared" si="576"/>
        <v>0</v>
      </c>
      <c r="CB216" s="18">
        <f t="shared" si="576"/>
        <v>0</v>
      </c>
      <c r="CC216" s="17"/>
      <c r="CD216" s="17"/>
      <c r="CE216" s="17"/>
      <c r="CH216" s="11"/>
      <c r="CI216" s="11"/>
      <c r="CJ216" s="11"/>
      <c r="CK216" s="11"/>
      <c r="CL216" s="11"/>
      <c r="CM216" s="11"/>
      <c r="CN216" s="11"/>
      <c r="CO216" s="11"/>
      <c r="CP216" s="11"/>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11"/>
      <c r="DM216" s="11"/>
      <c r="DN216" s="11"/>
      <c r="DO216" s="11"/>
      <c r="DP216" s="11"/>
      <c r="DQ216" s="11"/>
      <c r="DR216" s="11"/>
      <c r="DS216" s="11"/>
      <c r="DT216" s="11"/>
      <c r="DU216" s="11"/>
      <c r="DV216" s="11"/>
      <c r="DW216" s="11"/>
      <c r="DX216" s="11"/>
      <c r="DY216" s="11"/>
      <c r="DZ216" s="11"/>
      <c r="EA216" s="11"/>
      <c r="EB216" s="11"/>
      <c r="EC216" s="11"/>
      <c r="ED216" s="11"/>
    </row>
    <row r="217" spans="1:134">
      <c r="A217" s="18" t="str">
        <f>A35</f>
        <v>Bond 3</v>
      </c>
      <c r="B217" s="18">
        <f t="shared" ref="B217:BM217" si="577">B35*B97</f>
        <v>2.8738430775958097</v>
      </c>
      <c r="C217" s="18">
        <f t="shared" si="577"/>
        <v>2.8594491584407185</v>
      </c>
      <c r="D217" s="18">
        <f t="shared" si="577"/>
        <v>2.8464074760041567</v>
      </c>
      <c r="E217" s="18">
        <f t="shared" si="577"/>
        <v>2.8339790248294827</v>
      </c>
      <c r="F217" s="18">
        <f t="shared" si="577"/>
        <v>2.8209470960483274</v>
      </c>
      <c r="G217" s="18">
        <f t="shared" si="577"/>
        <v>2.8074801121521498</v>
      </c>
      <c r="H217" s="18">
        <f t="shared" si="577"/>
        <v>99.932289772401802</v>
      </c>
      <c r="I217" s="18">
        <f t="shared" si="577"/>
        <v>0</v>
      </c>
      <c r="J217" s="18">
        <f t="shared" si="577"/>
        <v>0</v>
      </c>
      <c r="K217" s="18">
        <f t="shared" si="577"/>
        <v>0</v>
      </c>
      <c r="L217" s="18">
        <f t="shared" si="577"/>
        <v>0</v>
      </c>
      <c r="M217" s="18">
        <f t="shared" si="577"/>
        <v>0</v>
      </c>
      <c r="N217" s="18">
        <f t="shared" si="577"/>
        <v>0</v>
      </c>
      <c r="O217" s="18">
        <f t="shared" si="577"/>
        <v>0</v>
      </c>
      <c r="P217" s="18">
        <f t="shared" si="577"/>
        <v>0</v>
      </c>
      <c r="Q217" s="18">
        <f t="shared" si="577"/>
        <v>0</v>
      </c>
      <c r="R217" s="18">
        <f t="shared" si="577"/>
        <v>0</v>
      </c>
      <c r="S217" s="18">
        <f t="shared" si="577"/>
        <v>0</v>
      </c>
      <c r="T217" s="18">
        <f t="shared" si="577"/>
        <v>0</v>
      </c>
      <c r="U217" s="18">
        <f t="shared" si="577"/>
        <v>0</v>
      </c>
      <c r="V217" s="18">
        <f t="shared" si="577"/>
        <v>0</v>
      </c>
      <c r="W217" s="18">
        <f t="shared" si="577"/>
        <v>0</v>
      </c>
      <c r="X217" s="18">
        <f t="shared" si="577"/>
        <v>0</v>
      </c>
      <c r="Y217" s="18">
        <f t="shared" si="577"/>
        <v>0</v>
      </c>
      <c r="Z217" s="18">
        <f t="shared" si="577"/>
        <v>0</v>
      </c>
      <c r="AA217" s="18">
        <f t="shared" si="577"/>
        <v>0</v>
      </c>
      <c r="AB217" s="18">
        <f t="shared" si="577"/>
        <v>0</v>
      </c>
      <c r="AC217" s="18">
        <f t="shared" si="577"/>
        <v>0</v>
      </c>
      <c r="AD217" s="18">
        <f t="shared" si="577"/>
        <v>0</v>
      </c>
      <c r="AE217" s="18">
        <f t="shared" si="577"/>
        <v>0</v>
      </c>
      <c r="AF217" s="18">
        <f t="shared" si="577"/>
        <v>0</v>
      </c>
      <c r="AG217" s="18">
        <f t="shared" si="577"/>
        <v>0</v>
      </c>
      <c r="AH217" s="18">
        <f t="shared" si="577"/>
        <v>0</v>
      </c>
      <c r="AI217" s="18">
        <f t="shared" si="577"/>
        <v>0</v>
      </c>
      <c r="AJ217" s="18">
        <f t="shared" si="577"/>
        <v>0</v>
      </c>
      <c r="AK217" s="18">
        <f t="shared" si="577"/>
        <v>0</v>
      </c>
      <c r="AL217" s="18">
        <f t="shared" si="577"/>
        <v>0</v>
      </c>
      <c r="AM217" s="18">
        <f t="shared" si="577"/>
        <v>0</v>
      </c>
      <c r="AN217" s="18">
        <f t="shared" si="577"/>
        <v>0</v>
      </c>
      <c r="AO217" s="18">
        <f t="shared" si="577"/>
        <v>0</v>
      </c>
      <c r="AP217" s="18">
        <f t="shared" si="577"/>
        <v>0</v>
      </c>
      <c r="AQ217" s="18">
        <f t="shared" si="577"/>
        <v>0</v>
      </c>
      <c r="AR217" s="18">
        <f t="shared" si="577"/>
        <v>0</v>
      </c>
      <c r="AS217" s="18">
        <f t="shared" si="577"/>
        <v>0</v>
      </c>
      <c r="AT217" s="18">
        <f t="shared" si="577"/>
        <v>0</v>
      </c>
      <c r="AU217" s="18">
        <f t="shared" si="577"/>
        <v>0</v>
      </c>
      <c r="AV217" s="18">
        <f t="shared" si="577"/>
        <v>0</v>
      </c>
      <c r="AW217" s="18">
        <f t="shared" si="577"/>
        <v>0</v>
      </c>
      <c r="AX217" s="18">
        <f t="shared" si="577"/>
        <v>0</v>
      </c>
      <c r="AY217" s="18">
        <f t="shared" si="577"/>
        <v>0</v>
      </c>
      <c r="AZ217" s="18">
        <f t="shared" si="577"/>
        <v>0</v>
      </c>
      <c r="BA217" s="18">
        <f t="shared" si="577"/>
        <v>0</v>
      </c>
      <c r="BB217" s="18">
        <f t="shared" si="577"/>
        <v>0</v>
      </c>
      <c r="BC217" s="18">
        <f t="shared" si="577"/>
        <v>0</v>
      </c>
      <c r="BD217" s="18">
        <f t="shared" si="577"/>
        <v>0</v>
      </c>
      <c r="BE217" s="18">
        <f t="shared" si="577"/>
        <v>0</v>
      </c>
      <c r="BF217" s="18">
        <f t="shared" si="577"/>
        <v>0</v>
      </c>
      <c r="BG217" s="18">
        <f t="shared" si="577"/>
        <v>0</v>
      </c>
      <c r="BH217" s="18">
        <f t="shared" si="577"/>
        <v>0</v>
      </c>
      <c r="BI217" s="18">
        <f t="shared" si="577"/>
        <v>0</v>
      </c>
      <c r="BJ217" s="18">
        <f t="shared" si="577"/>
        <v>0</v>
      </c>
      <c r="BK217" s="18">
        <f t="shared" si="577"/>
        <v>0</v>
      </c>
      <c r="BL217" s="18">
        <f t="shared" si="577"/>
        <v>0</v>
      </c>
      <c r="BM217" s="18">
        <f t="shared" si="577"/>
        <v>0</v>
      </c>
      <c r="BN217" s="18">
        <f t="shared" ref="BN217:CB217" si="578">BN35*BN97</f>
        <v>0</v>
      </c>
      <c r="BO217" s="18">
        <f t="shared" si="578"/>
        <v>0</v>
      </c>
      <c r="BP217" s="18">
        <f t="shared" si="578"/>
        <v>0</v>
      </c>
      <c r="BQ217" s="18">
        <f t="shared" si="578"/>
        <v>0</v>
      </c>
      <c r="BR217" s="18">
        <f t="shared" si="578"/>
        <v>0</v>
      </c>
      <c r="BS217" s="18">
        <f t="shared" si="578"/>
        <v>0</v>
      </c>
      <c r="BT217" s="18">
        <f t="shared" si="578"/>
        <v>0</v>
      </c>
      <c r="BU217" s="18">
        <f t="shared" si="578"/>
        <v>0</v>
      </c>
      <c r="BV217" s="18">
        <f t="shared" si="578"/>
        <v>0</v>
      </c>
      <c r="BW217" s="18">
        <f t="shared" si="578"/>
        <v>0</v>
      </c>
      <c r="BX217" s="18">
        <f t="shared" si="578"/>
        <v>0</v>
      </c>
      <c r="BY217" s="18">
        <f t="shared" si="578"/>
        <v>0</v>
      </c>
      <c r="BZ217" s="18">
        <f t="shared" si="578"/>
        <v>0</v>
      </c>
      <c r="CA217" s="18">
        <f t="shared" si="578"/>
        <v>0</v>
      </c>
      <c r="CB217" s="18">
        <f t="shared" si="578"/>
        <v>0</v>
      </c>
      <c r="CC217" s="17"/>
      <c r="CD217" s="17"/>
      <c r="CE217" s="17"/>
      <c r="CH217" s="11"/>
      <c r="CI217" s="11"/>
      <c r="CJ217" s="11"/>
      <c r="CK217" s="11"/>
      <c r="CL217" s="11"/>
      <c r="CM217" s="11"/>
      <c r="CN217" s="11"/>
      <c r="CO217" s="11"/>
      <c r="CP217" s="11"/>
      <c r="CQ217" s="11"/>
      <c r="CR217" s="11"/>
      <c r="CS217" s="11"/>
      <c r="CT217" s="11"/>
      <c r="CU217" s="11"/>
      <c r="CV217" s="11"/>
      <c r="CW217" s="11"/>
      <c r="CX217" s="11"/>
      <c r="CY217" s="11"/>
      <c r="CZ217" s="11"/>
      <c r="DA217" s="11"/>
      <c r="DB217" s="11"/>
      <c r="DC217" s="11"/>
      <c r="DD217" s="11"/>
      <c r="DE217" s="11"/>
      <c r="DF217" s="11"/>
      <c r="DG217" s="11"/>
      <c r="DH217" s="11"/>
      <c r="DI217" s="11"/>
      <c r="DJ217" s="11"/>
      <c r="DK217" s="11"/>
      <c r="DL217" s="11"/>
      <c r="DM217" s="11"/>
      <c r="DN217" s="11"/>
      <c r="DO217" s="11"/>
      <c r="DP217" s="11"/>
      <c r="DQ217" s="11"/>
      <c r="DR217" s="11"/>
      <c r="DS217" s="11"/>
      <c r="DT217" s="11"/>
      <c r="DU217" s="11"/>
      <c r="DV217" s="11"/>
      <c r="DW217" s="11"/>
      <c r="DX217" s="11"/>
      <c r="DY217" s="11"/>
      <c r="DZ217" s="11"/>
      <c r="EA217" s="11"/>
      <c r="EB217" s="11"/>
      <c r="EC217" s="11"/>
      <c r="ED217" s="11"/>
    </row>
    <row r="218" spans="1:134">
      <c r="A218" s="18" t="str">
        <f>A37</f>
        <v>Bond 4</v>
      </c>
      <c r="B218" s="18">
        <f t="shared" ref="B218:BM218" si="579">B37*B102</f>
        <v>2.7411939431740859</v>
      </c>
      <c r="C218" s="18">
        <f t="shared" si="579"/>
        <v>2.7283345869034576</v>
      </c>
      <c r="D218" s="18">
        <f t="shared" si="579"/>
        <v>2.7162435925639667</v>
      </c>
      <c r="E218" s="18">
        <f t="shared" si="579"/>
        <v>2.7041204938455339</v>
      </c>
      <c r="F218" s="18">
        <f t="shared" si="579"/>
        <v>2.6914506326483973</v>
      </c>
      <c r="G218" s="18">
        <f t="shared" si="579"/>
        <v>2.6779561639087373</v>
      </c>
      <c r="H218" s="18">
        <f t="shared" si="579"/>
        <v>2.6635110928771106</v>
      </c>
      <c r="I218" s="18">
        <f t="shared" si="579"/>
        <v>98.942048006111577</v>
      </c>
      <c r="J218" s="18">
        <f t="shared" si="579"/>
        <v>0</v>
      </c>
      <c r="K218" s="18">
        <f t="shared" si="579"/>
        <v>0</v>
      </c>
      <c r="L218" s="18">
        <f t="shared" si="579"/>
        <v>0</v>
      </c>
      <c r="M218" s="18">
        <f t="shared" si="579"/>
        <v>0</v>
      </c>
      <c r="N218" s="18">
        <f t="shared" si="579"/>
        <v>0</v>
      </c>
      <c r="O218" s="18">
        <f t="shared" si="579"/>
        <v>0</v>
      </c>
      <c r="P218" s="18">
        <f t="shared" si="579"/>
        <v>0</v>
      </c>
      <c r="Q218" s="18">
        <f t="shared" si="579"/>
        <v>0</v>
      </c>
      <c r="R218" s="18">
        <f t="shared" si="579"/>
        <v>0</v>
      </c>
      <c r="S218" s="18">
        <f t="shared" si="579"/>
        <v>0</v>
      </c>
      <c r="T218" s="18">
        <f t="shared" si="579"/>
        <v>0</v>
      </c>
      <c r="U218" s="18">
        <f t="shared" si="579"/>
        <v>0</v>
      </c>
      <c r="V218" s="18">
        <f t="shared" si="579"/>
        <v>0</v>
      </c>
      <c r="W218" s="18">
        <f t="shared" si="579"/>
        <v>0</v>
      </c>
      <c r="X218" s="18">
        <f t="shared" si="579"/>
        <v>0</v>
      </c>
      <c r="Y218" s="18">
        <f t="shared" si="579"/>
        <v>0</v>
      </c>
      <c r="Z218" s="18">
        <f t="shared" si="579"/>
        <v>0</v>
      </c>
      <c r="AA218" s="18">
        <f t="shared" si="579"/>
        <v>0</v>
      </c>
      <c r="AB218" s="18">
        <f t="shared" si="579"/>
        <v>0</v>
      </c>
      <c r="AC218" s="18">
        <f t="shared" si="579"/>
        <v>0</v>
      </c>
      <c r="AD218" s="18">
        <f t="shared" si="579"/>
        <v>0</v>
      </c>
      <c r="AE218" s="18">
        <f t="shared" si="579"/>
        <v>0</v>
      </c>
      <c r="AF218" s="18">
        <f t="shared" si="579"/>
        <v>0</v>
      </c>
      <c r="AG218" s="18">
        <f t="shared" si="579"/>
        <v>0</v>
      </c>
      <c r="AH218" s="18">
        <f t="shared" si="579"/>
        <v>0</v>
      </c>
      <c r="AI218" s="18">
        <f t="shared" si="579"/>
        <v>0</v>
      </c>
      <c r="AJ218" s="18">
        <f t="shared" si="579"/>
        <v>0</v>
      </c>
      <c r="AK218" s="18">
        <f t="shared" si="579"/>
        <v>0</v>
      </c>
      <c r="AL218" s="18">
        <f t="shared" si="579"/>
        <v>0</v>
      </c>
      <c r="AM218" s="18">
        <f t="shared" si="579"/>
        <v>0</v>
      </c>
      <c r="AN218" s="18">
        <f t="shared" si="579"/>
        <v>0</v>
      </c>
      <c r="AO218" s="18">
        <f t="shared" si="579"/>
        <v>0</v>
      </c>
      <c r="AP218" s="18">
        <f t="shared" si="579"/>
        <v>0</v>
      </c>
      <c r="AQ218" s="18">
        <f t="shared" si="579"/>
        <v>0</v>
      </c>
      <c r="AR218" s="18">
        <f t="shared" si="579"/>
        <v>0</v>
      </c>
      <c r="AS218" s="18">
        <f t="shared" si="579"/>
        <v>0</v>
      </c>
      <c r="AT218" s="18">
        <f t="shared" si="579"/>
        <v>0</v>
      </c>
      <c r="AU218" s="18">
        <f t="shared" si="579"/>
        <v>0</v>
      </c>
      <c r="AV218" s="18">
        <f t="shared" si="579"/>
        <v>0</v>
      </c>
      <c r="AW218" s="18">
        <f t="shared" si="579"/>
        <v>0</v>
      </c>
      <c r="AX218" s="18">
        <f t="shared" si="579"/>
        <v>0</v>
      </c>
      <c r="AY218" s="18">
        <f t="shared" si="579"/>
        <v>0</v>
      </c>
      <c r="AZ218" s="18">
        <f t="shared" si="579"/>
        <v>0</v>
      </c>
      <c r="BA218" s="18">
        <f t="shared" si="579"/>
        <v>0</v>
      </c>
      <c r="BB218" s="18">
        <f t="shared" si="579"/>
        <v>0</v>
      </c>
      <c r="BC218" s="18">
        <f t="shared" si="579"/>
        <v>0</v>
      </c>
      <c r="BD218" s="18">
        <f t="shared" si="579"/>
        <v>0</v>
      </c>
      <c r="BE218" s="18">
        <f t="shared" si="579"/>
        <v>0</v>
      </c>
      <c r="BF218" s="18">
        <f t="shared" si="579"/>
        <v>0</v>
      </c>
      <c r="BG218" s="18">
        <f t="shared" si="579"/>
        <v>0</v>
      </c>
      <c r="BH218" s="18">
        <f t="shared" si="579"/>
        <v>0</v>
      </c>
      <c r="BI218" s="18">
        <f t="shared" si="579"/>
        <v>0</v>
      </c>
      <c r="BJ218" s="18">
        <f t="shared" si="579"/>
        <v>0</v>
      </c>
      <c r="BK218" s="18">
        <f t="shared" si="579"/>
        <v>0</v>
      </c>
      <c r="BL218" s="18">
        <f t="shared" si="579"/>
        <v>0</v>
      </c>
      <c r="BM218" s="18">
        <f t="shared" si="579"/>
        <v>0</v>
      </c>
      <c r="BN218" s="18">
        <f t="shared" ref="BN218:CB218" si="580">BN37*BN102</f>
        <v>0</v>
      </c>
      <c r="BO218" s="18">
        <f t="shared" si="580"/>
        <v>0</v>
      </c>
      <c r="BP218" s="18">
        <f t="shared" si="580"/>
        <v>0</v>
      </c>
      <c r="BQ218" s="18">
        <f t="shared" si="580"/>
        <v>0</v>
      </c>
      <c r="BR218" s="18">
        <f t="shared" si="580"/>
        <v>0</v>
      </c>
      <c r="BS218" s="18">
        <f t="shared" si="580"/>
        <v>0</v>
      </c>
      <c r="BT218" s="18">
        <f t="shared" si="580"/>
        <v>0</v>
      </c>
      <c r="BU218" s="18">
        <f t="shared" si="580"/>
        <v>0</v>
      </c>
      <c r="BV218" s="18">
        <f t="shared" si="580"/>
        <v>0</v>
      </c>
      <c r="BW218" s="18">
        <f t="shared" si="580"/>
        <v>0</v>
      </c>
      <c r="BX218" s="18">
        <f t="shared" si="580"/>
        <v>0</v>
      </c>
      <c r="BY218" s="18">
        <f t="shared" si="580"/>
        <v>0</v>
      </c>
      <c r="BZ218" s="18">
        <f t="shared" si="580"/>
        <v>0</v>
      </c>
      <c r="CA218" s="18">
        <f t="shared" si="580"/>
        <v>0</v>
      </c>
      <c r="CB218" s="18">
        <f t="shared" si="580"/>
        <v>0</v>
      </c>
      <c r="CC218" s="17"/>
      <c r="CD218" s="17"/>
      <c r="CE218" s="17"/>
      <c r="CH218" s="5"/>
      <c r="CI218" s="11"/>
      <c r="CJ218" s="11"/>
      <c r="CK218" s="11"/>
      <c r="CL218" s="11"/>
      <c r="CM218" s="11"/>
      <c r="CN218" s="11"/>
      <c r="CO218" s="11"/>
      <c r="CP218" s="11"/>
      <c r="CQ218" s="11"/>
      <c r="CR218" s="11"/>
      <c r="CS218" s="11"/>
      <c r="CT218" s="11"/>
      <c r="CU218" s="11"/>
      <c r="CV218" s="11"/>
      <c r="CW218" s="11"/>
      <c r="CX218" s="11"/>
      <c r="CY218" s="11"/>
      <c r="CZ218" s="11"/>
      <c r="DA218" s="11"/>
      <c r="DB218" s="11"/>
      <c r="DC218" s="11"/>
      <c r="DD218" s="11"/>
      <c r="DE218" s="11"/>
      <c r="DF218" s="11"/>
      <c r="DG218" s="11"/>
      <c r="DH218" s="11"/>
      <c r="DI218" s="11"/>
      <c r="DJ218" s="11"/>
      <c r="DK218" s="11"/>
      <c r="DL218" s="11"/>
      <c r="DM218" s="11"/>
      <c r="DN218" s="11"/>
      <c r="DO218" s="11"/>
      <c r="DP218" s="11"/>
      <c r="DQ218" s="11"/>
      <c r="DR218" s="11"/>
      <c r="DS218" s="11"/>
      <c r="DT218" s="11"/>
      <c r="DU218" s="11"/>
      <c r="DV218" s="11"/>
      <c r="DW218" s="11"/>
      <c r="DX218" s="11"/>
      <c r="DY218" s="11"/>
      <c r="DZ218" s="11"/>
      <c r="EA218" s="11"/>
      <c r="EB218" s="11"/>
      <c r="EC218" s="11"/>
      <c r="ED218" s="11"/>
    </row>
    <row r="219" spans="1:134">
      <c r="A219" s="18" t="str">
        <f>A39</f>
        <v>Bond 5</v>
      </c>
      <c r="B219" s="18">
        <f t="shared" ref="B219:BM219" si="581">B39*B107</f>
        <v>1.370596971587043</v>
      </c>
      <c r="C219" s="18">
        <f t="shared" si="581"/>
        <v>1.3641672934517288</v>
      </c>
      <c r="D219" s="18">
        <f t="shared" si="581"/>
        <v>1.3581217962819834</v>
      </c>
      <c r="E219" s="18">
        <f t="shared" si="581"/>
        <v>1.3520602469227669</v>
      </c>
      <c r="F219" s="18">
        <f t="shared" si="581"/>
        <v>1.3457253163241987</v>
      </c>
      <c r="G219" s="18">
        <f t="shared" si="581"/>
        <v>1.3389780819543686</v>
      </c>
      <c r="H219" s="18">
        <f t="shared" si="581"/>
        <v>1.3317555464385553</v>
      </c>
      <c r="I219" s="18">
        <f t="shared" si="581"/>
        <v>1.3240420049479651</v>
      </c>
      <c r="J219" s="18">
        <f t="shared" si="581"/>
        <v>1.3158499364719516</v>
      </c>
      <c r="K219" s="18">
        <f t="shared" si="581"/>
        <v>96.380466741655638</v>
      </c>
      <c r="L219" s="18">
        <f t="shared" si="581"/>
        <v>0</v>
      </c>
      <c r="M219" s="18">
        <f t="shared" si="581"/>
        <v>0</v>
      </c>
      <c r="N219" s="18">
        <f t="shared" si="581"/>
        <v>0</v>
      </c>
      <c r="O219" s="18">
        <f t="shared" si="581"/>
        <v>0</v>
      </c>
      <c r="P219" s="18">
        <f t="shared" si="581"/>
        <v>0</v>
      </c>
      <c r="Q219" s="18">
        <f t="shared" si="581"/>
        <v>0</v>
      </c>
      <c r="R219" s="18">
        <f t="shared" si="581"/>
        <v>0</v>
      </c>
      <c r="S219" s="18">
        <f t="shared" si="581"/>
        <v>0</v>
      </c>
      <c r="T219" s="18">
        <f t="shared" si="581"/>
        <v>0</v>
      </c>
      <c r="U219" s="18">
        <f t="shared" si="581"/>
        <v>0</v>
      </c>
      <c r="V219" s="18">
        <f t="shared" si="581"/>
        <v>0</v>
      </c>
      <c r="W219" s="18">
        <f t="shared" si="581"/>
        <v>0</v>
      </c>
      <c r="X219" s="18">
        <f t="shared" si="581"/>
        <v>0</v>
      </c>
      <c r="Y219" s="18">
        <f t="shared" si="581"/>
        <v>0</v>
      </c>
      <c r="Z219" s="18">
        <f t="shared" si="581"/>
        <v>0</v>
      </c>
      <c r="AA219" s="18">
        <f t="shared" si="581"/>
        <v>0</v>
      </c>
      <c r="AB219" s="18">
        <f t="shared" si="581"/>
        <v>0</v>
      </c>
      <c r="AC219" s="18">
        <f t="shared" si="581"/>
        <v>0</v>
      </c>
      <c r="AD219" s="18">
        <f t="shared" si="581"/>
        <v>0</v>
      </c>
      <c r="AE219" s="18">
        <f t="shared" si="581"/>
        <v>0</v>
      </c>
      <c r="AF219" s="18">
        <f t="shared" si="581"/>
        <v>0</v>
      </c>
      <c r="AG219" s="18">
        <f t="shared" si="581"/>
        <v>0</v>
      </c>
      <c r="AH219" s="18">
        <f t="shared" si="581"/>
        <v>0</v>
      </c>
      <c r="AI219" s="18">
        <f t="shared" si="581"/>
        <v>0</v>
      </c>
      <c r="AJ219" s="18">
        <f t="shared" si="581"/>
        <v>0</v>
      </c>
      <c r="AK219" s="18">
        <f t="shared" si="581"/>
        <v>0</v>
      </c>
      <c r="AL219" s="18">
        <f t="shared" si="581"/>
        <v>0</v>
      </c>
      <c r="AM219" s="18">
        <f t="shared" si="581"/>
        <v>0</v>
      </c>
      <c r="AN219" s="18">
        <f t="shared" si="581"/>
        <v>0</v>
      </c>
      <c r="AO219" s="18">
        <f t="shared" si="581"/>
        <v>0</v>
      </c>
      <c r="AP219" s="18">
        <f t="shared" si="581"/>
        <v>0</v>
      </c>
      <c r="AQ219" s="18">
        <f t="shared" si="581"/>
        <v>0</v>
      </c>
      <c r="AR219" s="18">
        <f t="shared" si="581"/>
        <v>0</v>
      </c>
      <c r="AS219" s="18">
        <f t="shared" si="581"/>
        <v>0</v>
      </c>
      <c r="AT219" s="18">
        <f t="shared" si="581"/>
        <v>0</v>
      </c>
      <c r="AU219" s="18">
        <f t="shared" si="581"/>
        <v>0</v>
      </c>
      <c r="AV219" s="18">
        <f t="shared" si="581"/>
        <v>0</v>
      </c>
      <c r="AW219" s="18">
        <f t="shared" si="581"/>
        <v>0</v>
      </c>
      <c r="AX219" s="18">
        <f t="shared" si="581"/>
        <v>0</v>
      </c>
      <c r="AY219" s="18">
        <f t="shared" si="581"/>
        <v>0</v>
      </c>
      <c r="AZ219" s="18">
        <f t="shared" si="581"/>
        <v>0</v>
      </c>
      <c r="BA219" s="18">
        <f t="shared" si="581"/>
        <v>0</v>
      </c>
      <c r="BB219" s="18">
        <f t="shared" si="581"/>
        <v>0</v>
      </c>
      <c r="BC219" s="18">
        <f t="shared" si="581"/>
        <v>0</v>
      </c>
      <c r="BD219" s="18">
        <f t="shared" si="581"/>
        <v>0</v>
      </c>
      <c r="BE219" s="18">
        <f t="shared" si="581"/>
        <v>0</v>
      </c>
      <c r="BF219" s="18">
        <f t="shared" si="581"/>
        <v>0</v>
      </c>
      <c r="BG219" s="18">
        <f t="shared" si="581"/>
        <v>0</v>
      </c>
      <c r="BH219" s="18">
        <f t="shared" si="581"/>
        <v>0</v>
      </c>
      <c r="BI219" s="18">
        <f t="shared" si="581"/>
        <v>0</v>
      </c>
      <c r="BJ219" s="18">
        <f t="shared" si="581"/>
        <v>0</v>
      </c>
      <c r="BK219" s="18">
        <f t="shared" si="581"/>
        <v>0</v>
      </c>
      <c r="BL219" s="18">
        <f t="shared" si="581"/>
        <v>0</v>
      </c>
      <c r="BM219" s="18">
        <f t="shared" si="581"/>
        <v>0</v>
      </c>
      <c r="BN219" s="18">
        <f t="shared" ref="BN219:CB219" si="582">BN39*BN107</f>
        <v>0</v>
      </c>
      <c r="BO219" s="18">
        <f t="shared" si="582"/>
        <v>0</v>
      </c>
      <c r="BP219" s="18">
        <f t="shared" si="582"/>
        <v>0</v>
      </c>
      <c r="BQ219" s="18">
        <f t="shared" si="582"/>
        <v>0</v>
      </c>
      <c r="BR219" s="18">
        <f t="shared" si="582"/>
        <v>0</v>
      </c>
      <c r="BS219" s="18">
        <f t="shared" si="582"/>
        <v>0</v>
      </c>
      <c r="BT219" s="18">
        <f t="shared" si="582"/>
        <v>0</v>
      </c>
      <c r="BU219" s="18">
        <f t="shared" si="582"/>
        <v>0</v>
      </c>
      <c r="BV219" s="18">
        <f t="shared" si="582"/>
        <v>0</v>
      </c>
      <c r="BW219" s="18">
        <f t="shared" si="582"/>
        <v>0</v>
      </c>
      <c r="BX219" s="18">
        <f t="shared" si="582"/>
        <v>0</v>
      </c>
      <c r="BY219" s="18">
        <f t="shared" si="582"/>
        <v>0</v>
      </c>
      <c r="BZ219" s="18">
        <f t="shared" si="582"/>
        <v>0</v>
      </c>
      <c r="CA219" s="18">
        <f t="shared" si="582"/>
        <v>0</v>
      </c>
      <c r="CB219" s="18">
        <f t="shared" si="582"/>
        <v>0</v>
      </c>
      <c r="CC219" s="17"/>
      <c r="CD219" s="17"/>
      <c r="CE219" s="17"/>
      <c r="CH219" s="11"/>
      <c r="CI219" s="11"/>
      <c r="CJ219" s="11"/>
      <c r="CK219" s="11"/>
      <c r="CL219" s="11"/>
      <c r="CM219" s="11"/>
      <c r="CN219" s="11"/>
      <c r="CO219" s="11"/>
      <c r="CP219" s="11"/>
      <c r="CQ219" s="11"/>
      <c r="CR219" s="11"/>
      <c r="CS219" s="11"/>
      <c r="CT219" s="11"/>
      <c r="CU219" s="11"/>
      <c r="CV219" s="11"/>
      <c r="CW219" s="11"/>
      <c r="CX219" s="11"/>
      <c r="CY219" s="11"/>
      <c r="CZ219" s="11"/>
      <c r="DA219" s="11"/>
      <c r="DB219" s="11"/>
      <c r="DC219" s="11"/>
      <c r="DD219" s="11"/>
      <c r="DE219" s="11"/>
      <c r="DF219" s="11"/>
      <c r="DG219" s="11"/>
      <c r="DH219" s="11"/>
      <c r="DI219" s="11"/>
      <c r="DJ219" s="11"/>
      <c r="DK219" s="11"/>
      <c r="DL219" s="11"/>
      <c r="DM219" s="11"/>
      <c r="DN219" s="11"/>
      <c r="DO219" s="11"/>
      <c r="DP219" s="11"/>
      <c r="DQ219" s="11"/>
      <c r="DR219" s="11"/>
      <c r="DS219" s="11"/>
      <c r="DT219" s="11"/>
      <c r="DU219" s="11"/>
      <c r="DV219" s="11"/>
      <c r="DW219" s="11"/>
      <c r="DX219" s="11"/>
      <c r="DY219" s="11"/>
      <c r="DZ219" s="11"/>
      <c r="EA219" s="11"/>
      <c r="EB219" s="11"/>
      <c r="EC219" s="11"/>
      <c r="ED219" s="11"/>
    </row>
    <row r="220" spans="1:134">
      <c r="A220" s="18" t="str">
        <f>A41</f>
        <v>Bond 6</v>
      </c>
      <c r="B220" s="18">
        <f t="shared" ref="B220:BM220" si="583">B41*B112</f>
        <v>1.6197964209665052</v>
      </c>
      <c r="C220" s="18">
        <f t="shared" si="583"/>
        <v>1.6121977104429521</v>
      </c>
      <c r="D220" s="18">
        <f t="shared" si="583"/>
        <v>1.6050530319696168</v>
      </c>
      <c r="E220" s="18">
        <f t="shared" si="583"/>
        <v>1.5978893827269065</v>
      </c>
      <c r="F220" s="18">
        <f t="shared" si="583"/>
        <v>1.5904026465649619</v>
      </c>
      <c r="G220" s="18">
        <f t="shared" si="583"/>
        <v>1.5824286423097083</v>
      </c>
      <c r="H220" s="18">
        <f t="shared" si="583"/>
        <v>1.5738929185182928</v>
      </c>
      <c r="I220" s="18">
        <f t="shared" si="583"/>
        <v>1.5647769149385042</v>
      </c>
      <c r="J220" s="18">
        <f t="shared" si="583"/>
        <v>1.5550953794668521</v>
      </c>
      <c r="K220" s="18">
        <f t="shared" si="583"/>
        <v>1.5449396641695725</v>
      </c>
      <c r="L220" s="18">
        <f t="shared" si="583"/>
        <v>1.5342382223457978</v>
      </c>
      <c r="M220" s="18">
        <f t="shared" si="583"/>
        <v>95.251795237123488</v>
      </c>
      <c r="N220" s="18">
        <f t="shared" si="583"/>
        <v>0</v>
      </c>
      <c r="O220" s="18">
        <f t="shared" si="583"/>
        <v>0</v>
      </c>
      <c r="P220" s="18">
        <f t="shared" si="583"/>
        <v>0</v>
      </c>
      <c r="Q220" s="18">
        <f t="shared" si="583"/>
        <v>0</v>
      </c>
      <c r="R220" s="18">
        <f t="shared" si="583"/>
        <v>0</v>
      </c>
      <c r="S220" s="18">
        <f t="shared" si="583"/>
        <v>0</v>
      </c>
      <c r="T220" s="18">
        <f t="shared" si="583"/>
        <v>0</v>
      </c>
      <c r="U220" s="18">
        <f t="shared" si="583"/>
        <v>0</v>
      </c>
      <c r="V220" s="18">
        <f t="shared" si="583"/>
        <v>0</v>
      </c>
      <c r="W220" s="18">
        <f t="shared" si="583"/>
        <v>0</v>
      </c>
      <c r="X220" s="18">
        <f t="shared" si="583"/>
        <v>0</v>
      </c>
      <c r="Y220" s="18">
        <f t="shared" si="583"/>
        <v>0</v>
      </c>
      <c r="Z220" s="18">
        <f t="shared" si="583"/>
        <v>0</v>
      </c>
      <c r="AA220" s="18">
        <f t="shared" si="583"/>
        <v>0</v>
      </c>
      <c r="AB220" s="18">
        <f t="shared" si="583"/>
        <v>0</v>
      </c>
      <c r="AC220" s="18">
        <f t="shared" si="583"/>
        <v>0</v>
      </c>
      <c r="AD220" s="18">
        <f t="shared" si="583"/>
        <v>0</v>
      </c>
      <c r="AE220" s="18">
        <f t="shared" si="583"/>
        <v>0</v>
      </c>
      <c r="AF220" s="18">
        <f t="shared" si="583"/>
        <v>0</v>
      </c>
      <c r="AG220" s="18">
        <f t="shared" si="583"/>
        <v>0</v>
      </c>
      <c r="AH220" s="18">
        <f t="shared" si="583"/>
        <v>0</v>
      </c>
      <c r="AI220" s="18">
        <f t="shared" si="583"/>
        <v>0</v>
      </c>
      <c r="AJ220" s="18">
        <f t="shared" si="583"/>
        <v>0</v>
      </c>
      <c r="AK220" s="18">
        <f t="shared" si="583"/>
        <v>0</v>
      </c>
      <c r="AL220" s="18">
        <f t="shared" si="583"/>
        <v>0</v>
      </c>
      <c r="AM220" s="18">
        <f t="shared" si="583"/>
        <v>0</v>
      </c>
      <c r="AN220" s="18">
        <f t="shared" si="583"/>
        <v>0</v>
      </c>
      <c r="AO220" s="18">
        <f t="shared" si="583"/>
        <v>0</v>
      </c>
      <c r="AP220" s="18">
        <f t="shared" si="583"/>
        <v>0</v>
      </c>
      <c r="AQ220" s="18">
        <f t="shared" si="583"/>
        <v>0</v>
      </c>
      <c r="AR220" s="18">
        <f t="shared" si="583"/>
        <v>0</v>
      </c>
      <c r="AS220" s="18">
        <f t="shared" si="583"/>
        <v>0</v>
      </c>
      <c r="AT220" s="18">
        <f t="shared" si="583"/>
        <v>0</v>
      </c>
      <c r="AU220" s="18">
        <f t="shared" si="583"/>
        <v>0</v>
      </c>
      <c r="AV220" s="18">
        <f t="shared" si="583"/>
        <v>0</v>
      </c>
      <c r="AW220" s="18">
        <f t="shared" si="583"/>
        <v>0</v>
      </c>
      <c r="AX220" s="18">
        <f t="shared" si="583"/>
        <v>0</v>
      </c>
      <c r="AY220" s="18">
        <f t="shared" si="583"/>
        <v>0</v>
      </c>
      <c r="AZ220" s="18">
        <f t="shared" si="583"/>
        <v>0</v>
      </c>
      <c r="BA220" s="18">
        <f t="shared" si="583"/>
        <v>0</v>
      </c>
      <c r="BB220" s="18">
        <f t="shared" si="583"/>
        <v>0</v>
      </c>
      <c r="BC220" s="18">
        <f t="shared" si="583"/>
        <v>0</v>
      </c>
      <c r="BD220" s="18">
        <f t="shared" si="583"/>
        <v>0</v>
      </c>
      <c r="BE220" s="18">
        <f t="shared" si="583"/>
        <v>0</v>
      </c>
      <c r="BF220" s="18">
        <f t="shared" si="583"/>
        <v>0</v>
      </c>
      <c r="BG220" s="18">
        <f t="shared" si="583"/>
        <v>0</v>
      </c>
      <c r="BH220" s="18">
        <f t="shared" si="583"/>
        <v>0</v>
      </c>
      <c r="BI220" s="18">
        <f t="shared" si="583"/>
        <v>0</v>
      </c>
      <c r="BJ220" s="18">
        <f t="shared" si="583"/>
        <v>0</v>
      </c>
      <c r="BK220" s="18">
        <f t="shared" si="583"/>
        <v>0</v>
      </c>
      <c r="BL220" s="18">
        <f t="shared" si="583"/>
        <v>0</v>
      </c>
      <c r="BM220" s="18">
        <f t="shared" si="583"/>
        <v>0</v>
      </c>
      <c r="BN220" s="18">
        <f t="shared" ref="BN220:CB220" si="584">BN41*BN112</f>
        <v>0</v>
      </c>
      <c r="BO220" s="18">
        <f t="shared" si="584"/>
        <v>0</v>
      </c>
      <c r="BP220" s="18">
        <f t="shared" si="584"/>
        <v>0</v>
      </c>
      <c r="BQ220" s="18">
        <f t="shared" si="584"/>
        <v>0</v>
      </c>
      <c r="BR220" s="18">
        <f t="shared" si="584"/>
        <v>0</v>
      </c>
      <c r="BS220" s="18">
        <f t="shared" si="584"/>
        <v>0</v>
      </c>
      <c r="BT220" s="18">
        <f t="shared" si="584"/>
        <v>0</v>
      </c>
      <c r="BU220" s="18">
        <f t="shared" si="584"/>
        <v>0</v>
      </c>
      <c r="BV220" s="18">
        <f t="shared" si="584"/>
        <v>0</v>
      </c>
      <c r="BW220" s="18">
        <f t="shared" si="584"/>
        <v>0</v>
      </c>
      <c r="BX220" s="18">
        <f t="shared" si="584"/>
        <v>0</v>
      </c>
      <c r="BY220" s="18">
        <f t="shared" si="584"/>
        <v>0</v>
      </c>
      <c r="BZ220" s="18">
        <f t="shared" si="584"/>
        <v>0</v>
      </c>
      <c r="CA220" s="18">
        <f t="shared" si="584"/>
        <v>0</v>
      </c>
      <c r="CB220" s="18">
        <f t="shared" si="584"/>
        <v>0</v>
      </c>
      <c r="CC220" s="17"/>
      <c r="CD220" s="17"/>
      <c r="CE220" s="17"/>
      <c r="CH220" s="5"/>
      <c r="CI220" s="11"/>
      <c r="CJ220" s="11"/>
      <c r="CK220" s="11"/>
      <c r="CL220" s="11"/>
      <c r="CM220" s="11"/>
      <c r="CN220" s="11"/>
      <c r="CO220" s="11"/>
      <c r="CP220" s="11"/>
      <c r="CQ220" s="11"/>
      <c r="CR220" s="11"/>
      <c r="CS220" s="11"/>
      <c r="CT220" s="11"/>
      <c r="CU220" s="11"/>
      <c r="CV220" s="11"/>
      <c r="CW220" s="11"/>
      <c r="CX220" s="11"/>
      <c r="CY220" s="11"/>
      <c r="CZ220" s="11"/>
      <c r="DA220" s="11"/>
      <c r="DB220" s="11"/>
      <c r="DC220" s="11"/>
      <c r="DD220" s="11"/>
      <c r="DE220" s="11"/>
      <c r="DF220" s="11"/>
      <c r="DG220" s="11"/>
      <c r="DH220" s="11"/>
      <c r="DI220" s="11"/>
      <c r="DJ220" s="11"/>
      <c r="DK220" s="11"/>
      <c r="DL220" s="11"/>
      <c r="DM220" s="11"/>
      <c r="DN220" s="11"/>
      <c r="DO220" s="11"/>
      <c r="DP220" s="11"/>
      <c r="DQ220" s="11"/>
      <c r="DR220" s="11"/>
      <c r="DS220" s="11"/>
      <c r="DT220" s="11"/>
      <c r="DU220" s="11"/>
      <c r="DV220" s="11"/>
      <c r="DW220" s="11"/>
      <c r="DX220" s="11"/>
      <c r="DY220" s="11"/>
      <c r="DZ220" s="11"/>
      <c r="EA220" s="11"/>
      <c r="EB220" s="11"/>
      <c r="EC220" s="11"/>
      <c r="ED220" s="11"/>
    </row>
    <row r="221" spans="1:134">
      <c r="A221" s="18" t="str">
        <f>A43</f>
        <v>Bond 7</v>
      </c>
      <c r="B221" s="18">
        <f t="shared" ref="B221:BM221" si="585">B43*B117</f>
        <v>2.1181953197254297</v>
      </c>
      <c r="C221" s="18">
        <f t="shared" si="585"/>
        <v>2.1082585444253992</v>
      </c>
      <c r="D221" s="18">
        <f t="shared" si="585"/>
        <v>2.0989155033448834</v>
      </c>
      <c r="E221" s="18">
        <f t="shared" si="585"/>
        <v>2.0895476543351852</v>
      </c>
      <c r="F221" s="18">
        <f t="shared" si="585"/>
        <v>2.0797573070464885</v>
      </c>
      <c r="G221" s="18">
        <f t="shared" si="585"/>
        <v>2.069329763020388</v>
      </c>
      <c r="H221" s="18">
        <f t="shared" si="585"/>
        <v>2.0581676626777674</v>
      </c>
      <c r="I221" s="18">
        <f t="shared" si="585"/>
        <v>2.0462467349195825</v>
      </c>
      <c r="J221" s="18">
        <f t="shared" si="585"/>
        <v>2.0335862654566528</v>
      </c>
      <c r="K221" s="18">
        <f t="shared" si="585"/>
        <v>2.0203057146832872</v>
      </c>
      <c r="L221" s="18">
        <f t="shared" si="585"/>
        <v>2.0063115215291201</v>
      </c>
      <c r="M221" s="18">
        <f t="shared" si="585"/>
        <v>1.9917349557578097</v>
      </c>
      <c r="N221" s="18">
        <f t="shared" si="585"/>
        <v>1.9766342295451862</v>
      </c>
      <c r="O221" s="18">
        <f t="shared" si="585"/>
        <v>94.246439115095768</v>
      </c>
      <c r="P221" s="18">
        <f t="shared" si="585"/>
        <v>0</v>
      </c>
      <c r="Q221" s="18">
        <f t="shared" si="585"/>
        <v>0</v>
      </c>
      <c r="R221" s="18">
        <f t="shared" si="585"/>
        <v>0</v>
      </c>
      <c r="S221" s="18">
        <f t="shared" si="585"/>
        <v>0</v>
      </c>
      <c r="T221" s="18">
        <f t="shared" si="585"/>
        <v>0</v>
      </c>
      <c r="U221" s="18">
        <f t="shared" si="585"/>
        <v>0</v>
      </c>
      <c r="V221" s="18">
        <f t="shared" si="585"/>
        <v>0</v>
      </c>
      <c r="W221" s="18">
        <f t="shared" si="585"/>
        <v>0</v>
      </c>
      <c r="X221" s="18">
        <f t="shared" si="585"/>
        <v>0</v>
      </c>
      <c r="Y221" s="18">
        <f t="shared" si="585"/>
        <v>0</v>
      </c>
      <c r="Z221" s="18">
        <f t="shared" si="585"/>
        <v>0</v>
      </c>
      <c r="AA221" s="18">
        <f t="shared" si="585"/>
        <v>0</v>
      </c>
      <c r="AB221" s="18">
        <f t="shared" si="585"/>
        <v>0</v>
      </c>
      <c r="AC221" s="18">
        <f t="shared" si="585"/>
        <v>0</v>
      </c>
      <c r="AD221" s="18">
        <f t="shared" si="585"/>
        <v>0</v>
      </c>
      <c r="AE221" s="18">
        <f t="shared" si="585"/>
        <v>0</v>
      </c>
      <c r="AF221" s="18">
        <f t="shared" si="585"/>
        <v>0</v>
      </c>
      <c r="AG221" s="18">
        <f t="shared" si="585"/>
        <v>0</v>
      </c>
      <c r="AH221" s="18">
        <f t="shared" si="585"/>
        <v>0</v>
      </c>
      <c r="AI221" s="18">
        <f t="shared" si="585"/>
        <v>0</v>
      </c>
      <c r="AJ221" s="18">
        <f t="shared" si="585"/>
        <v>0</v>
      </c>
      <c r="AK221" s="18">
        <f t="shared" si="585"/>
        <v>0</v>
      </c>
      <c r="AL221" s="18">
        <f t="shared" si="585"/>
        <v>0</v>
      </c>
      <c r="AM221" s="18">
        <f t="shared" si="585"/>
        <v>0</v>
      </c>
      <c r="AN221" s="18">
        <f t="shared" si="585"/>
        <v>0</v>
      </c>
      <c r="AO221" s="18">
        <f t="shared" si="585"/>
        <v>0</v>
      </c>
      <c r="AP221" s="18">
        <f t="shared" si="585"/>
        <v>0</v>
      </c>
      <c r="AQ221" s="18">
        <f t="shared" si="585"/>
        <v>0</v>
      </c>
      <c r="AR221" s="18">
        <f t="shared" si="585"/>
        <v>0</v>
      </c>
      <c r="AS221" s="18">
        <f t="shared" si="585"/>
        <v>0</v>
      </c>
      <c r="AT221" s="18">
        <f t="shared" si="585"/>
        <v>0</v>
      </c>
      <c r="AU221" s="18">
        <f t="shared" si="585"/>
        <v>0</v>
      </c>
      <c r="AV221" s="18">
        <f t="shared" si="585"/>
        <v>0</v>
      </c>
      <c r="AW221" s="18">
        <f t="shared" si="585"/>
        <v>0</v>
      </c>
      <c r="AX221" s="18">
        <f t="shared" si="585"/>
        <v>0</v>
      </c>
      <c r="AY221" s="18">
        <f t="shared" si="585"/>
        <v>0</v>
      </c>
      <c r="AZ221" s="18">
        <f t="shared" si="585"/>
        <v>0</v>
      </c>
      <c r="BA221" s="18">
        <f t="shared" si="585"/>
        <v>0</v>
      </c>
      <c r="BB221" s="18">
        <f t="shared" si="585"/>
        <v>0</v>
      </c>
      <c r="BC221" s="18">
        <f t="shared" si="585"/>
        <v>0</v>
      </c>
      <c r="BD221" s="18">
        <f t="shared" si="585"/>
        <v>0</v>
      </c>
      <c r="BE221" s="18">
        <f t="shared" si="585"/>
        <v>0</v>
      </c>
      <c r="BF221" s="18">
        <f t="shared" si="585"/>
        <v>0</v>
      </c>
      <c r="BG221" s="18">
        <f t="shared" si="585"/>
        <v>0</v>
      </c>
      <c r="BH221" s="18">
        <f t="shared" si="585"/>
        <v>0</v>
      </c>
      <c r="BI221" s="18">
        <f t="shared" si="585"/>
        <v>0</v>
      </c>
      <c r="BJ221" s="18">
        <f t="shared" si="585"/>
        <v>0</v>
      </c>
      <c r="BK221" s="18">
        <f t="shared" si="585"/>
        <v>0</v>
      </c>
      <c r="BL221" s="18">
        <f t="shared" si="585"/>
        <v>0</v>
      </c>
      <c r="BM221" s="18">
        <f t="shared" si="585"/>
        <v>0</v>
      </c>
      <c r="BN221" s="18">
        <f t="shared" ref="BN221:CB221" si="586">BN43*BN117</f>
        <v>0</v>
      </c>
      <c r="BO221" s="18">
        <f t="shared" si="586"/>
        <v>0</v>
      </c>
      <c r="BP221" s="18">
        <f t="shared" si="586"/>
        <v>0</v>
      </c>
      <c r="BQ221" s="18">
        <f t="shared" si="586"/>
        <v>0</v>
      </c>
      <c r="BR221" s="18">
        <f t="shared" si="586"/>
        <v>0</v>
      </c>
      <c r="BS221" s="18">
        <f t="shared" si="586"/>
        <v>0</v>
      </c>
      <c r="BT221" s="18">
        <f t="shared" si="586"/>
        <v>0</v>
      </c>
      <c r="BU221" s="18">
        <f t="shared" si="586"/>
        <v>0</v>
      </c>
      <c r="BV221" s="18">
        <f t="shared" si="586"/>
        <v>0</v>
      </c>
      <c r="BW221" s="18">
        <f t="shared" si="586"/>
        <v>0</v>
      </c>
      <c r="BX221" s="18">
        <f t="shared" si="586"/>
        <v>0</v>
      </c>
      <c r="BY221" s="18">
        <f t="shared" si="586"/>
        <v>0</v>
      </c>
      <c r="BZ221" s="18">
        <f t="shared" si="586"/>
        <v>0</v>
      </c>
      <c r="CA221" s="18">
        <f t="shared" si="586"/>
        <v>0</v>
      </c>
      <c r="CB221" s="18">
        <f t="shared" si="586"/>
        <v>0</v>
      </c>
      <c r="CC221" s="17"/>
      <c r="CD221" s="17"/>
      <c r="CE221" s="17"/>
      <c r="CH221" s="5"/>
      <c r="CI221" s="11"/>
      <c r="CJ221" s="11"/>
      <c r="CK221" s="11"/>
      <c r="CL221" s="11"/>
      <c r="CM221" s="11"/>
      <c r="CN221" s="11"/>
      <c r="CO221" s="11"/>
      <c r="CP221" s="11"/>
      <c r="CQ221" s="11"/>
      <c r="CR221" s="11"/>
      <c r="CS221" s="11"/>
      <c r="CT221" s="11"/>
      <c r="CU221" s="11"/>
      <c r="CV221" s="11"/>
      <c r="CW221" s="11"/>
      <c r="CX221" s="11"/>
      <c r="CY221" s="11"/>
      <c r="CZ221" s="11"/>
      <c r="DA221" s="11"/>
      <c r="DB221" s="11"/>
      <c r="DC221" s="11"/>
      <c r="DD221" s="11"/>
      <c r="DE221" s="11"/>
      <c r="DF221" s="11"/>
      <c r="DG221" s="11"/>
      <c r="DH221" s="11"/>
      <c r="DI221" s="11"/>
      <c r="DJ221" s="11"/>
      <c r="DK221" s="11"/>
      <c r="DL221" s="11"/>
      <c r="DM221" s="11"/>
      <c r="DN221" s="11"/>
      <c r="DO221" s="11"/>
      <c r="DP221" s="11"/>
      <c r="DQ221" s="11"/>
      <c r="DR221" s="11"/>
      <c r="DS221" s="11"/>
      <c r="DT221" s="11"/>
      <c r="DU221" s="11"/>
      <c r="DV221" s="11"/>
      <c r="DW221" s="11"/>
      <c r="DX221" s="11"/>
      <c r="DY221" s="11"/>
      <c r="DZ221" s="11"/>
      <c r="EA221" s="11"/>
      <c r="EB221" s="11"/>
      <c r="EC221" s="11"/>
      <c r="ED221" s="11"/>
    </row>
    <row r="222" spans="1:134">
      <c r="A222" s="18" t="str">
        <f>A45</f>
        <v>Bond 8</v>
      </c>
      <c r="B222" s="18">
        <f t="shared" ref="B222:BM222" si="587">B45*B122</f>
        <v>2.3673947691048922</v>
      </c>
      <c r="C222" s="18">
        <f t="shared" si="587"/>
        <v>2.3562889614166225</v>
      </c>
      <c r="D222" s="18">
        <f t="shared" si="587"/>
        <v>2.3458467390325168</v>
      </c>
      <c r="E222" s="18">
        <f t="shared" si="587"/>
        <v>2.3353767901393248</v>
      </c>
      <c r="F222" s="18">
        <f t="shared" si="587"/>
        <v>2.324434637287252</v>
      </c>
      <c r="G222" s="18">
        <f t="shared" si="587"/>
        <v>2.3127803233757276</v>
      </c>
      <c r="H222" s="18">
        <f t="shared" si="587"/>
        <v>2.3003050347575047</v>
      </c>
      <c r="I222" s="18">
        <f t="shared" si="587"/>
        <v>2.2869816449101217</v>
      </c>
      <c r="J222" s="18">
        <f t="shared" si="587"/>
        <v>2.272831708451553</v>
      </c>
      <c r="K222" s="18">
        <f t="shared" si="587"/>
        <v>2.2579887399401444</v>
      </c>
      <c r="L222" s="18">
        <f t="shared" si="587"/>
        <v>2.2423481711207813</v>
      </c>
      <c r="M222" s="18">
        <f t="shared" si="587"/>
        <v>2.2260567152587285</v>
      </c>
      <c r="N222" s="18">
        <f t="shared" si="587"/>
        <v>2.2091794330210903</v>
      </c>
      <c r="O222" s="18">
        <f t="shared" si="587"/>
        <v>2.1917776538394365</v>
      </c>
      <c r="P222" s="18">
        <f t="shared" si="587"/>
        <v>2.173907573212273</v>
      </c>
      <c r="Q222" s="18">
        <f t="shared" si="587"/>
        <v>92.918557768841467</v>
      </c>
      <c r="R222" s="18">
        <f t="shared" si="587"/>
        <v>0</v>
      </c>
      <c r="S222" s="18">
        <f t="shared" si="587"/>
        <v>0</v>
      </c>
      <c r="T222" s="18">
        <f t="shared" si="587"/>
        <v>0</v>
      </c>
      <c r="U222" s="18">
        <f t="shared" si="587"/>
        <v>0</v>
      </c>
      <c r="V222" s="18">
        <f t="shared" si="587"/>
        <v>0</v>
      </c>
      <c r="W222" s="18">
        <f t="shared" si="587"/>
        <v>0</v>
      </c>
      <c r="X222" s="18">
        <f t="shared" si="587"/>
        <v>0</v>
      </c>
      <c r="Y222" s="18">
        <f t="shared" si="587"/>
        <v>0</v>
      </c>
      <c r="Z222" s="18">
        <f t="shared" si="587"/>
        <v>0</v>
      </c>
      <c r="AA222" s="18">
        <f t="shared" si="587"/>
        <v>0</v>
      </c>
      <c r="AB222" s="18">
        <f t="shared" si="587"/>
        <v>0</v>
      </c>
      <c r="AC222" s="18">
        <f t="shared" si="587"/>
        <v>0</v>
      </c>
      <c r="AD222" s="18">
        <f t="shared" si="587"/>
        <v>0</v>
      </c>
      <c r="AE222" s="18">
        <f t="shared" si="587"/>
        <v>0</v>
      </c>
      <c r="AF222" s="18">
        <f t="shared" si="587"/>
        <v>0</v>
      </c>
      <c r="AG222" s="18">
        <f t="shared" si="587"/>
        <v>0</v>
      </c>
      <c r="AH222" s="18">
        <f t="shared" si="587"/>
        <v>0</v>
      </c>
      <c r="AI222" s="18">
        <f t="shared" si="587"/>
        <v>0</v>
      </c>
      <c r="AJ222" s="18">
        <f t="shared" si="587"/>
        <v>0</v>
      </c>
      <c r="AK222" s="18">
        <f t="shared" si="587"/>
        <v>0</v>
      </c>
      <c r="AL222" s="18">
        <f t="shared" si="587"/>
        <v>0</v>
      </c>
      <c r="AM222" s="18">
        <f t="shared" si="587"/>
        <v>0</v>
      </c>
      <c r="AN222" s="18">
        <f t="shared" si="587"/>
        <v>0</v>
      </c>
      <c r="AO222" s="18">
        <f t="shared" si="587"/>
        <v>0</v>
      </c>
      <c r="AP222" s="18">
        <f t="shared" si="587"/>
        <v>0</v>
      </c>
      <c r="AQ222" s="18">
        <f t="shared" si="587"/>
        <v>0</v>
      </c>
      <c r="AR222" s="18">
        <f t="shared" si="587"/>
        <v>0</v>
      </c>
      <c r="AS222" s="18">
        <f t="shared" si="587"/>
        <v>0</v>
      </c>
      <c r="AT222" s="18">
        <f t="shared" si="587"/>
        <v>0</v>
      </c>
      <c r="AU222" s="18">
        <f t="shared" si="587"/>
        <v>0</v>
      </c>
      <c r="AV222" s="18">
        <f t="shared" si="587"/>
        <v>0</v>
      </c>
      <c r="AW222" s="18">
        <f t="shared" si="587"/>
        <v>0</v>
      </c>
      <c r="AX222" s="18">
        <f t="shared" si="587"/>
        <v>0</v>
      </c>
      <c r="AY222" s="18">
        <f t="shared" si="587"/>
        <v>0</v>
      </c>
      <c r="AZ222" s="18">
        <f t="shared" si="587"/>
        <v>0</v>
      </c>
      <c r="BA222" s="18">
        <f t="shared" si="587"/>
        <v>0</v>
      </c>
      <c r="BB222" s="18">
        <f t="shared" si="587"/>
        <v>0</v>
      </c>
      <c r="BC222" s="18">
        <f t="shared" si="587"/>
        <v>0</v>
      </c>
      <c r="BD222" s="18">
        <f t="shared" si="587"/>
        <v>0</v>
      </c>
      <c r="BE222" s="18">
        <f t="shared" si="587"/>
        <v>0</v>
      </c>
      <c r="BF222" s="18">
        <f t="shared" si="587"/>
        <v>0</v>
      </c>
      <c r="BG222" s="18">
        <f t="shared" si="587"/>
        <v>0</v>
      </c>
      <c r="BH222" s="18">
        <f t="shared" si="587"/>
        <v>0</v>
      </c>
      <c r="BI222" s="18">
        <f t="shared" si="587"/>
        <v>0</v>
      </c>
      <c r="BJ222" s="18">
        <f t="shared" si="587"/>
        <v>0</v>
      </c>
      <c r="BK222" s="18">
        <f t="shared" si="587"/>
        <v>0</v>
      </c>
      <c r="BL222" s="18">
        <f t="shared" si="587"/>
        <v>0</v>
      </c>
      <c r="BM222" s="18">
        <f t="shared" si="587"/>
        <v>0</v>
      </c>
      <c r="BN222" s="18">
        <f t="shared" ref="BN222:CB222" si="588">BN45*BN122</f>
        <v>0</v>
      </c>
      <c r="BO222" s="18">
        <f t="shared" si="588"/>
        <v>0</v>
      </c>
      <c r="BP222" s="18">
        <f t="shared" si="588"/>
        <v>0</v>
      </c>
      <c r="BQ222" s="18">
        <f t="shared" si="588"/>
        <v>0</v>
      </c>
      <c r="BR222" s="18">
        <f t="shared" si="588"/>
        <v>0</v>
      </c>
      <c r="BS222" s="18">
        <f t="shared" si="588"/>
        <v>0</v>
      </c>
      <c r="BT222" s="18">
        <f t="shared" si="588"/>
        <v>0</v>
      </c>
      <c r="BU222" s="18">
        <f t="shared" si="588"/>
        <v>0</v>
      </c>
      <c r="BV222" s="18">
        <f t="shared" si="588"/>
        <v>0</v>
      </c>
      <c r="BW222" s="18">
        <f t="shared" si="588"/>
        <v>0</v>
      </c>
      <c r="BX222" s="18">
        <f t="shared" si="588"/>
        <v>0</v>
      </c>
      <c r="BY222" s="18">
        <f t="shared" si="588"/>
        <v>0</v>
      </c>
      <c r="BZ222" s="18">
        <f t="shared" si="588"/>
        <v>0</v>
      </c>
      <c r="CA222" s="18">
        <f t="shared" si="588"/>
        <v>0</v>
      </c>
      <c r="CB222" s="18">
        <f t="shared" si="588"/>
        <v>0</v>
      </c>
      <c r="CC222" s="17"/>
      <c r="CD222" s="17"/>
      <c r="CE222" s="17"/>
      <c r="CH222" s="5"/>
      <c r="CI222" s="11"/>
      <c r="CJ222" s="11"/>
      <c r="CK222" s="11"/>
      <c r="CL222" s="11"/>
      <c r="CM222" s="11"/>
      <c r="CN222" s="11"/>
      <c r="CO222" s="11"/>
      <c r="CP222" s="11"/>
      <c r="CQ222" s="11"/>
      <c r="CR222" s="11"/>
      <c r="CS222" s="11"/>
      <c r="CT222" s="11"/>
      <c r="CU222" s="11"/>
      <c r="CV222" s="11"/>
      <c r="CW222" s="11"/>
      <c r="CX222" s="11"/>
      <c r="CY222" s="11"/>
      <c r="CZ222" s="11"/>
      <c r="DA222" s="11"/>
      <c r="DB222" s="11"/>
      <c r="DC222" s="11"/>
      <c r="DD222" s="11"/>
      <c r="DE222" s="11"/>
      <c r="DF222" s="11"/>
      <c r="DG222" s="11"/>
      <c r="DH222" s="11"/>
      <c r="DI222" s="11"/>
      <c r="DJ222" s="11"/>
      <c r="DK222" s="11"/>
      <c r="DL222" s="11"/>
      <c r="DM222" s="11"/>
      <c r="DN222" s="11"/>
      <c r="DO222" s="11"/>
      <c r="DP222" s="11"/>
      <c r="DQ222" s="11"/>
      <c r="DR222" s="11"/>
      <c r="DS222" s="11"/>
      <c r="DT222" s="11"/>
      <c r="DU222" s="11"/>
      <c r="DV222" s="11"/>
      <c r="DW222" s="11"/>
      <c r="DX222" s="11"/>
      <c r="DY222" s="11"/>
      <c r="DZ222" s="11"/>
      <c r="EA222" s="11"/>
      <c r="EB222" s="11"/>
      <c r="EC222" s="11"/>
      <c r="ED222" s="11"/>
    </row>
    <row r="223" spans="1:134">
      <c r="A223" s="18" t="str">
        <f>A47</f>
        <v>Bond 9</v>
      </c>
      <c r="B223" s="18">
        <f t="shared" ref="B223:BM223" si="589">B47*B127</f>
        <v>1.1204710224203862</v>
      </c>
      <c r="C223" s="18">
        <f t="shared" si="589"/>
        <v>1.1152727209714053</v>
      </c>
      <c r="D223" s="18">
        <f t="shared" si="589"/>
        <v>1.1103720917216697</v>
      </c>
      <c r="E223" s="18">
        <f t="shared" si="589"/>
        <v>1.1053585763884353</v>
      </c>
      <c r="F223" s="18">
        <f t="shared" si="589"/>
        <v>1.1001533463714992</v>
      </c>
      <c r="G223" s="18">
        <f t="shared" si="589"/>
        <v>1.094538267556775</v>
      </c>
      <c r="H223" s="18">
        <f t="shared" si="589"/>
        <v>1.0885941691357468</v>
      </c>
      <c r="I223" s="18">
        <f t="shared" si="589"/>
        <v>1.0821801438732455</v>
      </c>
      <c r="J223" s="18">
        <f t="shared" si="589"/>
        <v>1.0754508254856625</v>
      </c>
      <c r="K223" s="18">
        <f t="shared" si="589"/>
        <v>1.0683210142739445</v>
      </c>
      <c r="L223" s="18">
        <f t="shared" si="589"/>
        <v>1.0608993195532594</v>
      </c>
      <c r="M223" s="18">
        <f t="shared" si="589"/>
        <v>1.053090030275615</v>
      </c>
      <c r="N223" s="18">
        <f t="shared" si="589"/>
        <v>1.045096093105754</v>
      </c>
      <c r="O223" s="18">
        <f t="shared" si="589"/>
        <v>1.0367677557366846</v>
      </c>
      <c r="P223" s="18">
        <f t="shared" si="589"/>
        <v>1.0283150517763191</v>
      </c>
      <c r="Q223" s="18">
        <f t="shared" si="589"/>
        <v>1.0195727784574165</v>
      </c>
      <c r="R223" s="18">
        <f t="shared" si="589"/>
        <v>1.0107548924814744</v>
      </c>
      <c r="S223" s="18">
        <f t="shared" si="589"/>
        <v>90.044712492795156</v>
      </c>
      <c r="T223" s="18">
        <f t="shared" si="589"/>
        <v>0</v>
      </c>
      <c r="U223" s="18">
        <f t="shared" si="589"/>
        <v>0</v>
      </c>
      <c r="V223" s="18">
        <f t="shared" si="589"/>
        <v>0</v>
      </c>
      <c r="W223" s="18">
        <f t="shared" si="589"/>
        <v>0</v>
      </c>
      <c r="X223" s="18">
        <f t="shared" si="589"/>
        <v>0</v>
      </c>
      <c r="Y223" s="18">
        <f t="shared" si="589"/>
        <v>0</v>
      </c>
      <c r="Z223" s="18">
        <f t="shared" si="589"/>
        <v>0</v>
      </c>
      <c r="AA223" s="18">
        <f t="shared" si="589"/>
        <v>0</v>
      </c>
      <c r="AB223" s="18">
        <f t="shared" si="589"/>
        <v>0</v>
      </c>
      <c r="AC223" s="18">
        <f t="shared" si="589"/>
        <v>0</v>
      </c>
      <c r="AD223" s="18">
        <f t="shared" si="589"/>
        <v>0</v>
      </c>
      <c r="AE223" s="18">
        <f t="shared" si="589"/>
        <v>0</v>
      </c>
      <c r="AF223" s="18">
        <f t="shared" si="589"/>
        <v>0</v>
      </c>
      <c r="AG223" s="18">
        <f t="shared" si="589"/>
        <v>0</v>
      </c>
      <c r="AH223" s="18">
        <f t="shared" si="589"/>
        <v>0</v>
      </c>
      <c r="AI223" s="18">
        <f t="shared" si="589"/>
        <v>0</v>
      </c>
      <c r="AJ223" s="18">
        <f t="shared" si="589"/>
        <v>0</v>
      </c>
      <c r="AK223" s="18">
        <f t="shared" si="589"/>
        <v>0</v>
      </c>
      <c r="AL223" s="18">
        <f t="shared" si="589"/>
        <v>0</v>
      </c>
      <c r="AM223" s="18">
        <f t="shared" si="589"/>
        <v>0</v>
      </c>
      <c r="AN223" s="18">
        <f t="shared" si="589"/>
        <v>0</v>
      </c>
      <c r="AO223" s="18">
        <f t="shared" si="589"/>
        <v>0</v>
      </c>
      <c r="AP223" s="18">
        <f t="shared" si="589"/>
        <v>0</v>
      </c>
      <c r="AQ223" s="18">
        <f t="shared" si="589"/>
        <v>0</v>
      </c>
      <c r="AR223" s="18">
        <f t="shared" si="589"/>
        <v>0</v>
      </c>
      <c r="AS223" s="18">
        <f t="shared" si="589"/>
        <v>0</v>
      </c>
      <c r="AT223" s="18">
        <f t="shared" si="589"/>
        <v>0</v>
      </c>
      <c r="AU223" s="18">
        <f t="shared" si="589"/>
        <v>0</v>
      </c>
      <c r="AV223" s="18">
        <f t="shared" si="589"/>
        <v>0</v>
      </c>
      <c r="AW223" s="18">
        <f t="shared" si="589"/>
        <v>0</v>
      </c>
      <c r="AX223" s="18">
        <f t="shared" si="589"/>
        <v>0</v>
      </c>
      <c r="AY223" s="18">
        <f t="shared" si="589"/>
        <v>0</v>
      </c>
      <c r="AZ223" s="18">
        <f t="shared" si="589"/>
        <v>0</v>
      </c>
      <c r="BA223" s="18">
        <f t="shared" si="589"/>
        <v>0</v>
      </c>
      <c r="BB223" s="18">
        <f t="shared" si="589"/>
        <v>0</v>
      </c>
      <c r="BC223" s="18">
        <f t="shared" si="589"/>
        <v>0</v>
      </c>
      <c r="BD223" s="18">
        <f t="shared" si="589"/>
        <v>0</v>
      </c>
      <c r="BE223" s="18">
        <f t="shared" si="589"/>
        <v>0</v>
      </c>
      <c r="BF223" s="18">
        <f t="shared" si="589"/>
        <v>0</v>
      </c>
      <c r="BG223" s="18">
        <f t="shared" si="589"/>
        <v>0</v>
      </c>
      <c r="BH223" s="18">
        <f t="shared" si="589"/>
        <v>0</v>
      </c>
      <c r="BI223" s="18">
        <f t="shared" si="589"/>
        <v>0</v>
      </c>
      <c r="BJ223" s="18">
        <f t="shared" si="589"/>
        <v>0</v>
      </c>
      <c r="BK223" s="18">
        <f t="shared" si="589"/>
        <v>0</v>
      </c>
      <c r="BL223" s="18">
        <f t="shared" si="589"/>
        <v>0</v>
      </c>
      <c r="BM223" s="18">
        <f t="shared" si="589"/>
        <v>0</v>
      </c>
      <c r="BN223" s="18">
        <f t="shared" ref="BN223:CB223" si="590">BN47*BN127</f>
        <v>0</v>
      </c>
      <c r="BO223" s="18">
        <f t="shared" si="590"/>
        <v>0</v>
      </c>
      <c r="BP223" s="18">
        <f t="shared" si="590"/>
        <v>0</v>
      </c>
      <c r="BQ223" s="18">
        <f t="shared" si="590"/>
        <v>0</v>
      </c>
      <c r="BR223" s="18">
        <f t="shared" si="590"/>
        <v>0</v>
      </c>
      <c r="BS223" s="18">
        <f t="shared" si="590"/>
        <v>0</v>
      </c>
      <c r="BT223" s="18">
        <f t="shared" si="590"/>
        <v>0</v>
      </c>
      <c r="BU223" s="18">
        <f t="shared" si="590"/>
        <v>0</v>
      </c>
      <c r="BV223" s="18">
        <f t="shared" si="590"/>
        <v>0</v>
      </c>
      <c r="BW223" s="18">
        <f t="shared" si="590"/>
        <v>0</v>
      </c>
      <c r="BX223" s="18">
        <f t="shared" si="590"/>
        <v>0</v>
      </c>
      <c r="BY223" s="18">
        <f t="shared" si="590"/>
        <v>0</v>
      </c>
      <c r="BZ223" s="18">
        <f t="shared" si="590"/>
        <v>0</v>
      </c>
      <c r="CA223" s="18">
        <f t="shared" si="590"/>
        <v>0</v>
      </c>
      <c r="CB223" s="18">
        <f t="shared" si="590"/>
        <v>0</v>
      </c>
      <c r="CC223" s="17"/>
      <c r="CD223" s="17"/>
      <c r="CE223" s="17"/>
      <c r="CH223" s="5"/>
      <c r="CI223" s="11"/>
      <c r="CJ223" s="11"/>
      <c r="CK223" s="11"/>
      <c r="CL223" s="11"/>
      <c r="CM223" s="11"/>
      <c r="CN223" s="11"/>
      <c r="CO223" s="11"/>
      <c r="CP223" s="11"/>
      <c r="CQ223" s="11"/>
      <c r="CR223" s="11"/>
      <c r="CS223" s="11"/>
      <c r="CT223" s="11"/>
      <c r="CU223" s="11"/>
      <c r="CV223" s="11"/>
      <c r="CW223" s="11"/>
      <c r="CX223" s="11"/>
      <c r="CY223" s="11"/>
      <c r="CZ223" s="11"/>
      <c r="DA223" s="11"/>
      <c r="DB223" s="11"/>
      <c r="DC223" s="11"/>
      <c r="DD223" s="11"/>
      <c r="DE223" s="11"/>
      <c r="DF223" s="11"/>
      <c r="DG223" s="11"/>
      <c r="DH223" s="11"/>
      <c r="DI223" s="11"/>
      <c r="DJ223" s="11"/>
      <c r="DK223" s="11"/>
      <c r="DL223" s="11"/>
      <c r="DM223" s="11"/>
      <c r="DN223" s="11"/>
      <c r="DO223" s="11"/>
      <c r="DP223" s="11"/>
      <c r="DQ223" s="11"/>
      <c r="DR223" s="11"/>
      <c r="DS223" s="11"/>
      <c r="DT223" s="11"/>
      <c r="DU223" s="11"/>
      <c r="DV223" s="11"/>
      <c r="DW223" s="11"/>
      <c r="DX223" s="11"/>
      <c r="DY223" s="11"/>
      <c r="DZ223" s="11"/>
      <c r="EA223" s="11"/>
      <c r="EB223" s="11"/>
      <c r="EC223" s="11"/>
      <c r="ED223" s="11"/>
    </row>
    <row r="224" spans="1:134">
      <c r="A224" s="18" t="str">
        <f>A49</f>
        <v>Bond 10</v>
      </c>
      <c r="B224" s="18">
        <f t="shared" ref="B224:BM224" si="591">B49*B132</f>
        <v>1.6197964209665052</v>
      </c>
      <c r="C224" s="18">
        <f t="shared" si="591"/>
        <v>1.6121977104429521</v>
      </c>
      <c r="D224" s="18">
        <f t="shared" si="591"/>
        <v>1.6050530319696168</v>
      </c>
      <c r="E224" s="18">
        <f t="shared" si="591"/>
        <v>1.5978893827269065</v>
      </c>
      <c r="F224" s="18">
        <f t="shared" si="591"/>
        <v>1.5904026465649619</v>
      </c>
      <c r="G224" s="18">
        <f t="shared" si="591"/>
        <v>1.5824286423097083</v>
      </c>
      <c r="H224" s="18">
        <f t="shared" si="591"/>
        <v>1.5738929185182928</v>
      </c>
      <c r="I224" s="18">
        <f t="shared" si="591"/>
        <v>1.5647769149385042</v>
      </c>
      <c r="J224" s="18">
        <f t="shared" si="591"/>
        <v>1.5550953794668521</v>
      </c>
      <c r="K224" s="18">
        <f t="shared" si="591"/>
        <v>1.5449396641695725</v>
      </c>
      <c r="L224" s="18">
        <f t="shared" si="591"/>
        <v>1.5342382223457978</v>
      </c>
      <c r="M224" s="18">
        <f t="shared" si="591"/>
        <v>1.5230914367559722</v>
      </c>
      <c r="N224" s="18">
        <f t="shared" si="591"/>
        <v>1.5115438225933777</v>
      </c>
      <c r="O224" s="18">
        <f t="shared" si="591"/>
        <v>1.4996373421006672</v>
      </c>
      <c r="P224" s="18">
        <f t="shared" si="591"/>
        <v>1.4874104448294498</v>
      </c>
      <c r="Q224" s="18">
        <f t="shared" si="591"/>
        <v>1.4748977423625629</v>
      </c>
      <c r="R224" s="18">
        <f t="shared" si="591"/>
        <v>1.4621300604688043</v>
      </c>
      <c r="S224" s="18">
        <f t="shared" si="591"/>
        <v>1.4492074795487648</v>
      </c>
      <c r="T224" s="18">
        <f t="shared" si="591"/>
        <v>1.4360096462679024</v>
      </c>
      <c r="U224" s="18">
        <f t="shared" si="591"/>
        <v>88.969061886644184</v>
      </c>
      <c r="V224" s="18">
        <f t="shared" si="591"/>
        <v>0</v>
      </c>
      <c r="W224" s="18">
        <f t="shared" si="591"/>
        <v>0</v>
      </c>
      <c r="X224" s="18">
        <f t="shared" si="591"/>
        <v>0</v>
      </c>
      <c r="Y224" s="18">
        <f t="shared" si="591"/>
        <v>0</v>
      </c>
      <c r="Z224" s="18">
        <f t="shared" si="591"/>
        <v>0</v>
      </c>
      <c r="AA224" s="18">
        <f t="shared" si="591"/>
        <v>0</v>
      </c>
      <c r="AB224" s="18">
        <f t="shared" si="591"/>
        <v>0</v>
      </c>
      <c r="AC224" s="18">
        <f t="shared" si="591"/>
        <v>0</v>
      </c>
      <c r="AD224" s="18">
        <f t="shared" si="591"/>
        <v>0</v>
      </c>
      <c r="AE224" s="18">
        <f t="shared" si="591"/>
        <v>0</v>
      </c>
      <c r="AF224" s="18">
        <f t="shared" si="591"/>
        <v>0</v>
      </c>
      <c r="AG224" s="18">
        <f t="shared" si="591"/>
        <v>0</v>
      </c>
      <c r="AH224" s="18">
        <f t="shared" si="591"/>
        <v>0</v>
      </c>
      <c r="AI224" s="18">
        <f t="shared" si="591"/>
        <v>0</v>
      </c>
      <c r="AJ224" s="18">
        <f t="shared" si="591"/>
        <v>0</v>
      </c>
      <c r="AK224" s="18">
        <f t="shared" si="591"/>
        <v>0</v>
      </c>
      <c r="AL224" s="18">
        <f t="shared" si="591"/>
        <v>0</v>
      </c>
      <c r="AM224" s="18">
        <f t="shared" si="591"/>
        <v>0</v>
      </c>
      <c r="AN224" s="18">
        <f t="shared" si="591"/>
        <v>0</v>
      </c>
      <c r="AO224" s="18">
        <f t="shared" si="591"/>
        <v>0</v>
      </c>
      <c r="AP224" s="18">
        <f t="shared" si="591"/>
        <v>0</v>
      </c>
      <c r="AQ224" s="18">
        <f t="shared" si="591"/>
        <v>0</v>
      </c>
      <c r="AR224" s="18">
        <f t="shared" si="591"/>
        <v>0</v>
      </c>
      <c r="AS224" s="18">
        <f t="shared" si="591"/>
        <v>0</v>
      </c>
      <c r="AT224" s="18">
        <f t="shared" si="591"/>
        <v>0</v>
      </c>
      <c r="AU224" s="18">
        <f t="shared" si="591"/>
        <v>0</v>
      </c>
      <c r="AV224" s="18">
        <f t="shared" si="591"/>
        <v>0</v>
      </c>
      <c r="AW224" s="18">
        <f t="shared" si="591"/>
        <v>0</v>
      </c>
      <c r="AX224" s="18">
        <f t="shared" si="591"/>
        <v>0</v>
      </c>
      <c r="AY224" s="18">
        <f t="shared" si="591"/>
        <v>0</v>
      </c>
      <c r="AZ224" s="18">
        <f t="shared" si="591"/>
        <v>0</v>
      </c>
      <c r="BA224" s="18">
        <f t="shared" si="591"/>
        <v>0</v>
      </c>
      <c r="BB224" s="18">
        <f t="shared" si="591"/>
        <v>0</v>
      </c>
      <c r="BC224" s="18">
        <f t="shared" si="591"/>
        <v>0</v>
      </c>
      <c r="BD224" s="18">
        <f t="shared" si="591"/>
        <v>0</v>
      </c>
      <c r="BE224" s="18">
        <f t="shared" si="591"/>
        <v>0</v>
      </c>
      <c r="BF224" s="18">
        <f t="shared" si="591"/>
        <v>0</v>
      </c>
      <c r="BG224" s="18">
        <f t="shared" si="591"/>
        <v>0</v>
      </c>
      <c r="BH224" s="18">
        <f t="shared" si="591"/>
        <v>0</v>
      </c>
      <c r="BI224" s="18">
        <f t="shared" si="591"/>
        <v>0</v>
      </c>
      <c r="BJ224" s="18">
        <f t="shared" si="591"/>
        <v>0</v>
      </c>
      <c r="BK224" s="18">
        <f t="shared" si="591"/>
        <v>0</v>
      </c>
      <c r="BL224" s="18">
        <f t="shared" si="591"/>
        <v>0</v>
      </c>
      <c r="BM224" s="18">
        <f t="shared" si="591"/>
        <v>0</v>
      </c>
      <c r="BN224" s="18">
        <f t="shared" ref="BN224:CB224" si="592">BN49*BN132</f>
        <v>0</v>
      </c>
      <c r="BO224" s="18">
        <f t="shared" si="592"/>
        <v>0</v>
      </c>
      <c r="BP224" s="18">
        <f t="shared" si="592"/>
        <v>0</v>
      </c>
      <c r="BQ224" s="18">
        <f t="shared" si="592"/>
        <v>0</v>
      </c>
      <c r="BR224" s="18">
        <f t="shared" si="592"/>
        <v>0</v>
      </c>
      <c r="BS224" s="18">
        <f t="shared" si="592"/>
        <v>0</v>
      </c>
      <c r="BT224" s="18">
        <f t="shared" si="592"/>
        <v>0</v>
      </c>
      <c r="BU224" s="18">
        <f t="shared" si="592"/>
        <v>0</v>
      </c>
      <c r="BV224" s="18">
        <f t="shared" si="592"/>
        <v>0</v>
      </c>
      <c r="BW224" s="18">
        <f t="shared" si="592"/>
        <v>0</v>
      </c>
      <c r="BX224" s="18">
        <f t="shared" si="592"/>
        <v>0</v>
      </c>
      <c r="BY224" s="18">
        <f t="shared" si="592"/>
        <v>0</v>
      </c>
      <c r="BZ224" s="18">
        <f t="shared" si="592"/>
        <v>0</v>
      </c>
      <c r="CA224" s="18">
        <f t="shared" si="592"/>
        <v>0</v>
      </c>
      <c r="CB224" s="18">
        <f t="shared" si="592"/>
        <v>0</v>
      </c>
      <c r="CC224" s="17"/>
      <c r="CD224" s="17"/>
      <c r="CE224" s="17"/>
      <c r="CH224" s="5"/>
      <c r="CI224" s="11"/>
      <c r="CJ224" s="11"/>
      <c r="CK224" s="11"/>
      <c r="CL224" s="11"/>
      <c r="CM224" s="11"/>
      <c r="CN224" s="11"/>
      <c r="CO224" s="11"/>
      <c r="CP224" s="11"/>
      <c r="CQ224" s="11"/>
      <c r="CR224" s="11"/>
      <c r="CS224" s="11"/>
      <c r="CT224" s="11"/>
      <c r="CU224" s="11"/>
      <c r="CV224" s="11"/>
      <c r="CW224" s="11"/>
      <c r="CX224" s="11"/>
      <c r="CY224" s="11"/>
      <c r="CZ224" s="11"/>
      <c r="DA224" s="11"/>
      <c r="DB224" s="11"/>
      <c r="DC224" s="11"/>
      <c r="DD224" s="11"/>
      <c r="DE224" s="11"/>
      <c r="DF224" s="11"/>
      <c r="DG224" s="11"/>
      <c r="DH224" s="11"/>
      <c r="DI224" s="11"/>
      <c r="DJ224" s="11"/>
      <c r="DK224" s="11"/>
      <c r="DL224" s="11"/>
      <c r="DM224" s="11"/>
      <c r="DN224" s="11"/>
      <c r="DO224" s="11"/>
      <c r="DP224" s="11"/>
      <c r="DQ224" s="11"/>
      <c r="DR224" s="11"/>
      <c r="DS224" s="11"/>
      <c r="DT224" s="11"/>
      <c r="DU224" s="11"/>
      <c r="DV224" s="11"/>
      <c r="DW224" s="11"/>
      <c r="DX224" s="11"/>
      <c r="DY224" s="11"/>
      <c r="DZ224" s="11"/>
      <c r="EA224" s="11"/>
      <c r="EB224" s="11"/>
      <c r="EC224" s="11"/>
      <c r="ED224" s="11"/>
    </row>
    <row r="225" spans="1:256">
      <c r="A225" s="18" t="str">
        <f>A51</f>
        <v>Bond 11</v>
      </c>
      <c r="B225" s="18">
        <f t="shared" ref="B225:BM225" si="593">B51*B137</f>
        <v>1.3683587752381314</v>
      </c>
      <c r="C225" s="18">
        <f t="shared" si="593"/>
        <v>1.3621314343312183</v>
      </c>
      <c r="D225" s="18">
        <f t="shared" si="593"/>
        <v>1.3561187915284967</v>
      </c>
      <c r="E225" s="18">
        <f t="shared" si="593"/>
        <v>1.3499877968649459</v>
      </c>
      <c r="F225" s="18">
        <f t="shared" si="593"/>
        <v>1.3435263992432078</v>
      </c>
      <c r="G225" s="18">
        <f t="shared" si="593"/>
        <v>1.3366249129282086</v>
      </c>
      <c r="H225" s="18">
        <f t="shared" si="593"/>
        <v>1.329238742176579</v>
      </c>
      <c r="I225" s="18">
        <f t="shared" si="593"/>
        <v>1.3213633255118622</v>
      </c>
      <c r="J225" s="18">
        <f t="shared" si="593"/>
        <v>1.3130174886709336</v>
      </c>
      <c r="K225" s="18">
        <f t="shared" si="593"/>
        <v>1.3042825246097094</v>
      </c>
      <c r="L225" s="18">
        <f t="shared" si="593"/>
        <v>1.2950975867737264</v>
      </c>
      <c r="M225" s="18">
        <f t="shared" si="593"/>
        <v>1.2855485340607615</v>
      </c>
      <c r="N225" s="18">
        <f t="shared" si="593"/>
        <v>1.2756724484034947</v>
      </c>
      <c r="O225" s="18">
        <f t="shared" si="593"/>
        <v>1.2655039037871989</v>
      </c>
      <c r="P225" s="18">
        <f t="shared" si="593"/>
        <v>1.2550743631142218</v>
      </c>
      <c r="Q225" s="18">
        <f t="shared" si="593"/>
        <v>1.2444120293311807</v>
      </c>
      <c r="R225" s="18">
        <f t="shared" si="593"/>
        <v>1.2335419613327971</v>
      </c>
      <c r="S225" s="18">
        <f t="shared" si="593"/>
        <v>1.2225482267248866</v>
      </c>
      <c r="T225" s="18">
        <f t="shared" si="593"/>
        <v>1.2113275110552015</v>
      </c>
      <c r="U225" s="18">
        <f t="shared" si="593"/>
        <v>1.1999581189325503</v>
      </c>
      <c r="V225" s="18">
        <f t="shared" si="593"/>
        <v>1.1884555203001306</v>
      </c>
      <c r="W225" s="18">
        <f t="shared" si="593"/>
        <v>1.1768335645782972</v>
      </c>
      <c r="X225" s="18">
        <f t="shared" si="593"/>
        <v>1.1651047390450537</v>
      </c>
      <c r="Y225" s="18">
        <f t="shared" si="593"/>
        <v>1.1532803911695226</v>
      </c>
      <c r="Z225" s="18">
        <f t="shared" si="593"/>
        <v>1.1413709164262236</v>
      </c>
      <c r="AA225" s="18">
        <f t="shared" si="593"/>
        <v>1.1294526899645358</v>
      </c>
      <c r="AB225" s="18">
        <f t="shared" si="593"/>
        <v>1.1174014404944814</v>
      </c>
      <c r="AC225" s="18">
        <f t="shared" si="593"/>
        <v>1.1052919227265543</v>
      </c>
      <c r="AD225" s="18">
        <f t="shared" si="593"/>
        <v>1.0931320327941239</v>
      </c>
      <c r="AE225" s="18">
        <f t="shared" si="593"/>
        <v>1.0809292573884617</v>
      </c>
      <c r="AF225" s="18">
        <f t="shared" si="593"/>
        <v>1.0686907282092313</v>
      </c>
      <c r="AG225" s="18">
        <f t="shared" si="593"/>
        <v>77.88720619088393</v>
      </c>
      <c r="AH225" s="18">
        <f t="shared" si="593"/>
        <v>0</v>
      </c>
      <c r="AI225" s="18">
        <f t="shared" si="593"/>
        <v>0</v>
      </c>
      <c r="AJ225" s="18">
        <f t="shared" si="593"/>
        <v>0</v>
      </c>
      <c r="AK225" s="18">
        <f t="shared" si="593"/>
        <v>0</v>
      </c>
      <c r="AL225" s="18">
        <f t="shared" si="593"/>
        <v>0</v>
      </c>
      <c r="AM225" s="18">
        <f t="shared" si="593"/>
        <v>0</v>
      </c>
      <c r="AN225" s="18">
        <f t="shared" si="593"/>
        <v>0</v>
      </c>
      <c r="AO225" s="18">
        <f t="shared" si="593"/>
        <v>0</v>
      </c>
      <c r="AP225" s="18">
        <f t="shared" si="593"/>
        <v>0</v>
      </c>
      <c r="AQ225" s="18">
        <f t="shared" si="593"/>
        <v>0</v>
      </c>
      <c r="AR225" s="18">
        <f t="shared" si="593"/>
        <v>0</v>
      </c>
      <c r="AS225" s="18">
        <f t="shared" si="593"/>
        <v>0</v>
      </c>
      <c r="AT225" s="18">
        <f t="shared" si="593"/>
        <v>0</v>
      </c>
      <c r="AU225" s="18">
        <f t="shared" si="593"/>
        <v>0</v>
      </c>
      <c r="AV225" s="18">
        <f t="shared" si="593"/>
        <v>0</v>
      </c>
      <c r="AW225" s="18">
        <f t="shared" si="593"/>
        <v>0</v>
      </c>
      <c r="AX225" s="18">
        <f t="shared" si="593"/>
        <v>0</v>
      </c>
      <c r="AY225" s="18">
        <f t="shared" si="593"/>
        <v>0</v>
      </c>
      <c r="AZ225" s="18">
        <f t="shared" si="593"/>
        <v>0</v>
      </c>
      <c r="BA225" s="18">
        <f t="shared" si="593"/>
        <v>0</v>
      </c>
      <c r="BB225" s="18">
        <f t="shared" si="593"/>
        <v>0</v>
      </c>
      <c r="BC225" s="18">
        <f t="shared" si="593"/>
        <v>0</v>
      </c>
      <c r="BD225" s="18">
        <f t="shared" si="593"/>
        <v>0</v>
      </c>
      <c r="BE225" s="18">
        <f t="shared" si="593"/>
        <v>0</v>
      </c>
      <c r="BF225" s="18">
        <f t="shared" si="593"/>
        <v>0</v>
      </c>
      <c r="BG225" s="18">
        <f t="shared" si="593"/>
        <v>0</v>
      </c>
      <c r="BH225" s="18">
        <f t="shared" si="593"/>
        <v>0</v>
      </c>
      <c r="BI225" s="18">
        <f t="shared" si="593"/>
        <v>0</v>
      </c>
      <c r="BJ225" s="18">
        <f t="shared" si="593"/>
        <v>0</v>
      </c>
      <c r="BK225" s="18">
        <f t="shared" si="593"/>
        <v>0</v>
      </c>
      <c r="BL225" s="18">
        <f t="shared" si="593"/>
        <v>0</v>
      </c>
      <c r="BM225" s="18">
        <f t="shared" si="593"/>
        <v>0</v>
      </c>
      <c r="BN225" s="18">
        <f t="shared" ref="BN225:CB225" si="594">BN51*BN137</f>
        <v>0</v>
      </c>
      <c r="BO225" s="18">
        <f t="shared" si="594"/>
        <v>0</v>
      </c>
      <c r="BP225" s="18">
        <f t="shared" si="594"/>
        <v>0</v>
      </c>
      <c r="BQ225" s="18">
        <f t="shared" si="594"/>
        <v>0</v>
      </c>
      <c r="BR225" s="18">
        <f t="shared" si="594"/>
        <v>0</v>
      </c>
      <c r="BS225" s="18">
        <f t="shared" si="594"/>
        <v>0</v>
      </c>
      <c r="BT225" s="18">
        <f t="shared" si="594"/>
        <v>0</v>
      </c>
      <c r="BU225" s="18">
        <f t="shared" si="594"/>
        <v>0</v>
      </c>
      <c r="BV225" s="18">
        <f t="shared" si="594"/>
        <v>0</v>
      </c>
      <c r="BW225" s="18">
        <f t="shared" si="594"/>
        <v>0</v>
      </c>
      <c r="BX225" s="18">
        <f t="shared" si="594"/>
        <v>0</v>
      </c>
      <c r="BY225" s="18">
        <f t="shared" si="594"/>
        <v>0</v>
      </c>
      <c r="BZ225" s="18">
        <f t="shared" si="594"/>
        <v>0</v>
      </c>
      <c r="CA225" s="18">
        <f t="shared" si="594"/>
        <v>0</v>
      </c>
      <c r="CB225" s="18">
        <f t="shared" si="594"/>
        <v>0</v>
      </c>
      <c r="CC225" s="17"/>
      <c r="CD225" s="17"/>
      <c r="CE225" s="17"/>
      <c r="CH225" s="5"/>
      <c r="CI225" s="11"/>
      <c r="CJ225" s="11"/>
      <c r="CK225" s="11"/>
      <c r="CL225" s="11"/>
      <c r="CM225" s="11"/>
      <c r="CN225" s="11"/>
      <c r="CO225" s="11"/>
      <c r="CP225" s="11"/>
      <c r="CQ225" s="11"/>
      <c r="CR225" s="11"/>
      <c r="CS225" s="11"/>
      <c r="CT225" s="11"/>
      <c r="CU225" s="11"/>
      <c r="CV225" s="11"/>
      <c r="CW225" s="11"/>
      <c r="CX225" s="11"/>
      <c r="CY225" s="11"/>
      <c r="CZ225" s="11"/>
      <c r="DA225" s="11"/>
      <c r="DB225" s="11"/>
      <c r="DC225" s="11"/>
      <c r="DD225" s="11"/>
      <c r="DE225" s="11"/>
      <c r="DF225" s="11"/>
      <c r="DG225" s="11"/>
      <c r="DH225" s="11"/>
      <c r="DI225" s="11"/>
      <c r="DJ225" s="11"/>
      <c r="DK225" s="11"/>
      <c r="DL225" s="11"/>
      <c r="DM225" s="11"/>
      <c r="DN225" s="11"/>
      <c r="DO225" s="11"/>
      <c r="DP225" s="11"/>
      <c r="DQ225" s="11"/>
      <c r="DR225" s="11"/>
      <c r="DS225" s="11"/>
      <c r="DT225" s="11"/>
      <c r="DU225" s="11"/>
      <c r="DV225" s="11"/>
      <c r="DW225" s="11"/>
      <c r="DX225" s="11"/>
      <c r="DY225" s="11"/>
      <c r="DZ225" s="11"/>
      <c r="EA225" s="11"/>
      <c r="EB225" s="11"/>
      <c r="EC225" s="11"/>
      <c r="ED225" s="11"/>
    </row>
    <row r="226" spans="1:256">
      <c r="A226" s="18" t="str">
        <f>A53</f>
        <v>Bond 12</v>
      </c>
      <c r="B226" s="18">
        <f t="shared" ref="B226:BM226" si="595">B53*B142</f>
        <v>1.6171512798268826</v>
      </c>
      <c r="C226" s="18">
        <f t="shared" si="595"/>
        <v>1.6097916951187128</v>
      </c>
      <c r="D226" s="18">
        <f t="shared" si="595"/>
        <v>1.602685844533678</v>
      </c>
      <c r="E226" s="18">
        <f t="shared" si="595"/>
        <v>1.5954401235676632</v>
      </c>
      <c r="F226" s="18">
        <f t="shared" si="595"/>
        <v>1.5878039263783363</v>
      </c>
      <c r="G226" s="18">
        <f t="shared" si="595"/>
        <v>1.5796476243697009</v>
      </c>
      <c r="H226" s="18">
        <f t="shared" si="595"/>
        <v>1.5709185134814114</v>
      </c>
      <c r="I226" s="18">
        <f t="shared" si="595"/>
        <v>1.5616112028776552</v>
      </c>
      <c r="J226" s="18">
        <f t="shared" si="595"/>
        <v>1.5517479411565578</v>
      </c>
      <c r="K226" s="18">
        <f t="shared" si="595"/>
        <v>1.5414248018114747</v>
      </c>
      <c r="L226" s="18">
        <f t="shared" si="595"/>
        <v>1.5305698752780403</v>
      </c>
      <c r="M226" s="18">
        <f t="shared" si="595"/>
        <v>1.5192846311627182</v>
      </c>
      <c r="N226" s="18">
        <f t="shared" si="595"/>
        <v>1.5076128935677664</v>
      </c>
      <c r="O226" s="18">
        <f t="shared" si="595"/>
        <v>1.4955955226575988</v>
      </c>
      <c r="P226" s="18">
        <f t="shared" si="595"/>
        <v>1.4832697018622623</v>
      </c>
      <c r="Q226" s="18">
        <f t="shared" si="595"/>
        <v>1.4706687619368499</v>
      </c>
      <c r="R226" s="18">
        <f t="shared" si="595"/>
        <v>1.4578223179387602</v>
      </c>
      <c r="S226" s="18">
        <f t="shared" si="595"/>
        <v>1.4448297224930478</v>
      </c>
      <c r="T226" s="18">
        <f t="shared" si="595"/>
        <v>1.4315688767016017</v>
      </c>
      <c r="U226" s="18">
        <f t="shared" si="595"/>
        <v>1.4181323223748321</v>
      </c>
      <c r="V226" s="18">
        <f t="shared" si="595"/>
        <v>1.4045383421728816</v>
      </c>
      <c r="W226" s="18">
        <f t="shared" si="595"/>
        <v>1.3908033035925331</v>
      </c>
      <c r="X226" s="18">
        <f t="shared" si="595"/>
        <v>1.3769419643259726</v>
      </c>
      <c r="Y226" s="18">
        <f t="shared" si="595"/>
        <v>1.3629677350185267</v>
      </c>
      <c r="Z226" s="18">
        <f t="shared" si="595"/>
        <v>1.3488929012309914</v>
      </c>
      <c r="AA226" s="18">
        <f t="shared" si="595"/>
        <v>1.3348077245035421</v>
      </c>
      <c r="AB226" s="18">
        <f t="shared" si="595"/>
        <v>1.3205653387662051</v>
      </c>
      <c r="AC226" s="18">
        <f t="shared" si="595"/>
        <v>1.3062540904950188</v>
      </c>
      <c r="AD226" s="18">
        <f t="shared" si="595"/>
        <v>1.2918833114839647</v>
      </c>
      <c r="AE226" s="18">
        <f t="shared" si="595"/>
        <v>1.2774618496409094</v>
      </c>
      <c r="AF226" s="18">
        <f t="shared" si="595"/>
        <v>1.2629981333381823</v>
      </c>
      <c r="AG226" s="18">
        <f t="shared" si="595"/>
        <v>1.2485002225419126</v>
      </c>
      <c r="AH226" s="18">
        <f t="shared" si="595"/>
        <v>1.2339758492726454</v>
      </c>
      <c r="AI226" s="18">
        <f t="shared" si="595"/>
        <v>1.2195132854679567</v>
      </c>
      <c r="AJ226" s="18">
        <f t="shared" si="595"/>
        <v>1.2049580708966807</v>
      </c>
      <c r="AK226" s="18">
        <f t="shared" si="595"/>
        <v>1.1903978711203655</v>
      </c>
      <c r="AL226" s="18">
        <f t="shared" si="595"/>
        <v>1.175839365739723</v>
      </c>
      <c r="AM226" s="18">
        <f t="shared" si="595"/>
        <v>1.1612890109420804</v>
      </c>
      <c r="AN226" s="18">
        <f t="shared" si="595"/>
        <v>1.1467530492226092</v>
      </c>
      <c r="AO226" s="18">
        <f t="shared" si="595"/>
        <v>70.808392418302134</v>
      </c>
      <c r="AP226" s="18">
        <f t="shared" si="595"/>
        <v>0</v>
      </c>
      <c r="AQ226" s="18">
        <f t="shared" si="595"/>
        <v>0</v>
      </c>
      <c r="AR226" s="18">
        <f t="shared" si="595"/>
        <v>0</v>
      </c>
      <c r="AS226" s="18">
        <f t="shared" si="595"/>
        <v>0</v>
      </c>
      <c r="AT226" s="18">
        <f t="shared" si="595"/>
        <v>0</v>
      </c>
      <c r="AU226" s="18">
        <f t="shared" si="595"/>
        <v>0</v>
      </c>
      <c r="AV226" s="18">
        <f t="shared" si="595"/>
        <v>0</v>
      </c>
      <c r="AW226" s="18">
        <f t="shared" si="595"/>
        <v>0</v>
      </c>
      <c r="AX226" s="18">
        <f t="shared" si="595"/>
        <v>0</v>
      </c>
      <c r="AY226" s="18">
        <f t="shared" si="595"/>
        <v>0</v>
      </c>
      <c r="AZ226" s="18">
        <f t="shared" si="595"/>
        <v>0</v>
      </c>
      <c r="BA226" s="18">
        <f t="shared" si="595"/>
        <v>0</v>
      </c>
      <c r="BB226" s="18">
        <f t="shared" si="595"/>
        <v>0</v>
      </c>
      <c r="BC226" s="18">
        <f t="shared" si="595"/>
        <v>0</v>
      </c>
      <c r="BD226" s="18">
        <f t="shared" si="595"/>
        <v>0</v>
      </c>
      <c r="BE226" s="18">
        <f t="shared" si="595"/>
        <v>0</v>
      </c>
      <c r="BF226" s="18">
        <f t="shared" si="595"/>
        <v>0</v>
      </c>
      <c r="BG226" s="18">
        <f t="shared" si="595"/>
        <v>0</v>
      </c>
      <c r="BH226" s="18">
        <f t="shared" si="595"/>
        <v>0</v>
      </c>
      <c r="BI226" s="18">
        <f t="shared" si="595"/>
        <v>0</v>
      </c>
      <c r="BJ226" s="18">
        <f t="shared" si="595"/>
        <v>0</v>
      </c>
      <c r="BK226" s="18">
        <f t="shared" si="595"/>
        <v>0</v>
      </c>
      <c r="BL226" s="18">
        <f t="shared" si="595"/>
        <v>0</v>
      </c>
      <c r="BM226" s="18">
        <f t="shared" si="595"/>
        <v>0</v>
      </c>
      <c r="BN226" s="18">
        <f t="shared" ref="BN226:CB226" si="596">BN53*BN142</f>
        <v>0</v>
      </c>
      <c r="BO226" s="18">
        <f t="shared" si="596"/>
        <v>0</v>
      </c>
      <c r="BP226" s="18">
        <f t="shared" si="596"/>
        <v>0</v>
      </c>
      <c r="BQ226" s="18">
        <f t="shared" si="596"/>
        <v>0</v>
      </c>
      <c r="BR226" s="18">
        <f t="shared" si="596"/>
        <v>0</v>
      </c>
      <c r="BS226" s="18">
        <f t="shared" si="596"/>
        <v>0</v>
      </c>
      <c r="BT226" s="18">
        <f t="shared" si="596"/>
        <v>0</v>
      </c>
      <c r="BU226" s="18">
        <f t="shared" si="596"/>
        <v>0</v>
      </c>
      <c r="BV226" s="18">
        <f t="shared" si="596"/>
        <v>0</v>
      </c>
      <c r="BW226" s="18">
        <f t="shared" si="596"/>
        <v>0</v>
      </c>
      <c r="BX226" s="18">
        <f t="shared" si="596"/>
        <v>0</v>
      </c>
      <c r="BY226" s="18">
        <f t="shared" si="596"/>
        <v>0</v>
      </c>
      <c r="BZ226" s="18">
        <f t="shared" si="596"/>
        <v>0</v>
      </c>
      <c r="CA226" s="18">
        <f t="shared" si="596"/>
        <v>0</v>
      </c>
      <c r="CB226" s="18">
        <f t="shared" si="596"/>
        <v>0</v>
      </c>
      <c r="CC226" s="17"/>
      <c r="CD226" s="17"/>
      <c r="CE226" s="17"/>
      <c r="CH226" s="5"/>
      <c r="CI226" s="11"/>
      <c r="CJ226" s="11"/>
      <c r="CK226" s="11"/>
      <c r="CL226" s="11"/>
      <c r="CM226" s="11"/>
      <c r="CN226" s="11"/>
      <c r="CO226" s="11"/>
      <c r="CP226" s="11"/>
      <c r="CQ226" s="11"/>
      <c r="CR226" s="11"/>
      <c r="CS226" s="11"/>
      <c r="CT226" s="11"/>
      <c r="CU226" s="11"/>
      <c r="CV226" s="11"/>
      <c r="CW226" s="11"/>
      <c r="CX226" s="11"/>
      <c r="CY226" s="11"/>
      <c r="CZ226" s="11"/>
      <c r="DA226" s="11"/>
      <c r="DB226" s="11"/>
      <c r="DC226" s="11"/>
      <c r="DD226" s="11"/>
      <c r="DE226" s="11"/>
      <c r="DF226" s="11"/>
      <c r="DG226" s="11"/>
      <c r="DH226" s="11"/>
      <c r="DI226" s="11"/>
      <c r="DJ226" s="11"/>
      <c r="DK226" s="11"/>
      <c r="DL226" s="11"/>
      <c r="DM226" s="11"/>
      <c r="DN226" s="11"/>
      <c r="DO226" s="11"/>
      <c r="DP226" s="11"/>
      <c r="DQ226" s="11"/>
      <c r="DR226" s="11"/>
      <c r="DS226" s="11"/>
      <c r="DT226" s="11"/>
      <c r="DU226" s="11"/>
      <c r="DV226" s="11"/>
      <c r="DW226" s="11"/>
      <c r="DX226" s="11"/>
      <c r="DY226" s="11"/>
      <c r="DZ226" s="11"/>
      <c r="EA226" s="11"/>
      <c r="EB226" s="11"/>
      <c r="EC226" s="11"/>
      <c r="ED226" s="11"/>
    </row>
    <row r="227" spans="1:256">
      <c r="A227" s="18" t="str">
        <f>A55</f>
        <v>Bond 13</v>
      </c>
      <c r="B227" s="18">
        <f t="shared" ref="B227:BM227" si="597">B55*B147</f>
        <v>0</v>
      </c>
      <c r="C227" s="18">
        <f t="shared" si="597"/>
        <v>0</v>
      </c>
      <c r="D227" s="18">
        <f t="shared" si="597"/>
        <v>0</v>
      </c>
      <c r="E227" s="18">
        <f t="shared" si="597"/>
        <v>0</v>
      </c>
      <c r="F227" s="18">
        <f t="shared" si="597"/>
        <v>0</v>
      </c>
      <c r="G227" s="18">
        <f t="shared" si="597"/>
        <v>0</v>
      </c>
      <c r="H227" s="18">
        <f t="shared" si="597"/>
        <v>0</v>
      </c>
      <c r="I227" s="18">
        <f t="shared" si="597"/>
        <v>0</v>
      </c>
      <c r="J227" s="18">
        <f t="shared" si="597"/>
        <v>0</v>
      </c>
      <c r="K227" s="18">
        <f t="shared" si="597"/>
        <v>0</v>
      </c>
      <c r="L227" s="18">
        <f t="shared" si="597"/>
        <v>0</v>
      </c>
      <c r="M227" s="18">
        <f t="shared" si="597"/>
        <v>0</v>
      </c>
      <c r="N227" s="18">
        <f t="shared" si="597"/>
        <v>0</v>
      </c>
      <c r="O227" s="18">
        <f t="shared" si="597"/>
        <v>0</v>
      </c>
      <c r="P227" s="18">
        <f t="shared" si="597"/>
        <v>0</v>
      </c>
      <c r="Q227" s="18">
        <f t="shared" si="597"/>
        <v>0</v>
      </c>
      <c r="R227" s="18">
        <f t="shared" si="597"/>
        <v>0</v>
      </c>
      <c r="S227" s="18">
        <f t="shared" si="597"/>
        <v>0</v>
      </c>
      <c r="T227" s="18">
        <f t="shared" si="597"/>
        <v>0</v>
      </c>
      <c r="U227" s="18">
        <f t="shared" si="597"/>
        <v>0</v>
      </c>
      <c r="V227" s="18">
        <f t="shared" si="597"/>
        <v>0</v>
      </c>
      <c r="W227" s="18">
        <f t="shared" si="597"/>
        <v>0</v>
      </c>
      <c r="X227" s="18">
        <f t="shared" si="597"/>
        <v>0</v>
      </c>
      <c r="Y227" s="18">
        <f t="shared" si="597"/>
        <v>0</v>
      </c>
      <c r="Z227" s="18">
        <f t="shared" si="597"/>
        <v>0</v>
      </c>
      <c r="AA227" s="18">
        <f t="shared" si="597"/>
        <v>0</v>
      </c>
      <c r="AB227" s="18">
        <f t="shared" si="597"/>
        <v>0</v>
      </c>
      <c r="AC227" s="18">
        <f t="shared" si="597"/>
        <v>0</v>
      </c>
      <c r="AD227" s="18">
        <f t="shared" si="597"/>
        <v>0</v>
      </c>
      <c r="AE227" s="18">
        <f t="shared" si="597"/>
        <v>0</v>
      </c>
      <c r="AF227" s="18">
        <f t="shared" si="597"/>
        <v>0</v>
      </c>
      <c r="AG227" s="18">
        <f t="shared" si="597"/>
        <v>0</v>
      </c>
      <c r="AH227" s="18">
        <f t="shared" si="597"/>
        <v>0</v>
      </c>
      <c r="AI227" s="18">
        <f t="shared" si="597"/>
        <v>0</v>
      </c>
      <c r="AJ227" s="18">
        <f t="shared" si="597"/>
        <v>0</v>
      </c>
      <c r="AK227" s="18">
        <f t="shared" si="597"/>
        <v>0</v>
      </c>
      <c r="AL227" s="18">
        <f t="shared" si="597"/>
        <v>0</v>
      </c>
      <c r="AM227" s="18">
        <f t="shared" si="597"/>
        <v>0</v>
      </c>
      <c r="AN227" s="18">
        <f t="shared" si="597"/>
        <v>0</v>
      </c>
      <c r="AO227" s="18">
        <f t="shared" si="597"/>
        <v>0</v>
      </c>
      <c r="AP227" s="18">
        <f t="shared" si="597"/>
        <v>0</v>
      </c>
      <c r="AQ227" s="18">
        <f t="shared" si="597"/>
        <v>0</v>
      </c>
      <c r="AR227" s="18">
        <f t="shared" si="597"/>
        <v>0</v>
      </c>
      <c r="AS227" s="18">
        <f t="shared" si="597"/>
        <v>0</v>
      </c>
      <c r="AT227" s="18">
        <f t="shared" si="597"/>
        <v>0</v>
      </c>
      <c r="AU227" s="18">
        <f t="shared" si="597"/>
        <v>0</v>
      </c>
      <c r="AV227" s="18">
        <f t="shared" si="597"/>
        <v>0</v>
      </c>
      <c r="AW227" s="18">
        <f t="shared" si="597"/>
        <v>0</v>
      </c>
      <c r="AX227" s="18">
        <f t="shared" si="597"/>
        <v>0</v>
      </c>
      <c r="AY227" s="18">
        <f t="shared" si="597"/>
        <v>0</v>
      </c>
      <c r="AZ227" s="18">
        <f t="shared" si="597"/>
        <v>0</v>
      </c>
      <c r="BA227" s="18">
        <f t="shared" si="597"/>
        <v>0</v>
      </c>
      <c r="BB227" s="18">
        <f t="shared" si="597"/>
        <v>0</v>
      </c>
      <c r="BC227" s="18">
        <f t="shared" si="597"/>
        <v>0</v>
      </c>
      <c r="BD227" s="18">
        <f t="shared" si="597"/>
        <v>0</v>
      </c>
      <c r="BE227" s="18">
        <f t="shared" si="597"/>
        <v>0</v>
      </c>
      <c r="BF227" s="18">
        <f t="shared" si="597"/>
        <v>0</v>
      </c>
      <c r="BG227" s="18">
        <f t="shared" si="597"/>
        <v>0</v>
      </c>
      <c r="BH227" s="18">
        <f t="shared" si="597"/>
        <v>0</v>
      </c>
      <c r="BI227" s="18">
        <f t="shared" si="597"/>
        <v>0</v>
      </c>
      <c r="BJ227" s="18">
        <f t="shared" si="597"/>
        <v>0</v>
      </c>
      <c r="BK227" s="18">
        <f t="shared" si="597"/>
        <v>0</v>
      </c>
      <c r="BL227" s="18">
        <f t="shared" si="597"/>
        <v>0</v>
      </c>
      <c r="BM227" s="18">
        <f t="shared" si="597"/>
        <v>0</v>
      </c>
      <c r="BN227" s="18">
        <f t="shared" ref="BN227:DY227" si="598">BN55*BN147</f>
        <v>0</v>
      </c>
      <c r="BO227" s="18">
        <f t="shared" si="598"/>
        <v>0</v>
      </c>
      <c r="BP227" s="18">
        <f t="shared" si="598"/>
        <v>0</v>
      </c>
      <c r="BQ227" s="18">
        <f t="shared" si="598"/>
        <v>0</v>
      </c>
      <c r="BR227" s="18">
        <f t="shared" si="598"/>
        <v>0</v>
      </c>
      <c r="BS227" s="18">
        <f t="shared" si="598"/>
        <v>0</v>
      </c>
      <c r="BT227" s="18">
        <f t="shared" si="598"/>
        <v>0</v>
      </c>
      <c r="BU227" s="18">
        <f t="shared" si="598"/>
        <v>0</v>
      </c>
      <c r="BV227" s="18">
        <f t="shared" si="598"/>
        <v>0</v>
      </c>
      <c r="BW227" s="18">
        <f t="shared" si="598"/>
        <v>0</v>
      </c>
      <c r="BX227" s="18">
        <f t="shared" si="598"/>
        <v>0</v>
      </c>
      <c r="BY227" s="18">
        <f t="shared" si="598"/>
        <v>0</v>
      </c>
      <c r="BZ227" s="18">
        <f t="shared" si="598"/>
        <v>0</v>
      </c>
      <c r="CA227" s="18">
        <f t="shared" si="598"/>
        <v>0</v>
      </c>
      <c r="CB227" s="18">
        <f t="shared" si="598"/>
        <v>0</v>
      </c>
      <c r="CC227" s="230">
        <f t="shared" si="598"/>
        <v>0</v>
      </c>
      <c r="CD227" s="230">
        <f t="shared" si="598"/>
        <v>0</v>
      </c>
      <c r="CE227" s="230">
        <f t="shared" si="598"/>
        <v>0</v>
      </c>
      <c r="CF227" s="230">
        <f t="shared" si="598"/>
        <v>0</v>
      </c>
      <c r="CG227" s="230">
        <f t="shared" si="598"/>
        <v>0</v>
      </c>
      <c r="CH227" s="230">
        <f t="shared" si="598"/>
        <v>0</v>
      </c>
      <c r="CI227" s="230">
        <f t="shared" si="598"/>
        <v>0</v>
      </c>
      <c r="CJ227" s="230">
        <f t="shared" si="598"/>
        <v>0</v>
      </c>
      <c r="CK227" s="230">
        <f t="shared" si="598"/>
        <v>0</v>
      </c>
      <c r="CL227" s="230">
        <f t="shared" si="598"/>
        <v>0</v>
      </c>
      <c r="CM227" s="230">
        <f t="shared" si="598"/>
        <v>0</v>
      </c>
      <c r="CN227" s="230">
        <f t="shared" si="598"/>
        <v>0</v>
      </c>
      <c r="CO227" s="230">
        <f t="shared" si="598"/>
        <v>0</v>
      </c>
      <c r="CP227" s="230">
        <f t="shared" si="598"/>
        <v>0</v>
      </c>
      <c r="CQ227" s="230">
        <f t="shared" si="598"/>
        <v>0</v>
      </c>
      <c r="CR227" s="230">
        <f t="shared" si="598"/>
        <v>0</v>
      </c>
      <c r="CS227" s="230">
        <f t="shared" si="598"/>
        <v>0</v>
      </c>
      <c r="CT227" s="230">
        <f t="shared" si="598"/>
        <v>0</v>
      </c>
      <c r="CU227" s="230">
        <f t="shared" si="598"/>
        <v>0</v>
      </c>
      <c r="CV227" s="230">
        <f t="shared" si="598"/>
        <v>0</v>
      </c>
      <c r="CW227" s="230">
        <f t="shared" si="598"/>
        <v>0</v>
      </c>
      <c r="CX227" s="230">
        <f t="shared" si="598"/>
        <v>0</v>
      </c>
      <c r="CY227" s="230">
        <f t="shared" si="598"/>
        <v>0</v>
      </c>
      <c r="CZ227" s="230">
        <f t="shared" si="598"/>
        <v>0</v>
      </c>
      <c r="DA227" s="230">
        <f t="shared" si="598"/>
        <v>0</v>
      </c>
      <c r="DB227" s="230">
        <f t="shared" si="598"/>
        <v>0</v>
      </c>
      <c r="DC227" s="230">
        <f t="shared" si="598"/>
        <v>0</v>
      </c>
      <c r="DD227" s="230">
        <f t="shared" si="598"/>
        <v>0</v>
      </c>
      <c r="DE227" s="230">
        <f t="shared" si="598"/>
        <v>0</v>
      </c>
      <c r="DF227" s="230">
        <f t="shared" si="598"/>
        <v>0</v>
      </c>
      <c r="DG227" s="230">
        <f t="shared" si="598"/>
        <v>0</v>
      </c>
      <c r="DH227" s="230">
        <f t="shared" si="598"/>
        <v>0</v>
      </c>
      <c r="DI227" s="230">
        <f t="shared" si="598"/>
        <v>0</v>
      </c>
      <c r="DJ227" s="230">
        <f t="shared" si="598"/>
        <v>0</v>
      </c>
      <c r="DK227" s="230">
        <f t="shared" si="598"/>
        <v>0</v>
      </c>
      <c r="DL227" s="230">
        <f t="shared" si="598"/>
        <v>0</v>
      </c>
      <c r="DM227" s="230">
        <f t="shared" si="598"/>
        <v>0</v>
      </c>
      <c r="DN227" s="230">
        <f t="shared" si="598"/>
        <v>0</v>
      </c>
      <c r="DO227" s="230">
        <f t="shared" si="598"/>
        <v>0</v>
      </c>
      <c r="DP227" s="230">
        <f t="shared" si="598"/>
        <v>0</v>
      </c>
      <c r="DQ227" s="230">
        <f t="shared" si="598"/>
        <v>0</v>
      </c>
      <c r="DR227" s="230">
        <f t="shared" si="598"/>
        <v>0</v>
      </c>
      <c r="DS227" s="230">
        <f t="shared" si="598"/>
        <v>0</v>
      </c>
      <c r="DT227" s="230">
        <f t="shared" si="598"/>
        <v>0</v>
      </c>
      <c r="DU227" s="230">
        <f t="shared" si="598"/>
        <v>0</v>
      </c>
      <c r="DV227" s="230">
        <f t="shared" si="598"/>
        <v>0</v>
      </c>
      <c r="DW227" s="230">
        <f t="shared" si="598"/>
        <v>0</v>
      </c>
      <c r="DX227" s="230">
        <f t="shared" si="598"/>
        <v>0</v>
      </c>
      <c r="DY227" s="230">
        <f t="shared" si="598"/>
        <v>0</v>
      </c>
      <c r="DZ227" s="230">
        <f t="shared" ref="DZ227:GK227" si="599">DZ55*DZ147</f>
        <v>0</v>
      </c>
      <c r="EA227" s="230">
        <f t="shared" si="599"/>
        <v>0</v>
      </c>
      <c r="EB227" s="230">
        <f t="shared" si="599"/>
        <v>0</v>
      </c>
      <c r="EC227" s="230">
        <f t="shared" si="599"/>
        <v>0</v>
      </c>
      <c r="ED227" s="230">
        <f t="shared" si="599"/>
        <v>0</v>
      </c>
      <c r="EE227" s="230">
        <f t="shared" si="599"/>
        <v>0</v>
      </c>
      <c r="EF227" s="230">
        <f t="shared" si="599"/>
        <v>0</v>
      </c>
      <c r="EG227" s="230">
        <f t="shared" si="599"/>
        <v>0</v>
      </c>
      <c r="EH227" s="230">
        <f t="shared" si="599"/>
        <v>0</v>
      </c>
      <c r="EI227" s="230">
        <f t="shared" si="599"/>
        <v>0</v>
      </c>
      <c r="EJ227" s="230">
        <f t="shared" si="599"/>
        <v>0</v>
      </c>
      <c r="EK227" s="230">
        <f t="shared" si="599"/>
        <v>0</v>
      </c>
      <c r="EL227" s="230">
        <f t="shared" si="599"/>
        <v>0</v>
      </c>
      <c r="EM227" s="230">
        <f t="shared" si="599"/>
        <v>0</v>
      </c>
      <c r="EN227" s="230">
        <f t="shared" si="599"/>
        <v>0</v>
      </c>
      <c r="EO227" s="230">
        <f t="shared" si="599"/>
        <v>0</v>
      </c>
      <c r="EP227" s="230">
        <f t="shared" si="599"/>
        <v>0</v>
      </c>
      <c r="EQ227" s="230">
        <f t="shared" si="599"/>
        <v>0</v>
      </c>
      <c r="ER227" s="230">
        <f t="shared" si="599"/>
        <v>0</v>
      </c>
      <c r="ES227" s="230">
        <f t="shared" si="599"/>
        <v>0</v>
      </c>
      <c r="ET227" s="230">
        <f t="shared" si="599"/>
        <v>0</v>
      </c>
      <c r="EU227" s="230">
        <f t="shared" si="599"/>
        <v>0</v>
      </c>
      <c r="EV227" s="230">
        <f t="shared" si="599"/>
        <v>0</v>
      </c>
      <c r="EW227" s="230">
        <f t="shared" si="599"/>
        <v>0</v>
      </c>
      <c r="EX227" s="230">
        <f t="shared" si="599"/>
        <v>0</v>
      </c>
      <c r="EY227" s="230">
        <f t="shared" si="599"/>
        <v>0</v>
      </c>
      <c r="EZ227" s="230">
        <f t="shared" si="599"/>
        <v>0</v>
      </c>
      <c r="FA227" s="230">
        <f t="shared" si="599"/>
        <v>0</v>
      </c>
      <c r="FB227" s="230">
        <f t="shared" si="599"/>
        <v>0</v>
      </c>
      <c r="FC227" s="230">
        <f t="shared" si="599"/>
        <v>0</v>
      </c>
      <c r="FD227" s="230">
        <f t="shared" si="599"/>
        <v>0</v>
      </c>
      <c r="FE227" s="230">
        <f t="shared" si="599"/>
        <v>0</v>
      </c>
      <c r="FF227" s="230">
        <f t="shared" si="599"/>
        <v>0</v>
      </c>
      <c r="FG227" s="230">
        <f t="shared" si="599"/>
        <v>0</v>
      </c>
      <c r="FH227" s="230">
        <f t="shared" si="599"/>
        <v>0</v>
      </c>
      <c r="FI227" s="230">
        <f t="shared" si="599"/>
        <v>0</v>
      </c>
      <c r="FJ227" s="230">
        <f t="shared" si="599"/>
        <v>0</v>
      </c>
      <c r="FK227" s="230">
        <f t="shared" si="599"/>
        <v>0</v>
      </c>
      <c r="FL227" s="230">
        <f t="shared" si="599"/>
        <v>0</v>
      </c>
      <c r="FM227" s="230">
        <f t="shared" si="599"/>
        <v>0</v>
      </c>
      <c r="FN227" s="230">
        <f t="shared" si="599"/>
        <v>0</v>
      </c>
      <c r="FO227" s="230">
        <f t="shared" si="599"/>
        <v>0</v>
      </c>
      <c r="FP227" s="230">
        <f t="shared" si="599"/>
        <v>0</v>
      </c>
      <c r="FQ227" s="230">
        <f t="shared" si="599"/>
        <v>0</v>
      </c>
      <c r="FR227" s="230">
        <f t="shared" si="599"/>
        <v>0</v>
      </c>
      <c r="FS227" s="230">
        <f t="shared" si="599"/>
        <v>0</v>
      </c>
      <c r="FT227" s="230">
        <f t="shared" si="599"/>
        <v>0</v>
      </c>
      <c r="FU227" s="230">
        <f t="shared" si="599"/>
        <v>0</v>
      </c>
      <c r="FV227" s="230">
        <f t="shared" si="599"/>
        <v>0</v>
      </c>
      <c r="FW227" s="230">
        <f t="shared" si="599"/>
        <v>0</v>
      </c>
      <c r="FX227" s="230">
        <f t="shared" si="599"/>
        <v>0</v>
      </c>
      <c r="FY227" s="230">
        <f t="shared" si="599"/>
        <v>0</v>
      </c>
      <c r="FZ227" s="230">
        <f t="shared" si="599"/>
        <v>0</v>
      </c>
      <c r="GA227" s="230">
        <f t="shared" si="599"/>
        <v>0</v>
      </c>
      <c r="GB227" s="230">
        <f t="shared" si="599"/>
        <v>0</v>
      </c>
      <c r="GC227" s="230">
        <f t="shared" si="599"/>
        <v>0</v>
      </c>
      <c r="GD227" s="230">
        <f t="shared" si="599"/>
        <v>0</v>
      </c>
      <c r="GE227" s="230">
        <f t="shared" si="599"/>
        <v>0</v>
      </c>
      <c r="GF227" s="230">
        <f t="shared" si="599"/>
        <v>0</v>
      </c>
      <c r="GG227" s="230">
        <f t="shared" si="599"/>
        <v>0</v>
      </c>
      <c r="GH227" s="230">
        <f t="shared" si="599"/>
        <v>0</v>
      </c>
      <c r="GI227" s="230">
        <f t="shared" si="599"/>
        <v>0</v>
      </c>
      <c r="GJ227" s="230">
        <f t="shared" si="599"/>
        <v>0</v>
      </c>
      <c r="GK227" s="230">
        <f t="shared" si="599"/>
        <v>0</v>
      </c>
      <c r="GL227" s="230">
        <f t="shared" ref="GL227:GS227" si="600">GL55*GL147</f>
        <v>0</v>
      </c>
      <c r="GM227" s="230">
        <f t="shared" si="600"/>
        <v>0</v>
      </c>
      <c r="GN227" s="230">
        <f t="shared" si="600"/>
        <v>0</v>
      </c>
      <c r="GO227" s="230">
        <f t="shared" si="600"/>
        <v>0</v>
      </c>
      <c r="GP227" s="230">
        <f t="shared" si="600"/>
        <v>0</v>
      </c>
      <c r="GQ227" s="230">
        <f t="shared" si="600"/>
        <v>0</v>
      </c>
      <c r="GR227" s="230">
        <f t="shared" si="600"/>
        <v>0</v>
      </c>
      <c r="GS227" s="230">
        <f t="shared" si="600"/>
        <v>0</v>
      </c>
    </row>
    <row r="228" spans="1:256">
      <c r="A228" s="18" t="str">
        <f>A57</f>
        <v>Bond 14</v>
      </c>
      <c r="B228" s="18">
        <f t="shared" ref="B228:BM228" si="601">B57*B152</f>
        <v>0</v>
      </c>
      <c r="C228" s="18">
        <f t="shared" si="601"/>
        <v>0</v>
      </c>
      <c r="D228" s="18">
        <f t="shared" si="601"/>
        <v>0</v>
      </c>
      <c r="E228" s="18">
        <f t="shared" si="601"/>
        <v>0</v>
      </c>
      <c r="F228" s="18">
        <f t="shared" si="601"/>
        <v>0</v>
      </c>
      <c r="G228" s="18">
        <f t="shared" si="601"/>
        <v>0</v>
      </c>
      <c r="H228" s="18">
        <f t="shared" si="601"/>
        <v>0</v>
      </c>
      <c r="I228" s="18">
        <f t="shared" si="601"/>
        <v>0</v>
      </c>
      <c r="J228" s="18">
        <f t="shared" si="601"/>
        <v>0</v>
      </c>
      <c r="K228" s="18">
        <f t="shared" si="601"/>
        <v>0</v>
      </c>
      <c r="L228" s="18">
        <f t="shared" si="601"/>
        <v>0</v>
      </c>
      <c r="M228" s="18">
        <f t="shared" si="601"/>
        <v>0</v>
      </c>
      <c r="N228" s="18">
        <f t="shared" si="601"/>
        <v>0</v>
      </c>
      <c r="O228" s="18">
        <f t="shared" si="601"/>
        <v>0</v>
      </c>
      <c r="P228" s="18">
        <f t="shared" si="601"/>
        <v>0</v>
      </c>
      <c r="Q228" s="18">
        <f t="shared" si="601"/>
        <v>0</v>
      </c>
      <c r="R228" s="18">
        <f t="shared" si="601"/>
        <v>0</v>
      </c>
      <c r="S228" s="18">
        <f t="shared" si="601"/>
        <v>0</v>
      </c>
      <c r="T228" s="18">
        <f t="shared" si="601"/>
        <v>0</v>
      </c>
      <c r="U228" s="18">
        <f t="shared" si="601"/>
        <v>0</v>
      </c>
      <c r="V228" s="18">
        <f t="shared" si="601"/>
        <v>0</v>
      </c>
      <c r="W228" s="18">
        <f t="shared" si="601"/>
        <v>0</v>
      </c>
      <c r="X228" s="18">
        <f t="shared" si="601"/>
        <v>0</v>
      </c>
      <c r="Y228" s="18">
        <f t="shared" si="601"/>
        <v>0</v>
      </c>
      <c r="Z228" s="18">
        <f t="shared" si="601"/>
        <v>0</v>
      </c>
      <c r="AA228" s="18">
        <f t="shared" si="601"/>
        <v>0</v>
      </c>
      <c r="AB228" s="18">
        <f t="shared" si="601"/>
        <v>0</v>
      </c>
      <c r="AC228" s="18">
        <f t="shared" si="601"/>
        <v>0</v>
      </c>
      <c r="AD228" s="18">
        <f t="shared" si="601"/>
        <v>0</v>
      </c>
      <c r="AE228" s="18">
        <f t="shared" si="601"/>
        <v>0</v>
      </c>
      <c r="AF228" s="18">
        <f t="shared" si="601"/>
        <v>0</v>
      </c>
      <c r="AG228" s="18">
        <f t="shared" si="601"/>
        <v>0</v>
      </c>
      <c r="AH228" s="18">
        <f t="shared" si="601"/>
        <v>0</v>
      </c>
      <c r="AI228" s="18">
        <f t="shared" si="601"/>
        <v>0</v>
      </c>
      <c r="AJ228" s="18">
        <f t="shared" si="601"/>
        <v>0</v>
      </c>
      <c r="AK228" s="18">
        <f t="shared" si="601"/>
        <v>0</v>
      </c>
      <c r="AL228" s="18">
        <f t="shared" si="601"/>
        <v>0</v>
      </c>
      <c r="AM228" s="18">
        <f t="shared" si="601"/>
        <v>0</v>
      </c>
      <c r="AN228" s="18">
        <f t="shared" si="601"/>
        <v>0</v>
      </c>
      <c r="AO228" s="18">
        <f t="shared" si="601"/>
        <v>0</v>
      </c>
      <c r="AP228" s="18">
        <f t="shared" si="601"/>
        <v>0</v>
      </c>
      <c r="AQ228" s="18">
        <f t="shared" si="601"/>
        <v>0</v>
      </c>
      <c r="AR228" s="18">
        <f t="shared" si="601"/>
        <v>0</v>
      </c>
      <c r="AS228" s="18">
        <f t="shared" si="601"/>
        <v>0</v>
      </c>
      <c r="AT228" s="18">
        <f t="shared" si="601"/>
        <v>0</v>
      </c>
      <c r="AU228" s="18">
        <f t="shared" si="601"/>
        <v>0</v>
      </c>
      <c r="AV228" s="18">
        <f t="shared" si="601"/>
        <v>0</v>
      </c>
      <c r="AW228" s="18">
        <f t="shared" si="601"/>
        <v>0</v>
      </c>
      <c r="AX228" s="18">
        <f t="shared" si="601"/>
        <v>0</v>
      </c>
      <c r="AY228" s="18">
        <f t="shared" si="601"/>
        <v>0</v>
      </c>
      <c r="AZ228" s="18">
        <f t="shared" si="601"/>
        <v>0</v>
      </c>
      <c r="BA228" s="18">
        <f t="shared" si="601"/>
        <v>0</v>
      </c>
      <c r="BB228" s="18">
        <f t="shared" si="601"/>
        <v>0</v>
      </c>
      <c r="BC228" s="18">
        <f t="shared" si="601"/>
        <v>0</v>
      </c>
      <c r="BD228" s="18">
        <f t="shared" si="601"/>
        <v>0</v>
      </c>
      <c r="BE228" s="18">
        <f t="shared" si="601"/>
        <v>0</v>
      </c>
      <c r="BF228" s="18">
        <f t="shared" si="601"/>
        <v>0</v>
      </c>
      <c r="BG228" s="18">
        <f t="shared" si="601"/>
        <v>0</v>
      </c>
      <c r="BH228" s="18">
        <f t="shared" si="601"/>
        <v>0</v>
      </c>
      <c r="BI228" s="18">
        <f t="shared" si="601"/>
        <v>0</v>
      </c>
      <c r="BJ228" s="18">
        <f t="shared" si="601"/>
        <v>0</v>
      </c>
      <c r="BK228" s="18">
        <f t="shared" si="601"/>
        <v>0</v>
      </c>
      <c r="BL228" s="18">
        <f t="shared" si="601"/>
        <v>0</v>
      </c>
      <c r="BM228" s="18">
        <f t="shared" si="601"/>
        <v>0</v>
      </c>
      <c r="BN228" s="18">
        <f t="shared" ref="BN228:CB228" si="602">BN57*BN152</f>
        <v>0</v>
      </c>
      <c r="BO228" s="18">
        <f t="shared" si="602"/>
        <v>0</v>
      </c>
      <c r="BP228" s="18">
        <f t="shared" si="602"/>
        <v>0</v>
      </c>
      <c r="BQ228" s="18">
        <f t="shared" si="602"/>
        <v>0</v>
      </c>
      <c r="BR228" s="18">
        <f t="shared" si="602"/>
        <v>0</v>
      </c>
      <c r="BS228" s="18">
        <f t="shared" si="602"/>
        <v>0</v>
      </c>
      <c r="BT228" s="18">
        <f t="shared" si="602"/>
        <v>0</v>
      </c>
      <c r="BU228" s="18">
        <f t="shared" si="602"/>
        <v>0</v>
      </c>
      <c r="BV228" s="18">
        <f t="shared" si="602"/>
        <v>0</v>
      </c>
      <c r="BW228" s="18">
        <f t="shared" si="602"/>
        <v>0</v>
      </c>
      <c r="BX228" s="18">
        <f t="shared" si="602"/>
        <v>0</v>
      </c>
      <c r="BY228" s="18">
        <f t="shared" si="602"/>
        <v>0</v>
      </c>
      <c r="BZ228" s="18">
        <f t="shared" si="602"/>
        <v>0</v>
      </c>
      <c r="CA228" s="18">
        <f t="shared" si="602"/>
        <v>0</v>
      </c>
      <c r="CB228" s="18">
        <f t="shared" si="602"/>
        <v>0</v>
      </c>
      <c r="CC228" s="17"/>
      <c r="CD228" s="17"/>
      <c r="CE228" s="17"/>
      <c r="CH228" s="5"/>
      <c r="CI228" s="11"/>
      <c r="CJ228" s="11"/>
      <c r="CK228" s="11"/>
      <c r="CL228" s="11"/>
      <c r="CM228" s="11"/>
      <c r="CN228" s="11"/>
      <c r="CO228" s="11"/>
      <c r="CP228" s="11"/>
      <c r="CQ228" s="11"/>
      <c r="CR228" s="11"/>
      <c r="CS228" s="11"/>
      <c r="CT228" s="11"/>
      <c r="CU228" s="11"/>
      <c r="CV228" s="11"/>
      <c r="CW228" s="11"/>
      <c r="CX228" s="11"/>
      <c r="CY228" s="11"/>
      <c r="CZ228" s="11"/>
      <c r="DA228" s="11"/>
      <c r="DB228" s="11"/>
      <c r="DC228" s="11"/>
      <c r="DD228" s="11"/>
      <c r="DE228" s="11"/>
      <c r="DF228" s="11"/>
      <c r="DG228" s="11"/>
      <c r="DH228" s="11"/>
      <c r="DI228" s="11"/>
      <c r="DJ228" s="11"/>
      <c r="DK228" s="11"/>
      <c r="DL228" s="11"/>
      <c r="DM228" s="11"/>
      <c r="DN228" s="11"/>
      <c r="DO228" s="11"/>
      <c r="DP228" s="11"/>
      <c r="DQ228" s="11"/>
      <c r="DR228" s="11"/>
      <c r="DS228" s="11"/>
      <c r="DT228" s="11"/>
      <c r="DU228" s="11"/>
      <c r="DV228" s="11"/>
      <c r="DW228" s="11"/>
      <c r="DX228" s="11"/>
      <c r="DY228" s="11"/>
      <c r="DZ228" s="11"/>
      <c r="EA228" s="11"/>
      <c r="EB228" s="11"/>
      <c r="EC228" s="11"/>
      <c r="ED228" s="11"/>
    </row>
    <row r="229" spans="1:256">
      <c r="A229" s="18" t="str">
        <f>A59</f>
        <v>Bond 15</v>
      </c>
      <c r="B229" s="18">
        <f t="shared" ref="B229:BM229" si="603">B59*B157</f>
        <v>0</v>
      </c>
      <c r="C229" s="18">
        <f t="shared" si="603"/>
        <v>0</v>
      </c>
      <c r="D229" s="18">
        <f t="shared" si="603"/>
        <v>0</v>
      </c>
      <c r="E229" s="18">
        <f t="shared" si="603"/>
        <v>0</v>
      </c>
      <c r="F229" s="18">
        <f t="shared" si="603"/>
        <v>0</v>
      </c>
      <c r="G229" s="18">
        <f t="shared" si="603"/>
        <v>0</v>
      </c>
      <c r="H229" s="18">
        <f t="shared" si="603"/>
        <v>0</v>
      </c>
      <c r="I229" s="18">
        <f t="shared" si="603"/>
        <v>0</v>
      </c>
      <c r="J229" s="18">
        <f t="shared" si="603"/>
        <v>0</v>
      </c>
      <c r="K229" s="18">
        <f t="shared" si="603"/>
        <v>0</v>
      </c>
      <c r="L229" s="18">
        <f t="shared" si="603"/>
        <v>0</v>
      </c>
      <c r="M229" s="18">
        <f t="shared" si="603"/>
        <v>0</v>
      </c>
      <c r="N229" s="18">
        <f t="shared" si="603"/>
        <v>0</v>
      </c>
      <c r="O229" s="18">
        <f t="shared" si="603"/>
        <v>0</v>
      </c>
      <c r="P229" s="18">
        <f t="shared" si="603"/>
        <v>0</v>
      </c>
      <c r="Q229" s="18">
        <f t="shared" si="603"/>
        <v>0</v>
      </c>
      <c r="R229" s="18">
        <f t="shared" si="603"/>
        <v>0</v>
      </c>
      <c r="S229" s="18">
        <f t="shared" si="603"/>
        <v>0</v>
      </c>
      <c r="T229" s="18">
        <f t="shared" si="603"/>
        <v>0</v>
      </c>
      <c r="U229" s="18">
        <f t="shared" si="603"/>
        <v>0</v>
      </c>
      <c r="V229" s="18">
        <f t="shared" si="603"/>
        <v>0</v>
      </c>
      <c r="W229" s="18">
        <f t="shared" si="603"/>
        <v>0</v>
      </c>
      <c r="X229" s="18">
        <f t="shared" si="603"/>
        <v>0</v>
      </c>
      <c r="Y229" s="18">
        <f t="shared" si="603"/>
        <v>0</v>
      </c>
      <c r="Z229" s="18">
        <f t="shared" si="603"/>
        <v>0</v>
      </c>
      <c r="AA229" s="18">
        <f t="shared" si="603"/>
        <v>0</v>
      </c>
      <c r="AB229" s="18">
        <f t="shared" si="603"/>
        <v>0</v>
      </c>
      <c r="AC229" s="18">
        <f t="shared" si="603"/>
        <v>0</v>
      </c>
      <c r="AD229" s="18">
        <f t="shared" si="603"/>
        <v>0</v>
      </c>
      <c r="AE229" s="18">
        <f t="shared" si="603"/>
        <v>0</v>
      </c>
      <c r="AF229" s="18">
        <f t="shared" si="603"/>
        <v>0</v>
      </c>
      <c r="AG229" s="18">
        <f t="shared" si="603"/>
        <v>0</v>
      </c>
      <c r="AH229" s="18">
        <f t="shared" si="603"/>
        <v>0</v>
      </c>
      <c r="AI229" s="18">
        <f t="shared" si="603"/>
        <v>0</v>
      </c>
      <c r="AJ229" s="18">
        <f t="shared" si="603"/>
        <v>0</v>
      </c>
      <c r="AK229" s="18">
        <f t="shared" si="603"/>
        <v>0</v>
      </c>
      <c r="AL229" s="18">
        <f t="shared" si="603"/>
        <v>0</v>
      </c>
      <c r="AM229" s="18">
        <f t="shared" si="603"/>
        <v>0</v>
      </c>
      <c r="AN229" s="18">
        <f t="shared" si="603"/>
        <v>0</v>
      </c>
      <c r="AO229" s="18">
        <f t="shared" si="603"/>
        <v>0</v>
      </c>
      <c r="AP229" s="18">
        <f t="shared" si="603"/>
        <v>0</v>
      </c>
      <c r="AQ229" s="18">
        <f t="shared" si="603"/>
        <v>0</v>
      </c>
      <c r="AR229" s="18">
        <f t="shared" si="603"/>
        <v>0</v>
      </c>
      <c r="AS229" s="18">
        <f t="shared" si="603"/>
        <v>0</v>
      </c>
      <c r="AT229" s="18">
        <f t="shared" si="603"/>
        <v>0</v>
      </c>
      <c r="AU229" s="18">
        <f t="shared" si="603"/>
        <v>0</v>
      </c>
      <c r="AV229" s="18">
        <f t="shared" si="603"/>
        <v>0</v>
      </c>
      <c r="AW229" s="18">
        <f t="shared" si="603"/>
        <v>0</v>
      </c>
      <c r="AX229" s="18">
        <f t="shared" si="603"/>
        <v>0</v>
      </c>
      <c r="AY229" s="18">
        <f t="shared" si="603"/>
        <v>0</v>
      </c>
      <c r="AZ229" s="18">
        <f t="shared" si="603"/>
        <v>0</v>
      </c>
      <c r="BA229" s="18">
        <f t="shared" si="603"/>
        <v>0</v>
      </c>
      <c r="BB229" s="18">
        <f t="shared" si="603"/>
        <v>0</v>
      </c>
      <c r="BC229" s="18">
        <f t="shared" si="603"/>
        <v>0</v>
      </c>
      <c r="BD229" s="18">
        <f t="shared" si="603"/>
        <v>0</v>
      </c>
      <c r="BE229" s="18">
        <f t="shared" si="603"/>
        <v>0</v>
      </c>
      <c r="BF229" s="18">
        <f t="shared" si="603"/>
        <v>0</v>
      </c>
      <c r="BG229" s="18">
        <f t="shared" si="603"/>
        <v>0</v>
      </c>
      <c r="BH229" s="18">
        <f t="shared" si="603"/>
        <v>0</v>
      </c>
      <c r="BI229" s="18">
        <f t="shared" si="603"/>
        <v>0</v>
      </c>
      <c r="BJ229" s="18">
        <f t="shared" si="603"/>
        <v>0</v>
      </c>
      <c r="BK229" s="18">
        <f t="shared" si="603"/>
        <v>0</v>
      </c>
      <c r="BL229" s="18">
        <f t="shared" si="603"/>
        <v>0</v>
      </c>
      <c r="BM229" s="18">
        <f t="shared" si="603"/>
        <v>0</v>
      </c>
      <c r="BN229" s="18">
        <f t="shared" ref="BN229:CB229" si="604">BN59*BN157</f>
        <v>0</v>
      </c>
      <c r="BO229" s="18">
        <f t="shared" si="604"/>
        <v>0</v>
      </c>
      <c r="BP229" s="18">
        <f t="shared" si="604"/>
        <v>0</v>
      </c>
      <c r="BQ229" s="18">
        <f t="shared" si="604"/>
        <v>0</v>
      </c>
      <c r="BR229" s="18">
        <f t="shared" si="604"/>
        <v>0</v>
      </c>
      <c r="BS229" s="18">
        <f t="shared" si="604"/>
        <v>0</v>
      </c>
      <c r="BT229" s="18">
        <f t="shared" si="604"/>
        <v>0</v>
      </c>
      <c r="BU229" s="18">
        <f t="shared" si="604"/>
        <v>0</v>
      </c>
      <c r="BV229" s="18">
        <f t="shared" si="604"/>
        <v>0</v>
      </c>
      <c r="BW229" s="18">
        <f t="shared" si="604"/>
        <v>0</v>
      </c>
      <c r="BX229" s="18">
        <f t="shared" si="604"/>
        <v>0</v>
      </c>
      <c r="BY229" s="18">
        <f t="shared" si="604"/>
        <v>0</v>
      </c>
      <c r="BZ229" s="18">
        <f t="shared" si="604"/>
        <v>0</v>
      </c>
      <c r="CA229" s="18">
        <f t="shared" si="604"/>
        <v>0</v>
      </c>
      <c r="CB229" s="18">
        <f t="shared" si="604"/>
        <v>0</v>
      </c>
      <c r="CC229" s="17"/>
      <c r="CD229" s="17"/>
      <c r="CE229" s="17"/>
      <c r="CH229" s="5"/>
      <c r="CI229" s="11"/>
      <c r="CJ229" s="11"/>
      <c r="CK229" s="11"/>
      <c r="CL229" s="11"/>
      <c r="CM229" s="11"/>
      <c r="CN229" s="11"/>
      <c r="CO229" s="11"/>
      <c r="CP229" s="11"/>
      <c r="CQ229" s="11"/>
      <c r="CR229" s="11"/>
      <c r="CS229" s="11"/>
      <c r="CT229" s="11"/>
      <c r="CU229" s="11"/>
      <c r="CV229" s="11"/>
      <c r="CW229" s="11"/>
      <c r="CX229" s="11"/>
      <c r="CY229" s="11"/>
      <c r="CZ229" s="11"/>
      <c r="DA229" s="11"/>
      <c r="DB229" s="11"/>
      <c r="DC229" s="11"/>
      <c r="DD229" s="11"/>
      <c r="DE229" s="11"/>
      <c r="DF229" s="11"/>
      <c r="DG229" s="11"/>
      <c r="DH229" s="11"/>
      <c r="DI229" s="11"/>
      <c r="DJ229" s="11"/>
      <c r="DK229" s="11"/>
      <c r="DL229" s="11"/>
      <c r="DM229" s="11"/>
      <c r="DN229" s="11"/>
      <c r="DO229" s="11"/>
      <c r="DP229" s="11"/>
      <c r="DQ229" s="11"/>
      <c r="DR229" s="11"/>
      <c r="DS229" s="11"/>
      <c r="DT229" s="11"/>
      <c r="DU229" s="11"/>
      <c r="DV229" s="11"/>
      <c r="DW229" s="11"/>
      <c r="DX229" s="11"/>
      <c r="DY229" s="11"/>
      <c r="DZ229" s="11"/>
      <c r="EA229" s="11"/>
      <c r="EB229" s="11"/>
      <c r="EC229" s="11"/>
      <c r="ED229" s="11"/>
    </row>
    <row r="230" spans="1:256">
      <c r="A230" s="18" t="str">
        <f>A61</f>
        <v>Bond 16</v>
      </c>
      <c r="B230" s="18">
        <f t="shared" ref="B230:BM230" si="605">B61*B162</f>
        <v>0</v>
      </c>
      <c r="C230" s="18">
        <f t="shared" si="605"/>
        <v>0</v>
      </c>
      <c r="D230" s="18">
        <f t="shared" si="605"/>
        <v>0</v>
      </c>
      <c r="E230" s="18">
        <f t="shared" si="605"/>
        <v>0</v>
      </c>
      <c r="F230" s="18">
        <f t="shared" si="605"/>
        <v>0</v>
      </c>
      <c r="G230" s="18">
        <f t="shared" si="605"/>
        <v>0</v>
      </c>
      <c r="H230" s="18">
        <f t="shared" si="605"/>
        <v>0</v>
      </c>
      <c r="I230" s="18">
        <f t="shared" si="605"/>
        <v>0</v>
      </c>
      <c r="J230" s="18">
        <f t="shared" si="605"/>
        <v>0</v>
      </c>
      <c r="K230" s="18">
        <f t="shared" si="605"/>
        <v>0</v>
      </c>
      <c r="L230" s="18">
        <f t="shared" si="605"/>
        <v>0</v>
      </c>
      <c r="M230" s="18">
        <f t="shared" si="605"/>
        <v>0</v>
      </c>
      <c r="N230" s="18">
        <f t="shared" si="605"/>
        <v>0</v>
      </c>
      <c r="O230" s="18">
        <f t="shared" si="605"/>
        <v>0</v>
      </c>
      <c r="P230" s="18">
        <f t="shared" si="605"/>
        <v>0</v>
      </c>
      <c r="Q230" s="18">
        <f t="shared" si="605"/>
        <v>0</v>
      </c>
      <c r="R230" s="18">
        <f t="shared" si="605"/>
        <v>0</v>
      </c>
      <c r="S230" s="18">
        <f t="shared" si="605"/>
        <v>0</v>
      </c>
      <c r="T230" s="18">
        <f t="shared" si="605"/>
        <v>0</v>
      </c>
      <c r="U230" s="18">
        <f t="shared" si="605"/>
        <v>0</v>
      </c>
      <c r="V230" s="18">
        <f t="shared" si="605"/>
        <v>0</v>
      </c>
      <c r="W230" s="18">
        <f t="shared" si="605"/>
        <v>0</v>
      </c>
      <c r="X230" s="18">
        <f t="shared" si="605"/>
        <v>0</v>
      </c>
      <c r="Y230" s="18">
        <f t="shared" si="605"/>
        <v>0</v>
      </c>
      <c r="Z230" s="18">
        <f t="shared" si="605"/>
        <v>0</v>
      </c>
      <c r="AA230" s="18">
        <f t="shared" si="605"/>
        <v>0</v>
      </c>
      <c r="AB230" s="18">
        <f t="shared" si="605"/>
        <v>0</v>
      </c>
      <c r="AC230" s="18">
        <f t="shared" si="605"/>
        <v>0</v>
      </c>
      <c r="AD230" s="18">
        <f t="shared" si="605"/>
        <v>0</v>
      </c>
      <c r="AE230" s="18">
        <f t="shared" si="605"/>
        <v>0</v>
      </c>
      <c r="AF230" s="18">
        <f t="shared" si="605"/>
        <v>0</v>
      </c>
      <c r="AG230" s="18">
        <f t="shared" si="605"/>
        <v>0</v>
      </c>
      <c r="AH230" s="18">
        <f t="shared" si="605"/>
        <v>0</v>
      </c>
      <c r="AI230" s="18">
        <f t="shared" si="605"/>
        <v>0</v>
      </c>
      <c r="AJ230" s="18">
        <f t="shared" si="605"/>
        <v>0</v>
      </c>
      <c r="AK230" s="18">
        <f t="shared" si="605"/>
        <v>0</v>
      </c>
      <c r="AL230" s="18">
        <f t="shared" si="605"/>
        <v>0</v>
      </c>
      <c r="AM230" s="18">
        <f t="shared" si="605"/>
        <v>0</v>
      </c>
      <c r="AN230" s="18">
        <f t="shared" si="605"/>
        <v>0</v>
      </c>
      <c r="AO230" s="18">
        <f t="shared" si="605"/>
        <v>0</v>
      </c>
      <c r="AP230" s="18">
        <f t="shared" si="605"/>
        <v>0</v>
      </c>
      <c r="AQ230" s="18">
        <f t="shared" si="605"/>
        <v>0</v>
      </c>
      <c r="AR230" s="18">
        <f t="shared" si="605"/>
        <v>0</v>
      </c>
      <c r="AS230" s="18">
        <f t="shared" si="605"/>
        <v>0</v>
      </c>
      <c r="AT230" s="18">
        <f t="shared" si="605"/>
        <v>0</v>
      </c>
      <c r="AU230" s="18">
        <f t="shared" si="605"/>
        <v>0</v>
      </c>
      <c r="AV230" s="18">
        <f t="shared" si="605"/>
        <v>0</v>
      </c>
      <c r="AW230" s="18">
        <f t="shared" si="605"/>
        <v>0</v>
      </c>
      <c r="AX230" s="18">
        <f t="shared" si="605"/>
        <v>0</v>
      </c>
      <c r="AY230" s="18">
        <f t="shared" si="605"/>
        <v>0</v>
      </c>
      <c r="AZ230" s="18">
        <f t="shared" si="605"/>
        <v>0</v>
      </c>
      <c r="BA230" s="18">
        <f t="shared" si="605"/>
        <v>0</v>
      </c>
      <c r="BB230" s="18">
        <f t="shared" si="605"/>
        <v>0</v>
      </c>
      <c r="BC230" s="18">
        <f t="shared" si="605"/>
        <v>0</v>
      </c>
      <c r="BD230" s="18">
        <f t="shared" si="605"/>
        <v>0</v>
      </c>
      <c r="BE230" s="18">
        <f t="shared" si="605"/>
        <v>0</v>
      </c>
      <c r="BF230" s="18">
        <f t="shared" si="605"/>
        <v>0</v>
      </c>
      <c r="BG230" s="18">
        <f t="shared" si="605"/>
        <v>0</v>
      </c>
      <c r="BH230" s="18">
        <f t="shared" si="605"/>
        <v>0</v>
      </c>
      <c r="BI230" s="18">
        <f t="shared" si="605"/>
        <v>0</v>
      </c>
      <c r="BJ230" s="18">
        <f t="shared" si="605"/>
        <v>0</v>
      </c>
      <c r="BK230" s="18">
        <f t="shared" si="605"/>
        <v>0</v>
      </c>
      <c r="BL230" s="18">
        <f t="shared" si="605"/>
        <v>0</v>
      </c>
      <c r="BM230" s="18">
        <f t="shared" si="605"/>
        <v>0</v>
      </c>
      <c r="BN230" s="18">
        <f t="shared" ref="BN230:CB230" si="606">BN61*BN162</f>
        <v>0</v>
      </c>
      <c r="BO230" s="18">
        <f t="shared" si="606"/>
        <v>0</v>
      </c>
      <c r="BP230" s="18">
        <f t="shared" si="606"/>
        <v>0</v>
      </c>
      <c r="BQ230" s="18">
        <f t="shared" si="606"/>
        <v>0</v>
      </c>
      <c r="BR230" s="18">
        <f t="shared" si="606"/>
        <v>0</v>
      </c>
      <c r="BS230" s="18">
        <f t="shared" si="606"/>
        <v>0</v>
      </c>
      <c r="BT230" s="18">
        <f t="shared" si="606"/>
        <v>0</v>
      </c>
      <c r="BU230" s="18">
        <f t="shared" si="606"/>
        <v>0</v>
      </c>
      <c r="BV230" s="18">
        <f t="shared" si="606"/>
        <v>0</v>
      </c>
      <c r="BW230" s="18">
        <f t="shared" si="606"/>
        <v>0</v>
      </c>
      <c r="BX230" s="18">
        <f t="shared" si="606"/>
        <v>0</v>
      </c>
      <c r="BY230" s="18">
        <f t="shared" si="606"/>
        <v>0</v>
      </c>
      <c r="BZ230" s="18">
        <f t="shared" si="606"/>
        <v>0</v>
      </c>
      <c r="CA230" s="18">
        <f t="shared" si="606"/>
        <v>0</v>
      </c>
      <c r="CB230" s="18">
        <f t="shared" si="606"/>
        <v>0</v>
      </c>
      <c r="CC230" s="17"/>
      <c r="CD230" s="17"/>
      <c r="CE230" s="17"/>
      <c r="CH230" s="5"/>
      <c r="CI230" s="11"/>
      <c r="CJ230" s="11"/>
      <c r="CK230" s="11"/>
      <c r="CL230" s="11"/>
      <c r="CM230" s="11"/>
      <c r="CN230" s="11"/>
      <c r="CO230" s="11"/>
      <c r="CP230" s="11"/>
      <c r="CQ230" s="11"/>
      <c r="CR230" s="11"/>
      <c r="CS230" s="11"/>
      <c r="CT230" s="11"/>
      <c r="CU230" s="11"/>
      <c r="CV230" s="11"/>
      <c r="CW230" s="11"/>
      <c r="CX230" s="11"/>
      <c r="CY230" s="11"/>
      <c r="CZ230" s="11"/>
      <c r="DA230" s="11"/>
      <c r="DB230" s="11"/>
      <c r="DC230" s="11"/>
      <c r="DD230" s="11"/>
      <c r="DE230" s="11"/>
      <c r="DF230" s="11"/>
      <c r="DG230" s="11"/>
      <c r="DH230" s="11"/>
      <c r="DI230" s="11"/>
      <c r="DJ230" s="11"/>
      <c r="DK230" s="11"/>
      <c r="DL230" s="11"/>
      <c r="DM230" s="11"/>
      <c r="DN230" s="11"/>
      <c r="DO230" s="11"/>
      <c r="DP230" s="11"/>
      <c r="DQ230" s="11"/>
      <c r="DR230" s="11"/>
      <c r="DS230" s="11"/>
      <c r="DT230" s="11"/>
      <c r="DU230" s="11"/>
      <c r="DV230" s="11"/>
      <c r="DW230" s="11"/>
      <c r="DX230" s="11"/>
      <c r="DY230" s="11"/>
      <c r="DZ230" s="11"/>
      <c r="EA230" s="11"/>
      <c r="EB230" s="11"/>
      <c r="EC230" s="11"/>
      <c r="ED230" s="11"/>
      <c r="EE230" s="11"/>
      <c r="EF230" s="11"/>
      <c r="EG230" s="11"/>
      <c r="EH230" s="11"/>
      <c r="EI230" s="11"/>
      <c r="EJ230" s="11"/>
      <c r="EK230" s="11"/>
      <c r="EL230" s="11"/>
      <c r="EM230" s="11"/>
      <c r="EN230" s="11"/>
      <c r="EO230" s="11"/>
      <c r="EP230" s="11"/>
      <c r="EQ230" s="11"/>
      <c r="ER230" s="11"/>
      <c r="ES230" s="11"/>
      <c r="ET230" s="11"/>
      <c r="EU230" s="11"/>
      <c r="EV230" s="11"/>
      <c r="EW230" s="11"/>
      <c r="EX230" s="11"/>
      <c r="EY230" s="11"/>
      <c r="EZ230" s="11"/>
      <c r="FA230" s="11"/>
      <c r="FB230" s="11"/>
      <c r="FC230" s="11"/>
      <c r="FD230" s="11"/>
      <c r="FE230" s="11"/>
      <c r="FF230" s="11"/>
      <c r="FG230" s="11"/>
      <c r="FH230" s="11"/>
      <c r="FI230" s="11"/>
      <c r="FJ230" s="11"/>
      <c r="FK230" s="11"/>
      <c r="FL230" s="11"/>
    </row>
    <row r="231" spans="1:256">
      <c r="A231" s="18" t="str">
        <f>A63</f>
        <v>Bond 17</v>
      </c>
      <c r="B231" s="18">
        <f t="shared" ref="B231:BM231" si="607">B63*B167</f>
        <v>0</v>
      </c>
      <c r="C231" s="18">
        <f t="shared" si="607"/>
        <v>0</v>
      </c>
      <c r="D231" s="18">
        <f t="shared" si="607"/>
        <v>0</v>
      </c>
      <c r="E231" s="18">
        <f t="shared" si="607"/>
        <v>0</v>
      </c>
      <c r="F231" s="18">
        <f t="shared" si="607"/>
        <v>0</v>
      </c>
      <c r="G231" s="18">
        <f t="shared" si="607"/>
        <v>0</v>
      </c>
      <c r="H231" s="18">
        <f t="shared" si="607"/>
        <v>0</v>
      </c>
      <c r="I231" s="18">
        <f t="shared" si="607"/>
        <v>0</v>
      </c>
      <c r="J231" s="18">
        <f t="shared" si="607"/>
        <v>0</v>
      </c>
      <c r="K231" s="18">
        <f t="shared" si="607"/>
        <v>0</v>
      </c>
      <c r="L231" s="18">
        <f t="shared" si="607"/>
        <v>0</v>
      </c>
      <c r="M231" s="18">
        <f t="shared" si="607"/>
        <v>0</v>
      </c>
      <c r="N231" s="18">
        <f t="shared" si="607"/>
        <v>0</v>
      </c>
      <c r="O231" s="18">
        <f t="shared" si="607"/>
        <v>0</v>
      </c>
      <c r="P231" s="18">
        <f t="shared" si="607"/>
        <v>0</v>
      </c>
      <c r="Q231" s="18">
        <f t="shared" si="607"/>
        <v>0</v>
      </c>
      <c r="R231" s="18">
        <f t="shared" si="607"/>
        <v>0</v>
      </c>
      <c r="S231" s="18">
        <f t="shared" si="607"/>
        <v>0</v>
      </c>
      <c r="T231" s="18">
        <f t="shared" si="607"/>
        <v>0</v>
      </c>
      <c r="U231" s="18">
        <f t="shared" si="607"/>
        <v>0</v>
      </c>
      <c r="V231" s="18">
        <f t="shared" si="607"/>
        <v>0</v>
      </c>
      <c r="W231" s="18">
        <f t="shared" si="607"/>
        <v>0</v>
      </c>
      <c r="X231" s="18">
        <f t="shared" si="607"/>
        <v>0</v>
      </c>
      <c r="Y231" s="18">
        <f t="shared" si="607"/>
        <v>0</v>
      </c>
      <c r="Z231" s="18">
        <f t="shared" si="607"/>
        <v>0</v>
      </c>
      <c r="AA231" s="18">
        <f t="shared" si="607"/>
        <v>0</v>
      </c>
      <c r="AB231" s="18">
        <f t="shared" si="607"/>
        <v>0</v>
      </c>
      <c r="AC231" s="18">
        <f t="shared" si="607"/>
        <v>0</v>
      </c>
      <c r="AD231" s="18">
        <f t="shared" si="607"/>
        <v>0</v>
      </c>
      <c r="AE231" s="18">
        <f t="shared" si="607"/>
        <v>0</v>
      </c>
      <c r="AF231" s="18">
        <f t="shared" si="607"/>
        <v>0</v>
      </c>
      <c r="AG231" s="18">
        <f t="shared" si="607"/>
        <v>0</v>
      </c>
      <c r="AH231" s="18">
        <f t="shared" si="607"/>
        <v>0</v>
      </c>
      <c r="AI231" s="18">
        <f t="shared" si="607"/>
        <v>0</v>
      </c>
      <c r="AJ231" s="18">
        <f t="shared" si="607"/>
        <v>0</v>
      </c>
      <c r="AK231" s="18">
        <f t="shared" si="607"/>
        <v>0</v>
      </c>
      <c r="AL231" s="18">
        <f t="shared" si="607"/>
        <v>0</v>
      </c>
      <c r="AM231" s="18">
        <f t="shared" si="607"/>
        <v>0</v>
      </c>
      <c r="AN231" s="18">
        <f t="shared" si="607"/>
        <v>0</v>
      </c>
      <c r="AO231" s="18">
        <f t="shared" si="607"/>
        <v>0</v>
      </c>
      <c r="AP231" s="18">
        <f t="shared" si="607"/>
        <v>0</v>
      </c>
      <c r="AQ231" s="18">
        <f t="shared" si="607"/>
        <v>0</v>
      </c>
      <c r="AR231" s="18">
        <f t="shared" si="607"/>
        <v>0</v>
      </c>
      <c r="AS231" s="18">
        <f t="shared" si="607"/>
        <v>0</v>
      </c>
      <c r="AT231" s="18">
        <f t="shared" si="607"/>
        <v>0</v>
      </c>
      <c r="AU231" s="18">
        <f t="shared" si="607"/>
        <v>0</v>
      </c>
      <c r="AV231" s="18">
        <f t="shared" si="607"/>
        <v>0</v>
      </c>
      <c r="AW231" s="18">
        <f t="shared" si="607"/>
        <v>0</v>
      </c>
      <c r="AX231" s="18">
        <f t="shared" si="607"/>
        <v>0</v>
      </c>
      <c r="AY231" s="18">
        <f t="shared" si="607"/>
        <v>0</v>
      </c>
      <c r="AZ231" s="18">
        <f t="shared" si="607"/>
        <v>0</v>
      </c>
      <c r="BA231" s="18">
        <f t="shared" si="607"/>
        <v>0</v>
      </c>
      <c r="BB231" s="18">
        <f t="shared" si="607"/>
        <v>0</v>
      </c>
      <c r="BC231" s="18">
        <f t="shared" si="607"/>
        <v>0</v>
      </c>
      <c r="BD231" s="18">
        <f t="shared" si="607"/>
        <v>0</v>
      </c>
      <c r="BE231" s="18">
        <f t="shared" si="607"/>
        <v>0</v>
      </c>
      <c r="BF231" s="18">
        <f t="shared" si="607"/>
        <v>0</v>
      </c>
      <c r="BG231" s="18">
        <f t="shared" si="607"/>
        <v>0</v>
      </c>
      <c r="BH231" s="18">
        <f t="shared" si="607"/>
        <v>0</v>
      </c>
      <c r="BI231" s="18">
        <f t="shared" si="607"/>
        <v>0</v>
      </c>
      <c r="BJ231" s="18">
        <f t="shared" si="607"/>
        <v>0</v>
      </c>
      <c r="BK231" s="18">
        <f t="shared" si="607"/>
        <v>0</v>
      </c>
      <c r="BL231" s="18">
        <f t="shared" si="607"/>
        <v>0</v>
      </c>
      <c r="BM231" s="18">
        <f t="shared" si="607"/>
        <v>0</v>
      </c>
      <c r="BN231" s="18">
        <f t="shared" ref="BN231:CB231" si="608">BN63*BN167</f>
        <v>0</v>
      </c>
      <c r="BO231" s="18">
        <f t="shared" si="608"/>
        <v>0</v>
      </c>
      <c r="BP231" s="18">
        <f t="shared" si="608"/>
        <v>0</v>
      </c>
      <c r="BQ231" s="18">
        <f t="shared" si="608"/>
        <v>0</v>
      </c>
      <c r="BR231" s="18">
        <f t="shared" si="608"/>
        <v>0</v>
      </c>
      <c r="BS231" s="18">
        <f t="shared" si="608"/>
        <v>0</v>
      </c>
      <c r="BT231" s="18">
        <f t="shared" si="608"/>
        <v>0</v>
      </c>
      <c r="BU231" s="18">
        <f t="shared" si="608"/>
        <v>0</v>
      </c>
      <c r="BV231" s="18">
        <f t="shared" si="608"/>
        <v>0</v>
      </c>
      <c r="BW231" s="18">
        <f t="shared" si="608"/>
        <v>0</v>
      </c>
      <c r="BX231" s="18">
        <f t="shared" si="608"/>
        <v>0</v>
      </c>
      <c r="BY231" s="18">
        <f t="shared" si="608"/>
        <v>0</v>
      </c>
      <c r="BZ231" s="18">
        <f t="shared" si="608"/>
        <v>0</v>
      </c>
      <c r="CA231" s="18">
        <f t="shared" si="608"/>
        <v>0</v>
      </c>
      <c r="CB231" s="18">
        <f t="shared" si="608"/>
        <v>0</v>
      </c>
      <c r="CC231" s="17"/>
      <c r="CD231" s="17"/>
      <c r="CE231" s="17"/>
      <c r="CH231" s="5"/>
      <c r="CI231" s="11"/>
      <c r="CJ231" s="11"/>
      <c r="CK231" s="11"/>
      <c r="CL231" s="11"/>
      <c r="CM231" s="11"/>
      <c r="CN231" s="11"/>
      <c r="CO231" s="11"/>
      <c r="CP231" s="11"/>
      <c r="CQ231" s="11"/>
      <c r="CR231" s="11"/>
      <c r="CS231" s="11"/>
      <c r="CT231" s="11"/>
      <c r="CU231" s="11"/>
      <c r="CV231" s="11"/>
      <c r="CW231" s="11"/>
      <c r="CX231" s="11"/>
      <c r="CY231" s="11"/>
      <c r="CZ231" s="11"/>
      <c r="DA231" s="11"/>
      <c r="DB231" s="11"/>
      <c r="DC231" s="11"/>
      <c r="DD231" s="11"/>
      <c r="DE231" s="11"/>
      <c r="DF231" s="11"/>
      <c r="DG231" s="11"/>
      <c r="DH231" s="11"/>
      <c r="DI231" s="11"/>
      <c r="DJ231" s="11"/>
      <c r="DK231" s="11"/>
      <c r="DL231" s="11"/>
      <c r="DM231" s="11"/>
      <c r="DN231" s="11"/>
      <c r="DO231" s="11"/>
      <c r="DP231" s="11"/>
      <c r="DQ231" s="11"/>
      <c r="DR231" s="11"/>
      <c r="DS231" s="11"/>
      <c r="DT231" s="11"/>
      <c r="DU231" s="11"/>
      <c r="DV231" s="11"/>
      <c r="DW231" s="11"/>
      <c r="DX231" s="11"/>
      <c r="DY231" s="11"/>
      <c r="DZ231" s="11"/>
      <c r="EA231" s="11"/>
      <c r="EB231" s="11"/>
      <c r="EC231" s="11"/>
      <c r="ED231" s="11"/>
      <c r="EE231" s="11"/>
      <c r="EF231" s="11"/>
      <c r="EG231" s="11"/>
      <c r="EH231" s="11"/>
      <c r="EI231" s="11"/>
      <c r="EJ231" s="11"/>
      <c r="EK231" s="11"/>
      <c r="EL231" s="11"/>
      <c r="EM231" s="11"/>
    </row>
    <row r="232" spans="1:256">
      <c r="A232" s="18" t="str">
        <f>A65</f>
        <v>Bond 18</v>
      </c>
      <c r="B232" s="18">
        <f t="shared" ref="B232:BM232" si="609">B65*B172</f>
        <v>0</v>
      </c>
      <c r="C232" s="18">
        <f t="shared" si="609"/>
        <v>0</v>
      </c>
      <c r="D232" s="18">
        <f t="shared" si="609"/>
        <v>0</v>
      </c>
      <c r="E232" s="18">
        <f t="shared" si="609"/>
        <v>0</v>
      </c>
      <c r="F232" s="18">
        <f t="shared" si="609"/>
        <v>0</v>
      </c>
      <c r="G232" s="18">
        <f t="shared" si="609"/>
        <v>0</v>
      </c>
      <c r="H232" s="18">
        <f t="shared" si="609"/>
        <v>0</v>
      </c>
      <c r="I232" s="18">
        <f t="shared" si="609"/>
        <v>0</v>
      </c>
      <c r="J232" s="18">
        <f t="shared" si="609"/>
        <v>0</v>
      </c>
      <c r="K232" s="18">
        <f t="shared" si="609"/>
        <v>0</v>
      </c>
      <c r="L232" s="18">
        <f t="shared" si="609"/>
        <v>0</v>
      </c>
      <c r="M232" s="18">
        <f t="shared" si="609"/>
        <v>0</v>
      </c>
      <c r="N232" s="18">
        <f t="shared" si="609"/>
        <v>0</v>
      </c>
      <c r="O232" s="18">
        <f t="shared" si="609"/>
        <v>0</v>
      </c>
      <c r="P232" s="18">
        <f t="shared" si="609"/>
        <v>0</v>
      </c>
      <c r="Q232" s="18">
        <f t="shared" si="609"/>
        <v>0</v>
      </c>
      <c r="R232" s="18">
        <f t="shared" si="609"/>
        <v>0</v>
      </c>
      <c r="S232" s="18">
        <f t="shared" si="609"/>
        <v>0</v>
      </c>
      <c r="T232" s="18">
        <f t="shared" si="609"/>
        <v>0</v>
      </c>
      <c r="U232" s="18">
        <f t="shared" si="609"/>
        <v>0</v>
      </c>
      <c r="V232" s="18">
        <f t="shared" si="609"/>
        <v>0</v>
      </c>
      <c r="W232" s="18">
        <f t="shared" si="609"/>
        <v>0</v>
      </c>
      <c r="X232" s="18">
        <f t="shared" si="609"/>
        <v>0</v>
      </c>
      <c r="Y232" s="18">
        <f t="shared" si="609"/>
        <v>0</v>
      </c>
      <c r="Z232" s="18">
        <f t="shared" si="609"/>
        <v>0</v>
      </c>
      <c r="AA232" s="18">
        <f t="shared" si="609"/>
        <v>0</v>
      </c>
      <c r="AB232" s="18">
        <f t="shared" si="609"/>
        <v>0</v>
      </c>
      <c r="AC232" s="18">
        <f t="shared" si="609"/>
        <v>0</v>
      </c>
      <c r="AD232" s="18">
        <f t="shared" si="609"/>
        <v>0</v>
      </c>
      <c r="AE232" s="18">
        <f t="shared" si="609"/>
        <v>0</v>
      </c>
      <c r="AF232" s="18">
        <f t="shared" si="609"/>
        <v>0</v>
      </c>
      <c r="AG232" s="18">
        <f t="shared" si="609"/>
        <v>0</v>
      </c>
      <c r="AH232" s="18">
        <f t="shared" si="609"/>
        <v>0</v>
      </c>
      <c r="AI232" s="18">
        <f t="shared" si="609"/>
        <v>0</v>
      </c>
      <c r="AJ232" s="18">
        <f t="shared" si="609"/>
        <v>0</v>
      </c>
      <c r="AK232" s="18">
        <f t="shared" si="609"/>
        <v>0</v>
      </c>
      <c r="AL232" s="18">
        <f t="shared" si="609"/>
        <v>0</v>
      </c>
      <c r="AM232" s="18">
        <f t="shared" si="609"/>
        <v>0</v>
      </c>
      <c r="AN232" s="18">
        <f t="shared" si="609"/>
        <v>0</v>
      </c>
      <c r="AO232" s="18">
        <f t="shared" si="609"/>
        <v>0</v>
      </c>
      <c r="AP232" s="18">
        <f t="shared" si="609"/>
        <v>0</v>
      </c>
      <c r="AQ232" s="18">
        <f t="shared" si="609"/>
        <v>0</v>
      </c>
      <c r="AR232" s="18">
        <f t="shared" si="609"/>
        <v>0</v>
      </c>
      <c r="AS232" s="18">
        <f t="shared" si="609"/>
        <v>0</v>
      </c>
      <c r="AT232" s="18">
        <f t="shared" si="609"/>
        <v>0</v>
      </c>
      <c r="AU232" s="18">
        <f t="shared" si="609"/>
        <v>0</v>
      </c>
      <c r="AV232" s="18">
        <f t="shared" si="609"/>
        <v>0</v>
      </c>
      <c r="AW232" s="18">
        <f t="shared" si="609"/>
        <v>0</v>
      </c>
      <c r="AX232" s="18">
        <f t="shared" si="609"/>
        <v>0</v>
      </c>
      <c r="AY232" s="18">
        <f t="shared" si="609"/>
        <v>0</v>
      </c>
      <c r="AZ232" s="18">
        <f t="shared" si="609"/>
        <v>0</v>
      </c>
      <c r="BA232" s="18">
        <f t="shared" si="609"/>
        <v>0</v>
      </c>
      <c r="BB232" s="18">
        <f t="shared" si="609"/>
        <v>0</v>
      </c>
      <c r="BC232" s="18">
        <f t="shared" si="609"/>
        <v>0</v>
      </c>
      <c r="BD232" s="18">
        <f t="shared" si="609"/>
        <v>0</v>
      </c>
      <c r="BE232" s="18">
        <f t="shared" si="609"/>
        <v>0</v>
      </c>
      <c r="BF232" s="18">
        <f t="shared" si="609"/>
        <v>0</v>
      </c>
      <c r="BG232" s="18">
        <f t="shared" si="609"/>
        <v>0</v>
      </c>
      <c r="BH232" s="18">
        <f t="shared" si="609"/>
        <v>0</v>
      </c>
      <c r="BI232" s="18">
        <f t="shared" si="609"/>
        <v>0</v>
      </c>
      <c r="BJ232" s="18">
        <f t="shared" si="609"/>
        <v>0</v>
      </c>
      <c r="BK232" s="18">
        <f t="shared" si="609"/>
        <v>0</v>
      </c>
      <c r="BL232" s="18">
        <f t="shared" si="609"/>
        <v>0</v>
      </c>
      <c r="BM232" s="18">
        <f t="shared" si="609"/>
        <v>0</v>
      </c>
      <c r="BN232" s="18">
        <f t="shared" ref="BN232:CB232" si="610">BN65*BN172</f>
        <v>0</v>
      </c>
      <c r="BO232" s="18">
        <f t="shared" si="610"/>
        <v>0</v>
      </c>
      <c r="BP232" s="18">
        <f t="shared" si="610"/>
        <v>0</v>
      </c>
      <c r="BQ232" s="18">
        <f t="shared" si="610"/>
        <v>0</v>
      </c>
      <c r="BR232" s="18">
        <f t="shared" si="610"/>
        <v>0</v>
      </c>
      <c r="BS232" s="18">
        <f t="shared" si="610"/>
        <v>0</v>
      </c>
      <c r="BT232" s="18">
        <f t="shared" si="610"/>
        <v>0</v>
      </c>
      <c r="BU232" s="18">
        <f t="shared" si="610"/>
        <v>0</v>
      </c>
      <c r="BV232" s="18">
        <f t="shared" si="610"/>
        <v>0</v>
      </c>
      <c r="BW232" s="18">
        <f t="shared" si="610"/>
        <v>0</v>
      </c>
      <c r="BX232" s="18">
        <f t="shared" si="610"/>
        <v>0</v>
      </c>
      <c r="BY232" s="18">
        <f t="shared" si="610"/>
        <v>0</v>
      </c>
      <c r="BZ232" s="18">
        <f t="shared" si="610"/>
        <v>0</v>
      </c>
      <c r="CA232" s="18">
        <f t="shared" si="610"/>
        <v>0</v>
      </c>
      <c r="CB232" s="18">
        <f t="shared" si="610"/>
        <v>0</v>
      </c>
      <c r="CC232" s="17"/>
      <c r="CD232" s="17"/>
      <c r="CE232" s="17"/>
      <c r="CH232" s="5"/>
      <c r="CI232" s="11"/>
      <c r="CJ232" s="11"/>
      <c r="CK232" s="11"/>
      <c r="CL232" s="11"/>
      <c r="CM232" s="11"/>
      <c r="CN232" s="11"/>
      <c r="CO232" s="11"/>
      <c r="CP232" s="11"/>
      <c r="CQ232" s="11"/>
      <c r="CR232" s="11"/>
      <c r="CS232" s="11"/>
      <c r="CT232" s="11"/>
      <c r="CU232" s="11"/>
      <c r="CV232" s="11"/>
      <c r="CW232" s="11"/>
      <c r="CX232" s="11"/>
      <c r="CY232" s="11"/>
      <c r="CZ232" s="11"/>
      <c r="DA232" s="11"/>
      <c r="DB232" s="11"/>
      <c r="DC232" s="11"/>
      <c r="DD232" s="11"/>
      <c r="DE232" s="11"/>
      <c r="DF232" s="11"/>
      <c r="DG232" s="11"/>
      <c r="DH232" s="11"/>
      <c r="DI232" s="11"/>
      <c r="DJ232" s="11"/>
      <c r="DK232" s="11"/>
      <c r="DL232" s="11"/>
      <c r="DM232" s="11"/>
      <c r="DN232" s="11"/>
      <c r="DO232" s="11"/>
      <c r="DP232" s="11"/>
      <c r="DQ232" s="11"/>
      <c r="DR232" s="11"/>
      <c r="DS232" s="11"/>
      <c r="DT232" s="11"/>
      <c r="DU232" s="11"/>
      <c r="DV232" s="11"/>
      <c r="DW232" s="11"/>
      <c r="DX232" s="11"/>
      <c r="DY232" s="11"/>
      <c r="DZ232" s="11"/>
      <c r="EA232" s="11"/>
      <c r="EB232" s="11"/>
      <c r="EC232" s="11"/>
      <c r="ED232" s="11"/>
      <c r="EE232" s="11"/>
      <c r="EF232" s="11"/>
    </row>
    <row r="233" spans="1:256">
      <c r="A233" s="18" t="str">
        <f>A67</f>
        <v>Bond 19</v>
      </c>
      <c r="B233" s="18">
        <f t="shared" ref="B233:BM233" si="611">B67*B177</f>
        <v>0</v>
      </c>
      <c r="C233" s="18">
        <f t="shared" si="611"/>
        <v>0</v>
      </c>
      <c r="D233" s="18">
        <f t="shared" si="611"/>
        <v>0</v>
      </c>
      <c r="E233" s="18">
        <f t="shared" si="611"/>
        <v>0</v>
      </c>
      <c r="F233" s="18">
        <f t="shared" si="611"/>
        <v>0</v>
      </c>
      <c r="G233" s="18">
        <f t="shared" si="611"/>
        <v>0</v>
      </c>
      <c r="H233" s="18">
        <f t="shared" si="611"/>
        <v>0</v>
      </c>
      <c r="I233" s="18">
        <f t="shared" si="611"/>
        <v>0</v>
      </c>
      <c r="J233" s="18">
        <f t="shared" si="611"/>
        <v>0</v>
      </c>
      <c r="K233" s="18">
        <f t="shared" si="611"/>
        <v>0</v>
      </c>
      <c r="L233" s="18">
        <f t="shared" si="611"/>
        <v>0</v>
      </c>
      <c r="M233" s="18">
        <f t="shared" si="611"/>
        <v>0</v>
      </c>
      <c r="N233" s="18">
        <f t="shared" si="611"/>
        <v>0</v>
      </c>
      <c r="O233" s="18">
        <f t="shared" si="611"/>
        <v>0</v>
      </c>
      <c r="P233" s="18">
        <f t="shared" si="611"/>
        <v>0</v>
      </c>
      <c r="Q233" s="18">
        <f t="shared" si="611"/>
        <v>0</v>
      </c>
      <c r="R233" s="18">
        <f t="shared" si="611"/>
        <v>0</v>
      </c>
      <c r="S233" s="18">
        <f t="shared" si="611"/>
        <v>0</v>
      </c>
      <c r="T233" s="18">
        <f t="shared" si="611"/>
        <v>0</v>
      </c>
      <c r="U233" s="18">
        <f t="shared" si="611"/>
        <v>0</v>
      </c>
      <c r="V233" s="18">
        <f t="shared" si="611"/>
        <v>0</v>
      </c>
      <c r="W233" s="18">
        <f t="shared" si="611"/>
        <v>0</v>
      </c>
      <c r="X233" s="18">
        <f t="shared" si="611"/>
        <v>0</v>
      </c>
      <c r="Y233" s="18">
        <f t="shared" si="611"/>
        <v>0</v>
      </c>
      <c r="Z233" s="18">
        <f t="shared" si="611"/>
        <v>0</v>
      </c>
      <c r="AA233" s="18">
        <f t="shared" si="611"/>
        <v>0</v>
      </c>
      <c r="AB233" s="18">
        <f t="shared" si="611"/>
        <v>0</v>
      </c>
      <c r="AC233" s="18">
        <f t="shared" si="611"/>
        <v>0</v>
      </c>
      <c r="AD233" s="18">
        <f t="shared" si="611"/>
        <v>0</v>
      </c>
      <c r="AE233" s="18">
        <f t="shared" si="611"/>
        <v>0</v>
      </c>
      <c r="AF233" s="18">
        <f t="shared" si="611"/>
        <v>0</v>
      </c>
      <c r="AG233" s="18">
        <f t="shared" si="611"/>
        <v>0</v>
      </c>
      <c r="AH233" s="18">
        <f t="shared" si="611"/>
        <v>0</v>
      </c>
      <c r="AI233" s="18">
        <f t="shared" si="611"/>
        <v>0</v>
      </c>
      <c r="AJ233" s="18">
        <f t="shared" si="611"/>
        <v>0</v>
      </c>
      <c r="AK233" s="18">
        <f t="shared" si="611"/>
        <v>0</v>
      </c>
      <c r="AL233" s="18">
        <f t="shared" si="611"/>
        <v>0</v>
      </c>
      <c r="AM233" s="18">
        <f t="shared" si="611"/>
        <v>0</v>
      </c>
      <c r="AN233" s="18">
        <f t="shared" si="611"/>
        <v>0</v>
      </c>
      <c r="AO233" s="18">
        <f t="shared" si="611"/>
        <v>0</v>
      </c>
      <c r="AP233" s="18">
        <f t="shared" si="611"/>
        <v>0</v>
      </c>
      <c r="AQ233" s="18">
        <f t="shared" si="611"/>
        <v>0</v>
      </c>
      <c r="AR233" s="18">
        <f t="shared" si="611"/>
        <v>0</v>
      </c>
      <c r="AS233" s="18">
        <f t="shared" si="611"/>
        <v>0</v>
      </c>
      <c r="AT233" s="18">
        <f t="shared" si="611"/>
        <v>0</v>
      </c>
      <c r="AU233" s="18">
        <f t="shared" si="611"/>
        <v>0</v>
      </c>
      <c r="AV233" s="18">
        <f t="shared" si="611"/>
        <v>0</v>
      </c>
      <c r="AW233" s="18">
        <f t="shared" si="611"/>
        <v>0</v>
      </c>
      <c r="AX233" s="18">
        <f t="shared" si="611"/>
        <v>0</v>
      </c>
      <c r="AY233" s="18">
        <f t="shared" si="611"/>
        <v>0</v>
      </c>
      <c r="AZ233" s="18">
        <f t="shared" si="611"/>
        <v>0</v>
      </c>
      <c r="BA233" s="18">
        <f t="shared" si="611"/>
        <v>0</v>
      </c>
      <c r="BB233" s="18">
        <f t="shared" si="611"/>
        <v>0</v>
      </c>
      <c r="BC233" s="18">
        <f t="shared" si="611"/>
        <v>0</v>
      </c>
      <c r="BD233" s="18">
        <f t="shared" si="611"/>
        <v>0</v>
      </c>
      <c r="BE233" s="18">
        <f t="shared" si="611"/>
        <v>0</v>
      </c>
      <c r="BF233" s="18">
        <f t="shared" si="611"/>
        <v>0</v>
      </c>
      <c r="BG233" s="18">
        <f t="shared" si="611"/>
        <v>0</v>
      </c>
      <c r="BH233" s="18">
        <f t="shared" si="611"/>
        <v>0</v>
      </c>
      <c r="BI233" s="18">
        <f t="shared" si="611"/>
        <v>0</v>
      </c>
      <c r="BJ233" s="18">
        <f t="shared" si="611"/>
        <v>0</v>
      </c>
      <c r="BK233" s="18">
        <f t="shared" si="611"/>
        <v>0</v>
      </c>
      <c r="BL233" s="18">
        <f t="shared" si="611"/>
        <v>0</v>
      </c>
      <c r="BM233" s="18">
        <f t="shared" si="611"/>
        <v>0</v>
      </c>
      <c r="BN233" s="18">
        <f t="shared" ref="BN233:CB233" si="612">BN67*BN177</f>
        <v>0</v>
      </c>
      <c r="BO233" s="18">
        <f t="shared" si="612"/>
        <v>0</v>
      </c>
      <c r="BP233" s="18">
        <f t="shared" si="612"/>
        <v>0</v>
      </c>
      <c r="BQ233" s="18">
        <f t="shared" si="612"/>
        <v>0</v>
      </c>
      <c r="BR233" s="18">
        <f t="shared" si="612"/>
        <v>0</v>
      </c>
      <c r="BS233" s="18">
        <f t="shared" si="612"/>
        <v>0</v>
      </c>
      <c r="BT233" s="18">
        <f t="shared" si="612"/>
        <v>0</v>
      </c>
      <c r="BU233" s="18">
        <f t="shared" si="612"/>
        <v>0</v>
      </c>
      <c r="BV233" s="18">
        <f t="shared" si="612"/>
        <v>0</v>
      </c>
      <c r="BW233" s="18">
        <f t="shared" si="612"/>
        <v>0</v>
      </c>
      <c r="BX233" s="18">
        <f t="shared" si="612"/>
        <v>0</v>
      </c>
      <c r="BY233" s="18">
        <f t="shared" si="612"/>
        <v>0</v>
      </c>
      <c r="BZ233" s="18">
        <f t="shared" si="612"/>
        <v>0</v>
      </c>
      <c r="CA233" s="18">
        <f t="shared" si="612"/>
        <v>0</v>
      </c>
      <c r="CB233" s="18">
        <f t="shared" si="612"/>
        <v>0</v>
      </c>
      <c r="CC233" s="17"/>
      <c r="CD233" s="17"/>
      <c r="CE233" s="17"/>
      <c r="CH233" s="5"/>
      <c r="CI233" s="11"/>
      <c r="CJ233" s="11"/>
      <c r="CK233" s="11"/>
      <c r="CL233" s="11"/>
      <c r="CM233" s="11"/>
      <c r="CN233" s="11"/>
      <c r="CO233" s="11"/>
      <c r="CP233" s="11"/>
      <c r="CQ233" s="11"/>
      <c r="CR233" s="11"/>
      <c r="CS233" s="11"/>
      <c r="CT233" s="11"/>
      <c r="CU233" s="11"/>
      <c r="CV233" s="11"/>
      <c r="CW233" s="11"/>
      <c r="CX233" s="11"/>
      <c r="CY233" s="11"/>
      <c r="CZ233" s="11"/>
      <c r="DA233" s="11"/>
      <c r="DB233" s="11"/>
      <c r="DC233" s="11"/>
      <c r="DD233" s="11"/>
      <c r="DE233" s="11"/>
      <c r="DF233" s="11"/>
      <c r="DG233" s="11"/>
      <c r="DH233" s="11"/>
      <c r="DI233" s="11"/>
      <c r="DJ233" s="11"/>
      <c r="DK233" s="11"/>
      <c r="DL233" s="11"/>
      <c r="DM233" s="11"/>
      <c r="DN233" s="11"/>
      <c r="DO233" s="11"/>
      <c r="DP233" s="11"/>
      <c r="DQ233" s="11"/>
      <c r="DR233" s="11"/>
      <c r="DS233" s="11"/>
      <c r="DT233" s="11"/>
      <c r="DU233" s="11"/>
      <c r="DV233" s="11"/>
      <c r="DW233" s="11"/>
      <c r="DX233" s="11"/>
      <c r="DY233" s="11"/>
      <c r="DZ233" s="11"/>
      <c r="EA233" s="11"/>
      <c r="EB233" s="11"/>
      <c r="EC233" s="11"/>
      <c r="ED233" s="11"/>
      <c r="EE233" s="11"/>
      <c r="EF233" s="11"/>
      <c r="EG233" s="11"/>
      <c r="EH233" s="11"/>
      <c r="EI233" s="11"/>
      <c r="EJ233" s="11"/>
      <c r="EK233" s="11"/>
      <c r="EL233" s="11"/>
      <c r="EM233" s="11"/>
      <c r="EN233" s="11"/>
      <c r="EO233" s="11"/>
      <c r="EP233" s="11"/>
      <c r="EQ233" s="11"/>
      <c r="ER233" s="11"/>
      <c r="ES233" s="11"/>
      <c r="ET233" s="11"/>
      <c r="EU233" s="11"/>
      <c r="EV233" s="11"/>
      <c r="EW233" s="11"/>
      <c r="EX233" s="11"/>
      <c r="EY233" s="11"/>
      <c r="EZ233" s="11"/>
      <c r="FA233" s="11"/>
      <c r="FB233" s="11"/>
      <c r="FC233" s="11"/>
      <c r="FD233" s="11"/>
    </row>
    <row r="234" spans="1:256">
      <c r="A234" s="18" t="str">
        <f>A69</f>
        <v>Bond 20</v>
      </c>
      <c r="B234" s="18">
        <f t="shared" ref="B234:BM234" si="613">B69*B182</f>
        <v>0</v>
      </c>
      <c r="C234" s="18">
        <f t="shared" si="613"/>
        <v>0</v>
      </c>
      <c r="D234" s="18">
        <f t="shared" si="613"/>
        <v>0</v>
      </c>
      <c r="E234" s="18">
        <f t="shared" si="613"/>
        <v>0</v>
      </c>
      <c r="F234" s="18">
        <f t="shared" si="613"/>
        <v>0</v>
      </c>
      <c r="G234" s="18">
        <f t="shared" si="613"/>
        <v>0</v>
      </c>
      <c r="H234" s="18">
        <f t="shared" si="613"/>
        <v>0</v>
      </c>
      <c r="I234" s="18">
        <f t="shared" si="613"/>
        <v>0</v>
      </c>
      <c r="J234" s="18">
        <f t="shared" si="613"/>
        <v>0</v>
      </c>
      <c r="K234" s="18">
        <f t="shared" si="613"/>
        <v>0</v>
      </c>
      <c r="L234" s="18">
        <f t="shared" si="613"/>
        <v>0</v>
      </c>
      <c r="M234" s="18">
        <f t="shared" si="613"/>
        <v>0</v>
      </c>
      <c r="N234" s="18">
        <f t="shared" si="613"/>
        <v>0</v>
      </c>
      <c r="O234" s="18">
        <f t="shared" si="613"/>
        <v>0</v>
      </c>
      <c r="P234" s="18">
        <f t="shared" si="613"/>
        <v>0</v>
      </c>
      <c r="Q234" s="18">
        <f t="shared" si="613"/>
        <v>0</v>
      </c>
      <c r="R234" s="18">
        <f t="shared" si="613"/>
        <v>0</v>
      </c>
      <c r="S234" s="18">
        <f t="shared" si="613"/>
        <v>0</v>
      </c>
      <c r="T234" s="18">
        <f t="shared" si="613"/>
        <v>0</v>
      </c>
      <c r="U234" s="18">
        <f t="shared" si="613"/>
        <v>0</v>
      </c>
      <c r="V234" s="18">
        <f t="shared" si="613"/>
        <v>0</v>
      </c>
      <c r="W234" s="18">
        <f t="shared" si="613"/>
        <v>0</v>
      </c>
      <c r="X234" s="18">
        <f t="shared" si="613"/>
        <v>0</v>
      </c>
      <c r="Y234" s="18">
        <f t="shared" si="613"/>
        <v>0</v>
      </c>
      <c r="Z234" s="18">
        <f t="shared" si="613"/>
        <v>0</v>
      </c>
      <c r="AA234" s="18">
        <f t="shared" si="613"/>
        <v>0</v>
      </c>
      <c r="AB234" s="18">
        <f t="shared" si="613"/>
        <v>0</v>
      </c>
      <c r="AC234" s="18">
        <f t="shared" si="613"/>
        <v>0</v>
      </c>
      <c r="AD234" s="18">
        <f t="shared" si="613"/>
        <v>0</v>
      </c>
      <c r="AE234" s="18">
        <f t="shared" si="613"/>
        <v>0</v>
      </c>
      <c r="AF234" s="18">
        <f t="shared" si="613"/>
        <v>0</v>
      </c>
      <c r="AG234" s="18">
        <f t="shared" si="613"/>
        <v>0</v>
      </c>
      <c r="AH234" s="18">
        <f t="shared" si="613"/>
        <v>0</v>
      </c>
      <c r="AI234" s="18">
        <f t="shared" si="613"/>
        <v>0</v>
      </c>
      <c r="AJ234" s="18">
        <f t="shared" si="613"/>
        <v>0</v>
      </c>
      <c r="AK234" s="18">
        <f t="shared" si="613"/>
        <v>0</v>
      </c>
      <c r="AL234" s="18">
        <f t="shared" si="613"/>
        <v>0</v>
      </c>
      <c r="AM234" s="18">
        <f t="shared" si="613"/>
        <v>0</v>
      </c>
      <c r="AN234" s="18">
        <f t="shared" si="613"/>
        <v>0</v>
      </c>
      <c r="AO234" s="18">
        <f t="shared" si="613"/>
        <v>0</v>
      </c>
      <c r="AP234" s="18">
        <f t="shared" si="613"/>
        <v>0</v>
      </c>
      <c r="AQ234" s="18">
        <f t="shared" si="613"/>
        <v>0</v>
      </c>
      <c r="AR234" s="18">
        <f t="shared" si="613"/>
        <v>0</v>
      </c>
      <c r="AS234" s="18">
        <f t="shared" si="613"/>
        <v>0</v>
      </c>
      <c r="AT234" s="18">
        <f t="shared" si="613"/>
        <v>0</v>
      </c>
      <c r="AU234" s="18">
        <f t="shared" si="613"/>
        <v>0</v>
      </c>
      <c r="AV234" s="18">
        <f t="shared" si="613"/>
        <v>0</v>
      </c>
      <c r="AW234" s="18">
        <f t="shared" si="613"/>
        <v>0</v>
      </c>
      <c r="AX234" s="18">
        <f t="shared" si="613"/>
        <v>0</v>
      </c>
      <c r="AY234" s="18">
        <f t="shared" si="613"/>
        <v>0</v>
      </c>
      <c r="AZ234" s="18">
        <f t="shared" si="613"/>
        <v>0</v>
      </c>
      <c r="BA234" s="18">
        <f t="shared" si="613"/>
        <v>0</v>
      </c>
      <c r="BB234" s="18">
        <f t="shared" si="613"/>
        <v>0</v>
      </c>
      <c r="BC234" s="18">
        <f t="shared" si="613"/>
        <v>0</v>
      </c>
      <c r="BD234" s="18">
        <f t="shared" si="613"/>
        <v>0</v>
      </c>
      <c r="BE234" s="18">
        <f t="shared" si="613"/>
        <v>0</v>
      </c>
      <c r="BF234" s="18">
        <f t="shared" si="613"/>
        <v>0</v>
      </c>
      <c r="BG234" s="18">
        <f t="shared" si="613"/>
        <v>0</v>
      </c>
      <c r="BH234" s="18">
        <f t="shared" si="613"/>
        <v>0</v>
      </c>
      <c r="BI234" s="18">
        <f t="shared" si="613"/>
        <v>0</v>
      </c>
      <c r="BJ234" s="18">
        <f t="shared" si="613"/>
        <v>0</v>
      </c>
      <c r="BK234" s="18">
        <f t="shared" si="613"/>
        <v>0</v>
      </c>
      <c r="BL234" s="18">
        <f t="shared" si="613"/>
        <v>0</v>
      </c>
      <c r="BM234" s="18">
        <f t="shared" si="613"/>
        <v>0</v>
      </c>
      <c r="BN234" s="18">
        <f t="shared" ref="BN234:CB234" si="614">BN69*BN182</f>
        <v>0</v>
      </c>
      <c r="BO234" s="18">
        <f t="shared" si="614"/>
        <v>0</v>
      </c>
      <c r="BP234" s="18">
        <f t="shared" si="614"/>
        <v>0</v>
      </c>
      <c r="BQ234" s="18">
        <f t="shared" si="614"/>
        <v>0</v>
      </c>
      <c r="BR234" s="18">
        <f t="shared" si="614"/>
        <v>0</v>
      </c>
      <c r="BS234" s="18">
        <f t="shared" si="614"/>
        <v>0</v>
      </c>
      <c r="BT234" s="18">
        <f t="shared" si="614"/>
        <v>0</v>
      </c>
      <c r="BU234" s="18">
        <f t="shared" si="614"/>
        <v>0</v>
      </c>
      <c r="BV234" s="18">
        <f t="shared" si="614"/>
        <v>0</v>
      </c>
      <c r="BW234" s="18">
        <f t="shared" si="614"/>
        <v>0</v>
      </c>
      <c r="BX234" s="18">
        <f t="shared" si="614"/>
        <v>0</v>
      </c>
      <c r="BY234" s="18">
        <f t="shared" si="614"/>
        <v>0</v>
      </c>
      <c r="BZ234" s="18">
        <f t="shared" si="614"/>
        <v>0</v>
      </c>
      <c r="CA234" s="18">
        <f t="shared" si="614"/>
        <v>0</v>
      </c>
      <c r="CB234" s="18">
        <f t="shared" si="614"/>
        <v>0</v>
      </c>
      <c r="CC234" s="17"/>
      <c r="CD234" s="17"/>
      <c r="CE234" s="17"/>
      <c r="CH234" s="5"/>
      <c r="CI234" s="11"/>
      <c r="CJ234" s="11"/>
      <c r="CK234" s="11"/>
      <c r="CL234" s="11"/>
      <c r="CM234" s="11"/>
      <c r="CN234" s="11"/>
      <c r="CO234" s="11"/>
      <c r="CP234" s="11"/>
      <c r="CQ234" s="11"/>
      <c r="CR234" s="11"/>
      <c r="CS234" s="11"/>
      <c r="CT234" s="11"/>
      <c r="CU234" s="11"/>
      <c r="CV234" s="11"/>
      <c r="CW234" s="11"/>
      <c r="CX234" s="11"/>
      <c r="CY234" s="11"/>
      <c r="CZ234" s="11"/>
      <c r="DA234" s="11"/>
      <c r="DB234" s="11"/>
      <c r="DC234" s="11"/>
      <c r="DD234" s="11"/>
      <c r="DE234" s="11"/>
      <c r="DF234" s="11"/>
      <c r="DG234" s="11"/>
      <c r="DH234" s="11"/>
      <c r="DI234" s="11"/>
      <c r="DJ234" s="11"/>
      <c r="DK234" s="11"/>
      <c r="DL234" s="11"/>
      <c r="DM234" s="11"/>
      <c r="DN234" s="11"/>
      <c r="DO234" s="11"/>
      <c r="DP234" s="11"/>
      <c r="DQ234" s="11"/>
      <c r="DR234" s="11"/>
      <c r="DS234" s="11"/>
      <c r="DT234" s="11"/>
      <c r="DU234" s="11"/>
      <c r="DV234" s="11"/>
      <c r="DW234" s="11"/>
      <c r="DX234" s="11"/>
      <c r="DY234" s="11"/>
      <c r="DZ234" s="11"/>
      <c r="EA234" s="11"/>
      <c r="EB234" s="11"/>
      <c r="EC234" s="11"/>
      <c r="ED234" s="11"/>
    </row>
    <row r="235" spans="1:256">
      <c r="A235" s="18" t="str">
        <f>A71</f>
        <v>Bond 21</v>
      </c>
      <c r="B235" s="18">
        <f t="shared" ref="B235:BM235" si="615">B71*B187</f>
        <v>0</v>
      </c>
      <c r="C235" s="18">
        <f t="shared" si="615"/>
        <v>0</v>
      </c>
      <c r="D235" s="18">
        <f t="shared" si="615"/>
        <v>0</v>
      </c>
      <c r="E235" s="18">
        <f t="shared" si="615"/>
        <v>0</v>
      </c>
      <c r="F235" s="18">
        <f t="shared" si="615"/>
        <v>0</v>
      </c>
      <c r="G235" s="18">
        <f t="shared" si="615"/>
        <v>0</v>
      </c>
      <c r="H235" s="18">
        <f t="shared" si="615"/>
        <v>0</v>
      </c>
      <c r="I235" s="18">
        <f t="shared" si="615"/>
        <v>0</v>
      </c>
      <c r="J235" s="18">
        <f t="shared" si="615"/>
        <v>0</v>
      </c>
      <c r="K235" s="18">
        <f t="shared" si="615"/>
        <v>0</v>
      </c>
      <c r="L235" s="18">
        <f t="shared" si="615"/>
        <v>0</v>
      </c>
      <c r="M235" s="18">
        <f t="shared" si="615"/>
        <v>0</v>
      </c>
      <c r="N235" s="18">
        <f t="shared" si="615"/>
        <v>0</v>
      </c>
      <c r="O235" s="18">
        <f t="shared" si="615"/>
        <v>0</v>
      </c>
      <c r="P235" s="18">
        <f t="shared" si="615"/>
        <v>0</v>
      </c>
      <c r="Q235" s="18">
        <f t="shared" si="615"/>
        <v>0</v>
      </c>
      <c r="R235" s="18">
        <f t="shared" si="615"/>
        <v>0</v>
      </c>
      <c r="S235" s="18">
        <f t="shared" si="615"/>
        <v>0</v>
      </c>
      <c r="T235" s="18">
        <f t="shared" si="615"/>
        <v>0</v>
      </c>
      <c r="U235" s="18">
        <f t="shared" si="615"/>
        <v>0</v>
      </c>
      <c r="V235" s="18">
        <f t="shared" si="615"/>
        <v>0</v>
      </c>
      <c r="W235" s="18">
        <f t="shared" si="615"/>
        <v>0</v>
      </c>
      <c r="X235" s="18">
        <f t="shared" si="615"/>
        <v>0</v>
      </c>
      <c r="Y235" s="18">
        <f t="shared" si="615"/>
        <v>0</v>
      </c>
      <c r="Z235" s="18">
        <f t="shared" si="615"/>
        <v>0</v>
      </c>
      <c r="AA235" s="18">
        <f t="shared" si="615"/>
        <v>0</v>
      </c>
      <c r="AB235" s="18">
        <f t="shared" si="615"/>
        <v>0</v>
      </c>
      <c r="AC235" s="18">
        <f t="shared" si="615"/>
        <v>0</v>
      </c>
      <c r="AD235" s="18">
        <f t="shared" si="615"/>
        <v>0</v>
      </c>
      <c r="AE235" s="18">
        <f t="shared" si="615"/>
        <v>0</v>
      </c>
      <c r="AF235" s="18">
        <f t="shared" si="615"/>
        <v>0</v>
      </c>
      <c r="AG235" s="18">
        <f t="shared" si="615"/>
        <v>0</v>
      </c>
      <c r="AH235" s="18">
        <f t="shared" si="615"/>
        <v>0</v>
      </c>
      <c r="AI235" s="18">
        <f t="shared" si="615"/>
        <v>0</v>
      </c>
      <c r="AJ235" s="18">
        <f t="shared" si="615"/>
        <v>0</v>
      </c>
      <c r="AK235" s="18">
        <f t="shared" si="615"/>
        <v>0</v>
      </c>
      <c r="AL235" s="18">
        <f t="shared" si="615"/>
        <v>0</v>
      </c>
      <c r="AM235" s="18">
        <f t="shared" si="615"/>
        <v>0</v>
      </c>
      <c r="AN235" s="18">
        <f t="shared" si="615"/>
        <v>0</v>
      </c>
      <c r="AO235" s="18">
        <f t="shared" si="615"/>
        <v>0</v>
      </c>
      <c r="AP235" s="18">
        <f t="shared" si="615"/>
        <v>0</v>
      </c>
      <c r="AQ235" s="18">
        <f t="shared" si="615"/>
        <v>0</v>
      </c>
      <c r="AR235" s="18">
        <f t="shared" si="615"/>
        <v>0</v>
      </c>
      <c r="AS235" s="18">
        <f t="shared" si="615"/>
        <v>0</v>
      </c>
      <c r="AT235" s="18">
        <f t="shared" si="615"/>
        <v>0</v>
      </c>
      <c r="AU235" s="18">
        <f t="shared" si="615"/>
        <v>0</v>
      </c>
      <c r="AV235" s="18">
        <f t="shared" si="615"/>
        <v>0</v>
      </c>
      <c r="AW235" s="18">
        <f t="shared" si="615"/>
        <v>0</v>
      </c>
      <c r="AX235" s="18">
        <f t="shared" si="615"/>
        <v>0</v>
      </c>
      <c r="AY235" s="18">
        <f t="shared" si="615"/>
        <v>0</v>
      </c>
      <c r="AZ235" s="18">
        <f t="shared" si="615"/>
        <v>0</v>
      </c>
      <c r="BA235" s="18">
        <f t="shared" si="615"/>
        <v>0</v>
      </c>
      <c r="BB235" s="18">
        <f t="shared" si="615"/>
        <v>0</v>
      </c>
      <c r="BC235" s="18">
        <f t="shared" si="615"/>
        <v>0</v>
      </c>
      <c r="BD235" s="18">
        <f t="shared" si="615"/>
        <v>0</v>
      </c>
      <c r="BE235" s="18">
        <f t="shared" si="615"/>
        <v>0</v>
      </c>
      <c r="BF235" s="18">
        <f t="shared" si="615"/>
        <v>0</v>
      </c>
      <c r="BG235" s="18">
        <f t="shared" si="615"/>
        <v>0</v>
      </c>
      <c r="BH235" s="18">
        <f t="shared" si="615"/>
        <v>0</v>
      </c>
      <c r="BI235" s="18">
        <f t="shared" si="615"/>
        <v>0</v>
      </c>
      <c r="BJ235" s="18">
        <f t="shared" si="615"/>
        <v>0</v>
      </c>
      <c r="BK235" s="18">
        <f t="shared" si="615"/>
        <v>0</v>
      </c>
      <c r="BL235" s="18">
        <f t="shared" si="615"/>
        <v>0</v>
      </c>
      <c r="BM235" s="18">
        <f t="shared" si="615"/>
        <v>0</v>
      </c>
      <c r="BN235" s="18">
        <f t="shared" ref="BN235:CB235" si="616">BN71*BN187</f>
        <v>0</v>
      </c>
      <c r="BO235" s="18">
        <f t="shared" si="616"/>
        <v>0</v>
      </c>
      <c r="BP235" s="18">
        <f t="shared" si="616"/>
        <v>0</v>
      </c>
      <c r="BQ235" s="18">
        <f t="shared" si="616"/>
        <v>0</v>
      </c>
      <c r="BR235" s="18">
        <f t="shared" si="616"/>
        <v>0</v>
      </c>
      <c r="BS235" s="18">
        <f t="shared" si="616"/>
        <v>0</v>
      </c>
      <c r="BT235" s="18">
        <f t="shared" si="616"/>
        <v>0</v>
      </c>
      <c r="BU235" s="18">
        <f t="shared" si="616"/>
        <v>0</v>
      </c>
      <c r="BV235" s="18">
        <f t="shared" si="616"/>
        <v>0</v>
      </c>
      <c r="BW235" s="18">
        <f t="shared" si="616"/>
        <v>0</v>
      </c>
      <c r="BX235" s="18">
        <f t="shared" si="616"/>
        <v>0</v>
      </c>
      <c r="BY235" s="18">
        <f t="shared" si="616"/>
        <v>0</v>
      </c>
      <c r="BZ235" s="18">
        <f t="shared" si="616"/>
        <v>0</v>
      </c>
      <c r="CA235" s="18">
        <f t="shared" si="616"/>
        <v>0</v>
      </c>
      <c r="CB235" s="18">
        <f t="shared" si="616"/>
        <v>0</v>
      </c>
      <c r="CC235" s="17"/>
      <c r="CD235" s="17"/>
      <c r="CE235" s="17"/>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K235" s="5"/>
      <c r="DL235" s="5"/>
      <c r="DM235" s="5"/>
      <c r="DN235" s="5"/>
      <c r="DO235" s="5"/>
      <c r="DP235" s="5"/>
      <c r="DQ235" s="5"/>
      <c r="DR235" s="5"/>
      <c r="DS235" s="5"/>
      <c r="DT235" s="5"/>
      <c r="DU235" s="5"/>
      <c r="DV235" s="5"/>
      <c r="DW235" s="5"/>
      <c r="DX235" s="5"/>
      <c r="DY235" s="5"/>
      <c r="DZ235" s="5"/>
      <c r="EA235" s="5"/>
      <c r="EB235" s="5"/>
      <c r="EC235" s="5"/>
      <c r="ED235" s="5"/>
      <c r="EE235" s="5"/>
      <c r="EF235" s="5"/>
      <c r="EG235" s="5"/>
      <c r="EH235" s="5"/>
      <c r="EI235" s="5"/>
      <c r="EJ235" s="5"/>
      <c r="EK235" s="5"/>
      <c r="EL235" s="5"/>
      <c r="EM235" s="5"/>
      <c r="EN235" s="5"/>
      <c r="EO235" s="5"/>
      <c r="EP235" s="5"/>
      <c r="EQ235" s="5"/>
      <c r="ER235" s="5"/>
      <c r="ES235" s="5"/>
      <c r="ET235" s="5"/>
      <c r="EU235" s="5"/>
      <c r="EV235" s="5"/>
      <c r="EW235" s="5"/>
      <c r="EX235" s="5"/>
      <c r="EY235" s="5"/>
      <c r="EZ235" s="5"/>
      <c r="FA235" s="5"/>
      <c r="FB235" s="5"/>
      <c r="FC235" s="5"/>
      <c r="FD235" s="5"/>
      <c r="FE235" s="5"/>
      <c r="FF235" s="5"/>
      <c r="FG235" s="5"/>
      <c r="FH235" s="5"/>
      <c r="FI235" s="5"/>
      <c r="FJ235" s="5"/>
      <c r="FK235" s="5"/>
      <c r="FL235" s="5"/>
      <c r="FM235" s="5"/>
      <c r="FN235" s="5"/>
      <c r="FO235" s="5"/>
      <c r="FP235" s="5"/>
      <c r="FQ235" s="5"/>
      <c r="FR235" s="5"/>
      <c r="FS235" s="5"/>
      <c r="FT235" s="5"/>
      <c r="FU235" s="5"/>
      <c r="FV235" s="5"/>
      <c r="FW235" s="5"/>
      <c r="FX235" s="5"/>
      <c r="FY235" s="5"/>
      <c r="FZ235" s="5"/>
      <c r="GA235" s="5"/>
      <c r="GB235" s="5"/>
      <c r="GC235" s="5"/>
      <c r="GD235" s="5"/>
      <c r="GE235" s="5"/>
      <c r="GF235" s="5"/>
      <c r="GG235" s="5"/>
      <c r="GH235" s="5"/>
      <c r="GI235" s="5"/>
      <c r="GJ235" s="5"/>
      <c r="GK235" s="5"/>
      <c r="GL235" s="5"/>
      <c r="GM235" s="5"/>
      <c r="GN235" s="5"/>
      <c r="GO235" s="5"/>
      <c r="GP235" s="5"/>
      <c r="GQ235" s="5"/>
      <c r="GR235" s="5"/>
      <c r="GS235" s="5"/>
    </row>
    <row r="236" spans="1:256">
      <c r="A236" s="18" t="str">
        <f>A73</f>
        <v>Bond 22</v>
      </c>
      <c r="B236" s="18">
        <f>B73*B192</f>
        <v>0</v>
      </c>
      <c r="C236" s="18">
        <f t="shared" ref="C236:BN236" si="617">C73*C192</f>
        <v>0</v>
      </c>
      <c r="D236" s="18">
        <f t="shared" si="617"/>
        <v>0</v>
      </c>
      <c r="E236" s="18">
        <f t="shared" si="617"/>
        <v>0</v>
      </c>
      <c r="F236" s="18">
        <f t="shared" si="617"/>
        <v>0</v>
      </c>
      <c r="G236" s="18">
        <f t="shared" si="617"/>
        <v>0</v>
      </c>
      <c r="H236" s="18">
        <f t="shared" si="617"/>
        <v>0</v>
      </c>
      <c r="I236" s="18">
        <f t="shared" si="617"/>
        <v>0</v>
      </c>
      <c r="J236" s="18">
        <f t="shared" si="617"/>
        <v>0</v>
      </c>
      <c r="K236" s="18">
        <f t="shared" si="617"/>
        <v>0</v>
      </c>
      <c r="L236" s="18">
        <f t="shared" si="617"/>
        <v>0</v>
      </c>
      <c r="M236" s="18">
        <f t="shared" si="617"/>
        <v>0</v>
      </c>
      <c r="N236" s="18">
        <f t="shared" si="617"/>
        <v>0</v>
      </c>
      <c r="O236" s="18">
        <f t="shared" si="617"/>
        <v>0</v>
      </c>
      <c r="P236" s="18">
        <f t="shared" si="617"/>
        <v>0</v>
      </c>
      <c r="Q236" s="18">
        <f t="shared" si="617"/>
        <v>0</v>
      </c>
      <c r="R236" s="18">
        <f t="shared" si="617"/>
        <v>0</v>
      </c>
      <c r="S236" s="18">
        <f t="shared" si="617"/>
        <v>0</v>
      </c>
      <c r="T236" s="18">
        <f t="shared" si="617"/>
        <v>0</v>
      </c>
      <c r="U236" s="18">
        <f t="shared" si="617"/>
        <v>0</v>
      </c>
      <c r="V236" s="18">
        <f t="shared" si="617"/>
        <v>0</v>
      </c>
      <c r="W236" s="18">
        <f t="shared" si="617"/>
        <v>0</v>
      </c>
      <c r="X236" s="18">
        <f t="shared" si="617"/>
        <v>0</v>
      </c>
      <c r="Y236" s="18">
        <f t="shared" si="617"/>
        <v>0</v>
      </c>
      <c r="Z236" s="18">
        <f t="shared" si="617"/>
        <v>0</v>
      </c>
      <c r="AA236" s="18">
        <f t="shared" si="617"/>
        <v>0</v>
      </c>
      <c r="AB236" s="18">
        <f t="shared" si="617"/>
        <v>0</v>
      </c>
      <c r="AC236" s="18">
        <f t="shared" si="617"/>
        <v>0</v>
      </c>
      <c r="AD236" s="18">
        <f t="shared" si="617"/>
        <v>0</v>
      </c>
      <c r="AE236" s="18">
        <f t="shared" si="617"/>
        <v>0</v>
      </c>
      <c r="AF236" s="18">
        <f t="shared" si="617"/>
        <v>0</v>
      </c>
      <c r="AG236" s="18">
        <f t="shared" si="617"/>
        <v>0</v>
      </c>
      <c r="AH236" s="18">
        <f t="shared" si="617"/>
        <v>0</v>
      </c>
      <c r="AI236" s="18">
        <f t="shared" si="617"/>
        <v>0</v>
      </c>
      <c r="AJ236" s="18">
        <f t="shared" si="617"/>
        <v>0</v>
      </c>
      <c r="AK236" s="18">
        <f t="shared" si="617"/>
        <v>0</v>
      </c>
      <c r="AL236" s="18">
        <f t="shared" si="617"/>
        <v>0</v>
      </c>
      <c r="AM236" s="18">
        <f t="shared" si="617"/>
        <v>0</v>
      </c>
      <c r="AN236" s="18">
        <f t="shared" si="617"/>
        <v>0</v>
      </c>
      <c r="AO236" s="18">
        <f t="shared" si="617"/>
        <v>0</v>
      </c>
      <c r="AP236" s="18">
        <f t="shared" si="617"/>
        <v>0</v>
      </c>
      <c r="AQ236" s="18">
        <f t="shared" si="617"/>
        <v>0</v>
      </c>
      <c r="AR236" s="18">
        <f t="shared" si="617"/>
        <v>0</v>
      </c>
      <c r="AS236" s="18">
        <f t="shared" si="617"/>
        <v>0</v>
      </c>
      <c r="AT236" s="18">
        <f t="shared" si="617"/>
        <v>0</v>
      </c>
      <c r="AU236" s="18">
        <f t="shared" si="617"/>
        <v>0</v>
      </c>
      <c r="AV236" s="18">
        <f t="shared" si="617"/>
        <v>0</v>
      </c>
      <c r="AW236" s="18">
        <f t="shared" si="617"/>
        <v>0</v>
      </c>
      <c r="AX236" s="18">
        <f t="shared" si="617"/>
        <v>0</v>
      </c>
      <c r="AY236" s="18">
        <f t="shared" si="617"/>
        <v>0</v>
      </c>
      <c r="AZ236" s="18">
        <f t="shared" si="617"/>
        <v>0</v>
      </c>
      <c r="BA236" s="18">
        <f t="shared" si="617"/>
        <v>0</v>
      </c>
      <c r="BB236" s="18">
        <f t="shared" si="617"/>
        <v>0</v>
      </c>
      <c r="BC236" s="18">
        <f t="shared" si="617"/>
        <v>0</v>
      </c>
      <c r="BD236" s="18">
        <f t="shared" si="617"/>
        <v>0</v>
      </c>
      <c r="BE236" s="18">
        <f t="shared" si="617"/>
        <v>0</v>
      </c>
      <c r="BF236" s="18">
        <f t="shared" si="617"/>
        <v>0</v>
      </c>
      <c r="BG236" s="18">
        <f t="shared" si="617"/>
        <v>0</v>
      </c>
      <c r="BH236" s="18">
        <f t="shared" si="617"/>
        <v>0</v>
      </c>
      <c r="BI236" s="18">
        <f t="shared" si="617"/>
        <v>0</v>
      </c>
      <c r="BJ236" s="18">
        <f t="shared" si="617"/>
        <v>0</v>
      </c>
      <c r="BK236" s="18">
        <f t="shared" si="617"/>
        <v>0</v>
      </c>
      <c r="BL236" s="18">
        <f t="shared" si="617"/>
        <v>0</v>
      </c>
      <c r="BM236" s="18">
        <f t="shared" si="617"/>
        <v>0</v>
      </c>
      <c r="BN236" s="18">
        <f t="shared" si="617"/>
        <v>0</v>
      </c>
      <c r="BO236" s="18">
        <f t="shared" ref="BO236:CB236" si="618">BO73*BO192</f>
        <v>0</v>
      </c>
      <c r="BP236" s="18">
        <f t="shared" si="618"/>
        <v>0</v>
      </c>
      <c r="BQ236" s="18">
        <f t="shared" si="618"/>
        <v>0</v>
      </c>
      <c r="BR236" s="18">
        <f t="shared" si="618"/>
        <v>0</v>
      </c>
      <c r="BS236" s="18">
        <f t="shared" si="618"/>
        <v>0</v>
      </c>
      <c r="BT236" s="18">
        <f t="shared" si="618"/>
        <v>0</v>
      </c>
      <c r="BU236" s="18">
        <f t="shared" si="618"/>
        <v>0</v>
      </c>
      <c r="BV236" s="18">
        <f t="shared" si="618"/>
        <v>0</v>
      </c>
      <c r="BW236" s="18">
        <f t="shared" si="618"/>
        <v>0</v>
      </c>
      <c r="BX236" s="18">
        <f t="shared" si="618"/>
        <v>0</v>
      </c>
      <c r="BY236" s="18">
        <f t="shared" si="618"/>
        <v>0</v>
      </c>
      <c r="BZ236" s="18">
        <f t="shared" si="618"/>
        <v>0</v>
      </c>
      <c r="CA236" s="18">
        <f t="shared" si="618"/>
        <v>0</v>
      </c>
      <c r="CB236" s="18">
        <f t="shared" si="618"/>
        <v>0</v>
      </c>
      <c r="CC236" s="17"/>
      <c r="CD236" s="17"/>
      <c r="CE236" s="17"/>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c r="DG236" s="5"/>
      <c r="DH236" s="5"/>
      <c r="DI236" s="5"/>
      <c r="DJ236" s="5"/>
      <c r="DK236" s="5"/>
      <c r="DL236" s="5"/>
      <c r="DM236" s="5"/>
      <c r="DN236" s="5"/>
      <c r="DO236" s="5"/>
      <c r="DP236" s="5"/>
      <c r="DQ236" s="5"/>
      <c r="DR236" s="5"/>
      <c r="DS236" s="5"/>
      <c r="DT236" s="5"/>
      <c r="DU236" s="5"/>
      <c r="DV236" s="5"/>
      <c r="DW236" s="5"/>
      <c r="DX236" s="5"/>
      <c r="DY236" s="5"/>
      <c r="DZ236" s="5"/>
      <c r="EA236" s="5"/>
      <c r="EB236" s="5"/>
      <c r="EC236" s="5"/>
      <c r="ED236" s="5"/>
      <c r="EE236" s="5"/>
      <c r="EF236" s="5"/>
      <c r="EG236" s="5"/>
      <c r="EH236" s="5"/>
      <c r="EI236" s="5"/>
      <c r="EJ236" s="5"/>
      <c r="EK236" s="5"/>
      <c r="EL236" s="5"/>
      <c r="EM236" s="5"/>
      <c r="EN236" s="5"/>
      <c r="EO236" s="5"/>
      <c r="EP236" s="5"/>
      <c r="EQ236" s="5"/>
      <c r="ER236" s="5"/>
      <c r="ES236" s="5"/>
      <c r="ET236" s="5"/>
      <c r="EU236" s="5"/>
      <c r="EV236" s="5"/>
      <c r="EW236" s="5"/>
      <c r="EX236" s="5"/>
      <c r="EY236" s="5"/>
      <c r="EZ236" s="5"/>
      <c r="FA236" s="5"/>
      <c r="FB236" s="5"/>
      <c r="FC236" s="5"/>
      <c r="FD236" s="5"/>
      <c r="FE236" s="5"/>
      <c r="FF236" s="5"/>
      <c r="FG236" s="5"/>
      <c r="FH236" s="5"/>
      <c r="FI236" s="5"/>
      <c r="FJ236" s="5"/>
      <c r="FK236" s="5"/>
      <c r="FL236" s="5"/>
      <c r="FM236" s="5"/>
      <c r="FN236" s="5"/>
      <c r="FO236" s="5"/>
      <c r="FP236" s="5"/>
      <c r="FQ236" s="5"/>
      <c r="FR236" s="5"/>
      <c r="FS236" s="5"/>
      <c r="FT236" s="5"/>
      <c r="FU236" s="5"/>
      <c r="FV236" s="5"/>
      <c r="FW236" s="5"/>
      <c r="FX236" s="5"/>
      <c r="FY236" s="5"/>
      <c r="FZ236" s="5"/>
      <c r="GA236" s="5"/>
      <c r="GB236" s="5"/>
      <c r="GC236" s="5"/>
      <c r="GD236" s="5"/>
      <c r="GE236" s="5"/>
      <c r="GF236" s="5"/>
      <c r="GG236" s="5"/>
      <c r="GH236" s="5"/>
      <c r="GI236" s="5"/>
      <c r="GJ236" s="5"/>
      <c r="GK236" s="5"/>
      <c r="GL236" s="5"/>
      <c r="GM236" s="5"/>
      <c r="GN236" s="5"/>
      <c r="GO236" s="5"/>
      <c r="GP236" s="5"/>
      <c r="GQ236" s="5"/>
      <c r="GR236" s="5"/>
      <c r="GS236" s="5"/>
      <c r="GT236" s="5"/>
      <c r="GU236" s="5"/>
      <c r="GV236" s="5"/>
      <c r="GW236" s="5"/>
      <c r="GX236" s="5"/>
      <c r="GY236" s="5"/>
      <c r="GZ236" s="5"/>
      <c r="HA236" s="5"/>
      <c r="HB236" s="5"/>
      <c r="HC236" s="5"/>
      <c r="HD236" s="5"/>
      <c r="HE236" s="5"/>
      <c r="HF236" s="5"/>
      <c r="HG236" s="5"/>
      <c r="HH236" s="5"/>
      <c r="HI236" s="5"/>
      <c r="HJ236" s="5"/>
      <c r="HK236" s="5"/>
      <c r="HL236" s="5"/>
      <c r="HM236" s="5"/>
      <c r="HN236" s="5"/>
      <c r="HO236" s="5"/>
      <c r="HP236" s="5"/>
      <c r="HQ236" s="5"/>
      <c r="HR236" s="5"/>
      <c r="HS236" s="5"/>
      <c r="HT236" s="5"/>
      <c r="HU236" s="5"/>
      <c r="HV236" s="5"/>
      <c r="HW236" s="5"/>
      <c r="HX236" s="5"/>
      <c r="HY236" s="5"/>
      <c r="HZ236" s="5"/>
      <c r="IA236" s="5"/>
      <c r="IB236" s="5"/>
      <c r="IC236" s="5"/>
      <c r="ID236" s="5"/>
      <c r="IE236" s="5"/>
      <c r="IF236" s="5"/>
      <c r="IG236" s="5"/>
      <c r="IH236" s="5"/>
      <c r="II236" s="5"/>
      <c r="IJ236" s="5"/>
      <c r="IK236" s="5"/>
      <c r="IL236" s="5"/>
      <c r="IM236" s="5"/>
      <c r="IN236" s="5"/>
      <c r="IO236" s="5"/>
      <c r="IP236" s="5"/>
      <c r="IQ236" s="5"/>
      <c r="IR236" s="5"/>
      <c r="IS236" s="5"/>
      <c r="IT236" s="5"/>
      <c r="IU236" s="5"/>
      <c r="IV236" s="5"/>
    </row>
    <row r="237" spans="1:256">
      <c r="A237" s="18" t="str">
        <f>A75</f>
        <v>Bond 23</v>
      </c>
      <c r="B237" s="18">
        <f>B75*B197</f>
        <v>0</v>
      </c>
      <c r="C237" s="18">
        <f t="shared" ref="C237:BN237" si="619">C75*C197</f>
        <v>0</v>
      </c>
      <c r="D237" s="18">
        <f t="shared" si="619"/>
        <v>0</v>
      </c>
      <c r="E237" s="18">
        <f t="shared" si="619"/>
        <v>0</v>
      </c>
      <c r="F237" s="18">
        <f t="shared" si="619"/>
        <v>0</v>
      </c>
      <c r="G237" s="18">
        <f t="shared" si="619"/>
        <v>0</v>
      </c>
      <c r="H237" s="18">
        <f t="shared" si="619"/>
        <v>0</v>
      </c>
      <c r="I237" s="18">
        <f t="shared" si="619"/>
        <v>0</v>
      </c>
      <c r="J237" s="18">
        <f t="shared" si="619"/>
        <v>0</v>
      </c>
      <c r="K237" s="18">
        <f t="shared" si="619"/>
        <v>0</v>
      </c>
      <c r="L237" s="18">
        <f t="shared" si="619"/>
        <v>0</v>
      </c>
      <c r="M237" s="18">
        <f t="shared" si="619"/>
        <v>0</v>
      </c>
      <c r="N237" s="18">
        <f t="shared" si="619"/>
        <v>0</v>
      </c>
      <c r="O237" s="18">
        <f t="shared" si="619"/>
        <v>0</v>
      </c>
      <c r="P237" s="18">
        <f t="shared" si="619"/>
        <v>0</v>
      </c>
      <c r="Q237" s="18">
        <f t="shared" si="619"/>
        <v>0</v>
      </c>
      <c r="R237" s="18">
        <f t="shared" si="619"/>
        <v>0</v>
      </c>
      <c r="S237" s="18">
        <f t="shared" si="619"/>
        <v>0</v>
      </c>
      <c r="T237" s="18">
        <f t="shared" si="619"/>
        <v>0</v>
      </c>
      <c r="U237" s="18">
        <f t="shared" si="619"/>
        <v>0</v>
      </c>
      <c r="V237" s="18">
        <f t="shared" si="619"/>
        <v>0</v>
      </c>
      <c r="W237" s="18">
        <f t="shared" si="619"/>
        <v>0</v>
      </c>
      <c r="X237" s="18">
        <f t="shared" si="619"/>
        <v>0</v>
      </c>
      <c r="Y237" s="18">
        <f t="shared" si="619"/>
        <v>0</v>
      </c>
      <c r="Z237" s="18">
        <f t="shared" si="619"/>
        <v>0</v>
      </c>
      <c r="AA237" s="18">
        <f t="shared" si="619"/>
        <v>0</v>
      </c>
      <c r="AB237" s="18">
        <f t="shared" si="619"/>
        <v>0</v>
      </c>
      <c r="AC237" s="18">
        <f t="shared" si="619"/>
        <v>0</v>
      </c>
      <c r="AD237" s="18">
        <f t="shared" si="619"/>
        <v>0</v>
      </c>
      <c r="AE237" s="18">
        <f t="shared" si="619"/>
        <v>0</v>
      </c>
      <c r="AF237" s="18">
        <f t="shared" si="619"/>
        <v>0</v>
      </c>
      <c r="AG237" s="18">
        <f t="shared" si="619"/>
        <v>0</v>
      </c>
      <c r="AH237" s="18">
        <f t="shared" si="619"/>
        <v>0</v>
      </c>
      <c r="AI237" s="18">
        <f t="shared" si="619"/>
        <v>0</v>
      </c>
      <c r="AJ237" s="18">
        <f t="shared" si="619"/>
        <v>0</v>
      </c>
      <c r="AK237" s="18">
        <f t="shared" si="619"/>
        <v>0</v>
      </c>
      <c r="AL237" s="18">
        <f t="shared" si="619"/>
        <v>0</v>
      </c>
      <c r="AM237" s="18">
        <f t="shared" si="619"/>
        <v>0</v>
      </c>
      <c r="AN237" s="18">
        <f t="shared" si="619"/>
        <v>0</v>
      </c>
      <c r="AO237" s="18">
        <f t="shared" si="619"/>
        <v>0</v>
      </c>
      <c r="AP237" s="18">
        <f t="shared" si="619"/>
        <v>0</v>
      </c>
      <c r="AQ237" s="18">
        <f t="shared" si="619"/>
        <v>0</v>
      </c>
      <c r="AR237" s="18">
        <f t="shared" si="619"/>
        <v>0</v>
      </c>
      <c r="AS237" s="18">
        <f t="shared" si="619"/>
        <v>0</v>
      </c>
      <c r="AT237" s="18">
        <f t="shared" si="619"/>
        <v>0</v>
      </c>
      <c r="AU237" s="18">
        <f t="shared" si="619"/>
        <v>0</v>
      </c>
      <c r="AV237" s="18">
        <f t="shared" si="619"/>
        <v>0</v>
      </c>
      <c r="AW237" s="18">
        <f t="shared" si="619"/>
        <v>0</v>
      </c>
      <c r="AX237" s="18">
        <f t="shared" si="619"/>
        <v>0</v>
      </c>
      <c r="AY237" s="18">
        <f t="shared" si="619"/>
        <v>0</v>
      </c>
      <c r="AZ237" s="18">
        <f t="shared" si="619"/>
        <v>0</v>
      </c>
      <c r="BA237" s="18">
        <f t="shared" si="619"/>
        <v>0</v>
      </c>
      <c r="BB237" s="18">
        <f t="shared" si="619"/>
        <v>0</v>
      </c>
      <c r="BC237" s="18">
        <f t="shared" si="619"/>
        <v>0</v>
      </c>
      <c r="BD237" s="18">
        <f t="shared" si="619"/>
        <v>0</v>
      </c>
      <c r="BE237" s="18">
        <f t="shared" si="619"/>
        <v>0</v>
      </c>
      <c r="BF237" s="18">
        <f t="shared" si="619"/>
        <v>0</v>
      </c>
      <c r="BG237" s="18">
        <f t="shared" si="619"/>
        <v>0</v>
      </c>
      <c r="BH237" s="18">
        <f t="shared" si="619"/>
        <v>0</v>
      </c>
      <c r="BI237" s="18">
        <f t="shared" si="619"/>
        <v>0</v>
      </c>
      <c r="BJ237" s="18">
        <f t="shared" si="619"/>
        <v>0</v>
      </c>
      <c r="BK237" s="18">
        <f t="shared" si="619"/>
        <v>0</v>
      </c>
      <c r="BL237" s="18">
        <f t="shared" si="619"/>
        <v>0</v>
      </c>
      <c r="BM237" s="18">
        <f t="shared" si="619"/>
        <v>0</v>
      </c>
      <c r="BN237" s="18">
        <f t="shared" si="619"/>
        <v>0</v>
      </c>
      <c r="BO237" s="18">
        <f t="shared" ref="BO237:CB237" si="620">BO75*BO197</f>
        <v>0</v>
      </c>
      <c r="BP237" s="18">
        <f t="shared" si="620"/>
        <v>0</v>
      </c>
      <c r="BQ237" s="18">
        <f t="shared" si="620"/>
        <v>0</v>
      </c>
      <c r="BR237" s="18">
        <f t="shared" si="620"/>
        <v>0</v>
      </c>
      <c r="BS237" s="18">
        <f t="shared" si="620"/>
        <v>0</v>
      </c>
      <c r="BT237" s="18">
        <f t="shared" si="620"/>
        <v>0</v>
      </c>
      <c r="BU237" s="18">
        <f t="shared" si="620"/>
        <v>0</v>
      </c>
      <c r="BV237" s="18">
        <f t="shared" si="620"/>
        <v>0</v>
      </c>
      <c r="BW237" s="18">
        <f t="shared" si="620"/>
        <v>0</v>
      </c>
      <c r="BX237" s="18">
        <f t="shared" si="620"/>
        <v>0</v>
      </c>
      <c r="BY237" s="18">
        <f t="shared" si="620"/>
        <v>0</v>
      </c>
      <c r="BZ237" s="18">
        <f t="shared" si="620"/>
        <v>0</v>
      </c>
      <c r="CA237" s="18">
        <f t="shared" si="620"/>
        <v>0</v>
      </c>
      <c r="CB237" s="18">
        <f t="shared" si="620"/>
        <v>0</v>
      </c>
      <c r="CC237" s="17"/>
      <c r="CD237" s="17"/>
      <c r="CE237" s="17"/>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c r="DG237" s="5"/>
      <c r="DH237" s="5"/>
      <c r="DI237" s="5"/>
      <c r="DJ237" s="5"/>
      <c r="DK237" s="5"/>
      <c r="DL237" s="5"/>
      <c r="DM237" s="5"/>
      <c r="DN237" s="5"/>
      <c r="DO237" s="5"/>
      <c r="DP237" s="5"/>
      <c r="DQ237" s="5"/>
      <c r="DR237" s="5"/>
      <c r="DS237" s="5"/>
      <c r="DT237" s="5"/>
      <c r="DU237" s="5"/>
      <c r="DV237" s="5"/>
      <c r="DW237" s="5"/>
      <c r="DX237" s="5"/>
      <c r="DY237" s="5"/>
      <c r="DZ237" s="5"/>
      <c r="EA237" s="5"/>
      <c r="EB237" s="5"/>
      <c r="EC237" s="5"/>
      <c r="ED237" s="5"/>
      <c r="EE237" s="5"/>
      <c r="EF237" s="5"/>
      <c r="EG237" s="5"/>
      <c r="EH237" s="5"/>
      <c r="EI237" s="5"/>
      <c r="EJ237" s="5"/>
      <c r="EK237" s="5"/>
      <c r="EL237" s="5"/>
      <c r="EM237" s="5"/>
      <c r="EN237" s="5"/>
      <c r="EO237" s="5"/>
      <c r="EP237" s="5"/>
      <c r="EQ237" s="5"/>
      <c r="ER237" s="5"/>
      <c r="ES237" s="5"/>
      <c r="ET237" s="5"/>
      <c r="EU237" s="5"/>
      <c r="EV237" s="5"/>
      <c r="EW237" s="5"/>
      <c r="EX237" s="5"/>
      <c r="EY237" s="5"/>
      <c r="EZ237" s="5"/>
      <c r="FA237" s="5"/>
      <c r="FB237" s="5"/>
      <c r="FC237" s="5"/>
      <c r="FD237" s="5"/>
      <c r="FE237" s="5"/>
      <c r="FF237" s="5"/>
      <c r="FG237" s="5"/>
      <c r="FH237" s="5"/>
      <c r="FI237" s="5"/>
      <c r="FJ237" s="5"/>
      <c r="FK237" s="5"/>
      <c r="FL237" s="5"/>
      <c r="FM237" s="5"/>
      <c r="FN237" s="5"/>
      <c r="FO237" s="5"/>
      <c r="FP237" s="5"/>
      <c r="FQ237" s="5"/>
      <c r="FR237" s="5"/>
      <c r="FS237" s="5"/>
      <c r="FT237" s="5"/>
      <c r="FU237" s="5"/>
      <c r="FV237" s="5"/>
      <c r="FW237" s="5"/>
      <c r="FX237" s="5"/>
      <c r="FY237" s="5"/>
      <c r="FZ237" s="5"/>
      <c r="GA237" s="5"/>
      <c r="GB237" s="5"/>
      <c r="GC237" s="5"/>
      <c r="GD237" s="5"/>
      <c r="GE237" s="5"/>
      <c r="GF237" s="5"/>
      <c r="GG237" s="5"/>
      <c r="GH237" s="5"/>
      <c r="GI237" s="5"/>
      <c r="GJ237" s="5"/>
      <c r="GK237" s="5"/>
      <c r="GL237" s="5"/>
      <c r="GM237" s="5"/>
      <c r="GN237" s="5"/>
      <c r="GO237" s="5"/>
      <c r="GP237" s="5"/>
      <c r="GQ237" s="5"/>
      <c r="GR237" s="5"/>
      <c r="GS237" s="5"/>
      <c r="GT237" s="5"/>
      <c r="GU237" s="5"/>
      <c r="GV237" s="5"/>
      <c r="GW237" s="5"/>
      <c r="GX237" s="5"/>
      <c r="GY237" s="5"/>
      <c r="GZ237" s="5"/>
      <c r="HA237" s="5"/>
      <c r="HB237" s="5"/>
      <c r="HC237" s="5"/>
      <c r="HD237" s="5"/>
      <c r="HE237" s="5"/>
      <c r="HF237" s="5"/>
      <c r="HG237" s="5"/>
      <c r="HH237" s="5"/>
      <c r="HI237" s="5"/>
      <c r="HJ237" s="5"/>
      <c r="HK237" s="5"/>
      <c r="HL237" s="5"/>
      <c r="HM237" s="5"/>
      <c r="HN237" s="5"/>
      <c r="HO237" s="5"/>
      <c r="HP237" s="5"/>
      <c r="HQ237" s="5"/>
      <c r="HR237" s="5"/>
      <c r="HS237" s="5"/>
      <c r="HT237" s="5"/>
      <c r="HU237" s="5"/>
      <c r="HV237" s="5"/>
      <c r="HW237" s="5"/>
      <c r="HX237" s="5"/>
      <c r="HY237" s="5"/>
      <c r="HZ237" s="5"/>
      <c r="IA237" s="5"/>
      <c r="IB237" s="5"/>
      <c r="IC237" s="5"/>
      <c r="ID237" s="5"/>
      <c r="IE237" s="5"/>
      <c r="IF237" s="5"/>
      <c r="IG237" s="5"/>
      <c r="IH237" s="5"/>
      <c r="II237" s="5"/>
      <c r="IJ237" s="5"/>
      <c r="IK237" s="5"/>
      <c r="IL237" s="5"/>
      <c r="IM237" s="5"/>
      <c r="IN237" s="5"/>
      <c r="IO237" s="5"/>
      <c r="IP237" s="5"/>
      <c r="IQ237" s="5"/>
      <c r="IR237" s="5"/>
      <c r="IS237" s="5"/>
      <c r="IT237" s="5"/>
      <c r="IU237" s="5"/>
      <c r="IV237" s="5"/>
    </row>
    <row r="238" spans="1:256">
      <c r="A238" s="18" t="str">
        <f>A77</f>
        <v>Bond 24</v>
      </c>
      <c r="B238" s="18">
        <f>B77*B202</f>
        <v>0</v>
      </c>
      <c r="C238" s="18">
        <f t="shared" ref="C238:BN238" si="621">C77*C202</f>
        <v>0</v>
      </c>
      <c r="D238" s="18">
        <f t="shared" si="621"/>
        <v>0</v>
      </c>
      <c r="E238" s="18">
        <f t="shared" si="621"/>
        <v>0</v>
      </c>
      <c r="F238" s="18">
        <f t="shared" si="621"/>
        <v>0</v>
      </c>
      <c r="G238" s="18">
        <f t="shared" si="621"/>
        <v>0</v>
      </c>
      <c r="H238" s="18">
        <f t="shared" si="621"/>
        <v>0</v>
      </c>
      <c r="I238" s="18">
        <f t="shared" si="621"/>
        <v>0</v>
      </c>
      <c r="J238" s="18">
        <f t="shared" si="621"/>
        <v>0</v>
      </c>
      <c r="K238" s="18">
        <f t="shared" si="621"/>
        <v>0</v>
      </c>
      <c r="L238" s="18">
        <f t="shared" si="621"/>
        <v>0</v>
      </c>
      <c r="M238" s="18">
        <f t="shared" si="621"/>
        <v>0</v>
      </c>
      <c r="N238" s="18">
        <f t="shared" si="621"/>
        <v>0</v>
      </c>
      <c r="O238" s="18">
        <f t="shared" si="621"/>
        <v>0</v>
      </c>
      <c r="P238" s="18">
        <f t="shared" si="621"/>
        <v>0</v>
      </c>
      <c r="Q238" s="18">
        <f t="shared" si="621"/>
        <v>0</v>
      </c>
      <c r="R238" s="18">
        <f t="shared" si="621"/>
        <v>0</v>
      </c>
      <c r="S238" s="18">
        <f t="shared" si="621"/>
        <v>0</v>
      </c>
      <c r="T238" s="18">
        <f t="shared" si="621"/>
        <v>0</v>
      </c>
      <c r="U238" s="18">
        <f t="shared" si="621"/>
        <v>0</v>
      </c>
      <c r="V238" s="18">
        <f t="shared" si="621"/>
        <v>0</v>
      </c>
      <c r="W238" s="18">
        <f t="shared" si="621"/>
        <v>0</v>
      </c>
      <c r="X238" s="18">
        <f t="shared" si="621"/>
        <v>0</v>
      </c>
      <c r="Y238" s="18">
        <f t="shared" si="621"/>
        <v>0</v>
      </c>
      <c r="Z238" s="18">
        <f t="shared" si="621"/>
        <v>0</v>
      </c>
      <c r="AA238" s="18">
        <f t="shared" si="621"/>
        <v>0</v>
      </c>
      <c r="AB238" s="18">
        <f t="shared" si="621"/>
        <v>0</v>
      </c>
      <c r="AC238" s="18">
        <f t="shared" si="621"/>
        <v>0</v>
      </c>
      <c r="AD238" s="18">
        <f t="shared" si="621"/>
        <v>0</v>
      </c>
      <c r="AE238" s="18">
        <f t="shared" si="621"/>
        <v>0</v>
      </c>
      <c r="AF238" s="18">
        <f t="shared" si="621"/>
        <v>0</v>
      </c>
      <c r="AG238" s="18">
        <f t="shared" si="621"/>
        <v>0</v>
      </c>
      <c r="AH238" s="18">
        <f t="shared" si="621"/>
        <v>0</v>
      </c>
      <c r="AI238" s="18">
        <f t="shared" si="621"/>
        <v>0</v>
      </c>
      <c r="AJ238" s="18">
        <f t="shared" si="621"/>
        <v>0</v>
      </c>
      <c r="AK238" s="18">
        <f t="shared" si="621"/>
        <v>0</v>
      </c>
      <c r="AL238" s="18">
        <f t="shared" si="621"/>
        <v>0</v>
      </c>
      <c r="AM238" s="18">
        <f t="shared" si="621"/>
        <v>0</v>
      </c>
      <c r="AN238" s="18">
        <f t="shared" si="621"/>
        <v>0</v>
      </c>
      <c r="AO238" s="18">
        <f t="shared" si="621"/>
        <v>0</v>
      </c>
      <c r="AP238" s="18">
        <f t="shared" si="621"/>
        <v>0</v>
      </c>
      <c r="AQ238" s="18">
        <f t="shared" si="621"/>
        <v>0</v>
      </c>
      <c r="AR238" s="18">
        <f t="shared" si="621"/>
        <v>0</v>
      </c>
      <c r="AS238" s="18">
        <f t="shared" si="621"/>
        <v>0</v>
      </c>
      <c r="AT238" s="18">
        <f t="shared" si="621"/>
        <v>0</v>
      </c>
      <c r="AU238" s="18">
        <f t="shared" si="621"/>
        <v>0</v>
      </c>
      <c r="AV238" s="18">
        <f t="shared" si="621"/>
        <v>0</v>
      </c>
      <c r="AW238" s="18">
        <f t="shared" si="621"/>
        <v>0</v>
      </c>
      <c r="AX238" s="18">
        <f t="shared" si="621"/>
        <v>0</v>
      </c>
      <c r="AY238" s="18">
        <f t="shared" si="621"/>
        <v>0</v>
      </c>
      <c r="AZ238" s="18">
        <f t="shared" si="621"/>
        <v>0</v>
      </c>
      <c r="BA238" s="18">
        <f t="shared" si="621"/>
        <v>0</v>
      </c>
      <c r="BB238" s="18">
        <f t="shared" si="621"/>
        <v>0</v>
      </c>
      <c r="BC238" s="18">
        <f t="shared" si="621"/>
        <v>0</v>
      </c>
      <c r="BD238" s="18">
        <f t="shared" si="621"/>
        <v>0</v>
      </c>
      <c r="BE238" s="18">
        <f t="shared" si="621"/>
        <v>0</v>
      </c>
      <c r="BF238" s="18">
        <f t="shared" si="621"/>
        <v>0</v>
      </c>
      <c r="BG238" s="18">
        <f t="shared" si="621"/>
        <v>0</v>
      </c>
      <c r="BH238" s="18">
        <f t="shared" si="621"/>
        <v>0</v>
      </c>
      <c r="BI238" s="18">
        <f t="shared" si="621"/>
        <v>0</v>
      </c>
      <c r="BJ238" s="18">
        <f t="shared" si="621"/>
        <v>0</v>
      </c>
      <c r="BK238" s="18">
        <f t="shared" si="621"/>
        <v>0</v>
      </c>
      <c r="BL238" s="18">
        <f t="shared" si="621"/>
        <v>0</v>
      </c>
      <c r="BM238" s="18">
        <f t="shared" si="621"/>
        <v>0</v>
      </c>
      <c r="BN238" s="18">
        <f t="shared" si="621"/>
        <v>0</v>
      </c>
      <c r="BO238" s="18">
        <f t="shared" ref="BO238:CB238" si="622">BO77*BO202</f>
        <v>0</v>
      </c>
      <c r="BP238" s="18">
        <f t="shared" si="622"/>
        <v>0</v>
      </c>
      <c r="BQ238" s="18">
        <f t="shared" si="622"/>
        <v>0</v>
      </c>
      <c r="BR238" s="18">
        <f t="shared" si="622"/>
        <v>0</v>
      </c>
      <c r="BS238" s="18">
        <f t="shared" si="622"/>
        <v>0</v>
      </c>
      <c r="BT238" s="18">
        <f t="shared" si="622"/>
        <v>0</v>
      </c>
      <c r="BU238" s="18">
        <f t="shared" si="622"/>
        <v>0</v>
      </c>
      <c r="BV238" s="18">
        <f t="shared" si="622"/>
        <v>0</v>
      </c>
      <c r="BW238" s="18">
        <f t="shared" si="622"/>
        <v>0</v>
      </c>
      <c r="BX238" s="18">
        <f t="shared" si="622"/>
        <v>0</v>
      </c>
      <c r="BY238" s="18">
        <f t="shared" si="622"/>
        <v>0</v>
      </c>
      <c r="BZ238" s="18">
        <f t="shared" si="622"/>
        <v>0</v>
      </c>
      <c r="CA238" s="18">
        <f t="shared" si="622"/>
        <v>0</v>
      </c>
      <c r="CB238" s="18">
        <f t="shared" si="622"/>
        <v>0</v>
      </c>
      <c r="CC238" s="17"/>
      <c r="CD238" s="17"/>
      <c r="CE238" s="17"/>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c r="DG238" s="5"/>
      <c r="DH238" s="5"/>
      <c r="DI238" s="5"/>
      <c r="DJ238" s="5"/>
      <c r="DK238" s="5"/>
      <c r="DL238" s="5"/>
      <c r="DM238" s="5"/>
      <c r="DN238" s="5"/>
      <c r="DO238" s="5"/>
      <c r="DP238" s="5"/>
      <c r="DQ238" s="5"/>
      <c r="DR238" s="5"/>
      <c r="DS238" s="5"/>
      <c r="DT238" s="5"/>
      <c r="DU238" s="5"/>
      <c r="DV238" s="5"/>
      <c r="DW238" s="5"/>
      <c r="DX238" s="5"/>
      <c r="DY238" s="5"/>
      <c r="DZ238" s="5"/>
      <c r="EA238" s="5"/>
      <c r="EB238" s="5"/>
      <c r="EC238" s="5"/>
      <c r="ED238" s="5"/>
      <c r="EE238" s="5"/>
      <c r="EF238" s="5"/>
      <c r="EG238" s="5"/>
      <c r="EH238" s="5"/>
      <c r="EI238" s="5"/>
      <c r="EJ238" s="5"/>
      <c r="EK238" s="5"/>
      <c r="EL238" s="5"/>
      <c r="EM238" s="5"/>
      <c r="EN238" s="5"/>
      <c r="EO238" s="5"/>
      <c r="EP238" s="5"/>
      <c r="EQ238" s="5"/>
      <c r="ER238" s="5"/>
      <c r="ES238" s="5"/>
      <c r="ET238" s="5"/>
      <c r="EU238" s="5"/>
      <c r="EV238" s="5"/>
      <c r="EW238" s="5"/>
      <c r="EX238" s="5"/>
      <c r="EY238" s="5"/>
      <c r="EZ238" s="5"/>
      <c r="FA238" s="5"/>
      <c r="FB238" s="5"/>
      <c r="FC238" s="5"/>
      <c r="FD238" s="5"/>
      <c r="FE238" s="5"/>
      <c r="FF238" s="5"/>
      <c r="FG238" s="5"/>
      <c r="FH238" s="5"/>
      <c r="FI238" s="5"/>
      <c r="FJ238" s="5"/>
      <c r="FK238" s="5"/>
      <c r="FL238" s="5"/>
      <c r="FM238" s="5"/>
      <c r="FN238" s="5"/>
      <c r="FO238" s="5"/>
      <c r="FP238" s="5"/>
      <c r="FQ238" s="5"/>
      <c r="FR238" s="5"/>
      <c r="FS238" s="5"/>
      <c r="FT238" s="5"/>
      <c r="FU238" s="5"/>
      <c r="FV238" s="5"/>
      <c r="FW238" s="5"/>
      <c r="FX238" s="5"/>
      <c r="FY238" s="5"/>
      <c r="FZ238" s="5"/>
      <c r="GA238" s="5"/>
      <c r="GB238" s="5"/>
      <c r="GC238" s="5"/>
      <c r="GD238" s="5"/>
      <c r="GE238" s="5"/>
      <c r="GF238" s="5"/>
      <c r="GG238" s="5"/>
      <c r="GH238" s="5"/>
      <c r="GI238" s="5"/>
      <c r="GJ238" s="5"/>
      <c r="GK238" s="5"/>
      <c r="GL238" s="5"/>
      <c r="GM238" s="5"/>
      <c r="GN238" s="5"/>
      <c r="GO238" s="5"/>
      <c r="GP238" s="5"/>
      <c r="GQ238" s="5"/>
      <c r="GR238" s="5"/>
      <c r="GS238" s="5"/>
      <c r="GT238" s="5"/>
      <c r="GU238" s="5"/>
      <c r="GV238" s="5"/>
      <c r="GW238" s="5"/>
      <c r="GX238" s="5"/>
      <c r="GY238" s="5"/>
      <c r="GZ238" s="5"/>
      <c r="HA238" s="5"/>
      <c r="HB238" s="5"/>
      <c r="HC238" s="5"/>
      <c r="HD238" s="5"/>
      <c r="HE238" s="5"/>
      <c r="HF238" s="5"/>
      <c r="HG238" s="5"/>
      <c r="HH238" s="5"/>
      <c r="HI238" s="5"/>
      <c r="HJ238" s="5"/>
      <c r="HK238" s="5"/>
      <c r="HL238" s="5"/>
      <c r="HM238" s="5"/>
      <c r="HN238" s="5"/>
      <c r="HO238" s="5"/>
      <c r="HP238" s="5"/>
      <c r="HQ238" s="5"/>
      <c r="HR238" s="5"/>
      <c r="HS238" s="5"/>
      <c r="HT238" s="5"/>
      <c r="HU238" s="5"/>
      <c r="HV238" s="5"/>
      <c r="HW238" s="5"/>
      <c r="HX238" s="5"/>
      <c r="HY238" s="5"/>
      <c r="HZ238" s="5"/>
      <c r="IA238" s="5"/>
      <c r="IB238" s="5"/>
      <c r="IC238" s="5"/>
      <c r="ID238" s="5"/>
      <c r="IE238" s="5"/>
      <c r="IF238" s="5"/>
      <c r="IG238" s="5"/>
      <c r="IH238" s="5"/>
      <c r="II238" s="5"/>
      <c r="IJ238" s="5"/>
      <c r="IK238" s="5"/>
      <c r="IL238" s="5"/>
      <c r="IM238" s="5"/>
      <c r="IN238" s="5"/>
      <c r="IO238" s="5"/>
      <c r="IP238" s="5"/>
      <c r="IQ238" s="5"/>
      <c r="IR238" s="5"/>
      <c r="IS238" s="5"/>
      <c r="IT238" s="5"/>
      <c r="IU238" s="5"/>
      <c r="IV238" s="5"/>
    </row>
    <row r="239" spans="1:256">
      <c r="A239" s="18" t="str">
        <f>A79</f>
        <v>Bond 25</v>
      </c>
      <c r="B239" s="18">
        <f>B79*B207</f>
        <v>0</v>
      </c>
      <c r="C239" s="18">
        <f t="shared" ref="C239:BN239" si="623">C79*C207</f>
        <v>0</v>
      </c>
      <c r="D239" s="18">
        <f t="shared" si="623"/>
        <v>0</v>
      </c>
      <c r="E239" s="18">
        <f t="shared" si="623"/>
        <v>0</v>
      </c>
      <c r="F239" s="18">
        <f t="shared" si="623"/>
        <v>0</v>
      </c>
      <c r="G239" s="18">
        <f t="shared" si="623"/>
        <v>0</v>
      </c>
      <c r="H239" s="18">
        <f t="shared" si="623"/>
        <v>0</v>
      </c>
      <c r="I239" s="18">
        <f t="shared" si="623"/>
        <v>0</v>
      </c>
      <c r="J239" s="18">
        <f t="shared" si="623"/>
        <v>0</v>
      </c>
      <c r="K239" s="18">
        <f t="shared" si="623"/>
        <v>0</v>
      </c>
      <c r="L239" s="18">
        <f t="shared" si="623"/>
        <v>0</v>
      </c>
      <c r="M239" s="18">
        <f t="shared" si="623"/>
        <v>0</v>
      </c>
      <c r="N239" s="18">
        <f t="shared" si="623"/>
        <v>0</v>
      </c>
      <c r="O239" s="18">
        <f t="shared" si="623"/>
        <v>0</v>
      </c>
      <c r="P239" s="18">
        <f t="shared" si="623"/>
        <v>0</v>
      </c>
      <c r="Q239" s="18">
        <f t="shared" si="623"/>
        <v>0</v>
      </c>
      <c r="R239" s="18">
        <f t="shared" si="623"/>
        <v>0</v>
      </c>
      <c r="S239" s="18">
        <f t="shared" si="623"/>
        <v>0</v>
      </c>
      <c r="T239" s="18">
        <f t="shared" si="623"/>
        <v>0</v>
      </c>
      <c r="U239" s="18">
        <f t="shared" si="623"/>
        <v>0</v>
      </c>
      <c r="V239" s="18">
        <f t="shared" si="623"/>
        <v>0</v>
      </c>
      <c r="W239" s="18">
        <f t="shared" si="623"/>
        <v>0</v>
      </c>
      <c r="X239" s="18">
        <f t="shared" si="623"/>
        <v>0</v>
      </c>
      <c r="Y239" s="18">
        <f t="shared" si="623"/>
        <v>0</v>
      </c>
      <c r="Z239" s="18">
        <f t="shared" si="623"/>
        <v>0</v>
      </c>
      <c r="AA239" s="18">
        <f t="shared" si="623"/>
        <v>0</v>
      </c>
      <c r="AB239" s="18">
        <f t="shared" si="623"/>
        <v>0</v>
      </c>
      <c r="AC239" s="18">
        <f t="shared" si="623"/>
        <v>0</v>
      </c>
      <c r="AD239" s="18">
        <f t="shared" si="623"/>
        <v>0</v>
      </c>
      <c r="AE239" s="18">
        <f t="shared" si="623"/>
        <v>0</v>
      </c>
      <c r="AF239" s="18">
        <f t="shared" si="623"/>
        <v>0</v>
      </c>
      <c r="AG239" s="18">
        <f t="shared" si="623"/>
        <v>0</v>
      </c>
      <c r="AH239" s="18">
        <f t="shared" si="623"/>
        <v>0</v>
      </c>
      <c r="AI239" s="18">
        <f t="shared" si="623"/>
        <v>0</v>
      </c>
      <c r="AJ239" s="18">
        <f t="shared" si="623"/>
        <v>0</v>
      </c>
      <c r="AK239" s="18">
        <f t="shared" si="623"/>
        <v>0</v>
      </c>
      <c r="AL239" s="18">
        <f t="shared" si="623"/>
        <v>0</v>
      </c>
      <c r="AM239" s="18">
        <f t="shared" si="623"/>
        <v>0</v>
      </c>
      <c r="AN239" s="18">
        <f t="shared" si="623"/>
        <v>0</v>
      </c>
      <c r="AO239" s="18">
        <f t="shared" si="623"/>
        <v>0</v>
      </c>
      <c r="AP239" s="18">
        <f t="shared" si="623"/>
        <v>0</v>
      </c>
      <c r="AQ239" s="18">
        <f t="shared" si="623"/>
        <v>0</v>
      </c>
      <c r="AR239" s="18">
        <f t="shared" si="623"/>
        <v>0</v>
      </c>
      <c r="AS239" s="18">
        <f t="shared" si="623"/>
        <v>0</v>
      </c>
      <c r="AT239" s="18">
        <f t="shared" si="623"/>
        <v>0</v>
      </c>
      <c r="AU239" s="18">
        <f t="shared" si="623"/>
        <v>0</v>
      </c>
      <c r="AV239" s="18">
        <f t="shared" si="623"/>
        <v>0</v>
      </c>
      <c r="AW239" s="18">
        <f t="shared" si="623"/>
        <v>0</v>
      </c>
      <c r="AX239" s="18">
        <f t="shared" si="623"/>
        <v>0</v>
      </c>
      <c r="AY239" s="18">
        <f t="shared" si="623"/>
        <v>0</v>
      </c>
      <c r="AZ239" s="18">
        <f t="shared" si="623"/>
        <v>0</v>
      </c>
      <c r="BA239" s="18">
        <f t="shared" si="623"/>
        <v>0</v>
      </c>
      <c r="BB239" s="18">
        <f t="shared" si="623"/>
        <v>0</v>
      </c>
      <c r="BC239" s="18">
        <f t="shared" si="623"/>
        <v>0</v>
      </c>
      <c r="BD239" s="18">
        <f t="shared" si="623"/>
        <v>0</v>
      </c>
      <c r="BE239" s="18">
        <f t="shared" si="623"/>
        <v>0</v>
      </c>
      <c r="BF239" s="18">
        <f t="shared" si="623"/>
        <v>0</v>
      </c>
      <c r="BG239" s="18">
        <f t="shared" si="623"/>
        <v>0</v>
      </c>
      <c r="BH239" s="18">
        <f t="shared" si="623"/>
        <v>0</v>
      </c>
      <c r="BI239" s="18">
        <f t="shared" si="623"/>
        <v>0</v>
      </c>
      <c r="BJ239" s="18">
        <f t="shared" si="623"/>
        <v>0</v>
      </c>
      <c r="BK239" s="18">
        <f t="shared" si="623"/>
        <v>0</v>
      </c>
      <c r="BL239" s="18">
        <f t="shared" si="623"/>
        <v>0</v>
      </c>
      <c r="BM239" s="18">
        <f t="shared" si="623"/>
        <v>0</v>
      </c>
      <c r="BN239" s="18">
        <f t="shared" si="623"/>
        <v>0</v>
      </c>
      <c r="BO239" s="18">
        <f t="shared" ref="BO239:CB239" si="624">BO79*BO207</f>
        <v>0</v>
      </c>
      <c r="BP239" s="18">
        <f t="shared" si="624"/>
        <v>0</v>
      </c>
      <c r="BQ239" s="18">
        <f t="shared" si="624"/>
        <v>0</v>
      </c>
      <c r="BR239" s="18">
        <f t="shared" si="624"/>
        <v>0</v>
      </c>
      <c r="BS239" s="18">
        <f t="shared" si="624"/>
        <v>0</v>
      </c>
      <c r="BT239" s="18">
        <f t="shared" si="624"/>
        <v>0</v>
      </c>
      <c r="BU239" s="18">
        <f t="shared" si="624"/>
        <v>0</v>
      </c>
      <c r="BV239" s="18">
        <f t="shared" si="624"/>
        <v>0</v>
      </c>
      <c r="BW239" s="18">
        <f t="shared" si="624"/>
        <v>0</v>
      </c>
      <c r="BX239" s="18">
        <f t="shared" si="624"/>
        <v>0</v>
      </c>
      <c r="BY239" s="18">
        <f t="shared" si="624"/>
        <v>0</v>
      </c>
      <c r="BZ239" s="18">
        <f t="shared" si="624"/>
        <v>0</v>
      </c>
      <c r="CA239" s="18">
        <f t="shared" si="624"/>
        <v>0</v>
      </c>
      <c r="CB239" s="18">
        <f t="shared" si="624"/>
        <v>0</v>
      </c>
      <c r="CC239" s="17"/>
      <c r="CD239" s="17"/>
      <c r="CE239" s="17"/>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c r="DG239" s="5"/>
      <c r="DH239" s="5"/>
      <c r="DI239" s="5"/>
      <c r="DJ239" s="5"/>
      <c r="DK239" s="5"/>
      <c r="DL239" s="5"/>
      <c r="DM239" s="5"/>
      <c r="DN239" s="5"/>
      <c r="DO239" s="5"/>
      <c r="DP239" s="5"/>
      <c r="DQ239" s="5"/>
      <c r="DR239" s="5"/>
      <c r="DS239" s="5"/>
      <c r="DT239" s="5"/>
      <c r="DU239" s="5"/>
      <c r="DV239" s="5"/>
      <c r="DW239" s="5"/>
      <c r="DX239" s="5"/>
      <c r="DY239" s="5"/>
      <c r="DZ239" s="5"/>
      <c r="EA239" s="5"/>
      <c r="EB239" s="5"/>
      <c r="EC239" s="5"/>
      <c r="ED239" s="5"/>
      <c r="EE239" s="5"/>
      <c r="EF239" s="5"/>
      <c r="EG239" s="5"/>
      <c r="EH239" s="5"/>
      <c r="EI239" s="5"/>
      <c r="EJ239" s="5"/>
      <c r="EK239" s="5"/>
      <c r="EL239" s="5"/>
      <c r="EM239" s="5"/>
      <c r="EN239" s="5"/>
      <c r="EO239" s="5"/>
      <c r="EP239" s="5"/>
      <c r="EQ239" s="5"/>
      <c r="ER239" s="5"/>
      <c r="ES239" s="5"/>
      <c r="ET239" s="5"/>
      <c r="EU239" s="5"/>
      <c r="EV239" s="5"/>
      <c r="EW239" s="5"/>
      <c r="EX239" s="5"/>
      <c r="EY239" s="5"/>
      <c r="EZ239" s="5"/>
      <c r="FA239" s="5"/>
      <c r="FB239" s="5"/>
      <c r="FC239" s="5"/>
      <c r="FD239" s="5"/>
      <c r="FE239" s="5"/>
      <c r="FF239" s="5"/>
      <c r="FG239" s="5"/>
      <c r="FH239" s="5"/>
      <c r="FI239" s="5"/>
      <c r="FJ239" s="5"/>
      <c r="FK239" s="5"/>
      <c r="FL239" s="5"/>
      <c r="FM239" s="5"/>
      <c r="FN239" s="5"/>
      <c r="FO239" s="5"/>
      <c r="FP239" s="5"/>
      <c r="FQ239" s="5"/>
      <c r="FR239" s="5"/>
      <c r="FS239" s="5"/>
      <c r="FT239" s="5"/>
      <c r="FU239" s="5"/>
      <c r="FV239" s="5"/>
      <c r="FW239" s="5"/>
      <c r="FX239" s="5"/>
      <c r="FY239" s="5"/>
      <c r="FZ239" s="5"/>
      <c r="GA239" s="5"/>
      <c r="GB239" s="5"/>
      <c r="GC239" s="5"/>
      <c r="GD239" s="5"/>
      <c r="GE239" s="5"/>
      <c r="GF239" s="5"/>
      <c r="GG239" s="5"/>
      <c r="GH239" s="5"/>
      <c r="GI239" s="5"/>
      <c r="GJ239" s="5"/>
      <c r="GK239" s="5"/>
      <c r="GL239" s="5"/>
      <c r="GM239" s="5"/>
      <c r="GN239" s="5"/>
      <c r="GO239" s="5"/>
      <c r="GP239" s="5"/>
      <c r="GQ239" s="5"/>
      <c r="GR239" s="5"/>
      <c r="GS239" s="5"/>
      <c r="GT239" s="5"/>
      <c r="GU239" s="5"/>
      <c r="GV239" s="5"/>
      <c r="GW239" s="5"/>
      <c r="GX239" s="5"/>
      <c r="GY239" s="5"/>
      <c r="GZ239" s="5"/>
      <c r="HA239" s="5"/>
      <c r="HB239" s="5"/>
      <c r="HC239" s="5"/>
      <c r="HD239" s="5"/>
      <c r="HE239" s="5"/>
      <c r="HF239" s="5"/>
      <c r="HG239" s="5"/>
      <c r="HH239" s="5"/>
      <c r="HI239" s="5"/>
      <c r="HJ239" s="5"/>
      <c r="HK239" s="5"/>
      <c r="HL239" s="5"/>
      <c r="HM239" s="5"/>
      <c r="HN239" s="5"/>
      <c r="HO239" s="5"/>
      <c r="HP239" s="5"/>
      <c r="HQ239" s="5"/>
      <c r="HR239" s="5"/>
      <c r="HS239" s="5"/>
      <c r="HT239" s="5"/>
      <c r="HU239" s="5"/>
      <c r="HV239" s="5"/>
      <c r="HW239" s="5"/>
      <c r="HX239" s="5"/>
      <c r="HY239" s="5"/>
      <c r="HZ239" s="5"/>
      <c r="IA239" s="5"/>
      <c r="IB239" s="5"/>
      <c r="IC239" s="5"/>
      <c r="ID239" s="5"/>
      <c r="IE239" s="5"/>
      <c r="IF239" s="5"/>
      <c r="IG239" s="5"/>
      <c r="IH239" s="5"/>
      <c r="II239" s="5"/>
      <c r="IJ239" s="5"/>
      <c r="IK239" s="5"/>
      <c r="IL239" s="5"/>
      <c r="IM239" s="5"/>
      <c r="IN239" s="5"/>
      <c r="IO239" s="5"/>
      <c r="IP239" s="5"/>
      <c r="IQ239" s="5"/>
      <c r="IR239" s="5"/>
      <c r="IS239" s="5"/>
      <c r="IT239" s="5"/>
      <c r="IU239" s="5"/>
      <c r="IV239" s="5"/>
    </row>
    <row r="240" spans="1:256">
      <c r="A240" s="140" t="str">
        <f>A81</f>
        <v>Bond 26</v>
      </c>
      <c r="B240" s="18">
        <f>B81*B212</f>
        <v>0</v>
      </c>
      <c r="C240" s="18">
        <f t="shared" ref="C240:BN240" si="625">C81*C212</f>
        <v>0</v>
      </c>
      <c r="D240" s="18">
        <f t="shared" si="625"/>
        <v>0</v>
      </c>
      <c r="E240" s="18">
        <f t="shared" si="625"/>
        <v>0</v>
      </c>
      <c r="F240" s="18">
        <f t="shared" si="625"/>
        <v>0</v>
      </c>
      <c r="G240" s="18">
        <f t="shared" si="625"/>
        <v>0</v>
      </c>
      <c r="H240" s="18">
        <f t="shared" si="625"/>
        <v>0</v>
      </c>
      <c r="I240" s="18">
        <f t="shared" si="625"/>
        <v>0</v>
      </c>
      <c r="J240" s="18">
        <f t="shared" si="625"/>
        <v>0</v>
      </c>
      <c r="K240" s="18">
        <f t="shared" si="625"/>
        <v>0</v>
      </c>
      <c r="L240" s="18">
        <f t="shared" si="625"/>
        <v>0</v>
      </c>
      <c r="M240" s="18">
        <f t="shared" si="625"/>
        <v>0</v>
      </c>
      <c r="N240" s="18">
        <f t="shared" si="625"/>
        <v>0</v>
      </c>
      <c r="O240" s="18">
        <f t="shared" si="625"/>
        <v>0</v>
      </c>
      <c r="P240" s="18">
        <f t="shared" si="625"/>
        <v>0</v>
      </c>
      <c r="Q240" s="18">
        <f t="shared" si="625"/>
        <v>0</v>
      </c>
      <c r="R240" s="18">
        <f t="shared" si="625"/>
        <v>0</v>
      </c>
      <c r="S240" s="18">
        <f t="shared" si="625"/>
        <v>0</v>
      </c>
      <c r="T240" s="18">
        <f t="shared" si="625"/>
        <v>0</v>
      </c>
      <c r="U240" s="18">
        <f t="shared" si="625"/>
        <v>0</v>
      </c>
      <c r="V240" s="18">
        <f t="shared" si="625"/>
        <v>0</v>
      </c>
      <c r="W240" s="18">
        <f t="shared" si="625"/>
        <v>0</v>
      </c>
      <c r="X240" s="18">
        <f t="shared" si="625"/>
        <v>0</v>
      </c>
      <c r="Y240" s="18">
        <f t="shared" si="625"/>
        <v>0</v>
      </c>
      <c r="Z240" s="18">
        <f t="shared" si="625"/>
        <v>0</v>
      </c>
      <c r="AA240" s="18">
        <f t="shared" si="625"/>
        <v>0</v>
      </c>
      <c r="AB240" s="18">
        <f t="shared" si="625"/>
        <v>0</v>
      </c>
      <c r="AC240" s="18">
        <f t="shared" si="625"/>
        <v>0</v>
      </c>
      <c r="AD240" s="18">
        <f t="shared" si="625"/>
        <v>0</v>
      </c>
      <c r="AE240" s="18">
        <f t="shared" si="625"/>
        <v>0</v>
      </c>
      <c r="AF240" s="18">
        <f t="shared" si="625"/>
        <v>0</v>
      </c>
      <c r="AG240" s="18">
        <f t="shared" si="625"/>
        <v>0</v>
      </c>
      <c r="AH240" s="18">
        <f t="shared" si="625"/>
        <v>0</v>
      </c>
      <c r="AI240" s="18">
        <f t="shared" si="625"/>
        <v>0</v>
      </c>
      <c r="AJ240" s="18">
        <f t="shared" si="625"/>
        <v>0</v>
      </c>
      <c r="AK240" s="18">
        <f t="shared" si="625"/>
        <v>0</v>
      </c>
      <c r="AL240" s="18">
        <f t="shared" si="625"/>
        <v>0</v>
      </c>
      <c r="AM240" s="18">
        <f t="shared" si="625"/>
        <v>0</v>
      </c>
      <c r="AN240" s="18">
        <f t="shared" si="625"/>
        <v>0</v>
      </c>
      <c r="AO240" s="18">
        <f t="shared" si="625"/>
        <v>0</v>
      </c>
      <c r="AP240" s="18">
        <f t="shared" si="625"/>
        <v>0</v>
      </c>
      <c r="AQ240" s="18">
        <f t="shared" si="625"/>
        <v>0</v>
      </c>
      <c r="AR240" s="18">
        <f t="shared" si="625"/>
        <v>0</v>
      </c>
      <c r="AS240" s="18">
        <f t="shared" si="625"/>
        <v>0</v>
      </c>
      <c r="AT240" s="18">
        <f t="shared" si="625"/>
        <v>0</v>
      </c>
      <c r="AU240" s="18">
        <f t="shared" si="625"/>
        <v>0</v>
      </c>
      <c r="AV240" s="18">
        <f t="shared" si="625"/>
        <v>0</v>
      </c>
      <c r="AW240" s="18">
        <f t="shared" si="625"/>
        <v>0</v>
      </c>
      <c r="AX240" s="18">
        <f t="shared" si="625"/>
        <v>0</v>
      </c>
      <c r="AY240" s="18">
        <f t="shared" si="625"/>
        <v>0</v>
      </c>
      <c r="AZ240" s="18">
        <f t="shared" si="625"/>
        <v>0</v>
      </c>
      <c r="BA240" s="18">
        <f t="shared" si="625"/>
        <v>0</v>
      </c>
      <c r="BB240" s="18">
        <f t="shared" si="625"/>
        <v>0</v>
      </c>
      <c r="BC240" s="18">
        <f t="shared" si="625"/>
        <v>0</v>
      </c>
      <c r="BD240" s="18">
        <f t="shared" si="625"/>
        <v>0</v>
      </c>
      <c r="BE240" s="18">
        <f t="shared" si="625"/>
        <v>0</v>
      </c>
      <c r="BF240" s="18">
        <f t="shared" si="625"/>
        <v>0</v>
      </c>
      <c r="BG240" s="18">
        <f t="shared" si="625"/>
        <v>0</v>
      </c>
      <c r="BH240" s="18">
        <f t="shared" si="625"/>
        <v>0</v>
      </c>
      <c r="BI240" s="18">
        <f t="shared" si="625"/>
        <v>0</v>
      </c>
      <c r="BJ240" s="18">
        <f t="shared" si="625"/>
        <v>0</v>
      </c>
      <c r="BK240" s="18">
        <f t="shared" si="625"/>
        <v>0</v>
      </c>
      <c r="BL240" s="18">
        <f t="shared" si="625"/>
        <v>0</v>
      </c>
      <c r="BM240" s="18">
        <f t="shared" si="625"/>
        <v>0</v>
      </c>
      <c r="BN240" s="18">
        <f t="shared" si="625"/>
        <v>0</v>
      </c>
      <c r="BO240" s="18">
        <f t="shared" ref="BO240:CB240" si="626">BO81*BO212</f>
        <v>0</v>
      </c>
      <c r="BP240" s="18">
        <f t="shared" si="626"/>
        <v>0</v>
      </c>
      <c r="BQ240" s="18">
        <f t="shared" si="626"/>
        <v>0</v>
      </c>
      <c r="BR240" s="18">
        <f t="shared" si="626"/>
        <v>0</v>
      </c>
      <c r="BS240" s="18">
        <f t="shared" si="626"/>
        <v>0</v>
      </c>
      <c r="BT240" s="18">
        <f t="shared" si="626"/>
        <v>0</v>
      </c>
      <c r="BU240" s="18">
        <f t="shared" si="626"/>
        <v>0</v>
      </c>
      <c r="BV240" s="18">
        <f t="shared" si="626"/>
        <v>0</v>
      </c>
      <c r="BW240" s="18">
        <f t="shared" si="626"/>
        <v>0</v>
      </c>
      <c r="BX240" s="18">
        <f t="shared" si="626"/>
        <v>0</v>
      </c>
      <c r="BY240" s="18">
        <f t="shared" si="626"/>
        <v>0</v>
      </c>
      <c r="BZ240" s="18">
        <f t="shared" si="626"/>
        <v>0</v>
      </c>
      <c r="CA240" s="18">
        <f t="shared" si="626"/>
        <v>0</v>
      </c>
      <c r="CB240" s="18">
        <f t="shared" si="626"/>
        <v>0</v>
      </c>
      <c r="CC240" s="17"/>
      <c r="CD240" s="17"/>
      <c r="CE240" s="17"/>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c r="DI240" s="5"/>
      <c r="DJ240" s="5"/>
      <c r="DK240" s="5"/>
      <c r="DL240" s="5"/>
      <c r="DM240" s="5"/>
      <c r="DN240" s="5"/>
      <c r="DO240" s="5"/>
      <c r="DP240" s="5"/>
      <c r="DQ240" s="5"/>
      <c r="DR240" s="5"/>
      <c r="DS240" s="5"/>
      <c r="DT240" s="5"/>
      <c r="DU240" s="5"/>
      <c r="DV240" s="5"/>
      <c r="DW240" s="5"/>
      <c r="DX240" s="5"/>
      <c r="DY240" s="5"/>
      <c r="DZ240" s="5"/>
      <c r="EA240" s="5"/>
      <c r="EB240" s="5"/>
      <c r="EC240" s="5"/>
      <c r="ED240" s="5"/>
      <c r="EE240" s="5"/>
      <c r="EF240" s="5"/>
      <c r="EG240" s="5"/>
      <c r="EH240" s="5"/>
      <c r="EI240" s="5"/>
      <c r="EJ240" s="5"/>
      <c r="EK240" s="5"/>
      <c r="EL240" s="5"/>
      <c r="EM240" s="5"/>
      <c r="EN240" s="5"/>
      <c r="EO240" s="5"/>
      <c r="EP240" s="5"/>
      <c r="EQ240" s="5"/>
      <c r="ER240" s="5"/>
      <c r="ES240" s="5"/>
      <c r="ET240" s="5"/>
      <c r="EU240" s="5"/>
      <c r="EV240" s="5"/>
      <c r="EW240" s="5"/>
      <c r="EX240" s="5"/>
      <c r="EY240" s="5"/>
      <c r="EZ240" s="5"/>
      <c r="FA240" s="5"/>
      <c r="FB240" s="5"/>
      <c r="FC240" s="5"/>
      <c r="FD240" s="5"/>
      <c r="FE240" s="5"/>
      <c r="FF240" s="5"/>
      <c r="FG240" s="5"/>
      <c r="FH240" s="5"/>
      <c r="FI240" s="5"/>
      <c r="FJ240" s="5"/>
      <c r="FK240" s="5"/>
      <c r="FL240" s="5"/>
      <c r="FM240" s="5"/>
      <c r="FN240" s="5"/>
      <c r="FO240" s="5"/>
      <c r="FP240" s="5"/>
      <c r="FQ240" s="5"/>
      <c r="FR240" s="5"/>
      <c r="FS240" s="5"/>
      <c r="FT240" s="5"/>
      <c r="FU240" s="5"/>
      <c r="FV240" s="5"/>
      <c r="FW240" s="5"/>
      <c r="FX240" s="5"/>
      <c r="FY240" s="5"/>
      <c r="FZ240" s="5"/>
      <c r="GA240" s="5"/>
      <c r="GB240" s="5"/>
      <c r="GC240" s="5"/>
      <c r="GD240" s="5"/>
      <c r="GE240" s="5"/>
      <c r="GF240" s="5"/>
      <c r="GG240" s="5"/>
      <c r="GH240" s="5"/>
      <c r="GI240" s="5"/>
      <c r="GJ240" s="5"/>
      <c r="GK240" s="5"/>
      <c r="GL240" s="5"/>
      <c r="GM240" s="5"/>
      <c r="GN240" s="5"/>
      <c r="GO240" s="5"/>
      <c r="GP240" s="5"/>
      <c r="GQ240" s="5"/>
      <c r="GR240" s="5"/>
      <c r="GS240" s="5"/>
      <c r="GT240" s="5"/>
      <c r="GU240" s="5"/>
      <c r="GV240" s="5"/>
      <c r="GW240" s="5"/>
      <c r="GX240" s="5"/>
      <c r="GY240" s="5"/>
      <c r="GZ240" s="5"/>
      <c r="HA240" s="5"/>
      <c r="HB240" s="5"/>
      <c r="HC240" s="5"/>
      <c r="HD240" s="5"/>
      <c r="HE240" s="5"/>
      <c r="HF240" s="5"/>
      <c r="HG240" s="5"/>
      <c r="HH240" s="5"/>
      <c r="HI240" s="5"/>
      <c r="HJ240" s="5"/>
      <c r="HK240" s="5"/>
      <c r="HL240" s="5"/>
      <c r="HM240" s="5"/>
      <c r="HN240" s="5"/>
      <c r="HO240" s="5"/>
      <c r="HP240" s="5"/>
      <c r="HQ240" s="5"/>
      <c r="HR240" s="5"/>
      <c r="HS240" s="5"/>
      <c r="HT240" s="5"/>
      <c r="HU240" s="5"/>
      <c r="HV240" s="5"/>
      <c r="HW240" s="5"/>
      <c r="HX240" s="5"/>
      <c r="HY240" s="5"/>
      <c r="HZ240" s="5"/>
      <c r="IA240" s="5"/>
      <c r="IB240" s="5"/>
      <c r="IC240" s="5"/>
      <c r="ID240" s="5"/>
      <c r="IE240" s="5"/>
      <c r="IF240" s="5"/>
      <c r="IG240" s="5"/>
      <c r="IH240" s="5"/>
      <c r="II240" s="5"/>
      <c r="IJ240" s="5"/>
      <c r="IK240" s="5"/>
      <c r="IL240" s="5"/>
      <c r="IM240" s="5"/>
      <c r="IN240" s="5"/>
      <c r="IO240" s="5"/>
      <c r="IP240" s="5"/>
      <c r="IQ240" s="5"/>
      <c r="IR240" s="5"/>
      <c r="IS240" s="5"/>
      <c r="IT240" s="5"/>
      <c r="IU240" s="5"/>
      <c r="IV240" s="5"/>
    </row>
    <row r="241" spans="1:256">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7"/>
      <c r="AB241" s="17"/>
      <c r="AC241" s="17"/>
      <c r="AD241" s="17"/>
      <c r="AE241" s="17"/>
      <c r="AF241" s="17"/>
      <c r="AG241" s="17"/>
      <c r="AH241" s="17"/>
      <c r="AI241" s="17"/>
      <c r="AJ241" s="17"/>
      <c r="AK241" s="17"/>
      <c r="AL241" s="17"/>
      <c r="AM241" s="17"/>
      <c r="AN241" s="17"/>
      <c r="AO241" s="17"/>
      <c r="AP241" s="17"/>
      <c r="AQ241" s="17"/>
      <c r="AR241" s="17"/>
      <c r="AS241" s="17"/>
      <c r="AT241" s="17"/>
      <c r="AU241" s="17"/>
      <c r="AV241" s="17"/>
      <c r="AW241" s="17"/>
      <c r="AX241" s="17"/>
      <c r="AY241" s="17"/>
      <c r="AZ241" s="17"/>
      <c r="BA241" s="17"/>
      <c r="BB241" s="17"/>
      <c r="BC241" s="17"/>
      <c r="BD241" s="17"/>
      <c r="BE241" s="17"/>
      <c r="BF241" s="17"/>
      <c r="BG241" s="17"/>
      <c r="BH241" s="17"/>
      <c r="BI241" s="17"/>
      <c r="BJ241" s="17"/>
      <c r="BK241" s="17"/>
      <c r="BL241" s="17"/>
      <c r="BM241" s="17"/>
      <c r="BN241" s="17"/>
      <c r="BO241" s="17"/>
      <c r="BP241" s="17"/>
      <c r="BQ241" s="17"/>
      <c r="BR241" s="17"/>
      <c r="BS241" s="17"/>
      <c r="BT241" s="17"/>
      <c r="BU241" s="17"/>
      <c r="BV241" s="17"/>
      <c r="BW241" s="17"/>
      <c r="BX241" s="17"/>
      <c r="BY241" s="17"/>
      <c r="BZ241" s="17"/>
      <c r="CA241" s="17"/>
      <c r="CB241" s="17"/>
      <c r="CC241" s="17"/>
      <c r="CD241" s="17"/>
      <c r="CE241" s="17"/>
      <c r="CH241" s="11"/>
      <c r="CI241" s="11"/>
      <c r="CJ241" s="11"/>
      <c r="CK241" s="11"/>
      <c r="CL241" s="11"/>
      <c r="CM241" s="11"/>
      <c r="CN241" s="11"/>
      <c r="CO241" s="11"/>
      <c r="CP241" s="11"/>
      <c r="CQ241" s="11"/>
      <c r="CR241" s="11"/>
      <c r="CS241" s="11"/>
      <c r="CT241" s="11"/>
      <c r="CU241" s="11"/>
      <c r="CV241" s="11"/>
      <c r="CW241" s="11"/>
      <c r="CX241" s="11"/>
      <c r="CY241" s="11"/>
      <c r="CZ241" s="11"/>
      <c r="DA241" s="11"/>
      <c r="DB241" s="11"/>
      <c r="DC241" s="11"/>
      <c r="DD241" s="11"/>
      <c r="DE241" s="11"/>
      <c r="DF241" s="11"/>
      <c r="DG241" s="11"/>
      <c r="DH241" s="11"/>
      <c r="DI241" s="5"/>
      <c r="DJ241" s="5"/>
      <c r="DK241" s="5"/>
      <c r="DL241" s="5"/>
      <c r="DM241" s="5"/>
      <c r="DN241" s="5"/>
      <c r="DO241" s="5"/>
      <c r="DP241" s="5"/>
      <c r="DQ241" s="5"/>
      <c r="DR241" s="5"/>
      <c r="DS241" s="5"/>
      <c r="DT241" s="5"/>
      <c r="DU241" s="5"/>
      <c r="DV241" s="5"/>
      <c r="DW241" s="5"/>
      <c r="DX241" s="5"/>
      <c r="DY241" s="5"/>
      <c r="DZ241" s="5"/>
      <c r="EA241" s="5"/>
      <c r="EB241" s="5"/>
      <c r="EC241" s="5"/>
      <c r="ED241" s="5"/>
      <c r="EE241" s="5"/>
      <c r="EF241" s="5"/>
      <c r="EG241" s="5"/>
      <c r="EH241" s="5"/>
      <c r="EI241" s="5"/>
      <c r="EJ241" s="5"/>
      <c r="EK241" s="5"/>
      <c r="EL241" s="5"/>
      <c r="EM241" s="5"/>
      <c r="EN241" s="5"/>
      <c r="EO241" s="5"/>
      <c r="EP241" s="5"/>
      <c r="EQ241" s="5"/>
      <c r="ER241" s="5"/>
      <c r="ES241" s="5"/>
      <c r="ET241" s="5"/>
      <c r="EU241" s="5"/>
      <c r="EV241" s="5"/>
      <c r="EW241" s="5"/>
      <c r="EX241" s="5"/>
      <c r="EY241" s="5"/>
      <c r="EZ241" s="5"/>
      <c r="FA241" s="5"/>
      <c r="FB241" s="5"/>
      <c r="FC241" s="5"/>
      <c r="FD241" s="5"/>
      <c r="FE241" s="5"/>
      <c r="FF241" s="5"/>
      <c r="FG241" s="5"/>
      <c r="FH241" s="5"/>
      <c r="FI241" s="5"/>
      <c r="FJ241" s="5"/>
      <c r="FK241" s="5"/>
      <c r="FL241" s="5"/>
      <c r="FM241" s="5"/>
      <c r="FN241" s="5"/>
      <c r="FO241" s="5"/>
      <c r="FP241" s="5"/>
      <c r="FQ241" s="5"/>
      <c r="FR241" s="5"/>
      <c r="FS241" s="5"/>
      <c r="FT241" s="5"/>
      <c r="FU241" s="5"/>
      <c r="FV241" s="5"/>
      <c r="FW241" s="5"/>
      <c r="FX241" s="5"/>
      <c r="FY241" s="5"/>
      <c r="FZ241" s="5"/>
      <c r="GA241" s="5"/>
      <c r="GB241" s="5"/>
      <c r="GC241" s="5"/>
      <c r="GD241" s="5"/>
      <c r="GE241" s="5"/>
      <c r="GF241" s="5"/>
      <c r="GG241" s="5"/>
      <c r="GH241" s="5"/>
      <c r="GI241" s="5"/>
      <c r="GJ241" s="5"/>
      <c r="GK241" s="5"/>
      <c r="GL241" s="5"/>
      <c r="GM241" s="5"/>
      <c r="GN241" s="5"/>
      <c r="GO241" s="5"/>
      <c r="GP241" s="5"/>
      <c r="GQ241" s="5"/>
      <c r="GR241" s="5"/>
      <c r="GS241" s="5"/>
      <c r="GT241" s="5"/>
      <c r="GU241" s="5"/>
      <c r="GV241" s="5"/>
      <c r="GW241" s="5"/>
      <c r="GX241" s="5"/>
      <c r="GY241" s="5"/>
      <c r="GZ241" s="5"/>
      <c r="HA241" s="5"/>
      <c r="HB241" s="5"/>
      <c r="HC241" s="5"/>
      <c r="HD241" s="5"/>
      <c r="HE241" s="5"/>
      <c r="HF241" s="5"/>
      <c r="HG241" s="5"/>
      <c r="HH241" s="5"/>
      <c r="HI241" s="5"/>
      <c r="HJ241" s="5"/>
      <c r="HK241" s="5"/>
      <c r="HL241" s="5"/>
      <c r="HM241" s="5"/>
      <c r="HN241" s="5"/>
      <c r="HO241" s="5"/>
      <c r="HP241" s="5"/>
      <c r="HQ241" s="5"/>
      <c r="HR241" s="5"/>
      <c r="HS241" s="5"/>
      <c r="HT241" s="5"/>
      <c r="HU241" s="5"/>
      <c r="HV241" s="5"/>
      <c r="HW241" s="5"/>
      <c r="HX241" s="5"/>
      <c r="HY241" s="5"/>
      <c r="HZ241" s="5"/>
      <c r="IA241" s="5"/>
      <c r="IB241" s="5"/>
      <c r="IC241" s="5"/>
      <c r="ID241" s="5"/>
      <c r="IE241" s="5"/>
      <c r="IF241" s="5"/>
      <c r="IG241" s="5"/>
      <c r="IH241" s="5"/>
      <c r="II241" s="5"/>
      <c r="IJ241" s="5"/>
      <c r="IK241" s="5"/>
      <c r="IL241" s="5"/>
      <c r="IM241" s="5"/>
      <c r="IN241" s="5"/>
      <c r="IO241" s="5"/>
      <c r="IP241" s="5"/>
      <c r="IQ241" s="5"/>
      <c r="IR241" s="5"/>
      <c r="IS241" s="5"/>
      <c r="IT241" s="5"/>
      <c r="IU241" s="5"/>
      <c r="IV241" s="5"/>
    </row>
    <row r="242" spans="1:256">
      <c r="A242" s="190"/>
      <c r="B242" s="18" t="s">
        <v>13</v>
      </c>
      <c r="C242" s="18" t="s">
        <v>47</v>
      </c>
      <c r="D242" s="18" t="s">
        <v>14</v>
      </c>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c r="AS242" s="17"/>
      <c r="AT242" s="17"/>
      <c r="AU242" s="17"/>
      <c r="AV242" s="17"/>
      <c r="AW242" s="17"/>
      <c r="AX242" s="17"/>
      <c r="AY242" s="17"/>
      <c r="AZ242" s="17"/>
      <c r="BA242" s="17"/>
      <c r="BB242" s="17"/>
      <c r="BC242" s="17"/>
      <c r="BD242" s="17"/>
      <c r="BE242" s="17"/>
      <c r="BF242" s="17"/>
      <c r="BG242" s="17"/>
      <c r="BH242" s="17"/>
      <c r="BI242" s="17"/>
      <c r="BJ242" s="17"/>
      <c r="BK242" s="17"/>
      <c r="BL242" s="17"/>
      <c r="BM242" s="17"/>
      <c r="BN242" s="17"/>
      <c r="BO242" s="17"/>
      <c r="BP242" s="17"/>
      <c r="BQ242" s="17"/>
      <c r="BR242" s="17"/>
      <c r="BS242" s="17"/>
      <c r="BT242" s="17"/>
      <c r="BU242" s="17"/>
      <c r="BV242" s="17"/>
      <c r="BW242" s="17"/>
      <c r="BX242" s="17"/>
      <c r="BY242" s="17"/>
      <c r="BZ242" s="17"/>
      <c r="CA242" s="17"/>
      <c r="CB242" s="17"/>
      <c r="CC242" s="17"/>
      <c r="CD242" s="17"/>
      <c r="CE242" s="17"/>
      <c r="CH242" s="5"/>
    </row>
    <row r="243" spans="1:256">
      <c r="A243" s="18" t="str">
        <f t="shared" ref="A243:A254" si="627">A215</f>
        <v>Bond 1</v>
      </c>
      <c r="B243" s="18">
        <f t="shared" ref="B243:B254" si="628">SUM(B215:CB215)</f>
        <v>103.70290927758927</v>
      </c>
      <c r="C243" s="18">
        <f t="shared" ref="C243:C254" si="629">K2</f>
        <v>103.69949999999999</v>
      </c>
      <c r="D243" s="18">
        <f>P2*(B243-K2)^2</f>
        <v>4.1650609086684896E-6</v>
      </c>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c r="AI243" s="19"/>
      <c r="AJ243" s="19"/>
      <c r="AK243" s="19"/>
      <c r="AL243" s="19"/>
      <c r="AM243" s="19"/>
      <c r="AN243" s="19"/>
      <c r="AO243" s="19"/>
      <c r="AP243" s="19"/>
      <c r="AQ243" s="19"/>
      <c r="AR243" s="19"/>
      <c r="AS243" s="19"/>
      <c r="AT243" s="19"/>
      <c r="AU243" s="19"/>
      <c r="AV243" s="19"/>
      <c r="AW243" s="19"/>
      <c r="AX243" s="19"/>
      <c r="AY243" s="19"/>
      <c r="AZ243" s="19"/>
      <c r="BA243" s="19"/>
      <c r="BB243" s="19"/>
      <c r="BC243" s="19"/>
      <c r="BD243" s="19"/>
      <c r="BE243" s="19"/>
      <c r="BF243" s="19"/>
      <c r="BG243" s="19"/>
      <c r="BH243" s="19"/>
      <c r="BI243" s="19"/>
      <c r="BJ243" s="19"/>
      <c r="BK243" s="19"/>
      <c r="BL243" s="19"/>
      <c r="BM243" s="19"/>
      <c r="BN243" s="19"/>
      <c r="BO243" s="19"/>
      <c r="BP243" s="19"/>
      <c r="BQ243" s="19"/>
      <c r="BR243" s="19"/>
      <c r="BS243" s="19"/>
      <c r="BT243" s="19"/>
      <c r="BU243" s="19"/>
      <c r="BV243" s="19"/>
      <c r="BW243" s="19"/>
      <c r="BX243" s="19"/>
      <c r="BY243" s="19"/>
      <c r="BZ243" s="19"/>
      <c r="CA243" s="19"/>
      <c r="CB243" s="19"/>
      <c r="CC243" s="19"/>
      <c r="CD243" s="19"/>
      <c r="CE243" s="19"/>
      <c r="CF243" s="7"/>
      <c r="CH243" s="5"/>
    </row>
    <row r="244" spans="1:256">
      <c r="A244" s="18" t="str">
        <f t="shared" si="627"/>
        <v>Bond 2</v>
      </c>
      <c r="B244" s="18">
        <f t="shared" si="628"/>
        <v>109.64689422612165</v>
      </c>
      <c r="C244" s="18">
        <f t="shared" si="629"/>
        <v>109.59400000000001</v>
      </c>
      <c r="D244" s="18">
        <f t="shared" ref="D244:D254" si="630">P3*(B244-K3)^2</f>
        <v>4.3384113776266903E-4</v>
      </c>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c r="AI244" s="19"/>
      <c r="AJ244" s="19"/>
      <c r="AK244" s="19"/>
      <c r="AL244" s="19"/>
      <c r="AM244" s="19"/>
      <c r="AN244" s="19"/>
      <c r="AO244" s="19"/>
      <c r="AP244" s="19"/>
      <c r="AQ244" s="19"/>
      <c r="AR244" s="19"/>
      <c r="AS244" s="19"/>
      <c r="AT244" s="19"/>
      <c r="AU244" s="19"/>
      <c r="AV244" s="19"/>
      <c r="AW244" s="19"/>
      <c r="AX244" s="19"/>
      <c r="AY244" s="19"/>
      <c r="AZ244" s="19"/>
      <c r="BA244" s="19"/>
      <c r="BB244" s="19"/>
      <c r="BC244" s="19"/>
      <c r="BD244" s="19"/>
      <c r="BE244" s="19"/>
      <c r="BF244" s="19"/>
      <c r="BG244" s="19"/>
      <c r="BH244" s="19"/>
      <c r="BI244" s="19"/>
      <c r="BJ244" s="19"/>
      <c r="BK244" s="19"/>
      <c r="BL244" s="19"/>
      <c r="BM244" s="19"/>
      <c r="BN244" s="19"/>
      <c r="BO244" s="19"/>
      <c r="BP244" s="19"/>
      <c r="BQ244" s="19"/>
      <c r="BR244" s="19"/>
      <c r="BS244" s="19"/>
      <c r="BT244" s="19"/>
      <c r="BU244" s="19"/>
      <c r="BV244" s="19"/>
      <c r="BW244" s="19"/>
      <c r="BX244" s="19"/>
      <c r="BY244" s="19"/>
      <c r="BZ244" s="19"/>
      <c r="CA244" s="19"/>
      <c r="CB244" s="19"/>
      <c r="CC244" s="19"/>
      <c r="CD244" s="19"/>
      <c r="CE244" s="19"/>
      <c r="CF244" s="7"/>
    </row>
    <row r="245" spans="1:256">
      <c r="A245" s="18" t="str">
        <f t="shared" si="627"/>
        <v>Bond 3</v>
      </c>
      <c r="B245" s="18">
        <f t="shared" si="628"/>
        <v>116.97439571747245</v>
      </c>
      <c r="C245" s="18">
        <f t="shared" si="629"/>
        <v>116.95400000000001</v>
      </c>
      <c r="D245" s="18">
        <f t="shared" si="630"/>
        <v>4.1560308183849597E-5</v>
      </c>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c r="AI245" s="19"/>
      <c r="AJ245" s="19"/>
      <c r="AK245" s="19"/>
      <c r="AL245" s="19"/>
      <c r="AM245" s="19"/>
      <c r="AN245" s="19"/>
      <c r="AO245" s="19"/>
      <c r="AP245" s="19"/>
      <c r="AQ245" s="19"/>
      <c r="AR245" s="19"/>
      <c r="AS245" s="19"/>
      <c r="AT245" s="19"/>
      <c r="AU245" s="19"/>
      <c r="AV245" s="19"/>
      <c r="AW245" s="19"/>
      <c r="AX245" s="19"/>
      <c r="AY245" s="19"/>
      <c r="AZ245" s="19"/>
      <c r="BA245" s="19"/>
      <c r="BB245" s="19"/>
      <c r="BC245" s="19"/>
      <c r="BD245" s="19"/>
      <c r="BE245" s="19"/>
      <c r="BF245" s="19"/>
      <c r="BG245" s="19"/>
      <c r="BH245" s="19"/>
      <c r="BI245" s="19"/>
      <c r="BJ245" s="19"/>
      <c r="BK245" s="19"/>
      <c r="BL245" s="19"/>
      <c r="BM245" s="19"/>
      <c r="BN245" s="19"/>
      <c r="BO245" s="19"/>
      <c r="BP245" s="19"/>
      <c r="BQ245" s="19"/>
      <c r="BR245" s="19"/>
      <c r="BS245" s="19"/>
      <c r="BT245" s="19"/>
      <c r="BU245" s="19"/>
      <c r="BV245" s="19"/>
      <c r="BW245" s="19"/>
      <c r="BX245" s="19"/>
      <c r="BY245" s="19"/>
      <c r="BZ245" s="19"/>
      <c r="CA245" s="19"/>
      <c r="CB245" s="19"/>
      <c r="CC245" s="19"/>
      <c r="CD245" s="19"/>
      <c r="CE245" s="19"/>
      <c r="CF245" s="12"/>
    </row>
    <row r="246" spans="1:256">
      <c r="A246" s="18" t="str">
        <f t="shared" si="627"/>
        <v>Bond 4</v>
      </c>
      <c r="B246" s="18">
        <f t="shared" si="628"/>
        <v>117.86485851203287</v>
      </c>
      <c r="C246" s="18">
        <f t="shared" si="629"/>
        <v>117.92449999999999</v>
      </c>
      <c r="D246" s="18">
        <f t="shared" si="630"/>
        <v>2.8389309674385838E-4</v>
      </c>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c r="AI246" s="19"/>
      <c r="AJ246" s="19"/>
      <c r="AK246" s="19"/>
      <c r="AL246" s="19"/>
      <c r="AM246" s="19"/>
      <c r="AN246" s="19"/>
      <c r="AO246" s="19"/>
      <c r="AP246" s="19"/>
      <c r="AQ246" s="19"/>
      <c r="AR246" s="19"/>
      <c r="AS246" s="19"/>
      <c r="AT246" s="19"/>
      <c r="AU246" s="19"/>
      <c r="AV246" s="19"/>
      <c r="AW246" s="19"/>
      <c r="AX246" s="19"/>
      <c r="AY246" s="19"/>
      <c r="AZ246" s="19"/>
      <c r="BA246" s="19"/>
      <c r="BB246" s="19"/>
      <c r="BC246" s="19"/>
      <c r="BD246" s="19"/>
      <c r="BE246" s="19"/>
      <c r="BF246" s="19"/>
      <c r="BG246" s="19"/>
      <c r="BH246" s="19"/>
      <c r="BI246" s="19"/>
      <c r="BJ246" s="19"/>
      <c r="BK246" s="19"/>
      <c r="BL246" s="19"/>
      <c r="BM246" s="19"/>
      <c r="BN246" s="19"/>
      <c r="BO246" s="19"/>
      <c r="BP246" s="19"/>
      <c r="BQ246" s="19"/>
      <c r="BR246" s="19"/>
      <c r="BS246" s="19"/>
      <c r="BT246" s="19"/>
      <c r="BU246" s="19"/>
      <c r="BV246" s="19"/>
      <c r="BW246" s="19"/>
      <c r="BX246" s="19"/>
      <c r="BY246" s="19"/>
      <c r="BZ246" s="19"/>
      <c r="CA246" s="19"/>
      <c r="CB246" s="19"/>
      <c r="CC246" s="19"/>
      <c r="CD246" s="19"/>
      <c r="CE246" s="19"/>
      <c r="CF246" s="6"/>
    </row>
    <row r="247" spans="1:256">
      <c r="A247" s="18" t="str">
        <f t="shared" si="627"/>
        <v>Bond 5</v>
      </c>
      <c r="B247" s="18">
        <f t="shared" si="628"/>
        <v>108.4817639360362</v>
      </c>
      <c r="C247" s="18">
        <f t="shared" si="629"/>
        <v>108.6035</v>
      </c>
      <c r="D247" s="18">
        <f t="shared" si="630"/>
        <v>9.1039013855522574E-4</v>
      </c>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c r="AI247" s="19"/>
      <c r="AJ247" s="19"/>
      <c r="AK247" s="19"/>
      <c r="AL247" s="19"/>
      <c r="AM247" s="19"/>
      <c r="AN247" s="19"/>
      <c r="AO247" s="19"/>
      <c r="AP247" s="19"/>
      <c r="AQ247" s="19"/>
      <c r="AR247" s="19"/>
      <c r="AS247" s="19"/>
      <c r="AT247" s="19"/>
      <c r="AU247" s="19"/>
      <c r="AV247" s="19"/>
      <c r="AW247" s="19"/>
      <c r="AX247" s="19"/>
      <c r="AY247" s="19"/>
      <c r="AZ247" s="19"/>
      <c r="BA247" s="19"/>
      <c r="BB247" s="19"/>
      <c r="BC247" s="19"/>
      <c r="BD247" s="19"/>
      <c r="BE247" s="19"/>
      <c r="BF247" s="19"/>
      <c r="BG247" s="19"/>
      <c r="BH247" s="19"/>
      <c r="BI247" s="19"/>
      <c r="BJ247" s="19"/>
      <c r="BK247" s="19"/>
      <c r="BL247" s="19"/>
      <c r="BM247" s="19"/>
      <c r="BN247" s="19"/>
      <c r="BO247" s="19"/>
      <c r="BP247" s="19"/>
      <c r="BQ247" s="19"/>
      <c r="BR247" s="19"/>
      <c r="BS247" s="19"/>
      <c r="BT247" s="19"/>
      <c r="BU247" s="19"/>
      <c r="BV247" s="19"/>
      <c r="BW247" s="19"/>
      <c r="BX247" s="19"/>
      <c r="BY247" s="19"/>
      <c r="BZ247" s="19"/>
      <c r="CA247" s="19"/>
      <c r="CB247" s="19"/>
      <c r="CC247" s="19"/>
      <c r="CD247" s="19"/>
      <c r="CE247" s="19"/>
      <c r="CF247" s="6"/>
    </row>
    <row r="248" spans="1:256">
      <c r="A248" s="18" t="str">
        <f t="shared" si="627"/>
        <v>Bond 6</v>
      </c>
      <c r="B248" s="18">
        <f t="shared" si="628"/>
        <v>112.63250617154316</v>
      </c>
      <c r="C248" s="18">
        <f t="shared" si="629"/>
        <v>112.664</v>
      </c>
      <c r="D248" s="18">
        <f t="shared" si="630"/>
        <v>5.1654489066469889E-5</v>
      </c>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c r="AI248" s="19"/>
      <c r="AJ248" s="19"/>
      <c r="AK248" s="19"/>
      <c r="AL248" s="19"/>
      <c r="AM248" s="19"/>
      <c r="AN248" s="19"/>
      <c r="AO248" s="19"/>
      <c r="AP248" s="19"/>
      <c r="AQ248" s="19"/>
      <c r="AR248" s="19"/>
      <c r="AS248" s="19"/>
      <c r="AT248" s="19"/>
      <c r="AU248" s="19"/>
      <c r="AV248" s="19"/>
      <c r="AW248" s="19"/>
      <c r="AX248" s="19"/>
      <c r="AY248" s="19"/>
      <c r="AZ248" s="19"/>
      <c r="BA248" s="19"/>
      <c r="BB248" s="19"/>
      <c r="BC248" s="19"/>
      <c r="BD248" s="19"/>
      <c r="BE248" s="19"/>
      <c r="BF248" s="19"/>
      <c r="BG248" s="19"/>
      <c r="BH248" s="19"/>
      <c r="BI248" s="19"/>
      <c r="BJ248" s="19"/>
      <c r="BK248" s="19"/>
      <c r="BL248" s="19"/>
      <c r="BM248" s="19"/>
      <c r="BN248" s="19"/>
      <c r="BO248" s="19"/>
      <c r="BP248" s="19"/>
      <c r="BQ248" s="19"/>
      <c r="BR248" s="19"/>
      <c r="BS248" s="19"/>
      <c r="BT248" s="19"/>
      <c r="BU248" s="19"/>
      <c r="BV248" s="19"/>
      <c r="BW248" s="19"/>
      <c r="BX248" s="19"/>
      <c r="BY248" s="19"/>
      <c r="BZ248" s="19"/>
      <c r="CA248" s="19"/>
      <c r="CB248" s="19"/>
      <c r="CC248" s="19"/>
      <c r="CD248" s="19"/>
      <c r="CE248" s="19"/>
      <c r="CF248" s="12"/>
    </row>
    <row r="249" spans="1:256">
      <c r="A249" s="18" t="str">
        <f t="shared" si="627"/>
        <v>Bond 7</v>
      </c>
      <c r="B249" s="18">
        <f t="shared" si="628"/>
        <v>120.94343029156295</v>
      </c>
      <c r="C249" s="18">
        <f t="shared" si="629"/>
        <v>120.92049999999999</v>
      </c>
      <c r="D249" s="18">
        <f t="shared" si="630"/>
        <v>2.4266774069143437E-5</v>
      </c>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c r="AS249" s="19"/>
      <c r="AT249" s="19"/>
      <c r="AU249" s="19"/>
      <c r="AV249" s="19"/>
      <c r="AW249" s="19"/>
      <c r="AX249" s="19"/>
      <c r="AY249" s="19"/>
      <c r="AZ249" s="19"/>
      <c r="BA249" s="19"/>
      <c r="BB249" s="19"/>
      <c r="BC249" s="19"/>
      <c r="BD249" s="19"/>
      <c r="BE249" s="19"/>
      <c r="BF249" s="19"/>
      <c r="BG249" s="19"/>
      <c r="BH249" s="19"/>
      <c r="BI249" s="19"/>
      <c r="BJ249" s="19"/>
      <c r="BK249" s="19"/>
      <c r="BL249" s="19"/>
      <c r="BM249" s="19"/>
      <c r="BN249" s="19"/>
      <c r="BO249" s="19"/>
      <c r="BP249" s="19"/>
      <c r="BQ249" s="19"/>
      <c r="BR249" s="19"/>
      <c r="BS249" s="19"/>
      <c r="BT249" s="19"/>
      <c r="BU249" s="19"/>
      <c r="BV249" s="19"/>
      <c r="BW249" s="19"/>
      <c r="BX249" s="19"/>
      <c r="BY249" s="19"/>
      <c r="BZ249" s="19"/>
      <c r="CA249" s="19"/>
      <c r="CB249" s="19"/>
      <c r="CC249" s="19"/>
      <c r="CD249" s="19"/>
      <c r="CE249" s="19"/>
      <c r="CF249" s="12"/>
    </row>
    <row r="250" spans="1:256">
      <c r="A250" s="18" t="str">
        <f t="shared" si="627"/>
        <v>Bond 8</v>
      </c>
      <c r="B250" s="18">
        <f t="shared" si="628"/>
        <v>127.12205666370943</v>
      </c>
      <c r="C250" s="18">
        <f t="shared" si="629"/>
        <v>126.9875</v>
      </c>
      <c r="D250" s="18">
        <f t="shared" si="630"/>
        <v>7.4976613565929837E-4</v>
      </c>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c r="AK250" s="19"/>
      <c r="AL250" s="19"/>
      <c r="AM250" s="19"/>
      <c r="AN250" s="19"/>
      <c r="AO250" s="19"/>
      <c r="AP250" s="19"/>
      <c r="AQ250" s="19"/>
      <c r="AR250" s="19"/>
      <c r="AS250" s="19"/>
      <c r="AT250" s="19"/>
      <c r="AU250" s="19"/>
      <c r="AV250" s="19"/>
      <c r="AW250" s="19"/>
      <c r="AX250" s="19"/>
      <c r="AY250" s="19"/>
      <c r="AZ250" s="19"/>
      <c r="BA250" s="19"/>
      <c r="BB250" s="19"/>
      <c r="BC250" s="19"/>
      <c r="BD250" s="19"/>
      <c r="BE250" s="19"/>
      <c r="BF250" s="19"/>
      <c r="BG250" s="19"/>
      <c r="BH250" s="19"/>
      <c r="BI250" s="19"/>
      <c r="BJ250" s="19"/>
      <c r="BK250" s="19"/>
      <c r="BL250" s="19"/>
      <c r="BM250" s="19"/>
      <c r="BN250" s="19"/>
      <c r="BO250" s="19"/>
      <c r="BP250" s="19"/>
      <c r="BQ250" s="19"/>
      <c r="BR250" s="19"/>
      <c r="BS250" s="19"/>
      <c r="BT250" s="19"/>
      <c r="BU250" s="19"/>
      <c r="BV250" s="19"/>
      <c r="BW250" s="19"/>
      <c r="BX250" s="19"/>
      <c r="BY250" s="19"/>
      <c r="BZ250" s="19"/>
      <c r="CA250" s="19"/>
      <c r="CB250" s="19"/>
      <c r="CC250" s="19"/>
      <c r="CD250" s="19"/>
      <c r="CE250" s="19"/>
      <c r="CF250" s="12"/>
    </row>
    <row r="251" spans="1:256">
      <c r="A251" s="18" t="str">
        <f t="shared" si="627"/>
        <v>Bond 9</v>
      </c>
      <c r="B251" s="18">
        <f t="shared" si="628"/>
        <v>108.25992059238045</v>
      </c>
      <c r="C251" s="18">
        <f t="shared" si="629"/>
        <v>108.1155</v>
      </c>
      <c r="D251" s="18">
        <f t="shared" si="630"/>
        <v>7.1456988178988348E-4</v>
      </c>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c r="AK251" s="19"/>
      <c r="AL251" s="19"/>
      <c r="AM251" s="19"/>
      <c r="AN251" s="19"/>
      <c r="AO251" s="19"/>
      <c r="AP251" s="19"/>
      <c r="AQ251" s="19"/>
      <c r="AR251" s="19"/>
      <c r="AS251" s="19"/>
      <c r="AT251" s="19"/>
      <c r="AU251" s="19"/>
      <c r="AV251" s="19"/>
      <c r="AW251" s="19"/>
      <c r="AX251" s="19"/>
      <c r="AY251" s="19"/>
      <c r="AZ251" s="19"/>
      <c r="BA251" s="19"/>
      <c r="BB251" s="19"/>
      <c r="BC251" s="19"/>
      <c r="BD251" s="19"/>
      <c r="BE251" s="19"/>
      <c r="BF251" s="19"/>
      <c r="BG251" s="19"/>
      <c r="BH251" s="19"/>
      <c r="BI251" s="19"/>
      <c r="BJ251" s="19"/>
      <c r="BK251" s="19"/>
      <c r="BL251" s="19"/>
      <c r="BM251" s="19"/>
      <c r="BN251" s="19"/>
      <c r="BO251" s="19"/>
      <c r="BP251" s="19"/>
      <c r="BQ251" s="19"/>
      <c r="BR251" s="19"/>
      <c r="BS251" s="19"/>
      <c r="BT251" s="19"/>
      <c r="BU251" s="19"/>
      <c r="BV251" s="19"/>
      <c r="BW251" s="19"/>
      <c r="BX251" s="19"/>
      <c r="BY251" s="19"/>
      <c r="BZ251" s="19"/>
      <c r="CA251" s="19"/>
      <c r="CB251" s="19"/>
      <c r="CC251" s="19"/>
      <c r="CD251" s="19"/>
      <c r="CE251" s="19"/>
      <c r="CF251" s="6"/>
    </row>
    <row r="252" spans="1:256">
      <c r="A252" s="18" t="str">
        <f t="shared" si="627"/>
        <v>Bond 10</v>
      </c>
      <c r="B252" s="18">
        <f t="shared" si="628"/>
        <v>118.19370079599136</v>
      </c>
      <c r="C252" s="18">
        <f t="shared" si="629"/>
        <v>118.20399999999999</v>
      </c>
      <c r="D252" s="18">
        <f t="shared" si="630"/>
        <v>3.4511982904827898E-6</v>
      </c>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19"/>
      <c r="AE252" s="19"/>
      <c r="AF252" s="19"/>
      <c r="AG252" s="19"/>
      <c r="AH252" s="19"/>
      <c r="AI252" s="19"/>
      <c r="AJ252" s="19"/>
      <c r="AK252" s="19"/>
      <c r="AL252" s="19"/>
      <c r="AM252" s="19"/>
      <c r="AN252" s="19"/>
      <c r="AO252" s="19"/>
      <c r="AP252" s="19"/>
      <c r="AQ252" s="19"/>
      <c r="AR252" s="19"/>
      <c r="AS252" s="19"/>
      <c r="AT252" s="19"/>
      <c r="AU252" s="19"/>
      <c r="AV252" s="19"/>
      <c r="AW252" s="19"/>
      <c r="AX252" s="19"/>
      <c r="AY252" s="19"/>
      <c r="AZ252" s="19"/>
      <c r="BA252" s="19"/>
      <c r="BB252" s="19"/>
      <c r="BC252" s="19"/>
      <c r="BD252" s="19"/>
      <c r="BE252" s="19"/>
      <c r="BF252" s="19"/>
      <c r="BG252" s="19"/>
      <c r="BH252" s="19"/>
      <c r="BI252" s="19"/>
      <c r="BJ252" s="19"/>
      <c r="BK252" s="19"/>
      <c r="BL252" s="19"/>
      <c r="BM252" s="19"/>
      <c r="BN252" s="19"/>
      <c r="BO252" s="19"/>
      <c r="BP252" s="19"/>
      <c r="BQ252" s="19"/>
      <c r="BR252" s="19"/>
      <c r="BS252" s="19"/>
      <c r="BT252" s="19"/>
      <c r="BU252" s="19"/>
      <c r="BV252" s="19"/>
      <c r="BW252" s="19"/>
      <c r="BX252" s="19"/>
      <c r="BY252" s="19"/>
      <c r="BZ252" s="19"/>
      <c r="CA252" s="19"/>
      <c r="CB252" s="19"/>
      <c r="CC252" s="19"/>
      <c r="CD252" s="19"/>
      <c r="CE252" s="19"/>
      <c r="CF252" s="6"/>
    </row>
    <row r="253" spans="1:256">
      <c r="A253" s="18" t="str">
        <f t="shared" si="627"/>
        <v>Bond 11</v>
      </c>
      <c r="B253" s="18">
        <f t="shared" si="628"/>
        <v>116.18048426859987</v>
      </c>
      <c r="C253" s="18">
        <f t="shared" si="629"/>
        <v>116.64149999999999</v>
      </c>
      <c r="D253" s="18">
        <f t="shared" si="630"/>
        <v>4.4580160603877516E-3</v>
      </c>
      <c r="E253" s="19"/>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19"/>
      <c r="AE253" s="19"/>
      <c r="AF253" s="19"/>
      <c r="AG253" s="19"/>
      <c r="AH253" s="19"/>
      <c r="AI253" s="19"/>
      <c r="AJ253" s="19"/>
      <c r="AK253" s="19"/>
      <c r="AL253" s="19"/>
      <c r="AM253" s="19"/>
      <c r="AN253" s="19"/>
      <c r="AO253" s="19"/>
      <c r="AP253" s="19"/>
      <c r="AQ253" s="19"/>
      <c r="AR253" s="19"/>
      <c r="AS253" s="19"/>
      <c r="AT253" s="19"/>
      <c r="AU253" s="19"/>
      <c r="AV253" s="19"/>
      <c r="AW253" s="19"/>
      <c r="AX253" s="19"/>
      <c r="AY253" s="19"/>
      <c r="AZ253" s="19"/>
      <c r="BA253" s="19"/>
      <c r="BB253" s="19"/>
      <c r="BC253" s="19"/>
      <c r="BD253" s="19"/>
      <c r="BE253" s="19"/>
      <c r="BF253" s="19"/>
      <c r="BG253" s="19"/>
      <c r="BH253" s="19"/>
      <c r="BI253" s="19"/>
      <c r="BJ253" s="19"/>
      <c r="BK253" s="19"/>
      <c r="BL253" s="19"/>
      <c r="BM253" s="19"/>
      <c r="BN253" s="19"/>
      <c r="BO253" s="19"/>
      <c r="BP253" s="19"/>
      <c r="BQ253" s="19"/>
      <c r="BR253" s="19"/>
      <c r="BS253" s="19"/>
      <c r="BT253" s="19"/>
      <c r="BU253" s="19"/>
      <c r="BV253" s="19"/>
      <c r="BW253" s="19"/>
      <c r="BX253" s="19"/>
      <c r="BY253" s="19"/>
      <c r="BZ253" s="19"/>
      <c r="CA253" s="19"/>
      <c r="CB253" s="19"/>
      <c r="CC253" s="19"/>
      <c r="CD253" s="19"/>
      <c r="CE253" s="19"/>
      <c r="CF253" s="12"/>
    </row>
    <row r="254" spans="1:256">
      <c r="A254" s="18" t="str">
        <f t="shared" si="627"/>
        <v>Bond 12</v>
      </c>
      <c r="B254" s="18">
        <f t="shared" si="628"/>
        <v>125.64531141717038</v>
      </c>
      <c r="C254" s="18">
        <f t="shared" si="629"/>
        <v>125.35600000000001</v>
      </c>
      <c r="D254" s="18">
        <f t="shared" si="630"/>
        <v>1.5092601407643946E-3</v>
      </c>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19"/>
      <c r="AE254" s="19"/>
      <c r="AF254" s="19"/>
      <c r="AG254" s="19"/>
      <c r="AH254" s="19"/>
      <c r="AI254" s="19"/>
      <c r="AJ254" s="19"/>
      <c r="AK254" s="19"/>
      <c r="AL254" s="19"/>
      <c r="AM254" s="19"/>
      <c r="AN254" s="19"/>
      <c r="AO254" s="19"/>
      <c r="AP254" s="19"/>
      <c r="AQ254" s="19"/>
      <c r="AR254" s="19"/>
      <c r="AS254" s="19"/>
      <c r="AT254" s="19"/>
      <c r="AU254" s="19"/>
      <c r="AV254" s="19"/>
      <c r="AW254" s="19"/>
      <c r="AX254" s="19"/>
      <c r="AY254" s="19"/>
      <c r="AZ254" s="19"/>
      <c r="BA254" s="19"/>
      <c r="BB254" s="19"/>
      <c r="BC254" s="19"/>
      <c r="BD254" s="19"/>
      <c r="BE254" s="19"/>
      <c r="BF254" s="19"/>
      <c r="BG254" s="19"/>
      <c r="BH254" s="19"/>
      <c r="BI254" s="19"/>
      <c r="BJ254" s="19"/>
      <c r="BK254" s="19"/>
      <c r="BL254" s="19"/>
      <c r="BM254" s="19"/>
      <c r="BN254" s="19"/>
      <c r="BO254" s="19"/>
      <c r="BP254" s="19"/>
      <c r="BQ254" s="19"/>
      <c r="BR254" s="19"/>
      <c r="BS254" s="19"/>
      <c r="BT254" s="19"/>
      <c r="BU254" s="19"/>
      <c r="BV254" s="19"/>
      <c r="BW254" s="19"/>
      <c r="BX254" s="19"/>
      <c r="BY254" s="19"/>
      <c r="BZ254" s="19"/>
      <c r="CA254" s="19"/>
      <c r="CB254" s="19"/>
      <c r="CC254" s="19"/>
      <c r="CD254" s="19"/>
      <c r="CE254" s="19"/>
      <c r="CF254" s="12"/>
    </row>
    <row r="255" spans="1:256">
      <c r="A255" s="18"/>
      <c r="B255" s="18"/>
      <c r="C255" s="18"/>
      <c r="D255" s="18"/>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9"/>
      <c r="AE255" s="19"/>
      <c r="AF255" s="19"/>
      <c r="AG255" s="19"/>
      <c r="AH255" s="19"/>
      <c r="AI255" s="19"/>
      <c r="AJ255" s="19"/>
      <c r="AK255" s="19"/>
      <c r="AL255" s="19"/>
      <c r="AM255" s="19"/>
      <c r="AN255" s="19"/>
      <c r="AO255" s="19"/>
      <c r="AP255" s="19"/>
      <c r="AQ255" s="19"/>
      <c r="AR255" s="19"/>
      <c r="AS255" s="19"/>
      <c r="AT255" s="19"/>
      <c r="AU255" s="19"/>
      <c r="AV255" s="19"/>
      <c r="AW255" s="19"/>
      <c r="AX255" s="19"/>
      <c r="AY255" s="19"/>
      <c r="AZ255" s="19"/>
      <c r="BA255" s="19"/>
      <c r="BB255" s="19"/>
      <c r="BC255" s="19"/>
      <c r="BD255" s="19"/>
      <c r="BE255" s="19"/>
      <c r="BF255" s="19"/>
      <c r="BG255" s="19"/>
      <c r="BH255" s="19"/>
      <c r="BI255" s="19"/>
      <c r="BJ255" s="19"/>
      <c r="BK255" s="19"/>
      <c r="BL255" s="19"/>
      <c r="BM255" s="19"/>
      <c r="BN255" s="19"/>
      <c r="BO255" s="19"/>
      <c r="BP255" s="19"/>
      <c r="BQ255" s="19"/>
      <c r="BR255" s="19"/>
      <c r="BS255" s="19"/>
      <c r="BT255" s="19"/>
      <c r="BU255" s="19"/>
      <c r="BV255" s="19"/>
      <c r="BW255" s="19"/>
      <c r="BX255" s="19"/>
      <c r="BY255" s="19"/>
      <c r="BZ255" s="19"/>
      <c r="CA255" s="19"/>
      <c r="CB255" s="19"/>
      <c r="CC255" s="19"/>
      <c r="CD255" s="19"/>
      <c r="CE255" s="19"/>
      <c r="CF255" s="12"/>
    </row>
    <row r="256" spans="1:256">
      <c r="A256" s="18"/>
      <c r="B256" s="18"/>
      <c r="C256" s="18"/>
      <c r="D256" s="18"/>
      <c r="E256" s="19"/>
      <c r="F256" s="19"/>
      <c r="G256" s="19"/>
      <c r="H256" s="19"/>
      <c r="I256" s="19"/>
      <c r="J256" s="19"/>
      <c r="K256" s="19"/>
      <c r="L256" s="19"/>
      <c r="M256" s="19"/>
      <c r="N256" s="19"/>
      <c r="O256" s="19"/>
      <c r="P256" s="19"/>
      <c r="Q256" s="19"/>
      <c r="R256" s="19"/>
      <c r="S256" s="19"/>
      <c r="T256" s="19"/>
      <c r="U256" s="19"/>
      <c r="V256" s="19"/>
      <c r="W256" s="19"/>
      <c r="X256" s="19"/>
      <c r="Y256" s="19"/>
      <c r="Z256" s="19"/>
      <c r="AA256" s="19"/>
      <c r="AB256" s="19"/>
      <c r="AC256" s="19"/>
      <c r="AD256" s="19"/>
      <c r="AE256" s="19"/>
      <c r="AF256" s="19"/>
      <c r="AG256" s="19"/>
      <c r="AH256" s="19"/>
      <c r="AI256" s="19"/>
      <c r="AJ256" s="19"/>
      <c r="AK256" s="19"/>
      <c r="AL256" s="19"/>
      <c r="AM256" s="19"/>
      <c r="AN256" s="19"/>
      <c r="AO256" s="19"/>
      <c r="AP256" s="19"/>
      <c r="AQ256" s="19"/>
      <c r="AR256" s="19"/>
      <c r="AS256" s="19"/>
      <c r="AT256" s="19"/>
      <c r="AU256" s="19"/>
      <c r="AV256" s="19"/>
      <c r="AW256" s="19"/>
      <c r="AX256" s="19"/>
      <c r="AY256" s="19"/>
      <c r="AZ256" s="19"/>
      <c r="BA256" s="19"/>
      <c r="BB256" s="19"/>
      <c r="BC256" s="19"/>
      <c r="BD256" s="19"/>
      <c r="BE256" s="19"/>
      <c r="BF256" s="19"/>
      <c r="BG256" s="19"/>
      <c r="BH256" s="19"/>
      <c r="BI256" s="19"/>
      <c r="BJ256" s="19"/>
      <c r="BK256" s="19"/>
      <c r="BL256" s="19"/>
      <c r="BM256" s="19"/>
      <c r="BN256" s="19"/>
      <c r="BO256" s="19"/>
      <c r="BP256" s="19"/>
      <c r="BQ256" s="19"/>
      <c r="BR256" s="19"/>
      <c r="BS256" s="19"/>
      <c r="BT256" s="19"/>
      <c r="BU256" s="19"/>
      <c r="BV256" s="19"/>
      <c r="BW256" s="19"/>
      <c r="BX256" s="19"/>
      <c r="BY256" s="19"/>
      <c r="BZ256" s="19"/>
      <c r="CA256" s="19"/>
      <c r="CB256" s="19"/>
      <c r="CC256" s="19"/>
      <c r="CD256" s="19"/>
      <c r="CE256" s="19"/>
      <c r="CF256" s="6"/>
    </row>
    <row r="257" spans="1:84">
      <c r="A257" s="18"/>
      <c r="B257" s="18"/>
      <c r="C257" s="18"/>
      <c r="D257" s="18"/>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9"/>
      <c r="AD257" s="19"/>
      <c r="AE257" s="19"/>
      <c r="AF257" s="19"/>
      <c r="AG257" s="19"/>
      <c r="AH257" s="19"/>
      <c r="AI257" s="19"/>
      <c r="AJ257" s="19"/>
      <c r="AK257" s="19"/>
      <c r="AL257" s="19"/>
      <c r="AM257" s="19"/>
      <c r="AN257" s="19"/>
      <c r="AO257" s="19"/>
      <c r="AP257" s="19"/>
      <c r="AQ257" s="19"/>
      <c r="AR257" s="19"/>
      <c r="AS257" s="19"/>
      <c r="AT257" s="19"/>
      <c r="AU257" s="19"/>
      <c r="AV257" s="19"/>
      <c r="AW257" s="19"/>
      <c r="AX257" s="19"/>
      <c r="AY257" s="19"/>
      <c r="AZ257" s="19"/>
      <c r="BA257" s="19"/>
      <c r="BB257" s="19"/>
      <c r="BC257" s="19"/>
      <c r="BD257" s="19"/>
      <c r="BE257" s="19"/>
      <c r="BF257" s="19"/>
      <c r="BG257" s="19"/>
      <c r="BH257" s="19"/>
      <c r="BI257" s="19"/>
      <c r="BJ257" s="19"/>
      <c r="BK257" s="19"/>
      <c r="BL257" s="19"/>
      <c r="BM257" s="19"/>
      <c r="BN257" s="19"/>
      <c r="BO257" s="19"/>
      <c r="BP257" s="19"/>
      <c r="BQ257" s="19"/>
      <c r="BR257" s="19"/>
      <c r="BS257" s="19"/>
      <c r="BT257" s="19"/>
      <c r="BU257" s="19"/>
      <c r="BV257" s="19"/>
      <c r="BW257" s="19"/>
      <c r="BX257" s="19"/>
      <c r="BY257" s="19"/>
      <c r="BZ257" s="19"/>
      <c r="CA257" s="19"/>
      <c r="CB257" s="19"/>
      <c r="CC257" s="19"/>
      <c r="CD257" s="19"/>
      <c r="CE257" s="19"/>
      <c r="CF257" s="6"/>
    </row>
    <row r="258" spans="1:84">
      <c r="A258" s="18"/>
      <c r="B258" s="18"/>
      <c r="C258" s="18"/>
      <c r="D258" s="18"/>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9"/>
      <c r="AD258" s="19"/>
      <c r="AE258" s="19"/>
      <c r="AF258" s="19"/>
      <c r="AG258" s="19"/>
      <c r="AH258" s="19"/>
      <c r="AI258" s="19"/>
      <c r="AJ258" s="19"/>
      <c r="AK258" s="19"/>
      <c r="AL258" s="19"/>
      <c r="AM258" s="19"/>
      <c r="AN258" s="19"/>
      <c r="AO258" s="19"/>
      <c r="AP258" s="19"/>
      <c r="AQ258" s="19"/>
      <c r="AR258" s="19"/>
      <c r="AS258" s="19"/>
      <c r="AT258" s="19"/>
      <c r="AU258" s="19"/>
      <c r="AV258" s="19"/>
      <c r="AW258" s="19"/>
      <c r="AX258" s="19"/>
      <c r="AY258" s="19"/>
      <c r="AZ258" s="19"/>
      <c r="BA258" s="19"/>
      <c r="BB258" s="19"/>
      <c r="BC258" s="19"/>
      <c r="BD258" s="19"/>
      <c r="BE258" s="19"/>
      <c r="BF258" s="19"/>
      <c r="BG258" s="19"/>
      <c r="BH258" s="19"/>
      <c r="BI258" s="19"/>
      <c r="BJ258" s="19"/>
      <c r="BK258" s="19"/>
      <c r="BL258" s="19"/>
      <c r="BM258" s="19"/>
      <c r="BN258" s="19"/>
      <c r="BO258" s="19"/>
      <c r="BP258" s="19"/>
      <c r="BQ258" s="19"/>
      <c r="BR258" s="19"/>
      <c r="BS258" s="19"/>
      <c r="BT258" s="19"/>
      <c r="BU258" s="19"/>
      <c r="BV258" s="19"/>
      <c r="BW258" s="19"/>
      <c r="BX258" s="19"/>
      <c r="BY258" s="19"/>
      <c r="BZ258" s="19"/>
      <c r="CA258" s="19"/>
      <c r="CB258" s="19"/>
      <c r="CC258" s="19"/>
      <c r="CD258" s="19"/>
      <c r="CE258" s="19"/>
      <c r="CF258" s="6"/>
    </row>
    <row r="259" spans="1:84">
      <c r="A259" s="18"/>
      <c r="B259" s="18"/>
      <c r="C259" s="18"/>
      <c r="D259" s="18"/>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c r="BP259" s="19"/>
      <c r="BQ259" s="19"/>
      <c r="BR259" s="19"/>
      <c r="BS259" s="19"/>
      <c r="BT259" s="19"/>
      <c r="BU259" s="19"/>
      <c r="BV259" s="19"/>
      <c r="BW259" s="19"/>
      <c r="BX259" s="19"/>
      <c r="BY259" s="19"/>
      <c r="BZ259" s="19"/>
      <c r="CA259" s="19"/>
      <c r="CB259" s="19"/>
      <c r="CC259" s="19"/>
      <c r="CD259" s="19"/>
      <c r="CE259" s="19"/>
      <c r="CF259" s="6"/>
    </row>
    <row r="260" spans="1:84">
      <c r="A260" s="18"/>
      <c r="B260" s="18"/>
      <c r="C260" s="18"/>
      <c r="D260" s="18"/>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c r="AG260" s="19"/>
      <c r="AH260" s="19"/>
      <c r="AI260" s="19"/>
      <c r="AJ260" s="19"/>
      <c r="AK260" s="19"/>
      <c r="AL260" s="19"/>
      <c r="AM260" s="19"/>
      <c r="AN260" s="19"/>
      <c r="AO260" s="19"/>
      <c r="AP260" s="19"/>
      <c r="AQ260" s="19"/>
      <c r="AR260" s="19"/>
      <c r="AS260" s="19"/>
      <c r="AT260" s="19"/>
      <c r="AU260" s="19"/>
      <c r="AV260" s="19"/>
      <c r="AW260" s="19"/>
      <c r="AX260" s="19"/>
      <c r="AY260" s="19"/>
      <c r="AZ260" s="19"/>
      <c r="BA260" s="19"/>
      <c r="BB260" s="19"/>
      <c r="BC260" s="19"/>
      <c r="BD260" s="19"/>
      <c r="BE260" s="19"/>
      <c r="BF260" s="19"/>
      <c r="BG260" s="19"/>
      <c r="BH260" s="19"/>
      <c r="BI260" s="19"/>
      <c r="BJ260" s="19"/>
      <c r="BK260" s="19"/>
      <c r="BL260" s="19"/>
      <c r="BM260" s="19"/>
      <c r="BN260" s="19"/>
      <c r="BO260" s="19"/>
      <c r="BP260" s="19"/>
      <c r="BQ260" s="19"/>
      <c r="BR260" s="19"/>
      <c r="BS260" s="19"/>
      <c r="BT260" s="19"/>
      <c r="BU260" s="19"/>
      <c r="BV260" s="19"/>
      <c r="BW260" s="19"/>
      <c r="BX260" s="19"/>
      <c r="BY260" s="19"/>
      <c r="BZ260" s="19"/>
      <c r="CA260" s="19"/>
      <c r="CB260" s="19"/>
      <c r="CC260" s="19"/>
      <c r="CD260" s="19"/>
      <c r="CE260" s="19"/>
      <c r="CF260" s="6"/>
    </row>
    <row r="261" spans="1:84">
      <c r="A261" s="18"/>
      <c r="B261" s="18"/>
      <c r="C261" s="18"/>
      <c r="D261" s="18"/>
      <c r="E261" s="19"/>
      <c r="F261" s="19"/>
      <c r="G261" s="19"/>
      <c r="H261" s="19"/>
      <c r="I261" s="19"/>
      <c r="J261" s="19"/>
      <c r="K261" s="19"/>
      <c r="L261" s="19"/>
      <c r="M261" s="19"/>
      <c r="N261" s="19"/>
      <c r="O261" s="19"/>
      <c r="P261" s="19"/>
      <c r="Q261" s="19"/>
      <c r="R261" s="19"/>
      <c r="S261" s="19"/>
      <c r="T261" s="19"/>
      <c r="U261" s="19"/>
      <c r="V261" s="19"/>
      <c r="W261" s="19"/>
      <c r="X261" s="19"/>
      <c r="Y261" s="19"/>
      <c r="Z261" s="19"/>
      <c r="AA261" s="19"/>
      <c r="AB261" s="19"/>
      <c r="AC261" s="19"/>
      <c r="AD261" s="19"/>
      <c r="AE261" s="19"/>
      <c r="AF261" s="19"/>
      <c r="AG261" s="19"/>
      <c r="AH261" s="19"/>
      <c r="AI261" s="19"/>
      <c r="AJ261" s="19"/>
      <c r="AK261" s="19"/>
      <c r="AL261" s="19"/>
      <c r="AM261" s="19"/>
      <c r="AN261" s="19"/>
      <c r="AO261" s="19"/>
      <c r="AP261" s="19"/>
      <c r="AQ261" s="19"/>
      <c r="AR261" s="19"/>
      <c r="AS261" s="19"/>
      <c r="AT261" s="19"/>
      <c r="AU261" s="19"/>
      <c r="AV261" s="19"/>
      <c r="AW261" s="19"/>
      <c r="AX261" s="19"/>
      <c r="AY261" s="19"/>
      <c r="AZ261" s="19"/>
      <c r="BA261" s="19"/>
      <c r="BB261" s="19"/>
      <c r="BC261" s="19"/>
      <c r="BD261" s="19"/>
      <c r="BE261" s="19"/>
      <c r="BF261" s="19"/>
      <c r="BG261" s="19"/>
      <c r="BH261" s="19"/>
      <c r="BI261" s="19"/>
      <c r="BJ261" s="19"/>
      <c r="BK261" s="19"/>
      <c r="BL261" s="19"/>
      <c r="BM261" s="19"/>
      <c r="BN261" s="19"/>
      <c r="BO261" s="19"/>
      <c r="BP261" s="19"/>
      <c r="BQ261" s="19"/>
      <c r="BR261" s="19"/>
      <c r="BS261" s="19"/>
      <c r="BT261" s="19"/>
      <c r="BU261" s="19"/>
      <c r="BV261" s="19"/>
      <c r="BW261" s="19"/>
      <c r="BX261" s="19"/>
      <c r="BY261" s="19"/>
      <c r="BZ261" s="19"/>
      <c r="CA261" s="19"/>
      <c r="CB261" s="19"/>
      <c r="CC261" s="19"/>
      <c r="CD261" s="19"/>
      <c r="CE261" s="19"/>
      <c r="CF261" s="6"/>
    </row>
    <row r="262" spans="1:84">
      <c r="A262" s="18"/>
      <c r="B262" s="18"/>
      <c r="C262" s="18"/>
      <c r="D262" s="18"/>
      <c r="E262" s="19"/>
      <c r="F262" s="19"/>
      <c r="G262" s="19"/>
      <c r="H262" s="19"/>
      <c r="I262" s="19"/>
      <c r="J262" s="19"/>
      <c r="K262" s="19"/>
      <c r="L262" s="19"/>
      <c r="M262" s="19"/>
      <c r="N262" s="19"/>
      <c r="O262" s="19"/>
      <c r="P262" s="19"/>
      <c r="Q262" s="19"/>
      <c r="R262" s="19"/>
      <c r="S262" s="19"/>
      <c r="T262" s="19"/>
      <c r="U262" s="19"/>
      <c r="V262" s="19"/>
      <c r="W262" s="19"/>
      <c r="X262" s="19"/>
      <c r="Y262" s="19"/>
      <c r="Z262" s="19"/>
      <c r="AA262" s="19"/>
      <c r="AB262" s="19"/>
      <c r="AC262" s="19"/>
      <c r="AD262" s="19"/>
      <c r="AE262" s="19"/>
      <c r="AF262" s="19"/>
      <c r="AG262" s="19"/>
      <c r="AH262" s="19"/>
      <c r="AI262" s="19"/>
      <c r="AJ262" s="19"/>
      <c r="AK262" s="19"/>
      <c r="AL262" s="19"/>
      <c r="AM262" s="19"/>
      <c r="AN262" s="19"/>
      <c r="AO262" s="19"/>
      <c r="AP262" s="19"/>
      <c r="AQ262" s="19"/>
      <c r="AR262" s="19"/>
      <c r="AS262" s="19"/>
      <c r="AT262" s="19"/>
      <c r="AU262" s="19"/>
      <c r="AV262" s="19"/>
      <c r="AW262" s="19"/>
      <c r="AX262" s="19"/>
      <c r="AY262" s="19"/>
      <c r="AZ262" s="19"/>
      <c r="BA262" s="19"/>
      <c r="BB262" s="19"/>
      <c r="BC262" s="19"/>
      <c r="BD262" s="19"/>
      <c r="BE262" s="19"/>
      <c r="BF262" s="19"/>
      <c r="BG262" s="19"/>
      <c r="BH262" s="19"/>
      <c r="BI262" s="19"/>
      <c r="BJ262" s="19"/>
      <c r="BK262" s="19"/>
      <c r="BL262" s="19"/>
      <c r="BM262" s="19"/>
      <c r="BN262" s="19"/>
      <c r="BO262" s="19"/>
      <c r="BP262" s="19"/>
      <c r="BQ262" s="19"/>
      <c r="BR262" s="19"/>
      <c r="BS262" s="19"/>
      <c r="BT262" s="19"/>
      <c r="BU262" s="19"/>
      <c r="BV262" s="19"/>
      <c r="BW262" s="19"/>
      <c r="BX262" s="19"/>
      <c r="BY262" s="19"/>
      <c r="BZ262" s="19"/>
      <c r="CA262" s="19"/>
      <c r="CB262" s="19"/>
      <c r="CC262" s="19"/>
      <c r="CD262" s="19"/>
      <c r="CE262" s="19"/>
      <c r="CF262" s="6"/>
    </row>
    <row r="263" spans="1:84">
      <c r="A263" s="18"/>
      <c r="B263" s="18"/>
      <c r="C263" s="18"/>
      <c r="D263" s="18"/>
      <c r="E263" s="20"/>
      <c r="F263" s="19"/>
      <c r="G263" s="19"/>
      <c r="H263" s="19"/>
      <c r="I263" s="19"/>
      <c r="J263" s="19"/>
      <c r="K263" s="19"/>
      <c r="L263" s="19"/>
      <c r="M263" s="19"/>
      <c r="N263" s="19"/>
      <c r="O263" s="19"/>
      <c r="P263" s="19"/>
      <c r="Q263" s="19"/>
      <c r="R263" s="19"/>
      <c r="S263" s="19"/>
      <c r="T263" s="19"/>
      <c r="U263" s="19"/>
      <c r="V263" s="19"/>
      <c r="W263" s="19"/>
      <c r="X263" s="19"/>
      <c r="Y263" s="19"/>
      <c r="Z263" s="19"/>
      <c r="AA263" s="19"/>
      <c r="AB263" s="19"/>
      <c r="AC263" s="19"/>
      <c r="AD263" s="19"/>
      <c r="AE263" s="19"/>
      <c r="AF263" s="19"/>
      <c r="AG263" s="19"/>
      <c r="AH263" s="19"/>
      <c r="AI263" s="19"/>
      <c r="AJ263" s="19"/>
      <c r="AK263" s="19"/>
      <c r="AL263" s="19"/>
      <c r="AM263" s="19"/>
      <c r="AN263" s="19"/>
      <c r="AO263" s="19"/>
      <c r="AP263" s="19"/>
      <c r="AQ263" s="19"/>
      <c r="AR263" s="19"/>
      <c r="AS263" s="19"/>
      <c r="AT263" s="19"/>
      <c r="AU263" s="19"/>
      <c r="AV263" s="19"/>
      <c r="AW263" s="19"/>
      <c r="AX263" s="19"/>
      <c r="AY263" s="19"/>
      <c r="AZ263" s="19"/>
      <c r="BA263" s="19"/>
      <c r="BB263" s="19"/>
      <c r="BC263" s="19"/>
      <c r="BD263" s="19"/>
      <c r="BE263" s="19"/>
      <c r="BF263" s="19"/>
      <c r="BG263" s="19"/>
      <c r="BH263" s="19"/>
      <c r="BI263" s="19"/>
      <c r="BJ263" s="19"/>
      <c r="BK263" s="19"/>
      <c r="BL263" s="19"/>
      <c r="BM263" s="19"/>
      <c r="BN263" s="19"/>
      <c r="BO263" s="19"/>
      <c r="BP263" s="19"/>
      <c r="BQ263" s="19"/>
      <c r="BR263" s="19"/>
      <c r="BS263" s="19"/>
      <c r="BT263" s="19"/>
      <c r="BU263" s="19"/>
      <c r="BV263" s="19"/>
      <c r="BW263" s="19"/>
      <c r="BX263" s="19"/>
      <c r="BY263" s="19"/>
      <c r="BZ263" s="19"/>
      <c r="CA263" s="19"/>
      <c r="CB263" s="19"/>
      <c r="CC263" s="19"/>
      <c r="CD263" s="19"/>
      <c r="CE263" s="19"/>
      <c r="CF263" s="6"/>
    </row>
    <row r="264" spans="1:84">
      <c r="A264" s="18"/>
      <c r="B264" s="18"/>
      <c r="C264" s="18"/>
      <c r="D264" s="18"/>
      <c r="E264" s="20"/>
      <c r="F264" s="19"/>
      <c r="G264" s="19"/>
      <c r="H264" s="19"/>
      <c r="I264" s="19"/>
      <c r="J264" s="19"/>
      <c r="K264" s="19"/>
      <c r="L264" s="19"/>
      <c r="M264" s="19"/>
      <c r="N264" s="19"/>
      <c r="O264" s="19"/>
      <c r="P264" s="19"/>
      <c r="Q264" s="19"/>
      <c r="R264" s="19"/>
      <c r="S264" s="19"/>
      <c r="T264" s="19"/>
      <c r="U264" s="19"/>
      <c r="V264" s="19"/>
      <c r="W264" s="19"/>
      <c r="X264" s="19"/>
      <c r="Y264" s="19"/>
      <c r="Z264" s="19"/>
      <c r="AA264" s="19"/>
      <c r="AB264" s="19"/>
      <c r="AC264" s="19"/>
      <c r="AD264" s="19"/>
      <c r="AE264" s="19"/>
      <c r="AF264" s="19"/>
      <c r="AG264" s="19"/>
      <c r="AH264" s="19"/>
      <c r="AI264" s="19"/>
      <c r="AJ264" s="19"/>
      <c r="AK264" s="19"/>
      <c r="AL264" s="19"/>
      <c r="AM264" s="19"/>
      <c r="AN264" s="19"/>
      <c r="AO264" s="19"/>
      <c r="AP264" s="19"/>
      <c r="AQ264" s="19"/>
      <c r="AR264" s="19"/>
      <c r="AS264" s="19"/>
      <c r="AT264" s="19"/>
      <c r="AU264" s="19"/>
      <c r="AV264" s="19"/>
      <c r="AW264" s="19"/>
      <c r="AX264" s="19"/>
      <c r="AY264" s="19"/>
      <c r="AZ264" s="19"/>
      <c r="BA264" s="19"/>
      <c r="BB264" s="19"/>
      <c r="BC264" s="19"/>
      <c r="BD264" s="19"/>
      <c r="BE264" s="19"/>
      <c r="BF264" s="19"/>
      <c r="BG264" s="19"/>
      <c r="BH264" s="19"/>
      <c r="BI264" s="19"/>
      <c r="BJ264" s="19"/>
      <c r="BK264" s="19"/>
      <c r="BL264" s="19"/>
      <c r="BM264" s="19"/>
      <c r="BN264" s="19"/>
      <c r="BO264" s="19"/>
      <c r="BP264" s="19"/>
      <c r="BQ264" s="19"/>
      <c r="BR264" s="19"/>
      <c r="BS264" s="19"/>
      <c r="BT264" s="19"/>
      <c r="BU264" s="19"/>
      <c r="BV264" s="19"/>
      <c r="BW264" s="19"/>
      <c r="BX264" s="19"/>
      <c r="BY264" s="19"/>
      <c r="BZ264" s="19"/>
      <c r="CA264" s="19"/>
      <c r="CB264" s="19"/>
      <c r="CC264" s="19"/>
      <c r="CD264" s="19"/>
      <c r="CE264" s="19"/>
      <c r="CF264" s="6"/>
    </row>
    <row r="265" spans="1:84">
      <c r="A265" s="18"/>
      <c r="B265" s="18"/>
      <c r="C265" s="18"/>
      <c r="D265" s="18"/>
      <c r="E265" s="20"/>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19"/>
      <c r="AE265" s="19"/>
      <c r="AF265" s="19"/>
      <c r="AG265" s="19"/>
      <c r="AH265" s="19"/>
      <c r="AI265" s="19"/>
      <c r="AJ265" s="19"/>
      <c r="AK265" s="19"/>
      <c r="AL265" s="19"/>
      <c r="AM265" s="19"/>
      <c r="AN265" s="19"/>
      <c r="AO265" s="19"/>
      <c r="AP265" s="19"/>
      <c r="AQ265" s="19"/>
      <c r="AR265" s="19"/>
      <c r="AS265" s="19"/>
      <c r="AT265" s="19"/>
      <c r="AU265" s="19"/>
      <c r="AV265" s="19"/>
      <c r="AW265" s="19"/>
      <c r="AX265" s="19"/>
      <c r="AY265" s="19"/>
      <c r="AZ265" s="19"/>
      <c r="BA265" s="19"/>
      <c r="BB265" s="19"/>
      <c r="BC265" s="19"/>
      <c r="BD265" s="19"/>
      <c r="BE265" s="19"/>
      <c r="BF265" s="19"/>
      <c r="BG265" s="19"/>
      <c r="BH265" s="19"/>
      <c r="BI265" s="19"/>
      <c r="BJ265" s="19"/>
      <c r="BK265" s="19"/>
      <c r="BL265" s="19"/>
      <c r="BM265" s="19"/>
      <c r="BN265" s="19"/>
      <c r="BO265" s="19"/>
      <c r="BP265" s="19"/>
      <c r="BQ265" s="19"/>
      <c r="BR265" s="19"/>
      <c r="BS265" s="19"/>
      <c r="BT265" s="19"/>
      <c r="BU265" s="19"/>
      <c r="BV265" s="19"/>
      <c r="BW265" s="19"/>
      <c r="BX265" s="19"/>
      <c r="BY265" s="19"/>
      <c r="BZ265" s="19"/>
      <c r="CA265" s="19"/>
      <c r="CB265" s="19"/>
      <c r="CC265" s="19"/>
      <c r="CD265" s="19"/>
      <c r="CE265" s="19"/>
      <c r="CF265" s="6"/>
    </row>
    <row r="266" spans="1:84">
      <c r="A266" s="18"/>
      <c r="B266" s="18"/>
      <c r="C266" s="18"/>
      <c r="D266" s="18"/>
      <c r="E266" s="20"/>
      <c r="F266" s="19"/>
      <c r="G266" s="19"/>
      <c r="H266" s="19"/>
      <c r="I266" s="19"/>
      <c r="J266" s="19"/>
      <c r="K266" s="19"/>
      <c r="L266" s="19"/>
      <c r="M266" s="19"/>
      <c r="N266" s="19"/>
      <c r="O266" s="19"/>
      <c r="P266" s="19"/>
      <c r="Q266" s="19"/>
      <c r="R266" s="19"/>
      <c r="S266" s="19"/>
      <c r="T266" s="19"/>
      <c r="U266" s="19"/>
      <c r="V266" s="19"/>
      <c r="W266" s="19"/>
      <c r="X266" s="19"/>
      <c r="Y266" s="19"/>
      <c r="Z266" s="19"/>
      <c r="AA266" s="19"/>
      <c r="AB266" s="19"/>
      <c r="AC266" s="19"/>
      <c r="AD266" s="19"/>
      <c r="AE266" s="19"/>
      <c r="AF266" s="19"/>
      <c r="AG266" s="19"/>
      <c r="AH266" s="19"/>
      <c r="AI266" s="19"/>
      <c r="AJ266" s="19"/>
      <c r="AK266" s="19"/>
      <c r="AL266" s="19"/>
      <c r="AM266" s="19"/>
      <c r="AN266" s="19"/>
      <c r="AO266" s="19"/>
      <c r="AP266" s="19"/>
      <c r="AQ266" s="19"/>
      <c r="AR266" s="19"/>
      <c r="AS266" s="19"/>
      <c r="AT266" s="19"/>
      <c r="AU266" s="19"/>
      <c r="AV266" s="19"/>
      <c r="AW266" s="19"/>
      <c r="AX266" s="19"/>
      <c r="AY266" s="19"/>
      <c r="AZ266" s="19"/>
      <c r="BA266" s="19"/>
      <c r="BB266" s="19"/>
      <c r="BC266" s="19"/>
      <c r="BD266" s="19"/>
      <c r="BE266" s="19"/>
      <c r="BF266" s="19"/>
      <c r="BG266" s="19"/>
      <c r="BH266" s="19"/>
      <c r="BI266" s="19"/>
      <c r="BJ266" s="19"/>
      <c r="BK266" s="19"/>
      <c r="BL266" s="19"/>
      <c r="BM266" s="19"/>
      <c r="BN266" s="19"/>
      <c r="BO266" s="19"/>
      <c r="BP266" s="19"/>
      <c r="BQ266" s="19"/>
      <c r="BR266" s="19"/>
      <c r="BS266" s="19"/>
      <c r="BT266" s="19"/>
      <c r="BU266" s="19"/>
      <c r="BV266" s="19"/>
      <c r="BW266" s="19"/>
      <c r="BX266" s="19"/>
      <c r="BY266" s="19"/>
      <c r="BZ266" s="19"/>
      <c r="CA266" s="19"/>
      <c r="CB266" s="19"/>
      <c r="CC266" s="19"/>
      <c r="CD266" s="19"/>
      <c r="CE266" s="19"/>
      <c r="CF266" s="6"/>
    </row>
    <row r="267" spans="1:84">
      <c r="A267" s="18"/>
      <c r="B267" s="18"/>
      <c r="C267" s="18"/>
      <c r="D267" s="18"/>
      <c r="E267" s="20"/>
      <c r="F267" s="19"/>
      <c r="G267" s="19"/>
      <c r="H267" s="19"/>
      <c r="I267" s="19"/>
      <c r="J267" s="19"/>
      <c r="K267" s="19"/>
      <c r="L267" s="19"/>
      <c r="M267" s="19"/>
      <c r="N267" s="19"/>
      <c r="O267" s="19"/>
      <c r="P267" s="19"/>
      <c r="Q267" s="19"/>
      <c r="R267" s="19"/>
      <c r="S267" s="19"/>
      <c r="T267" s="19"/>
      <c r="U267" s="19"/>
      <c r="V267" s="19"/>
      <c r="W267" s="19"/>
      <c r="X267" s="19"/>
      <c r="Y267" s="19"/>
      <c r="Z267" s="19"/>
      <c r="AA267" s="19"/>
      <c r="AB267" s="19"/>
      <c r="AC267" s="19"/>
      <c r="AD267" s="19"/>
      <c r="AE267" s="19"/>
      <c r="AF267" s="19"/>
      <c r="AG267" s="19"/>
      <c r="AH267" s="19"/>
      <c r="AI267" s="19"/>
      <c r="AJ267" s="19"/>
      <c r="AK267" s="19"/>
      <c r="AL267" s="19"/>
      <c r="AM267" s="19"/>
      <c r="AN267" s="19"/>
      <c r="AO267" s="19"/>
      <c r="AP267" s="19"/>
      <c r="AQ267" s="19"/>
      <c r="AR267" s="19"/>
      <c r="AS267" s="19"/>
      <c r="AT267" s="19"/>
      <c r="AU267" s="19"/>
      <c r="AV267" s="19"/>
      <c r="AW267" s="19"/>
      <c r="AX267" s="19"/>
      <c r="AY267" s="19"/>
      <c r="AZ267" s="19"/>
      <c r="BA267" s="19"/>
      <c r="BB267" s="19"/>
      <c r="BC267" s="19"/>
      <c r="BD267" s="19"/>
      <c r="BE267" s="19"/>
      <c r="BF267" s="19"/>
      <c r="BG267" s="19"/>
      <c r="BH267" s="19"/>
      <c r="BI267" s="19"/>
      <c r="BJ267" s="19"/>
      <c r="BK267" s="19"/>
      <c r="BL267" s="19"/>
      <c r="BM267" s="19"/>
      <c r="BN267" s="19"/>
      <c r="BO267" s="19"/>
      <c r="BP267" s="19"/>
      <c r="BQ267" s="19"/>
      <c r="BR267" s="19"/>
      <c r="BS267" s="19"/>
      <c r="BT267" s="19"/>
      <c r="BU267" s="19"/>
      <c r="BV267" s="19"/>
      <c r="BW267" s="19"/>
      <c r="BX267" s="19"/>
      <c r="BY267" s="19"/>
      <c r="BZ267" s="19"/>
      <c r="CA267" s="19"/>
      <c r="CB267" s="19"/>
      <c r="CC267" s="19"/>
      <c r="CD267" s="19"/>
      <c r="CE267" s="19"/>
      <c r="CF267" s="6"/>
    </row>
    <row r="268" spans="1:84">
      <c r="A268" s="18"/>
      <c r="B268" s="18"/>
      <c r="C268" s="18"/>
      <c r="D268" s="18"/>
      <c r="E268" s="20"/>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c r="AG268" s="19"/>
      <c r="AH268" s="19"/>
      <c r="AI268" s="19"/>
      <c r="AJ268" s="19"/>
      <c r="AK268" s="19"/>
      <c r="AL268" s="19"/>
      <c r="AM268" s="19"/>
      <c r="AN268" s="19"/>
      <c r="AO268" s="19"/>
      <c r="AP268" s="19"/>
      <c r="AQ268" s="19"/>
      <c r="AR268" s="19"/>
      <c r="AS268" s="19"/>
      <c r="AT268" s="19"/>
      <c r="AU268" s="19"/>
      <c r="AV268" s="19"/>
      <c r="AW268" s="19"/>
      <c r="AX268" s="19"/>
      <c r="AY268" s="19"/>
      <c r="AZ268" s="19"/>
      <c r="BA268" s="19"/>
      <c r="BB268" s="19"/>
      <c r="BC268" s="19"/>
      <c r="BD268" s="19"/>
      <c r="BE268" s="19"/>
      <c r="BF268" s="19"/>
      <c r="BG268" s="19"/>
      <c r="BH268" s="19"/>
      <c r="BI268" s="19"/>
      <c r="BJ268" s="19"/>
      <c r="BK268" s="19"/>
      <c r="BL268" s="19"/>
      <c r="BM268" s="19"/>
      <c r="BN268" s="19"/>
      <c r="BO268" s="19"/>
      <c r="BP268" s="19"/>
      <c r="BQ268" s="19"/>
      <c r="BR268" s="19"/>
      <c r="BS268" s="19"/>
      <c r="BT268" s="19"/>
      <c r="BU268" s="19"/>
      <c r="BV268" s="19"/>
      <c r="BW268" s="19"/>
      <c r="BX268" s="19"/>
      <c r="BY268" s="19"/>
      <c r="BZ268" s="19"/>
      <c r="CA268" s="19"/>
      <c r="CB268" s="19"/>
      <c r="CC268" s="19"/>
      <c r="CD268" s="19"/>
      <c r="CE268" s="19"/>
      <c r="CF268" s="6"/>
    </row>
    <row r="269" spans="1:84">
      <c r="B269" s="17"/>
      <c r="C269" s="21" t="s">
        <v>15</v>
      </c>
      <c r="D269" s="21">
        <f>SUM(D243:D268)</f>
        <v>9.1848344221816952E-3</v>
      </c>
      <c r="E269" s="20"/>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c r="AG269" s="19"/>
      <c r="AH269" s="19"/>
      <c r="AI269" s="19"/>
      <c r="AJ269" s="19"/>
      <c r="AK269" s="19"/>
      <c r="AL269" s="19"/>
      <c r="AM269" s="19"/>
      <c r="AN269" s="19"/>
      <c r="AO269" s="19"/>
      <c r="AP269" s="19"/>
      <c r="AQ269" s="19"/>
      <c r="AR269" s="19"/>
      <c r="AS269" s="19"/>
      <c r="AT269" s="19"/>
      <c r="AU269" s="19"/>
      <c r="AV269" s="19"/>
      <c r="AW269" s="19"/>
      <c r="AX269" s="19"/>
      <c r="AY269" s="19"/>
      <c r="AZ269" s="19"/>
      <c r="BA269" s="19"/>
      <c r="BB269" s="19"/>
      <c r="BC269" s="19"/>
      <c r="BD269" s="19"/>
      <c r="BE269" s="19"/>
      <c r="BF269" s="19"/>
      <c r="BG269" s="19"/>
      <c r="BH269" s="19"/>
      <c r="BI269" s="19"/>
      <c r="BJ269" s="19"/>
      <c r="BK269" s="19"/>
      <c r="BL269" s="19"/>
      <c r="BM269" s="19"/>
      <c r="BN269" s="19"/>
      <c r="BO269" s="19"/>
      <c r="BP269" s="19"/>
      <c r="BQ269" s="19"/>
      <c r="BR269" s="19"/>
      <c r="BS269" s="19"/>
      <c r="BT269" s="19"/>
      <c r="BU269" s="19"/>
      <c r="BV269" s="19"/>
      <c r="BW269" s="19"/>
      <c r="BX269" s="19"/>
      <c r="BY269" s="19"/>
      <c r="BZ269" s="19"/>
      <c r="CA269" s="19"/>
      <c r="CB269" s="19"/>
      <c r="CC269" s="19"/>
      <c r="CD269" s="19"/>
      <c r="CE269" s="19"/>
      <c r="CF269" s="6"/>
    </row>
    <row r="270" spans="1:84">
      <c r="A270" s="17"/>
      <c r="B270" s="17"/>
      <c r="C270" s="17"/>
      <c r="D270" s="19"/>
      <c r="E270" s="20"/>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9"/>
      <c r="AD270" s="19"/>
      <c r="AE270" s="19"/>
      <c r="AF270" s="19"/>
      <c r="AG270" s="19"/>
      <c r="AH270" s="19"/>
      <c r="AI270" s="19"/>
      <c r="AJ270" s="19"/>
      <c r="AK270" s="19"/>
      <c r="AL270" s="19"/>
      <c r="AM270" s="19"/>
      <c r="AN270" s="19"/>
      <c r="AO270" s="19"/>
      <c r="AP270" s="19"/>
      <c r="AQ270" s="19"/>
      <c r="AR270" s="19"/>
      <c r="AS270" s="19"/>
      <c r="AT270" s="19"/>
      <c r="AU270" s="19"/>
      <c r="AV270" s="19"/>
      <c r="AW270" s="19"/>
      <c r="AX270" s="19"/>
      <c r="AY270" s="19"/>
      <c r="AZ270" s="19"/>
      <c r="BA270" s="19"/>
      <c r="BB270" s="19"/>
      <c r="BC270" s="19"/>
      <c r="BD270" s="19"/>
      <c r="BE270" s="19"/>
      <c r="BF270" s="19"/>
      <c r="BG270" s="19"/>
      <c r="BH270" s="19"/>
      <c r="BI270" s="19"/>
      <c r="BJ270" s="19"/>
      <c r="BK270" s="19"/>
      <c r="BL270" s="19"/>
      <c r="BM270" s="19"/>
      <c r="BN270" s="19"/>
      <c r="BO270" s="19"/>
      <c r="BP270" s="19"/>
      <c r="BQ270" s="19"/>
      <c r="BR270" s="19"/>
      <c r="BS270" s="19"/>
      <c r="BT270" s="19"/>
      <c r="BU270" s="19"/>
      <c r="BV270" s="19"/>
      <c r="BW270" s="19"/>
      <c r="BX270" s="19"/>
      <c r="BY270" s="19"/>
      <c r="BZ270" s="19"/>
      <c r="CA270" s="19"/>
      <c r="CB270" s="19"/>
      <c r="CC270" s="19"/>
      <c r="CD270" s="19"/>
      <c r="CE270" s="19"/>
      <c r="CF270" s="6"/>
    </row>
    <row r="271" spans="1:84">
      <c r="A271" s="17"/>
      <c r="B271" s="17"/>
      <c r="C271" s="17"/>
      <c r="D271" s="19"/>
      <c r="E271" s="20"/>
      <c r="F271" s="19"/>
      <c r="G271" s="19"/>
      <c r="H271" s="19"/>
      <c r="I271" s="19"/>
      <c r="J271" s="19"/>
      <c r="K271" s="19"/>
      <c r="L271" s="19"/>
      <c r="M271" s="19"/>
      <c r="N271" s="19"/>
      <c r="O271" s="19"/>
      <c r="P271" s="19"/>
      <c r="Q271" s="19"/>
      <c r="R271" s="19"/>
      <c r="S271" s="19"/>
      <c r="T271" s="19"/>
      <c r="U271" s="19"/>
      <c r="V271" s="19"/>
      <c r="W271" s="19"/>
      <c r="X271" s="19"/>
      <c r="Y271" s="19"/>
      <c r="Z271" s="19"/>
      <c r="AA271" s="19"/>
      <c r="AB271" s="19"/>
      <c r="AC271" s="19"/>
      <c r="AD271" s="19"/>
      <c r="AE271" s="19"/>
      <c r="AF271" s="19"/>
      <c r="AG271" s="19"/>
      <c r="AH271" s="19"/>
      <c r="AI271" s="19"/>
      <c r="AJ271" s="19"/>
      <c r="AK271" s="19"/>
      <c r="AL271" s="19"/>
      <c r="AM271" s="19"/>
      <c r="AN271" s="19"/>
      <c r="AO271" s="19"/>
      <c r="AP271" s="19"/>
      <c r="AQ271" s="19"/>
      <c r="AR271" s="19"/>
      <c r="AS271" s="19"/>
      <c r="AT271" s="19"/>
      <c r="AU271" s="19"/>
      <c r="AV271" s="19"/>
      <c r="AW271" s="19"/>
      <c r="AX271" s="19"/>
      <c r="AY271" s="19"/>
      <c r="AZ271" s="19"/>
      <c r="BA271" s="19"/>
      <c r="BB271" s="19"/>
      <c r="BC271" s="19"/>
      <c r="BD271" s="19"/>
      <c r="BE271" s="19"/>
      <c r="BF271" s="19"/>
      <c r="BG271" s="19"/>
      <c r="BH271" s="19"/>
      <c r="BI271" s="19"/>
      <c r="BJ271" s="19"/>
      <c r="BK271" s="19"/>
      <c r="BL271" s="19"/>
      <c r="BM271" s="19"/>
      <c r="BN271" s="19"/>
      <c r="BO271" s="19"/>
      <c r="BP271" s="19"/>
      <c r="BQ271" s="19"/>
      <c r="BR271" s="19"/>
      <c r="BS271" s="19"/>
      <c r="BT271" s="19"/>
      <c r="BU271" s="19"/>
      <c r="BV271" s="19"/>
      <c r="BW271" s="19"/>
      <c r="BX271" s="19"/>
      <c r="BY271" s="19"/>
      <c r="BZ271" s="19"/>
      <c r="CA271" s="19"/>
      <c r="CB271" s="19"/>
      <c r="CC271" s="19"/>
      <c r="CD271" s="19"/>
      <c r="CE271" s="19"/>
      <c r="CF271" s="6"/>
    </row>
    <row r="272" spans="1:84">
      <c r="A272" s="17"/>
      <c r="B272" s="17"/>
      <c r="C272" s="17"/>
      <c r="D272" s="19"/>
      <c r="E272" s="20"/>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9"/>
      <c r="AD272" s="19"/>
      <c r="AE272" s="19"/>
      <c r="AF272" s="19"/>
      <c r="AG272" s="19"/>
      <c r="AH272" s="19"/>
      <c r="AI272" s="19"/>
      <c r="AJ272" s="19"/>
      <c r="AK272" s="19"/>
      <c r="AL272" s="19"/>
      <c r="AM272" s="19"/>
      <c r="AN272" s="19"/>
      <c r="AO272" s="19"/>
      <c r="AP272" s="19"/>
      <c r="AQ272" s="19"/>
      <c r="AR272" s="19"/>
      <c r="AS272" s="19"/>
      <c r="AT272" s="19"/>
      <c r="AU272" s="19"/>
      <c r="AV272" s="19"/>
      <c r="AW272" s="19"/>
      <c r="AX272" s="19"/>
      <c r="AY272" s="19"/>
      <c r="AZ272" s="19"/>
      <c r="BA272" s="19"/>
      <c r="BB272" s="19"/>
      <c r="BC272" s="19"/>
      <c r="BD272" s="19"/>
      <c r="BE272" s="19"/>
      <c r="BF272" s="19"/>
      <c r="BG272" s="19"/>
      <c r="BH272" s="19"/>
      <c r="BI272" s="19"/>
      <c r="BJ272" s="19"/>
      <c r="BK272" s="19"/>
      <c r="BL272" s="19"/>
      <c r="BM272" s="19"/>
      <c r="BN272" s="19"/>
      <c r="BO272" s="19"/>
      <c r="BP272" s="19"/>
      <c r="BQ272" s="19"/>
      <c r="BR272" s="19"/>
      <c r="BS272" s="19"/>
      <c r="BT272" s="19"/>
      <c r="BU272" s="19"/>
      <c r="BV272" s="19"/>
      <c r="BW272" s="19"/>
      <c r="BX272" s="19"/>
      <c r="BY272" s="19"/>
      <c r="BZ272" s="19"/>
      <c r="CA272" s="19"/>
      <c r="CB272" s="19"/>
      <c r="CC272" s="19"/>
      <c r="CD272" s="19"/>
      <c r="CE272" s="19"/>
      <c r="CF272" s="6"/>
    </row>
    <row r="273" spans="1:84">
      <c r="A273" s="17"/>
      <c r="B273" s="17"/>
      <c r="C273" s="17"/>
      <c r="D273" s="19"/>
      <c r="E273" s="20"/>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9"/>
      <c r="AD273" s="19"/>
      <c r="AE273" s="19"/>
      <c r="AF273" s="19"/>
      <c r="AG273" s="19"/>
      <c r="AH273" s="19"/>
      <c r="AI273" s="19"/>
      <c r="AJ273" s="19"/>
      <c r="AK273" s="19"/>
      <c r="AL273" s="19"/>
      <c r="AM273" s="19"/>
      <c r="AN273" s="19"/>
      <c r="AO273" s="19"/>
      <c r="AP273" s="19"/>
      <c r="AQ273" s="19"/>
      <c r="AR273" s="19"/>
      <c r="AS273" s="19"/>
      <c r="AT273" s="19"/>
      <c r="AU273" s="19"/>
      <c r="AV273" s="19"/>
      <c r="AW273" s="19"/>
      <c r="AX273" s="19"/>
      <c r="AY273" s="19"/>
      <c r="AZ273" s="19"/>
      <c r="BA273" s="19"/>
      <c r="BB273" s="19"/>
      <c r="BC273" s="19"/>
      <c r="BD273" s="19"/>
      <c r="BE273" s="19"/>
      <c r="BF273" s="19"/>
      <c r="BG273" s="19"/>
      <c r="BH273" s="19"/>
      <c r="BI273" s="19"/>
      <c r="BJ273" s="19"/>
      <c r="BK273" s="19"/>
      <c r="BL273" s="19"/>
      <c r="BM273" s="19"/>
      <c r="BN273" s="19"/>
      <c r="BO273" s="19"/>
      <c r="BP273" s="19"/>
      <c r="BQ273" s="19"/>
      <c r="BR273" s="19"/>
      <c r="BS273" s="19"/>
      <c r="BT273" s="19"/>
      <c r="BU273" s="19"/>
      <c r="BV273" s="19"/>
      <c r="BW273" s="19"/>
      <c r="BX273" s="19"/>
      <c r="BY273" s="19"/>
      <c r="BZ273" s="19"/>
      <c r="CA273" s="19"/>
      <c r="CB273" s="19"/>
      <c r="CC273" s="19"/>
      <c r="CD273" s="19"/>
      <c r="CE273" s="19"/>
      <c r="CF273" s="6"/>
    </row>
    <row r="274" spans="1:84">
      <c r="A274" s="17"/>
      <c r="B274" s="17"/>
      <c r="C274" s="17"/>
      <c r="D274" s="19"/>
      <c r="E274" s="20"/>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9"/>
      <c r="AD274" s="19"/>
      <c r="AE274" s="19"/>
      <c r="AF274" s="19"/>
      <c r="AG274" s="19"/>
      <c r="AH274" s="19"/>
      <c r="AI274" s="19"/>
      <c r="AJ274" s="19"/>
      <c r="AK274" s="19"/>
      <c r="AL274" s="19"/>
      <c r="AM274" s="19"/>
      <c r="AN274" s="19"/>
      <c r="AO274" s="19"/>
      <c r="AP274" s="19"/>
      <c r="AQ274" s="19"/>
      <c r="AR274" s="19"/>
      <c r="AS274" s="19"/>
      <c r="AT274" s="19"/>
      <c r="AU274" s="19"/>
      <c r="AV274" s="19"/>
      <c r="AW274" s="19"/>
      <c r="AX274" s="19"/>
      <c r="AY274" s="19"/>
      <c r="AZ274" s="19"/>
      <c r="BA274" s="19"/>
      <c r="BB274" s="19"/>
      <c r="BC274" s="19"/>
      <c r="BD274" s="19"/>
      <c r="BE274" s="19"/>
      <c r="BF274" s="19"/>
      <c r="BG274" s="19"/>
      <c r="BH274" s="19"/>
      <c r="BI274" s="19"/>
      <c r="BJ274" s="19"/>
      <c r="BK274" s="19"/>
      <c r="BL274" s="19"/>
      <c r="BM274" s="19"/>
      <c r="BN274" s="19"/>
      <c r="BO274" s="19"/>
      <c r="BP274" s="19"/>
      <c r="BQ274" s="19"/>
      <c r="BR274" s="19"/>
      <c r="BS274" s="19"/>
      <c r="BT274" s="19"/>
      <c r="BU274" s="19"/>
      <c r="BV274" s="19"/>
      <c r="BW274" s="19"/>
      <c r="BX274" s="19"/>
      <c r="BY274" s="19"/>
      <c r="BZ274" s="19"/>
      <c r="CA274" s="19"/>
      <c r="CB274" s="19"/>
      <c r="CC274" s="19"/>
      <c r="CD274" s="19"/>
      <c r="CE274" s="19"/>
      <c r="CF274" s="6"/>
    </row>
    <row r="275" spans="1:84">
      <c r="A275" s="17"/>
      <c r="B275" s="17"/>
      <c r="C275" s="17"/>
      <c r="D275" s="19"/>
      <c r="E275" s="20"/>
      <c r="F275" s="19"/>
      <c r="G275" s="19"/>
      <c r="H275" s="19"/>
      <c r="I275" s="19"/>
      <c r="J275" s="19"/>
      <c r="K275" s="19"/>
      <c r="L275" s="19"/>
      <c r="M275" s="19"/>
      <c r="N275" s="19"/>
      <c r="O275" s="19"/>
      <c r="P275" s="19"/>
      <c r="Q275" s="19"/>
      <c r="R275" s="19"/>
      <c r="S275" s="19"/>
      <c r="T275" s="19"/>
      <c r="U275" s="19"/>
      <c r="V275" s="19"/>
      <c r="W275" s="19"/>
      <c r="X275" s="19"/>
      <c r="Y275" s="19"/>
      <c r="Z275" s="19"/>
      <c r="AA275" s="19"/>
      <c r="AB275" s="19"/>
      <c r="AC275" s="19"/>
      <c r="AD275" s="19"/>
      <c r="AE275" s="19"/>
      <c r="AF275" s="19"/>
      <c r="AG275" s="19"/>
      <c r="AH275" s="19"/>
      <c r="AI275" s="19"/>
      <c r="AJ275" s="19"/>
      <c r="AK275" s="19"/>
      <c r="AL275" s="19"/>
      <c r="AM275" s="19"/>
      <c r="AN275" s="19"/>
      <c r="AO275" s="19"/>
      <c r="AP275" s="19"/>
      <c r="AQ275" s="19"/>
      <c r="AR275" s="19"/>
      <c r="AS275" s="19"/>
      <c r="AT275" s="19"/>
      <c r="AU275" s="19"/>
      <c r="AV275" s="19"/>
      <c r="AW275" s="19"/>
      <c r="AX275" s="19"/>
      <c r="AY275" s="19"/>
      <c r="AZ275" s="19"/>
      <c r="BA275" s="19"/>
      <c r="BB275" s="19"/>
      <c r="BC275" s="19"/>
      <c r="BD275" s="19"/>
      <c r="BE275" s="19"/>
      <c r="BF275" s="19"/>
      <c r="BG275" s="19"/>
      <c r="BH275" s="19"/>
      <c r="BI275" s="19"/>
      <c r="BJ275" s="19"/>
      <c r="BK275" s="19"/>
      <c r="BL275" s="19"/>
      <c r="BM275" s="19"/>
      <c r="BN275" s="19"/>
      <c r="BO275" s="19"/>
      <c r="BP275" s="19"/>
      <c r="BQ275" s="19"/>
      <c r="BR275" s="19"/>
      <c r="BS275" s="19"/>
      <c r="BT275" s="19"/>
      <c r="BU275" s="19"/>
      <c r="BV275" s="19"/>
      <c r="BW275" s="19"/>
      <c r="BX275" s="19"/>
      <c r="BY275" s="19"/>
      <c r="BZ275" s="19"/>
      <c r="CA275" s="19"/>
      <c r="CB275" s="19"/>
      <c r="CC275" s="19"/>
      <c r="CD275" s="19"/>
      <c r="CE275" s="19"/>
      <c r="CF275" s="6"/>
    </row>
    <row r="276" spans="1:84">
      <c r="A276" s="17"/>
      <c r="B276" s="17"/>
      <c r="C276" s="17"/>
      <c r="D276" s="19"/>
      <c r="E276" s="20"/>
      <c r="F276" s="19"/>
      <c r="G276" s="19"/>
      <c r="H276" s="19"/>
      <c r="I276" s="19"/>
      <c r="J276" s="19"/>
      <c r="K276" s="19"/>
      <c r="L276" s="19"/>
      <c r="M276" s="19"/>
      <c r="N276" s="19"/>
      <c r="O276" s="19"/>
      <c r="P276" s="19"/>
      <c r="Q276" s="19"/>
      <c r="R276" s="19"/>
      <c r="S276" s="19"/>
      <c r="T276" s="19"/>
      <c r="U276" s="19"/>
      <c r="V276" s="19"/>
      <c r="W276" s="19"/>
      <c r="X276" s="19"/>
      <c r="Y276" s="19"/>
      <c r="Z276" s="19"/>
      <c r="AA276" s="19"/>
      <c r="AB276" s="19"/>
      <c r="AC276" s="19"/>
      <c r="AD276" s="19"/>
      <c r="AE276" s="19"/>
      <c r="AF276" s="19"/>
      <c r="AG276" s="19"/>
      <c r="AH276" s="19"/>
      <c r="AI276" s="19"/>
      <c r="AJ276" s="19"/>
      <c r="AK276" s="19"/>
      <c r="AL276" s="19"/>
      <c r="AM276" s="19"/>
      <c r="AN276" s="19"/>
      <c r="AO276" s="19"/>
      <c r="AP276" s="19"/>
      <c r="AQ276" s="19"/>
      <c r="AR276" s="19"/>
      <c r="AS276" s="19"/>
      <c r="AT276" s="19"/>
      <c r="AU276" s="19"/>
      <c r="AV276" s="19"/>
      <c r="AW276" s="19"/>
      <c r="AX276" s="19"/>
      <c r="AY276" s="19"/>
      <c r="AZ276" s="19"/>
      <c r="BA276" s="19"/>
      <c r="BB276" s="19"/>
      <c r="BC276" s="19"/>
      <c r="BD276" s="19"/>
      <c r="BE276" s="19"/>
      <c r="BF276" s="19"/>
      <c r="BG276" s="19"/>
      <c r="BH276" s="19"/>
      <c r="BI276" s="19"/>
      <c r="BJ276" s="19"/>
      <c r="BK276" s="19"/>
      <c r="BL276" s="19"/>
      <c r="BM276" s="19"/>
      <c r="BN276" s="19"/>
      <c r="BO276" s="19"/>
      <c r="BP276" s="19"/>
      <c r="BQ276" s="19"/>
      <c r="BR276" s="19"/>
      <c r="BS276" s="19"/>
      <c r="BT276" s="19"/>
      <c r="BU276" s="19"/>
      <c r="BV276" s="19"/>
      <c r="BW276" s="19"/>
      <c r="BX276" s="19"/>
      <c r="BY276" s="19"/>
      <c r="BZ276" s="19"/>
      <c r="CA276" s="19"/>
      <c r="CB276" s="19"/>
      <c r="CC276" s="19"/>
      <c r="CD276" s="19"/>
      <c r="CE276" s="19"/>
      <c r="CF276" s="6"/>
    </row>
    <row r="277" spans="1:84">
      <c r="A277" s="17"/>
      <c r="B277" s="17"/>
      <c r="C277" s="17"/>
      <c r="D277" s="19"/>
      <c r="E277" s="20"/>
      <c r="F277" s="19"/>
      <c r="G277" s="19"/>
      <c r="H277" s="19"/>
      <c r="I277" s="19"/>
      <c r="J277" s="19"/>
      <c r="K277" s="19"/>
      <c r="L277" s="19"/>
      <c r="M277" s="19"/>
      <c r="N277" s="19"/>
      <c r="O277" s="19"/>
      <c r="P277" s="19"/>
      <c r="Q277" s="19"/>
      <c r="R277" s="19"/>
      <c r="S277" s="19"/>
      <c r="T277" s="19"/>
      <c r="U277" s="19"/>
      <c r="V277" s="19"/>
      <c r="W277" s="19"/>
      <c r="X277" s="19"/>
      <c r="Y277" s="19"/>
      <c r="Z277" s="19"/>
      <c r="AA277" s="19"/>
      <c r="AB277" s="19"/>
      <c r="AC277" s="19"/>
      <c r="AD277" s="19"/>
      <c r="AE277" s="19"/>
      <c r="AF277" s="19"/>
      <c r="AG277" s="19"/>
      <c r="AH277" s="19"/>
      <c r="AI277" s="19"/>
      <c r="AJ277" s="19"/>
      <c r="AK277" s="19"/>
      <c r="AL277" s="19"/>
      <c r="AM277" s="19"/>
      <c r="AN277" s="19"/>
      <c r="AO277" s="19"/>
      <c r="AP277" s="19"/>
      <c r="AQ277" s="19"/>
      <c r="AR277" s="19"/>
      <c r="AS277" s="19"/>
      <c r="AT277" s="19"/>
      <c r="AU277" s="19"/>
      <c r="AV277" s="19"/>
      <c r="AW277" s="19"/>
      <c r="AX277" s="19"/>
      <c r="AY277" s="19"/>
      <c r="AZ277" s="19"/>
      <c r="BA277" s="19"/>
      <c r="BB277" s="19"/>
      <c r="BC277" s="19"/>
      <c r="BD277" s="19"/>
      <c r="BE277" s="19"/>
      <c r="BF277" s="19"/>
      <c r="BG277" s="19"/>
      <c r="BH277" s="19"/>
      <c r="BI277" s="19"/>
      <c r="BJ277" s="19"/>
      <c r="BK277" s="19"/>
      <c r="BL277" s="19"/>
      <c r="BM277" s="19"/>
      <c r="BN277" s="19"/>
      <c r="BO277" s="19"/>
      <c r="BP277" s="19"/>
      <c r="BQ277" s="19"/>
      <c r="BR277" s="19"/>
      <c r="BS277" s="19"/>
      <c r="BT277" s="19"/>
      <c r="BU277" s="19"/>
      <c r="BV277" s="19"/>
      <c r="BW277" s="19"/>
      <c r="BX277" s="19"/>
      <c r="BY277" s="19"/>
      <c r="BZ277" s="19"/>
      <c r="CA277" s="19"/>
      <c r="CB277" s="19"/>
      <c r="CC277" s="19"/>
      <c r="CD277" s="19"/>
      <c r="CE277" s="19"/>
      <c r="CF277" s="6"/>
    </row>
    <row r="278" spans="1:84">
      <c r="A278" s="17"/>
      <c r="B278" s="17"/>
      <c r="C278" s="17"/>
      <c r="D278" s="19"/>
      <c r="E278" s="20"/>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19"/>
      <c r="AE278" s="19"/>
      <c r="AF278" s="19"/>
      <c r="AG278" s="19"/>
      <c r="AH278" s="19"/>
      <c r="AI278" s="19"/>
      <c r="AJ278" s="19"/>
      <c r="AK278" s="19"/>
      <c r="AL278" s="19"/>
      <c r="AM278" s="19"/>
      <c r="AN278" s="19"/>
      <c r="AO278" s="19"/>
      <c r="AP278" s="19"/>
      <c r="AQ278" s="19"/>
      <c r="AR278" s="19"/>
      <c r="AS278" s="19"/>
      <c r="AT278" s="19"/>
      <c r="AU278" s="19"/>
      <c r="AV278" s="19"/>
      <c r="AW278" s="19"/>
      <c r="AX278" s="19"/>
      <c r="AY278" s="19"/>
      <c r="AZ278" s="19"/>
      <c r="BA278" s="19"/>
      <c r="BB278" s="19"/>
      <c r="BC278" s="19"/>
      <c r="BD278" s="19"/>
      <c r="BE278" s="19"/>
      <c r="BF278" s="19"/>
      <c r="BG278" s="19"/>
      <c r="BH278" s="19"/>
      <c r="BI278" s="19"/>
      <c r="BJ278" s="19"/>
      <c r="BK278" s="19"/>
      <c r="BL278" s="19"/>
      <c r="BM278" s="19"/>
      <c r="BN278" s="19"/>
      <c r="BO278" s="19"/>
      <c r="BP278" s="19"/>
      <c r="BQ278" s="19"/>
      <c r="BR278" s="19"/>
      <c r="BS278" s="19"/>
      <c r="BT278" s="19"/>
      <c r="BU278" s="19"/>
      <c r="BV278" s="19"/>
      <c r="BW278" s="19"/>
      <c r="BX278" s="19"/>
      <c r="BY278" s="19"/>
      <c r="BZ278" s="19"/>
      <c r="CA278" s="19"/>
      <c r="CB278" s="19"/>
      <c r="CC278" s="19"/>
      <c r="CD278" s="19"/>
      <c r="CE278" s="19"/>
      <c r="CF278" s="6"/>
    </row>
    <row r="279" spans="1:84">
      <c r="A279" s="17"/>
      <c r="B279" s="17"/>
      <c r="C279" s="17"/>
      <c r="D279" s="19"/>
      <c r="E279" s="20"/>
      <c r="F279" s="19"/>
      <c r="G279" s="19"/>
      <c r="H279" s="19"/>
      <c r="I279" s="19"/>
      <c r="J279" s="19"/>
      <c r="K279" s="19"/>
      <c r="L279" s="19"/>
      <c r="M279" s="19"/>
      <c r="N279" s="19"/>
      <c r="O279" s="19"/>
      <c r="P279" s="19"/>
      <c r="Q279" s="19"/>
      <c r="R279" s="19"/>
      <c r="S279" s="19"/>
      <c r="T279" s="19"/>
      <c r="U279" s="19"/>
      <c r="V279" s="19"/>
      <c r="W279" s="19"/>
      <c r="X279" s="19"/>
      <c r="Y279" s="19"/>
      <c r="Z279" s="19"/>
      <c r="AA279" s="19"/>
      <c r="AB279" s="19"/>
      <c r="AC279" s="19"/>
      <c r="AD279" s="19"/>
      <c r="AE279" s="19"/>
      <c r="AF279" s="19"/>
      <c r="AG279" s="19"/>
      <c r="AH279" s="19"/>
      <c r="AI279" s="19"/>
      <c r="AJ279" s="19"/>
      <c r="AK279" s="19"/>
      <c r="AL279" s="19"/>
      <c r="AM279" s="19"/>
      <c r="AN279" s="19"/>
      <c r="AO279" s="19"/>
      <c r="AP279" s="19"/>
      <c r="AQ279" s="19"/>
      <c r="AR279" s="19"/>
      <c r="AS279" s="19"/>
      <c r="AT279" s="19"/>
      <c r="AU279" s="19"/>
      <c r="AV279" s="19"/>
      <c r="AW279" s="19"/>
      <c r="AX279" s="19"/>
      <c r="AY279" s="19"/>
      <c r="AZ279" s="19"/>
      <c r="BA279" s="19"/>
      <c r="BB279" s="19"/>
      <c r="BC279" s="19"/>
      <c r="BD279" s="19"/>
      <c r="BE279" s="19"/>
      <c r="BF279" s="19"/>
      <c r="BG279" s="19"/>
      <c r="BH279" s="19"/>
      <c r="BI279" s="19"/>
      <c r="BJ279" s="19"/>
      <c r="BK279" s="19"/>
      <c r="BL279" s="19"/>
      <c r="BM279" s="19"/>
      <c r="BN279" s="19"/>
      <c r="BO279" s="19"/>
      <c r="BP279" s="19"/>
      <c r="BQ279" s="19"/>
      <c r="BR279" s="19"/>
      <c r="BS279" s="19"/>
      <c r="BT279" s="19"/>
      <c r="BU279" s="19"/>
      <c r="BV279" s="19"/>
      <c r="BW279" s="19"/>
      <c r="BX279" s="19"/>
      <c r="BY279" s="19"/>
      <c r="BZ279" s="19"/>
      <c r="CA279" s="19"/>
      <c r="CB279" s="19"/>
      <c r="CC279" s="19"/>
      <c r="CD279" s="19"/>
      <c r="CE279" s="19"/>
      <c r="CF279" s="6"/>
    </row>
    <row r="280" spans="1:84">
      <c r="A280" s="17"/>
      <c r="B280" s="17"/>
      <c r="C280" s="17"/>
      <c r="D280" s="19"/>
      <c r="E280" s="20"/>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9"/>
      <c r="AE280" s="19"/>
      <c r="AF280" s="19"/>
      <c r="AG280" s="19"/>
      <c r="AH280" s="19"/>
      <c r="AI280" s="19"/>
      <c r="AJ280" s="19"/>
      <c r="AK280" s="19"/>
      <c r="AL280" s="19"/>
      <c r="AM280" s="19"/>
      <c r="AN280" s="19"/>
      <c r="AO280" s="19"/>
      <c r="AP280" s="19"/>
      <c r="AQ280" s="19"/>
      <c r="AR280" s="19"/>
      <c r="AS280" s="19"/>
      <c r="AT280" s="19"/>
      <c r="AU280" s="19"/>
      <c r="AV280" s="19"/>
      <c r="AW280" s="19"/>
      <c r="AX280" s="19"/>
      <c r="AY280" s="19"/>
      <c r="AZ280" s="19"/>
      <c r="BA280" s="19"/>
      <c r="BB280" s="19"/>
      <c r="BC280" s="19"/>
      <c r="BD280" s="19"/>
      <c r="BE280" s="19"/>
      <c r="BF280" s="19"/>
      <c r="BG280" s="19"/>
      <c r="BH280" s="19"/>
      <c r="BI280" s="19"/>
      <c r="BJ280" s="19"/>
      <c r="BK280" s="19"/>
      <c r="BL280" s="19"/>
      <c r="BM280" s="19"/>
      <c r="BN280" s="19"/>
      <c r="BO280" s="19"/>
      <c r="BP280" s="19"/>
      <c r="BQ280" s="19"/>
      <c r="BR280" s="19"/>
      <c r="BS280" s="19"/>
      <c r="BT280" s="19"/>
      <c r="BU280" s="19"/>
      <c r="BV280" s="19"/>
      <c r="BW280" s="19"/>
      <c r="BX280" s="19"/>
      <c r="BY280" s="19"/>
      <c r="BZ280" s="19"/>
      <c r="CA280" s="19"/>
      <c r="CB280" s="19"/>
      <c r="CC280" s="19"/>
      <c r="CD280" s="19"/>
      <c r="CE280" s="19"/>
      <c r="CF280" s="6"/>
    </row>
    <row r="281" spans="1:84">
      <c r="A281" s="17"/>
      <c r="B281" s="17"/>
      <c r="C281" s="17"/>
      <c r="D281" s="19"/>
      <c r="E281" s="20"/>
      <c r="F281" s="19"/>
      <c r="G281" s="19"/>
      <c r="H281" s="19"/>
      <c r="I281" s="19"/>
      <c r="J281" s="19"/>
      <c r="K281" s="19"/>
      <c r="L281" s="19"/>
      <c r="M281" s="19"/>
      <c r="N281" s="19"/>
      <c r="O281" s="19"/>
      <c r="P281" s="19"/>
      <c r="Q281" s="19"/>
      <c r="R281" s="19"/>
      <c r="S281" s="19"/>
      <c r="T281" s="19"/>
      <c r="U281" s="19"/>
      <c r="V281" s="19"/>
      <c r="W281" s="19"/>
      <c r="X281" s="19"/>
      <c r="Y281" s="19"/>
      <c r="Z281" s="19"/>
      <c r="AA281" s="19"/>
      <c r="AB281" s="19"/>
      <c r="AC281" s="19"/>
      <c r="AD281" s="19"/>
      <c r="AE281" s="19"/>
      <c r="AF281" s="19"/>
      <c r="AG281" s="19"/>
      <c r="AH281" s="19"/>
      <c r="AI281" s="19"/>
      <c r="AJ281" s="19"/>
      <c r="AK281" s="19"/>
      <c r="AL281" s="19"/>
      <c r="AM281" s="19"/>
      <c r="AN281" s="19"/>
      <c r="AO281" s="19"/>
      <c r="AP281" s="19"/>
      <c r="AQ281" s="19"/>
      <c r="AR281" s="19"/>
      <c r="AS281" s="19"/>
      <c r="AT281" s="19"/>
      <c r="AU281" s="19"/>
      <c r="AV281" s="19"/>
      <c r="AW281" s="19"/>
      <c r="AX281" s="19"/>
      <c r="AY281" s="19"/>
      <c r="AZ281" s="19"/>
      <c r="BA281" s="19"/>
      <c r="BB281" s="19"/>
      <c r="BC281" s="19"/>
      <c r="BD281" s="19"/>
      <c r="BE281" s="19"/>
      <c r="BF281" s="19"/>
      <c r="BG281" s="19"/>
      <c r="BH281" s="19"/>
      <c r="BI281" s="19"/>
      <c r="BJ281" s="19"/>
      <c r="BK281" s="19"/>
      <c r="BL281" s="19"/>
      <c r="BM281" s="19"/>
      <c r="BN281" s="19"/>
      <c r="BO281" s="19"/>
      <c r="BP281" s="19"/>
      <c r="BQ281" s="19"/>
      <c r="BR281" s="19"/>
      <c r="BS281" s="19"/>
      <c r="BT281" s="19"/>
      <c r="BU281" s="19"/>
      <c r="BV281" s="19"/>
      <c r="BW281" s="19"/>
      <c r="BX281" s="19"/>
      <c r="BY281" s="19"/>
      <c r="BZ281" s="19"/>
      <c r="CA281" s="19"/>
      <c r="CB281" s="19"/>
      <c r="CC281" s="19"/>
      <c r="CD281" s="19"/>
      <c r="CE281" s="19"/>
      <c r="CF281" s="6"/>
    </row>
    <row r="282" spans="1:84">
      <c r="A282" s="17"/>
      <c r="B282" s="17"/>
      <c r="C282" s="17"/>
      <c r="D282" s="19"/>
      <c r="E282" s="20"/>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9"/>
      <c r="AE282" s="19"/>
      <c r="AF282" s="19"/>
      <c r="AG282" s="19"/>
      <c r="AH282" s="19"/>
      <c r="AI282" s="19"/>
      <c r="AJ282" s="19"/>
      <c r="AK282" s="19"/>
      <c r="AL282" s="19"/>
      <c r="AM282" s="19"/>
      <c r="AN282" s="19"/>
      <c r="AO282" s="19"/>
      <c r="AP282" s="19"/>
      <c r="AQ282" s="19"/>
      <c r="AR282" s="19"/>
      <c r="AS282" s="19"/>
      <c r="AT282" s="19"/>
      <c r="AU282" s="19"/>
      <c r="AV282" s="19"/>
      <c r="AW282" s="19"/>
      <c r="AX282" s="19"/>
      <c r="AY282" s="19"/>
      <c r="AZ282" s="19"/>
      <c r="BA282" s="19"/>
      <c r="BB282" s="19"/>
      <c r="BC282" s="19"/>
      <c r="BD282" s="19"/>
      <c r="BE282" s="19"/>
      <c r="BF282" s="19"/>
      <c r="BG282" s="19"/>
      <c r="BH282" s="19"/>
      <c r="BI282" s="19"/>
      <c r="BJ282" s="19"/>
      <c r="BK282" s="19"/>
      <c r="BL282" s="19"/>
      <c r="BM282" s="19"/>
      <c r="BN282" s="19"/>
      <c r="BO282" s="19"/>
      <c r="BP282" s="19"/>
      <c r="BQ282" s="19"/>
      <c r="BR282" s="19"/>
      <c r="BS282" s="19"/>
      <c r="BT282" s="19"/>
      <c r="BU282" s="19"/>
      <c r="BV282" s="19"/>
      <c r="BW282" s="19"/>
      <c r="BX282" s="19"/>
      <c r="BY282" s="19"/>
      <c r="BZ282" s="19"/>
      <c r="CA282" s="19"/>
      <c r="CB282" s="19"/>
      <c r="CC282" s="19"/>
      <c r="CD282" s="19"/>
      <c r="CE282" s="19"/>
      <c r="CF282" s="6"/>
    </row>
    <row r="283" spans="1:84">
      <c r="A283" s="17"/>
      <c r="B283" s="17"/>
      <c r="C283" s="17"/>
      <c r="D283" s="19"/>
      <c r="E283" s="20"/>
      <c r="F283" s="19"/>
      <c r="G283" s="19"/>
      <c r="H283" s="19"/>
      <c r="I283" s="19"/>
      <c r="J283" s="19"/>
      <c r="K283" s="19"/>
      <c r="L283" s="19"/>
      <c r="M283" s="19"/>
      <c r="N283" s="19"/>
      <c r="O283" s="19"/>
      <c r="P283" s="19"/>
      <c r="Q283" s="19"/>
      <c r="R283" s="19"/>
      <c r="S283" s="19"/>
      <c r="T283" s="19"/>
      <c r="U283" s="19"/>
      <c r="V283" s="19"/>
      <c r="W283" s="19"/>
      <c r="X283" s="19"/>
      <c r="Y283" s="19"/>
      <c r="Z283" s="19"/>
      <c r="AA283" s="19"/>
      <c r="AB283" s="19"/>
      <c r="AC283" s="19"/>
      <c r="AD283" s="19"/>
      <c r="AE283" s="19"/>
      <c r="AF283" s="19"/>
      <c r="AG283" s="19"/>
      <c r="AH283" s="19"/>
      <c r="AI283" s="19"/>
      <c r="AJ283" s="19"/>
      <c r="AK283" s="19"/>
      <c r="AL283" s="19"/>
      <c r="AM283" s="19"/>
      <c r="AN283" s="19"/>
      <c r="AO283" s="19"/>
      <c r="AP283" s="19"/>
      <c r="AQ283" s="19"/>
      <c r="AR283" s="19"/>
      <c r="AS283" s="19"/>
      <c r="AT283" s="19"/>
      <c r="AU283" s="19"/>
      <c r="AV283" s="19"/>
      <c r="AW283" s="19"/>
      <c r="AX283" s="19"/>
      <c r="AY283" s="19"/>
      <c r="AZ283" s="19"/>
      <c r="BA283" s="19"/>
      <c r="BB283" s="19"/>
      <c r="BC283" s="19"/>
      <c r="BD283" s="19"/>
      <c r="BE283" s="19"/>
      <c r="BF283" s="19"/>
      <c r="BG283" s="19"/>
      <c r="BH283" s="19"/>
      <c r="BI283" s="19"/>
      <c r="BJ283" s="19"/>
      <c r="BK283" s="19"/>
      <c r="BL283" s="19"/>
      <c r="BM283" s="19"/>
      <c r="BN283" s="19"/>
      <c r="BO283" s="19"/>
      <c r="BP283" s="19"/>
      <c r="BQ283" s="19"/>
      <c r="BR283" s="19"/>
      <c r="BS283" s="19"/>
      <c r="BT283" s="19"/>
      <c r="BU283" s="19"/>
      <c r="BV283" s="19"/>
      <c r="BW283" s="19"/>
      <c r="BX283" s="19"/>
      <c r="BY283" s="19"/>
      <c r="BZ283" s="19"/>
      <c r="CA283" s="19"/>
      <c r="CB283" s="19"/>
      <c r="CC283" s="19"/>
      <c r="CD283" s="19"/>
      <c r="CE283" s="19"/>
      <c r="CF283" s="6"/>
    </row>
    <row r="284" spans="1:84">
      <c r="A284" s="17"/>
      <c r="B284" s="17"/>
      <c r="C284" s="17"/>
      <c r="D284" s="19"/>
      <c r="E284" s="20"/>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9"/>
      <c r="AD284" s="19"/>
      <c r="AE284" s="19"/>
      <c r="AF284" s="19"/>
      <c r="AG284" s="19"/>
      <c r="AH284" s="19"/>
      <c r="AI284" s="19"/>
      <c r="AJ284" s="19"/>
      <c r="AK284" s="19"/>
      <c r="AL284" s="19"/>
      <c r="AM284" s="19"/>
      <c r="AN284" s="19"/>
      <c r="AO284" s="19"/>
      <c r="AP284" s="19"/>
      <c r="AQ284" s="19"/>
      <c r="AR284" s="19"/>
      <c r="AS284" s="19"/>
      <c r="AT284" s="19"/>
      <c r="AU284" s="19"/>
      <c r="AV284" s="19"/>
      <c r="AW284" s="19"/>
      <c r="AX284" s="19"/>
      <c r="AY284" s="19"/>
      <c r="AZ284" s="19"/>
      <c r="BA284" s="19"/>
      <c r="BB284" s="19"/>
      <c r="BC284" s="19"/>
      <c r="BD284" s="19"/>
      <c r="BE284" s="19"/>
      <c r="BF284" s="19"/>
      <c r="BG284" s="19"/>
      <c r="BH284" s="19"/>
      <c r="BI284" s="19"/>
      <c r="BJ284" s="19"/>
      <c r="BK284" s="19"/>
      <c r="BL284" s="19"/>
      <c r="BM284" s="19"/>
      <c r="BN284" s="19"/>
      <c r="BO284" s="19"/>
      <c r="BP284" s="19"/>
      <c r="BQ284" s="19"/>
      <c r="BR284" s="19"/>
      <c r="BS284" s="19"/>
      <c r="BT284" s="19"/>
      <c r="BU284" s="19"/>
      <c r="BV284" s="19"/>
      <c r="BW284" s="19"/>
      <c r="BX284" s="19"/>
      <c r="BY284" s="19"/>
      <c r="BZ284" s="19"/>
      <c r="CA284" s="19"/>
      <c r="CB284" s="19"/>
      <c r="CC284" s="19"/>
      <c r="CD284" s="19"/>
      <c r="CE284" s="19"/>
      <c r="CF284" s="6"/>
    </row>
    <row r="285" spans="1:84">
      <c r="A285" s="17"/>
      <c r="B285" s="17"/>
      <c r="C285" s="17"/>
      <c r="D285" s="19"/>
      <c r="E285" s="19"/>
      <c r="F285" s="19"/>
      <c r="G285" s="19"/>
      <c r="H285" s="19"/>
      <c r="I285" s="19"/>
      <c r="J285" s="19"/>
      <c r="K285" s="19"/>
      <c r="L285" s="19"/>
      <c r="M285" s="19"/>
      <c r="N285" s="19"/>
      <c r="O285" s="19"/>
      <c r="P285" s="19"/>
      <c r="Q285" s="19"/>
      <c r="R285" s="19"/>
      <c r="S285" s="19"/>
      <c r="T285" s="19"/>
      <c r="U285" s="19"/>
      <c r="V285" s="19"/>
      <c r="W285" s="19"/>
      <c r="X285" s="19"/>
      <c r="Y285" s="19"/>
      <c r="Z285" s="19"/>
      <c r="AA285" s="19"/>
      <c r="AB285" s="19"/>
      <c r="AC285" s="19"/>
      <c r="AD285" s="19"/>
      <c r="AE285" s="19"/>
      <c r="AF285" s="19"/>
      <c r="AG285" s="19"/>
      <c r="AH285" s="19"/>
      <c r="AI285" s="19"/>
      <c r="AJ285" s="19"/>
      <c r="AK285" s="19"/>
      <c r="AL285" s="19"/>
      <c r="AM285" s="19"/>
      <c r="AN285" s="19"/>
      <c r="AO285" s="19"/>
      <c r="AP285" s="19"/>
      <c r="AQ285" s="19"/>
      <c r="AR285" s="19"/>
      <c r="AS285" s="19"/>
      <c r="AT285" s="19"/>
      <c r="AU285" s="19"/>
      <c r="AV285" s="19"/>
      <c r="AW285" s="19"/>
      <c r="AX285" s="19"/>
      <c r="AY285" s="19"/>
      <c r="AZ285" s="19"/>
      <c r="BA285" s="19"/>
      <c r="BB285" s="19"/>
      <c r="BC285" s="19"/>
      <c r="BD285" s="19"/>
      <c r="BE285" s="19"/>
      <c r="BF285" s="19"/>
      <c r="BG285" s="19"/>
      <c r="BH285" s="19"/>
      <c r="BI285" s="19"/>
      <c r="BJ285" s="19"/>
      <c r="BK285" s="19"/>
      <c r="BL285" s="19"/>
      <c r="BM285" s="19"/>
      <c r="BN285" s="19"/>
      <c r="BO285" s="19"/>
      <c r="BP285" s="19"/>
      <c r="BQ285" s="19"/>
      <c r="BR285" s="19"/>
      <c r="BS285" s="19"/>
      <c r="BT285" s="19"/>
      <c r="BU285" s="19"/>
      <c r="BV285" s="19"/>
      <c r="BW285" s="19"/>
      <c r="BX285" s="19"/>
      <c r="BY285" s="19"/>
      <c r="BZ285" s="19"/>
      <c r="CA285" s="19"/>
      <c r="CB285" s="19"/>
      <c r="CC285" s="19"/>
      <c r="CD285" s="19"/>
      <c r="CE285" s="19"/>
      <c r="CF285" s="6"/>
    </row>
    <row r="286" spans="1:84">
      <c r="A286" s="17"/>
      <c r="B286" s="17"/>
      <c r="C286" s="17"/>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9"/>
      <c r="AD286" s="19"/>
      <c r="AE286" s="19"/>
      <c r="AF286" s="19"/>
      <c r="AG286" s="19"/>
      <c r="AH286" s="19"/>
      <c r="AI286" s="19"/>
      <c r="AJ286" s="19"/>
      <c r="AK286" s="19"/>
      <c r="AL286" s="19"/>
      <c r="AM286" s="19"/>
      <c r="AN286" s="19"/>
      <c r="AO286" s="19"/>
      <c r="AP286" s="19"/>
      <c r="AQ286" s="19"/>
      <c r="AR286" s="19"/>
      <c r="AS286" s="19"/>
      <c r="AT286" s="19"/>
      <c r="AU286" s="19"/>
      <c r="AV286" s="19"/>
      <c r="AW286" s="19"/>
      <c r="AX286" s="19"/>
      <c r="AY286" s="19"/>
      <c r="AZ286" s="19"/>
      <c r="BA286" s="19"/>
      <c r="BB286" s="19"/>
      <c r="BC286" s="19"/>
      <c r="BD286" s="19"/>
      <c r="BE286" s="19"/>
      <c r="BF286" s="19"/>
      <c r="BG286" s="19"/>
      <c r="BH286" s="19"/>
      <c r="BI286" s="19"/>
      <c r="BJ286" s="19"/>
      <c r="BK286" s="19"/>
      <c r="BL286" s="19"/>
      <c r="BM286" s="19"/>
      <c r="BN286" s="19"/>
      <c r="BO286" s="19"/>
      <c r="BP286" s="19"/>
      <c r="BQ286" s="19"/>
      <c r="BR286" s="19"/>
      <c r="BS286" s="19"/>
      <c r="BT286" s="19"/>
      <c r="BU286" s="19"/>
      <c r="BV286" s="19"/>
      <c r="BW286" s="19"/>
      <c r="BX286" s="19"/>
      <c r="BY286" s="19"/>
      <c r="BZ286" s="19"/>
      <c r="CA286" s="19"/>
      <c r="CB286" s="19"/>
      <c r="CC286" s="19"/>
      <c r="CD286" s="19"/>
      <c r="CE286" s="19"/>
      <c r="CF286" s="6"/>
    </row>
    <row r="287" spans="1:84">
      <c r="A287" s="17"/>
      <c r="B287" s="17"/>
      <c r="C287" s="17"/>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19"/>
      <c r="AG287" s="19"/>
      <c r="AH287" s="19"/>
      <c r="AI287" s="19"/>
      <c r="AJ287" s="19"/>
      <c r="AK287" s="19"/>
      <c r="AL287" s="19"/>
      <c r="AM287" s="19"/>
      <c r="AN287" s="19"/>
      <c r="AO287" s="19"/>
      <c r="AP287" s="19"/>
      <c r="AQ287" s="19"/>
      <c r="AR287" s="19"/>
      <c r="AS287" s="19"/>
      <c r="AT287" s="19"/>
      <c r="AU287" s="19"/>
      <c r="AV287" s="19"/>
      <c r="AW287" s="19"/>
      <c r="AX287" s="19"/>
      <c r="AY287" s="19"/>
      <c r="AZ287" s="19"/>
      <c r="BA287" s="19"/>
      <c r="BB287" s="19"/>
      <c r="BC287" s="19"/>
      <c r="BD287" s="19"/>
      <c r="BE287" s="19"/>
      <c r="BF287" s="19"/>
      <c r="BG287" s="19"/>
      <c r="BH287" s="19"/>
      <c r="BI287" s="19"/>
      <c r="BJ287" s="19"/>
      <c r="BK287" s="19"/>
      <c r="BL287" s="19"/>
      <c r="BM287" s="19"/>
      <c r="BN287" s="19"/>
      <c r="BO287" s="19"/>
      <c r="BP287" s="19"/>
      <c r="BQ287" s="19"/>
      <c r="BR287" s="19"/>
      <c r="BS287" s="19"/>
      <c r="BT287" s="19"/>
      <c r="BU287" s="19"/>
      <c r="BV287" s="19"/>
      <c r="BW287" s="19"/>
      <c r="BX287" s="19"/>
      <c r="BY287" s="19"/>
      <c r="BZ287" s="19"/>
      <c r="CA287" s="19"/>
      <c r="CB287" s="19"/>
      <c r="CC287" s="19"/>
      <c r="CD287" s="19"/>
      <c r="CE287" s="19"/>
      <c r="CF287" s="6"/>
    </row>
    <row r="288" spans="1:84">
      <c r="A288" s="17"/>
      <c r="B288" s="17"/>
      <c r="C288" s="17"/>
      <c r="D288" s="19"/>
      <c r="E288" s="19"/>
      <c r="F288" s="19"/>
      <c r="G288" s="19"/>
      <c r="H288" s="19"/>
      <c r="I288" s="19"/>
      <c r="J288" s="19"/>
      <c r="K288" s="19"/>
      <c r="L288" s="19"/>
      <c r="M288" s="19"/>
      <c r="N288" s="19"/>
      <c r="O288" s="19"/>
      <c r="P288" s="19"/>
      <c r="Q288" s="19"/>
      <c r="R288" s="19"/>
      <c r="S288" s="19"/>
      <c r="T288" s="19"/>
      <c r="U288" s="19"/>
      <c r="V288" s="19"/>
      <c r="W288" s="19"/>
      <c r="X288" s="19"/>
      <c r="Y288" s="19"/>
      <c r="Z288" s="19"/>
      <c r="AA288" s="19"/>
      <c r="AB288" s="19"/>
      <c r="AC288" s="19"/>
      <c r="AD288" s="19"/>
      <c r="AE288" s="19"/>
      <c r="AF288" s="19"/>
      <c r="AG288" s="19"/>
      <c r="AH288" s="19"/>
      <c r="AI288" s="19"/>
      <c r="AJ288" s="19"/>
      <c r="AK288" s="19"/>
      <c r="AL288" s="19"/>
      <c r="AM288" s="19"/>
      <c r="AN288" s="19"/>
      <c r="AO288" s="19"/>
      <c r="AP288" s="19"/>
      <c r="AQ288" s="19"/>
      <c r="AR288" s="19"/>
      <c r="AS288" s="19"/>
      <c r="AT288" s="19"/>
      <c r="AU288" s="19"/>
      <c r="AV288" s="19"/>
      <c r="AW288" s="19"/>
      <c r="AX288" s="19"/>
      <c r="AY288" s="19"/>
      <c r="AZ288" s="19"/>
      <c r="BA288" s="19"/>
      <c r="BB288" s="19"/>
      <c r="BC288" s="19"/>
      <c r="BD288" s="19"/>
      <c r="BE288" s="19"/>
      <c r="BF288" s="19"/>
      <c r="BG288" s="19"/>
      <c r="BH288" s="19"/>
      <c r="BI288" s="19"/>
      <c r="BJ288" s="19"/>
      <c r="BK288" s="19"/>
      <c r="BL288" s="19"/>
      <c r="BM288" s="19"/>
      <c r="BN288" s="19"/>
      <c r="BO288" s="19"/>
      <c r="BP288" s="19"/>
      <c r="BQ288" s="19"/>
      <c r="BR288" s="19"/>
      <c r="BS288" s="19"/>
      <c r="BT288" s="19"/>
      <c r="BU288" s="19"/>
      <c r="BV288" s="19"/>
      <c r="BW288" s="19"/>
      <c r="BX288" s="19"/>
      <c r="BY288" s="19"/>
      <c r="BZ288" s="19"/>
      <c r="CA288" s="19"/>
      <c r="CB288" s="19"/>
      <c r="CC288" s="19"/>
      <c r="CD288" s="19"/>
      <c r="CE288" s="19"/>
      <c r="CF288" s="6"/>
    </row>
    <row r="289" spans="1:84">
      <c r="A289" s="17"/>
      <c r="B289" s="17"/>
      <c r="C289" s="17"/>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19"/>
      <c r="AE289" s="19"/>
      <c r="AF289" s="19"/>
      <c r="AG289" s="19"/>
      <c r="AH289" s="19"/>
      <c r="AI289" s="19"/>
      <c r="AJ289" s="19"/>
      <c r="AK289" s="19"/>
      <c r="AL289" s="19"/>
      <c r="AM289" s="19"/>
      <c r="AN289" s="19"/>
      <c r="AO289" s="19"/>
      <c r="AP289" s="19"/>
      <c r="AQ289" s="19"/>
      <c r="AR289" s="19"/>
      <c r="AS289" s="19"/>
      <c r="AT289" s="19"/>
      <c r="AU289" s="19"/>
      <c r="AV289" s="19"/>
      <c r="AW289" s="19"/>
      <c r="AX289" s="19"/>
      <c r="AY289" s="19"/>
      <c r="AZ289" s="19"/>
      <c r="BA289" s="19"/>
      <c r="BB289" s="19"/>
      <c r="BC289" s="19"/>
      <c r="BD289" s="19"/>
      <c r="BE289" s="19"/>
      <c r="BF289" s="19"/>
      <c r="BG289" s="19"/>
      <c r="BH289" s="19"/>
      <c r="BI289" s="19"/>
      <c r="BJ289" s="19"/>
      <c r="BK289" s="19"/>
      <c r="BL289" s="19"/>
      <c r="BM289" s="19"/>
      <c r="BN289" s="19"/>
      <c r="BO289" s="19"/>
      <c r="BP289" s="19"/>
      <c r="BQ289" s="19"/>
      <c r="BR289" s="19"/>
      <c r="BS289" s="19"/>
      <c r="BT289" s="19"/>
      <c r="BU289" s="19"/>
      <c r="BV289" s="19"/>
      <c r="BW289" s="19"/>
      <c r="BX289" s="19"/>
      <c r="BY289" s="19"/>
      <c r="BZ289" s="19"/>
      <c r="CA289" s="19"/>
      <c r="CB289" s="19"/>
      <c r="CC289" s="19"/>
      <c r="CD289" s="19"/>
      <c r="CE289" s="19"/>
      <c r="CF289" s="6"/>
    </row>
    <row r="290" spans="1:84">
      <c r="A290" s="17"/>
      <c r="B290" s="17"/>
      <c r="C290" s="17"/>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19"/>
      <c r="AE290" s="19"/>
      <c r="AF290" s="19"/>
      <c r="AG290" s="19"/>
      <c r="AH290" s="19"/>
      <c r="AI290" s="19"/>
      <c r="AJ290" s="19"/>
      <c r="AK290" s="19"/>
      <c r="AL290" s="19"/>
      <c r="AM290" s="19"/>
      <c r="AN290" s="19"/>
      <c r="AO290" s="19"/>
      <c r="AP290" s="19"/>
      <c r="AQ290" s="19"/>
      <c r="AR290" s="19"/>
      <c r="AS290" s="19"/>
      <c r="AT290" s="19"/>
      <c r="AU290" s="19"/>
      <c r="AV290" s="19"/>
      <c r="AW290" s="19"/>
      <c r="AX290" s="19"/>
      <c r="AY290" s="19"/>
      <c r="AZ290" s="19"/>
      <c r="BA290" s="19"/>
      <c r="BB290" s="19"/>
      <c r="BC290" s="19"/>
      <c r="BD290" s="19"/>
      <c r="BE290" s="19"/>
      <c r="BF290" s="19"/>
      <c r="BG290" s="19"/>
      <c r="BH290" s="19"/>
      <c r="BI290" s="19"/>
      <c r="BJ290" s="19"/>
      <c r="BK290" s="19"/>
      <c r="BL290" s="19"/>
      <c r="BM290" s="19"/>
      <c r="BN290" s="19"/>
      <c r="BO290" s="19"/>
      <c r="BP290" s="19"/>
      <c r="BQ290" s="19"/>
      <c r="BR290" s="19"/>
      <c r="BS290" s="19"/>
      <c r="BT290" s="19"/>
      <c r="BU290" s="19"/>
      <c r="BV290" s="19"/>
      <c r="BW290" s="19"/>
      <c r="BX290" s="19"/>
      <c r="BY290" s="19"/>
      <c r="BZ290" s="19"/>
      <c r="CA290" s="19"/>
      <c r="CB290" s="19"/>
      <c r="CC290" s="19"/>
      <c r="CD290" s="19"/>
      <c r="CE290" s="19"/>
      <c r="CF290" s="6"/>
    </row>
    <row r="291" spans="1:84">
      <c r="A291" s="17"/>
      <c r="B291" s="17"/>
      <c r="C291" s="17"/>
      <c r="D291" s="19"/>
      <c r="E291" s="19"/>
      <c r="F291" s="19"/>
      <c r="G291" s="19"/>
      <c r="H291" s="19"/>
      <c r="I291" s="19"/>
      <c r="J291" s="19"/>
      <c r="K291" s="19"/>
      <c r="L291" s="19"/>
      <c r="M291" s="19"/>
      <c r="N291" s="19"/>
      <c r="O291" s="19"/>
      <c r="P291" s="19"/>
      <c r="Q291" s="19"/>
      <c r="R291" s="19"/>
      <c r="S291" s="19"/>
      <c r="T291" s="19"/>
      <c r="U291" s="19"/>
      <c r="V291" s="19"/>
      <c r="W291" s="19"/>
      <c r="X291" s="19"/>
      <c r="Y291" s="19"/>
      <c r="Z291" s="19"/>
      <c r="AA291" s="19"/>
      <c r="AB291" s="19"/>
      <c r="AC291" s="19"/>
      <c r="AD291" s="19"/>
      <c r="AE291" s="19"/>
      <c r="AF291" s="19"/>
      <c r="AG291" s="19"/>
      <c r="AH291" s="19"/>
      <c r="AI291" s="19"/>
      <c r="AJ291" s="19"/>
      <c r="AK291" s="19"/>
      <c r="AL291" s="19"/>
      <c r="AM291" s="19"/>
      <c r="AN291" s="19"/>
      <c r="AO291" s="19"/>
      <c r="AP291" s="19"/>
      <c r="AQ291" s="19"/>
      <c r="AR291" s="19"/>
      <c r="AS291" s="19"/>
      <c r="AT291" s="19"/>
      <c r="AU291" s="19"/>
      <c r="AV291" s="19"/>
      <c r="AW291" s="19"/>
      <c r="AX291" s="19"/>
      <c r="AY291" s="19"/>
      <c r="AZ291" s="19"/>
      <c r="BA291" s="19"/>
      <c r="BB291" s="19"/>
      <c r="BC291" s="19"/>
      <c r="BD291" s="19"/>
      <c r="BE291" s="19"/>
      <c r="BF291" s="19"/>
      <c r="BG291" s="19"/>
      <c r="BH291" s="19"/>
      <c r="BI291" s="19"/>
      <c r="BJ291" s="19"/>
      <c r="BK291" s="19"/>
      <c r="BL291" s="19"/>
      <c r="BM291" s="19"/>
      <c r="BN291" s="19"/>
      <c r="BO291" s="19"/>
      <c r="BP291" s="19"/>
      <c r="BQ291" s="19"/>
      <c r="BR291" s="19"/>
      <c r="BS291" s="19"/>
      <c r="BT291" s="19"/>
      <c r="BU291" s="19"/>
      <c r="BV291" s="19"/>
      <c r="BW291" s="19"/>
      <c r="BX291" s="19"/>
      <c r="BY291" s="19"/>
      <c r="BZ291" s="19"/>
      <c r="CA291" s="19"/>
      <c r="CB291" s="19"/>
      <c r="CC291" s="19"/>
      <c r="CD291" s="19"/>
      <c r="CE291" s="19"/>
      <c r="CF291" s="6"/>
    </row>
    <row r="292" spans="1:84">
      <c r="A292" s="17"/>
      <c r="B292" s="17"/>
      <c r="C292" s="17"/>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19"/>
      <c r="AE292" s="19"/>
      <c r="AF292" s="19"/>
      <c r="AG292" s="19"/>
      <c r="AH292" s="19"/>
      <c r="AI292" s="19"/>
      <c r="AJ292" s="19"/>
      <c r="AK292" s="19"/>
      <c r="AL292" s="19"/>
      <c r="AM292" s="19"/>
      <c r="AN292" s="19"/>
      <c r="AO292" s="19"/>
      <c r="AP292" s="19"/>
      <c r="AQ292" s="19"/>
      <c r="AR292" s="19"/>
      <c r="AS292" s="19"/>
      <c r="AT292" s="19"/>
      <c r="AU292" s="19"/>
      <c r="AV292" s="19"/>
      <c r="AW292" s="19"/>
      <c r="AX292" s="19"/>
      <c r="AY292" s="19"/>
      <c r="AZ292" s="19"/>
      <c r="BA292" s="19"/>
      <c r="BB292" s="19"/>
      <c r="BC292" s="19"/>
      <c r="BD292" s="19"/>
      <c r="BE292" s="19"/>
      <c r="BF292" s="19"/>
      <c r="BG292" s="19"/>
      <c r="BH292" s="19"/>
      <c r="BI292" s="19"/>
      <c r="BJ292" s="19"/>
      <c r="BK292" s="19"/>
      <c r="BL292" s="19"/>
      <c r="BM292" s="19"/>
      <c r="BN292" s="19"/>
      <c r="BO292" s="19"/>
      <c r="BP292" s="19"/>
      <c r="BQ292" s="19"/>
      <c r="BR292" s="19"/>
      <c r="BS292" s="19"/>
      <c r="BT292" s="19"/>
      <c r="BU292" s="19"/>
      <c r="BV292" s="19"/>
      <c r="BW292" s="19"/>
      <c r="BX292" s="19"/>
      <c r="BY292" s="19"/>
      <c r="BZ292" s="19"/>
      <c r="CA292" s="19"/>
      <c r="CB292" s="19"/>
      <c r="CC292" s="19"/>
      <c r="CD292" s="19"/>
      <c r="CE292" s="19"/>
      <c r="CF292" s="6"/>
    </row>
    <row r="293" spans="1:84">
      <c r="A293" s="17"/>
      <c r="B293" s="17"/>
      <c r="C293" s="17"/>
      <c r="D293" s="19"/>
      <c r="E293" s="19"/>
      <c r="F293" s="19"/>
      <c r="G293" s="19"/>
      <c r="H293" s="19"/>
      <c r="I293" s="19"/>
      <c r="J293" s="19"/>
      <c r="K293" s="19"/>
      <c r="L293" s="19"/>
      <c r="M293" s="19"/>
      <c r="N293" s="19"/>
      <c r="O293" s="19"/>
      <c r="P293" s="19"/>
      <c r="Q293" s="19"/>
      <c r="R293" s="19"/>
      <c r="S293" s="19"/>
      <c r="T293" s="19"/>
      <c r="U293" s="19"/>
      <c r="V293" s="19"/>
      <c r="W293" s="19"/>
      <c r="X293" s="19"/>
      <c r="Y293" s="19"/>
      <c r="Z293" s="19"/>
      <c r="AA293" s="19"/>
      <c r="AB293" s="19"/>
      <c r="AC293" s="19"/>
      <c r="AD293" s="19"/>
      <c r="AE293" s="19"/>
      <c r="AF293" s="19"/>
      <c r="AG293" s="19"/>
      <c r="AH293" s="19"/>
      <c r="AI293" s="19"/>
      <c r="AJ293" s="19"/>
      <c r="AK293" s="19"/>
      <c r="AL293" s="19"/>
      <c r="AM293" s="19"/>
      <c r="AN293" s="19"/>
      <c r="AO293" s="19"/>
      <c r="AP293" s="19"/>
      <c r="AQ293" s="19"/>
      <c r="AR293" s="19"/>
      <c r="AS293" s="19"/>
      <c r="AT293" s="19"/>
      <c r="AU293" s="19"/>
      <c r="AV293" s="19"/>
      <c r="AW293" s="19"/>
      <c r="AX293" s="19"/>
      <c r="AY293" s="19"/>
      <c r="AZ293" s="19"/>
      <c r="BA293" s="19"/>
      <c r="BB293" s="19"/>
      <c r="BC293" s="19"/>
      <c r="BD293" s="19"/>
      <c r="BE293" s="19"/>
      <c r="BF293" s="19"/>
      <c r="BG293" s="19"/>
      <c r="BH293" s="19"/>
      <c r="BI293" s="19"/>
      <c r="BJ293" s="19"/>
      <c r="BK293" s="19"/>
      <c r="BL293" s="19"/>
      <c r="BM293" s="19"/>
      <c r="BN293" s="19"/>
      <c r="BO293" s="19"/>
      <c r="BP293" s="19"/>
      <c r="BQ293" s="19"/>
      <c r="BR293" s="19"/>
      <c r="BS293" s="19"/>
      <c r="BT293" s="19"/>
      <c r="BU293" s="19"/>
      <c r="BV293" s="19"/>
      <c r="BW293" s="19"/>
      <c r="BX293" s="19"/>
      <c r="BY293" s="19"/>
      <c r="BZ293" s="19"/>
      <c r="CA293" s="19"/>
      <c r="CB293" s="19"/>
      <c r="CC293" s="19"/>
      <c r="CD293" s="19"/>
      <c r="CE293" s="19"/>
      <c r="CF293" s="6"/>
    </row>
    <row r="294" spans="1:84">
      <c r="A294" s="17"/>
      <c r="B294" s="17"/>
      <c r="C294" s="17"/>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c r="AB294" s="19"/>
      <c r="AC294" s="19"/>
      <c r="AD294" s="19"/>
      <c r="AE294" s="19"/>
      <c r="AF294" s="19"/>
      <c r="AG294" s="19"/>
      <c r="AH294" s="19"/>
      <c r="AI294" s="19"/>
      <c r="AJ294" s="19"/>
      <c r="AK294" s="19"/>
      <c r="AL294" s="19"/>
      <c r="AM294" s="19"/>
      <c r="AN294" s="19"/>
      <c r="AO294" s="19"/>
      <c r="AP294" s="19"/>
      <c r="AQ294" s="19"/>
      <c r="AR294" s="19"/>
      <c r="AS294" s="19"/>
      <c r="AT294" s="19"/>
      <c r="AU294" s="19"/>
      <c r="AV294" s="19"/>
      <c r="AW294" s="19"/>
      <c r="AX294" s="19"/>
      <c r="AY294" s="19"/>
      <c r="AZ294" s="19"/>
      <c r="BA294" s="19"/>
      <c r="BB294" s="19"/>
      <c r="BC294" s="19"/>
      <c r="BD294" s="19"/>
      <c r="BE294" s="19"/>
      <c r="BF294" s="19"/>
      <c r="BG294" s="19"/>
      <c r="BH294" s="19"/>
      <c r="BI294" s="19"/>
      <c r="BJ294" s="19"/>
      <c r="BK294" s="19"/>
      <c r="BL294" s="19"/>
      <c r="BM294" s="19"/>
      <c r="BN294" s="19"/>
      <c r="BO294" s="19"/>
      <c r="BP294" s="19"/>
      <c r="BQ294" s="19"/>
      <c r="BR294" s="19"/>
      <c r="BS294" s="19"/>
      <c r="BT294" s="19"/>
      <c r="BU294" s="19"/>
      <c r="BV294" s="19"/>
      <c r="BW294" s="19"/>
      <c r="BX294" s="19"/>
      <c r="BY294" s="19"/>
      <c r="BZ294" s="19"/>
      <c r="CA294" s="19"/>
      <c r="CB294" s="19"/>
      <c r="CC294" s="19"/>
      <c r="CD294" s="19"/>
      <c r="CE294" s="19"/>
      <c r="CF294" s="6"/>
    </row>
    <row r="295" spans="1:84">
      <c r="A295" s="17"/>
      <c r="B295" s="17"/>
      <c r="C295" s="17"/>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9"/>
      <c r="AG295" s="19"/>
      <c r="AH295" s="19"/>
      <c r="AI295" s="19"/>
      <c r="AJ295" s="19"/>
      <c r="AK295" s="19"/>
      <c r="AL295" s="19"/>
      <c r="AM295" s="19"/>
      <c r="AN295" s="19"/>
      <c r="AO295" s="19"/>
      <c r="AP295" s="19"/>
      <c r="AQ295" s="19"/>
      <c r="AR295" s="19"/>
      <c r="AS295" s="19"/>
      <c r="AT295" s="19"/>
      <c r="AU295" s="19"/>
      <c r="AV295" s="19"/>
      <c r="AW295" s="19"/>
      <c r="AX295" s="19"/>
      <c r="AY295" s="19"/>
      <c r="AZ295" s="19"/>
      <c r="BA295" s="19"/>
      <c r="BB295" s="19"/>
      <c r="BC295" s="19"/>
      <c r="BD295" s="19"/>
      <c r="BE295" s="19"/>
      <c r="BF295" s="19"/>
      <c r="BG295" s="19"/>
      <c r="BH295" s="19"/>
      <c r="BI295" s="19"/>
      <c r="BJ295" s="19"/>
      <c r="BK295" s="19"/>
      <c r="BL295" s="19"/>
      <c r="BM295" s="19"/>
      <c r="BN295" s="19"/>
      <c r="BO295" s="19"/>
      <c r="BP295" s="19"/>
      <c r="BQ295" s="19"/>
      <c r="BR295" s="19"/>
      <c r="BS295" s="19"/>
      <c r="BT295" s="19"/>
      <c r="BU295" s="19"/>
      <c r="BV295" s="19"/>
      <c r="BW295" s="19"/>
      <c r="BX295" s="19"/>
      <c r="BY295" s="19"/>
      <c r="BZ295" s="19"/>
      <c r="CA295" s="19"/>
      <c r="CB295" s="19"/>
      <c r="CC295" s="19"/>
      <c r="CD295" s="19"/>
      <c r="CE295" s="19"/>
      <c r="CF295" s="6"/>
    </row>
    <row r="296" spans="1:84">
      <c r="A296" s="17"/>
      <c r="B296" s="17"/>
      <c r="C296" s="17"/>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19"/>
      <c r="AG296" s="19"/>
      <c r="AH296" s="19"/>
      <c r="AI296" s="19"/>
      <c r="AJ296" s="19"/>
      <c r="AK296" s="19"/>
      <c r="AL296" s="19"/>
      <c r="AM296" s="19"/>
      <c r="AN296" s="19"/>
      <c r="AO296" s="19"/>
      <c r="AP296" s="19"/>
      <c r="AQ296" s="19"/>
      <c r="AR296" s="19"/>
      <c r="AS296" s="19"/>
      <c r="AT296" s="19"/>
      <c r="AU296" s="19"/>
      <c r="AV296" s="19"/>
      <c r="AW296" s="19"/>
      <c r="AX296" s="19"/>
      <c r="AY296" s="19"/>
      <c r="AZ296" s="19"/>
      <c r="BA296" s="19"/>
      <c r="BB296" s="19"/>
      <c r="BC296" s="19"/>
      <c r="BD296" s="19"/>
      <c r="BE296" s="19"/>
      <c r="BF296" s="19"/>
      <c r="BG296" s="19"/>
      <c r="BH296" s="19"/>
      <c r="BI296" s="19"/>
      <c r="BJ296" s="19"/>
      <c r="BK296" s="19"/>
      <c r="BL296" s="19"/>
      <c r="BM296" s="19"/>
      <c r="BN296" s="19"/>
      <c r="BO296" s="19"/>
      <c r="BP296" s="19"/>
      <c r="BQ296" s="19"/>
      <c r="BR296" s="19"/>
      <c r="BS296" s="19"/>
      <c r="BT296" s="19"/>
      <c r="BU296" s="19"/>
      <c r="BV296" s="19"/>
      <c r="BW296" s="19"/>
      <c r="BX296" s="19"/>
      <c r="BY296" s="19"/>
      <c r="BZ296" s="19"/>
      <c r="CA296" s="19"/>
      <c r="CB296" s="19"/>
      <c r="CC296" s="19"/>
      <c r="CD296" s="19"/>
      <c r="CE296" s="19"/>
      <c r="CF296" s="6"/>
    </row>
    <row r="297" spans="1:84">
      <c r="A297" s="17"/>
      <c r="B297" s="17"/>
      <c r="C297" s="17"/>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r="AE297" s="19"/>
      <c r="AF297" s="19"/>
      <c r="AG297" s="19"/>
      <c r="AH297" s="19"/>
      <c r="AI297" s="19"/>
      <c r="AJ297" s="19"/>
      <c r="AK297" s="19"/>
      <c r="AL297" s="19"/>
      <c r="AM297" s="19"/>
      <c r="AN297" s="19"/>
      <c r="AO297" s="19"/>
      <c r="AP297" s="19"/>
      <c r="AQ297" s="19"/>
      <c r="AR297" s="19"/>
      <c r="AS297" s="19"/>
      <c r="AT297" s="19"/>
      <c r="AU297" s="19"/>
      <c r="AV297" s="19"/>
      <c r="AW297" s="19"/>
      <c r="AX297" s="19"/>
      <c r="AY297" s="19"/>
      <c r="AZ297" s="19"/>
      <c r="BA297" s="19"/>
      <c r="BB297" s="19"/>
      <c r="BC297" s="19"/>
      <c r="BD297" s="19"/>
      <c r="BE297" s="19"/>
      <c r="BF297" s="19"/>
      <c r="BG297" s="19"/>
      <c r="BH297" s="19"/>
      <c r="BI297" s="19"/>
      <c r="BJ297" s="19"/>
      <c r="BK297" s="19"/>
      <c r="BL297" s="19"/>
      <c r="BM297" s="19"/>
      <c r="BN297" s="19"/>
      <c r="BO297" s="19"/>
      <c r="BP297" s="19"/>
      <c r="BQ297" s="19"/>
      <c r="BR297" s="19"/>
      <c r="BS297" s="19"/>
      <c r="BT297" s="19"/>
      <c r="BU297" s="19"/>
      <c r="BV297" s="19"/>
      <c r="BW297" s="19"/>
      <c r="BX297" s="19"/>
      <c r="BY297" s="19"/>
      <c r="BZ297" s="19"/>
      <c r="CA297" s="19"/>
      <c r="CB297" s="19"/>
      <c r="CC297" s="19"/>
      <c r="CD297" s="19"/>
      <c r="CE297" s="19"/>
      <c r="CF297" s="6"/>
    </row>
    <row r="298" spans="1:84">
      <c r="A298" s="17"/>
      <c r="B298" s="17"/>
      <c r="C298" s="17"/>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19"/>
      <c r="AE298" s="19"/>
      <c r="AF298" s="19"/>
      <c r="AG298" s="19"/>
      <c r="AH298" s="19"/>
      <c r="AI298" s="19"/>
      <c r="AJ298" s="19"/>
      <c r="AK298" s="19"/>
      <c r="AL298" s="19"/>
      <c r="AM298" s="19"/>
      <c r="AN298" s="19"/>
      <c r="AO298" s="19"/>
      <c r="AP298" s="19"/>
      <c r="AQ298" s="19"/>
      <c r="AR298" s="19"/>
      <c r="AS298" s="19"/>
      <c r="AT298" s="19"/>
      <c r="AU298" s="19"/>
      <c r="AV298" s="19"/>
      <c r="AW298" s="19"/>
      <c r="AX298" s="19"/>
      <c r="AY298" s="19"/>
      <c r="AZ298" s="19"/>
      <c r="BA298" s="19"/>
      <c r="BB298" s="19"/>
      <c r="BC298" s="19"/>
      <c r="BD298" s="19"/>
      <c r="BE298" s="19"/>
      <c r="BF298" s="19"/>
      <c r="BG298" s="19"/>
      <c r="BH298" s="19"/>
      <c r="BI298" s="19"/>
      <c r="BJ298" s="19"/>
      <c r="BK298" s="19"/>
      <c r="BL298" s="19"/>
      <c r="BM298" s="19"/>
      <c r="BN298" s="19"/>
      <c r="BO298" s="19"/>
      <c r="BP298" s="19"/>
      <c r="BQ298" s="19"/>
      <c r="BR298" s="19"/>
      <c r="BS298" s="19"/>
      <c r="BT298" s="19"/>
      <c r="BU298" s="19"/>
      <c r="BV298" s="19"/>
      <c r="BW298" s="19"/>
      <c r="BX298" s="19"/>
      <c r="BY298" s="19"/>
      <c r="BZ298" s="19"/>
      <c r="CA298" s="19"/>
      <c r="CB298" s="19"/>
      <c r="CC298" s="19"/>
      <c r="CD298" s="19"/>
      <c r="CE298" s="19"/>
      <c r="CF298" s="6"/>
    </row>
    <row r="299" spans="1:84">
      <c r="A299" s="17"/>
      <c r="B299" s="17"/>
      <c r="C299" s="17"/>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19"/>
      <c r="AE299" s="19"/>
      <c r="AF299" s="19"/>
      <c r="AG299" s="19"/>
      <c r="AH299" s="19"/>
      <c r="AI299" s="19"/>
      <c r="AJ299" s="19"/>
      <c r="AK299" s="19"/>
      <c r="AL299" s="19"/>
      <c r="AM299" s="19"/>
      <c r="AN299" s="19"/>
      <c r="AO299" s="19"/>
      <c r="AP299" s="19"/>
      <c r="AQ299" s="19"/>
      <c r="AR299" s="19"/>
      <c r="AS299" s="19"/>
      <c r="AT299" s="19"/>
      <c r="AU299" s="19"/>
      <c r="AV299" s="19"/>
      <c r="AW299" s="19"/>
      <c r="AX299" s="19"/>
      <c r="AY299" s="19"/>
      <c r="AZ299" s="19"/>
      <c r="BA299" s="19"/>
      <c r="BB299" s="19"/>
      <c r="BC299" s="19"/>
      <c r="BD299" s="19"/>
      <c r="BE299" s="19"/>
      <c r="BF299" s="19"/>
      <c r="BG299" s="19"/>
      <c r="BH299" s="19"/>
      <c r="BI299" s="19"/>
      <c r="BJ299" s="19"/>
      <c r="BK299" s="19"/>
      <c r="BL299" s="19"/>
      <c r="BM299" s="19"/>
      <c r="BN299" s="19"/>
      <c r="BO299" s="19"/>
      <c r="BP299" s="19"/>
      <c r="BQ299" s="19"/>
      <c r="BR299" s="19"/>
      <c r="BS299" s="19"/>
      <c r="BT299" s="19"/>
      <c r="BU299" s="19"/>
      <c r="BV299" s="19"/>
      <c r="BW299" s="19"/>
      <c r="BX299" s="19"/>
      <c r="BY299" s="19"/>
      <c r="BZ299" s="19"/>
      <c r="CA299" s="19"/>
      <c r="CB299" s="19"/>
      <c r="CC299" s="19"/>
      <c r="CD299" s="19"/>
      <c r="CE299" s="19"/>
      <c r="CF299" s="6"/>
    </row>
    <row r="300" spans="1:84">
      <c r="A300" s="17"/>
      <c r="B300" s="17"/>
      <c r="C300" s="17"/>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19"/>
      <c r="AE300" s="19"/>
      <c r="AF300" s="19"/>
      <c r="AG300" s="19"/>
      <c r="AH300" s="19"/>
      <c r="AI300" s="19"/>
      <c r="AJ300" s="19"/>
      <c r="AK300" s="19"/>
      <c r="AL300" s="19"/>
      <c r="AM300" s="19"/>
      <c r="AN300" s="19"/>
      <c r="AO300" s="19"/>
      <c r="AP300" s="19"/>
      <c r="AQ300" s="19"/>
      <c r="AR300" s="19"/>
      <c r="AS300" s="19"/>
      <c r="AT300" s="19"/>
      <c r="AU300" s="19"/>
      <c r="AV300" s="19"/>
      <c r="AW300" s="19"/>
      <c r="AX300" s="19"/>
      <c r="AY300" s="19"/>
      <c r="AZ300" s="19"/>
      <c r="BA300" s="19"/>
      <c r="BB300" s="19"/>
      <c r="BC300" s="19"/>
      <c r="BD300" s="19"/>
      <c r="BE300" s="19"/>
      <c r="BF300" s="19"/>
      <c r="BG300" s="19"/>
      <c r="BH300" s="19"/>
      <c r="BI300" s="19"/>
      <c r="BJ300" s="19"/>
      <c r="BK300" s="19"/>
      <c r="BL300" s="19"/>
      <c r="BM300" s="19"/>
      <c r="BN300" s="19"/>
      <c r="BO300" s="19"/>
      <c r="BP300" s="19"/>
      <c r="BQ300" s="19"/>
      <c r="BR300" s="19"/>
      <c r="BS300" s="19"/>
      <c r="BT300" s="19"/>
      <c r="BU300" s="19"/>
      <c r="BV300" s="19"/>
      <c r="BW300" s="19"/>
      <c r="BX300" s="19"/>
      <c r="BY300" s="19"/>
      <c r="BZ300" s="19"/>
      <c r="CA300" s="19"/>
      <c r="CB300" s="19"/>
      <c r="CC300" s="19"/>
      <c r="CD300" s="19"/>
      <c r="CE300" s="19"/>
      <c r="CF300" s="6"/>
    </row>
    <row r="301" spans="1:84">
      <c r="A301" s="17"/>
      <c r="B301" s="17"/>
      <c r="C301" s="17"/>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19"/>
      <c r="AE301" s="19"/>
      <c r="AF301" s="19"/>
      <c r="AG301" s="19"/>
      <c r="AH301" s="19"/>
      <c r="AI301" s="19"/>
      <c r="AJ301" s="19"/>
      <c r="AK301" s="19"/>
      <c r="AL301" s="19"/>
      <c r="AM301" s="19"/>
      <c r="AN301" s="19"/>
      <c r="AO301" s="19"/>
      <c r="AP301" s="19"/>
      <c r="AQ301" s="19"/>
      <c r="AR301" s="19"/>
      <c r="AS301" s="19"/>
      <c r="AT301" s="19"/>
      <c r="AU301" s="19"/>
      <c r="AV301" s="19"/>
      <c r="AW301" s="19"/>
      <c r="AX301" s="19"/>
      <c r="AY301" s="19"/>
      <c r="AZ301" s="19"/>
      <c r="BA301" s="19"/>
      <c r="BB301" s="19"/>
      <c r="BC301" s="19"/>
      <c r="BD301" s="19"/>
      <c r="BE301" s="19"/>
      <c r="BF301" s="19"/>
      <c r="BG301" s="19"/>
      <c r="BH301" s="19"/>
      <c r="BI301" s="19"/>
      <c r="BJ301" s="19"/>
      <c r="BK301" s="19"/>
      <c r="BL301" s="19"/>
      <c r="BM301" s="19"/>
      <c r="BN301" s="19"/>
      <c r="BO301" s="19"/>
      <c r="BP301" s="19"/>
      <c r="BQ301" s="19"/>
      <c r="BR301" s="19"/>
      <c r="BS301" s="19"/>
      <c r="BT301" s="19"/>
      <c r="BU301" s="19"/>
      <c r="BV301" s="19"/>
      <c r="BW301" s="19"/>
      <c r="BX301" s="19"/>
      <c r="BY301" s="19"/>
      <c r="BZ301" s="19"/>
      <c r="CA301" s="19"/>
      <c r="CB301" s="19"/>
      <c r="CC301" s="19"/>
      <c r="CD301" s="19"/>
      <c r="CE301" s="19"/>
      <c r="CF301" s="6"/>
    </row>
    <row r="302" spans="1:84">
      <c r="A302" s="17"/>
      <c r="B302" s="17"/>
      <c r="C302" s="17"/>
      <c r="D302" s="19"/>
      <c r="E302" s="19"/>
      <c r="F302" s="19"/>
      <c r="G302" s="19"/>
      <c r="H302" s="19"/>
      <c r="I302" s="19"/>
      <c r="J302" s="19"/>
      <c r="K302" s="19"/>
      <c r="L302" s="19"/>
      <c r="M302" s="19"/>
      <c r="N302" s="19"/>
      <c r="O302" s="19"/>
      <c r="P302" s="19"/>
      <c r="Q302" s="19"/>
      <c r="R302" s="19"/>
      <c r="S302" s="19"/>
      <c r="T302" s="19"/>
      <c r="U302" s="19"/>
      <c r="V302" s="19"/>
      <c r="W302" s="19"/>
      <c r="X302" s="19"/>
      <c r="Y302" s="19"/>
      <c r="Z302" s="19"/>
      <c r="AA302" s="19"/>
      <c r="AB302" s="19"/>
      <c r="AC302" s="19"/>
      <c r="AD302" s="19"/>
      <c r="AE302" s="19"/>
      <c r="AF302" s="19"/>
      <c r="AG302" s="19"/>
      <c r="AH302" s="19"/>
      <c r="AI302" s="19"/>
      <c r="AJ302" s="19"/>
      <c r="AK302" s="19"/>
      <c r="AL302" s="19"/>
      <c r="AM302" s="19"/>
      <c r="AN302" s="19"/>
      <c r="AO302" s="19"/>
      <c r="AP302" s="19"/>
      <c r="AQ302" s="19"/>
      <c r="AR302" s="19"/>
      <c r="AS302" s="19"/>
      <c r="AT302" s="19"/>
      <c r="AU302" s="19"/>
      <c r="AV302" s="19"/>
      <c r="AW302" s="19"/>
      <c r="AX302" s="19"/>
      <c r="AY302" s="19"/>
      <c r="AZ302" s="19"/>
      <c r="BA302" s="19"/>
      <c r="BB302" s="19"/>
      <c r="BC302" s="19"/>
      <c r="BD302" s="19"/>
      <c r="BE302" s="19"/>
      <c r="BF302" s="19"/>
      <c r="BG302" s="19"/>
      <c r="BH302" s="19"/>
      <c r="BI302" s="19"/>
      <c r="BJ302" s="19"/>
      <c r="BK302" s="19"/>
      <c r="BL302" s="19"/>
      <c r="BM302" s="19"/>
      <c r="BN302" s="19"/>
      <c r="BO302" s="19"/>
      <c r="BP302" s="19"/>
      <c r="BQ302" s="19"/>
      <c r="BR302" s="19"/>
      <c r="BS302" s="19"/>
      <c r="BT302" s="19"/>
      <c r="BU302" s="19"/>
      <c r="BV302" s="19"/>
      <c r="BW302" s="19"/>
      <c r="BX302" s="19"/>
      <c r="BY302" s="19"/>
      <c r="BZ302" s="19"/>
      <c r="CA302" s="19"/>
      <c r="CB302" s="19"/>
      <c r="CC302" s="19"/>
      <c r="CD302" s="19"/>
      <c r="CE302" s="19"/>
      <c r="CF302" s="6"/>
    </row>
    <row r="303" spans="1:84">
      <c r="A303" s="17"/>
      <c r="B303" s="17"/>
      <c r="C303" s="17"/>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c r="AR303" s="19"/>
      <c r="AS303" s="19"/>
      <c r="AT303" s="19"/>
      <c r="AU303" s="19"/>
      <c r="AV303" s="19"/>
      <c r="AW303" s="19"/>
      <c r="AX303" s="19"/>
      <c r="AY303" s="19"/>
      <c r="AZ303" s="19"/>
      <c r="BA303" s="19"/>
      <c r="BB303" s="19"/>
      <c r="BC303" s="19"/>
      <c r="BD303" s="19"/>
      <c r="BE303" s="19"/>
      <c r="BF303" s="19"/>
      <c r="BG303" s="19"/>
      <c r="BH303" s="19"/>
      <c r="BI303" s="19"/>
      <c r="BJ303" s="19"/>
      <c r="BK303" s="19"/>
      <c r="BL303" s="19"/>
      <c r="BM303" s="19"/>
      <c r="BN303" s="19"/>
      <c r="BO303" s="19"/>
      <c r="BP303" s="19"/>
      <c r="BQ303" s="19"/>
      <c r="BR303" s="19"/>
      <c r="BS303" s="19"/>
      <c r="BT303" s="19"/>
      <c r="BU303" s="19"/>
      <c r="BV303" s="19"/>
      <c r="BW303" s="19"/>
      <c r="BX303" s="19"/>
      <c r="BY303" s="19"/>
      <c r="BZ303" s="19"/>
      <c r="CA303" s="19"/>
      <c r="CB303" s="19"/>
      <c r="CC303" s="19"/>
      <c r="CD303" s="19"/>
      <c r="CE303" s="19"/>
      <c r="CF303" s="6"/>
    </row>
    <row r="304" spans="1:84">
      <c r="A304" s="17"/>
      <c r="B304" s="17"/>
      <c r="C304" s="17"/>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c r="AS304" s="19"/>
      <c r="AT304" s="19"/>
      <c r="AU304" s="19"/>
      <c r="AV304" s="19"/>
      <c r="AW304" s="19"/>
      <c r="AX304" s="19"/>
      <c r="AY304" s="19"/>
      <c r="AZ304" s="19"/>
      <c r="BA304" s="19"/>
      <c r="BB304" s="19"/>
      <c r="BC304" s="19"/>
      <c r="BD304" s="19"/>
      <c r="BE304" s="19"/>
      <c r="BF304" s="19"/>
      <c r="BG304" s="19"/>
      <c r="BH304" s="19"/>
      <c r="BI304" s="19"/>
      <c r="BJ304" s="19"/>
      <c r="BK304" s="19"/>
      <c r="BL304" s="19"/>
      <c r="BM304" s="19"/>
      <c r="BN304" s="19"/>
      <c r="BO304" s="19"/>
      <c r="BP304" s="19"/>
      <c r="BQ304" s="19"/>
      <c r="BR304" s="19"/>
      <c r="BS304" s="19"/>
      <c r="BT304" s="19"/>
      <c r="BU304" s="19"/>
      <c r="BV304" s="19"/>
      <c r="BW304" s="19"/>
      <c r="BX304" s="19"/>
      <c r="BY304" s="19"/>
      <c r="BZ304" s="19"/>
      <c r="CA304" s="19"/>
      <c r="CB304" s="19"/>
      <c r="CC304" s="19"/>
      <c r="CD304" s="19"/>
      <c r="CE304" s="19"/>
      <c r="CF304" s="6"/>
    </row>
    <row r="305" spans="1:84">
      <c r="A305" s="17"/>
      <c r="B305" s="17"/>
      <c r="C305" s="17"/>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c r="AR305" s="19"/>
      <c r="AS305" s="19"/>
      <c r="AT305" s="19"/>
      <c r="AU305" s="19"/>
      <c r="AV305" s="19"/>
      <c r="AW305" s="19"/>
      <c r="AX305" s="19"/>
      <c r="AY305" s="19"/>
      <c r="AZ305" s="19"/>
      <c r="BA305" s="19"/>
      <c r="BB305" s="19"/>
      <c r="BC305" s="19"/>
      <c r="BD305" s="19"/>
      <c r="BE305" s="19"/>
      <c r="BF305" s="19"/>
      <c r="BG305" s="19"/>
      <c r="BH305" s="19"/>
      <c r="BI305" s="19"/>
      <c r="BJ305" s="19"/>
      <c r="BK305" s="19"/>
      <c r="BL305" s="19"/>
      <c r="BM305" s="19"/>
      <c r="BN305" s="19"/>
      <c r="BO305" s="19"/>
      <c r="BP305" s="19"/>
      <c r="BQ305" s="19"/>
      <c r="BR305" s="19"/>
      <c r="BS305" s="19"/>
      <c r="BT305" s="19"/>
      <c r="BU305" s="19"/>
      <c r="BV305" s="19"/>
      <c r="BW305" s="19"/>
      <c r="BX305" s="19"/>
      <c r="BY305" s="19"/>
      <c r="BZ305" s="19"/>
      <c r="CA305" s="19"/>
      <c r="CB305" s="19"/>
      <c r="CC305" s="19"/>
      <c r="CD305" s="19"/>
      <c r="CE305" s="19"/>
      <c r="CF305" s="6"/>
    </row>
    <row r="306" spans="1:84">
      <c r="A306" s="17"/>
      <c r="B306" s="17"/>
      <c r="C306" s="17"/>
      <c r="D306" s="19"/>
      <c r="E306" s="19"/>
      <c r="F306" s="19"/>
      <c r="G306" s="19"/>
      <c r="H306" s="19"/>
      <c r="I306" s="19"/>
      <c r="J306" s="19"/>
      <c r="K306" s="19"/>
      <c r="L306" s="19"/>
      <c r="M306" s="19"/>
      <c r="N306" s="19"/>
      <c r="O306" s="19"/>
      <c r="P306" s="19"/>
      <c r="Q306" s="19"/>
      <c r="R306" s="19"/>
      <c r="S306" s="19"/>
      <c r="T306" s="19"/>
      <c r="U306" s="19"/>
      <c r="V306" s="19"/>
      <c r="W306" s="19"/>
      <c r="X306" s="19"/>
      <c r="Y306" s="19"/>
      <c r="Z306" s="19"/>
      <c r="AA306" s="19"/>
      <c r="AB306" s="19"/>
      <c r="AC306" s="19"/>
      <c r="AD306" s="19"/>
      <c r="AE306" s="19"/>
      <c r="AF306" s="19"/>
      <c r="AG306" s="19"/>
      <c r="AH306" s="19"/>
      <c r="AI306" s="19"/>
      <c r="AJ306" s="19"/>
      <c r="AK306" s="19"/>
      <c r="AL306" s="19"/>
      <c r="AM306" s="19"/>
      <c r="AN306" s="19"/>
      <c r="AO306" s="19"/>
      <c r="AP306" s="19"/>
      <c r="AQ306" s="19"/>
      <c r="AR306" s="19"/>
      <c r="AS306" s="19"/>
      <c r="AT306" s="19"/>
      <c r="AU306" s="19"/>
      <c r="AV306" s="19"/>
      <c r="AW306" s="19"/>
      <c r="AX306" s="19"/>
      <c r="AY306" s="19"/>
      <c r="AZ306" s="19"/>
      <c r="BA306" s="19"/>
      <c r="BB306" s="19"/>
      <c r="BC306" s="19"/>
      <c r="BD306" s="19"/>
      <c r="BE306" s="19"/>
      <c r="BF306" s="19"/>
      <c r="BG306" s="19"/>
      <c r="BH306" s="19"/>
      <c r="BI306" s="19"/>
      <c r="BJ306" s="19"/>
      <c r="BK306" s="19"/>
      <c r="BL306" s="19"/>
      <c r="BM306" s="19"/>
      <c r="BN306" s="19"/>
      <c r="BO306" s="19"/>
      <c r="BP306" s="19"/>
      <c r="BQ306" s="19"/>
      <c r="BR306" s="19"/>
      <c r="BS306" s="19"/>
      <c r="BT306" s="19"/>
      <c r="BU306" s="19"/>
      <c r="BV306" s="19"/>
      <c r="BW306" s="19"/>
      <c r="BX306" s="19"/>
      <c r="BY306" s="19"/>
      <c r="BZ306" s="19"/>
      <c r="CA306" s="19"/>
      <c r="CB306" s="19"/>
      <c r="CC306" s="19"/>
      <c r="CD306" s="19"/>
      <c r="CE306" s="19"/>
      <c r="CF306" s="6"/>
    </row>
    <row r="307" spans="1:84">
      <c r="A307" s="17"/>
      <c r="B307" s="17"/>
      <c r="C307" s="17"/>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19"/>
      <c r="AG307" s="19"/>
      <c r="AH307" s="19"/>
      <c r="AI307" s="19"/>
      <c r="AJ307" s="19"/>
      <c r="AK307" s="19"/>
      <c r="AL307" s="19"/>
      <c r="AM307" s="19"/>
      <c r="AN307" s="19"/>
      <c r="AO307" s="19"/>
      <c r="AP307" s="19"/>
      <c r="AQ307" s="19"/>
      <c r="AR307" s="19"/>
      <c r="AS307" s="19"/>
      <c r="AT307" s="19"/>
      <c r="AU307" s="19"/>
      <c r="AV307" s="19"/>
      <c r="AW307" s="19"/>
      <c r="AX307" s="19"/>
      <c r="AY307" s="19"/>
      <c r="AZ307" s="19"/>
      <c r="BA307" s="19"/>
      <c r="BB307" s="19"/>
      <c r="BC307" s="19"/>
      <c r="BD307" s="19"/>
      <c r="BE307" s="19"/>
      <c r="BF307" s="19"/>
      <c r="BG307" s="19"/>
      <c r="BH307" s="19"/>
      <c r="BI307" s="19"/>
      <c r="BJ307" s="19"/>
      <c r="BK307" s="19"/>
      <c r="BL307" s="19"/>
      <c r="BM307" s="19"/>
      <c r="BN307" s="19"/>
      <c r="BO307" s="19"/>
      <c r="BP307" s="19"/>
      <c r="BQ307" s="19"/>
      <c r="BR307" s="19"/>
      <c r="BS307" s="19"/>
      <c r="BT307" s="19"/>
      <c r="BU307" s="19"/>
      <c r="BV307" s="19"/>
      <c r="BW307" s="19"/>
      <c r="BX307" s="19"/>
      <c r="BY307" s="19"/>
      <c r="BZ307" s="19"/>
      <c r="CA307" s="19"/>
      <c r="CB307" s="19"/>
      <c r="CC307" s="19"/>
      <c r="CD307" s="19"/>
      <c r="CE307" s="19"/>
      <c r="CF307" s="6"/>
    </row>
    <row r="308" spans="1:84">
      <c r="A308" s="17"/>
      <c r="B308" s="17"/>
      <c r="C308" s="17"/>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19"/>
      <c r="AE308" s="19"/>
      <c r="AF308" s="19"/>
      <c r="AG308" s="19"/>
      <c r="AH308" s="19"/>
      <c r="AI308" s="19"/>
      <c r="AJ308" s="19"/>
      <c r="AK308" s="19"/>
      <c r="AL308" s="19"/>
      <c r="AM308" s="19"/>
      <c r="AN308" s="19"/>
      <c r="AO308" s="19"/>
      <c r="AP308" s="19"/>
      <c r="AQ308" s="19"/>
      <c r="AR308" s="19"/>
      <c r="AS308" s="19"/>
      <c r="AT308" s="19"/>
      <c r="AU308" s="19"/>
      <c r="AV308" s="19"/>
      <c r="AW308" s="19"/>
      <c r="AX308" s="19"/>
      <c r="AY308" s="19"/>
      <c r="AZ308" s="19"/>
      <c r="BA308" s="19"/>
      <c r="BB308" s="19"/>
      <c r="BC308" s="19"/>
      <c r="BD308" s="19"/>
      <c r="BE308" s="19"/>
      <c r="BF308" s="19"/>
      <c r="BG308" s="19"/>
      <c r="BH308" s="19"/>
      <c r="BI308" s="19"/>
      <c r="BJ308" s="19"/>
      <c r="BK308" s="19"/>
      <c r="BL308" s="19"/>
      <c r="BM308" s="19"/>
      <c r="BN308" s="19"/>
      <c r="BO308" s="19"/>
      <c r="BP308" s="19"/>
      <c r="BQ308" s="19"/>
      <c r="BR308" s="19"/>
      <c r="BS308" s="19"/>
      <c r="BT308" s="19"/>
      <c r="BU308" s="19"/>
      <c r="BV308" s="19"/>
      <c r="BW308" s="19"/>
      <c r="BX308" s="19"/>
      <c r="BY308" s="19"/>
      <c r="BZ308" s="19"/>
      <c r="CA308" s="19"/>
      <c r="CB308" s="19"/>
      <c r="CC308" s="19"/>
      <c r="CD308" s="19"/>
      <c r="CE308" s="19"/>
      <c r="CF308" s="6"/>
    </row>
    <row r="309" spans="1:84">
      <c r="A309" s="17"/>
      <c r="B309" s="17"/>
      <c r="C309" s="17"/>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19"/>
      <c r="AE309" s="19"/>
      <c r="AF309" s="19"/>
      <c r="AG309" s="19"/>
      <c r="AH309" s="19"/>
      <c r="AI309" s="19"/>
      <c r="AJ309" s="19"/>
      <c r="AK309" s="19"/>
      <c r="AL309" s="19"/>
      <c r="AM309" s="19"/>
      <c r="AN309" s="19"/>
      <c r="AO309" s="19"/>
      <c r="AP309" s="19"/>
      <c r="AQ309" s="19"/>
      <c r="AR309" s="19"/>
      <c r="AS309" s="19"/>
      <c r="AT309" s="19"/>
      <c r="AU309" s="19"/>
      <c r="AV309" s="19"/>
      <c r="AW309" s="19"/>
      <c r="AX309" s="19"/>
      <c r="AY309" s="19"/>
      <c r="AZ309" s="19"/>
      <c r="BA309" s="19"/>
      <c r="BB309" s="19"/>
      <c r="BC309" s="19"/>
      <c r="BD309" s="19"/>
      <c r="BE309" s="19"/>
      <c r="BF309" s="19"/>
      <c r="BG309" s="19"/>
      <c r="BH309" s="19"/>
      <c r="BI309" s="19"/>
      <c r="BJ309" s="19"/>
      <c r="BK309" s="19"/>
      <c r="BL309" s="19"/>
      <c r="BM309" s="19"/>
      <c r="BN309" s="19"/>
      <c r="BO309" s="19"/>
      <c r="BP309" s="19"/>
      <c r="BQ309" s="19"/>
      <c r="BR309" s="19"/>
      <c r="BS309" s="19"/>
      <c r="BT309" s="19"/>
      <c r="BU309" s="19"/>
      <c r="BV309" s="19"/>
      <c r="BW309" s="19"/>
      <c r="BX309" s="19"/>
      <c r="BY309" s="19"/>
      <c r="BZ309" s="19"/>
      <c r="CA309" s="19"/>
      <c r="CB309" s="19"/>
      <c r="CC309" s="19"/>
      <c r="CD309" s="19"/>
      <c r="CE309" s="19"/>
      <c r="CF309" s="6"/>
    </row>
    <row r="310" spans="1:84">
      <c r="A310" s="17"/>
      <c r="B310" s="17"/>
      <c r="C310" s="17"/>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19"/>
      <c r="AE310" s="19"/>
      <c r="AF310" s="19"/>
      <c r="AG310" s="19"/>
      <c r="AH310" s="19"/>
      <c r="AI310" s="19"/>
      <c r="AJ310" s="19"/>
      <c r="AK310" s="19"/>
      <c r="AL310" s="19"/>
      <c r="AM310" s="19"/>
      <c r="AN310" s="19"/>
      <c r="AO310" s="19"/>
      <c r="AP310" s="19"/>
      <c r="AQ310" s="19"/>
      <c r="AR310" s="19"/>
      <c r="AS310" s="19"/>
      <c r="AT310" s="19"/>
      <c r="AU310" s="19"/>
      <c r="AV310" s="19"/>
      <c r="AW310" s="19"/>
      <c r="AX310" s="19"/>
      <c r="AY310" s="19"/>
      <c r="AZ310" s="19"/>
      <c r="BA310" s="19"/>
      <c r="BB310" s="19"/>
      <c r="BC310" s="19"/>
      <c r="BD310" s="19"/>
      <c r="BE310" s="19"/>
      <c r="BF310" s="19"/>
      <c r="BG310" s="19"/>
      <c r="BH310" s="19"/>
      <c r="BI310" s="19"/>
      <c r="BJ310" s="19"/>
      <c r="BK310" s="19"/>
      <c r="BL310" s="19"/>
      <c r="BM310" s="19"/>
      <c r="BN310" s="19"/>
      <c r="BO310" s="19"/>
      <c r="BP310" s="19"/>
      <c r="BQ310" s="19"/>
      <c r="BR310" s="19"/>
      <c r="BS310" s="19"/>
      <c r="BT310" s="19"/>
      <c r="BU310" s="19"/>
      <c r="BV310" s="19"/>
      <c r="BW310" s="19"/>
      <c r="BX310" s="19"/>
      <c r="BY310" s="19"/>
      <c r="BZ310" s="19"/>
      <c r="CA310" s="19"/>
      <c r="CB310" s="19"/>
      <c r="CC310" s="19"/>
      <c r="CD310" s="19"/>
      <c r="CE310" s="19"/>
      <c r="CF310" s="6"/>
    </row>
    <row r="311" spans="1:84">
      <c r="A311" s="17"/>
      <c r="B311" s="17"/>
      <c r="C311" s="17"/>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r="AE311" s="19"/>
      <c r="AF311" s="19"/>
      <c r="AG311" s="19"/>
      <c r="AH311" s="19"/>
      <c r="AI311" s="19"/>
      <c r="AJ311" s="19"/>
      <c r="AK311" s="19"/>
      <c r="AL311" s="19"/>
      <c r="AM311" s="19"/>
      <c r="AN311" s="19"/>
      <c r="AO311" s="19"/>
      <c r="AP311" s="19"/>
      <c r="AQ311" s="19"/>
      <c r="AR311" s="19"/>
      <c r="AS311" s="19"/>
      <c r="AT311" s="19"/>
      <c r="AU311" s="19"/>
      <c r="AV311" s="19"/>
      <c r="AW311" s="19"/>
      <c r="AX311" s="19"/>
      <c r="AY311" s="19"/>
      <c r="AZ311" s="19"/>
      <c r="BA311" s="19"/>
      <c r="BB311" s="19"/>
      <c r="BC311" s="19"/>
      <c r="BD311" s="19"/>
      <c r="BE311" s="19"/>
      <c r="BF311" s="19"/>
      <c r="BG311" s="19"/>
      <c r="BH311" s="19"/>
      <c r="BI311" s="19"/>
      <c r="BJ311" s="19"/>
      <c r="BK311" s="19"/>
      <c r="BL311" s="19"/>
      <c r="BM311" s="19"/>
      <c r="BN311" s="19"/>
      <c r="BO311" s="19"/>
      <c r="BP311" s="19"/>
      <c r="BQ311" s="19"/>
      <c r="BR311" s="19"/>
      <c r="BS311" s="19"/>
      <c r="BT311" s="19"/>
      <c r="BU311" s="19"/>
      <c r="BV311" s="19"/>
      <c r="BW311" s="19"/>
      <c r="BX311" s="19"/>
      <c r="BY311" s="19"/>
      <c r="BZ311" s="19"/>
      <c r="CA311" s="19"/>
      <c r="CB311" s="19"/>
      <c r="CC311" s="19"/>
      <c r="CD311" s="19"/>
      <c r="CE311" s="19"/>
      <c r="CF311" s="6"/>
    </row>
    <row r="312" spans="1:84">
      <c r="A312" s="17"/>
      <c r="B312" s="17"/>
      <c r="C312" s="17"/>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19"/>
      <c r="AE312" s="19"/>
      <c r="AF312" s="19"/>
      <c r="AG312" s="19"/>
      <c r="AH312" s="19"/>
      <c r="AI312" s="19"/>
      <c r="AJ312" s="19"/>
      <c r="AK312" s="19"/>
      <c r="AL312" s="19"/>
      <c r="AM312" s="19"/>
      <c r="AN312" s="19"/>
      <c r="AO312" s="19"/>
      <c r="AP312" s="19"/>
      <c r="AQ312" s="19"/>
      <c r="AR312" s="19"/>
      <c r="AS312" s="19"/>
      <c r="AT312" s="19"/>
      <c r="AU312" s="19"/>
      <c r="AV312" s="19"/>
      <c r="AW312" s="19"/>
      <c r="AX312" s="19"/>
      <c r="AY312" s="19"/>
      <c r="AZ312" s="19"/>
      <c r="BA312" s="19"/>
      <c r="BB312" s="19"/>
      <c r="BC312" s="19"/>
      <c r="BD312" s="19"/>
      <c r="BE312" s="19"/>
      <c r="BF312" s="19"/>
      <c r="BG312" s="19"/>
      <c r="BH312" s="19"/>
      <c r="BI312" s="19"/>
      <c r="BJ312" s="19"/>
      <c r="BK312" s="19"/>
      <c r="BL312" s="19"/>
      <c r="BM312" s="19"/>
      <c r="BN312" s="19"/>
      <c r="BO312" s="19"/>
      <c r="BP312" s="19"/>
      <c r="BQ312" s="19"/>
      <c r="BR312" s="19"/>
      <c r="BS312" s="19"/>
      <c r="BT312" s="19"/>
      <c r="BU312" s="19"/>
      <c r="BV312" s="19"/>
      <c r="BW312" s="19"/>
      <c r="BX312" s="19"/>
      <c r="BY312" s="19"/>
      <c r="BZ312" s="19"/>
      <c r="CA312" s="19"/>
      <c r="CB312" s="19"/>
      <c r="CC312" s="19"/>
      <c r="CD312" s="19"/>
      <c r="CE312" s="19"/>
      <c r="CF312" s="6"/>
    </row>
    <row r="313" spans="1:84">
      <c r="A313" s="17"/>
      <c r="B313" s="17"/>
      <c r="C313" s="17"/>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19"/>
      <c r="AE313" s="19"/>
      <c r="AF313" s="19"/>
      <c r="AG313" s="19"/>
      <c r="AH313" s="19"/>
      <c r="AI313" s="19"/>
      <c r="AJ313" s="19"/>
      <c r="AK313" s="19"/>
      <c r="AL313" s="19"/>
      <c r="AM313" s="19"/>
      <c r="AN313" s="19"/>
      <c r="AO313" s="19"/>
      <c r="AP313" s="19"/>
      <c r="AQ313" s="19"/>
      <c r="AR313" s="19"/>
      <c r="AS313" s="19"/>
      <c r="AT313" s="19"/>
      <c r="AU313" s="19"/>
      <c r="AV313" s="19"/>
      <c r="AW313" s="19"/>
      <c r="AX313" s="19"/>
      <c r="AY313" s="19"/>
      <c r="AZ313" s="19"/>
      <c r="BA313" s="19"/>
      <c r="BB313" s="19"/>
      <c r="BC313" s="19"/>
      <c r="BD313" s="19"/>
      <c r="BE313" s="19"/>
      <c r="BF313" s="19"/>
      <c r="BG313" s="19"/>
      <c r="BH313" s="19"/>
      <c r="BI313" s="19"/>
      <c r="BJ313" s="19"/>
      <c r="BK313" s="19"/>
      <c r="BL313" s="19"/>
      <c r="BM313" s="19"/>
      <c r="BN313" s="19"/>
      <c r="BO313" s="19"/>
      <c r="BP313" s="19"/>
      <c r="BQ313" s="19"/>
      <c r="BR313" s="19"/>
      <c r="BS313" s="19"/>
      <c r="BT313" s="19"/>
      <c r="BU313" s="19"/>
      <c r="BV313" s="19"/>
      <c r="BW313" s="19"/>
      <c r="BX313" s="19"/>
      <c r="BY313" s="19"/>
      <c r="BZ313" s="19"/>
      <c r="CA313" s="19"/>
      <c r="CB313" s="19"/>
      <c r="CC313" s="19"/>
      <c r="CD313" s="19"/>
      <c r="CE313" s="19"/>
      <c r="CF313" s="6"/>
    </row>
    <row r="314" spans="1:84">
      <c r="A314" s="17"/>
      <c r="B314" s="17"/>
      <c r="C314" s="17"/>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9"/>
      <c r="AG314" s="19"/>
      <c r="AH314" s="19"/>
      <c r="AI314" s="19"/>
      <c r="AJ314" s="19"/>
      <c r="AK314" s="19"/>
      <c r="AL314" s="19"/>
      <c r="AM314" s="19"/>
      <c r="AN314" s="19"/>
      <c r="AO314" s="19"/>
      <c r="AP314" s="19"/>
      <c r="AQ314" s="19"/>
      <c r="AR314" s="19"/>
      <c r="AS314" s="19"/>
      <c r="AT314" s="19"/>
      <c r="AU314" s="19"/>
      <c r="AV314" s="19"/>
      <c r="AW314" s="19"/>
      <c r="AX314" s="19"/>
      <c r="AY314" s="19"/>
      <c r="AZ314" s="19"/>
      <c r="BA314" s="19"/>
      <c r="BB314" s="19"/>
      <c r="BC314" s="19"/>
      <c r="BD314" s="19"/>
      <c r="BE314" s="19"/>
      <c r="BF314" s="19"/>
      <c r="BG314" s="19"/>
      <c r="BH314" s="19"/>
      <c r="BI314" s="19"/>
      <c r="BJ314" s="19"/>
      <c r="BK314" s="19"/>
      <c r="BL314" s="19"/>
      <c r="BM314" s="19"/>
      <c r="BN314" s="19"/>
      <c r="BO314" s="19"/>
      <c r="BP314" s="19"/>
      <c r="BQ314" s="19"/>
      <c r="BR314" s="19"/>
      <c r="BS314" s="19"/>
      <c r="BT314" s="19"/>
      <c r="BU314" s="19"/>
      <c r="BV314" s="19"/>
      <c r="BW314" s="19"/>
      <c r="BX314" s="19"/>
      <c r="BY314" s="19"/>
      <c r="BZ314" s="19"/>
      <c r="CA314" s="19"/>
      <c r="CB314" s="19"/>
      <c r="CC314" s="19"/>
      <c r="CD314" s="19"/>
      <c r="CE314" s="19"/>
      <c r="CF314" s="6"/>
    </row>
    <row r="315" spans="1:84">
      <c r="A315" s="17"/>
      <c r="B315" s="17"/>
      <c r="C315" s="17"/>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19"/>
      <c r="AE315" s="19"/>
      <c r="AF315" s="19"/>
      <c r="AG315" s="19"/>
      <c r="AH315" s="19"/>
      <c r="AI315" s="19"/>
      <c r="AJ315" s="19"/>
      <c r="AK315" s="19"/>
      <c r="AL315" s="19"/>
      <c r="AM315" s="19"/>
      <c r="AN315" s="19"/>
      <c r="AO315" s="19"/>
      <c r="AP315" s="19"/>
      <c r="AQ315" s="19"/>
      <c r="AR315" s="19"/>
      <c r="AS315" s="19"/>
      <c r="AT315" s="19"/>
      <c r="AU315" s="19"/>
      <c r="AV315" s="19"/>
      <c r="AW315" s="19"/>
      <c r="AX315" s="19"/>
      <c r="AY315" s="19"/>
      <c r="AZ315" s="19"/>
      <c r="BA315" s="19"/>
      <c r="BB315" s="19"/>
      <c r="BC315" s="19"/>
      <c r="BD315" s="19"/>
      <c r="BE315" s="19"/>
      <c r="BF315" s="19"/>
      <c r="BG315" s="19"/>
      <c r="BH315" s="19"/>
      <c r="BI315" s="19"/>
      <c r="BJ315" s="19"/>
      <c r="BK315" s="19"/>
      <c r="BL315" s="19"/>
      <c r="BM315" s="19"/>
      <c r="BN315" s="19"/>
      <c r="BO315" s="19"/>
      <c r="BP315" s="19"/>
      <c r="BQ315" s="19"/>
      <c r="BR315" s="19"/>
      <c r="BS315" s="19"/>
      <c r="BT315" s="19"/>
      <c r="BU315" s="19"/>
      <c r="BV315" s="19"/>
      <c r="BW315" s="19"/>
      <c r="BX315" s="19"/>
      <c r="BY315" s="19"/>
      <c r="BZ315" s="19"/>
      <c r="CA315" s="19"/>
      <c r="CB315" s="19"/>
      <c r="CC315" s="19"/>
      <c r="CD315" s="19"/>
      <c r="CE315" s="19"/>
      <c r="CF315" s="6"/>
    </row>
    <row r="316" spans="1:84">
      <c r="A316" s="17"/>
      <c r="B316" s="17"/>
      <c r="C316" s="17"/>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c r="AB316" s="19"/>
      <c r="AC316" s="19"/>
      <c r="AD316" s="19"/>
      <c r="AE316" s="19"/>
      <c r="AF316" s="19"/>
      <c r="AG316" s="19"/>
      <c r="AH316" s="19"/>
      <c r="AI316" s="19"/>
      <c r="AJ316" s="19"/>
      <c r="AK316" s="19"/>
      <c r="AL316" s="19"/>
      <c r="AM316" s="19"/>
      <c r="AN316" s="19"/>
      <c r="AO316" s="19"/>
      <c r="AP316" s="19"/>
      <c r="AQ316" s="19"/>
      <c r="AR316" s="19"/>
      <c r="AS316" s="19"/>
      <c r="AT316" s="19"/>
      <c r="AU316" s="19"/>
      <c r="AV316" s="19"/>
      <c r="AW316" s="19"/>
      <c r="AX316" s="19"/>
      <c r="AY316" s="19"/>
      <c r="AZ316" s="19"/>
      <c r="BA316" s="19"/>
      <c r="BB316" s="19"/>
      <c r="BC316" s="19"/>
      <c r="BD316" s="19"/>
      <c r="BE316" s="19"/>
      <c r="BF316" s="19"/>
      <c r="BG316" s="19"/>
      <c r="BH316" s="19"/>
      <c r="BI316" s="19"/>
      <c r="BJ316" s="19"/>
      <c r="BK316" s="19"/>
      <c r="BL316" s="19"/>
      <c r="BM316" s="19"/>
      <c r="BN316" s="19"/>
      <c r="BO316" s="19"/>
      <c r="BP316" s="19"/>
      <c r="BQ316" s="19"/>
      <c r="BR316" s="19"/>
      <c r="BS316" s="19"/>
      <c r="BT316" s="19"/>
      <c r="BU316" s="19"/>
      <c r="BV316" s="19"/>
      <c r="BW316" s="19"/>
      <c r="BX316" s="19"/>
      <c r="BY316" s="19"/>
      <c r="BZ316" s="19"/>
      <c r="CA316" s="19"/>
      <c r="CB316" s="19"/>
      <c r="CC316" s="19"/>
      <c r="CD316" s="19"/>
      <c r="CE316" s="19"/>
      <c r="CF316" s="6"/>
    </row>
    <row r="317" spans="1:84">
      <c r="A317" s="17"/>
      <c r="B317" s="17"/>
      <c r="C317" s="17"/>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c r="AB317" s="19"/>
      <c r="AC317" s="19"/>
      <c r="AD317" s="19"/>
      <c r="AE317" s="19"/>
      <c r="AF317" s="19"/>
      <c r="AG317" s="19"/>
      <c r="AH317" s="19"/>
      <c r="AI317" s="19"/>
      <c r="AJ317" s="19"/>
      <c r="AK317" s="19"/>
      <c r="AL317" s="19"/>
      <c r="AM317" s="19"/>
      <c r="AN317" s="19"/>
      <c r="AO317" s="19"/>
      <c r="AP317" s="19"/>
      <c r="AQ317" s="19"/>
      <c r="AR317" s="19"/>
      <c r="AS317" s="19"/>
      <c r="AT317" s="19"/>
      <c r="AU317" s="19"/>
      <c r="AV317" s="19"/>
      <c r="AW317" s="19"/>
      <c r="AX317" s="19"/>
      <c r="AY317" s="19"/>
      <c r="AZ317" s="19"/>
      <c r="BA317" s="19"/>
      <c r="BB317" s="19"/>
      <c r="BC317" s="19"/>
      <c r="BD317" s="19"/>
      <c r="BE317" s="19"/>
      <c r="BF317" s="19"/>
      <c r="BG317" s="19"/>
      <c r="BH317" s="19"/>
      <c r="BI317" s="19"/>
      <c r="BJ317" s="19"/>
      <c r="BK317" s="19"/>
      <c r="BL317" s="19"/>
      <c r="BM317" s="19"/>
      <c r="BN317" s="19"/>
      <c r="BO317" s="19"/>
      <c r="BP317" s="19"/>
      <c r="BQ317" s="19"/>
      <c r="BR317" s="19"/>
      <c r="BS317" s="19"/>
      <c r="BT317" s="19"/>
      <c r="BU317" s="19"/>
      <c r="BV317" s="19"/>
      <c r="BW317" s="19"/>
      <c r="BX317" s="19"/>
      <c r="BY317" s="19"/>
      <c r="BZ317" s="19"/>
      <c r="CA317" s="19"/>
      <c r="CB317" s="19"/>
      <c r="CC317" s="19"/>
      <c r="CD317" s="19"/>
      <c r="CE317" s="19"/>
      <c r="CF317" s="6"/>
    </row>
    <row r="318" spans="1:84">
      <c r="A318" s="17"/>
      <c r="B318" s="17"/>
      <c r="C318" s="17"/>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9"/>
      <c r="AB318" s="19"/>
      <c r="AC318" s="19"/>
      <c r="AD318" s="19"/>
      <c r="AE318" s="19"/>
      <c r="AF318" s="19"/>
      <c r="AG318" s="19"/>
      <c r="AH318" s="19"/>
      <c r="AI318" s="19"/>
      <c r="AJ318" s="19"/>
      <c r="AK318" s="19"/>
      <c r="AL318" s="19"/>
      <c r="AM318" s="19"/>
      <c r="AN318" s="19"/>
      <c r="AO318" s="19"/>
      <c r="AP318" s="19"/>
      <c r="AQ318" s="19"/>
      <c r="AR318" s="19"/>
      <c r="AS318" s="19"/>
      <c r="AT318" s="19"/>
      <c r="AU318" s="19"/>
      <c r="AV318" s="19"/>
      <c r="AW318" s="19"/>
      <c r="AX318" s="19"/>
      <c r="AY318" s="19"/>
      <c r="AZ318" s="19"/>
      <c r="BA318" s="19"/>
      <c r="BB318" s="19"/>
      <c r="BC318" s="19"/>
      <c r="BD318" s="19"/>
      <c r="BE318" s="19"/>
      <c r="BF318" s="19"/>
      <c r="BG318" s="19"/>
      <c r="BH318" s="19"/>
      <c r="BI318" s="19"/>
      <c r="BJ318" s="19"/>
      <c r="BK318" s="19"/>
      <c r="BL318" s="19"/>
      <c r="BM318" s="19"/>
      <c r="BN318" s="19"/>
      <c r="BO318" s="19"/>
      <c r="BP318" s="19"/>
      <c r="BQ318" s="19"/>
      <c r="BR318" s="19"/>
      <c r="BS318" s="19"/>
      <c r="BT318" s="19"/>
      <c r="BU318" s="19"/>
      <c r="BV318" s="19"/>
      <c r="BW318" s="19"/>
      <c r="BX318" s="19"/>
      <c r="BY318" s="19"/>
      <c r="BZ318" s="19"/>
      <c r="CA318" s="19"/>
      <c r="CB318" s="19"/>
      <c r="CC318" s="19"/>
      <c r="CD318" s="19"/>
      <c r="CE318" s="19"/>
      <c r="CF318" s="6"/>
    </row>
    <row r="319" spans="1:84">
      <c r="A319" s="17"/>
      <c r="B319" s="17"/>
      <c r="C319" s="17"/>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9"/>
      <c r="AB319" s="19"/>
      <c r="AC319" s="19"/>
      <c r="AD319" s="19"/>
      <c r="AE319" s="19"/>
      <c r="AF319" s="19"/>
      <c r="AG319" s="19"/>
      <c r="AH319" s="19"/>
      <c r="AI319" s="19"/>
      <c r="AJ319" s="19"/>
      <c r="AK319" s="19"/>
      <c r="AL319" s="19"/>
      <c r="AM319" s="19"/>
      <c r="AN319" s="19"/>
      <c r="AO319" s="19"/>
      <c r="AP319" s="19"/>
      <c r="AQ319" s="19"/>
      <c r="AR319" s="19"/>
      <c r="AS319" s="19"/>
      <c r="AT319" s="19"/>
      <c r="AU319" s="19"/>
      <c r="AV319" s="19"/>
      <c r="AW319" s="19"/>
      <c r="AX319" s="19"/>
      <c r="AY319" s="19"/>
      <c r="AZ319" s="19"/>
      <c r="BA319" s="19"/>
      <c r="BB319" s="19"/>
      <c r="BC319" s="19"/>
      <c r="BD319" s="19"/>
      <c r="BE319" s="19"/>
      <c r="BF319" s="19"/>
      <c r="BG319" s="19"/>
      <c r="BH319" s="19"/>
      <c r="BI319" s="19"/>
      <c r="BJ319" s="19"/>
      <c r="BK319" s="19"/>
      <c r="BL319" s="19"/>
      <c r="BM319" s="19"/>
      <c r="BN319" s="19"/>
      <c r="BO319" s="19"/>
      <c r="BP319" s="19"/>
      <c r="BQ319" s="19"/>
      <c r="BR319" s="19"/>
      <c r="BS319" s="19"/>
      <c r="BT319" s="19"/>
      <c r="BU319" s="19"/>
      <c r="BV319" s="19"/>
      <c r="BW319" s="19"/>
      <c r="BX319" s="19"/>
      <c r="BY319" s="19"/>
      <c r="BZ319" s="19"/>
      <c r="CA319" s="19"/>
      <c r="CB319" s="19"/>
      <c r="CC319" s="19"/>
      <c r="CD319" s="19"/>
      <c r="CE319" s="19"/>
      <c r="CF319" s="6"/>
    </row>
    <row r="320" spans="1:84">
      <c r="A320" s="17"/>
      <c r="B320" s="17"/>
      <c r="C320" s="17"/>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9"/>
      <c r="AB320" s="19"/>
      <c r="AC320" s="19"/>
      <c r="AD320" s="19"/>
      <c r="AE320" s="19"/>
      <c r="AF320" s="19"/>
      <c r="AG320" s="19"/>
      <c r="AH320" s="19"/>
      <c r="AI320" s="19"/>
      <c r="AJ320" s="19"/>
      <c r="AK320" s="19"/>
      <c r="AL320" s="19"/>
      <c r="AM320" s="19"/>
      <c r="AN320" s="19"/>
      <c r="AO320" s="19"/>
      <c r="AP320" s="19"/>
      <c r="AQ320" s="19"/>
      <c r="AR320" s="19"/>
      <c r="AS320" s="19"/>
      <c r="AT320" s="19"/>
      <c r="AU320" s="19"/>
      <c r="AV320" s="19"/>
      <c r="AW320" s="19"/>
      <c r="AX320" s="19"/>
      <c r="AY320" s="19"/>
      <c r="AZ320" s="19"/>
      <c r="BA320" s="19"/>
      <c r="BB320" s="19"/>
      <c r="BC320" s="19"/>
      <c r="BD320" s="19"/>
      <c r="BE320" s="19"/>
      <c r="BF320" s="19"/>
      <c r="BG320" s="19"/>
      <c r="BH320" s="19"/>
      <c r="BI320" s="19"/>
      <c r="BJ320" s="19"/>
      <c r="BK320" s="19"/>
      <c r="BL320" s="19"/>
      <c r="BM320" s="19"/>
      <c r="BN320" s="19"/>
      <c r="BO320" s="19"/>
      <c r="BP320" s="19"/>
      <c r="BQ320" s="19"/>
      <c r="BR320" s="19"/>
      <c r="BS320" s="19"/>
      <c r="BT320" s="19"/>
      <c r="BU320" s="19"/>
      <c r="BV320" s="19"/>
      <c r="BW320" s="19"/>
      <c r="BX320" s="19"/>
      <c r="BY320" s="19"/>
      <c r="BZ320" s="19"/>
      <c r="CA320" s="19"/>
      <c r="CB320" s="19"/>
      <c r="CC320" s="19"/>
      <c r="CD320" s="19"/>
      <c r="CE320" s="19"/>
      <c r="CF320" s="6"/>
    </row>
    <row r="321" spans="1:84">
      <c r="A321" s="17"/>
      <c r="B321" s="17"/>
      <c r="C321" s="17"/>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9"/>
      <c r="AB321" s="19"/>
      <c r="AC321" s="19"/>
      <c r="AD321" s="19"/>
      <c r="AE321" s="19"/>
      <c r="AF321" s="19"/>
      <c r="AG321" s="19"/>
      <c r="AH321" s="19"/>
      <c r="AI321" s="19"/>
      <c r="AJ321" s="19"/>
      <c r="AK321" s="19"/>
      <c r="AL321" s="19"/>
      <c r="AM321" s="19"/>
      <c r="AN321" s="19"/>
      <c r="AO321" s="19"/>
      <c r="AP321" s="19"/>
      <c r="AQ321" s="19"/>
      <c r="AR321" s="19"/>
      <c r="AS321" s="19"/>
      <c r="AT321" s="19"/>
      <c r="AU321" s="19"/>
      <c r="AV321" s="19"/>
      <c r="AW321" s="19"/>
      <c r="AX321" s="19"/>
      <c r="AY321" s="19"/>
      <c r="AZ321" s="19"/>
      <c r="BA321" s="19"/>
      <c r="BB321" s="19"/>
      <c r="BC321" s="19"/>
      <c r="BD321" s="19"/>
      <c r="BE321" s="19"/>
      <c r="BF321" s="19"/>
      <c r="BG321" s="19"/>
      <c r="BH321" s="19"/>
      <c r="BI321" s="19"/>
      <c r="BJ321" s="19"/>
      <c r="BK321" s="19"/>
      <c r="BL321" s="19"/>
      <c r="BM321" s="19"/>
      <c r="BN321" s="19"/>
      <c r="BO321" s="19"/>
      <c r="BP321" s="19"/>
      <c r="BQ321" s="19"/>
      <c r="BR321" s="19"/>
      <c r="BS321" s="19"/>
      <c r="BT321" s="19"/>
      <c r="BU321" s="19"/>
      <c r="BV321" s="19"/>
      <c r="BW321" s="19"/>
      <c r="BX321" s="19"/>
      <c r="BY321" s="19"/>
      <c r="BZ321" s="19"/>
      <c r="CA321" s="19"/>
      <c r="CB321" s="19"/>
      <c r="CC321" s="19"/>
      <c r="CD321" s="19"/>
      <c r="CE321" s="19"/>
      <c r="CF321" s="6"/>
    </row>
    <row r="322" spans="1:84">
      <c r="A322" s="17"/>
      <c r="B322" s="17"/>
      <c r="C322" s="17"/>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9"/>
      <c r="AB322" s="19"/>
      <c r="AC322" s="19"/>
      <c r="AD322" s="19"/>
      <c r="AE322" s="19"/>
      <c r="AF322" s="19"/>
      <c r="AG322" s="19"/>
      <c r="AH322" s="19"/>
      <c r="AI322" s="19"/>
      <c r="AJ322" s="19"/>
      <c r="AK322" s="19"/>
      <c r="AL322" s="19"/>
      <c r="AM322" s="19"/>
      <c r="AN322" s="19"/>
      <c r="AO322" s="19"/>
      <c r="AP322" s="19"/>
      <c r="AQ322" s="19"/>
      <c r="AR322" s="19"/>
      <c r="AS322" s="19"/>
      <c r="AT322" s="19"/>
      <c r="AU322" s="19"/>
      <c r="AV322" s="19"/>
      <c r="AW322" s="19"/>
      <c r="AX322" s="19"/>
      <c r="AY322" s="19"/>
      <c r="AZ322" s="19"/>
      <c r="BA322" s="19"/>
      <c r="BB322" s="19"/>
      <c r="BC322" s="19"/>
      <c r="BD322" s="19"/>
      <c r="BE322" s="19"/>
      <c r="BF322" s="19"/>
      <c r="BG322" s="19"/>
      <c r="BH322" s="19"/>
      <c r="BI322" s="19"/>
      <c r="BJ322" s="19"/>
      <c r="BK322" s="19"/>
      <c r="BL322" s="19"/>
      <c r="BM322" s="19"/>
      <c r="BN322" s="19"/>
      <c r="BO322" s="19"/>
      <c r="BP322" s="19"/>
      <c r="BQ322" s="19"/>
      <c r="BR322" s="19"/>
      <c r="BS322" s="19"/>
      <c r="BT322" s="19"/>
      <c r="BU322" s="19"/>
      <c r="BV322" s="19"/>
      <c r="BW322" s="19"/>
      <c r="BX322" s="19"/>
      <c r="BY322" s="19"/>
      <c r="BZ322" s="19"/>
      <c r="CA322" s="19"/>
      <c r="CB322" s="19"/>
      <c r="CC322" s="19"/>
      <c r="CD322" s="19"/>
      <c r="CE322" s="19"/>
      <c r="CF322" s="6"/>
    </row>
    <row r="323" spans="1:84">
      <c r="A323" s="17"/>
      <c r="B323" s="17"/>
      <c r="C323" s="17"/>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9"/>
      <c r="AB323" s="19"/>
      <c r="AC323" s="19"/>
      <c r="AD323" s="19"/>
      <c r="AE323" s="19"/>
      <c r="AF323" s="19"/>
      <c r="AG323" s="19"/>
      <c r="AH323" s="19"/>
      <c r="AI323" s="19"/>
      <c r="AJ323" s="19"/>
      <c r="AK323" s="19"/>
      <c r="AL323" s="19"/>
      <c r="AM323" s="19"/>
      <c r="AN323" s="19"/>
      <c r="AO323" s="19"/>
      <c r="AP323" s="19"/>
      <c r="AQ323" s="19"/>
      <c r="AR323" s="19"/>
      <c r="AS323" s="19"/>
      <c r="AT323" s="19"/>
      <c r="AU323" s="19"/>
      <c r="AV323" s="19"/>
      <c r="AW323" s="19"/>
      <c r="AX323" s="19"/>
      <c r="AY323" s="19"/>
      <c r="AZ323" s="19"/>
      <c r="BA323" s="19"/>
      <c r="BB323" s="19"/>
      <c r="BC323" s="19"/>
      <c r="BD323" s="19"/>
      <c r="BE323" s="19"/>
      <c r="BF323" s="19"/>
      <c r="BG323" s="19"/>
      <c r="BH323" s="19"/>
      <c r="BI323" s="19"/>
      <c r="BJ323" s="19"/>
      <c r="BK323" s="19"/>
      <c r="BL323" s="19"/>
      <c r="BM323" s="19"/>
      <c r="BN323" s="19"/>
      <c r="BO323" s="19"/>
      <c r="BP323" s="19"/>
      <c r="BQ323" s="19"/>
      <c r="BR323" s="19"/>
      <c r="BS323" s="19"/>
      <c r="BT323" s="19"/>
      <c r="BU323" s="19"/>
      <c r="BV323" s="19"/>
      <c r="BW323" s="19"/>
      <c r="BX323" s="19"/>
      <c r="BY323" s="19"/>
      <c r="BZ323" s="19"/>
      <c r="CA323" s="19"/>
      <c r="CB323" s="19"/>
      <c r="CC323" s="19"/>
      <c r="CD323" s="19"/>
      <c r="CE323" s="19"/>
      <c r="CF323" s="6"/>
    </row>
    <row r="324" spans="1:84">
      <c r="A324" s="17"/>
      <c r="B324" s="17"/>
      <c r="C324" s="17"/>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9"/>
      <c r="AB324" s="19"/>
      <c r="AC324" s="19"/>
      <c r="AD324" s="19"/>
      <c r="AE324" s="19"/>
      <c r="AF324" s="19"/>
      <c r="AG324" s="19"/>
      <c r="AH324" s="19"/>
      <c r="AI324" s="19"/>
      <c r="AJ324" s="19"/>
      <c r="AK324" s="19"/>
      <c r="AL324" s="19"/>
      <c r="AM324" s="19"/>
      <c r="AN324" s="19"/>
      <c r="AO324" s="19"/>
      <c r="AP324" s="19"/>
      <c r="AQ324" s="19"/>
      <c r="AR324" s="19"/>
      <c r="AS324" s="19"/>
      <c r="AT324" s="19"/>
      <c r="AU324" s="19"/>
      <c r="AV324" s="19"/>
      <c r="AW324" s="19"/>
      <c r="AX324" s="19"/>
      <c r="AY324" s="19"/>
      <c r="AZ324" s="19"/>
      <c r="BA324" s="19"/>
      <c r="BB324" s="19"/>
      <c r="BC324" s="19"/>
      <c r="BD324" s="19"/>
      <c r="BE324" s="19"/>
      <c r="BF324" s="19"/>
      <c r="BG324" s="19"/>
      <c r="BH324" s="19"/>
      <c r="BI324" s="19"/>
      <c r="BJ324" s="19"/>
      <c r="BK324" s="19"/>
      <c r="BL324" s="19"/>
      <c r="BM324" s="19"/>
      <c r="BN324" s="19"/>
      <c r="BO324" s="19"/>
      <c r="BP324" s="19"/>
      <c r="BQ324" s="19"/>
      <c r="BR324" s="19"/>
      <c r="BS324" s="19"/>
      <c r="BT324" s="19"/>
      <c r="BU324" s="19"/>
      <c r="BV324" s="19"/>
      <c r="BW324" s="19"/>
      <c r="BX324" s="19"/>
      <c r="BY324" s="19"/>
      <c r="BZ324" s="19"/>
      <c r="CA324" s="19"/>
      <c r="CB324" s="19"/>
      <c r="CC324" s="19"/>
      <c r="CD324" s="19"/>
      <c r="CE324" s="19"/>
      <c r="CF324" s="6"/>
    </row>
    <row r="325" spans="1:84">
      <c r="A325" s="17"/>
      <c r="B325" s="17"/>
      <c r="C325" s="17"/>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9"/>
      <c r="AB325" s="19"/>
      <c r="AC325" s="19"/>
      <c r="AD325" s="19"/>
      <c r="AE325" s="19"/>
      <c r="AF325" s="19"/>
      <c r="AG325" s="19"/>
      <c r="AH325" s="19"/>
      <c r="AI325" s="19"/>
      <c r="AJ325" s="19"/>
      <c r="AK325" s="19"/>
      <c r="AL325" s="19"/>
      <c r="AM325" s="19"/>
      <c r="AN325" s="19"/>
      <c r="AO325" s="19"/>
      <c r="AP325" s="19"/>
      <c r="AQ325" s="19"/>
      <c r="AR325" s="19"/>
      <c r="AS325" s="19"/>
      <c r="AT325" s="19"/>
      <c r="AU325" s="19"/>
      <c r="AV325" s="19"/>
      <c r="AW325" s="19"/>
      <c r="AX325" s="19"/>
      <c r="AY325" s="19"/>
      <c r="AZ325" s="19"/>
      <c r="BA325" s="19"/>
      <c r="BB325" s="19"/>
      <c r="BC325" s="19"/>
      <c r="BD325" s="19"/>
      <c r="BE325" s="19"/>
      <c r="BF325" s="19"/>
      <c r="BG325" s="19"/>
      <c r="BH325" s="19"/>
      <c r="BI325" s="19"/>
      <c r="BJ325" s="19"/>
      <c r="BK325" s="19"/>
      <c r="BL325" s="19"/>
      <c r="BM325" s="19"/>
      <c r="BN325" s="19"/>
      <c r="BO325" s="19"/>
      <c r="BP325" s="19"/>
      <c r="BQ325" s="19"/>
      <c r="BR325" s="19"/>
      <c r="BS325" s="19"/>
      <c r="BT325" s="19"/>
      <c r="BU325" s="19"/>
      <c r="BV325" s="19"/>
      <c r="BW325" s="19"/>
      <c r="BX325" s="19"/>
      <c r="BY325" s="19"/>
      <c r="BZ325" s="19"/>
      <c r="CA325" s="19"/>
      <c r="CB325" s="19"/>
      <c r="CC325" s="19"/>
      <c r="CD325" s="19"/>
      <c r="CE325" s="19"/>
      <c r="CF325" s="6"/>
    </row>
    <row r="326" spans="1:84">
      <c r="A326" s="17"/>
      <c r="B326" s="17"/>
      <c r="C326" s="17"/>
      <c r="D326" s="19"/>
      <c r="E326" s="19"/>
      <c r="F326" s="19"/>
      <c r="G326" s="19"/>
      <c r="H326" s="19"/>
      <c r="I326" s="19"/>
      <c r="J326" s="19"/>
      <c r="K326" s="19"/>
      <c r="L326" s="19"/>
      <c r="M326" s="19"/>
      <c r="N326" s="19"/>
      <c r="O326" s="19"/>
      <c r="P326" s="19"/>
      <c r="Q326" s="19"/>
      <c r="R326" s="19"/>
      <c r="S326" s="19"/>
      <c r="T326" s="19"/>
      <c r="U326" s="19"/>
      <c r="V326" s="19"/>
      <c r="W326" s="19"/>
      <c r="X326" s="19"/>
      <c r="Y326" s="19"/>
      <c r="Z326" s="19"/>
      <c r="AA326" s="19"/>
      <c r="AB326" s="19"/>
      <c r="AC326" s="19"/>
      <c r="AD326" s="19"/>
      <c r="AE326" s="19"/>
      <c r="AF326" s="19"/>
      <c r="AG326" s="19"/>
      <c r="AH326" s="19"/>
      <c r="AI326" s="19"/>
      <c r="AJ326" s="19"/>
      <c r="AK326" s="19"/>
      <c r="AL326" s="19"/>
      <c r="AM326" s="19"/>
      <c r="AN326" s="19"/>
      <c r="AO326" s="19"/>
      <c r="AP326" s="19"/>
      <c r="AQ326" s="19"/>
      <c r="AR326" s="19"/>
      <c r="AS326" s="19"/>
      <c r="AT326" s="19"/>
      <c r="AU326" s="19"/>
      <c r="AV326" s="19"/>
      <c r="AW326" s="19"/>
      <c r="AX326" s="19"/>
      <c r="AY326" s="19"/>
      <c r="AZ326" s="19"/>
      <c r="BA326" s="19"/>
      <c r="BB326" s="19"/>
      <c r="BC326" s="19"/>
      <c r="BD326" s="19"/>
      <c r="BE326" s="19"/>
      <c r="BF326" s="19"/>
      <c r="BG326" s="19"/>
      <c r="BH326" s="19"/>
      <c r="BI326" s="19"/>
      <c r="BJ326" s="19"/>
      <c r="BK326" s="19"/>
      <c r="BL326" s="19"/>
      <c r="BM326" s="19"/>
      <c r="BN326" s="19"/>
      <c r="BO326" s="19"/>
      <c r="BP326" s="19"/>
      <c r="BQ326" s="19"/>
      <c r="BR326" s="19"/>
      <c r="BS326" s="19"/>
      <c r="BT326" s="19"/>
      <c r="BU326" s="19"/>
      <c r="BV326" s="19"/>
      <c r="BW326" s="19"/>
      <c r="BX326" s="19"/>
      <c r="BY326" s="19"/>
      <c r="BZ326" s="19"/>
      <c r="CA326" s="19"/>
      <c r="CB326" s="19"/>
      <c r="CC326" s="19"/>
      <c r="CD326" s="19"/>
      <c r="CE326" s="19"/>
      <c r="CF326" s="6"/>
    </row>
    <row r="327" spans="1:84">
      <c r="A327" s="17"/>
      <c r="B327" s="17"/>
      <c r="C327" s="17"/>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9"/>
      <c r="AB327" s="19"/>
      <c r="AC327" s="19"/>
      <c r="AD327" s="19"/>
      <c r="AE327" s="19"/>
      <c r="AF327" s="19"/>
      <c r="AG327" s="19"/>
      <c r="AH327" s="19"/>
      <c r="AI327" s="19"/>
      <c r="AJ327" s="19"/>
      <c r="AK327" s="19"/>
      <c r="AL327" s="19"/>
      <c r="AM327" s="19"/>
      <c r="AN327" s="19"/>
      <c r="AO327" s="19"/>
      <c r="AP327" s="19"/>
      <c r="AQ327" s="19"/>
      <c r="AR327" s="19"/>
      <c r="AS327" s="19"/>
      <c r="AT327" s="19"/>
      <c r="AU327" s="19"/>
      <c r="AV327" s="19"/>
      <c r="AW327" s="19"/>
      <c r="AX327" s="19"/>
      <c r="AY327" s="19"/>
      <c r="AZ327" s="19"/>
      <c r="BA327" s="19"/>
      <c r="BB327" s="19"/>
      <c r="BC327" s="19"/>
      <c r="BD327" s="19"/>
      <c r="BE327" s="19"/>
      <c r="BF327" s="19"/>
      <c r="BG327" s="19"/>
      <c r="BH327" s="19"/>
      <c r="BI327" s="19"/>
      <c r="BJ327" s="19"/>
      <c r="BK327" s="19"/>
      <c r="BL327" s="19"/>
      <c r="BM327" s="19"/>
      <c r="BN327" s="19"/>
      <c r="BO327" s="19"/>
      <c r="BP327" s="19"/>
      <c r="BQ327" s="19"/>
      <c r="BR327" s="19"/>
      <c r="BS327" s="19"/>
      <c r="BT327" s="19"/>
      <c r="BU327" s="19"/>
      <c r="BV327" s="19"/>
      <c r="BW327" s="19"/>
      <c r="BX327" s="19"/>
      <c r="BY327" s="19"/>
      <c r="BZ327" s="19"/>
      <c r="CA327" s="19"/>
      <c r="CB327" s="19"/>
      <c r="CC327" s="19"/>
      <c r="CD327" s="19"/>
      <c r="CE327" s="19"/>
      <c r="CF327" s="6"/>
    </row>
    <row r="328" spans="1:84">
      <c r="A328" s="17"/>
      <c r="B328" s="17"/>
      <c r="C328" s="17"/>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9"/>
      <c r="AB328" s="19"/>
      <c r="AC328" s="19"/>
      <c r="AD328" s="19"/>
      <c r="AE328" s="19"/>
      <c r="AF328" s="19"/>
      <c r="AG328" s="19"/>
      <c r="AH328" s="19"/>
      <c r="AI328" s="19"/>
      <c r="AJ328" s="19"/>
      <c r="AK328" s="19"/>
      <c r="AL328" s="19"/>
      <c r="AM328" s="19"/>
      <c r="AN328" s="19"/>
      <c r="AO328" s="19"/>
      <c r="AP328" s="19"/>
      <c r="AQ328" s="19"/>
      <c r="AR328" s="19"/>
      <c r="AS328" s="19"/>
      <c r="AT328" s="19"/>
      <c r="AU328" s="19"/>
      <c r="AV328" s="19"/>
      <c r="AW328" s="19"/>
      <c r="AX328" s="19"/>
      <c r="AY328" s="19"/>
      <c r="AZ328" s="19"/>
      <c r="BA328" s="19"/>
      <c r="BB328" s="19"/>
      <c r="BC328" s="19"/>
      <c r="BD328" s="19"/>
      <c r="BE328" s="19"/>
      <c r="BF328" s="19"/>
      <c r="BG328" s="19"/>
      <c r="BH328" s="19"/>
      <c r="BI328" s="19"/>
      <c r="BJ328" s="19"/>
      <c r="BK328" s="19"/>
      <c r="BL328" s="19"/>
      <c r="BM328" s="19"/>
      <c r="BN328" s="19"/>
      <c r="BO328" s="19"/>
      <c r="BP328" s="19"/>
      <c r="BQ328" s="19"/>
      <c r="BR328" s="19"/>
      <c r="BS328" s="19"/>
      <c r="BT328" s="19"/>
      <c r="BU328" s="19"/>
      <c r="BV328" s="19"/>
      <c r="BW328" s="19"/>
      <c r="BX328" s="19"/>
      <c r="BY328" s="19"/>
      <c r="BZ328" s="19"/>
      <c r="CA328" s="19"/>
      <c r="CB328" s="19"/>
      <c r="CC328" s="19"/>
      <c r="CD328" s="19"/>
      <c r="CE328" s="19"/>
      <c r="CF328" s="6"/>
    </row>
    <row r="329" spans="1:84">
      <c r="A329" s="17"/>
      <c r="B329" s="17"/>
      <c r="C329" s="17"/>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9"/>
      <c r="AB329" s="19"/>
      <c r="AC329" s="19"/>
      <c r="AD329" s="19"/>
      <c r="AE329" s="19"/>
      <c r="AF329" s="19"/>
      <c r="AG329" s="19"/>
      <c r="AH329" s="19"/>
      <c r="AI329" s="19"/>
      <c r="AJ329" s="19"/>
      <c r="AK329" s="19"/>
      <c r="AL329" s="19"/>
      <c r="AM329" s="19"/>
      <c r="AN329" s="19"/>
      <c r="AO329" s="19"/>
      <c r="AP329" s="19"/>
      <c r="AQ329" s="19"/>
      <c r="AR329" s="19"/>
      <c r="AS329" s="19"/>
      <c r="AT329" s="19"/>
      <c r="AU329" s="19"/>
      <c r="AV329" s="19"/>
      <c r="AW329" s="19"/>
      <c r="AX329" s="19"/>
      <c r="AY329" s="19"/>
      <c r="AZ329" s="19"/>
      <c r="BA329" s="19"/>
      <c r="BB329" s="19"/>
      <c r="BC329" s="19"/>
      <c r="BD329" s="19"/>
      <c r="BE329" s="19"/>
      <c r="BF329" s="19"/>
      <c r="BG329" s="19"/>
      <c r="BH329" s="19"/>
      <c r="BI329" s="19"/>
      <c r="BJ329" s="19"/>
      <c r="BK329" s="19"/>
      <c r="BL329" s="19"/>
      <c r="BM329" s="19"/>
      <c r="BN329" s="19"/>
      <c r="BO329" s="19"/>
      <c r="BP329" s="19"/>
      <c r="BQ329" s="19"/>
      <c r="BR329" s="19"/>
      <c r="BS329" s="19"/>
      <c r="BT329" s="19"/>
      <c r="BU329" s="19"/>
      <c r="BV329" s="19"/>
      <c r="BW329" s="19"/>
      <c r="BX329" s="19"/>
      <c r="BY329" s="19"/>
      <c r="BZ329" s="19"/>
      <c r="CA329" s="19"/>
      <c r="CB329" s="19"/>
      <c r="CC329" s="19"/>
      <c r="CD329" s="19"/>
      <c r="CE329" s="19"/>
      <c r="CF329" s="6"/>
    </row>
    <row r="330" spans="1:84">
      <c r="A330" s="17"/>
      <c r="B330" s="17"/>
      <c r="C330" s="17"/>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9"/>
      <c r="AB330" s="19"/>
      <c r="AC330" s="19"/>
      <c r="AD330" s="19"/>
      <c r="AE330" s="19"/>
      <c r="AF330" s="19"/>
      <c r="AG330" s="19"/>
      <c r="AH330" s="19"/>
      <c r="AI330" s="19"/>
      <c r="AJ330" s="19"/>
      <c r="AK330" s="19"/>
      <c r="AL330" s="19"/>
      <c r="AM330" s="19"/>
      <c r="AN330" s="19"/>
      <c r="AO330" s="19"/>
      <c r="AP330" s="19"/>
      <c r="AQ330" s="19"/>
      <c r="AR330" s="19"/>
      <c r="AS330" s="19"/>
      <c r="AT330" s="19"/>
      <c r="AU330" s="19"/>
      <c r="AV330" s="19"/>
      <c r="AW330" s="19"/>
      <c r="AX330" s="19"/>
      <c r="AY330" s="19"/>
      <c r="AZ330" s="19"/>
      <c r="BA330" s="19"/>
      <c r="BB330" s="19"/>
      <c r="BC330" s="19"/>
      <c r="BD330" s="19"/>
      <c r="BE330" s="19"/>
      <c r="BF330" s="19"/>
      <c r="BG330" s="19"/>
      <c r="BH330" s="19"/>
      <c r="BI330" s="19"/>
      <c r="BJ330" s="19"/>
      <c r="BK330" s="19"/>
      <c r="BL330" s="19"/>
      <c r="BM330" s="19"/>
      <c r="BN330" s="19"/>
      <c r="BO330" s="19"/>
      <c r="BP330" s="19"/>
      <c r="BQ330" s="19"/>
      <c r="BR330" s="19"/>
      <c r="BS330" s="19"/>
      <c r="BT330" s="19"/>
      <c r="BU330" s="19"/>
      <c r="BV330" s="19"/>
      <c r="BW330" s="19"/>
      <c r="BX330" s="19"/>
      <c r="BY330" s="19"/>
      <c r="BZ330" s="19"/>
      <c r="CA330" s="19"/>
      <c r="CB330" s="19"/>
      <c r="CC330" s="19"/>
      <c r="CD330" s="19"/>
      <c r="CE330" s="19"/>
      <c r="CF330" s="6"/>
    </row>
    <row r="331" spans="1:84">
      <c r="A331" s="17"/>
      <c r="B331" s="17"/>
      <c r="C331" s="17"/>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9"/>
      <c r="AB331" s="19"/>
      <c r="AC331" s="19"/>
      <c r="AD331" s="19"/>
      <c r="AE331" s="19"/>
      <c r="AF331" s="19"/>
      <c r="AG331" s="19"/>
      <c r="AH331" s="19"/>
      <c r="AI331" s="19"/>
      <c r="AJ331" s="19"/>
      <c r="AK331" s="19"/>
      <c r="AL331" s="19"/>
      <c r="AM331" s="19"/>
      <c r="AN331" s="19"/>
      <c r="AO331" s="19"/>
      <c r="AP331" s="19"/>
      <c r="AQ331" s="19"/>
      <c r="AR331" s="19"/>
      <c r="AS331" s="19"/>
      <c r="AT331" s="19"/>
      <c r="AU331" s="19"/>
      <c r="AV331" s="19"/>
      <c r="AW331" s="19"/>
      <c r="AX331" s="19"/>
      <c r="AY331" s="19"/>
      <c r="AZ331" s="19"/>
      <c r="BA331" s="19"/>
      <c r="BB331" s="19"/>
      <c r="BC331" s="19"/>
      <c r="BD331" s="19"/>
      <c r="BE331" s="19"/>
      <c r="BF331" s="19"/>
      <c r="BG331" s="19"/>
      <c r="BH331" s="19"/>
      <c r="BI331" s="19"/>
      <c r="BJ331" s="19"/>
      <c r="BK331" s="19"/>
      <c r="BL331" s="19"/>
      <c r="BM331" s="19"/>
      <c r="BN331" s="19"/>
      <c r="BO331" s="19"/>
      <c r="BP331" s="19"/>
      <c r="BQ331" s="19"/>
      <c r="BR331" s="19"/>
      <c r="BS331" s="19"/>
      <c r="BT331" s="19"/>
      <c r="BU331" s="19"/>
      <c r="BV331" s="19"/>
      <c r="BW331" s="19"/>
      <c r="BX331" s="19"/>
      <c r="BY331" s="19"/>
      <c r="BZ331" s="19"/>
      <c r="CA331" s="19"/>
      <c r="CB331" s="19"/>
      <c r="CC331" s="19"/>
      <c r="CD331" s="19"/>
      <c r="CE331" s="19"/>
      <c r="CF331" s="6"/>
    </row>
    <row r="332" spans="1:84">
      <c r="A332" s="17"/>
      <c r="B332" s="17"/>
      <c r="C332" s="17"/>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9"/>
      <c r="AB332" s="19"/>
      <c r="AC332" s="19"/>
      <c r="AD332" s="19"/>
      <c r="AE332" s="19"/>
      <c r="AF332" s="19"/>
      <c r="AG332" s="19"/>
      <c r="AH332" s="19"/>
      <c r="AI332" s="19"/>
      <c r="AJ332" s="19"/>
      <c r="AK332" s="19"/>
      <c r="AL332" s="19"/>
      <c r="AM332" s="19"/>
      <c r="AN332" s="19"/>
      <c r="AO332" s="19"/>
      <c r="AP332" s="19"/>
      <c r="AQ332" s="19"/>
      <c r="AR332" s="19"/>
      <c r="AS332" s="19"/>
      <c r="AT332" s="19"/>
      <c r="AU332" s="19"/>
      <c r="AV332" s="19"/>
      <c r="AW332" s="19"/>
      <c r="AX332" s="19"/>
      <c r="AY332" s="19"/>
      <c r="AZ332" s="19"/>
      <c r="BA332" s="19"/>
      <c r="BB332" s="19"/>
      <c r="BC332" s="19"/>
      <c r="BD332" s="19"/>
      <c r="BE332" s="19"/>
      <c r="BF332" s="19"/>
      <c r="BG332" s="19"/>
      <c r="BH332" s="19"/>
      <c r="BI332" s="19"/>
      <c r="BJ332" s="19"/>
      <c r="BK332" s="19"/>
      <c r="BL332" s="19"/>
      <c r="BM332" s="19"/>
      <c r="BN332" s="19"/>
      <c r="BO332" s="19"/>
      <c r="BP332" s="19"/>
      <c r="BQ332" s="19"/>
      <c r="BR332" s="19"/>
      <c r="BS332" s="19"/>
      <c r="BT332" s="19"/>
      <c r="BU332" s="19"/>
      <c r="BV332" s="19"/>
      <c r="BW332" s="19"/>
      <c r="BX332" s="19"/>
      <c r="BY332" s="19"/>
      <c r="BZ332" s="19"/>
      <c r="CA332" s="19"/>
      <c r="CB332" s="19"/>
      <c r="CC332" s="19"/>
      <c r="CD332" s="19"/>
      <c r="CE332" s="19"/>
      <c r="CF332" s="6"/>
    </row>
    <row r="333" spans="1:84">
      <c r="A333" s="17"/>
      <c r="B333" s="17"/>
      <c r="C333" s="17"/>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9"/>
      <c r="AB333" s="19"/>
      <c r="AC333" s="19"/>
      <c r="AD333" s="19"/>
      <c r="AE333" s="19"/>
      <c r="AF333" s="19"/>
      <c r="AG333" s="19"/>
      <c r="AH333" s="19"/>
      <c r="AI333" s="19"/>
      <c r="AJ333" s="19"/>
      <c r="AK333" s="19"/>
      <c r="AL333" s="19"/>
      <c r="AM333" s="19"/>
      <c r="AN333" s="19"/>
      <c r="AO333" s="19"/>
      <c r="AP333" s="19"/>
      <c r="AQ333" s="19"/>
      <c r="AR333" s="19"/>
      <c r="AS333" s="19"/>
      <c r="AT333" s="19"/>
      <c r="AU333" s="19"/>
      <c r="AV333" s="19"/>
      <c r="AW333" s="19"/>
      <c r="AX333" s="19"/>
      <c r="AY333" s="19"/>
      <c r="AZ333" s="19"/>
      <c r="BA333" s="19"/>
      <c r="BB333" s="19"/>
      <c r="BC333" s="19"/>
      <c r="BD333" s="19"/>
      <c r="BE333" s="19"/>
      <c r="BF333" s="19"/>
      <c r="BG333" s="19"/>
      <c r="BH333" s="19"/>
      <c r="BI333" s="19"/>
      <c r="BJ333" s="19"/>
      <c r="BK333" s="19"/>
      <c r="BL333" s="19"/>
      <c r="BM333" s="19"/>
      <c r="BN333" s="19"/>
      <c r="BO333" s="19"/>
      <c r="BP333" s="19"/>
      <c r="BQ333" s="19"/>
      <c r="BR333" s="19"/>
      <c r="BS333" s="19"/>
      <c r="BT333" s="19"/>
      <c r="BU333" s="19"/>
      <c r="BV333" s="19"/>
      <c r="BW333" s="19"/>
      <c r="BX333" s="19"/>
      <c r="BY333" s="19"/>
      <c r="BZ333" s="19"/>
      <c r="CA333" s="19"/>
      <c r="CB333" s="19"/>
      <c r="CC333" s="19"/>
      <c r="CD333" s="19"/>
      <c r="CE333" s="19"/>
      <c r="CF333" s="6"/>
    </row>
    <row r="334" spans="1:84">
      <c r="D334" s="6"/>
      <c r="E334" s="6"/>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6"/>
      <c r="AZ334" s="6"/>
      <c r="BA334" s="6"/>
      <c r="BB334" s="6"/>
      <c r="BC334" s="6"/>
      <c r="BD334" s="6"/>
      <c r="BE334" s="6"/>
      <c r="BF334" s="6"/>
      <c r="BG334" s="6"/>
      <c r="BH334" s="6"/>
      <c r="BI334" s="6"/>
      <c r="BJ334" s="6"/>
      <c r="BK334" s="6"/>
      <c r="BL334" s="6"/>
      <c r="BM334" s="6"/>
      <c r="BN334" s="6"/>
      <c r="BO334" s="6"/>
      <c r="BP334" s="6"/>
      <c r="BQ334" s="6"/>
      <c r="BR334" s="6"/>
      <c r="BS334" s="6"/>
      <c r="BT334" s="6"/>
      <c r="BU334" s="6"/>
      <c r="BV334" s="6"/>
      <c r="BW334" s="6"/>
      <c r="BX334" s="6"/>
      <c r="BY334" s="6"/>
      <c r="BZ334" s="6"/>
      <c r="CA334" s="6"/>
      <c r="CB334" s="6"/>
      <c r="CC334" s="6"/>
      <c r="CD334" s="6"/>
      <c r="CE334" s="6"/>
      <c r="CF334" s="6"/>
    </row>
    <row r="335" spans="1:84">
      <c r="D335" s="6"/>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6"/>
      <c r="AZ335" s="6"/>
      <c r="BA335" s="6"/>
      <c r="BB335" s="6"/>
      <c r="BC335" s="6"/>
      <c r="BD335" s="6"/>
      <c r="BE335" s="6"/>
      <c r="BF335" s="6"/>
      <c r="BG335" s="6"/>
      <c r="BH335" s="6"/>
      <c r="BI335" s="6"/>
      <c r="BJ335" s="6"/>
      <c r="BK335" s="6"/>
      <c r="BL335" s="6"/>
      <c r="BM335" s="6"/>
      <c r="BN335" s="6"/>
      <c r="BO335" s="6"/>
      <c r="BP335" s="6"/>
      <c r="BQ335" s="6"/>
      <c r="BR335" s="6"/>
      <c r="BS335" s="6"/>
      <c r="BT335" s="6"/>
      <c r="BU335" s="6"/>
      <c r="BV335" s="6"/>
      <c r="BW335" s="6"/>
      <c r="BX335" s="6"/>
      <c r="BY335" s="6"/>
      <c r="BZ335" s="6"/>
      <c r="CA335" s="6"/>
      <c r="CB335" s="6"/>
      <c r="CC335" s="6"/>
      <c r="CD335" s="6"/>
      <c r="CE335" s="6"/>
      <c r="CF335" s="6"/>
    </row>
    <row r="336" spans="1:84">
      <c r="D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c r="AZ336" s="6"/>
      <c r="BA336" s="6"/>
      <c r="BB336" s="6"/>
      <c r="BC336" s="6"/>
      <c r="BD336" s="6"/>
      <c r="BE336" s="6"/>
      <c r="BF336" s="6"/>
      <c r="BG336" s="6"/>
      <c r="BH336" s="6"/>
      <c r="BI336" s="6"/>
      <c r="BJ336" s="6"/>
      <c r="BK336" s="6"/>
      <c r="BL336" s="6"/>
      <c r="BM336" s="6"/>
      <c r="BN336" s="6"/>
      <c r="BO336" s="6"/>
      <c r="BP336" s="6"/>
      <c r="BQ336" s="6"/>
      <c r="BR336" s="6"/>
      <c r="BS336" s="6"/>
      <c r="BT336" s="6"/>
      <c r="BU336" s="6"/>
      <c r="BV336" s="6"/>
      <c r="BW336" s="6"/>
      <c r="BX336" s="6"/>
      <c r="BY336" s="6"/>
      <c r="BZ336" s="6"/>
      <c r="CA336" s="6"/>
      <c r="CB336" s="6"/>
      <c r="CC336" s="6"/>
      <c r="CD336" s="6"/>
      <c r="CE336" s="6"/>
      <c r="CF336" s="6"/>
    </row>
    <row r="337" spans="4:84">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c r="AZ337" s="6"/>
      <c r="BA337" s="6"/>
      <c r="BB337" s="6"/>
      <c r="BC337" s="6"/>
      <c r="BD337" s="6"/>
      <c r="BE337" s="6"/>
      <c r="BF337" s="6"/>
      <c r="BG337" s="6"/>
      <c r="BH337" s="6"/>
      <c r="BI337" s="6"/>
      <c r="BJ337" s="6"/>
      <c r="BK337" s="6"/>
      <c r="BL337" s="6"/>
      <c r="BM337" s="6"/>
      <c r="BN337" s="6"/>
      <c r="BO337" s="6"/>
      <c r="BP337" s="6"/>
      <c r="BQ337" s="6"/>
      <c r="BR337" s="6"/>
      <c r="BS337" s="6"/>
      <c r="BT337" s="6"/>
      <c r="BU337" s="6"/>
      <c r="BV337" s="6"/>
      <c r="BW337" s="6"/>
      <c r="BX337" s="6"/>
      <c r="BY337" s="6"/>
      <c r="BZ337" s="6"/>
      <c r="CA337" s="6"/>
      <c r="CB337" s="6"/>
      <c r="CC337" s="6"/>
      <c r="CD337" s="6"/>
      <c r="CE337" s="6"/>
      <c r="CF337" s="6"/>
    </row>
    <row r="338" spans="4:84">
      <c r="D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c r="AZ338" s="6"/>
      <c r="BA338" s="6"/>
      <c r="BB338" s="6"/>
      <c r="BC338" s="6"/>
      <c r="BD338" s="6"/>
      <c r="BE338" s="6"/>
      <c r="BF338" s="6"/>
      <c r="BG338" s="6"/>
      <c r="BH338" s="6"/>
      <c r="BI338" s="6"/>
      <c r="BJ338" s="6"/>
      <c r="BK338" s="6"/>
      <c r="BL338" s="6"/>
      <c r="BM338" s="6"/>
      <c r="BN338" s="6"/>
      <c r="BO338" s="6"/>
      <c r="BP338" s="6"/>
      <c r="BQ338" s="6"/>
      <c r="BR338" s="6"/>
      <c r="BS338" s="6"/>
      <c r="BT338" s="6"/>
      <c r="BU338" s="6"/>
      <c r="BV338" s="6"/>
      <c r="BW338" s="6"/>
      <c r="BX338" s="6"/>
      <c r="BY338" s="6"/>
      <c r="BZ338" s="6"/>
      <c r="CA338" s="6"/>
      <c r="CB338" s="6"/>
      <c r="CC338" s="6"/>
      <c r="CD338" s="6"/>
      <c r="CE338" s="6"/>
      <c r="CF338" s="6"/>
    </row>
    <row r="339" spans="4:84">
      <c r="D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c r="AZ339" s="6"/>
      <c r="BA339" s="6"/>
      <c r="BB339" s="6"/>
      <c r="BC339" s="6"/>
      <c r="BD339" s="6"/>
      <c r="BE339" s="6"/>
      <c r="BF339" s="6"/>
      <c r="BG339" s="6"/>
      <c r="BH339" s="6"/>
      <c r="BI339" s="6"/>
      <c r="BJ339" s="6"/>
      <c r="BK339" s="6"/>
      <c r="BL339" s="6"/>
      <c r="BM339" s="6"/>
      <c r="BN339" s="6"/>
      <c r="BO339" s="6"/>
      <c r="BP339" s="6"/>
      <c r="BQ339" s="6"/>
      <c r="BR339" s="6"/>
      <c r="BS339" s="6"/>
      <c r="BT339" s="6"/>
      <c r="BU339" s="6"/>
      <c r="BV339" s="6"/>
      <c r="BW339" s="6"/>
      <c r="BX339" s="6"/>
      <c r="BY339" s="6"/>
      <c r="BZ339" s="6"/>
      <c r="CA339" s="6"/>
      <c r="CB339" s="6"/>
      <c r="CC339" s="6"/>
      <c r="CD339" s="6"/>
      <c r="CE339" s="6"/>
      <c r="CF339" s="6"/>
    </row>
    <row r="340" spans="4:84">
      <c r="D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c r="AZ340" s="6"/>
      <c r="BA340" s="6"/>
      <c r="BB340" s="6"/>
      <c r="BC340" s="6"/>
      <c r="BD340" s="6"/>
      <c r="BE340" s="6"/>
      <c r="BF340" s="6"/>
      <c r="BG340" s="6"/>
      <c r="BH340" s="6"/>
      <c r="BI340" s="6"/>
      <c r="BJ340" s="6"/>
      <c r="BK340" s="6"/>
      <c r="BL340" s="6"/>
      <c r="BM340" s="6"/>
      <c r="BN340" s="6"/>
      <c r="BO340" s="6"/>
      <c r="BP340" s="6"/>
      <c r="BQ340" s="6"/>
      <c r="BR340" s="6"/>
      <c r="BS340" s="6"/>
      <c r="BT340" s="6"/>
      <c r="BU340" s="6"/>
      <c r="BV340" s="6"/>
      <c r="BW340" s="6"/>
      <c r="BX340" s="6"/>
      <c r="BY340" s="6"/>
      <c r="BZ340" s="6"/>
      <c r="CA340" s="6"/>
      <c r="CB340" s="6"/>
      <c r="CC340" s="6"/>
      <c r="CD340" s="6"/>
      <c r="CE340" s="6"/>
      <c r="CF340" s="6"/>
    </row>
    <row r="341" spans="4:84">
      <c r="D341" s="6"/>
      <c r="E341" s="6"/>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6"/>
      <c r="AZ341" s="6"/>
      <c r="BA341" s="6"/>
      <c r="BB341" s="6"/>
      <c r="BC341" s="6"/>
      <c r="BD341" s="6"/>
      <c r="BE341" s="6"/>
      <c r="BF341" s="6"/>
      <c r="BG341" s="6"/>
      <c r="BH341" s="6"/>
      <c r="BI341" s="6"/>
      <c r="BJ341" s="6"/>
      <c r="BK341" s="6"/>
      <c r="BL341" s="6"/>
      <c r="BM341" s="6"/>
      <c r="BN341" s="6"/>
      <c r="BO341" s="6"/>
      <c r="BP341" s="6"/>
      <c r="BQ341" s="6"/>
      <c r="BR341" s="6"/>
      <c r="BS341" s="6"/>
      <c r="BT341" s="6"/>
      <c r="BU341" s="6"/>
      <c r="BV341" s="6"/>
      <c r="BW341" s="6"/>
      <c r="BX341" s="6"/>
      <c r="BY341" s="6"/>
      <c r="BZ341" s="6"/>
      <c r="CA341" s="6"/>
      <c r="CB341" s="6"/>
      <c r="CC341" s="6"/>
      <c r="CD341" s="6"/>
      <c r="CE341" s="6"/>
      <c r="CF341" s="6"/>
    </row>
    <row r="342" spans="4:84">
      <c r="D342" s="6"/>
      <c r="E342" s="6"/>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6"/>
      <c r="AZ342" s="6"/>
      <c r="BA342" s="6"/>
      <c r="BB342" s="6"/>
      <c r="BC342" s="6"/>
      <c r="BD342" s="6"/>
      <c r="BE342" s="6"/>
      <c r="BF342" s="6"/>
      <c r="BG342" s="6"/>
      <c r="BH342" s="6"/>
      <c r="BI342" s="6"/>
      <c r="BJ342" s="6"/>
      <c r="BK342" s="6"/>
      <c r="BL342" s="6"/>
      <c r="BM342" s="6"/>
      <c r="BN342" s="6"/>
      <c r="BO342" s="6"/>
      <c r="BP342" s="6"/>
      <c r="BQ342" s="6"/>
      <c r="BR342" s="6"/>
      <c r="BS342" s="6"/>
      <c r="BT342" s="6"/>
      <c r="BU342" s="6"/>
      <c r="BV342" s="6"/>
      <c r="BW342" s="6"/>
      <c r="BX342" s="6"/>
      <c r="BY342" s="6"/>
      <c r="BZ342" s="6"/>
      <c r="CA342" s="6"/>
      <c r="CB342" s="6"/>
      <c r="CC342" s="6"/>
      <c r="CD342" s="6"/>
      <c r="CE342" s="6"/>
      <c r="CF342" s="6"/>
    </row>
    <row r="343" spans="4:84">
      <c r="D343" s="6"/>
      <c r="E343" s="6"/>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6"/>
      <c r="AZ343" s="6"/>
      <c r="BA343" s="6"/>
      <c r="BB343" s="6"/>
      <c r="BC343" s="6"/>
      <c r="BD343" s="6"/>
      <c r="BE343" s="6"/>
      <c r="BF343" s="6"/>
      <c r="BG343" s="6"/>
      <c r="BH343" s="6"/>
      <c r="BI343" s="6"/>
      <c r="BJ343" s="6"/>
      <c r="BK343" s="6"/>
      <c r="BL343" s="6"/>
      <c r="BM343" s="6"/>
      <c r="BN343" s="6"/>
      <c r="BO343" s="6"/>
      <c r="BP343" s="6"/>
      <c r="BQ343" s="6"/>
      <c r="BR343" s="6"/>
      <c r="BS343" s="6"/>
      <c r="BT343" s="6"/>
      <c r="BU343" s="6"/>
      <c r="BV343" s="6"/>
      <c r="BW343" s="6"/>
      <c r="BX343" s="6"/>
      <c r="BY343" s="6"/>
      <c r="BZ343" s="6"/>
      <c r="CA343" s="6"/>
      <c r="CB343" s="6"/>
      <c r="CC343" s="6"/>
      <c r="CD343" s="6"/>
      <c r="CE343" s="6"/>
      <c r="CF343" s="6"/>
    </row>
    <row r="344" spans="4:84">
      <c r="D344" s="6"/>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c r="AZ344" s="6"/>
      <c r="BA344" s="6"/>
      <c r="BB344" s="6"/>
      <c r="BC344" s="6"/>
      <c r="BD344" s="6"/>
      <c r="BE344" s="6"/>
      <c r="BF344" s="6"/>
      <c r="BG344" s="6"/>
      <c r="BH344" s="6"/>
      <c r="BI344" s="6"/>
      <c r="BJ344" s="6"/>
      <c r="BK344" s="6"/>
      <c r="BL344" s="6"/>
      <c r="BM344" s="6"/>
      <c r="BN344" s="6"/>
      <c r="BO344" s="6"/>
      <c r="BP344" s="6"/>
      <c r="BQ344" s="6"/>
      <c r="BR344" s="6"/>
      <c r="BS344" s="6"/>
      <c r="BT344" s="6"/>
      <c r="BU344" s="6"/>
      <c r="BV344" s="6"/>
      <c r="BW344" s="6"/>
      <c r="BX344" s="6"/>
      <c r="BY344" s="6"/>
      <c r="BZ344" s="6"/>
      <c r="CA344" s="6"/>
      <c r="CB344" s="6"/>
      <c r="CC344" s="6"/>
      <c r="CD344" s="6"/>
      <c r="CE344" s="6"/>
      <c r="CF344" s="6"/>
    </row>
    <row r="345" spans="4:84">
      <c r="D345" s="6"/>
      <c r="E345" s="6"/>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c r="AZ345" s="6"/>
      <c r="BA345" s="6"/>
      <c r="BB345" s="6"/>
      <c r="BC345" s="6"/>
      <c r="BD345" s="6"/>
      <c r="BE345" s="6"/>
      <c r="BF345" s="6"/>
      <c r="BG345" s="6"/>
      <c r="BH345" s="6"/>
      <c r="BI345" s="6"/>
      <c r="BJ345" s="6"/>
      <c r="BK345" s="6"/>
      <c r="BL345" s="6"/>
      <c r="BM345" s="6"/>
      <c r="BN345" s="6"/>
      <c r="BO345" s="6"/>
      <c r="BP345" s="6"/>
      <c r="BQ345" s="6"/>
      <c r="BR345" s="6"/>
      <c r="BS345" s="6"/>
      <c r="BT345" s="6"/>
      <c r="BU345" s="6"/>
      <c r="BV345" s="6"/>
      <c r="BW345" s="6"/>
      <c r="BX345" s="6"/>
      <c r="BY345" s="6"/>
      <c r="BZ345" s="6"/>
      <c r="CA345" s="6"/>
      <c r="CB345" s="6"/>
      <c r="CC345" s="6"/>
      <c r="CD345" s="6"/>
      <c r="CE345" s="6"/>
      <c r="CF345" s="6"/>
    </row>
    <row r="346" spans="4:84">
      <c r="D346" s="6"/>
      <c r="E346" s="6"/>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6"/>
      <c r="AZ346" s="6"/>
      <c r="BA346" s="6"/>
      <c r="BB346" s="6"/>
      <c r="BC346" s="6"/>
      <c r="BD346" s="6"/>
      <c r="BE346" s="6"/>
      <c r="BF346" s="6"/>
      <c r="BG346" s="6"/>
      <c r="BH346" s="6"/>
      <c r="BI346" s="6"/>
      <c r="BJ346" s="6"/>
      <c r="BK346" s="6"/>
      <c r="BL346" s="6"/>
      <c r="BM346" s="6"/>
      <c r="BN346" s="6"/>
      <c r="BO346" s="6"/>
      <c r="BP346" s="6"/>
      <c r="BQ346" s="6"/>
      <c r="BR346" s="6"/>
      <c r="BS346" s="6"/>
      <c r="BT346" s="6"/>
      <c r="BU346" s="6"/>
      <c r="BV346" s="6"/>
      <c r="BW346" s="6"/>
      <c r="BX346" s="6"/>
      <c r="BY346" s="6"/>
      <c r="BZ346" s="6"/>
      <c r="CA346" s="6"/>
      <c r="CB346" s="6"/>
      <c r="CC346" s="6"/>
      <c r="CD346" s="6"/>
      <c r="CE346" s="6"/>
      <c r="CF346" s="6"/>
    </row>
    <row r="347" spans="4:84">
      <c r="D347" s="6"/>
      <c r="E347" s="6"/>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c r="AZ347" s="6"/>
      <c r="BA347" s="6"/>
      <c r="BB347" s="6"/>
      <c r="BC347" s="6"/>
      <c r="BD347" s="6"/>
      <c r="BE347" s="6"/>
      <c r="BF347" s="6"/>
      <c r="BG347" s="6"/>
      <c r="BH347" s="6"/>
      <c r="BI347" s="6"/>
      <c r="BJ347" s="6"/>
      <c r="BK347" s="6"/>
      <c r="BL347" s="6"/>
      <c r="BM347" s="6"/>
      <c r="BN347" s="6"/>
      <c r="BO347" s="6"/>
      <c r="BP347" s="6"/>
      <c r="BQ347" s="6"/>
      <c r="BR347" s="6"/>
      <c r="BS347" s="6"/>
      <c r="BT347" s="6"/>
      <c r="BU347" s="6"/>
      <c r="BV347" s="6"/>
      <c r="BW347" s="6"/>
      <c r="BX347" s="6"/>
      <c r="BY347" s="6"/>
      <c r="BZ347" s="6"/>
      <c r="CA347" s="6"/>
      <c r="CB347" s="6"/>
      <c r="CC347" s="6"/>
      <c r="CD347" s="6"/>
      <c r="CE347" s="6"/>
      <c r="CF347" s="6"/>
    </row>
    <row r="348" spans="4:84">
      <c r="D348" s="6"/>
      <c r="E348" s="6"/>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6"/>
      <c r="AZ348" s="6"/>
      <c r="BA348" s="6"/>
      <c r="BB348" s="6"/>
      <c r="BC348" s="6"/>
      <c r="BD348" s="6"/>
      <c r="BE348" s="6"/>
      <c r="BF348" s="6"/>
      <c r="BG348" s="6"/>
      <c r="BH348" s="6"/>
      <c r="BI348" s="6"/>
      <c r="BJ348" s="6"/>
      <c r="BK348" s="6"/>
      <c r="BL348" s="6"/>
      <c r="BM348" s="6"/>
      <c r="BN348" s="6"/>
      <c r="BO348" s="6"/>
      <c r="BP348" s="6"/>
      <c r="BQ348" s="6"/>
      <c r="BR348" s="6"/>
      <c r="BS348" s="6"/>
      <c r="BT348" s="6"/>
      <c r="BU348" s="6"/>
      <c r="BV348" s="6"/>
      <c r="BW348" s="6"/>
      <c r="BX348" s="6"/>
      <c r="BY348" s="6"/>
      <c r="BZ348" s="6"/>
      <c r="CA348" s="6"/>
      <c r="CB348" s="6"/>
      <c r="CC348" s="6"/>
      <c r="CD348" s="6"/>
      <c r="CE348" s="6"/>
      <c r="CF348" s="6"/>
    </row>
    <row r="349" spans="4:84">
      <c r="D349" s="6"/>
      <c r="E349" s="6"/>
      <c r="F349" s="6"/>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c r="AZ349" s="6"/>
      <c r="BA349" s="6"/>
      <c r="BB349" s="6"/>
      <c r="BC349" s="6"/>
      <c r="BD349" s="6"/>
      <c r="BE349" s="6"/>
      <c r="BF349" s="6"/>
      <c r="BG349" s="6"/>
      <c r="BH349" s="6"/>
      <c r="BI349" s="6"/>
      <c r="BJ349" s="6"/>
      <c r="BK349" s="6"/>
      <c r="BL349" s="6"/>
      <c r="BM349" s="6"/>
      <c r="BN349" s="6"/>
      <c r="BO349" s="6"/>
      <c r="BP349" s="6"/>
      <c r="BQ349" s="6"/>
      <c r="BR349" s="6"/>
      <c r="BS349" s="6"/>
      <c r="BT349" s="6"/>
      <c r="BU349" s="6"/>
      <c r="BV349" s="6"/>
      <c r="BW349" s="6"/>
      <c r="BX349" s="6"/>
      <c r="BY349" s="6"/>
      <c r="BZ349" s="6"/>
      <c r="CA349" s="6"/>
      <c r="CB349" s="6"/>
      <c r="CC349" s="6"/>
      <c r="CD349" s="6"/>
      <c r="CE349" s="6"/>
      <c r="CF349" s="6"/>
    </row>
    <row r="350" spans="4:84">
      <c r="D350" s="6"/>
      <c r="E350" s="6"/>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c r="AZ350" s="6"/>
      <c r="BA350" s="6"/>
      <c r="BB350" s="6"/>
      <c r="BC350" s="6"/>
      <c r="BD350" s="6"/>
      <c r="BE350" s="6"/>
      <c r="BF350" s="6"/>
      <c r="BG350" s="6"/>
      <c r="BH350" s="6"/>
      <c r="BI350" s="6"/>
      <c r="BJ350" s="6"/>
      <c r="BK350" s="6"/>
      <c r="BL350" s="6"/>
      <c r="BM350" s="6"/>
      <c r="BN350" s="6"/>
      <c r="BO350" s="6"/>
      <c r="BP350" s="6"/>
      <c r="BQ350" s="6"/>
      <c r="BR350" s="6"/>
      <c r="BS350" s="6"/>
      <c r="BT350" s="6"/>
      <c r="BU350" s="6"/>
      <c r="BV350" s="6"/>
      <c r="BW350" s="6"/>
      <c r="BX350" s="6"/>
      <c r="BY350" s="6"/>
      <c r="BZ350" s="6"/>
      <c r="CA350" s="6"/>
      <c r="CB350" s="6"/>
      <c r="CC350" s="6"/>
      <c r="CD350" s="6"/>
      <c r="CE350" s="6"/>
      <c r="CF350" s="6"/>
    </row>
    <row r="351" spans="4:84">
      <c r="D351" s="6"/>
      <c r="E351" s="6"/>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6"/>
      <c r="AZ351" s="6"/>
      <c r="BA351" s="6"/>
      <c r="BB351" s="6"/>
      <c r="BC351" s="6"/>
      <c r="BD351" s="6"/>
      <c r="BE351" s="6"/>
      <c r="BF351" s="6"/>
      <c r="BG351" s="6"/>
      <c r="BH351" s="6"/>
      <c r="BI351" s="6"/>
      <c r="BJ351" s="6"/>
      <c r="BK351" s="6"/>
      <c r="BL351" s="6"/>
      <c r="BM351" s="6"/>
      <c r="BN351" s="6"/>
      <c r="BO351" s="6"/>
      <c r="BP351" s="6"/>
      <c r="BQ351" s="6"/>
      <c r="BR351" s="6"/>
      <c r="BS351" s="6"/>
      <c r="BT351" s="6"/>
      <c r="BU351" s="6"/>
      <c r="BV351" s="6"/>
      <c r="BW351" s="6"/>
      <c r="BX351" s="6"/>
      <c r="BY351" s="6"/>
      <c r="BZ351" s="6"/>
      <c r="CA351" s="6"/>
      <c r="CB351" s="6"/>
      <c r="CC351" s="6"/>
      <c r="CD351" s="6"/>
      <c r="CE351" s="6"/>
      <c r="CF351" s="6"/>
    </row>
    <row r="352" spans="4:84">
      <c r="D352" s="6"/>
      <c r="E352" s="6"/>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c r="AZ352" s="6"/>
      <c r="BA352" s="6"/>
      <c r="BB352" s="6"/>
      <c r="BC352" s="6"/>
      <c r="BD352" s="6"/>
      <c r="BE352" s="6"/>
      <c r="BF352" s="6"/>
      <c r="BG352" s="6"/>
      <c r="BH352" s="6"/>
      <c r="BI352" s="6"/>
      <c r="BJ352" s="6"/>
      <c r="BK352" s="6"/>
      <c r="BL352" s="6"/>
      <c r="BM352" s="6"/>
      <c r="BN352" s="6"/>
      <c r="BO352" s="6"/>
      <c r="BP352" s="6"/>
      <c r="BQ352" s="6"/>
      <c r="BR352" s="6"/>
      <c r="BS352" s="6"/>
      <c r="BT352" s="6"/>
      <c r="BU352" s="6"/>
      <c r="BV352" s="6"/>
      <c r="BW352" s="6"/>
      <c r="BX352" s="6"/>
      <c r="BY352" s="6"/>
      <c r="BZ352" s="6"/>
      <c r="CA352" s="6"/>
      <c r="CB352" s="6"/>
      <c r="CC352" s="6"/>
      <c r="CD352" s="6"/>
      <c r="CE352" s="6"/>
      <c r="CF352" s="6"/>
    </row>
    <row r="353" spans="4:84">
      <c r="D353" s="6"/>
      <c r="E353" s="6"/>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c r="AZ353" s="6"/>
      <c r="BA353" s="6"/>
      <c r="BB353" s="6"/>
      <c r="BC353" s="6"/>
      <c r="BD353" s="6"/>
      <c r="BE353" s="6"/>
      <c r="BF353" s="6"/>
      <c r="BG353" s="6"/>
      <c r="BH353" s="6"/>
      <c r="BI353" s="6"/>
      <c r="BJ353" s="6"/>
      <c r="BK353" s="6"/>
      <c r="BL353" s="6"/>
      <c r="BM353" s="6"/>
      <c r="BN353" s="6"/>
      <c r="BO353" s="6"/>
      <c r="BP353" s="6"/>
      <c r="BQ353" s="6"/>
      <c r="BR353" s="6"/>
      <c r="BS353" s="6"/>
      <c r="BT353" s="6"/>
      <c r="BU353" s="6"/>
      <c r="BV353" s="6"/>
      <c r="BW353" s="6"/>
      <c r="BX353" s="6"/>
      <c r="BY353" s="6"/>
      <c r="BZ353" s="6"/>
      <c r="CA353" s="6"/>
      <c r="CB353" s="6"/>
      <c r="CC353" s="6"/>
      <c r="CD353" s="6"/>
      <c r="CE353" s="6"/>
      <c r="CF353" s="6"/>
    </row>
    <row r="354" spans="4:84">
      <c r="D354" s="6"/>
      <c r="E354" s="6"/>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6"/>
      <c r="AZ354" s="6"/>
      <c r="BA354" s="6"/>
      <c r="BB354" s="6"/>
      <c r="BC354" s="6"/>
      <c r="BD354" s="6"/>
      <c r="BE354" s="6"/>
      <c r="BF354" s="6"/>
      <c r="BG354" s="6"/>
      <c r="BH354" s="6"/>
      <c r="BI354" s="6"/>
      <c r="BJ354" s="6"/>
      <c r="BK354" s="6"/>
      <c r="BL354" s="6"/>
      <c r="BM354" s="6"/>
      <c r="BN354" s="6"/>
      <c r="BO354" s="6"/>
      <c r="BP354" s="6"/>
      <c r="BQ354" s="6"/>
      <c r="BR354" s="6"/>
      <c r="BS354" s="6"/>
      <c r="BT354" s="6"/>
      <c r="BU354" s="6"/>
      <c r="BV354" s="6"/>
      <c r="BW354" s="6"/>
      <c r="BX354" s="6"/>
      <c r="BY354" s="6"/>
      <c r="BZ354" s="6"/>
      <c r="CA354" s="6"/>
      <c r="CB354" s="6"/>
      <c r="CC354" s="6"/>
      <c r="CD354" s="6"/>
      <c r="CE354" s="6"/>
      <c r="CF354" s="6"/>
    </row>
    <row r="355" spans="4:84">
      <c r="D355" s="6"/>
      <c r="E355" s="6"/>
      <c r="F355" s="6"/>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6"/>
      <c r="AZ355" s="6"/>
      <c r="BA355" s="6"/>
      <c r="BB355" s="6"/>
      <c r="BC355" s="6"/>
      <c r="BD355" s="6"/>
      <c r="BE355" s="6"/>
      <c r="BF355" s="6"/>
      <c r="BG355" s="6"/>
      <c r="BH355" s="6"/>
      <c r="BI355" s="6"/>
      <c r="BJ355" s="6"/>
      <c r="BK355" s="6"/>
      <c r="BL355" s="6"/>
      <c r="BM355" s="6"/>
      <c r="BN355" s="6"/>
      <c r="BO355" s="6"/>
      <c r="BP355" s="6"/>
      <c r="BQ355" s="6"/>
      <c r="BR355" s="6"/>
      <c r="BS355" s="6"/>
      <c r="BT355" s="6"/>
      <c r="BU355" s="6"/>
      <c r="BV355" s="6"/>
      <c r="BW355" s="6"/>
      <c r="BX355" s="6"/>
      <c r="BY355" s="6"/>
      <c r="BZ355" s="6"/>
      <c r="CA355" s="6"/>
      <c r="CB355" s="6"/>
      <c r="CC355" s="6"/>
      <c r="CD355" s="6"/>
      <c r="CE355" s="6"/>
      <c r="CF355" s="6"/>
    </row>
    <row r="356" spans="4:84">
      <c r="D356" s="6"/>
      <c r="E356" s="6"/>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6"/>
      <c r="AZ356" s="6"/>
      <c r="BA356" s="6"/>
      <c r="BB356" s="6"/>
      <c r="BC356" s="6"/>
      <c r="BD356" s="6"/>
      <c r="BE356" s="6"/>
      <c r="BF356" s="6"/>
      <c r="BG356" s="6"/>
      <c r="BH356" s="6"/>
      <c r="BI356" s="6"/>
      <c r="BJ356" s="6"/>
      <c r="BK356" s="6"/>
      <c r="BL356" s="6"/>
      <c r="BM356" s="6"/>
      <c r="BN356" s="6"/>
      <c r="BO356" s="6"/>
      <c r="BP356" s="6"/>
      <c r="BQ356" s="6"/>
      <c r="BR356" s="6"/>
      <c r="BS356" s="6"/>
      <c r="BT356" s="6"/>
      <c r="BU356" s="6"/>
      <c r="BV356" s="6"/>
      <c r="BW356" s="6"/>
      <c r="BX356" s="6"/>
      <c r="BY356" s="6"/>
      <c r="BZ356" s="6"/>
      <c r="CA356" s="6"/>
      <c r="CB356" s="6"/>
      <c r="CC356" s="6"/>
      <c r="CD356" s="6"/>
      <c r="CE356" s="6"/>
      <c r="CF356" s="6"/>
    </row>
    <row r="357" spans="4:84">
      <c r="D357" s="6"/>
      <c r="E357" s="6"/>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6"/>
      <c r="AZ357" s="6"/>
      <c r="BA357" s="6"/>
      <c r="BB357" s="6"/>
      <c r="BC357" s="6"/>
      <c r="BD357" s="6"/>
      <c r="BE357" s="6"/>
      <c r="BF357" s="6"/>
      <c r="BG357" s="6"/>
      <c r="BH357" s="6"/>
      <c r="BI357" s="6"/>
      <c r="BJ357" s="6"/>
      <c r="BK357" s="6"/>
      <c r="BL357" s="6"/>
      <c r="BM357" s="6"/>
      <c r="BN357" s="6"/>
      <c r="BO357" s="6"/>
      <c r="BP357" s="6"/>
      <c r="BQ357" s="6"/>
      <c r="BR357" s="6"/>
      <c r="BS357" s="6"/>
      <c r="BT357" s="6"/>
      <c r="BU357" s="6"/>
      <c r="BV357" s="6"/>
      <c r="BW357" s="6"/>
      <c r="BX357" s="6"/>
      <c r="BY357" s="6"/>
      <c r="BZ357" s="6"/>
      <c r="CA357" s="6"/>
      <c r="CB357" s="6"/>
      <c r="CC357" s="6"/>
      <c r="CD357" s="6"/>
      <c r="CE357" s="6"/>
      <c r="CF357" s="6"/>
    </row>
    <row r="358" spans="4:84">
      <c r="D358" s="6"/>
      <c r="E358" s="6"/>
      <c r="F358" s="6"/>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6"/>
      <c r="AZ358" s="6"/>
      <c r="BA358" s="6"/>
      <c r="BB358" s="6"/>
      <c r="BC358" s="6"/>
      <c r="BD358" s="6"/>
      <c r="BE358" s="6"/>
      <c r="BF358" s="6"/>
      <c r="BG358" s="6"/>
      <c r="BH358" s="6"/>
      <c r="BI358" s="6"/>
      <c r="BJ358" s="6"/>
      <c r="BK358" s="6"/>
      <c r="BL358" s="6"/>
      <c r="BM358" s="6"/>
      <c r="BN358" s="6"/>
      <c r="BO358" s="6"/>
      <c r="BP358" s="6"/>
      <c r="BQ358" s="6"/>
      <c r="BR358" s="6"/>
      <c r="BS358" s="6"/>
      <c r="BT358" s="6"/>
      <c r="BU358" s="6"/>
      <c r="BV358" s="6"/>
      <c r="BW358" s="6"/>
      <c r="BX358" s="6"/>
      <c r="BY358" s="6"/>
      <c r="BZ358" s="6"/>
      <c r="CA358" s="6"/>
      <c r="CB358" s="6"/>
      <c r="CC358" s="6"/>
      <c r="CD358" s="6"/>
      <c r="CE358" s="6"/>
      <c r="CF358" s="6"/>
    </row>
    <row r="359" spans="4:84">
      <c r="D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c r="AZ359" s="6"/>
      <c r="BA359" s="6"/>
      <c r="BB359" s="6"/>
      <c r="BC359" s="6"/>
      <c r="BD359" s="6"/>
      <c r="BE359" s="6"/>
      <c r="BF359" s="6"/>
      <c r="BG359" s="6"/>
      <c r="BH359" s="6"/>
      <c r="BI359" s="6"/>
      <c r="BJ359" s="6"/>
      <c r="BK359" s="6"/>
      <c r="BL359" s="6"/>
      <c r="BM359" s="6"/>
      <c r="BN359" s="6"/>
      <c r="BO359" s="6"/>
      <c r="BP359" s="6"/>
      <c r="BQ359" s="6"/>
      <c r="BR359" s="6"/>
      <c r="BS359" s="6"/>
      <c r="BT359" s="6"/>
      <c r="BU359" s="6"/>
      <c r="BV359" s="6"/>
      <c r="BW359" s="6"/>
      <c r="BX359" s="6"/>
      <c r="BY359" s="6"/>
      <c r="BZ359" s="6"/>
      <c r="CA359" s="6"/>
      <c r="CB359" s="6"/>
      <c r="CC359" s="6"/>
      <c r="CD359" s="6"/>
      <c r="CE359" s="6"/>
      <c r="CF359" s="6"/>
    </row>
    <row r="360" spans="4:84">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c r="AU360" s="6"/>
      <c r="AV360" s="6"/>
      <c r="AW360" s="6"/>
      <c r="AX360" s="6"/>
      <c r="AY360" s="6"/>
      <c r="AZ360" s="6"/>
      <c r="BA360" s="6"/>
      <c r="BB360" s="6"/>
      <c r="BC360" s="6"/>
      <c r="BD360" s="6"/>
      <c r="BE360" s="6"/>
      <c r="BF360" s="6"/>
      <c r="BG360" s="6"/>
      <c r="BH360" s="6"/>
      <c r="BI360" s="6"/>
      <c r="BJ360" s="6"/>
      <c r="BK360" s="6"/>
      <c r="BL360" s="6"/>
      <c r="BM360" s="6"/>
      <c r="BN360" s="6"/>
      <c r="BO360" s="6"/>
      <c r="BP360" s="6"/>
      <c r="BQ360" s="6"/>
      <c r="BR360" s="6"/>
      <c r="BS360" s="6"/>
      <c r="BT360" s="6"/>
      <c r="BU360" s="6"/>
      <c r="BV360" s="6"/>
      <c r="BW360" s="6"/>
      <c r="BX360" s="6"/>
      <c r="BY360" s="6"/>
      <c r="BZ360" s="6"/>
      <c r="CA360" s="6"/>
      <c r="CB360" s="6"/>
      <c r="CC360" s="6"/>
      <c r="CD360" s="6"/>
      <c r="CE360" s="6"/>
      <c r="CF360" s="6"/>
    </row>
    <row r="361" spans="4:84">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c r="AZ361" s="6"/>
      <c r="BA361" s="6"/>
      <c r="BB361" s="6"/>
      <c r="BC361" s="6"/>
      <c r="BD361" s="6"/>
      <c r="BE361" s="6"/>
      <c r="BF361" s="6"/>
      <c r="BG361" s="6"/>
      <c r="BH361" s="6"/>
      <c r="BI361" s="6"/>
      <c r="BJ361" s="6"/>
      <c r="BK361" s="6"/>
      <c r="BL361" s="6"/>
      <c r="BM361" s="6"/>
      <c r="BN361" s="6"/>
      <c r="BO361" s="6"/>
      <c r="BP361" s="6"/>
      <c r="BQ361" s="6"/>
      <c r="BR361" s="6"/>
      <c r="BS361" s="6"/>
      <c r="BT361" s="6"/>
      <c r="BU361" s="6"/>
      <c r="BV361" s="6"/>
      <c r="BW361" s="6"/>
      <c r="BX361" s="6"/>
      <c r="BY361" s="6"/>
      <c r="BZ361" s="6"/>
      <c r="CA361" s="6"/>
      <c r="CB361" s="6"/>
      <c r="CC361" s="6"/>
      <c r="CD361" s="6"/>
      <c r="CE361" s="6"/>
      <c r="CF361" s="6"/>
    </row>
    <row r="362" spans="4:84">
      <c r="D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6"/>
      <c r="AX362" s="6"/>
      <c r="AY362" s="6"/>
      <c r="AZ362" s="6"/>
      <c r="BA362" s="6"/>
      <c r="BB362" s="6"/>
      <c r="BC362" s="6"/>
      <c r="BD362" s="6"/>
      <c r="BE362" s="6"/>
      <c r="BF362" s="6"/>
      <c r="BG362" s="6"/>
      <c r="BH362" s="6"/>
      <c r="BI362" s="6"/>
      <c r="BJ362" s="6"/>
      <c r="BK362" s="6"/>
      <c r="BL362" s="6"/>
      <c r="BM362" s="6"/>
      <c r="BN362" s="6"/>
      <c r="BO362" s="6"/>
      <c r="BP362" s="6"/>
      <c r="BQ362" s="6"/>
      <c r="BR362" s="6"/>
      <c r="BS362" s="6"/>
      <c r="BT362" s="6"/>
      <c r="BU362" s="6"/>
      <c r="BV362" s="6"/>
      <c r="BW362" s="6"/>
      <c r="BX362" s="6"/>
      <c r="BY362" s="6"/>
      <c r="BZ362" s="6"/>
      <c r="CA362" s="6"/>
      <c r="CB362" s="6"/>
      <c r="CC362" s="6"/>
      <c r="CD362" s="6"/>
      <c r="CE362" s="6"/>
      <c r="CF362" s="6"/>
    </row>
    <row r="363" spans="4:84">
      <c r="D363" s="6"/>
      <c r="E363" s="6"/>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c r="AU363" s="6"/>
      <c r="AV363" s="6"/>
      <c r="AW363" s="6"/>
      <c r="AX363" s="6"/>
      <c r="AY363" s="6"/>
      <c r="AZ363" s="6"/>
      <c r="BA363" s="6"/>
      <c r="BB363" s="6"/>
      <c r="BC363" s="6"/>
      <c r="BD363" s="6"/>
      <c r="BE363" s="6"/>
      <c r="BF363" s="6"/>
      <c r="BG363" s="6"/>
      <c r="BH363" s="6"/>
      <c r="BI363" s="6"/>
      <c r="BJ363" s="6"/>
      <c r="BK363" s="6"/>
      <c r="BL363" s="6"/>
      <c r="BM363" s="6"/>
      <c r="BN363" s="6"/>
      <c r="BO363" s="6"/>
      <c r="BP363" s="6"/>
      <c r="BQ363" s="6"/>
      <c r="BR363" s="6"/>
      <c r="BS363" s="6"/>
      <c r="BT363" s="6"/>
      <c r="BU363" s="6"/>
      <c r="BV363" s="6"/>
      <c r="BW363" s="6"/>
      <c r="BX363" s="6"/>
      <c r="BY363" s="6"/>
      <c r="BZ363" s="6"/>
      <c r="CA363" s="6"/>
      <c r="CB363" s="6"/>
      <c r="CC363" s="6"/>
      <c r="CD363" s="6"/>
      <c r="CE363" s="6"/>
      <c r="CF363" s="6"/>
    </row>
    <row r="364" spans="4:84">
      <c r="D364" s="6"/>
      <c r="E364" s="6"/>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c r="AU364" s="6"/>
      <c r="AV364" s="6"/>
      <c r="AW364" s="6"/>
      <c r="AX364" s="6"/>
      <c r="AY364" s="6"/>
      <c r="AZ364" s="6"/>
      <c r="BA364" s="6"/>
      <c r="BB364" s="6"/>
      <c r="BC364" s="6"/>
      <c r="BD364" s="6"/>
      <c r="BE364" s="6"/>
      <c r="BF364" s="6"/>
      <c r="BG364" s="6"/>
      <c r="BH364" s="6"/>
      <c r="BI364" s="6"/>
      <c r="BJ364" s="6"/>
      <c r="BK364" s="6"/>
      <c r="BL364" s="6"/>
      <c r="BM364" s="6"/>
      <c r="BN364" s="6"/>
      <c r="BO364" s="6"/>
      <c r="BP364" s="6"/>
      <c r="BQ364" s="6"/>
      <c r="BR364" s="6"/>
      <c r="BS364" s="6"/>
      <c r="BT364" s="6"/>
      <c r="BU364" s="6"/>
      <c r="BV364" s="6"/>
      <c r="BW364" s="6"/>
      <c r="BX364" s="6"/>
      <c r="BY364" s="6"/>
      <c r="BZ364" s="6"/>
      <c r="CA364" s="6"/>
      <c r="CB364" s="6"/>
      <c r="CC364" s="6"/>
      <c r="CD364" s="6"/>
      <c r="CE364" s="6"/>
      <c r="CF364" s="6"/>
    </row>
    <row r="365" spans="4:84">
      <c r="D365" s="6"/>
      <c r="E365" s="6"/>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c r="AU365" s="6"/>
      <c r="AV365" s="6"/>
      <c r="AW365" s="6"/>
      <c r="AX365" s="6"/>
      <c r="AY365" s="6"/>
      <c r="AZ365" s="6"/>
      <c r="BA365" s="6"/>
      <c r="BB365" s="6"/>
      <c r="BC365" s="6"/>
      <c r="BD365" s="6"/>
      <c r="BE365" s="6"/>
      <c r="BF365" s="6"/>
      <c r="BG365" s="6"/>
      <c r="BH365" s="6"/>
      <c r="BI365" s="6"/>
      <c r="BJ365" s="6"/>
      <c r="BK365" s="6"/>
      <c r="BL365" s="6"/>
      <c r="BM365" s="6"/>
      <c r="BN365" s="6"/>
      <c r="BO365" s="6"/>
      <c r="BP365" s="6"/>
      <c r="BQ365" s="6"/>
      <c r="BR365" s="6"/>
      <c r="BS365" s="6"/>
      <c r="BT365" s="6"/>
      <c r="BU365" s="6"/>
      <c r="BV365" s="6"/>
      <c r="BW365" s="6"/>
      <c r="BX365" s="6"/>
      <c r="BY365" s="6"/>
      <c r="BZ365" s="6"/>
      <c r="CA365" s="6"/>
      <c r="CB365" s="6"/>
      <c r="CC365" s="6"/>
      <c r="CD365" s="6"/>
      <c r="CE365" s="6"/>
      <c r="CF365" s="6"/>
    </row>
    <row r="366" spans="4:84">
      <c r="D366" s="6"/>
      <c r="E366" s="6"/>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c r="AU366" s="6"/>
      <c r="AV366" s="6"/>
      <c r="AW366" s="6"/>
      <c r="AX366" s="6"/>
      <c r="AY366" s="6"/>
      <c r="AZ366" s="6"/>
      <c r="BA366" s="6"/>
      <c r="BB366" s="6"/>
      <c r="BC366" s="6"/>
      <c r="BD366" s="6"/>
      <c r="BE366" s="6"/>
      <c r="BF366" s="6"/>
      <c r="BG366" s="6"/>
      <c r="BH366" s="6"/>
      <c r="BI366" s="6"/>
      <c r="BJ366" s="6"/>
      <c r="BK366" s="6"/>
      <c r="BL366" s="6"/>
      <c r="BM366" s="6"/>
      <c r="BN366" s="6"/>
      <c r="BO366" s="6"/>
      <c r="BP366" s="6"/>
      <c r="BQ366" s="6"/>
      <c r="BR366" s="6"/>
      <c r="BS366" s="6"/>
      <c r="BT366" s="6"/>
      <c r="BU366" s="6"/>
      <c r="BV366" s="6"/>
      <c r="BW366" s="6"/>
      <c r="BX366" s="6"/>
      <c r="BY366" s="6"/>
      <c r="BZ366" s="6"/>
      <c r="CA366" s="6"/>
      <c r="CB366" s="6"/>
      <c r="CC366" s="6"/>
      <c r="CD366" s="6"/>
      <c r="CE366" s="6"/>
      <c r="CF366" s="6"/>
    </row>
    <row r="367" spans="4:84">
      <c r="D367" s="6"/>
      <c r="E367" s="6"/>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c r="AU367" s="6"/>
      <c r="AV367" s="6"/>
      <c r="AW367" s="6"/>
      <c r="AX367" s="6"/>
      <c r="AY367" s="6"/>
      <c r="AZ367" s="6"/>
      <c r="BA367" s="6"/>
      <c r="BB367" s="6"/>
      <c r="BC367" s="6"/>
      <c r="BD367" s="6"/>
      <c r="BE367" s="6"/>
      <c r="BF367" s="6"/>
      <c r="BG367" s="6"/>
      <c r="BH367" s="6"/>
      <c r="BI367" s="6"/>
      <c r="BJ367" s="6"/>
      <c r="BK367" s="6"/>
      <c r="BL367" s="6"/>
      <c r="BM367" s="6"/>
      <c r="BN367" s="6"/>
      <c r="BO367" s="6"/>
      <c r="BP367" s="6"/>
      <c r="BQ367" s="6"/>
      <c r="BR367" s="6"/>
      <c r="BS367" s="6"/>
      <c r="BT367" s="6"/>
      <c r="BU367" s="6"/>
      <c r="BV367" s="6"/>
      <c r="BW367" s="6"/>
      <c r="BX367" s="6"/>
      <c r="BY367" s="6"/>
      <c r="BZ367" s="6"/>
      <c r="CA367" s="6"/>
      <c r="CB367" s="6"/>
      <c r="CC367" s="6"/>
      <c r="CD367" s="6"/>
      <c r="CE367" s="6"/>
      <c r="CF367" s="6"/>
    </row>
    <row r="368" spans="4:84">
      <c r="D368" s="6"/>
      <c r="E368" s="6"/>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c r="AU368" s="6"/>
      <c r="AV368" s="6"/>
      <c r="AW368" s="6"/>
      <c r="AX368" s="6"/>
      <c r="AY368" s="6"/>
      <c r="AZ368" s="6"/>
      <c r="BA368" s="6"/>
      <c r="BB368" s="6"/>
      <c r="BC368" s="6"/>
      <c r="BD368" s="6"/>
      <c r="BE368" s="6"/>
      <c r="BF368" s="6"/>
      <c r="BG368" s="6"/>
      <c r="BH368" s="6"/>
      <c r="BI368" s="6"/>
      <c r="BJ368" s="6"/>
      <c r="BK368" s="6"/>
      <c r="BL368" s="6"/>
      <c r="BM368" s="6"/>
      <c r="BN368" s="6"/>
      <c r="BO368" s="6"/>
      <c r="BP368" s="6"/>
      <c r="BQ368" s="6"/>
      <c r="BR368" s="6"/>
      <c r="BS368" s="6"/>
      <c r="BT368" s="6"/>
      <c r="BU368" s="6"/>
      <c r="BV368" s="6"/>
      <c r="BW368" s="6"/>
      <c r="BX368" s="6"/>
      <c r="BY368" s="6"/>
      <c r="BZ368" s="6"/>
      <c r="CA368" s="6"/>
      <c r="CB368" s="6"/>
      <c r="CC368" s="6"/>
      <c r="CD368" s="6"/>
      <c r="CE368" s="6"/>
      <c r="CF368" s="6"/>
    </row>
    <row r="369" spans="4:84">
      <c r="D369" s="6"/>
      <c r="E369" s="6"/>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c r="AU369" s="6"/>
      <c r="AV369" s="6"/>
      <c r="AW369" s="6"/>
      <c r="AX369" s="6"/>
      <c r="AY369" s="6"/>
      <c r="AZ369" s="6"/>
      <c r="BA369" s="6"/>
      <c r="BB369" s="6"/>
      <c r="BC369" s="6"/>
      <c r="BD369" s="6"/>
      <c r="BE369" s="6"/>
      <c r="BF369" s="6"/>
      <c r="BG369" s="6"/>
      <c r="BH369" s="6"/>
      <c r="BI369" s="6"/>
      <c r="BJ369" s="6"/>
      <c r="BK369" s="6"/>
      <c r="BL369" s="6"/>
      <c r="BM369" s="6"/>
      <c r="BN369" s="6"/>
      <c r="BO369" s="6"/>
      <c r="BP369" s="6"/>
      <c r="BQ369" s="6"/>
      <c r="BR369" s="6"/>
      <c r="BS369" s="6"/>
      <c r="BT369" s="6"/>
      <c r="BU369" s="6"/>
      <c r="BV369" s="6"/>
      <c r="BW369" s="6"/>
      <c r="BX369" s="6"/>
      <c r="BY369" s="6"/>
      <c r="BZ369" s="6"/>
      <c r="CA369" s="6"/>
      <c r="CB369" s="6"/>
      <c r="CC369" s="6"/>
      <c r="CD369" s="6"/>
      <c r="CE369" s="6"/>
      <c r="CF369" s="6"/>
    </row>
    <row r="370" spans="4:84">
      <c r="D370" s="6"/>
      <c r="E370" s="6"/>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c r="AU370" s="6"/>
      <c r="AV370" s="6"/>
      <c r="AW370" s="6"/>
      <c r="AX370" s="6"/>
      <c r="AY370" s="6"/>
      <c r="AZ370" s="6"/>
      <c r="BA370" s="6"/>
      <c r="BB370" s="6"/>
      <c r="BC370" s="6"/>
      <c r="BD370" s="6"/>
      <c r="BE370" s="6"/>
      <c r="BF370" s="6"/>
      <c r="BG370" s="6"/>
      <c r="BH370" s="6"/>
      <c r="BI370" s="6"/>
      <c r="BJ370" s="6"/>
      <c r="BK370" s="6"/>
      <c r="BL370" s="6"/>
      <c r="BM370" s="6"/>
      <c r="BN370" s="6"/>
      <c r="BO370" s="6"/>
      <c r="BP370" s="6"/>
      <c r="BQ370" s="6"/>
      <c r="BR370" s="6"/>
      <c r="BS370" s="6"/>
      <c r="BT370" s="6"/>
      <c r="BU370" s="6"/>
      <c r="BV370" s="6"/>
      <c r="BW370" s="6"/>
      <c r="BX370" s="6"/>
      <c r="BY370" s="6"/>
      <c r="BZ370" s="6"/>
      <c r="CA370" s="6"/>
      <c r="CB370" s="6"/>
      <c r="CC370" s="6"/>
      <c r="CD370" s="6"/>
      <c r="CE370" s="6"/>
      <c r="CF370" s="6"/>
    </row>
    <row r="371" spans="4:84">
      <c r="D371" s="6"/>
      <c r="E371" s="6"/>
      <c r="F371" s="6"/>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c r="AU371" s="6"/>
      <c r="AV371" s="6"/>
      <c r="AW371" s="6"/>
      <c r="AX371" s="6"/>
      <c r="AY371" s="6"/>
      <c r="AZ371" s="6"/>
      <c r="BA371" s="6"/>
      <c r="BB371" s="6"/>
      <c r="BC371" s="6"/>
      <c r="BD371" s="6"/>
      <c r="BE371" s="6"/>
      <c r="BF371" s="6"/>
      <c r="BG371" s="6"/>
      <c r="BH371" s="6"/>
      <c r="BI371" s="6"/>
      <c r="BJ371" s="6"/>
      <c r="BK371" s="6"/>
      <c r="BL371" s="6"/>
      <c r="BM371" s="6"/>
      <c r="BN371" s="6"/>
      <c r="BO371" s="6"/>
      <c r="BP371" s="6"/>
      <c r="BQ371" s="6"/>
      <c r="BR371" s="6"/>
      <c r="BS371" s="6"/>
      <c r="BT371" s="6"/>
      <c r="BU371" s="6"/>
      <c r="BV371" s="6"/>
      <c r="BW371" s="6"/>
      <c r="BX371" s="6"/>
      <c r="BY371" s="6"/>
      <c r="BZ371" s="6"/>
      <c r="CA371" s="6"/>
      <c r="CB371" s="6"/>
      <c r="CC371" s="6"/>
      <c r="CD371" s="6"/>
      <c r="CE371" s="6"/>
      <c r="CF371" s="6"/>
    </row>
    <row r="372" spans="4:84">
      <c r="D372" s="6"/>
      <c r="E372" s="6"/>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c r="AU372" s="6"/>
      <c r="AV372" s="6"/>
      <c r="AW372" s="6"/>
      <c r="AX372" s="6"/>
      <c r="AY372" s="6"/>
      <c r="AZ372" s="6"/>
      <c r="BA372" s="6"/>
      <c r="BB372" s="6"/>
      <c r="BC372" s="6"/>
      <c r="BD372" s="6"/>
      <c r="BE372" s="6"/>
      <c r="BF372" s="6"/>
      <c r="BG372" s="6"/>
      <c r="BH372" s="6"/>
      <c r="BI372" s="6"/>
      <c r="BJ372" s="6"/>
      <c r="BK372" s="6"/>
      <c r="BL372" s="6"/>
      <c r="BM372" s="6"/>
      <c r="BN372" s="6"/>
      <c r="BO372" s="6"/>
      <c r="BP372" s="6"/>
      <c r="BQ372" s="6"/>
      <c r="BR372" s="6"/>
      <c r="BS372" s="6"/>
      <c r="BT372" s="6"/>
      <c r="BU372" s="6"/>
      <c r="BV372" s="6"/>
      <c r="BW372" s="6"/>
      <c r="BX372" s="6"/>
      <c r="BY372" s="6"/>
      <c r="BZ372" s="6"/>
      <c r="CA372" s="6"/>
      <c r="CB372" s="6"/>
      <c r="CC372" s="6"/>
      <c r="CD372" s="6"/>
      <c r="CE372" s="6"/>
      <c r="CF372" s="6"/>
    </row>
    <row r="373" spans="4:84">
      <c r="D373" s="6"/>
      <c r="E373" s="6"/>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c r="AU373" s="6"/>
      <c r="AV373" s="6"/>
      <c r="AW373" s="6"/>
      <c r="AX373" s="6"/>
      <c r="AY373" s="6"/>
      <c r="AZ373" s="6"/>
      <c r="BA373" s="6"/>
      <c r="BB373" s="6"/>
      <c r="BC373" s="6"/>
      <c r="BD373" s="6"/>
      <c r="BE373" s="6"/>
      <c r="BF373" s="6"/>
      <c r="BG373" s="6"/>
      <c r="BH373" s="6"/>
      <c r="BI373" s="6"/>
      <c r="BJ373" s="6"/>
      <c r="BK373" s="6"/>
      <c r="BL373" s="6"/>
      <c r="BM373" s="6"/>
      <c r="BN373" s="6"/>
      <c r="BO373" s="6"/>
      <c r="BP373" s="6"/>
      <c r="BQ373" s="6"/>
      <c r="BR373" s="6"/>
      <c r="BS373" s="6"/>
      <c r="BT373" s="6"/>
      <c r="BU373" s="6"/>
      <c r="BV373" s="6"/>
      <c r="BW373" s="6"/>
      <c r="BX373" s="6"/>
      <c r="BY373" s="6"/>
      <c r="BZ373" s="6"/>
      <c r="CA373" s="6"/>
      <c r="CB373" s="6"/>
      <c r="CC373" s="6"/>
      <c r="CD373" s="6"/>
      <c r="CE373" s="6"/>
      <c r="CF373" s="6"/>
    </row>
    <row r="374" spans="4:84">
      <c r="D374" s="6"/>
      <c r="E374" s="6"/>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c r="AU374" s="6"/>
      <c r="AV374" s="6"/>
      <c r="AW374" s="6"/>
      <c r="AX374" s="6"/>
      <c r="AY374" s="6"/>
      <c r="AZ374" s="6"/>
      <c r="BA374" s="6"/>
      <c r="BB374" s="6"/>
      <c r="BC374" s="6"/>
      <c r="BD374" s="6"/>
      <c r="BE374" s="6"/>
      <c r="BF374" s="6"/>
      <c r="BG374" s="6"/>
      <c r="BH374" s="6"/>
      <c r="BI374" s="6"/>
      <c r="BJ374" s="6"/>
      <c r="BK374" s="6"/>
      <c r="BL374" s="6"/>
      <c r="BM374" s="6"/>
      <c r="BN374" s="6"/>
      <c r="BO374" s="6"/>
      <c r="BP374" s="6"/>
      <c r="BQ374" s="6"/>
      <c r="BR374" s="6"/>
      <c r="BS374" s="6"/>
      <c r="BT374" s="6"/>
      <c r="BU374" s="6"/>
      <c r="BV374" s="6"/>
      <c r="BW374" s="6"/>
      <c r="BX374" s="6"/>
      <c r="BY374" s="6"/>
      <c r="BZ374" s="6"/>
      <c r="CA374" s="6"/>
      <c r="CB374" s="6"/>
      <c r="CC374" s="6"/>
      <c r="CD374" s="6"/>
      <c r="CE374" s="6"/>
      <c r="CF374" s="6"/>
    </row>
    <row r="375" spans="4:84">
      <c r="D375" s="6"/>
      <c r="E375" s="6"/>
      <c r="F375" s="6"/>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c r="AU375" s="6"/>
      <c r="AV375" s="6"/>
      <c r="AW375" s="6"/>
      <c r="AX375" s="6"/>
      <c r="AY375" s="6"/>
      <c r="AZ375" s="6"/>
      <c r="BA375" s="6"/>
      <c r="BB375" s="6"/>
      <c r="BC375" s="6"/>
      <c r="BD375" s="6"/>
      <c r="BE375" s="6"/>
      <c r="BF375" s="6"/>
      <c r="BG375" s="6"/>
      <c r="BH375" s="6"/>
      <c r="BI375" s="6"/>
      <c r="BJ375" s="6"/>
      <c r="BK375" s="6"/>
      <c r="BL375" s="6"/>
      <c r="BM375" s="6"/>
      <c r="BN375" s="6"/>
      <c r="BO375" s="6"/>
      <c r="BP375" s="6"/>
      <c r="BQ375" s="6"/>
      <c r="BR375" s="6"/>
      <c r="BS375" s="6"/>
      <c r="BT375" s="6"/>
      <c r="BU375" s="6"/>
      <c r="BV375" s="6"/>
      <c r="BW375" s="6"/>
      <c r="BX375" s="6"/>
      <c r="BY375" s="6"/>
      <c r="BZ375" s="6"/>
      <c r="CA375" s="6"/>
      <c r="CB375" s="6"/>
      <c r="CC375" s="6"/>
      <c r="CD375" s="6"/>
      <c r="CE375" s="6"/>
      <c r="CF375" s="6"/>
    </row>
    <row r="376" spans="4:84">
      <c r="D376" s="6"/>
      <c r="E376" s="6"/>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c r="AU376" s="6"/>
      <c r="AV376" s="6"/>
      <c r="AW376" s="6"/>
      <c r="AX376" s="6"/>
      <c r="AY376" s="6"/>
      <c r="AZ376" s="6"/>
      <c r="BA376" s="6"/>
      <c r="BB376" s="6"/>
      <c r="BC376" s="6"/>
      <c r="BD376" s="6"/>
      <c r="BE376" s="6"/>
      <c r="BF376" s="6"/>
      <c r="BG376" s="6"/>
      <c r="BH376" s="6"/>
      <c r="BI376" s="6"/>
      <c r="BJ376" s="6"/>
      <c r="BK376" s="6"/>
      <c r="BL376" s="6"/>
      <c r="BM376" s="6"/>
      <c r="BN376" s="6"/>
      <c r="BO376" s="6"/>
      <c r="BP376" s="6"/>
      <c r="BQ376" s="6"/>
      <c r="BR376" s="6"/>
      <c r="BS376" s="6"/>
      <c r="BT376" s="6"/>
      <c r="BU376" s="6"/>
      <c r="BV376" s="6"/>
      <c r="BW376" s="6"/>
      <c r="BX376" s="6"/>
      <c r="BY376" s="6"/>
      <c r="BZ376" s="6"/>
      <c r="CA376" s="6"/>
      <c r="CB376" s="6"/>
      <c r="CC376" s="6"/>
      <c r="CD376" s="6"/>
      <c r="CE376" s="6"/>
      <c r="CF376" s="6"/>
    </row>
    <row r="377" spans="4:84">
      <c r="D377" s="6"/>
      <c r="E377" s="6"/>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c r="AU377" s="6"/>
      <c r="AV377" s="6"/>
      <c r="AW377" s="6"/>
      <c r="AX377" s="6"/>
      <c r="AY377" s="6"/>
      <c r="AZ377" s="6"/>
      <c r="BA377" s="6"/>
      <c r="BB377" s="6"/>
      <c r="BC377" s="6"/>
      <c r="BD377" s="6"/>
      <c r="BE377" s="6"/>
      <c r="BF377" s="6"/>
      <c r="BG377" s="6"/>
      <c r="BH377" s="6"/>
      <c r="BI377" s="6"/>
      <c r="BJ377" s="6"/>
      <c r="BK377" s="6"/>
      <c r="BL377" s="6"/>
      <c r="BM377" s="6"/>
      <c r="BN377" s="6"/>
      <c r="BO377" s="6"/>
      <c r="BP377" s="6"/>
      <c r="BQ377" s="6"/>
      <c r="BR377" s="6"/>
      <c r="BS377" s="6"/>
      <c r="BT377" s="6"/>
      <c r="BU377" s="6"/>
      <c r="BV377" s="6"/>
      <c r="BW377" s="6"/>
      <c r="BX377" s="6"/>
      <c r="BY377" s="6"/>
      <c r="BZ377" s="6"/>
      <c r="CA377" s="6"/>
      <c r="CB377" s="6"/>
      <c r="CC377" s="6"/>
      <c r="CD377" s="6"/>
      <c r="CE377" s="6"/>
      <c r="CF377" s="6"/>
    </row>
    <row r="378" spans="4:84">
      <c r="D378" s="6"/>
      <c r="E378" s="6"/>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c r="AU378" s="6"/>
      <c r="AV378" s="6"/>
      <c r="AW378" s="6"/>
      <c r="AX378" s="6"/>
      <c r="AY378" s="6"/>
      <c r="AZ378" s="6"/>
      <c r="BA378" s="6"/>
      <c r="BB378" s="6"/>
      <c r="BC378" s="6"/>
      <c r="BD378" s="6"/>
      <c r="BE378" s="6"/>
      <c r="BF378" s="6"/>
      <c r="BG378" s="6"/>
      <c r="BH378" s="6"/>
      <c r="BI378" s="6"/>
      <c r="BJ378" s="6"/>
      <c r="BK378" s="6"/>
      <c r="BL378" s="6"/>
      <c r="BM378" s="6"/>
      <c r="BN378" s="6"/>
      <c r="BO378" s="6"/>
      <c r="BP378" s="6"/>
      <c r="BQ378" s="6"/>
      <c r="BR378" s="6"/>
      <c r="BS378" s="6"/>
      <c r="BT378" s="6"/>
      <c r="BU378" s="6"/>
      <c r="BV378" s="6"/>
      <c r="BW378" s="6"/>
      <c r="BX378" s="6"/>
      <c r="BY378" s="6"/>
      <c r="BZ378" s="6"/>
      <c r="CA378" s="6"/>
      <c r="CB378" s="6"/>
      <c r="CC378" s="6"/>
      <c r="CD378" s="6"/>
      <c r="CE378" s="6"/>
      <c r="CF378" s="6"/>
    </row>
    <row r="379" spans="4:84">
      <c r="D379" s="6"/>
      <c r="E379" s="6"/>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c r="AU379" s="6"/>
      <c r="AV379" s="6"/>
      <c r="AW379" s="6"/>
      <c r="AX379" s="6"/>
      <c r="AY379" s="6"/>
      <c r="AZ379" s="6"/>
      <c r="BA379" s="6"/>
      <c r="BB379" s="6"/>
      <c r="BC379" s="6"/>
      <c r="BD379" s="6"/>
      <c r="BE379" s="6"/>
      <c r="BF379" s="6"/>
      <c r="BG379" s="6"/>
      <c r="BH379" s="6"/>
      <c r="BI379" s="6"/>
      <c r="BJ379" s="6"/>
      <c r="BK379" s="6"/>
      <c r="BL379" s="6"/>
      <c r="BM379" s="6"/>
      <c r="BN379" s="6"/>
      <c r="BO379" s="6"/>
      <c r="BP379" s="6"/>
      <c r="BQ379" s="6"/>
      <c r="BR379" s="6"/>
      <c r="BS379" s="6"/>
      <c r="BT379" s="6"/>
      <c r="BU379" s="6"/>
      <c r="BV379" s="6"/>
      <c r="BW379" s="6"/>
      <c r="BX379" s="6"/>
      <c r="BY379" s="6"/>
      <c r="BZ379" s="6"/>
      <c r="CA379" s="6"/>
      <c r="CB379" s="6"/>
      <c r="CC379" s="6"/>
      <c r="CD379" s="6"/>
      <c r="CE379" s="6"/>
      <c r="CF379" s="6"/>
    </row>
    <row r="380" spans="4:84">
      <c r="D380" s="6"/>
      <c r="E380" s="6"/>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c r="AU380" s="6"/>
      <c r="AV380" s="6"/>
      <c r="AW380" s="6"/>
      <c r="AX380" s="6"/>
      <c r="AY380" s="6"/>
      <c r="AZ380" s="6"/>
      <c r="BA380" s="6"/>
      <c r="BB380" s="6"/>
      <c r="BC380" s="6"/>
      <c r="BD380" s="6"/>
      <c r="BE380" s="6"/>
      <c r="BF380" s="6"/>
      <c r="BG380" s="6"/>
      <c r="BH380" s="6"/>
      <c r="BI380" s="6"/>
      <c r="BJ380" s="6"/>
      <c r="BK380" s="6"/>
      <c r="BL380" s="6"/>
      <c r="BM380" s="6"/>
      <c r="BN380" s="6"/>
      <c r="BO380" s="6"/>
      <c r="BP380" s="6"/>
      <c r="BQ380" s="6"/>
      <c r="BR380" s="6"/>
      <c r="BS380" s="6"/>
      <c r="BT380" s="6"/>
      <c r="BU380" s="6"/>
      <c r="BV380" s="6"/>
      <c r="BW380" s="6"/>
      <c r="BX380" s="6"/>
      <c r="BY380" s="6"/>
      <c r="BZ380" s="6"/>
      <c r="CA380" s="6"/>
      <c r="CB380" s="6"/>
      <c r="CC380" s="6"/>
      <c r="CD380" s="6"/>
      <c r="CE380" s="6"/>
      <c r="CF380" s="6"/>
    </row>
    <row r="381" spans="4:84">
      <c r="D381" s="6"/>
      <c r="E381" s="6"/>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c r="AU381" s="6"/>
      <c r="AV381" s="6"/>
      <c r="AW381" s="6"/>
      <c r="AX381" s="6"/>
      <c r="AY381" s="6"/>
      <c r="AZ381" s="6"/>
      <c r="BA381" s="6"/>
      <c r="BB381" s="6"/>
      <c r="BC381" s="6"/>
      <c r="BD381" s="6"/>
      <c r="BE381" s="6"/>
      <c r="BF381" s="6"/>
      <c r="BG381" s="6"/>
      <c r="BH381" s="6"/>
      <c r="BI381" s="6"/>
      <c r="BJ381" s="6"/>
      <c r="BK381" s="6"/>
      <c r="BL381" s="6"/>
      <c r="BM381" s="6"/>
      <c r="BN381" s="6"/>
      <c r="BO381" s="6"/>
      <c r="BP381" s="6"/>
      <c r="BQ381" s="6"/>
      <c r="BR381" s="6"/>
      <c r="BS381" s="6"/>
      <c r="BT381" s="6"/>
      <c r="BU381" s="6"/>
      <c r="BV381" s="6"/>
      <c r="BW381" s="6"/>
      <c r="BX381" s="6"/>
      <c r="BY381" s="6"/>
      <c r="BZ381" s="6"/>
      <c r="CA381" s="6"/>
      <c r="CB381" s="6"/>
      <c r="CC381" s="6"/>
      <c r="CD381" s="6"/>
      <c r="CE381" s="6"/>
      <c r="CF381" s="6"/>
    </row>
    <row r="382" spans="4:84">
      <c r="D382" s="6"/>
      <c r="E382" s="6"/>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c r="AU382" s="6"/>
      <c r="AV382" s="6"/>
      <c r="AW382" s="6"/>
      <c r="AX382" s="6"/>
      <c r="AY382" s="6"/>
      <c r="AZ382" s="6"/>
      <c r="BA382" s="6"/>
      <c r="BB382" s="6"/>
      <c r="BC382" s="6"/>
      <c r="BD382" s="6"/>
      <c r="BE382" s="6"/>
      <c r="BF382" s="6"/>
      <c r="BG382" s="6"/>
      <c r="BH382" s="6"/>
      <c r="BI382" s="6"/>
      <c r="BJ382" s="6"/>
      <c r="BK382" s="6"/>
      <c r="BL382" s="6"/>
      <c r="BM382" s="6"/>
      <c r="BN382" s="6"/>
      <c r="BO382" s="6"/>
      <c r="BP382" s="6"/>
      <c r="BQ382" s="6"/>
      <c r="BR382" s="6"/>
      <c r="BS382" s="6"/>
      <c r="BT382" s="6"/>
      <c r="BU382" s="6"/>
      <c r="BV382" s="6"/>
      <c r="BW382" s="6"/>
      <c r="BX382" s="6"/>
      <c r="BY382" s="6"/>
      <c r="BZ382" s="6"/>
      <c r="CA382" s="6"/>
      <c r="CB382" s="6"/>
      <c r="CC382" s="6"/>
      <c r="CD382" s="6"/>
      <c r="CE382" s="6"/>
      <c r="CF382" s="6"/>
    </row>
    <row r="383" spans="4:84">
      <c r="D383" s="6"/>
      <c r="E383" s="6"/>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c r="AU383" s="6"/>
      <c r="AV383" s="6"/>
      <c r="AW383" s="6"/>
      <c r="AX383" s="6"/>
      <c r="AY383" s="6"/>
      <c r="AZ383" s="6"/>
      <c r="BA383" s="6"/>
      <c r="BB383" s="6"/>
      <c r="BC383" s="6"/>
      <c r="BD383" s="6"/>
      <c r="BE383" s="6"/>
      <c r="BF383" s="6"/>
      <c r="BG383" s="6"/>
      <c r="BH383" s="6"/>
      <c r="BI383" s="6"/>
      <c r="BJ383" s="6"/>
      <c r="BK383" s="6"/>
      <c r="BL383" s="6"/>
      <c r="BM383" s="6"/>
      <c r="BN383" s="6"/>
      <c r="BO383" s="6"/>
      <c r="BP383" s="6"/>
      <c r="BQ383" s="6"/>
      <c r="BR383" s="6"/>
      <c r="BS383" s="6"/>
      <c r="BT383" s="6"/>
      <c r="BU383" s="6"/>
      <c r="BV383" s="6"/>
      <c r="BW383" s="6"/>
      <c r="BX383" s="6"/>
      <c r="BY383" s="6"/>
      <c r="BZ383" s="6"/>
      <c r="CA383" s="6"/>
      <c r="CB383" s="6"/>
      <c r="CC383" s="6"/>
      <c r="CD383" s="6"/>
      <c r="CE383" s="6"/>
      <c r="CF383" s="6"/>
    </row>
    <row r="384" spans="4:84">
      <c r="D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6"/>
      <c r="AX384" s="6"/>
      <c r="AY384" s="6"/>
      <c r="AZ384" s="6"/>
      <c r="BA384" s="6"/>
      <c r="BB384" s="6"/>
      <c r="BC384" s="6"/>
      <c r="BD384" s="6"/>
      <c r="BE384" s="6"/>
      <c r="BF384" s="6"/>
      <c r="BG384" s="6"/>
      <c r="BH384" s="6"/>
      <c r="BI384" s="6"/>
      <c r="BJ384" s="6"/>
      <c r="BK384" s="6"/>
      <c r="BL384" s="6"/>
      <c r="BM384" s="6"/>
      <c r="BN384" s="6"/>
      <c r="BO384" s="6"/>
      <c r="BP384" s="6"/>
      <c r="BQ384" s="6"/>
      <c r="BR384" s="6"/>
      <c r="BS384" s="6"/>
      <c r="BT384" s="6"/>
      <c r="BU384" s="6"/>
      <c r="BV384" s="6"/>
      <c r="BW384" s="6"/>
      <c r="BX384" s="6"/>
      <c r="BY384" s="6"/>
      <c r="BZ384" s="6"/>
      <c r="CA384" s="6"/>
      <c r="CB384" s="6"/>
      <c r="CC384" s="6"/>
      <c r="CD384" s="6"/>
      <c r="CE384" s="6"/>
      <c r="CF384" s="6"/>
    </row>
    <row r="385" spans="4:84">
      <c r="D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6"/>
      <c r="AX385" s="6"/>
      <c r="AY385" s="6"/>
      <c r="AZ385" s="6"/>
      <c r="BA385" s="6"/>
      <c r="BB385" s="6"/>
      <c r="BC385" s="6"/>
      <c r="BD385" s="6"/>
      <c r="BE385" s="6"/>
      <c r="BF385" s="6"/>
      <c r="BG385" s="6"/>
      <c r="BH385" s="6"/>
      <c r="BI385" s="6"/>
      <c r="BJ385" s="6"/>
      <c r="BK385" s="6"/>
      <c r="BL385" s="6"/>
      <c r="BM385" s="6"/>
      <c r="BN385" s="6"/>
      <c r="BO385" s="6"/>
      <c r="BP385" s="6"/>
      <c r="BQ385" s="6"/>
      <c r="BR385" s="6"/>
      <c r="BS385" s="6"/>
      <c r="BT385" s="6"/>
      <c r="BU385" s="6"/>
      <c r="BV385" s="6"/>
      <c r="BW385" s="6"/>
      <c r="BX385" s="6"/>
      <c r="BY385" s="6"/>
      <c r="BZ385" s="6"/>
      <c r="CA385" s="6"/>
      <c r="CB385" s="6"/>
      <c r="CC385" s="6"/>
      <c r="CD385" s="6"/>
      <c r="CE385" s="6"/>
      <c r="CF385" s="6"/>
    </row>
    <row r="386" spans="4:84">
      <c r="D386" s="6"/>
      <c r="E386" s="6"/>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c r="AU386" s="6"/>
      <c r="AV386" s="6"/>
      <c r="AW386" s="6"/>
      <c r="AX386" s="6"/>
      <c r="AY386" s="6"/>
      <c r="AZ386" s="6"/>
      <c r="BA386" s="6"/>
      <c r="BB386" s="6"/>
      <c r="BC386" s="6"/>
      <c r="BD386" s="6"/>
      <c r="BE386" s="6"/>
      <c r="BF386" s="6"/>
      <c r="BG386" s="6"/>
      <c r="BH386" s="6"/>
      <c r="BI386" s="6"/>
      <c r="BJ386" s="6"/>
      <c r="BK386" s="6"/>
      <c r="BL386" s="6"/>
      <c r="BM386" s="6"/>
      <c r="BN386" s="6"/>
      <c r="BO386" s="6"/>
      <c r="BP386" s="6"/>
      <c r="BQ386" s="6"/>
      <c r="BR386" s="6"/>
      <c r="BS386" s="6"/>
      <c r="BT386" s="6"/>
      <c r="BU386" s="6"/>
      <c r="BV386" s="6"/>
      <c r="BW386" s="6"/>
      <c r="BX386" s="6"/>
      <c r="BY386" s="6"/>
      <c r="BZ386" s="6"/>
      <c r="CA386" s="6"/>
      <c r="CB386" s="6"/>
      <c r="CC386" s="6"/>
      <c r="CD386" s="6"/>
      <c r="CE386" s="6"/>
      <c r="CF386" s="6"/>
    </row>
    <row r="387" spans="4:84">
      <c r="D387" s="6"/>
      <c r="E387" s="6"/>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c r="AU387" s="6"/>
      <c r="AV387" s="6"/>
      <c r="AW387" s="6"/>
      <c r="AX387" s="6"/>
      <c r="AY387" s="6"/>
      <c r="AZ387" s="6"/>
      <c r="BA387" s="6"/>
      <c r="BB387" s="6"/>
      <c r="BC387" s="6"/>
      <c r="BD387" s="6"/>
      <c r="BE387" s="6"/>
      <c r="BF387" s="6"/>
      <c r="BG387" s="6"/>
      <c r="BH387" s="6"/>
      <c r="BI387" s="6"/>
      <c r="BJ387" s="6"/>
      <c r="BK387" s="6"/>
      <c r="BL387" s="6"/>
      <c r="BM387" s="6"/>
      <c r="BN387" s="6"/>
      <c r="BO387" s="6"/>
      <c r="BP387" s="6"/>
      <c r="BQ387" s="6"/>
      <c r="BR387" s="6"/>
      <c r="BS387" s="6"/>
      <c r="BT387" s="6"/>
      <c r="BU387" s="6"/>
      <c r="BV387" s="6"/>
      <c r="BW387" s="6"/>
      <c r="BX387" s="6"/>
      <c r="BY387" s="6"/>
      <c r="BZ387" s="6"/>
      <c r="CA387" s="6"/>
      <c r="CB387" s="6"/>
      <c r="CC387" s="6"/>
      <c r="CD387" s="6"/>
      <c r="CE387" s="6"/>
      <c r="CF387" s="6"/>
    </row>
    <row r="388" spans="4:84">
      <c r="D388" s="6"/>
      <c r="E388" s="6"/>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c r="AU388" s="6"/>
      <c r="AV388" s="6"/>
      <c r="AW388" s="6"/>
      <c r="AX388" s="6"/>
      <c r="AY388" s="6"/>
      <c r="AZ388" s="6"/>
      <c r="BA388" s="6"/>
      <c r="BB388" s="6"/>
      <c r="BC388" s="6"/>
      <c r="BD388" s="6"/>
      <c r="BE388" s="6"/>
      <c r="BF388" s="6"/>
      <c r="BG388" s="6"/>
      <c r="BH388" s="6"/>
      <c r="BI388" s="6"/>
      <c r="BJ388" s="6"/>
      <c r="BK388" s="6"/>
      <c r="BL388" s="6"/>
      <c r="BM388" s="6"/>
      <c r="BN388" s="6"/>
      <c r="BO388" s="6"/>
      <c r="BP388" s="6"/>
      <c r="BQ388" s="6"/>
      <c r="BR388" s="6"/>
      <c r="BS388" s="6"/>
      <c r="BT388" s="6"/>
      <c r="BU388" s="6"/>
      <c r="BV388" s="6"/>
      <c r="BW388" s="6"/>
      <c r="BX388" s="6"/>
      <c r="BY388" s="6"/>
      <c r="BZ388" s="6"/>
      <c r="CA388" s="6"/>
      <c r="CB388" s="6"/>
      <c r="CC388" s="6"/>
      <c r="CD388" s="6"/>
      <c r="CE388" s="6"/>
      <c r="CF388" s="6"/>
    </row>
    <row r="389" spans="4:84">
      <c r="D389" s="6"/>
      <c r="E389" s="6"/>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c r="AU389" s="6"/>
      <c r="AV389" s="6"/>
      <c r="AW389" s="6"/>
      <c r="AX389" s="6"/>
      <c r="AY389" s="6"/>
      <c r="AZ389" s="6"/>
      <c r="BA389" s="6"/>
      <c r="BB389" s="6"/>
      <c r="BC389" s="6"/>
      <c r="BD389" s="6"/>
      <c r="BE389" s="6"/>
      <c r="BF389" s="6"/>
      <c r="BG389" s="6"/>
      <c r="BH389" s="6"/>
      <c r="BI389" s="6"/>
      <c r="BJ389" s="6"/>
      <c r="BK389" s="6"/>
      <c r="BL389" s="6"/>
      <c r="BM389" s="6"/>
      <c r="BN389" s="6"/>
      <c r="BO389" s="6"/>
      <c r="BP389" s="6"/>
      <c r="BQ389" s="6"/>
      <c r="BR389" s="6"/>
      <c r="BS389" s="6"/>
      <c r="BT389" s="6"/>
      <c r="BU389" s="6"/>
      <c r="BV389" s="6"/>
      <c r="BW389" s="6"/>
      <c r="BX389" s="6"/>
      <c r="BY389" s="6"/>
      <c r="BZ389" s="6"/>
      <c r="CA389" s="6"/>
      <c r="CB389" s="6"/>
      <c r="CC389" s="6"/>
      <c r="CD389" s="6"/>
      <c r="CE389" s="6"/>
      <c r="CF389" s="6"/>
    </row>
    <row r="390" spans="4:84">
      <c r="D390" s="6"/>
      <c r="E390" s="6"/>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c r="AU390" s="6"/>
      <c r="AV390" s="6"/>
      <c r="AW390" s="6"/>
      <c r="AX390" s="6"/>
      <c r="AY390" s="6"/>
      <c r="AZ390" s="6"/>
      <c r="BA390" s="6"/>
      <c r="BB390" s="6"/>
      <c r="BC390" s="6"/>
      <c r="BD390" s="6"/>
      <c r="BE390" s="6"/>
      <c r="BF390" s="6"/>
      <c r="BG390" s="6"/>
      <c r="BH390" s="6"/>
      <c r="BI390" s="6"/>
      <c r="BJ390" s="6"/>
      <c r="BK390" s="6"/>
      <c r="BL390" s="6"/>
      <c r="BM390" s="6"/>
      <c r="BN390" s="6"/>
      <c r="BO390" s="6"/>
      <c r="BP390" s="6"/>
      <c r="BQ390" s="6"/>
      <c r="BR390" s="6"/>
      <c r="BS390" s="6"/>
      <c r="BT390" s="6"/>
      <c r="BU390" s="6"/>
      <c r="BV390" s="6"/>
      <c r="BW390" s="6"/>
      <c r="BX390" s="6"/>
      <c r="BY390" s="6"/>
      <c r="BZ390" s="6"/>
      <c r="CA390" s="6"/>
      <c r="CB390" s="6"/>
      <c r="CC390" s="6"/>
      <c r="CD390" s="6"/>
      <c r="CE390" s="6"/>
      <c r="CF390" s="6"/>
    </row>
    <row r="391" spans="4:84">
      <c r="D391" s="6"/>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6"/>
      <c r="AX391" s="6"/>
      <c r="AY391" s="6"/>
      <c r="AZ391" s="6"/>
      <c r="BA391" s="6"/>
      <c r="BB391" s="6"/>
      <c r="BC391" s="6"/>
      <c r="BD391" s="6"/>
      <c r="BE391" s="6"/>
      <c r="BF391" s="6"/>
      <c r="BG391" s="6"/>
      <c r="BH391" s="6"/>
      <c r="BI391" s="6"/>
      <c r="BJ391" s="6"/>
      <c r="BK391" s="6"/>
      <c r="BL391" s="6"/>
      <c r="BM391" s="6"/>
      <c r="BN391" s="6"/>
      <c r="BO391" s="6"/>
      <c r="BP391" s="6"/>
      <c r="BQ391" s="6"/>
      <c r="BR391" s="6"/>
      <c r="BS391" s="6"/>
      <c r="BT391" s="6"/>
      <c r="BU391" s="6"/>
      <c r="BV391" s="6"/>
      <c r="BW391" s="6"/>
      <c r="BX391" s="6"/>
      <c r="BY391" s="6"/>
      <c r="BZ391" s="6"/>
      <c r="CA391" s="6"/>
      <c r="CB391" s="6"/>
      <c r="CC391" s="6"/>
      <c r="CD391" s="6"/>
      <c r="CE391" s="6"/>
      <c r="CF391" s="6"/>
    </row>
    <row r="392" spans="4:84">
      <c r="D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6"/>
      <c r="AX392" s="6"/>
      <c r="AY392" s="6"/>
      <c r="AZ392" s="6"/>
      <c r="BA392" s="6"/>
      <c r="BB392" s="6"/>
      <c r="BC392" s="6"/>
      <c r="BD392" s="6"/>
      <c r="BE392" s="6"/>
      <c r="BF392" s="6"/>
      <c r="BG392" s="6"/>
      <c r="BH392" s="6"/>
      <c r="BI392" s="6"/>
      <c r="BJ392" s="6"/>
      <c r="BK392" s="6"/>
      <c r="BL392" s="6"/>
      <c r="BM392" s="6"/>
      <c r="BN392" s="6"/>
      <c r="BO392" s="6"/>
      <c r="BP392" s="6"/>
      <c r="BQ392" s="6"/>
      <c r="BR392" s="6"/>
      <c r="BS392" s="6"/>
      <c r="BT392" s="6"/>
      <c r="BU392" s="6"/>
      <c r="BV392" s="6"/>
      <c r="BW392" s="6"/>
      <c r="BX392" s="6"/>
      <c r="BY392" s="6"/>
      <c r="BZ392" s="6"/>
      <c r="CA392" s="6"/>
      <c r="CB392" s="6"/>
      <c r="CC392" s="6"/>
      <c r="CD392" s="6"/>
      <c r="CE392" s="6"/>
      <c r="CF392" s="6"/>
    </row>
    <row r="393" spans="4:84">
      <c r="D393" s="6"/>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6"/>
      <c r="AX393" s="6"/>
      <c r="AY393" s="6"/>
      <c r="AZ393" s="6"/>
      <c r="BA393" s="6"/>
      <c r="BB393" s="6"/>
      <c r="BC393" s="6"/>
      <c r="BD393" s="6"/>
      <c r="BE393" s="6"/>
      <c r="BF393" s="6"/>
      <c r="BG393" s="6"/>
      <c r="BH393" s="6"/>
      <c r="BI393" s="6"/>
      <c r="BJ393" s="6"/>
      <c r="BK393" s="6"/>
      <c r="BL393" s="6"/>
      <c r="BM393" s="6"/>
      <c r="BN393" s="6"/>
      <c r="BO393" s="6"/>
      <c r="BP393" s="6"/>
      <c r="BQ393" s="6"/>
      <c r="BR393" s="6"/>
      <c r="BS393" s="6"/>
      <c r="BT393" s="6"/>
      <c r="BU393" s="6"/>
      <c r="BV393" s="6"/>
      <c r="BW393" s="6"/>
      <c r="BX393" s="6"/>
      <c r="BY393" s="6"/>
      <c r="BZ393" s="6"/>
      <c r="CA393" s="6"/>
      <c r="CB393" s="6"/>
      <c r="CC393" s="6"/>
      <c r="CD393" s="6"/>
      <c r="CE393" s="6"/>
      <c r="CF393" s="6"/>
    </row>
    <row r="394" spans="4:84">
      <c r="D394" s="6"/>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6"/>
      <c r="AX394" s="6"/>
      <c r="AY394" s="6"/>
      <c r="AZ394" s="6"/>
      <c r="BA394" s="6"/>
      <c r="BB394" s="6"/>
      <c r="BC394" s="6"/>
      <c r="BD394" s="6"/>
      <c r="BE394" s="6"/>
      <c r="BF394" s="6"/>
      <c r="BG394" s="6"/>
      <c r="BH394" s="6"/>
      <c r="BI394" s="6"/>
      <c r="BJ394" s="6"/>
      <c r="BK394" s="6"/>
      <c r="BL394" s="6"/>
      <c r="BM394" s="6"/>
      <c r="BN394" s="6"/>
      <c r="BO394" s="6"/>
      <c r="BP394" s="6"/>
      <c r="BQ394" s="6"/>
      <c r="BR394" s="6"/>
      <c r="BS394" s="6"/>
      <c r="BT394" s="6"/>
      <c r="BU394" s="6"/>
      <c r="BV394" s="6"/>
      <c r="BW394" s="6"/>
      <c r="BX394" s="6"/>
      <c r="BY394" s="6"/>
      <c r="BZ394" s="6"/>
      <c r="CA394" s="6"/>
      <c r="CB394" s="6"/>
      <c r="CC394" s="6"/>
      <c r="CD394" s="6"/>
      <c r="CE394" s="6"/>
      <c r="CF394" s="6"/>
    </row>
    <row r="395" spans="4:84">
      <c r="D395" s="6"/>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c r="AZ395" s="6"/>
      <c r="BA395" s="6"/>
      <c r="BB395" s="6"/>
      <c r="BC395" s="6"/>
      <c r="BD395" s="6"/>
      <c r="BE395" s="6"/>
      <c r="BF395" s="6"/>
      <c r="BG395" s="6"/>
      <c r="BH395" s="6"/>
      <c r="BI395" s="6"/>
      <c r="BJ395" s="6"/>
      <c r="BK395" s="6"/>
      <c r="BL395" s="6"/>
      <c r="BM395" s="6"/>
      <c r="BN395" s="6"/>
      <c r="BO395" s="6"/>
      <c r="BP395" s="6"/>
      <c r="BQ395" s="6"/>
      <c r="BR395" s="6"/>
      <c r="BS395" s="6"/>
      <c r="BT395" s="6"/>
      <c r="BU395" s="6"/>
      <c r="BV395" s="6"/>
      <c r="BW395" s="6"/>
      <c r="BX395" s="6"/>
      <c r="BY395" s="6"/>
      <c r="BZ395" s="6"/>
      <c r="CA395" s="6"/>
      <c r="CB395" s="6"/>
      <c r="CC395" s="6"/>
      <c r="CD395" s="6"/>
      <c r="CE395" s="6"/>
      <c r="CF395" s="6"/>
    </row>
    <row r="396" spans="4:84">
      <c r="D396" s="6"/>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c r="AU396" s="6"/>
      <c r="AV396" s="6"/>
      <c r="AW396" s="6"/>
      <c r="AX396" s="6"/>
      <c r="AY396" s="6"/>
      <c r="AZ396" s="6"/>
      <c r="BA396" s="6"/>
      <c r="BB396" s="6"/>
      <c r="BC396" s="6"/>
      <c r="BD396" s="6"/>
      <c r="BE396" s="6"/>
      <c r="BF396" s="6"/>
      <c r="BG396" s="6"/>
      <c r="BH396" s="6"/>
      <c r="BI396" s="6"/>
      <c r="BJ396" s="6"/>
      <c r="BK396" s="6"/>
      <c r="BL396" s="6"/>
      <c r="BM396" s="6"/>
      <c r="BN396" s="6"/>
      <c r="BO396" s="6"/>
      <c r="BP396" s="6"/>
      <c r="BQ396" s="6"/>
      <c r="BR396" s="6"/>
      <c r="BS396" s="6"/>
      <c r="BT396" s="6"/>
      <c r="BU396" s="6"/>
      <c r="BV396" s="6"/>
      <c r="BW396" s="6"/>
      <c r="BX396" s="6"/>
      <c r="BY396" s="6"/>
      <c r="BZ396" s="6"/>
      <c r="CA396" s="6"/>
      <c r="CB396" s="6"/>
      <c r="CC396" s="6"/>
      <c r="CD396" s="6"/>
      <c r="CE396" s="6"/>
      <c r="CF396" s="6"/>
    </row>
    <row r="397" spans="4:84">
      <c r="D397" s="6"/>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6"/>
      <c r="AX397" s="6"/>
      <c r="AY397" s="6"/>
      <c r="AZ397" s="6"/>
      <c r="BA397" s="6"/>
      <c r="BB397" s="6"/>
      <c r="BC397" s="6"/>
      <c r="BD397" s="6"/>
      <c r="BE397" s="6"/>
      <c r="BF397" s="6"/>
      <c r="BG397" s="6"/>
      <c r="BH397" s="6"/>
      <c r="BI397" s="6"/>
      <c r="BJ397" s="6"/>
      <c r="BK397" s="6"/>
      <c r="BL397" s="6"/>
      <c r="BM397" s="6"/>
      <c r="BN397" s="6"/>
      <c r="BO397" s="6"/>
      <c r="BP397" s="6"/>
      <c r="BQ397" s="6"/>
      <c r="BR397" s="6"/>
      <c r="BS397" s="6"/>
      <c r="BT397" s="6"/>
      <c r="BU397" s="6"/>
      <c r="BV397" s="6"/>
      <c r="BW397" s="6"/>
      <c r="BX397" s="6"/>
      <c r="BY397" s="6"/>
      <c r="BZ397" s="6"/>
      <c r="CA397" s="6"/>
      <c r="CB397" s="6"/>
      <c r="CC397" s="6"/>
      <c r="CD397" s="6"/>
      <c r="CE397" s="6"/>
      <c r="CF397" s="6"/>
    </row>
    <row r="398" spans="4:84">
      <c r="D398" s="6"/>
      <c r="E398" s="6"/>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c r="AU398" s="6"/>
      <c r="AV398" s="6"/>
      <c r="AW398" s="6"/>
      <c r="AX398" s="6"/>
      <c r="AY398" s="6"/>
      <c r="AZ398" s="6"/>
      <c r="BA398" s="6"/>
      <c r="BB398" s="6"/>
      <c r="BC398" s="6"/>
      <c r="BD398" s="6"/>
      <c r="BE398" s="6"/>
      <c r="BF398" s="6"/>
      <c r="BG398" s="6"/>
      <c r="BH398" s="6"/>
      <c r="BI398" s="6"/>
      <c r="BJ398" s="6"/>
      <c r="BK398" s="6"/>
      <c r="BL398" s="6"/>
      <c r="BM398" s="6"/>
      <c r="BN398" s="6"/>
      <c r="BO398" s="6"/>
      <c r="BP398" s="6"/>
      <c r="BQ398" s="6"/>
      <c r="BR398" s="6"/>
      <c r="BS398" s="6"/>
      <c r="BT398" s="6"/>
      <c r="BU398" s="6"/>
      <c r="BV398" s="6"/>
      <c r="BW398" s="6"/>
      <c r="BX398" s="6"/>
      <c r="BY398" s="6"/>
      <c r="BZ398" s="6"/>
      <c r="CA398" s="6"/>
      <c r="CB398" s="6"/>
      <c r="CC398" s="6"/>
      <c r="CD398" s="6"/>
      <c r="CE398" s="6"/>
      <c r="CF398" s="6"/>
    </row>
  </sheetData>
  <pageMargins left="0.75" right="0.75" top="1" bottom="1" header="0.5" footer="0.5"/>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92D050"/>
    <pageSetUpPr autoPageBreaks="0"/>
  </sheetPr>
  <dimension ref="A1:IV398"/>
  <sheetViews>
    <sheetView topLeftCell="A232" zoomScaleNormal="100" workbookViewId="0">
      <selection activeCell="M257" sqref="M257"/>
    </sheetView>
  </sheetViews>
  <sheetFormatPr defaultRowHeight="12.75"/>
  <cols>
    <col min="1" max="1" width="29" style="4" bestFit="1" customWidth="1"/>
    <col min="2" max="2" width="14.42578125" style="4" bestFit="1" customWidth="1"/>
    <col min="3" max="4" width="17.85546875" style="4" bestFit="1" customWidth="1"/>
    <col min="5" max="5" width="12.5703125" style="4" bestFit="1" customWidth="1"/>
    <col min="6" max="6" width="10.140625" style="4" bestFit="1" customWidth="1"/>
    <col min="7" max="7" width="16.7109375" style="4" customWidth="1"/>
    <col min="8" max="8" width="12" style="4" bestFit="1" customWidth="1"/>
    <col min="9" max="9" width="11" style="4" bestFit="1" customWidth="1"/>
    <col min="10" max="10" width="11.7109375" style="4" bestFit="1" customWidth="1"/>
    <col min="11" max="11" width="12" style="4" bestFit="1" customWidth="1"/>
    <col min="12" max="12" width="14.7109375" style="4" bestFit="1" customWidth="1"/>
    <col min="13" max="13" width="16.5703125" style="4" bestFit="1" customWidth="1"/>
    <col min="14" max="14" width="12" style="4" bestFit="1" customWidth="1"/>
    <col min="15" max="15" width="25.140625" style="4" bestFit="1" customWidth="1"/>
    <col min="16" max="16" width="21.85546875" style="4" bestFit="1" customWidth="1"/>
    <col min="17" max="17" width="15.28515625" style="4" bestFit="1" customWidth="1"/>
    <col min="18" max="27" width="10.140625" style="4" bestFit="1" customWidth="1"/>
    <col min="28" max="28" width="18.7109375" style="4" customWidth="1"/>
    <col min="29" max="80" width="10.140625" style="4" bestFit="1" customWidth="1"/>
    <col min="81" max="82" width="17.85546875" style="4" bestFit="1" customWidth="1"/>
    <col min="83" max="83" width="17.85546875" style="4" customWidth="1"/>
    <col min="84" max="84" width="24.140625" style="4" customWidth="1"/>
    <col min="85" max="85" width="24.7109375" style="4" customWidth="1"/>
    <col min="86" max="102" width="15.7109375" style="4" bestFit="1" customWidth="1"/>
    <col min="103" max="103" width="20.85546875" style="4" customWidth="1"/>
    <col min="104" max="104" width="13.85546875" style="4" customWidth="1"/>
    <col min="105" max="142" width="9.140625" style="4"/>
    <col min="143" max="143" width="13.28515625" style="4" customWidth="1"/>
    <col min="144" max="16384" width="9.140625" style="4"/>
  </cols>
  <sheetData>
    <row r="1" spans="1:152">
      <c r="C1" s="156"/>
      <c r="D1" s="4" t="s">
        <v>109</v>
      </c>
      <c r="E1" s="4" t="s">
        <v>108</v>
      </c>
      <c r="F1" s="1" t="s">
        <v>3</v>
      </c>
      <c r="G1" s="4" t="s">
        <v>107</v>
      </c>
      <c r="H1" s="1" t="s">
        <v>0</v>
      </c>
      <c r="I1" s="1" t="s">
        <v>1</v>
      </c>
      <c r="J1" s="1" t="s">
        <v>2</v>
      </c>
      <c r="K1" s="2" t="s">
        <v>4</v>
      </c>
      <c r="L1" s="2" t="s">
        <v>6</v>
      </c>
      <c r="M1" s="2" t="s">
        <v>7</v>
      </c>
      <c r="N1" s="2" t="s">
        <v>5</v>
      </c>
      <c r="O1" s="2" t="s">
        <v>9</v>
      </c>
      <c r="P1" s="2" t="s">
        <v>10</v>
      </c>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3"/>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row>
    <row r="2" spans="1:152">
      <c r="A2" s="14" t="s">
        <v>20</v>
      </c>
      <c r="B2" s="14"/>
      <c r="C2" s="1"/>
      <c r="D2" t="str">
        <f>'Bond Data'!B138</f>
        <v>CTNZD12M GOVT</v>
      </c>
      <c r="E2" s="542"/>
      <c r="F2" s="542" t="str">
        <f>'Bond Data'!D138</f>
        <v>6/17/2020</v>
      </c>
      <c r="G2"/>
      <c r="H2">
        <f>'Bond Data'!F138</f>
        <v>98.935000000000002</v>
      </c>
      <c r="I2">
        <f>'Bond Data'!G138</f>
        <v>0</v>
      </c>
      <c r="J2">
        <f>'Bond Data'!H138/100</f>
        <v>0</v>
      </c>
      <c r="K2">
        <f>'Bond Data'!I138</f>
        <v>98.935000000000002</v>
      </c>
      <c r="O2" s="4">
        <v>1</v>
      </c>
      <c r="P2" s="4">
        <f t="shared" ref="P2:P6" si="0">O2/$O$28</f>
        <v>0.22740264796662796</v>
      </c>
      <c r="BO2" s="3"/>
    </row>
    <row r="3" spans="1:152">
      <c r="A3" s="14" t="s">
        <v>21</v>
      </c>
      <c r="B3" s="229">
        <f>'Instructions &amp; Dashboard'!$D$45</f>
        <v>43648</v>
      </c>
      <c r="C3" s="1"/>
      <c r="D3" s="548" t="str">
        <f>'Bond Data'!B139</f>
        <v>NZGOVDT420C6 corp</v>
      </c>
      <c r="E3" s="542" t="str">
        <f>'Bond Data'!C139</f>
        <v>10/15/2019</v>
      </c>
      <c r="F3" s="542" t="str">
        <f>'Bond Data'!D139</f>
        <v>4/15/2020</v>
      </c>
      <c r="G3">
        <f>'Bond Data'!E139</f>
        <v>2</v>
      </c>
      <c r="H3">
        <f>'Bond Data'!F139</f>
        <v>101.38765031258832</v>
      </c>
      <c r="I3">
        <f>'Bond Data'!G139</f>
        <v>0.65573770491803274</v>
      </c>
      <c r="J3">
        <f>'Bond Data'!H139/100</f>
        <v>0.03</v>
      </c>
      <c r="K3">
        <f>'Bond Data'!I139</f>
        <v>102.04338801750636</v>
      </c>
      <c r="L3" s="549">
        <f t="shared" ref="L3:L6" si="1">YIELD($B$3,F3,J3,H3,100,G3,0)</f>
        <v>1.2195094867961881E-2</v>
      </c>
      <c r="M3" s="549">
        <f t="shared" ref="M3:M6" si="2">MDURATION($B$3,F3,J3,L3,G3,0)</f>
        <v>0.77406590500428152</v>
      </c>
      <c r="N3" s="549">
        <f t="shared" ref="N3:N6" si="3">DURATION($B$3,F3,J3,L3,G3,0)</f>
        <v>0.77878580857707247</v>
      </c>
      <c r="O3" s="4">
        <f t="shared" ref="O3:O6" si="4">1/M3</f>
        <v>1.291879662358296</v>
      </c>
      <c r="P3" s="4">
        <f t="shared" si="0"/>
        <v>0.29377685607450976</v>
      </c>
      <c r="BO3" s="3"/>
    </row>
    <row r="4" spans="1:152">
      <c r="A4" s="14" t="s">
        <v>46</v>
      </c>
      <c r="B4" s="14"/>
      <c r="C4" s="1"/>
      <c r="D4" s="548" t="str">
        <f>'Bond Data'!B140</f>
        <v>NZRTBDTJIOC6 Govt</v>
      </c>
      <c r="E4" s="542"/>
      <c r="F4" s="542" t="str">
        <f>'Bond Data'!D140</f>
        <v>9/25/2019</v>
      </c>
      <c r="G4" s="548"/>
      <c r="H4" s="548">
        <f>'Bond Data'!F140</f>
        <v>99.730500000000006</v>
      </c>
      <c r="I4" s="548">
        <f>'Bond Data'!G140</f>
        <v>0</v>
      </c>
      <c r="J4" s="548">
        <f>'Bond Data'!H140/100</f>
        <v>0</v>
      </c>
      <c r="K4" s="548">
        <f>'Bond Data'!I140</f>
        <v>99.730500000000006</v>
      </c>
      <c r="L4" s="549"/>
      <c r="M4" s="549"/>
      <c r="N4" s="549"/>
      <c r="O4" s="549">
        <v>1</v>
      </c>
      <c r="P4" s="549">
        <f t="shared" ref="P4:P5" si="5">O4/$O$28</f>
        <v>0.22740264796662796</v>
      </c>
      <c r="Q4" s="549"/>
      <c r="BO4" s="3"/>
    </row>
    <row r="5" spans="1:152">
      <c r="A5" s="14" t="s">
        <v>50</v>
      </c>
      <c r="B5" s="238">
        <f>'Instructions &amp; Dashboard'!$D$40/100</f>
        <v>4.2000000000000003E-2</v>
      </c>
      <c r="C5" s="1"/>
      <c r="D5" s="548" t="str">
        <f>'Bond Data'!B141</f>
        <v>CTNZD2Y GOVT</v>
      </c>
      <c r="E5" s="542"/>
      <c r="F5" s="542" t="str">
        <f>'Bond Data'!D141</f>
        <v>5/15/2021</v>
      </c>
      <c r="G5" s="548">
        <f>'Bond Data'!E141</f>
        <v>2</v>
      </c>
      <c r="H5" s="548">
        <f>'Bond Data'!F141</f>
        <v>108.91971645788519</v>
      </c>
      <c r="I5" s="548">
        <f>'Bond Data'!G141</f>
        <v>0.81521739130434778</v>
      </c>
      <c r="J5" s="548">
        <f>'Bond Data'!H141/100</f>
        <v>0.06</v>
      </c>
      <c r="K5" s="548">
        <f>'Bond Data'!I141</f>
        <v>109.73493384918953</v>
      </c>
      <c r="L5" s="549">
        <f t="shared" si="1"/>
        <v>1.1619186307637242E-2</v>
      </c>
      <c r="M5" s="549">
        <f t="shared" ref="M5" si="6">MDURATION($B$3,F5,J5,L5,G5,0)</f>
        <v>1.7777413421831121</v>
      </c>
      <c r="N5" s="549">
        <f t="shared" ref="N5" si="7">DURATION($B$3,F5,J5,L5,G5,0)</f>
        <v>1.7880692961139195</v>
      </c>
      <c r="O5" s="549">
        <f t="shared" ref="O5" si="8">1/M5</f>
        <v>0.56251152868615539</v>
      </c>
      <c r="P5" s="549">
        <f t="shared" si="5"/>
        <v>0.12791661113498753</v>
      </c>
      <c r="BO5" s="3"/>
    </row>
    <row r="6" spans="1:152">
      <c r="A6" s="14" t="s">
        <v>11</v>
      </c>
      <c r="B6" s="14">
        <v>0.10166338757128487</v>
      </c>
      <c r="C6" s="1"/>
      <c r="D6" s="548" t="str">
        <f>'Bond Data'!B142</f>
        <v>CTNZD5Y GOVT</v>
      </c>
      <c r="E6" s="542" t="str">
        <f>'Bond Data'!C142</f>
        <v>10/15/2019</v>
      </c>
      <c r="F6" s="542" t="str">
        <f>'Bond Data'!D142</f>
        <v>4/15/2025</v>
      </c>
      <c r="G6">
        <f>'Bond Data'!E142</f>
        <v>2</v>
      </c>
      <c r="H6">
        <f>'Bond Data'!F142</f>
        <v>108.40118129111292</v>
      </c>
      <c r="I6">
        <f>'Bond Data'!G142</f>
        <v>0.60109289617486339</v>
      </c>
      <c r="J6">
        <f>'Bond Data'!H142/100</f>
        <v>2.75E-2</v>
      </c>
      <c r="K6">
        <f>'Bond Data'!I142</f>
        <v>109.00227418728778</v>
      </c>
      <c r="L6" s="549">
        <f t="shared" si="1"/>
        <v>1.2406229557353966E-2</v>
      </c>
      <c r="M6" s="549">
        <f t="shared" si="2"/>
        <v>5.3464997682884494</v>
      </c>
      <c r="N6" s="549">
        <f t="shared" si="3"/>
        <v>5.3796647200153123</v>
      </c>
      <c r="O6" s="4">
        <f t="shared" si="4"/>
        <v>0.18703825742802294</v>
      </c>
      <c r="P6" s="4">
        <f t="shared" si="0"/>
        <v>4.2532995010196237E-2</v>
      </c>
      <c r="BO6" s="3"/>
    </row>
    <row r="7" spans="1:152">
      <c r="A7" s="14" t="s">
        <v>12</v>
      </c>
      <c r="B7" s="14">
        <v>-0.16338100137205555</v>
      </c>
      <c r="C7" s="1"/>
      <c r="D7" s="548" t="str">
        <f>'Bond Data'!B143</f>
        <v>GTNZD7Y GOVT</v>
      </c>
      <c r="E7" s="542" t="str">
        <f>'Bond Data'!C143</f>
        <v>10/15/2019</v>
      </c>
      <c r="F7" s="542" t="str">
        <f>'Bond Data'!D143</f>
        <v>4/15/2027</v>
      </c>
      <c r="G7" s="548">
        <f>'Bond Data'!E143</f>
        <v>2</v>
      </c>
      <c r="H7" s="548">
        <f>'Bond Data'!F143</f>
        <v>122.79006726446278</v>
      </c>
      <c r="I7" s="548">
        <f>'Bond Data'!G143</f>
        <v>0.98360655737704916</v>
      </c>
      <c r="J7" s="548">
        <f>'Bond Data'!H143/100</f>
        <v>4.4999999999999998E-2</v>
      </c>
      <c r="K7" s="548">
        <f>'Bond Data'!I143</f>
        <v>123.77367382183982</v>
      </c>
      <c r="L7" s="549">
        <f t="shared" ref="L7" si="9">YIELD($B$3,F7,J7,H7,100,G7,0)</f>
        <v>1.4000645220296745E-2</v>
      </c>
      <c r="M7" s="549">
        <f t="shared" ref="M7" si="10">MDURATION($B$3,F7,J7,L7,G7,0)</f>
        <v>6.6872231311372792</v>
      </c>
      <c r="N7" s="549">
        <f t="shared" ref="N7" si="11">DURATION($B$3,F7,J7,L7,G7,0)</f>
        <v>6.7340358504212858</v>
      </c>
      <c r="O7" s="549">
        <f t="shared" ref="O7" si="12">1/M7</f>
        <v>0.14953890133316555</v>
      </c>
      <c r="P7" s="549">
        <f t="shared" ref="P7" si="13">O7/$O$28</f>
        <v>3.4005542137182161E-2</v>
      </c>
      <c r="Q7" s="549"/>
      <c r="BO7" s="3"/>
    </row>
    <row r="8" spans="1:152">
      <c r="A8" s="14" t="s">
        <v>51</v>
      </c>
      <c r="B8" s="14">
        <v>-0.50185538303747568</v>
      </c>
      <c r="C8" s="1"/>
      <c r="D8" s="548" t="str">
        <f>'Bond Data'!B144</f>
        <v>GTNZD10Y GOVT</v>
      </c>
      <c r="E8" s="542" t="str">
        <f>'Bond Data'!C144</f>
        <v>10/20/2019</v>
      </c>
      <c r="F8" s="542" t="str">
        <f>'Bond Data'!D144</f>
        <v>4/20/2029</v>
      </c>
      <c r="G8" s="548">
        <f>'Bond Data'!E144</f>
        <v>2</v>
      </c>
      <c r="H8" s="548">
        <f>'Bond Data'!F144</f>
        <v>113.07550601193907</v>
      </c>
      <c r="I8" s="548">
        <f>'Bond Data'!G144</f>
        <v>0.61475409836065575</v>
      </c>
      <c r="J8" s="548">
        <f>'Bond Data'!H144/100</f>
        <v>0.03</v>
      </c>
      <c r="K8" s="548">
        <f>'Bond Data'!I144</f>
        <v>113.69026011029972</v>
      </c>
      <c r="L8" s="549">
        <f t="shared" ref="L8" si="14">YIELD($B$3,F8,J8,H8,100,G8,0)</f>
        <v>1.5561169886643685E-2</v>
      </c>
      <c r="M8" s="549">
        <f t="shared" ref="M8" si="15">MDURATION($B$3,F8,J8,L8,G8,0)</f>
        <v>8.5417371666517106</v>
      </c>
      <c r="N8" s="549">
        <f t="shared" ref="N8" si="16">DURATION($B$3,F8,J8,L8,G8,0)</f>
        <v>8.6081968782403742</v>
      </c>
      <c r="O8" s="549">
        <f t="shared" ref="O8" si="17">1/M8</f>
        <v>0.11707220445791258</v>
      </c>
      <c r="P8" s="549">
        <f t="shared" ref="P8" si="18">O8/$O$28</f>
        <v>2.662252929701979E-2</v>
      </c>
      <c r="BO8" s="3"/>
    </row>
    <row r="9" spans="1:152">
      <c r="A9" s="14" t="s">
        <v>53</v>
      </c>
      <c r="B9" s="14">
        <v>10.480674003050957</v>
      </c>
      <c r="C9" s="1"/>
      <c r="D9" s="548" t="str">
        <f>'Bond Data'!B145</f>
        <v>NZGOVDT433C9 govt</v>
      </c>
      <c r="E9" s="542" t="str">
        <f>'Bond Data'!C145</f>
        <v>10/14/2019</v>
      </c>
      <c r="F9" s="542" t="str">
        <f>'Bond Data'!D145</f>
        <v>4/14/2033</v>
      </c>
      <c r="G9" s="548">
        <f>'Bond Data'!E145</f>
        <v>2</v>
      </c>
      <c r="H9" s="548">
        <f>'Bond Data'!F145</f>
        <v>121.21211258457703</v>
      </c>
      <c r="I9" s="548">
        <f>'Bond Data'!G145</f>
        <v>0.77459016393442626</v>
      </c>
      <c r="J9" s="548">
        <f>'Bond Data'!H145/100</f>
        <v>3.5000000000000003E-2</v>
      </c>
      <c r="K9" s="548">
        <f>'Bond Data'!I145</f>
        <v>121.98670274851145</v>
      </c>
      <c r="L9" s="549">
        <f t="shared" ref="L9" si="19">YIELD($B$3,F9,J9,H9,100,G9,0)</f>
        <v>1.7599484693825655E-2</v>
      </c>
      <c r="M9" s="549">
        <f t="shared" ref="M9" si="20">MDURATION($B$3,F9,J9,L9,G9,0)</f>
        <v>11.179977519902163</v>
      </c>
      <c r="N9" s="549">
        <f t="shared" ref="N9" si="21">DURATION($B$3,F9,J9,L9,G9,0)</f>
        <v>11.278358441521579</v>
      </c>
      <c r="O9" s="549">
        <f t="shared" ref="O9" si="22">1/M9</f>
        <v>8.9445618134726901E-2</v>
      </c>
      <c r="P9" s="549">
        <f t="shared" ref="P9" si="23">O9/$O$28</f>
        <v>2.0340170412848736E-2</v>
      </c>
      <c r="BO9" s="3"/>
    </row>
    <row r="10" spans="1:152">
      <c r="A10" s="14" t="s">
        <v>52</v>
      </c>
      <c r="B10" s="14">
        <v>0.92237322213457662</v>
      </c>
      <c r="C10" s="1"/>
      <c r="D10" s="548"/>
      <c r="E10"/>
      <c r="F10"/>
      <c r="G10"/>
      <c r="H10"/>
      <c r="I10"/>
      <c r="J10"/>
      <c r="K10" s="548"/>
      <c r="O10" s="549"/>
      <c r="BO10" s="3"/>
    </row>
    <row r="11" spans="1:152">
      <c r="A11" s="14"/>
      <c r="B11" s="14"/>
      <c r="C11" s="1"/>
      <c r="D11" s="548"/>
      <c r="E11"/>
      <c r="F11"/>
      <c r="G11"/>
      <c r="H11"/>
      <c r="I11"/>
      <c r="J11"/>
      <c r="K11"/>
      <c r="BO11" s="3"/>
    </row>
    <row r="12" spans="1:152">
      <c r="C12" s="1"/>
      <c r="D12"/>
      <c r="E12"/>
      <c r="F12"/>
      <c r="G12"/>
      <c r="H12"/>
      <c r="I12"/>
      <c r="J12"/>
      <c r="K12"/>
      <c r="BO12" s="3"/>
    </row>
    <row r="13" spans="1:152">
      <c r="B13" s="550"/>
      <c r="C13" s="1"/>
      <c r="D13"/>
      <c r="E13"/>
      <c r="F13"/>
      <c r="G13"/>
      <c r="H13"/>
      <c r="I13"/>
      <c r="J13"/>
      <c r="K13"/>
      <c r="BO13" s="3"/>
    </row>
    <row r="14" spans="1:152">
      <c r="B14" s="550"/>
      <c r="C14" s="1"/>
      <c r="D14"/>
      <c r="E14"/>
      <c r="F14"/>
      <c r="G14"/>
      <c r="H14"/>
      <c r="I14"/>
      <c r="J14"/>
      <c r="K14"/>
      <c r="BO14" s="3"/>
    </row>
    <row r="15" spans="1:152">
      <c r="B15" s="550"/>
      <c r="C15" s="1"/>
      <c r="D15"/>
      <c r="E15"/>
      <c r="F15"/>
      <c r="G15"/>
      <c r="H15"/>
      <c r="I15"/>
      <c r="J15"/>
      <c r="K15"/>
      <c r="BO15" s="3"/>
    </row>
    <row r="16" spans="1:152">
      <c r="B16" s="550"/>
      <c r="C16" s="1"/>
      <c r="D16"/>
      <c r="E16"/>
      <c r="F16"/>
      <c r="G16"/>
      <c r="H16"/>
      <c r="I16"/>
      <c r="J16"/>
      <c r="K16"/>
      <c r="BO16" s="3"/>
    </row>
    <row r="17" spans="1:83">
      <c r="B17" s="550"/>
      <c r="C17" s="1"/>
      <c r="D17"/>
      <c r="E17"/>
      <c r="F17"/>
      <c r="G17"/>
      <c r="H17"/>
      <c r="I17"/>
      <c r="J17"/>
      <c r="K17"/>
      <c r="BO17" s="3"/>
    </row>
    <row r="18" spans="1:83">
      <c r="B18" s="550"/>
      <c r="C18" s="1"/>
      <c r="D18"/>
      <c r="E18"/>
      <c r="F18"/>
      <c r="G18"/>
      <c r="H18"/>
      <c r="I18"/>
      <c r="J18"/>
      <c r="K18"/>
      <c r="BO18" s="3"/>
    </row>
    <row r="19" spans="1:83">
      <c r="C19" s="1"/>
      <c r="D19"/>
      <c r="E19"/>
      <c r="F19"/>
      <c r="G19"/>
      <c r="H19"/>
      <c r="I19"/>
      <c r="J19"/>
      <c r="K19"/>
      <c r="BO19" s="3"/>
    </row>
    <row r="20" spans="1:83">
      <c r="C20" s="1"/>
      <c r="D20"/>
      <c r="E20"/>
      <c r="F20"/>
      <c r="G20"/>
      <c r="H20"/>
      <c r="I20"/>
      <c r="J20"/>
      <c r="K20"/>
      <c r="BO20" s="3"/>
    </row>
    <row r="21" spans="1:83">
      <c r="C21" s="1"/>
      <c r="D21"/>
      <c r="E21"/>
      <c r="F21"/>
      <c r="G21"/>
      <c r="H21"/>
      <c r="I21"/>
      <c r="J21"/>
      <c r="K21"/>
      <c r="BO21" s="3"/>
    </row>
    <row r="22" spans="1:83">
      <c r="C22" s="1"/>
      <c r="D22"/>
      <c r="E22"/>
      <c r="F22"/>
      <c r="G22"/>
      <c r="H22"/>
      <c r="I22"/>
      <c r="J22"/>
      <c r="K22"/>
      <c r="BO22" s="3"/>
    </row>
    <row r="23" spans="1:83">
      <c r="C23" s="1"/>
      <c r="D23"/>
      <c r="E23"/>
      <c r="F23"/>
      <c r="G23"/>
      <c r="H23"/>
      <c r="I23"/>
      <c r="J23"/>
      <c r="K23"/>
    </row>
    <row r="24" spans="1:83">
      <c r="C24" s="1"/>
      <c r="D24"/>
      <c r="E24"/>
      <c r="F24"/>
      <c r="G24"/>
      <c r="H24"/>
      <c r="I24"/>
      <c r="J24"/>
      <c r="K24"/>
    </row>
    <row r="25" spans="1:83">
      <c r="C25" s="1"/>
      <c r="D25"/>
      <c r="E25"/>
      <c r="F25"/>
      <c r="G25"/>
      <c r="H25"/>
      <c r="I25"/>
      <c r="J25"/>
      <c r="K25"/>
    </row>
    <row r="26" spans="1:83">
      <c r="C26" s="1"/>
      <c r="D26"/>
      <c r="E26"/>
      <c r="F26"/>
      <c r="G26"/>
      <c r="H26"/>
      <c r="I26"/>
      <c r="J26"/>
      <c r="K26"/>
    </row>
    <row r="27" spans="1:83">
      <c r="C27" s="1"/>
      <c r="D27"/>
      <c r="E27"/>
      <c r="F27"/>
      <c r="G27"/>
      <c r="H27"/>
      <c r="I27"/>
      <c r="J27"/>
      <c r="K27"/>
    </row>
    <row r="28" spans="1:83">
      <c r="D28"/>
      <c r="N28" s="13" t="s">
        <v>48</v>
      </c>
      <c r="O28" s="13">
        <f>SUM(O2:O27)</f>
        <v>4.3974861723982785</v>
      </c>
      <c r="P28" s="6"/>
    </row>
    <row r="29" spans="1:83">
      <c r="A29" s="6"/>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row>
    <row r="30" spans="1:83" s="22" customFormat="1">
      <c r="A30" s="161" t="s">
        <v>49</v>
      </c>
      <c r="B30" s="142" t="str">
        <f>IF(E2=0,F2,E2)</f>
        <v>6/17/2020</v>
      </c>
      <c r="C30" s="24">
        <f t="shared" ref="C30:BN30" si="24">B30+IF($G2=1,365,182.5)</f>
        <v>44181.5</v>
      </c>
      <c r="D30" s="24">
        <f t="shared" si="24"/>
        <v>44364</v>
      </c>
      <c r="E30" s="24">
        <f t="shared" si="24"/>
        <v>44546.5</v>
      </c>
      <c r="F30" s="24">
        <f t="shared" si="24"/>
        <v>44729</v>
      </c>
      <c r="G30" s="24">
        <f t="shared" si="24"/>
        <v>44911.5</v>
      </c>
      <c r="H30" s="24">
        <f t="shared" si="24"/>
        <v>45094</v>
      </c>
      <c r="I30" s="24">
        <f t="shared" si="24"/>
        <v>45276.5</v>
      </c>
      <c r="J30" s="24">
        <f t="shared" si="24"/>
        <v>45459</v>
      </c>
      <c r="K30" s="24">
        <f t="shared" si="24"/>
        <v>45641.5</v>
      </c>
      <c r="L30" s="24">
        <f t="shared" si="24"/>
        <v>45824</v>
      </c>
      <c r="M30" s="24">
        <f t="shared" si="24"/>
        <v>46006.5</v>
      </c>
      <c r="N30" s="24">
        <f t="shared" si="24"/>
        <v>46189</v>
      </c>
      <c r="O30" s="24">
        <f t="shared" si="24"/>
        <v>46371.5</v>
      </c>
      <c r="P30" s="24">
        <f t="shared" si="24"/>
        <v>46554</v>
      </c>
      <c r="Q30" s="24">
        <f t="shared" si="24"/>
        <v>46736.5</v>
      </c>
      <c r="R30" s="24">
        <f t="shared" si="24"/>
        <v>46919</v>
      </c>
      <c r="S30" s="24">
        <f t="shared" si="24"/>
        <v>47101.5</v>
      </c>
      <c r="T30" s="24">
        <f t="shared" si="24"/>
        <v>47284</v>
      </c>
      <c r="U30" s="24">
        <f t="shared" si="24"/>
        <v>47466.5</v>
      </c>
      <c r="V30" s="24">
        <f t="shared" si="24"/>
        <v>47649</v>
      </c>
      <c r="W30" s="24">
        <f t="shared" si="24"/>
        <v>47831.5</v>
      </c>
      <c r="X30" s="24">
        <f t="shared" si="24"/>
        <v>48014</v>
      </c>
      <c r="Y30" s="24">
        <f t="shared" si="24"/>
        <v>48196.5</v>
      </c>
      <c r="Z30" s="24">
        <f t="shared" si="24"/>
        <v>48379</v>
      </c>
      <c r="AA30" s="24">
        <f t="shared" si="24"/>
        <v>48561.5</v>
      </c>
      <c r="AB30" s="24">
        <f t="shared" si="24"/>
        <v>48744</v>
      </c>
      <c r="AC30" s="24">
        <f t="shared" si="24"/>
        <v>48926.5</v>
      </c>
      <c r="AD30" s="24">
        <f t="shared" si="24"/>
        <v>49109</v>
      </c>
      <c r="AE30" s="24">
        <f t="shared" si="24"/>
        <v>49291.5</v>
      </c>
      <c r="AF30" s="24">
        <f t="shared" si="24"/>
        <v>49474</v>
      </c>
      <c r="AG30" s="24">
        <f t="shared" si="24"/>
        <v>49656.5</v>
      </c>
      <c r="AH30" s="24">
        <f t="shared" si="24"/>
        <v>49839</v>
      </c>
      <c r="AI30" s="24">
        <f t="shared" si="24"/>
        <v>50021.5</v>
      </c>
      <c r="AJ30" s="24">
        <f t="shared" si="24"/>
        <v>50204</v>
      </c>
      <c r="AK30" s="24">
        <f t="shared" si="24"/>
        <v>50386.5</v>
      </c>
      <c r="AL30" s="24">
        <f t="shared" si="24"/>
        <v>50569</v>
      </c>
      <c r="AM30" s="24">
        <f t="shared" si="24"/>
        <v>50751.5</v>
      </c>
      <c r="AN30" s="24">
        <f t="shared" si="24"/>
        <v>50934</v>
      </c>
      <c r="AO30" s="24">
        <f t="shared" si="24"/>
        <v>51116.5</v>
      </c>
      <c r="AP30" s="24">
        <f t="shared" si="24"/>
        <v>51299</v>
      </c>
      <c r="AQ30" s="24">
        <f t="shared" si="24"/>
        <v>51481.5</v>
      </c>
      <c r="AR30" s="24">
        <f t="shared" si="24"/>
        <v>51664</v>
      </c>
      <c r="AS30" s="24">
        <f t="shared" si="24"/>
        <v>51846.5</v>
      </c>
      <c r="AT30" s="24">
        <f t="shared" si="24"/>
        <v>52029</v>
      </c>
      <c r="AU30" s="24">
        <f t="shared" si="24"/>
        <v>52211.5</v>
      </c>
      <c r="AV30" s="24">
        <f t="shared" si="24"/>
        <v>52394</v>
      </c>
      <c r="AW30" s="24">
        <f t="shared" si="24"/>
        <v>52576.5</v>
      </c>
      <c r="AX30" s="24">
        <f t="shared" si="24"/>
        <v>52759</v>
      </c>
      <c r="AY30" s="24">
        <f t="shared" si="24"/>
        <v>52941.5</v>
      </c>
      <c r="AZ30" s="24">
        <f t="shared" si="24"/>
        <v>53124</v>
      </c>
      <c r="BA30" s="24">
        <f t="shared" si="24"/>
        <v>53306.5</v>
      </c>
      <c r="BB30" s="24">
        <f t="shared" si="24"/>
        <v>53489</v>
      </c>
      <c r="BC30" s="24">
        <f t="shared" si="24"/>
        <v>53671.5</v>
      </c>
      <c r="BD30" s="24">
        <f t="shared" si="24"/>
        <v>53854</v>
      </c>
      <c r="BE30" s="24">
        <f t="shared" si="24"/>
        <v>54036.5</v>
      </c>
      <c r="BF30" s="24">
        <f t="shared" si="24"/>
        <v>54219</v>
      </c>
      <c r="BG30" s="24">
        <f t="shared" si="24"/>
        <v>54401.5</v>
      </c>
      <c r="BH30" s="24">
        <f t="shared" si="24"/>
        <v>54584</v>
      </c>
      <c r="BI30" s="24">
        <f t="shared" si="24"/>
        <v>54766.5</v>
      </c>
      <c r="BJ30" s="24">
        <f t="shared" si="24"/>
        <v>54949</v>
      </c>
      <c r="BK30" s="24">
        <f t="shared" si="24"/>
        <v>55131.5</v>
      </c>
      <c r="BL30" s="24">
        <f t="shared" si="24"/>
        <v>55314</v>
      </c>
      <c r="BM30" s="24">
        <f t="shared" si="24"/>
        <v>55496.5</v>
      </c>
      <c r="BN30" s="24">
        <f t="shared" si="24"/>
        <v>55679</v>
      </c>
      <c r="BO30" s="24">
        <f t="shared" ref="BO30:CB30" si="25">BN30+IF($G2=1,365,182.5)</f>
        <v>55861.5</v>
      </c>
      <c r="BP30" s="24">
        <f t="shared" si="25"/>
        <v>56044</v>
      </c>
      <c r="BQ30" s="24">
        <f t="shared" si="25"/>
        <v>56226.5</v>
      </c>
      <c r="BR30" s="24">
        <f t="shared" si="25"/>
        <v>56409</v>
      </c>
      <c r="BS30" s="24">
        <f t="shared" si="25"/>
        <v>56591.5</v>
      </c>
      <c r="BT30" s="24">
        <f t="shared" si="25"/>
        <v>56774</v>
      </c>
      <c r="BU30" s="24">
        <f t="shared" si="25"/>
        <v>56956.5</v>
      </c>
      <c r="BV30" s="24">
        <f t="shared" si="25"/>
        <v>57139</v>
      </c>
      <c r="BW30" s="24">
        <f t="shared" si="25"/>
        <v>57321.5</v>
      </c>
      <c r="BX30" s="24">
        <f t="shared" si="25"/>
        <v>57504</v>
      </c>
      <c r="BY30" s="24">
        <f t="shared" si="25"/>
        <v>57686.5</v>
      </c>
      <c r="BZ30" s="24">
        <f t="shared" si="25"/>
        <v>57869</v>
      </c>
      <c r="CA30" s="24">
        <f t="shared" si="25"/>
        <v>58051.5</v>
      </c>
      <c r="CB30" s="25">
        <f t="shared" si="25"/>
        <v>58234</v>
      </c>
    </row>
    <row r="31" spans="1:83">
      <c r="A31" s="162" t="s">
        <v>22</v>
      </c>
      <c r="B31" s="104">
        <f>(IF(B30=F2,100,0)+IF(G2=1,1,0.5)*J2*100)*IF(ISBLANK(F2)=TRUE,0,1)</f>
        <v>100</v>
      </c>
      <c r="C31" s="26">
        <f>IF(C30&gt;$F2+2,0,1)*(IF(D31=0,100,0)+IF($G2=1,1,0.5)*$J2*100)</f>
        <v>0</v>
      </c>
      <c r="D31" s="26">
        <f t="shared" ref="D31:BO31" si="26">IF(D30&gt;$F2+2,0,1)*(IF(E31=0,100,0)+IF($G2=1,1,0.5)*$J2*100)</f>
        <v>0</v>
      </c>
      <c r="E31" s="26">
        <f t="shared" si="26"/>
        <v>0</v>
      </c>
      <c r="F31" s="26">
        <f t="shared" si="26"/>
        <v>0</v>
      </c>
      <c r="G31" s="26">
        <f t="shared" si="26"/>
        <v>0</v>
      </c>
      <c r="H31" s="26">
        <f t="shared" si="26"/>
        <v>0</v>
      </c>
      <c r="I31" s="26">
        <f t="shared" si="26"/>
        <v>0</v>
      </c>
      <c r="J31" s="26">
        <f t="shared" si="26"/>
        <v>0</v>
      </c>
      <c r="K31" s="26">
        <f t="shared" si="26"/>
        <v>0</v>
      </c>
      <c r="L31" s="26">
        <f t="shared" si="26"/>
        <v>0</v>
      </c>
      <c r="M31" s="26">
        <f t="shared" si="26"/>
        <v>0</v>
      </c>
      <c r="N31" s="26">
        <f t="shared" si="26"/>
        <v>0</v>
      </c>
      <c r="O31" s="26">
        <f t="shared" si="26"/>
        <v>0</v>
      </c>
      <c r="P31" s="26">
        <f t="shared" si="26"/>
        <v>0</v>
      </c>
      <c r="Q31" s="26">
        <f t="shared" si="26"/>
        <v>0</v>
      </c>
      <c r="R31" s="26">
        <f t="shared" si="26"/>
        <v>0</v>
      </c>
      <c r="S31" s="26">
        <f t="shared" si="26"/>
        <v>0</v>
      </c>
      <c r="T31" s="26">
        <f t="shared" si="26"/>
        <v>0</v>
      </c>
      <c r="U31" s="26">
        <f t="shared" si="26"/>
        <v>0</v>
      </c>
      <c r="V31" s="26">
        <f t="shared" si="26"/>
        <v>0</v>
      </c>
      <c r="W31" s="26">
        <f t="shared" si="26"/>
        <v>0</v>
      </c>
      <c r="X31" s="26">
        <f t="shared" si="26"/>
        <v>0</v>
      </c>
      <c r="Y31" s="26">
        <f t="shared" si="26"/>
        <v>0</v>
      </c>
      <c r="Z31" s="26">
        <f t="shared" si="26"/>
        <v>0</v>
      </c>
      <c r="AA31" s="26">
        <f t="shared" si="26"/>
        <v>0</v>
      </c>
      <c r="AB31" s="26">
        <f t="shared" si="26"/>
        <v>0</v>
      </c>
      <c r="AC31" s="26">
        <f t="shared" si="26"/>
        <v>0</v>
      </c>
      <c r="AD31" s="26">
        <f t="shared" si="26"/>
        <v>0</v>
      </c>
      <c r="AE31" s="26">
        <f t="shared" si="26"/>
        <v>0</v>
      </c>
      <c r="AF31" s="26">
        <f t="shared" si="26"/>
        <v>0</v>
      </c>
      <c r="AG31" s="26">
        <f t="shared" si="26"/>
        <v>0</v>
      </c>
      <c r="AH31" s="26">
        <f t="shared" si="26"/>
        <v>0</v>
      </c>
      <c r="AI31" s="26">
        <f t="shared" si="26"/>
        <v>0</v>
      </c>
      <c r="AJ31" s="26">
        <f t="shared" si="26"/>
        <v>0</v>
      </c>
      <c r="AK31" s="26">
        <f t="shared" si="26"/>
        <v>0</v>
      </c>
      <c r="AL31" s="26">
        <f t="shared" si="26"/>
        <v>0</v>
      </c>
      <c r="AM31" s="26">
        <f t="shared" si="26"/>
        <v>0</v>
      </c>
      <c r="AN31" s="26">
        <f t="shared" si="26"/>
        <v>0</v>
      </c>
      <c r="AO31" s="26">
        <f t="shared" si="26"/>
        <v>0</v>
      </c>
      <c r="AP31" s="26">
        <f t="shared" si="26"/>
        <v>0</v>
      </c>
      <c r="AQ31" s="26">
        <f t="shared" si="26"/>
        <v>0</v>
      </c>
      <c r="AR31" s="26">
        <f t="shared" si="26"/>
        <v>0</v>
      </c>
      <c r="AS31" s="26">
        <f t="shared" si="26"/>
        <v>0</v>
      </c>
      <c r="AT31" s="26">
        <f t="shared" si="26"/>
        <v>0</v>
      </c>
      <c r="AU31" s="26">
        <f t="shared" si="26"/>
        <v>0</v>
      </c>
      <c r="AV31" s="26">
        <f t="shared" si="26"/>
        <v>0</v>
      </c>
      <c r="AW31" s="26">
        <f t="shared" si="26"/>
        <v>0</v>
      </c>
      <c r="AX31" s="26">
        <f t="shared" si="26"/>
        <v>0</v>
      </c>
      <c r="AY31" s="26">
        <f t="shared" si="26"/>
        <v>0</v>
      </c>
      <c r="AZ31" s="26">
        <f t="shared" si="26"/>
        <v>0</v>
      </c>
      <c r="BA31" s="26">
        <f t="shared" si="26"/>
        <v>0</v>
      </c>
      <c r="BB31" s="26">
        <f t="shared" si="26"/>
        <v>0</v>
      </c>
      <c r="BC31" s="26">
        <f t="shared" si="26"/>
        <v>0</v>
      </c>
      <c r="BD31" s="26">
        <f t="shared" si="26"/>
        <v>0</v>
      </c>
      <c r="BE31" s="26">
        <f t="shared" si="26"/>
        <v>0</v>
      </c>
      <c r="BF31" s="26">
        <f t="shared" si="26"/>
        <v>0</v>
      </c>
      <c r="BG31" s="26">
        <f t="shared" si="26"/>
        <v>0</v>
      </c>
      <c r="BH31" s="26">
        <f t="shared" si="26"/>
        <v>0</v>
      </c>
      <c r="BI31" s="26">
        <f t="shared" si="26"/>
        <v>0</v>
      </c>
      <c r="BJ31" s="26">
        <f t="shared" si="26"/>
        <v>0</v>
      </c>
      <c r="BK31" s="26">
        <f t="shared" si="26"/>
        <v>0</v>
      </c>
      <c r="BL31" s="26">
        <f t="shared" si="26"/>
        <v>0</v>
      </c>
      <c r="BM31" s="26">
        <f t="shared" si="26"/>
        <v>0</v>
      </c>
      <c r="BN31" s="26">
        <f t="shared" si="26"/>
        <v>0</v>
      </c>
      <c r="BO31" s="26">
        <f t="shared" si="26"/>
        <v>0</v>
      </c>
      <c r="BP31" s="26">
        <f t="shared" ref="BP31:CB31" si="27">IF(BP30&gt;$F2+2,0,1)*(IF(BQ31=0,100,0)+IF($G2=1,1,0.5)*$J2*100)</f>
        <v>0</v>
      </c>
      <c r="BQ31" s="26">
        <f t="shared" si="27"/>
        <v>0</v>
      </c>
      <c r="BR31" s="26">
        <f t="shared" si="27"/>
        <v>0</v>
      </c>
      <c r="BS31" s="26">
        <f t="shared" si="27"/>
        <v>0</v>
      </c>
      <c r="BT31" s="26">
        <f t="shared" si="27"/>
        <v>0</v>
      </c>
      <c r="BU31" s="26">
        <f t="shared" si="27"/>
        <v>0</v>
      </c>
      <c r="BV31" s="26">
        <f t="shared" si="27"/>
        <v>0</v>
      </c>
      <c r="BW31" s="26">
        <f t="shared" si="27"/>
        <v>0</v>
      </c>
      <c r="BX31" s="26">
        <f t="shared" si="27"/>
        <v>0</v>
      </c>
      <c r="BY31" s="26">
        <f t="shared" si="27"/>
        <v>0</v>
      </c>
      <c r="BZ31" s="26">
        <f t="shared" si="27"/>
        <v>0</v>
      </c>
      <c r="CA31" s="26">
        <f t="shared" si="27"/>
        <v>0</v>
      </c>
      <c r="CB31" s="26">
        <f t="shared" si="27"/>
        <v>0</v>
      </c>
    </row>
    <row r="32" spans="1:83" s="22" customFormat="1">
      <c r="A32" s="264" t="s">
        <v>49</v>
      </c>
      <c r="B32" s="142" t="str">
        <f>IF(E3=0,F3,E3)</f>
        <v>10/15/2019</v>
      </c>
      <c r="C32" s="28">
        <f t="shared" ref="C32:BN32" si="28">B32+IF($G3=1,365,182.5)</f>
        <v>43935.5</v>
      </c>
      <c r="D32" s="28">
        <f t="shared" si="28"/>
        <v>44118</v>
      </c>
      <c r="E32" s="28">
        <f t="shared" si="28"/>
        <v>44300.5</v>
      </c>
      <c r="F32" s="28">
        <f t="shared" si="28"/>
        <v>44483</v>
      </c>
      <c r="G32" s="28">
        <f t="shared" si="28"/>
        <v>44665.5</v>
      </c>
      <c r="H32" s="28">
        <f t="shared" si="28"/>
        <v>44848</v>
      </c>
      <c r="I32" s="28">
        <f t="shared" si="28"/>
        <v>45030.5</v>
      </c>
      <c r="J32" s="28">
        <f t="shared" si="28"/>
        <v>45213</v>
      </c>
      <c r="K32" s="28">
        <f t="shared" si="28"/>
        <v>45395.5</v>
      </c>
      <c r="L32" s="28">
        <f t="shared" si="28"/>
        <v>45578</v>
      </c>
      <c r="M32" s="28">
        <f t="shared" si="28"/>
        <v>45760.5</v>
      </c>
      <c r="N32" s="28">
        <f t="shared" si="28"/>
        <v>45943</v>
      </c>
      <c r="O32" s="28">
        <f t="shared" si="28"/>
        <v>46125.5</v>
      </c>
      <c r="P32" s="28">
        <f t="shared" si="28"/>
        <v>46308</v>
      </c>
      <c r="Q32" s="28">
        <f t="shared" si="28"/>
        <v>46490.5</v>
      </c>
      <c r="R32" s="28">
        <f t="shared" si="28"/>
        <v>46673</v>
      </c>
      <c r="S32" s="28">
        <f t="shared" si="28"/>
        <v>46855.5</v>
      </c>
      <c r="T32" s="28">
        <f t="shared" si="28"/>
        <v>47038</v>
      </c>
      <c r="U32" s="28">
        <f t="shared" si="28"/>
        <v>47220.5</v>
      </c>
      <c r="V32" s="28">
        <f t="shared" si="28"/>
        <v>47403</v>
      </c>
      <c r="W32" s="28">
        <f t="shared" si="28"/>
        <v>47585.5</v>
      </c>
      <c r="X32" s="28">
        <f t="shared" si="28"/>
        <v>47768</v>
      </c>
      <c r="Y32" s="28">
        <f t="shared" si="28"/>
        <v>47950.5</v>
      </c>
      <c r="Z32" s="28">
        <f t="shared" si="28"/>
        <v>48133</v>
      </c>
      <c r="AA32" s="28">
        <f t="shared" si="28"/>
        <v>48315.5</v>
      </c>
      <c r="AB32" s="28">
        <f t="shared" si="28"/>
        <v>48498</v>
      </c>
      <c r="AC32" s="28">
        <f t="shared" si="28"/>
        <v>48680.5</v>
      </c>
      <c r="AD32" s="28">
        <f t="shared" si="28"/>
        <v>48863</v>
      </c>
      <c r="AE32" s="28">
        <f t="shared" si="28"/>
        <v>49045.5</v>
      </c>
      <c r="AF32" s="28">
        <f t="shared" si="28"/>
        <v>49228</v>
      </c>
      <c r="AG32" s="28">
        <f t="shared" si="28"/>
        <v>49410.5</v>
      </c>
      <c r="AH32" s="28">
        <f t="shared" si="28"/>
        <v>49593</v>
      </c>
      <c r="AI32" s="28">
        <f t="shared" si="28"/>
        <v>49775.5</v>
      </c>
      <c r="AJ32" s="28">
        <f t="shared" si="28"/>
        <v>49958</v>
      </c>
      <c r="AK32" s="28">
        <f t="shared" si="28"/>
        <v>50140.5</v>
      </c>
      <c r="AL32" s="28">
        <f t="shared" si="28"/>
        <v>50323</v>
      </c>
      <c r="AM32" s="28">
        <f t="shared" si="28"/>
        <v>50505.5</v>
      </c>
      <c r="AN32" s="28">
        <f t="shared" si="28"/>
        <v>50688</v>
      </c>
      <c r="AO32" s="28">
        <f t="shared" si="28"/>
        <v>50870.5</v>
      </c>
      <c r="AP32" s="28">
        <f t="shared" si="28"/>
        <v>51053</v>
      </c>
      <c r="AQ32" s="28">
        <f t="shared" si="28"/>
        <v>51235.5</v>
      </c>
      <c r="AR32" s="28">
        <f t="shared" si="28"/>
        <v>51418</v>
      </c>
      <c r="AS32" s="28">
        <f t="shared" si="28"/>
        <v>51600.5</v>
      </c>
      <c r="AT32" s="28">
        <f t="shared" si="28"/>
        <v>51783</v>
      </c>
      <c r="AU32" s="28">
        <f t="shared" si="28"/>
        <v>51965.5</v>
      </c>
      <c r="AV32" s="28">
        <f t="shared" si="28"/>
        <v>52148</v>
      </c>
      <c r="AW32" s="28">
        <f t="shared" si="28"/>
        <v>52330.5</v>
      </c>
      <c r="AX32" s="28">
        <f t="shared" si="28"/>
        <v>52513</v>
      </c>
      <c r="AY32" s="28">
        <f t="shared" si="28"/>
        <v>52695.5</v>
      </c>
      <c r="AZ32" s="28">
        <f t="shared" si="28"/>
        <v>52878</v>
      </c>
      <c r="BA32" s="28">
        <f t="shared" si="28"/>
        <v>53060.5</v>
      </c>
      <c r="BB32" s="28">
        <f t="shared" si="28"/>
        <v>53243</v>
      </c>
      <c r="BC32" s="28">
        <f t="shared" si="28"/>
        <v>53425.5</v>
      </c>
      <c r="BD32" s="28">
        <f t="shared" si="28"/>
        <v>53608</v>
      </c>
      <c r="BE32" s="28">
        <f t="shared" si="28"/>
        <v>53790.5</v>
      </c>
      <c r="BF32" s="28">
        <f t="shared" si="28"/>
        <v>53973</v>
      </c>
      <c r="BG32" s="28">
        <f t="shared" si="28"/>
        <v>54155.5</v>
      </c>
      <c r="BH32" s="28">
        <f t="shared" si="28"/>
        <v>54338</v>
      </c>
      <c r="BI32" s="28">
        <f t="shared" si="28"/>
        <v>54520.5</v>
      </c>
      <c r="BJ32" s="28">
        <f t="shared" si="28"/>
        <v>54703</v>
      </c>
      <c r="BK32" s="28">
        <f t="shared" si="28"/>
        <v>54885.5</v>
      </c>
      <c r="BL32" s="28">
        <f t="shared" si="28"/>
        <v>55068</v>
      </c>
      <c r="BM32" s="28">
        <f t="shared" si="28"/>
        <v>55250.5</v>
      </c>
      <c r="BN32" s="28">
        <f t="shared" si="28"/>
        <v>55433</v>
      </c>
      <c r="BO32" s="28">
        <f t="shared" ref="BO32:CB32" si="29">BN32+IF($G3=1,365,182.5)</f>
        <v>55615.5</v>
      </c>
      <c r="BP32" s="28">
        <f t="shared" si="29"/>
        <v>55798</v>
      </c>
      <c r="BQ32" s="28">
        <f t="shared" si="29"/>
        <v>55980.5</v>
      </c>
      <c r="BR32" s="28">
        <f t="shared" si="29"/>
        <v>56163</v>
      </c>
      <c r="BS32" s="28">
        <f t="shared" si="29"/>
        <v>56345.5</v>
      </c>
      <c r="BT32" s="28">
        <f t="shared" si="29"/>
        <v>56528</v>
      </c>
      <c r="BU32" s="28">
        <f t="shared" si="29"/>
        <v>56710.5</v>
      </c>
      <c r="BV32" s="28">
        <f t="shared" si="29"/>
        <v>56893</v>
      </c>
      <c r="BW32" s="28">
        <f t="shared" si="29"/>
        <v>57075.5</v>
      </c>
      <c r="BX32" s="28">
        <f t="shared" si="29"/>
        <v>57258</v>
      </c>
      <c r="BY32" s="28">
        <f t="shared" si="29"/>
        <v>57440.5</v>
      </c>
      <c r="BZ32" s="28">
        <f t="shared" si="29"/>
        <v>57623</v>
      </c>
      <c r="CA32" s="28">
        <f t="shared" si="29"/>
        <v>57805.5</v>
      </c>
      <c r="CB32" s="29">
        <f t="shared" si="29"/>
        <v>57988</v>
      </c>
    </row>
    <row r="33" spans="1:80" s="5" customFormat="1">
      <c r="A33" s="163" t="s">
        <v>23</v>
      </c>
      <c r="B33" s="30">
        <f>(IF(B32=F3,100,0)+IF(G3=1,1,0.5)*J3*100)*IF(ISBLANK(F3)=TRUE,0,1)</f>
        <v>1.5</v>
      </c>
      <c r="C33" s="31">
        <f>IF(C32&gt;$F3+1,0,1)*(IF(D33=0,100,0)+IF($G3=1,1,0.5)*$J3*100)</f>
        <v>101.5</v>
      </c>
      <c r="D33" s="31">
        <f t="shared" ref="D33:BO33" si="30">IF(D32&gt;$F3+1,0,1)*(IF(E33=0,100,0)+IF($G3=1,1,0.5)*$J3*100)</f>
        <v>0</v>
      </c>
      <c r="E33" s="31">
        <f t="shared" si="30"/>
        <v>0</v>
      </c>
      <c r="F33" s="31">
        <f t="shared" si="30"/>
        <v>0</v>
      </c>
      <c r="G33" s="31">
        <f t="shared" si="30"/>
        <v>0</v>
      </c>
      <c r="H33" s="31">
        <f t="shared" si="30"/>
        <v>0</v>
      </c>
      <c r="I33" s="31">
        <f t="shared" si="30"/>
        <v>0</v>
      </c>
      <c r="J33" s="31">
        <f t="shared" si="30"/>
        <v>0</v>
      </c>
      <c r="K33" s="31">
        <f t="shared" si="30"/>
        <v>0</v>
      </c>
      <c r="L33" s="31">
        <f t="shared" si="30"/>
        <v>0</v>
      </c>
      <c r="M33" s="31">
        <f t="shared" si="30"/>
        <v>0</v>
      </c>
      <c r="N33" s="31">
        <f t="shared" si="30"/>
        <v>0</v>
      </c>
      <c r="O33" s="31">
        <f t="shared" si="30"/>
        <v>0</v>
      </c>
      <c r="P33" s="31">
        <f t="shared" si="30"/>
        <v>0</v>
      </c>
      <c r="Q33" s="31">
        <f t="shared" si="30"/>
        <v>0</v>
      </c>
      <c r="R33" s="31">
        <f t="shared" si="30"/>
        <v>0</v>
      </c>
      <c r="S33" s="31">
        <f t="shared" si="30"/>
        <v>0</v>
      </c>
      <c r="T33" s="31">
        <f t="shared" si="30"/>
        <v>0</v>
      </c>
      <c r="U33" s="31">
        <f t="shared" si="30"/>
        <v>0</v>
      </c>
      <c r="V33" s="31">
        <f t="shared" si="30"/>
        <v>0</v>
      </c>
      <c r="W33" s="31">
        <f t="shared" si="30"/>
        <v>0</v>
      </c>
      <c r="X33" s="31">
        <f t="shared" si="30"/>
        <v>0</v>
      </c>
      <c r="Y33" s="31">
        <f t="shared" si="30"/>
        <v>0</v>
      </c>
      <c r="Z33" s="31">
        <f t="shared" si="30"/>
        <v>0</v>
      </c>
      <c r="AA33" s="31">
        <f t="shared" si="30"/>
        <v>0</v>
      </c>
      <c r="AB33" s="31">
        <f t="shared" si="30"/>
        <v>0</v>
      </c>
      <c r="AC33" s="31">
        <f t="shared" si="30"/>
        <v>0</v>
      </c>
      <c r="AD33" s="31">
        <f t="shared" si="30"/>
        <v>0</v>
      </c>
      <c r="AE33" s="31">
        <f t="shared" si="30"/>
        <v>0</v>
      </c>
      <c r="AF33" s="31">
        <f t="shared" si="30"/>
        <v>0</v>
      </c>
      <c r="AG33" s="31">
        <f t="shared" si="30"/>
        <v>0</v>
      </c>
      <c r="AH33" s="31">
        <f t="shared" si="30"/>
        <v>0</v>
      </c>
      <c r="AI33" s="31">
        <f t="shared" si="30"/>
        <v>0</v>
      </c>
      <c r="AJ33" s="31">
        <f t="shared" si="30"/>
        <v>0</v>
      </c>
      <c r="AK33" s="31">
        <f t="shared" si="30"/>
        <v>0</v>
      </c>
      <c r="AL33" s="31">
        <f t="shared" si="30"/>
        <v>0</v>
      </c>
      <c r="AM33" s="31">
        <f t="shared" si="30"/>
        <v>0</v>
      </c>
      <c r="AN33" s="31">
        <f t="shared" si="30"/>
        <v>0</v>
      </c>
      <c r="AO33" s="31">
        <f t="shared" si="30"/>
        <v>0</v>
      </c>
      <c r="AP33" s="31">
        <f t="shared" si="30"/>
        <v>0</v>
      </c>
      <c r="AQ33" s="31">
        <f t="shared" si="30"/>
        <v>0</v>
      </c>
      <c r="AR33" s="31">
        <f t="shared" si="30"/>
        <v>0</v>
      </c>
      <c r="AS33" s="31">
        <f t="shared" si="30"/>
        <v>0</v>
      </c>
      <c r="AT33" s="31">
        <f t="shared" si="30"/>
        <v>0</v>
      </c>
      <c r="AU33" s="31">
        <f t="shared" si="30"/>
        <v>0</v>
      </c>
      <c r="AV33" s="31">
        <f t="shared" si="30"/>
        <v>0</v>
      </c>
      <c r="AW33" s="31">
        <f t="shared" si="30"/>
        <v>0</v>
      </c>
      <c r="AX33" s="31">
        <f t="shared" si="30"/>
        <v>0</v>
      </c>
      <c r="AY33" s="31">
        <f t="shared" si="30"/>
        <v>0</v>
      </c>
      <c r="AZ33" s="31">
        <f t="shared" si="30"/>
        <v>0</v>
      </c>
      <c r="BA33" s="31">
        <f t="shared" si="30"/>
        <v>0</v>
      </c>
      <c r="BB33" s="31">
        <f t="shared" si="30"/>
        <v>0</v>
      </c>
      <c r="BC33" s="31">
        <f t="shared" si="30"/>
        <v>0</v>
      </c>
      <c r="BD33" s="31">
        <f t="shared" si="30"/>
        <v>0</v>
      </c>
      <c r="BE33" s="31">
        <f t="shared" si="30"/>
        <v>0</v>
      </c>
      <c r="BF33" s="31">
        <f t="shared" si="30"/>
        <v>0</v>
      </c>
      <c r="BG33" s="31">
        <f t="shared" si="30"/>
        <v>0</v>
      </c>
      <c r="BH33" s="31">
        <f t="shared" si="30"/>
        <v>0</v>
      </c>
      <c r="BI33" s="31">
        <f t="shared" si="30"/>
        <v>0</v>
      </c>
      <c r="BJ33" s="31">
        <f t="shared" si="30"/>
        <v>0</v>
      </c>
      <c r="BK33" s="31">
        <f t="shared" si="30"/>
        <v>0</v>
      </c>
      <c r="BL33" s="31">
        <f t="shared" si="30"/>
        <v>0</v>
      </c>
      <c r="BM33" s="31">
        <f t="shared" si="30"/>
        <v>0</v>
      </c>
      <c r="BN33" s="31">
        <f t="shared" si="30"/>
        <v>0</v>
      </c>
      <c r="BO33" s="31">
        <f t="shared" si="30"/>
        <v>0</v>
      </c>
      <c r="BP33" s="31">
        <f t="shared" ref="BP33:CB33" si="31">IF(BP32&gt;$F3+1,0,1)*(IF(BQ33=0,100,0)+IF($G3=1,1,0.5)*$J3*100)</f>
        <v>0</v>
      </c>
      <c r="BQ33" s="31">
        <f t="shared" si="31"/>
        <v>0</v>
      </c>
      <c r="BR33" s="31">
        <f t="shared" si="31"/>
        <v>0</v>
      </c>
      <c r="BS33" s="31">
        <f t="shared" si="31"/>
        <v>0</v>
      </c>
      <c r="BT33" s="31">
        <f t="shared" si="31"/>
        <v>0</v>
      </c>
      <c r="BU33" s="31">
        <f t="shared" si="31"/>
        <v>0</v>
      </c>
      <c r="BV33" s="31">
        <f t="shared" si="31"/>
        <v>0</v>
      </c>
      <c r="BW33" s="31">
        <f t="shared" si="31"/>
        <v>0</v>
      </c>
      <c r="BX33" s="31">
        <f t="shared" si="31"/>
        <v>0</v>
      </c>
      <c r="BY33" s="31">
        <f t="shared" si="31"/>
        <v>0</v>
      </c>
      <c r="BZ33" s="31">
        <f t="shared" si="31"/>
        <v>0</v>
      </c>
      <c r="CA33" s="31">
        <f t="shared" si="31"/>
        <v>0</v>
      </c>
      <c r="CB33" s="32">
        <f t="shared" si="31"/>
        <v>0</v>
      </c>
    </row>
    <row r="34" spans="1:80" s="6" customFormat="1">
      <c r="A34" s="263" t="s">
        <v>49</v>
      </c>
      <c r="B34" s="142" t="str">
        <f>IF(E4=0,F4,E4)</f>
        <v>9/25/2019</v>
      </c>
      <c r="C34" s="33">
        <f t="shared" ref="C34:BN34" si="32">B34+IF($G4=1,365,182.5)</f>
        <v>43915.5</v>
      </c>
      <c r="D34" s="33">
        <f t="shared" si="32"/>
        <v>44098</v>
      </c>
      <c r="E34" s="33">
        <f t="shared" si="32"/>
        <v>44280.5</v>
      </c>
      <c r="F34" s="33">
        <f t="shared" si="32"/>
        <v>44463</v>
      </c>
      <c r="G34" s="33">
        <f t="shared" si="32"/>
        <v>44645.5</v>
      </c>
      <c r="H34" s="33">
        <f t="shared" si="32"/>
        <v>44828</v>
      </c>
      <c r="I34" s="33">
        <f t="shared" si="32"/>
        <v>45010.5</v>
      </c>
      <c r="J34" s="33">
        <f t="shared" si="32"/>
        <v>45193</v>
      </c>
      <c r="K34" s="33">
        <f t="shared" si="32"/>
        <v>45375.5</v>
      </c>
      <c r="L34" s="33">
        <f t="shared" si="32"/>
        <v>45558</v>
      </c>
      <c r="M34" s="33">
        <f t="shared" si="32"/>
        <v>45740.5</v>
      </c>
      <c r="N34" s="33">
        <f t="shared" si="32"/>
        <v>45923</v>
      </c>
      <c r="O34" s="33">
        <f t="shared" si="32"/>
        <v>46105.5</v>
      </c>
      <c r="P34" s="33">
        <f t="shared" si="32"/>
        <v>46288</v>
      </c>
      <c r="Q34" s="33">
        <f t="shared" si="32"/>
        <v>46470.5</v>
      </c>
      <c r="R34" s="33">
        <f t="shared" si="32"/>
        <v>46653</v>
      </c>
      <c r="S34" s="33">
        <f t="shared" si="32"/>
        <v>46835.5</v>
      </c>
      <c r="T34" s="33">
        <f t="shared" si="32"/>
        <v>47018</v>
      </c>
      <c r="U34" s="33">
        <f t="shared" si="32"/>
        <v>47200.5</v>
      </c>
      <c r="V34" s="33">
        <f t="shared" si="32"/>
        <v>47383</v>
      </c>
      <c r="W34" s="33">
        <f t="shared" si="32"/>
        <v>47565.5</v>
      </c>
      <c r="X34" s="33">
        <f t="shared" si="32"/>
        <v>47748</v>
      </c>
      <c r="Y34" s="33">
        <f t="shared" si="32"/>
        <v>47930.5</v>
      </c>
      <c r="Z34" s="33">
        <f t="shared" si="32"/>
        <v>48113</v>
      </c>
      <c r="AA34" s="33">
        <f t="shared" si="32"/>
        <v>48295.5</v>
      </c>
      <c r="AB34" s="33">
        <f t="shared" si="32"/>
        <v>48478</v>
      </c>
      <c r="AC34" s="33">
        <f t="shared" si="32"/>
        <v>48660.5</v>
      </c>
      <c r="AD34" s="33">
        <f t="shared" si="32"/>
        <v>48843</v>
      </c>
      <c r="AE34" s="33">
        <f t="shared" si="32"/>
        <v>49025.5</v>
      </c>
      <c r="AF34" s="33">
        <f t="shared" si="32"/>
        <v>49208</v>
      </c>
      <c r="AG34" s="33">
        <f t="shared" si="32"/>
        <v>49390.5</v>
      </c>
      <c r="AH34" s="33">
        <f t="shared" si="32"/>
        <v>49573</v>
      </c>
      <c r="AI34" s="33">
        <f t="shared" si="32"/>
        <v>49755.5</v>
      </c>
      <c r="AJ34" s="33">
        <f t="shared" si="32"/>
        <v>49938</v>
      </c>
      <c r="AK34" s="33">
        <f t="shared" si="32"/>
        <v>50120.5</v>
      </c>
      <c r="AL34" s="33">
        <f t="shared" si="32"/>
        <v>50303</v>
      </c>
      <c r="AM34" s="33">
        <f t="shared" si="32"/>
        <v>50485.5</v>
      </c>
      <c r="AN34" s="33">
        <f t="shared" si="32"/>
        <v>50668</v>
      </c>
      <c r="AO34" s="33">
        <f t="shared" si="32"/>
        <v>50850.5</v>
      </c>
      <c r="AP34" s="33">
        <f t="shared" si="32"/>
        <v>51033</v>
      </c>
      <c r="AQ34" s="33">
        <f t="shared" si="32"/>
        <v>51215.5</v>
      </c>
      <c r="AR34" s="33">
        <f t="shared" si="32"/>
        <v>51398</v>
      </c>
      <c r="AS34" s="33">
        <f t="shared" si="32"/>
        <v>51580.5</v>
      </c>
      <c r="AT34" s="33">
        <f t="shared" si="32"/>
        <v>51763</v>
      </c>
      <c r="AU34" s="33">
        <f t="shared" si="32"/>
        <v>51945.5</v>
      </c>
      <c r="AV34" s="33">
        <f t="shared" si="32"/>
        <v>52128</v>
      </c>
      <c r="AW34" s="33">
        <f t="shared" si="32"/>
        <v>52310.5</v>
      </c>
      <c r="AX34" s="33">
        <f t="shared" si="32"/>
        <v>52493</v>
      </c>
      <c r="AY34" s="33">
        <f t="shared" si="32"/>
        <v>52675.5</v>
      </c>
      <c r="AZ34" s="33">
        <f t="shared" si="32"/>
        <v>52858</v>
      </c>
      <c r="BA34" s="33">
        <f t="shared" si="32"/>
        <v>53040.5</v>
      </c>
      <c r="BB34" s="33">
        <f t="shared" si="32"/>
        <v>53223</v>
      </c>
      <c r="BC34" s="33">
        <f t="shared" si="32"/>
        <v>53405.5</v>
      </c>
      <c r="BD34" s="33">
        <f t="shared" si="32"/>
        <v>53588</v>
      </c>
      <c r="BE34" s="33">
        <f t="shared" si="32"/>
        <v>53770.5</v>
      </c>
      <c r="BF34" s="33">
        <f t="shared" si="32"/>
        <v>53953</v>
      </c>
      <c r="BG34" s="33">
        <f t="shared" si="32"/>
        <v>54135.5</v>
      </c>
      <c r="BH34" s="33">
        <f t="shared" si="32"/>
        <v>54318</v>
      </c>
      <c r="BI34" s="33">
        <f t="shared" si="32"/>
        <v>54500.5</v>
      </c>
      <c r="BJ34" s="33">
        <f t="shared" si="32"/>
        <v>54683</v>
      </c>
      <c r="BK34" s="33">
        <f t="shared" si="32"/>
        <v>54865.5</v>
      </c>
      <c r="BL34" s="33">
        <f t="shared" si="32"/>
        <v>55048</v>
      </c>
      <c r="BM34" s="33">
        <f t="shared" si="32"/>
        <v>55230.5</v>
      </c>
      <c r="BN34" s="33">
        <f t="shared" si="32"/>
        <v>55413</v>
      </c>
      <c r="BO34" s="33">
        <f t="shared" ref="BO34:CB34" si="33">BN34+IF($G4=1,365,182.5)</f>
        <v>55595.5</v>
      </c>
      <c r="BP34" s="33">
        <f t="shared" si="33"/>
        <v>55778</v>
      </c>
      <c r="BQ34" s="33">
        <f t="shared" si="33"/>
        <v>55960.5</v>
      </c>
      <c r="BR34" s="33">
        <f t="shared" si="33"/>
        <v>56143</v>
      </c>
      <c r="BS34" s="33">
        <f t="shared" si="33"/>
        <v>56325.5</v>
      </c>
      <c r="BT34" s="33">
        <f t="shared" si="33"/>
        <v>56508</v>
      </c>
      <c r="BU34" s="33">
        <f t="shared" si="33"/>
        <v>56690.5</v>
      </c>
      <c r="BV34" s="33">
        <f t="shared" si="33"/>
        <v>56873</v>
      </c>
      <c r="BW34" s="33">
        <f t="shared" si="33"/>
        <v>57055.5</v>
      </c>
      <c r="BX34" s="33">
        <f t="shared" si="33"/>
        <v>57238</v>
      </c>
      <c r="BY34" s="33">
        <f t="shared" si="33"/>
        <v>57420.5</v>
      </c>
      <c r="BZ34" s="33">
        <f t="shared" si="33"/>
        <v>57603</v>
      </c>
      <c r="CA34" s="33">
        <f t="shared" si="33"/>
        <v>57785.5</v>
      </c>
      <c r="CB34" s="34">
        <f t="shared" si="33"/>
        <v>57968</v>
      </c>
    </row>
    <row r="35" spans="1:80">
      <c r="A35" s="164" t="s">
        <v>19</v>
      </c>
      <c r="B35" s="105">
        <f>(IF(B34=F4,100,0)+IF(G4=1,1,0.5)*J4*100)*IF(ISBLANK(F4)=TRUE,0,1)</f>
        <v>100</v>
      </c>
      <c r="C35" s="35">
        <f>IF(C34&gt;$F4+2,0,1)*(IF(D35=0,100,0)+IF($G4=1,1,0.5)*$J4*100)</f>
        <v>0</v>
      </c>
      <c r="D35" s="35">
        <f t="shared" ref="D35:BO35" si="34">IF(D34&gt;$F4+2,0,1)*(IF(E35=0,100,0)+IF($G4=1,1,0.5)*$J4*100)</f>
        <v>0</v>
      </c>
      <c r="E35" s="35">
        <f t="shared" si="34"/>
        <v>0</v>
      </c>
      <c r="F35" s="35">
        <f t="shared" si="34"/>
        <v>0</v>
      </c>
      <c r="G35" s="35">
        <f t="shared" si="34"/>
        <v>0</v>
      </c>
      <c r="H35" s="35">
        <f t="shared" si="34"/>
        <v>0</v>
      </c>
      <c r="I35" s="35">
        <f t="shared" si="34"/>
        <v>0</v>
      </c>
      <c r="J35" s="35">
        <f t="shared" si="34"/>
        <v>0</v>
      </c>
      <c r="K35" s="35">
        <f t="shared" si="34"/>
        <v>0</v>
      </c>
      <c r="L35" s="35">
        <f t="shared" si="34"/>
        <v>0</v>
      </c>
      <c r="M35" s="35">
        <f t="shared" si="34"/>
        <v>0</v>
      </c>
      <c r="N35" s="35">
        <f t="shared" si="34"/>
        <v>0</v>
      </c>
      <c r="O35" s="35">
        <f t="shared" si="34"/>
        <v>0</v>
      </c>
      <c r="P35" s="35">
        <f t="shared" si="34"/>
        <v>0</v>
      </c>
      <c r="Q35" s="35">
        <f t="shared" si="34"/>
        <v>0</v>
      </c>
      <c r="R35" s="35">
        <f t="shared" si="34"/>
        <v>0</v>
      </c>
      <c r="S35" s="35">
        <f t="shared" si="34"/>
        <v>0</v>
      </c>
      <c r="T35" s="35">
        <f t="shared" si="34"/>
        <v>0</v>
      </c>
      <c r="U35" s="35">
        <f t="shared" si="34"/>
        <v>0</v>
      </c>
      <c r="V35" s="35">
        <f t="shared" si="34"/>
        <v>0</v>
      </c>
      <c r="W35" s="35">
        <f t="shared" si="34"/>
        <v>0</v>
      </c>
      <c r="X35" s="35">
        <f t="shared" si="34"/>
        <v>0</v>
      </c>
      <c r="Y35" s="35">
        <f t="shared" si="34"/>
        <v>0</v>
      </c>
      <c r="Z35" s="35">
        <f t="shared" si="34"/>
        <v>0</v>
      </c>
      <c r="AA35" s="35">
        <f t="shared" si="34"/>
        <v>0</v>
      </c>
      <c r="AB35" s="35">
        <f t="shared" si="34"/>
        <v>0</v>
      </c>
      <c r="AC35" s="35">
        <f t="shared" si="34"/>
        <v>0</v>
      </c>
      <c r="AD35" s="35">
        <f t="shared" si="34"/>
        <v>0</v>
      </c>
      <c r="AE35" s="35">
        <f t="shared" si="34"/>
        <v>0</v>
      </c>
      <c r="AF35" s="35">
        <f t="shared" si="34"/>
        <v>0</v>
      </c>
      <c r="AG35" s="35">
        <f t="shared" si="34"/>
        <v>0</v>
      </c>
      <c r="AH35" s="35">
        <f t="shared" si="34"/>
        <v>0</v>
      </c>
      <c r="AI35" s="35">
        <f t="shared" si="34"/>
        <v>0</v>
      </c>
      <c r="AJ35" s="35">
        <f t="shared" si="34"/>
        <v>0</v>
      </c>
      <c r="AK35" s="35">
        <f t="shared" si="34"/>
        <v>0</v>
      </c>
      <c r="AL35" s="35">
        <f t="shared" si="34"/>
        <v>0</v>
      </c>
      <c r="AM35" s="35">
        <f t="shared" si="34"/>
        <v>0</v>
      </c>
      <c r="AN35" s="35">
        <f t="shared" si="34"/>
        <v>0</v>
      </c>
      <c r="AO35" s="35">
        <f t="shared" si="34"/>
        <v>0</v>
      </c>
      <c r="AP35" s="35">
        <f t="shared" si="34"/>
        <v>0</v>
      </c>
      <c r="AQ35" s="35">
        <f t="shared" si="34"/>
        <v>0</v>
      </c>
      <c r="AR35" s="35">
        <f t="shared" si="34"/>
        <v>0</v>
      </c>
      <c r="AS35" s="35">
        <f t="shared" si="34"/>
        <v>0</v>
      </c>
      <c r="AT35" s="35">
        <f t="shared" si="34"/>
        <v>0</v>
      </c>
      <c r="AU35" s="35">
        <f t="shared" si="34"/>
        <v>0</v>
      </c>
      <c r="AV35" s="35">
        <f t="shared" si="34"/>
        <v>0</v>
      </c>
      <c r="AW35" s="35">
        <f t="shared" si="34"/>
        <v>0</v>
      </c>
      <c r="AX35" s="35">
        <f t="shared" si="34"/>
        <v>0</v>
      </c>
      <c r="AY35" s="35">
        <f t="shared" si="34"/>
        <v>0</v>
      </c>
      <c r="AZ35" s="35">
        <f t="shared" si="34"/>
        <v>0</v>
      </c>
      <c r="BA35" s="35">
        <f t="shared" si="34"/>
        <v>0</v>
      </c>
      <c r="BB35" s="35">
        <f t="shared" si="34"/>
        <v>0</v>
      </c>
      <c r="BC35" s="35">
        <f t="shared" si="34"/>
        <v>0</v>
      </c>
      <c r="BD35" s="35">
        <f t="shared" si="34"/>
        <v>0</v>
      </c>
      <c r="BE35" s="35">
        <f t="shared" si="34"/>
        <v>0</v>
      </c>
      <c r="BF35" s="35">
        <f t="shared" si="34"/>
        <v>0</v>
      </c>
      <c r="BG35" s="35">
        <f t="shared" si="34"/>
        <v>0</v>
      </c>
      <c r="BH35" s="35">
        <f t="shared" si="34"/>
        <v>0</v>
      </c>
      <c r="BI35" s="35">
        <f t="shared" si="34"/>
        <v>0</v>
      </c>
      <c r="BJ35" s="35">
        <f t="shared" si="34"/>
        <v>0</v>
      </c>
      <c r="BK35" s="35">
        <f t="shared" si="34"/>
        <v>0</v>
      </c>
      <c r="BL35" s="35">
        <f t="shared" si="34"/>
        <v>0</v>
      </c>
      <c r="BM35" s="35">
        <f t="shared" si="34"/>
        <v>0</v>
      </c>
      <c r="BN35" s="35">
        <f t="shared" si="34"/>
        <v>0</v>
      </c>
      <c r="BO35" s="35">
        <f t="shared" si="34"/>
        <v>0</v>
      </c>
      <c r="BP35" s="35">
        <f t="shared" ref="BP35:CB35" si="35">IF(BP34&gt;$F4+2,0,1)*(IF(BQ35=0,100,0)+IF($G4=1,1,0.5)*$J4*100)</f>
        <v>0</v>
      </c>
      <c r="BQ35" s="35">
        <f t="shared" si="35"/>
        <v>0</v>
      </c>
      <c r="BR35" s="35">
        <f t="shared" si="35"/>
        <v>0</v>
      </c>
      <c r="BS35" s="35">
        <f t="shared" si="35"/>
        <v>0</v>
      </c>
      <c r="BT35" s="35">
        <f t="shared" si="35"/>
        <v>0</v>
      </c>
      <c r="BU35" s="35">
        <f t="shared" si="35"/>
        <v>0</v>
      </c>
      <c r="BV35" s="35">
        <f t="shared" si="35"/>
        <v>0</v>
      </c>
      <c r="BW35" s="35">
        <f t="shared" si="35"/>
        <v>0</v>
      </c>
      <c r="BX35" s="35">
        <f t="shared" si="35"/>
        <v>0</v>
      </c>
      <c r="BY35" s="35">
        <f t="shared" si="35"/>
        <v>0</v>
      </c>
      <c r="BZ35" s="35">
        <f t="shared" si="35"/>
        <v>0</v>
      </c>
      <c r="CA35" s="35">
        <f t="shared" si="35"/>
        <v>0</v>
      </c>
      <c r="CB35" s="35">
        <f t="shared" si="35"/>
        <v>0</v>
      </c>
    </row>
    <row r="36" spans="1:80">
      <c r="A36" s="262" t="s">
        <v>49</v>
      </c>
      <c r="B36" s="144" t="str">
        <f>IF(E5=0,F5,E5)</f>
        <v>5/15/2021</v>
      </c>
      <c r="C36" s="145">
        <f>B36+IF($G5=1,365,182.5)</f>
        <v>44513.5</v>
      </c>
      <c r="D36" s="145">
        <f t="shared" ref="D36:BO36" si="36">C36+IF($G5=1,365,182.5)</f>
        <v>44696</v>
      </c>
      <c r="E36" s="141">
        <f t="shared" si="36"/>
        <v>44878.5</v>
      </c>
      <c r="F36" s="145">
        <f t="shared" si="36"/>
        <v>45061</v>
      </c>
      <c r="G36" s="145">
        <f t="shared" si="36"/>
        <v>45243.5</v>
      </c>
      <c r="H36" s="145">
        <f t="shared" si="36"/>
        <v>45426</v>
      </c>
      <c r="I36" s="145">
        <f t="shared" si="36"/>
        <v>45608.5</v>
      </c>
      <c r="J36" s="145">
        <f t="shared" si="36"/>
        <v>45791</v>
      </c>
      <c r="K36" s="145">
        <f t="shared" si="36"/>
        <v>45973.5</v>
      </c>
      <c r="L36" s="145">
        <f t="shared" si="36"/>
        <v>46156</v>
      </c>
      <c r="M36" s="145">
        <f t="shared" si="36"/>
        <v>46338.5</v>
      </c>
      <c r="N36" s="145">
        <f t="shared" si="36"/>
        <v>46521</v>
      </c>
      <c r="O36" s="145">
        <f t="shared" si="36"/>
        <v>46703.5</v>
      </c>
      <c r="P36" s="145">
        <f t="shared" si="36"/>
        <v>46886</v>
      </c>
      <c r="Q36" s="145">
        <f t="shared" si="36"/>
        <v>47068.5</v>
      </c>
      <c r="R36" s="145">
        <f t="shared" si="36"/>
        <v>47251</v>
      </c>
      <c r="S36" s="145">
        <f t="shared" si="36"/>
        <v>47433.5</v>
      </c>
      <c r="T36" s="145">
        <f t="shared" si="36"/>
        <v>47616</v>
      </c>
      <c r="U36" s="145">
        <f t="shared" si="36"/>
        <v>47798.5</v>
      </c>
      <c r="V36" s="145">
        <f t="shared" si="36"/>
        <v>47981</v>
      </c>
      <c r="W36" s="145">
        <f t="shared" si="36"/>
        <v>48163.5</v>
      </c>
      <c r="X36" s="145">
        <f t="shared" si="36"/>
        <v>48346</v>
      </c>
      <c r="Y36" s="145">
        <f t="shared" si="36"/>
        <v>48528.5</v>
      </c>
      <c r="Z36" s="145">
        <f t="shared" si="36"/>
        <v>48711</v>
      </c>
      <c r="AA36" s="145">
        <f t="shared" si="36"/>
        <v>48893.5</v>
      </c>
      <c r="AB36" s="145">
        <f t="shared" si="36"/>
        <v>49076</v>
      </c>
      <c r="AC36" s="145">
        <f t="shared" si="36"/>
        <v>49258.5</v>
      </c>
      <c r="AD36" s="145">
        <f t="shared" si="36"/>
        <v>49441</v>
      </c>
      <c r="AE36" s="145">
        <f t="shared" si="36"/>
        <v>49623.5</v>
      </c>
      <c r="AF36" s="145">
        <f t="shared" si="36"/>
        <v>49806</v>
      </c>
      <c r="AG36" s="145">
        <f t="shared" si="36"/>
        <v>49988.5</v>
      </c>
      <c r="AH36" s="145">
        <f t="shared" si="36"/>
        <v>50171</v>
      </c>
      <c r="AI36" s="145">
        <f t="shared" si="36"/>
        <v>50353.5</v>
      </c>
      <c r="AJ36" s="145">
        <f t="shared" si="36"/>
        <v>50536</v>
      </c>
      <c r="AK36" s="145">
        <f t="shared" si="36"/>
        <v>50718.5</v>
      </c>
      <c r="AL36" s="145">
        <f t="shared" si="36"/>
        <v>50901</v>
      </c>
      <c r="AM36" s="145">
        <f t="shared" si="36"/>
        <v>51083.5</v>
      </c>
      <c r="AN36" s="145">
        <f t="shared" si="36"/>
        <v>51266</v>
      </c>
      <c r="AO36" s="145">
        <f t="shared" si="36"/>
        <v>51448.5</v>
      </c>
      <c r="AP36" s="145">
        <f t="shared" si="36"/>
        <v>51631</v>
      </c>
      <c r="AQ36" s="145">
        <f t="shared" si="36"/>
        <v>51813.5</v>
      </c>
      <c r="AR36" s="145">
        <f t="shared" si="36"/>
        <v>51996</v>
      </c>
      <c r="AS36" s="145">
        <f t="shared" si="36"/>
        <v>52178.5</v>
      </c>
      <c r="AT36" s="145">
        <f t="shared" si="36"/>
        <v>52361</v>
      </c>
      <c r="AU36" s="145">
        <f t="shared" si="36"/>
        <v>52543.5</v>
      </c>
      <c r="AV36" s="145">
        <f t="shared" si="36"/>
        <v>52726</v>
      </c>
      <c r="AW36" s="145">
        <f t="shared" si="36"/>
        <v>52908.5</v>
      </c>
      <c r="AX36" s="145">
        <f t="shared" si="36"/>
        <v>53091</v>
      </c>
      <c r="AY36" s="145">
        <f t="shared" si="36"/>
        <v>53273.5</v>
      </c>
      <c r="AZ36" s="145">
        <f t="shared" si="36"/>
        <v>53456</v>
      </c>
      <c r="BA36" s="145">
        <f t="shared" si="36"/>
        <v>53638.5</v>
      </c>
      <c r="BB36" s="145">
        <f t="shared" si="36"/>
        <v>53821</v>
      </c>
      <c r="BC36" s="145">
        <f t="shared" si="36"/>
        <v>54003.5</v>
      </c>
      <c r="BD36" s="145">
        <f t="shared" si="36"/>
        <v>54186</v>
      </c>
      <c r="BE36" s="145">
        <f t="shared" si="36"/>
        <v>54368.5</v>
      </c>
      <c r="BF36" s="145">
        <f t="shared" si="36"/>
        <v>54551</v>
      </c>
      <c r="BG36" s="145">
        <f t="shared" si="36"/>
        <v>54733.5</v>
      </c>
      <c r="BH36" s="145">
        <f t="shared" si="36"/>
        <v>54916</v>
      </c>
      <c r="BI36" s="145">
        <f t="shared" si="36"/>
        <v>55098.5</v>
      </c>
      <c r="BJ36" s="145">
        <f t="shared" si="36"/>
        <v>55281</v>
      </c>
      <c r="BK36" s="145">
        <f t="shared" si="36"/>
        <v>55463.5</v>
      </c>
      <c r="BL36" s="145">
        <f t="shared" si="36"/>
        <v>55646</v>
      </c>
      <c r="BM36" s="145">
        <f t="shared" si="36"/>
        <v>55828.5</v>
      </c>
      <c r="BN36" s="145">
        <f t="shared" si="36"/>
        <v>56011</v>
      </c>
      <c r="BO36" s="145">
        <f t="shared" si="36"/>
        <v>56193.5</v>
      </c>
      <c r="BP36" s="145">
        <f t="shared" ref="BP36:CB36" si="37">BO36+IF($G5=1,365,182.5)</f>
        <v>56376</v>
      </c>
      <c r="BQ36" s="145">
        <f t="shared" si="37"/>
        <v>56558.5</v>
      </c>
      <c r="BR36" s="145">
        <f t="shared" si="37"/>
        <v>56741</v>
      </c>
      <c r="BS36" s="145">
        <f t="shared" si="37"/>
        <v>56923.5</v>
      </c>
      <c r="BT36" s="145">
        <f t="shared" si="37"/>
        <v>57106</v>
      </c>
      <c r="BU36" s="145">
        <f t="shared" si="37"/>
        <v>57288.5</v>
      </c>
      <c r="BV36" s="145">
        <f t="shared" si="37"/>
        <v>57471</v>
      </c>
      <c r="BW36" s="145">
        <f t="shared" si="37"/>
        <v>57653.5</v>
      </c>
      <c r="BX36" s="145">
        <f t="shared" si="37"/>
        <v>57836</v>
      </c>
      <c r="BY36" s="145">
        <f t="shared" si="37"/>
        <v>58018.5</v>
      </c>
      <c r="BZ36" s="145">
        <f t="shared" si="37"/>
        <v>58201</v>
      </c>
      <c r="CA36" s="145">
        <f t="shared" si="37"/>
        <v>58383.5</v>
      </c>
      <c r="CB36" s="146">
        <f t="shared" si="37"/>
        <v>58566</v>
      </c>
    </row>
    <row r="37" spans="1:80">
      <c r="A37" s="165" t="s">
        <v>24</v>
      </c>
      <c r="B37" s="147">
        <f>(IF(B36=F5,100,0)+IF(G5=1,1,0.5)*J5*100)*IF(ISBLANK(F5)=TRUE,0,1)</f>
        <v>103</v>
      </c>
      <c r="C37" s="148">
        <f>IF(C36&gt;$F5+1,0,1)*(IF(D37=0,100,0)+IF($G5=1,1,0.5)*$J5*100)</f>
        <v>0</v>
      </c>
      <c r="D37" s="148">
        <f t="shared" ref="D37:BO37" si="38">IF(D36&gt;$F5+1,0,1)*(IF(E37=0,100,0)+IF($G5=1,1,0.5)*$J5*100)</f>
        <v>0</v>
      </c>
      <c r="E37" s="148">
        <f t="shared" si="38"/>
        <v>0</v>
      </c>
      <c r="F37" s="148">
        <f t="shared" si="38"/>
        <v>0</v>
      </c>
      <c r="G37" s="148">
        <f t="shared" si="38"/>
        <v>0</v>
      </c>
      <c r="H37" s="148">
        <f t="shared" si="38"/>
        <v>0</v>
      </c>
      <c r="I37" s="148">
        <f t="shared" si="38"/>
        <v>0</v>
      </c>
      <c r="J37" s="148">
        <f t="shared" si="38"/>
        <v>0</v>
      </c>
      <c r="K37" s="148">
        <f t="shared" si="38"/>
        <v>0</v>
      </c>
      <c r="L37" s="148">
        <f t="shared" si="38"/>
        <v>0</v>
      </c>
      <c r="M37" s="148">
        <f t="shared" si="38"/>
        <v>0</v>
      </c>
      <c r="N37" s="148">
        <f t="shared" si="38"/>
        <v>0</v>
      </c>
      <c r="O37" s="148">
        <f t="shared" si="38"/>
        <v>0</v>
      </c>
      <c r="P37" s="148">
        <f t="shared" si="38"/>
        <v>0</v>
      </c>
      <c r="Q37" s="148">
        <f t="shared" si="38"/>
        <v>0</v>
      </c>
      <c r="R37" s="148">
        <f t="shared" si="38"/>
        <v>0</v>
      </c>
      <c r="S37" s="148">
        <f t="shared" si="38"/>
        <v>0</v>
      </c>
      <c r="T37" s="148">
        <f t="shared" si="38"/>
        <v>0</v>
      </c>
      <c r="U37" s="148">
        <f t="shared" si="38"/>
        <v>0</v>
      </c>
      <c r="V37" s="148">
        <f t="shared" si="38"/>
        <v>0</v>
      </c>
      <c r="W37" s="148">
        <f t="shared" si="38"/>
        <v>0</v>
      </c>
      <c r="X37" s="148">
        <f t="shared" si="38"/>
        <v>0</v>
      </c>
      <c r="Y37" s="148">
        <f t="shared" si="38"/>
        <v>0</v>
      </c>
      <c r="Z37" s="148">
        <f t="shared" si="38"/>
        <v>0</v>
      </c>
      <c r="AA37" s="148">
        <f t="shared" si="38"/>
        <v>0</v>
      </c>
      <c r="AB37" s="148">
        <f t="shared" si="38"/>
        <v>0</v>
      </c>
      <c r="AC37" s="148">
        <f t="shared" si="38"/>
        <v>0</v>
      </c>
      <c r="AD37" s="148">
        <f t="shared" si="38"/>
        <v>0</v>
      </c>
      <c r="AE37" s="148">
        <f t="shared" si="38"/>
        <v>0</v>
      </c>
      <c r="AF37" s="148">
        <f t="shared" si="38"/>
        <v>0</v>
      </c>
      <c r="AG37" s="148">
        <f t="shared" si="38"/>
        <v>0</v>
      </c>
      <c r="AH37" s="148">
        <f t="shared" si="38"/>
        <v>0</v>
      </c>
      <c r="AI37" s="148">
        <f t="shared" si="38"/>
        <v>0</v>
      </c>
      <c r="AJ37" s="148">
        <f t="shared" si="38"/>
        <v>0</v>
      </c>
      <c r="AK37" s="148">
        <f t="shared" si="38"/>
        <v>0</v>
      </c>
      <c r="AL37" s="148">
        <f t="shared" si="38"/>
        <v>0</v>
      </c>
      <c r="AM37" s="148">
        <f t="shared" si="38"/>
        <v>0</v>
      </c>
      <c r="AN37" s="148">
        <f t="shared" si="38"/>
        <v>0</v>
      </c>
      <c r="AO37" s="148">
        <f t="shared" si="38"/>
        <v>0</v>
      </c>
      <c r="AP37" s="148">
        <f t="shared" si="38"/>
        <v>0</v>
      </c>
      <c r="AQ37" s="148">
        <f t="shared" si="38"/>
        <v>0</v>
      </c>
      <c r="AR37" s="148">
        <f t="shared" si="38"/>
        <v>0</v>
      </c>
      <c r="AS37" s="148">
        <f t="shared" si="38"/>
        <v>0</v>
      </c>
      <c r="AT37" s="148">
        <f t="shared" si="38"/>
        <v>0</v>
      </c>
      <c r="AU37" s="148">
        <f t="shared" si="38"/>
        <v>0</v>
      </c>
      <c r="AV37" s="148">
        <f t="shared" si="38"/>
        <v>0</v>
      </c>
      <c r="AW37" s="148">
        <f t="shared" si="38"/>
        <v>0</v>
      </c>
      <c r="AX37" s="148">
        <f t="shared" si="38"/>
        <v>0</v>
      </c>
      <c r="AY37" s="148">
        <f t="shared" si="38"/>
        <v>0</v>
      </c>
      <c r="AZ37" s="148">
        <f t="shared" si="38"/>
        <v>0</v>
      </c>
      <c r="BA37" s="148">
        <f t="shared" si="38"/>
        <v>0</v>
      </c>
      <c r="BB37" s="148">
        <f t="shared" si="38"/>
        <v>0</v>
      </c>
      <c r="BC37" s="148">
        <f t="shared" si="38"/>
        <v>0</v>
      </c>
      <c r="BD37" s="148">
        <f t="shared" si="38"/>
        <v>0</v>
      </c>
      <c r="BE37" s="148">
        <f t="shared" si="38"/>
        <v>0</v>
      </c>
      <c r="BF37" s="148">
        <f t="shared" si="38"/>
        <v>0</v>
      </c>
      <c r="BG37" s="148">
        <f t="shared" si="38"/>
        <v>0</v>
      </c>
      <c r="BH37" s="148">
        <f t="shared" si="38"/>
        <v>0</v>
      </c>
      <c r="BI37" s="148">
        <f t="shared" si="38"/>
        <v>0</v>
      </c>
      <c r="BJ37" s="148">
        <f t="shared" si="38"/>
        <v>0</v>
      </c>
      <c r="BK37" s="148">
        <f t="shared" si="38"/>
        <v>0</v>
      </c>
      <c r="BL37" s="148">
        <f t="shared" si="38"/>
        <v>0</v>
      </c>
      <c r="BM37" s="148">
        <f t="shared" si="38"/>
        <v>0</v>
      </c>
      <c r="BN37" s="148">
        <f t="shared" si="38"/>
        <v>0</v>
      </c>
      <c r="BO37" s="148">
        <f t="shared" si="38"/>
        <v>0</v>
      </c>
      <c r="BP37" s="148">
        <f t="shared" ref="BP37:CB37" si="39">IF(BP36&gt;$F5+1,0,1)*(IF(BQ37=0,100,0)+IF($G5=1,1,0.5)*$J5*100)</f>
        <v>0</v>
      </c>
      <c r="BQ37" s="148">
        <f t="shared" si="39"/>
        <v>0</v>
      </c>
      <c r="BR37" s="148">
        <f t="shared" si="39"/>
        <v>0</v>
      </c>
      <c r="BS37" s="148">
        <f t="shared" si="39"/>
        <v>0</v>
      </c>
      <c r="BT37" s="148">
        <f t="shared" si="39"/>
        <v>0</v>
      </c>
      <c r="BU37" s="148">
        <f t="shared" si="39"/>
        <v>0</v>
      </c>
      <c r="BV37" s="148">
        <f t="shared" si="39"/>
        <v>0</v>
      </c>
      <c r="BW37" s="148">
        <f t="shared" si="39"/>
        <v>0</v>
      </c>
      <c r="BX37" s="148">
        <f t="shared" si="39"/>
        <v>0</v>
      </c>
      <c r="BY37" s="148">
        <f t="shared" si="39"/>
        <v>0</v>
      </c>
      <c r="BZ37" s="148">
        <f t="shared" si="39"/>
        <v>0</v>
      </c>
      <c r="CA37" s="148">
        <f t="shared" si="39"/>
        <v>0</v>
      </c>
      <c r="CB37" s="154">
        <f t="shared" si="39"/>
        <v>0</v>
      </c>
    </row>
    <row r="38" spans="1:80">
      <c r="A38" s="261" t="s">
        <v>49</v>
      </c>
      <c r="B38" s="37" t="str">
        <f>IF(E6=0,F6,E6)</f>
        <v>10/15/2019</v>
      </c>
      <c r="C38" s="38">
        <f>B38+IF($G6=1,365,182.5)</f>
        <v>43935.5</v>
      </c>
      <c r="D38" s="38">
        <f t="shared" ref="D38:BO38" si="40">C38+IF($G6=1,365,182.5)</f>
        <v>44118</v>
      </c>
      <c r="E38" s="38">
        <f t="shared" si="40"/>
        <v>44300.5</v>
      </c>
      <c r="F38" s="38">
        <f t="shared" si="40"/>
        <v>44483</v>
      </c>
      <c r="G38" s="141">
        <f t="shared" si="40"/>
        <v>44665.5</v>
      </c>
      <c r="H38" s="38">
        <f t="shared" si="40"/>
        <v>44848</v>
      </c>
      <c r="I38" s="38">
        <f t="shared" si="40"/>
        <v>45030.5</v>
      </c>
      <c r="J38" s="38">
        <f t="shared" si="40"/>
        <v>45213</v>
      </c>
      <c r="K38" s="38">
        <f t="shared" si="40"/>
        <v>45395.5</v>
      </c>
      <c r="L38" s="38">
        <f t="shared" si="40"/>
        <v>45578</v>
      </c>
      <c r="M38" s="38">
        <f t="shared" si="40"/>
        <v>45760.5</v>
      </c>
      <c r="N38" s="38">
        <f t="shared" si="40"/>
        <v>45943</v>
      </c>
      <c r="O38" s="38">
        <f t="shared" si="40"/>
        <v>46125.5</v>
      </c>
      <c r="P38" s="38">
        <f t="shared" si="40"/>
        <v>46308</v>
      </c>
      <c r="Q38" s="38">
        <f t="shared" si="40"/>
        <v>46490.5</v>
      </c>
      <c r="R38" s="38">
        <f t="shared" si="40"/>
        <v>46673</v>
      </c>
      <c r="S38" s="38">
        <f t="shared" si="40"/>
        <v>46855.5</v>
      </c>
      <c r="T38" s="38">
        <f t="shared" si="40"/>
        <v>47038</v>
      </c>
      <c r="U38" s="38">
        <f t="shared" si="40"/>
        <v>47220.5</v>
      </c>
      <c r="V38" s="38">
        <f t="shared" si="40"/>
        <v>47403</v>
      </c>
      <c r="W38" s="38">
        <f t="shared" si="40"/>
        <v>47585.5</v>
      </c>
      <c r="X38" s="38">
        <f t="shared" si="40"/>
        <v>47768</v>
      </c>
      <c r="Y38" s="38">
        <f t="shared" si="40"/>
        <v>47950.5</v>
      </c>
      <c r="Z38" s="38">
        <f t="shared" si="40"/>
        <v>48133</v>
      </c>
      <c r="AA38" s="38">
        <f t="shared" si="40"/>
        <v>48315.5</v>
      </c>
      <c r="AB38" s="38">
        <f t="shared" si="40"/>
        <v>48498</v>
      </c>
      <c r="AC38" s="38">
        <f t="shared" si="40"/>
        <v>48680.5</v>
      </c>
      <c r="AD38" s="38">
        <f t="shared" si="40"/>
        <v>48863</v>
      </c>
      <c r="AE38" s="38">
        <f t="shared" si="40"/>
        <v>49045.5</v>
      </c>
      <c r="AF38" s="38">
        <f t="shared" si="40"/>
        <v>49228</v>
      </c>
      <c r="AG38" s="38">
        <f t="shared" si="40"/>
        <v>49410.5</v>
      </c>
      <c r="AH38" s="38">
        <f t="shared" si="40"/>
        <v>49593</v>
      </c>
      <c r="AI38" s="38">
        <f t="shared" si="40"/>
        <v>49775.5</v>
      </c>
      <c r="AJ38" s="38">
        <f t="shared" si="40"/>
        <v>49958</v>
      </c>
      <c r="AK38" s="38">
        <f t="shared" si="40"/>
        <v>50140.5</v>
      </c>
      <c r="AL38" s="38">
        <f t="shared" si="40"/>
        <v>50323</v>
      </c>
      <c r="AM38" s="38">
        <f t="shared" si="40"/>
        <v>50505.5</v>
      </c>
      <c r="AN38" s="38">
        <f t="shared" si="40"/>
        <v>50688</v>
      </c>
      <c r="AO38" s="38">
        <f t="shared" si="40"/>
        <v>50870.5</v>
      </c>
      <c r="AP38" s="38">
        <f t="shared" si="40"/>
        <v>51053</v>
      </c>
      <c r="AQ38" s="38">
        <f t="shared" si="40"/>
        <v>51235.5</v>
      </c>
      <c r="AR38" s="38">
        <f t="shared" si="40"/>
        <v>51418</v>
      </c>
      <c r="AS38" s="38">
        <f t="shared" si="40"/>
        <v>51600.5</v>
      </c>
      <c r="AT38" s="38">
        <f t="shared" si="40"/>
        <v>51783</v>
      </c>
      <c r="AU38" s="38">
        <f t="shared" si="40"/>
        <v>51965.5</v>
      </c>
      <c r="AV38" s="38">
        <f t="shared" si="40"/>
        <v>52148</v>
      </c>
      <c r="AW38" s="38">
        <f t="shared" si="40"/>
        <v>52330.5</v>
      </c>
      <c r="AX38" s="38">
        <f t="shared" si="40"/>
        <v>52513</v>
      </c>
      <c r="AY38" s="38">
        <f t="shared" si="40"/>
        <v>52695.5</v>
      </c>
      <c r="AZ38" s="38">
        <f t="shared" si="40"/>
        <v>52878</v>
      </c>
      <c r="BA38" s="38">
        <f t="shared" si="40"/>
        <v>53060.5</v>
      </c>
      <c r="BB38" s="38">
        <f t="shared" si="40"/>
        <v>53243</v>
      </c>
      <c r="BC38" s="38">
        <f t="shared" si="40"/>
        <v>53425.5</v>
      </c>
      <c r="BD38" s="38">
        <f t="shared" si="40"/>
        <v>53608</v>
      </c>
      <c r="BE38" s="38">
        <f t="shared" si="40"/>
        <v>53790.5</v>
      </c>
      <c r="BF38" s="38">
        <f t="shared" si="40"/>
        <v>53973</v>
      </c>
      <c r="BG38" s="38">
        <f t="shared" si="40"/>
        <v>54155.5</v>
      </c>
      <c r="BH38" s="38">
        <f t="shared" si="40"/>
        <v>54338</v>
      </c>
      <c r="BI38" s="38">
        <f t="shared" si="40"/>
        <v>54520.5</v>
      </c>
      <c r="BJ38" s="38">
        <f t="shared" si="40"/>
        <v>54703</v>
      </c>
      <c r="BK38" s="38">
        <f t="shared" si="40"/>
        <v>54885.5</v>
      </c>
      <c r="BL38" s="38">
        <f t="shared" si="40"/>
        <v>55068</v>
      </c>
      <c r="BM38" s="38">
        <f t="shared" si="40"/>
        <v>55250.5</v>
      </c>
      <c r="BN38" s="38">
        <f t="shared" si="40"/>
        <v>55433</v>
      </c>
      <c r="BO38" s="38">
        <f t="shared" si="40"/>
        <v>55615.5</v>
      </c>
      <c r="BP38" s="38">
        <f t="shared" ref="BP38:CB38" si="41">BO38+IF($G6=1,365,182.5)</f>
        <v>55798</v>
      </c>
      <c r="BQ38" s="38">
        <f t="shared" si="41"/>
        <v>55980.5</v>
      </c>
      <c r="BR38" s="38">
        <f t="shared" si="41"/>
        <v>56163</v>
      </c>
      <c r="BS38" s="38">
        <f t="shared" si="41"/>
        <v>56345.5</v>
      </c>
      <c r="BT38" s="38">
        <f t="shared" si="41"/>
        <v>56528</v>
      </c>
      <c r="BU38" s="38">
        <f t="shared" si="41"/>
        <v>56710.5</v>
      </c>
      <c r="BV38" s="38">
        <f t="shared" si="41"/>
        <v>56893</v>
      </c>
      <c r="BW38" s="38">
        <f t="shared" si="41"/>
        <v>57075.5</v>
      </c>
      <c r="BX38" s="38">
        <f t="shared" si="41"/>
        <v>57258</v>
      </c>
      <c r="BY38" s="38">
        <f t="shared" si="41"/>
        <v>57440.5</v>
      </c>
      <c r="BZ38" s="38">
        <f t="shared" si="41"/>
        <v>57623</v>
      </c>
      <c r="CA38" s="38">
        <f t="shared" si="41"/>
        <v>57805.5</v>
      </c>
      <c r="CB38" s="39">
        <f t="shared" si="41"/>
        <v>57988</v>
      </c>
    </row>
    <row r="39" spans="1:80">
      <c r="A39" s="166" t="s">
        <v>25</v>
      </c>
      <c r="B39" s="106">
        <f>(IF(B38=F6,100,0)+IF(G6=1,1,0.5)*J6*100)*IF(ISBLANK(F6)=TRUE,0,1)</f>
        <v>1.375</v>
      </c>
      <c r="C39" s="40">
        <f>IF(C38&gt;$F6+1,0,1)*(IF(D39=0,100,0)+IF($G6=1,1,0.5)*$J6*100)</f>
        <v>1.375</v>
      </c>
      <c r="D39" s="40">
        <f t="shared" ref="D39:BO39" si="42">IF(D38&gt;$F6+1,0,1)*(IF(E39=0,100,0)+IF($G6=1,1,0.5)*$J6*100)</f>
        <v>1.375</v>
      </c>
      <c r="E39" s="40">
        <f t="shared" si="42"/>
        <v>1.375</v>
      </c>
      <c r="F39" s="40">
        <f t="shared" si="42"/>
        <v>1.375</v>
      </c>
      <c r="G39" s="40">
        <f t="shared" si="42"/>
        <v>1.375</v>
      </c>
      <c r="H39" s="40">
        <f t="shared" si="42"/>
        <v>1.375</v>
      </c>
      <c r="I39" s="40">
        <f t="shared" si="42"/>
        <v>1.375</v>
      </c>
      <c r="J39" s="40">
        <f t="shared" si="42"/>
        <v>1.375</v>
      </c>
      <c r="K39" s="40">
        <f t="shared" si="42"/>
        <v>1.375</v>
      </c>
      <c r="L39" s="40">
        <f t="shared" si="42"/>
        <v>1.375</v>
      </c>
      <c r="M39" s="40">
        <f t="shared" si="42"/>
        <v>101.375</v>
      </c>
      <c r="N39" s="40">
        <f t="shared" si="42"/>
        <v>0</v>
      </c>
      <c r="O39" s="40">
        <f t="shared" si="42"/>
        <v>0</v>
      </c>
      <c r="P39" s="40">
        <f t="shared" si="42"/>
        <v>0</v>
      </c>
      <c r="Q39" s="40">
        <f t="shared" si="42"/>
        <v>0</v>
      </c>
      <c r="R39" s="40">
        <f t="shared" si="42"/>
        <v>0</v>
      </c>
      <c r="S39" s="40">
        <f t="shared" si="42"/>
        <v>0</v>
      </c>
      <c r="T39" s="40">
        <f t="shared" si="42"/>
        <v>0</v>
      </c>
      <c r="U39" s="40">
        <f t="shared" si="42"/>
        <v>0</v>
      </c>
      <c r="V39" s="40">
        <f t="shared" si="42"/>
        <v>0</v>
      </c>
      <c r="W39" s="40">
        <f t="shared" si="42"/>
        <v>0</v>
      </c>
      <c r="X39" s="40">
        <f t="shared" si="42"/>
        <v>0</v>
      </c>
      <c r="Y39" s="40">
        <f t="shared" si="42"/>
        <v>0</v>
      </c>
      <c r="Z39" s="40">
        <f t="shared" si="42"/>
        <v>0</v>
      </c>
      <c r="AA39" s="40">
        <f t="shared" si="42"/>
        <v>0</v>
      </c>
      <c r="AB39" s="40">
        <f t="shared" si="42"/>
        <v>0</v>
      </c>
      <c r="AC39" s="40">
        <f t="shared" si="42"/>
        <v>0</v>
      </c>
      <c r="AD39" s="40">
        <f t="shared" si="42"/>
        <v>0</v>
      </c>
      <c r="AE39" s="40">
        <f t="shared" si="42"/>
        <v>0</v>
      </c>
      <c r="AF39" s="40">
        <f t="shared" si="42"/>
        <v>0</v>
      </c>
      <c r="AG39" s="40">
        <f t="shared" si="42"/>
        <v>0</v>
      </c>
      <c r="AH39" s="40">
        <f t="shared" si="42"/>
        <v>0</v>
      </c>
      <c r="AI39" s="40">
        <f t="shared" si="42"/>
        <v>0</v>
      </c>
      <c r="AJ39" s="40">
        <f t="shared" si="42"/>
        <v>0</v>
      </c>
      <c r="AK39" s="40">
        <f t="shared" si="42"/>
        <v>0</v>
      </c>
      <c r="AL39" s="40">
        <f t="shared" si="42"/>
        <v>0</v>
      </c>
      <c r="AM39" s="40">
        <f t="shared" si="42"/>
        <v>0</v>
      </c>
      <c r="AN39" s="40">
        <f t="shared" si="42"/>
        <v>0</v>
      </c>
      <c r="AO39" s="40">
        <f t="shared" si="42"/>
        <v>0</v>
      </c>
      <c r="AP39" s="40">
        <f t="shared" si="42"/>
        <v>0</v>
      </c>
      <c r="AQ39" s="40">
        <f t="shared" si="42"/>
        <v>0</v>
      </c>
      <c r="AR39" s="40">
        <f t="shared" si="42"/>
        <v>0</v>
      </c>
      <c r="AS39" s="40">
        <f t="shared" si="42"/>
        <v>0</v>
      </c>
      <c r="AT39" s="40">
        <f t="shared" si="42"/>
        <v>0</v>
      </c>
      <c r="AU39" s="40">
        <f t="shared" si="42"/>
        <v>0</v>
      </c>
      <c r="AV39" s="40">
        <f t="shared" si="42"/>
        <v>0</v>
      </c>
      <c r="AW39" s="40">
        <f t="shared" si="42"/>
        <v>0</v>
      </c>
      <c r="AX39" s="40">
        <f t="shared" si="42"/>
        <v>0</v>
      </c>
      <c r="AY39" s="40">
        <f t="shared" si="42"/>
        <v>0</v>
      </c>
      <c r="AZ39" s="40">
        <f t="shared" si="42"/>
        <v>0</v>
      </c>
      <c r="BA39" s="40">
        <f t="shared" si="42"/>
        <v>0</v>
      </c>
      <c r="BB39" s="40">
        <f t="shared" si="42"/>
        <v>0</v>
      </c>
      <c r="BC39" s="40">
        <f t="shared" si="42"/>
        <v>0</v>
      </c>
      <c r="BD39" s="40">
        <f t="shared" si="42"/>
        <v>0</v>
      </c>
      <c r="BE39" s="40">
        <f t="shared" si="42"/>
        <v>0</v>
      </c>
      <c r="BF39" s="40">
        <f t="shared" si="42"/>
        <v>0</v>
      </c>
      <c r="BG39" s="40">
        <f t="shared" si="42"/>
        <v>0</v>
      </c>
      <c r="BH39" s="40">
        <f t="shared" si="42"/>
        <v>0</v>
      </c>
      <c r="BI39" s="40">
        <f t="shared" si="42"/>
        <v>0</v>
      </c>
      <c r="BJ39" s="40">
        <f t="shared" si="42"/>
        <v>0</v>
      </c>
      <c r="BK39" s="40">
        <f t="shared" si="42"/>
        <v>0</v>
      </c>
      <c r="BL39" s="40">
        <f t="shared" si="42"/>
        <v>0</v>
      </c>
      <c r="BM39" s="40">
        <f t="shared" si="42"/>
        <v>0</v>
      </c>
      <c r="BN39" s="40">
        <f t="shared" si="42"/>
        <v>0</v>
      </c>
      <c r="BO39" s="40">
        <f t="shared" si="42"/>
        <v>0</v>
      </c>
      <c r="BP39" s="40">
        <f t="shared" ref="BP39:CB39" si="43">IF(BP38&gt;$F6+1,0,1)*(IF(BQ39=0,100,0)+IF($G6=1,1,0.5)*$J6*100)</f>
        <v>0</v>
      </c>
      <c r="BQ39" s="40">
        <f t="shared" si="43"/>
        <v>0</v>
      </c>
      <c r="BR39" s="40">
        <f t="shared" si="43"/>
        <v>0</v>
      </c>
      <c r="BS39" s="40">
        <f t="shared" si="43"/>
        <v>0</v>
      </c>
      <c r="BT39" s="40">
        <f t="shared" si="43"/>
        <v>0</v>
      </c>
      <c r="BU39" s="40">
        <f t="shared" si="43"/>
        <v>0</v>
      </c>
      <c r="BV39" s="40">
        <f t="shared" si="43"/>
        <v>0</v>
      </c>
      <c r="BW39" s="40">
        <f t="shared" si="43"/>
        <v>0</v>
      </c>
      <c r="BX39" s="40">
        <f t="shared" si="43"/>
        <v>0</v>
      </c>
      <c r="BY39" s="40">
        <f t="shared" si="43"/>
        <v>0</v>
      </c>
      <c r="BZ39" s="40">
        <f t="shared" si="43"/>
        <v>0</v>
      </c>
      <c r="CA39" s="40">
        <f t="shared" si="43"/>
        <v>0</v>
      </c>
      <c r="CB39" s="41">
        <f t="shared" si="43"/>
        <v>0</v>
      </c>
    </row>
    <row r="40" spans="1:80">
      <c r="A40" s="260" t="s">
        <v>49</v>
      </c>
      <c r="B40" s="42" t="str">
        <f>IF(E7=0,F7,E7)</f>
        <v>10/15/2019</v>
      </c>
      <c r="C40" s="43">
        <f t="shared" ref="C40:BN40" si="44">B40+IF($G7=1,365,182.5)</f>
        <v>43935.5</v>
      </c>
      <c r="D40" s="43">
        <f t="shared" si="44"/>
        <v>44118</v>
      </c>
      <c r="E40" s="43">
        <f t="shared" si="44"/>
        <v>44300.5</v>
      </c>
      <c r="F40" s="43">
        <f t="shared" si="44"/>
        <v>44483</v>
      </c>
      <c r="G40" s="43">
        <f t="shared" si="44"/>
        <v>44665.5</v>
      </c>
      <c r="H40" s="43">
        <f t="shared" si="44"/>
        <v>44848</v>
      </c>
      <c r="I40" s="43">
        <f t="shared" si="44"/>
        <v>45030.5</v>
      </c>
      <c r="J40" s="43">
        <f t="shared" si="44"/>
        <v>45213</v>
      </c>
      <c r="K40" s="100">
        <f t="shared" si="44"/>
        <v>45395.5</v>
      </c>
      <c r="L40" s="43">
        <f t="shared" si="44"/>
        <v>45578</v>
      </c>
      <c r="M40" s="43">
        <f t="shared" si="44"/>
        <v>45760.5</v>
      </c>
      <c r="N40" s="43">
        <f t="shared" si="44"/>
        <v>45943</v>
      </c>
      <c r="O40" s="43">
        <f t="shared" si="44"/>
        <v>46125.5</v>
      </c>
      <c r="P40" s="43">
        <f t="shared" si="44"/>
        <v>46308</v>
      </c>
      <c r="Q40" s="43">
        <f t="shared" si="44"/>
        <v>46490.5</v>
      </c>
      <c r="R40" s="43">
        <f t="shared" si="44"/>
        <v>46673</v>
      </c>
      <c r="S40" s="43">
        <f t="shared" si="44"/>
        <v>46855.5</v>
      </c>
      <c r="T40" s="43">
        <f t="shared" si="44"/>
        <v>47038</v>
      </c>
      <c r="U40" s="43">
        <f t="shared" si="44"/>
        <v>47220.5</v>
      </c>
      <c r="V40" s="43">
        <f t="shared" si="44"/>
        <v>47403</v>
      </c>
      <c r="W40" s="43">
        <f t="shared" si="44"/>
        <v>47585.5</v>
      </c>
      <c r="X40" s="43">
        <f t="shared" si="44"/>
        <v>47768</v>
      </c>
      <c r="Y40" s="43">
        <f t="shared" si="44"/>
        <v>47950.5</v>
      </c>
      <c r="Z40" s="43">
        <f t="shared" si="44"/>
        <v>48133</v>
      </c>
      <c r="AA40" s="43">
        <f t="shared" si="44"/>
        <v>48315.5</v>
      </c>
      <c r="AB40" s="43">
        <f t="shared" si="44"/>
        <v>48498</v>
      </c>
      <c r="AC40" s="43">
        <f t="shared" si="44"/>
        <v>48680.5</v>
      </c>
      <c r="AD40" s="43">
        <f t="shared" si="44"/>
        <v>48863</v>
      </c>
      <c r="AE40" s="43">
        <f t="shared" si="44"/>
        <v>49045.5</v>
      </c>
      <c r="AF40" s="43">
        <f t="shared" si="44"/>
        <v>49228</v>
      </c>
      <c r="AG40" s="43">
        <f t="shared" si="44"/>
        <v>49410.5</v>
      </c>
      <c r="AH40" s="43">
        <f t="shared" si="44"/>
        <v>49593</v>
      </c>
      <c r="AI40" s="43">
        <f t="shared" si="44"/>
        <v>49775.5</v>
      </c>
      <c r="AJ40" s="43">
        <f t="shared" si="44"/>
        <v>49958</v>
      </c>
      <c r="AK40" s="43">
        <f t="shared" si="44"/>
        <v>50140.5</v>
      </c>
      <c r="AL40" s="43">
        <f t="shared" si="44"/>
        <v>50323</v>
      </c>
      <c r="AM40" s="43">
        <f t="shared" si="44"/>
        <v>50505.5</v>
      </c>
      <c r="AN40" s="43">
        <f t="shared" si="44"/>
        <v>50688</v>
      </c>
      <c r="AO40" s="43">
        <f t="shared" si="44"/>
        <v>50870.5</v>
      </c>
      <c r="AP40" s="43">
        <f t="shared" si="44"/>
        <v>51053</v>
      </c>
      <c r="AQ40" s="43">
        <f t="shared" si="44"/>
        <v>51235.5</v>
      </c>
      <c r="AR40" s="43">
        <f t="shared" si="44"/>
        <v>51418</v>
      </c>
      <c r="AS40" s="43">
        <f t="shared" si="44"/>
        <v>51600.5</v>
      </c>
      <c r="AT40" s="43">
        <f t="shared" si="44"/>
        <v>51783</v>
      </c>
      <c r="AU40" s="43">
        <f t="shared" si="44"/>
        <v>51965.5</v>
      </c>
      <c r="AV40" s="43">
        <f t="shared" si="44"/>
        <v>52148</v>
      </c>
      <c r="AW40" s="43">
        <f t="shared" si="44"/>
        <v>52330.5</v>
      </c>
      <c r="AX40" s="43">
        <f t="shared" si="44"/>
        <v>52513</v>
      </c>
      <c r="AY40" s="43">
        <f t="shared" si="44"/>
        <v>52695.5</v>
      </c>
      <c r="AZ40" s="43">
        <f t="shared" si="44"/>
        <v>52878</v>
      </c>
      <c r="BA40" s="43">
        <f t="shared" si="44"/>
        <v>53060.5</v>
      </c>
      <c r="BB40" s="43">
        <f t="shared" si="44"/>
        <v>53243</v>
      </c>
      <c r="BC40" s="43">
        <f t="shared" si="44"/>
        <v>53425.5</v>
      </c>
      <c r="BD40" s="43">
        <f t="shared" si="44"/>
        <v>53608</v>
      </c>
      <c r="BE40" s="43">
        <f t="shared" si="44"/>
        <v>53790.5</v>
      </c>
      <c r="BF40" s="43">
        <f t="shared" si="44"/>
        <v>53973</v>
      </c>
      <c r="BG40" s="43">
        <f t="shared" si="44"/>
        <v>54155.5</v>
      </c>
      <c r="BH40" s="43">
        <f t="shared" si="44"/>
        <v>54338</v>
      </c>
      <c r="BI40" s="43">
        <f t="shared" si="44"/>
        <v>54520.5</v>
      </c>
      <c r="BJ40" s="43">
        <f t="shared" si="44"/>
        <v>54703</v>
      </c>
      <c r="BK40" s="43">
        <f t="shared" si="44"/>
        <v>54885.5</v>
      </c>
      <c r="BL40" s="43">
        <f t="shared" si="44"/>
        <v>55068</v>
      </c>
      <c r="BM40" s="43">
        <f t="shared" si="44"/>
        <v>55250.5</v>
      </c>
      <c r="BN40" s="43">
        <f t="shared" si="44"/>
        <v>55433</v>
      </c>
      <c r="BO40" s="43">
        <f t="shared" ref="BO40:CB40" si="45">BN40+IF($G7=1,365,182.5)</f>
        <v>55615.5</v>
      </c>
      <c r="BP40" s="43">
        <f t="shared" si="45"/>
        <v>55798</v>
      </c>
      <c r="BQ40" s="43">
        <f t="shared" si="45"/>
        <v>55980.5</v>
      </c>
      <c r="BR40" s="43">
        <f t="shared" si="45"/>
        <v>56163</v>
      </c>
      <c r="BS40" s="43">
        <f t="shared" si="45"/>
        <v>56345.5</v>
      </c>
      <c r="BT40" s="43">
        <f t="shared" si="45"/>
        <v>56528</v>
      </c>
      <c r="BU40" s="43">
        <f t="shared" si="45"/>
        <v>56710.5</v>
      </c>
      <c r="BV40" s="43">
        <f t="shared" si="45"/>
        <v>56893</v>
      </c>
      <c r="BW40" s="43">
        <f t="shared" si="45"/>
        <v>57075.5</v>
      </c>
      <c r="BX40" s="43">
        <f t="shared" si="45"/>
        <v>57258</v>
      </c>
      <c r="BY40" s="43">
        <f t="shared" si="45"/>
        <v>57440.5</v>
      </c>
      <c r="BZ40" s="43">
        <f t="shared" si="45"/>
        <v>57623</v>
      </c>
      <c r="CA40" s="43">
        <f t="shared" si="45"/>
        <v>57805.5</v>
      </c>
      <c r="CB40" s="44">
        <f t="shared" si="45"/>
        <v>57988</v>
      </c>
    </row>
    <row r="41" spans="1:80">
      <c r="A41" s="167" t="s">
        <v>16</v>
      </c>
      <c r="B41" s="107">
        <f>(IF(B40=F7,100,0)+IF(G7=1,1,0.5)*J7*100)*IF(ISBLANK(F7)=TRUE,0,1)</f>
        <v>2.25</v>
      </c>
      <c r="C41" s="45">
        <f>IF(C40&gt;$F7+1,0,1)*(IF(D41=0,100,0)+IF($G7=1,1,0.5)*$J7*100)</f>
        <v>2.25</v>
      </c>
      <c r="D41" s="45">
        <f t="shared" ref="D41:BO41" si="46">IF(D40&gt;$F7+1,0,1)*(IF(E41=0,100,0)+IF($G7=1,1,0.5)*$J7*100)</f>
        <v>2.25</v>
      </c>
      <c r="E41" s="45">
        <f t="shared" si="46"/>
        <v>2.25</v>
      </c>
      <c r="F41" s="45">
        <f t="shared" si="46"/>
        <v>2.25</v>
      </c>
      <c r="G41" s="45">
        <f t="shared" si="46"/>
        <v>2.25</v>
      </c>
      <c r="H41" s="45">
        <f t="shared" si="46"/>
        <v>2.25</v>
      </c>
      <c r="I41" s="45">
        <f t="shared" si="46"/>
        <v>2.25</v>
      </c>
      <c r="J41" s="45">
        <f t="shared" si="46"/>
        <v>2.25</v>
      </c>
      <c r="K41" s="45">
        <f t="shared" si="46"/>
        <v>2.25</v>
      </c>
      <c r="L41" s="45">
        <f t="shared" si="46"/>
        <v>2.25</v>
      </c>
      <c r="M41" s="45">
        <f t="shared" si="46"/>
        <v>2.25</v>
      </c>
      <c r="N41" s="45">
        <f t="shared" si="46"/>
        <v>2.25</v>
      </c>
      <c r="O41" s="45">
        <f t="shared" si="46"/>
        <v>2.25</v>
      </c>
      <c r="P41" s="45">
        <f t="shared" si="46"/>
        <v>2.25</v>
      </c>
      <c r="Q41" s="45">
        <f t="shared" si="46"/>
        <v>102.25</v>
      </c>
      <c r="R41" s="45">
        <f t="shared" si="46"/>
        <v>0</v>
      </c>
      <c r="S41" s="45">
        <f t="shared" si="46"/>
        <v>0</v>
      </c>
      <c r="T41" s="45">
        <f t="shared" si="46"/>
        <v>0</v>
      </c>
      <c r="U41" s="45">
        <f t="shared" si="46"/>
        <v>0</v>
      </c>
      <c r="V41" s="45">
        <f t="shared" si="46"/>
        <v>0</v>
      </c>
      <c r="W41" s="45">
        <f t="shared" si="46"/>
        <v>0</v>
      </c>
      <c r="X41" s="45">
        <f t="shared" si="46"/>
        <v>0</v>
      </c>
      <c r="Y41" s="45">
        <f t="shared" si="46"/>
        <v>0</v>
      </c>
      <c r="Z41" s="45">
        <f t="shared" si="46"/>
        <v>0</v>
      </c>
      <c r="AA41" s="45">
        <f t="shared" si="46"/>
        <v>0</v>
      </c>
      <c r="AB41" s="45">
        <f t="shared" si="46"/>
        <v>0</v>
      </c>
      <c r="AC41" s="45">
        <f t="shared" si="46"/>
        <v>0</v>
      </c>
      <c r="AD41" s="45">
        <f t="shared" si="46"/>
        <v>0</v>
      </c>
      <c r="AE41" s="45">
        <f t="shared" si="46"/>
        <v>0</v>
      </c>
      <c r="AF41" s="45">
        <f t="shared" si="46"/>
        <v>0</v>
      </c>
      <c r="AG41" s="45">
        <f t="shared" si="46"/>
        <v>0</v>
      </c>
      <c r="AH41" s="45">
        <f t="shared" si="46"/>
        <v>0</v>
      </c>
      <c r="AI41" s="45">
        <f t="shared" si="46"/>
        <v>0</v>
      </c>
      <c r="AJ41" s="45">
        <f t="shared" si="46"/>
        <v>0</v>
      </c>
      <c r="AK41" s="45">
        <f t="shared" si="46"/>
        <v>0</v>
      </c>
      <c r="AL41" s="45">
        <f t="shared" si="46"/>
        <v>0</v>
      </c>
      <c r="AM41" s="45">
        <f t="shared" si="46"/>
        <v>0</v>
      </c>
      <c r="AN41" s="45">
        <f t="shared" si="46"/>
        <v>0</v>
      </c>
      <c r="AO41" s="45">
        <f t="shared" si="46"/>
        <v>0</v>
      </c>
      <c r="AP41" s="45">
        <f t="shared" si="46"/>
        <v>0</v>
      </c>
      <c r="AQ41" s="45">
        <f t="shared" si="46"/>
        <v>0</v>
      </c>
      <c r="AR41" s="45">
        <f t="shared" si="46"/>
        <v>0</v>
      </c>
      <c r="AS41" s="45">
        <f t="shared" si="46"/>
        <v>0</v>
      </c>
      <c r="AT41" s="45">
        <f t="shared" si="46"/>
        <v>0</v>
      </c>
      <c r="AU41" s="45">
        <f t="shared" si="46"/>
        <v>0</v>
      </c>
      <c r="AV41" s="45">
        <f t="shared" si="46"/>
        <v>0</v>
      </c>
      <c r="AW41" s="45">
        <f t="shared" si="46"/>
        <v>0</v>
      </c>
      <c r="AX41" s="45">
        <f t="shared" si="46"/>
        <v>0</v>
      </c>
      <c r="AY41" s="45">
        <f t="shared" si="46"/>
        <v>0</v>
      </c>
      <c r="AZ41" s="45">
        <f t="shared" si="46"/>
        <v>0</v>
      </c>
      <c r="BA41" s="45">
        <f t="shared" si="46"/>
        <v>0</v>
      </c>
      <c r="BB41" s="45">
        <f t="shared" si="46"/>
        <v>0</v>
      </c>
      <c r="BC41" s="45">
        <f t="shared" si="46"/>
        <v>0</v>
      </c>
      <c r="BD41" s="45">
        <f t="shared" si="46"/>
        <v>0</v>
      </c>
      <c r="BE41" s="45">
        <f t="shared" si="46"/>
        <v>0</v>
      </c>
      <c r="BF41" s="45">
        <f t="shared" si="46"/>
        <v>0</v>
      </c>
      <c r="BG41" s="45">
        <f t="shared" si="46"/>
        <v>0</v>
      </c>
      <c r="BH41" s="45">
        <f t="shared" si="46"/>
        <v>0</v>
      </c>
      <c r="BI41" s="45">
        <f t="shared" si="46"/>
        <v>0</v>
      </c>
      <c r="BJ41" s="45">
        <f t="shared" si="46"/>
        <v>0</v>
      </c>
      <c r="BK41" s="45">
        <f t="shared" si="46"/>
        <v>0</v>
      </c>
      <c r="BL41" s="45">
        <f t="shared" si="46"/>
        <v>0</v>
      </c>
      <c r="BM41" s="45">
        <f t="shared" si="46"/>
        <v>0</v>
      </c>
      <c r="BN41" s="45">
        <f t="shared" si="46"/>
        <v>0</v>
      </c>
      <c r="BO41" s="45">
        <f t="shared" si="46"/>
        <v>0</v>
      </c>
      <c r="BP41" s="45">
        <f t="shared" ref="BP41:CB41" si="47">IF(BP40&gt;$F7+1,0,1)*(IF(BQ41=0,100,0)+IF($G7=1,1,0.5)*$J7*100)</f>
        <v>0</v>
      </c>
      <c r="BQ41" s="45">
        <f t="shared" si="47"/>
        <v>0</v>
      </c>
      <c r="BR41" s="45">
        <f t="shared" si="47"/>
        <v>0</v>
      </c>
      <c r="BS41" s="45">
        <f t="shared" si="47"/>
        <v>0</v>
      </c>
      <c r="BT41" s="45">
        <f t="shared" si="47"/>
        <v>0</v>
      </c>
      <c r="BU41" s="45">
        <f t="shared" si="47"/>
        <v>0</v>
      </c>
      <c r="BV41" s="45">
        <f t="shared" si="47"/>
        <v>0</v>
      </c>
      <c r="BW41" s="45">
        <f t="shared" si="47"/>
        <v>0</v>
      </c>
      <c r="BX41" s="45">
        <f t="shared" si="47"/>
        <v>0</v>
      </c>
      <c r="BY41" s="45">
        <f t="shared" si="47"/>
        <v>0</v>
      </c>
      <c r="BZ41" s="45">
        <f t="shared" si="47"/>
        <v>0</v>
      </c>
      <c r="CA41" s="45">
        <f t="shared" si="47"/>
        <v>0</v>
      </c>
      <c r="CB41" s="46">
        <f t="shared" si="47"/>
        <v>0</v>
      </c>
    </row>
    <row r="42" spans="1:80">
      <c r="A42" s="252" t="s">
        <v>49</v>
      </c>
      <c r="B42" s="47" t="str">
        <f>IF(E8=0,F8,E8)</f>
        <v>10/20/2019</v>
      </c>
      <c r="C42" s="48">
        <f t="shared" ref="C42:BN42" si="48">B42+IF($G8=1,365,182.5)</f>
        <v>43940.5</v>
      </c>
      <c r="D42" s="48">
        <f t="shared" si="48"/>
        <v>44123</v>
      </c>
      <c r="E42" s="48">
        <f t="shared" si="48"/>
        <v>44305.5</v>
      </c>
      <c r="F42" s="48">
        <f t="shared" si="48"/>
        <v>44488</v>
      </c>
      <c r="G42" s="48">
        <f t="shared" si="48"/>
        <v>44670.5</v>
      </c>
      <c r="H42" s="48">
        <f t="shared" si="48"/>
        <v>44853</v>
      </c>
      <c r="I42" s="48">
        <f t="shared" si="48"/>
        <v>45035.5</v>
      </c>
      <c r="J42" s="48">
        <f t="shared" si="48"/>
        <v>45218</v>
      </c>
      <c r="K42" s="141">
        <f t="shared" si="48"/>
        <v>45400.5</v>
      </c>
      <c r="L42" s="48">
        <f t="shared" si="48"/>
        <v>45583</v>
      </c>
      <c r="M42" s="48">
        <f t="shared" si="48"/>
        <v>45765.5</v>
      </c>
      <c r="N42" s="48">
        <f t="shared" si="48"/>
        <v>45948</v>
      </c>
      <c r="O42" s="48">
        <f t="shared" si="48"/>
        <v>46130.5</v>
      </c>
      <c r="P42" s="48">
        <f t="shared" si="48"/>
        <v>46313</v>
      </c>
      <c r="Q42" s="48">
        <f t="shared" si="48"/>
        <v>46495.5</v>
      </c>
      <c r="R42" s="48">
        <f t="shared" si="48"/>
        <v>46678</v>
      </c>
      <c r="S42" s="48">
        <f t="shared" si="48"/>
        <v>46860.5</v>
      </c>
      <c r="T42" s="48">
        <f t="shared" si="48"/>
        <v>47043</v>
      </c>
      <c r="U42" s="48">
        <f t="shared" si="48"/>
        <v>47225.5</v>
      </c>
      <c r="V42" s="48">
        <f t="shared" si="48"/>
        <v>47408</v>
      </c>
      <c r="W42" s="48">
        <f t="shared" si="48"/>
        <v>47590.5</v>
      </c>
      <c r="X42" s="48">
        <f t="shared" si="48"/>
        <v>47773</v>
      </c>
      <c r="Y42" s="48">
        <f t="shared" si="48"/>
        <v>47955.5</v>
      </c>
      <c r="Z42" s="48">
        <f t="shared" si="48"/>
        <v>48138</v>
      </c>
      <c r="AA42" s="48">
        <f t="shared" si="48"/>
        <v>48320.5</v>
      </c>
      <c r="AB42" s="48">
        <f t="shared" si="48"/>
        <v>48503</v>
      </c>
      <c r="AC42" s="48">
        <f t="shared" si="48"/>
        <v>48685.5</v>
      </c>
      <c r="AD42" s="48">
        <f t="shared" si="48"/>
        <v>48868</v>
      </c>
      <c r="AE42" s="48">
        <f t="shared" si="48"/>
        <v>49050.5</v>
      </c>
      <c r="AF42" s="48">
        <f t="shared" si="48"/>
        <v>49233</v>
      </c>
      <c r="AG42" s="48">
        <f t="shared" si="48"/>
        <v>49415.5</v>
      </c>
      <c r="AH42" s="48">
        <f t="shared" si="48"/>
        <v>49598</v>
      </c>
      <c r="AI42" s="48">
        <f t="shared" si="48"/>
        <v>49780.5</v>
      </c>
      <c r="AJ42" s="48">
        <f t="shared" si="48"/>
        <v>49963</v>
      </c>
      <c r="AK42" s="48">
        <f t="shared" si="48"/>
        <v>50145.5</v>
      </c>
      <c r="AL42" s="48">
        <f t="shared" si="48"/>
        <v>50328</v>
      </c>
      <c r="AM42" s="48">
        <f t="shared" si="48"/>
        <v>50510.5</v>
      </c>
      <c r="AN42" s="48">
        <f t="shared" si="48"/>
        <v>50693</v>
      </c>
      <c r="AO42" s="48">
        <f t="shared" si="48"/>
        <v>50875.5</v>
      </c>
      <c r="AP42" s="48">
        <f t="shared" si="48"/>
        <v>51058</v>
      </c>
      <c r="AQ42" s="48">
        <f t="shared" si="48"/>
        <v>51240.5</v>
      </c>
      <c r="AR42" s="48">
        <f t="shared" si="48"/>
        <v>51423</v>
      </c>
      <c r="AS42" s="48">
        <f t="shared" si="48"/>
        <v>51605.5</v>
      </c>
      <c r="AT42" s="48">
        <f t="shared" si="48"/>
        <v>51788</v>
      </c>
      <c r="AU42" s="48">
        <f t="shared" si="48"/>
        <v>51970.5</v>
      </c>
      <c r="AV42" s="48">
        <f t="shared" si="48"/>
        <v>52153</v>
      </c>
      <c r="AW42" s="48">
        <f t="shared" si="48"/>
        <v>52335.5</v>
      </c>
      <c r="AX42" s="48">
        <f t="shared" si="48"/>
        <v>52518</v>
      </c>
      <c r="AY42" s="48">
        <f t="shared" si="48"/>
        <v>52700.5</v>
      </c>
      <c r="AZ42" s="48">
        <f t="shared" si="48"/>
        <v>52883</v>
      </c>
      <c r="BA42" s="48">
        <f t="shared" si="48"/>
        <v>53065.5</v>
      </c>
      <c r="BB42" s="48">
        <f t="shared" si="48"/>
        <v>53248</v>
      </c>
      <c r="BC42" s="48">
        <f t="shared" si="48"/>
        <v>53430.5</v>
      </c>
      <c r="BD42" s="48">
        <f t="shared" si="48"/>
        <v>53613</v>
      </c>
      <c r="BE42" s="48">
        <f t="shared" si="48"/>
        <v>53795.5</v>
      </c>
      <c r="BF42" s="48">
        <f t="shared" si="48"/>
        <v>53978</v>
      </c>
      <c r="BG42" s="48">
        <f t="shared" si="48"/>
        <v>54160.5</v>
      </c>
      <c r="BH42" s="48">
        <f t="shared" si="48"/>
        <v>54343</v>
      </c>
      <c r="BI42" s="48">
        <f t="shared" si="48"/>
        <v>54525.5</v>
      </c>
      <c r="BJ42" s="48">
        <f t="shared" si="48"/>
        <v>54708</v>
      </c>
      <c r="BK42" s="48">
        <f t="shared" si="48"/>
        <v>54890.5</v>
      </c>
      <c r="BL42" s="48">
        <f t="shared" si="48"/>
        <v>55073</v>
      </c>
      <c r="BM42" s="48">
        <f t="shared" si="48"/>
        <v>55255.5</v>
      </c>
      <c r="BN42" s="48">
        <f t="shared" si="48"/>
        <v>55438</v>
      </c>
      <c r="BO42" s="48">
        <f t="shared" ref="BO42:CB42" si="49">BN42+IF($G8=1,365,182.5)</f>
        <v>55620.5</v>
      </c>
      <c r="BP42" s="48">
        <f t="shared" si="49"/>
        <v>55803</v>
      </c>
      <c r="BQ42" s="48">
        <f t="shared" si="49"/>
        <v>55985.5</v>
      </c>
      <c r="BR42" s="48">
        <f t="shared" si="49"/>
        <v>56168</v>
      </c>
      <c r="BS42" s="48">
        <f t="shared" si="49"/>
        <v>56350.5</v>
      </c>
      <c r="BT42" s="48">
        <f t="shared" si="49"/>
        <v>56533</v>
      </c>
      <c r="BU42" s="48">
        <f t="shared" si="49"/>
        <v>56715.5</v>
      </c>
      <c r="BV42" s="48">
        <f t="shared" si="49"/>
        <v>56898</v>
      </c>
      <c r="BW42" s="48">
        <f t="shared" si="49"/>
        <v>57080.5</v>
      </c>
      <c r="BX42" s="48">
        <f t="shared" si="49"/>
        <v>57263</v>
      </c>
      <c r="BY42" s="48">
        <f t="shared" si="49"/>
        <v>57445.5</v>
      </c>
      <c r="BZ42" s="48">
        <f t="shared" si="49"/>
        <v>57628</v>
      </c>
      <c r="CA42" s="48">
        <f t="shared" si="49"/>
        <v>57810.5</v>
      </c>
      <c r="CB42" s="49">
        <f t="shared" si="49"/>
        <v>57993</v>
      </c>
    </row>
    <row r="43" spans="1:80">
      <c r="A43" s="168" t="s">
        <v>26</v>
      </c>
      <c r="B43" s="108">
        <f>(IF(B42=F8,100,0)+IF(G8=1,1,0.5)*J8*100)*IF(ISBLANK(F8)=TRUE,0,1)</f>
        <v>1.5</v>
      </c>
      <c r="C43" s="50">
        <f>IF(C42&gt;$F8+1,0,1)*(IF(D43=0,100,0)+IF($G8=1,1,0.5)*$J8*100)</f>
        <v>1.5</v>
      </c>
      <c r="D43" s="50">
        <f t="shared" ref="D43:BO43" si="50">IF(D42&gt;$F8+1,0,1)*(IF(E43=0,100,0)+IF($G8=1,1,0.5)*$J8*100)</f>
        <v>1.5</v>
      </c>
      <c r="E43" s="50">
        <f t="shared" si="50"/>
        <v>1.5</v>
      </c>
      <c r="F43" s="50">
        <f t="shared" si="50"/>
        <v>1.5</v>
      </c>
      <c r="G43" s="50">
        <f t="shared" si="50"/>
        <v>1.5</v>
      </c>
      <c r="H43" s="50">
        <f t="shared" si="50"/>
        <v>1.5</v>
      </c>
      <c r="I43" s="50">
        <f t="shared" si="50"/>
        <v>1.5</v>
      </c>
      <c r="J43" s="50">
        <f t="shared" si="50"/>
        <v>1.5</v>
      </c>
      <c r="K43" s="50">
        <f t="shared" si="50"/>
        <v>1.5</v>
      </c>
      <c r="L43" s="50">
        <f t="shared" si="50"/>
        <v>1.5</v>
      </c>
      <c r="M43" s="50">
        <f t="shared" si="50"/>
        <v>1.5</v>
      </c>
      <c r="N43" s="50">
        <f t="shared" si="50"/>
        <v>1.5</v>
      </c>
      <c r="O43" s="50">
        <f t="shared" si="50"/>
        <v>1.5</v>
      </c>
      <c r="P43" s="50">
        <f t="shared" si="50"/>
        <v>1.5</v>
      </c>
      <c r="Q43" s="50">
        <f t="shared" si="50"/>
        <v>1.5</v>
      </c>
      <c r="R43" s="50">
        <f t="shared" si="50"/>
        <v>1.5</v>
      </c>
      <c r="S43" s="50">
        <f t="shared" si="50"/>
        <v>1.5</v>
      </c>
      <c r="T43" s="50">
        <f t="shared" si="50"/>
        <v>1.5</v>
      </c>
      <c r="U43" s="50">
        <f t="shared" si="50"/>
        <v>101.5</v>
      </c>
      <c r="V43" s="50">
        <f t="shared" si="50"/>
        <v>0</v>
      </c>
      <c r="W43" s="50">
        <f t="shared" si="50"/>
        <v>0</v>
      </c>
      <c r="X43" s="50">
        <f t="shared" si="50"/>
        <v>0</v>
      </c>
      <c r="Y43" s="50">
        <f t="shared" si="50"/>
        <v>0</v>
      </c>
      <c r="Z43" s="50">
        <f t="shared" si="50"/>
        <v>0</v>
      </c>
      <c r="AA43" s="50">
        <f t="shared" si="50"/>
        <v>0</v>
      </c>
      <c r="AB43" s="50">
        <f t="shared" si="50"/>
        <v>0</v>
      </c>
      <c r="AC43" s="50">
        <f t="shared" si="50"/>
        <v>0</v>
      </c>
      <c r="AD43" s="50">
        <f t="shared" si="50"/>
        <v>0</v>
      </c>
      <c r="AE43" s="50">
        <f t="shared" si="50"/>
        <v>0</v>
      </c>
      <c r="AF43" s="50">
        <f t="shared" si="50"/>
        <v>0</v>
      </c>
      <c r="AG43" s="50">
        <f t="shared" si="50"/>
        <v>0</v>
      </c>
      <c r="AH43" s="50">
        <f t="shared" si="50"/>
        <v>0</v>
      </c>
      <c r="AI43" s="50">
        <f t="shared" si="50"/>
        <v>0</v>
      </c>
      <c r="AJ43" s="50">
        <f t="shared" si="50"/>
        <v>0</v>
      </c>
      <c r="AK43" s="50">
        <f t="shared" si="50"/>
        <v>0</v>
      </c>
      <c r="AL43" s="50">
        <f t="shared" si="50"/>
        <v>0</v>
      </c>
      <c r="AM43" s="50">
        <f t="shared" si="50"/>
        <v>0</v>
      </c>
      <c r="AN43" s="50">
        <f t="shared" si="50"/>
        <v>0</v>
      </c>
      <c r="AO43" s="50">
        <f t="shared" si="50"/>
        <v>0</v>
      </c>
      <c r="AP43" s="50">
        <f t="shared" si="50"/>
        <v>0</v>
      </c>
      <c r="AQ43" s="50">
        <f t="shared" si="50"/>
        <v>0</v>
      </c>
      <c r="AR43" s="50">
        <f t="shared" si="50"/>
        <v>0</v>
      </c>
      <c r="AS43" s="50">
        <f t="shared" si="50"/>
        <v>0</v>
      </c>
      <c r="AT43" s="50">
        <f t="shared" si="50"/>
        <v>0</v>
      </c>
      <c r="AU43" s="50">
        <f t="shared" si="50"/>
        <v>0</v>
      </c>
      <c r="AV43" s="50">
        <f t="shared" si="50"/>
        <v>0</v>
      </c>
      <c r="AW43" s="50">
        <f t="shared" si="50"/>
        <v>0</v>
      </c>
      <c r="AX43" s="50">
        <f t="shared" si="50"/>
        <v>0</v>
      </c>
      <c r="AY43" s="50">
        <f t="shared" si="50"/>
        <v>0</v>
      </c>
      <c r="AZ43" s="50">
        <f t="shared" si="50"/>
        <v>0</v>
      </c>
      <c r="BA43" s="50">
        <f t="shared" si="50"/>
        <v>0</v>
      </c>
      <c r="BB43" s="50">
        <f t="shared" si="50"/>
        <v>0</v>
      </c>
      <c r="BC43" s="50">
        <f t="shared" si="50"/>
        <v>0</v>
      </c>
      <c r="BD43" s="50">
        <f t="shared" si="50"/>
        <v>0</v>
      </c>
      <c r="BE43" s="50">
        <f t="shared" si="50"/>
        <v>0</v>
      </c>
      <c r="BF43" s="50">
        <f t="shared" si="50"/>
        <v>0</v>
      </c>
      <c r="BG43" s="50">
        <f t="shared" si="50"/>
        <v>0</v>
      </c>
      <c r="BH43" s="50">
        <f t="shared" si="50"/>
        <v>0</v>
      </c>
      <c r="BI43" s="50">
        <f t="shared" si="50"/>
        <v>0</v>
      </c>
      <c r="BJ43" s="50">
        <f t="shared" si="50"/>
        <v>0</v>
      </c>
      <c r="BK43" s="50">
        <f t="shared" si="50"/>
        <v>0</v>
      </c>
      <c r="BL43" s="50">
        <f t="shared" si="50"/>
        <v>0</v>
      </c>
      <c r="BM43" s="50">
        <f t="shared" si="50"/>
        <v>0</v>
      </c>
      <c r="BN43" s="50">
        <f t="shared" si="50"/>
        <v>0</v>
      </c>
      <c r="BO43" s="50">
        <f t="shared" si="50"/>
        <v>0</v>
      </c>
      <c r="BP43" s="50">
        <f t="shared" ref="BP43:CB43" si="51">IF(BP42&gt;$F8+1,0,1)*(IF(BQ43=0,100,0)+IF($G8=1,1,0.5)*$J8*100)</f>
        <v>0</v>
      </c>
      <c r="BQ43" s="50">
        <f t="shared" si="51"/>
        <v>0</v>
      </c>
      <c r="BR43" s="50">
        <f t="shared" si="51"/>
        <v>0</v>
      </c>
      <c r="BS43" s="50">
        <f t="shared" si="51"/>
        <v>0</v>
      </c>
      <c r="BT43" s="50">
        <f t="shared" si="51"/>
        <v>0</v>
      </c>
      <c r="BU43" s="50">
        <f t="shared" si="51"/>
        <v>0</v>
      </c>
      <c r="BV43" s="50">
        <f t="shared" si="51"/>
        <v>0</v>
      </c>
      <c r="BW43" s="50">
        <f t="shared" si="51"/>
        <v>0</v>
      </c>
      <c r="BX43" s="50">
        <f t="shared" si="51"/>
        <v>0</v>
      </c>
      <c r="BY43" s="50">
        <f t="shared" si="51"/>
        <v>0</v>
      </c>
      <c r="BZ43" s="50">
        <f t="shared" si="51"/>
        <v>0</v>
      </c>
      <c r="CA43" s="50">
        <f t="shared" si="51"/>
        <v>0</v>
      </c>
      <c r="CB43" s="51">
        <f t="shared" si="51"/>
        <v>0</v>
      </c>
    </row>
    <row r="44" spans="1:80">
      <c r="A44" s="259" t="s">
        <v>49</v>
      </c>
      <c r="B44" s="52" t="str">
        <f>IF(E9=0,F9,E9)</f>
        <v>10/14/2019</v>
      </c>
      <c r="C44" s="53">
        <f t="shared" ref="C44:BN44" si="52">B44+IF($G9=1,365,182.5)</f>
        <v>43934.5</v>
      </c>
      <c r="D44" s="53">
        <f t="shared" si="52"/>
        <v>44117</v>
      </c>
      <c r="E44" s="53">
        <f t="shared" si="52"/>
        <v>44299.5</v>
      </c>
      <c r="F44" s="53">
        <f t="shared" si="52"/>
        <v>44482</v>
      </c>
      <c r="G44" s="53">
        <f t="shared" si="52"/>
        <v>44664.5</v>
      </c>
      <c r="H44" s="53">
        <f t="shared" si="52"/>
        <v>44847</v>
      </c>
      <c r="I44" s="53">
        <f t="shared" si="52"/>
        <v>45029.5</v>
      </c>
      <c r="J44" s="53">
        <f t="shared" si="52"/>
        <v>45212</v>
      </c>
      <c r="K44" s="53">
        <f t="shared" si="52"/>
        <v>45394.5</v>
      </c>
      <c r="L44" s="53">
        <f t="shared" si="52"/>
        <v>45577</v>
      </c>
      <c r="M44" s="53">
        <f t="shared" si="52"/>
        <v>45759.5</v>
      </c>
      <c r="N44" s="53">
        <f t="shared" si="52"/>
        <v>45942</v>
      </c>
      <c r="O44" s="53">
        <f t="shared" si="52"/>
        <v>46124.5</v>
      </c>
      <c r="P44" s="53">
        <f t="shared" si="52"/>
        <v>46307</v>
      </c>
      <c r="Q44" s="53">
        <f t="shared" si="52"/>
        <v>46489.5</v>
      </c>
      <c r="R44" s="53">
        <f t="shared" si="52"/>
        <v>46672</v>
      </c>
      <c r="S44" s="53">
        <f t="shared" si="52"/>
        <v>46854.5</v>
      </c>
      <c r="T44" s="53">
        <f t="shared" si="52"/>
        <v>47037</v>
      </c>
      <c r="U44" s="53">
        <f t="shared" si="52"/>
        <v>47219.5</v>
      </c>
      <c r="V44" s="53">
        <f t="shared" si="52"/>
        <v>47402</v>
      </c>
      <c r="W44" s="53">
        <f t="shared" si="52"/>
        <v>47584.5</v>
      </c>
      <c r="X44" s="53">
        <f t="shared" si="52"/>
        <v>47767</v>
      </c>
      <c r="Y44" s="53">
        <f t="shared" si="52"/>
        <v>47949.5</v>
      </c>
      <c r="Z44" s="53">
        <f t="shared" si="52"/>
        <v>48132</v>
      </c>
      <c r="AA44" s="53">
        <f t="shared" si="52"/>
        <v>48314.5</v>
      </c>
      <c r="AB44" s="53">
        <f t="shared" si="52"/>
        <v>48497</v>
      </c>
      <c r="AC44" s="53">
        <f t="shared" si="52"/>
        <v>48679.5</v>
      </c>
      <c r="AD44" s="53">
        <f t="shared" si="52"/>
        <v>48862</v>
      </c>
      <c r="AE44" s="53">
        <f t="shared" si="52"/>
        <v>49044.5</v>
      </c>
      <c r="AF44" s="53">
        <f t="shared" si="52"/>
        <v>49227</v>
      </c>
      <c r="AG44" s="53">
        <f t="shared" si="52"/>
        <v>49409.5</v>
      </c>
      <c r="AH44" s="53">
        <f t="shared" si="52"/>
        <v>49592</v>
      </c>
      <c r="AI44" s="53">
        <f t="shared" si="52"/>
        <v>49774.5</v>
      </c>
      <c r="AJ44" s="53">
        <f t="shared" si="52"/>
        <v>49957</v>
      </c>
      <c r="AK44" s="53">
        <f t="shared" si="52"/>
        <v>50139.5</v>
      </c>
      <c r="AL44" s="53">
        <f t="shared" si="52"/>
        <v>50322</v>
      </c>
      <c r="AM44" s="53">
        <f t="shared" si="52"/>
        <v>50504.5</v>
      </c>
      <c r="AN44" s="53">
        <f t="shared" si="52"/>
        <v>50687</v>
      </c>
      <c r="AO44" s="53">
        <f t="shared" si="52"/>
        <v>50869.5</v>
      </c>
      <c r="AP44" s="53">
        <f t="shared" si="52"/>
        <v>51052</v>
      </c>
      <c r="AQ44" s="53">
        <f t="shared" si="52"/>
        <v>51234.5</v>
      </c>
      <c r="AR44" s="53">
        <f t="shared" si="52"/>
        <v>51417</v>
      </c>
      <c r="AS44" s="53">
        <f t="shared" si="52"/>
        <v>51599.5</v>
      </c>
      <c r="AT44" s="53">
        <f t="shared" si="52"/>
        <v>51782</v>
      </c>
      <c r="AU44" s="53">
        <f t="shared" si="52"/>
        <v>51964.5</v>
      </c>
      <c r="AV44" s="53">
        <f t="shared" si="52"/>
        <v>52147</v>
      </c>
      <c r="AW44" s="53">
        <f t="shared" si="52"/>
        <v>52329.5</v>
      </c>
      <c r="AX44" s="53">
        <f t="shared" si="52"/>
        <v>52512</v>
      </c>
      <c r="AY44" s="53">
        <f t="shared" si="52"/>
        <v>52694.5</v>
      </c>
      <c r="AZ44" s="53">
        <f t="shared" si="52"/>
        <v>52877</v>
      </c>
      <c r="BA44" s="53">
        <f t="shared" si="52"/>
        <v>53059.5</v>
      </c>
      <c r="BB44" s="53">
        <f t="shared" si="52"/>
        <v>53242</v>
      </c>
      <c r="BC44" s="53">
        <f t="shared" si="52"/>
        <v>53424.5</v>
      </c>
      <c r="BD44" s="53">
        <f t="shared" si="52"/>
        <v>53607</v>
      </c>
      <c r="BE44" s="53">
        <f t="shared" si="52"/>
        <v>53789.5</v>
      </c>
      <c r="BF44" s="53">
        <f t="shared" si="52"/>
        <v>53972</v>
      </c>
      <c r="BG44" s="53">
        <f t="shared" si="52"/>
        <v>54154.5</v>
      </c>
      <c r="BH44" s="53">
        <f t="shared" si="52"/>
        <v>54337</v>
      </c>
      <c r="BI44" s="53">
        <f t="shared" si="52"/>
        <v>54519.5</v>
      </c>
      <c r="BJ44" s="53">
        <f t="shared" si="52"/>
        <v>54702</v>
      </c>
      <c r="BK44" s="53">
        <f t="shared" si="52"/>
        <v>54884.5</v>
      </c>
      <c r="BL44" s="53">
        <f t="shared" si="52"/>
        <v>55067</v>
      </c>
      <c r="BM44" s="53">
        <f t="shared" si="52"/>
        <v>55249.5</v>
      </c>
      <c r="BN44" s="53">
        <f t="shared" si="52"/>
        <v>55432</v>
      </c>
      <c r="BO44" s="53">
        <f t="shared" ref="BO44:CB44" si="53">BN44+IF($G9=1,365,182.5)</f>
        <v>55614.5</v>
      </c>
      <c r="BP44" s="53">
        <f t="shared" si="53"/>
        <v>55797</v>
      </c>
      <c r="BQ44" s="53">
        <f t="shared" si="53"/>
        <v>55979.5</v>
      </c>
      <c r="BR44" s="53">
        <f t="shared" si="53"/>
        <v>56162</v>
      </c>
      <c r="BS44" s="53">
        <f t="shared" si="53"/>
        <v>56344.5</v>
      </c>
      <c r="BT44" s="53">
        <f t="shared" si="53"/>
        <v>56527</v>
      </c>
      <c r="BU44" s="53">
        <f t="shared" si="53"/>
        <v>56709.5</v>
      </c>
      <c r="BV44" s="53">
        <f t="shared" si="53"/>
        <v>56892</v>
      </c>
      <c r="BW44" s="53">
        <f t="shared" si="53"/>
        <v>57074.5</v>
      </c>
      <c r="BX44" s="53">
        <f t="shared" si="53"/>
        <v>57257</v>
      </c>
      <c r="BY44" s="53">
        <f t="shared" si="53"/>
        <v>57439.5</v>
      </c>
      <c r="BZ44" s="53">
        <f t="shared" si="53"/>
        <v>57622</v>
      </c>
      <c r="CA44" s="53">
        <f t="shared" si="53"/>
        <v>57804.5</v>
      </c>
      <c r="CB44" s="54">
        <f t="shared" si="53"/>
        <v>57987</v>
      </c>
    </row>
    <row r="45" spans="1:80">
      <c r="A45" s="169" t="s">
        <v>27</v>
      </c>
      <c r="B45" s="109">
        <f>(IF(B44=F9,100,0)+IF(G9=1,1,0.5)*J9*100)*IF(ISBLANK(F9)=TRUE,0,1)</f>
        <v>1.7500000000000002</v>
      </c>
      <c r="C45" s="55">
        <f>IF(C44&gt;$F9+1,0,1)*(IF(D45=0,100,0)+IF($G9=1,1,0.5)*$J9*100)</f>
        <v>1.7500000000000002</v>
      </c>
      <c r="D45" s="55">
        <f t="shared" ref="D45:BO45" si="54">IF(D44&gt;$F9+1,0,1)*(IF(E45=0,100,0)+IF($G9=1,1,0.5)*$J9*100)</f>
        <v>1.7500000000000002</v>
      </c>
      <c r="E45" s="55">
        <f t="shared" si="54"/>
        <v>1.7500000000000002</v>
      </c>
      <c r="F45" s="55">
        <f t="shared" si="54"/>
        <v>1.7500000000000002</v>
      </c>
      <c r="G45" s="55">
        <f t="shared" si="54"/>
        <v>1.7500000000000002</v>
      </c>
      <c r="H45" s="55">
        <f t="shared" si="54"/>
        <v>1.7500000000000002</v>
      </c>
      <c r="I45" s="55">
        <f t="shared" si="54"/>
        <v>1.7500000000000002</v>
      </c>
      <c r="J45" s="55">
        <f t="shared" si="54"/>
        <v>1.7500000000000002</v>
      </c>
      <c r="K45" s="55">
        <f t="shared" si="54"/>
        <v>1.7500000000000002</v>
      </c>
      <c r="L45" s="55">
        <f t="shared" si="54"/>
        <v>1.7500000000000002</v>
      </c>
      <c r="M45" s="55">
        <f t="shared" si="54"/>
        <v>1.7500000000000002</v>
      </c>
      <c r="N45" s="55">
        <f t="shared" si="54"/>
        <v>1.7500000000000002</v>
      </c>
      <c r="O45" s="55">
        <f t="shared" si="54"/>
        <v>1.7500000000000002</v>
      </c>
      <c r="P45" s="55">
        <f t="shared" si="54"/>
        <v>1.7500000000000002</v>
      </c>
      <c r="Q45" s="55">
        <f t="shared" si="54"/>
        <v>1.7500000000000002</v>
      </c>
      <c r="R45" s="55">
        <f t="shared" si="54"/>
        <v>1.7500000000000002</v>
      </c>
      <c r="S45" s="55">
        <f t="shared" si="54"/>
        <v>1.7500000000000002</v>
      </c>
      <c r="T45" s="55">
        <f t="shared" si="54"/>
        <v>1.7500000000000002</v>
      </c>
      <c r="U45" s="55">
        <f t="shared" si="54"/>
        <v>1.7500000000000002</v>
      </c>
      <c r="V45" s="55">
        <f t="shared" si="54"/>
        <v>1.7500000000000002</v>
      </c>
      <c r="W45" s="55">
        <f t="shared" si="54"/>
        <v>1.7500000000000002</v>
      </c>
      <c r="X45" s="55">
        <f t="shared" si="54"/>
        <v>1.7500000000000002</v>
      </c>
      <c r="Y45" s="55">
        <f t="shared" si="54"/>
        <v>1.7500000000000002</v>
      </c>
      <c r="Z45" s="55">
        <f t="shared" si="54"/>
        <v>1.7500000000000002</v>
      </c>
      <c r="AA45" s="55">
        <f t="shared" si="54"/>
        <v>1.7500000000000002</v>
      </c>
      <c r="AB45" s="55">
        <f t="shared" si="54"/>
        <v>1.7500000000000002</v>
      </c>
      <c r="AC45" s="55">
        <f t="shared" si="54"/>
        <v>101.75</v>
      </c>
      <c r="AD45" s="55">
        <f t="shared" si="54"/>
        <v>0</v>
      </c>
      <c r="AE45" s="55">
        <f t="shared" si="54"/>
        <v>0</v>
      </c>
      <c r="AF45" s="55">
        <f t="shared" si="54"/>
        <v>0</v>
      </c>
      <c r="AG45" s="55">
        <f t="shared" si="54"/>
        <v>0</v>
      </c>
      <c r="AH45" s="55">
        <f t="shared" si="54"/>
        <v>0</v>
      </c>
      <c r="AI45" s="55">
        <f t="shared" si="54"/>
        <v>0</v>
      </c>
      <c r="AJ45" s="55">
        <f t="shared" si="54"/>
        <v>0</v>
      </c>
      <c r="AK45" s="55">
        <f t="shared" si="54"/>
        <v>0</v>
      </c>
      <c r="AL45" s="55">
        <f t="shared" si="54"/>
        <v>0</v>
      </c>
      <c r="AM45" s="55">
        <f t="shared" si="54"/>
        <v>0</v>
      </c>
      <c r="AN45" s="55">
        <f t="shared" si="54"/>
        <v>0</v>
      </c>
      <c r="AO45" s="55">
        <f t="shared" si="54"/>
        <v>0</v>
      </c>
      <c r="AP45" s="55">
        <f t="shared" si="54"/>
        <v>0</v>
      </c>
      <c r="AQ45" s="55">
        <f t="shared" si="54"/>
        <v>0</v>
      </c>
      <c r="AR45" s="55">
        <f t="shared" si="54"/>
        <v>0</v>
      </c>
      <c r="AS45" s="55">
        <f t="shared" si="54"/>
        <v>0</v>
      </c>
      <c r="AT45" s="55">
        <f t="shared" si="54"/>
        <v>0</v>
      </c>
      <c r="AU45" s="55">
        <f t="shared" si="54"/>
        <v>0</v>
      </c>
      <c r="AV45" s="55">
        <f t="shared" si="54"/>
        <v>0</v>
      </c>
      <c r="AW45" s="55">
        <f t="shared" si="54"/>
        <v>0</v>
      </c>
      <c r="AX45" s="55">
        <f t="shared" si="54"/>
        <v>0</v>
      </c>
      <c r="AY45" s="55">
        <f t="shared" si="54"/>
        <v>0</v>
      </c>
      <c r="AZ45" s="55">
        <f t="shared" si="54"/>
        <v>0</v>
      </c>
      <c r="BA45" s="55">
        <f t="shared" si="54"/>
        <v>0</v>
      </c>
      <c r="BB45" s="55">
        <f t="shared" si="54"/>
        <v>0</v>
      </c>
      <c r="BC45" s="55">
        <f t="shared" si="54"/>
        <v>0</v>
      </c>
      <c r="BD45" s="55">
        <f t="shared" si="54"/>
        <v>0</v>
      </c>
      <c r="BE45" s="55">
        <f t="shared" si="54"/>
        <v>0</v>
      </c>
      <c r="BF45" s="55">
        <f t="shared" si="54"/>
        <v>0</v>
      </c>
      <c r="BG45" s="55">
        <f t="shared" si="54"/>
        <v>0</v>
      </c>
      <c r="BH45" s="55">
        <f t="shared" si="54"/>
        <v>0</v>
      </c>
      <c r="BI45" s="55">
        <f t="shared" si="54"/>
        <v>0</v>
      </c>
      <c r="BJ45" s="55">
        <f t="shared" si="54"/>
        <v>0</v>
      </c>
      <c r="BK45" s="55">
        <f t="shared" si="54"/>
        <v>0</v>
      </c>
      <c r="BL45" s="55">
        <f t="shared" si="54"/>
        <v>0</v>
      </c>
      <c r="BM45" s="55">
        <f t="shared" si="54"/>
        <v>0</v>
      </c>
      <c r="BN45" s="55">
        <f t="shared" si="54"/>
        <v>0</v>
      </c>
      <c r="BO45" s="55">
        <f t="shared" si="54"/>
        <v>0</v>
      </c>
      <c r="BP45" s="55">
        <f t="shared" ref="BP45:CB45" si="55">IF(BP44&gt;$F9+1,0,1)*(IF(BQ45=0,100,0)+IF($G9=1,1,0.5)*$J9*100)</f>
        <v>0</v>
      </c>
      <c r="BQ45" s="55">
        <f t="shared" si="55"/>
        <v>0</v>
      </c>
      <c r="BR45" s="55">
        <f t="shared" si="55"/>
        <v>0</v>
      </c>
      <c r="BS45" s="55">
        <f t="shared" si="55"/>
        <v>0</v>
      </c>
      <c r="BT45" s="55">
        <f t="shared" si="55"/>
        <v>0</v>
      </c>
      <c r="BU45" s="55">
        <f t="shared" si="55"/>
        <v>0</v>
      </c>
      <c r="BV45" s="55">
        <f t="shared" si="55"/>
        <v>0</v>
      </c>
      <c r="BW45" s="55">
        <f t="shared" si="55"/>
        <v>0</v>
      </c>
      <c r="BX45" s="55">
        <f t="shared" si="55"/>
        <v>0</v>
      </c>
      <c r="BY45" s="55">
        <f t="shared" si="55"/>
        <v>0</v>
      </c>
      <c r="BZ45" s="55">
        <f t="shared" si="55"/>
        <v>0</v>
      </c>
      <c r="CA45" s="55">
        <f t="shared" si="55"/>
        <v>0</v>
      </c>
      <c r="CB45" s="56">
        <f t="shared" si="55"/>
        <v>0</v>
      </c>
    </row>
    <row r="46" spans="1:80">
      <c r="A46" s="258" t="s">
        <v>49</v>
      </c>
      <c r="B46" s="149">
        <f>IF(E10=0,F10,E10)</f>
        <v>0</v>
      </c>
      <c r="C46" s="150">
        <f t="shared" ref="C46:BN46" si="56">B46+IF($G10=1,365,182.5)</f>
        <v>182.5</v>
      </c>
      <c r="D46" s="150">
        <f t="shared" si="56"/>
        <v>365</v>
      </c>
      <c r="E46" s="150">
        <f t="shared" si="56"/>
        <v>547.5</v>
      </c>
      <c r="F46" s="150">
        <f t="shared" si="56"/>
        <v>730</v>
      </c>
      <c r="G46" s="150">
        <f t="shared" si="56"/>
        <v>912.5</v>
      </c>
      <c r="H46" s="150">
        <f t="shared" si="56"/>
        <v>1095</v>
      </c>
      <c r="I46" s="150">
        <f t="shared" si="56"/>
        <v>1277.5</v>
      </c>
      <c r="J46" s="150">
        <f t="shared" si="56"/>
        <v>1460</v>
      </c>
      <c r="K46" s="150">
        <f t="shared" si="56"/>
        <v>1642.5</v>
      </c>
      <c r="L46" s="150">
        <f t="shared" si="56"/>
        <v>1825</v>
      </c>
      <c r="M46" s="150">
        <f t="shared" si="56"/>
        <v>2007.5</v>
      </c>
      <c r="N46" s="150">
        <f t="shared" si="56"/>
        <v>2190</v>
      </c>
      <c r="O46" s="150">
        <f t="shared" si="56"/>
        <v>2372.5</v>
      </c>
      <c r="P46" s="150">
        <f t="shared" si="56"/>
        <v>2555</v>
      </c>
      <c r="Q46" s="150">
        <f t="shared" si="56"/>
        <v>2737.5</v>
      </c>
      <c r="R46" s="150">
        <f t="shared" si="56"/>
        <v>2920</v>
      </c>
      <c r="S46" s="150">
        <f t="shared" si="56"/>
        <v>3102.5</v>
      </c>
      <c r="T46" s="150">
        <f t="shared" si="56"/>
        <v>3285</v>
      </c>
      <c r="U46" s="150">
        <f t="shared" si="56"/>
        <v>3467.5</v>
      </c>
      <c r="V46" s="150">
        <f t="shared" si="56"/>
        <v>3650</v>
      </c>
      <c r="W46" s="150">
        <f t="shared" si="56"/>
        <v>3832.5</v>
      </c>
      <c r="X46" s="150">
        <f t="shared" si="56"/>
        <v>4015</v>
      </c>
      <c r="Y46" s="150">
        <f t="shared" si="56"/>
        <v>4197.5</v>
      </c>
      <c r="Z46" s="150">
        <f t="shared" si="56"/>
        <v>4380</v>
      </c>
      <c r="AA46" s="150">
        <f t="shared" si="56"/>
        <v>4562.5</v>
      </c>
      <c r="AB46" s="150">
        <f t="shared" si="56"/>
        <v>4745</v>
      </c>
      <c r="AC46" s="150">
        <f t="shared" si="56"/>
        <v>4927.5</v>
      </c>
      <c r="AD46" s="150">
        <f t="shared" si="56"/>
        <v>5110</v>
      </c>
      <c r="AE46" s="150">
        <f t="shared" si="56"/>
        <v>5292.5</v>
      </c>
      <c r="AF46" s="150">
        <f t="shared" si="56"/>
        <v>5475</v>
      </c>
      <c r="AG46" s="150">
        <f t="shared" si="56"/>
        <v>5657.5</v>
      </c>
      <c r="AH46" s="150">
        <f t="shared" si="56"/>
        <v>5840</v>
      </c>
      <c r="AI46" s="150">
        <f t="shared" si="56"/>
        <v>6022.5</v>
      </c>
      <c r="AJ46" s="150">
        <f t="shared" si="56"/>
        <v>6205</v>
      </c>
      <c r="AK46" s="150">
        <f t="shared" si="56"/>
        <v>6387.5</v>
      </c>
      <c r="AL46" s="150">
        <f t="shared" si="56"/>
        <v>6570</v>
      </c>
      <c r="AM46" s="150">
        <f t="shared" si="56"/>
        <v>6752.5</v>
      </c>
      <c r="AN46" s="150">
        <f t="shared" si="56"/>
        <v>6935</v>
      </c>
      <c r="AO46" s="150">
        <f t="shared" si="56"/>
        <v>7117.5</v>
      </c>
      <c r="AP46" s="150">
        <f t="shared" si="56"/>
        <v>7300</v>
      </c>
      <c r="AQ46" s="150">
        <f t="shared" si="56"/>
        <v>7482.5</v>
      </c>
      <c r="AR46" s="150">
        <f t="shared" si="56"/>
        <v>7665</v>
      </c>
      <c r="AS46" s="150">
        <f t="shared" si="56"/>
        <v>7847.5</v>
      </c>
      <c r="AT46" s="150">
        <f t="shared" si="56"/>
        <v>8030</v>
      </c>
      <c r="AU46" s="150">
        <f t="shared" si="56"/>
        <v>8212.5</v>
      </c>
      <c r="AV46" s="150">
        <f t="shared" si="56"/>
        <v>8395</v>
      </c>
      <c r="AW46" s="150">
        <f t="shared" si="56"/>
        <v>8577.5</v>
      </c>
      <c r="AX46" s="150">
        <f t="shared" si="56"/>
        <v>8760</v>
      </c>
      <c r="AY46" s="150">
        <f t="shared" si="56"/>
        <v>8942.5</v>
      </c>
      <c r="AZ46" s="150">
        <f t="shared" si="56"/>
        <v>9125</v>
      </c>
      <c r="BA46" s="150">
        <f t="shared" si="56"/>
        <v>9307.5</v>
      </c>
      <c r="BB46" s="150">
        <f t="shared" si="56"/>
        <v>9490</v>
      </c>
      <c r="BC46" s="150">
        <f t="shared" si="56"/>
        <v>9672.5</v>
      </c>
      <c r="BD46" s="150">
        <f t="shared" si="56"/>
        <v>9855</v>
      </c>
      <c r="BE46" s="150">
        <f t="shared" si="56"/>
        <v>10037.5</v>
      </c>
      <c r="BF46" s="150">
        <f t="shared" si="56"/>
        <v>10220</v>
      </c>
      <c r="BG46" s="150">
        <f t="shared" si="56"/>
        <v>10402.5</v>
      </c>
      <c r="BH46" s="150">
        <f t="shared" si="56"/>
        <v>10585</v>
      </c>
      <c r="BI46" s="150">
        <f t="shared" si="56"/>
        <v>10767.5</v>
      </c>
      <c r="BJ46" s="150">
        <f t="shared" si="56"/>
        <v>10950</v>
      </c>
      <c r="BK46" s="150">
        <f t="shared" si="56"/>
        <v>11132.5</v>
      </c>
      <c r="BL46" s="150">
        <f t="shared" si="56"/>
        <v>11315</v>
      </c>
      <c r="BM46" s="150">
        <f t="shared" si="56"/>
        <v>11497.5</v>
      </c>
      <c r="BN46" s="150">
        <f t="shared" si="56"/>
        <v>11680</v>
      </c>
      <c r="BO46" s="150">
        <f t="shared" ref="BO46:CB46" si="57">BN46+IF($G10=1,365,182.5)</f>
        <v>11862.5</v>
      </c>
      <c r="BP46" s="150">
        <f t="shared" si="57"/>
        <v>12045</v>
      </c>
      <c r="BQ46" s="150">
        <f t="shared" si="57"/>
        <v>12227.5</v>
      </c>
      <c r="BR46" s="150">
        <f t="shared" si="57"/>
        <v>12410</v>
      </c>
      <c r="BS46" s="150">
        <f t="shared" si="57"/>
        <v>12592.5</v>
      </c>
      <c r="BT46" s="150">
        <f t="shared" si="57"/>
        <v>12775</v>
      </c>
      <c r="BU46" s="150">
        <f t="shared" si="57"/>
        <v>12957.5</v>
      </c>
      <c r="BV46" s="150">
        <f t="shared" si="57"/>
        <v>13140</v>
      </c>
      <c r="BW46" s="150">
        <f t="shared" si="57"/>
        <v>13322.5</v>
      </c>
      <c r="BX46" s="150">
        <f t="shared" si="57"/>
        <v>13505</v>
      </c>
      <c r="BY46" s="150">
        <f t="shared" si="57"/>
        <v>13687.5</v>
      </c>
      <c r="BZ46" s="150">
        <f t="shared" si="57"/>
        <v>13870</v>
      </c>
      <c r="CA46" s="150">
        <f t="shared" si="57"/>
        <v>14052.5</v>
      </c>
      <c r="CB46" s="151">
        <f t="shared" si="57"/>
        <v>14235</v>
      </c>
    </row>
    <row r="47" spans="1:80">
      <c r="A47" s="170" t="s">
        <v>17</v>
      </c>
      <c r="B47" s="152">
        <f>(IF(B46=F10,100,0)+IF(G10=1,1,0.5)*J10*100)*IF(ISBLANK(F10)=TRUE,0,1)</f>
        <v>0</v>
      </c>
      <c r="C47" s="153">
        <f>IF(C46&gt;$F10+1,0,1)*(IF(D47=0,100,0)+IF($G10=1,1,0.5)*$J10*100)</f>
        <v>0</v>
      </c>
      <c r="D47" s="153">
        <f t="shared" ref="D47:BO47" si="58">IF(D46&gt;$F10+1,0,1)*(IF(E47=0,100,0)+IF($G10=1,1,0.5)*$J10*100)</f>
        <v>0</v>
      </c>
      <c r="E47" s="153">
        <f t="shared" si="58"/>
        <v>0</v>
      </c>
      <c r="F47" s="153">
        <f t="shared" si="58"/>
        <v>0</v>
      </c>
      <c r="G47" s="153">
        <f t="shared" si="58"/>
        <v>0</v>
      </c>
      <c r="H47" s="153">
        <f t="shared" si="58"/>
        <v>0</v>
      </c>
      <c r="I47" s="153">
        <f t="shared" si="58"/>
        <v>0</v>
      </c>
      <c r="J47" s="153">
        <f t="shared" si="58"/>
        <v>0</v>
      </c>
      <c r="K47" s="153">
        <f t="shared" si="58"/>
        <v>0</v>
      </c>
      <c r="L47" s="153">
        <f t="shared" si="58"/>
        <v>0</v>
      </c>
      <c r="M47" s="153">
        <f t="shared" si="58"/>
        <v>0</v>
      </c>
      <c r="N47" s="153">
        <f t="shared" si="58"/>
        <v>0</v>
      </c>
      <c r="O47" s="153">
        <f t="shared" si="58"/>
        <v>0</v>
      </c>
      <c r="P47" s="153">
        <f t="shared" si="58"/>
        <v>0</v>
      </c>
      <c r="Q47" s="153">
        <f t="shared" si="58"/>
        <v>0</v>
      </c>
      <c r="R47" s="153">
        <f t="shared" si="58"/>
        <v>0</v>
      </c>
      <c r="S47" s="153">
        <f t="shared" si="58"/>
        <v>0</v>
      </c>
      <c r="T47" s="153">
        <f t="shared" si="58"/>
        <v>0</v>
      </c>
      <c r="U47" s="153">
        <f t="shared" si="58"/>
        <v>0</v>
      </c>
      <c r="V47" s="153">
        <f t="shared" si="58"/>
        <v>0</v>
      </c>
      <c r="W47" s="153">
        <f t="shared" si="58"/>
        <v>0</v>
      </c>
      <c r="X47" s="153">
        <f t="shared" si="58"/>
        <v>0</v>
      </c>
      <c r="Y47" s="153">
        <f t="shared" si="58"/>
        <v>0</v>
      </c>
      <c r="Z47" s="153">
        <f t="shared" si="58"/>
        <v>0</v>
      </c>
      <c r="AA47" s="153">
        <f t="shared" si="58"/>
        <v>0</v>
      </c>
      <c r="AB47" s="153">
        <f t="shared" si="58"/>
        <v>0</v>
      </c>
      <c r="AC47" s="153">
        <f t="shared" si="58"/>
        <v>0</v>
      </c>
      <c r="AD47" s="153">
        <f t="shared" si="58"/>
        <v>0</v>
      </c>
      <c r="AE47" s="153">
        <f t="shared" si="58"/>
        <v>0</v>
      </c>
      <c r="AF47" s="153">
        <f t="shared" si="58"/>
        <v>0</v>
      </c>
      <c r="AG47" s="153">
        <f t="shared" si="58"/>
        <v>0</v>
      </c>
      <c r="AH47" s="153">
        <f t="shared" si="58"/>
        <v>0</v>
      </c>
      <c r="AI47" s="153">
        <f t="shared" si="58"/>
        <v>0</v>
      </c>
      <c r="AJ47" s="153">
        <f t="shared" si="58"/>
        <v>0</v>
      </c>
      <c r="AK47" s="153">
        <f t="shared" si="58"/>
        <v>0</v>
      </c>
      <c r="AL47" s="153">
        <f t="shared" si="58"/>
        <v>0</v>
      </c>
      <c r="AM47" s="153">
        <f t="shared" si="58"/>
        <v>0</v>
      </c>
      <c r="AN47" s="153">
        <f t="shared" si="58"/>
        <v>0</v>
      </c>
      <c r="AO47" s="153">
        <f t="shared" si="58"/>
        <v>0</v>
      </c>
      <c r="AP47" s="153">
        <f t="shared" si="58"/>
        <v>0</v>
      </c>
      <c r="AQ47" s="153">
        <f t="shared" si="58"/>
        <v>0</v>
      </c>
      <c r="AR47" s="153">
        <f t="shared" si="58"/>
        <v>0</v>
      </c>
      <c r="AS47" s="153">
        <f t="shared" si="58"/>
        <v>0</v>
      </c>
      <c r="AT47" s="153">
        <f t="shared" si="58"/>
        <v>0</v>
      </c>
      <c r="AU47" s="153">
        <f t="shared" si="58"/>
        <v>0</v>
      </c>
      <c r="AV47" s="153">
        <f t="shared" si="58"/>
        <v>0</v>
      </c>
      <c r="AW47" s="153">
        <f t="shared" si="58"/>
        <v>0</v>
      </c>
      <c r="AX47" s="153">
        <f t="shared" si="58"/>
        <v>0</v>
      </c>
      <c r="AY47" s="153">
        <f t="shared" si="58"/>
        <v>0</v>
      </c>
      <c r="AZ47" s="153">
        <f t="shared" si="58"/>
        <v>0</v>
      </c>
      <c r="BA47" s="153">
        <f t="shared" si="58"/>
        <v>0</v>
      </c>
      <c r="BB47" s="153">
        <f t="shared" si="58"/>
        <v>0</v>
      </c>
      <c r="BC47" s="153">
        <f t="shared" si="58"/>
        <v>0</v>
      </c>
      <c r="BD47" s="153">
        <f t="shared" si="58"/>
        <v>0</v>
      </c>
      <c r="BE47" s="153">
        <f t="shared" si="58"/>
        <v>0</v>
      </c>
      <c r="BF47" s="153">
        <f t="shared" si="58"/>
        <v>0</v>
      </c>
      <c r="BG47" s="153">
        <f t="shared" si="58"/>
        <v>0</v>
      </c>
      <c r="BH47" s="153">
        <f t="shared" si="58"/>
        <v>0</v>
      </c>
      <c r="BI47" s="153">
        <f t="shared" si="58"/>
        <v>0</v>
      </c>
      <c r="BJ47" s="153">
        <f t="shared" si="58"/>
        <v>0</v>
      </c>
      <c r="BK47" s="153">
        <f t="shared" si="58"/>
        <v>0</v>
      </c>
      <c r="BL47" s="153">
        <f t="shared" si="58"/>
        <v>0</v>
      </c>
      <c r="BM47" s="153">
        <f t="shared" si="58"/>
        <v>0</v>
      </c>
      <c r="BN47" s="153">
        <f t="shared" si="58"/>
        <v>0</v>
      </c>
      <c r="BO47" s="153">
        <f t="shared" si="58"/>
        <v>0</v>
      </c>
      <c r="BP47" s="153">
        <f t="shared" ref="BP47:CB47" si="59">IF(BP46&gt;$F10+1,0,1)*(IF(BQ47=0,100,0)+IF($G10=1,1,0.5)*$J10*100)</f>
        <v>0</v>
      </c>
      <c r="BQ47" s="153">
        <f t="shared" si="59"/>
        <v>0</v>
      </c>
      <c r="BR47" s="153">
        <f t="shared" si="59"/>
        <v>0</v>
      </c>
      <c r="BS47" s="153">
        <f t="shared" si="59"/>
        <v>0</v>
      </c>
      <c r="BT47" s="153">
        <f t="shared" si="59"/>
        <v>0</v>
      </c>
      <c r="BU47" s="153">
        <f t="shared" si="59"/>
        <v>0</v>
      </c>
      <c r="BV47" s="153">
        <f t="shared" si="59"/>
        <v>0</v>
      </c>
      <c r="BW47" s="153">
        <f t="shared" si="59"/>
        <v>0</v>
      </c>
      <c r="BX47" s="153">
        <f t="shared" si="59"/>
        <v>0</v>
      </c>
      <c r="BY47" s="153">
        <f t="shared" si="59"/>
        <v>0</v>
      </c>
      <c r="BZ47" s="153">
        <f t="shared" si="59"/>
        <v>0</v>
      </c>
      <c r="CA47" s="153">
        <f t="shared" si="59"/>
        <v>0</v>
      </c>
      <c r="CB47" s="155">
        <f t="shared" si="59"/>
        <v>0</v>
      </c>
    </row>
    <row r="48" spans="1:80">
      <c r="A48" s="257" t="s">
        <v>49</v>
      </c>
      <c r="B48" s="57">
        <f>IF(E11=0,F11,E11)</f>
        <v>0</v>
      </c>
      <c r="C48" s="58">
        <f t="shared" ref="C48:BN48" si="60">B48+IF($G11=1,365,182.5)</f>
        <v>182.5</v>
      </c>
      <c r="D48" s="58">
        <f t="shared" si="60"/>
        <v>365</v>
      </c>
      <c r="E48" s="58">
        <f t="shared" si="60"/>
        <v>547.5</v>
      </c>
      <c r="F48" s="58">
        <f t="shared" si="60"/>
        <v>730</v>
      </c>
      <c r="G48" s="58">
        <f t="shared" si="60"/>
        <v>912.5</v>
      </c>
      <c r="H48" s="58">
        <f t="shared" si="60"/>
        <v>1095</v>
      </c>
      <c r="I48" s="58">
        <f t="shared" si="60"/>
        <v>1277.5</v>
      </c>
      <c r="J48" s="58">
        <f t="shared" si="60"/>
        <v>1460</v>
      </c>
      <c r="K48" s="58">
        <f t="shared" si="60"/>
        <v>1642.5</v>
      </c>
      <c r="L48" s="58">
        <f t="shared" si="60"/>
        <v>1825</v>
      </c>
      <c r="M48" s="58">
        <f t="shared" si="60"/>
        <v>2007.5</v>
      </c>
      <c r="N48" s="58">
        <f t="shared" si="60"/>
        <v>2190</v>
      </c>
      <c r="O48" s="58">
        <f t="shared" si="60"/>
        <v>2372.5</v>
      </c>
      <c r="P48" s="58">
        <f t="shared" si="60"/>
        <v>2555</v>
      </c>
      <c r="Q48" s="58">
        <f t="shared" si="60"/>
        <v>2737.5</v>
      </c>
      <c r="R48" s="58">
        <f t="shared" si="60"/>
        <v>2920</v>
      </c>
      <c r="S48" s="58">
        <f t="shared" si="60"/>
        <v>3102.5</v>
      </c>
      <c r="T48" s="58">
        <f t="shared" si="60"/>
        <v>3285</v>
      </c>
      <c r="U48" s="58">
        <f t="shared" si="60"/>
        <v>3467.5</v>
      </c>
      <c r="V48" s="58">
        <f t="shared" si="60"/>
        <v>3650</v>
      </c>
      <c r="W48" s="58">
        <f t="shared" si="60"/>
        <v>3832.5</v>
      </c>
      <c r="X48" s="58">
        <f t="shared" si="60"/>
        <v>4015</v>
      </c>
      <c r="Y48" s="58">
        <f t="shared" si="60"/>
        <v>4197.5</v>
      </c>
      <c r="Z48" s="58">
        <f t="shared" si="60"/>
        <v>4380</v>
      </c>
      <c r="AA48" s="58">
        <f t="shared" si="60"/>
        <v>4562.5</v>
      </c>
      <c r="AB48" s="58">
        <f t="shared" si="60"/>
        <v>4745</v>
      </c>
      <c r="AC48" s="58">
        <f t="shared" si="60"/>
        <v>4927.5</v>
      </c>
      <c r="AD48" s="58">
        <f t="shared" si="60"/>
        <v>5110</v>
      </c>
      <c r="AE48" s="58">
        <f t="shared" si="60"/>
        <v>5292.5</v>
      </c>
      <c r="AF48" s="58">
        <f t="shared" si="60"/>
        <v>5475</v>
      </c>
      <c r="AG48" s="58">
        <f t="shared" si="60"/>
        <v>5657.5</v>
      </c>
      <c r="AH48" s="58">
        <f t="shared" si="60"/>
        <v>5840</v>
      </c>
      <c r="AI48" s="58">
        <f t="shared" si="60"/>
        <v>6022.5</v>
      </c>
      <c r="AJ48" s="58">
        <f t="shared" si="60"/>
        <v>6205</v>
      </c>
      <c r="AK48" s="58">
        <f t="shared" si="60"/>
        <v>6387.5</v>
      </c>
      <c r="AL48" s="58">
        <f t="shared" si="60"/>
        <v>6570</v>
      </c>
      <c r="AM48" s="58">
        <f t="shared" si="60"/>
        <v>6752.5</v>
      </c>
      <c r="AN48" s="58">
        <f t="shared" si="60"/>
        <v>6935</v>
      </c>
      <c r="AO48" s="58">
        <f t="shared" si="60"/>
        <v>7117.5</v>
      </c>
      <c r="AP48" s="58">
        <f t="shared" si="60"/>
        <v>7300</v>
      </c>
      <c r="AQ48" s="58">
        <f t="shared" si="60"/>
        <v>7482.5</v>
      </c>
      <c r="AR48" s="58">
        <f t="shared" si="60"/>
        <v>7665</v>
      </c>
      <c r="AS48" s="58">
        <f t="shared" si="60"/>
        <v>7847.5</v>
      </c>
      <c r="AT48" s="58">
        <f t="shared" si="60"/>
        <v>8030</v>
      </c>
      <c r="AU48" s="58">
        <f t="shared" si="60"/>
        <v>8212.5</v>
      </c>
      <c r="AV48" s="58">
        <f t="shared" si="60"/>
        <v>8395</v>
      </c>
      <c r="AW48" s="58">
        <f t="shared" si="60"/>
        <v>8577.5</v>
      </c>
      <c r="AX48" s="58">
        <f t="shared" si="60"/>
        <v>8760</v>
      </c>
      <c r="AY48" s="58">
        <f t="shared" si="60"/>
        <v>8942.5</v>
      </c>
      <c r="AZ48" s="58">
        <f t="shared" si="60"/>
        <v>9125</v>
      </c>
      <c r="BA48" s="58">
        <f t="shared" si="60"/>
        <v>9307.5</v>
      </c>
      <c r="BB48" s="58">
        <f t="shared" si="60"/>
        <v>9490</v>
      </c>
      <c r="BC48" s="58">
        <f t="shared" si="60"/>
        <v>9672.5</v>
      </c>
      <c r="BD48" s="58">
        <f t="shared" si="60"/>
        <v>9855</v>
      </c>
      <c r="BE48" s="58">
        <f t="shared" si="60"/>
        <v>10037.5</v>
      </c>
      <c r="BF48" s="58">
        <f t="shared" si="60"/>
        <v>10220</v>
      </c>
      <c r="BG48" s="58">
        <f t="shared" si="60"/>
        <v>10402.5</v>
      </c>
      <c r="BH48" s="58">
        <f t="shared" si="60"/>
        <v>10585</v>
      </c>
      <c r="BI48" s="58">
        <f t="shared" si="60"/>
        <v>10767.5</v>
      </c>
      <c r="BJ48" s="58">
        <f t="shared" si="60"/>
        <v>10950</v>
      </c>
      <c r="BK48" s="58">
        <f t="shared" si="60"/>
        <v>11132.5</v>
      </c>
      <c r="BL48" s="58">
        <f t="shared" si="60"/>
        <v>11315</v>
      </c>
      <c r="BM48" s="58">
        <f t="shared" si="60"/>
        <v>11497.5</v>
      </c>
      <c r="BN48" s="58">
        <f t="shared" si="60"/>
        <v>11680</v>
      </c>
      <c r="BO48" s="58">
        <f t="shared" ref="BO48:CB48" si="61">BN48+IF($G11=1,365,182.5)</f>
        <v>11862.5</v>
      </c>
      <c r="BP48" s="58">
        <f t="shared" si="61"/>
        <v>12045</v>
      </c>
      <c r="BQ48" s="58">
        <f t="shared" si="61"/>
        <v>12227.5</v>
      </c>
      <c r="BR48" s="58">
        <f t="shared" si="61"/>
        <v>12410</v>
      </c>
      <c r="BS48" s="58">
        <f t="shared" si="61"/>
        <v>12592.5</v>
      </c>
      <c r="BT48" s="58">
        <f t="shared" si="61"/>
        <v>12775</v>
      </c>
      <c r="BU48" s="58">
        <f t="shared" si="61"/>
        <v>12957.5</v>
      </c>
      <c r="BV48" s="58">
        <f t="shared" si="61"/>
        <v>13140</v>
      </c>
      <c r="BW48" s="58">
        <f t="shared" si="61"/>
        <v>13322.5</v>
      </c>
      <c r="BX48" s="58">
        <f t="shared" si="61"/>
        <v>13505</v>
      </c>
      <c r="BY48" s="58">
        <f t="shared" si="61"/>
        <v>13687.5</v>
      </c>
      <c r="BZ48" s="58">
        <f t="shared" si="61"/>
        <v>13870</v>
      </c>
      <c r="CA48" s="58">
        <f t="shared" si="61"/>
        <v>14052.5</v>
      </c>
      <c r="CB48" s="59">
        <f t="shared" si="61"/>
        <v>14235</v>
      </c>
    </row>
    <row r="49" spans="1:80">
      <c r="A49" s="171" t="s">
        <v>28</v>
      </c>
      <c r="B49" s="112">
        <f>(IF(B48=F11,100,0)+IF(G11=1,1,0.5)*J11*100)*IF(ISBLANK(F11)=TRUE,0,1)</f>
        <v>0</v>
      </c>
      <c r="C49" s="60">
        <f>IF(C48&gt;$F11+1,0,1)*(IF(D49=0,100,0)+IF($G11=1,1,0.5)*$J11*100)</f>
        <v>0</v>
      </c>
      <c r="D49" s="60">
        <f t="shared" ref="D49:BO49" si="62">IF(D48&gt;$F11+1,0,1)*(IF(E49=0,100,0)+IF($G11=1,1,0.5)*$J11*100)</f>
        <v>0</v>
      </c>
      <c r="E49" s="60">
        <f t="shared" si="62"/>
        <v>0</v>
      </c>
      <c r="F49" s="60">
        <f t="shared" si="62"/>
        <v>0</v>
      </c>
      <c r="G49" s="60">
        <f t="shared" si="62"/>
        <v>0</v>
      </c>
      <c r="H49" s="60">
        <f t="shared" si="62"/>
        <v>0</v>
      </c>
      <c r="I49" s="60">
        <f t="shared" si="62"/>
        <v>0</v>
      </c>
      <c r="J49" s="60">
        <f t="shared" si="62"/>
        <v>0</v>
      </c>
      <c r="K49" s="60">
        <f t="shared" si="62"/>
        <v>0</v>
      </c>
      <c r="L49" s="60">
        <f t="shared" si="62"/>
        <v>0</v>
      </c>
      <c r="M49" s="60">
        <f t="shared" si="62"/>
        <v>0</v>
      </c>
      <c r="N49" s="60">
        <f t="shared" si="62"/>
        <v>0</v>
      </c>
      <c r="O49" s="60">
        <f t="shared" si="62"/>
        <v>0</v>
      </c>
      <c r="P49" s="60">
        <f t="shared" si="62"/>
        <v>0</v>
      </c>
      <c r="Q49" s="60">
        <f t="shared" si="62"/>
        <v>0</v>
      </c>
      <c r="R49" s="60">
        <f t="shared" si="62"/>
        <v>0</v>
      </c>
      <c r="S49" s="60">
        <f t="shared" si="62"/>
        <v>0</v>
      </c>
      <c r="T49" s="60">
        <f t="shared" si="62"/>
        <v>0</v>
      </c>
      <c r="U49" s="60">
        <f t="shared" si="62"/>
        <v>0</v>
      </c>
      <c r="V49" s="60">
        <f t="shared" si="62"/>
        <v>0</v>
      </c>
      <c r="W49" s="60">
        <f t="shared" si="62"/>
        <v>0</v>
      </c>
      <c r="X49" s="60">
        <f t="shared" si="62"/>
        <v>0</v>
      </c>
      <c r="Y49" s="60">
        <f t="shared" si="62"/>
        <v>0</v>
      </c>
      <c r="Z49" s="60">
        <f t="shared" si="62"/>
        <v>0</v>
      </c>
      <c r="AA49" s="60">
        <f t="shared" si="62"/>
        <v>0</v>
      </c>
      <c r="AB49" s="60">
        <f t="shared" si="62"/>
        <v>0</v>
      </c>
      <c r="AC49" s="60">
        <f t="shared" si="62"/>
        <v>0</v>
      </c>
      <c r="AD49" s="60">
        <f t="shared" si="62"/>
        <v>0</v>
      </c>
      <c r="AE49" s="60">
        <f t="shared" si="62"/>
        <v>0</v>
      </c>
      <c r="AF49" s="60">
        <f t="shared" si="62"/>
        <v>0</v>
      </c>
      <c r="AG49" s="60">
        <f t="shared" si="62"/>
        <v>0</v>
      </c>
      <c r="AH49" s="60">
        <f t="shared" si="62"/>
        <v>0</v>
      </c>
      <c r="AI49" s="60">
        <f t="shared" si="62"/>
        <v>0</v>
      </c>
      <c r="AJ49" s="60">
        <f t="shared" si="62"/>
        <v>0</v>
      </c>
      <c r="AK49" s="60">
        <f t="shared" si="62"/>
        <v>0</v>
      </c>
      <c r="AL49" s="60">
        <f t="shared" si="62"/>
        <v>0</v>
      </c>
      <c r="AM49" s="60">
        <f t="shared" si="62"/>
        <v>0</v>
      </c>
      <c r="AN49" s="60">
        <f t="shared" si="62"/>
        <v>0</v>
      </c>
      <c r="AO49" s="60">
        <f t="shared" si="62"/>
        <v>0</v>
      </c>
      <c r="AP49" s="60">
        <f t="shared" si="62"/>
        <v>0</v>
      </c>
      <c r="AQ49" s="60">
        <f t="shared" si="62"/>
        <v>0</v>
      </c>
      <c r="AR49" s="60">
        <f t="shared" si="62"/>
        <v>0</v>
      </c>
      <c r="AS49" s="60">
        <f t="shared" si="62"/>
        <v>0</v>
      </c>
      <c r="AT49" s="60">
        <f t="shared" si="62"/>
        <v>0</v>
      </c>
      <c r="AU49" s="60">
        <f t="shared" si="62"/>
        <v>0</v>
      </c>
      <c r="AV49" s="60">
        <f t="shared" si="62"/>
        <v>0</v>
      </c>
      <c r="AW49" s="60">
        <f t="shared" si="62"/>
        <v>0</v>
      </c>
      <c r="AX49" s="60">
        <f t="shared" si="62"/>
        <v>0</v>
      </c>
      <c r="AY49" s="60">
        <f t="shared" si="62"/>
        <v>0</v>
      </c>
      <c r="AZ49" s="60">
        <f t="shared" si="62"/>
        <v>0</v>
      </c>
      <c r="BA49" s="60">
        <f t="shared" si="62"/>
        <v>0</v>
      </c>
      <c r="BB49" s="60">
        <f t="shared" si="62"/>
        <v>0</v>
      </c>
      <c r="BC49" s="60">
        <f t="shared" si="62"/>
        <v>0</v>
      </c>
      <c r="BD49" s="60">
        <f t="shared" si="62"/>
        <v>0</v>
      </c>
      <c r="BE49" s="60">
        <f t="shared" si="62"/>
        <v>0</v>
      </c>
      <c r="BF49" s="60">
        <f t="shared" si="62"/>
        <v>0</v>
      </c>
      <c r="BG49" s="60">
        <f t="shared" si="62"/>
        <v>0</v>
      </c>
      <c r="BH49" s="60">
        <f t="shared" si="62"/>
        <v>0</v>
      </c>
      <c r="BI49" s="60">
        <f t="shared" si="62"/>
        <v>0</v>
      </c>
      <c r="BJ49" s="60">
        <f t="shared" si="62"/>
        <v>0</v>
      </c>
      <c r="BK49" s="60">
        <f t="shared" si="62"/>
        <v>0</v>
      </c>
      <c r="BL49" s="60">
        <f t="shared" si="62"/>
        <v>0</v>
      </c>
      <c r="BM49" s="60">
        <f t="shared" si="62"/>
        <v>0</v>
      </c>
      <c r="BN49" s="60">
        <f t="shared" si="62"/>
        <v>0</v>
      </c>
      <c r="BO49" s="60">
        <f t="shared" si="62"/>
        <v>0</v>
      </c>
      <c r="BP49" s="60">
        <f t="shared" ref="BP49:CB49" si="63">IF(BP48&gt;$F11+1,0,1)*(IF(BQ49=0,100,0)+IF($G11=1,1,0.5)*$J11*100)</f>
        <v>0</v>
      </c>
      <c r="BQ49" s="60">
        <f t="shared" si="63"/>
        <v>0</v>
      </c>
      <c r="BR49" s="60">
        <f t="shared" si="63"/>
        <v>0</v>
      </c>
      <c r="BS49" s="60">
        <f t="shared" si="63"/>
        <v>0</v>
      </c>
      <c r="BT49" s="60">
        <f t="shared" si="63"/>
        <v>0</v>
      </c>
      <c r="BU49" s="60">
        <f t="shared" si="63"/>
        <v>0</v>
      </c>
      <c r="BV49" s="60">
        <f t="shared" si="63"/>
        <v>0</v>
      </c>
      <c r="BW49" s="60">
        <f t="shared" si="63"/>
        <v>0</v>
      </c>
      <c r="BX49" s="60">
        <f t="shared" si="63"/>
        <v>0</v>
      </c>
      <c r="BY49" s="60">
        <f t="shared" si="63"/>
        <v>0</v>
      </c>
      <c r="BZ49" s="60">
        <f t="shared" si="63"/>
        <v>0</v>
      </c>
      <c r="CA49" s="60">
        <f t="shared" si="63"/>
        <v>0</v>
      </c>
      <c r="CB49" s="61">
        <f t="shared" si="63"/>
        <v>0</v>
      </c>
    </row>
    <row r="50" spans="1:80">
      <c r="A50" s="256" t="s">
        <v>49</v>
      </c>
      <c r="B50" s="62">
        <f>IF(E12=0,F12,E12)</f>
        <v>0</v>
      </c>
      <c r="C50" s="63">
        <f t="shared" ref="C50:BN50" si="64">B50+IF($G12=1,365,182.5)</f>
        <v>182.5</v>
      </c>
      <c r="D50" s="63">
        <f t="shared" si="64"/>
        <v>365</v>
      </c>
      <c r="E50" s="63">
        <f t="shared" si="64"/>
        <v>547.5</v>
      </c>
      <c r="F50" s="63">
        <f t="shared" si="64"/>
        <v>730</v>
      </c>
      <c r="G50" s="63">
        <f t="shared" si="64"/>
        <v>912.5</v>
      </c>
      <c r="H50" s="63">
        <f t="shared" si="64"/>
        <v>1095</v>
      </c>
      <c r="I50" s="63">
        <f t="shared" si="64"/>
        <v>1277.5</v>
      </c>
      <c r="J50" s="63">
        <f t="shared" si="64"/>
        <v>1460</v>
      </c>
      <c r="K50" s="63">
        <f t="shared" si="64"/>
        <v>1642.5</v>
      </c>
      <c r="L50" s="63">
        <f t="shared" si="64"/>
        <v>1825</v>
      </c>
      <c r="M50" s="63">
        <f t="shared" si="64"/>
        <v>2007.5</v>
      </c>
      <c r="N50" s="63">
        <f t="shared" si="64"/>
        <v>2190</v>
      </c>
      <c r="O50" s="63">
        <f t="shared" si="64"/>
        <v>2372.5</v>
      </c>
      <c r="P50" s="63">
        <f t="shared" si="64"/>
        <v>2555</v>
      </c>
      <c r="Q50" s="63">
        <f t="shared" si="64"/>
        <v>2737.5</v>
      </c>
      <c r="R50" s="63">
        <f t="shared" si="64"/>
        <v>2920</v>
      </c>
      <c r="S50" s="63">
        <f t="shared" si="64"/>
        <v>3102.5</v>
      </c>
      <c r="T50" s="63">
        <f t="shared" si="64"/>
        <v>3285</v>
      </c>
      <c r="U50" s="63">
        <f t="shared" si="64"/>
        <v>3467.5</v>
      </c>
      <c r="V50" s="63">
        <f t="shared" si="64"/>
        <v>3650</v>
      </c>
      <c r="W50" s="63">
        <f t="shared" si="64"/>
        <v>3832.5</v>
      </c>
      <c r="X50" s="63">
        <f t="shared" si="64"/>
        <v>4015</v>
      </c>
      <c r="Y50" s="63">
        <f t="shared" si="64"/>
        <v>4197.5</v>
      </c>
      <c r="Z50" s="63">
        <f t="shared" si="64"/>
        <v>4380</v>
      </c>
      <c r="AA50" s="63">
        <f t="shared" si="64"/>
        <v>4562.5</v>
      </c>
      <c r="AB50" s="63">
        <f t="shared" si="64"/>
        <v>4745</v>
      </c>
      <c r="AC50" s="63">
        <f t="shared" si="64"/>
        <v>4927.5</v>
      </c>
      <c r="AD50" s="63">
        <f t="shared" si="64"/>
        <v>5110</v>
      </c>
      <c r="AE50" s="63">
        <f t="shared" si="64"/>
        <v>5292.5</v>
      </c>
      <c r="AF50" s="63">
        <f t="shared" si="64"/>
        <v>5475</v>
      </c>
      <c r="AG50" s="63">
        <f t="shared" si="64"/>
        <v>5657.5</v>
      </c>
      <c r="AH50" s="63">
        <f t="shared" si="64"/>
        <v>5840</v>
      </c>
      <c r="AI50" s="63">
        <f t="shared" si="64"/>
        <v>6022.5</v>
      </c>
      <c r="AJ50" s="63">
        <f t="shared" si="64"/>
        <v>6205</v>
      </c>
      <c r="AK50" s="63">
        <f t="shared" si="64"/>
        <v>6387.5</v>
      </c>
      <c r="AL50" s="63">
        <f t="shared" si="64"/>
        <v>6570</v>
      </c>
      <c r="AM50" s="63">
        <f t="shared" si="64"/>
        <v>6752.5</v>
      </c>
      <c r="AN50" s="63">
        <f t="shared" si="64"/>
        <v>6935</v>
      </c>
      <c r="AO50" s="63">
        <f t="shared" si="64"/>
        <v>7117.5</v>
      </c>
      <c r="AP50" s="63">
        <f t="shared" si="64"/>
        <v>7300</v>
      </c>
      <c r="AQ50" s="63">
        <f t="shared" si="64"/>
        <v>7482.5</v>
      </c>
      <c r="AR50" s="63">
        <f t="shared" si="64"/>
        <v>7665</v>
      </c>
      <c r="AS50" s="63">
        <f t="shared" si="64"/>
        <v>7847.5</v>
      </c>
      <c r="AT50" s="63">
        <f t="shared" si="64"/>
        <v>8030</v>
      </c>
      <c r="AU50" s="63">
        <f t="shared" si="64"/>
        <v>8212.5</v>
      </c>
      <c r="AV50" s="63">
        <f t="shared" si="64"/>
        <v>8395</v>
      </c>
      <c r="AW50" s="63">
        <f t="shared" si="64"/>
        <v>8577.5</v>
      </c>
      <c r="AX50" s="63">
        <f t="shared" si="64"/>
        <v>8760</v>
      </c>
      <c r="AY50" s="63">
        <f t="shared" si="64"/>
        <v>8942.5</v>
      </c>
      <c r="AZ50" s="63">
        <f t="shared" si="64"/>
        <v>9125</v>
      </c>
      <c r="BA50" s="63">
        <f t="shared" si="64"/>
        <v>9307.5</v>
      </c>
      <c r="BB50" s="63">
        <f t="shared" si="64"/>
        <v>9490</v>
      </c>
      <c r="BC50" s="63">
        <f t="shared" si="64"/>
        <v>9672.5</v>
      </c>
      <c r="BD50" s="63">
        <f t="shared" si="64"/>
        <v>9855</v>
      </c>
      <c r="BE50" s="63">
        <f t="shared" si="64"/>
        <v>10037.5</v>
      </c>
      <c r="BF50" s="63">
        <f t="shared" si="64"/>
        <v>10220</v>
      </c>
      <c r="BG50" s="63">
        <f t="shared" si="64"/>
        <v>10402.5</v>
      </c>
      <c r="BH50" s="63">
        <f t="shared" si="64"/>
        <v>10585</v>
      </c>
      <c r="BI50" s="63">
        <f t="shared" si="64"/>
        <v>10767.5</v>
      </c>
      <c r="BJ50" s="63">
        <f t="shared" si="64"/>
        <v>10950</v>
      </c>
      <c r="BK50" s="63">
        <f t="shared" si="64"/>
        <v>11132.5</v>
      </c>
      <c r="BL50" s="63">
        <f t="shared" si="64"/>
        <v>11315</v>
      </c>
      <c r="BM50" s="63">
        <f t="shared" si="64"/>
        <v>11497.5</v>
      </c>
      <c r="BN50" s="63">
        <f t="shared" si="64"/>
        <v>11680</v>
      </c>
      <c r="BO50" s="63">
        <f t="shared" ref="BO50:CB50" si="65">BN50+IF($G12=1,365,182.5)</f>
        <v>11862.5</v>
      </c>
      <c r="BP50" s="63">
        <f t="shared" si="65"/>
        <v>12045</v>
      </c>
      <c r="BQ50" s="63">
        <f t="shared" si="65"/>
        <v>12227.5</v>
      </c>
      <c r="BR50" s="63">
        <f t="shared" si="65"/>
        <v>12410</v>
      </c>
      <c r="BS50" s="63">
        <f t="shared" si="65"/>
        <v>12592.5</v>
      </c>
      <c r="BT50" s="63">
        <f t="shared" si="65"/>
        <v>12775</v>
      </c>
      <c r="BU50" s="63">
        <f t="shared" si="65"/>
        <v>12957.5</v>
      </c>
      <c r="BV50" s="63">
        <f t="shared" si="65"/>
        <v>13140</v>
      </c>
      <c r="BW50" s="63">
        <f t="shared" si="65"/>
        <v>13322.5</v>
      </c>
      <c r="BX50" s="63">
        <f t="shared" si="65"/>
        <v>13505</v>
      </c>
      <c r="BY50" s="63">
        <f t="shared" si="65"/>
        <v>13687.5</v>
      </c>
      <c r="BZ50" s="63">
        <f t="shared" si="65"/>
        <v>13870</v>
      </c>
      <c r="CA50" s="63">
        <f t="shared" si="65"/>
        <v>14052.5</v>
      </c>
      <c r="CB50" s="64">
        <f t="shared" si="65"/>
        <v>14235</v>
      </c>
    </row>
    <row r="51" spans="1:80">
      <c r="A51" s="172" t="s">
        <v>29</v>
      </c>
      <c r="B51" s="135">
        <f>(IF(B50=F12,100,0)+IF(G12=1,1,0.5)*J12*100)*IF(ISBLANK(F12)=TRUE,0,1)</f>
        <v>0</v>
      </c>
      <c r="C51" s="136">
        <f>IF(C50&gt;$F12+1,0,1)*(IF(D51=0,100,0)+IF($G12=1,1,0.5)*$J12*100)</f>
        <v>0</v>
      </c>
      <c r="D51" s="136">
        <f t="shared" ref="D51:BO51" si="66">IF(D50&gt;$F12+1,0,1)*(IF(E51=0,100,0)+IF($G12=1,1,0.5)*$J12*100)</f>
        <v>0</v>
      </c>
      <c r="E51" s="136">
        <f t="shared" si="66"/>
        <v>0</v>
      </c>
      <c r="F51" s="136">
        <f t="shared" si="66"/>
        <v>0</v>
      </c>
      <c r="G51" s="136">
        <f t="shared" si="66"/>
        <v>0</v>
      </c>
      <c r="H51" s="136">
        <f t="shared" si="66"/>
        <v>0</v>
      </c>
      <c r="I51" s="136">
        <f t="shared" si="66"/>
        <v>0</v>
      </c>
      <c r="J51" s="136">
        <f t="shared" si="66"/>
        <v>0</v>
      </c>
      <c r="K51" s="136">
        <f t="shared" si="66"/>
        <v>0</v>
      </c>
      <c r="L51" s="136">
        <f t="shared" si="66"/>
        <v>0</v>
      </c>
      <c r="M51" s="136">
        <f t="shared" si="66"/>
        <v>0</v>
      </c>
      <c r="N51" s="136">
        <f t="shared" si="66"/>
        <v>0</v>
      </c>
      <c r="O51" s="136">
        <f t="shared" si="66"/>
        <v>0</v>
      </c>
      <c r="P51" s="136">
        <f t="shared" si="66"/>
        <v>0</v>
      </c>
      <c r="Q51" s="136">
        <f t="shared" si="66"/>
        <v>0</v>
      </c>
      <c r="R51" s="136">
        <f t="shared" si="66"/>
        <v>0</v>
      </c>
      <c r="S51" s="136">
        <f t="shared" si="66"/>
        <v>0</v>
      </c>
      <c r="T51" s="136">
        <f t="shared" si="66"/>
        <v>0</v>
      </c>
      <c r="U51" s="136">
        <f t="shared" si="66"/>
        <v>0</v>
      </c>
      <c r="V51" s="136">
        <f t="shared" si="66"/>
        <v>0</v>
      </c>
      <c r="W51" s="136">
        <f t="shared" si="66"/>
        <v>0</v>
      </c>
      <c r="X51" s="136">
        <f t="shared" si="66"/>
        <v>0</v>
      </c>
      <c r="Y51" s="136">
        <f t="shared" si="66"/>
        <v>0</v>
      </c>
      <c r="Z51" s="136">
        <f t="shared" si="66"/>
        <v>0</v>
      </c>
      <c r="AA51" s="136">
        <f t="shared" si="66"/>
        <v>0</v>
      </c>
      <c r="AB51" s="136">
        <f t="shared" si="66"/>
        <v>0</v>
      </c>
      <c r="AC51" s="136">
        <f t="shared" si="66"/>
        <v>0</v>
      </c>
      <c r="AD51" s="136">
        <f t="shared" si="66"/>
        <v>0</v>
      </c>
      <c r="AE51" s="136">
        <f t="shared" si="66"/>
        <v>0</v>
      </c>
      <c r="AF51" s="136">
        <f t="shared" si="66"/>
        <v>0</v>
      </c>
      <c r="AG51" s="136">
        <f t="shared" si="66"/>
        <v>0</v>
      </c>
      <c r="AH51" s="136">
        <f t="shared" si="66"/>
        <v>0</v>
      </c>
      <c r="AI51" s="136">
        <f t="shared" si="66"/>
        <v>0</v>
      </c>
      <c r="AJ51" s="136">
        <f t="shared" si="66"/>
        <v>0</v>
      </c>
      <c r="AK51" s="136">
        <f t="shared" si="66"/>
        <v>0</v>
      </c>
      <c r="AL51" s="136">
        <f t="shared" si="66"/>
        <v>0</v>
      </c>
      <c r="AM51" s="136">
        <f t="shared" si="66"/>
        <v>0</v>
      </c>
      <c r="AN51" s="136">
        <f t="shared" si="66"/>
        <v>0</v>
      </c>
      <c r="AO51" s="136">
        <f t="shared" si="66"/>
        <v>0</v>
      </c>
      <c r="AP51" s="136">
        <f t="shared" si="66"/>
        <v>0</v>
      </c>
      <c r="AQ51" s="136">
        <f t="shared" si="66"/>
        <v>0</v>
      </c>
      <c r="AR51" s="136">
        <f t="shared" si="66"/>
        <v>0</v>
      </c>
      <c r="AS51" s="136">
        <f t="shared" si="66"/>
        <v>0</v>
      </c>
      <c r="AT51" s="136">
        <f t="shared" si="66"/>
        <v>0</v>
      </c>
      <c r="AU51" s="136">
        <f t="shared" si="66"/>
        <v>0</v>
      </c>
      <c r="AV51" s="136">
        <f t="shared" si="66"/>
        <v>0</v>
      </c>
      <c r="AW51" s="136">
        <f t="shared" si="66"/>
        <v>0</v>
      </c>
      <c r="AX51" s="136">
        <f t="shared" si="66"/>
        <v>0</v>
      </c>
      <c r="AY51" s="136">
        <f t="shared" si="66"/>
        <v>0</v>
      </c>
      <c r="AZ51" s="136">
        <f t="shared" si="66"/>
        <v>0</v>
      </c>
      <c r="BA51" s="136">
        <f t="shared" si="66"/>
        <v>0</v>
      </c>
      <c r="BB51" s="136">
        <f t="shared" si="66"/>
        <v>0</v>
      </c>
      <c r="BC51" s="136">
        <f t="shared" si="66"/>
        <v>0</v>
      </c>
      <c r="BD51" s="136">
        <f t="shared" si="66"/>
        <v>0</v>
      </c>
      <c r="BE51" s="136">
        <f t="shared" si="66"/>
        <v>0</v>
      </c>
      <c r="BF51" s="136">
        <f t="shared" si="66"/>
        <v>0</v>
      </c>
      <c r="BG51" s="136">
        <f t="shared" si="66"/>
        <v>0</v>
      </c>
      <c r="BH51" s="136">
        <f t="shared" si="66"/>
        <v>0</v>
      </c>
      <c r="BI51" s="136">
        <f t="shared" si="66"/>
        <v>0</v>
      </c>
      <c r="BJ51" s="136">
        <f t="shared" si="66"/>
        <v>0</v>
      </c>
      <c r="BK51" s="136">
        <f t="shared" si="66"/>
        <v>0</v>
      </c>
      <c r="BL51" s="136">
        <f t="shared" si="66"/>
        <v>0</v>
      </c>
      <c r="BM51" s="136">
        <f t="shared" si="66"/>
        <v>0</v>
      </c>
      <c r="BN51" s="136">
        <f t="shared" si="66"/>
        <v>0</v>
      </c>
      <c r="BO51" s="136">
        <f t="shared" si="66"/>
        <v>0</v>
      </c>
      <c r="BP51" s="136">
        <f t="shared" ref="BP51:CB51" si="67">IF(BP50&gt;$F12+1,0,1)*(IF(BQ51=0,100,0)+IF($G12=1,1,0.5)*$J12*100)</f>
        <v>0</v>
      </c>
      <c r="BQ51" s="136">
        <f t="shared" si="67"/>
        <v>0</v>
      </c>
      <c r="BR51" s="136">
        <f t="shared" si="67"/>
        <v>0</v>
      </c>
      <c r="BS51" s="136">
        <f t="shared" si="67"/>
        <v>0</v>
      </c>
      <c r="BT51" s="136">
        <f t="shared" si="67"/>
        <v>0</v>
      </c>
      <c r="BU51" s="136">
        <f t="shared" si="67"/>
        <v>0</v>
      </c>
      <c r="BV51" s="136">
        <f t="shared" si="67"/>
        <v>0</v>
      </c>
      <c r="BW51" s="136">
        <f t="shared" si="67"/>
        <v>0</v>
      </c>
      <c r="BX51" s="136">
        <f t="shared" si="67"/>
        <v>0</v>
      </c>
      <c r="BY51" s="136">
        <f t="shared" si="67"/>
        <v>0</v>
      </c>
      <c r="BZ51" s="136">
        <f t="shared" si="67"/>
        <v>0</v>
      </c>
      <c r="CA51" s="136">
        <f t="shared" si="67"/>
        <v>0</v>
      </c>
      <c r="CB51" s="137">
        <f t="shared" si="67"/>
        <v>0</v>
      </c>
    </row>
    <row r="52" spans="1:80">
      <c r="A52" s="255" t="s">
        <v>49</v>
      </c>
      <c r="B52" s="65">
        <f>IF(E13=0,F13,E13)</f>
        <v>0</v>
      </c>
      <c r="C52" s="66">
        <f t="shared" ref="C52:BN52" si="68">B52+IF($G13=1,365,182.5)</f>
        <v>182.5</v>
      </c>
      <c r="D52" s="66">
        <f t="shared" si="68"/>
        <v>365</v>
      </c>
      <c r="E52" s="66">
        <f t="shared" si="68"/>
        <v>547.5</v>
      </c>
      <c r="F52" s="66">
        <f t="shared" si="68"/>
        <v>730</v>
      </c>
      <c r="G52" s="66">
        <f t="shared" si="68"/>
        <v>912.5</v>
      </c>
      <c r="H52" s="66">
        <f t="shared" si="68"/>
        <v>1095</v>
      </c>
      <c r="I52" s="66">
        <f t="shared" si="68"/>
        <v>1277.5</v>
      </c>
      <c r="J52" s="66">
        <f t="shared" si="68"/>
        <v>1460</v>
      </c>
      <c r="K52" s="66">
        <f t="shared" si="68"/>
        <v>1642.5</v>
      </c>
      <c r="L52" s="66">
        <f t="shared" si="68"/>
        <v>1825</v>
      </c>
      <c r="M52" s="66">
        <f t="shared" si="68"/>
        <v>2007.5</v>
      </c>
      <c r="N52" s="66">
        <f t="shared" si="68"/>
        <v>2190</v>
      </c>
      <c r="O52" s="66">
        <f t="shared" si="68"/>
        <v>2372.5</v>
      </c>
      <c r="P52" s="66">
        <f t="shared" si="68"/>
        <v>2555</v>
      </c>
      <c r="Q52" s="66">
        <f t="shared" si="68"/>
        <v>2737.5</v>
      </c>
      <c r="R52" s="66">
        <f t="shared" si="68"/>
        <v>2920</v>
      </c>
      <c r="S52" s="66">
        <f t="shared" si="68"/>
        <v>3102.5</v>
      </c>
      <c r="T52" s="66">
        <f t="shared" si="68"/>
        <v>3285</v>
      </c>
      <c r="U52" s="66">
        <f t="shared" si="68"/>
        <v>3467.5</v>
      </c>
      <c r="V52" s="66">
        <f t="shared" si="68"/>
        <v>3650</v>
      </c>
      <c r="W52" s="66">
        <f t="shared" si="68"/>
        <v>3832.5</v>
      </c>
      <c r="X52" s="66">
        <f t="shared" si="68"/>
        <v>4015</v>
      </c>
      <c r="Y52" s="66">
        <f t="shared" si="68"/>
        <v>4197.5</v>
      </c>
      <c r="Z52" s="66">
        <f t="shared" si="68"/>
        <v>4380</v>
      </c>
      <c r="AA52" s="66">
        <f t="shared" si="68"/>
        <v>4562.5</v>
      </c>
      <c r="AB52" s="66">
        <f t="shared" si="68"/>
        <v>4745</v>
      </c>
      <c r="AC52" s="66">
        <f t="shared" si="68"/>
        <v>4927.5</v>
      </c>
      <c r="AD52" s="66">
        <f t="shared" si="68"/>
        <v>5110</v>
      </c>
      <c r="AE52" s="66">
        <f t="shared" si="68"/>
        <v>5292.5</v>
      </c>
      <c r="AF52" s="66">
        <f t="shared" si="68"/>
        <v>5475</v>
      </c>
      <c r="AG52" s="66">
        <f t="shared" si="68"/>
        <v>5657.5</v>
      </c>
      <c r="AH52" s="66">
        <f t="shared" si="68"/>
        <v>5840</v>
      </c>
      <c r="AI52" s="66">
        <f t="shared" si="68"/>
        <v>6022.5</v>
      </c>
      <c r="AJ52" s="66">
        <f t="shared" si="68"/>
        <v>6205</v>
      </c>
      <c r="AK52" s="66">
        <f t="shared" si="68"/>
        <v>6387.5</v>
      </c>
      <c r="AL52" s="66">
        <f t="shared" si="68"/>
        <v>6570</v>
      </c>
      <c r="AM52" s="66">
        <f t="shared" si="68"/>
        <v>6752.5</v>
      </c>
      <c r="AN52" s="66">
        <f t="shared" si="68"/>
        <v>6935</v>
      </c>
      <c r="AO52" s="66">
        <f t="shared" si="68"/>
        <v>7117.5</v>
      </c>
      <c r="AP52" s="66">
        <f t="shared" si="68"/>
        <v>7300</v>
      </c>
      <c r="AQ52" s="66">
        <f t="shared" si="68"/>
        <v>7482.5</v>
      </c>
      <c r="AR52" s="66">
        <f t="shared" si="68"/>
        <v>7665</v>
      </c>
      <c r="AS52" s="66">
        <f t="shared" si="68"/>
        <v>7847.5</v>
      </c>
      <c r="AT52" s="66">
        <f t="shared" si="68"/>
        <v>8030</v>
      </c>
      <c r="AU52" s="66">
        <f t="shared" si="68"/>
        <v>8212.5</v>
      </c>
      <c r="AV52" s="66">
        <f t="shared" si="68"/>
        <v>8395</v>
      </c>
      <c r="AW52" s="66">
        <f t="shared" si="68"/>
        <v>8577.5</v>
      </c>
      <c r="AX52" s="66">
        <f t="shared" si="68"/>
        <v>8760</v>
      </c>
      <c r="AY52" s="66">
        <f t="shared" si="68"/>
        <v>8942.5</v>
      </c>
      <c r="AZ52" s="66">
        <f t="shared" si="68"/>
        <v>9125</v>
      </c>
      <c r="BA52" s="66">
        <f t="shared" si="68"/>
        <v>9307.5</v>
      </c>
      <c r="BB52" s="66">
        <f t="shared" si="68"/>
        <v>9490</v>
      </c>
      <c r="BC52" s="66">
        <f t="shared" si="68"/>
        <v>9672.5</v>
      </c>
      <c r="BD52" s="66">
        <f t="shared" si="68"/>
        <v>9855</v>
      </c>
      <c r="BE52" s="66">
        <f t="shared" si="68"/>
        <v>10037.5</v>
      </c>
      <c r="BF52" s="66">
        <f t="shared" si="68"/>
        <v>10220</v>
      </c>
      <c r="BG52" s="66">
        <f t="shared" si="68"/>
        <v>10402.5</v>
      </c>
      <c r="BH52" s="66">
        <f t="shared" si="68"/>
        <v>10585</v>
      </c>
      <c r="BI52" s="66">
        <f t="shared" si="68"/>
        <v>10767.5</v>
      </c>
      <c r="BJ52" s="66">
        <f t="shared" si="68"/>
        <v>10950</v>
      </c>
      <c r="BK52" s="66">
        <f t="shared" si="68"/>
        <v>11132.5</v>
      </c>
      <c r="BL52" s="66">
        <f t="shared" si="68"/>
        <v>11315</v>
      </c>
      <c r="BM52" s="66">
        <f t="shared" si="68"/>
        <v>11497.5</v>
      </c>
      <c r="BN52" s="66">
        <f t="shared" si="68"/>
        <v>11680</v>
      </c>
      <c r="BO52" s="66">
        <f t="shared" ref="BO52:CB52" si="69">BN52+IF($G13=1,365,182.5)</f>
        <v>11862.5</v>
      </c>
      <c r="BP52" s="66">
        <f t="shared" si="69"/>
        <v>12045</v>
      </c>
      <c r="BQ52" s="66">
        <f t="shared" si="69"/>
        <v>12227.5</v>
      </c>
      <c r="BR52" s="66">
        <f t="shared" si="69"/>
        <v>12410</v>
      </c>
      <c r="BS52" s="66">
        <f t="shared" si="69"/>
        <v>12592.5</v>
      </c>
      <c r="BT52" s="66">
        <f t="shared" si="69"/>
        <v>12775</v>
      </c>
      <c r="BU52" s="66">
        <f t="shared" si="69"/>
        <v>12957.5</v>
      </c>
      <c r="BV52" s="66">
        <f t="shared" si="69"/>
        <v>13140</v>
      </c>
      <c r="BW52" s="66">
        <f t="shared" si="69"/>
        <v>13322.5</v>
      </c>
      <c r="BX52" s="66">
        <f t="shared" si="69"/>
        <v>13505</v>
      </c>
      <c r="BY52" s="66">
        <f t="shared" si="69"/>
        <v>13687.5</v>
      </c>
      <c r="BZ52" s="66">
        <f t="shared" si="69"/>
        <v>13870</v>
      </c>
      <c r="CA52" s="66">
        <f t="shared" si="69"/>
        <v>14052.5</v>
      </c>
      <c r="CB52" s="67">
        <f t="shared" si="69"/>
        <v>14235</v>
      </c>
    </row>
    <row r="53" spans="1:80">
      <c r="A53" s="173" t="s">
        <v>30</v>
      </c>
      <c r="B53" s="111">
        <f>(IF(B52=F13,100,0)+IF(G13=1,1,0.5)*J13*100)*IF(ISBLANK(F13)=TRUE,0,1)</f>
        <v>0</v>
      </c>
      <c r="C53" s="68">
        <f>IF(C52&gt;$F13+1,0,1)*(IF(D53=0,100,0)+IF($G13=1,1,0.5)*$J13*100)</f>
        <v>0</v>
      </c>
      <c r="D53" s="68">
        <f t="shared" ref="D53:BO53" si="70">IF(D52&gt;$F13+1,0,1)*(IF(E53=0,100,0)+IF($G13=1,1,0.5)*$J13*100)</f>
        <v>0</v>
      </c>
      <c r="E53" s="68">
        <f t="shared" si="70"/>
        <v>0</v>
      </c>
      <c r="F53" s="68">
        <f t="shared" si="70"/>
        <v>0</v>
      </c>
      <c r="G53" s="68">
        <f t="shared" si="70"/>
        <v>0</v>
      </c>
      <c r="H53" s="68">
        <f t="shared" si="70"/>
        <v>0</v>
      </c>
      <c r="I53" s="68">
        <f t="shared" si="70"/>
        <v>0</v>
      </c>
      <c r="J53" s="68">
        <f t="shared" si="70"/>
        <v>0</v>
      </c>
      <c r="K53" s="68">
        <f t="shared" si="70"/>
        <v>0</v>
      </c>
      <c r="L53" s="68">
        <f t="shared" si="70"/>
        <v>0</v>
      </c>
      <c r="M53" s="68">
        <f t="shared" si="70"/>
        <v>0</v>
      </c>
      <c r="N53" s="68">
        <f t="shared" si="70"/>
        <v>0</v>
      </c>
      <c r="O53" s="68">
        <f t="shared" si="70"/>
        <v>0</v>
      </c>
      <c r="P53" s="68">
        <f t="shared" si="70"/>
        <v>0</v>
      </c>
      <c r="Q53" s="68">
        <f t="shared" si="70"/>
        <v>0</v>
      </c>
      <c r="R53" s="68">
        <f t="shared" si="70"/>
        <v>0</v>
      </c>
      <c r="S53" s="68">
        <f t="shared" si="70"/>
        <v>0</v>
      </c>
      <c r="T53" s="68">
        <f t="shared" si="70"/>
        <v>0</v>
      </c>
      <c r="U53" s="68">
        <f t="shared" si="70"/>
        <v>0</v>
      </c>
      <c r="V53" s="68">
        <f t="shared" si="70"/>
        <v>0</v>
      </c>
      <c r="W53" s="68">
        <f t="shared" si="70"/>
        <v>0</v>
      </c>
      <c r="X53" s="68">
        <f t="shared" si="70"/>
        <v>0</v>
      </c>
      <c r="Y53" s="68">
        <f t="shared" si="70"/>
        <v>0</v>
      </c>
      <c r="Z53" s="68">
        <f t="shared" si="70"/>
        <v>0</v>
      </c>
      <c r="AA53" s="68">
        <f t="shared" si="70"/>
        <v>0</v>
      </c>
      <c r="AB53" s="68">
        <f t="shared" si="70"/>
        <v>0</v>
      </c>
      <c r="AC53" s="68">
        <f t="shared" si="70"/>
        <v>0</v>
      </c>
      <c r="AD53" s="68">
        <f t="shared" si="70"/>
        <v>0</v>
      </c>
      <c r="AE53" s="68">
        <f t="shared" si="70"/>
        <v>0</v>
      </c>
      <c r="AF53" s="68">
        <f t="shared" si="70"/>
        <v>0</v>
      </c>
      <c r="AG53" s="68">
        <f t="shared" si="70"/>
        <v>0</v>
      </c>
      <c r="AH53" s="68">
        <f t="shared" si="70"/>
        <v>0</v>
      </c>
      <c r="AI53" s="68">
        <f t="shared" si="70"/>
        <v>0</v>
      </c>
      <c r="AJ53" s="68">
        <f t="shared" si="70"/>
        <v>0</v>
      </c>
      <c r="AK53" s="68">
        <f t="shared" si="70"/>
        <v>0</v>
      </c>
      <c r="AL53" s="68">
        <f t="shared" si="70"/>
        <v>0</v>
      </c>
      <c r="AM53" s="68">
        <f t="shared" si="70"/>
        <v>0</v>
      </c>
      <c r="AN53" s="68">
        <f t="shared" si="70"/>
        <v>0</v>
      </c>
      <c r="AO53" s="68">
        <f t="shared" si="70"/>
        <v>0</v>
      </c>
      <c r="AP53" s="68">
        <f t="shared" si="70"/>
        <v>0</v>
      </c>
      <c r="AQ53" s="68">
        <f t="shared" si="70"/>
        <v>0</v>
      </c>
      <c r="AR53" s="68">
        <f t="shared" si="70"/>
        <v>0</v>
      </c>
      <c r="AS53" s="68">
        <f t="shared" si="70"/>
        <v>0</v>
      </c>
      <c r="AT53" s="68">
        <f t="shared" si="70"/>
        <v>0</v>
      </c>
      <c r="AU53" s="68">
        <f t="shared" si="70"/>
        <v>0</v>
      </c>
      <c r="AV53" s="68">
        <f t="shared" si="70"/>
        <v>0</v>
      </c>
      <c r="AW53" s="68">
        <f t="shared" si="70"/>
        <v>0</v>
      </c>
      <c r="AX53" s="68">
        <f t="shared" si="70"/>
        <v>0</v>
      </c>
      <c r="AY53" s="68">
        <f t="shared" si="70"/>
        <v>0</v>
      </c>
      <c r="AZ53" s="68">
        <f t="shared" si="70"/>
        <v>0</v>
      </c>
      <c r="BA53" s="68">
        <f t="shared" si="70"/>
        <v>0</v>
      </c>
      <c r="BB53" s="68">
        <f t="shared" si="70"/>
        <v>0</v>
      </c>
      <c r="BC53" s="68">
        <f t="shared" si="70"/>
        <v>0</v>
      </c>
      <c r="BD53" s="68">
        <f t="shared" si="70"/>
        <v>0</v>
      </c>
      <c r="BE53" s="68">
        <f t="shared" si="70"/>
        <v>0</v>
      </c>
      <c r="BF53" s="68">
        <f t="shared" si="70"/>
        <v>0</v>
      </c>
      <c r="BG53" s="68">
        <f t="shared" si="70"/>
        <v>0</v>
      </c>
      <c r="BH53" s="68">
        <f t="shared" si="70"/>
        <v>0</v>
      </c>
      <c r="BI53" s="68">
        <f t="shared" si="70"/>
        <v>0</v>
      </c>
      <c r="BJ53" s="68">
        <f t="shared" si="70"/>
        <v>0</v>
      </c>
      <c r="BK53" s="68">
        <f t="shared" si="70"/>
        <v>0</v>
      </c>
      <c r="BL53" s="68">
        <f t="shared" si="70"/>
        <v>0</v>
      </c>
      <c r="BM53" s="68">
        <f t="shared" si="70"/>
        <v>0</v>
      </c>
      <c r="BN53" s="68">
        <f t="shared" si="70"/>
        <v>0</v>
      </c>
      <c r="BO53" s="68">
        <f t="shared" si="70"/>
        <v>0</v>
      </c>
      <c r="BP53" s="68">
        <f t="shared" ref="BP53:CB53" si="71">IF(BP52&gt;$F13+1,0,1)*(IF(BQ53=0,100,0)+IF($G13=1,1,0.5)*$J13*100)</f>
        <v>0</v>
      </c>
      <c r="BQ53" s="68">
        <f t="shared" si="71"/>
        <v>0</v>
      </c>
      <c r="BR53" s="68">
        <f t="shared" si="71"/>
        <v>0</v>
      </c>
      <c r="BS53" s="68">
        <f t="shared" si="71"/>
        <v>0</v>
      </c>
      <c r="BT53" s="68">
        <f t="shared" si="71"/>
        <v>0</v>
      </c>
      <c r="BU53" s="68">
        <f t="shared" si="71"/>
        <v>0</v>
      </c>
      <c r="BV53" s="68">
        <f t="shared" si="71"/>
        <v>0</v>
      </c>
      <c r="BW53" s="68">
        <f t="shared" si="71"/>
        <v>0</v>
      </c>
      <c r="BX53" s="68">
        <f t="shared" si="71"/>
        <v>0</v>
      </c>
      <c r="BY53" s="68">
        <f t="shared" si="71"/>
        <v>0</v>
      </c>
      <c r="BZ53" s="68">
        <f t="shared" si="71"/>
        <v>0</v>
      </c>
      <c r="CA53" s="68">
        <f t="shared" si="71"/>
        <v>0</v>
      </c>
      <c r="CB53" s="69">
        <f t="shared" si="71"/>
        <v>0</v>
      </c>
    </row>
    <row r="54" spans="1:80">
      <c r="A54" s="254" t="s">
        <v>49</v>
      </c>
      <c r="B54" s="138">
        <f>IF(E14=0,F14,E14)</f>
        <v>0</v>
      </c>
      <c r="C54" s="70">
        <f t="shared" ref="C54:BN54" si="72">B54+IF($G14=1,365,182.5)</f>
        <v>182.5</v>
      </c>
      <c r="D54" s="70">
        <f t="shared" si="72"/>
        <v>365</v>
      </c>
      <c r="E54" s="70">
        <f t="shared" si="72"/>
        <v>547.5</v>
      </c>
      <c r="F54" s="70">
        <f t="shared" si="72"/>
        <v>730</v>
      </c>
      <c r="G54" s="70">
        <f t="shared" si="72"/>
        <v>912.5</v>
      </c>
      <c r="H54" s="70">
        <f t="shared" si="72"/>
        <v>1095</v>
      </c>
      <c r="I54" s="70">
        <f t="shared" si="72"/>
        <v>1277.5</v>
      </c>
      <c r="J54" s="70">
        <f t="shared" si="72"/>
        <v>1460</v>
      </c>
      <c r="K54" s="70">
        <f t="shared" si="72"/>
        <v>1642.5</v>
      </c>
      <c r="L54" s="70">
        <f t="shared" si="72"/>
        <v>1825</v>
      </c>
      <c r="M54" s="70">
        <f t="shared" si="72"/>
        <v>2007.5</v>
      </c>
      <c r="N54" s="70">
        <f t="shared" si="72"/>
        <v>2190</v>
      </c>
      <c r="O54" s="70">
        <f t="shared" si="72"/>
        <v>2372.5</v>
      </c>
      <c r="P54" s="70">
        <f t="shared" si="72"/>
        <v>2555</v>
      </c>
      <c r="Q54" s="70">
        <f t="shared" si="72"/>
        <v>2737.5</v>
      </c>
      <c r="R54" s="70">
        <f t="shared" si="72"/>
        <v>2920</v>
      </c>
      <c r="S54" s="70">
        <f t="shared" si="72"/>
        <v>3102.5</v>
      </c>
      <c r="T54" s="70">
        <f t="shared" si="72"/>
        <v>3285</v>
      </c>
      <c r="U54" s="70">
        <f t="shared" si="72"/>
        <v>3467.5</v>
      </c>
      <c r="V54" s="70">
        <f t="shared" si="72"/>
        <v>3650</v>
      </c>
      <c r="W54" s="70">
        <f t="shared" si="72"/>
        <v>3832.5</v>
      </c>
      <c r="X54" s="70">
        <f t="shared" si="72"/>
        <v>4015</v>
      </c>
      <c r="Y54" s="70">
        <f t="shared" si="72"/>
        <v>4197.5</v>
      </c>
      <c r="Z54" s="70">
        <f t="shared" si="72"/>
        <v>4380</v>
      </c>
      <c r="AA54" s="70">
        <f t="shared" si="72"/>
        <v>4562.5</v>
      </c>
      <c r="AB54" s="70">
        <f t="shared" si="72"/>
        <v>4745</v>
      </c>
      <c r="AC54" s="70">
        <f t="shared" si="72"/>
        <v>4927.5</v>
      </c>
      <c r="AD54" s="70">
        <f t="shared" si="72"/>
        <v>5110</v>
      </c>
      <c r="AE54" s="70">
        <f t="shared" si="72"/>
        <v>5292.5</v>
      </c>
      <c r="AF54" s="70">
        <f t="shared" si="72"/>
        <v>5475</v>
      </c>
      <c r="AG54" s="70">
        <f t="shared" si="72"/>
        <v>5657.5</v>
      </c>
      <c r="AH54" s="70">
        <f t="shared" si="72"/>
        <v>5840</v>
      </c>
      <c r="AI54" s="70">
        <f t="shared" si="72"/>
        <v>6022.5</v>
      </c>
      <c r="AJ54" s="70">
        <f t="shared" si="72"/>
        <v>6205</v>
      </c>
      <c r="AK54" s="70">
        <f t="shared" si="72"/>
        <v>6387.5</v>
      </c>
      <c r="AL54" s="70">
        <f t="shared" si="72"/>
        <v>6570</v>
      </c>
      <c r="AM54" s="70">
        <f t="shared" si="72"/>
        <v>6752.5</v>
      </c>
      <c r="AN54" s="70">
        <f t="shared" si="72"/>
        <v>6935</v>
      </c>
      <c r="AO54" s="70">
        <f t="shared" si="72"/>
        <v>7117.5</v>
      </c>
      <c r="AP54" s="70">
        <f t="shared" si="72"/>
        <v>7300</v>
      </c>
      <c r="AQ54" s="70">
        <f t="shared" si="72"/>
        <v>7482.5</v>
      </c>
      <c r="AR54" s="70">
        <f t="shared" si="72"/>
        <v>7665</v>
      </c>
      <c r="AS54" s="70">
        <f t="shared" si="72"/>
        <v>7847.5</v>
      </c>
      <c r="AT54" s="70">
        <f t="shared" si="72"/>
        <v>8030</v>
      </c>
      <c r="AU54" s="70">
        <f t="shared" si="72"/>
        <v>8212.5</v>
      </c>
      <c r="AV54" s="70">
        <f t="shared" si="72"/>
        <v>8395</v>
      </c>
      <c r="AW54" s="70">
        <f t="shared" si="72"/>
        <v>8577.5</v>
      </c>
      <c r="AX54" s="70">
        <f t="shared" si="72"/>
        <v>8760</v>
      </c>
      <c r="AY54" s="70">
        <f t="shared" si="72"/>
        <v>8942.5</v>
      </c>
      <c r="AZ54" s="70">
        <f t="shared" si="72"/>
        <v>9125</v>
      </c>
      <c r="BA54" s="70">
        <f t="shared" si="72"/>
        <v>9307.5</v>
      </c>
      <c r="BB54" s="70">
        <f t="shared" si="72"/>
        <v>9490</v>
      </c>
      <c r="BC54" s="70">
        <f t="shared" si="72"/>
        <v>9672.5</v>
      </c>
      <c r="BD54" s="70">
        <f t="shared" si="72"/>
        <v>9855</v>
      </c>
      <c r="BE54" s="70">
        <f t="shared" si="72"/>
        <v>10037.5</v>
      </c>
      <c r="BF54" s="70">
        <f t="shared" si="72"/>
        <v>10220</v>
      </c>
      <c r="BG54" s="70">
        <f t="shared" si="72"/>
        <v>10402.5</v>
      </c>
      <c r="BH54" s="70">
        <f t="shared" si="72"/>
        <v>10585</v>
      </c>
      <c r="BI54" s="70">
        <f t="shared" si="72"/>
        <v>10767.5</v>
      </c>
      <c r="BJ54" s="70">
        <f t="shared" si="72"/>
        <v>10950</v>
      </c>
      <c r="BK54" s="70">
        <f t="shared" si="72"/>
        <v>11132.5</v>
      </c>
      <c r="BL54" s="70">
        <f t="shared" si="72"/>
        <v>11315</v>
      </c>
      <c r="BM54" s="70">
        <f t="shared" si="72"/>
        <v>11497.5</v>
      </c>
      <c r="BN54" s="70">
        <f t="shared" si="72"/>
        <v>11680</v>
      </c>
      <c r="BO54" s="70">
        <f t="shared" ref="BO54:CB54" si="73">BN54+IF($G14=1,365,182.5)</f>
        <v>11862.5</v>
      </c>
      <c r="BP54" s="70">
        <f t="shared" si="73"/>
        <v>12045</v>
      </c>
      <c r="BQ54" s="70">
        <f t="shared" si="73"/>
        <v>12227.5</v>
      </c>
      <c r="BR54" s="70">
        <f t="shared" si="73"/>
        <v>12410</v>
      </c>
      <c r="BS54" s="70">
        <f t="shared" si="73"/>
        <v>12592.5</v>
      </c>
      <c r="BT54" s="70">
        <f t="shared" si="73"/>
        <v>12775</v>
      </c>
      <c r="BU54" s="70">
        <f t="shared" si="73"/>
        <v>12957.5</v>
      </c>
      <c r="BV54" s="70">
        <f t="shared" si="73"/>
        <v>13140</v>
      </c>
      <c r="BW54" s="70">
        <f t="shared" si="73"/>
        <v>13322.5</v>
      </c>
      <c r="BX54" s="70">
        <f t="shared" si="73"/>
        <v>13505</v>
      </c>
      <c r="BY54" s="70">
        <f t="shared" si="73"/>
        <v>13687.5</v>
      </c>
      <c r="BZ54" s="70">
        <f t="shared" si="73"/>
        <v>13870</v>
      </c>
      <c r="CA54" s="70">
        <f t="shared" si="73"/>
        <v>14052.5</v>
      </c>
      <c r="CB54" s="71">
        <f t="shared" si="73"/>
        <v>14235</v>
      </c>
    </row>
    <row r="55" spans="1:80">
      <c r="A55" s="174" t="s">
        <v>31</v>
      </c>
      <c r="B55" s="139">
        <f>(IF(B54=F14,100,0)+IF(G14=1,1,0.5)*J14*100)*IF(ISBLANK(F14)=TRUE,0,1)</f>
        <v>0</v>
      </c>
      <c r="C55" s="72">
        <f>IF(C54&gt;$F14+1,0,1)*(IF(D55=0,100,0)+IF($G14=1,1,0.5)*$J14*100)</f>
        <v>0</v>
      </c>
      <c r="D55" s="72">
        <f t="shared" ref="D55:BO55" si="74">IF(D54&gt;$F14+1,0,1)*(IF(E55=0,100,0)+IF($G14=1,1,0.5)*$J14*100)</f>
        <v>0</v>
      </c>
      <c r="E55" s="72">
        <f t="shared" si="74"/>
        <v>0</v>
      </c>
      <c r="F55" s="72">
        <f t="shared" si="74"/>
        <v>0</v>
      </c>
      <c r="G55" s="72">
        <f t="shared" si="74"/>
        <v>0</v>
      </c>
      <c r="H55" s="72">
        <f t="shared" si="74"/>
        <v>0</v>
      </c>
      <c r="I55" s="72">
        <f t="shared" si="74"/>
        <v>0</v>
      </c>
      <c r="J55" s="72">
        <f t="shared" si="74"/>
        <v>0</v>
      </c>
      <c r="K55" s="72">
        <f t="shared" si="74"/>
        <v>0</v>
      </c>
      <c r="L55" s="72">
        <f t="shared" si="74"/>
        <v>0</v>
      </c>
      <c r="M55" s="72">
        <f t="shared" si="74"/>
        <v>0</v>
      </c>
      <c r="N55" s="72">
        <f t="shared" si="74"/>
        <v>0</v>
      </c>
      <c r="O55" s="72">
        <f t="shared" si="74"/>
        <v>0</v>
      </c>
      <c r="P55" s="72">
        <f t="shared" si="74"/>
        <v>0</v>
      </c>
      <c r="Q55" s="72">
        <f t="shared" si="74"/>
        <v>0</v>
      </c>
      <c r="R55" s="72">
        <f t="shared" si="74"/>
        <v>0</v>
      </c>
      <c r="S55" s="72">
        <f t="shared" si="74"/>
        <v>0</v>
      </c>
      <c r="T55" s="72">
        <f t="shared" si="74"/>
        <v>0</v>
      </c>
      <c r="U55" s="72">
        <f t="shared" si="74"/>
        <v>0</v>
      </c>
      <c r="V55" s="72">
        <f t="shared" si="74"/>
        <v>0</v>
      </c>
      <c r="W55" s="72">
        <f t="shared" si="74"/>
        <v>0</v>
      </c>
      <c r="X55" s="72">
        <f t="shared" si="74"/>
        <v>0</v>
      </c>
      <c r="Y55" s="72">
        <f t="shared" si="74"/>
        <v>0</v>
      </c>
      <c r="Z55" s="72">
        <f t="shared" si="74"/>
        <v>0</v>
      </c>
      <c r="AA55" s="72">
        <f t="shared" si="74"/>
        <v>0</v>
      </c>
      <c r="AB55" s="72">
        <f t="shared" si="74"/>
        <v>0</v>
      </c>
      <c r="AC55" s="72">
        <f t="shared" si="74"/>
        <v>0</v>
      </c>
      <c r="AD55" s="72">
        <f t="shared" si="74"/>
        <v>0</v>
      </c>
      <c r="AE55" s="72">
        <f t="shared" si="74"/>
        <v>0</v>
      </c>
      <c r="AF55" s="72">
        <f t="shared" si="74"/>
        <v>0</v>
      </c>
      <c r="AG55" s="72">
        <f t="shared" si="74"/>
        <v>0</v>
      </c>
      <c r="AH55" s="72">
        <f t="shared" si="74"/>
        <v>0</v>
      </c>
      <c r="AI55" s="72">
        <f t="shared" si="74"/>
        <v>0</v>
      </c>
      <c r="AJ55" s="72">
        <f t="shared" si="74"/>
        <v>0</v>
      </c>
      <c r="AK55" s="72">
        <f t="shared" si="74"/>
        <v>0</v>
      </c>
      <c r="AL55" s="72">
        <f t="shared" si="74"/>
        <v>0</v>
      </c>
      <c r="AM55" s="72">
        <f t="shared" si="74"/>
        <v>0</v>
      </c>
      <c r="AN55" s="72">
        <f t="shared" si="74"/>
        <v>0</v>
      </c>
      <c r="AO55" s="72">
        <f t="shared" si="74"/>
        <v>0</v>
      </c>
      <c r="AP55" s="72">
        <f t="shared" si="74"/>
        <v>0</v>
      </c>
      <c r="AQ55" s="72">
        <f t="shared" si="74"/>
        <v>0</v>
      </c>
      <c r="AR55" s="72">
        <f t="shared" si="74"/>
        <v>0</v>
      </c>
      <c r="AS55" s="72">
        <f t="shared" si="74"/>
        <v>0</v>
      </c>
      <c r="AT55" s="72">
        <f t="shared" si="74"/>
        <v>0</v>
      </c>
      <c r="AU55" s="72">
        <f t="shared" si="74"/>
        <v>0</v>
      </c>
      <c r="AV55" s="72">
        <f t="shared" si="74"/>
        <v>0</v>
      </c>
      <c r="AW55" s="72">
        <f t="shared" si="74"/>
        <v>0</v>
      </c>
      <c r="AX55" s="72">
        <f t="shared" si="74"/>
        <v>0</v>
      </c>
      <c r="AY55" s="72">
        <f t="shared" si="74"/>
        <v>0</v>
      </c>
      <c r="AZ55" s="72">
        <f t="shared" si="74"/>
        <v>0</v>
      </c>
      <c r="BA55" s="72">
        <f t="shared" si="74"/>
        <v>0</v>
      </c>
      <c r="BB55" s="72">
        <f t="shared" si="74"/>
        <v>0</v>
      </c>
      <c r="BC55" s="72">
        <f t="shared" si="74"/>
        <v>0</v>
      </c>
      <c r="BD55" s="72">
        <f t="shared" si="74"/>
        <v>0</v>
      </c>
      <c r="BE55" s="72">
        <f t="shared" si="74"/>
        <v>0</v>
      </c>
      <c r="BF55" s="72">
        <f t="shared" si="74"/>
        <v>0</v>
      </c>
      <c r="BG55" s="72">
        <f t="shared" si="74"/>
        <v>0</v>
      </c>
      <c r="BH55" s="72">
        <f t="shared" si="74"/>
        <v>0</v>
      </c>
      <c r="BI55" s="72">
        <f t="shared" si="74"/>
        <v>0</v>
      </c>
      <c r="BJ55" s="72">
        <f t="shared" si="74"/>
        <v>0</v>
      </c>
      <c r="BK55" s="72">
        <f t="shared" si="74"/>
        <v>0</v>
      </c>
      <c r="BL55" s="72">
        <f t="shared" si="74"/>
        <v>0</v>
      </c>
      <c r="BM55" s="72">
        <f t="shared" si="74"/>
        <v>0</v>
      </c>
      <c r="BN55" s="72">
        <f t="shared" si="74"/>
        <v>0</v>
      </c>
      <c r="BO55" s="72">
        <f t="shared" si="74"/>
        <v>0</v>
      </c>
      <c r="BP55" s="72">
        <f t="shared" ref="BP55:CB55" si="75">IF(BP54&gt;$F14+1,0,1)*(IF(BQ55=0,100,0)+IF($G14=1,1,0.5)*$J14*100)</f>
        <v>0</v>
      </c>
      <c r="BQ55" s="72">
        <f t="shared" si="75"/>
        <v>0</v>
      </c>
      <c r="BR55" s="72">
        <f t="shared" si="75"/>
        <v>0</v>
      </c>
      <c r="BS55" s="72">
        <f t="shared" si="75"/>
        <v>0</v>
      </c>
      <c r="BT55" s="72">
        <f t="shared" si="75"/>
        <v>0</v>
      </c>
      <c r="BU55" s="72">
        <f t="shared" si="75"/>
        <v>0</v>
      </c>
      <c r="BV55" s="72">
        <f t="shared" si="75"/>
        <v>0</v>
      </c>
      <c r="BW55" s="72">
        <f t="shared" si="75"/>
        <v>0</v>
      </c>
      <c r="BX55" s="72">
        <f t="shared" si="75"/>
        <v>0</v>
      </c>
      <c r="BY55" s="72">
        <f t="shared" si="75"/>
        <v>0</v>
      </c>
      <c r="BZ55" s="72">
        <f t="shared" si="75"/>
        <v>0</v>
      </c>
      <c r="CA55" s="72">
        <f t="shared" si="75"/>
        <v>0</v>
      </c>
      <c r="CB55" s="73">
        <f t="shared" si="75"/>
        <v>0</v>
      </c>
    </row>
    <row r="56" spans="1:80">
      <c r="A56" s="253" t="s">
        <v>49</v>
      </c>
      <c r="B56" s="74">
        <f>IF(E15=0,F15,E15)</f>
        <v>0</v>
      </c>
      <c r="C56" s="75">
        <f t="shared" ref="C56:BN56" si="76">B56+IF($G15=1,365,182.5)</f>
        <v>182.5</v>
      </c>
      <c r="D56" s="75">
        <f t="shared" si="76"/>
        <v>365</v>
      </c>
      <c r="E56" s="75">
        <f t="shared" si="76"/>
        <v>547.5</v>
      </c>
      <c r="F56" s="75">
        <f t="shared" si="76"/>
        <v>730</v>
      </c>
      <c r="G56" s="75">
        <f t="shared" si="76"/>
        <v>912.5</v>
      </c>
      <c r="H56" s="75">
        <f t="shared" si="76"/>
        <v>1095</v>
      </c>
      <c r="I56" s="75">
        <f t="shared" si="76"/>
        <v>1277.5</v>
      </c>
      <c r="J56" s="75">
        <f t="shared" si="76"/>
        <v>1460</v>
      </c>
      <c r="K56" s="75">
        <f t="shared" si="76"/>
        <v>1642.5</v>
      </c>
      <c r="L56" s="75">
        <f t="shared" si="76"/>
        <v>1825</v>
      </c>
      <c r="M56" s="75">
        <f t="shared" si="76"/>
        <v>2007.5</v>
      </c>
      <c r="N56" s="75">
        <f t="shared" si="76"/>
        <v>2190</v>
      </c>
      <c r="O56" s="75">
        <f t="shared" si="76"/>
        <v>2372.5</v>
      </c>
      <c r="P56" s="75">
        <f t="shared" si="76"/>
        <v>2555</v>
      </c>
      <c r="Q56" s="75">
        <f t="shared" si="76"/>
        <v>2737.5</v>
      </c>
      <c r="R56" s="75">
        <f t="shared" si="76"/>
        <v>2920</v>
      </c>
      <c r="S56" s="75">
        <f t="shared" si="76"/>
        <v>3102.5</v>
      </c>
      <c r="T56" s="75">
        <f t="shared" si="76"/>
        <v>3285</v>
      </c>
      <c r="U56" s="75">
        <f t="shared" si="76"/>
        <v>3467.5</v>
      </c>
      <c r="V56" s="75">
        <f t="shared" si="76"/>
        <v>3650</v>
      </c>
      <c r="W56" s="75">
        <f t="shared" si="76"/>
        <v>3832.5</v>
      </c>
      <c r="X56" s="75">
        <f t="shared" si="76"/>
        <v>4015</v>
      </c>
      <c r="Y56" s="75">
        <f t="shared" si="76"/>
        <v>4197.5</v>
      </c>
      <c r="Z56" s="75">
        <f t="shared" si="76"/>
        <v>4380</v>
      </c>
      <c r="AA56" s="75">
        <f t="shared" si="76"/>
        <v>4562.5</v>
      </c>
      <c r="AB56" s="75">
        <f t="shared" si="76"/>
        <v>4745</v>
      </c>
      <c r="AC56" s="75">
        <f t="shared" si="76"/>
        <v>4927.5</v>
      </c>
      <c r="AD56" s="75">
        <f t="shared" si="76"/>
        <v>5110</v>
      </c>
      <c r="AE56" s="75">
        <f t="shared" si="76"/>
        <v>5292.5</v>
      </c>
      <c r="AF56" s="75">
        <f t="shared" si="76"/>
        <v>5475</v>
      </c>
      <c r="AG56" s="75">
        <f t="shared" si="76"/>
        <v>5657.5</v>
      </c>
      <c r="AH56" s="75">
        <f t="shared" si="76"/>
        <v>5840</v>
      </c>
      <c r="AI56" s="75">
        <f t="shared" si="76"/>
        <v>6022.5</v>
      </c>
      <c r="AJ56" s="75">
        <f t="shared" si="76"/>
        <v>6205</v>
      </c>
      <c r="AK56" s="75">
        <f t="shared" si="76"/>
        <v>6387.5</v>
      </c>
      <c r="AL56" s="75">
        <f t="shared" si="76"/>
        <v>6570</v>
      </c>
      <c r="AM56" s="75">
        <f t="shared" si="76"/>
        <v>6752.5</v>
      </c>
      <c r="AN56" s="75">
        <f t="shared" si="76"/>
        <v>6935</v>
      </c>
      <c r="AO56" s="75">
        <f t="shared" si="76"/>
        <v>7117.5</v>
      </c>
      <c r="AP56" s="75">
        <f t="shared" si="76"/>
        <v>7300</v>
      </c>
      <c r="AQ56" s="75">
        <f t="shared" si="76"/>
        <v>7482.5</v>
      </c>
      <c r="AR56" s="75">
        <f t="shared" si="76"/>
        <v>7665</v>
      </c>
      <c r="AS56" s="75">
        <f t="shared" si="76"/>
        <v>7847.5</v>
      </c>
      <c r="AT56" s="75">
        <f t="shared" si="76"/>
        <v>8030</v>
      </c>
      <c r="AU56" s="75">
        <f t="shared" si="76"/>
        <v>8212.5</v>
      </c>
      <c r="AV56" s="75">
        <f t="shared" si="76"/>
        <v>8395</v>
      </c>
      <c r="AW56" s="75">
        <f t="shared" si="76"/>
        <v>8577.5</v>
      </c>
      <c r="AX56" s="75">
        <f t="shared" si="76"/>
        <v>8760</v>
      </c>
      <c r="AY56" s="75">
        <f t="shared" si="76"/>
        <v>8942.5</v>
      </c>
      <c r="AZ56" s="75">
        <f t="shared" si="76"/>
        <v>9125</v>
      </c>
      <c r="BA56" s="75">
        <f t="shared" si="76"/>
        <v>9307.5</v>
      </c>
      <c r="BB56" s="75">
        <f t="shared" si="76"/>
        <v>9490</v>
      </c>
      <c r="BC56" s="75">
        <f t="shared" si="76"/>
        <v>9672.5</v>
      </c>
      <c r="BD56" s="75">
        <f t="shared" si="76"/>
        <v>9855</v>
      </c>
      <c r="BE56" s="75">
        <f t="shared" si="76"/>
        <v>10037.5</v>
      </c>
      <c r="BF56" s="75">
        <f t="shared" si="76"/>
        <v>10220</v>
      </c>
      <c r="BG56" s="75">
        <f t="shared" si="76"/>
        <v>10402.5</v>
      </c>
      <c r="BH56" s="75">
        <f t="shared" si="76"/>
        <v>10585</v>
      </c>
      <c r="BI56" s="75">
        <f t="shared" si="76"/>
        <v>10767.5</v>
      </c>
      <c r="BJ56" s="75">
        <f t="shared" si="76"/>
        <v>10950</v>
      </c>
      <c r="BK56" s="75">
        <f t="shared" si="76"/>
        <v>11132.5</v>
      </c>
      <c r="BL56" s="75">
        <f t="shared" si="76"/>
        <v>11315</v>
      </c>
      <c r="BM56" s="75">
        <f t="shared" si="76"/>
        <v>11497.5</v>
      </c>
      <c r="BN56" s="75">
        <f t="shared" si="76"/>
        <v>11680</v>
      </c>
      <c r="BO56" s="75">
        <f t="shared" ref="BO56:CB56" si="77">BN56+IF($G15=1,365,182.5)</f>
        <v>11862.5</v>
      </c>
      <c r="BP56" s="75">
        <f t="shared" si="77"/>
        <v>12045</v>
      </c>
      <c r="BQ56" s="75">
        <f t="shared" si="77"/>
        <v>12227.5</v>
      </c>
      <c r="BR56" s="75">
        <f t="shared" si="77"/>
        <v>12410</v>
      </c>
      <c r="BS56" s="75">
        <f t="shared" si="77"/>
        <v>12592.5</v>
      </c>
      <c r="BT56" s="75">
        <f t="shared" si="77"/>
        <v>12775</v>
      </c>
      <c r="BU56" s="75">
        <f t="shared" si="77"/>
        <v>12957.5</v>
      </c>
      <c r="BV56" s="75">
        <f t="shared" si="77"/>
        <v>13140</v>
      </c>
      <c r="BW56" s="75">
        <f t="shared" si="77"/>
        <v>13322.5</v>
      </c>
      <c r="BX56" s="75">
        <f t="shared" si="77"/>
        <v>13505</v>
      </c>
      <c r="BY56" s="75">
        <f t="shared" si="77"/>
        <v>13687.5</v>
      </c>
      <c r="BZ56" s="75">
        <f t="shared" si="77"/>
        <v>13870</v>
      </c>
      <c r="CA56" s="75">
        <f t="shared" si="77"/>
        <v>14052.5</v>
      </c>
      <c r="CB56" s="76">
        <f t="shared" si="77"/>
        <v>14235</v>
      </c>
    </row>
    <row r="57" spans="1:80">
      <c r="A57" s="175" t="s">
        <v>32</v>
      </c>
      <c r="B57" s="110">
        <f>(IF(B56=F15,100,0)+IF(G15=1,1,0.5)*J15*100)*IF(ISBLANK(F15)=TRUE,0,1)</f>
        <v>0</v>
      </c>
      <c r="C57" s="77">
        <f>IF(C56&gt;$F15+1,0,1)*(IF(D57=0,100,0)+IF($G15=1,1,0.5)*$J15*100)</f>
        <v>0</v>
      </c>
      <c r="D57" s="77">
        <f t="shared" ref="D57:BO57" si="78">IF(D56&gt;$F15+1,0,1)*(IF(E57=0,100,0)+IF($G15=1,1,0.5)*$J15*100)</f>
        <v>0</v>
      </c>
      <c r="E57" s="77">
        <f t="shared" si="78"/>
        <v>0</v>
      </c>
      <c r="F57" s="77">
        <f t="shared" si="78"/>
        <v>0</v>
      </c>
      <c r="G57" s="77">
        <f t="shared" si="78"/>
        <v>0</v>
      </c>
      <c r="H57" s="77">
        <f t="shared" si="78"/>
        <v>0</v>
      </c>
      <c r="I57" s="77">
        <f t="shared" si="78"/>
        <v>0</v>
      </c>
      <c r="J57" s="77">
        <f t="shared" si="78"/>
        <v>0</v>
      </c>
      <c r="K57" s="77">
        <f t="shared" si="78"/>
        <v>0</v>
      </c>
      <c r="L57" s="77">
        <f t="shared" si="78"/>
        <v>0</v>
      </c>
      <c r="M57" s="77">
        <f t="shared" si="78"/>
        <v>0</v>
      </c>
      <c r="N57" s="77">
        <f t="shared" si="78"/>
        <v>0</v>
      </c>
      <c r="O57" s="77">
        <f t="shared" si="78"/>
        <v>0</v>
      </c>
      <c r="P57" s="77">
        <f t="shared" si="78"/>
        <v>0</v>
      </c>
      <c r="Q57" s="77">
        <f t="shared" si="78"/>
        <v>0</v>
      </c>
      <c r="R57" s="77">
        <f t="shared" si="78"/>
        <v>0</v>
      </c>
      <c r="S57" s="77">
        <f t="shared" si="78"/>
        <v>0</v>
      </c>
      <c r="T57" s="77">
        <f t="shared" si="78"/>
        <v>0</v>
      </c>
      <c r="U57" s="77">
        <f t="shared" si="78"/>
        <v>0</v>
      </c>
      <c r="V57" s="77">
        <f t="shared" si="78"/>
        <v>0</v>
      </c>
      <c r="W57" s="77">
        <f t="shared" si="78"/>
        <v>0</v>
      </c>
      <c r="X57" s="77">
        <f t="shared" si="78"/>
        <v>0</v>
      </c>
      <c r="Y57" s="77">
        <f t="shared" si="78"/>
        <v>0</v>
      </c>
      <c r="Z57" s="77">
        <f t="shared" si="78"/>
        <v>0</v>
      </c>
      <c r="AA57" s="77">
        <f t="shared" si="78"/>
        <v>0</v>
      </c>
      <c r="AB57" s="77">
        <f t="shared" si="78"/>
        <v>0</v>
      </c>
      <c r="AC57" s="77">
        <f t="shared" si="78"/>
        <v>0</v>
      </c>
      <c r="AD57" s="77">
        <f t="shared" si="78"/>
        <v>0</v>
      </c>
      <c r="AE57" s="77">
        <f t="shared" si="78"/>
        <v>0</v>
      </c>
      <c r="AF57" s="77">
        <f t="shared" si="78"/>
        <v>0</v>
      </c>
      <c r="AG57" s="77">
        <f t="shared" si="78"/>
        <v>0</v>
      </c>
      <c r="AH57" s="77">
        <f t="shared" si="78"/>
        <v>0</v>
      </c>
      <c r="AI57" s="77">
        <f t="shared" si="78"/>
        <v>0</v>
      </c>
      <c r="AJ57" s="77">
        <f t="shared" si="78"/>
        <v>0</v>
      </c>
      <c r="AK57" s="77">
        <f t="shared" si="78"/>
        <v>0</v>
      </c>
      <c r="AL57" s="77">
        <f t="shared" si="78"/>
        <v>0</v>
      </c>
      <c r="AM57" s="77">
        <f t="shared" si="78"/>
        <v>0</v>
      </c>
      <c r="AN57" s="77">
        <f t="shared" si="78"/>
        <v>0</v>
      </c>
      <c r="AO57" s="77">
        <f t="shared" si="78"/>
        <v>0</v>
      </c>
      <c r="AP57" s="77">
        <f t="shared" si="78"/>
        <v>0</v>
      </c>
      <c r="AQ57" s="77">
        <f t="shared" si="78"/>
        <v>0</v>
      </c>
      <c r="AR57" s="77">
        <f t="shared" si="78"/>
        <v>0</v>
      </c>
      <c r="AS57" s="77">
        <f t="shared" si="78"/>
        <v>0</v>
      </c>
      <c r="AT57" s="77">
        <f t="shared" si="78"/>
        <v>0</v>
      </c>
      <c r="AU57" s="77">
        <f t="shared" si="78"/>
        <v>0</v>
      </c>
      <c r="AV57" s="77">
        <f t="shared" si="78"/>
        <v>0</v>
      </c>
      <c r="AW57" s="77">
        <f t="shared" si="78"/>
        <v>0</v>
      </c>
      <c r="AX57" s="77">
        <f t="shared" si="78"/>
        <v>0</v>
      </c>
      <c r="AY57" s="77">
        <f t="shared" si="78"/>
        <v>0</v>
      </c>
      <c r="AZ57" s="77">
        <f t="shared" si="78"/>
        <v>0</v>
      </c>
      <c r="BA57" s="77">
        <f t="shared" si="78"/>
        <v>0</v>
      </c>
      <c r="BB57" s="77">
        <f t="shared" si="78"/>
        <v>0</v>
      </c>
      <c r="BC57" s="77">
        <f t="shared" si="78"/>
        <v>0</v>
      </c>
      <c r="BD57" s="77">
        <f t="shared" si="78"/>
        <v>0</v>
      </c>
      <c r="BE57" s="77">
        <f t="shared" si="78"/>
        <v>0</v>
      </c>
      <c r="BF57" s="77">
        <f t="shared" si="78"/>
        <v>0</v>
      </c>
      <c r="BG57" s="77">
        <f t="shared" si="78"/>
        <v>0</v>
      </c>
      <c r="BH57" s="77">
        <f t="shared" si="78"/>
        <v>0</v>
      </c>
      <c r="BI57" s="77">
        <f t="shared" si="78"/>
        <v>0</v>
      </c>
      <c r="BJ57" s="77">
        <f t="shared" si="78"/>
        <v>0</v>
      </c>
      <c r="BK57" s="77">
        <f t="shared" si="78"/>
        <v>0</v>
      </c>
      <c r="BL57" s="77">
        <f t="shared" si="78"/>
        <v>0</v>
      </c>
      <c r="BM57" s="77">
        <f t="shared" si="78"/>
        <v>0</v>
      </c>
      <c r="BN57" s="77">
        <f t="shared" si="78"/>
        <v>0</v>
      </c>
      <c r="BO57" s="77">
        <f t="shared" si="78"/>
        <v>0</v>
      </c>
      <c r="BP57" s="77">
        <f t="shared" ref="BP57:CB57" si="79">IF(BP56&gt;$F15+1,0,1)*(IF(BQ57=0,100,0)+IF($G15=1,1,0.5)*$J15*100)</f>
        <v>0</v>
      </c>
      <c r="BQ57" s="77">
        <f t="shared" si="79"/>
        <v>0</v>
      </c>
      <c r="BR57" s="77">
        <f t="shared" si="79"/>
        <v>0</v>
      </c>
      <c r="BS57" s="77">
        <f t="shared" si="79"/>
        <v>0</v>
      </c>
      <c r="BT57" s="77">
        <f t="shared" si="79"/>
        <v>0</v>
      </c>
      <c r="BU57" s="77">
        <f t="shared" si="79"/>
        <v>0</v>
      </c>
      <c r="BV57" s="77">
        <f t="shared" si="79"/>
        <v>0</v>
      </c>
      <c r="BW57" s="77">
        <f t="shared" si="79"/>
        <v>0</v>
      </c>
      <c r="BX57" s="77">
        <f t="shared" si="79"/>
        <v>0</v>
      </c>
      <c r="BY57" s="77">
        <f t="shared" si="79"/>
        <v>0</v>
      </c>
      <c r="BZ57" s="77">
        <f t="shared" si="79"/>
        <v>0</v>
      </c>
      <c r="CA57" s="77">
        <f t="shared" si="79"/>
        <v>0</v>
      </c>
      <c r="CB57" s="78">
        <f t="shared" si="79"/>
        <v>0</v>
      </c>
    </row>
    <row r="58" spans="1:80">
      <c r="A58" s="252" t="s">
        <v>49</v>
      </c>
      <c r="B58" s="47">
        <f>IF(E16=0,F16,E16)</f>
        <v>0</v>
      </c>
      <c r="C58" s="48">
        <f t="shared" ref="C58:BN58" si="80">B58+IF($G16=1,365,182.5)</f>
        <v>182.5</v>
      </c>
      <c r="D58" s="48">
        <f t="shared" si="80"/>
        <v>365</v>
      </c>
      <c r="E58" s="48">
        <f t="shared" si="80"/>
        <v>547.5</v>
      </c>
      <c r="F58" s="48">
        <f t="shared" si="80"/>
        <v>730</v>
      </c>
      <c r="G58" s="48">
        <f t="shared" si="80"/>
        <v>912.5</v>
      </c>
      <c r="H58" s="48">
        <f t="shared" si="80"/>
        <v>1095</v>
      </c>
      <c r="I58" s="48">
        <f t="shared" si="80"/>
        <v>1277.5</v>
      </c>
      <c r="J58" s="48">
        <f t="shared" si="80"/>
        <v>1460</v>
      </c>
      <c r="K58" s="48">
        <f t="shared" si="80"/>
        <v>1642.5</v>
      </c>
      <c r="L58" s="48">
        <f t="shared" si="80"/>
        <v>1825</v>
      </c>
      <c r="M58" s="48">
        <f t="shared" si="80"/>
        <v>2007.5</v>
      </c>
      <c r="N58" s="48">
        <f t="shared" si="80"/>
        <v>2190</v>
      </c>
      <c r="O58" s="48">
        <f t="shared" si="80"/>
        <v>2372.5</v>
      </c>
      <c r="P58" s="48">
        <f t="shared" si="80"/>
        <v>2555</v>
      </c>
      <c r="Q58" s="48">
        <f t="shared" si="80"/>
        <v>2737.5</v>
      </c>
      <c r="R58" s="48">
        <f t="shared" si="80"/>
        <v>2920</v>
      </c>
      <c r="S58" s="48">
        <f t="shared" si="80"/>
        <v>3102.5</v>
      </c>
      <c r="T58" s="48">
        <f t="shared" si="80"/>
        <v>3285</v>
      </c>
      <c r="U58" s="48">
        <f t="shared" si="80"/>
        <v>3467.5</v>
      </c>
      <c r="V58" s="48">
        <f t="shared" si="80"/>
        <v>3650</v>
      </c>
      <c r="W58" s="48">
        <f t="shared" si="80"/>
        <v>3832.5</v>
      </c>
      <c r="X58" s="48">
        <f t="shared" si="80"/>
        <v>4015</v>
      </c>
      <c r="Y58" s="48">
        <f t="shared" si="80"/>
        <v>4197.5</v>
      </c>
      <c r="Z58" s="48">
        <f t="shared" si="80"/>
        <v>4380</v>
      </c>
      <c r="AA58" s="48">
        <f t="shared" si="80"/>
        <v>4562.5</v>
      </c>
      <c r="AB58" s="48">
        <f t="shared" si="80"/>
        <v>4745</v>
      </c>
      <c r="AC58" s="48">
        <f t="shared" si="80"/>
        <v>4927.5</v>
      </c>
      <c r="AD58" s="48">
        <f t="shared" si="80"/>
        <v>5110</v>
      </c>
      <c r="AE58" s="48">
        <f t="shared" si="80"/>
        <v>5292.5</v>
      </c>
      <c r="AF58" s="48">
        <f t="shared" si="80"/>
        <v>5475</v>
      </c>
      <c r="AG58" s="48">
        <f t="shared" si="80"/>
        <v>5657.5</v>
      </c>
      <c r="AH58" s="48">
        <f t="shared" si="80"/>
        <v>5840</v>
      </c>
      <c r="AI58" s="48">
        <f t="shared" si="80"/>
        <v>6022.5</v>
      </c>
      <c r="AJ58" s="48">
        <f t="shared" si="80"/>
        <v>6205</v>
      </c>
      <c r="AK58" s="48">
        <f t="shared" si="80"/>
        <v>6387.5</v>
      </c>
      <c r="AL58" s="48">
        <f t="shared" si="80"/>
        <v>6570</v>
      </c>
      <c r="AM58" s="48">
        <f t="shared" si="80"/>
        <v>6752.5</v>
      </c>
      <c r="AN58" s="48">
        <f t="shared" si="80"/>
        <v>6935</v>
      </c>
      <c r="AO58" s="48">
        <f t="shared" si="80"/>
        <v>7117.5</v>
      </c>
      <c r="AP58" s="48">
        <f t="shared" si="80"/>
        <v>7300</v>
      </c>
      <c r="AQ58" s="48">
        <f t="shared" si="80"/>
        <v>7482.5</v>
      </c>
      <c r="AR58" s="48">
        <f t="shared" si="80"/>
        <v>7665</v>
      </c>
      <c r="AS58" s="48">
        <f t="shared" si="80"/>
        <v>7847.5</v>
      </c>
      <c r="AT58" s="48">
        <f t="shared" si="80"/>
        <v>8030</v>
      </c>
      <c r="AU58" s="48">
        <f t="shared" si="80"/>
        <v>8212.5</v>
      </c>
      <c r="AV58" s="48">
        <f t="shared" si="80"/>
        <v>8395</v>
      </c>
      <c r="AW58" s="48">
        <f t="shared" si="80"/>
        <v>8577.5</v>
      </c>
      <c r="AX58" s="48">
        <f t="shared" si="80"/>
        <v>8760</v>
      </c>
      <c r="AY58" s="48">
        <f t="shared" si="80"/>
        <v>8942.5</v>
      </c>
      <c r="AZ58" s="48">
        <f t="shared" si="80"/>
        <v>9125</v>
      </c>
      <c r="BA58" s="48">
        <f t="shared" si="80"/>
        <v>9307.5</v>
      </c>
      <c r="BB58" s="48">
        <f t="shared" si="80"/>
        <v>9490</v>
      </c>
      <c r="BC58" s="48">
        <f t="shared" si="80"/>
        <v>9672.5</v>
      </c>
      <c r="BD58" s="48">
        <f t="shared" si="80"/>
        <v>9855</v>
      </c>
      <c r="BE58" s="48">
        <f t="shared" si="80"/>
        <v>10037.5</v>
      </c>
      <c r="BF58" s="48">
        <f t="shared" si="80"/>
        <v>10220</v>
      </c>
      <c r="BG58" s="48">
        <f t="shared" si="80"/>
        <v>10402.5</v>
      </c>
      <c r="BH58" s="48">
        <f t="shared" si="80"/>
        <v>10585</v>
      </c>
      <c r="BI58" s="48">
        <f t="shared" si="80"/>
        <v>10767.5</v>
      </c>
      <c r="BJ58" s="48">
        <f t="shared" si="80"/>
        <v>10950</v>
      </c>
      <c r="BK58" s="48">
        <f t="shared" si="80"/>
        <v>11132.5</v>
      </c>
      <c r="BL58" s="48">
        <f t="shared" si="80"/>
        <v>11315</v>
      </c>
      <c r="BM58" s="48">
        <f t="shared" si="80"/>
        <v>11497.5</v>
      </c>
      <c r="BN58" s="48">
        <f t="shared" si="80"/>
        <v>11680</v>
      </c>
      <c r="BO58" s="48">
        <f t="shared" ref="BO58:CB58" si="81">BN58+IF($G16=1,365,182.5)</f>
        <v>11862.5</v>
      </c>
      <c r="BP58" s="48">
        <f t="shared" si="81"/>
        <v>12045</v>
      </c>
      <c r="BQ58" s="48">
        <f t="shared" si="81"/>
        <v>12227.5</v>
      </c>
      <c r="BR58" s="48">
        <f t="shared" si="81"/>
        <v>12410</v>
      </c>
      <c r="BS58" s="48">
        <f t="shared" si="81"/>
        <v>12592.5</v>
      </c>
      <c r="BT58" s="48">
        <f t="shared" si="81"/>
        <v>12775</v>
      </c>
      <c r="BU58" s="48">
        <f t="shared" si="81"/>
        <v>12957.5</v>
      </c>
      <c r="BV58" s="48">
        <f t="shared" si="81"/>
        <v>13140</v>
      </c>
      <c r="BW58" s="48">
        <f t="shared" si="81"/>
        <v>13322.5</v>
      </c>
      <c r="BX58" s="48">
        <f t="shared" si="81"/>
        <v>13505</v>
      </c>
      <c r="BY58" s="48">
        <f t="shared" si="81"/>
        <v>13687.5</v>
      </c>
      <c r="BZ58" s="48">
        <f t="shared" si="81"/>
        <v>13870</v>
      </c>
      <c r="CA58" s="48">
        <f t="shared" si="81"/>
        <v>14052.5</v>
      </c>
      <c r="CB58" s="49">
        <f t="shared" si="81"/>
        <v>14235</v>
      </c>
    </row>
    <row r="59" spans="1:80">
      <c r="A59" s="168" t="s">
        <v>18</v>
      </c>
      <c r="B59" s="108">
        <f>(IF(B58=F16,100,0)+IF(G16=1,1,0.5)*J16*100)*IF(ISBLANK(F16)=TRUE,0,1)</f>
        <v>0</v>
      </c>
      <c r="C59" s="50">
        <f>IF(C58&gt;$F16+1,0,1)*(IF(D59=0,100,0)+IF($G16=1,1,0.5)*$J16*100)</f>
        <v>0</v>
      </c>
      <c r="D59" s="50">
        <f t="shared" ref="D59:BO59" si="82">IF(D58&gt;$F16+1,0,1)*(IF(E59=0,100,0)+IF($G16=1,1,0.5)*$J16*100)</f>
        <v>0</v>
      </c>
      <c r="E59" s="50">
        <f t="shared" si="82"/>
        <v>0</v>
      </c>
      <c r="F59" s="50">
        <f t="shared" si="82"/>
        <v>0</v>
      </c>
      <c r="G59" s="50">
        <f t="shared" si="82"/>
        <v>0</v>
      </c>
      <c r="H59" s="50">
        <f t="shared" si="82"/>
        <v>0</v>
      </c>
      <c r="I59" s="50">
        <f t="shared" si="82"/>
        <v>0</v>
      </c>
      <c r="J59" s="50">
        <f t="shared" si="82"/>
        <v>0</v>
      </c>
      <c r="K59" s="50">
        <f t="shared" si="82"/>
        <v>0</v>
      </c>
      <c r="L59" s="50">
        <f t="shared" si="82"/>
        <v>0</v>
      </c>
      <c r="M59" s="50">
        <f t="shared" si="82"/>
        <v>0</v>
      </c>
      <c r="N59" s="50">
        <f t="shared" si="82"/>
        <v>0</v>
      </c>
      <c r="O59" s="50">
        <f t="shared" si="82"/>
        <v>0</v>
      </c>
      <c r="P59" s="50">
        <f t="shared" si="82"/>
        <v>0</v>
      </c>
      <c r="Q59" s="50">
        <f t="shared" si="82"/>
        <v>0</v>
      </c>
      <c r="R59" s="50">
        <f t="shared" si="82"/>
        <v>0</v>
      </c>
      <c r="S59" s="50">
        <f t="shared" si="82"/>
        <v>0</v>
      </c>
      <c r="T59" s="50">
        <f t="shared" si="82"/>
        <v>0</v>
      </c>
      <c r="U59" s="50">
        <f t="shared" si="82"/>
        <v>0</v>
      </c>
      <c r="V59" s="50">
        <f t="shared" si="82"/>
        <v>0</v>
      </c>
      <c r="W59" s="50">
        <f t="shared" si="82"/>
        <v>0</v>
      </c>
      <c r="X59" s="50">
        <f t="shared" si="82"/>
        <v>0</v>
      </c>
      <c r="Y59" s="50">
        <f t="shared" si="82"/>
        <v>0</v>
      </c>
      <c r="Z59" s="50">
        <f t="shared" si="82"/>
        <v>0</v>
      </c>
      <c r="AA59" s="50">
        <f t="shared" si="82"/>
        <v>0</v>
      </c>
      <c r="AB59" s="50">
        <f t="shared" si="82"/>
        <v>0</v>
      </c>
      <c r="AC59" s="50">
        <f t="shared" si="82"/>
        <v>0</v>
      </c>
      <c r="AD59" s="50">
        <f t="shared" si="82"/>
        <v>0</v>
      </c>
      <c r="AE59" s="50">
        <f t="shared" si="82"/>
        <v>0</v>
      </c>
      <c r="AF59" s="50">
        <f t="shared" si="82"/>
        <v>0</v>
      </c>
      <c r="AG59" s="50">
        <f t="shared" si="82"/>
        <v>0</v>
      </c>
      <c r="AH59" s="50">
        <f t="shared" si="82"/>
        <v>0</v>
      </c>
      <c r="AI59" s="50">
        <f t="shared" si="82"/>
        <v>0</v>
      </c>
      <c r="AJ59" s="50">
        <f t="shared" si="82"/>
        <v>0</v>
      </c>
      <c r="AK59" s="50">
        <f t="shared" si="82"/>
        <v>0</v>
      </c>
      <c r="AL59" s="50">
        <f t="shared" si="82"/>
        <v>0</v>
      </c>
      <c r="AM59" s="50">
        <f t="shared" si="82"/>
        <v>0</v>
      </c>
      <c r="AN59" s="50">
        <f t="shared" si="82"/>
        <v>0</v>
      </c>
      <c r="AO59" s="50">
        <f t="shared" si="82"/>
        <v>0</v>
      </c>
      <c r="AP59" s="50">
        <f t="shared" si="82"/>
        <v>0</v>
      </c>
      <c r="AQ59" s="50">
        <f t="shared" si="82"/>
        <v>0</v>
      </c>
      <c r="AR59" s="50">
        <f t="shared" si="82"/>
        <v>0</v>
      </c>
      <c r="AS59" s="50">
        <f t="shared" si="82"/>
        <v>0</v>
      </c>
      <c r="AT59" s="50">
        <f t="shared" si="82"/>
        <v>0</v>
      </c>
      <c r="AU59" s="50">
        <f t="shared" si="82"/>
        <v>0</v>
      </c>
      <c r="AV59" s="50">
        <f t="shared" si="82"/>
        <v>0</v>
      </c>
      <c r="AW59" s="50">
        <f t="shared" si="82"/>
        <v>0</v>
      </c>
      <c r="AX59" s="50">
        <f t="shared" si="82"/>
        <v>0</v>
      </c>
      <c r="AY59" s="50">
        <f t="shared" si="82"/>
        <v>0</v>
      </c>
      <c r="AZ59" s="50">
        <f t="shared" si="82"/>
        <v>0</v>
      </c>
      <c r="BA59" s="50">
        <f t="shared" si="82"/>
        <v>0</v>
      </c>
      <c r="BB59" s="50">
        <f t="shared" si="82"/>
        <v>0</v>
      </c>
      <c r="BC59" s="50">
        <f t="shared" si="82"/>
        <v>0</v>
      </c>
      <c r="BD59" s="50">
        <f t="shared" si="82"/>
        <v>0</v>
      </c>
      <c r="BE59" s="50">
        <f t="shared" si="82"/>
        <v>0</v>
      </c>
      <c r="BF59" s="50">
        <f t="shared" si="82"/>
        <v>0</v>
      </c>
      <c r="BG59" s="50">
        <f t="shared" si="82"/>
        <v>0</v>
      </c>
      <c r="BH59" s="50">
        <f t="shared" si="82"/>
        <v>0</v>
      </c>
      <c r="BI59" s="50">
        <f t="shared" si="82"/>
        <v>0</v>
      </c>
      <c r="BJ59" s="50">
        <f t="shared" si="82"/>
        <v>0</v>
      </c>
      <c r="BK59" s="50">
        <f t="shared" si="82"/>
        <v>0</v>
      </c>
      <c r="BL59" s="50">
        <f t="shared" si="82"/>
        <v>0</v>
      </c>
      <c r="BM59" s="50">
        <f t="shared" si="82"/>
        <v>0</v>
      </c>
      <c r="BN59" s="50">
        <f t="shared" si="82"/>
        <v>0</v>
      </c>
      <c r="BO59" s="50">
        <f t="shared" si="82"/>
        <v>0</v>
      </c>
      <c r="BP59" s="50">
        <f t="shared" ref="BP59:CB59" si="83">IF(BP58&gt;$F16+1,0,1)*(IF(BQ59=0,100,0)+IF($G16=1,1,0.5)*$J16*100)</f>
        <v>0</v>
      </c>
      <c r="BQ59" s="50">
        <f t="shared" si="83"/>
        <v>0</v>
      </c>
      <c r="BR59" s="50">
        <f t="shared" si="83"/>
        <v>0</v>
      </c>
      <c r="BS59" s="50">
        <f t="shared" si="83"/>
        <v>0</v>
      </c>
      <c r="BT59" s="50">
        <f t="shared" si="83"/>
        <v>0</v>
      </c>
      <c r="BU59" s="50">
        <f t="shared" si="83"/>
        <v>0</v>
      </c>
      <c r="BV59" s="50">
        <f t="shared" si="83"/>
        <v>0</v>
      </c>
      <c r="BW59" s="50">
        <f t="shared" si="83"/>
        <v>0</v>
      </c>
      <c r="BX59" s="50">
        <f t="shared" si="83"/>
        <v>0</v>
      </c>
      <c r="BY59" s="50">
        <f t="shared" si="83"/>
        <v>0</v>
      </c>
      <c r="BZ59" s="50">
        <f t="shared" si="83"/>
        <v>0</v>
      </c>
      <c r="CA59" s="50">
        <f t="shared" si="83"/>
        <v>0</v>
      </c>
      <c r="CB59" s="51">
        <f t="shared" si="83"/>
        <v>0</v>
      </c>
    </row>
    <row r="60" spans="1:80">
      <c r="A60" s="251" t="s">
        <v>49</v>
      </c>
      <c r="B60" s="79">
        <f>IF(E17=0,F17,E17)</f>
        <v>0</v>
      </c>
      <c r="C60" s="80">
        <f t="shared" ref="C60:BN60" si="84">B60+IF($G17=1,365,182.5)</f>
        <v>182.5</v>
      </c>
      <c r="D60" s="80">
        <f t="shared" si="84"/>
        <v>365</v>
      </c>
      <c r="E60" s="80">
        <f t="shared" si="84"/>
        <v>547.5</v>
      </c>
      <c r="F60" s="80">
        <f t="shared" si="84"/>
        <v>730</v>
      </c>
      <c r="G60" s="80">
        <f t="shared" si="84"/>
        <v>912.5</v>
      </c>
      <c r="H60" s="80">
        <f t="shared" si="84"/>
        <v>1095</v>
      </c>
      <c r="I60" s="80">
        <f t="shared" si="84"/>
        <v>1277.5</v>
      </c>
      <c r="J60" s="80">
        <f t="shared" si="84"/>
        <v>1460</v>
      </c>
      <c r="K60" s="80">
        <f t="shared" si="84"/>
        <v>1642.5</v>
      </c>
      <c r="L60" s="80">
        <f t="shared" si="84"/>
        <v>1825</v>
      </c>
      <c r="M60" s="80">
        <f t="shared" si="84"/>
        <v>2007.5</v>
      </c>
      <c r="N60" s="80">
        <f t="shared" si="84"/>
        <v>2190</v>
      </c>
      <c r="O60" s="80">
        <f t="shared" si="84"/>
        <v>2372.5</v>
      </c>
      <c r="P60" s="80">
        <f t="shared" si="84"/>
        <v>2555</v>
      </c>
      <c r="Q60" s="80">
        <f t="shared" si="84"/>
        <v>2737.5</v>
      </c>
      <c r="R60" s="80">
        <f t="shared" si="84"/>
        <v>2920</v>
      </c>
      <c r="S60" s="80">
        <f t="shared" si="84"/>
        <v>3102.5</v>
      </c>
      <c r="T60" s="80">
        <f t="shared" si="84"/>
        <v>3285</v>
      </c>
      <c r="U60" s="80">
        <f t="shared" si="84"/>
        <v>3467.5</v>
      </c>
      <c r="V60" s="80">
        <f t="shared" si="84"/>
        <v>3650</v>
      </c>
      <c r="W60" s="80">
        <f t="shared" si="84"/>
        <v>3832.5</v>
      </c>
      <c r="X60" s="80">
        <f t="shared" si="84"/>
        <v>4015</v>
      </c>
      <c r="Y60" s="80">
        <f t="shared" si="84"/>
        <v>4197.5</v>
      </c>
      <c r="Z60" s="80">
        <f t="shared" si="84"/>
        <v>4380</v>
      </c>
      <c r="AA60" s="80">
        <f t="shared" si="84"/>
        <v>4562.5</v>
      </c>
      <c r="AB60" s="80">
        <f t="shared" si="84"/>
        <v>4745</v>
      </c>
      <c r="AC60" s="80">
        <f t="shared" si="84"/>
        <v>4927.5</v>
      </c>
      <c r="AD60" s="80">
        <f t="shared" si="84"/>
        <v>5110</v>
      </c>
      <c r="AE60" s="80">
        <f t="shared" si="84"/>
        <v>5292.5</v>
      </c>
      <c r="AF60" s="80">
        <f t="shared" si="84"/>
        <v>5475</v>
      </c>
      <c r="AG60" s="80">
        <f t="shared" si="84"/>
        <v>5657.5</v>
      </c>
      <c r="AH60" s="80">
        <f t="shared" si="84"/>
        <v>5840</v>
      </c>
      <c r="AI60" s="80">
        <f t="shared" si="84"/>
        <v>6022.5</v>
      </c>
      <c r="AJ60" s="80">
        <f t="shared" si="84"/>
        <v>6205</v>
      </c>
      <c r="AK60" s="80">
        <f t="shared" si="84"/>
        <v>6387.5</v>
      </c>
      <c r="AL60" s="80">
        <f t="shared" si="84"/>
        <v>6570</v>
      </c>
      <c r="AM60" s="80">
        <f t="shared" si="84"/>
        <v>6752.5</v>
      </c>
      <c r="AN60" s="80">
        <f t="shared" si="84"/>
        <v>6935</v>
      </c>
      <c r="AO60" s="80">
        <f t="shared" si="84"/>
        <v>7117.5</v>
      </c>
      <c r="AP60" s="80">
        <f t="shared" si="84"/>
        <v>7300</v>
      </c>
      <c r="AQ60" s="80">
        <f t="shared" si="84"/>
        <v>7482.5</v>
      </c>
      <c r="AR60" s="80">
        <f t="shared" si="84"/>
        <v>7665</v>
      </c>
      <c r="AS60" s="80">
        <f t="shared" si="84"/>
        <v>7847.5</v>
      </c>
      <c r="AT60" s="80">
        <f t="shared" si="84"/>
        <v>8030</v>
      </c>
      <c r="AU60" s="80">
        <f t="shared" si="84"/>
        <v>8212.5</v>
      </c>
      <c r="AV60" s="80">
        <f t="shared" si="84"/>
        <v>8395</v>
      </c>
      <c r="AW60" s="80">
        <f t="shared" si="84"/>
        <v>8577.5</v>
      </c>
      <c r="AX60" s="80">
        <f t="shared" si="84"/>
        <v>8760</v>
      </c>
      <c r="AY60" s="80">
        <f t="shared" si="84"/>
        <v>8942.5</v>
      </c>
      <c r="AZ60" s="80">
        <f t="shared" si="84"/>
        <v>9125</v>
      </c>
      <c r="BA60" s="80">
        <f t="shared" si="84"/>
        <v>9307.5</v>
      </c>
      <c r="BB60" s="80">
        <f t="shared" si="84"/>
        <v>9490</v>
      </c>
      <c r="BC60" s="80">
        <f t="shared" si="84"/>
        <v>9672.5</v>
      </c>
      <c r="BD60" s="80">
        <f t="shared" si="84"/>
        <v>9855</v>
      </c>
      <c r="BE60" s="80">
        <f t="shared" si="84"/>
        <v>10037.5</v>
      </c>
      <c r="BF60" s="80">
        <f t="shared" si="84"/>
        <v>10220</v>
      </c>
      <c r="BG60" s="80">
        <f t="shared" si="84"/>
        <v>10402.5</v>
      </c>
      <c r="BH60" s="80">
        <f t="shared" si="84"/>
        <v>10585</v>
      </c>
      <c r="BI60" s="80">
        <f t="shared" si="84"/>
        <v>10767.5</v>
      </c>
      <c r="BJ60" s="80">
        <f t="shared" si="84"/>
        <v>10950</v>
      </c>
      <c r="BK60" s="80">
        <f t="shared" si="84"/>
        <v>11132.5</v>
      </c>
      <c r="BL60" s="80">
        <f t="shared" si="84"/>
        <v>11315</v>
      </c>
      <c r="BM60" s="80">
        <f t="shared" si="84"/>
        <v>11497.5</v>
      </c>
      <c r="BN60" s="80">
        <f t="shared" si="84"/>
        <v>11680</v>
      </c>
      <c r="BO60" s="80">
        <f t="shared" ref="BO60:CB60" si="85">BN60+IF($G17=1,365,182.5)</f>
        <v>11862.5</v>
      </c>
      <c r="BP60" s="80">
        <f t="shared" si="85"/>
        <v>12045</v>
      </c>
      <c r="BQ60" s="80">
        <f t="shared" si="85"/>
        <v>12227.5</v>
      </c>
      <c r="BR60" s="80">
        <f t="shared" si="85"/>
        <v>12410</v>
      </c>
      <c r="BS60" s="80">
        <f t="shared" si="85"/>
        <v>12592.5</v>
      </c>
      <c r="BT60" s="80">
        <f t="shared" si="85"/>
        <v>12775</v>
      </c>
      <c r="BU60" s="80">
        <f t="shared" si="85"/>
        <v>12957.5</v>
      </c>
      <c r="BV60" s="80">
        <f t="shared" si="85"/>
        <v>13140</v>
      </c>
      <c r="BW60" s="80">
        <f t="shared" si="85"/>
        <v>13322.5</v>
      </c>
      <c r="BX60" s="80">
        <f t="shared" si="85"/>
        <v>13505</v>
      </c>
      <c r="BY60" s="80">
        <f t="shared" si="85"/>
        <v>13687.5</v>
      </c>
      <c r="BZ60" s="80">
        <f t="shared" si="85"/>
        <v>13870</v>
      </c>
      <c r="CA60" s="80">
        <f t="shared" si="85"/>
        <v>14052.5</v>
      </c>
      <c r="CB60" s="81">
        <f t="shared" si="85"/>
        <v>14235</v>
      </c>
    </row>
    <row r="61" spans="1:80">
      <c r="A61" s="176" t="s">
        <v>33</v>
      </c>
      <c r="B61" s="114">
        <f>(IF(B60=F17,100,0)+IF(G17=1,1,0.5)*J17*100)*IF(ISBLANK(F17)=TRUE,0,1)</f>
        <v>0</v>
      </c>
      <c r="C61" s="82">
        <f>IF(C60&gt;$F17+1,0,1)*(IF(D61=0,100,0)+IF($G17=1,1,0.5)*$J17*100)</f>
        <v>0</v>
      </c>
      <c r="D61" s="82">
        <f t="shared" ref="D61:BO61" si="86">IF(D60&gt;$F17+1,0,1)*(IF(E61=0,100,0)+IF($G17=1,1,0.5)*$J17*100)</f>
        <v>0</v>
      </c>
      <c r="E61" s="82">
        <f t="shared" si="86"/>
        <v>0</v>
      </c>
      <c r="F61" s="82">
        <f t="shared" si="86"/>
        <v>0</v>
      </c>
      <c r="G61" s="82">
        <f t="shared" si="86"/>
        <v>0</v>
      </c>
      <c r="H61" s="82">
        <f t="shared" si="86"/>
        <v>0</v>
      </c>
      <c r="I61" s="82">
        <f t="shared" si="86"/>
        <v>0</v>
      </c>
      <c r="J61" s="82">
        <f t="shared" si="86"/>
        <v>0</v>
      </c>
      <c r="K61" s="82">
        <f t="shared" si="86"/>
        <v>0</v>
      </c>
      <c r="L61" s="82">
        <f t="shared" si="86"/>
        <v>0</v>
      </c>
      <c r="M61" s="82">
        <f t="shared" si="86"/>
        <v>0</v>
      </c>
      <c r="N61" s="82">
        <f t="shared" si="86"/>
        <v>0</v>
      </c>
      <c r="O61" s="82">
        <f t="shared" si="86"/>
        <v>0</v>
      </c>
      <c r="P61" s="82">
        <f t="shared" si="86"/>
        <v>0</v>
      </c>
      <c r="Q61" s="82">
        <f t="shared" si="86"/>
        <v>0</v>
      </c>
      <c r="R61" s="82">
        <f t="shared" si="86"/>
        <v>0</v>
      </c>
      <c r="S61" s="82">
        <f t="shared" si="86"/>
        <v>0</v>
      </c>
      <c r="T61" s="82">
        <f t="shared" si="86"/>
        <v>0</v>
      </c>
      <c r="U61" s="82">
        <f t="shared" si="86"/>
        <v>0</v>
      </c>
      <c r="V61" s="82">
        <f t="shared" si="86"/>
        <v>0</v>
      </c>
      <c r="W61" s="82">
        <f t="shared" si="86"/>
        <v>0</v>
      </c>
      <c r="X61" s="82">
        <f t="shared" si="86"/>
        <v>0</v>
      </c>
      <c r="Y61" s="82">
        <f t="shared" si="86"/>
        <v>0</v>
      </c>
      <c r="Z61" s="82">
        <f t="shared" si="86"/>
        <v>0</v>
      </c>
      <c r="AA61" s="82">
        <f t="shared" si="86"/>
        <v>0</v>
      </c>
      <c r="AB61" s="82">
        <f t="shared" si="86"/>
        <v>0</v>
      </c>
      <c r="AC61" s="82">
        <f t="shared" si="86"/>
        <v>0</v>
      </c>
      <c r="AD61" s="82">
        <f t="shared" si="86"/>
        <v>0</v>
      </c>
      <c r="AE61" s="82">
        <f t="shared" si="86"/>
        <v>0</v>
      </c>
      <c r="AF61" s="82">
        <f t="shared" si="86"/>
        <v>0</v>
      </c>
      <c r="AG61" s="82">
        <f t="shared" si="86"/>
        <v>0</v>
      </c>
      <c r="AH61" s="82">
        <f t="shared" si="86"/>
        <v>0</v>
      </c>
      <c r="AI61" s="82">
        <f t="shared" si="86"/>
        <v>0</v>
      </c>
      <c r="AJ61" s="82">
        <f t="shared" si="86"/>
        <v>0</v>
      </c>
      <c r="AK61" s="82">
        <f t="shared" si="86"/>
        <v>0</v>
      </c>
      <c r="AL61" s="82">
        <f t="shared" si="86"/>
        <v>0</v>
      </c>
      <c r="AM61" s="82">
        <f t="shared" si="86"/>
        <v>0</v>
      </c>
      <c r="AN61" s="82">
        <f t="shared" si="86"/>
        <v>0</v>
      </c>
      <c r="AO61" s="82">
        <f t="shared" si="86"/>
        <v>0</v>
      </c>
      <c r="AP61" s="82">
        <f t="shared" si="86"/>
        <v>0</v>
      </c>
      <c r="AQ61" s="82">
        <f t="shared" si="86"/>
        <v>0</v>
      </c>
      <c r="AR61" s="82">
        <f t="shared" si="86"/>
        <v>0</v>
      </c>
      <c r="AS61" s="82">
        <f t="shared" si="86"/>
        <v>0</v>
      </c>
      <c r="AT61" s="82">
        <f t="shared" si="86"/>
        <v>0</v>
      </c>
      <c r="AU61" s="82">
        <f t="shared" si="86"/>
        <v>0</v>
      </c>
      <c r="AV61" s="82">
        <f t="shared" si="86"/>
        <v>0</v>
      </c>
      <c r="AW61" s="82">
        <f t="shared" si="86"/>
        <v>0</v>
      </c>
      <c r="AX61" s="82">
        <f t="shared" si="86"/>
        <v>0</v>
      </c>
      <c r="AY61" s="82">
        <f t="shared" si="86"/>
        <v>0</v>
      </c>
      <c r="AZ61" s="82">
        <f t="shared" si="86"/>
        <v>0</v>
      </c>
      <c r="BA61" s="82">
        <f t="shared" si="86"/>
        <v>0</v>
      </c>
      <c r="BB61" s="82">
        <f t="shared" si="86"/>
        <v>0</v>
      </c>
      <c r="BC61" s="82">
        <f t="shared" si="86"/>
        <v>0</v>
      </c>
      <c r="BD61" s="82">
        <f t="shared" si="86"/>
        <v>0</v>
      </c>
      <c r="BE61" s="82">
        <f t="shared" si="86"/>
        <v>0</v>
      </c>
      <c r="BF61" s="82">
        <f t="shared" si="86"/>
        <v>0</v>
      </c>
      <c r="BG61" s="82">
        <f t="shared" si="86"/>
        <v>0</v>
      </c>
      <c r="BH61" s="82">
        <f t="shared" si="86"/>
        <v>0</v>
      </c>
      <c r="BI61" s="82">
        <f t="shared" si="86"/>
        <v>0</v>
      </c>
      <c r="BJ61" s="82">
        <f t="shared" si="86"/>
        <v>0</v>
      </c>
      <c r="BK61" s="82">
        <f t="shared" si="86"/>
        <v>0</v>
      </c>
      <c r="BL61" s="82">
        <f t="shared" si="86"/>
        <v>0</v>
      </c>
      <c r="BM61" s="82">
        <f t="shared" si="86"/>
        <v>0</v>
      </c>
      <c r="BN61" s="82">
        <f t="shared" si="86"/>
        <v>0</v>
      </c>
      <c r="BO61" s="82">
        <f t="shared" si="86"/>
        <v>0</v>
      </c>
      <c r="BP61" s="82">
        <f t="shared" ref="BP61:CB61" si="87">IF(BP60&gt;$F17+1,0,1)*(IF(BQ61=0,100,0)+IF($G17=1,1,0.5)*$J17*100)</f>
        <v>0</v>
      </c>
      <c r="BQ61" s="82">
        <f t="shared" si="87"/>
        <v>0</v>
      </c>
      <c r="BR61" s="82">
        <f t="shared" si="87"/>
        <v>0</v>
      </c>
      <c r="BS61" s="82">
        <f t="shared" si="87"/>
        <v>0</v>
      </c>
      <c r="BT61" s="82">
        <f t="shared" si="87"/>
        <v>0</v>
      </c>
      <c r="BU61" s="82">
        <f t="shared" si="87"/>
        <v>0</v>
      </c>
      <c r="BV61" s="82">
        <f t="shared" si="87"/>
        <v>0</v>
      </c>
      <c r="BW61" s="82">
        <f t="shared" si="87"/>
        <v>0</v>
      </c>
      <c r="BX61" s="82">
        <f t="shared" si="87"/>
        <v>0</v>
      </c>
      <c r="BY61" s="82">
        <f t="shared" si="87"/>
        <v>0</v>
      </c>
      <c r="BZ61" s="82">
        <f t="shared" si="87"/>
        <v>0</v>
      </c>
      <c r="CA61" s="82">
        <f t="shared" si="87"/>
        <v>0</v>
      </c>
      <c r="CB61" s="83">
        <f t="shared" si="87"/>
        <v>0</v>
      </c>
    </row>
    <row r="62" spans="1:80">
      <c r="A62" s="250" t="s">
        <v>49</v>
      </c>
      <c r="B62" s="84">
        <f>IF(E18=0,F18,E18)</f>
        <v>0</v>
      </c>
      <c r="C62" s="85">
        <f t="shared" ref="C62:BN62" si="88">B62+IF($G18=1,365,182.5)</f>
        <v>182.5</v>
      </c>
      <c r="D62" s="85">
        <f t="shared" si="88"/>
        <v>365</v>
      </c>
      <c r="E62" s="85">
        <f t="shared" si="88"/>
        <v>547.5</v>
      </c>
      <c r="F62" s="85">
        <f t="shared" si="88"/>
        <v>730</v>
      </c>
      <c r="G62" s="85">
        <f t="shared" si="88"/>
        <v>912.5</v>
      </c>
      <c r="H62" s="85">
        <f t="shared" si="88"/>
        <v>1095</v>
      </c>
      <c r="I62" s="85">
        <f t="shared" si="88"/>
        <v>1277.5</v>
      </c>
      <c r="J62" s="85">
        <f t="shared" si="88"/>
        <v>1460</v>
      </c>
      <c r="K62" s="85">
        <f t="shared" si="88"/>
        <v>1642.5</v>
      </c>
      <c r="L62" s="85">
        <f t="shared" si="88"/>
        <v>1825</v>
      </c>
      <c r="M62" s="85">
        <f t="shared" si="88"/>
        <v>2007.5</v>
      </c>
      <c r="N62" s="85">
        <f t="shared" si="88"/>
        <v>2190</v>
      </c>
      <c r="O62" s="85">
        <f t="shared" si="88"/>
        <v>2372.5</v>
      </c>
      <c r="P62" s="85">
        <f t="shared" si="88"/>
        <v>2555</v>
      </c>
      <c r="Q62" s="85">
        <f t="shared" si="88"/>
        <v>2737.5</v>
      </c>
      <c r="R62" s="85">
        <f t="shared" si="88"/>
        <v>2920</v>
      </c>
      <c r="S62" s="85">
        <f t="shared" si="88"/>
        <v>3102.5</v>
      </c>
      <c r="T62" s="85">
        <f t="shared" si="88"/>
        <v>3285</v>
      </c>
      <c r="U62" s="85">
        <f t="shared" si="88"/>
        <v>3467.5</v>
      </c>
      <c r="V62" s="85">
        <f t="shared" si="88"/>
        <v>3650</v>
      </c>
      <c r="W62" s="85">
        <f t="shared" si="88"/>
        <v>3832.5</v>
      </c>
      <c r="X62" s="85">
        <f t="shared" si="88"/>
        <v>4015</v>
      </c>
      <c r="Y62" s="85">
        <f t="shared" si="88"/>
        <v>4197.5</v>
      </c>
      <c r="Z62" s="85">
        <f t="shared" si="88"/>
        <v>4380</v>
      </c>
      <c r="AA62" s="85">
        <f t="shared" si="88"/>
        <v>4562.5</v>
      </c>
      <c r="AB62" s="85">
        <f t="shared" si="88"/>
        <v>4745</v>
      </c>
      <c r="AC62" s="85">
        <f t="shared" si="88"/>
        <v>4927.5</v>
      </c>
      <c r="AD62" s="85">
        <f t="shared" si="88"/>
        <v>5110</v>
      </c>
      <c r="AE62" s="85">
        <f t="shared" si="88"/>
        <v>5292.5</v>
      </c>
      <c r="AF62" s="85">
        <f t="shared" si="88"/>
        <v>5475</v>
      </c>
      <c r="AG62" s="85">
        <f t="shared" si="88"/>
        <v>5657.5</v>
      </c>
      <c r="AH62" s="85">
        <f t="shared" si="88"/>
        <v>5840</v>
      </c>
      <c r="AI62" s="85">
        <f t="shared" si="88"/>
        <v>6022.5</v>
      </c>
      <c r="AJ62" s="85">
        <f t="shared" si="88"/>
        <v>6205</v>
      </c>
      <c r="AK62" s="85">
        <f t="shared" si="88"/>
        <v>6387.5</v>
      </c>
      <c r="AL62" s="85">
        <f t="shared" si="88"/>
        <v>6570</v>
      </c>
      <c r="AM62" s="85">
        <f t="shared" si="88"/>
        <v>6752.5</v>
      </c>
      <c r="AN62" s="85">
        <f t="shared" si="88"/>
        <v>6935</v>
      </c>
      <c r="AO62" s="85">
        <f t="shared" si="88"/>
        <v>7117.5</v>
      </c>
      <c r="AP62" s="85">
        <f t="shared" si="88"/>
        <v>7300</v>
      </c>
      <c r="AQ62" s="85">
        <f t="shared" si="88"/>
        <v>7482.5</v>
      </c>
      <c r="AR62" s="85">
        <f t="shared" si="88"/>
        <v>7665</v>
      </c>
      <c r="AS62" s="85">
        <f t="shared" si="88"/>
        <v>7847.5</v>
      </c>
      <c r="AT62" s="85">
        <f t="shared" si="88"/>
        <v>8030</v>
      </c>
      <c r="AU62" s="85">
        <f t="shared" si="88"/>
        <v>8212.5</v>
      </c>
      <c r="AV62" s="85">
        <f t="shared" si="88"/>
        <v>8395</v>
      </c>
      <c r="AW62" s="85">
        <f t="shared" si="88"/>
        <v>8577.5</v>
      </c>
      <c r="AX62" s="85">
        <f t="shared" si="88"/>
        <v>8760</v>
      </c>
      <c r="AY62" s="85">
        <f t="shared" si="88"/>
        <v>8942.5</v>
      </c>
      <c r="AZ62" s="85">
        <f t="shared" si="88"/>
        <v>9125</v>
      </c>
      <c r="BA62" s="85">
        <f t="shared" si="88"/>
        <v>9307.5</v>
      </c>
      <c r="BB62" s="85">
        <f t="shared" si="88"/>
        <v>9490</v>
      </c>
      <c r="BC62" s="85">
        <f t="shared" si="88"/>
        <v>9672.5</v>
      </c>
      <c r="BD62" s="85">
        <f t="shared" si="88"/>
        <v>9855</v>
      </c>
      <c r="BE62" s="85">
        <f t="shared" si="88"/>
        <v>10037.5</v>
      </c>
      <c r="BF62" s="85">
        <f t="shared" si="88"/>
        <v>10220</v>
      </c>
      <c r="BG62" s="85">
        <f t="shared" si="88"/>
        <v>10402.5</v>
      </c>
      <c r="BH62" s="85">
        <f t="shared" si="88"/>
        <v>10585</v>
      </c>
      <c r="BI62" s="85">
        <f t="shared" si="88"/>
        <v>10767.5</v>
      </c>
      <c r="BJ62" s="85">
        <f t="shared" si="88"/>
        <v>10950</v>
      </c>
      <c r="BK62" s="85">
        <f t="shared" si="88"/>
        <v>11132.5</v>
      </c>
      <c r="BL62" s="85">
        <f t="shared" si="88"/>
        <v>11315</v>
      </c>
      <c r="BM62" s="85">
        <f t="shared" si="88"/>
        <v>11497.5</v>
      </c>
      <c r="BN62" s="85">
        <f t="shared" si="88"/>
        <v>11680</v>
      </c>
      <c r="BO62" s="85">
        <f t="shared" ref="BO62:CB62" si="89">BN62+IF($G18=1,365,182.5)</f>
        <v>11862.5</v>
      </c>
      <c r="BP62" s="85">
        <f t="shared" si="89"/>
        <v>12045</v>
      </c>
      <c r="BQ62" s="85">
        <f t="shared" si="89"/>
        <v>12227.5</v>
      </c>
      <c r="BR62" s="85">
        <f t="shared" si="89"/>
        <v>12410</v>
      </c>
      <c r="BS62" s="85">
        <f t="shared" si="89"/>
        <v>12592.5</v>
      </c>
      <c r="BT62" s="85">
        <f t="shared" si="89"/>
        <v>12775</v>
      </c>
      <c r="BU62" s="85">
        <f t="shared" si="89"/>
        <v>12957.5</v>
      </c>
      <c r="BV62" s="85">
        <f t="shared" si="89"/>
        <v>13140</v>
      </c>
      <c r="BW62" s="85">
        <f t="shared" si="89"/>
        <v>13322.5</v>
      </c>
      <c r="BX62" s="85">
        <f t="shared" si="89"/>
        <v>13505</v>
      </c>
      <c r="BY62" s="85">
        <f t="shared" si="89"/>
        <v>13687.5</v>
      </c>
      <c r="BZ62" s="85">
        <f t="shared" si="89"/>
        <v>13870</v>
      </c>
      <c r="CA62" s="85">
        <f t="shared" si="89"/>
        <v>14052.5</v>
      </c>
      <c r="CB62" s="86">
        <f t="shared" si="89"/>
        <v>14235</v>
      </c>
    </row>
    <row r="63" spans="1:80">
      <c r="A63" s="177" t="s">
        <v>34</v>
      </c>
      <c r="B63" s="115">
        <f>(IF(B62=F18,100,0)+IF(G18=1,1,0.5)*J18*100)*IF(ISBLANK(F18)=TRUE,0,1)</f>
        <v>0</v>
      </c>
      <c r="C63" s="523">
        <f>IF(C62&gt;$F18+1,0,1)*(IF(D63=0,100,0)+IF($G18=1,1,0.5)*$J18*100)</f>
        <v>0</v>
      </c>
      <c r="D63" s="87">
        <f t="shared" ref="D63:BO63" si="90">IF(D62&gt;$F18+1,0,1)*(IF(E63=0,100,0)+IF($G18=1,1,0.5)*$J18*100)</f>
        <v>0</v>
      </c>
      <c r="E63" s="87">
        <f t="shared" si="90"/>
        <v>0</v>
      </c>
      <c r="F63" s="87">
        <f t="shared" si="90"/>
        <v>0</v>
      </c>
      <c r="G63" s="87">
        <f t="shared" si="90"/>
        <v>0</v>
      </c>
      <c r="H63" s="87">
        <f t="shared" si="90"/>
        <v>0</v>
      </c>
      <c r="I63" s="87">
        <f t="shared" si="90"/>
        <v>0</v>
      </c>
      <c r="J63" s="87">
        <f t="shared" si="90"/>
        <v>0</v>
      </c>
      <c r="K63" s="87">
        <f t="shared" si="90"/>
        <v>0</v>
      </c>
      <c r="L63" s="87">
        <f t="shared" si="90"/>
        <v>0</v>
      </c>
      <c r="M63" s="87">
        <f t="shared" si="90"/>
        <v>0</v>
      </c>
      <c r="N63" s="87">
        <f t="shared" si="90"/>
        <v>0</v>
      </c>
      <c r="O63" s="87">
        <f t="shared" si="90"/>
        <v>0</v>
      </c>
      <c r="P63" s="87">
        <f t="shared" si="90"/>
        <v>0</v>
      </c>
      <c r="Q63" s="87">
        <f t="shared" si="90"/>
        <v>0</v>
      </c>
      <c r="R63" s="87">
        <f t="shared" si="90"/>
        <v>0</v>
      </c>
      <c r="S63" s="87">
        <f t="shared" si="90"/>
        <v>0</v>
      </c>
      <c r="T63" s="87">
        <f t="shared" si="90"/>
        <v>0</v>
      </c>
      <c r="U63" s="87">
        <f t="shared" si="90"/>
        <v>0</v>
      </c>
      <c r="V63" s="87">
        <f t="shared" si="90"/>
        <v>0</v>
      </c>
      <c r="W63" s="87">
        <f t="shared" si="90"/>
        <v>0</v>
      </c>
      <c r="X63" s="87">
        <f t="shared" si="90"/>
        <v>0</v>
      </c>
      <c r="Y63" s="87">
        <f t="shared" si="90"/>
        <v>0</v>
      </c>
      <c r="Z63" s="87">
        <f t="shared" si="90"/>
        <v>0</v>
      </c>
      <c r="AA63" s="87">
        <f t="shared" si="90"/>
        <v>0</v>
      </c>
      <c r="AB63" s="87">
        <f t="shared" si="90"/>
        <v>0</v>
      </c>
      <c r="AC63" s="87">
        <f t="shared" si="90"/>
        <v>0</v>
      </c>
      <c r="AD63" s="87">
        <f t="shared" si="90"/>
        <v>0</v>
      </c>
      <c r="AE63" s="87">
        <f t="shared" si="90"/>
        <v>0</v>
      </c>
      <c r="AF63" s="87">
        <f t="shared" si="90"/>
        <v>0</v>
      </c>
      <c r="AG63" s="87">
        <f t="shared" si="90"/>
        <v>0</v>
      </c>
      <c r="AH63" s="87">
        <f t="shared" si="90"/>
        <v>0</v>
      </c>
      <c r="AI63" s="87">
        <f t="shared" si="90"/>
        <v>0</v>
      </c>
      <c r="AJ63" s="87">
        <f t="shared" si="90"/>
        <v>0</v>
      </c>
      <c r="AK63" s="87">
        <f t="shared" si="90"/>
        <v>0</v>
      </c>
      <c r="AL63" s="87">
        <f t="shared" si="90"/>
        <v>0</v>
      </c>
      <c r="AM63" s="87">
        <f t="shared" si="90"/>
        <v>0</v>
      </c>
      <c r="AN63" s="87">
        <f t="shared" si="90"/>
        <v>0</v>
      </c>
      <c r="AO63" s="87">
        <f t="shared" si="90"/>
        <v>0</v>
      </c>
      <c r="AP63" s="87">
        <f t="shared" si="90"/>
        <v>0</v>
      </c>
      <c r="AQ63" s="87">
        <f t="shared" si="90"/>
        <v>0</v>
      </c>
      <c r="AR63" s="87">
        <f t="shared" si="90"/>
        <v>0</v>
      </c>
      <c r="AS63" s="87">
        <f t="shared" si="90"/>
        <v>0</v>
      </c>
      <c r="AT63" s="87">
        <f t="shared" si="90"/>
        <v>0</v>
      </c>
      <c r="AU63" s="87">
        <f t="shared" si="90"/>
        <v>0</v>
      </c>
      <c r="AV63" s="87">
        <f t="shared" si="90"/>
        <v>0</v>
      </c>
      <c r="AW63" s="87">
        <f t="shared" si="90"/>
        <v>0</v>
      </c>
      <c r="AX63" s="87">
        <f t="shared" si="90"/>
        <v>0</v>
      </c>
      <c r="AY63" s="87">
        <f t="shared" si="90"/>
        <v>0</v>
      </c>
      <c r="AZ63" s="87">
        <f t="shared" si="90"/>
        <v>0</v>
      </c>
      <c r="BA63" s="87">
        <f t="shared" si="90"/>
        <v>0</v>
      </c>
      <c r="BB63" s="87">
        <f t="shared" si="90"/>
        <v>0</v>
      </c>
      <c r="BC63" s="87">
        <f t="shared" si="90"/>
        <v>0</v>
      </c>
      <c r="BD63" s="87">
        <f t="shared" si="90"/>
        <v>0</v>
      </c>
      <c r="BE63" s="87">
        <f t="shared" si="90"/>
        <v>0</v>
      </c>
      <c r="BF63" s="87">
        <f t="shared" si="90"/>
        <v>0</v>
      </c>
      <c r="BG63" s="87">
        <f t="shared" si="90"/>
        <v>0</v>
      </c>
      <c r="BH63" s="87">
        <f t="shared" si="90"/>
        <v>0</v>
      </c>
      <c r="BI63" s="87">
        <f t="shared" si="90"/>
        <v>0</v>
      </c>
      <c r="BJ63" s="87">
        <f t="shared" si="90"/>
        <v>0</v>
      </c>
      <c r="BK63" s="87">
        <f t="shared" si="90"/>
        <v>0</v>
      </c>
      <c r="BL63" s="87">
        <f t="shared" si="90"/>
        <v>0</v>
      </c>
      <c r="BM63" s="87">
        <f t="shared" si="90"/>
        <v>0</v>
      </c>
      <c r="BN63" s="87">
        <f t="shared" si="90"/>
        <v>0</v>
      </c>
      <c r="BO63" s="87">
        <f t="shared" si="90"/>
        <v>0</v>
      </c>
      <c r="BP63" s="87">
        <f t="shared" ref="BP63:CB63" si="91">IF(BP62&gt;$F18+1,0,1)*(IF(BQ63=0,100,0)+IF($G18=1,1,0.5)*$J18*100)</f>
        <v>0</v>
      </c>
      <c r="BQ63" s="87">
        <f t="shared" si="91"/>
        <v>0</v>
      </c>
      <c r="BR63" s="87">
        <f t="shared" si="91"/>
        <v>0</v>
      </c>
      <c r="BS63" s="87">
        <f t="shared" si="91"/>
        <v>0</v>
      </c>
      <c r="BT63" s="87">
        <f t="shared" si="91"/>
        <v>0</v>
      </c>
      <c r="BU63" s="87">
        <f t="shared" si="91"/>
        <v>0</v>
      </c>
      <c r="BV63" s="87">
        <f t="shared" si="91"/>
        <v>0</v>
      </c>
      <c r="BW63" s="87">
        <f t="shared" si="91"/>
        <v>0</v>
      </c>
      <c r="BX63" s="87">
        <f t="shared" si="91"/>
        <v>0</v>
      </c>
      <c r="BY63" s="87">
        <f t="shared" si="91"/>
        <v>0</v>
      </c>
      <c r="BZ63" s="87">
        <f t="shared" si="91"/>
        <v>0</v>
      </c>
      <c r="CA63" s="87">
        <f t="shared" si="91"/>
        <v>0</v>
      </c>
      <c r="CB63" s="88">
        <f t="shared" si="91"/>
        <v>0</v>
      </c>
    </row>
    <row r="64" spans="1:80">
      <c r="A64" s="249" t="s">
        <v>49</v>
      </c>
      <c r="B64" s="118">
        <f>IF(E19=0,F19,E19)</f>
        <v>0</v>
      </c>
      <c r="C64" s="119">
        <f t="shared" ref="C64:BN64" si="92">B64+IF($G19=1,365,182.5)</f>
        <v>182.5</v>
      </c>
      <c r="D64" s="119">
        <f t="shared" si="92"/>
        <v>365</v>
      </c>
      <c r="E64" s="119">
        <f t="shared" si="92"/>
        <v>547.5</v>
      </c>
      <c r="F64" s="119">
        <f t="shared" si="92"/>
        <v>730</v>
      </c>
      <c r="G64" s="119">
        <f t="shared" si="92"/>
        <v>912.5</v>
      </c>
      <c r="H64" s="119">
        <f t="shared" si="92"/>
        <v>1095</v>
      </c>
      <c r="I64" s="119">
        <f t="shared" si="92"/>
        <v>1277.5</v>
      </c>
      <c r="J64" s="119">
        <f t="shared" si="92"/>
        <v>1460</v>
      </c>
      <c r="K64" s="119">
        <f t="shared" si="92"/>
        <v>1642.5</v>
      </c>
      <c r="L64" s="119">
        <f t="shared" si="92"/>
        <v>1825</v>
      </c>
      <c r="M64" s="119">
        <f t="shared" si="92"/>
        <v>2007.5</v>
      </c>
      <c r="N64" s="119">
        <f t="shared" si="92"/>
        <v>2190</v>
      </c>
      <c r="O64" s="119">
        <f t="shared" si="92"/>
        <v>2372.5</v>
      </c>
      <c r="P64" s="119">
        <f t="shared" si="92"/>
        <v>2555</v>
      </c>
      <c r="Q64" s="119">
        <f t="shared" si="92"/>
        <v>2737.5</v>
      </c>
      <c r="R64" s="119">
        <f t="shared" si="92"/>
        <v>2920</v>
      </c>
      <c r="S64" s="119">
        <f t="shared" si="92"/>
        <v>3102.5</v>
      </c>
      <c r="T64" s="119">
        <f t="shared" si="92"/>
        <v>3285</v>
      </c>
      <c r="U64" s="119">
        <f t="shared" si="92"/>
        <v>3467.5</v>
      </c>
      <c r="V64" s="119">
        <f t="shared" si="92"/>
        <v>3650</v>
      </c>
      <c r="W64" s="119">
        <f t="shared" si="92"/>
        <v>3832.5</v>
      </c>
      <c r="X64" s="119">
        <f t="shared" si="92"/>
        <v>4015</v>
      </c>
      <c r="Y64" s="119">
        <f t="shared" si="92"/>
        <v>4197.5</v>
      </c>
      <c r="Z64" s="119">
        <f t="shared" si="92"/>
        <v>4380</v>
      </c>
      <c r="AA64" s="119">
        <f t="shared" si="92"/>
        <v>4562.5</v>
      </c>
      <c r="AB64" s="119">
        <f t="shared" si="92"/>
        <v>4745</v>
      </c>
      <c r="AC64" s="119">
        <f t="shared" si="92"/>
        <v>4927.5</v>
      </c>
      <c r="AD64" s="119">
        <f t="shared" si="92"/>
        <v>5110</v>
      </c>
      <c r="AE64" s="119">
        <f t="shared" si="92"/>
        <v>5292.5</v>
      </c>
      <c r="AF64" s="119">
        <f t="shared" si="92"/>
        <v>5475</v>
      </c>
      <c r="AG64" s="119">
        <f t="shared" si="92"/>
        <v>5657.5</v>
      </c>
      <c r="AH64" s="119">
        <f t="shared" si="92"/>
        <v>5840</v>
      </c>
      <c r="AI64" s="119">
        <f t="shared" si="92"/>
        <v>6022.5</v>
      </c>
      <c r="AJ64" s="119">
        <f t="shared" si="92"/>
        <v>6205</v>
      </c>
      <c r="AK64" s="119">
        <f t="shared" si="92"/>
        <v>6387.5</v>
      </c>
      <c r="AL64" s="119">
        <f t="shared" si="92"/>
        <v>6570</v>
      </c>
      <c r="AM64" s="119">
        <f t="shared" si="92"/>
        <v>6752.5</v>
      </c>
      <c r="AN64" s="119">
        <f t="shared" si="92"/>
        <v>6935</v>
      </c>
      <c r="AO64" s="119">
        <f t="shared" si="92"/>
        <v>7117.5</v>
      </c>
      <c r="AP64" s="119">
        <f t="shared" si="92"/>
        <v>7300</v>
      </c>
      <c r="AQ64" s="119">
        <f t="shared" si="92"/>
        <v>7482.5</v>
      </c>
      <c r="AR64" s="119">
        <f t="shared" si="92"/>
        <v>7665</v>
      </c>
      <c r="AS64" s="119">
        <f t="shared" si="92"/>
        <v>7847.5</v>
      </c>
      <c r="AT64" s="119">
        <f t="shared" si="92"/>
        <v>8030</v>
      </c>
      <c r="AU64" s="119">
        <f t="shared" si="92"/>
        <v>8212.5</v>
      </c>
      <c r="AV64" s="119">
        <f t="shared" si="92"/>
        <v>8395</v>
      </c>
      <c r="AW64" s="119">
        <f t="shared" si="92"/>
        <v>8577.5</v>
      </c>
      <c r="AX64" s="119">
        <f t="shared" si="92"/>
        <v>8760</v>
      </c>
      <c r="AY64" s="119">
        <f t="shared" si="92"/>
        <v>8942.5</v>
      </c>
      <c r="AZ64" s="119">
        <f t="shared" si="92"/>
        <v>9125</v>
      </c>
      <c r="BA64" s="119">
        <f t="shared" si="92"/>
        <v>9307.5</v>
      </c>
      <c r="BB64" s="119">
        <f t="shared" si="92"/>
        <v>9490</v>
      </c>
      <c r="BC64" s="119">
        <f t="shared" si="92"/>
        <v>9672.5</v>
      </c>
      <c r="BD64" s="119">
        <f t="shared" si="92"/>
        <v>9855</v>
      </c>
      <c r="BE64" s="119">
        <f t="shared" si="92"/>
        <v>10037.5</v>
      </c>
      <c r="BF64" s="119">
        <f t="shared" si="92"/>
        <v>10220</v>
      </c>
      <c r="BG64" s="119">
        <f t="shared" si="92"/>
        <v>10402.5</v>
      </c>
      <c r="BH64" s="119">
        <f t="shared" si="92"/>
        <v>10585</v>
      </c>
      <c r="BI64" s="119">
        <f t="shared" si="92"/>
        <v>10767.5</v>
      </c>
      <c r="BJ64" s="119">
        <f t="shared" si="92"/>
        <v>10950</v>
      </c>
      <c r="BK64" s="119">
        <f t="shared" si="92"/>
        <v>11132.5</v>
      </c>
      <c r="BL64" s="119">
        <f t="shared" si="92"/>
        <v>11315</v>
      </c>
      <c r="BM64" s="119">
        <f t="shared" si="92"/>
        <v>11497.5</v>
      </c>
      <c r="BN64" s="119">
        <f t="shared" si="92"/>
        <v>11680</v>
      </c>
      <c r="BO64" s="119">
        <f t="shared" ref="BO64:CB64" si="93">BN64+IF($G19=1,365,182.5)</f>
        <v>11862.5</v>
      </c>
      <c r="BP64" s="119">
        <f t="shared" si="93"/>
        <v>12045</v>
      </c>
      <c r="BQ64" s="119">
        <f t="shared" si="93"/>
        <v>12227.5</v>
      </c>
      <c r="BR64" s="119">
        <f t="shared" si="93"/>
        <v>12410</v>
      </c>
      <c r="BS64" s="119">
        <f t="shared" si="93"/>
        <v>12592.5</v>
      </c>
      <c r="BT64" s="119">
        <f t="shared" si="93"/>
        <v>12775</v>
      </c>
      <c r="BU64" s="119">
        <f t="shared" si="93"/>
        <v>12957.5</v>
      </c>
      <c r="BV64" s="119">
        <f t="shared" si="93"/>
        <v>13140</v>
      </c>
      <c r="BW64" s="119">
        <f t="shared" si="93"/>
        <v>13322.5</v>
      </c>
      <c r="BX64" s="119">
        <f t="shared" si="93"/>
        <v>13505</v>
      </c>
      <c r="BY64" s="119">
        <f t="shared" si="93"/>
        <v>13687.5</v>
      </c>
      <c r="BZ64" s="119">
        <f t="shared" si="93"/>
        <v>13870</v>
      </c>
      <c r="CA64" s="119">
        <f t="shared" si="93"/>
        <v>14052.5</v>
      </c>
      <c r="CB64" s="120">
        <f t="shared" si="93"/>
        <v>14235</v>
      </c>
    </row>
    <row r="65" spans="1:115">
      <c r="A65" s="178" t="s">
        <v>35</v>
      </c>
      <c r="B65" s="121">
        <f>(IF(B64=F19,100,0)+IF(G19=1,1,0.5)*J19*100)*IF(ISBLANK(F19)=TRUE,0,1)</f>
        <v>0</v>
      </c>
      <c r="C65" s="122">
        <f>IF(C64&gt;$F19+1,0,1)*(IF(D65=0,100,0)+IF($G19=1,1,0.5)*$J19*100)</f>
        <v>0</v>
      </c>
      <c r="D65" s="122">
        <f t="shared" ref="D65:BO65" si="94">IF(D64&gt;$F19+1,0,1)*(IF(E65=0,100,0)+IF($G19=1,1,0.5)*$J19*100)</f>
        <v>0</v>
      </c>
      <c r="E65" s="122">
        <f t="shared" si="94"/>
        <v>0</v>
      </c>
      <c r="F65" s="122">
        <f t="shared" si="94"/>
        <v>0</v>
      </c>
      <c r="G65" s="122">
        <f t="shared" si="94"/>
        <v>0</v>
      </c>
      <c r="H65" s="122">
        <f t="shared" si="94"/>
        <v>0</v>
      </c>
      <c r="I65" s="122">
        <f t="shared" si="94"/>
        <v>0</v>
      </c>
      <c r="J65" s="122">
        <f t="shared" si="94"/>
        <v>0</v>
      </c>
      <c r="K65" s="122">
        <f t="shared" si="94"/>
        <v>0</v>
      </c>
      <c r="L65" s="122">
        <f t="shared" si="94"/>
        <v>0</v>
      </c>
      <c r="M65" s="122">
        <f t="shared" si="94"/>
        <v>0</v>
      </c>
      <c r="N65" s="122">
        <f t="shared" si="94"/>
        <v>0</v>
      </c>
      <c r="O65" s="122">
        <f t="shared" si="94"/>
        <v>0</v>
      </c>
      <c r="P65" s="122">
        <f t="shared" si="94"/>
        <v>0</v>
      </c>
      <c r="Q65" s="122">
        <f t="shared" si="94"/>
        <v>0</v>
      </c>
      <c r="R65" s="122">
        <f t="shared" si="94"/>
        <v>0</v>
      </c>
      <c r="S65" s="122">
        <f t="shared" si="94"/>
        <v>0</v>
      </c>
      <c r="T65" s="122">
        <f t="shared" si="94"/>
        <v>0</v>
      </c>
      <c r="U65" s="122">
        <f t="shared" si="94"/>
        <v>0</v>
      </c>
      <c r="V65" s="122">
        <f t="shared" si="94"/>
        <v>0</v>
      </c>
      <c r="W65" s="122">
        <f t="shared" si="94"/>
        <v>0</v>
      </c>
      <c r="X65" s="122">
        <f t="shared" si="94"/>
        <v>0</v>
      </c>
      <c r="Y65" s="122">
        <f t="shared" si="94"/>
        <v>0</v>
      </c>
      <c r="Z65" s="122">
        <f t="shared" si="94"/>
        <v>0</v>
      </c>
      <c r="AA65" s="122">
        <f t="shared" si="94"/>
        <v>0</v>
      </c>
      <c r="AB65" s="122">
        <f t="shared" si="94"/>
        <v>0</v>
      </c>
      <c r="AC65" s="122">
        <f t="shared" si="94"/>
        <v>0</v>
      </c>
      <c r="AD65" s="122">
        <f t="shared" si="94"/>
        <v>0</v>
      </c>
      <c r="AE65" s="122">
        <f t="shared" si="94"/>
        <v>0</v>
      </c>
      <c r="AF65" s="122">
        <f t="shared" si="94"/>
        <v>0</v>
      </c>
      <c r="AG65" s="122">
        <f t="shared" si="94"/>
        <v>0</v>
      </c>
      <c r="AH65" s="122">
        <f t="shared" si="94"/>
        <v>0</v>
      </c>
      <c r="AI65" s="122">
        <f t="shared" si="94"/>
        <v>0</v>
      </c>
      <c r="AJ65" s="122">
        <f t="shared" si="94"/>
        <v>0</v>
      </c>
      <c r="AK65" s="122">
        <f t="shared" si="94"/>
        <v>0</v>
      </c>
      <c r="AL65" s="122">
        <f t="shared" si="94"/>
        <v>0</v>
      </c>
      <c r="AM65" s="122">
        <f t="shared" si="94"/>
        <v>0</v>
      </c>
      <c r="AN65" s="122">
        <f t="shared" si="94"/>
        <v>0</v>
      </c>
      <c r="AO65" s="122">
        <f t="shared" si="94"/>
        <v>0</v>
      </c>
      <c r="AP65" s="122">
        <f t="shared" si="94"/>
        <v>0</v>
      </c>
      <c r="AQ65" s="122">
        <f t="shared" si="94"/>
        <v>0</v>
      </c>
      <c r="AR65" s="122">
        <f t="shared" si="94"/>
        <v>0</v>
      </c>
      <c r="AS65" s="122">
        <f t="shared" si="94"/>
        <v>0</v>
      </c>
      <c r="AT65" s="122">
        <f t="shared" si="94"/>
        <v>0</v>
      </c>
      <c r="AU65" s="122">
        <f t="shared" si="94"/>
        <v>0</v>
      </c>
      <c r="AV65" s="122">
        <f t="shared" si="94"/>
        <v>0</v>
      </c>
      <c r="AW65" s="122">
        <f t="shared" si="94"/>
        <v>0</v>
      </c>
      <c r="AX65" s="122">
        <f t="shared" si="94"/>
        <v>0</v>
      </c>
      <c r="AY65" s="122">
        <f t="shared" si="94"/>
        <v>0</v>
      </c>
      <c r="AZ65" s="122">
        <f t="shared" si="94"/>
        <v>0</v>
      </c>
      <c r="BA65" s="122">
        <f t="shared" si="94"/>
        <v>0</v>
      </c>
      <c r="BB65" s="122">
        <f t="shared" si="94"/>
        <v>0</v>
      </c>
      <c r="BC65" s="122">
        <f t="shared" si="94"/>
        <v>0</v>
      </c>
      <c r="BD65" s="122">
        <f t="shared" si="94"/>
        <v>0</v>
      </c>
      <c r="BE65" s="122">
        <f t="shared" si="94"/>
        <v>0</v>
      </c>
      <c r="BF65" s="122">
        <f t="shared" si="94"/>
        <v>0</v>
      </c>
      <c r="BG65" s="122">
        <f t="shared" si="94"/>
        <v>0</v>
      </c>
      <c r="BH65" s="122">
        <f t="shared" si="94"/>
        <v>0</v>
      </c>
      <c r="BI65" s="122">
        <f t="shared" si="94"/>
        <v>0</v>
      </c>
      <c r="BJ65" s="122">
        <f t="shared" si="94"/>
        <v>0</v>
      </c>
      <c r="BK65" s="122">
        <f t="shared" si="94"/>
        <v>0</v>
      </c>
      <c r="BL65" s="122">
        <f t="shared" si="94"/>
        <v>0</v>
      </c>
      <c r="BM65" s="122">
        <f t="shared" si="94"/>
        <v>0</v>
      </c>
      <c r="BN65" s="122">
        <f t="shared" si="94"/>
        <v>0</v>
      </c>
      <c r="BO65" s="122">
        <f t="shared" si="94"/>
        <v>0</v>
      </c>
      <c r="BP65" s="122">
        <f t="shared" ref="BP65:CB65" si="95">IF(BP64&gt;$F19+1,0,1)*(IF(BQ65=0,100,0)+IF($G19=1,1,0.5)*$J19*100)</f>
        <v>0</v>
      </c>
      <c r="BQ65" s="122">
        <f t="shared" si="95"/>
        <v>0</v>
      </c>
      <c r="BR65" s="122">
        <f t="shared" si="95"/>
        <v>0</v>
      </c>
      <c r="BS65" s="122">
        <f t="shared" si="95"/>
        <v>0</v>
      </c>
      <c r="BT65" s="122">
        <f t="shared" si="95"/>
        <v>0</v>
      </c>
      <c r="BU65" s="122">
        <f t="shared" si="95"/>
        <v>0</v>
      </c>
      <c r="BV65" s="122">
        <f t="shared" si="95"/>
        <v>0</v>
      </c>
      <c r="BW65" s="122">
        <f t="shared" si="95"/>
        <v>0</v>
      </c>
      <c r="BX65" s="122">
        <f t="shared" si="95"/>
        <v>0</v>
      </c>
      <c r="BY65" s="122">
        <f t="shared" si="95"/>
        <v>0</v>
      </c>
      <c r="BZ65" s="122">
        <f t="shared" si="95"/>
        <v>0</v>
      </c>
      <c r="CA65" s="122">
        <f t="shared" si="95"/>
        <v>0</v>
      </c>
      <c r="CB65" s="123">
        <f t="shared" si="95"/>
        <v>0</v>
      </c>
    </row>
    <row r="66" spans="1:115">
      <c r="A66" s="248" t="s">
        <v>49</v>
      </c>
      <c r="B66" s="89">
        <f>IF(E20=0,F20,E20)</f>
        <v>0</v>
      </c>
      <c r="C66" s="90">
        <f t="shared" ref="C66:BN66" si="96">B66+IF($G20=1,365,182.5)</f>
        <v>182.5</v>
      </c>
      <c r="D66" s="90">
        <f t="shared" si="96"/>
        <v>365</v>
      </c>
      <c r="E66" s="90">
        <f t="shared" si="96"/>
        <v>547.5</v>
      </c>
      <c r="F66" s="90">
        <f t="shared" si="96"/>
        <v>730</v>
      </c>
      <c r="G66" s="90">
        <f t="shared" si="96"/>
        <v>912.5</v>
      </c>
      <c r="H66" s="90">
        <f t="shared" si="96"/>
        <v>1095</v>
      </c>
      <c r="I66" s="90">
        <f t="shared" si="96"/>
        <v>1277.5</v>
      </c>
      <c r="J66" s="90">
        <f t="shared" si="96"/>
        <v>1460</v>
      </c>
      <c r="K66" s="90">
        <f t="shared" si="96"/>
        <v>1642.5</v>
      </c>
      <c r="L66" s="90">
        <f t="shared" si="96"/>
        <v>1825</v>
      </c>
      <c r="M66" s="90">
        <f t="shared" si="96"/>
        <v>2007.5</v>
      </c>
      <c r="N66" s="90">
        <f t="shared" si="96"/>
        <v>2190</v>
      </c>
      <c r="O66" s="90">
        <f t="shared" si="96"/>
        <v>2372.5</v>
      </c>
      <c r="P66" s="90">
        <f t="shared" si="96"/>
        <v>2555</v>
      </c>
      <c r="Q66" s="90">
        <f t="shared" si="96"/>
        <v>2737.5</v>
      </c>
      <c r="R66" s="90">
        <f t="shared" si="96"/>
        <v>2920</v>
      </c>
      <c r="S66" s="90">
        <f t="shared" si="96"/>
        <v>3102.5</v>
      </c>
      <c r="T66" s="90">
        <f t="shared" si="96"/>
        <v>3285</v>
      </c>
      <c r="U66" s="90">
        <f t="shared" si="96"/>
        <v>3467.5</v>
      </c>
      <c r="V66" s="90">
        <f t="shared" si="96"/>
        <v>3650</v>
      </c>
      <c r="W66" s="90">
        <f t="shared" si="96"/>
        <v>3832.5</v>
      </c>
      <c r="X66" s="90">
        <f t="shared" si="96"/>
        <v>4015</v>
      </c>
      <c r="Y66" s="90">
        <f t="shared" si="96"/>
        <v>4197.5</v>
      </c>
      <c r="Z66" s="90">
        <f t="shared" si="96"/>
        <v>4380</v>
      </c>
      <c r="AA66" s="90">
        <f t="shared" si="96"/>
        <v>4562.5</v>
      </c>
      <c r="AB66" s="90">
        <f t="shared" si="96"/>
        <v>4745</v>
      </c>
      <c r="AC66" s="90">
        <f t="shared" si="96"/>
        <v>4927.5</v>
      </c>
      <c r="AD66" s="90">
        <f t="shared" si="96"/>
        <v>5110</v>
      </c>
      <c r="AE66" s="90">
        <f t="shared" si="96"/>
        <v>5292.5</v>
      </c>
      <c r="AF66" s="90">
        <f t="shared" si="96"/>
        <v>5475</v>
      </c>
      <c r="AG66" s="90">
        <f t="shared" si="96"/>
        <v>5657.5</v>
      </c>
      <c r="AH66" s="90">
        <f t="shared" si="96"/>
        <v>5840</v>
      </c>
      <c r="AI66" s="90">
        <f t="shared" si="96"/>
        <v>6022.5</v>
      </c>
      <c r="AJ66" s="90">
        <f t="shared" si="96"/>
        <v>6205</v>
      </c>
      <c r="AK66" s="90">
        <f t="shared" si="96"/>
        <v>6387.5</v>
      </c>
      <c r="AL66" s="90">
        <f t="shared" si="96"/>
        <v>6570</v>
      </c>
      <c r="AM66" s="90">
        <f t="shared" si="96"/>
        <v>6752.5</v>
      </c>
      <c r="AN66" s="90">
        <f t="shared" si="96"/>
        <v>6935</v>
      </c>
      <c r="AO66" s="90">
        <f t="shared" si="96"/>
        <v>7117.5</v>
      </c>
      <c r="AP66" s="90">
        <f t="shared" si="96"/>
        <v>7300</v>
      </c>
      <c r="AQ66" s="90">
        <f t="shared" si="96"/>
        <v>7482.5</v>
      </c>
      <c r="AR66" s="90">
        <f t="shared" si="96"/>
        <v>7665</v>
      </c>
      <c r="AS66" s="90">
        <f t="shared" si="96"/>
        <v>7847.5</v>
      </c>
      <c r="AT66" s="90">
        <f t="shared" si="96"/>
        <v>8030</v>
      </c>
      <c r="AU66" s="90">
        <f t="shared" si="96"/>
        <v>8212.5</v>
      </c>
      <c r="AV66" s="90">
        <f t="shared" si="96"/>
        <v>8395</v>
      </c>
      <c r="AW66" s="90">
        <f t="shared" si="96"/>
        <v>8577.5</v>
      </c>
      <c r="AX66" s="90">
        <f t="shared" si="96"/>
        <v>8760</v>
      </c>
      <c r="AY66" s="90">
        <f t="shared" si="96"/>
        <v>8942.5</v>
      </c>
      <c r="AZ66" s="90">
        <f t="shared" si="96"/>
        <v>9125</v>
      </c>
      <c r="BA66" s="90">
        <f t="shared" si="96"/>
        <v>9307.5</v>
      </c>
      <c r="BB66" s="90">
        <f t="shared" si="96"/>
        <v>9490</v>
      </c>
      <c r="BC66" s="90">
        <f t="shared" si="96"/>
        <v>9672.5</v>
      </c>
      <c r="BD66" s="90">
        <f t="shared" si="96"/>
        <v>9855</v>
      </c>
      <c r="BE66" s="90">
        <f t="shared" si="96"/>
        <v>10037.5</v>
      </c>
      <c r="BF66" s="90">
        <f t="shared" si="96"/>
        <v>10220</v>
      </c>
      <c r="BG66" s="90">
        <f t="shared" si="96"/>
        <v>10402.5</v>
      </c>
      <c r="BH66" s="90">
        <f t="shared" si="96"/>
        <v>10585</v>
      </c>
      <c r="BI66" s="90">
        <f t="shared" si="96"/>
        <v>10767.5</v>
      </c>
      <c r="BJ66" s="90">
        <f t="shared" si="96"/>
        <v>10950</v>
      </c>
      <c r="BK66" s="90">
        <f t="shared" si="96"/>
        <v>11132.5</v>
      </c>
      <c r="BL66" s="90">
        <f t="shared" si="96"/>
        <v>11315</v>
      </c>
      <c r="BM66" s="90">
        <f t="shared" si="96"/>
        <v>11497.5</v>
      </c>
      <c r="BN66" s="90">
        <f t="shared" si="96"/>
        <v>11680</v>
      </c>
      <c r="BO66" s="90">
        <f t="shared" ref="BO66:CB66" si="97">BN66+IF($G20=1,365,182.5)</f>
        <v>11862.5</v>
      </c>
      <c r="BP66" s="90">
        <f t="shared" si="97"/>
        <v>12045</v>
      </c>
      <c r="BQ66" s="90">
        <f t="shared" si="97"/>
        <v>12227.5</v>
      </c>
      <c r="BR66" s="90">
        <f t="shared" si="97"/>
        <v>12410</v>
      </c>
      <c r="BS66" s="90">
        <f t="shared" si="97"/>
        <v>12592.5</v>
      </c>
      <c r="BT66" s="90">
        <f t="shared" si="97"/>
        <v>12775</v>
      </c>
      <c r="BU66" s="90">
        <f t="shared" si="97"/>
        <v>12957.5</v>
      </c>
      <c r="BV66" s="90">
        <f t="shared" si="97"/>
        <v>13140</v>
      </c>
      <c r="BW66" s="90">
        <f t="shared" si="97"/>
        <v>13322.5</v>
      </c>
      <c r="BX66" s="90">
        <f t="shared" si="97"/>
        <v>13505</v>
      </c>
      <c r="BY66" s="90">
        <f t="shared" si="97"/>
        <v>13687.5</v>
      </c>
      <c r="BZ66" s="90">
        <f t="shared" si="97"/>
        <v>13870</v>
      </c>
      <c r="CA66" s="90">
        <f t="shared" si="97"/>
        <v>14052.5</v>
      </c>
      <c r="CB66" s="91">
        <f t="shared" si="97"/>
        <v>14235</v>
      </c>
    </row>
    <row r="67" spans="1:115">
      <c r="A67" s="179" t="s">
        <v>36</v>
      </c>
      <c r="B67" s="113">
        <f>(IF(B66=F20,100,0)+IF(G20=1,1,0.5)*J20*100)*IF(ISBLANK(F20)=TRUE,0,1)</f>
        <v>0</v>
      </c>
      <c r="C67" s="92">
        <f>IF(C66&gt;$F20+1,0,1)*(IF(D67=0,100,0)+IF($G20=1,1,0.5)*$J20*100)</f>
        <v>0</v>
      </c>
      <c r="D67" s="92">
        <f t="shared" ref="D67:BO67" si="98">IF(D66&gt;$F20+1,0,1)*(IF(E67=0,100,0)+IF($G20=1,1,0.5)*$J20*100)</f>
        <v>0</v>
      </c>
      <c r="E67" s="92">
        <f t="shared" si="98"/>
        <v>0</v>
      </c>
      <c r="F67" s="92">
        <f t="shared" si="98"/>
        <v>0</v>
      </c>
      <c r="G67" s="92">
        <f t="shared" si="98"/>
        <v>0</v>
      </c>
      <c r="H67" s="92">
        <f t="shared" si="98"/>
        <v>0</v>
      </c>
      <c r="I67" s="92">
        <f t="shared" si="98"/>
        <v>0</v>
      </c>
      <c r="J67" s="92">
        <f t="shared" si="98"/>
        <v>0</v>
      </c>
      <c r="K67" s="92">
        <f t="shared" si="98"/>
        <v>0</v>
      </c>
      <c r="L67" s="92">
        <f t="shared" si="98"/>
        <v>0</v>
      </c>
      <c r="M67" s="92">
        <f t="shared" si="98"/>
        <v>0</v>
      </c>
      <c r="N67" s="92">
        <f t="shared" si="98"/>
        <v>0</v>
      </c>
      <c r="O67" s="92">
        <f t="shared" si="98"/>
        <v>0</v>
      </c>
      <c r="P67" s="92">
        <f t="shared" si="98"/>
        <v>0</v>
      </c>
      <c r="Q67" s="92">
        <f t="shared" si="98"/>
        <v>0</v>
      </c>
      <c r="R67" s="92">
        <f t="shared" si="98"/>
        <v>0</v>
      </c>
      <c r="S67" s="92">
        <f t="shared" si="98"/>
        <v>0</v>
      </c>
      <c r="T67" s="92">
        <f t="shared" si="98"/>
        <v>0</v>
      </c>
      <c r="U67" s="92">
        <f t="shared" si="98"/>
        <v>0</v>
      </c>
      <c r="V67" s="92">
        <f t="shared" si="98"/>
        <v>0</v>
      </c>
      <c r="W67" s="92">
        <f t="shared" si="98"/>
        <v>0</v>
      </c>
      <c r="X67" s="92">
        <f t="shared" si="98"/>
        <v>0</v>
      </c>
      <c r="Y67" s="92">
        <f t="shared" si="98"/>
        <v>0</v>
      </c>
      <c r="Z67" s="92">
        <f t="shared" si="98"/>
        <v>0</v>
      </c>
      <c r="AA67" s="92">
        <f t="shared" si="98"/>
        <v>0</v>
      </c>
      <c r="AB67" s="92">
        <f t="shared" si="98"/>
        <v>0</v>
      </c>
      <c r="AC67" s="92">
        <f t="shared" si="98"/>
        <v>0</v>
      </c>
      <c r="AD67" s="92">
        <f t="shared" si="98"/>
        <v>0</v>
      </c>
      <c r="AE67" s="92">
        <f t="shared" si="98"/>
        <v>0</v>
      </c>
      <c r="AF67" s="92">
        <f t="shared" si="98"/>
        <v>0</v>
      </c>
      <c r="AG67" s="92">
        <f t="shared" si="98"/>
        <v>0</v>
      </c>
      <c r="AH67" s="92">
        <f t="shared" si="98"/>
        <v>0</v>
      </c>
      <c r="AI67" s="92">
        <f t="shared" si="98"/>
        <v>0</v>
      </c>
      <c r="AJ67" s="92">
        <f t="shared" si="98"/>
        <v>0</v>
      </c>
      <c r="AK67" s="92">
        <f t="shared" si="98"/>
        <v>0</v>
      </c>
      <c r="AL67" s="92">
        <f t="shared" si="98"/>
        <v>0</v>
      </c>
      <c r="AM67" s="92">
        <f t="shared" si="98"/>
        <v>0</v>
      </c>
      <c r="AN67" s="92">
        <f t="shared" si="98"/>
        <v>0</v>
      </c>
      <c r="AO67" s="92">
        <f t="shared" si="98"/>
        <v>0</v>
      </c>
      <c r="AP67" s="92">
        <f t="shared" si="98"/>
        <v>0</v>
      </c>
      <c r="AQ67" s="92">
        <f t="shared" si="98"/>
        <v>0</v>
      </c>
      <c r="AR67" s="92">
        <f t="shared" si="98"/>
        <v>0</v>
      </c>
      <c r="AS67" s="92">
        <f t="shared" si="98"/>
        <v>0</v>
      </c>
      <c r="AT67" s="92">
        <f t="shared" si="98"/>
        <v>0</v>
      </c>
      <c r="AU67" s="92">
        <f t="shared" si="98"/>
        <v>0</v>
      </c>
      <c r="AV67" s="92">
        <f t="shared" si="98"/>
        <v>0</v>
      </c>
      <c r="AW67" s="92">
        <f t="shared" si="98"/>
        <v>0</v>
      </c>
      <c r="AX67" s="92">
        <f t="shared" si="98"/>
        <v>0</v>
      </c>
      <c r="AY67" s="92">
        <f t="shared" si="98"/>
        <v>0</v>
      </c>
      <c r="AZ67" s="92">
        <f t="shared" si="98"/>
        <v>0</v>
      </c>
      <c r="BA67" s="92">
        <f t="shared" si="98"/>
        <v>0</v>
      </c>
      <c r="BB67" s="92">
        <f t="shared" si="98"/>
        <v>0</v>
      </c>
      <c r="BC67" s="92">
        <f t="shared" si="98"/>
        <v>0</v>
      </c>
      <c r="BD67" s="92">
        <f t="shared" si="98"/>
        <v>0</v>
      </c>
      <c r="BE67" s="92">
        <f t="shared" si="98"/>
        <v>0</v>
      </c>
      <c r="BF67" s="92">
        <f t="shared" si="98"/>
        <v>0</v>
      </c>
      <c r="BG67" s="92">
        <f t="shared" si="98"/>
        <v>0</v>
      </c>
      <c r="BH67" s="92">
        <f t="shared" si="98"/>
        <v>0</v>
      </c>
      <c r="BI67" s="92">
        <f t="shared" si="98"/>
        <v>0</v>
      </c>
      <c r="BJ67" s="92">
        <f t="shared" si="98"/>
        <v>0</v>
      </c>
      <c r="BK67" s="92">
        <f t="shared" si="98"/>
        <v>0</v>
      </c>
      <c r="BL67" s="92">
        <f t="shared" si="98"/>
        <v>0</v>
      </c>
      <c r="BM67" s="92">
        <f t="shared" si="98"/>
        <v>0</v>
      </c>
      <c r="BN67" s="92">
        <f t="shared" si="98"/>
        <v>0</v>
      </c>
      <c r="BO67" s="92">
        <f t="shared" si="98"/>
        <v>0</v>
      </c>
      <c r="BP67" s="92">
        <f t="shared" ref="BP67:CB67" si="99">IF(BP66&gt;$F20+1,0,1)*(IF(BQ67=0,100,0)+IF($G20=1,1,0.5)*$J20*100)</f>
        <v>0</v>
      </c>
      <c r="BQ67" s="92">
        <f t="shared" si="99"/>
        <v>0</v>
      </c>
      <c r="BR67" s="92">
        <f t="shared" si="99"/>
        <v>0</v>
      </c>
      <c r="BS67" s="92">
        <f t="shared" si="99"/>
        <v>0</v>
      </c>
      <c r="BT67" s="92">
        <f t="shared" si="99"/>
        <v>0</v>
      </c>
      <c r="BU67" s="92">
        <f t="shared" si="99"/>
        <v>0</v>
      </c>
      <c r="BV67" s="92">
        <f t="shared" si="99"/>
        <v>0</v>
      </c>
      <c r="BW67" s="92">
        <f t="shared" si="99"/>
        <v>0</v>
      </c>
      <c r="BX67" s="92">
        <f t="shared" si="99"/>
        <v>0</v>
      </c>
      <c r="BY67" s="92">
        <f t="shared" si="99"/>
        <v>0</v>
      </c>
      <c r="BZ67" s="92">
        <f t="shared" si="99"/>
        <v>0</v>
      </c>
      <c r="CA67" s="92">
        <f t="shared" si="99"/>
        <v>0</v>
      </c>
      <c r="CB67" s="93">
        <f t="shared" si="99"/>
        <v>0</v>
      </c>
    </row>
    <row r="68" spans="1:115">
      <c r="A68" s="247" t="s">
        <v>49</v>
      </c>
      <c r="B68" s="124">
        <f>IF(E21=0,F21,E21)</f>
        <v>0</v>
      </c>
      <c r="C68" s="125">
        <f t="shared" ref="C68:BN68" si="100">B68+IF($G21=1,365,182.5)</f>
        <v>182.5</v>
      </c>
      <c r="D68" s="125">
        <f t="shared" si="100"/>
        <v>365</v>
      </c>
      <c r="E68" s="125">
        <f t="shared" si="100"/>
        <v>547.5</v>
      </c>
      <c r="F68" s="125">
        <f t="shared" si="100"/>
        <v>730</v>
      </c>
      <c r="G68" s="125">
        <f t="shared" si="100"/>
        <v>912.5</v>
      </c>
      <c r="H68" s="125">
        <f t="shared" si="100"/>
        <v>1095</v>
      </c>
      <c r="I68" s="125">
        <f t="shared" si="100"/>
        <v>1277.5</v>
      </c>
      <c r="J68" s="125">
        <f t="shared" si="100"/>
        <v>1460</v>
      </c>
      <c r="K68" s="125">
        <f t="shared" si="100"/>
        <v>1642.5</v>
      </c>
      <c r="L68" s="125">
        <f t="shared" si="100"/>
        <v>1825</v>
      </c>
      <c r="M68" s="125">
        <f t="shared" si="100"/>
        <v>2007.5</v>
      </c>
      <c r="N68" s="125">
        <f t="shared" si="100"/>
        <v>2190</v>
      </c>
      <c r="O68" s="125">
        <f t="shared" si="100"/>
        <v>2372.5</v>
      </c>
      <c r="P68" s="125">
        <f t="shared" si="100"/>
        <v>2555</v>
      </c>
      <c r="Q68" s="125">
        <f t="shared" si="100"/>
        <v>2737.5</v>
      </c>
      <c r="R68" s="125">
        <f t="shared" si="100"/>
        <v>2920</v>
      </c>
      <c r="S68" s="125">
        <f t="shared" si="100"/>
        <v>3102.5</v>
      </c>
      <c r="T68" s="125">
        <f t="shared" si="100"/>
        <v>3285</v>
      </c>
      <c r="U68" s="125">
        <f t="shared" si="100"/>
        <v>3467.5</v>
      </c>
      <c r="V68" s="125">
        <f t="shared" si="100"/>
        <v>3650</v>
      </c>
      <c r="W68" s="125">
        <f t="shared" si="100"/>
        <v>3832.5</v>
      </c>
      <c r="X68" s="125">
        <f t="shared" si="100"/>
        <v>4015</v>
      </c>
      <c r="Y68" s="125">
        <f t="shared" si="100"/>
        <v>4197.5</v>
      </c>
      <c r="Z68" s="125">
        <f t="shared" si="100"/>
        <v>4380</v>
      </c>
      <c r="AA68" s="125">
        <f t="shared" si="100"/>
        <v>4562.5</v>
      </c>
      <c r="AB68" s="125">
        <f t="shared" si="100"/>
        <v>4745</v>
      </c>
      <c r="AC68" s="125">
        <f t="shared" si="100"/>
        <v>4927.5</v>
      </c>
      <c r="AD68" s="125">
        <f t="shared" si="100"/>
        <v>5110</v>
      </c>
      <c r="AE68" s="125">
        <f t="shared" si="100"/>
        <v>5292.5</v>
      </c>
      <c r="AF68" s="125">
        <f t="shared" si="100"/>
        <v>5475</v>
      </c>
      <c r="AG68" s="125">
        <f t="shared" si="100"/>
        <v>5657.5</v>
      </c>
      <c r="AH68" s="125">
        <f t="shared" si="100"/>
        <v>5840</v>
      </c>
      <c r="AI68" s="125">
        <f t="shared" si="100"/>
        <v>6022.5</v>
      </c>
      <c r="AJ68" s="125">
        <f t="shared" si="100"/>
        <v>6205</v>
      </c>
      <c r="AK68" s="125">
        <f t="shared" si="100"/>
        <v>6387.5</v>
      </c>
      <c r="AL68" s="125">
        <f t="shared" si="100"/>
        <v>6570</v>
      </c>
      <c r="AM68" s="125">
        <f t="shared" si="100"/>
        <v>6752.5</v>
      </c>
      <c r="AN68" s="125">
        <f t="shared" si="100"/>
        <v>6935</v>
      </c>
      <c r="AO68" s="125">
        <f t="shared" si="100"/>
        <v>7117.5</v>
      </c>
      <c r="AP68" s="125">
        <f t="shared" si="100"/>
        <v>7300</v>
      </c>
      <c r="AQ68" s="125">
        <f t="shared" si="100"/>
        <v>7482.5</v>
      </c>
      <c r="AR68" s="125">
        <f t="shared" si="100"/>
        <v>7665</v>
      </c>
      <c r="AS68" s="125">
        <f t="shared" si="100"/>
        <v>7847.5</v>
      </c>
      <c r="AT68" s="125">
        <f t="shared" si="100"/>
        <v>8030</v>
      </c>
      <c r="AU68" s="125">
        <f t="shared" si="100"/>
        <v>8212.5</v>
      </c>
      <c r="AV68" s="125">
        <f t="shared" si="100"/>
        <v>8395</v>
      </c>
      <c r="AW68" s="125">
        <f t="shared" si="100"/>
        <v>8577.5</v>
      </c>
      <c r="AX68" s="125">
        <f t="shared" si="100"/>
        <v>8760</v>
      </c>
      <c r="AY68" s="125">
        <f t="shared" si="100"/>
        <v>8942.5</v>
      </c>
      <c r="AZ68" s="125">
        <f t="shared" si="100"/>
        <v>9125</v>
      </c>
      <c r="BA68" s="125">
        <f t="shared" si="100"/>
        <v>9307.5</v>
      </c>
      <c r="BB68" s="125">
        <f t="shared" si="100"/>
        <v>9490</v>
      </c>
      <c r="BC68" s="125">
        <f t="shared" si="100"/>
        <v>9672.5</v>
      </c>
      <c r="BD68" s="125">
        <f t="shared" si="100"/>
        <v>9855</v>
      </c>
      <c r="BE68" s="125">
        <f t="shared" si="100"/>
        <v>10037.5</v>
      </c>
      <c r="BF68" s="125">
        <f t="shared" si="100"/>
        <v>10220</v>
      </c>
      <c r="BG68" s="125">
        <f t="shared" si="100"/>
        <v>10402.5</v>
      </c>
      <c r="BH68" s="125">
        <f t="shared" si="100"/>
        <v>10585</v>
      </c>
      <c r="BI68" s="125">
        <f t="shared" si="100"/>
        <v>10767.5</v>
      </c>
      <c r="BJ68" s="125">
        <f t="shared" si="100"/>
        <v>10950</v>
      </c>
      <c r="BK68" s="125">
        <f t="shared" si="100"/>
        <v>11132.5</v>
      </c>
      <c r="BL68" s="125">
        <f t="shared" si="100"/>
        <v>11315</v>
      </c>
      <c r="BM68" s="125">
        <f t="shared" si="100"/>
        <v>11497.5</v>
      </c>
      <c r="BN68" s="125">
        <f t="shared" si="100"/>
        <v>11680</v>
      </c>
      <c r="BO68" s="125">
        <f t="shared" ref="BO68:CB68" si="101">BN68+IF($G21=1,365,182.5)</f>
        <v>11862.5</v>
      </c>
      <c r="BP68" s="125">
        <f t="shared" si="101"/>
        <v>12045</v>
      </c>
      <c r="BQ68" s="125">
        <f t="shared" si="101"/>
        <v>12227.5</v>
      </c>
      <c r="BR68" s="125">
        <f t="shared" si="101"/>
        <v>12410</v>
      </c>
      <c r="BS68" s="125">
        <f t="shared" si="101"/>
        <v>12592.5</v>
      </c>
      <c r="BT68" s="125">
        <f t="shared" si="101"/>
        <v>12775</v>
      </c>
      <c r="BU68" s="125">
        <f t="shared" si="101"/>
        <v>12957.5</v>
      </c>
      <c r="BV68" s="125">
        <f t="shared" si="101"/>
        <v>13140</v>
      </c>
      <c r="BW68" s="125">
        <f t="shared" si="101"/>
        <v>13322.5</v>
      </c>
      <c r="BX68" s="125">
        <f t="shared" si="101"/>
        <v>13505</v>
      </c>
      <c r="BY68" s="125">
        <f t="shared" si="101"/>
        <v>13687.5</v>
      </c>
      <c r="BZ68" s="125">
        <f t="shared" si="101"/>
        <v>13870</v>
      </c>
      <c r="CA68" s="125">
        <f t="shared" si="101"/>
        <v>14052.5</v>
      </c>
      <c r="CB68" s="126">
        <f t="shared" si="101"/>
        <v>14235</v>
      </c>
    </row>
    <row r="69" spans="1:115">
      <c r="A69" s="180" t="s">
        <v>37</v>
      </c>
      <c r="B69" s="127">
        <f>(IF(B68=F21,100,0)+IF(G21=1,1,0.5)*J21*100)*IF(ISBLANK(F21)=TRUE,0,1)</f>
        <v>0</v>
      </c>
      <c r="C69" s="128">
        <f>IF(C68&gt;$F21+1,0,1)*(IF(D69=0,100,0)+IF($G21=1,1,0.5)*$J21*100)</f>
        <v>0</v>
      </c>
      <c r="D69" s="128">
        <f t="shared" ref="D69:BO69" si="102">IF(D68&gt;$F21+1,0,1)*(IF(E69=0,100,0)+IF($G21=1,1,0.5)*$J21*100)</f>
        <v>0</v>
      </c>
      <c r="E69" s="128">
        <f t="shared" si="102"/>
        <v>0</v>
      </c>
      <c r="F69" s="128">
        <f t="shared" si="102"/>
        <v>0</v>
      </c>
      <c r="G69" s="128">
        <f t="shared" si="102"/>
        <v>0</v>
      </c>
      <c r="H69" s="128">
        <f t="shared" si="102"/>
        <v>0</v>
      </c>
      <c r="I69" s="128">
        <f t="shared" si="102"/>
        <v>0</v>
      </c>
      <c r="J69" s="128">
        <f t="shared" si="102"/>
        <v>0</v>
      </c>
      <c r="K69" s="128">
        <f t="shared" si="102"/>
        <v>0</v>
      </c>
      <c r="L69" s="128">
        <f t="shared" si="102"/>
        <v>0</v>
      </c>
      <c r="M69" s="128">
        <f t="shared" si="102"/>
        <v>0</v>
      </c>
      <c r="N69" s="128">
        <f t="shared" si="102"/>
        <v>0</v>
      </c>
      <c r="O69" s="128">
        <f t="shared" si="102"/>
        <v>0</v>
      </c>
      <c r="P69" s="128">
        <f t="shared" si="102"/>
        <v>0</v>
      </c>
      <c r="Q69" s="128">
        <f t="shared" si="102"/>
        <v>0</v>
      </c>
      <c r="R69" s="128">
        <f t="shared" si="102"/>
        <v>0</v>
      </c>
      <c r="S69" s="128">
        <f t="shared" si="102"/>
        <v>0</v>
      </c>
      <c r="T69" s="128">
        <f t="shared" si="102"/>
        <v>0</v>
      </c>
      <c r="U69" s="128">
        <f t="shared" si="102"/>
        <v>0</v>
      </c>
      <c r="V69" s="128">
        <f t="shared" si="102"/>
        <v>0</v>
      </c>
      <c r="W69" s="128">
        <f t="shared" si="102"/>
        <v>0</v>
      </c>
      <c r="X69" s="128">
        <f t="shared" si="102"/>
        <v>0</v>
      </c>
      <c r="Y69" s="128">
        <f t="shared" si="102"/>
        <v>0</v>
      </c>
      <c r="Z69" s="128">
        <f t="shared" si="102"/>
        <v>0</v>
      </c>
      <c r="AA69" s="128">
        <f t="shared" si="102"/>
        <v>0</v>
      </c>
      <c r="AB69" s="128">
        <f t="shared" si="102"/>
        <v>0</v>
      </c>
      <c r="AC69" s="128">
        <f t="shared" si="102"/>
        <v>0</v>
      </c>
      <c r="AD69" s="128">
        <f t="shared" si="102"/>
        <v>0</v>
      </c>
      <c r="AE69" s="128">
        <f t="shared" si="102"/>
        <v>0</v>
      </c>
      <c r="AF69" s="128">
        <f t="shared" si="102"/>
        <v>0</v>
      </c>
      <c r="AG69" s="128">
        <f t="shared" si="102"/>
        <v>0</v>
      </c>
      <c r="AH69" s="128">
        <f t="shared" si="102"/>
        <v>0</v>
      </c>
      <c r="AI69" s="128">
        <f t="shared" si="102"/>
        <v>0</v>
      </c>
      <c r="AJ69" s="128">
        <f t="shared" si="102"/>
        <v>0</v>
      </c>
      <c r="AK69" s="128">
        <f t="shared" si="102"/>
        <v>0</v>
      </c>
      <c r="AL69" s="128">
        <f t="shared" si="102"/>
        <v>0</v>
      </c>
      <c r="AM69" s="128">
        <f t="shared" si="102"/>
        <v>0</v>
      </c>
      <c r="AN69" s="128">
        <f t="shared" si="102"/>
        <v>0</v>
      </c>
      <c r="AO69" s="128">
        <f t="shared" si="102"/>
        <v>0</v>
      </c>
      <c r="AP69" s="128">
        <f t="shared" si="102"/>
        <v>0</v>
      </c>
      <c r="AQ69" s="128">
        <f t="shared" si="102"/>
        <v>0</v>
      </c>
      <c r="AR69" s="128">
        <f t="shared" si="102"/>
        <v>0</v>
      </c>
      <c r="AS69" s="128">
        <f t="shared" si="102"/>
        <v>0</v>
      </c>
      <c r="AT69" s="128">
        <f t="shared" si="102"/>
        <v>0</v>
      </c>
      <c r="AU69" s="128">
        <f t="shared" si="102"/>
        <v>0</v>
      </c>
      <c r="AV69" s="128">
        <f t="shared" si="102"/>
        <v>0</v>
      </c>
      <c r="AW69" s="128">
        <f t="shared" si="102"/>
        <v>0</v>
      </c>
      <c r="AX69" s="128">
        <f t="shared" si="102"/>
        <v>0</v>
      </c>
      <c r="AY69" s="128">
        <f t="shared" si="102"/>
        <v>0</v>
      </c>
      <c r="AZ69" s="128">
        <f t="shared" si="102"/>
        <v>0</v>
      </c>
      <c r="BA69" s="128">
        <f t="shared" si="102"/>
        <v>0</v>
      </c>
      <c r="BB69" s="128">
        <f t="shared" si="102"/>
        <v>0</v>
      </c>
      <c r="BC69" s="128">
        <f t="shared" si="102"/>
        <v>0</v>
      </c>
      <c r="BD69" s="128">
        <f t="shared" si="102"/>
        <v>0</v>
      </c>
      <c r="BE69" s="128">
        <f t="shared" si="102"/>
        <v>0</v>
      </c>
      <c r="BF69" s="128">
        <f t="shared" si="102"/>
        <v>0</v>
      </c>
      <c r="BG69" s="128">
        <f t="shared" si="102"/>
        <v>0</v>
      </c>
      <c r="BH69" s="128">
        <f t="shared" si="102"/>
        <v>0</v>
      </c>
      <c r="BI69" s="128">
        <f t="shared" si="102"/>
        <v>0</v>
      </c>
      <c r="BJ69" s="128">
        <f t="shared" si="102"/>
        <v>0</v>
      </c>
      <c r="BK69" s="128">
        <f t="shared" si="102"/>
        <v>0</v>
      </c>
      <c r="BL69" s="128">
        <f t="shared" si="102"/>
        <v>0</v>
      </c>
      <c r="BM69" s="128">
        <f t="shared" si="102"/>
        <v>0</v>
      </c>
      <c r="BN69" s="128">
        <f t="shared" si="102"/>
        <v>0</v>
      </c>
      <c r="BO69" s="128">
        <f t="shared" si="102"/>
        <v>0</v>
      </c>
      <c r="BP69" s="128">
        <f t="shared" ref="BP69:CB69" si="103">IF(BP68&gt;$F21+1,0,1)*(IF(BQ69=0,100,0)+IF($G21=1,1,0.5)*$J21*100)</f>
        <v>0</v>
      </c>
      <c r="BQ69" s="128">
        <f t="shared" si="103"/>
        <v>0</v>
      </c>
      <c r="BR69" s="128">
        <f t="shared" si="103"/>
        <v>0</v>
      </c>
      <c r="BS69" s="128">
        <f t="shared" si="103"/>
        <v>0</v>
      </c>
      <c r="BT69" s="128">
        <f t="shared" si="103"/>
        <v>0</v>
      </c>
      <c r="BU69" s="128">
        <f t="shared" si="103"/>
        <v>0</v>
      </c>
      <c r="BV69" s="128">
        <f t="shared" si="103"/>
        <v>0</v>
      </c>
      <c r="BW69" s="128">
        <f t="shared" si="103"/>
        <v>0</v>
      </c>
      <c r="BX69" s="128">
        <f t="shared" si="103"/>
        <v>0</v>
      </c>
      <c r="BY69" s="128">
        <f t="shared" si="103"/>
        <v>0</v>
      </c>
      <c r="BZ69" s="128">
        <f t="shared" si="103"/>
        <v>0</v>
      </c>
      <c r="CA69" s="128">
        <f t="shared" si="103"/>
        <v>0</v>
      </c>
      <c r="CB69" s="129">
        <f t="shared" si="103"/>
        <v>0</v>
      </c>
    </row>
    <row r="70" spans="1:115">
      <c r="A70" s="246" t="s">
        <v>49</v>
      </c>
      <c r="B70" s="94">
        <f>IF(E22=0,F22,E22)</f>
        <v>0</v>
      </c>
      <c r="C70" s="95">
        <f t="shared" ref="C70:BN70" si="104">B70+IF($G22=1,365,182.5)</f>
        <v>182.5</v>
      </c>
      <c r="D70" s="95">
        <f t="shared" si="104"/>
        <v>365</v>
      </c>
      <c r="E70" s="95">
        <f t="shared" si="104"/>
        <v>547.5</v>
      </c>
      <c r="F70" s="95">
        <f t="shared" si="104"/>
        <v>730</v>
      </c>
      <c r="G70" s="95">
        <f t="shared" si="104"/>
        <v>912.5</v>
      </c>
      <c r="H70" s="95">
        <f t="shared" si="104"/>
        <v>1095</v>
      </c>
      <c r="I70" s="95">
        <f t="shared" si="104"/>
        <v>1277.5</v>
      </c>
      <c r="J70" s="95">
        <f t="shared" si="104"/>
        <v>1460</v>
      </c>
      <c r="K70" s="95">
        <f t="shared" si="104"/>
        <v>1642.5</v>
      </c>
      <c r="L70" s="95">
        <f t="shared" si="104"/>
        <v>1825</v>
      </c>
      <c r="M70" s="95">
        <f t="shared" si="104"/>
        <v>2007.5</v>
      </c>
      <c r="N70" s="95">
        <f t="shared" si="104"/>
        <v>2190</v>
      </c>
      <c r="O70" s="95">
        <f t="shared" si="104"/>
        <v>2372.5</v>
      </c>
      <c r="P70" s="95">
        <f t="shared" si="104"/>
        <v>2555</v>
      </c>
      <c r="Q70" s="95">
        <f t="shared" si="104"/>
        <v>2737.5</v>
      </c>
      <c r="R70" s="95">
        <f t="shared" si="104"/>
        <v>2920</v>
      </c>
      <c r="S70" s="95">
        <f t="shared" si="104"/>
        <v>3102.5</v>
      </c>
      <c r="T70" s="95">
        <f t="shared" si="104"/>
        <v>3285</v>
      </c>
      <c r="U70" s="95">
        <f t="shared" si="104"/>
        <v>3467.5</v>
      </c>
      <c r="V70" s="95">
        <f t="shared" si="104"/>
        <v>3650</v>
      </c>
      <c r="W70" s="95">
        <f t="shared" si="104"/>
        <v>3832.5</v>
      </c>
      <c r="X70" s="95">
        <f t="shared" si="104"/>
        <v>4015</v>
      </c>
      <c r="Y70" s="95">
        <f t="shared" si="104"/>
        <v>4197.5</v>
      </c>
      <c r="Z70" s="95">
        <f t="shared" si="104"/>
        <v>4380</v>
      </c>
      <c r="AA70" s="95">
        <f t="shared" si="104"/>
        <v>4562.5</v>
      </c>
      <c r="AB70" s="95">
        <f t="shared" si="104"/>
        <v>4745</v>
      </c>
      <c r="AC70" s="95">
        <f t="shared" si="104"/>
        <v>4927.5</v>
      </c>
      <c r="AD70" s="95">
        <f t="shared" si="104"/>
        <v>5110</v>
      </c>
      <c r="AE70" s="95">
        <f t="shared" si="104"/>
        <v>5292.5</v>
      </c>
      <c r="AF70" s="95">
        <f t="shared" si="104"/>
        <v>5475</v>
      </c>
      <c r="AG70" s="95">
        <f t="shared" si="104"/>
        <v>5657.5</v>
      </c>
      <c r="AH70" s="95">
        <f t="shared" si="104"/>
        <v>5840</v>
      </c>
      <c r="AI70" s="95">
        <f t="shared" si="104"/>
        <v>6022.5</v>
      </c>
      <c r="AJ70" s="95">
        <f t="shared" si="104"/>
        <v>6205</v>
      </c>
      <c r="AK70" s="95">
        <f t="shared" si="104"/>
        <v>6387.5</v>
      </c>
      <c r="AL70" s="95">
        <f t="shared" si="104"/>
        <v>6570</v>
      </c>
      <c r="AM70" s="95">
        <f t="shared" si="104"/>
        <v>6752.5</v>
      </c>
      <c r="AN70" s="95">
        <f t="shared" si="104"/>
        <v>6935</v>
      </c>
      <c r="AO70" s="95">
        <f t="shared" si="104"/>
        <v>7117.5</v>
      </c>
      <c r="AP70" s="95">
        <f t="shared" si="104"/>
        <v>7300</v>
      </c>
      <c r="AQ70" s="95">
        <f t="shared" si="104"/>
        <v>7482.5</v>
      </c>
      <c r="AR70" s="95">
        <f t="shared" si="104"/>
        <v>7665</v>
      </c>
      <c r="AS70" s="95">
        <f t="shared" si="104"/>
        <v>7847.5</v>
      </c>
      <c r="AT70" s="95">
        <f t="shared" si="104"/>
        <v>8030</v>
      </c>
      <c r="AU70" s="95">
        <f t="shared" si="104"/>
        <v>8212.5</v>
      </c>
      <c r="AV70" s="95">
        <f t="shared" si="104"/>
        <v>8395</v>
      </c>
      <c r="AW70" s="95">
        <f t="shared" si="104"/>
        <v>8577.5</v>
      </c>
      <c r="AX70" s="95">
        <f t="shared" si="104"/>
        <v>8760</v>
      </c>
      <c r="AY70" s="95">
        <f t="shared" si="104"/>
        <v>8942.5</v>
      </c>
      <c r="AZ70" s="95">
        <f t="shared" si="104"/>
        <v>9125</v>
      </c>
      <c r="BA70" s="95">
        <f t="shared" si="104"/>
        <v>9307.5</v>
      </c>
      <c r="BB70" s="95">
        <f t="shared" si="104"/>
        <v>9490</v>
      </c>
      <c r="BC70" s="95">
        <f t="shared" si="104"/>
        <v>9672.5</v>
      </c>
      <c r="BD70" s="95">
        <f t="shared" si="104"/>
        <v>9855</v>
      </c>
      <c r="BE70" s="95">
        <f t="shared" si="104"/>
        <v>10037.5</v>
      </c>
      <c r="BF70" s="95">
        <f t="shared" si="104"/>
        <v>10220</v>
      </c>
      <c r="BG70" s="95">
        <f t="shared" si="104"/>
        <v>10402.5</v>
      </c>
      <c r="BH70" s="95">
        <f t="shared" si="104"/>
        <v>10585</v>
      </c>
      <c r="BI70" s="95">
        <f t="shared" si="104"/>
        <v>10767.5</v>
      </c>
      <c r="BJ70" s="95">
        <f t="shared" si="104"/>
        <v>10950</v>
      </c>
      <c r="BK70" s="95">
        <f t="shared" si="104"/>
        <v>11132.5</v>
      </c>
      <c r="BL70" s="95">
        <f t="shared" si="104"/>
        <v>11315</v>
      </c>
      <c r="BM70" s="95">
        <f t="shared" si="104"/>
        <v>11497.5</v>
      </c>
      <c r="BN70" s="95">
        <f t="shared" si="104"/>
        <v>11680</v>
      </c>
      <c r="BO70" s="95">
        <f t="shared" ref="BO70:CB70" si="105">BN70+IF($G22=1,365,182.5)</f>
        <v>11862.5</v>
      </c>
      <c r="BP70" s="95">
        <f t="shared" si="105"/>
        <v>12045</v>
      </c>
      <c r="BQ70" s="95">
        <f t="shared" si="105"/>
        <v>12227.5</v>
      </c>
      <c r="BR70" s="95">
        <f t="shared" si="105"/>
        <v>12410</v>
      </c>
      <c r="BS70" s="95">
        <f t="shared" si="105"/>
        <v>12592.5</v>
      </c>
      <c r="BT70" s="95">
        <f t="shared" si="105"/>
        <v>12775</v>
      </c>
      <c r="BU70" s="95">
        <f t="shared" si="105"/>
        <v>12957.5</v>
      </c>
      <c r="BV70" s="95">
        <f t="shared" si="105"/>
        <v>13140</v>
      </c>
      <c r="BW70" s="95">
        <f t="shared" si="105"/>
        <v>13322.5</v>
      </c>
      <c r="BX70" s="95">
        <f t="shared" si="105"/>
        <v>13505</v>
      </c>
      <c r="BY70" s="95">
        <f t="shared" si="105"/>
        <v>13687.5</v>
      </c>
      <c r="BZ70" s="95">
        <f t="shared" si="105"/>
        <v>13870</v>
      </c>
      <c r="CA70" s="95">
        <f t="shared" si="105"/>
        <v>14052.5</v>
      </c>
      <c r="CB70" s="96">
        <f t="shared" si="105"/>
        <v>14235</v>
      </c>
    </row>
    <row r="71" spans="1:115">
      <c r="A71" s="181" t="s">
        <v>38</v>
      </c>
      <c r="B71" s="116">
        <f>(IF(B70=F22,100,0)+IF(G22=1,1,0.5)*J22*100)*IF(ISBLANK(F22)=TRUE,0,1)</f>
        <v>0</v>
      </c>
      <c r="C71" s="97">
        <f>IF(C70&gt;$F22+1,0,1)*(  IF(D71=0,100,0)+IF($G22=1,1,0.5)*$J22*100)</f>
        <v>0</v>
      </c>
      <c r="D71" s="97">
        <f t="shared" ref="D71:BO71" si="106">IF(D70&gt;$F22+1,0,1)*(  IF(E71=0,100,0)+IF($G22=1,1,0.5)*$J22*100)</f>
        <v>0</v>
      </c>
      <c r="E71" s="97">
        <f t="shared" si="106"/>
        <v>0</v>
      </c>
      <c r="F71" s="97">
        <f t="shared" si="106"/>
        <v>0</v>
      </c>
      <c r="G71" s="97">
        <f t="shared" si="106"/>
        <v>0</v>
      </c>
      <c r="H71" s="97">
        <f t="shared" si="106"/>
        <v>0</v>
      </c>
      <c r="I71" s="97">
        <f t="shared" si="106"/>
        <v>0</v>
      </c>
      <c r="J71" s="97">
        <f t="shared" si="106"/>
        <v>0</v>
      </c>
      <c r="K71" s="97">
        <f t="shared" si="106"/>
        <v>0</v>
      </c>
      <c r="L71" s="97">
        <f t="shared" si="106"/>
        <v>0</v>
      </c>
      <c r="M71" s="97">
        <f t="shared" si="106"/>
        <v>0</v>
      </c>
      <c r="N71" s="97">
        <f t="shared" si="106"/>
        <v>0</v>
      </c>
      <c r="O71" s="97">
        <f t="shared" si="106"/>
        <v>0</v>
      </c>
      <c r="P71" s="97">
        <f t="shared" si="106"/>
        <v>0</v>
      </c>
      <c r="Q71" s="97">
        <f t="shared" si="106"/>
        <v>0</v>
      </c>
      <c r="R71" s="97">
        <f t="shared" si="106"/>
        <v>0</v>
      </c>
      <c r="S71" s="97">
        <f t="shared" si="106"/>
        <v>0</v>
      </c>
      <c r="T71" s="97">
        <f t="shared" si="106"/>
        <v>0</v>
      </c>
      <c r="U71" s="97">
        <f t="shared" si="106"/>
        <v>0</v>
      </c>
      <c r="V71" s="97">
        <f t="shared" si="106"/>
        <v>0</v>
      </c>
      <c r="W71" s="97">
        <f t="shared" si="106"/>
        <v>0</v>
      </c>
      <c r="X71" s="97">
        <f t="shared" si="106"/>
        <v>0</v>
      </c>
      <c r="Y71" s="97">
        <f t="shared" si="106"/>
        <v>0</v>
      </c>
      <c r="Z71" s="97">
        <f t="shared" si="106"/>
        <v>0</v>
      </c>
      <c r="AA71" s="97">
        <f t="shared" si="106"/>
        <v>0</v>
      </c>
      <c r="AB71" s="97">
        <f t="shared" si="106"/>
        <v>0</v>
      </c>
      <c r="AC71" s="97">
        <f t="shared" si="106"/>
        <v>0</v>
      </c>
      <c r="AD71" s="97">
        <f t="shared" si="106"/>
        <v>0</v>
      </c>
      <c r="AE71" s="97">
        <f t="shared" si="106"/>
        <v>0</v>
      </c>
      <c r="AF71" s="97">
        <f t="shared" si="106"/>
        <v>0</v>
      </c>
      <c r="AG71" s="97">
        <f t="shared" si="106"/>
        <v>0</v>
      </c>
      <c r="AH71" s="97">
        <f t="shared" si="106"/>
        <v>0</v>
      </c>
      <c r="AI71" s="97">
        <f t="shared" si="106"/>
        <v>0</v>
      </c>
      <c r="AJ71" s="97">
        <f t="shared" si="106"/>
        <v>0</v>
      </c>
      <c r="AK71" s="97">
        <f t="shared" si="106"/>
        <v>0</v>
      </c>
      <c r="AL71" s="97">
        <f t="shared" si="106"/>
        <v>0</v>
      </c>
      <c r="AM71" s="97">
        <f t="shared" si="106"/>
        <v>0</v>
      </c>
      <c r="AN71" s="97">
        <f t="shared" si="106"/>
        <v>0</v>
      </c>
      <c r="AO71" s="97">
        <f t="shared" si="106"/>
        <v>0</v>
      </c>
      <c r="AP71" s="97">
        <f t="shared" si="106"/>
        <v>0</v>
      </c>
      <c r="AQ71" s="97">
        <f t="shared" si="106"/>
        <v>0</v>
      </c>
      <c r="AR71" s="97">
        <f t="shared" si="106"/>
        <v>0</v>
      </c>
      <c r="AS71" s="97">
        <f t="shared" si="106"/>
        <v>0</v>
      </c>
      <c r="AT71" s="97">
        <f t="shared" si="106"/>
        <v>0</v>
      </c>
      <c r="AU71" s="97">
        <f t="shared" si="106"/>
        <v>0</v>
      </c>
      <c r="AV71" s="97">
        <f t="shared" si="106"/>
        <v>0</v>
      </c>
      <c r="AW71" s="97">
        <f t="shared" si="106"/>
        <v>0</v>
      </c>
      <c r="AX71" s="97">
        <f t="shared" si="106"/>
        <v>0</v>
      </c>
      <c r="AY71" s="97">
        <f t="shared" si="106"/>
        <v>0</v>
      </c>
      <c r="AZ71" s="97">
        <f t="shared" si="106"/>
        <v>0</v>
      </c>
      <c r="BA71" s="97">
        <f t="shared" si="106"/>
        <v>0</v>
      </c>
      <c r="BB71" s="97">
        <f t="shared" si="106"/>
        <v>0</v>
      </c>
      <c r="BC71" s="97">
        <f t="shared" si="106"/>
        <v>0</v>
      </c>
      <c r="BD71" s="97">
        <f t="shared" si="106"/>
        <v>0</v>
      </c>
      <c r="BE71" s="97">
        <f t="shared" si="106"/>
        <v>0</v>
      </c>
      <c r="BF71" s="97">
        <f t="shared" si="106"/>
        <v>0</v>
      </c>
      <c r="BG71" s="97">
        <f t="shared" si="106"/>
        <v>0</v>
      </c>
      <c r="BH71" s="97">
        <f t="shared" si="106"/>
        <v>0</v>
      </c>
      <c r="BI71" s="97">
        <f t="shared" si="106"/>
        <v>0</v>
      </c>
      <c r="BJ71" s="97">
        <f t="shared" si="106"/>
        <v>0</v>
      </c>
      <c r="BK71" s="97">
        <f t="shared" si="106"/>
        <v>0</v>
      </c>
      <c r="BL71" s="97">
        <f t="shared" si="106"/>
        <v>0</v>
      </c>
      <c r="BM71" s="97">
        <f t="shared" si="106"/>
        <v>0</v>
      </c>
      <c r="BN71" s="97">
        <f t="shared" si="106"/>
        <v>0</v>
      </c>
      <c r="BO71" s="97">
        <f t="shared" si="106"/>
        <v>0</v>
      </c>
      <c r="BP71" s="97">
        <f t="shared" ref="BP71:CB71" si="107">IF(BP70&gt;$F22+1,0,1)*(  IF(BQ71=0,100,0)+IF($G22=1,1,0.5)*$J22*100)</f>
        <v>0</v>
      </c>
      <c r="BQ71" s="97">
        <f t="shared" si="107"/>
        <v>0</v>
      </c>
      <c r="BR71" s="97">
        <f t="shared" si="107"/>
        <v>0</v>
      </c>
      <c r="BS71" s="97">
        <f t="shared" si="107"/>
        <v>0</v>
      </c>
      <c r="BT71" s="97">
        <f t="shared" si="107"/>
        <v>0</v>
      </c>
      <c r="BU71" s="97">
        <f t="shared" si="107"/>
        <v>0</v>
      </c>
      <c r="BV71" s="97">
        <f t="shared" si="107"/>
        <v>0</v>
      </c>
      <c r="BW71" s="97">
        <f t="shared" si="107"/>
        <v>0</v>
      </c>
      <c r="BX71" s="97">
        <f t="shared" si="107"/>
        <v>0</v>
      </c>
      <c r="BY71" s="97">
        <f t="shared" si="107"/>
        <v>0</v>
      </c>
      <c r="BZ71" s="97">
        <f t="shared" si="107"/>
        <v>0</v>
      </c>
      <c r="CA71" s="97">
        <f t="shared" si="107"/>
        <v>0</v>
      </c>
      <c r="CB71" s="98">
        <f t="shared" si="107"/>
        <v>0</v>
      </c>
    </row>
    <row r="72" spans="1:115">
      <c r="A72" s="245" t="s">
        <v>49</v>
      </c>
      <c r="B72" s="99">
        <f>IF(E23=0,F23,E23)</f>
        <v>0</v>
      </c>
      <c r="C72" s="100">
        <f t="shared" ref="C72:BN72" si="108">B72+IF($G23=1,365,182.5)</f>
        <v>182.5</v>
      </c>
      <c r="D72" s="100">
        <f t="shared" si="108"/>
        <v>365</v>
      </c>
      <c r="E72" s="100">
        <f t="shared" si="108"/>
        <v>547.5</v>
      </c>
      <c r="F72" s="100">
        <f t="shared" si="108"/>
        <v>730</v>
      </c>
      <c r="G72" s="100">
        <f t="shared" si="108"/>
        <v>912.5</v>
      </c>
      <c r="H72" s="100">
        <f t="shared" si="108"/>
        <v>1095</v>
      </c>
      <c r="I72" s="100">
        <f t="shared" si="108"/>
        <v>1277.5</v>
      </c>
      <c r="J72" s="100">
        <f t="shared" si="108"/>
        <v>1460</v>
      </c>
      <c r="K72" s="100">
        <f t="shared" si="108"/>
        <v>1642.5</v>
      </c>
      <c r="L72" s="100">
        <f t="shared" si="108"/>
        <v>1825</v>
      </c>
      <c r="M72" s="100">
        <f t="shared" si="108"/>
        <v>2007.5</v>
      </c>
      <c r="N72" s="100">
        <f t="shared" si="108"/>
        <v>2190</v>
      </c>
      <c r="O72" s="100">
        <f t="shared" si="108"/>
        <v>2372.5</v>
      </c>
      <c r="P72" s="100">
        <f t="shared" si="108"/>
        <v>2555</v>
      </c>
      <c r="Q72" s="100">
        <f t="shared" si="108"/>
        <v>2737.5</v>
      </c>
      <c r="R72" s="100">
        <f t="shared" si="108"/>
        <v>2920</v>
      </c>
      <c r="S72" s="100">
        <f t="shared" si="108"/>
        <v>3102.5</v>
      </c>
      <c r="T72" s="100">
        <f t="shared" si="108"/>
        <v>3285</v>
      </c>
      <c r="U72" s="100">
        <f t="shared" si="108"/>
        <v>3467.5</v>
      </c>
      <c r="V72" s="100">
        <f t="shared" si="108"/>
        <v>3650</v>
      </c>
      <c r="W72" s="100">
        <f t="shared" si="108"/>
        <v>3832.5</v>
      </c>
      <c r="X72" s="100">
        <f t="shared" si="108"/>
        <v>4015</v>
      </c>
      <c r="Y72" s="100">
        <f t="shared" si="108"/>
        <v>4197.5</v>
      </c>
      <c r="Z72" s="100">
        <f t="shared" si="108"/>
        <v>4380</v>
      </c>
      <c r="AA72" s="100">
        <f t="shared" si="108"/>
        <v>4562.5</v>
      </c>
      <c r="AB72" s="100">
        <f t="shared" si="108"/>
        <v>4745</v>
      </c>
      <c r="AC72" s="100">
        <f t="shared" si="108"/>
        <v>4927.5</v>
      </c>
      <c r="AD72" s="100">
        <f t="shared" si="108"/>
        <v>5110</v>
      </c>
      <c r="AE72" s="100">
        <f t="shared" si="108"/>
        <v>5292.5</v>
      </c>
      <c r="AF72" s="100">
        <f t="shared" si="108"/>
        <v>5475</v>
      </c>
      <c r="AG72" s="100">
        <f t="shared" si="108"/>
        <v>5657.5</v>
      </c>
      <c r="AH72" s="100">
        <f t="shared" si="108"/>
        <v>5840</v>
      </c>
      <c r="AI72" s="100">
        <f t="shared" si="108"/>
        <v>6022.5</v>
      </c>
      <c r="AJ72" s="100">
        <f t="shared" si="108"/>
        <v>6205</v>
      </c>
      <c r="AK72" s="100">
        <f t="shared" si="108"/>
        <v>6387.5</v>
      </c>
      <c r="AL72" s="100">
        <f t="shared" si="108"/>
        <v>6570</v>
      </c>
      <c r="AM72" s="100">
        <f t="shared" si="108"/>
        <v>6752.5</v>
      </c>
      <c r="AN72" s="100">
        <f t="shared" si="108"/>
        <v>6935</v>
      </c>
      <c r="AO72" s="100">
        <f t="shared" si="108"/>
        <v>7117.5</v>
      </c>
      <c r="AP72" s="100">
        <f t="shared" si="108"/>
        <v>7300</v>
      </c>
      <c r="AQ72" s="100">
        <f t="shared" si="108"/>
        <v>7482.5</v>
      </c>
      <c r="AR72" s="100">
        <f t="shared" si="108"/>
        <v>7665</v>
      </c>
      <c r="AS72" s="100">
        <f t="shared" si="108"/>
        <v>7847.5</v>
      </c>
      <c r="AT72" s="100">
        <f t="shared" si="108"/>
        <v>8030</v>
      </c>
      <c r="AU72" s="100">
        <f t="shared" si="108"/>
        <v>8212.5</v>
      </c>
      <c r="AV72" s="100">
        <f t="shared" si="108"/>
        <v>8395</v>
      </c>
      <c r="AW72" s="100">
        <f t="shared" si="108"/>
        <v>8577.5</v>
      </c>
      <c r="AX72" s="100">
        <f t="shared" si="108"/>
        <v>8760</v>
      </c>
      <c r="AY72" s="100">
        <f t="shared" si="108"/>
        <v>8942.5</v>
      </c>
      <c r="AZ72" s="100">
        <f t="shared" si="108"/>
        <v>9125</v>
      </c>
      <c r="BA72" s="100">
        <f t="shared" si="108"/>
        <v>9307.5</v>
      </c>
      <c r="BB72" s="100">
        <f t="shared" si="108"/>
        <v>9490</v>
      </c>
      <c r="BC72" s="100">
        <f t="shared" si="108"/>
        <v>9672.5</v>
      </c>
      <c r="BD72" s="100">
        <f t="shared" si="108"/>
        <v>9855</v>
      </c>
      <c r="BE72" s="100">
        <f t="shared" si="108"/>
        <v>10037.5</v>
      </c>
      <c r="BF72" s="100">
        <f t="shared" si="108"/>
        <v>10220</v>
      </c>
      <c r="BG72" s="100">
        <f t="shared" si="108"/>
        <v>10402.5</v>
      </c>
      <c r="BH72" s="100">
        <f t="shared" si="108"/>
        <v>10585</v>
      </c>
      <c r="BI72" s="100">
        <f t="shared" si="108"/>
        <v>10767.5</v>
      </c>
      <c r="BJ72" s="100">
        <f t="shared" si="108"/>
        <v>10950</v>
      </c>
      <c r="BK72" s="100">
        <f t="shared" si="108"/>
        <v>11132.5</v>
      </c>
      <c r="BL72" s="100">
        <f t="shared" si="108"/>
        <v>11315</v>
      </c>
      <c r="BM72" s="100">
        <f t="shared" si="108"/>
        <v>11497.5</v>
      </c>
      <c r="BN72" s="100">
        <f t="shared" si="108"/>
        <v>11680</v>
      </c>
      <c r="BO72" s="100">
        <f t="shared" ref="BO72:CB72" si="109">BN72+IF($G23=1,365,182.5)</f>
        <v>11862.5</v>
      </c>
      <c r="BP72" s="100">
        <f t="shared" si="109"/>
        <v>12045</v>
      </c>
      <c r="BQ72" s="100">
        <f t="shared" si="109"/>
        <v>12227.5</v>
      </c>
      <c r="BR72" s="100">
        <f t="shared" si="109"/>
        <v>12410</v>
      </c>
      <c r="BS72" s="100">
        <f t="shared" si="109"/>
        <v>12592.5</v>
      </c>
      <c r="BT72" s="100">
        <f t="shared" si="109"/>
        <v>12775</v>
      </c>
      <c r="BU72" s="100">
        <f t="shared" si="109"/>
        <v>12957.5</v>
      </c>
      <c r="BV72" s="100">
        <f t="shared" si="109"/>
        <v>13140</v>
      </c>
      <c r="BW72" s="100">
        <f t="shared" si="109"/>
        <v>13322.5</v>
      </c>
      <c r="BX72" s="100">
        <f t="shared" si="109"/>
        <v>13505</v>
      </c>
      <c r="BY72" s="100">
        <f t="shared" si="109"/>
        <v>13687.5</v>
      </c>
      <c r="BZ72" s="100">
        <f t="shared" si="109"/>
        <v>13870</v>
      </c>
      <c r="CA72" s="100">
        <f t="shared" si="109"/>
        <v>14052.5</v>
      </c>
      <c r="CB72" s="101">
        <f t="shared" si="109"/>
        <v>14235</v>
      </c>
    </row>
    <row r="73" spans="1:115">
      <c r="A73" s="182" t="s">
        <v>39</v>
      </c>
      <c r="B73" s="117">
        <f>(IF(B72=F23,100,0)+IF(G23=1,1,0.5)*J23*100)*IF(ISBLANK(F23)=TRUE,0,1)</f>
        <v>0</v>
      </c>
      <c r="C73" s="102">
        <f>IF(C72&gt;$F23+1,0,1)*(IF(D73=0,100,0)+IF($G23=1,1,0.5)*$J23*100)</f>
        <v>0</v>
      </c>
      <c r="D73" s="102">
        <f t="shared" ref="D73:BO73" si="110">IF(D72&gt;$F23+1,0,1)*(IF(E73=0,100,0)+IF($G23=1,1,0.5)*$J23*100)</f>
        <v>0</v>
      </c>
      <c r="E73" s="102">
        <f t="shared" si="110"/>
        <v>0</v>
      </c>
      <c r="F73" s="102">
        <f t="shared" si="110"/>
        <v>0</v>
      </c>
      <c r="G73" s="102">
        <f t="shared" si="110"/>
        <v>0</v>
      </c>
      <c r="H73" s="102">
        <f t="shared" si="110"/>
        <v>0</v>
      </c>
      <c r="I73" s="102">
        <f t="shared" si="110"/>
        <v>0</v>
      </c>
      <c r="J73" s="102">
        <f t="shared" si="110"/>
        <v>0</v>
      </c>
      <c r="K73" s="102">
        <f t="shared" si="110"/>
        <v>0</v>
      </c>
      <c r="L73" s="102">
        <f t="shared" si="110"/>
        <v>0</v>
      </c>
      <c r="M73" s="102">
        <f t="shared" si="110"/>
        <v>0</v>
      </c>
      <c r="N73" s="102">
        <f t="shared" si="110"/>
        <v>0</v>
      </c>
      <c r="O73" s="102">
        <f t="shared" si="110"/>
        <v>0</v>
      </c>
      <c r="P73" s="102">
        <f t="shared" si="110"/>
        <v>0</v>
      </c>
      <c r="Q73" s="102">
        <f t="shared" si="110"/>
        <v>0</v>
      </c>
      <c r="R73" s="102">
        <f t="shared" si="110"/>
        <v>0</v>
      </c>
      <c r="S73" s="102">
        <f t="shared" si="110"/>
        <v>0</v>
      </c>
      <c r="T73" s="102">
        <f t="shared" si="110"/>
        <v>0</v>
      </c>
      <c r="U73" s="102">
        <f t="shared" si="110"/>
        <v>0</v>
      </c>
      <c r="V73" s="102">
        <f t="shared" si="110"/>
        <v>0</v>
      </c>
      <c r="W73" s="102">
        <f t="shared" si="110"/>
        <v>0</v>
      </c>
      <c r="X73" s="102">
        <f t="shared" si="110"/>
        <v>0</v>
      </c>
      <c r="Y73" s="102">
        <f t="shared" si="110"/>
        <v>0</v>
      </c>
      <c r="Z73" s="102">
        <f t="shared" si="110"/>
        <v>0</v>
      </c>
      <c r="AA73" s="102">
        <f t="shared" si="110"/>
        <v>0</v>
      </c>
      <c r="AB73" s="102">
        <f t="shared" si="110"/>
        <v>0</v>
      </c>
      <c r="AC73" s="102">
        <f t="shared" si="110"/>
        <v>0</v>
      </c>
      <c r="AD73" s="102">
        <f t="shared" si="110"/>
        <v>0</v>
      </c>
      <c r="AE73" s="102">
        <f t="shared" si="110"/>
        <v>0</v>
      </c>
      <c r="AF73" s="102">
        <f t="shared" si="110"/>
        <v>0</v>
      </c>
      <c r="AG73" s="102">
        <f t="shared" si="110"/>
        <v>0</v>
      </c>
      <c r="AH73" s="102">
        <f t="shared" si="110"/>
        <v>0</v>
      </c>
      <c r="AI73" s="102">
        <f t="shared" si="110"/>
        <v>0</v>
      </c>
      <c r="AJ73" s="102">
        <f t="shared" si="110"/>
        <v>0</v>
      </c>
      <c r="AK73" s="102">
        <f t="shared" si="110"/>
        <v>0</v>
      </c>
      <c r="AL73" s="102">
        <f t="shared" si="110"/>
        <v>0</v>
      </c>
      <c r="AM73" s="102">
        <f t="shared" si="110"/>
        <v>0</v>
      </c>
      <c r="AN73" s="102">
        <f t="shared" si="110"/>
        <v>0</v>
      </c>
      <c r="AO73" s="102">
        <f t="shared" si="110"/>
        <v>0</v>
      </c>
      <c r="AP73" s="102">
        <f t="shared" si="110"/>
        <v>0</v>
      </c>
      <c r="AQ73" s="102">
        <f t="shared" si="110"/>
        <v>0</v>
      </c>
      <c r="AR73" s="102">
        <f t="shared" si="110"/>
        <v>0</v>
      </c>
      <c r="AS73" s="102">
        <f t="shared" si="110"/>
        <v>0</v>
      </c>
      <c r="AT73" s="102">
        <f t="shared" si="110"/>
        <v>0</v>
      </c>
      <c r="AU73" s="102">
        <f t="shared" si="110"/>
        <v>0</v>
      </c>
      <c r="AV73" s="102">
        <f t="shared" si="110"/>
        <v>0</v>
      </c>
      <c r="AW73" s="102">
        <f t="shared" si="110"/>
        <v>0</v>
      </c>
      <c r="AX73" s="102">
        <f t="shared" si="110"/>
        <v>0</v>
      </c>
      <c r="AY73" s="102">
        <f t="shared" si="110"/>
        <v>0</v>
      </c>
      <c r="AZ73" s="102">
        <f t="shared" si="110"/>
        <v>0</v>
      </c>
      <c r="BA73" s="102">
        <f t="shared" si="110"/>
        <v>0</v>
      </c>
      <c r="BB73" s="102">
        <f t="shared" si="110"/>
        <v>0</v>
      </c>
      <c r="BC73" s="102">
        <f t="shared" si="110"/>
        <v>0</v>
      </c>
      <c r="BD73" s="102">
        <f t="shared" si="110"/>
        <v>0</v>
      </c>
      <c r="BE73" s="102">
        <f t="shared" si="110"/>
        <v>0</v>
      </c>
      <c r="BF73" s="102">
        <f t="shared" si="110"/>
        <v>0</v>
      </c>
      <c r="BG73" s="102">
        <f t="shared" si="110"/>
        <v>0</v>
      </c>
      <c r="BH73" s="102">
        <f t="shared" si="110"/>
        <v>0</v>
      </c>
      <c r="BI73" s="102">
        <f t="shared" si="110"/>
        <v>0</v>
      </c>
      <c r="BJ73" s="102">
        <f t="shared" si="110"/>
        <v>0</v>
      </c>
      <c r="BK73" s="102">
        <f t="shared" si="110"/>
        <v>0</v>
      </c>
      <c r="BL73" s="102">
        <f t="shared" si="110"/>
        <v>0</v>
      </c>
      <c r="BM73" s="102">
        <f t="shared" si="110"/>
        <v>0</v>
      </c>
      <c r="BN73" s="102">
        <f t="shared" si="110"/>
        <v>0</v>
      </c>
      <c r="BO73" s="102">
        <f t="shared" si="110"/>
        <v>0</v>
      </c>
      <c r="BP73" s="102">
        <f t="shared" ref="BP73:CB73" si="111">IF(BP72&gt;$F23+1,0,1)*(IF(BQ73=0,100,0)+IF($G23=1,1,0.5)*$J23*100)</f>
        <v>0</v>
      </c>
      <c r="BQ73" s="102">
        <f t="shared" si="111"/>
        <v>0</v>
      </c>
      <c r="BR73" s="102">
        <f t="shared" si="111"/>
        <v>0</v>
      </c>
      <c r="BS73" s="102">
        <f t="shared" si="111"/>
        <v>0</v>
      </c>
      <c r="BT73" s="102">
        <f t="shared" si="111"/>
        <v>0</v>
      </c>
      <c r="BU73" s="102">
        <f t="shared" si="111"/>
        <v>0</v>
      </c>
      <c r="BV73" s="102">
        <f t="shared" si="111"/>
        <v>0</v>
      </c>
      <c r="BW73" s="102">
        <f t="shared" si="111"/>
        <v>0</v>
      </c>
      <c r="BX73" s="102">
        <f t="shared" si="111"/>
        <v>0</v>
      </c>
      <c r="BY73" s="102">
        <f t="shared" si="111"/>
        <v>0</v>
      </c>
      <c r="BZ73" s="102">
        <f t="shared" si="111"/>
        <v>0</v>
      </c>
      <c r="CA73" s="102">
        <f t="shared" si="111"/>
        <v>0</v>
      </c>
      <c r="CB73" s="103">
        <f t="shared" si="111"/>
        <v>0</v>
      </c>
      <c r="CF73" s="9"/>
      <c r="CG73" s="9"/>
      <c r="CH73" s="9"/>
      <c r="CI73" s="9"/>
      <c r="CJ73" s="9"/>
      <c r="CK73" s="9"/>
      <c r="CL73" s="9"/>
      <c r="CM73" s="9"/>
      <c r="CN73" s="9"/>
      <c r="CO73" s="9"/>
      <c r="CP73" s="9"/>
      <c r="CQ73" s="9"/>
      <c r="CR73" s="9"/>
      <c r="CS73" s="9"/>
      <c r="CT73" s="9"/>
      <c r="CU73" s="9"/>
      <c r="CV73" s="9"/>
      <c r="CW73" s="9"/>
      <c r="CX73" s="9"/>
      <c r="CY73" s="9"/>
      <c r="CZ73" s="9"/>
      <c r="DA73" s="9"/>
      <c r="DB73" s="9"/>
      <c r="DC73" s="9"/>
      <c r="DD73" s="9"/>
      <c r="DE73" s="9"/>
      <c r="DF73" s="9"/>
      <c r="DG73" s="9"/>
      <c r="DH73" s="9"/>
      <c r="DI73" s="9"/>
      <c r="DJ73" s="9"/>
      <c r="DK73" s="9"/>
    </row>
    <row r="74" spans="1:115">
      <c r="A74" s="244" t="s">
        <v>49</v>
      </c>
      <c r="B74" s="216">
        <f>IF(E24=0,F24,E24)</f>
        <v>0</v>
      </c>
      <c r="C74" s="188">
        <f>B74+IF($G24=1,365,182.5)</f>
        <v>182.5</v>
      </c>
      <c r="D74" s="188">
        <f>C74+IF($G24=1,365,182.5)</f>
        <v>365</v>
      </c>
      <c r="E74" s="188">
        <f t="shared" ref="E74:BP74" si="112">D74+IF($G24=1,365,182.5)</f>
        <v>547.5</v>
      </c>
      <c r="F74" s="188">
        <f t="shared" si="112"/>
        <v>730</v>
      </c>
      <c r="G74" s="188">
        <f t="shared" si="112"/>
        <v>912.5</v>
      </c>
      <c r="H74" s="188">
        <f t="shared" si="112"/>
        <v>1095</v>
      </c>
      <c r="I74" s="188">
        <f t="shared" si="112"/>
        <v>1277.5</v>
      </c>
      <c r="J74" s="188">
        <f t="shared" si="112"/>
        <v>1460</v>
      </c>
      <c r="K74" s="188">
        <f t="shared" si="112"/>
        <v>1642.5</v>
      </c>
      <c r="L74" s="188">
        <f t="shared" si="112"/>
        <v>1825</v>
      </c>
      <c r="M74" s="188">
        <f t="shared" si="112"/>
        <v>2007.5</v>
      </c>
      <c r="N74" s="188">
        <f t="shared" si="112"/>
        <v>2190</v>
      </c>
      <c r="O74" s="188">
        <f t="shared" si="112"/>
        <v>2372.5</v>
      </c>
      <c r="P74" s="188">
        <f t="shared" si="112"/>
        <v>2555</v>
      </c>
      <c r="Q74" s="188">
        <f t="shared" si="112"/>
        <v>2737.5</v>
      </c>
      <c r="R74" s="188">
        <f t="shared" si="112"/>
        <v>2920</v>
      </c>
      <c r="S74" s="188">
        <f t="shared" si="112"/>
        <v>3102.5</v>
      </c>
      <c r="T74" s="188">
        <f t="shared" si="112"/>
        <v>3285</v>
      </c>
      <c r="U74" s="188">
        <f t="shared" si="112"/>
        <v>3467.5</v>
      </c>
      <c r="V74" s="188">
        <f t="shared" si="112"/>
        <v>3650</v>
      </c>
      <c r="W74" s="188">
        <f t="shared" si="112"/>
        <v>3832.5</v>
      </c>
      <c r="X74" s="188">
        <f t="shared" si="112"/>
        <v>4015</v>
      </c>
      <c r="Y74" s="188">
        <f t="shared" si="112"/>
        <v>4197.5</v>
      </c>
      <c r="Z74" s="188">
        <f t="shared" si="112"/>
        <v>4380</v>
      </c>
      <c r="AA74" s="188">
        <f t="shared" si="112"/>
        <v>4562.5</v>
      </c>
      <c r="AB74" s="188">
        <f t="shared" si="112"/>
        <v>4745</v>
      </c>
      <c r="AC74" s="188">
        <f t="shared" si="112"/>
        <v>4927.5</v>
      </c>
      <c r="AD74" s="188">
        <f t="shared" si="112"/>
        <v>5110</v>
      </c>
      <c r="AE74" s="188">
        <f t="shared" si="112"/>
        <v>5292.5</v>
      </c>
      <c r="AF74" s="188">
        <f t="shared" si="112"/>
        <v>5475</v>
      </c>
      <c r="AG74" s="188">
        <f t="shared" si="112"/>
        <v>5657.5</v>
      </c>
      <c r="AH74" s="188">
        <f t="shared" si="112"/>
        <v>5840</v>
      </c>
      <c r="AI74" s="188">
        <f t="shared" si="112"/>
        <v>6022.5</v>
      </c>
      <c r="AJ74" s="188">
        <f t="shared" si="112"/>
        <v>6205</v>
      </c>
      <c r="AK74" s="188">
        <f t="shared" si="112"/>
        <v>6387.5</v>
      </c>
      <c r="AL74" s="188">
        <f t="shared" si="112"/>
        <v>6570</v>
      </c>
      <c r="AM74" s="188">
        <f t="shared" si="112"/>
        <v>6752.5</v>
      </c>
      <c r="AN74" s="188">
        <f t="shared" si="112"/>
        <v>6935</v>
      </c>
      <c r="AO74" s="188">
        <f t="shared" si="112"/>
        <v>7117.5</v>
      </c>
      <c r="AP74" s="188">
        <f t="shared" si="112"/>
        <v>7300</v>
      </c>
      <c r="AQ74" s="188">
        <f t="shared" si="112"/>
        <v>7482.5</v>
      </c>
      <c r="AR74" s="188">
        <f t="shared" si="112"/>
        <v>7665</v>
      </c>
      <c r="AS74" s="188">
        <f t="shared" si="112"/>
        <v>7847.5</v>
      </c>
      <c r="AT74" s="188">
        <f t="shared" si="112"/>
        <v>8030</v>
      </c>
      <c r="AU74" s="188">
        <f t="shared" si="112"/>
        <v>8212.5</v>
      </c>
      <c r="AV74" s="188">
        <f t="shared" si="112"/>
        <v>8395</v>
      </c>
      <c r="AW74" s="188">
        <f t="shared" si="112"/>
        <v>8577.5</v>
      </c>
      <c r="AX74" s="188">
        <f t="shared" si="112"/>
        <v>8760</v>
      </c>
      <c r="AY74" s="188">
        <f t="shared" si="112"/>
        <v>8942.5</v>
      </c>
      <c r="AZ74" s="188">
        <f t="shared" si="112"/>
        <v>9125</v>
      </c>
      <c r="BA74" s="188">
        <f t="shared" si="112"/>
        <v>9307.5</v>
      </c>
      <c r="BB74" s="188">
        <f t="shared" si="112"/>
        <v>9490</v>
      </c>
      <c r="BC74" s="188">
        <f t="shared" si="112"/>
        <v>9672.5</v>
      </c>
      <c r="BD74" s="188">
        <f t="shared" si="112"/>
        <v>9855</v>
      </c>
      <c r="BE74" s="188">
        <f t="shared" si="112"/>
        <v>10037.5</v>
      </c>
      <c r="BF74" s="188">
        <f t="shared" si="112"/>
        <v>10220</v>
      </c>
      <c r="BG74" s="188">
        <f t="shared" si="112"/>
        <v>10402.5</v>
      </c>
      <c r="BH74" s="188">
        <f t="shared" si="112"/>
        <v>10585</v>
      </c>
      <c r="BI74" s="188">
        <f t="shared" si="112"/>
        <v>10767.5</v>
      </c>
      <c r="BJ74" s="188">
        <f t="shared" si="112"/>
        <v>10950</v>
      </c>
      <c r="BK74" s="188">
        <f t="shared" si="112"/>
        <v>11132.5</v>
      </c>
      <c r="BL74" s="188">
        <f t="shared" si="112"/>
        <v>11315</v>
      </c>
      <c r="BM74" s="188">
        <f t="shared" si="112"/>
        <v>11497.5</v>
      </c>
      <c r="BN74" s="188">
        <f t="shared" si="112"/>
        <v>11680</v>
      </c>
      <c r="BO74" s="188">
        <f t="shared" si="112"/>
        <v>11862.5</v>
      </c>
      <c r="BP74" s="188">
        <f t="shared" si="112"/>
        <v>12045</v>
      </c>
      <c r="BQ74" s="188">
        <f t="shared" ref="BQ74:CB74" si="113">BP74+IF($G24=1,365,182.5)</f>
        <v>12227.5</v>
      </c>
      <c r="BR74" s="188">
        <f t="shared" si="113"/>
        <v>12410</v>
      </c>
      <c r="BS74" s="188">
        <f t="shared" si="113"/>
        <v>12592.5</v>
      </c>
      <c r="BT74" s="188">
        <f t="shared" si="113"/>
        <v>12775</v>
      </c>
      <c r="BU74" s="188">
        <f t="shared" si="113"/>
        <v>12957.5</v>
      </c>
      <c r="BV74" s="188">
        <f t="shared" si="113"/>
        <v>13140</v>
      </c>
      <c r="BW74" s="188">
        <f t="shared" si="113"/>
        <v>13322.5</v>
      </c>
      <c r="BX74" s="188">
        <f t="shared" si="113"/>
        <v>13505</v>
      </c>
      <c r="BY74" s="188">
        <f t="shared" si="113"/>
        <v>13687.5</v>
      </c>
      <c r="BZ74" s="188">
        <f t="shared" si="113"/>
        <v>13870</v>
      </c>
      <c r="CA74" s="188">
        <f t="shared" si="113"/>
        <v>14052.5</v>
      </c>
      <c r="CB74" s="189">
        <f t="shared" si="113"/>
        <v>14235</v>
      </c>
      <c r="CF74" s="9"/>
      <c r="CG74" s="9"/>
      <c r="CH74" s="9"/>
      <c r="CI74" s="9"/>
      <c r="CJ74" s="9"/>
      <c r="CK74" s="9"/>
      <c r="CL74" s="9"/>
      <c r="CM74" s="9"/>
      <c r="CN74" s="9"/>
      <c r="CO74" s="9"/>
      <c r="CP74" s="9"/>
      <c r="CQ74" s="9"/>
      <c r="CR74" s="9"/>
      <c r="CS74" s="9"/>
      <c r="CT74" s="9"/>
      <c r="CU74" s="9"/>
      <c r="CV74" s="9"/>
      <c r="CW74" s="9"/>
      <c r="CX74" s="9"/>
      <c r="CY74" s="9"/>
      <c r="CZ74" s="9"/>
      <c r="DA74" s="9"/>
      <c r="DB74" s="9"/>
      <c r="DC74" s="9"/>
      <c r="DD74" s="9"/>
      <c r="DE74" s="9"/>
      <c r="DF74" s="9"/>
      <c r="DG74" s="9"/>
      <c r="DH74" s="9"/>
      <c r="DI74" s="9"/>
      <c r="DJ74" s="9"/>
      <c r="DK74" s="9"/>
    </row>
    <row r="75" spans="1:115">
      <c r="A75" s="183" t="s">
        <v>127</v>
      </c>
      <c r="B75" s="158">
        <f>(IF(B74=F24,100,0)+IF(G24=1,1,0.5)*J24*100)*IF(ISBLANK(F24)=TRUE,0,1)</f>
        <v>0</v>
      </c>
      <c r="C75" s="159">
        <f>IF(C74&gt;$F24+1,0,1)*(IF(D75=0,100,0)+IF($G24=1,1,0.5)*$J24*100)</f>
        <v>0</v>
      </c>
      <c r="D75" s="159">
        <f t="shared" ref="D75:F75" si="114">IF(D74&gt;$F24+1,0,1)*(IF(E75=0,100,0)+IF($G24=1,1,0.5)*$J24*100)</f>
        <v>0</v>
      </c>
      <c r="E75" s="159">
        <f t="shared" si="114"/>
        <v>0</v>
      </c>
      <c r="F75" s="159">
        <f t="shared" si="114"/>
        <v>0</v>
      </c>
      <c r="G75" s="159">
        <f>IF(G74&gt;$F24+1,0,1)*(IF(H75=0,100,0)+IF($G24=1,1,0.5)*$J24*100)</f>
        <v>0</v>
      </c>
      <c r="H75" s="159">
        <f t="shared" ref="H75:AM75" si="115">IF(H74&gt;$F24+1,0,1)*(IF(I75=0,100,0)+IF($G24=1,1,0.5)*$J24*100)</f>
        <v>0</v>
      </c>
      <c r="I75" s="159">
        <f t="shared" si="115"/>
        <v>0</v>
      </c>
      <c r="J75" s="159">
        <f t="shared" si="115"/>
        <v>0</v>
      </c>
      <c r="K75" s="159">
        <f t="shared" si="115"/>
        <v>0</v>
      </c>
      <c r="L75" s="159">
        <f t="shared" si="115"/>
        <v>0</v>
      </c>
      <c r="M75" s="159">
        <f t="shared" si="115"/>
        <v>0</v>
      </c>
      <c r="N75" s="159">
        <f t="shared" si="115"/>
        <v>0</v>
      </c>
      <c r="O75" s="159">
        <f t="shared" si="115"/>
        <v>0</v>
      </c>
      <c r="P75" s="159">
        <f t="shared" si="115"/>
        <v>0</v>
      </c>
      <c r="Q75" s="159">
        <f t="shared" si="115"/>
        <v>0</v>
      </c>
      <c r="R75" s="159">
        <f t="shared" si="115"/>
        <v>0</v>
      </c>
      <c r="S75" s="159">
        <f t="shared" si="115"/>
        <v>0</v>
      </c>
      <c r="T75" s="159">
        <f t="shared" si="115"/>
        <v>0</v>
      </c>
      <c r="U75" s="159">
        <f t="shared" si="115"/>
        <v>0</v>
      </c>
      <c r="V75" s="159">
        <f t="shared" si="115"/>
        <v>0</v>
      </c>
      <c r="W75" s="159">
        <f t="shared" si="115"/>
        <v>0</v>
      </c>
      <c r="X75" s="159">
        <f t="shared" si="115"/>
        <v>0</v>
      </c>
      <c r="Y75" s="159">
        <f t="shared" si="115"/>
        <v>0</v>
      </c>
      <c r="Z75" s="159">
        <f t="shared" si="115"/>
        <v>0</v>
      </c>
      <c r="AA75" s="159">
        <f t="shared" si="115"/>
        <v>0</v>
      </c>
      <c r="AB75" s="159">
        <f t="shared" si="115"/>
        <v>0</v>
      </c>
      <c r="AC75" s="159">
        <f t="shared" si="115"/>
        <v>0</v>
      </c>
      <c r="AD75" s="159">
        <f t="shared" si="115"/>
        <v>0</v>
      </c>
      <c r="AE75" s="159">
        <f t="shared" si="115"/>
        <v>0</v>
      </c>
      <c r="AF75" s="159">
        <f t="shared" si="115"/>
        <v>0</v>
      </c>
      <c r="AG75" s="159">
        <f t="shared" si="115"/>
        <v>0</v>
      </c>
      <c r="AH75" s="159">
        <f t="shared" si="115"/>
        <v>0</v>
      </c>
      <c r="AI75" s="159">
        <f t="shared" si="115"/>
        <v>0</v>
      </c>
      <c r="AJ75" s="159">
        <f t="shared" si="115"/>
        <v>0</v>
      </c>
      <c r="AK75" s="159">
        <f t="shared" si="115"/>
        <v>0</v>
      </c>
      <c r="AL75" s="159">
        <f t="shared" si="115"/>
        <v>0</v>
      </c>
      <c r="AM75" s="159">
        <f t="shared" si="115"/>
        <v>0</v>
      </c>
      <c r="AN75" s="159">
        <f>IF(AN74&gt;$F24+1,0,1)*(IF(AO75=0,100,0)+IF($G24=1,1,0.5)*$J24*100)</f>
        <v>0</v>
      </c>
      <c r="AO75" s="159">
        <f t="shared" ref="AO75:AQ75" si="116">IF(AO74&gt;$F24+1,0,1)*(IF(AP75=0,100,0)+IF($G24=1,1,0.5)*$J24*100)</f>
        <v>0</v>
      </c>
      <c r="AP75" s="159">
        <f t="shared" si="116"/>
        <v>0</v>
      </c>
      <c r="AQ75" s="159">
        <f t="shared" si="116"/>
        <v>0</v>
      </c>
      <c r="AR75" s="159">
        <f>IF(AR74&gt;$F24+1,0,1)*(IF(AS75=0,100,0)+IF($G24=1,1,0.5)*$J24*100)</f>
        <v>0</v>
      </c>
      <c r="AS75" s="159">
        <f t="shared" ref="AS75" si="117">IF(AS74&gt;$F24+1,0,1)*(IF(AT75=0,100,0)+IF($G24=1,1,0.5)*$J24*100)</f>
        <v>0</v>
      </c>
      <c r="AT75" s="159">
        <f>IF(AT74&gt;$F24+1,0,1)*(IF(AU75=0,100,0)+IF($G24=1,1,0.5)*$J24*100)</f>
        <v>0</v>
      </c>
      <c r="AU75" s="159">
        <f t="shared" ref="AU75:AW75" si="118">IF(AU74&gt;$F24+1,0,1)*(IF(AV75=0,100,0)+IF($G24=1,1,0.5)*$J24*100)</f>
        <v>0</v>
      </c>
      <c r="AV75" s="159">
        <f t="shared" si="118"/>
        <v>0</v>
      </c>
      <c r="AW75" s="159">
        <f t="shared" si="118"/>
        <v>0</v>
      </c>
      <c r="AX75" s="159">
        <f>IF(AX74&gt;$F24+1,0,1)*(IF(AY75=0,100,0)+IF($G24=1,1,0.5)*$J24*100)</f>
        <v>0</v>
      </c>
      <c r="AY75" s="159">
        <f t="shared" ref="AY75:BG75" si="119">IF(AY74&gt;$F24+1,0,1)*(IF(AZ75=0,100,0)+IF($G24=1,1,0.5)*$J24*100)</f>
        <v>0</v>
      </c>
      <c r="AZ75" s="159">
        <f t="shared" si="119"/>
        <v>0</v>
      </c>
      <c r="BA75" s="159">
        <f t="shared" si="119"/>
        <v>0</v>
      </c>
      <c r="BB75" s="159">
        <f t="shared" si="119"/>
        <v>0</v>
      </c>
      <c r="BC75" s="159">
        <f t="shared" si="119"/>
        <v>0</v>
      </c>
      <c r="BD75" s="160">
        <f t="shared" si="119"/>
        <v>0</v>
      </c>
      <c r="BE75" s="159">
        <f t="shared" si="119"/>
        <v>0</v>
      </c>
      <c r="BF75" s="159">
        <f t="shared" si="119"/>
        <v>0</v>
      </c>
      <c r="BG75" s="159">
        <f t="shared" si="119"/>
        <v>0</v>
      </c>
      <c r="BH75" s="159">
        <f>IF(BH74&gt;$F24+1,0,1)*(IF(BI75=0,100,0)+IF($G24=1,1,0.5)*$J24*100)</f>
        <v>0</v>
      </c>
      <c r="BI75" s="159">
        <f t="shared" ref="BI75:BK75" si="120">IF(BI74&gt;$F24+1,0,1)*(IF(BJ75=0,100,0)+IF($G24=1,1,0.5)*$J24*100)</f>
        <v>0</v>
      </c>
      <c r="BJ75" s="159">
        <f t="shared" si="120"/>
        <v>0</v>
      </c>
      <c r="BK75" s="159">
        <f t="shared" si="120"/>
        <v>0</v>
      </c>
      <c r="BL75" s="159">
        <f>IF(BL74&gt;$F24+1,0,1)*(IF(BM75=0,100,0)+IF($G24=1,1,0.5)*$J24*100)</f>
        <v>0</v>
      </c>
      <c r="BM75" s="159">
        <f t="shared" ref="BM75:CB75" si="121">IF(BM74&gt;$F24+1,0,1)*(IF(BN75=0,100,0)+IF($G24=1,1,0.5)*$J24*100)</f>
        <v>0</v>
      </c>
      <c r="BN75" s="159">
        <f t="shared" si="121"/>
        <v>0</v>
      </c>
      <c r="BO75" s="159">
        <f t="shared" si="121"/>
        <v>0</v>
      </c>
      <c r="BP75" s="159">
        <f t="shared" si="121"/>
        <v>0</v>
      </c>
      <c r="BQ75" s="159">
        <f t="shared" si="121"/>
        <v>0</v>
      </c>
      <c r="BR75" s="159">
        <f t="shared" si="121"/>
        <v>0</v>
      </c>
      <c r="BS75" s="159">
        <f t="shared" si="121"/>
        <v>0</v>
      </c>
      <c r="BT75" s="159">
        <f t="shared" si="121"/>
        <v>0</v>
      </c>
      <c r="BU75" s="159">
        <f t="shared" si="121"/>
        <v>0</v>
      </c>
      <c r="BV75" s="159">
        <f t="shared" si="121"/>
        <v>0</v>
      </c>
      <c r="BW75" s="159">
        <f t="shared" si="121"/>
        <v>0</v>
      </c>
      <c r="BX75" s="159">
        <f t="shared" si="121"/>
        <v>0</v>
      </c>
      <c r="BY75" s="159">
        <f t="shared" si="121"/>
        <v>0</v>
      </c>
      <c r="BZ75" s="159">
        <f t="shared" si="121"/>
        <v>0</v>
      </c>
      <c r="CA75" s="159">
        <f t="shared" si="121"/>
        <v>0</v>
      </c>
      <c r="CB75" s="187">
        <f t="shared" si="121"/>
        <v>0</v>
      </c>
      <c r="CF75" s="9"/>
      <c r="CG75" s="9"/>
      <c r="CH75" s="9"/>
      <c r="CI75" s="9"/>
      <c r="CJ75" s="9"/>
      <c r="CK75" s="9"/>
      <c r="CL75" s="9"/>
      <c r="CM75" s="9"/>
      <c r="CN75" s="9"/>
      <c r="CO75" s="9"/>
      <c r="CP75" s="9"/>
      <c r="CQ75" s="9"/>
      <c r="CR75" s="9"/>
      <c r="CS75" s="9"/>
      <c r="CT75" s="9"/>
      <c r="CU75" s="9"/>
      <c r="CV75" s="9"/>
      <c r="CW75" s="9"/>
      <c r="CX75" s="9"/>
      <c r="CY75" s="9"/>
      <c r="CZ75" s="9"/>
      <c r="DA75" s="9"/>
      <c r="DB75" s="9"/>
      <c r="DC75" s="9"/>
      <c r="DD75" s="9"/>
      <c r="DE75" s="9"/>
      <c r="DF75" s="9"/>
      <c r="DG75" s="9"/>
      <c r="DH75" s="9"/>
      <c r="DI75" s="9"/>
      <c r="DJ75" s="9"/>
      <c r="DK75" s="9"/>
    </row>
    <row r="76" spans="1:115">
      <c r="A76" s="221" t="s">
        <v>49</v>
      </c>
      <c r="B76" s="144">
        <f>IF(E25=0,F25,E25)</f>
        <v>0</v>
      </c>
      <c r="C76" s="145">
        <f>B76+IF($G25=1,365,182.5)</f>
        <v>182.5</v>
      </c>
      <c r="D76" s="145">
        <f>C76+IF($G25=1,365,182.5)</f>
        <v>365</v>
      </c>
      <c r="E76" s="145">
        <f t="shared" ref="E76:BP76" si="122">D76+IF($G25=1,365,182.5)</f>
        <v>547.5</v>
      </c>
      <c r="F76" s="145">
        <f t="shared" si="122"/>
        <v>730</v>
      </c>
      <c r="G76" s="145">
        <f t="shared" si="122"/>
        <v>912.5</v>
      </c>
      <c r="H76" s="145">
        <f t="shared" si="122"/>
        <v>1095</v>
      </c>
      <c r="I76" s="145">
        <f t="shared" si="122"/>
        <v>1277.5</v>
      </c>
      <c r="J76" s="145">
        <f t="shared" si="122"/>
        <v>1460</v>
      </c>
      <c r="K76" s="145">
        <f t="shared" si="122"/>
        <v>1642.5</v>
      </c>
      <c r="L76" s="145">
        <f t="shared" si="122"/>
        <v>1825</v>
      </c>
      <c r="M76" s="145">
        <f t="shared" si="122"/>
        <v>2007.5</v>
      </c>
      <c r="N76" s="145">
        <f t="shared" si="122"/>
        <v>2190</v>
      </c>
      <c r="O76" s="145">
        <f t="shared" si="122"/>
        <v>2372.5</v>
      </c>
      <c r="P76" s="145">
        <f t="shared" si="122"/>
        <v>2555</v>
      </c>
      <c r="Q76" s="145">
        <f t="shared" si="122"/>
        <v>2737.5</v>
      </c>
      <c r="R76" s="145">
        <f t="shared" si="122"/>
        <v>2920</v>
      </c>
      <c r="S76" s="145">
        <f t="shared" si="122"/>
        <v>3102.5</v>
      </c>
      <c r="T76" s="145">
        <f t="shared" si="122"/>
        <v>3285</v>
      </c>
      <c r="U76" s="145">
        <f t="shared" si="122"/>
        <v>3467.5</v>
      </c>
      <c r="V76" s="145">
        <f t="shared" si="122"/>
        <v>3650</v>
      </c>
      <c r="W76" s="145">
        <f t="shared" si="122"/>
        <v>3832.5</v>
      </c>
      <c r="X76" s="145">
        <f t="shared" si="122"/>
        <v>4015</v>
      </c>
      <c r="Y76" s="145">
        <f t="shared" si="122"/>
        <v>4197.5</v>
      </c>
      <c r="Z76" s="145">
        <f t="shared" si="122"/>
        <v>4380</v>
      </c>
      <c r="AA76" s="145">
        <f t="shared" si="122"/>
        <v>4562.5</v>
      </c>
      <c r="AB76" s="145">
        <f t="shared" si="122"/>
        <v>4745</v>
      </c>
      <c r="AC76" s="145">
        <f t="shared" si="122"/>
        <v>4927.5</v>
      </c>
      <c r="AD76" s="145">
        <f t="shared" si="122"/>
        <v>5110</v>
      </c>
      <c r="AE76" s="145">
        <f t="shared" si="122"/>
        <v>5292.5</v>
      </c>
      <c r="AF76" s="145">
        <f t="shared" si="122"/>
        <v>5475</v>
      </c>
      <c r="AG76" s="145">
        <f t="shared" si="122"/>
        <v>5657.5</v>
      </c>
      <c r="AH76" s="145">
        <f t="shared" si="122"/>
        <v>5840</v>
      </c>
      <c r="AI76" s="145">
        <f t="shared" si="122"/>
        <v>6022.5</v>
      </c>
      <c r="AJ76" s="145">
        <f t="shared" si="122"/>
        <v>6205</v>
      </c>
      <c r="AK76" s="145">
        <f t="shared" si="122"/>
        <v>6387.5</v>
      </c>
      <c r="AL76" s="145">
        <f t="shared" si="122"/>
        <v>6570</v>
      </c>
      <c r="AM76" s="145">
        <f t="shared" si="122"/>
        <v>6752.5</v>
      </c>
      <c r="AN76" s="145">
        <f t="shared" si="122"/>
        <v>6935</v>
      </c>
      <c r="AO76" s="145">
        <f t="shared" si="122"/>
        <v>7117.5</v>
      </c>
      <c r="AP76" s="145">
        <f t="shared" si="122"/>
        <v>7300</v>
      </c>
      <c r="AQ76" s="145">
        <f t="shared" si="122"/>
        <v>7482.5</v>
      </c>
      <c r="AR76" s="145">
        <f t="shared" si="122"/>
        <v>7665</v>
      </c>
      <c r="AS76" s="145">
        <f t="shared" si="122"/>
        <v>7847.5</v>
      </c>
      <c r="AT76" s="145">
        <f t="shared" si="122"/>
        <v>8030</v>
      </c>
      <c r="AU76" s="145">
        <f t="shared" si="122"/>
        <v>8212.5</v>
      </c>
      <c r="AV76" s="145">
        <f t="shared" si="122"/>
        <v>8395</v>
      </c>
      <c r="AW76" s="145">
        <f t="shared" si="122"/>
        <v>8577.5</v>
      </c>
      <c r="AX76" s="145">
        <f t="shared" si="122"/>
        <v>8760</v>
      </c>
      <c r="AY76" s="145">
        <f t="shared" si="122"/>
        <v>8942.5</v>
      </c>
      <c r="AZ76" s="145">
        <f t="shared" si="122"/>
        <v>9125</v>
      </c>
      <c r="BA76" s="145">
        <f t="shared" si="122"/>
        <v>9307.5</v>
      </c>
      <c r="BB76" s="145">
        <f t="shared" si="122"/>
        <v>9490</v>
      </c>
      <c r="BC76" s="145">
        <f t="shared" si="122"/>
        <v>9672.5</v>
      </c>
      <c r="BD76" s="145">
        <f t="shared" si="122"/>
        <v>9855</v>
      </c>
      <c r="BE76" s="145">
        <f t="shared" si="122"/>
        <v>10037.5</v>
      </c>
      <c r="BF76" s="145">
        <f t="shared" si="122"/>
        <v>10220</v>
      </c>
      <c r="BG76" s="145">
        <f t="shared" si="122"/>
        <v>10402.5</v>
      </c>
      <c r="BH76" s="145">
        <f t="shared" si="122"/>
        <v>10585</v>
      </c>
      <c r="BI76" s="145">
        <f t="shared" si="122"/>
        <v>10767.5</v>
      </c>
      <c r="BJ76" s="145">
        <f t="shared" si="122"/>
        <v>10950</v>
      </c>
      <c r="BK76" s="145">
        <f t="shared" si="122"/>
        <v>11132.5</v>
      </c>
      <c r="BL76" s="145">
        <f t="shared" si="122"/>
        <v>11315</v>
      </c>
      <c r="BM76" s="145">
        <f t="shared" si="122"/>
        <v>11497.5</v>
      </c>
      <c r="BN76" s="145">
        <f t="shared" si="122"/>
        <v>11680</v>
      </c>
      <c r="BO76" s="145">
        <f t="shared" si="122"/>
        <v>11862.5</v>
      </c>
      <c r="BP76" s="145">
        <f t="shared" si="122"/>
        <v>12045</v>
      </c>
      <c r="BQ76" s="145">
        <f t="shared" ref="BQ76:CB76" si="123">BP76+IF($G25=1,365,182.5)</f>
        <v>12227.5</v>
      </c>
      <c r="BR76" s="145">
        <f t="shared" si="123"/>
        <v>12410</v>
      </c>
      <c r="BS76" s="145">
        <f t="shared" si="123"/>
        <v>12592.5</v>
      </c>
      <c r="BT76" s="145">
        <f t="shared" si="123"/>
        <v>12775</v>
      </c>
      <c r="BU76" s="145">
        <f t="shared" si="123"/>
        <v>12957.5</v>
      </c>
      <c r="BV76" s="145">
        <f t="shared" si="123"/>
        <v>13140</v>
      </c>
      <c r="BW76" s="145">
        <f t="shared" si="123"/>
        <v>13322.5</v>
      </c>
      <c r="BX76" s="145">
        <f t="shared" si="123"/>
        <v>13505</v>
      </c>
      <c r="BY76" s="145">
        <f t="shared" si="123"/>
        <v>13687.5</v>
      </c>
      <c r="BZ76" s="145">
        <f t="shared" si="123"/>
        <v>13870</v>
      </c>
      <c r="CA76" s="145">
        <f t="shared" si="123"/>
        <v>14052.5</v>
      </c>
      <c r="CB76" s="146">
        <f t="shared" si="123"/>
        <v>14235</v>
      </c>
      <c r="CF76" s="9"/>
      <c r="CG76" s="9"/>
      <c r="CH76" s="9"/>
      <c r="CI76" s="9"/>
      <c r="CJ76" s="9"/>
      <c r="CK76" s="9"/>
      <c r="CL76" s="9"/>
      <c r="CM76" s="9"/>
      <c r="CN76" s="9"/>
      <c r="CO76" s="9"/>
      <c r="CP76" s="9"/>
      <c r="CQ76" s="9"/>
      <c r="CR76" s="9"/>
      <c r="CS76" s="9"/>
      <c r="CT76" s="9"/>
      <c r="CU76" s="9"/>
      <c r="CV76" s="9"/>
      <c r="CW76" s="9"/>
      <c r="CX76" s="9"/>
      <c r="CY76" s="9"/>
      <c r="CZ76" s="9"/>
      <c r="DA76" s="9"/>
      <c r="DB76" s="9"/>
      <c r="DC76" s="9"/>
      <c r="DD76" s="9"/>
      <c r="DE76" s="9"/>
      <c r="DF76" s="9"/>
      <c r="DG76" s="9"/>
      <c r="DH76" s="9"/>
      <c r="DI76" s="9"/>
      <c r="DJ76" s="9"/>
      <c r="DK76" s="9"/>
    </row>
    <row r="77" spans="1:115">
      <c r="A77" s="143" t="s">
        <v>128</v>
      </c>
      <c r="B77" s="147">
        <f>(IF(B76=F25,100,0)+IF(G25=1,1,0.5)*J25*100)*IF(ISBLANK(F25)=TRUE,0,1)</f>
        <v>0</v>
      </c>
      <c r="C77" s="148">
        <f>IF(C76&gt;$F25+1,0,1)*(IF(D77=0,100,0)+IF($G25=1,1,0.5)*$J25*100)</f>
        <v>0</v>
      </c>
      <c r="D77" s="148">
        <f t="shared" ref="D77:BO77" si="124">IF(D76&gt;$F25+1,0,1)*(IF(E77=0,100,0)+IF($G25=1,1,0.5)*$J25*100)</f>
        <v>0</v>
      </c>
      <c r="E77" s="148">
        <f t="shared" si="124"/>
        <v>0</v>
      </c>
      <c r="F77" s="148">
        <f t="shared" si="124"/>
        <v>0</v>
      </c>
      <c r="G77" s="148">
        <f t="shared" si="124"/>
        <v>0</v>
      </c>
      <c r="H77" s="148">
        <f t="shared" si="124"/>
        <v>0</v>
      </c>
      <c r="I77" s="148">
        <f t="shared" si="124"/>
        <v>0</v>
      </c>
      <c r="J77" s="148">
        <f t="shared" si="124"/>
        <v>0</v>
      </c>
      <c r="K77" s="148">
        <f t="shared" si="124"/>
        <v>0</v>
      </c>
      <c r="L77" s="148">
        <f t="shared" si="124"/>
        <v>0</v>
      </c>
      <c r="M77" s="148">
        <f t="shared" si="124"/>
        <v>0</v>
      </c>
      <c r="N77" s="148">
        <f t="shared" si="124"/>
        <v>0</v>
      </c>
      <c r="O77" s="148">
        <f t="shared" si="124"/>
        <v>0</v>
      </c>
      <c r="P77" s="148">
        <f t="shared" si="124"/>
        <v>0</v>
      </c>
      <c r="Q77" s="148">
        <f t="shared" si="124"/>
        <v>0</v>
      </c>
      <c r="R77" s="148">
        <f t="shared" si="124"/>
        <v>0</v>
      </c>
      <c r="S77" s="148">
        <f t="shared" si="124"/>
        <v>0</v>
      </c>
      <c r="T77" s="148">
        <f t="shared" si="124"/>
        <v>0</v>
      </c>
      <c r="U77" s="148">
        <f t="shared" si="124"/>
        <v>0</v>
      </c>
      <c r="V77" s="148">
        <f t="shared" si="124"/>
        <v>0</v>
      </c>
      <c r="W77" s="148">
        <f t="shared" si="124"/>
        <v>0</v>
      </c>
      <c r="X77" s="148">
        <f t="shared" si="124"/>
        <v>0</v>
      </c>
      <c r="Y77" s="148">
        <f t="shared" si="124"/>
        <v>0</v>
      </c>
      <c r="Z77" s="148">
        <f t="shared" si="124"/>
        <v>0</v>
      </c>
      <c r="AA77" s="148">
        <f t="shared" si="124"/>
        <v>0</v>
      </c>
      <c r="AB77" s="148">
        <f t="shared" si="124"/>
        <v>0</v>
      </c>
      <c r="AC77" s="148">
        <f t="shared" si="124"/>
        <v>0</v>
      </c>
      <c r="AD77" s="148">
        <f t="shared" si="124"/>
        <v>0</v>
      </c>
      <c r="AE77" s="148">
        <f t="shared" si="124"/>
        <v>0</v>
      </c>
      <c r="AF77" s="148">
        <f t="shared" si="124"/>
        <v>0</v>
      </c>
      <c r="AG77" s="148">
        <f t="shared" si="124"/>
        <v>0</v>
      </c>
      <c r="AH77" s="148">
        <f t="shared" si="124"/>
        <v>0</v>
      </c>
      <c r="AI77" s="148">
        <f t="shared" si="124"/>
        <v>0</v>
      </c>
      <c r="AJ77" s="148">
        <f t="shared" si="124"/>
        <v>0</v>
      </c>
      <c r="AK77" s="148">
        <f t="shared" si="124"/>
        <v>0</v>
      </c>
      <c r="AL77" s="148">
        <f t="shared" si="124"/>
        <v>0</v>
      </c>
      <c r="AM77" s="148">
        <f t="shared" si="124"/>
        <v>0</v>
      </c>
      <c r="AN77" s="148">
        <f t="shared" si="124"/>
        <v>0</v>
      </c>
      <c r="AO77" s="148">
        <f t="shared" si="124"/>
        <v>0</v>
      </c>
      <c r="AP77" s="148">
        <f t="shared" si="124"/>
        <v>0</v>
      </c>
      <c r="AQ77" s="148">
        <f t="shared" si="124"/>
        <v>0</v>
      </c>
      <c r="AR77" s="148">
        <f t="shared" si="124"/>
        <v>0</v>
      </c>
      <c r="AS77" s="148">
        <f t="shared" si="124"/>
        <v>0</v>
      </c>
      <c r="AT77" s="148">
        <f t="shared" si="124"/>
        <v>0</v>
      </c>
      <c r="AU77" s="148">
        <f t="shared" si="124"/>
        <v>0</v>
      </c>
      <c r="AV77" s="148">
        <f t="shared" si="124"/>
        <v>0</v>
      </c>
      <c r="AW77" s="148">
        <f t="shared" si="124"/>
        <v>0</v>
      </c>
      <c r="AX77" s="148">
        <f t="shared" si="124"/>
        <v>0</v>
      </c>
      <c r="AY77" s="148">
        <f t="shared" si="124"/>
        <v>0</v>
      </c>
      <c r="AZ77" s="148">
        <f t="shared" si="124"/>
        <v>0</v>
      </c>
      <c r="BA77" s="148">
        <f t="shared" si="124"/>
        <v>0</v>
      </c>
      <c r="BB77" s="148">
        <f t="shared" si="124"/>
        <v>0</v>
      </c>
      <c r="BC77" s="148">
        <f t="shared" si="124"/>
        <v>0</v>
      </c>
      <c r="BD77" s="148">
        <f t="shared" si="124"/>
        <v>0</v>
      </c>
      <c r="BE77" s="148">
        <f t="shared" si="124"/>
        <v>0</v>
      </c>
      <c r="BF77" s="148">
        <f t="shared" si="124"/>
        <v>0</v>
      </c>
      <c r="BG77" s="148">
        <f t="shared" si="124"/>
        <v>0</v>
      </c>
      <c r="BH77" s="148">
        <f t="shared" si="124"/>
        <v>0</v>
      </c>
      <c r="BI77" s="148">
        <f t="shared" si="124"/>
        <v>0</v>
      </c>
      <c r="BJ77" s="148">
        <f t="shared" si="124"/>
        <v>0</v>
      </c>
      <c r="BK77" s="148">
        <f t="shared" si="124"/>
        <v>0</v>
      </c>
      <c r="BL77" s="148">
        <f t="shared" si="124"/>
        <v>0</v>
      </c>
      <c r="BM77" s="148">
        <f t="shared" si="124"/>
        <v>0</v>
      </c>
      <c r="BN77" s="148">
        <f t="shared" si="124"/>
        <v>0</v>
      </c>
      <c r="BO77" s="148">
        <f t="shared" si="124"/>
        <v>0</v>
      </c>
      <c r="BP77" s="148">
        <f t="shared" ref="BP77:CB77" si="125">IF(BP76&gt;$F25+1,0,1)*(IF(BQ77=0,100,0)+IF($G25=1,1,0.5)*$J25*100)</f>
        <v>0</v>
      </c>
      <c r="BQ77" s="148">
        <f t="shared" si="125"/>
        <v>0</v>
      </c>
      <c r="BR77" s="148">
        <f t="shared" si="125"/>
        <v>0</v>
      </c>
      <c r="BS77" s="148">
        <f t="shared" si="125"/>
        <v>0</v>
      </c>
      <c r="BT77" s="148">
        <f t="shared" si="125"/>
        <v>0</v>
      </c>
      <c r="BU77" s="148">
        <f t="shared" si="125"/>
        <v>0</v>
      </c>
      <c r="BV77" s="148">
        <f t="shared" si="125"/>
        <v>0</v>
      </c>
      <c r="BW77" s="148">
        <f t="shared" si="125"/>
        <v>0</v>
      </c>
      <c r="BX77" s="148">
        <f t="shared" si="125"/>
        <v>0</v>
      </c>
      <c r="BY77" s="148">
        <f t="shared" si="125"/>
        <v>0</v>
      </c>
      <c r="BZ77" s="148">
        <f t="shared" si="125"/>
        <v>0</v>
      </c>
      <c r="CA77" s="148">
        <f t="shared" si="125"/>
        <v>0</v>
      </c>
      <c r="CB77" s="154">
        <f t="shared" si="125"/>
        <v>0</v>
      </c>
      <c r="CF77" s="9"/>
      <c r="CG77" s="9"/>
      <c r="CH77" s="9"/>
      <c r="CI77" s="9"/>
      <c r="CJ77" s="9"/>
      <c r="CK77" s="9"/>
      <c r="CL77" s="9"/>
      <c r="CM77" s="9"/>
      <c r="CN77" s="9"/>
      <c r="CO77" s="9"/>
      <c r="CP77" s="9"/>
      <c r="CQ77" s="9"/>
      <c r="CR77" s="9"/>
      <c r="CS77" s="9"/>
      <c r="CT77" s="9"/>
      <c r="CU77" s="9"/>
      <c r="CV77" s="9"/>
      <c r="CW77" s="9"/>
      <c r="CX77" s="9"/>
      <c r="CY77" s="9"/>
      <c r="CZ77" s="9"/>
      <c r="DA77" s="9"/>
      <c r="DB77" s="9"/>
      <c r="DC77" s="9"/>
      <c r="DD77" s="9"/>
      <c r="DE77" s="9"/>
      <c r="DF77" s="9"/>
      <c r="DG77" s="9"/>
      <c r="DH77" s="9"/>
      <c r="DI77" s="9"/>
      <c r="DJ77" s="9"/>
      <c r="DK77" s="9"/>
    </row>
    <row r="78" spans="1:115">
      <c r="A78" s="243" t="s">
        <v>49</v>
      </c>
      <c r="B78" s="37">
        <f>IF(E26=0,F26,E26)</f>
        <v>0</v>
      </c>
      <c r="C78" s="38">
        <f>B78+IF($G26=1,365,182.5)</f>
        <v>182.5</v>
      </c>
      <c r="D78" s="38">
        <f>C78+IF($G26=1,365,182.5)</f>
        <v>365</v>
      </c>
      <c r="E78" s="38">
        <f t="shared" ref="E78:BP78" si="126">D78+IF($G26=1,365,182.5)</f>
        <v>547.5</v>
      </c>
      <c r="F78" s="38">
        <f t="shared" si="126"/>
        <v>730</v>
      </c>
      <c r="G78" s="38">
        <f t="shared" si="126"/>
        <v>912.5</v>
      </c>
      <c r="H78" s="38">
        <f t="shared" si="126"/>
        <v>1095</v>
      </c>
      <c r="I78" s="38">
        <f t="shared" si="126"/>
        <v>1277.5</v>
      </c>
      <c r="J78" s="38">
        <f t="shared" si="126"/>
        <v>1460</v>
      </c>
      <c r="K78" s="38">
        <f t="shared" si="126"/>
        <v>1642.5</v>
      </c>
      <c r="L78" s="38">
        <f t="shared" si="126"/>
        <v>1825</v>
      </c>
      <c r="M78" s="38">
        <f t="shared" si="126"/>
        <v>2007.5</v>
      </c>
      <c r="N78" s="38">
        <f t="shared" si="126"/>
        <v>2190</v>
      </c>
      <c r="O78" s="38">
        <f t="shared" si="126"/>
        <v>2372.5</v>
      </c>
      <c r="P78" s="38">
        <f t="shared" si="126"/>
        <v>2555</v>
      </c>
      <c r="Q78" s="38">
        <f t="shared" si="126"/>
        <v>2737.5</v>
      </c>
      <c r="R78" s="38">
        <f t="shared" si="126"/>
        <v>2920</v>
      </c>
      <c r="S78" s="38">
        <f t="shared" si="126"/>
        <v>3102.5</v>
      </c>
      <c r="T78" s="38">
        <f t="shared" si="126"/>
        <v>3285</v>
      </c>
      <c r="U78" s="38">
        <f t="shared" si="126"/>
        <v>3467.5</v>
      </c>
      <c r="V78" s="38">
        <f t="shared" si="126"/>
        <v>3650</v>
      </c>
      <c r="W78" s="38">
        <f t="shared" si="126"/>
        <v>3832.5</v>
      </c>
      <c r="X78" s="38">
        <f t="shared" si="126"/>
        <v>4015</v>
      </c>
      <c r="Y78" s="38">
        <f t="shared" si="126"/>
        <v>4197.5</v>
      </c>
      <c r="Z78" s="38">
        <f t="shared" si="126"/>
        <v>4380</v>
      </c>
      <c r="AA78" s="38">
        <f t="shared" si="126"/>
        <v>4562.5</v>
      </c>
      <c r="AB78" s="38">
        <f t="shared" si="126"/>
        <v>4745</v>
      </c>
      <c r="AC78" s="38">
        <f t="shared" si="126"/>
        <v>4927.5</v>
      </c>
      <c r="AD78" s="38">
        <f t="shared" si="126"/>
        <v>5110</v>
      </c>
      <c r="AE78" s="38">
        <f t="shared" si="126"/>
        <v>5292.5</v>
      </c>
      <c r="AF78" s="38">
        <f t="shared" si="126"/>
        <v>5475</v>
      </c>
      <c r="AG78" s="38">
        <f t="shared" si="126"/>
        <v>5657.5</v>
      </c>
      <c r="AH78" s="38">
        <f t="shared" si="126"/>
        <v>5840</v>
      </c>
      <c r="AI78" s="38">
        <f t="shared" si="126"/>
        <v>6022.5</v>
      </c>
      <c r="AJ78" s="38">
        <f t="shared" si="126"/>
        <v>6205</v>
      </c>
      <c r="AK78" s="38">
        <f t="shared" si="126"/>
        <v>6387.5</v>
      </c>
      <c r="AL78" s="38">
        <f t="shared" si="126"/>
        <v>6570</v>
      </c>
      <c r="AM78" s="38">
        <f t="shared" si="126"/>
        <v>6752.5</v>
      </c>
      <c r="AN78" s="38">
        <f t="shared" si="126"/>
        <v>6935</v>
      </c>
      <c r="AO78" s="38">
        <f t="shared" si="126"/>
        <v>7117.5</v>
      </c>
      <c r="AP78" s="38">
        <f t="shared" si="126"/>
        <v>7300</v>
      </c>
      <c r="AQ78" s="38">
        <f t="shared" si="126"/>
        <v>7482.5</v>
      </c>
      <c r="AR78" s="38">
        <f t="shared" si="126"/>
        <v>7665</v>
      </c>
      <c r="AS78" s="38">
        <f t="shared" si="126"/>
        <v>7847.5</v>
      </c>
      <c r="AT78" s="38">
        <f t="shared" si="126"/>
        <v>8030</v>
      </c>
      <c r="AU78" s="38">
        <f t="shared" si="126"/>
        <v>8212.5</v>
      </c>
      <c r="AV78" s="38">
        <f t="shared" si="126"/>
        <v>8395</v>
      </c>
      <c r="AW78" s="38">
        <f t="shared" si="126"/>
        <v>8577.5</v>
      </c>
      <c r="AX78" s="38">
        <f t="shared" si="126"/>
        <v>8760</v>
      </c>
      <c r="AY78" s="38">
        <f t="shared" si="126"/>
        <v>8942.5</v>
      </c>
      <c r="AZ78" s="38">
        <f t="shared" si="126"/>
        <v>9125</v>
      </c>
      <c r="BA78" s="38">
        <f t="shared" si="126"/>
        <v>9307.5</v>
      </c>
      <c r="BB78" s="38">
        <f t="shared" si="126"/>
        <v>9490</v>
      </c>
      <c r="BC78" s="38">
        <f t="shared" si="126"/>
        <v>9672.5</v>
      </c>
      <c r="BD78" s="38">
        <f t="shared" si="126"/>
        <v>9855</v>
      </c>
      <c r="BE78" s="38">
        <f t="shared" si="126"/>
        <v>10037.5</v>
      </c>
      <c r="BF78" s="38">
        <f t="shared" si="126"/>
        <v>10220</v>
      </c>
      <c r="BG78" s="38">
        <f t="shared" si="126"/>
        <v>10402.5</v>
      </c>
      <c r="BH78" s="38">
        <f t="shared" si="126"/>
        <v>10585</v>
      </c>
      <c r="BI78" s="38">
        <f t="shared" si="126"/>
        <v>10767.5</v>
      </c>
      <c r="BJ78" s="38">
        <f t="shared" si="126"/>
        <v>10950</v>
      </c>
      <c r="BK78" s="38">
        <f t="shared" si="126"/>
        <v>11132.5</v>
      </c>
      <c r="BL78" s="38">
        <f t="shared" si="126"/>
        <v>11315</v>
      </c>
      <c r="BM78" s="38">
        <f t="shared" si="126"/>
        <v>11497.5</v>
      </c>
      <c r="BN78" s="38">
        <f t="shared" si="126"/>
        <v>11680</v>
      </c>
      <c r="BO78" s="38">
        <f t="shared" si="126"/>
        <v>11862.5</v>
      </c>
      <c r="BP78" s="38">
        <f t="shared" si="126"/>
        <v>12045</v>
      </c>
      <c r="BQ78" s="38">
        <f t="shared" ref="BQ78:CB78" si="127">BP78+IF($G26=1,365,182.5)</f>
        <v>12227.5</v>
      </c>
      <c r="BR78" s="38">
        <f t="shared" si="127"/>
        <v>12410</v>
      </c>
      <c r="BS78" s="38">
        <f t="shared" si="127"/>
        <v>12592.5</v>
      </c>
      <c r="BT78" s="38">
        <f t="shared" si="127"/>
        <v>12775</v>
      </c>
      <c r="BU78" s="38">
        <f t="shared" si="127"/>
        <v>12957.5</v>
      </c>
      <c r="BV78" s="38">
        <f t="shared" si="127"/>
        <v>13140</v>
      </c>
      <c r="BW78" s="38">
        <f t="shared" si="127"/>
        <v>13322.5</v>
      </c>
      <c r="BX78" s="38">
        <f t="shared" si="127"/>
        <v>13505</v>
      </c>
      <c r="BY78" s="38">
        <f t="shared" si="127"/>
        <v>13687.5</v>
      </c>
      <c r="BZ78" s="38">
        <f t="shared" si="127"/>
        <v>13870</v>
      </c>
      <c r="CA78" s="38">
        <f t="shared" si="127"/>
        <v>14052.5</v>
      </c>
      <c r="CB78" s="39">
        <f t="shared" si="127"/>
        <v>14235</v>
      </c>
      <c r="CF78" s="9"/>
      <c r="CG78" s="9"/>
      <c r="CH78" s="9"/>
      <c r="CI78" s="9"/>
      <c r="CJ78" s="9"/>
      <c r="CK78" s="9"/>
      <c r="CL78" s="9"/>
      <c r="CM78" s="9"/>
      <c r="CN78" s="9"/>
      <c r="CO78" s="9"/>
      <c r="CP78" s="9"/>
      <c r="CQ78" s="9"/>
      <c r="CR78" s="9"/>
      <c r="CS78" s="9"/>
      <c r="CT78" s="9"/>
      <c r="CU78" s="9"/>
      <c r="CV78" s="9"/>
      <c r="CW78" s="9"/>
      <c r="CX78" s="9"/>
      <c r="CY78" s="9"/>
      <c r="CZ78" s="9"/>
      <c r="DA78" s="9"/>
      <c r="DB78" s="9"/>
      <c r="DC78" s="9"/>
      <c r="DD78" s="9"/>
      <c r="DE78" s="9"/>
      <c r="DF78" s="9"/>
      <c r="DG78" s="9"/>
      <c r="DH78" s="9"/>
      <c r="DI78" s="9"/>
      <c r="DJ78" s="9"/>
      <c r="DK78" s="9"/>
    </row>
    <row r="79" spans="1:115">
      <c r="A79" s="23" t="s">
        <v>129</v>
      </c>
      <c r="B79" s="106">
        <f>(IF(B78=F26,100,0)+IF(G26=1,1,0.5)*J26*100)*IF(ISBLANK(F26)=TRUE,0,1)</f>
        <v>0</v>
      </c>
      <c r="C79" s="40">
        <f>IF(C78&gt;$F26+1,0,1)*(IF(D79=0,100,0)+IF($G26=1,1,0.5)*$J26*100)</f>
        <v>0</v>
      </c>
      <c r="D79" s="40">
        <f t="shared" ref="D79:BO79" si="128">IF(D78&gt;$F26+1,0,1)*(IF(E79=0,100,0)+IF($G26=1,1,0.5)*$J26*100)</f>
        <v>0</v>
      </c>
      <c r="E79" s="40">
        <f t="shared" si="128"/>
        <v>0</v>
      </c>
      <c r="F79" s="40">
        <f t="shared" si="128"/>
        <v>0</v>
      </c>
      <c r="G79" s="40">
        <f t="shared" si="128"/>
        <v>0</v>
      </c>
      <c r="H79" s="40">
        <f t="shared" si="128"/>
        <v>0</v>
      </c>
      <c r="I79" s="40">
        <f t="shared" si="128"/>
        <v>0</v>
      </c>
      <c r="J79" s="40">
        <f t="shared" si="128"/>
        <v>0</v>
      </c>
      <c r="K79" s="40">
        <f t="shared" si="128"/>
        <v>0</v>
      </c>
      <c r="L79" s="40">
        <f t="shared" si="128"/>
        <v>0</v>
      </c>
      <c r="M79" s="40">
        <f t="shared" si="128"/>
        <v>0</v>
      </c>
      <c r="N79" s="40">
        <f t="shared" si="128"/>
        <v>0</v>
      </c>
      <c r="O79" s="40">
        <f t="shared" si="128"/>
        <v>0</v>
      </c>
      <c r="P79" s="40">
        <f t="shared" si="128"/>
        <v>0</v>
      </c>
      <c r="Q79" s="40">
        <f t="shared" si="128"/>
        <v>0</v>
      </c>
      <c r="R79" s="40">
        <f t="shared" si="128"/>
        <v>0</v>
      </c>
      <c r="S79" s="40">
        <f t="shared" si="128"/>
        <v>0</v>
      </c>
      <c r="T79" s="40">
        <f t="shared" si="128"/>
        <v>0</v>
      </c>
      <c r="U79" s="40">
        <f t="shared" si="128"/>
        <v>0</v>
      </c>
      <c r="V79" s="40">
        <f t="shared" si="128"/>
        <v>0</v>
      </c>
      <c r="W79" s="40">
        <f t="shared" si="128"/>
        <v>0</v>
      </c>
      <c r="X79" s="40">
        <f t="shared" si="128"/>
        <v>0</v>
      </c>
      <c r="Y79" s="40">
        <f t="shared" si="128"/>
        <v>0</v>
      </c>
      <c r="Z79" s="40">
        <f t="shared" si="128"/>
        <v>0</v>
      </c>
      <c r="AA79" s="40">
        <f t="shared" si="128"/>
        <v>0</v>
      </c>
      <c r="AB79" s="40">
        <f t="shared" si="128"/>
        <v>0</v>
      </c>
      <c r="AC79" s="40">
        <f t="shared" si="128"/>
        <v>0</v>
      </c>
      <c r="AD79" s="40">
        <f t="shared" si="128"/>
        <v>0</v>
      </c>
      <c r="AE79" s="40">
        <f t="shared" si="128"/>
        <v>0</v>
      </c>
      <c r="AF79" s="40">
        <f t="shared" si="128"/>
        <v>0</v>
      </c>
      <c r="AG79" s="40">
        <f t="shared" si="128"/>
        <v>0</v>
      </c>
      <c r="AH79" s="40">
        <f t="shared" si="128"/>
        <v>0</v>
      </c>
      <c r="AI79" s="40">
        <f t="shared" si="128"/>
        <v>0</v>
      </c>
      <c r="AJ79" s="40">
        <f t="shared" si="128"/>
        <v>0</v>
      </c>
      <c r="AK79" s="40">
        <f t="shared" si="128"/>
        <v>0</v>
      </c>
      <c r="AL79" s="40">
        <f t="shared" si="128"/>
        <v>0</v>
      </c>
      <c r="AM79" s="40">
        <f t="shared" si="128"/>
        <v>0</v>
      </c>
      <c r="AN79" s="40">
        <f t="shared" si="128"/>
        <v>0</v>
      </c>
      <c r="AO79" s="40">
        <f t="shared" si="128"/>
        <v>0</v>
      </c>
      <c r="AP79" s="40">
        <f t="shared" si="128"/>
        <v>0</v>
      </c>
      <c r="AQ79" s="40">
        <f t="shared" si="128"/>
        <v>0</v>
      </c>
      <c r="AR79" s="40">
        <f t="shared" si="128"/>
        <v>0</v>
      </c>
      <c r="AS79" s="40">
        <f t="shared" si="128"/>
        <v>0</v>
      </c>
      <c r="AT79" s="40">
        <f t="shared" si="128"/>
        <v>0</v>
      </c>
      <c r="AU79" s="40">
        <f t="shared" si="128"/>
        <v>0</v>
      </c>
      <c r="AV79" s="40">
        <f t="shared" si="128"/>
        <v>0</v>
      </c>
      <c r="AW79" s="40">
        <f t="shared" si="128"/>
        <v>0</v>
      </c>
      <c r="AX79" s="40">
        <f t="shared" si="128"/>
        <v>0</v>
      </c>
      <c r="AY79" s="40">
        <f t="shared" si="128"/>
        <v>0</v>
      </c>
      <c r="AZ79" s="40">
        <f t="shared" si="128"/>
        <v>0</v>
      </c>
      <c r="BA79" s="40">
        <f t="shared" si="128"/>
        <v>0</v>
      </c>
      <c r="BB79" s="40">
        <f t="shared" si="128"/>
        <v>0</v>
      </c>
      <c r="BC79" s="40">
        <f t="shared" si="128"/>
        <v>0</v>
      </c>
      <c r="BD79" s="40">
        <f t="shared" si="128"/>
        <v>0</v>
      </c>
      <c r="BE79" s="40">
        <f t="shared" si="128"/>
        <v>0</v>
      </c>
      <c r="BF79" s="40">
        <f t="shared" si="128"/>
        <v>0</v>
      </c>
      <c r="BG79" s="40">
        <f t="shared" si="128"/>
        <v>0</v>
      </c>
      <c r="BH79" s="40">
        <f t="shared" si="128"/>
        <v>0</v>
      </c>
      <c r="BI79" s="40">
        <f t="shared" si="128"/>
        <v>0</v>
      </c>
      <c r="BJ79" s="40">
        <f t="shared" si="128"/>
        <v>0</v>
      </c>
      <c r="BK79" s="40">
        <f t="shared" si="128"/>
        <v>0</v>
      </c>
      <c r="BL79" s="40">
        <f t="shared" si="128"/>
        <v>0</v>
      </c>
      <c r="BM79" s="40">
        <f t="shared" si="128"/>
        <v>0</v>
      </c>
      <c r="BN79" s="40">
        <f t="shared" si="128"/>
        <v>0</v>
      </c>
      <c r="BO79" s="40">
        <f t="shared" si="128"/>
        <v>0</v>
      </c>
      <c r="BP79" s="40">
        <f t="shared" ref="BP79:CB79" si="129">IF(BP78&gt;$F26+1,0,1)*(IF(BQ79=0,100,0)+IF($G26=1,1,0.5)*$J26*100)</f>
        <v>0</v>
      </c>
      <c r="BQ79" s="40">
        <f t="shared" si="129"/>
        <v>0</v>
      </c>
      <c r="BR79" s="40">
        <f t="shared" si="129"/>
        <v>0</v>
      </c>
      <c r="BS79" s="40">
        <f t="shared" si="129"/>
        <v>0</v>
      </c>
      <c r="BT79" s="40">
        <f t="shared" si="129"/>
        <v>0</v>
      </c>
      <c r="BU79" s="40">
        <f t="shared" si="129"/>
        <v>0</v>
      </c>
      <c r="BV79" s="40">
        <f t="shared" si="129"/>
        <v>0</v>
      </c>
      <c r="BW79" s="40">
        <f t="shared" si="129"/>
        <v>0</v>
      </c>
      <c r="BX79" s="40">
        <f t="shared" si="129"/>
        <v>0</v>
      </c>
      <c r="BY79" s="40">
        <f t="shared" si="129"/>
        <v>0</v>
      </c>
      <c r="BZ79" s="40">
        <f t="shared" si="129"/>
        <v>0</v>
      </c>
      <c r="CA79" s="40">
        <f t="shared" si="129"/>
        <v>0</v>
      </c>
      <c r="CB79" s="41">
        <f t="shared" si="129"/>
        <v>0</v>
      </c>
      <c r="CF79" s="9"/>
      <c r="CG79" s="9"/>
      <c r="CH79" s="9"/>
      <c r="CI79" s="9"/>
      <c r="CJ79" s="9"/>
      <c r="CK79" s="9"/>
      <c r="CL79" s="9"/>
      <c r="CM79" s="9"/>
      <c r="CN79" s="9"/>
      <c r="CO79" s="9"/>
      <c r="CP79" s="9"/>
      <c r="CQ79" s="9"/>
      <c r="CR79" s="9"/>
      <c r="CS79" s="9"/>
      <c r="CT79" s="9"/>
      <c r="CU79" s="9"/>
      <c r="CV79" s="9"/>
      <c r="CW79" s="9"/>
      <c r="CX79" s="9"/>
      <c r="CY79" s="9"/>
      <c r="CZ79" s="9"/>
      <c r="DA79" s="9"/>
      <c r="DB79" s="9"/>
      <c r="DC79" s="9"/>
      <c r="DD79" s="9"/>
      <c r="DE79" s="9"/>
      <c r="DF79" s="9"/>
      <c r="DG79" s="9"/>
      <c r="DH79" s="9"/>
      <c r="DI79" s="9"/>
      <c r="DJ79" s="9"/>
      <c r="DK79" s="9"/>
    </row>
    <row r="80" spans="1:115">
      <c r="A80" s="520" t="s">
        <v>49</v>
      </c>
      <c r="B80" s="79">
        <f>IF(E27=0,F27,E27)</f>
        <v>0</v>
      </c>
      <c r="C80" s="80">
        <f>B80+IF($G27=1,365,182.5)</f>
        <v>182.5</v>
      </c>
      <c r="D80" s="80">
        <f>C80+IF($G27=1,365,182.5)</f>
        <v>365</v>
      </c>
      <c r="E80" s="80">
        <f t="shared" ref="E80:BP80" si="130">D80+IF($G27=1,365,182.5)</f>
        <v>547.5</v>
      </c>
      <c r="F80" s="80">
        <f t="shared" si="130"/>
        <v>730</v>
      </c>
      <c r="G80" s="80">
        <f t="shared" si="130"/>
        <v>912.5</v>
      </c>
      <c r="H80" s="80">
        <f t="shared" si="130"/>
        <v>1095</v>
      </c>
      <c r="I80" s="80">
        <f t="shared" si="130"/>
        <v>1277.5</v>
      </c>
      <c r="J80" s="80">
        <f t="shared" si="130"/>
        <v>1460</v>
      </c>
      <c r="K80" s="80">
        <f t="shared" si="130"/>
        <v>1642.5</v>
      </c>
      <c r="L80" s="80">
        <f t="shared" si="130"/>
        <v>1825</v>
      </c>
      <c r="M80" s="80">
        <f t="shared" si="130"/>
        <v>2007.5</v>
      </c>
      <c r="N80" s="80">
        <f t="shared" si="130"/>
        <v>2190</v>
      </c>
      <c r="O80" s="80">
        <f t="shared" si="130"/>
        <v>2372.5</v>
      </c>
      <c r="P80" s="80">
        <f t="shared" si="130"/>
        <v>2555</v>
      </c>
      <c r="Q80" s="80">
        <f t="shared" si="130"/>
        <v>2737.5</v>
      </c>
      <c r="R80" s="80">
        <f t="shared" si="130"/>
        <v>2920</v>
      </c>
      <c r="S80" s="80">
        <f t="shared" si="130"/>
        <v>3102.5</v>
      </c>
      <c r="T80" s="80">
        <f t="shared" si="130"/>
        <v>3285</v>
      </c>
      <c r="U80" s="80">
        <f t="shared" si="130"/>
        <v>3467.5</v>
      </c>
      <c r="V80" s="80">
        <f t="shared" si="130"/>
        <v>3650</v>
      </c>
      <c r="W80" s="80">
        <f t="shared" si="130"/>
        <v>3832.5</v>
      </c>
      <c r="X80" s="80">
        <f t="shared" si="130"/>
        <v>4015</v>
      </c>
      <c r="Y80" s="80">
        <f t="shared" si="130"/>
        <v>4197.5</v>
      </c>
      <c r="Z80" s="80">
        <f t="shared" si="130"/>
        <v>4380</v>
      </c>
      <c r="AA80" s="80">
        <f t="shared" si="130"/>
        <v>4562.5</v>
      </c>
      <c r="AB80" s="80">
        <f t="shared" si="130"/>
        <v>4745</v>
      </c>
      <c r="AC80" s="80">
        <f t="shared" si="130"/>
        <v>4927.5</v>
      </c>
      <c r="AD80" s="80">
        <f t="shared" si="130"/>
        <v>5110</v>
      </c>
      <c r="AE80" s="80">
        <f t="shared" si="130"/>
        <v>5292.5</v>
      </c>
      <c r="AF80" s="80">
        <f t="shared" si="130"/>
        <v>5475</v>
      </c>
      <c r="AG80" s="80">
        <f t="shared" si="130"/>
        <v>5657.5</v>
      </c>
      <c r="AH80" s="80">
        <f t="shared" si="130"/>
        <v>5840</v>
      </c>
      <c r="AI80" s="80">
        <f t="shared" si="130"/>
        <v>6022.5</v>
      </c>
      <c r="AJ80" s="80">
        <f t="shared" si="130"/>
        <v>6205</v>
      </c>
      <c r="AK80" s="80">
        <f t="shared" si="130"/>
        <v>6387.5</v>
      </c>
      <c r="AL80" s="80">
        <f t="shared" si="130"/>
        <v>6570</v>
      </c>
      <c r="AM80" s="80">
        <f t="shared" si="130"/>
        <v>6752.5</v>
      </c>
      <c r="AN80" s="80">
        <f t="shared" si="130"/>
        <v>6935</v>
      </c>
      <c r="AO80" s="80">
        <f t="shared" si="130"/>
        <v>7117.5</v>
      </c>
      <c r="AP80" s="80">
        <f t="shared" si="130"/>
        <v>7300</v>
      </c>
      <c r="AQ80" s="80">
        <f t="shared" si="130"/>
        <v>7482.5</v>
      </c>
      <c r="AR80" s="80">
        <f t="shared" si="130"/>
        <v>7665</v>
      </c>
      <c r="AS80" s="80">
        <f t="shared" si="130"/>
        <v>7847.5</v>
      </c>
      <c r="AT80" s="80">
        <f t="shared" si="130"/>
        <v>8030</v>
      </c>
      <c r="AU80" s="80">
        <f t="shared" si="130"/>
        <v>8212.5</v>
      </c>
      <c r="AV80" s="80">
        <f t="shared" si="130"/>
        <v>8395</v>
      </c>
      <c r="AW80" s="80">
        <f t="shared" si="130"/>
        <v>8577.5</v>
      </c>
      <c r="AX80" s="80">
        <f t="shared" si="130"/>
        <v>8760</v>
      </c>
      <c r="AY80" s="80">
        <f t="shared" si="130"/>
        <v>8942.5</v>
      </c>
      <c r="AZ80" s="80">
        <f t="shared" si="130"/>
        <v>9125</v>
      </c>
      <c r="BA80" s="80">
        <f t="shared" si="130"/>
        <v>9307.5</v>
      </c>
      <c r="BB80" s="80">
        <f t="shared" si="130"/>
        <v>9490</v>
      </c>
      <c r="BC80" s="80">
        <f t="shared" si="130"/>
        <v>9672.5</v>
      </c>
      <c r="BD80" s="80">
        <f t="shared" si="130"/>
        <v>9855</v>
      </c>
      <c r="BE80" s="80">
        <f t="shared" si="130"/>
        <v>10037.5</v>
      </c>
      <c r="BF80" s="80">
        <f t="shared" si="130"/>
        <v>10220</v>
      </c>
      <c r="BG80" s="80">
        <f t="shared" si="130"/>
        <v>10402.5</v>
      </c>
      <c r="BH80" s="80">
        <f t="shared" si="130"/>
        <v>10585</v>
      </c>
      <c r="BI80" s="80">
        <f t="shared" si="130"/>
        <v>10767.5</v>
      </c>
      <c r="BJ80" s="80">
        <f t="shared" si="130"/>
        <v>10950</v>
      </c>
      <c r="BK80" s="80">
        <f t="shared" si="130"/>
        <v>11132.5</v>
      </c>
      <c r="BL80" s="80">
        <f t="shared" si="130"/>
        <v>11315</v>
      </c>
      <c r="BM80" s="80">
        <f t="shared" si="130"/>
        <v>11497.5</v>
      </c>
      <c r="BN80" s="80">
        <f t="shared" si="130"/>
        <v>11680</v>
      </c>
      <c r="BO80" s="80">
        <f t="shared" si="130"/>
        <v>11862.5</v>
      </c>
      <c r="BP80" s="80">
        <f t="shared" si="130"/>
        <v>12045</v>
      </c>
      <c r="BQ80" s="80">
        <f t="shared" ref="BQ80:CB80" si="131">BP80+IF($G27=1,365,182.5)</f>
        <v>12227.5</v>
      </c>
      <c r="BR80" s="80">
        <f t="shared" si="131"/>
        <v>12410</v>
      </c>
      <c r="BS80" s="80">
        <f t="shared" si="131"/>
        <v>12592.5</v>
      </c>
      <c r="BT80" s="80">
        <f t="shared" si="131"/>
        <v>12775</v>
      </c>
      <c r="BU80" s="80">
        <f t="shared" si="131"/>
        <v>12957.5</v>
      </c>
      <c r="BV80" s="80">
        <f t="shared" si="131"/>
        <v>13140</v>
      </c>
      <c r="BW80" s="80">
        <f t="shared" si="131"/>
        <v>13322.5</v>
      </c>
      <c r="BX80" s="80">
        <f t="shared" si="131"/>
        <v>13505</v>
      </c>
      <c r="BY80" s="80">
        <f t="shared" si="131"/>
        <v>13687.5</v>
      </c>
      <c r="BZ80" s="80">
        <f t="shared" si="131"/>
        <v>13870</v>
      </c>
      <c r="CA80" s="80">
        <f t="shared" si="131"/>
        <v>14052.5</v>
      </c>
      <c r="CB80" s="81">
        <f t="shared" si="131"/>
        <v>14235</v>
      </c>
      <c r="CF80" s="9"/>
      <c r="CG80" s="9"/>
      <c r="CH80" s="9"/>
      <c r="CI80" s="9"/>
      <c r="CJ80" s="9"/>
      <c r="CK80" s="9"/>
      <c r="CL80" s="9"/>
      <c r="CM80" s="9"/>
      <c r="CN80" s="9"/>
      <c r="CO80" s="9"/>
      <c r="CP80" s="9"/>
      <c r="CQ80" s="9"/>
      <c r="CR80" s="9"/>
      <c r="CS80" s="9"/>
      <c r="CT80" s="9"/>
      <c r="CU80" s="9"/>
      <c r="CV80" s="9"/>
      <c r="CW80" s="9"/>
      <c r="CX80" s="9"/>
      <c r="CY80" s="9"/>
      <c r="CZ80" s="9"/>
      <c r="DA80" s="9"/>
      <c r="DB80" s="9"/>
      <c r="DC80" s="9"/>
      <c r="DD80" s="9"/>
      <c r="DE80" s="9"/>
      <c r="DF80" s="9"/>
      <c r="DG80" s="9"/>
      <c r="DH80" s="9"/>
      <c r="DI80" s="9"/>
      <c r="DJ80" s="9"/>
      <c r="DK80" s="9"/>
    </row>
    <row r="81" spans="1:115">
      <c r="A81" s="222" t="s">
        <v>130</v>
      </c>
      <c r="B81" s="114">
        <f>(IF(B80=F27,100,0)+IF(G27=1,1,0.5)*J27*100)*IF(ISBLANK(F27)=TRUE,0,1)</f>
        <v>0</v>
      </c>
      <c r="C81" s="82">
        <f>IF(C80&gt;$F27+1,0,1)*(IF(D81=0,100,0)+IF($G27=1,1,0.5)*$J27*100)</f>
        <v>0</v>
      </c>
      <c r="D81" s="82">
        <f t="shared" ref="D81:BO81" si="132">IF(D80&gt;$F27+1,0,1)*(IF(E81=0,100,0)+IF($G27=1,1,0.5)*$J27*100)</f>
        <v>0</v>
      </c>
      <c r="E81" s="82">
        <f t="shared" si="132"/>
        <v>0</v>
      </c>
      <c r="F81" s="82">
        <f t="shared" si="132"/>
        <v>0</v>
      </c>
      <c r="G81" s="82">
        <f t="shared" si="132"/>
        <v>0</v>
      </c>
      <c r="H81" s="82">
        <f t="shared" si="132"/>
        <v>0</v>
      </c>
      <c r="I81" s="82">
        <f t="shared" si="132"/>
        <v>0</v>
      </c>
      <c r="J81" s="82">
        <f t="shared" si="132"/>
        <v>0</v>
      </c>
      <c r="K81" s="82">
        <f t="shared" si="132"/>
        <v>0</v>
      </c>
      <c r="L81" s="82">
        <f t="shared" si="132"/>
        <v>0</v>
      </c>
      <c r="M81" s="82">
        <f t="shared" si="132"/>
        <v>0</v>
      </c>
      <c r="N81" s="82">
        <f t="shared" si="132"/>
        <v>0</v>
      </c>
      <c r="O81" s="82">
        <f t="shared" si="132"/>
        <v>0</v>
      </c>
      <c r="P81" s="82">
        <f t="shared" si="132"/>
        <v>0</v>
      </c>
      <c r="Q81" s="82">
        <f t="shared" si="132"/>
        <v>0</v>
      </c>
      <c r="R81" s="82">
        <f t="shared" si="132"/>
        <v>0</v>
      </c>
      <c r="S81" s="82">
        <f t="shared" si="132"/>
        <v>0</v>
      </c>
      <c r="T81" s="82">
        <f t="shared" si="132"/>
        <v>0</v>
      </c>
      <c r="U81" s="82">
        <f t="shared" si="132"/>
        <v>0</v>
      </c>
      <c r="V81" s="82">
        <f t="shared" si="132"/>
        <v>0</v>
      </c>
      <c r="W81" s="82">
        <f t="shared" si="132"/>
        <v>0</v>
      </c>
      <c r="X81" s="82">
        <f t="shared" si="132"/>
        <v>0</v>
      </c>
      <c r="Y81" s="82">
        <f t="shared" si="132"/>
        <v>0</v>
      </c>
      <c r="Z81" s="82">
        <f t="shared" si="132"/>
        <v>0</v>
      </c>
      <c r="AA81" s="82">
        <f t="shared" si="132"/>
        <v>0</v>
      </c>
      <c r="AB81" s="82">
        <f t="shared" si="132"/>
        <v>0</v>
      </c>
      <c r="AC81" s="82">
        <f t="shared" si="132"/>
        <v>0</v>
      </c>
      <c r="AD81" s="82">
        <f t="shared" si="132"/>
        <v>0</v>
      </c>
      <c r="AE81" s="82">
        <f t="shared" si="132"/>
        <v>0</v>
      </c>
      <c r="AF81" s="82">
        <f t="shared" si="132"/>
        <v>0</v>
      </c>
      <c r="AG81" s="82">
        <f t="shared" si="132"/>
        <v>0</v>
      </c>
      <c r="AH81" s="82">
        <f t="shared" si="132"/>
        <v>0</v>
      </c>
      <c r="AI81" s="82">
        <f t="shared" si="132"/>
        <v>0</v>
      </c>
      <c r="AJ81" s="82">
        <f t="shared" si="132"/>
        <v>0</v>
      </c>
      <c r="AK81" s="82">
        <f t="shared" si="132"/>
        <v>0</v>
      </c>
      <c r="AL81" s="82">
        <f t="shared" si="132"/>
        <v>0</v>
      </c>
      <c r="AM81" s="82">
        <f t="shared" si="132"/>
        <v>0</v>
      </c>
      <c r="AN81" s="82">
        <f t="shared" si="132"/>
        <v>0</v>
      </c>
      <c r="AO81" s="82">
        <f t="shared" si="132"/>
        <v>0</v>
      </c>
      <c r="AP81" s="82">
        <f t="shared" si="132"/>
        <v>0</v>
      </c>
      <c r="AQ81" s="82">
        <f t="shared" si="132"/>
        <v>0</v>
      </c>
      <c r="AR81" s="82">
        <f t="shared" si="132"/>
        <v>0</v>
      </c>
      <c r="AS81" s="82">
        <f t="shared" si="132"/>
        <v>0</v>
      </c>
      <c r="AT81" s="82">
        <f t="shared" si="132"/>
        <v>0</v>
      </c>
      <c r="AU81" s="82">
        <f t="shared" si="132"/>
        <v>0</v>
      </c>
      <c r="AV81" s="82">
        <f t="shared" si="132"/>
        <v>0</v>
      </c>
      <c r="AW81" s="82">
        <f t="shared" si="132"/>
        <v>0</v>
      </c>
      <c r="AX81" s="82">
        <f t="shared" si="132"/>
        <v>0</v>
      </c>
      <c r="AY81" s="82">
        <f t="shared" si="132"/>
        <v>0</v>
      </c>
      <c r="AZ81" s="82">
        <f t="shared" si="132"/>
        <v>0</v>
      </c>
      <c r="BA81" s="82">
        <f t="shared" si="132"/>
        <v>0</v>
      </c>
      <c r="BB81" s="82">
        <f t="shared" si="132"/>
        <v>0</v>
      </c>
      <c r="BC81" s="82">
        <f t="shared" si="132"/>
        <v>0</v>
      </c>
      <c r="BD81" s="82">
        <f t="shared" si="132"/>
        <v>0</v>
      </c>
      <c r="BE81" s="82">
        <f t="shared" si="132"/>
        <v>0</v>
      </c>
      <c r="BF81" s="82">
        <f t="shared" si="132"/>
        <v>0</v>
      </c>
      <c r="BG81" s="82">
        <f t="shared" si="132"/>
        <v>0</v>
      </c>
      <c r="BH81" s="82">
        <f t="shared" si="132"/>
        <v>0</v>
      </c>
      <c r="BI81" s="82">
        <f t="shared" si="132"/>
        <v>0</v>
      </c>
      <c r="BJ81" s="82">
        <f t="shared" si="132"/>
        <v>0</v>
      </c>
      <c r="BK81" s="82">
        <f t="shared" si="132"/>
        <v>0</v>
      </c>
      <c r="BL81" s="82">
        <f t="shared" si="132"/>
        <v>0</v>
      </c>
      <c r="BM81" s="82">
        <f t="shared" si="132"/>
        <v>0</v>
      </c>
      <c r="BN81" s="82">
        <f t="shared" si="132"/>
        <v>0</v>
      </c>
      <c r="BO81" s="82">
        <f t="shared" si="132"/>
        <v>0</v>
      </c>
      <c r="BP81" s="82">
        <f t="shared" ref="BP81:CB81" si="133">IF(BP80&gt;$F27+1,0,1)*(IF(BQ81=0,100,0)+IF($G27=1,1,0.5)*$J27*100)</f>
        <v>0</v>
      </c>
      <c r="BQ81" s="82">
        <f t="shared" si="133"/>
        <v>0</v>
      </c>
      <c r="BR81" s="82">
        <f t="shared" si="133"/>
        <v>0</v>
      </c>
      <c r="BS81" s="82">
        <f t="shared" si="133"/>
        <v>0</v>
      </c>
      <c r="BT81" s="82">
        <f t="shared" si="133"/>
        <v>0</v>
      </c>
      <c r="BU81" s="82">
        <f t="shared" si="133"/>
        <v>0</v>
      </c>
      <c r="BV81" s="82">
        <f t="shared" si="133"/>
        <v>0</v>
      </c>
      <c r="BW81" s="82">
        <f t="shared" si="133"/>
        <v>0</v>
      </c>
      <c r="BX81" s="82">
        <f t="shared" si="133"/>
        <v>0</v>
      </c>
      <c r="BY81" s="82">
        <f t="shared" si="133"/>
        <v>0</v>
      </c>
      <c r="BZ81" s="82">
        <f t="shared" si="133"/>
        <v>0</v>
      </c>
      <c r="CA81" s="82">
        <f t="shared" si="133"/>
        <v>0</v>
      </c>
      <c r="CB81" s="83">
        <f t="shared" si="133"/>
        <v>0</v>
      </c>
      <c r="CF81" s="9"/>
      <c r="CG81" s="9"/>
      <c r="CH81" s="9"/>
      <c r="CI81" s="9"/>
      <c r="CJ81" s="9"/>
      <c r="CK81" s="9"/>
      <c r="CL81" s="9"/>
      <c r="CM81" s="9"/>
      <c r="CN81" s="9"/>
      <c r="CO81" s="9"/>
      <c r="CP81" s="9"/>
      <c r="CQ81" s="9"/>
      <c r="CR81" s="9"/>
      <c r="CS81" s="9"/>
      <c r="CT81" s="9"/>
      <c r="CU81" s="9"/>
      <c r="CV81" s="9"/>
      <c r="CW81" s="9"/>
      <c r="CX81" s="9"/>
      <c r="CY81" s="9"/>
      <c r="CZ81" s="9"/>
      <c r="DA81" s="9"/>
      <c r="DB81" s="9"/>
      <c r="DC81" s="9"/>
      <c r="DD81" s="9"/>
      <c r="DE81" s="9"/>
      <c r="DF81" s="9"/>
      <c r="DG81" s="9"/>
      <c r="DH81" s="9"/>
      <c r="DI81" s="9"/>
      <c r="DJ81" s="9"/>
      <c r="DK81" s="9"/>
    </row>
    <row r="82" spans="1:115" s="6" customForma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10"/>
      <c r="CF82" s="10"/>
      <c r="CG82" s="10"/>
      <c r="CH82" s="10"/>
      <c r="CI82" s="10"/>
      <c r="CJ82" s="10"/>
      <c r="CK82" s="10"/>
      <c r="CL82" s="10"/>
      <c r="CM82" s="10"/>
      <c r="CN82" s="10"/>
      <c r="CO82" s="10"/>
      <c r="CP82" s="10"/>
      <c r="CQ82" s="10"/>
      <c r="CR82" s="10"/>
      <c r="CS82" s="10"/>
      <c r="CT82" s="10"/>
      <c r="CU82" s="10"/>
      <c r="CV82" s="10"/>
      <c r="CW82" s="10"/>
      <c r="CX82" s="10"/>
      <c r="CY82" s="10"/>
      <c r="CZ82" s="10"/>
      <c r="DA82" s="10"/>
      <c r="DB82" s="10"/>
      <c r="DC82" s="10"/>
      <c r="DD82" s="10"/>
      <c r="DE82" s="10"/>
      <c r="DF82" s="10"/>
      <c r="DG82" s="10"/>
      <c r="DH82" s="10"/>
      <c r="DI82" s="10"/>
      <c r="DJ82" s="10"/>
      <c r="DK82" s="10"/>
    </row>
    <row r="83" spans="1:115">
      <c r="A83" s="16" t="s">
        <v>42</v>
      </c>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7"/>
      <c r="CD83" s="17"/>
      <c r="CE83" s="17"/>
      <c r="CF83" s="9"/>
      <c r="CG83" s="9"/>
      <c r="CH83" s="9"/>
      <c r="CI83" s="9"/>
      <c r="CJ83" s="9"/>
      <c r="CK83" s="9"/>
      <c r="CL83" s="9"/>
      <c r="CM83" s="9"/>
      <c r="CN83" s="9"/>
      <c r="CO83" s="9"/>
      <c r="CP83" s="9"/>
      <c r="CQ83" s="9"/>
      <c r="CR83" s="9"/>
      <c r="CS83" s="9"/>
      <c r="CT83" s="9"/>
      <c r="CU83" s="9"/>
      <c r="CV83" s="9"/>
      <c r="CW83" s="9"/>
      <c r="CX83" s="9"/>
      <c r="CY83" s="9"/>
      <c r="CZ83" s="9"/>
      <c r="DA83" s="9"/>
      <c r="DB83" s="9"/>
      <c r="DC83" s="9"/>
      <c r="DD83" s="9"/>
      <c r="DE83" s="9"/>
      <c r="DF83" s="9"/>
      <c r="DG83" s="9"/>
      <c r="DH83" s="9"/>
      <c r="DI83" s="9"/>
      <c r="DJ83" s="9"/>
      <c r="DK83" s="9"/>
    </row>
    <row r="84" spans="1:115">
      <c r="A84" s="16" t="s">
        <v>40</v>
      </c>
      <c r="B84" s="140">
        <f t="shared" ref="B84:BM84" si="134">DAYS360($B$3,B30)</f>
        <v>345</v>
      </c>
      <c r="C84" s="140">
        <f t="shared" si="134"/>
        <v>524</v>
      </c>
      <c r="D84" s="140">
        <f t="shared" si="134"/>
        <v>705</v>
      </c>
      <c r="E84" s="140">
        <f t="shared" si="134"/>
        <v>884</v>
      </c>
      <c r="F84" s="140">
        <f t="shared" si="134"/>
        <v>1065</v>
      </c>
      <c r="G84" s="140">
        <f t="shared" si="134"/>
        <v>1244</v>
      </c>
      <c r="H84" s="140">
        <f t="shared" si="134"/>
        <v>1425</v>
      </c>
      <c r="I84" s="140">
        <f t="shared" si="134"/>
        <v>1604</v>
      </c>
      <c r="J84" s="140">
        <f t="shared" si="134"/>
        <v>1784</v>
      </c>
      <c r="K84" s="140">
        <f t="shared" si="134"/>
        <v>1963</v>
      </c>
      <c r="L84" s="140">
        <f t="shared" si="134"/>
        <v>2144</v>
      </c>
      <c r="M84" s="140">
        <f t="shared" si="134"/>
        <v>2323</v>
      </c>
      <c r="N84" s="140">
        <f t="shared" si="134"/>
        <v>2504</v>
      </c>
      <c r="O84" s="140">
        <f t="shared" si="134"/>
        <v>2683</v>
      </c>
      <c r="P84" s="140">
        <f t="shared" si="134"/>
        <v>2864</v>
      </c>
      <c r="Q84" s="140">
        <f t="shared" si="134"/>
        <v>3043</v>
      </c>
      <c r="R84" s="140">
        <f t="shared" si="134"/>
        <v>3223</v>
      </c>
      <c r="S84" s="140">
        <f t="shared" si="134"/>
        <v>3402</v>
      </c>
      <c r="T84" s="140">
        <f t="shared" si="134"/>
        <v>3583</v>
      </c>
      <c r="U84" s="140">
        <f t="shared" si="134"/>
        <v>3762</v>
      </c>
      <c r="V84" s="140">
        <f t="shared" si="134"/>
        <v>3943</v>
      </c>
      <c r="W84" s="140">
        <f t="shared" si="134"/>
        <v>4122</v>
      </c>
      <c r="X84" s="140">
        <f t="shared" si="134"/>
        <v>4303</v>
      </c>
      <c r="Y84" s="140">
        <f t="shared" si="134"/>
        <v>4482</v>
      </c>
      <c r="Z84" s="140">
        <f t="shared" si="134"/>
        <v>4662</v>
      </c>
      <c r="AA84" s="140">
        <f t="shared" si="134"/>
        <v>4841</v>
      </c>
      <c r="AB84" s="140">
        <f t="shared" si="134"/>
        <v>5022</v>
      </c>
      <c r="AC84" s="140">
        <f t="shared" si="134"/>
        <v>5201</v>
      </c>
      <c r="AD84" s="140">
        <f t="shared" si="134"/>
        <v>5382</v>
      </c>
      <c r="AE84" s="140">
        <f t="shared" si="134"/>
        <v>5561</v>
      </c>
      <c r="AF84" s="140">
        <f t="shared" si="134"/>
        <v>5742</v>
      </c>
      <c r="AG84" s="140">
        <f t="shared" si="134"/>
        <v>5921</v>
      </c>
      <c r="AH84" s="140">
        <f t="shared" si="134"/>
        <v>6101</v>
      </c>
      <c r="AI84" s="140">
        <f t="shared" si="134"/>
        <v>6280</v>
      </c>
      <c r="AJ84" s="140">
        <f t="shared" si="134"/>
        <v>6461</v>
      </c>
      <c r="AK84" s="140">
        <f t="shared" si="134"/>
        <v>6640</v>
      </c>
      <c r="AL84" s="140">
        <f t="shared" si="134"/>
        <v>6821</v>
      </c>
      <c r="AM84" s="140">
        <f t="shared" si="134"/>
        <v>7000</v>
      </c>
      <c r="AN84" s="140">
        <f t="shared" si="134"/>
        <v>7181</v>
      </c>
      <c r="AO84" s="140">
        <f t="shared" si="134"/>
        <v>7360</v>
      </c>
      <c r="AP84" s="140">
        <f t="shared" si="134"/>
        <v>7540</v>
      </c>
      <c r="AQ84" s="140">
        <f t="shared" si="134"/>
        <v>7719</v>
      </c>
      <c r="AR84" s="140">
        <f t="shared" si="134"/>
        <v>7900</v>
      </c>
      <c r="AS84" s="140">
        <f t="shared" si="134"/>
        <v>8079</v>
      </c>
      <c r="AT84" s="140">
        <f t="shared" si="134"/>
        <v>8260</v>
      </c>
      <c r="AU84" s="140">
        <f t="shared" si="134"/>
        <v>8439</v>
      </c>
      <c r="AV84" s="140">
        <f t="shared" si="134"/>
        <v>8620</v>
      </c>
      <c r="AW84" s="140">
        <f t="shared" si="134"/>
        <v>8799</v>
      </c>
      <c r="AX84" s="140">
        <f t="shared" si="134"/>
        <v>8979</v>
      </c>
      <c r="AY84" s="140">
        <f t="shared" si="134"/>
        <v>9158</v>
      </c>
      <c r="AZ84" s="140">
        <f t="shared" si="134"/>
        <v>9339</v>
      </c>
      <c r="BA84" s="140">
        <f t="shared" si="134"/>
        <v>9518</v>
      </c>
      <c r="BB84" s="140">
        <f t="shared" si="134"/>
        <v>9699</v>
      </c>
      <c r="BC84" s="140">
        <f t="shared" si="134"/>
        <v>9878</v>
      </c>
      <c r="BD84" s="140">
        <f t="shared" si="134"/>
        <v>10059</v>
      </c>
      <c r="BE84" s="140">
        <f t="shared" si="134"/>
        <v>10238</v>
      </c>
      <c r="BF84" s="140">
        <f t="shared" si="134"/>
        <v>10418</v>
      </c>
      <c r="BG84" s="140">
        <f t="shared" si="134"/>
        <v>10597</v>
      </c>
      <c r="BH84" s="140">
        <f t="shared" si="134"/>
        <v>10778</v>
      </c>
      <c r="BI84" s="140">
        <f t="shared" si="134"/>
        <v>10957</v>
      </c>
      <c r="BJ84" s="140">
        <f t="shared" si="134"/>
        <v>11138</v>
      </c>
      <c r="BK84" s="140">
        <f t="shared" si="134"/>
        <v>11317</v>
      </c>
      <c r="BL84" s="140">
        <f t="shared" si="134"/>
        <v>11498</v>
      </c>
      <c r="BM84" s="140">
        <f t="shared" si="134"/>
        <v>11677</v>
      </c>
      <c r="BN84" s="140">
        <f t="shared" ref="BN84:CB84" si="135">DAYS360($B$3,BN30)</f>
        <v>11857</v>
      </c>
      <c r="BO84" s="140">
        <f t="shared" si="135"/>
        <v>12036</v>
      </c>
      <c r="BP84" s="140">
        <f t="shared" si="135"/>
        <v>12217</v>
      </c>
      <c r="BQ84" s="140">
        <f t="shared" si="135"/>
        <v>12396</v>
      </c>
      <c r="BR84" s="140">
        <f t="shared" si="135"/>
        <v>12577</v>
      </c>
      <c r="BS84" s="140">
        <f t="shared" si="135"/>
        <v>12756</v>
      </c>
      <c r="BT84" s="140">
        <f t="shared" si="135"/>
        <v>12937</v>
      </c>
      <c r="BU84" s="140">
        <f t="shared" si="135"/>
        <v>13116</v>
      </c>
      <c r="BV84" s="140">
        <f t="shared" si="135"/>
        <v>13296</v>
      </c>
      <c r="BW84" s="140">
        <f t="shared" si="135"/>
        <v>13475</v>
      </c>
      <c r="BX84" s="140">
        <f t="shared" si="135"/>
        <v>13656</v>
      </c>
      <c r="BY84" s="140">
        <f t="shared" si="135"/>
        <v>13835</v>
      </c>
      <c r="BZ84" s="140">
        <f t="shared" si="135"/>
        <v>14016</v>
      </c>
      <c r="CA84" s="140">
        <f t="shared" si="135"/>
        <v>14195</v>
      </c>
      <c r="CB84" s="140">
        <f t="shared" si="135"/>
        <v>14376</v>
      </c>
      <c r="CC84" s="17"/>
      <c r="CD84" s="17"/>
      <c r="CE84" s="17"/>
    </row>
    <row r="85" spans="1:115">
      <c r="A85" s="16" t="s">
        <v>41</v>
      </c>
      <c r="B85" s="140">
        <f>B84/360</f>
        <v>0.95833333333333337</v>
      </c>
      <c r="C85" s="140">
        <f t="shared" ref="C85:BN85" si="136">C84/360</f>
        <v>1.4555555555555555</v>
      </c>
      <c r="D85" s="140">
        <f t="shared" si="136"/>
        <v>1.9583333333333333</v>
      </c>
      <c r="E85" s="140">
        <f t="shared" si="136"/>
        <v>2.4555555555555557</v>
      </c>
      <c r="F85" s="140">
        <f t="shared" si="136"/>
        <v>2.9583333333333335</v>
      </c>
      <c r="G85" s="140">
        <f t="shared" si="136"/>
        <v>3.4555555555555557</v>
      </c>
      <c r="H85" s="140">
        <f t="shared" si="136"/>
        <v>3.9583333333333335</v>
      </c>
      <c r="I85" s="140">
        <f t="shared" si="136"/>
        <v>4.4555555555555557</v>
      </c>
      <c r="J85" s="140">
        <f t="shared" si="136"/>
        <v>4.9555555555555557</v>
      </c>
      <c r="K85" s="140">
        <f t="shared" si="136"/>
        <v>5.4527777777777775</v>
      </c>
      <c r="L85" s="140">
        <f t="shared" si="136"/>
        <v>5.9555555555555557</v>
      </c>
      <c r="M85" s="140">
        <f t="shared" si="136"/>
        <v>6.4527777777777775</v>
      </c>
      <c r="N85" s="140">
        <f t="shared" si="136"/>
        <v>6.9555555555555557</v>
      </c>
      <c r="O85" s="140">
        <f t="shared" si="136"/>
        <v>7.4527777777777775</v>
      </c>
      <c r="P85" s="140">
        <f t="shared" si="136"/>
        <v>7.9555555555555557</v>
      </c>
      <c r="Q85" s="140">
        <f t="shared" si="136"/>
        <v>8.4527777777777775</v>
      </c>
      <c r="R85" s="140">
        <f t="shared" si="136"/>
        <v>8.9527777777777775</v>
      </c>
      <c r="S85" s="140">
        <f t="shared" si="136"/>
        <v>9.4499999999999993</v>
      </c>
      <c r="T85" s="140">
        <f t="shared" si="136"/>
        <v>9.9527777777777775</v>
      </c>
      <c r="U85" s="140">
        <f t="shared" si="136"/>
        <v>10.45</v>
      </c>
      <c r="V85" s="140">
        <f t="shared" si="136"/>
        <v>10.952777777777778</v>
      </c>
      <c r="W85" s="140">
        <f t="shared" si="136"/>
        <v>11.45</v>
      </c>
      <c r="X85" s="140">
        <f t="shared" si="136"/>
        <v>11.952777777777778</v>
      </c>
      <c r="Y85" s="140">
        <f t="shared" si="136"/>
        <v>12.45</v>
      </c>
      <c r="Z85" s="140">
        <f t="shared" si="136"/>
        <v>12.95</v>
      </c>
      <c r="AA85" s="140">
        <f t="shared" si="136"/>
        <v>13.447222222222223</v>
      </c>
      <c r="AB85" s="140">
        <f t="shared" si="136"/>
        <v>13.95</v>
      </c>
      <c r="AC85" s="140">
        <f t="shared" si="136"/>
        <v>14.447222222222223</v>
      </c>
      <c r="AD85" s="140">
        <f t="shared" si="136"/>
        <v>14.95</v>
      </c>
      <c r="AE85" s="140">
        <f t="shared" si="136"/>
        <v>15.447222222222223</v>
      </c>
      <c r="AF85" s="140">
        <f t="shared" si="136"/>
        <v>15.95</v>
      </c>
      <c r="AG85" s="140">
        <f t="shared" si="136"/>
        <v>16.447222222222223</v>
      </c>
      <c r="AH85" s="140">
        <f t="shared" si="136"/>
        <v>16.947222222222223</v>
      </c>
      <c r="AI85" s="140">
        <f t="shared" si="136"/>
        <v>17.444444444444443</v>
      </c>
      <c r="AJ85" s="140">
        <f t="shared" si="136"/>
        <v>17.947222222222223</v>
      </c>
      <c r="AK85" s="140">
        <f t="shared" si="136"/>
        <v>18.444444444444443</v>
      </c>
      <c r="AL85" s="140">
        <f t="shared" si="136"/>
        <v>18.947222222222223</v>
      </c>
      <c r="AM85" s="140">
        <f t="shared" si="136"/>
        <v>19.444444444444443</v>
      </c>
      <c r="AN85" s="140">
        <f t="shared" si="136"/>
        <v>19.947222222222223</v>
      </c>
      <c r="AO85" s="140">
        <f t="shared" si="136"/>
        <v>20.444444444444443</v>
      </c>
      <c r="AP85" s="140">
        <f t="shared" si="136"/>
        <v>20.944444444444443</v>
      </c>
      <c r="AQ85" s="140">
        <f t="shared" si="136"/>
        <v>21.441666666666666</v>
      </c>
      <c r="AR85" s="140">
        <f t="shared" si="136"/>
        <v>21.944444444444443</v>
      </c>
      <c r="AS85" s="140">
        <f t="shared" si="136"/>
        <v>22.441666666666666</v>
      </c>
      <c r="AT85" s="140">
        <f t="shared" si="136"/>
        <v>22.944444444444443</v>
      </c>
      <c r="AU85" s="140">
        <f t="shared" si="136"/>
        <v>23.441666666666666</v>
      </c>
      <c r="AV85" s="140">
        <f t="shared" si="136"/>
        <v>23.944444444444443</v>
      </c>
      <c r="AW85" s="140">
        <f t="shared" si="136"/>
        <v>24.441666666666666</v>
      </c>
      <c r="AX85" s="140">
        <f t="shared" si="136"/>
        <v>24.941666666666666</v>
      </c>
      <c r="AY85" s="140">
        <f t="shared" si="136"/>
        <v>25.43888888888889</v>
      </c>
      <c r="AZ85" s="140">
        <f t="shared" si="136"/>
        <v>25.941666666666666</v>
      </c>
      <c r="BA85" s="140">
        <f t="shared" si="136"/>
        <v>26.43888888888889</v>
      </c>
      <c r="BB85" s="140">
        <f t="shared" si="136"/>
        <v>26.941666666666666</v>
      </c>
      <c r="BC85" s="140">
        <f t="shared" si="136"/>
        <v>27.43888888888889</v>
      </c>
      <c r="BD85" s="140">
        <f t="shared" si="136"/>
        <v>27.941666666666666</v>
      </c>
      <c r="BE85" s="140">
        <f t="shared" si="136"/>
        <v>28.43888888888889</v>
      </c>
      <c r="BF85" s="140">
        <f t="shared" si="136"/>
        <v>28.93888888888889</v>
      </c>
      <c r="BG85" s="140">
        <f t="shared" si="136"/>
        <v>29.43611111111111</v>
      </c>
      <c r="BH85" s="140">
        <f t="shared" si="136"/>
        <v>29.93888888888889</v>
      </c>
      <c r="BI85" s="140">
        <f t="shared" si="136"/>
        <v>30.43611111111111</v>
      </c>
      <c r="BJ85" s="140">
        <f t="shared" si="136"/>
        <v>30.93888888888889</v>
      </c>
      <c r="BK85" s="140">
        <f t="shared" si="136"/>
        <v>31.43611111111111</v>
      </c>
      <c r="BL85" s="140">
        <f t="shared" si="136"/>
        <v>31.93888888888889</v>
      </c>
      <c r="BM85" s="140">
        <f t="shared" si="136"/>
        <v>32.43611111111111</v>
      </c>
      <c r="BN85" s="140">
        <f t="shared" si="136"/>
        <v>32.93611111111111</v>
      </c>
      <c r="BO85" s="140">
        <f t="shared" ref="BO85:CB85" si="137">BO84/360</f>
        <v>33.43333333333333</v>
      </c>
      <c r="BP85" s="140">
        <f t="shared" si="137"/>
        <v>33.93611111111111</v>
      </c>
      <c r="BQ85" s="140">
        <f t="shared" si="137"/>
        <v>34.43333333333333</v>
      </c>
      <c r="BR85" s="140">
        <f t="shared" si="137"/>
        <v>34.93611111111111</v>
      </c>
      <c r="BS85" s="140">
        <f t="shared" si="137"/>
        <v>35.43333333333333</v>
      </c>
      <c r="BT85" s="140">
        <f t="shared" si="137"/>
        <v>35.93611111111111</v>
      </c>
      <c r="BU85" s="140">
        <f t="shared" si="137"/>
        <v>36.43333333333333</v>
      </c>
      <c r="BV85" s="140">
        <f t="shared" si="137"/>
        <v>36.93333333333333</v>
      </c>
      <c r="BW85" s="140">
        <f t="shared" si="137"/>
        <v>37.430555555555557</v>
      </c>
      <c r="BX85" s="140">
        <f t="shared" si="137"/>
        <v>37.93333333333333</v>
      </c>
      <c r="BY85" s="140">
        <f t="shared" si="137"/>
        <v>38.430555555555557</v>
      </c>
      <c r="BZ85" s="140">
        <f t="shared" si="137"/>
        <v>38.93333333333333</v>
      </c>
      <c r="CA85" s="140">
        <f t="shared" si="137"/>
        <v>39.430555555555557</v>
      </c>
      <c r="CB85" s="140">
        <f t="shared" si="137"/>
        <v>39.93333333333333</v>
      </c>
      <c r="CC85" s="17"/>
      <c r="CD85" s="17"/>
      <c r="CE85" s="17"/>
    </row>
    <row r="86" spans="1:115">
      <c r="A86" s="16" t="s">
        <v>43</v>
      </c>
      <c r="B86" s="140">
        <f>IF(B84&lt;0,0,$B$5+$B$6*((1-EXP(-B85/$B$9))/(B85/$B$9))+$B$7*((1-EXP(-B85/$B$9))/(B85/$B$9)-EXP(-B85/$B$9))+$B$8*((1-EXP(-B85/$B$10))/(B85/$B$10)-EXP(-B85/$B$10)))</f>
        <v>-2.4363718775982646E-3</v>
      </c>
      <c r="C86" s="140">
        <f t="shared" ref="C86:BN86" si="138">IF(C84&lt;0,0,$B$5+$B$6*((1-EXP(-C85/$B$9))/(C85/$B$9))+$B$7*((1-EXP(-C85/$B$9))/(C85/$B$9)-EXP(-C85/$B$9))+$B$8*((1-EXP(-C85/$B$10))/(C85/$B$10)-EXP(-C85/$B$10)))</f>
        <v>-2.2246324860165534E-2</v>
      </c>
      <c r="D86" s="140">
        <f t="shared" si="138"/>
        <v>-2.6800110086293932E-2</v>
      </c>
      <c r="E86" s="140">
        <f t="shared" si="138"/>
        <v>-2.4092584798030225E-2</v>
      </c>
      <c r="F86" s="140">
        <f t="shared" si="138"/>
        <v>-1.8403799296154474E-2</v>
      </c>
      <c r="G86" s="140">
        <f t="shared" si="138"/>
        <v>-1.2032574245290042E-2</v>
      </c>
      <c r="H86" s="140">
        <f t="shared" si="138"/>
        <v>-5.8863638061614904E-3</v>
      </c>
      <c r="I86" s="140">
        <f t="shared" si="138"/>
        <v>-5.3245131291786152E-4</v>
      </c>
      <c r="J86" s="140">
        <f t="shared" si="138"/>
        <v>4.0000951141384578E-3</v>
      </c>
      <c r="K86" s="140">
        <f t="shared" si="138"/>
        <v>7.6842173829795857E-3</v>
      </c>
      <c r="L86" s="140">
        <f t="shared" si="138"/>
        <v>1.0662306899073298E-2</v>
      </c>
      <c r="M86" s="140">
        <f t="shared" si="138"/>
        <v>1.2974788530250372E-2</v>
      </c>
      <c r="N86" s="140">
        <f t="shared" si="138"/>
        <v>1.4780019685145779E-2</v>
      </c>
      <c r="O86" s="140">
        <f t="shared" si="138"/>
        <v>1.6133027846342581E-2</v>
      </c>
      <c r="P86" s="140">
        <f t="shared" si="138"/>
        <v>1.7147004555476651E-2</v>
      </c>
      <c r="Q86" s="140">
        <f t="shared" si="138"/>
        <v>1.7868046187095574E-2</v>
      </c>
      <c r="R86" s="140">
        <f t="shared" si="138"/>
        <v>1.8367384626425676E-2</v>
      </c>
      <c r="S86" s="140">
        <f t="shared" si="138"/>
        <v>1.8685461856687083E-2</v>
      </c>
      <c r="T86" s="140">
        <f t="shared" si="138"/>
        <v>1.8864172315308965E-2</v>
      </c>
      <c r="U86" s="140">
        <f t="shared" si="138"/>
        <v>1.8930038435518021E-2</v>
      </c>
      <c r="V86" s="140">
        <f t="shared" si="138"/>
        <v>1.8909579523992658E-2</v>
      </c>
      <c r="W86" s="140">
        <f t="shared" si="138"/>
        <v>1.882323035423817E-2</v>
      </c>
      <c r="X86" s="140">
        <f t="shared" si="138"/>
        <v>1.8685487105777158E-2</v>
      </c>
      <c r="Y86" s="140">
        <f t="shared" si="138"/>
        <v>1.8512504391257838E-2</v>
      </c>
      <c r="Z86" s="140">
        <f t="shared" si="138"/>
        <v>1.8312364764554383E-2</v>
      </c>
      <c r="AA86" s="140">
        <f t="shared" si="138"/>
        <v>1.8095857095890122E-2</v>
      </c>
      <c r="AB86" s="140">
        <f t="shared" si="138"/>
        <v>1.7866258239025185E-2</v>
      </c>
      <c r="AC86" s="140">
        <f t="shared" si="138"/>
        <v>1.7634261946690766E-2</v>
      </c>
      <c r="AD86" s="140">
        <f t="shared" si="138"/>
        <v>1.7399271605985547E-2</v>
      </c>
      <c r="AE86" s="140">
        <f t="shared" si="138"/>
        <v>1.7170098253855664E-2</v>
      </c>
      <c r="AF86" s="140">
        <f t="shared" si="138"/>
        <v>1.6944539635082936E-2</v>
      </c>
      <c r="AG86" s="140">
        <f t="shared" si="138"/>
        <v>1.6729845048971813E-2</v>
      </c>
      <c r="AH86" s="140">
        <f t="shared" si="138"/>
        <v>1.6524114967825975E-2</v>
      </c>
      <c r="AI86" s="140">
        <f t="shared" si="138"/>
        <v>1.6330973205349902E-2</v>
      </c>
      <c r="AJ86" s="140">
        <f t="shared" si="138"/>
        <v>1.6148291775034618E-2</v>
      </c>
      <c r="AK86" s="140">
        <f t="shared" si="138"/>
        <v>1.5980822842324157E-2</v>
      </c>
      <c r="AL86" s="140">
        <f t="shared" si="138"/>
        <v>1.5825310628960313E-2</v>
      </c>
      <c r="AM86" s="140">
        <f t="shared" si="138"/>
        <v>1.5685476832606796E-2</v>
      </c>
      <c r="AN86" s="140">
        <f t="shared" si="138"/>
        <v>1.5558323503959925E-2</v>
      </c>
      <c r="AO86" s="140">
        <f t="shared" si="138"/>
        <v>1.5446654330590306E-2</v>
      </c>
      <c r="AP86" s="140">
        <f t="shared" si="138"/>
        <v>1.534836584596113E-2</v>
      </c>
      <c r="AQ86" s="140">
        <f t="shared" si="138"/>
        <v>1.5264350706282983E-2</v>
      </c>
      <c r="AR86" s="140">
        <f t="shared" si="138"/>
        <v>1.5193042272597285E-2</v>
      </c>
      <c r="AS86" s="140">
        <f t="shared" si="138"/>
        <v>1.513569021334207E-2</v>
      </c>
      <c r="AT86" s="140">
        <f t="shared" si="138"/>
        <v>1.5090637279753003E-2</v>
      </c>
      <c r="AU86" s="140">
        <f t="shared" si="138"/>
        <v>1.5058475171815102E-2</v>
      </c>
      <c r="AV86" s="140">
        <f t="shared" si="138"/>
        <v>1.5038049490593976E-2</v>
      </c>
      <c r="AW86" s="140">
        <f t="shared" si="138"/>
        <v>1.5029364122788769E-2</v>
      </c>
      <c r="AX86" s="140">
        <f t="shared" si="138"/>
        <v>1.5031715133918343E-2</v>
      </c>
      <c r="AY86" s="140">
        <f t="shared" si="138"/>
        <v>1.5044611582156538E-2</v>
      </c>
      <c r="AZ86" s="140">
        <f t="shared" si="138"/>
        <v>1.5067882153446205E-2</v>
      </c>
      <c r="BA86" s="140">
        <f t="shared" si="138"/>
        <v>1.5100542933575056E-2</v>
      </c>
      <c r="BB86" s="140">
        <f t="shared" si="138"/>
        <v>1.5142850447366209E-2</v>
      </c>
      <c r="BC86" s="140">
        <f t="shared" si="138"/>
        <v>1.5193409012336675E-2</v>
      </c>
      <c r="BD86" s="140">
        <f t="shared" si="138"/>
        <v>1.5252888553810996E-2</v>
      </c>
      <c r="BE86" s="140">
        <f t="shared" si="138"/>
        <v>1.5319530661848001E-2</v>
      </c>
      <c r="BF86" s="140">
        <f t="shared" si="138"/>
        <v>1.5393951161492048E-2</v>
      </c>
      <c r="BG86" s="140">
        <f t="shared" si="138"/>
        <v>1.5474902971946647E-2</v>
      </c>
      <c r="BH86" s="140">
        <f t="shared" si="138"/>
        <v>1.5563385850965271E-2</v>
      </c>
      <c r="BI86" s="140">
        <f t="shared" si="138"/>
        <v>1.5657047110784025E-2</v>
      </c>
      <c r="BJ86" s="140">
        <f t="shared" si="138"/>
        <v>1.5757589882009156E-2</v>
      </c>
      <c r="BK86" s="140">
        <f t="shared" si="138"/>
        <v>1.5862421501579925E-2</v>
      </c>
      <c r="BL86" s="140">
        <f t="shared" si="138"/>
        <v>1.5973522067582589E-2</v>
      </c>
      <c r="BM86" s="140">
        <f t="shared" si="138"/>
        <v>1.6088092732894462E-2</v>
      </c>
      <c r="BN86" s="140">
        <f t="shared" si="138"/>
        <v>1.6207682721130691E-2</v>
      </c>
      <c r="BO86" s="140">
        <f t="shared" ref="BO86:CB86" si="139">IF(BO84&lt;0,0,$B$5+$B$6*((1-EXP(-BO85/$B$9))/(BO85/$B$9))+$B$7*((1-EXP(-BO85/$B$9))/(BO85/$B$9)-EXP(-BO85/$B$9))+$B$8*((1-EXP(-BO85/$B$10))/(BO85/$B$10)-EXP(-BO85/$B$10)))</f>
        <v>1.6330648092278521E-2</v>
      </c>
      <c r="BP86" s="140">
        <f t="shared" si="139"/>
        <v>1.6458776337763121E-2</v>
      </c>
      <c r="BQ86" s="140">
        <f t="shared" si="139"/>
        <v>1.6588945569892689E-2</v>
      </c>
      <c r="BR86" s="140">
        <f t="shared" si="139"/>
        <v>1.6723782941619338E-2</v>
      </c>
      <c r="BS86" s="140">
        <f t="shared" si="139"/>
        <v>1.6860043631644339E-2</v>
      </c>
      <c r="BT86" s="140">
        <f t="shared" si="139"/>
        <v>1.7000516023499175E-2</v>
      </c>
      <c r="BU86" s="140">
        <f t="shared" si="139"/>
        <v>1.7141854865022205E-2</v>
      </c>
      <c r="BV86" s="140">
        <f t="shared" si="139"/>
        <v>1.7286178263791658E-2</v>
      </c>
      <c r="BW86" s="140">
        <f t="shared" si="139"/>
        <v>1.7431665443729531E-2</v>
      </c>
      <c r="BX86" s="140">
        <f t="shared" si="139"/>
        <v>1.7580561166839197E-2</v>
      </c>
      <c r="BY86" s="140">
        <f t="shared" si="139"/>
        <v>1.7729377984727263E-2</v>
      </c>
      <c r="BZ86" s="140">
        <f t="shared" si="139"/>
        <v>1.7881251782837705E-2</v>
      </c>
      <c r="CA86" s="140">
        <f t="shared" si="139"/>
        <v>1.8032649120338261E-2</v>
      </c>
      <c r="CB86" s="140">
        <f t="shared" si="139"/>
        <v>1.8186782923457146E-2</v>
      </c>
      <c r="CC86" s="17"/>
      <c r="CD86" s="17"/>
      <c r="CE86" s="17"/>
    </row>
    <row r="87" spans="1:115">
      <c r="A87" s="16" t="s">
        <v>44</v>
      </c>
      <c r="B87" s="140">
        <f>EXP(-B86*B85)</f>
        <v>1.0023375842825339</v>
      </c>
      <c r="C87" s="140">
        <f t="shared" ref="C87:BN87" si="140">EXP(-C86*C85)</f>
        <v>1.0329107233243942</v>
      </c>
      <c r="D87" s="140">
        <f t="shared" si="140"/>
        <v>1.0538852243847265</v>
      </c>
      <c r="E87" s="140">
        <f t="shared" si="140"/>
        <v>1.0609457002759857</v>
      </c>
      <c r="F87" s="140">
        <f t="shared" si="140"/>
        <v>1.0559539463454706</v>
      </c>
      <c r="G87" s="140">
        <f t="shared" si="140"/>
        <v>1.0424557510780572</v>
      </c>
      <c r="H87" s="140">
        <f t="shared" si="140"/>
        <v>1.0235737601072901</v>
      </c>
      <c r="I87" s="140">
        <f t="shared" si="140"/>
        <v>1.0023751826931631</v>
      </c>
      <c r="J87" s="140">
        <f t="shared" si="140"/>
        <v>0.98037248424694756</v>
      </c>
      <c r="K87" s="140">
        <f t="shared" si="140"/>
        <v>0.9589653560921052</v>
      </c>
      <c r="L87" s="140">
        <f t="shared" si="140"/>
        <v>0.93847415581874394</v>
      </c>
      <c r="M87" s="140">
        <f t="shared" si="140"/>
        <v>0.91968558103262854</v>
      </c>
      <c r="N87" s="140">
        <f t="shared" si="140"/>
        <v>0.90230448620113757</v>
      </c>
      <c r="O87" s="140">
        <f t="shared" si="140"/>
        <v>0.88671126220311347</v>
      </c>
      <c r="P87" s="140">
        <f t="shared" si="140"/>
        <v>0.8724813963634146</v>
      </c>
      <c r="Q87" s="140">
        <f t="shared" si="140"/>
        <v>0.8598179280292102</v>
      </c>
      <c r="R87" s="140">
        <f t="shared" si="140"/>
        <v>0.84836941010850331</v>
      </c>
      <c r="S87" s="140">
        <f t="shared" si="140"/>
        <v>0.83813372526233665</v>
      </c>
      <c r="T87" s="140">
        <f t="shared" si="140"/>
        <v>0.82882112842093414</v>
      </c>
      <c r="U87" s="140">
        <f t="shared" si="140"/>
        <v>0.82051843421715764</v>
      </c>
      <c r="V87" s="140">
        <f t="shared" si="140"/>
        <v>0.8129282535068999</v>
      </c>
      <c r="W87" s="140">
        <f t="shared" si="140"/>
        <v>0.80611732096686517</v>
      </c>
      <c r="X87" s="140">
        <f t="shared" si="140"/>
        <v>0.79984007700219251</v>
      </c>
      <c r="Y87" s="140">
        <f t="shared" si="140"/>
        <v>0.79415177812751658</v>
      </c>
      <c r="Z87" s="140">
        <f t="shared" si="140"/>
        <v>0.78887679498987917</v>
      </c>
      <c r="AA87" s="140">
        <f t="shared" si="140"/>
        <v>0.78400568163857409</v>
      </c>
      <c r="AB87" s="140">
        <f t="shared" si="140"/>
        <v>0.77939733729600147</v>
      </c>
      <c r="AC87" s="140">
        <f t="shared" si="140"/>
        <v>0.77509777130078017</v>
      </c>
      <c r="AD87" s="140">
        <f t="shared" si="140"/>
        <v>0.7709597509257009</v>
      </c>
      <c r="AE87" s="140">
        <f t="shared" si="140"/>
        <v>0.76702926491419787</v>
      </c>
      <c r="AF87" s="140">
        <f t="shared" si="140"/>
        <v>0.76317691482253547</v>
      </c>
      <c r="AG87" s="140">
        <f t="shared" si="140"/>
        <v>0.75945099688079276</v>
      </c>
      <c r="AH87" s="140">
        <f t="shared" si="140"/>
        <v>0.75575513680280237</v>
      </c>
      <c r="AI87" s="140">
        <f t="shared" si="140"/>
        <v>0.75210092534330131</v>
      </c>
      <c r="AJ87" s="140">
        <f t="shared" si="140"/>
        <v>0.74840052656422673</v>
      </c>
      <c r="AK87" s="140">
        <f t="shared" si="140"/>
        <v>0.74471223341679438</v>
      </c>
      <c r="AL87" s="140">
        <f t="shared" si="140"/>
        <v>0.74093255462901653</v>
      </c>
      <c r="AM87" s="140">
        <f t="shared" si="140"/>
        <v>0.73712677780407077</v>
      </c>
      <c r="AN87" s="140">
        <f t="shared" si="140"/>
        <v>0.73319371406716394</v>
      </c>
      <c r="AO87" s="140">
        <f t="shared" si="140"/>
        <v>0.72920654085368164</v>
      </c>
      <c r="AP87" s="140">
        <f t="shared" si="140"/>
        <v>0.72508746083146958</v>
      </c>
      <c r="AQ87" s="140">
        <f t="shared" si="140"/>
        <v>0.72087241013098347</v>
      </c>
      <c r="AR87" s="140">
        <f t="shared" si="140"/>
        <v>0.71648148560751612</v>
      </c>
      <c r="AS87" s="140">
        <f>EXP(-AS86*AS85)</f>
        <v>0.71200516417780357</v>
      </c>
      <c r="AT87" s="140">
        <f t="shared" si="140"/>
        <v>0.70733825623468372</v>
      </c>
      <c r="AU87" s="140">
        <f t="shared" si="140"/>
        <v>0.70258017548232776</v>
      </c>
      <c r="AV87" s="140">
        <f t="shared" si="140"/>
        <v>0.69762209041674028</v>
      </c>
      <c r="AW87" s="140">
        <f t="shared" si="140"/>
        <v>0.6925722542466699</v>
      </c>
      <c r="AX87" s="140">
        <f t="shared" si="140"/>
        <v>0.68734699406433963</v>
      </c>
      <c r="AY87" s="140">
        <f t="shared" si="140"/>
        <v>0.68200505958833391</v>
      </c>
      <c r="AZ87" s="140">
        <f t="shared" si="140"/>
        <v>0.67645728387386106</v>
      </c>
      <c r="BA87" s="140">
        <f t="shared" si="140"/>
        <v>0.67082862515631125</v>
      </c>
      <c r="BB87" s="140">
        <f t="shared" si="140"/>
        <v>0.66499641512111796</v>
      </c>
      <c r="BC87" s="140">
        <f t="shared" si="140"/>
        <v>0.65909324372609623</v>
      </c>
      <c r="BD87" s="140">
        <f t="shared" si="140"/>
        <v>0.65299152544143269</v>
      </c>
      <c r="BE87" s="140">
        <f t="shared" si="140"/>
        <v>0.64683086665145118</v>
      </c>
      <c r="BF87" s="140">
        <f t="shared" si="140"/>
        <v>0.64051429318723607</v>
      </c>
      <c r="BG87" s="140">
        <f t="shared" si="140"/>
        <v>0.63411752991161041</v>
      </c>
      <c r="BH87" s="140">
        <f t="shared" si="140"/>
        <v>0.62753835914880207</v>
      </c>
      <c r="BI87" s="140">
        <f t="shared" si="140"/>
        <v>0.62092832304639312</v>
      </c>
      <c r="BJ87" s="140">
        <f t="shared" si="140"/>
        <v>0.6141461667829905</v>
      </c>
      <c r="BK87" s="140">
        <f t="shared" si="140"/>
        <v>0.60734830125712702</v>
      </c>
      <c r="BL87" s="140">
        <f t="shared" si="140"/>
        <v>0.60038957278890015</v>
      </c>
      <c r="BM87" s="140">
        <f t="shared" si="140"/>
        <v>0.59343050609869452</v>
      </c>
      <c r="BN87" s="140">
        <f t="shared" si="140"/>
        <v>0.58636193769051614</v>
      </c>
      <c r="BO87" s="140">
        <f t="shared" ref="BO87:CA87" si="141">EXP(-BO86*BO85)</f>
        <v>0.57926918186341925</v>
      </c>
      <c r="BP87" s="140">
        <f t="shared" si="141"/>
        <v>0.57203971250772523</v>
      </c>
      <c r="BQ87" s="140">
        <f t="shared" si="141"/>
        <v>0.5648400459353029</v>
      </c>
      <c r="BR87" s="140">
        <f t="shared" si="141"/>
        <v>0.55751607663704683</v>
      </c>
      <c r="BS87" s="140">
        <f t="shared" si="141"/>
        <v>0.55023625083345173</v>
      </c>
      <c r="BT87" s="140">
        <f t="shared" si="141"/>
        <v>0.54284446704997513</v>
      </c>
      <c r="BU87" s="140">
        <f t="shared" si="141"/>
        <v>0.53551042995226017</v>
      </c>
      <c r="BV87" s="140">
        <f t="shared" si="141"/>
        <v>0.52811765752634632</v>
      </c>
      <c r="BW87" s="140">
        <f t="shared" si="141"/>
        <v>0.52075431027791919</v>
      </c>
      <c r="BX87" s="140">
        <f t="shared" si="141"/>
        <v>0.51330283470046223</v>
      </c>
      <c r="BY87" s="140">
        <f t="shared" si="141"/>
        <v>0.50593359898530066</v>
      </c>
      <c r="BZ87" s="140">
        <f t="shared" si="141"/>
        <v>0.49848751447698869</v>
      </c>
      <c r="CA87" s="140">
        <f t="shared" si="141"/>
        <v>0.49113444351604524</v>
      </c>
      <c r="CB87" s="140">
        <f>EXP(-CB86*CB85)</f>
        <v>0.48371525343452831</v>
      </c>
      <c r="CC87" s="17"/>
      <c r="CD87" s="17"/>
      <c r="CE87" s="17"/>
    </row>
    <row r="88" spans="1:115" s="6" customFormat="1">
      <c r="A88" s="130"/>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19"/>
      <c r="CD88" s="19"/>
      <c r="CE88" s="19"/>
    </row>
    <row r="89" spans="1:115">
      <c r="A89" s="16" t="s">
        <v>40</v>
      </c>
      <c r="B89" s="140">
        <f t="shared" ref="B89:BM89" si="142">DAYS360($B$3,B32)</f>
        <v>103</v>
      </c>
      <c r="C89" s="140">
        <f t="shared" si="142"/>
        <v>282</v>
      </c>
      <c r="D89" s="140">
        <f t="shared" si="142"/>
        <v>462</v>
      </c>
      <c r="E89" s="140">
        <f t="shared" si="142"/>
        <v>642</v>
      </c>
      <c r="F89" s="140">
        <f t="shared" si="142"/>
        <v>822</v>
      </c>
      <c r="G89" s="140">
        <f t="shared" si="142"/>
        <v>1002</v>
      </c>
      <c r="H89" s="140">
        <f t="shared" si="142"/>
        <v>1182</v>
      </c>
      <c r="I89" s="140">
        <f t="shared" si="142"/>
        <v>1362</v>
      </c>
      <c r="J89" s="140">
        <f t="shared" si="142"/>
        <v>1542</v>
      </c>
      <c r="K89" s="140">
        <f t="shared" si="142"/>
        <v>1721</v>
      </c>
      <c r="L89" s="140">
        <f t="shared" si="142"/>
        <v>1901</v>
      </c>
      <c r="M89" s="140">
        <f t="shared" si="142"/>
        <v>2081</v>
      </c>
      <c r="N89" s="140">
        <f t="shared" si="142"/>
        <v>2261</v>
      </c>
      <c r="O89" s="140">
        <f t="shared" si="142"/>
        <v>2441</v>
      </c>
      <c r="P89" s="140">
        <f t="shared" si="142"/>
        <v>2621</v>
      </c>
      <c r="Q89" s="140">
        <f t="shared" si="142"/>
        <v>2801</v>
      </c>
      <c r="R89" s="140">
        <f t="shared" si="142"/>
        <v>2981</v>
      </c>
      <c r="S89" s="140">
        <f t="shared" si="142"/>
        <v>3160</v>
      </c>
      <c r="T89" s="140">
        <f t="shared" si="142"/>
        <v>3340</v>
      </c>
      <c r="U89" s="140">
        <f t="shared" si="142"/>
        <v>3520</v>
      </c>
      <c r="V89" s="140">
        <f t="shared" si="142"/>
        <v>3700</v>
      </c>
      <c r="W89" s="140">
        <f t="shared" si="142"/>
        <v>3880</v>
      </c>
      <c r="X89" s="140">
        <f t="shared" si="142"/>
        <v>4060</v>
      </c>
      <c r="Y89" s="140">
        <f t="shared" si="142"/>
        <v>4240</v>
      </c>
      <c r="Z89" s="140">
        <f t="shared" si="142"/>
        <v>4420</v>
      </c>
      <c r="AA89" s="140">
        <f t="shared" si="142"/>
        <v>4599</v>
      </c>
      <c r="AB89" s="140">
        <f t="shared" si="142"/>
        <v>4779</v>
      </c>
      <c r="AC89" s="140">
        <f t="shared" si="142"/>
        <v>4959</v>
      </c>
      <c r="AD89" s="140">
        <f t="shared" si="142"/>
        <v>5139</v>
      </c>
      <c r="AE89" s="140">
        <f t="shared" si="142"/>
        <v>5319</v>
      </c>
      <c r="AF89" s="140">
        <f t="shared" si="142"/>
        <v>5499</v>
      </c>
      <c r="AG89" s="140">
        <f t="shared" si="142"/>
        <v>5679</v>
      </c>
      <c r="AH89" s="140">
        <f t="shared" si="142"/>
        <v>5859</v>
      </c>
      <c r="AI89" s="140">
        <f t="shared" si="142"/>
        <v>6038</v>
      </c>
      <c r="AJ89" s="140">
        <f t="shared" si="142"/>
        <v>6218</v>
      </c>
      <c r="AK89" s="140">
        <f t="shared" si="142"/>
        <v>6398</v>
      </c>
      <c r="AL89" s="140">
        <f t="shared" si="142"/>
        <v>6578</v>
      </c>
      <c r="AM89" s="140">
        <f t="shared" si="142"/>
        <v>6758</v>
      </c>
      <c r="AN89" s="140">
        <f t="shared" si="142"/>
        <v>6938</v>
      </c>
      <c r="AO89" s="140">
        <f t="shared" si="142"/>
        <v>7118</v>
      </c>
      <c r="AP89" s="140">
        <f t="shared" si="142"/>
        <v>7298</v>
      </c>
      <c r="AQ89" s="140">
        <f t="shared" si="142"/>
        <v>7477</v>
      </c>
      <c r="AR89" s="140">
        <f t="shared" si="142"/>
        <v>7657</v>
      </c>
      <c r="AS89" s="140">
        <f t="shared" si="142"/>
        <v>7837</v>
      </c>
      <c r="AT89" s="140">
        <f t="shared" si="142"/>
        <v>8017</v>
      </c>
      <c r="AU89" s="140">
        <f t="shared" si="142"/>
        <v>8197</v>
      </c>
      <c r="AV89" s="140">
        <f t="shared" si="142"/>
        <v>8377</v>
      </c>
      <c r="AW89" s="140">
        <f t="shared" si="142"/>
        <v>8557</v>
      </c>
      <c r="AX89" s="140">
        <f t="shared" si="142"/>
        <v>8737</v>
      </c>
      <c r="AY89" s="140">
        <f t="shared" si="142"/>
        <v>8916</v>
      </c>
      <c r="AZ89" s="140">
        <f t="shared" si="142"/>
        <v>9096</v>
      </c>
      <c r="BA89" s="140">
        <f t="shared" si="142"/>
        <v>9276</v>
      </c>
      <c r="BB89" s="140">
        <f t="shared" si="142"/>
        <v>9456</v>
      </c>
      <c r="BC89" s="140">
        <f t="shared" si="142"/>
        <v>9636</v>
      </c>
      <c r="BD89" s="140">
        <f t="shared" si="142"/>
        <v>9816</v>
      </c>
      <c r="BE89" s="140">
        <f t="shared" si="142"/>
        <v>9996</v>
      </c>
      <c r="BF89" s="140">
        <f t="shared" si="142"/>
        <v>10176</v>
      </c>
      <c r="BG89" s="140">
        <f t="shared" si="142"/>
        <v>10355</v>
      </c>
      <c r="BH89" s="140">
        <f t="shared" si="142"/>
        <v>10535</v>
      </c>
      <c r="BI89" s="140">
        <f t="shared" si="142"/>
        <v>10715</v>
      </c>
      <c r="BJ89" s="140">
        <f t="shared" si="142"/>
        <v>10895</v>
      </c>
      <c r="BK89" s="140">
        <f t="shared" si="142"/>
        <v>11075</v>
      </c>
      <c r="BL89" s="140">
        <f t="shared" si="142"/>
        <v>11255</v>
      </c>
      <c r="BM89" s="140">
        <f t="shared" si="142"/>
        <v>11435</v>
      </c>
      <c r="BN89" s="140">
        <f t="shared" ref="BN89:CB89" si="143">DAYS360($B$3,BN32)</f>
        <v>11615</v>
      </c>
      <c r="BO89" s="140">
        <f t="shared" si="143"/>
        <v>11794</v>
      </c>
      <c r="BP89" s="140">
        <f t="shared" si="143"/>
        <v>11974</v>
      </c>
      <c r="BQ89" s="140">
        <f t="shared" si="143"/>
        <v>12154</v>
      </c>
      <c r="BR89" s="140">
        <f t="shared" si="143"/>
        <v>12334</v>
      </c>
      <c r="BS89" s="140">
        <f t="shared" si="143"/>
        <v>12514</v>
      </c>
      <c r="BT89" s="140">
        <f t="shared" si="143"/>
        <v>12694</v>
      </c>
      <c r="BU89" s="140">
        <f t="shared" si="143"/>
        <v>12874</v>
      </c>
      <c r="BV89" s="140">
        <f t="shared" si="143"/>
        <v>13054</v>
      </c>
      <c r="BW89" s="140">
        <f t="shared" si="143"/>
        <v>13233</v>
      </c>
      <c r="BX89" s="140">
        <f t="shared" si="143"/>
        <v>13413</v>
      </c>
      <c r="BY89" s="140">
        <f t="shared" si="143"/>
        <v>13593</v>
      </c>
      <c r="BZ89" s="140">
        <f t="shared" si="143"/>
        <v>13773</v>
      </c>
      <c r="CA89" s="140">
        <f t="shared" si="143"/>
        <v>13953</v>
      </c>
      <c r="CB89" s="140">
        <f t="shared" si="143"/>
        <v>14133</v>
      </c>
      <c r="CC89" s="17"/>
      <c r="CD89" s="17"/>
      <c r="CE89" s="17"/>
    </row>
    <row r="90" spans="1:115">
      <c r="A90" s="16" t="s">
        <v>41</v>
      </c>
      <c r="B90" s="140">
        <f>B89/360</f>
        <v>0.28611111111111109</v>
      </c>
      <c r="C90" s="140">
        <f t="shared" ref="C90:BN90" si="144">C89/360</f>
        <v>0.78333333333333333</v>
      </c>
      <c r="D90" s="140">
        <f t="shared" si="144"/>
        <v>1.2833333333333334</v>
      </c>
      <c r="E90" s="140">
        <f t="shared" si="144"/>
        <v>1.7833333333333334</v>
      </c>
      <c r="F90" s="140">
        <f t="shared" si="144"/>
        <v>2.2833333333333332</v>
      </c>
      <c r="G90" s="140">
        <f t="shared" si="144"/>
        <v>2.7833333333333332</v>
      </c>
      <c r="H90" s="140">
        <f t="shared" si="144"/>
        <v>3.2833333333333332</v>
      </c>
      <c r="I90" s="140">
        <f t="shared" si="144"/>
        <v>3.7833333333333332</v>
      </c>
      <c r="J90" s="140">
        <f t="shared" si="144"/>
        <v>4.2833333333333332</v>
      </c>
      <c r="K90" s="140">
        <f t="shared" si="144"/>
        <v>4.7805555555555559</v>
      </c>
      <c r="L90" s="140">
        <f t="shared" si="144"/>
        <v>5.2805555555555559</v>
      </c>
      <c r="M90" s="140">
        <f t="shared" si="144"/>
        <v>5.7805555555555559</v>
      </c>
      <c r="N90" s="140">
        <f t="shared" si="144"/>
        <v>6.2805555555555559</v>
      </c>
      <c r="O90" s="140">
        <f t="shared" si="144"/>
        <v>6.7805555555555559</v>
      </c>
      <c r="P90" s="140">
        <f t="shared" si="144"/>
        <v>7.2805555555555559</v>
      </c>
      <c r="Q90" s="140">
        <f t="shared" si="144"/>
        <v>7.7805555555555559</v>
      </c>
      <c r="R90" s="140">
        <f t="shared" si="144"/>
        <v>8.280555555555555</v>
      </c>
      <c r="S90" s="140">
        <f t="shared" si="144"/>
        <v>8.7777777777777786</v>
      </c>
      <c r="T90" s="140">
        <f t="shared" si="144"/>
        <v>9.2777777777777786</v>
      </c>
      <c r="U90" s="140">
        <f t="shared" si="144"/>
        <v>9.7777777777777786</v>
      </c>
      <c r="V90" s="140">
        <f t="shared" si="144"/>
        <v>10.277777777777779</v>
      </c>
      <c r="W90" s="140">
        <f t="shared" si="144"/>
        <v>10.777777777777779</v>
      </c>
      <c r="X90" s="140">
        <f t="shared" si="144"/>
        <v>11.277777777777779</v>
      </c>
      <c r="Y90" s="140">
        <f t="shared" si="144"/>
        <v>11.777777777777779</v>
      </c>
      <c r="Z90" s="140">
        <f t="shared" si="144"/>
        <v>12.277777777777779</v>
      </c>
      <c r="AA90" s="140">
        <f t="shared" si="144"/>
        <v>12.775</v>
      </c>
      <c r="AB90" s="140">
        <f t="shared" si="144"/>
        <v>13.275</v>
      </c>
      <c r="AC90" s="140">
        <f t="shared" si="144"/>
        <v>13.775</v>
      </c>
      <c r="AD90" s="140">
        <f t="shared" si="144"/>
        <v>14.275</v>
      </c>
      <c r="AE90" s="140">
        <f t="shared" si="144"/>
        <v>14.775</v>
      </c>
      <c r="AF90" s="140">
        <f t="shared" si="144"/>
        <v>15.275</v>
      </c>
      <c r="AG90" s="140">
        <f t="shared" si="144"/>
        <v>15.775</v>
      </c>
      <c r="AH90" s="140">
        <f t="shared" si="144"/>
        <v>16.274999999999999</v>
      </c>
      <c r="AI90" s="140">
        <f t="shared" si="144"/>
        <v>16.772222222222222</v>
      </c>
      <c r="AJ90" s="140">
        <f t="shared" si="144"/>
        <v>17.272222222222222</v>
      </c>
      <c r="AK90" s="140">
        <f t="shared" si="144"/>
        <v>17.772222222222222</v>
      </c>
      <c r="AL90" s="140">
        <f t="shared" si="144"/>
        <v>18.272222222222222</v>
      </c>
      <c r="AM90" s="140">
        <f t="shared" si="144"/>
        <v>18.772222222222222</v>
      </c>
      <c r="AN90" s="140">
        <f t="shared" si="144"/>
        <v>19.272222222222222</v>
      </c>
      <c r="AO90" s="140">
        <f t="shared" si="144"/>
        <v>19.772222222222222</v>
      </c>
      <c r="AP90" s="140">
        <f t="shared" si="144"/>
        <v>20.272222222222222</v>
      </c>
      <c r="AQ90" s="140">
        <f t="shared" si="144"/>
        <v>20.769444444444446</v>
      </c>
      <c r="AR90" s="140">
        <f t="shared" si="144"/>
        <v>21.269444444444446</v>
      </c>
      <c r="AS90" s="140">
        <f t="shared" si="144"/>
        <v>21.769444444444446</v>
      </c>
      <c r="AT90" s="140">
        <f t="shared" si="144"/>
        <v>22.269444444444446</v>
      </c>
      <c r="AU90" s="140">
        <f t="shared" si="144"/>
        <v>22.769444444444446</v>
      </c>
      <c r="AV90" s="140">
        <f t="shared" si="144"/>
        <v>23.269444444444446</v>
      </c>
      <c r="AW90" s="140">
        <f t="shared" si="144"/>
        <v>23.769444444444446</v>
      </c>
      <c r="AX90" s="140">
        <f t="shared" si="144"/>
        <v>24.269444444444446</v>
      </c>
      <c r="AY90" s="140">
        <f t="shared" si="144"/>
        <v>24.766666666666666</v>
      </c>
      <c r="AZ90" s="140">
        <f t="shared" si="144"/>
        <v>25.266666666666666</v>
      </c>
      <c r="BA90" s="140">
        <f t="shared" si="144"/>
        <v>25.766666666666666</v>
      </c>
      <c r="BB90" s="140">
        <f t="shared" si="144"/>
        <v>26.266666666666666</v>
      </c>
      <c r="BC90" s="140">
        <f t="shared" si="144"/>
        <v>26.766666666666666</v>
      </c>
      <c r="BD90" s="140">
        <f t="shared" si="144"/>
        <v>27.266666666666666</v>
      </c>
      <c r="BE90" s="140">
        <f t="shared" si="144"/>
        <v>27.766666666666666</v>
      </c>
      <c r="BF90" s="140">
        <f t="shared" si="144"/>
        <v>28.266666666666666</v>
      </c>
      <c r="BG90" s="140">
        <f t="shared" si="144"/>
        <v>28.763888888888889</v>
      </c>
      <c r="BH90" s="140">
        <f t="shared" si="144"/>
        <v>29.263888888888889</v>
      </c>
      <c r="BI90" s="140">
        <f t="shared" si="144"/>
        <v>29.763888888888889</v>
      </c>
      <c r="BJ90" s="140">
        <f t="shared" si="144"/>
        <v>30.263888888888889</v>
      </c>
      <c r="BK90" s="140">
        <f t="shared" si="144"/>
        <v>30.763888888888889</v>
      </c>
      <c r="BL90" s="140">
        <f t="shared" si="144"/>
        <v>31.263888888888889</v>
      </c>
      <c r="BM90" s="140">
        <f t="shared" si="144"/>
        <v>31.763888888888889</v>
      </c>
      <c r="BN90" s="140">
        <f t="shared" si="144"/>
        <v>32.263888888888886</v>
      </c>
      <c r="BO90" s="140">
        <f t="shared" ref="BO90:CB90" si="145">BO89/360</f>
        <v>32.761111111111113</v>
      </c>
      <c r="BP90" s="140">
        <f t="shared" si="145"/>
        <v>33.261111111111113</v>
      </c>
      <c r="BQ90" s="140">
        <f t="shared" si="145"/>
        <v>33.761111111111113</v>
      </c>
      <c r="BR90" s="140">
        <f t="shared" si="145"/>
        <v>34.261111111111113</v>
      </c>
      <c r="BS90" s="140">
        <f t="shared" si="145"/>
        <v>34.761111111111113</v>
      </c>
      <c r="BT90" s="140">
        <f t="shared" si="145"/>
        <v>35.261111111111113</v>
      </c>
      <c r="BU90" s="140">
        <f t="shared" si="145"/>
        <v>35.761111111111113</v>
      </c>
      <c r="BV90" s="140">
        <f t="shared" si="145"/>
        <v>36.261111111111113</v>
      </c>
      <c r="BW90" s="140">
        <f t="shared" si="145"/>
        <v>36.758333333333333</v>
      </c>
      <c r="BX90" s="140">
        <f t="shared" si="145"/>
        <v>37.258333333333333</v>
      </c>
      <c r="BY90" s="140">
        <f t="shared" si="145"/>
        <v>37.758333333333333</v>
      </c>
      <c r="BZ90" s="140">
        <f t="shared" si="145"/>
        <v>38.258333333333333</v>
      </c>
      <c r="CA90" s="140">
        <f t="shared" si="145"/>
        <v>38.758333333333333</v>
      </c>
      <c r="CB90" s="140">
        <f t="shared" si="145"/>
        <v>39.258333333333333</v>
      </c>
      <c r="CC90" s="17"/>
      <c r="CD90" s="17"/>
      <c r="CE90" s="17"/>
    </row>
    <row r="91" spans="1:115">
      <c r="A91" s="16" t="s">
        <v>43</v>
      </c>
      <c r="B91" s="140">
        <f>IF(B89&lt;0,0,$B$5+$B$6*((1-EXP(-B90/$B$9))/(B90/$B$9))+$B$7*((1-EXP(-B90/$B$9))/(B90/$B$9)-EXP(-B90/$B$9))+$B$8*((1-EXP(-B90/$B$10))/(B90/$B$10)-EXP(-B90/$B$10)))</f>
        <v>7.6631998865423753E-2</v>
      </c>
      <c r="C91" s="140">
        <f t="shared" ref="C91:BN91" si="146">IF(C89&lt;0,0,$B$5+$B$6*((1-EXP(-C90/$B$9))/(C90/$B$9))+$B$7*((1-EXP(-C90/$B$9))/(C90/$B$9)-EXP(-C90/$B$9))+$B$8*((1-EXP(-C90/$B$10))/(C90/$B$10)-EXP(-C90/$B$10)))</f>
        <v>1.0634545624409728E-2</v>
      </c>
      <c r="D91" s="140">
        <f t="shared" si="146"/>
        <v>-1.7682837370615878E-2</v>
      </c>
      <c r="E91" s="140">
        <f t="shared" si="146"/>
        <v>-2.636163371305808E-2</v>
      </c>
      <c r="F91" s="140">
        <f t="shared" si="146"/>
        <v>-2.5519026772739373E-2</v>
      </c>
      <c r="G91" s="140">
        <f t="shared" si="146"/>
        <v>-2.0550823197446139E-2</v>
      </c>
      <c r="H91" s="140">
        <f t="shared" si="146"/>
        <v>-1.4242280377187735E-2</v>
      </c>
      <c r="I91" s="140">
        <f t="shared" si="146"/>
        <v>-7.9556705083017876E-3</v>
      </c>
      <c r="J91" s="140">
        <f t="shared" si="146"/>
        <v>-2.2933579573947149E-3</v>
      </c>
      <c r="K91" s="140">
        <f t="shared" si="146"/>
        <v>2.511274978182404E-3</v>
      </c>
      <c r="L91" s="140">
        <f t="shared" si="146"/>
        <v>6.4964363585520574E-3</v>
      </c>
      <c r="M91" s="140">
        <f t="shared" si="146"/>
        <v>9.7043444985404764E-3</v>
      </c>
      <c r="N91" s="140">
        <f t="shared" si="146"/>
        <v>1.2238338344707514E-2</v>
      </c>
      <c r="O91" s="140">
        <f t="shared" si="146"/>
        <v>1.4206195201624278E-2</v>
      </c>
      <c r="P91" s="140">
        <f t="shared" si="146"/>
        <v>1.5707676774880774E-2</v>
      </c>
      <c r="Q91" s="140">
        <f t="shared" si="146"/>
        <v>1.6829851166217685E-2</v>
      </c>
      <c r="R91" s="140">
        <f t="shared" si="146"/>
        <v>1.7646263318298862E-2</v>
      </c>
      <c r="S91" s="140">
        <f t="shared" si="146"/>
        <v>1.8215263461495455E-2</v>
      </c>
      <c r="T91" s="140">
        <f t="shared" si="146"/>
        <v>1.8592944439484047E-2</v>
      </c>
      <c r="U91" s="140">
        <f t="shared" si="146"/>
        <v>1.8816201806539132E-2</v>
      </c>
      <c r="V91" s="140">
        <f t="shared" si="146"/>
        <v>1.8918060562176042E-2</v>
      </c>
      <c r="W91" s="140">
        <f t="shared" si="146"/>
        <v>1.8925273644911152E-2</v>
      </c>
      <c r="X91" s="140">
        <f t="shared" si="146"/>
        <v>1.8859503417940002E-2</v>
      </c>
      <c r="Y91" s="140">
        <f t="shared" si="146"/>
        <v>1.8738292397569245E-2</v>
      </c>
      <c r="Z91" s="140">
        <f t="shared" si="146"/>
        <v>1.857585076288315E-2</v>
      </c>
      <c r="AA91" s="140">
        <f t="shared" si="146"/>
        <v>1.8384822451629382E-2</v>
      </c>
      <c r="AB91" s="140">
        <f t="shared" si="146"/>
        <v>1.8172359143539582E-2</v>
      </c>
      <c r="AC91" s="140">
        <f t="shared" si="146"/>
        <v>1.7947008480216867E-2</v>
      </c>
      <c r="AD91" s="140">
        <f t="shared" si="146"/>
        <v>1.7714871630849185E-2</v>
      </c>
      <c r="AE91" s="140">
        <f t="shared" si="146"/>
        <v>1.7480862384215312E-2</v>
      </c>
      <c r="AF91" s="140">
        <f t="shared" si="146"/>
        <v>1.7248921202756753E-2</v>
      </c>
      <c r="AG91" s="140">
        <f t="shared" si="146"/>
        <v>1.702218874372944E-2</v>
      </c>
      <c r="AH91" s="140">
        <f t="shared" si="146"/>
        <v>1.6803147050548906E-2</v>
      </c>
      <c r="AI91" s="140">
        <f t="shared" si="146"/>
        <v>1.6594868758650815E-2</v>
      </c>
      <c r="AJ91" s="140">
        <f t="shared" si="146"/>
        <v>1.6396510952276781E-2</v>
      </c>
      <c r="AK91" s="140">
        <f t="shared" si="146"/>
        <v>1.621038647544177E-2</v>
      </c>
      <c r="AL91" s="140">
        <f t="shared" si="146"/>
        <v>1.6037309310921167E-2</v>
      </c>
      <c r="AM91" s="140">
        <f t="shared" si="146"/>
        <v>1.5877839737836331E-2</v>
      </c>
      <c r="AN91" s="140">
        <f t="shared" si="146"/>
        <v>1.5732328608422514E-2</v>
      </c>
      <c r="AO91" s="140">
        <f t="shared" si="146"/>
        <v>1.560095423680722E-2</v>
      </c>
      <c r="AP91" s="140">
        <f t="shared" si="146"/>
        <v>1.5483753205721307E-2</v>
      </c>
      <c r="AQ91" s="140">
        <f t="shared" si="146"/>
        <v>1.5381180312256704E-2</v>
      </c>
      <c r="AR91" s="140">
        <f t="shared" si="146"/>
        <v>1.5291916810548579E-2</v>
      </c>
      <c r="AS91" s="140">
        <f t="shared" si="146"/>
        <v>1.5216325237648043E-2</v>
      </c>
      <c r="AT91" s="140">
        <f t="shared" si="146"/>
        <v>1.5154095036251775E-2</v>
      </c>
      <c r="AU91" s="140">
        <f t="shared" si="146"/>
        <v>1.5104867449287018E-2</v>
      </c>
      <c r="AV91" s="140">
        <f t="shared" si="146"/>
        <v>1.5068246311440953E-2</v>
      </c>
      <c r="AW91" s="140">
        <f t="shared" si="146"/>
        <v>1.5043807123853788E-2</v>
      </c>
      <c r="AX91" s="140">
        <f t="shared" si="146"/>
        <v>1.5031104680163346E-2</v>
      </c>
      <c r="AY91" s="140">
        <f t="shared" si="146"/>
        <v>1.5029657091394324E-2</v>
      </c>
      <c r="AZ91" s="140">
        <f t="shared" si="146"/>
        <v>1.5038981910039731E-2</v>
      </c>
      <c r="BA91" s="140">
        <f t="shared" si="146"/>
        <v>1.5058645222171631E-2</v>
      </c>
      <c r="BB91" s="140">
        <f t="shared" si="146"/>
        <v>1.5088173384033593E-2</v>
      </c>
      <c r="BC91" s="140">
        <f t="shared" si="146"/>
        <v>1.5127095111708871E-2</v>
      </c>
      <c r="BD91" s="140">
        <f t="shared" si="146"/>
        <v>1.5174944041801433E-2</v>
      </c>
      <c r="BE91" s="140">
        <f t="shared" si="146"/>
        <v>1.5231260830473801E-2</v>
      </c>
      <c r="BF91" s="140">
        <f t="shared" si="146"/>
        <v>1.5295594859118064E-2</v>
      </c>
      <c r="BG91" s="140">
        <f t="shared" si="146"/>
        <v>1.5367085965037948E-2</v>
      </c>
      <c r="BH91" s="140">
        <f t="shared" si="146"/>
        <v>1.5446105542013953E-2</v>
      </c>
      <c r="BI91" s="140">
        <f t="shared" si="146"/>
        <v>1.5531857457501713E-2</v>
      </c>
      <c r="BJ91" s="140">
        <f t="shared" si="146"/>
        <v>1.5623936976635422E-2</v>
      </c>
      <c r="BK91" s="140">
        <f t="shared" si="146"/>
        <v>1.5721952478469588E-2</v>
      </c>
      <c r="BL91" s="140">
        <f t="shared" si="146"/>
        <v>1.5825525766682991E-2</v>
      </c>
      <c r="BM91" s="140">
        <f t="shared" si="146"/>
        <v>1.5934292254018878E-2</v>
      </c>
      <c r="BN91" s="140">
        <f t="shared" si="146"/>
        <v>1.6047901040190098E-2</v>
      </c>
      <c r="BO91" s="140">
        <f t="shared" ref="BO91:CB91" si="147">IF(BO89&lt;0,0,$B$5+$B$6*((1-EXP(-BO90/$B$9))/(BO90/$B$9))+$B$7*((1-EXP(-BO90/$B$9))/(BO90/$B$9)-EXP(-BO90/$B$9))+$B$8*((1-EXP(-BO90/$B$10))/(BO90/$B$10)-EXP(-BO90/$B$10)))</f>
        <v>1.6165346868115708E-2</v>
      </c>
      <c r="BP91" s="140">
        <f t="shared" si="147"/>
        <v>1.628761980473898E-2</v>
      </c>
      <c r="BQ91" s="140">
        <f t="shared" si="147"/>
        <v>1.6413765668870976E-2</v>
      </c>
      <c r="BR91" s="140">
        <f t="shared" si="147"/>
        <v>1.6543487430113586E-2</v>
      </c>
      <c r="BS91" s="140">
        <f t="shared" si="147"/>
        <v>1.6676501055823634E-2</v>
      </c>
      <c r="BT91" s="140">
        <f t="shared" si="147"/>
        <v>1.6812535234243371E-2</v>
      </c>
      <c r="BU91" s="140">
        <f t="shared" si="147"/>
        <v>1.6951331070264461E-2</v>
      </c>
      <c r="BV91" s="140">
        <f t="shared" si="147"/>
        <v>1.7092641759754924E-2</v>
      </c>
      <c r="BW91" s="140">
        <f t="shared" si="147"/>
        <v>1.7235428640917053E-2</v>
      </c>
      <c r="BX91" s="140">
        <f t="shared" si="147"/>
        <v>1.7381064441174595E-2</v>
      </c>
      <c r="BY91" s="140">
        <f t="shared" si="147"/>
        <v>1.7528544903417743E-2</v>
      </c>
      <c r="BZ91" s="140">
        <f t="shared" si="147"/>
        <v>1.7677668007222092E-2</v>
      </c>
      <c r="CA91" s="140">
        <f t="shared" si="147"/>
        <v>1.782824202986584E-2</v>
      </c>
      <c r="CB91" s="140">
        <f t="shared" si="147"/>
        <v>1.7980085176552876E-2</v>
      </c>
      <c r="CC91" s="17"/>
      <c r="CD91" s="17"/>
      <c r="CE91" s="17"/>
    </row>
    <row r="92" spans="1:115">
      <c r="A92" s="16" t="s">
        <v>44</v>
      </c>
      <c r="B92" s="140">
        <f>EXP(-B91*B90)</f>
        <v>0.97831334525419</v>
      </c>
      <c r="C92" s="140">
        <f t="shared" ref="C92:AR92" si="148">EXP(-C91*C90)</f>
        <v>0.99170420751197286</v>
      </c>
      <c r="D92" s="140">
        <f t="shared" si="148"/>
        <v>1.0229524189787864</v>
      </c>
      <c r="E92" s="140">
        <f t="shared" si="148"/>
        <v>1.04813414653027</v>
      </c>
      <c r="F92" s="140">
        <f t="shared" si="148"/>
        <v>1.0599995085209866</v>
      </c>
      <c r="G92" s="140">
        <f t="shared" si="148"/>
        <v>1.0588673416754111</v>
      </c>
      <c r="H92" s="140">
        <f t="shared" si="148"/>
        <v>1.0478727469969986</v>
      </c>
      <c r="I92" s="140">
        <f t="shared" si="148"/>
        <v>1.0305565060021333</v>
      </c>
      <c r="J92" s="140">
        <f t="shared" si="148"/>
        <v>1.0098716227477791</v>
      </c>
      <c r="K92" s="140">
        <f t="shared" si="148"/>
        <v>0.98806648642252881</v>
      </c>
      <c r="L92" s="140">
        <f t="shared" si="148"/>
        <v>0.9662769452000437</v>
      </c>
      <c r="M92" s="140">
        <f t="shared" si="148"/>
        <v>0.94544789339872837</v>
      </c>
      <c r="N92" s="140">
        <f t="shared" si="148"/>
        <v>0.92601618704219346</v>
      </c>
      <c r="O92" s="140">
        <f t="shared" si="148"/>
        <v>0.90816799970139073</v>
      </c>
      <c r="P92" s="140">
        <f t="shared" si="148"/>
        <v>0.89193625370846286</v>
      </c>
      <c r="Q92" s="140">
        <f t="shared" si="148"/>
        <v>0.87726550336246401</v>
      </c>
      <c r="R92" s="140">
        <f t="shared" si="148"/>
        <v>0.86405326415118033</v>
      </c>
      <c r="S92" s="140">
        <f t="shared" si="148"/>
        <v>0.85223792637520357</v>
      </c>
      <c r="T92" s="140">
        <f t="shared" si="148"/>
        <v>0.84155727326688445</v>
      </c>
      <c r="U92" s="140">
        <f t="shared" si="148"/>
        <v>0.8319519103544526</v>
      </c>
      <c r="V92" s="140">
        <f t="shared" si="148"/>
        <v>0.82329917853897838</v>
      </c>
      <c r="W92" s="140">
        <f t="shared" si="148"/>
        <v>0.81548488337365777</v>
      </c>
      <c r="X92" s="140">
        <f t="shared" si="148"/>
        <v>0.80840404597605708</v>
      </c>
      <c r="Y92" s="140">
        <f t="shared" si="148"/>
        <v>0.80196088526614029</v>
      </c>
      <c r="Z92" s="140">
        <f t="shared" si="148"/>
        <v>0.79606839958716724</v>
      </c>
      <c r="AA92" s="140">
        <f t="shared" si="148"/>
        <v>0.79067670876090101</v>
      </c>
      <c r="AB92" s="140">
        <f t="shared" si="148"/>
        <v>0.78565456520190258</v>
      </c>
      <c r="AC92" s="140">
        <f t="shared" si="148"/>
        <v>0.78096882882481578</v>
      </c>
      <c r="AD92" s="140">
        <f t="shared" si="148"/>
        <v>0.77656122467320066</v>
      </c>
      <c r="AE92" s="140">
        <f t="shared" si="148"/>
        <v>0.77237913520966428</v>
      </c>
      <c r="AF92" s="140">
        <f t="shared" si="148"/>
        <v>0.76837508635218044</v>
      </c>
      <c r="AG92" s="140">
        <f t="shared" si="148"/>
        <v>0.76450628894100303</v>
      </c>
      <c r="AH92" s="140">
        <f t="shared" si="148"/>
        <v>0.76073423130499929</v>
      </c>
      <c r="AI92" s="140">
        <f t="shared" si="148"/>
        <v>0.75704481495130627</v>
      </c>
      <c r="AJ92" s="140">
        <f t="shared" si="148"/>
        <v>0.75336594926484879</v>
      </c>
      <c r="AK92" s="140">
        <f t="shared" si="148"/>
        <v>0.74969067508207399</v>
      </c>
      <c r="AL92" s="140">
        <f t="shared" si="148"/>
        <v>0.74599432982677139</v>
      </c>
      <c r="AM92" s="140">
        <f t="shared" si="148"/>
        <v>0.74225506911776618</v>
      </c>
      <c r="AN92" s="140">
        <f t="shared" si="148"/>
        <v>0.73845365614535674</v>
      </c>
      <c r="AO92" s="140">
        <f t="shared" si="148"/>
        <v>0.73457326952928248</v>
      </c>
      <c r="AP92" s="140">
        <f t="shared" si="148"/>
        <v>0.73059932697197494</v>
      </c>
      <c r="AQ92" s="140">
        <f t="shared" si="148"/>
        <v>0.72654230241065831</v>
      </c>
      <c r="AR92" s="140">
        <f t="shared" si="148"/>
        <v>0.72234632899464069</v>
      </c>
      <c r="AS92" s="140">
        <f>EXP(-AS91*AS90)</f>
        <v>0.71802496028531815</v>
      </c>
      <c r="AT92" s="140">
        <f t="shared" ref="AT92:CA92" si="149">EXP(-AT91*AT90)</f>
        <v>0.7135710428427593</v>
      </c>
      <c r="AU92" s="140">
        <f t="shared" si="149"/>
        <v>0.70897895167838554</v>
      </c>
      <c r="AV92" s="140">
        <f t="shared" si="149"/>
        <v>0.7042444729313283</v>
      </c>
      <c r="AW92" s="140">
        <f t="shared" si="149"/>
        <v>0.6993646928638414</v>
      </c>
      <c r="AX92" s="140">
        <f t="shared" si="149"/>
        <v>0.69433789262941015</v>
      </c>
      <c r="AY92" s="140">
        <f t="shared" si="149"/>
        <v>0.68919260287780393</v>
      </c>
      <c r="AZ92" s="140">
        <f t="shared" si="149"/>
        <v>0.68387170624103499</v>
      </c>
      <c r="BA92" s="140">
        <f t="shared" si="149"/>
        <v>0.67840481842987588</v>
      </c>
      <c r="BB92" s="140">
        <f t="shared" si="149"/>
        <v>0.67279404536697007</v>
      </c>
      <c r="BC92" s="140">
        <f t="shared" si="149"/>
        <v>0.6670422361616799</v>
      </c>
      <c r="BD92" s="140">
        <f t="shared" si="149"/>
        <v>0.66115290583084063</v>
      </c>
      <c r="BE92" s="140">
        <f t="shared" si="149"/>
        <v>0.65513016205614516</v>
      </c>
      <c r="BF92" s="140">
        <f t="shared" si="149"/>
        <v>0.64897863587325322</v>
      </c>
      <c r="BG92" s="140">
        <f t="shared" si="149"/>
        <v>0.64273861030853363</v>
      </c>
      <c r="BH92" s="140">
        <f t="shared" si="149"/>
        <v>0.63634582313737231</v>
      </c>
      <c r="BI92" s="140">
        <f t="shared" si="149"/>
        <v>0.62984061756017629</v>
      </c>
      <c r="BJ92" s="140">
        <f t="shared" si="149"/>
        <v>0.62322909898273571</v>
      </c>
      <c r="BK92" s="140">
        <f t="shared" si="149"/>
        <v>0.6165176057736359</v>
      </c>
      <c r="BL92" s="140">
        <f t="shared" si="149"/>
        <v>0.60971266170463478</v>
      </c>
      <c r="BM92" s="140">
        <f t="shared" si="149"/>
        <v>0.60282093171938478</v>
      </c>
      <c r="BN92" s="140">
        <f t="shared" si="149"/>
        <v>0.59584918093606276</v>
      </c>
      <c r="BO92" s="140">
        <f t="shared" si="149"/>
        <v>0.58884356496376078</v>
      </c>
      <c r="BP92" s="140">
        <f t="shared" si="149"/>
        <v>0.58173263196104952</v>
      </c>
      <c r="BQ92" s="140">
        <f t="shared" si="149"/>
        <v>0.57456217299340195</v>
      </c>
      <c r="BR92" s="140">
        <f t="shared" si="149"/>
        <v>0.56733900528152859</v>
      </c>
      <c r="BS92" s="140">
        <f t="shared" si="149"/>
        <v>0.56006988626029253</v>
      </c>
      <c r="BT92" s="140">
        <f t="shared" si="149"/>
        <v>0.55276148974146333</v>
      </c>
      <c r="BU92" s="140">
        <f t="shared" si="149"/>
        <v>0.54542038453450659</v>
      </c>
      <c r="BV92" s="140">
        <f t="shared" si="149"/>
        <v>0.53805301540359518</v>
      </c>
      <c r="BW92" s="140">
        <f t="shared" si="149"/>
        <v>0.53070677072577288</v>
      </c>
      <c r="BX92" s="140">
        <f t="shared" si="149"/>
        <v>0.52330568985432557</v>
      </c>
      <c r="BY92" s="140">
        <f t="shared" si="149"/>
        <v>0.51589674438204247</v>
      </c>
      <c r="BZ92" s="140">
        <f t="shared" si="149"/>
        <v>0.50848573591937163</v>
      </c>
      <c r="CA92" s="140">
        <f t="shared" si="149"/>
        <v>0.50107827762326984</v>
      </c>
      <c r="CB92" s="140">
        <f>EXP(-CB91*CB90)</f>
        <v>0.49367978660513195</v>
      </c>
      <c r="CC92" s="17"/>
      <c r="CD92" s="17"/>
      <c r="CE92" s="17"/>
    </row>
    <row r="93" spans="1:115" s="6" customFormat="1">
      <c r="A93" s="130"/>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19"/>
      <c r="CD93" s="19"/>
      <c r="CE93" s="19"/>
    </row>
    <row r="94" spans="1:115">
      <c r="A94" s="16" t="s">
        <v>40</v>
      </c>
      <c r="B94" s="140">
        <f t="shared" ref="B94:BM94" si="150">DAYS360($B$3,B34)</f>
        <v>83</v>
      </c>
      <c r="C94" s="140">
        <f t="shared" si="150"/>
        <v>263</v>
      </c>
      <c r="D94" s="140">
        <f t="shared" si="150"/>
        <v>442</v>
      </c>
      <c r="E94" s="140">
        <f t="shared" si="150"/>
        <v>623</v>
      </c>
      <c r="F94" s="140">
        <f t="shared" si="150"/>
        <v>802</v>
      </c>
      <c r="G94" s="140">
        <f t="shared" si="150"/>
        <v>983</v>
      </c>
      <c r="H94" s="140">
        <f t="shared" si="150"/>
        <v>1162</v>
      </c>
      <c r="I94" s="140">
        <f t="shared" si="150"/>
        <v>1343</v>
      </c>
      <c r="J94" s="140">
        <f t="shared" si="150"/>
        <v>1522</v>
      </c>
      <c r="K94" s="140">
        <f t="shared" si="150"/>
        <v>1702</v>
      </c>
      <c r="L94" s="140">
        <f t="shared" si="150"/>
        <v>1881</v>
      </c>
      <c r="M94" s="140">
        <f t="shared" si="150"/>
        <v>2062</v>
      </c>
      <c r="N94" s="140">
        <f t="shared" si="150"/>
        <v>2241</v>
      </c>
      <c r="O94" s="140">
        <f t="shared" si="150"/>
        <v>2422</v>
      </c>
      <c r="P94" s="140">
        <f t="shared" si="150"/>
        <v>2601</v>
      </c>
      <c r="Q94" s="140">
        <f t="shared" si="150"/>
        <v>2782</v>
      </c>
      <c r="R94" s="140">
        <f t="shared" si="150"/>
        <v>2961</v>
      </c>
      <c r="S94" s="140">
        <f t="shared" si="150"/>
        <v>3141</v>
      </c>
      <c r="T94" s="140">
        <f t="shared" si="150"/>
        <v>3320</v>
      </c>
      <c r="U94" s="140">
        <f t="shared" si="150"/>
        <v>3501</v>
      </c>
      <c r="V94" s="140">
        <f t="shared" si="150"/>
        <v>3680</v>
      </c>
      <c r="W94" s="140">
        <f t="shared" si="150"/>
        <v>3861</v>
      </c>
      <c r="X94" s="140">
        <f t="shared" si="150"/>
        <v>4040</v>
      </c>
      <c r="Y94" s="140">
        <f t="shared" si="150"/>
        <v>4221</v>
      </c>
      <c r="Z94" s="140">
        <f t="shared" si="150"/>
        <v>4400</v>
      </c>
      <c r="AA94" s="140">
        <f t="shared" si="150"/>
        <v>4580</v>
      </c>
      <c r="AB94" s="140">
        <f t="shared" si="150"/>
        <v>4759</v>
      </c>
      <c r="AC94" s="140">
        <f t="shared" si="150"/>
        <v>4940</v>
      </c>
      <c r="AD94" s="140">
        <f t="shared" si="150"/>
        <v>5119</v>
      </c>
      <c r="AE94" s="140">
        <f t="shared" si="150"/>
        <v>5300</v>
      </c>
      <c r="AF94" s="140">
        <f t="shared" si="150"/>
        <v>5479</v>
      </c>
      <c r="AG94" s="140">
        <f t="shared" si="150"/>
        <v>5660</v>
      </c>
      <c r="AH94" s="140">
        <f t="shared" si="150"/>
        <v>5839</v>
      </c>
      <c r="AI94" s="140">
        <f t="shared" si="150"/>
        <v>6019</v>
      </c>
      <c r="AJ94" s="140">
        <f t="shared" si="150"/>
        <v>6198</v>
      </c>
      <c r="AK94" s="140">
        <f t="shared" si="150"/>
        <v>6379</v>
      </c>
      <c r="AL94" s="140">
        <f t="shared" si="150"/>
        <v>6558</v>
      </c>
      <c r="AM94" s="140">
        <f t="shared" si="150"/>
        <v>6739</v>
      </c>
      <c r="AN94" s="140">
        <f t="shared" si="150"/>
        <v>6918</v>
      </c>
      <c r="AO94" s="140">
        <f t="shared" si="150"/>
        <v>7099</v>
      </c>
      <c r="AP94" s="140">
        <f t="shared" si="150"/>
        <v>7278</v>
      </c>
      <c r="AQ94" s="140">
        <f t="shared" si="150"/>
        <v>7458</v>
      </c>
      <c r="AR94" s="140">
        <f t="shared" si="150"/>
        <v>7637</v>
      </c>
      <c r="AS94" s="140">
        <f t="shared" si="150"/>
        <v>7818</v>
      </c>
      <c r="AT94" s="140">
        <f t="shared" si="150"/>
        <v>7997</v>
      </c>
      <c r="AU94" s="140">
        <f t="shared" si="150"/>
        <v>8178</v>
      </c>
      <c r="AV94" s="140">
        <f t="shared" si="150"/>
        <v>8357</v>
      </c>
      <c r="AW94" s="140">
        <f t="shared" si="150"/>
        <v>8538</v>
      </c>
      <c r="AX94" s="140">
        <f t="shared" si="150"/>
        <v>8717</v>
      </c>
      <c r="AY94" s="140">
        <f t="shared" si="150"/>
        <v>8897</v>
      </c>
      <c r="AZ94" s="140">
        <f t="shared" si="150"/>
        <v>9076</v>
      </c>
      <c r="BA94" s="140">
        <f t="shared" si="150"/>
        <v>9257</v>
      </c>
      <c r="BB94" s="140">
        <f t="shared" si="150"/>
        <v>9436</v>
      </c>
      <c r="BC94" s="140">
        <f t="shared" si="150"/>
        <v>9617</v>
      </c>
      <c r="BD94" s="140">
        <f t="shared" si="150"/>
        <v>9796</v>
      </c>
      <c r="BE94" s="140">
        <f t="shared" si="150"/>
        <v>9977</v>
      </c>
      <c r="BF94" s="140">
        <f t="shared" si="150"/>
        <v>10156</v>
      </c>
      <c r="BG94" s="140">
        <f t="shared" si="150"/>
        <v>10336</v>
      </c>
      <c r="BH94" s="140">
        <f t="shared" si="150"/>
        <v>10515</v>
      </c>
      <c r="BI94" s="140">
        <f t="shared" si="150"/>
        <v>10696</v>
      </c>
      <c r="BJ94" s="140">
        <f t="shared" si="150"/>
        <v>10875</v>
      </c>
      <c r="BK94" s="140">
        <f t="shared" si="150"/>
        <v>11056</v>
      </c>
      <c r="BL94" s="140">
        <f t="shared" si="150"/>
        <v>11235</v>
      </c>
      <c r="BM94" s="140">
        <f t="shared" si="150"/>
        <v>11416</v>
      </c>
      <c r="BN94" s="140">
        <f t="shared" ref="BN94:CB94" si="151">DAYS360($B$3,BN34)</f>
        <v>11595</v>
      </c>
      <c r="BO94" s="140">
        <f t="shared" si="151"/>
        <v>11775</v>
      </c>
      <c r="BP94" s="140">
        <f t="shared" si="151"/>
        <v>11954</v>
      </c>
      <c r="BQ94" s="140">
        <f t="shared" si="151"/>
        <v>12135</v>
      </c>
      <c r="BR94" s="140">
        <f t="shared" si="151"/>
        <v>12314</v>
      </c>
      <c r="BS94" s="140">
        <f t="shared" si="151"/>
        <v>12495</v>
      </c>
      <c r="BT94" s="140">
        <f t="shared" si="151"/>
        <v>12674</v>
      </c>
      <c r="BU94" s="140">
        <f t="shared" si="151"/>
        <v>12855</v>
      </c>
      <c r="BV94" s="140">
        <f t="shared" si="151"/>
        <v>13034</v>
      </c>
      <c r="BW94" s="140">
        <f t="shared" si="151"/>
        <v>13214</v>
      </c>
      <c r="BX94" s="140">
        <f t="shared" si="151"/>
        <v>13393</v>
      </c>
      <c r="BY94" s="140">
        <f t="shared" si="151"/>
        <v>13574</v>
      </c>
      <c r="BZ94" s="140">
        <f t="shared" si="151"/>
        <v>13753</v>
      </c>
      <c r="CA94" s="140">
        <f t="shared" si="151"/>
        <v>13934</v>
      </c>
      <c r="CB94" s="140">
        <f t="shared" si="151"/>
        <v>14113</v>
      </c>
      <c r="CC94" s="17"/>
      <c r="CD94" s="17"/>
      <c r="CE94" s="17"/>
    </row>
    <row r="95" spans="1:115">
      <c r="A95" s="16" t="s">
        <v>41</v>
      </c>
      <c r="B95" s="140">
        <f>B94/360</f>
        <v>0.23055555555555557</v>
      </c>
      <c r="C95" s="140">
        <f t="shared" ref="C95:BN95" si="152">C94/360</f>
        <v>0.73055555555555551</v>
      </c>
      <c r="D95" s="140">
        <f t="shared" si="152"/>
        <v>1.2277777777777779</v>
      </c>
      <c r="E95" s="140">
        <f t="shared" si="152"/>
        <v>1.7305555555555556</v>
      </c>
      <c r="F95" s="140">
        <f t="shared" si="152"/>
        <v>2.2277777777777779</v>
      </c>
      <c r="G95" s="140">
        <f t="shared" si="152"/>
        <v>2.7305555555555556</v>
      </c>
      <c r="H95" s="140">
        <f t="shared" si="152"/>
        <v>3.2277777777777779</v>
      </c>
      <c r="I95" s="140">
        <f t="shared" si="152"/>
        <v>3.7305555555555556</v>
      </c>
      <c r="J95" s="140">
        <f t="shared" si="152"/>
        <v>4.2277777777777779</v>
      </c>
      <c r="K95" s="140">
        <f t="shared" si="152"/>
        <v>4.7277777777777779</v>
      </c>
      <c r="L95" s="140">
        <f t="shared" si="152"/>
        <v>5.2249999999999996</v>
      </c>
      <c r="M95" s="140">
        <f t="shared" si="152"/>
        <v>5.7277777777777779</v>
      </c>
      <c r="N95" s="140">
        <f t="shared" si="152"/>
        <v>6.2249999999999996</v>
      </c>
      <c r="O95" s="140">
        <f t="shared" si="152"/>
        <v>6.7277777777777779</v>
      </c>
      <c r="P95" s="140">
        <f t="shared" si="152"/>
        <v>7.2249999999999996</v>
      </c>
      <c r="Q95" s="140">
        <f t="shared" si="152"/>
        <v>7.7277777777777779</v>
      </c>
      <c r="R95" s="140">
        <f t="shared" si="152"/>
        <v>8.2249999999999996</v>
      </c>
      <c r="S95" s="140">
        <f t="shared" si="152"/>
        <v>8.7249999999999996</v>
      </c>
      <c r="T95" s="140">
        <f t="shared" si="152"/>
        <v>9.2222222222222214</v>
      </c>
      <c r="U95" s="140">
        <f t="shared" si="152"/>
        <v>9.7249999999999996</v>
      </c>
      <c r="V95" s="140">
        <f t="shared" si="152"/>
        <v>10.222222222222221</v>
      </c>
      <c r="W95" s="140">
        <f t="shared" si="152"/>
        <v>10.725</v>
      </c>
      <c r="X95" s="140">
        <f t="shared" si="152"/>
        <v>11.222222222222221</v>
      </c>
      <c r="Y95" s="140">
        <f t="shared" si="152"/>
        <v>11.725</v>
      </c>
      <c r="Z95" s="140">
        <f t="shared" si="152"/>
        <v>12.222222222222221</v>
      </c>
      <c r="AA95" s="140">
        <f t="shared" si="152"/>
        <v>12.722222222222221</v>
      </c>
      <c r="AB95" s="140">
        <f t="shared" si="152"/>
        <v>13.219444444444445</v>
      </c>
      <c r="AC95" s="140">
        <f t="shared" si="152"/>
        <v>13.722222222222221</v>
      </c>
      <c r="AD95" s="140">
        <f t="shared" si="152"/>
        <v>14.219444444444445</v>
      </c>
      <c r="AE95" s="140">
        <f t="shared" si="152"/>
        <v>14.722222222222221</v>
      </c>
      <c r="AF95" s="140">
        <f t="shared" si="152"/>
        <v>15.219444444444445</v>
      </c>
      <c r="AG95" s="140">
        <f t="shared" si="152"/>
        <v>15.722222222222221</v>
      </c>
      <c r="AH95" s="140">
        <f t="shared" si="152"/>
        <v>16.219444444444445</v>
      </c>
      <c r="AI95" s="140">
        <f t="shared" si="152"/>
        <v>16.719444444444445</v>
      </c>
      <c r="AJ95" s="140">
        <f t="shared" si="152"/>
        <v>17.216666666666665</v>
      </c>
      <c r="AK95" s="140">
        <f t="shared" si="152"/>
        <v>17.719444444444445</v>
      </c>
      <c r="AL95" s="140">
        <f t="shared" si="152"/>
        <v>18.216666666666665</v>
      </c>
      <c r="AM95" s="140">
        <f t="shared" si="152"/>
        <v>18.719444444444445</v>
      </c>
      <c r="AN95" s="140">
        <f t="shared" si="152"/>
        <v>19.216666666666665</v>
      </c>
      <c r="AO95" s="140">
        <f t="shared" si="152"/>
        <v>19.719444444444445</v>
      </c>
      <c r="AP95" s="140">
        <f t="shared" si="152"/>
        <v>20.216666666666665</v>
      </c>
      <c r="AQ95" s="140">
        <f t="shared" si="152"/>
        <v>20.716666666666665</v>
      </c>
      <c r="AR95" s="140">
        <f t="shared" si="152"/>
        <v>21.213888888888889</v>
      </c>
      <c r="AS95" s="140">
        <f t="shared" si="152"/>
        <v>21.716666666666665</v>
      </c>
      <c r="AT95" s="140">
        <f t="shared" si="152"/>
        <v>22.213888888888889</v>
      </c>
      <c r="AU95" s="140">
        <f t="shared" si="152"/>
        <v>22.716666666666665</v>
      </c>
      <c r="AV95" s="140">
        <f t="shared" si="152"/>
        <v>23.213888888888889</v>
      </c>
      <c r="AW95" s="140">
        <f t="shared" si="152"/>
        <v>23.716666666666665</v>
      </c>
      <c r="AX95" s="140">
        <f t="shared" si="152"/>
        <v>24.213888888888889</v>
      </c>
      <c r="AY95" s="140">
        <f t="shared" si="152"/>
        <v>24.713888888888889</v>
      </c>
      <c r="AZ95" s="140">
        <f t="shared" si="152"/>
        <v>25.211111111111112</v>
      </c>
      <c r="BA95" s="140">
        <f t="shared" si="152"/>
        <v>25.713888888888889</v>
      </c>
      <c r="BB95" s="140">
        <f t="shared" si="152"/>
        <v>26.211111111111112</v>
      </c>
      <c r="BC95" s="140">
        <f t="shared" si="152"/>
        <v>26.713888888888889</v>
      </c>
      <c r="BD95" s="140">
        <f t="shared" si="152"/>
        <v>27.211111111111112</v>
      </c>
      <c r="BE95" s="140">
        <f t="shared" si="152"/>
        <v>27.713888888888889</v>
      </c>
      <c r="BF95" s="140">
        <f t="shared" si="152"/>
        <v>28.211111111111112</v>
      </c>
      <c r="BG95" s="140">
        <f t="shared" si="152"/>
        <v>28.711111111111112</v>
      </c>
      <c r="BH95" s="140">
        <f t="shared" si="152"/>
        <v>29.208333333333332</v>
      </c>
      <c r="BI95" s="140">
        <f t="shared" si="152"/>
        <v>29.711111111111112</v>
      </c>
      <c r="BJ95" s="140">
        <f t="shared" si="152"/>
        <v>30.208333333333332</v>
      </c>
      <c r="BK95" s="140">
        <f t="shared" si="152"/>
        <v>30.711111111111112</v>
      </c>
      <c r="BL95" s="140">
        <f t="shared" si="152"/>
        <v>31.208333333333332</v>
      </c>
      <c r="BM95" s="140">
        <f t="shared" si="152"/>
        <v>31.711111111111112</v>
      </c>
      <c r="BN95" s="140">
        <f t="shared" si="152"/>
        <v>32.208333333333336</v>
      </c>
      <c r="BO95" s="140">
        <f t="shared" ref="BO95:CB95" si="153">BO94/360</f>
        <v>32.708333333333336</v>
      </c>
      <c r="BP95" s="140">
        <f t="shared" si="153"/>
        <v>33.205555555555556</v>
      </c>
      <c r="BQ95" s="140">
        <f t="shared" si="153"/>
        <v>33.708333333333336</v>
      </c>
      <c r="BR95" s="140">
        <f t="shared" si="153"/>
        <v>34.205555555555556</v>
      </c>
      <c r="BS95" s="140">
        <f t="shared" si="153"/>
        <v>34.708333333333336</v>
      </c>
      <c r="BT95" s="140">
        <f t="shared" si="153"/>
        <v>35.205555555555556</v>
      </c>
      <c r="BU95" s="140">
        <f t="shared" si="153"/>
        <v>35.708333333333336</v>
      </c>
      <c r="BV95" s="140">
        <f t="shared" si="153"/>
        <v>36.205555555555556</v>
      </c>
      <c r="BW95" s="140">
        <f t="shared" si="153"/>
        <v>36.705555555555556</v>
      </c>
      <c r="BX95" s="140">
        <f t="shared" si="153"/>
        <v>37.202777777777776</v>
      </c>
      <c r="BY95" s="140">
        <f t="shared" si="153"/>
        <v>37.705555555555556</v>
      </c>
      <c r="BZ95" s="140">
        <f t="shared" si="153"/>
        <v>38.202777777777776</v>
      </c>
      <c r="CA95" s="140">
        <f t="shared" si="153"/>
        <v>38.705555555555556</v>
      </c>
      <c r="CB95" s="140">
        <f t="shared" si="153"/>
        <v>39.202777777777776</v>
      </c>
      <c r="CC95" s="17"/>
      <c r="CD95" s="17"/>
      <c r="CE95" s="17"/>
    </row>
    <row r="96" spans="1:115">
      <c r="A96" s="16" t="s">
        <v>43</v>
      </c>
      <c r="B96" s="140">
        <f>IF(B94&lt;0,0,$B$5+$B$6*((1-EXP(-B95/$B$9))/(B95/$B$9))+$B$7*((1-EXP(-B95/$B$9))/(B95/$B$9)-EXP(-B95/$B$9))+$B$8*((1-EXP(-B95/$B$10))/(B95/$B$10)-EXP(-B95/$B$10)))</f>
        <v>8.7595018105500605E-2</v>
      </c>
      <c r="C96" s="140">
        <f t="shared" ref="C96:BN96" si="154">IF(C94&lt;0,0,$B$5+$B$6*((1-EXP(-C95/$B$9))/(C95/$B$9))+$B$7*((1-EXP(-C95/$B$9))/(C95/$B$9)-EXP(-C95/$B$9))+$B$8*((1-EXP(-C95/$B$10))/(C95/$B$10)-EXP(-C95/$B$10)))</f>
        <v>1.5422057370341191E-2</v>
      </c>
      <c r="D96" s="140">
        <f t="shared" si="154"/>
        <v>-1.5755156885389671E-2</v>
      </c>
      <c r="E96" s="140">
        <f t="shared" si="154"/>
        <v>-2.6022552774312036E-2</v>
      </c>
      <c r="F96" s="140">
        <f t="shared" si="154"/>
        <v>-2.5886850450519874E-2</v>
      </c>
      <c r="G96" s="140">
        <f t="shared" si="154"/>
        <v>-2.1172223845022389E-2</v>
      </c>
      <c r="H96" s="140">
        <f t="shared" si="154"/>
        <v>-1.4958733077397285E-2</v>
      </c>
      <c r="I96" s="140">
        <f t="shared" si="154"/>
        <v>-8.596102152636384E-3</v>
      </c>
      <c r="J96" s="140">
        <f t="shared" si="154"/>
        <v>-2.8829821930129035E-3</v>
      </c>
      <c r="K96" s="140">
        <f t="shared" si="154"/>
        <v>2.0418032066753522E-3</v>
      </c>
      <c r="L96" s="140">
        <f t="shared" si="154"/>
        <v>6.0937456036119775E-3</v>
      </c>
      <c r="M96" s="140">
        <f t="shared" si="154"/>
        <v>9.399442707601291E-3</v>
      </c>
      <c r="N96" s="140">
        <f t="shared" si="154"/>
        <v>1.1986670565858906E-2</v>
      </c>
      <c r="O96" s="140">
        <f t="shared" si="154"/>
        <v>1.4022131696344017E-2</v>
      </c>
      <c r="P96" s="140">
        <f t="shared" si="154"/>
        <v>1.5561051174618937E-2</v>
      </c>
      <c r="Q96" s="140">
        <f t="shared" si="154"/>
        <v>1.6727004224867455E-2</v>
      </c>
      <c r="R96" s="140">
        <f t="shared" si="154"/>
        <v>1.7568653871802481E-2</v>
      </c>
      <c r="S96" s="140">
        <f t="shared" si="154"/>
        <v>1.816479897550094E-2</v>
      </c>
      <c r="T96" s="140">
        <f t="shared" si="154"/>
        <v>1.855927833639455E-2</v>
      </c>
      <c r="U96" s="140">
        <f t="shared" si="154"/>
        <v>1.8798884933569023E-2</v>
      </c>
      <c r="V96" s="140">
        <f t="shared" si="154"/>
        <v>1.8911858205030496E-2</v>
      </c>
      <c r="W96" s="140">
        <f t="shared" si="154"/>
        <v>1.8928297439518953E-2</v>
      </c>
      <c r="X96" s="140">
        <f t="shared" si="154"/>
        <v>1.8869838527806548E-2</v>
      </c>
      <c r="Y96" s="140">
        <f t="shared" si="154"/>
        <v>1.875325626660377E-2</v>
      </c>
      <c r="Z96" s="140">
        <f t="shared" si="154"/>
        <v>1.8595557398627116E-2</v>
      </c>
      <c r="AA96" s="140">
        <f t="shared" si="154"/>
        <v>1.8406202879545253E-2</v>
      </c>
      <c r="AB96" s="140">
        <f t="shared" si="154"/>
        <v>1.8196727123821761E-2</v>
      </c>
      <c r="AC96" s="140">
        <f t="shared" si="154"/>
        <v>1.7971211379633242E-2</v>
      </c>
      <c r="AD96" s="140">
        <f t="shared" si="154"/>
        <v>1.7740837842111695E-2</v>
      </c>
      <c r="AE96" s="140">
        <f t="shared" si="154"/>
        <v>1.7505527151776085E-2</v>
      </c>
      <c r="AF96" s="140">
        <f t="shared" si="154"/>
        <v>1.7274486513194957E-2</v>
      </c>
      <c r="AG96" s="140">
        <f t="shared" si="154"/>
        <v>1.7045796898807121E-2</v>
      </c>
      <c r="AH96" s="140">
        <f t="shared" si="154"/>
        <v>1.682704075590204E-2</v>
      </c>
      <c r="AI96" s="140">
        <f t="shared" si="154"/>
        <v>1.6616477575260868E-2</v>
      </c>
      <c r="AJ96" s="140">
        <f t="shared" si="154"/>
        <v>1.641796423111996E-2</v>
      </c>
      <c r="AK96" s="140">
        <f t="shared" si="154"/>
        <v>1.622942892799472E-2</v>
      </c>
      <c r="AL96" s="140">
        <f t="shared" si="154"/>
        <v>1.6055876418444606E-2</v>
      </c>
      <c r="AM96" s="140">
        <f t="shared" si="154"/>
        <v>1.5894018269005883E-2</v>
      </c>
      <c r="AN96" s="140">
        <f t="shared" si="154"/>
        <v>1.5747800334645411E-2</v>
      </c>
      <c r="AO96" s="140">
        <f t="shared" si="154"/>
        <v>1.5614152052849908E-2</v>
      </c>
      <c r="AP96" s="140">
        <f t="shared" si="154"/>
        <v>1.549607720521462E-2</v>
      </c>
      <c r="AQ96" s="140">
        <f t="shared" si="154"/>
        <v>1.5391411170449263E-2</v>
      </c>
      <c r="AR96" s="140">
        <f t="shared" si="154"/>
        <v>1.5301154678446637E-2</v>
      </c>
      <c r="AS96" s="140">
        <f t="shared" si="154"/>
        <v>1.5223667760056275E-2</v>
      </c>
      <c r="AT96" s="140">
        <f t="shared" si="154"/>
        <v>1.5160360477827296E-2</v>
      </c>
      <c r="AU96" s="140">
        <f t="shared" si="154"/>
        <v>1.5109461430334353E-2</v>
      </c>
      <c r="AV96" s="140">
        <f t="shared" si="154"/>
        <v>1.5071705780579012E-2</v>
      </c>
      <c r="AW96" s="140">
        <f t="shared" si="154"/>
        <v>1.5045824878585936E-2</v>
      </c>
      <c r="AX96" s="140">
        <f t="shared" si="154"/>
        <v>1.5031950662911787E-2</v>
      </c>
      <c r="AY96" s="140">
        <f t="shared" si="154"/>
        <v>1.5029295436458669E-2</v>
      </c>
      <c r="AZ96" s="140">
        <f t="shared" si="154"/>
        <v>1.5037426608028738E-2</v>
      </c>
      <c r="BA96" s="140">
        <f t="shared" si="154"/>
        <v>1.5056095732314929E-2</v>
      </c>
      <c r="BB96" s="140">
        <f t="shared" si="154"/>
        <v>1.5084420011661829E-2</v>
      </c>
      <c r="BC96" s="140">
        <f t="shared" si="154"/>
        <v>1.512255722068152E-2</v>
      </c>
      <c r="BD96" s="140">
        <f t="shared" si="154"/>
        <v>1.5169200996576412E-2</v>
      </c>
      <c r="BE96" s="140">
        <f t="shared" si="154"/>
        <v>1.5224930052110237E-2</v>
      </c>
      <c r="BF96" s="140">
        <f t="shared" si="154"/>
        <v>1.5288064510795202E-2</v>
      </c>
      <c r="BG96" s="140">
        <f t="shared" si="154"/>
        <v>1.5359154813711289E-2</v>
      </c>
      <c r="BH96" s="140">
        <f t="shared" si="154"/>
        <v>1.5436985601160982E-2</v>
      </c>
      <c r="BI96" s="140">
        <f t="shared" si="154"/>
        <v>1.5522500226284904E-2</v>
      </c>
      <c r="BJ96" s="140">
        <f t="shared" si="154"/>
        <v>1.5613405736352125E-2</v>
      </c>
      <c r="BK96" s="140">
        <f t="shared" si="154"/>
        <v>1.571133756482402E-2</v>
      </c>
      <c r="BL96" s="140">
        <f t="shared" si="154"/>
        <v>1.5813754619106293E-2</v>
      </c>
      <c r="BM96" s="140">
        <f t="shared" si="154"/>
        <v>1.59225767660236E-2</v>
      </c>
      <c r="BN96" s="140">
        <f t="shared" si="154"/>
        <v>1.6035049318932744E-2</v>
      </c>
      <c r="BO96" s="140">
        <f t="shared" ref="BO96:CB96" si="155">IF(BO94&lt;0,0,$B$5+$B$6*((1-EXP(-BO95/$B$9))/(BO95/$B$9))+$B$7*((1-EXP(-BO95/$B$9))/(BO95/$B$9)-EXP(-BO95/$B$9))+$B$8*((1-EXP(-BO95/$B$10))/(BO95/$B$10)-EXP(-BO95/$B$10)))</f>
        <v>1.6152678844695054E-2</v>
      </c>
      <c r="BP96" s="140">
        <f t="shared" si="155"/>
        <v>1.6273837107560071E-2</v>
      </c>
      <c r="BQ96" s="140">
        <f t="shared" si="155"/>
        <v>1.6400276406160957E-2</v>
      </c>
      <c r="BR96" s="140">
        <f t="shared" si="155"/>
        <v>1.6528906255882846E-2</v>
      </c>
      <c r="BS96" s="140">
        <f t="shared" si="155"/>
        <v>1.666231352157075E-2</v>
      </c>
      <c r="BT96" s="140">
        <f t="shared" si="155"/>
        <v>1.6797279317861118E-2</v>
      </c>
      <c r="BU96" s="140">
        <f t="shared" si="155"/>
        <v>1.6936557484989484E-2</v>
      </c>
      <c r="BV96" s="140">
        <f t="shared" si="155"/>
        <v>1.7076823789992666E-2</v>
      </c>
      <c r="BW96" s="140">
        <f t="shared" si="155"/>
        <v>1.7220172217112112E-2</v>
      </c>
      <c r="BX96" s="140">
        <f t="shared" si="155"/>
        <v>1.7364787794612282E-2</v>
      </c>
      <c r="BY96" s="140">
        <f t="shared" si="155"/>
        <v>1.7512896549122282E-2</v>
      </c>
      <c r="BZ96" s="140">
        <f t="shared" si="155"/>
        <v>1.7661023703657609E-2</v>
      </c>
      <c r="CA96" s="140">
        <f t="shared" si="155"/>
        <v>1.7812285111412772E-2</v>
      </c>
      <c r="CB96" s="140">
        <f t="shared" si="155"/>
        <v>1.7963156479025751E-2</v>
      </c>
      <c r="CC96" s="17"/>
      <c r="CD96" s="17"/>
      <c r="CE96" s="17"/>
    </row>
    <row r="97" spans="1:83">
      <c r="A97" s="16" t="s">
        <v>44</v>
      </c>
      <c r="B97" s="140">
        <f>EXP(-B96*B95)</f>
        <v>0.98000704549454654</v>
      </c>
      <c r="C97" s="140">
        <f t="shared" ref="C97:AR97" si="156">EXP(-C96*C95)</f>
        <v>0.98879656154169637</v>
      </c>
      <c r="D97" s="140">
        <f t="shared" si="156"/>
        <v>1.0195321356326734</v>
      </c>
      <c r="E97" s="140">
        <f t="shared" si="156"/>
        <v>1.0460628744711982</v>
      </c>
      <c r="F97" s="140">
        <f t="shared" si="156"/>
        <v>1.0593655065420884</v>
      </c>
      <c r="G97" s="140">
        <f t="shared" si="156"/>
        <v>1.0595157174995349</v>
      </c>
      <c r="H97" s="140">
        <f t="shared" si="156"/>
        <v>1.0494681019107934</v>
      </c>
      <c r="I97" s="140">
        <f t="shared" si="156"/>
        <v>1.0325879632359947</v>
      </c>
      <c r="J97" s="140">
        <f t="shared" si="156"/>
        <v>1.0122631918486347</v>
      </c>
      <c r="K97" s="140">
        <f t="shared" si="156"/>
        <v>0.99039325066953088</v>
      </c>
      <c r="L97" s="140">
        <f t="shared" si="156"/>
        <v>0.96866172913450732</v>
      </c>
      <c r="M97" s="140">
        <f t="shared" si="156"/>
        <v>0.94758567962962936</v>
      </c>
      <c r="N97" s="140">
        <f t="shared" si="156"/>
        <v>0.92809885761013322</v>
      </c>
      <c r="O97" s="140">
        <f t="shared" si="156"/>
        <v>0.90997533337154435</v>
      </c>
      <c r="P97" s="140">
        <f t="shared" si="156"/>
        <v>0.89366115694059178</v>
      </c>
      <c r="Q97" s="140">
        <f t="shared" si="156"/>
        <v>0.87874320229708536</v>
      </c>
      <c r="R97" s="140">
        <f t="shared" si="156"/>
        <v>0.86545302736164431</v>
      </c>
      <c r="S97" s="140">
        <f t="shared" si="156"/>
        <v>0.85343331496856756</v>
      </c>
      <c r="T97" s="140">
        <f t="shared" si="156"/>
        <v>0.84268859590361977</v>
      </c>
      <c r="U97" s="140">
        <f t="shared" si="156"/>
        <v>0.83291877049744856</v>
      </c>
      <c r="V97" s="140">
        <f t="shared" si="156"/>
        <v>0.82421717887284596</v>
      </c>
      <c r="W97" s="140">
        <f t="shared" si="156"/>
        <v>0.81627335190188322</v>
      </c>
      <c r="X97" s="140">
        <f t="shared" si="156"/>
        <v>0.80915764145670865</v>
      </c>
      <c r="Y97" s="140">
        <f t="shared" si="156"/>
        <v>0.80261355717091365</v>
      </c>
      <c r="Z97" s="140">
        <f t="shared" si="156"/>
        <v>0.79669844462299599</v>
      </c>
      <c r="AA97" s="140">
        <f t="shared" si="156"/>
        <v>0.79122903391162436</v>
      </c>
      <c r="AB97" s="140">
        <f t="shared" si="156"/>
        <v>0.7861948446757403</v>
      </c>
      <c r="AC97" s="140">
        <f t="shared" si="156"/>
        <v>0.78144933931562355</v>
      </c>
      <c r="AD97" s="140">
        <f t="shared" si="156"/>
        <v>0.77703890576857992</v>
      </c>
      <c r="AE97" s="140">
        <f t="shared" si="156"/>
        <v>0.77281138747600753</v>
      </c>
      <c r="AF97" s="140">
        <f t="shared" si="156"/>
        <v>0.76881255732209153</v>
      </c>
      <c r="AG97" s="140">
        <f t="shared" si="156"/>
        <v>0.7649094587020463</v>
      </c>
      <c r="AH97" s="140">
        <f t="shared" si="156"/>
        <v>0.76114967938246547</v>
      </c>
      <c r="AI97" s="140">
        <f t="shared" si="156"/>
        <v>0.75743445478280946</v>
      </c>
      <c r="AJ97" s="140">
        <f t="shared" si="156"/>
        <v>0.75377405513041484</v>
      </c>
      <c r="AK97" s="140">
        <f t="shared" si="156"/>
        <v>0.75007921033039571</v>
      </c>
      <c r="AL97" s="140">
        <f t="shared" si="156"/>
        <v>0.74640677786003184</v>
      </c>
      <c r="AM97" s="140">
        <f t="shared" si="156"/>
        <v>0.74265238875312867</v>
      </c>
      <c r="AN97" s="140">
        <f t="shared" si="156"/>
        <v>0.73887964759267477</v>
      </c>
      <c r="AO97" s="140">
        <f t="shared" si="156"/>
        <v>0.73498704633892276</v>
      </c>
      <c r="AP97" s="140">
        <f t="shared" si="156"/>
        <v>0.73104590219838805</v>
      </c>
      <c r="AQ97" s="140">
        <f t="shared" si="156"/>
        <v>0.72697823881718282</v>
      </c>
      <c r="AR97" s="140">
        <f t="shared" si="156"/>
        <v>0.72281859430082307</v>
      </c>
      <c r="AS97" s="140">
        <f>EXP(-AS96*AS95)</f>
        <v>0.71848725052736895</v>
      </c>
      <c r="AT97" s="140">
        <f t="shared" ref="AT97:CA97" si="157">EXP(-AT96*AT95)</f>
        <v>0.71407265567585354</v>
      </c>
      <c r="AU97" s="140">
        <f t="shared" si="157"/>
        <v>0.70947033185349151</v>
      </c>
      <c r="AV97" s="140">
        <f t="shared" si="157"/>
        <v>0.70477765890156241</v>
      </c>
      <c r="AW97" s="140">
        <f t="shared" si="157"/>
        <v>0.69988670056789326</v>
      </c>
      <c r="AX97" s="140">
        <f t="shared" si="157"/>
        <v>0.69490371461653611</v>
      </c>
      <c r="AY97" s="140">
        <f t="shared" si="157"/>
        <v>0.68974567417044141</v>
      </c>
      <c r="AZ97" s="140">
        <f t="shared" si="157"/>
        <v>0.68447015728115912</v>
      </c>
      <c r="BA97" s="140">
        <f t="shared" si="157"/>
        <v>0.6789887142054406</v>
      </c>
      <c r="BB97" s="140">
        <f t="shared" si="157"/>
        <v>0.67342448747987538</v>
      </c>
      <c r="BC97" s="140">
        <f t="shared" si="157"/>
        <v>0.66765592978852584</v>
      </c>
      <c r="BD97" s="140">
        <f t="shared" si="157"/>
        <v>0.66181394408098104</v>
      </c>
      <c r="BE97" s="140">
        <f t="shared" si="157"/>
        <v>0.65577206008293754</v>
      </c>
      <c r="BF97" s="140">
        <f t="shared" si="157"/>
        <v>0.64966834381893845</v>
      </c>
      <c r="BG97" s="140">
        <f t="shared" si="157"/>
        <v>0.64340660372934566</v>
      </c>
      <c r="BH97" s="140">
        <f t="shared" si="157"/>
        <v>0.63706179346809177</v>
      </c>
      <c r="BI97" s="140">
        <f t="shared" si="157"/>
        <v>0.63053240514804576</v>
      </c>
      <c r="BJ97" s="140">
        <f t="shared" si="157"/>
        <v>0.62396876687377645</v>
      </c>
      <c r="BK97" s="140">
        <f t="shared" si="157"/>
        <v>0.61723056748547989</v>
      </c>
      <c r="BL97" s="140">
        <f t="shared" si="157"/>
        <v>0.61047317523568634</v>
      </c>
      <c r="BM97" s="140">
        <f t="shared" si="157"/>
        <v>0.60355228796125004</v>
      </c>
      <c r="BN97" s="140">
        <f t="shared" si="157"/>
        <v>0.596627559631419</v>
      </c>
      <c r="BO97" s="140">
        <f t="shared" si="157"/>
        <v>0.58959040977908628</v>
      </c>
      <c r="BP97" s="140">
        <f t="shared" si="157"/>
        <v>0.58252580029155132</v>
      </c>
      <c r="BQ97" s="140">
        <f t="shared" si="157"/>
        <v>0.57532166117490702</v>
      </c>
      <c r="BR97" s="140">
        <f t="shared" si="157"/>
        <v>0.56814397162524466</v>
      </c>
      <c r="BS97" s="140">
        <f t="shared" si="157"/>
        <v>0.56083915162808073</v>
      </c>
      <c r="BT97" s="140">
        <f t="shared" si="157"/>
        <v>0.55357526817989855</v>
      </c>
      <c r="BU97" s="140">
        <f t="shared" si="157"/>
        <v>0.54619662981950123</v>
      </c>
      <c r="BV97" s="140">
        <f t="shared" si="157"/>
        <v>0.53887271165806683</v>
      </c>
      <c r="BW97" s="140">
        <f t="shared" si="157"/>
        <v>0.53148729369230363</v>
      </c>
      <c r="BX97" s="140">
        <f t="shared" si="157"/>
        <v>0.5241285284266084</v>
      </c>
      <c r="BY97" s="140">
        <f t="shared" si="157"/>
        <v>0.51667899652920479</v>
      </c>
      <c r="BZ97" s="140">
        <f t="shared" si="157"/>
        <v>0.50930910698303999</v>
      </c>
      <c r="CA97" s="140">
        <f t="shared" si="157"/>
        <v>0.50185984527502026</v>
      </c>
      <c r="CB97" s="140">
        <f>EXP(-CB96*CB95)</f>
        <v>0.49450123441431237</v>
      </c>
      <c r="CC97" s="17"/>
      <c r="CD97" s="17"/>
      <c r="CE97" s="17"/>
    </row>
    <row r="98" spans="1:83" s="6" customFormat="1">
      <c r="A98" s="130"/>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19"/>
      <c r="CD98" s="19"/>
      <c r="CE98" s="19"/>
    </row>
    <row r="99" spans="1:83">
      <c r="A99" s="16" t="s">
        <v>40</v>
      </c>
      <c r="B99" s="140">
        <f t="shared" ref="B99:BM99" si="158">DAYS360($B$3,B36)</f>
        <v>673</v>
      </c>
      <c r="C99" s="140">
        <f t="shared" si="158"/>
        <v>851</v>
      </c>
      <c r="D99" s="140">
        <f t="shared" si="158"/>
        <v>1033</v>
      </c>
      <c r="E99" s="140">
        <f t="shared" si="158"/>
        <v>1211</v>
      </c>
      <c r="F99" s="140">
        <f t="shared" si="158"/>
        <v>1393</v>
      </c>
      <c r="G99" s="140">
        <f t="shared" si="158"/>
        <v>1571</v>
      </c>
      <c r="H99" s="140">
        <f t="shared" si="158"/>
        <v>1752</v>
      </c>
      <c r="I99" s="140">
        <f t="shared" si="158"/>
        <v>1930</v>
      </c>
      <c r="J99" s="140">
        <f t="shared" si="158"/>
        <v>2112</v>
      </c>
      <c r="K99" s="140">
        <f t="shared" si="158"/>
        <v>2290</v>
      </c>
      <c r="L99" s="140">
        <f t="shared" si="158"/>
        <v>2472</v>
      </c>
      <c r="M99" s="140">
        <f t="shared" si="158"/>
        <v>2650</v>
      </c>
      <c r="N99" s="140">
        <f t="shared" si="158"/>
        <v>2832</v>
      </c>
      <c r="O99" s="140">
        <f t="shared" si="158"/>
        <v>3010</v>
      </c>
      <c r="P99" s="140">
        <f t="shared" si="158"/>
        <v>3191</v>
      </c>
      <c r="Q99" s="140">
        <f t="shared" si="158"/>
        <v>3369</v>
      </c>
      <c r="R99" s="140">
        <f t="shared" si="158"/>
        <v>3551</v>
      </c>
      <c r="S99" s="140">
        <f t="shared" si="158"/>
        <v>3729</v>
      </c>
      <c r="T99" s="140">
        <f t="shared" si="158"/>
        <v>3911</v>
      </c>
      <c r="U99" s="140">
        <f t="shared" si="158"/>
        <v>4089</v>
      </c>
      <c r="V99" s="140">
        <f t="shared" si="158"/>
        <v>4271</v>
      </c>
      <c r="W99" s="140">
        <f t="shared" si="158"/>
        <v>4449</v>
      </c>
      <c r="X99" s="140">
        <f t="shared" si="158"/>
        <v>4630</v>
      </c>
      <c r="Y99" s="140">
        <f t="shared" si="158"/>
        <v>4808</v>
      </c>
      <c r="Z99" s="140">
        <f t="shared" si="158"/>
        <v>4990</v>
      </c>
      <c r="AA99" s="140">
        <f t="shared" si="158"/>
        <v>5168</v>
      </c>
      <c r="AB99" s="140">
        <f t="shared" si="158"/>
        <v>5350</v>
      </c>
      <c r="AC99" s="140">
        <f t="shared" si="158"/>
        <v>5528</v>
      </c>
      <c r="AD99" s="140">
        <f t="shared" si="158"/>
        <v>5710</v>
      </c>
      <c r="AE99" s="140">
        <f t="shared" si="158"/>
        <v>5888</v>
      </c>
      <c r="AF99" s="140">
        <f t="shared" si="158"/>
        <v>6069</v>
      </c>
      <c r="AG99" s="140">
        <f t="shared" si="158"/>
        <v>6247</v>
      </c>
      <c r="AH99" s="140">
        <f t="shared" si="158"/>
        <v>6429</v>
      </c>
      <c r="AI99" s="140">
        <f t="shared" si="158"/>
        <v>6607</v>
      </c>
      <c r="AJ99" s="140">
        <f t="shared" si="158"/>
        <v>6789</v>
      </c>
      <c r="AK99" s="140">
        <f t="shared" si="158"/>
        <v>6967</v>
      </c>
      <c r="AL99" s="140">
        <f t="shared" si="158"/>
        <v>7149</v>
      </c>
      <c r="AM99" s="140">
        <f t="shared" si="158"/>
        <v>7327</v>
      </c>
      <c r="AN99" s="140">
        <f t="shared" si="158"/>
        <v>7508</v>
      </c>
      <c r="AO99" s="140">
        <f t="shared" si="158"/>
        <v>7686</v>
      </c>
      <c r="AP99" s="140">
        <f t="shared" si="158"/>
        <v>7868</v>
      </c>
      <c r="AQ99" s="140">
        <f t="shared" si="158"/>
        <v>8046</v>
      </c>
      <c r="AR99" s="140">
        <f t="shared" si="158"/>
        <v>8228</v>
      </c>
      <c r="AS99" s="140">
        <f t="shared" si="158"/>
        <v>8406</v>
      </c>
      <c r="AT99" s="140">
        <f t="shared" si="158"/>
        <v>8588</v>
      </c>
      <c r="AU99" s="140">
        <f t="shared" si="158"/>
        <v>8766</v>
      </c>
      <c r="AV99" s="140">
        <f t="shared" si="158"/>
        <v>8947</v>
      </c>
      <c r="AW99" s="140">
        <f t="shared" si="158"/>
        <v>9125</v>
      </c>
      <c r="AX99" s="140">
        <f t="shared" si="158"/>
        <v>9307</v>
      </c>
      <c r="AY99" s="140">
        <f t="shared" si="158"/>
        <v>9485</v>
      </c>
      <c r="AZ99" s="140">
        <f t="shared" si="158"/>
        <v>9667</v>
      </c>
      <c r="BA99" s="140">
        <f t="shared" si="158"/>
        <v>9845</v>
      </c>
      <c r="BB99" s="140">
        <f t="shared" si="158"/>
        <v>10027</v>
      </c>
      <c r="BC99" s="140">
        <f t="shared" si="158"/>
        <v>10205</v>
      </c>
      <c r="BD99" s="140">
        <f t="shared" si="158"/>
        <v>10386</v>
      </c>
      <c r="BE99" s="140">
        <f t="shared" si="158"/>
        <v>10564</v>
      </c>
      <c r="BF99" s="140">
        <f t="shared" si="158"/>
        <v>10746</v>
      </c>
      <c r="BG99" s="140">
        <f t="shared" si="158"/>
        <v>10924</v>
      </c>
      <c r="BH99" s="140">
        <f t="shared" si="158"/>
        <v>11106</v>
      </c>
      <c r="BI99" s="140">
        <f t="shared" si="158"/>
        <v>11284</v>
      </c>
      <c r="BJ99" s="140">
        <f t="shared" si="158"/>
        <v>11466</v>
      </c>
      <c r="BK99" s="140">
        <f t="shared" si="158"/>
        <v>11644</v>
      </c>
      <c r="BL99" s="140">
        <f t="shared" si="158"/>
        <v>11825</v>
      </c>
      <c r="BM99" s="140">
        <f t="shared" si="158"/>
        <v>12003</v>
      </c>
      <c r="BN99" s="140">
        <f t="shared" ref="BN99:CB99" si="159">DAYS360($B$3,BN36)</f>
        <v>12185</v>
      </c>
      <c r="BO99" s="140">
        <f t="shared" si="159"/>
        <v>12363</v>
      </c>
      <c r="BP99" s="140">
        <f t="shared" si="159"/>
        <v>12545</v>
      </c>
      <c r="BQ99" s="140">
        <f t="shared" si="159"/>
        <v>12723</v>
      </c>
      <c r="BR99" s="140">
        <f t="shared" si="159"/>
        <v>12905</v>
      </c>
      <c r="BS99" s="140">
        <f t="shared" si="159"/>
        <v>13083</v>
      </c>
      <c r="BT99" s="140">
        <f t="shared" si="159"/>
        <v>13264</v>
      </c>
      <c r="BU99" s="140">
        <f t="shared" si="159"/>
        <v>13442</v>
      </c>
      <c r="BV99" s="140">
        <f t="shared" si="159"/>
        <v>13624</v>
      </c>
      <c r="BW99" s="140">
        <f t="shared" si="159"/>
        <v>13802</v>
      </c>
      <c r="BX99" s="140">
        <f t="shared" si="159"/>
        <v>13984</v>
      </c>
      <c r="BY99" s="140">
        <f t="shared" si="159"/>
        <v>14162</v>
      </c>
      <c r="BZ99" s="140">
        <f t="shared" si="159"/>
        <v>14344</v>
      </c>
      <c r="CA99" s="140">
        <f t="shared" si="159"/>
        <v>14522</v>
      </c>
      <c r="CB99" s="140">
        <f t="shared" si="159"/>
        <v>14703</v>
      </c>
      <c r="CC99" s="17"/>
      <c r="CD99" s="17"/>
      <c r="CE99" s="17"/>
    </row>
    <row r="100" spans="1:83">
      <c r="A100" s="16" t="s">
        <v>41</v>
      </c>
      <c r="B100" s="140">
        <f>B99/360</f>
        <v>1.8694444444444445</v>
      </c>
      <c r="C100" s="140">
        <f t="shared" ref="C100:BN100" si="160">C99/360</f>
        <v>2.3638888888888889</v>
      </c>
      <c r="D100" s="140">
        <f t="shared" si="160"/>
        <v>2.8694444444444445</v>
      </c>
      <c r="E100" s="140">
        <f t="shared" si="160"/>
        <v>3.3638888888888889</v>
      </c>
      <c r="F100" s="140">
        <f t="shared" si="160"/>
        <v>3.8694444444444445</v>
      </c>
      <c r="G100" s="140">
        <f t="shared" si="160"/>
        <v>4.3638888888888889</v>
      </c>
      <c r="H100" s="140">
        <f t="shared" si="160"/>
        <v>4.8666666666666663</v>
      </c>
      <c r="I100" s="140">
        <f t="shared" si="160"/>
        <v>5.3611111111111107</v>
      </c>
      <c r="J100" s="140">
        <f t="shared" si="160"/>
        <v>5.8666666666666663</v>
      </c>
      <c r="K100" s="140">
        <f t="shared" si="160"/>
        <v>6.3611111111111107</v>
      </c>
      <c r="L100" s="140">
        <f t="shared" si="160"/>
        <v>6.8666666666666663</v>
      </c>
      <c r="M100" s="140">
        <f t="shared" si="160"/>
        <v>7.3611111111111107</v>
      </c>
      <c r="N100" s="140">
        <f t="shared" si="160"/>
        <v>7.8666666666666663</v>
      </c>
      <c r="O100" s="140">
        <f t="shared" si="160"/>
        <v>8.3611111111111107</v>
      </c>
      <c r="P100" s="140">
        <f t="shared" si="160"/>
        <v>8.8638888888888889</v>
      </c>
      <c r="Q100" s="140">
        <f t="shared" si="160"/>
        <v>9.3583333333333325</v>
      </c>
      <c r="R100" s="140">
        <f t="shared" si="160"/>
        <v>9.8638888888888889</v>
      </c>
      <c r="S100" s="140">
        <f t="shared" si="160"/>
        <v>10.358333333333333</v>
      </c>
      <c r="T100" s="140">
        <f t="shared" si="160"/>
        <v>10.863888888888889</v>
      </c>
      <c r="U100" s="140">
        <f t="shared" si="160"/>
        <v>11.358333333333333</v>
      </c>
      <c r="V100" s="140">
        <f t="shared" si="160"/>
        <v>11.863888888888889</v>
      </c>
      <c r="W100" s="140">
        <f t="shared" si="160"/>
        <v>12.358333333333333</v>
      </c>
      <c r="X100" s="140">
        <f t="shared" si="160"/>
        <v>12.861111111111111</v>
      </c>
      <c r="Y100" s="140">
        <f t="shared" si="160"/>
        <v>13.355555555555556</v>
      </c>
      <c r="Z100" s="140">
        <f t="shared" si="160"/>
        <v>13.861111111111111</v>
      </c>
      <c r="AA100" s="140">
        <f t="shared" si="160"/>
        <v>14.355555555555556</v>
      </c>
      <c r="AB100" s="140">
        <f t="shared" si="160"/>
        <v>14.861111111111111</v>
      </c>
      <c r="AC100" s="140">
        <f t="shared" si="160"/>
        <v>15.355555555555556</v>
      </c>
      <c r="AD100" s="140">
        <f t="shared" si="160"/>
        <v>15.861111111111111</v>
      </c>
      <c r="AE100" s="140">
        <f t="shared" si="160"/>
        <v>16.355555555555554</v>
      </c>
      <c r="AF100" s="140">
        <f t="shared" si="160"/>
        <v>16.858333333333334</v>
      </c>
      <c r="AG100" s="140">
        <f t="shared" si="160"/>
        <v>17.352777777777778</v>
      </c>
      <c r="AH100" s="140">
        <f t="shared" si="160"/>
        <v>17.858333333333334</v>
      </c>
      <c r="AI100" s="140">
        <f t="shared" si="160"/>
        <v>18.352777777777778</v>
      </c>
      <c r="AJ100" s="140">
        <f t="shared" si="160"/>
        <v>18.858333333333334</v>
      </c>
      <c r="AK100" s="140">
        <f t="shared" si="160"/>
        <v>19.352777777777778</v>
      </c>
      <c r="AL100" s="140">
        <f t="shared" si="160"/>
        <v>19.858333333333334</v>
      </c>
      <c r="AM100" s="140">
        <f t="shared" si="160"/>
        <v>20.352777777777778</v>
      </c>
      <c r="AN100" s="140">
        <f t="shared" si="160"/>
        <v>20.855555555555554</v>
      </c>
      <c r="AO100" s="140">
        <f t="shared" si="160"/>
        <v>21.35</v>
      </c>
      <c r="AP100" s="140">
        <f t="shared" si="160"/>
        <v>21.855555555555554</v>
      </c>
      <c r="AQ100" s="140">
        <f t="shared" si="160"/>
        <v>22.35</v>
      </c>
      <c r="AR100" s="140">
        <f t="shared" si="160"/>
        <v>22.855555555555554</v>
      </c>
      <c r="AS100" s="140">
        <f t="shared" si="160"/>
        <v>23.35</v>
      </c>
      <c r="AT100" s="140">
        <f t="shared" si="160"/>
        <v>23.855555555555554</v>
      </c>
      <c r="AU100" s="140">
        <f t="shared" si="160"/>
        <v>24.35</v>
      </c>
      <c r="AV100" s="140">
        <f t="shared" si="160"/>
        <v>24.852777777777778</v>
      </c>
      <c r="AW100" s="140">
        <f t="shared" si="160"/>
        <v>25.347222222222221</v>
      </c>
      <c r="AX100" s="140">
        <f t="shared" si="160"/>
        <v>25.852777777777778</v>
      </c>
      <c r="AY100" s="140">
        <f t="shared" si="160"/>
        <v>26.347222222222221</v>
      </c>
      <c r="AZ100" s="140">
        <f t="shared" si="160"/>
        <v>26.852777777777778</v>
      </c>
      <c r="BA100" s="140">
        <f t="shared" si="160"/>
        <v>27.347222222222221</v>
      </c>
      <c r="BB100" s="140">
        <f t="shared" si="160"/>
        <v>27.852777777777778</v>
      </c>
      <c r="BC100" s="140">
        <f t="shared" si="160"/>
        <v>28.347222222222221</v>
      </c>
      <c r="BD100" s="140">
        <f t="shared" si="160"/>
        <v>28.85</v>
      </c>
      <c r="BE100" s="140">
        <f t="shared" si="160"/>
        <v>29.344444444444445</v>
      </c>
      <c r="BF100" s="140">
        <f t="shared" si="160"/>
        <v>29.85</v>
      </c>
      <c r="BG100" s="140">
        <f t="shared" si="160"/>
        <v>30.344444444444445</v>
      </c>
      <c r="BH100" s="140">
        <f t="shared" si="160"/>
        <v>30.85</v>
      </c>
      <c r="BI100" s="140">
        <f t="shared" si="160"/>
        <v>31.344444444444445</v>
      </c>
      <c r="BJ100" s="140">
        <f t="shared" si="160"/>
        <v>31.85</v>
      </c>
      <c r="BK100" s="140">
        <f t="shared" si="160"/>
        <v>32.344444444444441</v>
      </c>
      <c r="BL100" s="140">
        <f t="shared" si="160"/>
        <v>32.847222222222221</v>
      </c>
      <c r="BM100" s="140">
        <f t="shared" si="160"/>
        <v>33.341666666666669</v>
      </c>
      <c r="BN100" s="140">
        <f t="shared" si="160"/>
        <v>33.847222222222221</v>
      </c>
      <c r="BO100" s="140">
        <f t="shared" ref="BO100:CB100" si="161">BO99/360</f>
        <v>34.341666666666669</v>
      </c>
      <c r="BP100" s="140">
        <f t="shared" si="161"/>
        <v>34.847222222222221</v>
      </c>
      <c r="BQ100" s="140">
        <f t="shared" si="161"/>
        <v>35.341666666666669</v>
      </c>
      <c r="BR100" s="140">
        <f t="shared" si="161"/>
        <v>35.847222222222221</v>
      </c>
      <c r="BS100" s="140">
        <f t="shared" si="161"/>
        <v>36.341666666666669</v>
      </c>
      <c r="BT100" s="140">
        <f t="shared" si="161"/>
        <v>36.844444444444441</v>
      </c>
      <c r="BU100" s="140">
        <f t="shared" si="161"/>
        <v>37.338888888888889</v>
      </c>
      <c r="BV100" s="140">
        <f t="shared" si="161"/>
        <v>37.844444444444441</v>
      </c>
      <c r="BW100" s="140">
        <f t="shared" si="161"/>
        <v>38.338888888888889</v>
      </c>
      <c r="BX100" s="140">
        <f t="shared" si="161"/>
        <v>38.844444444444441</v>
      </c>
      <c r="BY100" s="140">
        <f t="shared" si="161"/>
        <v>39.338888888888889</v>
      </c>
      <c r="BZ100" s="140">
        <f t="shared" si="161"/>
        <v>39.844444444444441</v>
      </c>
      <c r="CA100" s="140">
        <f t="shared" si="161"/>
        <v>40.338888888888889</v>
      </c>
      <c r="CB100" s="140">
        <f t="shared" si="161"/>
        <v>40.841666666666669</v>
      </c>
      <c r="CC100" s="17"/>
      <c r="CD100" s="17"/>
      <c r="CE100" s="17"/>
    </row>
    <row r="101" spans="1:83">
      <c r="A101" s="16" t="s">
        <v>43</v>
      </c>
      <c r="B101" s="140">
        <f>IF(B99&lt;0,0,$B$5+$B$6*((1-EXP(-B100/$B$9))/(B100/$B$9))+$B$7*((1-EXP(-B100/$B$9))/(B100/$B$9)-EXP(-B100/$B$9))+$B$8*((1-EXP(-B100/$B$10))/(B100/$B$10)-EXP(-B100/$B$10)))</f>
        <v>-2.6699686972877196E-2</v>
      </c>
      <c r="C101" s="140">
        <f t="shared" ref="C101:BN101" si="162">IF(C99&lt;0,0,$B$5+$B$6*((1-EXP(-C100/$B$9))/(C100/$B$9))+$B$7*((1-EXP(-C100/$B$9))/(C100/$B$9)-EXP(-C100/$B$9))+$B$8*((1-EXP(-C100/$B$10))/(C100/$B$10)-EXP(-C100/$B$10)))</f>
        <v>-2.490103314410011E-2</v>
      </c>
      <c r="D101" s="140">
        <f t="shared" si="162"/>
        <v>-1.950853120456901E-2</v>
      </c>
      <c r="E101" s="140">
        <f t="shared" si="162"/>
        <v>-1.3205514227069032E-2</v>
      </c>
      <c r="F101" s="140">
        <f t="shared" si="162"/>
        <v>-6.9265955784607453E-3</v>
      </c>
      <c r="G101" s="140">
        <f t="shared" si="162"/>
        <v>-1.4570288420985983E-3</v>
      </c>
      <c r="H101" s="140">
        <f t="shared" si="162"/>
        <v>3.2568212544214353E-3</v>
      </c>
      <c r="I101" s="140">
        <f t="shared" si="162"/>
        <v>7.0632781151425128E-3</v>
      </c>
      <c r="J101" s="140">
        <f t="shared" si="162"/>
        <v>1.0185749426512278E-2</v>
      </c>
      <c r="K101" s="140">
        <f t="shared" si="162"/>
        <v>1.259089647073075E-2</v>
      </c>
      <c r="L101" s="140">
        <f t="shared" si="162"/>
        <v>1.4495429345555672E-2</v>
      </c>
      <c r="M101" s="140">
        <f t="shared" si="162"/>
        <v>1.5912019967768615E-2</v>
      </c>
      <c r="N101" s="140">
        <f t="shared" si="162"/>
        <v>1.699040056643826E-2</v>
      </c>
      <c r="O101" s="140">
        <f t="shared" si="162"/>
        <v>1.7753468263034845E-2</v>
      </c>
      <c r="P101" s="140">
        <f t="shared" si="162"/>
        <v>1.8292974801619309E-2</v>
      </c>
      <c r="Q101" s="140">
        <f t="shared" si="162"/>
        <v>1.8638400961935184E-2</v>
      </c>
      <c r="R101" s="140">
        <f t="shared" si="162"/>
        <v>1.8841579703999217E-2</v>
      </c>
      <c r="S101" s="140">
        <f t="shared" si="162"/>
        <v>1.8924996306695259E-2</v>
      </c>
      <c r="T101" s="140">
        <f t="shared" si="162"/>
        <v>1.8918612626240436E-2</v>
      </c>
      <c r="U101" s="140">
        <f t="shared" si="162"/>
        <v>1.884331341458502E-2</v>
      </c>
      <c r="V101" s="140">
        <f t="shared" si="162"/>
        <v>1.8712903423530033E-2</v>
      </c>
      <c r="W101" s="140">
        <f t="shared" si="162"/>
        <v>1.854663210799562E-2</v>
      </c>
      <c r="X101" s="140">
        <f t="shared" si="162"/>
        <v>1.8349457544926076E-2</v>
      </c>
      <c r="Y101" s="140">
        <f t="shared" si="162"/>
        <v>1.8136748018664363E-2</v>
      </c>
      <c r="Z101" s="140">
        <f t="shared" si="162"/>
        <v>1.7907362411689741E-2</v>
      </c>
      <c r="AA101" s="140">
        <f t="shared" si="162"/>
        <v>1.767718289820424E-2</v>
      </c>
      <c r="AB101" s="140">
        <f t="shared" si="162"/>
        <v>1.7440672747711241E-2</v>
      </c>
      <c r="AC101" s="140">
        <f t="shared" si="162"/>
        <v>1.7211967913670738E-2</v>
      </c>
      <c r="AD101" s="140">
        <f t="shared" si="162"/>
        <v>1.6983856350505481E-2</v>
      </c>
      <c r="AE101" s="140">
        <f t="shared" si="162"/>
        <v>1.6768713761861051E-2</v>
      </c>
      <c r="AF101" s="140">
        <f t="shared" si="162"/>
        <v>1.6559879478374399E-2</v>
      </c>
      <c r="AG101" s="140">
        <f t="shared" si="162"/>
        <v>1.6365672858055957E-2</v>
      </c>
      <c r="AH101" s="140">
        <f t="shared" si="162"/>
        <v>1.6179630150068066E-2</v>
      </c>
      <c r="AI101" s="140">
        <f t="shared" si="162"/>
        <v>1.6010685942065495E-2</v>
      </c>
      <c r="AJ101" s="140">
        <f t="shared" si="162"/>
        <v>1.5851777540301551E-2</v>
      </c>
      <c r="AK101" s="140">
        <f t="shared" si="162"/>
        <v>1.5710204899793131E-2</v>
      </c>
      <c r="AL101" s="140">
        <f t="shared" si="162"/>
        <v>1.5579760191163021E-2</v>
      </c>
      <c r="AM101" s="140">
        <f t="shared" si="162"/>
        <v>1.5466192593373295E-2</v>
      </c>
      <c r="AN101" s="140">
        <f t="shared" si="162"/>
        <v>1.5364820890532059E-2</v>
      </c>
      <c r="AO101" s="140">
        <f t="shared" si="162"/>
        <v>1.5278821719056295E-2</v>
      </c>
      <c r="AP101" s="140">
        <f t="shared" si="162"/>
        <v>1.5204664847320037E-2</v>
      </c>
      <c r="AQ101" s="140">
        <f t="shared" si="162"/>
        <v>1.5145295208169533E-2</v>
      </c>
      <c r="AR101" s="140">
        <f t="shared" si="162"/>
        <v>1.5097673385298153E-2</v>
      </c>
      <c r="AS101" s="140">
        <f t="shared" si="162"/>
        <v>1.5063497096545073E-2</v>
      </c>
      <c r="AT101" s="140">
        <f t="shared" si="162"/>
        <v>1.5040795524111212E-2</v>
      </c>
      <c r="AU101" s="140">
        <f t="shared" si="162"/>
        <v>1.503012514949912E-2</v>
      </c>
      <c r="AV101" s="140">
        <f t="shared" si="162"/>
        <v>1.503050552368089E-2</v>
      </c>
      <c r="AW101" s="140">
        <f t="shared" si="162"/>
        <v>1.5041463638804865E-2</v>
      </c>
      <c r="AX101" s="140">
        <f t="shared" si="162"/>
        <v>1.5063040624672484E-2</v>
      </c>
      <c r="AY101" s="140">
        <f t="shared" si="162"/>
        <v>1.5093821585118721E-2</v>
      </c>
      <c r="AZ101" s="140">
        <f t="shared" si="162"/>
        <v>1.5134712315596648E-2</v>
      </c>
      <c r="BA101" s="140">
        <f t="shared" si="162"/>
        <v>1.5183456967027976E-2</v>
      </c>
      <c r="BB101" s="140">
        <f t="shared" si="162"/>
        <v>1.5241781508827185E-2</v>
      </c>
      <c r="BC101" s="140">
        <f t="shared" si="162"/>
        <v>1.5306679834988443E-2</v>
      </c>
      <c r="BD101" s="140">
        <f t="shared" si="162"/>
        <v>1.5380197035663595E-2</v>
      </c>
      <c r="BE101" s="140">
        <f t="shared" si="162"/>
        <v>1.5459476916805687E-2</v>
      </c>
      <c r="BF101" s="140">
        <f t="shared" si="162"/>
        <v>1.5547275636388865E-2</v>
      </c>
      <c r="BG101" s="140">
        <f t="shared" si="162"/>
        <v>1.5639337280522556E-2</v>
      </c>
      <c r="BH101" s="140">
        <f t="shared" si="162"/>
        <v>1.5739404265008874E-2</v>
      </c>
      <c r="BI101" s="140">
        <f t="shared" si="162"/>
        <v>1.5842707657122007E-2</v>
      </c>
      <c r="BJ101" s="140">
        <f t="shared" si="162"/>
        <v>1.5953522614641263E-2</v>
      </c>
      <c r="BK101" s="140">
        <f t="shared" si="162"/>
        <v>1.6066634682737106E-2</v>
      </c>
      <c r="BL101" s="140">
        <f t="shared" si="162"/>
        <v>1.6186115614831246E-2</v>
      </c>
      <c r="BM101" s="140">
        <f t="shared" si="162"/>
        <v>1.6307689510452486E-2</v>
      </c>
      <c r="BN101" s="140">
        <f t="shared" si="162"/>
        <v>1.6435859820771274E-2</v>
      </c>
      <c r="BO101" s="140">
        <f t="shared" ref="BO101:CB101" si="163">IF(BO99&lt;0,0,$B$5+$B$6*((1-EXP(-BO100/$B$9))/(BO100/$B$9))+$B$7*((1-EXP(-BO100/$B$9))/(BO100/$B$9)-EXP(-BO100/$B$9))+$B$8*((1-EXP(-BO100/$B$10))/(BO100/$B$10)-EXP(-BO100/$B$10)))</f>
        <v>1.6564702195848012E-2</v>
      </c>
      <c r="BP101" s="140">
        <f t="shared" si="163"/>
        <v>1.6699721223830774E-2</v>
      </c>
      <c r="BQ101" s="140">
        <f t="shared" si="163"/>
        <v>1.6834716759390932E-2</v>
      </c>
      <c r="BR101" s="140">
        <f t="shared" si="163"/>
        <v>1.6975495344737537E-2</v>
      </c>
      <c r="BS101" s="140">
        <f t="shared" si="163"/>
        <v>1.7115627705440759E-2</v>
      </c>
      <c r="BT101" s="140">
        <f t="shared" si="163"/>
        <v>1.7260369774670624E-2</v>
      </c>
      <c r="BU101" s="140">
        <f t="shared" si="163"/>
        <v>1.7404705935457711E-2</v>
      </c>
      <c r="BV101" s="140">
        <f t="shared" si="163"/>
        <v>1.7554115595767285E-2</v>
      </c>
      <c r="BW101" s="140">
        <f t="shared" si="163"/>
        <v>1.7701833978612067E-2</v>
      </c>
      <c r="BX101" s="140">
        <f t="shared" si="163"/>
        <v>1.7854307246544524E-2</v>
      </c>
      <c r="BY101" s="140">
        <f t="shared" si="163"/>
        <v>1.800465576396932E-2</v>
      </c>
      <c r="BZ101" s="140">
        <f t="shared" si="163"/>
        <v>1.8159463554846288E-2</v>
      </c>
      <c r="CA101" s="140">
        <f t="shared" si="163"/>
        <v>1.8311766726150668E-2</v>
      </c>
      <c r="CB101" s="140">
        <f t="shared" si="163"/>
        <v>1.8467393666303428E-2</v>
      </c>
      <c r="CC101" s="17"/>
      <c r="CD101" s="17"/>
      <c r="CE101" s="17"/>
    </row>
    <row r="102" spans="1:83">
      <c r="A102" s="16" t="s">
        <v>44</v>
      </c>
      <c r="B102" s="140">
        <f>EXP(-B101*B100)</f>
        <v>1.0511802510090174</v>
      </c>
      <c r="C102" s="140">
        <f t="shared" ref="C102:AR102" si="164">EXP(-C101*C100)</f>
        <v>1.0606302167656614</v>
      </c>
      <c r="D102" s="140">
        <f t="shared" si="164"/>
        <v>1.0575751005489005</v>
      </c>
      <c r="E102" s="140">
        <f t="shared" si="164"/>
        <v>1.0454233077495281</v>
      </c>
      <c r="F102" s="140">
        <f t="shared" si="164"/>
        <v>1.0271644829413509</v>
      </c>
      <c r="G102" s="140">
        <f t="shared" si="164"/>
        <v>1.0063785689510425</v>
      </c>
      <c r="H102" s="140">
        <f t="shared" si="164"/>
        <v>0.98427508463966285</v>
      </c>
      <c r="I102" s="140">
        <f t="shared" si="164"/>
        <v>0.96284097214146513</v>
      </c>
      <c r="J102" s="140">
        <f t="shared" si="164"/>
        <v>0.94199397853880695</v>
      </c>
      <c r="K102" s="140">
        <f t="shared" si="164"/>
        <v>0.92303133918838098</v>
      </c>
      <c r="L102" s="140">
        <f t="shared" si="164"/>
        <v>0.90525801043901399</v>
      </c>
      <c r="M102" s="140">
        <f t="shared" si="164"/>
        <v>0.88946942386632888</v>
      </c>
      <c r="N102" s="140">
        <f t="shared" si="164"/>
        <v>0.87488938497321611</v>
      </c>
      <c r="O102" s="140">
        <f t="shared" si="164"/>
        <v>0.86205283149878498</v>
      </c>
      <c r="P102" s="140">
        <f t="shared" si="164"/>
        <v>0.85031628722869046</v>
      </c>
      <c r="Q102" s="140">
        <f t="shared" si="164"/>
        <v>0.83994037735592886</v>
      </c>
      <c r="R102" s="140">
        <f t="shared" si="164"/>
        <v>0.8303971084518561</v>
      </c>
      <c r="S102" s="140">
        <f t="shared" si="164"/>
        <v>0.82198640739634965</v>
      </c>
      <c r="T102" s="140">
        <f t="shared" si="164"/>
        <v>0.81421590751449691</v>
      </c>
      <c r="U102" s="140">
        <f t="shared" si="164"/>
        <v>0.80732526703978047</v>
      </c>
      <c r="V102" s="140">
        <f t="shared" si="164"/>
        <v>0.80090911160859757</v>
      </c>
      <c r="W102" s="140">
        <f t="shared" si="164"/>
        <v>0.7951651406580339</v>
      </c>
      <c r="X102" s="140">
        <f t="shared" si="164"/>
        <v>0.78978508699161776</v>
      </c>
      <c r="Y102" s="140">
        <f t="shared" si="164"/>
        <v>0.78487850352301747</v>
      </c>
      <c r="Z102" s="140">
        <f t="shared" si="164"/>
        <v>0.78019145047029415</v>
      </c>
      <c r="AA102" s="140">
        <f t="shared" si="164"/>
        <v>0.77587350495815222</v>
      </c>
      <c r="AB102" s="140">
        <f t="shared" si="164"/>
        <v>0.77167810715247076</v>
      </c>
      <c r="AC102" s="140">
        <f t="shared" si="164"/>
        <v>0.76774369690769728</v>
      </c>
      <c r="AD102" s="140">
        <f t="shared" si="164"/>
        <v>0.76385077263458001</v>
      </c>
      <c r="AE102" s="140">
        <f t="shared" si="164"/>
        <v>0.76013317595951935</v>
      </c>
      <c r="AF102" s="140">
        <f t="shared" si="164"/>
        <v>0.75640981359088633</v>
      </c>
      <c r="AG102" s="140">
        <f t="shared" si="164"/>
        <v>0.75277425951404653</v>
      </c>
      <c r="AH102" s="140">
        <f t="shared" si="164"/>
        <v>0.74905622731956178</v>
      </c>
      <c r="AI102" s="140">
        <f t="shared" si="164"/>
        <v>0.74539532693244026</v>
      </c>
      <c r="AJ102" s="140">
        <f t="shared" si="164"/>
        <v>0.74160530983766082</v>
      </c>
      <c r="AK102" s="140">
        <f t="shared" si="164"/>
        <v>0.73783422700424761</v>
      </c>
      <c r="AL102" s="140">
        <f t="shared" si="164"/>
        <v>0.73389591094194129</v>
      </c>
      <c r="AM102" s="140">
        <f t="shared" si="164"/>
        <v>0.72994945941011291</v>
      </c>
      <c r="AN102" s="140">
        <f t="shared" si="164"/>
        <v>0.72582824035285576</v>
      </c>
      <c r="AO102" s="140">
        <f t="shared" si="164"/>
        <v>0.72165878864401922</v>
      </c>
      <c r="AP102" s="140">
        <f t="shared" si="164"/>
        <v>0.71726752036960428</v>
      </c>
      <c r="AQ102" s="140">
        <f t="shared" si="164"/>
        <v>0.71284066990927586</v>
      </c>
      <c r="AR102" s="140">
        <f t="shared" si="164"/>
        <v>0.70817381584217021</v>
      </c>
      <c r="AS102" s="140">
        <f>EXP(-AS101*AS100)</f>
        <v>0.70346816398500922</v>
      </c>
      <c r="AT102" s="140">
        <f t="shared" ref="AT102:CA102" si="165">EXP(-AT101*AT100)</f>
        <v>0.69850947665564911</v>
      </c>
      <c r="AU102" s="140">
        <f t="shared" si="165"/>
        <v>0.6935142112345295</v>
      </c>
      <c r="AV102" s="140">
        <f t="shared" si="165"/>
        <v>0.68828669935744469</v>
      </c>
      <c r="AW102" s="140">
        <f t="shared" si="165"/>
        <v>0.68300074994198268</v>
      </c>
      <c r="AX102" s="140">
        <f t="shared" si="165"/>
        <v>0.67744870455587669</v>
      </c>
      <c r="AY102" s="140">
        <f t="shared" si="165"/>
        <v>0.67187681149865641</v>
      </c>
      <c r="AZ102" s="140">
        <f t="shared" si="165"/>
        <v>0.66603765797030601</v>
      </c>
      <c r="BA102" s="140">
        <f t="shared" si="165"/>
        <v>0.66019147541015288</v>
      </c>
      <c r="BB102" s="140">
        <f t="shared" si="165"/>
        <v>0.65407977600648382</v>
      </c>
      <c r="BC102" s="140">
        <f t="shared" si="165"/>
        <v>0.64797584810534725</v>
      </c>
      <c r="BD102" s="140">
        <f t="shared" si="165"/>
        <v>0.64164590039111191</v>
      </c>
      <c r="BE102" s="140">
        <f t="shared" si="165"/>
        <v>0.63530520261007162</v>
      </c>
      <c r="BF102" s="140">
        <f t="shared" si="165"/>
        <v>0.62870937137579885</v>
      </c>
      <c r="BG102" s="140">
        <f t="shared" si="165"/>
        <v>0.62215439021929864</v>
      </c>
      <c r="BH102" s="140">
        <f t="shared" si="165"/>
        <v>0.61535212036946363</v>
      </c>
      <c r="BI102" s="140">
        <f t="shared" si="165"/>
        <v>0.6086080162344063</v>
      </c>
      <c r="BJ102" s="140">
        <f t="shared" si="165"/>
        <v>0.6016257556911323</v>
      </c>
      <c r="BK102" s="140">
        <f t="shared" si="165"/>
        <v>0.59471892922438729</v>
      </c>
      <c r="BL102" s="140">
        <f t="shared" si="165"/>
        <v>0.58762344463090221</v>
      </c>
      <c r="BM102" s="140">
        <f t="shared" si="165"/>
        <v>0.58058123509677473</v>
      </c>
      <c r="BN102" s="140">
        <f t="shared" si="165"/>
        <v>0.57332175101379024</v>
      </c>
      <c r="BO102" s="140">
        <f t="shared" si="165"/>
        <v>0.56617079902308709</v>
      </c>
      <c r="BP102" s="140">
        <f t="shared" si="165"/>
        <v>0.55881383330061496</v>
      </c>
      <c r="BQ102" s="140">
        <f t="shared" si="165"/>
        <v>0.55158079633883716</v>
      </c>
      <c r="BR102" s="140">
        <f t="shared" si="165"/>
        <v>0.544153254508284</v>
      </c>
      <c r="BS102" s="140">
        <f t="shared" si="165"/>
        <v>0.53686402068658046</v>
      </c>
      <c r="BT102" s="140">
        <f t="shared" si="165"/>
        <v>0.52943295825944825</v>
      </c>
      <c r="BU102" s="140">
        <f t="shared" si="165"/>
        <v>0.52211240393693881</v>
      </c>
      <c r="BV102" s="140">
        <f t="shared" si="165"/>
        <v>0.51462039230340562</v>
      </c>
      <c r="BW102" s="140">
        <f t="shared" si="165"/>
        <v>0.50729192809631174</v>
      </c>
      <c r="BX102" s="140">
        <f t="shared" si="165"/>
        <v>0.49980330601242651</v>
      </c>
      <c r="BY102" s="140">
        <f t="shared" si="165"/>
        <v>0.49248900052367467</v>
      </c>
      <c r="BZ102" s="140">
        <f t="shared" si="165"/>
        <v>0.48502553654920399</v>
      </c>
      <c r="CA102" s="140">
        <f t="shared" si="165"/>
        <v>0.47774587824700238</v>
      </c>
      <c r="CB102" s="140">
        <f>EXP(-CB101*CB100)</f>
        <v>0.47036836481816624</v>
      </c>
      <c r="CC102" s="17"/>
      <c r="CD102" s="17"/>
      <c r="CE102" s="17"/>
    </row>
    <row r="103" spans="1:83">
      <c r="A103" s="17"/>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c r="BJ103" s="5"/>
      <c r="BK103" s="5"/>
      <c r="BL103" s="5"/>
      <c r="BM103" s="5"/>
      <c r="BN103" s="5"/>
      <c r="BO103" s="5"/>
      <c r="BP103" s="5"/>
      <c r="BQ103" s="5"/>
      <c r="BR103" s="5"/>
      <c r="BS103" s="5"/>
      <c r="BT103" s="5"/>
      <c r="BU103" s="5"/>
      <c r="BV103" s="5"/>
      <c r="BW103" s="5"/>
      <c r="BX103" s="5"/>
      <c r="BY103" s="5"/>
      <c r="BZ103" s="5"/>
      <c r="CA103" s="5"/>
      <c r="CB103" s="5"/>
      <c r="CC103" s="17"/>
      <c r="CD103" s="17"/>
      <c r="CE103" s="17"/>
    </row>
    <row r="104" spans="1:83">
      <c r="A104" s="16" t="s">
        <v>40</v>
      </c>
      <c r="B104" s="140">
        <f t="shared" ref="B104:BM104" si="166">DAYS360($B$3,B38)</f>
        <v>103</v>
      </c>
      <c r="C104" s="140">
        <f t="shared" si="166"/>
        <v>282</v>
      </c>
      <c r="D104" s="140">
        <f t="shared" si="166"/>
        <v>462</v>
      </c>
      <c r="E104" s="140">
        <f t="shared" si="166"/>
        <v>642</v>
      </c>
      <c r="F104" s="140">
        <f t="shared" si="166"/>
        <v>822</v>
      </c>
      <c r="G104" s="140">
        <f t="shared" si="166"/>
        <v>1002</v>
      </c>
      <c r="H104" s="140">
        <f t="shared" si="166"/>
        <v>1182</v>
      </c>
      <c r="I104" s="140">
        <f t="shared" si="166"/>
        <v>1362</v>
      </c>
      <c r="J104" s="140">
        <f t="shared" si="166"/>
        <v>1542</v>
      </c>
      <c r="K104" s="140">
        <f t="shared" si="166"/>
        <v>1721</v>
      </c>
      <c r="L104" s="140">
        <f t="shared" si="166"/>
        <v>1901</v>
      </c>
      <c r="M104" s="140">
        <f t="shared" si="166"/>
        <v>2081</v>
      </c>
      <c r="N104" s="140">
        <f t="shared" si="166"/>
        <v>2261</v>
      </c>
      <c r="O104" s="140">
        <f t="shared" si="166"/>
        <v>2441</v>
      </c>
      <c r="P104" s="140">
        <f t="shared" si="166"/>
        <v>2621</v>
      </c>
      <c r="Q104" s="140">
        <f t="shared" si="166"/>
        <v>2801</v>
      </c>
      <c r="R104" s="140">
        <f t="shared" si="166"/>
        <v>2981</v>
      </c>
      <c r="S104" s="140">
        <f t="shared" si="166"/>
        <v>3160</v>
      </c>
      <c r="T104" s="140">
        <f t="shared" si="166"/>
        <v>3340</v>
      </c>
      <c r="U104" s="140">
        <f t="shared" si="166"/>
        <v>3520</v>
      </c>
      <c r="V104" s="140">
        <f t="shared" si="166"/>
        <v>3700</v>
      </c>
      <c r="W104" s="140">
        <f t="shared" si="166"/>
        <v>3880</v>
      </c>
      <c r="X104" s="140">
        <f t="shared" si="166"/>
        <v>4060</v>
      </c>
      <c r="Y104" s="140">
        <f t="shared" si="166"/>
        <v>4240</v>
      </c>
      <c r="Z104" s="140">
        <f t="shared" si="166"/>
        <v>4420</v>
      </c>
      <c r="AA104" s="140">
        <f t="shared" si="166"/>
        <v>4599</v>
      </c>
      <c r="AB104" s="140">
        <f t="shared" si="166"/>
        <v>4779</v>
      </c>
      <c r="AC104" s="140">
        <f t="shared" si="166"/>
        <v>4959</v>
      </c>
      <c r="AD104" s="140">
        <f t="shared" si="166"/>
        <v>5139</v>
      </c>
      <c r="AE104" s="140">
        <f t="shared" si="166"/>
        <v>5319</v>
      </c>
      <c r="AF104" s="140">
        <f t="shared" si="166"/>
        <v>5499</v>
      </c>
      <c r="AG104" s="140">
        <f t="shared" si="166"/>
        <v>5679</v>
      </c>
      <c r="AH104" s="140">
        <f t="shared" si="166"/>
        <v>5859</v>
      </c>
      <c r="AI104" s="140">
        <f t="shared" si="166"/>
        <v>6038</v>
      </c>
      <c r="AJ104" s="140">
        <f t="shared" si="166"/>
        <v>6218</v>
      </c>
      <c r="AK104" s="140">
        <f t="shared" si="166"/>
        <v>6398</v>
      </c>
      <c r="AL104" s="140">
        <f t="shared" si="166"/>
        <v>6578</v>
      </c>
      <c r="AM104" s="140">
        <f t="shared" si="166"/>
        <v>6758</v>
      </c>
      <c r="AN104" s="140">
        <f t="shared" si="166"/>
        <v>6938</v>
      </c>
      <c r="AO104" s="140">
        <f t="shared" si="166"/>
        <v>7118</v>
      </c>
      <c r="AP104" s="140">
        <f t="shared" si="166"/>
        <v>7298</v>
      </c>
      <c r="AQ104" s="140">
        <f t="shared" si="166"/>
        <v>7477</v>
      </c>
      <c r="AR104" s="140">
        <f t="shared" si="166"/>
        <v>7657</v>
      </c>
      <c r="AS104" s="140">
        <f t="shared" si="166"/>
        <v>7837</v>
      </c>
      <c r="AT104" s="140">
        <f t="shared" si="166"/>
        <v>8017</v>
      </c>
      <c r="AU104" s="140">
        <f t="shared" si="166"/>
        <v>8197</v>
      </c>
      <c r="AV104" s="140">
        <f t="shared" si="166"/>
        <v>8377</v>
      </c>
      <c r="AW104" s="140">
        <f t="shared" si="166"/>
        <v>8557</v>
      </c>
      <c r="AX104" s="140">
        <f t="shared" si="166"/>
        <v>8737</v>
      </c>
      <c r="AY104" s="140">
        <f t="shared" si="166"/>
        <v>8916</v>
      </c>
      <c r="AZ104" s="140">
        <f t="shared" si="166"/>
        <v>9096</v>
      </c>
      <c r="BA104" s="140">
        <f t="shared" si="166"/>
        <v>9276</v>
      </c>
      <c r="BB104" s="140">
        <f t="shared" si="166"/>
        <v>9456</v>
      </c>
      <c r="BC104" s="140">
        <f t="shared" si="166"/>
        <v>9636</v>
      </c>
      <c r="BD104" s="140">
        <f t="shared" si="166"/>
        <v>9816</v>
      </c>
      <c r="BE104" s="140">
        <f t="shared" si="166"/>
        <v>9996</v>
      </c>
      <c r="BF104" s="140">
        <f t="shared" si="166"/>
        <v>10176</v>
      </c>
      <c r="BG104" s="140">
        <f t="shared" si="166"/>
        <v>10355</v>
      </c>
      <c r="BH104" s="140">
        <f t="shared" si="166"/>
        <v>10535</v>
      </c>
      <c r="BI104" s="140">
        <f t="shared" si="166"/>
        <v>10715</v>
      </c>
      <c r="BJ104" s="140">
        <f t="shared" si="166"/>
        <v>10895</v>
      </c>
      <c r="BK104" s="140">
        <f t="shared" si="166"/>
        <v>11075</v>
      </c>
      <c r="BL104" s="140">
        <f t="shared" si="166"/>
        <v>11255</v>
      </c>
      <c r="BM104" s="140">
        <f t="shared" si="166"/>
        <v>11435</v>
      </c>
      <c r="BN104" s="140">
        <f t="shared" ref="BN104:CB104" si="167">DAYS360($B$3,BN38)</f>
        <v>11615</v>
      </c>
      <c r="BO104" s="140">
        <f t="shared" si="167"/>
        <v>11794</v>
      </c>
      <c r="BP104" s="140">
        <f t="shared" si="167"/>
        <v>11974</v>
      </c>
      <c r="BQ104" s="140">
        <f t="shared" si="167"/>
        <v>12154</v>
      </c>
      <c r="BR104" s="140">
        <f t="shared" si="167"/>
        <v>12334</v>
      </c>
      <c r="BS104" s="140">
        <f t="shared" si="167"/>
        <v>12514</v>
      </c>
      <c r="BT104" s="140">
        <f t="shared" si="167"/>
        <v>12694</v>
      </c>
      <c r="BU104" s="140">
        <f t="shared" si="167"/>
        <v>12874</v>
      </c>
      <c r="BV104" s="140">
        <f t="shared" si="167"/>
        <v>13054</v>
      </c>
      <c r="BW104" s="140">
        <f t="shared" si="167"/>
        <v>13233</v>
      </c>
      <c r="BX104" s="140">
        <f t="shared" si="167"/>
        <v>13413</v>
      </c>
      <c r="BY104" s="140">
        <f t="shared" si="167"/>
        <v>13593</v>
      </c>
      <c r="BZ104" s="140">
        <f t="shared" si="167"/>
        <v>13773</v>
      </c>
      <c r="CA104" s="140">
        <f t="shared" si="167"/>
        <v>13953</v>
      </c>
      <c r="CB104" s="140">
        <f t="shared" si="167"/>
        <v>14133</v>
      </c>
      <c r="CC104" s="17"/>
      <c r="CD104" s="17"/>
      <c r="CE104" s="17"/>
    </row>
    <row r="105" spans="1:83">
      <c r="A105" s="16" t="s">
        <v>41</v>
      </c>
      <c r="B105" s="140">
        <f>B104/360</f>
        <v>0.28611111111111109</v>
      </c>
      <c r="C105" s="140">
        <f t="shared" ref="C105:BN105" si="168">C104/360</f>
        <v>0.78333333333333333</v>
      </c>
      <c r="D105" s="140">
        <f t="shared" si="168"/>
        <v>1.2833333333333334</v>
      </c>
      <c r="E105" s="140">
        <f t="shared" si="168"/>
        <v>1.7833333333333334</v>
      </c>
      <c r="F105" s="140">
        <f t="shared" si="168"/>
        <v>2.2833333333333332</v>
      </c>
      <c r="G105" s="140">
        <f t="shared" si="168"/>
        <v>2.7833333333333332</v>
      </c>
      <c r="H105" s="140">
        <f t="shared" si="168"/>
        <v>3.2833333333333332</v>
      </c>
      <c r="I105" s="140">
        <f t="shared" si="168"/>
        <v>3.7833333333333332</v>
      </c>
      <c r="J105" s="140">
        <f t="shared" si="168"/>
        <v>4.2833333333333332</v>
      </c>
      <c r="K105" s="140">
        <f t="shared" si="168"/>
        <v>4.7805555555555559</v>
      </c>
      <c r="L105" s="140">
        <f t="shared" si="168"/>
        <v>5.2805555555555559</v>
      </c>
      <c r="M105" s="140">
        <f t="shared" si="168"/>
        <v>5.7805555555555559</v>
      </c>
      <c r="N105" s="140">
        <f t="shared" si="168"/>
        <v>6.2805555555555559</v>
      </c>
      <c r="O105" s="140">
        <f t="shared" si="168"/>
        <v>6.7805555555555559</v>
      </c>
      <c r="P105" s="140">
        <f t="shared" si="168"/>
        <v>7.2805555555555559</v>
      </c>
      <c r="Q105" s="140">
        <f t="shared" si="168"/>
        <v>7.7805555555555559</v>
      </c>
      <c r="R105" s="140">
        <f t="shared" si="168"/>
        <v>8.280555555555555</v>
      </c>
      <c r="S105" s="140">
        <f t="shared" si="168"/>
        <v>8.7777777777777786</v>
      </c>
      <c r="T105" s="140">
        <f t="shared" si="168"/>
        <v>9.2777777777777786</v>
      </c>
      <c r="U105" s="140">
        <f t="shared" si="168"/>
        <v>9.7777777777777786</v>
      </c>
      <c r="V105" s="140">
        <f t="shared" si="168"/>
        <v>10.277777777777779</v>
      </c>
      <c r="W105" s="140">
        <f t="shared" si="168"/>
        <v>10.777777777777779</v>
      </c>
      <c r="X105" s="140">
        <f t="shared" si="168"/>
        <v>11.277777777777779</v>
      </c>
      <c r="Y105" s="140">
        <f t="shared" si="168"/>
        <v>11.777777777777779</v>
      </c>
      <c r="Z105" s="140">
        <f t="shared" si="168"/>
        <v>12.277777777777779</v>
      </c>
      <c r="AA105" s="140">
        <f t="shared" si="168"/>
        <v>12.775</v>
      </c>
      <c r="AB105" s="140">
        <f t="shared" si="168"/>
        <v>13.275</v>
      </c>
      <c r="AC105" s="140">
        <f t="shared" si="168"/>
        <v>13.775</v>
      </c>
      <c r="AD105" s="140">
        <f t="shared" si="168"/>
        <v>14.275</v>
      </c>
      <c r="AE105" s="140">
        <f t="shared" si="168"/>
        <v>14.775</v>
      </c>
      <c r="AF105" s="140">
        <f t="shared" si="168"/>
        <v>15.275</v>
      </c>
      <c r="AG105" s="140">
        <f t="shared" si="168"/>
        <v>15.775</v>
      </c>
      <c r="AH105" s="140">
        <f t="shared" si="168"/>
        <v>16.274999999999999</v>
      </c>
      <c r="AI105" s="140">
        <f t="shared" si="168"/>
        <v>16.772222222222222</v>
      </c>
      <c r="AJ105" s="140">
        <f t="shared" si="168"/>
        <v>17.272222222222222</v>
      </c>
      <c r="AK105" s="140">
        <f t="shared" si="168"/>
        <v>17.772222222222222</v>
      </c>
      <c r="AL105" s="140">
        <f t="shared" si="168"/>
        <v>18.272222222222222</v>
      </c>
      <c r="AM105" s="140">
        <f t="shared" si="168"/>
        <v>18.772222222222222</v>
      </c>
      <c r="AN105" s="140">
        <f t="shared" si="168"/>
        <v>19.272222222222222</v>
      </c>
      <c r="AO105" s="140">
        <f t="shared" si="168"/>
        <v>19.772222222222222</v>
      </c>
      <c r="AP105" s="140">
        <f t="shared" si="168"/>
        <v>20.272222222222222</v>
      </c>
      <c r="AQ105" s="140">
        <f t="shared" si="168"/>
        <v>20.769444444444446</v>
      </c>
      <c r="AR105" s="140">
        <f t="shared" si="168"/>
        <v>21.269444444444446</v>
      </c>
      <c r="AS105" s="140">
        <f t="shared" si="168"/>
        <v>21.769444444444446</v>
      </c>
      <c r="AT105" s="140">
        <f t="shared" si="168"/>
        <v>22.269444444444446</v>
      </c>
      <c r="AU105" s="140">
        <f t="shared" si="168"/>
        <v>22.769444444444446</v>
      </c>
      <c r="AV105" s="140">
        <f t="shared" si="168"/>
        <v>23.269444444444446</v>
      </c>
      <c r="AW105" s="140">
        <f t="shared" si="168"/>
        <v>23.769444444444446</v>
      </c>
      <c r="AX105" s="140">
        <f t="shared" si="168"/>
        <v>24.269444444444446</v>
      </c>
      <c r="AY105" s="140">
        <f t="shared" si="168"/>
        <v>24.766666666666666</v>
      </c>
      <c r="AZ105" s="140">
        <f t="shared" si="168"/>
        <v>25.266666666666666</v>
      </c>
      <c r="BA105" s="140">
        <f t="shared" si="168"/>
        <v>25.766666666666666</v>
      </c>
      <c r="BB105" s="140">
        <f t="shared" si="168"/>
        <v>26.266666666666666</v>
      </c>
      <c r="BC105" s="140">
        <f t="shared" si="168"/>
        <v>26.766666666666666</v>
      </c>
      <c r="BD105" s="140">
        <f t="shared" si="168"/>
        <v>27.266666666666666</v>
      </c>
      <c r="BE105" s="140">
        <f t="shared" si="168"/>
        <v>27.766666666666666</v>
      </c>
      <c r="BF105" s="140">
        <f t="shared" si="168"/>
        <v>28.266666666666666</v>
      </c>
      <c r="BG105" s="140">
        <f t="shared" si="168"/>
        <v>28.763888888888889</v>
      </c>
      <c r="BH105" s="140">
        <f t="shared" si="168"/>
        <v>29.263888888888889</v>
      </c>
      <c r="BI105" s="140">
        <f t="shared" si="168"/>
        <v>29.763888888888889</v>
      </c>
      <c r="BJ105" s="140">
        <f t="shared" si="168"/>
        <v>30.263888888888889</v>
      </c>
      <c r="BK105" s="140">
        <f t="shared" si="168"/>
        <v>30.763888888888889</v>
      </c>
      <c r="BL105" s="140">
        <f t="shared" si="168"/>
        <v>31.263888888888889</v>
      </c>
      <c r="BM105" s="140">
        <f t="shared" si="168"/>
        <v>31.763888888888889</v>
      </c>
      <c r="BN105" s="140">
        <f t="shared" si="168"/>
        <v>32.263888888888886</v>
      </c>
      <c r="BO105" s="140">
        <f t="shared" ref="BO105:CB105" si="169">BO104/360</f>
        <v>32.761111111111113</v>
      </c>
      <c r="BP105" s="140">
        <f t="shared" si="169"/>
        <v>33.261111111111113</v>
      </c>
      <c r="BQ105" s="140">
        <f t="shared" si="169"/>
        <v>33.761111111111113</v>
      </c>
      <c r="BR105" s="140">
        <f t="shared" si="169"/>
        <v>34.261111111111113</v>
      </c>
      <c r="BS105" s="140">
        <f t="shared" si="169"/>
        <v>34.761111111111113</v>
      </c>
      <c r="BT105" s="140">
        <f t="shared" si="169"/>
        <v>35.261111111111113</v>
      </c>
      <c r="BU105" s="140">
        <f t="shared" si="169"/>
        <v>35.761111111111113</v>
      </c>
      <c r="BV105" s="140">
        <f t="shared" si="169"/>
        <v>36.261111111111113</v>
      </c>
      <c r="BW105" s="140">
        <f t="shared" si="169"/>
        <v>36.758333333333333</v>
      </c>
      <c r="BX105" s="140">
        <f t="shared" si="169"/>
        <v>37.258333333333333</v>
      </c>
      <c r="BY105" s="140">
        <f t="shared" si="169"/>
        <v>37.758333333333333</v>
      </c>
      <c r="BZ105" s="140">
        <f t="shared" si="169"/>
        <v>38.258333333333333</v>
      </c>
      <c r="CA105" s="140">
        <f t="shared" si="169"/>
        <v>38.758333333333333</v>
      </c>
      <c r="CB105" s="140">
        <f t="shared" si="169"/>
        <v>39.258333333333333</v>
      </c>
      <c r="CC105" s="17"/>
      <c r="CD105" s="17"/>
      <c r="CE105" s="17"/>
    </row>
    <row r="106" spans="1:83">
      <c r="A106" s="16" t="s">
        <v>43</v>
      </c>
      <c r="B106" s="140">
        <f>IF(B104&lt;0,0,$B$5+$B$6*((1-EXP(-B105/$B$9))/(B105/$B$9))+$B$7*((1-EXP(-B105/$B$9))/(B105/$B$9)-EXP(-B105/$B$9))+$B$8*((1-EXP(-B105/$B$10))/(B105/$B$10)-EXP(-B105/$B$10)))</f>
        <v>7.6631998865423753E-2</v>
      </c>
      <c r="C106" s="140">
        <f t="shared" ref="C106:BN106" si="170">IF(C104&lt;0,0,$B$5+$B$6*((1-EXP(-C105/$B$9))/(C105/$B$9))+$B$7*((1-EXP(-C105/$B$9))/(C105/$B$9)-EXP(-C105/$B$9))+$B$8*((1-EXP(-C105/$B$10))/(C105/$B$10)-EXP(-C105/$B$10)))</f>
        <v>1.0634545624409728E-2</v>
      </c>
      <c r="D106" s="140">
        <f t="shared" si="170"/>
        <v>-1.7682837370615878E-2</v>
      </c>
      <c r="E106" s="140">
        <f t="shared" si="170"/>
        <v>-2.636163371305808E-2</v>
      </c>
      <c r="F106" s="140">
        <f t="shared" si="170"/>
        <v>-2.5519026772739373E-2</v>
      </c>
      <c r="G106" s="140">
        <f t="shared" si="170"/>
        <v>-2.0550823197446139E-2</v>
      </c>
      <c r="H106" s="140">
        <f t="shared" si="170"/>
        <v>-1.4242280377187735E-2</v>
      </c>
      <c r="I106" s="140">
        <f t="shared" si="170"/>
        <v>-7.9556705083017876E-3</v>
      </c>
      <c r="J106" s="140">
        <f t="shared" si="170"/>
        <v>-2.2933579573947149E-3</v>
      </c>
      <c r="K106" s="140">
        <f t="shared" si="170"/>
        <v>2.511274978182404E-3</v>
      </c>
      <c r="L106" s="140">
        <f t="shared" si="170"/>
        <v>6.4964363585520574E-3</v>
      </c>
      <c r="M106" s="140">
        <f t="shared" si="170"/>
        <v>9.7043444985404764E-3</v>
      </c>
      <c r="N106" s="140">
        <f t="shared" si="170"/>
        <v>1.2238338344707514E-2</v>
      </c>
      <c r="O106" s="140">
        <f t="shared" si="170"/>
        <v>1.4206195201624278E-2</v>
      </c>
      <c r="P106" s="140">
        <f t="shared" si="170"/>
        <v>1.5707676774880774E-2</v>
      </c>
      <c r="Q106" s="140">
        <f t="shared" si="170"/>
        <v>1.6829851166217685E-2</v>
      </c>
      <c r="R106" s="140">
        <f t="shared" si="170"/>
        <v>1.7646263318298862E-2</v>
      </c>
      <c r="S106" s="140">
        <f t="shared" si="170"/>
        <v>1.8215263461495455E-2</v>
      </c>
      <c r="T106" s="140">
        <f t="shared" si="170"/>
        <v>1.8592944439484047E-2</v>
      </c>
      <c r="U106" s="140">
        <f t="shared" si="170"/>
        <v>1.8816201806539132E-2</v>
      </c>
      <c r="V106" s="140">
        <f t="shared" si="170"/>
        <v>1.8918060562176042E-2</v>
      </c>
      <c r="W106" s="140">
        <f t="shared" si="170"/>
        <v>1.8925273644911152E-2</v>
      </c>
      <c r="X106" s="140">
        <f t="shared" si="170"/>
        <v>1.8859503417940002E-2</v>
      </c>
      <c r="Y106" s="140">
        <f t="shared" si="170"/>
        <v>1.8738292397569245E-2</v>
      </c>
      <c r="Z106" s="140">
        <f t="shared" si="170"/>
        <v>1.857585076288315E-2</v>
      </c>
      <c r="AA106" s="140">
        <f t="shared" si="170"/>
        <v>1.8384822451629382E-2</v>
      </c>
      <c r="AB106" s="140">
        <f t="shared" si="170"/>
        <v>1.8172359143539582E-2</v>
      </c>
      <c r="AC106" s="140">
        <f t="shared" si="170"/>
        <v>1.7947008480216867E-2</v>
      </c>
      <c r="AD106" s="140">
        <f t="shared" si="170"/>
        <v>1.7714871630849185E-2</v>
      </c>
      <c r="AE106" s="140">
        <f t="shared" si="170"/>
        <v>1.7480862384215312E-2</v>
      </c>
      <c r="AF106" s="140">
        <f t="shared" si="170"/>
        <v>1.7248921202756753E-2</v>
      </c>
      <c r="AG106" s="140">
        <f t="shared" si="170"/>
        <v>1.702218874372944E-2</v>
      </c>
      <c r="AH106" s="140">
        <f t="shared" si="170"/>
        <v>1.6803147050548906E-2</v>
      </c>
      <c r="AI106" s="140">
        <f t="shared" si="170"/>
        <v>1.6594868758650815E-2</v>
      </c>
      <c r="AJ106" s="140">
        <f t="shared" si="170"/>
        <v>1.6396510952276781E-2</v>
      </c>
      <c r="AK106" s="140">
        <f t="shared" si="170"/>
        <v>1.621038647544177E-2</v>
      </c>
      <c r="AL106" s="140">
        <f t="shared" si="170"/>
        <v>1.6037309310921167E-2</v>
      </c>
      <c r="AM106" s="140">
        <f t="shared" si="170"/>
        <v>1.5877839737836331E-2</v>
      </c>
      <c r="AN106" s="140">
        <f t="shared" si="170"/>
        <v>1.5732328608422514E-2</v>
      </c>
      <c r="AO106" s="140">
        <f t="shared" si="170"/>
        <v>1.560095423680722E-2</v>
      </c>
      <c r="AP106" s="140">
        <f t="shared" si="170"/>
        <v>1.5483753205721307E-2</v>
      </c>
      <c r="AQ106" s="140">
        <f t="shared" si="170"/>
        <v>1.5381180312256704E-2</v>
      </c>
      <c r="AR106" s="140">
        <f t="shared" si="170"/>
        <v>1.5291916810548579E-2</v>
      </c>
      <c r="AS106" s="140">
        <f t="shared" si="170"/>
        <v>1.5216325237648043E-2</v>
      </c>
      <c r="AT106" s="140">
        <f t="shared" si="170"/>
        <v>1.5154095036251775E-2</v>
      </c>
      <c r="AU106" s="140">
        <f t="shared" si="170"/>
        <v>1.5104867449287018E-2</v>
      </c>
      <c r="AV106" s="140">
        <f t="shared" si="170"/>
        <v>1.5068246311440953E-2</v>
      </c>
      <c r="AW106" s="140">
        <f t="shared" si="170"/>
        <v>1.5043807123853788E-2</v>
      </c>
      <c r="AX106" s="140">
        <f t="shared" si="170"/>
        <v>1.5031104680163346E-2</v>
      </c>
      <c r="AY106" s="140">
        <f t="shared" si="170"/>
        <v>1.5029657091394324E-2</v>
      </c>
      <c r="AZ106" s="140">
        <f t="shared" si="170"/>
        <v>1.5038981910039731E-2</v>
      </c>
      <c r="BA106" s="140">
        <f t="shared" si="170"/>
        <v>1.5058645222171631E-2</v>
      </c>
      <c r="BB106" s="140">
        <f t="shared" si="170"/>
        <v>1.5088173384033593E-2</v>
      </c>
      <c r="BC106" s="140">
        <f t="shared" si="170"/>
        <v>1.5127095111708871E-2</v>
      </c>
      <c r="BD106" s="140">
        <f t="shared" si="170"/>
        <v>1.5174944041801433E-2</v>
      </c>
      <c r="BE106" s="140">
        <f t="shared" si="170"/>
        <v>1.5231260830473801E-2</v>
      </c>
      <c r="BF106" s="140">
        <f t="shared" si="170"/>
        <v>1.5295594859118064E-2</v>
      </c>
      <c r="BG106" s="140">
        <f t="shared" si="170"/>
        <v>1.5367085965037948E-2</v>
      </c>
      <c r="BH106" s="140">
        <f t="shared" si="170"/>
        <v>1.5446105542013953E-2</v>
      </c>
      <c r="BI106" s="140">
        <f t="shared" si="170"/>
        <v>1.5531857457501713E-2</v>
      </c>
      <c r="BJ106" s="140">
        <f t="shared" si="170"/>
        <v>1.5623936976635422E-2</v>
      </c>
      <c r="BK106" s="140">
        <f t="shared" si="170"/>
        <v>1.5721952478469588E-2</v>
      </c>
      <c r="BL106" s="140">
        <f t="shared" si="170"/>
        <v>1.5825525766682991E-2</v>
      </c>
      <c r="BM106" s="140">
        <f t="shared" si="170"/>
        <v>1.5934292254018878E-2</v>
      </c>
      <c r="BN106" s="140">
        <f t="shared" si="170"/>
        <v>1.6047901040190098E-2</v>
      </c>
      <c r="BO106" s="140">
        <f t="shared" ref="BO106:CB106" si="171">IF(BO104&lt;0,0,$B$5+$B$6*((1-EXP(-BO105/$B$9))/(BO105/$B$9))+$B$7*((1-EXP(-BO105/$B$9))/(BO105/$B$9)-EXP(-BO105/$B$9))+$B$8*((1-EXP(-BO105/$B$10))/(BO105/$B$10)-EXP(-BO105/$B$10)))</f>
        <v>1.6165346868115708E-2</v>
      </c>
      <c r="BP106" s="140">
        <f t="shared" si="171"/>
        <v>1.628761980473898E-2</v>
      </c>
      <c r="BQ106" s="140">
        <f t="shared" si="171"/>
        <v>1.6413765668870976E-2</v>
      </c>
      <c r="BR106" s="140">
        <f t="shared" si="171"/>
        <v>1.6543487430113586E-2</v>
      </c>
      <c r="BS106" s="140">
        <f t="shared" si="171"/>
        <v>1.6676501055823634E-2</v>
      </c>
      <c r="BT106" s="140">
        <f t="shared" si="171"/>
        <v>1.6812535234243371E-2</v>
      </c>
      <c r="BU106" s="140">
        <f t="shared" si="171"/>
        <v>1.6951331070264461E-2</v>
      </c>
      <c r="BV106" s="140">
        <f t="shared" si="171"/>
        <v>1.7092641759754924E-2</v>
      </c>
      <c r="BW106" s="140">
        <f t="shared" si="171"/>
        <v>1.7235428640917053E-2</v>
      </c>
      <c r="BX106" s="140">
        <f t="shared" si="171"/>
        <v>1.7381064441174595E-2</v>
      </c>
      <c r="BY106" s="140">
        <f t="shared" si="171"/>
        <v>1.7528544903417743E-2</v>
      </c>
      <c r="BZ106" s="140">
        <f t="shared" si="171"/>
        <v>1.7677668007222092E-2</v>
      </c>
      <c r="CA106" s="140">
        <f t="shared" si="171"/>
        <v>1.782824202986584E-2</v>
      </c>
      <c r="CB106" s="140">
        <f t="shared" si="171"/>
        <v>1.7980085176552876E-2</v>
      </c>
      <c r="CC106" s="17"/>
      <c r="CD106" s="17"/>
      <c r="CE106" s="17"/>
    </row>
    <row r="107" spans="1:83">
      <c r="A107" s="16" t="s">
        <v>44</v>
      </c>
      <c r="B107" s="140">
        <f>EXP(-B106*B105)</f>
        <v>0.97831334525419</v>
      </c>
      <c r="C107" s="140">
        <f t="shared" ref="C107:AR107" si="172">EXP(-C106*C105)</f>
        <v>0.99170420751197286</v>
      </c>
      <c r="D107" s="140">
        <f t="shared" si="172"/>
        <v>1.0229524189787864</v>
      </c>
      <c r="E107" s="140">
        <f t="shared" si="172"/>
        <v>1.04813414653027</v>
      </c>
      <c r="F107" s="140">
        <f t="shared" si="172"/>
        <v>1.0599995085209866</v>
      </c>
      <c r="G107" s="140">
        <f t="shared" si="172"/>
        <v>1.0588673416754111</v>
      </c>
      <c r="H107" s="140">
        <f t="shared" si="172"/>
        <v>1.0478727469969986</v>
      </c>
      <c r="I107" s="140">
        <f t="shared" si="172"/>
        <v>1.0305565060021333</v>
      </c>
      <c r="J107" s="140">
        <f t="shared" si="172"/>
        <v>1.0098716227477791</v>
      </c>
      <c r="K107" s="140">
        <f t="shared" si="172"/>
        <v>0.98806648642252881</v>
      </c>
      <c r="L107" s="140">
        <f t="shared" si="172"/>
        <v>0.9662769452000437</v>
      </c>
      <c r="M107" s="140">
        <f t="shared" si="172"/>
        <v>0.94544789339872837</v>
      </c>
      <c r="N107" s="140">
        <f t="shared" si="172"/>
        <v>0.92601618704219346</v>
      </c>
      <c r="O107" s="140">
        <f t="shared" si="172"/>
        <v>0.90816799970139073</v>
      </c>
      <c r="P107" s="140">
        <f t="shared" si="172"/>
        <v>0.89193625370846286</v>
      </c>
      <c r="Q107" s="140">
        <f t="shared" si="172"/>
        <v>0.87726550336246401</v>
      </c>
      <c r="R107" s="140">
        <f t="shared" si="172"/>
        <v>0.86405326415118033</v>
      </c>
      <c r="S107" s="140">
        <f t="shared" si="172"/>
        <v>0.85223792637520357</v>
      </c>
      <c r="T107" s="140">
        <f t="shared" si="172"/>
        <v>0.84155727326688445</v>
      </c>
      <c r="U107" s="140">
        <f t="shared" si="172"/>
        <v>0.8319519103544526</v>
      </c>
      <c r="V107" s="140">
        <f t="shared" si="172"/>
        <v>0.82329917853897838</v>
      </c>
      <c r="W107" s="140">
        <f t="shared" si="172"/>
        <v>0.81548488337365777</v>
      </c>
      <c r="X107" s="140">
        <f t="shared" si="172"/>
        <v>0.80840404597605708</v>
      </c>
      <c r="Y107" s="140">
        <f t="shared" si="172"/>
        <v>0.80196088526614029</v>
      </c>
      <c r="Z107" s="140">
        <f t="shared" si="172"/>
        <v>0.79606839958716724</v>
      </c>
      <c r="AA107" s="140">
        <f t="shared" si="172"/>
        <v>0.79067670876090101</v>
      </c>
      <c r="AB107" s="140">
        <f t="shared" si="172"/>
        <v>0.78565456520190258</v>
      </c>
      <c r="AC107" s="140">
        <f t="shared" si="172"/>
        <v>0.78096882882481578</v>
      </c>
      <c r="AD107" s="140">
        <f t="shared" si="172"/>
        <v>0.77656122467320066</v>
      </c>
      <c r="AE107" s="140">
        <f t="shared" si="172"/>
        <v>0.77237913520966428</v>
      </c>
      <c r="AF107" s="140">
        <f t="shared" si="172"/>
        <v>0.76837508635218044</v>
      </c>
      <c r="AG107" s="140">
        <f t="shared" si="172"/>
        <v>0.76450628894100303</v>
      </c>
      <c r="AH107" s="140">
        <f t="shared" si="172"/>
        <v>0.76073423130499929</v>
      </c>
      <c r="AI107" s="140">
        <f t="shared" si="172"/>
        <v>0.75704481495130627</v>
      </c>
      <c r="AJ107" s="140">
        <f t="shared" si="172"/>
        <v>0.75336594926484879</v>
      </c>
      <c r="AK107" s="140">
        <f t="shared" si="172"/>
        <v>0.74969067508207399</v>
      </c>
      <c r="AL107" s="140">
        <f t="shared" si="172"/>
        <v>0.74599432982677139</v>
      </c>
      <c r="AM107" s="140">
        <f t="shared" si="172"/>
        <v>0.74225506911776618</v>
      </c>
      <c r="AN107" s="140">
        <f t="shared" si="172"/>
        <v>0.73845365614535674</v>
      </c>
      <c r="AO107" s="140">
        <f t="shared" si="172"/>
        <v>0.73457326952928248</v>
      </c>
      <c r="AP107" s="140">
        <f t="shared" si="172"/>
        <v>0.73059932697197494</v>
      </c>
      <c r="AQ107" s="140">
        <f t="shared" si="172"/>
        <v>0.72654230241065831</v>
      </c>
      <c r="AR107" s="140">
        <f t="shared" si="172"/>
        <v>0.72234632899464069</v>
      </c>
      <c r="AS107" s="140">
        <f>EXP(-AS106*AS105)</f>
        <v>0.71802496028531815</v>
      </c>
      <c r="AT107" s="140">
        <f t="shared" ref="AT107:CA107" si="173">EXP(-AT106*AT105)</f>
        <v>0.7135710428427593</v>
      </c>
      <c r="AU107" s="140">
        <f t="shared" si="173"/>
        <v>0.70897895167838554</v>
      </c>
      <c r="AV107" s="140">
        <f t="shared" si="173"/>
        <v>0.7042444729313283</v>
      </c>
      <c r="AW107" s="140">
        <f t="shared" si="173"/>
        <v>0.6993646928638414</v>
      </c>
      <c r="AX107" s="140">
        <f t="shared" si="173"/>
        <v>0.69433789262941015</v>
      </c>
      <c r="AY107" s="140">
        <f t="shared" si="173"/>
        <v>0.68919260287780393</v>
      </c>
      <c r="AZ107" s="140">
        <f t="shared" si="173"/>
        <v>0.68387170624103499</v>
      </c>
      <c r="BA107" s="140">
        <f t="shared" si="173"/>
        <v>0.67840481842987588</v>
      </c>
      <c r="BB107" s="140">
        <f t="shared" si="173"/>
        <v>0.67279404536697007</v>
      </c>
      <c r="BC107" s="140">
        <f t="shared" si="173"/>
        <v>0.6670422361616799</v>
      </c>
      <c r="BD107" s="140">
        <f t="shared" si="173"/>
        <v>0.66115290583084063</v>
      </c>
      <c r="BE107" s="140">
        <f t="shared" si="173"/>
        <v>0.65513016205614516</v>
      </c>
      <c r="BF107" s="140">
        <f t="shared" si="173"/>
        <v>0.64897863587325322</v>
      </c>
      <c r="BG107" s="140">
        <f t="shared" si="173"/>
        <v>0.64273861030853363</v>
      </c>
      <c r="BH107" s="140">
        <f t="shared" si="173"/>
        <v>0.63634582313737231</v>
      </c>
      <c r="BI107" s="140">
        <f t="shared" si="173"/>
        <v>0.62984061756017629</v>
      </c>
      <c r="BJ107" s="140">
        <f t="shared" si="173"/>
        <v>0.62322909898273571</v>
      </c>
      <c r="BK107" s="140">
        <f t="shared" si="173"/>
        <v>0.6165176057736359</v>
      </c>
      <c r="BL107" s="140">
        <f t="shared" si="173"/>
        <v>0.60971266170463478</v>
      </c>
      <c r="BM107" s="140">
        <f t="shared" si="173"/>
        <v>0.60282093171938478</v>
      </c>
      <c r="BN107" s="140">
        <f t="shared" si="173"/>
        <v>0.59584918093606276</v>
      </c>
      <c r="BO107" s="140">
        <f t="shared" si="173"/>
        <v>0.58884356496376078</v>
      </c>
      <c r="BP107" s="140">
        <f t="shared" si="173"/>
        <v>0.58173263196104952</v>
      </c>
      <c r="BQ107" s="140">
        <f t="shared" si="173"/>
        <v>0.57456217299340195</v>
      </c>
      <c r="BR107" s="140">
        <f t="shared" si="173"/>
        <v>0.56733900528152859</v>
      </c>
      <c r="BS107" s="140">
        <f t="shared" si="173"/>
        <v>0.56006988626029253</v>
      </c>
      <c r="BT107" s="140">
        <f t="shared" si="173"/>
        <v>0.55276148974146333</v>
      </c>
      <c r="BU107" s="140">
        <f t="shared" si="173"/>
        <v>0.54542038453450659</v>
      </c>
      <c r="BV107" s="140">
        <f t="shared" si="173"/>
        <v>0.53805301540359518</v>
      </c>
      <c r="BW107" s="140">
        <f t="shared" si="173"/>
        <v>0.53070677072577288</v>
      </c>
      <c r="BX107" s="140">
        <f t="shared" si="173"/>
        <v>0.52330568985432557</v>
      </c>
      <c r="BY107" s="140">
        <f t="shared" si="173"/>
        <v>0.51589674438204247</v>
      </c>
      <c r="BZ107" s="140">
        <f t="shared" si="173"/>
        <v>0.50848573591937163</v>
      </c>
      <c r="CA107" s="140">
        <f t="shared" si="173"/>
        <v>0.50107827762326984</v>
      </c>
      <c r="CB107" s="140">
        <f>EXP(-CB106*CB105)</f>
        <v>0.49367978660513195</v>
      </c>
      <c r="CC107" s="17"/>
      <c r="CD107" s="17"/>
      <c r="CE107" s="17"/>
    </row>
    <row r="108" spans="1:83">
      <c r="A108" s="17"/>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17"/>
      <c r="CD108" s="17"/>
      <c r="CE108" s="17"/>
    </row>
    <row r="109" spans="1:83">
      <c r="A109" s="16" t="s">
        <v>40</v>
      </c>
      <c r="B109" s="140">
        <f t="shared" ref="B109:BM109" si="174">DAYS360($B$3,B40)</f>
        <v>103</v>
      </c>
      <c r="C109" s="140">
        <f t="shared" si="174"/>
        <v>282</v>
      </c>
      <c r="D109" s="140">
        <f t="shared" si="174"/>
        <v>462</v>
      </c>
      <c r="E109" s="140">
        <f t="shared" si="174"/>
        <v>642</v>
      </c>
      <c r="F109" s="140">
        <f t="shared" si="174"/>
        <v>822</v>
      </c>
      <c r="G109" s="140">
        <f t="shared" si="174"/>
        <v>1002</v>
      </c>
      <c r="H109" s="140">
        <f t="shared" si="174"/>
        <v>1182</v>
      </c>
      <c r="I109" s="140">
        <f t="shared" si="174"/>
        <v>1362</v>
      </c>
      <c r="J109" s="140">
        <f t="shared" si="174"/>
        <v>1542</v>
      </c>
      <c r="K109" s="140">
        <f t="shared" si="174"/>
        <v>1721</v>
      </c>
      <c r="L109" s="140">
        <f t="shared" si="174"/>
        <v>1901</v>
      </c>
      <c r="M109" s="140">
        <f t="shared" si="174"/>
        <v>2081</v>
      </c>
      <c r="N109" s="140">
        <f t="shared" si="174"/>
        <v>2261</v>
      </c>
      <c r="O109" s="140">
        <f t="shared" si="174"/>
        <v>2441</v>
      </c>
      <c r="P109" s="140">
        <f t="shared" si="174"/>
        <v>2621</v>
      </c>
      <c r="Q109" s="140">
        <f t="shared" si="174"/>
        <v>2801</v>
      </c>
      <c r="R109" s="140">
        <f t="shared" si="174"/>
        <v>2981</v>
      </c>
      <c r="S109" s="140">
        <f t="shared" si="174"/>
        <v>3160</v>
      </c>
      <c r="T109" s="140">
        <f t="shared" si="174"/>
        <v>3340</v>
      </c>
      <c r="U109" s="140">
        <f t="shared" si="174"/>
        <v>3520</v>
      </c>
      <c r="V109" s="140">
        <f t="shared" si="174"/>
        <v>3700</v>
      </c>
      <c r="W109" s="140">
        <f t="shared" si="174"/>
        <v>3880</v>
      </c>
      <c r="X109" s="140">
        <f t="shared" si="174"/>
        <v>4060</v>
      </c>
      <c r="Y109" s="140">
        <f t="shared" si="174"/>
        <v>4240</v>
      </c>
      <c r="Z109" s="140">
        <f t="shared" si="174"/>
        <v>4420</v>
      </c>
      <c r="AA109" s="140">
        <f t="shared" si="174"/>
        <v>4599</v>
      </c>
      <c r="AB109" s="140">
        <f t="shared" si="174"/>
        <v>4779</v>
      </c>
      <c r="AC109" s="140">
        <f t="shared" si="174"/>
        <v>4959</v>
      </c>
      <c r="AD109" s="140">
        <f t="shared" si="174"/>
        <v>5139</v>
      </c>
      <c r="AE109" s="140">
        <f t="shared" si="174"/>
        <v>5319</v>
      </c>
      <c r="AF109" s="140">
        <f t="shared" si="174"/>
        <v>5499</v>
      </c>
      <c r="AG109" s="140">
        <f t="shared" si="174"/>
        <v>5679</v>
      </c>
      <c r="AH109" s="140">
        <f t="shared" si="174"/>
        <v>5859</v>
      </c>
      <c r="AI109" s="140">
        <f t="shared" si="174"/>
        <v>6038</v>
      </c>
      <c r="AJ109" s="140">
        <f t="shared" si="174"/>
        <v>6218</v>
      </c>
      <c r="AK109" s="140">
        <f t="shared" si="174"/>
        <v>6398</v>
      </c>
      <c r="AL109" s="140">
        <f t="shared" si="174"/>
        <v>6578</v>
      </c>
      <c r="AM109" s="140">
        <f t="shared" si="174"/>
        <v>6758</v>
      </c>
      <c r="AN109" s="140">
        <f t="shared" si="174"/>
        <v>6938</v>
      </c>
      <c r="AO109" s="140">
        <f t="shared" si="174"/>
        <v>7118</v>
      </c>
      <c r="AP109" s="140">
        <f t="shared" si="174"/>
        <v>7298</v>
      </c>
      <c r="AQ109" s="140">
        <f t="shared" si="174"/>
        <v>7477</v>
      </c>
      <c r="AR109" s="140">
        <f t="shared" si="174"/>
        <v>7657</v>
      </c>
      <c r="AS109" s="140">
        <f t="shared" si="174"/>
        <v>7837</v>
      </c>
      <c r="AT109" s="140">
        <f t="shared" si="174"/>
        <v>8017</v>
      </c>
      <c r="AU109" s="140">
        <f t="shared" si="174"/>
        <v>8197</v>
      </c>
      <c r="AV109" s="140">
        <f t="shared" si="174"/>
        <v>8377</v>
      </c>
      <c r="AW109" s="140">
        <f t="shared" si="174"/>
        <v>8557</v>
      </c>
      <c r="AX109" s="140">
        <f t="shared" si="174"/>
        <v>8737</v>
      </c>
      <c r="AY109" s="140">
        <f t="shared" si="174"/>
        <v>8916</v>
      </c>
      <c r="AZ109" s="140">
        <f t="shared" si="174"/>
        <v>9096</v>
      </c>
      <c r="BA109" s="140">
        <f t="shared" si="174"/>
        <v>9276</v>
      </c>
      <c r="BB109" s="140">
        <f t="shared" si="174"/>
        <v>9456</v>
      </c>
      <c r="BC109" s="140">
        <f t="shared" si="174"/>
        <v>9636</v>
      </c>
      <c r="BD109" s="140">
        <f t="shared" si="174"/>
        <v>9816</v>
      </c>
      <c r="BE109" s="140">
        <f t="shared" si="174"/>
        <v>9996</v>
      </c>
      <c r="BF109" s="140">
        <f t="shared" si="174"/>
        <v>10176</v>
      </c>
      <c r="BG109" s="140">
        <f t="shared" si="174"/>
        <v>10355</v>
      </c>
      <c r="BH109" s="140">
        <f t="shared" si="174"/>
        <v>10535</v>
      </c>
      <c r="BI109" s="140">
        <f t="shared" si="174"/>
        <v>10715</v>
      </c>
      <c r="BJ109" s="140">
        <f t="shared" si="174"/>
        <v>10895</v>
      </c>
      <c r="BK109" s="140">
        <f t="shared" si="174"/>
        <v>11075</v>
      </c>
      <c r="BL109" s="140">
        <f t="shared" si="174"/>
        <v>11255</v>
      </c>
      <c r="BM109" s="140">
        <f t="shared" si="174"/>
        <v>11435</v>
      </c>
      <c r="BN109" s="140">
        <f t="shared" ref="BN109:CB109" si="175">DAYS360($B$3,BN40)</f>
        <v>11615</v>
      </c>
      <c r="BO109" s="140">
        <f t="shared" si="175"/>
        <v>11794</v>
      </c>
      <c r="BP109" s="140">
        <f t="shared" si="175"/>
        <v>11974</v>
      </c>
      <c r="BQ109" s="140">
        <f t="shared" si="175"/>
        <v>12154</v>
      </c>
      <c r="BR109" s="140">
        <f t="shared" si="175"/>
        <v>12334</v>
      </c>
      <c r="BS109" s="140">
        <f t="shared" si="175"/>
        <v>12514</v>
      </c>
      <c r="BT109" s="140">
        <f t="shared" si="175"/>
        <v>12694</v>
      </c>
      <c r="BU109" s="140">
        <f t="shared" si="175"/>
        <v>12874</v>
      </c>
      <c r="BV109" s="140">
        <f t="shared" si="175"/>
        <v>13054</v>
      </c>
      <c r="BW109" s="140">
        <f t="shared" si="175"/>
        <v>13233</v>
      </c>
      <c r="BX109" s="140">
        <f t="shared" si="175"/>
        <v>13413</v>
      </c>
      <c r="BY109" s="140">
        <f t="shared" si="175"/>
        <v>13593</v>
      </c>
      <c r="BZ109" s="140">
        <f t="shared" si="175"/>
        <v>13773</v>
      </c>
      <c r="CA109" s="140">
        <f t="shared" si="175"/>
        <v>13953</v>
      </c>
      <c r="CB109" s="140">
        <f t="shared" si="175"/>
        <v>14133</v>
      </c>
      <c r="CC109" s="17"/>
      <c r="CD109" s="17"/>
      <c r="CE109" s="17"/>
    </row>
    <row r="110" spans="1:83">
      <c r="A110" s="16" t="s">
        <v>41</v>
      </c>
      <c r="B110" s="140">
        <f>B109/360</f>
        <v>0.28611111111111109</v>
      </c>
      <c r="C110" s="140">
        <f t="shared" ref="C110:BN110" si="176">C109/360</f>
        <v>0.78333333333333333</v>
      </c>
      <c r="D110" s="140">
        <f t="shared" si="176"/>
        <v>1.2833333333333334</v>
      </c>
      <c r="E110" s="140">
        <f t="shared" si="176"/>
        <v>1.7833333333333334</v>
      </c>
      <c r="F110" s="140">
        <f t="shared" si="176"/>
        <v>2.2833333333333332</v>
      </c>
      <c r="G110" s="140">
        <f t="shared" si="176"/>
        <v>2.7833333333333332</v>
      </c>
      <c r="H110" s="140">
        <f t="shared" si="176"/>
        <v>3.2833333333333332</v>
      </c>
      <c r="I110" s="140">
        <f t="shared" si="176"/>
        <v>3.7833333333333332</v>
      </c>
      <c r="J110" s="140">
        <f t="shared" si="176"/>
        <v>4.2833333333333332</v>
      </c>
      <c r="K110" s="140">
        <f t="shared" si="176"/>
        <v>4.7805555555555559</v>
      </c>
      <c r="L110" s="140">
        <f t="shared" si="176"/>
        <v>5.2805555555555559</v>
      </c>
      <c r="M110" s="140">
        <f t="shared" si="176"/>
        <v>5.7805555555555559</v>
      </c>
      <c r="N110" s="140">
        <f t="shared" si="176"/>
        <v>6.2805555555555559</v>
      </c>
      <c r="O110" s="140">
        <f t="shared" si="176"/>
        <v>6.7805555555555559</v>
      </c>
      <c r="P110" s="140">
        <f t="shared" si="176"/>
        <v>7.2805555555555559</v>
      </c>
      <c r="Q110" s="140">
        <f t="shared" si="176"/>
        <v>7.7805555555555559</v>
      </c>
      <c r="R110" s="140">
        <f t="shared" si="176"/>
        <v>8.280555555555555</v>
      </c>
      <c r="S110" s="140">
        <f t="shared" si="176"/>
        <v>8.7777777777777786</v>
      </c>
      <c r="T110" s="140">
        <f t="shared" si="176"/>
        <v>9.2777777777777786</v>
      </c>
      <c r="U110" s="140">
        <f t="shared" si="176"/>
        <v>9.7777777777777786</v>
      </c>
      <c r="V110" s="140">
        <f t="shared" si="176"/>
        <v>10.277777777777779</v>
      </c>
      <c r="W110" s="140">
        <f t="shared" si="176"/>
        <v>10.777777777777779</v>
      </c>
      <c r="X110" s="140">
        <f t="shared" si="176"/>
        <v>11.277777777777779</v>
      </c>
      <c r="Y110" s="140">
        <f t="shared" si="176"/>
        <v>11.777777777777779</v>
      </c>
      <c r="Z110" s="140">
        <f t="shared" si="176"/>
        <v>12.277777777777779</v>
      </c>
      <c r="AA110" s="140">
        <f t="shared" si="176"/>
        <v>12.775</v>
      </c>
      <c r="AB110" s="140">
        <f t="shared" si="176"/>
        <v>13.275</v>
      </c>
      <c r="AC110" s="140">
        <f t="shared" si="176"/>
        <v>13.775</v>
      </c>
      <c r="AD110" s="140">
        <f t="shared" si="176"/>
        <v>14.275</v>
      </c>
      <c r="AE110" s="140">
        <f t="shared" si="176"/>
        <v>14.775</v>
      </c>
      <c r="AF110" s="140">
        <f t="shared" si="176"/>
        <v>15.275</v>
      </c>
      <c r="AG110" s="140">
        <f t="shared" si="176"/>
        <v>15.775</v>
      </c>
      <c r="AH110" s="140">
        <f t="shared" si="176"/>
        <v>16.274999999999999</v>
      </c>
      <c r="AI110" s="140">
        <f t="shared" si="176"/>
        <v>16.772222222222222</v>
      </c>
      <c r="AJ110" s="140">
        <f t="shared" si="176"/>
        <v>17.272222222222222</v>
      </c>
      <c r="AK110" s="140">
        <f t="shared" si="176"/>
        <v>17.772222222222222</v>
      </c>
      <c r="AL110" s="140">
        <f t="shared" si="176"/>
        <v>18.272222222222222</v>
      </c>
      <c r="AM110" s="140">
        <f t="shared" si="176"/>
        <v>18.772222222222222</v>
      </c>
      <c r="AN110" s="140">
        <f t="shared" si="176"/>
        <v>19.272222222222222</v>
      </c>
      <c r="AO110" s="140">
        <f t="shared" si="176"/>
        <v>19.772222222222222</v>
      </c>
      <c r="AP110" s="140">
        <f t="shared" si="176"/>
        <v>20.272222222222222</v>
      </c>
      <c r="AQ110" s="140">
        <f t="shared" si="176"/>
        <v>20.769444444444446</v>
      </c>
      <c r="AR110" s="140">
        <f t="shared" si="176"/>
        <v>21.269444444444446</v>
      </c>
      <c r="AS110" s="140">
        <f t="shared" si="176"/>
        <v>21.769444444444446</v>
      </c>
      <c r="AT110" s="140">
        <f t="shared" si="176"/>
        <v>22.269444444444446</v>
      </c>
      <c r="AU110" s="140">
        <f t="shared" si="176"/>
        <v>22.769444444444446</v>
      </c>
      <c r="AV110" s="140">
        <f t="shared" si="176"/>
        <v>23.269444444444446</v>
      </c>
      <c r="AW110" s="140">
        <f t="shared" si="176"/>
        <v>23.769444444444446</v>
      </c>
      <c r="AX110" s="140">
        <f t="shared" si="176"/>
        <v>24.269444444444446</v>
      </c>
      <c r="AY110" s="140">
        <f t="shared" si="176"/>
        <v>24.766666666666666</v>
      </c>
      <c r="AZ110" s="140">
        <f t="shared" si="176"/>
        <v>25.266666666666666</v>
      </c>
      <c r="BA110" s="140">
        <f t="shared" si="176"/>
        <v>25.766666666666666</v>
      </c>
      <c r="BB110" s="140">
        <f t="shared" si="176"/>
        <v>26.266666666666666</v>
      </c>
      <c r="BC110" s="140">
        <f t="shared" si="176"/>
        <v>26.766666666666666</v>
      </c>
      <c r="BD110" s="140">
        <f t="shared" si="176"/>
        <v>27.266666666666666</v>
      </c>
      <c r="BE110" s="140">
        <f t="shared" si="176"/>
        <v>27.766666666666666</v>
      </c>
      <c r="BF110" s="140">
        <f t="shared" si="176"/>
        <v>28.266666666666666</v>
      </c>
      <c r="BG110" s="140">
        <f t="shared" si="176"/>
        <v>28.763888888888889</v>
      </c>
      <c r="BH110" s="140">
        <f t="shared" si="176"/>
        <v>29.263888888888889</v>
      </c>
      <c r="BI110" s="140">
        <f t="shared" si="176"/>
        <v>29.763888888888889</v>
      </c>
      <c r="BJ110" s="140">
        <f t="shared" si="176"/>
        <v>30.263888888888889</v>
      </c>
      <c r="BK110" s="140">
        <f t="shared" si="176"/>
        <v>30.763888888888889</v>
      </c>
      <c r="BL110" s="140">
        <f t="shared" si="176"/>
        <v>31.263888888888889</v>
      </c>
      <c r="BM110" s="140">
        <f t="shared" si="176"/>
        <v>31.763888888888889</v>
      </c>
      <c r="BN110" s="140">
        <f t="shared" si="176"/>
        <v>32.263888888888886</v>
      </c>
      <c r="BO110" s="140">
        <f t="shared" ref="BO110:CB110" si="177">BO109/360</f>
        <v>32.761111111111113</v>
      </c>
      <c r="BP110" s="140">
        <f t="shared" si="177"/>
        <v>33.261111111111113</v>
      </c>
      <c r="BQ110" s="140">
        <f t="shared" si="177"/>
        <v>33.761111111111113</v>
      </c>
      <c r="BR110" s="140">
        <f t="shared" si="177"/>
        <v>34.261111111111113</v>
      </c>
      <c r="BS110" s="140">
        <f t="shared" si="177"/>
        <v>34.761111111111113</v>
      </c>
      <c r="BT110" s="140">
        <f t="shared" si="177"/>
        <v>35.261111111111113</v>
      </c>
      <c r="BU110" s="140">
        <f t="shared" si="177"/>
        <v>35.761111111111113</v>
      </c>
      <c r="BV110" s="140">
        <f t="shared" si="177"/>
        <v>36.261111111111113</v>
      </c>
      <c r="BW110" s="140">
        <f t="shared" si="177"/>
        <v>36.758333333333333</v>
      </c>
      <c r="BX110" s="140">
        <f t="shared" si="177"/>
        <v>37.258333333333333</v>
      </c>
      <c r="BY110" s="140">
        <f t="shared" si="177"/>
        <v>37.758333333333333</v>
      </c>
      <c r="BZ110" s="140">
        <f t="shared" si="177"/>
        <v>38.258333333333333</v>
      </c>
      <c r="CA110" s="140">
        <f t="shared" si="177"/>
        <v>38.758333333333333</v>
      </c>
      <c r="CB110" s="140">
        <f t="shared" si="177"/>
        <v>39.258333333333333</v>
      </c>
      <c r="CC110" s="17"/>
      <c r="CD110" s="17"/>
      <c r="CE110" s="17"/>
    </row>
    <row r="111" spans="1:83">
      <c r="A111" s="16" t="s">
        <v>43</v>
      </c>
      <c r="B111" s="140">
        <f>IF(B109&lt;0,0,$B$5+$B$6*((1-EXP(-B110/$B$9))/(B110/$B$9))+$B$7*((1-EXP(-B110/$B$9))/(B110/$B$9)-EXP(-B110/$B$9))+$B$8*((1-EXP(-B110/$B$10))/(B110/$B$10)-EXP(-B110/$B$10)))</f>
        <v>7.6631998865423753E-2</v>
      </c>
      <c r="C111" s="140">
        <f t="shared" ref="C111:BN111" si="178">IF(C109&lt;0,0,$B$5+$B$6*((1-EXP(-C110/$B$9))/(C110/$B$9))+$B$7*((1-EXP(-C110/$B$9))/(C110/$B$9)-EXP(-C110/$B$9))+$B$8*((1-EXP(-C110/$B$10))/(C110/$B$10)-EXP(-C110/$B$10)))</f>
        <v>1.0634545624409728E-2</v>
      </c>
      <c r="D111" s="140">
        <f t="shared" si="178"/>
        <v>-1.7682837370615878E-2</v>
      </c>
      <c r="E111" s="140">
        <f t="shared" si="178"/>
        <v>-2.636163371305808E-2</v>
      </c>
      <c r="F111" s="140">
        <f t="shared" si="178"/>
        <v>-2.5519026772739373E-2</v>
      </c>
      <c r="G111" s="140">
        <f t="shared" si="178"/>
        <v>-2.0550823197446139E-2</v>
      </c>
      <c r="H111" s="140">
        <f t="shared" si="178"/>
        <v>-1.4242280377187735E-2</v>
      </c>
      <c r="I111" s="140">
        <f t="shared" si="178"/>
        <v>-7.9556705083017876E-3</v>
      </c>
      <c r="J111" s="140">
        <f t="shared" si="178"/>
        <v>-2.2933579573947149E-3</v>
      </c>
      <c r="K111" s="140">
        <f t="shared" si="178"/>
        <v>2.511274978182404E-3</v>
      </c>
      <c r="L111" s="140">
        <f t="shared" si="178"/>
        <v>6.4964363585520574E-3</v>
      </c>
      <c r="M111" s="140">
        <f t="shared" si="178"/>
        <v>9.7043444985404764E-3</v>
      </c>
      <c r="N111" s="140">
        <f t="shared" si="178"/>
        <v>1.2238338344707514E-2</v>
      </c>
      <c r="O111" s="140">
        <f t="shared" si="178"/>
        <v>1.4206195201624278E-2</v>
      </c>
      <c r="P111" s="140">
        <f t="shared" si="178"/>
        <v>1.5707676774880774E-2</v>
      </c>
      <c r="Q111" s="140">
        <f t="shared" si="178"/>
        <v>1.6829851166217685E-2</v>
      </c>
      <c r="R111" s="140">
        <f t="shared" si="178"/>
        <v>1.7646263318298862E-2</v>
      </c>
      <c r="S111" s="140">
        <f t="shared" si="178"/>
        <v>1.8215263461495455E-2</v>
      </c>
      <c r="T111" s="140">
        <f t="shared" si="178"/>
        <v>1.8592944439484047E-2</v>
      </c>
      <c r="U111" s="140">
        <f t="shared" si="178"/>
        <v>1.8816201806539132E-2</v>
      </c>
      <c r="V111" s="140">
        <f t="shared" si="178"/>
        <v>1.8918060562176042E-2</v>
      </c>
      <c r="W111" s="140">
        <f t="shared" si="178"/>
        <v>1.8925273644911152E-2</v>
      </c>
      <c r="X111" s="140">
        <f t="shared" si="178"/>
        <v>1.8859503417940002E-2</v>
      </c>
      <c r="Y111" s="140">
        <f t="shared" si="178"/>
        <v>1.8738292397569245E-2</v>
      </c>
      <c r="Z111" s="140">
        <f t="shared" si="178"/>
        <v>1.857585076288315E-2</v>
      </c>
      <c r="AA111" s="140">
        <f t="shared" si="178"/>
        <v>1.8384822451629382E-2</v>
      </c>
      <c r="AB111" s="140">
        <f t="shared" si="178"/>
        <v>1.8172359143539582E-2</v>
      </c>
      <c r="AC111" s="140">
        <f t="shared" si="178"/>
        <v>1.7947008480216867E-2</v>
      </c>
      <c r="AD111" s="140">
        <f t="shared" si="178"/>
        <v>1.7714871630849185E-2</v>
      </c>
      <c r="AE111" s="140">
        <f t="shared" si="178"/>
        <v>1.7480862384215312E-2</v>
      </c>
      <c r="AF111" s="140">
        <f t="shared" si="178"/>
        <v>1.7248921202756753E-2</v>
      </c>
      <c r="AG111" s="140">
        <f t="shared" si="178"/>
        <v>1.702218874372944E-2</v>
      </c>
      <c r="AH111" s="140">
        <f t="shared" si="178"/>
        <v>1.6803147050548906E-2</v>
      </c>
      <c r="AI111" s="140">
        <f t="shared" si="178"/>
        <v>1.6594868758650815E-2</v>
      </c>
      <c r="AJ111" s="140">
        <f t="shared" si="178"/>
        <v>1.6396510952276781E-2</v>
      </c>
      <c r="AK111" s="140">
        <f t="shared" si="178"/>
        <v>1.621038647544177E-2</v>
      </c>
      <c r="AL111" s="140">
        <f t="shared" si="178"/>
        <v>1.6037309310921167E-2</v>
      </c>
      <c r="AM111" s="140">
        <f t="shared" si="178"/>
        <v>1.5877839737836331E-2</v>
      </c>
      <c r="AN111" s="140">
        <f t="shared" si="178"/>
        <v>1.5732328608422514E-2</v>
      </c>
      <c r="AO111" s="140">
        <f t="shared" si="178"/>
        <v>1.560095423680722E-2</v>
      </c>
      <c r="AP111" s="140">
        <f t="shared" si="178"/>
        <v>1.5483753205721307E-2</v>
      </c>
      <c r="AQ111" s="140">
        <f t="shared" si="178"/>
        <v>1.5381180312256704E-2</v>
      </c>
      <c r="AR111" s="140">
        <f t="shared" si="178"/>
        <v>1.5291916810548579E-2</v>
      </c>
      <c r="AS111" s="140">
        <f t="shared" si="178"/>
        <v>1.5216325237648043E-2</v>
      </c>
      <c r="AT111" s="140">
        <f t="shared" si="178"/>
        <v>1.5154095036251775E-2</v>
      </c>
      <c r="AU111" s="140">
        <f t="shared" si="178"/>
        <v>1.5104867449287018E-2</v>
      </c>
      <c r="AV111" s="140">
        <f t="shared" si="178"/>
        <v>1.5068246311440953E-2</v>
      </c>
      <c r="AW111" s="140">
        <f t="shared" si="178"/>
        <v>1.5043807123853788E-2</v>
      </c>
      <c r="AX111" s="140">
        <f t="shared" si="178"/>
        <v>1.5031104680163346E-2</v>
      </c>
      <c r="AY111" s="140">
        <f t="shared" si="178"/>
        <v>1.5029657091394324E-2</v>
      </c>
      <c r="AZ111" s="140">
        <f t="shared" si="178"/>
        <v>1.5038981910039731E-2</v>
      </c>
      <c r="BA111" s="140">
        <f t="shared" si="178"/>
        <v>1.5058645222171631E-2</v>
      </c>
      <c r="BB111" s="140">
        <f t="shared" si="178"/>
        <v>1.5088173384033593E-2</v>
      </c>
      <c r="BC111" s="140">
        <f t="shared" si="178"/>
        <v>1.5127095111708871E-2</v>
      </c>
      <c r="BD111" s="140">
        <f t="shared" si="178"/>
        <v>1.5174944041801433E-2</v>
      </c>
      <c r="BE111" s="140">
        <f t="shared" si="178"/>
        <v>1.5231260830473801E-2</v>
      </c>
      <c r="BF111" s="140">
        <f t="shared" si="178"/>
        <v>1.5295594859118064E-2</v>
      </c>
      <c r="BG111" s="140">
        <f t="shared" si="178"/>
        <v>1.5367085965037948E-2</v>
      </c>
      <c r="BH111" s="140">
        <f t="shared" si="178"/>
        <v>1.5446105542013953E-2</v>
      </c>
      <c r="BI111" s="140">
        <f t="shared" si="178"/>
        <v>1.5531857457501713E-2</v>
      </c>
      <c r="BJ111" s="140">
        <f t="shared" si="178"/>
        <v>1.5623936976635422E-2</v>
      </c>
      <c r="BK111" s="140">
        <f t="shared" si="178"/>
        <v>1.5721952478469588E-2</v>
      </c>
      <c r="BL111" s="140">
        <f t="shared" si="178"/>
        <v>1.5825525766682991E-2</v>
      </c>
      <c r="BM111" s="140">
        <f t="shared" si="178"/>
        <v>1.5934292254018878E-2</v>
      </c>
      <c r="BN111" s="140">
        <f t="shared" si="178"/>
        <v>1.6047901040190098E-2</v>
      </c>
      <c r="BO111" s="140">
        <f t="shared" ref="BO111:CB111" si="179">IF(BO109&lt;0,0,$B$5+$B$6*((1-EXP(-BO110/$B$9))/(BO110/$B$9))+$B$7*((1-EXP(-BO110/$B$9))/(BO110/$B$9)-EXP(-BO110/$B$9))+$B$8*((1-EXP(-BO110/$B$10))/(BO110/$B$10)-EXP(-BO110/$B$10)))</f>
        <v>1.6165346868115708E-2</v>
      </c>
      <c r="BP111" s="140">
        <f t="shared" si="179"/>
        <v>1.628761980473898E-2</v>
      </c>
      <c r="BQ111" s="140">
        <f t="shared" si="179"/>
        <v>1.6413765668870976E-2</v>
      </c>
      <c r="BR111" s="140">
        <f t="shared" si="179"/>
        <v>1.6543487430113586E-2</v>
      </c>
      <c r="BS111" s="140">
        <f t="shared" si="179"/>
        <v>1.6676501055823634E-2</v>
      </c>
      <c r="BT111" s="140">
        <f t="shared" si="179"/>
        <v>1.6812535234243371E-2</v>
      </c>
      <c r="BU111" s="140">
        <f t="shared" si="179"/>
        <v>1.6951331070264461E-2</v>
      </c>
      <c r="BV111" s="140">
        <f t="shared" si="179"/>
        <v>1.7092641759754924E-2</v>
      </c>
      <c r="BW111" s="140">
        <f t="shared" si="179"/>
        <v>1.7235428640917053E-2</v>
      </c>
      <c r="BX111" s="140">
        <f t="shared" si="179"/>
        <v>1.7381064441174595E-2</v>
      </c>
      <c r="BY111" s="140">
        <f t="shared" si="179"/>
        <v>1.7528544903417743E-2</v>
      </c>
      <c r="BZ111" s="140">
        <f t="shared" si="179"/>
        <v>1.7677668007222092E-2</v>
      </c>
      <c r="CA111" s="140">
        <f t="shared" si="179"/>
        <v>1.782824202986584E-2</v>
      </c>
      <c r="CB111" s="140">
        <f t="shared" si="179"/>
        <v>1.7980085176552876E-2</v>
      </c>
      <c r="CC111" s="17"/>
      <c r="CD111" s="17"/>
      <c r="CE111" s="17"/>
    </row>
    <row r="112" spans="1:83">
      <c r="A112" s="16" t="s">
        <v>44</v>
      </c>
      <c r="B112" s="140">
        <f>EXP(-B111*B110)</f>
        <v>0.97831334525419</v>
      </c>
      <c r="C112" s="140">
        <f t="shared" ref="C112:AR112" si="180">EXP(-C111*C110)</f>
        <v>0.99170420751197286</v>
      </c>
      <c r="D112" s="140">
        <f t="shared" si="180"/>
        <v>1.0229524189787864</v>
      </c>
      <c r="E112" s="140">
        <f t="shared" si="180"/>
        <v>1.04813414653027</v>
      </c>
      <c r="F112" s="140">
        <f t="shared" si="180"/>
        <v>1.0599995085209866</v>
      </c>
      <c r="G112" s="140">
        <f t="shared" si="180"/>
        <v>1.0588673416754111</v>
      </c>
      <c r="H112" s="140">
        <f t="shared" si="180"/>
        <v>1.0478727469969986</v>
      </c>
      <c r="I112" s="140">
        <f t="shared" si="180"/>
        <v>1.0305565060021333</v>
      </c>
      <c r="J112" s="140">
        <f t="shared" si="180"/>
        <v>1.0098716227477791</v>
      </c>
      <c r="K112" s="140">
        <f t="shared" si="180"/>
        <v>0.98806648642252881</v>
      </c>
      <c r="L112" s="140">
        <f t="shared" si="180"/>
        <v>0.9662769452000437</v>
      </c>
      <c r="M112" s="140">
        <f t="shared" si="180"/>
        <v>0.94544789339872837</v>
      </c>
      <c r="N112" s="140">
        <f t="shared" si="180"/>
        <v>0.92601618704219346</v>
      </c>
      <c r="O112" s="140">
        <f t="shared" si="180"/>
        <v>0.90816799970139073</v>
      </c>
      <c r="P112" s="140">
        <f t="shared" si="180"/>
        <v>0.89193625370846286</v>
      </c>
      <c r="Q112" s="140">
        <f t="shared" si="180"/>
        <v>0.87726550336246401</v>
      </c>
      <c r="R112" s="140">
        <f t="shared" si="180"/>
        <v>0.86405326415118033</v>
      </c>
      <c r="S112" s="140">
        <f t="shared" si="180"/>
        <v>0.85223792637520357</v>
      </c>
      <c r="T112" s="140">
        <f t="shared" si="180"/>
        <v>0.84155727326688445</v>
      </c>
      <c r="U112" s="140">
        <f t="shared" si="180"/>
        <v>0.8319519103544526</v>
      </c>
      <c r="V112" s="140">
        <f t="shared" si="180"/>
        <v>0.82329917853897838</v>
      </c>
      <c r="W112" s="140">
        <f t="shared" si="180"/>
        <v>0.81548488337365777</v>
      </c>
      <c r="X112" s="140">
        <f t="shared" si="180"/>
        <v>0.80840404597605708</v>
      </c>
      <c r="Y112" s="140">
        <f t="shared" si="180"/>
        <v>0.80196088526614029</v>
      </c>
      <c r="Z112" s="140">
        <f t="shared" si="180"/>
        <v>0.79606839958716724</v>
      </c>
      <c r="AA112" s="140">
        <f t="shared" si="180"/>
        <v>0.79067670876090101</v>
      </c>
      <c r="AB112" s="140">
        <f t="shared" si="180"/>
        <v>0.78565456520190258</v>
      </c>
      <c r="AC112" s="140">
        <f t="shared" si="180"/>
        <v>0.78096882882481578</v>
      </c>
      <c r="AD112" s="140">
        <f t="shared" si="180"/>
        <v>0.77656122467320066</v>
      </c>
      <c r="AE112" s="140">
        <f t="shared" si="180"/>
        <v>0.77237913520966428</v>
      </c>
      <c r="AF112" s="140">
        <f t="shared" si="180"/>
        <v>0.76837508635218044</v>
      </c>
      <c r="AG112" s="140">
        <f t="shared" si="180"/>
        <v>0.76450628894100303</v>
      </c>
      <c r="AH112" s="140">
        <f t="shared" si="180"/>
        <v>0.76073423130499929</v>
      </c>
      <c r="AI112" s="140">
        <f t="shared" si="180"/>
        <v>0.75704481495130627</v>
      </c>
      <c r="AJ112" s="140">
        <f t="shared" si="180"/>
        <v>0.75336594926484879</v>
      </c>
      <c r="AK112" s="140">
        <f t="shared" si="180"/>
        <v>0.74969067508207399</v>
      </c>
      <c r="AL112" s="140">
        <f t="shared" si="180"/>
        <v>0.74599432982677139</v>
      </c>
      <c r="AM112" s="140">
        <f t="shared" si="180"/>
        <v>0.74225506911776618</v>
      </c>
      <c r="AN112" s="140">
        <f t="shared" si="180"/>
        <v>0.73845365614535674</v>
      </c>
      <c r="AO112" s="140">
        <f t="shared" si="180"/>
        <v>0.73457326952928248</v>
      </c>
      <c r="AP112" s="140">
        <f t="shared" si="180"/>
        <v>0.73059932697197494</v>
      </c>
      <c r="AQ112" s="140">
        <f t="shared" si="180"/>
        <v>0.72654230241065831</v>
      </c>
      <c r="AR112" s="140">
        <f t="shared" si="180"/>
        <v>0.72234632899464069</v>
      </c>
      <c r="AS112" s="140">
        <f>EXP(-AS111*AS110)</f>
        <v>0.71802496028531815</v>
      </c>
      <c r="AT112" s="140">
        <f t="shared" ref="AT112:CA112" si="181">EXP(-AT111*AT110)</f>
        <v>0.7135710428427593</v>
      </c>
      <c r="AU112" s="140">
        <f t="shared" si="181"/>
        <v>0.70897895167838554</v>
      </c>
      <c r="AV112" s="140">
        <f t="shared" si="181"/>
        <v>0.7042444729313283</v>
      </c>
      <c r="AW112" s="140">
        <f t="shared" si="181"/>
        <v>0.6993646928638414</v>
      </c>
      <c r="AX112" s="140">
        <f t="shared" si="181"/>
        <v>0.69433789262941015</v>
      </c>
      <c r="AY112" s="140">
        <f t="shared" si="181"/>
        <v>0.68919260287780393</v>
      </c>
      <c r="AZ112" s="140">
        <f t="shared" si="181"/>
        <v>0.68387170624103499</v>
      </c>
      <c r="BA112" s="140">
        <f t="shared" si="181"/>
        <v>0.67840481842987588</v>
      </c>
      <c r="BB112" s="140">
        <f t="shared" si="181"/>
        <v>0.67279404536697007</v>
      </c>
      <c r="BC112" s="140">
        <f t="shared" si="181"/>
        <v>0.6670422361616799</v>
      </c>
      <c r="BD112" s="140">
        <f t="shared" si="181"/>
        <v>0.66115290583084063</v>
      </c>
      <c r="BE112" s="140">
        <f t="shared" si="181"/>
        <v>0.65513016205614516</v>
      </c>
      <c r="BF112" s="140">
        <f t="shared" si="181"/>
        <v>0.64897863587325322</v>
      </c>
      <c r="BG112" s="140">
        <f t="shared" si="181"/>
        <v>0.64273861030853363</v>
      </c>
      <c r="BH112" s="140">
        <f t="shared" si="181"/>
        <v>0.63634582313737231</v>
      </c>
      <c r="BI112" s="140">
        <f t="shared" si="181"/>
        <v>0.62984061756017629</v>
      </c>
      <c r="BJ112" s="140">
        <f t="shared" si="181"/>
        <v>0.62322909898273571</v>
      </c>
      <c r="BK112" s="140">
        <f t="shared" si="181"/>
        <v>0.6165176057736359</v>
      </c>
      <c r="BL112" s="140">
        <f t="shared" si="181"/>
        <v>0.60971266170463478</v>
      </c>
      <c r="BM112" s="140">
        <f t="shared" si="181"/>
        <v>0.60282093171938478</v>
      </c>
      <c r="BN112" s="140">
        <f t="shared" si="181"/>
        <v>0.59584918093606276</v>
      </c>
      <c r="BO112" s="140">
        <f t="shared" si="181"/>
        <v>0.58884356496376078</v>
      </c>
      <c r="BP112" s="140">
        <f t="shared" si="181"/>
        <v>0.58173263196104952</v>
      </c>
      <c r="BQ112" s="140">
        <f t="shared" si="181"/>
        <v>0.57456217299340195</v>
      </c>
      <c r="BR112" s="140">
        <f t="shared" si="181"/>
        <v>0.56733900528152859</v>
      </c>
      <c r="BS112" s="140">
        <f t="shared" si="181"/>
        <v>0.56006988626029253</v>
      </c>
      <c r="BT112" s="140">
        <f t="shared" si="181"/>
        <v>0.55276148974146333</v>
      </c>
      <c r="BU112" s="140">
        <f t="shared" si="181"/>
        <v>0.54542038453450659</v>
      </c>
      <c r="BV112" s="140">
        <f t="shared" si="181"/>
        <v>0.53805301540359518</v>
      </c>
      <c r="BW112" s="140">
        <f t="shared" si="181"/>
        <v>0.53070677072577288</v>
      </c>
      <c r="BX112" s="140">
        <f t="shared" si="181"/>
        <v>0.52330568985432557</v>
      </c>
      <c r="BY112" s="140">
        <f t="shared" si="181"/>
        <v>0.51589674438204247</v>
      </c>
      <c r="BZ112" s="140">
        <f t="shared" si="181"/>
        <v>0.50848573591937163</v>
      </c>
      <c r="CA112" s="140">
        <f t="shared" si="181"/>
        <v>0.50107827762326984</v>
      </c>
      <c r="CB112" s="140">
        <f>EXP(-CB111*CB110)</f>
        <v>0.49367978660513195</v>
      </c>
      <c r="CC112" s="17"/>
      <c r="CD112" s="17"/>
      <c r="CE112" s="17"/>
    </row>
    <row r="113" spans="1:83">
      <c r="A113" s="17"/>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17"/>
      <c r="CD113" s="17"/>
      <c r="CE113" s="17"/>
    </row>
    <row r="114" spans="1:83">
      <c r="A114" s="16" t="s">
        <v>40</v>
      </c>
      <c r="B114" s="140">
        <f t="shared" ref="B114:BM114" si="182">DAYS360($B$3,B42)</f>
        <v>108</v>
      </c>
      <c r="C114" s="140">
        <f t="shared" si="182"/>
        <v>287</v>
      </c>
      <c r="D114" s="140">
        <f t="shared" si="182"/>
        <v>467</v>
      </c>
      <c r="E114" s="140">
        <f t="shared" si="182"/>
        <v>647</v>
      </c>
      <c r="F114" s="140">
        <f t="shared" si="182"/>
        <v>827</v>
      </c>
      <c r="G114" s="140">
        <f t="shared" si="182"/>
        <v>1007</v>
      </c>
      <c r="H114" s="140">
        <f t="shared" si="182"/>
        <v>1187</v>
      </c>
      <c r="I114" s="140">
        <f t="shared" si="182"/>
        <v>1367</v>
      </c>
      <c r="J114" s="140">
        <f t="shared" si="182"/>
        <v>1547</v>
      </c>
      <c r="K114" s="140">
        <f t="shared" si="182"/>
        <v>1726</v>
      </c>
      <c r="L114" s="140">
        <f t="shared" si="182"/>
        <v>1906</v>
      </c>
      <c r="M114" s="140">
        <f t="shared" si="182"/>
        <v>2086</v>
      </c>
      <c r="N114" s="140">
        <f t="shared" si="182"/>
        <v>2266</v>
      </c>
      <c r="O114" s="140">
        <f t="shared" si="182"/>
        <v>2446</v>
      </c>
      <c r="P114" s="140">
        <f t="shared" si="182"/>
        <v>2626</v>
      </c>
      <c r="Q114" s="140">
        <f t="shared" si="182"/>
        <v>2806</v>
      </c>
      <c r="R114" s="140">
        <f t="shared" si="182"/>
        <v>2986</v>
      </c>
      <c r="S114" s="140">
        <f t="shared" si="182"/>
        <v>3165</v>
      </c>
      <c r="T114" s="140">
        <f t="shared" si="182"/>
        <v>3345</v>
      </c>
      <c r="U114" s="140">
        <f t="shared" si="182"/>
        <v>3525</v>
      </c>
      <c r="V114" s="140">
        <f t="shared" si="182"/>
        <v>3705</v>
      </c>
      <c r="W114" s="140">
        <f t="shared" si="182"/>
        <v>3885</v>
      </c>
      <c r="X114" s="140">
        <f t="shared" si="182"/>
        <v>4065</v>
      </c>
      <c r="Y114" s="140">
        <f t="shared" si="182"/>
        <v>4245</v>
      </c>
      <c r="Z114" s="140">
        <f t="shared" si="182"/>
        <v>4425</v>
      </c>
      <c r="AA114" s="140">
        <f t="shared" si="182"/>
        <v>4604</v>
      </c>
      <c r="AB114" s="140">
        <f t="shared" si="182"/>
        <v>4784</v>
      </c>
      <c r="AC114" s="140">
        <f t="shared" si="182"/>
        <v>4964</v>
      </c>
      <c r="AD114" s="140">
        <f t="shared" si="182"/>
        <v>5144</v>
      </c>
      <c r="AE114" s="140">
        <f t="shared" si="182"/>
        <v>5324</v>
      </c>
      <c r="AF114" s="140">
        <f t="shared" si="182"/>
        <v>5504</v>
      </c>
      <c r="AG114" s="140">
        <f t="shared" si="182"/>
        <v>5684</v>
      </c>
      <c r="AH114" s="140">
        <f t="shared" si="182"/>
        <v>5864</v>
      </c>
      <c r="AI114" s="140">
        <f t="shared" si="182"/>
        <v>6043</v>
      </c>
      <c r="AJ114" s="140">
        <f t="shared" si="182"/>
        <v>6223</v>
      </c>
      <c r="AK114" s="140">
        <f t="shared" si="182"/>
        <v>6403</v>
      </c>
      <c r="AL114" s="140">
        <f t="shared" si="182"/>
        <v>6583</v>
      </c>
      <c r="AM114" s="140">
        <f t="shared" si="182"/>
        <v>6763</v>
      </c>
      <c r="AN114" s="140">
        <f t="shared" si="182"/>
        <v>6943</v>
      </c>
      <c r="AO114" s="140">
        <f t="shared" si="182"/>
        <v>7123</v>
      </c>
      <c r="AP114" s="140">
        <f t="shared" si="182"/>
        <v>7303</v>
      </c>
      <c r="AQ114" s="140">
        <f t="shared" si="182"/>
        <v>7482</v>
      </c>
      <c r="AR114" s="140">
        <f t="shared" si="182"/>
        <v>7662</v>
      </c>
      <c r="AS114" s="140">
        <f t="shared" si="182"/>
        <v>7842</v>
      </c>
      <c r="AT114" s="140">
        <f t="shared" si="182"/>
        <v>8022</v>
      </c>
      <c r="AU114" s="140">
        <f t="shared" si="182"/>
        <v>8202</v>
      </c>
      <c r="AV114" s="140">
        <f t="shared" si="182"/>
        <v>8382</v>
      </c>
      <c r="AW114" s="140">
        <f t="shared" si="182"/>
        <v>8562</v>
      </c>
      <c r="AX114" s="140">
        <f t="shared" si="182"/>
        <v>8742</v>
      </c>
      <c r="AY114" s="140">
        <f t="shared" si="182"/>
        <v>8921</v>
      </c>
      <c r="AZ114" s="140">
        <f t="shared" si="182"/>
        <v>9101</v>
      </c>
      <c r="BA114" s="140">
        <f t="shared" si="182"/>
        <v>9281</v>
      </c>
      <c r="BB114" s="140">
        <f t="shared" si="182"/>
        <v>9461</v>
      </c>
      <c r="BC114" s="140">
        <f t="shared" si="182"/>
        <v>9641</v>
      </c>
      <c r="BD114" s="140">
        <f t="shared" si="182"/>
        <v>9821</v>
      </c>
      <c r="BE114" s="140">
        <f t="shared" si="182"/>
        <v>10001</v>
      </c>
      <c r="BF114" s="140">
        <f t="shared" si="182"/>
        <v>10181</v>
      </c>
      <c r="BG114" s="140">
        <f t="shared" si="182"/>
        <v>10360</v>
      </c>
      <c r="BH114" s="140">
        <f t="shared" si="182"/>
        <v>10540</v>
      </c>
      <c r="BI114" s="140">
        <f t="shared" si="182"/>
        <v>10720</v>
      </c>
      <c r="BJ114" s="140">
        <f t="shared" si="182"/>
        <v>10900</v>
      </c>
      <c r="BK114" s="140">
        <f t="shared" si="182"/>
        <v>11080</v>
      </c>
      <c r="BL114" s="140">
        <f t="shared" si="182"/>
        <v>11260</v>
      </c>
      <c r="BM114" s="140">
        <f t="shared" si="182"/>
        <v>11440</v>
      </c>
      <c r="BN114" s="140">
        <f t="shared" ref="BN114:CB114" si="183">DAYS360($B$3,BN42)</f>
        <v>11620</v>
      </c>
      <c r="BO114" s="140">
        <f t="shared" si="183"/>
        <v>11799</v>
      </c>
      <c r="BP114" s="140">
        <f t="shared" si="183"/>
        <v>11979</v>
      </c>
      <c r="BQ114" s="140">
        <f t="shared" si="183"/>
        <v>12159</v>
      </c>
      <c r="BR114" s="140">
        <f t="shared" si="183"/>
        <v>12339</v>
      </c>
      <c r="BS114" s="140">
        <f t="shared" si="183"/>
        <v>12519</v>
      </c>
      <c r="BT114" s="140">
        <f t="shared" si="183"/>
        <v>12699</v>
      </c>
      <c r="BU114" s="140">
        <f t="shared" si="183"/>
        <v>12879</v>
      </c>
      <c r="BV114" s="140">
        <f t="shared" si="183"/>
        <v>13059</v>
      </c>
      <c r="BW114" s="140">
        <f t="shared" si="183"/>
        <v>13238</v>
      </c>
      <c r="BX114" s="140">
        <f t="shared" si="183"/>
        <v>13418</v>
      </c>
      <c r="BY114" s="140">
        <f t="shared" si="183"/>
        <v>13598</v>
      </c>
      <c r="BZ114" s="140">
        <f t="shared" si="183"/>
        <v>13778</v>
      </c>
      <c r="CA114" s="140">
        <f t="shared" si="183"/>
        <v>13958</v>
      </c>
      <c r="CB114" s="140">
        <f t="shared" si="183"/>
        <v>14138</v>
      </c>
      <c r="CC114" s="17"/>
      <c r="CD114" s="17"/>
      <c r="CE114" s="17"/>
    </row>
    <row r="115" spans="1:83">
      <c r="A115" s="16" t="s">
        <v>41</v>
      </c>
      <c r="B115" s="140">
        <f>B114/360</f>
        <v>0.3</v>
      </c>
      <c r="C115" s="140">
        <f t="shared" ref="C115:BN115" si="184">C114/360</f>
        <v>0.79722222222222228</v>
      </c>
      <c r="D115" s="140">
        <f t="shared" si="184"/>
        <v>1.2972222222222223</v>
      </c>
      <c r="E115" s="140">
        <f t="shared" si="184"/>
        <v>1.7972222222222223</v>
      </c>
      <c r="F115" s="140">
        <f t="shared" si="184"/>
        <v>2.2972222222222221</v>
      </c>
      <c r="G115" s="140">
        <f t="shared" si="184"/>
        <v>2.7972222222222221</v>
      </c>
      <c r="H115" s="140">
        <f t="shared" si="184"/>
        <v>3.2972222222222221</v>
      </c>
      <c r="I115" s="140">
        <f t="shared" si="184"/>
        <v>3.7972222222222221</v>
      </c>
      <c r="J115" s="140">
        <f t="shared" si="184"/>
        <v>4.2972222222222225</v>
      </c>
      <c r="K115" s="140">
        <f t="shared" si="184"/>
        <v>4.7944444444444443</v>
      </c>
      <c r="L115" s="140">
        <f t="shared" si="184"/>
        <v>5.2944444444444443</v>
      </c>
      <c r="M115" s="140">
        <f t="shared" si="184"/>
        <v>5.7944444444444443</v>
      </c>
      <c r="N115" s="140">
        <f t="shared" si="184"/>
        <v>6.2944444444444443</v>
      </c>
      <c r="O115" s="140">
        <f t="shared" si="184"/>
        <v>6.7944444444444443</v>
      </c>
      <c r="P115" s="140">
        <f t="shared" si="184"/>
        <v>7.2944444444444443</v>
      </c>
      <c r="Q115" s="140">
        <f t="shared" si="184"/>
        <v>7.7944444444444443</v>
      </c>
      <c r="R115" s="140">
        <f t="shared" si="184"/>
        <v>8.2944444444444443</v>
      </c>
      <c r="S115" s="140">
        <f t="shared" si="184"/>
        <v>8.7916666666666661</v>
      </c>
      <c r="T115" s="140">
        <f t="shared" si="184"/>
        <v>9.2916666666666661</v>
      </c>
      <c r="U115" s="140">
        <f t="shared" si="184"/>
        <v>9.7916666666666661</v>
      </c>
      <c r="V115" s="140">
        <f t="shared" si="184"/>
        <v>10.291666666666666</v>
      </c>
      <c r="W115" s="140">
        <f t="shared" si="184"/>
        <v>10.791666666666666</v>
      </c>
      <c r="X115" s="140">
        <f t="shared" si="184"/>
        <v>11.291666666666666</v>
      </c>
      <c r="Y115" s="140">
        <f t="shared" si="184"/>
        <v>11.791666666666666</v>
      </c>
      <c r="Z115" s="140">
        <f t="shared" si="184"/>
        <v>12.291666666666666</v>
      </c>
      <c r="AA115" s="140">
        <f t="shared" si="184"/>
        <v>12.78888888888889</v>
      </c>
      <c r="AB115" s="140">
        <f t="shared" si="184"/>
        <v>13.28888888888889</v>
      </c>
      <c r="AC115" s="140">
        <f t="shared" si="184"/>
        <v>13.78888888888889</v>
      </c>
      <c r="AD115" s="140">
        <f t="shared" si="184"/>
        <v>14.28888888888889</v>
      </c>
      <c r="AE115" s="140">
        <f t="shared" si="184"/>
        <v>14.78888888888889</v>
      </c>
      <c r="AF115" s="140">
        <f t="shared" si="184"/>
        <v>15.28888888888889</v>
      </c>
      <c r="AG115" s="140">
        <f t="shared" si="184"/>
        <v>15.78888888888889</v>
      </c>
      <c r="AH115" s="140">
        <f t="shared" si="184"/>
        <v>16.288888888888888</v>
      </c>
      <c r="AI115" s="140">
        <f t="shared" si="184"/>
        <v>16.786111111111111</v>
      </c>
      <c r="AJ115" s="140">
        <f t="shared" si="184"/>
        <v>17.286111111111111</v>
      </c>
      <c r="AK115" s="140">
        <f t="shared" si="184"/>
        <v>17.786111111111111</v>
      </c>
      <c r="AL115" s="140">
        <f t="shared" si="184"/>
        <v>18.286111111111111</v>
      </c>
      <c r="AM115" s="140">
        <f t="shared" si="184"/>
        <v>18.786111111111111</v>
      </c>
      <c r="AN115" s="140">
        <f t="shared" si="184"/>
        <v>19.286111111111111</v>
      </c>
      <c r="AO115" s="140">
        <f t="shared" si="184"/>
        <v>19.786111111111111</v>
      </c>
      <c r="AP115" s="140">
        <f t="shared" si="184"/>
        <v>20.286111111111111</v>
      </c>
      <c r="AQ115" s="140">
        <f t="shared" si="184"/>
        <v>20.783333333333335</v>
      </c>
      <c r="AR115" s="140">
        <f t="shared" si="184"/>
        <v>21.283333333333335</v>
      </c>
      <c r="AS115" s="140">
        <f t="shared" si="184"/>
        <v>21.783333333333335</v>
      </c>
      <c r="AT115" s="140">
        <f t="shared" si="184"/>
        <v>22.283333333333335</v>
      </c>
      <c r="AU115" s="140">
        <f t="shared" si="184"/>
        <v>22.783333333333335</v>
      </c>
      <c r="AV115" s="140">
        <f t="shared" si="184"/>
        <v>23.283333333333335</v>
      </c>
      <c r="AW115" s="140">
        <f t="shared" si="184"/>
        <v>23.783333333333335</v>
      </c>
      <c r="AX115" s="140">
        <f t="shared" si="184"/>
        <v>24.283333333333335</v>
      </c>
      <c r="AY115" s="140">
        <f t="shared" si="184"/>
        <v>24.780555555555555</v>
      </c>
      <c r="AZ115" s="140">
        <f t="shared" si="184"/>
        <v>25.280555555555555</v>
      </c>
      <c r="BA115" s="140">
        <f t="shared" si="184"/>
        <v>25.780555555555555</v>
      </c>
      <c r="BB115" s="140">
        <f t="shared" si="184"/>
        <v>26.280555555555555</v>
      </c>
      <c r="BC115" s="140">
        <f t="shared" si="184"/>
        <v>26.780555555555555</v>
      </c>
      <c r="BD115" s="140">
        <f t="shared" si="184"/>
        <v>27.280555555555555</v>
      </c>
      <c r="BE115" s="140">
        <f t="shared" si="184"/>
        <v>27.780555555555555</v>
      </c>
      <c r="BF115" s="140">
        <f t="shared" si="184"/>
        <v>28.280555555555555</v>
      </c>
      <c r="BG115" s="140">
        <f t="shared" si="184"/>
        <v>28.777777777777779</v>
      </c>
      <c r="BH115" s="140">
        <f t="shared" si="184"/>
        <v>29.277777777777779</v>
      </c>
      <c r="BI115" s="140">
        <f t="shared" si="184"/>
        <v>29.777777777777779</v>
      </c>
      <c r="BJ115" s="140">
        <f t="shared" si="184"/>
        <v>30.277777777777779</v>
      </c>
      <c r="BK115" s="140">
        <f t="shared" si="184"/>
        <v>30.777777777777779</v>
      </c>
      <c r="BL115" s="140">
        <f t="shared" si="184"/>
        <v>31.277777777777779</v>
      </c>
      <c r="BM115" s="140">
        <f t="shared" si="184"/>
        <v>31.777777777777779</v>
      </c>
      <c r="BN115" s="140">
        <f t="shared" si="184"/>
        <v>32.277777777777779</v>
      </c>
      <c r="BO115" s="140">
        <f t="shared" ref="BO115:CB115" si="185">BO114/360</f>
        <v>32.774999999999999</v>
      </c>
      <c r="BP115" s="140">
        <f t="shared" si="185"/>
        <v>33.274999999999999</v>
      </c>
      <c r="BQ115" s="140">
        <f t="shared" si="185"/>
        <v>33.774999999999999</v>
      </c>
      <c r="BR115" s="140">
        <f t="shared" si="185"/>
        <v>34.274999999999999</v>
      </c>
      <c r="BS115" s="140">
        <f t="shared" si="185"/>
        <v>34.774999999999999</v>
      </c>
      <c r="BT115" s="140">
        <f t="shared" si="185"/>
        <v>35.274999999999999</v>
      </c>
      <c r="BU115" s="140">
        <f t="shared" si="185"/>
        <v>35.774999999999999</v>
      </c>
      <c r="BV115" s="140">
        <f t="shared" si="185"/>
        <v>36.274999999999999</v>
      </c>
      <c r="BW115" s="140">
        <f t="shared" si="185"/>
        <v>36.772222222222226</v>
      </c>
      <c r="BX115" s="140">
        <f t="shared" si="185"/>
        <v>37.272222222222226</v>
      </c>
      <c r="BY115" s="140">
        <f t="shared" si="185"/>
        <v>37.772222222222226</v>
      </c>
      <c r="BZ115" s="140">
        <f t="shared" si="185"/>
        <v>38.272222222222226</v>
      </c>
      <c r="CA115" s="140">
        <f t="shared" si="185"/>
        <v>38.772222222222226</v>
      </c>
      <c r="CB115" s="140">
        <f t="shared" si="185"/>
        <v>39.272222222222226</v>
      </c>
      <c r="CC115" s="17"/>
      <c r="CD115" s="17"/>
      <c r="CE115" s="17"/>
    </row>
    <row r="116" spans="1:83">
      <c r="A116" s="16" t="s">
        <v>43</v>
      </c>
      <c r="B116" s="140">
        <f>IF(B114&lt;0,0,$B$5+$B$6*((1-EXP(-B115/$B$9))/(B115/$B$9))+$B$7*((1-EXP(-B115/$B$9))/(B115/$B$9)-EXP(-B115/$B$9))+$B$8*((1-EXP(-B115/$B$10))/(B115/$B$10)-EXP(-B115/$B$10)))</f>
        <v>7.4027525443107561E-2</v>
      </c>
      <c r="C116" s="140">
        <f t="shared" ref="C116:BN116" si="186">IF(C114&lt;0,0,$B$5+$B$6*((1-EXP(-C115/$B$9))/(C115/$B$9))+$B$7*((1-EXP(-C115/$B$9))/(C115/$B$9)-EXP(-C115/$B$9))+$B$8*((1-EXP(-C115/$B$10))/(C115/$B$10)-EXP(-C115/$B$10)))</f>
        <v>9.4443793243216834E-3</v>
      </c>
      <c r="D116" s="140">
        <f t="shared" si="186"/>
        <v>-1.8127457720662515E-2</v>
      </c>
      <c r="E116" s="140">
        <f t="shared" si="186"/>
        <v>-2.643358411745407E-2</v>
      </c>
      <c r="F116" s="140">
        <f t="shared" si="186"/>
        <v>-2.5419310642278398E-2</v>
      </c>
      <c r="G116" s="140">
        <f t="shared" si="186"/>
        <v>-2.0384932785647306E-2</v>
      </c>
      <c r="H116" s="140">
        <f t="shared" si="186"/>
        <v>-1.4063278202923649E-2</v>
      </c>
      <c r="I116" s="140">
        <f t="shared" si="186"/>
        <v>-7.7883325710081663E-3</v>
      </c>
      <c r="J116" s="140">
        <f t="shared" si="186"/>
        <v>-2.1475840511708255E-3</v>
      </c>
      <c r="K116" s="140">
        <f t="shared" si="186"/>
        <v>2.6332339077507899E-3</v>
      </c>
      <c r="L116" s="140">
        <f t="shared" si="186"/>
        <v>6.5956000180963231E-3</v>
      </c>
      <c r="M116" s="140">
        <f t="shared" si="186"/>
        <v>9.7833281500671332E-3</v>
      </c>
      <c r="N116" s="140">
        <f t="shared" si="186"/>
        <v>1.230015897500121E-2</v>
      </c>
      <c r="O116" s="140">
        <f t="shared" si="186"/>
        <v>1.4253766811998775E-2</v>
      </c>
      <c r="P116" s="140">
        <f t="shared" si="186"/>
        <v>1.5743599374688347E-2</v>
      </c>
      <c r="Q116" s="140">
        <f t="shared" si="186"/>
        <v>1.6856348651782281E-2</v>
      </c>
      <c r="R116" s="140">
        <f t="shared" si="186"/>
        <v>1.7665192231874016E-2</v>
      </c>
      <c r="S116" s="140">
        <f t="shared" si="186"/>
        <v>1.8228181503567989E-2</v>
      </c>
      <c r="T116" s="140">
        <f t="shared" si="186"/>
        <v>1.8601062342595974E-2</v>
      </c>
      <c r="U116" s="140">
        <f t="shared" si="186"/>
        <v>1.8820533601148819E-2</v>
      </c>
      <c r="V116" s="140">
        <f t="shared" si="186"/>
        <v>1.8919428101565855E-2</v>
      </c>
      <c r="W116" s="140">
        <f t="shared" si="186"/>
        <v>1.8924342450855808E-2</v>
      </c>
      <c r="X116" s="140">
        <f t="shared" si="186"/>
        <v>1.8856812380264404E-2</v>
      </c>
      <c r="Y116" s="140">
        <f t="shared" si="186"/>
        <v>1.8734277983673678E-2</v>
      </c>
      <c r="Z116" s="140">
        <f t="shared" si="186"/>
        <v>1.8570866570914522E-2</v>
      </c>
      <c r="AA116" s="140">
        <f t="shared" si="186"/>
        <v>1.8379158039504427E-2</v>
      </c>
      <c r="AB116" s="140">
        <f t="shared" si="186"/>
        <v>1.8166242156472306E-2</v>
      </c>
      <c r="AC116" s="140">
        <f t="shared" si="186"/>
        <v>1.7940626648129551E-2</v>
      </c>
      <c r="AD116" s="140">
        <f t="shared" si="186"/>
        <v>1.7708376385538259E-2</v>
      </c>
      <c r="AE116" s="140">
        <f t="shared" si="186"/>
        <v>1.7474375439204479E-2</v>
      </c>
      <c r="AF116" s="140">
        <f t="shared" si="186"/>
        <v>1.724253987815846E-2</v>
      </c>
      <c r="AG116" s="140">
        <f t="shared" si="186"/>
        <v>1.7015990291288814E-2</v>
      </c>
      <c r="AH116" s="140">
        <f t="shared" si="186"/>
        <v>1.6797192180011709E-2</v>
      </c>
      <c r="AI116" s="140">
        <f t="shared" si="186"/>
        <v>1.6589202801024459E-2</v>
      </c>
      <c r="AJ116" s="140">
        <f t="shared" si="186"/>
        <v>1.6391171228369569E-2</v>
      </c>
      <c r="AK116" s="140">
        <f t="shared" si="186"/>
        <v>1.6205399471614181E-2</v>
      </c>
      <c r="AL116" s="140">
        <f t="shared" si="186"/>
        <v>1.6032693792551594E-2</v>
      </c>
      <c r="AM116" s="140">
        <f t="shared" si="186"/>
        <v>1.587360809256691E-2</v>
      </c>
      <c r="AN116" s="140">
        <f t="shared" si="186"/>
        <v>1.5728487963913899E-2</v>
      </c>
      <c r="AO116" s="140">
        <f t="shared" si="186"/>
        <v>1.5597507393206537E-2</v>
      </c>
      <c r="AP116" s="140">
        <f t="shared" si="186"/>
        <v>1.5480699415278545E-2</v>
      </c>
      <c r="AQ116" s="140">
        <f t="shared" si="186"/>
        <v>1.5378513783582525E-2</v>
      </c>
      <c r="AR116" s="140">
        <f t="shared" si="186"/>
        <v>1.528963374174672E-2</v>
      </c>
      <c r="AS116" s="140">
        <f t="shared" si="186"/>
        <v>1.5214417761727394E-2</v>
      </c>
      <c r="AT116" s="140">
        <f t="shared" si="186"/>
        <v>1.5152553784336154E-2</v>
      </c>
      <c r="AU116" s="140">
        <f t="shared" si="186"/>
        <v>1.5103681876285888E-2</v>
      </c>
      <c r="AV116" s="140">
        <f t="shared" si="186"/>
        <v>1.5067404969952514E-2</v>
      </c>
      <c r="AW116" s="140">
        <f t="shared" si="186"/>
        <v>1.5043297894432421E-2</v>
      </c>
      <c r="AX116" s="140">
        <f t="shared" si="186"/>
        <v>1.503091496472635E-2</v>
      </c>
      <c r="AY116" s="140">
        <f t="shared" si="186"/>
        <v>1.5029772308162694E-2</v>
      </c>
      <c r="AZ116" s="140">
        <f t="shared" si="186"/>
        <v>1.50393907041339E-2</v>
      </c>
      <c r="BA116" s="140">
        <f t="shared" si="186"/>
        <v>1.505933443114045E-2</v>
      </c>
      <c r="BB116" s="140">
        <f t="shared" si="186"/>
        <v>1.5089129871790386E-2</v>
      </c>
      <c r="BC116" s="140">
        <f t="shared" si="186"/>
        <v>1.5128305846577653E-2</v>
      </c>
      <c r="BD116" s="140">
        <f t="shared" si="186"/>
        <v>1.51763961607158E-2</v>
      </c>
      <c r="BE116" s="140">
        <f t="shared" si="186"/>
        <v>1.5232941691377781E-2</v>
      </c>
      <c r="BF116" s="140">
        <f t="shared" si="186"/>
        <v>1.5297492083313158E-2</v>
      </c>
      <c r="BG116" s="140">
        <f t="shared" si="186"/>
        <v>1.536918636885411E-2</v>
      </c>
      <c r="BH116" s="140">
        <f t="shared" si="186"/>
        <v>1.5448398534007292E-2</v>
      </c>
      <c r="BI116" s="140">
        <f t="shared" si="186"/>
        <v>1.5534331621666659E-2</v>
      </c>
      <c r="BJ116" s="140">
        <f t="shared" si="186"/>
        <v>1.5626581255779162E-2</v>
      </c>
      <c r="BK116" s="140">
        <f t="shared" si="186"/>
        <v>1.5724756184743317E-2</v>
      </c>
      <c r="BL116" s="140">
        <f t="shared" si="186"/>
        <v>1.5828478588312003E-2</v>
      </c>
      <c r="BM116" s="140">
        <f t="shared" si="186"/>
        <v>1.5937384258820794E-2</v>
      </c>
      <c r="BN116" s="140">
        <f t="shared" si="186"/>
        <v>1.6051122676387794E-2</v>
      </c>
      <c r="BO116" s="140">
        <f t="shared" ref="BO116:CB116" si="187">IF(BO114&lt;0,0,$B$5+$B$6*((1-EXP(-BO115/$B$9))/(BO115/$B$9))+$B$7*((1-EXP(-BO115/$B$9))/(BO115/$B$9)-EXP(-BO115/$B$9))+$B$8*((1-EXP(-BO115/$B$10))/(BO115/$B$10)-EXP(-BO115/$B$10)))</f>
        <v>1.6168688318313341E-2</v>
      </c>
      <c r="BP116" s="140">
        <f t="shared" si="187"/>
        <v>1.629107296411848E-2</v>
      </c>
      <c r="BQ116" s="140">
        <f t="shared" si="187"/>
        <v>1.6417322108836056E-2</v>
      </c>
      <c r="BR116" s="140">
        <f t="shared" si="187"/>
        <v>1.65471390865683E-2</v>
      </c>
      <c r="BS116" s="140">
        <f t="shared" si="187"/>
        <v>1.6680240221909955E-2</v>
      </c>
      <c r="BT116" s="140">
        <f t="shared" si="187"/>
        <v>1.6816354552230191E-2</v>
      </c>
      <c r="BU116" s="140">
        <f t="shared" si="187"/>
        <v>1.6955223522765218E-2</v>
      </c>
      <c r="BV116" s="140">
        <f t="shared" si="187"/>
        <v>1.709660066042603E-2</v>
      </c>
      <c r="BW116" s="140">
        <f t="shared" si="187"/>
        <v>1.7239447307977995E-2</v>
      </c>
      <c r="BX116" s="140">
        <f t="shared" si="187"/>
        <v>1.7385137170599134E-2</v>
      </c>
      <c r="BY116" s="140">
        <f t="shared" si="187"/>
        <v>1.7532665941191745E-2</v>
      </c>
      <c r="BZ116" s="140">
        <f t="shared" si="187"/>
        <v>1.7681831890375976E-2</v>
      </c>
      <c r="CA116" s="140">
        <f t="shared" si="187"/>
        <v>1.7832443576194429E-2</v>
      </c>
      <c r="CB116" s="140">
        <f t="shared" si="187"/>
        <v>1.7984319474362062E-2</v>
      </c>
      <c r="CC116" s="17"/>
      <c r="CD116" s="17"/>
      <c r="CE116" s="17"/>
    </row>
    <row r="117" spans="1:83">
      <c r="A117" s="16" t="s">
        <v>44</v>
      </c>
      <c r="B117" s="140">
        <f>EXP(-B116*B115)</f>
        <v>0.97803653026769344</v>
      </c>
      <c r="C117" s="140">
        <f t="shared" ref="C117:AR117" si="188">EXP(-C116*C115)</f>
        <v>0.99249900486873255</v>
      </c>
      <c r="D117" s="140">
        <f t="shared" si="188"/>
        <v>1.0237940066373559</v>
      </c>
      <c r="E117" s="140">
        <f t="shared" si="188"/>
        <v>1.0486535676653204</v>
      </c>
      <c r="F117" s="140">
        <f t="shared" si="188"/>
        <v>1.0601323992544314</v>
      </c>
      <c r="G117" s="140">
        <f t="shared" si="188"/>
        <v>1.0586782403594941</v>
      </c>
      <c r="H117" s="140">
        <f t="shared" si="188"/>
        <v>1.0474616418743541</v>
      </c>
      <c r="I117" s="140">
        <f t="shared" si="188"/>
        <v>1.0300156842086929</v>
      </c>
      <c r="J117" s="140">
        <f t="shared" si="188"/>
        <v>1.0092713611616337</v>
      </c>
      <c r="K117" s="140">
        <f t="shared" si="188"/>
        <v>0.98745446597016373</v>
      </c>
      <c r="L117" s="140">
        <f t="shared" si="188"/>
        <v>0.96568263120702025</v>
      </c>
      <c r="M117" s="140">
        <f t="shared" si="188"/>
        <v>0.94488792968470126</v>
      </c>
      <c r="N117" s="140">
        <f t="shared" si="188"/>
        <v>0.92549859291030057</v>
      </c>
      <c r="O117" s="140">
        <f t="shared" si="188"/>
        <v>0.90769539318127235</v>
      </c>
      <c r="P117" s="140">
        <f t="shared" si="188"/>
        <v>0.89150805089175145</v>
      </c>
      <c r="Q117" s="140">
        <f t="shared" si="188"/>
        <v>0.87687934494647768</v>
      </c>
      <c r="R117" s="140">
        <f t="shared" si="188"/>
        <v>0.86370590524780222</v>
      </c>
      <c r="S117" s="140">
        <f t="shared" si="188"/>
        <v>0.85192558653154393</v>
      </c>
      <c r="T117" s="140">
        <f t="shared" si="188"/>
        <v>0.84127652258247609</v>
      </c>
      <c r="U117" s="140">
        <f t="shared" si="188"/>
        <v>0.83169924198584355</v>
      </c>
      <c r="V117" s="140">
        <f t="shared" si="188"/>
        <v>0.82307130020365415</v>
      </c>
      <c r="W117" s="140">
        <f t="shared" si="188"/>
        <v>0.81527875331245392</v>
      </c>
      <c r="X117" s="140">
        <f t="shared" si="188"/>
        <v>0.8082168806811052</v>
      </c>
      <c r="Y117" s="140">
        <f t="shared" si="188"/>
        <v>0.80179015199173087</v>
      </c>
      <c r="Z117" s="140">
        <f t="shared" si="188"/>
        <v>0.79591180135006467</v>
      </c>
      <c r="AA117" s="140">
        <f t="shared" si="188"/>
        <v>0.7905321046703716</v>
      </c>
      <c r="AB117" s="140">
        <f t="shared" si="188"/>
        <v>0.78552014655848035</v>
      </c>
      <c r="AC117" s="140">
        <f t="shared" si="188"/>
        <v>0.78084289554682385</v>
      </c>
      <c r="AD117" s="140">
        <f t="shared" si="188"/>
        <v>0.77644224127778561</v>
      </c>
      <c r="AE117" s="140">
        <f t="shared" si="188"/>
        <v>0.77226571576428171</v>
      </c>
      <c r="AF117" s="140">
        <f t="shared" si="188"/>
        <v>0.7682659810047433</v>
      </c>
      <c r="AG117" s="140">
        <f t="shared" si="188"/>
        <v>0.76440037193606969</v>
      </c>
      <c r="AH117" s="140">
        <f t="shared" si="188"/>
        <v>0.76063049034403862</v>
      </c>
      <c r="AI117" s="140">
        <f t="shared" si="188"/>
        <v>0.75694233702631841</v>
      </c>
      <c r="AJ117" s="140">
        <f t="shared" si="188"/>
        <v>0.75326393064157715</v>
      </c>
      <c r="AK117" s="140">
        <f t="shared" si="188"/>
        <v>0.74958839062680838</v>
      </c>
      <c r="AL117" s="140">
        <f t="shared" si="188"/>
        <v>0.74589113571739973</v>
      </c>
      <c r="AM117" s="140">
        <f t="shared" si="188"/>
        <v>0.74215039671651373</v>
      </c>
      <c r="AN117" s="140">
        <f t="shared" si="188"/>
        <v>0.73834700642545803</v>
      </c>
      <c r="AO117" s="140">
        <f t="shared" si="188"/>
        <v>0.73446420797451717</v>
      </c>
      <c r="AP117" s="140">
        <f t="shared" si="188"/>
        <v>0.73048747888098842</v>
      </c>
      <c r="AQ117" s="140">
        <f t="shared" si="188"/>
        <v>0.72642736658918616</v>
      </c>
      <c r="AR117" s="140">
        <f t="shared" si="188"/>
        <v>0.72222802094204963</v>
      </c>
      <c r="AS117" s="140">
        <f>EXP(-AS116*AS115)</f>
        <v>0.71790305956954181</v>
      </c>
      <c r="AT117" s="140">
        <f t="shared" ref="AT117:CA117" si="189">EXP(-AT116*AT115)</f>
        <v>0.71344537313331646</v>
      </c>
      <c r="AU117" s="140">
        <f t="shared" si="189"/>
        <v>0.70884937739637166</v>
      </c>
      <c r="AV117" s="140">
        <f t="shared" si="189"/>
        <v>0.70411089608343447</v>
      </c>
      <c r="AW117" s="140">
        <f t="shared" si="189"/>
        <v>0.69922705004354835</v>
      </c>
      <c r="AX117" s="140">
        <f t="shared" si="189"/>
        <v>0.69419615217183916</v>
      </c>
      <c r="AY117" s="140">
        <f t="shared" si="189"/>
        <v>0.68904678489414206</v>
      </c>
      <c r="AZ117" s="140">
        <f t="shared" si="189"/>
        <v>0.68372181163922141</v>
      </c>
      <c r="BA117" s="140">
        <f t="shared" si="189"/>
        <v>0.67825089495919</v>
      </c>
      <c r="BB117" s="140">
        <f t="shared" si="189"/>
        <v>0.67263616250088576</v>
      </c>
      <c r="BC117" s="140">
        <f t="shared" si="189"/>
        <v>0.6668804828956757</v>
      </c>
      <c r="BD117" s="140">
        <f t="shared" si="189"/>
        <v>0.66098738859389417</v>
      </c>
      <c r="BE117" s="140">
        <f t="shared" si="189"/>
        <v>0.65496100273279423</v>
      </c>
      <c r="BF117" s="140">
        <f t="shared" si="189"/>
        <v>0.64880596993349737</v>
      </c>
      <c r="BG117" s="140">
        <f t="shared" si="189"/>
        <v>0.64256260327976311</v>
      </c>
      <c r="BH117" s="140">
        <f t="shared" si="189"/>
        <v>0.63616661333284041</v>
      </c>
      <c r="BI117" s="140">
        <f t="shared" si="189"/>
        <v>0.62965837098415423</v>
      </c>
      <c r="BJ117" s="140">
        <f t="shared" si="189"/>
        <v>0.62304398878302947</v>
      </c>
      <c r="BK117" s="140">
        <f t="shared" si="189"/>
        <v>0.61632981087473515</v>
      </c>
      <c r="BL117" s="140">
        <f t="shared" si="189"/>
        <v>0.60952236553455008</v>
      </c>
      <c r="BM117" s="140">
        <f t="shared" si="189"/>
        <v>0.60262832102761121</v>
      </c>
      <c r="BN117" s="140">
        <f t="shared" si="189"/>
        <v>0.59565444469998163</v>
      </c>
      <c r="BO117" s="140">
        <f t="shared" si="189"/>
        <v>0.58864690360625449</v>
      </c>
      <c r="BP117" s="140">
        <f t="shared" si="189"/>
        <v>0.58153422469091398</v>
      </c>
      <c r="BQ117" s="140">
        <f t="shared" si="189"/>
        <v>0.57436220975672292</v>
      </c>
      <c r="BR117" s="140">
        <f t="shared" si="189"/>
        <v>0.56713767470816678</v>
      </c>
      <c r="BS117" s="140">
        <f t="shared" si="189"/>
        <v>0.55986737496747396</v>
      </c>
      <c r="BT117" s="140">
        <f t="shared" si="189"/>
        <v>0.55255798170728188</v>
      </c>
      <c r="BU117" s="140">
        <f t="shared" si="189"/>
        <v>0.54521606053797256</v>
      </c>
      <c r="BV117" s="140">
        <f t="shared" si="189"/>
        <v>0.5378480525278303</v>
      </c>
      <c r="BW117" s="140">
        <f t="shared" si="189"/>
        <v>0.53050134403981408</v>
      </c>
      <c r="BX117" s="140">
        <f t="shared" si="189"/>
        <v>0.52309996475309684</v>
      </c>
      <c r="BY117" s="140">
        <f t="shared" si="189"/>
        <v>0.51569088448822564</v>
      </c>
      <c r="BZ117" s="140">
        <f t="shared" si="189"/>
        <v>0.50827989973738752</v>
      </c>
      <c r="CA117" s="140">
        <f t="shared" si="189"/>
        <v>0.50087261830716079</v>
      </c>
      <c r="CB117" s="140">
        <f>EXP(-CB116*CB115)</f>
        <v>0.49347445176956534</v>
      </c>
      <c r="CC117" s="17"/>
      <c r="CD117" s="17"/>
      <c r="CE117" s="17"/>
    </row>
    <row r="118" spans="1:83">
      <c r="A118" s="17"/>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17"/>
      <c r="CD118" s="17"/>
      <c r="CE118" s="17"/>
    </row>
    <row r="119" spans="1:83">
      <c r="A119" s="16" t="s">
        <v>40</v>
      </c>
      <c r="B119" s="140">
        <f t="shared" ref="B119:BM119" si="190">DAYS360($B$3,B44)</f>
        <v>102</v>
      </c>
      <c r="C119" s="140">
        <f t="shared" si="190"/>
        <v>281</v>
      </c>
      <c r="D119" s="140">
        <f t="shared" si="190"/>
        <v>461</v>
      </c>
      <c r="E119" s="140">
        <f t="shared" si="190"/>
        <v>641</v>
      </c>
      <c r="F119" s="140">
        <f t="shared" si="190"/>
        <v>821</v>
      </c>
      <c r="G119" s="140">
        <f t="shared" si="190"/>
        <v>1001</v>
      </c>
      <c r="H119" s="140">
        <f t="shared" si="190"/>
        <v>1181</v>
      </c>
      <c r="I119" s="140">
        <f t="shared" si="190"/>
        <v>1361</v>
      </c>
      <c r="J119" s="140">
        <f t="shared" si="190"/>
        <v>1541</v>
      </c>
      <c r="K119" s="140">
        <f t="shared" si="190"/>
        <v>1720</v>
      </c>
      <c r="L119" s="140">
        <f t="shared" si="190"/>
        <v>1900</v>
      </c>
      <c r="M119" s="140">
        <f t="shared" si="190"/>
        <v>2080</v>
      </c>
      <c r="N119" s="140">
        <f t="shared" si="190"/>
        <v>2260</v>
      </c>
      <c r="O119" s="140">
        <f t="shared" si="190"/>
        <v>2440</v>
      </c>
      <c r="P119" s="140">
        <f t="shared" si="190"/>
        <v>2620</v>
      </c>
      <c r="Q119" s="140">
        <f t="shared" si="190"/>
        <v>2800</v>
      </c>
      <c r="R119" s="140">
        <f t="shared" si="190"/>
        <v>2980</v>
      </c>
      <c r="S119" s="140">
        <f t="shared" si="190"/>
        <v>3159</v>
      </c>
      <c r="T119" s="140">
        <f t="shared" si="190"/>
        <v>3339</v>
      </c>
      <c r="U119" s="140">
        <f t="shared" si="190"/>
        <v>3519</v>
      </c>
      <c r="V119" s="140">
        <f t="shared" si="190"/>
        <v>3699</v>
      </c>
      <c r="W119" s="140">
        <f t="shared" si="190"/>
        <v>3879</v>
      </c>
      <c r="X119" s="140">
        <f t="shared" si="190"/>
        <v>4059</v>
      </c>
      <c r="Y119" s="140">
        <f t="shared" si="190"/>
        <v>4239</v>
      </c>
      <c r="Z119" s="140">
        <f t="shared" si="190"/>
        <v>4419</v>
      </c>
      <c r="AA119" s="140">
        <f t="shared" si="190"/>
        <v>4598</v>
      </c>
      <c r="AB119" s="140">
        <f t="shared" si="190"/>
        <v>4778</v>
      </c>
      <c r="AC119" s="140">
        <f t="shared" si="190"/>
        <v>4958</v>
      </c>
      <c r="AD119" s="140">
        <f t="shared" si="190"/>
        <v>5138</v>
      </c>
      <c r="AE119" s="140">
        <f t="shared" si="190"/>
        <v>5318</v>
      </c>
      <c r="AF119" s="140">
        <f t="shared" si="190"/>
        <v>5498</v>
      </c>
      <c r="AG119" s="140">
        <f t="shared" si="190"/>
        <v>5678</v>
      </c>
      <c r="AH119" s="140">
        <f t="shared" si="190"/>
        <v>5858</v>
      </c>
      <c r="AI119" s="140">
        <f t="shared" si="190"/>
        <v>6037</v>
      </c>
      <c r="AJ119" s="140">
        <f t="shared" si="190"/>
        <v>6217</v>
      </c>
      <c r="AK119" s="140">
        <f t="shared" si="190"/>
        <v>6397</v>
      </c>
      <c r="AL119" s="140">
        <f t="shared" si="190"/>
        <v>6577</v>
      </c>
      <c r="AM119" s="140">
        <f t="shared" si="190"/>
        <v>6757</v>
      </c>
      <c r="AN119" s="140">
        <f t="shared" si="190"/>
        <v>6937</v>
      </c>
      <c r="AO119" s="140">
        <f t="shared" si="190"/>
        <v>7117</v>
      </c>
      <c r="AP119" s="140">
        <f t="shared" si="190"/>
        <v>7297</v>
      </c>
      <c r="AQ119" s="140">
        <f t="shared" si="190"/>
        <v>7476</v>
      </c>
      <c r="AR119" s="140">
        <f t="shared" si="190"/>
        <v>7656</v>
      </c>
      <c r="AS119" s="140">
        <f t="shared" si="190"/>
        <v>7836</v>
      </c>
      <c r="AT119" s="140">
        <f t="shared" si="190"/>
        <v>8016</v>
      </c>
      <c r="AU119" s="140">
        <f t="shared" si="190"/>
        <v>8196</v>
      </c>
      <c r="AV119" s="140">
        <f t="shared" si="190"/>
        <v>8376</v>
      </c>
      <c r="AW119" s="140">
        <f t="shared" si="190"/>
        <v>8556</v>
      </c>
      <c r="AX119" s="140">
        <f t="shared" si="190"/>
        <v>8736</v>
      </c>
      <c r="AY119" s="140">
        <f t="shared" si="190"/>
        <v>8915</v>
      </c>
      <c r="AZ119" s="140">
        <f t="shared" si="190"/>
        <v>9095</v>
      </c>
      <c r="BA119" s="140">
        <f t="shared" si="190"/>
        <v>9275</v>
      </c>
      <c r="BB119" s="140">
        <f t="shared" si="190"/>
        <v>9455</v>
      </c>
      <c r="BC119" s="140">
        <f t="shared" si="190"/>
        <v>9635</v>
      </c>
      <c r="BD119" s="140">
        <f t="shared" si="190"/>
        <v>9815</v>
      </c>
      <c r="BE119" s="140">
        <f t="shared" si="190"/>
        <v>9995</v>
      </c>
      <c r="BF119" s="140">
        <f t="shared" si="190"/>
        <v>10175</v>
      </c>
      <c r="BG119" s="140">
        <f t="shared" si="190"/>
        <v>10354</v>
      </c>
      <c r="BH119" s="140">
        <f t="shared" si="190"/>
        <v>10534</v>
      </c>
      <c r="BI119" s="140">
        <f t="shared" si="190"/>
        <v>10714</v>
      </c>
      <c r="BJ119" s="140">
        <f t="shared" si="190"/>
        <v>10894</v>
      </c>
      <c r="BK119" s="140">
        <f t="shared" si="190"/>
        <v>11074</v>
      </c>
      <c r="BL119" s="140">
        <f t="shared" si="190"/>
        <v>11254</v>
      </c>
      <c r="BM119" s="140">
        <f t="shared" si="190"/>
        <v>11434</v>
      </c>
      <c r="BN119" s="140">
        <f t="shared" ref="BN119:CB119" si="191">DAYS360($B$3,BN44)</f>
        <v>11614</v>
      </c>
      <c r="BO119" s="140">
        <f t="shared" si="191"/>
        <v>11793</v>
      </c>
      <c r="BP119" s="140">
        <f t="shared" si="191"/>
        <v>11973</v>
      </c>
      <c r="BQ119" s="140">
        <f t="shared" si="191"/>
        <v>12153</v>
      </c>
      <c r="BR119" s="140">
        <f t="shared" si="191"/>
        <v>12333</v>
      </c>
      <c r="BS119" s="140">
        <f t="shared" si="191"/>
        <v>12513</v>
      </c>
      <c r="BT119" s="140">
        <f t="shared" si="191"/>
        <v>12693</v>
      </c>
      <c r="BU119" s="140">
        <f t="shared" si="191"/>
        <v>12873</v>
      </c>
      <c r="BV119" s="140">
        <f t="shared" si="191"/>
        <v>13053</v>
      </c>
      <c r="BW119" s="140">
        <f t="shared" si="191"/>
        <v>13232</v>
      </c>
      <c r="BX119" s="140">
        <f t="shared" si="191"/>
        <v>13412</v>
      </c>
      <c r="BY119" s="140">
        <f t="shared" si="191"/>
        <v>13592</v>
      </c>
      <c r="BZ119" s="140">
        <f t="shared" si="191"/>
        <v>13772</v>
      </c>
      <c r="CA119" s="140">
        <f t="shared" si="191"/>
        <v>13952</v>
      </c>
      <c r="CB119" s="140">
        <f t="shared" si="191"/>
        <v>14132</v>
      </c>
      <c r="CC119" s="17"/>
      <c r="CD119" s="17"/>
      <c r="CE119" s="17"/>
    </row>
    <row r="120" spans="1:83">
      <c r="A120" s="16" t="s">
        <v>41</v>
      </c>
      <c r="B120" s="140">
        <f>B119/360</f>
        <v>0.28333333333333333</v>
      </c>
      <c r="C120" s="140">
        <f t="shared" ref="C120:BN120" si="192">C119/360</f>
        <v>0.78055555555555556</v>
      </c>
      <c r="D120" s="140">
        <f t="shared" si="192"/>
        <v>1.2805555555555554</v>
      </c>
      <c r="E120" s="140">
        <f t="shared" si="192"/>
        <v>1.7805555555555554</v>
      </c>
      <c r="F120" s="140">
        <f t="shared" si="192"/>
        <v>2.2805555555555554</v>
      </c>
      <c r="G120" s="140">
        <f t="shared" si="192"/>
        <v>2.7805555555555554</v>
      </c>
      <c r="H120" s="140">
        <f t="shared" si="192"/>
        <v>3.2805555555555554</v>
      </c>
      <c r="I120" s="140">
        <f t="shared" si="192"/>
        <v>3.7805555555555554</v>
      </c>
      <c r="J120" s="140">
        <f t="shared" si="192"/>
        <v>4.2805555555555559</v>
      </c>
      <c r="K120" s="140">
        <f t="shared" si="192"/>
        <v>4.7777777777777777</v>
      </c>
      <c r="L120" s="140">
        <f t="shared" si="192"/>
        <v>5.2777777777777777</v>
      </c>
      <c r="M120" s="140">
        <f t="shared" si="192"/>
        <v>5.7777777777777777</v>
      </c>
      <c r="N120" s="140">
        <f t="shared" si="192"/>
        <v>6.2777777777777777</v>
      </c>
      <c r="O120" s="140">
        <f t="shared" si="192"/>
        <v>6.7777777777777777</v>
      </c>
      <c r="P120" s="140">
        <f t="shared" si="192"/>
        <v>7.2777777777777777</v>
      </c>
      <c r="Q120" s="140">
        <f t="shared" si="192"/>
        <v>7.7777777777777777</v>
      </c>
      <c r="R120" s="140">
        <f t="shared" si="192"/>
        <v>8.2777777777777786</v>
      </c>
      <c r="S120" s="140">
        <f t="shared" si="192"/>
        <v>8.7750000000000004</v>
      </c>
      <c r="T120" s="140">
        <f t="shared" si="192"/>
        <v>9.2750000000000004</v>
      </c>
      <c r="U120" s="140">
        <f t="shared" si="192"/>
        <v>9.7750000000000004</v>
      </c>
      <c r="V120" s="140">
        <f t="shared" si="192"/>
        <v>10.275</v>
      </c>
      <c r="W120" s="140">
        <f t="shared" si="192"/>
        <v>10.775</v>
      </c>
      <c r="X120" s="140">
        <f t="shared" si="192"/>
        <v>11.275</v>
      </c>
      <c r="Y120" s="140">
        <f t="shared" si="192"/>
        <v>11.775</v>
      </c>
      <c r="Z120" s="140">
        <f t="shared" si="192"/>
        <v>12.275</v>
      </c>
      <c r="AA120" s="140">
        <f t="shared" si="192"/>
        <v>12.772222222222222</v>
      </c>
      <c r="AB120" s="140">
        <f t="shared" si="192"/>
        <v>13.272222222222222</v>
      </c>
      <c r="AC120" s="140">
        <f t="shared" si="192"/>
        <v>13.772222222222222</v>
      </c>
      <c r="AD120" s="140">
        <f t="shared" si="192"/>
        <v>14.272222222222222</v>
      </c>
      <c r="AE120" s="140">
        <f t="shared" si="192"/>
        <v>14.772222222222222</v>
      </c>
      <c r="AF120" s="140">
        <f t="shared" si="192"/>
        <v>15.272222222222222</v>
      </c>
      <c r="AG120" s="140">
        <f t="shared" si="192"/>
        <v>15.772222222222222</v>
      </c>
      <c r="AH120" s="140">
        <f t="shared" si="192"/>
        <v>16.272222222222222</v>
      </c>
      <c r="AI120" s="140">
        <f t="shared" si="192"/>
        <v>16.769444444444446</v>
      </c>
      <c r="AJ120" s="140">
        <f t="shared" si="192"/>
        <v>17.269444444444446</v>
      </c>
      <c r="AK120" s="140">
        <f t="shared" si="192"/>
        <v>17.769444444444446</v>
      </c>
      <c r="AL120" s="140">
        <f t="shared" si="192"/>
        <v>18.269444444444446</v>
      </c>
      <c r="AM120" s="140">
        <f t="shared" si="192"/>
        <v>18.769444444444446</v>
      </c>
      <c r="AN120" s="140">
        <f t="shared" si="192"/>
        <v>19.269444444444446</v>
      </c>
      <c r="AO120" s="140">
        <f t="shared" si="192"/>
        <v>19.769444444444446</v>
      </c>
      <c r="AP120" s="140">
        <f t="shared" si="192"/>
        <v>20.269444444444446</v>
      </c>
      <c r="AQ120" s="140">
        <f t="shared" si="192"/>
        <v>20.766666666666666</v>
      </c>
      <c r="AR120" s="140">
        <f t="shared" si="192"/>
        <v>21.266666666666666</v>
      </c>
      <c r="AS120" s="140">
        <f t="shared" si="192"/>
        <v>21.766666666666666</v>
      </c>
      <c r="AT120" s="140">
        <f t="shared" si="192"/>
        <v>22.266666666666666</v>
      </c>
      <c r="AU120" s="140">
        <f t="shared" si="192"/>
        <v>22.766666666666666</v>
      </c>
      <c r="AV120" s="140">
        <f t="shared" si="192"/>
        <v>23.266666666666666</v>
      </c>
      <c r="AW120" s="140">
        <f t="shared" si="192"/>
        <v>23.766666666666666</v>
      </c>
      <c r="AX120" s="140">
        <f t="shared" si="192"/>
        <v>24.266666666666666</v>
      </c>
      <c r="AY120" s="140">
        <f t="shared" si="192"/>
        <v>24.763888888888889</v>
      </c>
      <c r="AZ120" s="140">
        <f t="shared" si="192"/>
        <v>25.263888888888889</v>
      </c>
      <c r="BA120" s="140">
        <f t="shared" si="192"/>
        <v>25.763888888888889</v>
      </c>
      <c r="BB120" s="140">
        <f t="shared" si="192"/>
        <v>26.263888888888889</v>
      </c>
      <c r="BC120" s="140">
        <f t="shared" si="192"/>
        <v>26.763888888888889</v>
      </c>
      <c r="BD120" s="140">
        <f t="shared" si="192"/>
        <v>27.263888888888889</v>
      </c>
      <c r="BE120" s="140">
        <f t="shared" si="192"/>
        <v>27.763888888888889</v>
      </c>
      <c r="BF120" s="140">
        <f t="shared" si="192"/>
        <v>28.263888888888889</v>
      </c>
      <c r="BG120" s="140">
        <f t="shared" si="192"/>
        <v>28.761111111111113</v>
      </c>
      <c r="BH120" s="140">
        <f t="shared" si="192"/>
        <v>29.261111111111113</v>
      </c>
      <c r="BI120" s="140">
        <f t="shared" si="192"/>
        <v>29.761111111111113</v>
      </c>
      <c r="BJ120" s="140">
        <f t="shared" si="192"/>
        <v>30.261111111111113</v>
      </c>
      <c r="BK120" s="140">
        <f t="shared" si="192"/>
        <v>30.761111111111113</v>
      </c>
      <c r="BL120" s="140">
        <f t="shared" si="192"/>
        <v>31.261111111111113</v>
      </c>
      <c r="BM120" s="140">
        <f t="shared" si="192"/>
        <v>31.761111111111113</v>
      </c>
      <c r="BN120" s="140">
        <f t="shared" si="192"/>
        <v>32.261111111111113</v>
      </c>
      <c r="BO120" s="140">
        <f t="shared" ref="BO120:CB120" si="193">BO119/360</f>
        <v>32.758333333333333</v>
      </c>
      <c r="BP120" s="140">
        <f t="shared" si="193"/>
        <v>33.258333333333333</v>
      </c>
      <c r="BQ120" s="140">
        <f t="shared" si="193"/>
        <v>33.758333333333333</v>
      </c>
      <c r="BR120" s="140">
        <f t="shared" si="193"/>
        <v>34.258333333333333</v>
      </c>
      <c r="BS120" s="140">
        <f t="shared" si="193"/>
        <v>34.758333333333333</v>
      </c>
      <c r="BT120" s="140">
        <f t="shared" si="193"/>
        <v>35.258333333333333</v>
      </c>
      <c r="BU120" s="140">
        <f t="shared" si="193"/>
        <v>35.758333333333333</v>
      </c>
      <c r="BV120" s="140">
        <f t="shared" si="193"/>
        <v>36.258333333333333</v>
      </c>
      <c r="BW120" s="140">
        <f t="shared" si="193"/>
        <v>36.755555555555553</v>
      </c>
      <c r="BX120" s="140">
        <f t="shared" si="193"/>
        <v>37.255555555555553</v>
      </c>
      <c r="BY120" s="140">
        <f t="shared" si="193"/>
        <v>37.755555555555553</v>
      </c>
      <c r="BZ120" s="140">
        <f t="shared" si="193"/>
        <v>38.255555555555553</v>
      </c>
      <c r="CA120" s="140">
        <f t="shared" si="193"/>
        <v>38.755555555555553</v>
      </c>
      <c r="CB120" s="140">
        <f t="shared" si="193"/>
        <v>39.255555555555553</v>
      </c>
      <c r="CC120" s="17"/>
      <c r="CD120" s="17"/>
      <c r="CE120" s="17"/>
    </row>
    <row r="121" spans="1:83">
      <c r="A121" s="16" t="s">
        <v>43</v>
      </c>
      <c r="B121" s="140">
        <f>IF(B119&lt;0,0,$B$5+$B$6*((1-EXP(-B120/$B$9))/(B120/$B$9))+$B$7*((1-EXP(-B120/$B$9))/(B120/$B$9)-EXP(-B120/$B$9))+$B$8*((1-EXP(-B120/$B$10))/(B120/$B$10)-EXP(-B120/$B$10)))</f>
        <v>7.7159293051585795E-2</v>
      </c>
      <c r="C121" s="140">
        <f t="shared" ref="C121:BN121" si="194">IF(C119&lt;0,0,$B$5+$B$6*((1-EXP(-C120/$B$9))/(C120/$B$9))+$B$7*((1-EXP(-C120/$B$9))/(C120/$B$9)-EXP(-C120/$B$9))+$B$8*((1-EXP(-C120/$B$10))/(C120/$B$10)-EXP(-C120/$B$10)))</f>
        <v>1.0875989222454807E-2</v>
      </c>
      <c r="D121" s="140">
        <f t="shared" si="194"/>
        <v>-1.7592166329703424E-2</v>
      </c>
      <c r="E121" s="140">
        <f t="shared" si="194"/>
        <v>-2.6346401698571137E-2</v>
      </c>
      <c r="F121" s="140">
        <f t="shared" si="194"/>
        <v>-2.5538609769907267E-2</v>
      </c>
      <c r="G121" s="140">
        <f t="shared" si="194"/>
        <v>-2.0583888909979267E-2</v>
      </c>
      <c r="H121" s="140">
        <f t="shared" si="194"/>
        <v>-1.4278089005147862E-2</v>
      </c>
      <c r="I121" s="140">
        <f t="shared" si="194"/>
        <v>-7.9891990056399631E-3</v>
      </c>
      <c r="J121" s="140">
        <f t="shared" si="194"/>
        <v>-2.32259134574056E-3</v>
      </c>
      <c r="K121" s="140">
        <f t="shared" si="194"/>
        <v>2.4868040163037036E-3</v>
      </c>
      <c r="L121" s="140">
        <f t="shared" si="194"/>
        <v>6.4765315064866102E-3</v>
      </c>
      <c r="M121" s="140">
        <f t="shared" si="194"/>
        <v>9.6884854244829038E-3</v>
      </c>
      <c r="N121" s="140">
        <f t="shared" si="194"/>
        <v>1.222592194028202E-2</v>
      </c>
      <c r="O121" s="140">
        <f t="shared" si="194"/>
        <v>1.4196637862636835E-2</v>
      </c>
      <c r="P121" s="140">
        <f t="shared" si="194"/>
        <v>1.5700457294821182E-2</v>
      </c>
      <c r="Q121" s="140">
        <f t="shared" si="194"/>
        <v>1.6824523501417672E-2</v>
      </c>
      <c r="R121" s="140">
        <f t="shared" si="194"/>
        <v>1.764245499008691E-2</v>
      </c>
      <c r="S121" s="140">
        <f t="shared" si="194"/>
        <v>1.8212661888042714E-2</v>
      </c>
      <c r="T121" s="140">
        <f t="shared" si="194"/>
        <v>1.8591306644391993E-2</v>
      </c>
      <c r="U121" s="140">
        <f t="shared" si="194"/>
        <v>1.8815324275410765E-2</v>
      </c>
      <c r="V121" s="140">
        <f t="shared" si="194"/>
        <v>1.8917778346264819E-2</v>
      </c>
      <c r="W121" s="140">
        <f t="shared" si="194"/>
        <v>1.892545317088333E-2</v>
      </c>
      <c r="X121" s="140">
        <f t="shared" si="194"/>
        <v>1.8860036528375632E-2</v>
      </c>
      <c r="Y121" s="140">
        <f t="shared" si="194"/>
        <v>1.8739091492098743E-2</v>
      </c>
      <c r="Z121" s="140">
        <f t="shared" si="194"/>
        <v>1.8576844873420602E-2</v>
      </c>
      <c r="AA121" s="140">
        <f t="shared" si="194"/>
        <v>1.838595346076307E-2</v>
      </c>
      <c r="AB121" s="140">
        <f t="shared" si="194"/>
        <v>1.8173581363445691E-2</v>
      </c>
      <c r="AC121" s="140">
        <f t="shared" si="194"/>
        <v>1.7948284231124628E-2</v>
      </c>
      <c r="AD121" s="140">
        <f t="shared" si="194"/>
        <v>1.7716170517008911E-2</v>
      </c>
      <c r="AE121" s="140">
        <f t="shared" si="194"/>
        <v>1.7482159973241068E-2</v>
      </c>
      <c r="AF121" s="140">
        <f t="shared" si="194"/>
        <v>1.7250197956924212E-2</v>
      </c>
      <c r="AG121" s="140">
        <f t="shared" si="194"/>
        <v>1.7023429151991915E-2</v>
      </c>
      <c r="AH121" s="140">
        <f t="shared" si="194"/>
        <v>1.6804338920883E-2</v>
      </c>
      <c r="AI121" s="140">
        <f t="shared" si="194"/>
        <v>1.6596002982831377E-2</v>
      </c>
      <c r="AJ121" s="140">
        <f t="shared" si="194"/>
        <v>1.6397580032783451E-2</v>
      </c>
      <c r="AK121" s="140">
        <f t="shared" si="194"/>
        <v>1.6211385086701859E-2</v>
      </c>
      <c r="AL121" s="140">
        <f t="shared" si="194"/>
        <v>1.6038233676470167E-2</v>
      </c>
      <c r="AM121" s="140">
        <f t="shared" si="194"/>
        <v>1.5878687360838663E-2</v>
      </c>
      <c r="AN121" s="140">
        <f t="shared" si="194"/>
        <v>1.5733098047439924E-2</v>
      </c>
      <c r="AO121" s="140">
        <f t="shared" si="194"/>
        <v>1.5601644918744842E-2</v>
      </c>
      <c r="AP121" s="140">
        <f t="shared" si="194"/>
        <v>1.5484365269441032E-2</v>
      </c>
      <c r="AQ121" s="140">
        <f t="shared" si="194"/>
        <v>1.5381714907452687E-2</v>
      </c>
      <c r="AR121" s="140">
        <f t="shared" si="194"/>
        <v>1.5292374690501924E-2</v>
      </c>
      <c r="AS121" s="140">
        <f t="shared" si="194"/>
        <v>1.5216707970134212E-2</v>
      </c>
      <c r="AT121" s="140">
        <f t="shared" si="194"/>
        <v>1.5154404490606784E-2</v>
      </c>
      <c r="AU121" s="140">
        <f t="shared" si="194"/>
        <v>1.5105105731085186E-2</v>
      </c>
      <c r="AV121" s="140">
        <f t="shared" si="194"/>
        <v>1.5068415707555984E-2</v>
      </c>
      <c r="AW121" s="140">
        <f t="shared" si="194"/>
        <v>1.5043910056271603E-2</v>
      </c>
      <c r="AX121" s="140">
        <f t="shared" si="194"/>
        <v>1.5031143667187819E-2</v>
      </c>
      <c r="AY121" s="140">
        <f t="shared" si="194"/>
        <v>1.502963504880598E-2</v>
      </c>
      <c r="AZ121" s="140">
        <f t="shared" si="194"/>
        <v>1.50389011081687E-2</v>
      </c>
      <c r="BA121" s="140">
        <f t="shared" si="194"/>
        <v>1.5058508293446592E-2</v>
      </c>
      <c r="BB121" s="140">
        <f t="shared" si="194"/>
        <v>1.5087982955896462E-2</v>
      </c>
      <c r="BC121" s="140">
        <f t="shared" si="194"/>
        <v>1.5126853790955623E-2</v>
      </c>
      <c r="BD121" s="140">
        <f t="shared" si="194"/>
        <v>1.5174654401699607E-2</v>
      </c>
      <c r="BE121" s="140">
        <f t="shared" si="194"/>
        <v>1.5230925400246079E-2</v>
      </c>
      <c r="BF121" s="140">
        <f t="shared" si="194"/>
        <v>1.5295216115441969E-2</v>
      </c>
      <c r="BG121" s="140">
        <f t="shared" si="194"/>
        <v>1.5366666545903108E-2</v>
      </c>
      <c r="BH121" s="140">
        <f t="shared" si="194"/>
        <v>1.5445647566600176E-2</v>
      </c>
      <c r="BI121" s="140">
        <f t="shared" si="194"/>
        <v>1.5531363210183505E-2</v>
      </c>
      <c r="BJ121" s="140">
        <f t="shared" si="194"/>
        <v>1.5623408670067016E-2</v>
      </c>
      <c r="BK121" s="140">
        <f t="shared" si="194"/>
        <v>1.5721392251464898E-2</v>
      </c>
      <c r="BL121" s="140">
        <f t="shared" si="194"/>
        <v>1.5824935682857956E-2</v>
      </c>
      <c r="BM121" s="140">
        <f t="shared" si="194"/>
        <v>1.5933674301077984E-2</v>
      </c>
      <c r="BN121" s="140">
        <f t="shared" si="194"/>
        <v>1.6047257129755563E-2</v>
      </c>
      <c r="BO121" s="140">
        <f t="shared" ref="BO121:CB121" si="195">IF(BO119&lt;0,0,$B$5+$B$6*((1-EXP(-BO120/$B$9))/(BO120/$B$9))+$B$7*((1-EXP(-BO120/$B$9))/(BO120/$B$9)-EXP(-BO120/$B$9))+$B$8*((1-EXP(-BO120/$B$10))/(BO120/$B$10)-EXP(-BO120/$B$10)))</f>
        <v>1.6164678965088271E-2</v>
      </c>
      <c r="BP121" s="140">
        <f t="shared" si="195"/>
        <v>1.6286929531157124E-2</v>
      </c>
      <c r="BQ121" s="140">
        <f t="shared" si="195"/>
        <v>1.6413054711680072E-2</v>
      </c>
      <c r="BR121" s="140">
        <f t="shared" si="195"/>
        <v>1.6542757403336397E-2</v>
      </c>
      <c r="BS121" s="140">
        <f t="shared" si="195"/>
        <v>1.6675753502009633E-2</v>
      </c>
      <c r="BT121" s="140">
        <f t="shared" si="195"/>
        <v>1.6811771626088427E-2</v>
      </c>
      <c r="BU121" s="140">
        <f t="shared" si="195"/>
        <v>1.6950552812365322E-2</v>
      </c>
      <c r="BV121" s="140">
        <f t="shared" si="195"/>
        <v>1.7091850190468015E-2</v>
      </c>
      <c r="BW121" s="140">
        <f t="shared" si="195"/>
        <v>1.7234625097765528E-2</v>
      </c>
      <c r="BX121" s="140">
        <f t="shared" si="195"/>
        <v>1.7380250065867311E-2</v>
      </c>
      <c r="BY121" s="140">
        <f t="shared" si="195"/>
        <v>1.752772084774502E-2</v>
      </c>
      <c r="BZ121" s="140">
        <f t="shared" si="195"/>
        <v>1.767683536473106E-2</v>
      </c>
      <c r="CA121" s="140">
        <f t="shared" si="195"/>
        <v>1.7827401837916548E-2</v>
      </c>
      <c r="CB121" s="140">
        <f t="shared" si="195"/>
        <v>1.7979238418369042E-2</v>
      </c>
      <c r="CC121" s="17"/>
      <c r="CD121" s="17"/>
      <c r="CE121" s="17"/>
    </row>
    <row r="122" spans="1:83">
      <c r="A122" s="16" t="s">
        <v>44</v>
      </c>
      <c r="B122" s="140">
        <f>EXP(-B121*B120)</f>
        <v>0.97837543748946598</v>
      </c>
      <c r="C122" s="140">
        <f t="shared" ref="C122:AR122" si="196">EXP(-C121*C120)</f>
        <v>0.99154661866216154</v>
      </c>
      <c r="D122" s="140">
        <f t="shared" si="196"/>
        <v>1.0227834122545332</v>
      </c>
      <c r="E122" s="140">
        <f t="shared" si="196"/>
        <v>1.0480289734236299</v>
      </c>
      <c r="F122" s="140">
        <f t="shared" si="196"/>
        <v>1.0599717092615666</v>
      </c>
      <c r="G122" s="140">
        <f t="shared" si="196"/>
        <v>1.0589042495958652</v>
      </c>
      <c r="H122" s="140">
        <f t="shared" si="196"/>
        <v>1.0479543902610835</v>
      </c>
      <c r="I122" s="140">
        <f t="shared" si="196"/>
        <v>1.0306643668686408</v>
      </c>
      <c r="J122" s="140">
        <f t="shared" si="196"/>
        <v>1.0099915669746844</v>
      </c>
      <c r="K122" s="140">
        <f t="shared" si="196"/>
        <v>0.98818890811382931</v>
      </c>
      <c r="L122" s="140">
        <f t="shared" si="196"/>
        <v>0.9663959002882202</v>
      </c>
      <c r="M122" s="140">
        <f t="shared" si="196"/>
        <v>0.94556001760968933</v>
      </c>
      <c r="N122" s="140">
        <f t="shared" si="196"/>
        <v>0.92611985370045657</v>
      </c>
      <c r="O122" s="140">
        <f t="shared" si="196"/>
        <v>0.90826267131691307</v>
      </c>
      <c r="P122" s="140">
        <f t="shared" si="196"/>
        <v>0.89202203909548983</v>
      </c>
      <c r="Q122" s="140">
        <f t="shared" si="196"/>
        <v>0.87734287016871393</v>
      </c>
      <c r="R122" s="140">
        <f t="shared" si="196"/>
        <v>0.86412285943914213</v>
      </c>
      <c r="S122" s="140">
        <f t="shared" si="196"/>
        <v>0.85230050574330229</v>
      </c>
      <c r="T122" s="140">
        <f t="shared" si="196"/>
        <v>0.84161352282967938</v>
      </c>
      <c r="U122" s="140">
        <f t="shared" si="196"/>
        <v>0.83200253208668484</v>
      </c>
      <c r="V122" s="140">
        <f t="shared" si="196"/>
        <v>0.82334483169204731</v>
      </c>
      <c r="W122" s="140">
        <f t="shared" si="196"/>
        <v>0.81552617715854303</v>
      </c>
      <c r="X122" s="140">
        <f t="shared" si="196"/>
        <v>0.80844153794872253</v>
      </c>
      <c r="Y122" s="140">
        <f t="shared" si="196"/>
        <v>0.80199508278959442</v>
      </c>
      <c r="Z122" s="140">
        <f t="shared" si="196"/>
        <v>0.79609976281506978</v>
      </c>
      <c r="AA122" s="140">
        <f t="shared" si="196"/>
        <v>0.79070566660107455</v>
      </c>
      <c r="AB122" s="140">
        <f t="shared" si="196"/>
        <v>0.78568147998942683</v>
      </c>
      <c r="AC122" s="140">
        <f t="shared" si="196"/>
        <v>0.78099404115189697</v>
      </c>
      <c r="AD122" s="140">
        <f t="shared" si="196"/>
        <v>0.77658504215942736</v>
      </c>
      <c r="AE122" s="140">
        <f t="shared" si="196"/>
        <v>0.77240183551702868</v>
      </c>
      <c r="AF122" s="140">
        <f t="shared" si="196"/>
        <v>0.76839691988419778</v>
      </c>
      <c r="AG122" s="140">
        <f t="shared" si="196"/>
        <v>0.76452748124421011</v>
      </c>
      <c r="AH122" s="140">
        <f t="shared" si="196"/>
        <v>0.76075498520112605</v>
      </c>
      <c r="AI122" s="140">
        <f t="shared" si="196"/>
        <v>0.75706531338930017</v>
      </c>
      <c r="AJ122" s="140">
        <f t="shared" si="196"/>
        <v>0.75338635328063375</v>
      </c>
      <c r="AK122" s="140">
        <f t="shared" si="196"/>
        <v>0.74971112998448197</v>
      </c>
      <c r="AL122" s="140">
        <f t="shared" si="196"/>
        <v>0.74601496464085071</v>
      </c>
      <c r="AM122" s="140">
        <f t="shared" si="196"/>
        <v>0.74227599781223386</v>
      </c>
      <c r="AN122" s="140">
        <f t="shared" si="196"/>
        <v>0.73847497874897006</v>
      </c>
      <c r="AO122" s="140">
        <f t="shared" si="196"/>
        <v>0.73459507315238726</v>
      </c>
      <c r="AP122" s="140">
        <f t="shared" si="196"/>
        <v>0.73062168674689376</v>
      </c>
      <c r="AQ122" s="140">
        <f t="shared" si="196"/>
        <v>0.72656527875928412</v>
      </c>
      <c r="AR122" s="140">
        <f t="shared" si="196"/>
        <v>0.72236997897629629</v>
      </c>
      <c r="AS122" s="140">
        <f>EXP(-AS121*AS120)</f>
        <v>0.71804932813930278</v>
      </c>
      <c r="AT122" s="140">
        <f t="shared" ref="AT122:CA122" si="197">EXP(-AT121*AT120)</f>
        <v>0.71359616397655568</v>
      </c>
      <c r="AU122" s="140">
        <f t="shared" si="197"/>
        <v>0.70900485333830776</v>
      </c>
      <c r="AV122" s="140">
        <f t="shared" si="197"/>
        <v>0.70427117483630142</v>
      </c>
      <c r="AW122" s="140">
        <f t="shared" si="197"/>
        <v>0.69939220780569633</v>
      </c>
      <c r="AX122" s="140">
        <f t="shared" si="197"/>
        <v>0.69436622704240569</v>
      </c>
      <c r="AY122" s="140">
        <f t="shared" si="197"/>
        <v>0.68922175283176257</v>
      </c>
      <c r="AZ122" s="140">
        <f t="shared" si="197"/>
        <v>0.68390167163851801</v>
      </c>
      <c r="BA122" s="140">
        <f t="shared" si="197"/>
        <v>0.67843558979729102</v>
      </c>
      <c r="BB122" s="140">
        <f t="shared" si="197"/>
        <v>0.67282560887834997</v>
      </c>
      <c r="BC122" s="140">
        <f t="shared" si="197"/>
        <v>0.66707457407950344</v>
      </c>
      <c r="BD122" s="140">
        <f t="shared" si="197"/>
        <v>0.66118599692410984</v>
      </c>
      <c r="BE122" s="140">
        <f t="shared" si="197"/>
        <v>0.65516398199633574</v>
      </c>
      <c r="BF122" s="140">
        <f t="shared" si="197"/>
        <v>0.64901315760868916</v>
      </c>
      <c r="BG122" s="140">
        <f t="shared" si="197"/>
        <v>0.64277380076743185</v>
      </c>
      <c r="BH122" s="140">
        <f t="shared" si="197"/>
        <v>0.63638165469108032</v>
      </c>
      <c r="BI122" s="140">
        <f t="shared" si="197"/>
        <v>0.62987705703406738</v>
      </c>
      <c r="BJ122" s="140">
        <f t="shared" si="197"/>
        <v>0.62326611176875901</v>
      </c>
      <c r="BK122" s="140">
        <f t="shared" si="197"/>
        <v>0.61655515610400358</v>
      </c>
      <c r="BL122" s="140">
        <f t="shared" si="197"/>
        <v>0.60975071290676186</v>
      </c>
      <c r="BM122" s="140">
        <f t="shared" si="197"/>
        <v>0.6028594464525967</v>
      </c>
      <c r="BN122" s="140">
        <f t="shared" si="197"/>
        <v>0.59588812141060432</v>
      </c>
      <c r="BO122" s="140">
        <f t="shared" si="197"/>
        <v>0.5888828910940257</v>
      </c>
      <c r="BP122" s="140">
        <f t="shared" si="197"/>
        <v>0.58177230790836509</v>
      </c>
      <c r="BQ122" s="140">
        <f t="shared" si="197"/>
        <v>0.57460216076542148</v>
      </c>
      <c r="BR122" s="140">
        <f t="shared" si="197"/>
        <v>0.56737926714670728</v>
      </c>
      <c r="BS122" s="140">
        <f t="shared" si="197"/>
        <v>0.56011038488740783</v>
      </c>
      <c r="BT122" s="140">
        <f t="shared" si="197"/>
        <v>0.55280218832514216</v>
      </c>
      <c r="BU122" s="140">
        <f t="shared" si="197"/>
        <v>0.54546124690743147</v>
      </c>
      <c r="BV122" s="140">
        <f t="shared" si="197"/>
        <v>0.5380940061360715</v>
      </c>
      <c r="BW122" s="140">
        <f t="shared" si="197"/>
        <v>0.53074785478643904</v>
      </c>
      <c r="BX122" s="140">
        <f t="shared" si="197"/>
        <v>0.52334683415179395</v>
      </c>
      <c r="BY122" s="140">
        <f t="shared" si="197"/>
        <v>0.51593791617515883</v>
      </c>
      <c r="BZ122" s="140">
        <f t="shared" si="197"/>
        <v>0.50852690348978491</v>
      </c>
      <c r="CA122" s="140">
        <f t="shared" si="197"/>
        <v>0.50111941032200236</v>
      </c>
      <c r="CB122" s="140">
        <f>EXP(-CB121*CB120)</f>
        <v>0.49372085489051937</v>
      </c>
      <c r="CC122" s="17"/>
      <c r="CD122" s="17"/>
      <c r="CE122" s="17"/>
    </row>
    <row r="123" spans="1:83">
      <c r="A123" s="17"/>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17"/>
      <c r="CD123" s="17"/>
      <c r="CE123" s="17"/>
    </row>
    <row r="124" spans="1:83">
      <c r="A124" s="16" t="s">
        <v>40</v>
      </c>
      <c r="B124" s="140">
        <f t="shared" ref="B124:BM124" si="198">DAYS360($B$3,B46)</f>
        <v>-43022</v>
      </c>
      <c r="C124" s="140">
        <f t="shared" si="198"/>
        <v>-42842</v>
      </c>
      <c r="D124" s="140">
        <f t="shared" si="198"/>
        <v>-42662</v>
      </c>
      <c r="E124" s="140">
        <f t="shared" si="198"/>
        <v>-42482</v>
      </c>
      <c r="F124" s="140">
        <f t="shared" si="198"/>
        <v>-42302</v>
      </c>
      <c r="G124" s="140">
        <f t="shared" si="198"/>
        <v>-42122</v>
      </c>
      <c r="H124" s="140">
        <f t="shared" si="198"/>
        <v>-41942</v>
      </c>
      <c r="I124" s="140">
        <f t="shared" si="198"/>
        <v>-41762</v>
      </c>
      <c r="J124" s="140">
        <f t="shared" si="198"/>
        <v>-41582</v>
      </c>
      <c r="K124" s="140">
        <f t="shared" si="198"/>
        <v>-41403</v>
      </c>
      <c r="L124" s="140">
        <f t="shared" si="198"/>
        <v>-41223</v>
      </c>
      <c r="M124" s="140">
        <f t="shared" si="198"/>
        <v>-41043</v>
      </c>
      <c r="N124" s="140">
        <f t="shared" si="198"/>
        <v>-40863</v>
      </c>
      <c r="O124" s="140">
        <f t="shared" si="198"/>
        <v>-40683</v>
      </c>
      <c r="P124" s="140">
        <f t="shared" si="198"/>
        <v>-40503</v>
      </c>
      <c r="Q124" s="140">
        <f t="shared" si="198"/>
        <v>-40323</v>
      </c>
      <c r="R124" s="140">
        <f t="shared" si="198"/>
        <v>-40143</v>
      </c>
      <c r="S124" s="140">
        <f t="shared" si="198"/>
        <v>-39964</v>
      </c>
      <c r="T124" s="140">
        <f t="shared" si="198"/>
        <v>-39784</v>
      </c>
      <c r="U124" s="140">
        <f t="shared" si="198"/>
        <v>-39604</v>
      </c>
      <c r="V124" s="140">
        <f t="shared" si="198"/>
        <v>-39424</v>
      </c>
      <c r="W124" s="140">
        <f t="shared" si="198"/>
        <v>-39244</v>
      </c>
      <c r="X124" s="140">
        <f t="shared" si="198"/>
        <v>-39064</v>
      </c>
      <c r="Y124" s="140">
        <f t="shared" si="198"/>
        <v>-38884</v>
      </c>
      <c r="Z124" s="140">
        <f t="shared" si="198"/>
        <v>-38704</v>
      </c>
      <c r="AA124" s="140">
        <f t="shared" si="198"/>
        <v>-38525</v>
      </c>
      <c r="AB124" s="140">
        <f t="shared" si="198"/>
        <v>-38345</v>
      </c>
      <c r="AC124" s="140">
        <f t="shared" si="198"/>
        <v>-38165</v>
      </c>
      <c r="AD124" s="140">
        <f t="shared" si="198"/>
        <v>-37985</v>
      </c>
      <c r="AE124" s="140">
        <f t="shared" si="198"/>
        <v>-37805</v>
      </c>
      <c r="AF124" s="140">
        <f t="shared" si="198"/>
        <v>-37625</v>
      </c>
      <c r="AG124" s="140">
        <f t="shared" si="198"/>
        <v>-37445</v>
      </c>
      <c r="AH124" s="140">
        <f t="shared" si="198"/>
        <v>-37265</v>
      </c>
      <c r="AI124" s="140">
        <f t="shared" si="198"/>
        <v>-37086</v>
      </c>
      <c r="AJ124" s="140">
        <f t="shared" si="198"/>
        <v>-36906</v>
      </c>
      <c r="AK124" s="140">
        <f t="shared" si="198"/>
        <v>-36726</v>
      </c>
      <c r="AL124" s="140">
        <f t="shared" si="198"/>
        <v>-36546</v>
      </c>
      <c r="AM124" s="140">
        <f t="shared" si="198"/>
        <v>-36366</v>
      </c>
      <c r="AN124" s="140">
        <f t="shared" si="198"/>
        <v>-36186</v>
      </c>
      <c r="AO124" s="140">
        <f t="shared" si="198"/>
        <v>-36006</v>
      </c>
      <c r="AP124" s="140">
        <f t="shared" si="198"/>
        <v>-35826</v>
      </c>
      <c r="AQ124" s="140">
        <f t="shared" si="198"/>
        <v>-35647</v>
      </c>
      <c r="AR124" s="140">
        <f t="shared" si="198"/>
        <v>-35467</v>
      </c>
      <c r="AS124" s="140">
        <f t="shared" si="198"/>
        <v>-35287</v>
      </c>
      <c r="AT124" s="140">
        <f t="shared" si="198"/>
        <v>-35107</v>
      </c>
      <c r="AU124" s="140">
        <f t="shared" si="198"/>
        <v>-34927</v>
      </c>
      <c r="AV124" s="140">
        <f t="shared" si="198"/>
        <v>-34747</v>
      </c>
      <c r="AW124" s="140">
        <f t="shared" si="198"/>
        <v>-34567</v>
      </c>
      <c r="AX124" s="140">
        <f t="shared" si="198"/>
        <v>-34387</v>
      </c>
      <c r="AY124" s="140">
        <f t="shared" si="198"/>
        <v>-34208</v>
      </c>
      <c r="AZ124" s="140">
        <f t="shared" si="198"/>
        <v>-34028</v>
      </c>
      <c r="BA124" s="140">
        <f t="shared" si="198"/>
        <v>-33848</v>
      </c>
      <c r="BB124" s="140">
        <f t="shared" si="198"/>
        <v>-33668</v>
      </c>
      <c r="BC124" s="140">
        <f t="shared" si="198"/>
        <v>-33488</v>
      </c>
      <c r="BD124" s="140">
        <f t="shared" si="198"/>
        <v>-33308</v>
      </c>
      <c r="BE124" s="140">
        <f t="shared" si="198"/>
        <v>-33128</v>
      </c>
      <c r="BF124" s="140">
        <f t="shared" si="198"/>
        <v>-32948</v>
      </c>
      <c r="BG124" s="140">
        <f t="shared" si="198"/>
        <v>-32769</v>
      </c>
      <c r="BH124" s="140">
        <f t="shared" si="198"/>
        <v>-32589</v>
      </c>
      <c r="BI124" s="140">
        <f t="shared" si="198"/>
        <v>-32409</v>
      </c>
      <c r="BJ124" s="140">
        <f t="shared" si="198"/>
        <v>-32229</v>
      </c>
      <c r="BK124" s="140">
        <f t="shared" si="198"/>
        <v>-32049</v>
      </c>
      <c r="BL124" s="140">
        <f t="shared" si="198"/>
        <v>-31869</v>
      </c>
      <c r="BM124" s="140">
        <f t="shared" si="198"/>
        <v>-31689</v>
      </c>
      <c r="BN124" s="140">
        <f t="shared" ref="BN124:CB124" si="199">DAYS360($B$3,BN46)</f>
        <v>-31509</v>
      </c>
      <c r="BO124" s="140">
        <f t="shared" si="199"/>
        <v>-31330</v>
      </c>
      <c r="BP124" s="140">
        <f t="shared" si="199"/>
        <v>-31150</v>
      </c>
      <c r="BQ124" s="140">
        <f t="shared" si="199"/>
        <v>-30970</v>
      </c>
      <c r="BR124" s="140">
        <f t="shared" si="199"/>
        <v>-30790</v>
      </c>
      <c r="BS124" s="140">
        <f t="shared" si="199"/>
        <v>-30610</v>
      </c>
      <c r="BT124" s="140">
        <f t="shared" si="199"/>
        <v>-30430</v>
      </c>
      <c r="BU124" s="140">
        <f t="shared" si="199"/>
        <v>-30250</v>
      </c>
      <c r="BV124" s="140">
        <f t="shared" si="199"/>
        <v>-30070</v>
      </c>
      <c r="BW124" s="140">
        <f t="shared" si="199"/>
        <v>-29891</v>
      </c>
      <c r="BX124" s="140">
        <f t="shared" si="199"/>
        <v>-29711</v>
      </c>
      <c r="BY124" s="140">
        <f t="shared" si="199"/>
        <v>-29531</v>
      </c>
      <c r="BZ124" s="140">
        <f t="shared" si="199"/>
        <v>-29351</v>
      </c>
      <c r="CA124" s="140">
        <f t="shared" si="199"/>
        <v>-29171</v>
      </c>
      <c r="CB124" s="140">
        <f t="shared" si="199"/>
        <v>-28991</v>
      </c>
      <c r="CC124" s="17"/>
      <c r="CD124" s="17"/>
      <c r="CE124" s="17"/>
    </row>
    <row r="125" spans="1:83">
      <c r="A125" s="16" t="s">
        <v>41</v>
      </c>
      <c r="B125" s="140">
        <f>B124/360</f>
        <v>-119.50555555555556</v>
      </c>
      <c r="C125" s="140">
        <f t="shared" ref="C125:BN125" si="200">C124/360</f>
        <v>-119.00555555555556</v>
      </c>
      <c r="D125" s="140">
        <f t="shared" si="200"/>
        <v>-118.50555555555556</v>
      </c>
      <c r="E125" s="140">
        <f t="shared" si="200"/>
        <v>-118.00555555555556</v>
      </c>
      <c r="F125" s="140">
        <f t="shared" si="200"/>
        <v>-117.50555555555556</v>
      </c>
      <c r="G125" s="140">
        <f t="shared" si="200"/>
        <v>-117.00555555555556</v>
      </c>
      <c r="H125" s="140">
        <f t="shared" si="200"/>
        <v>-116.50555555555556</v>
      </c>
      <c r="I125" s="140">
        <f t="shared" si="200"/>
        <v>-116.00555555555556</v>
      </c>
      <c r="J125" s="140">
        <f t="shared" si="200"/>
        <v>-115.50555555555556</v>
      </c>
      <c r="K125" s="140">
        <f t="shared" si="200"/>
        <v>-115.00833333333334</v>
      </c>
      <c r="L125" s="140">
        <f t="shared" si="200"/>
        <v>-114.50833333333334</v>
      </c>
      <c r="M125" s="140">
        <f t="shared" si="200"/>
        <v>-114.00833333333334</v>
      </c>
      <c r="N125" s="140">
        <f t="shared" si="200"/>
        <v>-113.50833333333334</v>
      </c>
      <c r="O125" s="140">
        <f t="shared" si="200"/>
        <v>-113.00833333333334</v>
      </c>
      <c r="P125" s="140">
        <f t="shared" si="200"/>
        <v>-112.50833333333334</v>
      </c>
      <c r="Q125" s="140">
        <f t="shared" si="200"/>
        <v>-112.00833333333334</v>
      </c>
      <c r="R125" s="140">
        <f t="shared" si="200"/>
        <v>-111.50833333333334</v>
      </c>
      <c r="S125" s="140">
        <f t="shared" si="200"/>
        <v>-111.01111111111111</v>
      </c>
      <c r="T125" s="140">
        <f t="shared" si="200"/>
        <v>-110.51111111111111</v>
      </c>
      <c r="U125" s="140">
        <f t="shared" si="200"/>
        <v>-110.01111111111111</v>
      </c>
      <c r="V125" s="140">
        <f t="shared" si="200"/>
        <v>-109.51111111111111</v>
      </c>
      <c r="W125" s="140">
        <f t="shared" si="200"/>
        <v>-109.01111111111111</v>
      </c>
      <c r="X125" s="140">
        <f t="shared" si="200"/>
        <v>-108.51111111111111</v>
      </c>
      <c r="Y125" s="140">
        <f t="shared" si="200"/>
        <v>-108.01111111111111</v>
      </c>
      <c r="Z125" s="140">
        <f t="shared" si="200"/>
        <v>-107.51111111111111</v>
      </c>
      <c r="AA125" s="140">
        <f t="shared" si="200"/>
        <v>-107.01388888888889</v>
      </c>
      <c r="AB125" s="140">
        <f t="shared" si="200"/>
        <v>-106.51388888888889</v>
      </c>
      <c r="AC125" s="140">
        <f t="shared" si="200"/>
        <v>-106.01388888888889</v>
      </c>
      <c r="AD125" s="140">
        <f t="shared" si="200"/>
        <v>-105.51388888888889</v>
      </c>
      <c r="AE125" s="140">
        <f t="shared" si="200"/>
        <v>-105.01388888888889</v>
      </c>
      <c r="AF125" s="140">
        <f t="shared" si="200"/>
        <v>-104.51388888888889</v>
      </c>
      <c r="AG125" s="140">
        <f t="shared" si="200"/>
        <v>-104.01388888888889</v>
      </c>
      <c r="AH125" s="140">
        <f t="shared" si="200"/>
        <v>-103.51388888888889</v>
      </c>
      <c r="AI125" s="140">
        <f t="shared" si="200"/>
        <v>-103.01666666666667</v>
      </c>
      <c r="AJ125" s="140">
        <f t="shared" si="200"/>
        <v>-102.51666666666667</v>
      </c>
      <c r="AK125" s="140">
        <f t="shared" si="200"/>
        <v>-102.01666666666667</v>
      </c>
      <c r="AL125" s="140">
        <f t="shared" si="200"/>
        <v>-101.51666666666667</v>
      </c>
      <c r="AM125" s="140">
        <f t="shared" si="200"/>
        <v>-101.01666666666667</v>
      </c>
      <c r="AN125" s="140">
        <f t="shared" si="200"/>
        <v>-100.51666666666667</v>
      </c>
      <c r="AO125" s="140">
        <f t="shared" si="200"/>
        <v>-100.01666666666667</v>
      </c>
      <c r="AP125" s="140">
        <f t="shared" si="200"/>
        <v>-99.516666666666666</v>
      </c>
      <c r="AQ125" s="140">
        <f t="shared" si="200"/>
        <v>-99.019444444444446</v>
      </c>
      <c r="AR125" s="140">
        <f t="shared" si="200"/>
        <v>-98.519444444444446</v>
      </c>
      <c r="AS125" s="140">
        <f t="shared" si="200"/>
        <v>-98.019444444444446</v>
      </c>
      <c r="AT125" s="140">
        <f t="shared" si="200"/>
        <v>-97.519444444444446</v>
      </c>
      <c r="AU125" s="140">
        <f t="shared" si="200"/>
        <v>-97.019444444444446</v>
      </c>
      <c r="AV125" s="140">
        <f t="shared" si="200"/>
        <v>-96.519444444444446</v>
      </c>
      <c r="AW125" s="140">
        <f t="shared" si="200"/>
        <v>-96.019444444444446</v>
      </c>
      <c r="AX125" s="140">
        <f t="shared" si="200"/>
        <v>-95.519444444444446</v>
      </c>
      <c r="AY125" s="140">
        <f t="shared" si="200"/>
        <v>-95.022222222222226</v>
      </c>
      <c r="AZ125" s="140">
        <f t="shared" si="200"/>
        <v>-94.522222222222226</v>
      </c>
      <c r="BA125" s="140">
        <f t="shared" si="200"/>
        <v>-94.022222222222226</v>
      </c>
      <c r="BB125" s="140">
        <f t="shared" si="200"/>
        <v>-93.522222222222226</v>
      </c>
      <c r="BC125" s="140">
        <f t="shared" si="200"/>
        <v>-93.022222222222226</v>
      </c>
      <c r="BD125" s="140">
        <f t="shared" si="200"/>
        <v>-92.522222222222226</v>
      </c>
      <c r="BE125" s="140">
        <f t="shared" si="200"/>
        <v>-92.022222222222226</v>
      </c>
      <c r="BF125" s="140">
        <f t="shared" si="200"/>
        <v>-91.522222222222226</v>
      </c>
      <c r="BG125" s="140">
        <f t="shared" si="200"/>
        <v>-91.025000000000006</v>
      </c>
      <c r="BH125" s="140">
        <f t="shared" si="200"/>
        <v>-90.525000000000006</v>
      </c>
      <c r="BI125" s="140">
        <f t="shared" si="200"/>
        <v>-90.025000000000006</v>
      </c>
      <c r="BJ125" s="140">
        <f t="shared" si="200"/>
        <v>-89.525000000000006</v>
      </c>
      <c r="BK125" s="140">
        <f t="shared" si="200"/>
        <v>-89.025000000000006</v>
      </c>
      <c r="BL125" s="140">
        <f t="shared" si="200"/>
        <v>-88.525000000000006</v>
      </c>
      <c r="BM125" s="140">
        <f t="shared" si="200"/>
        <v>-88.025000000000006</v>
      </c>
      <c r="BN125" s="140">
        <f t="shared" si="200"/>
        <v>-87.525000000000006</v>
      </c>
      <c r="BO125" s="140">
        <f t="shared" ref="BO125:CB125" si="201">BO124/360</f>
        <v>-87.027777777777771</v>
      </c>
      <c r="BP125" s="140">
        <f t="shared" si="201"/>
        <v>-86.527777777777771</v>
      </c>
      <c r="BQ125" s="140">
        <f t="shared" si="201"/>
        <v>-86.027777777777771</v>
      </c>
      <c r="BR125" s="140">
        <f t="shared" si="201"/>
        <v>-85.527777777777771</v>
      </c>
      <c r="BS125" s="140">
        <f t="shared" si="201"/>
        <v>-85.027777777777771</v>
      </c>
      <c r="BT125" s="140">
        <f t="shared" si="201"/>
        <v>-84.527777777777771</v>
      </c>
      <c r="BU125" s="140">
        <f t="shared" si="201"/>
        <v>-84.027777777777771</v>
      </c>
      <c r="BV125" s="140">
        <f t="shared" si="201"/>
        <v>-83.527777777777771</v>
      </c>
      <c r="BW125" s="140">
        <f t="shared" si="201"/>
        <v>-83.030555555555551</v>
      </c>
      <c r="BX125" s="140">
        <f t="shared" si="201"/>
        <v>-82.530555555555551</v>
      </c>
      <c r="BY125" s="140">
        <f t="shared" si="201"/>
        <v>-82.030555555555551</v>
      </c>
      <c r="BZ125" s="140">
        <f t="shared" si="201"/>
        <v>-81.530555555555551</v>
      </c>
      <c r="CA125" s="140">
        <f t="shared" si="201"/>
        <v>-81.030555555555551</v>
      </c>
      <c r="CB125" s="140">
        <f t="shared" si="201"/>
        <v>-80.530555555555551</v>
      </c>
      <c r="CC125" s="17"/>
      <c r="CD125" s="17"/>
      <c r="CE125" s="17"/>
    </row>
    <row r="126" spans="1:83">
      <c r="A126" s="16" t="s">
        <v>43</v>
      </c>
      <c r="B126" s="140">
        <f>IF(B124&lt;0,0,$B$5+$B$6*((1-EXP(-B125/$B$9))/(B125/$B$9))+$B$7*((1-EXP(-B125/$B$9))/(B125/$B$9)-EXP(-B125/$B$9))+$B$8*((1-EXP(-B125/$B$10))/(B125/$B$10)-EXP(-B125/$B$10)))</f>
        <v>0</v>
      </c>
      <c r="C126" s="140">
        <f t="shared" ref="C126:BN126" si="202">IF(C124&lt;0,0,$B$5+$B$6*((1-EXP(-C125/$B$9))/(C125/$B$9))+$B$7*((1-EXP(-C125/$B$9))/(C125/$B$9)-EXP(-C125/$B$9))+$B$8*((1-EXP(-C125/$B$10))/(C125/$B$10)-EXP(-C125/$B$10)))</f>
        <v>0</v>
      </c>
      <c r="D126" s="140">
        <f t="shared" si="202"/>
        <v>0</v>
      </c>
      <c r="E126" s="140">
        <f t="shared" si="202"/>
        <v>0</v>
      </c>
      <c r="F126" s="140">
        <f t="shared" si="202"/>
        <v>0</v>
      </c>
      <c r="G126" s="140">
        <f t="shared" si="202"/>
        <v>0</v>
      </c>
      <c r="H126" s="140">
        <f t="shared" si="202"/>
        <v>0</v>
      </c>
      <c r="I126" s="140">
        <f t="shared" si="202"/>
        <v>0</v>
      </c>
      <c r="J126" s="140">
        <f t="shared" si="202"/>
        <v>0</v>
      </c>
      <c r="K126" s="140">
        <f t="shared" si="202"/>
        <v>0</v>
      </c>
      <c r="L126" s="140">
        <f t="shared" si="202"/>
        <v>0</v>
      </c>
      <c r="M126" s="140">
        <f t="shared" si="202"/>
        <v>0</v>
      </c>
      <c r="N126" s="140">
        <f t="shared" si="202"/>
        <v>0</v>
      </c>
      <c r="O126" s="140">
        <f t="shared" si="202"/>
        <v>0</v>
      </c>
      <c r="P126" s="140">
        <f t="shared" si="202"/>
        <v>0</v>
      </c>
      <c r="Q126" s="140">
        <f t="shared" si="202"/>
        <v>0</v>
      </c>
      <c r="R126" s="140">
        <f t="shared" si="202"/>
        <v>0</v>
      </c>
      <c r="S126" s="140">
        <f t="shared" si="202"/>
        <v>0</v>
      </c>
      <c r="T126" s="140">
        <f t="shared" si="202"/>
        <v>0</v>
      </c>
      <c r="U126" s="140">
        <f t="shared" si="202"/>
        <v>0</v>
      </c>
      <c r="V126" s="140">
        <f t="shared" si="202"/>
        <v>0</v>
      </c>
      <c r="W126" s="140">
        <f t="shared" si="202"/>
        <v>0</v>
      </c>
      <c r="X126" s="140">
        <f t="shared" si="202"/>
        <v>0</v>
      </c>
      <c r="Y126" s="140">
        <f t="shared" si="202"/>
        <v>0</v>
      </c>
      <c r="Z126" s="140">
        <f t="shared" si="202"/>
        <v>0</v>
      </c>
      <c r="AA126" s="140">
        <f t="shared" si="202"/>
        <v>0</v>
      </c>
      <c r="AB126" s="140">
        <f t="shared" si="202"/>
        <v>0</v>
      </c>
      <c r="AC126" s="140">
        <f t="shared" si="202"/>
        <v>0</v>
      </c>
      <c r="AD126" s="140">
        <f t="shared" si="202"/>
        <v>0</v>
      </c>
      <c r="AE126" s="140">
        <f t="shared" si="202"/>
        <v>0</v>
      </c>
      <c r="AF126" s="140">
        <f t="shared" si="202"/>
        <v>0</v>
      </c>
      <c r="AG126" s="140">
        <f t="shared" si="202"/>
        <v>0</v>
      </c>
      <c r="AH126" s="140">
        <f t="shared" si="202"/>
        <v>0</v>
      </c>
      <c r="AI126" s="140">
        <f t="shared" si="202"/>
        <v>0</v>
      </c>
      <c r="AJ126" s="140">
        <f t="shared" si="202"/>
        <v>0</v>
      </c>
      <c r="AK126" s="140">
        <f t="shared" si="202"/>
        <v>0</v>
      </c>
      <c r="AL126" s="140">
        <f t="shared" si="202"/>
        <v>0</v>
      </c>
      <c r="AM126" s="140">
        <f t="shared" si="202"/>
        <v>0</v>
      </c>
      <c r="AN126" s="140">
        <f t="shared" si="202"/>
        <v>0</v>
      </c>
      <c r="AO126" s="140">
        <f t="shared" si="202"/>
        <v>0</v>
      </c>
      <c r="AP126" s="140">
        <f t="shared" si="202"/>
        <v>0</v>
      </c>
      <c r="AQ126" s="140">
        <f t="shared" si="202"/>
        <v>0</v>
      </c>
      <c r="AR126" s="140">
        <f t="shared" si="202"/>
        <v>0</v>
      </c>
      <c r="AS126" s="140">
        <f t="shared" si="202"/>
        <v>0</v>
      </c>
      <c r="AT126" s="140">
        <f t="shared" si="202"/>
        <v>0</v>
      </c>
      <c r="AU126" s="140">
        <f t="shared" si="202"/>
        <v>0</v>
      </c>
      <c r="AV126" s="140">
        <f t="shared" si="202"/>
        <v>0</v>
      </c>
      <c r="AW126" s="140">
        <f t="shared" si="202"/>
        <v>0</v>
      </c>
      <c r="AX126" s="140">
        <f t="shared" si="202"/>
        <v>0</v>
      </c>
      <c r="AY126" s="140">
        <f t="shared" si="202"/>
        <v>0</v>
      </c>
      <c r="AZ126" s="140">
        <f t="shared" si="202"/>
        <v>0</v>
      </c>
      <c r="BA126" s="140">
        <f t="shared" si="202"/>
        <v>0</v>
      </c>
      <c r="BB126" s="140">
        <f t="shared" si="202"/>
        <v>0</v>
      </c>
      <c r="BC126" s="140">
        <f t="shared" si="202"/>
        <v>0</v>
      </c>
      <c r="BD126" s="140">
        <f t="shared" si="202"/>
        <v>0</v>
      </c>
      <c r="BE126" s="140">
        <f t="shared" si="202"/>
        <v>0</v>
      </c>
      <c r="BF126" s="140">
        <f t="shared" si="202"/>
        <v>0</v>
      </c>
      <c r="BG126" s="140">
        <f t="shared" si="202"/>
        <v>0</v>
      </c>
      <c r="BH126" s="140">
        <f t="shared" si="202"/>
        <v>0</v>
      </c>
      <c r="BI126" s="140">
        <f t="shared" si="202"/>
        <v>0</v>
      </c>
      <c r="BJ126" s="140">
        <f t="shared" si="202"/>
        <v>0</v>
      </c>
      <c r="BK126" s="140">
        <f t="shared" si="202"/>
        <v>0</v>
      </c>
      <c r="BL126" s="140">
        <f t="shared" si="202"/>
        <v>0</v>
      </c>
      <c r="BM126" s="140">
        <f t="shared" si="202"/>
        <v>0</v>
      </c>
      <c r="BN126" s="140">
        <f t="shared" si="202"/>
        <v>0</v>
      </c>
      <c r="BO126" s="140">
        <f t="shared" ref="BO126:CB126" si="203">IF(BO124&lt;0,0,$B$5+$B$6*((1-EXP(-BO125/$B$9))/(BO125/$B$9))+$B$7*((1-EXP(-BO125/$B$9))/(BO125/$B$9)-EXP(-BO125/$B$9))+$B$8*((1-EXP(-BO125/$B$10))/(BO125/$B$10)-EXP(-BO125/$B$10)))</f>
        <v>0</v>
      </c>
      <c r="BP126" s="140">
        <f t="shared" si="203"/>
        <v>0</v>
      </c>
      <c r="BQ126" s="140">
        <f t="shared" si="203"/>
        <v>0</v>
      </c>
      <c r="BR126" s="140">
        <f t="shared" si="203"/>
        <v>0</v>
      </c>
      <c r="BS126" s="140">
        <f t="shared" si="203"/>
        <v>0</v>
      </c>
      <c r="BT126" s="140">
        <f t="shared" si="203"/>
        <v>0</v>
      </c>
      <c r="BU126" s="140">
        <f t="shared" si="203"/>
        <v>0</v>
      </c>
      <c r="BV126" s="140">
        <f t="shared" si="203"/>
        <v>0</v>
      </c>
      <c r="BW126" s="140">
        <f t="shared" si="203"/>
        <v>0</v>
      </c>
      <c r="BX126" s="140">
        <f t="shared" si="203"/>
        <v>0</v>
      </c>
      <c r="BY126" s="140">
        <f t="shared" si="203"/>
        <v>0</v>
      </c>
      <c r="BZ126" s="140">
        <f t="shared" si="203"/>
        <v>0</v>
      </c>
      <c r="CA126" s="140">
        <f t="shared" si="203"/>
        <v>0</v>
      </c>
      <c r="CB126" s="140">
        <f t="shared" si="203"/>
        <v>0</v>
      </c>
      <c r="CC126" s="17"/>
      <c r="CD126" s="17"/>
      <c r="CE126" s="17"/>
    </row>
    <row r="127" spans="1:83">
      <c r="A127" s="16" t="s">
        <v>44</v>
      </c>
      <c r="B127" s="140">
        <f>EXP(-B126*B125)</f>
        <v>1</v>
      </c>
      <c r="C127" s="140">
        <f t="shared" ref="C127:AR127" si="204">EXP(-C126*C125)</f>
        <v>1</v>
      </c>
      <c r="D127" s="140">
        <f t="shared" si="204"/>
        <v>1</v>
      </c>
      <c r="E127" s="140">
        <f t="shared" si="204"/>
        <v>1</v>
      </c>
      <c r="F127" s="140">
        <f t="shared" si="204"/>
        <v>1</v>
      </c>
      <c r="G127" s="140">
        <f t="shared" si="204"/>
        <v>1</v>
      </c>
      <c r="H127" s="140">
        <f t="shared" si="204"/>
        <v>1</v>
      </c>
      <c r="I127" s="140">
        <f t="shared" si="204"/>
        <v>1</v>
      </c>
      <c r="J127" s="140">
        <f t="shared" si="204"/>
        <v>1</v>
      </c>
      <c r="K127" s="140">
        <f t="shared" si="204"/>
        <v>1</v>
      </c>
      <c r="L127" s="140">
        <f t="shared" si="204"/>
        <v>1</v>
      </c>
      <c r="M127" s="140">
        <f t="shared" si="204"/>
        <v>1</v>
      </c>
      <c r="N127" s="140">
        <f t="shared" si="204"/>
        <v>1</v>
      </c>
      <c r="O127" s="140">
        <f t="shared" si="204"/>
        <v>1</v>
      </c>
      <c r="P127" s="140">
        <f t="shared" si="204"/>
        <v>1</v>
      </c>
      <c r="Q127" s="140">
        <f t="shared" si="204"/>
        <v>1</v>
      </c>
      <c r="R127" s="140">
        <f t="shared" si="204"/>
        <v>1</v>
      </c>
      <c r="S127" s="140">
        <f t="shared" si="204"/>
        <v>1</v>
      </c>
      <c r="T127" s="140">
        <f t="shared" si="204"/>
        <v>1</v>
      </c>
      <c r="U127" s="140">
        <f t="shared" si="204"/>
        <v>1</v>
      </c>
      <c r="V127" s="140">
        <f t="shared" si="204"/>
        <v>1</v>
      </c>
      <c r="W127" s="140">
        <f t="shared" si="204"/>
        <v>1</v>
      </c>
      <c r="X127" s="140">
        <f t="shared" si="204"/>
        <v>1</v>
      </c>
      <c r="Y127" s="140">
        <f t="shared" si="204"/>
        <v>1</v>
      </c>
      <c r="Z127" s="140">
        <f t="shared" si="204"/>
        <v>1</v>
      </c>
      <c r="AA127" s="140">
        <f t="shared" si="204"/>
        <v>1</v>
      </c>
      <c r="AB127" s="140">
        <f t="shared" si="204"/>
        <v>1</v>
      </c>
      <c r="AC127" s="140">
        <f t="shared" si="204"/>
        <v>1</v>
      </c>
      <c r="AD127" s="140">
        <f t="shared" si="204"/>
        <v>1</v>
      </c>
      <c r="AE127" s="140">
        <f t="shared" si="204"/>
        <v>1</v>
      </c>
      <c r="AF127" s="140">
        <f t="shared" si="204"/>
        <v>1</v>
      </c>
      <c r="AG127" s="140">
        <f t="shared" si="204"/>
        <v>1</v>
      </c>
      <c r="AH127" s="140">
        <f t="shared" si="204"/>
        <v>1</v>
      </c>
      <c r="AI127" s="140">
        <f t="shared" si="204"/>
        <v>1</v>
      </c>
      <c r="AJ127" s="140">
        <f t="shared" si="204"/>
        <v>1</v>
      </c>
      <c r="AK127" s="140">
        <f t="shared" si="204"/>
        <v>1</v>
      </c>
      <c r="AL127" s="140">
        <f t="shared" si="204"/>
        <v>1</v>
      </c>
      <c r="AM127" s="140">
        <f t="shared" si="204"/>
        <v>1</v>
      </c>
      <c r="AN127" s="140">
        <f t="shared" si="204"/>
        <v>1</v>
      </c>
      <c r="AO127" s="140">
        <f t="shared" si="204"/>
        <v>1</v>
      </c>
      <c r="AP127" s="140">
        <f t="shared" si="204"/>
        <v>1</v>
      </c>
      <c r="AQ127" s="140">
        <f t="shared" si="204"/>
        <v>1</v>
      </c>
      <c r="AR127" s="140">
        <f t="shared" si="204"/>
        <v>1</v>
      </c>
      <c r="AS127" s="140">
        <f>EXP(-AS126*AS125)</f>
        <v>1</v>
      </c>
      <c r="AT127" s="140">
        <f t="shared" ref="AT127:CA127" si="205">EXP(-AT126*AT125)</f>
        <v>1</v>
      </c>
      <c r="AU127" s="140">
        <f t="shared" si="205"/>
        <v>1</v>
      </c>
      <c r="AV127" s="140">
        <f t="shared" si="205"/>
        <v>1</v>
      </c>
      <c r="AW127" s="140">
        <f t="shared" si="205"/>
        <v>1</v>
      </c>
      <c r="AX127" s="140">
        <f t="shared" si="205"/>
        <v>1</v>
      </c>
      <c r="AY127" s="140">
        <f t="shared" si="205"/>
        <v>1</v>
      </c>
      <c r="AZ127" s="140">
        <f t="shared" si="205"/>
        <v>1</v>
      </c>
      <c r="BA127" s="140">
        <f t="shared" si="205"/>
        <v>1</v>
      </c>
      <c r="BB127" s="140">
        <f t="shared" si="205"/>
        <v>1</v>
      </c>
      <c r="BC127" s="140">
        <f t="shared" si="205"/>
        <v>1</v>
      </c>
      <c r="BD127" s="140">
        <f t="shared" si="205"/>
        <v>1</v>
      </c>
      <c r="BE127" s="140">
        <f t="shared" si="205"/>
        <v>1</v>
      </c>
      <c r="BF127" s="140">
        <f t="shared" si="205"/>
        <v>1</v>
      </c>
      <c r="BG127" s="140">
        <f t="shared" si="205"/>
        <v>1</v>
      </c>
      <c r="BH127" s="140">
        <f t="shared" si="205"/>
        <v>1</v>
      </c>
      <c r="BI127" s="140">
        <f t="shared" si="205"/>
        <v>1</v>
      </c>
      <c r="BJ127" s="140">
        <f t="shared" si="205"/>
        <v>1</v>
      </c>
      <c r="BK127" s="140">
        <f t="shared" si="205"/>
        <v>1</v>
      </c>
      <c r="BL127" s="140">
        <f t="shared" si="205"/>
        <v>1</v>
      </c>
      <c r="BM127" s="140">
        <f t="shared" si="205"/>
        <v>1</v>
      </c>
      <c r="BN127" s="140">
        <f t="shared" si="205"/>
        <v>1</v>
      </c>
      <c r="BO127" s="140">
        <f t="shared" si="205"/>
        <v>1</v>
      </c>
      <c r="BP127" s="140">
        <f t="shared" si="205"/>
        <v>1</v>
      </c>
      <c r="BQ127" s="140">
        <f t="shared" si="205"/>
        <v>1</v>
      </c>
      <c r="BR127" s="140">
        <f t="shared" si="205"/>
        <v>1</v>
      </c>
      <c r="BS127" s="140">
        <f t="shared" si="205"/>
        <v>1</v>
      </c>
      <c r="BT127" s="140">
        <f t="shared" si="205"/>
        <v>1</v>
      </c>
      <c r="BU127" s="140">
        <f t="shared" si="205"/>
        <v>1</v>
      </c>
      <c r="BV127" s="140">
        <f t="shared" si="205"/>
        <v>1</v>
      </c>
      <c r="BW127" s="140">
        <f t="shared" si="205"/>
        <v>1</v>
      </c>
      <c r="BX127" s="140">
        <f t="shared" si="205"/>
        <v>1</v>
      </c>
      <c r="BY127" s="140">
        <f t="shared" si="205"/>
        <v>1</v>
      </c>
      <c r="BZ127" s="140">
        <f t="shared" si="205"/>
        <v>1</v>
      </c>
      <c r="CA127" s="140">
        <f t="shared" si="205"/>
        <v>1</v>
      </c>
      <c r="CB127" s="140">
        <f>EXP(-CB126*CB125)</f>
        <v>1</v>
      </c>
      <c r="CC127" s="17"/>
      <c r="CD127" s="17"/>
      <c r="CE127" s="17"/>
    </row>
    <row r="128" spans="1:83">
      <c r="A128" s="17"/>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17"/>
      <c r="CD128" s="17"/>
      <c r="CE128" s="17"/>
    </row>
    <row r="129" spans="1:83">
      <c r="A129" s="16" t="s">
        <v>40</v>
      </c>
      <c r="B129" s="140">
        <f t="shared" ref="B129:BM129" si="206">DAYS360($B$3,B48)</f>
        <v>-43022</v>
      </c>
      <c r="C129" s="140">
        <f t="shared" si="206"/>
        <v>-42842</v>
      </c>
      <c r="D129" s="140">
        <f t="shared" si="206"/>
        <v>-42662</v>
      </c>
      <c r="E129" s="140">
        <f t="shared" si="206"/>
        <v>-42482</v>
      </c>
      <c r="F129" s="140">
        <f t="shared" si="206"/>
        <v>-42302</v>
      </c>
      <c r="G129" s="140">
        <f t="shared" si="206"/>
        <v>-42122</v>
      </c>
      <c r="H129" s="140">
        <f t="shared" si="206"/>
        <v>-41942</v>
      </c>
      <c r="I129" s="140">
        <f t="shared" si="206"/>
        <v>-41762</v>
      </c>
      <c r="J129" s="140">
        <f t="shared" si="206"/>
        <v>-41582</v>
      </c>
      <c r="K129" s="140">
        <f t="shared" si="206"/>
        <v>-41403</v>
      </c>
      <c r="L129" s="140">
        <f t="shared" si="206"/>
        <v>-41223</v>
      </c>
      <c r="M129" s="140">
        <f t="shared" si="206"/>
        <v>-41043</v>
      </c>
      <c r="N129" s="140">
        <f t="shared" si="206"/>
        <v>-40863</v>
      </c>
      <c r="O129" s="140">
        <f t="shared" si="206"/>
        <v>-40683</v>
      </c>
      <c r="P129" s="140">
        <f t="shared" si="206"/>
        <v>-40503</v>
      </c>
      <c r="Q129" s="140">
        <f t="shared" si="206"/>
        <v>-40323</v>
      </c>
      <c r="R129" s="140">
        <f t="shared" si="206"/>
        <v>-40143</v>
      </c>
      <c r="S129" s="140">
        <f t="shared" si="206"/>
        <v>-39964</v>
      </c>
      <c r="T129" s="140">
        <f t="shared" si="206"/>
        <v>-39784</v>
      </c>
      <c r="U129" s="140">
        <f t="shared" si="206"/>
        <v>-39604</v>
      </c>
      <c r="V129" s="140">
        <f t="shared" si="206"/>
        <v>-39424</v>
      </c>
      <c r="W129" s="140">
        <f t="shared" si="206"/>
        <v>-39244</v>
      </c>
      <c r="X129" s="140">
        <f t="shared" si="206"/>
        <v>-39064</v>
      </c>
      <c r="Y129" s="140">
        <f t="shared" si="206"/>
        <v>-38884</v>
      </c>
      <c r="Z129" s="140">
        <f t="shared" si="206"/>
        <v>-38704</v>
      </c>
      <c r="AA129" s="140">
        <f t="shared" si="206"/>
        <v>-38525</v>
      </c>
      <c r="AB129" s="140">
        <f t="shared" si="206"/>
        <v>-38345</v>
      </c>
      <c r="AC129" s="140">
        <f t="shared" si="206"/>
        <v>-38165</v>
      </c>
      <c r="AD129" s="140">
        <f t="shared" si="206"/>
        <v>-37985</v>
      </c>
      <c r="AE129" s="140">
        <f t="shared" si="206"/>
        <v>-37805</v>
      </c>
      <c r="AF129" s="140">
        <f t="shared" si="206"/>
        <v>-37625</v>
      </c>
      <c r="AG129" s="140">
        <f t="shared" si="206"/>
        <v>-37445</v>
      </c>
      <c r="AH129" s="140">
        <f t="shared" si="206"/>
        <v>-37265</v>
      </c>
      <c r="AI129" s="140">
        <f t="shared" si="206"/>
        <v>-37086</v>
      </c>
      <c r="AJ129" s="140">
        <f t="shared" si="206"/>
        <v>-36906</v>
      </c>
      <c r="AK129" s="140">
        <f t="shared" si="206"/>
        <v>-36726</v>
      </c>
      <c r="AL129" s="140">
        <f t="shared" si="206"/>
        <v>-36546</v>
      </c>
      <c r="AM129" s="140">
        <f t="shared" si="206"/>
        <v>-36366</v>
      </c>
      <c r="AN129" s="140">
        <f t="shared" si="206"/>
        <v>-36186</v>
      </c>
      <c r="AO129" s="140">
        <f t="shared" si="206"/>
        <v>-36006</v>
      </c>
      <c r="AP129" s="140">
        <f t="shared" si="206"/>
        <v>-35826</v>
      </c>
      <c r="AQ129" s="140">
        <f t="shared" si="206"/>
        <v>-35647</v>
      </c>
      <c r="AR129" s="140">
        <f t="shared" si="206"/>
        <v>-35467</v>
      </c>
      <c r="AS129" s="140">
        <f t="shared" si="206"/>
        <v>-35287</v>
      </c>
      <c r="AT129" s="140">
        <f t="shared" si="206"/>
        <v>-35107</v>
      </c>
      <c r="AU129" s="140">
        <f t="shared" si="206"/>
        <v>-34927</v>
      </c>
      <c r="AV129" s="140">
        <f t="shared" si="206"/>
        <v>-34747</v>
      </c>
      <c r="AW129" s="140">
        <f t="shared" si="206"/>
        <v>-34567</v>
      </c>
      <c r="AX129" s="140">
        <f t="shared" si="206"/>
        <v>-34387</v>
      </c>
      <c r="AY129" s="140">
        <f t="shared" si="206"/>
        <v>-34208</v>
      </c>
      <c r="AZ129" s="140">
        <f t="shared" si="206"/>
        <v>-34028</v>
      </c>
      <c r="BA129" s="140">
        <f t="shared" si="206"/>
        <v>-33848</v>
      </c>
      <c r="BB129" s="140">
        <f t="shared" si="206"/>
        <v>-33668</v>
      </c>
      <c r="BC129" s="140">
        <f t="shared" si="206"/>
        <v>-33488</v>
      </c>
      <c r="BD129" s="140">
        <f t="shared" si="206"/>
        <v>-33308</v>
      </c>
      <c r="BE129" s="140">
        <f t="shared" si="206"/>
        <v>-33128</v>
      </c>
      <c r="BF129" s="140">
        <f t="shared" si="206"/>
        <v>-32948</v>
      </c>
      <c r="BG129" s="140">
        <f t="shared" si="206"/>
        <v>-32769</v>
      </c>
      <c r="BH129" s="140">
        <f t="shared" si="206"/>
        <v>-32589</v>
      </c>
      <c r="BI129" s="140">
        <f t="shared" si="206"/>
        <v>-32409</v>
      </c>
      <c r="BJ129" s="140">
        <f t="shared" si="206"/>
        <v>-32229</v>
      </c>
      <c r="BK129" s="140">
        <f t="shared" si="206"/>
        <v>-32049</v>
      </c>
      <c r="BL129" s="140">
        <f t="shared" si="206"/>
        <v>-31869</v>
      </c>
      <c r="BM129" s="140">
        <f t="shared" si="206"/>
        <v>-31689</v>
      </c>
      <c r="BN129" s="140">
        <f t="shared" ref="BN129:CB129" si="207">DAYS360($B$3,BN48)</f>
        <v>-31509</v>
      </c>
      <c r="BO129" s="140">
        <f t="shared" si="207"/>
        <v>-31330</v>
      </c>
      <c r="BP129" s="140">
        <f t="shared" si="207"/>
        <v>-31150</v>
      </c>
      <c r="BQ129" s="140">
        <f t="shared" si="207"/>
        <v>-30970</v>
      </c>
      <c r="BR129" s="140">
        <f t="shared" si="207"/>
        <v>-30790</v>
      </c>
      <c r="BS129" s="140">
        <f t="shared" si="207"/>
        <v>-30610</v>
      </c>
      <c r="BT129" s="140">
        <f t="shared" si="207"/>
        <v>-30430</v>
      </c>
      <c r="BU129" s="140">
        <f t="shared" si="207"/>
        <v>-30250</v>
      </c>
      <c r="BV129" s="140">
        <f t="shared" si="207"/>
        <v>-30070</v>
      </c>
      <c r="BW129" s="140">
        <f t="shared" si="207"/>
        <v>-29891</v>
      </c>
      <c r="BX129" s="140">
        <f t="shared" si="207"/>
        <v>-29711</v>
      </c>
      <c r="BY129" s="140">
        <f t="shared" si="207"/>
        <v>-29531</v>
      </c>
      <c r="BZ129" s="140">
        <f t="shared" si="207"/>
        <v>-29351</v>
      </c>
      <c r="CA129" s="140">
        <f t="shared" si="207"/>
        <v>-29171</v>
      </c>
      <c r="CB129" s="140">
        <f t="shared" si="207"/>
        <v>-28991</v>
      </c>
      <c r="CC129" s="17"/>
      <c r="CD129" s="17"/>
      <c r="CE129" s="17"/>
    </row>
    <row r="130" spans="1:83">
      <c r="A130" s="16" t="s">
        <v>41</v>
      </c>
      <c r="B130" s="140">
        <f>B129/360</f>
        <v>-119.50555555555556</v>
      </c>
      <c r="C130" s="140">
        <f t="shared" ref="C130:BN130" si="208">C129/360</f>
        <v>-119.00555555555556</v>
      </c>
      <c r="D130" s="140">
        <f t="shared" si="208"/>
        <v>-118.50555555555556</v>
      </c>
      <c r="E130" s="140">
        <f t="shared" si="208"/>
        <v>-118.00555555555556</v>
      </c>
      <c r="F130" s="140">
        <f t="shared" si="208"/>
        <v>-117.50555555555556</v>
      </c>
      <c r="G130" s="140">
        <f t="shared" si="208"/>
        <v>-117.00555555555556</v>
      </c>
      <c r="H130" s="140">
        <f t="shared" si="208"/>
        <v>-116.50555555555556</v>
      </c>
      <c r="I130" s="140">
        <f t="shared" si="208"/>
        <v>-116.00555555555556</v>
      </c>
      <c r="J130" s="140">
        <f t="shared" si="208"/>
        <v>-115.50555555555556</v>
      </c>
      <c r="K130" s="140">
        <f t="shared" si="208"/>
        <v>-115.00833333333334</v>
      </c>
      <c r="L130" s="140">
        <f t="shared" si="208"/>
        <v>-114.50833333333334</v>
      </c>
      <c r="M130" s="140">
        <f t="shared" si="208"/>
        <v>-114.00833333333334</v>
      </c>
      <c r="N130" s="140">
        <f t="shared" si="208"/>
        <v>-113.50833333333334</v>
      </c>
      <c r="O130" s="140">
        <f t="shared" si="208"/>
        <v>-113.00833333333334</v>
      </c>
      <c r="P130" s="140">
        <f t="shared" si="208"/>
        <v>-112.50833333333334</v>
      </c>
      <c r="Q130" s="140">
        <f t="shared" si="208"/>
        <v>-112.00833333333334</v>
      </c>
      <c r="R130" s="140">
        <f t="shared" si="208"/>
        <v>-111.50833333333334</v>
      </c>
      <c r="S130" s="140">
        <f t="shared" si="208"/>
        <v>-111.01111111111111</v>
      </c>
      <c r="T130" s="140">
        <f t="shared" si="208"/>
        <v>-110.51111111111111</v>
      </c>
      <c r="U130" s="140">
        <f t="shared" si="208"/>
        <v>-110.01111111111111</v>
      </c>
      <c r="V130" s="140">
        <f t="shared" si="208"/>
        <v>-109.51111111111111</v>
      </c>
      <c r="W130" s="140">
        <f t="shared" si="208"/>
        <v>-109.01111111111111</v>
      </c>
      <c r="X130" s="140">
        <f t="shared" si="208"/>
        <v>-108.51111111111111</v>
      </c>
      <c r="Y130" s="140">
        <f t="shared" si="208"/>
        <v>-108.01111111111111</v>
      </c>
      <c r="Z130" s="140">
        <f t="shared" si="208"/>
        <v>-107.51111111111111</v>
      </c>
      <c r="AA130" s="140">
        <f t="shared" si="208"/>
        <v>-107.01388888888889</v>
      </c>
      <c r="AB130" s="140">
        <f t="shared" si="208"/>
        <v>-106.51388888888889</v>
      </c>
      <c r="AC130" s="140">
        <f t="shared" si="208"/>
        <v>-106.01388888888889</v>
      </c>
      <c r="AD130" s="140">
        <f t="shared" si="208"/>
        <v>-105.51388888888889</v>
      </c>
      <c r="AE130" s="140">
        <f t="shared" si="208"/>
        <v>-105.01388888888889</v>
      </c>
      <c r="AF130" s="140">
        <f t="shared" si="208"/>
        <v>-104.51388888888889</v>
      </c>
      <c r="AG130" s="140">
        <f t="shared" si="208"/>
        <v>-104.01388888888889</v>
      </c>
      <c r="AH130" s="140">
        <f t="shared" si="208"/>
        <v>-103.51388888888889</v>
      </c>
      <c r="AI130" s="140">
        <f t="shared" si="208"/>
        <v>-103.01666666666667</v>
      </c>
      <c r="AJ130" s="140">
        <f t="shared" si="208"/>
        <v>-102.51666666666667</v>
      </c>
      <c r="AK130" s="140">
        <f t="shared" si="208"/>
        <v>-102.01666666666667</v>
      </c>
      <c r="AL130" s="140">
        <f t="shared" si="208"/>
        <v>-101.51666666666667</v>
      </c>
      <c r="AM130" s="140">
        <f t="shared" si="208"/>
        <v>-101.01666666666667</v>
      </c>
      <c r="AN130" s="140">
        <f t="shared" si="208"/>
        <v>-100.51666666666667</v>
      </c>
      <c r="AO130" s="140">
        <f t="shared" si="208"/>
        <v>-100.01666666666667</v>
      </c>
      <c r="AP130" s="140">
        <f t="shared" si="208"/>
        <v>-99.516666666666666</v>
      </c>
      <c r="AQ130" s="140">
        <f t="shared" si="208"/>
        <v>-99.019444444444446</v>
      </c>
      <c r="AR130" s="140">
        <f t="shared" si="208"/>
        <v>-98.519444444444446</v>
      </c>
      <c r="AS130" s="140">
        <f t="shared" si="208"/>
        <v>-98.019444444444446</v>
      </c>
      <c r="AT130" s="140">
        <f t="shared" si="208"/>
        <v>-97.519444444444446</v>
      </c>
      <c r="AU130" s="140">
        <f t="shared" si="208"/>
        <v>-97.019444444444446</v>
      </c>
      <c r="AV130" s="140">
        <f t="shared" si="208"/>
        <v>-96.519444444444446</v>
      </c>
      <c r="AW130" s="140">
        <f t="shared" si="208"/>
        <v>-96.019444444444446</v>
      </c>
      <c r="AX130" s="140">
        <f t="shared" si="208"/>
        <v>-95.519444444444446</v>
      </c>
      <c r="AY130" s="140">
        <f t="shared" si="208"/>
        <v>-95.022222222222226</v>
      </c>
      <c r="AZ130" s="140">
        <f t="shared" si="208"/>
        <v>-94.522222222222226</v>
      </c>
      <c r="BA130" s="140">
        <f t="shared" si="208"/>
        <v>-94.022222222222226</v>
      </c>
      <c r="BB130" s="140">
        <f t="shared" si="208"/>
        <v>-93.522222222222226</v>
      </c>
      <c r="BC130" s="140">
        <f t="shared" si="208"/>
        <v>-93.022222222222226</v>
      </c>
      <c r="BD130" s="140">
        <f t="shared" si="208"/>
        <v>-92.522222222222226</v>
      </c>
      <c r="BE130" s="140">
        <f t="shared" si="208"/>
        <v>-92.022222222222226</v>
      </c>
      <c r="BF130" s="140">
        <f t="shared" si="208"/>
        <v>-91.522222222222226</v>
      </c>
      <c r="BG130" s="140">
        <f t="shared" si="208"/>
        <v>-91.025000000000006</v>
      </c>
      <c r="BH130" s="140">
        <f t="shared" si="208"/>
        <v>-90.525000000000006</v>
      </c>
      <c r="BI130" s="140">
        <f t="shared" si="208"/>
        <v>-90.025000000000006</v>
      </c>
      <c r="BJ130" s="140">
        <f t="shared" si="208"/>
        <v>-89.525000000000006</v>
      </c>
      <c r="BK130" s="140">
        <f t="shared" si="208"/>
        <v>-89.025000000000006</v>
      </c>
      <c r="BL130" s="140">
        <f t="shared" si="208"/>
        <v>-88.525000000000006</v>
      </c>
      <c r="BM130" s="140">
        <f t="shared" si="208"/>
        <v>-88.025000000000006</v>
      </c>
      <c r="BN130" s="140">
        <f t="shared" si="208"/>
        <v>-87.525000000000006</v>
      </c>
      <c r="BO130" s="140">
        <f t="shared" ref="BO130:CB130" si="209">BO129/360</f>
        <v>-87.027777777777771</v>
      </c>
      <c r="BP130" s="140">
        <f t="shared" si="209"/>
        <v>-86.527777777777771</v>
      </c>
      <c r="BQ130" s="140">
        <f t="shared" si="209"/>
        <v>-86.027777777777771</v>
      </c>
      <c r="BR130" s="140">
        <f t="shared" si="209"/>
        <v>-85.527777777777771</v>
      </c>
      <c r="BS130" s="140">
        <f t="shared" si="209"/>
        <v>-85.027777777777771</v>
      </c>
      <c r="BT130" s="140">
        <f t="shared" si="209"/>
        <v>-84.527777777777771</v>
      </c>
      <c r="BU130" s="140">
        <f t="shared" si="209"/>
        <v>-84.027777777777771</v>
      </c>
      <c r="BV130" s="140">
        <f t="shared" si="209"/>
        <v>-83.527777777777771</v>
      </c>
      <c r="BW130" s="140">
        <f t="shared" si="209"/>
        <v>-83.030555555555551</v>
      </c>
      <c r="BX130" s="140">
        <f t="shared" si="209"/>
        <v>-82.530555555555551</v>
      </c>
      <c r="BY130" s="140">
        <f t="shared" si="209"/>
        <v>-82.030555555555551</v>
      </c>
      <c r="BZ130" s="140">
        <f t="shared" si="209"/>
        <v>-81.530555555555551</v>
      </c>
      <c r="CA130" s="140">
        <f t="shared" si="209"/>
        <v>-81.030555555555551</v>
      </c>
      <c r="CB130" s="140">
        <f t="shared" si="209"/>
        <v>-80.530555555555551</v>
      </c>
      <c r="CC130" s="17"/>
      <c r="CD130" s="17"/>
      <c r="CE130" s="17"/>
    </row>
    <row r="131" spans="1:83">
      <c r="A131" s="16" t="s">
        <v>43</v>
      </c>
      <c r="B131" s="140">
        <f>IF(B129&lt;0,0,$B$5+$B$6*((1-EXP(-B130/$B$9))/(B130/$B$9))+$B$7*((1-EXP(-B130/$B$9))/(B130/$B$9)-EXP(-B130/$B$9))+$B$8*((1-EXP(-B130/$B$10))/(B130/$B$10)-EXP(-B130/$B$10)))</f>
        <v>0</v>
      </c>
      <c r="C131" s="140">
        <f t="shared" ref="C131:BN131" si="210">IF(C129&lt;0,0,$B$5+$B$6*((1-EXP(-C130/$B$9))/(C130/$B$9))+$B$7*((1-EXP(-C130/$B$9))/(C130/$B$9)-EXP(-C130/$B$9))+$B$8*((1-EXP(-C130/$B$10))/(C130/$B$10)-EXP(-C130/$B$10)))</f>
        <v>0</v>
      </c>
      <c r="D131" s="140">
        <f t="shared" si="210"/>
        <v>0</v>
      </c>
      <c r="E131" s="140">
        <f t="shared" si="210"/>
        <v>0</v>
      </c>
      <c r="F131" s="140">
        <f t="shared" si="210"/>
        <v>0</v>
      </c>
      <c r="G131" s="140">
        <f t="shared" si="210"/>
        <v>0</v>
      </c>
      <c r="H131" s="140">
        <f t="shared" si="210"/>
        <v>0</v>
      </c>
      <c r="I131" s="140">
        <f t="shared" si="210"/>
        <v>0</v>
      </c>
      <c r="J131" s="140">
        <f t="shared" si="210"/>
        <v>0</v>
      </c>
      <c r="K131" s="140">
        <f t="shared" si="210"/>
        <v>0</v>
      </c>
      <c r="L131" s="140">
        <f t="shared" si="210"/>
        <v>0</v>
      </c>
      <c r="M131" s="140">
        <f t="shared" si="210"/>
        <v>0</v>
      </c>
      <c r="N131" s="140">
        <f t="shared" si="210"/>
        <v>0</v>
      </c>
      <c r="O131" s="140">
        <f t="shared" si="210"/>
        <v>0</v>
      </c>
      <c r="P131" s="140">
        <f t="shared" si="210"/>
        <v>0</v>
      </c>
      <c r="Q131" s="140">
        <f t="shared" si="210"/>
        <v>0</v>
      </c>
      <c r="R131" s="140">
        <f t="shared" si="210"/>
        <v>0</v>
      </c>
      <c r="S131" s="140">
        <f t="shared" si="210"/>
        <v>0</v>
      </c>
      <c r="T131" s="140">
        <f t="shared" si="210"/>
        <v>0</v>
      </c>
      <c r="U131" s="140">
        <f t="shared" si="210"/>
        <v>0</v>
      </c>
      <c r="V131" s="140">
        <f t="shared" si="210"/>
        <v>0</v>
      </c>
      <c r="W131" s="140">
        <f t="shared" si="210"/>
        <v>0</v>
      </c>
      <c r="X131" s="140">
        <f t="shared" si="210"/>
        <v>0</v>
      </c>
      <c r="Y131" s="140">
        <f t="shared" si="210"/>
        <v>0</v>
      </c>
      <c r="Z131" s="140">
        <f t="shared" si="210"/>
        <v>0</v>
      </c>
      <c r="AA131" s="140">
        <f t="shared" si="210"/>
        <v>0</v>
      </c>
      <c r="AB131" s="140">
        <f t="shared" si="210"/>
        <v>0</v>
      </c>
      <c r="AC131" s="140">
        <f t="shared" si="210"/>
        <v>0</v>
      </c>
      <c r="AD131" s="140">
        <f t="shared" si="210"/>
        <v>0</v>
      </c>
      <c r="AE131" s="140">
        <f t="shared" si="210"/>
        <v>0</v>
      </c>
      <c r="AF131" s="140">
        <f t="shared" si="210"/>
        <v>0</v>
      </c>
      <c r="AG131" s="140">
        <f t="shared" si="210"/>
        <v>0</v>
      </c>
      <c r="AH131" s="140">
        <f t="shared" si="210"/>
        <v>0</v>
      </c>
      <c r="AI131" s="140">
        <f t="shared" si="210"/>
        <v>0</v>
      </c>
      <c r="AJ131" s="140">
        <f t="shared" si="210"/>
        <v>0</v>
      </c>
      <c r="AK131" s="140">
        <f t="shared" si="210"/>
        <v>0</v>
      </c>
      <c r="AL131" s="140">
        <f t="shared" si="210"/>
        <v>0</v>
      </c>
      <c r="AM131" s="140">
        <f t="shared" si="210"/>
        <v>0</v>
      </c>
      <c r="AN131" s="140">
        <f t="shared" si="210"/>
        <v>0</v>
      </c>
      <c r="AO131" s="140">
        <f t="shared" si="210"/>
        <v>0</v>
      </c>
      <c r="AP131" s="140">
        <f t="shared" si="210"/>
        <v>0</v>
      </c>
      <c r="AQ131" s="140">
        <f t="shared" si="210"/>
        <v>0</v>
      </c>
      <c r="AR131" s="140">
        <f t="shared" si="210"/>
        <v>0</v>
      </c>
      <c r="AS131" s="140">
        <f t="shared" si="210"/>
        <v>0</v>
      </c>
      <c r="AT131" s="140">
        <f t="shared" si="210"/>
        <v>0</v>
      </c>
      <c r="AU131" s="140">
        <f t="shared" si="210"/>
        <v>0</v>
      </c>
      <c r="AV131" s="140">
        <f t="shared" si="210"/>
        <v>0</v>
      </c>
      <c r="AW131" s="140">
        <f t="shared" si="210"/>
        <v>0</v>
      </c>
      <c r="AX131" s="140">
        <f t="shared" si="210"/>
        <v>0</v>
      </c>
      <c r="AY131" s="140">
        <f t="shared" si="210"/>
        <v>0</v>
      </c>
      <c r="AZ131" s="140">
        <f t="shared" si="210"/>
        <v>0</v>
      </c>
      <c r="BA131" s="140">
        <f t="shared" si="210"/>
        <v>0</v>
      </c>
      <c r="BB131" s="140">
        <f t="shared" si="210"/>
        <v>0</v>
      </c>
      <c r="BC131" s="140">
        <f t="shared" si="210"/>
        <v>0</v>
      </c>
      <c r="BD131" s="140">
        <f t="shared" si="210"/>
        <v>0</v>
      </c>
      <c r="BE131" s="140">
        <f t="shared" si="210"/>
        <v>0</v>
      </c>
      <c r="BF131" s="140">
        <f t="shared" si="210"/>
        <v>0</v>
      </c>
      <c r="BG131" s="140">
        <f t="shared" si="210"/>
        <v>0</v>
      </c>
      <c r="BH131" s="140">
        <f t="shared" si="210"/>
        <v>0</v>
      </c>
      <c r="BI131" s="140">
        <f t="shared" si="210"/>
        <v>0</v>
      </c>
      <c r="BJ131" s="140">
        <f t="shared" si="210"/>
        <v>0</v>
      </c>
      <c r="BK131" s="140">
        <f t="shared" si="210"/>
        <v>0</v>
      </c>
      <c r="BL131" s="140">
        <f t="shared" si="210"/>
        <v>0</v>
      </c>
      <c r="BM131" s="140">
        <f t="shared" si="210"/>
        <v>0</v>
      </c>
      <c r="BN131" s="140">
        <f t="shared" si="210"/>
        <v>0</v>
      </c>
      <c r="BO131" s="140">
        <f t="shared" ref="BO131:CB131" si="211">IF(BO129&lt;0,0,$B$5+$B$6*((1-EXP(-BO130/$B$9))/(BO130/$B$9))+$B$7*((1-EXP(-BO130/$B$9))/(BO130/$B$9)-EXP(-BO130/$B$9))+$B$8*((1-EXP(-BO130/$B$10))/(BO130/$B$10)-EXP(-BO130/$B$10)))</f>
        <v>0</v>
      </c>
      <c r="BP131" s="140">
        <f t="shared" si="211"/>
        <v>0</v>
      </c>
      <c r="BQ131" s="140">
        <f t="shared" si="211"/>
        <v>0</v>
      </c>
      <c r="BR131" s="140">
        <f t="shared" si="211"/>
        <v>0</v>
      </c>
      <c r="BS131" s="140">
        <f t="shared" si="211"/>
        <v>0</v>
      </c>
      <c r="BT131" s="140">
        <f t="shared" si="211"/>
        <v>0</v>
      </c>
      <c r="BU131" s="140">
        <f t="shared" si="211"/>
        <v>0</v>
      </c>
      <c r="BV131" s="140">
        <f t="shared" si="211"/>
        <v>0</v>
      </c>
      <c r="BW131" s="140">
        <f t="shared" si="211"/>
        <v>0</v>
      </c>
      <c r="BX131" s="140">
        <f t="shared" si="211"/>
        <v>0</v>
      </c>
      <c r="BY131" s="140">
        <f t="shared" si="211"/>
        <v>0</v>
      </c>
      <c r="BZ131" s="140">
        <f t="shared" si="211"/>
        <v>0</v>
      </c>
      <c r="CA131" s="140">
        <f t="shared" si="211"/>
        <v>0</v>
      </c>
      <c r="CB131" s="140">
        <f t="shared" si="211"/>
        <v>0</v>
      </c>
      <c r="CC131" s="17"/>
      <c r="CD131" s="17"/>
      <c r="CE131" s="17"/>
    </row>
    <row r="132" spans="1:83">
      <c r="A132" s="16" t="s">
        <v>44</v>
      </c>
      <c r="B132" s="140">
        <f>EXP(-B131*B130)</f>
        <v>1</v>
      </c>
      <c r="C132" s="140">
        <f t="shared" ref="C132:AR132" si="212">EXP(-C131*C130)</f>
        <v>1</v>
      </c>
      <c r="D132" s="140">
        <f t="shared" si="212"/>
        <v>1</v>
      </c>
      <c r="E132" s="140">
        <f t="shared" si="212"/>
        <v>1</v>
      </c>
      <c r="F132" s="140">
        <f t="shared" si="212"/>
        <v>1</v>
      </c>
      <c r="G132" s="140">
        <f t="shared" si="212"/>
        <v>1</v>
      </c>
      <c r="H132" s="140">
        <f t="shared" si="212"/>
        <v>1</v>
      </c>
      <c r="I132" s="140">
        <f t="shared" si="212"/>
        <v>1</v>
      </c>
      <c r="J132" s="140">
        <f t="shared" si="212"/>
        <v>1</v>
      </c>
      <c r="K132" s="140">
        <f t="shared" si="212"/>
        <v>1</v>
      </c>
      <c r="L132" s="140">
        <f t="shared" si="212"/>
        <v>1</v>
      </c>
      <c r="M132" s="140">
        <f t="shared" si="212"/>
        <v>1</v>
      </c>
      <c r="N132" s="140">
        <f t="shared" si="212"/>
        <v>1</v>
      </c>
      <c r="O132" s="140">
        <f t="shared" si="212"/>
        <v>1</v>
      </c>
      <c r="P132" s="140">
        <f t="shared" si="212"/>
        <v>1</v>
      </c>
      <c r="Q132" s="140">
        <f t="shared" si="212"/>
        <v>1</v>
      </c>
      <c r="R132" s="140">
        <f t="shared" si="212"/>
        <v>1</v>
      </c>
      <c r="S132" s="140">
        <f t="shared" si="212"/>
        <v>1</v>
      </c>
      <c r="T132" s="140">
        <f t="shared" si="212"/>
        <v>1</v>
      </c>
      <c r="U132" s="140">
        <f t="shared" si="212"/>
        <v>1</v>
      </c>
      <c r="V132" s="140">
        <f t="shared" si="212"/>
        <v>1</v>
      </c>
      <c r="W132" s="140">
        <f t="shared" si="212"/>
        <v>1</v>
      </c>
      <c r="X132" s="140">
        <f t="shared" si="212"/>
        <v>1</v>
      </c>
      <c r="Y132" s="140">
        <f t="shared" si="212"/>
        <v>1</v>
      </c>
      <c r="Z132" s="140">
        <f t="shared" si="212"/>
        <v>1</v>
      </c>
      <c r="AA132" s="140">
        <f t="shared" si="212"/>
        <v>1</v>
      </c>
      <c r="AB132" s="140">
        <f t="shared" si="212"/>
        <v>1</v>
      </c>
      <c r="AC132" s="140">
        <f t="shared" si="212"/>
        <v>1</v>
      </c>
      <c r="AD132" s="140">
        <f t="shared" si="212"/>
        <v>1</v>
      </c>
      <c r="AE132" s="140">
        <f t="shared" si="212"/>
        <v>1</v>
      </c>
      <c r="AF132" s="140">
        <f t="shared" si="212"/>
        <v>1</v>
      </c>
      <c r="AG132" s="140">
        <f t="shared" si="212"/>
        <v>1</v>
      </c>
      <c r="AH132" s="140">
        <f t="shared" si="212"/>
        <v>1</v>
      </c>
      <c r="AI132" s="140">
        <f t="shared" si="212"/>
        <v>1</v>
      </c>
      <c r="AJ132" s="140">
        <f t="shared" si="212"/>
        <v>1</v>
      </c>
      <c r="AK132" s="140">
        <f t="shared" si="212"/>
        <v>1</v>
      </c>
      <c r="AL132" s="140">
        <f t="shared" si="212"/>
        <v>1</v>
      </c>
      <c r="AM132" s="140">
        <f t="shared" si="212"/>
        <v>1</v>
      </c>
      <c r="AN132" s="140">
        <f t="shared" si="212"/>
        <v>1</v>
      </c>
      <c r="AO132" s="140">
        <f t="shared" si="212"/>
        <v>1</v>
      </c>
      <c r="AP132" s="140">
        <f t="shared" si="212"/>
        <v>1</v>
      </c>
      <c r="AQ132" s="140">
        <f t="shared" si="212"/>
        <v>1</v>
      </c>
      <c r="AR132" s="140">
        <f t="shared" si="212"/>
        <v>1</v>
      </c>
      <c r="AS132" s="140">
        <f>EXP(-AS131*AS130)</f>
        <v>1</v>
      </c>
      <c r="AT132" s="140">
        <f t="shared" ref="AT132:CA132" si="213">EXP(-AT131*AT130)</f>
        <v>1</v>
      </c>
      <c r="AU132" s="140">
        <f t="shared" si="213"/>
        <v>1</v>
      </c>
      <c r="AV132" s="140">
        <f t="shared" si="213"/>
        <v>1</v>
      </c>
      <c r="AW132" s="140">
        <f t="shared" si="213"/>
        <v>1</v>
      </c>
      <c r="AX132" s="140">
        <f t="shared" si="213"/>
        <v>1</v>
      </c>
      <c r="AY132" s="140">
        <f t="shared" si="213"/>
        <v>1</v>
      </c>
      <c r="AZ132" s="140">
        <f t="shared" si="213"/>
        <v>1</v>
      </c>
      <c r="BA132" s="140">
        <f t="shared" si="213"/>
        <v>1</v>
      </c>
      <c r="BB132" s="140">
        <f t="shared" si="213"/>
        <v>1</v>
      </c>
      <c r="BC132" s="140">
        <f t="shared" si="213"/>
        <v>1</v>
      </c>
      <c r="BD132" s="140">
        <f t="shared" si="213"/>
        <v>1</v>
      </c>
      <c r="BE132" s="140">
        <f t="shared" si="213"/>
        <v>1</v>
      </c>
      <c r="BF132" s="140">
        <f t="shared" si="213"/>
        <v>1</v>
      </c>
      <c r="BG132" s="140">
        <f t="shared" si="213"/>
        <v>1</v>
      </c>
      <c r="BH132" s="140">
        <f t="shared" si="213"/>
        <v>1</v>
      </c>
      <c r="BI132" s="140">
        <f t="shared" si="213"/>
        <v>1</v>
      </c>
      <c r="BJ132" s="140">
        <f t="shared" si="213"/>
        <v>1</v>
      </c>
      <c r="BK132" s="140">
        <f t="shared" si="213"/>
        <v>1</v>
      </c>
      <c r="BL132" s="140">
        <f t="shared" si="213"/>
        <v>1</v>
      </c>
      <c r="BM132" s="140">
        <f t="shared" si="213"/>
        <v>1</v>
      </c>
      <c r="BN132" s="140">
        <f t="shared" si="213"/>
        <v>1</v>
      </c>
      <c r="BO132" s="140">
        <f t="shared" si="213"/>
        <v>1</v>
      </c>
      <c r="BP132" s="140">
        <f t="shared" si="213"/>
        <v>1</v>
      </c>
      <c r="BQ132" s="140">
        <f t="shared" si="213"/>
        <v>1</v>
      </c>
      <c r="BR132" s="140">
        <f t="shared" si="213"/>
        <v>1</v>
      </c>
      <c r="BS132" s="140">
        <f t="shared" si="213"/>
        <v>1</v>
      </c>
      <c r="BT132" s="140">
        <f t="shared" si="213"/>
        <v>1</v>
      </c>
      <c r="BU132" s="140">
        <f t="shared" si="213"/>
        <v>1</v>
      </c>
      <c r="BV132" s="140">
        <f t="shared" si="213"/>
        <v>1</v>
      </c>
      <c r="BW132" s="140">
        <f t="shared" si="213"/>
        <v>1</v>
      </c>
      <c r="BX132" s="140">
        <f t="shared" si="213"/>
        <v>1</v>
      </c>
      <c r="BY132" s="140">
        <f t="shared" si="213"/>
        <v>1</v>
      </c>
      <c r="BZ132" s="140">
        <f t="shared" si="213"/>
        <v>1</v>
      </c>
      <c r="CA132" s="140">
        <f t="shared" si="213"/>
        <v>1</v>
      </c>
      <c r="CB132" s="140">
        <f>EXP(-CB131*CB130)</f>
        <v>1</v>
      </c>
      <c r="CC132" s="17"/>
      <c r="CD132" s="17"/>
      <c r="CE132" s="17"/>
    </row>
    <row r="133" spans="1:83">
      <c r="A133" s="17"/>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17"/>
      <c r="CD133" s="17"/>
      <c r="CE133" s="17"/>
    </row>
    <row r="134" spans="1:83">
      <c r="A134" s="16" t="s">
        <v>40</v>
      </c>
      <c r="B134" s="140">
        <f t="shared" ref="B134:BM134" si="214">DAYS360($B$3,B50)</f>
        <v>-43022</v>
      </c>
      <c r="C134" s="140">
        <f t="shared" si="214"/>
        <v>-42842</v>
      </c>
      <c r="D134" s="140">
        <f t="shared" si="214"/>
        <v>-42662</v>
      </c>
      <c r="E134" s="140">
        <f t="shared" si="214"/>
        <v>-42482</v>
      </c>
      <c r="F134" s="140">
        <f t="shared" si="214"/>
        <v>-42302</v>
      </c>
      <c r="G134" s="140">
        <f t="shared" si="214"/>
        <v>-42122</v>
      </c>
      <c r="H134" s="140">
        <f t="shared" si="214"/>
        <v>-41942</v>
      </c>
      <c r="I134" s="140">
        <f t="shared" si="214"/>
        <v>-41762</v>
      </c>
      <c r="J134" s="140">
        <f t="shared" si="214"/>
        <v>-41582</v>
      </c>
      <c r="K134" s="140">
        <f t="shared" si="214"/>
        <v>-41403</v>
      </c>
      <c r="L134" s="140">
        <f t="shared" si="214"/>
        <v>-41223</v>
      </c>
      <c r="M134" s="140">
        <f t="shared" si="214"/>
        <v>-41043</v>
      </c>
      <c r="N134" s="140">
        <f t="shared" si="214"/>
        <v>-40863</v>
      </c>
      <c r="O134" s="140">
        <f t="shared" si="214"/>
        <v>-40683</v>
      </c>
      <c r="P134" s="140">
        <f t="shared" si="214"/>
        <v>-40503</v>
      </c>
      <c r="Q134" s="140">
        <f t="shared" si="214"/>
        <v>-40323</v>
      </c>
      <c r="R134" s="140">
        <f t="shared" si="214"/>
        <v>-40143</v>
      </c>
      <c r="S134" s="140">
        <f t="shared" si="214"/>
        <v>-39964</v>
      </c>
      <c r="T134" s="140">
        <f t="shared" si="214"/>
        <v>-39784</v>
      </c>
      <c r="U134" s="140">
        <f t="shared" si="214"/>
        <v>-39604</v>
      </c>
      <c r="V134" s="140">
        <f t="shared" si="214"/>
        <v>-39424</v>
      </c>
      <c r="W134" s="140">
        <f t="shared" si="214"/>
        <v>-39244</v>
      </c>
      <c r="X134" s="140">
        <f t="shared" si="214"/>
        <v>-39064</v>
      </c>
      <c r="Y134" s="140">
        <f t="shared" si="214"/>
        <v>-38884</v>
      </c>
      <c r="Z134" s="140">
        <f t="shared" si="214"/>
        <v>-38704</v>
      </c>
      <c r="AA134" s="140">
        <f t="shared" si="214"/>
        <v>-38525</v>
      </c>
      <c r="AB134" s="140">
        <f t="shared" si="214"/>
        <v>-38345</v>
      </c>
      <c r="AC134" s="140">
        <f t="shared" si="214"/>
        <v>-38165</v>
      </c>
      <c r="AD134" s="140">
        <f t="shared" si="214"/>
        <v>-37985</v>
      </c>
      <c r="AE134" s="140">
        <f t="shared" si="214"/>
        <v>-37805</v>
      </c>
      <c r="AF134" s="140">
        <f t="shared" si="214"/>
        <v>-37625</v>
      </c>
      <c r="AG134" s="140">
        <f t="shared" si="214"/>
        <v>-37445</v>
      </c>
      <c r="AH134" s="140">
        <f t="shared" si="214"/>
        <v>-37265</v>
      </c>
      <c r="AI134" s="140">
        <f t="shared" si="214"/>
        <v>-37086</v>
      </c>
      <c r="AJ134" s="140">
        <f t="shared" si="214"/>
        <v>-36906</v>
      </c>
      <c r="AK134" s="140">
        <f t="shared" si="214"/>
        <v>-36726</v>
      </c>
      <c r="AL134" s="140">
        <f t="shared" si="214"/>
        <v>-36546</v>
      </c>
      <c r="AM134" s="140">
        <f t="shared" si="214"/>
        <v>-36366</v>
      </c>
      <c r="AN134" s="140">
        <f t="shared" si="214"/>
        <v>-36186</v>
      </c>
      <c r="AO134" s="140">
        <f t="shared" si="214"/>
        <v>-36006</v>
      </c>
      <c r="AP134" s="140">
        <f t="shared" si="214"/>
        <v>-35826</v>
      </c>
      <c r="AQ134" s="140">
        <f t="shared" si="214"/>
        <v>-35647</v>
      </c>
      <c r="AR134" s="140">
        <f t="shared" si="214"/>
        <v>-35467</v>
      </c>
      <c r="AS134" s="140">
        <f t="shared" si="214"/>
        <v>-35287</v>
      </c>
      <c r="AT134" s="140">
        <f t="shared" si="214"/>
        <v>-35107</v>
      </c>
      <c r="AU134" s="140">
        <f t="shared" si="214"/>
        <v>-34927</v>
      </c>
      <c r="AV134" s="140">
        <f t="shared" si="214"/>
        <v>-34747</v>
      </c>
      <c r="AW134" s="140">
        <f t="shared" si="214"/>
        <v>-34567</v>
      </c>
      <c r="AX134" s="140">
        <f t="shared" si="214"/>
        <v>-34387</v>
      </c>
      <c r="AY134" s="140">
        <f t="shared" si="214"/>
        <v>-34208</v>
      </c>
      <c r="AZ134" s="140">
        <f t="shared" si="214"/>
        <v>-34028</v>
      </c>
      <c r="BA134" s="140">
        <f t="shared" si="214"/>
        <v>-33848</v>
      </c>
      <c r="BB134" s="140">
        <f t="shared" si="214"/>
        <v>-33668</v>
      </c>
      <c r="BC134" s="140">
        <f t="shared" si="214"/>
        <v>-33488</v>
      </c>
      <c r="BD134" s="140">
        <f t="shared" si="214"/>
        <v>-33308</v>
      </c>
      <c r="BE134" s="140">
        <f t="shared" si="214"/>
        <v>-33128</v>
      </c>
      <c r="BF134" s="140">
        <f t="shared" si="214"/>
        <v>-32948</v>
      </c>
      <c r="BG134" s="140">
        <f t="shared" si="214"/>
        <v>-32769</v>
      </c>
      <c r="BH134" s="140">
        <f t="shared" si="214"/>
        <v>-32589</v>
      </c>
      <c r="BI134" s="140">
        <f t="shared" si="214"/>
        <v>-32409</v>
      </c>
      <c r="BJ134" s="140">
        <f t="shared" si="214"/>
        <v>-32229</v>
      </c>
      <c r="BK134" s="140">
        <f t="shared" si="214"/>
        <v>-32049</v>
      </c>
      <c r="BL134" s="140">
        <f t="shared" si="214"/>
        <v>-31869</v>
      </c>
      <c r="BM134" s="140">
        <f t="shared" si="214"/>
        <v>-31689</v>
      </c>
      <c r="BN134" s="140">
        <f t="shared" ref="BN134:CB134" si="215">DAYS360($B$3,BN50)</f>
        <v>-31509</v>
      </c>
      <c r="BO134" s="140">
        <f t="shared" si="215"/>
        <v>-31330</v>
      </c>
      <c r="BP134" s="140">
        <f t="shared" si="215"/>
        <v>-31150</v>
      </c>
      <c r="BQ134" s="140">
        <f t="shared" si="215"/>
        <v>-30970</v>
      </c>
      <c r="BR134" s="140">
        <f t="shared" si="215"/>
        <v>-30790</v>
      </c>
      <c r="BS134" s="140">
        <f t="shared" si="215"/>
        <v>-30610</v>
      </c>
      <c r="BT134" s="140">
        <f t="shared" si="215"/>
        <v>-30430</v>
      </c>
      <c r="BU134" s="140">
        <f t="shared" si="215"/>
        <v>-30250</v>
      </c>
      <c r="BV134" s="140">
        <f t="shared" si="215"/>
        <v>-30070</v>
      </c>
      <c r="BW134" s="140">
        <f t="shared" si="215"/>
        <v>-29891</v>
      </c>
      <c r="BX134" s="140">
        <f t="shared" si="215"/>
        <v>-29711</v>
      </c>
      <c r="BY134" s="140">
        <f t="shared" si="215"/>
        <v>-29531</v>
      </c>
      <c r="BZ134" s="140">
        <f t="shared" si="215"/>
        <v>-29351</v>
      </c>
      <c r="CA134" s="140">
        <f t="shared" si="215"/>
        <v>-29171</v>
      </c>
      <c r="CB134" s="140">
        <f t="shared" si="215"/>
        <v>-28991</v>
      </c>
      <c r="CC134" s="17"/>
      <c r="CD134" s="17"/>
      <c r="CE134" s="17"/>
    </row>
    <row r="135" spans="1:83">
      <c r="A135" s="16" t="s">
        <v>41</v>
      </c>
      <c r="B135" s="140">
        <f>B134/360</f>
        <v>-119.50555555555556</v>
      </c>
      <c r="C135" s="140">
        <f t="shared" ref="C135:BN135" si="216">C134/360</f>
        <v>-119.00555555555556</v>
      </c>
      <c r="D135" s="140">
        <f t="shared" si="216"/>
        <v>-118.50555555555556</v>
      </c>
      <c r="E135" s="140">
        <f t="shared" si="216"/>
        <v>-118.00555555555556</v>
      </c>
      <c r="F135" s="140">
        <f t="shared" si="216"/>
        <v>-117.50555555555556</v>
      </c>
      <c r="G135" s="140">
        <f t="shared" si="216"/>
        <v>-117.00555555555556</v>
      </c>
      <c r="H135" s="140">
        <f t="shared" si="216"/>
        <v>-116.50555555555556</v>
      </c>
      <c r="I135" s="140">
        <f t="shared" si="216"/>
        <v>-116.00555555555556</v>
      </c>
      <c r="J135" s="140">
        <f t="shared" si="216"/>
        <v>-115.50555555555556</v>
      </c>
      <c r="K135" s="140">
        <f t="shared" si="216"/>
        <v>-115.00833333333334</v>
      </c>
      <c r="L135" s="140">
        <f t="shared" si="216"/>
        <v>-114.50833333333334</v>
      </c>
      <c r="M135" s="140">
        <f t="shared" si="216"/>
        <v>-114.00833333333334</v>
      </c>
      <c r="N135" s="140">
        <f t="shared" si="216"/>
        <v>-113.50833333333334</v>
      </c>
      <c r="O135" s="140">
        <f t="shared" si="216"/>
        <v>-113.00833333333334</v>
      </c>
      <c r="P135" s="140">
        <f t="shared" si="216"/>
        <v>-112.50833333333334</v>
      </c>
      <c r="Q135" s="140">
        <f t="shared" si="216"/>
        <v>-112.00833333333334</v>
      </c>
      <c r="R135" s="140">
        <f t="shared" si="216"/>
        <v>-111.50833333333334</v>
      </c>
      <c r="S135" s="140">
        <f t="shared" si="216"/>
        <v>-111.01111111111111</v>
      </c>
      <c r="T135" s="140">
        <f t="shared" si="216"/>
        <v>-110.51111111111111</v>
      </c>
      <c r="U135" s="140">
        <f t="shared" si="216"/>
        <v>-110.01111111111111</v>
      </c>
      <c r="V135" s="140">
        <f t="shared" si="216"/>
        <v>-109.51111111111111</v>
      </c>
      <c r="W135" s="140">
        <f t="shared" si="216"/>
        <v>-109.01111111111111</v>
      </c>
      <c r="X135" s="140">
        <f t="shared" si="216"/>
        <v>-108.51111111111111</v>
      </c>
      <c r="Y135" s="140">
        <f t="shared" si="216"/>
        <v>-108.01111111111111</v>
      </c>
      <c r="Z135" s="140">
        <f t="shared" si="216"/>
        <v>-107.51111111111111</v>
      </c>
      <c r="AA135" s="140">
        <f t="shared" si="216"/>
        <v>-107.01388888888889</v>
      </c>
      <c r="AB135" s="140">
        <f t="shared" si="216"/>
        <v>-106.51388888888889</v>
      </c>
      <c r="AC135" s="140">
        <f t="shared" si="216"/>
        <v>-106.01388888888889</v>
      </c>
      <c r="AD135" s="140">
        <f t="shared" si="216"/>
        <v>-105.51388888888889</v>
      </c>
      <c r="AE135" s="140">
        <f t="shared" si="216"/>
        <v>-105.01388888888889</v>
      </c>
      <c r="AF135" s="140">
        <f t="shared" si="216"/>
        <v>-104.51388888888889</v>
      </c>
      <c r="AG135" s="140">
        <f t="shared" si="216"/>
        <v>-104.01388888888889</v>
      </c>
      <c r="AH135" s="140">
        <f t="shared" si="216"/>
        <v>-103.51388888888889</v>
      </c>
      <c r="AI135" s="140">
        <f t="shared" si="216"/>
        <v>-103.01666666666667</v>
      </c>
      <c r="AJ135" s="140">
        <f t="shared" si="216"/>
        <v>-102.51666666666667</v>
      </c>
      <c r="AK135" s="140">
        <f t="shared" si="216"/>
        <v>-102.01666666666667</v>
      </c>
      <c r="AL135" s="140">
        <f t="shared" si="216"/>
        <v>-101.51666666666667</v>
      </c>
      <c r="AM135" s="140">
        <f t="shared" si="216"/>
        <v>-101.01666666666667</v>
      </c>
      <c r="AN135" s="140">
        <f t="shared" si="216"/>
        <v>-100.51666666666667</v>
      </c>
      <c r="AO135" s="140">
        <f t="shared" si="216"/>
        <v>-100.01666666666667</v>
      </c>
      <c r="AP135" s="140">
        <f t="shared" si="216"/>
        <v>-99.516666666666666</v>
      </c>
      <c r="AQ135" s="140">
        <f t="shared" si="216"/>
        <v>-99.019444444444446</v>
      </c>
      <c r="AR135" s="140">
        <f t="shared" si="216"/>
        <v>-98.519444444444446</v>
      </c>
      <c r="AS135" s="140">
        <f t="shared" si="216"/>
        <v>-98.019444444444446</v>
      </c>
      <c r="AT135" s="140">
        <f t="shared" si="216"/>
        <v>-97.519444444444446</v>
      </c>
      <c r="AU135" s="140">
        <f t="shared" si="216"/>
        <v>-97.019444444444446</v>
      </c>
      <c r="AV135" s="140">
        <f t="shared" si="216"/>
        <v>-96.519444444444446</v>
      </c>
      <c r="AW135" s="140">
        <f t="shared" si="216"/>
        <v>-96.019444444444446</v>
      </c>
      <c r="AX135" s="140">
        <f t="shared" si="216"/>
        <v>-95.519444444444446</v>
      </c>
      <c r="AY135" s="140">
        <f t="shared" si="216"/>
        <v>-95.022222222222226</v>
      </c>
      <c r="AZ135" s="140">
        <f t="shared" si="216"/>
        <v>-94.522222222222226</v>
      </c>
      <c r="BA135" s="140">
        <f t="shared" si="216"/>
        <v>-94.022222222222226</v>
      </c>
      <c r="BB135" s="140">
        <f t="shared" si="216"/>
        <v>-93.522222222222226</v>
      </c>
      <c r="BC135" s="140">
        <f t="shared" si="216"/>
        <v>-93.022222222222226</v>
      </c>
      <c r="BD135" s="140">
        <f t="shared" si="216"/>
        <v>-92.522222222222226</v>
      </c>
      <c r="BE135" s="140">
        <f t="shared" si="216"/>
        <v>-92.022222222222226</v>
      </c>
      <c r="BF135" s="140">
        <f t="shared" si="216"/>
        <v>-91.522222222222226</v>
      </c>
      <c r="BG135" s="140">
        <f t="shared" si="216"/>
        <v>-91.025000000000006</v>
      </c>
      <c r="BH135" s="140">
        <f t="shared" si="216"/>
        <v>-90.525000000000006</v>
      </c>
      <c r="BI135" s="140">
        <f t="shared" si="216"/>
        <v>-90.025000000000006</v>
      </c>
      <c r="BJ135" s="140">
        <f t="shared" si="216"/>
        <v>-89.525000000000006</v>
      </c>
      <c r="BK135" s="140">
        <f t="shared" si="216"/>
        <v>-89.025000000000006</v>
      </c>
      <c r="BL135" s="140">
        <f t="shared" si="216"/>
        <v>-88.525000000000006</v>
      </c>
      <c r="BM135" s="140">
        <f t="shared" si="216"/>
        <v>-88.025000000000006</v>
      </c>
      <c r="BN135" s="140">
        <f t="shared" si="216"/>
        <v>-87.525000000000006</v>
      </c>
      <c r="BO135" s="140">
        <f t="shared" ref="BO135:CB135" si="217">BO134/360</f>
        <v>-87.027777777777771</v>
      </c>
      <c r="BP135" s="140">
        <f t="shared" si="217"/>
        <v>-86.527777777777771</v>
      </c>
      <c r="BQ135" s="140">
        <f t="shared" si="217"/>
        <v>-86.027777777777771</v>
      </c>
      <c r="BR135" s="140">
        <f t="shared" si="217"/>
        <v>-85.527777777777771</v>
      </c>
      <c r="BS135" s="140">
        <f t="shared" si="217"/>
        <v>-85.027777777777771</v>
      </c>
      <c r="BT135" s="140">
        <f t="shared" si="217"/>
        <v>-84.527777777777771</v>
      </c>
      <c r="BU135" s="140">
        <f t="shared" si="217"/>
        <v>-84.027777777777771</v>
      </c>
      <c r="BV135" s="140">
        <f t="shared" si="217"/>
        <v>-83.527777777777771</v>
      </c>
      <c r="BW135" s="140">
        <f t="shared" si="217"/>
        <v>-83.030555555555551</v>
      </c>
      <c r="BX135" s="140">
        <f t="shared" si="217"/>
        <v>-82.530555555555551</v>
      </c>
      <c r="BY135" s="140">
        <f t="shared" si="217"/>
        <v>-82.030555555555551</v>
      </c>
      <c r="BZ135" s="140">
        <f t="shared" si="217"/>
        <v>-81.530555555555551</v>
      </c>
      <c r="CA135" s="140">
        <f t="shared" si="217"/>
        <v>-81.030555555555551</v>
      </c>
      <c r="CB135" s="140">
        <f t="shared" si="217"/>
        <v>-80.530555555555551</v>
      </c>
      <c r="CC135" s="17"/>
      <c r="CD135" s="17"/>
      <c r="CE135" s="17"/>
    </row>
    <row r="136" spans="1:83">
      <c r="A136" s="16" t="s">
        <v>43</v>
      </c>
      <c r="B136" s="140">
        <f>IF(B134&lt;0,0,$B$5+$B$6*((1-EXP(-B135/$B$9))/(B135/$B$9))+$B$7*((1-EXP(-B135/$B$9))/(B135/$B$9)-EXP(-B135/$B$9))+$B$8*((1-EXP(-B135/$B$10))/(B135/$B$10)-EXP(-B135/$B$10)))</f>
        <v>0</v>
      </c>
      <c r="C136" s="140">
        <f t="shared" ref="C136:BN136" si="218">IF(C134&lt;0,0,$B$5+$B$6*((1-EXP(-C135/$B$9))/(C135/$B$9))+$B$7*((1-EXP(-C135/$B$9))/(C135/$B$9)-EXP(-C135/$B$9))+$B$8*((1-EXP(-C135/$B$10))/(C135/$B$10)-EXP(-C135/$B$10)))</f>
        <v>0</v>
      </c>
      <c r="D136" s="140">
        <f t="shared" si="218"/>
        <v>0</v>
      </c>
      <c r="E136" s="140">
        <f t="shared" si="218"/>
        <v>0</v>
      </c>
      <c r="F136" s="140">
        <f t="shared" si="218"/>
        <v>0</v>
      </c>
      <c r="G136" s="140">
        <f t="shared" si="218"/>
        <v>0</v>
      </c>
      <c r="H136" s="140">
        <f t="shared" si="218"/>
        <v>0</v>
      </c>
      <c r="I136" s="140">
        <f t="shared" si="218"/>
        <v>0</v>
      </c>
      <c r="J136" s="140">
        <f t="shared" si="218"/>
        <v>0</v>
      </c>
      <c r="K136" s="140">
        <f t="shared" si="218"/>
        <v>0</v>
      </c>
      <c r="L136" s="140">
        <f t="shared" si="218"/>
        <v>0</v>
      </c>
      <c r="M136" s="140">
        <f t="shared" si="218"/>
        <v>0</v>
      </c>
      <c r="N136" s="140">
        <f t="shared" si="218"/>
        <v>0</v>
      </c>
      <c r="O136" s="140">
        <f t="shared" si="218"/>
        <v>0</v>
      </c>
      <c r="P136" s="140">
        <f t="shared" si="218"/>
        <v>0</v>
      </c>
      <c r="Q136" s="140">
        <f t="shared" si="218"/>
        <v>0</v>
      </c>
      <c r="R136" s="140">
        <f t="shared" si="218"/>
        <v>0</v>
      </c>
      <c r="S136" s="140">
        <f t="shared" si="218"/>
        <v>0</v>
      </c>
      <c r="T136" s="140">
        <f t="shared" si="218"/>
        <v>0</v>
      </c>
      <c r="U136" s="140">
        <f t="shared" si="218"/>
        <v>0</v>
      </c>
      <c r="V136" s="140">
        <f t="shared" si="218"/>
        <v>0</v>
      </c>
      <c r="W136" s="140">
        <f t="shared" si="218"/>
        <v>0</v>
      </c>
      <c r="X136" s="140">
        <f t="shared" si="218"/>
        <v>0</v>
      </c>
      <c r="Y136" s="140">
        <f t="shared" si="218"/>
        <v>0</v>
      </c>
      <c r="Z136" s="140">
        <f t="shared" si="218"/>
        <v>0</v>
      </c>
      <c r="AA136" s="140">
        <f t="shared" si="218"/>
        <v>0</v>
      </c>
      <c r="AB136" s="140">
        <f t="shared" si="218"/>
        <v>0</v>
      </c>
      <c r="AC136" s="140">
        <f t="shared" si="218"/>
        <v>0</v>
      </c>
      <c r="AD136" s="140">
        <f t="shared" si="218"/>
        <v>0</v>
      </c>
      <c r="AE136" s="140">
        <f t="shared" si="218"/>
        <v>0</v>
      </c>
      <c r="AF136" s="140">
        <f t="shared" si="218"/>
        <v>0</v>
      </c>
      <c r="AG136" s="140">
        <f t="shared" si="218"/>
        <v>0</v>
      </c>
      <c r="AH136" s="140">
        <f t="shared" si="218"/>
        <v>0</v>
      </c>
      <c r="AI136" s="140">
        <f t="shared" si="218"/>
        <v>0</v>
      </c>
      <c r="AJ136" s="140">
        <f t="shared" si="218"/>
        <v>0</v>
      </c>
      <c r="AK136" s="140">
        <f t="shared" si="218"/>
        <v>0</v>
      </c>
      <c r="AL136" s="140">
        <f t="shared" si="218"/>
        <v>0</v>
      </c>
      <c r="AM136" s="140">
        <f t="shared" si="218"/>
        <v>0</v>
      </c>
      <c r="AN136" s="140">
        <f t="shared" si="218"/>
        <v>0</v>
      </c>
      <c r="AO136" s="140">
        <f t="shared" si="218"/>
        <v>0</v>
      </c>
      <c r="AP136" s="140">
        <f t="shared" si="218"/>
        <v>0</v>
      </c>
      <c r="AQ136" s="140">
        <f t="shared" si="218"/>
        <v>0</v>
      </c>
      <c r="AR136" s="140">
        <f t="shared" si="218"/>
        <v>0</v>
      </c>
      <c r="AS136" s="140">
        <f t="shared" si="218"/>
        <v>0</v>
      </c>
      <c r="AT136" s="140">
        <f t="shared" si="218"/>
        <v>0</v>
      </c>
      <c r="AU136" s="140">
        <f t="shared" si="218"/>
        <v>0</v>
      </c>
      <c r="AV136" s="140">
        <f t="shared" si="218"/>
        <v>0</v>
      </c>
      <c r="AW136" s="140">
        <f t="shared" si="218"/>
        <v>0</v>
      </c>
      <c r="AX136" s="140">
        <f t="shared" si="218"/>
        <v>0</v>
      </c>
      <c r="AY136" s="140">
        <f t="shared" si="218"/>
        <v>0</v>
      </c>
      <c r="AZ136" s="140">
        <f t="shared" si="218"/>
        <v>0</v>
      </c>
      <c r="BA136" s="140">
        <f t="shared" si="218"/>
        <v>0</v>
      </c>
      <c r="BB136" s="140">
        <f t="shared" si="218"/>
        <v>0</v>
      </c>
      <c r="BC136" s="140">
        <f t="shared" si="218"/>
        <v>0</v>
      </c>
      <c r="BD136" s="140">
        <f t="shared" si="218"/>
        <v>0</v>
      </c>
      <c r="BE136" s="140">
        <f t="shared" si="218"/>
        <v>0</v>
      </c>
      <c r="BF136" s="140">
        <f t="shared" si="218"/>
        <v>0</v>
      </c>
      <c r="BG136" s="140">
        <f t="shared" si="218"/>
        <v>0</v>
      </c>
      <c r="BH136" s="140">
        <f t="shared" si="218"/>
        <v>0</v>
      </c>
      <c r="BI136" s="140">
        <f t="shared" si="218"/>
        <v>0</v>
      </c>
      <c r="BJ136" s="140">
        <f t="shared" si="218"/>
        <v>0</v>
      </c>
      <c r="BK136" s="140">
        <f t="shared" si="218"/>
        <v>0</v>
      </c>
      <c r="BL136" s="140">
        <f t="shared" si="218"/>
        <v>0</v>
      </c>
      <c r="BM136" s="140">
        <f t="shared" si="218"/>
        <v>0</v>
      </c>
      <c r="BN136" s="140">
        <f t="shared" si="218"/>
        <v>0</v>
      </c>
      <c r="BO136" s="140">
        <f t="shared" ref="BO136:CB136" si="219">IF(BO134&lt;0,0,$B$5+$B$6*((1-EXP(-BO135/$B$9))/(BO135/$B$9))+$B$7*((1-EXP(-BO135/$B$9))/(BO135/$B$9)-EXP(-BO135/$B$9))+$B$8*((1-EXP(-BO135/$B$10))/(BO135/$B$10)-EXP(-BO135/$B$10)))</f>
        <v>0</v>
      </c>
      <c r="BP136" s="140">
        <f t="shared" si="219"/>
        <v>0</v>
      </c>
      <c r="BQ136" s="140">
        <f t="shared" si="219"/>
        <v>0</v>
      </c>
      <c r="BR136" s="140">
        <f t="shared" si="219"/>
        <v>0</v>
      </c>
      <c r="BS136" s="140">
        <f t="shared" si="219"/>
        <v>0</v>
      </c>
      <c r="BT136" s="140">
        <f t="shared" si="219"/>
        <v>0</v>
      </c>
      <c r="BU136" s="140">
        <f t="shared" si="219"/>
        <v>0</v>
      </c>
      <c r="BV136" s="140">
        <f t="shared" si="219"/>
        <v>0</v>
      </c>
      <c r="BW136" s="140">
        <f t="shared" si="219"/>
        <v>0</v>
      </c>
      <c r="BX136" s="140">
        <f t="shared" si="219"/>
        <v>0</v>
      </c>
      <c r="BY136" s="140">
        <f t="shared" si="219"/>
        <v>0</v>
      </c>
      <c r="BZ136" s="140">
        <f t="shared" si="219"/>
        <v>0</v>
      </c>
      <c r="CA136" s="140">
        <f t="shared" si="219"/>
        <v>0</v>
      </c>
      <c r="CB136" s="140">
        <f t="shared" si="219"/>
        <v>0</v>
      </c>
      <c r="CC136" s="17"/>
      <c r="CD136" s="17"/>
      <c r="CE136" s="17"/>
    </row>
    <row r="137" spans="1:83">
      <c r="A137" s="16" t="s">
        <v>44</v>
      </c>
      <c r="B137" s="140">
        <f>EXP(-B136*B135)</f>
        <v>1</v>
      </c>
      <c r="C137" s="140">
        <f t="shared" ref="C137:AR137" si="220">EXP(-C136*C135)</f>
        <v>1</v>
      </c>
      <c r="D137" s="140">
        <f t="shared" si="220"/>
        <v>1</v>
      </c>
      <c r="E137" s="140">
        <f t="shared" si="220"/>
        <v>1</v>
      </c>
      <c r="F137" s="140">
        <f t="shared" si="220"/>
        <v>1</v>
      </c>
      <c r="G137" s="140">
        <f t="shared" si="220"/>
        <v>1</v>
      </c>
      <c r="H137" s="140">
        <f t="shared" si="220"/>
        <v>1</v>
      </c>
      <c r="I137" s="140">
        <f t="shared" si="220"/>
        <v>1</v>
      </c>
      <c r="J137" s="140">
        <f t="shared" si="220"/>
        <v>1</v>
      </c>
      <c r="K137" s="140">
        <f t="shared" si="220"/>
        <v>1</v>
      </c>
      <c r="L137" s="140">
        <f t="shared" si="220"/>
        <v>1</v>
      </c>
      <c r="M137" s="140">
        <f t="shared" si="220"/>
        <v>1</v>
      </c>
      <c r="N137" s="140">
        <f t="shared" si="220"/>
        <v>1</v>
      </c>
      <c r="O137" s="140">
        <f t="shared" si="220"/>
        <v>1</v>
      </c>
      <c r="P137" s="140">
        <f t="shared" si="220"/>
        <v>1</v>
      </c>
      <c r="Q137" s="140">
        <f t="shared" si="220"/>
        <v>1</v>
      </c>
      <c r="R137" s="140">
        <f t="shared" si="220"/>
        <v>1</v>
      </c>
      <c r="S137" s="140">
        <f t="shared" si="220"/>
        <v>1</v>
      </c>
      <c r="T137" s="140">
        <f t="shared" si="220"/>
        <v>1</v>
      </c>
      <c r="U137" s="140">
        <f t="shared" si="220"/>
        <v>1</v>
      </c>
      <c r="V137" s="140">
        <f t="shared" si="220"/>
        <v>1</v>
      </c>
      <c r="W137" s="140">
        <f t="shared" si="220"/>
        <v>1</v>
      </c>
      <c r="X137" s="140">
        <f t="shared" si="220"/>
        <v>1</v>
      </c>
      <c r="Y137" s="140">
        <f t="shared" si="220"/>
        <v>1</v>
      </c>
      <c r="Z137" s="140">
        <f t="shared" si="220"/>
        <v>1</v>
      </c>
      <c r="AA137" s="140">
        <f t="shared" si="220"/>
        <v>1</v>
      </c>
      <c r="AB137" s="140">
        <f t="shared" si="220"/>
        <v>1</v>
      </c>
      <c r="AC137" s="140">
        <f t="shared" si="220"/>
        <v>1</v>
      </c>
      <c r="AD137" s="140">
        <f t="shared" si="220"/>
        <v>1</v>
      </c>
      <c r="AE137" s="140">
        <f t="shared" si="220"/>
        <v>1</v>
      </c>
      <c r="AF137" s="140">
        <f t="shared" si="220"/>
        <v>1</v>
      </c>
      <c r="AG137" s="140">
        <f t="shared" si="220"/>
        <v>1</v>
      </c>
      <c r="AH137" s="140">
        <f t="shared" si="220"/>
        <v>1</v>
      </c>
      <c r="AI137" s="140">
        <f t="shared" si="220"/>
        <v>1</v>
      </c>
      <c r="AJ137" s="140">
        <f t="shared" si="220"/>
        <v>1</v>
      </c>
      <c r="AK137" s="140">
        <f t="shared" si="220"/>
        <v>1</v>
      </c>
      <c r="AL137" s="140">
        <f t="shared" si="220"/>
        <v>1</v>
      </c>
      <c r="AM137" s="140">
        <f t="shared" si="220"/>
        <v>1</v>
      </c>
      <c r="AN137" s="140">
        <f t="shared" si="220"/>
        <v>1</v>
      </c>
      <c r="AO137" s="140">
        <f t="shared" si="220"/>
        <v>1</v>
      </c>
      <c r="AP137" s="140">
        <f t="shared" si="220"/>
        <v>1</v>
      </c>
      <c r="AQ137" s="140">
        <f t="shared" si="220"/>
        <v>1</v>
      </c>
      <c r="AR137" s="140">
        <f t="shared" si="220"/>
        <v>1</v>
      </c>
      <c r="AS137" s="140">
        <f>EXP(-AS136*AS135)</f>
        <v>1</v>
      </c>
      <c r="AT137" s="140">
        <f t="shared" ref="AT137:CA137" si="221">EXP(-AT136*AT135)</f>
        <v>1</v>
      </c>
      <c r="AU137" s="140">
        <f t="shared" si="221"/>
        <v>1</v>
      </c>
      <c r="AV137" s="140">
        <f t="shared" si="221"/>
        <v>1</v>
      </c>
      <c r="AW137" s="140">
        <f t="shared" si="221"/>
        <v>1</v>
      </c>
      <c r="AX137" s="140">
        <f t="shared" si="221"/>
        <v>1</v>
      </c>
      <c r="AY137" s="140">
        <f t="shared" si="221"/>
        <v>1</v>
      </c>
      <c r="AZ137" s="140">
        <f t="shared" si="221"/>
        <v>1</v>
      </c>
      <c r="BA137" s="140">
        <f t="shared" si="221"/>
        <v>1</v>
      </c>
      <c r="BB137" s="140">
        <f t="shared" si="221"/>
        <v>1</v>
      </c>
      <c r="BC137" s="140">
        <f t="shared" si="221"/>
        <v>1</v>
      </c>
      <c r="BD137" s="140">
        <f t="shared" si="221"/>
        <v>1</v>
      </c>
      <c r="BE137" s="140">
        <f t="shared" si="221"/>
        <v>1</v>
      </c>
      <c r="BF137" s="140">
        <f t="shared" si="221"/>
        <v>1</v>
      </c>
      <c r="BG137" s="140">
        <f t="shared" si="221"/>
        <v>1</v>
      </c>
      <c r="BH137" s="140">
        <f t="shared" si="221"/>
        <v>1</v>
      </c>
      <c r="BI137" s="140">
        <f t="shared" si="221"/>
        <v>1</v>
      </c>
      <c r="BJ137" s="140">
        <f t="shared" si="221"/>
        <v>1</v>
      </c>
      <c r="BK137" s="140">
        <f t="shared" si="221"/>
        <v>1</v>
      </c>
      <c r="BL137" s="140">
        <f t="shared" si="221"/>
        <v>1</v>
      </c>
      <c r="BM137" s="140">
        <f t="shared" si="221"/>
        <v>1</v>
      </c>
      <c r="BN137" s="140">
        <f t="shared" si="221"/>
        <v>1</v>
      </c>
      <c r="BO137" s="140">
        <f t="shared" si="221"/>
        <v>1</v>
      </c>
      <c r="BP137" s="140">
        <f t="shared" si="221"/>
        <v>1</v>
      </c>
      <c r="BQ137" s="140">
        <f t="shared" si="221"/>
        <v>1</v>
      </c>
      <c r="BR137" s="140">
        <f t="shared" si="221"/>
        <v>1</v>
      </c>
      <c r="BS137" s="140">
        <f t="shared" si="221"/>
        <v>1</v>
      </c>
      <c r="BT137" s="140">
        <f t="shared" si="221"/>
        <v>1</v>
      </c>
      <c r="BU137" s="140">
        <f t="shared" si="221"/>
        <v>1</v>
      </c>
      <c r="BV137" s="140">
        <f t="shared" si="221"/>
        <v>1</v>
      </c>
      <c r="BW137" s="140">
        <f t="shared" si="221"/>
        <v>1</v>
      </c>
      <c r="BX137" s="140">
        <f t="shared" si="221"/>
        <v>1</v>
      </c>
      <c r="BY137" s="140">
        <f t="shared" si="221"/>
        <v>1</v>
      </c>
      <c r="BZ137" s="140">
        <f t="shared" si="221"/>
        <v>1</v>
      </c>
      <c r="CA137" s="140">
        <f t="shared" si="221"/>
        <v>1</v>
      </c>
      <c r="CB137" s="140">
        <f>EXP(-CB136*CB135)</f>
        <v>1</v>
      </c>
      <c r="CC137" s="17"/>
      <c r="CD137" s="17"/>
      <c r="CE137" s="17"/>
    </row>
    <row r="138" spans="1:83">
      <c r="A138" s="17"/>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17"/>
      <c r="CD138" s="17"/>
      <c r="CE138" s="17"/>
    </row>
    <row r="139" spans="1:83">
      <c r="A139" s="16" t="s">
        <v>40</v>
      </c>
      <c r="B139" s="140">
        <f t="shared" ref="B139:BM139" si="222">DAYS360($B$3,B52)</f>
        <v>-43022</v>
      </c>
      <c r="C139" s="140">
        <f t="shared" si="222"/>
        <v>-42842</v>
      </c>
      <c r="D139" s="140">
        <f t="shared" si="222"/>
        <v>-42662</v>
      </c>
      <c r="E139" s="140">
        <f t="shared" si="222"/>
        <v>-42482</v>
      </c>
      <c r="F139" s="140">
        <f t="shared" si="222"/>
        <v>-42302</v>
      </c>
      <c r="G139" s="140">
        <f t="shared" si="222"/>
        <v>-42122</v>
      </c>
      <c r="H139" s="140">
        <f t="shared" si="222"/>
        <v>-41942</v>
      </c>
      <c r="I139" s="140">
        <f t="shared" si="222"/>
        <v>-41762</v>
      </c>
      <c r="J139" s="140">
        <f t="shared" si="222"/>
        <v>-41582</v>
      </c>
      <c r="K139" s="140">
        <f t="shared" si="222"/>
        <v>-41403</v>
      </c>
      <c r="L139" s="140">
        <f t="shared" si="222"/>
        <v>-41223</v>
      </c>
      <c r="M139" s="140">
        <f t="shared" si="222"/>
        <v>-41043</v>
      </c>
      <c r="N139" s="140">
        <f t="shared" si="222"/>
        <v>-40863</v>
      </c>
      <c r="O139" s="140">
        <f t="shared" si="222"/>
        <v>-40683</v>
      </c>
      <c r="P139" s="140">
        <f t="shared" si="222"/>
        <v>-40503</v>
      </c>
      <c r="Q139" s="140">
        <f t="shared" si="222"/>
        <v>-40323</v>
      </c>
      <c r="R139" s="140">
        <f t="shared" si="222"/>
        <v>-40143</v>
      </c>
      <c r="S139" s="140">
        <f t="shared" si="222"/>
        <v>-39964</v>
      </c>
      <c r="T139" s="140">
        <f t="shared" si="222"/>
        <v>-39784</v>
      </c>
      <c r="U139" s="140">
        <f t="shared" si="222"/>
        <v>-39604</v>
      </c>
      <c r="V139" s="140">
        <f t="shared" si="222"/>
        <v>-39424</v>
      </c>
      <c r="W139" s="140">
        <f t="shared" si="222"/>
        <v>-39244</v>
      </c>
      <c r="X139" s="140">
        <f t="shared" si="222"/>
        <v>-39064</v>
      </c>
      <c r="Y139" s="140">
        <f t="shared" si="222"/>
        <v>-38884</v>
      </c>
      <c r="Z139" s="140">
        <f t="shared" si="222"/>
        <v>-38704</v>
      </c>
      <c r="AA139" s="140">
        <f t="shared" si="222"/>
        <v>-38525</v>
      </c>
      <c r="AB139" s="140">
        <f t="shared" si="222"/>
        <v>-38345</v>
      </c>
      <c r="AC139" s="140">
        <f t="shared" si="222"/>
        <v>-38165</v>
      </c>
      <c r="AD139" s="140">
        <f t="shared" si="222"/>
        <v>-37985</v>
      </c>
      <c r="AE139" s="140">
        <f t="shared" si="222"/>
        <v>-37805</v>
      </c>
      <c r="AF139" s="140">
        <f t="shared" si="222"/>
        <v>-37625</v>
      </c>
      <c r="AG139" s="140">
        <f t="shared" si="222"/>
        <v>-37445</v>
      </c>
      <c r="AH139" s="140">
        <f t="shared" si="222"/>
        <v>-37265</v>
      </c>
      <c r="AI139" s="140">
        <f t="shared" si="222"/>
        <v>-37086</v>
      </c>
      <c r="AJ139" s="140">
        <f t="shared" si="222"/>
        <v>-36906</v>
      </c>
      <c r="AK139" s="140">
        <f t="shared" si="222"/>
        <v>-36726</v>
      </c>
      <c r="AL139" s="140">
        <f t="shared" si="222"/>
        <v>-36546</v>
      </c>
      <c r="AM139" s="140">
        <f t="shared" si="222"/>
        <v>-36366</v>
      </c>
      <c r="AN139" s="140">
        <f t="shared" si="222"/>
        <v>-36186</v>
      </c>
      <c r="AO139" s="140">
        <f t="shared" si="222"/>
        <v>-36006</v>
      </c>
      <c r="AP139" s="140">
        <f t="shared" si="222"/>
        <v>-35826</v>
      </c>
      <c r="AQ139" s="140">
        <f t="shared" si="222"/>
        <v>-35647</v>
      </c>
      <c r="AR139" s="140">
        <f t="shared" si="222"/>
        <v>-35467</v>
      </c>
      <c r="AS139" s="140">
        <f t="shared" si="222"/>
        <v>-35287</v>
      </c>
      <c r="AT139" s="140">
        <f t="shared" si="222"/>
        <v>-35107</v>
      </c>
      <c r="AU139" s="140">
        <f t="shared" si="222"/>
        <v>-34927</v>
      </c>
      <c r="AV139" s="140">
        <f t="shared" si="222"/>
        <v>-34747</v>
      </c>
      <c r="AW139" s="140">
        <f t="shared" si="222"/>
        <v>-34567</v>
      </c>
      <c r="AX139" s="140">
        <f t="shared" si="222"/>
        <v>-34387</v>
      </c>
      <c r="AY139" s="140">
        <f t="shared" si="222"/>
        <v>-34208</v>
      </c>
      <c r="AZ139" s="140">
        <f t="shared" si="222"/>
        <v>-34028</v>
      </c>
      <c r="BA139" s="140">
        <f t="shared" si="222"/>
        <v>-33848</v>
      </c>
      <c r="BB139" s="140">
        <f t="shared" si="222"/>
        <v>-33668</v>
      </c>
      <c r="BC139" s="140">
        <f t="shared" si="222"/>
        <v>-33488</v>
      </c>
      <c r="BD139" s="140">
        <f t="shared" si="222"/>
        <v>-33308</v>
      </c>
      <c r="BE139" s="140">
        <f t="shared" si="222"/>
        <v>-33128</v>
      </c>
      <c r="BF139" s="140">
        <f t="shared" si="222"/>
        <v>-32948</v>
      </c>
      <c r="BG139" s="140">
        <f t="shared" si="222"/>
        <v>-32769</v>
      </c>
      <c r="BH139" s="140">
        <f t="shared" si="222"/>
        <v>-32589</v>
      </c>
      <c r="BI139" s="140">
        <f t="shared" si="222"/>
        <v>-32409</v>
      </c>
      <c r="BJ139" s="140">
        <f t="shared" si="222"/>
        <v>-32229</v>
      </c>
      <c r="BK139" s="140">
        <f t="shared" si="222"/>
        <v>-32049</v>
      </c>
      <c r="BL139" s="140">
        <f t="shared" si="222"/>
        <v>-31869</v>
      </c>
      <c r="BM139" s="140">
        <f t="shared" si="222"/>
        <v>-31689</v>
      </c>
      <c r="BN139" s="140">
        <f t="shared" ref="BN139:CB139" si="223">DAYS360($B$3,BN52)</f>
        <v>-31509</v>
      </c>
      <c r="BO139" s="140">
        <f t="shared" si="223"/>
        <v>-31330</v>
      </c>
      <c r="BP139" s="140">
        <f t="shared" si="223"/>
        <v>-31150</v>
      </c>
      <c r="BQ139" s="140">
        <f t="shared" si="223"/>
        <v>-30970</v>
      </c>
      <c r="BR139" s="140">
        <f t="shared" si="223"/>
        <v>-30790</v>
      </c>
      <c r="BS139" s="140">
        <f t="shared" si="223"/>
        <v>-30610</v>
      </c>
      <c r="BT139" s="140">
        <f t="shared" si="223"/>
        <v>-30430</v>
      </c>
      <c r="BU139" s="140">
        <f t="shared" si="223"/>
        <v>-30250</v>
      </c>
      <c r="BV139" s="140">
        <f t="shared" si="223"/>
        <v>-30070</v>
      </c>
      <c r="BW139" s="140">
        <f t="shared" si="223"/>
        <v>-29891</v>
      </c>
      <c r="BX139" s="140">
        <f t="shared" si="223"/>
        <v>-29711</v>
      </c>
      <c r="BY139" s="140">
        <f t="shared" si="223"/>
        <v>-29531</v>
      </c>
      <c r="BZ139" s="140">
        <f t="shared" si="223"/>
        <v>-29351</v>
      </c>
      <c r="CA139" s="140">
        <f t="shared" si="223"/>
        <v>-29171</v>
      </c>
      <c r="CB139" s="140">
        <f t="shared" si="223"/>
        <v>-28991</v>
      </c>
      <c r="CC139" s="17"/>
      <c r="CD139" s="17"/>
      <c r="CE139" s="17"/>
    </row>
    <row r="140" spans="1:83">
      <c r="A140" s="16" t="s">
        <v>41</v>
      </c>
      <c r="B140" s="140">
        <f>B139/360</f>
        <v>-119.50555555555556</v>
      </c>
      <c r="C140" s="140">
        <f t="shared" ref="C140:BN140" si="224">C139/360</f>
        <v>-119.00555555555556</v>
      </c>
      <c r="D140" s="140">
        <f t="shared" si="224"/>
        <v>-118.50555555555556</v>
      </c>
      <c r="E140" s="140">
        <f t="shared" si="224"/>
        <v>-118.00555555555556</v>
      </c>
      <c r="F140" s="140">
        <f t="shared" si="224"/>
        <v>-117.50555555555556</v>
      </c>
      <c r="G140" s="140">
        <f t="shared" si="224"/>
        <v>-117.00555555555556</v>
      </c>
      <c r="H140" s="140">
        <f t="shared" si="224"/>
        <v>-116.50555555555556</v>
      </c>
      <c r="I140" s="140">
        <f t="shared" si="224"/>
        <v>-116.00555555555556</v>
      </c>
      <c r="J140" s="140">
        <f t="shared" si="224"/>
        <v>-115.50555555555556</v>
      </c>
      <c r="K140" s="140">
        <f t="shared" si="224"/>
        <v>-115.00833333333334</v>
      </c>
      <c r="L140" s="140">
        <f t="shared" si="224"/>
        <v>-114.50833333333334</v>
      </c>
      <c r="M140" s="140">
        <f t="shared" si="224"/>
        <v>-114.00833333333334</v>
      </c>
      <c r="N140" s="140">
        <f t="shared" si="224"/>
        <v>-113.50833333333334</v>
      </c>
      <c r="O140" s="140">
        <f t="shared" si="224"/>
        <v>-113.00833333333334</v>
      </c>
      <c r="P140" s="140">
        <f t="shared" si="224"/>
        <v>-112.50833333333334</v>
      </c>
      <c r="Q140" s="140">
        <f t="shared" si="224"/>
        <v>-112.00833333333334</v>
      </c>
      <c r="R140" s="140">
        <f t="shared" si="224"/>
        <v>-111.50833333333334</v>
      </c>
      <c r="S140" s="140">
        <f t="shared" si="224"/>
        <v>-111.01111111111111</v>
      </c>
      <c r="T140" s="140">
        <f t="shared" si="224"/>
        <v>-110.51111111111111</v>
      </c>
      <c r="U140" s="140">
        <f t="shared" si="224"/>
        <v>-110.01111111111111</v>
      </c>
      <c r="V140" s="140">
        <f t="shared" si="224"/>
        <v>-109.51111111111111</v>
      </c>
      <c r="W140" s="140">
        <f t="shared" si="224"/>
        <v>-109.01111111111111</v>
      </c>
      <c r="X140" s="140">
        <f t="shared" si="224"/>
        <v>-108.51111111111111</v>
      </c>
      <c r="Y140" s="140">
        <f t="shared" si="224"/>
        <v>-108.01111111111111</v>
      </c>
      <c r="Z140" s="140">
        <f t="shared" si="224"/>
        <v>-107.51111111111111</v>
      </c>
      <c r="AA140" s="140">
        <f t="shared" si="224"/>
        <v>-107.01388888888889</v>
      </c>
      <c r="AB140" s="140">
        <f t="shared" si="224"/>
        <v>-106.51388888888889</v>
      </c>
      <c r="AC140" s="140">
        <f t="shared" si="224"/>
        <v>-106.01388888888889</v>
      </c>
      <c r="AD140" s="140">
        <f t="shared" si="224"/>
        <v>-105.51388888888889</v>
      </c>
      <c r="AE140" s="140">
        <f t="shared" si="224"/>
        <v>-105.01388888888889</v>
      </c>
      <c r="AF140" s="140">
        <f t="shared" si="224"/>
        <v>-104.51388888888889</v>
      </c>
      <c r="AG140" s="140">
        <f t="shared" si="224"/>
        <v>-104.01388888888889</v>
      </c>
      <c r="AH140" s="140">
        <f t="shared" si="224"/>
        <v>-103.51388888888889</v>
      </c>
      <c r="AI140" s="140">
        <f t="shared" si="224"/>
        <v>-103.01666666666667</v>
      </c>
      <c r="AJ140" s="140">
        <f t="shared" si="224"/>
        <v>-102.51666666666667</v>
      </c>
      <c r="AK140" s="140">
        <f t="shared" si="224"/>
        <v>-102.01666666666667</v>
      </c>
      <c r="AL140" s="140">
        <f t="shared" si="224"/>
        <v>-101.51666666666667</v>
      </c>
      <c r="AM140" s="140">
        <f t="shared" si="224"/>
        <v>-101.01666666666667</v>
      </c>
      <c r="AN140" s="140">
        <f t="shared" si="224"/>
        <v>-100.51666666666667</v>
      </c>
      <c r="AO140" s="140">
        <f t="shared" si="224"/>
        <v>-100.01666666666667</v>
      </c>
      <c r="AP140" s="140">
        <f t="shared" si="224"/>
        <v>-99.516666666666666</v>
      </c>
      <c r="AQ140" s="140">
        <f t="shared" si="224"/>
        <v>-99.019444444444446</v>
      </c>
      <c r="AR140" s="140">
        <f t="shared" si="224"/>
        <v>-98.519444444444446</v>
      </c>
      <c r="AS140" s="140">
        <f t="shared" si="224"/>
        <v>-98.019444444444446</v>
      </c>
      <c r="AT140" s="140">
        <f t="shared" si="224"/>
        <v>-97.519444444444446</v>
      </c>
      <c r="AU140" s="140">
        <f t="shared" si="224"/>
        <v>-97.019444444444446</v>
      </c>
      <c r="AV140" s="140">
        <f t="shared" si="224"/>
        <v>-96.519444444444446</v>
      </c>
      <c r="AW140" s="140">
        <f t="shared" si="224"/>
        <v>-96.019444444444446</v>
      </c>
      <c r="AX140" s="140">
        <f t="shared" si="224"/>
        <v>-95.519444444444446</v>
      </c>
      <c r="AY140" s="140">
        <f t="shared" si="224"/>
        <v>-95.022222222222226</v>
      </c>
      <c r="AZ140" s="140">
        <f t="shared" si="224"/>
        <v>-94.522222222222226</v>
      </c>
      <c r="BA140" s="140">
        <f t="shared" si="224"/>
        <v>-94.022222222222226</v>
      </c>
      <c r="BB140" s="140">
        <f t="shared" si="224"/>
        <v>-93.522222222222226</v>
      </c>
      <c r="BC140" s="140">
        <f t="shared" si="224"/>
        <v>-93.022222222222226</v>
      </c>
      <c r="BD140" s="140">
        <f t="shared" si="224"/>
        <v>-92.522222222222226</v>
      </c>
      <c r="BE140" s="140">
        <f t="shared" si="224"/>
        <v>-92.022222222222226</v>
      </c>
      <c r="BF140" s="140">
        <f t="shared" si="224"/>
        <v>-91.522222222222226</v>
      </c>
      <c r="BG140" s="140">
        <f t="shared" si="224"/>
        <v>-91.025000000000006</v>
      </c>
      <c r="BH140" s="140">
        <f t="shared" si="224"/>
        <v>-90.525000000000006</v>
      </c>
      <c r="BI140" s="140">
        <f t="shared" si="224"/>
        <v>-90.025000000000006</v>
      </c>
      <c r="BJ140" s="140">
        <f t="shared" si="224"/>
        <v>-89.525000000000006</v>
      </c>
      <c r="BK140" s="140">
        <f t="shared" si="224"/>
        <v>-89.025000000000006</v>
      </c>
      <c r="BL140" s="140">
        <f t="shared" si="224"/>
        <v>-88.525000000000006</v>
      </c>
      <c r="BM140" s="140">
        <f t="shared" si="224"/>
        <v>-88.025000000000006</v>
      </c>
      <c r="BN140" s="140">
        <f t="shared" si="224"/>
        <v>-87.525000000000006</v>
      </c>
      <c r="BO140" s="140">
        <f t="shared" ref="BO140:CB140" si="225">BO139/360</f>
        <v>-87.027777777777771</v>
      </c>
      <c r="BP140" s="140">
        <f t="shared" si="225"/>
        <v>-86.527777777777771</v>
      </c>
      <c r="BQ140" s="140">
        <f t="shared" si="225"/>
        <v>-86.027777777777771</v>
      </c>
      <c r="BR140" s="140">
        <f t="shared" si="225"/>
        <v>-85.527777777777771</v>
      </c>
      <c r="BS140" s="140">
        <f t="shared" si="225"/>
        <v>-85.027777777777771</v>
      </c>
      <c r="BT140" s="140">
        <f t="shared" si="225"/>
        <v>-84.527777777777771</v>
      </c>
      <c r="BU140" s="140">
        <f t="shared" si="225"/>
        <v>-84.027777777777771</v>
      </c>
      <c r="BV140" s="140">
        <f t="shared" si="225"/>
        <v>-83.527777777777771</v>
      </c>
      <c r="BW140" s="140">
        <f t="shared" si="225"/>
        <v>-83.030555555555551</v>
      </c>
      <c r="BX140" s="140">
        <f t="shared" si="225"/>
        <v>-82.530555555555551</v>
      </c>
      <c r="BY140" s="140">
        <f t="shared" si="225"/>
        <v>-82.030555555555551</v>
      </c>
      <c r="BZ140" s="140">
        <f t="shared" si="225"/>
        <v>-81.530555555555551</v>
      </c>
      <c r="CA140" s="140">
        <f t="shared" si="225"/>
        <v>-81.030555555555551</v>
      </c>
      <c r="CB140" s="140">
        <f t="shared" si="225"/>
        <v>-80.530555555555551</v>
      </c>
      <c r="CC140" s="17"/>
      <c r="CD140" s="17"/>
      <c r="CE140" s="17"/>
    </row>
    <row r="141" spans="1:83">
      <c r="A141" s="16" t="s">
        <v>43</v>
      </c>
      <c r="B141" s="140">
        <f>IF(B139&lt;0,0,$B$5+$B$6*((1-EXP(-B140/$B$9))/(B140/$B$9))+$B$7*((1-EXP(-B140/$B$9))/(B140/$B$9)-EXP(-B140/$B$9))+$B$8*((1-EXP(-B140/$B$10))/(B140/$B$10)-EXP(-B140/$B$10)))</f>
        <v>0</v>
      </c>
      <c r="C141" s="140">
        <f t="shared" ref="C141:BN141" si="226">IF(C139&lt;0,0,$B$5+$B$6*((1-EXP(-C140/$B$9))/(C140/$B$9))+$B$7*((1-EXP(-C140/$B$9))/(C140/$B$9)-EXP(-C140/$B$9))+$B$8*((1-EXP(-C140/$B$10))/(C140/$B$10)-EXP(-C140/$B$10)))</f>
        <v>0</v>
      </c>
      <c r="D141" s="140">
        <f t="shared" si="226"/>
        <v>0</v>
      </c>
      <c r="E141" s="140">
        <f t="shared" si="226"/>
        <v>0</v>
      </c>
      <c r="F141" s="140">
        <f t="shared" si="226"/>
        <v>0</v>
      </c>
      <c r="G141" s="140">
        <f t="shared" si="226"/>
        <v>0</v>
      </c>
      <c r="H141" s="140">
        <f t="shared" si="226"/>
        <v>0</v>
      </c>
      <c r="I141" s="140">
        <f t="shared" si="226"/>
        <v>0</v>
      </c>
      <c r="J141" s="140">
        <f t="shared" si="226"/>
        <v>0</v>
      </c>
      <c r="K141" s="140">
        <f t="shared" si="226"/>
        <v>0</v>
      </c>
      <c r="L141" s="140">
        <f t="shared" si="226"/>
        <v>0</v>
      </c>
      <c r="M141" s="140">
        <f t="shared" si="226"/>
        <v>0</v>
      </c>
      <c r="N141" s="140">
        <f t="shared" si="226"/>
        <v>0</v>
      </c>
      <c r="O141" s="140">
        <f t="shared" si="226"/>
        <v>0</v>
      </c>
      <c r="P141" s="140">
        <f t="shared" si="226"/>
        <v>0</v>
      </c>
      <c r="Q141" s="140">
        <f t="shared" si="226"/>
        <v>0</v>
      </c>
      <c r="R141" s="140">
        <f t="shared" si="226"/>
        <v>0</v>
      </c>
      <c r="S141" s="140">
        <f t="shared" si="226"/>
        <v>0</v>
      </c>
      <c r="T141" s="140">
        <f t="shared" si="226"/>
        <v>0</v>
      </c>
      <c r="U141" s="140">
        <f t="shared" si="226"/>
        <v>0</v>
      </c>
      <c r="V141" s="140">
        <f t="shared" si="226"/>
        <v>0</v>
      </c>
      <c r="W141" s="140">
        <f t="shared" si="226"/>
        <v>0</v>
      </c>
      <c r="X141" s="140">
        <f t="shared" si="226"/>
        <v>0</v>
      </c>
      <c r="Y141" s="140">
        <f t="shared" si="226"/>
        <v>0</v>
      </c>
      <c r="Z141" s="140">
        <f t="shared" si="226"/>
        <v>0</v>
      </c>
      <c r="AA141" s="140">
        <f t="shared" si="226"/>
        <v>0</v>
      </c>
      <c r="AB141" s="140">
        <f t="shared" si="226"/>
        <v>0</v>
      </c>
      <c r="AC141" s="140">
        <f t="shared" si="226"/>
        <v>0</v>
      </c>
      <c r="AD141" s="140">
        <f t="shared" si="226"/>
        <v>0</v>
      </c>
      <c r="AE141" s="140">
        <f t="shared" si="226"/>
        <v>0</v>
      </c>
      <c r="AF141" s="140">
        <f t="shared" si="226"/>
        <v>0</v>
      </c>
      <c r="AG141" s="140">
        <f t="shared" si="226"/>
        <v>0</v>
      </c>
      <c r="AH141" s="140">
        <f t="shared" si="226"/>
        <v>0</v>
      </c>
      <c r="AI141" s="140">
        <f t="shared" si="226"/>
        <v>0</v>
      </c>
      <c r="AJ141" s="140">
        <f t="shared" si="226"/>
        <v>0</v>
      </c>
      <c r="AK141" s="140">
        <f t="shared" si="226"/>
        <v>0</v>
      </c>
      <c r="AL141" s="140">
        <f t="shared" si="226"/>
        <v>0</v>
      </c>
      <c r="AM141" s="140">
        <f t="shared" si="226"/>
        <v>0</v>
      </c>
      <c r="AN141" s="140">
        <f t="shared" si="226"/>
        <v>0</v>
      </c>
      <c r="AO141" s="140">
        <f t="shared" si="226"/>
        <v>0</v>
      </c>
      <c r="AP141" s="140">
        <f t="shared" si="226"/>
        <v>0</v>
      </c>
      <c r="AQ141" s="140">
        <f t="shared" si="226"/>
        <v>0</v>
      </c>
      <c r="AR141" s="140">
        <f t="shared" si="226"/>
        <v>0</v>
      </c>
      <c r="AS141" s="140">
        <f t="shared" si="226"/>
        <v>0</v>
      </c>
      <c r="AT141" s="140">
        <f t="shared" si="226"/>
        <v>0</v>
      </c>
      <c r="AU141" s="140">
        <f t="shared" si="226"/>
        <v>0</v>
      </c>
      <c r="AV141" s="140">
        <f t="shared" si="226"/>
        <v>0</v>
      </c>
      <c r="AW141" s="140">
        <f t="shared" si="226"/>
        <v>0</v>
      </c>
      <c r="AX141" s="140">
        <f t="shared" si="226"/>
        <v>0</v>
      </c>
      <c r="AY141" s="140">
        <f t="shared" si="226"/>
        <v>0</v>
      </c>
      <c r="AZ141" s="140">
        <f t="shared" si="226"/>
        <v>0</v>
      </c>
      <c r="BA141" s="140">
        <f t="shared" si="226"/>
        <v>0</v>
      </c>
      <c r="BB141" s="140">
        <f t="shared" si="226"/>
        <v>0</v>
      </c>
      <c r="BC141" s="140">
        <f t="shared" si="226"/>
        <v>0</v>
      </c>
      <c r="BD141" s="140">
        <f t="shared" si="226"/>
        <v>0</v>
      </c>
      <c r="BE141" s="140">
        <f t="shared" si="226"/>
        <v>0</v>
      </c>
      <c r="BF141" s="140">
        <f t="shared" si="226"/>
        <v>0</v>
      </c>
      <c r="BG141" s="140">
        <f t="shared" si="226"/>
        <v>0</v>
      </c>
      <c r="BH141" s="140">
        <f t="shared" si="226"/>
        <v>0</v>
      </c>
      <c r="BI141" s="140">
        <f t="shared" si="226"/>
        <v>0</v>
      </c>
      <c r="BJ141" s="140">
        <f t="shared" si="226"/>
        <v>0</v>
      </c>
      <c r="BK141" s="140">
        <f t="shared" si="226"/>
        <v>0</v>
      </c>
      <c r="BL141" s="140">
        <f t="shared" si="226"/>
        <v>0</v>
      </c>
      <c r="BM141" s="140">
        <f t="shared" si="226"/>
        <v>0</v>
      </c>
      <c r="BN141" s="140">
        <f t="shared" si="226"/>
        <v>0</v>
      </c>
      <c r="BO141" s="140">
        <f t="shared" ref="BO141:CB141" si="227">IF(BO139&lt;0,0,$B$5+$B$6*((1-EXP(-BO140/$B$9))/(BO140/$B$9))+$B$7*((1-EXP(-BO140/$B$9))/(BO140/$B$9)-EXP(-BO140/$B$9))+$B$8*((1-EXP(-BO140/$B$10))/(BO140/$B$10)-EXP(-BO140/$B$10)))</f>
        <v>0</v>
      </c>
      <c r="BP141" s="140">
        <f t="shared" si="227"/>
        <v>0</v>
      </c>
      <c r="BQ141" s="140">
        <f t="shared" si="227"/>
        <v>0</v>
      </c>
      <c r="BR141" s="140">
        <f t="shared" si="227"/>
        <v>0</v>
      </c>
      <c r="BS141" s="140">
        <f t="shared" si="227"/>
        <v>0</v>
      </c>
      <c r="BT141" s="140">
        <f t="shared" si="227"/>
        <v>0</v>
      </c>
      <c r="BU141" s="140">
        <f t="shared" si="227"/>
        <v>0</v>
      </c>
      <c r="BV141" s="140">
        <f t="shared" si="227"/>
        <v>0</v>
      </c>
      <c r="BW141" s="140">
        <f t="shared" si="227"/>
        <v>0</v>
      </c>
      <c r="BX141" s="140">
        <f t="shared" si="227"/>
        <v>0</v>
      </c>
      <c r="BY141" s="140">
        <f t="shared" si="227"/>
        <v>0</v>
      </c>
      <c r="BZ141" s="140">
        <f t="shared" si="227"/>
        <v>0</v>
      </c>
      <c r="CA141" s="140">
        <f t="shared" si="227"/>
        <v>0</v>
      </c>
      <c r="CB141" s="140">
        <f t="shared" si="227"/>
        <v>0</v>
      </c>
      <c r="CC141" s="17"/>
      <c r="CD141" s="17"/>
      <c r="CE141" s="17"/>
    </row>
    <row r="142" spans="1:83">
      <c r="A142" s="16" t="s">
        <v>44</v>
      </c>
      <c r="B142" s="140">
        <f>EXP(-B141*B140)</f>
        <v>1</v>
      </c>
      <c r="C142" s="140">
        <f t="shared" ref="C142:AR142" si="228">EXP(-C141*C140)</f>
        <v>1</v>
      </c>
      <c r="D142" s="140">
        <f t="shared" si="228"/>
        <v>1</v>
      </c>
      <c r="E142" s="140">
        <f t="shared" si="228"/>
        <v>1</v>
      </c>
      <c r="F142" s="140">
        <f t="shared" si="228"/>
        <v>1</v>
      </c>
      <c r="G142" s="140">
        <f t="shared" si="228"/>
        <v>1</v>
      </c>
      <c r="H142" s="140">
        <f t="shared" si="228"/>
        <v>1</v>
      </c>
      <c r="I142" s="140">
        <f t="shared" si="228"/>
        <v>1</v>
      </c>
      <c r="J142" s="140">
        <f t="shared" si="228"/>
        <v>1</v>
      </c>
      <c r="K142" s="140">
        <f t="shared" si="228"/>
        <v>1</v>
      </c>
      <c r="L142" s="140">
        <f t="shared" si="228"/>
        <v>1</v>
      </c>
      <c r="M142" s="140">
        <f t="shared" si="228"/>
        <v>1</v>
      </c>
      <c r="N142" s="140">
        <f t="shared" si="228"/>
        <v>1</v>
      </c>
      <c r="O142" s="140">
        <f t="shared" si="228"/>
        <v>1</v>
      </c>
      <c r="P142" s="140">
        <f t="shared" si="228"/>
        <v>1</v>
      </c>
      <c r="Q142" s="140">
        <f t="shared" si="228"/>
        <v>1</v>
      </c>
      <c r="R142" s="140">
        <f t="shared" si="228"/>
        <v>1</v>
      </c>
      <c r="S142" s="140">
        <f t="shared" si="228"/>
        <v>1</v>
      </c>
      <c r="T142" s="140">
        <f t="shared" si="228"/>
        <v>1</v>
      </c>
      <c r="U142" s="140">
        <f t="shared" si="228"/>
        <v>1</v>
      </c>
      <c r="V142" s="140">
        <f t="shared" si="228"/>
        <v>1</v>
      </c>
      <c r="W142" s="140">
        <f t="shared" si="228"/>
        <v>1</v>
      </c>
      <c r="X142" s="140">
        <f t="shared" si="228"/>
        <v>1</v>
      </c>
      <c r="Y142" s="140">
        <f t="shared" si="228"/>
        <v>1</v>
      </c>
      <c r="Z142" s="140">
        <f t="shared" si="228"/>
        <v>1</v>
      </c>
      <c r="AA142" s="140">
        <f t="shared" si="228"/>
        <v>1</v>
      </c>
      <c r="AB142" s="140">
        <f t="shared" si="228"/>
        <v>1</v>
      </c>
      <c r="AC142" s="140">
        <f t="shared" si="228"/>
        <v>1</v>
      </c>
      <c r="AD142" s="140">
        <f t="shared" si="228"/>
        <v>1</v>
      </c>
      <c r="AE142" s="140">
        <f t="shared" si="228"/>
        <v>1</v>
      </c>
      <c r="AF142" s="140">
        <f t="shared" si="228"/>
        <v>1</v>
      </c>
      <c r="AG142" s="140">
        <f t="shared" si="228"/>
        <v>1</v>
      </c>
      <c r="AH142" s="140">
        <f t="shared" si="228"/>
        <v>1</v>
      </c>
      <c r="AI142" s="140">
        <f t="shared" si="228"/>
        <v>1</v>
      </c>
      <c r="AJ142" s="140">
        <f t="shared" si="228"/>
        <v>1</v>
      </c>
      <c r="AK142" s="140">
        <f t="shared" si="228"/>
        <v>1</v>
      </c>
      <c r="AL142" s="140">
        <f t="shared" si="228"/>
        <v>1</v>
      </c>
      <c r="AM142" s="140">
        <f t="shared" si="228"/>
        <v>1</v>
      </c>
      <c r="AN142" s="140">
        <f t="shared" si="228"/>
        <v>1</v>
      </c>
      <c r="AO142" s="140">
        <f t="shared" si="228"/>
        <v>1</v>
      </c>
      <c r="AP142" s="140">
        <f t="shared" si="228"/>
        <v>1</v>
      </c>
      <c r="AQ142" s="140">
        <f t="shared" si="228"/>
        <v>1</v>
      </c>
      <c r="AR142" s="140">
        <f t="shared" si="228"/>
        <v>1</v>
      </c>
      <c r="AS142" s="140">
        <f>EXP(-AS141*AS140)</f>
        <v>1</v>
      </c>
      <c r="AT142" s="140">
        <f t="shared" ref="AT142:CA142" si="229">EXP(-AT141*AT140)</f>
        <v>1</v>
      </c>
      <c r="AU142" s="140">
        <f t="shared" si="229"/>
        <v>1</v>
      </c>
      <c r="AV142" s="140">
        <f t="shared" si="229"/>
        <v>1</v>
      </c>
      <c r="AW142" s="140">
        <f t="shared" si="229"/>
        <v>1</v>
      </c>
      <c r="AX142" s="140">
        <f t="shared" si="229"/>
        <v>1</v>
      </c>
      <c r="AY142" s="140">
        <f t="shared" si="229"/>
        <v>1</v>
      </c>
      <c r="AZ142" s="140">
        <f t="shared" si="229"/>
        <v>1</v>
      </c>
      <c r="BA142" s="140">
        <f t="shared" si="229"/>
        <v>1</v>
      </c>
      <c r="BB142" s="140">
        <f t="shared" si="229"/>
        <v>1</v>
      </c>
      <c r="BC142" s="140">
        <f t="shared" si="229"/>
        <v>1</v>
      </c>
      <c r="BD142" s="140">
        <f t="shared" si="229"/>
        <v>1</v>
      </c>
      <c r="BE142" s="140">
        <f t="shared" si="229"/>
        <v>1</v>
      </c>
      <c r="BF142" s="140">
        <f t="shared" si="229"/>
        <v>1</v>
      </c>
      <c r="BG142" s="140">
        <f t="shared" si="229"/>
        <v>1</v>
      </c>
      <c r="BH142" s="140">
        <f t="shared" si="229"/>
        <v>1</v>
      </c>
      <c r="BI142" s="140">
        <f t="shared" si="229"/>
        <v>1</v>
      </c>
      <c r="BJ142" s="140">
        <f t="shared" si="229"/>
        <v>1</v>
      </c>
      <c r="BK142" s="140">
        <f t="shared" si="229"/>
        <v>1</v>
      </c>
      <c r="BL142" s="140">
        <f t="shared" si="229"/>
        <v>1</v>
      </c>
      <c r="BM142" s="140">
        <f t="shared" si="229"/>
        <v>1</v>
      </c>
      <c r="BN142" s="140">
        <f t="shared" si="229"/>
        <v>1</v>
      </c>
      <c r="BO142" s="140">
        <f t="shared" si="229"/>
        <v>1</v>
      </c>
      <c r="BP142" s="140">
        <f t="shared" si="229"/>
        <v>1</v>
      </c>
      <c r="BQ142" s="140">
        <f t="shared" si="229"/>
        <v>1</v>
      </c>
      <c r="BR142" s="140">
        <f t="shared" si="229"/>
        <v>1</v>
      </c>
      <c r="BS142" s="140">
        <f t="shared" si="229"/>
        <v>1</v>
      </c>
      <c r="BT142" s="140">
        <f t="shared" si="229"/>
        <v>1</v>
      </c>
      <c r="BU142" s="140">
        <f t="shared" si="229"/>
        <v>1</v>
      </c>
      <c r="BV142" s="140">
        <f t="shared" si="229"/>
        <v>1</v>
      </c>
      <c r="BW142" s="140">
        <f t="shared" si="229"/>
        <v>1</v>
      </c>
      <c r="BX142" s="140">
        <f t="shared" si="229"/>
        <v>1</v>
      </c>
      <c r="BY142" s="140">
        <f t="shared" si="229"/>
        <v>1</v>
      </c>
      <c r="BZ142" s="140">
        <f t="shared" si="229"/>
        <v>1</v>
      </c>
      <c r="CA142" s="140">
        <f t="shared" si="229"/>
        <v>1</v>
      </c>
      <c r="CB142" s="140">
        <f>EXP(-CB141*CB140)</f>
        <v>1</v>
      </c>
      <c r="CC142" s="17"/>
      <c r="CD142" s="17"/>
      <c r="CE142" s="17"/>
    </row>
    <row r="143" spans="1:83">
      <c r="A143" s="17"/>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17"/>
      <c r="CD143" s="17"/>
      <c r="CE143" s="17"/>
    </row>
    <row r="144" spans="1:83">
      <c r="A144" s="16" t="s">
        <v>40</v>
      </c>
      <c r="B144" s="140">
        <f t="shared" ref="B144:BM144" si="230">DAYS360($B$3,B54)</f>
        <v>-43022</v>
      </c>
      <c r="C144" s="140">
        <f t="shared" si="230"/>
        <v>-42842</v>
      </c>
      <c r="D144" s="140">
        <f t="shared" si="230"/>
        <v>-42662</v>
      </c>
      <c r="E144" s="140">
        <f t="shared" si="230"/>
        <v>-42482</v>
      </c>
      <c r="F144" s="140">
        <f t="shared" si="230"/>
        <v>-42302</v>
      </c>
      <c r="G144" s="140">
        <f t="shared" si="230"/>
        <v>-42122</v>
      </c>
      <c r="H144" s="140">
        <f t="shared" si="230"/>
        <v>-41942</v>
      </c>
      <c r="I144" s="140">
        <f t="shared" si="230"/>
        <v>-41762</v>
      </c>
      <c r="J144" s="140">
        <f t="shared" si="230"/>
        <v>-41582</v>
      </c>
      <c r="K144" s="140">
        <f t="shared" si="230"/>
        <v>-41403</v>
      </c>
      <c r="L144" s="140">
        <f t="shared" si="230"/>
        <v>-41223</v>
      </c>
      <c r="M144" s="140">
        <f t="shared" si="230"/>
        <v>-41043</v>
      </c>
      <c r="N144" s="140">
        <f t="shared" si="230"/>
        <v>-40863</v>
      </c>
      <c r="O144" s="140">
        <f t="shared" si="230"/>
        <v>-40683</v>
      </c>
      <c r="P144" s="140">
        <f t="shared" si="230"/>
        <v>-40503</v>
      </c>
      <c r="Q144" s="140">
        <f t="shared" si="230"/>
        <v>-40323</v>
      </c>
      <c r="R144" s="140">
        <f t="shared" si="230"/>
        <v>-40143</v>
      </c>
      <c r="S144" s="140">
        <f t="shared" si="230"/>
        <v>-39964</v>
      </c>
      <c r="T144" s="140">
        <f t="shared" si="230"/>
        <v>-39784</v>
      </c>
      <c r="U144" s="140">
        <f t="shared" si="230"/>
        <v>-39604</v>
      </c>
      <c r="V144" s="140">
        <f t="shared" si="230"/>
        <v>-39424</v>
      </c>
      <c r="W144" s="140">
        <f t="shared" si="230"/>
        <v>-39244</v>
      </c>
      <c r="X144" s="140">
        <f t="shared" si="230"/>
        <v>-39064</v>
      </c>
      <c r="Y144" s="140">
        <f t="shared" si="230"/>
        <v>-38884</v>
      </c>
      <c r="Z144" s="140">
        <f t="shared" si="230"/>
        <v>-38704</v>
      </c>
      <c r="AA144" s="140">
        <f t="shared" si="230"/>
        <v>-38525</v>
      </c>
      <c r="AB144" s="140">
        <f t="shared" si="230"/>
        <v>-38345</v>
      </c>
      <c r="AC144" s="140">
        <f t="shared" si="230"/>
        <v>-38165</v>
      </c>
      <c r="AD144" s="140">
        <f t="shared" si="230"/>
        <v>-37985</v>
      </c>
      <c r="AE144" s="140">
        <f t="shared" si="230"/>
        <v>-37805</v>
      </c>
      <c r="AF144" s="140">
        <f t="shared" si="230"/>
        <v>-37625</v>
      </c>
      <c r="AG144" s="140">
        <f t="shared" si="230"/>
        <v>-37445</v>
      </c>
      <c r="AH144" s="140">
        <f t="shared" si="230"/>
        <v>-37265</v>
      </c>
      <c r="AI144" s="140">
        <f t="shared" si="230"/>
        <v>-37086</v>
      </c>
      <c r="AJ144" s="140">
        <f t="shared" si="230"/>
        <v>-36906</v>
      </c>
      <c r="AK144" s="140">
        <f t="shared" si="230"/>
        <v>-36726</v>
      </c>
      <c r="AL144" s="140">
        <f t="shared" si="230"/>
        <v>-36546</v>
      </c>
      <c r="AM144" s="140">
        <f t="shared" si="230"/>
        <v>-36366</v>
      </c>
      <c r="AN144" s="140">
        <f t="shared" si="230"/>
        <v>-36186</v>
      </c>
      <c r="AO144" s="140">
        <f t="shared" si="230"/>
        <v>-36006</v>
      </c>
      <c r="AP144" s="140">
        <f t="shared" si="230"/>
        <v>-35826</v>
      </c>
      <c r="AQ144" s="140">
        <f t="shared" si="230"/>
        <v>-35647</v>
      </c>
      <c r="AR144" s="140">
        <f t="shared" si="230"/>
        <v>-35467</v>
      </c>
      <c r="AS144" s="140">
        <f t="shared" si="230"/>
        <v>-35287</v>
      </c>
      <c r="AT144" s="140">
        <f t="shared" si="230"/>
        <v>-35107</v>
      </c>
      <c r="AU144" s="140">
        <f t="shared" si="230"/>
        <v>-34927</v>
      </c>
      <c r="AV144" s="140">
        <f t="shared" si="230"/>
        <v>-34747</v>
      </c>
      <c r="AW144" s="140">
        <f t="shared" si="230"/>
        <v>-34567</v>
      </c>
      <c r="AX144" s="140">
        <f t="shared" si="230"/>
        <v>-34387</v>
      </c>
      <c r="AY144" s="140">
        <f t="shared" si="230"/>
        <v>-34208</v>
      </c>
      <c r="AZ144" s="140">
        <f t="shared" si="230"/>
        <v>-34028</v>
      </c>
      <c r="BA144" s="140">
        <f t="shared" si="230"/>
        <v>-33848</v>
      </c>
      <c r="BB144" s="140">
        <f t="shared" si="230"/>
        <v>-33668</v>
      </c>
      <c r="BC144" s="140">
        <f t="shared" si="230"/>
        <v>-33488</v>
      </c>
      <c r="BD144" s="140">
        <f t="shared" si="230"/>
        <v>-33308</v>
      </c>
      <c r="BE144" s="140">
        <f t="shared" si="230"/>
        <v>-33128</v>
      </c>
      <c r="BF144" s="140">
        <f t="shared" si="230"/>
        <v>-32948</v>
      </c>
      <c r="BG144" s="140">
        <f t="shared" si="230"/>
        <v>-32769</v>
      </c>
      <c r="BH144" s="140">
        <f t="shared" si="230"/>
        <v>-32589</v>
      </c>
      <c r="BI144" s="140">
        <f t="shared" si="230"/>
        <v>-32409</v>
      </c>
      <c r="BJ144" s="140">
        <f t="shared" si="230"/>
        <v>-32229</v>
      </c>
      <c r="BK144" s="140">
        <f t="shared" si="230"/>
        <v>-32049</v>
      </c>
      <c r="BL144" s="140">
        <f t="shared" si="230"/>
        <v>-31869</v>
      </c>
      <c r="BM144" s="140">
        <f t="shared" si="230"/>
        <v>-31689</v>
      </c>
      <c r="BN144" s="140">
        <f t="shared" ref="BN144:CB144" si="231">DAYS360($B$3,BN54)</f>
        <v>-31509</v>
      </c>
      <c r="BO144" s="140">
        <f t="shared" si="231"/>
        <v>-31330</v>
      </c>
      <c r="BP144" s="140">
        <f t="shared" si="231"/>
        <v>-31150</v>
      </c>
      <c r="BQ144" s="140">
        <f t="shared" si="231"/>
        <v>-30970</v>
      </c>
      <c r="BR144" s="140">
        <f t="shared" si="231"/>
        <v>-30790</v>
      </c>
      <c r="BS144" s="140">
        <f t="shared" si="231"/>
        <v>-30610</v>
      </c>
      <c r="BT144" s="140">
        <f t="shared" si="231"/>
        <v>-30430</v>
      </c>
      <c r="BU144" s="140">
        <f t="shared" si="231"/>
        <v>-30250</v>
      </c>
      <c r="BV144" s="140">
        <f t="shared" si="231"/>
        <v>-30070</v>
      </c>
      <c r="BW144" s="140">
        <f t="shared" si="231"/>
        <v>-29891</v>
      </c>
      <c r="BX144" s="140">
        <f t="shared" si="231"/>
        <v>-29711</v>
      </c>
      <c r="BY144" s="140">
        <f t="shared" si="231"/>
        <v>-29531</v>
      </c>
      <c r="BZ144" s="140">
        <f t="shared" si="231"/>
        <v>-29351</v>
      </c>
      <c r="CA144" s="140">
        <f t="shared" si="231"/>
        <v>-29171</v>
      </c>
      <c r="CB144" s="140">
        <f t="shared" si="231"/>
        <v>-28991</v>
      </c>
      <c r="CC144" s="17"/>
      <c r="CD144" s="17"/>
      <c r="CE144" s="17"/>
    </row>
    <row r="145" spans="1:83">
      <c r="A145" s="16" t="s">
        <v>41</v>
      </c>
      <c r="B145" s="140">
        <f>B144/360</f>
        <v>-119.50555555555556</v>
      </c>
      <c r="C145" s="140">
        <f t="shared" ref="C145:BN145" si="232">C144/360</f>
        <v>-119.00555555555556</v>
      </c>
      <c r="D145" s="140">
        <f t="shared" si="232"/>
        <v>-118.50555555555556</v>
      </c>
      <c r="E145" s="140">
        <f t="shared" si="232"/>
        <v>-118.00555555555556</v>
      </c>
      <c r="F145" s="140">
        <f t="shared" si="232"/>
        <v>-117.50555555555556</v>
      </c>
      <c r="G145" s="140">
        <f t="shared" si="232"/>
        <v>-117.00555555555556</v>
      </c>
      <c r="H145" s="140">
        <f t="shared" si="232"/>
        <v>-116.50555555555556</v>
      </c>
      <c r="I145" s="140">
        <f t="shared" si="232"/>
        <v>-116.00555555555556</v>
      </c>
      <c r="J145" s="140">
        <f t="shared" si="232"/>
        <v>-115.50555555555556</v>
      </c>
      <c r="K145" s="140">
        <f t="shared" si="232"/>
        <v>-115.00833333333334</v>
      </c>
      <c r="L145" s="140">
        <f t="shared" si="232"/>
        <v>-114.50833333333334</v>
      </c>
      <c r="M145" s="140">
        <f t="shared" si="232"/>
        <v>-114.00833333333334</v>
      </c>
      <c r="N145" s="140">
        <f t="shared" si="232"/>
        <v>-113.50833333333334</v>
      </c>
      <c r="O145" s="140">
        <f t="shared" si="232"/>
        <v>-113.00833333333334</v>
      </c>
      <c r="P145" s="140">
        <f t="shared" si="232"/>
        <v>-112.50833333333334</v>
      </c>
      <c r="Q145" s="140">
        <f t="shared" si="232"/>
        <v>-112.00833333333334</v>
      </c>
      <c r="R145" s="140">
        <f t="shared" si="232"/>
        <v>-111.50833333333334</v>
      </c>
      <c r="S145" s="140">
        <f t="shared" si="232"/>
        <v>-111.01111111111111</v>
      </c>
      <c r="T145" s="140">
        <f t="shared" si="232"/>
        <v>-110.51111111111111</v>
      </c>
      <c r="U145" s="140">
        <f t="shared" si="232"/>
        <v>-110.01111111111111</v>
      </c>
      <c r="V145" s="140">
        <f t="shared" si="232"/>
        <v>-109.51111111111111</v>
      </c>
      <c r="W145" s="140">
        <f t="shared" si="232"/>
        <v>-109.01111111111111</v>
      </c>
      <c r="X145" s="140">
        <f t="shared" si="232"/>
        <v>-108.51111111111111</v>
      </c>
      <c r="Y145" s="140">
        <f t="shared" si="232"/>
        <v>-108.01111111111111</v>
      </c>
      <c r="Z145" s="140">
        <f t="shared" si="232"/>
        <v>-107.51111111111111</v>
      </c>
      <c r="AA145" s="140">
        <f t="shared" si="232"/>
        <v>-107.01388888888889</v>
      </c>
      <c r="AB145" s="140">
        <f t="shared" si="232"/>
        <v>-106.51388888888889</v>
      </c>
      <c r="AC145" s="140">
        <f t="shared" si="232"/>
        <v>-106.01388888888889</v>
      </c>
      <c r="AD145" s="140">
        <f t="shared" si="232"/>
        <v>-105.51388888888889</v>
      </c>
      <c r="AE145" s="140">
        <f t="shared" si="232"/>
        <v>-105.01388888888889</v>
      </c>
      <c r="AF145" s="140">
        <f t="shared" si="232"/>
        <v>-104.51388888888889</v>
      </c>
      <c r="AG145" s="140">
        <f t="shared" si="232"/>
        <v>-104.01388888888889</v>
      </c>
      <c r="AH145" s="140">
        <f t="shared" si="232"/>
        <v>-103.51388888888889</v>
      </c>
      <c r="AI145" s="140">
        <f t="shared" si="232"/>
        <v>-103.01666666666667</v>
      </c>
      <c r="AJ145" s="140">
        <f t="shared" si="232"/>
        <v>-102.51666666666667</v>
      </c>
      <c r="AK145" s="140">
        <f t="shared" si="232"/>
        <v>-102.01666666666667</v>
      </c>
      <c r="AL145" s="140">
        <f t="shared" si="232"/>
        <v>-101.51666666666667</v>
      </c>
      <c r="AM145" s="140">
        <f t="shared" si="232"/>
        <v>-101.01666666666667</v>
      </c>
      <c r="AN145" s="140">
        <f t="shared" si="232"/>
        <v>-100.51666666666667</v>
      </c>
      <c r="AO145" s="140">
        <f t="shared" si="232"/>
        <v>-100.01666666666667</v>
      </c>
      <c r="AP145" s="140">
        <f t="shared" si="232"/>
        <v>-99.516666666666666</v>
      </c>
      <c r="AQ145" s="140">
        <f t="shared" si="232"/>
        <v>-99.019444444444446</v>
      </c>
      <c r="AR145" s="140">
        <f t="shared" si="232"/>
        <v>-98.519444444444446</v>
      </c>
      <c r="AS145" s="140">
        <f t="shared" si="232"/>
        <v>-98.019444444444446</v>
      </c>
      <c r="AT145" s="140">
        <f t="shared" si="232"/>
        <v>-97.519444444444446</v>
      </c>
      <c r="AU145" s="140">
        <f t="shared" si="232"/>
        <v>-97.019444444444446</v>
      </c>
      <c r="AV145" s="140">
        <f t="shared" si="232"/>
        <v>-96.519444444444446</v>
      </c>
      <c r="AW145" s="140">
        <f t="shared" si="232"/>
        <v>-96.019444444444446</v>
      </c>
      <c r="AX145" s="140">
        <f t="shared" si="232"/>
        <v>-95.519444444444446</v>
      </c>
      <c r="AY145" s="140">
        <f t="shared" si="232"/>
        <v>-95.022222222222226</v>
      </c>
      <c r="AZ145" s="140">
        <f t="shared" si="232"/>
        <v>-94.522222222222226</v>
      </c>
      <c r="BA145" s="140">
        <f t="shared" si="232"/>
        <v>-94.022222222222226</v>
      </c>
      <c r="BB145" s="140">
        <f t="shared" si="232"/>
        <v>-93.522222222222226</v>
      </c>
      <c r="BC145" s="140">
        <f t="shared" si="232"/>
        <v>-93.022222222222226</v>
      </c>
      <c r="BD145" s="140">
        <f t="shared" si="232"/>
        <v>-92.522222222222226</v>
      </c>
      <c r="BE145" s="140">
        <f t="shared" si="232"/>
        <v>-92.022222222222226</v>
      </c>
      <c r="BF145" s="140">
        <f t="shared" si="232"/>
        <v>-91.522222222222226</v>
      </c>
      <c r="BG145" s="140">
        <f t="shared" si="232"/>
        <v>-91.025000000000006</v>
      </c>
      <c r="BH145" s="140">
        <f t="shared" si="232"/>
        <v>-90.525000000000006</v>
      </c>
      <c r="BI145" s="140">
        <f t="shared" si="232"/>
        <v>-90.025000000000006</v>
      </c>
      <c r="BJ145" s="140">
        <f t="shared" si="232"/>
        <v>-89.525000000000006</v>
      </c>
      <c r="BK145" s="140">
        <f t="shared" si="232"/>
        <v>-89.025000000000006</v>
      </c>
      <c r="BL145" s="140">
        <f t="shared" si="232"/>
        <v>-88.525000000000006</v>
      </c>
      <c r="BM145" s="140">
        <f t="shared" si="232"/>
        <v>-88.025000000000006</v>
      </c>
      <c r="BN145" s="140">
        <f t="shared" si="232"/>
        <v>-87.525000000000006</v>
      </c>
      <c r="BO145" s="140">
        <f t="shared" ref="BO145:CB145" si="233">BO144/360</f>
        <v>-87.027777777777771</v>
      </c>
      <c r="BP145" s="140">
        <f t="shared" si="233"/>
        <v>-86.527777777777771</v>
      </c>
      <c r="BQ145" s="140">
        <f t="shared" si="233"/>
        <v>-86.027777777777771</v>
      </c>
      <c r="BR145" s="140">
        <f t="shared" si="233"/>
        <v>-85.527777777777771</v>
      </c>
      <c r="BS145" s="140">
        <f t="shared" si="233"/>
        <v>-85.027777777777771</v>
      </c>
      <c r="BT145" s="140">
        <f t="shared" si="233"/>
        <v>-84.527777777777771</v>
      </c>
      <c r="BU145" s="140">
        <f t="shared" si="233"/>
        <v>-84.027777777777771</v>
      </c>
      <c r="BV145" s="140">
        <f t="shared" si="233"/>
        <v>-83.527777777777771</v>
      </c>
      <c r="BW145" s="140">
        <f t="shared" si="233"/>
        <v>-83.030555555555551</v>
      </c>
      <c r="BX145" s="140">
        <f t="shared" si="233"/>
        <v>-82.530555555555551</v>
      </c>
      <c r="BY145" s="140">
        <f t="shared" si="233"/>
        <v>-82.030555555555551</v>
      </c>
      <c r="BZ145" s="140">
        <f t="shared" si="233"/>
        <v>-81.530555555555551</v>
      </c>
      <c r="CA145" s="140">
        <f t="shared" si="233"/>
        <v>-81.030555555555551</v>
      </c>
      <c r="CB145" s="140">
        <f t="shared" si="233"/>
        <v>-80.530555555555551</v>
      </c>
      <c r="CC145" s="17"/>
      <c r="CD145" s="17"/>
      <c r="CE145" s="17"/>
    </row>
    <row r="146" spans="1:83">
      <c r="A146" s="16" t="s">
        <v>43</v>
      </c>
      <c r="B146" s="140">
        <f>IF(B144&lt;0,0,$B$5+$B$6*((1-EXP(-B145/$B$9))/(B145/$B$9))+$B$7*((1-EXP(-B145/$B$9))/(B145/$B$9)-EXP(-B145/$B$9))+$B$8*((1-EXP(-B145/$B$10))/(B145/$B$10)-EXP(-B145/$B$10)))</f>
        <v>0</v>
      </c>
      <c r="C146" s="140">
        <f t="shared" ref="C146:BN146" si="234">IF(C144&lt;0,0,$B$5+$B$6*((1-EXP(-C145/$B$9))/(C145/$B$9))+$B$7*((1-EXP(-C145/$B$9))/(C145/$B$9)-EXP(-C145/$B$9))+$B$8*((1-EXP(-C145/$B$10))/(C145/$B$10)-EXP(-C145/$B$10)))</f>
        <v>0</v>
      </c>
      <c r="D146" s="140">
        <f t="shared" si="234"/>
        <v>0</v>
      </c>
      <c r="E146" s="140">
        <f t="shared" si="234"/>
        <v>0</v>
      </c>
      <c r="F146" s="140">
        <f t="shared" si="234"/>
        <v>0</v>
      </c>
      <c r="G146" s="140">
        <f t="shared" si="234"/>
        <v>0</v>
      </c>
      <c r="H146" s="140">
        <f t="shared" si="234"/>
        <v>0</v>
      </c>
      <c r="I146" s="140">
        <f t="shared" si="234"/>
        <v>0</v>
      </c>
      <c r="J146" s="140">
        <f t="shared" si="234"/>
        <v>0</v>
      </c>
      <c r="K146" s="140">
        <f t="shared" si="234"/>
        <v>0</v>
      </c>
      <c r="L146" s="140">
        <f t="shared" si="234"/>
        <v>0</v>
      </c>
      <c r="M146" s="140">
        <f t="shared" si="234"/>
        <v>0</v>
      </c>
      <c r="N146" s="140">
        <f t="shared" si="234"/>
        <v>0</v>
      </c>
      <c r="O146" s="140">
        <f t="shared" si="234"/>
        <v>0</v>
      </c>
      <c r="P146" s="140">
        <f t="shared" si="234"/>
        <v>0</v>
      </c>
      <c r="Q146" s="140">
        <f t="shared" si="234"/>
        <v>0</v>
      </c>
      <c r="R146" s="140">
        <f t="shared" si="234"/>
        <v>0</v>
      </c>
      <c r="S146" s="140">
        <f t="shared" si="234"/>
        <v>0</v>
      </c>
      <c r="T146" s="140">
        <f t="shared" si="234"/>
        <v>0</v>
      </c>
      <c r="U146" s="140">
        <f t="shared" si="234"/>
        <v>0</v>
      </c>
      <c r="V146" s="140">
        <f t="shared" si="234"/>
        <v>0</v>
      </c>
      <c r="W146" s="140">
        <f t="shared" si="234"/>
        <v>0</v>
      </c>
      <c r="X146" s="140">
        <f t="shared" si="234"/>
        <v>0</v>
      </c>
      <c r="Y146" s="140">
        <f t="shared" si="234"/>
        <v>0</v>
      </c>
      <c r="Z146" s="140">
        <f t="shared" si="234"/>
        <v>0</v>
      </c>
      <c r="AA146" s="140">
        <f t="shared" si="234"/>
        <v>0</v>
      </c>
      <c r="AB146" s="140">
        <f t="shared" si="234"/>
        <v>0</v>
      </c>
      <c r="AC146" s="140">
        <f t="shared" si="234"/>
        <v>0</v>
      </c>
      <c r="AD146" s="140">
        <f t="shared" si="234"/>
        <v>0</v>
      </c>
      <c r="AE146" s="140">
        <f t="shared" si="234"/>
        <v>0</v>
      </c>
      <c r="AF146" s="140">
        <f t="shared" si="234"/>
        <v>0</v>
      </c>
      <c r="AG146" s="140">
        <f t="shared" si="234"/>
        <v>0</v>
      </c>
      <c r="AH146" s="140">
        <f t="shared" si="234"/>
        <v>0</v>
      </c>
      <c r="AI146" s="140">
        <f t="shared" si="234"/>
        <v>0</v>
      </c>
      <c r="AJ146" s="140">
        <f t="shared" si="234"/>
        <v>0</v>
      </c>
      <c r="AK146" s="140">
        <f t="shared" si="234"/>
        <v>0</v>
      </c>
      <c r="AL146" s="140">
        <f t="shared" si="234"/>
        <v>0</v>
      </c>
      <c r="AM146" s="140">
        <f t="shared" si="234"/>
        <v>0</v>
      </c>
      <c r="AN146" s="140">
        <f t="shared" si="234"/>
        <v>0</v>
      </c>
      <c r="AO146" s="140">
        <f t="shared" si="234"/>
        <v>0</v>
      </c>
      <c r="AP146" s="140">
        <f t="shared" si="234"/>
        <v>0</v>
      </c>
      <c r="AQ146" s="140">
        <f t="shared" si="234"/>
        <v>0</v>
      </c>
      <c r="AR146" s="140">
        <f t="shared" si="234"/>
        <v>0</v>
      </c>
      <c r="AS146" s="140">
        <f t="shared" si="234"/>
        <v>0</v>
      </c>
      <c r="AT146" s="140">
        <f t="shared" si="234"/>
        <v>0</v>
      </c>
      <c r="AU146" s="140">
        <f t="shared" si="234"/>
        <v>0</v>
      </c>
      <c r="AV146" s="140">
        <f t="shared" si="234"/>
        <v>0</v>
      </c>
      <c r="AW146" s="140">
        <f t="shared" si="234"/>
        <v>0</v>
      </c>
      <c r="AX146" s="140">
        <f t="shared" si="234"/>
        <v>0</v>
      </c>
      <c r="AY146" s="140">
        <f t="shared" si="234"/>
        <v>0</v>
      </c>
      <c r="AZ146" s="140">
        <f t="shared" si="234"/>
        <v>0</v>
      </c>
      <c r="BA146" s="140">
        <f t="shared" si="234"/>
        <v>0</v>
      </c>
      <c r="BB146" s="140">
        <f t="shared" si="234"/>
        <v>0</v>
      </c>
      <c r="BC146" s="140">
        <f t="shared" si="234"/>
        <v>0</v>
      </c>
      <c r="BD146" s="140">
        <f t="shared" si="234"/>
        <v>0</v>
      </c>
      <c r="BE146" s="140">
        <f t="shared" si="234"/>
        <v>0</v>
      </c>
      <c r="BF146" s="140">
        <f t="shared" si="234"/>
        <v>0</v>
      </c>
      <c r="BG146" s="140">
        <f t="shared" si="234"/>
        <v>0</v>
      </c>
      <c r="BH146" s="140">
        <f t="shared" si="234"/>
        <v>0</v>
      </c>
      <c r="BI146" s="140">
        <f t="shared" si="234"/>
        <v>0</v>
      </c>
      <c r="BJ146" s="140">
        <f t="shared" si="234"/>
        <v>0</v>
      </c>
      <c r="BK146" s="140">
        <f t="shared" si="234"/>
        <v>0</v>
      </c>
      <c r="BL146" s="140">
        <f t="shared" si="234"/>
        <v>0</v>
      </c>
      <c r="BM146" s="140">
        <f t="shared" si="234"/>
        <v>0</v>
      </c>
      <c r="BN146" s="140">
        <f t="shared" si="234"/>
        <v>0</v>
      </c>
      <c r="BO146" s="140">
        <f t="shared" ref="BO146:CB146" si="235">IF(BO144&lt;0,0,$B$5+$B$6*((1-EXP(-BO145/$B$9))/(BO145/$B$9))+$B$7*((1-EXP(-BO145/$B$9))/(BO145/$B$9)-EXP(-BO145/$B$9))+$B$8*((1-EXP(-BO145/$B$10))/(BO145/$B$10)-EXP(-BO145/$B$10)))</f>
        <v>0</v>
      </c>
      <c r="BP146" s="140">
        <f t="shared" si="235"/>
        <v>0</v>
      </c>
      <c r="BQ146" s="140">
        <f t="shared" si="235"/>
        <v>0</v>
      </c>
      <c r="BR146" s="140">
        <f t="shared" si="235"/>
        <v>0</v>
      </c>
      <c r="BS146" s="140">
        <f t="shared" si="235"/>
        <v>0</v>
      </c>
      <c r="BT146" s="140">
        <f t="shared" si="235"/>
        <v>0</v>
      </c>
      <c r="BU146" s="140">
        <f t="shared" si="235"/>
        <v>0</v>
      </c>
      <c r="BV146" s="140">
        <f t="shared" si="235"/>
        <v>0</v>
      </c>
      <c r="BW146" s="140">
        <f t="shared" si="235"/>
        <v>0</v>
      </c>
      <c r="BX146" s="140">
        <f t="shared" si="235"/>
        <v>0</v>
      </c>
      <c r="BY146" s="140">
        <f t="shared" si="235"/>
        <v>0</v>
      </c>
      <c r="BZ146" s="140">
        <f t="shared" si="235"/>
        <v>0</v>
      </c>
      <c r="CA146" s="140">
        <f t="shared" si="235"/>
        <v>0</v>
      </c>
      <c r="CB146" s="140">
        <f t="shared" si="235"/>
        <v>0</v>
      </c>
      <c r="CC146" s="17"/>
      <c r="CD146" s="17"/>
      <c r="CE146" s="17"/>
    </row>
    <row r="147" spans="1:83">
      <c r="A147" s="16" t="s">
        <v>44</v>
      </c>
      <c r="B147" s="140">
        <f>EXP(-B146*B145)</f>
        <v>1</v>
      </c>
      <c r="C147" s="140">
        <f t="shared" ref="C147:AR147" si="236">EXP(-C146*C145)</f>
        <v>1</v>
      </c>
      <c r="D147" s="140">
        <f t="shared" si="236"/>
        <v>1</v>
      </c>
      <c r="E147" s="140">
        <f t="shared" si="236"/>
        <v>1</v>
      </c>
      <c r="F147" s="140">
        <f t="shared" si="236"/>
        <v>1</v>
      </c>
      <c r="G147" s="140">
        <f t="shared" si="236"/>
        <v>1</v>
      </c>
      <c r="H147" s="140">
        <f t="shared" si="236"/>
        <v>1</v>
      </c>
      <c r="I147" s="140">
        <f t="shared" si="236"/>
        <v>1</v>
      </c>
      <c r="J147" s="140">
        <f t="shared" si="236"/>
        <v>1</v>
      </c>
      <c r="K147" s="140">
        <f t="shared" si="236"/>
        <v>1</v>
      </c>
      <c r="L147" s="140">
        <f t="shared" si="236"/>
        <v>1</v>
      </c>
      <c r="M147" s="140">
        <f t="shared" si="236"/>
        <v>1</v>
      </c>
      <c r="N147" s="140">
        <f t="shared" si="236"/>
        <v>1</v>
      </c>
      <c r="O147" s="140">
        <f t="shared" si="236"/>
        <v>1</v>
      </c>
      <c r="P147" s="140">
        <f t="shared" si="236"/>
        <v>1</v>
      </c>
      <c r="Q147" s="140">
        <f t="shared" si="236"/>
        <v>1</v>
      </c>
      <c r="R147" s="140">
        <f t="shared" si="236"/>
        <v>1</v>
      </c>
      <c r="S147" s="140">
        <f t="shared" si="236"/>
        <v>1</v>
      </c>
      <c r="T147" s="140">
        <f t="shared" si="236"/>
        <v>1</v>
      </c>
      <c r="U147" s="140">
        <f t="shared" si="236"/>
        <v>1</v>
      </c>
      <c r="V147" s="140">
        <f t="shared" si="236"/>
        <v>1</v>
      </c>
      <c r="W147" s="140">
        <f t="shared" si="236"/>
        <v>1</v>
      </c>
      <c r="X147" s="140">
        <f t="shared" si="236"/>
        <v>1</v>
      </c>
      <c r="Y147" s="140">
        <f t="shared" si="236"/>
        <v>1</v>
      </c>
      <c r="Z147" s="140">
        <f t="shared" si="236"/>
        <v>1</v>
      </c>
      <c r="AA147" s="140">
        <f t="shared" si="236"/>
        <v>1</v>
      </c>
      <c r="AB147" s="140">
        <f t="shared" si="236"/>
        <v>1</v>
      </c>
      <c r="AC147" s="140">
        <f t="shared" si="236"/>
        <v>1</v>
      </c>
      <c r="AD147" s="140">
        <f t="shared" si="236"/>
        <v>1</v>
      </c>
      <c r="AE147" s="140">
        <f t="shared" si="236"/>
        <v>1</v>
      </c>
      <c r="AF147" s="140">
        <f t="shared" si="236"/>
        <v>1</v>
      </c>
      <c r="AG147" s="140">
        <f t="shared" si="236"/>
        <v>1</v>
      </c>
      <c r="AH147" s="140">
        <f t="shared" si="236"/>
        <v>1</v>
      </c>
      <c r="AI147" s="140">
        <f t="shared" si="236"/>
        <v>1</v>
      </c>
      <c r="AJ147" s="140">
        <f t="shared" si="236"/>
        <v>1</v>
      </c>
      <c r="AK147" s="140">
        <f t="shared" si="236"/>
        <v>1</v>
      </c>
      <c r="AL147" s="140">
        <f t="shared" si="236"/>
        <v>1</v>
      </c>
      <c r="AM147" s="140">
        <f t="shared" si="236"/>
        <v>1</v>
      </c>
      <c r="AN147" s="140">
        <f t="shared" si="236"/>
        <v>1</v>
      </c>
      <c r="AO147" s="140">
        <f t="shared" si="236"/>
        <v>1</v>
      </c>
      <c r="AP147" s="140">
        <f t="shared" si="236"/>
        <v>1</v>
      </c>
      <c r="AQ147" s="140">
        <f t="shared" si="236"/>
        <v>1</v>
      </c>
      <c r="AR147" s="140">
        <f t="shared" si="236"/>
        <v>1</v>
      </c>
      <c r="AS147" s="140">
        <f>EXP(-AS146*AS145)</f>
        <v>1</v>
      </c>
      <c r="AT147" s="140">
        <f t="shared" ref="AT147:CA147" si="237">EXP(-AT146*AT145)</f>
        <v>1</v>
      </c>
      <c r="AU147" s="140">
        <f t="shared" si="237"/>
        <v>1</v>
      </c>
      <c r="AV147" s="140">
        <f t="shared" si="237"/>
        <v>1</v>
      </c>
      <c r="AW147" s="140">
        <f t="shared" si="237"/>
        <v>1</v>
      </c>
      <c r="AX147" s="140">
        <f t="shared" si="237"/>
        <v>1</v>
      </c>
      <c r="AY147" s="140">
        <f t="shared" si="237"/>
        <v>1</v>
      </c>
      <c r="AZ147" s="140">
        <f t="shared" si="237"/>
        <v>1</v>
      </c>
      <c r="BA147" s="140">
        <f t="shared" si="237"/>
        <v>1</v>
      </c>
      <c r="BB147" s="140">
        <f t="shared" si="237"/>
        <v>1</v>
      </c>
      <c r="BC147" s="140">
        <f t="shared" si="237"/>
        <v>1</v>
      </c>
      <c r="BD147" s="140">
        <f t="shared" si="237"/>
        <v>1</v>
      </c>
      <c r="BE147" s="140">
        <f t="shared" si="237"/>
        <v>1</v>
      </c>
      <c r="BF147" s="140">
        <f t="shared" si="237"/>
        <v>1</v>
      </c>
      <c r="BG147" s="140">
        <f t="shared" si="237"/>
        <v>1</v>
      </c>
      <c r="BH147" s="140">
        <f t="shared" si="237"/>
        <v>1</v>
      </c>
      <c r="BI147" s="140">
        <f t="shared" si="237"/>
        <v>1</v>
      </c>
      <c r="BJ147" s="140">
        <f t="shared" si="237"/>
        <v>1</v>
      </c>
      <c r="BK147" s="140">
        <f t="shared" si="237"/>
        <v>1</v>
      </c>
      <c r="BL147" s="140">
        <f t="shared" si="237"/>
        <v>1</v>
      </c>
      <c r="BM147" s="140">
        <f t="shared" si="237"/>
        <v>1</v>
      </c>
      <c r="BN147" s="140">
        <f t="shared" si="237"/>
        <v>1</v>
      </c>
      <c r="BO147" s="140">
        <f t="shared" si="237"/>
        <v>1</v>
      </c>
      <c r="BP147" s="140">
        <f t="shared" si="237"/>
        <v>1</v>
      </c>
      <c r="BQ147" s="140">
        <f t="shared" si="237"/>
        <v>1</v>
      </c>
      <c r="BR147" s="140">
        <f t="shared" si="237"/>
        <v>1</v>
      </c>
      <c r="BS147" s="140">
        <f t="shared" si="237"/>
        <v>1</v>
      </c>
      <c r="BT147" s="140">
        <f t="shared" si="237"/>
        <v>1</v>
      </c>
      <c r="BU147" s="140">
        <f t="shared" si="237"/>
        <v>1</v>
      </c>
      <c r="BV147" s="140">
        <f t="shared" si="237"/>
        <v>1</v>
      </c>
      <c r="BW147" s="140">
        <f t="shared" si="237"/>
        <v>1</v>
      </c>
      <c r="BX147" s="140">
        <f t="shared" si="237"/>
        <v>1</v>
      </c>
      <c r="BY147" s="140">
        <f t="shared" si="237"/>
        <v>1</v>
      </c>
      <c r="BZ147" s="140">
        <f t="shared" si="237"/>
        <v>1</v>
      </c>
      <c r="CA147" s="140">
        <f t="shared" si="237"/>
        <v>1</v>
      </c>
      <c r="CB147" s="140">
        <f>EXP(-CB146*CB145)</f>
        <v>1</v>
      </c>
      <c r="CC147" s="17"/>
      <c r="CD147" s="17"/>
      <c r="CE147" s="17"/>
    </row>
    <row r="148" spans="1:83">
      <c r="A148" s="17"/>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17"/>
      <c r="CD148" s="17"/>
      <c r="CE148" s="17"/>
    </row>
    <row r="149" spans="1:83">
      <c r="A149" s="16" t="s">
        <v>40</v>
      </c>
      <c r="B149" s="140">
        <f t="shared" ref="B149:BM149" si="238">DAYS360($B$3,B56)</f>
        <v>-43022</v>
      </c>
      <c r="C149" s="140">
        <f t="shared" si="238"/>
        <v>-42842</v>
      </c>
      <c r="D149" s="140">
        <f t="shared" si="238"/>
        <v>-42662</v>
      </c>
      <c r="E149" s="140">
        <f t="shared" si="238"/>
        <v>-42482</v>
      </c>
      <c r="F149" s="140">
        <f t="shared" si="238"/>
        <v>-42302</v>
      </c>
      <c r="G149" s="140">
        <f t="shared" si="238"/>
        <v>-42122</v>
      </c>
      <c r="H149" s="140">
        <f t="shared" si="238"/>
        <v>-41942</v>
      </c>
      <c r="I149" s="140">
        <f t="shared" si="238"/>
        <v>-41762</v>
      </c>
      <c r="J149" s="140">
        <f t="shared" si="238"/>
        <v>-41582</v>
      </c>
      <c r="K149" s="140">
        <f t="shared" si="238"/>
        <v>-41403</v>
      </c>
      <c r="L149" s="140">
        <f t="shared" si="238"/>
        <v>-41223</v>
      </c>
      <c r="M149" s="140">
        <f t="shared" si="238"/>
        <v>-41043</v>
      </c>
      <c r="N149" s="140">
        <f t="shared" si="238"/>
        <v>-40863</v>
      </c>
      <c r="O149" s="140">
        <f t="shared" si="238"/>
        <v>-40683</v>
      </c>
      <c r="P149" s="140">
        <f t="shared" si="238"/>
        <v>-40503</v>
      </c>
      <c r="Q149" s="140">
        <f t="shared" si="238"/>
        <v>-40323</v>
      </c>
      <c r="R149" s="140">
        <f t="shared" si="238"/>
        <v>-40143</v>
      </c>
      <c r="S149" s="140">
        <f t="shared" si="238"/>
        <v>-39964</v>
      </c>
      <c r="T149" s="140">
        <f t="shared" si="238"/>
        <v>-39784</v>
      </c>
      <c r="U149" s="140">
        <f t="shared" si="238"/>
        <v>-39604</v>
      </c>
      <c r="V149" s="140">
        <f t="shared" si="238"/>
        <v>-39424</v>
      </c>
      <c r="W149" s="140">
        <f t="shared" si="238"/>
        <v>-39244</v>
      </c>
      <c r="X149" s="140">
        <f t="shared" si="238"/>
        <v>-39064</v>
      </c>
      <c r="Y149" s="140">
        <f t="shared" si="238"/>
        <v>-38884</v>
      </c>
      <c r="Z149" s="140">
        <f t="shared" si="238"/>
        <v>-38704</v>
      </c>
      <c r="AA149" s="140">
        <f t="shared" si="238"/>
        <v>-38525</v>
      </c>
      <c r="AB149" s="140">
        <f t="shared" si="238"/>
        <v>-38345</v>
      </c>
      <c r="AC149" s="140">
        <f t="shared" si="238"/>
        <v>-38165</v>
      </c>
      <c r="AD149" s="140">
        <f t="shared" si="238"/>
        <v>-37985</v>
      </c>
      <c r="AE149" s="140">
        <f t="shared" si="238"/>
        <v>-37805</v>
      </c>
      <c r="AF149" s="140">
        <f t="shared" si="238"/>
        <v>-37625</v>
      </c>
      <c r="AG149" s="140">
        <f t="shared" si="238"/>
        <v>-37445</v>
      </c>
      <c r="AH149" s="140">
        <f t="shared" si="238"/>
        <v>-37265</v>
      </c>
      <c r="AI149" s="140">
        <f t="shared" si="238"/>
        <v>-37086</v>
      </c>
      <c r="AJ149" s="140">
        <f t="shared" si="238"/>
        <v>-36906</v>
      </c>
      <c r="AK149" s="140">
        <f t="shared" si="238"/>
        <v>-36726</v>
      </c>
      <c r="AL149" s="140">
        <f t="shared" si="238"/>
        <v>-36546</v>
      </c>
      <c r="AM149" s="140">
        <f t="shared" si="238"/>
        <v>-36366</v>
      </c>
      <c r="AN149" s="140">
        <f t="shared" si="238"/>
        <v>-36186</v>
      </c>
      <c r="AO149" s="140">
        <f t="shared" si="238"/>
        <v>-36006</v>
      </c>
      <c r="AP149" s="140">
        <f t="shared" si="238"/>
        <v>-35826</v>
      </c>
      <c r="AQ149" s="140">
        <f t="shared" si="238"/>
        <v>-35647</v>
      </c>
      <c r="AR149" s="140">
        <f t="shared" si="238"/>
        <v>-35467</v>
      </c>
      <c r="AS149" s="140">
        <f t="shared" si="238"/>
        <v>-35287</v>
      </c>
      <c r="AT149" s="140">
        <f t="shared" si="238"/>
        <v>-35107</v>
      </c>
      <c r="AU149" s="140">
        <f t="shared" si="238"/>
        <v>-34927</v>
      </c>
      <c r="AV149" s="140">
        <f t="shared" si="238"/>
        <v>-34747</v>
      </c>
      <c r="AW149" s="140">
        <f t="shared" si="238"/>
        <v>-34567</v>
      </c>
      <c r="AX149" s="140">
        <f t="shared" si="238"/>
        <v>-34387</v>
      </c>
      <c r="AY149" s="140">
        <f t="shared" si="238"/>
        <v>-34208</v>
      </c>
      <c r="AZ149" s="140">
        <f t="shared" si="238"/>
        <v>-34028</v>
      </c>
      <c r="BA149" s="140">
        <f t="shared" si="238"/>
        <v>-33848</v>
      </c>
      <c r="BB149" s="140">
        <f t="shared" si="238"/>
        <v>-33668</v>
      </c>
      <c r="BC149" s="140">
        <f t="shared" si="238"/>
        <v>-33488</v>
      </c>
      <c r="BD149" s="140">
        <f t="shared" si="238"/>
        <v>-33308</v>
      </c>
      <c r="BE149" s="140">
        <f t="shared" si="238"/>
        <v>-33128</v>
      </c>
      <c r="BF149" s="140">
        <f t="shared" si="238"/>
        <v>-32948</v>
      </c>
      <c r="BG149" s="140">
        <f t="shared" si="238"/>
        <v>-32769</v>
      </c>
      <c r="BH149" s="140">
        <f t="shared" si="238"/>
        <v>-32589</v>
      </c>
      <c r="BI149" s="140">
        <f t="shared" si="238"/>
        <v>-32409</v>
      </c>
      <c r="BJ149" s="140">
        <f t="shared" si="238"/>
        <v>-32229</v>
      </c>
      <c r="BK149" s="140">
        <f t="shared" si="238"/>
        <v>-32049</v>
      </c>
      <c r="BL149" s="140">
        <f t="shared" si="238"/>
        <v>-31869</v>
      </c>
      <c r="BM149" s="140">
        <f t="shared" si="238"/>
        <v>-31689</v>
      </c>
      <c r="BN149" s="140">
        <f t="shared" ref="BN149:CB149" si="239">DAYS360($B$3,BN56)</f>
        <v>-31509</v>
      </c>
      <c r="BO149" s="140">
        <f t="shared" si="239"/>
        <v>-31330</v>
      </c>
      <c r="BP149" s="140">
        <f t="shared" si="239"/>
        <v>-31150</v>
      </c>
      <c r="BQ149" s="140">
        <f t="shared" si="239"/>
        <v>-30970</v>
      </c>
      <c r="BR149" s="140">
        <f t="shared" si="239"/>
        <v>-30790</v>
      </c>
      <c r="BS149" s="140">
        <f t="shared" si="239"/>
        <v>-30610</v>
      </c>
      <c r="BT149" s="140">
        <f t="shared" si="239"/>
        <v>-30430</v>
      </c>
      <c r="BU149" s="140">
        <f t="shared" si="239"/>
        <v>-30250</v>
      </c>
      <c r="BV149" s="140">
        <f t="shared" si="239"/>
        <v>-30070</v>
      </c>
      <c r="BW149" s="140">
        <f t="shared" si="239"/>
        <v>-29891</v>
      </c>
      <c r="BX149" s="140">
        <f t="shared" si="239"/>
        <v>-29711</v>
      </c>
      <c r="BY149" s="140">
        <f t="shared" si="239"/>
        <v>-29531</v>
      </c>
      <c r="BZ149" s="140">
        <f t="shared" si="239"/>
        <v>-29351</v>
      </c>
      <c r="CA149" s="140">
        <f t="shared" si="239"/>
        <v>-29171</v>
      </c>
      <c r="CB149" s="140">
        <f t="shared" si="239"/>
        <v>-28991</v>
      </c>
      <c r="CC149" s="17"/>
      <c r="CD149" s="17"/>
      <c r="CE149" s="17"/>
    </row>
    <row r="150" spans="1:83">
      <c r="A150" s="16" t="s">
        <v>41</v>
      </c>
      <c r="B150" s="140">
        <f>B149/360</f>
        <v>-119.50555555555556</v>
      </c>
      <c r="C150" s="140">
        <f t="shared" ref="C150:BN150" si="240">C149/360</f>
        <v>-119.00555555555556</v>
      </c>
      <c r="D150" s="140">
        <f t="shared" si="240"/>
        <v>-118.50555555555556</v>
      </c>
      <c r="E150" s="140">
        <f t="shared" si="240"/>
        <v>-118.00555555555556</v>
      </c>
      <c r="F150" s="140">
        <f t="shared" si="240"/>
        <v>-117.50555555555556</v>
      </c>
      <c r="G150" s="140">
        <f t="shared" si="240"/>
        <v>-117.00555555555556</v>
      </c>
      <c r="H150" s="140">
        <f t="shared" si="240"/>
        <v>-116.50555555555556</v>
      </c>
      <c r="I150" s="140">
        <f t="shared" si="240"/>
        <v>-116.00555555555556</v>
      </c>
      <c r="J150" s="140">
        <f t="shared" si="240"/>
        <v>-115.50555555555556</v>
      </c>
      <c r="K150" s="140">
        <f t="shared" si="240"/>
        <v>-115.00833333333334</v>
      </c>
      <c r="L150" s="140">
        <f t="shared" si="240"/>
        <v>-114.50833333333334</v>
      </c>
      <c r="M150" s="140">
        <f t="shared" si="240"/>
        <v>-114.00833333333334</v>
      </c>
      <c r="N150" s="140">
        <f t="shared" si="240"/>
        <v>-113.50833333333334</v>
      </c>
      <c r="O150" s="140">
        <f t="shared" si="240"/>
        <v>-113.00833333333334</v>
      </c>
      <c r="P150" s="140">
        <f t="shared" si="240"/>
        <v>-112.50833333333334</v>
      </c>
      <c r="Q150" s="140">
        <f t="shared" si="240"/>
        <v>-112.00833333333334</v>
      </c>
      <c r="R150" s="140">
        <f t="shared" si="240"/>
        <v>-111.50833333333334</v>
      </c>
      <c r="S150" s="140">
        <f t="shared" si="240"/>
        <v>-111.01111111111111</v>
      </c>
      <c r="T150" s="140">
        <f t="shared" si="240"/>
        <v>-110.51111111111111</v>
      </c>
      <c r="U150" s="140">
        <f t="shared" si="240"/>
        <v>-110.01111111111111</v>
      </c>
      <c r="V150" s="140">
        <f t="shared" si="240"/>
        <v>-109.51111111111111</v>
      </c>
      <c r="W150" s="140">
        <f t="shared" si="240"/>
        <v>-109.01111111111111</v>
      </c>
      <c r="X150" s="140">
        <f t="shared" si="240"/>
        <v>-108.51111111111111</v>
      </c>
      <c r="Y150" s="140">
        <f t="shared" si="240"/>
        <v>-108.01111111111111</v>
      </c>
      <c r="Z150" s="140">
        <f t="shared" si="240"/>
        <v>-107.51111111111111</v>
      </c>
      <c r="AA150" s="140">
        <f t="shared" si="240"/>
        <v>-107.01388888888889</v>
      </c>
      <c r="AB150" s="140">
        <f t="shared" si="240"/>
        <v>-106.51388888888889</v>
      </c>
      <c r="AC150" s="140">
        <f t="shared" si="240"/>
        <v>-106.01388888888889</v>
      </c>
      <c r="AD150" s="140">
        <f t="shared" si="240"/>
        <v>-105.51388888888889</v>
      </c>
      <c r="AE150" s="140">
        <f t="shared" si="240"/>
        <v>-105.01388888888889</v>
      </c>
      <c r="AF150" s="140">
        <f t="shared" si="240"/>
        <v>-104.51388888888889</v>
      </c>
      <c r="AG150" s="140">
        <f t="shared" si="240"/>
        <v>-104.01388888888889</v>
      </c>
      <c r="AH150" s="140">
        <f t="shared" si="240"/>
        <v>-103.51388888888889</v>
      </c>
      <c r="AI150" s="140">
        <f t="shared" si="240"/>
        <v>-103.01666666666667</v>
      </c>
      <c r="AJ150" s="140">
        <f t="shared" si="240"/>
        <v>-102.51666666666667</v>
      </c>
      <c r="AK150" s="140">
        <f t="shared" si="240"/>
        <v>-102.01666666666667</v>
      </c>
      <c r="AL150" s="140">
        <f t="shared" si="240"/>
        <v>-101.51666666666667</v>
      </c>
      <c r="AM150" s="140">
        <f t="shared" si="240"/>
        <v>-101.01666666666667</v>
      </c>
      <c r="AN150" s="140">
        <f t="shared" si="240"/>
        <v>-100.51666666666667</v>
      </c>
      <c r="AO150" s="140">
        <f t="shared" si="240"/>
        <v>-100.01666666666667</v>
      </c>
      <c r="AP150" s="140">
        <f t="shared" si="240"/>
        <v>-99.516666666666666</v>
      </c>
      <c r="AQ150" s="140">
        <f t="shared" si="240"/>
        <v>-99.019444444444446</v>
      </c>
      <c r="AR150" s="140">
        <f t="shared" si="240"/>
        <v>-98.519444444444446</v>
      </c>
      <c r="AS150" s="140">
        <f t="shared" si="240"/>
        <v>-98.019444444444446</v>
      </c>
      <c r="AT150" s="140">
        <f t="shared" si="240"/>
        <v>-97.519444444444446</v>
      </c>
      <c r="AU150" s="140">
        <f t="shared" si="240"/>
        <v>-97.019444444444446</v>
      </c>
      <c r="AV150" s="140">
        <f t="shared" si="240"/>
        <v>-96.519444444444446</v>
      </c>
      <c r="AW150" s="140">
        <f t="shared" si="240"/>
        <v>-96.019444444444446</v>
      </c>
      <c r="AX150" s="140">
        <f t="shared" si="240"/>
        <v>-95.519444444444446</v>
      </c>
      <c r="AY150" s="140">
        <f t="shared" si="240"/>
        <v>-95.022222222222226</v>
      </c>
      <c r="AZ150" s="140">
        <f t="shared" si="240"/>
        <v>-94.522222222222226</v>
      </c>
      <c r="BA150" s="140">
        <f t="shared" si="240"/>
        <v>-94.022222222222226</v>
      </c>
      <c r="BB150" s="140">
        <f t="shared" si="240"/>
        <v>-93.522222222222226</v>
      </c>
      <c r="BC150" s="140">
        <f t="shared" si="240"/>
        <v>-93.022222222222226</v>
      </c>
      <c r="BD150" s="140">
        <f t="shared" si="240"/>
        <v>-92.522222222222226</v>
      </c>
      <c r="BE150" s="140">
        <f t="shared" si="240"/>
        <v>-92.022222222222226</v>
      </c>
      <c r="BF150" s="140">
        <f t="shared" si="240"/>
        <v>-91.522222222222226</v>
      </c>
      <c r="BG150" s="140">
        <f t="shared" si="240"/>
        <v>-91.025000000000006</v>
      </c>
      <c r="BH150" s="140">
        <f t="shared" si="240"/>
        <v>-90.525000000000006</v>
      </c>
      <c r="BI150" s="140">
        <f t="shared" si="240"/>
        <v>-90.025000000000006</v>
      </c>
      <c r="BJ150" s="140">
        <f t="shared" si="240"/>
        <v>-89.525000000000006</v>
      </c>
      <c r="BK150" s="140">
        <f t="shared" si="240"/>
        <v>-89.025000000000006</v>
      </c>
      <c r="BL150" s="140">
        <f t="shared" si="240"/>
        <v>-88.525000000000006</v>
      </c>
      <c r="BM150" s="140">
        <f t="shared" si="240"/>
        <v>-88.025000000000006</v>
      </c>
      <c r="BN150" s="140">
        <f t="shared" si="240"/>
        <v>-87.525000000000006</v>
      </c>
      <c r="BO150" s="140">
        <f t="shared" ref="BO150:CB150" si="241">BO149/360</f>
        <v>-87.027777777777771</v>
      </c>
      <c r="BP150" s="140">
        <f t="shared" si="241"/>
        <v>-86.527777777777771</v>
      </c>
      <c r="BQ150" s="140">
        <f t="shared" si="241"/>
        <v>-86.027777777777771</v>
      </c>
      <c r="BR150" s="140">
        <f t="shared" si="241"/>
        <v>-85.527777777777771</v>
      </c>
      <c r="BS150" s="140">
        <f t="shared" si="241"/>
        <v>-85.027777777777771</v>
      </c>
      <c r="BT150" s="140">
        <f t="shared" si="241"/>
        <v>-84.527777777777771</v>
      </c>
      <c r="BU150" s="140">
        <f t="shared" si="241"/>
        <v>-84.027777777777771</v>
      </c>
      <c r="BV150" s="140">
        <f t="shared" si="241"/>
        <v>-83.527777777777771</v>
      </c>
      <c r="BW150" s="140">
        <f t="shared" si="241"/>
        <v>-83.030555555555551</v>
      </c>
      <c r="BX150" s="140">
        <f t="shared" si="241"/>
        <v>-82.530555555555551</v>
      </c>
      <c r="BY150" s="140">
        <f t="shared" si="241"/>
        <v>-82.030555555555551</v>
      </c>
      <c r="BZ150" s="140">
        <f t="shared" si="241"/>
        <v>-81.530555555555551</v>
      </c>
      <c r="CA150" s="140">
        <f t="shared" si="241"/>
        <v>-81.030555555555551</v>
      </c>
      <c r="CB150" s="140">
        <f t="shared" si="241"/>
        <v>-80.530555555555551</v>
      </c>
      <c r="CC150" s="17"/>
      <c r="CD150" s="17"/>
      <c r="CE150" s="17"/>
    </row>
    <row r="151" spans="1:83">
      <c r="A151" s="16" t="s">
        <v>43</v>
      </c>
      <c r="B151" s="140">
        <f>IF(B149&lt;0,0,$B$5+$B$6*((1-EXP(-B150/$B$9))/(B150/$B$9))+$B$7*((1-EXP(-B150/$B$9))/(B150/$B$9)-EXP(-B150/$B$9))+$B$8*((1-EXP(-B150/$B$10))/(B150/$B$10)-EXP(-B150/$B$10)))</f>
        <v>0</v>
      </c>
      <c r="C151" s="140">
        <f t="shared" ref="C151:BN151" si="242">IF(C149&lt;0,0,$B$5+$B$6*((1-EXP(-C150/$B$9))/(C150/$B$9))+$B$7*((1-EXP(-C150/$B$9))/(C150/$B$9)-EXP(-C150/$B$9))+$B$8*((1-EXP(-C150/$B$10))/(C150/$B$10)-EXP(-C150/$B$10)))</f>
        <v>0</v>
      </c>
      <c r="D151" s="140">
        <f t="shared" si="242"/>
        <v>0</v>
      </c>
      <c r="E151" s="140">
        <f t="shared" si="242"/>
        <v>0</v>
      </c>
      <c r="F151" s="140">
        <f t="shared" si="242"/>
        <v>0</v>
      </c>
      <c r="G151" s="140">
        <f t="shared" si="242"/>
        <v>0</v>
      </c>
      <c r="H151" s="140">
        <f t="shared" si="242"/>
        <v>0</v>
      </c>
      <c r="I151" s="140">
        <f t="shared" si="242"/>
        <v>0</v>
      </c>
      <c r="J151" s="140">
        <f t="shared" si="242"/>
        <v>0</v>
      </c>
      <c r="K151" s="140">
        <f t="shared" si="242"/>
        <v>0</v>
      </c>
      <c r="L151" s="140">
        <f t="shared" si="242"/>
        <v>0</v>
      </c>
      <c r="M151" s="140">
        <f t="shared" si="242"/>
        <v>0</v>
      </c>
      <c r="N151" s="140">
        <f t="shared" si="242"/>
        <v>0</v>
      </c>
      <c r="O151" s="140">
        <f t="shared" si="242"/>
        <v>0</v>
      </c>
      <c r="P151" s="140">
        <f t="shared" si="242"/>
        <v>0</v>
      </c>
      <c r="Q151" s="140">
        <f t="shared" si="242"/>
        <v>0</v>
      </c>
      <c r="R151" s="140">
        <f t="shared" si="242"/>
        <v>0</v>
      </c>
      <c r="S151" s="140">
        <f t="shared" si="242"/>
        <v>0</v>
      </c>
      <c r="T151" s="140">
        <f t="shared" si="242"/>
        <v>0</v>
      </c>
      <c r="U151" s="140">
        <f t="shared" si="242"/>
        <v>0</v>
      </c>
      <c r="V151" s="140">
        <f t="shared" si="242"/>
        <v>0</v>
      </c>
      <c r="W151" s="140">
        <f t="shared" si="242"/>
        <v>0</v>
      </c>
      <c r="X151" s="140">
        <f t="shared" si="242"/>
        <v>0</v>
      </c>
      <c r="Y151" s="140">
        <f t="shared" si="242"/>
        <v>0</v>
      </c>
      <c r="Z151" s="140">
        <f t="shared" si="242"/>
        <v>0</v>
      </c>
      <c r="AA151" s="140">
        <f t="shared" si="242"/>
        <v>0</v>
      </c>
      <c r="AB151" s="140">
        <f t="shared" si="242"/>
        <v>0</v>
      </c>
      <c r="AC151" s="140">
        <f t="shared" si="242"/>
        <v>0</v>
      </c>
      <c r="AD151" s="140">
        <f t="shared" si="242"/>
        <v>0</v>
      </c>
      <c r="AE151" s="140">
        <f t="shared" si="242"/>
        <v>0</v>
      </c>
      <c r="AF151" s="140">
        <f t="shared" si="242"/>
        <v>0</v>
      </c>
      <c r="AG151" s="140">
        <f t="shared" si="242"/>
        <v>0</v>
      </c>
      <c r="AH151" s="140">
        <f t="shared" si="242"/>
        <v>0</v>
      </c>
      <c r="AI151" s="140">
        <f t="shared" si="242"/>
        <v>0</v>
      </c>
      <c r="AJ151" s="140">
        <f t="shared" si="242"/>
        <v>0</v>
      </c>
      <c r="AK151" s="140">
        <f t="shared" si="242"/>
        <v>0</v>
      </c>
      <c r="AL151" s="140">
        <f t="shared" si="242"/>
        <v>0</v>
      </c>
      <c r="AM151" s="140">
        <f t="shared" si="242"/>
        <v>0</v>
      </c>
      <c r="AN151" s="140">
        <f t="shared" si="242"/>
        <v>0</v>
      </c>
      <c r="AO151" s="140">
        <f t="shared" si="242"/>
        <v>0</v>
      </c>
      <c r="AP151" s="140">
        <f t="shared" si="242"/>
        <v>0</v>
      </c>
      <c r="AQ151" s="140">
        <f t="shared" si="242"/>
        <v>0</v>
      </c>
      <c r="AR151" s="140">
        <f t="shared" si="242"/>
        <v>0</v>
      </c>
      <c r="AS151" s="140">
        <f t="shared" si="242"/>
        <v>0</v>
      </c>
      <c r="AT151" s="140">
        <f t="shared" si="242"/>
        <v>0</v>
      </c>
      <c r="AU151" s="140">
        <f t="shared" si="242"/>
        <v>0</v>
      </c>
      <c r="AV151" s="140">
        <f t="shared" si="242"/>
        <v>0</v>
      </c>
      <c r="AW151" s="140">
        <f t="shared" si="242"/>
        <v>0</v>
      </c>
      <c r="AX151" s="140">
        <f t="shared" si="242"/>
        <v>0</v>
      </c>
      <c r="AY151" s="140">
        <f t="shared" si="242"/>
        <v>0</v>
      </c>
      <c r="AZ151" s="140">
        <f t="shared" si="242"/>
        <v>0</v>
      </c>
      <c r="BA151" s="140">
        <f t="shared" si="242"/>
        <v>0</v>
      </c>
      <c r="BB151" s="140">
        <f t="shared" si="242"/>
        <v>0</v>
      </c>
      <c r="BC151" s="140">
        <f t="shared" si="242"/>
        <v>0</v>
      </c>
      <c r="BD151" s="140">
        <f t="shared" si="242"/>
        <v>0</v>
      </c>
      <c r="BE151" s="140">
        <f t="shared" si="242"/>
        <v>0</v>
      </c>
      <c r="BF151" s="140">
        <f t="shared" si="242"/>
        <v>0</v>
      </c>
      <c r="BG151" s="140">
        <f t="shared" si="242"/>
        <v>0</v>
      </c>
      <c r="BH151" s="140">
        <f t="shared" si="242"/>
        <v>0</v>
      </c>
      <c r="BI151" s="140">
        <f t="shared" si="242"/>
        <v>0</v>
      </c>
      <c r="BJ151" s="140">
        <f t="shared" si="242"/>
        <v>0</v>
      </c>
      <c r="BK151" s="140">
        <f t="shared" si="242"/>
        <v>0</v>
      </c>
      <c r="BL151" s="140">
        <f t="shared" si="242"/>
        <v>0</v>
      </c>
      <c r="BM151" s="140">
        <f t="shared" si="242"/>
        <v>0</v>
      </c>
      <c r="BN151" s="140">
        <f t="shared" si="242"/>
        <v>0</v>
      </c>
      <c r="BO151" s="140">
        <f t="shared" ref="BO151:CB151" si="243">IF(BO149&lt;0,0,$B$5+$B$6*((1-EXP(-BO150/$B$9))/(BO150/$B$9))+$B$7*((1-EXP(-BO150/$B$9))/(BO150/$B$9)-EXP(-BO150/$B$9))+$B$8*((1-EXP(-BO150/$B$10))/(BO150/$B$10)-EXP(-BO150/$B$10)))</f>
        <v>0</v>
      </c>
      <c r="BP151" s="140">
        <f t="shared" si="243"/>
        <v>0</v>
      </c>
      <c r="BQ151" s="140">
        <f t="shared" si="243"/>
        <v>0</v>
      </c>
      <c r="BR151" s="140">
        <f t="shared" si="243"/>
        <v>0</v>
      </c>
      <c r="BS151" s="140">
        <f t="shared" si="243"/>
        <v>0</v>
      </c>
      <c r="BT151" s="140">
        <f t="shared" si="243"/>
        <v>0</v>
      </c>
      <c r="BU151" s="140">
        <f t="shared" si="243"/>
        <v>0</v>
      </c>
      <c r="BV151" s="140">
        <f t="shared" si="243"/>
        <v>0</v>
      </c>
      <c r="BW151" s="140">
        <f t="shared" si="243"/>
        <v>0</v>
      </c>
      <c r="BX151" s="140">
        <f t="shared" si="243"/>
        <v>0</v>
      </c>
      <c r="BY151" s="140">
        <f t="shared" si="243"/>
        <v>0</v>
      </c>
      <c r="BZ151" s="140">
        <f t="shared" si="243"/>
        <v>0</v>
      </c>
      <c r="CA151" s="140">
        <f t="shared" si="243"/>
        <v>0</v>
      </c>
      <c r="CB151" s="140">
        <f t="shared" si="243"/>
        <v>0</v>
      </c>
      <c r="CC151" s="17"/>
      <c r="CD151" s="17"/>
      <c r="CE151" s="17"/>
    </row>
    <row r="152" spans="1:83">
      <c r="A152" s="16" t="s">
        <v>44</v>
      </c>
      <c r="B152" s="140">
        <f>EXP(-B151*B150)</f>
        <v>1</v>
      </c>
      <c r="C152" s="140">
        <f t="shared" ref="C152:AR152" si="244">EXP(-C151*C150)</f>
        <v>1</v>
      </c>
      <c r="D152" s="140">
        <f t="shared" si="244"/>
        <v>1</v>
      </c>
      <c r="E152" s="140">
        <f t="shared" si="244"/>
        <v>1</v>
      </c>
      <c r="F152" s="140">
        <f t="shared" si="244"/>
        <v>1</v>
      </c>
      <c r="G152" s="140">
        <f t="shared" si="244"/>
        <v>1</v>
      </c>
      <c r="H152" s="140">
        <f t="shared" si="244"/>
        <v>1</v>
      </c>
      <c r="I152" s="140">
        <f t="shared" si="244"/>
        <v>1</v>
      </c>
      <c r="J152" s="140">
        <f t="shared" si="244"/>
        <v>1</v>
      </c>
      <c r="K152" s="140">
        <f t="shared" si="244"/>
        <v>1</v>
      </c>
      <c r="L152" s="140">
        <f t="shared" si="244"/>
        <v>1</v>
      </c>
      <c r="M152" s="140">
        <f t="shared" si="244"/>
        <v>1</v>
      </c>
      <c r="N152" s="140">
        <f t="shared" si="244"/>
        <v>1</v>
      </c>
      <c r="O152" s="140">
        <f t="shared" si="244"/>
        <v>1</v>
      </c>
      <c r="P152" s="140">
        <f t="shared" si="244"/>
        <v>1</v>
      </c>
      <c r="Q152" s="140">
        <f t="shared" si="244"/>
        <v>1</v>
      </c>
      <c r="R152" s="140">
        <f t="shared" si="244"/>
        <v>1</v>
      </c>
      <c r="S152" s="140">
        <f t="shared" si="244"/>
        <v>1</v>
      </c>
      <c r="T152" s="140">
        <f t="shared" si="244"/>
        <v>1</v>
      </c>
      <c r="U152" s="140">
        <f t="shared" si="244"/>
        <v>1</v>
      </c>
      <c r="V152" s="140">
        <f t="shared" si="244"/>
        <v>1</v>
      </c>
      <c r="W152" s="140">
        <f t="shared" si="244"/>
        <v>1</v>
      </c>
      <c r="X152" s="140">
        <f t="shared" si="244"/>
        <v>1</v>
      </c>
      <c r="Y152" s="140">
        <f t="shared" si="244"/>
        <v>1</v>
      </c>
      <c r="Z152" s="140">
        <f t="shared" si="244"/>
        <v>1</v>
      </c>
      <c r="AA152" s="140">
        <f t="shared" si="244"/>
        <v>1</v>
      </c>
      <c r="AB152" s="140">
        <f t="shared" si="244"/>
        <v>1</v>
      </c>
      <c r="AC152" s="140">
        <f t="shared" si="244"/>
        <v>1</v>
      </c>
      <c r="AD152" s="140">
        <f t="shared" si="244"/>
        <v>1</v>
      </c>
      <c r="AE152" s="140">
        <f t="shared" si="244"/>
        <v>1</v>
      </c>
      <c r="AF152" s="140">
        <f t="shared" si="244"/>
        <v>1</v>
      </c>
      <c r="AG152" s="140">
        <f t="shared" si="244"/>
        <v>1</v>
      </c>
      <c r="AH152" s="140">
        <f t="shared" si="244"/>
        <v>1</v>
      </c>
      <c r="AI152" s="140">
        <f t="shared" si="244"/>
        <v>1</v>
      </c>
      <c r="AJ152" s="140">
        <f t="shared" si="244"/>
        <v>1</v>
      </c>
      <c r="AK152" s="140">
        <f t="shared" si="244"/>
        <v>1</v>
      </c>
      <c r="AL152" s="140">
        <f t="shared" si="244"/>
        <v>1</v>
      </c>
      <c r="AM152" s="140">
        <f t="shared" si="244"/>
        <v>1</v>
      </c>
      <c r="AN152" s="140">
        <f t="shared" si="244"/>
        <v>1</v>
      </c>
      <c r="AO152" s="140">
        <f t="shared" si="244"/>
        <v>1</v>
      </c>
      <c r="AP152" s="140">
        <f t="shared" si="244"/>
        <v>1</v>
      </c>
      <c r="AQ152" s="140">
        <f t="shared" si="244"/>
        <v>1</v>
      </c>
      <c r="AR152" s="140">
        <f t="shared" si="244"/>
        <v>1</v>
      </c>
      <c r="AS152" s="140">
        <f>EXP(-AS151*AS150)</f>
        <v>1</v>
      </c>
      <c r="AT152" s="140">
        <f t="shared" ref="AT152:CA152" si="245">EXP(-AT151*AT150)</f>
        <v>1</v>
      </c>
      <c r="AU152" s="140">
        <f t="shared" si="245"/>
        <v>1</v>
      </c>
      <c r="AV152" s="140">
        <f t="shared" si="245"/>
        <v>1</v>
      </c>
      <c r="AW152" s="140">
        <f t="shared" si="245"/>
        <v>1</v>
      </c>
      <c r="AX152" s="140">
        <f t="shared" si="245"/>
        <v>1</v>
      </c>
      <c r="AY152" s="140">
        <f t="shared" si="245"/>
        <v>1</v>
      </c>
      <c r="AZ152" s="140">
        <f t="shared" si="245"/>
        <v>1</v>
      </c>
      <c r="BA152" s="140">
        <f t="shared" si="245"/>
        <v>1</v>
      </c>
      <c r="BB152" s="140">
        <f t="shared" si="245"/>
        <v>1</v>
      </c>
      <c r="BC152" s="140">
        <f t="shared" si="245"/>
        <v>1</v>
      </c>
      <c r="BD152" s="140">
        <f t="shared" si="245"/>
        <v>1</v>
      </c>
      <c r="BE152" s="140">
        <f t="shared" si="245"/>
        <v>1</v>
      </c>
      <c r="BF152" s="140">
        <f t="shared" si="245"/>
        <v>1</v>
      </c>
      <c r="BG152" s="140">
        <f t="shared" si="245"/>
        <v>1</v>
      </c>
      <c r="BH152" s="140">
        <f t="shared" si="245"/>
        <v>1</v>
      </c>
      <c r="BI152" s="140">
        <f t="shared" si="245"/>
        <v>1</v>
      </c>
      <c r="BJ152" s="140">
        <f t="shared" si="245"/>
        <v>1</v>
      </c>
      <c r="BK152" s="140">
        <f t="shared" si="245"/>
        <v>1</v>
      </c>
      <c r="BL152" s="140">
        <f t="shared" si="245"/>
        <v>1</v>
      </c>
      <c r="BM152" s="140">
        <f t="shared" si="245"/>
        <v>1</v>
      </c>
      <c r="BN152" s="140">
        <f t="shared" si="245"/>
        <v>1</v>
      </c>
      <c r="BO152" s="140">
        <f t="shared" si="245"/>
        <v>1</v>
      </c>
      <c r="BP152" s="140">
        <f t="shared" si="245"/>
        <v>1</v>
      </c>
      <c r="BQ152" s="140">
        <f t="shared" si="245"/>
        <v>1</v>
      </c>
      <c r="BR152" s="140">
        <f t="shared" si="245"/>
        <v>1</v>
      </c>
      <c r="BS152" s="140">
        <f t="shared" si="245"/>
        <v>1</v>
      </c>
      <c r="BT152" s="140">
        <f t="shared" si="245"/>
        <v>1</v>
      </c>
      <c r="BU152" s="140">
        <f t="shared" si="245"/>
        <v>1</v>
      </c>
      <c r="BV152" s="140">
        <f t="shared" si="245"/>
        <v>1</v>
      </c>
      <c r="BW152" s="140">
        <f t="shared" si="245"/>
        <v>1</v>
      </c>
      <c r="BX152" s="140">
        <f t="shared" si="245"/>
        <v>1</v>
      </c>
      <c r="BY152" s="140">
        <f t="shared" si="245"/>
        <v>1</v>
      </c>
      <c r="BZ152" s="140">
        <f t="shared" si="245"/>
        <v>1</v>
      </c>
      <c r="CA152" s="140">
        <f t="shared" si="245"/>
        <v>1</v>
      </c>
      <c r="CB152" s="140">
        <f>EXP(-CB151*CB150)</f>
        <v>1</v>
      </c>
      <c r="CC152" s="17"/>
      <c r="CD152" s="17"/>
      <c r="CE152" s="17"/>
    </row>
    <row r="153" spans="1:83">
      <c r="A153" s="17"/>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17"/>
      <c r="CD153" s="17"/>
      <c r="CE153" s="17"/>
    </row>
    <row r="154" spans="1:83">
      <c r="A154" s="16" t="s">
        <v>40</v>
      </c>
      <c r="B154" s="140">
        <f t="shared" ref="B154:BM154" si="246">DAYS360($B$3,B58)</f>
        <v>-43022</v>
      </c>
      <c r="C154" s="140">
        <f t="shared" si="246"/>
        <v>-42842</v>
      </c>
      <c r="D154" s="140">
        <f t="shared" si="246"/>
        <v>-42662</v>
      </c>
      <c r="E154" s="140">
        <f t="shared" si="246"/>
        <v>-42482</v>
      </c>
      <c r="F154" s="140">
        <f t="shared" si="246"/>
        <v>-42302</v>
      </c>
      <c r="G154" s="140">
        <f t="shared" si="246"/>
        <v>-42122</v>
      </c>
      <c r="H154" s="140">
        <f t="shared" si="246"/>
        <v>-41942</v>
      </c>
      <c r="I154" s="140">
        <f t="shared" si="246"/>
        <v>-41762</v>
      </c>
      <c r="J154" s="140">
        <f t="shared" si="246"/>
        <v>-41582</v>
      </c>
      <c r="K154" s="140">
        <f t="shared" si="246"/>
        <v>-41403</v>
      </c>
      <c r="L154" s="140">
        <f t="shared" si="246"/>
        <v>-41223</v>
      </c>
      <c r="M154" s="140">
        <f t="shared" si="246"/>
        <v>-41043</v>
      </c>
      <c r="N154" s="140">
        <f t="shared" si="246"/>
        <v>-40863</v>
      </c>
      <c r="O154" s="140">
        <f t="shared" si="246"/>
        <v>-40683</v>
      </c>
      <c r="P154" s="140">
        <f t="shared" si="246"/>
        <v>-40503</v>
      </c>
      <c r="Q154" s="140">
        <f t="shared" si="246"/>
        <v>-40323</v>
      </c>
      <c r="R154" s="140">
        <f t="shared" si="246"/>
        <v>-40143</v>
      </c>
      <c r="S154" s="140">
        <f t="shared" si="246"/>
        <v>-39964</v>
      </c>
      <c r="T154" s="140">
        <f t="shared" si="246"/>
        <v>-39784</v>
      </c>
      <c r="U154" s="140">
        <f t="shared" si="246"/>
        <v>-39604</v>
      </c>
      <c r="V154" s="140">
        <f t="shared" si="246"/>
        <v>-39424</v>
      </c>
      <c r="W154" s="140">
        <f t="shared" si="246"/>
        <v>-39244</v>
      </c>
      <c r="X154" s="140">
        <f t="shared" si="246"/>
        <v>-39064</v>
      </c>
      <c r="Y154" s="140">
        <f t="shared" si="246"/>
        <v>-38884</v>
      </c>
      <c r="Z154" s="140">
        <f t="shared" si="246"/>
        <v>-38704</v>
      </c>
      <c r="AA154" s="140">
        <f t="shared" si="246"/>
        <v>-38525</v>
      </c>
      <c r="AB154" s="140">
        <f t="shared" si="246"/>
        <v>-38345</v>
      </c>
      <c r="AC154" s="140">
        <f t="shared" si="246"/>
        <v>-38165</v>
      </c>
      <c r="AD154" s="140">
        <f t="shared" si="246"/>
        <v>-37985</v>
      </c>
      <c r="AE154" s="140">
        <f t="shared" si="246"/>
        <v>-37805</v>
      </c>
      <c r="AF154" s="140">
        <f t="shared" si="246"/>
        <v>-37625</v>
      </c>
      <c r="AG154" s="140">
        <f t="shared" si="246"/>
        <v>-37445</v>
      </c>
      <c r="AH154" s="140">
        <f t="shared" si="246"/>
        <v>-37265</v>
      </c>
      <c r="AI154" s="140">
        <f t="shared" si="246"/>
        <v>-37086</v>
      </c>
      <c r="AJ154" s="140">
        <f t="shared" si="246"/>
        <v>-36906</v>
      </c>
      <c r="AK154" s="140">
        <f t="shared" si="246"/>
        <v>-36726</v>
      </c>
      <c r="AL154" s="140">
        <f t="shared" si="246"/>
        <v>-36546</v>
      </c>
      <c r="AM154" s="140">
        <f t="shared" si="246"/>
        <v>-36366</v>
      </c>
      <c r="AN154" s="140">
        <f t="shared" si="246"/>
        <v>-36186</v>
      </c>
      <c r="AO154" s="140">
        <f t="shared" si="246"/>
        <v>-36006</v>
      </c>
      <c r="AP154" s="140">
        <f t="shared" si="246"/>
        <v>-35826</v>
      </c>
      <c r="AQ154" s="140">
        <f t="shared" si="246"/>
        <v>-35647</v>
      </c>
      <c r="AR154" s="140">
        <f t="shared" si="246"/>
        <v>-35467</v>
      </c>
      <c r="AS154" s="140">
        <f t="shared" si="246"/>
        <v>-35287</v>
      </c>
      <c r="AT154" s="140">
        <f t="shared" si="246"/>
        <v>-35107</v>
      </c>
      <c r="AU154" s="140">
        <f t="shared" si="246"/>
        <v>-34927</v>
      </c>
      <c r="AV154" s="140">
        <f t="shared" si="246"/>
        <v>-34747</v>
      </c>
      <c r="AW154" s="140">
        <f t="shared" si="246"/>
        <v>-34567</v>
      </c>
      <c r="AX154" s="140">
        <f t="shared" si="246"/>
        <v>-34387</v>
      </c>
      <c r="AY154" s="140">
        <f t="shared" si="246"/>
        <v>-34208</v>
      </c>
      <c r="AZ154" s="140">
        <f t="shared" si="246"/>
        <v>-34028</v>
      </c>
      <c r="BA154" s="140">
        <f t="shared" si="246"/>
        <v>-33848</v>
      </c>
      <c r="BB154" s="140">
        <f t="shared" si="246"/>
        <v>-33668</v>
      </c>
      <c r="BC154" s="140">
        <f t="shared" si="246"/>
        <v>-33488</v>
      </c>
      <c r="BD154" s="140">
        <f t="shared" si="246"/>
        <v>-33308</v>
      </c>
      <c r="BE154" s="140">
        <f t="shared" si="246"/>
        <v>-33128</v>
      </c>
      <c r="BF154" s="140">
        <f t="shared" si="246"/>
        <v>-32948</v>
      </c>
      <c r="BG154" s="140">
        <f t="shared" si="246"/>
        <v>-32769</v>
      </c>
      <c r="BH154" s="140">
        <f t="shared" si="246"/>
        <v>-32589</v>
      </c>
      <c r="BI154" s="140">
        <f t="shared" si="246"/>
        <v>-32409</v>
      </c>
      <c r="BJ154" s="140">
        <f t="shared" si="246"/>
        <v>-32229</v>
      </c>
      <c r="BK154" s="140">
        <f t="shared" si="246"/>
        <v>-32049</v>
      </c>
      <c r="BL154" s="140">
        <f t="shared" si="246"/>
        <v>-31869</v>
      </c>
      <c r="BM154" s="140">
        <f t="shared" si="246"/>
        <v>-31689</v>
      </c>
      <c r="BN154" s="140">
        <f t="shared" ref="BN154:CB154" si="247">DAYS360($B$3,BN58)</f>
        <v>-31509</v>
      </c>
      <c r="BO154" s="140">
        <f t="shared" si="247"/>
        <v>-31330</v>
      </c>
      <c r="BP154" s="140">
        <f t="shared" si="247"/>
        <v>-31150</v>
      </c>
      <c r="BQ154" s="140">
        <f t="shared" si="247"/>
        <v>-30970</v>
      </c>
      <c r="BR154" s="140">
        <f t="shared" si="247"/>
        <v>-30790</v>
      </c>
      <c r="BS154" s="140">
        <f t="shared" si="247"/>
        <v>-30610</v>
      </c>
      <c r="BT154" s="140">
        <f t="shared" si="247"/>
        <v>-30430</v>
      </c>
      <c r="BU154" s="140">
        <f t="shared" si="247"/>
        <v>-30250</v>
      </c>
      <c r="BV154" s="140">
        <f t="shared" si="247"/>
        <v>-30070</v>
      </c>
      <c r="BW154" s="140">
        <f t="shared" si="247"/>
        <v>-29891</v>
      </c>
      <c r="BX154" s="140">
        <f t="shared" si="247"/>
        <v>-29711</v>
      </c>
      <c r="BY154" s="140">
        <f t="shared" si="247"/>
        <v>-29531</v>
      </c>
      <c r="BZ154" s="140">
        <f t="shared" si="247"/>
        <v>-29351</v>
      </c>
      <c r="CA154" s="140">
        <f t="shared" si="247"/>
        <v>-29171</v>
      </c>
      <c r="CB154" s="140">
        <f t="shared" si="247"/>
        <v>-28991</v>
      </c>
      <c r="CC154" s="17"/>
      <c r="CD154" s="17"/>
      <c r="CE154" s="17"/>
    </row>
    <row r="155" spans="1:83">
      <c r="A155" s="16" t="s">
        <v>41</v>
      </c>
      <c r="B155" s="140">
        <f>B154/360</f>
        <v>-119.50555555555556</v>
      </c>
      <c r="C155" s="140">
        <f t="shared" ref="C155:BN155" si="248">C154/360</f>
        <v>-119.00555555555556</v>
      </c>
      <c r="D155" s="140">
        <f t="shared" si="248"/>
        <v>-118.50555555555556</v>
      </c>
      <c r="E155" s="140">
        <f t="shared" si="248"/>
        <v>-118.00555555555556</v>
      </c>
      <c r="F155" s="140">
        <f t="shared" si="248"/>
        <v>-117.50555555555556</v>
      </c>
      <c r="G155" s="140">
        <f t="shared" si="248"/>
        <v>-117.00555555555556</v>
      </c>
      <c r="H155" s="140">
        <f t="shared" si="248"/>
        <v>-116.50555555555556</v>
      </c>
      <c r="I155" s="140">
        <f t="shared" si="248"/>
        <v>-116.00555555555556</v>
      </c>
      <c r="J155" s="140">
        <f t="shared" si="248"/>
        <v>-115.50555555555556</v>
      </c>
      <c r="K155" s="140">
        <f t="shared" si="248"/>
        <v>-115.00833333333334</v>
      </c>
      <c r="L155" s="140">
        <f t="shared" si="248"/>
        <v>-114.50833333333334</v>
      </c>
      <c r="M155" s="140">
        <f t="shared" si="248"/>
        <v>-114.00833333333334</v>
      </c>
      <c r="N155" s="140">
        <f t="shared" si="248"/>
        <v>-113.50833333333334</v>
      </c>
      <c r="O155" s="140">
        <f t="shared" si="248"/>
        <v>-113.00833333333334</v>
      </c>
      <c r="P155" s="140">
        <f t="shared" si="248"/>
        <v>-112.50833333333334</v>
      </c>
      <c r="Q155" s="140">
        <f t="shared" si="248"/>
        <v>-112.00833333333334</v>
      </c>
      <c r="R155" s="140">
        <f t="shared" si="248"/>
        <v>-111.50833333333334</v>
      </c>
      <c r="S155" s="140">
        <f t="shared" si="248"/>
        <v>-111.01111111111111</v>
      </c>
      <c r="T155" s="140">
        <f t="shared" si="248"/>
        <v>-110.51111111111111</v>
      </c>
      <c r="U155" s="140">
        <f t="shared" si="248"/>
        <v>-110.01111111111111</v>
      </c>
      <c r="V155" s="140">
        <f t="shared" si="248"/>
        <v>-109.51111111111111</v>
      </c>
      <c r="W155" s="140">
        <f t="shared" si="248"/>
        <v>-109.01111111111111</v>
      </c>
      <c r="X155" s="140">
        <f t="shared" si="248"/>
        <v>-108.51111111111111</v>
      </c>
      <c r="Y155" s="140">
        <f t="shared" si="248"/>
        <v>-108.01111111111111</v>
      </c>
      <c r="Z155" s="140">
        <f t="shared" si="248"/>
        <v>-107.51111111111111</v>
      </c>
      <c r="AA155" s="140">
        <f t="shared" si="248"/>
        <v>-107.01388888888889</v>
      </c>
      <c r="AB155" s="140">
        <f t="shared" si="248"/>
        <v>-106.51388888888889</v>
      </c>
      <c r="AC155" s="140">
        <f t="shared" si="248"/>
        <v>-106.01388888888889</v>
      </c>
      <c r="AD155" s="140">
        <f t="shared" si="248"/>
        <v>-105.51388888888889</v>
      </c>
      <c r="AE155" s="140">
        <f t="shared" si="248"/>
        <v>-105.01388888888889</v>
      </c>
      <c r="AF155" s="140">
        <f t="shared" si="248"/>
        <v>-104.51388888888889</v>
      </c>
      <c r="AG155" s="140">
        <f t="shared" si="248"/>
        <v>-104.01388888888889</v>
      </c>
      <c r="AH155" s="140">
        <f t="shared" si="248"/>
        <v>-103.51388888888889</v>
      </c>
      <c r="AI155" s="140">
        <f t="shared" si="248"/>
        <v>-103.01666666666667</v>
      </c>
      <c r="AJ155" s="140">
        <f t="shared" si="248"/>
        <v>-102.51666666666667</v>
      </c>
      <c r="AK155" s="140">
        <f t="shared" si="248"/>
        <v>-102.01666666666667</v>
      </c>
      <c r="AL155" s="140">
        <f t="shared" si="248"/>
        <v>-101.51666666666667</v>
      </c>
      <c r="AM155" s="140">
        <f t="shared" si="248"/>
        <v>-101.01666666666667</v>
      </c>
      <c r="AN155" s="140">
        <f t="shared" si="248"/>
        <v>-100.51666666666667</v>
      </c>
      <c r="AO155" s="140">
        <f t="shared" si="248"/>
        <v>-100.01666666666667</v>
      </c>
      <c r="AP155" s="140">
        <f t="shared" si="248"/>
        <v>-99.516666666666666</v>
      </c>
      <c r="AQ155" s="140">
        <f t="shared" si="248"/>
        <v>-99.019444444444446</v>
      </c>
      <c r="AR155" s="140">
        <f t="shared" si="248"/>
        <v>-98.519444444444446</v>
      </c>
      <c r="AS155" s="140">
        <f t="shared" si="248"/>
        <v>-98.019444444444446</v>
      </c>
      <c r="AT155" s="140">
        <f t="shared" si="248"/>
        <v>-97.519444444444446</v>
      </c>
      <c r="AU155" s="140">
        <f t="shared" si="248"/>
        <v>-97.019444444444446</v>
      </c>
      <c r="AV155" s="140">
        <f t="shared" si="248"/>
        <v>-96.519444444444446</v>
      </c>
      <c r="AW155" s="140">
        <f t="shared" si="248"/>
        <v>-96.019444444444446</v>
      </c>
      <c r="AX155" s="140">
        <f t="shared" si="248"/>
        <v>-95.519444444444446</v>
      </c>
      <c r="AY155" s="140">
        <f t="shared" si="248"/>
        <v>-95.022222222222226</v>
      </c>
      <c r="AZ155" s="140">
        <f t="shared" si="248"/>
        <v>-94.522222222222226</v>
      </c>
      <c r="BA155" s="140">
        <f t="shared" si="248"/>
        <v>-94.022222222222226</v>
      </c>
      <c r="BB155" s="140">
        <f t="shared" si="248"/>
        <v>-93.522222222222226</v>
      </c>
      <c r="BC155" s="140">
        <f t="shared" si="248"/>
        <v>-93.022222222222226</v>
      </c>
      <c r="BD155" s="140">
        <f t="shared" si="248"/>
        <v>-92.522222222222226</v>
      </c>
      <c r="BE155" s="140">
        <f t="shared" si="248"/>
        <v>-92.022222222222226</v>
      </c>
      <c r="BF155" s="140">
        <f t="shared" si="248"/>
        <v>-91.522222222222226</v>
      </c>
      <c r="BG155" s="140">
        <f t="shared" si="248"/>
        <v>-91.025000000000006</v>
      </c>
      <c r="BH155" s="140">
        <f t="shared" si="248"/>
        <v>-90.525000000000006</v>
      </c>
      <c r="BI155" s="140">
        <f t="shared" si="248"/>
        <v>-90.025000000000006</v>
      </c>
      <c r="BJ155" s="140">
        <f t="shared" si="248"/>
        <v>-89.525000000000006</v>
      </c>
      <c r="BK155" s="140">
        <f t="shared" si="248"/>
        <v>-89.025000000000006</v>
      </c>
      <c r="BL155" s="140">
        <f t="shared" si="248"/>
        <v>-88.525000000000006</v>
      </c>
      <c r="BM155" s="140">
        <f t="shared" si="248"/>
        <v>-88.025000000000006</v>
      </c>
      <c r="BN155" s="140">
        <f t="shared" si="248"/>
        <v>-87.525000000000006</v>
      </c>
      <c r="BO155" s="140">
        <f t="shared" ref="BO155:CB155" si="249">BO154/360</f>
        <v>-87.027777777777771</v>
      </c>
      <c r="BP155" s="140">
        <f t="shared" si="249"/>
        <v>-86.527777777777771</v>
      </c>
      <c r="BQ155" s="140">
        <f t="shared" si="249"/>
        <v>-86.027777777777771</v>
      </c>
      <c r="BR155" s="140">
        <f t="shared" si="249"/>
        <v>-85.527777777777771</v>
      </c>
      <c r="BS155" s="140">
        <f t="shared" si="249"/>
        <v>-85.027777777777771</v>
      </c>
      <c r="BT155" s="140">
        <f t="shared" si="249"/>
        <v>-84.527777777777771</v>
      </c>
      <c r="BU155" s="140">
        <f t="shared" si="249"/>
        <v>-84.027777777777771</v>
      </c>
      <c r="BV155" s="140">
        <f t="shared" si="249"/>
        <v>-83.527777777777771</v>
      </c>
      <c r="BW155" s="140">
        <f t="shared" si="249"/>
        <v>-83.030555555555551</v>
      </c>
      <c r="BX155" s="140">
        <f t="shared" si="249"/>
        <v>-82.530555555555551</v>
      </c>
      <c r="BY155" s="140">
        <f t="shared" si="249"/>
        <v>-82.030555555555551</v>
      </c>
      <c r="BZ155" s="140">
        <f t="shared" si="249"/>
        <v>-81.530555555555551</v>
      </c>
      <c r="CA155" s="140">
        <f t="shared" si="249"/>
        <v>-81.030555555555551</v>
      </c>
      <c r="CB155" s="140">
        <f t="shared" si="249"/>
        <v>-80.530555555555551</v>
      </c>
      <c r="CC155" s="17"/>
      <c r="CD155" s="17"/>
      <c r="CE155" s="17"/>
    </row>
    <row r="156" spans="1:83">
      <c r="A156" s="16" t="s">
        <v>43</v>
      </c>
      <c r="B156" s="140">
        <f>IF(B154&lt;0,0,$B$5+$B$6*((1-EXP(-B155/$B$9))/(B155/$B$9))+$B$7*((1-EXP(-B155/$B$9))/(B155/$B$9)-EXP(-B155/$B$9))+$B$8*((1-EXP(-B155/$B$10))/(B155/$B$10)-EXP(-B155/$B$10)))</f>
        <v>0</v>
      </c>
      <c r="C156" s="140">
        <f t="shared" ref="C156:BN156" si="250">IF(C154&lt;0,0,$B$5+$B$6*((1-EXP(-C155/$B$9))/(C155/$B$9))+$B$7*((1-EXP(-C155/$B$9))/(C155/$B$9)-EXP(-C155/$B$9))+$B$8*((1-EXP(-C155/$B$10))/(C155/$B$10)-EXP(-C155/$B$10)))</f>
        <v>0</v>
      </c>
      <c r="D156" s="140">
        <f t="shared" si="250"/>
        <v>0</v>
      </c>
      <c r="E156" s="140">
        <f t="shared" si="250"/>
        <v>0</v>
      </c>
      <c r="F156" s="140">
        <f t="shared" si="250"/>
        <v>0</v>
      </c>
      <c r="G156" s="140">
        <f t="shared" si="250"/>
        <v>0</v>
      </c>
      <c r="H156" s="140">
        <f t="shared" si="250"/>
        <v>0</v>
      </c>
      <c r="I156" s="140">
        <f t="shared" si="250"/>
        <v>0</v>
      </c>
      <c r="J156" s="140">
        <f t="shared" si="250"/>
        <v>0</v>
      </c>
      <c r="K156" s="140">
        <f t="shared" si="250"/>
        <v>0</v>
      </c>
      <c r="L156" s="140">
        <f t="shared" si="250"/>
        <v>0</v>
      </c>
      <c r="M156" s="140">
        <f t="shared" si="250"/>
        <v>0</v>
      </c>
      <c r="N156" s="140">
        <f t="shared" si="250"/>
        <v>0</v>
      </c>
      <c r="O156" s="140">
        <f t="shared" si="250"/>
        <v>0</v>
      </c>
      <c r="P156" s="140">
        <f t="shared" si="250"/>
        <v>0</v>
      </c>
      <c r="Q156" s="140">
        <f t="shared" si="250"/>
        <v>0</v>
      </c>
      <c r="R156" s="140">
        <f t="shared" si="250"/>
        <v>0</v>
      </c>
      <c r="S156" s="140">
        <f t="shared" si="250"/>
        <v>0</v>
      </c>
      <c r="T156" s="140">
        <f t="shared" si="250"/>
        <v>0</v>
      </c>
      <c r="U156" s="140">
        <f t="shared" si="250"/>
        <v>0</v>
      </c>
      <c r="V156" s="140">
        <f t="shared" si="250"/>
        <v>0</v>
      </c>
      <c r="W156" s="140">
        <f t="shared" si="250"/>
        <v>0</v>
      </c>
      <c r="X156" s="140">
        <f t="shared" si="250"/>
        <v>0</v>
      </c>
      <c r="Y156" s="140">
        <f t="shared" si="250"/>
        <v>0</v>
      </c>
      <c r="Z156" s="140">
        <f t="shared" si="250"/>
        <v>0</v>
      </c>
      <c r="AA156" s="140">
        <f t="shared" si="250"/>
        <v>0</v>
      </c>
      <c r="AB156" s="140">
        <f t="shared" si="250"/>
        <v>0</v>
      </c>
      <c r="AC156" s="140">
        <f t="shared" si="250"/>
        <v>0</v>
      </c>
      <c r="AD156" s="140">
        <f t="shared" si="250"/>
        <v>0</v>
      </c>
      <c r="AE156" s="140">
        <f t="shared" si="250"/>
        <v>0</v>
      </c>
      <c r="AF156" s="140">
        <f t="shared" si="250"/>
        <v>0</v>
      </c>
      <c r="AG156" s="140">
        <f t="shared" si="250"/>
        <v>0</v>
      </c>
      <c r="AH156" s="140">
        <f t="shared" si="250"/>
        <v>0</v>
      </c>
      <c r="AI156" s="140">
        <f t="shared" si="250"/>
        <v>0</v>
      </c>
      <c r="AJ156" s="140">
        <f t="shared" si="250"/>
        <v>0</v>
      </c>
      <c r="AK156" s="140">
        <f t="shared" si="250"/>
        <v>0</v>
      </c>
      <c r="AL156" s="140">
        <f t="shared" si="250"/>
        <v>0</v>
      </c>
      <c r="AM156" s="140">
        <f t="shared" si="250"/>
        <v>0</v>
      </c>
      <c r="AN156" s="140">
        <f t="shared" si="250"/>
        <v>0</v>
      </c>
      <c r="AO156" s="140">
        <f t="shared" si="250"/>
        <v>0</v>
      </c>
      <c r="AP156" s="140">
        <f t="shared" si="250"/>
        <v>0</v>
      </c>
      <c r="AQ156" s="140">
        <f t="shared" si="250"/>
        <v>0</v>
      </c>
      <c r="AR156" s="140">
        <f t="shared" si="250"/>
        <v>0</v>
      </c>
      <c r="AS156" s="140">
        <f t="shared" si="250"/>
        <v>0</v>
      </c>
      <c r="AT156" s="140">
        <f t="shared" si="250"/>
        <v>0</v>
      </c>
      <c r="AU156" s="140">
        <f t="shared" si="250"/>
        <v>0</v>
      </c>
      <c r="AV156" s="140">
        <f t="shared" si="250"/>
        <v>0</v>
      </c>
      <c r="AW156" s="140">
        <f t="shared" si="250"/>
        <v>0</v>
      </c>
      <c r="AX156" s="140">
        <f t="shared" si="250"/>
        <v>0</v>
      </c>
      <c r="AY156" s="140">
        <f t="shared" si="250"/>
        <v>0</v>
      </c>
      <c r="AZ156" s="140">
        <f t="shared" si="250"/>
        <v>0</v>
      </c>
      <c r="BA156" s="140">
        <f t="shared" si="250"/>
        <v>0</v>
      </c>
      <c r="BB156" s="140">
        <f t="shared" si="250"/>
        <v>0</v>
      </c>
      <c r="BC156" s="140">
        <f t="shared" si="250"/>
        <v>0</v>
      </c>
      <c r="BD156" s="140">
        <f t="shared" si="250"/>
        <v>0</v>
      </c>
      <c r="BE156" s="140">
        <f t="shared" si="250"/>
        <v>0</v>
      </c>
      <c r="BF156" s="140">
        <f t="shared" si="250"/>
        <v>0</v>
      </c>
      <c r="BG156" s="140">
        <f t="shared" si="250"/>
        <v>0</v>
      </c>
      <c r="BH156" s="140">
        <f t="shared" si="250"/>
        <v>0</v>
      </c>
      <c r="BI156" s="140">
        <f t="shared" si="250"/>
        <v>0</v>
      </c>
      <c r="BJ156" s="140">
        <f t="shared" si="250"/>
        <v>0</v>
      </c>
      <c r="BK156" s="140">
        <f t="shared" si="250"/>
        <v>0</v>
      </c>
      <c r="BL156" s="140">
        <f t="shared" si="250"/>
        <v>0</v>
      </c>
      <c r="BM156" s="140">
        <f t="shared" si="250"/>
        <v>0</v>
      </c>
      <c r="BN156" s="140">
        <f t="shared" si="250"/>
        <v>0</v>
      </c>
      <c r="BO156" s="140">
        <f t="shared" ref="BO156:CB156" si="251">IF(BO154&lt;0,0,$B$5+$B$6*((1-EXP(-BO155/$B$9))/(BO155/$B$9))+$B$7*((1-EXP(-BO155/$B$9))/(BO155/$B$9)-EXP(-BO155/$B$9))+$B$8*((1-EXP(-BO155/$B$10))/(BO155/$B$10)-EXP(-BO155/$B$10)))</f>
        <v>0</v>
      </c>
      <c r="BP156" s="140">
        <f t="shared" si="251"/>
        <v>0</v>
      </c>
      <c r="BQ156" s="140">
        <f t="shared" si="251"/>
        <v>0</v>
      </c>
      <c r="BR156" s="140">
        <f t="shared" si="251"/>
        <v>0</v>
      </c>
      <c r="BS156" s="140">
        <f t="shared" si="251"/>
        <v>0</v>
      </c>
      <c r="BT156" s="140">
        <f t="shared" si="251"/>
        <v>0</v>
      </c>
      <c r="BU156" s="140">
        <f t="shared" si="251"/>
        <v>0</v>
      </c>
      <c r="BV156" s="140">
        <f t="shared" si="251"/>
        <v>0</v>
      </c>
      <c r="BW156" s="140">
        <f t="shared" si="251"/>
        <v>0</v>
      </c>
      <c r="BX156" s="140">
        <f t="shared" si="251"/>
        <v>0</v>
      </c>
      <c r="BY156" s="140">
        <f t="shared" si="251"/>
        <v>0</v>
      </c>
      <c r="BZ156" s="140">
        <f t="shared" si="251"/>
        <v>0</v>
      </c>
      <c r="CA156" s="140">
        <f t="shared" si="251"/>
        <v>0</v>
      </c>
      <c r="CB156" s="140">
        <f t="shared" si="251"/>
        <v>0</v>
      </c>
      <c r="CC156" s="17"/>
      <c r="CD156" s="17"/>
      <c r="CE156" s="17"/>
    </row>
    <row r="157" spans="1:83">
      <c r="A157" s="16" t="s">
        <v>44</v>
      </c>
      <c r="B157" s="140">
        <f>EXP(-B156*B155)</f>
        <v>1</v>
      </c>
      <c r="C157" s="140">
        <f t="shared" ref="C157:AR157" si="252">EXP(-C156*C155)</f>
        <v>1</v>
      </c>
      <c r="D157" s="140">
        <f t="shared" si="252"/>
        <v>1</v>
      </c>
      <c r="E157" s="140">
        <f t="shared" si="252"/>
        <v>1</v>
      </c>
      <c r="F157" s="140">
        <f t="shared" si="252"/>
        <v>1</v>
      </c>
      <c r="G157" s="140">
        <f t="shared" si="252"/>
        <v>1</v>
      </c>
      <c r="H157" s="140">
        <f t="shared" si="252"/>
        <v>1</v>
      </c>
      <c r="I157" s="140">
        <f t="shared" si="252"/>
        <v>1</v>
      </c>
      <c r="J157" s="140">
        <f t="shared" si="252"/>
        <v>1</v>
      </c>
      <c r="K157" s="140">
        <f t="shared" si="252"/>
        <v>1</v>
      </c>
      <c r="L157" s="140">
        <f t="shared" si="252"/>
        <v>1</v>
      </c>
      <c r="M157" s="140">
        <f t="shared" si="252"/>
        <v>1</v>
      </c>
      <c r="N157" s="140">
        <f t="shared" si="252"/>
        <v>1</v>
      </c>
      <c r="O157" s="140">
        <f t="shared" si="252"/>
        <v>1</v>
      </c>
      <c r="P157" s="140">
        <f t="shared" si="252"/>
        <v>1</v>
      </c>
      <c r="Q157" s="140">
        <f t="shared" si="252"/>
        <v>1</v>
      </c>
      <c r="R157" s="140">
        <f t="shared" si="252"/>
        <v>1</v>
      </c>
      <c r="S157" s="140">
        <f t="shared" si="252"/>
        <v>1</v>
      </c>
      <c r="T157" s="140">
        <f t="shared" si="252"/>
        <v>1</v>
      </c>
      <c r="U157" s="140">
        <f t="shared" si="252"/>
        <v>1</v>
      </c>
      <c r="V157" s="140">
        <f t="shared" si="252"/>
        <v>1</v>
      </c>
      <c r="W157" s="140">
        <f t="shared" si="252"/>
        <v>1</v>
      </c>
      <c r="X157" s="140">
        <f t="shared" si="252"/>
        <v>1</v>
      </c>
      <c r="Y157" s="140">
        <f t="shared" si="252"/>
        <v>1</v>
      </c>
      <c r="Z157" s="140">
        <f t="shared" si="252"/>
        <v>1</v>
      </c>
      <c r="AA157" s="140">
        <f t="shared" si="252"/>
        <v>1</v>
      </c>
      <c r="AB157" s="140">
        <f t="shared" si="252"/>
        <v>1</v>
      </c>
      <c r="AC157" s="140">
        <f t="shared" si="252"/>
        <v>1</v>
      </c>
      <c r="AD157" s="140">
        <f t="shared" si="252"/>
        <v>1</v>
      </c>
      <c r="AE157" s="140">
        <f t="shared" si="252"/>
        <v>1</v>
      </c>
      <c r="AF157" s="140">
        <f t="shared" si="252"/>
        <v>1</v>
      </c>
      <c r="AG157" s="140">
        <f t="shared" si="252"/>
        <v>1</v>
      </c>
      <c r="AH157" s="140">
        <f t="shared" si="252"/>
        <v>1</v>
      </c>
      <c r="AI157" s="140">
        <f t="shared" si="252"/>
        <v>1</v>
      </c>
      <c r="AJ157" s="140">
        <f t="shared" si="252"/>
        <v>1</v>
      </c>
      <c r="AK157" s="140">
        <f t="shared" si="252"/>
        <v>1</v>
      </c>
      <c r="AL157" s="140">
        <f t="shared" si="252"/>
        <v>1</v>
      </c>
      <c r="AM157" s="140">
        <f t="shared" si="252"/>
        <v>1</v>
      </c>
      <c r="AN157" s="140">
        <f t="shared" si="252"/>
        <v>1</v>
      </c>
      <c r="AO157" s="140">
        <f t="shared" si="252"/>
        <v>1</v>
      </c>
      <c r="AP157" s="140">
        <f t="shared" si="252"/>
        <v>1</v>
      </c>
      <c r="AQ157" s="140">
        <f t="shared" si="252"/>
        <v>1</v>
      </c>
      <c r="AR157" s="140">
        <f t="shared" si="252"/>
        <v>1</v>
      </c>
      <c r="AS157" s="140">
        <f>EXP(-AS156*AS155)</f>
        <v>1</v>
      </c>
      <c r="AT157" s="140">
        <f t="shared" ref="AT157:CA157" si="253">EXP(-AT156*AT155)</f>
        <v>1</v>
      </c>
      <c r="AU157" s="140">
        <f t="shared" si="253"/>
        <v>1</v>
      </c>
      <c r="AV157" s="140">
        <f t="shared" si="253"/>
        <v>1</v>
      </c>
      <c r="AW157" s="140">
        <f t="shared" si="253"/>
        <v>1</v>
      </c>
      <c r="AX157" s="140">
        <f t="shared" si="253"/>
        <v>1</v>
      </c>
      <c r="AY157" s="140">
        <f t="shared" si="253"/>
        <v>1</v>
      </c>
      <c r="AZ157" s="140">
        <f t="shared" si="253"/>
        <v>1</v>
      </c>
      <c r="BA157" s="140">
        <f t="shared" si="253"/>
        <v>1</v>
      </c>
      <c r="BB157" s="140">
        <f t="shared" si="253"/>
        <v>1</v>
      </c>
      <c r="BC157" s="140">
        <f t="shared" si="253"/>
        <v>1</v>
      </c>
      <c r="BD157" s="140">
        <f t="shared" si="253"/>
        <v>1</v>
      </c>
      <c r="BE157" s="140">
        <f t="shared" si="253"/>
        <v>1</v>
      </c>
      <c r="BF157" s="140">
        <f t="shared" si="253"/>
        <v>1</v>
      </c>
      <c r="BG157" s="140">
        <f t="shared" si="253"/>
        <v>1</v>
      </c>
      <c r="BH157" s="140">
        <f t="shared" si="253"/>
        <v>1</v>
      </c>
      <c r="BI157" s="140">
        <f t="shared" si="253"/>
        <v>1</v>
      </c>
      <c r="BJ157" s="140">
        <f t="shared" si="253"/>
        <v>1</v>
      </c>
      <c r="BK157" s="140">
        <f t="shared" si="253"/>
        <v>1</v>
      </c>
      <c r="BL157" s="140">
        <f t="shared" si="253"/>
        <v>1</v>
      </c>
      <c r="BM157" s="140">
        <f t="shared" si="253"/>
        <v>1</v>
      </c>
      <c r="BN157" s="140">
        <f t="shared" si="253"/>
        <v>1</v>
      </c>
      <c r="BO157" s="140">
        <f t="shared" si="253"/>
        <v>1</v>
      </c>
      <c r="BP157" s="140">
        <f t="shared" si="253"/>
        <v>1</v>
      </c>
      <c r="BQ157" s="140">
        <f t="shared" si="253"/>
        <v>1</v>
      </c>
      <c r="BR157" s="140">
        <f t="shared" si="253"/>
        <v>1</v>
      </c>
      <c r="BS157" s="140">
        <f t="shared" si="253"/>
        <v>1</v>
      </c>
      <c r="BT157" s="140">
        <f t="shared" si="253"/>
        <v>1</v>
      </c>
      <c r="BU157" s="140">
        <f t="shared" si="253"/>
        <v>1</v>
      </c>
      <c r="BV157" s="140">
        <f t="shared" si="253"/>
        <v>1</v>
      </c>
      <c r="BW157" s="140">
        <f t="shared" si="253"/>
        <v>1</v>
      </c>
      <c r="BX157" s="140">
        <f t="shared" si="253"/>
        <v>1</v>
      </c>
      <c r="BY157" s="140">
        <f t="shared" si="253"/>
        <v>1</v>
      </c>
      <c r="BZ157" s="140">
        <f t="shared" si="253"/>
        <v>1</v>
      </c>
      <c r="CA157" s="140">
        <f t="shared" si="253"/>
        <v>1</v>
      </c>
      <c r="CB157" s="140">
        <f>EXP(-CB156*CB155)</f>
        <v>1</v>
      </c>
      <c r="CC157" s="17"/>
      <c r="CD157" s="17"/>
      <c r="CE157" s="17"/>
    </row>
    <row r="158" spans="1:83">
      <c r="A158" s="17"/>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17"/>
      <c r="CD158" s="17"/>
      <c r="CE158" s="17"/>
    </row>
    <row r="159" spans="1:83">
      <c r="A159" s="16" t="s">
        <v>40</v>
      </c>
      <c r="B159" s="140">
        <f t="shared" ref="B159:BM159" si="254">DAYS360($B$3,B60)</f>
        <v>-43022</v>
      </c>
      <c r="C159" s="140">
        <f t="shared" si="254"/>
        <v>-42842</v>
      </c>
      <c r="D159" s="140">
        <f t="shared" si="254"/>
        <v>-42662</v>
      </c>
      <c r="E159" s="140">
        <f t="shared" si="254"/>
        <v>-42482</v>
      </c>
      <c r="F159" s="140">
        <f t="shared" si="254"/>
        <v>-42302</v>
      </c>
      <c r="G159" s="140">
        <f t="shared" si="254"/>
        <v>-42122</v>
      </c>
      <c r="H159" s="140">
        <f t="shared" si="254"/>
        <v>-41942</v>
      </c>
      <c r="I159" s="140">
        <f t="shared" si="254"/>
        <v>-41762</v>
      </c>
      <c r="J159" s="140">
        <f t="shared" si="254"/>
        <v>-41582</v>
      </c>
      <c r="K159" s="140">
        <f t="shared" si="254"/>
        <v>-41403</v>
      </c>
      <c r="L159" s="140">
        <f t="shared" si="254"/>
        <v>-41223</v>
      </c>
      <c r="M159" s="140">
        <f t="shared" si="254"/>
        <v>-41043</v>
      </c>
      <c r="N159" s="140">
        <f t="shared" si="254"/>
        <v>-40863</v>
      </c>
      <c r="O159" s="140">
        <f t="shared" si="254"/>
        <v>-40683</v>
      </c>
      <c r="P159" s="140">
        <f t="shared" si="254"/>
        <v>-40503</v>
      </c>
      <c r="Q159" s="140">
        <f t="shared" si="254"/>
        <v>-40323</v>
      </c>
      <c r="R159" s="140">
        <f t="shared" si="254"/>
        <v>-40143</v>
      </c>
      <c r="S159" s="140">
        <f t="shared" si="254"/>
        <v>-39964</v>
      </c>
      <c r="T159" s="140">
        <f t="shared" si="254"/>
        <v>-39784</v>
      </c>
      <c r="U159" s="140">
        <f t="shared" si="254"/>
        <v>-39604</v>
      </c>
      <c r="V159" s="140">
        <f t="shared" si="254"/>
        <v>-39424</v>
      </c>
      <c r="W159" s="140">
        <f t="shared" si="254"/>
        <v>-39244</v>
      </c>
      <c r="X159" s="140">
        <f t="shared" si="254"/>
        <v>-39064</v>
      </c>
      <c r="Y159" s="140">
        <f t="shared" si="254"/>
        <v>-38884</v>
      </c>
      <c r="Z159" s="140">
        <f t="shared" si="254"/>
        <v>-38704</v>
      </c>
      <c r="AA159" s="140">
        <f t="shared" si="254"/>
        <v>-38525</v>
      </c>
      <c r="AB159" s="140">
        <f t="shared" si="254"/>
        <v>-38345</v>
      </c>
      <c r="AC159" s="140">
        <f t="shared" si="254"/>
        <v>-38165</v>
      </c>
      <c r="AD159" s="140">
        <f t="shared" si="254"/>
        <v>-37985</v>
      </c>
      <c r="AE159" s="140">
        <f t="shared" si="254"/>
        <v>-37805</v>
      </c>
      <c r="AF159" s="140">
        <f t="shared" si="254"/>
        <v>-37625</v>
      </c>
      <c r="AG159" s="140">
        <f t="shared" si="254"/>
        <v>-37445</v>
      </c>
      <c r="AH159" s="140">
        <f t="shared" si="254"/>
        <v>-37265</v>
      </c>
      <c r="AI159" s="140">
        <f t="shared" si="254"/>
        <v>-37086</v>
      </c>
      <c r="AJ159" s="140">
        <f t="shared" si="254"/>
        <v>-36906</v>
      </c>
      <c r="AK159" s="140">
        <f t="shared" si="254"/>
        <v>-36726</v>
      </c>
      <c r="AL159" s="140">
        <f t="shared" si="254"/>
        <v>-36546</v>
      </c>
      <c r="AM159" s="140">
        <f t="shared" si="254"/>
        <v>-36366</v>
      </c>
      <c r="AN159" s="140">
        <f t="shared" si="254"/>
        <v>-36186</v>
      </c>
      <c r="AO159" s="140">
        <f t="shared" si="254"/>
        <v>-36006</v>
      </c>
      <c r="AP159" s="140">
        <f t="shared" si="254"/>
        <v>-35826</v>
      </c>
      <c r="AQ159" s="140">
        <f t="shared" si="254"/>
        <v>-35647</v>
      </c>
      <c r="AR159" s="140">
        <f t="shared" si="254"/>
        <v>-35467</v>
      </c>
      <c r="AS159" s="140">
        <f t="shared" si="254"/>
        <v>-35287</v>
      </c>
      <c r="AT159" s="140">
        <f t="shared" si="254"/>
        <v>-35107</v>
      </c>
      <c r="AU159" s="140">
        <f t="shared" si="254"/>
        <v>-34927</v>
      </c>
      <c r="AV159" s="140">
        <f t="shared" si="254"/>
        <v>-34747</v>
      </c>
      <c r="AW159" s="140">
        <f t="shared" si="254"/>
        <v>-34567</v>
      </c>
      <c r="AX159" s="140">
        <f t="shared" si="254"/>
        <v>-34387</v>
      </c>
      <c r="AY159" s="140">
        <f t="shared" si="254"/>
        <v>-34208</v>
      </c>
      <c r="AZ159" s="140">
        <f t="shared" si="254"/>
        <v>-34028</v>
      </c>
      <c r="BA159" s="140">
        <f t="shared" si="254"/>
        <v>-33848</v>
      </c>
      <c r="BB159" s="140">
        <f t="shared" si="254"/>
        <v>-33668</v>
      </c>
      <c r="BC159" s="140">
        <f t="shared" si="254"/>
        <v>-33488</v>
      </c>
      <c r="BD159" s="140">
        <f t="shared" si="254"/>
        <v>-33308</v>
      </c>
      <c r="BE159" s="140">
        <f t="shared" si="254"/>
        <v>-33128</v>
      </c>
      <c r="BF159" s="140">
        <f t="shared" si="254"/>
        <v>-32948</v>
      </c>
      <c r="BG159" s="140">
        <f t="shared" si="254"/>
        <v>-32769</v>
      </c>
      <c r="BH159" s="140">
        <f t="shared" si="254"/>
        <v>-32589</v>
      </c>
      <c r="BI159" s="140">
        <f t="shared" si="254"/>
        <v>-32409</v>
      </c>
      <c r="BJ159" s="140">
        <f t="shared" si="254"/>
        <v>-32229</v>
      </c>
      <c r="BK159" s="140">
        <f t="shared" si="254"/>
        <v>-32049</v>
      </c>
      <c r="BL159" s="140">
        <f t="shared" si="254"/>
        <v>-31869</v>
      </c>
      <c r="BM159" s="140">
        <f t="shared" si="254"/>
        <v>-31689</v>
      </c>
      <c r="BN159" s="140">
        <f t="shared" ref="BN159:CB159" si="255">DAYS360($B$3,BN60)</f>
        <v>-31509</v>
      </c>
      <c r="BO159" s="140">
        <f t="shared" si="255"/>
        <v>-31330</v>
      </c>
      <c r="BP159" s="140">
        <f t="shared" si="255"/>
        <v>-31150</v>
      </c>
      <c r="BQ159" s="140">
        <f t="shared" si="255"/>
        <v>-30970</v>
      </c>
      <c r="BR159" s="140">
        <f t="shared" si="255"/>
        <v>-30790</v>
      </c>
      <c r="BS159" s="140">
        <f t="shared" si="255"/>
        <v>-30610</v>
      </c>
      <c r="BT159" s="140">
        <f t="shared" si="255"/>
        <v>-30430</v>
      </c>
      <c r="BU159" s="140">
        <f t="shared" si="255"/>
        <v>-30250</v>
      </c>
      <c r="BV159" s="140">
        <f t="shared" si="255"/>
        <v>-30070</v>
      </c>
      <c r="BW159" s="140">
        <f t="shared" si="255"/>
        <v>-29891</v>
      </c>
      <c r="BX159" s="140">
        <f t="shared" si="255"/>
        <v>-29711</v>
      </c>
      <c r="BY159" s="140">
        <f t="shared" si="255"/>
        <v>-29531</v>
      </c>
      <c r="BZ159" s="140">
        <f t="shared" si="255"/>
        <v>-29351</v>
      </c>
      <c r="CA159" s="140">
        <f t="shared" si="255"/>
        <v>-29171</v>
      </c>
      <c r="CB159" s="140">
        <f t="shared" si="255"/>
        <v>-28991</v>
      </c>
      <c r="CC159" s="17"/>
      <c r="CD159" s="17"/>
      <c r="CE159" s="17"/>
    </row>
    <row r="160" spans="1:83">
      <c r="A160" s="16" t="s">
        <v>41</v>
      </c>
      <c r="B160" s="140">
        <f>B159/360</f>
        <v>-119.50555555555556</v>
      </c>
      <c r="C160" s="140">
        <f t="shared" ref="C160:BN160" si="256">C159/360</f>
        <v>-119.00555555555556</v>
      </c>
      <c r="D160" s="140">
        <f t="shared" si="256"/>
        <v>-118.50555555555556</v>
      </c>
      <c r="E160" s="140">
        <f t="shared" si="256"/>
        <v>-118.00555555555556</v>
      </c>
      <c r="F160" s="140">
        <f t="shared" si="256"/>
        <v>-117.50555555555556</v>
      </c>
      <c r="G160" s="140">
        <f t="shared" si="256"/>
        <v>-117.00555555555556</v>
      </c>
      <c r="H160" s="140">
        <f t="shared" si="256"/>
        <v>-116.50555555555556</v>
      </c>
      <c r="I160" s="140">
        <f t="shared" si="256"/>
        <v>-116.00555555555556</v>
      </c>
      <c r="J160" s="140">
        <f t="shared" si="256"/>
        <v>-115.50555555555556</v>
      </c>
      <c r="K160" s="140">
        <f t="shared" si="256"/>
        <v>-115.00833333333334</v>
      </c>
      <c r="L160" s="140">
        <f t="shared" si="256"/>
        <v>-114.50833333333334</v>
      </c>
      <c r="M160" s="140">
        <f t="shared" si="256"/>
        <v>-114.00833333333334</v>
      </c>
      <c r="N160" s="140">
        <f t="shared" si="256"/>
        <v>-113.50833333333334</v>
      </c>
      <c r="O160" s="140">
        <f t="shared" si="256"/>
        <v>-113.00833333333334</v>
      </c>
      <c r="P160" s="140">
        <f t="shared" si="256"/>
        <v>-112.50833333333334</v>
      </c>
      <c r="Q160" s="140">
        <f t="shared" si="256"/>
        <v>-112.00833333333334</v>
      </c>
      <c r="R160" s="140">
        <f t="shared" si="256"/>
        <v>-111.50833333333334</v>
      </c>
      <c r="S160" s="140">
        <f t="shared" si="256"/>
        <v>-111.01111111111111</v>
      </c>
      <c r="T160" s="140">
        <f t="shared" si="256"/>
        <v>-110.51111111111111</v>
      </c>
      <c r="U160" s="140">
        <f t="shared" si="256"/>
        <v>-110.01111111111111</v>
      </c>
      <c r="V160" s="140">
        <f t="shared" si="256"/>
        <v>-109.51111111111111</v>
      </c>
      <c r="W160" s="140">
        <f t="shared" si="256"/>
        <v>-109.01111111111111</v>
      </c>
      <c r="X160" s="140">
        <f t="shared" si="256"/>
        <v>-108.51111111111111</v>
      </c>
      <c r="Y160" s="140">
        <f t="shared" si="256"/>
        <v>-108.01111111111111</v>
      </c>
      <c r="Z160" s="140">
        <f t="shared" si="256"/>
        <v>-107.51111111111111</v>
      </c>
      <c r="AA160" s="140">
        <f t="shared" si="256"/>
        <v>-107.01388888888889</v>
      </c>
      <c r="AB160" s="140">
        <f t="shared" si="256"/>
        <v>-106.51388888888889</v>
      </c>
      <c r="AC160" s="140">
        <f t="shared" si="256"/>
        <v>-106.01388888888889</v>
      </c>
      <c r="AD160" s="140">
        <f t="shared" si="256"/>
        <v>-105.51388888888889</v>
      </c>
      <c r="AE160" s="140">
        <f t="shared" si="256"/>
        <v>-105.01388888888889</v>
      </c>
      <c r="AF160" s="140">
        <f t="shared" si="256"/>
        <v>-104.51388888888889</v>
      </c>
      <c r="AG160" s="140">
        <f t="shared" si="256"/>
        <v>-104.01388888888889</v>
      </c>
      <c r="AH160" s="140">
        <f t="shared" si="256"/>
        <v>-103.51388888888889</v>
      </c>
      <c r="AI160" s="140">
        <f t="shared" si="256"/>
        <v>-103.01666666666667</v>
      </c>
      <c r="AJ160" s="140">
        <f t="shared" si="256"/>
        <v>-102.51666666666667</v>
      </c>
      <c r="AK160" s="140">
        <f t="shared" si="256"/>
        <v>-102.01666666666667</v>
      </c>
      <c r="AL160" s="140">
        <f t="shared" si="256"/>
        <v>-101.51666666666667</v>
      </c>
      <c r="AM160" s="140">
        <f t="shared" si="256"/>
        <v>-101.01666666666667</v>
      </c>
      <c r="AN160" s="140">
        <f t="shared" si="256"/>
        <v>-100.51666666666667</v>
      </c>
      <c r="AO160" s="140">
        <f t="shared" si="256"/>
        <v>-100.01666666666667</v>
      </c>
      <c r="AP160" s="140">
        <f t="shared" si="256"/>
        <v>-99.516666666666666</v>
      </c>
      <c r="AQ160" s="140">
        <f t="shared" si="256"/>
        <v>-99.019444444444446</v>
      </c>
      <c r="AR160" s="140">
        <f t="shared" si="256"/>
        <v>-98.519444444444446</v>
      </c>
      <c r="AS160" s="140">
        <f t="shared" si="256"/>
        <v>-98.019444444444446</v>
      </c>
      <c r="AT160" s="140">
        <f t="shared" si="256"/>
        <v>-97.519444444444446</v>
      </c>
      <c r="AU160" s="140">
        <f t="shared" si="256"/>
        <v>-97.019444444444446</v>
      </c>
      <c r="AV160" s="140">
        <f t="shared" si="256"/>
        <v>-96.519444444444446</v>
      </c>
      <c r="AW160" s="140">
        <f t="shared" si="256"/>
        <v>-96.019444444444446</v>
      </c>
      <c r="AX160" s="140">
        <f t="shared" si="256"/>
        <v>-95.519444444444446</v>
      </c>
      <c r="AY160" s="140">
        <f t="shared" si="256"/>
        <v>-95.022222222222226</v>
      </c>
      <c r="AZ160" s="140">
        <f t="shared" si="256"/>
        <v>-94.522222222222226</v>
      </c>
      <c r="BA160" s="140">
        <f t="shared" si="256"/>
        <v>-94.022222222222226</v>
      </c>
      <c r="BB160" s="140">
        <f t="shared" si="256"/>
        <v>-93.522222222222226</v>
      </c>
      <c r="BC160" s="140">
        <f t="shared" si="256"/>
        <v>-93.022222222222226</v>
      </c>
      <c r="BD160" s="140">
        <f t="shared" si="256"/>
        <v>-92.522222222222226</v>
      </c>
      <c r="BE160" s="140">
        <f t="shared" si="256"/>
        <v>-92.022222222222226</v>
      </c>
      <c r="BF160" s="140">
        <f t="shared" si="256"/>
        <v>-91.522222222222226</v>
      </c>
      <c r="BG160" s="140">
        <f t="shared" si="256"/>
        <v>-91.025000000000006</v>
      </c>
      <c r="BH160" s="140">
        <f t="shared" si="256"/>
        <v>-90.525000000000006</v>
      </c>
      <c r="BI160" s="140">
        <f t="shared" si="256"/>
        <v>-90.025000000000006</v>
      </c>
      <c r="BJ160" s="140">
        <f t="shared" si="256"/>
        <v>-89.525000000000006</v>
      </c>
      <c r="BK160" s="140">
        <f t="shared" si="256"/>
        <v>-89.025000000000006</v>
      </c>
      <c r="BL160" s="140">
        <f t="shared" si="256"/>
        <v>-88.525000000000006</v>
      </c>
      <c r="BM160" s="140">
        <f t="shared" si="256"/>
        <v>-88.025000000000006</v>
      </c>
      <c r="BN160" s="140">
        <f t="shared" si="256"/>
        <v>-87.525000000000006</v>
      </c>
      <c r="BO160" s="140">
        <f t="shared" ref="BO160:CB160" si="257">BO159/360</f>
        <v>-87.027777777777771</v>
      </c>
      <c r="BP160" s="140">
        <f t="shared" si="257"/>
        <v>-86.527777777777771</v>
      </c>
      <c r="BQ160" s="140">
        <f t="shared" si="257"/>
        <v>-86.027777777777771</v>
      </c>
      <c r="BR160" s="140">
        <f t="shared" si="257"/>
        <v>-85.527777777777771</v>
      </c>
      <c r="BS160" s="140">
        <f t="shared" si="257"/>
        <v>-85.027777777777771</v>
      </c>
      <c r="BT160" s="140">
        <f t="shared" si="257"/>
        <v>-84.527777777777771</v>
      </c>
      <c r="BU160" s="140">
        <f t="shared" si="257"/>
        <v>-84.027777777777771</v>
      </c>
      <c r="BV160" s="140">
        <f t="shared" si="257"/>
        <v>-83.527777777777771</v>
      </c>
      <c r="BW160" s="140">
        <f t="shared" si="257"/>
        <v>-83.030555555555551</v>
      </c>
      <c r="BX160" s="140">
        <f t="shared" si="257"/>
        <v>-82.530555555555551</v>
      </c>
      <c r="BY160" s="140">
        <f t="shared" si="257"/>
        <v>-82.030555555555551</v>
      </c>
      <c r="BZ160" s="140">
        <f t="shared" si="257"/>
        <v>-81.530555555555551</v>
      </c>
      <c r="CA160" s="140">
        <f t="shared" si="257"/>
        <v>-81.030555555555551</v>
      </c>
      <c r="CB160" s="140">
        <f t="shared" si="257"/>
        <v>-80.530555555555551</v>
      </c>
      <c r="CC160" s="17"/>
      <c r="CD160" s="17"/>
      <c r="CE160" s="17"/>
    </row>
    <row r="161" spans="1:83">
      <c r="A161" s="16" t="s">
        <v>43</v>
      </c>
      <c r="B161" s="140">
        <f>IF(B159&lt;0,0,$B$5+$B$6*((1-EXP(-B160/$B$9))/(B160/$B$9))+$B$7*((1-EXP(-B160/$B$9))/(B160/$B$9)-EXP(-B160/$B$9))+$B$8*((1-EXP(-B160/$B$10))/(B160/$B$10)-EXP(-B160/$B$10)))</f>
        <v>0</v>
      </c>
      <c r="C161" s="140">
        <f t="shared" ref="C161:BN161" si="258">IF(C159&lt;0,0,$B$5+$B$6*((1-EXP(-C160/$B$9))/(C160/$B$9))+$B$7*((1-EXP(-C160/$B$9))/(C160/$B$9)-EXP(-C160/$B$9))+$B$8*((1-EXP(-C160/$B$10))/(C160/$B$10)-EXP(-C160/$B$10)))</f>
        <v>0</v>
      </c>
      <c r="D161" s="140">
        <f t="shared" si="258"/>
        <v>0</v>
      </c>
      <c r="E161" s="140">
        <f t="shared" si="258"/>
        <v>0</v>
      </c>
      <c r="F161" s="140">
        <f t="shared" si="258"/>
        <v>0</v>
      </c>
      <c r="G161" s="140">
        <f t="shared" si="258"/>
        <v>0</v>
      </c>
      <c r="H161" s="140">
        <f t="shared" si="258"/>
        <v>0</v>
      </c>
      <c r="I161" s="140">
        <f t="shared" si="258"/>
        <v>0</v>
      </c>
      <c r="J161" s="140">
        <f t="shared" si="258"/>
        <v>0</v>
      </c>
      <c r="K161" s="140">
        <f t="shared" si="258"/>
        <v>0</v>
      </c>
      <c r="L161" s="140">
        <f t="shared" si="258"/>
        <v>0</v>
      </c>
      <c r="M161" s="140">
        <f t="shared" si="258"/>
        <v>0</v>
      </c>
      <c r="N161" s="140">
        <f t="shared" si="258"/>
        <v>0</v>
      </c>
      <c r="O161" s="140">
        <f t="shared" si="258"/>
        <v>0</v>
      </c>
      <c r="P161" s="140">
        <f t="shared" si="258"/>
        <v>0</v>
      </c>
      <c r="Q161" s="140">
        <f t="shared" si="258"/>
        <v>0</v>
      </c>
      <c r="R161" s="140">
        <f t="shared" si="258"/>
        <v>0</v>
      </c>
      <c r="S161" s="140">
        <f t="shared" si="258"/>
        <v>0</v>
      </c>
      <c r="T161" s="140">
        <f t="shared" si="258"/>
        <v>0</v>
      </c>
      <c r="U161" s="140">
        <f t="shared" si="258"/>
        <v>0</v>
      </c>
      <c r="V161" s="140">
        <f t="shared" si="258"/>
        <v>0</v>
      </c>
      <c r="W161" s="140">
        <f t="shared" si="258"/>
        <v>0</v>
      </c>
      <c r="X161" s="140">
        <f t="shared" si="258"/>
        <v>0</v>
      </c>
      <c r="Y161" s="140">
        <f t="shared" si="258"/>
        <v>0</v>
      </c>
      <c r="Z161" s="140">
        <f t="shared" si="258"/>
        <v>0</v>
      </c>
      <c r="AA161" s="140">
        <f t="shared" si="258"/>
        <v>0</v>
      </c>
      <c r="AB161" s="140">
        <f t="shared" si="258"/>
        <v>0</v>
      </c>
      <c r="AC161" s="140">
        <f t="shared" si="258"/>
        <v>0</v>
      </c>
      <c r="AD161" s="140">
        <f t="shared" si="258"/>
        <v>0</v>
      </c>
      <c r="AE161" s="140">
        <f t="shared" si="258"/>
        <v>0</v>
      </c>
      <c r="AF161" s="140">
        <f t="shared" si="258"/>
        <v>0</v>
      </c>
      <c r="AG161" s="140">
        <f t="shared" si="258"/>
        <v>0</v>
      </c>
      <c r="AH161" s="140">
        <f t="shared" si="258"/>
        <v>0</v>
      </c>
      <c r="AI161" s="140">
        <f t="shared" si="258"/>
        <v>0</v>
      </c>
      <c r="AJ161" s="140">
        <f t="shared" si="258"/>
        <v>0</v>
      </c>
      <c r="AK161" s="140">
        <f t="shared" si="258"/>
        <v>0</v>
      </c>
      <c r="AL161" s="140">
        <f t="shared" si="258"/>
        <v>0</v>
      </c>
      <c r="AM161" s="140">
        <f t="shared" si="258"/>
        <v>0</v>
      </c>
      <c r="AN161" s="140">
        <f t="shared" si="258"/>
        <v>0</v>
      </c>
      <c r="AO161" s="140">
        <f t="shared" si="258"/>
        <v>0</v>
      </c>
      <c r="AP161" s="140">
        <f t="shared" si="258"/>
        <v>0</v>
      </c>
      <c r="AQ161" s="140">
        <f t="shared" si="258"/>
        <v>0</v>
      </c>
      <c r="AR161" s="140">
        <f t="shared" si="258"/>
        <v>0</v>
      </c>
      <c r="AS161" s="140">
        <f t="shared" si="258"/>
        <v>0</v>
      </c>
      <c r="AT161" s="140">
        <f t="shared" si="258"/>
        <v>0</v>
      </c>
      <c r="AU161" s="140">
        <f t="shared" si="258"/>
        <v>0</v>
      </c>
      <c r="AV161" s="140">
        <f t="shared" si="258"/>
        <v>0</v>
      </c>
      <c r="AW161" s="140">
        <f t="shared" si="258"/>
        <v>0</v>
      </c>
      <c r="AX161" s="140">
        <f t="shared" si="258"/>
        <v>0</v>
      </c>
      <c r="AY161" s="140">
        <f t="shared" si="258"/>
        <v>0</v>
      </c>
      <c r="AZ161" s="140">
        <f t="shared" si="258"/>
        <v>0</v>
      </c>
      <c r="BA161" s="140">
        <f t="shared" si="258"/>
        <v>0</v>
      </c>
      <c r="BB161" s="140">
        <f t="shared" si="258"/>
        <v>0</v>
      </c>
      <c r="BC161" s="140">
        <f t="shared" si="258"/>
        <v>0</v>
      </c>
      <c r="BD161" s="140">
        <f t="shared" si="258"/>
        <v>0</v>
      </c>
      <c r="BE161" s="140">
        <f t="shared" si="258"/>
        <v>0</v>
      </c>
      <c r="BF161" s="140">
        <f t="shared" si="258"/>
        <v>0</v>
      </c>
      <c r="BG161" s="140">
        <f t="shared" si="258"/>
        <v>0</v>
      </c>
      <c r="BH161" s="140">
        <f t="shared" si="258"/>
        <v>0</v>
      </c>
      <c r="BI161" s="140">
        <f t="shared" si="258"/>
        <v>0</v>
      </c>
      <c r="BJ161" s="140">
        <f t="shared" si="258"/>
        <v>0</v>
      </c>
      <c r="BK161" s="140">
        <f t="shared" si="258"/>
        <v>0</v>
      </c>
      <c r="BL161" s="140">
        <f t="shared" si="258"/>
        <v>0</v>
      </c>
      <c r="BM161" s="140">
        <f t="shared" si="258"/>
        <v>0</v>
      </c>
      <c r="BN161" s="140">
        <f t="shared" si="258"/>
        <v>0</v>
      </c>
      <c r="BO161" s="140">
        <f t="shared" ref="BO161:CB161" si="259">IF(BO159&lt;0,0,$B$5+$B$6*((1-EXP(-BO160/$B$9))/(BO160/$B$9))+$B$7*((1-EXP(-BO160/$B$9))/(BO160/$B$9)-EXP(-BO160/$B$9))+$B$8*((1-EXP(-BO160/$B$10))/(BO160/$B$10)-EXP(-BO160/$B$10)))</f>
        <v>0</v>
      </c>
      <c r="BP161" s="140">
        <f t="shared" si="259"/>
        <v>0</v>
      </c>
      <c r="BQ161" s="140">
        <f t="shared" si="259"/>
        <v>0</v>
      </c>
      <c r="BR161" s="140">
        <f t="shared" si="259"/>
        <v>0</v>
      </c>
      <c r="BS161" s="140">
        <f t="shared" si="259"/>
        <v>0</v>
      </c>
      <c r="BT161" s="140">
        <f t="shared" si="259"/>
        <v>0</v>
      </c>
      <c r="BU161" s="140">
        <f t="shared" si="259"/>
        <v>0</v>
      </c>
      <c r="BV161" s="140">
        <f t="shared" si="259"/>
        <v>0</v>
      </c>
      <c r="BW161" s="140">
        <f t="shared" si="259"/>
        <v>0</v>
      </c>
      <c r="BX161" s="140">
        <f t="shared" si="259"/>
        <v>0</v>
      </c>
      <c r="BY161" s="140">
        <f t="shared" si="259"/>
        <v>0</v>
      </c>
      <c r="BZ161" s="140">
        <f t="shared" si="259"/>
        <v>0</v>
      </c>
      <c r="CA161" s="140">
        <f t="shared" si="259"/>
        <v>0</v>
      </c>
      <c r="CB161" s="140">
        <f t="shared" si="259"/>
        <v>0</v>
      </c>
      <c r="CC161" s="17"/>
      <c r="CD161" s="17"/>
      <c r="CE161" s="17"/>
    </row>
    <row r="162" spans="1:83">
      <c r="A162" s="16" t="s">
        <v>44</v>
      </c>
      <c r="B162" s="140">
        <f>EXP(-B161*B160)</f>
        <v>1</v>
      </c>
      <c r="C162" s="140">
        <f t="shared" ref="C162:AR162" si="260">EXP(-C161*C160)</f>
        <v>1</v>
      </c>
      <c r="D162" s="140">
        <f t="shared" si="260"/>
        <v>1</v>
      </c>
      <c r="E162" s="140">
        <f t="shared" si="260"/>
        <v>1</v>
      </c>
      <c r="F162" s="140">
        <f t="shared" si="260"/>
        <v>1</v>
      </c>
      <c r="G162" s="140">
        <f t="shared" si="260"/>
        <v>1</v>
      </c>
      <c r="H162" s="140">
        <f t="shared" si="260"/>
        <v>1</v>
      </c>
      <c r="I162" s="140">
        <f t="shared" si="260"/>
        <v>1</v>
      </c>
      <c r="J162" s="140">
        <f t="shared" si="260"/>
        <v>1</v>
      </c>
      <c r="K162" s="140">
        <f t="shared" si="260"/>
        <v>1</v>
      </c>
      <c r="L162" s="140">
        <f t="shared" si="260"/>
        <v>1</v>
      </c>
      <c r="M162" s="140">
        <f t="shared" si="260"/>
        <v>1</v>
      </c>
      <c r="N162" s="140">
        <f t="shared" si="260"/>
        <v>1</v>
      </c>
      <c r="O162" s="140">
        <f t="shared" si="260"/>
        <v>1</v>
      </c>
      <c r="P162" s="140">
        <f t="shared" si="260"/>
        <v>1</v>
      </c>
      <c r="Q162" s="140">
        <f t="shared" si="260"/>
        <v>1</v>
      </c>
      <c r="R162" s="140">
        <f t="shared" si="260"/>
        <v>1</v>
      </c>
      <c r="S162" s="140">
        <f t="shared" si="260"/>
        <v>1</v>
      </c>
      <c r="T162" s="140">
        <f t="shared" si="260"/>
        <v>1</v>
      </c>
      <c r="U162" s="140">
        <f t="shared" si="260"/>
        <v>1</v>
      </c>
      <c r="V162" s="140">
        <f t="shared" si="260"/>
        <v>1</v>
      </c>
      <c r="W162" s="140">
        <f t="shared" si="260"/>
        <v>1</v>
      </c>
      <c r="X162" s="140">
        <f t="shared" si="260"/>
        <v>1</v>
      </c>
      <c r="Y162" s="140">
        <f t="shared" si="260"/>
        <v>1</v>
      </c>
      <c r="Z162" s="140">
        <f t="shared" si="260"/>
        <v>1</v>
      </c>
      <c r="AA162" s="140">
        <f t="shared" si="260"/>
        <v>1</v>
      </c>
      <c r="AB162" s="140">
        <f t="shared" si="260"/>
        <v>1</v>
      </c>
      <c r="AC162" s="140">
        <f t="shared" si="260"/>
        <v>1</v>
      </c>
      <c r="AD162" s="140">
        <f t="shared" si="260"/>
        <v>1</v>
      </c>
      <c r="AE162" s="140">
        <f t="shared" si="260"/>
        <v>1</v>
      </c>
      <c r="AF162" s="140">
        <f t="shared" si="260"/>
        <v>1</v>
      </c>
      <c r="AG162" s="140">
        <f t="shared" si="260"/>
        <v>1</v>
      </c>
      <c r="AH162" s="140">
        <f t="shared" si="260"/>
        <v>1</v>
      </c>
      <c r="AI162" s="140">
        <f t="shared" si="260"/>
        <v>1</v>
      </c>
      <c r="AJ162" s="140">
        <f t="shared" si="260"/>
        <v>1</v>
      </c>
      <c r="AK162" s="140">
        <f t="shared" si="260"/>
        <v>1</v>
      </c>
      <c r="AL162" s="140">
        <f t="shared" si="260"/>
        <v>1</v>
      </c>
      <c r="AM162" s="140">
        <f t="shared" si="260"/>
        <v>1</v>
      </c>
      <c r="AN162" s="140">
        <f t="shared" si="260"/>
        <v>1</v>
      </c>
      <c r="AO162" s="140">
        <f t="shared" si="260"/>
        <v>1</v>
      </c>
      <c r="AP162" s="140">
        <f t="shared" si="260"/>
        <v>1</v>
      </c>
      <c r="AQ162" s="140">
        <f t="shared" si="260"/>
        <v>1</v>
      </c>
      <c r="AR162" s="140">
        <f t="shared" si="260"/>
        <v>1</v>
      </c>
      <c r="AS162" s="140">
        <f>EXP(-AS161*AS160)</f>
        <v>1</v>
      </c>
      <c r="AT162" s="140">
        <f t="shared" ref="AT162:CA162" si="261">EXP(-AT161*AT160)</f>
        <v>1</v>
      </c>
      <c r="AU162" s="140">
        <f t="shared" si="261"/>
        <v>1</v>
      </c>
      <c r="AV162" s="140">
        <f t="shared" si="261"/>
        <v>1</v>
      </c>
      <c r="AW162" s="140">
        <f t="shared" si="261"/>
        <v>1</v>
      </c>
      <c r="AX162" s="140">
        <f t="shared" si="261"/>
        <v>1</v>
      </c>
      <c r="AY162" s="140">
        <f t="shared" si="261"/>
        <v>1</v>
      </c>
      <c r="AZ162" s="140">
        <f t="shared" si="261"/>
        <v>1</v>
      </c>
      <c r="BA162" s="140">
        <f t="shared" si="261"/>
        <v>1</v>
      </c>
      <c r="BB162" s="140">
        <f t="shared" si="261"/>
        <v>1</v>
      </c>
      <c r="BC162" s="140">
        <f t="shared" si="261"/>
        <v>1</v>
      </c>
      <c r="BD162" s="140">
        <f t="shared" si="261"/>
        <v>1</v>
      </c>
      <c r="BE162" s="140">
        <f t="shared" si="261"/>
        <v>1</v>
      </c>
      <c r="BF162" s="140">
        <f t="shared" si="261"/>
        <v>1</v>
      </c>
      <c r="BG162" s="140">
        <f t="shared" si="261"/>
        <v>1</v>
      </c>
      <c r="BH162" s="140">
        <f t="shared" si="261"/>
        <v>1</v>
      </c>
      <c r="BI162" s="140">
        <f t="shared" si="261"/>
        <v>1</v>
      </c>
      <c r="BJ162" s="140">
        <f t="shared" si="261"/>
        <v>1</v>
      </c>
      <c r="BK162" s="140">
        <f t="shared" si="261"/>
        <v>1</v>
      </c>
      <c r="BL162" s="140">
        <f t="shared" si="261"/>
        <v>1</v>
      </c>
      <c r="BM162" s="140">
        <f t="shared" si="261"/>
        <v>1</v>
      </c>
      <c r="BN162" s="140">
        <f t="shared" si="261"/>
        <v>1</v>
      </c>
      <c r="BO162" s="140">
        <f t="shared" si="261"/>
        <v>1</v>
      </c>
      <c r="BP162" s="140">
        <f t="shared" si="261"/>
        <v>1</v>
      </c>
      <c r="BQ162" s="140">
        <f t="shared" si="261"/>
        <v>1</v>
      </c>
      <c r="BR162" s="140">
        <f t="shared" si="261"/>
        <v>1</v>
      </c>
      <c r="BS162" s="140">
        <f t="shared" si="261"/>
        <v>1</v>
      </c>
      <c r="BT162" s="140">
        <f t="shared" si="261"/>
        <v>1</v>
      </c>
      <c r="BU162" s="140">
        <f t="shared" si="261"/>
        <v>1</v>
      </c>
      <c r="BV162" s="140">
        <f t="shared" si="261"/>
        <v>1</v>
      </c>
      <c r="BW162" s="140">
        <f t="shared" si="261"/>
        <v>1</v>
      </c>
      <c r="BX162" s="140">
        <f t="shared" si="261"/>
        <v>1</v>
      </c>
      <c r="BY162" s="140">
        <f t="shared" si="261"/>
        <v>1</v>
      </c>
      <c r="BZ162" s="140">
        <f t="shared" si="261"/>
        <v>1</v>
      </c>
      <c r="CA162" s="140">
        <f t="shared" si="261"/>
        <v>1</v>
      </c>
      <c r="CB162" s="140">
        <f>EXP(-CB161*CB160)</f>
        <v>1</v>
      </c>
      <c r="CC162" s="17"/>
      <c r="CD162" s="17"/>
      <c r="CE162" s="17"/>
    </row>
    <row r="163" spans="1:83">
      <c r="A163" s="17"/>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17"/>
      <c r="CD163" s="17"/>
      <c r="CE163" s="17"/>
    </row>
    <row r="164" spans="1:83">
      <c r="A164" s="16" t="s">
        <v>40</v>
      </c>
      <c r="B164" s="140">
        <f t="shared" ref="B164:BM164" si="262">DAYS360($B$3,B62)</f>
        <v>-43022</v>
      </c>
      <c r="C164" s="140">
        <f t="shared" si="262"/>
        <v>-42842</v>
      </c>
      <c r="D164" s="140">
        <f t="shared" si="262"/>
        <v>-42662</v>
      </c>
      <c r="E164" s="140">
        <f t="shared" si="262"/>
        <v>-42482</v>
      </c>
      <c r="F164" s="140">
        <f t="shared" si="262"/>
        <v>-42302</v>
      </c>
      <c r="G164" s="140">
        <f t="shared" si="262"/>
        <v>-42122</v>
      </c>
      <c r="H164" s="140">
        <f t="shared" si="262"/>
        <v>-41942</v>
      </c>
      <c r="I164" s="140">
        <f t="shared" si="262"/>
        <v>-41762</v>
      </c>
      <c r="J164" s="140">
        <f t="shared" si="262"/>
        <v>-41582</v>
      </c>
      <c r="K164" s="140">
        <f t="shared" si="262"/>
        <v>-41403</v>
      </c>
      <c r="L164" s="140">
        <f t="shared" si="262"/>
        <v>-41223</v>
      </c>
      <c r="M164" s="140">
        <f t="shared" si="262"/>
        <v>-41043</v>
      </c>
      <c r="N164" s="140">
        <f t="shared" si="262"/>
        <v>-40863</v>
      </c>
      <c r="O164" s="140">
        <f t="shared" si="262"/>
        <v>-40683</v>
      </c>
      <c r="P164" s="140">
        <f t="shared" si="262"/>
        <v>-40503</v>
      </c>
      <c r="Q164" s="140">
        <f t="shared" si="262"/>
        <v>-40323</v>
      </c>
      <c r="R164" s="140">
        <f t="shared" si="262"/>
        <v>-40143</v>
      </c>
      <c r="S164" s="140">
        <f t="shared" si="262"/>
        <v>-39964</v>
      </c>
      <c r="T164" s="140">
        <f t="shared" si="262"/>
        <v>-39784</v>
      </c>
      <c r="U164" s="140">
        <f t="shared" si="262"/>
        <v>-39604</v>
      </c>
      <c r="V164" s="140">
        <f t="shared" si="262"/>
        <v>-39424</v>
      </c>
      <c r="W164" s="140">
        <f t="shared" si="262"/>
        <v>-39244</v>
      </c>
      <c r="X164" s="140">
        <f t="shared" si="262"/>
        <v>-39064</v>
      </c>
      <c r="Y164" s="140">
        <f t="shared" si="262"/>
        <v>-38884</v>
      </c>
      <c r="Z164" s="140">
        <f t="shared" si="262"/>
        <v>-38704</v>
      </c>
      <c r="AA164" s="140">
        <f t="shared" si="262"/>
        <v>-38525</v>
      </c>
      <c r="AB164" s="140">
        <f t="shared" si="262"/>
        <v>-38345</v>
      </c>
      <c r="AC164" s="140">
        <f t="shared" si="262"/>
        <v>-38165</v>
      </c>
      <c r="AD164" s="140">
        <f t="shared" si="262"/>
        <v>-37985</v>
      </c>
      <c r="AE164" s="140">
        <f t="shared" si="262"/>
        <v>-37805</v>
      </c>
      <c r="AF164" s="140">
        <f t="shared" si="262"/>
        <v>-37625</v>
      </c>
      <c r="AG164" s="140">
        <f t="shared" si="262"/>
        <v>-37445</v>
      </c>
      <c r="AH164" s="140">
        <f t="shared" si="262"/>
        <v>-37265</v>
      </c>
      <c r="AI164" s="140">
        <f t="shared" si="262"/>
        <v>-37086</v>
      </c>
      <c r="AJ164" s="140">
        <f t="shared" si="262"/>
        <v>-36906</v>
      </c>
      <c r="AK164" s="140">
        <f t="shared" si="262"/>
        <v>-36726</v>
      </c>
      <c r="AL164" s="140">
        <f t="shared" si="262"/>
        <v>-36546</v>
      </c>
      <c r="AM164" s="140">
        <f t="shared" si="262"/>
        <v>-36366</v>
      </c>
      <c r="AN164" s="140">
        <f t="shared" si="262"/>
        <v>-36186</v>
      </c>
      <c r="AO164" s="140">
        <f t="shared" si="262"/>
        <v>-36006</v>
      </c>
      <c r="AP164" s="140">
        <f t="shared" si="262"/>
        <v>-35826</v>
      </c>
      <c r="AQ164" s="140">
        <f t="shared" si="262"/>
        <v>-35647</v>
      </c>
      <c r="AR164" s="140">
        <f t="shared" si="262"/>
        <v>-35467</v>
      </c>
      <c r="AS164" s="140">
        <f t="shared" si="262"/>
        <v>-35287</v>
      </c>
      <c r="AT164" s="140">
        <f t="shared" si="262"/>
        <v>-35107</v>
      </c>
      <c r="AU164" s="140">
        <f t="shared" si="262"/>
        <v>-34927</v>
      </c>
      <c r="AV164" s="140">
        <f t="shared" si="262"/>
        <v>-34747</v>
      </c>
      <c r="AW164" s="140">
        <f t="shared" si="262"/>
        <v>-34567</v>
      </c>
      <c r="AX164" s="140">
        <f t="shared" si="262"/>
        <v>-34387</v>
      </c>
      <c r="AY164" s="140">
        <f t="shared" si="262"/>
        <v>-34208</v>
      </c>
      <c r="AZ164" s="140">
        <f t="shared" si="262"/>
        <v>-34028</v>
      </c>
      <c r="BA164" s="140">
        <f t="shared" si="262"/>
        <v>-33848</v>
      </c>
      <c r="BB164" s="140">
        <f t="shared" si="262"/>
        <v>-33668</v>
      </c>
      <c r="BC164" s="140">
        <f t="shared" si="262"/>
        <v>-33488</v>
      </c>
      <c r="BD164" s="140">
        <f t="shared" si="262"/>
        <v>-33308</v>
      </c>
      <c r="BE164" s="140">
        <f t="shared" si="262"/>
        <v>-33128</v>
      </c>
      <c r="BF164" s="140">
        <f t="shared" si="262"/>
        <v>-32948</v>
      </c>
      <c r="BG164" s="140">
        <f t="shared" si="262"/>
        <v>-32769</v>
      </c>
      <c r="BH164" s="140">
        <f t="shared" si="262"/>
        <v>-32589</v>
      </c>
      <c r="BI164" s="140">
        <f t="shared" si="262"/>
        <v>-32409</v>
      </c>
      <c r="BJ164" s="140">
        <f t="shared" si="262"/>
        <v>-32229</v>
      </c>
      <c r="BK164" s="140">
        <f t="shared" si="262"/>
        <v>-32049</v>
      </c>
      <c r="BL164" s="140">
        <f t="shared" si="262"/>
        <v>-31869</v>
      </c>
      <c r="BM164" s="140">
        <f t="shared" si="262"/>
        <v>-31689</v>
      </c>
      <c r="BN164" s="140">
        <f t="shared" ref="BN164:CB164" si="263">DAYS360($B$3,BN62)</f>
        <v>-31509</v>
      </c>
      <c r="BO164" s="140">
        <f t="shared" si="263"/>
        <v>-31330</v>
      </c>
      <c r="BP164" s="140">
        <f t="shared" si="263"/>
        <v>-31150</v>
      </c>
      <c r="BQ164" s="140">
        <f t="shared" si="263"/>
        <v>-30970</v>
      </c>
      <c r="BR164" s="140">
        <f t="shared" si="263"/>
        <v>-30790</v>
      </c>
      <c r="BS164" s="140">
        <f t="shared" si="263"/>
        <v>-30610</v>
      </c>
      <c r="BT164" s="140">
        <f t="shared" si="263"/>
        <v>-30430</v>
      </c>
      <c r="BU164" s="140">
        <f t="shared" si="263"/>
        <v>-30250</v>
      </c>
      <c r="BV164" s="140">
        <f t="shared" si="263"/>
        <v>-30070</v>
      </c>
      <c r="BW164" s="140">
        <f t="shared" si="263"/>
        <v>-29891</v>
      </c>
      <c r="BX164" s="140">
        <f t="shared" si="263"/>
        <v>-29711</v>
      </c>
      <c r="BY164" s="140">
        <f t="shared" si="263"/>
        <v>-29531</v>
      </c>
      <c r="BZ164" s="140">
        <f t="shared" si="263"/>
        <v>-29351</v>
      </c>
      <c r="CA164" s="140">
        <f t="shared" si="263"/>
        <v>-29171</v>
      </c>
      <c r="CB164" s="140">
        <f t="shared" si="263"/>
        <v>-28991</v>
      </c>
      <c r="CC164" s="17"/>
      <c r="CD164" s="17"/>
      <c r="CE164" s="17"/>
    </row>
    <row r="165" spans="1:83">
      <c r="A165" s="16" t="s">
        <v>41</v>
      </c>
      <c r="B165" s="140">
        <f>B164/360</f>
        <v>-119.50555555555556</v>
      </c>
      <c r="C165" s="140">
        <f t="shared" ref="C165:BN165" si="264">C164/360</f>
        <v>-119.00555555555556</v>
      </c>
      <c r="D165" s="140">
        <f t="shared" si="264"/>
        <v>-118.50555555555556</v>
      </c>
      <c r="E165" s="140">
        <f t="shared" si="264"/>
        <v>-118.00555555555556</v>
      </c>
      <c r="F165" s="140">
        <f t="shared" si="264"/>
        <v>-117.50555555555556</v>
      </c>
      <c r="G165" s="140">
        <f t="shared" si="264"/>
        <v>-117.00555555555556</v>
      </c>
      <c r="H165" s="140">
        <f t="shared" si="264"/>
        <v>-116.50555555555556</v>
      </c>
      <c r="I165" s="140">
        <f t="shared" si="264"/>
        <v>-116.00555555555556</v>
      </c>
      <c r="J165" s="140">
        <f t="shared" si="264"/>
        <v>-115.50555555555556</v>
      </c>
      <c r="K165" s="140">
        <f t="shared" si="264"/>
        <v>-115.00833333333334</v>
      </c>
      <c r="L165" s="140">
        <f t="shared" si="264"/>
        <v>-114.50833333333334</v>
      </c>
      <c r="M165" s="140">
        <f t="shared" si="264"/>
        <v>-114.00833333333334</v>
      </c>
      <c r="N165" s="140">
        <f t="shared" si="264"/>
        <v>-113.50833333333334</v>
      </c>
      <c r="O165" s="140">
        <f t="shared" si="264"/>
        <v>-113.00833333333334</v>
      </c>
      <c r="P165" s="140">
        <f t="shared" si="264"/>
        <v>-112.50833333333334</v>
      </c>
      <c r="Q165" s="140">
        <f t="shared" si="264"/>
        <v>-112.00833333333334</v>
      </c>
      <c r="R165" s="140">
        <f t="shared" si="264"/>
        <v>-111.50833333333334</v>
      </c>
      <c r="S165" s="140">
        <f t="shared" si="264"/>
        <v>-111.01111111111111</v>
      </c>
      <c r="T165" s="140">
        <f t="shared" si="264"/>
        <v>-110.51111111111111</v>
      </c>
      <c r="U165" s="140">
        <f t="shared" si="264"/>
        <v>-110.01111111111111</v>
      </c>
      <c r="V165" s="140">
        <f t="shared" si="264"/>
        <v>-109.51111111111111</v>
      </c>
      <c r="W165" s="140">
        <f t="shared" si="264"/>
        <v>-109.01111111111111</v>
      </c>
      <c r="X165" s="140">
        <f t="shared" si="264"/>
        <v>-108.51111111111111</v>
      </c>
      <c r="Y165" s="140">
        <f t="shared" si="264"/>
        <v>-108.01111111111111</v>
      </c>
      <c r="Z165" s="140">
        <f t="shared" si="264"/>
        <v>-107.51111111111111</v>
      </c>
      <c r="AA165" s="140">
        <f t="shared" si="264"/>
        <v>-107.01388888888889</v>
      </c>
      <c r="AB165" s="140">
        <f t="shared" si="264"/>
        <v>-106.51388888888889</v>
      </c>
      <c r="AC165" s="140">
        <f t="shared" si="264"/>
        <v>-106.01388888888889</v>
      </c>
      <c r="AD165" s="140">
        <f t="shared" si="264"/>
        <v>-105.51388888888889</v>
      </c>
      <c r="AE165" s="140">
        <f t="shared" si="264"/>
        <v>-105.01388888888889</v>
      </c>
      <c r="AF165" s="140">
        <f t="shared" si="264"/>
        <v>-104.51388888888889</v>
      </c>
      <c r="AG165" s="140">
        <f t="shared" si="264"/>
        <v>-104.01388888888889</v>
      </c>
      <c r="AH165" s="140">
        <f t="shared" si="264"/>
        <v>-103.51388888888889</v>
      </c>
      <c r="AI165" s="140">
        <f t="shared" si="264"/>
        <v>-103.01666666666667</v>
      </c>
      <c r="AJ165" s="140">
        <f t="shared" si="264"/>
        <v>-102.51666666666667</v>
      </c>
      <c r="AK165" s="140">
        <f t="shared" si="264"/>
        <v>-102.01666666666667</v>
      </c>
      <c r="AL165" s="140">
        <f t="shared" si="264"/>
        <v>-101.51666666666667</v>
      </c>
      <c r="AM165" s="140">
        <f t="shared" si="264"/>
        <v>-101.01666666666667</v>
      </c>
      <c r="AN165" s="140">
        <f t="shared" si="264"/>
        <v>-100.51666666666667</v>
      </c>
      <c r="AO165" s="140">
        <f t="shared" si="264"/>
        <v>-100.01666666666667</v>
      </c>
      <c r="AP165" s="140">
        <f t="shared" si="264"/>
        <v>-99.516666666666666</v>
      </c>
      <c r="AQ165" s="140">
        <f t="shared" si="264"/>
        <v>-99.019444444444446</v>
      </c>
      <c r="AR165" s="140">
        <f t="shared" si="264"/>
        <v>-98.519444444444446</v>
      </c>
      <c r="AS165" s="140">
        <f t="shared" si="264"/>
        <v>-98.019444444444446</v>
      </c>
      <c r="AT165" s="140">
        <f t="shared" si="264"/>
        <v>-97.519444444444446</v>
      </c>
      <c r="AU165" s="140">
        <f t="shared" si="264"/>
        <v>-97.019444444444446</v>
      </c>
      <c r="AV165" s="140">
        <f t="shared" si="264"/>
        <v>-96.519444444444446</v>
      </c>
      <c r="AW165" s="140">
        <f t="shared" si="264"/>
        <v>-96.019444444444446</v>
      </c>
      <c r="AX165" s="140">
        <f t="shared" si="264"/>
        <v>-95.519444444444446</v>
      </c>
      <c r="AY165" s="140">
        <f t="shared" si="264"/>
        <v>-95.022222222222226</v>
      </c>
      <c r="AZ165" s="140">
        <f t="shared" si="264"/>
        <v>-94.522222222222226</v>
      </c>
      <c r="BA165" s="140">
        <f t="shared" si="264"/>
        <v>-94.022222222222226</v>
      </c>
      <c r="BB165" s="140">
        <f t="shared" si="264"/>
        <v>-93.522222222222226</v>
      </c>
      <c r="BC165" s="140">
        <f t="shared" si="264"/>
        <v>-93.022222222222226</v>
      </c>
      <c r="BD165" s="140">
        <f t="shared" si="264"/>
        <v>-92.522222222222226</v>
      </c>
      <c r="BE165" s="140">
        <f t="shared" si="264"/>
        <v>-92.022222222222226</v>
      </c>
      <c r="BF165" s="140">
        <f t="shared" si="264"/>
        <v>-91.522222222222226</v>
      </c>
      <c r="BG165" s="140">
        <f t="shared" si="264"/>
        <v>-91.025000000000006</v>
      </c>
      <c r="BH165" s="140">
        <f t="shared" si="264"/>
        <v>-90.525000000000006</v>
      </c>
      <c r="BI165" s="140">
        <f t="shared" si="264"/>
        <v>-90.025000000000006</v>
      </c>
      <c r="BJ165" s="140">
        <f t="shared" si="264"/>
        <v>-89.525000000000006</v>
      </c>
      <c r="BK165" s="140">
        <f t="shared" si="264"/>
        <v>-89.025000000000006</v>
      </c>
      <c r="BL165" s="140">
        <f t="shared" si="264"/>
        <v>-88.525000000000006</v>
      </c>
      <c r="BM165" s="140">
        <f t="shared" si="264"/>
        <v>-88.025000000000006</v>
      </c>
      <c r="BN165" s="140">
        <f t="shared" si="264"/>
        <v>-87.525000000000006</v>
      </c>
      <c r="BO165" s="140">
        <f t="shared" ref="BO165:CB165" si="265">BO164/360</f>
        <v>-87.027777777777771</v>
      </c>
      <c r="BP165" s="140">
        <f t="shared" si="265"/>
        <v>-86.527777777777771</v>
      </c>
      <c r="BQ165" s="140">
        <f t="shared" si="265"/>
        <v>-86.027777777777771</v>
      </c>
      <c r="BR165" s="140">
        <f t="shared" si="265"/>
        <v>-85.527777777777771</v>
      </c>
      <c r="BS165" s="140">
        <f t="shared" si="265"/>
        <v>-85.027777777777771</v>
      </c>
      <c r="BT165" s="140">
        <f t="shared" si="265"/>
        <v>-84.527777777777771</v>
      </c>
      <c r="BU165" s="140">
        <f t="shared" si="265"/>
        <v>-84.027777777777771</v>
      </c>
      <c r="BV165" s="140">
        <f t="shared" si="265"/>
        <v>-83.527777777777771</v>
      </c>
      <c r="BW165" s="140">
        <f t="shared" si="265"/>
        <v>-83.030555555555551</v>
      </c>
      <c r="BX165" s="140">
        <f t="shared" si="265"/>
        <v>-82.530555555555551</v>
      </c>
      <c r="BY165" s="140">
        <f t="shared" si="265"/>
        <v>-82.030555555555551</v>
      </c>
      <c r="BZ165" s="140">
        <f t="shared" si="265"/>
        <v>-81.530555555555551</v>
      </c>
      <c r="CA165" s="140">
        <f t="shared" si="265"/>
        <v>-81.030555555555551</v>
      </c>
      <c r="CB165" s="140">
        <f t="shared" si="265"/>
        <v>-80.530555555555551</v>
      </c>
      <c r="CC165" s="17"/>
      <c r="CD165" s="17"/>
      <c r="CE165" s="17"/>
    </row>
    <row r="166" spans="1:83">
      <c r="A166" s="16" t="s">
        <v>43</v>
      </c>
      <c r="B166" s="140">
        <f>IF(B164&lt;0,0,$B$5+$B$6*((1-EXP(-B165/$B$9))/(B165/$B$9))+$B$7*((1-EXP(-B165/$B$9))/(B165/$B$9)-EXP(-B165/$B$9))+$B$8*((1-EXP(-B165/$B$10))/(B165/$B$10)-EXP(-B165/$B$10)))</f>
        <v>0</v>
      </c>
      <c r="C166" s="140">
        <f t="shared" ref="C166:BN166" si="266">IF(C164&lt;0,0,$B$5+$B$6*((1-EXP(-C165/$B$9))/(C165/$B$9))+$B$7*((1-EXP(-C165/$B$9))/(C165/$B$9)-EXP(-C165/$B$9))+$B$8*((1-EXP(-C165/$B$10))/(C165/$B$10)-EXP(-C165/$B$10)))</f>
        <v>0</v>
      </c>
      <c r="D166" s="140">
        <f t="shared" si="266"/>
        <v>0</v>
      </c>
      <c r="E166" s="140">
        <f t="shared" si="266"/>
        <v>0</v>
      </c>
      <c r="F166" s="140">
        <f t="shared" si="266"/>
        <v>0</v>
      </c>
      <c r="G166" s="140">
        <f t="shared" si="266"/>
        <v>0</v>
      </c>
      <c r="H166" s="140">
        <f t="shared" si="266"/>
        <v>0</v>
      </c>
      <c r="I166" s="140">
        <f t="shared" si="266"/>
        <v>0</v>
      </c>
      <c r="J166" s="140">
        <f t="shared" si="266"/>
        <v>0</v>
      </c>
      <c r="K166" s="140">
        <f t="shared" si="266"/>
        <v>0</v>
      </c>
      <c r="L166" s="140">
        <f t="shared" si="266"/>
        <v>0</v>
      </c>
      <c r="M166" s="140">
        <f t="shared" si="266"/>
        <v>0</v>
      </c>
      <c r="N166" s="140">
        <f t="shared" si="266"/>
        <v>0</v>
      </c>
      <c r="O166" s="140">
        <f t="shared" si="266"/>
        <v>0</v>
      </c>
      <c r="P166" s="140">
        <f t="shared" si="266"/>
        <v>0</v>
      </c>
      <c r="Q166" s="140">
        <f t="shared" si="266"/>
        <v>0</v>
      </c>
      <c r="R166" s="140">
        <f t="shared" si="266"/>
        <v>0</v>
      </c>
      <c r="S166" s="140">
        <f t="shared" si="266"/>
        <v>0</v>
      </c>
      <c r="T166" s="140">
        <f t="shared" si="266"/>
        <v>0</v>
      </c>
      <c r="U166" s="140">
        <f t="shared" si="266"/>
        <v>0</v>
      </c>
      <c r="V166" s="140">
        <f t="shared" si="266"/>
        <v>0</v>
      </c>
      <c r="W166" s="140">
        <f t="shared" si="266"/>
        <v>0</v>
      </c>
      <c r="X166" s="140">
        <f t="shared" si="266"/>
        <v>0</v>
      </c>
      <c r="Y166" s="140">
        <f t="shared" si="266"/>
        <v>0</v>
      </c>
      <c r="Z166" s="140">
        <f t="shared" si="266"/>
        <v>0</v>
      </c>
      <c r="AA166" s="140">
        <f t="shared" si="266"/>
        <v>0</v>
      </c>
      <c r="AB166" s="140">
        <f t="shared" si="266"/>
        <v>0</v>
      </c>
      <c r="AC166" s="140">
        <f t="shared" si="266"/>
        <v>0</v>
      </c>
      <c r="AD166" s="140">
        <f t="shared" si="266"/>
        <v>0</v>
      </c>
      <c r="AE166" s="140">
        <f t="shared" si="266"/>
        <v>0</v>
      </c>
      <c r="AF166" s="140">
        <f t="shared" si="266"/>
        <v>0</v>
      </c>
      <c r="AG166" s="140">
        <f t="shared" si="266"/>
        <v>0</v>
      </c>
      <c r="AH166" s="140">
        <f t="shared" si="266"/>
        <v>0</v>
      </c>
      <c r="AI166" s="140">
        <f t="shared" si="266"/>
        <v>0</v>
      </c>
      <c r="AJ166" s="140">
        <f t="shared" si="266"/>
        <v>0</v>
      </c>
      <c r="AK166" s="140">
        <f t="shared" si="266"/>
        <v>0</v>
      </c>
      <c r="AL166" s="140">
        <f t="shared" si="266"/>
        <v>0</v>
      </c>
      <c r="AM166" s="140">
        <f t="shared" si="266"/>
        <v>0</v>
      </c>
      <c r="AN166" s="140">
        <f t="shared" si="266"/>
        <v>0</v>
      </c>
      <c r="AO166" s="140">
        <f t="shared" si="266"/>
        <v>0</v>
      </c>
      <c r="AP166" s="140">
        <f t="shared" si="266"/>
        <v>0</v>
      </c>
      <c r="AQ166" s="140">
        <f t="shared" si="266"/>
        <v>0</v>
      </c>
      <c r="AR166" s="140">
        <f t="shared" si="266"/>
        <v>0</v>
      </c>
      <c r="AS166" s="140">
        <f t="shared" si="266"/>
        <v>0</v>
      </c>
      <c r="AT166" s="140">
        <f t="shared" si="266"/>
        <v>0</v>
      </c>
      <c r="AU166" s="140">
        <f t="shared" si="266"/>
        <v>0</v>
      </c>
      <c r="AV166" s="140">
        <f t="shared" si="266"/>
        <v>0</v>
      </c>
      <c r="AW166" s="140">
        <f t="shared" si="266"/>
        <v>0</v>
      </c>
      <c r="AX166" s="140">
        <f t="shared" si="266"/>
        <v>0</v>
      </c>
      <c r="AY166" s="140">
        <f t="shared" si="266"/>
        <v>0</v>
      </c>
      <c r="AZ166" s="140">
        <f t="shared" si="266"/>
        <v>0</v>
      </c>
      <c r="BA166" s="140">
        <f t="shared" si="266"/>
        <v>0</v>
      </c>
      <c r="BB166" s="140">
        <f t="shared" si="266"/>
        <v>0</v>
      </c>
      <c r="BC166" s="140">
        <f t="shared" si="266"/>
        <v>0</v>
      </c>
      <c r="BD166" s="140">
        <f t="shared" si="266"/>
        <v>0</v>
      </c>
      <c r="BE166" s="140">
        <f t="shared" si="266"/>
        <v>0</v>
      </c>
      <c r="BF166" s="140">
        <f t="shared" si="266"/>
        <v>0</v>
      </c>
      <c r="BG166" s="140">
        <f t="shared" si="266"/>
        <v>0</v>
      </c>
      <c r="BH166" s="140">
        <f t="shared" si="266"/>
        <v>0</v>
      </c>
      <c r="BI166" s="140">
        <f t="shared" si="266"/>
        <v>0</v>
      </c>
      <c r="BJ166" s="140">
        <f t="shared" si="266"/>
        <v>0</v>
      </c>
      <c r="BK166" s="140">
        <f t="shared" si="266"/>
        <v>0</v>
      </c>
      <c r="BL166" s="140">
        <f t="shared" si="266"/>
        <v>0</v>
      </c>
      <c r="BM166" s="140">
        <f t="shared" si="266"/>
        <v>0</v>
      </c>
      <c r="BN166" s="140">
        <f t="shared" si="266"/>
        <v>0</v>
      </c>
      <c r="BO166" s="140">
        <f t="shared" ref="BO166:CB166" si="267">IF(BO164&lt;0,0,$B$5+$B$6*((1-EXP(-BO165/$B$9))/(BO165/$B$9))+$B$7*((1-EXP(-BO165/$B$9))/(BO165/$B$9)-EXP(-BO165/$B$9))+$B$8*((1-EXP(-BO165/$B$10))/(BO165/$B$10)-EXP(-BO165/$B$10)))</f>
        <v>0</v>
      </c>
      <c r="BP166" s="140">
        <f t="shared" si="267"/>
        <v>0</v>
      </c>
      <c r="BQ166" s="140">
        <f t="shared" si="267"/>
        <v>0</v>
      </c>
      <c r="BR166" s="140">
        <f t="shared" si="267"/>
        <v>0</v>
      </c>
      <c r="BS166" s="140">
        <f t="shared" si="267"/>
        <v>0</v>
      </c>
      <c r="BT166" s="140">
        <f t="shared" si="267"/>
        <v>0</v>
      </c>
      <c r="BU166" s="140">
        <f t="shared" si="267"/>
        <v>0</v>
      </c>
      <c r="BV166" s="140">
        <f t="shared" si="267"/>
        <v>0</v>
      </c>
      <c r="BW166" s="140">
        <f t="shared" si="267"/>
        <v>0</v>
      </c>
      <c r="BX166" s="140">
        <f t="shared" si="267"/>
        <v>0</v>
      </c>
      <c r="BY166" s="140">
        <f t="shared" si="267"/>
        <v>0</v>
      </c>
      <c r="BZ166" s="140">
        <f t="shared" si="267"/>
        <v>0</v>
      </c>
      <c r="CA166" s="140">
        <f t="shared" si="267"/>
        <v>0</v>
      </c>
      <c r="CB166" s="140">
        <f t="shared" si="267"/>
        <v>0</v>
      </c>
      <c r="CC166" s="17"/>
      <c r="CD166" s="17"/>
      <c r="CE166" s="17"/>
    </row>
    <row r="167" spans="1:83">
      <c r="A167" s="16" t="s">
        <v>44</v>
      </c>
      <c r="B167" s="140">
        <f>EXP(-B166*B165)</f>
        <v>1</v>
      </c>
      <c r="C167" s="140">
        <f t="shared" ref="C167:AR167" si="268">EXP(-C166*C165)</f>
        <v>1</v>
      </c>
      <c r="D167" s="140">
        <f t="shared" si="268"/>
        <v>1</v>
      </c>
      <c r="E167" s="140">
        <f t="shared" si="268"/>
        <v>1</v>
      </c>
      <c r="F167" s="140">
        <f t="shared" si="268"/>
        <v>1</v>
      </c>
      <c r="G167" s="140">
        <f t="shared" si="268"/>
        <v>1</v>
      </c>
      <c r="H167" s="140">
        <f t="shared" si="268"/>
        <v>1</v>
      </c>
      <c r="I167" s="140">
        <f t="shared" si="268"/>
        <v>1</v>
      </c>
      <c r="J167" s="140">
        <f t="shared" si="268"/>
        <v>1</v>
      </c>
      <c r="K167" s="140">
        <f t="shared" si="268"/>
        <v>1</v>
      </c>
      <c r="L167" s="140">
        <f t="shared" si="268"/>
        <v>1</v>
      </c>
      <c r="M167" s="140">
        <f t="shared" si="268"/>
        <v>1</v>
      </c>
      <c r="N167" s="140">
        <f t="shared" si="268"/>
        <v>1</v>
      </c>
      <c r="O167" s="140">
        <f t="shared" si="268"/>
        <v>1</v>
      </c>
      <c r="P167" s="140">
        <f t="shared" si="268"/>
        <v>1</v>
      </c>
      <c r="Q167" s="140">
        <f t="shared" si="268"/>
        <v>1</v>
      </c>
      <c r="R167" s="140">
        <f t="shared" si="268"/>
        <v>1</v>
      </c>
      <c r="S167" s="140">
        <f t="shared" si="268"/>
        <v>1</v>
      </c>
      <c r="T167" s="140">
        <f t="shared" si="268"/>
        <v>1</v>
      </c>
      <c r="U167" s="140">
        <f t="shared" si="268"/>
        <v>1</v>
      </c>
      <c r="V167" s="140">
        <f t="shared" si="268"/>
        <v>1</v>
      </c>
      <c r="W167" s="140">
        <f t="shared" si="268"/>
        <v>1</v>
      </c>
      <c r="X167" s="140">
        <f t="shared" si="268"/>
        <v>1</v>
      </c>
      <c r="Y167" s="140">
        <f t="shared" si="268"/>
        <v>1</v>
      </c>
      <c r="Z167" s="140">
        <f t="shared" si="268"/>
        <v>1</v>
      </c>
      <c r="AA167" s="140">
        <f t="shared" si="268"/>
        <v>1</v>
      </c>
      <c r="AB167" s="140">
        <f t="shared" si="268"/>
        <v>1</v>
      </c>
      <c r="AC167" s="140">
        <f t="shared" si="268"/>
        <v>1</v>
      </c>
      <c r="AD167" s="140">
        <f t="shared" si="268"/>
        <v>1</v>
      </c>
      <c r="AE167" s="140">
        <f t="shared" si="268"/>
        <v>1</v>
      </c>
      <c r="AF167" s="140">
        <f t="shared" si="268"/>
        <v>1</v>
      </c>
      <c r="AG167" s="140">
        <f t="shared" si="268"/>
        <v>1</v>
      </c>
      <c r="AH167" s="140">
        <f t="shared" si="268"/>
        <v>1</v>
      </c>
      <c r="AI167" s="140">
        <f t="shared" si="268"/>
        <v>1</v>
      </c>
      <c r="AJ167" s="140">
        <f t="shared" si="268"/>
        <v>1</v>
      </c>
      <c r="AK167" s="140">
        <f t="shared" si="268"/>
        <v>1</v>
      </c>
      <c r="AL167" s="140">
        <f t="shared" si="268"/>
        <v>1</v>
      </c>
      <c r="AM167" s="140">
        <f t="shared" si="268"/>
        <v>1</v>
      </c>
      <c r="AN167" s="140">
        <f t="shared" si="268"/>
        <v>1</v>
      </c>
      <c r="AO167" s="140">
        <f t="shared" si="268"/>
        <v>1</v>
      </c>
      <c r="AP167" s="140">
        <f t="shared" si="268"/>
        <v>1</v>
      </c>
      <c r="AQ167" s="140">
        <f t="shared" si="268"/>
        <v>1</v>
      </c>
      <c r="AR167" s="140">
        <f t="shared" si="268"/>
        <v>1</v>
      </c>
      <c r="AS167" s="140">
        <f>EXP(-AS166*AS165)</f>
        <v>1</v>
      </c>
      <c r="AT167" s="140">
        <f t="shared" ref="AT167:CA167" si="269">EXP(-AT166*AT165)</f>
        <v>1</v>
      </c>
      <c r="AU167" s="140">
        <f t="shared" si="269"/>
        <v>1</v>
      </c>
      <c r="AV167" s="140">
        <f t="shared" si="269"/>
        <v>1</v>
      </c>
      <c r="AW167" s="140">
        <f t="shared" si="269"/>
        <v>1</v>
      </c>
      <c r="AX167" s="140">
        <f t="shared" si="269"/>
        <v>1</v>
      </c>
      <c r="AY167" s="140">
        <f t="shared" si="269"/>
        <v>1</v>
      </c>
      <c r="AZ167" s="140">
        <f t="shared" si="269"/>
        <v>1</v>
      </c>
      <c r="BA167" s="140">
        <f t="shared" si="269"/>
        <v>1</v>
      </c>
      <c r="BB167" s="140">
        <f t="shared" si="269"/>
        <v>1</v>
      </c>
      <c r="BC167" s="140">
        <f t="shared" si="269"/>
        <v>1</v>
      </c>
      <c r="BD167" s="140">
        <f t="shared" si="269"/>
        <v>1</v>
      </c>
      <c r="BE167" s="140">
        <f t="shared" si="269"/>
        <v>1</v>
      </c>
      <c r="BF167" s="140">
        <f t="shared" si="269"/>
        <v>1</v>
      </c>
      <c r="BG167" s="140">
        <f t="shared" si="269"/>
        <v>1</v>
      </c>
      <c r="BH167" s="140">
        <f t="shared" si="269"/>
        <v>1</v>
      </c>
      <c r="BI167" s="140">
        <f t="shared" si="269"/>
        <v>1</v>
      </c>
      <c r="BJ167" s="140">
        <f t="shared" si="269"/>
        <v>1</v>
      </c>
      <c r="BK167" s="140">
        <f t="shared" si="269"/>
        <v>1</v>
      </c>
      <c r="BL167" s="140">
        <f t="shared" si="269"/>
        <v>1</v>
      </c>
      <c r="BM167" s="140">
        <f t="shared" si="269"/>
        <v>1</v>
      </c>
      <c r="BN167" s="140">
        <f t="shared" si="269"/>
        <v>1</v>
      </c>
      <c r="BO167" s="140">
        <f t="shared" si="269"/>
        <v>1</v>
      </c>
      <c r="BP167" s="140">
        <f t="shared" si="269"/>
        <v>1</v>
      </c>
      <c r="BQ167" s="140">
        <f t="shared" si="269"/>
        <v>1</v>
      </c>
      <c r="BR167" s="140">
        <f t="shared" si="269"/>
        <v>1</v>
      </c>
      <c r="BS167" s="140">
        <f t="shared" si="269"/>
        <v>1</v>
      </c>
      <c r="BT167" s="140">
        <f t="shared" si="269"/>
        <v>1</v>
      </c>
      <c r="BU167" s="140">
        <f t="shared" si="269"/>
        <v>1</v>
      </c>
      <c r="BV167" s="140">
        <f t="shared" si="269"/>
        <v>1</v>
      </c>
      <c r="BW167" s="140">
        <f t="shared" si="269"/>
        <v>1</v>
      </c>
      <c r="BX167" s="140">
        <f t="shared" si="269"/>
        <v>1</v>
      </c>
      <c r="BY167" s="140">
        <f t="shared" si="269"/>
        <v>1</v>
      </c>
      <c r="BZ167" s="140">
        <f t="shared" si="269"/>
        <v>1</v>
      </c>
      <c r="CA167" s="140">
        <f t="shared" si="269"/>
        <v>1</v>
      </c>
      <c r="CB167" s="140">
        <f>EXP(-CB166*CB165)</f>
        <v>1</v>
      </c>
      <c r="CC167" s="17"/>
      <c r="CD167" s="17"/>
      <c r="CE167" s="17"/>
    </row>
    <row r="168" spans="1:83">
      <c r="A168" s="17"/>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17"/>
      <c r="CD168" s="17"/>
      <c r="CE168" s="17"/>
    </row>
    <row r="169" spans="1:83">
      <c r="A169" s="16" t="s">
        <v>40</v>
      </c>
      <c r="B169" s="140">
        <f t="shared" ref="B169:BM169" si="270">DAYS360($B$3,B64)</f>
        <v>-43022</v>
      </c>
      <c r="C169" s="140">
        <f t="shared" si="270"/>
        <v>-42842</v>
      </c>
      <c r="D169" s="140">
        <f t="shared" si="270"/>
        <v>-42662</v>
      </c>
      <c r="E169" s="140">
        <f t="shared" si="270"/>
        <v>-42482</v>
      </c>
      <c r="F169" s="140">
        <f t="shared" si="270"/>
        <v>-42302</v>
      </c>
      <c r="G169" s="140">
        <f t="shared" si="270"/>
        <v>-42122</v>
      </c>
      <c r="H169" s="140">
        <f t="shared" si="270"/>
        <v>-41942</v>
      </c>
      <c r="I169" s="140">
        <f t="shared" si="270"/>
        <v>-41762</v>
      </c>
      <c r="J169" s="140">
        <f t="shared" si="270"/>
        <v>-41582</v>
      </c>
      <c r="K169" s="140">
        <f t="shared" si="270"/>
        <v>-41403</v>
      </c>
      <c r="L169" s="140">
        <f t="shared" si="270"/>
        <v>-41223</v>
      </c>
      <c r="M169" s="140">
        <f t="shared" si="270"/>
        <v>-41043</v>
      </c>
      <c r="N169" s="140">
        <f t="shared" si="270"/>
        <v>-40863</v>
      </c>
      <c r="O169" s="140">
        <f t="shared" si="270"/>
        <v>-40683</v>
      </c>
      <c r="P169" s="140">
        <f t="shared" si="270"/>
        <v>-40503</v>
      </c>
      <c r="Q169" s="140">
        <f t="shared" si="270"/>
        <v>-40323</v>
      </c>
      <c r="R169" s="140">
        <f t="shared" si="270"/>
        <v>-40143</v>
      </c>
      <c r="S169" s="140">
        <f t="shared" si="270"/>
        <v>-39964</v>
      </c>
      <c r="T169" s="140">
        <f t="shared" si="270"/>
        <v>-39784</v>
      </c>
      <c r="U169" s="140">
        <f t="shared" si="270"/>
        <v>-39604</v>
      </c>
      <c r="V169" s="140">
        <f t="shared" si="270"/>
        <v>-39424</v>
      </c>
      <c r="W169" s="140">
        <f t="shared" si="270"/>
        <v>-39244</v>
      </c>
      <c r="X169" s="140">
        <f t="shared" si="270"/>
        <v>-39064</v>
      </c>
      <c r="Y169" s="140">
        <f t="shared" si="270"/>
        <v>-38884</v>
      </c>
      <c r="Z169" s="140">
        <f t="shared" si="270"/>
        <v>-38704</v>
      </c>
      <c r="AA169" s="140">
        <f t="shared" si="270"/>
        <v>-38525</v>
      </c>
      <c r="AB169" s="140">
        <f t="shared" si="270"/>
        <v>-38345</v>
      </c>
      <c r="AC169" s="140">
        <f t="shared" si="270"/>
        <v>-38165</v>
      </c>
      <c r="AD169" s="140">
        <f t="shared" si="270"/>
        <v>-37985</v>
      </c>
      <c r="AE169" s="140">
        <f t="shared" si="270"/>
        <v>-37805</v>
      </c>
      <c r="AF169" s="140">
        <f t="shared" si="270"/>
        <v>-37625</v>
      </c>
      <c r="AG169" s="140">
        <f t="shared" si="270"/>
        <v>-37445</v>
      </c>
      <c r="AH169" s="140">
        <f t="shared" si="270"/>
        <v>-37265</v>
      </c>
      <c r="AI169" s="140">
        <f t="shared" si="270"/>
        <v>-37086</v>
      </c>
      <c r="AJ169" s="140">
        <f t="shared" si="270"/>
        <v>-36906</v>
      </c>
      <c r="AK169" s="140">
        <f t="shared" si="270"/>
        <v>-36726</v>
      </c>
      <c r="AL169" s="140">
        <f t="shared" si="270"/>
        <v>-36546</v>
      </c>
      <c r="AM169" s="140">
        <f t="shared" si="270"/>
        <v>-36366</v>
      </c>
      <c r="AN169" s="140">
        <f t="shared" si="270"/>
        <v>-36186</v>
      </c>
      <c r="AO169" s="140">
        <f t="shared" si="270"/>
        <v>-36006</v>
      </c>
      <c r="AP169" s="140">
        <f t="shared" si="270"/>
        <v>-35826</v>
      </c>
      <c r="AQ169" s="140">
        <f t="shared" si="270"/>
        <v>-35647</v>
      </c>
      <c r="AR169" s="140">
        <f t="shared" si="270"/>
        <v>-35467</v>
      </c>
      <c r="AS169" s="140">
        <f t="shared" si="270"/>
        <v>-35287</v>
      </c>
      <c r="AT169" s="140">
        <f t="shared" si="270"/>
        <v>-35107</v>
      </c>
      <c r="AU169" s="140">
        <f t="shared" si="270"/>
        <v>-34927</v>
      </c>
      <c r="AV169" s="140">
        <f t="shared" si="270"/>
        <v>-34747</v>
      </c>
      <c r="AW169" s="140">
        <f t="shared" si="270"/>
        <v>-34567</v>
      </c>
      <c r="AX169" s="140">
        <f t="shared" si="270"/>
        <v>-34387</v>
      </c>
      <c r="AY169" s="140">
        <f t="shared" si="270"/>
        <v>-34208</v>
      </c>
      <c r="AZ169" s="140">
        <f t="shared" si="270"/>
        <v>-34028</v>
      </c>
      <c r="BA169" s="140">
        <f t="shared" si="270"/>
        <v>-33848</v>
      </c>
      <c r="BB169" s="140">
        <f t="shared" si="270"/>
        <v>-33668</v>
      </c>
      <c r="BC169" s="140">
        <f t="shared" si="270"/>
        <v>-33488</v>
      </c>
      <c r="BD169" s="140">
        <f t="shared" si="270"/>
        <v>-33308</v>
      </c>
      <c r="BE169" s="140">
        <f t="shared" si="270"/>
        <v>-33128</v>
      </c>
      <c r="BF169" s="140">
        <f t="shared" si="270"/>
        <v>-32948</v>
      </c>
      <c r="BG169" s="140">
        <f t="shared" si="270"/>
        <v>-32769</v>
      </c>
      <c r="BH169" s="140">
        <f t="shared" si="270"/>
        <v>-32589</v>
      </c>
      <c r="BI169" s="140">
        <f t="shared" si="270"/>
        <v>-32409</v>
      </c>
      <c r="BJ169" s="140">
        <f t="shared" si="270"/>
        <v>-32229</v>
      </c>
      <c r="BK169" s="140">
        <f t="shared" si="270"/>
        <v>-32049</v>
      </c>
      <c r="BL169" s="140">
        <f t="shared" si="270"/>
        <v>-31869</v>
      </c>
      <c r="BM169" s="140">
        <f t="shared" si="270"/>
        <v>-31689</v>
      </c>
      <c r="BN169" s="140">
        <f t="shared" ref="BN169:CB169" si="271">DAYS360($B$3,BN64)</f>
        <v>-31509</v>
      </c>
      <c r="BO169" s="140">
        <f t="shared" si="271"/>
        <v>-31330</v>
      </c>
      <c r="BP169" s="140">
        <f t="shared" si="271"/>
        <v>-31150</v>
      </c>
      <c r="BQ169" s="140">
        <f t="shared" si="271"/>
        <v>-30970</v>
      </c>
      <c r="BR169" s="140">
        <f t="shared" si="271"/>
        <v>-30790</v>
      </c>
      <c r="BS169" s="140">
        <f t="shared" si="271"/>
        <v>-30610</v>
      </c>
      <c r="BT169" s="140">
        <f t="shared" si="271"/>
        <v>-30430</v>
      </c>
      <c r="BU169" s="140">
        <f t="shared" si="271"/>
        <v>-30250</v>
      </c>
      <c r="BV169" s="140">
        <f t="shared" si="271"/>
        <v>-30070</v>
      </c>
      <c r="BW169" s="140">
        <f t="shared" si="271"/>
        <v>-29891</v>
      </c>
      <c r="BX169" s="140">
        <f t="shared" si="271"/>
        <v>-29711</v>
      </c>
      <c r="BY169" s="140">
        <f t="shared" si="271"/>
        <v>-29531</v>
      </c>
      <c r="BZ169" s="140">
        <f t="shared" si="271"/>
        <v>-29351</v>
      </c>
      <c r="CA169" s="140">
        <f t="shared" si="271"/>
        <v>-29171</v>
      </c>
      <c r="CB169" s="140">
        <f t="shared" si="271"/>
        <v>-28991</v>
      </c>
      <c r="CC169" s="17"/>
      <c r="CD169" s="17"/>
      <c r="CE169" s="17"/>
    </row>
    <row r="170" spans="1:83">
      <c r="A170" s="16" t="s">
        <v>41</v>
      </c>
      <c r="B170" s="140">
        <f>B169/360</f>
        <v>-119.50555555555556</v>
      </c>
      <c r="C170" s="140">
        <f t="shared" ref="C170:BN170" si="272">C169/360</f>
        <v>-119.00555555555556</v>
      </c>
      <c r="D170" s="140">
        <f t="shared" si="272"/>
        <v>-118.50555555555556</v>
      </c>
      <c r="E170" s="140">
        <f t="shared" si="272"/>
        <v>-118.00555555555556</v>
      </c>
      <c r="F170" s="140">
        <f t="shared" si="272"/>
        <v>-117.50555555555556</v>
      </c>
      <c r="G170" s="140">
        <f t="shared" si="272"/>
        <v>-117.00555555555556</v>
      </c>
      <c r="H170" s="140">
        <f t="shared" si="272"/>
        <v>-116.50555555555556</v>
      </c>
      <c r="I170" s="140">
        <f t="shared" si="272"/>
        <v>-116.00555555555556</v>
      </c>
      <c r="J170" s="140">
        <f t="shared" si="272"/>
        <v>-115.50555555555556</v>
      </c>
      <c r="K170" s="140">
        <f t="shared" si="272"/>
        <v>-115.00833333333334</v>
      </c>
      <c r="L170" s="140">
        <f t="shared" si="272"/>
        <v>-114.50833333333334</v>
      </c>
      <c r="M170" s="140">
        <f t="shared" si="272"/>
        <v>-114.00833333333334</v>
      </c>
      <c r="N170" s="140">
        <f t="shared" si="272"/>
        <v>-113.50833333333334</v>
      </c>
      <c r="O170" s="140">
        <f t="shared" si="272"/>
        <v>-113.00833333333334</v>
      </c>
      <c r="P170" s="140">
        <f t="shared" si="272"/>
        <v>-112.50833333333334</v>
      </c>
      <c r="Q170" s="140">
        <f t="shared" si="272"/>
        <v>-112.00833333333334</v>
      </c>
      <c r="R170" s="140">
        <f t="shared" si="272"/>
        <v>-111.50833333333334</v>
      </c>
      <c r="S170" s="140">
        <f t="shared" si="272"/>
        <v>-111.01111111111111</v>
      </c>
      <c r="T170" s="140">
        <f t="shared" si="272"/>
        <v>-110.51111111111111</v>
      </c>
      <c r="U170" s="140">
        <f t="shared" si="272"/>
        <v>-110.01111111111111</v>
      </c>
      <c r="V170" s="140">
        <f t="shared" si="272"/>
        <v>-109.51111111111111</v>
      </c>
      <c r="W170" s="140">
        <f t="shared" si="272"/>
        <v>-109.01111111111111</v>
      </c>
      <c r="X170" s="140">
        <f t="shared" si="272"/>
        <v>-108.51111111111111</v>
      </c>
      <c r="Y170" s="140">
        <f t="shared" si="272"/>
        <v>-108.01111111111111</v>
      </c>
      <c r="Z170" s="140">
        <f t="shared" si="272"/>
        <v>-107.51111111111111</v>
      </c>
      <c r="AA170" s="140">
        <f t="shared" si="272"/>
        <v>-107.01388888888889</v>
      </c>
      <c r="AB170" s="140">
        <f t="shared" si="272"/>
        <v>-106.51388888888889</v>
      </c>
      <c r="AC170" s="140">
        <f t="shared" si="272"/>
        <v>-106.01388888888889</v>
      </c>
      <c r="AD170" s="140">
        <f t="shared" si="272"/>
        <v>-105.51388888888889</v>
      </c>
      <c r="AE170" s="140">
        <f t="shared" si="272"/>
        <v>-105.01388888888889</v>
      </c>
      <c r="AF170" s="140">
        <f t="shared" si="272"/>
        <v>-104.51388888888889</v>
      </c>
      <c r="AG170" s="140">
        <f t="shared" si="272"/>
        <v>-104.01388888888889</v>
      </c>
      <c r="AH170" s="140">
        <f t="shared" si="272"/>
        <v>-103.51388888888889</v>
      </c>
      <c r="AI170" s="140">
        <f t="shared" si="272"/>
        <v>-103.01666666666667</v>
      </c>
      <c r="AJ170" s="140">
        <f t="shared" si="272"/>
        <v>-102.51666666666667</v>
      </c>
      <c r="AK170" s="140">
        <f t="shared" si="272"/>
        <v>-102.01666666666667</v>
      </c>
      <c r="AL170" s="140">
        <f t="shared" si="272"/>
        <v>-101.51666666666667</v>
      </c>
      <c r="AM170" s="140">
        <f t="shared" si="272"/>
        <v>-101.01666666666667</v>
      </c>
      <c r="AN170" s="140">
        <f t="shared" si="272"/>
        <v>-100.51666666666667</v>
      </c>
      <c r="AO170" s="140">
        <f t="shared" si="272"/>
        <v>-100.01666666666667</v>
      </c>
      <c r="AP170" s="140">
        <f t="shared" si="272"/>
        <v>-99.516666666666666</v>
      </c>
      <c r="AQ170" s="140">
        <f t="shared" si="272"/>
        <v>-99.019444444444446</v>
      </c>
      <c r="AR170" s="140">
        <f t="shared" si="272"/>
        <v>-98.519444444444446</v>
      </c>
      <c r="AS170" s="140">
        <f t="shared" si="272"/>
        <v>-98.019444444444446</v>
      </c>
      <c r="AT170" s="140">
        <f t="shared" si="272"/>
        <v>-97.519444444444446</v>
      </c>
      <c r="AU170" s="140">
        <f t="shared" si="272"/>
        <v>-97.019444444444446</v>
      </c>
      <c r="AV170" s="140">
        <f t="shared" si="272"/>
        <v>-96.519444444444446</v>
      </c>
      <c r="AW170" s="140">
        <f t="shared" si="272"/>
        <v>-96.019444444444446</v>
      </c>
      <c r="AX170" s="140">
        <f t="shared" si="272"/>
        <v>-95.519444444444446</v>
      </c>
      <c r="AY170" s="140">
        <f t="shared" si="272"/>
        <v>-95.022222222222226</v>
      </c>
      <c r="AZ170" s="140">
        <f t="shared" si="272"/>
        <v>-94.522222222222226</v>
      </c>
      <c r="BA170" s="140">
        <f t="shared" si="272"/>
        <v>-94.022222222222226</v>
      </c>
      <c r="BB170" s="140">
        <f t="shared" si="272"/>
        <v>-93.522222222222226</v>
      </c>
      <c r="BC170" s="140">
        <f t="shared" si="272"/>
        <v>-93.022222222222226</v>
      </c>
      <c r="BD170" s="140">
        <f t="shared" si="272"/>
        <v>-92.522222222222226</v>
      </c>
      <c r="BE170" s="140">
        <f t="shared" si="272"/>
        <v>-92.022222222222226</v>
      </c>
      <c r="BF170" s="140">
        <f t="shared" si="272"/>
        <v>-91.522222222222226</v>
      </c>
      <c r="BG170" s="140">
        <f t="shared" si="272"/>
        <v>-91.025000000000006</v>
      </c>
      <c r="BH170" s="140">
        <f t="shared" si="272"/>
        <v>-90.525000000000006</v>
      </c>
      <c r="BI170" s="140">
        <f t="shared" si="272"/>
        <v>-90.025000000000006</v>
      </c>
      <c r="BJ170" s="140">
        <f t="shared" si="272"/>
        <v>-89.525000000000006</v>
      </c>
      <c r="BK170" s="140">
        <f t="shared" si="272"/>
        <v>-89.025000000000006</v>
      </c>
      <c r="BL170" s="140">
        <f t="shared" si="272"/>
        <v>-88.525000000000006</v>
      </c>
      <c r="BM170" s="140">
        <f t="shared" si="272"/>
        <v>-88.025000000000006</v>
      </c>
      <c r="BN170" s="140">
        <f t="shared" si="272"/>
        <v>-87.525000000000006</v>
      </c>
      <c r="BO170" s="140">
        <f t="shared" ref="BO170:CB170" si="273">BO169/360</f>
        <v>-87.027777777777771</v>
      </c>
      <c r="BP170" s="140">
        <f t="shared" si="273"/>
        <v>-86.527777777777771</v>
      </c>
      <c r="BQ170" s="140">
        <f t="shared" si="273"/>
        <v>-86.027777777777771</v>
      </c>
      <c r="BR170" s="140">
        <f t="shared" si="273"/>
        <v>-85.527777777777771</v>
      </c>
      <c r="BS170" s="140">
        <f t="shared" si="273"/>
        <v>-85.027777777777771</v>
      </c>
      <c r="BT170" s="140">
        <f t="shared" si="273"/>
        <v>-84.527777777777771</v>
      </c>
      <c r="BU170" s="140">
        <f t="shared" si="273"/>
        <v>-84.027777777777771</v>
      </c>
      <c r="BV170" s="140">
        <f t="shared" si="273"/>
        <v>-83.527777777777771</v>
      </c>
      <c r="BW170" s="140">
        <f t="shared" si="273"/>
        <v>-83.030555555555551</v>
      </c>
      <c r="BX170" s="140">
        <f t="shared" si="273"/>
        <v>-82.530555555555551</v>
      </c>
      <c r="BY170" s="140">
        <f t="shared" si="273"/>
        <v>-82.030555555555551</v>
      </c>
      <c r="BZ170" s="140">
        <f t="shared" si="273"/>
        <v>-81.530555555555551</v>
      </c>
      <c r="CA170" s="140">
        <f t="shared" si="273"/>
        <v>-81.030555555555551</v>
      </c>
      <c r="CB170" s="140">
        <f t="shared" si="273"/>
        <v>-80.530555555555551</v>
      </c>
      <c r="CC170" s="17"/>
      <c r="CD170" s="17"/>
      <c r="CE170" s="17"/>
    </row>
    <row r="171" spans="1:83">
      <c r="A171" s="16" t="s">
        <v>43</v>
      </c>
      <c r="B171" s="140">
        <f>IF(B169&lt;0,0,$B$5+$B$6*((1-EXP(-B170/$B$9))/(B170/$B$9))+$B$7*((1-EXP(-B170/$B$9))/(B170/$B$9)-EXP(-B170/$B$9))+$B$8*((1-EXP(-B170/$B$10))/(B170/$B$10)-EXP(-B170/$B$10)))</f>
        <v>0</v>
      </c>
      <c r="C171" s="140">
        <f t="shared" ref="C171:BN171" si="274">IF(C169&lt;0,0,$B$5+$B$6*((1-EXP(-C170/$B$9))/(C170/$B$9))+$B$7*((1-EXP(-C170/$B$9))/(C170/$B$9)-EXP(-C170/$B$9))+$B$8*((1-EXP(-C170/$B$10))/(C170/$B$10)-EXP(-C170/$B$10)))</f>
        <v>0</v>
      </c>
      <c r="D171" s="140">
        <f t="shared" si="274"/>
        <v>0</v>
      </c>
      <c r="E171" s="140">
        <f t="shared" si="274"/>
        <v>0</v>
      </c>
      <c r="F171" s="140">
        <f t="shared" si="274"/>
        <v>0</v>
      </c>
      <c r="G171" s="140">
        <f t="shared" si="274"/>
        <v>0</v>
      </c>
      <c r="H171" s="140">
        <f t="shared" si="274"/>
        <v>0</v>
      </c>
      <c r="I171" s="140">
        <f t="shared" si="274"/>
        <v>0</v>
      </c>
      <c r="J171" s="140">
        <f t="shared" si="274"/>
        <v>0</v>
      </c>
      <c r="K171" s="140">
        <f t="shared" si="274"/>
        <v>0</v>
      </c>
      <c r="L171" s="140">
        <f t="shared" si="274"/>
        <v>0</v>
      </c>
      <c r="M171" s="140">
        <f t="shared" si="274"/>
        <v>0</v>
      </c>
      <c r="N171" s="140">
        <f t="shared" si="274"/>
        <v>0</v>
      </c>
      <c r="O171" s="140">
        <f t="shared" si="274"/>
        <v>0</v>
      </c>
      <c r="P171" s="140">
        <f t="shared" si="274"/>
        <v>0</v>
      </c>
      <c r="Q171" s="140">
        <f t="shared" si="274"/>
        <v>0</v>
      </c>
      <c r="R171" s="140">
        <f t="shared" si="274"/>
        <v>0</v>
      </c>
      <c r="S171" s="140">
        <f t="shared" si="274"/>
        <v>0</v>
      </c>
      <c r="T171" s="140">
        <f t="shared" si="274"/>
        <v>0</v>
      </c>
      <c r="U171" s="140">
        <f t="shared" si="274"/>
        <v>0</v>
      </c>
      <c r="V171" s="140">
        <f t="shared" si="274"/>
        <v>0</v>
      </c>
      <c r="W171" s="140">
        <f t="shared" si="274"/>
        <v>0</v>
      </c>
      <c r="X171" s="140">
        <f t="shared" si="274"/>
        <v>0</v>
      </c>
      <c r="Y171" s="140">
        <f t="shared" si="274"/>
        <v>0</v>
      </c>
      <c r="Z171" s="140">
        <f t="shared" si="274"/>
        <v>0</v>
      </c>
      <c r="AA171" s="140">
        <f t="shared" si="274"/>
        <v>0</v>
      </c>
      <c r="AB171" s="140">
        <f t="shared" si="274"/>
        <v>0</v>
      </c>
      <c r="AC171" s="140">
        <f t="shared" si="274"/>
        <v>0</v>
      </c>
      <c r="AD171" s="140">
        <f t="shared" si="274"/>
        <v>0</v>
      </c>
      <c r="AE171" s="140">
        <f t="shared" si="274"/>
        <v>0</v>
      </c>
      <c r="AF171" s="140">
        <f t="shared" si="274"/>
        <v>0</v>
      </c>
      <c r="AG171" s="140">
        <f t="shared" si="274"/>
        <v>0</v>
      </c>
      <c r="AH171" s="140">
        <f t="shared" si="274"/>
        <v>0</v>
      </c>
      <c r="AI171" s="140">
        <f t="shared" si="274"/>
        <v>0</v>
      </c>
      <c r="AJ171" s="140">
        <f t="shared" si="274"/>
        <v>0</v>
      </c>
      <c r="AK171" s="140">
        <f t="shared" si="274"/>
        <v>0</v>
      </c>
      <c r="AL171" s="140">
        <f t="shared" si="274"/>
        <v>0</v>
      </c>
      <c r="AM171" s="140">
        <f t="shared" si="274"/>
        <v>0</v>
      </c>
      <c r="AN171" s="140">
        <f t="shared" si="274"/>
        <v>0</v>
      </c>
      <c r="AO171" s="140">
        <f t="shared" si="274"/>
        <v>0</v>
      </c>
      <c r="AP171" s="140">
        <f t="shared" si="274"/>
        <v>0</v>
      </c>
      <c r="AQ171" s="140">
        <f t="shared" si="274"/>
        <v>0</v>
      </c>
      <c r="AR171" s="140">
        <f t="shared" si="274"/>
        <v>0</v>
      </c>
      <c r="AS171" s="140">
        <f t="shared" si="274"/>
        <v>0</v>
      </c>
      <c r="AT171" s="140">
        <f t="shared" si="274"/>
        <v>0</v>
      </c>
      <c r="AU171" s="140">
        <f t="shared" si="274"/>
        <v>0</v>
      </c>
      <c r="AV171" s="140">
        <f t="shared" si="274"/>
        <v>0</v>
      </c>
      <c r="AW171" s="140">
        <f t="shared" si="274"/>
        <v>0</v>
      </c>
      <c r="AX171" s="140">
        <f t="shared" si="274"/>
        <v>0</v>
      </c>
      <c r="AY171" s="140">
        <f t="shared" si="274"/>
        <v>0</v>
      </c>
      <c r="AZ171" s="140">
        <f t="shared" si="274"/>
        <v>0</v>
      </c>
      <c r="BA171" s="140">
        <f t="shared" si="274"/>
        <v>0</v>
      </c>
      <c r="BB171" s="140">
        <f t="shared" si="274"/>
        <v>0</v>
      </c>
      <c r="BC171" s="140">
        <f t="shared" si="274"/>
        <v>0</v>
      </c>
      <c r="BD171" s="140">
        <f t="shared" si="274"/>
        <v>0</v>
      </c>
      <c r="BE171" s="140">
        <f t="shared" si="274"/>
        <v>0</v>
      </c>
      <c r="BF171" s="140">
        <f t="shared" si="274"/>
        <v>0</v>
      </c>
      <c r="BG171" s="140">
        <f t="shared" si="274"/>
        <v>0</v>
      </c>
      <c r="BH171" s="140">
        <f t="shared" si="274"/>
        <v>0</v>
      </c>
      <c r="BI171" s="140">
        <f t="shared" si="274"/>
        <v>0</v>
      </c>
      <c r="BJ171" s="140">
        <f t="shared" si="274"/>
        <v>0</v>
      </c>
      <c r="BK171" s="140">
        <f t="shared" si="274"/>
        <v>0</v>
      </c>
      <c r="BL171" s="140">
        <f t="shared" si="274"/>
        <v>0</v>
      </c>
      <c r="BM171" s="140">
        <f t="shared" si="274"/>
        <v>0</v>
      </c>
      <c r="BN171" s="140">
        <f t="shared" si="274"/>
        <v>0</v>
      </c>
      <c r="BO171" s="140">
        <f t="shared" ref="BO171:CB171" si="275">IF(BO169&lt;0,0,$B$5+$B$6*((1-EXP(-BO170/$B$9))/(BO170/$B$9))+$B$7*((1-EXP(-BO170/$B$9))/(BO170/$B$9)-EXP(-BO170/$B$9))+$B$8*((1-EXP(-BO170/$B$10))/(BO170/$B$10)-EXP(-BO170/$B$10)))</f>
        <v>0</v>
      </c>
      <c r="BP171" s="140">
        <f t="shared" si="275"/>
        <v>0</v>
      </c>
      <c r="BQ171" s="140">
        <f t="shared" si="275"/>
        <v>0</v>
      </c>
      <c r="BR171" s="140">
        <f t="shared" si="275"/>
        <v>0</v>
      </c>
      <c r="BS171" s="140">
        <f t="shared" si="275"/>
        <v>0</v>
      </c>
      <c r="BT171" s="140">
        <f t="shared" si="275"/>
        <v>0</v>
      </c>
      <c r="BU171" s="140">
        <f t="shared" si="275"/>
        <v>0</v>
      </c>
      <c r="BV171" s="140">
        <f t="shared" si="275"/>
        <v>0</v>
      </c>
      <c r="BW171" s="140">
        <f t="shared" si="275"/>
        <v>0</v>
      </c>
      <c r="BX171" s="140">
        <f t="shared" si="275"/>
        <v>0</v>
      </c>
      <c r="BY171" s="140">
        <f t="shared" si="275"/>
        <v>0</v>
      </c>
      <c r="BZ171" s="140">
        <f t="shared" si="275"/>
        <v>0</v>
      </c>
      <c r="CA171" s="140">
        <f t="shared" si="275"/>
        <v>0</v>
      </c>
      <c r="CB171" s="140">
        <f t="shared" si="275"/>
        <v>0</v>
      </c>
      <c r="CC171" s="17"/>
      <c r="CD171" s="17"/>
      <c r="CE171" s="17"/>
    </row>
    <row r="172" spans="1:83">
      <c r="A172" s="16" t="s">
        <v>44</v>
      </c>
      <c r="B172" s="140">
        <f>EXP(-B171*B170)</f>
        <v>1</v>
      </c>
      <c r="C172" s="140">
        <f t="shared" ref="C172:AR172" si="276">EXP(-C171*C170)</f>
        <v>1</v>
      </c>
      <c r="D172" s="140">
        <f t="shared" si="276"/>
        <v>1</v>
      </c>
      <c r="E172" s="140">
        <f t="shared" si="276"/>
        <v>1</v>
      </c>
      <c r="F172" s="140">
        <f t="shared" si="276"/>
        <v>1</v>
      </c>
      <c r="G172" s="140">
        <f t="shared" si="276"/>
        <v>1</v>
      </c>
      <c r="H172" s="140">
        <f t="shared" si="276"/>
        <v>1</v>
      </c>
      <c r="I172" s="140">
        <f t="shared" si="276"/>
        <v>1</v>
      </c>
      <c r="J172" s="140">
        <f t="shared" si="276"/>
        <v>1</v>
      </c>
      <c r="K172" s="140">
        <f t="shared" si="276"/>
        <v>1</v>
      </c>
      <c r="L172" s="140">
        <f t="shared" si="276"/>
        <v>1</v>
      </c>
      <c r="M172" s="140">
        <f t="shared" si="276"/>
        <v>1</v>
      </c>
      <c r="N172" s="140">
        <f t="shared" si="276"/>
        <v>1</v>
      </c>
      <c r="O172" s="140">
        <f t="shared" si="276"/>
        <v>1</v>
      </c>
      <c r="P172" s="140">
        <f t="shared" si="276"/>
        <v>1</v>
      </c>
      <c r="Q172" s="140">
        <f t="shared" si="276"/>
        <v>1</v>
      </c>
      <c r="R172" s="140">
        <f t="shared" si="276"/>
        <v>1</v>
      </c>
      <c r="S172" s="140">
        <f t="shared" si="276"/>
        <v>1</v>
      </c>
      <c r="T172" s="140">
        <f t="shared" si="276"/>
        <v>1</v>
      </c>
      <c r="U172" s="140">
        <f t="shared" si="276"/>
        <v>1</v>
      </c>
      <c r="V172" s="140">
        <f t="shared" si="276"/>
        <v>1</v>
      </c>
      <c r="W172" s="140">
        <f t="shared" si="276"/>
        <v>1</v>
      </c>
      <c r="X172" s="140">
        <f t="shared" si="276"/>
        <v>1</v>
      </c>
      <c r="Y172" s="140">
        <f t="shared" si="276"/>
        <v>1</v>
      </c>
      <c r="Z172" s="140">
        <f t="shared" si="276"/>
        <v>1</v>
      </c>
      <c r="AA172" s="140">
        <f t="shared" si="276"/>
        <v>1</v>
      </c>
      <c r="AB172" s="140">
        <f t="shared" si="276"/>
        <v>1</v>
      </c>
      <c r="AC172" s="140">
        <f t="shared" si="276"/>
        <v>1</v>
      </c>
      <c r="AD172" s="140">
        <f t="shared" si="276"/>
        <v>1</v>
      </c>
      <c r="AE172" s="140">
        <f t="shared" si="276"/>
        <v>1</v>
      </c>
      <c r="AF172" s="140">
        <f t="shared" si="276"/>
        <v>1</v>
      </c>
      <c r="AG172" s="140">
        <f t="shared" si="276"/>
        <v>1</v>
      </c>
      <c r="AH172" s="140">
        <f t="shared" si="276"/>
        <v>1</v>
      </c>
      <c r="AI172" s="140">
        <f t="shared" si="276"/>
        <v>1</v>
      </c>
      <c r="AJ172" s="140">
        <f t="shared" si="276"/>
        <v>1</v>
      </c>
      <c r="AK172" s="140">
        <f t="shared" si="276"/>
        <v>1</v>
      </c>
      <c r="AL172" s="140">
        <f t="shared" si="276"/>
        <v>1</v>
      </c>
      <c r="AM172" s="140">
        <f t="shared" si="276"/>
        <v>1</v>
      </c>
      <c r="AN172" s="140">
        <f t="shared" si="276"/>
        <v>1</v>
      </c>
      <c r="AO172" s="140">
        <f t="shared" si="276"/>
        <v>1</v>
      </c>
      <c r="AP172" s="140">
        <f t="shared" si="276"/>
        <v>1</v>
      </c>
      <c r="AQ172" s="140">
        <f t="shared" si="276"/>
        <v>1</v>
      </c>
      <c r="AR172" s="140">
        <f t="shared" si="276"/>
        <v>1</v>
      </c>
      <c r="AS172" s="140">
        <f>EXP(-AS171*AS170)</f>
        <v>1</v>
      </c>
      <c r="AT172" s="140">
        <f t="shared" ref="AT172:CA172" si="277">EXP(-AT171*AT170)</f>
        <v>1</v>
      </c>
      <c r="AU172" s="140">
        <f t="shared" si="277"/>
        <v>1</v>
      </c>
      <c r="AV172" s="140">
        <f t="shared" si="277"/>
        <v>1</v>
      </c>
      <c r="AW172" s="140">
        <f t="shared" si="277"/>
        <v>1</v>
      </c>
      <c r="AX172" s="140">
        <f t="shared" si="277"/>
        <v>1</v>
      </c>
      <c r="AY172" s="140">
        <f t="shared" si="277"/>
        <v>1</v>
      </c>
      <c r="AZ172" s="140">
        <f t="shared" si="277"/>
        <v>1</v>
      </c>
      <c r="BA172" s="140">
        <f t="shared" si="277"/>
        <v>1</v>
      </c>
      <c r="BB172" s="140">
        <f t="shared" si="277"/>
        <v>1</v>
      </c>
      <c r="BC172" s="140">
        <f t="shared" si="277"/>
        <v>1</v>
      </c>
      <c r="BD172" s="140">
        <f t="shared" si="277"/>
        <v>1</v>
      </c>
      <c r="BE172" s="140">
        <f t="shared" si="277"/>
        <v>1</v>
      </c>
      <c r="BF172" s="140">
        <f t="shared" si="277"/>
        <v>1</v>
      </c>
      <c r="BG172" s="140">
        <f t="shared" si="277"/>
        <v>1</v>
      </c>
      <c r="BH172" s="140">
        <f t="shared" si="277"/>
        <v>1</v>
      </c>
      <c r="BI172" s="140">
        <f t="shared" si="277"/>
        <v>1</v>
      </c>
      <c r="BJ172" s="140">
        <f t="shared" si="277"/>
        <v>1</v>
      </c>
      <c r="BK172" s="140">
        <f t="shared" si="277"/>
        <v>1</v>
      </c>
      <c r="BL172" s="140">
        <f t="shared" si="277"/>
        <v>1</v>
      </c>
      <c r="BM172" s="140">
        <f t="shared" si="277"/>
        <v>1</v>
      </c>
      <c r="BN172" s="140">
        <f t="shared" si="277"/>
        <v>1</v>
      </c>
      <c r="BO172" s="140">
        <f t="shared" si="277"/>
        <v>1</v>
      </c>
      <c r="BP172" s="140">
        <f t="shared" si="277"/>
        <v>1</v>
      </c>
      <c r="BQ172" s="140">
        <f t="shared" si="277"/>
        <v>1</v>
      </c>
      <c r="BR172" s="140">
        <f t="shared" si="277"/>
        <v>1</v>
      </c>
      <c r="BS172" s="140">
        <f t="shared" si="277"/>
        <v>1</v>
      </c>
      <c r="BT172" s="140">
        <f t="shared" si="277"/>
        <v>1</v>
      </c>
      <c r="BU172" s="140">
        <f t="shared" si="277"/>
        <v>1</v>
      </c>
      <c r="BV172" s="140">
        <f t="shared" si="277"/>
        <v>1</v>
      </c>
      <c r="BW172" s="140">
        <f t="shared" si="277"/>
        <v>1</v>
      </c>
      <c r="BX172" s="140">
        <f t="shared" si="277"/>
        <v>1</v>
      </c>
      <c r="BY172" s="140">
        <f t="shared" si="277"/>
        <v>1</v>
      </c>
      <c r="BZ172" s="140">
        <f t="shared" si="277"/>
        <v>1</v>
      </c>
      <c r="CA172" s="140">
        <f t="shared" si="277"/>
        <v>1</v>
      </c>
      <c r="CB172" s="140">
        <f>EXP(-CB171*CB170)</f>
        <v>1</v>
      </c>
      <c r="CC172" s="17"/>
      <c r="CD172" s="17"/>
      <c r="CE172" s="17"/>
    </row>
    <row r="173" spans="1:83">
      <c r="A173" s="17"/>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17"/>
      <c r="CD173" s="17"/>
      <c r="CE173" s="17"/>
    </row>
    <row r="174" spans="1:83">
      <c r="A174" s="16" t="s">
        <v>40</v>
      </c>
      <c r="B174" s="140">
        <f t="shared" ref="B174:BM174" si="278">DAYS360($B$3,B66)</f>
        <v>-43022</v>
      </c>
      <c r="C174" s="140">
        <f t="shared" si="278"/>
        <v>-42842</v>
      </c>
      <c r="D174" s="140">
        <f t="shared" si="278"/>
        <v>-42662</v>
      </c>
      <c r="E174" s="140">
        <f t="shared" si="278"/>
        <v>-42482</v>
      </c>
      <c r="F174" s="140">
        <f t="shared" si="278"/>
        <v>-42302</v>
      </c>
      <c r="G174" s="140">
        <f t="shared" si="278"/>
        <v>-42122</v>
      </c>
      <c r="H174" s="140">
        <f t="shared" si="278"/>
        <v>-41942</v>
      </c>
      <c r="I174" s="140">
        <f t="shared" si="278"/>
        <v>-41762</v>
      </c>
      <c r="J174" s="140">
        <f t="shared" si="278"/>
        <v>-41582</v>
      </c>
      <c r="K174" s="140">
        <f t="shared" si="278"/>
        <v>-41403</v>
      </c>
      <c r="L174" s="140">
        <f t="shared" si="278"/>
        <v>-41223</v>
      </c>
      <c r="M174" s="140">
        <f t="shared" si="278"/>
        <v>-41043</v>
      </c>
      <c r="N174" s="140">
        <f t="shared" si="278"/>
        <v>-40863</v>
      </c>
      <c r="O174" s="140">
        <f t="shared" si="278"/>
        <v>-40683</v>
      </c>
      <c r="P174" s="140">
        <f t="shared" si="278"/>
        <v>-40503</v>
      </c>
      <c r="Q174" s="140">
        <f t="shared" si="278"/>
        <v>-40323</v>
      </c>
      <c r="R174" s="140">
        <f t="shared" si="278"/>
        <v>-40143</v>
      </c>
      <c r="S174" s="140">
        <f t="shared" si="278"/>
        <v>-39964</v>
      </c>
      <c r="T174" s="140">
        <f t="shared" si="278"/>
        <v>-39784</v>
      </c>
      <c r="U174" s="140">
        <f t="shared" si="278"/>
        <v>-39604</v>
      </c>
      <c r="V174" s="140">
        <f t="shared" si="278"/>
        <v>-39424</v>
      </c>
      <c r="W174" s="140">
        <f t="shared" si="278"/>
        <v>-39244</v>
      </c>
      <c r="X174" s="140">
        <f t="shared" si="278"/>
        <v>-39064</v>
      </c>
      <c r="Y174" s="140">
        <f t="shared" si="278"/>
        <v>-38884</v>
      </c>
      <c r="Z174" s="140">
        <f t="shared" si="278"/>
        <v>-38704</v>
      </c>
      <c r="AA174" s="140">
        <f t="shared" si="278"/>
        <v>-38525</v>
      </c>
      <c r="AB174" s="140">
        <f t="shared" si="278"/>
        <v>-38345</v>
      </c>
      <c r="AC174" s="140">
        <f t="shared" si="278"/>
        <v>-38165</v>
      </c>
      <c r="AD174" s="140">
        <f t="shared" si="278"/>
        <v>-37985</v>
      </c>
      <c r="AE174" s="140">
        <f t="shared" si="278"/>
        <v>-37805</v>
      </c>
      <c r="AF174" s="140">
        <f t="shared" si="278"/>
        <v>-37625</v>
      </c>
      <c r="AG174" s="140">
        <f t="shared" si="278"/>
        <v>-37445</v>
      </c>
      <c r="AH174" s="140">
        <f t="shared" si="278"/>
        <v>-37265</v>
      </c>
      <c r="AI174" s="140">
        <f t="shared" si="278"/>
        <v>-37086</v>
      </c>
      <c r="AJ174" s="140">
        <f t="shared" si="278"/>
        <v>-36906</v>
      </c>
      <c r="AK174" s="140">
        <f t="shared" si="278"/>
        <v>-36726</v>
      </c>
      <c r="AL174" s="140">
        <f t="shared" si="278"/>
        <v>-36546</v>
      </c>
      <c r="AM174" s="140">
        <f t="shared" si="278"/>
        <v>-36366</v>
      </c>
      <c r="AN174" s="140">
        <f t="shared" si="278"/>
        <v>-36186</v>
      </c>
      <c r="AO174" s="140">
        <f t="shared" si="278"/>
        <v>-36006</v>
      </c>
      <c r="AP174" s="140">
        <f t="shared" si="278"/>
        <v>-35826</v>
      </c>
      <c r="AQ174" s="140">
        <f t="shared" si="278"/>
        <v>-35647</v>
      </c>
      <c r="AR174" s="140">
        <f t="shared" si="278"/>
        <v>-35467</v>
      </c>
      <c r="AS174" s="140">
        <f t="shared" si="278"/>
        <v>-35287</v>
      </c>
      <c r="AT174" s="140">
        <f t="shared" si="278"/>
        <v>-35107</v>
      </c>
      <c r="AU174" s="140">
        <f t="shared" si="278"/>
        <v>-34927</v>
      </c>
      <c r="AV174" s="140">
        <f t="shared" si="278"/>
        <v>-34747</v>
      </c>
      <c r="AW174" s="140">
        <f t="shared" si="278"/>
        <v>-34567</v>
      </c>
      <c r="AX174" s="140">
        <f t="shared" si="278"/>
        <v>-34387</v>
      </c>
      <c r="AY174" s="140">
        <f t="shared" si="278"/>
        <v>-34208</v>
      </c>
      <c r="AZ174" s="140">
        <f t="shared" si="278"/>
        <v>-34028</v>
      </c>
      <c r="BA174" s="140">
        <f t="shared" si="278"/>
        <v>-33848</v>
      </c>
      <c r="BB174" s="140">
        <f t="shared" si="278"/>
        <v>-33668</v>
      </c>
      <c r="BC174" s="140">
        <f t="shared" si="278"/>
        <v>-33488</v>
      </c>
      <c r="BD174" s="140">
        <f t="shared" si="278"/>
        <v>-33308</v>
      </c>
      <c r="BE174" s="140">
        <f t="shared" si="278"/>
        <v>-33128</v>
      </c>
      <c r="BF174" s="140">
        <f t="shared" si="278"/>
        <v>-32948</v>
      </c>
      <c r="BG174" s="140">
        <f t="shared" si="278"/>
        <v>-32769</v>
      </c>
      <c r="BH174" s="140">
        <f t="shared" si="278"/>
        <v>-32589</v>
      </c>
      <c r="BI174" s="140">
        <f t="shared" si="278"/>
        <v>-32409</v>
      </c>
      <c r="BJ174" s="140">
        <f t="shared" si="278"/>
        <v>-32229</v>
      </c>
      <c r="BK174" s="140">
        <f t="shared" si="278"/>
        <v>-32049</v>
      </c>
      <c r="BL174" s="140">
        <f t="shared" si="278"/>
        <v>-31869</v>
      </c>
      <c r="BM174" s="140">
        <f t="shared" si="278"/>
        <v>-31689</v>
      </c>
      <c r="BN174" s="140">
        <f t="shared" ref="BN174:CB174" si="279">DAYS360($B$3,BN66)</f>
        <v>-31509</v>
      </c>
      <c r="BO174" s="140">
        <f t="shared" si="279"/>
        <v>-31330</v>
      </c>
      <c r="BP174" s="140">
        <f t="shared" si="279"/>
        <v>-31150</v>
      </c>
      <c r="BQ174" s="140">
        <f t="shared" si="279"/>
        <v>-30970</v>
      </c>
      <c r="BR174" s="140">
        <f t="shared" si="279"/>
        <v>-30790</v>
      </c>
      <c r="BS174" s="140">
        <f t="shared" si="279"/>
        <v>-30610</v>
      </c>
      <c r="BT174" s="140">
        <f t="shared" si="279"/>
        <v>-30430</v>
      </c>
      <c r="BU174" s="140">
        <f t="shared" si="279"/>
        <v>-30250</v>
      </c>
      <c r="BV174" s="140">
        <f t="shared" si="279"/>
        <v>-30070</v>
      </c>
      <c r="BW174" s="140">
        <f t="shared" si="279"/>
        <v>-29891</v>
      </c>
      <c r="BX174" s="140">
        <f t="shared" si="279"/>
        <v>-29711</v>
      </c>
      <c r="BY174" s="140">
        <f t="shared" si="279"/>
        <v>-29531</v>
      </c>
      <c r="BZ174" s="140">
        <f t="shared" si="279"/>
        <v>-29351</v>
      </c>
      <c r="CA174" s="140">
        <f t="shared" si="279"/>
        <v>-29171</v>
      </c>
      <c r="CB174" s="140">
        <f t="shared" si="279"/>
        <v>-28991</v>
      </c>
      <c r="CC174" s="17"/>
      <c r="CD174" s="17"/>
      <c r="CE174" s="17"/>
    </row>
    <row r="175" spans="1:83">
      <c r="A175" s="16" t="s">
        <v>41</v>
      </c>
      <c r="B175" s="140">
        <f>B174/360</f>
        <v>-119.50555555555556</v>
      </c>
      <c r="C175" s="140">
        <f t="shared" ref="C175:BN175" si="280">C174/360</f>
        <v>-119.00555555555556</v>
      </c>
      <c r="D175" s="140">
        <f t="shared" si="280"/>
        <v>-118.50555555555556</v>
      </c>
      <c r="E175" s="140">
        <f t="shared" si="280"/>
        <v>-118.00555555555556</v>
      </c>
      <c r="F175" s="140">
        <f t="shared" si="280"/>
        <v>-117.50555555555556</v>
      </c>
      <c r="G175" s="140">
        <f t="shared" si="280"/>
        <v>-117.00555555555556</v>
      </c>
      <c r="H175" s="140">
        <f t="shared" si="280"/>
        <v>-116.50555555555556</v>
      </c>
      <c r="I175" s="140">
        <f t="shared" si="280"/>
        <v>-116.00555555555556</v>
      </c>
      <c r="J175" s="140">
        <f t="shared" si="280"/>
        <v>-115.50555555555556</v>
      </c>
      <c r="K175" s="140">
        <f t="shared" si="280"/>
        <v>-115.00833333333334</v>
      </c>
      <c r="L175" s="140">
        <f t="shared" si="280"/>
        <v>-114.50833333333334</v>
      </c>
      <c r="M175" s="140">
        <f t="shared" si="280"/>
        <v>-114.00833333333334</v>
      </c>
      <c r="N175" s="140">
        <f t="shared" si="280"/>
        <v>-113.50833333333334</v>
      </c>
      <c r="O175" s="140">
        <f t="shared" si="280"/>
        <v>-113.00833333333334</v>
      </c>
      <c r="P175" s="140">
        <f t="shared" si="280"/>
        <v>-112.50833333333334</v>
      </c>
      <c r="Q175" s="140">
        <f t="shared" si="280"/>
        <v>-112.00833333333334</v>
      </c>
      <c r="R175" s="140">
        <f t="shared" si="280"/>
        <v>-111.50833333333334</v>
      </c>
      <c r="S175" s="140">
        <f t="shared" si="280"/>
        <v>-111.01111111111111</v>
      </c>
      <c r="T175" s="140">
        <f t="shared" si="280"/>
        <v>-110.51111111111111</v>
      </c>
      <c r="U175" s="140">
        <f t="shared" si="280"/>
        <v>-110.01111111111111</v>
      </c>
      <c r="V175" s="140">
        <f t="shared" si="280"/>
        <v>-109.51111111111111</v>
      </c>
      <c r="W175" s="140">
        <f t="shared" si="280"/>
        <v>-109.01111111111111</v>
      </c>
      <c r="X175" s="140">
        <f t="shared" si="280"/>
        <v>-108.51111111111111</v>
      </c>
      <c r="Y175" s="140">
        <f t="shared" si="280"/>
        <v>-108.01111111111111</v>
      </c>
      <c r="Z175" s="140">
        <f t="shared" si="280"/>
        <v>-107.51111111111111</v>
      </c>
      <c r="AA175" s="140">
        <f t="shared" si="280"/>
        <v>-107.01388888888889</v>
      </c>
      <c r="AB175" s="140">
        <f t="shared" si="280"/>
        <v>-106.51388888888889</v>
      </c>
      <c r="AC175" s="140">
        <f t="shared" si="280"/>
        <v>-106.01388888888889</v>
      </c>
      <c r="AD175" s="140">
        <f t="shared" si="280"/>
        <v>-105.51388888888889</v>
      </c>
      <c r="AE175" s="140">
        <f t="shared" si="280"/>
        <v>-105.01388888888889</v>
      </c>
      <c r="AF175" s="140">
        <f t="shared" si="280"/>
        <v>-104.51388888888889</v>
      </c>
      <c r="AG175" s="140">
        <f t="shared" si="280"/>
        <v>-104.01388888888889</v>
      </c>
      <c r="AH175" s="140">
        <f t="shared" si="280"/>
        <v>-103.51388888888889</v>
      </c>
      <c r="AI175" s="140">
        <f t="shared" si="280"/>
        <v>-103.01666666666667</v>
      </c>
      <c r="AJ175" s="140">
        <f t="shared" si="280"/>
        <v>-102.51666666666667</v>
      </c>
      <c r="AK175" s="140">
        <f t="shared" si="280"/>
        <v>-102.01666666666667</v>
      </c>
      <c r="AL175" s="140">
        <f t="shared" si="280"/>
        <v>-101.51666666666667</v>
      </c>
      <c r="AM175" s="140">
        <f t="shared" si="280"/>
        <v>-101.01666666666667</v>
      </c>
      <c r="AN175" s="140">
        <f t="shared" si="280"/>
        <v>-100.51666666666667</v>
      </c>
      <c r="AO175" s="140">
        <f t="shared" si="280"/>
        <v>-100.01666666666667</v>
      </c>
      <c r="AP175" s="140">
        <f t="shared" si="280"/>
        <v>-99.516666666666666</v>
      </c>
      <c r="AQ175" s="140">
        <f t="shared" si="280"/>
        <v>-99.019444444444446</v>
      </c>
      <c r="AR175" s="140">
        <f t="shared" si="280"/>
        <v>-98.519444444444446</v>
      </c>
      <c r="AS175" s="140">
        <f t="shared" si="280"/>
        <v>-98.019444444444446</v>
      </c>
      <c r="AT175" s="140">
        <f t="shared" si="280"/>
        <v>-97.519444444444446</v>
      </c>
      <c r="AU175" s="140">
        <f t="shared" si="280"/>
        <v>-97.019444444444446</v>
      </c>
      <c r="AV175" s="140">
        <f t="shared" si="280"/>
        <v>-96.519444444444446</v>
      </c>
      <c r="AW175" s="140">
        <f t="shared" si="280"/>
        <v>-96.019444444444446</v>
      </c>
      <c r="AX175" s="140">
        <f t="shared" si="280"/>
        <v>-95.519444444444446</v>
      </c>
      <c r="AY175" s="140">
        <f t="shared" si="280"/>
        <v>-95.022222222222226</v>
      </c>
      <c r="AZ175" s="140">
        <f t="shared" si="280"/>
        <v>-94.522222222222226</v>
      </c>
      <c r="BA175" s="140">
        <f t="shared" si="280"/>
        <v>-94.022222222222226</v>
      </c>
      <c r="BB175" s="140">
        <f t="shared" si="280"/>
        <v>-93.522222222222226</v>
      </c>
      <c r="BC175" s="140">
        <f t="shared" si="280"/>
        <v>-93.022222222222226</v>
      </c>
      <c r="BD175" s="140">
        <f t="shared" si="280"/>
        <v>-92.522222222222226</v>
      </c>
      <c r="BE175" s="140">
        <f t="shared" si="280"/>
        <v>-92.022222222222226</v>
      </c>
      <c r="BF175" s="140">
        <f t="shared" si="280"/>
        <v>-91.522222222222226</v>
      </c>
      <c r="BG175" s="140">
        <f t="shared" si="280"/>
        <v>-91.025000000000006</v>
      </c>
      <c r="BH175" s="140">
        <f t="shared" si="280"/>
        <v>-90.525000000000006</v>
      </c>
      <c r="BI175" s="140">
        <f t="shared" si="280"/>
        <v>-90.025000000000006</v>
      </c>
      <c r="BJ175" s="140">
        <f t="shared" si="280"/>
        <v>-89.525000000000006</v>
      </c>
      <c r="BK175" s="140">
        <f t="shared" si="280"/>
        <v>-89.025000000000006</v>
      </c>
      <c r="BL175" s="140">
        <f t="shared" si="280"/>
        <v>-88.525000000000006</v>
      </c>
      <c r="BM175" s="140">
        <f t="shared" si="280"/>
        <v>-88.025000000000006</v>
      </c>
      <c r="BN175" s="140">
        <f t="shared" si="280"/>
        <v>-87.525000000000006</v>
      </c>
      <c r="BO175" s="140">
        <f t="shared" ref="BO175:CB175" si="281">BO174/360</f>
        <v>-87.027777777777771</v>
      </c>
      <c r="BP175" s="140">
        <f t="shared" si="281"/>
        <v>-86.527777777777771</v>
      </c>
      <c r="BQ175" s="140">
        <f t="shared" si="281"/>
        <v>-86.027777777777771</v>
      </c>
      <c r="BR175" s="140">
        <f t="shared" si="281"/>
        <v>-85.527777777777771</v>
      </c>
      <c r="BS175" s="140">
        <f t="shared" si="281"/>
        <v>-85.027777777777771</v>
      </c>
      <c r="BT175" s="140">
        <f t="shared" si="281"/>
        <v>-84.527777777777771</v>
      </c>
      <c r="BU175" s="140">
        <f t="shared" si="281"/>
        <v>-84.027777777777771</v>
      </c>
      <c r="BV175" s="140">
        <f t="shared" si="281"/>
        <v>-83.527777777777771</v>
      </c>
      <c r="BW175" s="140">
        <f t="shared" si="281"/>
        <v>-83.030555555555551</v>
      </c>
      <c r="BX175" s="140">
        <f t="shared" si="281"/>
        <v>-82.530555555555551</v>
      </c>
      <c r="BY175" s="140">
        <f t="shared" si="281"/>
        <v>-82.030555555555551</v>
      </c>
      <c r="BZ175" s="140">
        <f t="shared" si="281"/>
        <v>-81.530555555555551</v>
      </c>
      <c r="CA175" s="140">
        <f t="shared" si="281"/>
        <v>-81.030555555555551</v>
      </c>
      <c r="CB175" s="140">
        <f t="shared" si="281"/>
        <v>-80.530555555555551</v>
      </c>
      <c r="CC175" s="17"/>
      <c r="CD175" s="17"/>
      <c r="CE175" s="17"/>
    </row>
    <row r="176" spans="1:83">
      <c r="A176" s="16" t="s">
        <v>43</v>
      </c>
      <c r="B176" s="140">
        <f>IF(B174&lt;0,0,$B$5+$B$6*((1-EXP(-B175/$B$9))/(B175/$B$9))+$B$7*((1-EXP(-B175/$B$9))/(B175/$B$9)-EXP(-B175/$B$9))+$B$8*((1-EXP(-B175/$B$10))/(B175/$B$10)-EXP(-B175/$B$10)))</f>
        <v>0</v>
      </c>
      <c r="C176" s="140">
        <f t="shared" ref="C176:BN176" si="282">IF(C174&lt;0,0,$B$5+$B$6*((1-EXP(-C175/$B$9))/(C175/$B$9))+$B$7*((1-EXP(-C175/$B$9))/(C175/$B$9)-EXP(-C175/$B$9))+$B$8*((1-EXP(-C175/$B$10))/(C175/$B$10)-EXP(-C175/$B$10)))</f>
        <v>0</v>
      </c>
      <c r="D176" s="140">
        <f t="shared" si="282"/>
        <v>0</v>
      </c>
      <c r="E176" s="140">
        <f t="shared" si="282"/>
        <v>0</v>
      </c>
      <c r="F176" s="140">
        <f t="shared" si="282"/>
        <v>0</v>
      </c>
      <c r="G176" s="140">
        <f t="shared" si="282"/>
        <v>0</v>
      </c>
      <c r="H176" s="140">
        <f t="shared" si="282"/>
        <v>0</v>
      </c>
      <c r="I176" s="140">
        <f t="shared" si="282"/>
        <v>0</v>
      </c>
      <c r="J176" s="140">
        <f t="shared" si="282"/>
        <v>0</v>
      </c>
      <c r="K176" s="140">
        <f t="shared" si="282"/>
        <v>0</v>
      </c>
      <c r="L176" s="140">
        <f t="shared" si="282"/>
        <v>0</v>
      </c>
      <c r="M176" s="140">
        <f t="shared" si="282"/>
        <v>0</v>
      </c>
      <c r="N176" s="140">
        <f t="shared" si="282"/>
        <v>0</v>
      </c>
      <c r="O176" s="140">
        <f t="shared" si="282"/>
        <v>0</v>
      </c>
      <c r="P176" s="140">
        <f t="shared" si="282"/>
        <v>0</v>
      </c>
      <c r="Q176" s="140">
        <f t="shared" si="282"/>
        <v>0</v>
      </c>
      <c r="R176" s="140">
        <f t="shared" si="282"/>
        <v>0</v>
      </c>
      <c r="S176" s="140">
        <f t="shared" si="282"/>
        <v>0</v>
      </c>
      <c r="T176" s="140">
        <f t="shared" si="282"/>
        <v>0</v>
      </c>
      <c r="U176" s="140">
        <f t="shared" si="282"/>
        <v>0</v>
      </c>
      <c r="V176" s="140">
        <f t="shared" si="282"/>
        <v>0</v>
      </c>
      <c r="W176" s="140">
        <f t="shared" si="282"/>
        <v>0</v>
      </c>
      <c r="X176" s="140">
        <f t="shared" si="282"/>
        <v>0</v>
      </c>
      <c r="Y176" s="140">
        <f t="shared" si="282"/>
        <v>0</v>
      </c>
      <c r="Z176" s="140">
        <f t="shared" si="282"/>
        <v>0</v>
      </c>
      <c r="AA176" s="140">
        <f t="shared" si="282"/>
        <v>0</v>
      </c>
      <c r="AB176" s="140">
        <f t="shared" si="282"/>
        <v>0</v>
      </c>
      <c r="AC176" s="140">
        <f t="shared" si="282"/>
        <v>0</v>
      </c>
      <c r="AD176" s="140">
        <f t="shared" si="282"/>
        <v>0</v>
      </c>
      <c r="AE176" s="140">
        <f t="shared" si="282"/>
        <v>0</v>
      </c>
      <c r="AF176" s="140">
        <f t="shared" si="282"/>
        <v>0</v>
      </c>
      <c r="AG176" s="140">
        <f t="shared" si="282"/>
        <v>0</v>
      </c>
      <c r="AH176" s="140">
        <f t="shared" si="282"/>
        <v>0</v>
      </c>
      <c r="AI176" s="140">
        <f t="shared" si="282"/>
        <v>0</v>
      </c>
      <c r="AJ176" s="140">
        <f t="shared" si="282"/>
        <v>0</v>
      </c>
      <c r="AK176" s="140">
        <f t="shared" si="282"/>
        <v>0</v>
      </c>
      <c r="AL176" s="140">
        <f t="shared" si="282"/>
        <v>0</v>
      </c>
      <c r="AM176" s="140">
        <f t="shared" si="282"/>
        <v>0</v>
      </c>
      <c r="AN176" s="140">
        <f t="shared" si="282"/>
        <v>0</v>
      </c>
      <c r="AO176" s="140">
        <f t="shared" si="282"/>
        <v>0</v>
      </c>
      <c r="AP176" s="140">
        <f t="shared" si="282"/>
        <v>0</v>
      </c>
      <c r="AQ176" s="140">
        <f t="shared" si="282"/>
        <v>0</v>
      </c>
      <c r="AR176" s="140">
        <f t="shared" si="282"/>
        <v>0</v>
      </c>
      <c r="AS176" s="140">
        <f t="shared" si="282"/>
        <v>0</v>
      </c>
      <c r="AT176" s="140">
        <f t="shared" si="282"/>
        <v>0</v>
      </c>
      <c r="AU176" s="140">
        <f t="shared" si="282"/>
        <v>0</v>
      </c>
      <c r="AV176" s="140">
        <f t="shared" si="282"/>
        <v>0</v>
      </c>
      <c r="AW176" s="140">
        <f t="shared" si="282"/>
        <v>0</v>
      </c>
      <c r="AX176" s="140">
        <f t="shared" si="282"/>
        <v>0</v>
      </c>
      <c r="AY176" s="140">
        <f t="shared" si="282"/>
        <v>0</v>
      </c>
      <c r="AZ176" s="140">
        <f t="shared" si="282"/>
        <v>0</v>
      </c>
      <c r="BA176" s="140">
        <f t="shared" si="282"/>
        <v>0</v>
      </c>
      <c r="BB176" s="140">
        <f t="shared" si="282"/>
        <v>0</v>
      </c>
      <c r="BC176" s="140">
        <f t="shared" si="282"/>
        <v>0</v>
      </c>
      <c r="BD176" s="140">
        <f t="shared" si="282"/>
        <v>0</v>
      </c>
      <c r="BE176" s="140">
        <f t="shared" si="282"/>
        <v>0</v>
      </c>
      <c r="BF176" s="140">
        <f t="shared" si="282"/>
        <v>0</v>
      </c>
      <c r="BG176" s="140">
        <f t="shared" si="282"/>
        <v>0</v>
      </c>
      <c r="BH176" s="140">
        <f t="shared" si="282"/>
        <v>0</v>
      </c>
      <c r="BI176" s="140">
        <f t="shared" si="282"/>
        <v>0</v>
      </c>
      <c r="BJ176" s="140">
        <f t="shared" si="282"/>
        <v>0</v>
      </c>
      <c r="BK176" s="140">
        <f t="shared" si="282"/>
        <v>0</v>
      </c>
      <c r="BL176" s="140">
        <f t="shared" si="282"/>
        <v>0</v>
      </c>
      <c r="BM176" s="140">
        <f t="shared" si="282"/>
        <v>0</v>
      </c>
      <c r="BN176" s="140">
        <f t="shared" si="282"/>
        <v>0</v>
      </c>
      <c r="BO176" s="140">
        <f t="shared" ref="BO176:CB176" si="283">IF(BO174&lt;0,0,$B$5+$B$6*((1-EXP(-BO175/$B$9))/(BO175/$B$9))+$B$7*((1-EXP(-BO175/$B$9))/(BO175/$B$9)-EXP(-BO175/$B$9))+$B$8*((1-EXP(-BO175/$B$10))/(BO175/$B$10)-EXP(-BO175/$B$10)))</f>
        <v>0</v>
      </c>
      <c r="BP176" s="140">
        <f t="shared" si="283"/>
        <v>0</v>
      </c>
      <c r="BQ176" s="140">
        <f t="shared" si="283"/>
        <v>0</v>
      </c>
      <c r="BR176" s="140">
        <f t="shared" si="283"/>
        <v>0</v>
      </c>
      <c r="BS176" s="140">
        <f t="shared" si="283"/>
        <v>0</v>
      </c>
      <c r="BT176" s="140">
        <f t="shared" si="283"/>
        <v>0</v>
      </c>
      <c r="BU176" s="140">
        <f t="shared" si="283"/>
        <v>0</v>
      </c>
      <c r="BV176" s="140">
        <f t="shared" si="283"/>
        <v>0</v>
      </c>
      <c r="BW176" s="140">
        <f t="shared" si="283"/>
        <v>0</v>
      </c>
      <c r="BX176" s="140">
        <f t="shared" si="283"/>
        <v>0</v>
      </c>
      <c r="BY176" s="140">
        <f t="shared" si="283"/>
        <v>0</v>
      </c>
      <c r="BZ176" s="140">
        <f t="shared" si="283"/>
        <v>0</v>
      </c>
      <c r="CA176" s="140">
        <f t="shared" si="283"/>
        <v>0</v>
      </c>
      <c r="CB176" s="140">
        <f t="shared" si="283"/>
        <v>0</v>
      </c>
      <c r="CC176" s="17"/>
      <c r="CD176" s="17"/>
      <c r="CE176" s="17"/>
    </row>
    <row r="177" spans="1:83">
      <c r="A177" s="16" t="s">
        <v>44</v>
      </c>
      <c r="B177" s="140">
        <f>EXP(-B176*B175)</f>
        <v>1</v>
      </c>
      <c r="C177" s="140">
        <f t="shared" ref="C177:AR177" si="284">EXP(-C176*C175)</f>
        <v>1</v>
      </c>
      <c r="D177" s="140">
        <f t="shared" si="284"/>
        <v>1</v>
      </c>
      <c r="E177" s="140">
        <f t="shared" si="284"/>
        <v>1</v>
      </c>
      <c r="F177" s="140">
        <f t="shared" si="284"/>
        <v>1</v>
      </c>
      <c r="G177" s="140">
        <f t="shared" si="284"/>
        <v>1</v>
      </c>
      <c r="H177" s="140">
        <f t="shared" si="284"/>
        <v>1</v>
      </c>
      <c r="I177" s="140">
        <f t="shared" si="284"/>
        <v>1</v>
      </c>
      <c r="J177" s="140">
        <f t="shared" si="284"/>
        <v>1</v>
      </c>
      <c r="K177" s="140">
        <f t="shared" si="284"/>
        <v>1</v>
      </c>
      <c r="L177" s="140">
        <f t="shared" si="284"/>
        <v>1</v>
      </c>
      <c r="M177" s="140">
        <f t="shared" si="284"/>
        <v>1</v>
      </c>
      <c r="N177" s="140">
        <f t="shared" si="284"/>
        <v>1</v>
      </c>
      <c r="O177" s="140">
        <f t="shared" si="284"/>
        <v>1</v>
      </c>
      <c r="P177" s="140">
        <f t="shared" si="284"/>
        <v>1</v>
      </c>
      <c r="Q177" s="140">
        <f t="shared" si="284"/>
        <v>1</v>
      </c>
      <c r="R177" s="140">
        <f t="shared" si="284"/>
        <v>1</v>
      </c>
      <c r="S177" s="140">
        <f t="shared" si="284"/>
        <v>1</v>
      </c>
      <c r="T177" s="140">
        <f t="shared" si="284"/>
        <v>1</v>
      </c>
      <c r="U177" s="140">
        <f t="shared" si="284"/>
        <v>1</v>
      </c>
      <c r="V177" s="140">
        <f t="shared" si="284"/>
        <v>1</v>
      </c>
      <c r="W177" s="140">
        <f t="shared" si="284"/>
        <v>1</v>
      </c>
      <c r="X177" s="140">
        <f t="shared" si="284"/>
        <v>1</v>
      </c>
      <c r="Y177" s="140">
        <f t="shared" si="284"/>
        <v>1</v>
      </c>
      <c r="Z177" s="140">
        <f t="shared" si="284"/>
        <v>1</v>
      </c>
      <c r="AA177" s="140">
        <f t="shared" si="284"/>
        <v>1</v>
      </c>
      <c r="AB177" s="140">
        <f t="shared" si="284"/>
        <v>1</v>
      </c>
      <c r="AC177" s="140">
        <f t="shared" si="284"/>
        <v>1</v>
      </c>
      <c r="AD177" s="140">
        <f t="shared" si="284"/>
        <v>1</v>
      </c>
      <c r="AE177" s="140">
        <f t="shared" si="284"/>
        <v>1</v>
      </c>
      <c r="AF177" s="140">
        <f t="shared" si="284"/>
        <v>1</v>
      </c>
      <c r="AG177" s="140">
        <f t="shared" si="284"/>
        <v>1</v>
      </c>
      <c r="AH177" s="140">
        <f t="shared" si="284"/>
        <v>1</v>
      </c>
      <c r="AI177" s="140">
        <f t="shared" si="284"/>
        <v>1</v>
      </c>
      <c r="AJ177" s="140">
        <f t="shared" si="284"/>
        <v>1</v>
      </c>
      <c r="AK177" s="140">
        <f t="shared" si="284"/>
        <v>1</v>
      </c>
      <c r="AL177" s="140">
        <f t="shared" si="284"/>
        <v>1</v>
      </c>
      <c r="AM177" s="140">
        <f t="shared" si="284"/>
        <v>1</v>
      </c>
      <c r="AN177" s="140">
        <f t="shared" si="284"/>
        <v>1</v>
      </c>
      <c r="AO177" s="140">
        <f t="shared" si="284"/>
        <v>1</v>
      </c>
      <c r="AP177" s="140">
        <f t="shared" si="284"/>
        <v>1</v>
      </c>
      <c r="AQ177" s="140">
        <f t="shared" si="284"/>
        <v>1</v>
      </c>
      <c r="AR177" s="140">
        <f t="shared" si="284"/>
        <v>1</v>
      </c>
      <c r="AS177" s="140">
        <f>EXP(-AS176*AS175)</f>
        <v>1</v>
      </c>
      <c r="AT177" s="140">
        <f t="shared" ref="AT177:CA177" si="285">EXP(-AT176*AT175)</f>
        <v>1</v>
      </c>
      <c r="AU177" s="140">
        <f t="shared" si="285"/>
        <v>1</v>
      </c>
      <c r="AV177" s="140">
        <f t="shared" si="285"/>
        <v>1</v>
      </c>
      <c r="AW177" s="140">
        <f t="shared" si="285"/>
        <v>1</v>
      </c>
      <c r="AX177" s="140">
        <f t="shared" si="285"/>
        <v>1</v>
      </c>
      <c r="AY177" s="140">
        <f t="shared" si="285"/>
        <v>1</v>
      </c>
      <c r="AZ177" s="140">
        <f t="shared" si="285"/>
        <v>1</v>
      </c>
      <c r="BA177" s="140">
        <f t="shared" si="285"/>
        <v>1</v>
      </c>
      <c r="BB177" s="140">
        <f t="shared" si="285"/>
        <v>1</v>
      </c>
      <c r="BC177" s="140">
        <f t="shared" si="285"/>
        <v>1</v>
      </c>
      <c r="BD177" s="140">
        <f t="shared" si="285"/>
        <v>1</v>
      </c>
      <c r="BE177" s="140">
        <f t="shared" si="285"/>
        <v>1</v>
      </c>
      <c r="BF177" s="140">
        <f t="shared" si="285"/>
        <v>1</v>
      </c>
      <c r="BG177" s="140">
        <f t="shared" si="285"/>
        <v>1</v>
      </c>
      <c r="BH177" s="140">
        <f t="shared" si="285"/>
        <v>1</v>
      </c>
      <c r="BI177" s="140">
        <f t="shared" si="285"/>
        <v>1</v>
      </c>
      <c r="BJ177" s="140">
        <f t="shared" si="285"/>
        <v>1</v>
      </c>
      <c r="BK177" s="140">
        <f t="shared" si="285"/>
        <v>1</v>
      </c>
      <c r="BL177" s="140">
        <f t="shared" si="285"/>
        <v>1</v>
      </c>
      <c r="BM177" s="140">
        <f t="shared" si="285"/>
        <v>1</v>
      </c>
      <c r="BN177" s="140">
        <f t="shared" si="285"/>
        <v>1</v>
      </c>
      <c r="BO177" s="140">
        <f t="shared" si="285"/>
        <v>1</v>
      </c>
      <c r="BP177" s="140">
        <f t="shared" si="285"/>
        <v>1</v>
      </c>
      <c r="BQ177" s="140">
        <f t="shared" si="285"/>
        <v>1</v>
      </c>
      <c r="BR177" s="140">
        <f t="shared" si="285"/>
        <v>1</v>
      </c>
      <c r="BS177" s="140">
        <f t="shared" si="285"/>
        <v>1</v>
      </c>
      <c r="BT177" s="140">
        <f t="shared" si="285"/>
        <v>1</v>
      </c>
      <c r="BU177" s="140">
        <f t="shared" si="285"/>
        <v>1</v>
      </c>
      <c r="BV177" s="140">
        <f t="shared" si="285"/>
        <v>1</v>
      </c>
      <c r="BW177" s="140">
        <f t="shared" si="285"/>
        <v>1</v>
      </c>
      <c r="BX177" s="140">
        <f t="shared" si="285"/>
        <v>1</v>
      </c>
      <c r="BY177" s="140">
        <f t="shared" si="285"/>
        <v>1</v>
      </c>
      <c r="BZ177" s="140">
        <f t="shared" si="285"/>
        <v>1</v>
      </c>
      <c r="CA177" s="140">
        <f t="shared" si="285"/>
        <v>1</v>
      </c>
      <c r="CB177" s="140">
        <f>EXP(-CB176*CB175)</f>
        <v>1</v>
      </c>
      <c r="CC177" s="17"/>
      <c r="CD177" s="17"/>
      <c r="CE177" s="17"/>
    </row>
    <row r="178" spans="1:83">
      <c r="A178" s="17"/>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17"/>
      <c r="CD178" s="17"/>
      <c r="CE178" s="17"/>
    </row>
    <row r="179" spans="1:83">
      <c r="A179" s="16" t="s">
        <v>40</v>
      </c>
      <c r="B179" s="140">
        <f t="shared" ref="B179:BM179" si="286">DAYS360($B$3,B68)</f>
        <v>-43022</v>
      </c>
      <c r="C179" s="140">
        <f t="shared" si="286"/>
        <v>-42842</v>
      </c>
      <c r="D179" s="140">
        <f t="shared" si="286"/>
        <v>-42662</v>
      </c>
      <c r="E179" s="140">
        <f t="shared" si="286"/>
        <v>-42482</v>
      </c>
      <c r="F179" s="140">
        <f t="shared" si="286"/>
        <v>-42302</v>
      </c>
      <c r="G179" s="140">
        <f t="shared" si="286"/>
        <v>-42122</v>
      </c>
      <c r="H179" s="140">
        <f t="shared" si="286"/>
        <v>-41942</v>
      </c>
      <c r="I179" s="140">
        <f t="shared" si="286"/>
        <v>-41762</v>
      </c>
      <c r="J179" s="140">
        <f t="shared" si="286"/>
        <v>-41582</v>
      </c>
      <c r="K179" s="140">
        <f t="shared" si="286"/>
        <v>-41403</v>
      </c>
      <c r="L179" s="140">
        <f t="shared" si="286"/>
        <v>-41223</v>
      </c>
      <c r="M179" s="140">
        <f t="shared" si="286"/>
        <v>-41043</v>
      </c>
      <c r="N179" s="140">
        <f t="shared" si="286"/>
        <v>-40863</v>
      </c>
      <c r="O179" s="140">
        <f t="shared" si="286"/>
        <v>-40683</v>
      </c>
      <c r="P179" s="140">
        <f t="shared" si="286"/>
        <v>-40503</v>
      </c>
      <c r="Q179" s="140">
        <f t="shared" si="286"/>
        <v>-40323</v>
      </c>
      <c r="R179" s="140">
        <f t="shared" si="286"/>
        <v>-40143</v>
      </c>
      <c r="S179" s="140">
        <f t="shared" si="286"/>
        <v>-39964</v>
      </c>
      <c r="T179" s="140">
        <f t="shared" si="286"/>
        <v>-39784</v>
      </c>
      <c r="U179" s="140">
        <f t="shared" si="286"/>
        <v>-39604</v>
      </c>
      <c r="V179" s="140">
        <f t="shared" si="286"/>
        <v>-39424</v>
      </c>
      <c r="W179" s="140">
        <f t="shared" si="286"/>
        <v>-39244</v>
      </c>
      <c r="X179" s="140">
        <f t="shared" si="286"/>
        <v>-39064</v>
      </c>
      <c r="Y179" s="140">
        <f t="shared" si="286"/>
        <v>-38884</v>
      </c>
      <c r="Z179" s="140">
        <f t="shared" si="286"/>
        <v>-38704</v>
      </c>
      <c r="AA179" s="140">
        <f t="shared" si="286"/>
        <v>-38525</v>
      </c>
      <c r="AB179" s="140">
        <f t="shared" si="286"/>
        <v>-38345</v>
      </c>
      <c r="AC179" s="140">
        <f t="shared" si="286"/>
        <v>-38165</v>
      </c>
      <c r="AD179" s="140">
        <f t="shared" si="286"/>
        <v>-37985</v>
      </c>
      <c r="AE179" s="140">
        <f t="shared" si="286"/>
        <v>-37805</v>
      </c>
      <c r="AF179" s="140">
        <f t="shared" si="286"/>
        <v>-37625</v>
      </c>
      <c r="AG179" s="140">
        <f t="shared" si="286"/>
        <v>-37445</v>
      </c>
      <c r="AH179" s="140">
        <f t="shared" si="286"/>
        <v>-37265</v>
      </c>
      <c r="AI179" s="140">
        <f t="shared" si="286"/>
        <v>-37086</v>
      </c>
      <c r="AJ179" s="140">
        <f t="shared" si="286"/>
        <v>-36906</v>
      </c>
      <c r="AK179" s="140">
        <f t="shared" si="286"/>
        <v>-36726</v>
      </c>
      <c r="AL179" s="140">
        <f t="shared" si="286"/>
        <v>-36546</v>
      </c>
      <c r="AM179" s="140">
        <f t="shared" si="286"/>
        <v>-36366</v>
      </c>
      <c r="AN179" s="140">
        <f t="shared" si="286"/>
        <v>-36186</v>
      </c>
      <c r="AO179" s="140">
        <f t="shared" si="286"/>
        <v>-36006</v>
      </c>
      <c r="AP179" s="140">
        <f t="shared" si="286"/>
        <v>-35826</v>
      </c>
      <c r="AQ179" s="140">
        <f t="shared" si="286"/>
        <v>-35647</v>
      </c>
      <c r="AR179" s="140">
        <f t="shared" si="286"/>
        <v>-35467</v>
      </c>
      <c r="AS179" s="140">
        <f t="shared" si="286"/>
        <v>-35287</v>
      </c>
      <c r="AT179" s="140">
        <f t="shared" si="286"/>
        <v>-35107</v>
      </c>
      <c r="AU179" s="140">
        <f t="shared" si="286"/>
        <v>-34927</v>
      </c>
      <c r="AV179" s="140">
        <f t="shared" si="286"/>
        <v>-34747</v>
      </c>
      <c r="AW179" s="140">
        <f t="shared" si="286"/>
        <v>-34567</v>
      </c>
      <c r="AX179" s="140">
        <f t="shared" si="286"/>
        <v>-34387</v>
      </c>
      <c r="AY179" s="140">
        <f t="shared" si="286"/>
        <v>-34208</v>
      </c>
      <c r="AZ179" s="140">
        <f t="shared" si="286"/>
        <v>-34028</v>
      </c>
      <c r="BA179" s="140">
        <f t="shared" si="286"/>
        <v>-33848</v>
      </c>
      <c r="BB179" s="140">
        <f t="shared" si="286"/>
        <v>-33668</v>
      </c>
      <c r="BC179" s="140">
        <f t="shared" si="286"/>
        <v>-33488</v>
      </c>
      <c r="BD179" s="140">
        <f t="shared" si="286"/>
        <v>-33308</v>
      </c>
      <c r="BE179" s="140">
        <f t="shared" si="286"/>
        <v>-33128</v>
      </c>
      <c r="BF179" s="140">
        <f t="shared" si="286"/>
        <v>-32948</v>
      </c>
      <c r="BG179" s="140">
        <f t="shared" si="286"/>
        <v>-32769</v>
      </c>
      <c r="BH179" s="140">
        <f t="shared" si="286"/>
        <v>-32589</v>
      </c>
      <c r="BI179" s="140">
        <f t="shared" si="286"/>
        <v>-32409</v>
      </c>
      <c r="BJ179" s="140">
        <f t="shared" si="286"/>
        <v>-32229</v>
      </c>
      <c r="BK179" s="140">
        <f t="shared" si="286"/>
        <v>-32049</v>
      </c>
      <c r="BL179" s="140">
        <f t="shared" si="286"/>
        <v>-31869</v>
      </c>
      <c r="BM179" s="140">
        <f t="shared" si="286"/>
        <v>-31689</v>
      </c>
      <c r="BN179" s="140">
        <f t="shared" ref="BN179:CB179" si="287">DAYS360($B$3,BN68)</f>
        <v>-31509</v>
      </c>
      <c r="BO179" s="140">
        <f t="shared" si="287"/>
        <v>-31330</v>
      </c>
      <c r="BP179" s="140">
        <f t="shared" si="287"/>
        <v>-31150</v>
      </c>
      <c r="BQ179" s="140">
        <f t="shared" si="287"/>
        <v>-30970</v>
      </c>
      <c r="BR179" s="140">
        <f t="shared" si="287"/>
        <v>-30790</v>
      </c>
      <c r="BS179" s="140">
        <f t="shared" si="287"/>
        <v>-30610</v>
      </c>
      <c r="BT179" s="140">
        <f t="shared" si="287"/>
        <v>-30430</v>
      </c>
      <c r="BU179" s="140">
        <f t="shared" si="287"/>
        <v>-30250</v>
      </c>
      <c r="BV179" s="140">
        <f t="shared" si="287"/>
        <v>-30070</v>
      </c>
      <c r="BW179" s="140">
        <f t="shared" si="287"/>
        <v>-29891</v>
      </c>
      <c r="BX179" s="140">
        <f t="shared" si="287"/>
        <v>-29711</v>
      </c>
      <c r="BY179" s="140">
        <f t="shared" si="287"/>
        <v>-29531</v>
      </c>
      <c r="BZ179" s="140">
        <f t="shared" si="287"/>
        <v>-29351</v>
      </c>
      <c r="CA179" s="140">
        <f t="shared" si="287"/>
        <v>-29171</v>
      </c>
      <c r="CB179" s="140">
        <f t="shared" si="287"/>
        <v>-28991</v>
      </c>
      <c r="CC179" s="17"/>
      <c r="CD179" s="17"/>
      <c r="CE179" s="17"/>
    </row>
    <row r="180" spans="1:83">
      <c r="A180" s="16" t="s">
        <v>41</v>
      </c>
      <c r="B180" s="140">
        <f>B179/360</f>
        <v>-119.50555555555556</v>
      </c>
      <c r="C180" s="140">
        <f t="shared" ref="C180:BN180" si="288">C179/360</f>
        <v>-119.00555555555556</v>
      </c>
      <c r="D180" s="140">
        <f t="shared" si="288"/>
        <v>-118.50555555555556</v>
      </c>
      <c r="E180" s="140">
        <f t="shared" si="288"/>
        <v>-118.00555555555556</v>
      </c>
      <c r="F180" s="140">
        <f t="shared" si="288"/>
        <v>-117.50555555555556</v>
      </c>
      <c r="G180" s="140">
        <f t="shared" si="288"/>
        <v>-117.00555555555556</v>
      </c>
      <c r="H180" s="140">
        <f t="shared" si="288"/>
        <v>-116.50555555555556</v>
      </c>
      <c r="I180" s="140">
        <f t="shared" si="288"/>
        <v>-116.00555555555556</v>
      </c>
      <c r="J180" s="140">
        <f t="shared" si="288"/>
        <v>-115.50555555555556</v>
      </c>
      <c r="K180" s="140">
        <f t="shared" si="288"/>
        <v>-115.00833333333334</v>
      </c>
      <c r="L180" s="140">
        <f t="shared" si="288"/>
        <v>-114.50833333333334</v>
      </c>
      <c r="M180" s="140">
        <f t="shared" si="288"/>
        <v>-114.00833333333334</v>
      </c>
      <c r="N180" s="140">
        <f t="shared" si="288"/>
        <v>-113.50833333333334</v>
      </c>
      <c r="O180" s="140">
        <f t="shared" si="288"/>
        <v>-113.00833333333334</v>
      </c>
      <c r="P180" s="140">
        <f t="shared" si="288"/>
        <v>-112.50833333333334</v>
      </c>
      <c r="Q180" s="140">
        <f t="shared" si="288"/>
        <v>-112.00833333333334</v>
      </c>
      <c r="R180" s="140">
        <f t="shared" si="288"/>
        <v>-111.50833333333334</v>
      </c>
      <c r="S180" s="140">
        <f t="shared" si="288"/>
        <v>-111.01111111111111</v>
      </c>
      <c r="T180" s="140">
        <f t="shared" si="288"/>
        <v>-110.51111111111111</v>
      </c>
      <c r="U180" s="140">
        <f t="shared" si="288"/>
        <v>-110.01111111111111</v>
      </c>
      <c r="V180" s="140">
        <f t="shared" si="288"/>
        <v>-109.51111111111111</v>
      </c>
      <c r="W180" s="140">
        <f t="shared" si="288"/>
        <v>-109.01111111111111</v>
      </c>
      <c r="X180" s="140">
        <f t="shared" si="288"/>
        <v>-108.51111111111111</v>
      </c>
      <c r="Y180" s="140">
        <f t="shared" si="288"/>
        <v>-108.01111111111111</v>
      </c>
      <c r="Z180" s="140">
        <f t="shared" si="288"/>
        <v>-107.51111111111111</v>
      </c>
      <c r="AA180" s="140">
        <f t="shared" si="288"/>
        <v>-107.01388888888889</v>
      </c>
      <c r="AB180" s="140">
        <f t="shared" si="288"/>
        <v>-106.51388888888889</v>
      </c>
      <c r="AC180" s="140">
        <f t="shared" si="288"/>
        <v>-106.01388888888889</v>
      </c>
      <c r="AD180" s="140">
        <f t="shared" si="288"/>
        <v>-105.51388888888889</v>
      </c>
      <c r="AE180" s="140">
        <f t="shared" si="288"/>
        <v>-105.01388888888889</v>
      </c>
      <c r="AF180" s="140">
        <f t="shared" si="288"/>
        <v>-104.51388888888889</v>
      </c>
      <c r="AG180" s="140">
        <f t="shared" si="288"/>
        <v>-104.01388888888889</v>
      </c>
      <c r="AH180" s="140">
        <f t="shared" si="288"/>
        <v>-103.51388888888889</v>
      </c>
      <c r="AI180" s="140">
        <f t="shared" si="288"/>
        <v>-103.01666666666667</v>
      </c>
      <c r="AJ180" s="140">
        <f t="shared" si="288"/>
        <v>-102.51666666666667</v>
      </c>
      <c r="AK180" s="140">
        <f t="shared" si="288"/>
        <v>-102.01666666666667</v>
      </c>
      <c r="AL180" s="140">
        <f t="shared" si="288"/>
        <v>-101.51666666666667</v>
      </c>
      <c r="AM180" s="140">
        <f t="shared" si="288"/>
        <v>-101.01666666666667</v>
      </c>
      <c r="AN180" s="140">
        <f t="shared" si="288"/>
        <v>-100.51666666666667</v>
      </c>
      <c r="AO180" s="140">
        <f t="shared" si="288"/>
        <v>-100.01666666666667</v>
      </c>
      <c r="AP180" s="140">
        <f t="shared" si="288"/>
        <v>-99.516666666666666</v>
      </c>
      <c r="AQ180" s="140">
        <f t="shared" si="288"/>
        <v>-99.019444444444446</v>
      </c>
      <c r="AR180" s="140">
        <f t="shared" si="288"/>
        <v>-98.519444444444446</v>
      </c>
      <c r="AS180" s="140">
        <f t="shared" si="288"/>
        <v>-98.019444444444446</v>
      </c>
      <c r="AT180" s="140">
        <f t="shared" si="288"/>
        <v>-97.519444444444446</v>
      </c>
      <c r="AU180" s="140">
        <f t="shared" si="288"/>
        <v>-97.019444444444446</v>
      </c>
      <c r="AV180" s="140">
        <f t="shared" si="288"/>
        <v>-96.519444444444446</v>
      </c>
      <c r="AW180" s="140">
        <f t="shared" si="288"/>
        <v>-96.019444444444446</v>
      </c>
      <c r="AX180" s="140">
        <f t="shared" si="288"/>
        <v>-95.519444444444446</v>
      </c>
      <c r="AY180" s="140">
        <f t="shared" si="288"/>
        <v>-95.022222222222226</v>
      </c>
      <c r="AZ180" s="140">
        <f t="shared" si="288"/>
        <v>-94.522222222222226</v>
      </c>
      <c r="BA180" s="140">
        <f t="shared" si="288"/>
        <v>-94.022222222222226</v>
      </c>
      <c r="BB180" s="140">
        <f t="shared" si="288"/>
        <v>-93.522222222222226</v>
      </c>
      <c r="BC180" s="140">
        <f t="shared" si="288"/>
        <v>-93.022222222222226</v>
      </c>
      <c r="BD180" s="140">
        <f t="shared" si="288"/>
        <v>-92.522222222222226</v>
      </c>
      <c r="BE180" s="140">
        <f t="shared" si="288"/>
        <v>-92.022222222222226</v>
      </c>
      <c r="BF180" s="140">
        <f t="shared" si="288"/>
        <v>-91.522222222222226</v>
      </c>
      <c r="BG180" s="140">
        <f t="shared" si="288"/>
        <v>-91.025000000000006</v>
      </c>
      <c r="BH180" s="140">
        <f t="shared" si="288"/>
        <v>-90.525000000000006</v>
      </c>
      <c r="BI180" s="140">
        <f t="shared" si="288"/>
        <v>-90.025000000000006</v>
      </c>
      <c r="BJ180" s="140">
        <f t="shared" si="288"/>
        <v>-89.525000000000006</v>
      </c>
      <c r="BK180" s="140">
        <f t="shared" si="288"/>
        <v>-89.025000000000006</v>
      </c>
      <c r="BL180" s="140">
        <f t="shared" si="288"/>
        <v>-88.525000000000006</v>
      </c>
      <c r="BM180" s="140">
        <f t="shared" si="288"/>
        <v>-88.025000000000006</v>
      </c>
      <c r="BN180" s="140">
        <f t="shared" si="288"/>
        <v>-87.525000000000006</v>
      </c>
      <c r="BO180" s="140">
        <f t="shared" ref="BO180:CB180" si="289">BO179/360</f>
        <v>-87.027777777777771</v>
      </c>
      <c r="BP180" s="140">
        <f t="shared" si="289"/>
        <v>-86.527777777777771</v>
      </c>
      <c r="BQ180" s="140">
        <f t="shared" si="289"/>
        <v>-86.027777777777771</v>
      </c>
      <c r="BR180" s="140">
        <f t="shared" si="289"/>
        <v>-85.527777777777771</v>
      </c>
      <c r="BS180" s="140">
        <f t="shared" si="289"/>
        <v>-85.027777777777771</v>
      </c>
      <c r="BT180" s="140">
        <f t="shared" si="289"/>
        <v>-84.527777777777771</v>
      </c>
      <c r="BU180" s="140">
        <f t="shared" si="289"/>
        <v>-84.027777777777771</v>
      </c>
      <c r="BV180" s="140">
        <f t="shared" si="289"/>
        <v>-83.527777777777771</v>
      </c>
      <c r="BW180" s="140">
        <f t="shared" si="289"/>
        <v>-83.030555555555551</v>
      </c>
      <c r="BX180" s="140">
        <f t="shared" si="289"/>
        <v>-82.530555555555551</v>
      </c>
      <c r="BY180" s="140">
        <f t="shared" si="289"/>
        <v>-82.030555555555551</v>
      </c>
      <c r="BZ180" s="140">
        <f t="shared" si="289"/>
        <v>-81.530555555555551</v>
      </c>
      <c r="CA180" s="140">
        <f t="shared" si="289"/>
        <v>-81.030555555555551</v>
      </c>
      <c r="CB180" s="140">
        <f t="shared" si="289"/>
        <v>-80.530555555555551</v>
      </c>
      <c r="CC180" s="17"/>
      <c r="CD180" s="17"/>
      <c r="CE180" s="17"/>
    </row>
    <row r="181" spans="1:83">
      <c r="A181" s="16" t="s">
        <v>43</v>
      </c>
      <c r="B181" s="140">
        <f>IF(B179&lt;0,0,$B$5+$B$6*((1-EXP(-B180/$B$9))/(B180/$B$9))+$B$7*((1-EXP(-B180/$B$9))/(B180/$B$9)-EXP(-B180/$B$9))+$B$8*((1-EXP(-B180/$B$10))/(B180/$B$10)-EXP(-B180/$B$10)))</f>
        <v>0</v>
      </c>
      <c r="C181" s="140">
        <f t="shared" ref="C181:BN181" si="290">IF(C179&lt;0,0,$B$5+$B$6*((1-EXP(-C180/$B$9))/(C180/$B$9))+$B$7*((1-EXP(-C180/$B$9))/(C180/$B$9)-EXP(-C180/$B$9))+$B$8*((1-EXP(-C180/$B$10))/(C180/$B$10)-EXP(-C180/$B$10)))</f>
        <v>0</v>
      </c>
      <c r="D181" s="140">
        <f t="shared" si="290"/>
        <v>0</v>
      </c>
      <c r="E181" s="140">
        <f t="shared" si="290"/>
        <v>0</v>
      </c>
      <c r="F181" s="140">
        <f t="shared" si="290"/>
        <v>0</v>
      </c>
      <c r="G181" s="140">
        <f t="shared" si="290"/>
        <v>0</v>
      </c>
      <c r="H181" s="140">
        <f t="shared" si="290"/>
        <v>0</v>
      </c>
      <c r="I181" s="140">
        <f t="shared" si="290"/>
        <v>0</v>
      </c>
      <c r="J181" s="140">
        <f t="shared" si="290"/>
        <v>0</v>
      </c>
      <c r="K181" s="140">
        <f t="shared" si="290"/>
        <v>0</v>
      </c>
      <c r="L181" s="140">
        <f t="shared" si="290"/>
        <v>0</v>
      </c>
      <c r="M181" s="140">
        <f t="shared" si="290"/>
        <v>0</v>
      </c>
      <c r="N181" s="140">
        <f t="shared" si="290"/>
        <v>0</v>
      </c>
      <c r="O181" s="140">
        <f t="shared" si="290"/>
        <v>0</v>
      </c>
      <c r="P181" s="140">
        <f t="shared" si="290"/>
        <v>0</v>
      </c>
      <c r="Q181" s="140">
        <f t="shared" si="290"/>
        <v>0</v>
      </c>
      <c r="R181" s="140">
        <f t="shared" si="290"/>
        <v>0</v>
      </c>
      <c r="S181" s="140">
        <f t="shared" si="290"/>
        <v>0</v>
      </c>
      <c r="T181" s="140">
        <f t="shared" si="290"/>
        <v>0</v>
      </c>
      <c r="U181" s="140">
        <f t="shared" si="290"/>
        <v>0</v>
      </c>
      <c r="V181" s="140">
        <f t="shared" si="290"/>
        <v>0</v>
      </c>
      <c r="W181" s="140">
        <f t="shared" si="290"/>
        <v>0</v>
      </c>
      <c r="X181" s="140">
        <f t="shared" si="290"/>
        <v>0</v>
      </c>
      <c r="Y181" s="140">
        <f t="shared" si="290"/>
        <v>0</v>
      </c>
      <c r="Z181" s="140">
        <f t="shared" si="290"/>
        <v>0</v>
      </c>
      <c r="AA181" s="140">
        <f t="shared" si="290"/>
        <v>0</v>
      </c>
      <c r="AB181" s="140">
        <f t="shared" si="290"/>
        <v>0</v>
      </c>
      <c r="AC181" s="140">
        <f t="shared" si="290"/>
        <v>0</v>
      </c>
      <c r="AD181" s="140">
        <f t="shared" si="290"/>
        <v>0</v>
      </c>
      <c r="AE181" s="140">
        <f t="shared" si="290"/>
        <v>0</v>
      </c>
      <c r="AF181" s="140">
        <f t="shared" si="290"/>
        <v>0</v>
      </c>
      <c r="AG181" s="140">
        <f t="shared" si="290"/>
        <v>0</v>
      </c>
      <c r="AH181" s="140">
        <f t="shared" si="290"/>
        <v>0</v>
      </c>
      <c r="AI181" s="140">
        <f t="shared" si="290"/>
        <v>0</v>
      </c>
      <c r="AJ181" s="140">
        <f t="shared" si="290"/>
        <v>0</v>
      </c>
      <c r="AK181" s="140">
        <f t="shared" si="290"/>
        <v>0</v>
      </c>
      <c r="AL181" s="140">
        <f t="shared" si="290"/>
        <v>0</v>
      </c>
      <c r="AM181" s="140">
        <f t="shared" si="290"/>
        <v>0</v>
      </c>
      <c r="AN181" s="140">
        <f t="shared" si="290"/>
        <v>0</v>
      </c>
      <c r="AO181" s="140">
        <f t="shared" si="290"/>
        <v>0</v>
      </c>
      <c r="AP181" s="140">
        <f t="shared" si="290"/>
        <v>0</v>
      </c>
      <c r="AQ181" s="140">
        <f t="shared" si="290"/>
        <v>0</v>
      </c>
      <c r="AR181" s="140">
        <f t="shared" si="290"/>
        <v>0</v>
      </c>
      <c r="AS181" s="140">
        <f t="shared" si="290"/>
        <v>0</v>
      </c>
      <c r="AT181" s="140">
        <f t="shared" si="290"/>
        <v>0</v>
      </c>
      <c r="AU181" s="140">
        <f t="shared" si="290"/>
        <v>0</v>
      </c>
      <c r="AV181" s="140">
        <f t="shared" si="290"/>
        <v>0</v>
      </c>
      <c r="AW181" s="140">
        <f t="shared" si="290"/>
        <v>0</v>
      </c>
      <c r="AX181" s="140">
        <f t="shared" si="290"/>
        <v>0</v>
      </c>
      <c r="AY181" s="140">
        <f t="shared" si="290"/>
        <v>0</v>
      </c>
      <c r="AZ181" s="140">
        <f t="shared" si="290"/>
        <v>0</v>
      </c>
      <c r="BA181" s="140">
        <f t="shared" si="290"/>
        <v>0</v>
      </c>
      <c r="BB181" s="140">
        <f t="shared" si="290"/>
        <v>0</v>
      </c>
      <c r="BC181" s="140">
        <f t="shared" si="290"/>
        <v>0</v>
      </c>
      <c r="BD181" s="140">
        <f t="shared" si="290"/>
        <v>0</v>
      </c>
      <c r="BE181" s="140">
        <f t="shared" si="290"/>
        <v>0</v>
      </c>
      <c r="BF181" s="140">
        <f t="shared" si="290"/>
        <v>0</v>
      </c>
      <c r="BG181" s="140">
        <f t="shared" si="290"/>
        <v>0</v>
      </c>
      <c r="BH181" s="140">
        <f t="shared" si="290"/>
        <v>0</v>
      </c>
      <c r="BI181" s="140">
        <f t="shared" si="290"/>
        <v>0</v>
      </c>
      <c r="BJ181" s="140">
        <f t="shared" si="290"/>
        <v>0</v>
      </c>
      <c r="BK181" s="140">
        <f t="shared" si="290"/>
        <v>0</v>
      </c>
      <c r="BL181" s="140">
        <f t="shared" si="290"/>
        <v>0</v>
      </c>
      <c r="BM181" s="140">
        <f t="shared" si="290"/>
        <v>0</v>
      </c>
      <c r="BN181" s="140">
        <f t="shared" si="290"/>
        <v>0</v>
      </c>
      <c r="BO181" s="140">
        <f t="shared" ref="BO181:CB181" si="291">IF(BO179&lt;0,0,$B$5+$B$6*((1-EXP(-BO180/$B$9))/(BO180/$B$9))+$B$7*((1-EXP(-BO180/$B$9))/(BO180/$B$9)-EXP(-BO180/$B$9))+$B$8*((1-EXP(-BO180/$B$10))/(BO180/$B$10)-EXP(-BO180/$B$10)))</f>
        <v>0</v>
      </c>
      <c r="BP181" s="140">
        <f t="shared" si="291"/>
        <v>0</v>
      </c>
      <c r="BQ181" s="140">
        <f t="shared" si="291"/>
        <v>0</v>
      </c>
      <c r="BR181" s="140">
        <f t="shared" si="291"/>
        <v>0</v>
      </c>
      <c r="BS181" s="140">
        <f t="shared" si="291"/>
        <v>0</v>
      </c>
      <c r="BT181" s="140">
        <f t="shared" si="291"/>
        <v>0</v>
      </c>
      <c r="BU181" s="140">
        <f t="shared" si="291"/>
        <v>0</v>
      </c>
      <c r="BV181" s="140">
        <f t="shared" si="291"/>
        <v>0</v>
      </c>
      <c r="BW181" s="140">
        <f t="shared" si="291"/>
        <v>0</v>
      </c>
      <c r="BX181" s="140">
        <f t="shared" si="291"/>
        <v>0</v>
      </c>
      <c r="BY181" s="140">
        <f t="shared" si="291"/>
        <v>0</v>
      </c>
      <c r="BZ181" s="140">
        <f t="shared" si="291"/>
        <v>0</v>
      </c>
      <c r="CA181" s="140">
        <f t="shared" si="291"/>
        <v>0</v>
      </c>
      <c r="CB181" s="140">
        <f t="shared" si="291"/>
        <v>0</v>
      </c>
      <c r="CC181" s="17"/>
      <c r="CD181" s="17"/>
      <c r="CE181" s="17"/>
    </row>
    <row r="182" spans="1:83">
      <c r="A182" s="16" t="s">
        <v>44</v>
      </c>
      <c r="B182" s="140">
        <f>EXP(-B181*B180)</f>
        <v>1</v>
      </c>
      <c r="C182" s="140">
        <f t="shared" ref="C182:AR182" si="292">EXP(-C181*C180)</f>
        <v>1</v>
      </c>
      <c r="D182" s="140">
        <f t="shared" si="292"/>
        <v>1</v>
      </c>
      <c r="E182" s="140">
        <f t="shared" si="292"/>
        <v>1</v>
      </c>
      <c r="F182" s="140">
        <f t="shared" si="292"/>
        <v>1</v>
      </c>
      <c r="G182" s="140">
        <f t="shared" si="292"/>
        <v>1</v>
      </c>
      <c r="H182" s="140">
        <f t="shared" si="292"/>
        <v>1</v>
      </c>
      <c r="I182" s="140">
        <f t="shared" si="292"/>
        <v>1</v>
      </c>
      <c r="J182" s="140">
        <f t="shared" si="292"/>
        <v>1</v>
      </c>
      <c r="K182" s="140">
        <f t="shared" si="292"/>
        <v>1</v>
      </c>
      <c r="L182" s="140">
        <f t="shared" si="292"/>
        <v>1</v>
      </c>
      <c r="M182" s="140">
        <f t="shared" si="292"/>
        <v>1</v>
      </c>
      <c r="N182" s="140">
        <f t="shared" si="292"/>
        <v>1</v>
      </c>
      <c r="O182" s="140">
        <f t="shared" si="292"/>
        <v>1</v>
      </c>
      <c r="P182" s="140">
        <f t="shared" si="292"/>
        <v>1</v>
      </c>
      <c r="Q182" s="140">
        <f t="shared" si="292"/>
        <v>1</v>
      </c>
      <c r="R182" s="140">
        <f t="shared" si="292"/>
        <v>1</v>
      </c>
      <c r="S182" s="140">
        <f t="shared" si="292"/>
        <v>1</v>
      </c>
      <c r="T182" s="140">
        <f t="shared" si="292"/>
        <v>1</v>
      </c>
      <c r="U182" s="140">
        <f t="shared" si="292"/>
        <v>1</v>
      </c>
      <c r="V182" s="140">
        <f t="shared" si="292"/>
        <v>1</v>
      </c>
      <c r="W182" s="140">
        <f t="shared" si="292"/>
        <v>1</v>
      </c>
      <c r="X182" s="140">
        <f t="shared" si="292"/>
        <v>1</v>
      </c>
      <c r="Y182" s="140">
        <f t="shared" si="292"/>
        <v>1</v>
      </c>
      <c r="Z182" s="140">
        <f t="shared" si="292"/>
        <v>1</v>
      </c>
      <c r="AA182" s="140">
        <f t="shared" si="292"/>
        <v>1</v>
      </c>
      <c r="AB182" s="140">
        <f t="shared" si="292"/>
        <v>1</v>
      </c>
      <c r="AC182" s="140">
        <f t="shared" si="292"/>
        <v>1</v>
      </c>
      <c r="AD182" s="140">
        <f t="shared" si="292"/>
        <v>1</v>
      </c>
      <c r="AE182" s="140">
        <f t="shared" si="292"/>
        <v>1</v>
      </c>
      <c r="AF182" s="140">
        <f t="shared" si="292"/>
        <v>1</v>
      </c>
      <c r="AG182" s="140">
        <f t="shared" si="292"/>
        <v>1</v>
      </c>
      <c r="AH182" s="140">
        <f t="shared" si="292"/>
        <v>1</v>
      </c>
      <c r="AI182" s="140">
        <f t="shared" si="292"/>
        <v>1</v>
      </c>
      <c r="AJ182" s="140">
        <f t="shared" si="292"/>
        <v>1</v>
      </c>
      <c r="AK182" s="140">
        <f t="shared" si="292"/>
        <v>1</v>
      </c>
      <c r="AL182" s="140">
        <f t="shared" si="292"/>
        <v>1</v>
      </c>
      <c r="AM182" s="140">
        <f t="shared" si="292"/>
        <v>1</v>
      </c>
      <c r="AN182" s="140">
        <f t="shared" si="292"/>
        <v>1</v>
      </c>
      <c r="AO182" s="140">
        <f t="shared" si="292"/>
        <v>1</v>
      </c>
      <c r="AP182" s="140">
        <f t="shared" si="292"/>
        <v>1</v>
      </c>
      <c r="AQ182" s="140">
        <f t="shared" si="292"/>
        <v>1</v>
      </c>
      <c r="AR182" s="140">
        <f t="shared" si="292"/>
        <v>1</v>
      </c>
      <c r="AS182" s="140">
        <f>EXP(-AS181*AS180)</f>
        <v>1</v>
      </c>
      <c r="AT182" s="140">
        <f t="shared" ref="AT182:CA182" si="293">EXP(-AT181*AT180)</f>
        <v>1</v>
      </c>
      <c r="AU182" s="140">
        <f t="shared" si="293"/>
        <v>1</v>
      </c>
      <c r="AV182" s="140">
        <f t="shared" si="293"/>
        <v>1</v>
      </c>
      <c r="AW182" s="140">
        <f t="shared" si="293"/>
        <v>1</v>
      </c>
      <c r="AX182" s="140">
        <f t="shared" si="293"/>
        <v>1</v>
      </c>
      <c r="AY182" s="140">
        <f t="shared" si="293"/>
        <v>1</v>
      </c>
      <c r="AZ182" s="140">
        <f t="shared" si="293"/>
        <v>1</v>
      </c>
      <c r="BA182" s="140">
        <f t="shared" si="293"/>
        <v>1</v>
      </c>
      <c r="BB182" s="140">
        <f t="shared" si="293"/>
        <v>1</v>
      </c>
      <c r="BC182" s="140">
        <f t="shared" si="293"/>
        <v>1</v>
      </c>
      <c r="BD182" s="140">
        <f t="shared" si="293"/>
        <v>1</v>
      </c>
      <c r="BE182" s="140">
        <f t="shared" si="293"/>
        <v>1</v>
      </c>
      <c r="BF182" s="140">
        <f t="shared" si="293"/>
        <v>1</v>
      </c>
      <c r="BG182" s="140">
        <f t="shared" si="293"/>
        <v>1</v>
      </c>
      <c r="BH182" s="140">
        <f t="shared" si="293"/>
        <v>1</v>
      </c>
      <c r="BI182" s="140">
        <f t="shared" si="293"/>
        <v>1</v>
      </c>
      <c r="BJ182" s="140">
        <f t="shared" si="293"/>
        <v>1</v>
      </c>
      <c r="BK182" s="140">
        <f t="shared" si="293"/>
        <v>1</v>
      </c>
      <c r="BL182" s="140">
        <f t="shared" si="293"/>
        <v>1</v>
      </c>
      <c r="BM182" s="140">
        <f t="shared" si="293"/>
        <v>1</v>
      </c>
      <c r="BN182" s="140">
        <f t="shared" si="293"/>
        <v>1</v>
      </c>
      <c r="BO182" s="140">
        <f t="shared" si="293"/>
        <v>1</v>
      </c>
      <c r="BP182" s="140">
        <f t="shared" si="293"/>
        <v>1</v>
      </c>
      <c r="BQ182" s="140">
        <f t="shared" si="293"/>
        <v>1</v>
      </c>
      <c r="BR182" s="140">
        <f t="shared" si="293"/>
        <v>1</v>
      </c>
      <c r="BS182" s="140">
        <f t="shared" si="293"/>
        <v>1</v>
      </c>
      <c r="BT182" s="140">
        <f t="shared" si="293"/>
        <v>1</v>
      </c>
      <c r="BU182" s="140">
        <f t="shared" si="293"/>
        <v>1</v>
      </c>
      <c r="BV182" s="140">
        <f t="shared" si="293"/>
        <v>1</v>
      </c>
      <c r="BW182" s="140">
        <f t="shared" si="293"/>
        <v>1</v>
      </c>
      <c r="BX182" s="140">
        <f t="shared" si="293"/>
        <v>1</v>
      </c>
      <c r="BY182" s="140">
        <f t="shared" si="293"/>
        <v>1</v>
      </c>
      <c r="BZ182" s="140">
        <f t="shared" si="293"/>
        <v>1</v>
      </c>
      <c r="CA182" s="140">
        <f t="shared" si="293"/>
        <v>1</v>
      </c>
      <c r="CB182" s="140">
        <f>EXP(-CB181*CB180)</f>
        <v>1</v>
      </c>
      <c r="CC182" s="17"/>
      <c r="CD182" s="17"/>
      <c r="CE182" s="17"/>
    </row>
    <row r="183" spans="1:83">
      <c r="A183" s="17"/>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17"/>
      <c r="CD183" s="17"/>
      <c r="CE183" s="17"/>
    </row>
    <row r="184" spans="1:83">
      <c r="A184" s="16" t="s">
        <v>40</v>
      </c>
      <c r="B184" s="140">
        <f t="shared" ref="B184:BM184" si="294">DAYS360($B$3,B70)</f>
        <v>-43022</v>
      </c>
      <c r="C184" s="140">
        <f t="shared" si="294"/>
        <v>-42842</v>
      </c>
      <c r="D184" s="140">
        <f t="shared" si="294"/>
        <v>-42662</v>
      </c>
      <c r="E184" s="140">
        <f t="shared" si="294"/>
        <v>-42482</v>
      </c>
      <c r="F184" s="140">
        <f t="shared" si="294"/>
        <v>-42302</v>
      </c>
      <c r="G184" s="140">
        <f t="shared" si="294"/>
        <v>-42122</v>
      </c>
      <c r="H184" s="140">
        <f t="shared" si="294"/>
        <v>-41942</v>
      </c>
      <c r="I184" s="140">
        <f t="shared" si="294"/>
        <v>-41762</v>
      </c>
      <c r="J184" s="140">
        <f t="shared" si="294"/>
        <v>-41582</v>
      </c>
      <c r="K184" s="140">
        <f t="shared" si="294"/>
        <v>-41403</v>
      </c>
      <c r="L184" s="140">
        <f t="shared" si="294"/>
        <v>-41223</v>
      </c>
      <c r="M184" s="140">
        <f t="shared" si="294"/>
        <v>-41043</v>
      </c>
      <c r="N184" s="140">
        <f t="shared" si="294"/>
        <v>-40863</v>
      </c>
      <c r="O184" s="140">
        <f t="shared" si="294"/>
        <v>-40683</v>
      </c>
      <c r="P184" s="140">
        <f t="shared" si="294"/>
        <v>-40503</v>
      </c>
      <c r="Q184" s="140">
        <f t="shared" si="294"/>
        <v>-40323</v>
      </c>
      <c r="R184" s="140">
        <f t="shared" si="294"/>
        <v>-40143</v>
      </c>
      <c r="S184" s="140">
        <f t="shared" si="294"/>
        <v>-39964</v>
      </c>
      <c r="T184" s="140">
        <f t="shared" si="294"/>
        <v>-39784</v>
      </c>
      <c r="U184" s="140">
        <f t="shared" si="294"/>
        <v>-39604</v>
      </c>
      <c r="V184" s="140">
        <f t="shared" si="294"/>
        <v>-39424</v>
      </c>
      <c r="W184" s="140">
        <f t="shared" si="294"/>
        <v>-39244</v>
      </c>
      <c r="X184" s="140">
        <f t="shared" si="294"/>
        <v>-39064</v>
      </c>
      <c r="Y184" s="140">
        <f t="shared" si="294"/>
        <v>-38884</v>
      </c>
      <c r="Z184" s="140">
        <f t="shared" si="294"/>
        <v>-38704</v>
      </c>
      <c r="AA184" s="140">
        <f t="shared" si="294"/>
        <v>-38525</v>
      </c>
      <c r="AB184" s="140">
        <f t="shared" si="294"/>
        <v>-38345</v>
      </c>
      <c r="AC184" s="140">
        <f t="shared" si="294"/>
        <v>-38165</v>
      </c>
      <c r="AD184" s="140">
        <f t="shared" si="294"/>
        <v>-37985</v>
      </c>
      <c r="AE184" s="140">
        <f t="shared" si="294"/>
        <v>-37805</v>
      </c>
      <c r="AF184" s="140">
        <f t="shared" si="294"/>
        <v>-37625</v>
      </c>
      <c r="AG184" s="140">
        <f t="shared" si="294"/>
        <v>-37445</v>
      </c>
      <c r="AH184" s="140">
        <f t="shared" si="294"/>
        <v>-37265</v>
      </c>
      <c r="AI184" s="140">
        <f t="shared" si="294"/>
        <v>-37086</v>
      </c>
      <c r="AJ184" s="140">
        <f t="shared" si="294"/>
        <v>-36906</v>
      </c>
      <c r="AK184" s="140">
        <f t="shared" si="294"/>
        <v>-36726</v>
      </c>
      <c r="AL184" s="140">
        <f t="shared" si="294"/>
        <v>-36546</v>
      </c>
      <c r="AM184" s="140">
        <f t="shared" si="294"/>
        <v>-36366</v>
      </c>
      <c r="AN184" s="140">
        <f t="shared" si="294"/>
        <v>-36186</v>
      </c>
      <c r="AO184" s="140">
        <f t="shared" si="294"/>
        <v>-36006</v>
      </c>
      <c r="AP184" s="140">
        <f t="shared" si="294"/>
        <v>-35826</v>
      </c>
      <c r="AQ184" s="140">
        <f t="shared" si="294"/>
        <v>-35647</v>
      </c>
      <c r="AR184" s="140">
        <f t="shared" si="294"/>
        <v>-35467</v>
      </c>
      <c r="AS184" s="140">
        <f t="shared" si="294"/>
        <v>-35287</v>
      </c>
      <c r="AT184" s="140">
        <f t="shared" si="294"/>
        <v>-35107</v>
      </c>
      <c r="AU184" s="140">
        <f t="shared" si="294"/>
        <v>-34927</v>
      </c>
      <c r="AV184" s="140">
        <f t="shared" si="294"/>
        <v>-34747</v>
      </c>
      <c r="AW184" s="140">
        <f t="shared" si="294"/>
        <v>-34567</v>
      </c>
      <c r="AX184" s="140">
        <f t="shared" si="294"/>
        <v>-34387</v>
      </c>
      <c r="AY184" s="140">
        <f t="shared" si="294"/>
        <v>-34208</v>
      </c>
      <c r="AZ184" s="140">
        <f t="shared" si="294"/>
        <v>-34028</v>
      </c>
      <c r="BA184" s="140">
        <f t="shared" si="294"/>
        <v>-33848</v>
      </c>
      <c r="BB184" s="140">
        <f t="shared" si="294"/>
        <v>-33668</v>
      </c>
      <c r="BC184" s="140">
        <f t="shared" si="294"/>
        <v>-33488</v>
      </c>
      <c r="BD184" s="140">
        <f t="shared" si="294"/>
        <v>-33308</v>
      </c>
      <c r="BE184" s="140">
        <f t="shared" si="294"/>
        <v>-33128</v>
      </c>
      <c r="BF184" s="140">
        <f t="shared" si="294"/>
        <v>-32948</v>
      </c>
      <c r="BG184" s="140">
        <f t="shared" si="294"/>
        <v>-32769</v>
      </c>
      <c r="BH184" s="140">
        <f t="shared" si="294"/>
        <v>-32589</v>
      </c>
      <c r="BI184" s="140">
        <f t="shared" si="294"/>
        <v>-32409</v>
      </c>
      <c r="BJ184" s="140">
        <f t="shared" si="294"/>
        <v>-32229</v>
      </c>
      <c r="BK184" s="140">
        <f t="shared" si="294"/>
        <v>-32049</v>
      </c>
      <c r="BL184" s="140">
        <f t="shared" si="294"/>
        <v>-31869</v>
      </c>
      <c r="BM184" s="140">
        <f t="shared" si="294"/>
        <v>-31689</v>
      </c>
      <c r="BN184" s="140">
        <f t="shared" ref="BN184:CB184" si="295">DAYS360($B$3,BN70)</f>
        <v>-31509</v>
      </c>
      <c r="BO184" s="140">
        <f t="shared" si="295"/>
        <v>-31330</v>
      </c>
      <c r="BP184" s="140">
        <f t="shared" si="295"/>
        <v>-31150</v>
      </c>
      <c r="BQ184" s="140">
        <f t="shared" si="295"/>
        <v>-30970</v>
      </c>
      <c r="BR184" s="140">
        <f t="shared" si="295"/>
        <v>-30790</v>
      </c>
      <c r="BS184" s="140">
        <f t="shared" si="295"/>
        <v>-30610</v>
      </c>
      <c r="BT184" s="140">
        <f t="shared" si="295"/>
        <v>-30430</v>
      </c>
      <c r="BU184" s="140">
        <f t="shared" si="295"/>
        <v>-30250</v>
      </c>
      <c r="BV184" s="140">
        <f t="shared" si="295"/>
        <v>-30070</v>
      </c>
      <c r="BW184" s="140">
        <f t="shared" si="295"/>
        <v>-29891</v>
      </c>
      <c r="BX184" s="140">
        <f t="shared" si="295"/>
        <v>-29711</v>
      </c>
      <c r="BY184" s="140">
        <f t="shared" si="295"/>
        <v>-29531</v>
      </c>
      <c r="BZ184" s="140">
        <f t="shared" si="295"/>
        <v>-29351</v>
      </c>
      <c r="CA184" s="140">
        <f t="shared" si="295"/>
        <v>-29171</v>
      </c>
      <c r="CB184" s="140">
        <f t="shared" si="295"/>
        <v>-28991</v>
      </c>
      <c r="CC184" s="17"/>
      <c r="CD184" s="17"/>
      <c r="CE184" s="17"/>
    </row>
    <row r="185" spans="1:83">
      <c r="A185" s="16" t="s">
        <v>41</v>
      </c>
      <c r="B185" s="140">
        <f>B184/360</f>
        <v>-119.50555555555556</v>
      </c>
      <c r="C185" s="140">
        <f t="shared" ref="C185:BN185" si="296">C184/360</f>
        <v>-119.00555555555556</v>
      </c>
      <c r="D185" s="140">
        <f t="shared" si="296"/>
        <v>-118.50555555555556</v>
      </c>
      <c r="E185" s="140">
        <f t="shared" si="296"/>
        <v>-118.00555555555556</v>
      </c>
      <c r="F185" s="140">
        <f t="shared" si="296"/>
        <v>-117.50555555555556</v>
      </c>
      <c r="G185" s="140">
        <f t="shared" si="296"/>
        <v>-117.00555555555556</v>
      </c>
      <c r="H185" s="140">
        <f t="shared" si="296"/>
        <v>-116.50555555555556</v>
      </c>
      <c r="I185" s="140">
        <f t="shared" si="296"/>
        <v>-116.00555555555556</v>
      </c>
      <c r="J185" s="140">
        <f t="shared" si="296"/>
        <v>-115.50555555555556</v>
      </c>
      <c r="K185" s="140">
        <f t="shared" si="296"/>
        <v>-115.00833333333334</v>
      </c>
      <c r="L185" s="140">
        <f t="shared" si="296"/>
        <v>-114.50833333333334</v>
      </c>
      <c r="M185" s="140">
        <f t="shared" si="296"/>
        <v>-114.00833333333334</v>
      </c>
      <c r="N185" s="140">
        <f t="shared" si="296"/>
        <v>-113.50833333333334</v>
      </c>
      <c r="O185" s="140">
        <f t="shared" si="296"/>
        <v>-113.00833333333334</v>
      </c>
      <c r="P185" s="140">
        <f t="shared" si="296"/>
        <v>-112.50833333333334</v>
      </c>
      <c r="Q185" s="140">
        <f t="shared" si="296"/>
        <v>-112.00833333333334</v>
      </c>
      <c r="R185" s="140">
        <f t="shared" si="296"/>
        <v>-111.50833333333334</v>
      </c>
      <c r="S185" s="140">
        <f t="shared" si="296"/>
        <v>-111.01111111111111</v>
      </c>
      <c r="T185" s="140">
        <f t="shared" si="296"/>
        <v>-110.51111111111111</v>
      </c>
      <c r="U185" s="140">
        <f t="shared" si="296"/>
        <v>-110.01111111111111</v>
      </c>
      <c r="V185" s="140">
        <f t="shared" si="296"/>
        <v>-109.51111111111111</v>
      </c>
      <c r="W185" s="140">
        <f t="shared" si="296"/>
        <v>-109.01111111111111</v>
      </c>
      <c r="X185" s="140">
        <f t="shared" si="296"/>
        <v>-108.51111111111111</v>
      </c>
      <c r="Y185" s="140">
        <f t="shared" si="296"/>
        <v>-108.01111111111111</v>
      </c>
      <c r="Z185" s="140">
        <f t="shared" si="296"/>
        <v>-107.51111111111111</v>
      </c>
      <c r="AA185" s="140">
        <f t="shared" si="296"/>
        <v>-107.01388888888889</v>
      </c>
      <c r="AB185" s="140">
        <f t="shared" si="296"/>
        <v>-106.51388888888889</v>
      </c>
      <c r="AC185" s="140">
        <f t="shared" si="296"/>
        <v>-106.01388888888889</v>
      </c>
      <c r="AD185" s="140">
        <f t="shared" si="296"/>
        <v>-105.51388888888889</v>
      </c>
      <c r="AE185" s="140">
        <f t="shared" si="296"/>
        <v>-105.01388888888889</v>
      </c>
      <c r="AF185" s="140">
        <f t="shared" si="296"/>
        <v>-104.51388888888889</v>
      </c>
      <c r="AG185" s="140">
        <f t="shared" si="296"/>
        <v>-104.01388888888889</v>
      </c>
      <c r="AH185" s="140">
        <f t="shared" si="296"/>
        <v>-103.51388888888889</v>
      </c>
      <c r="AI185" s="140">
        <f t="shared" si="296"/>
        <v>-103.01666666666667</v>
      </c>
      <c r="AJ185" s="140">
        <f t="shared" si="296"/>
        <v>-102.51666666666667</v>
      </c>
      <c r="AK185" s="140">
        <f t="shared" si="296"/>
        <v>-102.01666666666667</v>
      </c>
      <c r="AL185" s="140">
        <f t="shared" si="296"/>
        <v>-101.51666666666667</v>
      </c>
      <c r="AM185" s="140">
        <f t="shared" si="296"/>
        <v>-101.01666666666667</v>
      </c>
      <c r="AN185" s="140">
        <f t="shared" si="296"/>
        <v>-100.51666666666667</v>
      </c>
      <c r="AO185" s="140">
        <f t="shared" si="296"/>
        <v>-100.01666666666667</v>
      </c>
      <c r="AP185" s="140">
        <f t="shared" si="296"/>
        <v>-99.516666666666666</v>
      </c>
      <c r="AQ185" s="140">
        <f t="shared" si="296"/>
        <v>-99.019444444444446</v>
      </c>
      <c r="AR185" s="140">
        <f t="shared" si="296"/>
        <v>-98.519444444444446</v>
      </c>
      <c r="AS185" s="140">
        <f t="shared" si="296"/>
        <v>-98.019444444444446</v>
      </c>
      <c r="AT185" s="140">
        <f t="shared" si="296"/>
        <v>-97.519444444444446</v>
      </c>
      <c r="AU185" s="140">
        <f t="shared" si="296"/>
        <v>-97.019444444444446</v>
      </c>
      <c r="AV185" s="140">
        <f t="shared" si="296"/>
        <v>-96.519444444444446</v>
      </c>
      <c r="AW185" s="140">
        <f t="shared" si="296"/>
        <v>-96.019444444444446</v>
      </c>
      <c r="AX185" s="140">
        <f t="shared" si="296"/>
        <v>-95.519444444444446</v>
      </c>
      <c r="AY185" s="140">
        <f t="shared" si="296"/>
        <v>-95.022222222222226</v>
      </c>
      <c r="AZ185" s="140">
        <f t="shared" si="296"/>
        <v>-94.522222222222226</v>
      </c>
      <c r="BA185" s="140">
        <f t="shared" si="296"/>
        <v>-94.022222222222226</v>
      </c>
      <c r="BB185" s="140">
        <f t="shared" si="296"/>
        <v>-93.522222222222226</v>
      </c>
      <c r="BC185" s="140">
        <f t="shared" si="296"/>
        <v>-93.022222222222226</v>
      </c>
      <c r="BD185" s="140">
        <f t="shared" si="296"/>
        <v>-92.522222222222226</v>
      </c>
      <c r="BE185" s="140">
        <f t="shared" si="296"/>
        <v>-92.022222222222226</v>
      </c>
      <c r="BF185" s="140">
        <f t="shared" si="296"/>
        <v>-91.522222222222226</v>
      </c>
      <c r="BG185" s="140">
        <f t="shared" si="296"/>
        <v>-91.025000000000006</v>
      </c>
      <c r="BH185" s="140">
        <f t="shared" si="296"/>
        <v>-90.525000000000006</v>
      </c>
      <c r="BI185" s="140">
        <f t="shared" si="296"/>
        <v>-90.025000000000006</v>
      </c>
      <c r="BJ185" s="140">
        <f t="shared" si="296"/>
        <v>-89.525000000000006</v>
      </c>
      <c r="BK185" s="140">
        <f t="shared" si="296"/>
        <v>-89.025000000000006</v>
      </c>
      <c r="BL185" s="140">
        <f t="shared" si="296"/>
        <v>-88.525000000000006</v>
      </c>
      <c r="BM185" s="140">
        <f t="shared" si="296"/>
        <v>-88.025000000000006</v>
      </c>
      <c r="BN185" s="140">
        <f t="shared" si="296"/>
        <v>-87.525000000000006</v>
      </c>
      <c r="BO185" s="140">
        <f t="shared" ref="BO185:CB185" si="297">BO184/360</f>
        <v>-87.027777777777771</v>
      </c>
      <c r="BP185" s="140">
        <f t="shared" si="297"/>
        <v>-86.527777777777771</v>
      </c>
      <c r="BQ185" s="140">
        <f t="shared" si="297"/>
        <v>-86.027777777777771</v>
      </c>
      <c r="BR185" s="140">
        <f t="shared" si="297"/>
        <v>-85.527777777777771</v>
      </c>
      <c r="BS185" s="140">
        <f t="shared" si="297"/>
        <v>-85.027777777777771</v>
      </c>
      <c r="BT185" s="140">
        <f t="shared" si="297"/>
        <v>-84.527777777777771</v>
      </c>
      <c r="BU185" s="140">
        <f t="shared" si="297"/>
        <v>-84.027777777777771</v>
      </c>
      <c r="BV185" s="140">
        <f t="shared" si="297"/>
        <v>-83.527777777777771</v>
      </c>
      <c r="BW185" s="140">
        <f t="shared" si="297"/>
        <v>-83.030555555555551</v>
      </c>
      <c r="BX185" s="140">
        <f t="shared" si="297"/>
        <v>-82.530555555555551</v>
      </c>
      <c r="BY185" s="140">
        <f t="shared" si="297"/>
        <v>-82.030555555555551</v>
      </c>
      <c r="BZ185" s="140">
        <f t="shared" si="297"/>
        <v>-81.530555555555551</v>
      </c>
      <c r="CA185" s="140">
        <f t="shared" si="297"/>
        <v>-81.030555555555551</v>
      </c>
      <c r="CB185" s="140">
        <f t="shared" si="297"/>
        <v>-80.530555555555551</v>
      </c>
      <c r="CC185" s="17"/>
      <c r="CD185" s="17"/>
      <c r="CE185" s="17"/>
    </row>
    <row r="186" spans="1:83">
      <c r="A186" s="16" t="s">
        <v>43</v>
      </c>
      <c r="B186" s="140">
        <f>IF(B184&lt;0,0,$B$5+$B$6*((1-EXP(-B185/$B$9))/(B185/$B$9))+$B$7*((1-EXP(-B185/$B$9))/(B185/$B$9)-EXP(-B185/$B$9))+$B$8*((1-EXP(-B185/$B$10))/(B185/$B$10)-EXP(-B185/$B$10)))</f>
        <v>0</v>
      </c>
      <c r="C186" s="140">
        <f t="shared" ref="C186:BN186" si="298">IF(C184&lt;0,0,$B$5+$B$6*((1-EXP(-C185/$B$9))/(C185/$B$9))+$B$7*((1-EXP(-C185/$B$9))/(C185/$B$9)-EXP(-C185/$B$9))+$B$8*((1-EXP(-C185/$B$10))/(C185/$B$10)-EXP(-C185/$B$10)))</f>
        <v>0</v>
      </c>
      <c r="D186" s="140">
        <f t="shared" si="298"/>
        <v>0</v>
      </c>
      <c r="E186" s="140">
        <f t="shared" si="298"/>
        <v>0</v>
      </c>
      <c r="F186" s="140">
        <f t="shared" si="298"/>
        <v>0</v>
      </c>
      <c r="G186" s="140">
        <f t="shared" si="298"/>
        <v>0</v>
      </c>
      <c r="H186" s="140">
        <f t="shared" si="298"/>
        <v>0</v>
      </c>
      <c r="I186" s="140">
        <f t="shared" si="298"/>
        <v>0</v>
      </c>
      <c r="J186" s="140">
        <f t="shared" si="298"/>
        <v>0</v>
      </c>
      <c r="K186" s="140">
        <f t="shared" si="298"/>
        <v>0</v>
      </c>
      <c r="L186" s="140">
        <f t="shared" si="298"/>
        <v>0</v>
      </c>
      <c r="M186" s="140">
        <f t="shared" si="298"/>
        <v>0</v>
      </c>
      <c r="N186" s="140">
        <f t="shared" si="298"/>
        <v>0</v>
      </c>
      <c r="O186" s="140">
        <f t="shared" si="298"/>
        <v>0</v>
      </c>
      <c r="P186" s="140">
        <f t="shared" si="298"/>
        <v>0</v>
      </c>
      <c r="Q186" s="140">
        <f t="shared" si="298"/>
        <v>0</v>
      </c>
      <c r="R186" s="140">
        <f t="shared" si="298"/>
        <v>0</v>
      </c>
      <c r="S186" s="140">
        <f t="shared" si="298"/>
        <v>0</v>
      </c>
      <c r="T186" s="140">
        <f t="shared" si="298"/>
        <v>0</v>
      </c>
      <c r="U186" s="140">
        <f t="shared" si="298"/>
        <v>0</v>
      </c>
      <c r="V186" s="140">
        <f t="shared" si="298"/>
        <v>0</v>
      </c>
      <c r="W186" s="140">
        <f t="shared" si="298"/>
        <v>0</v>
      </c>
      <c r="X186" s="140">
        <f t="shared" si="298"/>
        <v>0</v>
      </c>
      <c r="Y186" s="140">
        <f t="shared" si="298"/>
        <v>0</v>
      </c>
      <c r="Z186" s="140">
        <f t="shared" si="298"/>
        <v>0</v>
      </c>
      <c r="AA186" s="140">
        <f t="shared" si="298"/>
        <v>0</v>
      </c>
      <c r="AB186" s="140">
        <f t="shared" si="298"/>
        <v>0</v>
      </c>
      <c r="AC186" s="140">
        <f t="shared" si="298"/>
        <v>0</v>
      </c>
      <c r="AD186" s="140">
        <f t="shared" si="298"/>
        <v>0</v>
      </c>
      <c r="AE186" s="140">
        <f t="shared" si="298"/>
        <v>0</v>
      </c>
      <c r="AF186" s="140">
        <f t="shared" si="298"/>
        <v>0</v>
      </c>
      <c r="AG186" s="140">
        <f t="shared" si="298"/>
        <v>0</v>
      </c>
      <c r="AH186" s="140">
        <f t="shared" si="298"/>
        <v>0</v>
      </c>
      <c r="AI186" s="140">
        <f t="shared" si="298"/>
        <v>0</v>
      </c>
      <c r="AJ186" s="140">
        <f t="shared" si="298"/>
        <v>0</v>
      </c>
      <c r="AK186" s="140">
        <f t="shared" si="298"/>
        <v>0</v>
      </c>
      <c r="AL186" s="140">
        <f t="shared" si="298"/>
        <v>0</v>
      </c>
      <c r="AM186" s="140">
        <f t="shared" si="298"/>
        <v>0</v>
      </c>
      <c r="AN186" s="140">
        <f t="shared" si="298"/>
        <v>0</v>
      </c>
      <c r="AO186" s="140">
        <f t="shared" si="298"/>
        <v>0</v>
      </c>
      <c r="AP186" s="140">
        <f t="shared" si="298"/>
        <v>0</v>
      </c>
      <c r="AQ186" s="140">
        <f t="shared" si="298"/>
        <v>0</v>
      </c>
      <c r="AR186" s="140">
        <f t="shared" si="298"/>
        <v>0</v>
      </c>
      <c r="AS186" s="140">
        <f t="shared" si="298"/>
        <v>0</v>
      </c>
      <c r="AT186" s="140">
        <f t="shared" si="298"/>
        <v>0</v>
      </c>
      <c r="AU186" s="140">
        <f t="shared" si="298"/>
        <v>0</v>
      </c>
      <c r="AV186" s="140">
        <f t="shared" si="298"/>
        <v>0</v>
      </c>
      <c r="AW186" s="140">
        <f t="shared" si="298"/>
        <v>0</v>
      </c>
      <c r="AX186" s="140">
        <f t="shared" si="298"/>
        <v>0</v>
      </c>
      <c r="AY186" s="140">
        <f t="shared" si="298"/>
        <v>0</v>
      </c>
      <c r="AZ186" s="140">
        <f t="shared" si="298"/>
        <v>0</v>
      </c>
      <c r="BA186" s="140">
        <f t="shared" si="298"/>
        <v>0</v>
      </c>
      <c r="BB186" s="140">
        <f t="shared" si="298"/>
        <v>0</v>
      </c>
      <c r="BC186" s="140">
        <f t="shared" si="298"/>
        <v>0</v>
      </c>
      <c r="BD186" s="140">
        <f t="shared" si="298"/>
        <v>0</v>
      </c>
      <c r="BE186" s="140">
        <f t="shared" si="298"/>
        <v>0</v>
      </c>
      <c r="BF186" s="140">
        <f t="shared" si="298"/>
        <v>0</v>
      </c>
      <c r="BG186" s="140">
        <f t="shared" si="298"/>
        <v>0</v>
      </c>
      <c r="BH186" s="140">
        <f t="shared" si="298"/>
        <v>0</v>
      </c>
      <c r="BI186" s="140">
        <f t="shared" si="298"/>
        <v>0</v>
      </c>
      <c r="BJ186" s="140">
        <f t="shared" si="298"/>
        <v>0</v>
      </c>
      <c r="BK186" s="140">
        <f t="shared" si="298"/>
        <v>0</v>
      </c>
      <c r="BL186" s="140">
        <f t="shared" si="298"/>
        <v>0</v>
      </c>
      <c r="BM186" s="140">
        <f t="shared" si="298"/>
        <v>0</v>
      </c>
      <c r="BN186" s="140">
        <f t="shared" si="298"/>
        <v>0</v>
      </c>
      <c r="BO186" s="140">
        <f t="shared" ref="BO186:CB186" si="299">IF(BO184&lt;0,0,$B$5+$B$6*((1-EXP(-BO185/$B$9))/(BO185/$B$9))+$B$7*((1-EXP(-BO185/$B$9))/(BO185/$B$9)-EXP(-BO185/$B$9))+$B$8*((1-EXP(-BO185/$B$10))/(BO185/$B$10)-EXP(-BO185/$B$10)))</f>
        <v>0</v>
      </c>
      <c r="BP186" s="140">
        <f t="shared" si="299"/>
        <v>0</v>
      </c>
      <c r="BQ186" s="140">
        <f t="shared" si="299"/>
        <v>0</v>
      </c>
      <c r="BR186" s="140">
        <f t="shared" si="299"/>
        <v>0</v>
      </c>
      <c r="BS186" s="140">
        <f t="shared" si="299"/>
        <v>0</v>
      </c>
      <c r="BT186" s="140">
        <f t="shared" si="299"/>
        <v>0</v>
      </c>
      <c r="BU186" s="140">
        <f t="shared" si="299"/>
        <v>0</v>
      </c>
      <c r="BV186" s="140">
        <f t="shared" si="299"/>
        <v>0</v>
      </c>
      <c r="BW186" s="140">
        <f t="shared" si="299"/>
        <v>0</v>
      </c>
      <c r="BX186" s="140">
        <f t="shared" si="299"/>
        <v>0</v>
      </c>
      <c r="BY186" s="140">
        <f t="shared" si="299"/>
        <v>0</v>
      </c>
      <c r="BZ186" s="140">
        <f t="shared" si="299"/>
        <v>0</v>
      </c>
      <c r="CA186" s="140">
        <f t="shared" si="299"/>
        <v>0</v>
      </c>
      <c r="CB186" s="140">
        <f t="shared" si="299"/>
        <v>0</v>
      </c>
      <c r="CC186" s="17"/>
      <c r="CD186" s="17"/>
      <c r="CE186" s="17"/>
    </row>
    <row r="187" spans="1:83">
      <c r="A187" s="16" t="s">
        <v>44</v>
      </c>
      <c r="B187" s="140">
        <f>EXP(-B186*B185)</f>
        <v>1</v>
      </c>
      <c r="C187" s="140">
        <f t="shared" ref="C187:AR187" si="300">EXP(-C186*C185)</f>
        <v>1</v>
      </c>
      <c r="D187" s="140">
        <f t="shared" si="300"/>
        <v>1</v>
      </c>
      <c r="E187" s="140">
        <f t="shared" si="300"/>
        <v>1</v>
      </c>
      <c r="F187" s="140">
        <f t="shared" si="300"/>
        <v>1</v>
      </c>
      <c r="G187" s="140">
        <f t="shared" si="300"/>
        <v>1</v>
      </c>
      <c r="H187" s="140">
        <f t="shared" si="300"/>
        <v>1</v>
      </c>
      <c r="I187" s="140">
        <f t="shared" si="300"/>
        <v>1</v>
      </c>
      <c r="J187" s="140">
        <f t="shared" si="300"/>
        <v>1</v>
      </c>
      <c r="K187" s="140">
        <f t="shared" si="300"/>
        <v>1</v>
      </c>
      <c r="L187" s="140">
        <f t="shared" si="300"/>
        <v>1</v>
      </c>
      <c r="M187" s="140">
        <f t="shared" si="300"/>
        <v>1</v>
      </c>
      <c r="N187" s="140">
        <f t="shared" si="300"/>
        <v>1</v>
      </c>
      <c r="O187" s="140">
        <f t="shared" si="300"/>
        <v>1</v>
      </c>
      <c r="P187" s="140">
        <f t="shared" si="300"/>
        <v>1</v>
      </c>
      <c r="Q187" s="140">
        <f t="shared" si="300"/>
        <v>1</v>
      </c>
      <c r="R187" s="140">
        <f t="shared" si="300"/>
        <v>1</v>
      </c>
      <c r="S187" s="140">
        <f t="shared" si="300"/>
        <v>1</v>
      </c>
      <c r="T187" s="140">
        <f t="shared" si="300"/>
        <v>1</v>
      </c>
      <c r="U187" s="140">
        <f t="shared" si="300"/>
        <v>1</v>
      </c>
      <c r="V187" s="140">
        <f t="shared" si="300"/>
        <v>1</v>
      </c>
      <c r="W187" s="140">
        <f t="shared" si="300"/>
        <v>1</v>
      </c>
      <c r="X187" s="140">
        <f t="shared" si="300"/>
        <v>1</v>
      </c>
      <c r="Y187" s="140">
        <f t="shared" si="300"/>
        <v>1</v>
      </c>
      <c r="Z187" s="140">
        <f t="shared" si="300"/>
        <v>1</v>
      </c>
      <c r="AA187" s="140">
        <f t="shared" si="300"/>
        <v>1</v>
      </c>
      <c r="AB187" s="140">
        <f t="shared" si="300"/>
        <v>1</v>
      </c>
      <c r="AC187" s="140">
        <f t="shared" si="300"/>
        <v>1</v>
      </c>
      <c r="AD187" s="140">
        <f t="shared" si="300"/>
        <v>1</v>
      </c>
      <c r="AE187" s="140">
        <f t="shared" si="300"/>
        <v>1</v>
      </c>
      <c r="AF187" s="140">
        <f t="shared" si="300"/>
        <v>1</v>
      </c>
      <c r="AG187" s="140">
        <f t="shared" si="300"/>
        <v>1</v>
      </c>
      <c r="AH187" s="140">
        <f t="shared" si="300"/>
        <v>1</v>
      </c>
      <c r="AI187" s="140">
        <f t="shared" si="300"/>
        <v>1</v>
      </c>
      <c r="AJ187" s="140">
        <f t="shared" si="300"/>
        <v>1</v>
      </c>
      <c r="AK187" s="140">
        <f t="shared" si="300"/>
        <v>1</v>
      </c>
      <c r="AL187" s="140">
        <f t="shared" si="300"/>
        <v>1</v>
      </c>
      <c r="AM187" s="140">
        <f t="shared" si="300"/>
        <v>1</v>
      </c>
      <c r="AN187" s="140">
        <f t="shared" si="300"/>
        <v>1</v>
      </c>
      <c r="AO187" s="140">
        <f t="shared" si="300"/>
        <v>1</v>
      </c>
      <c r="AP187" s="140">
        <f t="shared" si="300"/>
        <v>1</v>
      </c>
      <c r="AQ187" s="140">
        <f t="shared" si="300"/>
        <v>1</v>
      </c>
      <c r="AR187" s="140">
        <f t="shared" si="300"/>
        <v>1</v>
      </c>
      <c r="AS187" s="140">
        <f>EXP(-AS186*AS185)</f>
        <v>1</v>
      </c>
      <c r="AT187" s="140">
        <f t="shared" ref="AT187:CA187" si="301">EXP(-AT186*AT185)</f>
        <v>1</v>
      </c>
      <c r="AU187" s="140">
        <f t="shared" si="301"/>
        <v>1</v>
      </c>
      <c r="AV187" s="140">
        <f t="shared" si="301"/>
        <v>1</v>
      </c>
      <c r="AW187" s="140">
        <f t="shared" si="301"/>
        <v>1</v>
      </c>
      <c r="AX187" s="140">
        <f t="shared" si="301"/>
        <v>1</v>
      </c>
      <c r="AY187" s="140">
        <f t="shared" si="301"/>
        <v>1</v>
      </c>
      <c r="AZ187" s="140">
        <f t="shared" si="301"/>
        <v>1</v>
      </c>
      <c r="BA187" s="140">
        <f t="shared" si="301"/>
        <v>1</v>
      </c>
      <c r="BB187" s="140">
        <f t="shared" si="301"/>
        <v>1</v>
      </c>
      <c r="BC187" s="140">
        <f t="shared" si="301"/>
        <v>1</v>
      </c>
      <c r="BD187" s="140">
        <f t="shared" si="301"/>
        <v>1</v>
      </c>
      <c r="BE187" s="140">
        <f t="shared" si="301"/>
        <v>1</v>
      </c>
      <c r="BF187" s="140">
        <f t="shared" si="301"/>
        <v>1</v>
      </c>
      <c r="BG187" s="140">
        <f t="shared" si="301"/>
        <v>1</v>
      </c>
      <c r="BH187" s="140">
        <f t="shared" si="301"/>
        <v>1</v>
      </c>
      <c r="BI187" s="140">
        <f t="shared" si="301"/>
        <v>1</v>
      </c>
      <c r="BJ187" s="140">
        <f t="shared" si="301"/>
        <v>1</v>
      </c>
      <c r="BK187" s="140">
        <f t="shared" si="301"/>
        <v>1</v>
      </c>
      <c r="BL187" s="140">
        <f t="shared" si="301"/>
        <v>1</v>
      </c>
      <c r="BM187" s="140">
        <f t="shared" si="301"/>
        <v>1</v>
      </c>
      <c r="BN187" s="140">
        <f t="shared" si="301"/>
        <v>1</v>
      </c>
      <c r="BO187" s="140">
        <f t="shared" si="301"/>
        <v>1</v>
      </c>
      <c r="BP187" s="140">
        <f t="shared" si="301"/>
        <v>1</v>
      </c>
      <c r="BQ187" s="140">
        <f t="shared" si="301"/>
        <v>1</v>
      </c>
      <c r="BR187" s="140">
        <f t="shared" si="301"/>
        <v>1</v>
      </c>
      <c r="BS187" s="140">
        <f t="shared" si="301"/>
        <v>1</v>
      </c>
      <c r="BT187" s="140">
        <f t="shared" si="301"/>
        <v>1</v>
      </c>
      <c r="BU187" s="140">
        <f t="shared" si="301"/>
        <v>1</v>
      </c>
      <c r="BV187" s="140">
        <f t="shared" si="301"/>
        <v>1</v>
      </c>
      <c r="BW187" s="140">
        <f t="shared" si="301"/>
        <v>1</v>
      </c>
      <c r="BX187" s="140">
        <f t="shared" si="301"/>
        <v>1</v>
      </c>
      <c r="BY187" s="140">
        <f t="shared" si="301"/>
        <v>1</v>
      </c>
      <c r="BZ187" s="140">
        <f t="shared" si="301"/>
        <v>1</v>
      </c>
      <c r="CA187" s="140">
        <f t="shared" si="301"/>
        <v>1</v>
      </c>
      <c r="CB187" s="140">
        <f>EXP(-CB186*CB185)</f>
        <v>1</v>
      </c>
      <c r="CC187" s="17"/>
      <c r="CD187" s="17"/>
      <c r="CE187" s="17"/>
    </row>
    <row r="188" spans="1:83">
      <c r="A188" s="17"/>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17"/>
      <c r="CD188" s="17"/>
      <c r="CE188" s="17"/>
    </row>
    <row r="189" spans="1:83">
      <c r="A189" s="16" t="s">
        <v>40</v>
      </c>
      <c r="B189" s="140">
        <f t="shared" ref="B189:BM189" si="302">DAYS360($B$3,B72)</f>
        <v>-43022</v>
      </c>
      <c r="C189" s="140">
        <f t="shared" si="302"/>
        <v>-42842</v>
      </c>
      <c r="D189" s="140">
        <f t="shared" si="302"/>
        <v>-42662</v>
      </c>
      <c r="E189" s="140">
        <f t="shared" si="302"/>
        <v>-42482</v>
      </c>
      <c r="F189" s="140">
        <f t="shared" si="302"/>
        <v>-42302</v>
      </c>
      <c r="G189" s="140">
        <f t="shared" si="302"/>
        <v>-42122</v>
      </c>
      <c r="H189" s="140">
        <f t="shared" si="302"/>
        <v>-41942</v>
      </c>
      <c r="I189" s="140">
        <f t="shared" si="302"/>
        <v>-41762</v>
      </c>
      <c r="J189" s="140">
        <f t="shared" si="302"/>
        <v>-41582</v>
      </c>
      <c r="K189" s="140">
        <f t="shared" si="302"/>
        <v>-41403</v>
      </c>
      <c r="L189" s="140">
        <f t="shared" si="302"/>
        <v>-41223</v>
      </c>
      <c r="M189" s="140">
        <f t="shared" si="302"/>
        <v>-41043</v>
      </c>
      <c r="N189" s="140">
        <f t="shared" si="302"/>
        <v>-40863</v>
      </c>
      <c r="O189" s="140">
        <f t="shared" si="302"/>
        <v>-40683</v>
      </c>
      <c r="P189" s="140">
        <f t="shared" si="302"/>
        <v>-40503</v>
      </c>
      <c r="Q189" s="140">
        <f t="shared" si="302"/>
        <v>-40323</v>
      </c>
      <c r="R189" s="140">
        <f t="shared" si="302"/>
        <v>-40143</v>
      </c>
      <c r="S189" s="140">
        <f t="shared" si="302"/>
        <v>-39964</v>
      </c>
      <c r="T189" s="140">
        <f t="shared" si="302"/>
        <v>-39784</v>
      </c>
      <c r="U189" s="140">
        <f t="shared" si="302"/>
        <v>-39604</v>
      </c>
      <c r="V189" s="140">
        <f t="shared" si="302"/>
        <v>-39424</v>
      </c>
      <c r="W189" s="140">
        <f t="shared" si="302"/>
        <v>-39244</v>
      </c>
      <c r="X189" s="140">
        <f t="shared" si="302"/>
        <v>-39064</v>
      </c>
      <c r="Y189" s="140">
        <f t="shared" si="302"/>
        <v>-38884</v>
      </c>
      <c r="Z189" s="140">
        <f t="shared" si="302"/>
        <v>-38704</v>
      </c>
      <c r="AA189" s="140">
        <f t="shared" si="302"/>
        <v>-38525</v>
      </c>
      <c r="AB189" s="140">
        <f t="shared" si="302"/>
        <v>-38345</v>
      </c>
      <c r="AC189" s="140">
        <f t="shared" si="302"/>
        <v>-38165</v>
      </c>
      <c r="AD189" s="140">
        <f t="shared" si="302"/>
        <v>-37985</v>
      </c>
      <c r="AE189" s="140">
        <f t="shared" si="302"/>
        <v>-37805</v>
      </c>
      <c r="AF189" s="140">
        <f t="shared" si="302"/>
        <v>-37625</v>
      </c>
      <c r="AG189" s="140">
        <f t="shared" si="302"/>
        <v>-37445</v>
      </c>
      <c r="AH189" s="140">
        <f t="shared" si="302"/>
        <v>-37265</v>
      </c>
      <c r="AI189" s="140">
        <f t="shared" si="302"/>
        <v>-37086</v>
      </c>
      <c r="AJ189" s="140">
        <f t="shared" si="302"/>
        <v>-36906</v>
      </c>
      <c r="AK189" s="140">
        <f t="shared" si="302"/>
        <v>-36726</v>
      </c>
      <c r="AL189" s="140">
        <f t="shared" si="302"/>
        <v>-36546</v>
      </c>
      <c r="AM189" s="140">
        <f t="shared" si="302"/>
        <v>-36366</v>
      </c>
      <c r="AN189" s="140">
        <f t="shared" si="302"/>
        <v>-36186</v>
      </c>
      <c r="AO189" s="140">
        <f t="shared" si="302"/>
        <v>-36006</v>
      </c>
      <c r="AP189" s="140">
        <f t="shared" si="302"/>
        <v>-35826</v>
      </c>
      <c r="AQ189" s="140">
        <f t="shared" si="302"/>
        <v>-35647</v>
      </c>
      <c r="AR189" s="140">
        <f t="shared" si="302"/>
        <v>-35467</v>
      </c>
      <c r="AS189" s="140">
        <f t="shared" si="302"/>
        <v>-35287</v>
      </c>
      <c r="AT189" s="140">
        <f t="shared" si="302"/>
        <v>-35107</v>
      </c>
      <c r="AU189" s="140">
        <f t="shared" si="302"/>
        <v>-34927</v>
      </c>
      <c r="AV189" s="140">
        <f t="shared" si="302"/>
        <v>-34747</v>
      </c>
      <c r="AW189" s="140">
        <f t="shared" si="302"/>
        <v>-34567</v>
      </c>
      <c r="AX189" s="140">
        <f t="shared" si="302"/>
        <v>-34387</v>
      </c>
      <c r="AY189" s="140">
        <f t="shared" si="302"/>
        <v>-34208</v>
      </c>
      <c r="AZ189" s="140">
        <f t="shared" si="302"/>
        <v>-34028</v>
      </c>
      <c r="BA189" s="140">
        <f t="shared" si="302"/>
        <v>-33848</v>
      </c>
      <c r="BB189" s="140">
        <f t="shared" si="302"/>
        <v>-33668</v>
      </c>
      <c r="BC189" s="140">
        <f t="shared" si="302"/>
        <v>-33488</v>
      </c>
      <c r="BD189" s="140">
        <f t="shared" si="302"/>
        <v>-33308</v>
      </c>
      <c r="BE189" s="140">
        <f t="shared" si="302"/>
        <v>-33128</v>
      </c>
      <c r="BF189" s="140">
        <f t="shared" si="302"/>
        <v>-32948</v>
      </c>
      <c r="BG189" s="140">
        <f t="shared" si="302"/>
        <v>-32769</v>
      </c>
      <c r="BH189" s="140">
        <f t="shared" si="302"/>
        <v>-32589</v>
      </c>
      <c r="BI189" s="140">
        <f t="shared" si="302"/>
        <v>-32409</v>
      </c>
      <c r="BJ189" s="140">
        <f t="shared" si="302"/>
        <v>-32229</v>
      </c>
      <c r="BK189" s="140">
        <f t="shared" si="302"/>
        <v>-32049</v>
      </c>
      <c r="BL189" s="140">
        <f t="shared" si="302"/>
        <v>-31869</v>
      </c>
      <c r="BM189" s="140">
        <f t="shared" si="302"/>
        <v>-31689</v>
      </c>
      <c r="BN189" s="140">
        <f t="shared" ref="BN189:CB189" si="303">DAYS360($B$3,BN72)</f>
        <v>-31509</v>
      </c>
      <c r="BO189" s="140">
        <f t="shared" si="303"/>
        <v>-31330</v>
      </c>
      <c r="BP189" s="140">
        <f t="shared" si="303"/>
        <v>-31150</v>
      </c>
      <c r="BQ189" s="140">
        <f t="shared" si="303"/>
        <v>-30970</v>
      </c>
      <c r="BR189" s="140">
        <f t="shared" si="303"/>
        <v>-30790</v>
      </c>
      <c r="BS189" s="140">
        <f t="shared" si="303"/>
        <v>-30610</v>
      </c>
      <c r="BT189" s="140">
        <f t="shared" si="303"/>
        <v>-30430</v>
      </c>
      <c r="BU189" s="140">
        <f t="shared" si="303"/>
        <v>-30250</v>
      </c>
      <c r="BV189" s="140">
        <f t="shared" si="303"/>
        <v>-30070</v>
      </c>
      <c r="BW189" s="140">
        <f t="shared" si="303"/>
        <v>-29891</v>
      </c>
      <c r="BX189" s="140">
        <f t="shared" si="303"/>
        <v>-29711</v>
      </c>
      <c r="BY189" s="140">
        <f t="shared" si="303"/>
        <v>-29531</v>
      </c>
      <c r="BZ189" s="140">
        <f t="shared" si="303"/>
        <v>-29351</v>
      </c>
      <c r="CA189" s="140">
        <f t="shared" si="303"/>
        <v>-29171</v>
      </c>
      <c r="CB189" s="140">
        <f t="shared" si="303"/>
        <v>-28991</v>
      </c>
      <c r="CC189" s="17"/>
      <c r="CD189" s="17"/>
      <c r="CE189" s="17"/>
    </row>
    <row r="190" spans="1:83">
      <c r="A190" s="16" t="s">
        <v>41</v>
      </c>
      <c r="B190" s="140">
        <f>B189/360</f>
        <v>-119.50555555555556</v>
      </c>
      <c r="C190" s="140">
        <f t="shared" ref="C190:BN190" si="304">C189/360</f>
        <v>-119.00555555555556</v>
      </c>
      <c r="D190" s="140">
        <f t="shared" si="304"/>
        <v>-118.50555555555556</v>
      </c>
      <c r="E190" s="140">
        <f t="shared" si="304"/>
        <v>-118.00555555555556</v>
      </c>
      <c r="F190" s="140">
        <f t="shared" si="304"/>
        <v>-117.50555555555556</v>
      </c>
      <c r="G190" s="140">
        <f t="shared" si="304"/>
        <v>-117.00555555555556</v>
      </c>
      <c r="H190" s="140">
        <f t="shared" si="304"/>
        <v>-116.50555555555556</v>
      </c>
      <c r="I190" s="140">
        <f t="shared" si="304"/>
        <v>-116.00555555555556</v>
      </c>
      <c r="J190" s="140">
        <f t="shared" si="304"/>
        <v>-115.50555555555556</v>
      </c>
      <c r="K190" s="140">
        <f t="shared" si="304"/>
        <v>-115.00833333333334</v>
      </c>
      <c r="L190" s="140">
        <f t="shared" si="304"/>
        <v>-114.50833333333334</v>
      </c>
      <c r="M190" s="140">
        <f t="shared" si="304"/>
        <v>-114.00833333333334</v>
      </c>
      <c r="N190" s="140">
        <f t="shared" si="304"/>
        <v>-113.50833333333334</v>
      </c>
      <c r="O190" s="140">
        <f t="shared" si="304"/>
        <v>-113.00833333333334</v>
      </c>
      <c r="P190" s="140">
        <f t="shared" si="304"/>
        <v>-112.50833333333334</v>
      </c>
      <c r="Q190" s="140">
        <f t="shared" si="304"/>
        <v>-112.00833333333334</v>
      </c>
      <c r="R190" s="140">
        <f t="shared" si="304"/>
        <v>-111.50833333333334</v>
      </c>
      <c r="S190" s="140">
        <f t="shared" si="304"/>
        <v>-111.01111111111111</v>
      </c>
      <c r="T190" s="140">
        <f t="shared" si="304"/>
        <v>-110.51111111111111</v>
      </c>
      <c r="U190" s="140">
        <f t="shared" si="304"/>
        <v>-110.01111111111111</v>
      </c>
      <c r="V190" s="140">
        <f t="shared" si="304"/>
        <v>-109.51111111111111</v>
      </c>
      <c r="W190" s="140">
        <f t="shared" si="304"/>
        <v>-109.01111111111111</v>
      </c>
      <c r="X190" s="140">
        <f t="shared" si="304"/>
        <v>-108.51111111111111</v>
      </c>
      <c r="Y190" s="140">
        <f t="shared" si="304"/>
        <v>-108.01111111111111</v>
      </c>
      <c r="Z190" s="140">
        <f t="shared" si="304"/>
        <v>-107.51111111111111</v>
      </c>
      <c r="AA190" s="140">
        <f t="shared" si="304"/>
        <v>-107.01388888888889</v>
      </c>
      <c r="AB190" s="140">
        <f t="shared" si="304"/>
        <v>-106.51388888888889</v>
      </c>
      <c r="AC190" s="140">
        <f t="shared" si="304"/>
        <v>-106.01388888888889</v>
      </c>
      <c r="AD190" s="140">
        <f t="shared" si="304"/>
        <v>-105.51388888888889</v>
      </c>
      <c r="AE190" s="140">
        <f t="shared" si="304"/>
        <v>-105.01388888888889</v>
      </c>
      <c r="AF190" s="140">
        <f t="shared" si="304"/>
        <v>-104.51388888888889</v>
      </c>
      <c r="AG190" s="140">
        <f t="shared" si="304"/>
        <v>-104.01388888888889</v>
      </c>
      <c r="AH190" s="140">
        <f t="shared" si="304"/>
        <v>-103.51388888888889</v>
      </c>
      <c r="AI190" s="140">
        <f t="shared" si="304"/>
        <v>-103.01666666666667</v>
      </c>
      <c r="AJ190" s="140">
        <f t="shared" si="304"/>
        <v>-102.51666666666667</v>
      </c>
      <c r="AK190" s="140">
        <f t="shared" si="304"/>
        <v>-102.01666666666667</v>
      </c>
      <c r="AL190" s="140">
        <f t="shared" si="304"/>
        <v>-101.51666666666667</v>
      </c>
      <c r="AM190" s="140">
        <f t="shared" si="304"/>
        <v>-101.01666666666667</v>
      </c>
      <c r="AN190" s="140">
        <f t="shared" si="304"/>
        <v>-100.51666666666667</v>
      </c>
      <c r="AO190" s="140">
        <f t="shared" si="304"/>
        <v>-100.01666666666667</v>
      </c>
      <c r="AP190" s="140">
        <f t="shared" si="304"/>
        <v>-99.516666666666666</v>
      </c>
      <c r="AQ190" s="140">
        <f t="shared" si="304"/>
        <v>-99.019444444444446</v>
      </c>
      <c r="AR190" s="140">
        <f t="shared" si="304"/>
        <v>-98.519444444444446</v>
      </c>
      <c r="AS190" s="140">
        <f t="shared" si="304"/>
        <v>-98.019444444444446</v>
      </c>
      <c r="AT190" s="140">
        <f t="shared" si="304"/>
        <v>-97.519444444444446</v>
      </c>
      <c r="AU190" s="140">
        <f t="shared" si="304"/>
        <v>-97.019444444444446</v>
      </c>
      <c r="AV190" s="140">
        <f t="shared" si="304"/>
        <v>-96.519444444444446</v>
      </c>
      <c r="AW190" s="140">
        <f t="shared" si="304"/>
        <v>-96.019444444444446</v>
      </c>
      <c r="AX190" s="140">
        <f t="shared" si="304"/>
        <v>-95.519444444444446</v>
      </c>
      <c r="AY190" s="140">
        <f t="shared" si="304"/>
        <v>-95.022222222222226</v>
      </c>
      <c r="AZ190" s="140">
        <f t="shared" si="304"/>
        <v>-94.522222222222226</v>
      </c>
      <c r="BA190" s="140">
        <f t="shared" si="304"/>
        <v>-94.022222222222226</v>
      </c>
      <c r="BB190" s="140">
        <f t="shared" si="304"/>
        <v>-93.522222222222226</v>
      </c>
      <c r="BC190" s="140">
        <f t="shared" si="304"/>
        <v>-93.022222222222226</v>
      </c>
      <c r="BD190" s="140">
        <f t="shared" si="304"/>
        <v>-92.522222222222226</v>
      </c>
      <c r="BE190" s="140">
        <f t="shared" si="304"/>
        <v>-92.022222222222226</v>
      </c>
      <c r="BF190" s="140">
        <f t="shared" si="304"/>
        <v>-91.522222222222226</v>
      </c>
      <c r="BG190" s="140">
        <f t="shared" si="304"/>
        <v>-91.025000000000006</v>
      </c>
      <c r="BH190" s="140">
        <f t="shared" si="304"/>
        <v>-90.525000000000006</v>
      </c>
      <c r="BI190" s="140">
        <f t="shared" si="304"/>
        <v>-90.025000000000006</v>
      </c>
      <c r="BJ190" s="140">
        <f t="shared" si="304"/>
        <v>-89.525000000000006</v>
      </c>
      <c r="BK190" s="140">
        <f t="shared" si="304"/>
        <v>-89.025000000000006</v>
      </c>
      <c r="BL190" s="140">
        <f t="shared" si="304"/>
        <v>-88.525000000000006</v>
      </c>
      <c r="BM190" s="140">
        <f t="shared" si="304"/>
        <v>-88.025000000000006</v>
      </c>
      <c r="BN190" s="140">
        <f t="shared" si="304"/>
        <v>-87.525000000000006</v>
      </c>
      <c r="BO190" s="140">
        <f t="shared" ref="BO190:CB190" si="305">BO189/360</f>
        <v>-87.027777777777771</v>
      </c>
      <c r="BP190" s="140">
        <f t="shared" si="305"/>
        <v>-86.527777777777771</v>
      </c>
      <c r="BQ190" s="140">
        <f t="shared" si="305"/>
        <v>-86.027777777777771</v>
      </c>
      <c r="BR190" s="140">
        <f t="shared" si="305"/>
        <v>-85.527777777777771</v>
      </c>
      <c r="BS190" s="140">
        <f t="shared" si="305"/>
        <v>-85.027777777777771</v>
      </c>
      <c r="BT190" s="140">
        <f t="shared" si="305"/>
        <v>-84.527777777777771</v>
      </c>
      <c r="BU190" s="140">
        <f t="shared" si="305"/>
        <v>-84.027777777777771</v>
      </c>
      <c r="BV190" s="140">
        <f t="shared" si="305"/>
        <v>-83.527777777777771</v>
      </c>
      <c r="BW190" s="140">
        <f t="shared" si="305"/>
        <v>-83.030555555555551</v>
      </c>
      <c r="BX190" s="140">
        <f t="shared" si="305"/>
        <v>-82.530555555555551</v>
      </c>
      <c r="BY190" s="140">
        <f t="shared" si="305"/>
        <v>-82.030555555555551</v>
      </c>
      <c r="BZ190" s="140">
        <f t="shared" si="305"/>
        <v>-81.530555555555551</v>
      </c>
      <c r="CA190" s="140">
        <f t="shared" si="305"/>
        <v>-81.030555555555551</v>
      </c>
      <c r="CB190" s="140">
        <f t="shared" si="305"/>
        <v>-80.530555555555551</v>
      </c>
      <c r="CC190" s="17"/>
      <c r="CD190" s="17"/>
      <c r="CE190" s="17"/>
    </row>
    <row r="191" spans="1:83">
      <c r="A191" s="16" t="s">
        <v>43</v>
      </c>
      <c r="B191" s="140">
        <f>IF(B189&lt;0,0,$B$5+$B$6*((1-EXP(-B190/$B$9))/(B190/$B$9))+$B$7*((1-EXP(-B190/$B$9))/(B190/$B$9)-EXP(-B190/$B$9))+$B$8*((1-EXP(-B190/$B$10))/(B190/$B$10)-EXP(-B190/$B$10)))</f>
        <v>0</v>
      </c>
      <c r="C191" s="140">
        <f t="shared" ref="C191:BN191" si="306">IF(C189&lt;0,0,$B$5+$B$6*((1-EXP(-C190/$B$9))/(C190/$B$9))+$B$7*((1-EXP(-C190/$B$9))/(C190/$B$9)-EXP(-C190/$B$9))+$B$8*((1-EXP(-C190/$B$10))/(C190/$B$10)-EXP(-C190/$B$10)))</f>
        <v>0</v>
      </c>
      <c r="D191" s="140">
        <f t="shared" si="306"/>
        <v>0</v>
      </c>
      <c r="E191" s="140">
        <f t="shared" si="306"/>
        <v>0</v>
      </c>
      <c r="F191" s="140">
        <f t="shared" si="306"/>
        <v>0</v>
      </c>
      <c r="G191" s="140">
        <f t="shared" si="306"/>
        <v>0</v>
      </c>
      <c r="H191" s="140">
        <f t="shared" si="306"/>
        <v>0</v>
      </c>
      <c r="I191" s="140">
        <f t="shared" si="306"/>
        <v>0</v>
      </c>
      <c r="J191" s="140">
        <f t="shared" si="306"/>
        <v>0</v>
      </c>
      <c r="K191" s="140">
        <f t="shared" si="306"/>
        <v>0</v>
      </c>
      <c r="L191" s="140">
        <f t="shared" si="306"/>
        <v>0</v>
      </c>
      <c r="M191" s="140">
        <f t="shared" si="306"/>
        <v>0</v>
      </c>
      <c r="N191" s="140">
        <f t="shared" si="306"/>
        <v>0</v>
      </c>
      <c r="O191" s="140">
        <f t="shared" si="306"/>
        <v>0</v>
      </c>
      <c r="P191" s="140">
        <f t="shared" si="306"/>
        <v>0</v>
      </c>
      <c r="Q191" s="140">
        <f t="shared" si="306"/>
        <v>0</v>
      </c>
      <c r="R191" s="140">
        <f t="shared" si="306"/>
        <v>0</v>
      </c>
      <c r="S191" s="140">
        <f t="shared" si="306"/>
        <v>0</v>
      </c>
      <c r="T191" s="140">
        <f t="shared" si="306"/>
        <v>0</v>
      </c>
      <c r="U191" s="140">
        <f t="shared" si="306"/>
        <v>0</v>
      </c>
      <c r="V191" s="140">
        <f t="shared" si="306"/>
        <v>0</v>
      </c>
      <c r="W191" s="140">
        <f t="shared" si="306"/>
        <v>0</v>
      </c>
      <c r="X191" s="140">
        <f t="shared" si="306"/>
        <v>0</v>
      </c>
      <c r="Y191" s="140">
        <f t="shared" si="306"/>
        <v>0</v>
      </c>
      <c r="Z191" s="140">
        <f t="shared" si="306"/>
        <v>0</v>
      </c>
      <c r="AA191" s="140">
        <f t="shared" si="306"/>
        <v>0</v>
      </c>
      <c r="AB191" s="140">
        <f t="shared" si="306"/>
        <v>0</v>
      </c>
      <c r="AC191" s="140">
        <f t="shared" si="306"/>
        <v>0</v>
      </c>
      <c r="AD191" s="140">
        <f t="shared" si="306"/>
        <v>0</v>
      </c>
      <c r="AE191" s="140">
        <f t="shared" si="306"/>
        <v>0</v>
      </c>
      <c r="AF191" s="140">
        <f t="shared" si="306"/>
        <v>0</v>
      </c>
      <c r="AG191" s="140">
        <f t="shared" si="306"/>
        <v>0</v>
      </c>
      <c r="AH191" s="140">
        <f t="shared" si="306"/>
        <v>0</v>
      </c>
      <c r="AI191" s="140">
        <f t="shared" si="306"/>
        <v>0</v>
      </c>
      <c r="AJ191" s="140">
        <f t="shared" si="306"/>
        <v>0</v>
      </c>
      <c r="AK191" s="140">
        <f t="shared" si="306"/>
        <v>0</v>
      </c>
      <c r="AL191" s="140">
        <f t="shared" si="306"/>
        <v>0</v>
      </c>
      <c r="AM191" s="140">
        <f t="shared" si="306"/>
        <v>0</v>
      </c>
      <c r="AN191" s="140">
        <f t="shared" si="306"/>
        <v>0</v>
      </c>
      <c r="AO191" s="140">
        <f t="shared" si="306"/>
        <v>0</v>
      </c>
      <c r="AP191" s="140">
        <f t="shared" si="306"/>
        <v>0</v>
      </c>
      <c r="AQ191" s="140">
        <f t="shared" si="306"/>
        <v>0</v>
      </c>
      <c r="AR191" s="140">
        <f t="shared" si="306"/>
        <v>0</v>
      </c>
      <c r="AS191" s="140">
        <f t="shared" si="306"/>
        <v>0</v>
      </c>
      <c r="AT191" s="140">
        <f t="shared" si="306"/>
        <v>0</v>
      </c>
      <c r="AU191" s="140">
        <f t="shared" si="306"/>
        <v>0</v>
      </c>
      <c r="AV191" s="140">
        <f t="shared" si="306"/>
        <v>0</v>
      </c>
      <c r="AW191" s="140">
        <f t="shared" si="306"/>
        <v>0</v>
      </c>
      <c r="AX191" s="140">
        <f t="shared" si="306"/>
        <v>0</v>
      </c>
      <c r="AY191" s="140">
        <f t="shared" si="306"/>
        <v>0</v>
      </c>
      <c r="AZ191" s="140">
        <f t="shared" si="306"/>
        <v>0</v>
      </c>
      <c r="BA191" s="140">
        <f t="shared" si="306"/>
        <v>0</v>
      </c>
      <c r="BB191" s="140">
        <f t="shared" si="306"/>
        <v>0</v>
      </c>
      <c r="BC191" s="140">
        <f t="shared" si="306"/>
        <v>0</v>
      </c>
      <c r="BD191" s="140">
        <f t="shared" si="306"/>
        <v>0</v>
      </c>
      <c r="BE191" s="140">
        <f t="shared" si="306"/>
        <v>0</v>
      </c>
      <c r="BF191" s="140">
        <f t="shared" si="306"/>
        <v>0</v>
      </c>
      <c r="BG191" s="140">
        <f t="shared" si="306"/>
        <v>0</v>
      </c>
      <c r="BH191" s="140">
        <f t="shared" si="306"/>
        <v>0</v>
      </c>
      <c r="BI191" s="140">
        <f t="shared" si="306"/>
        <v>0</v>
      </c>
      <c r="BJ191" s="140">
        <f t="shared" si="306"/>
        <v>0</v>
      </c>
      <c r="BK191" s="140">
        <f t="shared" si="306"/>
        <v>0</v>
      </c>
      <c r="BL191" s="140">
        <f t="shared" si="306"/>
        <v>0</v>
      </c>
      <c r="BM191" s="140">
        <f t="shared" si="306"/>
        <v>0</v>
      </c>
      <c r="BN191" s="140">
        <f t="shared" si="306"/>
        <v>0</v>
      </c>
      <c r="BO191" s="140">
        <f t="shared" ref="BO191:CB191" si="307">IF(BO189&lt;0,0,$B$5+$B$6*((1-EXP(-BO190/$B$9))/(BO190/$B$9))+$B$7*((1-EXP(-BO190/$B$9))/(BO190/$B$9)-EXP(-BO190/$B$9))+$B$8*((1-EXP(-BO190/$B$10))/(BO190/$B$10)-EXP(-BO190/$B$10)))</f>
        <v>0</v>
      </c>
      <c r="BP191" s="140">
        <f t="shared" si="307"/>
        <v>0</v>
      </c>
      <c r="BQ191" s="140">
        <f t="shared" si="307"/>
        <v>0</v>
      </c>
      <c r="BR191" s="140">
        <f t="shared" si="307"/>
        <v>0</v>
      </c>
      <c r="BS191" s="140">
        <f t="shared" si="307"/>
        <v>0</v>
      </c>
      <c r="BT191" s="140">
        <f t="shared" si="307"/>
        <v>0</v>
      </c>
      <c r="BU191" s="140">
        <f t="shared" si="307"/>
        <v>0</v>
      </c>
      <c r="BV191" s="140">
        <f t="shared" si="307"/>
        <v>0</v>
      </c>
      <c r="BW191" s="140">
        <f t="shared" si="307"/>
        <v>0</v>
      </c>
      <c r="BX191" s="140">
        <f t="shared" si="307"/>
        <v>0</v>
      </c>
      <c r="BY191" s="140">
        <f t="shared" si="307"/>
        <v>0</v>
      </c>
      <c r="BZ191" s="140">
        <f t="shared" si="307"/>
        <v>0</v>
      </c>
      <c r="CA191" s="140">
        <f t="shared" si="307"/>
        <v>0</v>
      </c>
      <c r="CB191" s="140">
        <f t="shared" si="307"/>
        <v>0</v>
      </c>
      <c r="CC191" s="17"/>
      <c r="CD191" s="17"/>
      <c r="CE191" s="17"/>
    </row>
    <row r="192" spans="1:83">
      <c r="A192" s="16" t="s">
        <v>44</v>
      </c>
      <c r="B192" s="140">
        <f>EXP(-B191*B190)</f>
        <v>1</v>
      </c>
      <c r="C192" s="140">
        <f t="shared" ref="C192:AR192" si="308">EXP(-C191*C190)</f>
        <v>1</v>
      </c>
      <c r="D192" s="140">
        <f t="shared" si="308"/>
        <v>1</v>
      </c>
      <c r="E192" s="140">
        <f t="shared" si="308"/>
        <v>1</v>
      </c>
      <c r="F192" s="140">
        <f t="shared" si="308"/>
        <v>1</v>
      </c>
      <c r="G192" s="140">
        <f t="shared" si="308"/>
        <v>1</v>
      </c>
      <c r="H192" s="140">
        <f t="shared" si="308"/>
        <v>1</v>
      </c>
      <c r="I192" s="140">
        <f t="shared" si="308"/>
        <v>1</v>
      </c>
      <c r="J192" s="140">
        <f t="shared" si="308"/>
        <v>1</v>
      </c>
      <c r="K192" s="140">
        <f t="shared" si="308"/>
        <v>1</v>
      </c>
      <c r="L192" s="140">
        <f t="shared" si="308"/>
        <v>1</v>
      </c>
      <c r="M192" s="140">
        <f t="shared" si="308"/>
        <v>1</v>
      </c>
      <c r="N192" s="140">
        <f t="shared" si="308"/>
        <v>1</v>
      </c>
      <c r="O192" s="140">
        <f t="shared" si="308"/>
        <v>1</v>
      </c>
      <c r="P192" s="140">
        <f t="shared" si="308"/>
        <v>1</v>
      </c>
      <c r="Q192" s="140">
        <f t="shared" si="308"/>
        <v>1</v>
      </c>
      <c r="R192" s="140">
        <f t="shared" si="308"/>
        <v>1</v>
      </c>
      <c r="S192" s="140">
        <f t="shared" si="308"/>
        <v>1</v>
      </c>
      <c r="T192" s="140">
        <f t="shared" si="308"/>
        <v>1</v>
      </c>
      <c r="U192" s="140">
        <f t="shared" si="308"/>
        <v>1</v>
      </c>
      <c r="V192" s="140">
        <f t="shared" si="308"/>
        <v>1</v>
      </c>
      <c r="W192" s="140">
        <f t="shared" si="308"/>
        <v>1</v>
      </c>
      <c r="X192" s="140">
        <f t="shared" si="308"/>
        <v>1</v>
      </c>
      <c r="Y192" s="140">
        <f t="shared" si="308"/>
        <v>1</v>
      </c>
      <c r="Z192" s="140">
        <f t="shared" si="308"/>
        <v>1</v>
      </c>
      <c r="AA192" s="140">
        <f t="shared" si="308"/>
        <v>1</v>
      </c>
      <c r="AB192" s="140">
        <f t="shared" si="308"/>
        <v>1</v>
      </c>
      <c r="AC192" s="140">
        <f t="shared" si="308"/>
        <v>1</v>
      </c>
      <c r="AD192" s="140">
        <f t="shared" si="308"/>
        <v>1</v>
      </c>
      <c r="AE192" s="140">
        <f t="shared" si="308"/>
        <v>1</v>
      </c>
      <c r="AF192" s="140">
        <f t="shared" si="308"/>
        <v>1</v>
      </c>
      <c r="AG192" s="140">
        <f t="shared" si="308"/>
        <v>1</v>
      </c>
      <c r="AH192" s="140">
        <f t="shared" si="308"/>
        <v>1</v>
      </c>
      <c r="AI192" s="140">
        <f t="shared" si="308"/>
        <v>1</v>
      </c>
      <c r="AJ192" s="140">
        <f t="shared" si="308"/>
        <v>1</v>
      </c>
      <c r="AK192" s="140">
        <f t="shared" si="308"/>
        <v>1</v>
      </c>
      <c r="AL192" s="140">
        <f t="shared" si="308"/>
        <v>1</v>
      </c>
      <c r="AM192" s="140">
        <f t="shared" si="308"/>
        <v>1</v>
      </c>
      <c r="AN192" s="140">
        <f t="shared" si="308"/>
        <v>1</v>
      </c>
      <c r="AO192" s="140">
        <f t="shared" si="308"/>
        <v>1</v>
      </c>
      <c r="AP192" s="140">
        <f t="shared" si="308"/>
        <v>1</v>
      </c>
      <c r="AQ192" s="140">
        <f t="shared" si="308"/>
        <v>1</v>
      </c>
      <c r="AR192" s="140">
        <f t="shared" si="308"/>
        <v>1</v>
      </c>
      <c r="AS192" s="140">
        <f>EXP(-AS191*AS190)</f>
        <v>1</v>
      </c>
      <c r="AT192" s="140">
        <f t="shared" ref="AT192:CA192" si="309">EXP(-AT191*AT190)</f>
        <v>1</v>
      </c>
      <c r="AU192" s="140">
        <f t="shared" si="309"/>
        <v>1</v>
      </c>
      <c r="AV192" s="140">
        <f t="shared" si="309"/>
        <v>1</v>
      </c>
      <c r="AW192" s="140">
        <f t="shared" si="309"/>
        <v>1</v>
      </c>
      <c r="AX192" s="140">
        <f t="shared" si="309"/>
        <v>1</v>
      </c>
      <c r="AY192" s="140">
        <f t="shared" si="309"/>
        <v>1</v>
      </c>
      <c r="AZ192" s="140">
        <f t="shared" si="309"/>
        <v>1</v>
      </c>
      <c r="BA192" s="140">
        <f t="shared" si="309"/>
        <v>1</v>
      </c>
      <c r="BB192" s="140">
        <f t="shared" si="309"/>
        <v>1</v>
      </c>
      <c r="BC192" s="140">
        <f t="shared" si="309"/>
        <v>1</v>
      </c>
      <c r="BD192" s="140">
        <f t="shared" si="309"/>
        <v>1</v>
      </c>
      <c r="BE192" s="140">
        <f t="shared" si="309"/>
        <v>1</v>
      </c>
      <c r="BF192" s="140">
        <f t="shared" si="309"/>
        <v>1</v>
      </c>
      <c r="BG192" s="140">
        <f t="shared" si="309"/>
        <v>1</v>
      </c>
      <c r="BH192" s="140">
        <f t="shared" si="309"/>
        <v>1</v>
      </c>
      <c r="BI192" s="140">
        <f t="shared" si="309"/>
        <v>1</v>
      </c>
      <c r="BJ192" s="140">
        <f t="shared" si="309"/>
        <v>1</v>
      </c>
      <c r="BK192" s="140">
        <f t="shared" si="309"/>
        <v>1</v>
      </c>
      <c r="BL192" s="140">
        <f t="shared" si="309"/>
        <v>1</v>
      </c>
      <c r="BM192" s="140">
        <f t="shared" si="309"/>
        <v>1</v>
      </c>
      <c r="BN192" s="140">
        <f t="shared" si="309"/>
        <v>1</v>
      </c>
      <c r="BO192" s="140">
        <f t="shared" si="309"/>
        <v>1</v>
      </c>
      <c r="BP192" s="140">
        <f t="shared" si="309"/>
        <v>1</v>
      </c>
      <c r="BQ192" s="140">
        <f t="shared" si="309"/>
        <v>1</v>
      </c>
      <c r="BR192" s="140">
        <f t="shared" si="309"/>
        <v>1</v>
      </c>
      <c r="BS192" s="140">
        <f t="shared" si="309"/>
        <v>1</v>
      </c>
      <c r="BT192" s="140">
        <f t="shared" si="309"/>
        <v>1</v>
      </c>
      <c r="BU192" s="140">
        <f t="shared" si="309"/>
        <v>1</v>
      </c>
      <c r="BV192" s="140">
        <f t="shared" si="309"/>
        <v>1</v>
      </c>
      <c r="BW192" s="140">
        <f t="shared" si="309"/>
        <v>1</v>
      </c>
      <c r="BX192" s="140">
        <f t="shared" si="309"/>
        <v>1</v>
      </c>
      <c r="BY192" s="140">
        <f t="shared" si="309"/>
        <v>1</v>
      </c>
      <c r="BZ192" s="140">
        <f t="shared" si="309"/>
        <v>1</v>
      </c>
      <c r="CA192" s="140">
        <f t="shared" si="309"/>
        <v>1</v>
      </c>
      <c r="CB192" s="140">
        <f>EXP(-CB191*CB190)</f>
        <v>1</v>
      </c>
      <c r="CC192" s="17"/>
      <c r="CD192" s="17"/>
      <c r="CE192" s="17"/>
    </row>
    <row r="193" spans="1:83">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c r="BE193" s="17"/>
      <c r="BF193" s="17"/>
      <c r="BG193" s="17"/>
      <c r="BH193" s="17"/>
      <c r="BI193" s="17"/>
      <c r="BJ193" s="17"/>
      <c r="BK193" s="17"/>
      <c r="BL193" s="17"/>
      <c r="BM193" s="17"/>
      <c r="BN193" s="17"/>
      <c r="BO193" s="17"/>
      <c r="BP193" s="17"/>
      <c r="BQ193" s="17"/>
      <c r="BR193" s="17"/>
      <c r="BS193" s="17"/>
      <c r="BT193" s="17"/>
      <c r="BU193" s="17"/>
      <c r="BV193" s="17"/>
      <c r="BW193" s="17"/>
      <c r="BX193" s="17"/>
      <c r="BY193" s="17"/>
      <c r="BZ193" s="17"/>
      <c r="CA193" s="17"/>
      <c r="CB193" s="17"/>
      <c r="CC193" s="17"/>
      <c r="CD193" s="17"/>
      <c r="CE193" s="17"/>
    </row>
    <row r="194" spans="1:83">
      <c r="A194" s="16" t="s">
        <v>40</v>
      </c>
      <c r="B194" s="140">
        <f>DAYS360($B$3,B74)</f>
        <v>-43022</v>
      </c>
      <c r="C194" s="140">
        <f t="shared" ref="C194:BN194" si="310">DAYS360($B$3,C74)</f>
        <v>-42842</v>
      </c>
      <c r="D194" s="140">
        <f t="shared" si="310"/>
        <v>-42662</v>
      </c>
      <c r="E194" s="140">
        <f t="shared" si="310"/>
        <v>-42482</v>
      </c>
      <c r="F194" s="140">
        <f t="shared" si="310"/>
        <v>-42302</v>
      </c>
      <c r="G194" s="140">
        <f t="shared" si="310"/>
        <v>-42122</v>
      </c>
      <c r="H194" s="140">
        <f t="shared" si="310"/>
        <v>-41942</v>
      </c>
      <c r="I194" s="140">
        <f t="shared" si="310"/>
        <v>-41762</v>
      </c>
      <c r="J194" s="140">
        <f t="shared" si="310"/>
        <v>-41582</v>
      </c>
      <c r="K194" s="140">
        <f t="shared" si="310"/>
        <v>-41403</v>
      </c>
      <c r="L194" s="140">
        <f t="shared" si="310"/>
        <v>-41223</v>
      </c>
      <c r="M194" s="140">
        <f t="shared" si="310"/>
        <v>-41043</v>
      </c>
      <c r="N194" s="140">
        <f t="shared" si="310"/>
        <v>-40863</v>
      </c>
      <c r="O194" s="140">
        <f t="shared" si="310"/>
        <v>-40683</v>
      </c>
      <c r="P194" s="140">
        <f t="shared" si="310"/>
        <v>-40503</v>
      </c>
      <c r="Q194" s="140">
        <f t="shared" si="310"/>
        <v>-40323</v>
      </c>
      <c r="R194" s="140">
        <f t="shared" si="310"/>
        <v>-40143</v>
      </c>
      <c r="S194" s="140">
        <f t="shared" si="310"/>
        <v>-39964</v>
      </c>
      <c r="T194" s="140">
        <f t="shared" si="310"/>
        <v>-39784</v>
      </c>
      <c r="U194" s="140">
        <f t="shared" si="310"/>
        <v>-39604</v>
      </c>
      <c r="V194" s="140">
        <f t="shared" si="310"/>
        <v>-39424</v>
      </c>
      <c r="W194" s="140">
        <f t="shared" si="310"/>
        <v>-39244</v>
      </c>
      <c r="X194" s="140">
        <f t="shared" si="310"/>
        <v>-39064</v>
      </c>
      <c r="Y194" s="140">
        <f t="shared" si="310"/>
        <v>-38884</v>
      </c>
      <c r="Z194" s="140">
        <f t="shared" si="310"/>
        <v>-38704</v>
      </c>
      <c r="AA194" s="140">
        <f t="shared" si="310"/>
        <v>-38525</v>
      </c>
      <c r="AB194" s="140">
        <f t="shared" si="310"/>
        <v>-38345</v>
      </c>
      <c r="AC194" s="140">
        <f t="shared" si="310"/>
        <v>-38165</v>
      </c>
      <c r="AD194" s="140">
        <f t="shared" si="310"/>
        <v>-37985</v>
      </c>
      <c r="AE194" s="140">
        <f t="shared" si="310"/>
        <v>-37805</v>
      </c>
      <c r="AF194" s="140">
        <f t="shared" si="310"/>
        <v>-37625</v>
      </c>
      <c r="AG194" s="140">
        <f t="shared" si="310"/>
        <v>-37445</v>
      </c>
      <c r="AH194" s="140">
        <f t="shared" si="310"/>
        <v>-37265</v>
      </c>
      <c r="AI194" s="140">
        <f t="shared" si="310"/>
        <v>-37086</v>
      </c>
      <c r="AJ194" s="140">
        <f t="shared" si="310"/>
        <v>-36906</v>
      </c>
      <c r="AK194" s="140">
        <f t="shared" si="310"/>
        <v>-36726</v>
      </c>
      <c r="AL194" s="140">
        <f t="shared" si="310"/>
        <v>-36546</v>
      </c>
      <c r="AM194" s="140">
        <f t="shared" si="310"/>
        <v>-36366</v>
      </c>
      <c r="AN194" s="140">
        <f t="shared" si="310"/>
        <v>-36186</v>
      </c>
      <c r="AO194" s="140">
        <f t="shared" si="310"/>
        <v>-36006</v>
      </c>
      <c r="AP194" s="140">
        <f t="shared" si="310"/>
        <v>-35826</v>
      </c>
      <c r="AQ194" s="140">
        <f t="shared" si="310"/>
        <v>-35647</v>
      </c>
      <c r="AR194" s="140">
        <f t="shared" si="310"/>
        <v>-35467</v>
      </c>
      <c r="AS194" s="140">
        <f t="shared" si="310"/>
        <v>-35287</v>
      </c>
      <c r="AT194" s="140">
        <f t="shared" si="310"/>
        <v>-35107</v>
      </c>
      <c r="AU194" s="140">
        <f t="shared" si="310"/>
        <v>-34927</v>
      </c>
      <c r="AV194" s="140">
        <f t="shared" si="310"/>
        <v>-34747</v>
      </c>
      <c r="AW194" s="140">
        <f t="shared" si="310"/>
        <v>-34567</v>
      </c>
      <c r="AX194" s="140">
        <f t="shared" si="310"/>
        <v>-34387</v>
      </c>
      <c r="AY194" s="140">
        <f t="shared" si="310"/>
        <v>-34208</v>
      </c>
      <c r="AZ194" s="140">
        <f t="shared" si="310"/>
        <v>-34028</v>
      </c>
      <c r="BA194" s="140">
        <f t="shared" si="310"/>
        <v>-33848</v>
      </c>
      <c r="BB194" s="140">
        <f t="shared" si="310"/>
        <v>-33668</v>
      </c>
      <c r="BC194" s="140">
        <f t="shared" si="310"/>
        <v>-33488</v>
      </c>
      <c r="BD194" s="140">
        <f t="shared" si="310"/>
        <v>-33308</v>
      </c>
      <c r="BE194" s="140">
        <f t="shared" si="310"/>
        <v>-33128</v>
      </c>
      <c r="BF194" s="140">
        <f t="shared" si="310"/>
        <v>-32948</v>
      </c>
      <c r="BG194" s="140">
        <f t="shared" si="310"/>
        <v>-32769</v>
      </c>
      <c r="BH194" s="140">
        <f t="shared" si="310"/>
        <v>-32589</v>
      </c>
      <c r="BI194" s="140">
        <f t="shared" si="310"/>
        <v>-32409</v>
      </c>
      <c r="BJ194" s="140">
        <f t="shared" si="310"/>
        <v>-32229</v>
      </c>
      <c r="BK194" s="140">
        <f t="shared" si="310"/>
        <v>-32049</v>
      </c>
      <c r="BL194" s="140">
        <f t="shared" si="310"/>
        <v>-31869</v>
      </c>
      <c r="BM194" s="140">
        <f t="shared" si="310"/>
        <v>-31689</v>
      </c>
      <c r="BN194" s="140">
        <f t="shared" si="310"/>
        <v>-31509</v>
      </c>
      <c r="BO194" s="140">
        <f t="shared" ref="BO194:CB194" si="311">DAYS360($B$3,BO74)</f>
        <v>-31330</v>
      </c>
      <c r="BP194" s="140">
        <f t="shared" si="311"/>
        <v>-31150</v>
      </c>
      <c r="BQ194" s="140">
        <f t="shared" si="311"/>
        <v>-30970</v>
      </c>
      <c r="BR194" s="140">
        <f t="shared" si="311"/>
        <v>-30790</v>
      </c>
      <c r="BS194" s="140">
        <f t="shared" si="311"/>
        <v>-30610</v>
      </c>
      <c r="BT194" s="140">
        <f t="shared" si="311"/>
        <v>-30430</v>
      </c>
      <c r="BU194" s="140">
        <f t="shared" si="311"/>
        <v>-30250</v>
      </c>
      <c r="BV194" s="140">
        <f t="shared" si="311"/>
        <v>-30070</v>
      </c>
      <c r="BW194" s="140">
        <f t="shared" si="311"/>
        <v>-29891</v>
      </c>
      <c r="BX194" s="140">
        <f t="shared" si="311"/>
        <v>-29711</v>
      </c>
      <c r="BY194" s="140">
        <f t="shared" si="311"/>
        <v>-29531</v>
      </c>
      <c r="BZ194" s="140">
        <f t="shared" si="311"/>
        <v>-29351</v>
      </c>
      <c r="CA194" s="140">
        <f t="shared" si="311"/>
        <v>-29171</v>
      </c>
      <c r="CB194" s="140">
        <f t="shared" si="311"/>
        <v>-28991</v>
      </c>
      <c r="CC194" s="17"/>
      <c r="CD194" s="17"/>
      <c r="CE194" s="17"/>
    </row>
    <row r="195" spans="1:83">
      <c r="A195" s="16" t="s">
        <v>41</v>
      </c>
      <c r="B195" s="140">
        <f>B194/360</f>
        <v>-119.50555555555556</v>
      </c>
      <c r="C195" s="140">
        <f t="shared" ref="C195:BN195" si="312">C194/360</f>
        <v>-119.00555555555556</v>
      </c>
      <c r="D195" s="140">
        <f t="shared" si="312"/>
        <v>-118.50555555555556</v>
      </c>
      <c r="E195" s="140">
        <f t="shared" si="312"/>
        <v>-118.00555555555556</v>
      </c>
      <c r="F195" s="140">
        <f t="shared" si="312"/>
        <v>-117.50555555555556</v>
      </c>
      <c r="G195" s="140">
        <f t="shared" si="312"/>
        <v>-117.00555555555556</v>
      </c>
      <c r="H195" s="140">
        <f t="shared" si="312"/>
        <v>-116.50555555555556</v>
      </c>
      <c r="I195" s="140">
        <f t="shared" si="312"/>
        <v>-116.00555555555556</v>
      </c>
      <c r="J195" s="140">
        <f t="shared" si="312"/>
        <v>-115.50555555555556</v>
      </c>
      <c r="K195" s="140">
        <f t="shared" si="312"/>
        <v>-115.00833333333334</v>
      </c>
      <c r="L195" s="140">
        <f t="shared" si="312"/>
        <v>-114.50833333333334</v>
      </c>
      <c r="M195" s="140">
        <f t="shared" si="312"/>
        <v>-114.00833333333334</v>
      </c>
      <c r="N195" s="140">
        <f t="shared" si="312"/>
        <v>-113.50833333333334</v>
      </c>
      <c r="O195" s="140">
        <f t="shared" si="312"/>
        <v>-113.00833333333334</v>
      </c>
      <c r="P195" s="140">
        <f t="shared" si="312"/>
        <v>-112.50833333333334</v>
      </c>
      <c r="Q195" s="140">
        <f t="shared" si="312"/>
        <v>-112.00833333333334</v>
      </c>
      <c r="R195" s="140">
        <f t="shared" si="312"/>
        <v>-111.50833333333334</v>
      </c>
      <c r="S195" s="140">
        <f t="shared" si="312"/>
        <v>-111.01111111111111</v>
      </c>
      <c r="T195" s="140">
        <f t="shared" si="312"/>
        <v>-110.51111111111111</v>
      </c>
      <c r="U195" s="140">
        <f t="shared" si="312"/>
        <v>-110.01111111111111</v>
      </c>
      <c r="V195" s="140">
        <f t="shared" si="312"/>
        <v>-109.51111111111111</v>
      </c>
      <c r="W195" s="140">
        <f t="shared" si="312"/>
        <v>-109.01111111111111</v>
      </c>
      <c r="X195" s="140">
        <f t="shared" si="312"/>
        <v>-108.51111111111111</v>
      </c>
      <c r="Y195" s="140">
        <f t="shared" si="312"/>
        <v>-108.01111111111111</v>
      </c>
      <c r="Z195" s="140">
        <f t="shared" si="312"/>
        <v>-107.51111111111111</v>
      </c>
      <c r="AA195" s="140">
        <f t="shared" si="312"/>
        <v>-107.01388888888889</v>
      </c>
      <c r="AB195" s="140">
        <f t="shared" si="312"/>
        <v>-106.51388888888889</v>
      </c>
      <c r="AC195" s="140">
        <f t="shared" si="312"/>
        <v>-106.01388888888889</v>
      </c>
      <c r="AD195" s="140">
        <f t="shared" si="312"/>
        <v>-105.51388888888889</v>
      </c>
      <c r="AE195" s="140">
        <f t="shared" si="312"/>
        <v>-105.01388888888889</v>
      </c>
      <c r="AF195" s="140">
        <f t="shared" si="312"/>
        <v>-104.51388888888889</v>
      </c>
      <c r="AG195" s="140">
        <f t="shared" si="312"/>
        <v>-104.01388888888889</v>
      </c>
      <c r="AH195" s="140">
        <f t="shared" si="312"/>
        <v>-103.51388888888889</v>
      </c>
      <c r="AI195" s="140">
        <f t="shared" si="312"/>
        <v>-103.01666666666667</v>
      </c>
      <c r="AJ195" s="140">
        <f t="shared" si="312"/>
        <v>-102.51666666666667</v>
      </c>
      <c r="AK195" s="140">
        <f t="shared" si="312"/>
        <v>-102.01666666666667</v>
      </c>
      <c r="AL195" s="140">
        <f t="shared" si="312"/>
        <v>-101.51666666666667</v>
      </c>
      <c r="AM195" s="140">
        <f t="shared" si="312"/>
        <v>-101.01666666666667</v>
      </c>
      <c r="AN195" s="140">
        <f t="shared" si="312"/>
        <v>-100.51666666666667</v>
      </c>
      <c r="AO195" s="140">
        <f t="shared" si="312"/>
        <v>-100.01666666666667</v>
      </c>
      <c r="AP195" s="140">
        <f t="shared" si="312"/>
        <v>-99.516666666666666</v>
      </c>
      <c r="AQ195" s="140">
        <f t="shared" si="312"/>
        <v>-99.019444444444446</v>
      </c>
      <c r="AR195" s="140">
        <f t="shared" si="312"/>
        <v>-98.519444444444446</v>
      </c>
      <c r="AS195" s="140">
        <f t="shared" si="312"/>
        <v>-98.019444444444446</v>
      </c>
      <c r="AT195" s="140">
        <f t="shared" si="312"/>
        <v>-97.519444444444446</v>
      </c>
      <c r="AU195" s="140">
        <f t="shared" si="312"/>
        <v>-97.019444444444446</v>
      </c>
      <c r="AV195" s="140">
        <f t="shared" si="312"/>
        <v>-96.519444444444446</v>
      </c>
      <c r="AW195" s="140">
        <f t="shared" si="312"/>
        <v>-96.019444444444446</v>
      </c>
      <c r="AX195" s="140">
        <f t="shared" si="312"/>
        <v>-95.519444444444446</v>
      </c>
      <c r="AY195" s="140">
        <f t="shared" si="312"/>
        <v>-95.022222222222226</v>
      </c>
      <c r="AZ195" s="140">
        <f t="shared" si="312"/>
        <v>-94.522222222222226</v>
      </c>
      <c r="BA195" s="140">
        <f t="shared" si="312"/>
        <v>-94.022222222222226</v>
      </c>
      <c r="BB195" s="140">
        <f t="shared" si="312"/>
        <v>-93.522222222222226</v>
      </c>
      <c r="BC195" s="140">
        <f t="shared" si="312"/>
        <v>-93.022222222222226</v>
      </c>
      <c r="BD195" s="140">
        <f t="shared" si="312"/>
        <v>-92.522222222222226</v>
      </c>
      <c r="BE195" s="140">
        <f t="shared" si="312"/>
        <v>-92.022222222222226</v>
      </c>
      <c r="BF195" s="140">
        <f t="shared" si="312"/>
        <v>-91.522222222222226</v>
      </c>
      <c r="BG195" s="140">
        <f t="shared" si="312"/>
        <v>-91.025000000000006</v>
      </c>
      <c r="BH195" s="140">
        <f t="shared" si="312"/>
        <v>-90.525000000000006</v>
      </c>
      <c r="BI195" s="140">
        <f t="shared" si="312"/>
        <v>-90.025000000000006</v>
      </c>
      <c r="BJ195" s="140">
        <f t="shared" si="312"/>
        <v>-89.525000000000006</v>
      </c>
      <c r="BK195" s="140">
        <f t="shared" si="312"/>
        <v>-89.025000000000006</v>
      </c>
      <c r="BL195" s="140">
        <f t="shared" si="312"/>
        <v>-88.525000000000006</v>
      </c>
      <c r="BM195" s="140">
        <f t="shared" si="312"/>
        <v>-88.025000000000006</v>
      </c>
      <c r="BN195" s="140">
        <f t="shared" si="312"/>
        <v>-87.525000000000006</v>
      </c>
      <c r="BO195" s="140">
        <f t="shared" ref="BO195:CB195" si="313">BO194/360</f>
        <v>-87.027777777777771</v>
      </c>
      <c r="BP195" s="140">
        <f t="shared" si="313"/>
        <v>-86.527777777777771</v>
      </c>
      <c r="BQ195" s="140">
        <f t="shared" si="313"/>
        <v>-86.027777777777771</v>
      </c>
      <c r="BR195" s="140">
        <f t="shared" si="313"/>
        <v>-85.527777777777771</v>
      </c>
      <c r="BS195" s="140">
        <f t="shared" si="313"/>
        <v>-85.027777777777771</v>
      </c>
      <c r="BT195" s="140">
        <f t="shared" si="313"/>
        <v>-84.527777777777771</v>
      </c>
      <c r="BU195" s="140">
        <f t="shared" si="313"/>
        <v>-84.027777777777771</v>
      </c>
      <c r="BV195" s="140">
        <f t="shared" si="313"/>
        <v>-83.527777777777771</v>
      </c>
      <c r="BW195" s="140">
        <f t="shared" si="313"/>
        <v>-83.030555555555551</v>
      </c>
      <c r="BX195" s="140">
        <f t="shared" si="313"/>
        <v>-82.530555555555551</v>
      </c>
      <c r="BY195" s="140">
        <f t="shared" si="313"/>
        <v>-82.030555555555551</v>
      </c>
      <c r="BZ195" s="140">
        <f t="shared" si="313"/>
        <v>-81.530555555555551</v>
      </c>
      <c r="CA195" s="140">
        <f t="shared" si="313"/>
        <v>-81.030555555555551</v>
      </c>
      <c r="CB195" s="140">
        <f t="shared" si="313"/>
        <v>-80.530555555555551</v>
      </c>
      <c r="CC195" s="17"/>
      <c r="CD195" s="17"/>
      <c r="CE195" s="17"/>
    </row>
    <row r="196" spans="1:83">
      <c r="A196" s="16" t="s">
        <v>43</v>
      </c>
      <c r="B196" s="140">
        <f>IF(B194&lt;0,0,$B$5+$B$6*((1-EXP(-B195/$B$9))/(B195/$B$9))+$B$7*((1-EXP(-B195/$B$9))/(B195/$B$9)-EXP(-B195/$B$9))+$B$8*((1-EXP(-B195/$B$10))/(B195/$B$10)-EXP(-B195/$B$10)))</f>
        <v>0</v>
      </c>
      <c r="C196" s="140">
        <f t="shared" ref="C196:BN196" si="314">IF(C194&lt;0,0,$B$5+$B$6*((1-EXP(-C195/$B$9))/(C195/$B$9))+$B$7*((1-EXP(-C195/$B$9))/(C195/$B$9)-EXP(-C195/$B$9))+$B$8*((1-EXP(-C195/$B$10))/(C195/$B$10)-EXP(-C195/$B$10)))</f>
        <v>0</v>
      </c>
      <c r="D196" s="140">
        <f t="shared" si="314"/>
        <v>0</v>
      </c>
      <c r="E196" s="140">
        <f t="shared" si="314"/>
        <v>0</v>
      </c>
      <c r="F196" s="140">
        <f t="shared" si="314"/>
        <v>0</v>
      </c>
      <c r="G196" s="140">
        <f t="shared" si="314"/>
        <v>0</v>
      </c>
      <c r="H196" s="140">
        <f t="shared" si="314"/>
        <v>0</v>
      </c>
      <c r="I196" s="140">
        <f t="shared" si="314"/>
        <v>0</v>
      </c>
      <c r="J196" s="140">
        <f t="shared" si="314"/>
        <v>0</v>
      </c>
      <c r="K196" s="140">
        <f t="shared" si="314"/>
        <v>0</v>
      </c>
      <c r="L196" s="140">
        <f t="shared" si="314"/>
        <v>0</v>
      </c>
      <c r="M196" s="140">
        <f t="shared" si="314"/>
        <v>0</v>
      </c>
      <c r="N196" s="140">
        <f t="shared" si="314"/>
        <v>0</v>
      </c>
      <c r="O196" s="140">
        <f t="shared" si="314"/>
        <v>0</v>
      </c>
      <c r="P196" s="140">
        <f t="shared" si="314"/>
        <v>0</v>
      </c>
      <c r="Q196" s="140">
        <f t="shared" si="314"/>
        <v>0</v>
      </c>
      <c r="R196" s="140">
        <f t="shared" si="314"/>
        <v>0</v>
      </c>
      <c r="S196" s="140">
        <f t="shared" si="314"/>
        <v>0</v>
      </c>
      <c r="T196" s="140">
        <f t="shared" si="314"/>
        <v>0</v>
      </c>
      <c r="U196" s="140">
        <f t="shared" si="314"/>
        <v>0</v>
      </c>
      <c r="V196" s="140">
        <f t="shared" si="314"/>
        <v>0</v>
      </c>
      <c r="W196" s="140">
        <f t="shared" si="314"/>
        <v>0</v>
      </c>
      <c r="X196" s="140">
        <f t="shared" si="314"/>
        <v>0</v>
      </c>
      <c r="Y196" s="140">
        <f t="shared" si="314"/>
        <v>0</v>
      </c>
      <c r="Z196" s="140">
        <f t="shared" si="314"/>
        <v>0</v>
      </c>
      <c r="AA196" s="140">
        <f t="shared" si="314"/>
        <v>0</v>
      </c>
      <c r="AB196" s="140">
        <f t="shared" si="314"/>
        <v>0</v>
      </c>
      <c r="AC196" s="140">
        <f t="shared" si="314"/>
        <v>0</v>
      </c>
      <c r="AD196" s="140">
        <f t="shared" si="314"/>
        <v>0</v>
      </c>
      <c r="AE196" s="140">
        <f t="shared" si="314"/>
        <v>0</v>
      </c>
      <c r="AF196" s="140">
        <f t="shared" si="314"/>
        <v>0</v>
      </c>
      <c r="AG196" s="140">
        <f t="shared" si="314"/>
        <v>0</v>
      </c>
      <c r="AH196" s="140">
        <f t="shared" si="314"/>
        <v>0</v>
      </c>
      <c r="AI196" s="140">
        <f t="shared" si="314"/>
        <v>0</v>
      </c>
      <c r="AJ196" s="140">
        <f t="shared" si="314"/>
        <v>0</v>
      </c>
      <c r="AK196" s="140">
        <f t="shared" si="314"/>
        <v>0</v>
      </c>
      <c r="AL196" s="140">
        <f t="shared" si="314"/>
        <v>0</v>
      </c>
      <c r="AM196" s="140">
        <f t="shared" si="314"/>
        <v>0</v>
      </c>
      <c r="AN196" s="140">
        <f t="shared" si="314"/>
        <v>0</v>
      </c>
      <c r="AO196" s="140">
        <f t="shared" si="314"/>
        <v>0</v>
      </c>
      <c r="AP196" s="140">
        <f t="shared" si="314"/>
        <v>0</v>
      </c>
      <c r="AQ196" s="140">
        <f t="shared" si="314"/>
        <v>0</v>
      </c>
      <c r="AR196" s="140">
        <f t="shared" si="314"/>
        <v>0</v>
      </c>
      <c r="AS196" s="140">
        <f t="shared" si="314"/>
        <v>0</v>
      </c>
      <c r="AT196" s="140">
        <f t="shared" si="314"/>
        <v>0</v>
      </c>
      <c r="AU196" s="140">
        <f t="shared" si="314"/>
        <v>0</v>
      </c>
      <c r="AV196" s="140">
        <f t="shared" si="314"/>
        <v>0</v>
      </c>
      <c r="AW196" s="140">
        <f t="shared" si="314"/>
        <v>0</v>
      </c>
      <c r="AX196" s="140">
        <f t="shared" si="314"/>
        <v>0</v>
      </c>
      <c r="AY196" s="140">
        <f t="shared" si="314"/>
        <v>0</v>
      </c>
      <c r="AZ196" s="140">
        <f t="shared" si="314"/>
        <v>0</v>
      </c>
      <c r="BA196" s="140">
        <f t="shared" si="314"/>
        <v>0</v>
      </c>
      <c r="BB196" s="140">
        <f t="shared" si="314"/>
        <v>0</v>
      </c>
      <c r="BC196" s="140">
        <f t="shared" si="314"/>
        <v>0</v>
      </c>
      <c r="BD196" s="140">
        <f t="shared" si="314"/>
        <v>0</v>
      </c>
      <c r="BE196" s="140">
        <f t="shared" si="314"/>
        <v>0</v>
      </c>
      <c r="BF196" s="140">
        <f t="shared" si="314"/>
        <v>0</v>
      </c>
      <c r="BG196" s="140">
        <f t="shared" si="314"/>
        <v>0</v>
      </c>
      <c r="BH196" s="140">
        <f t="shared" si="314"/>
        <v>0</v>
      </c>
      <c r="BI196" s="140">
        <f t="shared" si="314"/>
        <v>0</v>
      </c>
      <c r="BJ196" s="140">
        <f t="shared" si="314"/>
        <v>0</v>
      </c>
      <c r="BK196" s="140">
        <f t="shared" si="314"/>
        <v>0</v>
      </c>
      <c r="BL196" s="140">
        <f t="shared" si="314"/>
        <v>0</v>
      </c>
      <c r="BM196" s="140">
        <f t="shared" si="314"/>
        <v>0</v>
      </c>
      <c r="BN196" s="140">
        <f t="shared" si="314"/>
        <v>0</v>
      </c>
      <c r="BO196" s="140">
        <f t="shared" ref="BO196:CB196" si="315">IF(BO194&lt;0,0,$B$5+$B$6*((1-EXP(-BO195/$B$9))/(BO195/$B$9))+$B$7*((1-EXP(-BO195/$B$9))/(BO195/$B$9)-EXP(-BO195/$B$9))+$B$8*((1-EXP(-BO195/$B$10))/(BO195/$B$10)-EXP(-BO195/$B$10)))</f>
        <v>0</v>
      </c>
      <c r="BP196" s="140">
        <f t="shared" si="315"/>
        <v>0</v>
      </c>
      <c r="BQ196" s="140">
        <f t="shared" si="315"/>
        <v>0</v>
      </c>
      <c r="BR196" s="140">
        <f t="shared" si="315"/>
        <v>0</v>
      </c>
      <c r="BS196" s="140">
        <f t="shared" si="315"/>
        <v>0</v>
      </c>
      <c r="BT196" s="140">
        <f t="shared" si="315"/>
        <v>0</v>
      </c>
      <c r="BU196" s="140">
        <f t="shared" si="315"/>
        <v>0</v>
      </c>
      <c r="BV196" s="140">
        <f t="shared" si="315"/>
        <v>0</v>
      </c>
      <c r="BW196" s="140">
        <f t="shared" si="315"/>
        <v>0</v>
      </c>
      <c r="BX196" s="140">
        <f t="shared" si="315"/>
        <v>0</v>
      </c>
      <c r="BY196" s="140">
        <f t="shared" si="315"/>
        <v>0</v>
      </c>
      <c r="BZ196" s="140">
        <f t="shared" si="315"/>
        <v>0</v>
      </c>
      <c r="CA196" s="140">
        <f t="shared" si="315"/>
        <v>0</v>
      </c>
      <c r="CB196" s="140">
        <f t="shared" si="315"/>
        <v>0</v>
      </c>
      <c r="CC196" s="17"/>
      <c r="CD196" s="17"/>
      <c r="CE196" s="17"/>
    </row>
    <row r="197" spans="1:83">
      <c r="A197" s="16" t="s">
        <v>44</v>
      </c>
      <c r="B197" s="140">
        <f>EXP(-B196*B195)</f>
        <v>1</v>
      </c>
      <c r="C197" s="140">
        <f t="shared" ref="C197:BN197" si="316">EXP(-C196*C195)</f>
        <v>1</v>
      </c>
      <c r="D197" s="140">
        <f t="shared" si="316"/>
        <v>1</v>
      </c>
      <c r="E197" s="140">
        <f t="shared" si="316"/>
        <v>1</v>
      </c>
      <c r="F197" s="140">
        <f t="shared" si="316"/>
        <v>1</v>
      </c>
      <c r="G197" s="140">
        <f t="shared" si="316"/>
        <v>1</v>
      </c>
      <c r="H197" s="140">
        <f t="shared" si="316"/>
        <v>1</v>
      </c>
      <c r="I197" s="140">
        <f t="shared" si="316"/>
        <v>1</v>
      </c>
      <c r="J197" s="140">
        <f t="shared" si="316"/>
        <v>1</v>
      </c>
      <c r="K197" s="140">
        <f t="shared" si="316"/>
        <v>1</v>
      </c>
      <c r="L197" s="140">
        <f t="shared" si="316"/>
        <v>1</v>
      </c>
      <c r="M197" s="140">
        <f t="shared" si="316"/>
        <v>1</v>
      </c>
      <c r="N197" s="140">
        <f t="shared" si="316"/>
        <v>1</v>
      </c>
      <c r="O197" s="140">
        <f t="shared" si="316"/>
        <v>1</v>
      </c>
      <c r="P197" s="140">
        <f t="shared" si="316"/>
        <v>1</v>
      </c>
      <c r="Q197" s="140">
        <f t="shared" si="316"/>
        <v>1</v>
      </c>
      <c r="R197" s="140">
        <f t="shared" si="316"/>
        <v>1</v>
      </c>
      <c r="S197" s="140">
        <f t="shared" si="316"/>
        <v>1</v>
      </c>
      <c r="T197" s="140">
        <f t="shared" si="316"/>
        <v>1</v>
      </c>
      <c r="U197" s="140">
        <f t="shared" si="316"/>
        <v>1</v>
      </c>
      <c r="V197" s="140">
        <f t="shared" si="316"/>
        <v>1</v>
      </c>
      <c r="W197" s="140">
        <f t="shared" si="316"/>
        <v>1</v>
      </c>
      <c r="X197" s="140">
        <f t="shared" si="316"/>
        <v>1</v>
      </c>
      <c r="Y197" s="140">
        <f t="shared" si="316"/>
        <v>1</v>
      </c>
      <c r="Z197" s="140">
        <f t="shared" si="316"/>
        <v>1</v>
      </c>
      <c r="AA197" s="140">
        <f t="shared" si="316"/>
        <v>1</v>
      </c>
      <c r="AB197" s="140">
        <f t="shared" si="316"/>
        <v>1</v>
      </c>
      <c r="AC197" s="140">
        <f t="shared" si="316"/>
        <v>1</v>
      </c>
      <c r="AD197" s="140">
        <f t="shared" si="316"/>
        <v>1</v>
      </c>
      <c r="AE197" s="140">
        <f t="shared" si="316"/>
        <v>1</v>
      </c>
      <c r="AF197" s="140">
        <f t="shared" si="316"/>
        <v>1</v>
      </c>
      <c r="AG197" s="140">
        <f t="shared" si="316"/>
        <v>1</v>
      </c>
      <c r="AH197" s="140">
        <f t="shared" si="316"/>
        <v>1</v>
      </c>
      <c r="AI197" s="140">
        <f t="shared" si="316"/>
        <v>1</v>
      </c>
      <c r="AJ197" s="140">
        <f t="shared" si="316"/>
        <v>1</v>
      </c>
      <c r="AK197" s="140">
        <f t="shared" si="316"/>
        <v>1</v>
      </c>
      <c r="AL197" s="140">
        <f t="shared" si="316"/>
        <v>1</v>
      </c>
      <c r="AM197" s="140">
        <f t="shared" si="316"/>
        <v>1</v>
      </c>
      <c r="AN197" s="140">
        <f t="shared" si="316"/>
        <v>1</v>
      </c>
      <c r="AO197" s="140">
        <f t="shared" si="316"/>
        <v>1</v>
      </c>
      <c r="AP197" s="140">
        <f t="shared" si="316"/>
        <v>1</v>
      </c>
      <c r="AQ197" s="140">
        <f t="shared" si="316"/>
        <v>1</v>
      </c>
      <c r="AR197" s="140">
        <f t="shared" si="316"/>
        <v>1</v>
      </c>
      <c r="AS197" s="140">
        <f t="shared" si="316"/>
        <v>1</v>
      </c>
      <c r="AT197" s="140">
        <f t="shared" si="316"/>
        <v>1</v>
      </c>
      <c r="AU197" s="140">
        <f t="shared" si="316"/>
        <v>1</v>
      </c>
      <c r="AV197" s="140">
        <f t="shared" si="316"/>
        <v>1</v>
      </c>
      <c r="AW197" s="140">
        <f t="shared" si="316"/>
        <v>1</v>
      </c>
      <c r="AX197" s="140">
        <f t="shared" si="316"/>
        <v>1</v>
      </c>
      <c r="AY197" s="140">
        <f t="shared" si="316"/>
        <v>1</v>
      </c>
      <c r="AZ197" s="140">
        <f t="shared" si="316"/>
        <v>1</v>
      </c>
      <c r="BA197" s="140">
        <f t="shared" si="316"/>
        <v>1</v>
      </c>
      <c r="BB197" s="140">
        <f t="shared" si="316"/>
        <v>1</v>
      </c>
      <c r="BC197" s="140">
        <f t="shared" si="316"/>
        <v>1</v>
      </c>
      <c r="BD197" s="140">
        <f t="shared" si="316"/>
        <v>1</v>
      </c>
      <c r="BE197" s="140">
        <f t="shared" si="316"/>
        <v>1</v>
      </c>
      <c r="BF197" s="140">
        <f t="shared" si="316"/>
        <v>1</v>
      </c>
      <c r="BG197" s="140">
        <f t="shared" si="316"/>
        <v>1</v>
      </c>
      <c r="BH197" s="140">
        <f t="shared" si="316"/>
        <v>1</v>
      </c>
      <c r="BI197" s="140">
        <f t="shared" si="316"/>
        <v>1</v>
      </c>
      <c r="BJ197" s="140">
        <f t="shared" si="316"/>
        <v>1</v>
      </c>
      <c r="BK197" s="140">
        <f t="shared" si="316"/>
        <v>1</v>
      </c>
      <c r="BL197" s="140">
        <f t="shared" si="316"/>
        <v>1</v>
      </c>
      <c r="BM197" s="140">
        <f t="shared" si="316"/>
        <v>1</v>
      </c>
      <c r="BN197" s="140">
        <f t="shared" si="316"/>
        <v>1</v>
      </c>
      <c r="BO197" s="140">
        <f t="shared" ref="BO197:CB197" si="317">EXP(-BO196*BO195)</f>
        <v>1</v>
      </c>
      <c r="BP197" s="140">
        <f t="shared" si="317"/>
        <v>1</v>
      </c>
      <c r="BQ197" s="140">
        <f t="shared" si="317"/>
        <v>1</v>
      </c>
      <c r="BR197" s="140">
        <f t="shared" si="317"/>
        <v>1</v>
      </c>
      <c r="BS197" s="140">
        <f t="shared" si="317"/>
        <v>1</v>
      </c>
      <c r="BT197" s="140">
        <f t="shared" si="317"/>
        <v>1</v>
      </c>
      <c r="BU197" s="140">
        <f t="shared" si="317"/>
        <v>1</v>
      </c>
      <c r="BV197" s="140">
        <f t="shared" si="317"/>
        <v>1</v>
      </c>
      <c r="BW197" s="140">
        <f t="shared" si="317"/>
        <v>1</v>
      </c>
      <c r="BX197" s="140">
        <f t="shared" si="317"/>
        <v>1</v>
      </c>
      <c r="BY197" s="140">
        <f t="shared" si="317"/>
        <v>1</v>
      </c>
      <c r="BZ197" s="140">
        <f t="shared" si="317"/>
        <v>1</v>
      </c>
      <c r="CA197" s="140">
        <f t="shared" si="317"/>
        <v>1</v>
      </c>
      <c r="CB197" s="140">
        <f t="shared" si="317"/>
        <v>1</v>
      </c>
      <c r="CC197" s="17"/>
      <c r="CD197" s="17"/>
      <c r="CE197" s="17"/>
    </row>
    <row r="198" spans="1:83">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c r="BE198" s="17"/>
      <c r="BF198" s="17"/>
      <c r="BG198" s="17"/>
      <c r="BH198" s="17"/>
      <c r="BI198" s="17"/>
      <c r="BJ198" s="17"/>
      <c r="BK198" s="17"/>
      <c r="BL198" s="17"/>
      <c r="BM198" s="17"/>
      <c r="BN198" s="17"/>
      <c r="BO198" s="17"/>
      <c r="BP198" s="17"/>
      <c r="BQ198" s="17"/>
      <c r="BR198" s="17"/>
      <c r="BS198" s="17"/>
      <c r="BT198" s="17"/>
      <c r="BU198" s="17"/>
      <c r="BV198" s="17"/>
      <c r="BW198" s="17"/>
      <c r="BX198" s="17"/>
      <c r="BY198" s="17"/>
      <c r="BZ198" s="17"/>
      <c r="CA198" s="17"/>
      <c r="CB198" s="17"/>
      <c r="CC198" s="17"/>
      <c r="CD198" s="17"/>
      <c r="CE198" s="17"/>
    </row>
    <row r="199" spans="1:83">
      <c r="A199" s="16" t="s">
        <v>40</v>
      </c>
      <c r="B199" s="140">
        <f>DAYS360($B$3,B76)</f>
        <v>-43022</v>
      </c>
      <c r="C199" s="140">
        <f t="shared" ref="C199:BN199" si="318">DAYS360($B$3,C76)</f>
        <v>-42842</v>
      </c>
      <c r="D199" s="140">
        <f t="shared" si="318"/>
        <v>-42662</v>
      </c>
      <c r="E199" s="140">
        <f t="shared" si="318"/>
        <v>-42482</v>
      </c>
      <c r="F199" s="140">
        <f t="shared" si="318"/>
        <v>-42302</v>
      </c>
      <c r="G199" s="140">
        <f t="shared" si="318"/>
        <v>-42122</v>
      </c>
      <c r="H199" s="140">
        <f t="shared" si="318"/>
        <v>-41942</v>
      </c>
      <c r="I199" s="140">
        <f t="shared" si="318"/>
        <v>-41762</v>
      </c>
      <c r="J199" s="140">
        <f t="shared" si="318"/>
        <v>-41582</v>
      </c>
      <c r="K199" s="140">
        <f t="shared" si="318"/>
        <v>-41403</v>
      </c>
      <c r="L199" s="140">
        <f t="shared" si="318"/>
        <v>-41223</v>
      </c>
      <c r="M199" s="140">
        <f t="shared" si="318"/>
        <v>-41043</v>
      </c>
      <c r="N199" s="140">
        <f t="shared" si="318"/>
        <v>-40863</v>
      </c>
      <c r="O199" s="140">
        <f t="shared" si="318"/>
        <v>-40683</v>
      </c>
      <c r="P199" s="140">
        <f t="shared" si="318"/>
        <v>-40503</v>
      </c>
      <c r="Q199" s="140">
        <f t="shared" si="318"/>
        <v>-40323</v>
      </c>
      <c r="R199" s="140">
        <f t="shared" si="318"/>
        <v>-40143</v>
      </c>
      <c r="S199" s="140">
        <f t="shared" si="318"/>
        <v>-39964</v>
      </c>
      <c r="T199" s="140">
        <f t="shared" si="318"/>
        <v>-39784</v>
      </c>
      <c r="U199" s="140">
        <f t="shared" si="318"/>
        <v>-39604</v>
      </c>
      <c r="V199" s="140">
        <f t="shared" si="318"/>
        <v>-39424</v>
      </c>
      <c r="W199" s="140">
        <f t="shared" si="318"/>
        <v>-39244</v>
      </c>
      <c r="X199" s="140">
        <f t="shared" si="318"/>
        <v>-39064</v>
      </c>
      <c r="Y199" s="140">
        <f t="shared" si="318"/>
        <v>-38884</v>
      </c>
      <c r="Z199" s="140">
        <f t="shared" si="318"/>
        <v>-38704</v>
      </c>
      <c r="AA199" s="140">
        <f t="shared" si="318"/>
        <v>-38525</v>
      </c>
      <c r="AB199" s="140">
        <f t="shared" si="318"/>
        <v>-38345</v>
      </c>
      <c r="AC199" s="140">
        <f t="shared" si="318"/>
        <v>-38165</v>
      </c>
      <c r="AD199" s="140">
        <f t="shared" si="318"/>
        <v>-37985</v>
      </c>
      <c r="AE199" s="140">
        <f t="shared" si="318"/>
        <v>-37805</v>
      </c>
      <c r="AF199" s="140">
        <f t="shared" si="318"/>
        <v>-37625</v>
      </c>
      <c r="AG199" s="140">
        <f t="shared" si="318"/>
        <v>-37445</v>
      </c>
      <c r="AH199" s="140">
        <f t="shared" si="318"/>
        <v>-37265</v>
      </c>
      <c r="AI199" s="140">
        <f t="shared" si="318"/>
        <v>-37086</v>
      </c>
      <c r="AJ199" s="140">
        <f t="shared" si="318"/>
        <v>-36906</v>
      </c>
      <c r="AK199" s="140">
        <f t="shared" si="318"/>
        <v>-36726</v>
      </c>
      <c r="AL199" s="140">
        <f t="shared" si="318"/>
        <v>-36546</v>
      </c>
      <c r="AM199" s="140">
        <f t="shared" si="318"/>
        <v>-36366</v>
      </c>
      <c r="AN199" s="140">
        <f t="shared" si="318"/>
        <v>-36186</v>
      </c>
      <c r="AO199" s="140">
        <f t="shared" si="318"/>
        <v>-36006</v>
      </c>
      <c r="AP199" s="140">
        <f t="shared" si="318"/>
        <v>-35826</v>
      </c>
      <c r="AQ199" s="140">
        <f t="shared" si="318"/>
        <v>-35647</v>
      </c>
      <c r="AR199" s="140">
        <f t="shared" si="318"/>
        <v>-35467</v>
      </c>
      <c r="AS199" s="140">
        <f t="shared" si="318"/>
        <v>-35287</v>
      </c>
      <c r="AT199" s="140">
        <f t="shared" si="318"/>
        <v>-35107</v>
      </c>
      <c r="AU199" s="140">
        <f t="shared" si="318"/>
        <v>-34927</v>
      </c>
      <c r="AV199" s="140">
        <f t="shared" si="318"/>
        <v>-34747</v>
      </c>
      <c r="AW199" s="140">
        <f t="shared" si="318"/>
        <v>-34567</v>
      </c>
      <c r="AX199" s="140">
        <f t="shared" si="318"/>
        <v>-34387</v>
      </c>
      <c r="AY199" s="140">
        <f t="shared" si="318"/>
        <v>-34208</v>
      </c>
      <c r="AZ199" s="140">
        <f t="shared" si="318"/>
        <v>-34028</v>
      </c>
      <c r="BA199" s="140">
        <f t="shared" si="318"/>
        <v>-33848</v>
      </c>
      <c r="BB199" s="140">
        <f t="shared" si="318"/>
        <v>-33668</v>
      </c>
      <c r="BC199" s="140">
        <f t="shared" si="318"/>
        <v>-33488</v>
      </c>
      <c r="BD199" s="140">
        <f t="shared" si="318"/>
        <v>-33308</v>
      </c>
      <c r="BE199" s="140">
        <f t="shared" si="318"/>
        <v>-33128</v>
      </c>
      <c r="BF199" s="140">
        <f t="shared" si="318"/>
        <v>-32948</v>
      </c>
      <c r="BG199" s="140">
        <f t="shared" si="318"/>
        <v>-32769</v>
      </c>
      <c r="BH199" s="140">
        <f t="shared" si="318"/>
        <v>-32589</v>
      </c>
      <c r="BI199" s="140">
        <f t="shared" si="318"/>
        <v>-32409</v>
      </c>
      <c r="BJ199" s="140">
        <f t="shared" si="318"/>
        <v>-32229</v>
      </c>
      <c r="BK199" s="140">
        <f t="shared" si="318"/>
        <v>-32049</v>
      </c>
      <c r="BL199" s="140">
        <f t="shared" si="318"/>
        <v>-31869</v>
      </c>
      <c r="BM199" s="140">
        <f t="shared" si="318"/>
        <v>-31689</v>
      </c>
      <c r="BN199" s="140">
        <f t="shared" si="318"/>
        <v>-31509</v>
      </c>
      <c r="BO199" s="140">
        <f t="shared" ref="BO199:CB199" si="319">DAYS360($B$3,BO76)</f>
        <v>-31330</v>
      </c>
      <c r="BP199" s="140">
        <f t="shared" si="319"/>
        <v>-31150</v>
      </c>
      <c r="BQ199" s="140">
        <f t="shared" si="319"/>
        <v>-30970</v>
      </c>
      <c r="BR199" s="140">
        <f t="shared" si="319"/>
        <v>-30790</v>
      </c>
      <c r="BS199" s="140">
        <f t="shared" si="319"/>
        <v>-30610</v>
      </c>
      <c r="BT199" s="140">
        <f t="shared" si="319"/>
        <v>-30430</v>
      </c>
      <c r="BU199" s="140">
        <f t="shared" si="319"/>
        <v>-30250</v>
      </c>
      <c r="BV199" s="140">
        <f t="shared" si="319"/>
        <v>-30070</v>
      </c>
      <c r="BW199" s="140">
        <f t="shared" si="319"/>
        <v>-29891</v>
      </c>
      <c r="BX199" s="140">
        <f t="shared" si="319"/>
        <v>-29711</v>
      </c>
      <c r="BY199" s="140">
        <f t="shared" si="319"/>
        <v>-29531</v>
      </c>
      <c r="BZ199" s="140">
        <f t="shared" si="319"/>
        <v>-29351</v>
      </c>
      <c r="CA199" s="140">
        <f t="shared" si="319"/>
        <v>-29171</v>
      </c>
      <c r="CB199" s="140">
        <f t="shared" si="319"/>
        <v>-28991</v>
      </c>
      <c r="CC199" s="17"/>
      <c r="CD199" s="17"/>
      <c r="CE199" s="17"/>
    </row>
    <row r="200" spans="1:83">
      <c r="A200" s="16" t="s">
        <v>41</v>
      </c>
      <c r="B200" s="140">
        <f>B199/360</f>
        <v>-119.50555555555556</v>
      </c>
      <c r="C200" s="140">
        <f t="shared" ref="C200:BN200" si="320">C199/360</f>
        <v>-119.00555555555556</v>
      </c>
      <c r="D200" s="140">
        <f t="shared" si="320"/>
        <v>-118.50555555555556</v>
      </c>
      <c r="E200" s="140">
        <f t="shared" si="320"/>
        <v>-118.00555555555556</v>
      </c>
      <c r="F200" s="140">
        <f t="shared" si="320"/>
        <v>-117.50555555555556</v>
      </c>
      <c r="G200" s="140">
        <f t="shared" si="320"/>
        <v>-117.00555555555556</v>
      </c>
      <c r="H200" s="140">
        <f t="shared" si="320"/>
        <v>-116.50555555555556</v>
      </c>
      <c r="I200" s="140">
        <f t="shared" si="320"/>
        <v>-116.00555555555556</v>
      </c>
      <c r="J200" s="140">
        <f t="shared" si="320"/>
        <v>-115.50555555555556</v>
      </c>
      <c r="K200" s="140">
        <f t="shared" si="320"/>
        <v>-115.00833333333334</v>
      </c>
      <c r="L200" s="140">
        <f t="shared" si="320"/>
        <v>-114.50833333333334</v>
      </c>
      <c r="M200" s="140">
        <f t="shared" si="320"/>
        <v>-114.00833333333334</v>
      </c>
      <c r="N200" s="140">
        <f t="shared" si="320"/>
        <v>-113.50833333333334</v>
      </c>
      <c r="O200" s="140">
        <f t="shared" si="320"/>
        <v>-113.00833333333334</v>
      </c>
      <c r="P200" s="140">
        <f t="shared" si="320"/>
        <v>-112.50833333333334</v>
      </c>
      <c r="Q200" s="140">
        <f t="shared" si="320"/>
        <v>-112.00833333333334</v>
      </c>
      <c r="R200" s="140">
        <f t="shared" si="320"/>
        <v>-111.50833333333334</v>
      </c>
      <c r="S200" s="140">
        <f t="shared" si="320"/>
        <v>-111.01111111111111</v>
      </c>
      <c r="T200" s="140">
        <f t="shared" si="320"/>
        <v>-110.51111111111111</v>
      </c>
      <c r="U200" s="140">
        <f t="shared" si="320"/>
        <v>-110.01111111111111</v>
      </c>
      <c r="V200" s="140">
        <f t="shared" si="320"/>
        <v>-109.51111111111111</v>
      </c>
      <c r="W200" s="140">
        <f t="shared" si="320"/>
        <v>-109.01111111111111</v>
      </c>
      <c r="X200" s="140">
        <f t="shared" si="320"/>
        <v>-108.51111111111111</v>
      </c>
      <c r="Y200" s="140">
        <f t="shared" si="320"/>
        <v>-108.01111111111111</v>
      </c>
      <c r="Z200" s="140">
        <f t="shared" si="320"/>
        <v>-107.51111111111111</v>
      </c>
      <c r="AA200" s="140">
        <f t="shared" si="320"/>
        <v>-107.01388888888889</v>
      </c>
      <c r="AB200" s="140">
        <f t="shared" si="320"/>
        <v>-106.51388888888889</v>
      </c>
      <c r="AC200" s="140">
        <f t="shared" si="320"/>
        <v>-106.01388888888889</v>
      </c>
      <c r="AD200" s="140">
        <f t="shared" si="320"/>
        <v>-105.51388888888889</v>
      </c>
      <c r="AE200" s="140">
        <f t="shared" si="320"/>
        <v>-105.01388888888889</v>
      </c>
      <c r="AF200" s="140">
        <f t="shared" si="320"/>
        <v>-104.51388888888889</v>
      </c>
      <c r="AG200" s="140">
        <f t="shared" si="320"/>
        <v>-104.01388888888889</v>
      </c>
      <c r="AH200" s="140">
        <f t="shared" si="320"/>
        <v>-103.51388888888889</v>
      </c>
      <c r="AI200" s="140">
        <f t="shared" si="320"/>
        <v>-103.01666666666667</v>
      </c>
      <c r="AJ200" s="140">
        <f t="shared" si="320"/>
        <v>-102.51666666666667</v>
      </c>
      <c r="AK200" s="140">
        <f t="shared" si="320"/>
        <v>-102.01666666666667</v>
      </c>
      <c r="AL200" s="140">
        <f t="shared" si="320"/>
        <v>-101.51666666666667</v>
      </c>
      <c r="AM200" s="140">
        <f t="shared" si="320"/>
        <v>-101.01666666666667</v>
      </c>
      <c r="AN200" s="140">
        <f t="shared" si="320"/>
        <v>-100.51666666666667</v>
      </c>
      <c r="AO200" s="140">
        <f t="shared" si="320"/>
        <v>-100.01666666666667</v>
      </c>
      <c r="AP200" s="140">
        <f t="shared" si="320"/>
        <v>-99.516666666666666</v>
      </c>
      <c r="AQ200" s="140">
        <f t="shared" si="320"/>
        <v>-99.019444444444446</v>
      </c>
      <c r="AR200" s="140">
        <f t="shared" si="320"/>
        <v>-98.519444444444446</v>
      </c>
      <c r="AS200" s="140">
        <f t="shared" si="320"/>
        <v>-98.019444444444446</v>
      </c>
      <c r="AT200" s="140">
        <f t="shared" si="320"/>
        <v>-97.519444444444446</v>
      </c>
      <c r="AU200" s="140">
        <f t="shared" si="320"/>
        <v>-97.019444444444446</v>
      </c>
      <c r="AV200" s="140">
        <f t="shared" si="320"/>
        <v>-96.519444444444446</v>
      </c>
      <c r="AW200" s="140">
        <f t="shared" si="320"/>
        <v>-96.019444444444446</v>
      </c>
      <c r="AX200" s="140">
        <f t="shared" si="320"/>
        <v>-95.519444444444446</v>
      </c>
      <c r="AY200" s="140">
        <f t="shared" si="320"/>
        <v>-95.022222222222226</v>
      </c>
      <c r="AZ200" s="140">
        <f t="shared" si="320"/>
        <v>-94.522222222222226</v>
      </c>
      <c r="BA200" s="140">
        <f t="shared" si="320"/>
        <v>-94.022222222222226</v>
      </c>
      <c r="BB200" s="140">
        <f t="shared" si="320"/>
        <v>-93.522222222222226</v>
      </c>
      <c r="BC200" s="140">
        <f t="shared" si="320"/>
        <v>-93.022222222222226</v>
      </c>
      <c r="BD200" s="140">
        <f t="shared" si="320"/>
        <v>-92.522222222222226</v>
      </c>
      <c r="BE200" s="140">
        <f t="shared" si="320"/>
        <v>-92.022222222222226</v>
      </c>
      <c r="BF200" s="140">
        <f t="shared" si="320"/>
        <v>-91.522222222222226</v>
      </c>
      <c r="BG200" s="140">
        <f t="shared" si="320"/>
        <v>-91.025000000000006</v>
      </c>
      <c r="BH200" s="140">
        <f t="shared" si="320"/>
        <v>-90.525000000000006</v>
      </c>
      <c r="BI200" s="140">
        <f t="shared" si="320"/>
        <v>-90.025000000000006</v>
      </c>
      <c r="BJ200" s="140">
        <f t="shared" si="320"/>
        <v>-89.525000000000006</v>
      </c>
      <c r="BK200" s="140">
        <f t="shared" si="320"/>
        <v>-89.025000000000006</v>
      </c>
      <c r="BL200" s="140">
        <f t="shared" si="320"/>
        <v>-88.525000000000006</v>
      </c>
      <c r="BM200" s="140">
        <f t="shared" si="320"/>
        <v>-88.025000000000006</v>
      </c>
      <c r="BN200" s="140">
        <f t="shared" si="320"/>
        <v>-87.525000000000006</v>
      </c>
      <c r="BO200" s="140">
        <f t="shared" ref="BO200:CB200" si="321">BO199/360</f>
        <v>-87.027777777777771</v>
      </c>
      <c r="BP200" s="140">
        <f t="shared" si="321"/>
        <v>-86.527777777777771</v>
      </c>
      <c r="BQ200" s="140">
        <f t="shared" si="321"/>
        <v>-86.027777777777771</v>
      </c>
      <c r="BR200" s="140">
        <f t="shared" si="321"/>
        <v>-85.527777777777771</v>
      </c>
      <c r="BS200" s="140">
        <f t="shared" si="321"/>
        <v>-85.027777777777771</v>
      </c>
      <c r="BT200" s="140">
        <f t="shared" si="321"/>
        <v>-84.527777777777771</v>
      </c>
      <c r="BU200" s="140">
        <f t="shared" si="321"/>
        <v>-84.027777777777771</v>
      </c>
      <c r="BV200" s="140">
        <f t="shared" si="321"/>
        <v>-83.527777777777771</v>
      </c>
      <c r="BW200" s="140">
        <f t="shared" si="321"/>
        <v>-83.030555555555551</v>
      </c>
      <c r="BX200" s="140">
        <f t="shared" si="321"/>
        <v>-82.530555555555551</v>
      </c>
      <c r="BY200" s="140">
        <f t="shared" si="321"/>
        <v>-82.030555555555551</v>
      </c>
      <c r="BZ200" s="140">
        <f t="shared" si="321"/>
        <v>-81.530555555555551</v>
      </c>
      <c r="CA200" s="140">
        <f t="shared" si="321"/>
        <v>-81.030555555555551</v>
      </c>
      <c r="CB200" s="140">
        <f t="shared" si="321"/>
        <v>-80.530555555555551</v>
      </c>
      <c r="CC200" s="17"/>
      <c r="CD200" s="17"/>
      <c r="CE200" s="17"/>
    </row>
    <row r="201" spans="1:83">
      <c r="A201" s="16" t="s">
        <v>43</v>
      </c>
      <c r="B201" s="140">
        <f>IF(B199&lt;0,0,$B$5+$B$6*((1-EXP(-B200/$B$9))/(B200/$B$9))+$B$7*((1-EXP(-B200/$B$9))/(B200/$B$9)-EXP(-B200/$B$9))+$B$8*((1-EXP(-B200/$B$10))/(B200/$B$10)-EXP(-B200/$B$10)))</f>
        <v>0</v>
      </c>
      <c r="C201" s="140">
        <f t="shared" ref="C201:BN201" si="322">IF(C199&lt;0,0,$B$5+$B$6*((1-EXP(-C200/$B$9))/(C200/$B$9))+$B$7*((1-EXP(-C200/$B$9))/(C200/$B$9)-EXP(-C200/$B$9))+$B$8*((1-EXP(-C200/$B$10))/(C200/$B$10)-EXP(-C200/$B$10)))</f>
        <v>0</v>
      </c>
      <c r="D201" s="140">
        <f t="shared" si="322"/>
        <v>0</v>
      </c>
      <c r="E201" s="140">
        <f t="shared" si="322"/>
        <v>0</v>
      </c>
      <c r="F201" s="140">
        <f t="shared" si="322"/>
        <v>0</v>
      </c>
      <c r="G201" s="140">
        <f t="shared" si="322"/>
        <v>0</v>
      </c>
      <c r="H201" s="140">
        <f t="shared" si="322"/>
        <v>0</v>
      </c>
      <c r="I201" s="140">
        <f t="shared" si="322"/>
        <v>0</v>
      </c>
      <c r="J201" s="140">
        <f t="shared" si="322"/>
        <v>0</v>
      </c>
      <c r="K201" s="140">
        <f t="shared" si="322"/>
        <v>0</v>
      </c>
      <c r="L201" s="140">
        <f t="shared" si="322"/>
        <v>0</v>
      </c>
      <c r="M201" s="140">
        <f t="shared" si="322"/>
        <v>0</v>
      </c>
      <c r="N201" s="140">
        <f t="shared" si="322"/>
        <v>0</v>
      </c>
      <c r="O201" s="140">
        <f t="shared" si="322"/>
        <v>0</v>
      </c>
      <c r="P201" s="140">
        <f t="shared" si="322"/>
        <v>0</v>
      </c>
      <c r="Q201" s="140">
        <f t="shared" si="322"/>
        <v>0</v>
      </c>
      <c r="R201" s="140">
        <f t="shared" si="322"/>
        <v>0</v>
      </c>
      <c r="S201" s="140">
        <f t="shared" si="322"/>
        <v>0</v>
      </c>
      <c r="T201" s="140">
        <f t="shared" si="322"/>
        <v>0</v>
      </c>
      <c r="U201" s="140">
        <f t="shared" si="322"/>
        <v>0</v>
      </c>
      <c r="V201" s="140">
        <f t="shared" si="322"/>
        <v>0</v>
      </c>
      <c r="W201" s="140">
        <f t="shared" si="322"/>
        <v>0</v>
      </c>
      <c r="X201" s="140">
        <f t="shared" si="322"/>
        <v>0</v>
      </c>
      <c r="Y201" s="140">
        <f t="shared" si="322"/>
        <v>0</v>
      </c>
      <c r="Z201" s="140">
        <f t="shared" si="322"/>
        <v>0</v>
      </c>
      <c r="AA201" s="140">
        <f t="shared" si="322"/>
        <v>0</v>
      </c>
      <c r="AB201" s="140">
        <f t="shared" si="322"/>
        <v>0</v>
      </c>
      <c r="AC201" s="140">
        <f t="shared" si="322"/>
        <v>0</v>
      </c>
      <c r="AD201" s="140">
        <f t="shared" si="322"/>
        <v>0</v>
      </c>
      <c r="AE201" s="140">
        <f t="shared" si="322"/>
        <v>0</v>
      </c>
      <c r="AF201" s="140">
        <f t="shared" si="322"/>
        <v>0</v>
      </c>
      <c r="AG201" s="140">
        <f t="shared" si="322"/>
        <v>0</v>
      </c>
      <c r="AH201" s="140">
        <f t="shared" si="322"/>
        <v>0</v>
      </c>
      <c r="AI201" s="140">
        <f t="shared" si="322"/>
        <v>0</v>
      </c>
      <c r="AJ201" s="140">
        <f t="shared" si="322"/>
        <v>0</v>
      </c>
      <c r="AK201" s="140">
        <f t="shared" si="322"/>
        <v>0</v>
      </c>
      <c r="AL201" s="140">
        <f t="shared" si="322"/>
        <v>0</v>
      </c>
      <c r="AM201" s="140">
        <f t="shared" si="322"/>
        <v>0</v>
      </c>
      <c r="AN201" s="140">
        <f t="shared" si="322"/>
        <v>0</v>
      </c>
      <c r="AO201" s="140">
        <f t="shared" si="322"/>
        <v>0</v>
      </c>
      <c r="AP201" s="140">
        <f t="shared" si="322"/>
        <v>0</v>
      </c>
      <c r="AQ201" s="140">
        <f t="shared" si="322"/>
        <v>0</v>
      </c>
      <c r="AR201" s="140">
        <f t="shared" si="322"/>
        <v>0</v>
      </c>
      <c r="AS201" s="140">
        <f t="shared" si="322"/>
        <v>0</v>
      </c>
      <c r="AT201" s="140">
        <f t="shared" si="322"/>
        <v>0</v>
      </c>
      <c r="AU201" s="140">
        <f t="shared" si="322"/>
        <v>0</v>
      </c>
      <c r="AV201" s="140">
        <f t="shared" si="322"/>
        <v>0</v>
      </c>
      <c r="AW201" s="140">
        <f t="shared" si="322"/>
        <v>0</v>
      </c>
      <c r="AX201" s="140">
        <f t="shared" si="322"/>
        <v>0</v>
      </c>
      <c r="AY201" s="140">
        <f t="shared" si="322"/>
        <v>0</v>
      </c>
      <c r="AZ201" s="140">
        <f t="shared" si="322"/>
        <v>0</v>
      </c>
      <c r="BA201" s="140">
        <f t="shared" si="322"/>
        <v>0</v>
      </c>
      <c r="BB201" s="140">
        <f t="shared" si="322"/>
        <v>0</v>
      </c>
      <c r="BC201" s="140">
        <f t="shared" si="322"/>
        <v>0</v>
      </c>
      <c r="BD201" s="140">
        <f t="shared" si="322"/>
        <v>0</v>
      </c>
      <c r="BE201" s="140">
        <f t="shared" si="322"/>
        <v>0</v>
      </c>
      <c r="BF201" s="140">
        <f t="shared" si="322"/>
        <v>0</v>
      </c>
      <c r="BG201" s="140">
        <f t="shared" si="322"/>
        <v>0</v>
      </c>
      <c r="BH201" s="140">
        <f t="shared" si="322"/>
        <v>0</v>
      </c>
      <c r="BI201" s="140">
        <f t="shared" si="322"/>
        <v>0</v>
      </c>
      <c r="BJ201" s="140">
        <f t="shared" si="322"/>
        <v>0</v>
      </c>
      <c r="BK201" s="140">
        <f t="shared" si="322"/>
        <v>0</v>
      </c>
      <c r="BL201" s="140">
        <f t="shared" si="322"/>
        <v>0</v>
      </c>
      <c r="BM201" s="140">
        <f t="shared" si="322"/>
        <v>0</v>
      </c>
      <c r="BN201" s="140">
        <f t="shared" si="322"/>
        <v>0</v>
      </c>
      <c r="BO201" s="140">
        <f t="shared" ref="BO201:CB201" si="323">IF(BO199&lt;0,0,$B$5+$B$6*((1-EXP(-BO200/$B$9))/(BO200/$B$9))+$B$7*((1-EXP(-BO200/$B$9))/(BO200/$B$9)-EXP(-BO200/$B$9))+$B$8*((1-EXP(-BO200/$B$10))/(BO200/$B$10)-EXP(-BO200/$B$10)))</f>
        <v>0</v>
      </c>
      <c r="BP201" s="140">
        <f t="shared" si="323"/>
        <v>0</v>
      </c>
      <c r="BQ201" s="140">
        <f t="shared" si="323"/>
        <v>0</v>
      </c>
      <c r="BR201" s="140">
        <f t="shared" si="323"/>
        <v>0</v>
      </c>
      <c r="BS201" s="140">
        <f t="shared" si="323"/>
        <v>0</v>
      </c>
      <c r="BT201" s="140">
        <f t="shared" si="323"/>
        <v>0</v>
      </c>
      <c r="BU201" s="140">
        <f t="shared" si="323"/>
        <v>0</v>
      </c>
      <c r="BV201" s="140">
        <f t="shared" si="323"/>
        <v>0</v>
      </c>
      <c r="BW201" s="140">
        <f t="shared" si="323"/>
        <v>0</v>
      </c>
      <c r="BX201" s="140">
        <f t="shared" si="323"/>
        <v>0</v>
      </c>
      <c r="BY201" s="140">
        <f t="shared" si="323"/>
        <v>0</v>
      </c>
      <c r="BZ201" s="140">
        <f t="shared" si="323"/>
        <v>0</v>
      </c>
      <c r="CA201" s="140">
        <f t="shared" si="323"/>
        <v>0</v>
      </c>
      <c r="CB201" s="140">
        <f t="shared" si="323"/>
        <v>0</v>
      </c>
      <c r="CC201" s="17"/>
      <c r="CD201" s="17"/>
      <c r="CE201" s="17"/>
    </row>
    <row r="202" spans="1:83">
      <c r="A202" s="16" t="s">
        <v>44</v>
      </c>
      <c r="B202" s="140">
        <f>EXP(-B201*B200)</f>
        <v>1</v>
      </c>
      <c r="C202" s="140">
        <f t="shared" ref="C202:BN202" si="324">EXP(-C201*C200)</f>
        <v>1</v>
      </c>
      <c r="D202" s="140">
        <f t="shared" si="324"/>
        <v>1</v>
      </c>
      <c r="E202" s="140">
        <f t="shared" si="324"/>
        <v>1</v>
      </c>
      <c r="F202" s="140">
        <f t="shared" si="324"/>
        <v>1</v>
      </c>
      <c r="G202" s="140">
        <f t="shared" si="324"/>
        <v>1</v>
      </c>
      <c r="H202" s="140">
        <f t="shared" si="324"/>
        <v>1</v>
      </c>
      <c r="I202" s="140">
        <f t="shared" si="324"/>
        <v>1</v>
      </c>
      <c r="J202" s="140">
        <f t="shared" si="324"/>
        <v>1</v>
      </c>
      <c r="K202" s="140">
        <f t="shared" si="324"/>
        <v>1</v>
      </c>
      <c r="L202" s="140">
        <f t="shared" si="324"/>
        <v>1</v>
      </c>
      <c r="M202" s="140">
        <f t="shared" si="324"/>
        <v>1</v>
      </c>
      <c r="N202" s="140">
        <f t="shared" si="324"/>
        <v>1</v>
      </c>
      <c r="O202" s="140">
        <f t="shared" si="324"/>
        <v>1</v>
      </c>
      <c r="P202" s="140">
        <f t="shared" si="324"/>
        <v>1</v>
      </c>
      <c r="Q202" s="140">
        <f t="shared" si="324"/>
        <v>1</v>
      </c>
      <c r="R202" s="140">
        <f t="shared" si="324"/>
        <v>1</v>
      </c>
      <c r="S202" s="140">
        <f t="shared" si="324"/>
        <v>1</v>
      </c>
      <c r="T202" s="140">
        <f t="shared" si="324"/>
        <v>1</v>
      </c>
      <c r="U202" s="140">
        <f t="shared" si="324"/>
        <v>1</v>
      </c>
      <c r="V202" s="140">
        <f t="shared" si="324"/>
        <v>1</v>
      </c>
      <c r="W202" s="140">
        <f t="shared" si="324"/>
        <v>1</v>
      </c>
      <c r="X202" s="140">
        <f t="shared" si="324"/>
        <v>1</v>
      </c>
      <c r="Y202" s="140">
        <f t="shared" si="324"/>
        <v>1</v>
      </c>
      <c r="Z202" s="140">
        <f t="shared" si="324"/>
        <v>1</v>
      </c>
      <c r="AA202" s="140">
        <f t="shared" si="324"/>
        <v>1</v>
      </c>
      <c r="AB202" s="140">
        <f t="shared" si="324"/>
        <v>1</v>
      </c>
      <c r="AC202" s="140">
        <f t="shared" si="324"/>
        <v>1</v>
      </c>
      <c r="AD202" s="140">
        <f t="shared" si="324"/>
        <v>1</v>
      </c>
      <c r="AE202" s="140">
        <f t="shared" si="324"/>
        <v>1</v>
      </c>
      <c r="AF202" s="140">
        <f t="shared" si="324"/>
        <v>1</v>
      </c>
      <c r="AG202" s="140">
        <f t="shared" si="324"/>
        <v>1</v>
      </c>
      <c r="AH202" s="140">
        <f t="shared" si="324"/>
        <v>1</v>
      </c>
      <c r="AI202" s="140">
        <f t="shared" si="324"/>
        <v>1</v>
      </c>
      <c r="AJ202" s="140">
        <f t="shared" si="324"/>
        <v>1</v>
      </c>
      <c r="AK202" s="140">
        <f t="shared" si="324"/>
        <v>1</v>
      </c>
      <c r="AL202" s="140">
        <f t="shared" si="324"/>
        <v>1</v>
      </c>
      <c r="AM202" s="140">
        <f t="shared" si="324"/>
        <v>1</v>
      </c>
      <c r="AN202" s="140">
        <f t="shared" si="324"/>
        <v>1</v>
      </c>
      <c r="AO202" s="140">
        <f t="shared" si="324"/>
        <v>1</v>
      </c>
      <c r="AP202" s="140">
        <f t="shared" si="324"/>
        <v>1</v>
      </c>
      <c r="AQ202" s="140">
        <f t="shared" si="324"/>
        <v>1</v>
      </c>
      <c r="AR202" s="140">
        <f t="shared" si="324"/>
        <v>1</v>
      </c>
      <c r="AS202" s="140">
        <f t="shared" si="324"/>
        <v>1</v>
      </c>
      <c r="AT202" s="140">
        <f t="shared" si="324"/>
        <v>1</v>
      </c>
      <c r="AU202" s="140">
        <f t="shared" si="324"/>
        <v>1</v>
      </c>
      <c r="AV202" s="140">
        <f t="shared" si="324"/>
        <v>1</v>
      </c>
      <c r="AW202" s="140">
        <f t="shared" si="324"/>
        <v>1</v>
      </c>
      <c r="AX202" s="140">
        <f t="shared" si="324"/>
        <v>1</v>
      </c>
      <c r="AY202" s="140">
        <f t="shared" si="324"/>
        <v>1</v>
      </c>
      <c r="AZ202" s="140">
        <f t="shared" si="324"/>
        <v>1</v>
      </c>
      <c r="BA202" s="140">
        <f t="shared" si="324"/>
        <v>1</v>
      </c>
      <c r="BB202" s="140">
        <f t="shared" si="324"/>
        <v>1</v>
      </c>
      <c r="BC202" s="140">
        <f t="shared" si="324"/>
        <v>1</v>
      </c>
      <c r="BD202" s="140">
        <f t="shared" si="324"/>
        <v>1</v>
      </c>
      <c r="BE202" s="140">
        <f t="shared" si="324"/>
        <v>1</v>
      </c>
      <c r="BF202" s="140">
        <f t="shared" si="324"/>
        <v>1</v>
      </c>
      <c r="BG202" s="140">
        <f t="shared" si="324"/>
        <v>1</v>
      </c>
      <c r="BH202" s="140">
        <f t="shared" si="324"/>
        <v>1</v>
      </c>
      <c r="BI202" s="140">
        <f t="shared" si="324"/>
        <v>1</v>
      </c>
      <c r="BJ202" s="140">
        <f t="shared" si="324"/>
        <v>1</v>
      </c>
      <c r="BK202" s="140">
        <f t="shared" si="324"/>
        <v>1</v>
      </c>
      <c r="BL202" s="140">
        <f t="shared" si="324"/>
        <v>1</v>
      </c>
      <c r="BM202" s="140">
        <f t="shared" si="324"/>
        <v>1</v>
      </c>
      <c r="BN202" s="140">
        <f t="shared" si="324"/>
        <v>1</v>
      </c>
      <c r="BO202" s="140">
        <f t="shared" ref="BO202:CB202" si="325">EXP(-BO201*BO200)</f>
        <v>1</v>
      </c>
      <c r="BP202" s="140">
        <f t="shared" si="325"/>
        <v>1</v>
      </c>
      <c r="BQ202" s="140">
        <f t="shared" si="325"/>
        <v>1</v>
      </c>
      <c r="BR202" s="140">
        <f t="shared" si="325"/>
        <v>1</v>
      </c>
      <c r="BS202" s="140">
        <f t="shared" si="325"/>
        <v>1</v>
      </c>
      <c r="BT202" s="140">
        <f t="shared" si="325"/>
        <v>1</v>
      </c>
      <c r="BU202" s="140">
        <f t="shared" si="325"/>
        <v>1</v>
      </c>
      <c r="BV202" s="140">
        <f t="shared" si="325"/>
        <v>1</v>
      </c>
      <c r="BW202" s="140">
        <f t="shared" si="325"/>
        <v>1</v>
      </c>
      <c r="BX202" s="140">
        <f t="shared" si="325"/>
        <v>1</v>
      </c>
      <c r="BY202" s="140">
        <f t="shared" si="325"/>
        <v>1</v>
      </c>
      <c r="BZ202" s="140">
        <f t="shared" si="325"/>
        <v>1</v>
      </c>
      <c r="CA202" s="140">
        <f t="shared" si="325"/>
        <v>1</v>
      </c>
      <c r="CB202" s="140">
        <f t="shared" si="325"/>
        <v>1</v>
      </c>
      <c r="CC202" s="17"/>
      <c r="CD202" s="17"/>
      <c r="CE202" s="17"/>
    </row>
    <row r="203" spans="1:83">
      <c r="A203" s="17"/>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c r="AP203" s="17"/>
      <c r="AQ203" s="17"/>
      <c r="AR203" s="17"/>
      <c r="AS203" s="17"/>
      <c r="AT203" s="17"/>
      <c r="AU203" s="17"/>
      <c r="AV203" s="17"/>
      <c r="AW203" s="17"/>
      <c r="AX203" s="17"/>
      <c r="AY203" s="17"/>
      <c r="AZ203" s="17"/>
      <c r="BA203" s="17"/>
      <c r="BB203" s="17"/>
      <c r="BC203" s="17"/>
      <c r="BD203" s="17"/>
      <c r="BE203" s="17"/>
      <c r="BF203" s="17"/>
      <c r="BG203" s="17"/>
      <c r="BH203" s="17"/>
      <c r="BI203" s="17"/>
      <c r="BJ203" s="17"/>
      <c r="BK203" s="17"/>
      <c r="BL203" s="17"/>
      <c r="BM203" s="17"/>
      <c r="BN203" s="17"/>
      <c r="BO203" s="17"/>
      <c r="BP203" s="17"/>
      <c r="BQ203" s="17"/>
      <c r="BR203" s="17"/>
      <c r="BS203" s="17"/>
      <c r="BT203" s="17"/>
      <c r="BU203" s="17"/>
      <c r="BV203" s="17"/>
      <c r="BW203" s="17"/>
      <c r="BX203" s="17"/>
      <c r="BY203" s="17"/>
      <c r="BZ203" s="17"/>
      <c r="CA203" s="17"/>
      <c r="CB203" s="17"/>
      <c r="CC203" s="17"/>
      <c r="CD203" s="17"/>
      <c r="CE203" s="17"/>
    </row>
    <row r="204" spans="1:83">
      <c r="A204" s="16" t="s">
        <v>40</v>
      </c>
      <c r="B204" s="140">
        <f>DAYS360($B$3,B78)</f>
        <v>-43022</v>
      </c>
      <c r="C204" s="140">
        <f t="shared" ref="C204:BN204" si="326">DAYS360($B$3,C78)</f>
        <v>-42842</v>
      </c>
      <c r="D204" s="140">
        <f t="shared" si="326"/>
        <v>-42662</v>
      </c>
      <c r="E204" s="140">
        <f t="shared" si="326"/>
        <v>-42482</v>
      </c>
      <c r="F204" s="140">
        <f t="shared" si="326"/>
        <v>-42302</v>
      </c>
      <c r="G204" s="140">
        <f t="shared" si="326"/>
        <v>-42122</v>
      </c>
      <c r="H204" s="140">
        <f t="shared" si="326"/>
        <v>-41942</v>
      </c>
      <c r="I204" s="140">
        <f t="shared" si="326"/>
        <v>-41762</v>
      </c>
      <c r="J204" s="140">
        <f t="shared" si="326"/>
        <v>-41582</v>
      </c>
      <c r="K204" s="140">
        <f t="shared" si="326"/>
        <v>-41403</v>
      </c>
      <c r="L204" s="140">
        <f t="shared" si="326"/>
        <v>-41223</v>
      </c>
      <c r="M204" s="140">
        <f t="shared" si="326"/>
        <v>-41043</v>
      </c>
      <c r="N204" s="140">
        <f t="shared" si="326"/>
        <v>-40863</v>
      </c>
      <c r="O204" s="140">
        <f t="shared" si="326"/>
        <v>-40683</v>
      </c>
      <c r="P204" s="140">
        <f t="shared" si="326"/>
        <v>-40503</v>
      </c>
      <c r="Q204" s="140">
        <f t="shared" si="326"/>
        <v>-40323</v>
      </c>
      <c r="R204" s="140">
        <f t="shared" si="326"/>
        <v>-40143</v>
      </c>
      <c r="S204" s="140">
        <f t="shared" si="326"/>
        <v>-39964</v>
      </c>
      <c r="T204" s="140">
        <f t="shared" si="326"/>
        <v>-39784</v>
      </c>
      <c r="U204" s="140">
        <f t="shared" si="326"/>
        <v>-39604</v>
      </c>
      <c r="V204" s="140">
        <f t="shared" si="326"/>
        <v>-39424</v>
      </c>
      <c r="W204" s="140">
        <f t="shared" si="326"/>
        <v>-39244</v>
      </c>
      <c r="X204" s="140">
        <f t="shared" si="326"/>
        <v>-39064</v>
      </c>
      <c r="Y204" s="140">
        <f t="shared" si="326"/>
        <v>-38884</v>
      </c>
      <c r="Z204" s="140">
        <f t="shared" si="326"/>
        <v>-38704</v>
      </c>
      <c r="AA204" s="140">
        <f t="shared" si="326"/>
        <v>-38525</v>
      </c>
      <c r="AB204" s="140">
        <f t="shared" si="326"/>
        <v>-38345</v>
      </c>
      <c r="AC204" s="140">
        <f t="shared" si="326"/>
        <v>-38165</v>
      </c>
      <c r="AD204" s="140">
        <f t="shared" si="326"/>
        <v>-37985</v>
      </c>
      <c r="AE204" s="140">
        <f t="shared" si="326"/>
        <v>-37805</v>
      </c>
      <c r="AF204" s="140">
        <f t="shared" si="326"/>
        <v>-37625</v>
      </c>
      <c r="AG204" s="140">
        <f t="shared" si="326"/>
        <v>-37445</v>
      </c>
      <c r="AH204" s="140">
        <f t="shared" si="326"/>
        <v>-37265</v>
      </c>
      <c r="AI204" s="140">
        <f t="shared" si="326"/>
        <v>-37086</v>
      </c>
      <c r="AJ204" s="140">
        <f t="shared" si="326"/>
        <v>-36906</v>
      </c>
      <c r="AK204" s="140">
        <f t="shared" si="326"/>
        <v>-36726</v>
      </c>
      <c r="AL204" s="140">
        <f t="shared" si="326"/>
        <v>-36546</v>
      </c>
      <c r="AM204" s="140">
        <f t="shared" si="326"/>
        <v>-36366</v>
      </c>
      <c r="AN204" s="140">
        <f t="shared" si="326"/>
        <v>-36186</v>
      </c>
      <c r="AO204" s="140">
        <f t="shared" si="326"/>
        <v>-36006</v>
      </c>
      <c r="AP204" s="140">
        <f t="shared" si="326"/>
        <v>-35826</v>
      </c>
      <c r="AQ204" s="140">
        <f t="shared" si="326"/>
        <v>-35647</v>
      </c>
      <c r="AR204" s="140">
        <f t="shared" si="326"/>
        <v>-35467</v>
      </c>
      <c r="AS204" s="140">
        <f t="shared" si="326"/>
        <v>-35287</v>
      </c>
      <c r="AT204" s="140">
        <f t="shared" si="326"/>
        <v>-35107</v>
      </c>
      <c r="AU204" s="140">
        <f t="shared" si="326"/>
        <v>-34927</v>
      </c>
      <c r="AV204" s="140">
        <f t="shared" si="326"/>
        <v>-34747</v>
      </c>
      <c r="AW204" s="140">
        <f t="shared" si="326"/>
        <v>-34567</v>
      </c>
      <c r="AX204" s="140">
        <f t="shared" si="326"/>
        <v>-34387</v>
      </c>
      <c r="AY204" s="140">
        <f t="shared" si="326"/>
        <v>-34208</v>
      </c>
      <c r="AZ204" s="140">
        <f t="shared" si="326"/>
        <v>-34028</v>
      </c>
      <c r="BA204" s="140">
        <f t="shared" si="326"/>
        <v>-33848</v>
      </c>
      <c r="BB204" s="140">
        <f t="shared" si="326"/>
        <v>-33668</v>
      </c>
      <c r="BC204" s="140">
        <f t="shared" si="326"/>
        <v>-33488</v>
      </c>
      <c r="BD204" s="140">
        <f t="shared" si="326"/>
        <v>-33308</v>
      </c>
      <c r="BE204" s="140">
        <f t="shared" si="326"/>
        <v>-33128</v>
      </c>
      <c r="BF204" s="140">
        <f t="shared" si="326"/>
        <v>-32948</v>
      </c>
      <c r="BG204" s="140">
        <f t="shared" si="326"/>
        <v>-32769</v>
      </c>
      <c r="BH204" s="140">
        <f t="shared" si="326"/>
        <v>-32589</v>
      </c>
      <c r="BI204" s="140">
        <f t="shared" si="326"/>
        <v>-32409</v>
      </c>
      <c r="BJ204" s="140">
        <f t="shared" si="326"/>
        <v>-32229</v>
      </c>
      <c r="BK204" s="140">
        <f t="shared" si="326"/>
        <v>-32049</v>
      </c>
      <c r="BL204" s="140">
        <f t="shared" si="326"/>
        <v>-31869</v>
      </c>
      <c r="BM204" s="140">
        <f t="shared" si="326"/>
        <v>-31689</v>
      </c>
      <c r="BN204" s="140">
        <f t="shared" si="326"/>
        <v>-31509</v>
      </c>
      <c r="BO204" s="140">
        <f t="shared" ref="BO204:CB204" si="327">DAYS360($B$3,BO78)</f>
        <v>-31330</v>
      </c>
      <c r="BP204" s="140">
        <f t="shared" si="327"/>
        <v>-31150</v>
      </c>
      <c r="BQ204" s="140">
        <f t="shared" si="327"/>
        <v>-30970</v>
      </c>
      <c r="BR204" s="140">
        <f t="shared" si="327"/>
        <v>-30790</v>
      </c>
      <c r="BS204" s="140">
        <f t="shared" si="327"/>
        <v>-30610</v>
      </c>
      <c r="BT204" s="140">
        <f t="shared" si="327"/>
        <v>-30430</v>
      </c>
      <c r="BU204" s="140">
        <f t="shared" si="327"/>
        <v>-30250</v>
      </c>
      <c r="BV204" s="140">
        <f t="shared" si="327"/>
        <v>-30070</v>
      </c>
      <c r="BW204" s="140">
        <f t="shared" si="327"/>
        <v>-29891</v>
      </c>
      <c r="BX204" s="140">
        <f t="shared" si="327"/>
        <v>-29711</v>
      </c>
      <c r="BY204" s="140">
        <f t="shared" si="327"/>
        <v>-29531</v>
      </c>
      <c r="BZ204" s="140">
        <f t="shared" si="327"/>
        <v>-29351</v>
      </c>
      <c r="CA204" s="140">
        <f t="shared" si="327"/>
        <v>-29171</v>
      </c>
      <c r="CB204" s="140">
        <f t="shared" si="327"/>
        <v>-28991</v>
      </c>
      <c r="CC204" s="17"/>
      <c r="CD204" s="17"/>
      <c r="CE204" s="17"/>
    </row>
    <row r="205" spans="1:83">
      <c r="A205" s="16" t="s">
        <v>41</v>
      </c>
      <c r="B205" s="140">
        <f>B204/360</f>
        <v>-119.50555555555556</v>
      </c>
      <c r="C205" s="140">
        <f t="shared" ref="C205:BN205" si="328">C204/360</f>
        <v>-119.00555555555556</v>
      </c>
      <c r="D205" s="140">
        <f t="shared" si="328"/>
        <v>-118.50555555555556</v>
      </c>
      <c r="E205" s="140">
        <f t="shared" si="328"/>
        <v>-118.00555555555556</v>
      </c>
      <c r="F205" s="140">
        <f t="shared" si="328"/>
        <v>-117.50555555555556</v>
      </c>
      <c r="G205" s="140">
        <f t="shared" si="328"/>
        <v>-117.00555555555556</v>
      </c>
      <c r="H205" s="140">
        <f t="shared" si="328"/>
        <v>-116.50555555555556</v>
      </c>
      <c r="I205" s="140">
        <f t="shared" si="328"/>
        <v>-116.00555555555556</v>
      </c>
      <c r="J205" s="140">
        <f t="shared" si="328"/>
        <v>-115.50555555555556</v>
      </c>
      <c r="K205" s="140">
        <f t="shared" si="328"/>
        <v>-115.00833333333334</v>
      </c>
      <c r="L205" s="140">
        <f t="shared" si="328"/>
        <v>-114.50833333333334</v>
      </c>
      <c r="M205" s="140">
        <f t="shared" si="328"/>
        <v>-114.00833333333334</v>
      </c>
      <c r="N205" s="140">
        <f t="shared" si="328"/>
        <v>-113.50833333333334</v>
      </c>
      <c r="O205" s="140">
        <f t="shared" si="328"/>
        <v>-113.00833333333334</v>
      </c>
      <c r="P205" s="140">
        <f t="shared" si="328"/>
        <v>-112.50833333333334</v>
      </c>
      <c r="Q205" s="140">
        <f t="shared" si="328"/>
        <v>-112.00833333333334</v>
      </c>
      <c r="R205" s="140">
        <f t="shared" si="328"/>
        <v>-111.50833333333334</v>
      </c>
      <c r="S205" s="140">
        <f t="shared" si="328"/>
        <v>-111.01111111111111</v>
      </c>
      <c r="T205" s="140">
        <f t="shared" si="328"/>
        <v>-110.51111111111111</v>
      </c>
      <c r="U205" s="140">
        <f t="shared" si="328"/>
        <v>-110.01111111111111</v>
      </c>
      <c r="V205" s="140">
        <f t="shared" si="328"/>
        <v>-109.51111111111111</v>
      </c>
      <c r="W205" s="140">
        <f t="shared" si="328"/>
        <v>-109.01111111111111</v>
      </c>
      <c r="X205" s="140">
        <f t="shared" si="328"/>
        <v>-108.51111111111111</v>
      </c>
      <c r="Y205" s="140">
        <f t="shared" si="328"/>
        <v>-108.01111111111111</v>
      </c>
      <c r="Z205" s="140">
        <f t="shared" si="328"/>
        <v>-107.51111111111111</v>
      </c>
      <c r="AA205" s="140">
        <f t="shared" si="328"/>
        <v>-107.01388888888889</v>
      </c>
      <c r="AB205" s="140">
        <f t="shared" si="328"/>
        <v>-106.51388888888889</v>
      </c>
      <c r="AC205" s="140">
        <f t="shared" si="328"/>
        <v>-106.01388888888889</v>
      </c>
      <c r="AD205" s="140">
        <f t="shared" si="328"/>
        <v>-105.51388888888889</v>
      </c>
      <c r="AE205" s="140">
        <f t="shared" si="328"/>
        <v>-105.01388888888889</v>
      </c>
      <c r="AF205" s="140">
        <f t="shared" si="328"/>
        <v>-104.51388888888889</v>
      </c>
      <c r="AG205" s="140">
        <f t="shared" si="328"/>
        <v>-104.01388888888889</v>
      </c>
      <c r="AH205" s="140">
        <f t="shared" si="328"/>
        <v>-103.51388888888889</v>
      </c>
      <c r="AI205" s="140">
        <f t="shared" si="328"/>
        <v>-103.01666666666667</v>
      </c>
      <c r="AJ205" s="140">
        <f t="shared" si="328"/>
        <v>-102.51666666666667</v>
      </c>
      <c r="AK205" s="140">
        <f t="shared" si="328"/>
        <v>-102.01666666666667</v>
      </c>
      <c r="AL205" s="140">
        <f t="shared" si="328"/>
        <v>-101.51666666666667</v>
      </c>
      <c r="AM205" s="140">
        <f t="shared" si="328"/>
        <v>-101.01666666666667</v>
      </c>
      <c r="AN205" s="140">
        <f t="shared" si="328"/>
        <v>-100.51666666666667</v>
      </c>
      <c r="AO205" s="140">
        <f t="shared" si="328"/>
        <v>-100.01666666666667</v>
      </c>
      <c r="AP205" s="140">
        <f t="shared" si="328"/>
        <v>-99.516666666666666</v>
      </c>
      <c r="AQ205" s="140">
        <f t="shared" si="328"/>
        <v>-99.019444444444446</v>
      </c>
      <c r="AR205" s="140">
        <f t="shared" si="328"/>
        <v>-98.519444444444446</v>
      </c>
      <c r="AS205" s="140">
        <f t="shared" si="328"/>
        <v>-98.019444444444446</v>
      </c>
      <c r="AT205" s="140">
        <f t="shared" si="328"/>
        <v>-97.519444444444446</v>
      </c>
      <c r="AU205" s="140">
        <f t="shared" si="328"/>
        <v>-97.019444444444446</v>
      </c>
      <c r="AV205" s="140">
        <f t="shared" si="328"/>
        <v>-96.519444444444446</v>
      </c>
      <c r="AW205" s="140">
        <f t="shared" si="328"/>
        <v>-96.019444444444446</v>
      </c>
      <c r="AX205" s="140">
        <f t="shared" si="328"/>
        <v>-95.519444444444446</v>
      </c>
      <c r="AY205" s="140">
        <f t="shared" si="328"/>
        <v>-95.022222222222226</v>
      </c>
      <c r="AZ205" s="140">
        <f t="shared" si="328"/>
        <v>-94.522222222222226</v>
      </c>
      <c r="BA205" s="140">
        <f t="shared" si="328"/>
        <v>-94.022222222222226</v>
      </c>
      <c r="BB205" s="140">
        <f t="shared" si="328"/>
        <v>-93.522222222222226</v>
      </c>
      <c r="BC205" s="140">
        <f t="shared" si="328"/>
        <v>-93.022222222222226</v>
      </c>
      <c r="BD205" s="140">
        <f t="shared" si="328"/>
        <v>-92.522222222222226</v>
      </c>
      <c r="BE205" s="140">
        <f t="shared" si="328"/>
        <v>-92.022222222222226</v>
      </c>
      <c r="BF205" s="140">
        <f t="shared" si="328"/>
        <v>-91.522222222222226</v>
      </c>
      <c r="BG205" s="140">
        <f t="shared" si="328"/>
        <v>-91.025000000000006</v>
      </c>
      <c r="BH205" s="140">
        <f t="shared" si="328"/>
        <v>-90.525000000000006</v>
      </c>
      <c r="BI205" s="140">
        <f t="shared" si="328"/>
        <v>-90.025000000000006</v>
      </c>
      <c r="BJ205" s="140">
        <f t="shared" si="328"/>
        <v>-89.525000000000006</v>
      </c>
      <c r="BK205" s="140">
        <f t="shared" si="328"/>
        <v>-89.025000000000006</v>
      </c>
      <c r="BL205" s="140">
        <f t="shared" si="328"/>
        <v>-88.525000000000006</v>
      </c>
      <c r="BM205" s="140">
        <f t="shared" si="328"/>
        <v>-88.025000000000006</v>
      </c>
      <c r="BN205" s="140">
        <f t="shared" si="328"/>
        <v>-87.525000000000006</v>
      </c>
      <c r="BO205" s="140">
        <f t="shared" ref="BO205:CB205" si="329">BO204/360</f>
        <v>-87.027777777777771</v>
      </c>
      <c r="BP205" s="140">
        <f t="shared" si="329"/>
        <v>-86.527777777777771</v>
      </c>
      <c r="BQ205" s="140">
        <f t="shared" si="329"/>
        <v>-86.027777777777771</v>
      </c>
      <c r="BR205" s="140">
        <f t="shared" si="329"/>
        <v>-85.527777777777771</v>
      </c>
      <c r="BS205" s="140">
        <f t="shared" si="329"/>
        <v>-85.027777777777771</v>
      </c>
      <c r="BT205" s="140">
        <f t="shared" si="329"/>
        <v>-84.527777777777771</v>
      </c>
      <c r="BU205" s="140">
        <f t="shared" si="329"/>
        <v>-84.027777777777771</v>
      </c>
      <c r="BV205" s="140">
        <f t="shared" si="329"/>
        <v>-83.527777777777771</v>
      </c>
      <c r="BW205" s="140">
        <f t="shared" si="329"/>
        <v>-83.030555555555551</v>
      </c>
      <c r="BX205" s="140">
        <f t="shared" si="329"/>
        <v>-82.530555555555551</v>
      </c>
      <c r="BY205" s="140">
        <f t="shared" si="329"/>
        <v>-82.030555555555551</v>
      </c>
      <c r="BZ205" s="140">
        <f t="shared" si="329"/>
        <v>-81.530555555555551</v>
      </c>
      <c r="CA205" s="140">
        <f t="shared" si="329"/>
        <v>-81.030555555555551</v>
      </c>
      <c r="CB205" s="140">
        <f t="shared" si="329"/>
        <v>-80.530555555555551</v>
      </c>
      <c r="CC205" s="17"/>
      <c r="CD205" s="17"/>
      <c r="CE205" s="17"/>
    </row>
    <row r="206" spans="1:83">
      <c r="A206" s="16" t="s">
        <v>43</v>
      </c>
      <c r="B206" s="140">
        <f>IF(B204&lt;0,0,$B$5+$B$6*((1-EXP(-B205/$B$9))/(B205/$B$9))+$B$7*((1-EXP(-B205/$B$9))/(B205/$B$9)-EXP(-B205/$B$9))+$B$8*((1-EXP(-B205/$B$10))/(B205/$B$10)-EXP(-B205/$B$10)))</f>
        <v>0</v>
      </c>
      <c r="C206" s="140">
        <f t="shared" ref="C206:BN206" si="330">IF(C204&lt;0,0,$B$5+$B$6*((1-EXP(-C205/$B$9))/(C205/$B$9))+$B$7*((1-EXP(-C205/$B$9))/(C205/$B$9)-EXP(-C205/$B$9))+$B$8*((1-EXP(-C205/$B$10))/(C205/$B$10)-EXP(-C205/$B$10)))</f>
        <v>0</v>
      </c>
      <c r="D206" s="140">
        <f t="shared" si="330"/>
        <v>0</v>
      </c>
      <c r="E206" s="140">
        <f t="shared" si="330"/>
        <v>0</v>
      </c>
      <c r="F206" s="140">
        <f t="shared" si="330"/>
        <v>0</v>
      </c>
      <c r="G206" s="140">
        <f t="shared" si="330"/>
        <v>0</v>
      </c>
      <c r="H206" s="140">
        <f t="shared" si="330"/>
        <v>0</v>
      </c>
      <c r="I206" s="140">
        <f t="shared" si="330"/>
        <v>0</v>
      </c>
      <c r="J206" s="140">
        <f t="shared" si="330"/>
        <v>0</v>
      </c>
      <c r="K206" s="140">
        <f t="shared" si="330"/>
        <v>0</v>
      </c>
      <c r="L206" s="140">
        <f t="shared" si="330"/>
        <v>0</v>
      </c>
      <c r="M206" s="140">
        <f t="shared" si="330"/>
        <v>0</v>
      </c>
      <c r="N206" s="140">
        <f t="shared" si="330"/>
        <v>0</v>
      </c>
      <c r="O206" s="140">
        <f t="shared" si="330"/>
        <v>0</v>
      </c>
      <c r="P206" s="140">
        <f t="shared" si="330"/>
        <v>0</v>
      </c>
      <c r="Q206" s="140">
        <f t="shared" si="330"/>
        <v>0</v>
      </c>
      <c r="R206" s="140">
        <f t="shared" si="330"/>
        <v>0</v>
      </c>
      <c r="S206" s="140">
        <f t="shared" si="330"/>
        <v>0</v>
      </c>
      <c r="T206" s="140">
        <f t="shared" si="330"/>
        <v>0</v>
      </c>
      <c r="U206" s="140">
        <f t="shared" si="330"/>
        <v>0</v>
      </c>
      <c r="V206" s="140">
        <f t="shared" si="330"/>
        <v>0</v>
      </c>
      <c r="W206" s="140">
        <f t="shared" si="330"/>
        <v>0</v>
      </c>
      <c r="X206" s="140">
        <f t="shared" si="330"/>
        <v>0</v>
      </c>
      <c r="Y206" s="140">
        <f t="shared" si="330"/>
        <v>0</v>
      </c>
      <c r="Z206" s="140">
        <f t="shared" si="330"/>
        <v>0</v>
      </c>
      <c r="AA206" s="140">
        <f t="shared" si="330"/>
        <v>0</v>
      </c>
      <c r="AB206" s="140">
        <f t="shared" si="330"/>
        <v>0</v>
      </c>
      <c r="AC206" s="140">
        <f t="shared" si="330"/>
        <v>0</v>
      </c>
      <c r="AD206" s="140">
        <f t="shared" si="330"/>
        <v>0</v>
      </c>
      <c r="AE206" s="140">
        <f t="shared" si="330"/>
        <v>0</v>
      </c>
      <c r="AF206" s="140">
        <f t="shared" si="330"/>
        <v>0</v>
      </c>
      <c r="AG206" s="140">
        <f t="shared" si="330"/>
        <v>0</v>
      </c>
      <c r="AH206" s="140">
        <f t="shared" si="330"/>
        <v>0</v>
      </c>
      <c r="AI206" s="140">
        <f t="shared" si="330"/>
        <v>0</v>
      </c>
      <c r="AJ206" s="140">
        <f t="shared" si="330"/>
        <v>0</v>
      </c>
      <c r="AK206" s="140">
        <f t="shared" si="330"/>
        <v>0</v>
      </c>
      <c r="AL206" s="140">
        <f t="shared" si="330"/>
        <v>0</v>
      </c>
      <c r="AM206" s="140">
        <f t="shared" si="330"/>
        <v>0</v>
      </c>
      <c r="AN206" s="140">
        <f t="shared" si="330"/>
        <v>0</v>
      </c>
      <c r="AO206" s="140">
        <f t="shared" si="330"/>
        <v>0</v>
      </c>
      <c r="AP206" s="140">
        <f t="shared" si="330"/>
        <v>0</v>
      </c>
      <c r="AQ206" s="140">
        <f t="shared" si="330"/>
        <v>0</v>
      </c>
      <c r="AR206" s="140">
        <f t="shared" si="330"/>
        <v>0</v>
      </c>
      <c r="AS206" s="140">
        <f t="shared" si="330"/>
        <v>0</v>
      </c>
      <c r="AT206" s="140">
        <f t="shared" si="330"/>
        <v>0</v>
      </c>
      <c r="AU206" s="140">
        <f t="shared" si="330"/>
        <v>0</v>
      </c>
      <c r="AV206" s="140">
        <f t="shared" si="330"/>
        <v>0</v>
      </c>
      <c r="AW206" s="140">
        <f t="shared" si="330"/>
        <v>0</v>
      </c>
      <c r="AX206" s="140">
        <f t="shared" si="330"/>
        <v>0</v>
      </c>
      <c r="AY206" s="140">
        <f t="shared" si="330"/>
        <v>0</v>
      </c>
      <c r="AZ206" s="140">
        <f t="shared" si="330"/>
        <v>0</v>
      </c>
      <c r="BA206" s="140">
        <f t="shared" si="330"/>
        <v>0</v>
      </c>
      <c r="BB206" s="140">
        <f t="shared" si="330"/>
        <v>0</v>
      </c>
      <c r="BC206" s="140">
        <f t="shared" si="330"/>
        <v>0</v>
      </c>
      <c r="BD206" s="140">
        <f t="shared" si="330"/>
        <v>0</v>
      </c>
      <c r="BE206" s="140">
        <f t="shared" si="330"/>
        <v>0</v>
      </c>
      <c r="BF206" s="140">
        <f t="shared" si="330"/>
        <v>0</v>
      </c>
      <c r="BG206" s="140">
        <f t="shared" si="330"/>
        <v>0</v>
      </c>
      <c r="BH206" s="140">
        <f t="shared" si="330"/>
        <v>0</v>
      </c>
      <c r="BI206" s="140">
        <f t="shared" si="330"/>
        <v>0</v>
      </c>
      <c r="BJ206" s="140">
        <f t="shared" si="330"/>
        <v>0</v>
      </c>
      <c r="BK206" s="140">
        <f t="shared" si="330"/>
        <v>0</v>
      </c>
      <c r="BL206" s="140">
        <f t="shared" si="330"/>
        <v>0</v>
      </c>
      <c r="BM206" s="140">
        <f t="shared" si="330"/>
        <v>0</v>
      </c>
      <c r="BN206" s="140">
        <f t="shared" si="330"/>
        <v>0</v>
      </c>
      <c r="BO206" s="140">
        <f t="shared" ref="BO206:CB206" si="331">IF(BO204&lt;0,0,$B$5+$B$6*((1-EXP(-BO205/$B$9))/(BO205/$B$9))+$B$7*((1-EXP(-BO205/$B$9))/(BO205/$B$9)-EXP(-BO205/$B$9))+$B$8*((1-EXP(-BO205/$B$10))/(BO205/$B$10)-EXP(-BO205/$B$10)))</f>
        <v>0</v>
      </c>
      <c r="BP206" s="140">
        <f t="shared" si="331"/>
        <v>0</v>
      </c>
      <c r="BQ206" s="140">
        <f t="shared" si="331"/>
        <v>0</v>
      </c>
      <c r="BR206" s="140">
        <f t="shared" si="331"/>
        <v>0</v>
      </c>
      <c r="BS206" s="140">
        <f t="shared" si="331"/>
        <v>0</v>
      </c>
      <c r="BT206" s="140">
        <f t="shared" si="331"/>
        <v>0</v>
      </c>
      <c r="BU206" s="140">
        <f t="shared" si="331"/>
        <v>0</v>
      </c>
      <c r="BV206" s="140">
        <f t="shared" si="331"/>
        <v>0</v>
      </c>
      <c r="BW206" s="140">
        <f t="shared" si="331"/>
        <v>0</v>
      </c>
      <c r="BX206" s="140">
        <f t="shared" si="331"/>
        <v>0</v>
      </c>
      <c r="BY206" s="140">
        <f t="shared" si="331"/>
        <v>0</v>
      </c>
      <c r="BZ206" s="140">
        <f t="shared" si="331"/>
        <v>0</v>
      </c>
      <c r="CA206" s="140">
        <f t="shared" si="331"/>
        <v>0</v>
      </c>
      <c r="CB206" s="140">
        <f t="shared" si="331"/>
        <v>0</v>
      </c>
      <c r="CC206" s="17"/>
      <c r="CD206" s="17"/>
      <c r="CE206" s="17"/>
    </row>
    <row r="207" spans="1:83">
      <c r="A207" s="16" t="s">
        <v>44</v>
      </c>
      <c r="B207" s="140">
        <f>EXP(-B206*B205)</f>
        <v>1</v>
      </c>
      <c r="C207" s="140">
        <f t="shared" ref="C207:BN207" si="332">EXP(-C206*C205)</f>
        <v>1</v>
      </c>
      <c r="D207" s="140">
        <f t="shared" si="332"/>
        <v>1</v>
      </c>
      <c r="E207" s="140">
        <f t="shared" si="332"/>
        <v>1</v>
      </c>
      <c r="F207" s="140">
        <f t="shared" si="332"/>
        <v>1</v>
      </c>
      <c r="G207" s="140">
        <f t="shared" si="332"/>
        <v>1</v>
      </c>
      <c r="H207" s="140">
        <f t="shared" si="332"/>
        <v>1</v>
      </c>
      <c r="I207" s="140">
        <f t="shared" si="332"/>
        <v>1</v>
      </c>
      <c r="J207" s="140">
        <f t="shared" si="332"/>
        <v>1</v>
      </c>
      <c r="K207" s="140">
        <f t="shared" si="332"/>
        <v>1</v>
      </c>
      <c r="L207" s="140">
        <f t="shared" si="332"/>
        <v>1</v>
      </c>
      <c r="M207" s="140">
        <f t="shared" si="332"/>
        <v>1</v>
      </c>
      <c r="N207" s="140">
        <f t="shared" si="332"/>
        <v>1</v>
      </c>
      <c r="O207" s="140">
        <f t="shared" si="332"/>
        <v>1</v>
      </c>
      <c r="P207" s="140">
        <f t="shared" si="332"/>
        <v>1</v>
      </c>
      <c r="Q207" s="140">
        <f t="shared" si="332"/>
        <v>1</v>
      </c>
      <c r="R207" s="140">
        <f t="shared" si="332"/>
        <v>1</v>
      </c>
      <c r="S207" s="140">
        <f t="shared" si="332"/>
        <v>1</v>
      </c>
      <c r="T207" s="140">
        <f t="shared" si="332"/>
        <v>1</v>
      </c>
      <c r="U207" s="140">
        <f t="shared" si="332"/>
        <v>1</v>
      </c>
      <c r="V207" s="140">
        <f t="shared" si="332"/>
        <v>1</v>
      </c>
      <c r="W207" s="140">
        <f t="shared" si="332"/>
        <v>1</v>
      </c>
      <c r="X207" s="140">
        <f t="shared" si="332"/>
        <v>1</v>
      </c>
      <c r="Y207" s="140">
        <f t="shared" si="332"/>
        <v>1</v>
      </c>
      <c r="Z207" s="140">
        <f t="shared" si="332"/>
        <v>1</v>
      </c>
      <c r="AA207" s="140">
        <f t="shared" si="332"/>
        <v>1</v>
      </c>
      <c r="AB207" s="140">
        <f t="shared" si="332"/>
        <v>1</v>
      </c>
      <c r="AC207" s="140">
        <f t="shared" si="332"/>
        <v>1</v>
      </c>
      <c r="AD207" s="140">
        <f t="shared" si="332"/>
        <v>1</v>
      </c>
      <c r="AE207" s="140">
        <f t="shared" si="332"/>
        <v>1</v>
      </c>
      <c r="AF207" s="140">
        <f t="shared" si="332"/>
        <v>1</v>
      </c>
      <c r="AG207" s="140">
        <f t="shared" si="332"/>
        <v>1</v>
      </c>
      <c r="AH207" s="140">
        <f t="shared" si="332"/>
        <v>1</v>
      </c>
      <c r="AI207" s="140">
        <f t="shared" si="332"/>
        <v>1</v>
      </c>
      <c r="AJ207" s="140">
        <f t="shared" si="332"/>
        <v>1</v>
      </c>
      <c r="AK207" s="140">
        <f t="shared" si="332"/>
        <v>1</v>
      </c>
      <c r="AL207" s="140">
        <f t="shared" si="332"/>
        <v>1</v>
      </c>
      <c r="AM207" s="140">
        <f t="shared" si="332"/>
        <v>1</v>
      </c>
      <c r="AN207" s="140">
        <f t="shared" si="332"/>
        <v>1</v>
      </c>
      <c r="AO207" s="140">
        <f t="shared" si="332"/>
        <v>1</v>
      </c>
      <c r="AP207" s="140">
        <f t="shared" si="332"/>
        <v>1</v>
      </c>
      <c r="AQ207" s="140">
        <f t="shared" si="332"/>
        <v>1</v>
      </c>
      <c r="AR207" s="140">
        <f t="shared" si="332"/>
        <v>1</v>
      </c>
      <c r="AS207" s="140">
        <f t="shared" si="332"/>
        <v>1</v>
      </c>
      <c r="AT207" s="140">
        <f t="shared" si="332"/>
        <v>1</v>
      </c>
      <c r="AU207" s="140">
        <f t="shared" si="332"/>
        <v>1</v>
      </c>
      <c r="AV207" s="140">
        <f t="shared" si="332"/>
        <v>1</v>
      </c>
      <c r="AW207" s="140">
        <f t="shared" si="332"/>
        <v>1</v>
      </c>
      <c r="AX207" s="140">
        <f t="shared" si="332"/>
        <v>1</v>
      </c>
      <c r="AY207" s="140">
        <f t="shared" si="332"/>
        <v>1</v>
      </c>
      <c r="AZ207" s="140">
        <f t="shared" si="332"/>
        <v>1</v>
      </c>
      <c r="BA207" s="140">
        <f t="shared" si="332"/>
        <v>1</v>
      </c>
      <c r="BB207" s="140">
        <f t="shared" si="332"/>
        <v>1</v>
      </c>
      <c r="BC207" s="140">
        <f t="shared" si="332"/>
        <v>1</v>
      </c>
      <c r="BD207" s="140">
        <f t="shared" si="332"/>
        <v>1</v>
      </c>
      <c r="BE207" s="140">
        <f t="shared" si="332"/>
        <v>1</v>
      </c>
      <c r="BF207" s="140">
        <f t="shared" si="332"/>
        <v>1</v>
      </c>
      <c r="BG207" s="140">
        <f t="shared" si="332"/>
        <v>1</v>
      </c>
      <c r="BH207" s="140">
        <f t="shared" si="332"/>
        <v>1</v>
      </c>
      <c r="BI207" s="140">
        <f t="shared" si="332"/>
        <v>1</v>
      </c>
      <c r="BJ207" s="140">
        <f t="shared" si="332"/>
        <v>1</v>
      </c>
      <c r="BK207" s="140">
        <f t="shared" si="332"/>
        <v>1</v>
      </c>
      <c r="BL207" s="140">
        <f t="shared" si="332"/>
        <v>1</v>
      </c>
      <c r="BM207" s="140">
        <f t="shared" si="332"/>
        <v>1</v>
      </c>
      <c r="BN207" s="140">
        <f t="shared" si="332"/>
        <v>1</v>
      </c>
      <c r="BO207" s="140">
        <f t="shared" ref="BO207:CB207" si="333">EXP(-BO206*BO205)</f>
        <v>1</v>
      </c>
      <c r="BP207" s="140">
        <f t="shared" si="333"/>
        <v>1</v>
      </c>
      <c r="BQ207" s="140">
        <f t="shared" si="333"/>
        <v>1</v>
      </c>
      <c r="BR207" s="140">
        <f t="shared" si="333"/>
        <v>1</v>
      </c>
      <c r="BS207" s="140">
        <f t="shared" si="333"/>
        <v>1</v>
      </c>
      <c r="BT207" s="140">
        <f t="shared" si="333"/>
        <v>1</v>
      </c>
      <c r="BU207" s="140">
        <f t="shared" si="333"/>
        <v>1</v>
      </c>
      <c r="BV207" s="140">
        <f t="shared" si="333"/>
        <v>1</v>
      </c>
      <c r="BW207" s="140">
        <f t="shared" si="333"/>
        <v>1</v>
      </c>
      <c r="BX207" s="140">
        <f t="shared" si="333"/>
        <v>1</v>
      </c>
      <c r="BY207" s="140">
        <f t="shared" si="333"/>
        <v>1</v>
      </c>
      <c r="BZ207" s="140">
        <f t="shared" si="333"/>
        <v>1</v>
      </c>
      <c r="CA207" s="140">
        <f t="shared" si="333"/>
        <v>1</v>
      </c>
      <c r="CB207" s="140">
        <f t="shared" si="333"/>
        <v>1</v>
      </c>
      <c r="CC207" s="17"/>
      <c r="CD207" s="17"/>
      <c r="CE207" s="17"/>
    </row>
    <row r="208" spans="1:83">
      <c r="A208" s="17"/>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c r="AP208" s="17"/>
      <c r="AQ208" s="17"/>
      <c r="AR208" s="17"/>
      <c r="AS208" s="17"/>
      <c r="AT208" s="17"/>
      <c r="AU208" s="17"/>
      <c r="AV208" s="17"/>
      <c r="AW208" s="17"/>
      <c r="AX208" s="17"/>
      <c r="AY208" s="17"/>
      <c r="AZ208" s="17"/>
      <c r="BA208" s="17"/>
      <c r="BB208" s="17"/>
      <c r="BC208" s="17"/>
      <c r="BD208" s="17"/>
      <c r="BE208" s="17"/>
      <c r="BF208" s="17"/>
      <c r="BG208" s="17"/>
      <c r="BH208" s="17"/>
      <c r="BI208" s="17"/>
      <c r="BJ208" s="17"/>
      <c r="BK208" s="17"/>
      <c r="BL208" s="17"/>
      <c r="BM208" s="17"/>
      <c r="BN208" s="17"/>
      <c r="BO208" s="17"/>
      <c r="BP208" s="17"/>
      <c r="BQ208" s="17"/>
      <c r="BR208" s="17"/>
      <c r="BS208" s="17"/>
      <c r="BT208" s="17"/>
      <c r="BU208" s="17"/>
      <c r="BV208" s="17"/>
      <c r="BW208" s="17"/>
      <c r="BX208" s="17"/>
      <c r="BY208" s="17"/>
      <c r="BZ208" s="17"/>
      <c r="CA208" s="17"/>
      <c r="CB208" s="17"/>
      <c r="CC208" s="17"/>
      <c r="CD208" s="17"/>
      <c r="CE208" s="17"/>
    </row>
    <row r="209" spans="1:134">
      <c r="A209" s="16" t="s">
        <v>40</v>
      </c>
      <c r="B209" s="140">
        <f>DAYS360($B$3,B80)</f>
        <v>-43022</v>
      </c>
      <c r="C209" s="140">
        <f t="shared" ref="C209:BN209" si="334">DAYS360($B$3,C80)</f>
        <v>-42842</v>
      </c>
      <c r="D209" s="140">
        <f t="shared" si="334"/>
        <v>-42662</v>
      </c>
      <c r="E209" s="140">
        <f t="shared" si="334"/>
        <v>-42482</v>
      </c>
      <c r="F209" s="140">
        <f t="shared" si="334"/>
        <v>-42302</v>
      </c>
      <c r="G209" s="140">
        <f t="shared" si="334"/>
        <v>-42122</v>
      </c>
      <c r="H209" s="140">
        <f t="shared" si="334"/>
        <v>-41942</v>
      </c>
      <c r="I209" s="140">
        <f t="shared" si="334"/>
        <v>-41762</v>
      </c>
      <c r="J209" s="140">
        <f t="shared" si="334"/>
        <v>-41582</v>
      </c>
      <c r="K209" s="140">
        <f t="shared" si="334"/>
        <v>-41403</v>
      </c>
      <c r="L209" s="140">
        <f t="shared" si="334"/>
        <v>-41223</v>
      </c>
      <c r="M209" s="140">
        <f t="shared" si="334"/>
        <v>-41043</v>
      </c>
      <c r="N209" s="140">
        <f t="shared" si="334"/>
        <v>-40863</v>
      </c>
      <c r="O209" s="140">
        <f t="shared" si="334"/>
        <v>-40683</v>
      </c>
      <c r="P209" s="140">
        <f t="shared" si="334"/>
        <v>-40503</v>
      </c>
      <c r="Q209" s="140">
        <f t="shared" si="334"/>
        <v>-40323</v>
      </c>
      <c r="R209" s="140">
        <f t="shared" si="334"/>
        <v>-40143</v>
      </c>
      <c r="S209" s="140">
        <f t="shared" si="334"/>
        <v>-39964</v>
      </c>
      <c r="T209" s="140">
        <f t="shared" si="334"/>
        <v>-39784</v>
      </c>
      <c r="U209" s="140">
        <f t="shared" si="334"/>
        <v>-39604</v>
      </c>
      <c r="V209" s="140">
        <f t="shared" si="334"/>
        <v>-39424</v>
      </c>
      <c r="W209" s="140">
        <f t="shared" si="334"/>
        <v>-39244</v>
      </c>
      <c r="X209" s="140">
        <f t="shared" si="334"/>
        <v>-39064</v>
      </c>
      <c r="Y209" s="140">
        <f t="shared" si="334"/>
        <v>-38884</v>
      </c>
      <c r="Z209" s="140">
        <f t="shared" si="334"/>
        <v>-38704</v>
      </c>
      <c r="AA209" s="140">
        <f t="shared" si="334"/>
        <v>-38525</v>
      </c>
      <c r="AB209" s="140">
        <f t="shared" si="334"/>
        <v>-38345</v>
      </c>
      <c r="AC209" s="140">
        <f t="shared" si="334"/>
        <v>-38165</v>
      </c>
      <c r="AD209" s="140">
        <f t="shared" si="334"/>
        <v>-37985</v>
      </c>
      <c r="AE209" s="140">
        <f t="shared" si="334"/>
        <v>-37805</v>
      </c>
      <c r="AF209" s="140">
        <f t="shared" si="334"/>
        <v>-37625</v>
      </c>
      <c r="AG209" s="140">
        <f t="shared" si="334"/>
        <v>-37445</v>
      </c>
      <c r="AH209" s="140">
        <f t="shared" si="334"/>
        <v>-37265</v>
      </c>
      <c r="AI209" s="140">
        <f t="shared" si="334"/>
        <v>-37086</v>
      </c>
      <c r="AJ209" s="140">
        <f t="shared" si="334"/>
        <v>-36906</v>
      </c>
      <c r="AK209" s="140">
        <f t="shared" si="334"/>
        <v>-36726</v>
      </c>
      <c r="AL209" s="140">
        <f t="shared" si="334"/>
        <v>-36546</v>
      </c>
      <c r="AM209" s="140">
        <f t="shared" si="334"/>
        <v>-36366</v>
      </c>
      <c r="AN209" s="140">
        <f t="shared" si="334"/>
        <v>-36186</v>
      </c>
      <c r="AO209" s="140">
        <f t="shared" si="334"/>
        <v>-36006</v>
      </c>
      <c r="AP209" s="140">
        <f t="shared" si="334"/>
        <v>-35826</v>
      </c>
      <c r="AQ209" s="140">
        <f t="shared" si="334"/>
        <v>-35647</v>
      </c>
      <c r="AR209" s="140">
        <f t="shared" si="334"/>
        <v>-35467</v>
      </c>
      <c r="AS209" s="140">
        <f t="shared" si="334"/>
        <v>-35287</v>
      </c>
      <c r="AT209" s="140">
        <f t="shared" si="334"/>
        <v>-35107</v>
      </c>
      <c r="AU209" s="140">
        <f t="shared" si="334"/>
        <v>-34927</v>
      </c>
      <c r="AV209" s="140">
        <f t="shared" si="334"/>
        <v>-34747</v>
      </c>
      <c r="AW209" s="140">
        <f t="shared" si="334"/>
        <v>-34567</v>
      </c>
      <c r="AX209" s="140">
        <f t="shared" si="334"/>
        <v>-34387</v>
      </c>
      <c r="AY209" s="140">
        <f t="shared" si="334"/>
        <v>-34208</v>
      </c>
      <c r="AZ209" s="140">
        <f t="shared" si="334"/>
        <v>-34028</v>
      </c>
      <c r="BA209" s="140">
        <f t="shared" si="334"/>
        <v>-33848</v>
      </c>
      <c r="BB209" s="140">
        <f t="shared" si="334"/>
        <v>-33668</v>
      </c>
      <c r="BC209" s="140">
        <f t="shared" si="334"/>
        <v>-33488</v>
      </c>
      <c r="BD209" s="140">
        <f t="shared" si="334"/>
        <v>-33308</v>
      </c>
      <c r="BE209" s="140">
        <f t="shared" si="334"/>
        <v>-33128</v>
      </c>
      <c r="BF209" s="140">
        <f t="shared" si="334"/>
        <v>-32948</v>
      </c>
      <c r="BG209" s="140">
        <f t="shared" si="334"/>
        <v>-32769</v>
      </c>
      <c r="BH209" s="140">
        <f t="shared" si="334"/>
        <v>-32589</v>
      </c>
      <c r="BI209" s="140">
        <f t="shared" si="334"/>
        <v>-32409</v>
      </c>
      <c r="BJ209" s="140">
        <f t="shared" si="334"/>
        <v>-32229</v>
      </c>
      <c r="BK209" s="140">
        <f t="shared" si="334"/>
        <v>-32049</v>
      </c>
      <c r="BL209" s="140">
        <f t="shared" si="334"/>
        <v>-31869</v>
      </c>
      <c r="BM209" s="140">
        <f t="shared" si="334"/>
        <v>-31689</v>
      </c>
      <c r="BN209" s="140">
        <f t="shared" si="334"/>
        <v>-31509</v>
      </c>
      <c r="BO209" s="140">
        <f t="shared" ref="BO209:CB209" si="335">DAYS360($B$3,BO80)</f>
        <v>-31330</v>
      </c>
      <c r="BP209" s="140">
        <f t="shared" si="335"/>
        <v>-31150</v>
      </c>
      <c r="BQ209" s="140">
        <f t="shared" si="335"/>
        <v>-30970</v>
      </c>
      <c r="BR209" s="140">
        <f t="shared" si="335"/>
        <v>-30790</v>
      </c>
      <c r="BS209" s="140">
        <f t="shared" si="335"/>
        <v>-30610</v>
      </c>
      <c r="BT209" s="140">
        <f t="shared" si="335"/>
        <v>-30430</v>
      </c>
      <c r="BU209" s="140">
        <f t="shared" si="335"/>
        <v>-30250</v>
      </c>
      <c r="BV209" s="140">
        <f t="shared" si="335"/>
        <v>-30070</v>
      </c>
      <c r="BW209" s="140">
        <f t="shared" si="335"/>
        <v>-29891</v>
      </c>
      <c r="BX209" s="140">
        <f t="shared" si="335"/>
        <v>-29711</v>
      </c>
      <c r="BY209" s="140">
        <f t="shared" si="335"/>
        <v>-29531</v>
      </c>
      <c r="BZ209" s="140">
        <f t="shared" si="335"/>
        <v>-29351</v>
      </c>
      <c r="CA209" s="140">
        <f t="shared" si="335"/>
        <v>-29171</v>
      </c>
      <c r="CB209" s="140">
        <f t="shared" si="335"/>
        <v>-28991</v>
      </c>
      <c r="CC209" s="17"/>
      <c r="CD209" s="17"/>
      <c r="CE209" s="17"/>
    </row>
    <row r="210" spans="1:134">
      <c r="A210" s="16" t="s">
        <v>41</v>
      </c>
      <c r="B210" s="140">
        <f>B209/360</f>
        <v>-119.50555555555556</v>
      </c>
      <c r="C210" s="140">
        <f t="shared" ref="C210:BN210" si="336">C209/360</f>
        <v>-119.00555555555556</v>
      </c>
      <c r="D210" s="140">
        <f t="shared" si="336"/>
        <v>-118.50555555555556</v>
      </c>
      <c r="E210" s="140">
        <f t="shared" si="336"/>
        <v>-118.00555555555556</v>
      </c>
      <c r="F210" s="140">
        <f t="shared" si="336"/>
        <v>-117.50555555555556</v>
      </c>
      <c r="G210" s="140">
        <f t="shared" si="336"/>
        <v>-117.00555555555556</v>
      </c>
      <c r="H210" s="140">
        <f t="shared" si="336"/>
        <v>-116.50555555555556</v>
      </c>
      <c r="I210" s="140">
        <f t="shared" si="336"/>
        <v>-116.00555555555556</v>
      </c>
      <c r="J210" s="140">
        <f t="shared" si="336"/>
        <v>-115.50555555555556</v>
      </c>
      <c r="K210" s="140">
        <f t="shared" si="336"/>
        <v>-115.00833333333334</v>
      </c>
      <c r="L210" s="140">
        <f t="shared" si="336"/>
        <v>-114.50833333333334</v>
      </c>
      <c r="M210" s="140">
        <f t="shared" si="336"/>
        <v>-114.00833333333334</v>
      </c>
      <c r="N210" s="140">
        <f t="shared" si="336"/>
        <v>-113.50833333333334</v>
      </c>
      <c r="O210" s="140">
        <f t="shared" si="336"/>
        <v>-113.00833333333334</v>
      </c>
      <c r="P210" s="140">
        <f t="shared" si="336"/>
        <v>-112.50833333333334</v>
      </c>
      <c r="Q210" s="140">
        <f t="shared" si="336"/>
        <v>-112.00833333333334</v>
      </c>
      <c r="R210" s="140">
        <f t="shared" si="336"/>
        <v>-111.50833333333334</v>
      </c>
      <c r="S210" s="140">
        <f t="shared" si="336"/>
        <v>-111.01111111111111</v>
      </c>
      <c r="T210" s="140">
        <f t="shared" si="336"/>
        <v>-110.51111111111111</v>
      </c>
      <c r="U210" s="140">
        <f t="shared" si="336"/>
        <v>-110.01111111111111</v>
      </c>
      <c r="V210" s="140">
        <f t="shared" si="336"/>
        <v>-109.51111111111111</v>
      </c>
      <c r="W210" s="140">
        <f t="shared" si="336"/>
        <v>-109.01111111111111</v>
      </c>
      <c r="X210" s="140">
        <f t="shared" si="336"/>
        <v>-108.51111111111111</v>
      </c>
      <c r="Y210" s="140">
        <f t="shared" si="336"/>
        <v>-108.01111111111111</v>
      </c>
      <c r="Z210" s="140">
        <f t="shared" si="336"/>
        <v>-107.51111111111111</v>
      </c>
      <c r="AA210" s="140">
        <f t="shared" si="336"/>
        <v>-107.01388888888889</v>
      </c>
      <c r="AB210" s="140">
        <f t="shared" si="336"/>
        <v>-106.51388888888889</v>
      </c>
      <c r="AC210" s="140">
        <f t="shared" si="336"/>
        <v>-106.01388888888889</v>
      </c>
      <c r="AD210" s="140">
        <f t="shared" si="336"/>
        <v>-105.51388888888889</v>
      </c>
      <c r="AE210" s="140">
        <f t="shared" si="336"/>
        <v>-105.01388888888889</v>
      </c>
      <c r="AF210" s="140">
        <f t="shared" si="336"/>
        <v>-104.51388888888889</v>
      </c>
      <c r="AG210" s="140">
        <f t="shared" si="336"/>
        <v>-104.01388888888889</v>
      </c>
      <c r="AH210" s="140">
        <f t="shared" si="336"/>
        <v>-103.51388888888889</v>
      </c>
      <c r="AI210" s="140">
        <f t="shared" si="336"/>
        <v>-103.01666666666667</v>
      </c>
      <c r="AJ210" s="140">
        <f t="shared" si="336"/>
        <v>-102.51666666666667</v>
      </c>
      <c r="AK210" s="140">
        <f t="shared" si="336"/>
        <v>-102.01666666666667</v>
      </c>
      <c r="AL210" s="140">
        <f t="shared" si="336"/>
        <v>-101.51666666666667</v>
      </c>
      <c r="AM210" s="140">
        <f t="shared" si="336"/>
        <v>-101.01666666666667</v>
      </c>
      <c r="AN210" s="140">
        <f t="shared" si="336"/>
        <v>-100.51666666666667</v>
      </c>
      <c r="AO210" s="140">
        <f t="shared" si="336"/>
        <v>-100.01666666666667</v>
      </c>
      <c r="AP210" s="140">
        <f t="shared" si="336"/>
        <v>-99.516666666666666</v>
      </c>
      <c r="AQ210" s="140">
        <f t="shared" si="336"/>
        <v>-99.019444444444446</v>
      </c>
      <c r="AR210" s="140">
        <f t="shared" si="336"/>
        <v>-98.519444444444446</v>
      </c>
      <c r="AS210" s="140">
        <f t="shared" si="336"/>
        <v>-98.019444444444446</v>
      </c>
      <c r="AT210" s="140">
        <f t="shared" si="336"/>
        <v>-97.519444444444446</v>
      </c>
      <c r="AU210" s="140">
        <f t="shared" si="336"/>
        <v>-97.019444444444446</v>
      </c>
      <c r="AV210" s="140">
        <f t="shared" si="336"/>
        <v>-96.519444444444446</v>
      </c>
      <c r="AW210" s="140">
        <f t="shared" si="336"/>
        <v>-96.019444444444446</v>
      </c>
      <c r="AX210" s="140">
        <f t="shared" si="336"/>
        <v>-95.519444444444446</v>
      </c>
      <c r="AY210" s="140">
        <f t="shared" si="336"/>
        <v>-95.022222222222226</v>
      </c>
      <c r="AZ210" s="140">
        <f t="shared" si="336"/>
        <v>-94.522222222222226</v>
      </c>
      <c r="BA210" s="140">
        <f t="shared" si="336"/>
        <v>-94.022222222222226</v>
      </c>
      <c r="BB210" s="140">
        <f t="shared" si="336"/>
        <v>-93.522222222222226</v>
      </c>
      <c r="BC210" s="140">
        <f t="shared" si="336"/>
        <v>-93.022222222222226</v>
      </c>
      <c r="BD210" s="140">
        <f t="shared" si="336"/>
        <v>-92.522222222222226</v>
      </c>
      <c r="BE210" s="140">
        <f t="shared" si="336"/>
        <v>-92.022222222222226</v>
      </c>
      <c r="BF210" s="140">
        <f t="shared" si="336"/>
        <v>-91.522222222222226</v>
      </c>
      <c r="BG210" s="140">
        <f t="shared" si="336"/>
        <v>-91.025000000000006</v>
      </c>
      <c r="BH210" s="140">
        <f t="shared" si="336"/>
        <v>-90.525000000000006</v>
      </c>
      <c r="BI210" s="140">
        <f t="shared" si="336"/>
        <v>-90.025000000000006</v>
      </c>
      <c r="BJ210" s="140">
        <f t="shared" si="336"/>
        <v>-89.525000000000006</v>
      </c>
      <c r="BK210" s="140">
        <f t="shared" si="336"/>
        <v>-89.025000000000006</v>
      </c>
      <c r="BL210" s="140">
        <f t="shared" si="336"/>
        <v>-88.525000000000006</v>
      </c>
      <c r="BM210" s="140">
        <f t="shared" si="336"/>
        <v>-88.025000000000006</v>
      </c>
      <c r="BN210" s="140">
        <f t="shared" si="336"/>
        <v>-87.525000000000006</v>
      </c>
      <c r="BO210" s="140">
        <f t="shared" ref="BO210:CB210" si="337">BO209/360</f>
        <v>-87.027777777777771</v>
      </c>
      <c r="BP210" s="140">
        <f t="shared" si="337"/>
        <v>-86.527777777777771</v>
      </c>
      <c r="BQ210" s="140">
        <f t="shared" si="337"/>
        <v>-86.027777777777771</v>
      </c>
      <c r="BR210" s="140">
        <f t="shared" si="337"/>
        <v>-85.527777777777771</v>
      </c>
      <c r="BS210" s="140">
        <f t="shared" si="337"/>
        <v>-85.027777777777771</v>
      </c>
      <c r="BT210" s="140">
        <f t="shared" si="337"/>
        <v>-84.527777777777771</v>
      </c>
      <c r="BU210" s="140">
        <f t="shared" si="337"/>
        <v>-84.027777777777771</v>
      </c>
      <c r="BV210" s="140">
        <f t="shared" si="337"/>
        <v>-83.527777777777771</v>
      </c>
      <c r="BW210" s="140">
        <f t="shared" si="337"/>
        <v>-83.030555555555551</v>
      </c>
      <c r="BX210" s="140">
        <f t="shared" si="337"/>
        <v>-82.530555555555551</v>
      </c>
      <c r="BY210" s="140">
        <f t="shared" si="337"/>
        <v>-82.030555555555551</v>
      </c>
      <c r="BZ210" s="140">
        <f t="shared" si="337"/>
        <v>-81.530555555555551</v>
      </c>
      <c r="CA210" s="140">
        <f t="shared" si="337"/>
        <v>-81.030555555555551</v>
      </c>
      <c r="CB210" s="140">
        <f t="shared" si="337"/>
        <v>-80.530555555555551</v>
      </c>
      <c r="CC210" s="17"/>
      <c r="CD210" s="17"/>
      <c r="CE210" s="17"/>
    </row>
    <row r="211" spans="1:134">
      <c r="A211" s="16" t="s">
        <v>43</v>
      </c>
      <c r="B211" s="140">
        <f>IF(B209&lt;0,0,$B$5+$B$6*((1-EXP(-B210/$B$9))/(B210/$B$9))+$B$7*((1-EXP(-B210/$B$9))/(B210/$B$9)-EXP(-B210/$B$9))+$B$8*((1-EXP(-B210/$B$10))/(B210/$B$10)-EXP(-B210/$B$10)))</f>
        <v>0</v>
      </c>
      <c r="C211" s="140">
        <f t="shared" ref="C211:BN211" si="338">IF(C209&lt;0,0,$B$5+$B$6*((1-EXP(-C210/$B$9))/(C210/$B$9))+$B$7*((1-EXP(-C210/$B$9))/(C210/$B$9)-EXP(-C210/$B$9))+$B$8*((1-EXP(-C210/$B$10))/(C210/$B$10)-EXP(-C210/$B$10)))</f>
        <v>0</v>
      </c>
      <c r="D211" s="140">
        <f t="shared" si="338"/>
        <v>0</v>
      </c>
      <c r="E211" s="140">
        <f t="shared" si="338"/>
        <v>0</v>
      </c>
      <c r="F211" s="140">
        <f t="shared" si="338"/>
        <v>0</v>
      </c>
      <c r="G211" s="140">
        <f t="shared" si="338"/>
        <v>0</v>
      </c>
      <c r="H211" s="140">
        <f t="shared" si="338"/>
        <v>0</v>
      </c>
      <c r="I211" s="140">
        <f t="shared" si="338"/>
        <v>0</v>
      </c>
      <c r="J211" s="140">
        <f t="shared" si="338"/>
        <v>0</v>
      </c>
      <c r="K211" s="140">
        <f t="shared" si="338"/>
        <v>0</v>
      </c>
      <c r="L211" s="140">
        <f t="shared" si="338"/>
        <v>0</v>
      </c>
      <c r="M211" s="140">
        <f t="shared" si="338"/>
        <v>0</v>
      </c>
      <c r="N211" s="140">
        <f t="shared" si="338"/>
        <v>0</v>
      </c>
      <c r="O211" s="140">
        <f t="shared" si="338"/>
        <v>0</v>
      </c>
      <c r="P211" s="140">
        <f t="shared" si="338"/>
        <v>0</v>
      </c>
      <c r="Q211" s="140">
        <f t="shared" si="338"/>
        <v>0</v>
      </c>
      <c r="R211" s="140">
        <f t="shared" si="338"/>
        <v>0</v>
      </c>
      <c r="S211" s="140">
        <f t="shared" si="338"/>
        <v>0</v>
      </c>
      <c r="T211" s="140">
        <f t="shared" si="338"/>
        <v>0</v>
      </c>
      <c r="U211" s="140">
        <f t="shared" si="338"/>
        <v>0</v>
      </c>
      <c r="V211" s="140">
        <f t="shared" si="338"/>
        <v>0</v>
      </c>
      <c r="W211" s="140">
        <f t="shared" si="338"/>
        <v>0</v>
      </c>
      <c r="X211" s="140">
        <f t="shared" si="338"/>
        <v>0</v>
      </c>
      <c r="Y211" s="140">
        <f t="shared" si="338"/>
        <v>0</v>
      </c>
      <c r="Z211" s="140">
        <f t="shared" si="338"/>
        <v>0</v>
      </c>
      <c r="AA211" s="140">
        <f t="shared" si="338"/>
        <v>0</v>
      </c>
      <c r="AB211" s="140">
        <f t="shared" si="338"/>
        <v>0</v>
      </c>
      <c r="AC211" s="140">
        <f t="shared" si="338"/>
        <v>0</v>
      </c>
      <c r="AD211" s="140">
        <f t="shared" si="338"/>
        <v>0</v>
      </c>
      <c r="AE211" s="140">
        <f t="shared" si="338"/>
        <v>0</v>
      </c>
      <c r="AF211" s="140">
        <f t="shared" si="338"/>
        <v>0</v>
      </c>
      <c r="AG211" s="140">
        <f t="shared" si="338"/>
        <v>0</v>
      </c>
      <c r="AH211" s="140">
        <f t="shared" si="338"/>
        <v>0</v>
      </c>
      <c r="AI211" s="140">
        <f t="shared" si="338"/>
        <v>0</v>
      </c>
      <c r="AJ211" s="140">
        <f t="shared" si="338"/>
        <v>0</v>
      </c>
      <c r="AK211" s="140">
        <f t="shared" si="338"/>
        <v>0</v>
      </c>
      <c r="AL211" s="140">
        <f t="shared" si="338"/>
        <v>0</v>
      </c>
      <c r="AM211" s="140">
        <f t="shared" si="338"/>
        <v>0</v>
      </c>
      <c r="AN211" s="140">
        <f t="shared" si="338"/>
        <v>0</v>
      </c>
      <c r="AO211" s="140">
        <f t="shared" si="338"/>
        <v>0</v>
      </c>
      <c r="AP211" s="140">
        <f t="shared" si="338"/>
        <v>0</v>
      </c>
      <c r="AQ211" s="140">
        <f t="shared" si="338"/>
        <v>0</v>
      </c>
      <c r="AR211" s="140">
        <f t="shared" si="338"/>
        <v>0</v>
      </c>
      <c r="AS211" s="140">
        <f t="shared" si="338"/>
        <v>0</v>
      </c>
      <c r="AT211" s="140">
        <f t="shared" si="338"/>
        <v>0</v>
      </c>
      <c r="AU211" s="140">
        <f t="shared" si="338"/>
        <v>0</v>
      </c>
      <c r="AV211" s="140">
        <f t="shared" si="338"/>
        <v>0</v>
      </c>
      <c r="AW211" s="140">
        <f t="shared" si="338"/>
        <v>0</v>
      </c>
      <c r="AX211" s="140">
        <f t="shared" si="338"/>
        <v>0</v>
      </c>
      <c r="AY211" s="140">
        <f t="shared" si="338"/>
        <v>0</v>
      </c>
      <c r="AZ211" s="140">
        <f t="shared" si="338"/>
        <v>0</v>
      </c>
      <c r="BA211" s="140">
        <f t="shared" si="338"/>
        <v>0</v>
      </c>
      <c r="BB211" s="140">
        <f t="shared" si="338"/>
        <v>0</v>
      </c>
      <c r="BC211" s="140">
        <f t="shared" si="338"/>
        <v>0</v>
      </c>
      <c r="BD211" s="140">
        <f t="shared" si="338"/>
        <v>0</v>
      </c>
      <c r="BE211" s="140">
        <f t="shared" si="338"/>
        <v>0</v>
      </c>
      <c r="BF211" s="140">
        <f t="shared" si="338"/>
        <v>0</v>
      </c>
      <c r="BG211" s="140">
        <f t="shared" si="338"/>
        <v>0</v>
      </c>
      <c r="BH211" s="140">
        <f t="shared" si="338"/>
        <v>0</v>
      </c>
      <c r="BI211" s="140">
        <f t="shared" si="338"/>
        <v>0</v>
      </c>
      <c r="BJ211" s="140">
        <f t="shared" si="338"/>
        <v>0</v>
      </c>
      <c r="BK211" s="140">
        <f t="shared" si="338"/>
        <v>0</v>
      </c>
      <c r="BL211" s="140">
        <f t="shared" si="338"/>
        <v>0</v>
      </c>
      <c r="BM211" s="140">
        <f t="shared" si="338"/>
        <v>0</v>
      </c>
      <c r="BN211" s="140">
        <f t="shared" si="338"/>
        <v>0</v>
      </c>
      <c r="BO211" s="140">
        <f t="shared" ref="BO211:CB211" si="339">IF(BO209&lt;0,0,$B$5+$B$6*((1-EXP(-BO210/$B$9))/(BO210/$B$9))+$B$7*((1-EXP(-BO210/$B$9))/(BO210/$B$9)-EXP(-BO210/$B$9))+$B$8*((1-EXP(-BO210/$B$10))/(BO210/$B$10)-EXP(-BO210/$B$10)))</f>
        <v>0</v>
      </c>
      <c r="BP211" s="140">
        <f t="shared" si="339"/>
        <v>0</v>
      </c>
      <c r="BQ211" s="140">
        <f t="shared" si="339"/>
        <v>0</v>
      </c>
      <c r="BR211" s="140">
        <f t="shared" si="339"/>
        <v>0</v>
      </c>
      <c r="BS211" s="140">
        <f t="shared" si="339"/>
        <v>0</v>
      </c>
      <c r="BT211" s="140">
        <f t="shared" si="339"/>
        <v>0</v>
      </c>
      <c r="BU211" s="140">
        <f t="shared" si="339"/>
        <v>0</v>
      </c>
      <c r="BV211" s="140">
        <f t="shared" si="339"/>
        <v>0</v>
      </c>
      <c r="BW211" s="140">
        <f t="shared" si="339"/>
        <v>0</v>
      </c>
      <c r="BX211" s="140">
        <f t="shared" si="339"/>
        <v>0</v>
      </c>
      <c r="BY211" s="140">
        <f t="shared" si="339"/>
        <v>0</v>
      </c>
      <c r="BZ211" s="140">
        <f t="shared" si="339"/>
        <v>0</v>
      </c>
      <c r="CA211" s="140">
        <f t="shared" si="339"/>
        <v>0</v>
      </c>
      <c r="CB211" s="140">
        <f t="shared" si="339"/>
        <v>0</v>
      </c>
      <c r="CC211" s="17"/>
      <c r="CD211" s="17"/>
      <c r="CE211" s="17"/>
    </row>
    <row r="212" spans="1:134">
      <c r="A212" s="16" t="s">
        <v>44</v>
      </c>
      <c r="B212" s="140">
        <f>EXP(-B211*B210)</f>
        <v>1</v>
      </c>
      <c r="C212" s="140">
        <f t="shared" ref="C212:BN212" si="340">EXP(-C211*C210)</f>
        <v>1</v>
      </c>
      <c r="D212" s="140">
        <f t="shared" si="340"/>
        <v>1</v>
      </c>
      <c r="E212" s="140">
        <f t="shared" si="340"/>
        <v>1</v>
      </c>
      <c r="F212" s="140">
        <f t="shared" si="340"/>
        <v>1</v>
      </c>
      <c r="G212" s="140">
        <f t="shared" si="340"/>
        <v>1</v>
      </c>
      <c r="H212" s="140">
        <f t="shared" si="340"/>
        <v>1</v>
      </c>
      <c r="I212" s="140">
        <f t="shared" si="340"/>
        <v>1</v>
      </c>
      <c r="J212" s="140">
        <f t="shared" si="340"/>
        <v>1</v>
      </c>
      <c r="K212" s="140">
        <f t="shared" si="340"/>
        <v>1</v>
      </c>
      <c r="L212" s="140">
        <f t="shared" si="340"/>
        <v>1</v>
      </c>
      <c r="M212" s="140">
        <f t="shared" si="340"/>
        <v>1</v>
      </c>
      <c r="N212" s="140">
        <f t="shared" si="340"/>
        <v>1</v>
      </c>
      <c r="O212" s="140">
        <f t="shared" si="340"/>
        <v>1</v>
      </c>
      <c r="P212" s="140">
        <f t="shared" si="340"/>
        <v>1</v>
      </c>
      <c r="Q212" s="140">
        <f t="shared" si="340"/>
        <v>1</v>
      </c>
      <c r="R212" s="140">
        <f t="shared" si="340"/>
        <v>1</v>
      </c>
      <c r="S212" s="140">
        <f t="shared" si="340"/>
        <v>1</v>
      </c>
      <c r="T212" s="140">
        <f t="shared" si="340"/>
        <v>1</v>
      </c>
      <c r="U212" s="140">
        <f t="shared" si="340"/>
        <v>1</v>
      </c>
      <c r="V212" s="140">
        <f t="shared" si="340"/>
        <v>1</v>
      </c>
      <c r="W212" s="140">
        <f t="shared" si="340"/>
        <v>1</v>
      </c>
      <c r="X212" s="140">
        <f t="shared" si="340"/>
        <v>1</v>
      </c>
      <c r="Y212" s="140">
        <f t="shared" si="340"/>
        <v>1</v>
      </c>
      <c r="Z212" s="140">
        <f t="shared" si="340"/>
        <v>1</v>
      </c>
      <c r="AA212" s="140">
        <f t="shared" si="340"/>
        <v>1</v>
      </c>
      <c r="AB212" s="140">
        <f t="shared" si="340"/>
        <v>1</v>
      </c>
      <c r="AC212" s="140">
        <f t="shared" si="340"/>
        <v>1</v>
      </c>
      <c r="AD212" s="140">
        <f t="shared" si="340"/>
        <v>1</v>
      </c>
      <c r="AE212" s="140">
        <f t="shared" si="340"/>
        <v>1</v>
      </c>
      <c r="AF212" s="140">
        <f t="shared" si="340"/>
        <v>1</v>
      </c>
      <c r="AG212" s="140">
        <f t="shared" si="340"/>
        <v>1</v>
      </c>
      <c r="AH212" s="140">
        <f t="shared" si="340"/>
        <v>1</v>
      </c>
      <c r="AI212" s="140">
        <f t="shared" si="340"/>
        <v>1</v>
      </c>
      <c r="AJ212" s="140">
        <f t="shared" si="340"/>
        <v>1</v>
      </c>
      <c r="AK212" s="140">
        <f t="shared" si="340"/>
        <v>1</v>
      </c>
      <c r="AL212" s="140">
        <f t="shared" si="340"/>
        <v>1</v>
      </c>
      <c r="AM212" s="140">
        <f t="shared" si="340"/>
        <v>1</v>
      </c>
      <c r="AN212" s="140">
        <f t="shared" si="340"/>
        <v>1</v>
      </c>
      <c r="AO212" s="140">
        <f t="shared" si="340"/>
        <v>1</v>
      </c>
      <c r="AP212" s="140">
        <f t="shared" si="340"/>
        <v>1</v>
      </c>
      <c r="AQ212" s="140">
        <f t="shared" si="340"/>
        <v>1</v>
      </c>
      <c r="AR212" s="140">
        <f t="shared" si="340"/>
        <v>1</v>
      </c>
      <c r="AS212" s="140">
        <f t="shared" si="340"/>
        <v>1</v>
      </c>
      <c r="AT212" s="140">
        <f t="shared" si="340"/>
        <v>1</v>
      </c>
      <c r="AU212" s="140">
        <f t="shared" si="340"/>
        <v>1</v>
      </c>
      <c r="AV212" s="140">
        <f t="shared" si="340"/>
        <v>1</v>
      </c>
      <c r="AW212" s="140">
        <f t="shared" si="340"/>
        <v>1</v>
      </c>
      <c r="AX212" s="140">
        <f t="shared" si="340"/>
        <v>1</v>
      </c>
      <c r="AY212" s="140">
        <f t="shared" si="340"/>
        <v>1</v>
      </c>
      <c r="AZ212" s="140">
        <f t="shared" si="340"/>
        <v>1</v>
      </c>
      <c r="BA212" s="140">
        <f t="shared" si="340"/>
        <v>1</v>
      </c>
      <c r="BB212" s="140">
        <f t="shared" si="340"/>
        <v>1</v>
      </c>
      <c r="BC212" s="140">
        <f t="shared" si="340"/>
        <v>1</v>
      </c>
      <c r="BD212" s="140">
        <f t="shared" si="340"/>
        <v>1</v>
      </c>
      <c r="BE212" s="140">
        <f t="shared" si="340"/>
        <v>1</v>
      </c>
      <c r="BF212" s="140">
        <f t="shared" si="340"/>
        <v>1</v>
      </c>
      <c r="BG212" s="140">
        <f t="shared" si="340"/>
        <v>1</v>
      </c>
      <c r="BH212" s="140">
        <f t="shared" si="340"/>
        <v>1</v>
      </c>
      <c r="BI212" s="140">
        <f t="shared" si="340"/>
        <v>1</v>
      </c>
      <c r="BJ212" s="140">
        <f t="shared" si="340"/>
        <v>1</v>
      </c>
      <c r="BK212" s="140">
        <f t="shared" si="340"/>
        <v>1</v>
      </c>
      <c r="BL212" s="140">
        <f t="shared" si="340"/>
        <v>1</v>
      </c>
      <c r="BM212" s="140">
        <f t="shared" si="340"/>
        <v>1</v>
      </c>
      <c r="BN212" s="140">
        <f t="shared" si="340"/>
        <v>1</v>
      </c>
      <c r="BO212" s="140">
        <f t="shared" ref="BO212:CB212" si="341">EXP(-BO211*BO210)</f>
        <v>1</v>
      </c>
      <c r="BP212" s="140">
        <f t="shared" si="341"/>
        <v>1</v>
      </c>
      <c r="BQ212" s="140">
        <f t="shared" si="341"/>
        <v>1</v>
      </c>
      <c r="BR212" s="140">
        <f t="shared" si="341"/>
        <v>1</v>
      </c>
      <c r="BS212" s="140">
        <f t="shared" si="341"/>
        <v>1</v>
      </c>
      <c r="BT212" s="140">
        <f t="shared" si="341"/>
        <v>1</v>
      </c>
      <c r="BU212" s="140">
        <f t="shared" si="341"/>
        <v>1</v>
      </c>
      <c r="BV212" s="140">
        <f t="shared" si="341"/>
        <v>1</v>
      </c>
      <c r="BW212" s="140">
        <f t="shared" si="341"/>
        <v>1</v>
      </c>
      <c r="BX212" s="140">
        <f t="shared" si="341"/>
        <v>1</v>
      </c>
      <c r="BY212" s="140">
        <f t="shared" si="341"/>
        <v>1</v>
      </c>
      <c r="BZ212" s="140">
        <f t="shared" si="341"/>
        <v>1</v>
      </c>
      <c r="CA212" s="140">
        <f t="shared" si="341"/>
        <v>1</v>
      </c>
      <c r="CB212" s="140">
        <f t="shared" si="341"/>
        <v>1</v>
      </c>
      <c r="CC212" s="17"/>
      <c r="CD212" s="17"/>
      <c r="CE212" s="17"/>
    </row>
    <row r="213" spans="1:134">
      <c r="A213" s="17"/>
      <c r="B213" s="17"/>
      <c r="C213" s="17"/>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c r="AP213" s="17"/>
      <c r="AQ213" s="17"/>
      <c r="AR213" s="17"/>
      <c r="AS213" s="17"/>
      <c r="AT213" s="17"/>
      <c r="AU213" s="17"/>
      <c r="AV213" s="17"/>
      <c r="AW213" s="17"/>
      <c r="AX213" s="17"/>
      <c r="AY213" s="17"/>
      <c r="AZ213" s="17"/>
      <c r="BA213" s="17"/>
      <c r="BB213" s="17"/>
      <c r="BC213" s="17"/>
      <c r="BD213" s="17"/>
      <c r="BE213" s="17"/>
      <c r="BF213" s="17"/>
      <c r="BG213" s="17"/>
      <c r="BH213" s="17"/>
      <c r="BI213" s="17"/>
      <c r="BJ213" s="17"/>
      <c r="BK213" s="17"/>
      <c r="BL213" s="17"/>
      <c r="BM213" s="17"/>
      <c r="BN213" s="17"/>
      <c r="BO213" s="17"/>
      <c r="BP213" s="17"/>
      <c r="BQ213" s="17"/>
      <c r="BR213" s="17"/>
      <c r="BS213" s="17"/>
      <c r="BT213" s="17"/>
      <c r="BU213" s="17"/>
      <c r="BV213" s="17"/>
      <c r="BW213" s="17"/>
      <c r="BX213" s="17"/>
      <c r="BY213" s="17"/>
      <c r="BZ213" s="17"/>
      <c r="CA213" s="17"/>
      <c r="CB213" s="17"/>
      <c r="CC213" s="17"/>
      <c r="CD213" s="17"/>
      <c r="CE213" s="17"/>
    </row>
    <row r="214" spans="1:134">
      <c r="A214" s="16" t="s">
        <v>45</v>
      </c>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7"/>
      <c r="CD214" s="17"/>
      <c r="CE214" s="17"/>
    </row>
    <row r="215" spans="1:134">
      <c r="A215" s="18" t="str">
        <f>A31</f>
        <v>Bond 1</v>
      </c>
      <c r="B215" s="18">
        <f t="shared" ref="B215:BM215" si="342">B31*B87</f>
        <v>100.2337584282534</v>
      </c>
      <c r="C215" s="18">
        <f t="shared" si="342"/>
        <v>0</v>
      </c>
      <c r="D215" s="18">
        <f t="shared" si="342"/>
        <v>0</v>
      </c>
      <c r="E215" s="18">
        <f t="shared" si="342"/>
        <v>0</v>
      </c>
      <c r="F215" s="18">
        <f t="shared" si="342"/>
        <v>0</v>
      </c>
      <c r="G215" s="18">
        <f t="shared" si="342"/>
        <v>0</v>
      </c>
      <c r="H215" s="18">
        <f t="shared" si="342"/>
        <v>0</v>
      </c>
      <c r="I215" s="18">
        <f t="shared" si="342"/>
        <v>0</v>
      </c>
      <c r="J215" s="18">
        <f t="shared" si="342"/>
        <v>0</v>
      </c>
      <c r="K215" s="18">
        <f t="shared" si="342"/>
        <v>0</v>
      </c>
      <c r="L215" s="18">
        <f t="shared" si="342"/>
        <v>0</v>
      </c>
      <c r="M215" s="18">
        <f t="shared" si="342"/>
        <v>0</v>
      </c>
      <c r="N215" s="18">
        <f t="shared" si="342"/>
        <v>0</v>
      </c>
      <c r="O215" s="18">
        <f t="shared" si="342"/>
        <v>0</v>
      </c>
      <c r="P215" s="18">
        <f t="shared" si="342"/>
        <v>0</v>
      </c>
      <c r="Q215" s="18">
        <f t="shared" si="342"/>
        <v>0</v>
      </c>
      <c r="R215" s="18">
        <f t="shared" si="342"/>
        <v>0</v>
      </c>
      <c r="S215" s="18">
        <f t="shared" si="342"/>
        <v>0</v>
      </c>
      <c r="T215" s="18">
        <f t="shared" si="342"/>
        <v>0</v>
      </c>
      <c r="U215" s="18">
        <f t="shared" si="342"/>
        <v>0</v>
      </c>
      <c r="V215" s="18">
        <f t="shared" si="342"/>
        <v>0</v>
      </c>
      <c r="W215" s="18">
        <f t="shared" si="342"/>
        <v>0</v>
      </c>
      <c r="X215" s="18">
        <f t="shared" si="342"/>
        <v>0</v>
      </c>
      <c r="Y215" s="18">
        <f t="shared" si="342"/>
        <v>0</v>
      </c>
      <c r="Z215" s="18">
        <f t="shared" si="342"/>
        <v>0</v>
      </c>
      <c r="AA215" s="18">
        <f t="shared" si="342"/>
        <v>0</v>
      </c>
      <c r="AB215" s="18">
        <f t="shared" si="342"/>
        <v>0</v>
      </c>
      <c r="AC215" s="18">
        <f t="shared" si="342"/>
        <v>0</v>
      </c>
      <c r="AD215" s="18">
        <f t="shared" si="342"/>
        <v>0</v>
      </c>
      <c r="AE215" s="18">
        <f t="shared" si="342"/>
        <v>0</v>
      </c>
      <c r="AF215" s="18">
        <f t="shared" si="342"/>
        <v>0</v>
      </c>
      <c r="AG215" s="18">
        <f t="shared" si="342"/>
        <v>0</v>
      </c>
      <c r="AH215" s="18">
        <f t="shared" si="342"/>
        <v>0</v>
      </c>
      <c r="AI215" s="18">
        <f t="shared" si="342"/>
        <v>0</v>
      </c>
      <c r="AJ215" s="18">
        <f t="shared" si="342"/>
        <v>0</v>
      </c>
      <c r="AK215" s="18">
        <f t="shared" si="342"/>
        <v>0</v>
      </c>
      <c r="AL215" s="18">
        <f t="shared" si="342"/>
        <v>0</v>
      </c>
      <c r="AM215" s="18">
        <f t="shared" si="342"/>
        <v>0</v>
      </c>
      <c r="AN215" s="18">
        <f t="shared" si="342"/>
        <v>0</v>
      </c>
      <c r="AO215" s="18">
        <f t="shared" si="342"/>
        <v>0</v>
      </c>
      <c r="AP215" s="18">
        <f t="shared" si="342"/>
        <v>0</v>
      </c>
      <c r="AQ215" s="18">
        <f t="shared" si="342"/>
        <v>0</v>
      </c>
      <c r="AR215" s="18">
        <f t="shared" si="342"/>
        <v>0</v>
      </c>
      <c r="AS215" s="18">
        <f t="shared" si="342"/>
        <v>0</v>
      </c>
      <c r="AT215" s="18">
        <f t="shared" si="342"/>
        <v>0</v>
      </c>
      <c r="AU215" s="18">
        <f t="shared" si="342"/>
        <v>0</v>
      </c>
      <c r="AV215" s="18">
        <f t="shared" si="342"/>
        <v>0</v>
      </c>
      <c r="AW215" s="18">
        <f t="shared" si="342"/>
        <v>0</v>
      </c>
      <c r="AX215" s="18">
        <f t="shared" si="342"/>
        <v>0</v>
      </c>
      <c r="AY215" s="18">
        <f t="shared" si="342"/>
        <v>0</v>
      </c>
      <c r="AZ215" s="18">
        <f t="shared" si="342"/>
        <v>0</v>
      </c>
      <c r="BA215" s="18">
        <f t="shared" si="342"/>
        <v>0</v>
      </c>
      <c r="BB215" s="18">
        <f t="shared" si="342"/>
        <v>0</v>
      </c>
      <c r="BC215" s="18">
        <f t="shared" si="342"/>
        <v>0</v>
      </c>
      <c r="BD215" s="18">
        <f t="shared" si="342"/>
        <v>0</v>
      </c>
      <c r="BE215" s="18">
        <f t="shared" si="342"/>
        <v>0</v>
      </c>
      <c r="BF215" s="18">
        <f t="shared" si="342"/>
        <v>0</v>
      </c>
      <c r="BG215" s="18">
        <f t="shared" si="342"/>
        <v>0</v>
      </c>
      <c r="BH215" s="18">
        <f t="shared" si="342"/>
        <v>0</v>
      </c>
      <c r="BI215" s="18">
        <f t="shared" si="342"/>
        <v>0</v>
      </c>
      <c r="BJ215" s="18">
        <f t="shared" si="342"/>
        <v>0</v>
      </c>
      <c r="BK215" s="18">
        <f t="shared" si="342"/>
        <v>0</v>
      </c>
      <c r="BL215" s="18">
        <f t="shared" si="342"/>
        <v>0</v>
      </c>
      <c r="BM215" s="18">
        <f t="shared" si="342"/>
        <v>0</v>
      </c>
      <c r="BN215" s="18">
        <f t="shared" ref="BN215:CB215" si="343">BN31*BN87</f>
        <v>0</v>
      </c>
      <c r="BO215" s="18">
        <f t="shared" si="343"/>
        <v>0</v>
      </c>
      <c r="BP215" s="18">
        <f t="shared" si="343"/>
        <v>0</v>
      </c>
      <c r="BQ215" s="18">
        <f t="shared" si="343"/>
        <v>0</v>
      </c>
      <c r="BR215" s="18">
        <f t="shared" si="343"/>
        <v>0</v>
      </c>
      <c r="BS215" s="18">
        <f t="shared" si="343"/>
        <v>0</v>
      </c>
      <c r="BT215" s="18">
        <f t="shared" si="343"/>
        <v>0</v>
      </c>
      <c r="BU215" s="18">
        <f t="shared" si="343"/>
        <v>0</v>
      </c>
      <c r="BV215" s="18">
        <f t="shared" si="343"/>
        <v>0</v>
      </c>
      <c r="BW215" s="18">
        <f t="shared" si="343"/>
        <v>0</v>
      </c>
      <c r="BX215" s="18">
        <f t="shared" si="343"/>
        <v>0</v>
      </c>
      <c r="BY215" s="18">
        <f t="shared" si="343"/>
        <v>0</v>
      </c>
      <c r="BZ215" s="18">
        <f t="shared" si="343"/>
        <v>0</v>
      </c>
      <c r="CA215" s="18">
        <f t="shared" si="343"/>
        <v>0</v>
      </c>
      <c r="CB215" s="18">
        <f t="shared" si="343"/>
        <v>0</v>
      </c>
      <c r="CC215" s="17"/>
      <c r="CD215" s="17"/>
      <c r="CE215" s="17"/>
    </row>
    <row r="216" spans="1:134">
      <c r="A216" s="18" t="str">
        <f>A33</f>
        <v>Bond 2</v>
      </c>
      <c r="B216" s="18">
        <f t="shared" ref="B216:BM216" si="344">B33*B92</f>
        <v>1.4674700178812849</v>
      </c>
      <c r="C216" s="18">
        <f t="shared" si="344"/>
        <v>100.65797706246525</v>
      </c>
      <c r="D216" s="18">
        <f t="shared" si="344"/>
        <v>0</v>
      </c>
      <c r="E216" s="18">
        <f t="shared" si="344"/>
        <v>0</v>
      </c>
      <c r="F216" s="18">
        <f t="shared" si="344"/>
        <v>0</v>
      </c>
      <c r="G216" s="18">
        <f t="shared" si="344"/>
        <v>0</v>
      </c>
      <c r="H216" s="18">
        <f t="shared" si="344"/>
        <v>0</v>
      </c>
      <c r="I216" s="18">
        <f t="shared" si="344"/>
        <v>0</v>
      </c>
      <c r="J216" s="18">
        <f t="shared" si="344"/>
        <v>0</v>
      </c>
      <c r="K216" s="18">
        <f t="shared" si="344"/>
        <v>0</v>
      </c>
      <c r="L216" s="18">
        <f t="shared" si="344"/>
        <v>0</v>
      </c>
      <c r="M216" s="18">
        <f t="shared" si="344"/>
        <v>0</v>
      </c>
      <c r="N216" s="18">
        <f t="shared" si="344"/>
        <v>0</v>
      </c>
      <c r="O216" s="18">
        <f t="shared" si="344"/>
        <v>0</v>
      </c>
      <c r="P216" s="18">
        <f t="shared" si="344"/>
        <v>0</v>
      </c>
      <c r="Q216" s="18">
        <f t="shared" si="344"/>
        <v>0</v>
      </c>
      <c r="R216" s="18">
        <f t="shared" si="344"/>
        <v>0</v>
      </c>
      <c r="S216" s="18">
        <f t="shared" si="344"/>
        <v>0</v>
      </c>
      <c r="T216" s="18">
        <f t="shared" si="344"/>
        <v>0</v>
      </c>
      <c r="U216" s="18">
        <f t="shared" si="344"/>
        <v>0</v>
      </c>
      <c r="V216" s="18">
        <f t="shared" si="344"/>
        <v>0</v>
      </c>
      <c r="W216" s="18">
        <f t="shared" si="344"/>
        <v>0</v>
      </c>
      <c r="X216" s="18">
        <f t="shared" si="344"/>
        <v>0</v>
      </c>
      <c r="Y216" s="18">
        <f t="shared" si="344"/>
        <v>0</v>
      </c>
      <c r="Z216" s="18">
        <f t="shared" si="344"/>
        <v>0</v>
      </c>
      <c r="AA216" s="18">
        <f t="shared" si="344"/>
        <v>0</v>
      </c>
      <c r="AB216" s="18">
        <f t="shared" si="344"/>
        <v>0</v>
      </c>
      <c r="AC216" s="18">
        <f t="shared" si="344"/>
        <v>0</v>
      </c>
      <c r="AD216" s="18">
        <f t="shared" si="344"/>
        <v>0</v>
      </c>
      <c r="AE216" s="18">
        <f t="shared" si="344"/>
        <v>0</v>
      </c>
      <c r="AF216" s="18">
        <f t="shared" si="344"/>
        <v>0</v>
      </c>
      <c r="AG216" s="18">
        <f t="shared" si="344"/>
        <v>0</v>
      </c>
      <c r="AH216" s="18">
        <f t="shared" si="344"/>
        <v>0</v>
      </c>
      <c r="AI216" s="18">
        <f t="shared" si="344"/>
        <v>0</v>
      </c>
      <c r="AJ216" s="18">
        <f t="shared" si="344"/>
        <v>0</v>
      </c>
      <c r="AK216" s="18">
        <f t="shared" si="344"/>
        <v>0</v>
      </c>
      <c r="AL216" s="18">
        <f t="shared" si="344"/>
        <v>0</v>
      </c>
      <c r="AM216" s="18">
        <f t="shared" si="344"/>
        <v>0</v>
      </c>
      <c r="AN216" s="18">
        <f t="shared" si="344"/>
        <v>0</v>
      </c>
      <c r="AO216" s="18">
        <f t="shared" si="344"/>
        <v>0</v>
      </c>
      <c r="AP216" s="18">
        <f t="shared" si="344"/>
        <v>0</v>
      </c>
      <c r="AQ216" s="18">
        <f t="shared" si="344"/>
        <v>0</v>
      </c>
      <c r="AR216" s="18">
        <f t="shared" si="344"/>
        <v>0</v>
      </c>
      <c r="AS216" s="18">
        <f t="shared" si="344"/>
        <v>0</v>
      </c>
      <c r="AT216" s="18">
        <f t="shared" si="344"/>
        <v>0</v>
      </c>
      <c r="AU216" s="18">
        <f t="shared" si="344"/>
        <v>0</v>
      </c>
      <c r="AV216" s="18">
        <f t="shared" si="344"/>
        <v>0</v>
      </c>
      <c r="AW216" s="18">
        <f t="shared" si="344"/>
        <v>0</v>
      </c>
      <c r="AX216" s="18">
        <f t="shared" si="344"/>
        <v>0</v>
      </c>
      <c r="AY216" s="18">
        <f t="shared" si="344"/>
        <v>0</v>
      </c>
      <c r="AZ216" s="18">
        <f t="shared" si="344"/>
        <v>0</v>
      </c>
      <c r="BA216" s="18">
        <f t="shared" si="344"/>
        <v>0</v>
      </c>
      <c r="BB216" s="18">
        <f t="shared" si="344"/>
        <v>0</v>
      </c>
      <c r="BC216" s="18">
        <f t="shared" si="344"/>
        <v>0</v>
      </c>
      <c r="BD216" s="18">
        <f t="shared" si="344"/>
        <v>0</v>
      </c>
      <c r="BE216" s="18">
        <f t="shared" si="344"/>
        <v>0</v>
      </c>
      <c r="BF216" s="18">
        <f t="shared" si="344"/>
        <v>0</v>
      </c>
      <c r="BG216" s="18">
        <f t="shared" si="344"/>
        <v>0</v>
      </c>
      <c r="BH216" s="18">
        <f t="shared" si="344"/>
        <v>0</v>
      </c>
      <c r="BI216" s="18">
        <f t="shared" si="344"/>
        <v>0</v>
      </c>
      <c r="BJ216" s="18">
        <f t="shared" si="344"/>
        <v>0</v>
      </c>
      <c r="BK216" s="18">
        <f t="shared" si="344"/>
        <v>0</v>
      </c>
      <c r="BL216" s="18">
        <f t="shared" si="344"/>
        <v>0</v>
      </c>
      <c r="BM216" s="18">
        <f t="shared" si="344"/>
        <v>0</v>
      </c>
      <c r="BN216" s="18">
        <f t="shared" ref="BN216:CB216" si="345">BN33*BN92</f>
        <v>0</v>
      </c>
      <c r="BO216" s="18">
        <f t="shared" si="345"/>
        <v>0</v>
      </c>
      <c r="BP216" s="18">
        <f t="shared" si="345"/>
        <v>0</v>
      </c>
      <c r="BQ216" s="18">
        <f t="shared" si="345"/>
        <v>0</v>
      </c>
      <c r="BR216" s="18">
        <f t="shared" si="345"/>
        <v>0</v>
      </c>
      <c r="BS216" s="18">
        <f t="shared" si="345"/>
        <v>0</v>
      </c>
      <c r="BT216" s="18">
        <f t="shared" si="345"/>
        <v>0</v>
      </c>
      <c r="BU216" s="18">
        <f t="shared" si="345"/>
        <v>0</v>
      </c>
      <c r="BV216" s="18">
        <f t="shared" si="345"/>
        <v>0</v>
      </c>
      <c r="BW216" s="18">
        <f t="shared" si="345"/>
        <v>0</v>
      </c>
      <c r="BX216" s="18">
        <f t="shared" si="345"/>
        <v>0</v>
      </c>
      <c r="BY216" s="18">
        <f t="shared" si="345"/>
        <v>0</v>
      </c>
      <c r="BZ216" s="18">
        <f t="shared" si="345"/>
        <v>0</v>
      </c>
      <c r="CA216" s="18">
        <f t="shared" si="345"/>
        <v>0</v>
      </c>
      <c r="CB216" s="18">
        <f t="shared" si="345"/>
        <v>0</v>
      </c>
      <c r="CC216" s="17"/>
      <c r="CD216" s="17"/>
      <c r="CE216" s="17"/>
      <c r="CH216" s="11"/>
      <c r="CI216" s="11"/>
      <c r="CJ216" s="11"/>
      <c r="CK216" s="11"/>
      <c r="CL216" s="11"/>
      <c r="CM216" s="11"/>
      <c r="CN216" s="11"/>
      <c r="CO216" s="11"/>
      <c r="CP216" s="11"/>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11"/>
      <c r="DM216" s="11"/>
      <c r="DN216" s="11"/>
      <c r="DO216" s="11"/>
      <c r="DP216" s="11"/>
      <c r="DQ216" s="11"/>
      <c r="DR216" s="11"/>
      <c r="DS216" s="11"/>
      <c r="DT216" s="11"/>
      <c r="DU216" s="11"/>
      <c r="DV216" s="11"/>
      <c r="DW216" s="11"/>
      <c r="DX216" s="11"/>
      <c r="DY216" s="11"/>
      <c r="DZ216" s="11"/>
      <c r="EA216" s="11"/>
      <c r="EB216" s="11"/>
      <c r="EC216" s="11"/>
      <c r="ED216" s="11"/>
    </row>
    <row r="217" spans="1:134">
      <c r="A217" s="18" t="str">
        <f>A35</f>
        <v>Bond 3</v>
      </c>
      <c r="B217" s="18">
        <f t="shared" ref="B217:BM217" si="346">B35*B97</f>
        <v>98.000704549454653</v>
      </c>
      <c r="C217" s="18">
        <f t="shared" si="346"/>
        <v>0</v>
      </c>
      <c r="D217" s="18">
        <f t="shared" si="346"/>
        <v>0</v>
      </c>
      <c r="E217" s="18">
        <f t="shared" si="346"/>
        <v>0</v>
      </c>
      <c r="F217" s="18">
        <f t="shared" si="346"/>
        <v>0</v>
      </c>
      <c r="G217" s="18">
        <f t="shared" si="346"/>
        <v>0</v>
      </c>
      <c r="H217" s="18">
        <f t="shared" si="346"/>
        <v>0</v>
      </c>
      <c r="I217" s="18">
        <f t="shared" si="346"/>
        <v>0</v>
      </c>
      <c r="J217" s="18">
        <f t="shared" si="346"/>
        <v>0</v>
      </c>
      <c r="K217" s="18">
        <f t="shared" si="346"/>
        <v>0</v>
      </c>
      <c r="L217" s="18">
        <f t="shared" si="346"/>
        <v>0</v>
      </c>
      <c r="M217" s="18">
        <f t="shared" si="346"/>
        <v>0</v>
      </c>
      <c r="N217" s="18">
        <f t="shared" si="346"/>
        <v>0</v>
      </c>
      <c r="O217" s="18">
        <f t="shared" si="346"/>
        <v>0</v>
      </c>
      <c r="P217" s="18">
        <f t="shared" si="346"/>
        <v>0</v>
      </c>
      <c r="Q217" s="18">
        <f t="shared" si="346"/>
        <v>0</v>
      </c>
      <c r="R217" s="18">
        <f t="shared" si="346"/>
        <v>0</v>
      </c>
      <c r="S217" s="18">
        <f t="shared" si="346"/>
        <v>0</v>
      </c>
      <c r="T217" s="18">
        <f t="shared" si="346"/>
        <v>0</v>
      </c>
      <c r="U217" s="18">
        <f t="shared" si="346"/>
        <v>0</v>
      </c>
      <c r="V217" s="18">
        <f t="shared" si="346"/>
        <v>0</v>
      </c>
      <c r="W217" s="18">
        <f t="shared" si="346"/>
        <v>0</v>
      </c>
      <c r="X217" s="18">
        <f t="shared" si="346"/>
        <v>0</v>
      </c>
      <c r="Y217" s="18">
        <f t="shared" si="346"/>
        <v>0</v>
      </c>
      <c r="Z217" s="18">
        <f t="shared" si="346"/>
        <v>0</v>
      </c>
      <c r="AA217" s="18">
        <f t="shared" si="346"/>
        <v>0</v>
      </c>
      <c r="AB217" s="18">
        <f t="shared" si="346"/>
        <v>0</v>
      </c>
      <c r="AC217" s="18">
        <f t="shared" si="346"/>
        <v>0</v>
      </c>
      <c r="AD217" s="18">
        <f t="shared" si="346"/>
        <v>0</v>
      </c>
      <c r="AE217" s="18">
        <f t="shared" si="346"/>
        <v>0</v>
      </c>
      <c r="AF217" s="18">
        <f t="shared" si="346"/>
        <v>0</v>
      </c>
      <c r="AG217" s="18">
        <f t="shared" si="346"/>
        <v>0</v>
      </c>
      <c r="AH217" s="18">
        <f t="shared" si="346"/>
        <v>0</v>
      </c>
      <c r="AI217" s="18">
        <f t="shared" si="346"/>
        <v>0</v>
      </c>
      <c r="AJ217" s="18">
        <f t="shared" si="346"/>
        <v>0</v>
      </c>
      <c r="AK217" s="18">
        <f t="shared" si="346"/>
        <v>0</v>
      </c>
      <c r="AL217" s="18">
        <f t="shared" si="346"/>
        <v>0</v>
      </c>
      <c r="AM217" s="18">
        <f t="shared" si="346"/>
        <v>0</v>
      </c>
      <c r="AN217" s="18">
        <f t="shared" si="346"/>
        <v>0</v>
      </c>
      <c r="AO217" s="18">
        <f t="shared" si="346"/>
        <v>0</v>
      </c>
      <c r="AP217" s="18">
        <f t="shared" si="346"/>
        <v>0</v>
      </c>
      <c r="AQ217" s="18">
        <f t="shared" si="346"/>
        <v>0</v>
      </c>
      <c r="AR217" s="18">
        <f t="shared" si="346"/>
        <v>0</v>
      </c>
      <c r="AS217" s="18">
        <f t="shared" si="346"/>
        <v>0</v>
      </c>
      <c r="AT217" s="18">
        <f t="shared" si="346"/>
        <v>0</v>
      </c>
      <c r="AU217" s="18">
        <f t="shared" si="346"/>
        <v>0</v>
      </c>
      <c r="AV217" s="18">
        <f t="shared" si="346"/>
        <v>0</v>
      </c>
      <c r="AW217" s="18">
        <f t="shared" si="346"/>
        <v>0</v>
      </c>
      <c r="AX217" s="18">
        <f t="shared" si="346"/>
        <v>0</v>
      </c>
      <c r="AY217" s="18">
        <f t="shared" si="346"/>
        <v>0</v>
      </c>
      <c r="AZ217" s="18">
        <f t="shared" si="346"/>
        <v>0</v>
      </c>
      <c r="BA217" s="18">
        <f t="shared" si="346"/>
        <v>0</v>
      </c>
      <c r="BB217" s="18">
        <f t="shared" si="346"/>
        <v>0</v>
      </c>
      <c r="BC217" s="18">
        <f t="shared" si="346"/>
        <v>0</v>
      </c>
      <c r="BD217" s="18">
        <f t="shared" si="346"/>
        <v>0</v>
      </c>
      <c r="BE217" s="18">
        <f t="shared" si="346"/>
        <v>0</v>
      </c>
      <c r="BF217" s="18">
        <f t="shared" si="346"/>
        <v>0</v>
      </c>
      <c r="BG217" s="18">
        <f t="shared" si="346"/>
        <v>0</v>
      </c>
      <c r="BH217" s="18">
        <f t="shared" si="346"/>
        <v>0</v>
      </c>
      <c r="BI217" s="18">
        <f t="shared" si="346"/>
        <v>0</v>
      </c>
      <c r="BJ217" s="18">
        <f t="shared" si="346"/>
        <v>0</v>
      </c>
      <c r="BK217" s="18">
        <f t="shared" si="346"/>
        <v>0</v>
      </c>
      <c r="BL217" s="18">
        <f t="shared" si="346"/>
        <v>0</v>
      </c>
      <c r="BM217" s="18">
        <f t="shared" si="346"/>
        <v>0</v>
      </c>
      <c r="BN217" s="18">
        <f t="shared" ref="BN217:CB217" si="347">BN35*BN97</f>
        <v>0</v>
      </c>
      <c r="BO217" s="18">
        <f t="shared" si="347"/>
        <v>0</v>
      </c>
      <c r="BP217" s="18">
        <f t="shared" si="347"/>
        <v>0</v>
      </c>
      <c r="BQ217" s="18">
        <f t="shared" si="347"/>
        <v>0</v>
      </c>
      <c r="BR217" s="18">
        <f t="shared" si="347"/>
        <v>0</v>
      </c>
      <c r="BS217" s="18">
        <f t="shared" si="347"/>
        <v>0</v>
      </c>
      <c r="BT217" s="18">
        <f t="shared" si="347"/>
        <v>0</v>
      </c>
      <c r="BU217" s="18">
        <f t="shared" si="347"/>
        <v>0</v>
      </c>
      <c r="BV217" s="18">
        <f t="shared" si="347"/>
        <v>0</v>
      </c>
      <c r="BW217" s="18">
        <f t="shared" si="347"/>
        <v>0</v>
      </c>
      <c r="BX217" s="18">
        <f t="shared" si="347"/>
        <v>0</v>
      </c>
      <c r="BY217" s="18">
        <f t="shared" si="347"/>
        <v>0</v>
      </c>
      <c r="BZ217" s="18">
        <f t="shared" si="347"/>
        <v>0</v>
      </c>
      <c r="CA217" s="18">
        <f t="shared" si="347"/>
        <v>0</v>
      </c>
      <c r="CB217" s="18">
        <f t="shared" si="347"/>
        <v>0</v>
      </c>
      <c r="CC217" s="17"/>
      <c r="CD217" s="17"/>
      <c r="CE217" s="17"/>
      <c r="CH217" s="11"/>
      <c r="CI217" s="11"/>
      <c r="CJ217" s="11"/>
      <c r="CK217" s="11"/>
      <c r="CL217" s="11"/>
      <c r="CM217" s="11"/>
      <c r="CN217" s="11"/>
      <c r="CO217" s="11"/>
      <c r="CP217" s="11"/>
      <c r="CQ217" s="11"/>
      <c r="CR217" s="11"/>
      <c r="CS217" s="11"/>
      <c r="CT217" s="11"/>
      <c r="CU217" s="11"/>
      <c r="CV217" s="11"/>
      <c r="CW217" s="11"/>
      <c r="CX217" s="11"/>
      <c r="CY217" s="11"/>
      <c r="CZ217" s="11"/>
      <c r="DA217" s="11"/>
      <c r="DB217" s="11"/>
      <c r="DC217" s="11"/>
      <c r="DD217" s="11"/>
      <c r="DE217" s="11"/>
      <c r="DF217" s="11"/>
      <c r="DG217" s="11"/>
      <c r="DH217" s="11"/>
      <c r="DI217" s="11"/>
      <c r="DJ217" s="11"/>
      <c r="DK217" s="11"/>
      <c r="DL217" s="11"/>
      <c r="DM217" s="11"/>
      <c r="DN217" s="11"/>
      <c r="DO217" s="11"/>
      <c r="DP217" s="11"/>
      <c r="DQ217" s="11"/>
      <c r="DR217" s="11"/>
      <c r="DS217" s="11"/>
      <c r="DT217" s="11"/>
      <c r="DU217" s="11"/>
      <c r="DV217" s="11"/>
      <c r="DW217" s="11"/>
      <c r="DX217" s="11"/>
      <c r="DY217" s="11"/>
      <c r="DZ217" s="11"/>
      <c r="EA217" s="11"/>
      <c r="EB217" s="11"/>
      <c r="EC217" s="11"/>
      <c r="ED217" s="11"/>
    </row>
    <row r="218" spans="1:134">
      <c r="A218" s="18" t="str">
        <f>A37</f>
        <v>Bond 4</v>
      </c>
      <c r="B218" s="18">
        <f t="shared" ref="B218:BM218" si="348">B37*B102</f>
        <v>108.27156585392879</v>
      </c>
      <c r="C218" s="18">
        <f t="shared" si="348"/>
        <v>0</v>
      </c>
      <c r="D218" s="18">
        <f t="shared" si="348"/>
        <v>0</v>
      </c>
      <c r="E218" s="18">
        <f t="shared" si="348"/>
        <v>0</v>
      </c>
      <c r="F218" s="18">
        <f t="shared" si="348"/>
        <v>0</v>
      </c>
      <c r="G218" s="18">
        <f t="shared" si="348"/>
        <v>0</v>
      </c>
      <c r="H218" s="18">
        <f t="shared" si="348"/>
        <v>0</v>
      </c>
      <c r="I218" s="18">
        <f t="shared" si="348"/>
        <v>0</v>
      </c>
      <c r="J218" s="18">
        <f t="shared" si="348"/>
        <v>0</v>
      </c>
      <c r="K218" s="18">
        <f t="shared" si="348"/>
        <v>0</v>
      </c>
      <c r="L218" s="18">
        <f t="shared" si="348"/>
        <v>0</v>
      </c>
      <c r="M218" s="18">
        <f t="shared" si="348"/>
        <v>0</v>
      </c>
      <c r="N218" s="18">
        <f t="shared" si="348"/>
        <v>0</v>
      </c>
      <c r="O218" s="18">
        <f t="shared" si="348"/>
        <v>0</v>
      </c>
      <c r="P218" s="18">
        <f t="shared" si="348"/>
        <v>0</v>
      </c>
      <c r="Q218" s="18">
        <f t="shared" si="348"/>
        <v>0</v>
      </c>
      <c r="R218" s="18">
        <f t="shared" si="348"/>
        <v>0</v>
      </c>
      <c r="S218" s="18">
        <f t="shared" si="348"/>
        <v>0</v>
      </c>
      <c r="T218" s="18">
        <f t="shared" si="348"/>
        <v>0</v>
      </c>
      <c r="U218" s="18">
        <f t="shared" si="348"/>
        <v>0</v>
      </c>
      <c r="V218" s="18">
        <f t="shared" si="348"/>
        <v>0</v>
      </c>
      <c r="W218" s="18">
        <f t="shared" si="348"/>
        <v>0</v>
      </c>
      <c r="X218" s="18">
        <f t="shared" si="348"/>
        <v>0</v>
      </c>
      <c r="Y218" s="18">
        <f t="shared" si="348"/>
        <v>0</v>
      </c>
      <c r="Z218" s="18">
        <f t="shared" si="348"/>
        <v>0</v>
      </c>
      <c r="AA218" s="18">
        <f t="shared" si="348"/>
        <v>0</v>
      </c>
      <c r="AB218" s="18">
        <f t="shared" si="348"/>
        <v>0</v>
      </c>
      <c r="AC218" s="18">
        <f t="shared" si="348"/>
        <v>0</v>
      </c>
      <c r="AD218" s="18">
        <f t="shared" si="348"/>
        <v>0</v>
      </c>
      <c r="AE218" s="18">
        <f t="shared" si="348"/>
        <v>0</v>
      </c>
      <c r="AF218" s="18">
        <f t="shared" si="348"/>
        <v>0</v>
      </c>
      <c r="AG218" s="18">
        <f t="shared" si="348"/>
        <v>0</v>
      </c>
      <c r="AH218" s="18">
        <f t="shared" si="348"/>
        <v>0</v>
      </c>
      <c r="AI218" s="18">
        <f t="shared" si="348"/>
        <v>0</v>
      </c>
      <c r="AJ218" s="18">
        <f t="shared" si="348"/>
        <v>0</v>
      </c>
      <c r="AK218" s="18">
        <f t="shared" si="348"/>
        <v>0</v>
      </c>
      <c r="AL218" s="18">
        <f t="shared" si="348"/>
        <v>0</v>
      </c>
      <c r="AM218" s="18">
        <f t="shared" si="348"/>
        <v>0</v>
      </c>
      <c r="AN218" s="18">
        <f t="shared" si="348"/>
        <v>0</v>
      </c>
      <c r="AO218" s="18">
        <f t="shared" si="348"/>
        <v>0</v>
      </c>
      <c r="AP218" s="18">
        <f t="shared" si="348"/>
        <v>0</v>
      </c>
      <c r="AQ218" s="18">
        <f t="shared" si="348"/>
        <v>0</v>
      </c>
      <c r="AR218" s="18">
        <f t="shared" si="348"/>
        <v>0</v>
      </c>
      <c r="AS218" s="18">
        <f t="shared" si="348"/>
        <v>0</v>
      </c>
      <c r="AT218" s="18">
        <f t="shared" si="348"/>
        <v>0</v>
      </c>
      <c r="AU218" s="18">
        <f t="shared" si="348"/>
        <v>0</v>
      </c>
      <c r="AV218" s="18">
        <f t="shared" si="348"/>
        <v>0</v>
      </c>
      <c r="AW218" s="18">
        <f t="shared" si="348"/>
        <v>0</v>
      </c>
      <c r="AX218" s="18">
        <f t="shared" si="348"/>
        <v>0</v>
      </c>
      <c r="AY218" s="18">
        <f t="shared" si="348"/>
        <v>0</v>
      </c>
      <c r="AZ218" s="18">
        <f t="shared" si="348"/>
        <v>0</v>
      </c>
      <c r="BA218" s="18">
        <f t="shared" si="348"/>
        <v>0</v>
      </c>
      <c r="BB218" s="18">
        <f t="shared" si="348"/>
        <v>0</v>
      </c>
      <c r="BC218" s="18">
        <f t="shared" si="348"/>
        <v>0</v>
      </c>
      <c r="BD218" s="18">
        <f t="shared" si="348"/>
        <v>0</v>
      </c>
      <c r="BE218" s="18">
        <f t="shared" si="348"/>
        <v>0</v>
      </c>
      <c r="BF218" s="18">
        <f t="shared" si="348"/>
        <v>0</v>
      </c>
      <c r="BG218" s="18">
        <f t="shared" si="348"/>
        <v>0</v>
      </c>
      <c r="BH218" s="18">
        <f t="shared" si="348"/>
        <v>0</v>
      </c>
      <c r="BI218" s="18">
        <f t="shared" si="348"/>
        <v>0</v>
      </c>
      <c r="BJ218" s="18">
        <f t="shared" si="348"/>
        <v>0</v>
      </c>
      <c r="BK218" s="18">
        <f t="shared" si="348"/>
        <v>0</v>
      </c>
      <c r="BL218" s="18">
        <f t="shared" si="348"/>
        <v>0</v>
      </c>
      <c r="BM218" s="18">
        <f t="shared" si="348"/>
        <v>0</v>
      </c>
      <c r="BN218" s="18">
        <f t="shared" ref="BN218:CB218" si="349">BN37*BN102</f>
        <v>0</v>
      </c>
      <c r="BO218" s="18">
        <f t="shared" si="349"/>
        <v>0</v>
      </c>
      <c r="BP218" s="18">
        <f t="shared" si="349"/>
        <v>0</v>
      </c>
      <c r="BQ218" s="18">
        <f t="shared" si="349"/>
        <v>0</v>
      </c>
      <c r="BR218" s="18">
        <f t="shared" si="349"/>
        <v>0</v>
      </c>
      <c r="BS218" s="18">
        <f t="shared" si="349"/>
        <v>0</v>
      </c>
      <c r="BT218" s="18">
        <f t="shared" si="349"/>
        <v>0</v>
      </c>
      <c r="BU218" s="18">
        <f t="shared" si="349"/>
        <v>0</v>
      </c>
      <c r="BV218" s="18">
        <f t="shared" si="349"/>
        <v>0</v>
      </c>
      <c r="BW218" s="18">
        <f t="shared" si="349"/>
        <v>0</v>
      </c>
      <c r="BX218" s="18">
        <f t="shared" si="349"/>
        <v>0</v>
      </c>
      <c r="BY218" s="18">
        <f t="shared" si="349"/>
        <v>0</v>
      </c>
      <c r="BZ218" s="18">
        <f t="shared" si="349"/>
        <v>0</v>
      </c>
      <c r="CA218" s="18">
        <f t="shared" si="349"/>
        <v>0</v>
      </c>
      <c r="CB218" s="18">
        <f t="shared" si="349"/>
        <v>0</v>
      </c>
      <c r="CC218" s="17"/>
      <c r="CD218" s="17"/>
      <c r="CE218" s="17"/>
      <c r="CH218" s="5"/>
      <c r="CI218" s="11"/>
      <c r="CJ218" s="11"/>
      <c r="CK218" s="11"/>
      <c r="CL218" s="11"/>
      <c r="CM218" s="11"/>
      <c r="CN218" s="11"/>
      <c r="CO218" s="11"/>
      <c r="CP218" s="11"/>
      <c r="CQ218" s="11"/>
      <c r="CR218" s="11"/>
      <c r="CS218" s="11"/>
      <c r="CT218" s="11"/>
      <c r="CU218" s="11"/>
      <c r="CV218" s="11"/>
      <c r="CW218" s="11"/>
      <c r="CX218" s="11"/>
      <c r="CY218" s="11"/>
      <c r="CZ218" s="11"/>
      <c r="DA218" s="11"/>
      <c r="DB218" s="11"/>
      <c r="DC218" s="11"/>
      <c r="DD218" s="11"/>
      <c r="DE218" s="11"/>
      <c r="DF218" s="11"/>
      <c r="DG218" s="11"/>
      <c r="DH218" s="11"/>
      <c r="DI218" s="11"/>
      <c r="DJ218" s="11"/>
      <c r="DK218" s="11"/>
      <c r="DL218" s="11"/>
      <c r="DM218" s="11"/>
      <c r="DN218" s="11"/>
      <c r="DO218" s="11"/>
      <c r="DP218" s="11"/>
      <c r="DQ218" s="11"/>
      <c r="DR218" s="11"/>
      <c r="DS218" s="11"/>
      <c r="DT218" s="11"/>
      <c r="DU218" s="11"/>
      <c r="DV218" s="11"/>
      <c r="DW218" s="11"/>
      <c r="DX218" s="11"/>
      <c r="DY218" s="11"/>
      <c r="DZ218" s="11"/>
      <c r="EA218" s="11"/>
      <c r="EB218" s="11"/>
      <c r="EC218" s="11"/>
      <c r="ED218" s="11"/>
    </row>
    <row r="219" spans="1:134">
      <c r="A219" s="18" t="str">
        <f>A39</f>
        <v>Bond 5</v>
      </c>
      <c r="B219" s="18">
        <f t="shared" ref="B219:BM219" si="350">B39*B107</f>
        <v>1.3451808497245112</v>
      </c>
      <c r="C219" s="18">
        <f t="shared" si="350"/>
        <v>1.3635932853289627</v>
      </c>
      <c r="D219" s="18">
        <f t="shared" si="350"/>
        <v>1.4065595760958314</v>
      </c>
      <c r="E219" s="18">
        <f t="shared" si="350"/>
        <v>1.4411844514791212</v>
      </c>
      <c r="F219" s="18">
        <f t="shared" si="350"/>
        <v>1.4574993242163565</v>
      </c>
      <c r="G219" s="18">
        <f t="shared" si="350"/>
        <v>1.4559425948036901</v>
      </c>
      <c r="H219" s="18">
        <f t="shared" si="350"/>
        <v>1.4408250271208731</v>
      </c>
      <c r="I219" s="18">
        <f t="shared" si="350"/>
        <v>1.4170151957529333</v>
      </c>
      <c r="J219" s="18">
        <f t="shared" si="350"/>
        <v>1.3885734812781962</v>
      </c>
      <c r="K219" s="18">
        <f t="shared" si="350"/>
        <v>1.3585914188309771</v>
      </c>
      <c r="L219" s="18">
        <f t="shared" si="350"/>
        <v>1.3286307996500601</v>
      </c>
      <c r="M219" s="18">
        <f t="shared" si="350"/>
        <v>95.844780193296089</v>
      </c>
      <c r="N219" s="18">
        <f t="shared" si="350"/>
        <v>0</v>
      </c>
      <c r="O219" s="18">
        <f t="shared" si="350"/>
        <v>0</v>
      </c>
      <c r="P219" s="18">
        <f t="shared" si="350"/>
        <v>0</v>
      </c>
      <c r="Q219" s="18">
        <f t="shared" si="350"/>
        <v>0</v>
      </c>
      <c r="R219" s="18">
        <f t="shared" si="350"/>
        <v>0</v>
      </c>
      <c r="S219" s="18">
        <f t="shared" si="350"/>
        <v>0</v>
      </c>
      <c r="T219" s="18">
        <f t="shared" si="350"/>
        <v>0</v>
      </c>
      <c r="U219" s="18">
        <f t="shared" si="350"/>
        <v>0</v>
      </c>
      <c r="V219" s="18">
        <f t="shared" si="350"/>
        <v>0</v>
      </c>
      <c r="W219" s="18">
        <f t="shared" si="350"/>
        <v>0</v>
      </c>
      <c r="X219" s="18">
        <f t="shared" si="350"/>
        <v>0</v>
      </c>
      <c r="Y219" s="18">
        <f t="shared" si="350"/>
        <v>0</v>
      </c>
      <c r="Z219" s="18">
        <f t="shared" si="350"/>
        <v>0</v>
      </c>
      <c r="AA219" s="18">
        <f t="shared" si="350"/>
        <v>0</v>
      </c>
      <c r="AB219" s="18">
        <f t="shared" si="350"/>
        <v>0</v>
      </c>
      <c r="AC219" s="18">
        <f t="shared" si="350"/>
        <v>0</v>
      </c>
      <c r="AD219" s="18">
        <f t="shared" si="350"/>
        <v>0</v>
      </c>
      <c r="AE219" s="18">
        <f t="shared" si="350"/>
        <v>0</v>
      </c>
      <c r="AF219" s="18">
        <f t="shared" si="350"/>
        <v>0</v>
      </c>
      <c r="AG219" s="18">
        <f t="shared" si="350"/>
        <v>0</v>
      </c>
      <c r="AH219" s="18">
        <f t="shared" si="350"/>
        <v>0</v>
      </c>
      <c r="AI219" s="18">
        <f t="shared" si="350"/>
        <v>0</v>
      </c>
      <c r="AJ219" s="18">
        <f t="shared" si="350"/>
        <v>0</v>
      </c>
      <c r="AK219" s="18">
        <f t="shared" si="350"/>
        <v>0</v>
      </c>
      <c r="AL219" s="18">
        <f t="shared" si="350"/>
        <v>0</v>
      </c>
      <c r="AM219" s="18">
        <f t="shared" si="350"/>
        <v>0</v>
      </c>
      <c r="AN219" s="18">
        <f t="shared" si="350"/>
        <v>0</v>
      </c>
      <c r="AO219" s="18">
        <f t="shared" si="350"/>
        <v>0</v>
      </c>
      <c r="AP219" s="18">
        <f t="shared" si="350"/>
        <v>0</v>
      </c>
      <c r="AQ219" s="18">
        <f t="shared" si="350"/>
        <v>0</v>
      </c>
      <c r="AR219" s="18">
        <f t="shared" si="350"/>
        <v>0</v>
      </c>
      <c r="AS219" s="18">
        <f t="shared" si="350"/>
        <v>0</v>
      </c>
      <c r="AT219" s="18">
        <f t="shared" si="350"/>
        <v>0</v>
      </c>
      <c r="AU219" s="18">
        <f t="shared" si="350"/>
        <v>0</v>
      </c>
      <c r="AV219" s="18">
        <f t="shared" si="350"/>
        <v>0</v>
      </c>
      <c r="AW219" s="18">
        <f t="shared" si="350"/>
        <v>0</v>
      </c>
      <c r="AX219" s="18">
        <f t="shared" si="350"/>
        <v>0</v>
      </c>
      <c r="AY219" s="18">
        <f t="shared" si="350"/>
        <v>0</v>
      </c>
      <c r="AZ219" s="18">
        <f t="shared" si="350"/>
        <v>0</v>
      </c>
      <c r="BA219" s="18">
        <f t="shared" si="350"/>
        <v>0</v>
      </c>
      <c r="BB219" s="18">
        <f t="shared" si="350"/>
        <v>0</v>
      </c>
      <c r="BC219" s="18">
        <f t="shared" si="350"/>
        <v>0</v>
      </c>
      <c r="BD219" s="18">
        <f t="shared" si="350"/>
        <v>0</v>
      </c>
      <c r="BE219" s="18">
        <f t="shared" si="350"/>
        <v>0</v>
      </c>
      <c r="BF219" s="18">
        <f t="shared" si="350"/>
        <v>0</v>
      </c>
      <c r="BG219" s="18">
        <f t="shared" si="350"/>
        <v>0</v>
      </c>
      <c r="BH219" s="18">
        <f t="shared" si="350"/>
        <v>0</v>
      </c>
      <c r="BI219" s="18">
        <f t="shared" si="350"/>
        <v>0</v>
      </c>
      <c r="BJ219" s="18">
        <f t="shared" si="350"/>
        <v>0</v>
      </c>
      <c r="BK219" s="18">
        <f t="shared" si="350"/>
        <v>0</v>
      </c>
      <c r="BL219" s="18">
        <f t="shared" si="350"/>
        <v>0</v>
      </c>
      <c r="BM219" s="18">
        <f t="shared" si="350"/>
        <v>0</v>
      </c>
      <c r="BN219" s="18">
        <f t="shared" ref="BN219:CB219" si="351">BN39*BN107</f>
        <v>0</v>
      </c>
      <c r="BO219" s="18">
        <f t="shared" si="351"/>
        <v>0</v>
      </c>
      <c r="BP219" s="18">
        <f t="shared" si="351"/>
        <v>0</v>
      </c>
      <c r="BQ219" s="18">
        <f t="shared" si="351"/>
        <v>0</v>
      </c>
      <c r="BR219" s="18">
        <f t="shared" si="351"/>
        <v>0</v>
      </c>
      <c r="BS219" s="18">
        <f t="shared" si="351"/>
        <v>0</v>
      </c>
      <c r="BT219" s="18">
        <f t="shared" si="351"/>
        <v>0</v>
      </c>
      <c r="BU219" s="18">
        <f t="shared" si="351"/>
        <v>0</v>
      </c>
      <c r="BV219" s="18">
        <f t="shared" si="351"/>
        <v>0</v>
      </c>
      <c r="BW219" s="18">
        <f t="shared" si="351"/>
        <v>0</v>
      </c>
      <c r="BX219" s="18">
        <f t="shared" si="351"/>
        <v>0</v>
      </c>
      <c r="BY219" s="18">
        <f t="shared" si="351"/>
        <v>0</v>
      </c>
      <c r="BZ219" s="18">
        <f t="shared" si="351"/>
        <v>0</v>
      </c>
      <c r="CA219" s="18">
        <f t="shared" si="351"/>
        <v>0</v>
      </c>
      <c r="CB219" s="18">
        <f t="shared" si="351"/>
        <v>0</v>
      </c>
      <c r="CC219" s="17"/>
      <c r="CD219" s="17"/>
      <c r="CE219" s="17"/>
      <c r="CH219" s="11"/>
      <c r="CI219" s="11"/>
      <c r="CJ219" s="11"/>
      <c r="CK219" s="11"/>
      <c r="CL219" s="11"/>
      <c r="CM219" s="11"/>
      <c r="CN219" s="11"/>
      <c r="CO219" s="11"/>
      <c r="CP219" s="11"/>
      <c r="CQ219" s="11"/>
      <c r="CR219" s="11"/>
      <c r="CS219" s="11"/>
      <c r="CT219" s="11"/>
      <c r="CU219" s="11"/>
      <c r="CV219" s="11"/>
      <c r="CW219" s="11"/>
      <c r="CX219" s="11"/>
      <c r="CY219" s="11"/>
      <c r="CZ219" s="11"/>
      <c r="DA219" s="11"/>
      <c r="DB219" s="11"/>
      <c r="DC219" s="11"/>
      <c r="DD219" s="11"/>
      <c r="DE219" s="11"/>
      <c r="DF219" s="11"/>
      <c r="DG219" s="11"/>
      <c r="DH219" s="11"/>
      <c r="DI219" s="11"/>
      <c r="DJ219" s="11"/>
      <c r="DK219" s="11"/>
      <c r="DL219" s="11"/>
      <c r="DM219" s="11"/>
      <c r="DN219" s="11"/>
      <c r="DO219" s="11"/>
      <c r="DP219" s="11"/>
      <c r="DQ219" s="11"/>
      <c r="DR219" s="11"/>
      <c r="DS219" s="11"/>
      <c r="DT219" s="11"/>
      <c r="DU219" s="11"/>
      <c r="DV219" s="11"/>
      <c r="DW219" s="11"/>
      <c r="DX219" s="11"/>
      <c r="DY219" s="11"/>
      <c r="DZ219" s="11"/>
      <c r="EA219" s="11"/>
      <c r="EB219" s="11"/>
      <c r="EC219" s="11"/>
      <c r="ED219" s="11"/>
    </row>
    <row r="220" spans="1:134">
      <c r="A220" s="18" t="str">
        <f>A41</f>
        <v>Bond 6</v>
      </c>
      <c r="B220" s="18">
        <f t="shared" ref="B220:BM220" si="352">B41*B112</f>
        <v>2.2012050268219276</v>
      </c>
      <c r="C220" s="18">
        <f t="shared" si="352"/>
        <v>2.2313344669019388</v>
      </c>
      <c r="D220" s="18">
        <f t="shared" si="352"/>
        <v>2.3016429427022693</v>
      </c>
      <c r="E220" s="18">
        <f t="shared" si="352"/>
        <v>2.3583018296931075</v>
      </c>
      <c r="F220" s="18">
        <f t="shared" si="352"/>
        <v>2.3849988941722198</v>
      </c>
      <c r="G220" s="18">
        <f t="shared" si="352"/>
        <v>2.3824515187696749</v>
      </c>
      <c r="H220" s="18">
        <f t="shared" si="352"/>
        <v>2.3577136807432471</v>
      </c>
      <c r="I220" s="18">
        <f t="shared" si="352"/>
        <v>2.3187521385048</v>
      </c>
      <c r="J220" s="18">
        <f t="shared" si="352"/>
        <v>2.2722111511825029</v>
      </c>
      <c r="K220" s="18">
        <f t="shared" si="352"/>
        <v>2.2231495944506898</v>
      </c>
      <c r="L220" s="18">
        <f t="shared" si="352"/>
        <v>2.1741231267000982</v>
      </c>
      <c r="M220" s="18">
        <f t="shared" si="352"/>
        <v>2.1272577601471387</v>
      </c>
      <c r="N220" s="18">
        <f t="shared" si="352"/>
        <v>2.0835364208449354</v>
      </c>
      <c r="O220" s="18">
        <f t="shared" si="352"/>
        <v>2.0433779993281291</v>
      </c>
      <c r="P220" s="18">
        <f t="shared" si="352"/>
        <v>2.0068565708440413</v>
      </c>
      <c r="Q220" s="18">
        <f t="shared" si="352"/>
        <v>89.700397718811942</v>
      </c>
      <c r="R220" s="18">
        <f t="shared" si="352"/>
        <v>0</v>
      </c>
      <c r="S220" s="18">
        <f t="shared" si="352"/>
        <v>0</v>
      </c>
      <c r="T220" s="18">
        <f t="shared" si="352"/>
        <v>0</v>
      </c>
      <c r="U220" s="18">
        <f t="shared" si="352"/>
        <v>0</v>
      </c>
      <c r="V220" s="18">
        <f t="shared" si="352"/>
        <v>0</v>
      </c>
      <c r="W220" s="18">
        <f t="shared" si="352"/>
        <v>0</v>
      </c>
      <c r="X220" s="18">
        <f t="shared" si="352"/>
        <v>0</v>
      </c>
      <c r="Y220" s="18">
        <f t="shared" si="352"/>
        <v>0</v>
      </c>
      <c r="Z220" s="18">
        <f t="shared" si="352"/>
        <v>0</v>
      </c>
      <c r="AA220" s="18">
        <f t="shared" si="352"/>
        <v>0</v>
      </c>
      <c r="AB220" s="18">
        <f t="shared" si="352"/>
        <v>0</v>
      </c>
      <c r="AC220" s="18">
        <f t="shared" si="352"/>
        <v>0</v>
      </c>
      <c r="AD220" s="18">
        <f t="shared" si="352"/>
        <v>0</v>
      </c>
      <c r="AE220" s="18">
        <f t="shared" si="352"/>
        <v>0</v>
      </c>
      <c r="AF220" s="18">
        <f t="shared" si="352"/>
        <v>0</v>
      </c>
      <c r="AG220" s="18">
        <f t="shared" si="352"/>
        <v>0</v>
      </c>
      <c r="AH220" s="18">
        <f t="shared" si="352"/>
        <v>0</v>
      </c>
      <c r="AI220" s="18">
        <f t="shared" si="352"/>
        <v>0</v>
      </c>
      <c r="AJ220" s="18">
        <f t="shared" si="352"/>
        <v>0</v>
      </c>
      <c r="AK220" s="18">
        <f t="shared" si="352"/>
        <v>0</v>
      </c>
      <c r="AL220" s="18">
        <f t="shared" si="352"/>
        <v>0</v>
      </c>
      <c r="AM220" s="18">
        <f t="shared" si="352"/>
        <v>0</v>
      </c>
      <c r="AN220" s="18">
        <f t="shared" si="352"/>
        <v>0</v>
      </c>
      <c r="AO220" s="18">
        <f t="shared" si="352"/>
        <v>0</v>
      </c>
      <c r="AP220" s="18">
        <f t="shared" si="352"/>
        <v>0</v>
      </c>
      <c r="AQ220" s="18">
        <f t="shared" si="352"/>
        <v>0</v>
      </c>
      <c r="AR220" s="18">
        <f t="shared" si="352"/>
        <v>0</v>
      </c>
      <c r="AS220" s="18">
        <f t="shared" si="352"/>
        <v>0</v>
      </c>
      <c r="AT220" s="18">
        <f t="shared" si="352"/>
        <v>0</v>
      </c>
      <c r="AU220" s="18">
        <f t="shared" si="352"/>
        <v>0</v>
      </c>
      <c r="AV220" s="18">
        <f t="shared" si="352"/>
        <v>0</v>
      </c>
      <c r="AW220" s="18">
        <f t="shared" si="352"/>
        <v>0</v>
      </c>
      <c r="AX220" s="18">
        <f t="shared" si="352"/>
        <v>0</v>
      </c>
      <c r="AY220" s="18">
        <f t="shared" si="352"/>
        <v>0</v>
      </c>
      <c r="AZ220" s="18">
        <f t="shared" si="352"/>
        <v>0</v>
      </c>
      <c r="BA220" s="18">
        <f t="shared" si="352"/>
        <v>0</v>
      </c>
      <c r="BB220" s="18">
        <f t="shared" si="352"/>
        <v>0</v>
      </c>
      <c r="BC220" s="18">
        <f t="shared" si="352"/>
        <v>0</v>
      </c>
      <c r="BD220" s="18">
        <f t="shared" si="352"/>
        <v>0</v>
      </c>
      <c r="BE220" s="18">
        <f t="shared" si="352"/>
        <v>0</v>
      </c>
      <c r="BF220" s="18">
        <f t="shared" si="352"/>
        <v>0</v>
      </c>
      <c r="BG220" s="18">
        <f t="shared" si="352"/>
        <v>0</v>
      </c>
      <c r="BH220" s="18">
        <f t="shared" si="352"/>
        <v>0</v>
      </c>
      <c r="BI220" s="18">
        <f t="shared" si="352"/>
        <v>0</v>
      </c>
      <c r="BJ220" s="18">
        <f t="shared" si="352"/>
        <v>0</v>
      </c>
      <c r="BK220" s="18">
        <f t="shared" si="352"/>
        <v>0</v>
      </c>
      <c r="BL220" s="18">
        <f t="shared" si="352"/>
        <v>0</v>
      </c>
      <c r="BM220" s="18">
        <f t="shared" si="352"/>
        <v>0</v>
      </c>
      <c r="BN220" s="18">
        <f t="shared" ref="BN220:CB220" si="353">BN41*BN112</f>
        <v>0</v>
      </c>
      <c r="BO220" s="18">
        <f t="shared" si="353"/>
        <v>0</v>
      </c>
      <c r="BP220" s="18">
        <f t="shared" si="353"/>
        <v>0</v>
      </c>
      <c r="BQ220" s="18">
        <f t="shared" si="353"/>
        <v>0</v>
      </c>
      <c r="BR220" s="18">
        <f t="shared" si="353"/>
        <v>0</v>
      </c>
      <c r="BS220" s="18">
        <f t="shared" si="353"/>
        <v>0</v>
      </c>
      <c r="BT220" s="18">
        <f t="shared" si="353"/>
        <v>0</v>
      </c>
      <c r="BU220" s="18">
        <f t="shared" si="353"/>
        <v>0</v>
      </c>
      <c r="BV220" s="18">
        <f t="shared" si="353"/>
        <v>0</v>
      </c>
      <c r="BW220" s="18">
        <f t="shared" si="353"/>
        <v>0</v>
      </c>
      <c r="BX220" s="18">
        <f t="shared" si="353"/>
        <v>0</v>
      </c>
      <c r="BY220" s="18">
        <f t="shared" si="353"/>
        <v>0</v>
      </c>
      <c r="BZ220" s="18">
        <f t="shared" si="353"/>
        <v>0</v>
      </c>
      <c r="CA220" s="18">
        <f t="shared" si="353"/>
        <v>0</v>
      </c>
      <c r="CB220" s="18">
        <f t="shared" si="353"/>
        <v>0</v>
      </c>
      <c r="CC220" s="17"/>
      <c r="CD220" s="17"/>
      <c r="CE220" s="17"/>
      <c r="CH220" s="5"/>
      <c r="CI220" s="11"/>
      <c r="CJ220" s="11"/>
      <c r="CK220" s="11"/>
      <c r="CL220" s="11"/>
      <c r="CM220" s="11"/>
      <c r="CN220" s="11"/>
      <c r="CO220" s="11"/>
      <c r="CP220" s="11"/>
      <c r="CQ220" s="11"/>
      <c r="CR220" s="11"/>
      <c r="CS220" s="11"/>
      <c r="CT220" s="11"/>
      <c r="CU220" s="11"/>
      <c r="CV220" s="11"/>
      <c r="CW220" s="11"/>
      <c r="CX220" s="11"/>
      <c r="CY220" s="11"/>
      <c r="CZ220" s="11"/>
      <c r="DA220" s="11"/>
      <c r="DB220" s="11"/>
      <c r="DC220" s="11"/>
      <c r="DD220" s="11"/>
      <c r="DE220" s="11"/>
      <c r="DF220" s="11"/>
      <c r="DG220" s="11"/>
      <c r="DH220" s="11"/>
      <c r="DI220" s="11"/>
      <c r="DJ220" s="11"/>
      <c r="DK220" s="11"/>
      <c r="DL220" s="11"/>
      <c r="DM220" s="11"/>
      <c r="DN220" s="11"/>
      <c r="DO220" s="11"/>
      <c r="DP220" s="11"/>
      <c r="DQ220" s="11"/>
      <c r="DR220" s="11"/>
      <c r="DS220" s="11"/>
      <c r="DT220" s="11"/>
      <c r="DU220" s="11"/>
      <c r="DV220" s="11"/>
      <c r="DW220" s="11"/>
      <c r="DX220" s="11"/>
      <c r="DY220" s="11"/>
      <c r="DZ220" s="11"/>
      <c r="EA220" s="11"/>
      <c r="EB220" s="11"/>
      <c r="EC220" s="11"/>
      <c r="ED220" s="11"/>
    </row>
    <row r="221" spans="1:134">
      <c r="A221" s="18" t="str">
        <f>A43</f>
        <v>Bond 7</v>
      </c>
      <c r="B221" s="18">
        <f t="shared" ref="B221:BM221" si="354">B43*B117</f>
        <v>1.4670547954015403</v>
      </c>
      <c r="C221" s="18">
        <f t="shared" si="354"/>
        <v>1.4887485073030988</v>
      </c>
      <c r="D221" s="18">
        <f t="shared" si="354"/>
        <v>1.5356910099560337</v>
      </c>
      <c r="E221" s="18">
        <f t="shared" si="354"/>
        <v>1.5729803514979805</v>
      </c>
      <c r="F221" s="18">
        <f t="shared" si="354"/>
        <v>1.5901985988816469</v>
      </c>
      <c r="G221" s="18">
        <f t="shared" si="354"/>
        <v>1.5880173605392411</v>
      </c>
      <c r="H221" s="18">
        <f t="shared" si="354"/>
        <v>1.5711924628115312</v>
      </c>
      <c r="I221" s="18">
        <f t="shared" si="354"/>
        <v>1.5450235263130394</v>
      </c>
      <c r="J221" s="18">
        <f t="shared" si="354"/>
        <v>1.5139070417424505</v>
      </c>
      <c r="K221" s="18">
        <f t="shared" si="354"/>
        <v>1.4811816989552455</v>
      </c>
      <c r="L221" s="18">
        <f t="shared" si="354"/>
        <v>1.4485239468105304</v>
      </c>
      <c r="M221" s="18">
        <f t="shared" si="354"/>
        <v>1.4173318945270519</v>
      </c>
      <c r="N221" s="18">
        <f t="shared" si="354"/>
        <v>1.3882478893654508</v>
      </c>
      <c r="O221" s="18">
        <f t="shared" si="354"/>
        <v>1.3615430897719085</v>
      </c>
      <c r="P221" s="18">
        <f t="shared" si="354"/>
        <v>1.3372620763376273</v>
      </c>
      <c r="Q221" s="18">
        <f t="shared" si="354"/>
        <v>1.3153190174197165</v>
      </c>
      <c r="R221" s="18">
        <f t="shared" si="354"/>
        <v>1.2955588578717032</v>
      </c>
      <c r="S221" s="18">
        <f t="shared" si="354"/>
        <v>1.277888379797316</v>
      </c>
      <c r="T221" s="18">
        <f t="shared" si="354"/>
        <v>1.2619147838737141</v>
      </c>
      <c r="U221" s="18">
        <f t="shared" si="354"/>
        <v>84.417473061563115</v>
      </c>
      <c r="V221" s="18">
        <f t="shared" si="354"/>
        <v>0</v>
      </c>
      <c r="W221" s="18">
        <f t="shared" si="354"/>
        <v>0</v>
      </c>
      <c r="X221" s="18">
        <f t="shared" si="354"/>
        <v>0</v>
      </c>
      <c r="Y221" s="18">
        <f t="shared" si="354"/>
        <v>0</v>
      </c>
      <c r="Z221" s="18">
        <f t="shared" si="354"/>
        <v>0</v>
      </c>
      <c r="AA221" s="18">
        <f t="shared" si="354"/>
        <v>0</v>
      </c>
      <c r="AB221" s="18">
        <f t="shared" si="354"/>
        <v>0</v>
      </c>
      <c r="AC221" s="18">
        <f t="shared" si="354"/>
        <v>0</v>
      </c>
      <c r="AD221" s="18">
        <f t="shared" si="354"/>
        <v>0</v>
      </c>
      <c r="AE221" s="18">
        <f t="shared" si="354"/>
        <v>0</v>
      </c>
      <c r="AF221" s="18">
        <f t="shared" si="354"/>
        <v>0</v>
      </c>
      <c r="AG221" s="18">
        <f t="shared" si="354"/>
        <v>0</v>
      </c>
      <c r="AH221" s="18">
        <f t="shared" si="354"/>
        <v>0</v>
      </c>
      <c r="AI221" s="18">
        <f t="shared" si="354"/>
        <v>0</v>
      </c>
      <c r="AJ221" s="18">
        <f t="shared" si="354"/>
        <v>0</v>
      </c>
      <c r="AK221" s="18">
        <f t="shared" si="354"/>
        <v>0</v>
      </c>
      <c r="AL221" s="18">
        <f t="shared" si="354"/>
        <v>0</v>
      </c>
      <c r="AM221" s="18">
        <f t="shared" si="354"/>
        <v>0</v>
      </c>
      <c r="AN221" s="18">
        <f t="shared" si="354"/>
        <v>0</v>
      </c>
      <c r="AO221" s="18">
        <f t="shared" si="354"/>
        <v>0</v>
      </c>
      <c r="AP221" s="18">
        <f t="shared" si="354"/>
        <v>0</v>
      </c>
      <c r="AQ221" s="18">
        <f t="shared" si="354"/>
        <v>0</v>
      </c>
      <c r="AR221" s="18">
        <f t="shared" si="354"/>
        <v>0</v>
      </c>
      <c r="AS221" s="18">
        <f t="shared" si="354"/>
        <v>0</v>
      </c>
      <c r="AT221" s="18">
        <f t="shared" si="354"/>
        <v>0</v>
      </c>
      <c r="AU221" s="18">
        <f t="shared" si="354"/>
        <v>0</v>
      </c>
      <c r="AV221" s="18">
        <f t="shared" si="354"/>
        <v>0</v>
      </c>
      <c r="AW221" s="18">
        <f t="shared" si="354"/>
        <v>0</v>
      </c>
      <c r="AX221" s="18">
        <f t="shared" si="354"/>
        <v>0</v>
      </c>
      <c r="AY221" s="18">
        <f t="shared" si="354"/>
        <v>0</v>
      </c>
      <c r="AZ221" s="18">
        <f t="shared" si="354"/>
        <v>0</v>
      </c>
      <c r="BA221" s="18">
        <f t="shared" si="354"/>
        <v>0</v>
      </c>
      <c r="BB221" s="18">
        <f t="shared" si="354"/>
        <v>0</v>
      </c>
      <c r="BC221" s="18">
        <f t="shared" si="354"/>
        <v>0</v>
      </c>
      <c r="BD221" s="18">
        <f t="shared" si="354"/>
        <v>0</v>
      </c>
      <c r="BE221" s="18">
        <f t="shared" si="354"/>
        <v>0</v>
      </c>
      <c r="BF221" s="18">
        <f t="shared" si="354"/>
        <v>0</v>
      </c>
      <c r="BG221" s="18">
        <f t="shared" si="354"/>
        <v>0</v>
      </c>
      <c r="BH221" s="18">
        <f t="shared" si="354"/>
        <v>0</v>
      </c>
      <c r="BI221" s="18">
        <f t="shared" si="354"/>
        <v>0</v>
      </c>
      <c r="BJ221" s="18">
        <f t="shared" si="354"/>
        <v>0</v>
      </c>
      <c r="BK221" s="18">
        <f t="shared" si="354"/>
        <v>0</v>
      </c>
      <c r="BL221" s="18">
        <f t="shared" si="354"/>
        <v>0</v>
      </c>
      <c r="BM221" s="18">
        <f t="shared" si="354"/>
        <v>0</v>
      </c>
      <c r="BN221" s="18">
        <f t="shared" ref="BN221:CB221" si="355">BN43*BN117</f>
        <v>0</v>
      </c>
      <c r="BO221" s="18">
        <f t="shared" si="355"/>
        <v>0</v>
      </c>
      <c r="BP221" s="18">
        <f t="shared" si="355"/>
        <v>0</v>
      </c>
      <c r="BQ221" s="18">
        <f t="shared" si="355"/>
        <v>0</v>
      </c>
      <c r="BR221" s="18">
        <f t="shared" si="355"/>
        <v>0</v>
      </c>
      <c r="BS221" s="18">
        <f t="shared" si="355"/>
        <v>0</v>
      </c>
      <c r="BT221" s="18">
        <f t="shared" si="355"/>
        <v>0</v>
      </c>
      <c r="BU221" s="18">
        <f t="shared" si="355"/>
        <v>0</v>
      </c>
      <c r="BV221" s="18">
        <f t="shared" si="355"/>
        <v>0</v>
      </c>
      <c r="BW221" s="18">
        <f t="shared" si="355"/>
        <v>0</v>
      </c>
      <c r="BX221" s="18">
        <f t="shared" si="355"/>
        <v>0</v>
      </c>
      <c r="BY221" s="18">
        <f t="shared" si="355"/>
        <v>0</v>
      </c>
      <c r="BZ221" s="18">
        <f t="shared" si="355"/>
        <v>0</v>
      </c>
      <c r="CA221" s="18">
        <f t="shared" si="355"/>
        <v>0</v>
      </c>
      <c r="CB221" s="18">
        <f t="shared" si="355"/>
        <v>0</v>
      </c>
      <c r="CC221" s="17"/>
      <c r="CD221" s="17"/>
      <c r="CE221" s="17"/>
      <c r="CH221" s="5"/>
      <c r="CI221" s="11"/>
      <c r="CJ221" s="11"/>
      <c r="CK221" s="11"/>
      <c r="CL221" s="11"/>
      <c r="CM221" s="11"/>
      <c r="CN221" s="11"/>
      <c r="CO221" s="11"/>
      <c r="CP221" s="11"/>
      <c r="CQ221" s="11"/>
      <c r="CR221" s="11"/>
      <c r="CS221" s="11"/>
      <c r="CT221" s="11"/>
      <c r="CU221" s="11"/>
      <c r="CV221" s="11"/>
      <c r="CW221" s="11"/>
      <c r="CX221" s="11"/>
      <c r="CY221" s="11"/>
      <c r="CZ221" s="11"/>
      <c r="DA221" s="11"/>
      <c r="DB221" s="11"/>
      <c r="DC221" s="11"/>
      <c r="DD221" s="11"/>
      <c r="DE221" s="11"/>
      <c r="DF221" s="11"/>
      <c r="DG221" s="11"/>
      <c r="DH221" s="11"/>
      <c r="DI221" s="11"/>
      <c r="DJ221" s="11"/>
      <c r="DK221" s="11"/>
      <c r="DL221" s="11"/>
      <c r="DM221" s="11"/>
      <c r="DN221" s="11"/>
      <c r="DO221" s="11"/>
      <c r="DP221" s="11"/>
      <c r="DQ221" s="11"/>
      <c r="DR221" s="11"/>
      <c r="DS221" s="11"/>
      <c r="DT221" s="11"/>
      <c r="DU221" s="11"/>
      <c r="DV221" s="11"/>
      <c r="DW221" s="11"/>
      <c r="DX221" s="11"/>
      <c r="DY221" s="11"/>
      <c r="DZ221" s="11"/>
      <c r="EA221" s="11"/>
      <c r="EB221" s="11"/>
      <c r="EC221" s="11"/>
      <c r="ED221" s="11"/>
    </row>
    <row r="222" spans="1:134">
      <c r="A222" s="18" t="str">
        <f>A45</f>
        <v>Bond 8</v>
      </c>
      <c r="B222" s="18">
        <f t="shared" ref="B222:BM222" si="356">B45*B122</f>
        <v>1.7121570156065657</v>
      </c>
      <c r="C222" s="18">
        <f t="shared" si="356"/>
        <v>1.7352065826587828</v>
      </c>
      <c r="D222" s="18">
        <f t="shared" si="356"/>
        <v>1.7898709714454333</v>
      </c>
      <c r="E222" s="18">
        <f t="shared" si="356"/>
        <v>1.8340507034913525</v>
      </c>
      <c r="F222" s="18">
        <f t="shared" si="356"/>
        <v>1.8549504912077417</v>
      </c>
      <c r="G222" s="18">
        <f t="shared" si="356"/>
        <v>1.8530824367927643</v>
      </c>
      <c r="H222" s="18">
        <f t="shared" si="356"/>
        <v>1.8339201829568963</v>
      </c>
      <c r="I222" s="18">
        <f t="shared" si="356"/>
        <v>1.8036626420201216</v>
      </c>
      <c r="J222" s="18">
        <f t="shared" si="356"/>
        <v>1.7674852422056979</v>
      </c>
      <c r="K222" s="18">
        <f t="shared" si="356"/>
        <v>1.7293305891992015</v>
      </c>
      <c r="L222" s="18">
        <f t="shared" si="356"/>
        <v>1.6911928255043855</v>
      </c>
      <c r="M222" s="18">
        <f t="shared" si="356"/>
        <v>1.6547300308169566</v>
      </c>
      <c r="N222" s="18">
        <f t="shared" si="356"/>
        <v>1.6207097439757991</v>
      </c>
      <c r="O222" s="18">
        <f t="shared" si="356"/>
        <v>1.5894596748045982</v>
      </c>
      <c r="P222" s="18">
        <f t="shared" si="356"/>
        <v>1.5610385684171073</v>
      </c>
      <c r="Q222" s="18">
        <f t="shared" si="356"/>
        <v>1.5353500227952497</v>
      </c>
      <c r="R222" s="18">
        <f t="shared" si="356"/>
        <v>1.512215004018499</v>
      </c>
      <c r="S222" s="18">
        <f t="shared" si="356"/>
        <v>1.4915258850507791</v>
      </c>
      <c r="T222" s="18">
        <f t="shared" si="356"/>
        <v>1.4728236649519391</v>
      </c>
      <c r="U222" s="18">
        <f t="shared" si="356"/>
        <v>1.4560044311516986</v>
      </c>
      <c r="V222" s="18">
        <f t="shared" si="356"/>
        <v>1.440853455461083</v>
      </c>
      <c r="W222" s="18">
        <f t="shared" si="356"/>
        <v>1.4271708100274505</v>
      </c>
      <c r="X222" s="18">
        <f t="shared" si="356"/>
        <v>1.4147726914102645</v>
      </c>
      <c r="Y222" s="18">
        <f t="shared" si="356"/>
        <v>1.4034913948817904</v>
      </c>
      <c r="Z222" s="18">
        <f t="shared" si="356"/>
        <v>1.3931745849263724</v>
      </c>
      <c r="AA222" s="18">
        <f t="shared" si="356"/>
        <v>1.3837349165518806</v>
      </c>
      <c r="AB222" s="18">
        <f t="shared" si="356"/>
        <v>1.3749425899814971</v>
      </c>
      <c r="AC222" s="18">
        <f t="shared" si="356"/>
        <v>79.466143687205516</v>
      </c>
      <c r="AD222" s="18">
        <f t="shared" si="356"/>
        <v>0</v>
      </c>
      <c r="AE222" s="18">
        <f t="shared" si="356"/>
        <v>0</v>
      </c>
      <c r="AF222" s="18">
        <f t="shared" si="356"/>
        <v>0</v>
      </c>
      <c r="AG222" s="18">
        <f t="shared" si="356"/>
        <v>0</v>
      </c>
      <c r="AH222" s="18">
        <f t="shared" si="356"/>
        <v>0</v>
      </c>
      <c r="AI222" s="18">
        <f t="shared" si="356"/>
        <v>0</v>
      </c>
      <c r="AJ222" s="18">
        <f t="shared" si="356"/>
        <v>0</v>
      </c>
      <c r="AK222" s="18">
        <f t="shared" si="356"/>
        <v>0</v>
      </c>
      <c r="AL222" s="18">
        <f t="shared" si="356"/>
        <v>0</v>
      </c>
      <c r="AM222" s="18">
        <f t="shared" si="356"/>
        <v>0</v>
      </c>
      <c r="AN222" s="18">
        <f t="shared" si="356"/>
        <v>0</v>
      </c>
      <c r="AO222" s="18">
        <f t="shared" si="356"/>
        <v>0</v>
      </c>
      <c r="AP222" s="18">
        <f t="shared" si="356"/>
        <v>0</v>
      </c>
      <c r="AQ222" s="18">
        <f t="shared" si="356"/>
        <v>0</v>
      </c>
      <c r="AR222" s="18">
        <f t="shared" si="356"/>
        <v>0</v>
      </c>
      <c r="AS222" s="18">
        <f t="shared" si="356"/>
        <v>0</v>
      </c>
      <c r="AT222" s="18">
        <f t="shared" si="356"/>
        <v>0</v>
      </c>
      <c r="AU222" s="18">
        <f t="shared" si="356"/>
        <v>0</v>
      </c>
      <c r="AV222" s="18">
        <f t="shared" si="356"/>
        <v>0</v>
      </c>
      <c r="AW222" s="18">
        <f t="shared" si="356"/>
        <v>0</v>
      </c>
      <c r="AX222" s="18">
        <f t="shared" si="356"/>
        <v>0</v>
      </c>
      <c r="AY222" s="18">
        <f t="shared" si="356"/>
        <v>0</v>
      </c>
      <c r="AZ222" s="18">
        <f t="shared" si="356"/>
        <v>0</v>
      </c>
      <c r="BA222" s="18">
        <f t="shared" si="356"/>
        <v>0</v>
      </c>
      <c r="BB222" s="18">
        <f t="shared" si="356"/>
        <v>0</v>
      </c>
      <c r="BC222" s="18">
        <f t="shared" si="356"/>
        <v>0</v>
      </c>
      <c r="BD222" s="18">
        <f t="shared" si="356"/>
        <v>0</v>
      </c>
      <c r="BE222" s="18">
        <f t="shared" si="356"/>
        <v>0</v>
      </c>
      <c r="BF222" s="18">
        <f t="shared" si="356"/>
        <v>0</v>
      </c>
      <c r="BG222" s="18">
        <f t="shared" si="356"/>
        <v>0</v>
      </c>
      <c r="BH222" s="18">
        <f t="shared" si="356"/>
        <v>0</v>
      </c>
      <c r="BI222" s="18">
        <f t="shared" si="356"/>
        <v>0</v>
      </c>
      <c r="BJ222" s="18">
        <f t="shared" si="356"/>
        <v>0</v>
      </c>
      <c r="BK222" s="18">
        <f t="shared" si="356"/>
        <v>0</v>
      </c>
      <c r="BL222" s="18">
        <f t="shared" si="356"/>
        <v>0</v>
      </c>
      <c r="BM222" s="18">
        <f t="shared" si="356"/>
        <v>0</v>
      </c>
      <c r="BN222" s="18">
        <f t="shared" ref="BN222:CB222" si="357">BN45*BN122</f>
        <v>0</v>
      </c>
      <c r="BO222" s="18">
        <f t="shared" si="357"/>
        <v>0</v>
      </c>
      <c r="BP222" s="18">
        <f t="shared" si="357"/>
        <v>0</v>
      </c>
      <c r="BQ222" s="18">
        <f t="shared" si="357"/>
        <v>0</v>
      </c>
      <c r="BR222" s="18">
        <f t="shared" si="357"/>
        <v>0</v>
      </c>
      <c r="BS222" s="18">
        <f t="shared" si="357"/>
        <v>0</v>
      </c>
      <c r="BT222" s="18">
        <f t="shared" si="357"/>
        <v>0</v>
      </c>
      <c r="BU222" s="18">
        <f t="shared" si="357"/>
        <v>0</v>
      </c>
      <c r="BV222" s="18">
        <f t="shared" si="357"/>
        <v>0</v>
      </c>
      <c r="BW222" s="18">
        <f t="shared" si="357"/>
        <v>0</v>
      </c>
      <c r="BX222" s="18">
        <f t="shared" si="357"/>
        <v>0</v>
      </c>
      <c r="BY222" s="18">
        <f t="shared" si="357"/>
        <v>0</v>
      </c>
      <c r="BZ222" s="18">
        <f t="shared" si="357"/>
        <v>0</v>
      </c>
      <c r="CA222" s="18">
        <f t="shared" si="357"/>
        <v>0</v>
      </c>
      <c r="CB222" s="18">
        <f t="shared" si="357"/>
        <v>0</v>
      </c>
      <c r="CC222" s="17"/>
      <c r="CD222" s="17"/>
      <c r="CE222" s="17"/>
      <c r="CH222" s="5"/>
      <c r="CI222" s="11"/>
      <c r="CJ222" s="11"/>
      <c r="CK222" s="11"/>
      <c r="CL222" s="11"/>
      <c r="CM222" s="11"/>
      <c r="CN222" s="11"/>
      <c r="CO222" s="11"/>
      <c r="CP222" s="11"/>
      <c r="CQ222" s="11"/>
      <c r="CR222" s="11"/>
      <c r="CS222" s="11"/>
      <c r="CT222" s="11"/>
      <c r="CU222" s="11"/>
      <c r="CV222" s="11"/>
      <c r="CW222" s="11"/>
      <c r="CX222" s="11"/>
      <c r="CY222" s="11"/>
      <c r="CZ222" s="11"/>
      <c r="DA222" s="11"/>
      <c r="DB222" s="11"/>
      <c r="DC222" s="11"/>
      <c r="DD222" s="11"/>
      <c r="DE222" s="11"/>
      <c r="DF222" s="11"/>
      <c r="DG222" s="11"/>
      <c r="DH222" s="11"/>
      <c r="DI222" s="11"/>
      <c r="DJ222" s="11"/>
      <c r="DK222" s="11"/>
      <c r="DL222" s="11"/>
      <c r="DM222" s="11"/>
      <c r="DN222" s="11"/>
      <c r="DO222" s="11"/>
      <c r="DP222" s="11"/>
      <c r="DQ222" s="11"/>
      <c r="DR222" s="11"/>
      <c r="DS222" s="11"/>
      <c r="DT222" s="11"/>
      <c r="DU222" s="11"/>
      <c r="DV222" s="11"/>
      <c r="DW222" s="11"/>
      <c r="DX222" s="11"/>
      <c r="DY222" s="11"/>
      <c r="DZ222" s="11"/>
      <c r="EA222" s="11"/>
      <c r="EB222" s="11"/>
      <c r="EC222" s="11"/>
      <c r="ED222" s="11"/>
    </row>
    <row r="223" spans="1:134">
      <c r="A223" s="18" t="str">
        <f>A47</f>
        <v>Bond 9</v>
      </c>
      <c r="B223" s="18">
        <f t="shared" ref="B223:BM223" si="358">B47*B127</f>
        <v>0</v>
      </c>
      <c r="C223" s="18">
        <f t="shared" si="358"/>
        <v>0</v>
      </c>
      <c r="D223" s="18">
        <f t="shared" si="358"/>
        <v>0</v>
      </c>
      <c r="E223" s="18">
        <f t="shared" si="358"/>
        <v>0</v>
      </c>
      <c r="F223" s="18">
        <f t="shared" si="358"/>
        <v>0</v>
      </c>
      <c r="G223" s="18">
        <f t="shared" si="358"/>
        <v>0</v>
      </c>
      <c r="H223" s="18">
        <f t="shared" si="358"/>
        <v>0</v>
      </c>
      <c r="I223" s="18">
        <f t="shared" si="358"/>
        <v>0</v>
      </c>
      <c r="J223" s="18">
        <f t="shared" si="358"/>
        <v>0</v>
      </c>
      <c r="K223" s="18">
        <f t="shared" si="358"/>
        <v>0</v>
      </c>
      <c r="L223" s="18">
        <f t="shared" si="358"/>
        <v>0</v>
      </c>
      <c r="M223" s="18">
        <f t="shared" si="358"/>
        <v>0</v>
      </c>
      <c r="N223" s="18">
        <f t="shared" si="358"/>
        <v>0</v>
      </c>
      <c r="O223" s="18">
        <f t="shared" si="358"/>
        <v>0</v>
      </c>
      <c r="P223" s="18">
        <f t="shared" si="358"/>
        <v>0</v>
      </c>
      <c r="Q223" s="18">
        <f t="shared" si="358"/>
        <v>0</v>
      </c>
      <c r="R223" s="18">
        <f t="shared" si="358"/>
        <v>0</v>
      </c>
      <c r="S223" s="18">
        <f t="shared" si="358"/>
        <v>0</v>
      </c>
      <c r="T223" s="18">
        <f t="shared" si="358"/>
        <v>0</v>
      </c>
      <c r="U223" s="18">
        <f t="shared" si="358"/>
        <v>0</v>
      </c>
      <c r="V223" s="18">
        <f t="shared" si="358"/>
        <v>0</v>
      </c>
      <c r="W223" s="18">
        <f t="shared" si="358"/>
        <v>0</v>
      </c>
      <c r="X223" s="18">
        <f t="shared" si="358"/>
        <v>0</v>
      </c>
      <c r="Y223" s="18">
        <f t="shared" si="358"/>
        <v>0</v>
      </c>
      <c r="Z223" s="18">
        <f t="shared" si="358"/>
        <v>0</v>
      </c>
      <c r="AA223" s="18">
        <f t="shared" si="358"/>
        <v>0</v>
      </c>
      <c r="AB223" s="18">
        <f t="shared" si="358"/>
        <v>0</v>
      </c>
      <c r="AC223" s="18">
        <f t="shared" si="358"/>
        <v>0</v>
      </c>
      <c r="AD223" s="18">
        <f t="shared" si="358"/>
        <v>0</v>
      </c>
      <c r="AE223" s="18">
        <f t="shared" si="358"/>
        <v>0</v>
      </c>
      <c r="AF223" s="18">
        <f t="shared" si="358"/>
        <v>0</v>
      </c>
      <c r="AG223" s="18">
        <f t="shared" si="358"/>
        <v>0</v>
      </c>
      <c r="AH223" s="18">
        <f t="shared" si="358"/>
        <v>0</v>
      </c>
      <c r="AI223" s="18">
        <f t="shared" si="358"/>
        <v>0</v>
      </c>
      <c r="AJ223" s="18">
        <f t="shared" si="358"/>
        <v>0</v>
      </c>
      <c r="AK223" s="18">
        <f t="shared" si="358"/>
        <v>0</v>
      </c>
      <c r="AL223" s="18">
        <f t="shared" si="358"/>
        <v>0</v>
      </c>
      <c r="AM223" s="18">
        <f t="shared" si="358"/>
        <v>0</v>
      </c>
      <c r="AN223" s="18">
        <f t="shared" si="358"/>
        <v>0</v>
      </c>
      <c r="AO223" s="18">
        <f t="shared" si="358"/>
        <v>0</v>
      </c>
      <c r="AP223" s="18">
        <f t="shared" si="358"/>
        <v>0</v>
      </c>
      <c r="AQ223" s="18">
        <f t="shared" si="358"/>
        <v>0</v>
      </c>
      <c r="AR223" s="18">
        <f t="shared" si="358"/>
        <v>0</v>
      </c>
      <c r="AS223" s="18">
        <f t="shared" si="358"/>
        <v>0</v>
      </c>
      <c r="AT223" s="18">
        <f t="shared" si="358"/>
        <v>0</v>
      </c>
      <c r="AU223" s="18">
        <f t="shared" si="358"/>
        <v>0</v>
      </c>
      <c r="AV223" s="18">
        <f t="shared" si="358"/>
        <v>0</v>
      </c>
      <c r="AW223" s="18">
        <f t="shared" si="358"/>
        <v>0</v>
      </c>
      <c r="AX223" s="18">
        <f t="shared" si="358"/>
        <v>0</v>
      </c>
      <c r="AY223" s="18">
        <f t="shared" si="358"/>
        <v>0</v>
      </c>
      <c r="AZ223" s="18">
        <f t="shared" si="358"/>
        <v>0</v>
      </c>
      <c r="BA223" s="18">
        <f t="shared" si="358"/>
        <v>0</v>
      </c>
      <c r="BB223" s="18">
        <f t="shared" si="358"/>
        <v>0</v>
      </c>
      <c r="BC223" s="18">
        <f t="shared" si="358"/>
        <v>0</v>
      </c>
      <c r="BD223" s="18">
        <f t="shared" si="358"/>
        <v>0</v>
      </c>
      <c r="BE223" s="18">
        <f t="shared" si="358"/>
        <v>0</v>
      </c>
      <c r="BF223" s="18">
        <f t="shared" si="358"/>
        <v>0</v>
      </c>
      <c r="BG223" s="18">
        <f t="shared" si="358"/>
        <v>0</v>
      </c>
      <c r="BH223" s="18">
        <f t="shared" si="358"/>
        <v>0</v>
      </c>
      <c r="BI223" s="18">
        <f t="shared" si="358"/>
        <v>0</v>
      </c>
      <c r="BJ223" s="18">
        <f t="shared" si="358"/>
        <v>0</v>
      </c>
      <c r="BK223" s="18">
        <f t="shared" si="358"/>
        <v>0</v>
      </c>
      <c r="BL223" s="18">
        <f t="shared" si="358"/>
        <v>0</v>
      </c>
      <c r="BM223" s="18">
        <f t="shared" si="358"/>
        <v>0</v>
      </c>
      <c r="BN223" s="18">
        <f t="shared" ref="BN223:CB223" si="359">BN47*BN127</f>
        <v>0</v>
      </c>
      <c r="BO223" s="18">
        <f t="shared" si="359"/>
        <v>0</v>
      </c>
      <c r="BP223" s="18">
        <f t="shared" si="359"/>
        <v>0</v>
      </c>
      <c r="BQ223" s="18">
        <f t="shared" si="359"/>
        <v>0</v>
      </c>
      <c r="BR223" s="18">
        <f t="shared" si="359"/>
        <v>0</v>
      </c>
      <c r="BS223" s="18">
        <f t="shared" si="359"/>
        <v>0</v>
      </c>
      <c r="BT223" s="18">
        <f t="shared" si="359"/>
        <v>0</v>
      </c>
      <c r="BU223" s="18">
        <f t="shared" si="359"/>
        <v>0</v>
      </c>
      <c r="BV223" s="18">
        <f t="shared" si="359"/>
        <v>0</v>
      </c>
      <c r="BW223" s="18">
        <f t="shared" si="359"/>
        <v>0</v>
      </c>
      <c r="BX223" s="18">
        <f t="shared" si="359"/>
        <v>0</v>
      </c>
      <c r="BY223" s="18">
        <f t="shared" si="359"/>
        <v>0</v>
      </c>
      <c r="BZ223" s="18">
        <f t="shared" si="359"/>
        <v>0</v>
      </c>
      <c r="CA223" s="18">
        <f t="shared" si="359"/>
        <v>0</v>
      </c>
      <c r="CB223" s="18">
        <f t="shared" si="359"/>
        <v>0</v>
      </c>
      <c r="CC223" s="17"/>
      <c r="CD223" s="17"/>
      <c r="CE223" s="17"/>
      <c r="CH223" s="5"/>
      <c r="CI223" s="11"/>
      <c r="CJ223" s="11"/>
      <c r="CK223" s="11"/>
      <c r="CL223" s="11"/>
      <c r="CM223" s="11"/>
      <c r="CN223" s="11"/>
      <c r="CO223" s="11"/>
      <c r="CP223" s="11"/>
      <c r="CQ223" s="11"/>
      <c r="CR223" s="11"/>
      <c r="CS223" s="11"/>
      <c r="CT223" s="11"/>
      <c r="CU223" s="11"/>
      <c r="CV223" s="11"/>
      <c r="CW223" s="11"/>
      <c r="CX223" s="11"/>
      <c r="CY223" s="11"/>
      <c r="CZ223" s="11"/>
      <c r="DA223" s="11"/>
      <c r="DB223" s="11"/>
      <c r="DC223" s="11"/>
      <c r="DD223" s="11"/>
      <c r="DE223" s="11"/>
      <c r="DF223" s="11"/>
      <c r="DG223" s="11"/>
      <c r="DH223" s="11"/>
      <c r="DI223" s="11"/>
      <c r="DJ223" s="11"/>
      <c r="DK223" s="11"/>
      <c r="DL223" s="11"/>
      <c r="DM223" s="11"/>
      <c r="DN223" s="11"/>
      <c r="DO223" s="11"/>
      <c r="DP223" s="11"/>
      <c r="DQ223" s="11"/>
      <c r="DR223" s="11"/>
      <c r="DS223" s="11"/>
      <c r="DT223" s="11"/>
      <c r="DU223" s="11"/>
      <c r="DV223" s="11"/>
      <c r="DW223" s="11"/>
      <c r="DX223" s="11"/>
      <c r="DY223" s="11"/>
      <c r="DZ223" s="11"/>
      <c r="EA223" s="11"/>
      <c r="EB223" s="11"/>
      <c r="EC223" s="11"/>
      <c r="ED223" s="11"/>
    </row>
    <row r="224" spans="1:134">
      <c r="A224" s="18" t="str">
        <f>A49</f>
        <v>Bond 10</v>
      </c>
      <c r="B224" s="18">
        <f t="shared" ref="B224:BM224" si="360">B49*B132</f>
        <v>0</v>
      </c>
      <c r="C224" s="18">
        <f t="shared" si="360"/>
        <v>0</v>
      </c>
      <c r="D224" s="18">
        <f t="shared" si="360"/>
        <v>0</v>
      </c>
      <c r="E224" s="18">
        <f t="shared" si="360"/>
        <v>0</v>
      </c>
      <c r="F224" s="18">
        <f t="shared" si="360"/>
        <v>0</v>
      </c>
      <c r="G224" s="18">
        <f t="shared" si="360"/>
        <v>0</v>
      </c>
      <c r="H224" s="18">
        <f t="shared" si="360"/>
        <v>0</v>
      </c>
      <c r="I224" s="18">
        <f t="shared" si="360"/>
        <v>0</v>
      </c>
      <c r="J224" s="18">
        <f t="shared" si="360"/>
        <v>0</v>
      </c>
      <c r="K224" s="18">
        <f t="shared" si="360"/>
        <v>0</v>
      </c>
      <c r="L224" s="18">
        <f t="shared" si="360"/>
        <v>0</v>
      </c>
      <c r="M224" s="18">
        <f t="shared" si="360"/>
        <v>0</v>
      </c>
      <c r="N224" s="18">
        <f t="shared" si="360"/>
        <v>0</v>
      </c>
      <c r="O224" s="18">
        <f t="shared" si="360"/>
        <v>0</v>
      </c>
      <c r="P224" s="18">
        <f t="shared" si="360"/>
        <v>0</v>
      </c>
      <c r="Q224" s="18">
        <f t="shared" si="360"/>
        <v>0</v>
      </c>
      <c r="R224" s="18">
        <f t="shared" si="360"/>
        <v>0</v>
      </c>
      <c r="S224" s="18">
        <f t="shared" si="360"/>
        <v>0</v>
      </c>
      <c r="T224" s="18">
        <f t="shared" si="360"/>
        <v>0</v>
      </c>
      <c r="U224" s="18">
        <f t="shared" si="360"/>
        <v>0</v>
      </c>
      <c r="V224" s="18">
        <f t="shared" si="360"/>
        <v>0</v>
      </c>
      <c r="W224" s="18">
        <f t="shared" si="360"/>
        <v>0</v>
      </c>
      <c r="X224" s="18">
        <f t="shared" si="360"/>
        <v>0</v>
      </c>
      <c r="Y224" s="18">
        <f t="shared" si="360"/>
        <v>0</v>
      </c>
      <c r="Z224" s="18">
        <f t="shared" si="360"/>
        <v>0</v>
      </c>
      <c r="AA224" s="18">
        <f t="shared" si="360"/>
        <v>0</v>
      </c>
      <c r="AB224" s="18">
        <f t="shared" si="360"/>
        <v>0</v>
      </c>
      <c r="AC224" s="18">
        <f t="shared" si="360"/>
        <v>0</v>
      </c>
      <c r="AD224" s="18">
        <f t="shared" si="360"/>
        <v>0</v>
      </c>
      <c r="AE224" s="18">
        <f t="shared" si="360"/>
        <v>0</v>
      </c>
      <c r="AF224" s="18">
        <f t="shared" si="360"/>
        <v>0</v>
      </c>
      <c r="AG224" s="18">
        <f t="shared" si="360"/>
        <v>0</v>
      </c>
      <c r="AH224" s="18">
        <f t="shared" si="360"/>
        <v>0</v>
      </c>
      <c r="AI224" s="18">
        <f t="shared" si="360"/>
        <v>0</v>
      </c>
      <c r="AJ224" s="18">
        <f t="shared" si="360"/>
        <v>0</v>
      </c>
      <c r="AK224" s="18">
        <f t="shared" si="360"/>
        <v>0</v>
      </c>
      <c r="AL224" s="18">
        <f t="shared" si="360"/>
        <v>0</v>
      </c>
      <c r="AM224" s="18">
        <f t="shared" si="360"/>
        <v>0</v>
      </c>
      <c r="AN224" s="18">
        <f t="shared" si="360"/>
        <v>0</v>
      </c>
      <c r="AO224" s="18">
        <f t="shared" si="360"/>
        <v>0</v>
      </c>
      <c r="AP224" s="18">
        <f t="shared" si="360"/>
        <v>0</v>
      </c>
      <c r="AQ224" s="18">
        <f t="shared" si="360"/>
        <v>0</v>
      </c>
      <c r="AR224" s="18">
        <f t="shared" si="360"/>
        <v>0</v>
      </c>
      <c r="AS224" s="18">
        <f t="shared" si="360"/>
        <v>0</v>
      </c>
      <c r="AT224" s="18">
        <f t="shared" si="360"/>
        <v>0</v>
      </c>
      <c r="AU224" s="18">
        <f t="shared" si="360"/>
        <v>0</v>
      </c>
      <c r="AV224" s="18">
        <f t="shared" si="360"/>
        <v>0</v>
      </c>
      <c r="AW224" s="18">
        <f t="shared" si="360"/>
        <v>0</v>
      </c>
      <c r="AX224" s="18">
        <f t="shared" si="360"/>
        <v>0</v>
      </c>
      <c r="AY224" s="18">
        <f t="shared" si="360"/>
        <v>0</v>
      </c>
      <c r="AZ224" s="18">
        <f t="shared" si="360"/>
        <v>0</v>
      </c>
      <c r="BA224" s="18">
        <f t="shared" si="360"/>
        <v>0</v>
      </c>
      <c r="BB224" s="18">
        <f t="shared" si="360"/>
        <v>0</v>
      </c>
      <c r="BC224" s="18">
        <f t="shared" si="360"/>
        <v>0</v>
      </c>
      <c r="BD224" s="18">
        <f t="shared" si="360"/>
        <v>0</v>
      </c>
      <c r="BE224" s="18">
        <f t="shared" si="360"/>
        <v>0</v>
      </c>
      <c r="BF224" s="18">
        <f t="shared" si="360"/>
        <v>0</v>
      </c>
      <c r="BG224" s="18">
        <f t="shared" si="360"/>
        <v>0</v>
      </c>
      <c r="BH224" s="18">
        <f t="shared" si="360"/>
        <v>0</v>
      </c>
      <c r="BI224" s="18">
        <f t="shared" si="360"/>
        <v>0</v>
      </c>
      <c r="BJ224" s="18">
        <f t="shared" si="360"/>
        <v>0</v>
      </c>
      <c r="BK224" s="18">
        <f t="shared" si="360"/>
        <v>0</v>
      </c>
      <c r="BL224" s="18">
        <f t="shared" si="360"/>
        <v>0</v>
      </c>
      <c r="BM224" s="18">
        <f t="shared" si="360"/>
        <v>0</v>
      </c>
      <c r="BN224" s="18">
        <f t="shared" ref="BN224:CB224" si="361">BN49*BN132</f>
        <v>0</v>
      </c>
      <c r="BO224" s="18">
        <f t="shared" si="361"/>
        <v>0</v>
      </c>
      <c r="BP224" s="18">
        <f t="shared" si="361"/>
        <v>0</v>
      </c>
      <c r="BQ224" s="18">
        <f t="shared" si="361"/>
        <v>0</v>
      </c>
      <c r="BR224" s="18">
        <f t="shared" si="361"/>
        <v>0</v>
      </c>
      <c r="BS224" s="18">
        <f t="shared" si="361"/>
        <v>0</v>
      </c>
      <c r="BT224" s="18">
        <f t="shared" si="361"/>
        <v>0</v>
      </c>
      <c r="BU224" s="18">
        <f t="shared" si="361"/>
        <v>0</v>
      </c>
      <c r="BV224" s="18">
        <f t="shared" si="361"/>
        <v>0</v>
      </c>
      <c r="BW224" s="18">
        <f t="shared" si="361"/>
        <v>0</v>
      </c>
      <c r="BX224" s="18">
        <f t="shared" si="361"/>
        <v>0</v>
      </c>
      <c r="BY224" s="18">
        <f t="shared" si="361"/>
        <v>0</v>
      </c>
      <c r="BZ224" s="18">
        <f t="shared" si="361"/>
        <v>0</v>
      </c>
      <c r="CA224" s="18">
        <f t="shared" si="361"/>
        <v>0</v>
      </c>
      <c r="CB224" s="18">
        <f t="shared" si="361"/>
        <v>0</v>
      </c>
      <c r="CC224" s="17"/>
      <c r="CD224" s="17"/>
      <c r="CE224" s="17"/>
      <c r="CH224" s="5"/>
      <c r="CI224" s="11"/>
      <c r="CJ224" s="11"/>
      <c r="CK224" s="11"/>
      <c r="CL224" s="11"/>
      <c r="CM224" s="11"/>
      <c r="CN224" s="11"/>
      <c r="CO224" s="11"/>
      <c r="CP224" s="11"/>
      <c r="CQ224" s="11"/>
      <c r="CR224" s="11"/>
      <c r="CS224" s="11"/>
      <c r="CT224" s="11"/>
      <c r="CU224" s="11"/>
      <c r="CV224" s="11"/>
      <c r="CW224" s="11"/>
      <c r="CX224" s="11"/>
      <c r="CY224" s="11"/>
      <c r="CZ224" s="11"/>
      <c r="DA224" s="11"/>
      <c r="DB224" s="11"/>
      <c r="DC224" s="11"/>
      <c r="DD224" s="11"/>
      <c r="DE224" s="11"/>
      <c r="DF224" s="11"/>
      <c r="DG224" s="11"/>
      <c r="DH224" s="11"/>
      <c r="DI224" s="11"/>
      <c r="DJ224" s="11"/>
      <c r="DK224" s="11"/>
      <c r="DL224" s="11"/>
      <c r="DM224" s="11"/>
      <c r="DN224" s="11"/>
      <c r="DO224" s="11"/>
      <c r="DP224" s="11"/>
      <c r="DQ224" s="11"/>
      <c r="DR224" s="11"/>
      <c r="DS224" s="11"/>
      <c r="DT224" s="11"/>
      <c r="DU224" s="11"/>
      <c r="DV224" s="11"/>
      <c r="DW224" s="11"/>
      <c r="DX224" s="11"/>
      <c r="DY224" s="11"/>
      <c r="DZ224" s="11"/>
      <c r="EA224" s="11"/>
      <c r="EB224" s="11"/>
      <c r="EC224" s="11"/>
      <c r="ED224" s="11"/>
    </row>
    <row r="225" spans="1:256">
      <c r="A225" s="18" t="str">
        <f>A51</f>
        <v>Bond 11</v>
      </c>
      <c r="B225" s="18">
        <f t="shared" ref="B225:BM225" si="362">B51*B137</f>
        <v>0</v>
      </c>
      <c r="C225" s="18">
        <f t="shared" si="362"/>
        <v>0</v>
      </c>
      <c r="D225" s="18">
        <f t="shared" si="362"/>
        <v>0</v>
      </c>
      <c r="E225" s="18">
        <f t="shared" si="362"/>
        <v>0</v>
      </c>
      <c r="F225" s="18">
        <f t="shared" si="362"/>
        <v>0</v>
      </c>
      <c r="G225" s="18">
        <f t="shared" si="362"/>
        <v>0</v>
      </c>
      <c r="H225" s="18">
        <f t="shared" si="362"/>
        <v>0</v>
      </c>
      <c r="I225" s="18">
        <f t="shared" si="362"/>
        <v>0</v>
      </c>
      <c r="J225" s="18">
        <f t="shared" si="362"/>
        <v>0</v>
      </c>
      <c r="K225" s="18">
        <f t="shared" si="362"/>
        <v>0</v>
      </c>
      <c r="L225" s="18">
        <f t="shared" si="362"/>
        <v>0</v>
      </c>
      <c r="M225" s="18">
        <f t="shared" si="362"/>
        <v>0</v>
      </c>
      <c r="N225" s="18">
        <f t="shared" si="362"/>
        <v>0</v>
      </c>
      <c r="O225" s="18">
        <f t="shared" si="362"/>
        <v>0</v>
      </c>
      <c r="P225" s="18">
        <f t="shared" si="362"/>
        <v>0</v>
      </c>
      <c r="Q225" s="18">
        <f t="shared" si="362"/>
        <v>0</v>
      </c>
      <c r="R225" s="18">
        <f t="shared" si="362"/>
        <v>0</v>
      </c>
      <c r="S225" s="18">
        <f t="shared" si="362"/>
        <v>0</v>
      </c>
      <c r="T225" s="18">
        <f t="shared" si="362"/>
        <v>0</v>
      </c>
      <c r="U225" s="18">
        <f t="shared" si="362"/>
        <v>0</v>
      </c>
      <c r="V225" s="18">
        <f t="shared" si="362"/>
        <v>0</v>
      </c>
      <c r="W225" s="18">
        <f t="shared" si="362"/>
        <v>0</v>
      </c>
      <c r="X225" s="18">
        <f t="shared" si="362"/>
        <v>0</v>
      </c>
      <c r="Y225" s="18">
        <f t="shared" si="362"/>
        <v>0</v>
      </c>
      <c r="Z225" s="18">
        <f t="shared" si="362"/>
        <v>0</v>
      </c>
      <c r="AA225" s="18">
        <f t="shared" si="362"/>
        <v>0</v>
      </c>
      <c r="AB225" s="18">
        <f t="shared" si="362"/>
        <v>0</v>
      </c>
      <c r="AC225" s="18">
        <f t="shared" si="362"/>
        <v>0</v>
      </c>
      <c r="AD225" s="18">
        <f t="shared" si="362"/>
        <v>0</v>
      </c>
      <c r="AE225" s="18">
        <f t="shared" si="362"/>
        <v>0</v>
      </c>
      <c r="AF225" s="18">
        <f t="shared" si="362"/>
        <v>0</v>
      </c>
      <c r="AG225" s="18">
        <f t="shared" si="362"/>
        <v>0</v>
      </c>
      <c r="AH225" s="18">
        <f t="shared" si="362"/>
        <v>0</v>
      </c>
      <c r="AI225" s="18">
        <f t="shared" si="362"/>
        <v>0</v>
      </c>
      <c r="AJ225" s="18">
        <f t="shared" si="362"/>
        <v>0</v>
      </c>
      <c r="AK225" s="18">
        <f t="shared" si="362"/>
        <v>0</v>
      </c>
      <c r="AL225" s="18">
        <f t="shared" si="362"/>
        <v>0</v>
      </c>
      <c r="AM225" s="18">
        <f t="shared" si="362"/>
        <v>0</v>
      </c>
      <c r="AN225" s="18">
        <f t="shared" si="362"/>
        <v>0</v>
      </c>
      <c r="AO225" s="18">
        <f t="shared" si="362"/>
        <v>0</v>
      </c>
      <c r="AP225" s="18">
        <f t="shared" si="362"/>
        <v>0</v>
      </c>
      <c r="AQ225" s="18">
        <f t="shared" si="362"/>
        <v>0</v>
      </c>
      <c r="AR225" s="18">
        <f t="shared" si="362"/>
        <v>0</v>
      </c>
      <c r="AS225" s="18">
        <f t="shared" si="362"/>
        <v>0</v>
      </c>
      <c r="AT225" s="18">
        <f t="shared" si="362"/>
        <v>0</v>
      </c>
      <c r="AU225" s="18">
        <f t="shared" si="362"/>
        <v>0</v>
      </c>
      <c r="AV225" s="18">
        <f t="shared" si="362"/>
        <v>0</v>
      </c>
      <c r="AW225" s="18">
        <f t="shared" si="362"/>
        <v>0</v>
      </c>
      <c r="AX225" s="18">
        <f t="shared" si="362"/>
        <v>0</v>
      </c>
      <c r="AY225" s="18">
        <f t="shared" si="362"/>
        <v>0</v>
      </c>
      <c r="AZ225" s="18">
        <f t="shared" si="362"/>
        <v>0</v>
      </c>
      <c r="BA225" s="18">
        <f t="shared" si="362"/>
        <v>0</v>
      </c>
      <c r="BB225" s="18">
        <f t="shared" si="362"/>
        <v>0</v>
      </c>
      <c r="BC225" s="18">
        <f t="shared" si="362"/>
        <v>0</v>
      </c>
      <c r="BD225" s="18">
        <f t="shared" si="362"/>
        <v>0</v>
      </c>
      <c r="BE225" s="18">
        <f t="shared" si="362"/>
        <v>0</v>
      </c>
      <c r="BF225" s="18">
        <f t="shared" si="362"/>
        <v>0</v>
      </c>
      <c r="BG225" s="18">
        <f t="shared" si="362"/>
        <v>0</v>
      </c>
      <c r="BH225" s="18">
        <f t="shared" si="362"/>
        <v>0</v>
      </c>
      <c r="BI225" s="18">
        <f t="shared" si="362"/>
        <v>0</v>
      </c>
      <c r="BJ225" s="18">
        <f t="shared" si="362"/>
        <v>0</v>
      </c>
      <c r="BK225" s="18">
        <f t="shared" si="362"/>
        <v>0</v>
      </c>
      <c r="BL225" s="18">
        <f t="shared" si="362"/>
        <v>0</v>
      </c>
      <c r="BM225" s="18">
        <f t="shared" si="362"/>
        <v>0</v>
      </c>
      <c r="BN225" s="18">
        <f t="shared" ref="BN225:CB225" si="363">BN51*BN137</f>
        <v>0</v>
      </c>
      <c r="BO225" s="18">
        <f t="shared" si="363"/>
        <v>0</v>
      </c>
      <c r="BP225" s="18">
        <f t="shared" si="363"/>
        <v>0</v>
      </c>
      <c r="BQ225" s="18">
        <f t="shared" si="363"/>
        <v>0</v>
      </c>
      <c r="BR225" s="18">
        <f t="shared" si="363"/>
        <v>0</v>
      </c>
      <c r="BS225" s="18">
        <f t="shared" si="363"/>
        <v>0</v>
      </c>
      <c r="BT225" s="18">
        <f t="shared" si="363"/>
        <v>0</v>
      </c>
      <c r="BU225" s="18">
        <f t="shared" si="363"/>
        <v>0</v>
      </c>
      <c r="BV225" s="18">
        <f t="shared" si="363"/>
        <v>0</v>
      </c>
      <c r="BW225" s="18">
        <f t="shared" si="363"/>
        <v>0</v>
      </c>
      <c r="BX225" s="18">
        <f t="shared" si="363"/>
        <v>0</v>
      </c>
      <c r="BY225" s="18">
        <f t="shared" si="363"/>
        <v>0</v>
      </c>
      <c r="BZ225" s="18">
        <f t="shared" si="363"/>
        <v>0</v>
      </c>
      <c r="CA225" s="18">
        <f t="shared" si="363"/>
        <v>0</v>
      </c>
      <c r="CB225" s="18">
        <f t="shared" si="363"/>
        <v>0</v>
      </c>
      <c r="CC225" s="17"/>
      <c r="CD225" s="17"/>
      <c r="CE225" s="17"/>
      <c r="CH225" s="5"/>
      <c r="CI225" s="11"/>
      <c r="CJ225" s="11"/>
      <c r="CK225" s="11"/>
      <c r="CL225" s="11"/>
      <c r="CM225" s="11"/>
      <c r="CN225" s="11"/>
      <c r="CO225" s="11"/>
      <c r="CP225" s="11"/>
      <c r="CQ225" s="11"/>
      <c r="CR225" s="11"/>
      <c r="CS225" s="11"/>
      <c r="CT225" s="11"/>
      <c r="CU225" s="11"/>
      <c r="CV225" s="11"/>
      <c r="CW225" s="11"/>
      <c r="CX225" s="11"/>
      <c r="CY225" s="11"/>
      <c r="CZ225" s="11"/>
      <c r="DA225" s="11"/>
      <c r="DB225" s="11"/>
      <c r="DC225" s="11"/>
      <c r="DD225" s="11"/>
      <c r="DE225" s="11"/>
      <c r="DF225" s="11"/>
      <c r="DG225" s="11"/>
      <c r="DH225" s="11"/>
      <c r="DI225" s="11"/>
      <c r="DJ225" s="11"/>
      <c r="DK225" s="11"/>
      <c r="DL225" s="11"/>
      <c r="DM225" s="11"/>
      <c r="DN225" s="11"/>
      <c r="DO225" s="11"/>
      <c r="DP225" s="11"/>
      <c r="DQ225" s="11"/>
      <c r="DR225" s="11"/>
      <c r="DS225" s="11"/>
      <c r="DT225" s="11"/>
      <c r="DU225" s="11"/>
      <c r="DV225" s="11"/>
      <c r="DW225" s="11"/>
      <c r="DX225" s="11"/>
      <c r="DY225" s="11"/>
      <c r="DZ225" s="11"/>
      <c r="EA225" s="11"/>
      <c r="EB225" s="11"/>
      <c r="EC225" s="11"/>
      <c r="ED225" s="11"/>
    </row>
    <row r="226" spans="1:256">
      <c r="A226" s="18" t="str">
        <f>A53</f>
        <v>Bond 12</v>
      </c>
      <c r="B226" s="18">
        <f t="shared" ref="B226:BM226" si="364">B53*B142</f>
        <v>0</v>
      </c>
      <c r="C226" s="18">
        <f t="shared" si="364"/>
        <v>0</v>
      </c>
      <c r="D226" s="18">
        <f t="shared" si="364"/>
        <v>0</v>
      </c>
      <c r="E226" s="18">
        <f t="shared" si="364"/>
        <v>0</v>
      </c>
      <c r="F226" s="18">
        <f t="shared" si="364"/>
        <v>0</v>
      </c>
      <c r="G226" s="18">
        <f t="shared" si="364"/>
        <v>0</v>
      </c>
      <c r="H226" s="18">
        <f t="shared" si="364"/>
        <v>0</v>
      </c>
      <c r="I226" s="18">
        <f t="shared" si="364"/>
        <v>0</v>
      </c>
      <c r="J226" s="18">
        <f t="shared" si="364"/>
        <v>0</v>
      </c>
      <c r="K226" s="18">
        <f t="shared" si="364"/>
        <v>0</v>
      </c>
      <c r="L226" s="18">
        <f t="shared" si="364"/>
        <v>0</v>
      </c>
      <c r="M226" s="18">
        <f t="shared" si="364"/>
        <v>0</v>
      </c>
      <c r="N226" s="18">
        <f t="shared" si="364"/>
        <v>0</v>
      </c>
      <c r="O226" s="18">
        <f t="shared" si="364"/>
        <v>0</v>
      </c>
      <c r="P226" s="18">
        <f t="shared" si="364"/>
        <v>0</v>
      </c>
      <c r="Q226" s="18">
        <f t="shared" si="364"/>
        <v>0</v>
      </c>
      <c r="R226" s="18">
        <f t="shared" si="364"/>
        <v>0</v>
      </c>
      <c r="S226" s="18">
        <f t="shared" si="364"/>
        <v>0</v>
      </c>
      <c r="T226" s="18">
        <f t="shared" si="364"/>
        <v>0</v>
      </c>
      <c r="U226" s="18">
        <f t="shared" si="364"/>
        <v>0</v>
      </c>
      <c r="V226" s="18">
        <f t="shared" si="364"/>
        <v>0</v>
      </c>
      <c r="W226" s="18">
        <f t="shared" si="364"/>
        <v>0</v>
      </c>
      <c r="X226" s="18">
        <f t="shared" si="364"/>
        <v>0</v>
      </c>
      <c r="Y226" s="18">
        <f t="shared" si="364"/>
        <v>0</v>
      </c>
      <c r="Z226" s="18">
        <f t="shared" si="364"/>
        <v>0</v>
      </c>
      <c r="AA226" s="18">
        <f t="shared" si="364"/>
        <v>0</v>
      </c>
      <c r="AB226" s="18">
        <f t="shared" si="364"/>
        <v>0</v>
      </c>
      <c r="AC226" s="18">
        <f t="shared" si="364"/>
        <v>0</v>
      </c>
      <c r="AD226" s="18">
        <f t="shared" si="364"/>
        <v>0</v>
      </c>
      <c r="AE226" s="18">
        <f t="shared" si="364"/>
        <v>0</v>
      </c>
      <c r="AF226" s="18">
        <f t="shared" si="364"/>
        <v>0</v>
      </c>
      <c r="AG226" s="18">
        <f t="shared" si="364"/>
        <v>0</v>
      </c>
      <c r="AH226" s="18">
        <f t="shared" si="364"/>
        <v>0</v>
      </c>
      <c r="AI226" s="18">
        <f t="shared" si="364"/>
        <v>0</v>
      </c>
      <c r="AJ226" s="18">
        <f t="shared" si="364"/>
        <v>0</v>
      </c>
      <c r="AK226" s="18">
        <f t="shared" si="364"/>
        <v>0</v>
      </c>
      <c r="AL226" s="18">
        <f t="shared" si="364"/>
        <v>0</v>
      </c>
      <c r="AM226" s="18">
        <f t="shared" si="364"/>
        <v>0</v>
      </c>
      <c r="AN226" s="18">
        <f t="shared" si="364"/>
        <v>0</v>
      </c>
      <c r="AO226" s="18">
        <f t="shared" si="364"/>
        <v>0</v>
      </c>
      <c r="AP226" s="18">
        <f t="shared" si="364"/>
        <v>0</v>
      </c>
      <c r="AQ226" s="18">
        <f t="shared" si="364"/>
        <v>0</v>
      </c>
      <c r="AR226" s="18">
        <f t="shared" si="364"/>
        <v>0</v>
      </c>
      <c r="AS226" s="18">
        <f t="shared" si="364"/>
        <v>0</v>
      </c>
      <c r="AT226" s="18">
        <f t="shared" si="364"/>
        <v>0</v>
      </c>
      <c r="AU226" s="18">
        <f t="shared" si="364"/>
        <v>0</v>
      </c>
      <c r="AV226" s="18">
        <f t="shared" si="364"/>
        <v>0</v>
      </c>
      <c r="AW226" s="18">
        <f t="shared" si="364"/>
        <v>0</v>
      </c>
      <c r="AX226" s="18">
        <f t="shared" si="364"/>
        <v>0</v>
      </c>
      <c r="AY226" s="18">
        <f t="shared" si="364"/>
        <v>0</v>
      </c>
      <c r="AZ226" s="18">
        <f t="shared" si="364"/>
        <v>0</v>
      </c>
      <c r="BA226" s="18">
        <f t="shared" si="364"/>
        <v>0</v>
      </c>
      <c r="BB226" s="18">
        <f t="shared" si="364"/>
        <v>0</v>
      </c>
      <c r="BC226" s="18">
        <f t="shared" si="364"/>
        <v>0</v>
      </c>
      <c r="BD226" s="18">
        <f t="shared" si="364"/>
        <v>0</v>
      </c>
      <c r="BE226" s="18">
        <f t="shared" si="364"/>
        <v>0</v>
      </c>
      <c r="BF226" s="18">
        <f t="shared" si="364"/>
        <v>0</v>
      </c>
      <c r="BG226" s="18">
        <f t="shared" si="364"/>
        <v>0</v>
      </c>
      <c r="BH226" s="18">
        <f t="shared" si="364"/>
        <v>0</v>
      </c>
      <c r="BI226" s="18">
        <f t="shared" si="364"/>
        <v>0</v>
      </c>
      <c r="BJ226" s="18">
        <f t="shared" si="364"/>
        <v>0</v>
      </c>
      <c r="BK226" s="18">
        <f t="shared" si="364"/>
        <v>0</v>
      </c>
      <c r="BL226" s="18">
        <f t="shared" si="364"/>
        <v>0</v>
      </c>
      <c r="BM226" s="18">
        <f t="shared" si="364"/>
        <v>0</v>
      </c>
      <c r="BN226" s="18">
        <f t="shared" ref="BN226:CB226" si="365">BN53*BN142</f>
        <v>0</v>
      </c>
      <c r="BO226" s="18">
        <f t="shared" si="365"/>
        <v>0</v>
      </c>
      <c r="BP226" s="18">
        <f t="shared" si="365"/>
        <v>0</v>
      </c>
      <c r="BQ226" s="18">
        <f t="shared" si="365"/>
        <v>0</v>
      </c>
      <c r="BR226" s="18">
        <f t="shared" si="365"/>
        <v>0</v>
      </c>
      <c r="BS226" s="18">
        <f t="shared" si="365"/>
        <v>0</v>
      </c>
      <c r="BT226" s="18">
        <f t="shared" si="365"/>
        <v>0</v>
      </c>
      <c r="BU226" s="18">
        <f t="shared" si="365"/>
        <v>0</v>
      </c>
      <c r="BV226" s="18">
        <f t="shared" si="365"/>
        <v>0</v>
      </c>
      <c r="BW226" s="18">
        <f t="shared" si="365"/>
        <v>0</v>
      </c>
      <c r="BX226" s="18">
        <f t="shared" si="365"/>
        <v>0</v>
      </c>
      <c r="BY226" s="18">
        <f t="shared" si="365"/>
        <v>0</v>
      </c>
      <c r="BZ226" s="18">
        <f t="shared" si="365"/>
        <v>0</v>
      </c>
      <c r="CA226" s="18">
        <f t="shared" si="365"/>
        <v>0</v>
      </c>
      <c r="CB226" s="18">
        <f t="shared" si="365"/>
        <v>0</v>
      </c>
      <c r="CC226" s="17"/>
      <c r="CD226" s="17"/>
      <c r="CE226" s="17"/>
      <c r="CH226" s="5"/>
      <c r="CI226" s="11"/>
      <c r="CJ226" s="11"/>
      <c r="CK226" s="11"/>
      <c r="CL226" s="11"/>
      <c r="CM226" s="11"/>
      <c r="CN226" s="11"/>
      <c r="CO226" s="11"/>
      <c r="CP226" s="11"/>
      <c r="CQ226" s="11"/>
      <c r="CR226" s="11"/>
      <c r="CS226" s="11"/>
      <c r="CT226" s="11"/>
      <c r="CU226" s="11"/>
      <c r="CV226" s="11"/>
      <c r="CW226" s="11"/>
      <c r="CX226" s="11"/>
      <c r="CY226" s="11"/>
      <c r="CZ226" s="11"/>
      <c r="DA226" s="11"/>
      <c r="DB226" s="11"/>
      <c r="DC226" s="11"/>
      <c r="DD226" s="11"/>
      <c r="DE226" s="11"/>
      <c r="DF226" s="11"/>
      <c r="DG226" s="11"/>
      <c r="DH226" s="11"/>
      <c r="DI226" s="11"/>
      <c r="DJ226" s="11"/>
      <c r="DK226" s="11"/>
      <c r="DL226" s="11"/>
      <c r="DM226" s="11"/>
      <c r="DN226" s="11"/>
      <c r="DO226" s="11"/>
      <c r="DP226" s="11"/>
      <c r="DQ226" s="11"/>
      <c r="DR226" s="11"/>
      <c r="DS226" s="11"/>
      <c r="DT226" s="11"/>
      <c r="DU226" s="11"/>
      <c r="DV226" s="11"/>
      <c r="DW226" s="11"/>
      <c r="DX226" s="11"/>
      <c r="DY226" s="11"/>
      <c r="DZ226" s="11"/>
      <c r="EA226" s="11"/>
      <c r="EB226" s="11"/>
      <c r="EC226" s="11"/>
      <c r="ED226" s="11"/>
    </row>
    <row r="227" spans="1:256">
      <c r="A227" s="18" t="str">
        <f>A55</f>
        <v>Bond 13</v>
      </c>
      <c r="B227" s="18">
        <f t="shared" ref="B227:BM227" si="366">B55*B147</f>
        <v>0</v>
      </c>
      <c r="C227" s="18">
        <f t="shared" si="366"/>
        <v>0</v>
      </c>
      <c r="D227" s="18">
        <f t="shared" si="366"/>
        <v>0</v>
      </c>
      <c r="E227" s="18">
        <f t="shared" si="366"/>
        <v>0</v>
      </c>
      <c r="F227" s="18">
        <f t="shared" si="366"/>
        <v>0</v>
      </c>
      <c r="G227" s="18">
        <f t="shared" si="366"/>
        <v>0</v>
      </c>
      <c r="H227" s="18">
        <f t="shared" si="366"/>
        <v>0</v>
      </c>
      <c r="I227" s="18">
        <f t="shared" si="366"/>
        <v>0</v>
      </c>
      <c r="J227" s="18">
        <f t="shared" si="366"/>
        <v>0</v>
      </c>
      <c r="K227" s="18">
        <f t="shared" si="366"/>
        <v>0</v>
      </c>
      <c r="L227" s="18">
        <f t="shared" si="366"/>
        <v>0</v>
      </c>
      <c r="M227" s="18">
        <f t="shared" si="366"/>
        <v>0</v>
      </c>
      <c r="N227" s="18">
        <f t="shared" si="366"/>
        <v>0</v>
      </c>
      <c r="O227" s="18">
        <f t="shared" si="366"/>
        <v>0</v>
      </c>
      <c r="P227" s="18">
        <f t="shared" si="366"/>
        <v>0</v>
      </c>
      <c r="Q227" s="18">
        <f t="shared" si="366"/>
        <v>0</v>
      </c>
      <c r="R227" s="18">
        <f t="shared" si="366"/>
        <v>0</v>
      </c>
      <c r="S227" s="18">
        <f t="shared" si="366"/>
        <v>0</v>
      </c>
      <c r="T227" s="18">
        <f t="shared" si="366"/>
        <v>0</v>
      </c>
      <c r="U227" s="18">
        <f t="shared" si="366"/>
        <v>0</v>
      </c>
      <c r="V227" s="18">
        <f t="shared" si="366"/>
        <v>0</v>
      </c>
      <c r="W227" s="18">
        <f t="shared" si="366"/>
        <v>0</v>
      </c>
      <c r="X227" s="18">
        <f t="shared" si="366"/>
        <v>0</v>
      </c>
      <c r="Y227" s="18">
        <f t="shared" si="366"/>
        <v>0</v>
      </c>
      <c r="Z227" s="18">
        <f t="shared" si="366"/>
        <v>0</v>
      </c>
      <c r="AA227" s="18">
        <f t="shared" si="366"/>
        <v>0</v>
      </c>
      <c r="AB227" s="18">
        <f t="shared" si="366"/>
        <v>0</v>
      </c>
      <c r="AC227" s="18">
        <f t="shared" si="366"/>
        <v>0</v>
      </c>
      <c r="AD227" s="18">
        <f t="shared" si="366"/>
        <v>0</v>
      </c>
      <c r="AE227" s="18">
        <f t="shared" si="366"/>
        <v>0</v>
      </c>
      <c r="AF227" s="18">
        <f t="shared" si="366"/>
        <v>0</v>
      </c>
      <c r="AG227" s="18">
        <f t="shared" si="366"/>
        <v>0</v>
      </c>
      <c r="AH227" s="18">
        <f t="shared" si="366"/>
        <v>0</v>
      </c>
      <c r="AI227" s="18">
        <f t="shared" si="366"/>
        <v>0</v>
      </c>
      <c r="AJ227" s="18">
        <f t="shared" si="366"/>
        <v>0</v>
      </c>
      <c r="AK227" s="18">
        <f t="shared" si="366"/>
        <v>0</v>
      </c>
      <c r="AL227" s="18">
        <f t="shared" si="366"/>
        <v>0</v>
      </c>
      <c r="AM227" s="18">
        <f t="shared" si="366"/>
        <v>0</v>
      </c>
      <c r="AN227" s="18">
        <f t="shared" si="366"/>
        <v>0</v>
      </c>
      <c r="AO227" s="18">
        <f t="shared" si="366"/>
        <v>0</v>
      </c>
      <c r="AP227" s="18">
        <f t="shared" si="366"/>
        <v>0</v>
      </c>
      <c r="AQ227" s="18">
        <f t="shared" si="366"/>
        <v>0</v>
      </c>
      <c r="AR227" s="18">
        <f t="shared" si="366"/>
        <v>0</v>
      </c>
      <c r="AS227" s="18">
        <f t="shared" si="366"/>
        <v>0</v>
      </c>
      <c r="AT227" s="18">
        <f t="shared" si="366"/>
        <v>0</v>
      </c>
      <c r="AU227" s="18">
        <f t="shared" si="366"/>
        <v>0</v>
      </c>
      <c r="AV227" s="18">
        <f t="shared" si="366"/>
        <v>0</v>
      </c>
      <c r="AW227" s="18">
        <f t="shared" si="366"/>
        <v>0</v>
      </c>
      <c r="AX227" s="18">
        <f t="shared" si="366"/>
        <v>0</v>
      </c>
      <c r="AY227" s="18">
        <f t="shared" si="366"/>
        <v>0</v>
      </c>
      <c r="AZ227" s="18">
        <f t="shared" si="366"/>
        <v>0</v>
      </c>
      <c r="BA227" s="18">
        <f t="shared" si="366"/>
        <v>0</v>
      </c>
      <c r="BB227" s="18">
        <f t="shared" si="366"/>
        <v>0</v>
      </c>
      <c r="BC227" s="18">
        <f t="shared" si="366"/>
        <v>0</v>
      </c>
      <c r="BD227" s="18">
        <f t="shared" si="366"/>
        <v>0</v>
      </c>
      <c r="BE227" s="18">
        <f t="shared" si="366"/>
        <v>0</v>
      </c>
      <c r="BF227" s="18">
        <f t="shared" si="366"/>
        <v>0</v>
      </c>
      <c r="BG227" s="18">
        <f t="shared" si="366"/>
        <v>0</v>
      </c>
      <c r="BH227" s="18">
        <f t="shared" si="366"/>
        <v>0</v>
      </c>
      <c r="BI227" s="18">
        <f t="shared" si="366"/>
        <v>0</v>
      </c>
      <c r="BJ227" s="18">
        <f t="shared" si="366"/>
        <v>0</v>
      </c>
      <c r="BK227" s="18">
        <f t="shared" si="366"/>
        <v>0</v>
      </c>
      <c r="BL227" s="18">
        <f t="shared" si="366"/>
        <v>0</v>
      </c>
      <c r="BM227" s="18">
        <f t="shared" si="366"/>
        <v>0</v>
      </c>
      <c r="BN227" s="18">
        <f t="shared" ref="BN227:CB227" si="367">BN55*BN147</f>
        <v>0</v>
      </c>
      <c r="BO227" s="18">
        <f t="shared" si="367"/>
        <v>0</v>
      </c>
      <c r="BP227" s="18">
        <f t="shared" si="367"/>
        <v>0</v>
      </c>
      <c r="BQ227" s="18">
        <f t="shared" si="367"/>
        <v>0</v>
      </c>
      <c r="BR227" s="18">
        <f t="shared" si="367"/>
        <v>0</v>
      </c>
      <c r="BS227" s="18">
        <f t="shared" si="367"/>
        <v>0</v>
      </c>
      <c r="BT227" s="18">
        <f t="shared" si="367"/>
        <v>0</v>
      </c>
      <c r="BU227" s="18">
        <f t="shared" si="367"/>
        <v>0</v>
      </c>
      <c r="BV227" s="18">
        <f t="shared" si="367"/>
        <v>0</v>
      </c>
      <c r="BW227" s="18">
        <f t="shared" si="367"/>
        <v>0</v>
      </c>
      <c r="BX227" s="18">
        <f t="shared" si="367"/>
        <v>0</v>
      </c>
      <c r="BY227" s="18">
        <f t="shared" si="367"/>
        <v>0</v>
      </c>
      <c r="BZ227" s="18">
        <f t="shared" si="367"/>
        <v>0</v>
      </c>
      <c r="CA227" s="18">
        <f t="shared" si="367"/>
        <v>0</v>
      </c>
      <c r="CB227" s="18">
        <f t="shared" si="367"/>
        <v>0</v>
      </c>
      <c r="CC227" s="17"/>
      <c r="CD227" s="17"/>
      <c r="CE227" s="17"/>
      <c r="CH227" s="5"/>
      <c r="CI227" s="11"/>
      <c r="CJ227" s="11"/>
      <c r="CK227" s="11"/>
      <c r="CL227" s="11"/>
      <c r="CM227" s="11"/>
      <c r="CN227" s="11"/>
      <c r="CO227" s="11"/>
      <c r="CP227" s="11"/>
      <c r="CQ227" s="11"/>
      <c r="CR227" s="11"/>
      <c r="CS227" s="11"/>
      <c r="CT227" s="11"/>
      <c r="CU227" s="11"/>
      <c r="CV227" s="11"/>
      <c r="CW227" s="11"/>
      <c r="CX227" s="11"/>
      <c r="CY227" s="11"/>
      <c r="CZ227" s="11"/>
      <c r="DA227" s="11"/>
      <c r="DB227" s="11"/>
      <c r="DC227" s="11"/>
      <c r="DD227" s="11"/>
      <c r="DE227" s="11"/>
      <c r="DF227" s="11"/>
      <c r="DG227" s="11"/>
      <c r="DH227" s="11"/>
      <c r="DI227" s="11"/>
      <c r="DJ227" s="11"/>
      <c r="DK227" s="11"/>
      <c r="DL227" s="11"/>
      <c r="DM227" s="11"/>
      <c r="DN227" s="11"/>
      <c r="DO227" s="11"/>
      <c r="DP227" s="11"/>
      <c r="DQ227" s="11"/>
      <c r="DR227" s="11"/>
      <c r="DS227" s="11"/>
      <c r="DT227" s="11"/>
      <c r="DU227" s="11"/>
      <c r="DV227" s="11"/>
      <c r="DW227" s="11"/>
      <c r="DX227" s="11"/>
      <c r="DY227" s="11"/>
      <c r="DZ227" s="11"/>
      <c r="EA227" s="11"/>
      <c r="EB227" s="11"/>
      <c r="EC227" s="11"/>
      <c r="ED227" s="11"/>
    </row>
    <row r="228" spans="1:256">
      <c r="A228" s="18" t="str">
        <f>A57</f>
        <v>Bond 14</v>
      </c>
      <c r="B228" s="18">
        <f t="shared" ref="B228:BM228" si="368">B57*B152</f>
        <v>0</v>
      </c>
      <c r="C228" s="18">
        <f t="shared" si="368"/>
        <v>0</v>
      </c>
      <c r="D228" s="18">
        <f t="shared" si="368"/>
        <v>0</v>
      </c>
      <c r="E228" s="18">
        <f t="shared" si="368"/>
        <v>0</v>
      </c>
      <c r="F228" s="18">
        <f t="shared" si="368"/>
        <v>0</v>
      </c>
      <c r="G228" s="18">
        <f t="shared" si="368"/>
        <v>0</v>
      </c>
      <c r="H228" s="18">
        <f t="shared" si="368"/>
        <v>0</v>
      </c>
      <c r="I228" s="18">
        <f t="shared" si="368"/>
        <v>0</v>
      </c>
      <c r="J228" s="18">
        <f t="shared" si="368"/>
        <v>0</v>
      </c>
      <c r="K228" s="18">
        <f t="shared" si="368"/>
        <v>0</v>
      </c>
      <c r="L228" s="18">
        <f t="shared" si="368"/>
        <v>0</v>
      </c>
      <c r="M228" s="18">
        <f t="shared" si="368"/>
        <v>0</v>
      </c>
      <c r="N228" s="18">
        <f t="shared" si="368"/>
        <v>0</v>
      </c>
      <c r="O228" s="18">
        <f t="shared" si="368"/>
        <v>0</v>
      </c>
      <c r="P228" s="18">
        <f t="shared" si="368"/>
        <v>0</v>
      </c>
      <c r="Q228" s="18">
        <f t="shared" si="368"/>
        <v>0</v>
      </c>
      <c r="R228" s="18">
        <f t="shared" si="368"/>
        <v>0</v>
      </c>
      <c r="S228" s="18">
        <f t="shared" si="368"/>
        <v>0</v>
      </c>
      <c r="T228" s="18">
        <f t="shared" si="368"/>
        <v>0</v>
      </c>
      <c r="U228" s="18">
        <f t="shared" si="368"/>
        <v>0</v>
      </c>
      <c r="V228" s="18">
        <f t="shared" si="368"/>
        <v>0</v>
      </c>
      <c r="W228" s="18">
        <f t="shared" si="368"/>
        <v>0</v>
      </c>
      <c r="X228" s="18">
        <f t="shared" si="368"/>
        <v>0</v>
      </c>
      <c r="Y228" s="18">
        <f t="shared" si="368"/>
        <v>0</v>
      </c>
      <c r="Z228" s="18">
        <f t="shared" si="368"/>
        <v>0</v>
      </c>
      <c r="AA228" s="18">
        <f t="shared" si="368"/>
        <v>0</v>
      </c>
      <c r="AB228" s="18">
        <f t="shared" si="368"/>
        <v>0</v>
      </c>
      <c r="AC228" s="18">
        <f t="shared" si="368"/>
        <v>0</v>
      </c>
      <c r="AD228" s="18">
        <f t="shared" si="368"/>
        <v>0</v>
      </c>
      <c r="AE228" s="18">
        <f t="shared" si="368"/>
        <v>0</v>
      </c>
      <c r="AF228" s="18">
        <f t="shared" si="368"/>
        <v>0</v>
      </c>
      <c r="AG228" s="18">
        <f t="shared" si="368"/>
        <v>0</v>
      </c>
      <c r="AH228" s="18">
        <f t="shared" si="368"/>
        <v>0</v>
      </c>
      <c r="AI228" s="18">
        <f t="shared" si="368"/>
        <v>0</v>
      </c>
      <c r="AJ228" s="18">
        <f t="shared" si="368"/>
        <v>0</v>
      </c>
      <c r="AK228" s="18">
        <f t="shared" si="368"/>
        <v>0</v>
      </c>
      <c r="AL228" s="18">
        <f t="shared" si="368"/>
        <v>0</v>
      </c>
      <c r="AM228" s="18">
        <f t="shared" si="368"/>
        <v>0</v>
      </c>
      <c r="AN228" s="18">
        <f t="shared" si="368"/>
        <v>0</v>
      </c>
      <c r="AO228" s="18">
        <f t="shared" si="368"/>
        <v>0</v>
      </c>
      <c r="AP228" s="18">
        <f t="shared" si="368"/>
        <v>0</v>
      </c>
      <c r="AQ228" s="18">
        <f t="shared" si="368"/>
        <v>0</v>
      </c>
      <c r="AR228" s="18">
        <f t="shared" si="368"/>
        <v>0</v>
      </c>
      <c r="AS228" s="18">
        <f t="shared" si="368"/>
        <v>0</v>
      </c>
      <c r="AT228" s="18">
        <f t="shared" si="368"/>
        <v>0</v>
      </c>
      <c r="AU228" s="18">
        <f t="shared" si="368"/>
        <v>0</v>
      </c>
      <c r="AV228" s="18">
        <f t="shared" si="368"/>
        <v>0</v>
      </c>
      <c r="AW228" s="18">
        <f t="shared" si="368"/>
        <v>0</v>
      </c>
      <c r="AX228" s="18">
        <f t="shared" si="368"/>
        <v>0</v>
      </c>
      <c r="AY228" s="18">
        <f t="shared" si="368"/>
        <v>0</v>
      </c>
      <c r="AZ228" s="18">
        <f t="shared" si="368"/>
        <v>0</v>
      </c>
      <c r="BA228" s="18">
        <f t="shared" si="368"/>
        <v>0</v>
      </c>
      <c r="BB228" s="18">
        <f t="shared" si="368"/>
        <v>0</v>
      </c>
      <c r="BC228" s="18">
        <f t="shared" si="368"/>
        <v>0</v>
      </c>
      <c r="BD228" s="18">
        <f t="shared" si="368"/>
        <v>0</v>
      </c>
      <c r="BE228" s="18">
        <f t="shared" si="368"/>
        <v>0</v>
      </c>
      <c r="BF228" s="18">
        <f t="shared" si="368"/>
        <v>0</v>
      </c>
      <c r="BG228" s="18">
        <f t="shared" si="368"/>
        <v>0</v>
      </c>
      <c r="BH228" s="18">
        <f t="shared" si="368"/>
        <v>0</v>
      </c>
      <c r="BI228" s="18">
        <f t="shared" si="368"/>
        <v>0</v>
      </c>
      <c r="BJ228" s="18">
        <f t="shared" si="368"/>
        <v>0</v>
      </c>
      <c r="BK228" s="18">
        <f t="shared" si="368"/>
        <v>0</v>
      </c>
      <c r="BL228" s="18">
        <f t="shared" si="368"/>
        <v>0</v>
      </c>
      <c r="BM228" s="18">
        <f t="shared" si="368"/>
        <v>0</v>
      </c>
      <c r="BN228" s="18">
        <f t="shared" ref="BN228:CB228" si="369">BN57*BN152</f>
        <v>0</v>
      </c>
      <c r="BO228" s="18">
        <f t="shared" si="369"/>
        <v>0</v>
      </c>
      <c r="BP228" s="18">
        <f t="shared" si="369"/>
        <v>0</v>
      </c>
      <c r="BQ228" s="18">
        <f t="shared" si="369"/>
        <v>0</v>
      </c>
      <c r="BR228" s="18">
        <f t="shared" si="369"/>
        <v>0</v>
      </c>
      <c r="BS228" s="18">
        <f t="shared" si="369"/>
        <v>0</v>
      </c>
      <c r="BT228" s="18">
        <f t="shared" si="369"/>
        <v>0</v>
      </c>
      <c r="BU228" s="18">
        <f t="shared" si="369"/>
        <v>0</v>
      </c>
      <c r="BV228" s="18">
        <f t="shared" si="369"/>
        <v>0</v>
      </c>
      <c r="BW228" s="18">
        <f t="shared" si="369"/>
        <v>0</v>
      </c>
      <c r="BX228" s="18">
        <f t="shared" si="369"/>
        <v>0</v>
      </c>
      <c r="BY228" s="18">
        <f t="shared" si="369"/>
        <v>0</v>
      </c>
      <c r="BZ228" s="18">
        <f t="shared" si="369"/>
        <v>0</v>
      </c>
      <c r="CA228" s="18">
        <f t="shared" si="369"/>
        <v>0</v>
      </c>
      <c r="CB228" s="18">
        <f t="shared" si="369"/>
        <v>0</v>
      </c>
      <c r="CC228" s="17"/>
      <c r="CD228" s="17"/>
      <c r="CE228" s="17"/>
      <c r="CH228" s="5"/>
      <c r="CI228" s="11"/>
      <c r="CJ228" s="11"/>
      <c r="CK228" s="11"/>
      <c r="CL228" s="11"/>
      <c r="CM228" s="11"/>
      <c r="CN228" s="11"/>
      <c r="CO228" s="11"/>
      <c r="CP228" s="11"/>
      <c r="CQ228" s="11"/>
      <c r="CR228" s="11"/>
      <c r="CS228" s="11"/>
      <c r="CT228" s="11"/>
      <c r="CU228" s="11"/>
      <c r="CV228" s="11"/>
      <c r="CW228" s="11"/>
      <c r="CX228" s="11"/>
      <c r="CY228" s="11"/>
      <c r="CZ228" s="11"/>
      <c r="DA228" s="11"/>
      <c r="DB228" s="11"/>
      <c r="DC228" s="11"/>
      <c r="DD228" s="11"/>
      <c r="DE228" s="11"/>
      <c r="DF228" s="11"/>
      <c r="DG228" s="11"/>
      <c r="DH228" s="11"/>
      <c r="DI228" s="11"/>
      <c r="DJ228" s="11"/>
      <c r="DK228" s="11"/>
      <c r="DL228" s="11"/>
      <c r="DM228" s="11"/>
      <c r="DN228" s="11"/>
      <c r="DO228" s="11"/>
      <c r="DP228" s="11"/>
      <c r="DQ228" s="11"/>
      <c r="DR228" s="11"/>
      <c r="DS228" s="11"/>
      <c r="DT228" s="11"/>
      <c r="DU228" s="11"/>
      <c r="DV228" s="11"/>
      <c r="DW228" s="11"/>
      <c r="DX228" s="11"/>
      <c r="DY228" s="11"/>
      <c r="DZ228" s="11"/>
      <c r="EA228" s="11"/>
      <c r="EB228" s="11"/>
      <c r="EC228" s="11"/>
      <c r="ED228" s="11"/>
    </row>
    <row r="229" spans="1:256">
      <c r="A229" s="18" t="str">
        <f>A59</f>
        <v>Bond 15</v>
      </c>
      <c r="B229" s="18">
        <f t="shared" ref="B229:BM229" si="370">B59*B157</f>
        <v>0</v>
      </c>
      <c r="C229" s="18">
        <f t="shared" si="370"/>
        <v>0</v>
      </c>
      <c r="D229" s="18">
        <f t="shared" si="370"/>
        <v>0</v>
      </c>
      <c r="E229" s="18">
        <f t="shared" si="370"/>
        <v>0</v>
      </c>
      <c r="F229" s="18">
        <f t="shared" si="370"/>
        <v>0</v>
      </c>
      <c r="G229" s="18">
        <f t="shared" si="370"/>
        <v>0</v>
      </c>
      <c r="H229" s="18">
        <f t="shared" si="370"/>
        <v>0</v>
      </c>
      <c r="I229" s="18">
        <f t="shared" si="370"/>
        <v>0</v>
      </c>
      <c r="J229" s="18">
        <f t="shared" si="370"/>
        <v>0</v>
      </c>
      <c r="K229" s="18">
        <f t="shared" si="370"/>
        <v>0</v>
      </c>
      <c r="L229" s="18">
        <f t="shared" si="370"/>
        <v>0</v>
      </c>
      <c r="M229" s="18">
        <f t="shared" si="370"/>
        <v>0</v>
      </c>
      <c r="N229" s="18">
        <f t="shared" si="370"/>
        <v>0</v>
      </c>
      <c r="O229" s="18">
        <f t="shared" si="370"/>
        <v>0</v>
      </c>
      <c r="P229" s="18">
        <f t="shared" si="370"/>
        <v>0</v>
      </c>
      <c r="Q229" s="18">
        <f t="shared" si="370"/>
        <v>0</v>
      </c>
      <c r="R229" s="18">
        <f t="shared" si="370"/>
        <v>0</v>
      </c>
      <c r="S229" s="18">
        <f t="shared" si="370"/>
        <v>0</v>
      </c>
      <c r="T229" s="18">
        <f t="shared" si="370"/>
        <v>0</v>
      </c>
      <c r="U229" s="18">
        <f t="shared" si="370"/>
        <v>0</v>
      </c>
      <c r="V229" s="18">
        <f t="shared" si="370"/>
        <v>0</v>
      </c>
      <c r="W229" s="18">
        <f t="shared" si="370"/>
        <v>0</v>
      </c>
      <c r="X229" s="18">
        <f t="shared" si="370"/>
        <v>0</v>
      </c>
      <c r="Y229" s="18">
        <f t="shared" si="370"/>
        <v>0</v>
      </c>
      <c r="Z229" s="18">
        <f t="shared" si="370"/>
        <v>0</v>
      </c>
      <c r="AA229" s="18">
        <f t="shared" si="370"/>
        <v>0</v>
      </c>
      <c r="AB229" s="18">
        <f t="shared" si="370"/>
        <v>0</v>
      </c>
      <c r="AC229" s="18">
        <f t="shared" si="370"/>
        <v>0</v>
      </c>
      <c r="AD229" s="18">
        <f t="shared" si="370"/>
        <v>0</v>
      </c>
      <c r="AE229" s="18">
        <f t="shared" si="370"/>
        <v>0</v>
      </c>
      <c r="AF229" s="18">
        <f t="shared" si="370"/>
        <v>0</v>
      </c>
      <c r="AG229" s="18">
        <f t="shared" si="370"/>
        <v>0</v>
      </c>
      <c r="AH229" s="18">
        <f t="shared" si="370"/>
        <v>0</v>
      </c>
      <c r="AI229" s="18">
        <f t="shared" si="370"/>
        <v>0</v>
      </c>
      <c r="AJ229" s="18">
        <f t="shared" si="370"/>
        <v>0</v>
      </c>
      <c r="AK229" s="18">
        <f t="shared" si="370"/>
        <v>0</v>
      </c>
      <c r="AL229" s="18">
        <f t="shared" si="370"/>
        <v>0</v>
      </c>
      <c r="AM229" s="18">
        <f t="shared" si="370"/>
        <v>0</v>
      </c>
      <c r="AN229" s="18">
        <f t="shared" si="370"/>
        <v>0</v>
      </c>
      <c r="AO229" s="18">
        <f t="shared" si="370"/>
        <v>0</v>
      </c>
      <c r="AP229" s="18">
        <f t="shared" si="370"/>
        <v>0</v>
      </c>
      <c r="AQ229" s="18">
        <f t="shared" si="370"/>
        <v>0</v>
      </c>
      <c r="AR229" s="18">
        <f t="shared" si="370"/>
        <v>0</v>
      </c>
      <c r="AS229" s="18">
        <f t="shared" si="370"/>
        <v>0</v>
      </c>
      <c r="AT229" s="18">
        <f t="shared" si="370"/>
        <v>0</v>
      </c>
      <c r="AU229" s="18">
        <f t="shared" si="370"/>
        <v>0</v>
      </c>
      <c r="AV229" s="18">
        <f t="shared" si="370"/>
        <v>0</v>
      </c>
      <c r="AW229" s="18">
        <f t="shared" si="370"/>
        <v>0</v>
      </c>
      <c r="AX229" s="18">
        <f t="shared" si="370"/>
        <v>0</v>
      </c>
      <c r="AY229" s="18">
        <f t="shared" si="370"/>
        <v>0</v>
      </c>
      <c r="AZ229" s="18">
        <f t="shared" si="370"/>
        <v>0</v>
      </c>
      <c r="BA229" s="18">
        <f t="shared" si="370"/>
        <v>0</v>
      </c>
      <c r="BB229" s="18">
        <f t="shared" si="370"/>
        <v>0</v>
      </c>
      <c r="BC229" s="18">
        <f t="shared" si="370"/>
        <v>0</v>
      </c>
      <c r="BD229" s="18">
        <f t="shared" si="370"/>
        <v>0</v>
      </c>
      <c r="BE229" s="18">
        <f t="shared" si="370"/>
        <v>0</v>
      </c>
      <c r="BF229" s="18">
        <f t="shared" si="370"/>
        <v>0</v>
      </c>
      <c r="BG229" s="18">
        <f t="shared" si="370"/>
        <v>0</v>
      </c>
      <c r="BH229" s="18">
        <f t="shared" si="370"/>
        <v>0</v>
      </c>
      <c r="BI229" s="18">
        <f t="shared" si="370"/>
        <v>0</v>
      </c>
      <c r="BJ229" s="18">
        <f t="shared" si="370"/>
        <v>0</v>
      </c>
      <c r="BK229" s="18">
        <f t="shared" si="370"/>
        <v>0</v>
      </c>
      <c r="BL229" s="18">
        <f t="shared" si="370"/>
        <v>0</v>
      </c>
      <c r="BM229" s="18">
        <f t="shared" si="370"/>
        <v>0</v>
      </c>
      <c r="BN229" s="18">
        <f t="shared" ref="BN229:CB229" si="371">BN59*BN157</f>
        <v>0</v>
      </c>
      <c r="BO229" s="18">
        <f t="shared" si="371"/>
        <v>0</v>
      </c>
      <c r="BP229" s="18">
        <f t="shared" si="371"/>
        <v>0</v>
      </c>
      <c r="BQ229" s="18">
        <f t="shared" si="371"/>
        <v>0</v>
      </c>
      <c r="BR229" s="18">
        <f t="shared" si="371"/>
        <v>0</v>
      </c>
      <c r="BS229" s="18">
        <f t="shared" si="371"/>
        <v>0</v>
      </c>
      <c r="BT229" s="18">
        <f t="shared" si="371"/>
        <v>0</v>
      </c>
      <c r="BU229" s="18">
        <f t="shared" si="371"/>
        <v>0</v>
      </c>
      <c r="BV229" s="18">
        <f t="shared" si="371"/>
        <v>0</v>
      </c>
      <c r="BW229" s="18">
        <f t="shared" si="371"/>
        <v>0</v>
      </c>
      <c r="BX229" s="18">
        <f t="shared" si="371"/>
        <v>0</v>
      </c>
      <c r="BY229" s="18">
        <f t="shared" si="371"/>
        <v>0</v>
      </c>
      <c r="BZ229" s="18">
        <f t="shared" si="371"/>
        <v>0</v>
      </c>
      <c r="CA229" s="18">
        <f t="shared" si="371"/>
        <v>0</v>
      </c>
      <c r="CB229" s="18">
        <f t="shared" si="371"/>
        <v>0</v>
      </c>
      <c r="CC229" s="17"/>
      <c r="CD229" s="17"/>
      <c r="CE229" s="17"/>
      <c r="CH229" s="5"/>
      <c r="CI229" s="11"/>
      <c r="CJ229" s="11"/>
      <c r="CK229" s="11"/>
      <c r="CL229" s="11"/>
      <c r="CM229" s="11"/>
      <c r="CN229" s="11"/>
      <c r="CO229" s="11"/>
      <c r="CP229" s="11"/>
      <c r="CQ229" s="11"/>
      <c r="CR229" s="11"/>
      <c r="CS229" s="11"/>
      <c r="CT229" s="11"/>
      <c r="CU229" s="11"/>
      <c r="CV229" s="11"/>
      <c r="CW229" s="11"/>
      <c r="CX229" s="11"/>
      <c r="CY229" s="11"/>
      <c r="CZ229" s="11"/>
      <c r="DA229" s="11"/>
      <c r="DB229" s="11"/>
      <c r="DC229" s="11"/>
      <c r="DD229" s="11"/>
      <c r="DE229" s="11"/>
      <c r="DF229" s="11"/>
      <c r="DG229" s="11"/>
      <c r="DH229" s="11"/>
      <c r="DI229" s="11"/>
      <c r="DJ229" s="11"/>
      <c r="DK229" s="11"/>
      <c r="DL229" s="11"/>
      <c r="DM229" s="11"/>
      <c r="DN229" s="11"/>
      <c r="DO229" s="11"/>
      <c r="DP229" s="11"/>
      <c r="DQ229" s="11"/>
      <c r="DR229" s="11"/>
      <c r="DS229" s="11"/>
      <c r="DT229" s="11"/>
      <c r="DU229" s="11"/>
      <c r="DV229" s="11"/>
      <c r="DW229" s="11"/>
      <c r="DX229" s="11"/>
      <c r="DY229" s="11"/>
      <c r="DZ229" s="11"/>
      <c r="EA229" s="11"/>
      <c r="EB229" s="11"/>
      <c r="EC229" s="11"/>
      <c r="ED229" s="11"/>
    </row>
    <row r="230" spans="1:256">
      <c r="A230" s="18" t="str">
        <f>A61</f>
        <v>Bond 16</v>
      </c>
      <c r="B230" s="18">
        <f t="shared" ref="B230:BM230" si="372">B61*B162</f>
        <v>0</v>
      </c>
      <c r="C230" s="18">
        <f t="shared" si="372"/>
        <v>0</v>
      </c>
      <c r="D230" s="18">
        <f t="shared" si="372"/>
        <v>0</v>
      </c>
      <c r="E230" s="18">
        <f t="shared" si="372"/>
        <v>0</v>
      </c>
      <c r="F230" s="18">
        <f t="shared" si="372"/>
        <v>0</v>
      </c>
      <c r="G230" s="18">
        <f t="shared" si="372"/>
        <v>0</v>
      </c>
      <c r="H230" s="18">
        <f t="shared" si="372"/>
        <v>0</v>
      </c>
      <c r="I230" s="18">
        <f t="shared" si="372"/>
        <v>0</v>
      </c>
      <c r="J230" s="18">
        <f t="shared" si="372"/>
        <v>0</v>
      </c>
      <c r="K230" s="18">
        <f t="shared" si="372"/>
        <v>0</v>
      </c>
      <c r="L230" s="18">
        <f t="shared" si="372"/>
        <v>0</v>
      </c>
      <c r="M230" s="18">
        <f t="shared" si="372"/>
        <v>0</v>
      </c>
      <c r="N230" s="18">
        <f t="shared" si="372"/>
        <v>0</v>
      </c>
      <c r="O230" s="18">
        <f t="shared" si="372"/>
        <v>0</v>
      </c>
      <c r="P230" s="18">
        <f t="shared" si="372"/>
        <v>0</v>
      </c>
      <c r="Q230" s="18">
        <f t="shared" si="372"/>
        <v>0</v>
      </c>
      <c r="R230" s="18">
        <f t="shared" si="372"/>
        <v>0</v>
      </c>
      <c r="S230" s="18">
        <f t="shared" si="372"/>
        <v>0</v>
      </c>
      <c r="T230" s="18">
        <f t="shared" si="372"/>
        <v>0</v>
      </c>
      <c r="U230" s="18">
        <f t="shared" si="372"/>
        <v>0</v>
      </c>
      <c r="V230" s="18">
        <f t="shared" si="372"/>
        <v>0</v>
      </c>
      <c r="W230" s="18">
        <f t="shared" si="372"/>
        <v>0</v>
      </c>
      <c r="X230" s="18">
        <f t="shared" si="372"/>
        <v>0</v>
      </c>
      <c r="Y230" s="18">
        <f t="shared" si="372"/>
        <v>0</v>
      </c>
      <c r="Z230" s="18">
        <f t="shared" si="372"/>
        <v>0</v>
      </c>
      <c r="AA230" s="18">
        <f t="shared" si="372"/>
        <v>0</v>
      </c>
      <c r="AB230" s="18">
        <f t="shared" si="372"/>
        <v>0</v>
      </c>
      <c r="AC230" s="18">
        <f t="shared" si="372"/>
        <v>0</v>
      </c>
      <c r="AD230" s="18">
        <f t="shared" si="372"/>
        <v>0</v>
      </c>
      <c r="AE230" s="18">
        <f t="shared" si="372"/>
        <v>0</v>
      </c>
      <c r="AF230" s="18">
        <f t="shared" si="372"/>
        <v>0</v>
      </c>
      <c r="AG230" s="18">
        <f t="shared" si="372"/>
        <v>0</v>
      </c>
      <c r="AH230" s="18">
        <f t="shared" si="372"/>
        <v>0</v>
      </c>
      <c r="AI230" s="18">
        <f t="shared" si="372"/>
        <v>0</v>
      </c>
      <c r="AJ230" s="18">
        <f t="shared" si="372"/>
        <v>0</v>
      </c>
      <c r="AK230" s="18">
        <f t="shared" si="372"/>
        <v>0</v>
      </c>
      <c r="AL230" s="18">
        <f t="shared" si="372"/>
        <v>0</v>
      </c>
      <c r="AM230" s="18">
        <f t="shared" si="372"/>
        <v>0</v>
      </c>
      <c r="AN230" s="18">
        <f t="shared" si="372"/>
        <v>0</v>
      </c>
      <c r="AO230" s="18">
        <f t="shared" si="372"/>
        <v>0</v>
      </c>
      <c r="AP230" s="18">
        <f t="shared" si="372"/>
        <v>0</v>
      </c>
      <c r="AQ230" s="18">
        <f t="shared" si="372"/>
        <v>0</v>
      </c>
      <c r="AR230" s="18">
        <f t="shared" si="372"/>
        <v>0</v>
      </c>
      <c r="AS230" s="18">
        <f t="shared" si="372"/>
        <v>0</v>
      </c>
      <c r="AT230" s="18">
        <f t="shared" si="372"/>
        <v>0</v>
      </c>
      <c r="AU230" s="18">
        <f t="shared" si="372"/>
        <v>0</v>
      </c>
      <c r="AV230" s="18">
        <f t="shared" si="372"/>
        <v>0</v>
      </c>
      <c r="AW230" s="18">
        <f t="shared" si="372"/>
        <v>0</v>
      </c>
      <c r="AX230" s="18">
        <f t="shared" si="372"/>
        <v>0</v>
      </c>
      <c r="AY230" s="18">
        <f t="shared" si="372"/>
        <v>0</v>
      </c>
      <c r="AZ230" s="18">
        <f t="shared" si="372"/>
        <v>0</v>
      </c>
      <c r="BA230" s="18">
        <f t="shared" si="372"/>
        <v>0</v>
      </c>
      <c r="BB230" s="18">
        <f t="shared" si="372"/>
        <v>0</v>
      </c>
      <c r="BC230" s="18">
        <f t="shared" si="372"/>
        <v>0</v>
      </c>
      <c r="BD230" s="18">
        <f t="shared" si="372"/>
        <v>0</v>
      </c>
      <c r="BE230" s="18">
        <f t="shared" si="372"/>
        <v>0</v>
      </c>
      <c r="BF230" s="18">
        <f t="shared" si="372"/>
        <v>0</v>
      </c>
      <c r="BG230" s="18">
        <f t="shared" si="372"/>
        <v>0</v>
      </c>
      <c r="BH230" s="18">
        <f t="shared" si="372"/>
        <v>0</v>
      </c>
      <c r="BI230" s="18">
        <f t="shared" si="372"/>
        <v>0</v>
      </c>
      <c r="BJ230" s="18">
        <f t="shared" si="372"/>
        <v>0</v>
      </c>
      <c r="BK230" s="18">
        <f t="shared" si="372"/>
        <v>0</v>
      </c>
      <c r="BL230" s="18">
        <f t="shared" si="372"/>
        <v>0</v>
      </c>
      <c r="BM230" s="18">
        <f t="shared" si="372"/>
        <v>0</v>
      </c>
      <c r="BN230" s="18">
        <f t="shared" ref="BN230:CB230" si="373">BN61*BN162</f>
        <v>0</v>
      </c>
      <c r="BO230" s="18">
        <f t="shared" si="373"/>
        <v>0</v>
      </c>
      <c r="BP230" s="18">
        <f t="shared" si="373"/>
        <v>0</v>
      </c>
      <c r="BQ230" s="18">
        <f t="shared" si="373"/>
        <v>0</v>
      </c>
      <c r="BR230" s="18">
        <f t="shared" si="373"/>
        <v>0</v>
      </c>
      <c r="BS230" s="18">
        <f t="shared" si="373"/>
        <v>0</v>
      </c>
      <c r="BT230" s="18">
        <f t="shared" si="373"/>
        <v>0</v>
      </c>
      <c r="BU230" s="18">
        <f t="shared" si="373"/>
        <v>0</v>
      </c>
      <c r="BV230" s="18">
        <f t="shared" si="373"/>
        <v>0</v>
      </c>
      <c r="BW230" s="18">
        <f t="shared" si="373"/>
        <v>0</v>
      </c>
      <c r="BX230" s="18">
        <f t="shared" si="373"/>
        <v>0</v>
      </c>
      <c r="BY230" s="18">
        <f t="shared" si="373"/>
        <v>0</v>
      </c>
      <c r="BZ230" s="18">
        <f t="shared" si="373"/>
        <v>0</v>
      </c>
      <c r="CA230" s="18">
        <f t="shared" si="373"/>
        <v>0</v>
      </c>
      <c r="CB230" s="18">
        <f t="shared" si="373"/>
        <v>0</v>
      </c>
      <c r="CC230" s="17"/>
      <c r="CD230" s="17"/>
      <c r="CE230" s="17"/>
      <c r="CH230" s="5"/>
      <c r="CI230" s="11"/>
      <c r="CJ230" s="11"/>
      <c r="CK230" s="11"/>
      <c r="CL230" s="11"/>
      <c r="CM230" s="11"/>
      <c r="CN230" s="11"/>
      <c r="CO230" s="11"/>
      <c r="CP230" s="11"/>
      <c r="CQ230" s="11"/>
      <c r="CR230" s="11"/>
      <c r="CS230" s="11"/>
      <c r="CT230" s="11"/>
      <c r="CU230" s="11"/>
      <c r="CV230" s="11"/>
      <c r="CW230" s="11"/>
      <c r="CX230" s="11"/>
      <c r="CY230" s="11"/>
      <c r="CZ230" s="11"/>
      <c r="DA230" s="11"/>
      <c r="DB230" s="11"/>
      <c r="DC230" s="11"/>
      <c r="DD230" s="11"/>
      <c r="DE230" s="11"/>
      <c r="DF230" s="11"/>
      <c r="DG230" s="11"/>
      <c r="DH230" s="11"/>
      <c r="DI230" s="11"/>
      <c r="DJ230" s="11"/>
      <c r="DK230" s="11"/>
      <c r="DL230" s="11"/>
      <c r="DM230" s="11"/>
      <c r="DN230" s="11"/>
      <c r="DO230" s="11"/>
      <c r="DP230" s="11"/>
      <c r="DQ230" s="11"/>
      <c r="DR230" s="11"/>
      <c r="DS230" s="11"/>
      <c r="DT230" s="11"/>
      <c r="DU230" s="11"/>
      <c r="DV230" s="11"/>
      <c r="DW230" s="11"/>
      <c r="DX230" s="11"/>
      <c r="DY230" s="11"/>
      <c r="DZ230" s="11"/>
      <c r="EA230" s="11"/>
      <c r="EB230" s="11"/>
      <c r="EC230" s="11"/>
      <c r="ED230" s="11"/>
      <c r="EE230" s="11"/>
      <c r="EF230" s="11"/>
      <c r="EG230" s="11"/>
      <c r="EH230" s="11"/>
      <c r="EI230" s="11"/>
      <c r="EJ230" s="11"/>
      <c r="EK230" s="11"/>
      <c r="EL230" s="11"/>
      <c r="EM230" s="11"/>
      <c r="EN230" s="11"/>
      <c r="EO230" s="11"/>
      <c r="EP230" s="11"/>
      <c r="EQ230" s="11"/>
      <c r="ER230" s="11"/>
      <c r="ES230" s="11"/>
      <c r="ET230" s="11"/>
      <c r="EU230" s="11"/>
      <c r="EV230" s="11"/>
      <c r="EW230" s="11"/>
      <c r="EX230" s="11"/>
      <c r="EY230" s="11"/>
      <c r="EZ230" s="11"/>
      <c r="FA230" s="11"/>
      <c r="FB230" s="11"/>
      <c r="FC230" s="11"/>
      <c r="FD230" s="11"/>
      <c r="FE230" s="11"/>
      <c r="FF230" s="11"/>
      <c r="FG230" s="11"/>
      <c r="FH230" s="11"/>
      <c r="FI230" s="11"/>
      <c r="FJ230" s="11"/>
      <c r="FK230" s="11"/>
      <c r="FL230" s="11"/>
    </row>
    <row r="231" spans="1:256">
      <c r="A231" s="18" t="str">
        <f>A63</f>
        <v>Bond 17</v>
      </c>
      <c r="B231" s="18">
        <f t="shared" ref="B231:BM231" si="374">B63*B167</f>
        <v>0</v>
      </c>
      <c r="C231" s="18">
        <f t="shared" si="374"/>
        <v>0</v>
      </c>
      <c r="D231" s="18">
        <f t="shared" si="374"/>
        <v>0</v>
      </c>
      <c r="E231" s="18">
        <f t="shared" si="374"/>
        <v>0</v>
      </c>
      <c r="F231" s="18">
        <f t="shared" si="374"/>
        <v>0</v>
      </c>
      <c r="G231" s="18">
        <f t="shared" si="374"/>
        <v>0</v>
      </c>
      <c r="H231" s="18">
        <f t="shared" si="374"/>
        <v>0</v>
      </c>
      <c r="I231" s="18">
        <f t="shared" si="374"/>
        <v>0</v>
      </c>
      <c r="J231" s="18">
        <f t="shared" si="374"/>
        <v>0</v>
      </c>
      <c r="K231" s="18">
        <f t="shared" si="374"/>
        <v>0</v>
      </c>
      <c r="L231" s="18">
        <f t="shared" si="374"/>
        <v>0</v>
      </c>
      <c r="M231" s="18">
        <f t="shared" si="374"/>
        <v>0</v>
      </c>
      <c r="N231" s="18">
        <f t="shared" si="374"/>
        <v>0</v>
      </c>
      <c r="O231" s="18">
        <f t="shared" si="374"/>
        <v>0</v>
      </c>
      <c r="P231" s="18">
        <f t="shared" si="374"/>
        <v>0</v>
      </c>
      <c r="Q231" s="18">
        <f t="shared" si="374"/>
        <v>0</v>
      </c>
      <c r="R231" s="18">
        <f t="shared" si="374"/>
        <v>0</v>
      </c>
      <c r="S231" s="18">
        <f t="shared" si="374"/>
        <v>0</v>
      </c>
      <c r="T231" s="18">
        <f t="shared" si="374"/>
        <v>0</v>
      </c>
      <c r="U231" s="18">
        <f t="shared" si="374"/>
        <v>0</v>
      </c>
      <c r="V231" s="18">
        <f t="shared" si="374"/>
        <v>0</v>
      </c>
      <c r="W231" s="18">
        <f t="shared" si="374"/>
        <v>0</v>
      </c>
      <c r="X231" s="18">
        <f t="shared" si="374"/>
        <v>0</v>
      </c>
      <c r="Y231" s="18">
        <f t="shared" si="374"/>
        <v>0</v>
      </c>
      <c r="Z231" s="18">
        <f t="shared" si="374"/>
        <v>0</v>
      </c>
      <c r="AA231" s="18">
        <f t="shared" si="374"/>
        <v>0</v>
      </c>
      <c r="AB231" s="18">
        <f t="shared" si="374"/>
        <v>0</v>
      </c>
      <c r="AC231" s="18">
        <f t="shared" si="374"/>
        <v>0</v>
      </c>
      <c r="AD231" s="18">
        <f t="shared" si="374"/>
        <v>0</v>
      </c>
      <c r="AE231" s="18">
        <f t="shared" si="374"/>
        <v>0</v>
      </c>
      <c r="AF231" s="18">
        <f t="shared" si="374"/>
        <v>0</v>
      </c>
      <c r="AG231" s="18">
        <f t="shared" si="374"/>
        <v>0</v>
      </c>
      <c r="AH231" s="18">
        <f t="shared" si="374"/>
        <v>0</v>
      </c>
      <c r="AI231" s="18">
        <f t="shared" si="374"/>
        <v>0</v>
      </c>
      <c r="AJ231" s="18">
        <f t="shared" si="374"/>
        <v>0</v>
      </c>
      <c r="AK231" s="18">
        <f t="shared" si="374"/>
        <v>0</v>
      </c>
      <c r="AL231" s="18">
        <f t="shared" si="374"/>
        <v>0</v>
      </c>
      <c r="AM231" s="18">
        <f t="shared" si="374"/>
        <v>0</v>
      </c>
      <c r="AN231" s="18">
        <f t="shared" si="374"/>
        <v>0</v>
      </c>
      <c r="AO231" s="18">
        <f t="shared" si="374"/>
        <v>0</v>
      </c>
      <c r="AP231" s="18">
        <f t="shared" si="374"/>
        <v>0</v>
      </c>
      <c r="AQ231" s="18">
        <f t="shared" si="374"/>
        <v>0</v>
      </c>
      <c r="AR231" s="18">
        <f t="shared" si="374"/>
        <v>0</v>
      </c>
      <c r="AS231" s="18">
        <f t="shared" si="374"/>
        <v>0</v>
      </c>
      <c r="AT231" s="18">
        <f t="shared" si="374"/>
        <v>0</v>
      </c>
      <c r="AU231" s="18">
        <f t="shared" si="374"/>
        <v>0</v>
      </c>
      <c r="AV231" s="18">
        <f t="shared" si="374"/>
        <v>0</v>
      </c>
      <c r="AW231" s="18">
        <f t="shared" si="374"/>
        <v>0</v>
      </c>
      <c r="AX231" s="18">
        <f t="shared" si="374"/>
        <v>0</v>
      </c>
      <c r="AY231" s="18">
        <f t="shared" si="374"/>
        <v>0</v>
      </c>
      <c r="AZ231" s="18">
        <f t="shared" si="374"/>
        <v>0</v>
      </c>
      <c r="BA231" s="18">
        <f t="shared" si="374"/>
        <v>0</v>
      </c>
      <c r="BB231" s="18">
        <f t="shared" si="374"/>
        <v>0</v>
      </c>
      <c r="BC231" s="18">
        <f t="shared" si="374"/>
        <v>0</v>
      </c>
      <c r="BD231" s="18">
        <f t="shared" si="374"/>
        <v>0</v>
      </c>
      <c r="BE231" s="18">
        <f t="shared" si="374"/>
        <v>0</v>
      </c>
      <c r="BF231" s="18">
        <f t="shared" si="374"/>
        <v>0</v>
      </c>
      <c r="BG231" s="18">
        <f t="shared" si="374"/>
        <v>0</v>
      </c>
      <c r="BH231" s="18">
        <f t="shared" si="374"/>
        <v>0</v>
      </c>
      <c r="BI231" s="18">
        <f t="shared" si="374"/>
        <v>0</v>
      </c>
      <c r="BJ231" s="18">
        <f t="shared" si="374"/>
        <v>0</v>
      </c>
      <c r="BK231" s="18">
        <f t="shared" si="374"/>
        <v>0</v>
      </c>
      <c r="BL231" s="18">
        <f t="shared" si="374"/>
        <v>0</v>
      </c>
      <c r="BM231" s="18">
        <f t="shared" si="374"/>
        <v>0</v>
      </c>
      <c r="BN231" s="18">
        <f t="shared" ref="BN231:CB231" si="375">BN63*BN167</f>
        <v>0</v>
      </c>
      <c r="BO231" s="18">
        <f t="shared" si="375"/>
        <v>0</v>
      </c>
      <c r="BP231" s="18">
        <f t="shared" si="375"/>
        <v>0</v>
      </c>
      <c r="BQ231" s="18">
        <f t="shared" si="375"/>
        <v>0</v>
      </c>
      <c r="BR231" s="18">
        <f t="shared" si="375"/>
        <v>0</v>
      </c>
      <c r="BS231" s="18">
        <f t="shared" si="375"/>
        <v>0</v>
      </c>
      <c r="BT231" s="18">
        <f t="shared" si="375"/>
        <v>0</v>
      </c>
      <c r="BU231" s="18">
        <f t="shared" si="375"/>
        <v>0</v>
      </c>
      <c r="BV231" s="18">
        <f t="shared" si="375"/>
        <v>0</v>
      </c>
      <c r="BW231" s="18">
        <f t="shared" si="375"/>
        <v>0</v>
      </c>
      <c r="BX231" s="18">
        <f t="shared" si="375"/>
        <v>0</v>
      </c>
      <c r="BY231" s="18">
        <f t="shared" si="375"/>
        <v>0</v>
      </c>
      <c r="BZ231" s="18">
        <f t="shared" si="375"/>
        <v>0</v>
      </c>
      <c r="CA231" s="18">
        <f t="shared" si="375"/>
        <v>0</v>
      </c>
      <c r="CB231" s="18">
        <f t="shared" si="375"/>
        <v>0</v>
      </c>
      <c r="CC231" s="17"/>
      <c r="CD231" s="17"/>
      <c r="CE231" s="17"/>
      <c r="CH231" s="5"/>
      <c r="CI231" s="11"/>
      <c r="CJ231" s="11"/>
      <c r="CK231" s="11"/>
      <c r="CL231" s="11"/>
      <c r="CM231" s="11"/>
      <c r="CN231" s="11"/>
      <c r="CO231" s="11"/>
      <c r="CP231" s="11"/>
      <c r="CQ231" s="11"/>
      <c r="CR231" s="11"/>
      <c r="CS231" s="11"/>
      <c r="CT231" s="11"/>
      <c r="CU231" s="11"/>
      <c r="CV231" s="11"/>
      <c r="CW231" s="11"/>
      <c r="CX231" s="11"/>
      <c r="CY231" s="11"/>
      <c r="CZ231" s="11"/>
      <c r="DA231" s="11"/>
      <c r="DB231" s="11"/>
      <c r="DC231" s="11"/>
      <c r="DD231" s="11"/>
      <c r="DE231" s="11"/>
      <c r="DF231" s="11"/>
      <c r="DG231" s="11"/>
      <c r="DH231" s="11"/>
      <c r="DI231" s="11"/>
      <c r="DJ231" s="11"/>
      <c r="DK231" s="11"/>
      <c r="DL231" s="11"/>
      <c r="DM231" s="11"/>
      <c r="DN231" s="11"/>
      <c r="DO231" s="11"/>
      <c r="DP231" s="11"/>
      <c r="DQ231" s="11"/>
      <c r="DR231" s="11"/>
      <c r="DS231" s="11"/>
      <c r="DT231" s="11"/>
      <c r="DU231" s="11"/>
      <c r="DV231" s="11"/>
      <c r="DW231" s="11"/>
      <c r="DX231" s="11"/>
      <c r="DY231" s="11"/>
      <c r="DZ231" s="11"/>
      <c r="EA231" s="11"/>
      <c r="EB231" s="11"/>
      <c r="EC231" s="11"/>
      <c r="ED231" s="11"/>
      <c r="EE231" s="11"/>
      <c r="EF231" s="11"/>
      <c r="EG231" s="11"/>
      <c r="EH231" s="11"/>
      <c r="EI231" s="11"/>
      <c r="EJ231" s="11"/>
      <c r="EK231" s="11"/>
      <c r="EL231" s="11"/>
      <c r="EM231" s="11"/>
    </row>
    <row r="232" spans="1:256">
      <c r="A232" s="18" t="str">
        <f>A65</f>
        <v>Bond 18</v>
      </c>
      <c r="B232" s="18">
        <f t="shared" ref="B232:BM232" si="376">B65*B172</f>
        <v>0</v>
      </c>
      <c r="C232" s="18">
        <f t="shared" si="376"/>
        <v>0</v>
      </c>
      <c r="D232" s="18">
        <f t="shared" si="376"/>
        <v>0</v>
      </c>
      <c r="E232" s="18">
        <f t="shared" si="376"/>
        <v>0</v>
      </c>
      <c r="F232" s="18">
        <f t="shared" si="376"/>
        <v>0</v>
      </c>
      <c r="G232" s="18">
        <f t="shared" si="376"/>
        <v>0</v>
      </c>
      <c r="H232" s="18">
        <f t="shared" si="376"/>
        <v>0</v>
      </c>
      <c r="I232" s="18">
        <f t="shared" si="376"/>
        <v>0</v>
      </c>
      <c r="J232" s="18">
        <f t="shared" si="376"/>
        <v>0</v>
      </c>
      <c r="K232" s="18">
        <f t="shared" si="376"/>
        <v>0</v>
      </c>
      <c r="L232" s="18">
        <f t="shared" si="376"/>
        <v>0</v>
      </c>
      <c r="M232" s="18">
        <f t="shared" si="376"/>
        <v>0</v>
      </c>
      <c r="N232" s="18">
        <f t="shared" si="376"/>
        <v>0</v>
      </c>
      <c r="O232" s="18">
        <f t="shared" si="376"/>
        <v>0</v>
      </c>
      <c r="P232" s="18">
        <f t="shared" si="376"/>
        <v>0</v>
      </c>
      <c r="Q232" s="18">
        <f t="shared" si="376"/>
        <v>0</v>
      </c>
      <c r="R232" s="18">
        <f t="shared" si="376"/>
        <v>0</v>
      </c>
      <c r="S232" s="18">
        <f t="shared" si="376"/>
        <v>0</v>
      </c>
      <c r="T232" s="18">
        <f t="shared" si="376"/>
        <v>0</v>
      </c>
      <c r="U232" s="18">
        <f t="shared" si="376"/>
        <v>0</v>
      </c>
      <c r="V232" s="18">
        <f t="shared" si="376"/>
        <v>0</v>
      </c>
      <c r="W232" s="18">
        <f t="shared" si="376"/>
        <v>0</v>
      </c>
      <c r="X232" s="18">
        <f t="shared" si="376"/>
        <v>0</v>
      </c>
      <c r="Y232" s="18">
        <f t="shared" si="376"/>
        <v>0</v>
      </c>
      <c r="Z232" s="18">
        <f t="shared" si="376"/>
        <v>0</v>
      </c>
      <c r="AA232" s="18">
        <f t="shared" si="376"/>
        <v>0</v>
      </c>
      <c r="AB232" s="18">
        <f t="shared" si="376"/>
        <v>0</v>
      </c>
      <c r="AC232" s="18">
        <f t="shared" si="376"/>
        <v>0</v>
      </c>
      <c r="AD232" s="18">
        <f t="shared" si="376"/>
        <v>0</v>
      </c>
      <c r="AE232" s="18">
        <f t="shared" si="376"/>
        <v>0</v>
      </c>
      <c r="AF232" s="18">
        <f t="shared" si="376"/>
        <v>0</v>
      </c>
      <c r="AG232" s="18">
        <f t="shared" si="376"/>
        <v>0</v>
      </c>
      <c r="AH232" s="18">
        <f t="shared" si="376"/>
        <v>0</v>
      </c>
      <c r="AI232" s="18">
        <f t="shared" si="376"/>
        <v>0</v>
      </c>
      <c r="AJ232" s="18">
        <f t="shared" si="376"/>
        <v>0</v>
      </c>
      <c r="AK232" s="18">
        <f t="shared" si="376"/>
        <v>0</v>
      </c>
      <c r="AL232" s="18">
        <f t="shared" si="376"/>
        <v>0</v>
      </c>
      <c r="AM232" s="18">
        <f t="shared" si="376"/>
        <v>0</v>
      </c>
      <c r="AN232" s="18">
        <f t="shared" si="376"/>
        <v>0</v>
      </c>
      <c r="AO232" s="18">
        <f t="shared" si="376"/>
        <v>0</v>
      </c>
      <c r="AP232" s="18">
        <f t="shared" si="376"/>
        <v>0</v>
      </c>
      <c r="AQ232" s="18">
        <f t="shared" si="376"/>
        <v>0</v>
      </c>
      <c r="AR232" s="18">
        <f t="shared" si="376"/>
        <v>0</v>
      </c>
      <c r="AS232" s="18">
        <f t="shared" si="376"/>
        <v>0</v>
      </c>
      <c r="AT232" s="18">
        <f t="shared" si="376"/>
        <v>0</v>
      </c>
      <c r="AU232" s="18">
        <f t="shared" si="376"/>
        <v>0</v>
      </c>
      <c r="AV232" s="18">
        <f t="shared" si="376"/>
        <v>0</v>
      </c>
      <c r="AW232" s="18">
        <f t="shared" si="376"/>
        <v>0</v>
      </c>
      <c r="AX232" s="18">
        <f t="shared" si="376"/>
        <v>0</v>
      </c>
      <c r="AY232" s="18">
        <f t="shared" si="376"/>
        <v>0</v>
      </c>
      <c r="AZ232" s="18">
        <f t="shared" si="376"/>
        <v>0</v>
      </c>
      <c r="BA232" s="18">
        <f t="shared" si="376"/>
        <v>0</v>
      </c>
      <c r="BB232" s="18">
        <f t="shared" si="376"/>
        <v>0</v>
      </c>
      <c r="BC232" s="18">
        <f t="shared" si="376"/>
        <v>0</v>
      </c>
      <c r="BD232" s="18">
        <f t="shared" si="376"/>
        <v>0</v>
      </c>
      <c r="BE232" s="18">
        <f t="shared" si="376"/>
        <v>0</v>
      </c>
      <c r="BF232" s="18">
        <f t="shared" si="376"/>
        <v>0</v>
      </c>
      <c r="BG232" s="18">
        <f t="shared" si="376"/>
        <v>0</v>
      </c>
      <c r="BH232" s="18">
        <f t="shared" si="376"/>
        <v>0</v>
      </c>
      <c r="BI232" s="18">
        <f t="shared" si="376"/>
        <v>0</v>
      </c>
      <c r="BJ232" s="18">
        <f t="shared" si="376"/>
        <v>0</v>
      </c>
      <c r="BK232" s="18">
        <f t="shared" si="376"/>
        <v>0</v>
      </c>
      <c r="BL232" s="18">
        <f t="shared" si="376"/>
        <v>0</v>
      </c>
      <c r="BM232" s="18">
        <f t="shared" si="376"/>
        <v>0</v>
      </c>
      <c r="BN232" s="18">
        <f t="shared" ref="BN232:CB232" si="377">BN65*BN172</f>
        <v>0</v>
      </c>
      <c r="BO232" s="18">
        <f t="shared" si="377"/>
        <v>0</v>
      </c>
      <c r="BP232" s="18">
        <f t="shared" si="377"/>
        <v>0</v>
      </c>
      <c r="BQ232" s="18">
        <f t="shared" si="377"/>
        <v>0</v>
      </c>
      <c r="BR232" s="18">
        <f t="shared" si="377"/>
        <v>0</v>
      </c>
      <c r="BS232" s="18">
        <f t="shared" si="377"/>
        <v>0</v>
      </c>
      <c r="BT232" s="18">
        <f t="shared" si="377"/>
        <v>0</v>
      </c>
      <c r="BU232" s="18">
        <f t="shared" si="377"/>
        <v>0</v>
      </c>
      <c r="BV232" s="18">
        <f t="shared" si="377"/>
        <v>0</v>
      </c>
      <c r="BW232" s="18">
        <f t="shared" si="377"/>
        <v>0</v>
      </c>
      <c r="BX232" s="18">
        <f t="shared" si="377"/>
        <v>0</v>
      </c>
      <c r="BY232" s="18">
        <f t="shared" si="377"/>
        <v>0</v>
      </c>
      <c r="BZ232" s="18">
        <f t="shared" si="377"/>
        <v>0</v>
      </c>
      <c r="CA232" s="18">
        <f t="shared" si="377"/>
        <v>0</v>
      </c>
      <c r="CB232" s="18">
        <f t="shared" si="377"/>
        <v>0</v>
      </c>
      <c r="CC232" s="17"/>
      <c r="CD232" s="17"/>
      <c r="CE232" s="17"/>
      <c r="CH232" s="5"/>
      <c r="CI232" s="11"/>
      <c r="CJ232" s="11"/>
      <c r="CK232" s="11"/>
      <c r="CL232" s="11"/>
      <c r="CM232" s="11"/>
      <c r="CN232" s="11"/>
      <c r="CO232" s="11"/>
      <c r="CP232" s="11"/>
      <c r="CQ232" s="11"/>
      <c r="CR232" s="11"/>
      <c r="CS232" s="11"/>
      <c r="CT232" s="11"/>
      <c r="CU232" s="11"/>
      <c r="CV232" s="11"/>
      <c r="CW232" s="11"/>
      <c r="CX232" s="11"/>
      <c r="CY232" s="11"/>
      <c r="CZ232" s="11"/>
      <c r="DA232" s="11"/>
      <c r="DB232" s="11"/>
      <c r="DC232" s="11"/>
      <c r="DD232" s="11"/>
      <c r="DE232" s="11"/>
      <c r="DF232" s="11"/>
      <c r="DG232" s="11"/>
      <c r="DH232" s="11"/>
      <c r="DI232" s="11"/>
      <c r="DJ232" s="11"/>
      <c r="DK232" s="11"/>
      <c r="DL232" s="11"/>
      <c r="DM232" s="11"/>
      <c r="DN232" s="11"/>
      <c r="DO232" s="11"/>
      <c r="DP232" s="11"/>
      <c r="DQ232" s="11"/>
      <c r="DR232" s="11"/>
      <c r="DS232" s="11"/>
      <c r="DT232" s="11"/>
      <c r="DU232" s="11"/>
      <c r="DV232" s="11"/>
      <c r="DW232" s="11"/>
      <c r="DX232" s="11"/>
      <c r="DY232" s="11"/>
      <c r="DZ232" s="11"/>
      <c r="EA232" s="11"/>
      <c r="EB232" s="11"/>
      <c r="EC232" s="11"/>
      <c r="ED232" s="11"/>
      <c r="EE232" s="11"/>
      <c r="EF232" s="11"/>
    </row>
    <row r="233" spans="1:256">
      <c r="A233" s="18" t="str">
        <f>A67</f>
        <v>Bond 19</v>
      </c>
      <c r="B233" s="18">
        <f t="shared" ref="B233:BM233" si="378">B67*B177</f>
        <v>0</v>
      </c>
      <c r="C233" s="18">
        <f t="shared" si="378"/>
        <v>0</v>
      </c>
      <c r="D233" s="18">
        <f t="shared" si="378"/>
        <v>0</v>
      </c>
      <c r="E233" s="18">
        <f t="shared" si="378"/>
        <v>0</v>
      </c>
      <c r="F233" s="18">
        <f t="shared" si="378"/>
        <v>0</v>
      </c>
      <c r="G233" s="18">
        <f t="shared" si="378"/>
        <v>0</v>
      </c>
      <c r="H233" s="18">
        <f t="shared" si="378"/>
        <v>0</v>
      </c>
      <c r="I233" s="18">
        <f t="shared" si="378"/>
        <v>0</v>
      </c>
      <c r="J233" s="18">
        <f t="shared" si="378"/>
        <v>0</v>
      </c>
      <c r="K233" s="18">
        <f t="shared" si="378"/>
        <v>0</v>
      </c>
      <c r="L233" s="18">
        <f t="shared" si="378"/>
        <v>0</v>
      </c>
      <c r="M233" s="18">
        <f t="shared" si="378"/>
        <v>0</v>
      </c>
      <c r="N233" s="18">
        <f t="shared" si="378"/>
        <v>0</v>
      </c>
      <c r="O233" s="18">
        <f t="shared" si="378"/>
        <v>0</v>
      </c>
      <c r="P233" s="18">
        <f t="shared" si="378"/>
        <v>0</v>
      </c>
      <c r="Q233" s="18">
        <f t="shared" si="378"/>
        <v>0</v>
      </c>
      <c r="R233" s="18">
        <f t="shared" si="378"/>
        <v>0</v>
      </c>
      <c r="S233" s="18">
        <f t="shared" si="378"/>
        <v>0</v>
      </c>
      <c r="T233" s="18">
        <f t="shared" si="378"/>
        <v>0</v>
      </c>
      <c r="U233" s="18">
        <f t="shared" si="378"/>
        <v>0</v>
      </c>
      <c r="V233" s="18">
        <f t="shared" si="378"/>
        <v>0</v>
      </c>
      <c r="W233" s="18">
        <f t="shared" si="378"/>
        <v>0</v>
      </c>
      <c r="X233" s="18">
        <f t="shared" si="378"/>
        <v>0</v>
      </c>
      <c r="Y233" s="18">
        <f t="shared" si="378"/>
        <v>0</v>
      </c>
      <c r="Z233" s="18">
        <f t="shared" si="378"/>
        <v>0</v>
      </c>
      <c r="AA233" s="18">
        <f t="shared" si="378"/>
        <v>0</v>
      </c>
      <c r="AB233" s="18">
        <f t="shared" si="378"/>
        <v>0</v>
      </c>
      <c r="AC233" s="18">
        <f t="shared" si="378"/>
        <v>0</v>
      </c>
      <c r="AD233" s="18">
        <f t="shared" si="378"/>
        <v>0</v>
      </c>
      <c r="AE233" s="18">
        <f t="shared" si="378"/>
        <v>0</v>
      </c>
      <c r="AF233" s="18">
        <f t="shared" si="378"/>
        <v>0</v>
      </c>
      <c r="AG233" s="18">
        <f t="shared" si="378"/>
        <v>0</v>
      </c>
      <c r="AH233" s="18">
        <f t="shared" si="378"/>
        <v>0</v>
      </c>
      <c r="AI233" s="18">
        <f t="shared" si="378"/>
        <v>0</v>
      </c>
      <c r="AJ233" s="18">
        <f t="shared" si="378"/>
        <v>0</v>
      </c>
      <c r="AK233" s="18">
        <f t="shared" si="378"/>
        <v>0</v>
      </c>
      <c r="AL233" s="18">
        <f t="shared" si="378"/>
        <v>0</v>
      </c>
      <c r="AM233" s="18">
        <f t="shared" si="378"/>
        <v>0</v>
      </c>
      <c r="AN233" s="18">
        <f t="shared" si="378"/>
        <v>0</v>
      </c>
      <c r="AO233" s="18">
        <f t="shared" si="378"/>
        <v>0</v>
      </c>
      <c r="AP233" s="18">
        <f t="shared" si="378"/>
        <v>0</v>
      </c>
      <c r="AQ233" s="18">
        <f t="shared" si="378"/>
        <v>0</v>
      </c>
      <c r="AR233" s="18">
        <f t="shared" si="378"/>
        <v>0</v>
      </c>
      <c r="AS233" s="18">
        <f t="shared" si="378"/>
        <v>0</v>
      </c>
      <c r="AT233" s="18">
        <f t="shared" si="378"/>
        <v>0</v>
      </c>
      <c r="AU233" s="18">
        <f t="shared" si="378"/>
        <v>0</v>
      </c>
      <c r="AV233" s="18">
        <f t="shared" si="378"/>
        <v>0</v>
      </c>
      <c r="AW233" s="18">
        <f t="shared" si="378"/>
        <v>0</v>
      </c>
      <c r="AX233" s="18">
        <f t="shared" si="378"/>
        <v>0</v>
      </c>
      <c r="AY233" s="18">
        <f t="shared" si="378"/>
        <v>0</v>
      </c>
      <c r="AZ233" s="18">
        <f t="shared" si="378"/>
        <v>0</v>
      </c>
      <c r="BA233" s="18">
        <f t="shared" si="378"/>
        <v>0</v>
      </c>
      <c r="BB233" s="18">
        <f t="shared" si="378"/>
        <v>0</v>
      </c>
      <c r="BC233" s="18">
        <f t="shared" si="378"/>
        <v>0</v>
      </c>
      <c r="BD233" s="18">
        <f t="shared" si="378"/>
        <v>0</v>
      </c>
      <c r="BE233" s="18">
        <f t="shared" si="378"/>
        <v>0</v>
      </c>
      <c r="BF233" s="18">
        <f t="shared" si="378"/>
        <v>0</v>
      </c>
      <c r="BG233" s="18">
        <f t="shared" si="378"/>
        <v>0</v>
      </c>
      <c r="BH233" s="18">
        <f t="shared" si="378"/>
        <v>0</v>
      </c>
      <c r="BI233" s="18">
        <f t="shared" si="378"/>
        <v>0</v>
      </c>
      <c r="BJ233" s="18">
        <f t="shared" si="378"/>
        <v>0</v>
      </c>
      <c r="BK233" s="18">
        <f t="shared" si="378"/>
        <v>0</v>
      </c>
      <c r="BL233" s="18">
        <f t="shared" si="378"/>
        <v>0</v>
      </c>
      <c r="BM233" s="18">
        <f t="shared" si="378"/>
        <v>0</v>
      </c>
      <c r="BN233" s="18">
        <f t="shared" ref="BN233:CB233" si="379">BN67*BN177</f>
        <v>0</v>
      </c>
      <c r="BO233" s="18">
        <f t="shared" si="379"/>
        <v>0</v>
      </c>
      <c r="BP233" s="18">
        <f t="shared" si="379"/>
        <v>0</v>
      </c>
      <c r="BQ233" s="18">
        <f t="shared" si="379"/>
        <v>0</v>
      </c>
      <c r="BR233" s="18">
        <f t="shared" si="379"/>
        <v>0</v>
      </c>
      <c r="BS233" s="18">
        <f t="shared" si="379"/>
        <v>0</v>
      </c>
      <c r="BT233" s="18">
        <f t="shared" si="379"/>
        <v>0</v>
      </c>
      <c r="BU233" s="18">
        <f t="shared" si="379"/>
        <v>0</v>
      </c>
      <c r="BV233" s="18">
        <f t="shared" si="379"/>
        <v>0</v>
      </c>
      <c r="BW233" s="18">
        <f t="shared" si="379"/>
        <v>0</v>
      </c>
      <c r="BX233" s="18">
        <f t="shared" si="379"/>
        <v>0</v>
      </c>
      <c r="BY233" s="18">
        <f t="shared" si="379"/>
        <v>0</v>
      </c>
      <c r="BZ233" s="18">
        <f t="shared" si="379"/>
        <v>0</v>
      </c>
      <c r="CA233" s="18">
        <f t="shared" si="379"/>
        <v>0</v>
      </c>
      <c r="CB233" s="18">
        <f t="shared" si="379"/>
        <v>0</v>
      </c>
      <c r="CC233" s="17"/>
      <c r="CD233" s="17"/>
      <c r="CE233" s="17"/>
      <c r="CH233" s="5"/>
      <c r="CI233" s="11"/>
      <c r="CJ233" s="11"/>
      <c r="CK233" s="11"/>
      <c r="CL233" s="11"/>
      <c r="CM233" s="11"/>
      <c r="CN233" s="11"/>
      <c r="CO233" s="11"/>
      <c r="CP233" s="11"/>
      <c r="CQ233" s="11"/>
      <c r="CR233" s="11"/>
      <c r="CS233" s="11"/>
      <c r="CT233" s="11"/>
      <c r="CU233" s="11"/>
      <c r="CV233" s="11"/>
      <c r="CW233" s="11"/>
      <c r="CX233" s="11"/>
      <c r="CY233" s="11"/>
      <c r="CZ233" s="11"/>
      <c r="DA233" s="11"/>
      <c r="DB233" s="11"/>
      <c r="DC233" s="11"/>
      <c r="DD233" s="11"/>
      <c r="DE233" s="11"/>
      <c r="DF233" s="11"/>
      <c r="DG233" s="11"/>
      <c r="DH233" s="11"/>
      <c r="DI233" s="11"/>
      <c r="DJ233" s="11"/>
      <c r="DK233" s="11"/>
      <c r="DL233" s="11"/>
      <c r="DM233" s="11"/>
      <c r="DN233" s="11"/>
      <c r="DO233" s="11"/>
      <c r="DP233" s="11"/>
      <c r="DQ233" s="11"/>
      <c r="DR233" s="11"/>
      <c r="DS233" s="11"/>
      <c r="DT233" s="11"/>
      <c r="DU233" s="11"/>
      <c r="DV233" s="11"/>
      <c r="DW233" s="11"/>
      <c r="DX233" s="11"/>
      <c r="DY233" s="11"/>
      <c r="DZ233" s="11"/>
      <c r="EA233" s="11"/>
      <c r="EB233" s="11"/>
      <c r="EC233" s="11"/>
      <c r="ED233" s="11"/>
      <c r="EE233" s="11"/>
      <c r="EF233" s="11"/>
      <c r="EG233" s="11"/>
      <c r="EH233" s="11"/>
      <c r="EI233" s="11"/>
      <c r="EJ233" s="11"/>
      <c r="EK233" s="11"/>
      <c r="EL233" s="11"/>
      <c r="EM233" s="11"/>
      <c r="EN233" s="11"/>
      <c r="EO233" s="11"/>
      <c r="EP233" s="11"/>
      <c r="EQ233" s="11"/>
      <c r="ER233" s="11"/>
      <c r="ES233" s="11"/>
      <c r="ET233" s="11"/>
      <c r="EU233" s="11"/>
      <c r="EV233" s="11"/>
      <c r="EW233" s="11"/>
      <c r="EX233" s="11"/>
      <c r="EY233" s="11"/>
      <c r="EZ233" s="11"/>
      <c r="FA233" s="11"/>
      <c r="FB233" s="11"/>
      <c r="FC233" s="11"/>
      <c r="FD233" s="11"/>
    </row>
    <row r="234" spans="1:256">
      <c r="A234" s="18" t="str">
        <f>A69</f>
        <v>Bond 20</v>
      </c>
      <c r="B234" s="18">
        <f t="shared" ref="B234:BM234" si="380">B69*B182</f>
        <v>0</v>
      </c>
      <c r="C234" s="18">
        <f t="shared" si="380"/>
        <v>0</v>
      </c>
      <c r="D234" s="18">
        <f t="shared" si="380"/>
        <v>0</v>
      </c>
      <c r="E234" s="18">
        <f t="shared" si="380"/>
        <v>0</v>
      </c>
      <c r="F234" s="18">
        <f t="shared" si="380"/>
        <v>0</v>
      </c>
      <c r="G234" s="18">
        <f t="shared" si="380"/>
        <v>0</v>
      </c>
      <c r="H234" s="18">
        <f t="shared" si="380"/>
        <v>0</v>
      </c>
      <c r="I234" s="18">
        <f t="shared" si="380"/>
        <v>0</v>
      </c>
      <c r="J234" s="18">
        <f t="shared" si="380"/>
        <v>0</v>
      </c>
      <c r="K234" s="18">
        <f t="shared" si="380"/>
        <v>0</v>
      </c>
      <c r="L234" s="18">
        <f t="shared" si="380"/>
        <v>0</v>
      </c>
      <c r="M234" s="18">
        <f t="shared" si="380"/>
        <v>0</v>
      </c>
      <c r="N234" s="18">
        <f t="shared" si="380"/>
        <v>0</v>
      </c>
      <c r="O234" s="18">
        <f t="shared" si="380"/>
        <v>0</v>
      </c>
      <c r="P234" s="18">
        <f t="shared" si="380"/>
        <v>0</v>
      </c>
      <c r="Q234" s="18">
        <f t="shared" si="380"/>
        <v>0</v>
      </c>
      <c r="R234" s="18">
        <f t="shared" si="380"/>
        <v>0</v>
      </c>
      <c r="S234" s="18">
        <f t="shared" si="380"/>
        <v>0</v>
      </c>
      <c r="T234" s="18">
        <f t="shared" si="380"/>
        <v>0</v>
      </c>
      <c r="U234" s="18">
        <f t="shared" si="380"/>
        <v>0</v>
      </c>
      <c r="V234" s="18">
        <f t="shared" si="380"/>
        <v>0</v>
      </c>
      <c r="W234" s="18">
        <f t="shared" si="380"/>
        <v>0</v>
      </c>
      <c r="X234" s="18">
        <f t="shared" si="380"/>
        <v>0</v>
      </c>
      <c r="Y234" s="18">
        <f t="shared" si="380"/>
        <v>0</v>
      </c>
      <c r="Z234" s="18">
        <f t="shared" si="380"/>
        <v>0</v>
      </c>
      <c r="AA234" s="18">
        <f t="shared" si="380"/>
        <v>0</v>
      </c>
      <c r="AB234" s="18">
        <f t="shared" si="380"/>
        <v>0</v>
      </c>
      <c r="AC234" s="18">
        <f t="shared" si="380"/>
        <v>0</v>
      </c>
      <c r="AD234" s="18">
        <f t="shared" si="380"/>
        <v>0</v>
      </c>
      <c r="AE234" s="18">
        <f t="shared" si="380"/>
        <v>0</v>
      </c>
      <c r="AF234" s="18">
        <f t="shared" si="380"/>
        <v>0</v>
      </c>
      <c r="AG234" s="18">
        <f t="shared" si="380"/>
        <v>0</v>
      </c>
      <c r="AH234" s="18">
        <f t="shared" si="380"/>
        <v>0</v>
      </c>
      <c r="AI234" s="18">
        <f t="shared" si="380"/>
        <v>0</v>
      </c>
      <c r="AJ234" s="18">
        <f t="shared" si="380"/>
        <v>0</v>
      </c>
      <c r="AK234" s="18">
        <f t="shared" si="380"/>
        <v>0</v>
      </c>
      <c r="AL234" s="18">
        <f t="shared" si="380"/>
        <v>0</v>
      </c>
      <c r="AM234" s="18">
        <f t="shared" si="380"/>
        <v>0</v>
      </c>
      <c r="AN234" s="18">
        <f t="shared" si="380"/>
        <v>0</v>
      </c>
      <c r="AO234" s="18">
        <f t="shared" si="380"/>
        <v>0</v>
      </c>
      <c r="AP234" s="18">
        <f t="shared" si="380"/>
        <v>0</v>
      </c>
      <c r="AQ234" s="18">
        <f t="shared" si="380"/>
        <v>0</v>
      </c>
      <c r="AR234" s="18">
        <f t="shared" si="380"/>
        <v>0</v>
      </c>
      <c r="AS234" s="18">
        <f t="shared" si="380"/>
        <v>0</v>
      </c>
      <c r="AT234" s="18">
        <f t="shared" si="380"/>
        <v>0</v>
      </c>
      <c r="AU234" s="18">
        <f t="shared" si="380"/>
        <v>0</v>
      </c>
      <c r="AV234" s="18">
        <f t="shared" si="380"/>
        <v>0</v>
      </c>
      <c r="AW234" s="18">
        <f t="shared" si="380"/>
        <v>0</v>
      </c>
      <c r="AX234" s="18">
        <f t="shared" si="380"/>
        <v>0</v>
      </c>
      <c r="AY234" s="18">
        <f t="shared" si="380"/>
        <v>0</v>
      </c>
      <c r="AZ234" s="18">
        <f t="shared" si="380"/>
        <v>0</v>
      </c>
      <c r="BA234" s="18">
        <f t="shared" si="380"/>
        <v>0</v>
      </c>
      <c r="BB234" s="18">
        <f t="shared" si="380"/>
        <v>0</v>
      </c>
      <c r="BC234" s="18">
        <f t="shared" si="380"/>
        <v>0</v>
      </c>
      <c r="BD234" s="18">
        <f t="shared" si="380"/>
        <v>0</v>
      </c>
      <c r="BE234" s="18">
        <f t="shared" si="380"/>
        <v>0</v>
      </c>
      <c r="BF234" s="18">
        <f t="shared" si="380"/>
        <v>0</v>
      </c>
      <c r="BG234" s="18">
        <f t="shared" si="380"/>
        <v>0</v>
      </c>
      <c r="BH234" s="18">
        <f t="shared" si="380"/>
        <v>0</v>
      </c>
      <c r="BI234" s="18">
        <f t="shared" si="380"/>
        <v>0</v>
      </c>
      <c r="BJ234" s="18">
        <f t="shared" si="380"/>
        <v>0</v>
      </c>
      <c r="BK234" s="18">
        <f t="shared" si="380"/>
        <v>0</v>
      </c>
      <c r="BL234" s="18">
        <f t="shared" si="380"/>
        <v>0</v>
      </c>
      <c r="BM234" s="18">
        <f t="shared" si="380"/>
        <v>0</v>
      </c>
      <c r="BN234" s="18">
        <f t="shared" ref="BN234:CB234" si="381">BN69*BN182</f>
        <v>0</v>
      </c>
      <c r="BO234" s="18">
        <f t="shared" si="381"/>
        <v>0</v>
      </c>
      <c r="BP234" s="18">
        <f t="shared" si="381"/>
        <v>0</v>
      </c>
      <c r="BQ234" s="18">
        <f t="shared" si="381"/>
        <v>0</v>
      </c>
      <c r="BR234" s="18">
        <f t="shared" si="381"/>
        <v>0</v>
      </c>
      <c r="BS234" s="18">
        <f t="shared" si="381"/>
        <v>0</v>
      </c>
      <c r="BT234" s="18">
        <f t="shared" si="381"/>
        <v>0</v>
      </c>
      <c r="BU234" s="18">
        <f t="shared" si="381"/>
        <v>0</v>
      </c>
      <c r="BV234" s="18">
        <f t="shared" si="381"/>
        <v>0</v>
      </c>
      <c r="BW234" s="18">
        <f t="shared" si="381"/>
        <v>0</v>
      </c>
      <c r="BX234" s="18">
        <f t="shared" si="381"/>
        <v>0</v>
      </c>
      <c r="BY234" s="18">
        <f t="shared" si="381"/>
        <v>0</v>
      </c>
      <c r="BZ234" s="18">
        <f t="shared" si="381"/>
        <v>0</v>
      </c>
      <c r="CA234" s="18">
        <f t="shared" si="381"/>
        <v>0</v>
      </c>
      <c r="CB234" s="18">
        <f t="shared" si="381"/>
        <v>0</v>
      </c>
      <c r="CC234" s="17"/>
      <c r="CD234" s="17"/>
      <c r="CE234" s="17"/>
      <c r="CH234" s="5"/>
      <c r="CI234" s="11"/>
      <c r="CJ234" s="11"/>
      <c r="CK234" s="11"/>
      <c r="CL234" s="11"/>
      <c r="CM234" s="11"/>
      <c r="CN234" s="11"/>
      <c r="CO234" s="11"/>
      <c r="CP234" s="11"/>
      <c r="CQ234" s="11"/>
      <c r="CR234" s="11"/>
      <c r="CS234" s="11"/>
      <c r="CT234" s="11"/>
      <c r="CU234" s="11"/>
      <c r="CV234" s="11"/>
      <c r="CW234" s="11"/>
      <c r="CX234" s="11"/>
      <c r="CY234" s="11"/>
      <c r="CZ234" s="11"/>
      <c r="DA234" s="11"/>
      <c r="DB234" s="11"/>
      <c r="DC234" s="11"/>
      <c r="DD234" s="11"/>
      <c r="DE234" s="11"/>
      <c r="DF234" s="11"/>
      <c r="DG234" s="11"/>
      <c r="DH234" s="11"/>
      <c r="DI234" s="11"/>
      <c r="DJ234" s="11"/>
      <c r="DK234" s="11"/>
      <c r="DL234" s="11"/>
      <c r="DM234" s="11"/>
      <c r="DN234" s="11"/>
      <c r="DO234" s="11"/>
      <c r="DP234" s="11"/>
      <c r="DQ234" s="11"/>
      <c r="DR234" s="11"/>
      <c r="DS234" s="11"/>
      <c r="DT234" s="11"/>
      <c r="DU234" s="11"/>
      <c r="DV234" s="11"/>
      <c r="DW234" s="11"/>
      <c r="DX234" s="11"/>
      <c r="DY234" s="11"/>
      <c r="DZ234" s="11"/>
      <c r="EA234" s="11"/>
      <c r="EB234" s="11"/>
      <c r="EC234" s="11"/>
      <c r="ED234" s="11"/>
    </row>
    <row r="235" spans="1:256">
      <c r="A235" s="18" t="str">
        <f>A71</f>
        <v>Bond 21</v>
      </c>
      <c r="B235" s="18">
        <f t="shared" ref="B235:BM235" si="382">B71*B187</f>
        <v>0</v>
      </c>
      <c r="C235" s="18">
        <f t="shared" si="382"/>
        <v>0</v>
      </c>
      <c r="D235" s="18">
        <f t="shared" si="382"/>
        <v>0</v>
      </c>
      <c r="E235" s="18">
        <f t="shared" si="382"/>
        <v>0</v>
      </c>
      <c r="F235" s="18">
        <f t="shared" si="382"/>
        <v>0</v>
      </c>
      <c r="G235" s="18">
        <f t="shared" si="382"/>
        <v>0</v>
      </c>
      <c r="H235" s="18">
        <f t="shared" si="382"/>
        <v>0</v>
      </c>
      <c r="I235" s="18">
        <f t="shared" si="382"/>
        <v>0</v>
      </c>
      <c r="J235" s="18">
        <f t="shared" si="382"/>
        <v>0</v>
      </c>
      <c r="K235" s="18">
        <f t="shared" si="382"/>
        <v>0</v>
      </c>
      <c r="L235" s="18">
        <f t="shared" si="382"/>
        <v>0</v>
      </c>
      <c r="M235" s="18">
        <f t="shared" si="382"/>
        <v>0</v>
      </c>
      <c r="N235" s="18">
        <f t="shared" si="382"/>
        <v>0</v>
      </c>
      <c r="O235" s="18">
        <f t="shared" si="382"/>
        <v>0</v>
      </c>
      <c r="P235" s="18">
        <f t="shared" si="382"/>
        <v>0</v>
      </c>
      <c r="Q235" s="18">
        <f t="shared" si="382"/>
        <v>0</v>
      </c>
      <c r="R235" s="18">
        <f t="shared" si="382"/>
        <v>0</v>
      </c>
      <c r="S235" s="18">
        <f t="shared" si="382"/>
        <v>0</v>
      </c>
      <c r="T235" s="18">
        <f t="shared" si="382"/>
        <v>0</v>
      </c>
      <c r="U235" s="18">
        <f t="shared" si="382"/>
        <v>0</v>
      </c>
      <c r="V235" s="18">
        <f t="shared" si="382"/>
        <v>0</v>
      </c>
      <c r="W235" s="18">
        <f t="shared" si="382"/>
        <v>0</v>
      </c>
      <c r="X235" s="18">
        <f t="shared" si="382"/>
        <v>0</v>
      </c>
      <c r="Y235" s="18">
        <f t="shared" si="382"/>
        <v>0</v>
      </c>
      <c r="Z235" s="18">
        <f t="shared" si="382"/>
        <v>0</v>
      </c>
      <c r="AA235" s="18">
        <f t="shared" si="382"/>
        <v>0</v>
      </c>
      <c r="AB235" s="18">
        <f t="shared" si="382"/>
        <v>0</v>
      </c>
      <c r="AC235" s="18">
        <f t="shared" si="382"/>
        <v>0</v>
      </c>
      <c r="AD235" s="18">
        <f t="shared" si="382"/>
        <v>0</v>
      </c>
      <c r="AE235" s="18">
        <f t="shared" si="382"/>
        <v>0</v>
      </c>
      <c r="AF235" s="18">
        <f t="shared" si="382"/>
        <v>0</v>
      </c>
      <c r="AG235" s="18">
        <f t="shared" si="382"/>
        <v>0</v>
      </c>
      <c r="AH235" s="18">
        <f t="shared" si="382"/>
        <v>0</v>
      </c>
      <c r="AI235" s="18">
        <f t="shared" si="382"/>
        <v>0</v>
      </c>
      <c r="AJ235" s="18">
        <f t="shared" si="382"/>
        <v>0</v>
      </c>
      <c r="AK235" s="18">
        <f t="shared" si="382"/>
        <v>0</v>
      </c>
      <c r="AL235" s="18">
        <f t="shared" si="382"/>
        <v>0</v>
      </c>
      <c r="AM235" s="18">
        <f t="shared" si="382"/>
        <v>0</v>
      </c>
      <c r="AN235" s="18">
        <f t="shared" si="382"/>
        <v>0</v>
      </c>
      <c r="AO235" s="18">
        <f t="shared" si="382"/>
        <v>0</v>
      </c>
      <c r="AP235" s="18">
        <f t="shared" si="382"/>
        <v>0</v>
      </c>
      <c r="AQ235" s="18">
        <f t="shared" si="382"/>
        <v>0</v>
      </c>
      <c r="AR235" s="18">
        <f t="shared" si="382"/>
        <v>0</v>
      </c>
      <c r="AS235" s="18">
        <f t="shared" si="382"/>
        <v>0</v>
      </c>
      <c r="AT235" s="18">
        <f t="shared" si="382"/>
        <v>0</v>
      </c>
      <c r="AU235" s="18">
        <f t="shared" si="382"/>
        <v>0</v>
      </c>
      <c r="AV235" s="18">
        <f t="shared" si="382"/>
        <v>0</v>
      </c>
      <c r="AW235" s="18">
        <f t="shared" si="382"/>
        <v>0</v>
      </c>
      <c r="AX235" s="18">
        <f t="shared" si="382"/>
        <v>0</v>
      </c>
      <c r="AY235" s="18">
        <f t="shared" si="382"/>
        <v>0</v>
      </c>
      <c r="AZ235" s="18">
        <f t="shared" si="382"/>
        <v>0</v>
      </c>
      <c r="BA235" s="18">
        <f t="shared" si="382"/>
        <v>0</v>
      </c>
      <c r="BB235" s="18">
        <f t="shared" si="382"/>
        <v>0</v>
      </c>
      <c r="BC235" s="18">
        <f t="shared" si="382"/>
        <v>0</v>
      </c>
      <c r="BD235" s="18">
        <f t="shared" si="382"/>
        <v>0</v>
      </c>
      <c r="BE235" s="18">
        <f t="shared" si="382"/>
        <v>0</v>
      </c>
      <c r="BF235" s="18">
        <f t="shared" si="382"/>
        <v>0</v>
      </c>
      <c r="BG235" s="18">
        <f t="shared" si="382"/>
        <v>0</v>
      </c>
      <c r="BH235" s="18">
        <f t="shared" si="382"/>
        <v>0</v>
      </c>
      <c r="BI235" s="18">
        <f t="shared" si="382"/>
        <v>0</v>
      </c>
      <c r="BJ235" s="18">
        <f t="shared" si="382"/>
        <v>0</v>
      </c>
      <c r="BK235" s="18">
        <f t="shared" si="382"/>
        <v>0</v>
      </c>
      <c r="BL235" s="18">
        <f t="shared" si="382"/>
        <v>0</v>
      </c>
      <c r="BM235" s="18">
        <f t="shared" si="382"/>
        <v>0</v>
      </c>
      <c r="BN235" s="18">
        <f t="shared" ref="BN235:CB235" si="383">BN71*BN187</f>
        <v>0</v>
      </c>
      <c r="BO235" s="18">
        <f t="shared" si="383"/>
        <v>0</v>
      </c>
      <c r="BP235" s="18">
        <f t="shared" si="383"/>
        <v>0</v>
      </c>
      <c r="BQ235" s="18">
        <f t="shared" si="383"/>
        <v>0</v>
      </c>
      <c r="BR235" s="18">
        <f t="shared" si="383"/>
        <v>0</v>
      </c>
      <c r="BS235" s="18">
        <f t="shared" si="383"/>
        <v>0</v>
      </c>
      <c r="BT235" s="18">
        <f t="shared" si="383"/>
        <v>0</v>
      </c>
      <c r="BU235" s="18">
        <f t="shared" si="383"/>
        <v>0</v>
      </c>
      <c r="BV235" s="18">
        <f t="shared" si="383"/>
        <v>0</v>
      </c>
      <c r="BW235" s="18">
        <f t="shared" si="383"/>
        <v>0</v>
      </c>
      <c r="BX235" s="18">
        <f t="shared" si="383"/>
        <v>0</v>
      </c>
      <c r="BY235" s="18">
        <f t="shared" si="383"/>
        <v>0</v>
      </c>
      <c r="BZ235" s="18">
        <f t="shared" si="383"/>
        <v>0</v>
      </c>
      <c r="CA235" s="18">
        <f t="shared" si="383"/>
        <v>0</v>
      </c>
      <c r="CB235" s="18">
        <f t="shared" si="383"/>
        <v>0</v>
      </c>
      <c r="CC235" s="17"/>
      <c r="CD235" s="17"/>
      <c r="CE235" s="17"/>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K235" s="5"/>
      <c r="DL235" s="5"/>
      <c r="DM235" s="5"/>
      <c r="DN235" s="5"/>
      <c r="DO235" s="5"/>
      <c r="DP235" s="5"/>
      <c r="DQ235" s="5"/>
      <c r="DR235" s="5"/>
      <c r="DS235" s="5"/>
      <c r="DT235" s="5"/>
      <c r="DU235" s="5"/>
      <c r="DV235" s="5"/>
      <c r="DW235" s="5"/>
      <c r="DX235" s="5"/>
      <c r="DY235" s="5"/>
      <c r="DZ235" s="5"/>
      <c r="EA235" s="5"/>
      <c r="EB235" s="5"/>
      <c r="EC235" s="5"/>
      <c r="ED235" s="5"/>
      <c r="EE235" s="5"/>
      <c r="EF235" s="5"/>
      <c r="EG235" s="5"/>
      <c r="EH235" s="5"/>
      <c r="EI235" s="5"/>
      <c r="EJ235" s="5"/>
      <c r="EK235" s="5"/>
      <c r="EL235" s="5"/>
      <c r="EM235" s="5"/>
      <c r="EN235" s="5"/>
      <c r="EO235" s="5"/>
      <c r="EP235" s="5"/>
      <c r="EQ235" s="5"/>
      <c r="ER235" s="5"/>
      <c r="ES235" s="5"/>
      <c r="ET235" s="5"/>
      <c r="EU235" s="5"/>
      <c r="EV235" s="5"/>
      <c r="EW235" s="5"/>
      <c r="EX235" s="5"/>
      <c r="EY235" s="5"/>
      <c r="EZ235" s="5"/>
      <c r="FA235" s="5"/>
      <c r="FB235" s="5"/>
      <c r="FC235" s="5"/>
      <c r="FD235" s="5"/>
      <c r="FE235" s="5"/>
      <c r="FF235" s="5"/>
      <c r="FG235" s="5"/>
      <c r="FH235" s="5"/>
      <c r="FI235" s="5"/>
      <c r="FJ235" s="5"/>
      <c r="FK235" s="5"/>
      <c r="FL235" s="5"/>
      <c r="FM235" s="5"/>
      <c r="FN235" s="5"/>
      <c r="FO235" s="5"/>
      <c r="FP235" s="5"/>
      <c r="FQ235" s="5"/>
      <c r="FR235" s="5"/>
      <c r="FS235" s="5"/>
      <c r="FT235" s="5"/>
      <c r="FU235" s="5"/>
      <c r="FV235" s="5"/>
      <c r="FW235" s="5"/>
      <c r="FX235" s="5"/>
      <c r="FY235" s="5"/>
      <c r="FZ235" s="5"/>
      <c r="GA235" s="5"/>
      <c r="GB235" s="5"/>
      <c r="GC235" s="5"/>
      <c r="GD235" s="5"/>
      <c r="GE235" s="5"/>
      <c r="GF235" s="5"/>
      <c r="GG235" s="5"/>
      <c r="GH235" s="5"/>
      <c r="GI235" s="5"/>
      <c r="GJ235" s="5"/>
      <c r="GK235" s="5"/>
      <c r="GL235" s="5"/>
      <c r="GM235" s="5"/>
      <c r="GN235" s="5"/>
      <c r="GO235" s="5"/>
      <c r="GP235" s="5"/>
      <c r="GQ235" s="5"/>
      <c r="GR235" s="5"/>
      <c r="GS235" s="5"/>
    </row>
    <row r="236" spans="1:256">
      <c r="A236" s="18" t="str">
        <f>A73</f>
        <v>Bond 22</v>
      </c>
      <c r="B236" s="18">
        <f>B73*B192</f>
        <v>0</v>
      </c>
      <c r="C236" s="18">
        <f t="shared" ref="C236:BN236" si="384">C73*C192</f>
        <v>0</v>
      </c>
      <c r="D236" s="18">
        <f t="shared" si="384"/>
        <v>0</v>
      </c>
      <c r="E236" s="18">
        <f t="shared" si="384"/>
        <v>0</v>
      </c>
      <c r="F236" s="18">
        <f t="shared" si="384"/>
        <v>0</v>
      </c>
      <c r="G236" s="18">
        <f t="shared" si="384"/>
        <v>0</v>
      </c>
      <c r="H236" s="18">
        <f t="shared" si="384"/>
        <v>0</v>
      </c>
      <c r="I236" s="18">
        <f t="shared" si="384"/>
        <v>0</v>
      </c>
      <c r="J236" s="18">
        <f t="shared" si="384"/>
        <v>0</v>
      </c>
      <c r="K236" s="18">
        <f t="shared" si="384"/>
        <v>0</v>
      </c>
      <c r="L236" s="18">
        <f t="shared" si="384"/>
        <v>0</v>
      </c>
      <c r="M236" s="18">
        <f t="shared" si="384"/>
        <v>0</v>
      </c>
      <c r="N236" s="18">
        <f t="shared" si="384"/>
        <v>0</v>
      </c>
      <c r="O236" s="18">
        <f t="shared" si="384"/>
        <v>0</v>
      </c>
      <c r="P236" s="18">
        <f t="shared" si="384"/>
        <v>0</v>
      </c>
      <c r="Q236" s="18">
        <f t="shared" si="384"/>
        <v>0</v>
      </c>
      <c r="R236" s="18">
        <f t="shared" si="384"/>
        <v>0</v>
      </c>
      <c r="S236" s="18">
        <f t="shared" si="384"/>
        <v>0</v>
      </c>
      <c r="T236" s="18">
        <f t="shared" si="384"/>
        <v>0</v>
      </c>
      <c r="U236" s="18">
        <f t="shared" si="384"/>
        <v>0</v>
      </c>
      <c r="V236" s="18">
        <f t="shared" si="384"/>
        <v>0</v>
      </c>
      <c r="W236" s="18">
        <f t="shared" si="384"/>
        <v>0</v>
      </c>
      <c r="X236" s="18">
        <f t="shared" si="384"/>
        <v>0</v>
      </c>
      <c r="Y236" s="18">
        <f t="shared" si="384"/>
        <v>0</v>
      </c>
      <c r="Z236" s="18">
        <f t="shared" si="384"/>
        <v>0</v>
      </c>
      <c r="AA236" s="18">
        <f t="shared" si="384"/>
        <v>0</v>
      </c>
      <c r="AB236" s="18">
        <f t="shared" si="384"/>
        <v>0</v>
      </c>
      <c r="AC236" s="18">
        <f t="shared" si="384"/>
        <v>0</v>
      </c>
      <c r="AD236" s="18">
        <f t="shared" si="384"/>
        <v>0</v>
      </c>
      <c r="AE236" s="18">
        <f t="shared" si="384"/>
        <v>0</v>
      </c>
      <c r="AF236" s="18">
        <f t="shared" si="384"/>
        <v>0</v>
      </c>
      <c r="AG236" s="18">
        <f t="shared" si="384"/>
        <v>0</v>
      </c>
      <c r="AH236" s="18">
        <f t="shared" si="384"/>
        <v>0</v>
      </c>
      <c r="AI236" s="18">
        <f t="shared" si="384"/>
        <v>0</v>
      </c>
      <c r="AJ236" s="18">
        <f t="shared" si="384"/>
        <v>0</v>
      </c>
      <c r="AK236" s="18">
        <f t="shared" si="384"/>
        <v>0</v>
      </c>
      <c r="AL236" s="18">
        <f t="shared" si="384"/>
        <v>0</v>
      </c>
      <c r="AM236" s="18">
        <f t="shared" si="384"/>
        <v>0</v>
      </c>
      <c r="AN236" s="18">
        <f t="shared" si="384"/>
        <v>0</v>
      </c>
      <c r="AO236" s="18">
        <f t="shared" si="384"/>
        <v>0</v>
      </c>
      <c r="AP236" s="18">
        <f t="shared" si="384"/>
        <v>0</v>
      </c>
      <c r="AQ236" s="18">
        <f t="shared" si="384"/>
        <v>0</v>
      </c>
      <c r="AR236" s="18">
        <f t="shared" si="384"/>
        <v>0</v>
      </c>
      <c r="AS236" s="18">
        <f t="shared" si="384"/>
        <v>0</v>
      </c>
      <c r="AT236" s="18">
        <f t="shared" si="384"/>
        <v>0</v>
      </c>
      <c r="AU236" s="18">
        <f t="shared" si="384"/>
        <v>0</v>
      </c>
      <c r="AV236" s="18">
        <f t="shared" si="384"/>
        <v>0</v>
      </c>
      <c r="AW236" s="18">
        <f t="shared" si="384"/>
        <v>0</v>
      </c>
      <c r="AX236" s="18">
        <f t="shared" si="384"/>
        <v>0</v>
      </c>
      <c r="AY236" s="18">
        <f t="shared" si="384"/>
        <v>0</v>
      </c>
      <c r="AZ236" s="18">
        <f t="shared" si="384"/>
        <v>0</v>
      </c>
      <c r="BA236" s="18">
        <f t="shared" si="384"/>
        <v>0</v>
      </c>
      <c r="BB236" s="18">
        <f t="shared" si="384"/>
        <v>0</v>
      </c>
      <c r="BC236" s="18">
        <f t="shared" si="384"/>
        <v>0</v>
      </c>
      <c r="BD236" s="18">
        <f t="shared" si="384"/>
        <v>0</v>
      </c>
      <c r="BE236" s="18">
        <f t="shared" si="384"/>
        <v>0</v>
      </c>
      <c r="BF236" s="18">
        <f t="shared" si="384"/>
        <v>0</v>
      </c>
      <c r="BG236" s="18">
        <f t="shared" si="384"/>
        <v>0</v>
      </c>
      <c r="BH236" s="18">
        <f t="shared" si="384"/>
        <v>0</v>
      </c>
      <c r="BI236" s="18">
        <f t="shared" si="384"/>
        <v>0</v>
      </c>
      <c r="BJ236" s="18">
        <f t="shared" si="384"/>
        <v>0</v>
      </c>
      <c r="BK236" s="18">
        <f t="shared" si="384"/>
        <v>0</v>
      </c>
      <c r="BL236" s="18">
        <f t="shared" si="384"/>
        <v>0</v>
      </c>
      <c r="BM236" s="18">
        <f t="shared" si="384"/>
        <v>0</v>
      </c>
      <c r="BN236" s="18">
        <f t="shared" si="384"/>
        <v>0</v>
      </c>
      <c r="BO236" s="18">
        <f t="shared" ref="BO236:CB236" si="385">BO73*BO192</f>
        <v>0</v>
      </c>
      <c r="BP236" s="18">
        <f t="shared" si="385"/>
        <v>0</v>
      </c>
      <c r="BQ236" s="18">
        <f t="shared" si="385"/>
        <v>0</v>
      </c>
      <c r="BR236" s="18">
        <f t="shared" si="385"/>
        <v>0</v>
      </c>
      <c r="BS236" s="18">
        <f t="shared" si="385"/>
        <v>0</v>
      </c>
      <c r="BT236" s="18">
        <f t="shared" si="385"/>
        <v>0</v>
      </c>
      <c r="BU236" s="18">
        <f t="shared" si="385"/>
        <v>0</v>
      </c>
      <c r="BV236" s="18">
        <f t="shared" si="385"/>
        <v>0</v>
      </c>
      <c r="BW236" s="18">
        <f t="shared" si="385"/>
        <v>0</v>
      </c>
      <c r="BX236" s="18">
        <f t="shared" si="385"/>
        <v>0</v>
      </c>
      <c r="BY236" s="18">
        <f t="shared" si="385"/>
        <v>0</v>
      </c>
      <c r="BZ236" s="18">
        <f t="shared" si="385"/>
        <v>0</v>
      </c>
      <c r="CA236" s="18">
        <f t="shared" si="385"/>
        <v>0</v>
      </c>
      <c r="CB236" s="18">
        <f t="shared" si="385"/>
        <v>0</v>
      </c>
      <c r="CC236" s="17"/>
      <c r="CD236" s="17"/>
      <c r="CE236" s="17"/>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c r="DG236" s="5"/>
      <c r="DH236" s="5"/>
      <c r="DI236" s="5"/>
      <c r="DJ236" s="5"/>
      <c r="DK236" s="5"/>
      <c r="DL236" s="5"/>
      <c r="DM236" s="5"/>
      <c r="DN236" s="5"/>
      <c r="DO236" s="5"/>
      <c r="DP236" s="5"/>
      <c r="DQ236" s="5"/>
      <c r="DR236" s="5"/>
      <c r="DS236" s="5"/>
      <c r="DT236" s="5"/>
      <c r="DU236" s="5"/>
      <c r="DV236" s="5"/>
      <c r="DW236" s="5"/>
      <c r="DX236" s="5"/>
      <c r="DY236" s="5"/>
      <c r="DZ236" s="5"/>
      <c r="EA236" s="5"/>
      <c r="EB236" s="5"/>
      <c r="EC236" s="5"/>
      <c r="ED236" s="5"/>
      <c r="EE236" s="5"/>
      <c r="EF236" s="5"/>
      <c r="EG236" s="5"/>
      <c r="EH236" s="5"/>
      <c r="EI236" s="5"/>
      <c r="EJ236" s="5"/>
      <c r="EK236" s="5"/>
      <c r="EL236" s="5"/>
      <c r="EM236" s="5"/>
      <c r="EN236" s="5"/>
      <c r="EO236" s="5"/>
      <c r="EP236" s="5"/>
      <c r="EQ236" s="5"/>
      <c r="ER236" s="5"/>
      <c r="ES236" s="5"/>
      <c r="ET236" s="5"/>
      <c r="EU236" s="5"/>
      <c r="EV236" s="5"/>
      <c r="EW236" s="5"/>
      <c r="EX236" s="5"/>
      <c r="EY236" s="5"/>
      <c r="EZ236" s="5"/>
      <c r="FA236" s="5"/>
      <c r="FB236" s="5"/>
      <c r="FC236" s="5"/>
      <c r="FD236" s="5"/>
      <c r="FE236" s="5"/>
      <c r="FF236" s="5"/>
      <c r="FG236" s="5"/>
      <c r="FH236" s="5"/>
      <c r="FI236" s="5"/>
      <c r="FJ236" s="5"/>
      <c r="FK236" s="5"/>
      <c r="FL236" s="5"/>
      <c r="FM236" s="5"/>
      <c r="FN236" s="5"/>
      <c r="FO236" s="5"/>
      <c r="FP236" s="5"/>
      <c r="FQ236" s="5"/>
      <c r="FR236" s="5"/>
      <c r="FS236" s="5"/>
      <c r="FT236" s="5"/>
      <c r="FU236" s="5"/>
      <c r="FV236" s="5"/>
      <c r="FW236" s="5"/>
      <c r="FX236" s="5"/>
      <c r="FY236" s="5"/>
      <c r="FZ236" s="5"/>
      <c r="GA236" s="5"/>
      <c r="GB236" s="5"/>
      <c r="GC236" s="5"/>
      <c r="GD236" s="5"/>
      <c r="GE236" s="5"/>
      <c r="GF236" s="5"/>
      <c r="GG236" s="5"/>
      <c r="GH236" s="5"/>
      <c r="GI236" s="5"/>
      <c r="GJ236" s="5"/>
      <c r="GK236" s="5"/>
      <c r="GL236" s="5"/>
      <c r="GM236" s="5"/>
      <c r="GN236" s="5"/>
      <c r="GO236" s="5"/>
      <c r="GP236" s="5"/>
      <c r="GQ236" s="5"/>
      <c r="GR236" s="5"/>
      <c r="GS236" s="5"/>
      <c r="GT236" s="5"/>
      <c r="GU236" s="5"/>
      <c r="GV236" s="5"/>
      <c r="GW236" s="5"/>
      <c r="GX236" s="5"/>
      <c r="GY236" s="5"/>
      <c r="GZ236" s="5"/>
      <c r="HA236" s="5"/>
      <c r="HB236" s="5"/>
      <c r="HC236" s="5"/>
      <c r="HD236" s="5"/>
      <c r="HE236" s="5"/>
      <c r="HF236" s="5"/>
      <c r="HG236" s="5"/>
      <c r="HH236" s="5"/>
      <c r="HI236" s="5"/>
      <c r="HJ236" s="5"/>
      <c r="HK236" s="5"/>
      <c r="HL236" s="5"/>
      <c r="HM236" s="5"/>
      <c r="HN236" s="5"/>
      <c r="HO236" s="5"/>
      <c r="HP236" s="5"/>
      <c r="HQ236" s="5"/>
      <c r="HR236" s="5"/>
      <c r="HS236" s="5"/>
      <c r="HT236" s="5"/>
      <c r="HU236" s="5"/>
      <c r="HV236" s="5"/>
      <c r="HW236" s="5"/>
      <c r="HX236" s="5"/>
      <c r="HY236" s="5"/>
      <c r="HZ236" s="5"/>
      <c r="IA236" s="5"/>
      <c r="IB236" s="5"/>
      <c r="IC236" s="5"/>
      <c r="ID236" s="5"/>
      <c r="IE236" s="5"/>
      <c r="IF236" s="5"/>
      <c r="IG236" s="5"/>
      <c r="IH236" s="5"/>
      <c r="II236" s="5"/>
      <c r="IJ236" s="5"/>
      <c r="IK236" s="5"/>
      <c r="IL236" s="5"/>
      <c r="IM236" s="5"/>
      <c r="IN236" s="5"/>
      <c r="IO236" s="5"/>
      <c r="IP236" s="5"/>
      <c r="IQ236" s="5"/>
      <c r="IR236" s="5"/>
      <c r="IS236" s="5"/>
      <c r="IT236" s="5"/>
      <c r="IU236" s="5"/>
      <c r="IV236" s="5"/>
    </row>
    <row r="237" spans="1:256">
      <c r="A237" s="18" t="str">
        <f>A75</f>
        <v>Bond 23</v>
      </c>
      <c r="B237" s="18">
        <f>B75*B197</f>
        <v>0</v>
      </c>
      <c r="C237" s="18">
        <f t="shared" ref="C237:BN237" si="386">C75*C197</f>
        <v>0</v>
      </c>
      <c r="D237" s="18">
        <f t="shared" si="386"/>
        <v>0</v>
      </c>
      <c r="E237" s="18">
        <f t="shared" si="386"/>
        <v>0</v>
      </c>
      <c r="F237" s="18">
        <f t="shared" si="386"/>
        <v>0</v>
      </c>
      <c r="G237" s="18">
        <f t="shared" si="386"/>
        <v>0</v>
      </c>
      <c r="H237" s="18">
        <f t="shared" si="386"/>
        <v>0</v>
      </c>
      <c r="I237" s="18">
        <f t="shared" si="386"/>
        <v>0</v>
      </c>
      <c r="J237" s="18">
        <f t="shared" si="386"/>
        <v>0</v>
      </c>
      <c r="K237" s="18">
        <f t="shared" si="386"/>
        <v>0</v>
      </c>
      <c r="L237" s="18">
        <f t="shared" si="386"/>
        <v>0</v>
      </c>
      <c r="M237" s="18">
        <f t="shared" si="386"/>
        <v>0</v>
      </c>
      <c r="N237" s="18">
        <f t="shared" si="386"/>
        <v>0</v>
      </c>
      <c r="O237" s="18">
        <f t="shared" si="386"/>
        <v>0</v>
      </c>
      <c r="P237" s="18">
        <f t="shared" si="386"/>
        <v>0</v>
      </c>
      <c r="Q237" s="18">
        <f t="shared" si="386"/>
        <v>0</v>
      </c>
      <c r="R237" s="18">
        <f t="shared" si="386"/>
        <v>0</v>
      </c>
      <c r="S237" s="18">
        <f t="shared" si="386"/>
        <v>0</v>
      </c>
      <c r="T237" s="18">
        <f t="shared" si="386"/>
        <v>0</v>
      </c>
      <c r="U237" s="18">
        <f t="shared" si="386"/>
        <v>0</v>
      </c>
      <c r="V237" s="18">
        <f t="shared" si="386"/>
        <v>0</v>
      </c>
      <c r="W237" s="18">
        <f t="shared" si="386"/>
        <v>0</v>
      </c>
      <c r="X237" s="18">
        <f t="shared" si="386"/>
        <v>0</v>
      </c>
      <c r="Y237" s="18">
        <f t="shared" si="386"/>
        <v>0</v>
      </c>
      <c r="Z237" s="18">
        <f t="shared" si="386"/>
        <v>0</v>
      </c>
      <c r="AA237" s="18">
        <f t="shared" si="386"/>
        <v>0</v>
      </c>
      <c r="AB237" s="18">
        <f t="shared" si="386"/>
        <v>0</v>
      </c>
      <c r="AC237" s="18">
        <f t="shared" si="386"/>
        <v>0</v>
      </c>
      <c r="AD237" s="18">
        <f t="shared" si="386"/>
        <v>0</v>
      </c>
      <c r="AE237" s="18">
        <f t="shared" si="386"/>
        <v>0</v>
      </c>
      <c r="AF237" s="18">
        <f t="shared" si="386"/>
        <v>0</v>
      </c>
      <c r="AG237" s="18">
        <f t="shared" si="386"/>
        <v>0</v>
      </c>
      <c r="AH237" s="18">
        <f t="shared" si="386"/>
        <v>0</v>
      </c>
      <c r="AI237" s="18">
        <f t="shared" si="386"/>
        <v>0</v>
      </c>
      <c r="AJ237" s="18">
        <f t="shared" si="386"/>
        <v>0</v>
      </c>
      <c r="AK237" s="18">
        <f t="shared" si="386"/>
        <v>0</v>
      </c>
      <c r="AL237" s="18">
        <f t="shared" si="386"/>
        <v>0</v>
      </c>
      <c r="AM237" s="18">
        <f t="shared" si="386"/>
        <v>0</v>
      </c>
      <c r="AN237" s="18">
        <f t="shared" si="386"/>
        <v>0</v>
      </c>
      <c r="AO237" s="18">
        <f t="shared" si="386"/>
        <v>0</v>
      </c>
      <c r="AP237" s="18">
        <f t="shared" si="386"/>
        <v>0</v>
      </c>
      <c r="AQ237" s="18">
        <f t="shared" si="386"/>
        <v>0</v>
      </c>
      <c r="AR237" s="18">
        <f t="shared" si="386"/>
        <v>0</v>
      </c>
      <c r="AS237" s="18">
        <f t="shared" si="386"/>
        <v>0</v>
      </c>
      <c r="AT237" s="18">
        <f t="shared" si="386"/>
        <v>0</v>
      </c>
      <c r="AU237" s="18">
        <f t="shared" si="386"/>
        <v>0</v>
      </c>
      <c r="AV237" s="18">
        <f t="shared" si="386"/>
        <v>0</v>
      </c>
      <c r="AW237" s="18">
        <f t="shared" si="386"/>
        <v>0</v>
      </c>
      <c r="AX237" s="18">
        <f t="shared" si="386"/>
        <v>0</v>
      </c>
      <c r="AY237" s="18">
        <f t="shared" si="386"/>
        <v>0</v>
      </c>
      <c r="AZ237" s="18">
        <f t="shared" si="386"/>
        <v>0</v>
      </c>
      <c r="BA237" s="18">
        <f t="shared" si="386"/>
        <v>0</v>
      </c>
      <c r="BB237" s="18">
        <f t="shared" si="386"/>
        <v>0</v>
      </c>
      <c r="BC237" s="18">
        <f t="shared" si="386"/>
        <v>0</v>
      </c>
      <c r="BD237" s="18">
        <f t="shared" si="386"/>
        <v>0</v>
      </c>
      <c r="BE237" s="18">
        <f t="shared" si="386"/>
        <v>0</v>
      </c>
      <c r="BF237" s="18">
        <f t="shared" si="386"/>
        <v>0</v>
      </c>
      <c r="BG237" s="18">
        <f t="shared" si="386"/>
        <v>0</v>
      </c>
      <c r="BH237" s="18">
        <f t="shared" si="386"/>
        <v>0</v>
      </c>
      <c r="BI237" s="18">
        <f t="shared" si="386"/>
        <v>0</v>
      </c>
      <c r="BJ237" s="18">
        <f t="shared" si="386"/>
        <v>0</v>
      </c>
      <c r="BK237" s="18">
        <f t="shared" si="386"/>
        <v>0</v>
      </c>
      <c r="BL237" s="18">
        <f t="shared" si="386"/>
        <v>0</v>
      </c>
      <c r="BM237" s="18">
        <f t="shared" si="386"/>
        <v>0</v>
      </c>
      <c r="BN237" s="18">
        <f t="shared" si="386"/>
        <v>0</v>
      </c>
      <c r="BO237" s="18">
        <f t="shared" ref="BO237:CB237" si="387">BO75*BO197</f>
        <v>0</v>
      </c>
      <c r="BP237" s="18">
        <f t="shared" si="387"/>
        <v>0</v>
      </c>
      <c r="BQ237" s="18">
        <f t="shared" si="387"/>
        <v>0</v>
      </c>
      <c r="BR237" s="18">
        <f t="shared" si="387"/>
        <v>0</v>
      </c>
      <c r="BS237" s="18">
        <f t="shared" si="387"/>
        <v>0</v>
      </c>
      <c r="BT237" s="18">
        <f t="shared" si="387"/>
        <v>0</v>
      </c>
      <c r="BU237" s="18">
        <f t="shared" si="387"/>
        <v>0</v>
      </c>
      <c r="BV237" s="18">
        <f t="shared" si="387"/>
        <v>0</v>
      </c>
      <c r="BW237" s="18">
        <f t="shared" si="387"/>
        <v>0</v>
      </c>
      <c r="BX237" s="18">
        <f t="shared" si="387"/>
        <v>0</v>
      </c>
      <c r="BY237" s="18">
        <f t="shared" si="387"/>
        <v>0</v>
      </c>
      <c r="BZ237" s="18">
        <f t="shared" si="387"/>
        <v>0</v>
      </c>
      <c r="CA237" s="18">
        <f t="shared" si="387"/>
        <v>0</v>
      </c>
      <c r="CB237" s="18">
        <f t="shared" si="387"/>
        <v>0</v>
      </c>
      <c r="CC237" s="17"/>
      <c r="CD237" s="17"/>
      <c r="CE237" s="17"/>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c r="DG237" s="5"/>
      <c r="DH237" s="5"/>
      <c r="DI237" s="5"/>
      <c r="DJ237" s="5"/>
      <c r="DK237" s="5"/>
      <c r="DL237" s="5"/>
      <c r="DM237" s="5"/>
      <c r="DN237" s="5"/>
      <c r="DO237" s="5"/>
      <c r="DP237" s="5"/>
      <c r="DQ237" s="5"/>
      <c r="DR237" s="5"/>
      <c r="DS237" s="5"/>
      <c r="DT237" s="5"/>
      <c r="DU237" s="5"/>
      <c r="DV237" s="5"/>
      <c r="DW237" s="5"/>
      <c r="DX237" s="5"/>
      <c r="DY237" s="5"/>
      <c r="DZ237" s="5"/>
      <c r="EA237" s="5"/>
      <c r="EB237" s="5"/>
      <c r="EC237" s="5"/>
      <c r="ED237" s="5"/>
      <c r="EE237" s="5"/>
      <c r="EF237" s="5"/>
      <c r="EG237" s="5"/>
      <c r="EH237" s="5"/>
      <c r="EI237" s="5"/>
      <c r="EJ237" s="5"/>
      <c r="EK237" s="5"/>
      <c r="EL237" s="5"/>
      <c r="EM237" s="5"/>
      <c r="EN237" s="5"/>
      <c r="EO237" s="5"/>
      <c r="EP237" s="5"/>
      <c r="EQ237" s="5"/>
      <c r="ER237" s="5"/>
      <c r="ES237" s="5"/>
      <c r="ET237" s="5"/>
      <c r="EU237" s="5"/>
      <c r="EV237" s="5"/>
      <c r="EW237" s="5"/>
      <c r="EX237" s="5"/>
      <c r="EY237" s="5"/>
      <c r="EZ237" s="5"/>
      <c r="FA237" s="5"/>
      <c r="FB237" s="5"/>
      <c r="FC237" s="5"/>
      <c r="FD237" s="5"/>
      <c r="FE237" s="5"/>
      <c r="FF237" s="5"/>
      <c r="FG237" s="5"/>
      <c r="FH237" s="5"/>
      <c r="FI237" s="5"/>
      <c r="FJ237" s="5"/>
      <c r="FK237" s="5"/>
      <c r="FL237" s="5"/>
      <c r="FM237" s="5"/>
      <c r="FN237" s="5"/>
      <c r="FO237" s="5"/>
      <c r="FP237" s="5"/>
      <c r="FQ237" s="5"/>
      <c r="FR237" s="5"/>
      <c r="FS237" s="5"/>
      <c r="FT237" s="5"/>
      <c r="FU237" s="5"/>
      <c r="FV237" s="5"/>
      <c r="FW237" s="5"/>
      <c r="FX237" s="5"/>
      <c r="FY237" s="5"/>
      <c r="FZ237" s="5"/>
      <c r="GA237" s="5"/>
      <c r="GB237" s="5"/>
      <c r="GC237" s="5"/>
      <c r="GD237" s="5"/>
      <c r="GE237" s="5"/>
      <c r="GF237" s="5"/>
      <c r="GG237" s="5"/>
      <c r="GH237" s="5"/>
      <c r="GI237" s="5"/>
      <c r="GJ237" s="5"/>
      <c r="GK237" s="5"/>
      <c r="GL237" s="5"/>
      <c r="GM237" s="5"/>
      <c r="GN237" s="5"/>
      <c r="GO237" s="5"/>
      <c r="GP237" s="5"/>
      <c r="GQ237" s="5"/>
      <c r="GR237" s="5"/>
      <c r="GS237" s="5"/>
      <c r="GT237" s="5"/>
      <c r="GU237" s="5"/>
      <c r="GV237" s="5"/>
      <c r="GW237" s="5"/>
      <c r="GX237" s="5"/>
      <c r="GY237" s="5"/>
      <c r="GZ237" s="5"/>
      <c r="HA237" s="5"/>
      <c r="HB237" s="5"/>
      <c r="HC237" s="5"/>
      <c r="HD237" s="5"/>
      <c r="HE237" s="5"/>
      <c r="HF237" s="5"/>
      <c r="HG237" s="5"/>
      <c r="HH237" s="5"/>
      <c r="HI237" s="5"/>
      <c r="HJ237" s="5"/>
      <c r="HK237" s="5"/>
      <c r="HL237" s="5"/>
      <c r="HM237" s="5"/>
      <c r="HN237" s="5"/>
      <c r="HO237" s="5"/>
      <c r="HP237" s="5"/>
      <c r="HQ237" s="5"/>
      <c r="HR237" s="5"/>
      <c r="HS237" s="5"/>
      <c r="HT237" s="5"/>
      <c r="HU237" s="5"/>
      <c r="HV237" s="5"/>
      <c r="HW237" s="5"/>
      <c r="HX237" s="5"/>
      <c r="HY237" s="5"/>
      <c r="HZ237" s="5"/>
      <c r="IA237" s="5"/>
      <c r="IB237" s="5"/>
      <c r="IC237" s="5"/>
      <c r="ID237" s="5"/>
      <c r="IE237" s="5"/>
      <c r="IF237" s="5"/>
      <c r="IG237" s="5"/>
      <c r="IH237" s="5"/>
      <c r="II237" s="5"/>
      <c r="IJ237" s="5"/>
      <c r="IK237" s="5"/>
      <c r="IL237" s="5"/>
      <c r="IM237" s="5"/>
      <c r="IN237" s="5"/>
      <c r="IO237" s="5"/>
      <c r="IP237" s="5"/>
      <c r="IQ237" s="5"/>
      <c r="IR237" s="5"/>
      <c r="IS237" s="5"/>
      <c r="IT237" s="5"/>
      <c r="IU237" s="5"/>
      <c r="IV237" s="5"/>
    </row>
    <row r="238" spans="1:256">
      <c r="A238" s="18" t="str">
        <f>A77</f>
        <v>Bond 24</v>
      </c>
      <c r="B238" s="18">
        <f>B77*B202</f>
        <v>0</v>
      </c>
      <c r="C238" s="18">
        <f t="shared" ref="C238:BN238" si="388">C77*C202</f>
        <v>0</v>
      </c>
      <c r="D238" s="18">
        <f t="shared" si="388"/>
        <v>0</v>
      </c>
      <c r="E238" s="18">
        <f t="shared" si="388"/>
        <v>0</v>
      </c>
      <c r="F238" s="18">
        <f t="shared" si="388"/>
        <v>0</v>
      </c>
      <c r="G238" s="18">
        <f t="shared" si="388"/>
        <v>0</v>
      </c>
      <c r="H238" s="18">
        <f t="shared" si="388"/>
        <v>0</v>
      </c>
      <c r="I238" s="18">
        <f t="shared" si="388"/>
        <v>0</v>
      </c>
      <c r="J238" s="18">
        <f t="shared" si="388"/>
        <v>0</v>
      </c>
      <c r="K238" s="18">
        <f t="shared" si="388"/>
        <v>0</v>
      </c>
      <c r="L238" s="18">
        <f t="shared" si="388"/>
        <v>0</v>
      </c>
      <c r="M238" s="18">
        <f t="shared" si="388"/>
        <v>0</v>
      </c>
      <c r="N238" s="18">
        <f t="shared" si="388"/>
        <v>0</v>
      </c>
      <c r="O238" s="18">
        <f t="shared" si="388"/>
        <v>0</v>
      </c>
      <c r="P238" s="18">
        <f t="shared" si="388"/>
        <v>0</v>
      </c>
      <c r="Q238" s="18">
        <f t="shared" si="388"/>
        <v>0</v>
      </c>
      <c r="R238" s="18">
        <f t="shared" si="388"/>
        <v>0</v>
      </c>
      <c r="S238" s="18">
        <f t="shared" si="388"/>
        <v>0</v>
      </c>
      <c r="T238" s="18">
        <f t="shared" si="388"/>
        <v>0</v>
      </c>
      <c r="U238" s="18">
        <f t="shared" si="388"/>
        <v>0</v>
      </c>
      <c r="V238" s="18">
        <f t="shared" si="388"/>
        <v>0</v>
      </c>
      <c r="W238" s="18">
        <f t="shared" si="388"/>
        <v>0</v>
      </c>
      <c r="X238" s="18">
        <f t="shared" si="388"/>
        <v>0</v>
      </c>
      <c r="Y238" s="18">
        <f t="shared" si="388"/>
        <v>0</v>
      </c>
      <c r="Z238" s="18">
        <f t="shared" si="388"/>
        <v>0</v>
      </c>
      <c r="AA238" s="18">
        <f t="shared" si="388"/>
        <v>0</v>
      </c>
      <c r="AB238" s="18">
        <f t="shared" si="388"/>
        <v>0</v>
      </c>
      <c r="AC238" s="18">
        <f t="shared" si="388"/>
        <v>0</v>
      </c>
      <c r="AD238" s="18">
        <f t="shared" si="388"/>
        <v>0</v>
      </c>
      <c r="AE238" s="18">
        <f t="shared" si="388"/>
        <v>0</v>
      </c>
      <c r="AF238" s="18">
        <f t="shared" si="388"/>
        <v>0</v>
      </c>
      <c r="AG238" s="18">
        <f t="shared" si="388"/>
        <v>0</v>
      </c>
      <c r="AH238" s="18">
        <f t="shared" si="388"/>
        <v>0</v>
      </c>
      <c r="AI238" s="18">
        <f t="shared" si="388"/>
        <v>0</v>
      </c>
      <c r="AJ238" s="18">
        <f t="shared" si="388"/>
        <v>0</v>
      </c>
      <c r="AK238" s="18">
        <f t="shared" si="388"/>
        <v>0</v>
      </c>
      <c r="AL238" s="18">
        <f t="shared" si="388"/>
        <v>0</v>
      </c>
      <c r="AM238" s="18">
        <f t="shared" si="388"/>
        <v>0</v>
      </c>
      <c r="AN238" s="18">
        <f t="shared" si="388"/>
        <v>0</v>
      </c>
      <c r="AO238" s="18">
        <f t="shared" si="388"/>
        <v>0</v>
      </c>
      <c r="AP238" s="18">
        <f t="shared" si="388"/>
        <v>0</v>
      </c>
      <c r="AQ238" s="18">
        <f t="shared" si="388"/>
        <v>0</v>
      </c>
      <c r="AR238" s="18">
        <f t="shared" si="388"/>
        <v>0</v>
      </c>
      <c r="AS238" s="18">
        <f t="shared" si="388"/>
        <v>0</v>
      </c>
      <c r="AT238" s="18">
        <f t="shared" si="388"/>
        <v>0</v>
      </c>
      <c r="AU238" s="18">
        <f t="shared" si="388"/>
        <v>0</v>
      </c>
      <c r="AV238" s="18">
        <f t="shared" si="388"/>
        <v>0</v>
      </c>
      <c r="AW238" s="18">
        <f t="shared" si="388"/>
        <v>0</v>
      </c>
      <c r="AX238" s="18">
        <f t="shared" si="388"/>
        <v>0</v>
      </c>
      <c r="AY238" s="18">
        <f t="shared" si="388"/>
        <v>0</v>
      </c>
      <c r="AZ238" s="18">
        <f t="shared" si="388"/>
        <v>0</v>
      </c>
      <c r="BA238" s="18">
        <f t="shared" si="388"/>
        <v>0</v>
      </c>
      <c r="BB238" s="18">
        <f t="shared" si="388"/>
        <v>0</v>
      </c>
      <c r="BC238" s="18">
        <f t="shared" si="388"/>
        <v>0</v>
      </c>
      <c r="BD238" s="18">
        <f t="shared" si="388"/>
        <v>0</v>
      </c>
      <c r="BE238" s="18">
        <f t="shared" si="388"/>
        <v>0</v>
      </c>
      <c r="BF238" s="18">
        <f t="shared" si="388"/>
        <v>0</v>
      </c>
      <c r="BG238" s="18">
        <f t="shared" si="388"/>
        <v>0</v>
      </c>
      <c r="BH238" s="18">
        <f t="shared" si="388"/>
        <v>0</v>
      </c>
      <c r="BI238" s="18">
        <f t="shared" si="388"/>
        <v>0</v>
      </c>
      <c r="BJ238" s="18">
        <f t="shared" si="388"/>
        <v>0</v>
      </c>
      <c r="BK238" s="18">
        <f t="shared" si="388"/>
        <v>0</v>
      </c>
      <c r="BL238" s="18">
        <f t="shared" si="388"/>
        <v>0</v>
      </c>
      <c r="BM238" s="18">
        <f t="shared" si="388"/>
        <v>0</v>
      </c>
      <c r="BN238" s="18">
        <f t="shared" si="388"/>
        <v>0</v>
      </c>
      <c r="BO238" s="18">
        <f t="shared" ref="BO238:CB238" si="389">BO77*BO202</f>
        <v>0</v>
      </c>
      <c r="BP238" s="18">
        <f t="shared" si="389"/>
        <v>0</v>
      </c>
      <c r="BQ238" s="18">
        <f t="shared" si="389"/>
        <v>0</v>
      </c>
      <c r="BR238" s="18">
        <f t="shared" si="389"/>
        <v>0</v>
      </c>
      <c r="BS238" s="18">
        <f t="shared" si="389"/>
        <v>0</v>
      </c>
      <c r="BT238" s="18">
        <f t="shared" si="389"/>
        <v>0</v>
      </c>
      <c r="BU238" s="18">
        <f t="shared" si="389"/>
        <v>0</v>
      </c>
      <c r="BV238" s="18">
        <f t="shared" si="389"/>
        <v>0</v>
      </c>
      <c r="BW238" s="18">
        <f t="shared" si="389"/>
        <v>0</v>
      </c>
      <c r="BX238" s="18">
        <f t="shared" si="389"/>
        <v>0</v>
      </c>
      <c r="BY238" s="18">
        <f t="shared" si="389"/>
        <v>0</v>
      </c>
      <c r="BZ238" s="18">
        <f t="shared" si="389"/>
        <v>0</v>
      </c>
      <c r="CA238" s="18">
        <f t="shared" si="389"/>
        <v>0</v>
      </c>
      <c r="CB238" s="18">
        <f t="shared" si="389"/>
        <v>0</v>
      </c>
      <c r="CC238" s="17"/>
      <c r="CD238" s="17"/>
      <c r="CE238" s="17"/>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c r="DG238" s="5"/>
      <c r="DH238" s="5"/>
      <c r="DI238" s="5"/>
      <c r="DJ238" s="5"/>
      <c r="DK238" s="5"/>
      <c r="DL238" s="5"/>
      <c r="DM238" s="5"/>
      <c r="DN238" s="5"/>
      <c r="DO238" s="5"/>
      <c r="DP238" s="5"/>
      <c r="DQ238" s="5"/>
      <c r="DR238" s="5"/>
      <c r="DS238" s="5"/>
      <c r="DT238" s="5"/>
      <c r="DU238" s="5"/>
      <c r="DV238" s="5"/>
      <c r="DW238" s="5"/>
      <c r="DX238" s="5"/>
      <c r="DY238" s="5"/>
      <c r="DZ238" s="5"/>
      <c r="EA238" s="5"/>
      <c r="EB238" s="5"/>
      <c r="EC238" s="5"/>
      <c r="ED238" s="5"/>
      <c r="EE238" s="5"/>
      <c r="EF238" s="5"/>
      <c r="EG238" s="5"/>
      <c r="EH238" s="5"/>
      <c r="EI238" s="5"/>
      <c r="EJ238" s="5"/>
      <c r="EK238" s="5"/>
      <c r="EL238" s="5"/>
      <c r="EM238" s="5"/>
      <c r="EN238" s="5"/>
      <c r="EO238" s="5"/>
      <c r="EP238" s="5"/>
      <c r="EQ238" s="5"/>
      <c r="ER238" s="5"/>
      <c r="ES238" s="5"/>
      <c r="ET238" s="5"/>
      <c r="EU238" s="5"/>
      <c r="EV238" s="5"/>
      <c r="EW238" s="5"/>
      <c r="EX238" s="5"/>
      <c r="EY238" s="5"/>
      <c r="EZ238" s="5"/>
      <c r="FA238" s="5"/>
      <c r="FB238" s="5"/>
      <c r="FC238" s="5"/>
      <c r="FD238" s="5"/>
      <c r="FE238" s="5"/>
      <c r="FF238" s="5"/>
      <c r="FG238" s="5"/>
      <c r="FH238" s="5"/>
      <c r="FI238" s="5"/>
      <c r="FJ238" s="5"/>
      <c r="FK238" s="5"/>
      <c r="FL238" s="5"/>
      <c r="FM238" s="5"/>
      <c r="FN238" s="5"/>
      <c r="FO238" s="5"/>
      <c r="FP238" s="5"/>
      <c r="FQ238" s="5"/>
      <c r="FR238" s="5"/>
      <c r="FS238" s="5"/>
      <c r="FT238" s="5"/>
      <c r="FU238" s="5"/>
      <c r="FV238" s="5"/>
      <c r="FW238" s="5"/>
      <c r="FX238" s="5"/>
      <c r="FY238" s="5"/>
      <c r="FZ238" s="5"/>
      <c r="GA238" s="5"/>
      <c r="GB238" s="5"/>
      <c r="GC238" s="5"/>
      <c r="GD238" s="5"/>
      <c r="GE238" s="5"/>
      <c r="GF238" s="5"/>
      <c r="GG238" s="5"/>
      <c r="GH238" s="5"/>
      <c r="GI238" s="5"/>
      <c r="GJ238" s="5"/>
      <c r="GK238" s="5"/>
      <c r="GL238" s="5"/>
      <c r="GM238" s="5"/>
      <c r="GN238" s="5"/>
      <c r="GO238" s="5"/>
      <c r="GP238" s="5"/>
      <c r="GQ238" s="5"/>
      <c r="GR238" s="5"/>
      <c r="GS238" s="5"/>
      <c r="GT238" s="5"/>
      <c r="GU238" s="5"/>
      <c r="GV238" s="5"/>
      <c r="GW238" s="5"/>
      <c r="GX238" s="5"/>
      <c r="GY238" s="5"/>
      <c r="GZ238" s="5"/>
      <c r="HA238" s="5"/>
      <c r="HB238" s="5"/>
      <c r="HC238" s="5"/>
      <c r="HD238" s="5"/>
      <c r="HE238" s="5"/>
      <c r="HF238" s="5"/>
      <c r="HG238" s="5"/>
      <c r="HH238" s="5"/>
      <c r="HI238" s="5"/>
      <c r="HJ238" s="5"/>
      <c r="HK238" s="5"/>
      <c r="HL238" s="5"/>
      <c r="HM238" s="5"/>
      <c r="HN238" s="5"/>
      <c r="HO238" s="5"/>
      <c r="HP238" s="5"/>
      <c r="HQ238" s="5"/>
      <c r="HR238" s="5"/>
      <c r="HS238" s="5"/>
      <c r="HT238" s="5"/>
      <c r="HU238" s="5"/>
      <c r="HV238" s="5"/>
      <c r="HW238" s="5"/>
      <c r="HX238" s="5"/>
      <c r="HY238" s="5"/>
      <c r="HZ238" s="5"/>
      <c r="IA238" s="5"/>
      <c r="IB238" s="5"/>
      <c r="IC238" s="5"/>
      <c r="ID238" s="5"/>
      <c r="IE238" s="5"/>
      <c r="IF238" s="5"/>
      <c r="IG238" s="5"/>
      <c r="IH238" s="5"/>
      <c r="II238" s="5"/>
      <c r="IJ238" s="5"/>
      <c r="IK238" s="5"/>
      <c r="IL238" s="5"/>
      <c r="IM238" s="5"/>
      <c r="IN238" s="5"/>
      <c r="IO238" s="5"/>
      <c r="IP238" s="5"/>
      <c r="IQ238" s="5"/>
      <c r="IR238" s="5"/>
      <c r="IS238" s="5"/>
      <c r="IT238" s="5"/>
      <c r="IU238" s="5"/>
      <c r="IV238" s="5"/>
    </row>
    <row r="239" spans="1:256">
      <c r="A239" s="18" t="str">
        <f>A79</f>
        <v>Bond 25</v>
      </c>
      <c r="B239" s="18">
        <f>B79*B207</f>
        <v>0</v>
      </c>
      <c r="C239" s="18">
        <f t="shared" ref="C239:BN239" si="390">C79*C207</f>
        <v>0</v>
      </c>
      <c r="D239" s="18">
        <f t="shared" si="390"/>
        <v>0</v>
      </c>
      <c r="E239" s="18">
        <f t="shared" si="390"/>
        <v>0</v>
      </c>
      <c r="F239" s="18">
        <f t="shared" si="390"/>
        <v>0</v>
      </c>
      <c r="G239" s="18">
        <f t="shared" si="390"/>
        <v>0</v>
      </c>
      <c r="H239" s="18">
        <f t="shared" si="390"/>
        <v>0</v>
      </c>
      <c r="I239" s="18">
        <f t="shared" si="390"/>
        <v>0</v>
      </c>
      <c r="J239" s="18">
        <f t="shared" si="390"/>
        <v>0</v>
      </c>
      <c r="K239" s="18">
        <f t="shared" si="390"/>
        <v>0</v>
      </c>
      <c r="L239" s="18">
        <f t="shared" si="390"/>
        <v>0</v>
      </c>
      <c r="M239" s="18">
        <f t="shared" si="390"/>
        <v>0</v>
      </c>
      <c r="N239" s="18">
        <f t="shared" si="390"/>
        <v>0</v>
      </c>
      <c r="O239" s="18">
        <f t="shared" si="390"/>
        <v>0</v>
      </c>
      <c r="P239" s="18">
        <f t="shared" si="390"/>
        <v>0</v>
      </c>
      <c r="Q239" s="18">
        <f t="shared" si="390"/>
        <v>0</v>
      </c>
      <c r="R239" s="18">
        <f t="shared" si="390"/>
        <v>0</v>
      </c>
      <c r="S239" s="18">
        <f t="shared" si="390"/>
        <v>0</v>
      </c>
      <c r="T239" s="18">
        <f t="shared" si="390"/>
        <v>0</v>
      </c>
      <c r="U239" s="18">
        <f t="shared" si="390"/>
        <v>0</v>
      </c>
      <c r="V239" s="18">
        <f t="shared" si="390"/>
        <v>0</v>
      </c>
      <c r="W239" s="18">
        <f t="shared" si="390"/>
        <v>0</v>
      </c>
      <c r="X239" s="18">
        <f t="shared" si="390"/>
        <v>0</v>
      </c>
      <c r="Y239" s="18">
        <f t="shared" si="390"/>
        <v>0</v>
      </c>
      <c r="Z239" s="18">
        <f t="shared" si="390"/>
        <v>0</v>
      </c>
      <c r="AA239" s="18">
        <f t="shared" si="390"/>
        <v>0</v>
      </c>
      <c r="AB239" s="18">
        <f t="shared" si="390"/>
        <v>0</v>
      </c>
      <c r="AC239" s="18">
        <f t="shared" si="390"/>
        <v>0</v>
      </c>
      <c r="AD239" s="18">
        <f t="shared" si="390"/>
        <v>0</v>
      </c>
      <c r="AE239" s="18">
        <f t="shared" si="390"/>
        <v>0</v>
      </c>
      <c r="AF239" s="18">
        <f t="shared" si="390"/>
        <v>0</v>
      </c>
      <c r="AG239" s="18">
        <f t="shared" si="390"/>
        <v>0</v>
      </c>
      <c r="AH239" s="18">
        <f t="shared" si="390"/>
        <v>0</v>
      </c>
      <c r="AI239" s="18">
        <f t="shared" si="390"/>
        <v>0</v>
      </c>
      <c r="AJ239" s="18">
        <f t="shared" si="390"/>
        <v>0</v>
      </c>
      <c r="AK239" s="18">
        <f t="shared" si="390"/>
        <v>0</v>
      </c>
      <c r="AL239" s="18">
        <f t="shared" si="390"/>
        <v>0</v>
      </c>
      <c r="AM239" s="18">
        <f t="shared" si="390"/>
        <v>0</v>
      </c>
      <c r="AN239" s="18">
        <f t="shared" si="390"/>
        <v>0</v>
      </c>
      <c r="AO239" s="18">
        <f t="shared" si="390"/>
        <v>0</v>
      </c>
      <c r="AP239" s="18">
        <f t="shared" si="390"/>
        <v>0</v>
      </c>
      <c r="AQ239" s="18">
        <f t="shared" si="390"/>
        <v>0</v>
      </c>
      <c r="AR239" s="18">
        <f t="shared" si="390"/>
        <v>0</v>
      </c>
      <c r="AS239" s="18">
        <f t="shared" si="390"/>
        <v>0</v>
      </c>
      <c r="AT239" s="18">
        <f t="shared" si="390"/>
        <v>0</v>
      </c>
      <c r="AU239" s="18">
        <f t="shared" si="390"/>
        <v>0</v>
      </c>
      <c r="AV239" s="18">
        <f t="shared" si="390"/>
        <v>0</v>
      </c>
      <c r="AW239" s="18">
        <f t="shared" si="390"/>
        <v>0</v>
      </c>
      <c r="AX239" s="18">
        <f t="shared" si="390"/>
        <v>0</v>
      </c>
      <c r="AY239" s="18">
        <f t="shared" si="390"/>
        <v>0</v>
      </c>
      <c r="AZ239" s="18">
        <f t="shared" si="390"/>
        <v>0</v>
      </c>
      <c r="BA239" s="18">
        <f t="shared" si="390"/>
        <v>0</v>
      </c>
      <c r="BB239" s="18">
        <f t="shared" si="390"/>
        <v>0</v>
      </c>
      <c r="BC239" s="18">
        <f t="shared" si="390"/>
        <v>0</v>
      </c>
      <c r="BD239" s="18">
        <f t="shared" si="390"/>
        <v>0</v>
      </c>
      <c r="BE239" s="18">
        <f t="shared" si="390"/>
        <v>0</v>
      </c>
      <c r="BF239" s="18">
        <f t="shared" si="390"/>
        <v>0</v>
      </c>
      <c r="BG239" s="18">
        <f t="shared" si="390"/>
        <v>0</v>
      </c>
      <c r="BH239" s="18">
        <f t="shared" si="390"/>
        <v>0</v>
      </c>
      <c r="BI239" s="18">
        <f t="shared" si="390"/>
        <v>0</v>
      </c>
      <c r="BJ239" s="18">
        <f t="shared" si="390"/>
        <v>0</v>
      </c>
      <c r="BK239" s="18">
        <f t="shared" si="390"/>
        <v>0</v>
      </c>
      <c r="BL239" s="18">
        <f t="shared" si="390"/>
        <v>0</v>
      </c>
      <c r="BM239" s="18">
        <f t="shared" si="390"/>
        <v>0</v>
      </c>
      <c r="BN239" s="18">
        <f t="shared" si="390"/>
        <v>0</v>
      </c>
      <c r="BO239" s="18">
        <f t="shared" ref="BO239:CB239" si="391">BO79*BO207</f>
        <v>0</v>
      </c>
      <c r="BP239" s="18">
        <f t="shared" si="391"/>
        <v>0</v>
      </c>
      <c r="BQ239" s="18">
        <f t="shared" si="391"/>
        <v>0</v>
      </c>
      <c r="BR239" s="18">
        <f t="shared" si="391"/>
        <v>0</v>
      </c>
      <c r="BS239" s="18">
        <f t="shared" si="391"/>
        <v>0</v>
      </c>
      <c r="BT239" s="18">
        <f t="shared" si="391"/>
        <v>0</v>
      </c>
      <c r="BU239" s="18">
        <f t="shared" si="391"/>
        <v>0</v>
      </c>
      <c r="BV239" s="18">
        <f t="shared" si="391"/>
        <v>0</v>
      </c>
      <c r="BW239" s="18">
        <f t="shared" si="391"/>
        <v>0</v>
      </c>
      <c r="BX239" s="18">
        <f t="shared" si="391"/>
        <v>0</v>
      </c>
      <c r="BY239" s="18">
        <f t="shared" si="391"/>
        <v>0</v>
      </c>
      <c r="BZ239" s="18">
        <f t="shared" si="391"/>
        <v>0</v>
      </c>
      <c r="CA239" s="18">
        <f t="shared" si="391"/>
        <v>0</v>
      </c>
      <c r="CB239" s="18">
        <f t="shared" si="391"/>
        <v>0</v>
      </c>
      <c r="CC239" s="17"/>
      <c r="CD239" s="17"/>
      <c r="CE239" s="17"/>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c r="DG239" s="5"/>
      <c r="DH239" s="5"/>
      <c r="DI239" s="5"/>
      <c r="DJ239" s="5"/>
      <c r="DK239" s="5"/>
      <c r="DL239" s="5"/>
      <c r="DM239" s="5"/>
      <c r="DN239" s="5"/>
      <c r="DO239" s="5"/>
      <c r="DP239" s="5"/>
      <c r="DQ239" s="5"/>
      <c r="DR239" s="5"/>
      <c r="DS239" s="5"/>
      <c r="DT239" s="5"/>
      <c r="DU239" s="5"/>
      <c r="DV239" s="5"/>
      <c r="DW239" s="5"/>
      <c r="DX239" s="5"/>
      <c r="DY239" s="5"/>
      <c r="DZ239" s="5"/>
      <c r="EA239" s="5"/>
      <c r="EB239" s="5"/>
      <c r="EC239" s="5"/>
      <c r="ED239" s="5"/>
      <c r="EE239" s="5"/>
      <c r="EF239" s="5"/>
      <c r="EG239" s="5"/>
      <c r="EH239" s="5"/>
      <c r="EI239" s="5"/>
      <c r="EJ239" s="5"/>
      <c r="EK239" s="5"/>
      <c r="EL239" s="5"/>
      <c r="EM239" s="5"/>
      <c r="EN239" s="5"/>
      <c r="EO239" s="5"/>
      <c r="EP239" s="5"/>
      <c r="EQ239" s="5"/>
      <c r="ER239" s="5"/>
      <c r="ES239" s="5"/>
      <c r="ET239" s="5"/>
      <c r="EU239" s="5"/>
      <c r="EV239" s="5"/>
      <c r="EW239" s="5"/>
      <c r="EX239" s="5"/>
      <c r="EY239" s="5"/>
      <c r="EZ239" s="5"/>
      <c r="FA239" s="5"/>
      <c r="FB239" s="5"/>
      <c r="FC239" s="5"/>
      <c r="FD239" s="5"/>
      <c r="FE239" s="5"/>
      <c r="FF239" s="5"/>
      <c r="FG239" s="5"/>
      <c r="FH239" s="5"/>
      <c r="FI239" s="5"/>
      <c r="FJ239" s="5"/>
      <c r="FK239" s="5"/>
      <c r="FL239" s="5"/>
      <c r="FM239" s="5"/>
      <c r="FN239" s="5"/>
      <c r="FO239" s="5"/>
      <c r="FP239" s="5"/>
      <c r="FQ239" s="5"/>
      <c r="FR239" s="5"/>
      <c r="FS239" s="5"/>
      <c r="FT239" s="5"/>
      <c r="FU239" s="5"/>
      <c r="FV239" s="5"/>
      <c r="FW239" s="5"/>
      <c r="FX239" s="5"/>
      <c r="FY239" s="5"/>
      <c r="FZ239" s="5"/>
      <c r="GA239" s="5"/>
      <c r="GB239" s="5"/>
      <c r="GC239" s="5"/>
      <c r="GD239" s="5"/>
      <c r="GE239" s="5"/>
      <c r="GF239" s="5"/>
      <c r="GG239" s="5"/>
      <c r="GH239" s="5"/>
      <c r="GI239" s="5"/>
      <c r="GJ239" s="5"/>
      <c r="GK239" s="5"/>
      <c r="GL239" s="5"/>
      <c r="GM239" s="5"/>
      <c r="GN239" s="5"/>
      <c r="GO239" s="5"/>
      <c r="GP239" s="5"/>
      <c r="GQ239" s="5"/>
      <c r="GR239" s="5"/>
      <c r="GS239" s="5"/>
      <c r="GT239" s="5"/>
      <c r="GU239" s="5"/>
      <c r="GV239" s="5"/>
      <c r="GW239" s="5"/>
      <c r="GX239" s="5"/>
      <c r="GY239" s="5"/>
      <c r="GZ239" s="5"/>
      <c r="HA239" s="5"/>
      <c r="HB239" s="5"/>
      <c r="HC239" s="5"/>
      <c r="HD239" s="5"/>
      <c r="HE239" s="5"/>
      <c r="HF239" s="5"/>
      <c r="HG239" s="5"/>
      <c r="HH239" s="5"/>
      <c r="HI239" s="5"/>
      <c r="HJ239" s="5"/>
      <c r="HK239" s="5"/>
      <c r="HL239" s="5"/>
      <c r="HM239" s="5"/>
      <c r="HN239" s="5"/>
      <c r="HO239" s="5"/>
      <c r="HP239" s="5"/>
      <c r="HQ239" s="5"/>
      <c r="HR239" s="5"/>
      <c r="HS239" s="5"/>
      <c r="HT239" s="5"/>
      <c r="HU239" s="5"/>
      <c r="HV239" s="5"/>
      <c r="HW239" s="5"/>
      <c r="HX239" s="5"/>
      <c r="HY239" s="5"/>
      <c r="HZ239" s="5"/>
      <c r="IA239" s="5"/>
      <c r="IB239" s="5"/>
      <c r="IC239" s="5"/>
      <c r="ID239" s="5"/>
      <c r="IE239" s="5"/>
      <c r="IF239" s="5"/>
      <c r="IG239" s="5"/>
      <c r="IH239" s="5"/>
      <c r="II239" s="5"/>
      <c r="IJ239" s="5"/>
      <c r="IK239" s="5"/>
      <c r="IL239" s="5"/>
      <c r="IM239" s="5"/>
      <c r="IN239" s="5"/>
      <c r="IO239" s="5"/>
      <c r="IP239" s="5"/>
      <c r="IQ239" s="5"/>
      <c r="IR239" s="5"/>
      <c r="IS239" s="5"/>
      <c r="IT239" s="5"/>
      <c r="IU239" s="5"/>
      <c r="IV239" s="5"/>
    </row>
    <row r="240" spans="1:256">
      <c r="A240" s="140" t="str">
        <f>A81</f>
        <v>Bond 26</v>
      </c>
      <c r="B240" s="18">
        <f>B81*B212</f>
        <v>0</v>
      </c>
      <c r="C240" s="18">
        <f t="shared" ref="C240:BN240" si="392">C81*C212</f>
        <v>0</v>
      </c>
      <c r="D240" s="18">
        <f t="shared" si="392"/>
        <v>0</v>
      </c>
      <c r="E240" s="18">
        <f t="shared" si="392"/>
        <v>0</v>
      </c>
      <c r="F240" s="18">
        <f t="shared" si="392"/>
        <v>0</v>
      </c>
      <c r="G240" s="18">
        <f t="shared" si="392"/>
        <v>0</v>
      </c>
      <c r="H240" s="18">
        <f t="shared" si="392"/>
        <v>0</v>
      </c>
      <c r="I240" s="18">
        <f t="shared" si="392"/>
        <v>0</v>
      </c>
      <c r="J240" s="18">
        <f t="shared" si="392"/>
        <v>0</v>
      </c>
      <c r="K240" s="18">
        <f t="shared" si="392"/>
        <v>0</v>
      </c>
      <c r="L240" s="18">
        <f t="shared" si="392"/>
        <v>0</v>
      </c>
      <c r="M240" s="18">
        <f t="shared" si="392"/>
        <v>0</v>
      </c>
      <c r="N240" s="18">
        <f t="shared" si="392"/>
        <v>0</v>
      </c>
      <c r="O240" s="18">
        <f t="shared" si="392"/>
        <v>0</v>
      </c>
      <c r="P240" s="18">
        <f t="shared" si="392"/>
        <v>0</v>
      </c>
      <c r="Q240" s="18">
        <f t="shared" si="392"/>
        <v>0</v>
      </c>
      <c r="R240" s="18">
        <f t="shared" si="392"/>
        <v>0</v>
      </c>
      <c r="S240" s="18">
        <f t="shared" si="392"/>
        <v>0</v>
      </c>
      <c r="T240" s="18">
        <f t="shared" si="392"/>
        <v>0</v>
      </c>
      <c r="U240" s="18">
        <f t="shared" si="392"/>
        <v>0</v>
      </c>
      <c r="V240" s="18">
        <f t="shared" si="392"/>
        <v>0</v>
      </c>
      <c r="W240" s="18">
        <f t="shared" si="392"/>
        <v>0</v>
      </c>
      <c r="X240" s="18">
        <f t="shared" si="392"/>
        <v>0</v>
      </c>
      <c r="Y240" s="18">
        <f t="shared" si="392"/>
        <v>0</v>
      </c>
      <c r="Z240" s="18">
        <f t="shared" si="392"/>
        <v>0</v>
      </c>
      <c r="AA240" s="18">
        <f t="shared" si="392"/>
        <v>0</v>
      </c>
      <c r="AB240" s="18">
        <f t="shared" si="392"/>
        <v>0</v>
      </c>
      <c r="AC240" s="18">
        <f t="shared" si="392"/>
        <v>0</v>
      </c>
      <c r="AD240" s="18">
        <f t="shared" si="392"/>
        <v>0</v>
      </c>
      <c r="AE240" s="18">
        <f t="shared" si="392"/>
        <v>0</v>
      </c>
      <c r="AF240" s="18">
        <f t="shared" si="392"/>
        <v>0</v>
      </c>
      <c r="AG240" s="18">
        <f t="shared" si="392"/>
        <v>0</v>
      </c>
      <c r="AH240" s="18">
        <f t="shared" si="392"/>
        <v>0</v>
      </c>
      <c r="AI240" s="18">
        <f t="shared" si="392"/>
        <v>0</v>
      </c>
      <c r="AJ240" s="18">
        <f t="shared" si="392"/>
        <v>0</v>
      </c>
      <c r="AK240" s="18">
        <f t="shared" si="392"/>
        <v>0</v>
      </c>
      <c r="AL240" s="18">
        <f t="shared" si="392"/>
        <v>0</v>
      </c>
      <c r="AM240" s="18">
        <f t="shared" si="392"/>
        <v>0</v>
      </c>
      <c r="AN240" s="18">
        <f t="shared" si="392"/>
        <v>0</v>
      </c>
      <c r="AO240" s="18">
        <f t="shared" si="392"/>
        <v>0</v>
      </c>
      <c r="AP240" s="18">
        <f t="shared" si="392"/>
        <v>0</v>
      </c>
      <c r="AQ240" s="18">
        <f t="shared" si="392"/>
        <v>0</v>
      </c>
      <c r="AR240" s="18">
        <f t="shared" si="392"/>
        <v>0</v>
      </c>
      <c r="AS240" s="18">
        <f t="shared" si="392"/>
        <v>0</v>
      </c>
      <c r="AT240" s="18">
        <f t="shared" si="392"/>
        <v>0</v>
      </c>
      <c r="AU240" s="18">
        <f t="shared" si="392"/>
        <v>0</v>
      </c>
      <c r="AV240" s="18">
        <f t="shared" si="392"/>
        <v>0</v>
      </c>
      <c r="AW240" s="18">
        <f t="shared" si="392"/>
        <v>0</v>
      </c>
      <c r="AX240" s="18">
        <f t="shared" si="392"/>
        <v>0</v>
      </c>
      <c r="AY240" s="18">
        <f t="shared" si="392"/>
        <v>0</v>
      </c>
      <c r="AZ240" s="18">
        <f t="shared" si="392"/>
        <v>0</v>
      </c>
      <c r="BA240" s="18">
        <f t="shared" si="392"/>
        <v>0</v>
      </c>
      <c r="BB240" s="18">
        <f t="shared" si="392"/>
        <v>0</v>
      </c>
      <c r="BC240" s="18">
        <f t="shared" si="392"/>
        <v>0</v>
      </c>
      <c r="BD240" s="18">
        <f t="shared" si="392"/>
        <v>0</v>
      </c>
      <c r="BE240" s="18">
        <f t="shared" si="392"/>
        <v>0</v>
      </c>
      <c r="BF240" s="18">
        <f t="shared" si="392"/>
        <v>0</v>
      </c>
      <c r="BG240" s="18">
        <f t="shared" si="392"/>
        <v>0</v>
      </c>
      <c r="BH240" s="18">
        <f t="shared" si="392"/>
        <v>0</v>
      </c>
      <c r="BI240" s="18">
        <f t="shared" si="392"/>
        <v>0</v>
      </c>
      <c r="BJ240" s="18">
        <f t="shared" si="392"/>
        <v>0</v>
      </c>
      <c r="BK240" s="18">
        <f t="shared" si="392"/>
        <v>0</v>
      </c>
      <c r="BL240" s="18">
        <f t="shared" si="392"/>
        <v>0</v>
      </c>
      <c r="BM240" s="18">
        <f t="shared" si="392"/>
        <v>0</v>
      </c>
      <c r="BN240" s="18">
        <f t="shared" si="392"/>
        <v>0</v>
      </c>
      <c r="BO240" s="18">
        <f t="shared" ref="BO240:CB240" si="393">BO81*BO212</f>
        <v>0</v>
      </c>
      <c r="BP240" s="18">
        <f t="shared" si="393"/>
        <v>0</v>
      </c>
      <c r="BQ240" s="18">
        <f t="shared" si="393"/>
        <v>0</v>
      </c>
      <c r="BR240" s="18">
        <f t="shared" si="393"/>
        <v>0</v>
      </c>
      <c r="BS240" s="18">
        <f t="shared" si="393"/>
        <v>0</v>
      </c>
      <c r="BT240" s="18">
        <f t="shared" si="393"/>
        <v>0</v>
      </c>
      <c r="BU240" s="18">
        <f t="shared" si="393"/>
        <v>0</v>
      </c>
      <c r="BV240" s="18">
        <f t="shared" si="393"/>
        <v>0</v>
      </c>
      <c r="BW240" s="18">
        <f t="shared" si="393"/>
        <v>0</v>
      </c>
      <c r="BX240" s="18">
        <f t="shared" si="393"/>
        <v>0</v>
      </c>
      <c r="BY240" s="18">
        <f t="shared" si="393"/>
        <v>0</v>
      </c>
      <c r="BZ240" s="18">
        <f t="shared" si="393"/>
        <v>0</v>
      </c>
      <c r="CA240" s="18">
        <f t="shared" si="393"/>
        <v>0</v>
      </c>
      <c r="CB240" s="18">
        <f t="shared" si="393"/>
        <v>0</v>
      </c>
      <c r="CC240" s="17"/>
      <c r="CD240" s="17"/>
      <c r="CE240" s="17"/>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c r="DI240" s="5"/>
      <c r="DJ240" s="5"/>
      <c r="DK240" s="5"/>
      <c r="DL240" s="5"/>
      <c r="DM240" s="5"/>
      <c r="DN240" s="5"/>
      <c r="DO240" s="5"/>
      <c r="DP240" s="5"/>
      <c r="DQ240" s="5"/>
      <c r="DR240" s="5"/>
      <c r="DS240" s="5"/>
      <c r="DT240" s="5"/>
      <c r="DU240" s="5"/>
      <c r="DV240" s="5"/>
      <c r="DW240" s="5"/>
      <c r="DX240" s="5"/>
      <c r="DY240" s="5"/>
      <c r="DZ240" s="5"/>
      <c r="EA240" s="5"/>
      <c r="EB240" s="5"/>
      <c r="EC240" s="5"/>
      <c r="ED240" s="5"/>
      <c r="EE240" s="5"/>
      <c r="EF240" s="5"/>
      <c r="EG240" s="5"/>
      <c r="EH240" s="5"/>
      <c r="EI240" s="5"/>
      <c r="EJ240" s="5"/>
      <c r="EK240" s="5"/>
      <c r="EL240" s="5"/>
      <c r="EM240" s="5"/>
      <c r="EN240" s="5"/>
      <c r="EO240" s="5"/>
      <c r="EP240" s="5"/>
      <c r="EQ240" s="5"/>
      <c r="ER240" s="5"/>
      <c r="ES240" s="5"/>
      <c r="ET240" s="5"/>
      <c r="EU240" s="5"/>
      <c r="EV240" s="5"/>
      <c r="EW240" s="5"/>
      <c r="EX240" s="5"/>
      <c r="EY240" s="5"/>
      <c r="EZ240" s="5"/>
      <c r="FA240" s="5"/>
      <c r="FB240" s="5"/>
      <c r="FC240" s="5"/>
      <c r="FD240" s="5"/>
      <c r="FE240" s="5"/>
      <c r="FF240" s="5"/>
      <c r="FG240" s="5"/>
      <c r="FH240" s="5"/>
      <c r="FI240" s="5"/>
      <c r="FJ240" s="5"/>
      <c r="FK240" s="5"/>
      <c r="FL240" s="5"/>
      <c r="FM240" s="5"/>
      <c r="FN240" s="5"/>
      <c r="FO240" s="5"/>
      <c r="FP240" s="5"/>
      <c r="FQ240" s="5"/>
      <c r="FR240" s="5"/>
      <c r="FS240" s="5"/>
      <c r="FT240" s="5"/>
      <c r="FU240" s="5"/>
      <c r="FV240" s="5"/>
      <c r="FW240" s="5"/>
      <c r="FX240" s="5"/>
      <c r="FY240" s="5"/>
      <c r="FZ240" s="5"/>
      <c r="GA240" s="5"/>
      <c r="GB240" s="5"/>
      <c r="GC240" s="5"/>
      <c r="GD240" s="5"/>
      <c r="GE240" s="5"/>
      <c r="GF240" s="5"/>
      <c r="GG240" s="5"/>
      <c r="GH240" s="5"/>
      <c r="GI240" s="5"/>
      <c r="GJ240" s="5"/>
      <c r="GK240" s="5"/>
      <c r="GL240" s="5"/>
      <c r="GM240" s="5"/>
      <c r="GN240" s="5"/>
      <c r="GO240" s="5"/>
      <c r="GP240" s="5"/>
      <c r="GQ240" s="5"/>
      <c r="GR240" s="5"/>
      <c r="GS240" s="5"/>
      <c r="GT240" s="5"/>
      <c r="GU240" s="5"/>
      <c r="GV240" s="5"/>
      <c r="GW240" s="5"/>
      <c r="GX240" s="5"/>
      <c r="GY240" s="5"/>
      <c r="GZ240" s="5"/>
      <c r="HA240" s="5"/>
      <c r="HB240" s="5"/>
      <c r="HC240" s="5"/>
      <c r="HD240" s="5"/>
      <c r="HE240" s="5"/>
      <c r="HF240" s="5"/>
      <c r="HG240" s="5"/>
      <c r="HH240" s="5"/>
      <c r="HI240" s="5"/>
      <c r="HJ240" s="5"/>
      <c r="HK240" s="5"/>
      <c r="HL240" s="5"/>
      <c r="HM240" s="5"/>
      <c r="HN240" s="5"/>
      <c r="HO240" s="5"/>
      <c r="HP240" s="5"/>
      <c r="HQ240" s="5"/>
      <c r="HR240" s="5"/>
      <c r="HS240" s="5"/>
      <c r="HT240" s="5"/>
      <c r="HU240" s="5"/>
      <c r="HV240" s="5"/>
      <c r="HW240" s="5"/>
      <c r="HX240" s="5"/>
      <c r="HY240" s="5"/>
      <c r="HZ240" s="5"/>
      <c r="IA240" s="5"/>
      <c r="IB240" s="5"/>
      <c r="IC240" s="5"/>
      <c r="ID240" s="5"/>
      <c r="IE240" s="5"/>
      <c r="IF240" s="5"/>
      <c r="IG240" s="5"/>
      <c r="IH240" s="5"/>
      <c r="II240" s="5"/>
      <c r="IJ240" s="5"/>
      <c r="IK240" s="5"/>
      <c r="IL240" s="5"/>
      <c r="IM240" s="5"/>
      <c r="IN240" s="5"/>
      <c r="IO240" s="5"/>
      <c r="IP240" s="5"/>
      <c r="IQ240" s="5"/>
      <c r="IR240" s="5"/>
      <c r="IS240" s="5"/>
      <c r="IT240" s="5"/>
      <c r="IU240" s="5"/>
      <c r="IV240" s="5"/>
    </row>
    <row r="241" spans="1:256">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7"/>
      <c r="AB241" s="17"/>
      <c r="AC241" s="17"/>
      <c r="AD241" s="17"/>
      <c r="AE241" s="17"/>
      <c r="AF241" s="17"/>
      <c r="AG241" s="17"/>
      <c r="AH241" s="17"/>
      <c r="AI241" s="17"/>
      <c r="AJ241" s="17"/>
      <c r="AK241" s="17"/>
      <c r="AL241" s="17"/>
      <c r="AM241" s="17"/>
      <c r="AN241" s="17"/>
      <c r="AO241" s="17"/>
      <c r="AP241" s="17"/>
      <c r="AQ241" s="17"/>
      <c r="AR241" s="17"/>
      <c r="AS241" s="17"/>
      <c r="AT241" s="17"/>
      <c r="AU241" s="17"/>
      <c r="AV241" s="17"/>
      <c r="AW241" s="17"/>
      <c r="AX241" s="17"/>
      <c r="AY241" s="17"/>
      <c r="AZ241" s="17"/>
      <c r="BA241" s="17"/>
      <c r="BB241" s="17"/>
      <c r="BC241" s="17"/>
      <c r="BD241" s="17"/>
      <c r="BE241" s="17"/>
      <c r="BF241" s="17"/>
      <c r="BG241" s="17"/>
      <c r="BH241" s="17"/>
      <c r="BI241" s="17"/>
      <c r="BJ241" s="17"/>
      <c r="BK241" s="17"/>
      <c r="BL241" s="17"/>
      <c r="BM241" s="17"/>
      <c r="BN241" s="17"/>
      <c r="BO241" s="17"/>
      <c r="BP241" s="17"/>
      <c r="BQ241" s="17"/>
      <c r="BR241" s="17"/>
      <c r="BS241" s="17"/>
      <c r="BT241" s="17"/>
      <c r="BU241" s="17"/>
      <c r="BV241" s="17"/>
      <c r="BW241" s="17"/>
      <c r="BX241" s="17"/>
      <c r="BY241" s="17"/>
      <c r="BZ241" s="17"/>
      <c r="CA241" s="17"/>
      <c r="CB241" s="17"/>
      <c r="CC241" s="17"/>
      <c r="CD241" s="17"/>
      <c r="CE241" s="17"/>
      <c r="CH241" s="11"/>
      <c r="CI241" s="11"/>
      <c r="CJ241" s="11"/>
      <c r="CK241" s="11"/>
      <c r="CL241" s="11"/>
      <c r="CM241" s="11"/>
      <c r="CN241" s="11"/>
      <c r="CO241" s="11"/>
      <c r="CP241" s="11"/>
      <c r="CQ241" s="11"/>
      <c r="CR241" s="11"/>
      <c r="CS241" s="11"/>
      <c r="CT241" s="11"/>
      <c r="CU241" s="11"/>
      <c r="CV241" s="11"/>
      <c r="CW241" s="11"/>
      <c r="CX241" s="11"/>
      <c r="CY241" s="11"/>
      <c r="CZ241" s="11"/>
      <c r="DA241" s="11"/>
      <c r="DB241" s="11"/>
      <c r="DC241" s="11"/>
      <c r="DD241" s="11"/>
      <c r="DE241" s="11"/>
      <c r="DF241" s="11"/>
      <c r="DG241" s="11"/>
      <c r="DH241" s="11"/>
      <c r="DI241" s="5"/>
      <c r="DJ241" s="5"/>
      <c r="DK241" s="5"/>
      <c r="DL241" s="5"/>
      <c r="DM241" s="5"/>
      <c r="DN241" s="5"/>
      <c r="DO241" s="5"/>
      <c r="DP241" s="5"/>
      <c r="DQ241" s="5"/>
      <c r="DR241" s="5"/>
      <c r="DS241" s="5"/>
      <c r="DT241" s="5"/>
      <c r="DU241" s="5"/>
      <c r="DV241" s="5"/>
      <c r="DW241" s="5"/>
      <c r="DX241" s="5"/>
      <c r="DY241" s="5"/>
      <c r="DZ241" s="5"/>
      <c r="EA241" s="5"/>
      <c r="EB241" s="5"/>
      <c r="EC241" s="5"/>
      <c r="ED241" s="5"/>
      <c r="EE241" s="5"/>
      <c r="EF241" s="5"/>
      <c r="EG241" s="5"/>
      <c r="EH241" s="5"/>
      <c r="EI241" s="5"/>
      <c r="EJ241" s="5"/>
      <c r="EK241" s="5"/>
      <c r="EL241" s="5"/>
      <c r="EM241" s="5"/>
      <c r="EN241" s="5"/>
      <c r="EO241" s="5"/>
      <c r="EP241" s="5"/>
      <c r="EQ241" s="5"/>
      <c r="ER241" s="5"/>
      <c r="ES241" s="5"/>
      <c r="ET241" s="5"/>
      <c r="EU241" s="5"/>
      <c r="EV241" s="5"/>
      <c r="EW241" s="5"/>
      <c r="EX241" s="5"/>
      <c r="EY241" s="5"/>
      <c r="EZ241" s="5"/>
      <c r="FA241" s="5"/>
      <c r="FB241" s="5"/>
      <c r="FC241" s="5"/>
      <c r="FD241" s="5"/>
      <c r="FE241" s="5"/>
      <c r="FF241" s="5"/>
      <c r="FG241" s="5"/>
      <c r="FH241" s="5"/>
      <c r="FI241" s="5"/>
      <c r="FJ241" s="5"/>
      <c r="FK241" s="5"/>
      <c r="FL241" s="5"/>
      <c r="FM241" s="5"/>
      <c r="FN241" s="5"/>
      <c r="FO241" s="5"/>
      <c r="FP241" s="5"/>
      <c r="FQ241" s="5"/>
      <c r="FR241" s="5"/>
      <c r="FS241" s="5"/>
      <c r="FT241" s="5"/>
      <c r="FU241" s="5"/>
      <c r="FV241" s="5"/>
      <c r="FW241" s="5"/>
      <c r="FX241" s="5"/>
      <c r="FY241" s="5"/>
      <c r="FZ241" s="5"/>
      <c r="GA241" s="5"/>
      <c r="GB241" s="5"/>
      <c r="GC241" s="5"/>
      <c r="GD241" s="5"/>
      <c r="GE241" s="5"/>
      <c r="GF241" s="5"/>
      <c r="GG241" s="5"/>
      <c r="GH241" s="5"/>
      <c r="GI241" s="5"/>
      <c r="GJ241" s="5"/>
      <c r="GK241" s="5"/>
      <c r="GL241" s="5"/>
      <c r="GM241" s="5"/>
      <c r="GN241" s="5"/>
      <c r="GO241" s="5"/>
      <c r="GP241" s="5"/>
      <c r="GQ241" s="5"/>
      <c r="GR241" s="5"/>
      <c r="GS241" s="5"/>
      <c r="GT241" s="5"/>
      <c r="GU241" s="5"/>
      <c r="GV241" s="5"/>
      <c r="GW241" s="5"/>
      <c r="GX241" s="5"/>
      <c r="GY241" s="5"/>
      <c r="GZ241" s="5"/>
      <c r="HA241" s="5"/>
      <c r="HB241" s="5"/>
      <c r="HC241" s="5"/>
      <c r="HD241" s="5"/>
      <c r="HE241" s="5"/>
      <c r="HF241" s="5"/>
      <c r="HG241" s="5"/>
      <c r="HH241" s="5"/>
      <c r="HI241" s="5"/>
      <c r="HJ241" s="5"/>
      <c r="HK241" s="5"/>
      <c r="HL241" s="5"/>
      <c r="HM241" s="5"/>
      <c r="HN241" s="5"/>
      <c r="HO241" s="5"/>
      <c r="HP241" s="5"/>
      <c r="HQ241" s="5"/>
      <c r="HR241" s="5"/>
      <c r="HS241" s="5"/>
      <c r="HT241" s="5"/>
      <c r="HU241" s="5"/>
      <c r="HV241" s="5"/>
      <c r="HW241" s="5"/>
      <c r="HX241" s="5"/>
      <c r="HY241" s="5"/>
      <c r="HZ241" s="5"/>
      <c r="IA241" s="5"/>
      <c r="IB241" s="5"/>
      <c r="IC241" s="5"/>
      <c r="ID241" s="5"/>
      <c r="IE241" s="5"/>
      <c r="IF241" s="5"/>
      <c r="IG241" s="5"/>
      <c r="IH241" s="5"/>
      <c r="II241" s="5"/>
      <c r="IJ241" s="5"/>
      <c r="IK241" s="5"/>
      <c r="IL241" s="5"/>
      <c r="IM241" s="5"/>
      <c r="IN241" s="5"/>
      <c r="IO241" s="5"/>
      <c r="IP241" s="5"/>
      <c r="IQ241" s="5"/>
      <c r="IR241" s="5"/>
      <c r="IS241" s="5"/>
      <c r="IT241" s="5"/>
      <c r="IU241" s="5"/>
      <c r="IV241" s="5"/>
    </row>
    <row r="242" spans="1:256">
      <c r="A242" s="190"/>
      <c r="B242" s="18" t="s">
        <v>13</v>
      </c>
      <c r="C242" s="18" t="s">
        <v>47</v>
      </c>
      <c r="D242" s="18" t="s">
        <v>14</v>
      </c>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c r="AS242" s="17"/>
      <c r="AT242" s="17"/>
      <c r="AU242" s="17"/>
      <c r="AV242" s="17"/>
      <c r="AW242" s="17"/>
      <c r="AX242" s="17"/>
      <c r="AY242" s="17"/>
      <c r="AZ242" s="17"/>
      <c r="BA242" s="17"/>
      <c r="BB242" s="17"/>
      <c r="BC242" s="17"/>
      <c r="BD242" s="17"/>
      <c r="BE242" s="17"/>
      <c r="BF242" s="17"/>
      <c r="BG242" s="17"/>
      <c r="BH242" s="17"/>
      <c r="BI242" s="17"/>
      <c r="BJ242" s="17"/>
      <c r="BK242" s="17"/>
      <c r="BL242" s="17"/>
      <c r="BM242" s="17"/>
      <c r="BN242" s="17"/>
      <c r="BO242" s="17"/>
      <c r="BP242" s="17"/>
      <c r="BQ242" s="17"/>
      <c r="BR242" s="17"/>
      <c r="BS242" s="17"/>
      <c r="BT242" s="17"/>
      <c r="BU242" s="17"/>
      <c r="BV242" s="17"/>
      <c r="BW242" s="17"/>
      <c r="BX242" s="17"/>
      <c r="BY242" s="17"/>
      <c r="BZ242" s="17"/>
      <c r="CA242" s="17"/>
      <c r="CB242" s="17"/>
      <c r="CC242" s="17"/>
      <c r="CD242" s="17"/>
      <c r="CE242" s="17"/>
      <c r="CH242" s="5"/>
    </row>
    <row r="243" spans="1:256">
      <c r="A243" s="18" t="str">
        <f t="shared" ref="A243:A250" si="394">A215</f>
        <v>Bond 1</v>
      </c>
      <c r="B243" s="18">
        <f t="shared" ref="B243:B248" si="395">SUM(B215:CB215)</f>
        <v>100.2337584282534</v>
      </c>
      <c r="C243" s="18">
        <f t="shared" ref="C243:C248" si="396">K2</f>
        <v>98.935000000000002</v>
      </c>
      <c r="D243" s="18">
        <f>P2*(B243-K2)^2</f>
        <v>0.38357675017754517</v>
      </c>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c r="AI243" s="19"/>
      <c r="AJ243" s="19"/>
      <c r="AK243" s="19"/>
      <c r="AL243" s="19"/>
      <c r="AM243" s="19"/>
      <c r="AN243" s="19"/>
      <c r="AO243" s="19"/>
      <c r="AP243" s="19"/>
      <c r="AQ243" s="19"/>
      <c r="AR243" s="19"/>
      <c r="AS243" s="19"/>
      <c r="AT243" s="19"/>
      <c r="AU243" s="19"/>
      <c r="AV243" s="19"/>
      <c r="AW243" s="19"/>
      <c r="AX243" s="19"/>
      <c r="AY243" s="19"/>
      <c r="AZ243" s="19"/>
      <c r="BA243" s="19"/>
      <c r="BB243" s="19"/>
      <c r="BC243" s="19"/>
      <c r="BD243" s="19"/>
      <c r="BE243" s="19"/>
      <c r="BF243" s="19"/>
      <c r="BG243" s="19"/>
      <c r="BH243" s="19"/>
      <c r="BI243" s="19"/>
      <c r="BJ243" s="19"/>
      <c r="BK243" s="19"/>
      <c r="BL243" s="19"/>
      <c r="BM243" s="19"/>
      <c r="BN243" s="19"/>
      <c r="BO243" s="19"/>
      <c r="BP243" s="19"/>
      <c r="BQ243" s="19"/>
      <c r="BR243" s="19"/>
      <c r="BS243" s="19"/>
      <c r="BT243" s="19"/>
      <c r="BU243" s="19"/>
      <c r="BV243" s="19"/>
      <c r="BW243" s="19"/>
      <c r="BX243" s="19"/>
      <c r="BY243" s="19"/>
      <c r="BZ243" s="19"/>
      <c r="CA243" s="19"/>
      <c r="CB243" s="19"/>
      <c r="CC243" s="19"/>
      <c r="CD243" s="19"/>
      <c r="CE243" s="19"/>
      <c r="CF243" s="7"/>
      <c r="CH243" s="5"/>
    </row>
    <row r="244" spans="1:256">
      <c r="A244" s="18" t="str">
        <f t="shared" si="394"/>
        <v>Bond 2</v>
      </c>
      <c r="B244" s="18">
        <f t="shared" si="395"/>
        <v>102.12544708034653</v>
      </c>
      <c r="C244" s="18">
        <f t="shared" si="396"/>
        <v>102.04338801750636</v>
      </c>
      <c r="D244" s="18">
        <f t="shared" ref="D244:D248" si="397">P3*(B244-K3)^2</f>
        <v>1.978202217523289E-3</v>
      </c>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c r="AI244" s="19"/>
      <c r="AJ244" s="19"/>
      <c r="AK244" s="19"/>
      <c r="AL244" s="19"/>
      <c r="AM244" s="19"/>
      <c r="AN244" s="19"/>
      <c r="AO244" s="19"/>
      <c r="AP244" s="19"/>
      <c r="AQ244" s="19"/>
      <c r="AR244" s="19"/>
      <c r="AS244" s="19"/>
      <c r="AT244" s="19"/>
      <c r="AU244" s="19"/>
      <c r="AV244" s="19"/>
      <c r="AW244" s="19"/>
      <c r="AX244" s="19"/>
      <c r="AY244" s="19"/>
      <c r="AZ244" s="19"/>
      <c r="BA244" s="19"/>
      <c r="BB244" s="19"/>
      <c r="BC244" s="19"/>
      <c r="BD244" s="19"/>
      <c r="BE244" s="19"/>
      <c r="BF244" s="19"/>
      <c r="BG244" s="19"/>
      <c r="BH244" s="19"/>
      <c r="BI244" s="19"/>
      <c r="BJ244" s="19"/>
      <c r="BK244" s="19"/>
      <c r="BL244" s="19"/>
      <c r="BM244" s="19"/>
      <c r="BN244" s="19"/>
      <c r="BO244" s="19"/>
      <c r="BP244" s="19"/>
      <c r="BQ244" s="19"/>
      <c r="BR244" s="19"/>
      <c r="BS244" s="19"/>
      <c r="BT244" s="19"/>
      <c r="BU244" s="19"/>
      <c r="BV244" s="19"/>
      <c r="BW244" s="19"/>
      <c r="BX244" s="19"/>
      <c r="BY244" s="19"/>
      <c r="BZ244" s="19"/>
      <c r="CA244" s="19"/>
      <c r="CB244" s="19"/>
      <c r="CC244" s="19"/>
      <c r="CD244" s="19"/>
      <c r="CE244" s="19"/>
      <c r="CF244" s="7"/>
    </row>
    <row r="245" spans="1:256">
      <c r="A245" s="18" t="str">
        <f t="shared" si="394"/>
        <v>Bond 3</v>
      </c>
      <c r="B245" s="18">
        <f t="shared" si="395"/>
        <v>98.000704549454653</v>
      </c>
      <c r="C245" s="18">
        <f t="shared" si="396"/>
        <v>99.730500000000006</v>
      </c>
      <c r="D245" s="18">
        <f t="shared" si="397"/>
        <v>0.68043245241076789</v>
      </c>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c r="AI245" s="19"/>
      <c r="AJ245" s="19"/>
      <c r="AK245" s="19"/>
      <c r="AL245" s="19"/>
      <c r="AM245" s="19"/>
      <c r="AN245" s="19"/>
      <c r="AO245" s="19"/>
      <c r="AP245" s="19"/>
      <c r="AQ245" s="19"/>
      <c r="AR245" s="19"/>
      <c r="AS245" s="19"/>
      <c r="AT245" s="19"/>
      <c r="AU245" s="19"/>
      <c r="AV245" s="19"/>
      <c r="AW245" s="19"/>
      <c r="AX245" s="19"/>
      <c r="AY245" s="19"/>
      <c r="AZ245" s="19"/>
      <c r="BA245" s="19"/>
      <c r="BB245" s="19"/>
      <c r="BC245" s="19"/>
      <c r="BD245" s="19"/>
      <c r="BE245" s="19"/>
      <c r="BF245" s="19"/>
      <c r="BG245" s="19"/>
      <c r="BH245" s="19"/>
      <c r="BI245" s="19"/>
      <c r="BJ245" s="19"/>
      <c r="BK245" s="19"/>
      <c r="BL245" s="19"/>
      <c r="BM245" s="19"/>
      <c r="BN245" s="19"/>
      <c r="BO245" s="19"/>
      <c r="BP245" s="19"/>
      <c r="BQ245" s="19"/>
      <c r="BR245" s="19"/>
      <c r="BS245" s="19"/>
      <c r="BT245" s="19"/>
      <c r="BU245" s="19"/>
      <c r="BV245" s="19"/>
      <c r="BW245" s="19"/>
      <c r="BX245" s="19"/>
      <c r="BY245" s="19"/>
      <c r="BZ245" s="19"/>
      <c r="CA245" s="19"/>
      <c r="CB245" s="19"/>
      <c r="CC245" s="19"/>
      <c r="CD245" s="19"/>
      <c r="CE245" s="19"/>
      <c r="CF245" s="12"/>
    </row>
    <row r="246" spans="1:256">
      <c r="A246" s="18" t="str">
        <f t="shared" si="394"/>
        <v>Bond 4</v>
      </c>
      <c r="B246" s="230">
        <f t="shared" si="395"/>
        <v>108.27156585392879</v>
      </c>
      <c r="C246" s="18">
        <f t="shared" si="396"/>
        <v>109.73493384918953</v>
      </c>
      <c r="D246" s="18">
        <f t="shared" si="397"/>
        <v>0.27392650112062428</v>
      </c>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c r="AI246" s="19"/>
      <c r="AJ246" s="19"/>
      <c r="AK246" s="19"/>
      <c r="AL246" s="19"/>
      <c r="AM246" s="19"/>
      <c r="AN246" s="19"/>
      <c r="AO246" s="19"/>
      <c r="AP246" s="19"/>
      <c r="AQ246" s="19"/>
      <c r="AR246" s="19"/>
      <c r="AS246" s="19"/>
      <c r="AT246" s="19"/>
      <c r="AU246" s="19"/>
      <c r="AV246" s="19"/>
      <c r="AW246" s="19"/>
      <c r="AX246" s="19"/>
      <c r="AY246" s="19"/>
      <c r="AZ246" s="19"/>
      <c r="BA246" s="19"/>
      <c r="BB246" s="19"/>
      <c r="BC246" s="19"/>
      <c r="BD246" s="19"/>
      <c r="BE246" s="19"/>
      <c r="BF246" s="19"/>
      <c r="BG246" s="19"/>
      <c r="BH246" s="19"/>
      <c r="BI246" s="19"/>
      <c r="BJ246" s="19"/>
      <c r="BK246" s="19"/>
      <c r="BL246" s="19"/>
      <c r="BM246" s="19"/>
      <c r="BN246" s="19"/>
      <c r="BO246" s="19"/>
      <c r="BP246" s="19"/>
      <c r="BQ246" s="19"/>
      <c r="BR246" s="19"/>
      <c r="BS246" s="19"/>
      <c r="BT246" s="19"/>
      <c r="BU246" s="19"/>
      <c r="BV246" s="19"/>
      <c r="BW246" s="19"/>
      <c r="BX246" s="19"/>
      <c r="BY246" s="19"/>
      <c r="BZ246" s="19"/>
      <c r="CA246" s="19"/>
      <c r="CB246" s="19"/>
      <c r="CC246" s="19"/>
      <c r="CD246" s="19"/>
      <c r="CE246" s="19"/>
      <c r="CF246" s="6"/>
    </row>
    <row r="247" spans="1:256">
      <c r="A247" s="18" t="str">
        <f t="shared" si="394"/>
        <v>Bond 5</v>
      </c>
      <c r="B247" s="18">
        <f t="shared" si="395"/>
        <v>111.2483761975776</v>
      </c>
      <c r="C247" s="18">
        <f t="shared" si="396"/>
        <v>109.00227418728778</v>
      </c>
      <c r="D247" s="18">
        <f t="shared" si="397"/>
        <v>0.21457786420319755</v>
      </c>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c r="AI247" s="19"/>
      <c r="AJ247" s="19"/>
      <c r="AK247" s="19"/>
      <c r="AL247" s="19"/>
      <c r="AM247" s="19"/>
      <c r="AN247" s="19"/>
      <c r="AO247" s="19"/>
      <c r="AP247" s="19"/>
      <c r="AQ247" s="19"/>
      <c r="AR247" s="19"/>
      <c r="AS247" s="19"/>
      <c r="AT247" s="19"/>
      <c r="AU247" s="19"/>
      <c r="AV247" s="19"/>
      <c r="AW247" s="19"/>
      <c r="AX247" s="19"/>
      <c r="AY247" s="19"/>
      <c r="AZ247" s="19"/>
      <c r="BA247" s="19"/>
      <c r="BB247" s="19"/>
      <c r="BC247" s="19"/>
      <c r="BD247" s="19"/>
      <c r="BE247" s="19"/>
      <c r="BF247" s="19"/>
      <c r="BG247" s="19"/>
      <c r="BH247" s="19"/>
      <c r="BI247" s="19"/>
      <c r="BJ247" s="19"/>
      <c r="BK247" s="19"/>
      <c r="BL247" s="19"/>
      <c r="BM247" s="19"/>
      <c r="BN247" s="19"/>
      <c r="BO247" s="19"/>
      <c r="BP247" s="19"/>
      <c r="BQ247" s="19"/>
      <c r="BR247" s="19"/>
      <c r="BS247" s="19"/>
      <c r="BT247" s="19"/>
      <c r="BU247" s="19"/>
      <c r="BV247" s="19"/>
      <c r="BW247" s="19"/>
      <c r="BX247" s="19"/>
      <c r="BY247" s="19"/>
      <c r="BZ247" s="19"/>
      <c r="CA247" s="19"/>
      <c r="CB247" s="19"/>
      <c r="CC247" s="19"/>
      <c r="CD247" s="19"/>
      <c r="CE247" s="19"/>
      <c r="CF247" s="6"/>
    </row>
    <row r="248" spans="1:256">
      <c r="A248" s="18" t="str">
        <f t="shared" si="394"/>
        <v>Bond 6</v>
      </c>
      <c r="B248" s="18">
        <f t="shared" si="395"/>
        <v>123.16731084061865</v>
      </c>
      <c r="C248" s="18">
        <f t="shared" si="396"/>
        <v>123.77367382183982</v>
      </c>
      <c r="D248" s="18">
        <f t="shared" si="397"/>
        <v>1.2503023921035139E-2</v>
      </c>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c r="AI248" s="19"/>
      <c r="AJ248" s="19"/>
      <c r="AK248" s="19"/>
      <c r="AL248" s="19"/>
      <c r="AM248" s="19"/>
      <c r="AN248" s="19"/>
      <c r="AO248" s="19"/>
      <c r="AP248" s="19"/>
      <c r="AQ248" s="19"/>
      <c r="AR248" s="19"/>
      <c r="AS248" s="19"/>
      <c r="AT248" s="19"/>
      <c r="AU248" s="19"/>
      <c r="AV248" s="19"/>
      <c r="AW248" s="19"/>
      <c r="AX248" s="19"/>
      <c r="AY248" s="19"/>
      <c r="AZ248" s="19"/>
      <c r="BA248" s="19"/>
      <c r="BB248" s="19"/>
      <c r="BC248" s="19"/>
      <c r="BD248" s="19"/>
      <c r="BE248" s="19"/>
      <c r="BF248" s="19"/>
      <c r="BG248" s="19"/>
      <c r="BH248" s="19"/>
      <c r="BI248" s="19"/>
      <c r="BJ248" s="19"/>
      <c r="BK248" s="19"/>
      <c r="BL248" s="19"/>
      <c r="BM248" s="19"/>
      <c r="BN248" s="19"/>
      <c r="BO248" s="19"/>
      <c r="BP248" s="19"/>
      <c r="BQ248" s="19"/>
      <c r="BR248" s="19"/>
      <c r="BS248" s="19"/>
      <c r="BT248" s="19"/>
      <c r="BU248" s="19"/>
      <c r="BV248" s="19"/>
      <c r="BW248" s="19"/>
      <c r="BX248" s="19"/>
      <c r="BY248" s="19"/>
      <c r="BZ248" s="19"/>
      <c r="CA248" s="19"/>
      <c r="CB248" s="19"/>
      <c r="CC248" s="19"/>
      <c r="CD248" s="19"/>
      <c r="CE248" s="19"/>
      <c r="CF248" s="12"/>
    </row>
    <row r="249" spans="1:256">
      <c r="A249" s="230" t="str">
        <f t="shared" si="394"/>
        <v>Bond 7</v>
      </c>
      <c r="B249" s="230">
        <f t="shared" ref="B249" si="398">SUM(B221:CB221)</f>
        <v>111.87505835073995</v>
      </c>
      <c r="C249" s="230">
        <f t="shared" ref="C249" si="399">K8</f>
        <v>113.69026011029972</v>
      </c>
      <c r="D249" s="230">
        <f t="shared" ref="D249" si="400">P8*(B249-K8)^2</f>
        <v>8.772010065693725E-2</v>
      </c>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c r="AS249" s="19"/>
      <c r="AT249" s="19"/>
      <c r="AU249" s="19"/>
      <c r="AV249" s="19"/>
      <c r="AW249" s="19"/>
      <c r="AX249" s="19"/>
      <c r="AY249" s="19"/>
      <c r="AZ249" s="19"/>
      <c r="BA249" s="19"/>
      <c r="BB249" s="19"/>
      <c r="BC249" s="19"/>
      <c r="BD249" s="19"/>
      <c r="BE249" s="19"/>
      <c r="BF249" s="19"/>
      <c r="BG249" s="19"/>
      <c r="BH249" s="19"/>
      <c r="BI249" s="19"/>
      <c r="BJ249" s="19"/>
      <c r="BK249" s="19"/>
      <c r="BL249" s="19"/>
      <c r="BM249" s="19"/>
      <c r="BN249" s="19"/>
      <c r="BO249" s="19"/>
      <c r="BP249" s="19"/>
      <c r="BQ249" s="19"/>
      <c r="BR249" s="19"/>
      <c r="BS249" s="19"/>
      <c r="BT249" s="19"/>
      <c r="BU249" s="19"/>
      <c r="BV249" s="19"/>
      <c r="BW249" s="19"/>
      <c r="BX249" s="19"/>
      <c r="BY249" s="19"/>
      <c r="BZ249" s="19"/>
      <c r="CA249" s="19"/>
      <c r="CB249" s="19"/>
      <c r="CC249" s="19"/>
      <c r="CD249" s="19"/>
      <c r="CE249" s="19"/>
      <c r="CF249" s="12"/>
    </row>
    <row r="250" spans="1:256">
      <c r="A250" s="230" t="str">
        <f t="shared" si="394"/>
        <v>Bond 8</v>
      </c>
      <c r="B250" s="230">
        <f t="shared" ref="B250" si="401">SUM(B222:CB222)</f>
        <v>122.80305083951741</v>
      </c>
      <c r="C250" s="230">
        <f t="shared" ref="C250" si="402">K9</f>
        <v>121.98670274851145</v>
      </c>
      <c r="D250" s="230">
        <f t="shared" ref="D250" si="403">P9*(B250-K9)^2</f>
        <v>1.3555181910963256E-2</v>
      </c>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c r="AK250" s="19"/>
      <c r="AL250" s="19"/>
      <c r="AM250" s="19"/>
      <c r="AN250" s="19"/>
      <c r="AO250" s="19"/>
      <c r="AP250" s="19"/>
      <c r="AQ250" s="19"/>
      <c r="AR250" s="19"/>
      <c r="AS250" s="19"/>
      <c r="AT250" s="19"/>
      <c r="AU250" s="19"/>
      <c r="AV250" s="19"/>
      <c r="AW250" s="19"/>
      <c r="AX250" s="19"/>
      <c r="AY250" s="19"/>
      <c r="AZ250" s="19"/>
      <c r="BA250" s="19"/>
      <c r="BB250" s="19"/>
      <c r="BC250" s="19"/>
      <c r="BD250" s="19"/>
      <c r="BE250" s="19"/>
      <c r="BF250" s="19"/>
      <c r="BG250" s="19"/>
      <c r="BH250" s="19"/>
      <c r="BI250" s="19"/>
      <c r="BJ250" s="19"/>
      <c r="BK250" s="19"/>
      <c r="BL250" s="19"/>
      <c r="BM250" s="19"/>
      <c r="BN250" s="19"/>
      <c r="BO250" s="19"/>
      <c r="BP250" s="19"/>
      <c r="BQ250" s="19"/>
      <c r="BR250" s="19"/>
      <c r="BS250" s="19"/>
      <c r="BT250" s="19"/>
      <c r="BU250" s="19"/>
      <c r="BV250" s="19"/>
      <c r="BW250" s="19"/>
      <c r="BX250" s="19"/>
      <c r="BY250" s="19"/>
      <c r="BZ250" s="19"/>
      <c r="CA250" s="19"/>
      <c r="CB250" s="19"/>
      <c r="CC250" s="19"/>
      <c r="CD250" s="19"/>
      <c r="CE250" s="19"/>
      <c r="CF250" s="12"/>
    </row>
    <row r="251" spans="1:256">
      <c r="A251" s="18"/>
      <c r="B251" s="230"/>
      <c r="C251" s="18"/>
      <c r="D251" s="18"/>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c r="AK251" s="19"/>
      <c r="AL251" s="19"/>
      <c r="AM251" s="19"/>
      <c r="AN251" s="19"/>
      <c r="AO251" s="19"/>
      <c r="AP251" s="19"/>
      <c r="AQ251" s="19"/>
      <c r="AR251" s="19"/>
      <c r="AS251" s="19"/>
      <c r="AT251" s="19"/>
      <c r="AU251" s="19"/>
      <c r="AV251" s="19"/>
      <c r="AW251" s="19"/>
      <c r="AX251" s="19"/>
      <c r="AY251" s="19"/>
      <c r="AZ251" s="19"/>
      <c r="BA251" s="19"/>
      <c r="BB251" s="19"/>
      <c r="BC251" s="19"/>
      <c r="BD251" s="19"/>
      <c r="BE251" s="19"/>
      <c r="BF251" s="19"/>
      <c r="BG251" s="19"/>
      <c r="BH251" s="19"/>
      <c r="BI251" s="19"/>
      <c r="BJ251" s="19"/>
      <c r="BK251" s="19"/>
      <c r="BL251" s="19"/>
      <c r="BM251" s="19"/>
      <c r="BN251" s="19"/>
      <c r="BO251" s="19"/>
      <c r="BP251" s="19"/>
      <c r="BQ251" s="19"/>
      <c r="BR251" s="19"/>
      <c r="BS251" s="19"/>
      <c r="BT251" s="19"/>
      <c r="BU251" s="19"/>
      <c r="BV251" s="19"/>
      <c r="BW251" s="19"/>
      <c r="BX251" s="19"/>
      <c r="BY251" s="19"/>
      <c r="BZ251" s="19"/>
      <c r="CA251" s="19"/>
      <c r="CB251" s="19"/>
      <c r="CC251" s="19"/>
      <c r="CD251" s="19"/>
      <c r="CE251" s="19"/>
      <c r="CF251" s="6"/>
    </row>
    <row r="252" spans="1:256">
      <c r="A252" s="18"/>
      <c r="B252" s="230"/>
      <c r="C252" s="18"/>
      <c r="D252" s="18"/>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19"/>
      <c r="AE252" s="19"/>
      <c r="AF252" s="19"/>
      <c r="AG252" s="19"/>
      <c r="AH252" s="19"/>
      <c r="AI252" s="19"/>
      <c r="AJ252" s="19"/>
      <c r="AK252" s="19"/>
      <c r="AL252" s="19"/>
      <c r="AM252" s="19"/>
      <c r="AN252" s="19"/>
      <c r="AO252" s="19"/>
      <c r="AP252" s="19"/>
      <c r="AQ252" s="19"/>
      <c r="AR252" s="19"/>
      <c r="AS252" s="19"/>
      <c r="AT252" s="19"/>
      <c r="AU252" s="19"/>
      <c r="AV252" s="19"/>
      <c r="AW252" s="19"/>
      <c r="AX252" s="19"/>
      <c r="AY252" s="19"/>
      <c r="AZ252" s="19"/>
      <c r="BA252" s="19"/>
      <c r="BB252" s="19"/>
      <c r="BC252" s="19"/>
      <c r="BD252" s="19"/>
      <c r="BE252" s="19"/>
      <c r="BF252" s="19"/>
      <c r="BG252" s="19"/>
      <c r="BH252" s="19"/>
      <c r="BI252" s="19"/>
      <c r="BJ252" s="19"/>
      <c r="BK252" s="19"/>
      <c r="BL252" s="19"/>
      <c r="BM252" s="19"/>
      <c r="BN252" s="19"/>
      <c r="BO252" s="19"/>
      <c r="BP252" s="19"/>
      <c r="BQ252" s="19"/>
      <c r="BR252" s="19"/>
      <c r="BS252" s="19"/>
      <c r="BT252" s="19"/>
      <c r="BU252" s="19"/>
      <c r="BV252" s="19"/>
      <c r="BW252" s="19"/>
      <c r="BX252" s="19"/>
      <c r="BY252" s="19"/>
      <c r="BZ252" s="19"/>
      <c r="CA252" s="19"/>
      <c r="CB252" s="19"/>
      <c r="CC252" s="19"/>
      <c r="CD252" s="19"/>
      <c r="CE252" s="19"/>
      <c r="CF252" s="6"/>
    </row>
    <row r="253" spans="1:256">
      <c r="A253" s="18"/>
      <c r="B253" s="230"/>
      <c r="C253" s="18"/>
      <c r="D253" s="18"/>
      <c r="E253" s="19"/>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19"/>
      <c r="AE253" s="19"/>
      <c r="AF253" s="19"/>
      <c r="AG253" s="19"/>
      <c r="AH253" s="19"/>
      <c r="AI253" s="19"/>
      <c r="AJ253" s="19"/>
      <c r="AK253" s="19"/>
      <c r="AL253" s="19"/>
      <c r="AM253" s="19"/>
      <c r="AN253" s="19"/>
      <c r="AO253" s="19"/>
      <c r="AP253" s="19"/>
      <c r="AQ253" s="19"/>
      <c r="AR253" s="19"/>
      <c r="AS253" s="19"/>
      <c r="AT253" s="19"/>
      <c r="AU253" s="19"/>
      <c r="AV253" s="19"/>
      <c r="AW253" s="19"/>
      <c r="AX253" s="19"/>
      <c r="AY253" s="19"/>
      <c r="AZ253" s="19"/>
      <c r="BA253" s="19"/>
      <c r="BB253" s="19"/>
      <c r="BC253" s="19"/>
      <c r="BD253" s="19"/>
      <c r="BE253" s="19"/>
      <c r="BF253" s="19"/>
      <c r="BG253" s="19"/>
      <c r="BH253" s="19"/>
      <c r="BI253" s="19"/>
      <c r="BJ253" s="19"/>
      <c r="BK253" s="19"/>
      <c r="BL253" s="19"/>
      <c r="BM253" s="19"/>
      <c r="BN253" s="19"/>
      <c r="BO253" s="19"/>
      <c r="BP253" s="19"/>
      <c r="BQ253" s="19"/>
      <c r="BR253" s="19"/>
      <c r="BS253" s="19"/>
      <c r="BT253" s="19"/>
      <c r="BU253" s="19"/>
      <c r="BV253" s="19"/>
      <c r="BW253" s="19"/>
      <c r="BX253" s="19"/>
      <c r="BY253" s="19"/>
      <c r="BZ253" s="19"/>
      <c r="CA253" s="19"/>
      <c r="CB253" s="19"/>
      <c r="CC253" s="19"/>
      <c r="CD253" s="19"/>
      <c r="CE253" s="19"/>
      <c r="CF253" s="12"/>
    </row>
    <row r="254" spans="1:256">
      <c r="A254" s="18"/>
      <c r="B254" s="230"/>
      <c r="C254" s="18"/>
      <c r="D254" s="18"/>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19"/>
      <c r="AE254" s="19"/>
      <c r="AF254" s="19"/>
      <c r="AG254" s="19"/>
      <c r="AH254" s="19"/>
      <c r="AI254" s="19"/>
      <c r="AJ254" s="19"/>
      <c r="AK254" s="19"/>
      <c r="AL254" s="19"/>
      <c r="AM254" s="19"/>
      <c r="AN254" s="19"/>
      <c r="AO254" s="19"/>
      <c r="AP254" s="19"/>
      <c r="AQ254" s="19"/>
      <c r="AR254" s="19"/>
      <c r="AS254" s="19"/>
      <c r="AT254" s="19"/>
      <c r="AU254" s="19"/>
      <c r="AV254" s="19"/>
      <c r="AW254" s="19"/>
      <c r="AX254" s="19"/>
      <c r="AY254" s="19"/>
      <c r="AZ254" s="19"/>
      <c r="BA254" s="19"/>
      <c r="BB254" s="19"/>
      <c r="BC254" s="19"/>
      <c r="BD254" s="19"/>
      <c r="BE254" s="19"/>
      <c r="BF254" s="19"/>
      <c r="BG254" s="19"/>
      <c r="BH254" s="19"/>
      <c r="BI254" s="19"/>
      <c r="BJ254" s="19"/>
      <c r="BK254" s="19"/>
      <c r="BL254" s="19"/>
      <c r="BM254" s="19"/>
      <c r="BN254" s="19"/>
      <c r="BO254" s="19"/>
      <c r="BP254" s="19"/>
      <c r="BQ254" s="19"/>
      <c r="BR254" s="19"/>
      <c r="BS254" s="19"/>
      <c r="BT254" s="19"/>
      <c r="BU254" s="19"/>
      <c r="BV254" s="19"/>
      <c r="BW254" s="19"/>
      <c r="BX254" s="19"/>
      <c r="BY254" s="19"/>
      <c r="BZ254" s="19"/>
      <c r="CA254" s="19"/>
      <c r="CB254" s="19"/>
      <c r="CC254" s="19"/>
      <c r="CD254" s="19"/>
      <c r="CE254" s="19"/>
      <c r="CF254" s="12"/>
    </row>
    <row r="255" spans="1:256">
      <c r="A255" s="18"/>
      <c r="B255" s="18"/>
      <c r="C255" s="18"/>
      <c r="D255" s="18"/>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9"/>
      <c r="AE255" s="19"/>
      <c r="AF255" s="19"/>
      <c r="AG255" s="19"/>
      <c r="AH255" s="19"/>
      <c r="AI255" s="19"/>
      <c r="AJ255" s="19"/>
      <c r="AK255" s="19"/>
      <c r="AL255" s="19"/>
      <c r="AM255" s="19"/>
      <c r="AN255" s="19"/>
      <c r="AO255" s="19"/>
      <c r="AP255" s="19"/>
      <c r="AQ255" s="19"/>
      <c r="AR255" s="19"/>
      <c r="AS255" s="19"/>
      <c r="AT255" s="19"/>
      <c r="AU255" s="19"/>
      <c r="AV255" s="19"/>
      <c r="AW255" s="19"/>
      <c r="AX255" s="19"/>
      <c r="AY255" s="19"/>
      <c r="AZ255" s="19"/>
      <c r="BA255" s="19"/>
      <c r="BB255" s="19"/>
      <c r="BC255" s="19"/>
      <c r="BD255" s="19"/>
      <c r="BE255" s="19"/>
      <c r="BF255" s="19"/>
      <c r="BG255" s="19"/>
      <c r="BH255" s="19"/>
      <c r="BI255" s="19"/>
      <c r="BJ255" s="19"/>
      <c r="BK255" s="19"/>
      <c r="BL255" s="19"/>
      <c r="BM255" s="19"/>
      <c r="BN255" s="19"/>
      <c r="BO255" s="19"/>
      <c r="BP255" s="19"/>
      <c r="BQ255" s="19"/>
      <c r="BR255" s="19"/>
      <c r="BS255" s="19"/>
      <c r="BT255" s="19"/>
      <c r="BU255" s="19"/>
      <c r="BV255" s="19"/>
      <c r="BW255" s="19"/>
      <c r="BX255" s="19"/>
      <c r="BY255" s="19"/>
      <c r="BZ255" s="19"/>
      <c r="CA255" s="19"/>
      <c r="CB255" s="19"/>
      <c r="CC255" s="19"/>
      <c r="CD255" s="19"/>
      <c r="CE255" s="19"/>
      <c r="CF255" s="12"/>
    </row>
    <row r="256" spans="1:256">
      <c r="A256" s="18"/>
      <c r="B256" s="18"/>
      <c r="C256" s="18"/>
      <c r="D256" s="18"/>
      <c r="E256" s="19"/>
      <c r="F256" s="19"/>
      <c r="G256" s="19"/>
      <c r="H256" s="19"/>
      <c r="I256" s="19"/>
      <c r="J256" s="19"/>
      <c r="K256" s="19"/>
      <c r="L256" s="19"/>
      <c r="M256" s="19"/>
      <c r="N256" s="19"/>
      <c r="O256" s="19"/>
      <c r="P256" s="19"/>
      <c r="Q256" s="19"/>
      <c r="R256" s="19"/>
      <c r="S256" s="19"/>
      <c r="T256" s="19"/>
      <c r="U256" s="19"/>
      <c r="V256" s="19"/>
      <c r="W256" s="19"/>
      <c r="X256" s="19"/>
      <c r="Y256" s="19"/>
      <c r="Z256" s="19"/>
      <c r="AA256" s="19"/>
      <c r="AB256" s="19"/>
      <c r="AC256" s="19"/>
      <c r="AD256" s="19"/>
      <c r="AE256" s="19"/>
      <c r="AF256" s="19"/>
      <c r="AG256" s="19"/>
      <c r="AH256" s="19"/>
      <c r="AI256" s="19"/>
      <c r="AJ256" s="19"/>
      <c r="AK256" s="19"/>
      <c r="AL256" s="19"/>
      <c r="AM256" s="19"/>
      <c r="AN256" s="19"/>
      <c r="AO256" s="19"/>
      <c r="AP256" s="19"/>
      <c r="AQ256" s="19"/>
      <c r="AR256" s="19"/>
      <c r="AS256" s="19"/>
      <c r="AT256" s="19"/>
      <c r="AU256" s="19"/>
      <c r="AV256" s="19"/>
      <c r="AW256" s="19"/>
      <c r="AX256" s="19"/>
      <c r="AY256" s="19"/>
      <c r="AZ256" s="19"/>
      <c r="BA256" s="19"/>
      <c r="BB256" s="19"/>
      <c r="BC256" s="19"/>
      <c r="BD256" s="19"/>
      <c r="BE256" s="19"/>
      <c r="BF256" s="19"/>
      <c r="BG256" s="19"/>
      <c r="BH256" s="19"/>
      <c r="BI256" s="19"/>
      <c r="BJ256" s="19"/>
      <c r="BK256" s="19"/>
      <c r="BL256" s="19"/>
      <c r="BM256" s="19"/>
      <c r="BN256" s="19"/>
      <c r="BO256" s="19"/>
      <c r="BP256" s="19"/>
      <c r="BQ256" s="19"/>
      <c r="BR256" s="19"/>
      <c r="BS256" s="19"/>
      <c r="BT256" s="19"/>
      <c r="BU256" s="19"/>
      <c r="BV256" s="19"/>
      <c r="BW256" s="19"/>
      <c r="BX256" s="19"/>
      <c r="BY256" s="19"/>
      <c r="BZ256" s="19"/>
      <c r="CA256" s="19"/>
      <c r="CB256" s="19"/>
      <c r="CC256" s="19"/>
      <c r="CD256" s="19"/>
      <c r="CE256" s="19"/>
      <c r="CF256" s="6"/>
    </row>
    <row r="257" spans="1:84">
      <c r="A257" s="18"/>
      <c r="B257" s="18"/>
      <c r="C257" s="18"/>
      <c r="D257" s="18"/>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9"/>
      <c r="AD257" s="19"/>
      <c r="AE257" s="19"/>
      <c r="AF257" s="19"/>
      <c r="AG257" s="19"/>
      <c r="AH257" s="19"/>
      <c r="AI257" s="19"/>
      <c r="AJ257" s="19"/>
      <c r="AK257" s="19"/>
      <c r="AL257" s="19"/>
      <c r="AM257" s="19"/>
      <c r="AN257" s="19"/>
      <c r="AO257" s="19"/>
      <c r="AP257" s="19"/>
      <c r="AQ257" s="19"/>
      <c r="AR257" s="19"/>
      <c r="AS257" s="19"/>
      <c r="AT257" s="19"/>
      <c r="AU257" s="19"/>
      <c r="AV257" s="19"/>
      <c r="AW257" s="19"/>
      <c r="AX257" s="19"/>
      <c r="AY257" s="19"/>
      <c r="AZ257" s="19"/>
      <c r="BA257" s="19"/>
      <c r="BB257" s="19"/>
      <c r="BC257" s="19"/>
      <c r="BD257" s="19"/>
      <c r="BE257" s="19"/>
      <c r="BF257" s="19"/>
      <c r="BG257" s="19"/>
      <c r="BH257" s="19"/>
      <c r="BI257" s="19"/>
      <c r="BJ257" s="19"/>
      <c r="BK257" s="19"/>
      <c r="BL257" s="19"/>
      <c r="BM257" s="19"/>
      <c r="BN257" s="19"/>
      <c r="BO257" s="19"/>
      <c r="BP257" s="19"/>
      <c r="BQ257" s="19"/>
      <c r="BR257" s="19"/>
      <c r="BS257" s="19"/>
      <c r="BT257" s="19"/>
      <c r="BU257" s="19"/>
      <c r="BV257" s="19"/>
      <c r="BW257" s="19"/>
      <c r="BX257" s="19"/>
      <c r="BY257" s="19"/>
      <c r="BZ257" s="19"/>
      <c r="CA257" s="19"/>
      <c r="CB257" s="19"/>
      <c r="CC257" s="19"/>
      <c r="CD257" s="19"/>
      <c r="CE257" s="19"/>
      <c r="CF257" s="6"/>
    </row>
    <row r="258" spans="1:84">
      <c r="A258" s="18"/>
      <c r="B258" s="18"/>
      <c r="C258" s="18"/>
      <c r="D258" s="18"/>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9"/>
      <c r="AD258" s="19"/>
      <c r="AE258" s="19"/>
      <c r="AF258" s="19"/>
      <c r="AG258" s="19"/>
      <c r="AH258" s="19"/>
      <c r="AI258" s="19"/>
      <c r="AJ258" s="19"/>
      <c r="AK258" s="19"/>
      <c r="AL258" s="19"/>
      <c r="AM258" s="19"/>
      <c r="AN258" s="19"/>
      <c r="AO258" s="19"/>
      <c r="AP258" s="19"/>
      <c r="AQ258" s="19"/>
      <c r="AR258" s="19"/>
      <c r="AS258" s="19"/>
      <c r="AT258" s="19"/>
      <c r="AU258" s="19"/>
      <c r="AV258" s="19"/>
      <c r="AW258" s="19"/>
      <c r="AX258" s="19"/>
      <c r="AY258" s="19"/>
      <c r="AZ258" s="19"/>
      <c r="BA258" s="19"/>
      <c r="BB258" s="19"/>
      <c r="BC258" s="19"/>
      <c r="BD258" s="19"/>
      <c r="BE258" s="19"/>
      <c r="BF258" s="19"/>
      <c r="BG258" s="19"/>
      <c r="BH258" s="19"/>
      <c r="BI258" s="19"/>
      <c r="BJ258" s="19"/>
      <c r="BK258" s="19"/>
      <c r="BL258" s="19"/>
      <c r="BM258" s="19"/>
      <c r="BN258" s="19"/>
      <c r="BO258" s="19"/>
      <c r="BP258" s="19"/>
      <c r="BQ258" s="19"/>
      <c r="BR258" s="19"/>
      <c r="BS258" s="19"/>
      <c r="BT258" s="19"/>
      <c r="BU258" s="19"/>
      <c r="BV258" s="19"/>
      <c r="BW258" s="19"/>
      <c r="BX258" s="19"/>
      <c r="BY258" s="19"/>
      <c r="BZ258" s="19"/>
      <c r="CA258" s="19"/>
      <c r="CB258" s="19"/>
      <c r="CC258" s="19"/>
      <c r="CD258" s="19"/>
      <c r="CE258" s="19"/>
      <c r="CF258" s="6"/>
    </row>
    <row r="259" spans="1:84">
      <c r="A259" s="18"/>
      <c r="B259" s="18"/>
      <c r="C259" s="18"/>
      <c r="D259" s="18"/>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c r="BP259" s="19"/>
      <c r="BQ259" s="19"/>
      <c r="BR259" s="19"/>
      <c r="BS259" s="19"/>
      <c r="BT259" s="19"/>
      <c r="BU259" s="19"/>
      <c r="BV259" s="19"/>
      <c r="BW259" s="19"/>
      <c r="BX259" s="19"/>
      <c r="BY259" s="19"/>
      <c r="BZ259" s="19"/>
      <c r="CA259" s="19"/>
      <c r="CB259" s="19"/>
      <c r="CC259" s="19"/>
      <c r="CD259" s="19"/>
      <c r="CE259" s="19"/>
      <c r="CF259" s="6"/>
    </row>
    <row r="260" spans="1:84">
      <c r="A260" s="18"/>
      <c r="B260" s="18"/>
      <c r="C260" s="18"/>
      <c r="D260" s="18"/>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c r="AG260" s="19"/>
      <c r="AH260" s="19"/>
      <c r="AI260" s="19"/>
      <c r="AJ260" s="19"/>
      <c r="AK260" s="19"/>
      <c r="AL260" s="19"/>
      <c r="AM260" s="19"/>
      <c r="AN260" s="19"/>
      <c r="AO260" s="19"/>
      <c r="AP260" s="19"/>
      <c r="AQ260" s="19"/>
      <c r="AR260" s="19"/>
      <c r="AS260" s="19"/>
      <c r="AT260" s="19"/>
      <c r="AU260" s="19"/>
      <c r="AV260" s="19"/>
      <c r="AW260" s="19"/>
      <c r="AX260" s="19"/>
      <c r="AY260" s="19"/>
      <c r="AZ260" s="19"/>
      <c r="BA260" s="19"/>
      <c r="BB260" s="19"/>
      <c r="BC260" s="19"/>
      <c r="BD260" s="19"/>
      <c r="BE260" s="19"/>
      <c r="BF260" s="19"/>
      <c r="BG260" s="19"/>
      <c r="BH260" s="19"/>
      <c r="BI260" s="19"/>
      <c r="BJ260" s="19"/>
      <c r="BK260" s="19"/>
      <c r="BL260" s="19"/>
      <c r="BM260" s="19"/>
      <c r="BN260" s="19"/>
      <c r="BO260" s="19"/>
      <c r="BP260" s="19"/>
      <c r="BQ260" s="19"/>
      <c r="BR260" s="19"/>
      <c r="BS260" s="19"/>
      <c r="BT260" s="19"/>
      <c r="BU260" s="19"/>
      <c r="BV260" s="19"/>
      <c r="BW260" s="19"/>
      <c r="BX260" s="19"/>
      <c r="BY260" s="19"/>
      <c r="BZ260" s="19"/>
      <c r="CA260" s="19"/>
      <c r="CB260" s="19"/>
      <c r="CC260" s="19"/>
      <c r="CD260" s="19"/>
      <c r="CE260" s="19"/>
      <c r="CF260" s="6"/>
    </row>
    <row r="261" spans="1:84">
      <c r="A261" s="18"/>
      <c r="B261" s="18"/>
      <c r="C261" s="18"/>
      <c r="D261" s="18"/>
      <c r="E261" s="19"/>
      <c r="F261" s="19"/>
      <c r="G261" s="19"/>
      <c r="H261" s="19"/>
      <c r="I261" s="19"/>
      <c r="J261" s="19"/>
      <c r="K261" s="19"/>
      <c r="L261" s="19"/>
      <c r="M261" s="19"/>
      <c r="N261" s="19"/>
      <c r="O261" s="19"/>
      <c r="P261" s="19"/>
      <c r="Q261" s="19"/>
      <c r="R261" s="19"/>
      <c r="S261" s="19"/>
      <c r="T261" s="19"/>
      <c r="U261" s="19"/>
      <c r="V261" s="19"/>
      <c r="W261" s="19"/>
      <c r="X261" s="19"/>
      <c r="Y261" s="19"/>
      <c r="Z261" s="19"/>
      <c r="AA261" s="19"/>
      <c r="AB261" s="19"/>
      <c r="AC261" s="19"/>
      <c r="AD261" s="19"/>
      <c r="AE261" s="19"/>
      <c r="AF261" s="19"/>
      <c r="AG261" s="19"/>
      <c r="AH261" s="19"/>
      <c r="AI261" s="19"/>
      <c r="AJ261" s="19"/>
      <c r="AK261" s="19"/>
      <c r="AL261" s="19"/>
      <c r="AM261" s="19"/>
      <c r="AN261" s="19"/>
      <c r="AO261" s="19"/>
      <c r="AP261" s="19"/>
      <c r="AQ261" s="19"/>
      <c r="AR261" s="19"/>
      <c r="AS261" s="19"/>
      <c r="AT261" s="19"/>
      <c r="AU261" s="19"/>
      <c r="AV261" s="19"/>
      <c r="AW261" s="19"/>
      <c r="AX261" s="19"/>
      <c r="AY261" s="19"/>
      <c r="AZ261" s="19"/>
      <c r="BA261" s="19"/>
      <c r="BB261" s="19"/>
      <c r="BC261" s="19"/>
      <c r="BD261" s="19"/>
      <c r="BE261" s="19"/>
      <c r="BF261" s="19"/>
      <c r="BG261" s="19"/>
      <c r="BH261" s="19"/>
      <c r="BI261" s="19"/>
      <c r="BJ261" s="19"/>
      <c r="BK261" s="19"/>
      <c r="BL261" s="19"/>
      <c r="BM261" s="19"/>
      <c r="BN261" s="19"/>
      <c r="BO261" s="19"/>
      <c r="BP261" s="19"/>
      <c r="BQ261" s="19"/>
      <c r="BR261" s="19"/>
      <c r="BS261" s="19"/>
      <c r="BT261" s="19"/>
      <c r="BU261" s="19"/>
      <c r="BV261" s="19"/>
      <c r="BW261" s="19"/>
      <c r="BX261" s="19"/>
      <c r="BY261" s="19"/>
      <c r="BZ261" s="19"/>
      <c r="CA261" s="19"/>
      <c r="CB261" s="19"/>
      <c r="CC261" s="19"/>
      <c r="CD261" s="19"/>
      <c r="CE261" s="19"/>
      <c r="CF261" s="6"/>
    </row>
    <row r="262" spans="1:84">
      <c r="A262" s="18"/>
      <c r="B262" s="18"/>
      <c r="C262" s="18"/>
      <c r="D262" s="18"/>
      <c r="E262" s="19"/>
      <c r="F262" s="19"/>
      <c r="G262" s="19"/>
      <c r="H262" s="19"/>
      <c r="I262" s="19"/>
      <c r="J262" s="19"/>
      <c r="K262" s="19"/>
      <c r="L262" s="19"/>
      <c r="M262" s="19"/>
      <c r="N262" s="19"/>
      <c r="O262" s="19"/>
      <c r="P262" s="19"/>
      <c r="Q262" s="19"/>
      <c r="R262" s="19"/>
      <c r="S262" s="19"/>
      <c r="T262" s="19"/>
      <c r="U262" s="19"/>
      <c r="V262" s="19"/>
      <c r="W262" s="19"/>
      <c r="X262" s="19"/>
      <c r="Y262" s="19"/>
      <c r="Z262" s="19"/>
      <c r="AA262" s="19"/>
      <c r="AB262" s="19"/>
      <c r="AC262" s="19"/>
      <c r="AD262" s="19"/>
      <c r="AE262" s="19"/>
      <c r="AF262" s="19"/>
      <c r="AG262" s="19"/>
      <c r="AH262" s="19"/>
      <c r="AI262" s="19"/>
      <c r="AJ262" s="19"/>
      <c r="AK262" s="19"/>
      <c r="AL262" s="19"/>
      <c r="AM262" s="19"/>
      <c r="AN262" s="19"/>
      <c r="AO262" s="19"/>
      <c r="AP262" s="19"/>
      <c r="AQ262" s="19"/>
      <c r="AR262" s="19"/>
      <c r="AS262" s="19"/>
      <c r="AT262" s="19"/>
      <c r="AU262" s="19"/>
      <c r="AV262" s="19"/>
      <c r="AW262" s="19"/>
      <c r="AX262" s="19"/>
      <c r="AY262" s="19"/>
      <c r="AZ262" s="19"/>
      <c r="BA262" s="19"/>
      <c r="BB262" s="19"/>
      <c r="BC262" s="19"/>
      <c r="BD262" s="19"/>
      <c r="BE262" s="19"/>
      <c r="BF262" s="19"/>
      <c r="BG262" s="19"/>
      <c r="BH262" s="19"/>
      <c r="BI262" s="19"/>
      <c r="BJ262" s="19"/>
      <c r="BK262" s="19"/>
      <c r="BL262" s="19"/>
      <c r="BM262" s="19"/>
      <c r="BN262" s="19"/>
      <c r="BO262" s="19"/>
      <c r="BP262" s="19"/>
      <c r="BQ262" s="19"/>
      <c r="BR262" s="19"/>
      <c r="BS262" s="19"/>
      <c r="BT262" s="19"/>
      <c r="BU262" s="19"/>
      <c r="BV262" s="19"/>
      <c r="BW262" s="19"/>
      <c r="BX262" s="19"/>
      <c r="BY262" s="19"/>
      <c r="BZ262" s="19"/>
      <c r="CA262" s="19"/>
      <c r="CB262" s="19"/>
      <c r="CC262" s="19"/>
      <c r="CD262" s="19"/>
      <c r="CE262" s="19"/>
      <c r="CF262" s="6"/>
    </row>
    <row r="263" spans="1:84">
      <c r="A263" s="18"/>
      <c r="B263" s="18"/>
      <c r="C263" s="18"/>
      <c r="D263" s="18"/>
      <c r="E263" s="20"/>
      <c r="F263" s="19"/>
      <c r="G263" s="19"/>
      <c r="H263" s="19"/>
      <c r="I263" s="19"/>
      <c r="J263" s="19"/>
      <c r="K263" s="19"/>
      <c r="L263" s="19"/>
      <c r="M263" s="19"/>
      <c r="N263" s="19"/>
      <c r="O263" s="19"/>
      <c r="P263" s="19"/>
      <c r="Q263" s="19"/>
      <c r="R263" s="19"/>
      <c r="S263" s="19"/>
      <c r="T263" s="19"/>
      <c r="U263" s="19"/>
      <c r="V263" s="19"/>
      <c r="W263" s="19"/>
      <c r="X263" s="19"/>
      <c r="Y263" s="19"/>
      <c r="Z263" s="19"/>
      <c r="AA263" s="19"/>
      <c r="AB263" s="19"/>
      <c r="AC263" s="19"/>
      <c r="AD263" s="19"/>
      <c r="AE263" s="19"/>
      <c r="AF263" s="19"/>
      <c r="AG263" s="19"/>
      <c r="AH263" s="19"/>
      <c r="AI263" s="19"/>
      <c r="AJ263" s="19"/>
      <c r="AK263" s="19"/>
      <c r="AL263" s="19"/>
      <c r="AM263" s="19"/>
      <c r="AN263" s="19"/>
      <c r="AO263" s="19"/>
      <c r="AP263" s="19"/>
      <c r="AQ263" s="19"/>
      <c r="AR263" s="19"/>
      <c r="AS263" s="19"/>
      <c r="AT263" s="19"/>
      <c r="AU263" s="19"/>
      <c r="AV263" s="19"/>
      <c r="AW263" s="19"/>
      <c r="AX263" s="19"/>
      <c r="AY263" s="19"/>
      <c r="AZ263" s="19"/>
      <c r="BA263" s="19"/>
      <c r="BB263" s="19"/>
      <c r="BC263" s="19"/>
      <c r="BD263" s="19"/>
      <c r="BE263" s="19"/>
      <c r="BF263" s="19"/>
      <c r="BG263" s="19"/>
      <c r="BH263" s="19"/>
      <c r="BI263" s="19"/>
      <c r="BJ263" s="19"/>
      <c r="BK263" s="19"/>
      <c r="BL263" s="19"/>
      <c r="BM263" s="19"/>
      <c r="BN263" s="19"/>
      <c r="BO263" s="19"/>
      <c r="BP263" s="19"/>
      <c r="BQ263" s="19"/>
      <c r="BR263" s="19"/>
      <c r="BS263" s="19"/>
      <c r="BT263" s="19"/>
      <c r="BU263" s="19"/>
      <c r="BV263" s="19"/>
      <c r="BW263" s="19"/>
      <c r="BX263" s="19"/>
      <c r="BY263" s="19"/>
      <c r="BZ263" s="19"/>
      <c r="CA263" s="19"/>
      <c r="CB263" s="19"/>
      <c r="CC263" s="19"/>
      <c r="CD263" s="19"/>
      <c r="CE263" s="19"/>
      <c r="CF263" s="6"/>
    </row>
    <row r="264" spans="1:84">
      <c r="A264" s="18"/>
      <c r="B264" s="18"/>
      <c r="C264" s="18"/>
      <c r="D264" s="18"/>
      <c r="E264" s="20"/>
      <c r="F264" s="19"/>
      <c r="G264" s="19"/>
      <c r="H264" s="19"/>
      <c r="I264" s="19"/>
      <c r="J264" s="19"/>
      <c r="K264" s="19"/>
      <c r="L264" s="19"/>
      <c r="M264" s="19"/>
      <c r="N264" s="19"/>
      <c r="O264" s="19"/>
      <c r="P264" s="19"/>
      <c r="Q264" s="19"/>
      <c r="R264" s="19"/>
      <c r="S264" s="19"/>
      <c r="T264" s="19"/>
      <c r="U264" s="19"/>
      <c r="V264" s="19"/>
      <c r="W264" s="19"/>
      <c r="X264" s="19"/>
      <c r="Y264" s="19"/>
      <c r="Z264" s="19"/>
      <c r="AA264" s="19"/>
      <c r="AB264" s="19"/>
      <c r="AC264" s="19"/>
      <c r="AD264" s="19"/>
      <c r="AE264" s="19"/>
      <c r="AF264" s="19"/>
      <c r="AG264" s="19"/>
      <c r="AH264" s="19"/>
      <c r="AI264" s="19"/>
      <c r="AJ264" s="19"/>
      <c r="AK264" s="19"/>
      <c r="AL264" s="19"/>
      <c r="AM264" s="19"/>
      <c r="AN264" s="19"/>
      <c r="AO264" s="19"/>
      <c r="AP264" s="19"/>
      <c r="AQ264" s="19"/>
      <c r="AR264" s="19"/>
      <c r="AS264" s="19"/>
      <c r="AT264" s="19"/>
      <c r="AU264" s="19"/>
      <c r="AV264" s="19"/>
      <c r="AW264" s="19"/>
      <c r="AX264" s="19"/>
      <c r="AY264" s="19"/>
      <c r="AZ264" s="19"/>
      <c r="BA264" s="19"/>
      <c r="BB264" s="19"/>
      <c r="BC264" s="19"/>
      <c r="BD264" s="19"/>
      <c r="BE264" s="19"/>
      <c r="BF264" s="19"/>
      <c r="BG264" s="19"/>
      <c r="BH264" s="19"/>
      <c r="BI264" s="19"/>
      <c r="BJ264" s="19"/>
      <c r="BK264" s="19"/>
      <c r="BL264" s="19"/>
      <c r="BM264" s="19"/>
      <c r="BN264" s="19"/>
      <c r="BO264" s="19"/>
      <c r="BP264" s="19"/>
      <c r="BQ264" s="19"/>
      <c r="BR264" s="19"/>
      <c r="BS264" s="19"/>
      <c r="BT264" s="19"/>
      <c r="BU264" s="19"/>
      <c r="BV264" s="19"/>
      <c r="BW264" s="19"/>
      <c r="BX264" s="19"/>
      <c r="BY264" s="19"/>
      <c r="BZ264" s="19"/>
      <c r="CA264" s="19"/>
      <c r="CB264" s="19"/>
      <c r="CC264" s="19"/>
      <c r="CD264" s="19"/>
      <c r="CE264" s="19"/>
      <c r="CF264" s="6"/>
    </row>
    <row r="265" spans="1:84">
      <c r="A265" s="18"/>
      <c r="B265" s="18"/>
      <c r="C265" s="18"/>
      <c r="D265" s="18"/>
      <c r="E265" s="20"/>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19"/>
      <c r="AE265" s="19"/>
      <c r="AF265" s="19"/>
      <c r="AG265" s="19"/>
      <c r="AH265" s="19"/>
      <c r="AI265" s="19"/>
      <c r="AJ265" s="19"/>
      <c r="AK265" s="19"/>
      <c r="AL265" s="19"/>
      <c r="AM265" s="19"/>
      <c r="AN265" s="19"/>
      <c r="AO265" s="19"/>
      <c r="AP265" s="19"/>
      <c r="AQ265" s="19"/>
      <c r="AR265" s="19"/>
      <c r="AS265" s="19"/>
      <c r="AT265" s="19"/>
      <c r="AU265" s="19"/>
      <c r="AV265" s="19"/>
      <c r="AW265" s="19"/>
      <c r="AX265" s="19"/>
      <c r="AY265" s="19"/>
      <c r="AZ265" s="19"/>
      <c r="BA265" s="19"/>
      <c r="BB265" s="19"/>
      <c r="BC265" s="19"/>
      <c r="BD265" s="19"/>
      <c r="BE265" s="19"/>
      <c r="BF265" s="19"/>
      <c r="BG265" s="19"/>
      <c r="BH265" s="19"/>
      <c r="BI265" s="19"/>
      <c r="BJ265" s="19"/>
      <c r="BK265" s="19"/>
      <c r="BL265" s="19"/>
      <c r="BM265" s="19"/>
      <c r="BN265" s="19"/>
      <c r="BO265" s="19"/>
      <c r="BP265" s="19"/>
      <c r="BQ265" s="19"/>
      <c r="BR265" s="19"/>
      <c r="BS265" s="19"/>
      <c r="BT265" s="19"/>
      <c r="BU265" s="19"/>
      <c r="BV265" s="19"/>
      <c r="BW265" s="19"/>
      <c r="BX265" s="19"/>
      <c r="BY265" s="19"/>
      <c r="BZ265" s="19"/>
      <c r="CA265" s="19"/>
      <c r="CB265" s="19"/>
      <c r="CC265" s="19"/>
      <c r="CD265" s="19"/>
      <c r="CE265" s="19"/>
      <c r="CF265" s="6"/>
    </row>
    <row r="266" spans="1:84">
      <c r="A266" s="18"/>
      <c r="B266" s="18"/>
      <c r="C266" s="18"/>
      <c r="D266" s="18"/>
      <c r="E266" s="20"/>
      <c r="F266" s="19"/>
      <c r="G266" s="19"/>
      <c r="H266" s="19"/>
      <c r="I266" s="19"/>
      <c r="J266" s="19"/>
      <c r="K266" s="19"/>
      <c r="L266" s="19"/>
      <c r="M266" s="19"/>
      <c r="N266" s="19"/>
      <c r="O266" s="19"/>
      <c r="P266" s="19"/>
      <c r="Q266" s="19"/>
      <c r="R266" s="19"/>
      <c r="S266" s="19"/>
      <c r="T266" s="19"/>
      <c r="U266" s="19"/>
      <c r="V266" s="19"/>
      <c r="W266" s="19"/>
      <c r="X266" s="19"/>
      <c r="Y266" s="19"/>
      <c r="Z266" s="19"/>
      <c r="AA266" s="19"/>
      <c r="AB266" s="19"/>
      <c r="AC266" s="19"/>
      <c r="AD266" s="19"/>
      <c r="AE266" s="19"/>
      <c r="AF266" s="19"/>
      <c r="AG266" s="19"/>
      <c r="AH266" s="19"/>
      <c r="AI266" s="19"/>
      <c r="AJ266" s="19"/>
      <c r="AK266" s="19"/>
      <c r="AL266" s="19"/>
      <c r="AM266" s="19"/>
      <c r="AN266" s="19"/>
      <c r="AO266" s="19"/>
      <c r="AP266" s="19"/>
      <c r="AQ266" s="19"/>
      <c r="AR266" s="19"/>
      <c r="AS266" s="19"/>
      <c r="AT266" s="19"/>
      <c r="AU266" s="19"/>
      <c r="AV266" s="19"/>
      <c r="AW266" s="19"/>
      <c r="AX266" s="19"/>
      <c r="AY266" s="19"/>
      <c r="AZ266" s="19"/>
      <c r="BA266" s="19"/>
      <c r="BB266" s="19"/>
      <c r="BC266" s="19"/>
      <c r="BD266" s="19"/>
      <c r="BE266" s="19"/>
      <c r="BF266" s="19"/>
      <c r="BG266" s="19"/>
      <c r="BH266" s="19"/>
      <c r="BI266" s="19"/>
      <c r="BJ266" s="19"/>
      <c r="BK266" s="19"/>
      <c r="BL266" s="19"/>
      <c r="BM266" s="19"/>
      <c r="BN266" s="19"/>
      <c r="BO266" s="19"/>
      <c r="BP266" s="19"/>
      <c r="BQ266" s="19"/>
      <c r="BR266" s="19"/>
      <c r="BS266" s="19"/>
      <c r="BT266" s="19"/>
      <c r="BU266" s="19"/>
      <c r="BV266" s="19"/>
      <c r="BW266" s="19"/>
      <c r="BX266" s="19"/>
      <c r="BY266" s="19"/>
      <c r="BZ266" s="19"/>
      <c r="CA266" s="19"/>
      <c r="CB266" s="19"/>
      <c r="CC266" s="19"/>
      <c r="CD266" s="19"/>
      <c r="CE266" s="19"/>
      <c r="CF266" s="6"/>
    </row>
    <row r="267" spans="1:84">
      <c r="A267" s="18"/>
      <c r="B267" s="18"/>
      <c r="C267" s="18"/>
      <c r="D267" s="18"/>
      <c r="E267" s="20"/>
      <c r="F267" s="19"/>
      <c r="G267" s="19"/>
      <c r="H267" s="19"/>
      <c r="I267" s="19"/>
      <c r="J267" s="19"/>
      <c r="K267" s="19"/>
      <c r="L267" s="19"/>
      <c r="M267" s="19"/>
      <c r="N267" s="19"/>
      <c r="O267" s="19"/>
      <c r="P267" s="19"/>
      <c r="Q267" s="19"/>
      <c r="R267" s="19"/>
      <c r="S267" s="19"/>
      <c r="T267" s="19"/>
      <c r="U267" s="19"/>
      <c r="V267" s="19"/>
      <c r="W267" s="19"/>
      <c r="X267" s="19"/>
      <c r="Y267" s="19"/>
      <c r="Z267" s="19"/>
      <c r="AA267" s="19"/>
      <c r="AB267" s="19"/>
      <c r="AC267" s="19"/>
      <c r="AD267" s="19"/>
      <c r="AE267" s="19"/>
      <c r="AF267" s="19"/>
      <c r="AG267" s="19"/>
      <c r="AH267" s="19"/>
      <c r="AI267" s="19"/>
      <c r="AJ267" s="19"/>
      <c r="AK267" s="19"/>
      <c r="AL267" s="19"/>
      <c r="AM267" s="19"/>
      <c r="AN267" s="19"/>
      <c r="AO267" s="19"/>
      <c r="AP267" s="19"/>
      <c r="AQ267" s="19"/>
      <c r="AR267" s="19"/>
      <c r="AS267" s="19"/>
      <c r="AT267" s="19"/>
      <c r="AU267" s="19"/>
      <c r="AV267" s="19"/>
      <c r="AW267" s="19"/>
      <c r="AX267" s="19"/>
      <c r="AY267" s="19"/>
      <c r="AZ267" s="19"/>
      <c r="BA267" s="19"/>
      <c r="BB267" s="19"/>
      <c r="BC267" s="19"/>
      <c r="BD267" s="19"/>
      <c r="BE267" s="19"/>
      <c r="BF267" s="19"/>
      <c r="BG267" s="19"/>
      <c r="BH267" s="19"/>
      <c r="BI267" s="19"/>
      <c r="BJ267" s="19"/>
      <c r="BK267" s="19"/>
      <c r="BL267" s="19"/>
      <c r="BM267" s="19"/>
      <c r="BN267" s="19"/>
      <c r="BO267" s="19"/>
      <c r="BP267" s="19"/>
      <c r="BQ267" s="19"/>
      <c r="BR267" s="19"/>
      <c r="BS267" s="19"/>
      <c r="BT267" s="19"/>
      <c r="BU267" s="19"/>
      <c r="BV267" s="19"/>
      <c r="BW267" s="19"/>
      <c r="BX267" s="19"/>
      <c r="BY267" s="19"/>
      <c r="BZ267" s="19"/>
      <c r="CA267" s="19"/>
      <c r="CB267" s="19"/>
      <c r="CC267" s="19"/>
      <c r="CD267" s="19"/>
      <c r="CE267" s="19"/>
      <c r="CF267" s="6"/>
    </row>
    <row r="268" spans="1:84">
      <c r="A268" s="18"/>
      <c r="B268" s="18"/>
      <c r="C268" s="18"/>
      <c r="D268" s="18"/>
      <c r="E268" s="20"/>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c r="AG268" s="19"/>
      <c r="AH268" s="19"/>
      <c r="AI268" s="19"/>
      <c r="AJ268" s="19"/>
      <c r="AK268" s="19"/>
      <c r="AL268" s="19"/>
      <c r="AM268" s="19"/>
      <c r="AN268" s="19"/>
      <c r="AO268" s="19"/>
      <c r="AP268" s="19"/>
      <c r="AQ268" s="19"/>
      <c r="AR268" s="19"/>
      <c r="AS268" s="19"/>
      <c r="AT268" s="19"/>
      <c r="AU268" s="19"/>
      <c r="AV268" s="19"/>
      <c r="AW268" s="19"/>
      <c r="AX268" s="19"/>
      <c r="AY268" s="19"/>
      <c r="AZ268" s="19"/>
      <c r="BA268" s="19"/>
      <c r="BB268" s="19"/>
      <c r="BC268" s="19"/>
      <c r="BD268" s="19"/>
      <c r="BE268" s="19"/>
      <c r="BF268" s="19"/>
      <c r="BG268" s="19"/>
      <c r="BH268" s="19"/>
      <c r="BI268" s="19"/>
      <c r="BJ268" s="19"/>
      <c r="BK268" s="19"/>
      <c r="BL268" s="19"/>
      <c r="BM268" s="19"/>
      <c r="BN268" s="19"/>
      <c r="BO268" s="19"/>
      <c r="BP268" s="19"/>
      <c r="BQ268" s="19"/>
      <c r="BR268" s="19"/>
      <c r="BS268" s="19"/>
      <c r="BT268" s="19"/>
      <c r="BU268" s="19"/>
      <c r="BV268" s="19"/>
      <c r="BW268" s="19"/>
      <c r="BX268" s="19"/>
      <c r="BY268" s="19"/>
      <c r="BZ268" s="19"/>
      <c r="CA268" s="19"/>
      <c r="CB268" s="19"/>
      <c r="CC268" s="19"/>
      <c r="CD268" s="19"/>
      <c r="CE268" s="19"/>
      <c r="CF268" s="6"/>
    </row>
    <row r="269" spans="1:84">
      <c r="B269" s="17"/>
      <c r="C269" s="21" t="s">
        <v>15</v>
      </c>
      <c r="D269" s="21">
        <f>SUM(D243:D268)</f>
        <v>1.6682700766185934</v>
      </c>
      <c r="E269" s="20"/>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c r="AG269" s="19"/>
      <c r="AH269" s="19"/>
      <c r="AI269" s="19"/>
      <c r="AJ269" s="19"/>
      <c r="AK269" s="19"/>
      <c r="AL269" s="19"/>
      <c r="AM269" s="19"/>
      <c r="AN269" s="19"/>
      <c r="AO269" s="19"/>
      <c r="AP269" s="19"/>
      <c r="AQ269" s="19"/>
      <c r="AR269" s="19"/>
      <c r="AS269" s="19"/>
      <c r="AT269" s="19"/>
      <c r="AU269" s="19"/>
      <c r="AV269" s="19"/>
      <c r="AW269" s="19"/>
      <c r="AX269" s="19"/>
      <c r="AY269" s="19"/>
      <c r="AZ269" s="19"/>
      <c r="BA269" s="19"/>
      <c r="BB269" s="19"/>
      <c r="BC269" s="19"/>
      <c r="BD269" s="19"/>
      <c r="BE269" s="19"/>
      <c r="BF269" s="19"/>
      <c r="BG269" s="19"/>
      <c r="BH269" s="19"/>
      <c r="BI269" s="19"/>
      <c r="BJ269" s="19"/>
      <c r="BK269" s="19"/>
      <c r="BL269" s="19"/>
      <c r="BM269" s="19"/>
      <c r="BN269" s="19"/>
      <c r="BO269" s="19"/>
      <c r="BP269" s="19"/>
      <c r="BQ269" s="19"/>
      <c r="BR269" s="19"/>
      <c r="BS269" s="19"/>
      <c r="BT269" s="19"/>
      <c r="BU269" s="19"/>
      <c r="BV269" s="19"/>
      <c r="BW269" s="19"/>
      <c r="BX269" s="19"/>
      <c r="BY269" s="19"/>
      <c r="BZ269" s="19"/>
      <c r="CA269" s="19"/>
      <c r="CB269" s="19"/>
      <c r="CC269" s="19"/>
      <c r="CD269" s="19"/>
      <c r="CE269" s="19"/>
      <c r="CF269" s="6"/>
    </row>
    <row r="270" spans="1:84">
      <c r="A270" s="17"/>
      <c r="B270" s="17"/>
      <c r="C270" s="17"/>
      <c r="D270" s="19"/>
      <c r="E270" s="20"/>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9"/>
      <c r="AD270" s="19"/>
      <c r="AE270" s="19"/>
      <c r="AF270" s="19"/>
      <c r="AG270" s="19"/>
      <c r="AH270" s="19"/>
      <c r="AI270" s="19"/>
      <c r="AJ270" s="19"/>
      <c r="AK270" s="19"/>
      <c r="AL270" s="19"/>
      <c r="AM270" s="19"/>
      <c r="AN270" s="19"/>
      <c r="AO270" s="19"/>
      <c r="AP270" s="19"/>
      <c r="AQ270" s="19"/>
      <c r="AR270" s="19"/>
      <c r="AS270" s="19"/>
      <c r="AT270" s="19"/>
      <c r="AU270" s="19"/>
      <c r="AV270" s="19"/>
      <c r="AW270" s="19"/>
      <c r="AX270" s="19"/>
      <c r="AY270" s="19"/>
      <c r="AZ270" s="19"/>
      <c r="BA270" s="19"/>
      <c r="BB270" s="19"/>
      <c r="BC270" s="19"/>
      <c r="BD270" s="19"/>
      <c r="BE270" s="19"/>
      <c r="BF270" s="19"/>
      <c r="BG270" s="19"/>
      <c r="BH270" s="19"/>
      <c r="BI270" s="19"/>
      <c r="BJ270" s="19"/>
      <c r="BK270" s="19"/>
      <c r="BL270" s="19"/>
      <c r="BM270" s="19"/>
      <c r="BN270" s="19"/>
      <c r="BO270" s="19"/>
      <c r="BP270" s="19"/>
      <c r="BQ270" s="19"/>
      <c r="BR270" s="19"/>
      <c r="BS270" s="19"/>
      <c r="BT270" s="19"/>
      <c r="BU270" s="19"/>
      <c r="BV270" s="19"/>
      <c r="BW270" s="19"/>
      <c r="BX270" s="19"/>
      <c r="BY270" s="19"/>
      <c r="BZ270" s="19"/>
      <c r="CA270" s="19"/>
      <c r="CB270" s="19"/>
      <c r="CC270" s="19"/>
      <c r="CD270" s="19"/>
      <c r="CE270" s="19"/>
      <c r="CF270" s="6"/>
    </row>
    <row r="271" spans="1:84">
      <c r="A271" s="17"/>
      <c r="B271" s="17"/>
      <c r="C271" s="17"/>
      <c r="D271" s="19"/>
      <c r="E271" s="20"/>
      <c r="F271" s="19"/>
      <c r="G271" s="19"/>
      <c r="H271" s="19"/>
      <c r="I271" s="19"/>
      <c r="J271" s="19"/>
      <c r="K271" s="19"/>
      <c r="L271" s="19"/>
      <c r="M271" s="19"/>
      <c r="N271" s="19"/>
      <c r="O271" s="19"/>
      <c r="P271" s="19"/>
      <c r="Q271" s="19"/>
      <c r="R271" s="19"/>
      <c r="S271" s="19"/>
      <c r="T271" s="19"/>
      <c r="U271" s="19"/>
      <c r="V271" s="19"/>
      <c r="W271" s="19"/>
      <c r="X271" s="19"/>
      <c r="Y271" s="19"/>
      <c r="Z271" s="19"/>
      <c r="AA271" s="19"/>
      <c r="AB271" s="19"/>
      <c r="AC271" s="19"/>
      <c r="AD271" s="19"/>
      <c r="AE271" s="19"/>
      <c r="AF271" s="19"/>
      <c r="AG271" s="19"/>
      <c r="AH271" s="19"/>
      <c r="AI271" s="19"/>
      <c r="AJ271" s="19"/>
      <c r="AK271" s="19"/>
      <c r="AL271" s="19"/>
      <c r="AM271" s="19"/>
      <c r="AN271" s="19"/>
      <c r="AO271" s="19"/>
      <c r="AP271" s="19"/>
      <c r="AQ271" s="19"/>
      <c r="AR271" s="19"/>
      <c r="AS271" s="19"/>
      <c r="AT271" s="19"/>
      <c r="AU271" s="19"/>
      <c r="AV271" s="19"/>
      <c r="AW271" s="19"/>
      <c r="AX271" s="19"/>
      <c r="AY271" s="19"/>
      <c r="AZ271" s="19"/>
      <c r="BA271" s="19"/>
      <c r="BB271" s="19"/>
      <c r="BC271" s="19"/>
      <c r="BD271" s="19"/>
      <c r="BE271" s="19"/>
      <c r="BF271" s="19"/>
      <c r="BG271" s="19"/>
      <c r="BH271" s="19"/>
      <c r="BI271" s="19"/>
      <c r="BJ271" s="19"/>
      <c r="BK271" s="19"/>
      <c r="BL271" s="19"/>
      <c r="BM271" s="19"/>
      <c r="BN271" s="19"/>
      <c r="BO271" s="19"/>
      <c r="BP271" s="19"/>
      <c r="BQ271" s="19"/>
      <c r="BR271" s="19"/>
      <c r="BS271" s="19"/>
      <c r="BT271" s="19"/>
      <c r="BU271" s="19"/>
      <c r="BV271" s="19"/>
      <c r="BW271" s="19"/>
      <c r="BX271" s="19"/>
      <c r="BY271" s="19"/>
      <c r="BZ271" s="19"/>
      <c r="CA271" s="19"/>
      <c r="CB271" s="19"/>
      <c r="CC271" s="19"/>
      <c r="CD271" s="19"/>
      <c r="CE271" s="19"/>
      <c r="CF271" s="6"/>
    </row>
    <row r="272" spans="1:84">
      <c r="A272" s="17"/>
      <c r="B272" s="17"/>
      <c r="C272" s="17"/>
      <c r="D272" s="19"/>
      <c r="E272" s="20"/>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9"/>
      <c r="AD272" s="19"/>
      <c r="AE272" s="19"/>
      <c r="AF272" s="19"/>
      <c r="AG272" s="19"/>
      <c r="AH272" s="19"/>
      <c r="AI272" s="19"/>
      <c r="AJ272" s="19"/>
      <c r="AK272" s="19"/>
      <c r="AL272" s="19"/>
      <c r="AM272" s="19"/>
      <c r="AN272" s="19"/>
      <c r="AO272" s="19"/>
      <c r="AP272" s="19"/>
      <c r="AQ272" s="19"/>
      <c r="AR272" s="19"/>
      <c r="AS272" s="19"/>
      <c r="AT272" s="19"/>
      <c r="AU272" s="19"/>
      <c r="AV272" s="19"/>
      <c r="AW272" s="19"/>
      <c r="AX272" s="19"/>
      <c r="AY272" s="19"/>
      <c r="AZ272" s="19"/>
      <c r="BA272" s="19"/>
      <c r="BB272" s="19"/>
      <c r="BC272" s="19"/>
      <c r="BD272" s="19"/>
      <c r="BE272" s="19"/>
      <c r="BF272" s="19"/>
      <c r="BG272" s="19"/>
      <c r="BH272" s="19"/>
      <c r="BI272" s="19"/>
      <c r="BJ272" s="19"/>
      <c r="BK272" s="19"/>
      <c r="BL272" s="19"/>
      <c r="BM272" s="19"/>
      <c r="BN272" s="19"/>
      <c r="BO272" s="19"/>
      <c r="BP272" s="19"/>
      <c r="BQ272" s="19"/>
      <c r="BR272" s="19"/>
      <c r="BS272" s="19"/>
      <c r="BT272" s="19"/>
      <c r="BU272" s="19"/>
      <c r="BV272" s="19"/>
      <c r="BW272" s="19"/>
      <c r="BX272" s="19"/>
      <c r="BY272" s="19"/>
      <c r="BZ272" s="19"/>
      <c r="CA272" s="19"/>
      <c r="CB272" s="19"/>
      <c r="CC272" s="19"/>
      <c r="CD272" s="19"/>
      <c r="CE272" s="19"/>
      <c r="CF272" s="6"/>
    </row>
    <row r="273" spans="1:84">
      <c r="A273" s="17"/>
      <c r="B273" s="17"/>
      <c r="C273" s="17"/>
      <c r="D273" s="19"/>
      <c r="E273" s="20"/>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9"/>
      <c r="AD273" s="19"/>
      <c r="AE273" s="19"/>
      <c r="AF273" s="19"/>
      <c r="AG273" s="19"/>
      <c r="AH273" s="19"/>
      <c r="AI273" s="19"/>
      <c r="AJ273" s="19"/>
      <c r="AK273" s="19"/>
      <c r="AL273" s="19"/>
      <c r="AM273" s="19"/>
      <c r="AN273" s="19"/>
      <c r="AO273" s="19"/>
      <c r="AP273" s="19"/>
      <c r="AQ273" s="19"/>
      <c r="AR273" s="19"/>
      <c r="AS273" s="19"/>
      <c r="AT273" s="19"/>
      <c r="AU273" s="19"/>
      <c r="AV273" s="19"/>
      <c r="AW273" s="19"/>
      <c r="AX273" s="19"/>
      <c r="AY273" s="19"/>
      <c r="AZ273" s="19"/>
      <c r="BA273" s="19"/>
      <c r="BB273" s="19"/>
      <c r="BC273" s="19"/>
      <c r="BD273" s="19"/>
      <c r="BE273" s="19"/>
      <c r="BF273" s="19"/>
      <c r="BG273" s="19"/>
      <c r="BH273" s="19"/>
      <c r="BI273" s="19"/>
      <c r="BJ273" s="19"/>
      <c r="BK273" s="19"/>
      <c r="BL273" s="19"/>
      <c r="BM273" s="19"/>
      <c r="BN273" s="19"/>
      <c r="BO273" s="19"/>
      <c r="BP273" s="19"/>
      <c r="BQ273" s="19"/>
      <c r="BR273" s="19"/>
      <c r="BS273" s="19"/>
      <c r="BT273" s="19"/>
      <c r="BU273" s="19"/>
      <c r="BV273" s="19"/>
      <c r="BW273" s="19"/>
      <c r="BX273" s="19"/>
      <c r="BY273" s="19"/>
      <c r="BZ273" s="19"/>
      <c r="CA273" s="19"/>
      <c r="CB273" s="19"/>
      <c r="CC273" s="19"/>
      <c r="CD273" s="19"/>
      <c r="CE273" s="19"/>
      <c r="CF273" s="6"/>
    </row>
    <row r="274" spans="1:84">
      <c r="A274" s="17"/>
      <c r="B274" s="17"/>
      <c r="C274" s="17"/>
      <c r="D274" s="19"/>
      <c r="E274" s="20"/>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9"/>
      <c r="AD274" s="19"/>
      <c r="AE274" s="19"/>
      <c r="AF274" s="19"/>
      <c r="AG274" s="19"/>
      <c r="AH274" s="19"/>
      <c r="AI274" s="19"/>
      <c r="AJ274" s="19"/>
      <c r="AK274" s="19"/>
      <c r="AL274" s="19"/>
      <c r="AM274" s="19"/>
      <c r="AN274" s="19"/>
      <c r="AO274" s="19"/>
      <c r="AP274" s="19"/>
      <c r="AQ274" s="19"/>
      <c r="AR274" s="19"/>
      <c r="AS274" s="19"/>
      <c r="AT274" s="19"/>
      <c r="AU274" s="19"/>
      <c r="AV274" s="19"/>
      <c r="AW274" s="19"/>
      <c r="AX274" s="19"/>
      <c r="AY274" s="19"/>
      <c r="AZ274" s="19"/>
      <c r="BA274" s="19"/>
      <c r="BB274" s="19"/>
      <c r="BC274" s="19"/>
      <c r="BD274" s="19"/>
      <c r="BE274" s="19"/>
      <c r="BF274" s="19"/>
      <c r="BG274" s="19"/>
      <c r="BH274" s="19"/>
      <c r="BI274" s="19"/>
      <c r="BJ274" s="19"/>
      <c r="BK274" s="19"/>
      <c r="BL274" s="19"/>
      <c r="BM274" s="19"/>
      <c r="BN274" s="19"/>
      <c r="BO274" s="19"/>
      <c r="BP274" s="19"/>
      <c r="BQ274" s="19"/>
      <c r="BR274" s="19"/>
      <c r="BS274" s="19"/>
      <c r="BT274" s="19"/>
      <c r="BU274" s="19"/>
      <c r="BV274" s="19"/>
      <c r="BW274" s="19"/>
      <c r="BX274" s="19"/>
      <c r="BY274" s="19"/>
      <c r="BZ274" s="19"/>
      <c r="CA274" s="19"/>
      <c r="CB274" s="19"/>
      <c r="CC274" s="19"/>
      <c r="CD274" s="19"/>
      <c r="CE274" s="19"/>
      <c r="CF274" s="6"/>
    </row>
    <row r="275" spans="1:84">
      <c r="A275" s="17"/>
      <c r="B275" s="17"/>
      <c r="C275" s="17"/>
      <c r="D275" s="19"/>
      <c r="E275" s="20"/>
      <c r="F275" s="19"/>
      <c r="G275" s="19"/>
      <c r="H275" s="19"/>
      <c r="I275" s="19"/>
      <c r="J275" s="19"/>
      <c r="K275" s="19"/>
      <c r="L275" s="19"/>
      <c r="M275" s="19"/>
      <c r="N275" s="19"/>
      <c r="O275" s="19"/>
      <c r="P275" s="19"/>
      <c r="Q275" s="19"/>
      <c r="R275" s="19"/>
      <c r="S275" s="19"/>
      <c r="T275" s="19"/>
      <c r="U275" s="19"/>
      <c r="V275" s="19"/>
      <c r="W275" s="19"/>
      <c r="X275" s="19"/>
      <c r="Y275" s="19"/>
      <c r="Z275" s="19"/>
      <c r="AA275" s="19"/>
      <c r="AB275" s="19"/>
      <c r="AC275" s="19"/>
      <c r="AD275" s="19"/>
      <c r="AE275" s="19"/>
      <c r="AF275" s="19"/>
      <c r="AG275" s="19"/>
      <c r="AH275" s="19"/>
      <c r="AI275" s="19"/>
      <c r="AJ275" s="19"/>
      <c r="AK275" s="19"/>
      <c r="AL275" s="19"/>
      <c r="AM275" s="19"/>
      <c r="AN275" s="19"/>
      <c r="AO275" s="19"/>
      <c r="AP275" s="19"/>
      <c r="AQ275" s="19"/>
      <c r="AR275" s="19"/>
      <c r="AS275" s="19"/>
      <c r="AT275" s="19"/>
      <c r="AU275" s="19"/>
      <c r="AV275" s="19"/>
      <c r="AW275" s="19"/>
      <c r="AX275" s="19"/>
      <c r="AY275" s="19"/>
      <c r="AZ275" s="19"/>
      <c r="BA275" s="19"/>
      <c r="BB275" s="19"/>
      <c r="BC275" s="19"/>
      <c r="BD275" s="19"/>
      <c r="BE275" s="19"/>
      <c r="BF275" s="19"/>
      <c r="BG275" s="19"/>
      <c r="BH275" s="19"/>
      <c r="BI275" s="19"/>
      <c r="BJ275" s="19"/>
      <c r="BK275" s="19"/>
      <c r="BL275" s="19"/>
      <c r="BM275" s="19"/>
      <c r="BN275" s="19"/>
      <c r="BO275" s="19"/>
      <c r="BP275" s="19"/>
      <c r="BQ275" s="19"/>
      <c r="BR275" s="19"/>
      <c r="BS275" s="19"/>
      <c r="BT275" s="19"/>
      <c r="BU275" s="19"/>
      <c r="BV275" s="19"/>
      <c r="BW275" s="19"/>
      <c r="BX275" s="19"/>
      <c r="BY275" s="19"/>
      <c r="BZ275" s="19"/>
      <c r="CA275" s="19"/>
      <c r="CB275" s="19"/>
      <c r="CC275" s="19"/>
      <c r="CD275" s="19"/>
      <c r="CE275" s="19"/>
      <c r="CF275" s="6"/>
    </row>
    <row r="276" spans="1:84">
      <c r="A276" s="17"/>
      <c r="B276" s="17"/>
      <c r="C276" s="17"/>
      <c r="D276" s="19"/>
      <c r="E276" s="20"/>
      <c r="F276" s="19"/>
      <c r="G276" s="19"/>
      <c r="H276" s="19"/>
      <c r="I276" s="19"/>
      <c r="J276" s="19"/>
      <c r="K276" s="19"/>
      <c r="L276" s="19"/>
      <c r="M276" s="19"/>
      <c r="N276" s="19"/>
      <c r="O276" s="19"/>
      <c r="P276" s="19"/>
      <c r="Q276" s="19"/>
      <c r="R276" s="19"/>
      <c r="S276" s="19"/>
      <c r="T276" s="19"/>
      <c r="U276" s="19"/>
      <c r="V276" s="19"/>
      <c r="W276" s="19"/>
      <c r="X276" s="19"/>
      <c r="Y276" s="19"/>
      <c r="Z276" s="19"/>
      <c r="AA276" s="19"/>
      <c r="AB276" s="19"/>
      <c r="AC276" s="19"/>
      <c r="AD276" s="19"/>
      <c r="AE276" s="19"/>
      <c r="AF276" s="19"/>
      <c r="AG276" s="19"/>
      <c r="AH276" s="19"/>
      <c r="AI276" s="19"/>
      <c r="AJ276" s="19"/>
      <c r="AK276" s="19"/>
      <c r="AL276" s="19"/>
      <c r="AM276" s="19"/>
      <c r="AN276" s="19"/>
      <c r="AO276" s="19"/>
      <c r="AP276" s="19"/>
      <c r="AQ276" s="19"/>
      <c r="AR276" s="19"/>
      <c r="AS276" s="19"/>
      <c r="AT276" s="19"/>
      <c r="AU276" s="19"/>
      <c r="AV276" s="19"/>
      <c r="AW276" s="19"/>
      <c r="AX276" s="19"/>
      <c r="AY276" s="19"/>
      <c r="AZ276" s="19"/>
      <c r="BA276" s="19"/>
      <c r="BB276" s="19"/>
      <c r="BC276" s="19"/>
      <c r="BD276" s="19"/>
      <c r="BE276" s="19"/>
      <c r="BF276" s="19"/>
      <c r="BG276" s="19"/>
      <c r="BH276" s="19"/>
      <c r="BI276" s="19"/>
      <c r="BJ276" s="19"/>
      <c r="BK276" s="19"/>
      <c r="BL276" s="19"/>
      <c r="BM276" s="19"/>
      <c r="BN276" s="19"/>
      <c r="BO276" s="19"/>
      <c r="BP276" s="19"/>
      <c r="BQ276" s="19"/>
      <c r="BR276" s="19"/>
      <c r="BS276" s="19"/>
      <c r="BT276" s="19"/>
      <c r="BU276" s="19"/>
      <c r="BV276" s="19"/>
      <c r="BW276" s="19"/>
      <c r="BX276" s="19"/>
      <c r="BY276" s="19"/>
      <c r="BZ276" s="19"/>
      <c r="CA276" s="19"/>
      <c r="CB276" s="19"/>
      <c r="CC276" s="19"/>
      <c r="CD276" s="19"/>
      <c r="CE276" s="19"/>
      <c r="CF276" s="6"/>
    </row>
    <row r="277" spans="1:84">
      <c r="A277" s="17"/>
      <c r="B277" s="17"/>
      <c r="C277" s="17"/>
      <c r="D277" s="19"/>
      <c r="E277" s="20"/>
      <c r="F277" s="19"/>
      <c r="G277" s="19"/>
      <c r="H277" s="19"/>
      <c r="I277" s="19"/>
      <c r="J277" s="19"/>
      <c r="K277" s="19"/>
      <c r="L277" s="19"/>
      <c r="M277" s="19"/>
      <c r="N277" s="19"/>
      <c r="O277" s="19"/>
      <c r="P277" s="19"/>
      <c r="Q277" s="19"/>
      <c r="R277" s="19"/>
      <c r="S277" s="19"/>
      <c r="T277" s="19"/>
      <c r="U277" s="19"/>
      <c r="V277" s="19"/>
      <c r="W277" s="19"/>
      <c r="X277" s="19"/>
      <c r="Y277" s="19"/>
      <c r="Z277" s="19"/>
      <c r="AA277" s="19"/>
      <c r="AB277" s="19"/>
      <c r="AC277" s="19"/>
      <c r="AD277" s="19"/>
      <c r="AE277" s="19"/>
      <c r="AF277" s="19"/>
      <c r="AG277" s="19"/>
      <c r="AH277" s="19"/>
      <c r="AI277" s="19"/>
      <c r="AJ277" s="19"/>
      <c r="AK277" s="19"/>
      <c r="AL277" s="19"/>
      <c r="AM277" s="19"/>
      <c r="AN277" s="19"/>
      <c r="AO277" s="19"/>
      <c r="AP277" s="19"/>
      <c r="AQ277" s="19"/>
      <c r="AR277" s="19"/>
      <c r="AS277" s="19"/>
      <c r="AT277" s="19"/>
      <c r="AU277" s="19"/>
      <c r="AV277" s="19"/>
      <c r="AW277" s="19"/>
      <c r="AX277" s="19"/>
      <c r="AY277" s="19"/>
      <c r="AZ277" s="19"/>
      <c r="BA277" s="19"/>
      <c r="BB277" s="19"/>
      <c r="BC277" s="19"/>
      <c r="BD277" s="19"/>
      <c r="BE277" s="19"/>
      <c r="BF277" s="19"/>
      <c r="BG277" s="19"/>
      <c r="BH277" s="19"/>
      <c r="BI277" s="19"/>
      <c r="BJ277" s="19"/>
      <c r="BK277" s="19"/>
      <c r="BL277" s="19"/>
      <c r="BM277" s="19"/>
      <c r="BN277" s="19"/>
      <c r="BO277" s="19"/>
      <c r="BP277" s="19"/>
      <c r="BQ277" s="19"/>
      <c r="BR277" s="19"/>
      <c r="BS277" s="19"/>
      <c r="BT277" s="19"/>
      <c r="BU277" s="19"/>
      <c r="BV277" s="19"/>
      <c r="BW277" s="19"/>
      <c r="BX277" s="19"/>
      <c r="BY277" s="19"/>
      <c r="BZ277" s="19"/>
      <c r="CA277" s="19"/>
      <c r="CB277" s="19"/>
      <c r="CC277" s="19"/>
      <c r="CD277" s="19"/>
      <c r="CE277" s="19"/>
      <c r="CF277" s="6"/>
    </row>
    <row r="278" spans="1:84">
      <c r="A278" s="17"/>
      <c r="B278" s="17"/>
      <c r="C278" s="17"/>
      <c r="D278" s="19"/>
      <c r="E278" s="20"/>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19"/>
      <c r="AE278" s="19"/>
      <c r="AF278" s="19"/>
      <c r="AG278" s="19"/>
      <c r="AH278" s="19"/>
      <c r="AI278" s="19"/>
      <c r="AJ278" s="19"/>
      <c r="AK278" s="19"/>
      <c r="AL278" s="19"/>
      <c r="AM278" s="19"/>
      <c r="AN278" s="19"/>
      <c r="AO278" s="19"/>
      <c r="AP278" s="19"/>
      <c r="AQ278" s="19"/>
      <c r="AR278" s="19"/>
      <c r="AS278" s="19"/>
      <c r="AT278" s="19"/>
      <c r="AU278" s="19"/>
      <c r="AV278" s="19"/>
      <c r="AW278" s="19"/>
      <c r="AX278" s="19"/>
      <c r="AY278" s="19"/>
      <c r="AZ278" s="19"/>
      <c r="BA278" s="19"/>
      <c r="BB278" s="19"/>
      <c r="BC278" s="19"/>
      <c r="BD278" s="19"/>
      <c r="BE278" s="19"/>
      <c r="BF278" s="19"/>
      <c r="BG278" s="19"/>
      <c r="BH278" s="19"/>
      <c r="BI278" s="19"/>
      <c r="BJ278" s="19"/>
      <c r="BK278" s="19"/>
      <c r="BL278" s="19"/>
      <c r="BM278" s="19"/>
      <c r="BN278" s="19"/>
      <c r="BO278" s="19"/>
      <c r="BP278" s="19"/>
      <c r="BQ278" s="19"/>
      <c r="BR278" s="19"/>
      <c r="BS278" s="19"/>
      <c r="BT278" s="19"/>
      <c r="BU278" s="19"/>
      <c r="BV278" s="19"/>
      <c r="BW278" s="19"/>
      <c r="BX278" s="19"/>
      <c r="BY278" s="19"/>
      <c r="BZ278" s="19"/>
      <c r="CA278" s="19"/>
      <c r="CB278" s="19"/>
      <c r="CC278" s="19"/>
      <c r="CD278" s="19"/>
      <c r="CE278" s="19"/>
      <c r="CF278" s="6"/>
    </row>
    <row r="279" spans="1:84">
      <c r="A279" s="17"/>
      <c r="B279" s="17"/>
      <c r="C279" s="17"/>
      <c r="D279" s="19"/>
      <c r="E279" s="20"/>
      <c r="F279" s="19"/>
      <c r="G279" s="19"/>
      <c r="H279" s="19"/>
      <c r="I279" s="19"/>
      <c r="J279" s="19"/>
      <c r="K279" s="19"/>
      <c r="L279" s="19"/>
      <c r="M279" s="19"/>
      <c r="N279" s="19"/>
      <c r="O279" s="19"/>
      <c r="P279" s="19"/>
      <c r="Q279" s="19"/>
      <c r="R279" s="19"/>
      <c r="S279" s="19"/>
      <c r="T279" s="19"/>
      <c r="U279" s="19"/>
      <c r="V279" s="19"/>
      <c r="W279" s="19"/>
      <c r="X279" s="19"/>
      <c r="Y279" s="19"/>
      <c r="Z279" s="19"/>
      <c r="AA279" s="19"/>
      <c r="AB279" s="19"/>
      <c r="AC279" s="19"/>
      <c r="AD279" s="19"/>
      <c r="AE279" s="19"/>
      <c r="AF279" s="19"/>
      <c r="AG279" s="19"/>
      <c r="AH279" s="19"/>
      <c r="AI279" s="19"/>
      <c r="AJ279" s="19"/>
      <c r="AK279" s="19"/>
      <c r="AL279" s="19"/>
      <c r="AM279" s="19"/>
      <c r="AN279" s="19"/>
      <c r="AO279" s="19"/>
      <c r="AP279" s="19"/>
      <c r="AQ279" s="19"/>
      <c r="AR279" s="19"/>
      <c r="AS279" s="19"/>
      <c r="AT279" s="19"/>
      <c r="AU279" s="19"/>
      <c r="AV279" s="19"/>
      <c r="AW279" s="19"/>
      <c r="AX279" s="19"/>
      <c r="AY279" s="19"/>
      <c r="AZ279" s="19"/>
      <c r="BA279" s="19"/>
      <c r="BB279" s="19"/>
      <c r="BC279" s="19"/>
      <c r="BD279" s="19"/>
      <c r="BE279" s="19"/>
      <c r="BF279" s="19"/>
      <c r="BG279" s="19"/>
      <c r="BH279" s="19"/>
      <c r="BI279" s="19"/>
      <c r="BJ279" s="19"/>
      <c r="BK279" s="19"/>
      <c r="BL279" s="19"/>
      <c r="BM279" s="19"/>
      <c r="BN279" s="19"/>
      <c r="BO279" s="19"/>
      <c r="BP279" s="19"/>
      <c r="BQ279" s="19"/>
      <c r="BR279" s="19"/>
      <c r="BS279" s="19"/>
      <c r="BT279" s="19"/>
      <c r="BU279" s="19"/>
      <c r="BV279" s="19"/>
      <c r="BW279" s="19"/>
      <c r="BX279" s="19"/>
      <c r="BY279" s="19"/>
      <c r="BZ279" s="19"/>
      <c r="CA279" s="19"/>
      <c r="CB279" s="19"/>
      <c r="CC279" s="19"/>
      <c r="CD279" s="19"/>
      <c r="CE279" s="19"/>
      <c r="CF279" s="6"/>
    </row>
    <row r="280" spans="1:84">
      <c r="A280" s="17"/>
      <c r="B280" s="17"/>
      <c r="C280" s="17"/>
      <c r="D280" s="19"/>
      <c r="E280" s="20"/>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9"/>
      <c r="AE280" s="19"/>
      <c r="AF280" s="19"/>
      <c r="AG280" s="19"/>
      <c r="AH280" s="19"/>
      <c r="AI280" s="19"/>
      <c r="AJ280" s="19"/>
      <c r="AK280" s="19"/>
      <c r="AL280" s="19"/>
      <c r="AM280" s="19"/>
      <c r="AN280" s="19"/>
      <c r="AO280" s="19"/>
      <c r="AP280" s="19"/>
      <c r="AQ280" s="19"/>
      <c r="AR280" s="19"/>
      <c r="AS280" s="19"/>
      <c r="AT280" s="19"/>
      <c r="AU280" s="19"/>
      <c r="AV280" s="19"/>
      <c r="AW280" s="19"/>
      <c r="AX280" s="19"/>
      <c r="AY280" s="19"/>
      <c r="AZ280" s="19"/>
      <c r="BA280" s="19"/>
      <c r="BB280" s="19"/>
      <c r="BC280" s="19"/>
      <c r="BD280" s="19"/>
      <c r="BE280" s="19"/>
      <c r="BF280" s="19"/>
      <c r="BG280" s="19"/>
      <c r="BH280" s="19"/>
      <c r="BI280" s="19"/>
      <c r="BJ280" s="19"/>
      <c r="BK280" s="19"/>
      <c r="BL280" s="19"/>
      <c r="BM280" s="19"/>
      <c r="BN280" s="19"/>
      <c r="BO280" s="19"/>
      <c r="BP280" s="19"/>
      <c r="BQ280" s="19"/>
      <c r="BR280" s="19"/>
      <c r="BS280" s="19"/>
      <c r="BT280" s="19"/>
      <c r="BU280" s="19"/>
      <c r="BV280" s="19"/>
      <c r="BW280" s="19"/>
      <c r="BX280" s="19"/>
      <c r="BY280" s="19"/>
      <c r="BZ280" s="19"/>
      <c r="CA280" s="19"/>
      <c r="CB280" s="19"/>
      <c r="CC280" s="19"/>
      <c r="CD280" s="19"/>
      <c r="CE280" s="19"/>
      <c r="CF280" s="6"/>
    </row>
    <row r="281" spans="1:84">
      <c r="A281" s="17"/>
      <c r="B281" s="17"/>
      <c r="C281" s="17"/>
      <c r="D281" s="19"/>
      <c r="E281" s="20"/>
      <c r="F281" s="19"/>
      <c r="G281" s="19"/>
      <c r="H281" s="19"/>
      <c r="I281" s="19"/>
      <c r="J281" s="19"/>
      <c r="K281" s="19"/>
      <c r="L281" s="19"/>
      <c r="M281" s="19"/>
      <c r="N281" s="19"/>
      <c r="O281" s="19"/>
      <c r="P281" s="19"/>
      <c r="Q281" s="19"/>
      <c r="R281" s="19"/>
      <c r="S281" s="19"/>
      <c r="T281" s="19"/>
      <c r="U281" s="19"/>
      <c r="V281" s="19"/>
      <c r="W281" s="19"/>
      <c r="X281" s="19"/>
      <c r="Y281" s="19"/>
      <c r="Z281" s="19"/>
      <c r="AA281" s="19"/>
      <c r="AB281" s="19"/>
      <c r="AC281" s="19"/>
      <c r="AD281" s="19"/>
      <c r="AE281" s="19"/>
      <c r="AF281" s="19"/>
      <c r="AG281" s="19"/>
      <c r="AH281" s="19"/>
      <c r="AI281" s="19"/>
      <c r="AJ281" s="19"/>
      <c r="AK281" s="19"/>
      <c r="AL281" s="19"/>
      <c r="AM281" s="19"/>
      <c r="AN281" s="19"/>
      <c r="AO281" s="19"/>
      <c r="AP281" s="19"/>
      <c r="AQ281" s="19"/>
      <c r="AR281" s="19"/>
      <c r="AS281" s="19"/>
      <c r="AT281" s="19"/>
      <c r="AU281" s="19"/>
      <c r="AV281" s="19"/>
      <c r="AW281" s="19"/>
      <c r="AX281" s="19"/>
      <c r="AY281" s="19"/>
      <c r="AZ281" s="19"/>
      <c r="BA281" s="19"/>
      <c r="BB281" s="19"/>
      <c r="BC281" s="19"/>
      <c r="BD281" s="19"/>
      <c r="BE281" s="19"/>
      <c r="BF281" s="19"/>
      <c r="BG281" s="19"/>
      <c r="BH281" s="19"/>
      <c r="BI281" s="19"/>
      <c r="BJ281" s="19"/>
      <c r="BK281" s="19"/>
      <c r="BL281" s="19"/>
      <c r="BM281" s="19"/>
      <c r="BN281" s="19"/>
      <c r="BO281" s="19"/>
      <c r="BP281" s="19"/>
      <c r="BQ281" s="19"/>
      <c r="BR281" s="19"/>
      <c r="BS281" s="19"/>
      <c r="BT281" s="19"/>
      <c r="BU281" s="19"/>
      <c r="BV281" s="19"/>
      <c r="BW281" s="19"/>
      <c r="BX281" s="19"/>
      <c r="BY281" s="19"/>
      <c r="BZ281" s="19"/>
      <c r="CA281" s="19"/>
      <c r="CB281" s="19"/>
      <c r="CC281" s="19"/>
      <c r="CD281" s="19"/>
      <c r="CE281" s="19"/>
      <c r="CF281" s="6"/>
    </row>
    <row r="282" spans="1:84">
      <c r="A282" s="17"/>
      <c r="B282" s="17"/>
      <c r="C282" s="17"/>
      <c r="D282" s="19"/>
      <c r="E282" s="20"/>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9"/>
      <c r="AE282" s="19"/>
      <c r="AF282" s="19"/>
      <c r="AG282" s="19"/>
      <c r="AH282" s="19"/>
      <c r="AI282" s="19"/>
      <c r="AJ282" s="19"/>
      <c r="AK282" s="19"/>
      <c r="AL282" s="19"/>
      <c r="AM282" s="19"/>
      <c r="AN282" s="19"/>
      <c r="AO282" s="19"/>
      <c r="AP282" s="19"/>
      <c r="AQ282" s="19"/>
      <c r="AR282" s="19"/>
      <c r="AS282" s="19"/>
      <c r="AT282" s="19"/>
      <c r="AU282" s="19"/>
      <c r="AV282" s="19"/>
      <c r="AW282" s="19"/>
      <c r="AX282" s="19"/>
      <c r="AY282" s="19"/>
      <c r="AZ282" s="19"/>
      <c r="BA282" s="19"/>
      <c r="BB282" s="19"/>
      <c r="BC282" s="19"/>
      <c r="BD282" s="19"/>
      <c r="BE282" s="19"/>
      <c r="BF282" s="19"/>
      <c r="BG282" s="19"/>
      <c r="BH282" s="19"/>
      <c r="BI282" s="19"/>
      <c r="BJ282" s="19"/>
      <c r="BK282" s="19"/>
      <c r="BL282" s="19"/>
      <c r="BM282" s="19"/>
      <c r="BN282" s="19"/>
      <c r="BO282" s="19"/>
      <c r="BP282" s="19"/>
      <c r="BQ282" s="19"/>
      <c r="BR282" s="19"/>
      <c r="BS282" s="19"/>
      <c r="BT282" s="19"/>
      <c r="BU282" s="19"/>
      <c r="BV282" s="19"/>
      <c r="BW282" s="19"/>
      <c r="BX282" s="19"/>
      <c r="BY282" s="19"/>
      <c r="BZ282" s="19"/>
      <c r="CA282" s="19"/>
      <c r="CB282" s="19"/>
      <c r="CC282" s="19"/>
      <c r="CD282" s="19"/>
      <c r="CE282" s="19"/>
      <c r="CF282" s="6"/>
    </row>
    <row r="283" spans="1:84">
      <c r="A283" s="17"/>
      <c r="B283" s="17"/>
      <c r="C283" s="17"/>
      <c r="D283" s="19"/>
      <c r="E283" s="20"/>
      <c r="F283" s="19"/>
      <c r="G283" s="19"/>
      <c r="H283" s="19"/>
      <c r="I283" s="19"/>
      <c r="J283" s="19"/>
      <c r="K283" s="19"/>
      <c r="L283" s="19"/>
      <c r="M283" s="19"/>
      <c r="N283" s="19"/>
      <c r="O283" s="19"/>
      <c r="P283" s="19"/>
      <c r="Q283" s="19"/>
      <c r="R283" s="19"/>
      <c r="S283" s="19"/>
      <c r="T283" s="19"/>
      <c r="U283" s="19"/>
      <c r="V283" s="19"/>
      <c r="W283" s="19"/>
      <c r="X283" s="19"/>
      <c r="Y283" s="19"/>
      <c r="Z283" s="19"/>
      <c r="AA283" s="19"/>
      <c r="AB283" s="19"/>
      <c r="AC283" s="19"/>
      <c r="AD283" s="19"/>
      <c r="AE283" s="19"/>
      <c r="AF283" s="19"/>
      <c r="AG283" s="19"/>
      <c r="AH283" s="19"/>
      <c r="AI283" s="19"/>
      <c r="AJ283" s="19"/>
      <c r="AK283" s="19"/>
      <c r="AL283" s="19"/>
      <c r="AM283" s="19"/>
      <c r="AN283" s="19"/>
      <c r="AO283" s="19"/>
      <c r="AP283" s="19"/>
      <c r="AQ283" s="19"/>
      <c r="AR283" s="19"/>
      <c r="AS283" s="19"/>
      <c r="AT283" s="19"/>
      <c r="AU283" s="19"/>
      <c r="AV283" s="19"/>
      <c r="AW283" s="19"/>
      <c r="AX283" s="19"/>
      <c r="AY283" s="19"/>
      <c r="AZ283" s="19"/>
      <c r="BA283" s="19"/>
      <c r="BB283" s="19"/>
      <c r="BC283" s="19"/>
      <c r="BD283" s="19"/>
      <c r="BE283" s="19"/>
      <c r="BF283" s="19"/>
      <c r="BG283" s="19"/>
      <c r="BH283" s="19"/>
      <c r="BI283" s="19"/>
      <c r="BJ283" s="19"/>
      <c r="BK283" s="19"/>
      <c r="BL283" s="19"/>
      <c r="BM283" s="19"/>
      <c r="BN283" s="19"/>
      <c r="BO283" s="19"/>
      <c r="BP283" s="19"/>
      <c r="BQ283" s="19"/>
      <c r="BR283" s="19"/>
      <c r="BS283" s="19"/>
      <c r="BT283" s="19"/>
      <c r="BU283" s="19"/>
      <c r="BV283" s="19"/>
      <c r="BW283" s="19"/>
      <c r="BX283" s="19"/>
      <c r="BY283" s="19"/>
      <c r="BZ283" s="19"/>
      <c r="CA283" s="19"/>
      <c r="CB283" s="19"/>
      <c r="CC283" s="19"/>
      <c r="CD283" s="19"/>
      <c r="CE283" s="19"/>
      <c r="CF283" s="6"/>
    </row>
    <row r="284" spans="1:84">
      <c r="A284" s="17"/>
      <c r="B284" s="17"/>
      <c r="C284" s="17"/>
      <c r="D284" s="19"/>
      <c r="E284" s="20"/>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9"/>
      <c r="AD284" s="19"/>
      <c r="AE284" s="19"/>
      <c r="AF284" s="19"/>
      <c r="AG284" s="19"/>
      <c r="AH284" s="19"/>
      <c r="AI284" s="19"/>
      <c r="AJ284" s="19"/>
      <c r="AK284" s="19"/>
      <c r="AL284" s="19"/>
      <c r="AM284" s="19"/>
      <c r="AN284" s="19"/>
      <c r="AO284" s="19"/>
      <c r="AP284" s="19"/>
      <c r="AQ284" s="19"/>
      <c r="AR284" s="19"/>
      <c r="AS284" s="19"/>
      <c r="AT284" s="19"/>
      <c r="AU284" s="19"/>
      <c r="AV284" s="19"/>
      <c r="AW284" s="19"/>
      <c r="AX284" s="19"/>
      <c r="AY284" s="19"/>
      <c r="AZ284" s="19"/>
      <c r="BA284" s="19"/>
      <c r="BB284" s="19"/>
      <c r="BC284" s="19"/>
      <c r="BD284" s="19"/>
      <c r="BE284" s="19"/>
      <c r="BF284" s="19"/>
      <c r="BG284" s="19"/>
      <c r="BH284" s="19"/>
      <c r="BI284" s="19"/>
      <c r="BJ284" s="19"/>
      <c r="BK284" s="19"/>
      <c r="BL284" s="19"/>
      <c r="BM284" s="19"/>
      <c r="BN284" s="19"/>
      <c r="BO284" s="19"/>
      <c r="BP284" s="19"/>
      <c r="BQ284" s="19"/>
      <c r="BR284" s="19"/>
      <c r="BS284" s="19"/>
      <c r="BT284" s="19"/>
      <c r="BU284" s="19"/>
      <c r="BV284" s="19"/>
      <c r="BW284" s="19"/>
      <c r="BX284" s="19"/>
      <c r="BY284" s="19"/>
      <c r="BZ284" s="19"/>
      <c r="CA284" s="19"/>
      <c r="CB284" s="19"/>
      <c r="CC284" s="19"/>
      <c r="CD284" s="19"/>
      <c r="CE284" s="19"/>
      <c r="CF284" s="6"/>
    </row>
    <row r="285" spans="1:84">
      <c r="A285" s="17"/>
      <c r="B285" s="17"/>
      <c r="C285" s="17"/>
      <c r="D285" s="19"/>
      <c r="E285" s="19"/>
      <c r="F285" s="19"/>
      <c r="G285" s="19"/>
      <c r="H285" s="19"/>
      <c r="I285" s="19"/>
      <c r="J285" s="19"/>
      <c r="K285" s="19"/>
      <c r="L285" s="19"/>
      <c r="M285" s="19"/>
      <c r="N285" s="19"/>
      <c r="O285" s="19"/>
      <c r="P285" s="19"/>
      <c r="Q285" s="19"/>
      <c r="R285" s="19"/>
      <c r="S285" s="19"/>
      <c r="T285" s="19"/>
      <c r="U285" s="19"/>
      <c r="V285" s="19"/>
      <c r="W285" s="19"/>
      <c r="X285" s="19"/>
      <c r="Y285" s="19"/>
      <c r="Z285" s="19"/>
      <c r="AA285" s="19"/>
      <c r="AB285" s="19"/>
      <c r="AC285" s="19"/>
      <c r="AD285" s="19"/>
      <c r="AE285" s="19"/>
      <c r="AF285" s="19"/>
      <c r="AG285" s="19"/>
      <c r="AH285" s="19"/>
      <c r="AI285" s="19"/>
      <c r="AJ285" s="19"/>
      <c r="AK285" s="19"/>
      <c r="AL285" s="19"/>
      <c r="AM285" s="19"/>
      <c r="AN285" s="19"/>
      <c r="AO285" s="19"/>
      <c r="AP285" s="19"/>
      <c r="AQ285" s="19"/>
      <c r="AR285" s="19"/>
      <c r="AS285" s="19"/>
      <c r="AT285" s="19"/>
      <c r="AU285" s="19"/>
      <c r="AV285" s="19"/>
      <c r="AW285" s="19"/>
      <c r="AX285" s="19"/>
      <c r="AY285" s="19"/>
      <c r="AZ285" s="19"/>
      <c r="BA285" s="19"/>
      <c r="BB285" s="19"/>
      <c r="BC285" s="19"/>
      <c r="BD285" s="19"/>
      <c r="BE285" s="19"/>
      <c r="BF285" s="19"/>
      <c r="BG285" s="19"/>
      <c r="BH285" s="19"/>
      <c r="BI285" s="19"/>
      <c r="BJ285" s="19"/>
      <c r="BK285" s="19"/>
      <c r="BL285" s="19"/>
      <c r="BM285" s="19"/>
      <c r="BN285" s="19"/>
      <c r="BO285" s="19"/>
      <c r="BP285" s="19"/>
      <c r="BQ285" s="19"/>
      <c r="BR285" s="19"/>
      <c r="BS285" s="19"/>
      <c r="BT285" s="19"/>
      <c r="BU285" s="19"/>
      <c r="BV285" s="19"/>
      <c r="BW285" s="19"/>
      <c r="BX285" s="19"/>
      <c r="BY285" s="19"/>
      <c r="BZ285" s="19"/>
      <c r="CA285" s="19"/>
      <c r="CB285" s="19"/>
      <c r="CC285" s="19"/>
      <c r="CD285" s="19"/>
      <c r="CE285" s="19"/>
      <c r="CF285" s="6"/>
    </row>
    <row r="286" spans="1:84">
      <c r="A286" s="17"/>
      <c r="B286" s="17"/>
      <c r="C286" s="17"/>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9"/>
      <c r="AD286" s="19"/>
      <c r="AE286" s="19"/>
      <c r="AF286" s="19"/>
      <c r="AG286" s="19"/>
      <c r="AH286" s="19"/>
      <c r="AI286" s="19"/>
      <c r="AJ286" s="19"/>
      <c r="AK286" s="19"/>
      <c r="AL286" s="19"/>
      <c r="AM286" s="19"/>
      <c r="AN286" s="19"/>
      <c r="AO286" s="19"/>
      <c r="AP286" s="19"/>
      <c r="AQ286" s="19"/>
      <c r="AR286" s="19"/>
      <c r="AS286" s="19"/>
      <c r="AT286" s="19"/>
      <c r="AU286" s="19"/>
      <c r="AV286" s="19"/>
      <c r="AW286" s="19"/>
      <c r="AX286" s="19"/>
      <c r="AY286" s="19"/>
      <c r="AZ286" s="19"/>
      <c r="BA286" s="19"/>
      <c r="BB286" s="19"/>
      <c r="BC286" s="19"/>
      <c r="BD286" s="19"/>
      <c r="BE286" s="19"/>
      <c r="BF286" s="19"/>
      <c r="BG286" s="19"/>
      <c r="BH286" s="19"/>
      <c r="BI286" s="19"/>
      <c r="BJ286" s="19"/>
      <c r="BK286" s="19"/>
      <c r="BL286" s="19"/>
      <c r="BM286" s="19"/>
      <c r="BN286" s="19"/>
      <c r="BO286" s="19"/>
      <c r="BP286" s="19"/>
      <c r="BQ286" s="19"/>
      <c r="BR286" s="19"/>
      <c r="BS286" s="19"/>
      <c r="BT286" s="19"/>
      <c r="BU286" s="19"/>
      <c r="BV286" s="19"/>
      <c r="BW286" s="19"/>
      <c r="BX286" s="19"/>
      <c r="BY286" s="19"/>
      <c r="BZ286" s="19"/>
      <c r="CA286" s="19"/>
      <c r="CB286" s="19"/>
      <c r="CC286" s="19"/>
      <c r="CD286" s="19"/>
      <c r="CE286" s="19"/>
      <c r="CF286" s="6"/>
    </row>
    <row r="287" spans="1:84">
      <c r="A287" s="17"/>
      <c r="B287" s="17"/>
      <c r="C287" s="17"/>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19"/>
      <c r="AG287" s="19"/>
      <c r="AH287" s="19"/>
      <c r="AI287" s="19"/>
      <c r="AJ287" s="19"/>
      <c r="AK287" s="19"/>
      <c r="AL287" s="19"/>
      <c r="AM287" s="19"/>
      <c r="AN287" s="19"/>
      <c r="AO287" s="19"/>
      <c r="AP287" s="19"/>
      <c r="AQ287" s="19"/>
      <c r="AR287" s="19"/>
      <c r="AS287" s="19"/>
      <c r="AT287" s="19"/>
      <c r="AU287" s="19"/>
      <c r="AV287" s="19"/>
      <c r="AW287" s="19"/>
      <c r="AX287" s="19"/>
      <c r="AY287" s="19"/>
      <c r="AZ287" s="19"/>
      <c r="BA287" s="19"/>
      <c r="BB287" s="19"/>
      <c r="BC287" s="19"/>
      <c r="BD287" s="19"/>
      <c r="BE287" s="19"/>
      <c r="BF287" s="19"/>
      <c r="BG287" s="19"/>
      <c r="BH287" s="19"/>
      <c r="BI287" s="19"/>
      <c r="BJ287" s="19"/>
      <c r="BK287" s="19"/>
      <c r="BL287" s="19"/>
      <c r="BM287" s="19"/>
      <c r="BN287" s="19"/>
      <c r="BO287" s="19"/>
      <c r="BP287" s="19"/>
      <c r="BQ287" s="19"/>
      <c r="BR287" s="19"/>
      <c r="BS287" s="19"/>
      <c r="BT287" s="19"/>
      <c r="BU287" s="19"/>
      <c r="BV287" s="19"/>
      <c r="BW287" s="19"/>
      <c r="BX287" s="19"/>
      <c r="BY287" s="19"/>
      <c r="BZ287" s="19"/>
      <c r="CA287" s="19"/>
      <c r="CB287" s="19"/>
      <c r="CC287" s="19"/>
      <c r="CD287" s="19"/>
      <c r="CE287" s="19"/>
      <c r="CF287" s="6"/>
    </row>
    <row r="288" spans="1:84">
      <c r="A288" s="17"/>
      <c r="B288" s="17"/>
      <c r="C288" s="17"/>
      <c r="D288" s="19"/>
      <c r="E288" s="19"/>
      <c r="F288" s="19"/>
      <c r="G288" s="19"/>
      <c r="H288" s="19"/>
      <c r="I288" s="19"/>
      <c r="J288" s="19"/>
      <c r="K288" s="19"/>
      <c r="L288" s="19"/>
      <c r="M288" s="19"/>
      <c r="N288" s="19"/>
      <c r="O288" s="19"/>
      <c r="P288" s="19"/>
      <c r="Q288" s="19"/>
      <c r="R288" s="19"/>
      <c r="S288" s="19"/>
      <c r="T288" s="19"/>
      <c r="U288" s="19"/>
      <c r="V288" s="19"/>
      <c r="W288" s="19"/>
      <c r="X288" s="19"/>
      <c r="Y288" s="19"/>
      <c r="Z288" s="19"/>
      <c r="AA288" s="19"/>
      <c r="AB288" s="19"/>
      <c r="AC288" s="19"/>
      <c r="AD288" s="19"/>
      <c r="AE288" s="19"/>
      <c r="AF288" s="19"/>
      <c r="AG288" s="19"/>
      <c r="AH288" s="19"/>
      <c r="AI288" s="19"/>
      <c r="AJ288" s="19"/>
      <c r="AK288" s="19"/>
      <c r="AL288" s="19"/>
      <c r="AM288" s="19"/>
      <c r="AN288" s="19"/>
      <c r="AO288" s="19"/>
      <c r="AP288" s="19"/>
      <c r="AQ288" s="19"/>
      <c r="AR288" s="19"/>
      <c r="AS288" s="19"/>
      <c r="AT288" s="19"/>
      <c r="AU288" s="19"/>
      <c r="AV288" s="19"/>
      <c r="AW288" s="19"/>
      <c r="AX288" s="19"/>
      <c r="AY288" s="19"/>
      <c r="AZ288" s="19"/>
      <c r="BA288" s="19"/>
      <c r="BB288" s="19"/>
      <c r="BC288" s="19"/>
      <c r="BD288" s="19"/>
      <c r="BE288" s="19"/>
      <c r="BF288" s="19"/>
      <c r="BG288" s="19"/>
      <c r="BH288" s="19"/>
      <c r="BI288" s="19"/>
      <c r="BJ288" s="19"/>
      <c r="BK288" s="19"/>
      <c r="BL288" s="19"/>
      <c r="BM288" s="19"/>
      <c r="BN288" s="19"/>
      <c r="BO288" s="19"/>
      <c r="BP288" s="19"/>
      <c r="BQ288" s="19"/>
      <c r="BR288" s="19"/>
      <c r="BS288" s="19"/>
      <c r="BT288" s="19"/>
      <c r="BU288" s="19"/>
      <c r="BV288" s="19"/>
      <c r="BW288" s="19"/>
      <c r="BX288" s="19"/>
      <c r="BY288" s="19"/>
      <c r="BZ288" s="19"/>
      <c r="CA288" s="19"/>
      <c r="CB288" s="19"/>
      <c r="CC288" s="19"/>
      <c r="CD288" s="19"/>
      <c r="CE288" s="19"/>
      <c r="CF288" s="6"/>
    </row>
    <row r="289" spans="1:84">
      <c r="A289" s="17"/>
      <c r="B289" s="17"/>
      <c r="C289" s="17"/>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19"/>
      <c r="AE289" s="19"/>
      <c r="AF289" s="19"/>
      <c r="AG289" s="19"/>
      <c r="AH289" s="19"/>
      <c r="AI289" s="19"/>
      <c r="AJ289" s="19"/>
      <c r="AK289" s="19"/>
      <c r="AL289" s="19"/>
      <c r="AM289" s="19"/>
      <c r="AN289" s="19"/>
      <c r="AO289" s="19"/>
      <c r="AP289" s="19"/>
      <c r="AQ289" s="19"/>
      <c r="AR289" s="19"/>
      <c r="AS289" s="19"/>
      <c r="AT289" s="19"/>
      <c r="AU289" s="19"/>
      <c r="AV289" s="19"/>
      <c r="AW289" s="19"/>
      <c r="AX289" s="19"/>
      <c r="AY289" s="19"/>
      <c r="AZ289" s="19"/>
      <c r="BA289" s="19"/>
      <c r="BB289" s="19"/>
      <c r="BC289" s="19"/>
      <c r="BD289" s="19"/>
      <c r="BE289" s="19"/>
      <c r="BF289" s="19"/>
      <c r="BG289" s="19"/>
      <c r="BH289" s="19"/>
      <c r="BI289" s="19"/>
      <c r="BJ289" s="19"/>
      <c r="BK289" s="19"/>
      <c r="BL289" s="19"/>
      <c r="BM289" s="19"/>
      <c r="BN289" s="19"/>
      <c r="BO289" s="19"/>
      <c r="BP289" s="19"/>
      <c r="BQ289" s="19"/>
      <c r="BR289" s="19"/>
      <c r="BS289" s="19"/>
      <c r="BT289" s="19"/>
      <c r="BU289" s="19"/>
      <c r="BV289" s="19"/>
      <c r="BW289" s="19"/>
      <c r="BX289" s="19"/>
      <c r="BY289" s="19"/>
      <c r="BZ289" s="19"/>
      <c r="CA289" s="19"/>
      <c r="CB289" s="19"/>
      <c r="CC289" s="19"/>
      <c r="CD289" s="19"/>
      <c r="CE289" s="19"/>
      <c r="CF289" s="6"/>
    </row>
    <row r="290" spans="1:84">
      <c r="A290" s="17"/>
      <c r="B290" s="17"/>
      <c r="C290" s="17"/>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19"/>
      <c r="AE290" s="19"/>
      <c r="AF290" s="19"/>
      <c r="AG290" s="19"/>
      <c r="AH290" s="19"/>
      <c r="AI290" s="19"/>
      <c r="AJ290" s="19"/>
      <c r="AK290" s="19"/>
      <c r="AL290" s="19"/>
      <c r="AM290" s="19"/>
      <c r="AN290" s="19"/>
      <c r="AO290" s="19"/>
      <c r="AP290" s="19"/>
      <c r="AQ290" s="19"/>
      <c r="AR290" s="19"/>
      <c r="AS290" s="19"/>
      <c r="AT290" s="19"/>
      <c r="AU290" s="19"/>
      <c r="AV290" s="19"/>
      <c r="AW290" s="19"/>
      <c r="AX290" s="19"/>
      <c r="AY290" s="19"/>
      <c r="AZ290" s="19"/>
      <c r="BA290" s="19"/>
      <c r="BB290" s="19"/>
      <c r="BC290" s="19"/>
      <c r="BD290" s="19"/>
      <c r="BE290" s="19"/>
      <c r="BF290" s="19"/>
      <c r="BG290" s="19"/>
      <c r="BH290" s="19"/>
      <c r="BI290" s="19"/>
      <c r="BJ290" s="19"/>
      <c r="BK290" s="19"/>
      <c r="BL290" s="19"/>
      <c r="BM290" s="19"/>
      <c r="BN290" s="19"/>
      <c r="BO290" s="19"/>
      <c r="BP290" s="19"/>
      <c r="BQ290" s="19"/>
      <c r="BR290" s="19"/>
      <c r="BS290" s="19"/>
      <c r="BT290" s="19"/>
      <c r="BU290" s="19"/>
      <c r="BV290" s="19"/>
      <c r="BW290" s="19"/>
      <c r="BX290" s="19"/>
      <c r="BY290" s="19"/>
      <c r="BZ290" s="19"/>
      <c r="CA290" s="19"/>
      <c r="CB290" s="19"/>
      <c r="CC290" s="19"/>
      <c r="CD290" s="19"/>
      <c r="CE290" s="19"/>
      <c r="CF290" s="6"/>
    </row>
    <row r="291" spans="1:84">
      <c r="A291" s="17"/>
      <c r="B291" s="17"/>
      <c r="C291" s="17"/>
      <c r="D291" s="19"/>
      <c r="E291" s="19"/>
      <c r="F291" s="19"/>
      <c r="G291" s="19"/>
      <c r="H291" s="19"/>
      <c r="I291" s="19"/>
      <c r="J291" s="19"/>
      <c r="K291" s="19"/>
      <c r="L291" s="19"/>
      <c r="M291" s="19"/>
      <c r="N291" s="19"/>
      <c r="O291" s="19"/>
      <c r="P291" s="19"/>
      <c r="Q291" s="19"/>
      <c r="R291" s="19"/>
      <c r="S291" s="19"/>
      <c r="T291" s="19"/>
      <c r="U291" s="19"/>
      <c r="V291" s="19"/>
      <c r="W291" s="19"/>
      <c r="X291" s="19"/>
      <c r="Y291" s="19"/>
      <c r="Z291" s="19"/>
      <c r="AA291" s="19"/>
      <c r="AB291" s="19"/>
      <c r="AC291" s="19"/>
      <c r="AD291" s="19"/>
      <c r="AE291" s="19"/>
      <c r="AF291" s="19"/>
      <c r="AG291" s="19"/>
      <c r="AH291" s="19"/>
      <c r="AI291" s="19"/>
      <c r="AJ291" s="19"/>
      <c r="AK291" s="19"/>
      <c r="AL291" s="19"/>
      <c r="AM291" s="19"/>
      <c r="AN291" s="19"/>
      <c r="AO291" s="19"/>
      <c r="AP291" s="19"/>
      <c r="AQ291" s="19"/>
      <c r="AR291" s="19"/>
      <c r="AS291" s="19"/>
      <c r="AT291" s="19"/>
      <c r="AU291" s="19"/>
      <c r="AV291" s="19"/>
      <c r="AW291" s="19"/>
      <c r="AX291" s="19"/>
      <c r="AY291" s="19"/>
      <c r="AZ291" s="19"/>
      <c r="BA291" s="19"/>
      <c r="BB291" s="19"/>
      <c r="BC291" s="19"/>
      <c r="BD291" s="19"/>
      <c r="BE291" s="19"/>
      <c r="BF291" s="19"/>
      <c r="BG291" s="19"/>
      <c r="BH291" s="19"/>
      <c r="BI291" s="19"/>
      <c r="BJ291" s="19"/>
      <c r="BK291" s="19"/>
      <c r="BL291" s="19"/>
      <c r="BM291" s="19"/>
      <c r="BN291" s="19"/>
      <c r="BO291" s="19"/>
      <c r="BP291" s="19"/>
      <c r="BQ291" s="19"/>
      <c r="BR291" s="19"/>
      <c r="BS291" s="19"/>
      <c r="BT291" s="19"/>
      <c r="BU291" s="19"/>
      <c r="BV291" s="19"/>
      <c r="BW291" s="19"/>
      <c r="BX291" s="19"/>
      <c r="BY291" s="19"/>
      <c r="BZ291" s="19"/>
      <c r="CA291" s="19"/>
      <c r="CB291" s="19"/>
      <c r="CC291" s="19"/>
      <c r="CD291" s="19"/>
      <c r="CE291" s="19"/>
      <c r="CF291" s="6"/>
    </row>
    <row r="292" spans="1:84">
      <c r="A292" s="17"/>
      <c r="B292" s="17"/>
      <c r="C292" s="17"/>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19"/>
      <c r="AE292" s="19"/>
      <c r="AF292" s="19"/>
      <c r="AG292" s="19"/>
      <c r="AH292" s="19"/>
      <c r="AI292" s="19"/>
      <c r="AJ292" s="19"/>
      <c r="AK292" s="19"/>
      <c r="AL292" s="19"/>
      <c r="AM292" s="19"/>
      <c r="AN292" s="19"/>
      <c r="AO292" s="19"/>
      <c r="AP292" s="19"/>
      <c r="AQ292" s="19"/>
      <c r="AR292" s="19"/>
      <c r="AS292" s="19"/>
      <c r="AT292" s="19"/>
      <c r="AU292" s="19"/>
      <c r="AV292" s="19"/>
      <c r="AW292" s="19"/>
      <c r="AX292" s="19"/>
      <c r="AY292" s="19"/>
      <c r="AZ292" s="19"/>
      <c r="BA292" s="19"/>
      <c r="BB292" s="19"/>
      <c r="BC292" s="19"/>
      <c r="BD292" s="19"/>
      <c r="BE292" s="19"/>
      <c r="BF292" s="19"/>
      <c r="BG292" s="19"/>
      <c r="BH292" s="19"/>
      <c r="BI292" s="19"/>
      <c r="BJ292" s="19"/>
      <c r="BK292" s="19"/>
      <c r="BL292" s="19"/>
      <c r="BM292" s="19"/>
      <c r="BN292" s="19"/>
      <c r="BO292" s="19"/>
      <c r="BP292" s="19"/>
      <c r="BQ292" s="19"/>
      <c r="BR292" s="19"/>
      <c r="BS292" s="19"/>
      <c r="BT292" s="19"/>
      <c r="BU292" s="19"/>
      <c r="BV292" s="19"/>
      <c r="BW292" s="19"/>
      <c r="BX292" s="19"/>
      <c r="BY292" s="19"/>
      <c r="BZ292" s="19"/>
      <c r="CA292" s="19"/>
      <c r="CB292" s="19"/>
      <c r="CC292" s="19"/>
      <c r="CD292" s="19"/>
      <c r="CE292" s="19"/>
      <c r="CF292" s="6"/>
    </row>
    <row r="293" spans="1:84">
      <c r="A293" s="17"/>
      <c r="B293" s="17"/>
      <c r="C293" s="17"/>
      <c r="D293" s="19"/>
      <c r="E293" s="19"/>
      <c r="F293" s="19"/>
      <c r="G293" s="19"/>
      <c r="H293" s="19"/>
      <c r="I293" s="19"/>
      <c r="J293" s="19"/>
      <c r="K293" s="19"/>
      <c r="L293" s="19"/>
      <c r="M293" s="19"/>
      <c r="N293" s="19"/>
      <c r="O293" s="19"/>
      <c r="P293" s="19"/>
      <c r="Q293" s="19"/>
      <c r="R293" s="19"/>
      <c r="S293" s="19"/>
      <c r="T293" s="19"/>
      <c r="U293" s="19"/>
      <c r="V293" s="19"/>
      <c r="W293" s="19"/>
      <c r="X293" s="19"/>
      <c r="Y293" s="19"/>
      <c r="Z293" s="19"/>
      <c r="AA293" s="19"/>
      <c r="AB293" s="19"/>
      <c r="AC293" s="19"/>
      <c r="AD293" s="19"/>
      <c r="AE293" s="19"/>
      <c r="AF293" s="19"/>
      <c r="AG293" s="19"/>
      <c r="AH293" s="19"/>
      <c r="AI293" s="19"/>
      <c r="AJ293" s="19"/>
      <c r="AK293" s="19"/>
      <c r="AL293" s="19"/>
      <c r="AM293" s="19"/>
      <c r="AN293" s="19"/>
      <c r="AO293" s="19"/>
      <c r="AP293" s="19"/>
      <c r="AQ293" s="19"/>
      <c r="AR293" s="19"/>
      <c r="AS293" s="19"/>
      <c r="AT293" s="19"/>
      <c r="AU293" s="19"/>
      <c r="AV293" s="19"/>
      <c r="AW293" s="19"/>
      <c r="AX293" s="19"/>
      <c r="AY293" s="19"/>
      <c r="AZ293" s="19"/>
      <c r="BA293" s="19"/>
      <c r="BB293" s="19"/>
      <c r="BC293" s="19"/>
      <c r="BD293" s="19"/>
      <c r="BE293" s="19"/>
      <c r="BF293" s="19"/>
      <c r="BG293" s="19"/>
      <c r="BH293" s="19"/>
      <c r="BI293" s="19"/>
      <c r="BJ293" s="19"/>
      <c r="BK293" s="19"/>
      <c r="BL293" s="19"/>
      <c r="BM293" s="19"/>
      <c r="BN293" s="19"/>
      <c r="BO293" s="19"/>
      <c r="BP293" s="19"/>
      <c r="BQ293" s="19"/>
      <c r="BR293" s="19"/>
      <c r="BS293" s="19"/>
      <c r="BT293" s="19"/>
      <c r="BU293" s="19"/>
      <c r="BV293" s="19"/>
      <c r="BW293" s="19"/>
      <c r="BX293" s="19"/>
      <c r="BY293" s="19"/>
      <c r="BZ293" s="19"/>
      <c r="CA293" s="19"/>
      <c r="CB293" s="19"/>
      <c r="CC293" s="19"/>
      <c r="CD293" s="19"/>
      <c r="CE293" s="19"/>
      <c r="CF293" s="6"/>
    </row>
    <row r="294" spans="1:84">
      <c r="A294" s="17"/>
      <c r="B294" s="17"/>
      <c r="C294" s="17"/>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c r="AB294" s="19"/>
      <c r="AC294" s="19"/>
      <c r="AD294" s="19"/>
      <c r="AE294" s="19"/>
      <c r="AF294" s="19"/>
      <c r="AG294" s="19"/>
      <c r="AH294" s="19"/>
      <c r="AI294" s="19"/>
      <c r="AJ294" s="19"/>
      <c r="AK294" s="19"/>
      <c r="AL294" s="19"/>
      <c r="AM294" s="19"/>
      <c r="AN294" s="19"/>
      <c r="AO294" s="19"/>
      <c r="AP294" s="19"/>
      <c r="AQ294" s="19"/>
      <c r="AR294" s="19"/>
      <c r="AS294" s="19"/>
      <c r="AT294" s="19"/>
      <c r="AU294" s="19"/>
      <c r="AV294" s="19"/>
      <c r="AW294" s="19"/>
      <c r="AX294" s="19"/>
      <c r="AY294" s="19"/>
      <c r="AZ294" s="19"/>
      <c r="BA294" s="19"/>
      <c r="BB294" s="19"/>
      <c r="BC294" s="19"/>
      <c r="BD294" s="19"/>
      <c r="BE294" s="19"/>
      <c r="BF294" s="19"/>
      <c r="BG294" s="19"/>
      <c r="BH294" s="19"/>
      <c r="BI294" s="19"/>
      <c r="BJ294" s="19"/>
      <c r="BK294" s="19"/>
      <c r="BL294" s="19"/>
      <c r="BM294" s="19"/>
      <c r="BN294" s="19"/>
      <c r="BO294" s="19"/>
      <c r="BP294" s="19"/>
      <c r="BQ294" s="19"/>
      <c r="BR294" s="19"/>
      <c r="BS294" s="19"/>
      <c r="BT294" s="19"/>
      <c r="BU294" s="19"/>
      <c r="BV294" s="19"/>
      <c r="BW294" s="19"/>
      <c r="BX294" s="19"/>
      <c r="BY294" s="19"/>
      <c r="BZ294" s="19"/>
      <c r="CA294" s="19"/>
      <c r="CB294" s="19"/>
      <c r="CC294" s="19"/>
      <c r="CD294" s="19"/>
      <c r="CE294" s="19"/>
      <c r="CF294" s="6"/>
    </row>
    <row r="295" spans="1:84">
      <c r="A295" s="17"/>
      <c r="B295" s="17"/>
      <c r="C295" s="17"/>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9"/>
      <c r="AG295" s="19"/>
      <c r="AH295" s="19"/>
      <c r="AI295" s="19"/>
      <c r="AJ295" s="19"/>
      <c r="AK295" s="19"/>
      <c r="AL295" s="19"/>
      <c r="AM295" s="19"/>
      <c r="AN295" s="19"/>
      <c r="AO295" s="19"/>
      <c r="AP295" s="19"/>
      <c r="AQ295" s="19"/>
      <c r="AR295" s="19"/>
      <c r="AS295" s="19"/>
      <c r="AT295" s="19"/>
      <c r="AU295" s="19"/>
      <c r="AV295" s="19"/>
      <c r="AW295" s="19"/>
      <c r="AX295" s="19"/>
      <c r="AY295" s="19"/>
      <c r="AZ295" s="19"/>
      <c r="BA295" s="19"/>
      <c r="BB295" s="19"/>
      <c r="BC295" s="19"/>
      <c r="BD295" s="19"/>
      <c r="BE295" s="19"/>
      <c r="BF295" s="19"/>
      <c r="BG295" s="19"/>
      <c r="BH295" s="19"/>
      <c r="BI295" s="19"/>
      <c r="BJ295" s="19"/>
      <c r="BK295" s="19"/>
      <c r="BL295" s="19"/>
      <c r="BM295" s="19"/>
      <c r="BN295" s="19"/>
      <c r="BO295" s="19"/>
      <c r="BP295" s="19"/>
      <c r="BQ295" s="19"/>
      <c r="BR295" s="19"/>
      <c r="BS295" s="19"/>
      <c r="BT295" s="19"/>
      <c r="BU295" s="19"/>
      <c r="BV295" s="19"/>
      <c r="BW295" s="19"/>
      <c r="BX295" s="19"/>
      <c r="BY295" s="19"/>
      <c r="BZ295" s="19"/>
      <c r="CA295" s="19"/>
      <c r="CB295" s="19"/>
      <c r="CC295" s="19"/>
      <c r="CD295" s="19"/>
      <c r="CE295" s="19"/>
      <c r="CF295" s="6"/>
    </row>
    <row r="296" spans="1:84">
      <c r="A296" s="17"/>
      <c r="B296" s="17"/>
      <c r="C296" s="17"/>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19"/>
      <c r="AG296" s="19"/>
      <c r="AH296" s="19"/>
      <c r="AI296" s="19"/>
      <c r="AJ296" s="19"/>
      <c r="AK296" s="19"/>
      <c r="AL296" s="19"/>
      <c r="AM296" s="19"/>
      <c r="AN296" s="19"/>
      <c r="AO296" s="19"/>
      <c r="AP296" s="19"/>
      <c r="AQ296" s="19"/>
      <c r="AR296" s="19"/>
      <c r="AS296" s="19"/>
      <c r="AT296" s="19"/>
      <c r="AU296" s="19"/>
      <c r="AV296" s="19"/>
      <c r="AW296" s="19"/>
      <c r="AX296" s="19"/>
      <c r="AY296" s="19"/>
      <c r="AZ296" s="19"/>
      <c r="BA296" s="19"/>
      <c r="BB296" s="19"/>
      <c r="BC296" s="19"/>
      <c r="BD296" s="19"/>
      <c r="BE296" s="19"/>
      <c r="BF296" s="19"/>
      <c r="BG296" s="19"/>
      <c r="BH296" s="19"/>
      <c r="BI296" s="19"/>
      <c r="BJ296" s="19"/>
      <c r="BK296" s="19"/>
      <c r="BL296" s="19"/>
      <c r="BM296" s="19"/>
      <c r="BN296" s="19"/>
      <c r="BO296" s="19"/>
      <c r="BP296" s="19"/>
      <c r="BQ296" s="19"/>
      <c r="BR296" s="19"/>
      <c r="BS296" s="19"/>
      <c r="BT296" s="19"/>
      <c r="BU296" s="19"/>
      <c r="BV296" s="19"/>
      <c r="BW296" s="19"/>
      <c r="BX296" s="19"/>
      <c r="BY296" s="19"/>
      <c r="BZ296" s="19"/>
      <c r="CA296" s="19"/>
      <c r="CB296" s="19"/>
      <c r="CC296" s="19"/>
      <c r="CD296" s="19"/>
      <c r="CE296" s="19"/>
      <c r="CF296" s="6"/>
    </row>
    <row r="297" spans="1:84">
      <c r="A297" s="17"/>
      <c r="B297" s="17"/>
      <c r="C297" s="17"/>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r="AE297" s="19"/>
      <c r="AF297" s="19"/>
      <c r="AG297" s="19"/>
      <c r="AH297" s="19"/>
      <c r="AI297" s="19"/>
      <c r="AJ297" s="19"/>
      <c r="AK297" s="19"/>
      <c r="AL297" s="19"/>
      <c r="AM297" s="19"/>
      <c r="AN297" s="19"/>
      <c r="AO297" s="19"/>
      <c r="AP297" s="19"/>
      <c r="AQ297" s="19"/>
      <c r="AR297" s="19"/>
      <c r="AS297" s="19"/>
      <c r="AT297" s="19"/>
      <c r="AU297" s="19"/>
      <c r="AV297" s="19"/>
      <c r="AW297" s="19"/>
      <c r="AX297" s="19"/>
      <c r="AY297" s="19"/>
      <c r="AZ297" s="19"/>
      <c r="BA297" s="19"/>
      <c r="BB297" s="19"/>
      <c r="BC297" s="19"/>
      <c r="BD297" s="19"/>
      <c r="BE297" s="19"/>
      <c r="BF297" s="19"/>
      <c r="BG297" s="19"/>
      <c r="BH297" s="19"/>
      <c r="BI297" s="19"/>
      <c r="BJ297" s="19"/>
      <c r="BK297" s="19"/>
      <c r="BL297" s="19"/>
      <c r="BM297" s="19"/>
      <c r="BN297" s="19"/>
      <c r="BO297" s="19"/>
      <c r="BP297" s="19"/>
      <c r="BQ297" s="19"/>
      <c r="BR297" s="19"/>
      <c r="BS297" s="19"/>
      <c r="BT297" s="19"/>
      <c r="BU297" s="19"/>
      <c r="BV297" s="19"/>
      <c r="BW297" s="19"/>
      <c r="BX297" s="19"/>
      <c r="BY297" s="19"/>
      <c r="BZ297" s="19"/>
      <c r="CA297" s="19"/>
      <c r="CB297" s="19"/>
      <c r="CC297" s="19"/>
      <c r="CD297" s="19"/>
      <c r="CE297" s="19"/>
      <c r="CF297" s="6"/>
    </row>
    <row r="298" spans="1:84">
      <c r="A298" s="17"/>
      <c r="B298" s="17"/>
      <c r="C298" s="17"/>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19"/>
      <c r="AE298" s="19"/>
      <c r="AF298" s="19"/>
      <c r="AG298" s="19"/>
      <c r="AH298" s="19"/>
      <c r="AI298" s="19"/>
      <c r="AJ298" s="19"/>
      <c r="AK298" s="19"/>
      <c r="AL298" s="19"/>
      <c r="AM298" s="19"/>
      <c r="AN298" s="19"/>
      <c r="AO298" s="19"/>
      <c r="AP298" s="19"/>
      <c r="AQ298" s="19"/>
      <c r="AR298" s="19"/>
      <c r="AS298" s="19"/>
      <c r="AT298" s="19"/>
      <c r="AU298" s="19"/>
      <c r="AV298" s="19"/>
      <c r="AW298" s="19"/>
      <c r="AX298" s="19"/>
      <c r="AY298" s="19"/>
      <c r="AZ298" s="19"/>
      <c r="BA298" s="19"/>
      <c r="BB298" s="19"/>
      <c r="BC298" s="19"/>
      <c r="BD298" s="19"/>
      <c r="BE298" s="19"/>
      <c r="BF298" s="19"/>
      <c r="BG298" s="19"/>
      <c r="BH298" s="19"/>
      <c r="BI298" s="19"/>
      <c r="BJ298" s="19"/>
      <c r="BK298" s="19"/>
      <c r="BL298" s="19"/>
      <c r="BM298" s="19"/>
      <c r="BN298" s="19"/>
      <c r="BO298" s="19"/>
      <c r="BP298" s="19"/>
      <c r="BQ298" s="19"/>
      <c r="BR298" s="19"/>
      <c r="BS298" s="19"/>
      <c r="BT298" s="19"/>
      <c r="BU298" s="19"/>
      <c r="BV298" s="19"/>
      <c r="BW298" s="19"/>
      <c r="BX298" s="19"/>
      <c r="BY298" s="19"/>
      <c r="BZ298" s="19"/>
      <c r="CA298" s="19"/>
      <c r="CB298" s="19"/>
      <c r="CC298" s="19"/>
      <c r="CD298" s="19"/>
      <c r="CE298" s="19"/>
      <c r="CF298" s="6"/>
    </row>
    <row r="299" spans="1:84">
      <c r="A299" s="17"/>
      <c r="B299" s="17"/>
      <c r="C299" s="17"/>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19"/>
      <c r="AE299" s="19"/>
      <c r="AF299" s="19"/>
      <c r="AG299" s="19"/>
      <c r="AH299" s="19"/>
      <c r="AI299" s="19"/>
      <c r="AJ299" s="19"/>
      <c r="AK299" s="19"/>
      <c r="AL299" s="19"/>
      <c r="AM299" s="19"/>
      <c r="AN299" s="19"/>
      <c r="AO299" s="19"/>
      <c r="AP299" s="19"/>
      <c r="AQ299" s="19"/>
      <c r="AR299" s="19"/>
      <c r="AS299" s="19"/>
      <c r="AT299" s="19"/>
      <c r="AU299" s="19"/>
      <c r="AV299" s="19"/>
      <c r="AW299" s="19"/>
      <c r="AX299" s="19"/>
      <c r="AY299" s="19"/>
      <c r="AZ299" s="19"/>
      <c r="BA299" s="19"/>
      <c r="BB299" s="19"/>
      <c r="BC299" s="19"/>
      <c r="BD299" s="19"/>
      <c r="BE299" s="19"/>
      <c r="BF299" s="19"/>
      <c r="BG299" s="19"/>
      <c r="BH299" s="19"/>
      <c r="BI299" s="19"/>
      <c r="BJ299" s="19"/>
      <c r="BK299" s="19"/>
      <c r="BL299" s="19"/>
      <c r="BM299" s="19"/>
      <c r="BN299" s="19"/>
      <c r="BO299" s="19"/>
      <c r="BP299" s="19"/>
      <c r="BQ299" s="19"/>
      <c r="BR299" s="19"/>
      <c r="BS299" s="19"/>
      <c r="BT299" s="19"/>
      <c r="BU299" s="19"/>
      <c r="BV299" s="19"/>
      <c r="BW299" s="19"/>
      <c r="BX299" s="19"/>
      <c r="BY299" s="19"/>
      <c r="BZ299" s="19"/>
      <c r="CA299" s="19"/>
      <c r="CB299" s="19"/>
      <c r="CC299" s="19"/>
      <c r="CD299" s="19"/>
      <c r="CE299" s="19"/>
      <c r="CF299" s="6"/>
    </row>
    <row r="300" spans="1:84">
      <c r="A300" s="17"/>
      <c r="B300" s="17"/>
      <c r="C300" s="17"/>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19"/>
      <c r="AE300" s="19"/>
      <c r="AF300" s="19"/>
      <c r="AG300" s="19"/>
      <c r="AH300" s="19"/>
      <c r="AI300" s="19"/>
      <c r="AJ300" s="19"/>
      <c r="AK300" s="19"/>
      <c r="AL300" s="19"/>
      <c r="AM300" s="19"/>
      <c r="AN300" s="19"/>
      <c r="AO300" s="19"/>
      <c r="AP300" s="19"/>
      <c r="AQ300" s="19"/>
      <c r="AR300" s="19"/>
      <c r="AS300" s="19"/>
      <c r="AT300" s="19"/>
      <c r="AU300" s="19"/>
      <c r="AV300" s="19"/>
      <c r="AW300" s="19"/>
      <c r="AX300" s="19"/>
      <c r="AY300" s="19"/>
      <c r="AZ300" s="19"/>
      <c r="BA300" s="19"/>
      <c r="BB300" s="19"/>
      <c r="BC300" s="19"/>
      <c r="BD300" s="19"/>
      <c r="BE300" s="19"/>
      <c r="BF300" s="19"/>
      <c r="BG300" s="19"/>
      <c r="BH300" s="19"/>
      <c r="BI300" s="19"/>
      <c r="BJ300" s="19"/>
      <c r="BK300" s="19"/>
      <c r="BL300" s="19"/>
      <c r="BM300" s="19"/>
      <c r="BN300" s="19"/>
      <c r="BO300" s="19"/>
      <c r="BP300" s="19"/>
      <c r="BQ300" s="19"/>
      <c r="BR300" s="19"/>
      <c r="BS300" s="19"/>
      <c r="BT300" s="19"/>
      <c r="BU300" s="19"/>
      <c r="BV300" s="19"/>
      <c r="BW300" s="19"/>
      <c r="BX300" s="19"/>
      <c r="BY300" s="19"/>
      <c r="BZ300" s="19"/>
      <c r="CA300" s="19"/>
      <c r="CB300" s="19"/>
      <c r="CC300" s="19"/>
      <c r="CD300" s="19"/>
      <c r="CE300" s="19"/>
      <c r="CF300" s="6"/>
    </row>
    <row r="301" spans="1:84">
      <c r="A301" s="17"/>
      <c r="B301" s="17"/>
      <c r="C301" s="17"/>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19"/>
      <c r="AE301" s="19"/>
      <c r="AF301" s="19"/>
      <c r="AG301" s="19"/>
      <c r="AH301" s="19"/>
      <c r="AI301" s="19"/>
      <c r="AJ301" s="19"/>
      <c r="AK301" s="19"/>
      <c r="AL301" s="19"/>
      <c r="AM301" s="19"/>
      <c r="AN301" s="19"/>
      <c r="AO301" s="19"/>
      <c r="AP301" s="19"/>
      <c r="AQ301" s="19"/>
      <c r="AR301" s="19"/>
      <c r="AS301" s="19"/>
      <c r="AT301" s="19"/>
      <c r="AU301" s="19"/>
      <c r="AV301" s="19"/>
      <c r="AW301" s="19"/>
      <c r="AX301" s="19"/>
      <c r="AY301" s="19"/>
      <c r="AZ301" s="19"/>
      <c r="BA301" s="19"/>
      <c r="BB301" s="19"/>
      <c r="BC301" s="19"/>
      <c r="BD301" s="19"/>
      <c r="BE301" s="19"/>
      <c r="BF301" s="19"/>
      <c r="BG301" s="19"/>
      <c r="BH301" s="19"/>
      <c r="BI301" s="19"/>
      <c r="BJ301" s="19"/>
      <c r="BK301" s="19"/>
      <c r="BL301" s="19"/>
      <c r="BM301" s="19"/>
      <c r="BN301" s="19"/>
      <c r="BO301" s="19"/>
      <c r="BP301" s="19"/>
      <c r="BQ301" s="19"/>
      <c r="BR301" s="19"/>
      <c r="BS301" s="19"/>
      <c r="BT301" s="19"/>
      <c r="BU301" s="19"/>
      <c r="BV301" s="19"/>
      <c r="BW301" s="19"/>
      <c r="BX301" s="19"/>
      <c r="BY301" s="19"/>
      <c r="BZ301" s="19"/>
      <c r="CA301" s="19"/>
      <c r="CB301" s="19"/>
      <c r="CC301" s="19"/>
      <c r="CD301" s="19"/>
      <c r="CE301" s="19"/>
      <c r="CF301" s="6"/>
    </row>
    <row r="302" spans="1:84">
      <c r="A302" s="17"/>
      <c r="B302" s="17"/>
      <c r="C302" s="17"/>
      <c r="D302" s="19"/>
      <c r="E302" s="19"/>
      <c r="F302" s="19"/>
      <c r="G302" s="19"/>
      <c r="H302" s="19"/>
      <c r="I302" s="19"/>
      <c r="J302" s="19"/>
      <c r="K302" s="19"/>
      <c r="L302" s="19"/>
      <c r="M302" s="19"/>
      <c r="N302" s="19"/>
      <c r="O302" s="19"/>
      <c r="P302" s="19"/>
      <c r="Q302" s="19"/>
      <c r="R302" s="19"/>
      <c r="S302" s="19"/>
      <c r="T302" s="19"/>
      <c r="U302" s="19"/>
      <c r="V302" s="19"/>
      <c r="W302" s="19"/>
      <c r="X302" s="19"/>
      <c r="Y302" s="19"/>
      <c r="Z302" s="19"/>
      <c r="AA302" s="19"/>
      <c r="AB302" s="19"/>
      <c r="AC302" s="19"/>
      <c r="AD302" s="19"/>
      <c r="AE302" s="19"/>
      <c r="AF302" s="19"/>
      <c r="AG302" s="19"/>
      <c r="AH302" s="19"/>
      <c r="AI302" s="19"/>
      <c r="AJ302" s="19"/>
      <c r="AK302" s="19"/>
      <c r="AL302" s="19"/>
      <c r="AM302" s="19"/>
      <c r="AN302" s="19"/>
      <c r="AO302" s="19"/>
      <c r="AP302" s="19"/>
      <c r="AQ302" s="19"/>
      <c r="AR302" s="19"/>
      <c r="AS302" s="19"/>
      <c r="AT302" s="19"/>
      <c r="AU302" s="19"/>
      <c r="AV302" s="19"/>
      <c r="AW302" s="19"/>
      <c r="AX302" s="19"/>
      <c r="AY302" s="19"/>
      <c r="AZ302" s="19"/>
      <c r="BA302" s="19"/>
      <c r="BB302" s="19"/>
      <c r="BC302" s="19"/>
      <c r="BD302" s="19"/>
      <c r="BE302" s="19"/>
      <c r="BF302" s="19"/>
      <c r="BG302" s="19"/>
      <c r="BH302" s="19"/>
      <c r="BI302" s="19"/>
      <c r="BJ302" s="19"/>
      <c r="BK302" s="19"/>
      <c r="BL302" s="19"/>
      <c r="BM302" s="19"/>
      <c r="BN302" s="19"/>
      <c r="BO302" s="19"/>
      <c r="BP302" s="19"/>
      <c r="BQ302" s="19"/>
      <c r="BR302" s="19"/>
      <c r="BS302" s="19"/>
      <c r="BT302" s="19"/>
      <c r="BU302" s="19"/>
      <c r="BV302" s="19"/>
      <c r="BW302" s="19"/>
      <c r="BX302" s="19"/>
      <c r="BY302" s="19"/>
      <c r="BZ302" s="19"/>
      <c r="CA302" s="19"/>
      <c r="CB302" s="19"/>
      <c r="CC302" s="19"/>
      <c r="CD302" s="19"/>
      <c r="CE302" s="19"/>
      <c r="CF302" s="6"/>
    </row>
    <row r="303" spans="1:84">
      <c r="A303" s="17"/>
      <c r="B303" s="17"/>
      <c r="C303" s="17"/>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c r="AR303" s="19"/>
      <c r="AS303" s="19"/>
      <c r="AT303" s="19"/>
      <c r="AU303" s="19"/>
      <c r="AV303" s="19"/>
      <c r="AW303" s="19"/>
      <c r="AX303" s="19"/>
      <c r="AY303" s="19"/>
      <c r="AZ303" s="19"/>
      <c r="BA303" s="19"/>
      <c r="BB303" s="19"/>
      <c r="BC303" s="19"/>
      <c r="BD303" s="19"/>
      <c r="BE303" s="19"/>
      <c r="BF303" s="19"/>
      <c r="BG303" s="19"/>
      <c r="BH303" s="19"/>
      <c r="BI303" s="19"/>
      <c r="BJ303" s="19"/>
      <c r="BK303" s="19"/>
      <c r="BL303" s="19"/>
      <c r="BM303" s="19"/>
      <c r="BN303" s="19"/>
      <c r="BO303" s="19"/>
      <c r="BP303" s="19"/>
      <c r="BQ303" s="19"/>
      <c r="BR303" s="19"/>
      <c r="BS303" s="19"/>
      <c r="BT303" s="19"/>
      <c r="BU303" s="19"/>
      <c r="BV303" s="19"/>
      <c r="BW303" s="19"/>
      <c r="BX303" s="19"/>
      <c r="BY303" s="19"/>
      <c r="BZ303" s="19"/>
      <c r="CA303" s="19"/>
      <c r="CB303" s="19"/>
      <c r="CC303" s="19"/>
      <c r="CD303" s="19"/>
      <c r="CE303" s="19"/>
      <c r="CF303" s="6"/>
    </row>
    <row r="304" spans="1:84">
      <c r="A304" s="17"/>
      <c r="B304" s="17"/>
      <c r="C304" s="17"/>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c r="AS304" s="19"/>
      <c r="AT304" s="19"/>
      <c r="AU304" s="19"/>
      <c r="AV304" s="19"/>
      <c r="AW304" s="19"/>
      <c r="AX304" s="19"/>
      <c r="AY304" s="19"/>
      <c r="AZ304" s="19"/>
      <c r="BA304" s="19"/>
      <c r="BB304" s="19"/>
      <c r="BC304" s="19"/>
      <c r="BD304" s="19"/>
      <c r="BE304" s="19"/>
      <c r="BF304" s="19"/>
      <c r="BG304" s="19"/>
      <c r="BH304" s="19"/>
      <c r="BI304" s="19"/>
      <c r="BJ304" s="19"/>
      <c r="BK304" s="19"/>
      <c r="BL304" s="19"/>
      <c r="BM304" s="19"/>
      <c r="BN304" s="19"/>
      <c r="BO304" s="19"/>
      <c r="BP304" s="19"/>
      <c r="BQ304" s="19"/>
      <c r="BR304" s="19"/>
      <c r="BS304" s="19"/>
      <c r="BT304" s="19"/>
      <c r="BU304" s="19"/>
      <c r="BV304" s="19"/>
      <c r="BW304" s="19"/>
      <c r="BX304" s="19"/>
      <c r="BY304" s="19"/>
      <c r="BZ304" s="19"/>
      <c r="CA304" s="19"/>
      <c r="CB304" s="19"/>
      <c r="CC304" s="19"/>
      <c r="CD304" s="19"/>
      <c r="CE304" s="19"/>
      <c r="CF304" s="6"/>
    </row>
    <row r="305" spans="1:84">
      <c r="A305" s="17"/>
      <c r="B305" s="17"/>
      <c r="C305" s="17"/>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c r="AR305" s="19"/>
      <c r="AS305" s="19"/>
      <c r="AT305" s="19"/>
      <c r="AU305" s="19"/>
      <c r="AV305" s="19"/>
      <c r="AW305" s="19"/>
      <c r="AX305" s="19"/>
      <c r="AY305" s="19"/>
      <c r="AZ305" s="19"/>
      <c r="BA305" s="19"/>
      <c r="BB305" s="19"/>
      <c r="BC305" s="19"/>
      <c r="BD305" s="19"/>
      <c r="BE305" s="19"/>
      <c r="BF305" s="19"/>
      <c r="BG305" s="19"/>
      <c r="BH305" s="19"/>
      <c r="BI305" s="19"/>
      <c r="BJ305" s="19"/>
      <c r="BK305" s="19"/>
      <c r="BL305" s="19"/>
      <c r="BM305" s="19"/>
      <c r="BN305" s="19"/>
      <c r="BO305" s="19"/>
      <c r="BP305" s="19"/>
      <c r="BQ305" s="19"/>
      <c r="BR305" s="19"/>
      <c r="BS305" s="19"/>
      <c r="BT305" s="19"/>
      <c r="BU305" s="19"/>
      <c r="BV305" s="19"/>
      <c r="BW305" s="19"/>
      <c r="BX305" s="19"/>
      <c r="BY305" s="19"/>
      <c r="BZ305" s="19"/>
      <c r="CA305" s="19"/>
      <c r="CB305" s="19"/>
      <c r="CC305" s="19"/>
      <c r="CD305" s="19"/>
      <c r="CE305" s="19"/>
      <c r="CF305" s="6"/>
    </row>
    <row r="306" spans="1:84">
      <c r="A306" s="17"/>
      <c r="B306" s="17"/>
      <c r="C306" s="17"/>
      <c r="D306" s="19"/>
      <c r="E306" s="19"/>
      <c r="F306" s="19"/>
      <c r="G306" s="19"/>
      <c r="H306" s="19"/>
      <c r="I306" s="19"/>
      <c r="J306" s="19"/>
      <c r="K306" s="19"/>
      <c r="L306" s="19"/>
      <c r="M306" s="19"/>
      <c r="N306" s="19"/>
      <c r="O306" s="19"/>
      <c r="P306" s="19"/>
      <c r="Q306" s="19"/>
      <c r="R306" s="19"/>
      <c r="S306" s="19"/>
      <c r="T306" s="19"/>
      <c r="U306" s="19"/>
      <c r="V306" s="19"/>
      <c r="W306" s="19"/>
      <c r="X306" s="19"/>
      <c r="Y306" s="19"/>
      <c r="Z306" s="19"/>
      <c r="AA306" s="19"/>
      <c r="AB306" s="19"/>
      <c r="AC306" s="19"/>
      <c r="AD306" s="19"/>
      <c r="AE306" s="19"/>
      <c r="AF306" s="19"/>
      <c r="AG306" s="19"/>
      <c r="AH306" s="19"/>
      <c r="AI306" s="19"/>
      <c r="AJ306" s="19"/>
      <c r="AK306" s="19"/>
      <c r="AL306" s="19"/>
      <c r="AM306" s="19"/>
      <c r="AN306" s="19"/>
      <c r="AO306" s="19"/>
      <c r="AP306" s="19"/>
      <c r="AQ306" s="19"/>
      <c r="AR306" s="19"/>
      <c r="AS306" s="19"/>
      <c r="AT306" s="19"/>
      <c r="AU306" s="19"/>
      <c r="AV306" s="19"/>
      <c r="AW306" s="19"/>
      <c r="AX306" s="19"/>
      <c r="AY306" s="19"/>
      <c r="AZ306" s="19"/>
      <c r="BA306" s="19"/>
      <c r="BB306" s="19"/>
      <c r="BC306" s="19"/>
      <c r="BD306" s="19"/>
      <c r="BE306" s="19"/>
      <c r="BF306" s="19"/>
      <c r="BG306" s="19"/>
      <c r="BH306" s="19"/>
      <c r="BI306" s="19"/>
      <c r="BJ306" s="19"/>
      <c r="BK306" s="19"/>
      <c r="BL306" s="19"/>
      <c r="BM306" s="19"/>
      <c r="BN306" s="19"/>
      <c r="BO306" s="19"/>
      <c r="BP306" s="19"/>
      <c r="BQ306" s="19"/>
      <c r="BR306" s="19"/>
      <c r="BS306" s="19"/>
      <c r="BT306" s="19"/>
      <c r="BU306" s="19"/>
      <c r="BV306" s="19"/>
      <c r="BW306" s="19"/>
      <c r="BX306" s="19"/>
      <c r="BY306" s="19"/>
      <c r="BZ306" s="19"/>
      <c r="CA306" s="19"/>
      <c r="CB306" s="19"/>
      <c r="CC306" s="19"/>
      <c r="CD306" s="19"/>
      <c r="CE306" s="19"/>
      <c r="CF306" s="6"/>
    </row>
    <row r="307" spans="1:84">
      <c r="A307" s="17"/>
      <c r="B307" s="17"/>
      <c r="C307" s="17"/>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19"/>
      <c r="AG307" s="19"/>
      <c r="AH307" s="19"/>
      <c r="AI307" s="19"/>
      <c r="AJ307" s="19"/>
      <c r="AK307" s="19"/>
      <c r="AL307" s="19"/>
      <c r="AM307" s="19"/>
      <c r="AN307" s="19"/>
      <c r="AO307" s="19"/>
      <c r="AP307" s="19"/>
      <c r="AQ307" s="19"/>
      <c r="AR307" s="19"/>
      <c r="AS307" s="19"/>
      <c r="AT307" s="19"/>
      <c r="AU307" s="19"/>
      <c r="AV307" s="19"/>
      <c r="AW307" s="19"/>
      <c r="AX307" s="19"/>
      <c r="AY307" s="19"/>
      <c r="AZ307" s="19"/>
      <c r="BA307" s="19"/>
      <c r="BB307" s="19"/>
      <c r="BC307" s="19"/>
      <c r="BD307" s="19"/>
      <c r="BE307" s="19"/>
      <c r="BF307" s="19"/>
      <c r="BG307" s="19"/>
      <c r="BH307" s="19"/>
      <c r="BI307" s="19"/>
      <c r="BJ307" s="19"/>
      <c r="BK307" s="19"/>
      <c r="BL307" s="19"/>
      <c r="BM307" s="19"/>
      <c r="BN307" s="19"/>
      <c r="BO307" s="19"/>
      <c r="BP307" s="19"/>
      <c r="BQ307" s="19"/>
      <c r="BR307" s="19"/>
      <c r="BS307" s="19"/>
      <c r="BT307" s="19"/>
      <c r="BU307" s="19"/>
      <c r="BV307" s="19"/>
      <c r="BW307" s="19"/>
      <c r="BX307" s="19"/>
      <c r="BY307" s="19"/>
      <c r="BZ307" s="19"/>
      <c r="CA307" s="19"/>
      <c r="CB307" s="19"/>
      <c r="CC307" s="19"/>
      <c r="CD307" s="19"/>
      <c r="CE307" s="19"/>
      <c r="CF307" s="6"/>
    </row>
    <row r="308" spans="1:84">
      <c r="A308" s="17"/>
      <c r="B308" s="17"/>
      <c r="C308" s="17"/>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19"/>
      <c r="AE308" s="19"/>
      <c r="AF308" s="19"/>
      <c r="AG308" s="19"/>
      <c r="AH308" s="19"/>
      <c r="AI308" s="19"/>
      <c r="AJ308" s="19"/>
      <c r="AK308" s="19"/>
      <c r="AL308" s="19"/>
      <c r="AM308" s="19"/>
      <c r="AN308" s="19"/>
      <c r="AO308" s="19"/>
      <c r="AP308" s="19"/>
      <c r="AQ308" s="19"/>
      <c r="AR308" s="19"/>
      <c r="AS308" s="19"/>
      <c r="AT308" s="19"/>
      <c r="AU308" s="19"/>
      <c r="AV308" s="19"/>
      <c r="AW308" s="19"/>
      <c r="AX308" s="19"/>
      <c r="AY308" s="19"/>
      <c r="AZ308" s="19"/>
      <c r="BA308" s="19"/>
      <c r="BB308" s="19"/>
      <c r="BC308" s="19"/>
      <c r="BD308" s="19"/>
      <c r="BE308" s="19"/>
      <c r="BF308" s="19"/>
      <c r="BG308" s="19"/>
      <c r="BH308" s="19"/>
      <c r="BI308" s="19"/>
      <c r="BJ308" s="19"/>
      <c r="BK308" s="19"/>
      <c r="BL308" s="19"/>
      <c r="BM308" s="19"/>
      <c r="BN308" s="19"/>
      <c r="BO308" s="19"/>
      <c r="BP308" s="19"/>
      <c r="BQ308" s="19"/>
      <c r="BR308" s="19"/>
      <c r="BS308" s="19"/>
      <c r="BT308" s="19"/>
      <c r="BU308" s="19"/>
      <c r="BV308" s="19"/>
      <c r="BW308" s="19"/>
      <c r="BX308" s="19"/>
      <c r="BY308" s="19"/>
      <c r="BZ308" s="19"/>
      <c r="CA308" s="19"/>
      <c r="CB308" s="19"/>
      <c r="CC308" s="19"/>
      <c r="CD308" s="19"/>
      <c r="CE308" s="19"/>
      <c r="CF308" s="6"/>
    </row>
    <row r="309" spans="1:84">
      <c r="A309" s="17"/>
      <c r="B309" s="17"/>
      <c r="C309" s="17"/>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19"/>
      <c r="AE309" s="19"/>
      <c r="AF309" s="19"/>
      <c r="AG309" s="19"/>
      <c r="AH309" s="19"/>
      <c r="AI309" s="19"/>
      <c r="AJ309" s="19"/>
      <c r="AK309" s="19"/>
      <c r="AL309" s="19"/>
      <c r="AM309" s="19"/>
      <c r="AN309" s="19"/>
      <c r="AO309" s="19"/>
      <c r="AP309" s="19"/>
      <c r="AQ309" s="19"/>
      <c r="AR309" s="19"/>
      <c r="AS309" s="19"/>
      <c r="AT309" s="19"/>
      <c r="AU309" s="19"/>
      <c r="AV309" s="19"/>
      <c r="AW309" s="19"/>
      <c r="AX309" s="19"/>
      <c r="AY309" s="19"/>
      <c r="AZ309" s="19"/>
      <c r="BA309" s="19"/>
      <c r="BB309" s="19"/>
      <c r="BC309" s="19"/>
      <c r="BD309" s="19"/>
      <c r="BE309" s="19"/>
      <c r="BF309" s="19"/>
      <c r="BG309" s="19"/>
      <c r="BH309" s="19"/>
      <c r="BI309" s="19"/>
      <c r="BJ309" s="19"/>
      <c r="BK309" s="19"/>
      <c r="BL309" s="19"/>
      <c r="BM309" s="19"/>
      <c r="BN309" s="19"/>
      <c r="BO309" s="19"/>
      <c r="BP309" s="19"/>
      <c r="BQ309" s="19"/>
      <c r="BR309" s="19"/>
      <c r="BS309" s="19"/>
      <c r="BT309" s="19"/>
      <c r="BU309" s="19"/>
      <c r="BV309" s="19"/>
      <c r="BW309" s="19"/>
      <c r="BX309" s="19"/>
      <c r="BY309" s="19"/>
      <c r="BZ309" s="19"/>
      <c r="CA309" s="19"/>
      <c r="CB309" s="19"/>
      <c r="CC309" s="19"/>
      <c r="CD309" s="19"/>
      <c r="CE309" s="19"/>
      <c r="CF309" s="6"/>
    </row>
    <row r="310" spans="1:84">
      <c r="A310" s="17"/>
      <c r="B310" s="17"/>
      <c r="C310" s="17"/>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19"/>
      <c r="AE310" s="19"/>
      <c r="AF310" s="19"/>
      <c r="AG310" s="19"/>
      <c r="AH310" s="19"/>
      <c r="AI310" s="19"/>
      <c r="AJ310" s="19"/>
      <c r="AK310" s="19"/>
      <c r="AL310" s="19"/>
      <c r="AM310" s="19"/>
      <c r="AN310" s="19"/>
      <c r="AO310" s="19"/>
      <c r="AP310" s="19"/>
      <c r="AQ310" s="19"/>
      <c r="AR310" s="19"/>
      <c r="AS310" s="19"/>
      <c r="AT310" s="19"/>
      <c r="AU310" s="19"/>
      <c r="AV310" s="19"/>
      <c r="AW310" s="19"/>
      <c r="AX310" s="19"/>
      <c r="AY310" s="19"/>
      <c r="AZ310" s="19"/>
      <c r="BA310" s="19"/>
      <c r="BB310" s="19"/>
      <c r="BC310" s="19"/>
      <c r="BD310" s="19"/>
      <c r="BE310" s="19"/>
      <c r="BF310" s="19"/>
      <c r="BG310" s="19"/>
      <c r="BH310" s="19"/>
      <c r="BI310" s="19"/>
      <c r="BJ310" s="19"/>
      <c r="BK310" s="19"/>
      <c r="BL310" s="19"/>
      <c r="BM310" s="19"/>
      <c r="BN310" s="19"/>
      <c r="BO310" s="19"/>
      <c r="BP310" s="19"/>
      <c r="BQ310" s="19"/>
      <c r="BR310" s="19"/>
      <c r="BS310" s="19"/>
      <c r="BT310" s="19"/>
      <c r="BU310" s="19"/>
      <c r="BV310" s="19"/>
      <c r="BW310" s="19"/>
      <c r="BX310" s="19"/>
      <c r="BY310" s="19"/>
      <c r="BZ310" s="19"/>
      <c r="CA310" s="19"/>
      <c r="CB310" s="19"/>
      <c r="CC310" s="19"/>
      <c r="CD310" s="19"/>
      <c r="CE310" s="19"/>
      <c r="CF310" s="6"/>
    </row>
    <row r="311" spans="1:84">
      <c r="A311" s="17"/>
      <c r="B311" s="17"/>
      <c r="C311" s="17"/>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r="AE311" s="19"/>
      <c r="AF311" s="19"/>
      <c r="AG311" s="19"/>
      <c r="AH311" s="19"/>
      <c r="AI311" s="19"/>
      <c r="AJ311" s="19"/>
      <c r="AK311" s="19"/>
      <c r="AL311" s="19"/>
      <c r="AM311" s="19"/>
      <c r="AN311" s="19"/>
      <c r="AO311" s="19"/>
      <c r="AP311" s="19"/>
      <c r="AQ311" s="19"/>
      <c r="AR311" s="19"/>
      <c r="AS311" s="19"/>
      <c r="AT311" s="19"/>
      <c r="AU311" s="19"/>
      <c r="AV311" s="19"/>
      <c r="AW311" s="19"/>
      <c r="AX311" s="19"/>
      <c r="AY311" s="19"/>
      <c r="AZ311" s="19"/>
      <c r="BA311" s="19"/>
      <c r="BB311" s="19"/>
      <c r="BC311" s="19"/>
      <c r="BD311" s="19"/>
      <c r="BE311" s="19"/>
      <c r="BF311" s="19"/>
      <c r="BG311" s="19"/>
      <c r="BH311" s="19"/>
      <c r="BI311" s="19"/>
      <c r="BJ311" s="19"/>
      <c r="BK311" s="19"/>
      <c r="BL311" s="19"/>
      <c r="BM311" s="19"/>
      <c r="BN311" s="19"/>
      <c r="BO311" s="19"/>
      <c r="BP311" s="19"/>
      <c r="BQ311" s="19"/>
      <c r="BR311" s="19"/>
      <c r="BS311" s="19"/>
      <c r="BT311" s="19"/>
      <c r="BU311" s="19"/>
      <c r="BV311" s="19"/>
      <c r="BW311" s="19"/>
      <c r="BX311" s="19"/>
      <c r="BY311" s="19"/>
      <c r="BZ311" s="19"/>
      <c r="CA311" s="19"/>
      <c r="CB311" s="19"/>
      <c r="CC311" s="19"/>
      <c r="CD311" s="19"/>
      <c r="CE311" s="19"/>
      <c r="CF311" s="6"/>
    </row>
    <row r="312" spans="1:84">
      <c r="A312" s="17"/>
      <c r="B312" s="17"/>
      <c r="C312" s="17"/>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19"/>
      <c r="AE312" s="19"/>
      <c r="AF312" s="19"/>
      <c r="AG312" s="19"/>
      <c r="AH312" s="19"/>
      <c r="AI312" s="19"/>
      <c r="AJ312" s="19"/>
      <c r="AK312" s="19"/>
      <c r="AL312" s="19"/>
      <c r="AM312" s="19"/>
      <c r="AN312" s="19"/>
      <c r="AO312" s="19"/>
      <c r="AP312" s="19"/>
      <c r="AQ312" s="19"/>
      <c r="AR312" s="19"/>
      <c r="AS312" s="19"/>
      <c r="AT312" s="19"/>
      <c r="AU312" s="19"/>
      <c r="AV312" s="19"/>
      <c r="AW312" s="19"/>
      <c r="AX312" s="19"/>
      <c r="AY312" s="19"/>
      <c r="AZ312" s="19"/>
      <c r="BA312" s="19"/>
      <c r="BB312" s="19"/>
      <c r="BC312" s="19"/>
      <c r="BD312" s="19"/>
      <c r="BE312" s="19"/>
      <c r="BF312" s="19"/>
      <c r="BG312" s="19"/>
      <c r="BH312" s="19"/>
      <c r="BI312" s="19"/>
      <c r="BJ312" s="19"/>
      <c r="BK312" s="19"/>
      <c r="BL312" s="19"/>
      <c r="BM312" s="19"/>
      <c r="BN312" s="19"/>
      <c r="BO312" s="19"/>
      <c r="BP312" s="19"/>
      <c r="BQ312" s="19"/>
      <c r="BR312" s="19"/>
      <c r="BS312" s="19"/>
      <c r="BT312" s="19"/>
      <c r="BU312" s="19"/>
      <c r="BV312" s="19"/>
      <c r="BW312" s="19"/>
      <c r="BX312" s="19"/>
      <c r="BY312" s="19"/>
      <c r="BZ312" s="19"/>
      <c r="CA312" s="19"/>
      <c r="CB312" s="19"/>
      <c r="CC312" s="19"/>
      <c r="CD312" s="19"/>
      <c r="CE312" s="19"/>
      <c r="CF312" s="6"/>
    </row>
    <row r="313" spans="1:84">
      <c r="A313" s="17"/>
      <c r="B313" s="17"/>
      <c r="C313" s="17"/>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19"/>
      <c r="AE313" s="19"/>
      <c r="AF313" s="19"/>
      <c r="AG313" s="19"/>
      <c r="AH313" s="19"/>
      <c r="AI313" s="19"/>
      <c r="AJ313" s="19"/>
      <c r="AK313" s="19"/>
      <c r="AL313" s="19"/>
      <c r="AM313" s="19"/>
      <c r="AN313" s="19"/>
      <c r="AO313" s="19"/>
      <c r="AP313" s="19"/>
      <c r="AQ313" s="19"/>
      <c r="AR313" s="19"/>
      <c r="AS313" s="19"/>
      <c r="AT313" s="19"/>
      <c r="AU313" s="19"/>
      <c r="AV313" s="19"/>
      <c r="AW313" s="19"/>
      <c r="AX313" s="19"/>
      <c r="AY313" s="19"/>
      <c r="AZ313" s="19"/>
      <c r="BA313" s="19"/>
      <c r="BB313" s="19"/>
      <c r="BC313" s="19"/>
      <c r="BD313" s="19"/>
      <c r="BE313" s="19"/>
      <c r="BF313" s="19"/>
      <c r="BG313" s="19"/>
      <c r="BH313" s="19"/>
      <c r="BI313" s="19"/>
      <c r="BJ313" s="19"/>
      <c r="BK313" s="19"/>
      <c r="BL313" s="19"/>
      <c r="BM313" s="19"/>
      <c r="BN313" s="19"/>
      <c r="BO313" s="19"/>
      <c r="BP313" s="19"/>
      <c r="BQ313" s="19"/>
      <c r="BR313" s="19"/>
      <c r="BS313" s="19"/>
      <c r="BT313" s="19"/>
      <c r="BU313" s="19"/>
      <c r="BV313" s="19"/>
      <c r="BW313" s="19"/>
      <c r="BX313" s="19"/>
      <c r="BY313" s="19"/>
      <c r="BZ313" s="19"/>
      <c r="CA313" s="19"/>
      <c r="CB313" s="19"/>
      <c r="CC313" s="19"/>
      <c r="CD313" s="19"/>
      <c r="CE313" s="19"/>
      <c r="CF313" s="6"/>
    </row>
    <row r="314" spans="1:84">
      <c r="A314" s="17"/>
      <c r="B314" s="17"/>
      <c r="C314" s="17"/>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9"/>
      <c r="AG314" s="19"/>
      <c r="AH314" s="19"/>
      <c r="AI314" s="19"/>
      <c r="AJ314" s="19"/>
      <c r="AK314" s="19"/>
      <c r="AL314" s="19"/>
      <c r="AM314" s="19"/>
      <c r="AN314" s="19"/>
      <c r="AO314" s="19"/>
      <c r="AP314" s="19"/>
      <c r="AQ314" s="19"/>
      <c r="AR314" s="19"/>
      <c r="AS314" s="19"/>
      <c r="AT314" s="19"/>
      <c r="AU314" s="19"/>
      <c r="AV314" s="19"/>
      <c r="AW314" s="19"/>
      <c r="AX314" s="19"/>
      <c r="AY314" s="19"/>
      <c r="AZ314" s="19"/>
      <c r="BA314" s="19"/>
      <c r="BB314" s="19"/>
      <c r="BC314" s="19"/>
      <c r="BD314" s="19"/>
      <c r="BE314" s="19"/>
      <c r="BF314" s="19"/>
      <c r="BG314" s="19"/>
      <c r="BH314" s="19"/>
      <c r="BI314" s="19"/>
      <c r="BJ314" s="19"/>
      <c r="BK314" s="19"/>
      <c r="BL314" s="19"/>
      <c r="BM314" s="19"/>
      <c r="BN314" s="19"/>
      <c r="BO314" s="19"/>
      <c r="BP314" s="19"/>
      <c r="BQ314" s="19"/>
      <c r="BR314" s="19"/>
      <c r="BS314" s="19"/>
      <c r="BT314" s="19"/>
      <c r="BU314" s="19"/>
      <c r="BV314" s="19"/>
      <c r="BW314" s="19"/>
      <c r="BX314" s="19"/>
      <c r="BY314" s="19"/>
      <c r="BZ314" s="19"/>
      <c r="CA314" s="19"/>
      <c r="CB314" s="19"/>
      <c r="CC314" s="19"/>
      <c r="CD314" s="19"/>
      <c r="CE314" s="19"/>
      <c r="CF314" s="6"/>
    </row>
    <row r="315" spans="1:84">
      <c r="A315" s="17"/>
      <c r="B315" s="17"/>
      <c r="C315" s="17"/>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19"/>
      <c r="AE315" s="19"/>
      <c r="AF315" s="19"/>
      <c r="AG315" s="19"/>
      <c r="AH315" s="19"/>
      <c r="AI315" s="19"/>
      <c r="AJ315" s="19"/>
      <c r="AK315" s="19"/>
      <c r="AL315" s="19"/>
      <c r="AM315" s="19"/>
      <c r="AN315" s="19"/>
      <c r="AO315" s="19"/>
      <c r="AP315" s="19"/>
      <c r="AQ315" s="19"/>
      <c r="AR315" s="19"/>
      <c r="AS315" s="19"/>
      <c r="AT315" s="19"/>
      <c r="AU315" s="19"/>
      <c r="AV315" s="19"/>
      <c r="AW315" s="19"/>
      <c r="AX315" s="19"/>
      <c r="AY315" s="19"/>
      <c r="AZ315" s="19"/>
      <c r="BA315" s="19"/>
      <c r="BB315" s="19"/>
      <c r="BC315" s="19"/>
      <c r="BD315" s="19"/>
      <c r="BE315" s="19"/>
      <c r="BF315" s="19"/>
      <c r="BG315" s="19"/>
      <c r="BH315" s="19"/>
      <c r="BI315" s="19"/>
      <c r="BJ315" s="19"/>
      <c r="BK315" s="19"/>
      <c r="BL315" s="19"/>
      <c r="BM315" s="19"/>
      <c r="BN315" s="19"/>
      <c r="BO315" s="19"/>
      <c r="BP315" s="19"/>
      <c r="BQ315" s="19"/>
      <c r="BR315" s="19"/>
      <c r="BS315" s="19"/>
      <c r="BT315" s="19"/>
      <c r="BU315" s="19"/>
      <c r="BV315" s="19"/>
      <c r="BW315" s="19"/>
      <c r="BX315" s="19"/>
      <c r="BY315" s="19"/>
      <c r="BZ315" s="19"/>
      <c r="CA315" s="19"/>
      <c r="CB315" s="19"/>
      <c r="CC315" s="19"/>
      <c r="CD315" s="19"/>
      <c r="CE315" s="19"/>
      <c r="CF315" s="6"/>
    </row>
    <row r="316" spans="1:84">
      <c r="A316" s="17"/>
      <c r="B316" s="17"/>
      <c r="C316" s="17"/>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c r="AB316" s="19"/>
      <c r="AC316" s="19"/>
      <c r="AD316" s="19"/>
      <c r="AE316" s="19"/>
      <c r="AF316" s="19"/>
      <c r="AG316" s="19"/>
      <c r="AH316" s="19"/>
      <c r="AI316" s="19"/>
      <c r="AJ316" s="19"/>
      <c r="AK316" s="19"/>
      <c r="AL316" s="19"/>
      <c r="AM316" s="19"/>
      <c r="AN316" s="19"/>
      <c r="AO316" s="19"/>
      <c r="AP316" s="19"/>
      <c r="AQ316" s="19"/>
      <c r="AR316" s="19"/>
      <c r="AS316" s="19"/>
      <c r="AT316" s="19"/>
      <c r="AU316" s="19"/>
      <c r="AV316" s="19"/>
      <c r="AW316" s="19"/>
      <c r="AX316" s="19"/>
      <c r="AY316" s="19"/>
      <c r="AZ316" s="19"/>
      <c r="BA316" s="19"/>
      <c r="BB316" s="19"/>
      <c r="BC316" s="19"/>
      <c r="BD316" s="19"/>
      <c r="BE316" s="19"/>
      <c r="BF316" s="19"/>
      <c r="BG316" s="19"/>
      <c r="BH316" s="19"/>
      <c r="BI316" s="19"/>
      <c r="BJ316" s="19"/>
      <c r="BK316" s="19"/>
      <c r="BL316" s="19"/>
      <c r="BM316" s="19"/>
      <c r="BN316" s="19"/>
      <c r="BO316" s="19"/>
      <c r="BP316" s="19"/>
      <c r="BQ316" s="19"/>
      <c r="BR316" s="19"/>
      <c r="BS316" s="19"/>
      <c r="BT316" s="19"/>
      <c r="BU316" s="19"/>
      <c r="BV316" s="19"/>
      <c r="BW316" s="19"/>
      <c r="BX316" s="19"/>
      <c r="BY316" s="19"/>
      <c r="BZ316" s="19"/>
      <c r="CA316" s="19"/>
      <c r="CB316" s="19"/>
      <c r="CC316" s="19"/>
      <c r="CD316" s="19"/>
      <c r="CE316" s="19"/>
      <c r="CF316" s="6"/>
    </row>
    <row r="317" spans="1:84">
      <c r="A317" s="17"/>
      <c r="B317" s="17"/>
      <c r="C317" s="17"/>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c r="AB317" s="19"/>
      <c r="AC317" s="19"/>
      <c r="AD317" s="19"/>
      <c r="AE317" s="19"/>
      <c r="AF317" s="19"/>
      <c r="AG317" s="19"/>
      <c r="AH317" s="19"/>
      <c r="AI317" s="19"/>
      <c r="AJ317" s="19"/>
      <c r="AK317" s="19"/>
      <c r="AL317" s="19"/>
      <c r="AM317" s="19"/>
      <c r="AN317" s="19"/>
      <c r="AO317" s="19"/>
      <c r="AP317" s="19"/>
      <c r="AQ317" s="19"/>
      <c r="AR317" s="19"/>
      <c r="AS317" s="19"/>
      <c r="AT317" s="19"/>
      <c r="AU317" s="19"/>
      <c r="AV317" s="19"/>
      <c r="AW317" s="19"/>
      <c r="AX317" s="19"/>
      <c r="AY317" s="19"/>
      <c r="AZ317" s="19"/>
      <c r="BA317" s="19"/>
      <c r="BB317" s="19"/>
      <c r="BC317" s="19"/>
      <c r="BD317" s="19"/>
      <c r="BE317" s="19"/>
      <c r="BF317" s="19"/>
      <c r="BG317" s="19"/>
      <c r="BH317" s="19"/>
      <c r="BI317" s="19"/>
      <c r="BJ317" s="19"/>
      <c r="BK317" s="19"/>
      <c r="BL317" s="19"/>
      <c r="BM317" s="19"/>
      <c r="BN317" s="19"/>
      <c r="BO317" s="19"/>
      <c r="BP317" s="19"/>
      <c r="BQ317" s="19"/>
      <c r="BR317" s="19"/>
      <c r="BS317" s="19"/>
      <c r="BT317" s="19"/>
      <c r="BU317" s="19"/>
      <c r="BV317" s="19"/>
      <c r="BW317" s="19"/>
      <c r="BX317" s="19"/>
      <c r="BY317" s="19"/>
      <c r="BZ317" s="19"/>
      <c r="CA317" s="19"/>
      <c r="CB317" s="19"/>
      <c r="CC317" s="19"/>
      <c r="CD317" s="19"/>
      <c r="CE317" s="19"/>
      <c r="CF317" s="6"/>
    </row>
    <row r="318" spans="1:84">
      <c r="A318" s="17"/>
      <c r="B318" s="17"/>
      <c r="C318" s="17"/>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9"/>
      <c r="AB318" s="19"/>
      <c r="AC318" s="19"/>
      <c r="AD318" s="19"/>
      <c r="AE318" s="19"/>
      <c r="AF318" s="19"/>
      <c r="AG318" s="19"/>
      <c r="AH318" s="19"/>
      <c r="AI318" s="19"/>
      <c r="AJ318" s="19"/>
      <c r="AK318" s="19"/>
      <c r="AL318" s="19"/>
      <c r="AM318" s="19"/>
      <c r="AN318" s="19"/>
      <c r="AO318" s="19"/>
      <c r="AP318" s="19"/>
      <c r="AQ318" s="19"/>
      <c r="AR318" s="19"/>
      <c r="AS318" s="19"/>
      <c r="AT318" s="19"/>
      <c r="AU318" s="19"/>
      <c r="AV318" s="19"/>
      <c r="AW318" s="19"/>
      <c r="AX318" s="19"/>
      <c r="AY318" s="19"/>
      <c r="AZ318" s="19"/>
      <c r="BA318" s="19"/>
      <c r="BB318" s="19"/>
      <c r="BC318" s="19"/>
      <c r="BD318" s="19"/>
      <c r="BE318" s="19"/>
      <c r="BF318" s="19"/>
      <c r="BG318" s="19"/>
      <c r="BH318" s="19"/>
      <c r="BI318" s="19"/>
      <c r="BJ318" s="19"/>
      <c r="BK318" s="19"/>
      <c r="BL318" s="19"/>
      <c r="BM318" s="19"/>
      <c r="BN318" s="19"/>
      <c r="BO318" s="19"/>
      <c r="BP318" s="19"/>
      <c r="BQ318" s="19"/>
      <c r="BR318" s="19"/>
      <c r="BS318" s="19"/>
      <c r="BT318" s="19"/>
      <c r="BU318" s="19"/>
      <c r="BV318" s="19"/>
      <c r="BW318" s="19"/>
      <c r="BX318" s="19"/>
      <c r="BY318" s="19"/>
      <c r="BZ318" s="19"/>
      <c r="CA318" s="19"/>
      <c r="CB318" s="19"/>
      <c r="CC318" s="19"/>
      <c r="CD318" s="19"/>
      <c r="CE318" s="19"/>
      <c r="CF318" s="6"/>
    </row>
    <row r="319" spans="1:84">
      <c r="A319" s="17"/>
      <c r="B319" s="17"/>
      <c r="C319" s="17"/>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9"/>
      <c r="AB319" s="19"/>
      <c r="AC319" s="19"/>
      <c r="AD319" s="19"/>
      <c r="AE319" s="19"/>
      <c r="AF319" s="19"/>
      <c r="AG319" s="19"/>
      <c r="AH319" s="19"/>
      <c r="AI319" s="19"/>
      <c r="AJ319" s="19"/>
      <c r="AK319" s="19"/>
      <c r="AL319" s="19"/>
      <c r="AM319" s="19"/>
      <c r="AN319" s="19"/>
      <c r="AO319" s="19"/>
      <c r="AP319" s="19"/>
      <c r="AQ319" s="19"/>
      <c r="AR319" s="19"/>
      <c r="AS319" s="19"/>
      <c r="AT319" s="19"/>
      <c r="AU319" s="19"/>
      <c r="AV319" s="19"/>
      <c r="AW319" s="19"/>
      <c r="AX319" s="19"/>
      <c r="AY319" s="19"/>
      <c r="AZ319" s="19"/>
      <c r="BA319" s="19"/>
      <c r="BB319" s="19"/>
      <c r="BC319" s="19"/>
      <c r="BD319" s="19"/>
      <c r="BE319" s="19"/>
      <c r="BF319" s="19"/>
      <c r="BG319" s="19"/>
      <c r="BH319" s="19"/>
      <c r="BI319" s="19"/>
      <c r="BJ319" s="19"/>
      <c r="BK319" s="19"/>
      <c r="BL319" s="19"/>
      <c r="BM319" s="19"/>
      <c r="BN319" s="19"/>
      <c r="BO319" s="19"/>
      <c r="BP319" s="19"/>
      <c r="BQ319" s="19"/>
      <c r="BR319" s="19"/>
      <c r="BS319" s="19"/>
      <c r="BT319" s="19"/>
      <c r="BU319" s="19"/>
      <c r="BV319" s="19"/>
      <c r="BW319" s="19"/>
      <c r="BX319" s="19"/>
      <c r="BY319" s="19"/>
      <c r="BZ319" s="19"/>
      <c r="CA319" s="19"/>
      <c r="CB319" s="19"/>
      <c r="CC319" s="19"/>
      <c r="CD319" s="19"/>
      <c r="CE319" s="19"/>
      <c r="CF319" s="6"/>
    </row>
    <row r="320" spans="1:84">
      <c r="A320" s="17"/>
      <c r="B320" s="17"/>
      <c r="C320" s="17"/>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9"/>
      <c r="AB320" s="19"/>
      <c r="AC320" s="19"/>
      <c r="AD320" s="19"/>
      <c r="AE320" s="19"/>
      <c r="AF320" s="19"/>
      <c r="AG320" s="19"/>
      <c r="AH320" s="19"/>
      <c r="AI320" s="19"/>
      <c r="AJ320" s="19"/>
      <c r="AK320" s="19"/>
      <c r="AL320" s="19"/>
      <c r="AM320" s="19"/>
      <c r="AN320" s="19"/>
      <c r="AO320" s="19"/>
      <c r="AP320" s="19"/>
      <c r="AQ320" s="19"/>
      <c r="AR320" s="19"/>
      <c r="AS320" s="19"/>
      <c r="AT320" s="19"/>
      <c r="AU320" s="19"/>
      <c r="AV320" s="19"/>
      <c r="AW320" s="19"/>
      <c r="AX320" s="19"/>
      <c r="AY320" s="19"/>
      <c r="AZ320" s="19"/>
      <c r="BA320" s="19"/>
      <c r="BB320" s="19"/>
      <c r="BC320" s="19"/>
      <c r="BD320" s="19"/>
      <c r="BE320" s="19"/>
      <c r="BF320" s="19"/>
      <c r="BG320" s="19"/>
      <c r="BH320" s="19"/>
      <c r="BI320" s="19"/>
      <c r="BJ320" s="19"/>
      <c r="BK320" s="19"/>
      <c r="BL320" s="19"/>
      <c r="BM320" s="19"/>
      <c r="BN320" s="19"/>
      <c r="BO320" s="19"/>
      <c r="BP320" s="19"/>
      <c r="BQ320" s="19"/>
      <c r="BR320" s="19"/>
      <c r="BS320" s="19"/>
      <c r="BT320" s="19"/>
      <c r="BU320" s="19"/>
      <c r="BV320" s="19"/>
      <c r="BW320" s="19"/>
      <c r="BX320" s="19"/>
      <c r="BY320" s="19"/>
      <c r="BZ320" s="19"/>
      <c r="CA320" s="19"/>
      <c r="CB320" s="19"/>
      <c r="CC320" s="19"/>
      <c r="CD320" s="19"/>
      <c r="CE320" s="19"/>
      <c r="CF320" s="6"/>
    </row>
    <row r="321" spans="1:84">
      <c r="A321" s="17"/>
      <c r="B321" s="17"/>
      <c r="C321" s="17"/>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9"/>
      <c r="AB321" s="19"/>
      <c r="AC321" s="19"/>
      <c r="AD321" s="19"/>
      <c r="AE321" s="19"/>
      <c r="AF321" s="19"/>
      <c r="AG321" s="19"/>
      <c r="AH321" s="19"/>
      <c r="AI321" s="19"/>
      <c r="AJ321" s="19"/>
      <c r="AK321" s="19"/>
      <c r="AL321" s="19"/>
      <c r="AM321" s="19"/>
      <c r="AN321" s="19"/>
      <c r="AO321" s="19"/>
      <c r="AP321" s="19"/>
      <c r="AQ321" s="19"/>
      <c r="AR321" s="19"/>
      <c r="AS321" s="19"/>
      <c r="AT321" s="19"/>
      <c r="AU321" s="19"/>
      <c r="AV321" s="19"/>
      <c r="AW321" s="19"/>
      <c r="AX321" s="19"/>
      <c r="AY321" s="19"/>
      <c r="AZ321" s="19"/>
      <c r="BA321" s="19"/>
      <c r="BB321" s="19"/>
      <c r="BC321" s="19"/>
      <c r="BD321" s="19"/>
      <c r="BE321" s="19"/>
      <c r="BF321" s="19"/>
      <c r="BG321" s="19"/>
      <c r="BH321" s="19"/>
      <c r="BI321" s="19"/>
      <c r="BJ321" s="19"/>
      <c r="BK321" s="19"/>
      <c r="BL321" s="19"/>
      <c r="BM321" s="19"/>
      <c r="BN321" s="19"/>
      <c r="BO321" s="19"/>
      <c r="BP321" s="19"/>
      <c r="BQ321" s="19"/>
      <c r="BR321" s="19"/>
      <c r="BS321" s="19"/>
      <c r="BT321" s="19"/>
      <c r="BU321" s="19"/>
      <c r="BV321" s="19"/>
      <c r="BW321" s="19"/>
      <c r="BX321" s="19"/>
      <c r="BY321" s="19"/>
      <c r="BZ321" s="19"/>
      <c r="CA321" s="19"/>
      <c r="CB321" s="19"/>
      <c r="CC321" s="19"/>
      <c r="CD321" s="19"/>
      <c r="CE321" s="19"/>
      <c r="CF321" s="6"/>
    </row>
    <row r="322" spans="1:84">
      <c r="A322" s="17"/>
      <c r="B322" s="17"/>
      <c r="C322" s="17"/>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9"/>
      <c r="AB322" s="19"/>
      <c r="AC322" s="19"/>
      <c r="AD322" s="19"/>
      <c r="AE322" s="19"/>
      <c r="AF322" s="19"/>
      <c r="AG322" s="19"/>
      <c r="AH322" s="19"/>
      <c r="AI322" s="19"/>
      <c r="AJ322" s="19"/>
      <c r="AK322" s="19"/>
      <c r="AL322" s="19"/>
      <c r="AM322" s="19"/>
      <c r="AN322" s="19"/>
      <c r="AO322" s="19"/>
      <c r="AP322" s="19"/>
      <c r="AQ322" s="19"/>
      <c r="AR322" s="19"/>
      <c r="AS322" s="19"/>
      <c r="AT322" s="19"/>
      <c r="AU322" s="19"/>
      <c r="AV322" s="19"/>
      <c r="AW322" s="19"/>
      <c r="AX322" s="19"/>
      <c r="AY322" s="19"/>
      <c r="AZ322" s="19"/>
      <c r="BA322" s="19"/>
      <c r="BB322" s="19"/>
      <c r="BC322" s="19"/>
      <c r="BD322" s="19"/>
      <c r="BE322" s="19"/>
      <c r="BF322" s="19"/>
      <c r="BG322" s="19"/>
      <c r="BH322" s="19"/>
      <c r="BI322" s="19"/>
      <c r="BJ322" s="19"/>
      <c r="BK322" s="19"/>
      <c r="BL322" s="19"/>
      <c r="BM322" s="19"/>
      <c r="BN322" s="19"/>
      <c r="BO322" s="19"/>
      <c r="BP322" s="19"/>
      <c r="BQ322" s="19"/>
      <c r="BR322" s="19"/>
      <c r="BS322" s="19"/>
      <c r="BT322" s="19"/>
      <c r="BU322" s="19"/>
      <c r="BV322" s="19"/>
      <c r="BW322" s="19"/>
      <c r="BX322" s="19"/>
      <c r="BY322" s="19"/>
      <c r="BZ322" s="19"/>
      <c r="CA322" s="19"/>
      <c r="CB322" s="19"/>
      <c r="CC322" s="19"/>
      <c r="CD322" s="19"/>
      <c r="CE322" s="19"/>
      <c r="CF322" s="6"/>
    </row>
    <row r="323" spans="1:84">
      <c r="A323" s="17"/>
      <c r="B323" s="17"/>
      <c r="C323" s="17"/>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9"/>
      <c r="AB323" s="19"/>
      <c r="AC323" s="19"/>
      <c r="AD323" s="19"/>
      <c r="AE323" s="19"/>
      <c r="AF323" s="19"/>
      <c r="AG323" s="19"/>
      <c r="AH323" s="19"/>
      <c r="AI323" s="19"/>
      <c r="AJ323" s="19"/>
      <c r="AK323" s="19"/>
      <c r="AL323" s="19"/>
      <c r="AM323" s="19"/>
      <c r="AN323" s="19"/>
      <c r="AO323" s="19"/>
      <c r="AP323" s="19"/>
      <c r="AQ323" s="19"/>
      <c r="AR323" s="19"/>
      <c r="AS323" s="19"/>
      <c r="AT323" s="19"/>
      <c r="AU323" s="19"/>
      <c r="AV323" s="19"/>
      <c r="AW323" s="19"/>
      <c r="AX323" s="19"/>
      <c r="AY323" s="19"/>
      <c r="AZ323" s="19"/>
      <c r="BA323" s="19"/>
      <c r="BB323" s="19"/>
      <c r="BC323" s="19"/>
      <c r="BD323" s="19"/>
      <c r="BE323" s="19"/>
      <c r="BF323" s="19"/>
      <c r="BG323" s="19"/>
      <c r="BH323" s="19"/>
      <c r="BI323" s="19"/>
      <c r="BJ323" s="19"/>
      <c r="BK323" s="19"/>
      <c r="BL323" s="19"/>
      <c r="BM323" s="19"/>
      <c r="BN323" s="19"/>
      <c r="BO323" s="19"/>
      <c r="BP323" s="19"/>
      <c r="BQ323" s="19"/>
      <c r="BR323" s="19"/>
      <c r="BS323" s="19"/>
      <c r="BT323" s="19"/>
      <c r="BU323" s="19"/>
      <c r="BV323" s="19"/>
      <c r="BW323" s="19"/>
      <c r="BX323" s="19"/>
      <c r="BY323" s="19"/>
      <c r="BZ323" s="19"/>
      <c r="CA323" s="19"/>
      <c r="CB323" s="19"/>
      <c r="CC323" s="19"/>
      <c r="CD323" s="19"/>
      <c r="CE323" s="19"/>
      <c r="CF323" s="6"/>
    </row>
    <row r="324" spans="1:84">
      <c r="A324" s="17"/>
      <c r="B324" s="17"/>
      <c r="C324" s="17"/>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9"/>
      <c r="AB324" s="19"/>
      <c r="AC324" s="19"/>
      <c r="AD324" s="19"/>
      <c r="AE324" s="19"/>
      <c r="AF324" s="19"/>
      <c r="AG324" s="19"/>
      <c r="AH324" s="19"/>
      <c r="AI324" s="19"/>
      <c r="AJ324" s="19"/>
      <c r="AK324" s="19"/>
      <c r="AL324" s="19"/>
      <c r="AM324" s="19"/>
      <c r="AN324" s="19"/>
      <c r="AO324" s="19"/>
      <c r="AP324" s="19"/>
      <c r="AQ324" s="19"/>
      <c r="AR324" s="19"/>
      <c r="AS324" s="19"/>
      <c r="AT324" s="19"/>
      <c r="AU324" s="19"/>
      <c r="AV324" s="19"/>
      <c r="AW324" s="19"/>
      <c r="AX324" s="19"/>
      <c r="AY324" s="19"/>
      <c r="AZ324" s="19"/>
      <c r="BA324" s="19"/>
      <c r="BB324" s="19"/>
      <c r="BC324" s="19"/>
      <c r="BD324" s="19"/>
      <c r="BE324" s="19"/>
      <c r="BF324" s="19"/>
      <c r="BG324" s="19"/>
      <c r="BH324" s="19"/>
      <c r="BI324" s="19"/>
      <c r="BJ324" s="19"/>
      <c r="BK324" s="19"/>
      <c r="BL324" s="19"/>
      <c r="BM324" s="19"/>
      <c r="BN324" s="19"/>
      <c r="BO324" s="19"/>
      <c r="BP324" s="19"/>
      <c r="BQ324" s="19"/>
      <c r="BR324" s="19"/>
      <c r="BS324" s="19"/>
      <c r="BT324" s="19"/>
      <c r="BU324" s="19"/>
      <c r="BV324" s="19"/>
      <c r="BW324" s="19"/>
      <c r="BX324" s="19"/>
      <c r="BY324" s="19"/>
      <c r="BZ324" s="19"/>
      <c r="CA324" s="19"/>
      <c r="CB324" s="19"/>
      <c r="CC324" s="19"/>
      <c r="CD324" s="19"/>
      <c r="CE324" s="19"/>
      <c r="CF324" s="6"/>
    </row>
    <row r="325" spans="1:84">
      <c r="A325" s="17"/>
      <c r="B325" s="17"/>
      <c r="C325" s="17"/>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9"/>
      <c r="AB325" s="19"/>
      <c r="AC325" s="19"/>
      <c r="AD325" s="19"/>
      <c r="AE325" s="19"/>
      <c r="AF325" s="19"/>
      <c r="AG325" s="19"/>
      <c r="AH325" s="19"/>
      <c r="AI325" s="19"/>
      <c r="AJ325" s="19"/>
      <c r="AK325" s="19"/>
      <c r="AL325" s="19"/>
      <c r="AM325" s="19"/>
      <c r="AN325" s="19"/>
      <c r="AO325" s="19"/>
      <c r="AP325" s="19"/>
      <c r="AQ325" s="19"/>
      <c r="AR325" s="19"/>
      <c r="AS325" s="19"/>
      <c r="AT325" s="19"/>
      <c r="AU325" s="19"/>
      <c r="AV325" s="19"/>
      <c r="AW325" s="19"/>
      <c r="AX325" s="19"/>
      <c r="AY325" s="19"/>
      <c r="AZ325" s="19"/>
      <c r="BA325" s="19"/>
      <c r="BB325" s="19"/>
      <c r="BC325" s="19"/>
      <c r="BD325" s="19"/>
      <c r="BE325" s="19"/>
      <c r="BF325" s="19"/>
      <c r="BG325" s="19"/>
      <c r="BH325" s="19"/>
      <c r="BI325" s="19"/>
      <c r="BJ325" s="19"/>
      <c r="BK325" s="19"/>
      <c r="BL325" s="19"/>
      <c r="BM325" s="19"/>
      <c r="BN325" s="19"/>
      <c r="BO325" s="19"/>
      <c r="BP325" s="19"/>
      <c r="BQ325" s="19"/>
      <c r="BR325" s="19"/>
      <c r="BS325" s="19"/>
      <c r="BT325" s="19"/>
      <c r="BU325" s="19"/>
      <c r="BV325" s="19"/>
      <c r="BW325" s="19"/>
      <c r="BX325" s="19"/>
      <c r="BY325" s="19"/>
      <c r="BZ325" s="19"/>
      <c r="CA325" s="19"/>
      <c r="CB325" s="19"/>
      <c r="CC325" s="19"/>
      <c r="CD325" s="19"/>
      <c r="CE325" s="19"/>
      <c r="CF325" s="6"/>
    </row>
    <row r="326" spans="1:84">
      <c r="A326" s="17"/>
      <c r="B326" s="17"/>
      <c r="C326" s="17"/>
      <c r="D326" s="19"/>
      <c r="E326" s="19"/>
      <c r="F326" s="19"/>
      <c r="G326" s="19"/>
      <c r="H326" s="19"/>
      <c r="I326" s="19"/>
      <c r="J326" s="19"/>
      <c r="K326" s="19"/>
      <c r="L326" s="19"/>
      <c r="M326" s="19"/>
      <c r="N326" s="19"/>
      <c r="O326" s="19"/>
      <c r="P326" s="19"/>
      <c r="Q326" s="19"/>
      <c r="R326" s="19"/>
      <c r="S326" s="19"/>
      <c r="T326" s="19"/>
      <c r="U326" s="19"/>
      <c r="V326" s="19"/>
      <c r="W326" s="19"/>
      <c r="X326" s="19"/>
      <c r="Y326" s="19"/>
      <c r="Z326" s="19"/>
      <c r="AA326" s="19"/>
      <c r="AB326" s="19"/>
      <c r="AC326" s="19"/>
      <c r="AD326" s="19"/>
      <c r="AE326" s="19"/>
      <c r="AF326" s="19"/>
      <c r="AG326" s="19"/>
      <c r="AH326" s="19"/>
      <c r="AI326" s="19"/>
      <c r="AJ326" s="19"/>
      <c r="AK326" s="19"/>
      <c r="AL326" s="19"/>
      <c r="AM326" s="19"/>
      <c r="AN326" s="19"/>
      <c r="AO326" s="19"/>
      <c r="AP326" s="19"/>
      <c r="AQ326" s="19"/>
      <c r="AR326" s="19"/>
      <c r="AS326" s="19"/>
      <c r="AT326" s="19"/>
      <c r="AU326" s="19"/>
      <c r="AV326" s="19"/>
      <c r="AW326" s="19"/>
      <c r="AX326" s="19"/>
      <c r="AY326" s="19"/>
      <c r="AZ326" s="19"/>
      <c r="BA326" s="19"/>
      <c r="BB326" s="19"/>
      <c r="BC326" s="19"/>
      <c r="BD326" s="19"/>
      <c r="BE326" s="19"/>
      <c r="BF326" s="19"/>
      <c r="BG326" s="19"/>
      <c r="BH326" s="19"/>
      <c r="BI326" s="19"/>
      <c r="BJ326" s="19"/>
      <c r="BK326" s="19"/>
      <c r="BL326" s="19"/>
      <c r="BM326" s="19"/>
      <c r="BN326" s="19"/>
      <c r="BO326" s="19"/>
      <c r="BP326" s="19"/>
      <c r="BQ326" s="19"/>
      <c r="BR326" s="19"/>
      <c r="BS326" s="19"/>
      <c r="BT326" s="19"/>
      <c r="BU326" s="19"/>
      <c r="BV326" s="19"/>
      <c r="BW326" s="19"/>
      <c r="BX326" s="19"/>
      <c r="BY326" s="19"/>
      <c r="BZ326" s="19"/>
      <c r="CA326" s="19"/>
      <c r="CB326" s="19"/>
      <c r="CC326" s="19"/>
      <c r="CD326" s="19"/>
      <c r="CE326" s="19"/>
      <c r="CF326" s="6"/>
    </row>
    <row r="327" spans="1:84">
      <c r="A327" s="17"/>
      <c r="B327" s="17"/>
      <c r="C327" s="17"/>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9"/>
      <c r="AB327" s="19"/>
      <c r="AC327" s="19"/>
      <c r="AD327" s="19"/>
      <c r="AE327" s="19"/>
      <c r="AF327" s="19"/>
      <c r="AG327" s="19"/>
      <c r="AH327" s="19"/>
      <c r="AI327" s="19"/>
      <c r="AJ327" s="19"/>
      <c r="AK327" s="19"/>
      <c r="AL327" s="19"/>
      <c r="AM327" s="19"/>
      <c r="AN327" s="19"/>
      <c r="AO327" s="19"/>
      <c r="AP327" s="19"/>
      <c r="AQ327" s="19"/>
      <c r="AR327" s="19"/>
      <c r="AS327" s="19"/>
      <c r="AT327" s="19"/>
      <c r="AU327" s="19"/>
      <c r="AV327" s="19"/>
      <c r="AW327" s="19"/>
      <c r="AX327" s="19"/>
      <c r="AY327" s="19"/>
      <c r="AZ327" s="19"/>
      <c r="BA327" s="19"/>
      <c r="BB327" s="19"/>
      <c r="BC327" s="19"/>
      <c r="BD327" s="19"/>
      <c r="BE327" s="19"/>
      <c r="BF327" s="19"/>
      <c r="BG327" s="19"/>
      <c r="BH327" s="19"/>
      <c r="BI327" s="19"/>
      <c r="BJ327" s="19"/>
      <c r="BK327" s="19"/>
      <c r="BL327" s="19"/>
      <c r="BM327" s="19"/>
      <c r="BN327" s="19"/>
      <c r="BO327" s="19"/>
      <c r="BP327" s="19"/>
      <c r="BQ327" s="19"/>
      <c r="BR327" s="19"/>
      <c r="BS327" s="19"/>
      <c r="BT327" s="19"/>
      <c r="BU327" s="19"/>
      <c r="BV327" s="19"/>
      <c r="BW327" s="19"/>
      <c r="BX327" s="19"/>
      <c r="BY327" s="19"/>
      <c r="BZ327" s="19"/>
      <c r="CA327" s="19"/>
      <c r="CB327" s="19"/>
      <c r="CC327" s="19"/>
      <c r="CD327" s="19"/>
      <c r="CE327" s="19"/>
      <c r="CF327" s="6"/>
    </row>
    <row r="328" spans="1:84">
      <c r="A328" s="17"/>
      <c r="B328" s="17"/>
      <c r="C328" s="17"/>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9"/>
      <c r="AB328" s="19"/>
      <c r="AC328" s="19"/>
      <c r="AD328" s="19"/>
      <c r="AE328" s="19"/>
      <c r="AF328" s="19"/>
      <c r="AG328" s="19"/>
      <c r="AH328" s="19"/>
      <c r="AI328" s="19"/>
      <c r="AJ328" s="19"/>
      <c r="AK328" s="19"/>
      <c r="AL328" s="19"/>
      <c r="AM328" s="19"/>
      <c r="AN328" s="19"/>
      <c r="AO328" s="19"/>
      <c r="AP328" s="19"/>
      <c r="AQ328" s="19"/>
      <c r="AR328" s="19"/>
      <c r="AS328" s="19"/>
      <c r="AT328" s="19"/>
      <c r="AU328" s="19"/>
      <c r="AV328" s="19"/>
      <c r="AW328" s="19"/>
      <c r="AX328" s="19"/>
      <c r="AY328" s="19"/>
      <c r="AZ328" s="19"/>
      <c r="BA328" s="19"/>
      <c r="BB328" s="19"/>
      <c r="BC328" s="19"/>
      <c r="BD328" s="19"/>
      <c r="BE328" s="19"/>
      <c r="BF328" s="19"/>
      <c r="BG328" s="19"/>
      <c r="BH328" s="19"/>
      <c r="BI328" s="19"/>
      <c r="BJ328" s="19"/>
      <c r="BK328" s="19"/>
      <c r="BL328" s="19"/>
      <c r="BM328" s="19"/>
      <c r="BN328" s="19"/>
      <c r="BO328" s="19"/>
      <c r="BP328" s="19"/>
      <c r="BQ328" s="19"/>
      <c r="BR328" s="19"/>
      <c r="BS328" s="19"/>
      <c r="BT328" s="19"/>
      <c r="BU328" s="19"/>
      <c r="BV328" s="19"/>
      <c r="BW328" s="19"/>
      <c r="BX328" s="19"/>
      <c r="BY328" s="19"/>
      <c r="BZ328" s="19"/>
      <c r="CA328" s="19"/>
      <c r="CB328" s="19"/>
      <c r="CC328" s="19"/>
      <c r="CD328" s="19"/>
      <c r="CE328" s="19"/>
      <c r="CF328" s="6"/>
    </row>
    <row r="329" spans="1:84">
      <c r="A329" s="17"/>
      <c r="B329" s="17"/>
      <c r="C329" s="17"/>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9"/>
      <c r="AB329" s="19"/>
      <c r="AC329" s="19"/>
      <c r="AD329" s="19"/>
      <c r="AE329" s="19"/>
      <c r="AF329" s="19"/>
      <c r="AG329" s="19"/>
      <c r="AH329" s="19"/>
      <c r="AI329" s="19"/>
      <c r="AJ329" s="19"/>
      <c r="AK329" s="19"/>
      <c r="AL329" s="19"/>
      <c r="AM329" s="19"/>
      <c r="AN329" s="19"/>
      <c r="AO329" s="19"/>
      <c r="AP329" s="19"/>
      <c r="AQ329" s="19"/>
      <c r="AR329" s="19"/>
      <c r="AS329" s="19"/>
      <c r="AT329" s="19"/>
      <c r="AU329" s="19"/>
      <c r="AV329" s="19"/>
      <c r="AW329" s="19"/>
      <c r="AX329" s="19"/>
      <c r="AY329" s="19"/>
      <c r="AZ329" s="19"/>
      <c r="BA329" s="19"/>
      <c r="BB329" s="19"/>
      <c r="BC329" s="19"/>
      <c r="BD329" s="19"/>
      <c r="BE329" s="19"/>
      <c r="BF329" s="19"/>
      <c r="BG329" s="19"/>
      <c r="BH329" s="19"/>
      <c r="BI329" s="19"/>
      <c r="BJ329" s="19"/>
      <c r="BK329" s="19"/>
      <c r="BL329" s="19"/>
      <c r="BM329" s="19"/>
      <c r="BN329" s="19"/>
      <c r="BO329" s="19"/>
      <c r="BP329" s="19"/>
      <c r="BQ329" s="19"/>
      <c r="BR329" s="19"/>
      <c r="BS329" s="19"/>
      <c r="BT329" s="19"/>
      <c r="BU329" s="19"/>
      <c r="BV329" s="19"/>
      <c r="BW329" s="19"/>
      <c r="BX329" s="19"/>
      <c r="BY329" s="19"/>
      <c r="BZ329" s="19"/>
      <c r="CA329" s="19"/>
      <c r="CB329" s="19"/>
      <c r="CC329" s="19"/>
      <c r="CD329" s="19"/>
      <c r="CE329" s="19"/>
      <c r="CF329" s="6"/>
    </row>
    <row r="330" spans="1:84">
      <c r="A330" s="17"/>
      <c r="B330" s="17"/>
      <c r="C330" s="17"/>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9"/>
      <c r="AB330" s="19"/>
      <c r="AC330" s="19"/>
      <c r="AD330" s="19"/>
      <c r="AE330" s="19"/>
      <c r="AF330" s="19"/>
      <c r="AG330" s="19"/>
      <c r="AH330" s="19"/>
      <c r="AI330" s="19"/>
      <c r="AJ330" s="19"/>
      <c r="AK330" s="19"/>
      <c r="AL330" s="19"/>
      <c r="AM330" s="19"/>
      <c r="AN330" s="19"/>
      <c r="AO330" s="19"/>
      <c r="AP330" s="19"/>
      <c r="AQ330" s="19"/>
      <c r="AR330" s="19"/>
      <c r="AS330" s="19"/>
      <c r="AT330" s="19"/>
      <c r="AU330" s="19"/>
      <c r="AV330" s="19"/>
      <c r="AW330" s="19"/>
      <c r="AX330" s="19"/>
      <c r="AY330" s="19"/>
      <c r="AZ330" s="19"/>
      <c r="BA330" s="19"/>
      <c r="BB330" s="19"/>
      <c r="BC330" s="19"/>
      <c r="BD330" s="19"/>
      <c r="BE330" s="19"/>
      <c r="BF330" s="19"/>
      <c r="BG330" s="19"/>
      <c r="BH330" s="19"/>
      <c r="BI330" s="19"/>
      <c r="BJ330" s="19"/>
      <c r="BK330" s="19"/>
      <c r="BL330" s="19"/>
      <c r="BM330" s="19"/>
      <c r="BN330" s="19"/>
      <c r="BO330" s="19"/>
      <c r="BP330" s="19"/>
      <c r="BQ330" s="19"/>
      <c r="BR330" s="19"/>
      <c r="BS330" s="19"/>
      <c r="BT330" s="19"/>
      <c r="BU330" s="19"/>
      <c r="BV330" s="19"/>
      <c r="BW330" s="19"/>
      <c r="BX330" s="19"/>
      <c r="BY330" s="19"/>
      <c r="BZ330" s="19"/>
      <c r="CA330" s="19"/>
      <c r="CB330" s="19"/>
      <c r="CC330" s="19"/>
      <c r="CD330" s="19"/>
      <c r="CE330" s="19"/>
      <c r="CF330" s="6"/>
    </row>
    <row r="331" spans="1:84">
      <c r="A331" s="17"/>
      <c r="B331" s="17"/>
      <c r="C331" s="17"/>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9"/>
      <c r="AB331" s="19"/>
      <c r="AC331" s="19"/>
      <c r="AD331" s="19"/>
      <c r="AE331" s="19"/>
      <c r="AF331" s="19"/>
      <c r="AG331" s="19"/>
      <c r="AH331" s="19"/>
      <c r="AI331" s="19"/>
      <c r="AJ331" s="19"/>
      <c r="AK331" s="19"/>
      <c r="AL331" s="19"/>
      <c r="AM331" s="19"/>
      <c r="AN331" s="19"/>
      <c r="AO331" s="19"/>
      <c r="AP331" s="19"/>
      <c r="AQ331" s="19"/>
      <c r="AR331" s="19"/>
      <c r="AS331" s="19"/>
      <c r="AT331" s="19"/>
      <c r="AU331" s="19"/>
      <c r="AV331" s="19"/>
      <c r="AW331" s="19"/>
      <c r="AX331" s="19"/>
      <c r="AY331" s="19"/>
      <c r="AZ331" s="19"/>
      <c r="BA331" s="19"/>
      <c r="BB331" s="19"/>
      <c r="BC331" s="19"/>
      <c r="BD331" s="19"/>
      <c r="BE331" s="19"/>
      <c r="BF331" s="19"/>
      <c r="BG331" s="19"/>
      <c r="BH331" s="19"/>
      <c r="BI331" s="19"/>
      <c r="BJ331" s="19"/>
      <c r="BK331" s="19"/>
      <c r="BL331" s="19"/>
      <c r="BM331" s="19"/>
      <c r="BN331" s="19"/>
      <c r="BO331" s="19"/>
      <c r="BP331" s="19"/>
      <c r="BQ331" s="19"/>
      <c r="BR331" s="19"/>
      <c r="BS331" s="19"/>
      <c r="BT331" s="19"/>
      <c r="BU331" s="19"/>
      <c r="BV331" s="19"/>
      <c r="BW331" s="19"/>
      <c r="BX331" s="19"/>
      <c r="BY331" s="19"/>
      <c r="BZ331" s="19"/>
      <c r="CA331" s="19"/>
      <c r="CB331" s="19"/>
      <c r="CC331" s="19"/>
      <c r="CD331" s="19"/>
      <c r="CE331" s="19"/>
      <c r="CF331" s="6"/>
    </row>
    <row r="332" spans="1:84">
      <c r="A332" s="17"/>
      <c r="B332" s="17"/>
      <c r="C332" s="17"/>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9"/>
      <c r="AB332" s="19"/>
      <c r="AC332" s="19"/>
      <c r="AD332" s="19"/>
      <c r="AE332" s="19"/>
      <c r="AF332" s="19"/>
      <c r="AG332" s="19"/>
      <c r="AH332" s="19"/>
      <c r="AI332" s="19"/>
      <c r="AJ332" s="19"/>
      <c r="AK332" s="19"/>
      <c r="AL332" s="19"/>
      <c r="AM332" s="19"/>
      <c r="AN332" s="19"/>
      <c r="AO332" s="19"/>
      <c r="AP332" s="19"/>
      <c r="AQ332" s="19"/>
      <c r="AR332" s="19"/>
      <c r="AS332" s="19"/>
      <c r="AT332" s="19"/>
      <c r="AU332" s="19"/>
      <c r="AV332" s="19"/>
      <c r="AW332" s="19"/>
      <c r="AX332" s="19"/>
      <c r="AY332" s="19"/>
      <c r="AZ332" s="19"/>
      <c r="BA332" s="19"/>
      <c r="BB332" s="19"/>
      <c r="BC332" s="19"/>
      <c r="BD332" s="19"/>
      <c r="BE332" s="19"/>
      <c r="BF332" s="19"/>
      <c r="BG332" s="19"/>
      <c r="BH332" s="19"/>
      <c r="BI332" s="19"/>
      <c r="BJ332" s="19"/>
      <c r="BK332" s="19"/>
      <c r="BL332" s="19"/>
      <c r="BM332" s="19"/>
      <c r="BN332" s="19"/>
      <c r="BO332" s="19"/>
      <c r="BP332" s="19"/>
      <c r="BQ332" s="19"/>
      <c r="BR332" s="19"/>
      <c r="BS332" s="19"/>
      <c r="BT332" s="19"/>
      <c r="BU332" s="19"/>
      <c r="BV332" s="19"/>
      <c r="BW332" s="19"/>
      <c r="BX332" s="19"/>
      <c r="BY332" s="19"/>
      <c r="BZ332" s="19"/>
      <c r="CA332" s="19"/>
      <c r="CB332" s="19"/>
      <c r="CC332" s="19"/>
      <c r="CD332" s="19"/>
      <c r="CE332" s="19"/>
      <c r="CF332" s="6"/>
    </row>
    <row r="333" spans="1:84">
      <c r="A333" s="17"/>
      <c r="B333" s="17"/>
      <c r="C333" s="17"/>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9"/>
      <c r="AB333" s="19"/>
      <c r="AC333" s="19"/>
      <c r="AD333" s="19"/>
      <c r="AE333" s="19"/>
      <c r="AF333" s="19"/>
      <c r="AG333" s="19"/>
      <c r="AH333" s="19"/>
      <c r="AI333" s="19"/>
      <c r="AJ333" s="19"/>
      <c r="AK333" s="19"/>
      <c r="AL333" s="19"/>
      <c r="AM333" s="19"/>
      <c r="AN333" s="19"/>
      <c r="AO333" s="19"/>
      <c r="AP333" s="19"/>
      <c r="AQ333" s="19"/>
      <c r="AR333" s="19"/>
      <c r="AS333" s="19"/>
      <c r="AT333" s="19"/>
      <c r="AU333" s="19"/>
      <c r="AV333" s="19"/>
      <c r="AW333" s="19"/>
      <c r="AX333" s="19"/>
      <c r="AY333" s="19"/>
      <c r="AZ333" s="19"/>
      <c r="BA333" s="19"/>
      <c r="BB333" s="19"/>
      <c r="BC333" s="19"/>
      <c r="BD333" s="19"/>
      <c r="BE333" s="19"/>
      <c r="BF333" s="19"/>
      <c r="BG333" s="19"/>
      <c r="BH333" s="19"/>
      <c r="BI333" s="19"/>
      <c r="BJ333" s="19"/>
      <c r="BK333" s="19"/>
      <c r="BL333" s="19"/>
      <c r="BM333" s="19"/>
      <c r="BN333" s="19"/>
      <c r="BO333" s="19"/>
      <c r="BP333" s="19"/>
      <c r="BQ333" s="19"/>
      <c r="BR333" s="19"/>
      <c r="BS333" s="19"/>
      <c r="BT333" s="19"/>
      <c r="BU333" s="19"/>
      <c r="BV333" s="19"/>
      <c r="BW333" s="19"/>
      <c r="BX333" s="19"/>
      <c r="BY333" s="19"/>
      <c r="BZ333" s="19"/>
      <c r="CA333" s="19"/>
      <c r="CB333" s="19"/>
      <c r="CC333" s="19"/>
      <c r="CD333" s="19"/>
      <c r="CE333" s="19"/>
      <c r="CF333" s="6"/>
    </row>
    <row r="334" spans="1:84">
      <c r="D334" s="6"/>
      <c r="E334" s="6"/>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6"/>
      <c r="AZ334" s="6"/>
      <c r="BA334" s="6"/>
      <c r="BB334" s="6"/>
      <c r="BC334" s="6"/>
      <c r="BD334" s="6"/>
      <c r="BE334" s="6"/>
      <c r="BF334" s="6"/>
      <c r="BG334" s="6"/>
      <c r="BH334" s="6"/>
      <c r="BI334" s="6"/>
      <c r="BJ334" s="6"/>
      <c r="BK334" s="6"/>
      <c r="BL334" s="6"/>
      <c r="BM334" s="6"/>
      <c r="BN334" s="6"/>
      <c r="BO334" s="6"/>
      <c r="BP334" s="6"/>
      <c r="BQ334" s="6"/>
      <c r="BR334" s="6"/>
      <c r="BS334" s="6"/>
      <c r="BT334" s="6"/>
      <c r="BU334" s="6"/>
      <c r="BV334" s="6"/>
      <c r="BW334" s="6"/>
      <c r="BX334" s="6"/>
      <c r="BY334" s="6"/>
      <c r="BZ334" s="6"/>
      <c r="CA334" s="6"/>
      <c r="CB334" s="6"/>
      <c r="CC334" s="6"/>
      <c r="CD334" s="6"/>
      <c r="CE334" s="6"/>
      <c r="CF334" s="6"/>
    </row>
    <row r="335" spans="1:84">
      <c r="D335" s="6"/>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6"/>
      <c r="AZ335" s="6"/>
      <c r="BA335" s="6"/>
      <c r="BB335" s="6"/>
      <c r="BC335" s="6"/>
      <c r="BD335" s="6"/>
      <c r="BE335" s="6"/>
      <c r="BF335" s="6"/>
      <c r="BG335" s="6"/>
      <c r="BH335" s="6"/>
      <c r="BI335" s="6"/>
      <c r="BJ335" s="6"/>
      <c r="BK335" s="6"/>
      <c r="BL335" s="6"/>
      <c r="BM335" s="6"/>
      <c r="BN335" s="6"/>
      <c r="BO335" s="6"/>
      <c r="BP335" s="6"/>
      <c r="BQ335" s="6"/>
      <c r="BR335" s="6"/>
      <c r="BS335" s="6"/>
      <c r="BT335" s="6"/>
      <c r="BU335" s="6"/>
      <c r="BV335" s="6"/>
      <c r="BW335" s="6"/>
      <c r="BX335" s="6"/>
      <c r="BY335" s="6"/>
      <c r="BZ335" s="6"/>
      <c r="CA335" s="6"/>
      <c r="CB335" s="6"/>
      <c r="CC335" s="6"/>
      <c r="CD335" s="6"/>
      <c r="CE335" s="6"/>
      <c r="CF335" s="6"/>
    </row>
    <row r="336" spans="1:84">
      <c r="D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c r="AZ336" s="6"/>
      <c r="BA336" s="6"/>
      <c r="BB336" s="6"/>
      <c r="BC336" s="6"/>
      <c r="BD336" s="6"/>
      <c r="BE336" s="6"/>
      <c r="BF336" s="6"/>
      <c r="BG336" s="6"/>
      <c r="BH336" s="6"/>
      <c r="BI336" s="6"/>
      <c r="BJ336" s="6"/>
      <c r="BK336" s="6"/>
      <c r="BL336" s="6"/>
      <c r="BM336" s="6"/>
      <c r="BN336" s="6"/>
      <c r="BO336" s="6"/>
      <c r="BP336" s="6"/>
      <c r="BQ336" s="6"/>
      <c r="BR336" s="6"/>
      <c r="BS336" s="6"/>
      <c r="BT336" s="6"/>
      <c r="BU336" s="6"/>
      <c r="BV336" s="6"/>
      <c r="BW336" s="6"/>
      <c r="BX336" s="6"/>
      <c r="BY336" s="6"/>
      <c r="BZ336" s="6"/>
      <c r="CA336" s="6"/>
      <c r="CB336" s="6"/>
      <c r="CC336" s="6"/>
      <c r="CD336" s="6"/>
      <c r="CE336" s="6"/>
      <c r="CF336" s="6"/>
    </row>
    <row r="337" spans="4:84">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c r="AZ337" s="6"/>
      <c r="BA337" s="6"/>
      <c r="BB337" s="6"/>
      <c r="BC337" s="6"/>
      <c r="BD337" s="6"/>
      <c r="BE337" s="6"/>
      <c r="BF337" s="6"/>
      <c r="BG337" s="6"/>
      <c r="BH337" s="6"/>
      <c r="BI337" s="6"/>
      <c r="BJ337" s="6"/>
      <c r="BK337" s="6"/>
      <c r="BL337" s="6"/>
      <c r="BM337" s="6"/>
      <c r="BN337" s="6"/>
      <c r="BO337" s="6"/>
      <c r="BP337" s="6"/>
      <c r="BQ337" s="6"/>
      <c r="BR337" s="6"/>
      <c r="BS337" s="6"/>
      <c r="BT337" s="6"/>
      <c r="BU337" s="6"/>
      <c r="BV337" s="6"/>
      <c r="BW337" s="6"/>
      <c r="BX337" s="6"/>
      <c r="BY337" s="6"/>
      <c r="BZ337" s="6"/>
      <c r="CA337" s="6"/>
      <c r="CB337" s="6"/>
      <c r="CC337" s="6"/>
      <c r="CD337" s="6"/>
      <c r="CE337" s="6"/>
      <c r="CF337" s="6"/>
    </row>
    <row r="338" spans="4:84">
      <c r="D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c r="AZ338" s="6"/>
      <c r="BA338" s="6"/>
      <c r="BB338" s="6"/>
      <c r="BC338" s="6"/>
      <c r="BD338" s="6"/>
      <c r="BE338" s="6"/>
      <c r="BF338" s="6"/>
      <c r="BG338" s="6"/>
      <c r="BH338" s="6"/>
      <c r="BI338" s="6"/>
      <c r="BJ338" s="6"/>
      <c r="BK338" s="6"/>
      <c r="BL338" s="6"/>
      <c r="BM338" s="6"/>
      <c r="BN338" s="6"/>
      <c r="BO338" s="6"/>
      <c r="BP338" s="6"/>
      <c r="BQ338" s="6"/>
      <c r="BR338" s="6"/>
      <c r="BS338" s="6"/>
      <c r="BT338" s="6"/>
      <c r="BU338" s="6"/>
      <c r="BV338" s="6"/>
      <c r="BW338" s="6"/>
      <c r="BX338" s="6"/>
      <c r="BY338" s="6"/>
      <c r="BZ338" s="6"/>
      <c r="CA338" s="6"/>
      <c r="CB338" s="6"/>
      <c r="CC338" s="6"/>
      <c r="CD338" s="6"/>
      <c r="CE338" s="6"/>
      <c r="CF338" s="6"/>
    </row>
    <row r="339" spans="4:84">
      <c r="D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c r="AZ339" s="6"/>
      <c r="BA339" s="6"/>
      <c r="BB339" s="6"/>
      <c r="BC339" s="6"/>
      <c r="BD339" s="6"/>
      <c r="BE339" s="6"/>
      <c r="BF339" s="6"/>
      <c r="BG339" s="6"/>
      <c r="BH339" s="6"/>
      <c r="BI339" s="6"/>
      <c r="BJ339" s="6"/>
      <c r="BK339" s="6"/>
      <c r="BL339" s="6"/>
      <c r="BM339" s="6"/>
      <c r="BN339" s="6"/>
      <c r="BO339" s="6"/>
      <c r="BP339" s="6"/>
      <c r="BQ339" s="6"/>
      <c r="BR339" s="6"/>
      <c r="BS339" s="6"/>
      <c r="BT339" s="6"/>
      <c r="BU339" s="6"/>
      <c r="BV339" s="6"/>
      <c r="BW339" s="6"/>
      <c r="BX339" s="6"/>
      <c r="BY339" s="6"/>
      <c r="BZ339" s="6"/>
      <c r="CA339" s="6"/>
      <c r="CB339" s="6"/>
      <c r="CC339" s="6"/>
      <c r="CD339" s="6"/>
      <c r="CE339" s="6"/>
      <c r="CF339" s="6"/>
    </row>
    <row r="340" spans="4:84">
      <c r="D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c r="AZ340" s="6"/>
      <c r="BA340" s="6"/>
      <c r="BB340" s="6"/>
      <c r="BC340" s="6"/>
      <c r="BD340" s="6"/>
      <c r="BE340" s="6"/>
      <c r="BF340" s="6"/>
      <c r="BG340" s="6"/>
      <c r="BH340" s="6"/>
      <c r="BI340" s="6"/>
      <c r="BJ340" s="6"/>
      <c r="BK340" s="6"/>
      <c r="BL340" s="6"/>
      <c r="BM340" s="6"/>
      <c r="BN340" s="6"/>
      <c r="BO340" s="6"/>
      <c r="BP340" s="6"/>
      <c r="BQ340" s="6"/>
      <c r="BR340" s="6"/>
      <c r="BS340" s="6"/>
      <c r="BT340" s="6"/>
      <c r="BU340" s="6"/>
      <c r="BV340" s="6"/>
      <c r="BW340" s="6"/>
      <c r="BX340" s="6"/>
      <c r="BY340" s="6"/>
      <c r="BZ340" s="6"/>
      <c r="CA340" s="6"/>
      <c r="CB340" s="6"/>
      <c r="CC340" s="6"/>
      <c r="CD340" s="6"/>
      <c r="CE340" s="6"/>
      <c r="CF340" s="6"/>
    </row>
    <row r="341" spans="4:84">
      <c r="D341" s="6"/>
      <c r="E341" s="6"/>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6"/>
      <c r="AZ341" s="6"/>
      <c r="BA341" s="6"/>
      <c r="BB341" s="6"/>
      <c r="BC341" s="6"/>
      <c r="BD341" s="6"/>
      <c r="BE341" s="6"/>
      <c r="BF341" s="6"/>
      <c r="BG341" s="6"/>
      <c r="BH341" s="6"/>
      <c r="BI341" s="6"/>
      <c r="BJ341" s="6"/>
      <c r="BK341" s="6"/>
      <c r="BL341" s="6"/>
      <c r="BM341" s="6"/>
      <c r="BN341" s="6"/>
      <c r="BO341" s="6"/>
      <c r="BP341" s="6"/>
      <c r="BQ341" s="6"/>
      <c r="BR341" s="6"/>
      <c r="BS341" s="6"/>
      <c r="BT341" s="6"/>
      <c r="BU341" s="6"/>
      <c r="BV341" s="6"/>
      <c r="BW341" s="6"/>
      <c r="BX341" s="6"/>
      <c r="BY341" s="6"/>
      <c r="BZ341" s="6"/>
      <c r="CA341" s="6"/>
      <c r="CB341" s="6"/>
      <c r="CC341" s="6"/>
      <c r="CD341" s="6"/>
      <c r="CE341" s="6"/>
      <c r="CF341" s="6"/>
    </row>
    <row r="342" spans="4:84">
      <c r="D342" s="6"/>
      <c r="E342" s="6"/>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6"/>
      <c r="AZ342" s="6"/>
      <c r="BA342" s="6"/>
      <c r="BB342" s="6"/>
      <c r="BC342" s="6"/>
      <c r="BD342" s="6"/>
      <c r="BE342" s="6"/>
      <c r="BF342" s="6"/>
      <c r="BG342" s="6"/>
      <c r="BH342" s="6"/>
      <c r="BI342" s="6"/>
      <c r="BJ342" s="6"/>
      <c r="BK342" s="6"/>
      <c r="BL342" s="6"/>
      <c r="BM342" s="6"/>
      <c r="BN342" s="6"/>
      <c r="BO342" s="6"/>
      <c r="BP342" s="6"/>
      <c r="BQ342" s="6"/>
      <c r="BR342" s="6"/>
      <c r="BS342" s="6"/>
      <c r="BT342" s="6"/>
      <c r="BU342" s="6"/>
      <c r="BV342" s="6"/>
      <c r="BW342" s="6"/>
      <c r="BX342" s="6"/>
      <c r="BY342" s="6"/>
      <c r="BZ342" s="6"/>
      <c r="CA342" s="6"/>
      <c r="CB342" s="6"/>
      <c r="CC342" s="6"/>
      <c r="CD342" s="6"/>
      <c r="CE342" s="6"/>
      <c r="CF342" s="6"/>
    </row>
    <row r="343" spans="4:84">
      <c r="D343" s="6"/>
      <c r="E343" s="6"/>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6"/>
      <c r="AZ343" s="6"/>
      <c r="BA343" s="6"/>
      <c r="BB343" s="6"/>
      <c r="BC343" s="6"/>
      <c r="BD343" s="6"/>
      <c r="BE343" s="6"/>
      <c r="BF343" s="6"/>
      <c r="BG343" s="6"/>
      <c r="BH343" s="6"/>
      <c r="BI343" s="6"/>
      <c r="BJ343" s="6"/>
      <c r="BK343" s="6"/>
      <c r="BL343" s="6"/>
      <c r="BM343" s="6"/>
      <c r="BN343" s="6"/>
      <c r="BO343" s="6"/>
      <c r="BP343" s="6"/>
      <c r="BQ343" s="6"/>
      <c r="BR343" s="6"/>
      <c r="BS343" s="6"/>
      <c r="BT343" s="6"/>
      <c r="BU343" s="6"/>
      <c r="BV343" s="6"/>
      <c r="BW343" s="6"/>
      <c r="BX343" s="6"/>
      <c r="BY343" s="6"/>
      <c r="BZ343" s="6"/>
      <c r="CA343" s="6"/>
      <c r="CB343" s="6"/>
      <c r="CC343" s="6"/>
      <c r="CD343" s="6"/>
      <c r="CE343" s="6"/>
      <c r="CF343" s="6"/>
    </row>
    <row r="344" spans="4:84">
      <c r="D344" s="6"/>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c r="AZ344" s="6"/>
      <c r="BA344" s="6"/>
      <c r="BB344" s="6"/>
      <c r="BC344" s="6"/>
      <c r="BD344" s="6"/>
      <c r="BE344" s="6"/>
      <c r="BF344" s="6"/>
      <c r="BG344" s="6"/>
      <c r="BH344" s="6"/>
      <c r="BI344" s="6"/>
      <c r="BJ344" s="6"/>
      <c r="BK344" s="6"/>
      <c r="BL344" s="6"/>
      <c r="BM344" s="6"/>
      <c r="BN344" s="6"/>
      <c r="BO344" s="6"/>
      <c r="BP344" s="6"/>
      <c r="BQ344" s="6"/>
      <c r="BR344" s="6"/>
      <c r="BS344" s="6"/>
      <c r="BT344" s="6"/>
      <c r="BU344" s="6"/>
      <c r="BV344" s="6"/>
      <c r="BW344" s="6"/>
      <c r="BX344" s="6"/>
      <c r="BY344" s="6"/>
      <c r="BZ344" s="6"/>
      <c r="CA344" s="6"/>
      <c r="CB344" s="6"/>
      <c r="CC344" s="6"/>
      <c r="CD344" s="6"/>
      <c r="CE344" s="6"/>
      <c r="CF344" s="6"/>
    </row>
    <row r="345" spans="4:84">
      <c r="D345" s="6"/>
      <c r="E345" s="6"/>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c r="AZ345" s="6"/>
      <c r="BA345" s="6"/>
      <c r="BB345" s="6"/>
      <c r="BC345" s="6"/>
      <c r="BD345" s="6"/>
      <c r="BE345" s="6"/>
      <c r="BF345" s="6"/>
      <c r="BG345" s="6"/>
      <c r="BH345" s="6"/>
      <c r="BI345" s="6"/>
      <c r="BJ345" s="6"/>
      <c r="BK345" s="6"/>
      <c r="BL345" s="6"/>
      <c r="BM345" s="6"/>
      <c r="BN345" s="6"/>
      <c r="BO345" s="6"/>
      <c r="BP345" s="6"/>
      <c r="BQ345" s="6"/>
      <c r="BR345" s="6"/>
      <c r="BS345" s="6"/>
      <c r="BT345" s="6"/>
      <c r="BU345" s="6"/>
      <c r="BV345" s="6"/>
      <c r="BW345" s="6"/>
      <c r="BX345" s="6"/>
      <c r="BY345" s="6"/>
      <c r="BZ345" s="6"/>
      <c r="CA345" s="6"/>
      <c r="CB345" s="6"/>
      <c r="CC345" s="6"/>
      <c r="CD345" s="6"/>
      <c r="CE345" s="6"/>
      <c r="CF345" s="6"/>
    </row>
    <row r="346" spans="4:84">
      <c r="D346" s="6"/>
      <c r="E346" s="6"/>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6"/>
      <c r="AZ346" s="6"/>
      <c r="BA346" s="6"/>
      <c r="BB346" s="6"/>
      <c r="BC346" s="6"/>
      <c r="BD346" s="6"/>
      <c r="BE346" s="6"/>
      <c r="BF346" s="6"/>
      <c r="BG346" s="6"/>
      <c r="BH346" s="6"/>
      <c r="BI346" s="6"/>
      <c r="BJ346" s="6"/>
      <c r="BK346" s="6"/>
      <c r="BL346" s="6"/>
      <c r="BM346" s="6"/>
      <c r="BN346" s="6"/>
      <c r="BO346" s="6"/>
      <c r="BP346" s="6"/>
      <c r="BQ346" s="6"/>
      <c r="BR346" s="6"/>
      <c r="BS346" s="6"/>
      <c r="BT346" s="6"/>
      <c r="BU346" s="6"/>
      <c r="BV346" s="6"/>
      <c r="BW346" s="6"/>
      <c r="BX346" s="6"/>
      <c r="BY346" s="6"/>
      <c r="BZ346" s="6"/>
      <c r="CA346" s="6"/>
      <c r="CB346" s="6"/>
      <c r="CC346" s="6"/>
      <c r="CD346" s="6"/>
      <c r="CE346" s="6"/>
      <c r="CF346" s="6"/>
    </row>
    <row r="347" spans="4:84">
      <c r="D347" s="6"/>
      <c r="E347" s="6"/>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c r="AZ347" s="6"/>
      <c r="BA347" s="6"/>
      <c r="BB347" s="6"/>
      <c r="BC347" s="6"/>
      <c r="BD347" s="6"/>
      <c r="BE347" s="6"/>
      <c r="BF347" s="6"/>
      <c r="BG347" s="6"/>
      <c r="BH347" s="6"/>
      <c r="BI347" s="6"/>
      <c r="BJ347" s="6"/>
      <c r="BK347" s="6"/>
      <c r="BL347" s="6"/>
      <c r="BM347" s="6"/>
      <c r="BN347" s="6"/>
      <c r="BO347" s="6"/>
      <c r="BP347" s="6"/>
      <c r="BQ347" s="6"/>
      <c r="BR347" s="6"/>
      <c r="BS347" s="6"/>
      <c r="BT347" s="6"/>
      <c r="BU347" s="6"/>
      <c r="BV347" s="6"/>
      <c r="BW347" s="6"/>
      <c r="BX347" s="6"/>
      <c r="BY347" s="6"/>
      <c r="BZ347" s="6"/>
      <c r="CA347" s="6"/>
      <c r="CB347" s="6"/>
      <c r="CC347" s="6"/>
      <c r="CD347" s="6"/>
      <c r="CE347" s="6"/>
      <c r="CF347" s="6"/>
    </row>
    <row r="348" spans="4:84">
      <c r="D348" s="6"/>
      <c r="E348" s="6"/>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6"/>
      <c r="AZ348" s="6"/>
      <c r="BA348" s="6"/>
      <c r="BB348" s="6"/>
      <c r="BC348" s="6"/>
      <c r="BD348" s="6"/>
      <c r="BE348" s="6"/>
      <c r="BF348" s="6"/>
      <c r="BG348" s="6"/>
      <c r="BH348" s="6"/>
      <c r="BI348" s="6"/>
      <c r="BJ348" s="6"/>
      <c r="BK348" s="6"/>
      <c r="BL348" s="6"/>
      <c r="BM348" s="6"/>
      <c r="BN348" s="6"/>
      <c r="BO348" s="6"/>
      <c r="BP348" s="6"/>
      <c r="BQ348" s="6"/>
      <c r="BR348" s="6"/>
      <c r="BS348" s="6"/>
      <c r="BT348" s="6"/>
      <c r="BU348" s="6"/>
      <c r="BV348" s="6"/>
      <c r="BW348" s="6"/>
      <c r="BX348" s="6"/>
      <c r="BY348" s="6"/>
      <c r="BZ348" s="6"/>
      <c r="CA348" s="6"/>
      <c r="CB348" s="6"/>
      <c r="CC348" s="6"/>
      <c r="CD348" s="6"/>
      <c r="CE348" s="6"/>
      <c r="CF348" s="6"/>
    </row>
    <row r="349" spans="4:84">
      <c r="D349" s="6"/>
      <c r="E349" s="6"/>
      <c r="F349" s="6"/>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c r="AZ349" s="6"/>
      <c r="BA349" s="6"/>
      <c r="BB349" s="6"/>
      <c r="BC349" s="6"/>
      <c r="BD349" s="6"/>
      <c r="BE349" s="6"/>
      <c r="BF349" s="6"/>
      <c r="BG349" s="6"/>
      <c r="BH349" s="6"/>
      <c r="BI349" s="6"/>
      <c r="BJ349" s="6"/>
      <c r="BK349" s="6"/>
      <c r="BL349" s="6"/>
      <c r="BM349" s="6"/>
      <c r="BN349" s="6"/>
      <c r="BO349" s="6"/>
      <c r="BP349" s="6"/>
      <c r="BQ349" s="6"/>
      <c r="BR349" s="6"/>
      <c r="BS349" s="6"/>
      <c r="BT349" s="6"/>
      <c r="BU349" s="6"/>
      <c r="BV349" s="6"/>
      <c r="BW349" s="6"/>
      <c r="BX349" s="6"/>
      <c r="BY349" s="6"/>
      <c r="BZ349" s="6"/>
      <c r="CA349" s="6"/>
      <c r="CB349" s="6"/>
      <c r="CC349" s="6"/>
      <c r="CD349" s="6"/>
      <c r="CE349" s="6"/>
      <c r="CF349" s="6"/>
    </row>
    <row r="350" spans="4:84">
      <c r="D350" s="6"/>
      <c r="E350" s="6"/>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c r="AZ350" s="6"/>
      <c r="BA350" s="6"/>
      <c r="BB350" s="6"/>
      <c r="BC350" s="6"/>
      <c r="BD350" s="6"/>
      <c r="BE350" s="6"/>
      <c r="BF350" s="6"/>
      <c r="BG350" s="6"/>
      <c r="BH350" s="6"/>
      <c r="BI350" s="6"/>
      <c r="BJ350" s="6"/>
      <c r="BK350" s="6"/>
      <c r="BL350" s="6"/>
      <c r="BM350" s="6"/>
      <c r="BN350" s="6"/>
      <c r="BO350" s="6"/>
      <c r="BP350" s="6"/>
      <c r="BQ350" s="6"/>
      <c r="BR350" s="6"/>
      <c r="BS350" s="6"/>
      <c r="BT350" s="6"/>
      <c r="BU350" s="6"/>
      <c r="BV350" s="6"/>
      <c r="BW350" s="6"/>
      <c r="BX350" s="6"/>
      <c r="BY350" s="6"/>
      <c r="BZ350" s="6"/>
      <c r="CA350" s="6"/>
      <c r="CB350" s="6"/>
      <c r="CC350" s="6"/>
      <c r="CD350" s="6"/>
      <c r="CE350" s="6"/>
      <c r="CF350" s="6"/>
    </row>
    <row r="351" spans="4:84">
      <c r="D351" s="6"/>
      <c r="E351" s="6"/>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6"/>
      <c r="AZ351" s="6"/>
      <c r="BA351" s="6"/>
      <c r="BB351" s="6"/>
      <c r="BC351" s="6"/>
      <c r="BD351" s="6"/>
      <c r="BE351" s="6"/>
      <c r="BF351" s="6"/>
      <c r="BG351" s="6"/>
      <c r="BH351" s="6"/>
      <c r="BI351" s="6"/>
      <c r="BJ351" s="6"/>
      <c r="BK351" s="6"/>
      <c r="BL351" s="6"/>
      <c r="BM351" s="6"/>
      <c r="BN351" s="6"/>
      <c r="BO351" s="6"/>
      <c r="BP351" s="6"/>
      <c r="BQ351" s="6"/>
      <c r="BR351" s="6"/>
      <c r="BS351" s="6"/>
      <c r="BT351" s="6"/>
      <c r="BU351" s="6"/>
      <c r="BV351" s="6"/>
      <c r="BW351" s="6"/>
      <c r="BX351" s="6"/>
      <c r="BY351" s="6"/>
      <c r="BZ351" s="6"/>
      <c r="CA351" s="6"/>
      <c r="CB351" s="6"/>
      <c r="CC351" s="6"/>
      <c r="CD351" s="6"/>
      <c r="CE351" s="6"/>
      <c r="CF351" s="6"/>
    </row>
    <row r="352" spans="4:84">
      <c r="D352" s="6"/>
      <c r="E352" s="6"/>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c r="AZ352" s="6"/>
      <c r="BA352" s="6"/>
      <c r="BB352" s="6"/>
      <c r="BC352" s="6"/>
      <c r="BD352" s="6"/>
      <c r="BE352" s="6"/>
      <c r="BF352" s="6"/>
      <c r="BG352" s="6"/>
      <c r="BH352" s="6"/>
      <c r="BI352" s="6"/>
      <c r="BJ352" s="6"/>
      <c r="BK352" s="6"/>
      <c r="BL352" s="6"/>
      <c r="BM352" s="6"/>
      <c r="BN352" s="6"/>
      <c r="BO352" s="6"/>
      <c r="BP352" s="6"/>
      <c r="BQ352" s="6"/>
      <c r="BR352" s="6"/>
      <c r="BS352" s="6"/>
      <c r="BT352" s="6"/>
      <c r="BU352" s="6"/>
      <c r="BV352" s="6"/>
      <c r="BW352" s="6"/>
      <c r="BX352" s="6"/>
      <c r="BY352" s="6"/>
      <c r="BZ352" s="6"/>
      <c r="CA352" s="6"/>
      <c r="CB352" s="6"/>
      <c r="CC352" s="6"/>
      <c r="CD352" s="6"/>
      <c r="CE352" s="6"/>
      <c r="CF352" s="6"/>
    </row>
    <row r="353" spans="4:84">
      <c r="D353" s="6"/>
      <c r="E353" s="6"/>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c r="AZ353" s="6"/>
      <c r="BA353" s="6"/>
      <c r="BB353" s="6"/>
      <c r="BC353" s="6"/>
      <c r="BD353" s="6"/>
      <c r="BE353" s="6"/>
      <c r="BF353" s="6"/>
      <c r="BG353" s="6"/>
      <c r="BH353" s="6"/>
      <c r="BI353" s="6"/>
      <c r="BJ353" s="6"/>
      <c r="BK353" s="6"/>
      <c r="BL353" s="6"/>
      <c r="BM353" s="6"/>
      <c r="BN353" s="6"/>
      <c r="BO353" s="6"/>
      <c r="BP353" s="6"/>
      <c r="BQ353" s="6"/>
      <c r="BR353" s="6"/>
      <c r="BS353" s="6"/>
      <c r="BT353" s="6"/>
      <c r="BU353" s="6"/>
      <c r="BV353" s="6"/>
      <c r="BW353" s="6"/>
      <c r="BX353" s="6"/>
      <c r="BY353" s="6"/>
      <c r="BZ353" s="6"/>
      <c r="CA353" s="6"/>
      <c r="CB353" s="6"/>
      <c r="CC353" s="6"/>
      <c r="CD353" s="6"/>
      <c r="CE353" s="6"/>
      <c r="CF353" s="6"/>
    </row>
    <row r="354" spans="4:84">
      <c r="D354" s="6"/>
      <c r="E354" s="6"/>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6"/>
      <c r="AZ354" s="6"/>
      <c r="BA354" s="6"/>
      <c r="BB354" s="6"/>
      <c r="BC354" s="6"/>
      <c r="BD354" s="6"/>
      <c r="BE354" s="6"/>
      <c r="BF354" s="6"/>
      <c r="BG354" s="6"/>
      <c r="BH354" s="6"/>
      <c r="BI354" s="6"/>
      <c r="BJ354" s="6"/>
      <c r="BK354" s="6"/>
      <c r="BL354" s="6"/>
      <c r="BM354" s="6"/>
      <c r="BN354" s="6"/>
      <c r="BO354" s="6"/>
      <c r="BP354" s="6"/>
      <c r="BQ354" s="6"/>
      <c r="BR354" s="6"/>
      <c r="BS354" s="6"/>
      <c r="BT354" s="6"/>
      <c r="BU354" s="6"/>
      <c r="BV354" s="6"/>
      <c r="BW354" s="6"/>
      <c r="BX354" s="6"/>
      <c r="BY354" s="6"/>
      <c r="BZ354" s="6"/>
      <c r="CA354" s="6"/>
      <c r="CB354" s="6"/>
      <c r="CC354" s="6"/>
      <c r="CD354" s="6"/>
      <c r="CE354" s="6"/>
      <c r="CF354" s="6"/>
    </row>
    <row r="355" spans="4:84">
      <c r="D355" s="6"/>
      <c r="E355" s="6"/>
      <c r="F355" s="6"/>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6"/>
      <c r="AZ355" s="6"/>
      <c r="BA355" s="6"/>
      <c r="BB355" s="6"/>
      <c r="BC355" s="6"/>
      <c r="BD355" s="6"/>
      <c r="BE355" s="6"/>
      <c r="BF355" s="6"/>
      <c r="BG355" s="6"/>
      <c r="BH355" s="6"/>
      <c r="BI355" s="6"/>
      <c r="BJ355" s="6"/>
      <c r="BK355" s="6"/>
      <c r="BL355" s="6"/>
      <c r="BM355" s="6"/>
      <c r="BN355" s="6"/>
      <c r="BO355" s="6"/>
      <c r="BP355" s="6"/>
      <c r="BQ355" s="6"/>
      <c r="BR355" s="6"/>
      <c r="BS355" s="6"/>
      <c r="BT355" s="6"/>
      <c r="BU355" s="6"/>
      <c r="BV355" s="6"/>
      <c r="BW355" s="6"/>
      <c r="BX355" s="6"/>
      <c r="BY355" s="6"/>
      <c r="BZ355" s="6"/>
      <c r="CA355" s="6"/>
      <c r="CB355" s="6"/>
      <c r="CC355" s="6"/>
      <c r="CD355" s="6"/>
      <c r="CE355" s="6"/>
      <c r="CF355" s="6"/>
    </row>
    <row r="356" spans="4:84">
      <c r="D356" s="6"/>
      <c r="E356" s="6"/>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6"/>
      <c r="AZ356" s="6"/>
      <c r="BA356" s="6"/>
      <c r="BB356" s="6"/>
      <c r="BC356" s="6"/>
      <c r="BD356" s="6"/>
      <c r="BE356" s="6"/>
      <c r="BF356" s="6"/>
      <c r="BG356" s="6"/>
      <c r="BH356" s="6"/>
      <c r="BI356" s="6"/>
      <c r="BJ356" s="6"/>
      <c r="BK356" s="6"/>
      <c r="BL356" s="6"/>
      <c r="BM356" s="6"/>
      <c r="BN356" s="6"/>
      <c r="BO356" s="6"/>
      <c r="BP356" s="6"/>
      <c r="BQ356" s="6"/>
      <c r="BR356" s="6"/>
      <c r="BS356" s="6"/>
      <c r="BT356" s="6"/>
      <c r="BU356" s="6"/>
      <c r="BV356" s="6"/>
      <c r="BW356" s="6"/>
      <c r="BX356" s="6"/>
      <c r="BY356" s="6"/>
      <c r="BZ356" s="6"/>
      <c r="CA356" s="6"/>
      <c r="CB356" s="6"/>
      <c r="CC356" s="6"/>
      <c r="CD356" s="6"/>
      <c r="CE356" s="6"/>
      <c r="CF356" s="6"/>
    </row>
    <row r="357" spans="4:84">
      <c r="D357" s="6"/>
      <c r="E357" s="6"/>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6"/>
      <c r="AZ357" s="6"/>
      <c r="BA357" s="6"/>
      <c r="BB357" s="6"/>
      <c r="BC357" s="6"/>
      <c r="BD357" s="6"/>
      <c r="BE357" s="6"/>
      <c r="BF357" s="6"/>
      <c r="BG357" s="6"/>
      <c r="BH357" s="6"/>
      <c r="BI357" s="6"/>
      <c r="BJ357" s="6"/>
      <c r="BK357" s="6"/>
      <c r="BL357" s="6"/>
      <c r="BM357" s="6"/>
      <c r="BN357" s="6"/>
      <c r="BO357" s="6"/>
      <c r="BP357" s="6"/>
      <c r="BQ357" s="6"/>
      <c r="BR357" s="6"/>
      <c r="BS357" s="6"/>
      <c r="BT357" s="6"/>
      <c r="BU357" s="6"/>
      <c r="BV357" s="6"/>
      <c r="BW357" s="6"/>
      <c r="BX357" s="6"/>
      <c r="BY357" s="6"/>
      <c r="BZ357" s="6"/>
      <c r="CA357" s="6"/>
      <c r="CB357" s="6"/>
      <c r="CC357" s="6"/>
      <c r="CD357" s="6"/>
      <c r="CE357" s="6"/>
      <c r="CF357" s="6"/>
    </row>
    <row r="358" spans="4:84">
      <c r="D358" s="6"/>
      <c r="E358" s="6"/>
      <c r="F358" s="6"/>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6"/>
      <c r="AZ358" s="6"/>
      <c r="BA358" s="6"/>
      <c r="BB358" s="6"/>
      <c r="BC358" s="6"/>
      <c r="BD358" s="6"/>
      <c r="BE358" s="6"/>
      <c r="BF358" s="6"/>
      <c r="BG358" s="6"/>
      <c r="BH358" s="6"/>
      <c r="BI358" s="6"/>
      <c r="BJ358" s="6"/>
      <c r="BK358" s="6"/>
      <c r="BL358" s="6"/>
      <c r="BM358" s="6"/>
      <c r="BN358" s="6"/>
      <c r="BO358" s="6"/>
      <c r="BP358" s="6"/>
      <c r="BQ358" s="6"/>
      <c r="BR358" s="6"/>
      <c r="BS358" s="6"/>
      <c r="BT358" s="6"/>
      <c r="BU358" s="6"/>
      <c r="BV358" s="6"/>
      <c r="BW358" s="6"/>
      <c r="BX358" s="6"/>
      <c r="BY358" s="6"/>
      <c r="BZ358" s="6"/>
      <c r="CA358" s="6"/>
      <c r="CB358" s="6"/>
      <c r="CC358" s="6"/>
      <c r="CD358" s="6"/>
      <c r="CE358" s="6"/>
      <c r="CF358" s="6"/>
    </row>
    <row r="359" spans="4:84">
      <c r="D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c r="AZ359" s="6"/>
      <c r="BA359" s="6"/>
      <c r="BB359" s="6"/>
      <c r="BC359" s="6"/>
      <c r="BD359" s="6"/>
      <c r="BE359" s="6"/>
      <c r="BF359" s="6"/>
      <c r="BG359" s="6"/>
      <c r="BH359" s="6"/>
      <c r="BI359" s="6"/>
      <c r="BJ359" s="6"/>
      <c r="BK359" s="6"/>
      <c r="BL359" s="6"/>
      <c r="BM359" s="6"/>
      <c r="BN359" s="6"/>
      <c r="BO359" s="6"/>
      <c r="BP359" s="6"/>
      <c r="BQ359" s="6"/>
      <c r="BR359" s="6"/>
      <c r="BS359" s="6"/>
      <c r="BT359" s="6"/>
      <c r="BU359" s="6"/>
      <c r="BV359" s="6"/>
      <c r="BW359" s="6"/>
      <c r="BX359" s="6"/>
      <c r="BY359" s="6"/>
      <c r="BZ359" s="6"/>
      <c r="CA359" s="6"/>
      <c r="CB359" s="6"/>
      <c r="CC359" s="6"/>
      <c r="CD359" s="6"/>
      <c r="CE359" s="6"/>
      <c r="CF359" s="6"/>
    </row>
    <row r="360" spans="4:84">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c r="AU360" s="6"/>
      <c r="AV360" s="6"/>
      <c r="AW360" s="6"/>
      <c r="AX360" s="6"/>
      <c r="AY360" s="6"/>
      <c r="AZ360" s="6"/>
      <c r="BA360" s="6"/>
      <c r="BB360" s="6"/>
      <c r="BC360" s="6"/>
      <c r="BD360" s="6"/>
      <c r="BE360" s="6"/>
      <c r="BF360" s="6"/>
      <c r="BG360" s="6"/>
      <c r="BH360" s="6"/>
      <c r="BI360" s="6"/>
      <c r="BJ360" s="6"/>
      <c r="BK360" s="6"/>
      <c r="BL360" s="6"/>
      <c r="BM360" s="6"/>
      <c r="BN360" s="6"/>
      <c r="BO360" s="6"/>
      <c r="BP360" s="6"/>
      <c r="BQ360" s="6"/>
      <c r="BR360" s="6"/>
      <c r="BS360" s="6"/>
      <c r="BT360" s="6"/>
      <c r="BU360" s="6"/>
      <c r="BV360" s="6"/>
      <c r="BW360" s="6"/>
      <c r="BX360" s="6"/>
      <c r="BY360" s="6"/>
      <c r="BZ360" s="6"/>
      <c r="CA360" s="6"/>
      <c r="CB360" s="6"/>
      <c r="CC360" s="6"/>
      <c r="CD360" s="6"/>
      <c r="CE360" s="6"/>
      <c r="CF360" s="6"/>
    </row>
    <row r="361" spans="4:84">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c r="AZ361" s="6"/>
      <c r="BA361" s="6"/>
      <c r="BB361" s="6"/>
      <c r="BC361" s="6"/>
      <c r="BD361" s="6"/>
      <c r="BE361" s="6"/>
      <c r="BF361" s="6"/>
      <c r="BG361" s="6"/>
      <c r="BH361" s="6"/>
      <c r="BI361" s="6"/>
      <c r="BJ361" s="6"/>
      <c r="BK361" s="6"/>
      <c r="BL361" s="6"/>
      <c r="BM361" s="6"/>
      <c r="BN361" s="6"/>
      <c r="BO361" s="6"/>
      <c r="BP361" s="6"/>
      <c r="BQ361" s="6"/>
      <c r="BR361" s="6"/>
      <c r="BS361" s="6"/>
      <c r="BT361" s="6"/>
      <c r="BU361" s="6"/>
      <c r="BV361" s="6"/>
      <c r="BW361" s="6"/>
      <c r="BX361" s="6"/>
      <c r="BY361" s="6"/>
      <c r="BZ361" s="6"/>
      <c r="CA361" s="6"/>
      <c r="CB361" s="6"/>
      <c r="CC361" s="6"/>
      <c r="CD361" s="6"/>
      <c r="CE361" s="6"/>
      <c r="CF361" s="6"/>
    </row>
    <row r="362" spans="4:84">
      <c r="D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6"/>
      <c r="AX362" s="6"/>
      <c r="AY362" s="6"/>
      <c r="AZ362" s="6"/>
      <c r="BA362" s="6"/>
      <c r="BB362" s="6"/>
      <c r="BC362" s="6"/>
      <c r="BD362" s="6"/>
      <c r="BE362" s="6"/>
      <c r="BF362" s="6"/>
      <c r="BG362" s="6"/>
      <c r="BH362" s="6"/>
      <c r="BI362" s="6"/>
      <c r="BJ362" s="6"/>
      <c r="BK362" s="6"/>
      <c r="BL362" s="6"/>
      <c r="BM362" s="6"/>
      <c r="BN362" s="6"/>
      <c r="BO362" s="6"/>
      <c r="BP362" s="6"/>
      <c r="BQ362" s="6"/>
      <c r="BR362" s="6"/>
      <c r="BS362" s="6"/>
      <c r="BT362" s="6"/>
      <c r="BU362" s="6"/>
      <c r="BV362" s="6"/>
      <c r="BW362" s="6"/>
      <c r="BX362" s="6"/>
      <c r="BY362" s="6"/>
      <c r="BZ362" s="6"/>
      <c r="CA362" s="6"/>
      <c r="CB362" s="6"/>
      <c r="CC362" s="6"/>
      <c r="CD362" s="6"/>
      <c r="CE362" s="6"/>
      <c r="CF362" s="6"/>
    </row>
    <row r="363" spans="4:84">
      <c r="D363" s="6"/>
      <c r="E363" s="6"/>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c r="AU363" s="6"/>
      <c r="AV363" s="6"/>
      <c r="AW363" s="6"/>
      <c r="AX363" s="6"/>
      <c r="AY363" s="6"/>
      <c r="AZ363" s="6"/>
      <c r="BA363" s="6"/>
      <c r="BB363" s="6"/>
      <c r="BC363" s="6"/>
      <c r="BD363" s="6"/>
      <c r="BE363" s="6"/>
      <c r="BF363" s="6"/>
      <c r="BG363" s="6"/>
      <c r="BH363" s="6"/>
      <c r="BI363" s="6"/>
      <c r="BJ363" s="6"/>
      <c r="BK363" s="6"/>
      <c r="BL363" s="6"/>
      <c r="BM363" s="6"/>
      <c r="BN363" s="6"/>
      <c r="BO363" s="6"/>
      <c r="BP363" s="6"/>
      <c r="BQ363" s="6"/>
      <c r="BR363" s="6"/>
      <c r="BS363" s="6"/>
      <c r="BT363" s="6"/>
      <c r="BU363" s="6"/>
      <c r="BV363" s="6"/>
      <c r="BW363" s="6"/>
      <c r="BX363" s="6"/>
      <c r="BY363" s="6"/>
      <c r="BZ363" s="6"/>
      <c r="CA363" s="6"/>
      <c r="CB363" s="6"/>
      <c r="CC363" s="6"/>
      <c r="CD363" s="6"/>
      <c r="CE363" s="6"/>
      <c r="CF363" s="6"/>
    </row>
    <row r="364" spans="4:84">
      <c r="D364" s="6"/>
      <c r="E364" s="6"/>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c r="AU364" s="6"/>
      <c r="AV364" s="6"/>
      <c r="AW364" s="6"/>
      <c r="AX364" s="6"/>
      <c r="AY364" s="6"/>
      <c r="AZ364" s="6"/>
      <c r="BA364" s="6"/>
      <c r="BB364" s="6"/>
      <c r="BC364" s="6"/>
      <c r="BD364" s="6"/>
      <c r="BE364" s="6"/>
      <c r="BF364" s="6"/>
      <c r="BG364" s="6"/>
      <c r="BH364" s="6"/>
      <c r="BI364" s="6"/>
      <c r="BJ364" s="6"/>
      <c r="BK364" s="6"/>
      <c r="BL364" s="6"/>
      <c r="BM364" s="6"/>
      <c r="BN364" s="6"/>
      <c r="BO364" s="6"/>
      <c r="BP364" s="6"/>
      <c r="BQ364" s="6"/>
      <c r="BR364" s="6"/>
      <c r="BS364" s="6"/>
      <c r="BT364" s="6"/>
      <c r="BU364" s="6"/>
      <c r="BV364" s="6"/>
      <c r="BW364" s="6"/>
      <c r="BX364" s="6"/>
      <c r="BY364" s="6"/>
      <c r="BZ364" s="6"/>
      <c r="CA364" s="6"/>
      <c r="CB364" s="6"/>
      <c r="CC364" s="6"/>
      <c r="CD364" s="6"/>
      <c r="CE364" s="6"/>
      <c r="CF364" s="6"/>
    </row>
    <row r="365" spans="4:84">
      <c r="D365" s="6"/>
      <c r="E365" s="6"/>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c r="AU365" s="6"/>
      <c r="AV365" s="6"/>
      <c r="AW365" s="6"/>
      <c r="AX365" s="6"/>
      <c r="AY365" s="6"/>
      <c r="AZ365" s="6"/>
      <c r="BA365" s="6"/>
      <c r="BB365" s="6"/>
      <c r="BC365" s="6"/>
      <c r="BD365" s="6"/>
      <c r="BE365" s="6"/>
      <c r="BF365" s="6"/>
      <c r="BG365" s="6"/>
      <c r="BH365" s="6"/>
      <c r="BI365" s="6"/>
      <c r="BJ365" s="6"/>
      <c r="BK365" s="6"/>
      <c r="BL365" s="6"/>
      <c r="BM365" s="6"/>
      <c r="BN365" s="6"/>
      <c r="BO365" s="6"/>
      <c r="BP365" s="6"/>
      <c r="BQ365" s="6"/>
      <c r="BR365" s="6"/>
      <c r="BS365" s="6"/>
      <c r="BT365" s="6"/>
      <c r="BU365" s="6"/>
      <c r="BV365" s="6"/>
      <c r="BW365" s="6"/>
      <c r="BX365" s="6"/>
      <c r="BY365" s="6"/>
      <c r="BZ365" s="6"/>
      <c r="CA365" s="6"/>
      <c r="CB365" s="6"/>
      <c r="CC365" s="6"/>
      <c r="CD365" s="6"/>
      <c r="CE365" s="6"/>
      <c r="CF365" s="6"/>
    </row>
    <row r="366" spans="4:84">
      <c r="D366" s="6"/>
      <c r="E366" s="6"/>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c r="AU366" s="6"/>
      <c r="AV366" s="6"/>
      <c r="AW366" s="6"/>
      <c r="AX366" s="6"/>
      <c r="AY366" s="6"/>
      <c r="AZ366" s="6"/>
      <c r="BA366" s="6"/>
      <c r="BB366" s="6"/>
      <c r="BC366" s="6"/>
      <c r="BD366" s="6"/>
      <c r="BE366" s="6"/>
      <c r="BF366" s="6"/>
      <c r="BG366" s="6"/>
      <c r="BH366" s="6"/>
      <c r="BI366" s="6"/>
      <c r="BJ366" s="6"/>
      <c r="BK366" s="6"/>
      <c r="BL366" s="6"/>
      <c r="BM366" s="6"/>
      <c r="BN366" s="6"/>
      <c r="BO366" s="6"/>
      <c r="BP366" s="6"/>
      <c r="BQ366" s="6"/>
      <c r="BR366" s="6"/>
      <c r="BS366" s="6"/>
      <c r="BT366" s="6"/>
      <c r="BU366" s="6"/>
      <c r="BV366" s="6"/>
      <c r="BW366" s="6"/>
      <c r="BX366" s="6"/>
      <c r="BY366" s="6"/>
      <c r="BZ366" s="6"/>
      <c r="CA366" s="6"/>
      <c r="CB366" s="6"/>
      <c r="CC366" s="6"/>
      <c r="CD366" s="6"/>
      <c r="CE366" s="6"/>
      <c r="CF366" s="6"/>
    </row>
    <row r="367" spans="4:84">
      <c r="D367" s="6"/>
      <c r="E367" s="6"/>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c r="AU367" s="6"/>
      <c r="AV367" s="6"/>
      <c r="AW367" s="6"/>
      <c r="AX367" s="6"/>
      <c r="AY367" s="6"/>
      <c r="AZ367" s="6"/>
      <c r="BA367" s="6"/>
      <c r="BB367" s="6"/>
      <c r="BC367" s="6"/>
      <c r="BD367" s="6"/>
      <c r="BE367" s="6"/>
      <c r="BF367" s="6"/>
      <c r="BG367" s="6"/>
      <c r="BH367" s="6"/>
      <c r="BI367" s="6"/>
      <c r="BJ367" s="6"/>
      <c r="BK367" s="6"/>
      <c r="BL367" s="6"/>
      <c r="BM367" s="6"/>
      <c r="BN367" s="6"/>
      <c r="BO367" s="6"/>
      <c r="BP367" s="6"/>
      <c r="BQ367" s="6"/>
      <c r="BR367" s="6"/>
      <c r="BS367" s="6"/>
      <c r="BT367" s="6"/>
      <c r="BU367" s="6"/>
      <c r="BV367" s="6"/>
      <c r="BW367" s="6"/>
      <c r="BX367" s="6"/>
      <c r="BY367" s="6"/>
      <c r="BZ367" s="6"/>
      <c r="CA367" s="6"/>
      <c r="CB367" s="6"/>
      <c r="CC367" s="6"/>
      <c r="CD367" s="6"/>
      <c r="CE367" s="6"/>
      <c r="CF367" s="6"/>
    </row>
    <row r="368" spans="4:84">
      <c r="D368" s="6"/>
      <c r="E368" s="6"/>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c r="AU368" s="6"/>
      <c r="AV368" s="6"/>
      <c r="AW368" s="6"/>
      <c r="AX368" s="6"/>
      <c r="AY368" s="6"/>
      <c r="AZ368" s="6"/>
      <c r="BA368" s="6"/>
      <c r="BB368" s="6"/>
      <c r="BC368" s="6"/>
      <c r="BD368" s="6"/>
      <c r="BE368" s="6"/>
      <c r="BF368" s="6"/>
      <c r="BG368" s="6"/>
      <c r="BH368" s="6"/>
      <c r="BI368" s="6"/>
      <c r="BJ368" s="6"/>
      <c r="BK368" s="6"/>
      <c r="BL368" s="6"/>
      <c r="BM368" s="6"/>
      <c r="BN368" s="6"/>
      <c r="BO368" s="6"/>
      <c r="BP368" s="6"/>
      <c r="BQ368" s="6"/>
      <c r="BR368" s="6"/>
      <c r="BS368" s="6"/>
      <c r="BT368" s="6"/>
      <c r="BU368" s="6"/>
      <c r="BV368" s="6"/>
      <c r="BW368" s="6"/>
      <c r="BX368" s="6"/>
      <c r="BY368" s="6"/>
      <c r="BZ368" s="6"/>
      <c r="CA368" s="6"/>
      <c r="CB368" s="6"/>
      <c r="CC368" s="6"/>
      <c r="CD368" s="6"/>
      <c r="CE368" s="6"/>
      <c r="CF368" s="6"/>
    </row>
    <row r="369" spans="4:84">
      <c r="D369" s="6"/>
      <c r="E369" s="6"/>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c r="AU369" s="6"/>
      <c r="AV369" s="6"/>
      <c r="AW369" s="6"/>
      <c r="AX369" s="6"/>
      <c r="AY369" s="6"/>
      <c r="AZ369" s="6"/>
      <c r="BA369" s="6"/>
      <c r="BB369" s="6"/>
      <c r="BC369" s="6"/>
      <c r="BD369" s="6"/>
      <c r="BE369" s="6"/>
      <c r="BF369" s="6"/>
      <c r="BG369" s="6"/>
      <c r="BH369" s="6"/>
      <c r="BI369" s="6"/>
      <c r="BJ369" s="6"/>
      <c r="BK369" s="6"/>
      <c r="BL369" s="6"/>
      <c r="BM369" s="6"/>
      <c r="BN369" s="6"/>
      <c r="BO369" s="6"/>
      <c r="BP369" s="6"/>
      <c r="BQ369" s="6"/>
      <c r="BR369" s="6"/>
      <c r="BS369" s="6"/>
      <c r="BT369" s="6"/>
      <c r="BU369" s="6"/>
      <c r="BV369" s="6"/>
      <c r="BW369" s="6"/>
      <c r="BX369" s="6"/>
      <c r="BY369" s="6"/>
      <c r="BZ369" s="6"/>
      <c r="CA369" s="6"/>
      <c r="CB369" s="6"/>
      <c r="CC369" s="6"/>
      <c r="CD369" s="6"/>
      <c r="CE369" s="6"/>
      <c r="CF369" s="6"/>
    </row>
    <row r="370" spans="4:84">
      <c r="D370" s="6"/>
      <c r="E370" s="6"/>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c r="AU370" s="6"/>
      <c r="AV370" s="6"/>
      <c r="AW370" s="6"/>
      <c r="AX370" s="6"/>
      <c r="AY370" s="6"/>
      <c r="AZ370" s="6"/>
      <c r="BA370" s="6"/>
      <c r="BB370" s="6"/>
      <c r="BC370" s="6"/>
      <c r="BD370" s="6"/>
      <c r="BE370" s="6"/>
      <c r="BF370" s="6"/>
      <c r="BG370" s="6"/>
      <c r="BH370" s="6"/>
      <c r="BI370" s="6"/>
      <c r="BJ370" s="6"/>
      <c r="BK370" s="6"/>
      <c r="BL370" s="6"/>
      <c r="BM370" s="6"/>
      <c r="BN370" s="6"/>
      <c r="BO370" s="6"/>
      <c r="BP370" s="6"/>
      <c r="BQ370" s="6"/>
      <c r="BR370" s="6"/>
      <c r="BS370" s="6"/>
      <c r="BT370" s="6"/>
      <c r="BU370" s="6"/>
      <c r="BV370" s="6"/>
      <c r="BW370" s="6"/>
      <c r="BX370" s="6"/>
      <c r="BY370" s="6"/>
      <c r="BZ370" s="6"/>
      <c r="CA370" s="6"/>
      <c r="CB370" s="6"/>
      <c r="CC370" s="6"/>
      <c r="CD370" s="6"/>
      <c r="CE370" s="6"/>
      <c r="CF370" s="6"/>
    </row>
    <row r="371" spans="4:84">
      <c r="D371" s="6"/>
      <c r="E371" s="6"/>
      <c r="F371" s="6"/>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c r="AU371" s="6"/>
      <c r="AV371" s="6"/>
      <c r="AW371" s="6"/>
      <c r="AX371" s="6"/>
      <c r="AY371" s="6"/>
      <c r="AZ371" s="6"/>
      <c r="BA371" s="6"/>
      <c r="BB371" s="6"/>
      <c r="BC371" s="6"/>
      <c r="BD371" s="6"/>
      <c r="BE371" s="6"/>
      <c r="BF371" s="6"/>
      <c r="BG371" s="6"/>
      <c r="BH371" s="6"/>
      <c r="BI371" s="6"/>
      <c r="BJ371" s="6"/>
      <c r="BK371" s="6"/>
      <c r="BL371" s="6"/>
      <c r="BM371" s="6"/>
      <c r="BN371" s="6"/>
      <c r="BO371" s="6"/>
      <c r="BP371" s="6"/>
      <c r="BQ371" s="6"/>
      <c r="BR371" s="6"/>
      <c r="BS371" s="6"/>
      <c r="BT371" s="6"/>
      <c r="BU371" s="6"/>
      <c r="BV371" s="6"/>
      <c r="BW371" s="6"/>
      <c r="BX371" s="6"/>
      <c r="BY371" s="6"/>
      <c r="BZ371" s="6"/>
      <c r="CA371" s="6"/>
      <c r="CB371" s="6"/>
      <c r="CC371" s="6"/>
      <c r="CD371" s="6"/>
      <c r="CE371" s="6"/>
      <c r="CF371" s="6"/>
    </row>
    <row r="372" spans="4:84">
      <c r="D372" s="6"/>
      <c r="E372" s="6"/>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c r="AU372" s="6"/>
      <c r="AV372" s="6"/>
      <c r="AW372" s="6"/>
      <c r="AX372" s="6"/>
      <c r="AY372" s="6"/>
      <c r="AZ372" s="6"/>
      <c r="BA372" s="6"/>
      <c r="BB372" s="6"/>
      <c r="BC372" s="6"/>
      <c r="BD372" s="6"/>
      <c r="BE372" s="6"/>
      <c r="BF372" s="6"/>
      <c r="BG372" s="6"/>
      <c r="BH372" s="6"/>
      <c r="BI372" s="6"/>
      <c r="BJ372" s="6"/>
      <c r="BK372" s="6"/>
      <c r="BL372" s="6"/>
      <c r="BM372" s="6"/>
      <c r="BN372" s="6"/>
      <c r="BO372" s="6"/>
      <c r="BP372" s="6"/>
      <c r="BQ372" s="6"/>
      <c r="BR372" s="6"/>
      <c r="BS372" s="6"/>
      <c r="BT372" s="6"/>
      <c r="BU372" s="6"/>
      <c r="BV372" s="6"/>
      <c r="BW372" s="6"/>
      <c r="BX372" s="6"/>
      <c r="BY372" s="6"/>
      <c r="BZ372" s="6"/>
      <c r="CA372" s="6"/>
      <c r="CB372" s="6"/>
      <c r="CC372" s="6"/>
      <c r="CD372" s="6"/>
      <c r="CE372" s="6"/>
      <c r="CF372" s="6"/>
    </row>
    <row r="373" spans="4:84">
      <c r="D373" s="6"/>
      <c r="E373" s="6"/>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c r="AU373" s="6"/>
      <c r="AV373" s="6"/>
      <c r="AW373" s="6"/>
      <c r="AX373" s="6"/>
      <c r="AY373" s="6"/>
      <c r="AZ373" s="6"/>
      <c r="BA373" s="6"/>
      <c r="BB373" s="6"/>
      <c r="BC373" s="6"/>
      <c r="BD373" s="6"/>
      <c r="BE373" s="6"/>
      <c r="BF373" s="6"/>
      <c r="BG373" s="6"/>
      <c r="BH373" s="6"/>
      <c r="BI373" s="6"/>
      <c r="BJ373" s="6"/>
      <c r="BK373" s="6"/>
      <c r="BL373" s="6"/>
      <c r="BM373" s="6"/>
      <c r="BN373" s="6"/>
      <c r="BO373" s="6"/>
      <c r="BP373" s="6"/>
      <c r="BQ373" s="6"/>
      <c r="BR373" s="6"/>
      <c r="BS373" s="6"/>
      <c r="BT373" s="6"/>
      <c r="BU373" s="6"/>
      <c r="BV373" s="6"/>
      <c r="BW373" s="6"/>
      <c r="BX373" s="6"/>
      <c r="BY373" s="6"/>
      <c r="BZ373" s="6"/>
      <c r="CA373" s="6"/>
      <c r="CB373" s="6"/>
      <c r="CC373" s="6"/>
      <c r="CD373" s="6"/>
      <c r="CE373" s="6"/>
      <c r="CF373" s="6"/>
    </row>
    <row r="374" spans="4:84">
      <c r="D374" s="6"/>
      <c r="E374" s="6"/>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c r="AU374" s="6"/>
      <c r="AV374" s="6"/>
      <c r="AW374" s="6"/>
      <c r="AX374" s="6"/>
      <c r="AY374" s="6"/>
      <c r="AZ374" s="6"/>
      <c r="BA374" s="6"/>
      <c r="BB374" s="6"/>
      <c r="BC374" s="6"/>
      <c r="BD374" s="6"/>
      <c r="BE374" s="6"/>
      <c r="BF374" s="6"/>
      <c r="BG374" s="6"/>
      <c r="BH374" s="6"/>
      <c r="BI374" s="6"/>
      <c r="BJ374" s="6"/>
      <c r="BK374" s="6"/>
      <c r="BL374" s="6"/>
      <c r="BM374" s="6"/>
      <c r="BN374" s="6"/>
      <c r="BO374" s="6"/>
      <c r="BP374" s="6"/>
      <c r="BQ374" s="6"/>
      <c r="BR374" s="6"/>
      <c r="BS374" s="6"/>
      <c r="BT374" s="6"/>
      <c r="BU374" s="6"/>
      <c r="BV374" s="6"/>
      <c r="BW374" s="6"/>
      <c r="BX374" s="6"/>
      <c r="BY374" s="6"/>
      <c r="BZ374" s="6"/>
      <c r="CA374" s="6"/>
      <c r="CB374" s="6"/>
      <c r="CC374" s="6"/>
      <c r="CD374" s="6"/>
      <c r="CE374" s="6"/>
      <c r="CF374" s="6"/>
    </row>
    <row r="375" spans="4:84">
      <c r="D375" s="6"/>
      <c r="E375" s="6"/>
      <c r="F375" s="6"/>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c r="AU375" s="6"/>
      <c r="AV375" s="6"/>
      <c r="AW375" s="6"/>
      <c r="AX375" s="6"/>
      <c r="AY375" s="6"/>
      <c r="AZ375" s="6"/>
      <c r="BA375" s="6"/>
      <c r="BB375" s="6"/>
      <c r="BC375" s="6"/>
      <c r="BD375" s="6"/>
      <c r="BE375" s="6"/>
      <c r="BF375" s="6"/>
      <c r="BG375" s="6"/>
      <c r="BH375" s="6"/>
      <c r="BI375" s="6"/>
      <c r="BJ375" s="6"/>
      <c r="BK375" s="6"/>
      <c r="BL375" s="6"/>
      <c r="BM375" s="6"/>
      <c r="BN375" s="6"/>
      <c r="BO375" s="6"/>
      <c r="BP375" s="6"/>
      <c r="BQ375" s="6"/>
      <c r="BR375" s="6"/>
      <c r="BS375" s="6"/>
      <c r="BT375" s="6"/>
      <c r="BU375" s="6"/>
      <c r="BV375" s="6"/>
      <c r="BW375" s="6"/>
      <c r="BX375" s="6"/>
      <c r="BY375" s="6"/>
      <c r="BZ375" s="6"/>
      <c r="CA375" s="6"/>
      <c r="CB375" s="6"/>
      <c r="CC375" s="6"/>
      <c r="CD375" s="6"/>
      <c r="CE375" s="6"/>
      <c r="CF375" s="6"/>
    </row>
    <row r="376" spans="4:84">
      <c r="D376" s="6"/>
      <c r="E376" s="6"/>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c r="AU376" s="6"/>
      <c r="AV376" s="6"/>
      <c r="AW376" s="6"/>
      <c r="AX376" s="6"/>
      <c r="AY376" s="6"/>
      <c r="AZ376" s="6"/>
      <c r="BA376" s="6"/>
      <c r="BB376" s="6"/>
      <c r="BC376" s="6"/>
      <c r="BD376" s="6"/>
      <c r="BE376" s="6"/>
      <c r="BF376" s="6"/>
      <c r="BG376" s="6"/>
      <c r="BH376" s="6"/>
      <c r="BI376" s="6"/>
      <c r="BJ376" s="6"/>
      <c r="BK376" s="6"/>
      <c r="BL376" s="6"/>
      <c r="BM376" s="6"/>
      <c r="BN376" s="6"/>
      <c r="BO376" s="6"/>
      <c r="BP376" s="6"/>
      <c r="BQ376" s="6"/>
      <c r="BR376" s="6"/>
      <c r="BS376" s="6"/>
      <c r="BT376" s="6"/>
      <c r="BU376" s="6"/>
      <c r="BV376" s="6"/>
      <c r="BW376" s="6"/>
      <c r="BX376" s="6"/>
      <c r="BY376" s="6"/>
      <c r="BZ376" s="6"/>
      <c r="CA376" s="6"/>
      <c r="CB376" s="6"/>
      <c r="CC376" s="6"/>
      <c r="CD376" s="6"/>
      <c r="CE376" s="6"/>
      <c r="CF376" s="6"/>
    </row>
    <row r="377" spans="4:84">
      <c r="D377" s="6"/>
      <c r="E377" s="6"/>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c r="AU377" s="6"/>
      <c r="AV377" s="6"/>
      <c r="AW377" s="6"/>
      <c r="AX377" s="6"/>
      <c r="AY377" s="6"/>
      <c r="AZ377" s="6"/>
      <c r="BA377" s="6"/>
      <c r="BB377" s="6"/>
      <c r="BC377" s="6"/>
      <c r="BD377" s="6"/>
      <c r="BE377" s="6"/>
      <c r="BF377" s="6"/>
      <c r="BG377" s="6"/>
      <c r="BH377" s="6"/>
      <c r="BI377" s="6"/>
      <c r="BJ377" s="6"/>
      <c r="BK377" s="6"/>
      <c r="BL377" s="6"/>
      <c r="BM377" s="6"/>
      <c r="BN377" s="6"/>
      <c r="BO377" s="6"/>
      <c r="BP377" s="6"/>
      <c r="BQ377" s="6"/>
      <c r="BR377" s="6"/>
      <c r="BS377" s="6"/>
      <c r="BT377" s="6"/>
      <c r="BU377" s="6"/>
      <c r="BV377" s="6"/>
      <c r="BW377" s="6"/>
      <c r="BX377" s="6"/>
      <c r="BY377" s="6"/>
      <c r="BZ377" s="6"/>
      <c r="CA377" s="6"/>
      <c r="CB377" s="6"/>
      <c r="CC377" s="6"/>
      <c r="CD377" s="6"/>
      <c r="CE377" s="6"/>
      <c r="CF377" s="6"/>
    </row>
    <row r="378" spans="4:84">
      <c r="D378" s="6"/>
      <c r="E378" s="6"/>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c r="AU378" s="6"/>
      <c r="AV378" s="6"/>
      <c r="AW378" s="6"/>
      <c r="AX378" s="6"/>
      <c r="AY378" s="6"/>
      <c r="AZ378" s="6"/>
      <c r="BA378" s="6"/>
      <c r="BB378" s="6"/>
      <c r="BC378" s="6"/>
      <c r="BD378" s="6"/>
      <c r="BE378" s="6"/>
      <c r="BF378" s="6"/>
      <c r="BG378" s="6"/>
      <c r="BH378" s="6"/>
      <c r="BI378" s="6"/>
      <c r="BJ378" s="6"/>
      <c r="BK378" s="6"/>
      <c r="BL378" s="6"/>
      <c r="BM378" s="6"/>
      <c r="BN378" s="6"/>
      <c r="BO378" s="6"/>
      <c r="BP378" s="6"/>
      <c r="BQ378" s="6"/>
      <c r="BR378" s="6"/>
      <c r="BS378" s="6"/>
      <c r="BT378" s="6"/>
      <c r="BU378" s="6"/>
      <c r="BV378" s="6"/>
      <c r="BW378" s="6"/>
      <c r="BX378" s="6"/>
      <c r="BY378" s="6"/>
      <c r="BZ378" s="6"/>
      <c r="CA378" s="6"/>
      <c r="CB378" s="6"/>
      <c r="CC378" s="6"/>
      <c r="CD378" s="6"/>
      <c r="CE378" s="6"/>
      <c r="CF378" s="6"/>
    </row>
    <row r="379" spans="4:84">
      <c r="D379" s="6"/>
      <c r="E379" s="6"/>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c r="AU379" s="6"/>
      <c r="AV379" s="6"/>
      <c r="AW379" s="6"/>
      <c r="AX379" s="6"/>
      <c r="AY379" s="6"/>
      <c r="AZ379" s="6"/>
      <c r="BA379" s="6"/>
      <c r="BB379" s="6"/>
      <c r="BC379" s="6"/>
      <c r="BD379" s="6"/>
      <c r="BE379" s="6"/>
      <c r="BF379" s="6"/>
      <c r="BG379" s="6"/>
      <c r="BH379" s="6"/>
      <c r="BI379" s="6"/>
      <c r="BJ379" s="6"/>
      <c r="BK379" s="6"/>
      <c r="BL379" s="6"/>
      <c r="BM379" s="6"/>
      <c r="BN379" s="6"/>
      <c r="BO379" s="6"/>
      <c r="BP379" s="6"/>
      <c r="BQ379" s="6"/>
      <c r="BR379" s="6"/>
      <c r="BS379" s="6"/>
      <c r="BT379" s="6"/>
      <c r="BU379" s="6"/>
      <c r="BV379" s="6"/>
      <c r="BW379" s="6"/>
      <c r="BX379" s="6"/>
      <c r="BY379" s="6"/>
      <c r="BZ379" s="6"/>
      <c r="CA379" s="6"/>
      <c r="CB379" s="6"/>
      <c r="CC379" s="6"/>
      <c r="CD379" s="6"/>
      <c r="CE379" s="6"/>
      <c r="CF379" s="6"/>
    </row>
    <row r="380" spans="4:84">
      <c r="D380" s="6"/>
      <c r="E380" s="6"/>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c r="AU380" s="6"/>
      <c r="AV380" s="6"/>
      <c r="AW380" s="6"/>
      <c r="AX380" s="6"/>
      <c r="AY380" s="6"/>
      <c r="AZ380" s="6"/>
      <c r="BA380" s="6"/>
      <c r="BB380" s="6"/>
      <c r="BC380" s="6"/>
      <c r="BD380" s="6"/>
      <c r="BE380" s="6"/>
      <c r="BF380" s="6"/>
      <c r="BG380" s="6"/>
      <c r="BH380" s="6"/>
      <c r="BI380" s="6"/>
      <c r="BJ380" s="6"/>
      <c r="BK380" s="6"/>
      <c r="BL380" s="6"/>
      <c r="BM380" s="6"/>
      <c r="BN380" s="6"/>
      <c r="BO380" s="6"/>
      <c r="BP380" s="6"/>
      <c r="BQ380" s="6"/>
      <c r="BR380" s="6"/>
      <c r="BS380" s="6"/>
      <c r="BT380" s="6"/>
      <c r="BU380" s="6"/>
      <c r="BV380" s="6"/>
      <c r="BW380" s="6"/>
      <c r="BX380" s="6"/>
      <c r="BY380" s="6"/>
      <c r="BZ380" s="6"/>
      <c r="CA380" s="6"/>
      <c r="CB380" s="6"/>
      <c r="CC380" s="6"/>
      <c r="CD380" s="6"/>
      <c r="CE380" s="6"/>
      <c r="CF380" s="6"/>
    </row>
    <row r="381" spans="4:84">
      <c r="D381" s="6"/>
      <c r="E381" s="6"/>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c r="AU381" s="6"/>
      <c r="AV381" s="6"/>
      <c r="AW381" s="6"/>
      <c r="AX381" s="6"/>
      <c r="AY381" s="6"/>
      <c r="AZ381" s="6"/>
      <c r="BA381" s="6"/>
      <c r="BB381" s="6"/>
      <c r="BC381" s="6"/>
      <c r="BD381" s="6"/>
      <c r="BE381" s="6"/>
      <c r="BF381" s="6"/>
      <c r="BG381" s="6"/>
      <c r="BH381" s="6"/>
      <c r="BI381" s="6"/>
      <c r="BJ381" s="6"/>
      <c r="BK381" s="6"/>
      <c r="BL381" s="6"/>
      <c r="BM381" s="6"/>
      <c r="BN381" s="6"/>
      <c r="BO381" s="6"/>
      <c r="BP381" s="6"/>
      <c r="BQ381" s="6"/>
      <c r="BR381" s="6"/>
      <c r="BS381" s="6"/>
      <c r="BT381" s="6"/>
      <c r="BU381" s="6"/>
      <c r="BV381" s="6"/>
      <c r="BW381" s="6"/>
      <c r="BX381" s="6"/>
      <c r="BY381" s="6"/>
      <c r="BZ381" s="6"/>
      <c r="CA381" s="6"/>
      <c r="CB381" s="6"/>
      <c r="CC381" s="6"/>
      <c r="CD381" s="6"/>
      <c r="CE381" s="6"/>
      <c r="CF381" s="6"/>
    </row>
    <row r="382" spans="4:84">
      <c r="D382" s="6"/>
      <c r="E382" s="6"/>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c r="AU382" s="6"/>
      <c r="AV382" s="6"/>
      <c r="AW382" s="6"/>
      <c r="AX382" s="6"/>
      <c r="AY382" s="6"/>
      <c r="AZ382" s="6"/>
      <c r="BA382" s="6"/>
      <c r="BB382" s="6"/>
      <c r="BC382" s="6"/>
      <c r="BD382" s="6"/>
      <c r="BE382" s="6"/>
      <c r="BF382" s="6"/>
      <c r="BG382" s="6"/>
      <c r="BH382" s="6"/>
      <c r="BI382" s="6"/>
      <c r="BJ382" s="6"/>
      <c r="BK382" s="6"/>
      <c r="BL382" s="6"/>
      <c r="BM382" s="6"/>
      <c r="BN382" s="6"/>
      <c r="BO382" s="6"/>
      <c r="BP382" s="6"/>
      <c r="BQ382" s="6"/>
      <c r="BR382" s="6"/>
      <c r="BS382" s="6"/>
      <c r="BT382" s="6"/>
      <c r="BU382" s="6"/>
      <c r="BV382" s="6"/>
      <c r="BW382" s="6"/>
      <c r="BX382" s="6"/>
      <c r="BY382" s="6"/>
      <c r="BZ382" s="6"/>
      <c r="CA382" s="6"/>
      <c r="CB382" s="6"/>
      <c r="CC382" s="6"/>
      <c r="CD382" s="6"/>
      <c r="CE382" s="6"/>
      <c r="CF382" s="6"/>
    </row>
    <row r="383" spans="4:84">
      <c r="D383" s="6"/>
      <c r="E383" s="6"/>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c r="AU383" s="6"/>
      <c r="AV383" s="6"/>
      <c r="AW383" s="6"/>
      <c r="AX383" s="6"/>
      <c r="AY383" s="6"/>
      <c r="AZ383" s="6"/>
      <c r="BA383" s="6"/>
      <c r="BB383" s="6"/>
      <c r="BC383" s="6"/>
      <c r="BD383" s="6"/>
      <c r="BE383" s="6"/>
      <c r="BF383" s="6"/>
      <c r="BG383" s="6"/>
      <c r="BH383" s="6"/>
      <c r="BI383" s="6"/>
      <c r="BJ383" s="6"/>
      <c r="BK383" s="6"/>
      <c r="BL383" s="6"/>
      <c r="BM383" s="6"/>
      <c r="BN383" s="6"/>
      <c r="BO383" s="6"/>
      <c r="BP383" s="6"/>
      <c r="BQ383" s="6"/>
      <c r="BR383" s="6"/>
      <c r="BS383" s="6"/>
      <c r="BT383" s="6"/>
      <c r="BU383" s="6"/>
      <c r="BV383" s="6"/>
      <c r="BW383" s="6"/>
      <c r="BX383" s="6"/>
      <c r="BY383" s="6"/>
      <c r="BZ383" s="6"/>
      <c r="CA383" s="6"/>
      <c r="CB383" s="6"/>
      <c r="CC383" s="6"/>
      <c r="CD383" s="6"/>
      <c r="CE383" s="6"/>
      <c r="CF383" s="6"/>
    </row>
    <row r="384" spans="4:84">
      <c r="D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6"/>
      <c r="AX384" s="6"/>
      <c r="AY384" s="6"/>
      <c r="AZ384" s="6"/>
      <c r="BA384" s="6"/>
      <c r="BB384" s="6"/>
      <c r="BC384" s="6"/>
      <c r="BD384" s="6"/>
      <c r="BE384" s="6"/>
      <c r="BF384" s="6"/>
      <c r="BG384" s="6"/>
      <c r="BH384" s="6"/>
      <c r="BI384" s="6"/>
      <c r="BJ384" s="6"/>
      <c r="BK384" s="6"/>
      <c r="BL384" s="6"/>
      <c r="BM384" s="6"/>
      <c r="BN384" s="6"/>
      <c r="BO384" s="6"/>
      <c r="BP384" s="6"/>
      <c r="BQ384" s="6"/>
      <c r="BR384" s="6"/>
      <c r="BS384" s="6"/>
      <c r="BT384" s="6"/>
      <c r="BU384" s="6"/>
      <c r="BV384" s="6"/>
      <c r="BW384" s="6"/>
      <c r="BX384" s="6"/>
      <c r="BY384" s="6"/>
      <c r="BZ384" s="6"/>
      <c r="CA384" s="6"/>
      <c r="CB384" s="6"/>
      <c r="CC384" s="6"/>
      <c r="CD384" s="6"/>
      <c r="CE384" s="6"/>
      <c r="CF384" s="6"/>
    </row>
    <row r="385" spans="4:84">
      <c r="D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6"/>
      <c r="AX385" s="6"/>
      <c r="AY385" s="6"/>
      <c r="AZ385" s="6"/>
      <c r="BA385" s="6"/>
      <c r="BB385" s="6"/>
      <c r="BC385" s="6"/>
      <c r="BD385" s="6"/>
      <c r="BE385" s="6"/>
      <c r="BF385" s="6"/>
      <c r="BG385" s="6"/>
      <c r="BH385" s="6"/>
      <c r="BI385" s="6"/>
      <c r="BJ385" s="6"/>
      <c r="BK385" s="6"/>
      <c r="BL385" s="6"/>
      <c r="BM385" s="6"/>
      <c r="BN385" s="6"/>
      <c r="BO385" s="6"/>
      <c r="BP385" s="6"/>
      <c r="BQ385" s="6"/>
      <c r="BR385" s="6"/>
      <c r="BS385" s="6"/>
      <c r="BT385" s="6"/>
      <c r="BU385" s="6"/>
      <c r="BV385" s="6"/>
      <c r="BW385" s="6"/>
      <c r="BX385" s="6"/>
      <c r="BY385" s="6"/>
      <c r="BZ385" s="6"/>
      <c r="CA385" s="6"/>
      <c r="CB385" s="6"/>
      <c r="CC385" s="6"/>
      <c r="CD385" s="6"/>
      <c r="CE385" s="6"/>
      <c r="CF385" s="6"/>
    </row>
    <row r="386" spans="4:84">
      <c r="D386" s="6"/>
      <c r="E386" s="6"/>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c r="AU386" s="6"/>
      <c r="AV386" s="6"/>
      <c r="AW386" s="6"/>
      <c r="AX386" s="6"/>
      <c r="AY386" s="6"/>
      <c r="AZ386" s="6"/>
      <c r="BA386" s="6"/>
      <c r="BB386" s="6"/>
      <c r="BC386" s="6"/>
      <c r="BD386" s="6"/>
      <c r="BE386" s="6"/>
      <c r="BF386" s="6"/>
      <c r="BG386" s="6"/>
      <c r="BH386" s="6"/>
      <c r="BI386" s="6"/>
      <c r="BJ386" s="6"/>
      <c r="BK386" s="6"/>
      <c r="BL386" s="6"/>
      <c r="BM386" s="6"/>
      <c r="BN386" s="6"/>
      <c r="BO386" s="6"/>
      <c r="BP386" s="6"/>
      <c r="BQ386" s="6"/>
      <c r="BR386" s="6"/>
      <c r="BS386" s="6"/>
      <c r="BT386" s="6"/>
      <c r="BU386" s="6"/>
      <c r="BV386" s="6"/>
      <c r="BW386" s="6"/>
      <c r="BX386" s="6"/>
      <c r="BY386" s="6"/>
      <c r="BZ386" s="6"/>
      <c r="CA386" s="6"/>
      <c r="CB386" s="6"/>
      <c r="CC386" s="6"/>
      <c r="CD386" s="6"/>
      <c r="CE386" s="6"/>
      <c r="CF386" s="6"/>
    </row>
    <row r="387" spans="4:84">
      <c r="D387" s="6"/>
      <c r="E387" s="6"/>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c r="AU387" s="6"/>
      <c r="AV387" s="6"/>
      <c r="AW387" s="6"/>
      <c r="AX387" s="6"/>
      <c r="AY387" s="6"/>
      <c r="AZ387" s="6"/>
      <c r="BA387" s="6"/>
      <c r="BB387" s="6"/>
      <c r="BC387" s="6"/>
      <c r="BD387" s="6"/>
      <c r="BE387" s="6"/>
      <c r="BF387" s="6"/>
      <c r="BG387" s="6"/>
      <c r="BH387" s="6"/>
      <c r="BI387" s="6"/>
      <c r="BJ387" s="6"/>
      <c r="BK387" s="6"/>
      <c r="BL387" s="6"/>
      <c r="BM387" s="6"/>
      <c r="BN387" s="6"/>
      <c r="BO387" s="6"/>
      <c r="BP387" s="6"/>
      <c r="BQ387" s="6"/>
      <c r="BR387" s="6"/>
      <c r="BS387" s="6"/>
      <c r="BT387" s="6"/>
      <c r="BU387" s="6"/>
      <c r="BV387" s="6"/>
      <c r="BW387" s="6"/>
      <c r="BX387" s="6"/>
      <c r="BY387" s="6"/>
      <c r="BZ387" s="6"/>
      <c r="CA387" s="6"/>
      <c r="CB387" s="6"/>
      <c r="CC387" s="6"/>
      <c r="CD387" s="6"/>
      <c r="CE387" s="6"/>
      <c r="CF387" s="6"/>
    </row>
    <row r="388" spans="4:84">
      <c r="D388" s="6"/>
      <c r="E388" s="6"/>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c r="AU388" s="6"/>
      <c r="AV388" s="6"/>
      <c r="AW388" s="6"/>
      <c r="AX388" s="6"/>
      <c r="AY388" s="6"/>
      <c r="AZ388" s="6"/>
      <c r="BA388" s="6"/>
      <c r="BB388" s="6"/>
      <c r="BC388" s="6"/>
      <c r="BD388" s="6"/>
      <c r="BE388" s="6"/>
      <c r="BF388" s="6"/>
      <c r="BG388" s="6"/>
      <c r="BH388" s="6"/>
      <c r="BI388" s="6"/>
      <c r="BJ388" s="6"/>
      <c r="BK388" s="6"/>
      <c r="BL388" s="6"/>
      <c r="BM388" s="6"/>
      <c r="BN388" s="6"/>
      <c r="BO388" s="6"/>
      <c r="BP388" s="6"/>
      <c r="BQ388" s="6"/>
      <c r="BR388" s="6"/>
      <c r="BS388" s="6"/>
      <c r="BT388" s="6"/>
      <c r="BU388" s="6"/>
      <c r="BV388" s="6"/>
      <c r="BW388" s="6"/>
      <c r="BX388" s="6"/>
      <c r="BY388" s="6"/>
      <c r="BZ388" s="6"/>
      <c r="CA388" s="6"/>
      <c r="CB388" s="6"/>
      <c r="CC388" s="6"/>
      <c r="CD388" s="6"/>
      <c r="CE388" s="6"/>
      <c r="CF388" s="6"/>
    </row>
    <row r="389" spans="4:84">
      <c r="D389" s="6"/>
      <c r="E389" s="6"/>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c r="AU389" s="6"/>
      <c r="AV389" s="6"/>
      <c r="AW389" s="6"/>
      <c r="AX389" s="6"/>
      <c r="AY389" s="6"/>
      <c r="AZ389" s="6"/>
      <c r="BA389" s="6"/>
      <c r="BB389" s="6"/>
      <c r="BC389" s="6"/>
      <c r="BD389" s="6"/>
      <c r="BE389" s="6"/>
      <c r="BF389" s="6"/>
      <c r="BG389" s="6"/>
      <c r="BH389" s="6"/>
      <c r="BI389" s="6"/>
      <c r="BJ389" s="6"/>
      <c r="BK389" s="6"/>
      <c r="BL389" s="6"/>
      <c r="BM389" s="6"/>
      <c r="BN389" s="6"/>
      <c r="BO389" s="6"/>
      <c r="BP389" s="6"/>
      <c r="BQ389" s="6"/>
      <c r="BR389" s="6"/>
      <c r="BS389" s="6"/>
      <c r="BT389" s="6"/>
      <c r="BU389" s="6"/>
      <c r="BV389" s="6"/>
      <c r="BW389" s="6"/>
      <c r="BX389" s="6"/>
      <c r="BY389" s="6"/>
      <c r="BZ389" s="6"/>
      <c r="CA389" s="6"/>
      <c r="CB389" s="6"/>
      <c r="CC389" s="6"/>
      <c r="CD389" s="6"/>
      <c r="CE389" s="6"/>
      <c r="CF389" s="6"/>
    </row>
    <row r="390" spans="4:84">
      <c r="D390" s="6"/>
      <c r="E390" s="6"/>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c r="AU390" s="6"/>
      <c r="AV390" s="6"/>
      <c r="AW390" s="6"/>
      <c r="AX390" s="6"/>
      <c r="AY390" s="6"/>
      <c r="AZ390" s="6"/>
      <c r="BA390" s="6"/>
      <c r="BB390" s="6"/>
      <c r="BC390" s="6"/>
      <c r="BD390" s="6"/>
      <c r="BE390" s="6"/>
      <c r="BF390" s="6"/>
      <c r="BG390" s="6"/>
      <c r="BH390" s="6"/>
      <c r="BI390" s="6"/>
      <c r="BJ390" s="6"/>
      <c r="BK390" s="6"/>
      <c r="BL390" s="6"/>
      <c r="BM390" s="6"/>
      <c r="BN390" s="6"/>
      <c r="BO390" s="6"/>
      <c r="BP390" s="6"/>
      <c r="BQ390" s="6"/>
      <c r="BR390" s="6"/>
      <c r="BS390" s="6"/>
      <c r="BT390" s="6"/>
      <c r="BU390" s="6"/>
      <c r="BV390" s="6"/>
      <c r="BW390" s="6"/>
      <c r="BX390" s="6"/>
      <c r="BY390" s="6"/>
      <c r="BZ390" s="6"/>
      <c r="CA390" s="6"/>
      <c r="CB390" s="6"/>
      <c r="CC390" s="6"/>
      <c r="CD390" s="6"/>
      <c r="CE390" s="6"/>
      <c r="CF390" s="6"/>
    </row>
    <row r="391" spans="4:84">
      <c r="D391" s="6"/>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6"/>
      <c r="AX391" s="6"/>
      <c r="AY391" s="6"/>
      <c r="AZ391" s="6"/>
      <c r="BA391" s="6"/>
      <c r="BB391" s="6"/>
      <c r="BC391" s="6"/>
      <c r="BD391" s="6"/>
      <c r="BE391" s="6"/>
      <c r="BF391" s="6"/>
      <c r="BG391" s="6"/>
      <c r="BH391" s="6"/>
      <c r="BI391" s="6"/>
      <c r="BJ391" s="6"/>
      <c r="BK391" s="6"/>
      <c r="BL391" s="6"/>
      <c r="BM391" s="6"/>
      <c r="BN391" s="6"/>
      <c r="BO391" s="6"/>
      <c r="BP391" s="6"/>
      <c r="BQ391" s="6"/>
      <c r="BR391" s="6"/>
      <c r="BS391" s="6"/>
      <c r="BT391" s="6"/>
      <c r="BU391" s="6"/>
      <c r="BV391" s="6"/>
      <c r="BW391" s="6"/>
      <c r="BX391" s="6"/>
      <c r="BY391" s="6"/>
      <c r="BZ391" s="6"/>
      <c r="CA391" s="6"/>
      <c r="CB391" s="6"/>
      <c r="CC391" s="6"/>
      <c r="CD391" s="6"/>
      <c r="CE391" s="6"/>
      <c r="CF391" s="6"/>
    </row>
    <row r="392" spans="4:84">
      <c r="D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6"/>
      <c r="AX392" s="6"/>
      <c r="AY392" s="6"/>
      <c r="AZ392" s="6"/>
      <c r="BA392" s="6"/>
      <c r="BB392" s="6"/>
      <c r="BC392" s="6"/>
      <c r="BD392" s="6"/>
      <c r="BE392" s="6"/>
      <c r="BF392" s="6"/>
      <c r="BG392" s="6"/>
      <c r="BH392" s="6"/>
      <c r="BI392" s="6"/>
      <c r="BJ392" s="6"/>
      <c r="BK392" s="6"/>
      <c r="BL392" s="6"/>
      <c r="BM392" s="6"/>
      <c r="BN392" s="6"/>
      <c r="BO392" s="6"/>
      <c r="BP392" s="6"/>
      <c r="BQ392" s="6"/>
      <c r="BR392" s="6"/>
      <c r="BS392" s="6"/>
      <c r="BT392" s="6"/>
      <c r="BU392" s="6"/>
      <c r="BV392" s="6"/>
      <c r="BW392" s="6"/>
      <c r="BX392" s="6"/>
      <c r="BY392" s="6"/>
      <c r="BZ392" s="6"/>
      <c r="CA392" s="6"/>
      <c r="CB392" s="6"/>
      <c r="CC392" s="6"/>
      <c r="CD392" s="6"/>
      <c r="CE392" s="6"/>
      <c r="CF392" s="6"/>
    </row>
    <row r="393" spans="4:84">
      <c r="D393" s="6"/>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6"/>
      <c r="AX393" s="6"/>
      <c r="AY393" s="6"/>
      <c r="AZ393" s="6"/>
      <c r="BA393" s="6"/>
      <c r="BB393" s="6"/>
      <c r="BC393" s="6"/>
      <c r="BD393" s="6"/>
      <c r="BE393" s="6"/>
      <c r="BF393" s="6"/>
      <c r="BG393" s="6"/>
      <c r="BH393" s="6"/>
      <c r="BI393" s="6"/>
      <c r="BJ393" s="6"/>
      <c r="BK393" s="6"/>
      <c r="BL393" s="6"/>
      <c r="BM393" s="6"/>
      <c r="BN393" s="6"/>
      <c r="BO393" s="6"/>
      <c r="BP393" s="6"/>
      <c r="BQ393" s="6"/>
      <c r="BR393" s="6"/>
      <c r="BS393" s="6"/>
      <c r="BT393" s="6"/>
      <c r="BU393" s="6"/>
      <c r="BV393" s="6"/>
      <c r="BW393" s="6"/>
      <c r="BX393" s="6"/>
      <c r="BY393" s="6"/>
      <c r="BZ393" s="6"/>
      <c r="CA393" s="6"/>
      <c r="CB393" s="6"/>
      <c r="CC393" s="6"/>
      <c r="CD393" s="6"/>
      <c r="CE393" s="6"/>
      <c r="CF393" s="6"/>
    </row>
    <row r="394" spans="4:84">
      <c r="D394" s="6"/>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6"/>
      <c r="AX394" s="6"/>
      <c r="AY394" s="6"/>
      <c r="AZ394" s="6"/>
      <c r="BA394" s="6"/>
      <c r="BB394" s="6"/>
      <c r="BC394" s="6"/>
      <c r="BD394" s="6"/>
      <c r="BE394" s="6"/>
      <c r="BF394" s="6"/>
      <c r="BG394" s="6"/>
      <c r="BH394" s="6"/>
      <c r="BI394" s="6"/>
      <c r="BJ394" s="6"/>
      <c r="BK394" s="6"/>
      <c r="BL394" s="6"/>
      <c r="BM394" s="6"/>
      <c r="BN394" s="6"/>
      <c r="BO394" s="6"/>
      <c r="BP394" s="6"/>
      <c r="BQ394" s="6"/>
      <c r="BR394" s="6"/>
      <c r="BS394" s="6"/>
      <c r="BT394" s="6"/>
      <c r="BU394" s="6"/>
      <c r="BV394" s="6"/>
      <c r="BW394" s="6"/>
      <c r="BX394" s="6"/>
      <c r="BY394" s="6"/>
      <c r="BZ394" s="6"/>
      <c r="CA394" s="6"/>
      <c r="CB394" s="6"/>
      <c r="CC394" s="6"/>
      <c r="CD394" s="6"/>
      <c r="CE394" s="6"/>
      <c r="CF394" s="6"/>
    </row>
    <row r="395" spans="4:84">
      <c r="D395" s="6"/>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c r="AZ395" s="6"/>
      <c r="BA395" s="6"/>
      <c r="BB395" s="6"/>
      <c r="BC395" s="6"/>
      <c r="BD395" s="6"/>
      <c r="BE395" s="6"/>
      <c r="BF395" s="6"/>
      <c r="BG395" s="6"/>
      <c r="BH395" s="6"/>
      <c r="BI395" s="6"/>
      <c r="BJ395" s="6"/>
      <c r="BK395" s="6"/>
      <c r="BL395" s="6"/>
      <c r="BM395" s="6"/>
      <c r="BN395" s="6"/>
      <c r="BO395" s="6"/>
      <c r="BP395" s="6"/>
      <c r="BQ395" s="6"/>
      <c r="BR395" s="6"/>
      <c r="BS395" s="6"/>
      <c r="BT395" s="6"/>
      <c r="BU395" s="6"/>
      <c r="BV395" s="6"/>
      <c r="BW395" s="6"/>
      <c r="BX395" s="6"/>
      <c r="BY395" s="6"/>
      <c r="BZ395" s="6"/>
      <c r="CA395" s="6"/>
      <c r="CB395" s="6"/>
      <c r="CC395" s="6"/>
      <c r="CD395" s="6"/>
      <c r="CE395" s="6"/>
      <c r="CF395" s="6"/>
    </row>
    <row r="396" spans="4:84">
      <c r="D396" s="6"/>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c r="AU396" s="6"/>
      <c r="AV396" s="6"/>
      <c r="AW396" s="6"/>
      <c r="AX396" s="6"/>
      <c r="AY396" s="6"/>
      <c r="AZ396" s="6"/>
      <c r="BA396" s="6"/>
      <c r="BB396" s="6"/>
      <c r="BC396" s="6"/>
      <c r="BD396" s="6"/>
      <c r="BE396" s="6"/>
      <c r="BF396" s="6"/>
      <c r="BG396" s="6"/>
      <c r="BH396" s="6"/>
      <c r="BI396" s="6"/>
      <c r="BJ396" s="6"/>
      <c r="BK396" s="6"/>
      <c r="BL396" s="6"/>
      <c r="BM396" s="6"/>
      <c r="BN396" s="6"/>
      <c r="BO396" s="6"/>
      <c r="BP396" s="6"/>
      <c r="BQ396" s="6"/>
      <c r="BR396" s="6"/>
      <c r="BS396" s="6"/>
      <c r="BT396" s="6"/>
      <c r="BU396" s="6"/>
      <c r="BV396" s="6"/>
      <c r="BW396" s="6"/>
      <c r="BX396" s="6"/>
      <c r="BY396" s="6"/>
      <c r="BZ396" s="6"/>
      <c r="CA396" s="6"/>
      <c r="CB396" s="6"/>
      <c r="CC396" s="6"/>
      <c r="CD396" s="6"/>
      <c r="CE396" s="6"/>
      <c r="CF396" s="6"/>
    </row>
    <row r="397" spans="4:84">
      <c r="D397" s="6"/>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6"/>
      <c r="AX397" s="6"/>
      <c r="AY397" s="6"/>
      <c r="AZ397" s="6"/>
      <c r="BA397" s="6"/>
      <c r="BB397" s="6"/>
      <c r="BC397" s="6"/>
      <c r="BD397" s="6"/>
      <c r="BE397" s="6"/>
      <c r="BF397" s="6"/>
      <c r="BG397" s="6"/>
      <c r="BH397" s="6"/>
      <c r="BI397" s="6"/>
      <c r="BJ397" s="6"/>
      <c r="BK397" s="6"/>
      <c r="BL397" s="6"/>
      <c r="BM397" s="6"/>
      <c r="BN397" s="6"/>
      <c r="BO397" s="6"/>
      <c r="BP397" s="6"/>
      <c r="BQ397" s="6"/>
      <c r="BR397" s="6"/>
      <c r="BS397" s="6"/>
      <c r="BT397" s="6"/>
      <c r="BU397" s="6"/>
      <c r="BV397" s="6"/>
      <c r="BW397" s="6"/>
      <c r="BX397" s="6"/>
      <c r="BY397" s="6"/>
      <c r="BZ397" s="6"/>
      <c r="CA397" s="6"/>
      <c r="CB397" s="6"/>
      <c r="CC397" s="6"/>
      <c r="CD397" s="6"/>
      <c r="CE397" s="6"/>
      <c r="CF397" s="6"/>
    </row>
    <row r="398" spans="4:84">
      <c r="D398" s="6"/>
      <c r="E398" s="6"/>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c r="AU398" s="6"/>
      <c r="AV398" s="6"/>
      <c r="AW398" s="6"/>
      <c r="AX398" s="6"/>
      <c r="AY398" s="6"/>
      <c r="AZ398" s="6"/>
      <c r="BA398" s="6"/>
      <c r="BB398" s="6"/>
      <c r="BC398" s="6"/>
      <c r="BD398" s="6"/>
      <c r="BE398" s="6"/>
      <c r="BF398" s="6"/>
      <c r="BG398" s="6"/>
      <c r="BH398" s="6"/>
      <c r="BI398" s="6"/>
      <c r="BJ398" s="6"/>
      <c r="BK398" s="6"/>
      <c r="BL398" s="6"/>
      <c r="BM398" s="6"/>
      <c r="BN398" s="6"/>
      <c r="BO398" s="6"/>
      <c r="BP398" s="6"/>
      <c r="BQ398" s="6"/>
      <c r="BR398" s="6"/>
      <c r="BS398" s="6"/>
      <c r="BT398" s="6"/>
      <c r="BU398" s="6"/>
      <c r="BV398" s="6"/>
      <c r="BW398" s="6"/>
      <c r="BX398" s="6"/>
      <c r="BY398" s="6"/>
      <c r="BZ398" s="6"/>
      <c r="CA398" s="6"/>
      <c r="CB398" s="6"/>
      <c r="CC398" s="6"/>
      <c r="CD398" s="6"/>
      <c r="CE398" s="6"/>
      <c r="CF398" s="6"/>
    </row>
  </sheetData>
  <pageMargins left="0.75" right="0.75" top="1" bottom="1" header="0.5" footer="0.5"/>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92D050"/>
    <pageSetUpPr autoPageBreaks="0"/>
  </sheetPr>
  <dimension ref="A1:IV490"/>
  <sheetViews>
    <sheetView topLeftCell="A327" zoomScaleNormal="100" workbookViewId="0">
      <selection activeCell="D8" sqref="D8:P8"/>
    </sheetView>
  </sheetViews>
  <sheetFormatPr defaultRowHeight="12.75"/>
  <cols>
    <col min="1" max="1" width="29" style="549" bestFit="1" customWidth="1"/>
    <col min="2" max="2" width="14.42578125" style="549" bestFit="1" customWidth="1"/>
    <col min="3" max="4" width="17.85546875" style="549" bestFit="1" customWidth="1"/>
    <col min="5" max="5" width="12.5703125" style="549" bestFit="1" customWidth="1"/>
    <col min="6" max="6" width="10.140625" style="549" bestFit="1" customWidth="1"/>
    <col min="7" max="7" width="16.7109375" style="549" customWidth="1"/>
    <col min="8" max="8" width="12" style="549" bestFit="1" customWidth="1"/>
    <col min="9" max="9" width="11" style="549" bestFit="1" customWidth="1"/>
    <col min="10" max="10" width="11.7109375" style="549" bestFit="1" customWidth="1"/>
    <col min="11" max="11" width="12" style="549" bestFit="1" customWidth="1"/>
    <col min="12" max="12" width="14.7109375" style="549" bestFit="1" customWidth="1"/>
    <col min="13" max="13" width="16.5703125" style="549" bestFit="1" customWidth="1"/>
    <col min="14" max="14" width="12" style="549" bestFit="1" customWidth="1"/>
    <col min="15" max="15" width="25.140625" style="549" bestFit="1" customWidth="1"/>
    <col min="16" max="16" width="21.85546875" style="549" bestFit="1" customWidth="1"/>
    <col min="17" max="17" width="15.28515625" style="549" bestFit="1" customWidth="1"/>
    <col min="18" max="27" width="10.140625" style="549" bestFit="1" customWidth="1"/>
    <col min="28" max="28" width="18.7109375" style="549" customWidth="1"/>
    <col min="29" max="76" width="10.140625" style="549" bestFit="1" customWidth="1"/>
    <col min="77" max="80" width="10.5703125" style="549" bestFit="1" customWidth="1"/>
    <col min="81" max="82" width="17.85546875" style="550" bestFit="1" customWidth="1"/>
    <col min="83" max="83" width="17.85546875" style="550" customWidth="1"/>
    <col min="84" max="84" width="24.140625" style="550" customWidth="1"/>
    <col min="85" max="85" width="24.7109375" style="550" customWidth="1"/>
    <col min="86" max="102" width="15.7109375" style="550" bestFit="1" customWidth="1"/>
    <col min="103" max="103" width="20.85546875" style="550" customWidth="1"/>
    <col min="104" max="104" width="13.85546875" style="550" customWidth="1"/>
    <col min="105" max="142" width="9.140625" style="550"/>
    <col min="143" max="143" width="13.28515625" style="550" customWidth="1"/>
    <col min="144" max="16384" width="9.140625" style="550"/>
  </cols>
  <sheetData>
    <row r="1" spans="1:152">
      <c r="C1" s="156"/>
      <c r="D1" s="549" t="s">
        <v>109</v>
      </c>
      <c r="E1" s="549" t="s">
        <v>108</v>
      </c>
      <c r="F1" s="1" t="s">
        <v>3</v>
      </c>
      <c r="G1" s="549" t="s">
        <v>107</v>
      </c>
      <c r="H1" s="1" t="s">
        <v>0</v>
      </c>
      <c r="I1" s="1" t="s">
        <v>1</v>
      </c>
      <c r="J1" s="1" t="s">
        <v>2</v>
      </c>
      <c r="K1" s="2" t="s">
        <v>4</v>
      </c>
      <c r="L1" s="2" t="s">
        <v>6</v>
      </c>
      <c r="M1" s="2" t="s">
        <v>7</v>
      </c>
      <c r="N1" s="2" t="s">
        <v>5</v>
      </c>
      <c r="O1" s="2" t="s">
        <v>9</v>
      </c>
      <c r="P1" s="2" t="s">
        <v>10</v>
      </c>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3"/>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row>
    <row r="2" spans="1:152">
      <c r="A2" s="551" t="s">
        <v>20</v>
      </c>
      <c r="B2" s="551"/>
      <c r="C2" s="1">
        <v>1</v>
      </c>
      <c r="D2" s="548" t="str">
        <f>'Bond Data'!B149</f>
        <v>EG750226 Corp</v>
      </c>
      <c r="E2" s="192" t="str">
        <f>'Bond Data'!C149</f>
        <v>8/29/2019</v>
      </c>
      <c r="F2" s="192" t="str">
        <f>'Bond Data'!D149</f>
        <v>8/29/2022</v>
      </c>
      <c r="G2" s="548">
        <f>'Bond Data'!E149</f>
        <v>2</v>
      </c>
      <c r="H2" s="548">
        <f>'Bond Data'!F149</f>
        <v>109.5145</v>
      </c>
      <c r="I2" s="548">
        <f>'Bond Data'!G149</f>
        <v>1.5797260274254143</v>
      </c>
      <c r="J2" s="548">
        <f>'Bond Data'!H149/100</f>
        <v>4.6500000000000007E-2</v>
      </c>
      <c r="K2" s="548">
        <f>'Bond Data'!I149</f>
        <v>111.09422602742541</v>
      </c>
      <c r="L2" s="549">
        <f>YIELD($B$3,F2,J2,H2,100,G2,0)</f>
        <v>1.5533297930223003E-2</v>
      </c>
      <c r="M2" s="549">
        <f>MDURATION($B$3,F2,J2,L2,G2,0)</f>
        <v>2.9220045112132316</v>
      </c>
      <c r="N2" s="549">
        <f>DURATION($B$3,F2,J2,L2,G2,0)</f>
        <v>2.9446986945262972</v>
      </c>
      <c r="O2" s="549">
        <f>1/M2</f>
        <v>0.34223082002867777</v>
      </c>
      <c r="P2" s="549">
        <f>O2/$O$38</f>
        <v>1.9916806263614129E-2</v>
      </c>
      <c r="BO2" s="3"/>
    </row>
    <row r="3" spans="1:152">
      <c r="A3" s="551" t="s">
        <v>21</v>
      </c>
      <c r="B3" s="229">
        <f>'Instructions &amp; Dashboard'!$D$45</f>
        <v>43648</v>
      </c>
      <c r="C3" s="1">
        <f>C2+1</f>
        <v>2</v>
      </c>
      <c r="D3" s="548" t="str">
        <f>'Bond Data'!B150</f>
        <v>EH201225 Corp</v>
      </c>
      <c r="E3" s="192" t="str">
        <f>'Bond Data'!C150</f>
        <v>8/20/2019</v>
      </c>
      <c r="F3" s="192" t="str">
        <f>'Bond Data'!D150</f>
        <v>2/20/2023</v>
      </c>
      <c r="G3" s="548">
        <f>'Bond Data'!E150</f>
        <v>2</v>
      </c>
      <c r="H3" s="548">
        <f>'Bond Data'!F150</f>
        <v>104.20400000000001</v>
      </c>
      <c r="I3" s="548">
        <f>'Bond Data'!G150</f>
        <v>0.98747945205479448</v>
      </c>
      <c r="J3" s="548">
        <f>'Bond Data'!H150/100</f>
        <v>2.7099999999999999E-2</v>
      </c>
      <c r="K3" s="548">
        <f>'Bond Data'!I150</f>
        <v>105.19147945205481</v>
      </c>
      <c r="L3" s="549">
        <f t="shared" ref="L3:L28" si="0">YIELD($B$3,F3,J3,H3,100,G3,0)</f>
        <v>1.5161113285415601E-2</v>
      </c>
      <c r="M3" s="549">
        <f t="shared" ref="M3:M28" si="1">MDURATION($B$3,F3,J3,L3,G3,0)</f>
        <v>3.4300498598458216</v>
      </c>
      <c r="N3" s="549">
        <f t="shared" ref="N3:N28" si="2">DURATION($B$3,F3,J3,L3,G3,0)</f>
        <v>3.456051547095695</v>
      </c>
      <c r="O3" s="549">
        <f t="shared" ref="O3:O28" si="3">1/M3</f>
        <v>0.29154095154901022</v>
      </c>
      <c r="P3" s="549">
        <f t="shared" ref="P3:P37" si="4">O3/$O$38</f>
        <v>1.6966808101692245E-2</v>
      </c>
      <c r="BO3" s="3"/>
    </row>
    <row r="4" spans="1:152">
      <c r="A4" s="551" t="s">
        <v>46</v>
      </c>
      <c r="B4" s="551"/>
      <c r="C4" s="1">
        <f t="shared" ref="C4:C37" si="5">C3+1</f>
        <v>3</v>
      </c>
      <c r="D4" s="548" t="str">
        <f>'Bond Data'!B151</f>
        <v>EH418686 Corp</v>
      </c>
      <c r="E4" s="192"/>
      <c r="F4" s="192"/>
      <c r="G4" s="548"/>
      <c r="H4" s="548"/>
      <c r="I4" s="548"/>
      <c r="J4" s="548"/>
      <c r="K4" s="548"/>
      <c r="BO4" s="3"/>
    </row>
    <row r="5" spans="1:152">
      <c r="A5" s="551" t="s">
        <v>50</v>
      </c>
      <c r="B5" s="238">
        <f>'Instructions &amp; Dashboard'!$D$40/100</f>
        <v>4.2000000000000003E-2</v>
      </c>
      <c r="C5" s="1">
        <f t="shared" si="5"/>
        <v>4</v>
      </c>
      <c r="D5" s="548" t="str">
        <f>'Bond Data'!B152</f>
        <v>EH518212 Corp</v>
      </c>
      <c r="E5" s="192" t="str">
        <f>'Bond Data'!C152</f>
        <v>8/27/2019</v>
      </c>
      <c r="F5" s="192" t="str">
        <f>'Bond Data'!D152</f>
        <v>8/28/2023</v>
      </c>
      <c r="G5" s="548">
        <f>'Bond Data'!E152</f>
        <v>2</v>
      </c>
      <c r="H5" s="548">
        <f>'Bond Data'!F152</f>
        <v>107.19200000000001</v>
      </c>
      <c r="I5" s="548">
        <f>'Bond Data'!G152</f>
        <v>1.128821917922652</v>
      </c>
      <c r="J5" s="548">
        <f>'Bond Data'!H152/100</f>
        <v>3.27E-2</v>
      </c>
      <c r="K5" s="548">
        <f>'Bond Data'!I152</f>
        <v>108.32082191792266</v>
      </c>
      <c r="L5" s="549">
        <f t="shared" si="0"/>
        <v>1.4810908379037827E-2</v>
      </c>
      <c r="M5" s="549">
        <f t="shared" si="1"/>
        <v>3.8659814103815506</v>
      </c>
      <c r="N5" s="549">
        <f t="shared" si="2"/>
        <v>3.8946107586136631</v>
      </c>
      <c r="O5" s="549">
        <f t="shared" si="3"/>
        <v>0.25866653091363562</v>
      </c>
      <c r="P5" s="549">
        <f t="shared" si="4"/>
        <v>1.5053615517902016E-2</v>
      </c>
      <c r="BO5" s="3"/>
    </row>
    <row r="6" spans="1:152">
      <c r="A6" s="551" t="s">
        <v>11</v>
      </c>
      <c r="B6" s="551">
        <v>-2.231223538508004E-2</v>
      </c>
      <c r="C6" s="1">
        <f t="shared" si="5"/>
        <v>5</v>
      </c>
      <c r="D6" s="548"/>
      <c r="E6" s="192"/>
      <c r="F6" s="192"/>
      <c r="G6" s="548"/>
      <c r="H6" s="548"/>
      <c r="I6" s="548"/>
      <c r="J6" s="548"/>
      <c r="K6" s="548"/>
      <c r="BO6" s="3"/>
    </row>
    <row r="7" spans="1:152">
      <c r="A7" s="551" t="s">
        <v>12</v>
      </c>
      <c r="B7" s="551">
        <v>0.29503329293762037</v>
      </c>
      <c r="C7" s="1">
        <f t="shared" si="5"/>
        <v>6</v>
      </c>
      <c r="D7" s="548" t="str">
        <f>'Bond Data'!B154</f>
        <v>EH719682 Corp</v>
      </c>
      <c r="E7" s="192" t="str">
        <f>'Bond Data'!C154</f>
        <v>8/20/2019</v>
      </c>
      <c r="F7" s="192" t="str">
        <f>'Bond Data'!D154</f>
        <v>2/20/2024</v>
      </c>
      <c r="G7" s="548">
        <f>'Bond Data'!E154</f>
        <v>2</v>
      </c>
      <c r="H7" s="548">
        <f>'Bond Data'!F154</f>
        <v>101.2915</v>
      </c>
      <c r="I7" s="548">
        <f>'Bond Data'!G154</f>
        <v>0.63038356164383558</v>
      </c>
      <c r="J7" s="548">
        <f>'Bond Data'!H154/100</f>
        <v>1.7299999999999999E-2</v>
      </c>
      <c r="K7" s="548">
        <f>'Bond Data'!I154</f>
        <v>101.92188356164384</v>
      </c>
      <c r="L7" s="549">
        <f t="shared" si="0"/>
        <v>1.4407136994650224E-2</v>
      </c>
      <c r="M7" s="549">
        <f t="shared" si="1"/>
        <v>4.4145400711945531</v>
      </c>
      <c r="N7" s="549">
        <f t="shared" si="2"/>
        <v>4.4463405129815889</v>
      </c>
      <c r="O7" s="549">
        <f t="shared" si="3"/>
        <v>0.22652416421024918</v>
      </c>
      <c r="P7" s="549">
        <f t="shared" si="4"/>
        <v>1.318302627514549E-2</v>
      </c>
      <c r="BO7" s="3"/>
    </row>
    <row r="8" spans="1:152">
      <c r="A8" s="551" t="s">
        <v>51</v>
      </c>
      <c r="B8" s="551">
        <v>-0.32428276115887644</v>
      </c>
      <c r="C8" s="1">
        <f t="shared" si="5"/>
        <v>7</v>
      </c>
      <c r="D8" s="548"/>
      <c r="E8" s="192"/>
      <c r="F8" s="192"/>
      <c r="G8" s="548"/>
      <c r="H8" s="548"/>
      <c r="I8" s="548"/>
      <c r="J8" s="548"/>
      <c r="K8" s="548"/>
      <c r="BO8" s="3"/>
    </row>
    <row r="9" spans="1:152">
      <c r="A9" s="551" t="s">
        <v>53</v>
      </c>
      <c r="B9" s="551">
        <v>12.018365722420603</v>
      </c>
      <c r="C9" s="1">
        <f t="shared" si="5"/>
        <v>8</v>
      </c>
      <c r="D9" s="548" t="str">
        <f>'Bond Data'!B156</f>
        <v>EH937830 Corp</v>
      </c>
      <c r="E9" s="192" t="str">
        <f>'Bond Data'!C156</f>
        <v>8/20/2019</v>
      </c>
      <c r="F9" s="192" t="str">
        <f>'Bond Data'!D156</f>
        <v>8/20/2024</v>
      </c>
      <c r="G9" s="548">
        <f>'Bond Data'!E156</f>
        <v>2</v>
      </c>
      <c r="H9" s="548">
        <f>'Bond Data'!F156</f>
        <v>105.809</v>
      </c>
      <c r="I9" s="548">
        <f>'Bond Data'!G156</f>
        <v>0.94739726027397264</v>
      </c>
      <c r="J9" s="548">
        <f>'Bond Data'!H156/100</f>
        <v>2.6000000000000002E-2</v>
      </c>
      <c r="K9" s="548">
        <f>'Bond Data'!I156</f>
        <v>106.75639726027397</v>
      </c>
      <c r="L9" s="549">
        <f t="shared" si="0"/>
        <v>1.4223613490428747E-2</v>
      </c>
      <c r="M9" s="549">
        <f t="shared" si="1"/>
        <v>4.7721524166590621</v>
      </c>
      <c r="N9" s="549">
        <f t="shared" si="2"/>
        <v>4.8060910424050487</v>
      </c>
      <c r="O9" s="549">
        <f t="shared" si="3"/>
        <v>0.20954904887553663</v>
      </c>
      <c r="P9" s="549">
        <f t="shared" si="4"/>
        <v>1.2195125526184177E-2</v>
      </c>
      <c r="BO9" s="3"/>
    </row>
    <row r="10" spans="1:152">
      <c r="A10" s="551" t="s">
        <v>52</v>
      </c>
      <c r="B10" s="551">
        <v>10.596488753333446</v>
      </c>
      <c r="C10" s="1">
        <f t="shared" si="5"/>
        <v>9</v>
      </c>
      <c r="D10" s="548" t="str">
        <f>'Bond Data'!B157</f>
        <v>EI064399 Corp</v>
      </c>
      <c r="E10" s="192" t="str">
        <f>'Bond Data'!C157</f>
        <v>12/9/2019</v>
      </c>
      <c r="F10" s="192" t="str">
        <f>'Bond Data'!D157</f>
        <v>12/9/2019</v>
      </c>
      <c r="G10" s="548">
        <f>'Bond Data'!E157</f>
        <v>2</v>
      </c>
      <c r="H10" s="548">
        <f>'Bond Data'!F157</f>
        <v>100.09649999999999</v>
      </c>
      <c r="I10" s="548">
        <f>'Bond Data'!G157</f>
        <v>0.13610958904109591</v>
      </c>
      <c r="J10" s="548">
        <f>'Bond Data'!H157/100</f>
        <v>2.1600000000000001E-2</v>
      </c>
      <c r="K10" s="548">
        <f>'Bond Data'!I157</f>
        <v>100.23260958904109</v>
      </c>
      <c r="L10" s="549">
        <f t="shared" si="0"/>
        <v>1.9341904380724254E-2</v>
      </c>
      <c r="M10" s="549">
        <f t="shared" si="1"/>
        <v>0.43193389902425083</v>
      </c>
      <c r="N10" s="549">
        <f t="shared" si="2"/>
        <v>0.43611111111111112</v>
      </c>
      <c r="O10" s="549">
        <f t="shared" si="3"/>
        <v>2.3151690623473273</v>
      </c>
      <c r="P10" s="549">
        <f t="shared" si="4"/>
        <v>0.13473588871516884</v>
      </c>
      <c r="BO10" s="3"/>
    </row>
    <row r="11" spans="1:152">
      <c r="A11" s="551"/>
      <c r="B11" s="551"/>
      <c r="C11" s="1">
        <f t="shared" si="5"/>
        <v>10</v>
      </c>
      <c r="D11" s="548" t="str">
        <f>'Bond Data'!B158</f>
        <v>EI147583 Corp</v>
      </c>
      <c r="E11" s="192" t="str">
        <f>'Bond Data'!C158</f>
        <v>8/26/2019</v>
      </c>
      <c r="F11" s="192" t="str">
        <f>'Bond Data'!D158</f>
        <v>2/24/2025</v>
      </c>
      <c r="G11" s="548">
        <f>'Bond Data'!E158</f>
        <v>2</v>
      </c>
      <c r="H11" s="548">
        <f>'Bond Data'!F158</f>
        <v>108.262</v>
      </c>
      <c r="I11" s="548">
        <f>'Bond Data'!G158</f>
        <v>1.0345205479452055</v>
      </c>
      <c r="J11" s="548">
        <f>'Bond Data'!H158/100</f>
        <v>2.9500000000000002E-2</v>
      </c>
      <c r="K11" s="548">
        <f>'Bond Data'!I158</f>
        <v>109.29652054794521</v>
      </c>
      <c r="L11" s="549">
        <f t="shared" si="0"/>
        <v>1.4213671754053494E-2</v>
      </c>
      <c r="M11" s="549">
        <f t="shared" si="1"/>
        <v>5.1735858055399859</v>
      </c>
      <c r="N11" s="549">
        <f t="shared" si="2"/>
        <v>5.2103536307556739</v>
      </c>
      <c r="O11" s="549">
        <f t="shared" si="3"/>
        <v>0.19328953603691634</v>
      </c>
      <c r="P11" s="549">
        <f t="shared" si="4"/>
        <v>1.1248870694078726E-2</v>
      </c>
      <c r="BO11" s="3"/>
    </row>
    <row r="12" spans="1:152">
      <c r="C12" s="1">
        <f t="shared" si="5"/>
        <v>11</v>
      </c>
      <c r="D12" s="548" t="str">
        <f>'Bond Data'!B159</f>
        <v>EI276870 Corp</v>
      </c>
      <c r="E12" s="192" t="str">
        <f>'Bond Data'!C159</f>
        <v>12/23/2019</v>
      </c>
      <c r="F12" s="192" t="str">
        <f>'Bond Data'!D159</f>
        <v>6/22/2020</v>
      </c>
      <c r="G12" s="548">
        <f>'Bond Data'!E159</f>
        <v>2</v>
      </c>
      <c r="H12" s="548">
        <f>'Bond Data'!F159</f>
        <v>100.73050000000001</v>
      </c>
      <c r="I12" s="548">
        <f>'Bond Data'!G159</f>
        <v>8.3178082191780814E-2</v>
      </c>
      <c r="J12" s="548">
        <f>'Bond Data'!H159/100</f>
        <v>2.53E-2</v>
      </c>
      <c r="K12" s="548">
        <f>'Bond Data'!I159</f>
        <v>100.81367808219179</v>
      </c>
      <c r="L12" s="549">
        <f t="shared" si="0"/>
        <v>1.7685293692053038E-2</v>
      </c>
      <c r="M12" s="549">
        <f t="shared" si="1"/>
        <v>0.95753230530190836</v>
      </c>
      <c r="N12" s="549">
        <f t="shared" si="2"/>
        <v>0.96599942532135474</v>
      </c>
      <c r="O12" s="549">
        <f t="shared" si="3"/>
        <v>1.0443511873833873</v>
      </c>
      <c r="P12" s="549">
        <f t="shared" si="4"/>
        <v>6.0778103703656265E-2</v>
      </c>
      <c r="BO12" s="3"/>
    </row>
    <row r="13" spans="1:152">
      <c r="B13" s="550"/>
      <c r="C13" s="1">
        <f t="shared" si="5"/>
        <v>12</v>
      </c>
      <c r="D13" s="548" t="str">
        <f>'Bond Data'!B160</f>
        <v>EI351037 Corp</v>
      </c>
      <c r="E13" s="192" t="str">
        <f>'Bond Data'!C160</f>
        <v>8/20/2019</v>
      </c>
      <c r="F13" s="192" t="str">
        <f>'Bond Data'!D160</f>
        <v>8/20/2025</v>
      </c>
      <c r="G13" s="548">
        <f>'Bond Data'!E160</f>
        <v>2</v>
      </c>
      <c r="H13" s="548">
        <f>'Bond Data'!F160</f>
        <v>105.66900000000001</v>
      </c>
      <c r="I13" s="548">
        <f>'Bond Data'!G160</f>
        <v>0.87087671232876718</v>
      </c>
      <c r="J13" s="548">
        <f>'Bond Data'!H160/100</f>
        <v>2.3900000000000001E-2</v>
      </c>
      <c r="K13" s="548">
        <f>'Bond Data'!I160</f>
        <v>106.53987671232878</v>
      </c>
      <c r="L13" s="549">
        <f t="shared" si="0"/>
        <v>1.4214112864661533E-2</v>
      </c>
      <c r="M13" s="549">
        <f t="shared" si="1"/>
        <v>5.6675597312608073</v>
      </c>
      <c r="N13" s="549">
        <f t="shared" si="2"/>
        <v>5.7078393981044835</v>
      </c>
      <c r="O13" s="549">
        <f t="shared" si="3"/>
        <v>0.17644278091755367</v>
      </c>
      <c r="P13" s="549">
        <f t="shared" si="4"/>
        <v>1.0268440124281479E-2</v>
      </c>
      <c r="BO13" s="3"/>
    </row>
    <row r="14" spans="1:152">
      <c r="B14" s="550"/>
      <c r="C14" s="1">
        <f t="shared" si="5"/>
        <v>13</v>
      </c>
      <c r="D14" s="548" t="str">
        <f>'Bond Data'!B161</f>
        <v>EI480933 Corp</v>
      </c>
      <c r="E14" s="192" t="str">
        <f>'Bond Data'!C161</f>
        <v>12/6/2019</v>
      </c>
      <c r="F14" s="192" t="str">
        <f>'Bond Data'!D161</f>
        <v>12/7/2020</v>
      </c>
      <c r="G14" s="548">
        <f>'Bond Data'!E161</f>
        <v>2</v>
      </c>
      <c r="H14" s="548">
        <f>'Bond Data'!F161</f>
        <v>101.03049999999999</v>
      </c>
      <c r="I14" s="548">
        <f>'Bond Data'!G161</f>
        <v>0.18049315068493152</v>
      </c>
      <c r="J14" s="548">
        <f>'Bond Data'!H161/100</f>
        <v>2.4399999999999998E-2</v>
      </c>
      <c r="K14" s="548">
        <f>'Bond Data'!I161</f>
        <v>101.21099315068493</v>
      </c>
      <c r="L14" s="549">
        <f t="shared" si="0"/>
        <v>1.7073074265245892E-2</v>
      </c>
      <c r="M14" s="549">
        <f t="shared" si="1"/>
        <v>1.4006979585088997</v>
      </c>
      <c r="N14" s="549">
        <f t="shared" si="2"/>
        <v>1.4126550686432999</v>
      </c>
      <c r="O14" s="549">
        <f t="shared" si="3"/>
        <v>0.71392979044857108</v>
      </c>
      <c r="P14" s="549">
        <f t="shared" si="4"/>
        <v>4.1548570409279041E-2</v>
      </c>
      <c r="BO14" s="3"/>
    </row>
    <row r="15" spans="1:152">
      <c r="B15" s="550"/>
      <c r="C15" s="1">
        <f t="shared" si="5"/>
        <v>14</v>
      </c>
      <c r="D15" s="548" t="str">
        <f>'Bond Data'!B162</f>
        <v>EI576731 Corp</v>
      </c>
      <c r="E15" s="192" t="str">
        <f>'Bond Data'!C162</f>
        <v>8/26/2019</v>
      </c>
      <c r="F15" s="192" t="str">
        <f>'Bond Data'!D162</f>
        <v>2/25/2026</v>
      </c>
      <c r="G15" s="548">
        <f>'Bond Data'!E162</f>
        <v>2</v>
      </c>
      <c r="H15" s="548">
        <f>'Bond Data'!F162</f>
        <v>112.0095</v>
      </c>
      <c r="I15" s="548">
        <f>'Bond Data'!G162</f>
        <v>1.1642739726027396</v>
      </c>
      <c r="J15" s="548">
        <f>'Bond Data'!H162/100</f>
        <v>3.32E-2</v>
      </c>
      <c r="K15" s="548">
        <f>'Bond Data'!I162</f>
        <v>113.17377397260275</v>
      </c>
      <c r="L15" s="549">
        <f t="shared" si="0"/>
        <v>1.4200959009003046E-2</v>
      </c>
      <c r="M15" s="549">
        <f t="shared" si="1"/>
        <v>5.957392784547646</v>
      </c>
      <c r="N15" s="549">
        <f t="shared" si="2"/>
        <v>5.9996931299145917</v>
      </c>
      <c r="O15" s="549">
        <f t="shared" si="3"/>
        <v>0.16785866505123037</v>
      </c>
      <c r="P15" s="549">
        <f t="shared" si="4"/>
        <v>9.7688703525126742E-3</v>
      </c>
      <c r="BO15" s="3"/>
    </row>
    <row r="16" spans="1:152">
      <c r="B16" s="550"/>
      <c r="C16" s="1">
        <f t="shared" si="5"/>
        <v>15</v>
      </c>
      <c r="D16" s="548" t="str">
        <f>'Bond Data'!B163</f>
        <v>EI706222 Corp</v>
      </c>
      <c r="E16" s="192" t="str">
        <f>'Bond Data'!C163</f>
        <v>12/20/2019</v>
      </c>
      <c r="F16" s="192" t="str">
        <f>'Bond Data'!D163</f>
        <v>6/21/2021</v>
      </c>
      <c r="G16" s="548">
        <f>'Bond Data'!E163</f>
        <v>2</v>
      </c>
      <c r="H16" s="548">
        <f>'Bond Data'!F163</f>
        <v>101.2915</v>
      </c>
      <c r="I16" s="548">
        <f>'Bond Data'!G163</f>
        <v>8.227397260273972E-2</v>
      </c>
      <c r="J16" s="548">
        <f>'Bond Data'!H163/100</f>
        <v>2.3099999999999999E-2</v>
      </c>
      <c r="K16" s="548">
        <f>'Bond Data'!I163</f>
        <v>101.37377397260273</v>
      </c>
      <c r="L16" s="549">
        <f t="shared" si="0"/>
        <v>1.6407530081367819E-2</v>
      </c>
      <c r="M16" s="549">
        <f t="shared" si="1"/>
        <v>1.9199540849068502</v>
      </c>
      <c r="N16" s="549">
        <f t="shared" si="2"/>
        <v>1.9357049371083273</v>
      </c>
      <c r="O16" s="549">
        <f t="shared" si="3"/>
        <v>0.520845788897351</v>
      </c>
      <c r="P16" s="549">
        <f t="shared" si="4"/>
        <v>3.0311661205202185E-2</v>
      </c>
      <c r="BO16" s="3"/>
    </row>
    <row r="17" spans="2:67">
      <c r="B17" s="550"/>
      <c r="C17" s="1">
        <f t="shared" si="5"/>
        <v>16</v>
      </c>
      <c r="D17" s="548" t="str">
        <f>'Bond Data'!B164</f>
        <v>EI785192 Corp</v>
      </c>
      <c r="E17" s="192" t="str">
        <f>'Bond Data'!C164</f>
        <v>8/26/2019</v>
      </c>
      <c r="F17" s="192" t="str">
        <f>'Bond Data'!D164</f>
        <v>8/26/2026</v>
      </c>
      <c r="G17" s="548">
        <f>'Bond Data'!E164</f>
        <v>2</v>
      </c>
      <c r="H17" s="548">
        <f>'Bond Data'!F164</f>
        <v>104.44800000000001</v>
      </c>
      <c r="I17" s="548">
        <f>'Bond Data'!G164</f>
        <v>0.72024657534246572</v>
      </c>
      <c r="J17" s="548">
        <f>'Bond Data'!H164/100</f>
        <v>2.07E-2</v>
      </c>
      <c r="K17" s="548">
        <f>'Bond Data'!I164</f>
        <v>105.16824657534248</v>
      </c>
      <c r="L17" s="549">
        <f t="shared" si="0"/>
        <v>1.4136264457089836E-2</v>
      </c>
      <c r="M17" s="549">
        <f t="shared" si="1"/>
        <v>6.6031225084947875</v>
      </c>
      <c r="N17" s="549">
        <f t="shared" si="2"/>
        <v>6.6497942515061093</v>
      </c>
      <c r="O17" s="549">
        <f t="shared" si="3"/>
        <v>0.1514435024813669</v>
      </c>
      <c r="P17" s="549">
        <f t="shared" si="4"/>
        <v>8.8135571733480838E-3</v>
      </c>
      <c r="BO17" s="3"/>
    </row>
    <row r="18" spans="2:67">
      <c r="B18" s="550"/>
      <c r="C18" s="1">
        <f t="shared" si="5"/>
        <v>17</v>
      </c>
      <c r="D18" s="548" t="str">
        <f>'Bond Data'!B165</f>
        <v>EI889260 Corp</v>
      </c>
      <c r="E18" s="192" t="str">
        <f>'Bond Data'!C165</f>
        <v>12/5/2019</v>
      </c>
      <c r="F18" s="192" t="str">
        <f>'Bond Data'!D165</f>
        <v>12/6/2021</v>
      </c>
      <c r="G18" s="548">
        <f>'Bond Data'!E165</f>
        <v>2</v>
      </c>
      <c r="H18" s="548">
        <f>'Bond Data'!F165</f>
        <v>99.010999999999996</v>
      </c>
      <c r="I18" s="548">
        <f>'Bond Data'!G165</f>
        <v>9.1287671232876719E-2</v>
      </c>
      <c r="J18" s="548">
        <f>'Bond Data'!H165/100</f>
        <v>1.1899999999999999E-2</v>
      </c>
      <c r="K18" s="548">
        <f>'Bond Data'!I165</f>
        <v>99.102287671232872</v>
      </c>
      <c r="L18" s="549">
        <f t="shared" si="0"/>
        <v>1.606876244154451E-2</v>
      </c>
      <c r="M18" s="549">
        <f t="shared" si="1"/>
        <v>2.3790837395040185</v>
      </c>
      <c r="N18" s="549">
        <f t="shared" si="2"/>
        <v>2.3981982052233342</v>
      </c>
      <c r="O18" s="549">
        <f t="shared" si="3"/>
        <v>0.42032988725671161</v>
      </c>
      <c r="P18" s="549">
        <f t="shared" si="4"/>
        <v>2.446193750345799E-2</v>
      </c>
      <c r="BO18" s="3"/>
    </row>
    <row r="19" spans="2:67">
      <c r="C19" s="1">
        <f t="shared" si="5"/>
        <v>18</v>
      </c>
      <c r="D19" s="548" t="str">
        <f>'Bond Data'!B166</f>
        <v>EJ028272 Corp</v>
      </c>
      <c r="E19" s="192" t="str">
        <f>'Bond Data'!C166</f>
        <v>8/26/2019</v>
      </c>
      <c r="F19" s="192" t="str">
        <f>'Bond Data'!D166</f>
        <v>2/24/2027</v>
      </c>
      <c r="G19" s="548">
        <f>'Bond Data'!E166</f>
        <v>2</v>
      </c>
      <c r="H19" s="548">
        <f>'Bond Data'!F166</f>
        <v>100.5415</v>
      </c>
      <c r="I19" s="548">
        <f>'Bond Data'!G166</f>
        <v>0.52953424657534243</v>
      </c>
      <c r="J19" s="548">
        <f>'Bond Data'!H166/100</f>
        <v>1.5100000000000001E-2</v>
      </c>
      <c r="K19" s="548">
        <f>'Bond Data'!I166</f>
        <v>101.07103424657534</v>
      </c>
      <c r="L19" s="549">
        <f t="shared" si="0"/>
        <v>1.4348778876751211E-2</v>
      </c>
      <c r="M19" s="549">
        <f t="shared" si="1"/>
        <v>7.1603596703290782</v>
      </c>
      <c r="N19" s="549">
        <f t="shared" si="2"/>
        <v>7.2117308791228574</v>
      </c>
      <c r="O19" s="549">
        <f t="shared" si="3"/>
        <v>0.13965778899959108</v>
      </c>
      <c r="P19" s="549">
        <f t="shared" si="4"/>
        <v>8.1276640323524121E-3</v>
      </c>
      <c r="BO19" s="3"/>
    </row>
    <row r="20" spans="2:67">
      <c r="C20" s="1">
        <f t="shared" si="5"/>
        <v>19</v>
      </c>
      <c r="D20" s="548" t="str">
        <f>'Bond Data'!B167</f>
        <v>EJ233144 Corp</v>
      </c>
      <c r="E20" s="192" t="str">
        <f>'Bond Data'!C167</f>
        <v>12/19/2019</v>
      </c>
      <c r="F20" s="192" t="str">
        <f>'Bond Data'!D167</f>
        <v>6/20/2022</v>
      </c>
      <c r="G20" s="548">
        <f>'Bond Data'!E167</f>
        <v>2</v>
      </c>
      <c r="H20" s="548">
        <f>'Bond Data'!F167</f>
        <v>98.3065</v>
      </c>
      <c r="I20" s="548">
        <f>'Bond Data'!G167</f>
        <v>3.7205479452054796E-2</v>
      </c>
      <c r="J20" s="548">
        <f>'Bond Data'!H167/100</f>
        <v>9.7000000000000003E-3</v>
      </c>
      <c r="K20" s="548">
        <f>'Bond Data'!I167</f>
        <v>98.343705479452055</v>
      </c>
      <c r="L20" s="549">
        <f t="shared" si="0"/>
        <v>1.5562993566703154E-2</v>
      </c>
      <c r="M20" s="549">
        <f t="shared" si="1"/>
        <v>2.9076935279439704</v>
      </c>
      <c r="N20" s="549">
        <f t="shared" si="2"/>
        <v>2.9303197357786388</v>
      </c>
      <c r="O20" s="549">
        <f t="shared" si="3"/>
        <v>0.34391519958676658</v>
      </c>
      <c r="P20" s="549">
        <f t="shared" si="4"/>
        <v>2.0014832096968461E-2</v>
      </c>
      <c r="BO20" s="3"/>
    </row>
    <row r="21" spans="2:67">
      <c r="C21" s="1">
        <f t="shared" si="5"/>
        <v>20</v>
      </c>
      <c r="D21" s="548" t="str">
        <f>'Bond Data'!B168</f>
        <v>EJ326015 Corp</v>
      </c>
      <c r="E21" s="192" t="str">
        <f>'Bond Data'!C168</f>
        <v>8/27/2019</v>
      </c>
      <c r="F21" s="192" t="str">
        <f>'Bond Data'!D168</f>
        <v>8/27/2027</v>
      </c>
      <c r="G21" s="548">
        <f>'Bond Data'!E168</f>
        <v>2</v>
      </c>
      <c r="H21" s="548">
        <f>'Bond Data'!F168</f>
        <v>95.027999999999992</v>
      </c>
      <c r="I21" s="548">
        <f>'Bond Data'!G168</f>
        <v>0.2761643837237569</v>
      </c>
      <c r="J21" s="548">
        <f>'Bond Data'!H168/100</f>
        <v>8.0000000000000002E-3</v>
      </c>
      <c r="K21" s="548">
        <f>'Bond Data'!I168</f>
        <v>95.304164383723744</v>
      </c>
      <c r="L21" s="549">
        <f t="shared" si="0"/>
        <v>1.4487416324679762E-2</v>
      </c>
      <c r="M21" s="549">
        <f t="shared" si="1"/>
        <v>7.8213405414870367</v>
      </c>
      <c r="N21" s="549">
        <f t="shared" si="2"/>
        <v>7.8779960498078472</v>
      </c>
      <c r="O21" s="549">
        <f t="shared" si="3"/>
        <v>0.12785532028629384</v>
      </c>
      <c r="P21" s="549">
        <f t="shared" si="4"/>
        <v>7.4407957871855676E-3</v>
      </c>
      <c r="BO21" s="3"/>
    </row>
    <row r="22" spans="2:67">
      <c r="C22" s="1">
        <f t="shared" si="5"/>
        <v>21</v>
      </c>
      <c r="D22" s="548" t="str">
        <f>'Bond Data'!B169</f>
        <v>EJ456441 Corp</v>
      </c>
      <c r="E22" s="192" t="str">
        <f>'Bond Data'!C169</f>
        <v>12/4/2019</v>
      </c>
      <c r="F22" s="192" t="str">
        <f>'Bond Data'!D169</f>
        <v>12/5/2022</v>
      </c>
      <c r="G22" s="548">
        <f>'Bond Data'!E169</f>
        <v>2</v>
      </c>
      <c r="H22" s="548">
        <f>'Bond Data'!F169</f>
        <v>96.896500000000003</v>
      </c>
      <c r="I22" s="548">
        <f>'Bond Data'!G169</f>
        <v>4.3698630136986306E-2</v>
      </c>
      <c r="J22" s="548">
        <f>'Bond Data'!H169/100</f>
        <v>5.5000000000000005E-3</v>
      </c>
      <c r="K22" s="548">
        <f>'Bond Data'!I169</f>
        <v>96.94019863013699</v>
      </c>
      <c r="L22" s="549">
        <f t="shared" si="0"/>
        <v>1.4826480397785469E-2</v>
      </c>
      <c r="M22" s="549">
        <f t="shared" si="1"/>
        <v>3.3707713018084218</v>
      </c>
      <c r="N22" s="549">
        <f t="shared" si="2"/>
        <v>3.3957596391242619</v>
      </c>
      <c r="O22" s="549">
        <f t="shared" si="3"/>
        <v>0.29666800576577212</v>
      </c>
      <c r="P22" s="549">
        <f t="shared" si="4"/>
        <v>1.7265187264415623E-2</v>
      </c>
      <c r="BO22" s="3"/>
    </row>
    <row r="23" spans="2:67">
      <c r="C23" s="1">
        <f t="shared" si="5"/>
        <v>22</v>
      </c>
      <c r="D23" s="548" t="str">
        <f>'Bond Data'!B170</f>
        <v>EJ549565 Corp</v>
      </c>
      <c r="E23" s="192" t="str">
        <f>'Bond Data'!C170</f>
        <v>8/22/2019</v>
      </c>
      <c r="F23" s="192" t="str">
        <f>'Bond Data'!D170</f>
        <v>2/22/2028</v>
      </c>
      <c r="G23" s="548">
        <f>'Bond Data'!E170</f>
        <v>2</v>
      </c>
      <c r="H23" s="548">
        <f>'Bond Data'!F170</f>
        <v>100.221</v>
      </c>
      <c r="I23" s="548">
        <f>'Bond Data'!G170</f>
        <v>0.53476712328767129</v>
      </c>
      <c r="J23" s="548">
        <f>'Bond Data'!H170/100</f>
        <v>1.49E-2</v>
      </c>
      <c r="K23" s="548">
        <f>'Bond Data'!I170</f>
        <v>100.75576712328767</v>
      </c>
      <c r="L23" s="549">
        <f t="shared" si="0"/>
        <v>1.4626071329673963E-2</v>
      </c>
      <c r="M23" s="549">
        <f t="shared" si="1"/>
        <v>8.0369005515043277</v>
      </c>
      <c r="N23" s="549">
        <f t="shared" si="2"/>
        <v>8.0956746918722278</v>
      </c>
      <c r="O23" s="549">
        <f t="shared" si="3"/>
        <v>0.12442607614608624</v>
      </c>
      <c r="P23" s="549">
        <f t="shared" si="4"/>
        <v>7.2412240736694517E-3</v>
      </c>
    </row>
    <row r="24" spans="2:67">
      <c r="C24" s="1">
        <f t="shared" si="5"/>
        <v>23</v>
      </c>
      <c r="D24" s="548" t="str">
        <f>'Bond Data'!B171</f>
        <v>EJ582764 Corp</v>
      </c>
      <c r="E24" s="192" t="str">
        <f>'Bond Data'!C171</f>
        <v>12/5/2019</v>
      </c>
      <c r="F24" s="192" t="str">
        <f>'Bond Data'!D171</f>
        <v>6/5/2023</v>
      </c>
      <c r="G24" s="548">
        <f>'Bond Data'!E171</f>
        <v>2</v>
      </c>
      <c r="H24" s="548">
        <f>'Bond Data'!F171</f>
        <v>98.460000000000008</v>
      </c>
      <c r="I24" s="548">
        <f>'Bond Data'!G171</f>
        <v>8.3616438356164391E-2</v>
      </c>
      <c r="J24" s="548">
        <f>'Bond Data'!H171/100</f>
        <v>1.09E-2</v>
      </c>
      <c r="K24" s="548">
        <f>'Bond Data'!I171</f>
        <v>98.543616438356167</v>
      </c>
      <c r="L24" s="549">
        <f t="shared" si="0"/>
        <v>1.4953802330764336E-2</v>
      </c>
      <c r="M24" s="549">
        <f t="shared" si="1"/>
        <v>3.8206246493648828</v>
      </c>
      <c r="N24" s="549">
        <f t="shared" si="2"/>
        <v>3.8491910822582067</v>
      </c>
      <c r="O24" s="549">
        <f t="shared" si="3"/>
        <v>0.26173730522474481</v>
      </c>
      <c r="P24" s="549">
        <f t="shared" si="4"/>
        <v>1.5232325363580204E-2</v>
      </c>
    </row>
    <row r="25" spans="2:67">
      <c r="C25" s="1">
        <f t="shared" si="5"/>
        <v>24</v>
      </c>
      <c r="D25" s="548" t="str">
        <f>'Bond Data'!B172</f>
        <v>EJ695516 Corp</v>
      </c>
      <c r="E25" s="192" t="str">
        <f>'Bond Data'!C172</f>
        <v>8/20/2019</v>
      </c>
      <c r="F25" s="192" t="str">
        <f>'Bond Data'!D172</f>
        <v>2/20/2020</v>
      </c>
      <c r="G25" s="548">
        <f>'Bond Data'!E172</f>
        <v>2</v>
      </c>
      <c r="H25" s="548">
        <f>'Bond Data'!F172</f>
        <v>99.692499999999995</v>
      </c>
      <c r="I25" s="548">
        <f>'Bond Data'!G172</f>
        <v>0.47734246575342471</v>
      </c>
      <c r="J25" s="548">
        <f>'Bond Data'!H172/100</f>
        <v>1.3100000000000001E-2</v>
      </c>
      <c r="K25" s="548">
        <f>'Bond Data'!I172</f>
        <v>100.16984246575342</v>
      </c>
      <c r="L25" s="549">
        <f t="shared" si="0"/>
        <v>1.7995637577203048E-2</v>
      </c>
      <c r="M25" s="549">
        <f t="shared" si="1"/>
        <v>0.62445306844303394</v>
      </c>
      <c r="N25" s="549">
        <f t="shared" si="2"/>
        <v>0.63007178399487052</v>
      </c>
      <c r="O25" s="549">
        <f t="shared" si="3"/>
        <v>1.601401371112368</v>
      </c>
      <c r="P25" s="549">
        <f t="shared" si="4"/>
        <v>9.3196751993459823E-2</v>
      </c>
    </row>
    <row r="26" spans="2:67">
      <c r="C26" s="1">
        <f t="shared" si="5"/>
        <v>25</v>
      </c>
      <c r="D26" s="548" t="str">
        <f>'Bond Data'!B173</f>
        <v>AR197762 Corp</v>
      </c>
      <c r="E26" s="192" t="str">
        <f>'Bond Data'!C173</f>
        <v>8/22/2019</v>
      </c>
      <c r="F26" s="192" t="str">
        <f>'Bond Data'!D173</f>
        <v>8/22/2028</v>
      </c>
      <c r="G26" s="548">
        <f>'Bond Data'!E173</f>
        <v>2</v>
      </c>
      <c r="H26" s="548">
        <f>'Bond Data'!F173</f>
        <v>108.64</v>
      </c>
      <c r="I26" s="548">
        <f>'Bond Data'!G173</f>
        <v>0.89367123287671246</v>
      </c>
      <c r="J26" s="548">
        <f>'Bond Data'!H173/100</f>
        <v>2.4900000000000002E-2</v>
      </c>
      <c r="K26" s="548">
        <f>'Bond Data'!I173</f>
        <v>109.53367123287671</v>
      </c>
      <c r="L26" s="549">
        <f t="shared" si="0"/>
        <v>1.4758153159786069E-2</v>
      </c>
      <c r="M26" s="549">
        <f t="shared" si="1"/>
        <v>8.1480711535158594</v>
      </c>
      <c r="N26" s="549">
        <f t="shared" si="2"/>
        <v>8.2081963945360705</v>
      </c>
      <c r="O26" s="549">
        <f t="shared" si="3"/>
        <v>0.12272843243011004</v>
      </c>
      <c r="P26" s="549">
        <f t="shared" si="4"/>
        <v>7.1424263061483778E-3</v>
      </c>
    </row>
    <row r="27" spans="2:67">
      <c r="C27" s="1">
        <f t="shared" si="5"/>
        <v>26</v>
      </c>
      <c r="D27" s="548" t="str">
        <f>'Bond Data'!B174</f>
        <v>EJ790610 Corp</v>
      </c>
      <c r="E27" s="192"/>
      <c r="F27" s="192"/>
      <c r="G27" s="548"/>
      <c r="H27" s="548"/>
      <c r="I27" s="548"/>
      <c r="J27" s="548"/>
      <c r="K27" s="548"/>
    </row>
    <row r="28" spans="2:67">
      <c r="C28" s="1">
        <f t="shared" si="5"/>
        <v>27</v>
      </c>
      <c r="D28" s="548" t="str">
        <f>'Bond Data'!B175</f>
        <v>EJ832434 Corp</v>
      </c>
      <c r="E28" s="192" t="str">
        <f>'Bond Data'!C175</f>
        <v>12/2/2019</v>
      </c>
      <c r="F28" s="192" t="str">
        <f>'Bond Data'!D175</f>
        <v>12/4/2023</v>
      </c>
      <c r="G28" s="548">
        <f>'Bond Data'!E175</f>
        <v>2</v>
      </c>
      <c r="H28" s="548">
        <f>'Bond Data'!F175</f>
        <v>102.05</v>
      </c>
      <c r="I28" s="548">
        <f>'Bond Data'!G175</f>
        <v>0.15945205479452054</v>
      </c>
      <c r="J28" s="548">
        <f>'Bond Data'!H175/100</f>
        <v>1.9400000000000001E-2</v>
      </c>
      <c r="K28" s="548">
        <f>'Bond Data'!I175</f>
        <v>102.20945205479451</v>
      </c>
      <c r="L28" s="549">
        <f t="shared" si="0"/>
        <v>1.4595139415281889E-2</v>
      </c>
      <c r="M28" s="549">
        <f t="shared" si="1"/>
        <v>4.2244391155926726</v>
      </c>
      <c r="N28" s="549">
        <f t="shared" si="2"/>
        <v>4.2552672545143952</v>
      </c>
      <c r="O28" s="549">
        <f t="shared" si="3"/>
        <v>0.23671781569982547</v>
      </c>
      <c r="P28" s="549">
        <f t="shared" si="4"/>
        <v>1.3776266187961289E-2</v>
      </c>
    </row>
    <row r="29" spans="2:67">
      <c r="C29" s="1">
        <f t="shared" si="5"/>
        <v>28</v>
      </c>
      <c r="D29" s="548"/>
      <c r="E29" s="192"/>
      <c r="F29" s="192"/>
      <c r="G29" s="548"/>
      <c r="H29" s="548"/>
      <c r="I29" s="548"/>
      <c r="J29" s="548"/>
      <c r="K29" s="548"/>
    </row>
    <row r="30" spans="2:67">
      <c r="C30" s="1">
        <f t="shared" si="5"/>
        <v>29</v>
      </c>
      <c r="D30" s="548" t="str">
        <f>'Bond Data'!B177</f>
        <v>EJ981446 Corp</v>
      </c>
      <c r="E30" s="192" t="str">
        <f>'Bond Data'!C177</f>
        <v>8/28/2019</v>
      </c>
      <c r="F30" s="192" t="str">
        <f>'Bond Data'!D177</f>
        <v>2/28/2029</v>
      </c>
      <c r="G30" s="548">
        <f>'Bond Data'!E177</f>
        <v>2</v>
      </c>
      <c r="H30" s="548">
        <f>'Bond Data'!F177</f>
        <v>108.91</v>
      </c>
      <c r="I30" s="548">
        <f>'Bond Data'!G177</f>
        <v>0.84931506837016568</v>
      </c>
      <c r="J30" s="548">
        <f>'Bond Data'!H177/100</f>
        <v>2.4799999999999999E-2</v>
      </c>
      <c r="K30" s="548">
        <f>'Bond Data'!I177</f>
        <v>109.75931506837016</v>
      </c>
      <c r="L30" s="549">
        <f t="shared" ref="L30:L37" si="6">YIELD($B$3,F30,J30,H30,100,G30,0)</f>
        <v>1.486412894562085E-2</v>
      </c>
      <c r="M30" s="549">
        <f t="shared" ref="M30:M37" si="7">MDURATION($B$3,F30,J30,L30,G30,0)</f>
        <v>8.5725580623548545</v>
      </c>
      <c r="N30" s="549">
        <f t="shared" ref="N30:N37" si="8">DURATION($B$3,F30,J30,L30,G30,0)</f>
        <v>8.6362698665711868</v>
      </c>
      <c r="O30" s="549">
        <f t="shared" ref="O30:O37" si="9">1/M30</f>
        <v>0.11665129506574648</v>
      </c>
      <c r="P30" s="549">
        <f t="shared" si="4"/>
        <v>6.7887551566205321E-3</v>
      </c>
    </row>
    <row r="31" spans="2:67">
      <c r="C31" s="1">
        <f t="shared" si="5"/>
        <v>30</v>
      </c>
      <c r="D31" s="548"/>
      <c r="E31" s="192"/>
      <c r="F31" s="192"/>
      <c r="G31" s="548"/>
      <c r="H31" s="548"/>
      <c r="I31" s="548"/>
      <c r="J31" s="548"/>
      <c r="K31" s="548"/>
    </row>
    <row r="32" spans="2:67">
      <c r="C32" s="1">
        <f t="shared" si="5"/>
        <v>31</v>
      </c>
      <c r="D32" s="548" t="str">
        <f>'Bond Data'!B179</f>
        <v>EK126316 Corp</v>
      </c>
      <c r="E32" s="192" t="str">
        <f>'Bond Data'!C179</f>
        <v>12/3/2019</v>
      </c>
      <c r="F32" s="192" t="str">
        <f>'Bond Data'!D179</f>
        <v>6/3/2024</v>
      </c>
      <c r="G32" s="548">
        <f>'Bond Data'!E179</f>
        <v>2</v>
      </c>
      <c r="H32" s="548">
        <f>'Bond Data'!F179</f>
        <v>102.5945</v>
      </c>
      <c r="I32" s="548">
        <f>'Bond Data'!G179</f>
        <v>0.1610958904109589</v>
      </c>
      <c r="J32" s="548">
        <f>'Bond Data'!H179/100</f>
        <v>1.9599999999999999E-2</v>
      </c>
      <c r="K32" s="548">
        <f>'Bond Data'!I179</f>
        <v>102.75559589041096</v>
      </c>
      <c r="L32" s="549">
        <f t="shared" si="6"/>
        <v>1.4121150730472235E-2</v>
      </c>
      <c r="M32" s="549">
        <f t="shared" si="7"/>
        <v>4.6770311573875114</v>
      </c>
      <c r="N32" s="549">
        <f t="shared" si="8"/>
        <v>4.7100536883598041</v>
      </c>
      <c r="O32" s="549">
        <f t="shared" si="9"/>
        <v>0.21381084845254236</v>
      </c>
      <c r="P32" s="549">
        <f t="shared" si="4"/>
        <v>1.2443149466583417E-2</v>
      </c>
    </row>
    <row r="33" spans="1:83">
      <c r="C33" s="1">
        <f t="shared" si="5"/>
        <v>32</v>
      </c>
      <c r="D33" s="548"/>
      <c r="E33" s="192"/>
      <c r="F33" s="192"/>
      <c r="G33" s="548"/>
      <c r="H33" s="548"/>
      <c r="I33" s="548"/>
      <c r="J33" s="548"/>
      <c r="K33" s="548"/>
    </row>
    <row r="34" spans="1:83">
      <c r="C34" s="1">
        <f t="shared" si="5"/>
        <v>33</v>
      </c>
      <c r="D34" s="548" t="str">
        <f>'Bond Data'!B181</f>
        <v>EK328628 Corp</v>
      </c>
      <c r="E34" s="192" t="str">
        <f>'Bond Data'!C181</f>
        <v>8/27/2019</v>
      </c>
      <c r="F34" s="192" t="str">
        <f>'Bond Data'!D181</f>
        <v>8/27/2029</v>
      </c>
      <c r="G34" s="548">
        <f>'Bond Data'!E181</f>
        <v>2</v>
      </c>
      <c r="H34" s="548">
        <f>'Bond Data'!F181</f>
        <v>106.94749999999999</v>
      </c>
      <c r="I34" s="548">
        <f>'Bond Data'!G181</f>
        <v>0.77326027397260289</v>
      </c>
      <c r="J34" s="548">
        <f>'Bond Data'!H181/100</f>
        <v>2.2400000000000003E-2</v>
      </c>
      <c r="K34" s="548">
        <f>'Bond Data'!I181</f>
        <v>107.72076027397259</v>
      </c>
      <c r="L34" s="549">
        <f t="shared" si="6"/>
        <v>1.4996374541339758E-2</v>
      </c>
      <c r="M34" s="549">
        <f t="shared" si="7"/>
        <v>9.0454383040222712</v>
      </c>
      <c r="N34" s="549">
        <f t="shared" si="8"/>
        <v>9.1132626943711212</v>
      </c>
      <c r="O34" s="549">
        <f t="shared" si="9"/>
        <v>0.1105529623208337</v>
      </c>
      <c r="P34" s="549">
        <f t="shared" si="4"/>
        <v>6.4338504995785266E-3</v>
      </c>
    </row>
    <row r="35" spans="1:83">
      <c r="C35" s="1">
        <f t="shared" si="5"/>
        <v>34</v>
      </c>
      <c r="D35" s="548" t="str">
        <f>'Bond Data'!B182</f>
        <v>EK441833 Corp</v>
      </c>
      <c r="E35" s="192" t="str">
        <f>'Bond Data'!C182</f>
        <v>9/30/2019</v>
      </c>
      <c r="F35" s="192" t="str">
        <f>'Bond Data'!D182</f>
        <v>9/30/2019</v>
      </c>
      <c r="G35" s="548">
        <f>'Bond Data'!E182</f>
        <v>2</v>
      </c>
      <c r="H35" s="548">
        <f>'Bond Data'!F182</f>
        <v>99.82650000000001</v>
      </c>
      <c r="I35" s="548">
        <f>'Bond Data'!G182</f>
        <v>0.39189041095887572</v>
      </c>
      <c r="J35" s="548">
        <f>'Bond Data'!H182/100</f>
        <v>1.49E-2</v>
      </c>
      <c r="K35" s="548">
        <f>'Bond Data'!I182</f>
        <v>100.21839041095889</v>
      </c>
      <c r="L35" s="549">
        <f t="shared" si="6"/>
        <v>2.1952225188184109E-2</v>
      </c>
      <c r="M35" s="549">
        <f t="shared" si="7"/>
        <v>0.24179052442418011</v>
      </c>
      <c r="N35" s="549">
        <f t="shared" si="8"/>
        <v>0.24444444444444449</v>
      </c>
      <c r="O35" s="549">
        <f t="shared" si="9"/>
        <v>4.1358113697031031</v>
      </c>
      <c r="P35" s="549">
        <f t="shared" si="4"/>
        <v>0.24069180498216611</v>
      </c>
    </row>
    <row r="36" spans="1:83">
      <c r="C36" s="1">
        <f t="shared" si="5"/>
        <v>35</v>
      </c>
      <c r="D36" s="548" t="str">
        <f>'Bond Data'!B183</f>
        <v>EK500473 Corp</v>
      </c>
      <c r="E36" s="192" t="str">
        <f>'Bond Data'!C183</f>
        <v>12/9/2019</v>
      </c>
      <c r="F36" s="192" t="str">
        <f>'Bond Data'!D183</f>
        <v>12/9/2024</v>
      </c>
      <c r="G36" s="548">
        <f>'Bond Data'!E183</f>
        <v>2</v>
      </c>
      <c r="H36" s="548">
        <f>'Bond Data'!F183</f>
        <v>102.17250000000001</v>
      </c>
      <c r="I36" s="548">
        <f>'Bond Data'!G183</f>
        <v>0.11594520547945207</v>
      </c>
      <c r="J36" s="548">
        <f>'Bond Data'!H183/100</f>
        <v>1.84E-2</v>
      </c>
      <c r="K36" s="548">
        <f>'Bond Data'!I183</f>
        <v>102.28844520547946</v>
      </c>
      <c r="L36" s="549">
        <f t="shared" si="6"/>
        <v>1.4232095300472333E-2</v>
      </c>
      <c r="M36" s="549">
        <f t="shared" si="7"/>
        <v>5.1587281036941759</v>
      </c>
      <c r="N36" s="549">
        <f t="shared" si="8"/>
        <v>5.1954378586946754</v>
      </c>
      <c r="O36" s="549">
        <f t="shared" si="9"/>
        <v>0.19384623106689766</v>
      </c>
      <c r="P36" s="549">
        <f t="shared" si="4"/>
        <v>1.1281268673486677E-2</v>
      </c>
    </row>
    <row r="37" spans="1:83">
      <c r="C37" s="1">
        <f t="shared" si="5"/>
        <v>36</v>
      </c>
      <c r="D37" s="548" t="str">
        <f>'Bond Data'!B184</f>
        <v>EK628255 Corp</v>
      </c>
      <c r="E37" s="192" t="str">
        <f>'Bond Data'!C184</f>
        <v>12/23/2019</v>
      </c>
      <c r="F37" s="192" t="str">
        <f>'Bond Data'!D184</f>
        <v>12/23/2019</v>
      </c>
      <c r="G37" s="548">
        <f>'Bond Data'!E184</f>
        <v>2</v>
      </c>
      <c r="H37" s="548">
        <f>'Bond Data'!F184</f>
        <v>99.735500000000002</v>
      </c>
      <c r="I37" s="548">
        <f>'Bond Data'!G184</f>
        <v>3.2547945205479455E-2</v>
      </c>
      <c r="J37" s="548">
        <f>'Bond Data'!H184/100</f>
        <v>1.32E-2</v>
      </c>
      <c r="K37" s="548">
        <f>'Bond Data'!I184</f>
        <v>99.768047945205481</v>
      </c>
      <c r="L37" s="549">
        <f t="shared" si="6"/>
        <v>1.881197076495222E-2</v>
      </c>
      <c r="M37" s="549">
        <f t="shared" si="7"/>
        <v>0.47057378981165515</v>
      </c>
      <c r="N37" s="549">
        <f t="shared" si="8"/>
        <v>0.47499999999999998</v>
      </c>
      <c r="O37" s="549">
        <f t="shared" si="9"/>
        <v>2.1250652323841606</v>
      </c>
      <c r="P37" s="549">
        <f t="shared" si="4"/>
        <v>0.12367241655030022</v>
      </c>
    </row>
    <row r="38" spans="1:83">
      <c r="D38" s="548"/>
      <c r="N38" s="13" t="s">
        <v>48</v>
      </c>
      <c r="O38" s="13">
        <f>SUM(O2:O37)</f>
        <v>17.183016970642367</v>
      </c>
      <c r="P38" s="550"/>
    </row>
    <row r="39" spans="1:83">
      <c r="A39" s="550"/>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3"/>
      <c r="CD39" s="3"/>
      <c r="CE39" s="3"/>
    </row>
    <row r="40" spans="1:83" s="22" customFormat="1">
      <c r="A40" s="161" t="s">
        <v>49</v>
      </c>
      <c r="B40" s="142" t="str">
        <f>IF(E2=0,F2,E2)</f>
        <v>8/29/2019</v>
      </c>
      <c r="C40" s="24">
        <f t="shared" ref="C40:AH40" si="10">B40+IF($G2=1,365,182.5)</f>
        <v>43888.5</v>
      </c>
      <c r="D40" s="24">
        <f t="shared" si="10"/>
        <v>44071</v>
      </c>
      <c r="E40" s="24">
        <f t="shared" si="10"/>
        <v>44253.5</v>
      </c>
      <c r="F40" s="24">
        <f t="shared" si="10"/>
        <v>44436</v>
      </c>
      <c r="G40" s="24">
        <f t="shared" si="10"/>
        <v>44618.5</v>
      </c>
      <c r="H40" s="24">
        <f t="shared" si="10"/>
        <v>44801</v>
      </c>
      <c r="I40" s="24">
        <f t="shared" si="10"/>
        <v>44983.5</v>
      </c>
      <c r="J40" s="24">
        <f t="shared" si="10"/>
        <v>45166</v>
      </c>
      <c r="K40" s="24">
        <f t="shared" si="10"/>
        <v>45348.5</v>
      </c>
      <c r="L40" s="24">
        <f t="shared" si="10"/>
        <v>45531</v>
      </c>
      <c r="M40" s="24">
        <f t="shared" si="10"/>
        <v>45713.5</v>
      </c>
      <c r="N40" s="24">
        <f t="shared" si="10"/>
        <v>45896</v>
      </c>
      <c r="O40" s="24">
        <f t="shared" si="10"/>
        <v>46078.5</v>
      </c>
      <c r="P40" s="24">
        <f t="shared" si="10"/>
        <v>46261</v>
      </c>
      <c r="Q40" s="24">
        <f t="shared" si="10"/>
        <v>46443.5</v>
      </c>
      <c r="R40" s="24">
        <f t="shared" si="10"/>
        <v>46626</v>
      </c>
      <c r="S40" s="24">
        <f t="shared" si="10"/>
        <v>46808.5</v>
      </c>
      <c r="T40" s="24">
        <f t="shared" si="10"/>
        <v>46991</v>
      </c>
      <c r="U40" s="24">
        <f t="shared" si="10"/>
        <v>47173.5</v>
      </c>
      <c r="V40" s="24">
        <f t="shared" si="10"/>
        <v>47356</v>
      </c>
      <c r="W40" s="24">
        <f t="shared" si="10"/>
        <v>47538.5</v>
      </c>
      <c r="X40" s="24">
        <f t="shared" si="10"/>
        <v>47721</v>
      </c>
      <c r="Y40" s="24">
        <f t="shared" si="10"/>
        <v>47903.5</v>
      </c>
      <c r="Z40" s="24">
        <f t="shared" si="10"/>
        <v>48086</v>
      </c>
      <c r="AA40" s="24">
        <f t="shared" si="10"/>
        <v>48268.5</v>
      </c>
      <c r="AB40" s="24">
        <f t="shared" si="10"/>
        <v>48451</v>
      </c>
      <c r="AC40" s="24">
        <f t="shared" si="10"/>
        <v>48633.5</v>
      </c>
      <c r="AD40" s="24">
        <f t="shared" si="10"/>
        <v>48816</v>
      </c>
      <c r="AE40" s="24">
        <f t="shared" si="10"/>
        <v>48998.5</v>
      </c>
      <c r="AF40" s="24">
        <f t="shared" si="10"/>
        <v>49181</v>
      </c>
      <c r="AG40" s="24">
        <f t="shared" si="10"/>
        <v>49363.5</v>
      </c>
      <c r="AH40" s="24">
        <f t="shared" si="10"/>
        <v>49546</v>
      </c>
      <c r="AI40" s="24">
        <f t="shared" ref="AI40:BN40" si="11">AH40+IF($G2=1,365,182.5)</f>
        <v>49728.5</v>
      </c>
      <c r="AJ40" s="24">
        <f t="shared" si="11"/>
        <v>49911</v>
      </c>
      <c r="AK40" s="24">
        <f t="shared" si="11"/>
        <v>50093.5</v>
      </c>
      <c r="AL40" s="24">
        <f t="shared" si="11"/>
        <v>50276</v>
      </c>
      <c r="AM40" s="24">
        <f t="shared" si="11"/>
        <v>50458.5</v>
      </c>
      <c r="AN40" s="24">
        <f t="shared" si="11"/>
        <v>50641</v>
      </c>
      <c r="AO40" s="24">
        <f t="shared" si="11"/>
        <v>50823.5</v>
      </c>
      <c r="AP40" s="24">
        <f t="shared" si="11"/>
        <v>51006</v>
      </c>
      <c r="AQ40" s="24">
        <f t="shared" si="11"/>
        <v>51188.5</v>
      </c>
      <c r="AR40" s="24">
        <f t="shared" si="11"/>
        <v>51371</v>
      </c>
      <c r="AS40" s="24">
        <f t="shared" si="11"/>
        <v>51553.5</v>
      </c>
      <c r="AT40" s="24">
        <f t="shared" si="11"/>
        <v>51736</v>
      </c>
      <c r="AU40" s="24">
        <f t="shared" si="11"/>
        <v>51918.5</v>
      </c>
      <c r="AV40" s="24">
        <f t="shared" si="11"/>
        <v>52101</v>
      </c>
      <c r="AW40" s="24">
        <f t="shared" si="11"/>
        <v>52283.5</v>
      </c>
      <c r="AX40" s="24">
        <f t="shared" si="11"/>
        <v>52466</v>
      </c>
      <c r="AY40" s="24">
        <f t="shared" si="11"/>
        <v>52648.5</v>
      </c>
      <c r="AZ40" s="24">
        <f t="shared" si="11"/>
        <v>52831</v>
      </c>
      <c r="BA40" s="24">
        <f t="shared" si="11"/>
        <v>53013.5</v>
      </c>
      <c r="BB40" s="24">
        <f t="shared" si="11"/>
        <v>53196</v>
      </c>
      <c r="BC40" s="24">
        <f t="shared" si="11"/>
        <v>53378.5</v>
      </c>
      <c r="BD40" s="24">
        <f t="shared" si="11"/>
        <v>53561</v>
      </c>
      <c r="BE40" s="24">
        <f t="shared" si="11"/>
        <v>53743.5</v>
      </c>
      <c r="BF40" s="24">
        <f t="shared" si="11"/>
        <v>53926</v>
      </c>
      <c r="BG40" s="24">
        <f t="shared" si="11"/>
        <v>54108.5</v>
      </c>
      <c r="BH40" s="24">
        <f t="shared" si="11"/>
        <v>54291</v>
      </c>
      <c r="BI40" s="24">
        <f t="shared" si="11"/>
        <v>54473.5</v>
      </c>
      <c r="BJ40" s="24">
        <f t="shared" si="11"/>
        <v>54656</v>
      </c>
      <c r="BK40" s="24">
        <f t="shared" si="11"/>
        <v>54838.5</v>
      </c>
      <c r="BL40" s="24">
        <f t="shared" si="11"/>
        <v>55021</v>
      </c>
      <c r="BM40" s="24">
        <f t="shared" si="11"/>
        <v>55203.5</v>
      </c>
      <c r="BN40" s="24">
        <f t="shared" si="11"/>
        <v>55386</v>
      </c>
      <c r="BO40" s="24">
        <f t="shared" ref="BO40:CB40" si="12">BN40+IF($G2=1,365,182.5)</f>
        <v>55568.5</v>
      </c>
      <c r="BP40" s="24">
        <f t="shared" si="12"/>
        <v>55751</v>
      </c>
      <c r="BQ40" s="24">
        <f t="shared" si="12"/>
        <v>55933.5</v>
      </c>
      <c r="BR40" s="24">
        <f t="shared" si="12"/>
        <v>56116</v>
      </c>
      <c r="BS40" s="24">
        <f t="shared" si="12"/>
        <v>56298.5</v>
      </c>
      <c r="BT40" s="24">
        <f t="shared" si="12"/>
        <v>56481</v>
      </c>
      <c r="BU40" s="24">
        <f t="shared" si="12"/>
        <v>56663.5</v>
      </c>
      <c r="BV40" s="24">
        <f t="shared" si="12"/>
        <v>56846</v>
      </c>
      <c r="BW40" s="24">
        <f t="shared" si="12"/>
        <v>57028.5</v>
      </c>
      <c r="BX40" s="24">
        <f t="shared" si="12"/>
        <v>57211</v>
      </c>
      <c r="BY40" s="24">
        <f t="shared" si="12"/>
        <v>57393.5</v>
      </c>
      <c r="BZ40" s="24">
        <f t="shared" si="12"/>
        <v>57576</v>
      </c>
      <c r="CA40" s="24">
        <f t="shared" si="12"/>
        <v>57758.5</v>
      </c>
      <c r="CB40" s="25">
        <f t="shared" si="12"/>
        <v>57941</v>
      </c>
    </row>
    <row r="41" spans="1:83">
      <c r="A41" s="162" t="s">
        <v>22</v>
      </c>
      <c r="B41" s="104">
        <f>(IF(B40=F2,100,0)+IF(G2=1,1,0.5)*J2*100)*IF(ISBLANK(F2)=TRUE,0,1)</f>
        <v>2.3250000000000002</v>
      </c>
      <c r="C41" s="26">
        <f t="shared" ref="C41:AH41" si="13">IF(C40&gt;$F2+1,0,1)*(IF(D41=0,100,0)+IF($G2=1,1,0.5)*$J2*100)</f>
        <v>2.3250000000000002</v>
      </c>
      <c r="D41" s="26">
        <f t="shared" si="13"/>
        <v>2.3250000000000002</v>
      </c>
      <c r="E41" s="26">
        <f t="shared" si="13"/>
        <v>2.3250000000000002</v>
      </c>
      <c r="F41" s="26">
        <f t="shared" si="13"/>
        <v>2.3250000000000002</v>
      </c>
      <c r="G41" s="26">
        <f t="shared" si="13"/>
        <v>2.3250000000000002</v>
      </c>
      <c r="H41" s="26">
        <f t="shared" si="13"/>
        <v>102.325</v>
      </c>
      <c r="I41" s="26">
        <f t="shared" si="13"/>
        <v>0</v>
      </c>
      <c r="J41" s="26">
        <f t="shared" si="13"/>
        <v>0</v>
      </c>
      <c r="K41" s="26">
        <f t="shared" si="13"/>
        <v>0</v>
      </c>
      <c r="L41" s="26">
        <f t="shared" si="13"/>
        <v>0</v>
      </c>
      <c r="M41" s="26">
        <f t="shared" si="13"/>
        <v>0</v>
      </c>
      <c r="N41" s="26">
        <f t="shared" si="13"/>
        <v>0</v>
      </c>
      <c r="O41" s="26">
        <f t="shared" si="13"/>
        <v>0</v>
      </c>
      <c r="P41" s="26">
        <f t="shared" si="13"/>
        <v>0</v>
      </c>
      <c r="Q41" s="26">
        <f t="shared" si="13"/>
        <v>0</v>
      </c>
      <c r="R41" s="26">
        <f t="shared" si="13"/>
        <v>0</v>
      </c>
      <c r="S41" s="26">
        <f t="shared" si="13"/>
        <v>0</v>
      </c>
      <c r="T41" s="26">
        <f t="shared" si="13"/>
        <v>0</v>
      </c>
      <c r="U41" s="26">
        <f t="shared" si="13"/>
        <v>0</v>
      </c>
      <c r="V41" s="26">
        <f t="shared" si="13"/>
        <v>0</v>
      </c>
      <c r="W41" s="26">
        <f t="shared" si="13"/>
        <v>0</v>
      </c>
      <c r="X41" s="26">
        <f t="shared" si="13"/>
        <v>0</v>
      </c>
      <c r="Y41" s="26">
        <f t="shared" si="13"/>
        <v>0</v>
      </c>
      <c r="Z41" s="26">
        <f t="shared" si="13"/>
        <v>0</v>
      </c>
      <c r="AA41" s="26">
        <f t="shared" si="13"/>
        <v>0</v>
      </c>
      <c r="AB41" s="26">
        <f t="shared" si="13"/>
        <v>0</v>
      </c>
      <c r="AC41" s="26">
        <f t="shared" si="13"/>
        <v>0</v>
      </c>
      <c r="AD41" s="26">
        <f t="shared" si="13"/>
        <v>0</v>
      </c>
      <c r="AE41" s="26">
        <f t="shared" si="13"/>
        <v>0</v>
      </c>
      <c r="AF41" s="26">
        <f t="shared" si="13"/>
        <v>0</v>
      </c>
      <c r="AG41" s="26">
        <f t="shared" si="13"/>
        <v>0</v>
      </c>
      <c r="AH41" s="26">
        <f t="shared" si="13"/>
        <v>0</v>
      </c>
      <c r="AI41" s="26">
        <f t="shared" ref="AI41:BN41" si="14">IF(AI40&gt;$F2+1,0,1)*(IF(AJ41=0,100,0)+IF($G2=1,1,0.5)*$J2*100)</f>
        <v>0</v>
      </c>
      <c r="AJ41" s="26">
        <f t="shared" si="14"/>
        <v>0</v>
      </c>
      <c r="AK41" s="26">
        <f t="shared" si="14"/>
        <v>0</v>
      </c>
      <c r="AL41" s="26">
        <f t="shared" si="14"/>
        <v>0</v>
      </c>
      <c r="AM41" s="26">
        <f t="shared" si="14"/>
        <v>0</v>
      </c>
      <c r="AN41" s="26">
        <f t="shared" si="14"/>
        <v>0</v>
      </c>
      <c r="AO41" s="26">
        <f t="shared" si="14"/>
        <v>0</v>
      </c>
      <c r="AP41" s="26">
        <f t="shared" si="14"/>
        <v>0</v>
      </c>
      <c r="AQ41" s="26">
        <f t="shared" si="14"/>
        <v>0</v>
      </c>
      <c r="AR41" s="26">
        <f t="shared" si="14"/>
        <v>0</v>
      </c>
      <c r="AS41" s="26">
        <f t="shared" si="14"/>
        <v>0</v>
      </c>
      <c r="AT41" s="26">
        <f t="shared" si="14"/>
        <v>0</v>
      </c>
      <c r="AU41" s="26">
        <f t="shared" si="14"/>
        <v>0</v>
      </c>
      <c r="AV41" s="26">
        <f t="shared" si="14"/>
        <v>0</v>
      </c>
      <c r="AW41" s="26">
        <f t="shared" si="14"/>
        <v>0</v>
      </c>
      <c r="AX41" s="26">
        <f t="shared" si="14"/>
        <v>0</v>
      </c>
      <c r="AY41" s="26">
        <f t="shared" si="14"/>
        <v>0</v>
      </c>
      <c r="AZ41" s="26">
        <f t="shared" si="14"/>
        <v>0</v>
      </c>
      <c r="BA41" s="26">
        <f t="shared" si="14"/>
        <v>0</v>
      </c>
      <c r="BB41" s="26">
        <f t="shared" si="14"/>
        <v>0</v>
      </c>
      <c r="BC41" s="26">
        <f t="shared" si="14"/>
        <v>0</v>
      </c>
      <c r="BD41" s="26">
        <f t="shared" si="14"/>
        <v>0</v>
      </c>
      <c r="BE41" s="26">
        <f t="shared" si="14"/>
        <v>0</v>
      </c>
      <c r="BF41" s="26">
        <f t="shared" si="14"/>
        <v>0</v>
      </c>
      <c r="BG41" s="26">
        <f t="shared" si="14"/>
        <v>0</v>
      </c>
      <c r="BH41" s="26">
        <f t="shared" si="14"/>
        <v>0</v>
      </c>
      <c r="BI41" s="26">
        <f t="shared" si="14"/>
        <v>0</v>
      </c>
      <c r="BJ41" s="26">
        <f t="shared" si="14"/>
        <v>0</v>
      </c>
      <c r="BK41" s="26">
        <f t="shared" si="14"/>
        <v>0</v>
      </c>
      <c r="BL41" s="26">
        <f t="shared" si="14"/>
        <v>0</v>
      </c>
      <c r="BM41" s="26">
        <f t="shared" si="14"/>
        <v>0</v>
      </c>
      <c r="BN41" s="26">
        <f t="shared" si="14"/>
        <v>0</v>
      </c>
      <c r="BO41" s="26">
        <f t="shared" ref="BO41:CB41" si="15">IF(BO40&gt;$F2+1,0,1)*(IF(BP41=0,100,0)+IF($G2=1,1,0.5)*$J2*100)</f>
        <v>0</v>
      </c>
      <c r="BP41" s="26">
        <f t="shared" si="15"/>
        <v>0</v>
      </c>
      <c r="BQ41" s="26">
        <f t="shared" si="15"/>
        <v>0</v>
      </c>
      <c r="BR41" s="26">
        <f t="shared" si="15"/>
        <v>0</v>
      </c>
      <c r="BS41" s="26">
        <f t="shared" si="15"/>
        <v>0</v>
      </c>
      <c r="BT41" s="26">
        <f t="shared" si="15"/>
        <v>0</v>
      </c>
      <c r="BU41" s="26">
        <f t="shared" si="15"/>
        <v>0</v>
      </c>
      <c r="BV41" s="26">
        <f t="shared" si="15"/>
        <v>0</v>
      </c>
      <c r="BW41" s="26">
        <f t="shared" si="15"/>
        <v>0</v>
      </c>
      <c r="BX41" s="26">
        <f t="shared" si="15"/>
        <v>0</v>
      </c>
      <c r="BY41" s="26">
        <f t="shared" si="15"/>
        <v>0</v>
      </c>
      <c r="BZ41" s="26">
        <f t="shared" si="15"/>
        <v>0</v>
      </c>
      <c r="CA41" s="26">
        <f t="shared" si="15"/>
        <v>0</v>
      </c>
      <c r="CB41" s="27">
        <f t="shared" si="15"/>
        <v>0</v>
      </c>
    </row>
    <row r="42" spans="1:83" s="22" customFormat="1">
      <c r="A42" s="264" t="s">
        <v>49</v>
      </c>
      <c r="B42" s="142" t="str">
        <f>IF(E3=0,F3,E3)</f>
        <v>8/20/2019</v>
      </c>
      <c r="C42" s="28">
        <f t="shared" ref="C42:AH42" si="16">B42+IF($G3=1,365,182.5)</f>
        <v>43879.5</v>
      </c>
      <c r="D42" s="28">
        <f t="shared" si="16"/>
        <v>44062</v>
      </c>
      <c r="E42" s="28">
        <f t="shared" si="16"/>
        <v>44244.5</v>
      </c>
      <c r="F42" s="28">
        <f t="shared" si="16"/>
        <v>44427</v>
      </c>
      <c r="G42" s="28">
        <f t="shared" si="16"/>
        <v>44609.5</v>
      </c>
      <c r="H42" s="28">
        <f t="shared" si="16"/>
        <v>44792</v>
      </c>
      <c r="I42" s="28">
        <f t="shared" si="16"/>
        <v>44974.5</v>
      </c>
      <c r="J42" s="28">
        <f t="shared" si="16"/>
        <v>45157</v>
      </c>
      <c r="K42" s="28">
        <f t="shared" si="16"/>
        <v>45339.5</v>
      </c>
      <c r="L42" s="28">
        <f t="shared" si="16"/>
        <v>45522</v>
      </c>
      <c r="M42" s="28">
        <f t="shared" si="16"/>
        <v>45704.5</v>
      </c>
      <c r="N42" s="28">
        <f t="shared" si="16"/>
        <v>45887</v>
      </c>
      <c r="O42" s="28">
        <f t="shared" si="16"/>
        <v>46069.5</v>
      </c>
      <c r="P42" s="28">
        <f t="shared" si="16"/>
        <v>46252</v>
      </c>
      <c r="Q42" s="28">
        <f t="shared" si="16"/>
        <v>46434.5</v>
      </c>
      <c r="R42" s="28">
        <f t="shared" si="16"/>
        <v>46617</v>
      </c>
      <c r="S42" s="28">
        <f t="shared" si="16"/>
        <v>46799.5</v>
      </c>
      <c r="T42" s="28">
        <f t="shared" si="16"/>
        <v>46982</v>
      </c>
      <c r="U42" s="28">
        <f t="shared" si="16"/>
        <v>47164.5</v>
      </c>
      <c r="V42" s="28">
        <f t="shared" si="16"/>
        <v>47347</v>
      </c>
      <c r="W42" s="28">
        <f t="shared" si="16"/>
        <v>47529.5</v>
      </c>
      <c r="X42" s="28">
        <f t="shared" si="16"/>
        <v>47712</v>
      </c>
      <c r="Y42" s="28">
        <f t="shared" si="16"/>
        <v>47894.5</v>
      </c>
      <c r="Z42" s="28">
        <f t="shared" si="16"/>
        <v>48077</v>
      </c>
      <c r="AA42" s="28">
        <f t="shared" si="16"/>
        <v>48259.5</v>
      </c>
      <c r="AB42" s="28">
        <f t="shared" si="16"/>
        <v>48442</v>
      </c>
      <c r="AC42" s="28">
        <f t="shared" si="16"/>
        <v>48624.5</v>
      </c>
      <c r="AD42" s="28">
        <f t="shared" si="16"/>
        <v>48807</v>
      </c>
      <c r="AE42" s="28">
        <f t="shared" si="16"/>
        <v>48989.5</v>
      </c>
      <c r="AF42" s="28">
        <f t="shared" si="16"/>
        <v>49172</v>
      </c>
      <c r="AG42" s="28">
        <f t="shared" si="16"/>
        <v>49354.5</v>
      </c>
      <c r="AH42" s="28">
        <f t="shared" si="16"/>
        <v>49537</v>
      </c>
      <c r="AI42" s="28">
        <f t="shared" ref="AI42:BN42" si="17">AH42+IF($G3=1,365,182.5)</f>
        <v>49719.5</v>
      </c>
      <c r="AJ42" s="28">
        <f t="shared" si="17"/>
        <v>49902</v>
      </c>
      <c r="AK42" s="28">
        <f t="shared" si="17"/>
        <v>50084.5</v>
      </c>
      <c r="AL42" s="28">
        <f t="shared" si="17"/>
        <v>50267</v>
      </c>
      <c r="AM42" s="28">
        <f t="shared" si="17"/>
        <v>50449.5</v>
      </c>
      <c r="AN42" s="28">
        <f t="shared" si="17"/>
        <v>50632</v>
      </c>
      <c r="AO42" s="28">
        <f t="shared" si="17"/>
        <v>50814.5</v>
      </c>
      <c r="AP42" s="28">
        <f t="shared" si="17"/>
        <v>50997</v>
      </c>
      <c r="AQ42" s="28">
        <f t="shared" si="17"/>
        <v>51179.5</v>
      </c>
      <c r="AR42" s="28">
        <f t="shared" si="17"/>
        <v>51362</v>
      </c>
      <c r="AS42" s="28">
        <f t="shared" si="17"/>
        <v>51544.5</v>
      </c>
      <c r="AT42" s="28">
        <f t="shared" si="17"/>
        <v>51727</v>
      </c>
      <c r="AU42" s="28">
        <f t="shared" si="17"/>
        <v>51909.5</v>
      </c>
      <c r="AV42" s="28">
        <f t="shared" si="17"/>
        <v>52092</v>
      </c>
      <c r="AW42" s="28">
        <f t="shared" si="17"/>
        <v>52274.5</v>
      </c>
      <c r="AX42" s="28">
        <f t="shared" si="17"/>
        <v>52457</v>
      </c>
      <c r="AY42" s="28">
        <f t="shared" si="17"/>
        <v>52639.5</v>
      </c>
      <c r="AZ42" s="28">
        <f t="shared" si="17"/>
        <v>52822</v>
      </c>
      <c r="BA42" s="28">
        <f t="shared" si="17"/>
        <v>53004.5</v>
      </c>
      <c r="BB42" s="28">
        <f t="shared" si="17"/>
        <v>53187</v>
      </c>
      <c r="BC42" s="28">
        <f t="shared" si="17"/>
        <v>53369.5</v>
      </c>
      <c r="BD42" s="28">
        <f t="shared" si="17"/>
        <v>53552</v>
      </c>
      <c r="BE42" s="28">
        <f t="shared" si="17"/>
        <v>53734.5</v>
      </c>
      <c r="BF42" s="28">
        <f t="shared" si="17"/>
        <v>53917</v>
      </c>
      <c r="BG42" s="28">
        <f t="shared" si="17"/>
        <v>54099.5</v>
      </c>
      <c r="BH42" s="28">
        <f t="shared" si="17"/>
        <v>54282</v>
      </c>
      <c r="BI42" s="28">
        <f t="shared" si="17"/>
        <v>54464.5</v>
      </c>
      <c r="BJ42" s="28">
        <f t="shared" si="17"/>
        <v>54647</v>
      </c>
      <c r="BK42" s="28">
        <f t="shared" si="17"/>
        <v>54829.5</v>
      </c>
      <c r="BL42" s="28">
        <f t="shared" si="17"/>
        <v>55012</v>
      </c>
      <c r="BM42" s="28">
        <f t="shared" si="17"/>
        <v>55194.5</v>
      </c>
      <c r="BN42" s="28">
        <f t="shared" si="17"/>
        <v>55377</v>
      </c>
      <c r="BO42" s="28">
        <f t="shared" ref="BO42:CB42" si="18">BN42+IF($G3=1,365,182.5)</f>
        <v>55559.5</v>
      </c>
      <c r="BP42" s="28">
        <f t="shared" si="18"/>
        <v>55742</v>
      </c>
      <c r="BQ42" s="28">
        <f t="shared" si="18"/>
        <v>55924.5</v>
      </c>
      <c r="BR42" s="28">
        <f t="shared" si="18"/>
        <v>56107</v>
      </c>
      <c r="BS42" s="28">
        <f t="shared" si="18"/>
        <v>56289.5</v>
      </c>
      <c r="BT42" s="28">
        <f t="shared" si="18"/>
        <v>56472</v>
      </c>
      <c r="BU42" s="28">
        <f t="shared" si="18"/>
        <v>56654.5</v>
      </c>
      <c r="BV42" s="28">
        <f t="shared" si="18"/>
        <v>56837</v>
      </c>
      <c r="BW42" s="28">
        <f t="shared" si="18"/>
        <v>57019.5</v>
      </c>
      <c r="BX42" s="28">
        <f t="shared" si="18"/>
        <v>57202</v>
      </c>
      <c r="BY42" s="28">
        <f t="shared" si="18"/>
        <v>57384.5</v>
      </c>
      <c r="BZ42" s="28">
        <f t="shared" si="18"/>
        <v>57567</v>
      </c>
      <c r="CA42" s="28">
        <f t="shared" si="18"/>
        <v>57749.5</v>
      </c>
      <c r="CB42" s="29">
        <f t="shared" si="18"/>
        <v>57932</v>
      </c>
    </row>
    <row r="43" spans="1:83" s="7" customFormat="1">
      <c r="A43" s="163" t="s">
        <v>23</v>
      </c>
      <c r="B43" s="30">
        <f>(IF(B42=F3,100,0)+IF(G3=1,1,0.5)*J3*100)*IF(ISBLANK(F3)=TRUE,0,1)</f>
        <v>1.355</v>
      </c>
      <c r="C43" s="31">
        <f t="shared" ref="C43:AH43" si="19">IF(C42&gt;$F3+1,0,1)*(IF(D43=0,100,0)+IF($G3=1,1,0.5)*$J3*100)</f>
        <v>1.355</v>
      </c>
      <c r="D43" s="31">
        <f t="shared" si="19"/>
        <v>1.355</v>
      </c>
      <c r="E43" s="31">
        <f t="shared" si="19"/>
        <v>1.355</v>
      </c>
      <c r="F43" s="31">
        <f t="shared" si="19"/>
        <v>1.355</v>
      </c>
      <c r="G43" s="31">
        <f t="shared" si="19"/>
        <v>1.355</v>
      </c>
      <c r="H43" s="31">
        <f t="shared" si="19"/>
        <v>1.355</v>
      </c>
      <c r="I43" s="31">
        <f t="shared" si="19"/>
        <v>101.355</v>
      </c>
      <c r="J43" s="31">
        <f t="shared" si="19"/>
        <v>0</v>
      </c>
      <c r="K43" s="31">
        <f t="shared" si="19"/>
        <v>0</v>
      </c>
      <c r="L43" s="31">
        <f t="shared" si="19"/>
        <v>0</v>
      </c>
      <c r="M43" s="31">
        <f t="shared" si="19"/>
        <v>0</v>
      </c>
      <c r="N43" s="31">
        <f t="shared" si="19"/>
        <v>0</v>
      </c>
      <c r="O43" s="31">
        <f t="shared" si="19"/>
        <v>0</v>
      </c>
      <c r="P43" s="31">
        <f t="shared" si="19"/>
        <v>0</v>
      </c>
      <c r="Q43" s="31">
        <f t="shared" si="19"/>
        <v>0</v>
      </c>
      <c r="R43" s="31">
        <f t="shared" si="19"/>
        <v>0</v>
      </c>
      <c r="S43" s="31">
        <f t="shared" si="19"/>
        <v>0</v>
      </c>
      <c r="T43" s="31">
        <f t="shared" si="19"/>
        <v>0</v>
      </c>
      <c r="U43" s="31">
        <f t="shared" si="19"/>
        <v>0</v>
      </c>
      <c r="V43" s="31">
        <f t="shared" si="19"/>
        <v>0</v>
      </c>
      <c r="W43" s="31">
        <f t="shared" si="19"/>
        <v>0</v>
      </c>
      <c r="X43" s="31">
        <f t="shared" si="19"/>
        <v>0</v>
      </c>
      <c r="Y43" s="31">
        <f t="shared" si="19"/>
        <v>0</v>
      </c>
      <c r="Z43" s="31">
        <f t="shared" si="19"/>
        <v>0</v>
      </c>
      <c r="AA43" s="31">
        <f t="shared" si="19"/>
        <v>0</v>
      </c>
      <c r="AB43" s="31">
        <f t="shared" si="19"/>
        <v>0</v>
      </c>
      <c r="AC43" s="31">
        <f t="shared" si="19"/>
        <v>0</v>
      </c>
      <c r="AD43" s="31">
        <f t="shared" si="19"/>
        <v>0</v>
      </c>
      <c r="AE43" s="31">
        <f t="shared" si="19"/>
        <v>0</v>
      </c>
      <c r="AF43" s="31">
        <f t="shared" si="19"/>
        <v>0</v>
      </c>
      <c r="AG43" s="31">
        <f t="shared" si="19"/>
        <v>0</v>
      </c>
      <c r="AH43" s="31">
        <f t="shared" si="19"/>
        <v>0</v>
      </c>
      <c r="AI43" s="31">
        <f t="shared" ref="AI43:BN43" si="20">IF(AI42&gt;$F3+1,0,1)*(IF(AJ43=0,100,0)+IF($G3=1,1,0.5)*$J3*100)</f>
        <v>0</v>
      </c>
      <c r="AJ43" s="31">
        <f t="shared" si="20"/>
        <v>0</v>
      </c>
      <c r="AK43" s="31">
        <f t="shared" si="20"/>
        <v>0</v>
      </c>
      <c r="AL43" s="31">
        <f t="shared" si="20"/>
        <v>0</v>
      </c>
      <c r="AM43" s="31">
        <f t="shared" si="20"/>
        <v>0</v>
      </c>
      <c r="AN43" s="31">
        <f t="shared" si="20"/>
        <v>0</v>
      </c>
      <c r="AO43" s="31">
        <f t="shared" si="20"/>
        <v>0</v>
      </c>
      <c r="AP43" s="31">
        <f t="shared" si="20"/>
        <v>0</v>
      </c>
      <c r="AQ43" s="31">
        <f t="shared" si="20"/>
        <v>0</v>
      </c>
      <c r="AR43" s="31">
        <f t="shared" si="20"/>
        <v>0</v>
      </c>
      <c r="AS43" s="31">
        <f t="shared" si="20"/>
        <v>0</v>
      </c>
      <c r="AT43" s="31">
        <f t="shared" si="20"/>
        <v>0</v>
      </c>
      <c r="AU43" s="31">
        <f t="shared" si="20"/>
        <v>0</v>
      </c>
      <c r="AV43" s="31">
        <f t="shared" si="20"/>
        <v>0</v>
      </c>
      <c r="AW43" s="31">
        <f t="shared" si="20"/>
        <v>0</v>
      </c>
      <c r="AX43" s="31">
        <f t="shared" si="20"/>
        <v>0</v>
      </c>
      <c r="AY43" s="31">
        <f t="shared" si="20"/>
        <v>0</v>
      </c>
      <c r="AZ43" s="31">
        <f t="shared" si="20"/>
        <v>0</v>
      </c>
      <c r="BA43" s="31">
        <f t="shared" si="20"/>
        <v>0</v>
      </c>
      <c r="BB43" s="31">
        <f t="shared" si="20"/>
        <v>0</v>
      </c>
      <c r="BC43" s="31">
        <f t="shared" si="20"/>
        <v>0</v>
      </c>
      <c r="BD43" s="31">
        <f t="shared" si="20"/>
        <v>0</v>
      </c>
      <c r="BE43" s="31">
        <f t="shared" si="20"/>
        <v>0</v>
      </c>
      <c r="BF43" s="31">
        <f t="shared" si="20"/>
        <v>0</v>
      </c>
      <c r="BG43" s="31">
        <f t="shared" si="20"/>
        <v>0</v>
      </c>
      <c r="BH43" s="31">
        <f t="shared" si="20"/>
        <v>0</v>
      </c>
      <c r="BI43" s="31">
        <f t="shared" si="20"/>
        <v>0</v>
      </c>
      <c r="BJ43" s="31">
        <f t="shared" si="20"/>
        <v>0</v>
      </c>
      <c r="BK43" s="31">
        <f t="shared" si="20"/>
        <v>0</v>
      </c>
      <c r="BL43" s="31">
        <f t="shared" si="20"/>
        <v>0</v>
      </c>
      <c r="BM43" s="31">
        <f t="shared" si="20"/>
        <v>0</v>
      </c>
      <c r="BN43" s="31">
        <f t="shared" si="20"/>
        <v>0</v>
      </c>
      <c r="BO43" s="31">
        <f t="shared" ref="BO43:CB43" si="21">IF(BO42&gt;$F3+1,0,1)*(IF(BP43=0,100,0)+IF($G3=1,1,0.5)*$J3*100)</f>
        <v>0</v>
      </c>
      <c r="BP43" s="31">
        <f t="shared" si="21"/>
        <v>0</v>
      </c>
      <c r="BQ43" s="31">
        <f t="shared" si="21"/>
        <v>0</v>
      </c>
      <c r="BR43" s="31">
        <f t="shared" si="21"/>
        <v>0</v>
      </c>
      <c r="BS43" s="31">
        <f t="shared" si="21"/>
        <v>0</v>
      </c>
      <c r="BT43" s="31">
        <f t="shared" si="21"/>
        <v>0</v>
      </c>
      <c r="BU43" s="31">
        <f t="shared" si="21"/>
        <v>0</v>
      </c>
      <c r="BV43" s="31">
        <f t="shared" si="21"/>
        <v>0</v>
      </c>
      <c r="BW43" s="31">
        <f t="shared" si="21"/>
        <v>0</v>
      </c>
      <c r="BX43" s="31">
        <f t="shared" si="21"/>
        <v>0</v>
      </c>
      <c r="BY43" s="31">
        <f t="shared" si="21"/>
        <v>0</v>
      </c>
      <c r="BZ43" s="31">
        <f t="shared" si="21"/>
        <v>0</v>
      </c>
      <c r="CA43" s="31">
        <f t="shared" si="21"/>
        <v>0</v>
      </c>
      <c r="CB43" s="32">
        <f t="shared" si="21"/>
        <v>0</v>
      </c>
    </row>
    <row r="44" spans="1:83">
      <c r="A44" s="263" t="s">
        <v>49</v>
      </c>
      <c r="B44" s="142">
        <f>IF(E4=0,F4,E4)</f>
        <v>0</v>
      </c>
      <c r="C44" s="33">
        <f t="shared" ref="C44:AH44" si="22">B44+IF($G4=1,365,182.5)</f>
        <v>182.5</v>
      </c>
      <c r="D44" s="33">
        <f t="shared" si="22"/>
        <v>365</v>
      </c>
      <c r="E44" s="33">
        <f t="shared" si="22"/>
        <v>547.5</v>
      </c>
      <c r="F44" s="33">
        <f t="shared" si="22"/>
        <v>730</v>
      </c>
      <c r="G44" s="33">
        <f t="shared" si="22"/>
        <v>912.5</v>
      </c>
      <c r="H44" s="33">
        <f t="shared" si="22"/>
        <v>1095</v>
      </c>
      <c r="I44" s="33">
        <f t="shared" si="22"/>
        <v>1277.5</v>
      </c>
      <c r="J44" s="33">
        <f t="shared" si="22"/>
        <v>1460</v>
      </c>
      <c r="K44" s="33">
        <f t="shared" si="22"/>
        <v>1642.5</v>
      </c>
      <c r="L44" s="33">
        <f t="shared" si="22"/>
        <v>1825</v>
      </c>
      <c r="M44" s="33">
        <f t="shared" si="22"/>
        <v>2007.5</v>
      </c>
      <c r="N44" s="33">
        <f t="shared" si="22"/>
        <v>2190</v>
      </c>
      <c r="O44" s="33">
        <f t="shared" si="22"/>
        <v>2372.5</v>
      </c>
      <c r="P44" s="33">
        <f t="shared" si="22"/>
        <v>2555</v>
      </c>
      <c r="Q44" s="33">
        <f t="shared" si="22"/>
        <v>2737.5</v>
      </c>
      <c r="R44" s="33">
        <f t="shared" si="22"/>
        <v>2920</v>
      </c>
      <c r="S44" s="33">
        <f t="shared" si="22"/>
        <v>3102.5</v>
      </c>
      <c r="T44" s="33">
        <f t="shared" si="22"/>
        <v>3285</v>
      </c>
      <c r="U44" s="33">
        <f t="shared" si="22"/>
        <v>3467.5</v>
      </c>
      <c r="V44" s="33">
        <f t="shared" si="22"/>
        <v>3650</v>
      </c>
      <c r="W44" s="33">
        <f t="shared" si="22"/>
        <v>3832.5</v>
      </c>
      <c r="X44" s="33">
        <f t="shared" si="22"/>
        <v>4015</v>
      </c>
      <c r="Y44" s="33">
        <f t="shared" si="22"/>
        <v>4197.5</v>
      </c>
      <c r="Z44" s="33">
        <f t="shared" si="22"/>
        <v>4380</v>
      </c>
      <c r="AA44" s="33">
        <f t="shared" si="22"/>
        <v>4562.5</v>
      </c>
      <c r="AB44" s="33">
        <f t="shared" si="22"/>
        <v>4745</v>
      </c>
      <c r="AC44" s="33">
        <f t="shared" si="22"/>
        <v>4927.5</v>
      </c>
      <c r="AD44" s="33">
        <f t="shared" si="22"/>
        <v>5110</v>
      </c>
      <c r="AE44" s="33">
        <f t="shared" si="22"/>
        <v>5292.5</v>
      </c>
      <c r="AF44" s="33">
        <f t="shared" si="22"/>
        <v>5475</v>
      </c>
      <c r="AG44" s="33">
        <f t="shared" si="22"/>
        <v>5657.5</v>
      </c>
      <c r="AH44" s="33">
        <f t="shared" si="22"/>
        <v>5840</v>
      </c>
      <c r="AI44" s="33">
        <f t="shared" ref="AI44:BN44" si="23">AH44+IF($G4=1,365,182.5)</f>
        <v>6022.5</v>
      </c>
      <c r="AJ44" s="33">
        <f t="shared" si="23"/>
        <v>6205</v>
      </c>
      <c r="AK44" s="33">
        <f t="shared" si="23"/>
        <v>6387.5</v>
      </c>
      <c r="AL44" s="33">
        <f t="shared" si="23"/>
        <v>6570</v>
      </c>
      <c r="AM44" s="33">
        <f t="shared" si="23"/>
        <v>6752.5</v>
      </c>
      <c r="AN44" s="33">
        <f t="shared" si="23"/>
        <v>6935</v>
      </c>
      <c r="AO44" s="33">
        <f t="shared" si="23"/>
        <v>7117.5</v>
      </c>
      <c r="AP44" s="33">
        <f t="shared" si="23"/>
        <v>7300</v>
      </c>
      <c r="AQ44" s="33">
        <f t="shared" si="23"/>
        <v>7482.5</v>
      </c>
      <c r="AR44" s="33">
        <f t="shared" si="23"/>
        <v>7665</v>
      </c>
      <c r="AS44" s="33">
        <f t="shared" si="23"/>
        <v>7847.5</v>
      </c>
      <c r="AT44" s="33">
        <f t="shared" si="23"/>
        <v>8030</v>
      </c>
      <c r="AU44" s="33">
        <f t="shared" si="23"/>
        <v>8212.5</v>
      </c>
      <c r="AV44" s="33">
        <f t="shared" si="23"/>
        <v>8395</v>
      </c>
      <c r="AW44" s="33">
        <f t="shared" si="23"/>
        <v>8577.5</v>
      </c>
      <c r="AX44" s="33">
        <f t="shared" si="23"/>
        <v>8760</v>
      </c>
      <c r="AY44" s="33">
        <f t="shared" si="23"/>
        <v>8942.5</v>
      </c>
      <c r="AZ44" s="33">
        <f t="shared" si="23"/>
        <v>9125</v>
      </c>
      <c r="BA44" s="33">
        <f t="shared" si="23"/>
        <v>9307.5</v>
      </c>
      <c r="BB44" s="33">
        <f t="shared" si="23"/>
        <v>9490</v>
      </c>
      <c r="BC44" s="33">
        <f t="shared" si="23"/>
        <v>9672.5</v>
      </c>
      <c r="BD44" s="33">
        <f t="shared" si="23"/>
        <v>9855</v>
      </c>
      <c r="BE44" s="33">
        <f t="shared" si="23"/>
        <v>10037.5</v>
      </c>
      <c r="BF44" s="33">
        <f t="shared" si="23"/>
        <v>10220</v>
      </c>
      <c r="BG44" s="33">
        <f t="shared" si="23"/>
        <v>10402.5</v>
      </c>
      <c r="BH44" s="33">
        <f t="shared" si="23"/>
        <v>10585</v>
      </c>
      <c r="BI44" s="33">
        <f t="shared" si="23"/>
        <v>10767.5</v>
      </c>
      <c r="BJ44" s="33">
        <f t="shared" si="23"/>
        <v>10950</v>
      </c>
      <c r="BK44" s="33">
        <f t="shared" si="23"/>
        <v>11132.5</v>
      </c>
      <c r="BL44" s="33">
        <f t="shared" si="23"/>
        <v>11315</v>
      </c>
      <c r="BM44" s="33">
        <f t="shared" si="23"/>
        <v>11497.5</v>
      </c>
      <c r="BN44" s="33">
        <f t="shared" si="23"/>
        <v>11680</v>
      </c>
      <c r="BO44" s="33">
        <f t="shared" ref="BO44:CB44" si="24">BN44+IF($G4=1,365,182.5)</f>
        <v>11862.5</v>
      </c>
      <c r="BP44" s="33">
        <f t="shared" si="24"/>
        <v>12045</v>
      </c>
      <c r="BQ44" s="33">
        <f t="shared" si="24"/>
        <v>12227.5</v>
      </c>
      <c r="BR44" s="33">
        <f t="shared" si="24"/>
        <v>12410</v>
      </c>
      <c r="BS44" s="33">
        <f t="shared" si="24"/>
        <v>12592.5</v>
      </c>
      <c r="BT44" s="33">
        <f t="shared" si="24"/>
        <v>12775</v>
      </c>
      <c r="BU44" s="33">
        <f t="shared" si="24"/>
        <v>12957.5</v>
      </c>
      <c r="BV44" s="33">
        <f t="shared" si="24"/>
        <v>13140</v>
      </c>
      <c r="BW44" s="33">
        <f t="shared" si="24"/>
        <v>13322.5</v>
      </c>
      <c r="BX44" s="33">
        <f t="shared" si="24"/>
        <v>13505</v>
      </c>
      <c r="BY44" s="33">
        <f t="shared" si="24"/>
        <v>13687.5</v>
      </c>
      <c r="BZ44" s="33">
        <f t="shared" si="24"/>
        <v>13870</v>
      </c>
      <c r="CA44" s="33">
        <f t="shared" si="24"/>
        <v>14052.5</v>
      </c>
      <c r="CB44" s="34">
        <f t="shared" si="24"/>
        <v>14235</v>
      </c>
    </row>
    <row r="45" spans="1:83">
      <c r="A45" s="164" t="s">
        <v>19</v>
      </c>
      <c r="B45" s="105">
        <f>(IF(B44=F4,100,0)+IF(G4=1,1,0.5)*J4*100)*IF(ISBLANK(F4)=TRUE,0,1)</f>
        <v>0</v>
      </c>
      <c r="C45" s="35">
        <f t="shared" ref="C45:AH45" si="25">IF(C44&gt;$F4+1,0,1)*(IF(D45=0,100,0)+IF($G4=1,1,0.5)*$J4*100)</f>
        <v>0</v>
      </c>
      <c r="D45" s="35">
        <f t="shared" si="25"/>
        <v>0</v>
      </c>
      <c r="E45" s="35">
        <f t="shared" si="25"/>
        <v>0</v>
      </c>
      <c r="F45" s="35">
        <f t="shared" si="25"/>
        <v>0</v>
      </c>
      <c r="G45" s="35">
        <f t="shared" si="25"/>
        <v>0</v>
      </c>
      <c r="H45" s="35">
        <f t="shared" si="25"/>
        <v>0</v>
      </c>
      <c r="I45" s="35">
        <f t="shared" si="25"/>
        <v>0</v>
      </c>
      <c r="J45" s="35">
        <f t="shared" si="25"/>
        <v>0</v>
      </c>
      <c r="K45" s="35">
        <f t="shared" si="25"/>
        <v>0</v>
      </c>
      <c r="L45" s="35">
        <f t="shared" si="25"/>
        <v>0</v>
      </c>
      <c r="M45" s="35">
        <f t="shared" si="25"/>
        <v>0</v>
      </c>
      <c r="N45" s="35">
        <f t="shared" si="25"/>
        <v>0</v>
      </c>
      <c r="O45" s="35">
        <f t="shared" si="25"/>
        <v>0</v>
      </c>
      <c r="P45" s="35">
        <f t="shared" si="25"/>
        <v>0</v>
      </c>
      <c r="Q45" s="35">
        <f t="shared" si="25"/>
        <v>0</v>
      </c>
      <c r="R45" s="35">
        <f t="shared" si="25"/>
        <v>0</v>
      </c>
      <c r="S45" s="35">
        <f t="shared" si="25"/>
        <v>0</v>
      </c>
      <c r="T45" s="35">
        <f t="shared" si="25"/>
        <v>0</v>
      </c>
      <c r="U45" s="35">
        <f t="shared" si="25"/>
        <v>0</v>
      </c>
      <c r="V45" s="35">
        <f t="shared" si="25"/>
        <v>0</v>
      </c>
      <c r="W45" s="35">
        <f t="shared" si="25"/>
        <v>0</v>
      </c>
      <c r="X45" s="35">
        <f t="shared" si="25"/>
        <v>0</v>
      </c>
      <c r="Y45" s="35">
        <f t="shared" si="25"/>
        <v>0</v>
      </c>
      <c r="Z45" s="35">
        <f t="shared" si="25"/>
        <v>0</v>
      </c>
      <c r="AA45" s="35">
        <f t="shared" si="25"/>
        <v>0</v>
      </c>
      <c r="AB45" s="35">
        <f t="shared" si="25"/>
        <v>0</v>
      </c>
      <c r="AC45" s="35">
        <f t="shared" si="25"/>
        <v>0</v>
      </c>
      <c r="AD45" s="35">
        <f t="shared" si="25"/>
        <v>0</v>
      </c>
      <c r="AE45" s="35">
        <f t="shared" si="25"/>
        <v>0</v>
      </c>
      <c r="AF45" s="35">
        <f t="shared" si="25"/>
        <v>0</v>
      </c>
      <c r="AG45" s="35">
        <f t="shared" si="25"/>
        <v>0</v>
      </c>
      <c r="AH45" s="35">
        <f t="shared" si="25"/>
        <v>0</v>
      </c>
      <c r="AI45" s="35">
        <f t="shared" ref="AI45:BN45" si="26">IF(AI44&gt;$F4+1,0,1)*(IF(AJ45=0,100,0)+IF($G4=1,1,0.5)*$J4*100)</f>
        <v>0</v>
      </c>
      <c r="AJ45" s="35">
        <f t="shared" si="26"/>
        <v>0</v>
      </c>
      <c r="AK45" s="35">
        <f t="shared" si="26"/>
        <v>0</v>
      </c>
      <c r="AL45" s="35">
        <f t="shared" si="26"/>
        <v>0</v>
      </c>
      <c r="AM45" s="35">
        <f t="shared" si="26"/>
        <v>0</v>
      </c>
      <c r="AN45" s="35">
        <f t="shared" si="26"/>
        <v>0</v>
      </c>
      <c r="AO45" s="35">
        <f t="shared" si="26"/>
        <v>0</v>
      </c>
      <c r="AP45" s="35">
        <f t="shared" si="26"/>
        <v>0</v>
      </c>
      <c r="AQ45" s="35">
        <f t="shared" si="26"/>
        <v>0</v>
      </c>
      <c r="AR45" s="35">
        <f t="shared" si="26"/>
        <v>0</v>
      </c>
      <c r="AS45" s="35">
        <f t="shared" si="26"/>
        <v>0</v>
      </c>
      <c r="AT45" s="35">
        <f t="shared" si="26"/>
        <v>0</v>
      </c>
      <c r="AU45" s="35">
        <f t="shared" si="26"/>
        <v>0</v>
      </c>
      <c r="AV45" s="35">
        <f t="shared" si="26"/>
        <v>0</v>
      </c>
      <c r="AW45" s="35">
        <f t="shared" si="26"/>
        <v>0</v>
      </c>
      <c r="AX45" s="35">
        <f t="shared" si="26"/>
        <v>0</v>
      </c>
      <c r="AY45" s="35">
        <f t="shared" si="26"/>
        <v>0</v>
      </c>
      <c r="AZ45" s="35">
        <f t="shared" si="26"/>
        <v>0</v>
      </c>
      <c r="BA45" s="35">
        <f t="shared" si="26"/>
        <v>0</v>
      </c>
      <c r="BB45" s="35">
        <f t="shared" si="26"/>
        <v>0</v>
      </c>
      <c r="BC45" s="35">
        <f t="shared" si="26"/>
        <v>0</v>
      </c>
      <c r="BD45" s="35">
        <f t="shared" si="26"/>
        <v>0</v>
      </c>
      <c r="BE45" s="35">
        <f t="shared" si="26"/>
        <v>0</v>
      </c>
      <c r="BF45" s="35">
        <f t="shared" si="26"/>
        <v>0</v>
      </c>
      <c r="BG45" s="35">
        <f t="shared" si="26"/>
        <v>0</v>
      </c>
      <c r="BH45" s="35">
        <f t="shared" si="26"/>
        <v>0</v>
      </c>
      <c r="BI45" s="35">
        <f t="shared" si="26"/>
        <v>0</v>
      </c>
      <c r="BJ45" s="35">
        <f t="shared" si="26"/>
        <v>0</v>
      </c>
      <c r="BK45" s="35">
        <f t="shared" si="26"/>
        <v>0</v>
      </c>
      <c r="BL45" s="35">
        <f t="shared" si="26"/>
        <v>0</v>
      </c>
      <c r="BM45" s="35">
        <f t="shared" si="26"/>
        <v>0</v>
      </c>
      <c r="BN45" s="35">
        <f t="shared" si="26"/>
        <v>0</v>
      </c>
      <c r="BO45" s="35">
        <f t="shared" ref="BO45:CB45" si="27">IF(BO44&gt;$F4+1,0,1)*(IF(BP45=0,100,0)+IF($G4=1,1,0.5)*$J4*100)</f>
        <v>0</v>
      </c>
      <c r="BP45" s="35">
        <f t="shared" si="27"/>
        <v>0</v>
      </c>
      <c r="BQ45" s="35">
        <f t="shared" si="27"/>
        <v>0</v>
      </c>
      <c r="BR45" s="35">
        <f t="shared" si="27"/>
        <v>0</v>
      </c>
      <c r="BS45" s="35">
        <f t="shared" si="27"/>
        <v>0</v>
      </c>
      <c r="BT45" s="35">
        <f t="shared" si="27"/>
        <v>0</v>
      </c>
      <c r="BU45" s="35">
        <f t="shared" si="27"/>
        <v>0</v>
      </c>
      <c r="BV45" s="35">
        <f t="shared" si="27"/>
        <v>0</v>
      </c>
      <c r="BW45" s="35">
        <f t="shared" si="27"/>
        <v>0</v>
      </c>
      <c r="BX45" s="35">
        <f t="shared" si="27"/>
        <v>0</v>
      </c>
      <c r="BY45" s="35">
        <f t="shared" si="27"/>
        <v>0</v>
      </c>
      <c r="BZ45" s="35">
        <f t="shared" si="27"/>
        <v>0</v>
      </c>
      <c r="CA45" s="35">
        <f t="shared" si="27"/>
        <v>0</v>
      </c>
      <c r="CB45" s="36">
        <f t="shared" si="27"/>
        <v>0</v>
      </c>
    </row>
    <row r="46" spans="1:83">
      <c r="A46" s="262" t="s">
        <v>49</v>
      </c>
      <c r="B46" s="144" t="str">
        <f>IF(E5=0,F5,E5)</f>
        <v>8/27/2019</v>
      </c>
      <c r="C46" s="145">
        <f t="shared" ref="C46:AH46" si="28">B46+IF($G5=1,365,182.5)</f>
        <v>43886.5</v>
      </c>
      <c r="D46" s="145">
        <f t="shared" si="28"/>
        <v>44069</v>
      </c>
      <c r="E46" s="141">
        <f t="shared" si="28"/>
        <v>44251.5</v>
      </c>
      <c r="F46" s="145">
        <f t="shared" si="28"/>
        <v>44434</v>
      </c>
      <c r="G46" s="145">
        <f t="shared" si="28"/>
        <v>44616.5</v>
      </c>
      <c r="H46" s="145">
        <f t="shared" si="28"/>
        <v>44799</v>
      </c>
      <c r="I46" s="145">
        <f t="shared" si="28"/>
        <v>44981.5</v>
      </c>
      <c r="J46" s="145">
        <f t="shared" si="28"/>
        <v>45164</v>
      </c>
      <c r="K46" s="145">
        <f t="shared" si="28"/>
        <v>45346.5</v>
      </c>
      <c r="L46" s="145">
        <f t="shared" si="28"/>
        <v>45529</v>
      </c>
      <c r="M46" s="145">
        <f t="shared" si="28"/>
        <v>45711.5</v>
      </c>
      <c r="N46" s="145">
        <f t="shared" si="28"/>
        <v>45894</v>
      </c>
      <c r="O46" s="145">
        <f t="shared" si="28"/>
        <v>46076.5</v>
      </c>
      <c r="P46" s="145">
        <f t="shared" si="28"/>
        <v>46259</v>
      </c>
      <c r="Q46" s="145">
        <f t="shared" si="28"/>
        <v>46441.5</v>
      </c>
      <c r="R46" s="145">
        <f t="shared" si="28"/>
        <v>46624</v>
      </c>
      <c r="S46" s="145">
        <f t="shared" si="28"/>
        <v>46806.5</v>
      </c>
      <c r="T46" s="145">
        <f t="shared" si="28"/>
        <v>46989</v>
      </c>
      <c r="U46" s="145">
        <f t="shared" si="28"/>
        <v>47171.5</v>
      </c>
      <c r="V46" s="145">
        <f t="shared" si="28"/>
        <v>47354</v>
      </c>
      <c r="W46" s="145">
        <f t="shared" si="28"/>
        <v>47536.5</v>
      </c>
      <c r="X46" s="145">
        <f t="shared" si="28"/>
        <v>47719</v>
      </c>
      <c r="Y46" s="145">
        <f t="shared" si="28"/>
        <v>47901.5</v>
      </c>
      <c r="Z46" s="145">
        <f t="shared" si="28"/>
        <v>48084</v>
      </c>
      <c r="AA46" s="145">
        <f t="shared" si="28"/>
        <v>48266.5</v>
      </c>
      <c r="AB46" s="145">
        <f t="shared" si="28"/>
        <v>48449</v>
      </c>
      <c r="AC46" s="145">
        <f t="shared" si="28"/>
        <v>48631.5</v>
      </c>
      <c r="AD46" s="145">
        <f t="shared" si="28"/>
        <v>48814</v>
      </c>
      <c r="AE46" s="145">
        <f t="shared" si="28"/>
        <v>48996.5</v>
      </c>
      <c r="AF46" s="145">
        <f t="shared" si="28"/>
        <v>49179</v>
      </c>
      <c r="AG46" s="145">
        <f t="shared" si="28"/>
        <v>49361.5</v>
      </c>
      <c r="AH46" s="145">
        <f t="shared" si="28"/>
        <v>49544</v>
      </c>
      <c r="AI46" s="145">
        <f t="shared" ref="AI46:BN46" si="29">AH46+IF($G5=1,365,182.5)</f>
        <v>49726.5</v>
      </c>
      <c r="AJ46" s="145">
        <f t="shared" si="29"/>
        <v>49909</v>
      </c>
      <c r="AK46" s="145">
        <f t="shared" si="29"/>
        <v>50091.5</v>
      </c>
      <c r="AL46" s="145">
        <f t="shared" si="29"/>
        <v>50274</v>
      </c>
      <c r="AM46" s="145">
        <f t="shared" si="29"/>
        <v>50456.5</v>
      </c>
      <c r="AN46" s="145">
        <f t="shared" si="29"/>
        <v>50639</v>
      </c>
      <c r="AO46" s="145">
        <f t="shared" si="29"/>
        <v>50821.5</v>
      </c>
      <c r="AP46" s="145">
        <f t="shared" si="29"/>
        <v>51004</v>
      </c>
      <c r="AQ46" s="145">
        <f t="shared" si="29"/>
        <v>51186.5</v>
      </c>
      <c r="AR46" s="145">
        <f t="shared" si="29"/>
        <v>51369</v>
      </c>
      <c r="AS46" s="145">
        <f t="shared" si="29"/>
        <v>51551.5</v>
      </c>
      <c r="AT46" s="145">
        <f t="shared" si="29"/>
        <v>51734</v>
      </c>
      <c r="AU46" s="145">
        <f t="shared" si="29"/>
        <v>51916.5</v>
      </c>
      <c r="AV46" s="145">
        <f t="shared" si="29"/>
        <v>52099</v>
      </c>
      <c r="AW46" s="145">
        <f t="shared" si="29"/>
        <v>52281.5</v>
      </c>
      <c r="AX46" s="145">
        <f t="shared" si="29"/>
        <v>52464</v>
      </c>
      <c r="AY46" s="145">
        <f t="shared" si="29"/>
        <v>52646.5</v>
      </c>
      <c r="AZ46" s="145">
        <f t="shared" si="29"/>
        <v>52829</v>
      </c>
      <c r="BA46" s="145">
        <f t="shared" si="29"/>
        <v>53011.5</v>
      </c>
      <c r="BB46" s="145">
        <f t="shared" si="29"/>
        <v>53194</v>
      </c>
      <c r="BC46" s="145">
        <f t="shared" si="29"/>
        <v>53376.5</v>
      </c>
      <c r="BD46" s="145">
        <f t="shared" si="29"/>
        <v>53559</v>
      </c>
      <c r="BE46" s="145">
        <f t="shared" si="29"/>
        <v>53741.5</v>
      </c>
      <c r="BF46" s="145">
        <f t="shared" si="29"/>
        <v>53924</v>
      </c>
      <c r="BG46" s="145">
        <f t="shared" si="29"/>
        <v>54106.5</v>
      </c>
      <c r="BH46" s="145">
        <f t="shared" si="29"/>
        <v>54289</v>
      </c>
      <c r="BI46" s="145">
        <f t="shared" si="29"/>
        <v>54471.5</v>
      </c>
      <c r="BJ46" s="145">
        <f t="shared" si="29"/>
        <v>54654</v>
      </c>
      <c r="BK46" s="145">
        <f t="shared" si="29"/>
        <v>54836.5</v>
      </c>
      <c r="BL46" s="145">
        <f t="shared" si="29"/>
        <v>55019</v>
      </c>
      <c r="BM46" s="145">
        <f t="shared" si="29"/>
        <v>55201.5</v>
      </c>
      <c r="BN46" s="145">
        <f t="shared" si="29"/>
        <v>55384</v>
      </c>
      <c r="BO46" s="145">
        <f t="shared" ref="BO46:CB46" si="30">BN46+IF($G5=1,365,182.5)</f>
        <v>55566.5</v>
      </c>
      <c r="BP46" s="145">
        <f t="shared" si="30"/>
        <v>55749</v>
      </c>
      <c r="BQ46" s="145">
        <f t="shared" si="30"/>
        <v>55931.5</v>
      </c>
      <c r="BR46" s="145">
        <f t="shared" si="30"/>
        <v>56114</v>
      </c>
      <c r="BS46" s="145">
        <f t="shared" si="30"/>
        <v>56296.5</v>
      </c>
      <c r="BT46" s="145">
        <f t="shared" si="30"/>
        <v>56479</v>
      </c>
      <c r="BU46" s="145">
        <f t="shared" si="30"/>
        <v>56661.5</v>
      </c>
      <c r="BV46" s="145">
        <f t="shared" si="30"/>
        <v>56844</v>
      </c>
      <c r="BW46" s="145">
        <f t="shared" si="30"/>
        <v>57026.5</v>
      </c>
      <c r="BX46" s="145">
        <f t="shared" si="30"/>
        <v>57209</v>
      </c>
      <c r="BY46" s="145">
        <f t="shared" si="30"/>
        <v>57391.5</v>
      </c>
      <c r="BZ46" s="145">
        <f t="shared" si="30"/>
        <v>57574</v>
      </c>
      <c r="CA46" s="145">
        <f t="shared" si="30"/>
        <v>57756.5</v>
      </c>
      <c r="CB46" s="146">
        <f t="shared" si="30"/>
        <v>57939</v>
      </c>
    </row>
    <row r="47" spans="1:83">
      <c r="A47" s="165" t="s">
        <v>24</v>
      </c>
      <c r="B47" s="147">
        <f>(IF(B46=F5,100,0)+IF(G5=1,1,0.5)*J5*100)*IF(ISBLANK(F5)=TRUE,0,1)</f>
        <v>1.635</v>
      </c>
      <c r="C47" s="148">
        <f t="shared" ref="C47:AH47" si="31">IF(C46&gt;$F5+1,0,1)*(IF(D47=0,100,0)+IF($G5=1,1,0.5)*$J5*100)</f>
        <v>1.635</v>
      </c>
      <c r="D47" s="148">
        <f t="shared" si="31"/>
        <v>1.635</v>
      </c>
      <c r="E47" s="148">
        <f t="shared" si="31"/>
        <v>1.635</v>
      </c>
      <c r="F47" s="148">
        <f t="shared" si="31"/>
        <v>1.635</v>
      </c>
      <c r="G47" s="148">
        <f t="shared" si="31"/>
        <v>1.635</v>
      </c>
      <c r="H47" s="148">
        <f t="shared" si="31"/>
        <v>1.635</v>
      </c>
      <c r="I47" s="148">
        <f t="shared" si="31"/>
        <v>1.635</v>
      </c>
      <c r="J47" s="148">
        <f t="shared" si="31"/>
        <v>101.63500000000001</v>
      </c>
      <c r="K47" s="148">
        <f t="shared" si="31"/>
        <v>0</v>
      </c>
      <c r="L47" s="148">
        <f t="shared" si="31"/>
        <v>0</v>
      </c>
      <c r="M47" s="148">
        <f t="shared" si="31"/>
        <v>0</v>
      </c>
      <c r="N47" s="148">
        <f t="shared" si="31"/>
        <v>0</v>
      </c>
      <c r="O47" s="148">
        <f t="shared" si="31"/>
        <v>0</v>
      </c>
      <c r="P47" s="148">
        <f t="shared" si="31"/>
        <v>0</v>
      </c>
      <c r="Q47" s="148">
        <f t="shared" si="31"/>
        <v>0</v>
      </c>
      <c r="R47" s="148">
        <f t="shared" si="31"/>
        <v>0</v>
      </c>
      <c r="S47" s="148">
        <f t="shared" si="31"/>
        <v>0</v>
      </c>
      <c r="T47" s="148">
        <f t="shared" si="31"/>
        <v>0</v>
      </c>
      <c r="U47" s="148">
        <f t="shared" si="31"/>
        <v>0</v>
      </c>
      <c r="V47" s="148">
        <f t="shared" si="31"/>
        <v>0</v>
      </c>
      <c r="W47" s="148">
        <f t="shared" si="31"/>
        <v>0</v>
      </c>
      <c r="X47" s="148">
        <f t="shared" si="31"/>
        <v>0</v>
      </c>
      <c r="Y47" s="148">
        <f t="shared" si="31"/>
        <v>0</v>
      </c>
      <c r="Z47" s="148">
        <f t="shared" si="31"/>
        <v>0</v>
      </c>
      <c r="AA47" s="148">
        <f t="shared" si="31"/>
        <v>0</v>
      </c>
      <c r="AB47" s="148">
        <f t="shared" si="31"/>
        <v>0</v>
      </c>
      <c r="AC47" s="148">
        <f t="shared" si="31"/>
        <v>0</v>
      </c>
      <c r="AD47" s="148">
        <f t="shared" si="31"/>
        <v>0</v>
      </c>
      <c r="AE47" s="148">
        <f t="shared" si="31"/>
        <v>0</v>
      </c>
      <c r="AF47" s="148">
        <f t="shared" si="31"/>
        <v>0</v>
      </c>
      <c r="AG47" s="148">
        <f t="shared" si="31"/>
        <v>0</v>
      </c>
      <c r="AH47" s="148">
        <f t="shared" si="31"/>
        <v>0</v>
      </c>
      <c r="AI47" s="148">
        <f t="shared" ref="AI47:BN47" si="32">IF(AI46&gt;$F5+1,0,1)*(IF(AJ47=0,100,0)+IF($G5=1,1,0.5)*$J5*100)</f>
        <v>0</v>
      </c>
      <c r="AJ47" s="148">
        <f t="shared" si="32"/>
        <v>0</v>
      </c>
      <c r="AK47" s="148">
        <f t="shared" si="32"/>
        <v>0</v>
      </c>
      <c r="AL47" s="148">
        <f t="shared" si="32"/>
        <v>0</v>
      </c>
      <c r="AM47" s="148">
        <f t="shared" si="32"/>
        <v>0</v>
      </c>
      <c r="AN47" s="148">
        <f t="shared" si="32"/>
        <v>0</v>
      </c>
      <c r="AO47" s="148">
        <f t="shared" si="32"/>
        <v>0</v>
      </c>
      <c r="AP47" s="148">
        <f t="shared" si="32"/>
        <v>0</v>
      </c>
      <c r="AQ47" s="148">
        <f t="shared" si="32"/>
        <v>0</v>
      </c>
      <c r="AR47" s="148">
        <f t="shared" si="32"/>
        <v>0</v>
      </c>
      <c r="AS47" s="148">
        <f t="shared" si="32"/>
        <v>0</v>
      </c>
      <c r="AT47" s="148">
        <f t="shared" si="32"/>
        <v>0</v>
      </c>
      <c r="AU47" s="148">
        <f t="shared" si="32"/>
        <v>0</v>
      </c>
      <c r="AV47" s="148">
        <f t="shared" si="32"/>
        <v>0</v>
      </c>
      <c r="AW47" s="148">
        <f t="shared" si="32"/>
        <v>0</v>
      </c>
      <c r="AX47" s="148">
        <f t="shared" si="32"/>
        <v>0</v>
      </c>
      <c r="AY47" s="148">
        <f t="shared" si="32"/>
        <v>0</v>
      </c>
      <c r="AZ47" s="148">
        <f t="shared" si="32"/>
        <v>0</v>
      </c>
      <c r="BA47" s="148">
        <f t="shared" si="32"/>
        <v>0</v>
      </c>
      <c r="BB47" s="148">
        <f t="shared" si="32"/>
        <v>0</v>
      </c>
      <c r="BC47" s="148">
        <f t="shared" si="32"/>
        <v>0</v>
      </c>
      <c r="BD47" s="148">
        <f t="shared" si="32"/>
        <v>0</v>
      </c>
      <c r="BE47" s="148">
        <f t="shared" si="32"/>
        <v>0</v>
      </c>
      <c r="BF47" s="148">
        <f t="shared" si="32"/>
        <v>0</v>
      </c>
      <c r="BG47" s="148">
        <f t="shared" si="32"/>
        <v>0</v>
      </c>
      <c r="BH47" s="148">
        <f t="shared" si="32"/>
        <v>0</v>
      </c>
      <c r="BI47" s="148">
        <f t="shared" si="32"/>
        <v>0</v>
      </c>
      <c r="BJ47" s="148">
        <f t="shared" si="32"/>
        <v>0</v>
      </c>
      <c r="BK47" s="148">
        <f t="shared" si="32"/>
        <v>0</v>
      </c>
      <c r="BL47" s="148">
        <f t="shared" si="32"/>
        <v>0</v>
      </c>
      <c r="BM47" s="148">
        <f t="shared" si="32"/>
        <v>0</v>
      </c>
      <c r="BN47" s="148">
        <f t="shared" si="32"/>
        <v>0</v>
      </c>
      <c r="BO47" s="148">
        <f t="shared" ref="BO47:CB47" si="33">IF(BO46&gt;$F5+1,0,1)*(IF(BP47=0,100,0)+IF($G5=1,1,0.5)*$J5*100)</f>
        <v>0</v>
      </c>
      <c r="BP47" s="148">
        <f t="shared" si="33"/>
        <v>0</v>
      </c>
      <c r="BQ47" s="148">
        <f t="shared" si="33"/>
        <v>0</v>
      </c>
      <c r="BR47" s="148">
        <f t="shared" si="33"/>
        <v>0</v>
      </c>
      <c r="BS47" s="148">
        <f t="shared" si="33"/>
        <v>0</v>
      </c>
      <c r="BT47" s="148">
        <f t="shared" si="33"/>
        <v>0</v>
      </c>
      <c r="BU47" s="148">
        <f t="shared" si="33"/>
        <v>0</v>
      </c>
      <c r="BV47" s="148">
        <f t="shared" si="33"/>
        <v>0</v>
      </c>
      <c r="BW47" s="148">
        <f t="shared" si="33"/>
        <v>0</v>
      </c>
      <c r="BX47" s="148">
        <f t="shared" si="33"/>
        <v>0</v>
      </c>
      <c r="BY47" s="148">
        <f t="shared" si="33"/>
        <v>0</v>
      </c>
      <c r="BZ47" s="148">
        <f t="shared" si="33"/>
        <v>0</v>
      </c>
      <c r="CA47" s="148">
        <f t="shared" si="33"/>
        <v>0</v>
      </c>
      <c r="CB47" s="154">
        <f t="shared" si="33"/>
        <v>0</v>
      </c>
    </row>
    <row r="48" spans="1:83">
      <c r="A48" s="261" t="s">
        <v>49</v>
      </c>
      <c r="B48" s="37">
        <f>IF(E6=0,F6,E6)</f>
        <v>0</v>
      </c>
      <c r="C48" s="38">
        <f t="shared" ref="C48:AH48" si="34">B48+IF($G6=1,365,182.5)</f>
        <v>182.5</v>
      </c>
      <c r="D48" s="38">
        <f t="shared" si="34"/>
        <v>365</v>
      </c>
      <c r="E48" s="38">
        <f t="shared" si="34"/>
        <v>547.5</v>
      </c>
      <c r="F48" s="38">
        <f t="shared" si="34"/>
        <v>730</v>
      </c>
      <c r="G48" s="141">
        <f t="shared" si="34"/>
        <v>912.5</v>
      </c>
      <c r="H48" s="38">
        <f t="shared" si="34"/>
        <v>1095</v>
      </c>
      <c r="I48" s="38">
        <f t="shared" si="34"/>
        <v>1277.5</v>
      </c>
      <c r="J48" s="38">
        <f t="shared" si="34"/>
        <v>1460</v>
      </c>
      <c r="K48" s="38">
        <f t="shared" si="34"/>
        <v>1642.5</v>
      </c>
      <c r="L48" s="38">
        <f t="shared" si="34"/>
        <v>1825</v>
      </c>
      <c r="M48" s="38">
        <f t="shared" si="34"/>
        <v>2007.5</v>
      </c>
      <c r="N48" s="38">
        <f t="shared" si="34"/>
        <v>2190</v>
      </c>
      <c r="O48" s="38">
        <f t="shared" si="34"/>
        <v>2372.5</v>
      </c>
      <c r="P48" s="38">
        <f t="shared" si="34"/>
        <v>2555</v>
      </c>
      <c r="Q48" s="38">
        <f t="shared" si="34"/>
        <v>2737.5</v>
      </c>
      <c r="R48" s="38">
        <f t="shared" si="34"/>
        <v>2920</v>
      </c>
      <c r="S48" s="38">
        <f t="shared" si="34"/>
        <v>3102.5</v>
      </c>
      <c r="T48" s="38">
        <f t="shared" si="34"/>
        <v>3285</v>
      </c>
      <c r="U48" s="38">
        <f t="shared" si="34"/>
        <v>3467.5</v>
      </c>
      <c r="V48" s="38">
        <f t="shared" si="34"/>
        <v>3650</v>
      </c>
      <c r="W48" s="38">
        <f t="shared" si="34"/>
        <v>3832.5</v>
      </c>
      <c r="X48" s="38">
        <f t="shared" si="34"/>
        <v>4015</v>
      </c>
      <c r="Y48" s="38">
        <f t="shared" si="34"/>
        <v>4197.5</v>
      </c>
      <c r="Z48" s="38">
        <f t="shared" si="34"/>
        <v>4380</v>
      </c>
      <c r="AA48" s="38">
        <f t="shared" si="34"/>
        <v>4562.5</v>
      </c>
      <c r="AB48" s="38">
        <f t="shared" si="34"/>
        <v>4745</v>
      </c>
      <c r="AC48" s="38">
        <f t="shared" si="34"/>
        <v>4927.5</v>
      </c>
      <c r="AD48" s="38">
        <f t="shared" si="34"/>
        <v>5110</v>
      </c>
      <c r="AE48" s="38">
        <f t="shared" si="34"/>
        <v>5292.5</v>
      </c>
      <c r="AF48" s="38">
        <f t="shared" si="34"/>
        <v>5475</v>
      </c>
      <c r="AG48" s="38">
        <f t="shared" si="34"/>
        <v>5657.5</v>
      </c>
      <c r="AH48" s="38">
        <f t="shared" si="34"/>
        <v>5840</v>
      </c>
      <c r="AI48" s="38">
        <f t="shared" ref="AI48:BN48" si="35">AH48+IF($G6=1,365,182.5)</f>
        <v>6022.5</v>
      </c>
      <c r="AJ48" s="38">
        <f t="shared" si="35"/>
        <v>6205</v>
      </c>
      <c r="AK48" s="38">
        <f t="shared" si="35"/>
        <v>6387.5</v>
      </c>
      <c r="AL48" s="38">
        <f t="shared" si="35"/>
        <v>6570</v>
      </c>
      <c r="AM48" s="38">
        <f t="shared" si="35"/>
        <v>6752.5</v>
      </c>
      <c r="AN48" s="38">
        <f t="shared" si="35"/>
        <v>6935</v>
      </c>
      <c r="AO48" s="38">
        <f t="shared" si="35"/>
        <v>7117.5</v>
      </c>
      <c r="AP48" s="38">
        <f t="shared" si="35"/>
        <v>7300</v>
      </c>
      <c r="AQ48" s="38">
        <f t="shared" si="35"/>
        <v>7482.5</v>
      </c>
      <c r="AR48" s="38">
        <f t="shared" si="35"/>
        <v>7665</v>
      </c>
      <c r="AS48" s="38">
        <f t="shared" si="35"/>
        <v>7847.5</v>
      </c>
      <c r="AT48" s="38">
        <f t="shared" si="35"/>
        <v>8030</v>
      </c>
      <c r="AU48" s="38">
        <f t="shared" si="35"/>
        <v>8212.5</v>
      </c>
      <c r="AV48" s="38">
        <f t="shared" si="35"/>
        <v>8395</v>
      </c>
      <c r="AW48" s="38">
        <f t="shared" si="35"/>
        <v>8577.5</v>
      </c>
      <c r="AX48" s="38">
        <f t="shared" si="35"/>
        <v>8760</v>
      </c>
      <c r="AY48" s="38">
        <f t="shared" si="35"/>
        <v>8942.5</v>
      </c>
      <c r="AZ48" s="38">
        <f t="shared" si="35"/>
        <v>9125</v>
      </c>
      <c r="BA48" s="38">
        <f t="shared" si="35"/>
        <v>9307.5</v>
      </c>
      <c r="BB48" s="38">
        <f t="shared" si="35"/>
        <v>9490</v>
      </c>
      <c r="BC48" s="38">
        <f t="shared" si="35"/>
        <v>9672.5</v>
      </c>
      <c r="BD48" s="38">
        <f t="shared" si="35"/>
        <v>9855</v>
      </c>
      <c r="BE48" s="38">
        <f t="shared" si="35"/>
        <v>10037.5</v>
      </c>
      <c r="BF48" s="38">
        <f t="shared" si="35"/>
        <v>10220</v>
      </c>
      <c r="BG48" s="38">
        <f t="shared" si="35"/>
        <v>10402.5</v>
      </c>
      <c r="BH48" s="38">
        <f t="shared" si="35"/>
        <v>10585</v>
      </c>
      <c r="BI48" s="38">
        <f t="shared" si="35"/>
        <v>10767.5</v>
      </c>
      <c r="BJ48" s="38">
        <f t="shared" si="35"/>
        <v>10950</v>
      </c>
      <c r="BK48" s="38">
        <f t="shared" si="35"/>
        <v>11132.5</v>
      </c>
      <c r="BL48" s="38">
        <f t="shared" si="35"/>
        <v>11315</v>
      </c>
      <c r="BM48" s="38">
        <f t="shared" si="35"/>
        <v>11497.5</v>
      </c>
      <c r="BN48" s="38">
        <f t="shared" si="35"/>
        <v>11680</v>
      </c>
      <c r="BO48" s="38">
        <f t="shared" ref="BO48:CB48" si="36">BN48+IF($G6=1,365,182.5)</f>
        <v>11862.5</v>
      </c>
      <c r="BP48" s="38">
        <f t="shared" si="36"/>
        <v>12045</v>
      </c>
      <c r="BQ48" s="38">
        <f t="shared" si="36"/>
        <v>12227.5</v>
      </c>
      <c r="BR48" s="38">
        <f t="shared" si="36"/>
        <v>12410</v>
      </c>
      <c r="BS48" s="38">
        <f t="shared" si="36"/>
        <v>12592.5</v>
      </c>
      <c r="BT48" s="38">
        <f t="shared" si="36"/>
        <v>12775</v>
      </c>
      <c r="BU48" s="38">
        <f t="shared" si="36"/>
        <v>12957.5</v>
      </c>
      <c r="BV48" s="38">
        <f t="shared" si="36"/>
        <v>13140</v>
      </c>
      <c r="BW48" s="38">
        <f t="shared" si="36"/>
        <v>13322.5</v>
      </c>
      <c r="BX48" s="38">
        <f t="shared" si="36"/>
        <v>13505</v>
      </c>
      <c r="BY48" s="38">
        <f t="shared" si="36"/>
        <v>13687.5</v>
      </c>
      <c r="BZ48" s="38">
        <f t="shared" si="36"/>
        <v>13870</v>
      </c>
      <c r="CA48" s="38">
        <f t="shared" si="36"/>
        <v>14052.5</v>
      </c>
      <c r="CB48" s="39">
        <f t="shared" si="36"/>
        <v>14235</v>
      </c>
    </row>
    <row r="49" spans="1:80">
      <c r="A49" s="166" t="s">
        <v>25</v>
      </c>
      <c r="B49" s="106">
        <f>(IF(B48=F6,100,0)+IF(G6=1,1,0.5)*J6*100)*IF(ISBLANK(F6)=TRUE,0,1)</f>
        <v>0</v>
      </c>
      <c r="C49" s="40">
        <f t="shared" ref="C49:AH49" si="37">IF(C48&gt;$F6+1,0,1)*(IF(D49=0,100,0)+IF($G6=1,1,0.5)*$J6*100)</f>
        <v>0</v>
      </c>
      <c r="D49" s="40">
        <f t="shared" si="37"/>
        <v>0</v>
      </c>
      <c r="E49" s="40">
        <f t="shared" si="37"/>
        <v>0</v>
      </c>
      <c r="F49" s="40">
        <f t="shared" si="37"/>
        <v>0</v>
      </c>
      <c r="G49" s="40">
        <f t="shared" si="37"/>
        <v>0</v>
      </c>
      <c r="H49" s="40">
        <f t="shared" si="37"/>
        <v>0</v>
      </c>
      <c r="I49" s="40">
        <f t="shared" si="37"/>
        <v>0</v>
      </c>
      <c r="J49" s="40">
        <f t="shared" si="37"/>
        <v>0</v>
      </c>
      <c r="K49" s="40">
        <f t="shared" si="37"/>
        <v>0</v>
      </c>
      <c r="L49" s="40">
        <f t="shared" si="37"/>
        <v>0</v>
      </c>
      <c r="M49" s="40">
        <f t="shared" si="37"/>
        <v>0</v>
      </c>
      <c r="N49" s="40">
        <f t="shared" si="37"/>
        <v>0</v>
      </c>
      <c r="O49" s="40">
        <f t="shared" si="37"/>
        <v>0</v>
      </c>
      <c r="P49" s="40">
        <f t="shared" si="37"/>
        <v>0</v>
      </c>
      <c r="Q49" s="40">
        <f t="shared" si="37"/>
        <v>0</v>
      </c>
      <c r="R49" s="40">
        <f t="shared" si="37"/>
        <v>0</v>
      </c>
      <c r="S49" s="40">
        <f t="shared" si="37"/>
        <v>0</v>
      </c>
      <c r="T49" s="40">
        <f t="shared" si="37"/>
        <v>0</v>
      </c>
      <c r="U49" s="40">
        <f t="shared" si="37"/>
        <v>0</v>
      </c>
      <c r="V49" s="40">
        <f t="shared" si="37"/>
        <v>0</v>
      </c>
      <c r="W49" s="40">
        <f t="shared" si="37"/>
        <v>0</v>
      </c>
      <c r="X49" s="40">
        <f t="shared" si="37"/>
        <v>0</v>
      </c>
      <c r="Y49" s="40">
        <f t="shared" si="37"/>
        <v>0</v>
      </c>
      <c r="Z49" s="40">
        <f t="shared" si="37"/>
        <v>0</v>
      </c>
      <c r="AA49" s="40">
        <f t="shared" si="37"/>
        <v>0</v>
      </c>
      <c r="AB49" s="40">
        <f t="shared" si="37"/>
        <v>0</v>
      </c>
      <c r="AC49" s="40">
        <f t="shared" si="37"/>
        <v>0</v>
      </c>
      <c r="AD49" s="40">
        <f t="shared" si="37"/>
        <v>0</v>
      </c>
      <c r="AE49" s="40">
        <f t="shared" si="37"/>
        <v>0</v>
      </c>
      <c r="AF49" s="40">
        <f t="shared" si="37"/>
        <v>0</v>
      </c>
      <c r="AG49" s="40">
        <f t="shared" si="37"/>
        <v>0</v>
      </c>
      <c r="AH49" s="40">
        <f t="shared" si="37"/>
        <v>0</v>
      </c>
      <c r="AI49" s="40">
        <f t="shared" ref="AI49:BN49" si="38">IF(AI48&gt;$F6+1,0,1)*(IF(AJ49=0,100,0)+IF($G6=1,1,0.5)*$J6*100)</f>
        <v>0</v>
      </c>
      <c r="AJ49" s="40">
        <f t="shared" si="38"/>
        <v>0</v>
      </c>
      <c r="AK49" s="40">
        <f t="shared" si="38"/>
        <v>0</v>
      </c>
      <c r="AL49" s="40">
        <f t="shared" si="38"/>
        <v>0</v>
      </c>
      <c r="AM49" s="40">
        <f t="shared" si="38"/>
        <v>0</v>
      </c>
      <c r="AN49" s="40">
        <f t="shared" si="38"/>
        <v>0</v>
      </c>
      <c r="AO49" s="40">
        <f t="shared" si="38"/>
        <v>0</v>
      </c>
      <c r="AP49" s="40">
        <f t="shared" si="38"/>
        <v>0</v>
      </c>
      <c r="AQ49" s="40">
        <f t="shared" si="38"/>
        <v>0</v>
      </c>
      <c r="AR49" s="40">
        <f t="shared" si="38"/>
        <v>0</v>
      </c>
      <c r="AS49" s="40">
        <f t="shared" si="38"/>
        <v>0</v>
      </c>
      <c r="AT49" s="40">
        <f t="shared" si="38"/>
        <v>0</v>
      </c>
      <c r="AU49" s="40">
        <f t="shared" si="38"/>
        <v>0</v>
      </c>
      <c r="AV49" s="40">
        <f t="shared" si="38"/>
        <v>0</v>
      </c>
      <c r="AW49" s="40">
        <f t="shared" si="38"/>
        <v>0</v>
      </c>
      <c r="AX49" s="40">
        <f t="shared" si="38"/>
        <v>0</v>
      </c>
      <c r="AY49" s="40">
        <f t="shared" si="38"/>
        <v>0</v>
      </c>
      <c r="AZ49" s="40">
        <f t="shared" si="38"/>
        <v>0</v>
      </c>
      <c r="BA49" s="40">
        <f t="shared" si="38"/>
        <v>0</v>
      </c>
      <c r="BB49" s="40">
        <f t="shared" si="38"/>
        <v>0</v>
      </c>
      <c r="BC49" s="40">
        <f t="shared" si="38"/>
        <v>0</v>
      </c>
      <c r="BD49" s="40">
        <f t="shared" si="38"/>
        <v>0</v>
      </c>
      <c r="BE49" s="40">
        <f t="shared" si="38"/>
        <v>0</v>
      </c>
      <c r="BF49" s="40">
        <f t="shared" si="38"/>
        <v>0</v>
      </c>
      <c r="BG49" s="40">
        <f t="shared" si="38"/>
        <v>0</v>
      </c>
      <c r="BH49" s="40">
        <f t="shared" si="38"/>
        <v>0</v>
      </c>
      <c r="BI49" s="40">
        <f t="shared" si="38"/>
        <v>0</v>
      </c>
      <c r="BJ49" s="40">
        <f t="shared" si="38"/>
        <v>0</v>
      </c>
      <c r="BK49" s="40">
        <f t="shared" si="38"/>
        <v>0</v>
      </c>
      <c r="BL49" s="40">
        <f t="shared" si="38"/>
        <v>0</v>
      </c>
      <c r="BM49" s="40">
        <f t="shared" si="38"/>
        <v>0</v>
      </c>
      <c r="BN49" s="40">
        <f t="shared" si="38"/>
        <v>0</v>
      </c>
      <c r="BO49" s="40">
        <f t="shared" ref="BO49:CB49" si="39">IF(BO48&gt;$F6+1,0,1)*(IF(BP49=0,100,0)+IF($G6=1,1,0.5)*$J6*100)</f>
        <v>0</v>
      </c>
      <c r="BP49" s="40">
        <f t="shared" si="39"/>
        <v>0</v>
      </c>
      <c r="BQ49" s="40">
        <f t="shared" si="39"/>
        <v>0</v>
      </c>
      <c r="BR49" s="40">
        <f t="shared" si="39"/>
        <v>0</v>
      </c>
      <c r="BS49" s="40">
        <f t="shared" si="39"/>
        <v>0</v>
      </c>
      <c r="BT49" s="40">
        <f t="shared" si="39"/>
        <v>0</v>
      </c>
      <c r="BU49" s="40">
        <f t="shared" si="39"/>
        <v>0</v>
      </c>
      <c r="BV49" s="40">
        <f t="shared" si="39"/>
        <v>0</v>
      </c>
      <c r="BW49" s="40">
        <f t="shared" si="39"/>
        <v>0</v>
      </c>
      <c r="BX49" s="40">
        <f t="shared" si="39"/>
        <v>0</v>
      </c>
      <c r="BY49" s="40">
        <f t="shared" si="39"/>
        <v>0</v>
      </c>
      <c r="BZ49" s="40">
        <f t="shared" si="39"/>
        <v>0</v>
      </c>
      <c r="CA49" s="40">
        <f t="shared" si="39"/>
        <v>0</v>
      </c>
      <c r="CB49" s="41">
        <f t="shared" si="39"/>
        <v>0</v>
      </c>
    </row>
    <row r="50" spans="1:80">
      <c r="A50" s="260" t="s">
        <v>49</v>
      </c>
      <c r="B50" s="42" t="str">
        <f>IF(E7=0,F7,E7)</f>
        <v>8/20/2019</v>
      </c>
      <c r="C50" s="43">
        <f t="shared" ref="C50:AH50" si="40">B50+IF($G7=1,365,182.5)</f>
        <v>43879.5</v>
      </c>
      <c r="D50" s="43">
        <f t="shared" si="40"/>
        <v>44062</v>
      </c>
      <c r="E50" s="43">
        <f t="shared" si="40"/>
        <v>44244.5</v>
      </c>
      <c r="F50" s="43">
        <f t="shared" si="40"/>
        <v>44427</v>
      </c>
      <c r="G50" s="43">
        <f t="shared" si="40"/>
        <v>44609.5</v>
      </c>
      <c r="H50" s="43">
        <f t="shared" si="40"/>
        <v>44792</v>
      </c>
      <c r="I50" s="43">
        <f t="shared" si="40"/>
        <v>44974.5</v>
      </c>
      <c r="J50" s="43">
        <f t="shared" si="40"/>
        <v>45157</v>
      </c>
      <c r="K50" s="100">
        <f t="shared" si="40"/>
        <v>45339.5</v>
      </c>
      <c r="L50" s="43">
        <f t="shared" si="40"/>
        <v>45522</v>
      </c>
      <c r="M50" s="43">
        <f t="shared" si="40"/>
        <v>45704.5</v>
      </c>
      <c r="N50" s="43">
        <f t="shared" si="40"/>
        <v>45887</v>
      </c>
      <c r="O50" s="43">
        <f t="shared" si="40"/>
        <v>46069.5</v>
      </c>
      <c r="P50" s="43">
        <f t="shared" si="40"/>
        <v>46252</v>
      </c>
      <c r="Q50" s="43">
        <f t="shared" si="40"/>
        <v>46434.5</v>
      </c>
      <c r="R50" s="43">
        <f t="shared" si="40"/>
        <v>46617</v>
      </c>
      <c r="S50" s="43">
        <f t="shared" si="40"/>
        <v>46799.5</v>
      </c>
      <c r="T50" s="43">
        <f t="shared" si="40"/>
        <v>46982</v>
      </c>
      <c r="U50" s="43">
        <f t="shared" si="40"/>
        <v>47164.5</v>
      </c>
      <c r="V50" s="43">
        <f t="shared" si="40"/>
        <v>47347</v>
      </c>
      <c r="W50" s="43">
        <f t="shared" si="40"/>
        <v>47529.5</v>
      </c>
      <c r="X50" s="43">
        <f t="shared" si="40"/>
        <v>47712</v>
      </c>
      <c r="Y50" s="43">
        <f t="shared" si="40"/>
        <v>47894.5</v>
      </c>
      <c r="Z50" s="43">
        <f t="shared" si="40"/>
        <v>48077</v>
      </c>
      <c r="AA50" s="43">
        <f t="shared" si="40"/>
        <v>48259.5</v>
      </c>
      <c r="AB50" s="43">
        <f t="shared" si="40"/>
        <v>48442</v>
      </c>
      <c r="AC50" s="43">
        <f t="shared" si="40"/>
        <v>48624.5</v>
      </c>
      <c r="AD50" s="43">
        <f t="shared" si="40"/>
        <v>48807</v>
      </c>
      <c r="AE50" s="43">
        <f t="shared" si="40"/>
        <v>48989.5</v>
      </c>
      <c r="AF50" s="43">
        <f t="shared" si="40"/>
        <v>49172</v>
      </c>
      <c r="AG50" s="43">
        <f t="shared" si="40"/>
        <v>49354.5</v>
      </c>
      <c r="AH50" s="43">
        <f t="shared" si="40"/>
        <v>49537</v>
      </c>
      <c r="AI50" s="43">
        <f t="shared" ref="AI50:BN50" si="41">AH50+IF($G7=1,365,182.5)</f>
        <v>49719.5</v>
      </c>
      <c r="AJ50" s="43">
        <f t="shared" si="41"/>
        <v>49902</v>
      </c>
      <c r="AK50" s="43">
        <f t="shared" si="41"/>
        <v>50084.5</v>
      </c>
      <c r="AL50" s="43">
        <f t="shared" si="41"/>
        <v>50267</v>
      </c>
      <c r="AM50" s="43">
        <f t="shared" si="41"/>
        <v>50449.5</v>
      </c>
      <c r="AN50" s="43">
        <f t="shared" si="41"/>
        <v>50632</v>
      </c>
      <c r="AO50" s="43">
        <f t="shared" si="41"/>
        <v>50814.5</v>
      </c>
      <c r="AP50" s="43">
        <f t="shared" si="41"/>
        <v>50997</v>
      </c>
      <c r="AQ50" s="43">
        <f t="shared" si="41"/>
        <v>51179.5</v>
      </c>
      <c r="AR50" s="43">
        <f t="shared" si="41"/>
        <v>51362</v>
      </c>
      <c r="AS50" s="43">
        <f t="shared" si="41"/>
        <v>51544.5</v>
      </c>
      <c r="AT50" s="43">
        <f t="shared" si="41"/>
        <v>51727</v>
      </c>
      <c r="AU50" s="43">
        <f t="shared" si="41"/>
        <v>51909.5</v>
      </c>
      <c r="AV50" s="43">
        <f t="shared" si="41"/>
        <v>52092</v>
      </c>
      <c r="AW50" s="43">
        <f t="shared" si="41"/>
        <v>52274.5</v>
      </c>
      <c r="AX50" s="43">
        <f t="shared" si="41"/>
        <v>52457</v>
      </c>
      <c r="AY50" s="43">
        <f t="shared" si="41"/>
        <v>52639.5</v>
      </c>
      <c r="AZ50" s="43">
        <f t="shared" si="41"/>
        <v>52822</v>
      </c>
      <c r="BA50" s="43">
        <f t="shared" si="41"/>
        <v>53004.5</v>
      </c>
      <c r="BB50" s="43">
        <f t="shared" si="41"/>
        <v>53187</v>
      </c>
      <c r="BC50" s="43">
        <f t="shared" si="41"/>
        <v>53369.5</v>
      </c>
      <c r="BD50" s="43">
        <f t="shared" si="41"/>
        <v>53552</v>
      </c>
      <c r="BE50" s="43">
        <f t="shared" si="41"/>
        <v>53734.5</v>
      </c>
      <c r="BF50" s="43">
        <f t="shared" si="41"/>
        <v>53917</v>
      </c>
      <c r="BG50" s="43">
        <f t="shared" si="41"/>
        <v>54099.5</v>
      </c>
      <c r="BH50" s="43">
        <f t="shared" si="41"/>
        <v>54282</v>
      </c>
      <c r="BI50" s="43">
        <f t="shared" si="41"/>
        <v>54464.5</v>
      </c>
      <c r="BJ50" s="43">
        <f t="shared" si="41"/>
        <v>54647</v>
      </c>
      <c r="BK50" s="43">
        <f t="shared" si="41"/>
        <v>54829.5</v>
      </c>
      <c r="BL50" s="43">
        <f t="shared" si="41"/>
        <v>55012</v>
      </c>
      <c r="BM50" s="43">
        <f t="shared" si="41"/>
        <v>55194.5</v>
      </c>
      <c r="BN50" s="43">
        <f t="shared" si="41"/>
        <v>55377</v>
      </c>
      <c r="BO50" s="43">
        <f t="shared" ref="BO50:CB50" si="42">BN50+IF($G7=1,365,182.5)</f>
        <v>55559.5</v>
      </c>
      <c r="BP50" s="43">
        <f t="shared" si="42"/>
        <v>55742</v>
      </c>
      <c r="BQ50" s="43">
        <f t="shared" si="42"/>
        <v>55924.5</v>
      </c>
      <c r="BR50" s="43">
        <f t="shared" si="42"/>
        <v>56107</v>
      </c>
      <c r="BS50" s="43">
        <f t="shared" si="42"/>
        <v>56289.5</v>
      </c>
      <c r="BT50" s="43">
        <f t="shared" si="42"/>
        <v>56472</v>
      </c>
      <c r="BU50" s="43">
        <f t="shared" si="42"/>
        <v>56654.5</v>
      </c>
      <c r="BV50" s="43">
        <f t="shared" si="42"/>
        <v>56837</v>
      </c>
      <c r="BW50" s="43">
        <f t="shared" si="42"/>
        <v>57019.5</v>
      </c>
      <c r="BX50" s="43">
        <f t="shared" si="42"/>
        <v>57202</v>
      </c>
      <c r="BY50" s="43">
        <f t="shared" si="42"/>
        <v>57384.5</v>
      </c>
      <c r="BZ50" s="43">
        <f t="shared" si="42"/>
        <v>57567</v>
      </c>
      <c r="CA50" s="43">
        <f t="shared" si="42"/>
        <v>57749.5</v>
      </c>
      <c r="CB50" s="44">
        <f t="shared" si="42"/>
        <v>57932</v>
      </c>
    </row>
    <row r="51" spans="1:80">
      <c r="A51" s="167" t="s">
        <v>16</v>
      </c>
      <c r="B51" s="107">
        <f>(IF(B50=F7,100,0)+IF(G7=1,1,0.5)*J7*100)*IF(ISBLANK(F7)=TRUE,0,1)</f>
        <v>0.86499999999999999</v>
      </c>
      <c r="C51" s="45">
        <f t="shared" ref="C51:AH51" si="43">IF(C50&gt;$F7+1,0,1)*(IF(D51=0,100,0)+IF($G7=1,1,0.5)*$J7*100)</f>
        <v>0.86499999999999999</v>
      </c>
      <c r="D51" s="45">
        <f t="shared" si="43"/>
        <v>0.86499999999999999</v>
      </c>
      <c r="E51" s="45">
        <f t="shared" si="43"/>
        <v>0.86499999999999999</v>
      </c>
      <c r="F51" s="45">
        <f t="shared" si="43"/>
        <v>0.86499999999999999</v>
      </c>
      <c r="G51" s="45">
        <f t="shared" si="43"/>
        <v>0.86499999999999999</v>
      </c>
      <c r="H51" s="45">
        <f t="shared" si="43"/>
        <v>0.86499999999999999</v>
      </c>
      <c r="I51" s="45">
        <f t="shared" si="43"/>
        <v>0.86499999999999999</v>
      </c>
      <c r="J51" s="45">
        <f t="shared" si="43"/>
        <v>0.86499999999999999</v>
      </c>
      <c r="K51" s="45">
        <f t="shared" si="43"/>
        <v>100.86499999999999</v>
      </c>
      <c r="L51" s="45">
        <f t="shared" si="43"/>
        <v>0</v>
      </c>
      <c r="M51" s="45">
        <f t="shared" si="43"/>
        <v>0</v>
      </c>
      <c r="N51" s="45">
        <f t="shared" si="43"/>
        <v>0</v>
      </c>
      <c r="O51" s="45">
        <f t="shared" si="43"/>
        <v>0</v>
      </c>
      <c r="P51" s="45">
        <f t="shared" si="43"/>
        <v>0</v>
      </c>
      <c r="Q51" s="45">
        <f t="shared" si="43"/>
        <v>0</v>
      </c>
      <c r="R51" s="45">
        <f t="shared" si="43"/>
        <v>0</v>
      </c>
      <c r="S51" s="45">
        <f t="shared" si="43"/>
        <v>0</v>
      </c>
      <c r="T51" s="45">
        <f t="shared" si="43"/>
        <v>0</v>
      </c>
      <c r="U51" s="45">
        <f t="shared" si="43"/>
        <v>0</v>
      </c>
      <c r="V51" s="45">
        <f t="shared" si="43"/>
        <v>0</v>
      </c>
      <c r="W51" s="45">
        <f t="shared" si="43"/>
        <v>0</v>
      </c>
      <c r="X51" s="45">
        <f t="shared" si="43"/>
        <v>0</v>
      </c>
      <c r="Y51" s="45">
        <f t="shared" si="43"/>
        <v>0</v>
      </c>
      <c r="Z51" s="45">
        <f t="shared" si="43"/>
        <v>0</v>
      </c>
      <c r="AA51" s="45">
        <f t="shared" si="43"/>
        <v>0</v>
      </c>
      <c r="AB51" s="45">
        <f t="shared" si="43"/>
        <v>0</v>
      </c>
      <c r="AC51" s="45">
        <f t="shared" si="43"/>
        <v>0</v>
      </c>
      <c r="AD51" s="45">
        <f t="shared" si="43"/>
        <v>0</v>
      </c>
      <c r="AE51" s="45">
        <f t="shared" si="43"/>
        <v>0</v>
      </c>
      <c r="AF51" s="45">
        <f t="shared" si="43"/>
        <v>0</v>
      </c>
      <c r="AG51" s="45">
        <f t="shared" si="43"/>
        <v>0</v>
      </c>
      <c r="AH51" s="45">
        <f t="shared" si="43"/>
        <v>0</v>
      </c>
      <c r="AI51" s="45">
        <f t="shared" ref="AI51:BN51" si="44">IF(AI50&gt;$F7+1,0,1)*(IF(AJ51=0,100,0)+IF($G7=1,1,0.5)*$J7*100)</f>
        <v>0</v>
      </c>
      <c r="AJ51" s="45">
        <f t="shared" si="44"/>
        <v>0</v>
      </c>
      <c r="AK51" s="45">
        <f t="shared" si="44"/>
        <v>0</v>
      </c>
      <c r="AL51" s="45">
        <f t="shared" si="44"/>
        <v>0</v>
      </c>
      <c r="AM51" s="45">
        <f t="shared" si="44"/>
        <v>0</v>
      </c>
      <c r="AN51" s="45">
        <f t="shared" si="44"/>
        <v>0</v>
      </c>
      <c r="AO51" s="45">
        <f t="shared" si="44"/>
        <v>0</v>
      </c>
      <c r="AP51" s="45">
        <f t="shared" si="44"/>
        <v>0</v>
      </c>
      <c r="AQ51" s="45">
        <f t="shared" si="44"/>
        <v>0</v>
      </c>
      <c r="AR51" s="45">
        <f t="shared" si="44"/>
        <v>0</v>
      </c>
      <c r="AS51" s="45">
        <f t="shared" si="44"/>
        <v>0</v>
      </c>
      <c r="AT51" s="45">
        <f t="shared" si="44"/>
        <v>0</v>
      </c>
      <c r="AU51" s="45">
        <f t="shared" si="44"/>
        <v>0</v>
      </c>
      <c r="AV51" s="45">
        <f t="shared" si="44"/>
        <v>0</v>
      </c>
      <c r="AW51" s="45">
        <f t="shared" si="44"/>
        <v>0</v>
      </c>
      <c r="AX51" s="45">
        <f t="shared" si="44"/>
        <v>0</v>
      </c>
      <c r="AY51" s="45">
        <f t="shared" si="44"/>
        <v>0</v>
      </c>
      <c r="AZ51" s="45">
        <f t="shared" si="44"/>
        <v>0</v>
      </c>
      <c r="BA51" s="45">
        <f t="shared" si="44"/>
        <v>0</v>
      </c>
      <c r="BB51" s="45">
        <f t="shared" si="44"/>
        <v>0</v>
      </c>
      <c r="BC51" s="45">
        <f t="shared" si="44"/>
        <v>0</v>
      </c>
      <c r="BD51" s="45">
        <f t="shared" si="44"/>
        <v>0</v>
      </c>
      <c r="BE51" s="45">
        <f t="shared" si="44"/>
        <v>0</v>
      </c>
      <c r="BF51" s="45">
        <f t="shared" si="44"/>
        <v>0</v>
      </c>
      <c r="BG51" s="45">
        <f t="shared" si="44"/>
        <v>0</v>
      </c>
      <c r="BH51" s="45">
        <f t="shared" si="44"/>
        <v>0</v>
      </c>
      <c r="BI51" s="45">
        <f t="shared" si="44"/>
        <v>0</v>
      </c>
      <c r="BJ51" s="45">
        <f t="shared" si="44"/>
        <v>0</v>
      </c>
      <c r="BK51" s="45">
        <f t="shared" si="44"/>
        <v>0</v>
      </c>
      <c r="BL51" s="45">
        <f t="shared" si="44"/>
        <v>0</v>
      </c>
      <c r="BM51" s="45">
        <f t="shared" si="44"/>
        <v>0</v>
      </c>
      <c r="BN51" s="45">
        <f t="shared" si="44"/>
        <v>0</v>
      </c>
      <c r="BO51" s="45">
        <f t="shared" ref="BO51:CB51" si="45">IF(BO50&gt;$F7+1,0,1)*(IF(BP51=0,100,0)+IF($G7=1,1,0.5)*$J7*100)</f>
        <v>0</v>
      </c>
      <c r="BP51" s="45">
        <f t="shared" si="45"/>
        <v>0</v>
      </c>
      <c r="BQ51" s="45">
        <f t="shared" si="45"/>
        <v>0</v>
      </c>
      <c r="BR51" s="45">
        <f t="shared" si="45"/>
        <v>0</v>
      </c>
      <c r="BS51" s="45">
        <f t="shared" si="45"/>
        <v>0</v>
      </c>
      <c r="BT51" s="45">
        <f t="shared" si="45"/>
        <v>0</v>
      </c>
      <c r="BU51" s="45">
        <f t="shared" si="45"/>
        <v>0</v>
      </c>
      <c r="BV51" s="45">
        <f t="shared" si="45"/>
        <v>0</v>
      </c>
      <c r="BW51" s="45">
        <f t="shared" si="45"/>
        <v>0</v>
      </c>
      <c r="BX51" s="45">
        <f t="shared" si="45"/>
        <v>0</v>
      </c>
      <c r="BY51" s="45">
        <f t="shared" si="45"/>
        <v>0</v>
      </c>
      <c r="BZ51" s="45">
        <f t="shared" si="45"/>
        <v>0</v>
      </c>
      <c r="CA51" s="45">
        <f t="shared" si="45"/>
        <v>0</v>
      </c>
      <c r="CB51" s="46">
        <f t="shared" si="45"/>
        <v>0</v>
      </c>
    </row>
    <row r="52" spans="1:80">
      <c r="A52" s="252" t="s">
        <v>49</v>
      </c>
      <c r="B52" s="47">
        <f>IF(E8=0,F8,E8)</f>
        <v>0</v>
      </c>
      <c r="C52" s="48">
        <f t="shared" ref="C52:AH52" si="46">B52+IF($G8=1,365,182.5)</f>
        <v>182.5</v>
      </c>
      <c r="D52" s="48">
        <f t="shared" si="46"/>
        <v>365</v>
      </c>
      <c r="E52" s="48">
        <f t="shared" si="46"/>
        <v>547.5</v>
      </c>
      <c r="F52" s="48">
        <f t="shared" si="46"/>
        <v>730</v>
      </c>
      <c r="G52" s="48">
        <f t="shared" si="46"/>
        <v>912.5</v>
      </c>
      <c r="H52" s="48">
        <f t="shared" si="46"/>
        <v>1095</v>
      </c>
      <c r="I52" s="48">
        <f t="shared" si="46"/>
        <v>1277.5</v>
      </c>
      <c r="J52" s="48">
        <f t="shared" si="46"/>
        <v>1460</v>
      </c>
      <c r="K52" s="141">
        <f t="shared" si="46"/>
        <v>1642.5</v>
      </c>
      <c r="L52" s="48">
        <f t="shared" si="46"/>
        <v>1825</v>
      </c>
      <c r="M52" s="48">
        <f t="shared" si="46"/>
        <v>2007.5</v>
      </c>
      <c r="N52" s="48">
        <f t="shared" si="46"/>
        <v>2190</v>
      </c>
      <c r="O52" s="48">
        <f t="shared" si="46"/>
        <v>2372.5</v>
      </c>
      <c r="P52" s="48">
        <f t="shared" si="46"/>
        <v>2555</v>
      </c>
      <c r="Q52" s="48">
        <f t="shared" si="46"/>
        <v>2737.5</v>
      </c>
      <c r="R52" s="48">
        <f t="shared" si="46"/>
        <v>2920</v>
      </c>
      <c r="S52" s="48">
        <f t="shared" si="46"/>
        <v>3102.5</v>
      </c>
      <c r="T52" s="48">
        <f t="shared" si="46"/>
        <v>3285</v>
      </c>
      <c r="U52" s="48">
        <f t="shared" si="46"/>
        <v>3467.5</v>
      </c>
      <c r="V52" s="48">
        <f t="shared" si="46"/>
        <v>3650</v>
      </c>
      <c r="W52" s="48">
        <f t="shared" si="46"/>
        <v>3832.5</v>
      </c>
      <c r="X52" s="48">
        <f t="shared" si="46"/>
        <v>4015</v>
      </c>
      <c r="Y52" s="48">
        <f t="shared" si="46"/>
        <v>4197.5</v>
      </c>
      <c r="Z52" s="48">
        <f t="shared" si="46"/>
        <v>4380</v>
      </c>
      <c r="AA52" s="48">
        <f t="shared" si="46"/>
        <v>4562.5</v>
      </c>
      <c r="AB52" s="48">
        <f t="shared" si="46"/>
        <v>4745</v>
      </c>
      <c r="AC52" s="48">
        <f t="shared" si="46"/>
        <v>4927.5</v>
      </c>
      <c r="AD52" s="48">
        <f t="shared" si="46"/>
        <v>5110</v>
      </c>
      <c r="AE52" s="48">
        <f t="shared" si="46"/>
        <v>5292.5</v>
      </c>
      <c r="AF52" s="48">
        <f t="shared" si="46"/>
        <v>5475</v>
      </c>
      <c r="AG52" s="48">
        <f t="shared" si="46"/>
        <v>5657.5</v>
      </c>
      <c r="AH52" s="48">
        <f t="shared" si="46"/>
        <v>5840</v>
      </c>
      <c r="AI52" s="48">
        <f t="shared" ref="AI52:BN52" si="47">AH52+IF($G8=1,365,182.5)</f>
        <v>6022.5</v>
      </c>
      <c r="AJ52" s="48">
        <f t="shared" si="47"/>
        <v>6205</v>
      </c>
      <c r="AK52" s="48">
        <f t="shared" si="47"/>
        <v>6387.5</v>
      </c>
      <c r="AL52" s="48">
        <f t="shared" si="47"/>
        <v>6570</v>
      </c>
      <c r="AM52" s="48">
        <f t="shared" si="47"/>
        <v>6752.5</v>
      </c>
      <c r="AN52" s="48">
        <f t="shared" si="47"/>
        <v>6935</v>
      </c>
      <c r="AO52" s="48">
        <f t="shared" si="47"/>
        <v>7117.5</v>
      </c>
      <c r="AP52" s="48">
        <f t="shared" si="47"/>
        <v>7300</v>
      </c>
      <c r="AQ52" s="48">
        <f t="shared" si="47"/>
        <v>7482.5</v>
      </c>
      <c r="AR52" s="48">
        <f t="shared" si="47"/>
        <v>7665</v>
      </c>
      <c r="AS52" s="48">
        <f t="shared" si="47"/>
        <v>7847.5</v>
      </c>
      <c r="AT52" s="48">
        <f t="shared" si="47"/>
        <v>8030</v>
      </c>
      <c r="AU52" s="48">
        <f t="shared" si="47"/>
        <v>8212.5</v>
      </c>
      <c r="AV52" s="48">
        <f t="shared" si="47"/>
        <v>8395</v>
      </c>
      <c r="AW52" s="48">
        <f t="shared" si="47"/>
        <v>8577.5</v>
      </c>
      <c r="AX52" s="48">
        <f t="shared" si="47"/>
        <v>8760</v>
      </c>
      <c r="AY52" s="48">
        <f t="shared" si="47"/>
        <v>8942.5</v>
      </c>
      <c r="AZ52" s="48">
        <f t="shared" si="47"/>
        <v>9125</v>
      </c>
      <c r="BA52" s="48">
        <f t="shared" si="47"/>
        <v>9307.5</v>
      </c>
      <c r="BB52" s="48">
        <f t="shared" si="47"/>
        <v>9490</v>
      </c>
      <c r="BC52" s="48">
        <f t="shared" si="47"/>
        <v>9672.5</v>
      </c>
      <c r="BD52" s="48">
        <f t="shared" si="47"/>
        <v>9855</v>
      </c>
      <c r="BE52" s="48">
        <f t="shared" si="47"/>
        <v>10037.5</v>
      </c>
      <c r="BF52" s="48">
        <f t="shared" si="47"/>
        <v>10220</v>
      </c>
      <c r="BG52" s="48">
        <f t="shared" si="47"/>
        <v>10402.5</v>
      </c>
      <c r="BH52" s="48">
        <f t="shared" si="47"/>
        <v>10585</v>
      </c>
      <c r="BI52" s="48">
        <f t="shared" si="47"/>
        <v>10767.5</v>
      </c>
      <c r="BJ52" s="48">
        <f t="shared" si="47"/>
        <v>10950</v>
      </c>
      <c r="BK52" s="48">
        <f t="shared" si="47"/>
        <v>11132.5</v>
      </c>
      <c r="BL52" s="48">
        <f t="shared" si="47"/>
        <v>11315</v>
      </c>
      <c r="BM52" s="48">
        <f t="shared" si="47"/>
        <v>11497.5</v>
      </c>
      <c r="BN52" s="48">
        <f t="shared" si="47"/>
        <v>11680</v>
      </c>
      <c r="BO52" s="48">
        <f t="shared" ref="BO52:CB52" si="48">BN52+IF($G8=1,365,182.5)</f>
        <v>11862.5</v>
      </c>
      <c r="BP52" s="48">
        <f t="shared" si="48"/>
        <v>12045</v>
      </c>
      <c r="BQ52" s="48">
        <f t="shared" si="48"/>
        <v>12227.5</v>
      </c>
      <c r="BR52" s="48">
        <f t="shared" si="48"/>
        <v>12410</v>
      </c>
      <c r="BS52" s="48">
        <f t="shared" si="48"/>
        <v>12592.5</v>
      </c>
      <c r="BT52" s="48">
        <f t="shared" si="48"/>
        <v>12775</v>
      </c>
      <c r="BU52" s="48">
        <f t="shared" si="48"/>
        <v>12957.5</v>
      </c>
      <c r="BV52" s="48">
        <f t="shared" si="48"/>
        <v>13140</v>
      </c>
      <c r="BW52" s="48">
        <f t="shared" si="48"/>
        <v>13322.5</v>
      </c>
      <c r="BX52" s="48">
        <f t="shared" si="48"/>
        <v>13505</v>
      </c>
      <c r="BY52" s="48">
        <f t="shared" si="48"/>
        <v>13687.5</v>
      </c>
      <c r="BZ52" s="48">
        <f t="shared" si="48"/>
        <v>13870</v>
      </c>
      <c r="CA52" s="48">
        <f t="shared" si="48"/>
        <v>14052.5</v>
      </c>
      <c r="CB52" s="49">
        <f t="shared" si="48"/>
        <v>14235</v>
      </c>
    </row>
    <row r="53" spans="1:80">
      <c r="A53" s="168" t="s">
        <v>26</v>
      </c>
      <c r="B53" s="108">
        <f>(IF(B52=F8,100,0)+IF(G8=1,1,0.5)*J8*100)*IF(ISBLANK(F8)=TRUE,0,1)</f>
        <v>0</v>
      </c>
      <c r="C53" s="50">
        <f t="shared" ref="C53:AH53" si="49">IF(C52&gt;$F8+1,0,1)*(IF(D53=0,100,0)+IF($G8=1,1,0.5)*$J8*100)</f>
        <v>0</v>
      </c>
      <c r="D53" s="50">
        <f t="shared" si="49"/>
        <v>0</v>
      </c>
      <c r="E53" s="50">
        <f t="shared" si="49"/>
        <v>0</v>
      </c>
      <c r="F53" s="50">
        <f t="shared" si="49"/>
        <v>0</v>
      </c>
      <c r="G53" s="50">
        <f t="shared" si="49"/>
        <v>0</v>
      </c>
      <c r="H53" s="50">
        <f t="shared" si="49"/>
        <v>0</v>
      </c>
      <c r="I53" s="50">
        <f t="shared" si="49"/>
        <v>0</v>
      </c>
      <c r="J53" s="50">
        <f t="shared" si="49"/>
        <v>0</v>
      </c>
      <c r="K53" s="50">
        <f t="shared" si="49"/>
        <v>0</v>
      </c>
      <c r="L53" s="50">
        <f t="shared" si="49"/>
        <v>0</v>
      </c>
      <c r="M53" s="50">
        <f t="shared" si="49"/>
        <v>0</v>
      </c>
      <c r="N53" s="50">
        <f t="shared" si="49"/>
        <v>0</v>
      </c>
      <c r="O53" s="50">
        <f t="shared" si="49"/>
        <v>0</v>
      </c>
      <c r="P53" s="50">
        <f t="shared" si="49"/>
        <v>0</v>
      </c>
      <c r="Q53" s="50">
        <f t="shared" si="49"/>
        <v>0</v>
      </c>
      <c r="R53" s="50">
        <f t="shared" si="49"/>
        <v>0</v>
      </c>
      <c r="S53" s="50">
        <f t="shared" si="49"/>
        <v>0</v>
      </c>
      <c r="T53" s="50">
        <f t="shared" si="49"/>
        <v>0</v>
      </c>
      <c r="U53" s="50">
        <f t="shared" si="49"/>
        <v>0</v>
      </c>
      <c r="V53" s="50">
        <f t="shared" si="49"/>
        <v>0</v>
      </c>
      <c r="W53" s="50">
        <f t="shared" si="49"/>
        <v>0</v>
      </c>
      <c r="X53" s="50">
        <f t="shared" si="49"/>
        <v>0</v>
      </c>
      <c r="Y53" s="50">
        <f t="shared" si="49"/>
        <v>0</v>
      </c>
      <c r="Z53" s="50">
        <f t="shared" si="49"/>
        <v>0</v>
      </c>
      <c r="AA53" s="50">
        <f t="shared" si="49"/>
        <v>0</v>
      </c>
      <c r="AB53" s="50">
        <f t="shared" si="49"/>
        <v>0</v>
      </c>
      <c r="AC53" s="50">
        <f t="shared" si="49"/>
        <v>0</v>
      </c>
      <c r="AD53" s="50">
        <f t="shared" si="49"/>
        <v>0</v>
      </c>
      <c r="AE53" s="50">
        <f t="shared" si="49"/>
        <v>0</v>
      </c>
      <c r="AF53" s="50">
        <f t="shared" si="49"/>
        <v>0</v>
      </c>
      <c r="AG53" s="50">
        <f t="shared" si="49"/>
        <v>0</v>
      </c>
      <c r="AH53" s="50">
        <f t="shared" si="49"/>
        <v>0</v>
      </c>
      <c r="AI53" s="50">
        <f t="shared" ref="AI53:BN53" si="50">IF(AI52&gt;$F8+1,0,1)*(IF(AJ53=0,100,0)+IF($G8=1,1,0.5)*$J8*100)</f>
        <v>0</v>
      </c>
      <c r="AJ53" s="50">
        <f t="shared" si="50"/>
        <v>0</v>
      </c>
      <c r="AK53" s="50">
        <f t="shared" si="50"/>
        <v>0</v>
      </c>
      <c r="AL53" s="50">
        <f t="shared" si="50"/>
        <v>0</v>
      </c>
      <c r="AM53" s="50">
        <f t="shared" si="50"/>
        <v>0</v>
      </c>
      <c r="AN53" s="50">
        <f t="shared" si="50"/>
        <v>0</v>
      </c>
      <c r="AO53" s="50">
        <f t="shared" si="50"/>
        <v>0</v>
      </c>
      <c r="AP53" s="50">
        <f t="shared" si="50"/>
        <v>0</v>
      </c>
      <c r="AQ53" s="50">
        <f t="shared" si="50"/>
        <v>0</v>
      </c>
      <c r="AR53" s="50">
        <f t="shared" si="50"/>
        <v>0</v>
      </c>
      <c r="AS53" s="50">
        <f t="shared" si="50"/>
        <v>0</v>
      </c>
      <c r="AT53" s="50">
        <f t="shared" si="50"/>
        <v>0</v>
      </c>
      <c r="AU53" s="50">
        <f t="shared" si="50"/>
        <v>0</v>
      </c>
      <c r="AV53" s="50">
        <f t="shared" si="50"/>
        <v>0</v>
      </c>
      <c r="AW53" s="50">
        <f t="shared" si="50"/>
        <v>0</v>
      </c>
      <c r="AX53" s="50">
        <f t="shared" si="50"/>
        <v>0</v>
      </c>
      <c r="AY53" s="50">
        <f t="shared" si="50"/>
        <v>0</v>
      </c>
      <c r="AZ53" s="50">
        <f t="shared" si="50"/>
        <v>0</v>
      </c>
      <c r="BA53" s="50">
        <f t="shared" si="50"/>
        <v>0</v>
      </c>
      <c r="BB53" s="50">
        <f t="shared" si="50"/>
        <v>0</v>
      </c>
      <c r="BC53" s="50">
        <f t="shared" si="50"/>
        <v>0</v>
      </c>
      <c r="BD53" s="50">
        <f t="shared" si="50"/>
        <v>0</v>
      </c>
      <c r="BE53" s="50">
        <f t="shared" si="50"/>
        <v>0</v>
      </c>
      <c r="BF53" s="50">
        <f t="shared" si="50"/>
        <v>0</v>
      </c>
      <c r="BG53" s="50">
        <f t="shared" si="50"/>
        <v>0</v>
      </c>
      <c r="BH53" s="50">
        <f t="shared" si="50"/>
        <v>0</v>
      </c>
      <c r="BI53" s="50">
        <f t="shared" si="50"/>
        <v>0</v>
      </c>
      <c r="BJ53" s="50">
        <f t="shared" si="50"/>
        <v>0</v>
      </c>
      <c r="BK53" s="50">
        <f t="shared" si="50"/>
        <v>0</v>
      </c>
      <c r="BL53" s="50">
        <f t="shared" si="50"/>
        <v>0</v>
      </c>
      <c r="BM53" s="50">
        <f t="shared" si="50"/>
        <v>0</v>
      </c>
      <c r="BN53" s="50">
        <f t="shared" si="50"/>
        <v>0</v>
      </c>
      <c r="BO53" s="50">
        <f t="shared" ref="BO53:CB53" si="51">IF(BO52&gt;$F8+1,0,1)*(IF(BP53=0,100,0)+IF($G8=1,1,0.5)*$J8*100)</f>
        <v>0</v>
      </c>
      <c r="BP53" s="50">
        <f t="shared" si="51"/>
        <v>0</v>
      </c>
      <c r="BQ53" s="50">
        <f t="shared" si="51"/>
        <v>0</v>
      </c>
      <c r="BR53" s="50">
        <f t="shared" si="51"/>
        <v>0</v>
      </c>
      <c r="BS53" s="50">
        <f t="shared" si="51"/>
        <v>0</v>
      </c>
      <c r="BT53" s="50">
        <f t="shared" si="51"/>
        <v>0</v>
      </c>
      <c r="BU53" s="50">
        <f t="shared" si="51"/>
        <v>0</v>
      </c>
      <c r="BV53" s="50">
        <f t="shared" si="51"/>
        <v>0</v>
      </c>
      <c r="BW53" s="50">
        <f t="shared" si="51"/>
        <v>0</v>
      </c>
      <c r="BX53" s="50">
        <f t="shared" si="51"/>
        <v>0</v>
      </c>
      <c r="BY53" s="50">
        <f t="shared" si="51"/>
        <v>0</v>
      </c>
      <c r="BZ53" s="50">
        <f t="shared" si="51"/>
        <v>0</v>
      </c>
      <c r="CA53" s="50">
        <f t="shared" si="51"/>
        <v>0</v>
      </c>
      <c r="CB53" s="51">
        <f t="shared" si="51"/>
        <v>0</v>
      </c>
    </row>
    <row r="54" spans="1:80">
      <c r="A54" s="259" t="s">
        <v>49</v>
      </c>
      <c r="B54" s="52" t="str">
        <f>IF(E9=0,F9,E9)</f>
        <v>8/20/2019</v>
      </c>
      <c r="C54" s="53">
        <f t="shared" ref="C54:AH54" si="52">B54+IF($G9=1,365,182.5)</f>
        <v>43879.5</v>
      </c>
      <c r="D54" s="53">
        <f t="shared" si="52"/>
        <v>44062</v>
      </c>
      <c r="E54" s="53">
        <f t="shared" si="52"/>
        <v>44244.5</v>
      </c>
      <c r="F54" s="53">
        <f t="shared" si="52"/>
        <v>44427</v>
      </c>
      <c r="G54" s="53">
        <f t="shared" si="52"/>
        <v>44609.5</v>
      </c>
      <c r="H54" s="53">
        <f t="shared" si="52"/>
        <v>44792</v>
      </c>
      <c r="I54" s="53">
        <f t="shared" si="52"/>
        <v>44974.5</v>
      </c>
      <c r="J54" s="53">
        <f t="shared" si="52"/>
        <v>45157</v>
      </c>
      <c r="K54" s="53">
        <f t="shared" si="52"/>
        <v>45339.5</v>
      </c>
      <c r="L54" s="53">
        <f t="shared" si="52"/>
        <v>45522</v>
      </c>
      <c r="M54" s="53">
        <f t="shared" si="52"/>
        <v>45704.5</v>
      </c>
      <c r="N54" s="53">
        <f t="shared" si="52"/>
        <v>45887</v>
      </c>
      <c r="O54" s="53">
        <f t="shared" si="52"/>
        <v>46069.5</v>
      </c>
      <c r="P54" s="53">
        <f t="shared" si="52"/>
        <v>46252</v>
      </c>
      <c r="Q54" s="53">
        <f t="shared" si="52"/>
        <v>46434.5</v>
      </c>
      <c r="R54" s="53">
        <f t="shared" si="52"/>
        <v>46617</v>
      </c>
      <c r="S54" s="53">
        <f t="shared" si="52"/>
        <v>46799.5</v>
      </c>
      <c r="T54" s="53">
        <f t="shared" si="52"/>
        <v>46982</v>
      </c>
      <c r="U54" s="53">
        <f t="shared" si="52"/>
        <v>47164.5</v>
      </c>
      <c r="V54" s="53">
        <f t="shared" si="52"/>
        <v>47347</v>
      </c>
      <c r="W54" s="53">
        <f t="shared" si="52"/>
        <v>47529.5</v>
      </c>
      <c r="X54" s="53">
        <f t="shared" si="52"/>
        <v>47712</v>
      </c>
      <c r="Y54" s="53">
        <f t="shared" si="52"/>
        <v>47894.5</v>
      </c>
      <c r="Z54" s="53">
        <f t="shared" si="52"/>
        <v>48077</v>
      </c>
      <c r="AA54" s="53">
        <f t="shared" si="52"/>
        <v>48259.5</v>
      </c>
      <c r="AB54" s="53">
        <f t="shared" si="52"/>
        <v>48442</v>
      </c>
      <c r="AC54" s="53">
        <f t="shared" si="52"/>
        <v>48624.5</v>
      </c>
      <c r="AD54" s="53">
        <f t="shared" si="52"/>
        <v>48807</v>
      </c>
      <c r="AE54" s="53">
        <f t="shared" si="52"/>
        <v>48989.5</v>
      </c>
      <c r="AF54" s="53">
        <f t="shared" si="52"/>
        <v>49172</v>
      </c>
      <c r="AG54" s="53">
        <f t="shared" si="52"/>
        <v>49354.5</v>
      </c>
      <c r="AH54" s="53">
        <f t="shared" si="52"/>
        <v>49537</v>
      </c>
      <c r="AI54" s="53">
        <f t="shared" ref="AI54:BN54" si="53">AH54+IF($G9=1,365,182.5)</f>
        <v>49719.5</v>
      </c>
      <c r="AJ54" s="53">
        <f t="shared" si="53"/>
        <v>49902</v>
      </c>
      <c r="AK54" s="53">
        <f t="shared" si="53"/>
        <v>50084.5</v>
      </c>
      <c r="AL54" s="53">
        <f t="shared" si="53"/>
        <v>50267</v>
      </c>
      <c r="AM54" s="53">
        <f t="shared" si="53"/>
        <v>50449.5</v>
      </c>
      <c r="AN54" s="53">
        <f t="shared" si="53"/>
        <v>50632</v>
      </c>
      <c r="AO54" s="53">
        <f t="shared" si="53"/>
        <v>50814.5</v>
      </c>
      <c r="AP54" s="53">
        <f t="shared" si="53"/>
        <v>50997</v>
      </c>
      <c r="AQ54" s="53">
        <f t="shared" si="53"/>
        <v>51179.5</v>
      </c>
      <c r="AR54" s="53">
        <f t="shared" si="53"/>
        <v>51362</v>
      </c>
      <c r="AS54" s="53">
        <f t="shared" si="53"/>
        <v>51544.5</v>
      </c>
      <c r="AT54" s="53">
        <f t="shared" si="53"/>
        <v>51727</v>
      </c>
      <c r="AU54" s="53">
        <f t="shared" si="53"/>
        <v>51909.5</v>
      </c>
      <c r="AV54" s="53">
        <f t="shared" si="53"/>
        <v>52092</v>
      </c>
      <c r="AW54" s="53">
        <f t="shared" si="53"/>
        <v>52274.5</v>
      </c>
      <c r="AX54" s="53">
        <f t="shared" si="53"/>
        <v>52457</v>
      </c>
      <c r="AY54" s="53">
        <f t="shared" si="53"/>
        <v>52639.5</v>
      </c>
      <c r="AZ54" s="53">
        <f t="shared" si="53"/>
        <v>52822</v>
      </c>
      <c r="BA54" s="53">
        <f t="shared" si="53"/>
        <v>53004.5</v>
      </c>
      <c r="BB54" s="53">
        <f t="shared" si="53"/>
        <v>53187</v>
      </c>
      <c r="BC54" s="53">
        <f t="shared" si="53"/>
        <v>53369.5</v>
      </c>
      <c r="BD54" s="53">
        <f t="shared" si="53"/>
        <v>53552</v>
      </c>
      <c r="BE54" s="53">
        <f t="shared" si="53"/>
        <v>53734.5</v>
      </c>
      <c r="BF54" s="53">
        <f t="shared" si="53"/>
        <v>53917</v>
      </c>
      <c r="BG54" s="53">
        <f t="shared" si="53"/>
        <v>54099.5</v>
      </c>
      <c r="BH54" s="53">
        <f t="shared" si="53"/>
        <v>54282</v>
      </c>
      <c r="BI54" s="53">
        <f t="shared" si="53"/>
        <v>54464.5</v>
      </c>
      <c r="BJ54" s="53">
        <f t="shared" si="53"/>
        <v>54647</v>
      </c>
      <c r="BK54" s="53">
        <f t="shared" si="53"/>
        <v>54829.5</v>
      </c>
      <c r="BL54" s="53">
        <f t="shared" si="53"/>
        <v>55012</v>
      </c>
      <c r="BM54" s="53">
        <f t="shared" si="53"/>
        <v>55194.5</v>
      </c>
      <c r="BN54" s="53">
        <f t="shared" si="53"/>
        <v>55377</v>
      </c>
      <c r="BO54" s="53">
        <f t="shared" ref="BO54:CB54" si="54">BN54+IF($G9=1,365,182.5)</f>
        <v>55559.5</v>
      </c>
      <c r="BP54" s="53">
        <f t="shared" si="54"/>
        <v>55742</v>
      </c>
      <c r="BQ54" s="53">
        <f t="shared" si="54"/>
        <v>55924.5</v>
      </c>
      <c r="BR54" s="53">
        <f t="shared" si="54"/>
        <v>56107</v>
      </c>
      <c r="BS54" s="53">
        <f t="shared" si="54"/>
        <v>56289.5</v>
      </c>
      <c r="BT54" s="53">
        <f t="shared" si="54"/>
        <v>56472</v>
      </c>
      <c r="BU54" s="53">
        <f t="shared" si="54"/>
        <v>56654.5</v>
      </c>
      <c r="BV54" s="53">
        <f t="shared" si="54"/>
        <v>56837</v>
      </c>
      <c r="BW54" s="53">
        <f t="shared" si="54"/>
        <v>57019.5</v>
      </c>
      <c r="BX54" s="53">
        <f t="shared" si="54"/>
        <v>57202</v>
      </c>
      <c r="BY54" s="53">
        <f t="shared" si="54"/>
        <v>57384.5</v>
      </c>
      <c r="BZ54" s="53">
        <f t="shared" si="54"/>
        <v>57567</v>
      </c>
      <c r="CA54" s="53">
        <f t="shared" si="54"/>
        <v>57749.5</v>
      </c>
      <c r="CB54" s="54">
        <f t="shared" si="54"/>
        <v>57932</v>
      </c>
    </row>
    <row r="55" spans="1:80">
      <c r="A55" s="169" t="s">
        <v>27</v>
      </c>
      <c r="B55" s="109">
        <f>(IF(B54=F9,100,0)+IF(G9=1,1,0.5)*J9*100)*IF(ISBLANK(F9)=TRUE,0,1)</f>
        <v>1.3</v>
      </c>
      <c r="C55" s="55">
        <f t="shared" ref="C55:AH55" si="55">IF(C54&gt;$F9+1,0,1)*(IF(D55=0,100,0)+IF($G9=1,1,0.5)*$J9*100)</f>
        <v>1.3</v>
      </c>
      <c r="D55" s="55">
        <f t="shared" si="55"/>
        <v>1.3</v>
      </c>
      <c r="E55" s="55">
        <f t="shared" si="55"/>
        <v>1.3</v>
      </c>
      <c r="F55" s="55">
        <f t="shared" si="55"/>
        <v>1.3</v>
      </c>
      <c r="G55" s="55">
        <f t="shared" si="55"/>
        <v>1.3</v>
      </c>
      <c r="H55" s="55">
        <f t="shared" si="55"/>
        <v>1.3</v>
      </c>
      <c r="I55" s="55">
        <f t="shared" si="55"/>
        <v>1.3</v>
      </c>
      <c r="J55" s="55">
        <f t="shared" si="55"/>
        <v>1.3</v>
      </c>
      <c r="K55" s="55">
        <f t="shared" si="55"/>
        <v>1.3</v>
      </c>
      <c r="L55" s="55">
        <f t="shared" si="55"/>
        <v>101.3</v>
      </c>
      <c r="M55" s="55">
        <f t="shared" si="55"/>
        <v>0</v>
      </c>
      <c r="N55" s="55">
        <f t="shared" si="55"/>
        <v>0</v>
      </c>
      <c r="O55" s="55">
        <f t="shared" si="55"/>
        <v>0</v>
      </c>
      <c r="P55" s="55">
        <f t="shared" si="55"/>
        <v>0</v>
      </c>
      <c r="Q55" s="55">
        <f t="shared" si="55"/>
        <v>0</v>
      </c>
      <c r="R55" s="55">
        <f t="shared" si="55"/>
        <v>0</v>
      </c>
      <c r="S55" s="55">
        <f t="shared" si="55"/>
        <v>0</v>
      </c>
      <c r="T55" s="55">
        <f t="shared" si="55"/>
        <v>0</v>
      </c>
      <c r="U55" s="55">
        <f t="shared" si="55"/>
        <v>0</v>
      </c>
      <c r="V55" s="55">
        <f t="shared" si="55"/>
        <v>0</v>
      </c>
      <c r="W55" s="55">
        <f t="shared" si="55"/>
        <v>0</v>
      </c>
      <c r="X55" s="55">
        <f t="shared" si="55"/>
        <v>0</v>
      </c>
      <c r="Y55" s="55">
        <f t="shared" si="55"/>
        <v>0</v>
      </c>
      <c r="Z55" s="55">
        <f t="shared" si="55"/>
        <v>0</v>
      </c>
      <c r="AA55" s="55">
        <f t="shared" si="55"/>
        <v>0</v>
      </c>
      <c r="AB55" s="55">
        <f t="shared" si="55"/>
        <v>0</v>
      </c>
      <c r="AC55" s="55">
        <f t="shared" si="55"/>
        <v>0</v>
      </c>
      <c r="AD55" s="55">
        <f t="shared" si="55"/>
        <v>0</v>
      </c>
      <c r="AE55" s="55">
        <f t="shared" si="55"/>
        <v>0</v>
      </c>
      <c r="AF55" s="55">
        <f t="shared" si="55"/>
        <v>0</v>
      </c>
      <c r="AG55" s="55">
        <f t="shared" si="55"/>
        <v>0</v>
      </c>
      <c r="AH55" s="55">
        <f t="shared" si="55"/>
        <v>0</v>
      </c>
      <c r="AI55" s="55">
        <f t="shared" ref="AI55:BN55" si="56">IF(AI54&gt;$F9+1,0,1)*(IF(AJ55=0,100,0)+IF($G9=1,1,0.5)*$J9*100)</f>
        <v>0</v>
      </c>
      <c r="AJ55" s="55">
        <f t="shared" si="56"/>
        <v>0</v>
      </c>
      <c r="AK55" s="55">
        <f t="shared" si="56"/>
        <v>0</v>
      </c>
      <c r="AL55" s="55">
        <f t="shared" si="56"/>
        <v>0</v>
      </c>
      <c r="AM55" s="55">
        <f t="shared" si="56"/>
        <v>0</v>
      </c>
      <c r="AN55" s="55">
        <f t="shared" si="56"/>
        <v>0</v>
      </c>
      <c r="AO55" s="55">
        <f t="shared" si="56"/>
        <v>0</v>
      </c>
      <c r="AP55" s="55">
        <f t="shared" si="56"/>
        <v>0</v>
      </c>
      <c r="AQ55" s="55">
        <f t="shared" si="56"/>
        <v>0</v>
      </c>
      <c r="AR55" s="55">
        <f t="shared" si="56"/>
        <v>0</v>
      </c>
      <c r="AS55" s="55">
        <f t="shared" si="56"/>
        <v>0</v>
      </c>
      <c r="AT55" s="55">
        <f t="shared" si="56"/>
        <v>0</v>
      </c>
      <c r="AU55" s="55">
        <f t="shared" si="56"/>
        <v>0</v>
      </c>
      <c r="AV55" s="55">
        <f t="shared" si="56"/>
        <v>0</v>
      </c>
      <c r="AW55" s="55">
        <f t="shared" si="56"/>
        <v>0</v>
      </c>
      <c r="AX55" s="55">
        <f t="shared" si="56"/>
        <v>0</v>
      </c>
      <c r="AY55" s="55">
        <f t="shared" si="56"/>
        <v>0</v>
      </c>
      <c r="AZ55" s="55">
        <f t="shared" si="56"/>
        <v>0</v>
      </c>
      <c r="BA55" s="55">
        <f t="shared" si="56"/>
        <v>0</v>
      </c>
      <c r="BB55" s="55">
        <f t="shared" si="56"/>
        <v>0</v>
      </c>
      <c r="BC55" s="55">
        <f t="shared" si="56"/>
        <v>0</v>
      </c>
      <c r="BD55" s="55">
        <f t="shared" si="56"/>
        <v>0</v>
      </c>
      <c r="BE55" s="55">
        <f t="shared" si="56"/>
        <v>0</v>
      </c>
      <c r="BF55" s="55">
        <f t="shared" si="56"/>
        <v>0</v>
      </c>
      <c r="BG55" s="55">
        <f t="shared" si="56"/>
        <v>0</v>
      </c>
      <c r="BH55" s="55">
        <f t="shared" si="56"/>
        <v>0</v>
      </c>
      <c r="BI55" s="55">
        <f t="shared" si="56"/>
        <v>0</v>
      </c>
      <c r="BJ55" s="55">
        <f t="shared" si="56"/>
        <v>0</v>
      </c>
      <c r="BK55" s="55">
        <f t="shared" si="56"/>
        <v>0</v>
      </c>
      <c r="BL55" s="55">
        <f t="shared" si="56"/>
        <v>0</v>
      </c>
      <c r="BM55" s="55">
        <f t="shared" si="56"/>
        <v>0</v>
      </c>
      <c r="BN55" s="55">
        <f t="shared" si="56"/>
        <v>0</v>
      </c>
      <c r="BO55" s="55">
        <f t="shared" ref="BO55:CB55" si="57">IF(BO54&gt;$F9+1,0,1)*(IF(BP55=0,100,0)+IF($G9=1,1,0.5)*$J9*100)</f>
        <v>0</v>
      </c>
      <c r="BP55" s="55">
        <f t="shared" si="57"/>
        <v>0</v>
      </c>
      <c r="BQ55" s="55">
        <f t="shared" si="57"/>
        <v>0</v>
      </c>
      <c r="BR55" s="55">
        <f t="shared" si="57"/>
        <v>0</v>
      </c>
      <c r="BS55" s="55">
        <f t="shared" si="57"/>
        <v>0</v>
      </c>
      <c r="BT55" s="55">
        <f t="shared" si="57"/>
        <v>0</v>
      </c>
      <c r="BU55" s="55">
        <f t="shared" si="57"/>
        <v>0</v>
      </c>
      <c r="BV55" s="55">
        <f t="shared" si="57"/>
        <v>0</v>
      </c>
      <c r="BW55" s="55">
        <f t="shared" si="57"/>
        <v>0</v>
      </c>
      <c r="BX55" s="55">
        <f t="shared" si="57"/>
        <v>0</v>
      </c>
      <c r="BY55" s="55">
        <f t="shared" si="57"/>
        <v>0</v>
      </c>
      <c r="BZ55" s="55">
        <f t="shared" si="57"/>
        <v>0</v>
      </c>
      <c r="CA55" s="55">
        <f t="shared" si="57"/>
        <v>0</v>
      </c>
      <c r="CB55" s="56">
        <f t="shared" si="57"/>
        <v>0</v>
      </c>
    </row>
    <row r="56" spans="1:80">
      <c r="A56" s="258" t="s">
        <v>49</v>
      </c>
      <c r="B56" s="149" t="str">
        <f>IF(E10=0,F10,E10)</f>
        <v>12/9/2019</v>
      </c>
      <c r="C56" s="150">
        <f t="shared" ref="C56:AH56" si="58">B56+IF($G10=1,365,182.5)</f>
        <v>43990.5</v>
      </c>
      <c r="D56" s="150">
        <f t="shared" si="58"/>
        <v>44173</v>
      </c>
      <c r="E56" s="150">
        <f t="shared" si="58"/>
        <v>44355.5</v>
      </c>
      <c r="F56" s="150">
        <f t="shared" si="58"/>
        <v>44538</v>
      </c>
      <c r="G56" s="150">
        <f t="shared" si="58"/>
        <v>44720.5</v>
      </c>
      <c r="H56" s="150">
        <f t="shared" si="58"/>
        <v>44903</v>
      </c>
      <c r="I56" s="150">
        <f t="shared" si="58"/>
        <v>45085.5</v>
      </c>
      <c r="J56" s="150">
        <f t="shared" si="58"/>
        <v>45268</v>
      </c>
      <c r="K56" s="150">
        <f t="shared" si="58"/>
        <v>45450.5</v>
      </c>
      <c r="L56" s="150">
        <f t="shared" si="58"/>
        <v>45633</v>
      </c>
      <c r="M56" s="150">
        <f t="shared" si="58"/>
        <v>45815.5</v>
      </c>
      <c r="N56" s="150">
        <f t="shared" si="58"/>
        <v>45998</v>
      </c>
      <c r="O56" s="150">
        <f t="shared" si="58"/>
        <v>46180.5</v>
      </c>
      <c r="P56" s="150">
        <f t="shared" si="58"/>
        <v>46363</v>
      </c>
      <c r="Q56" s="150">
        <f t="shared" si="58"/>
        <v>46545.5</v>
      </c>
      <c r="R56" s="150">
        <f t="shared" si="58"/>
        <v>46728</v>
      </c>
      <c r="S56" s="150">
        <f t="shared" si="58"/>
        <v>46910.5</v>
      </c>
      <c r="T56" s="150">
        <f t="shared" si="58"/>
        <v>47093</v>
      </c>
      <c r="U56" s="150">
        <f t="shared" si="58"/>
        <v>47275.5</v>
      </c>
      <c r="V56" s="150">
        <f t="shared" si="58"/>
        <v>47458</v>
      </c>
      <c r="W56" s="150">
        <f t="shared" si="58"/>
        <v>47640.5</v>
      </c>
      <c r="X56" s="150">
        <f t="shared" si="58"/>
        <v>47823</v>
      </c>
      <c r="Y56" s="150">
        <f t="shared" si="58"/>
        <v>48005.5</v>
      </c>
      <c r="Z56" s="150">
        <f t="shared" si="58"/>
        <v>48188</v>
      </c>
      <c r="AA56" s="150">
        <f t="shared" si="58"/>
        <v>48370.5</v>
      </c>
      <c r="AB56" s="150">
        <f t="shared" si="58"/>
        <v>48553</v>
      </c>
      <c r="AC56" s="150">
        <f t="shared" si="58"/>
        <v>48735.5</v>
      </c>
      <c r="AD56" s="150">
        <f t="shared" si="58"/>
        <v>48918</v>
      </c>
      <c r="AE56" s="150">
        <f t="shared" si="58"/>
        <v>49100.5</v>
      </c>
      <c r="AF56" s="150">
        <f t="shared" si="58"/>
        <v>49283</v>
      </c>
      <c r="AG56" s="150">
        <f t="shared" si="58"/>
        <v>49465.5</v>
      </c>
      <c r="AH56" s="150">
        <f t="shared" si="58"/>
        <v>49648</v>
      </c>
      <c r="AI56" s="150">
        <f t="shared" ref="AI56:BN56" si="59">AH56+IF($G10=1,365,182.5)</f>
        <v>49830.5</v>
      </c>
      <c r="AJ56" s="150">
        <f t="shared" si="59"/>
        <v>50013</v>
      </c>
      <c r="AK56" s="150">
        <f t="shared" si="59"/>
        <v>50195.5</v>
      </c>
      <c r="AL56" s="150">
        <f t="shared" si="59"/>
        <v>50378</v>
      </c>
      <c r="AM56" s="150">
        <f t="shared" si="59"/>
        <v>50560.5</v>
      </c>
      <c r="AN56" s="150">
        <f t="shared" si="59"/>
        <v>50743</v>
      </c>
      <c r="AO56" s="150">
        <f t="shared" si="59"/>
        <v>50925.5</v>
      </c>
      <c r="AP56" s="150">
        <f t="shared" si="59"/>
        <v>51108</v>
      </c>
      <c r="AQ56" s="150">
        <f t="shared" si="59"/>
        <v>51290.5</v>
      </c>
      <c r="AR56" s="150">
        <f t="shared" si="59"/>
        <v>51473</v>
      </c>
      <c r="AS56" s="150">
        <f t="shared" si="59"/>
        <v>51655.5</v>
      </c>
      <c r="AT56" s="150">
        <f t="shared" si="59"/>
        <v>51838</v>
      </c>
      <c r="AU56" s="150">
        <f t="shared" si="59"/>
        <v>52020.5</v>
      </c>
      <c r="AV56" s="150">
        <f t="shared" si="59"/>
        <v>52203</v>
      </c>
      <c r="AW56" s="150">
        <f t="shared" si="59"/>
        <v>52385.5</v>
      </c>
      <c r="AX56" s="150">
        <f t="shared" si="59"/>
        <v>52568</v>
      </c>
      <c r="AY56" s="150">
        <f t="shared" si="59"/>
        <v>52750.5</v>
      </c>
      <c r="AZ56" s="150">
        <f t="shared" si="59"/>
        <v>52933</v>
      </c>
      <c r="BA56" s="150">
        <f t="shared" si="59"/>
        <v>53115.5</v>
      </c>
      <c r="BB56" s="150">
        <f t="shared" si="59"/>
        <v>53298</v>
      </c>
      <c r="BC56" s="150">
        <f t="shared" si="59"/>
        <v>53480.5</v>
      </c>
      <c r="BD56" s="150">
        <f t="shared" si="59"/>
        <v>53663</v>
      </c>
      <c r="BE56" s="150">
        <f t="shared" si="59"/>
        <v>53845.5</v>
      </c>
      <c r="BF56" s="150">
        <f t="shared" si="59"/>
        <v>54028</v>
      </c>
      <c r="BG56" s="150">
        <f t="shared" si="59"/>
        <v>54210.5</v>
      </c>
      <c r="BH56" s="150">
        <f t="shared" si="59"/>
        <v>54393</v>
      </c>
      <c r="BI56" s="150">
        <f t="shared" si="59"/>
        <v>54575.5</v>
      </c>
      <c r="BJ56" s="150">
        <f t="shared" si="59"/>
        <v>54758</v>
      </c>
      <c r="BK56" s="150">
        <f t="shared" si="59"/>
        <v>54940.5</v>
      </c>
      <c r="BL56" s="150">
        <f t="shared" si="59"/>
        <v>55123</v>
      </c>
      <c r="BM56" s="150">
        <f t="shared" si="59"/>
        <v>55305.5</v>
      </c>
      <c r="BN56" s="150">
        <f t="shared" si="59"/>
        <v>55488</v>
      </c>
      <c r="BO56" s="150">
        <f t="shared" ref="BO56:CB56" si="60">BN56+IF($G10=1,365,182.5)</f>
        <v>55670.5</v>
      </c>
      <c r="BP56" s="150">
        <f t="shared" si="60"/>
        <v>55853</v>
      </c>
      <c r="BQ56" s="150">
        <f t="shared" si="60"/>
        <v>56035.5</v>
      </c>
      <c r="BR56" s="150">
        <f t="shared" si="60"/>
        <v>56218</v>
      </c>
      <c r="BS56" s="150">
        <f t="shared" si="60"/>
        <v>56400.5</v>
      </c>
      <c r="BT56" s="150">
        <f t="shared" si="60"/>
        <v>56583</v>
      </c>
      <c r="BU56" s="150">
        <f t="shared" si="60"/>
        <v>56765.5</v>
      </c>
      <c r="BV56" s="150">
        <f t="shared" si="60"/>
        <v>56948</v>
      </c>
      <c r="BW56" s="150">
        <f t="shared" si="60"/>
        <v>57130.5</v>
      </c>
      <c r="BX56" s="150">
        <f t="shared" si="60"/>
        <v>57313</v>
      </c>
      <c r="BY56" s="150">
        <f t="shared" si="60"/>
        <v>57495.5</v>
      </c>
      <c r="BZ56" s="150">
        <f t="shared" si="60"/>
        <v>57678</v>
      </c>
      <c r="CA56" s="150">
        <f t="shared" si="60"/>
        <v>57860.5</v>
      </c>
      <c r="CB56" s="151">
        <f t="shared" si="60"/>
        <v>58043</v>
      </c>
    </row>
    <row r="57" spans="1:80">
      <c r="A57" s="170" t="s">
        <v>17</v>
      </c>
      <c r="B57" s="152">
        <f>(IF(B56=F10,100,0)+IF(G10=1,1,0.5)*J10*100)*IF(ISBLANK(F10)=TRUE,0,1)</f>
        <v>101.08</v>
      </c>
      <c r="C57" s="153">
        <f t="shared" ref="C57:AH57" si="61">IF(C56&gt;$F10+1,0,1)*(IF(D57=0,100,0)+IF($G10=1,1,0.5)*$J10*100)</f>
        <v>0</v>
      </c>
      <c r="D57" s="153">
        <f t="shared" si="61"/>
        <v>0</v>
      </c>
      <c r="E57" s="153">
        <f t="shared" si="61"/>
        <v>0</v>
      </c>
      <c r="F57" s="153">
        <f t="shared" si="61"/>
        <v>0</v>
      </c>
      <c r="G57" s="153">
        <f t="shared" si="61"/>
        <v>0</v>
      </c>
      <c r="H57" s="153">
        <f t="shared" si="61"/>
        <v>0</v>
      </c>
      <c r="I57" s="153">
        <f t="shared" si="61"/>
        <v>0</v>
      </c>
      <c r="J57" s="153">
        <f t="shared" si="61"/>
        <v>0</v>
      </c>
      <c r="K57" s="153">
        <f t="shared" si="61"/>
        <v>0</v>
      </c>
      <c r="L57" s="153">
        <f t="shared" si="61"/>
        <v>0</v>
      </c>
      <c r="M57" s="153">
        <f t="shared" si="61"/>
        <v>0</v>
      </c>
      <c r="N57" s="153">
        <f t="shared" si="61"/>
        <v>0</v>
      </c>
      <c r="O57" s="153">
        <f t="shared" si="61"/>
        <v>0</v>
      </c>
      <c r="P57" s="153">
        <f t="shared" si="61"/>
        <v>0</v>
      </c>
      <c r="Q57" s="153">
        <f t="shared" si="61"/>
        <v>0</v>
      </c>
      <c r="R57" s="153">
        <f t="shared" si="61"/>
        <v>0</v>
      </c>
      <c r="S57" s="153">
        <f t="shared" si="61"/>
        <v>0</v>
      </c>
      <c r="T57" s="153">
        <f t="shared" si="61"/>
        <v>0</v>
      </c>
      <c r="U57" s="153">
        <f t="shared" si="61"/>
        <v>0</v>
      </c>
      <c r="V57" s="153">
        <f t="shared" si="61"/>
        <v>0</v>
      </c>
      <c r="W57" s="153">
        <f t="shared" si="61"/>
        <v>0</v>
      </c>
      <c r="X57" s="153">
        <f t="shared" si="61"/>
        <v>0</v>
      </c>
      <c r="Y57" s="153">
        <f t="shared" si="61"/>
        <v>0</v>
      </c>
      <c r="Z57" s="153">
        <f t="shared" si="61"/>
        <v>0</v>
      </c>
      <c r="AA57" s="153">
        <f t="shared" si="61"/>
        <v>0</v>
      </c>
      <c r="AB57" s="153">
        <f t="shared" si="61"/>
        <v>0</v>
      </c>
      <c r="AC57" s="153">
        <f t="shared" si="61"/>
        <v>0</v>
      </c>
      <c r="AD57" s="153">
        <f t="shared" si="61"/>
        <v>0</v>
      </c>
      <c r="AE57" s="153">
        <f t="shared" si="61"/>
        <v>0</v>
      </c>
      <c r="AF57" s="153">
        <f t="shared" si="61"/>
        <v>0</v>
      </c>
      <c r="AG57" s="153">
        <f t="shared" si="61"/>
        <v>0</v>
      </c>
      <c r="AH57" s="153">
        <f t="shared" si="61"/>
        <v>0</v>
      </c>
      <c r="AI57" s="153">
        <f t="shared" ref="AI57:BN57" si="62">IF(AI56&gt;$F10+1,0,1)*(IF(AJ57=0,100,0)+IF($G10=1,1,0.5)*$J10*100)</f>
        <v>0</v>
      </c>
      <c r="AJ57" s="153">
        <f t="shared" si="62"/>
        <v>0</v>
      </c>
      <c r="AK57" s="153">
        <f t="shared" si="62"/>
        <v>0</v>
      </c>
      <c r="AL57" s="153">
        <f t="shared" si="62"/>
        <v>0</v>
      </c>
      <c r="AM57" s="153">
        <f t="shared" si="62"/>
        <v>0</v>
      </c>
      <c r="AN57" s="153">
        <f t="shared" si="62"/>
        <v>0</v>
      </c>
      <c r="AO57" s="153">
        <f t="shared" si="62"/>
        <v>0</v>
      </c>
      <c r="AP57" s="153">
        <f t="shared" si="62"/>
        <v>0</v>
      </c>
      <c r="AQ57" s="153">
        <f t="shared" si="62"/>
        <v>0</v>
      </c>
      <c r="AR57" s="153">
        <f t="shared" si="62"/>
        <v>0</v>
      </c>
      <c r="AS57" s="153">
        <f t="shared" si="62"/>
        <v>0</v>
      </c>
      <c r="AT57" s="153">
        <f t="shared" si="62"/>
        <v>0</v>
      </c>
      <c r="AU57" s="153">
        <f t="shared" si="62"/>
        <v>0</v>
      </c>
      <c r="AV57" s="153">
        <f t="shared" si="62"/>
        <v>0</v>
      </c>
      <c r="AW57" s="153">
        <f t="shared" si="62"/>
        <v>0</v>
      </c>
      <c r="AX57" s="153">
        <f t="shared" si="62"/>
        <v>0</v>
      </c>
      <c r="AY57" s="153">
        <f t="shared" si="62"/>
        <v>0</v>
      </c>
      <c r="AZ57" s="153">
        <f t="shared" si="62"/>
        <v>0</v>
      </c>
      <c r="BA57" s="153">
        <f t="shared" si="62"/>
        <v>0</v>
      </c>
      <c r="BB57" s="153">
        <f t="shared" si="62"/>
        <v>0</v>
      </c>
      <c r="BC57" s="153">
        <f t="shared" si="62"/>
        <v>0</v>
      </c>
      <c r="BD57" s="153">
        <f t="shared" si="62"/>
        <v>0</v>
      </c>
      <c r="BE57" s="153">
        <f t="shared" si="62"/>
        <v>0</v>
      </c>
      <c r="BF57" s="153">
        <f t="shared" si="62"/>
        <v>0</v>
      </c>
      <c r="BG57" s="153">
        <f t="shared" si="62"/>
        <v>0</v>
      </c>
      <c r="BH57" s="153">
        <f t="shared" si="62"/>
        <v>0</v>
      </c>
      <c r="BI57" s="153">
        <f t="shared" si="62"/>
        <v>0</v>
      </c>
      <c r="BJ57" s="153">
        <f t="shared" si="62"/>
        <v>0</v>
      </c>
      <c r="BK57" s="153">
        <f t="shared" si="62"/>
        <v>0</v>
      </c>
      <c r="BL57" s="153">
        <f t="shared" si="62"/>
        <v>0</v>
      </c>
      <c r="BM57" s="153">
        <f t="shared" si="62"/>
        <v>0</v>
      </c>
      <c r="BN57" s="153">
        <f t="shared" si="62"/>
        <v>0</v>
      </c>
      <c r="BO57" s="153">
        <f t="shared" ref="BO57:CB57" si="63">IF(BO56&gt;$F10+1,0,1)*(IF(BP57=0,100,0)+IF($G10=1,1,0.5)*$J10*100)</f>
        <v>0</v>
      </c>
      <c r="BP57" s="153">
        <f t="shared" si="63"/>
        <v>0</v>
      </c>
      <c r="BQ57" s="153">
        <f t="shared" si="63"/>
        <v>0</v>
      </c>
      <c r="BR57" s="153">
        <f t="shared" si="63"/>
        <v>0</v>
      </c>
      <c r="BS57" s="153">
        <f t="shared" si="63"/>
        <v>0</v>
      </c>
      <c r="BT57" s="153">
        <f t="shared" si="63"/>
        <v>0</v>
      </c>
      <c r="BU57" s="153">
        <f t="shared" si="63"/>
        <v>0</v>
      </c>
      <c r="BV57" s="153">
        <f t="shared" si="63"/>
        <v>0</v>
      </c>
      <c r="BW57" s="153">
        <f t="shared" si="63"/>
        <v>0</v>
      </c>
      <c r="BX57" s="153">
        <f t="shared" si="63"/>
        <v>0</v>
      </c>
      <c r="BY57" s="153">
        <f t="shared" si="63"/>
        <v>0</v>
      </c>
      <c r="BZ57" s="153">
        <f t="shared" si="63"/>
        <v>0</v>
      </c>
      <c r="CA57" s="153">
        <f t="shared" si="63"/>
        <v>0</v>
      </c>
      <c r="CB57" s="155">
        <f t="shared" si="63"/>
        <v>0</v>
      </c>
    </row>
    <row r="58" spans="1:80">
      <c r="A58" s="257" t="s">
        <v>49</v>
      </c>
      <c r="B58" s="57" t="str">
        <f>IF(E11=0,F11,E11)</f>
        <v>8/26/2019</v>
      </c>
      <c r="C58" s="58">
        <f t="shared" ref="C58:AH58" si="64">B58+IF($G11=1,365,182.5)</f>
        <v>43885.5</v>
      </c>
      <c r="D58" s="58">
        <f t="shared" si="64"/>
        <v>44068</v>
      </c>
      <c r="E58" s="58">
        <f t="shared" si="64"/>
        <v>44250.5</v>
      </c>
      <c r="F58" s="58">
        <f t="shared" si="64"/>
        <v>44433</v>
      </c>
      <c r="G58" s="58">
        <f t="shared" si="64"/>
        <v>44615.5</v>
      </c>
      <c r="H58" s="58">
        <f t="shared" si="64"/>
        <v>44798</v>
      </c>
      <c r="I58" s="58">
        <f t="shared" si="64"/>
        <v>44980.5</v>
      </c>
      <c r="J58" s="58">
        <f t="shared" si="64"/>
        <v>45163</v>
      </c>
      <c r="K58" s="58">
        <f t="shared" si="64"/>
        <v>45345.5</v>
      </c>
      <c r="L58" s="58">
        <f t="shared" si="64"/>
        <v>45528</v>
      </c>
      <c r="M58" s="58">
        <f t="shared" si="64"/>
        <v>45710.5</v>
      </c>
      <c r="N58" s="58">
        <f t="shared" si="64"/>
        <v>45893</v>
      </c>
      <c r="O58" s="58">
        <f t="shared" si="64"/>
        <v>46075.5</v>
      </c>
      <c r="P58" s="58">
        <f t="shared" si="64"/>
        <v>46258</v>
      </c>
      <c r="Q58" s="58">
        <f t="shared" si="64"/>
        <v>46440.5</v>
      </c>
      <c r="R58" s="58">
        <f t="shared" si="64"/>
        <v>46623</v>
      </c>
      <c r="S58" s="58">
        <f t="shared" si="64"/>
        <v>46805.5</v>
      </c>
      <c r="T58" s="58">
        <f t="shared" si="64"/>
        <v>46988</v>
      </c>
      <c r="U58" s="58">
        <f t="shared" si="64"/>
        <v>47170.5</v>
      </c>
      <c r="V58" s="58">
        <f t="shared" si="64"/>
        <v>47353</v>
      </c>
      <c r="W58" s="58">
        <f t="shared" si="64"/>
        <v>47535.5</v>
      </c>
      <c r="X58" s="58">
        <f t="shared" si="64"/>
        <v>47718</v>
      </c>
      <c r="Y58" s="58">
        <f t="shared" si="64"/>
        <v>47900.5</v>
      </c>
      <c r="Z58" s="58">
        <f t="shared" si="64"/>
        <v>48083</v>
      </c>
      <c r="AA58" s="58">
        <f t="shared" si="64"/>
        <v>48265.5</v>
      </c>
      <c r="AB58" s="58">
        <f t="shared" si="64"/>
        <v>48448</v>
      </c>
      <c r="AC58" s="58">
        <f t="shared" si="64"/>
        <v>48630.5</v>
      </c>
      <c r="AD58" s="58">
        <f t="shared" si="64"/>
        <v>48813</v>
      </c>
      <c r="AE58" s="58">
        <f t="shared" si="64"/>
        <v>48995.5</v>
      </c>
      <c r="AF58" s="58">
        <f t="shared" si="64"/>
        <v>49178</v>
      </c>
      <c r="AG58" s="58">
        <f t="shared" si="64"/>
        <v>49360.5</v>
      </c>
      <c r="AH58" s="58">
        <f t="shared" si="64"/>
        <v>49543</v>
      </c>
      <c r="AI58" s="58">
        <f t="shared" ref="AI58:BN58" si="65">AH58+IF($G11=1,365,182.5)</f>
        <v>49725.5</v>
      </c>
      <c r="AJ58" s="58">
        <f t="shared" si="65"/>
        <v>49908</v>
      </c>
      <c r="AK58" s="58">
        <f t="shared" si="65"/>
        <v>50090.5</v>
      </c>
      <c r="AL58" s="58">
        <f t="shared" si="65"/>
        <v>50273</v>
      </c>
      <c r="AM58" s="58">
        <f t="shared" si="65"/>
        <v>50455.5</v>
      </c>
      <c r="AN58" s="58">
        <f t="shared" si="65"/>
        <v>50638</v>
      </c>
      <c r="AO58" s="58">
        <f t="shared" si="65"/>
        <v>50820.5</v>
      </c>
      <c r="AP58" s="58">
        <f t="shared" si="65"/>
        <v>51003</v>
      </c>
      <c r="AQ58" s="58">
        <f t="shared" si="65"/>
        <v>51185.5</v>
      </c>
      <c r="AR58" s="58">
        <f t="shared" si="65"/>
        <v>51368</v>
      </c>
      <c r="AS58" s="58">
        <f t="shared" si="65"/>
        <v>51550.5</v>
      </c>
      <c r="AT58" s="58">
        <f t="shared" si="65"/>
        <v>51733</v>
      </c>
      <c r="AU58" s="58">
        <f t="shared" si="65"/>
        <v>51915.5</v>
      </c>
      <c r="AV58" s="58">
        <f t="shared" si="65"/>
        <v>52098</v>
      </c>
      <c r="AW58" s="58">
        <f t="shared" si="65"/>
        <v>52280.5</v>
      </c>
      <c r="AX58" s="58">
        <f t="shared" si="65"/>
        <v>52463</v>
      </c>
      <c r="AY58" s="58">
        <f t="shared" si="65"/>
        <v>52645.5</v>
      </c>
      <c r="AZ58" s="58">
        <f t="shared" si="65"/>
        <v>52828</v>
      </c>
      <c r="BA58" s="58">
        <f t="shared" si="65"/>
        <v>53010.5</v>
      </c>
      <c r="BB58" s="58">
        <f t="shared" si="65"/>
        <v>53193</v>
      </c>
      <c r="BC58" s="58">
        <f t="shared" si="65"/>
        <v>53375.5</v>
      </c>
      <c r="BD58" s="58">
        <f t="shared" si="65"/>
        <v>53558</v>
      </c>
      <c r="BE58" s="58">
        <f t="shared" si="65"/>
        <v>53740.5</v>
      </c>
      <c r="BF58" s="58">
        <f t="shared" si="65"/>
        <v>53923</v>
      </c>
      <c r="BG58" s="58">
        <f t="shared" si="65"/>
        <v>54105.5</v>
      </c>
      <c r="BH58" s="58">
        <f t="shared" si="65"/>
        <v>54288</v>
      </c>
      <c r="BI58" s="58">
        <f t="shared" si="65"/>
        <v>54470.5</v>
      </c>
      <c r="BJ58" s="58">
        <f t="shared" si="65"/>
        <v>54653</v>
      </c>
      <c r="BK58" s="58">
        <f t="shared" si="65"/>
        <v>54835.5</v>
      </c>
      <c r="BL58" s="58">
        <f t="shared" si="65"/>
        <v>55018</v>
      </c>
      <c r="BM58" s="58">
        <f t="shared" si="65"/>
        <v>55200.5</v>
      </c>
      <c r="BN58" s="58">
        <f t="shared" si="65"/>
        <v>55383</v>
      </c>
      <c r="BO58" s="58">
        <f t="shared" ref="BO58:CB58" si="66">BN58+IF($G11=1,365,182.5)</f>
        <v>55565.5</v>
      </c>
      <c r="BP58" s="58">
        <f t="shared" si="66"/>
        <v>55748</v>
      </c>
      <c r="BQ58" s="58">
        <f t="shared" si="66"/>
        <v>55930.5</v>
      </c>
      <c r="BR58" s="58">
        <f t="shared" si="66"/>
        <v>56113</v>
      </c>
      <c r="BS58" s="58">
        <f t="shared" si="66"/>
        <v>56295.5</v>
      </c>
      <c r="BT58" s="58">
        <f t="shared" si="66"/>
        <v>56478</v>
      </c>
      <c r="BU58" s="58">
        <f t="shared" si="66"/>
        <v>56660.5</v>
      </c>
      <c r="BV58" s="58">
        <f t="shared" si="66"/>
        <v>56843</v>
      </c>
      <c r="BW58" s="58">
        <f t="shared" si="66"/>
        <v>57025.5</v>
      </c>
      <c r="BX58" s="58">
        <f t="shared" si="66"/>
        <v>57208</v>
      </c>
      <c r="BY58" s="58">
        <f t="shared" si="66"/>
        <v>57390.5</v>
      </c>
      <c r="BZ58" s="58">
        <f t="shared" si="66"/>
        <v>57573</v>
      </c>
      <c r="CA58" s="58">
        <f t="shared" si="66"/>
        <v>57755.5</v>
      </c>
      <c r="CB58" s="59">
        <f t="shared" si="66"/>
        <v>57938</v>
      </c>
    </row>
    <row r="59" spans="1:80">
      <c r="A59" s="171" t="s">
        <v>28</v>
      </c>
      <c r="B59" s="112">
        <f>(IF(B58=F11,100,0)+IF(G11=1,1,0.5)*J11*100)*IF(ISBLANK(F11)=TRUE,0,1)</f>
        <v>1.4750000000000001</v>
      </c>
      <c r="C59" s="60">
        <f t="shared" ref="C59:AH59" si="67">IF(C58&gt;$F11+1,0,1)*(IF(D59=0,100,0)+IF($G11=1,1,0.5)*$J11*100)</f>
        <v>1.4750000000000001</v>
      </c>
      <c r="D59" s="60">
        <f t="shared" si="67"/>
        <v>1.4750000000000001</v>
      </c>
      <c r="E59" s="60">
        <f t="shared" si="67"/>
        <v>1.4750000000000001</v>
      </c>
      <c r="F59" s="60">
        <f t="shared" si="67"/>
        <v>1.4750000000000001</v>
      </c>
      <c r="G59" s="60">
        <f t="shared" si="67"/>
        <v>1.4750000000000001</v>
      </c>
      <c r="H59" s="60">
        <f t="shared" si="67"/>
        <v>1.4750000000000001</v>
      </c>
      <c r="I59" s="60">
        <f t="shared" si="67"/>
        <v>1.4750000000000001</v>
      </c>
      <c r="J59" s="60">
        <f t="shared" si="67"/>
        <v>1.4750000000000001</v>
      </c>
      <c r="K59" s="60">
        <f t="shared" si="67"/>
        <v>1.4750000000000001</v>
      </c>
      <c r="L59" s="60">
        <f t="shared" si="67"/>
        <v>1.4750000000000001</v>
      </c>
      <c r="M59" s="60">
        <f t="shared" si="67"/>
        <v>101.47499999999999</v>
      </c>
      <c r="N59" s="60">
        <f t="shared" si="67"/>
        <v>0</v>
      </c>
      <c r="O59" s="60">
        <f t="shared" si="67"/>
        <v>0</v>
      </c>
      <c r="P59" s="60">
        <f t="shared" si="67"/>
        <v>0</v>
      </c>
      <c r="Q59" s="60">
        <f t="shared" si="67"/>
        <v>0</v>
      </c>
      <c r="R59" s="60">
        <f t="shared" si="67"/>
        <v>0</v>
      </c>
      <c r="S59" s="60">
        <f t="shared" si="67"/>
        <v>0</v>
      </c>
      <c r="T59" s="60">
        <f t="shared" si="67"/>
        <v>0</v>
      </c>
      <c r="U59" s="60">
        <f t="shared" si="67"/>
        <v>0</v>
      </c>
      <c r="V59" s="60">
        <f t="shared" si="67"/>
        <v>0</v>
      </c>
      <c r="W59" s="60">
        <f t="shared" si="67"/>
        <v>0</v>
      </c>
      <c r="X59" s="60">
        <f t="shared" si="67"/>
        <v>0</v>
      </c>
      <c r="Y59" s="60">
        <f t="shared" si="67"/>
        <v>0</v>
      </c>
      <c r="Z59" s="60">
        <f t="shared" si="67"/>
        <v>0</v>
      </c>
      <c r="AA59" s="60">
        <f t="shared" si="67"/>
        <v>0</v>
      </c>
      <c r="AB59" s="60">
        <f t="shared" si="67"/>
        <v>0</v>
      </c>
      <c r="AC59" s="60">
        <f t="shared" si="67"/>
        <v>0</v>
      </c>
      <c r="AD59" s="60">
        <f t="shared" si="67"/>
        <v>0</v>
      </c>
      <c r="AE59" s="60">
        <f t="shared" si="67"/>
        <v>0</v>
      </c>
      <c r="AF59" s="60">
        <f t="shared" si="67"/>
        <v>0</v>
      </c>
      <c r="AG59" s="60">
        <f t="shared" si="67"/>
        <v>0</v>
      </c>
      <c r="AH59" s="60">
        <f t="shared" si="67"/>
        <v>0</v>
      </c>
      <c r="AI59" s="60">
        <f t="shared" ref="AI59:BN59" si="68">IF(AI58&gt;$F11+1,0,1)*(IF(AJ59=0,100,0)+IF($G11=1,1,0.5)*$J11*100)</f>
        <v>0</v>
      </c>
      <c r="AJ59" s="60">
        <f t="shared" si="68"/>
        <v>0</v>
      </c>
      <c r="AK59" s="60">
        <f t="shared" si="68"/>
        <v>0</v>
      </c>
      <c r="AL59" s="60">
        <f t="shared" si="68"/>
        <v>0</v>
      </c>
      <c r="AM59" s="60">
        <f t="shared" si="68"/>
        <v>0</v>
      </c>
      <c r="AN59" s="60">
        <f t="shared" si="68"/>
        <v>0</v>
      </c>
      <c r="AO59" s="60">
        <f t="shared" si="68"/>
        <v>0</v>
      </c>
      <c r="AP59" s="60">
        <f t="shared" si="68"/>
        <v>0</v>
      </c>
      <c r="AQ59" s="60">
        <f t="shared" si="68"/>
        <v>0</v>
      </c>
      <c r="AR59" s="60">
        <f t="shared" si="68"/>
        <v>0</v>
      </c>
      <c r="AS59" s="60">
        <f t="shared" si="68"/>
        <v>0</v>
      </c>
      <c r="AT59" s="60">
        <f t="shared" si="68"/>
        <v>0</v>
      </c>
      <c r="AU59" s="60">
        <f t="shared" si="68"/>
        <v>0</v>
      </c>
      <c r="AV59" s="60">
        <f t="shared" si="68"/>
        <v>0</v>
      </c>
      <c r="AW59" s="60">
        <f t="shared" si="68"/>
        <v>0</v>
      </c>
      <c r="AX59" s="60">
        <f t="shared" si="68"/>
        <v>0</v>
      </c>
      <c r="AY59" s="60">
        <f t="shared" si="68"/>
        <v>0</v>
      </c>
      <c r="AZ59" s="60">
        <f t="shared" si="68"/>
        <v>0</v>
      </c>
      <c r="BA59" s="60">
        <f t="shared" si="68"/>
        <v>0</v>
      </c>
      <c r="BB59" s="60">
        <f t="shared" si="68"/>
        <v>0</v>
      </c>
      <c r="BC59" s="60">
        <f t="shared" si="68"/>
        <v>0</v>
      </c>
      <c r="BD59" s="60">
        <f t="shared" si="68"/>
        <v>0</v>
      </c>
      <c r="BE59" s="60">
        <f t="shared" si="68"/>
        <v>0</v>
      </c>
      <c r="BF59" s="60">
        <f t="shared" si="68"/>
        <v>0</v>
      </c>
      <c r="BG59" s="60">
        <f t="shared" si="68"/>
        <v>0</v>
      </c>
      <c r="BH59" s="60">
        <f t="shared" si="68"/>
        <v>0</v>
      </c>
      <c r="BI59" s="60">
        <f t="shared" si="68"/>
        <v>0</v>
      </c>
      <c r="BJ59" s="60">
        <f t="shared" si="68"/>
        <v>0</v>
      </c>
      <c r="BK59" s="60">
        <f t="shared" si="68"/>
        <v>0</v>
      </c>
      <c r="BL59" s="60">
        <f t="shared" si="68"/>
        <v>0</v>
      </c>
      <c r="BM59" s="60">
        <f t="shared" si="68"/>
        <v>0</v>
      </c>
      <c r="BN59" s="60">
        <f t="shared" si="68"/>
        <v>0</v>
      </c>
      <c r="BO59" s="60">
        <f t="shared" ref="BO59:CB59" si="69">IF(BO58&gt;$F11+1,0,1)*(IF(BP59=0,100,0)+IF($G11=1,1,0.5)*$J11*100)</f>
        <v>0</v>
      </c>
      <c r="BP59" s="60">
        <f t="shared" si="69"/>
        <v>0</v>
      </c>
      <c r="BQ59" s="60">
        <f t="shared" si="69"/>
        <v>0</v>
      </c>
      <c r="BR59" s="60">
        <f t="shared" si="69"/>
        <v>0</v>
      </c>
      <c r="BS59" s="60">
        <f t="shared" si="69"/>
        <v>0</v>
      </c>
      <c r="BT59" s="60">
        <f t="shared" si="69"/>
        <v>0</v>
      </c>
      <c r="BU59" s="60">
        <f t="shared" si="69"/>
        <v>0</v>
      </c>
      <c r="BV59" s="60">
        <f t="shared" si="69"/>
        <v>0</v>
      </c>
      <c r="BW59" s="60">
        <f t="shared" si="69"/>
        <v>0</v>
      </c>
      <c r="BX59" s="60">
        <f t="shared" si="69"/>
        <v>0</v>
      </c>
      <c r="BY59" s="60">
        <f t="shared" si="69"/>
        <v>0</v>
      </c>
      <c r="BZ59" s="60">
        <f t="shared" si="69"/>
        <v>0</v>
      </c>
      <c r="CA59" s="60">
        <f t="shared" si="69"/>
        <v>0</v>
      </c>
      <c r="CB59" s="61">
        <f t="shared" si="69"/>
        <v>0</v>
      </c>
    </row>
    <row r="60" spans="1:80">
      <c r="A60" s="256" t="s">
        <v>49</v>
      </c>
      <c r="B60" s="62" t="str">
        <f>IF(E12=0,F12,E12)</f>
        <v>12/23/2019</v>
      </c>
      <c r="C60" s="63">
        <f t="shared" ref="C60:AH60" si="70">B60+IF($G12=1,365,182.5)</f>
        <v>44004.5</v>
      </c>
      <c r="D60" s="63">
        <f t="shared" si="70"/>
        <v>44187</v>
      </c>
      <c r="E60" s="63">
        <f t="shared" si="70"/>
        <v>44369.5</v>
      </c>
      <c r="F60" s="63">
        <f t="shared" si="70"/>
        <v>44552</v>
      </c>
      <c r="G60" s="63">
        <f t="shared" si="70"/>
        <v>44734.5</v>
      </c>
      <c r="H60" s="63">
        <f t="shared" si="70"/>
        <v>44917</v>
      </c>
      <c r="I60" s="63">
        <f t="shared" si="70"/>
        <v>45099.5</v>
      </c>
      <c r="J60" s="63">
        <f t="shared" si="70"/>
        <v>45282</v>
      </c>
      <c r="K60" s="63">
        <f t="shared" si="70"/>
        <v>45464.5</v>
      </c>
      <c r="L60" s="63">
        <f t="shared" si="70"/>
        <v>45647</v>
      </c>
      <c r="M60" s="63">
        <f t="shared" si="70"/>
        <v>45829.5</v>
      </c>
      <c r="N60" s="63">
        <f t="shared" si="70"/>
        <v>46012</v>
      </c>
      <c r="O60" s="63">
        <f t="shared" si="70"/>
        <v>46194.5</v>
      </c>
      <c r="P60" s="63">
        <f t="shared" si="70"/>
        <v>46377</v>
      </c>
      <c r="Q60" s="63">
        <f t="shared" si="70"/>
        <v>46559.5</v>
      </c>
      <c r="R60" s="63">
        <f t="shared" si="70"/>
        <v>46742</v>
      </c>
      <c r="S60" s="63">
        <f t="shared" si="70"/>
        <v>46924.5</v>
      </c>
      <c r="T60" s="63">
        <f t="shared" si="70"/>
        <v>47107</v>
      </c>
      <c r="U60" s="63">
        <f t="shared" si="70"/>
        <v>47289.5</v>
      </c>
      <c r="V60" s="63">
        <f t="shared" si="70"/>
        <v>47472</v>
      </c>
      <c r="W60" s="63">
        <f t="shared" si="70"/>
        <v>47654.5</v>
      </c>
      <c r="X60" s="63">
        <f t="shared" si="70"/>
        <v>47837</v>
      </c>
      <c r="Y60" s="63">
        <f t="shared" si="70"/>
        <v>48019.5</v>
      </c>
      <c r="Z60" s="63">
        <f t="shared" si="70"/>
        <v>48202</v>
      </c>
      <c r="AA60" s="63">
        <f t="shared" si="70"/>
        <v>48384.5</v>
      </c>
      <c r="AB60" s="63">
        <f t="shared" si="70"/>
        <v>48567</v>
      </c>
      <c r="AC60" s="63">
        <f t="shared" si="70"/>
        <v>48749.5</v>
      </c>
      <c r="AD60" s="63">
        <f t="shared" si="70"/>
        <v>48932</v>
      </c>
      <c r="AE60" s="63">
        <f t="shared" si="70"/>
        <v>49114.5</v>
      </c>
      <c r="AF60" s="63">
        <f t="shared" si="70"/>
        <v>49297</v>
      </c>
      <c r="AG60" s="63">
        <f t="shared" si="70"/>
        <v>49479.5</v>
      </c>
      <c r="AH60" s="63">
        <f t="shared" si="70"/>
        <v>49662</v>
      </c>
      <c r="AI60" s="63">
        <f t="shared" ref="AI60:BN60" si="71">AH60+IF($G12=1,365,182.5)</f>
        <v>49844.5</v>
      </c>
      <c r="AJ60" s="63">
        <f t="shared" si="71"/>
        <v>50027</v>
      </c>
      <c r="AK60" s="63">
        <f t="shared" si="71"/>
        <v>50209.5</v>
      </c>
      <c r="AL60" s="63">
        <f t="shared" si="71"/>
        <v>50392</v>
      </c>
      <c r="AM60" s="63">
        <f t="shared" si="71"/>
        <v>50574.5</v>
      </c>
      <c r="AN60" s="63">
        <f t="shared" si="71"/>
        <v>50757</v>
      </c>
      <c r="AO60" s="63">
        <f t="shared" si="71"/>
        <v>50939.5</v>
      </c>
      <c r="AP60" s="63">
        <f t="shared" si="71"/>
        <v>51122</v>
      </c>
      <c r="AQ60" s="63">
        <f t="shared" si="71"/>
        <v>51304.5</v>
      </c>
      <c r="AR60" s="63">
        <f t="shared" si="71"/>
        <v>51487</v>
      </c>
      <c r="AS60" s="63">
        <f t="shared" si="71"/>
        <v>51669.5</v>
      </c>
      <c r="AT60" s="63">
        <f t="shared" si="71"/>
        <v>51852</v>
      </c>
      <c r="AU60" s="63">
        <f t="shared" si="71"/>
        <v>52034.5</v>
      </c>
      <c r="AV60" s="63">
        <f t="shared" si="71"/>
        <v>52217</v>
      </c>
      <c r="AW60" s="63">
        <f t="shared" si="71"/>
        <v>52399.5</v>
      </c>
      <c r="AX60" s="63">
        <f t="shared" si="71"/>
        <v>52582</v>
      </c>
      <c r="AY60" s="63">
        <f t="shared" si="71"/>
        <v>52764.5</v>
      </c>
      <c r="AZ60" s="63">
        <f t="shared" si="71"/>
        <v>52947</v>
      </c>
      <c r="BA60" s="63">
        <f t="shared" si="71"/>
        <v>53129.5</v>
      </c>
      <c r="BB60" s="63">
        <f t="shared" si="71"/>
        <v>53312</v>
      </c>
      <c r="BC60" s="63">
        <f t="shared" si="71"/>
        <v>53494.5</v>
      </c>
      <c r="BD60" s="63">
        <f t="shared" si="71"/>
        <v>53677</v>
      </c>
      <c r="BE60" s="63">
        <f t="shared" si="71"/>
        <v>53859.5</v>
      </c>
      <c r="BF60" s="63">
        <f t="shared" si="71"/>
        <v>54042</v>
      </c>
      <c r="BG60" s="63">
        <f t="shared" si="71"/>
        <v>54224.5</v>
      </c>
      <c r="BH60" s="63">
        <f t="shared" si="71"/>
        <v>54407</v>
      </c>
      <c r="BI60" s="63">
        <f t="shared" si="71"/>
        <v>54589.5</v>
      </c>
      <c r="BJ60" s="63">
        <f t="shared" si="71"/>
        <v>54772</v>
      </c>
      <c r="BK60" s="63">
        <f t="shared" si="71"/>
        <v>54954.5</v>
      </c>
      <c r="BL60" s="63">
        <f t="shared" si="71"/>
        <v>55137</v>
      </c>
      <c r="BM60" s="63">
        <f t="shared" si="71"/>
        <v>55319.5</v>
      </c>
      <c r="BN60" s="63">
        <f t="shared" si="71"/>
        <v>55502</v>
      </c>
      <c r="BO60" s="63">
        <f t="shared" ref="BO60:CB60" si="72">BN60+IF($G12=1,365,182.5)</f>
        <v>55684.5</v>
      </c>
      <c r="BP60" s="63">
        <f t="shared" si="72"/>
        <v>55867</v>
      </c>
      <c r="BQ60" s="63">
        <f t="shared" si="72"/>
        <v>56049.5</v>
      </c>
      <c r="BR60" s="63">
        <f t="shared" si="72"/>
        <v>56232</v>
      </c>
      <c r="BS60" s="63">
        <f t="shared" si="72"/>
        <v>56414.5</v>
      </c>
      <c r="BT60" s="63">
        <f t="shared" si="72"/>
        <v>56597</v>
      </c>
      <c r="BU60" s="63">
        <f t="shared" si="72"/>
        <v>56779.5</v>
      </c>
      <c r="BV60" s="63">
        <f t="shared" si="72"/>
        <v>56962</v>
      </c>
      <c r="BW60" s="63">
        <f t="shared" si="72"/>
        <v>57144.5</v>
      </c>
      <c r="BX60" s="63">
        <f t="shared" si="72"/>
        <v>57327</v>
      </c>
      <c r="BY60" s="63">
        <f t="shared" si="72"/>
        <v>57509.5</v>
      </c>
      <c r="BZ60" s="63">
        <f t="shared" si="72"/>
        <v>57692</v>
      </c>
      <c r="CA60" s="63">
        <f t="shared" si="72"/>
        <v>57874.5</v>
      </c>
      <c r="CB60" s="64">
        <f t="shared" si="72"/>
        <v>58057</v>
      </c>
    </row>
    <row r="61" spans="1:80">
      <c r="A61" s="172" t="s">
        <v>29</v>
      </c>
      <c r="B61" s="135">
        <f>(IF(B60=F12,100,0)+IF(G12=1,1,0.5)*J12*100)*IF(ISBLANK(F12)=TRUE,0,1)</f>
        <v>1.2649999999999999</v>
      </c>
      <c r="C61" s="136">
        <f t="shared" ref="C61:AH61" si="73">IF(C60&gt;$F12+1,0,1)*(IF(D61=0,100,0)+IF($G12=1,1,0.5)*$J12*100)</f>
        <v>101.265</v>
      </c>
      <c r="D61" s="136">
        <f t="shared" si="73"/>
        <v>0</v>
      </c>
      <c r="E61" s="136">
        <f t="shared" si="73"/>
        <v>0</v>
      </c>
      <c r="F61" s="136">
        <f t="shared" si="73"/>
        <v>0</v>
      </c>
      <c r="G61" s="136">
        <f t="shared" si="73"/>
        <v>0</v>
      </c>
      <c r="H61" s="136">
        <f t="shared" si="73"/>
        <v>0</v>
      </c>
      <c r="I61" s="136">
        <f t="shared" si="73"/>
        <v>0</v>
      </c>
      <c r="J61" s="136">
        <f t="shared" si="73"/>
        <v>0</v>
      </c>
      <c r="K61" s="136">
        <f t="shared" si="73"/>
        <v>0</v>
      </c>
      <c r="L61" s="136">
        <f t="shared" si="73"/>
        <v>0</v>
      </c>
      <c r="M61" s="136">
        <f t="shared" si="73"/>
        <v>0</v>
      </c>
      <c r="N61" s="136">
        <f t="shared" si="73"/>
        <v>0</v>
      </c>
      <c r="O61" s="136">
        <f t="shared" si="73"/>
        <v>0</v>
      </c>
      <c r="P61" s="136">
        <f t="shared" si="73"/>
        <v>0</v>
      </c>
      <c r="Q61" s="136">
        <f t="shared" si="73"/>
        <v>0</v>
      </c>
      <c r="R61" s="136">
        <f t="shared" si="73"/>
        <v>0</v>
      </c>
      <c r="S61" s="136">
        <f t="shared" si="73"/>
        <v>0</v>
      </c>
      <c r="T61" s="136">
        <f t="shared" si="73"/>
        <v>0</v>
      </c>
      <c r="U61" s="136">
        <f t="shared" si="73"/>
        <v>0</v>
      </c>
      <c r="V61" s="136">
        <f t="shared" si="73"/>
        <v>0</v>
      </c>
      <c r="W61" s="136">
        <f t="shared" si="73"/>
        <v>0</v>
      </c>
      <c r="X61" s="136">
        <f t="shared" si="73"/>
        <v>0</v>
      </c>
      <c r="Y61" s="136">
        <f t="shared" si="73"/>
        <v>0</v>
      </c>
      <c r="Z61" s="136">
        <f t="shared" si="73"/>
        <v>0</v>
      </c>
      <c r="AA61" s="136">
        <f t="shared" si="73"/>
        <v>0</v>
      </c>
      <c r="AB61" s="136">
        <f t="shared" si="73"/>
        <v>0</v>
      </c>
      <c r="AC61" s="136">
        <f t="shared" si="73"/>
        <v>0</v>
      </c>
      <c r="AD61" s="136">
        <f t="shared" si="73"/>
        <v>0</v>
      </c>
      <c r="AE61" s="136">
        <f t="shared" si="73"/>
        <v>0</v>
      </c>
      <c r="AF61" s="136">
        <f t="shared" si="73"/>
        <v>0</v>
      </c>
      <c r="AG61" s="136">
        <f t="shared" si="73"/>
        <v>0</v>
      </c>
      <c r="AH61" s="136">
        <f t="shared" si="73"/>
        <v>0</v>
      </c>
      <c r="AI61" s="136">
        <f t="shared" ref="AI61:BN61" si="74">IF(AI60&gt;$F12+1,0,1)*(IF(AJ61=0,100,0)+IF($G12=1,1,0.5)*$J12*100)</f>
        <v>0</v>
      </c>
      <c r="AJ61" s="136">
        <f t="shared" si="74"/>
        <v>0</v>
      </c>
      <c r="AK61" s="136">
        <f t="shared" si="74"/>
        <v>0</v>
      </c>
      <c r="AL61" s="136">
        <f t="shared" si="74"/>
        <v>0</v>
      </c>
      <c r="AM61" s="136">
        <f t="shared" si="74"/>
        <v>0</v>
      </c>
      <c r="AN61" s="136">
        <f t="shared" si="74"/>
        <v>0</v>
      </c>
      <c r="AO61" s="136">
        <f t="shared" si="74"/>
        <v>0</v>
      </c>
      <c r="AP61" s="136">
        <f t="shared" si="74"/>
        <v>0</v>
      </c>
      <c r="AQ61" s="136">
        <f t="shared" si="74"/>
        <v>0</v>
      </c>
      <c r="AR61" s="136">
        <f t="shared" si="74"/>
        <v>0</v>
      </c>
      <c r="AS61" s="136">
        <f t="shared" si="74"/>
        <v>0</v>
      </c>
      <c r="AT61" s="136">
        <f t="shared" si="74"/>
        <v>0</v>
      </c>
      <c r="AU61" s="136">
        <f t="shared" si="74"/>
        <v>0</v>
      </c>
      <c r="AV61" s="136">
        <f t="shared" si="74"/>
        <v>0</v>
      </c>
      <c r="AW61" s="136">
        <f t="shared" si="74"/>
        <v>0</v>
      </c>
      <c r="AX61" s="136">
        <f t="shared" si="74"/>
        <v>0</v>
      </c>
      <c r="AY61" s="136">
        <f t="shared" si="74"/>
        <v>0</v>
      </c>
      <c r="AZ61" s="136">
        <f t="shared" si="74"/>
        <v>0</v>
      </c>
      <c r="BA61" s="136">
        <f t="shared" si="74"/>
        <v>0</v>
      </c>
      <c r="BB61" s="136">
        <f t="shared" si="74"/>
        <v>0</v>
      </c>
      <c r="BC61" s="136">
        <f t="shared" si="74"/>
        <v>0</v>
      </c>
      <c r="BD61" s="136">
        <f t="shared" si="74"/>
        <v>0</v>
      </c>
      <c r="BE61" s="136">
        <f t="shared" si="74"/>
        <v>0</v>
      </c>
      <c r="BF61" s="136">
        <f t="shared" si="74"/>
        <v>0</v>
      </c>
      <c r="BG61" s="136">
        <f t="shared" si="74"/>
        <v>0</v>
      </c>
      <c r="BH61" s="136">
        <f t="shared" si="74"/>
        <v>0</v>
      </c>
      <c r="BI61" s="136">
        <f t="shared" si="74"/>
        <v>0</v>
      </c>
      <c r="BJ61" s="136">
        <f t="shared" si="74"/>
        <v>0</v>
      </c>
      <c r="BK61" s="136">
        <f t="shared" si="74"/>
        <v>0</v>
      </c>
      <c r="BL61" s="136">
        <f t="shared" si="74"/>
        <v>0</v>
      </c>
      <c r="BM61" s="136">
        <f t="shared" si="74"/>
        <v>0</v>
      </c>
      <c r="BN61" s="136">
        <f t="shared" si="74"/>
        <v>0</v>
      </c>
      <c r="BO61" s="136">
        <f t="shared" ref="BO61:CB61" si="75">IF(BO60&gt;$F12+1,0,1)*(IF(BP61=0,100,0)+IF($G12=1,1,0.5)*$J12*100)</f>
        <v>0</v>
      </c>
      <c r="BP61" s="136">
        <f t="shared" si="75"/>
        <v>0</v>
      </c>
      <c r="BQ61" s="136">
        <f t="shared" si="75"/>
        <v>0</v>
      </c>
      <c r="BR61" s="136">
        <f t="shared" si="75"/>
        <v>0</v>
      </c>
      <c r="BS61" s="136">
        <f t="shared" si="75"/>
        <v>0</v>
      </c>
      <c r="BT61" s="136">
        <f t="shared" si="75"/>
        <v>0</v>
      </c>
      <c r="BU61" s="136">
        <f t="shared" si="75"/>
        <v>0</v>
      </c>
      <c r="BV61" s="136">
        <f t="shared" si="75"/>
        <v>0</v>
      </c>
      <c r="BW61" s="136">
        <f t="shared" si="75"/>
        <v>0</v>
      </c>
      <c r="BX61" s="136">
        <f t="shared" si="75"/>
        <v>0</v>
      </c>
      <c r="BY61" s="136">
        <f t="shared" si="75"/>
        <v>0</v>
      </c>
      <c r="BZ61" s="136">
        <f t="shared" si="75"/>
        <v>0</v>
      </c>
      <c r="CA61" s="136">
        <f t="shared" si="75"/>
        <v>0</v>
      </c>
      <c r="CB61" s="137">
        <f t="shared" si="75"/>
        <v>0</v>
      </c>
    </row>
    <row r="62" spans="1:80">
      <c r="A62" s="255" t="s">
        <v>49</v>
      </c>
      <c r="B62" s="65" t="str">
        <f>IF(E13=0,F13,E13)</f>
        <v>8/20/2019</v>
      </c>
      <c r="C62" s="66">
        <f t="shared" ref="C62:AH62" si="76">B62+IF($G13=1,365,182.5)</f>
        <v>43879.5</v>
      </c>
      <c r="D62" s="66">
        <f t="shared" si="76"/>
        <v>44062</v>
      </c>
      <c r="E62" s="66">
        <f t="shared" si="76"/>
        <v>44244.5</v>
      </c>
      <c r="F62" s="66">
        <f t="shared" si="76"/>
        <v>44427</v>
      </c>
      <c r="G62" s="66">
        <f t="shared" si="76"/>
        <v>44609.5</v>
      </c>
      <c r="H62" s="66">
        <f t="shared" si="76"/>
        <v>44792</v>
      </c>
      <c r="I62" s="66">
        <f t="shared" si="76"/>
        <v>44974.5</v>
      </c>
      <c r="J62" s="66">
        <f t="shared" si="76"/>
        <v>45157</v>
      </c>
      <c r="K62" s="66">
        <f t="shared" si="76"/>
        <v>45339.5</v>
      </c>
      <c r="L62" s="66">
        <f t="shared" si="76"/>
        <v>45522</v>
      </c>
      <c r="M62" s="66">
        <f t="shared" si="76"/>
        <v>45704.5</v>
      </c>
      <c r="N62" s="66">
        <f t="shared" si="76"/>
        <v>45887</v>
      </c>
      <c r="O62" s="66">
        <f t="shared" si="76"/>
        <v>46069.5</v>
      </c>
      <c r="P62" s="66">
        <f t="shared" si="76"/>
        <v>46252</v>
      </c>
      <c r="Q62" s="66">
        <f t="shared" si="76"/>
        <v>46434.5</v>
      </c>
      <c r="R62" s="66">
        <f t="shared" si="76"/>
        <v>46617</v>
      </c>
      <c r="S62" s="66">
        <f t="shared" si="76"/>
        <v>46799.5</v>
      </c>
      <c r="T62" s="66">
        <f t="shared" si="76"/>
        <v>46982</v>
      </c>
      <c r="U62" s="66">
        <f t="shared" si="76"/>
        <v>47164.5</v>
      </c>
      <c r="V62" s="66">
        <f t="shared" si="76"/>
        <v>47347</v>
      </c>
      <c r="W62" s="66">
        <f t="shared" si="76"/>
        <v>47529.5</v>
      </c>
      <c r="X62" s="66">
        <f t="shared" si="76"/>
        <v>47712</v>
      </c>
      <c r="Y62" s="66">
        <f t="shared" si="76"/>
        <v>47894.5</v>
      </c>
      <c r="Z62" s="66">
        <f t="shared" si="76"/>
        <v>48077</v>
      </c>
      <c r="AA62" s="66">
        <f t="shared" si="76"/>
        <v>48259.5</v>
      </c>
      <c r="AB62" s="66">
        <f t="shared" si="76"/>
        <v>48442</v>
      </c>
      <c r="AC62" s="66">
        <f t="shared" si="76"/>
        <v>48624.5</v>
      </c>
      <c r="AD62" s="66">
        <f t="shared" si="76"/>
        <v>48807</v>
      </c>
      <c r="AE62" s="66">
        <f t="shared" si="76"/>
        <v>48989.5</v>
      </c>
      <c r="AF62" s="66">
        <f t="shared" si="76"/>
        <v>49172</v>
      </c>
      <c r="AG62" s="66">
        <f t="shared" si="76"/>
        <v>49354.5</v>
      </c>
      <c r="AH62" s="66">
        <f t="shared" si="76"/>
        <v>49537</v>
      </c>
      <c r="AI62" s="66">
        <f t="shared" ref="AI62:BN62" si="77">AH62+IF($G13=1,365,182.5)</f>
        <v>49719.5</v>
      </c>
      <c r="AJ62" s="66">
        <f t="shared" si="77"/>
        <v>49902</v>
      </c>
      <c r="AK62" s="66">
        <f t="shared" si="77"/>
        <v>50084.5</v>
      </c>
      <c r="AL62" s="66">
        <f t="shared" si="77"/>
        <v>50267</v>
      </c>
      <c r="AM62" s="66">
        <f t="shared" si="77"/>
        <v>50449.5</v>
      </c>
      <c r="AN62" s="66">
        <f t="shared" si="77"/>
        <v>50632</v>
      </c>
      <c r="AO62" s="66">
        <f t="shared" si="77"/>
        <v>50814.5</v>
      </c>
      <c r="AP62" s="66">
        <f t="shared" si="77"/>
        <v>50997</v>
      </c>
      <c r="AQ62" s="66">
        <f t="shared" si="77"/>
        <v>51179.5</v>
      </c>
      <c r="AR62" s="66">
        <f t="shared" si="77"/>
        <v>51362</v>
      </c>
      <c r="AS62" s="66">
        <f t="shared" si="77"/>
        <v>51544.5</v>
      </c>
      <c r="AT62" s="66">
        <f t="shared" si="77"/>
        <v>51727</v>
      </c>
      <c r="AU62" s="66">
        <f t="shared" si="77"/>
        <v>51909.5</v>
      </c>
      <c r="AV62" s="66">
        <f t="shared" si="77"/>
        <v>52092</v>
      </c>
      <c r="AW62" s="66">
        <f t="shared" si="77"/>
        <v>52274.5</v>
      </c>
      <c r="AX62" s="66">
        <f t="shared" si="77"/>
        <v>52457</v>
      </c>
      <c r="AY62" s="66">
        <f t="shared" si="77"/>
        <v>52639.5</v>
      </c>
      <c r="AZ62" s="66">
        <f t="shared" si="77"/>
        <v>52822</v>
      </c>
      <c r="BA62" s="66">
        <f t="shared" si="77"/>
        <v>53004.5</v>
      </c>
      <c r="BB62" s="66">
        <f t="shared" si="77"/>
        <v>53187</v>
      </c>
      <c r="BC62" s="66">
        <f t="shared" si="77"/>
        <v>53369.5</v>
      </c>
      <c r="BD62" s="66">
        <f t="shared" si="77"/>
        <v>53552</v>
      </c>
      <c r="BE62" s="66">
        <f t="shared" si="77"/>
        <v>53734.5</v>
      </c>
      <c r="BF62" s="66">
        <f t="shared" si="77"/>
        <v>53917</v>
      </c>
      <c r="BG62" s="66">
        <f t="shared" si="77"/>
        <v>54099.5</v>
      </c>
      <c r="BH62" s="66">
        <f t="shared" si="77"/>
        <v>54282</v>
      </c>
      <c r="BI62" s="66">
        <f t="shared" si="77"/>
        <v>54464.5</v>
      </c>
      <c r="BJ62" s="66">
        <f t="shared" si="77"/>
        <v>54647</v>
      </c>
      <c r="BK62" s="66">
        <f t="shared" si="77"/>
        <v>54829.5</v>
      </c>
      <c r="BL62" s="66">
        <f t="shared" si="77"/>
        <v>55012</v>
      </c>
      <c r="BM62" s="66">
        <f t="shared" si="77"/>
        <v>55194.5</v>
      </c>
      <c r="BN62" s="66">
        <f t="shared" si="77"/>
        <v>55377</v>
      </c>
      <c r="BO62" s="66">
        <f t="shared" ref="BO62:CB62" si="78">BN62+IF($G13=1,365,182.5)</f>
        <v>55559.5</v>
      </c>
      <c r="BP62" s="66">
        <f t="shared" si="78"/>
        <v>55742</v>
      </c>
      <c r="BQ62" s="66">
        <f t="shared" si="78"/>
        <v>55924.5</v>
      </c>
      <c r="BR62" s="66">
        <f t="shared" si="78"/>
        <v>56107</v>
      </c>
      <c r="BS62" s="66">
        <f t="shared" si="78"/>
        <v>56289.5</v>
      </c>
      <c r="BT62" s="66">
        <f t="shared" si="78"/>
        <v>56472</v>
      </c>
      <c r="BU62" s="66">
        <f t="shared" si="78"/>
        <v>56654.5</v>
      </c>
      <c r="BV62" s="66">
        <f t="shared" si="78"/>
        <v>56837</v>
      </c>
      <c r="BW62" s="66">
        <f t="shared" si="78"/>
        <v>57019.5</v>
      </c>
      <c r="BX62" s="66">
        <f t="shared" si="78"/>
        <v>57202</v>
      </c>
      <c r="BY62" s="66">
        <f t="shared" si="78"/>
        <v>57384.5</v>
      </c>
      <c r="BZ62" s="66">
        <f t="shared" si="78"/>
        <v>57567</v>
      </c>
      <c r="CA62" s="66">
        <f t="shared" si="78"/>
        <v>57749.5</v>
      </c>
      <c r="CB62" s="67">
        <f t="shared" si="78"/>
        <v>57932</v>
      </c>
    </row>
    <row r="63" spans="1:80">
      <c r="A63" s="173" t="s">
        <v>30</v>
      </c>
      <c r="B63" s="111">
        <f>(IF(B62=F13,100,0)+IF(G13=1,1,0.5)*J13*100)*IF(ISBLANK(F13)=TRUE,0,1)</f>
        <v>1.1950000000000001</v>
      </c>
      <c r="C63" s="68">
        <f t="shared" ref="C63:AH63" si="79">IF(C62&gt;$F13+1,0,1)*(IF(D63=0,100,0)+IF($G13=1,1,0.5)*$J13*100)</f>
        <v>1.1950000000000001</v>
      </c>
      <c r="D63" s="68">
        <f t="shared" si="79"/>
        <v>1.1950000000000001</v>
      </c>
      <c r="E63" s="68">
        <f t="shared" si="79"/>
        <v>1.1950000000000001</v>
      </c>
      <c r="F63" s="68">
        <f t="shared" si="79"/>
        <v>1.1950000000000001</v>
      </c>
      <c r="G63" s="68">
        <f t="shared" si="79"/>
        <v>1.1950000000000001</v>
      </c>
      <c r="H63" s="68">
        <f t="shared" si="79"/>
        <v>1.1950000000000001</v>
      </c>
      <c r="I63" s="68">
        <f t="shared" si="79"/>
        <v>1.1950000000000001</v>
      </c>
      <c r="J63" s="68">
        <f t="shared" si="79"/>
        <v>1.1950000000000001</v>
      </c>
      <c r="K63" s="68">
        <f t="shared" si="79"/>
        <v>1.1950000000000001</v>
      </c>
      <c r="L63" s="68">
        <f t="shared" si="79"/>
        <v>1.1950000000000001</v>
      </c>
      <c r="M63" s="68">
        <f t="shared" si="79"/>
        <v>1.1950000000000001</v>
      </c>
      <c r="N63" s="68">
        <f t="shared" si="79"/>
        <v>101.19499999999999</v>
      </c>
      <c r="O63" s="68">
        <f t="shared" si="79"/>
        <v>0</v>
      </c>
      <c r="P63" s="68">
        <f t="shared" si="79"/>
        <v>0</v>
      </c>
      <c r="Q63" s="68">
        <f t="shared" si="79"/>
        <v>0</v>
      </c>
      <c r="R63" s="68">
        <f t="shared" si="79"/>
        <v>0</v>
      </c>
      <c r="S63" s="68">
        <f t="shared" si="79"/>
        <v>0</v>
      </c>
      <c r="T63" s="68">
        <f t="shared" si="79"/>
        <v>0</v>
      </c>
      <c r="U63" s="68">
        <f t="shared" si="79"/>
        <v>0</v>
      </c>
      <c r="V63" s="68">
        <f t="shared" si="79"/>
        <v>0</v>
      </c>
      <c r="W63" s="68">
        <f t="shared" si="79"/>
        <v>0</v>
      </c>
      <c r="X63" s="68">
        <f t="shared" si="79"/>
        <v>0</v>
      </c>
      <c r="Y63" s="68">
        <f t="shared" si="79"/>
        <v>0</v>
      </c>
      <c r="Z63" s="68">
        <f t="shared" si="79"/>
        <v>0</v>
      </c>
      <c r="AA63" s="68">
        <f t="shared" si="79"/>
        <v>0</v>
      </c>
      <c r="AB63" s="68">
        <f t="shared" si="79"/>
        <v>0</v>
      </c>
      <c r="AC63" s="68">
        <f t="shared" si="79"/>
        <v>0</v>
      </c>
      <c r="AD63" s="68">
        <f t="shared" si="79"/>
        <v>0</v>
      </c>
      <c r="AE63" s="68">
        <f t="shared" si="79"/>
        <v>0</v>
      </c>
      <c r="AF63" s="68">
        <f t="shared" si="79"/>
        <v>0</v>
      </c>
      <c r="AG63" s="68">
        <f t="shared" si="79"/>
        <v>0</v>
      </c>
      <c r="AH63" s="68">
        <f t="shared" si="79"/>
        <v>0</v>
      </c>
      <c r="AI63" s="68">
        <f t="shared" ref="AI63:BN63" si="80">IF(AI62&gt;$F13+1,0,1)*(IF(AJ63=0,100,0)+IF($G13=1,1,0.5)*$J13*100)</f>
        <v>0</v>
      </c>
      <c r="AJ63" s="68">
        <f t="shared" si="80"/>
        <v>0</v>
      </c>
      <c r="AK63" s="68">
        <f t="shared" si="80"/>
        <v>0</v>
      </c>
      <c r="AL63" s="68">
        <f t="shared" si="80"/>
        <v>0</v>
      </c>
      <c r="AM63" s="68">
        <f t="shared" si="80"/>
        <v>0</v>
      </c>
      <c r="AN63" s="68">
        <f t="shared" si="80"/>
        <v>0</v>
      </c>
      <c r="AO63" s="68">
        <f t="shared" si="80"/>
        <v>0</v>
      </c>
      <c r="AP63" s="68">
        <f t="shared" si="80"/>
        <v>0</v>
      </c>
      <c r="AQ63" s="68">
        <f t="shared" si="80"/>
        <v>0</v>
      </c>
      <c r="AR63" s="68">
        <f t="shared" si="80"/>
        <v>0</v>
      </c>
      <c r="AS63" s="68">
        <f t="shared" si="80"/>
        <v>0</v>
      </c>
      <c r="AT63" s="68">
        <f t="shared" si="80"/>
        <v>0</v>
      </c>
      <c r="AU63" s="68">
        <f t="shared" si="80"/>
        <v>0</v>
      </c>
      <c r="AV63" s="68">
        <f t="shared" si="80"/>
        <v>0</v>
      </c>
      <c r="AW63" s="68">
        <f t="shared" si="80"/>
        <v>0</v>
      </c>
      <c r="AX63" s="68">
        <f t="shared" si="80"/>
        <v>0</v>
      </c>
      <c r="AY63" s="68">
        <f t="shared" si="80"/>
        <v>0</v>
      </c>
      <c r="AZ63" s="68">
        <f t="shared" si="80"/>
        <v>0</v>
      </c>
      <c r="BA63" s="68">
        <f t="shared" si="80"/>
        <v>0</v>
      </c>
      <c r="BB63" s="68">
        <f t="shared" si="80"/>
        <v>0</v>
      </c>
      <c r="BC63" s="68">
        <f t="shared" si="80"/>
        <v>0</v>
      </c>
      <c r="BD63" s="68">
        <f t="shared" si="80"/>
        <v>0</v>
      </c>
      <c r="BE63" s="68">
        <f t="shared" si="80"/>
        <v>0</v>
      </c>
      <c r="BF63" s="68">
        <f t="shared" si="80"/>
        <v>0</v>
      </c>
      <c r="BG63" s="68">
        <f t="shared" si="80"/>
        <v>0</v>
      </c>
      <c r="BH63" s="68">
        <f t="shared" si="80"/>
        <v>0</v>
      </c>
      <c r="BI63" s="68">
        <f t="shared" si="80"/>
        <v>0</v>
      </c>
      <c r="BJ63" s="68">
        <f t="shared" si="80"/>
        <v>0</v>
      </c>
      <c r="BK63" s="68">
        <f t="shared" si="80"/>
        <v>0</v>
      </c>
      <c r="BL63" s="68">
        <f t="shared" si="80"/>
        <v>0</v>
      </c>
      <c r="BM63" s="68">
        <f t="shared" si="80"/>
        <v>0</v>
      </c>
      <c r="BN63" s="68">
        <f t="shared" si="80"/>
        <v>0</v>
      </c>
      <c r="BO63" s="68">
        <f t="shared" ref="BO63:CB63" si="81">IF(BO62&gt;$F13+1,0,1)*(IF(BP63=0,100,0)+IF($G13=1,1,0.5)*$J13*100)</f>
        <v>0</v>
      </c>
      <c r="BP63" s="68">
        <f t="shared" si="81"/>
        <v>0</v>
      </c>
      <c r="BQ63" s="68">
        <f t="shared" si="81"/>
        <v>0</v>
      </c>
      <c r="BR63" s="68">
        <f t="shared" si="81"/>
        <v>0</v>
      </c>
      <c r="BS63" s="68">
        <f t="shared" si="81"/>
        <v>0</v>
      </c>
      <c r="BT63" s="68">
        <f t="shared" si="81"/>
        <v>0</v>
      </c>
      <c r="BU63" s="68">
        <f t="shared" si="81"/>
        <v>0</v>
      </c>
      <c r="BV63" s="68">
        <f t="shared" si="81"/>
        <v>0</v>
      </c>
      <c r="BW63" s="68">
        <f t="shared" si="81"/>
        <v>0</v>
      </c>
      <c r="BX63" s="68">
        <f t="shared" si="81"/>
        <v>0</v>
      </c>
      <c r="BY63" s="68">
        <f t="shared" si="81"/>
        <v>0</v>
      </c>
      <c r="BZ63" s="68">
        <f t="shared" si="81"/>
        <v>0</v>
      </c>
      <c r="CA63" s="68">
        <f t="shared" si="81"/>
        <v>0</v>
      </c>
      <c r="CB63" s="69">
        <f t="shared" si="81"/>
        <v>0</v>
      </c>
    </row>
    <row r="64" spans="1:80">
      <c r="A64" s="254" t="s">
        <v>49</v>
      </c>
      <c r="B64" s="138" t="str">
        <f>IF(E14=0,F14,E14)</f>
        <v>12/6/2019</v>
      </c>
      <c r="C64" s="70">
        <f t="shared" ref="C64:AH64" si="82">B64+IF($G14=1,365,182.5)</f>
        <v>43987.5</v>
      </c>
      <c r="D64" s="70">
        <f t="shared" si="82"/>
        <v>44170</v>
      </c>
      <c r="E64" s="70">
        <f t="shared" si="82"/>
        <v>44352.5</v>
      </c>
      <c r="F64" s="70">
        <f t="shared" si="82"/>
        <v>44535</v>
      </c>
      <c r="G64" s="70">
        <f t="shared" si="82"/>
        <v>44717.5</v>
      </c>
      <c r="H64" s="70">
        <f t="shared" si="82"/>
        <v>44900</v>
      </c>
      <c r="I64" s="70">
        <f t="shared" si="82"/>
        <v>45082.5</v>
      </c>
      <c r="J64" s="70">
        <f t="shared" si="82"/>
        <v>45265</v>
      </c>
      <c r="K64" s="70">
        <f t="shared" si="82"/>
        <v>45447.5</v>
      </c>
      <c r="L64" s="70">
        <f t="shared" si="82"/>
        <v>45630</v>
      </c>
      <c r="M64" s="70">
        <f t="shared" si="82"/>
        <v>45812.5</v>
      </c>
      <c r="N64" s="70">
        <f t="shared" si="82"/>
        <v>45995</v>
      </c>
      <c r="O64" s="70">
        <f t="shared" si="82"/>
        <v>46177.5</v>
      </c>
      <c r="P64" s="70">
        <f t="shared" si="82"/>
        <v>46360</v>
      </c>
      <c r="Q64" s="70">
        <f t="shared" si="82"/>
        <v>46542.5</v>
      </c>
      <c r="R64" s="70">
        <f t="shared" si="82"/>
        <v>46725</v>
      </c>
      <c r="S64" s="70">
        <f t="shared" si="82"/>
        <v>46907.5</v>
      </c>
      <c r="T64" s="70">
        <f t="shared" si="82"/>
        <v>47090</v>
      </c>
      <c r="U64" s="70">
        <f t="shared" si="82"/>
        <v>47272.5</v>
      </c>
      <c r="V64" s="70">
        <f t="shared" si="82"/>
        <v>47455</v>
      </c>
      <c r="W64" s="70">
        <f t="shared" si="82"/>
        <v>47637.5</v>
      </c>
      <c r="X64" s="70">
        <f t="shared" si="82"/>
        <v>47820</v>
      </c>
      <c r="Y64" s="70">
        <f t="shared" si="82"/>
        <v>48002.5</v>
      </c>
      <c r="Z64" s="70">
        <f t="shared" si="82"/>
        <v>48185</v>
      </c>
      <c r="AA64" s="70">
        <f t="shared" si="82"/>
        <v>48367.5</v>
      </c>
      <c r="AB64" s="70">
        <f t="shared" si="82"/>
        <v>48550</v>
      </c>
      <c r="AC64" s="70">
        <f t="shared" si="82"/>
        <v>48732.5</v>
      </c>
      <c r="AD64" s="70">
        <f t="shared" si="82"/>
        <v>48915</v>
      </c>
      <c r="AE64" s="70">
        <f t="shared" si="82"/>
        <v>49097.5</v>
      </c>
      <c r="AF64" s="70">
        <f t="shared" si="82"/>
        <v>49280</v>
      </c>
      <c r="AG64" s="70">
        <f t="shared" si="82"/>
        <v>49462.5</v>
      </c>
      <c r="AH64" s="70">
        <f t="shared" si="82"/>
        <v>49645</v>
      </c>
      <c r="AI64" s="70">
        <f t="shared" ref="AI64:BN64" si="83">AH64+IF($G14=1,365,182.5)</f>
        <v>49827.5</v>
      </c>
      <c r="AJ64" s="70">
        <f t="shared" si="83"/>
        <v>50010</v>
      </c>
      <c r="AK64" s="70">
        <f t="shared" si="83"/>
        <v>50192.5</v>
      </c>
      <c r="AL64" s="70">
        <f t="shared" si="83"/>
        <v>50375</v>
      </c>
      <c r="AM64" s="70">
        <f t="shared" si="83"/>
        <v>50557.5</v>
      </c>
      <c r="AN64" s="70">
        <f t="shared" si="83"/>
        <v>50740</v>
      </c>
      <c r="AO64" s="70">
        <f t="shared" si="83"/>
        <v>50922.5</v>
      </c>
      <c r="AP64" s="70">
        <f t="shared" si="83"/>
        <v>51105</v>
      </c>
      <c r="AQ64" s="70">
        <f t="shared" si="83"/>
        <v>51287.5</v>
      </c>
      <c r="AR64" s="70">
        <f t="shared" si="83"/>
        <v>51470</v>
      </c>
      <c r="AS64" s="70">
        <f t="shared" si="83"/>
        <v>51652.5</v>
      </c>
      <c r="AT64" s="70">
        <f t="shared" si="83"/>
        <v>51835</v>
      </c>
      <c r="AU64" s="70">
        <f t="shared" si="83"/>
        <v>52017.5</v>
      </c>
      <c r="AV64" s="70">
        <f t="shared" si="83"/>
        <v>52200</v>
      </c>
      <c r="AW64" s="70">
        <f t="shared" si="83"/>
        <v>52382.5</v>
      </c>
      <c r="AX64" s="70">
        <f t="shared" si="83"/>
        <v>52565</v>
      </c>
      <c r="AY64" s="70">
        <f t="shared" si="83"/>
        <v>52747.5</v>
      </c>
      <c r="AZ64" s="70">
        <f t="shared" si="83"/>
        <v>52930</v>
      </c>
      <c r="BA64" s="70">
        <f t="shared" si="83"/>
        <v>53112.5</v>
      </c>
      <c r="BB64" s="70">
        <f t="shared" si="83"/>
        <v>53295</v>
      </c>
      <c r="BC64" s="70">
        <f t="shared" si="83"/>
        <v>53477.5</v>
      </c>
      <c r="BD64" s="70">
        <f t="shared" si="83"/>
        <v>53660</v>
      </c>
      <c r="BE64" s="70">
        <f t="shared" si="83"/>
        <v>53842.5</v>
      </c>
      <c r="BF64" s="70">
        <f t="shared" si="83"/>
        <v>54025</v>
      </c>
      <c r="BG64" s="70">
        <f t="shared" si="83"/>
        <v>54207.5</v>
      </c>
      <c r="BH64" s="70">
        <f t="shared" si="83"/>
        <v>54390</v>
      </c>
      <c r="BI64" s="70">
        <f t="shared" si="83"/>
        <v>54572.5</v>
      </c>
      <c r="BJ64" s="70">
        <f t="shared" si="83"/>
        <v>54755</v>
      </c>
      <c r="BK64" s="70">
        <f t="shared" si="83"/>
        <v>54937.5</v>
      </c>
      <c r="BL64" s="70">
        <f t="shared" si="83"/>
        <v>55120</v>
      </c>
      <c r="BM64" s="70">
        <f t="shared" si="83"/>
        <v>55302.5</v>
      </c>
      <c r="BN64" s="70">
        <f t="shared" si="83"/>
        <v>55485</v>
      </c>
      <c r="BO64" s="70">
        <f t="shared" ref="BO64:CB64" si="84">BN64+IF($G14=1,365,182.5)</f>
        <v>55667.5</v>
      </c>
      <c r="BP64" s="70">
        <f t="shared" si="84"/>
        <v>55850</v>
      </c>
      <c r="BQ64" s="70">
        <f t="shared" si="84"/>
        <v>56032.5</v>
      </c>
      <c r="BR64" s="70">
        <f t="shared" si="84"/>
        <v>56215</v>
      </c>
      <c r="BS64" s="70">
        <f t="shared" si="84"/>
        <v>56397.5</v>
      </c>
      <c r="BT64" s="70">
        <f t="shared" si="84"/>
        <v>56580</v>
      </c>
      <c r="BU64" s="70">
        <f t="shared" si="84"/>
        <v>56762.5</v>
      </c>
      <c r="BV64" s="70">
        <f t="shared" si="84"/>
        <v>56945</v>
      </c>
      <c r="BW64" s="70">
        <f t="shared" si="84"/>
        <v>57127.5</v>
      </c>
      <c r="BX64" s="70">
        <f t="shared" si="84"/>
        <v>57310</v>
      </c>
      <c r="BY64" s="70">
        <f t="shared" si="84"/>
        <v>57492.5</v>
      </c>
      <c r="BZ64" s="70">
        <f t="shared" si="84"/>
        <v>57675</v>
      </c>
      <c r="CA64" s="70">
        <f t="shared" si="84"/>
        <v>57857.5</v>
      </c>
      <c r="CB64" s="231">
        <f t="shared" si="84"/>
        <v>58040</v>
      </c>
    </row>
    <row r="65" spans="1:80">
      <c r="A65" s="174" t="s">
        <v>31</v>
      </c>
      <c r="B65" s="139">
        <f>(IF(B64=F14,100,0)+IF(G14=1,1,0.5)*J14*100)*IF(ISBLANK(F14)=TRUE,0,1)</f>
        <v>1.22</v>
      </c>
      <c r="C65" s="72">
        <f t="shared" ref="C65:AH65" si="85">IF(C64&gt;$F14+1,0,1)*(IF(D65=0,100,0)+IF($G14=1,1,0.5)*$J14*100)</f>
        <v>1.22</v>
      </c>
      <c r="D65" s="72">
        <f t="shared" si="85"/>
        <v>101.22</v>
      </c>
      <c r="E65" s="72">
        <f t="shared" si="85"/>
        <v>0</v>
      </c>
      <c r="F65" s="72">
        <f t="shared" si="85"/>
        <v>0</v>
      </c>
      <c r="G65" s="72">
        <f t="shared" si="85"/>
        <v>0</v>
      </c>
      <c r="H65" s="72">
        <f t="shared" si="85"/>
        <v>0</v>
      </c>
      <c r="I65" s="72">
        <f t="shared" si="85"/>
        <v>0</v>
      </c>
      <c r="J65" s="72">
        <f t="shared" si="85"/>
        <v>0</v>
      </c>
      <c r="K65" s="72">
        <f t="shared" si="85"/>
        <v>0</v>
      </c>
      <c r="L65" s="72">
        <f t="shared" si="85"/>
        <v>0</v>
      </c>
      <c r="M65" s="72">
        <f t="shared" si="85"/>
        <v>0</v>
      </c>
      <c r="N65" s="72">
        <f t="shared" si="85"/>
        <v>0</v>
      </c>
      <c r="O65" s="72">
        <f t="shared" si="85"/>
        <v>0</v>
      </c>
      <c r="P65" s="72">
        <f t="shared" si="85"/>
        <v>0</v>
      </c>
      <c r="Q65" s="72">
        <f t="shared" si="85"/>
        <v>0</v>
      </c>
      <c r="R65" s="72">
        <f t="shared" si="85"/>
        <v>0</v>
      </c>
      <c r="S65" s="72">
        <f t="shared" si="85"/>
        <v>0</v>
      </c>
      <c r="T65" s="72">
        <f t="shared" si="85"/>
        <v>0</v>
      </c>
      <c r="U65" s="72">
        <f t="shared" si="85"/>
        <v>0</v>
      </c>
      <c r="V65" s="72">
        <f t="shared" si="85"/>
        <v>0</v>
      </c>
      <c r="W65" s="72">
        <f t="shared" si="85"/>
        <v>0</v>
      </c>
      <c r="X65" s="72">
        <f t="shared" si="85"/>
        <v>0</v>
      </c>
      <c r="Y65" s="72">
        <f t="shared" si="85"/>
        <v>0</v>
      </c>
      <c r="Z65" s="72">
        <f t="shared" si="85"/>
        <v>0</v>
      </c>
      <c r="AA65" s="72">
        <f t="shared" si="85"/>
        <v>0</v>
      </c>
      <c r="AB65" s="72">
        <f t="shared" si="85"/>
        <v>0</v>
      </c>
      <c r="AC65" s="72">
        <f t="shared" si="85"/>
        <v>0</v>
      </c>
      <c r="AD65" s="72">
        <f t="shared" si="85"/>
        <v>0</v>
      </c>
      <c r="AE65" s="72">
        <f t="shared" si="85"/>
        <v>0</v>
      </c>
      <c r="AF65" s="72">
        <f t="shared" si="85"/>
        <v>0</v>
      </c>
      <c r="AG65" s="72">
        <f t="shared" si="85"/>
        <v>0</v>
      </c>
      <c r="AH65" s="72">
        <f t="shared" si="85"/>
        <v>0</v>
      </c>
      <c r="AI65" s="72">
        <f t="shared" ref="AI65:BN65" si="86">IF(AI64&gt;$F14+1,0,1)*(IF(AJ65=0,100,0)+IF($G14=1,1,0.5)*$J14*100)</f>
        <v>0</v>
      </c>
      <c r="AJ65" s="72">
        <f t="shared" si="86"/>
        <v>0</v>
      </c>
      <c r="AK65" s="72">
        <f t="shared" si="86"/>
        <v>0</v>
      </c>
      <c r="AL65" s="72">
        <f t="shared" si="86"/>
        <v>0</v>
      </c>
      <c r="AM65" s="72">
        <f t="shared" si="86"/>
        <v>0</v>
      </c>
      <c r="AN65" s="72">
        <f t="shared" si="86"/>
        <v>0</v>
      </c>
      <c r="AO65" s="72">
        <f t="shared" si="86"/>
        <v>0</v>
      </c>
      <c r="AP65" s="72">
        <f t="shared" si="86"/>
        <v>0</v>
      </c>
      <c r="AQ65" s="72">
        <f t="shared" si="86"/>
        <v>0</v>
      </c>
      <c r="AR65" s="72">
        <f t="shared" si="86"/>
        <v>0</v>
      </c>
      <c r="AS65" s="72">
        <f t="shared" si="86"/>
        <v>0</v>
      </c>
      <c r="AT65" s="72">
        <f t="shared" si="86"/>
        <v>0</v>
      </c>
      <c r="AU65" s="72">
        <f t="shared" si="86"/>
        <v>0</v>
      </c>
      <c r="AV65" s="72">
        <f t="shared" si="86"/>
        <v>0</v>
      </c>
      <c r="AW65" s="72">
        <f t="shared" si="86"/>
        <v>0</v>
      </c>
      <c r="AX65" s="72">
        <f t="shared" si="86"/>
        <v>0</v>
      </c>
      <c r="AY65" s="72">
        <f t="shared" si="86"/>
        <v>0</v>
      </c>
      <c r="AZ65" s="72">
        <f t="shared" si="86"/>
        <v>0</v>
      </c>
      <c r="BA65" s="72">
        <f t="shared" si="86"/>
        <v>0</v>
      </c>
      <c r="BB65" s="72">
        <f t="shared" si="86"/>
        <v>0</v>
      </c>
      <c r="BC65" s="72">
        <f t="shared" si="86"/>
        <v>0</v>
      </c>
      <c r="BD65" s="72">
        <f t="shared" si="86"/>
        <v>0</v>
      </c>
      <c r="BE65" s="72">
        <f t="shared" si="86"/>
        <v>0</v>
      </c>
      <c r="BF65" s="72">
        <f t="shared" si="86"/>
        <v>0</v>
      </c>
      <c r="BG65" s="72">
        <f t="shared" si="86"/>
        <v>0</v>
      </c>
      <c r="BH65" s="72">
        <f t="shared" si="86"/>
        <v>0</v>
      </c>
      <c r="BI65" s="72">
        <f t="shared" si="86"/>
        <v>0</v>
      </c>
      <c r="BJ65" s="72">
        <f t="shared" si="86"/>
        <v>0</v>
      </c>
      <c r="BK65" s="72">
        <f t="shared" si="86"/>
        <v>0</v>
      </c>
      <c r="BL65" s="72">
        <f t="shared" si="86"/>
        <v>0</v>
      </c>
      <c r="BM65" s="72">
        <f t="shared" si="86"/>
        <v>0</v>
      </c>
      <c r="BN65" s="72">
        <f t="shared" si="86"/>
        <v>0</v>
      </c>
      <c r="BO65" s="72">
        <f t="shared" ref="BO65:CB65" si="87">IF(BO64&gt;$F14+1,0,1)*(IF(BP65=0,100,0)+IF($G14=1,1,0.5)*$J14*100)</f>
        <v>0</v>
      </c>
      <c r="BP65" s="72">
        <f t="shared" si="87"/>
        <v>0</v>
      </c>
      <c r="BQ65" s="72">
        <f t="shared" si="87"/>
        <v>0</v>
      </c>
      <c r="BR65" s="72">
        <f t="shared" si="87"/>
        <v>0</v>
      </c>
      <c r="BS65" s="72">
        <f t="shared" si="87"/>
        <v>0</v>
      </c>
      <c r="BT65" s="72">
        <f t="shared" si="87"/>
        <v>0</v>
      </c>
      <c r="BU65" s="72">
        <f t="shared" si="87"/>
        <v>0</v>
      </c>
      <c r="BV65" s="72">
        <f t="shared" si="87"/>
        <v>0</v>
      </c>
      <c r="BW65" s="72">
        <f t="shared" si="87"/>
        <v>0</v>
      </c>
      <c r="BX65" s="72">
        <f t="shared" si="87"/>
        <v>0</v>
      </c>
      <c r="BY65" s="72">
        <f t="shared" si="87"/>
        <v>0</v>
      </c>
      <c r="BZ65" s="72">
        <f t="shared" si="87"/>
        <v>0</v>
      </c>
      <c r="CA65" s="72">
        <f t="shared" si="87"/>
        <v>0</v>
      </c>
      <c r="CB65" s="232">
        <f t="shared" si="87"/>
        <v>0</v>
      </c>
    </row>
    <row r="66" spans="1:80">
      <c r="A66" s="253" t="s">
        <v>49</v>
      </c>
      <c r="B66" s="74" t="str">
        <f>IF(E15=0,F15,E15)</f>
        <v>8/26/2019</v>
      </c>
      <c r="C66" s="75">
        <f t="shared" ref="C66:AH66" si="88">B66+IF($G15=1,365,182.5)</f>
        <v>43885.5</v>
      </c>
      <c r="D66" s="75">
        <f t="shared" si="88"/>
        <v>44068</v>
      </c>
      <c r="E66" s="75">
        <f t="shared" si="88"/>
        <v>44250.5</v>
      </c>
      <c r="F66" s="75">
        <f t="shared" si="88"/>
        <v>44433</v>
      </c>
      <c r="G66" s="75">
        <f t="shared" si="88"/>
        <v>44615.5</v>
      </c>
      <c r="H66" s="75">
        <f t="shared" si="88"/>
        <v>44798</v>
      </c>
      <c r="I66" s="75">
        <f t="shared" si="88"/>
        <v>44980.5</v>
      </c>
      <c r="J66" s="75">
        <f t="shared" si="88"/>
        <v>45163</v>
      </c>
      <c r="K66" s="75">
        <f t="shared" si="88"/>
        <v>45345.5</v>
      </c>
      <c r="L66" s="75">
        <f t="shared" si="88"/>
        <v>45528</v>
      </c>
      <c r="M66" s="75">
        <f t="shared" si="88"/>
        <v>45710.5</v>
      </c>
      <c r="N66" s="75">
        <f t="shared" si="88"/>
        <v>45893</v>
      </c>
      <c r="O66" s="75">
        <f t="shared" si="88"/>
        <v>46075.5</v>
      </c>
      <c r="P66" s="75">
        <f t="shared" si="88"/>
        <v>46258</v>
      </c>
      <c r="Q66" s="75">
        <f t="shared" si="88"/>
        <v>46440.5</v>
      </c>
      <c r="R66" s="75">
        <f t="shared" si="88"/>
        <v>46623</v>
      </c>
      <c r="S66" s="75">
        <f t="shared" si="88"/>
        <v>46805.5</v>
      </c>
      <c r="T66" s="75">
        <f t="shared" si="88"/>
        <v>46988</v>
      </c>
      <c r="U66" s="75">
        <f t="shared" si="88"/>
        <v>47170.5</v>
      </c>
      <c r="V66" s="75">
        <f t="shared" si="88"/>
        <v>47353</v>
      </c>
      <c r="W66" s="75">
        <f t="shared" si="88"/>
        <v>47535.5</v>
      </c>
      <c r="X66" s="75">
        <f t="shared" si="88"/>
        <v>47718</v>
      </c>
      <c r="Y66" s="75">
        <f t="shared" si="88"/>
        <v>47900.5</v>
      </c>
      <c r="Z66" s="75">
        <f t="shared" si="88"/>
        <v>48083</v>
      </c>
      <c r="AA66" s="75">
        <f t="shared" si="88"/>
        <v>48265.5</v>
      </c>
      <c r="AB66" s="75">
        <f t="shared" si="88"/>
        <v>48448</v>
      </c>
      <c r="AC66" s="75">
        <f t="shared" si="88"/>
        <v>48630.5</v>
      </c>
      <c r="AD66" s="75">
        <f t="shared" si="88"/>
        <v>48813</v>
      </c>
      <c r="AE66" s="75">
        <f t="shared" si="88"/>
        <v>48995.5</v>
      </c>
      <c r="AF66" s="75">
        <f t="shared" si="88"/>
        <v>49178</v>
      </c>
      <c r="AG66" s="75">
        <f t="shared" si="88"/>
        <v>49360.5</v>
      </c>
      <c r="AH66" s="75">
        <f t="shared" si="88"/>
        <v>49543</v>
      </c>
      <c r="AI66" s="75">
        <f t="shared" ref="AI66:BN66" si="89">AH66+IF($G15=1,365,182.5)</f>
        <v>49725.5</v>
      </c>
      <c r="AJ66" s="75">
        <f t="shared" si="89"/>
        <v>49908</v>
      </c>
      <c r="AK66" s="75">
        <f t="shared" si="89"/>
        <v>50090.5</v>
      </c>
      <c r="AL66" s="75">
        <f t="shared" si="89"/>
        <v>50273</v>
      </c>
      <c r="AM66" s="75">
        <f t="shared" si="89"/>
        <v>50455.5</v>
      </c>
      <c r="AN66" s="75">
        <f t="shared" si="89"/>
        <v>50638</v>
      </c>
      <c r="AO66" s="75">
        <f t="shared" si="89"/>
        <v>50820.5</v>
      </c>
      <c r="AP66" s="75">
        <f t="shared" si="89"/>
        <v>51003</v>
      </c>
      <c r="AQ66" s="75">
        <f t="shared" si="89"/>
        <v>51185.5</v>
      </c>
      <c r="AR66" s="75">
        <f t="shared" si="89"/>
        <v>51368</v>
      </c>
      <c r="AS66" s="75">
        <f t="shared" si="89"/>
        <v>51550.5</v>
      </c>
      <c r="AT66" s="75">
        <f t="shared" si="89"/>
        <v>51733</v>
      </c>
      <c r="AU66" s="75">
        <f t="shared" si="89"/>
        <v>51915.5</v>
      </c>
      <c r="AV66" s="75">
        <f t="shared" si="89"/>
        <v>52098</v>
      </c>
      <c r="AW66" s="75">
        <f t="shared" si="89"/>
        <v>52280.5</v>
      </c>
      <c r="AX66" s="75">
        <f t="shared" si="89"/>
        <v>52463</v>
      </c>
      <c r="AY66" s="75">
        <f t="shared" si="89"/>
        <v>52645.5</v>
      </c>
      <c r="AZ66" s="75">
        <f t="shared" si="89"/>
        <v>52828</v>
      </c>
      <c r="BA66" s="75">
        <f t="shared" si="89"/>
        <v>53010.5</v>
      </c>
      <c r="BB66" s="75">
        <f t="shared" si="89"/>
        <v>53193</v>
      </c>
      <c r="BC66" s="75">
        <f t="shared" si="89"/>
        <v>53375.5</v>
      </c>
      <c r="BD66" s="75">
        <f t="shared" si="89"/>
        <v>53558</v>
      </c>
      <c r="BE66" s="75">
        <f t="shared" si="89"/>
        <v>53740.5</v>
      </c>
      <c r="BF66" s="75">
        <f t="shared" si="89"/>
        <v>53923</v>
      </c>
      <c r="BG66" s="75">
        <f t="shared" si="89"/>
        <v>54105.5</v>
      </c>
      <c r="BH66" s="75">
        <f t="shared" si="89"/>
        <v>54288</v>
      </c>
      <c r="BI66" s="75">
        <f t="shared" si="89"/>
        <v>54470.5</v>
      </c>
      <c r="BJ66" s="75">
        <f t="shared" si="89"/>
        <v>54653</v>
      </c>
      <c r="BK66" s="75">
        <f t="shared" si="89"/>
        <v>54835.5</v>
      </c>
      <c r="BL66" s="75">
        <f t="shared" si="89"/>
        <v>55018</v>
      </c>
      <c r="BM66" s="75">
        <f t="shared" si="89"/>
        <v>55200.5</v>
      </c>
      <c r="BN66" s="75">
        <f t="shared" si="89"/>
        <v>55383</v>
      </c>
      <c r="BO66" s="75">
        <f t="shared" ref="BO66:CB66" si="90">BN66+IF($G15=1,365,182.5)</f>
        <v>55565.5</v>
      </c>
      <c r="BP66" s="75">
        <f t="shared" si="90"/>
        <v>55748</v>
      </c>
      <c r="BQ66" s="75">
        <f t="shared" si="90"/>
        <v>55930.5</v>
      </c>
      <c r="BR66" s="75">
        <f t="shared" si="90"/>
        <v>56113</v>
      </c>
      <c r="BS66" s="75">
        <f t="shared" si="90"/>
        <v>56295.5</v>
      </c>
      <c r="BT66" s="75">
        <f t="shared" si="90"/>
        <v>56478</v>
      </c>
      <c r="BU66" s="75">
        <f t="shared" si="90"/>
        <v>56660.5</v>
      </c>
      <c r="BV66" s="75">
        <f t="shared" si="90"/>
        <v>56843</v>
      </c>
      <c r="BW66" s="75">
        <f t="shared" si="90"/>
        <v>57025.5</v>
      </c>
      <c r="BX66" s="75">
        <f t="shared" si="90"/>
        <v>57208</v>
      </c>
      <c r="BY66" s="75">
        <f t="shared" si="90"/>
        <v>57390.5</v>
      </c>
      <c r="BZ66" s="75">
        <f t="shared" si="90"/>
        <v>57573</v>
      </c>
      <c r="CA66" s="75">
        <f t="shared" si="90"/>
        <v>57755.5</v>
      </c>
      <c r="CB66" s="76">
        <f t="shared" si="90"/>
        <v>57938</v>
      </c>
    </row>
    <row r="67" spans="1:80">
      <c r="A67" s="175" t="s">
        <v>32</v>
      </c>
      <c r="B67" s="110">
        <f>(IF(B66=F15,100,0)+IF(G15=1,1,0.5)*J15*100)*IF(ISBLANK(F15)=TRUE,0,1)</f>
        <v>1.66</v>
      </c>
      <c r="C67" s="77">
        <f t="shared" ref="C67:AH67" si="91">IF(C66&gt;$F15+1,0,1)*(IF(D67=0,100,0)+IF($G15=1,1,0.5)*$J15*100)</f>
        <v>1.66</v>
      </c>
      <c r="D67" s="77">
        <f t="shared" si="91"/>
        <v>1.66</v>
      </c>
      <c r="E67" s="77">
        <f t="shared" si="91"/>
        <v>1.66</v>
      </c>
      <c r="F67" s="77">
        <f t="shared" si="91"/>
        <v>1.66</v>
      </c>
      <c r="G67" s="77">
        <f t="shared" si="91"/>
        <v>1.66</v>
      </c>
      <c r="H67" s="77">
        <f t="shared" si="91"/>
        <v>1.66</v>
      </c>
      <c r="I67" s="77">
        <f t="shared" si="91"/>
        <v>1.66</v>
      </c>
      <c r="J67" s="77">
        <f t="shared" si="91"/>
        <v>1.66</v>
      </c>
      <c r="K67" s="77">
        <f t="shared" si="91"/>
        <v>1.66</v>
      </c>
      <c r="L67" s="77">
        <f t="shared" si="91"/>
        <v>1.66</v>
      </c>
      <c r="M67" s="77">
        <f t="shared" si="91"/>
        <v>1.66</v>
      </c>
      <c r="N67" s="77">
        <f t="shared" si="91"/>
        <v>1.66</v>
      </c>
      <c r="O67" s="77">
        <f t="shared" si="91"/>
        <v>101.66</v>
      </c>
      <c r="P67" s="77">
        <f t="shared" si="91"/>
        <v>0</v>
      </c>
      <c r="Q67" s="77">
        <f t="shared" si="91"/>
        <v>0</v>
      </c>
      <c r="R67" s="77">
        <f t="shared" si="91"/>
        <v>0</v>
      </c>
      <c r="S67" s="77">
        <f t="shared" si="91"/>
        <v>0</v>
      </c>
      <c r="T67" s="77">
        <f t="shared" si="91"/>
        <v>0</v>
      </c>
      <c r="U67" s="77">
        <f t="shared" si="91"/>
        <v>0</v>
      </c>
      <c r="V67" s="77">
        <f t="shared" si="91"/>
        <v>0</v>
      </c>
      <c r="W67" s="77">
        <f t="shared" si="91"/>
        <v>0</v>
      </c>
      <c r="X67" s="77">
        <f t="shared" si="91"/>
        <v>0</v>
      </c>
      <c r="Y67" s="77">
        <f t="shared" si="91"/>
        <v>0</v>
      </c>
      <c r="Z67" s="77">
        <f t="shared" si="91"/>
        <v>0</v>
      </c>
      <c r="AA67" s="77">
        <f t="shared" si="91"/>
        <v>0</v>
      </c>
      <c r="AB67" s="77">
        <f t="shared" si="91"/>
        <v>0</v>
      </c>
      <c r="AC67" s="77">
        <f t="shared" si="91"/>
        <v>0</v>
      </c>
      <c r="AD67" s="77">
        <f t="shared" si="91"/>
        <v>0</v>
      </c>
      <c r="AE67" s="77">
        <f t="shared" si="91"/>
        <v>0</v>
      </c>
      <c r="AF67" s="77">
        <f t="shared" si="91"/>
        <v>0</v>
      </c>
      <c r="AG67" s="77">
        <f t="shared" si="91"/>
        <v>0</v>
      </c>
      <c r="AH67" s="77">
        <f t="shared" si="91"/>
        <v>0</v>
      </c>
      <c r="AI67" s="77">
        <f t="shared" ref="AI67:BN67" si="92">IF(AI66&gt;$F15+1,0,1)*(IF(AJ67=0,100,0)+IF($G15=1,1,0.5)*$J15*100)</f>
        <v>0</v>
      </c>
      <c r="AJ67" s="77">
        <f t="shared" si="92"/>
        <v>0</v>
      </c>
      <c r="AK67" s="77">
        <f t="shared" si="92"/>
        <v>0</v>
      </c>
      <c r="AL67" s="77">
        <f t="shared" si="92"/>
        <v>0</v>
      </c>
      <c r="AM67" s="77">
        <f t="shared" si="92"/>
        <v>0</v>
      </c>
      <c r="AN67" s="77">
        <f t="shared" si="92"/>
        <v>0</v>
      </c>
      <c r="AO67" s="77">
        <f t="shared" si="92"/>
        <v>0</v>
      </c>
      <c r="AP67" s="77">
        <f t="shared" si="92"/>
        <v>0</v>
      </c>
      <c r="AQ67" s="77">
        <f t="shared" si="92"/>
        <v>0</v>
      </c>
      <c r="AR67" s="77">
        <f t="shared" si="92"/>
        <v>0</v>
      </c>
      <c r="AS67" s="77">
        <f t="shared" si="92"/>
        <v>0</v>
      </c>
      <c r="AT67" s="77">
        <f t="shared" si="92"/>
        <v>0</v>
      </c>
      <c r="AU67" s="77">
        <f t="shared" si="92"/>
        <v>0</v>
      </c>
      <c r="AV67" s="77">
        <f t="shared" si="92"/>
        <v>0</v>
      </c>
      <c r="AW67" s="77">
        <f t="shared" si="92"/>
        <v>0</v>
      </c>
      <c r="AX67" s="77">
        <f t="shared" si="92"/>
        <v>0</v>
      </c>
      <c r="AY67" s="77">
        <f t="shared" si="92"/>
        <v>0</v>
      </c>
      <c r="AZ67" s="77">
        <f t="shared" si="92"/>
        <v>0</v>
      </c>
      <c r="BA67" s="77">
        <f t="shared" si="92"/>
        <v>0</v>
      </c>
      <c r="BB67" s="77">
        <f t="shared" si="92"/>
        <v>0</v>
      </c>
      <c r="BC67" s="77">
        <f t="shared" si="92"/>
        <v>0</v>
      </c>
      <c r="BD67" s="77">
        <f t="shared" si="92"/>
        <v>0</v>
      </c>
      <c r="BE67" s="77">
        <f t="shared" si="92"/>
        <v>0</v>
      </c>
      <c r="BF67" s="77">
        <f t="shared" si="92"/>
        <v>0</v>
      </c>
      <c r="BG67" s="77">
        <f t="shared" si="92"/>
        <v>0</v>
      </c>
      <c r="BH67" s="77">
        <f t="shared" si="92"/>
        <v>0</v>
      </c>
      <c r="BI67" s="77">
        <f t="shared" si="92"/>
        <v>0</v>
      </c>
      <c r="BJ67" s="77">
        <f t="shared" si="92"/>
        <v>0</v>
      </c>
      <c r="BK67" s="77">
        <f t="shared" si="92"/>
        <v>0</v>
      </c>
      <c r="BL67" s="77">
        <f t="shared" si="92"/>
        <v>0</v>
      </c>
      <c r="BM67" s="77">
        <f t="shared" si="92"/>
        <v>0</v>
      </c>
      <c r="BN67" s="77">
        <f t="shared" si="92"/>
        <v>0</v>
      </c>
      <c r="BO67" s="77">
        <f t="shared" ref="BO67:CB67" si="93">IF(BO66&gt;$F15+1,0,1)*(IF(BP67=0,100,0)+IF($G15=1,1,0.5)*$J15*100)</f>
        <v>0</v>
      </c>
      <c r="BP67" s="77">
        <f t="shared" si="93"/>
        <v>0</v>
      </c>
      <c r="BQ67" s="77">
        <f t="shared" si="93"/>
        <v>0</v>
      </c>
      <c r="BR67" s="77">
        <f t="shared" si="93"/>
        <v>0</v>
      </c>
      <c r="BS67" s="77">
        <f t="shared" si="93"/>
        <v>0</v>
      </c>
      <c r="BT67" s="77">
        <f t="shared" si="93"/>
        <v>0</v>
      </c>
      <c r="BU67" s="77">
        <f t="shared" si="93"/>
        <v>0</v>
      </c>
      <c r="BV67" s="77">
        <f t="shared" si="93"/>
        <v>0</v>
      </c>
      <c r="BW67" s="77">
        <f t="shared" si="93"/>
        <v>0</v>
      </c>
      <c r="BX67" s="77">
        <f t="shared" si="93"/>
        <v>0</v>
      </c>
      <c r="BY67" s="77">
        <f t="shared" si="93"/>
        <v>0</v>
      </c>
      <c r="BZ67" s="77">
        <f t="shared" si="93"/>
        <v>0</v>
      </c>
      <c r="CA67" s="77">
        <f t="shared" si="93"/>
        <v>0</v>
      </c>
      <c r="CB67" s="78">
        <f t="shared" si="93"/>
        <v>0</v>
      </c>
    </row>
    <row r="68" spans="1:80">
      <c r="A68" s="252" t="s">
        <v>49</v>
      </c>
      <c r="B68" s="47" t="str">
        <f>IF(E16=0,F16,E16)</f>
        <v>12/20/2019</v>
      </c>
      <c r="C68" s="48">
        <f t="shared" ref="C68:AH68" si="94">B68+IF($G16=1,365,182.5)</f>
        <v>44001.5</v>
      </c>
      <c r="D68" s="48">
        <f t="shared" si="94"/>
        <v>44184</v>
      </c>
      <c r="E68" s="48">
        <f t="shared" si="94"/>
        <v>44366.5</v>
      </c>
      <c r="F68" s="48">
        <f t="shared" si="94"/>
        <v>44549</v>
      </c>
      <c r="G68" s="48">
        <f t="shared" si="94"/>
        <v>44731.5</v>
      </c>
      <c r="H68" s="48">
        <f t="shared" si="94"/>
        <v>44914</v>
      </c>
      <c r="I68" s="48">
        <f t="shared" si="94"/>
        <v>45096.5</v>
      </c>
      <c r="J68" s="48">
        <f t="shared" si="94"/>
        <v>45279</v>
      </c>
      <c r="K68" s="48">
        <f t="shared" si="94"/>
        <v>45461.5</v>
      </c>
      <c r="L68" s="48">
        <f t="shared" si="94"/>
        <v>45644</v>
      </c>
      <c r="M68" s="48">
        <f t="shared" si="94"/>
        <v>45826.5</v>
      </c>
      <c r="N68" s="48">
        <f t="shared" si="94"/>
        <v>46009</v>
      </c>
      <c r="O68" s="48">
        <f t="shared" si="94"/>
        <v>46191.5</v>
      </c>
      <c r="P68" s="48">
        <f t="shared" si="94"/>
        <v>46374</v>
      </c>
      <c r="Q68" s="48">
        <f t="shared" si="94"/>
        <v>46556.5</v>
      </c>
      <c r="R68" s="48">
        <f t="shared" si="94"/>
        <v>46739</v>
      </c>
      <c r="S68" s="48">
        <f t="shared" si="94"/>
        <v>46921.5</v>
      </c>
      <c r="T68" s="48">
        <f t="shared" si="94"/>
        <v>47104</v>
      </c>
      <c r="U68" s="48">
        <f t="shared" si="94"/>
        <v>47286.5</v>
      </c>
      <c r="V68" s="48">
        <f t="shared" si="94"/>
        <v>47469</v>
      </c>
      <c r="W68" s="48">
        <f t="shared" si="94"/>
        <v>47651.5</v>
      </c>
      <c r="X68" s="48">
        <f t="shared" si="94"/>
        <v>47834</v>
      </c>
      <c r="Y68" s="48">
        <f t="shared" si="94"/>
        <v>48016.5</v>
      </c>
      <c r="Z68" s="48">
        <f t="shared" si="94"/>
        <v>48199</v>
      </c>
      <c r="AA68" s="48">
        <f t="shared" si="94"/>
        <v>48381.5</v>
      </c>
      <c r="AB68" s="48">
        <f t="shared" si="94"/>
        <v>48564</v>
      </c>
      <c r="AC68" s="48">
        <f t="shared" si="94"/>
        <v>48746.5</v>
      </c>
      <c r="AD68" s="48">
        <f t="shared" si="94"/>
        <v>48929</v>
      </c>
      <c r="AE68" s="48">
        <f t="shared" si="94"/>
        <v>49111.5</v>
      </c>
      <c r="AF68" s="48">
        <f t="shared" si="94"/>
        <v>49294</v>
      </c>
      <c r="AG68" s="48">
        <f t="shared" si="94"/>
        <v>49476.5</v>
      </c>
      <c r="AH68" s="48">
        <f t="shared" si="94"/>
        <v>49659</v>
      </c>
      <c r="AI68" s="48">
        <f t="shared" ref="AI68:BN68" si="95">AH68+IF($G16=1,365,182.5)</f>
        <v>49841.5</v>
      </c>
      <c r="AJ68" s="48">
        <f t="shared" si="95"/>
        <v>50024</v>
      </c>
      <c r="AK68" s="48">
        <f t="shared" si="95"/>
        <v>50206.5</v>
      </c>
      <c r="AL68" s="48">
        <f t="shared" si="95"/>
        <v>50389</v>
      </c>
      <c r="AM68" s="48">
        <f t="shared" si="95"/>
        <v>50571.5</v>
      </c>
      <c r="AN68" s="48">
        <f t="shared" si="95"/>
        <v>50754</v>
      </c>
      <c r="AO68" s="48">
        <f t="shared" si="95"/>
        <v>50936.5</v>
      </c>
      <c r="AP68" s="48">
        <f t="shared" si="95"/>
        <v>51119</v>
      </c>
      <c r="AQ68" s="48">
        <f t="shared" si="95"/>
        <v>51301.5</v>
      </c>
      <c r="AR68" s="48">
        <f t="shared" si="95"/>
        <v>51484</v>
      </c>
      <c r="AS68" s="48">
        <f t="shared" si="95"/>
        <v>51666.5</v>
      </c>
      <c r="AT68" s="48">
        <f t="shared" si="95"/>
        <v>51849</v>
      </c>
      <c r="AU68" s="48">
        <f t="shared" si="95"/>
        <v>52031.5</v>
      </c>
      <c r="AV68" s="48">
        <f t="shared" si="95"/>
        <v>52214</v>
      </c>
      <c r="AW68" s="48">
        <f t="shared" si="95"/>
        <v>52396.5</v>
      </c>
      <c r="AX68" s="48">
        <f t="shared" si="95"/>
        <v>52579</v>
      </c>
      <c r="AY68" s="48">
        <f t="shared" si="95"/>
        <v>52761.5</v>
      </c>
      <c r="AZ68" s="48">
        <f t="shared" si="95"/>
        <v>52944</v>
      </c>
      <c r="BA68" s="48">
        <f t="shared" si="95"/>
        <v>53126.5</v>
      </c>
      <c r="BB68" s="48">
        <f t="shared" si="95"/>
        <v>53309</v>
      </c>
      <c r="BC68" s="48">
        <f t="shared" si="95"/>
        <v>53491.5</v>
      </c>
      <c r="BD68" s="48">
        <f t="shared" si="95"/>
        <v>53674</v>
      </c>
      <c r="BE68" s="48">
        <f t="shared" si="95"/>
        <v>53856.5</v>
      </c>
      <c r="BF68" s="48">
        <f t="shared" si="95"/>
        <v>54039</v>
      </c>
      <c r="BG68" s="48">
        <f t="shared" si="95"/>
        <v>54221.5</v>
      </c>
      <c r="BH68" s="48">
        <f t="shared" si="95"/>
        <v>54404</v>
      </c>
      <c r="BI68" s="48">
        <f t="shared" si="95"/>
        <v>54586.5</v>
      </c>
      <c r="BJ68" s="48">
        <f t="shared" si="95"/>
        <v>54769</v>
      </c>
      <c r="BK68" s="48">
        <f t="shared" si="95"/>
        <v>54951.5</v>
      </c>
      <c r="BL68" s="48">
        <f t="shared" si="95"/>
        <v>55134</v>
      </c>
      <c r="BM68" s="48">
        <f t="shared" si="95"/>
        <v>55316.5</v>
      </c>
      <c r="BN68" s="48">
        <f t="shared" si="95"/>
        <v>55499</v>
      </c>
      <c r="BO68" s="48">
        <f t="shared" ref="BO68:CB68" si="96">BN68+IF($G16=1,365,182.5)</f>
        <v>55681.5</v>
      </c>
      <c r="BP68" s="48">
        <f t="shared" si="96"/>
        <v>55864</v>
      </c>
      <c r="BQ68" s="48">
        <f t="shared" si="96"/>
        <v>56046.5</v>
      </c>
      <c r="BR68" s="48">
        <f t="shared" si="96"/>
        <v>56229</v>
      </c>
      <c r="BS68" s="48">
        <f t="shared" si="96"/>
        <v>56411.5</v>
      </c>
      <c r="BT68" s="48">
        <f t="shared" si="96"/>
        <v>56594</v>
      </c>
      <c r="BU68" s="48">
        <f t="shared" si="96"/>
        <v>56776.5</v>
      </c>
      <c r="BV68" s="48">
        <f t="shared" si="96"/>
        <v>56959</v>
      </c>
      <c r="BW68" s="48">
        <f t="shared" si="96"/>
        <v>57141.5</v>
      </c>
      <c r="BX68" s="48">
        <f t="shared" si="96"/>
        <v>57324</v>
      </c>
      <c r="BY68" s="48">
        <f t="shared" si="96"/>
        <v>57506.5</v>
      </c>
      <c r="BZ68" s="48">
        <f t="shared" si="96"/>
        <v>57689</v>
      </c>
      <c r="CA68" s="48">
        <f t="shared" si="96"/>
        <v>57871.5</v>
      </c>
      <c r="CB68" s="49">
        <f t="shared" si="96"/>
        <v>58054</v>
      </c>
    </row>
    <row r="69" spans="1:80">
      <c r="A69" s="168" t="s">
        <v>18</v>
      </c>
      <c r="B69" s="108">
        <f>(IF(B68=F16,100,0)+IF(G16=1,1,0.5)*J16*100)*IF(ISBLANK(F16)=TRUE,0,1)</f>
        <v>1.155</v>
      </c>
      <c r="C69" s="50">
        <f t="shared" ref="C69:AH69" si="97">IF(C68&gt;$F16+1,0,1)*(IF(D69=0,100,0)+IF($G16=1,1,0.5)*$J16*100)</f>
        <v>1.155</v>
      </c>
      <c r="D69" s="50">
        <f t="shared" si="97"/>
        <v>1.155</v>
      </c>
      <c r="E69" s="50">
        <f t="shared" si="97"/>
        <v>101.155</v>
      </c>
      <c r="F69" s="50">
        <f t="shared" si="97"/>
        <v>0</v>
      </c>
      <c r="G69" s="50">
        <f t="shared" si="97"/>
        <v>0</v>
      </c>
      <c r="H69" s="50">
        <f t="shared" si="97"/>
        <v>0</v>
      </c>
      <c r="I69" s="50">
        <f t="shared" si="97"/>
        <v>0</v>
      </c>
      <c r="J69" s="50">
        <f t="shared" si="97"/>
        <v>0</v>
      </c>
      <c r="K69" s="50">
        <f t="shared" si="97"/>
        <v>0</v>
      </c>
      <c r="L69" s="50">
        <f t="shared" si="97"/>
        <v>0</v>
      </c>
      <c r="M69" s="50">
        <f t="shared" si="97"/>
        <v>0</v>
      </c>
      <c r="N69" s="50">
        <f t="shared" si="97"/>
        <v>0</v>
      </c>
      <c r="O69" s="50">
        <f t="shared" si="97"/>
        <v>0</v>
      </c>
      <c r="P69" s="50">
        <f t="shared" si="97"/>
        <v>0</v>
      </c>
      <c r="Q69" s="50">
        <f t="shared" si="97"/>
        <v>0</v>
      </c>
      <c r="R69" s="50">
        <f t="shared" si="97"/>
        <v>0</v>
      </c>
      <c r="S69" s="50">
        <f t="shared" si="97"/>
        <v>0</v>
      </c>
      <c r="T69" s="50">
        <f t="shared" si="97"/>
        <v>0</v>
      </c>
      <c r="U69" s="50">
        <f t="shared" si="97"/>
        <v>0</v>
      </c>
      <c r="V69" s="50">
        <f t="shared" si="97"/>
        <v>0</v>
      </c>
      <c r="W69" s="50">
        <f t="shared" si="97"/>
        <v>0</v>
      </c>
      <c r="X69" s="50">
        <f t="shared" si="97"/>
        <v>0</v>
      </c>
      <c r="Y69" s="50">
        <f t="shared" si="97"/>
        <v>0</v>
      </c>
      <c r="Z69" s="50">
        <f t="shared" si="97"/>
        <v>0</v>
      </c>
      <c r="AA69" s="50">
        <f t="shared" si="97"/>
        <v>0</v>
      </c>
      <c r="AB69" s="50">
        <f t="shared" si="97"/>
        <v>0</v>
      </c>
      <c r="AC69" s="50">
        <f t="shared" si="97"/>
        <v>0</v>
      </c>
      <c r="AD69" s="50">
        <f t="shared" si="97"/>
        <v>0</v>
      </c>
      <c r="AE69" s="50">
        <f t="shared" si="97"/>
        <v>0</v>
      </c>
      <c r="AF69" s="50">
        <f t="shared" si="97"/>
        <v>0</v>
      </c>
      <c r="AG69" s="50">
        <f t="shared" si="97"/>
        <v>0</v>
      </c>
      <c r="AH69" s="50">
        <f t="shared" si="97"/>
        <v>0</v>
      </c>
      <c r="AI69" s="50">
        <f t="shared" ref="AI69:BN69" si="98">IF(AI68&gt;$F16+1,0,1)*(IF(AJ69=0,100,0)+IF($G16=1,1,0.5)*$J16*100)</f>
        <v>0</v>
      </c>
      <c r="AJ69" s="50">
        <f t="shared" si="98"/>
        <v>0</v>
      </c>
      <c r="AK69" s="50">
        <f t="shared" si="98"/>
        <v>0</v>
      </c>
      <c r="AL69" s="50">
        <f t="shared" si="98"/>
        <v>0</v>
      </c>
      <c r="AM69" s="50">
        <f t="shared" si="98"/>
        <v>0</v>
      </c>
      <c r="AN69" s="50">
        <f t="shared" si="98"/>
        <v>0</v>
      </c>
      <c r="AO69" s="50">
        <f t="shared" si="98"/>
        <v>0</v>
      </c>
      <c r="AP69" s="50">
        <f t="shared" si="98"/>
        <v>0</v>
      </c>
      <c r="AQ69" s="50">
        <f t="shared" si="98"/>
        <v>0</v>
      </c>
      <c r="AR69" s="50">
        <f t="shared" si="98"/>
        <v>0</v>
      </c>
      <c r="AS69" s="50">
        <f t="shared" si="98"/>
        <v>0</v>
      </c>
      <c r="AT69" s="50">
        <f t="shared" si="98"/>
        <v>0</v>
      </c>
      <c r="AU69" s="50">
        <f t="shared" si="98"/>
        <v>0</v>
      </c>
      <c r="AV69" s="50">
        <f t="shared" si="98"/>
        <v>0</v>
      </c>
      <c r="AW69" s="50">
        <f t="shared" si="98"/>
        <v>0</v>
      </c>
      <c r="AX69" s="50">
        <f t="shared" si="98"/>
        <v>0</v>
      </c>
      <c r="AY69" s="50">
        <f t="shared" si="98"/>
        <v>0</v>
      </c>
      <c r="AZ69" s="50">
        <f t="shared" si="98"/>
        <v>0</v>
      </c>
      <c r="BA69" s="50">
        <f t="shared" si="98"/>
        <v>0</v>
      </c>
      <c r="BB69" s="50">
        <f t="shared" si="98"/>
        <v>0</v>
      </c>
      <c r="BC69" s="50">
        <f t="shared" si="98"/>
        <v>0</v>
      </c>
      <c r="BD69" s="50">
        <f t="shared" si="98"/>
        <v>0</v>
      </c>
      <c r="BE69" s="50">
        <f t="shared" si="98"/>
        <v>0</v>
      </c>
      <c r="BF69" s="50">
        <f t="shared" si="98"/>
        <v>0</v>
      </c>
      <c r="BG69" s="50">
        <f t="shared" si="98"/>
        <v>0</v>
      </c>
      <c r="BH69" s="50">
        <f t="shared" si="98"/>
        <v>0</v>
      </c>
      <c r="BI69" s="50">
        <f t="shared" si="98"/>
        <v>0</v>
      </c>
      <c r="BJ69" s="50">
        <f t="shared" si="98"/>
        <v>0</v>
      </c>
      <c r="BK69" s="50">
        <f t="shared" si="98"/>
        <v>0</v>
      </c>
      <c r="BL69" s="50">
        <f t="shared" si="98"/>
        <v>0</v>
      </c>
      <c r="BM69" s="50">
        <f t="shared" si="98"/>
        <v>0</v>
      </c>
      <c r="BN69" s="50">
        <f t="shared" si="98"/>
        <v>0</v>
      </c>
      <c r="BO69" s="50">
        <f t="shared" ref="BO69:CB69" si="99">IF(BO68&gt;$F16+1,0,1)*(IF(BP69=0,100,0)+IF($G16=1,1,0.5)*$J16*100)</f>
        <v>0</v>
      </c>
      <c r="BP69" s="50">
        <f t="shared" si="99"/>
        <v>0</v>
      </c>
      <c r="BQ69" s="50">
        <f t="shared" si="99"/>
        <v>0</v>
      </c>
      <c r="BR69" s="50">
        <f t="shared" si="99"/>
        <v>0</v>
      </c>
      <c r="BS69" s="50">
        <f t="shared" si="99"/>
        <v>0</v>
      </c>
      <c r="BT69" s="50">
        <f t="shared" si="99"/>
        <v>0</v>
      </c>
      <c r="BU69" s="50">
        <f t="shared" si="99"/>
        <v>0</v>
      </c>
      <c r="BV69" s="50">
        <f t="shared" si="99"/>
        <v>0</v>
      </c>
      <c r="BW69" s="50">
        <f t="shared" si="99"/>
        <v>0</v>
      </c>
      <c r="BX69" s="50">
        <f t="shared" si="99"/>
        <v>0</v>
      </c>
      <c r="BY69" s="50">
        <f t="shared" si="99"/>
        <v>0</v>
      </c>
      <c r="BZ69" s="50">
        <f t="shared" si="99"/>
        <v>0</v>
      </c>
      <c r="CA69" s="50">
        <f t="shared" si="99"/>
        <v>0</v>
      </c>
      <c r="CB69" s="51">
        <f t="shared" si="99"/>
        <v>0</v>
      </c>
    </row>
    <row r="70" spans="1:80">
      <c r="A70" s="251" t="s">
        <v>49</v>
      </c>
      <c r="B70" s="79" t="str">
        <f>IF(E17=0,F17,E17)</f>
        <v>8/26/2019</v>
      </c>
      <c r="C70" s="80">
        <f t="shared" ref="C70:AH70" si="100">B70+IF($G17=1,365,182.5)</f>
        <v>43885.5</v>
      </c>
      <c r="D70" s="80">
        <f t="shared" si="100"/>
        <v>44068</v>
      </c>
      <c r="E70" s="80">
        <f t="shared" si="100"/>
        <v>44250.5</v>
      </c>
      <c r="F70" s="80">
        <f t="shared" si="100"/>
        <v>44433</v>
      </c>
      <c r="G70" s="80">
        <f t="shared" si="100"/>
        <v>44615.5</v>
      </c>
      <c r="H70" s="80">
        <f t="shared" si="100"/>
        <v>44798</v>
      </c>
      <c r="I70" s="80">
        <f t="shared" si="100"/>
        <v>44980.5</v>
      </c>
      <c r="J70" s="80">
        <f t="shared" si="100"/>
        <v>45163</v>
      </c>
      <c r="K70" s="80">
        <f t="shared" si="100"/>
        <v>45345.5</v>
      </c>
      <c r="L70" s="80">
        <f t="shared" si="100"/>
        <v>45528</v>
      </c>
      <c r="M70" s="80">
        <f t="shared" si="100"/>
        <v>45710.5</v>
      </c>
      <c r="N70" s="80">
        <f t="shared" si="100"/>
        <v>45893</v>
      </c>
      <c r="O70" s="80">
        <f t="shared" si="100"/>
        <v>46075.5</v>
      </c>
      <c r="P70" s="80">
        <f t="shared" si="100"/>
        <v>46258</v>
      </c>
      <c r="Q70" s="80">
        <f t="shared" si="100"/>
        <v>46440.5</v>
      </c>
      <c r="R70" s="80">
        <f t="shared" si="100"/>
        <v>46623</v>
      </c>
      <c r="S70" s="80">
        <f t="shared" si="100"/>
        <v>46805.5</v>
      </c>
      <c r="T70" s="80">
        <f t="shared" si="100"/>
        <v>46988</v>
      </c>
      <c r="U70" s="80">
        <f t="shared" si="100"/>
        <v>47170.5</v>
      </c>
      <c r="V70" s="80">
        <f t="shared" si="100"/>
        <v>47353</v>
      </c>
      <c r="W70" s="80">
        <f t="shared" si="100"/>
        <v>47535.5</v>
      </c>
      <c r="X70" s="80">
        <f t="shared" si="100"/>
        <v>47718</v>
      </c>
      <c r="Y70" s="80">
        <f t="shared" si="100"/>
        <v>47900.5</v>
      </c>
      <c r="Z70" s="80">
        <f t="shared" si="100"/>
        <v>48083</v>
      </c>
      <c r="AA70" s="80">
        <f t="shared" si="100"/>
        <v>48265.5</v>
      </c>
      <c r="AB70" s="80">
        <f t="shared" si="100"/>
        <v>48448</v>
      </c>
      <c r="AC70" s="80">
        <f t="shared" si="100"/>
        <v>48630.5</v>
      </c>
      <c r="AD70" s="80">
        <f t="shared" si="100"/>
        <v>48813</v>
      </c>
      <c r="AE70" s="80">
        <f t="shared" si="100"/>
        <v>48995.5</v>
      </c>
      <c r="AF70" s="80">
        <f t="shared" si="100"/>
        <v>49178</v>
      </c>
      <c r="AG70" s="80">
        <f t="shared" si="100"/>
        <v>49360.5</v>
      </c>
      <c r="AH70" s="80">
        <f t="shared" si="100"/>
        <v>49543</v>
      </c>
      <c r="AI70" s="80">
        <f t="shared" ref="AI70:BN70" si="101">AH70+IF($G17=1,365,182.5)</f>
        <v>49725.5</v>
      </c>
      <c r="AJ70" s="80">
        <f t="shared" si="101"/>
        <v>49908</v>
      </c>
      <c r="AK70" s="80">
        <f t="shared" si="101"/>
        <v>50090.5</v>
      </c>
      <c r="AL70" s="80">
        <f t="shared" si="101"/>
        <v>50273</v>
      </c>
      <c r="AM70" s="80">
        <f t="shared" si="101"/>
        <v>50455.5</v>
      </c>
      <c r="AN70" s="80">
        <f t="shared" si="101"/>
        <v>50638</v>
      </c>
      <c r="AO70" s="80">
        <f t="shared" si="101"/>
        <v>50820.5</v>
      </c>
      <c r="AP70" s="80">
        <f t="shared" si="101"/>
        <v>51003</v>
      </c>
      <c r="AQ70" s="80">
        <f t="shared" si="101"/>
        <v>51185.5</v>
      </c>
      <c r="AR70" s="80">
        <f t="shared" si="101"/>
        <v>51368</v>
      </c>
      <c r="AS70" s="80">
        <f t="shared" si="101"/>
        <v>51550.5</v>
      </c>
      <c r="AT70" s="80">
        <f t="shared" si="101"/>
        <v>51733</v>
      </c>
      <c r="AU70" s="80">
        <f t="shared" si="101"/>
        <v>51915.5</v>
      </c>
      <c r="AV70" s="80">
        <f t="shared" si="101"/>
        <v>52098</v>
      </c>
      <c r="AW70" s="80">
        <f t="shared" si="101"/>
        <v>52280.5</v>
      </c>
      <c r="AX70" s="80">
        <f t="shared" si="101"/>
        <v>52463</v>
      </c>
      <c r="AY70" s="80">
        <f t="shared" si="101"/>
        <v>52645.5</v>
      </c>
      <c r="AZ70" s="80">
        <f t="shared" si="101"/>
        <v>52828</v>
      </c>
      <c r="BA70" s="80">
        <f t="shared" si="101"/>
        <v>53010.5</v>
      </c>
      <c r="BB70" s="80">
        <f t="shared" si="101"/>
        <v>53193</v>
      </c>
      <c r="BC70" s="80">
        <f t="shared" si="101"/>
        <v>53375.5</v>
      </c>
      <c r="BD70" s="80">
        <f t="shared" si="101"/>
        <v>53558</v>
      </c>
      <c r="BE70" s="80">
        <f t="shared" si="101"/>
        <v>53740.5</v>
      </c>
      <c r="BF70" s="80">
        <f t="shared" si="101"/>
        <v>53923</v>
      </c>
      <c r="BG70" s="80">
        <f t="shared" si="101"/>
        <v>54105.5</v>
      </c>
      <c r="BH70" s="80">
        <f t="shared" si="101"/>
        <v>54288</v>
      </c>
      <c r="BI70" s="80">
        <f t="shared" si="101"/>
        <v>54470.5</v>
      </c>
      <c r="BJ70" s="80">
        <f t="shared" si="101"/>
        <v>54653</v>
      </c>
      <c r="BK70" s="80">
        <f t="shared" si="101"/>
        <v>54835.5</v>
      </c>
      <c r="BL70" s="80">
        <f t="shared" si="101"/>
        <v>55018</v>
      </c>
      <c r="BM70" s="80">
        <f t="shared" si="101"/>
        <v>55200.5</v>
      </c>
      <c r="BN70" s="80">
        <f t="shared" si="101"/>
        <v>55383</v>
      </c>
      <c r="BO70" s="80">
        <f t="shared" ref="BO70:CB70" si="102">BN70+IF($G17=1,365,182.5)</f>
        <v>55565.5</v>
      </c>
      <c r="BP70" s="80">
        <f t="shared" si="102"/>
        <v>55748</v>
      </c>
      <c r="BQ70" s="80">
        <f t="shared" si="102"/>
        <v>55930.5</v>
      </c>
      <c r="BR70" s="80">
        <f t="shared" si="102"/>
        <v>56113</v>
      </c>
      <c r="BS70" s="80">
        <f t="shared" si="102"/>
        <v>56295.5</v>
      </c>
      <c r="BT70" s="80">
        <f t="shared" si="102"/>
        <v>56478</v>
      </c>
      <c r="BU70" s="80">
        <f t="shared" si="102"/>
        <v>56660.5</v>
      </c>
      <c r="BV70" s="80">
        <f t="shared" si="102"/>
        <v>56843</v>
      </c>
      <c r="BW70" s="80">
        <f t="shared" si="102"/>
        <v>57025.5</v>
      </c>
      <c r="BX70" s="80">
        <f t="shared" si="102"/>
        <v>57208</v>
      </c>
      <c r="BY70" s="80">
        <f t="shared" si="102"/>
        <v>57390.5</v>
      </c>
      <c r="BZ70" s="80">
        <f t="shared" si="102"/>
        <v>57573</v>
      </c>
      <c r="CA70" s="80">
        <f t="shared" si="102"/>
        <v>57755.5</v>
      </c>
      <c r="CB70" s="81">
        <f t="shared" si="102"/>
        <v>57938</v>
      </c>
    </row>
    <row r="71" spans="1:80">
      <c r="A71" s="176" t="s">
        <v>33</v>
      </c>
      <c r="B71" s="114">
        <f>(IF(B70=F17,100,0)+IF(G17=1,1,0.5)*J17*100)*IF(ISBLANK(F17)=TRUE,0,1)</f>
        <v>1.0349999999999999</v>
      </c>
      <c r="C71" s="82">
        <f t="shared" ref="C71:AH71" si="103">IF(C70&gt;$F17+1,0,1)*(IF(D71=0,100,0)+IF($G17=1,1,0.5)*$J17*100)</f>
        <v>1.0349999999999999</v>
      </c>
      <c r="D71" s="82">
        <f t="shared" si="103"/>
        <v>1.0349999999999999</v>
      </c>
      <c r="E71" s="82">
        <f t="shared" si="103"/>
        <v>1.0349999999999999</v>
      </c>
      <c r="F71" s="82">
        <f t="shared" si="103"/>
        <v>1.0349999999999999</v>
      </c>
      <c r="G71" s="82">
        <f t="shared" si="103"/>
        <v>1.0349999999999999</v>
      </c>
      <c r="H71" s="82">
        <f t="shared" si="103"/>
        <v>1.0349999999999999</v>
      </c>
      <c r="I71" s="82">
        <f t="shared" si="103"/>
        <v>1.0349999999999999</v>
      </c>
      <c r="J71" s="82">
        <f t="shared" si="103"/>
        <v>1.0349999999999999</v>
      </c>
      <c r="K71" s="82">
        <f t="shared" si="103"/>
        <v>1.0349999999999999</v>
      </c>
      <c r="L71" s="82">
        <f t="shared" si="103"/>
        <v>1.0349999999999999</v>
      </c>
      <c r="M71" s="82">
        <f t="shared" si="103"/>
        <v>1.0349999999999999</v>
      </c>
      <c r="N71" s="82">
        <f t="shared" si="103"/>
        <v>1.0349999999999999</v>
      </c>
      <c r="O71" s="82">
        <f t="shared" si="103"/>
        <v>1.0349999999999999</v>
      </c>
      <c r="P71" s="82">
        <f t="shared" si="103"/>
        <v>101.035</v>
      </c>
      <c r="Q71" s="82">
        <f t="shared" si="103"/>
        <v>0</v>
      </c>
      <c r="R71" s="82">
        <f t="shared" si="103"/>
        <v>0</v>
      </c>
      <c r="S71" s="82">
        <f t="shared" si="103"/>
        <v>0</v>
      </c>
      <c r="T71" s="82">
        <f t="shared" si="103"/>
        <v>0</v>
      </c>
      <c r="U71" s="82">
        <f t="shared" si="103"/>
        <v>0</v>
      </c>
      <c r="V71" s="82">
        <f t="shared" si="103"/>
        <v>0</v>
      </c>
      <c r="W71" s="82">
        <f t="shared" si="103"/>
        <v>0</v>
      </c>
      <c r="X71" s="82">
        <f t="shared" si="103"/>
        <v>0</v>
      </c>
      <c r="Y71" s="82">
        <f t="shared" si="103"/>
        <v>0</v>
      </c>
      <c r="Z71" s="82">
        <f t="shared" si="103"/>
        <v>0</v>
      </c>
      <c r="AA71" s="82">
        <f t="shared" si="103"/>
        <v>0</v>
      </c>
      <c r="AB71" s="82">
        <f t="shared" si="103"/>
        <v>0</v>
      </c>
      <c r="AC71" s="82">
        <f t="shared" si="103"/>
        <v>0</v>
      </c>
      <c r="AD71" s="82">
        <f t="shared" si="103"/>
        <v>0</v>
      </c>
      <c r="AE71" s="82">
        <f t="shared" si="103"/>
        <v>0</v>
      </c>
      <c r="AF71" s="82">
        <f t="shared" si="103"/>
        <v>0</v>
      </c>
      <c r="AG71" s="82">
        <f t="shared" si="103"/>
        <v>0</v>
      </c>
      <c r="AH71" s="82">
        <f t="shared" si="103"/>
        <v>0</v>
      </c>
      <c r="AI71" s="82">
        <f t="shared" ref="AI71:BN71" si="104">IF(AI70&gt;$F17+1,0,1)*(IF(AJ71=0,100,0)+IF($G17=1,1,0.5)*$J17*100)</f>
        <v>0</v>
      </c>
      <c r="AJ71" s="82">
        <f t="shared" si="104"/>
        <v>0</v>
      </c>
      <c r="AK71" s="82">
        <f t="shared" si="104"/>
        <v>0</v>
      </c>
      <c r="AL71" s="82">
        <f t="shared" si="104"/>
        <v>0</v>
      </c>
      <c r="AM71" s="82">
        <f t="shared" si="104"/>
        <v>0</v>
      </c>
      <c r="AN71" s="82">
        <f t="shared" si="104"/>
        <v>0</v>
      </c>
      <c r="AO71" s="82">
        <f t="shared" si="104"/>
        <v>0</v>
      </c>
      <c r="AP71" s="82">
        <f t="shared" si="104"/>
        <v>0</v>
      </c>
      <c r="AQ71" s="82">
        <f t="shared" si="104"/>
        <v>0</v>
      </c>
      <c r="AR71" s="82">
        <f t="shared" si="104"/>
        <v>0</v>
      </c>
      <c r="AS71" s="82">
        <f t="shared" si="104"/>
        <v>0</v>
      </c>
      <c r="AT71" s="82">
        <f t="shared" si="104"/>
        <v>0</v>
      </c>
      <c r="AU71" s="82">
        <f t="shared" si="104"/>
        <v>0</v>
      </c>
      <c r="AV71" s="82">
        <f t="shared" si="104"/>
        <v>0</v>
      </c>
      <c r="AW71" s="82">
        <f t="shared" si="104"/>
        <v>0</v>
      </c>
      <c r="AX71" s="82">
        <f t="shared" si="104"/>
        <v>0</v>
      </c>
      <c r="AY71" s="82">
        <f t="shared" si="104"/>
        <v>0</v>
      </c>
      <c r="AZ71" s="82">
        <f t="shared" si="104"/>
        <v>0</v>
      </c>
      <c r="BA71" s="82">
        <f t="shared" si="104"/>
        <v>0</v>
      </c>
      <c r="BB71" s="82">
        <f t="shared" si="104"/>
        <v>0</v>
      </c>
      <c r="BC71" s="82">
        <f t="shared" si="104"/>
        <v>0</v>
      </c>
      <c r="BD71" s="82">
        <f t="shared" si="104"/>
        <v>0</v>
      </c>
      <c r="BE71" s="82">
        <f t="shared" si="104"/>
        <v>0</v>
      </c>
      <c r="BF71" s="82">
        <f t="shared" si="104"/>
        <v>0</v>
      </c>
      <c r="BG71" s="82">
        <f t="shared" si="104"/>
        <v>0</v>
      </c>
      <c r="BH71" s="82">
        <f t="shared" si="104"/>
        <v>0</v>
      </c>
      <c r="BI71" s="82">
        <f t="shared" si="104"/>
        <v>0</v>
      </c>
      <c r="BJ71" s="82">
        <f t="shared" si="104"/>
        <v>0</v>
      </c>
      <c r="BK71" s="82">
        <f t="shared" si="104"/>
        <v>0</v>
      </c>
      <c r="BL71" s="82">
        <f t="shared" si="104"/>
        <v>0</v>
      </c>
      <c r="BM71" s="82">
        <f t="shared" si="104"/>
        <v>0</v>
      </c>
      <c r="BN71" s="82">
        <f t="shared" si="104"/>
        <v>0</v>
      </c>
      <c r="BO71" s="82">
        <f t="shared" ref="BO71:CB71" si="105">IF(BO70&gt;$F17+1,0,1)*(IF(BP71=0,100,0)+IF($G17=1,1,0.5)*$J17*100)</f>
        <v>0</v>
      </c>
      <c r="BP71" s="82">
        <f t="shared" si="105"/>
        <v>0</v>
      </c>
      <c r="BQ71" s="82">
        <f t="shared" si="105"/>
        <v>0</v>
      </c>
      <c r="BR71" s="82">
        <f t="shared" si="105"/>
        <v>0</v>
      </c>
      <c r="BS71" s="82">
        <f t="shared" si="105"/>
        <v>0</v>
      </c>
      <c r="BT71" s="82">
        <f t="shared" si="105"/>
        <v>0</v>
      </c>
      <c r="BU71" s="82">
        <f t="shared" si="105"/>
        <v>0</v>
      </c>
      <c r="BV71" s="82">
        <f t="shared" si="105"/>
        <v>0</v>
      </c>
      <c r="BW71" s="82">
        <f t="shared" si="105"/>
        <v>0</v>
      </c>
      <c r="BX71" s="82">
        <f t="shared" si="105"/>
        <v>0</v>
      </c>
      <c r="BY71" s="82">
        <f t="shared" si="105"/>
        <v>0</v>
      </c>
      <c r="BZ71" s="82">
        <f t="shared" si="105"/>
        <v>0</v>
      </c>
      <c r="CA71" s="82">
        <f t="shared" si="105"/>
        <v>0</v>
      </c>
      <c r="CB71" s="83">
        <f t="shared" si="105"/>
        <v>0</v>
      </c>
    </row>
    <row r="72" spans="1:80">
      <c r="A72" s="250" t="s">
        <v>49</v>
      </c>
      <c r="B72" s="84" t="str">
        <f>IF(E18=0,F18,E18)</f>
        <v>12/5/2019</v>
      </c>
      <c r="C72" s="85">
        <f t="shared" ref="C72:AH72" si="106">B72+IF($G18=1,365,182.5)</f>
        <v>43986.5</v>
      </c>
      <c r="D72" s="85">
        <f t="shared" si="106"/>
        <v>44169</v>
      </c>
      <c r="E72" s="85">
        <f t="shared" si="106"/>
        <v>44351.5</v>
      </c>
      <c r="F72" s="85">
        <f t="shared" si="106"/>
        <v>44534</v>
      </c>
      <c r="G72" s="85">
        <f t="shared" si="106"/>
        <v>44716.5</v>
      </c>
      <c r="H72" s="85">
        <f t="shared" si="106"/>
        <v>44899</v>
      </c>
      <c r="I72" s="85">
        <f t="shared" si="106"/>
        <v>45081.5</v>
      </c>
      <c r="J72" s="85">
        <f t="shared" si="106"/>
        <v>45264</v>
      </c>
      <c r="K72" s="85">
        <f t="shared" si="106"/>
        <v>45446.5</v>
      </c>
      <c r="L72" s="85">
        <f t="shared" si="106"/>
        <v>45629</v>
      </c>
      <c r="M72" s="85">
        <f t="shared" si="106"/>
        <v>45811.5</v>
      </c>
      <c r="N72" s="85">
        <f t="shared" si="106"/>
        <v>45994</v>
      </c>
      <c r="O72" s="85">
        <f t="shared" si="106"/>
        <v>46176.5</v>
      </c>
      <c r="P72" s="85">
        <f t="shared" si="106"/>
        <v>46359</v>
      </c>
      <c r="Q72" s="85">
        <f t="shared" si="106"/>
        <v>46541.5</v>
      </c>
      <c r="R72" s="85">
        <f t="shared" si="106"/>
        <v>46724</v>
      </c>
      <c r="S72" s="85">
        <f t="shared" si="106"/>
        <v>46906.5</v>
      </c>
      <c r="T72" s="85">
        <f t="shared" si="106"/>
        <v>47089</v>
      </c>
      <c r="U72" s="85">
        <f t="shared" si="106"/>
        <v>47271.5</v>
      </c>
      <c r="V72" s="85">
        <f t="shared" si="106"/>
        <v>47454</v>
      </c>
      <c r="W72" s="85">
        <f t="shared" si="106"/>
        <v>47636.5</v>
      </c>
      <c r="X72" s="85">
        <f t="shared" si="106"/>
        <v>47819</v>
      </c>
      <c r="Y72" s="85">
        <f t="shared" si="106"/>
        <v>48001.5</v>
      </c>
      <c r="Z72" s="85">
        <f t="shared" si="106"/>
        <v>48184</v>
      </c>
      <c r="AA72" s="85">
        <f t="shared" si="106"/>
        <v>48366.5</v>
      </c>
      <c r="AB72" s="85">
        <f t="shared" si="106"/>
        <v>48549</v>
      </c>
      <c r="AC72" s="85">
        <f t="shared" si="106"/>
        <v>48731.5</v>
      </c>
      <c r="AD72" s="85">
        <f t="shared" si="106"/>
        <v>48914</v>
      </c>
      <c r="AE72" s="85">
        <f t="shared" si="106"/>
        <v>49096.5</v>
      </c>
      <c r="AF72" s="85">
        <f t="shared" si="106"/>
        <v>49279</v>
      </c>
      <c r="AG72" s="85">
        <f t="shared" si="106"/>
        <v>49461.5</v>
      </c>
      <c r="AH72" s="85">
        <f t="shared" si="106"/>
        <v>49644</v>
      </c>
      <c r="AI72" s="85">
        <f t="shared" ref="AI72:BN72" si="107">AH72+IF($G18=1,365,182.5)</f>
        <v>49826.5</v>
      </c>
      <c r="AJ72" s="85">
        <f t="shared" si="107"/>
        <v>50009</v>
      </c>
      <c r="AK72" s="85">
        <f t="shared" si="107"/>
        <v>50191.5</v>
      </c>
      <c r="AL72" s="85">
        <f t="shared" si="107"/>
        <v>50374</v>
      </c>
      <c r="AM72" s="85">
        <f t="shared" si="107"/>
        <v>50556.5</v>
      </c>
      <c r="AN72" s="85">
        <f t="shared" si="107"/>
        <v>50739</v>
      </c>
      <c r="AO72" s="85">
        <f t="shared" si="107"/>
        <v>50921.5</v>
      </c>
      <c r="AP72" s="85">
        <f t="shared" si="107"/>
        <v>51104</v>
      </c>
      <c r="AQ72" s="85">
        <f t="shared" si="107"/>
        <v>51286.5</v>
      </c>
      <c r="AR72" s="85">
        <f t="shared" si="107"/>
        <v>51469</v>
      </c>
      <c r="AS72" s="85">
        <f t="shared" si="107"/>
        <v>51651.5</v>
      </c>
      <c r="AT72" s="85">
        <f t="shared" si="107"/>
        <v>51834</v>
      </c>
      <c r="AU72" s="85">
        <f t="shared" si="107"/>
        <v>52016.5</v>
      </c>
      <c r="AV72" s="85">
        <f t="shared" si="107"/>
        <v>52199</v>
      </c>
      <c r="AW72" s="85">
        <f t="shared" si="107"/>
        <v>52381.5</v>
      </c>
      <c r="AX72" s="85">
        <f t="shared" si="107"/>
        <v>52564</v>
      </c>
      <c r="AY72" s="85">
        <f t="shared" si="107"/>
        <v>52746.5</v>
      </c>
      <c r="AZ72" s="85">
        <f t="shared" si="107"/>
        <v>52929</v>
      </c>
      <c r="BA72" s="85">
        <f t="shared" si="107"/>
        <v>53111.5</v>
      </c>
      <c r="BB72" s="85">
        <f t="shared" si="107"/>
        <v>53294</v>
      </c>
      <c r="BC72" s="85">
        <f t="shared" si="107"/>
        <v>53476.5</v>
      </c>
      <c r="BD72" s="85">
        <f t="shared" si="107"/>
        <v>53659</v>
      </c>
      <c r="BE72" s="85">
        <f t="shared" si="107"/>
        <v>53841.5</v>
      </c>
      <c r="BF72" s="85">
        <f t="shared" si="107"/>
        <v>54024</v>
      </c>
      <c r="BG72" s="85">
        <f t="shared" si="107"/>
        <v>54206.5</v>
      </c>
      <c r="BH72" s="85">
        <f t="shared" si="107"/>
        <v>54389</v>
      </c>
      <c r="BI72" s="85">
        <f t="shared" si="107"/>
        <v>54571.5</v>
      </c>
      <c r="BJ72" s="85">
        <f t="shared" si="107"/>
        <v>54754</v>
      </c>
      <c r="BK72" s="85">
        <f t="shared" si="107"/>
        <v>54936.5</v>
      </c>
      <c r="BL72" s="85">
        <f t="shared" si="107"/>
        <v>55119</v>
      </c>
      <c r="BM72" s="85">
        <f t="shared" si="107"/>
        <v>55301.5</v>
      </c>
      <c r="BN72" s="85">
        <f t="shared" si="107"/>
        <v>55484</v>
      </c>
      <c r="BO72" s="85">
        <f t="shared" ref="BO72:CB72" si="108">BN72+IF($G18=1,365,182.5)</f>
        <v>55666.5</v>
      </c>
      <c r="BP72" s="85">
        <f t="shared" si="108"/>
        <v>55849</v>
      </c>
      <c r="BQ72" s="85">
        <f t="shared" si="108"/>
        <v>56031.5</v>
      </c>
      <c r="BR72" s="85">
        <f t="shared" si="108"/>
        <v>56214</v>
      </c>
      <c r="BS72" s="85">
        <f t="shared" si="108"/>
        <v>56396.5</v>
      </c>
      <c r="BT72" s="85">
        <f t="shared" si="108"/>
        <v>56579</v>
      </c>
      <c r="BU72" s="85">
        <f t="shared" si="108"/>
        <v>56761.5</v>
      </c>
      <c r="BV72" s="85">
        <f t="shared" si="108"/>
        <v>56944</v>
      </c>
      <c r="BW72" s="85">
        <f t="shared" si="108"/>
        <v>57126.5</v>
      </c>
      <c r="BX72" s="85">
        <f t="shared" si="108"/>
        <v>57309</v>
      </c>
      <c r="BY72" s="85">
        <f t="shared" si="108"/>
        <v>57491.5</v>
      </c>
      <c r="BZ72" s="85">
        <f t="shared" si="108"/>
        <v>57674</v>
      </c>
      <c r="CA72" s="85">
        <f t="shared" si="108"/>
        <v>57856.5</v>
      </c>
      <c r="CB72" s="86">
        <f t="shared" si="108"/>
        <v>58039</v>
      </c>
    </row>
    <row r="73" spans="1:80">
      <c r="A73" s="177" t="s">
        <v>34</v>
      </c>
      <c r="B73" s="115">
        <f>(IF(B72=F18,100,0)+IF(G18=1,1,0.5)*J18*100)*IF(ISBLANK(F18)=TRUE,0,1)</f>
        <v>0.59499999999999997</v>
      </c>
      <c r="C73" s="523">
        <f t="shared" ref="C73:AH73" si="109">IF(C72&gt;$F18+1,0,1)*(IF(D73=0,100,0)+IF($G18=1,1,0.5)*$J18*100)</f>
        <v>0.59499999999999997</v>
      </c>
      <c r="D73" s="87">
        <f t="shared" si="109"/>
        <v>0.59499999999999997</v>
      </c>
      <c r="E73" s="87">
        <f t="shared" si="109"/>
        <v>0.59499999999999997</v>
      </c>
      <c r="F73" s="87">
        <f t="shared" si="109"/>
        <v>100.595</v>
      </c>
      <c r="G73" s="87">
        <f t="shared" si="109"/>
        <v>0</v>
      </c>
      <c r="H73" s="87">
        <f t="shared" si="109"/>
        <v>0</v>
      </c>
      <c r="I73" s="87">
        <f t="shared" si="109"/>
        <v>0</v>
      </c>
      <c r="J73" s="87">
        <f t="shared" si="109"/>
        <v>0</v>
      </c>
      <c r="K73" s="87">
        <f t="shared" si="109"/>
        <v>0</v>
      </c>
      <c r="L73" s="87">
        <f t="shared" si="109"/>
        <v>0</v>
      </c>
      <c r="M73" s="87">
        <f t="shared" si="109"/>
        <v>0</v>
      </c>
      <c r="N73" s="87">
        <f t="shared" si="109"/>
        <v>0</v>
      </c>
      <c r="O73" s="87">
        <f t="shared" si="109"/>
        <v>0</v>
      </c>
      <c r="P73" s="87">
        <f t="shared" si="109"/>
        <v>0</v>
      </c>
      <c r="Q73" s="87">
        <f t="shared" si="109"/>
        <v>0</v>
      </c>
      <c r="R73" s="87">
        <f t="shared" si="109"/>
        <v>0</v>
      </c>
      <c r="S73" s="87">
        <f t="shared" si="109"/>
        <v>0</v>
      </c>
      <c r="T73" s="87">
        <f t="shared" si="109"/>
        <v>0</v>
      </c>
      <c r="U73" s="87">
        <f t="shared" si="109"/>
        <v>0</v>
      </c>
      <c r="V73" s="87">
        <f t="shared" si="109"/>
        <v>0</v>
      </c>
      <c r="W73" s="87">
        <f t="shared" si="109"/>
        <v>0</v>
      </c>
      <c r="X73" s="87">
        <f t="shared" si="109"/>
        <v>0</v>
      </c>
      <c r="Y73" s="87">
        <f t="shared" si="109"/>
        <v>0</v>
      </c>
      <c r="Z73" s="87">
        <f t="shared" si="109"/>
        <v>0</v>
      </c>
      <c r="AA73" s="87">
        <f t="shared" si="109"/>
        <v>0</v>
      </c>
      <c r="AB73" s="87">
        <f t="shared" si="109"/>
        <v>0</v>
      </c>
      <c r="AC73" s="87">
        <f t="shared" si="109"/>
        <v>0</v>
      </c>
      <c r="AD73" s="87">
        <f t="shared" si="109"/>
        <v>0</v>
      </c>
      <c r="AE73" s="87">
        <f t="shared" si="109"/>
        <v>0</v>
      </c>
      <c r="AF73" s="87">
        <f t="shared" si="109"/>
        <v>0</v>
      </c>
      <c r="AG73" s="87">
        <f t="shared" si="109"/>
        <v>0</v>
      </c>
      <c r="AH73" s="87">
        <f t="shared" si="109"/>
        <v>0</v>
      </c>
      <c r="AI73" s="87">
        <f t="shared" ref="AI73:BN73" si="110">IF(AI72&gt;$F18+1,0,1)*(IF(AJ73=0,100,0)+IF($G18=1,1,0.5)*$J18*100)</f>
        <v>0</v>
      </c>
      <c r="AJ73" s="87">
        <f t="shared" si="110"/>
        <v>0</v>
      </c>
      <c r="AK73" s="87">
        <f t="shared" si="110"/>
        <v>0</v>
      </c>
      <c r="AL73" s="87">
        <f t="shared" si="110"/>
        <v>0</v>
      </c>
      <c r="AM73" s="87">
        <f t="shared" si="110"/>
        <v>0</v>
      </c>
      <c r="AN73" s="87">
        <f t="shared" si="110"/>
        <v>0</v>
      </c>
      <c r="AO73" s="87">
        <f t="shared" si="110"/>
        <v>0</v>
      </c>
      <c r="AP73" s="87">
        <f t="shared" si="110"/>
        <v>0</v>
      </c>
      <c r="AQ73" s="87">
        <f t="shared" si="110"/>
        <v>0</v>
      </c>
      <c r="AR73" s="87">
        <f t="shared" si="110"/>
        <v>0</v>
      </c>
      <c r="AS73" s="87">
        <f t="shared" si="110"/>
        <v>0</v>
      </c>
      <c r="AT73" s="87">
        <f t="shared" si="110"/>
        <v>0</v>
      </c>
      <c r="AU73" s="87">
        <f t="shared" si="110"/>
        <v>0</v>
      </c>
      <c r="AV73" s="87">
        <f t="shared" si="110"/>
        <v>0</v>
      </c>
      <c r="AW73" s="87">
        <f t="shared" si="110"/>
        <v>0</v>
      </c>
      <c r="AX73" s="87">
        <f t="shared" si="110"/>
        <v>0</v>
      </c>
      <c r="AY73" s="87">
        <f t="shared" si="110"/>
        <v>0</v>
      </c>
      <c r="AZ73" s="87">
        <f t="shared" si="110"/>
        <v>0</v>
      </c>
      <c r="BA73" s="87">
        <f t="shared" si="110"/>
        <v>0</v>
      </c>
      <c r="BB73" s="87">
        <f t="shared" si="110"/>
        <v>0</v>
      </c>
      <c r="BC73" s="87">
        <f t="shared" si="110"/>
        <v>0</v>
      </c>
      <c r="BD73" s="87">
        <f t="shared" si="110"/>
        <v>0</v>
      </c>
      <c r="BE73" s="87">
        <f t="shared" si="110"/>
        <v>0</v>
      </c>
      <c r="BF73" s="87">
        <f t="shared" si="110"/>
        <v>0</v>
      </c>
      <c r="BG73" s="87">
        <f t="shared" si="110"/>
        <v>0</v>
      </c>
      <c r="BH73" s="87">
        <f t="shared" si="110"/>
        <v>0</v>
      </c>
      <c r="BI73" s="87">
        <f t="shared" si="110"/>
        <v>0</v>
      </c>
      <c r="BJ73" s="87">
        <f t="shared" si="110"/>
        <v>0</v>
      </c>
      <c r="BK73" s="87">
        <f t="shared" si="110"/>
        <v>0</v>
      </c>
      <c r="BL73" s="87">
        <f t="shared" si="110"/>
        <v>0</v>
      </c>
      <c r="BM73" s="87">
        <f t="shared" si="110"/>
        <v>0</v>
      </c>
      <c r="BN73" s="87">
        <f t="shared" si="110"/>
        <v>0</v>
      </c>
      <c r="BO73" s="87">
        <f t="shared" ref="BO73:CB73" si="111">IF(BO72&gt;$F18+1,0,1)*(IF(BP73=0,100,0)+IF($G18=1,1,0.5)*$J18*100)</f>
        <v>0</v>
      </c>
      <c r="BP73" s="87">
        <f t="shared" si="111"/>
        <v>0</v>
      </c>
      <c r="BQ73" s="87">
        <f t="shared" si="111"/>
        <v>0</v>
      </c>
      <c r="BR73" s="87">
        <f t="shared" si="111"/>
        <v>0</v>
      </c>
      <c r="BS73" s="87">
        <f t="shared" si="111"/>
        <v>0</v>
      </c>
      <c r="BT73" s="87">
        <f t="shared" si="111"/>
        <v>0</v>
      </c>
      <c r="BU73" s="87">
        <f t="shared" si="111"/>
        <v>0</v>
      </c>
      <c r="BV73" s="87">
        <f t="shared" si="111"/>
        <v>0</v>
      </c>
      <c r="BW73" s="87">
        <f t="shared" si="111"/>
        <v>0</v>
      </c>
      <c r="BX73" s="87">
        <f t="shared" si="111"/>
        <v>0</v>
      </c>
      <c r="BY73" s="87">
        <f t="shared" si="111"/>
        <v>0</v>
      </c>
      <c r="BZ73" s="87">
        <f t="shared" si="111"/>
        <v>0</v>
      </c>
      <c r="CA73" s="87">
        <f t="shared" si="111"/>
        <v>0</v>
      </c>
      <c r="CB73" s="88">
        <f t="shared" si="111"/>
        <v>0</v>
      </c>
    </row>
    <row r="74" spans="1:80">
      <c r="A74" s="249" t="s">
        <v>49</v>
      </c>
      <c r="B74" s="118" t="str">
        <f>IF(E19=0,F19,E19)</f>
        <v>8/26/2019</v>
      </c>
      <c r="C74" s="119">
        <f t="shared" ref="C74:AH74" si="112">B74+IF($G19=1,365,182.5)</f>
        <v>43885.5</v>
      </c>
      <c r="D74" s="119">
        <f t="shared" si="112"/>
        <v>44068</v>
      </c>
      <c r="E74" s="119">
        <f t="shared" si="112"/>
        <v>44250.5</v>
      </c>
      <c r="F74" s="119">
        <f t="shared" si="112"/>
        <v>44433</v>
      </c>
      <c r="G74" s="119">
        <f t="shared" si="112"/>
        <v>44615.5</v>
      </c>
      <c r="H74" s="119">
        <f t="shared" si="112"/>
        <v>44798</v>
      </c>
      <c r="I74" s="119">
        <f t="shared" si="112"/>
        <v>44980.5</v>
      </c>
      <c r="J74" s="119">
        <f t="shared" si="112"/>
        <v>45163</v>
      </c>
      <c r="K74" s="119">
        <f t="shared" si="112"/>
        <v>45345.5</v>
      </c>
      <c r="L74" s="119">
        <f t="shared" si="112"/>
        <v>45528</v>
      </c>
      <c r="M74" s="119">
        <f t="shared" si="112"/>
        <v>45710.5</v>
      </c>
      <c r="N74" s="119">
        <f t="shared" si="112"/>
        <v>45893</v>
      </c>
      <c r="O74" s="119">
        <f t="shared" si="112"/>
        <v>46075.5</v>
      </c>
      <c r="P74" s="119">
        <f t="shared" si="112"/>
        <v>46258</v>
      </c>
      <c r="Q74" s="119">
        <f t="shared" si="112"/>
        <v>46440.5</v>
      </c>
      <c r="R74" s="119">
        <f t="shared" si="112"/>
        <v>46623</v>
      </c>
      <c r="S74" s="119">
        <f t="shared" si="112"/>
        <v>46805.5</v>
      </c>
      <c r="T74" s="119">
        <f t="shared" si="112"/>
        <v>46988</v>
      </c>
      <c r="U74" s="119">
        <f t="shared" si="112"/>
        <v>47170.5</v>
      </c>
      <c r="V74" s="119">
        <f t="shared" si="112"/>
        <v>47353</v>
      </c>
      <c r="W74" s="119">
        <f t="shared" si="112"/>
        <v>47535.5</v>
      </c>
      <c r="X74" s="119">
        <f t="shared" si="112"/>
        <v>47718</v>
      </c>
      <c r="Y74" s="119">
        <f t="shared" si="112"/>
        <v>47900.5</v>
      </c>
      <c r="Z74" s="119">
        <f t="shared" si="112"/>
        <v>48083</v>
      </c>
      <c r="AA74" s="119">
        <f t="shared" si="112"/>
        <v>48265.5</v>
      </c>
      <c r="AB74" s="119">
        <f t="shared" si="112"/>
        <v>48448</v>
      </c>
      <c r="AC74" s="119">
        <f t="shared" si="112"/>
        <v>48630.5</v>
      </c>
      <c r="AD74" s="119">
        <f t="shared" si="112"/>
        <v>48813</v>
      </c>
      <c r="AE74" s="119">
        <f t="shared" si="112"/>
        <v>48995.5</v>
      </c>
      <c r="AF74" s="119">
        <f t="shared" si="112"/>
        <v>49178</v>
      </c>
      <c r="AG74" s="119">
        <f t="shared" si="112"/>
        <v>49360.5</v>
      </c>
      <c r="AH74" s="119">
        <f t="shared" si="112"/>
        <v>49543</v>
      </c>
      <c r="AI74" s="119">
        <f t="shared" ref="AI74:BN74" si="113">AH74+IF($G19=1,365,182.5)</f>
        <v>49725.5</v>
      </c>
      <c r="AJ74" s="119">
        <f t="shared" si="113"/>
        <v>49908</v>
      </c>
      <c r="AK74" s="119">
        <f t="shared" si="113"/>
        <v>50090.5</v>
      </c>
      <c r="AL74" s="119">
        <f t="shared" si="113"/>
        <v>50273</v>
      </c>
      <c r="AM74" s="119">
        <f t="shared" si="113"/>
        <v>50455.5</v>
      </c>
      <c r="AN74" s="119">
        <f t="shared" si="113"/>
        <v>50638</v>
      </c>
      <c r="AO74" s="119">
        <f t="shared" si="113"/>
        <v>50820.5</v>
      </c>
      <c r="AP74" s="119">
        <f t="shared" si="113"/>
        <v>51003</v>
      </c>
      <c r="AQ74" s="119">
        <f t="shared" si="113"/>
        <v>51185.5</v>
      </c>
      <c r="AR74" s="119">
        <f t="shared" si="113"/>
        <v>51368</v>
      </c>
      <c r="AS74" s="119">
        <f t="shared" si="113"/>
        <v>51550.5</v>
      </c>
      <c r="AT74" s="119">
        <f t="shared" si="113"/>
        <v>51733</v>
      </c>
      <c r="AU74" s="119">
        <f t="shared" si="113"/>
        <v>51915.5</v>
      </c>
      <c r="AV74" s="119">
        <f t="shared" si="113"/>
        <v>52098</v>
      </c>
      <c r="AW74" s="119">
        <f t="shared" si="113"/>
        <v>52280.5</v>
      </c>
      <c r="AX74" s="119">
        <f t="shared" si="113"/>
        <v>52463</v>
      </c>
      <c r="AY74" s="119">
        <f t="shared" si="113"/>
        <v>52645.5</v>
      </c>
      <c r="AZ74" s="119">
        <f t="shared" si="113"/>
        <v>52828</v>
      </c>
      <c r="BA74" s="119">
        <f t="shared" si="113"/>
        <v>53010.5</v>
      </c>
      <c r="BB74" s="119">
        <f t="shared" si="113"/>
        <v>53193</v>
      </c>
      <c r="BC74" s="119">
        <f t="shared" si="113"/>
        <v>53375.5</v>
      </c>
      <c r="BD74" s="119">
        <f t="shared" si="113"/>
        <v>53558</v>
      </c>
      <c r="BE74" s="119">
        <f t="shared" si="113"/>
        <v>53740.5</v>
      </c>
      <c r="BF74" s="119">
        <f t="shared" si="113"/>
        <v>53923</v>
      </c>
      <c r="BG74" s="119">
        <f t="shared" si="113"/>
        <v>54105.5</v>
      </c>
      <c r="BH74" s="119">
        <f t="shared" si="113"/>
        <v>54288</v>
      </c>
      <c r="BI74" s="119">
        <f t="shared" si="113"/>
        <v>54470.5</v>
      </c>
      <c r="BJ74" s="119">
        <f t="shared" si="113"/>
        <v>54653</v>
      </c>
      <c r="BK74" s="119">
        <f t="shared" si="113"/>
        <v>54835.5</v>
      </c>
      <c r="BL74" s="119">
        <f t="shared" si="113"/>
        <v>55018</v>
      </c>
      <c r="BM74" s="119">
        <f t="shared" si="113"/>
        <v>55200.5</v>
      </c>
      <c r="BN74" s="119">
        <f t="shared" si="113"/>
        <v>55383</v>
      </c>
      <c r="BO74" s="119">
        <f t="shared" ref="BO74:CB74" si="114">BN74+IF($G19=1,365,182.5)</f>
        <v>55565.5</v>
      </c>
      <c r="BP74" s="119">
        <f t="shared" si="114"/>
        <v>55748</v>
      </c>
      <c r="BQ74" s="119">
        <f t="shared" si="114"/>
        <v>55930.5</v>
      </c>
      <c r="BR74" s="119">
        <f t="shared" si="114"/>
        <v>56113</v>
      </c>
      <c r="BS74" s="119">
        <f t="shared" si="114"/>
        <v>56295.5</v>
      </c>
      <c r="BT74" s="119">
        <f t="shared" si="114"/>
        <v>56478</v>
      </c>
      <c r="BU74" s="119">
        <f t="shared" si="114"/>
        <v>56660.5</v>
      </c>
      <c r="BV74" s="119">
        <f t="shared" si="114"/>
        <v>56843</v>
      </c>
      <c r="BW74" s="119">
        <f t="shared" si="114"/>
        <v>57025.5</v>
      </c>
      <c r="BX74" s="119">
        <f t="shared" si="114"/>
        <v>57208</v>
      </c>
      <c r="BY74" s="119">
        <f t="shared" si="114"/>
        <v>57390.5</v>
      </c>
      <c r="BZ74" s="119">
        <f t="shared" si="114"/>
        <v>57573</v>
      </c>
      <c r="CA74" s="119">
        <f t="shared" si="114"/>
        <v>57755.5</v>
      </c>
      <c r="CB74" s="120">
        <f t="shared" si="114"/>
        <v>57938</v>
      </c>
    </row>
    <row r="75" spans="1:80">
      <c r="A75" s="178" t="s">
        <v>35</v>
      </c>
      <c r="B75" s="121">
        <f>(IF(B74=F19,100,0)+IF(G19=1,1,0.5)*J19*100)*IF(ISBLANK(F19)=TRUE,0,1)</f>
        <v>0.755</v>
      </c>
      <c r="C75" s="122">
        <f t="shared" ref="C75:AH75" si="115">IF(C74&gt;$F19+1,0,1)*(IF(D75=0,100,0)+IF($G19=1,1,0.5)*$J19*100)</f>
        <v>0.755</v>
      </c>
      <c r="D75" s="122">
        <f t="shared" si="115"/>
        <v>0.755</v>
      </c>
      <c r="E75" s="122">
        <f t="shared" si="115"/>
        <v>0.755</v>
      </c>
      <c r="F75" s="122">
        <f t="shared" si="115"/>
        <v>0.755</v>
      </c>
      <c r="G75" s="122">
        <f t="shared" si="115"/>
        <v>0.755</v>
      </c>
      <c r="H75" s="122">
        <f t="shared" si="115"/>
        <v>0.755</v>
      </c>
      <c r="I75" s="122">
        <f t="shared" si="115"/>
        <v>0.755</v>
      </c>
      <c r="J75" s="122">
        <f t="shared" si="115"/>
        <v>0.755</v>
      </c>
      <c r="K75" s="122">
        <f t="shared" si="115"/>
        <v>0.755</v>
      </c>
      <c r="L75" s="122">
        <f t="shared" si="115"/>
        <v>0.755</v>
      </c>
      <c r="M75" s="122">
        <f t="shared" si="115"/>
        <v>0.755</v>
      </c>
      <c r="N75" s="122">
        <f t="shared" si="115"/>
        <v>0.755</v>
      </c>
      <c r="O75" s="122">
        <f t="shared" si="115"/>
        <v>0.755</v>
      </c>
      <c r="P75" s="122">
        <f t="shared" si="115"/>
        <v>0.755</v>
      </c>
      <c r="Q75" s="122">
        <f t="shared" si="115"/>
        <v>100.755</v>
      </c>
      <c r="R75" s="122">
        <f t="shared" si="115"/>
        <v>0</v>
      </c>
      <c r="S75" s="122">
        <f t="shared" si="115"/>
        <v>0</v>
      </c>
      <c r="T75" s="122">
        <f t="shared" si="115"/>
        <v>0</v>
      </c>
      <c r="U75" s="122">
        <f t="shared" si="115"/>
        <v>0</v>
      </c>
      <c r="V75" s="122">
        <f t="shared" si="115"/>
        <v>0</v>
      </c>
      <c r="W75" s="122">
        <f t="shared" si="115"/>
        <v>0</v>
      </c>
      <c r="X75" s="122">
        <f t="shared" si="115"/>
        <v>0</v>
      </c>
      <c r="Y75" s="122">
        <f t="shared" si="115"/>
        <v>0</v>
      </c>
      <c r="Z75" s="122">
        <f t="shared" si="115"/>
        <v>0</v>
      </c>
      <c r="AA75" s="122">
        <f t="shared" si="115"/>
        <v>0</v>
      </c>
      <c r="AB75" s="122">
        <f t="shared" si="115"/>
        <v>0</v>
      </c>
      <c r="AC75" s="122">
        <f t="shared" si="115"/>
        <v>0</v>
      </c>
      <c r="AD75" s="122">
        <f t="shared" si="115"/>
        <v>0</v>
      </c>
      <c r="AE75" s="122">
        <f t="shared" si="115"/>
        <v>0</v>
      </c>
      <c r="AF75" s="122">
        <f t="shared" si="115"/>
        <v>0</v>
      </c>
      <c r="AG75" s="122">
        <f t="shared" si="115"/>
        <v>0</v>
      </c>
      <c r="AH75" s="122">
        <f t="shared" si="115"/>
        <v>0</v>
      </c>
      <c r="AI75" s="122">
        <f t="shared" ref="AI75:BN75" si="116">IF(AI74&gt;$F19+1,0,1)*(IF(AJ75=0,100,0)+IF($G19=1,1,0.5)*$J19*100)</f>
        <v>0</v>
      </c>
      <c r="AJ75" s="122">
        <f t="shared" si="116"/>
        <v>0</v>
      </c>
      <c r="AK75" s="122">
        <f t="shared" si="116"/>
        <v>0</v>
      </c>
      <c r="AL75" s="122">
        <f t="shared" si="116"/>
        <v>0</v>
      </c>
      <c r="AM75" s="122">
        <f t="shared" si="116"/>
        <v>0</v>
      </c>
      <c r="AN75" s="122">
        <f t="shared" si="116"/>
        <v>0</v>
      </c>
      <c r="AO75" s="122">
        <f t="shared" si="116"/>
        <v>0</v>
      </c>
      <c r="AP75" s="122">
        <f t="shared" si="116"/>
        <v>0</v>
      </c>
      <c r="AQ75" s="122">
        <f t="shared" si="116"/>
        <v>0</v>
      </c>
      <c r="AR75" s="122">
        <f t="shared" si="116"/>
        <v>0</v>
      </c>
      <c r="AS75" s="122">
        <f t="shared" si="116"/>
        <v>0</v>
      </c>
      <c r="AT75" s="122">
        <f t="shared" si="116"/>
        <v>0</v>
      </c>
      <c r="AU75" s="122">
        <f t="shared" si="116"/>
        <v>0</v>
      </c>
      <c r="AV75" s="122">
        <f t="shared" si="116"/>
        <v>0</v>
      </c>
      <c r="AW75" s="122">
        <f t="shared" si="116"/>
        <v>0</v>
      </c>
      <c r="AX75" s="122">
        <f t="shared" si="116"/>
        <v>0</v>
      </c>
      <c r="AY75" s="122">
        <f t="shared" si="116"/>
        <v>0</v>
      </c>
      <c r="AZ75" s="122">
        <f t="shared" si="116"/>
        <v>0</v>
      </c>
      <c r="BA75" s="122">
        <f t="shared" si="116"/>
        <v>0</v>
      </c>
      <c r="BB75" s="122">
        <f t="shared" si="116"/>
        <v>0</v>
      </c>
      <c r="BC75" s="122">
        <f t="shared" si="116"/>
        <v>0</v>
      </c>
      <c r="BD75" s="122">
        <f t="shared" si="116"/>
        <v>0</v>
      </c>
      <c r="BE75" s="122">
        <f t="shared" si="116"/>
        <v>0</v>
      </c>
      <c r="BF75" s="122">
        <f t="shared" si="116"/>
        <v>0</v>
      </c>
      <c r="BG75" s="122">
        <f t="shared" si="116"/>
        <v>0</v>
      </c>
      <c r="BH75" s="122">
        <f t="shared" si="116"/>
        <v>0</v>
      </c>
      <c r="BI75" s="122">
        <f t="shared" si="116"/>
        <v>0</v>
      </c>
      <c r="BJ75" s="122">
        <f t="shared" si="116"/>
        <v>0</v>
      </c>
      <c r="BK75" s="122">
        <f t="shared" si="116"/>
        <v>0</v>
      </c>
      <c r="BL75" s="122">
        <f t="shared" si="116"/>
        <v>0</v>
      </c>
      <c r="BM75" s="122">
        <f t="shared" si="116"/>
        <v>0</v>
      </c>
      <c r="BN75" s="122">
        <f t="shared" si="116"/>
        <v>0</v>
      </c>
      <c r="BO75" s="122">
        <f t="shared" ref="BO75:CB75" si="117">IF(BO74&gt;$F19+1,0,1)*(IF(BP75=0,100,0)+IF($G19=1,1,0.5)*$J19*100)</f>
        <v>0</v>
      </c>
      <c r="BP75" s="122">
        <f t="shared" si="117"/>
        <v>0</v>
      </c>
      <c r="BQ75" s="122">
        <f t="shared" si="117"/>
        <v>0</v>
      </c>
      <c r="BR75" s="122">
        <f t="shared" si="117"/>
        <v>0</v>
      </c>
      <c r="BS75" s="122">
        <f t="shared" si="117"/>
        <v>0</v>
      </c>
      <c r="BT75" s="122">
        <f t="shared" si="117"/>
        <v>0</v>
      </c>
      <c r="BU75" s="122">
        <f t="shared" si="117"/>
        <v>0</v>
      </c>
      <c r="BV75" s="122">
        <f t="shared" si="117"/>
        <v>0</v>
      </c>
      <c r="BW75" s="122">
        <f t="shared" si="117"/>
        <v>0</v>
      </c>
      <c r="BX75" s="122">
        <f t="shared" si="117"/>
        <v>0</v>
      </c>
      <c r="BY75" s="122">
        <f t="shared" si="117"/>
        <v>0</v>
      </c>
      <c r="BZ75" s="122">
        <f t="shared" si="117"/>
        <v>0</v>
      </c>
      <c r="CA75" s="122">
        <f t="shared" si="117"/>
        <v>0</v>
      </c>
      <c r="CB75" s="123">
        <f t="shared" si="117"/>
        <v>0</v>
      </c>
    </row>
    <row r="76" spans="1:80">
      <c r="A76" s="248" t="s">
        <v>49</v>
      </c>
      <c r="B76" s="89" t="str">
        <f>IF(E20=0,F20,E20)</f>
        <v>12/19/2019</v>
      </c>
      <c r="C76" s="90">
        <f t="shared" ref="C76:AH76" si="118">B76+IF($G20=1,365,182.5)</f>
        <v>44000.5</v>
      </c>
      <c r="D76" s="90">
        <f t="shared" si="118"/>
        <v>44183</v>
      </c>
      <c r="E76" s="90">
        <f t="shared" si="118"/>
        <v>44365.5</v>
      </c>
      <c r="F76" s="90">
        <f t="shared" si="118"/>
        <v>44548</v>
      </c>
      <c r="G76" s="90">
        <f t="shared" si="118"/>
        <v>44730.5</v>
      </c>
      <c r="H76" s="90">
        <f t="shared" si="118"/>
        <v>44913</v>
      </c>
      <c r="I76" s="90">
        <f t="shared" si="118"/>
        <v>45095.5</v>
      </c>
      <c r="J76" s="90">
        <f t="shared" si="118"/>
        <v>45278</v>
      </c>
      <c r="K76" s="90">
        <f t="shared" si="118"/>
        <v>45460.5</v>
      </c>
      <c r="L76" s="90">
        <f t="shared" si="118"/>
        <v>45643</v>
      </c>
      <c r="M76" s="90">
        <f t="shared" si="118"/>
        <v>45825.5</v>
      </c>
      <c r="N76" s="90">
        <f t="shared" si="118"/>
        <v>46008</v>
      </c>
      <c r="O76" s="90">
        <f t="shared" si="118"/>
        <v>46190.5</v>
      </c>
      <c r="P76" s="90">
        <f t="shared" si="118"/>
        <v>46373</v>
      </c>
      <c r="Q76" s="90">
        <f t="shared" si="118"/>
        <v>46555.5</v>
      </c>
      <c r="R76" s="90">
        <f t="shared" si="118"/>
        <v>46738</v>
      </c>
      <c r="S76" s="90">
        <f t="shared" si="118"/>
        <v>46920.5</v>
      </c>
      <c r="T76" s="90">
        <f t="shared" si="118"/>
        <v>47103</v>
      </c>
      <c r="U76" s="90">
        <f t="shared" si="118"/>
        <v>47285.5</v>
      </c>
      <c r="V76" s="90">
        <f t="shared" si="118"/>
        <v>47468</v>
      </c>
      <c r="W76" s="90">
        <f t="shared" si="118"/>
        <v>47650.5</v>
      </c>
      <c r="X76" s="90">
        <f t="shared" si="118"/>
        <v>47833</v>
      </c>
      <c r="Y76" s="90">
        <f t="shared" si="118"/>
        <v>48015.5</v>
      </c>
      <c r="Z76" s="90">
        <f t="shared" si="118"/>
        <v>48198</v>
      </c>
      <c r="AA76" s="90">
        <f t="shared" si="118"/>
        <v>48380.5</v>
      </c>
      <c r="AB76" s="90">
        <f t="shared" si="118"/>
        <v>48563</v>
      </c>
      <c r="AC76" s="90">
        <f t="shared" si="118"/>
        <v>48745.5</v>
      </c>
      <c r="AD76" s="90">
        <f t="shared" si="118"/>
        <v>48928</v>
      </c>
      <c r="AE76" s="90">
        <f t="shared" si="118"/>
        <v>49110.5</v>
      </c>
      <c r="AF76" s="90">
        <f t="shared" si="118"/>
        <v>49293</v>
      </c>
      <c r="AG76" s="90">
        <f t="shared" si="118"/>
        <v>49475.5</v>
      </c>
      <c r="AH76" s="90">
        <f t="shared" si="118"/>
        <v>49658</v>
      </c>
      <c r="AI76" s="90">
        <f t="shared" ref="AI76:BN76" si="119">AH76+IF($G20=1,365,182.5)</f>
        <v>49840.5</v>
      </c>
      <c r="AJ76" s="90">
        <f t="shared" si="119"/>
        <v>50023</v>
      </c>
      <c r="AK76" s="90">
        <f t="shared" si="119"/>
        <v>50205.5</v>
      </c>
      <c r="AL76" s="90">
        <f t="shared" si="119"/>
        <v>50388</v>
      </c>
      <c r="AM76" s="90">
        <f t="shared" si="119"/>
        <v>50570.5</v>
      </c>
      <c r="AN76" s="90">
        <f t="shared" si="119"/>
        <v>50753</v>
      </c>
      <c r="AO76" s="90">
        <f t="shared" si="119"/>
        <v>50935.5</v>
      </c>
      <c r="AP76" s="90">
        <f t="shared" si="119"/>
        <v>51118</v>
      </c>
      <c r="AQ76" s="90">
        <f t="shared" si="119"/>
        <v>51300.5</v>
      </c>
      <c r="AR76" s="90">
        <f t="shared" si="119"/>
        <v>51483</v>
      </c>
      <c r="AS76" s="90">
        <f t="shared" si="119"/>
        <v>51665.5</v>
      </c>
      <c r="AT76" s="90">
        <f t="shared" si="119"/>
        <v>51848</v>
      </c>
      <c r="AU76" s="90">
        <f t="shared" si="119"/>
        <v>52030.5</v>
      </c>
      <c r="AV76" s="90">
        <f t="shared" si="119"/>
        <v>52213</v>
      </c>
      <c r="AW76" s="90">
        <f t="shared" si="119"/>
        <v>52395.5</v>
      </c>
      <c r="AX76" s="90">
        <f t="shared" si="119"/>
        <v>52578</v>
      </c>
      <c r="AY76" s="90">
        <f t="shared" si="119"/>
        <v>52760.5</v>
      </c>
      <c r="AZ76" s="90">
        <f t="shared" si="119"/>
        <v>52943</v>
      </c>
      <c r="BA76" s="90">
        <f t="shared" si="119"/>
        <v>53125.5</v>
      </c>
      <c r="BB76" s="90">
        <f t="shared" si="119"/>
        <v>53308</v>
      </c>
      <c r="BC76" s="90">
        <f t="shared" si="119"/>
        <v>53490.5</v>
      </c>
      <c r="BD76" s="90">
        <f t="shared" si="119"/>
        <v>53673</v>
      </c>
      <c r="BE76" s="90">
        <f t="shared" si="119"/>
        <v>53855.5</v>
      </c>
      <c r="BF76" s="90">
        <f t="shared" si="119"/>
        <v>54038</v>
      </c>
      <c r="BG76" s="90">
        <f t="shared" si="119"/>
        <v>54220.5</v>
      </c>
      <c r="BH76" s="90">
        <f t="shared" si="119"/>
        <v>54403</v>
      </c>
      <c r="BI76" s="90">
        <f t="shared" si="119"/>
        <v>54585.5</v>
      </c>
      <c r="BJ76" s="90">
        <f t="shared" si="119"/>
        <v>54768</v>
      </c>
      <c r="BK76" s="90">
        <f t="shared" si="119"/>
        <v>54950.5</v>
      </c>
      <c r="BL76" s="90">
        <f t="shared" si="119"/>
        <v>55133</v>
      </c>
      <c r="BM76" s="90">
        <f t="shared" si="119"/>
        <v>55315.5</v>
      </c>
      <c r="BN76" s="90">
        <f t="shared" si="119"/>
        <v>55498</v>
      </c>
      <c r="BO76" s="90">
        <f t="shared" ref="BO76:CB76" si="120">BN76+IF($G20=1,365,182.5)</f>
        <v>55680.5</v>
      </c>
      <c r="BP76" s="90">
        <f t="shared" si="120"/>
        <v>55863</v>
      </c>
      <c r="BQ76" s="90">
        <f t="shared" si="120"/>
        <v>56045.5</v>
      </c>
      <c r="BR76" s="90">
        <f t="shared" si="120"/>
        <v>56228</v>
      </c>
      <c r="BS76" s="90">
        <f t="shared" si="120"/>
        <v>56410.5</v>
      </c>
      <c r="BT76" s="90">
        <f t="shared" si="120"/>
        <v>56593</v>
      </c>
      <c r="BU76" s="90">
        <f t="shared" si="120"/>
        <v>56775.5</v>
      </c>
      <c r="BV76" s="90">
        <f t="shared" si="120"/>
        <v>56958</v>
      </c>
      <c r="BW76" s="90">
        <f t="shared" si="120"/>
        <v>57140.5</v>
      </c>
      <c r="BX76" s="90">
        <f t="shared" si="120"/>
        <v>57323</v>
      </c>
      <c r="BY76" s="90">
        <f t="shared" si="120"/>
        <v>57505.5</v>
      </c>
      <c r="BZ76" s="90">
        <f t="shared" si="120"/>
        <v>57688</v>
      </c>
      <c r="CA76" s="90">
        <f t="shared" si="120"/>
        <v>57870.5</v>
      </c>
      <c r="CB76" s="91">
        <f t="shared" si="120"/>
        <v>58053</v>
      </c>
    </row>
    <row r="77" spans="1:80">
      <c r="A77" s="179" t="s">
        <v>36</v>
      </c>
      <c r="B77" s="113">
        <f>(IF(B76=F20,100,0)+IF(G20=1,1,0.5)*J20*100)*IF(ISBLANK(F20)=TRUE,0,1)</f>
        <v>0.48499999999999999</v>
      </c>
      <c r="C77" s="92">
        <f t="shared" ref="C77:AH77" si="121">IF(C76&gt;$F20+1,0,1)*(IF(D77=0,100,0)+IF($G20=1,1,0.5)*$J20*100)</f>
        <v>0.48499999999999999</v>
      </c>
      <c r="D77" s="92">
        <f t="shared" si="121"/>
        <v>0.48499999999999999</v>
      </c>
      <c r="E77" s="92">
        <f t="shared" si="121"/>
        <v>0.48499999999999999</v>
      </c>
      <c r="F77" s="92">
        <f t="shared" si="121"/>
        <v>0.48499999999999999</v>
      </c>
      <c r="G77" s="92">
        <f t="shared" si="121"/>
        <v>100.485</v>
      </c>
      <c r="H77" s="92">
        <f t="shared" si="121"/>
        <v>0</v>
      </c>
      <c r="I77" s="92">
        <f t="shared" si="121"/>
        <v>0</v>
      </c>
      <c r="J77" s="92">
        <f t="shared" si="121"/>
        <v>0</v>
      </c>
      <c r="K77" s="92">
        <f t="shared" si="121"/>
        <v>0</v>
      </c>
      <c r="L77" s="92">
        <f t="shared" si="121"/>
        <v>0</v>
      </c>
      <c r="M77" s="92">
        <f t="shared" si="121"/>
        <v>0</v>
      </c>
      <c r="N77" s="92">
        <f t="shared" si="121"/>
        <v>0</v>
      </c>
      <c r="O77" s="92">
        <f t="shared" si="121"/>
        <v>0</v>
      </c>
      <c r="P77" s="92">
        <f t="shared" si="121"/>
        <v>0</v>
      </c>
      <c r="Q77" s="92">
        <f t="shared" si="121"/>
        <v>0</v>
      </c>
      <c r="R77" s="92">
        <f t="shared" si="121"/>
        <v>0</v>
      </c>
      <c r="S77" s="92">
        <f t="shared" si="121"/>
        <v>0</v>
      </c>
      <c r="T77" s="92">
        <f t="shared" si="121"/>
        <v>0</v>
      </c>
      <c r="U77" s="92">
        <f t="shared" si="121"/>
        <v>0</v>
      </c>
      <c r="V77" s="92">
        <f t="shared" si="121"/>
        <v>0</v>
      </c>
      <c r="W77" s="92">
        <f t="shared" si="121"/>
        <v>0</v>
      </c>
      <c r="X77" s="92">
        <f t="shared" si="121"/>
        <v>0</v>
      </c>
      <c r="Y77" s="92">
        <f t="shared" si="121"/>
        <v>0</v>
      </c>
      <c r="Z77" s="92">
        <f t="shared" si="121"/>
        <v>0</v>
      </c>
      <c r="AA77" s="92">
        <f t="shared" si="121"/>
        <v>0</v>
      </c>
      <c r="AB77" s="92">
        <f t="shared" si="121"/>
        <v>0</v>
      </c>
      <c r="AC77" s="92">
        <f t="shared" si="121"/>
        <v>0</v>
      </c>
      <c r="AD77" s="92">
        <f t="shared" si="121"/>
        <v>0</v>
      </c>
      <c r="AE77" s="92">
        <f t="shared" si="121"/>
        <v>0</v>
      </c>
      <c r="AF77" s="92">
        <f t="shared" si="121"/>
        <v>0</v>
      </c>
      <c r="AG77" s="92">
        <f t="shared" si="121"/>
        <v>0</v>
      </c>
      <c r="AH77" s="92">
        <f t="shared" si="121"/>
        <v>0</v>
      </c>
      <c r="AI77" s="92">
        <f t="shared" ref="AI77:BN77" si="122">IF(AI76&gt;$F20+1,0,1)*(IF(AJ77=0,100,0)+IF($G20=1,1,0.5)*$J20*100)</f>
        <v>0</v>
      </c>
      <c r="AJ77" s="92">
        <f t="shared" si="122"/>
        <v>0</v>
      </c>
      <c r="AK77" s="92">
        <f t="shared" si="122"/>
        <v>0</v>
      </c>
      <c r="AL77" s="92">
        <f t="shared" si="122"/>
        <v>0</v>
      </c>
      <c r="AM77" s="92">
        <f t="shared" si="122"/>
        <v>0</v>
      </c>
      <c r="AN77" s="92">
        <f t="shared" si="122"/>
        <v>0</v>
      </c>
      <c r="AO77" s="92">
        <f t="shared" si="122"/>
        <v>0</v>
      </c>
      <c r="AP77" s="92">
        <f t="shared" si="122"/>
        <v>0</v>
      </c>
      <c r="AQ77" s="92">
        <f t="shared" si="122"/>
        <v>0</v>
      </c>
      <c r="AR77" s="92">
        <f t="shared" si="122"/>
        <v>0</v>
      </c>
      <c r="AS77" s="92">
        <f t="shared" si="122"/>
        <v>0</v>
      </c>
      <c r="AT77" s="92">
        <f t="shared" si="122"/>
        <v>0</v>
      </c>
      <c r="AU77" s="92">
        <f t="shared" si="122"/>
        <v>0</v>
      </c>
      <c r="AV77" s="92">
        <f t="shared" si="122"/>
        <v>0</v>
      </c>
      <c r="AW77" s="92">
        <f t="shared" si="122"/>
        <v>0</v>
      </c>
      <c r="AX77" s="92">
        <f t="shared" si="122"/>
        <v>0</v>
      </c>
      <c r="AY77" s="92">
        <f t="shared" si="122"/>
        <v>0</v>
      </c>
      <c r="AZ77" s="92">
        <f t="shared" si="122"/>
        <v>0</v>
      </c>
      <c r="BA77" s="92">
        <f t="shared" si="122"/>
        <v>0</v>
      </c>
      <c r="BB77" s="92">
        <f t="shared" si="122"/>
        <v>0</v>
      </c>
      <c r="BC77" s="92">
        <f t="shared" si="122"/>
        <v>0</v>
      </c>
      <c r="BD77" s="92">
        <f t="shared" si="122"/>
        <v>0</v>
      </c>
      <c r="BE77" s="92">
        <f t="shared" si="122"/>
        <v>0</v>
      </c>
      <c r="BF77" s="92">
        <f t="shared" si="122"/>
        <v>0</v>
      </c>
      <c r="BG77" s="92">
        <f t="shared" si="122"/>
        <v>0</v>
      </c>
      <c r="BH77" s="92">
        <f t="shared" si="122"/>
        <v>0</v>
      </c>
      <c r="BI77" s="92">
        <f t="shared" si="122"/>
        <v>0</v>
      </c>
      <c r="BJ77" s="92">
        <f t="shared" si="122"/>
        <v>0</v>
      </c>
      <c r="BK77" s="92">
        <f t="shared" si="122"/>
        <v>0</v>
      </c>
      <c r="BL77" s="92">
        <f t="shared" si="122"/>
        <v>0</v>
      </c>
      <c r="BM77" s="92">
        <f t="shared" si="122"/>
        <v>0</v>
      </c>
      <c r="BN77" s="92">
        <f t="shared" si="122"/>
        <v>0</v>
      </c>
      <c r="BO77" s="92">
        <f t="shared" ref="BO77:CB77" si="123">IF(BO76&gt;$F20+1,0,1)*(IF(BP77=0,100,0)+IF($G20=1,1,0.5)*$J20*100)</f>
        <v>0</v>
      </c>
      <c r="BP77" s="92">
        <f t="shared" si="123"/>
        <v>0</v>
      </c>
      <c r="BQ77" s="92">
        <f t="shared" si="123"/>
        <v>0</v>
      </c>
      <c r="BR77" s="92">
        <f t="shared" si="123"/>
        <v>0</v>
      </c>
      <c r="BS77" s="92">
        <f t="shared" si="123"/>
        <v>0</v>
      </c>
      <c r="BT77" s="92">
        <f t="shared" si="123"/>
        <v>0</v>
      </c>
      <c r="BU77" s="92">
        <f t="shared" si="123"/>
        <v>0</v>
      </c>
      <c r="BV77" s="92">
        <f t="shared" si="123"/>
        <v>0</v>
      </c>
      <c r="BW77" s="92">
        <f t="shared" si="123"/>
        <v>0</v>
      </c>
      <c r="BX77" s="92">
        <f t="shared" si="123"/>
        <v>0</v>
      </c>
      <c r="BY77" s="92">
        <f t="shared" si="123"/>
        <v>0</v>
      </c>
      <c r="BZ77" s="92">
        <f t="shared" si="123"/>
        <v>0</v>
      </c>
      <c r="CA77" s="92">
        <f t="shared" si="123"/>
        <v>0</v>
      </c>
      <c r="CB77" s="93">
        <f t="shared" si="123"/>
        <v>0</v>
      </c>
    </row>
    <row r="78" spans="1:80">
      <c r="A78" s="247" t="s">
        <v>49</v>
      </c>
      <c r="B78" s="124" t="str">
        <f>IF(E21=0,F21,E21)</f>
        <v>8/27/2019</v>
      </c>
      <c r="C78" s="125">
        <f t="shared" ref="C78:AH78" si="124">B78+IF($G21=1,365,182.5)</f>
        <v>43886.5</v>
      </c>
      <c r="D78" s="125">
        <f t="shared" si="124"/>
        <v>44069</v>
      </c>
      <c r="E78" s="125">
        <f t="shared" si="124"/>
        <v>44251.5</v>
      </c>
      <c r="F78" s="125">
        <f t="shared" si="124"/>
        <v>44434</v>
      </c>
      <c r="G78" s="125">
        <f t="shared" si="124"/>
        <v>44616.5</v>
      </c>
      <c r="H78" s="125">
        <f t="shared" si="124"/>
        <v>44799</v>
      </c>
      <c r="I78" s="125">
        <f t="shared" si="124"/>
        <v>44981.5</v>
      </c>
      <c r="J78" s="125">
        <f t="shared" si="124"/>
        <v>45164</v>
      </c>
      <c r="K78" s="125">
        <f t="shared" si="124"/>
        <v>45346.5</v>
      </c>
      <c r="L78" s="125">
        <f t="shared" si="124"/>
        <v>45529</v>
      </c>
      <c r="M78" s="125">
        <f t="shared" si="124"/>
        <v>45711.5</v>
      </c>
      <c r="N78" s="125">
        <f t="shared" si="124"/>
        <v>45894</v>
      </c>
      <c r="O78" s="125">
        <f t="shared" si="124"/>
        <v>46076.5</v>
      </c>
      <c r="P78" s="125">
        <f t="shared" si="124"/>
        <v>46259</v>
      </c>
      <c r="Q78" s="125">
        <f t="shared" si="124"/>
        <v>46441.5</v>
      </c>
      <c r="R78" s="125">
        <f t="shared" si="124"/>
        <v>46624</v>
      </c>
      <c r="S78" s="125">
        <f t="shared" si="124"/>
        <v>46806.5</v>
      </c>
      <c r="T78" s="125">
        <f t="shared" si="124"/>
        <v>46989</v>
      </c>
      <c r="U78" s="125">
        <f t="shared" si="124"/>
        <v>47171.5</v>
      </c>
      <c r="V78" s="125">
        <f t="shared" si="124"/>
        <v>47354</v>
      </c>
      <c r="W78" s="125">
        <f t="shared" si="124"/>
        <v>47536.5</v>
      </c>
      <c r="X78" s="125">
        <f t="shared" si="124"/>
        <v>47719</v>
      </c>
      <c r="Y78" s="125">
        <f t="shared" si="124"/>
        <v>47901.5</v>
      </c>
      <c r="Z78" s="125">
        <f t="shared" si="124"/>
        <v>48084</v>
      </c>
      <c r="AA78" s="125">
        <f t="shared" si="124"/>
        <v>48266.5</v>
      </c>
      <c r="AB78" s="125">
        <f t="shared" si="124"/>
        <v>48449</v>
      </c>
      <c r="AC78" s="125">
        <f t="shared" si="124"/>
        <v>48631.5</v>
      </c>
      <c r="AD78" s="125">
        <f t="shared" si="124"/>
        <v>48814</v>
      </c>
      <c r="AE78" s="125">
        <f t="shared" si="124"/>
        <v>48996.5</v>
      </c>
      <c r="AF78" s="125">
        <f t="shared" si="124"/>
        <v>49179</v>
      </c>
      <c r="AG78" s="125">
        <f t="shared" si="124"/>
        <v>49361.5</v>
      </c>
      <c r="AH78" s="125">
        <f t="shared" si="124"/>
        <v>49544</v>
      </c>
      <c r="AI78" s="125">
        <f t="shared" ref="AI78:BN78" si="125">AH78+IF($G21=1,365,182.5)</f>
        <v>49726.5</v>
      </c>
      <c r="AJ78" s="125">
        <f t="shared" si="125"/>
        <v>49909</v>
      </c>
      <c r="AK78" s="125">
        <f t="shared" si="125"/>
        <v>50091.5</v>
      </c>
      <c r="AL78" s="125">
        <f t="shared" si="125"/>
        <v>50274</v>
      </c>
      <c r="AM78" s="125">
        <f t="shared" si="125"/>
        <v>50456.5</v>
      </c>
      <c r="AN78" s="125">
        <f t="shared" si="125"/>
        <v>50639</v>
      </c>
      <c r="AO78" s="125">
        <f t="shared" si="125"/>
        <v>50821.5</v>
      </c>
      <c r="AP78" s="125">
        <f t="shared" si="125"/>
        <v>51004</v>
      </c>
      <c r="AQ78" s="125">
        <f t="shared" si="125"/>
        <v>51186.5</v>
      </c>
      <c r="AR78" s="125">
        <f t="shared" si="125"/>
        <v>51369</v>
      </c>
      <c r="AS78" s="125">
        <f t="shared" si="125"/>
        <v>51551.5</v>
      </c>
      <c r="AT78" s="125">
        <f t="shared" si="125"/>
        <v>51734</v>
      </c>
      <c r="AU78" s="125">
        <f t="shared" si="125"/>
        <v>51916.5</v>
      </c>
      <c r="AV78" s="125">
        <f t="shared" si="125"/>
        <v>52099</v>
      </c>
      <c r="AW78" s="125">
        <f t="shared" si="125"/>
        <v>52281.5</v>
      </c>
      <c r="AX78" s="125">
        <f t="shared" si="125"/>
        <v>52464</v>
      </c>
      <c r="AY78" s="125">
        <f t="shared" si="125"/>
        <v>52646.5</v>
      </c>
      <c r="AZ78" s="125">
        <f t="shared" si="125"/>
        <v>52829</v>
      </c>
      <c r="BA78" s="125">
        <f t="shared" si="125"/>
        <v>53011.5</v>
      </c>
      <c r="BB78" s="125">
        <f t="shared" si="125"/>
        <v>53194</v>
      </c>
      <c r="BC78" s="125">
        <f t="shared" si="125"/>
        <v>53376.5</v>
      </c>
      <c r="BD78" s="125">
        <f t="shared" si="125"/>
        <v>53559</v>
      </c>
      <c r="BE78" s="125">
        <f t="shared" si="125"/>
        <v>53741.5</v>
      </c>
      <c r="BF78" s="125">
        <f t="shared" si="125"/>
        <v>53924</v>
      </c>
      <c r="BG78" s="125">
        <f t="shared" si="125"/>
        <v>54106.5</v>
      </c>
      <c r="BH78" s="125">
        <f t="shared" si="125"/>
        <v>54289</v>
      </c>
      <c r="BI78" s="125">
        <f t="shared" si="125"/>
        <v>54471.5</v>
      </c>
      <c r="BJ78" s="125">
        <f t="shared" si="125"/>
        <v>54654</v>
      </c>
      <c r="BK78" s="125">
        <f t="shared" si="125"/>
        <v>54836.5</v>
      </c>
      <c r="BL78" s="125">
        <f t="shared" si="125"/>
        <v>55019</v>
      </c>
      <c r="BM78" s="125">
        <f t="shared" si="125"/>
        <v>55201.5</v>
      </c>
      <c r="BN78" s="125">
        <f t="shared" si="125"/>
        <v>55384</v>
      </c>
      <c r="BO78" s="125">
        <f t="shared" ref="BO78:CB78" si="126">BN78+IF($G21=1,365,182.5)</f>
        <v>55566.5</v>
      </c>
      <c r="BP78" s="125">
        <f t="shared" si="126"/>
        <v>55749</v>
      </c>
      <c r="BQ78" s="125">
        <f t="shared" si="126"/>
        <v>55931.5</v>
      </c>
      <c r="BR78" s="125">
        <f t="shared" si="126"/>
        <v>56114</v>
      </c>
      <c r="BS78" s="125">
        <f t="shared" si="126"/>
        <v>56296.5</v>
      </c>
      <c r="BT78" s="125">
        <f t="shared" si="126"/>
        <v>56479</v>
      </c>
      <c r="BU78" s="125">
        <f t="shared" si="126"/>
        <v>56661.5</v>
      </c>
      <c r="BV78" s="125">
        <f t="shared" si="126"/>
        <v>56844</v>
      </c>
      <c r="BW78" s="125">
        <f t="shared" si="126"/>
        <v>57026.5</v>
      </c>
      <c r="BX78" s="125">
        <f t="shared" si="126"/>
        <v>57209</v>
      </c>
      <c r="BY78" s="125">
        <f t="shared" si="126"/>
        <v>57391.5</v>
      </c>
      <c r="BZ78" s="125">
        <f t="shared" si="126"/>
        <v>57574</v>
      </c>
      <c r="CA78" s="125">
        <f t="shared" si="126"/>
        <v>57756.5</v>
      </c>
      <c r="CB78" s="126">
        <f t="shared" si="126"/>
        <v>57939</v>
      </c>
    </row>
    <row r="79" spans="1:80">
      <c r="A79" s="180" t="s">
        <v>37</v>
      </c>
      <c r="B79" s="127">
        <f>(IF(B78=F21,100,0)+IF(G21=1,1,0.5)*J21*100)*IF(ISBLANK(F21)=TRUE,0,1)</f>
        <v>0.4</v>
      </c>
      <c r="C79" s="128">
        <f t="shared" ref="C79:AH79" si="127">IF(C78&gt;$F21+1,0,1)*(IF(D79=0,100,0)+IF($G21=1,1,0.5)*$J21*100)</f>
        <v>0.4</v>
      </c>
      <c r="D79" s="128">
        <f t="shared" si="127"/>
        <v>0.4</v>
      </c>
      <c r="E79" s="128">
        <f t="shared" si="127"/>
        <v>0.4</v>
      </c>
      <c r="F79" s="128">
        <f t="shared" si="127"/>
        <v>0.4</v>
      </c>
      <c r="G79" s="128">
        <f t="shared" si="127"/>
        <v>0.4</v>
      </c>
      <c r="H79" s="128">
        <f t="shared" si="127"/>
        <v>0.4</v>
      </c>
      <c r="I79" s="128">
        <f t="shared" si="127"/>
        <v>0.4</v>
      </c>
      <c r="J79" s="128">
        <f t="shared" si="127"/>
        <v>0.4</v>
      </c>
      <c r="K79" s="128">
        <f t="shared" si="127"/>
        <v>0.4</v>
      </c>
      <c r="L79" s="128">
        <f t="shared" si="127"/>
        <v>0.4</v>
      </c>
      <c r="M79" s="128">
        <f t="shared" si="127"/>
        <v>0.4</v>
      </c>
      <c r="N79" s="128">
        <f t="shared" si="127"/>
        <v>0.4</v>
      </c>
      <c r="O79" s="128">
        <f t="shared" si="127"/>
        <v>0.4</v>
      </c>
      <c r="P79" s="128">
        <f t="shared" si="127"/>
        <v>0.4</v>
      </c>
      <c r="Q79" s="128">
        <f t="shared" si="127"/>
        <v>0.4</v>
      </c>
      <c r="R79" s="128">
        <f t="shared" si="127"/>
        <v>100.4</v>
      </c>
      <c r="S79" s="128">
        <f t="shared" si="127"/>
        <v>0</v>
      </c>
      <c r="T79" s="128">
        <f t="shared" si="127"/>
        <v>0</v>
      </c>
      <c r="U79" s="128">
        <f t="shared" si="127"/>
        <v>0</v>
      </c>
      <c r="V79" s="128">
        <f t="shared" si="127"/>
        <v>0</v>
      </c>
      <c r="W79" s="128">
        <f t="shared" si="127"/>
        <v>0</v>
      </c>
      <c r="X79" s="128">
        <f t="shared" si="127"/>
        <v>0</v>
      </c>
      <c r="Y79" s="128">
        <f t="shared" si="127"/>
        <v>0</v>
      </c>
      <c r="Z79" s="128">
        <f t="shared" si="127"/>
        <v>0</v>
      </c>
      <c r="AA79" s="128">
        <f t="shared" si="127"/>
        <v>0</v>
      </c>
      <c r="AB79" s="128">
        <f t="shared" si="127"/>
        <v>0</v>
      </c>
      <c r="AC79" s="128">
        <f t="shared" si="127"/>
        <v>0</v>
      </c>
      <c r="AD79" s="128">
        <f t="shared" si="127"/>
        <v>0</v>
      </c>
      <c r="AE79" s="128">
        <f t="shared" si="127"/>
        <v>0</v>
      </c>
      <c r="AF79" s="128">
        <f t="shared" si="127"/>
        <v>0</v>
      </c>
      <c r="AG79" s="128">
        <f t="shared" si="127"/>
        <v>0</v>
      </c>
      <c r="AH79" s="128">
        <f t="shared" si="127"/>
        <v>0</v>
      </c>
      <c r="AI79" s="128">
        <f t="shared" ref="AI79:BN79" si="128">IF(AI78&gt;$F21+1,0,1)*(IF(AJ79=0,100,0)+IF($G21=1,1,0.5)*$J21*100)</f>
        <v>0</v>
      </c>
      <c r="AJ79" s="128">
        <f t="shared" si="128"/>
        <v>0</v>
      </c>
      <c r="AK79" s="128">
        <f t="shared" si="128"/>
        <v>0</v>
      </c>
      <c r="AL79" s="128">
        <f t="shared" si="128"/>
        <v>0</v>
      </c>
      <c r="AM79" s="128">
        <f t="shared" si="128"/>
        <v>0</v>
      </c>
      <c r="AN79" s="128">
        <f t="shared" si="128"/>
        <v>0</v>
      </c>
      <c r="AO79" s="128">
        <f t="shared" si="128"/>
        <v>0</v>
      </c>
      <c r="AP79" s="128">
        <f t="shared" si="128"/>
        <v>0</v>
      </c>
      <c r="AQ79" s="128">
        <f t="shared" si="128"/>
        <v>0</v>
      </c>
      <c r="AR79" s="128">
        <f t="shared" si="128"/>
        <v>0</v>
      </c>
      <c r="AS79" s="128">
        <f t="shared" si="128"/>
        <v>0</v>
      </c>
      <c r="AT79" s="128">
        <f t="shared" si="128"/>
        <v>0</v>
      </c>
      <c r="AU79" s="128">
        <f t="shared" si="128"/>
        <v>0</v>
      </c>
      <c r="AV79" s="128">
        <f t="shared" si="128"/>
        <v>0</v>
      </c>
      <c r="AW79" s="128">
        <f t="shared" si="128"/>
        <v>0</v>
      </c>
      <c r="AX79" s="128">
        <f t="shared" si="128"/>
        <v>0</v>
      </c>
      <c r="AY79" s="128">
        <f t="shared" si="128"/>
        <v>0</v>
      </c>
      <c r="AZ79" s="128">
        <f t="shared" si="128"/>
        <v>0</v>
      </c>
      <c r="BA79" s="128">
        <f t="shared" si="128"/>
        <v>0</v>
      </c>
      <c r="BB79" s="128">
        <f t="shared" si="128"/>
        <v>0</v>
      </c>
      <c r="BC79" s="128">
        <f t="shared" si="128"/>
        <v>0</v>
      </c>
      <c r="BD79" s="128">
        <f t="shared" si="128"/>
        <v>0</v>
      </c>
      <c r="BE79" s="128">
        <f t="shared" si="128"/>
        <v>0</v>
      </c>
      <c r="BF79" s="128">
        <f t="shared" si="128"/>
        <v>0</v>
      </c>
      <c r="BG79" s="128">
        <f t="shared" si="128"/>
        <v>0</v>
      </c>
      <c r="BH79" s="128">
        <f t="shared" si="128"/>
        <v>0</v>
      </c>
      <c r="BI79" s="128">
        <f t="shared" si="128"/>
        <v>0</v>
      </c>
      <c r="BJ79" s="128">
        <f t="shared" si="128"/>
        <v>0</v>
      </c>
      <c r="BK79" s="128">
        <f t="shared" si="128"/>
        <v>0</v>
      </c>
      <c r="BL79" s="128">
        <f t="shared" si="128"/>
        <v>0</v>
      </c>
      <c r="BM79" s="128">
        <f t="shared" si="128"/>
        <v>0</v>
      </c>
      <c r="BN79" s="128">
        <f t="shared" si="128"/>
        <v>0</v>
      </c>
      <c r="BO79" s="128">
        <f t="shared" ref="BO79:CB79" si="129">IF(BO78&gt;$F21+1,0,1)*(IF(BP79=0,100,0)+IF($G21=1,1,0.5)*$J21*100)</f>
        <v>0</v>
      </c>
      <c r="BP79" s="128">
        <f t="shared" si="129"/>
        <v>0</v>
      </c>
      <c r="BQ79" s="128">
        <f t="shared" si="129"/>
        <v>0</v>
      </c>
      <c r="BR79" s="128">
        <f t="shared" si="129"/>
        <v>0</v>
      </c>
      <c r="BS79" s="128">
        <f t="shared" si="129"/>
        <v>0</v>
      </c>
      <c r="BT79" s="128">
        <f t="shared" si="129"/>
        <v>0</v>
      </c>
      <c r="BU79" s="128">
        <f t="shared" si="129"/>
        <v>0</v>
      </c>
      <c r="BV79" s="128">
        <f t="shared" si="129"/>
        <v>0</v>
      </c>
      <c r="BW79" s="128">
        <f t="shared" si="129"/>
        <v>0</v>
      </c>
      <c r="BX79" s="128">
        <f t="shared" si="129"/>
        <v>0</v>
      </c>
      <c r="BY79" s="128">
        <f t="shared" si="129"/>
        <v>0</v>
      </c>
      <c r="BZ79" s="128">
        <f t="shared" si="129"/>
        <v>0</v>
      </c>
      <c r="CA79" s="128">
        <f t="shared" si="129"/>
        <v>0</v>
      </c>
      <c r="CB79" s="129">
        <f t="shared" si="129"/>
        <v>0</v>
      </c>
    </row>
    <row r="80" spans="1:80">
      <c r="A80" s="246" t="s">
        <v>49</v>
      </c>
      <c r="B80" s="94" t="str">
        <f>IF(E22=0,F22,E22)</f>
        <v>12/4/2019</v>
      </c>
      <c r="C80" s="95">
        <f t="shared" ref="C80:AH80" si="130">B80+IF($G22=1,365,182.5)</f>
        <v>43985.5</v>
      </c>
      <c r="D80" s="95">
        <f t="shared" si="130"/>
        <v>44168</v>
      </c>
      <c r="E80" s="95">
        <f t="shared" si="130"/>
        <v>44350.5</v>
      </c>
      <c r="F80" s="95">
        <f t="shared" si="130"/>
        <v>44533</v>
      </c>
      <c r="G80" s="95">
        <f t="shared" si="130"/>
        <v>44715.5</v>
      </c>
      <c r="H80" s="95">
        <f t="shared" si="130"/>
        <v>44898</v>
      </c>
      <c r="I80" s="95">
        <f t="shared" si="130"/>
        <v>45080.5</v>
      </c>
      <c r="J80" s="95">
        <f t="shared" si="130"/>
        <v>45263</v>
      </c>
      <c r="K80" s="95">
        <f t="shared" si="130"/>
        <v>45445.5</v>
      </c>
      <c r="L80" s="95">
        <f t="shared" si="130"/>
        <v>45628</v>
      </c>
      <c r="M80" s="95">
        <f t="shared" si="130"/>
        <v>45810.5</v>
      </c>
      <c r="N80" s="95">
        <f t="shared" si="130"/>
        <v>45993</v>
      </c>
      <c r="O80" s="95">
        <f t="shared" si="130"/>
        <v>46175.5</v>
      </c>
      <c r="P80" s="95">
        <f t="shared" si="130"/>
        <v>46358</v>
      </c>
      <c r="Q80" s="95">
        <f t="shared" si="130"/>
        <v>46540.5</v>
      </c>
      <c r="R80" s="95">
        <f t="shared" si="130"/>
        <v>46723</v>
      </c>
      <c r="S80" s="95">
        <f t="shared" si="130"/>
        <v>46905.5</v>
      </c>
      <c r="T80" s="95">
        <f t="shared" si="130"/>
        <v>47088</v>
      </c>
      <c r="U80" s="95">
        <f t="shared" si="130"/>
        <v>47270.5</v>
      </c>
      <c r="V80" s="95">
        <f t="shared" si="130"/>
        <v>47453</v>
      </c>
      <c r="W80" s="95">
        <f t="shared" si="130"/>
        <v>47635.5</v>
      </c>
      <c r="X80" s="95">
        <f t="shared" si="130"/>
        <v>47818</v>
      </c>
      <c r="Y80" s="95">
        <f t="shared" si="130"/>
        <v>48000.5</v>
      </c>
      <c r="Z80" s="95">
        <f t="shared" si="130"/>
        <v>48183</v>
      </c>
      <c r="AA80" s="95">
        <f t="shared" si="130"/>
        <v>48365.5</v>
      </c>
      <c r="AB80" s="95">
        <f t="shared" si="130"/>
        <v>48548</v>
      </c>
      <c r="AC80" s="95">
        <f t="shared" si="130"/>
        <v>48730.5</v>
      </c>
      <c r="AD80" s="95">
        <f t="shared" si="130"/>
        <v>48913</v>
      </c>
      <c r="AE80" s="95">
        <f t="shared" si="130"/>
        <v>49095.5</v>
      </c>
      <c r="AF80" s="95">
        <f t="shared" si="130"/>
        <v>49278</v>
      </c>
      <c r="AG80" s="95">
        <f t="shared" si="130"/>
        <v>49460.5</v>
      </c>
      <c r="AH80" s="95">
        <f t="shared" si="130"/>
        <v>49643</v>
      </c>
      <c r="AI80" s="95">
        <f t="shared" ref="AI80:BN80" si="131">AH80+IF($G22=1,365,182.5)</f>
        <v>49825.5</v>
      </c>
      <c r="AJ80" s="95">
        <f t="shared" si="131"/>
        <v>50008</v>
      </c>
      <c r="AK80" s="95">
        <f t="shared" si="131"/>
        <v>50190.5</v>
      </c>
      <c r="AL80" s="95">
        <f t="shared" si="131"/>
        <v>50373</v>
      </c>
      <c r="AM80" s="95">
        <f t="shared" si="131"/>
        <v>50555.5</v>
      </c>
      <c r="AN80" s="95">
        <f t="shared" si="131"/>
        <v>50738</v>
      </c>
      <c r="AO80" s="95">
        <f t="shared" si="131"/>
        <v>50920.5</v>
      </c>
      <c r="AP80" s="95">
        <f t="shared" si="131"/>
        <v>51103</v>
      </c>
      <c r="AQ80" s="95">
        <f t="shared" si="131"/>
        <v>51285.5</v>
      </c>
      <c r="AR80" s="95">
        <f t="shared" si="131"/>
        <v>51468</v>
      </c>
      <c r="AS80" s="95">
        <f t="shared" si="131"/>
        <v>51650.5</v>
      </c>
      <c r="AT80" s="95">
        <f t="shared" si="131"/>
        <v>51833</v>
      </c>
      <c r="AU80" s="95">
        <f t="shared" si="131"/>
        <v>52015.5</v>
      </c>
      <c r="AV80" s="95">
        <f t="shared" si="131"/>
        <v>52198</v>
      </c>
      <c r="AW80" s="95">
        <f t="shared" si="131"/>
        <v>52380.5</v>
      </c>
      <c r="AX80" s="95">
        <f t="shared" si="131"/>
        <v>52563</v>
      </c>
      <c r="AY80" s="95">
        <f t="shared" si="131"/>
        <v>52745.5</v>
      </c>
      <c r="AZ80" s="95">
        <f t="shared" si="131"/>
        <v>52928</v>
      </c>
      <c r="BA80" s="95">
        <f t="shared" si="131"/>
        <v>53110.5</v>
      </c>
      <c r="BB80" s="95">
        <f t="shared" si="131"/>
        <v>53293</v>
      </c>
      <c r="BC80" s="95">
        <f t="shared" si="131"/>
        <v>53475.5</v>
      </c>
      <c r="BD80" s="95">
        <f t="shared" si="131"/>
        <v>53658</v>
      </c>
      <c r="BE80" s="95">
        <f t="shared" si="131"/>
        <v>53840.5</v>
      </c>
      <c r="BF80" s="95">
        <f t="shared" si="131"/>
        <v>54023</v>
      </c>
      <c r="BG80" s="95">
        <f t="shared" si="131"/>
        <v>54205.5</v>
      </c>
      <c r="BH80" s="95">
        <f t="shared" si="131"/>
        <v>54388</v>
      </c>
      <c r="BI80" s="95">
        <f t="shared" si="131"/>
        <v>54570.5</v>
      </c>
      <c r="BJ80" s="95">
        <f t="shared" si="131"/>
        <v>54753</v>
      </c>
      <c r="BK80" s="95">
        <f t="shared" si="131"/>
        <v>54935.5</v>
      </c>
      <c r="BL80" s="95">
        <f t="shared" si="131"/>
        <v>55118</v>
      </c>
      <c r="BM80" s="95">
        <f t="shared" si="131"/>
        <v>55300.5</v>
      </c>
      <c r="BN80" s="95">
        <f t="shared" si="131"/>
        <v>55483</v>
      </c>
      <c r="BO80" s="95">
        <f t="shared" ref="BO80:CB80" si="132">BN80+IF($G22=1,365,182.5)</f>
        <v>55665.5</v>
      </c>
      <c r="BP80" s="95">
        <f t="shared" si="132"/>
        <v>55848</v>
      </c>
      <c r="BQ80" s="95">
        <f t="shared" si="132"/>
        <v>56030.5</v>
      </c>
      <c r="BR80" s="95">
        <f t="shared" si="132"/>
        <v>56213</v>
      </c>
      <c r="BS80" s="95">
        <f t="shared" si="132"/>
        <v>56395.5</v>
      </c>
      <c r="BT80" s="95">
        <f t="shared" si="132"/>
        <v>56578</v>
      </c>
      <c r="BU80" s="95">
        <f t="shared" si="132"/>
        <v>56760.5</v>
      </c>
      <c r="BV80" s="95">
        <f t="shared" si="132"/>
        <v>56943</v>
      </c>
      <c r="BW80" s="95">
        <f t="shared" si="132"/>
        <v>57125.5</v>
      </c>
      <c r="BX80" s="95">
        <f t="shared" si="132"/>
        <v>57308</v>
      </c>
      <c r="BY80" s="95">
        <f t="shared" si="132"/>
        <v>57490.5</v>
      </c>
      <c r="BZ80" s="95">
        <f t="shared" si="132"/>
        <v>57673</v>
      </c>
      <c r="CA80" s="95">
        <f t="shared" si="132"/>
        <v>57855.5</v>
      </c>
      <c r="CB80" s="96">
        <f t="shared" si="132"/>
        <v>58038</v>
      </c>
    </row>
    <row r="81" spans="1:115">
      <c r="A81" s="181" t="s">
        <v>38</v>
      </c>
      <c r="B81" s="116">
        <f>(IF(B80=F22,100,0)+IF(G22=1,1,0.5)*J22*100)*IF(ISBLANK(F22)=TRUE,0,1)</f>
        <v>0.27500000000000002</v>
      </c>
      <c r="C81" s="97">
        <f t="shared" ref="C81:AH81" si="133">IF(C80&gt;$F22+1,0,1)*(  IF(D81=0,100,0)+IF($G22=1,1,0.5)*$J22*100)</f>
        <v>0.27500000000000002</v>
      </c>
      <c r="D81" s="97">
        <f t="shared" si="133"/>
        <v>0.27500000000000002</v>
      </c>
      <c r="E81" s="97">
        <f t="shared" si="133"/>
        <v>0.27500000000000002</v>
      </c>
      <c r="F81" s="97">
        <f t="shared" si="133"/>
        <v>0.27500000000000002</v>
      </c>
      <c r="G81" s="97">
        <f t="shared" si="133"/>
        <v>0.27500000000000002</v>
      </c>
      <c r="H81" s="97">
        <f t="shared" si="133"/>
        <v>100.27500000000001</v>
      </c>
      <c r="I81" s="97">
        <f t="shared" si="133"/>
        <v>0</v>
      </c>
      <c r="J81" s="97">
        <f t="shared" si="133"/>
        <v>0</v>
      </c>
      <c r="K81" s="97">
        <f t="shared" si="133"/>
        <v>0</v>
      </c>
      <c r="L81" s="97">
        <f t="shared" si="133"/>
        <v>0</v>
      </c>
      <c r="M81" s="97">
        <f t="shared" si="133"/>
        <v>0</v>
      </c>
      <c r="N81" s="97">
        <f t="shared" si="133"/>
        <v>0</v>
      </c>
      <c r="O81" s="97">
        <f t="shared" si="133"/>
        <v>0</v>
      </c>
      <c r="P81" s="97">
        <f t="shared" si="133"/>
        <v>0</v>
      </c>
      <c r="Q81" s="97">
        <f t="shared" si="133"/>
        <v>0</v>
      </c>
      <c r="R81" s="97">
        <f t="shared" si="133"/>
        <v>0</v>
      </c>
      <c r="S81" s="97">
        <f t="shared" si="133"/>
        <v>0</v>
      </c>
      <c r="T81" s="97">
        <f t="shared" si="133"/>
        <v>0</v>
      </c>
      <c r="U81" s="97">
        <f t="shared" si="133"/>
        <v>0</v>
      </c>
      <c r="V81" s="97">
        <f t="shared" si="133"/>
        <v>0</v>
      </c>
      <c r="W81" s="97">
        <f t="shared" si="133"/>
        <v>0</v>
      </c>
      <c r="X81" s="97">
        <f t="shared" si="133"/>
        <v>0</v>
      </c>
      <c r="Y81" s="97">
        <f t="shared" si="133"/>
        <v>0</v>
      </c>
      <c r="Z81" s="97">
        <f t="shared" si="133"/>
        <v>0</v>
      </c>
      <c r="AA81" s="97">
        <f t="shared" si="133"/>
        <v>0</v>
      </c>
      <c r="AB81" s="97">
        <f t="shared" si="133"/>
        <v>0</v>
      </c>
      <c r="AC81" s="97">
        <f t="shared" si="133"/>
        <v>0</v>
      </c>
      <c r="AD81" s="97">
        <f t="shared" si="133"/>
        <v>0</v>
      </c>
      <c r="AE81" s="97">
        <f t="shared" si="133"/>
        <v>0</v>
      </c>
      <c r="AF81" s="97">
        <f t="shared" si="133"/>
        <v>0</v>
      </c>
      <c r="AG81" s="97">
        <f t="shared" si="133"/>
        <v>0</v>
      </c>
      <c r="AH81" s="97">
        <f t="shared" si="133"/>
        <v>0</v>
      </c>
      <c r="AI81" s="97">
        <f t="shared" ref="AI81:BN81" si="134">IF(AI80&gt;$F22+1,0,1)*(  IF(AJ81=0,100,0)+IF($G22=1,1,0.5)*$J22*100)</f>
        <v>0</v>
      </c>
      <c r="AJ81" s="97">
        <f t="shared" si="134"/>
        <v>0</v>
      </c>
      <c r="AK81" s="97">
        <f t="shared" si="134"/>
        <v>0</v>
      </c>
      <c r="AL81" s="97">
        <f t="shared" si="134"/>
        <v>0</v>
      </c>
      <c r="AM81" s="97">
        <f t="shared" si="134"/>
        <v>0</v>
      </c>
      <c r="AN81" s="97">
        <f t="shared" si="134"/>
        <v>0</v>
      </c>
      <c r="AO81" s="97">
        <f t="shared" si="134"/>
        <v>0</v>
      </c>
      <c r="AP81" s="97">
        <f t="shared" si="134"/>
        <v>0</v>
      </c>
      <c r="AQ81" s="97">
        <f t="shared" si="134"/>
        <v>0</v>
      </c>
      <c r="AR81" s="97">
        <f t="shared" si="134"/>
        <v>0</v>
      </c>
      <c r="AS81" s="97">
        <f t="shared" si="134"/>
        <v>0</v>
      </c>
      <c r="AT81" s="97">
        <f t="shared" si="134"/>
        <v>0</v>
      </c>
      <c r="AU81" s="97">
        <f t="shared" si="134"/>
        <v>0</v>
      </c>
      <c r="AV81" s="97">
        <f t="shared" si="134"/>
        <v>0</v>
      </c>
      <c r="AW81" s="97">
        <f t="shared" si="134"/>
        <v>0</v>
      </c>
      <c r="AX81" s="97">
        <f t="shared" si="134"/>
        <v>0</v>
      </c>
      <c r="AY81" s="97">
        <f t="shared" si="134"/>
        <v>0</v>
      </c>
      <c r="AZ81" s="97">
        <f t="shared" si="134"/>
        <v>0</v>
      </c>
      <c r="BA81" s="97">
        <f t="shared" si="134"/>
        <v>0</v>
      </c>
      <c r="BB81" s="97">
        <f t="shared" si="134"/>
        <v>0</v>
      </c>
      <c r="BC81" s="97">
        <f t="shared" si="134"/>
        <v>0</v>
      </c>
      <c r="BD81" s="97">
        <f t="shared" si="134"/>
        <v>0</v>
      </c>
      <c r="BE81" s="97">
        <f t="shared" si="134"/>
        <v>0</v>
      </c>
      <c r="BF81" s="97">
        <f t="shared" si="134"/>
        <v>0</v>
      </c>
      <c r="BG81" s="97">
        <f t="shared" si="134"/>
        <v>0</v>
      </c>
      <c r="BH81" s="97">
        <f t="shared" si="134"/>
        <v>0</v>
      </c>
      <c r="BI81" s="97">
        <f t="shared" si="134"/>
        <v>0</v>
      </c>
      <c r="BJ81" s="97">
        <f t="shared" si="134"/>
        <v>0</v>
      </c>
      <c r="BK81" s="97">
        <f t="shared" si="134"/>
        <v>0</v>
      </c>
      <c r="BL81" s="97">
        <f t="shared" si="134"/>
        <v>0</v>
      </c>
      <c r="BM81" s="97">
        <f t="shared" si="134"/>
        <v>0</v>
      </c>
      <c r="BN81" s="97">
        <f t="shared" si="134"/>
        <v>0</v>
      </c>
      <c r="BO81" s="97">
        <f t="shared" ref="BO81:CB81" si="135">IF(BO80&gt;$F22+1,0,1)*(  IF(BP81=0,100,0)+IF($G22=1,1,0.5)*$J22*100)</f>
        <v>0</v>
      </c>
      <c r="BP81" s="97">
        <f t="shared" si="135"/>
        <v>0</v>
      </c>
      <c r="BQ81" s="97">
        <f t="shared" si="135"/>
        <v>0</v>
      </c>
      <c r="BR81" s="97">
        <f t="shared" si="135"/>
        <v>0</v>
      </c>
      <c r="BS81" s="97">
        <f t="shared" si="135"/>
        <v>0</v>
      </c>
      <c r="BT81" s="97">
        <f t="shared" si="135"/>
        <v>0</v>
      </c>
      <c r="BU81" s="97">
        <f t="shared" si="135"/>
        <v>0</v>
      </c>
      <c r="BV81" s="97">
        <f t="shared" si="135"/>
        <v>0</v>
      </c>
      <c r="BW81" s="97">
        <f t="shared" si="135"/>
        <v>0</v>
      </c>
      <c r="BX81" s="97">
        <f t="shared" si="135"/>
        <v>0</v>
      </c>
      <c r="BY81" s="97">
        <f t="shared" si="135"/>
        <v>0</v>
      </c>
      <c r="BZ81" s="97">
        <f t="shared" si="135"/>
        <v>0</v>
      </c>
      <c r="CA81" s="97">
        <f t="shared" si="135"/>
        <v>0</v>
      </c>
      <c r="CB81" s="98">
        <f t="shared" si="135"/>
        <v>0</v>
      </c>
    </row>
    <row r="82" spans="1:115">
      <c r="A82" s="245" t="s">
        <v>49</v>
      </c>
      <c r="B82" s="99" t="str">
        <f>IF(E23=0,F23,E23)</f>
        <v>8/22/2019</v>
      </c>
      <c r="C82" s="100">
        <f t="shared" ref="C82:AH82" si="136">B82+IF($G23=1,365,182.5)</f>
        <v>43881.5</v>
      </c>
      <c r="D82" s="100">
        <f t="shared" si="136"/>
        <v>44064</v>
      </c>
      <c r="E82" s="100">
        <f t="shared" si="136"/>
        <v>44246.5</v>
      </c>
      <c r="F82" s="100">
        <f t="shared" si="136"/>
        <v>44429</v>
      </c>
      <c r="G82" s="100">
        <f t="shared" si="136"/>
        <v>44611.5</v>
      </c>
      <c r="H82" s="100">
        <f t="shared" si="136"/>
        <v>44794</v>
      </c>
      <c r="I82" s="100">
        <f t="shared" si="136"/>
        <v>44976.5</v>
      </c>
      <c r="J82" s="100">
        <f t="shared" si="136"/>
        <v>45159</v>
      </c>
      <c r="K82" s="100">
        <f t="shared" si="136"/>
        <v>45341.5</v>
      </c>
      <c r="L82" s="100">
        <f t="shared" si="136"/>
        <v>45524</v>
      </c>
      <c r="M82" s="100">
        <f t="shared" si="136"/>
        <v>45706.5</v>
      </c>
      <c r="N82" s="100">
        <f t="shared" si="136"/>
        <v>45889</v>
      </c>
      <c r="O82" s="100">
        <f t="shared" si="136"/>
        <v>46071.5</v>
      </c>
      <c r="P82" s="100">
        <f t="shared" si="136"/>
        <v>46254</v>
      </c>
      <c r="Q82" s="100">
        <f t="shared" si="136"/>
        <v>46436.5</v>
      </c>
      <c r="R82" s="100">
        <f t="shared" si="136"/>
        <v>46619</v>
      </c>
      <c r="S82" s="100">
        <f t="shared" si="136"/>
        <v>46801.5</v>
      </c>
      <c r="T82" s="100">
        <f t="shared" si="136"/>
        <v>46984</v>
      </c>
      <c r="U82" s="100">
        <f t="shared" si="136"/>
        <v>47166.5</v>
      </c>
      <c r="V82" s="100">
        <f t="shared" si="136"/>
        <v>47349</v>
      </c>
      <c r="W82" s="100">
        <f t="shared" si="136"/>
        <v>47531.5</v>
      </c>
      <c r="X82" s="100">
        <f t="shared" si="136"/>
        <v>47714</v>
      </c>
      <c r="Y82" s="100">
        <f t="shared" si="136"/>
        <v>47896.5</v>
      </c>
      <c r="Z82" s="100">
        <f t="shared" si="136"/>
        <v>48079</v>
      </c>
      <c r="AA82" s="100">
        <f t="shared" si="136"/>
        <v>48261.5</v>
      </c>
      <c r="AB82" s="100">
        <f t="shared" si="136"/>
        <v>48444</v>
      </c>
      <c r="AC82" s="100">
        <f t="shared" si="136"/>
        <v>48626.5</v>
      </c>
      <c r="AD82" s="100">
        <f t="shared" si="136"/>
        <v>48809</v>
      </c>
      <c r="AE82" s="100">
        <f t="shared" si="136"/>
        <v>48991.5</v>
      </c>
      <c r="AF82" s="100">
        <f t="shared" si="136"/>
        <v>49174</v>
      </c>
      <c r="AG82" s="100">
        <f t="shared" si="136"/>
        <v>49356.5</v>
      </c>
      <c r="AH82" s="100">
        <f t="shared" si="136"/>
        <v>49539</v>
      </c>
      <c r="AI82" s="100">
        <f t="shared" ref="AI82:BN82" si="137">AH82+IF($G23=1,365,182.5)</f>
        <v>49721.5</v>
      </c>
      <c r="AJ82" s="100">
        <f t="shared" si="137"/>
        <v>49904</v>
      </c>
      <c r="AK82" s="100">
        <f t="shared" si="137"/>
        <v>50086.5</v>
      </c>
      <c r="AL82" s="100">
        <f t="shared" si="137"/>
        <v>50269</v>
      </c>
      <c r="AM82" s="100">
        <f t="shared" si="137"/>
        <v>50451.5</v>
      </c>
      <c r="AN82" s="100">
        <f t="shared" si="137"/>
        <v>50634</v>
      </c>
      <c r="AO82" s="100">
        <f t="shared" si="137"/>
        <v>50816.5</v>
      </c>
      <c r="AP82" s="100">
        <f t="shared" si="137"/>
        <v>50999</v>
      </c>
      <c r="AQ82" s="100">
        <f t="shared" si="137"/>
        <v>51181.5</v>
      </c>
      <c r="AR82" s="100">
        <f t="shared" si="137"/>
        <v>51364</v>
      </c>
      <c r="AS82" s="100">
        <f t="shared" si="137"/>
        <v>51546.5</v>
      </c>
      <c r="AT82" s="100">
        <f t="shared" si="137"/>
        <v>51729</v>
      </c>
      <c r="AU82" s="100">
        <f t="shared" si="137"/>
        <v>51911.5</v>
      </c>
      <c r="AV82" s="100">
        <f t="shared" si="137"/>
        <v>52094</v>
      </c>
      <c r="AW82" s="100">
        <f t="shared" si="137"/>
        <v>52276.5</v>
      </c>
      <c r="AX82" s="100">
        <f t="shared" si="137"/>
        <v>52459</v>
      </c>
      <c r="AY82" s="100">
        <f t="shared" si="137"/>
        <v>52641.5</v>
      </c>
      <c r="AZ82" s="100">
        <f t="shared" si="137"/>
        <v>52824</v>
      </c>
      <c r="BA82" s="100">
        <f t="shared" si="137"/>
        <v>53006.5</v>
      </c>
      <c r="BB82" s="100">
        <f t="shared" si="137"/>
        <v>53189</v>
      </c>
      <c r="BC82" s="100">
        <f t="shared" si="137"/>
        <v>53371.5</v>
      </c>
      <c r="BD82" s="100">
        <f t="shared" si="137"/>
        <v>53554</v>
      </c>
      <c r="BE82" s="100">
        <f t="shared" si="137"/>
        <v>53736.5</v>
      </c>
      <c r="BF82" s="100">
        <f t="shared" si="137"/>
        <v>53919</v>
      </c>
      <c r="BG82" s="100">
        <f t="shared" si="137"/>
        <v>54101.5</v>
      </c>
      <c r="BH82" s="100">
        <f t="shared" si="137"/>
        <v>54284</v>
      </c>
      <c r="BI82" s="100">
        <f t="shared" si="137"/>
        <v>54466.5</v>
      </c>
      <c r="BJ82" s="100">
        <f t="shared" si="137"/>
        <v>54649</v>
      </c>
      <c r="BK82" s="100">
        <f t="shared" si="137"/>
        <v>54831.5</v>
      </c>
      <c r="BL82" s="100">
        <f t="shared" si="137"/>
        <v>55014</v>
      </c>
      <c r="BM82" s="100">
        <f t="shared" si="137"/>
        <v>55196.5</v>
      </c>
      <c r="BN82" s="100">
        <f t="shared" si="137"/>
        <v>55379</v>
      </c>
      <c r="BO82" s="100">
        <f t="shared" ref="BO82:CB82" si="138">BN82+IF($G23=1,365,182.5)</f>
        <v>55561.5</v>
      </c>
      <c r="BP82" s="100">
        <f t="shared" si="138"/>
        <v>55744</v>
      </c>
      <c r="BQ82" s="100">
        <f t="shared" si="138"/>
        <v>55926.5</v>
      </c>
      <c r="BR82" s="100">
        <f t="shared" si="138"/>
        <v>56109</v>
      </c>
      <c r="BS82" s="100">
        <f t="shared" si="138"/>
        <v>56291.5</v>
      </c>
      <c r="BT82" s="100">
        <f t="shared" si="138"/>
        <v>56474</v>
      </c>
      <c r="BU82" s="100">
        <f t="shared" si="138"/>
        <v>56656.5</v>
      </c>
      <c r="BV82" s="100">
        <f t="shared" si="138"/>
        <v>56839</v>
      </c>
      <c r="BW82" s="100">
        <f t="shared" si="138"/>
        <v>57021.5</v>
      </c>
      <c r="BX82" s="100">
        <f t="shared" si="138"/>
        <v>57204</v>
      </c>
      <c r="BY82" s="100">
        <f t="shared" si="138"/>
        <v>57386.5</v>
      </c>
      <c r="BZ82" s="100">
        <f t="shared" si="138"/>
        <v>57569</v>
      </c>
      <c r="CA82" s="100">
        <f t="shared" si="138"/>
        <v>57751.5</v>
      </c>
      <c r="CB82" s="101">
        <f t="shared" si="138"/>
        <v>57934</v>
      </c>
    </row>
    <row r="83" spans="1:115">
      <c r="A83" s="182" t="s">
        <v>39</v>
      </c>
      <c r="B83" s="117">
        <f>(IF(B82=F23,100,0)+IF(G23=1,1,0.5)*J23*100)*IF(ISBLANK(F23)=TRUE,0,1)</f>
        <v>0.745</v>
      </c>
      <c r="C83" s="102">
        <f t="shared" ref="C83:AH83" si="139">IF(C82&gt;$F23+1,0,1)*(IF(D83=0,100,0)+IF($G23=1,1,0.5)*$J23*100)</f>
        <v>0.745</v>
      </c>
      <c r="D83" s="102">
        <f t="shared" si="139"/>
        <v>0.745</v>
      </c>
      <c r="E83" s="102">
        <f t="shared" si="139"/>
        <v>0.745</v>
      </c>
      <c r="F83" s="102">
        <f t="shared" si="139"/>
        <v>0.745</v>
      </c>
      <c r="G83" s="102">
        <f t="shared" si="139"/>
        <v>0.745</v>
      </c>
      <c r="H83" s="102">
        <f t="shared" si="139"/>
        <v>0.745</v>
      </c>
      <c r="I83" s="102">
        <f t="shared" si="139"/>
        <v>0.745</v>
      </c>
      <c r="J83" s="102">
        <f t="shared" si="139"/>
        <v>0.745</v>
      </c>
      <c r="K83" s="102">
        <f t="shared" si="139"/>
        <v>0.745</v>
      </c>
      <c r="L83" s="102">
        <f t="shared" si="139"/>
        <v>0.745</v>
      </c>
      <c r="M83" s="102">
        <f t="shared" si="139"/>
        <v>0.745</v>
      </c>
      <c r="N83" s="102">
        <f t="shared" si="139"/>
        <v>0.745</v>
      </c>
      <c r="O83" s="102">
        <f t="shared" si="139"/>
        <v>0.745</v>
      </c>
      <c r="P83" s="102">
        <f t="shared" si="139"/>
        <v>0.745</v>
      </c>
      <c r="Q83" s="102">
        <f t="shared" si="139"/>
        <v>0.745</v>
      </c>
      <c r="R83" s="102">
        <f t="shared" si="139"/>
        <v>0.745</v>
      </c>
      <c r="S83" s="102">
        <f t="shared" si="139"/>
        <v>100.745</v>
      </c>
      <c r="T83" s="102">
        <f t="shared" si="139"/>
        <v>0</v>
      </c>
      <c r="U83" s="102">
        <f t="shared" si="139"/>
        <v>0</v>
      </c>
      <c r="V83" s="102">
        <f t="shared" si="139"/>
        <v>0</v>
      </c>
      <c r="W83" s="102">
        <f t="shared" si="139"/>
        <v>0</v>
      </c>
      <c r="X83" s="102">
        <f t="shared" si="139"/>
        <v>0</v>
      </c>
      <c r="Y83" s="102">
        <f t="shared" si="139"/>
        <v>0</v>
      </c>
      <c r="Z83" s="102">
        <f t="shared" si="139"/>
        <v>0</v>
      </c>
      <c r="AA83" s="102">
        <f t="shared" si="139"/>
        <v>0</v>
      </c>
      <c r="AB83" s="102">
        <f t="shared" si="139"/>
        <v>0</v>
      </c>
      <c r="AC83" s="102">
        <f t="shared" si="139"/>
        <v>0</v>
      </c>
      <c r="AD83" s="102">
        <f t="shared" si="139"/>
        <v>0</v>
      </c>
      <c r="AE83" s="102">
        <f t="shared" si="139"/>
        <v>0</v>
      </c>
      <c r="AF83" s="102">
        <f t="shared" si="139"/>
        <v>0</v>
      </c>
      <c r="AG83" s="102">
        <f t="shared" si="139"/>
        <v>0</v>
      </c>
      <c r="AH83" s="102">
        <f t="shared" si="139"/>
        <v>0</v>
      </c>
      <c r="AI83" s="102">
        <f t="shared" ref="AI83:BN83" si="140">IF(AI82&gt;$F23+1,0,1)*(IF(AJ83=0,100,0)+IF($G23=1,1,0.5)*$J23*100)</f>
        <v>0</v>
      </c>
      <c r="AJ83" s="102">
        <f t="shared" si="140"/>
        <v>0</v>
      </c>
      <c r="AK83" s="102">
        <f t="shared" si="140"/>
        <v>0</v>
      </c>
      <c r="AL83" s="102">
        <f t="shared" si="140"/>
        <v>0</v>
      </c>
      <c r="AM83" s="102">
        <f t="shared" si="140"/>
        <v>0</v>
      </c>
      <c r="AN83" s="102">
        <f t="shared" si="140"/>
        <v>0</v>
      </c>
      <c r="AO83" s="102">
        <f t="shared" si="140"/>
        <v>0</v>
      </c>
      <c r="AP83" s="102">
        <f t="shared" si="140"/>
        <v>0</v>
      </c>
      <c r="AQ83" s="102">
        <f t="shared" si="140"/>
        <v>0</v>
      </c>
      <c r="AR83" s="102">
        <f t="shared" si="140"/>
        <v>0</v>
      </c>
      <c r="AS83" s="102">
        <f t="shared" si="140"/>
        <v>0</v>
      </c>
      <c r="AT83" s="102">
        <f t="shared" si="140"/>
        <v>0</v>
      </c>
      <c r="AU83" s="102">
        <f t="shared" si="140"/>
        <v>0</v>
      </c>
      <c r="AV83" s="102">
        <f t="shared" si="140"/>
        <v>0</v>
      </c>
      <c r="AW83" s="102">
        <f t="shared" si="140"/>
        <v>0</v>
      </c>
      <c r="AX83" s="102">
        <f t="shared" si="140"/>
        <v>0</v>
      </c>
      <c r="AY83" s="102">
        <f t="shared" si="140"/>
        <v>0</v>
      </c>
      <c r="AZ83" s="102">
        <f t="shared" si="140"/>
        <v>0</v>
      </c>
      <c r="BA83" s="102">
        <f t="shared" si="140"/>
        <v>0</v>
      </c>
      <c r="BB83" s="102">
        <f t="shared" si="140"/>
        <v>0</v>
      </c>
      <c r="BC83" s="102">
        <f t="shared" si="140"/>
        <v>0</v>
      </c>
      <c r="BD83" s="102">
        <f t="shared" si="140"/>
        <v>0</v>
      </c>
      <c r="BE83" s="102">
        <f t="shared" si="140"/>
        <v>0</v>
      </c>
      <c r="BF83" s="102">
        <f t="shared" si="140"/>
        <v>0</v>
      </c>
      <c r="BG83" s="102">
        <f t="shared" si="140"/>
        <v>0</v>
      </c>
      <c r="BH83" s="102">
        <f t="shared" si="140"/>
        <v>0</v>
      </c>
      <c r="BI83" s="102">
        <f t="shared" si="140"/>
        <v>0</v>
      </c>
      <c r="BJ83" s="102">
        <f t="shared" si="140"/>
        <v>0</v>
      </c>
      <c r="BK83" s="102">
        <f t="shared" si="140"/>
        <v>0</v>
      </c>
      <c r="BL83" s="102">
        <f t="shared" si="140"/>
        <v>0</v>
      </c>
      <c r="BM83" s="102">
        <f t="shared" si="140"/>
        <v>0</v>
      </c>
      <c r="BN83" s="102">
        <f t="shared" si="140"/>
        <v>0</v>
      </c>
      <c r="BO83" s="102">
        <f t="shared" ref="BO83:CB83" si="141">IF(BO82&gt;$F23+1,0,1)*(IF(BP83=0,100,0)+IF($G23=1,1,0.5)*$J23*100)</f>
        <v>0</v>
      </c>
      <c r="BP83" s="102">
        <f t="shared" si="141"/>
        <v>0</v>
      </c>
      <c r="BQ83" s="102">
        <f t="shared" si="141"/>
        <v>0</v>
      </c>
      <c r="BR83" s="102">
        <f t="shared" si="141"/>
        <v>0</v>
      </c>
      <c r="BS83" s="102">
        <f t="shared" si="141"/>
        <v>0</v>
      </c>
      <c r="BT83" s="102">
        <f t="shared" si="141"/>
        <v>0</v>
      </c>
      <c r="BU83" s="102">
        <f t="shared" si="141"/>
        <v>0</v>
      </c>
      <c r="BV83" s="102">
        <f t="shared" si="141"/>
        <v>0</v>
      </c>
      <c r="BW83" s="102">
        <f t="shared" si="141"/>
        <v>0</v>
      </c>
      <c r="BX83" s="102">
        <f t="shared" si="141"/>
        <v>0</v>
      </c>
      <c r="BY83" s="102">
        <f t="shared" si="141"/>
        <v>0</v>
      </c>
      <c r="BZ83" s="102">
        <f t="shared" si="141"/>
        <v>0</v>
      </c>
      <c r="CA83" s="102">
        <f t="shared" si="141"/>
        <v>0</v>
      </c>
      <c r="CB83" s="103">
        <f t="shared" si="141"/>
        <v>0</v>
      </c>
      <c r="CF83" s="10"/>
      <c r="CG83" s="10"/>
      <c r="CH83" s="10"/>
      <c r="CI83" s="10"/>
      <c r="CJ83" s="10"/>
      <c r="CK83" s="10"/>
      <c r="CL83" s="10"/>
      <c r="CM83" s="10"/>
      <c r="CN83" s="10"/>
      <c r="CO83" s="10"/>
      <c r="CP83" s="10"/>
      <c r="CQ83" s="10"/>
      <c r="CR83" s="10"/>
      <c r="CS83" s="10"/>
      <c r="CT83" s="10"/>
      <c r="CU83" s="10"/>
      <c r="CV83" s="10"/>
      <c r="CW83" s="10"/>
      <c r="CX83" s="10"/>
      <c r="CY83" s="10"/>
      <c r="CZ83" s="10"/>
      <c r="DA83" s="10"/>
      <c r="DB83" s="10"/>
      <c r="DC83" s="10"/>
      <c r="DD83" s="10"/>
      <c r="DE83" s="10"/>
      <c r="DF83" s="10"/>
      <c r="DG83" s="10"/>
      <c r="DH83" s="10"/>
      <c r="DI83" s="10"/>
      <c r="DJ83" s="10"/>
      <c r="DK83" s="10"/>
    </row>
    <row r="84" spans="1:115">
      <c r="A84" s="244" t="s">
        <v>49</v>
      </c>
      <c r="B84" s="216" t="str">
        <f>IF(E24=0,F24,E24)</f>
        <v>12/5/2019</v>
      </c>
      <c r="C84" s="188">
        <f t="shared" ref="C84:AH84" si="142">B84+IF($G24=1,365,182.5)</f>
        <v>43986.5</v>
      </c>
      <c r="D84" s="188">
        <f t="shared" si="142"/>
        <v>44169</v>
      </c>
      <c r="E84" s="188">
        <f t="shared" si="142"/>
        <v>44351.5</v>
      </c>
      <c r="F84" s="188">
        <f t="shared" si="142"/>
        <v>44534</v>
      </c>
      <c r="G84" s="188">
        <f t="shared" si="142"/>
        <v>44716.5</v>
      </c>
      <c r="H84" s="188">
        <f t="shared" si="142"/>
        <v>44899</v>
      </c>
      <c r="I84" s="188">
        <f t="shared" si="142"/>
        <v>45081.5</v>
      </c>
      <c r="J84" s="188">
        <f t="shared" si="142"/>
        <v>45264</v>
      </c>
      <c r="K84" s="188">
        <f t="shared" si="142"/>
        <v>45446.5</v>
      </c>
      <c r="L84" s="188">
        <f t="shared" si="142"/>
        <v>45629</v>
      </c>
      <c r="M84" s="188">
        <f t="shared" si="142"/>
        <v>45811.5</v>
      </c>
      <c r="N84" s="188">
        <f t="shared" si="142"/>
        <v>45994</v>
      </c>
      <c r="O84" s="188">
        <f t="shared" si="142"/>
        <v>46176.5</v>
      </c>
      <c r="P84" s="188">
        <f t="shared" si="142"/>
        <v>46359</v>
      </c>
      <c r="Q84" s="188">
        <f t="shared" si="142"/>
        <v>46541.5</v>
      </c>
      <c r="R84" s="188">
        <f t="shared" si="142"/>
        <v>46724</v>
      </c>
      <c r="S84" s="188">
        <f t="shared" si="142"/>
        <v>46906.5</v>
      </c>
      <c r="T84" s="188">
        <f t="shared" si="142"/>
        <v>47089</v>
      </c>
      <c r="U84" s="188">
        <f t="shared" si="142"/>
        <v>47271.5</v>
      </c>
      <c r="V84" s="188">
        <f t="shared" si="142"/>
        <v>47454</v>
      </c>
      <c r="W84" s="188">
        <f t="shared" si="142"/>
        <v>47636.5</v>
      </c>
      <c r="X84" s="188">
        <f t="shared" si="142"/>
        <v>47819</v>
      </c>
      <c r="Y84" s="188">
        <f t="shared" si="142"/>
        <v>48001.5</v>
      </c>
      <c r="Z84" s="188">
        <f t="shared" si="142"/>
        <v>48184</v>
      </c>
      <c r="AA84" s="188">
        <f t="shared" si="142"/>
        <v>48366.5</v>
      </c>
      <c r="AB84" s="188">
        <f t="shared" si="142"/>
        <v>48549</v>
      </c>
      <c r="AC84" s="188">
        <f t="shared" si="142"/>
        <v>48731.5</v>
      </c>
      <c r="AD84" s="188">
        <f t="shared" si="142"/>
        <v>48914</v>
      </c>
      <c r="AE84" s="188">
        <f t="shared" si="142"/>
        <v>49096.5</v>
      </c>
      <c r="AF84" s="188">
        <f t="shared" si="142"/>
        <v>49279</v>
      </c>
      <c r="AG84" s="188">
        <f t="shared" si="142"/>
        <v>49461.5</v>
      </c>
      <c r="AH84" s="188">
        <f t="shared" si="142"/>
        <v>49644</v>
      </c>
      <c r="AI84" s="188">
        <f t="shared" ref="AI84:BN84" si="143">AH84+IF($G24=1,365,182.5)</f>
        <v>49826.5</v>
      </c>
      <c r="AJ84" s="188">
        <f t="shared" si="143"/>
        <v>50009</v>
      </c>
      <c r="AK84" s="188">
        <f t="shared" si="143"/>
        <v>50191.5</v>
      </c>
      <c r="AL84" s="188">
        <f t="shared" si="143"/>
        <v>50374</v>
      </c>
      <c r="AM84" s="188">
        <f t="shared" si="143"/>
        <v>50556.5</v>
      </c>
      <c r="AN84" s="188">
        <f t="shared" si="143"/>
        <v>50739</v>
      </c>
      <c r="AO84" s="188">
        <f t="shared" si="143"/>
        <v>50921.5</v>
      </c>
      <c r="AP84" s="188">
        <f t="shared" si="143"/>
        <v>51104</v>
      </c>
      <c r="AQ84" s="188">
        <f t="shared" si="143"/>
        <v>51286.5</v>
      </c>
      <c r="AR84" s="188">
        <f t="shared" si="143"/>
        <v>51469</v>
      </c>
      <c r="AS84" s="188">
        <f t="shared" si="143"/>
        <v>51651.5</v>
      </c>
      <c r="AT84" s="188">
        <f t="shared" si="143"/>
        <v>51834</v>
      </c>
      <c r="AU84" s="188">
        <f t="shared" si="143"/>
        <v>52016.5</v>
      </c>
      <c r="AV84" s="188">
        <f t="shared" si="143"/>
        <v>52199</v>
      </c>
      <c r="AW84" s="188">
        <f t="shared" si="143"/>
        <v>52381.5</v>
      </c>
      <c r="AX84" s="188">
        <f t="shared" si="143"/>
        <v>52564</v>
      </c>
      <c r="AY84" s="188">
        <f t="shared" si="143"/>
        <v>52746.5</v>
      </c>
      <c r="AZ84" s="188">
        <f t="shared" si="143"/>
        <v>52929</v>
      </c>
      <c r="BA84" s="188">
        <f t="shared" si="143"/>
        <v>53111.5</v>
      </c>
      <c r="BB84" s="188">
        <f t="shared" si="143"/>
        <v>53294</v>
      </c>
      <c r="BC84" s="188">
        <f t="shared" si="143"/>
        <v>53476.5</v>
      </c>
      <c r="BD84" s="188">
        <f t="shared" si="143"/>
        <v>53659</v>
      </c>
      <c r="BE84" s="188">
        <f t="shared" si="143"/>
        <v>53841.5</v>
      </c>
      <c r="BF84" s="188">
        <f t="shared" si="143"/>
        <v>54024</v>
      </c>
      <c r="BG84" s="188">
        <f t="shared" si="143"/>
        <v>54206.5</v>
      </c>
      <c r="BH84" s="188">
        <f t="shared" si="143"/>
        <v>54389</v>
      </c>
      <c r="BI84" s="188">
        <f t="shared" si="143"/>
        <v>54571.5</v>
      </c>
      <c r="BJ84" s="188">
        <f t="shared" si="143"/>
        <v>54754</v>
      </c>
      <c r="BK84" s="188">
        <f t="shared" si="143"/>
        <v>54936.5</v>
      </c>
      <c r="BL84" s="188">
        <f t="shared" si="143"/>
        <v>55119</v>
      </c>
      <c r="BM84" s="188">
        <f t="shared" si="143"/>
        <v>55301.5</v>
      </c>
      <c r="BN84" s="188">
        <f t="shared" si="143"/>
        <v>55484</v>
      </c>
      <c r="BO84" s="188">
        <f t="shared" ref="BO84:CB84" si="144">BN84+IF($G24=1,365,182.5)</f>
        <v>55666.5</v>
      </c>
      <c r="BP84" s="188">
        <f t="shared" si="144"/>
        <v>55849</v>
      </c>
      <c r="BQ84" s="188">
        <f t="shared" si="144"/>
        <v>56031.5</v>
      </c>
      <c r="BR84" s="188">
        <f t="shared" si="144"/>
        <v>56214</v>
      </c>
      <c r="BS84" s="188">
        <f t="shared" si="144"/>
        <v>56396.5</v>
      </c>
      <c r="BT84" s="188">
        <f t="shared" si="144"/>
        <v>56579</v>
      </c>
      <c r="BU84" s="188">
        <f t="shared" si="144"/>
        <v>56761.5</v>
      </c>
      <c r="BV84" s="188">
        <f t="shared" si="144"/>
        <v>56944</v>
      </c>
      <c r="BW84" s="188">
        <f t="shared" si="144"/>
        <v>57126.5</v>
      </c>
      <c r="BX84" s="188">
        <f t="shared" si="144"/>
        <v>57309</v>
      </c>
      <c r="BY84" s="188">
        <f t="shared" si="144"/>
        <v>57491.5</v>
      </c>
      <c r="BZ84" s="188">
        <f t="shared" si="144"/>
        <v>57674</v>
      </c>
      <c r="CA84" s="188">
        <f t="shared" si="144"/>
        <v>57856.5</v>
      </c>
      <c r="CB84" s="189">
        <f t="shared" si="144"/>
        <v>58039</v>
      </c>
      <c r="CF84" s="10"/>
      <c r="CG84" s="10"/>
      <c r="CH84" s="10"/>
      <c r="CI84" s="10"/>
      <c r="CJ84" s="10"/>
      <c r="CK84" s="10"/>
      <c r="CL84" s="10"/>
      <c r="CM84" s="10"/>
      <c r="CN84" s="10"/>
      <c r="CO84" s="10"/>
      <c r="CP84" s="10"/>
      <c r="CQ84" s="10"/>
      <c r="CR84" s="10"/>
      <c r="CS84" s="10"/>
      <c r="CT84" s="10"/>
      <c r="CU84" s="10"/>
      <c r="CV84" s="10"/>
      <c r="CW84" s="10"/>
      <c r="CX84" s="10"/>
      <c r="CY84" s="10"/>
      <c r="CZ84" s="10"/>
      <c r="DA84" s="10"/>
      <c r="DB84" s="10"/>
      <c r="DC84" s="10"/>
      <c r="DD84" s="10"/>
      <c r="DE84" s="10"/>
      <c r="DF84" s="10"/>
      <c r="DG84" s="10"/>
      <c r="DH84" s="10"/>
      <c r="DI84" s="10"/>
      <c r="DJ84" s="10"/>
      <c r="DK84" s="10"/>
    </row>
    <row r="85" spans="1:115">
      <c r="A85" s="183" t="s">
        <v>127</v>
      </c>
      <c r="B85" s="158">
        <f>(IF(B84=F24,100,0)+IF(G24=1,1,0.5)*J24*100)*IF(ISBLANK(F24)=TRUE,0,1)</f>
        <v>0.54500000000000004</v>
      </c>
      <c r="C85" s="159">
        <f t="shared" ref="C85:AH85" si="145">IF(C84&gt;$F24+1,0,1)*(IF(D85=0,100,0)+IF($G24=1,1,0.5)*$J24*100)</f>
        <v>0.54500000000000004</v>
      </c>
      <c r="D85" s="159">
        <f t="shared" si="145"/>
        <v>0.54500000000000004</v>
      </c>
      <c r="E85" s="159">
        <f t="shared" si="145"/>
        <v>0.54500000000000004</v>
      </c>
      <c r="F85" s="159">
        <f t="shared" si="145"/>
        <v>0.54500000000000004</v>
      </c>
      <c r="G85" s="159">
        <f t="shared" si="145"/>
        <v>0.54500000000000004</v>
      </c>
      <c r="H85" s="159">
        <f t="shared" si="145"/>
        <v>0.54500000000000004</v>
      </c>
      <c r="I85" s="159">
        <f t="shared" si="145"/>
        <v>100.545</v>
      </c>
      <c r="J85" s="159">
        <f t="shared" si="145"/>
        <v>0</v>
      </c>
      <c r="K85" s="159">
        <f t="shared" si="145"/>
        <v>0</v>
      </c>
      <c r="L85" s="159">
        <f t="shared" si="145"/>
        <v>0</v>
      </c>
      <c r="M85" s="159">
        <f t="shared" si="145"/>
        <v>0</v>
      </c>
      <c r="N85" s="159">
        <f t="shared" si="145"/>
        <v>0</v>
      </c>
      <c r="O85" s="159">
        <f t="shared" si="145"/>
        <v>0</v>
      </c>
      <c r="P85" s="159">
        <f t="shared" si="145"/>
        <v>0</v>
      </c>
      <c r="Q85" s="159">
        <f t="shared" si="145"/>
        <v>0</v>
      </c>
      <c r="R85" s="159">
        <f t="shared" si="145"/>
        <v>0</v>
      </c>
      <c r="S85" s="159">
        <f t="shared" si="145"/>
        <v>0</v>
      </c>
      <c r="T85" s="159">
        <f t="shared" si="145"/>
        <v>0</v>
      </c>
      <c r="U85" s="159">
        <f t="shared" si="145"/>
        <v>0</v>
      </c>
      <c r="V85" s="159">
        <f t="shared" si="145"/>
        <v>0</v>
      </c>
      <c r="W85" s="159">
        <f t="shared" si="145"/>
        <v>0</v>
      </c>
      <c r="X85" s="159">
        <f t="shared" si="145"/>
        <v>0</v>
      </c>
      <c r="Y85" s="159">
        <f t="shared" si="145"/>
        <v>0</v>
      </c>
      <c r="Z85" s="159">
        <f t="shared" si="145"/>
        <v>0</v>
      </c>
      <c r="AA85" s="159">
        <f t="shared" si="145"/>
        <v>0</v>
      </c>
      <c r="AB85" s="159">
        <f t="shared" si="145"/>
        <v>0</v>
      </c>
      <c r="AC85" s="159">
        <f t="shared" si="145"/>
        <v>0</v>
      </c>
      <c r="AD85" s="159">
        <f t="shared" si="145"/>
        <v>0</v>
      </c>
      <c r="AE85" s="159">
        <f t="shared" si="145"/>
        <v>0</v>
      </c>
      <c r="AF85" s="159">
        <f t="shared" si="145"/>
        <v>0</v>
      </c>
      <c r="AG85" s="159">
        <f t="shared" si="145"/>
        <v>0</v>
      </c>
      <c r="AH85" s="159">
        <f t="shared" si="145"/>
        <v>0</v>
      </c>
      <c r="AI85" s="159">
        <f t="shared" ref="AI85:BN85" si="146">IF(AI84&gt;$F24+1,0,1)*(IF(AJ85=0,100,0)+IF($G24=1,1,0.5)*$J24*100)</f>
        <v>0</v>
      </c>
      <c r="AJ85" s="159">
        <f t="shared" si="146"/>
        <v>0</v>
      </c>
      <c r="AK85" s="159">
        <f t="shared" si="146"/>
        <v>0</v>
      </c>
      <c r="AL85" s="159">
        <f t="shared" si="146"/>
        <v>0</v>
      </c>
      <c r="AM85" s="159">
        <f t="shared" si="146"/>
        <v>0</v>
      </c>
      <c r="AN85" s="159">
        <f t="shared" si="146"/>
        <v>0</v>
      </c>
      <c r="AO85" s="159">
        <f t="shared" si="146"/>
        <v>0</v>
      </c>
      <c r="AP85" s="159">
        <f t="shared" si="146"/>
        <v>0</v>
      </c>
      <c r="AQ85" s="159">
        <f t="shared" si="146"/>
        <v>0</v>
      </c>
      <c r="AR85" s="159">
        <f t="shared" si="146"/>
        <v>0</v>
      </c>
      <c r="AS85" s="159">
        <f t="shared" si="146"/>
        <v>0</v>
      </c>
      <c r="AT85" s="159">
        <f t="shared" si="146"/>
        <v>0</v>
      </c>
      <c r="AU85" s="159">
        <f t="shared" si="146"/>
        <v>0</v>
      </c>
      <c r="AV85" s="159">
        <f t="shared" si="146"/>
        <v>0</v>
      </c>
      <c r="AW85" s="159">
        <f t="shared" si="146"/>
        <v>0</v>
      </c>
      <c r="AX85" s="159">
        <f t="shared" si="146"/>
        <v>0</v>
      </c>
      <c r="AY85" s="159">
        <f t="shared" si="146"/>
        <v>0</v>
      </c>
      <c r="AZ85" s="159">
        <f t="shared" si="146"/>
        <v>0</v>
      </c>
      <c r="BA85" s="159">
        <f t="shared" si="146"/>
        <v>0</v>
      </c>
      <c r="BB85" s="159">
        <f t="shared" si="146"/>
        <v>0</v>
      </c>
      <c r="BC85" s="159">
        <f t="shared" si="146"/>
        <v>0</v>
      </c>
      <c r="BD85" s="160">
        <f t="shared" si="146"/>
        <v>0</v>
      </c>
      <c r="BE85" s="159">
        <f t="shared" si="146"/>
        <v>0</v>
      </c>
      <c r="BF85" s="159">
        <f t="shared" si="146"/>
        <v>0</v>
      </c>
      <c r="BG85" s="159">
        <f t="shared" si="146"/>
        <v>0</v>
      </c>
      <c r="BH85" s="159">
        <f t="shared" si="146"/>
        <v>0</v>
      </c>
      <c r="BI85" s="159">
        <f t="shared" si="146"/>
        <v>0</v>
      </c>
      <c r="BJ85" s="159">
        <f t="shared" si="146"/>
        <v>0</v>
      </c>
      <c r="BK85" s="159">
        <f t="shared" si="146"/>
        <v>0</v>
      </c>
      <c r="BL85" s="159">
        <f t="shared" si="146"/>
        <v>0</v>
      </c>
      <c r="BM85" s="159">
        <f t="shared" si="146"/>
        <v>0</v>
      </c>
      <c r="BN85" s="159">
        <f t="shared" si="146"/>
        <v>0</v>
      </c>
      <c r="BO85" s="159">
        <f t="shared" ref="BO85:CB85" si="147">IF(BO84&gt;$F24+1,0,1)*(IF(BP85=0,100,0)+IF($G24=1,1,0.5)*$J24*100)</f>
        <v>0</v>
      </c>
      <c r="BP85" s="159">
        <f t="shared" si="147"/>
        <v>0</v>
      </c>
      <c r="BQ85" s="159">
        <f t="shared" si="147"/>
        <v>0</v>
      </c>
      <c r="BR85" s="159">
        <f t="shared" si="147"/>
        <v>0</v>
      </c>
      <c r="BS85" s="159">
        <f t="shared" si="147"/>
        <v>0</v>
      </c>
      <c r="BT85" s="159">
        <f t="shared" si="147"/>
        <v>0</v>
      </c>
      <c r="BU85" s="159">
        <f t="shared" si="147"/>
        <v>0</v>
      </c>
      <c r="BV85" s="159">
        <f t="shared" si="147"/>
        <v>0</v>
      </c>
      <c r="BW85" s="159">
        <f t="shared" si="147"/>
        <v>0</v>
      </c>
      <c r="BX85" s="159">
        <f t="shared" si="147"/>
        <v>0</v>
      </c>
      <c r="BY85" s="159">
        <f t="shared" si="147"/>
        <v>0</v>
      </c>
      <c r="BZ85" s="159">
        <f t="shared" si="147"/>
        <v>0</v>
      </c>
      <c r="CA85" s="159">
        <f t="shared" si="147"/>
        <v>0</v>
      </c>
      <c r="CB85" s="187">
        <f t="shared" si="147"/>
        <v>0</v>
      </c>
      <c r="CF85" s="10"/>
      <c r="CG85" s="10"/>
      <c r="CH85" s="10"/>
      <c r="CI85" s="10"/>
      <c r="CJ85" s="10"/>
      <c r="CK85" s="10"/>
      <c r="CL85" s="10"/>
      <c r="CM85" s="10"/>
      <c r="CN85" s="10"/>
      <c r="CO85" s="10"/>
      <c r="CP85" s="10"/>
      <c r="CQ85" s="10"/>
      <c r="CR85" s="10"/>
      <c r="CS85" s="10"/>
      <c r="CT85" s="10"/>
      <c r="CU85" s="10"/>
      <c r="CV85" s="10"/>
      <c r="CW85" s="10"/>
      <c r="CX85" s="10"/>
      <c r="CY85" s="10"/>
      <c r="CZ85" s="10"/>
      <c r="DA85" s="10"/>
      <c r="DB85" s="10"/>
      <c r="DC85" s="10"/>
      <c r="DD85" s="10"/>
      <c r="DE85" s="10"/>
      <c r="DF85" s="10"/>
      <c r="DG85" s="10"/>
      <c r="DH85" s="10"/>
      <c r="DI85" s="10"/>
      <c r="DJ85" s="10"/>
      <c r="DK85" s="10"/>
    </row>
    <row r="86" spans="1:115">
      <c r="A86" s="221" t="s">
        <v>49</v>
      </c>
      <c r="B86" s="144" t="str">
        <f>IF(E25=0,F25,E25)</f>
        <v>8/20/2019</v>
      </c>
      <c r="C86" s="145">
        <f t="shared" ref="C86:AH86" si="148">B86+IF($G25=1,365,182.5)</f>
        <v>43879.5</v>
      </c>
      <c r="D86" s="145">
        <f t="shared" si="148"/>
        <v>44062</v>
      </c>
      <c r="E86" s="145">
        <f t="shared" si="148"/>
        <v>44244.5</v>
      </c>
      <c r="F86" s="145">
        <f t="shared" si="148"/>
        <v>44427</v>
      </c>
      <c r="G86" s="145">
        <f t="shared" si="148"/>
        <v>44609.5</v>
      </c>
      <c r="H86" s="145">
        <f t="shared" si="148"/>
        <v>44792</v>
      </c>
      <c r="I86" s="145">
        <f t="shared" si="148"/>
        <v>44974.5</v>
      </c>
      <c r="J86" s="145">
        <f t="shared" si="148"/>
        <v>45157</v>
      </c>
      <c r="K86" s="145">
        <f t="shared" si="148"/>
        <v>45339.5</v>
      </c>
      <c r="L86" s="145">
        <f t="shared" si="148"/>
        <v>45522</v>
      </c>
      <c r="M86" s="145">
        <f t="shared" si="148"/>
        <v>45704.5</v>
      </c>
      <c r="N86" s="145">
        <f t="shared" si="148"/>
        <v>45887</v>
      </c>
      <c r="O86" s="145">
        <f t="shared" si="148"/>
        <v>46069.5</v>
      </c>
      <c r="P86" s="145">
        <f t="shared" si="148"/>
        <v>46252</v>
      </c>
      <c r="Q86" s="145">
        <f t="shared" si="148"/>
        <v>46434.5</v>
      </c>
      <c r="R86" s="145">
        <f t="shared" si="148"/>
        <v>46617</v>
      </c>
      <c r="S86" s="145">
        <f t="shared" si="148"/>
        <v>46799.5</v>
      </c>
      <c r="T86" s="145">
        <f t="shared" si="148"/>
        <v>46982</v>
      </c>
      <c r="U86" s="145">
        <f t="shared" si="148"/>
        <v>47164.5</v>
      </c>
      <c r="V86" s="145">
        <f t="shared" si="148"/>
        <v>47347</v>
      </c>
      <c r="W86" s="145">
        <f t="shared" si="148"/>
        <v>47529.5</v>
      </c>
      <c r="X86" s="145">
        <f t="shared" si="148"/>
        <v>47712</v>
      </c>
      <c r="Y86" s="145">
        <f t="shared" si="148"/>
        <v>47894.5</v>
      </c>
      <c r="Z86" s="145">
        <f t="shared" si="148"/>
        <v>48077</v>
      </c>
      <c r="AA86" s="145">
        <f t="shared" si="148"/>
        <v>48259.5</v>
      </c>
      <c r="AB86" s="145">
        <f t="shared" si="148"/>
        <v>48442</v>
      </c>
      <c r="AC86" s="145">
        <f t="shared" si="148"/>
        <v>48624.5</v>
      </c>
      <c r="AD86" s="145">
        <f t="shared" si="148"/>
        <v>48807</v>
      </c>
      <c r="AE86" s="145">
        <f t="shared" si="148"/>
        <v>48989.5</v>
      </c>
      <c r="AF86" s="145">
        <f t="shared" si="148"/>
        <v>49172</v>
      </c>
      <c r="AG86" s="145">
        <f t="shared" si="148"/>
        <v>49354.5</v>
      </c>
      <c r="AH86" s="145">
        <f t="shared" si="148"/>
        <v>49537</v>
      </c>
      <c r="AI86" s="145">
        <f t="shared" ref="AI86:BN86" si="149">AH86+IF($G25=1,365,182.5)</f>
        <v>49719.5</v>
      </c>
      <c r="AJ86" s="145">
        <f t="shared" si="149"/>
        <v>49902</v>
      </c>
      <c r="AK86" s="145">
        <f t="shared" si="149"/>
        <v>50084.5</v>
      </c>
      <c r="AL86" s="145">
        <f t="shared" si="149"/>
        <v>50267</v>
      </c>
      <c r="AM86" s="145">
        <f t="shared" si="149"/>
        <v>50449.5</v>
      </c>
      <c r="AN86" s="145">
        <f t="shared" si="149"/>
        <v>50632</v>
      </c>
      <c r="AO86" s="145">
        <f t="shared" si="149"/>
        <v>50814.5</v>
      </c>
      <c r="AP86" s="145">
        <f t="shared" si="149"/>
        <v>50997</v>
      </c>
      <c r="AQ86" s="145">
        <f t="shared" si="149"/>
        <v>51179.5</v>
      </c>
      <c r="AR86" s="145">
        <f t="shared" si="149"/>
        <v>51362</v>
      </c>
      <c r="AS86" s="145">
        <f t="shared" si="149"/>
        <v>51544.5</v>
      </c>
      <c r="AT86" s="145">
        <f t="shared" si="149"/>
        <v>51727</v>
      </c>
      <c r="AU86" s="145">
        <f t="shared" si="149"/>
        <v>51909.5</v>
      </c>
      <c r="AV86" s="145">
        <f t="shared" si="149"/>
        <v>52092</v>
      </c>
      <c r="AW86" s="145">
        <f t="shared" si="149"/>
        <v>52274.5</v>
      </c>
      <c r="AX86" s="145">
        <f t="shared" si="149"/>
        <v>52457</v>
      </c>
      <c r="AY86" s="145">
        <f t="shared" si="149"/>
        <v>52639.5</v>
      </c>
      <c r="AZ86" s="145">
        <f t="shared" si="149"/>
        <v>52822</v>
      </c>
      <c r="BA86" s="145">
        <f t="shared" si="149"/>
        <v>53004.5</v>
      </c>
      <c r="BB86" s="145">
        <f t="shared" si="149"/>
        <v>53187</v>
      </c>
      <c r="BC86" s="145">
        <f t="shared" si="149"/>
        <v>53369.5</v>
      </c>
      <c r="BD86" s="145">
        <f t="shared" si="149"/>
        <v>53552</v>
      </c>
      <c r="BE86" s="145">
        <f t="shared" si="149"/>
        <v>53734.5</v>
      </c>
      <c r="BF86" s="145">
        <f t="shared" si="149"/>
        <v>53917</v>
      </c>
      <c r="BG86" s="145">
        <f t="shared" si="149"/>
        <v>54099.5</v>
      </c>
      <c r="BH86" s="145">
        <f t="shared" si="149"/>
        <v>54282</v>
      </c>
      <c r="BI86" s="145">
        <f t="shared" si="149"/>
        <v>54464.5</v>
      </c>
      <c r="BJ86" s="145">
        <f t="shared" si="149"/>
        <v>54647</v>
      </c>
      <c r="BK86" s="145">
        <f t="shared" si="149"/>
        <v>54829.5</v>
      </c>
      <c r="BL86" s="145">
        <f t="shared" si="149"/>
        <v>55012</v>
      </c>
      <c r="BM86" s="145">
        <f t="shared" si="149"/>
        <v>55194.5</v>
      </c>
      <c r="BN86" s="145">
        <f t="shared" si="149"/>
        <v>55377</v>
      </c>
      <c r="BO86" s="145">
        <f t="shared" ref="BO86:CB86" si="150">BN86+IF($G25=1,365,182.5)</f>
        <v>55559.5</v>
      </c>
      <c r="BP86" s="145">
        <f t="shared" si="150"/>
        <v>55742</v>
      </c>
      <c r="BQ86" s="145">
        <f t="shared" si="150"/>
        <v>55924.5</v>
      </c>
      <c r="BR86" s="145">
        <f t="shared" si="150"/>
        <v>56107</v>
      </c>
      <c r="BS86" s="145">
        <f t="shared" si="150"/>
        <v>56289.5</v>
      </c>
      <c r="BT86" s="145">
        <f t="shared" si="150"/>
        <v>56472</v>
      </c>
      <c r="BU86" s="145">
        <f t="shared" si="150"/>
        <v>56654.5</v>
      </c>
      <c r="BV86" s="145">
        <f t="shared" si="150"/>
        <v>56837</v>
      </c>
      <c r="BW86" s="145">
        <f t="shared" si="150"/>
        <v>57019.5</v>
      </c>
      <c r="BX86" s="145">
        <f t="shared" si="150"/>
        <v>57202</v>
      </c>
      <c r="BY86" s="145">
        <f t="shared" si="150"/>
        <v>57384.5</v>
      </c>
      <c r="BZ86" s="145">
        <f t="shared" si="150"/>
        <v>57567</v>
      </c>
      <c r="CA86" s="145">
        <f t="shared" si="150"/>
        <v>57749.5</v>
      </c>
      <c r="CB86" s="146">
        <f t="shared" si="150"/>
        <v>57932</v>
      </c>
      <c r="CF86" s="10"/>
      <c r="CG86" s="10"/>
      <c r="CH86" s="10"/>
      <c r="CI86" s="10"/>
      <c r="CJ86" s="10"/>
      <c r="CK86" s="10"/>
      <c r="CL86" s="10"/>
      <c r="CM86" s="10"/>
      <c r="CN86" s="10"/>
      <c r="CO86" s="10"/>
      <c r="CP86" s="10"/>
      <c r="CQ86" s="10"/>
      <c r="CR86" s="10"/>
      <c r="CS86" s="10"/>
      <c r="CT86" s="10"/>
      <c r="CU86" s="10"/>
      <c r="CV86" s="10"/>
      <c r="CW86" s="10"/>
      <c r="CX86" s="10"/>
      <c r="CY86" s="10"/>
      <c r="CZ86" s="10"/>
      <c r="DA86" s="10"/>
      <c r="DB86" s="10"/>
      <c r="DC86" s="10"/>
      <c r="DD86" s="10"/>
      <c r="DE86" s="10"/>
      <c r="DF86" s="10"/>
      <c r="DG86" s="10"/>
      <c r="DH86" s="10"/>
      <c r="DI86" s="10"/>
      <c r="DJ86" s="10"/>
      <c r="DK86" s="10"/>
    </row>
    <row r="87" spans="1:115">
      <c r="A87" s="143" t="s">
        <v>128</v>
      </c>
      <c r="B87" s="147">
        <f>(IF(B86=F25,100,0)+IF(G25=1,1,0.5)*J25*100)*IF(ISBLANK(F25)=TRUE,0,1)</f>
        <v>0.65500000000000003</v>
      </c>
      <c r="C87" s="148">
        <f t="shared" ref="C87:AH87" si="151">IF(C86&gt;$F25+1,0,1)*(IF(D87=0,100,0)+IF($G25=1,1,0.5)*$J25*100)</f>
        <v>100.655</v>
      </c>
      <c r="D87" s="148">
        <f t="shared" si="151"/>
        <v>0</v>
      </c>
      <c r="E87" s="148">
        <f t="shared" si="151"/>
        <v>0</v>
      </c>
      <c r="F87" s="148">
        <f t="shared" si="151"/>
        <v>0</v>
      </c>
      <c r="G87" s="148">
        <f t="shared" si="151"/>
        <v>0</v>
      </c>
      <c r="H87" s="148">
        <f t="shared" si="151"/>
        <v>0</v>
      </c>
      <c r="I87" s="148">
        <f t="shared" si="151"/>
        <v>0</v>
      </c>
      <c r="J87" s="148">
        <f t="shared" si="151"/>
        <v>0</v>
      </c>
      <c r="K87" s="148">
        <f t="shared" si="151"/>
        <v>0</v>
      </c>
      <c r="L87" s="148">
        <f t="shared" si="151"/>
        <v>0</v>
      </c>
      <c r="M87" s="148">
        <f t="shared" si="151"/>
        <v>0</v>
      </c>
      <c r="N87" s="148">
        <f t="shared" si="151"/>
        <v>0</v>
      </c>
      <c r="O87" s="148">
        <f t="shared" si="151"/>
        <v>0</v>
      </c>
      <c r="P87" s="148">
        <f t="shared" si="151"/>
        <v>0</v>
      </c>
      <c r="Q87" s="148">
        <f t="shared" si="151"/>
        <v>0</v>
      </c>
      <c r="R87" s="148">
        <f t="shared" si="151"/>
        <v>0</v>
      </c>
      <c r="S87" s="148">
        <f t="shared" si="151"/>
        <v>0</v>
      </c>
      <c r="T87" s="148">
        <f t="shared" si="151"/>
        <v>0</v>
      </c>
      <c r="U87" s="148">
        <f t="shared" si="151"/>
        <v>0</v>
      </c>
      <c r="V87" s="148">
        <f t="shared" si="151"/>
        <v>0</v>
      </c>
      <c r="W87" s="148">
        <f t="shared" si="151"/>
        <v>0</v>
      </c>
      <c r="X87" s="148">
        <f t="shared" si="151"/>
        <v>0</v>
      </c>
      <c r="Y87" s="148">
        <f t="shared" si="151"/>
        <v>0</v>
      </c>
      <c r="Z87" s="148">
        <f t="shared" si="151"/>
        <v>0</v>
      </c>
      <c r="AA87" s="148">
        <f t="shared" si="151"/>
        <v>0</v>
      </c>
      <c r="AB87" s="148">
        <f t="shared" si="151"/>
        <v>0</v>
      </c>
      <c r="AC87" s="148">
        <f t="shared" si="151"/>
        <v>0</v>
      </c>
      <c r="AD87" s="148">
        <f t="shared" si="151"/>
        <v>0</v>
      </c>
      <c r="AE87" s="148">
        <f t="shared" si="151"/>
        <v>0</v>
      </c>
      <c r="AF87" s="148">
        <f t="shared" si="151"/>
        <v>0</v>
      </c>
      <c r="AG87" s="148">
        <f t="shared" si="151"/>
        <v>0</v>
      </c>
      <c r="AH87" s="148">
        <f t="shared" si="151"/>
        <v>0</v>
      </c>
      <c r="AI87" s="148">
        <f t="shared" ref="AI87:BN87" si="152">IF(AI86&gt;$F25+1,0,1)*(IF(AJ87=0,100,0)+IF($G25=1,1,0.5)*$J25*100)</f>
        <v>0</v>
      </c>
      <c r="AJ87" s="148">
        <f t="shared" si="152"/>
        <v>0</v>
      </c>
      <c r="AK87" s="148">
        <f t="shared" si="152"/>
        <v>0</v>
      </c>
      <c r="AL87" s="148">
        <f t="shared" si="152"/>
        <v>0</v>
      </c>
      <c r="AM87" s="148">
        <f t="shared" si="152"/>
        <v>0</v>
      </c>
      <c r="AN87" s="148">
        <f t="shared" si="152"/>
        <v>0</v>
      </c>
      <c r="AO87" s="148">
        <f t="shared" si="152"/>
        <v>0</v>
      </c>
      <c r="AP87" s="148">
        <f t="shared" si="152"/>
        <v>0</v>
      </c>
      <c r="AQ87" s="148">
        <f t="shared" si="152"/>
        <v>0</v>
      </c>
      <c r="AR87" s="148">
        <f t="shared" si="152"/>
        <v>0</v>
      </c>
      <c r="AS87" s="148">
        <f t="shared" si="152"/>
        <v>0</v>
      </c>
      <c r="AT87" s="148">
        <f t="shared" si="152"/>
        <v>0</v>
      </c>
      <c r="AU87" s="148">
        <f t="shared" si="152"/>
        <v>0</v>
      </c>
      <c r="AV87" s="148">
        <f t="shared" si="152"/>
        <v>0</v>
      </c>
      <c r="AW87" s="148">
        <f t="shared" si="152"/>
        <v>0</v>
      </c>
      <c r="AX87" s="148">
        <f t="shared" si="152"/>
        <v>0</v>
      </c>
      <c r="AY87" s="148">
        <f t="shared" si="152"/>
        <v>0</v>
      </c>
      <c r="AZ87" s="148">
        <f t="shared" si="152"/>
        <v>0</v>
      </c>
      <c r="BA87" s="148">
        <f t="shared" si="152"/>
        <v>0</v>
      </c>
      <c r="BB87" s="148">
        <f t="shared" si="152"/>
        <v>0</v>
      </c>
      <c r="BC87" s="148">
        <f t="shared" si="152"/>
        <v>0</v>
      </c>
      <c r="BD87" s="148">
        <f t="shared" si="152"/>
        <v>0</v>
      </c>
      <c r="BE87" s="148">
        <f t="shared" si="152"/>
        <v>0</v>
      </c>
      <c r="BF87" s="148">
        <f t="shared" si="152"/>
        <v>0</v>
      </c>
      <c r="BG87" s="148">
        <f t="shared" si="152"/>
        <v>0</v>
      </c>
      <c r="BH87" s="148">
        <f t="shared" si="152"/>
        <v>0</v>
      </c>
      <c r="BI87" s="148">
        <f t="shared" si="152"/>
        <v>0</v>
      </c>
      <c r="BJ87" s="148">
        <f t="shared" si="152"/>
        <v>0</v>
      </c>
      <c r="BK87" s="148">
        <f t="shared" si="152"/>
        <v>0</v>
      </c>
      <c r="BL87" s="148">
        <f t="shared" si="152"/>
        <v>0</v>
      </c>
      <c r="BM87" s="148">
        <f t="shared" si="152"/>
        <v>0</v>
      </c>
      <c r="BN87" s="148">
        <f t="shared" si="152"/>
        <v>0</v>
      </c>
      <c r="BO87" s="148">
        <f t="shared" ref="BO87:CB87" si="153">IF(BO86&gt;$F25+1,0,1)*(IF(BP87=0,100,0)+IF($G25=1,1,0.5)*$J25*100)</f>
        <v>0</v>
      </c>
      <c r="BP87" s="148">
        <f t="shared" si="153"/>
        <v>0</v>
      </c>
      <c r="BQ87" s="148">
        <f t="shared" si="153"/>
        <v>0</v>
      </c>
      <c r="BR87" s="148">
        <f t="shared" si="153"/>
        <v>0</v>
      </c>
      <c r="BS87" s="148">
        <f t="shared" si="153"/>
        <v>0</v>
      </c>
      <c r="BT87" s="148">
        <f t="shared" si="153"/>
        <v>0</v>
      </c>
      <c r="BU87" s="148">
        <f t="shared" si="153"/>
        <v>0</v>
      </c>
      <c r="BV87" s="148">
        <f t="shared" si="153"/>
        <v>0</v>
      </c>
      <c r="BW87" s="148">
        <f t="shared" si="153"/>
        <v>0</v>
      </c>
      <c r="BX87" s="148">
        <f t="shared" si="153"/>
        <v>0</v>
      </c>
      <c r="BY87" s="148">
        <f t="shared" si="153"/>
        <v>0</v>
      </c>
      <c r="BZ87" s="148">
        <f t="shared" si="153"/>
        <v>0</v>
      </c>
      <c r="CA87" s="148">
        <f t="shared" si="153"/>
        <v>0</v>
      </c>
      <c r="CB87" s="154">
        <f t="shared" si="153"/>
        <v>0</v>
      </c>
      <c r="CF87" s="10"/>
      <c r="CG87" s="10"/>
      <c r="CH87" s="10"/>
      <c r="CI87" s="10"/>
      <c r="CJ87" s="10"/>
      <c r="CK87" s="10"/>
      <c r="CL87" s="10"/>
      <c r="CM87" s="10"/>
      <c r="CN87" s="10"/>
      <c r="CO87" s="10"/>
      <c r="CP87" s="10"/>
      <c r="CQ87" s="10"/>
      <c r="CR87" s="10"/>
      <c r="CS87" s="10"/>
      <c r="CT87" s="10"/>
      <c r="CU87" s="10"/>
      <c r="CV87" s="10"/>
      <c r="CW87" s="10"/>
      <c r="CX87" s="10"/>
      <c r="CY87" s="10"/>
      <c r="CZ87" s="10"/>
      <c r="DA87" s="10"/>
      <c r="DB87" s="10"/>
      <c r="DC87" s="10"/>
      <c r="DD87" s="10"/>
      <c r="DE87" s="10"/>
      <c r="DF87" s="10"/>
      <c r="DG87" s="10"/>
      <c r="DH87" s="10"/>
      <c r="DI87" s="10"/>
      <c r="DJ87" s="10"/>
      <c r="DK87" s="10"/>
    </row>
    <row r="88" spans="1:115">
      <c r="A88" s="243" t="s">
        <v>49</v>
      </c>
      <c r="B88" s="37" t="str">
        <f>IF(E26=0,F26,E26)</f>
        <v>8/22/2019</v>
      </c>
      <c r="C88" s="38">
        <f t="shared" ref="C88:AH88" si="154">B88+IF($G26=1,365,182.5)</f>
        <v>43881.5</v>
      </c>
      <c r="D88" s="38">
        <f t="shared" si="154"/>
        <v>44064</v>
      </c>
      <c r="E88" s="38">
        <f t="shared" si="154"/>
        <v>44246.5</v>
      </c>
      <c r="F88" s="38">
        <f t="shared" si="154"/>
        <v>44429</v>
      </c>
      <c r="G88" s="38">
        <f t="shared" si="154"/>
        <v>44611.5</v>
      </c>
      <c r="H88" s="38">
        <f t="shared" si="154"/>
        <v>44794</v>
      </c>
      <c r="I88" s="38">
        <f t="shared" si="154"/>
        <v>44976.5</v>
      </c>
      <c r="J88" s="38">
        <f t="shared" si="154"/>
        <v>45159</v>
      </c>
      <c r="K88" s="38">
        <f t="shared" si="154"/>
        <v>45341.5</v>
      </c>
      <c r="L88" s="38">
        <f t="shared" si="154"/>
        <v>45524</v>
      </c>
      <c r="M88" s="38">
        <f t="shared" si="154"/>
        <v>45706.5</v>
      </c>
      <c r="N88" s="38">
        <f t="shared" si="154"/>
        <v>45889</v>
      </c>
      <c r="O88" s="38">
        <f t="shared" si="154"/>
        <v>46071.5</v>
      </c>
      <c r="P88" s="38">
        <f t="shared" si="154"/>
        <v>46254</v>
      </c>
      <c r="Q88" s="38">
        <f t="shared" si="154"/>
        <v>46436.5</v>
      </c>
      <c r="R88" s="38">
        <f t="shared" si="154"/>
        <v>46619</v>
      </c>
      <c r="S88" s="38">
        <f t="shared" si="154"/>
        <v>46801.5</v>
      </c>
      <c r="T88" s="38">
        <f t="shared" si="154"/>
        <v>46984</v>
      </c>
      <c r="U88" s="38">
        <f t="shared" si="154"/>
        <v>47166.5</v>
      </c>
      <c r="V88" s="38">
        <f t="shared" si="154"/>
        <v>47349</v>
      </c>
      <c r="W88" s="38">
        <f t="shared" si="154"/>
        <v>47531.5</v>
      </c>
      <c r="X88" s="38">
        <f t="shared" si="154"/>
        <v>47714</v>
      </c>
      <c r="Y88" s="38">
        <f t="shared" si="154"/>
        <v>47896.5</v>
      </c>
      <c r="Z88" s="38">
        <f t="shared" si="154"/>
        <v>48079</v>
      </c>
      <c r="AA88" s="38">
        <f t="shared" si="154"/>
        <v>48261.5</v>
      </c>
      <c r="AB88" s="38">
        <f t="shared" si="154"/>
        <v>48444</v>
      </c>
      <c r="AC88" s="38">
        <f t="shared" si="154"/>
        <v>48626.5</v>
      </c>
      <c r="AD88" s="38">
        <f t="shared" si="154"/>
        <v>48809</v>
      </c>
      <c r="AE88" s="38">
        <f t="shared" si="154"/>
        <v>48991.5</v>
      </c>
      <c r="AF88" s="38">
        <f t="shared" si="154"/>
        <v>49174</v>
      </c>
      <c r="AG88" s="38">
        <f t="shared" si="154"/>
        <v>49356.5</v>
      </c>
      <c r="AH88" s="38">
        <f t="shared" si="154"/>
        <v>49539</v>
      </c>
      <c r="AI88" s="38">
        <f t="shared" ref="AI88:BN88" si="155">AH88+IF($G26=1,365,182.5)</f>
        <v>49721.5</v>
      </c>
      <c r="AJ88" s="38">
        <f t="shared" si="155"/>
        <v>49904</v>
      </c>
      <c r="AK88" s="38">
        <f t="shared" si="155"/>
        <v>50086.5</v>
      </c>
      <c r="AL88" s="38">
        <f t="shared" si="155"/>
        <v>50269</v>
      </c>
      <c r="AM88" s="38">
        <f t="shared" si="155"/>
        <v>50451.5</v>
      </c>
      <c r="AN88" s="38">
        <f t="shared" si="155"/>
        <v>50634</v>
      </c>
      <c r="AO88" s="38">
        <f t="shared" si="155"/>
        <v>50816.5</v>
      </c>
      <c r="AP88" s="38">
        <f t="shared" si="155"/>
        <v>50999</v>
      </c>
      <c r="AQ88" s="38">
        <f t="shared" si="155"/>
        <v>51181.5</v>
      </c>
      <c r="AR88" s="38">
        <f t="shared" si="155"/>
        <v>51364</v>
      </c>
      <c r="AS88" s="38">
        <f t="shared" si="155"/>
        <v>51546.5</v>
      </c>
      <c r="AT88" s="38">
        <f t="shared" si="155"/>
        <v>51729</v>
      </c>
      <c r="AU88" s="38">
        <f t="shared" si="155"/>
        <v>51911.5</v>
      </c>
      <c r="AV88" s="38">
        <f t="shared" si="155"/>
        <v>52094</v>
      </c>
      <c r="AW88" s="38">
        <f t="shared" si="155"/>
        <v>52276.5</v>
      </c>
      <c r="AX88" s="38">
        <f t="shared" si="155"/>
        <v>52459</v>
      </c>
      <c r="AY88" s="38">
        <f t="shared" si="155"/>
        <v>52641.5</v>
      </c>
      <c r="AZ88" s="38">
        <f t="shared" si="155"/>
        <v>52824</v>
      </c>
      <c r="BA88" s="38">
        <f t="shared" si="155"/>
        <v>53006.5</v>
      </c>
      <c r="BB88" s="38">
        <f t="shared" si="155"/>
        <v>53189</v>
      </c>
      <c r="BC88" s="38">
        <f t="shared" si="155"/>
        <v>53371.5</v>
      </c>
      <c r="BD88" s="38">
        <f t="shared" si="155"/>
        <v>53554</v>
      </c>
      <c r="BE88" s="38">
        <f t="shared" si="155"/>
        <v>53736.5</v>
      </c>
      <c r="BF88" s="38">
        <f t="shared" si="155"/>
        <v>53919</v>
      </c>
      <c r="BG88" s="38">
        <f t="shared" si="155"/>
        <v>54101.5</v>
      </c>
      <c r="BH88" s="38">
        <f t="shared" si="155"/>
        <v>54284</v>
      </c>
      <c r="BI88" s="38">
        <f t="shared" si="155"/>
        <v>54466.5</v>
      </c>
      <c r="BJ88" s="38">
        <f t="shared" si="155"/>
        <v>54649</v>
      </c>
      <c r="BK88" s="38">
        <f t="shared" si="155"/>
        <v>54831.5</v>
      </c>
      <c r="BL88" s="38">
        <f t="shared" si="155"/>
        <v>55014</v>
      </c>
      <c r="BM88" s="38">
        <f t="shared" si="155"/>
        <v>55196.5</v>
      </c>
      <c r="BN88" s="38">
        <f t="shared" si="155"/>
        <v>55379</v>
      </c>
      <c r="BO88" s="38">
        <f t="shared" ref="BO88:CB88" si="156">BN88+IF($G26=1,365,182.5)</f>
        <v>55561.5</v>
      </c>
      <c r="BP88" s="38">
        <f t="shared" si="156"/>
        <v>55744</v>
      </c>
      <c r="BQ88" s="38">
        <f t="shared" si="156"/>
        <v>55926.5</v>
      </c>
      <c r="BR88" s="38">
        <f t="shared" si="156"/>
        <v>56109</v>
      </c>
      <c r="BS88" s="38">
        <f t="shared" si="156"/>
        <v>56291.5</v>
      </c>
      <c r="BT88" s="38">
        <f t="shared" si="156"/>
        <v>56474</v>
      </c>
      <c r="BU88" s="38">
        <f t="shared" si="156"/>
        <v>56656.5</v>
      </c>
      <c r="BV88" s="38">
        <f t="shared" si="156"/>
        <v>56839</v>
      </c>
      <c r="BW88" s="38">
        <f t="shared" si="156"/>
        <v>57021.5</v>
      </c>
      <c r="BX88" s="38">
        <f t="shared" si="156"/>
        <v>57204</v>
      </c>
      <c r="BY88" s="38">
        <f t="shared" si="156"/>
        <v>57386.5</v>
      </c>
      <c r="BZ88" s="38">
        <f t="shared" si="156"/>
        <v>57569</v>
      </c>
      <c r="CA88" s="38">
        <f t="shared" si="156"/>
        <v>57751.5</v>
      </c>
      <c r="CB88" s="39">
        <f t="shared" si="156"/>
        <v>57934</v>
      </c>
      <c r="CF88" s="10"/>
      <c r="CG88" s="10"/>
      <c r="CH88" s="10"/>
      <c r="CI88" s="10"/>
      <c r="CJ88" s="10"/>
      <c r="CK88" s="10"/>
      <c r="CL88" s="10"/>
      <c r="CM88" s="10"/>
      <c r="CN88" s="10"/>
      <c r="CO88" s="10"/>
      <c r="CP88" s="10"/>
      <c r="CQ88" s="10"/>
      <c r="CR88" s="10"/>
      <c r="CS88" s="10"/>
      <c r="CT88" s="10"/>
      <c r="CU88" s="10"/>
      <c r="CV88" s="10"/>
      <c r="CW88" s="10"/>
      <c r="CX88" s="10"/>
      <c r="CY88" s="10"/>
      <c r="CZ88" s="10"/>
      <c r="DA88" s="10"/>
      <c r="DB88" s="10"/>
      <c r="DC88" s="10"/>
      <c r="DD88" s="10"/>
      <c r="DE88" s="10"/>
      <c r="DF88" s="10"/>
      <c r="DG88" s="10"/>
      <c r="DH88" s="10"/>
      <c r="DI88" s="10"/>
      <c r="DJ88" s="10"/>
      <c r="DK88" s="10"/>
    </row>
    <row r="89" spans="1:115">
      <c r="A89" s="23" t="s">
        <v>129</v>
      </c>
      <c r="B89" s="106">
        <f>(IF(B88=F26,100,0)+IF(G26=1,1,0.5)*J26*100)*IF(ISBLANK(F26)=TRUE,0,1)</f>
        <v>1.2450000000000001</v>
      </c>
      <c r="C89" s="40">
        <f>IF(C88&gt;$F26+2,0,1)*(IF(D89=0,100,0)+IF($G26=1,1,0.5)*$J26*100)</f>
        <v>1.2450000000000001</v>
      </c>
      <c r="D89" s="40">
        <f t="shared" ref="D89:E89" si="157">IF(D88&gt;$F26+2,0,1)*(IF(E89=0,100,0)+IF($G26=1,1,0.5)*$J26*100)</f>
        <v>1.2450000000000001</v>
      </c>
      <c r="E89" s="40">
        <f t="shared" si="157"/>
        <v>1.2450000000000001</v>
      </c>
      <c r="F89" s="40">
        <f t="shared" ref="F89:AK89" si="158">IF(F88&gt;$F26+1,0,1)*(IF(G89=0,100,0)+IF($G26=1,1,0.5)*$J26*100)</f>
        <v>1.2450000000000001</v>
      </c>
      <c r="G89" s="40">
        <f t="shared" si="158"/>
        <v>1.2450000000000001</v>
      </c>
      <c r="H89" s="40">
        <f t="shared" si="158"/>
        <v>1.2450000000000001</v>
      </c>
      <c r="I89" s="40">
        <f t="shared" si="158"/>
        <v>1.2450000000000001</v>
      </c>
      <c r="J89" s="40">
        <f t="shared" si="158"/>
        <v>1.2450000000000001</v>
      </c>
      <c r="K89" s="40">
        <f t="shared" si="158"/>
        <v>1.2450000000000001</v>
      </c>
      <c r="L89" s="40">
        <f t="shared" si="158"/>
        <v>1.2450000000000001</v>
      </c>
      <c r="M89" s="40">
        <f t="shared" si="158"/>
        <v>1.2450000000000001</v>
      </c>
      <c r="N89" s="40">
        <f t="shared" si="158"/>
        <v>1.2450000000000001</v>
      </c>
      <c r="O89" s="40">
        <f t="shared" si="158"/>
        <v>1.2450000000000001</v>
      </c>
      <c r="P89" s="40">
        <f t="shared" si="158"/>
        <v>1.2450000000000001</v>
      </c>
      <c r="Q89" s="40">
        <f t="shared" si="158"/>
        <v>1.2450000000000001</v>
      </c>
      <c r="R89" s="40">
        <f t="shared" si="158"/>
        <v>1.2450000000000001</v>
      </c>
      <c r="S89" s="40">
        <f t="shared" si="158"/>
        <v>1.2450000000000001</v>
      </c>
      <c r="T89" s="40">
        <f t="shared" si="158"/>
        <v>101.245</v>
      </c>
      <c r="U89" s="40">
        <f t="shared" si="158"/>
        <v>0</v>
      </c>
      <c r="V89" s="40">
        <f t="shared" si="158"/>
        <v>0</v>
      </c>
      <c r="W89" s="40">
        <f t="shared" si="158"/>
        <v>0</v>
      </c>
      <c r="X89" s="40">
        <f t="shared" si="158"/>
        <v>0</v>
      </c>
      <c r="Y89" s="40">
        <f t="shared" si="158"/>
        <v>0</v>
      </c>
      <c r="Z89" s="40">
        <f t="shared" si="158"/>
        <v>0</v>
      </c>
      <c r="AA89" s="40">
        <f t="shared" si="158"/>
        <v>0</v>
      </c>
      <c r="AB89" s="40">
        <f t="shared" si="158"/>
        <v>0</v>
      </c>
      <c r="AC89" s="40">
        <f t="shared" si="158"/>
        <v>0</v>
      </c>
      <c r="AD89" s="40">
        <f t="shared" si="158"/>
        <v>0</v>
      </c>
      <c r="AE89" s="40">
        <f t="shared" si="158"/>
        <v>0</v>
      </c>
      <c r="AF89" s="40">
        <f t="shared" si="158"/>
        <v>0</v>
      </c>
      <c r="AG89" s="40">
        <f t="shared" si="158"/>
        <v>0</v>
      </c>
      <c r="AH89" s="40">
        <f t="shared" si="158"/>
        <v>0</v>
      </c>
      <c r="AI89" s="40">
        <f t="shared" si="158"/>
        <v>0</v>
      </c>
      <c r="AJ89" s="40">
        <f t="shared" si="158"/>
        <v>0</v>
      </c>
      <c r="AK89" s="40">
        <f t="shared" si="158"/>
        <v>0</v>
      </c>
      <c r="AL89" s="40">
        <f t="shared" ref="AL89:BQ89" si="159">IF(AL88&gt;$F26+1,0,1)*(IF(AM89=0,100,0)+IF($G26=1,1,0.5)*$J26*100)</f>
        <v>0</v>
      </c>
      <c r="AM89" s="40">
        <f t="shared" si="159"/>
        <v>0</v>
      </c>
      <c r="AN89" s="40">
        <f t="shared" si="159"/>
        <v>0</v>
      </c>
      <c r="AO89" s="40">
        <f t="shared" si="159"/>
        <v>0</v>
      </c>
      <c r="AP89" s="40">
        <f t="shared" si="159"/>
        <v>0</v>
      </c>
      <c r="AQ89" s="40">
        <f t="shared" si="159"/>
        <v>0</v>
      </c>
      <c r="AR89" s="40">
        <f t="shared" si="159"/>
        <v>0</v>
      </c>
      <c r="AS89" s="40">
        <f t="shared" si="159"/>
        <v>0</v>
      </c>
      <c r="AT89" s="40">
        <f t="shared" si="159"/>
        <v>0</v>
      </c>
      <c r="AU89" s="40">
        <f t="shared" si="159"/>
        <v>0</v>
      </c>
      <c r="AV89" s="40">
        <f t="shared" si="159"/>
        <v>0</v>
      </c>
      <c r="AW89" s="40">
        <f t="shared" si="159"/>
        <v>0</v>
      </c>
      <c r="AX89" s="40">
        <f t="shared" si="159"/>
        <v>0</v>
      </c>
      <c r="AY89" s="40">
        <f t="shared" si="159"/>
        <v>0</v>
      </c>
      <c r="AZ89" s="40">
        <f t="shared" si="159"/>
        <v>0</v>
      </c>
      <c r="BA89" s="40">
        <f t="shared" si="159"/>
        <v>0</v>
      </c>
      <c r="BB89" s="40">
        <f t="shared" si="159"/>
        <v>0</v>
      </c>
      <c r="BC89" s="40">
        <f t="shared" si="159"/>
        <v>0</v>
      </c>
      <c r="BD89" s="40">
        <f t="shared" si="159"/>
        <v>0</v>
      </c>
      <c r="BE89" s="40">
        <f t="shared" si="159"/>
        <v>0</v>
      </c>
      <c r="BF89" s="40">
        <f t="shared" si="159"/>
        <v>0</v>
      </c>
      <c r="BG89" s="40">
        <f t="shared" si="159"/>
        <v>0</v>
      </c>
      <c r="BH89" s="40">
        <f t="shared" si="159"/>
        <v>0</v>
      </c>
      <c r="BI89" s="40">
        <f t="shared" si="159"/>
        <v>0</v>
      </c>
      <c r="BJ89" s="40">
        <f t="shared" si="159"/>
        <v>0</v>
      </c>
      <c r="BK89" s="40">
        <f t="shared" si="159"/>
        <v>0</v>
      </c>
      <c r="BL89" s="40">
        <f t="shared" si="159"/>
        <v>0</v>
      </c>
      <c r="BM89" s="40">
        <f t="shared" si="159"/>
        <v>0</v>
      </c>
      <c r="BN89" s="40">
        <f t="shared" si="159"/>
        <v>0</v>
      </c>
      <c r="BO89" s="40">
        <f t="shared" si="159"/>
        <v>0</v>
      </c>
      <c r="BP89" s="40">
        <f t="shared" si="159"/>
        <v>0</v>
      </c>
      <c r="BQ89" s="40">
        <f t="shared" si="159"/>
        <v>0</v>
      </c>
      <c r="BR89" s="40">
        <f t="shared" ref="BR89:CB89" si="160">IF(BR88&gt;$F26+1,0,1)*(IF(BS89=0,100,0)+IF($G26=1,1,0.5)*$J26*100)</f>
        <v>0</v>
      </c>
      <c r="BS89" s="40">
        <f t="shared" si="160"/>
        <v>0</v>
      </c>
      <c r="BT89" s="40">
        <f t="shared" si="160"/>
        <v>0</v>
      </c>
      <c r="BU89" s="40">
        <f t="shared" si="160"/>
        <v>0</v>
      </c>
      <c r="BV89" s="40">
        <f t="shared" si="160"/>
        <v>0</v>
      </c>
      <c r="BW89" s="40">
        <f t="shared" si="160"/>
        <v>0</v>
      </c>
      <c r="BX89" s="40">
        <f t="shared" si="160"/>
        <v>0</v>
      </c>
      <c r="BY89" s="40">
        <f t="shared" si="160"/>
        <v>0</v>
      </c>
      <c r="BZ89" s="40">
        <f t="shared" si="160"/>
        <v>0</v>
      </c>
      <c r="CA89" s="40">
        <f t="shared" si="160"/>
        <v>0</v>
      </c>
      <c r="CB89" s="41">
        <f t="shared" si="160"/>
        <v>0</v>
      </c>
      <c r="CF89" s="10"/>
      <c r="CG89" s="10"/>
      <c r="CH89" s="10"/>
      <c r="CI89" s="10"/>
      <c r="CJ89" s="10"/>
      <c r="CK89" s="10"/>
      <c r="CL89" s="10"/>
      <c r="CM89" s="10"/>
      <c r="CN89" s="10"/>
      <c r="CO89" s="10"/>
      <c r="CP89" s="10"/>
      <c r="CQ89" s="10"/>
      <c r="CR89" s="10"/>
      <c r="CS89" s="10"/>
      <c r="CT89" s="10"/>
      <c r="CU89" s="10"/>
      <c r="CV89" s="10"/>
      <c r="CW89" s="10"/>
      <c r="CX89" s="10"/>
      <c r="CY89" s="10"/>
      <c r="CZ89" s="10"/>
      <c r="DA89" s="10"/>
      <c r="DB89" s="10"/>
      <c r="DC89" s="10"/>
      <c r="DD89" s="10"/>
      <c r="DE89" s="10"/>
      <c r="DF89" s="10"/>
      <c r="DG89" s="10"/>
      <c r="DH89" s="10"/>
      <c r="DI89" s="10"/>
      <c r="DJ89" s="10"/>
      <c r="DK89" s="10"/>
    </row>
    <row r="90" spans="1:115">
      <c r="A90" s="520" t="s">
        <v>49</v>
      </c>
      <c r="B90" s="79">
        <f>IF(E27=0,F27,E27)</f>
        <v>0</v>
      </c>
      <c r="C90" s="80">
        <f t="shared" ref="C90:AH90" si="161">B90+IF($G27=1,365,182.5)</f>
        <v>182.5</v>
      </c>
      <c r="D90" s="80">
        <f t="shared" si="161"/>
        <v>365</v>
      </c>
      <c r="E90" s="80">
        <f t="shared" si="161"/>
        <v>547.5</v>
      </c>
      <c r="F90" s="80">
        <f t="shared" si="161"/>
        <v>730</v>
      </c>
      <c r="G90" s="80">
        <f t="shared" si="161"/>
        <v>912.5</v>
      </c>
      <c r="H90" s="80">
        <f t="shared" si="161"/>
        <v>1095</v>
      </c>
      <c r="I90" s="80">
        <f t="shared" si="161"/>
        <v>1277.5</v>
      </c>
      <c r="J90" s="80">
        <f t="shared" si="161"/>
        <v>1460</v>
      </c>
      <c r="K90" s="80">
        <f t="shared" si="161"/>
        <v>1642.5</v>
      </c>
      <c r="L90" s="80">
        <f t="shared" si="161"/>
        <v>1825</v>
      </c>
      <c r="M90" s="80">
        <f t="shared" si="161"/>
        <v>2007.5</v>
      </c>
      <c r="N90" s="80">
        <f t="shared" si="161"/>
        <v>2190</v>
      </c>
      <c r="O90" s="80">
        <f t="shared" si="161"/>
        <v>2372.5</v>
      </c>
      <c r="P90" s="80">
        <f t="shared" si="161"/>
        <v>2555</v>
      </c>
      <c r="Q90" s="80">
        <f t="shared" si="161"/>
        <v>2737.5</v>
      </c>
      <c r="R90" s="80">
        <f t="shared" si="161"/>
        <v>2920</v>
      </c>
      <c r="S90" s="80">
        <f t="shared" si="161"/>
        <v>3102.5</v>
      </c>
      <c r="T90" s="80">
        <f t="shared" si="161"/>
        <v>3285</v>
      </c>
      <c r="U90" s="80">
        <f t="shared" si="161"/>
        <v>3467.5</v>
      </c>
      <c r="V90" s="80">
        <f t="shared" si="161"/>
        <v>3650</v>
      </c>
      <c r="W90" s="80">
        <f t="shared" si="161"/>
        <v>3832.5</v>
      </c>
      <c r="X90" s="80">
        <f t="shared" si="161"/>
        <v>4015</v>
      </c>
      <c r="Y90" s="80">
        <f t="shared" si="161"/>
        <v>4197.5</v>
      </c>
      <c r="Z90" s="80">
        <f t="shared" si="161"/>
        <v>4380</v>
      </c>
      <c r="AA90" s="80">
        <f t="shared" si="161"/>
        <v>4562.5</v>
      </c>
      <c r="AB90" s="80">
        <f t="shared" si="161"/>
        <v>4745</v>
      </c>
      <c r="AC90" s="80">
        <f t="shared" si="161"/>
        <v>4927.5</v>
      </c>
      <c r="AD90" s="80">
        <f t="shared" si="161"/>
        <v>5110</v>
      </c>
      <c r="AE90" s="80">
        <f t="shared" si="161"/>
        <v>5292.5</v>
      </c>
      <c r="AF90" s="80">
        <f t="shared" si="161"/>
        <v>5475</v>
      </c>
      <c r="AG90" s="80">
        <f t="shared" si="161"/>
        <v>5657.5</v>
      </c>
      <c r="AH90" s="80">
        <f t="shared" si="161"/>
        <v>5840</v>
      </c>
      <c r="AI90" s="80">
        <f t="shared" ref="AI90:BN90" si="162">AH90+IF($G27=1,365,182.5)</f>
        <v>6022.5</v>
      </c>
      <c r="AJ90" s="80">
        <f t="shared" si="162"/>
        <v>6205</v>
      </c>
      <c r="AK90" s="80">
        <f t="shared" si="162"/>
        <v>6387.5</v>
      </c>
      <c r="AL90" s="80">
        <f t="shared" si="162"/>
        <v>6570</v>
      </c>
      <c r="AM90" s="80">
        <f t="shared" si="162"/>
        <v>6752.5</v>
      </c>
      <c r="AN90" s="80">
        <f t="shared" si="162"/>
        <v>6935</v>
      </c>
      <c r="AO90" s="80">
        <f t="shared" si="162"/>
        <v>7117.5</v>
      </c>
      <c r="AP90" s="80">
        <f t="shared" si="162"/>
        <v>7300</v>
      </c>
      <c r="AQ90" s="80">
        <f t="shared" si="162"/>
        <v>7482.5</v>
      </c>
      <c r="AR90" s="80">
        <f t="shared" si="162"/>
        <v>7665</v>
      </c>
      <c r="AS90" s="80">
        <f t="shared" si="162"/>
        <v>7847.5</v>
      </c>
      <c r="AT90" s="80">
        <f t="shared" si="162"/>
        <v>8030</v>
      </c>
      <c r="AU90" s="80">
        <f t="shared" si="162"/>
        <v>8212.5</v>
      </c>
      <c r="AV90" s="80">
        <f t="shared" si="162"/>
        <v>8395</v>
      </c>
      <c r="AW90" s="80">
        <f t="shared" si="162"/>
        <v>8577.5</v>
      </c>
      <c r="AX90" s="80">
        <f t="shared" si="162"/>
        <v>8760</v>
      </c>
      <c r="AY90" s="80">
        <f t="shared" si="162"/>
        <v>8942.5</v>
      </c>
      <c r="AZ90" s="80">
        <f t="shared" si="162"/>
        <v>9125</v>
      </c>
      <c r="BA90" s="80">
        <f t="shared" si="162"/>
        <v>9307.5</v>
      </c>
      <c r="BB90" s="80">
        <f t="shared" si="162"/>
        <v>9490</v>
      </c>
      <c r="BC90" s="80">
        <f t="shared" si="162"/>
        <v>9672.5</v>
      </c>
      <c r="BD90" s="80">
        <f t="shared" si="162"/>
        <v>9855</v>
      </c>
      <c r="BE90" s="80">
        <f t="shared" si="162"/>
        <v>10037.5</v>
      </c>
      <c r="BF90" s="80">
        <f t="shared" si="162"/>
        <v>10220</v>
      </c>
      <c r="BG90" s="80">
        <f t="shared" si="162"/>
        <v>10402.5</v>
      </c>
      <c r="BH90" s="80">
        <f t="shared" si="162"/>
        <v>10585</v>
      </c>
      <c r="BI90" s="80">
        <f t="shared" si="162"/>
        <v>10767.5</v>
      </c>
      <c r="BJ90" s="80">
        <f t="shared" si="162"/>
        <v>10950</v>
      </c>
      <c r="BK90" s="80">
        <f t="shared" si="162"/>
        <v>11132.5</v>
      </c>
      <c r="BL90" s="80">
        <f t="shared" si="162"/>
        <v>11315</v>
      </c>
      <c r="BM90" s="80">
        <f t="shared" si="162"/>
        <v>11497.5</v>
      </c>
      <c r="BN90" s="80">
        <f t="shared" si="162"/>
        <v>11680</v>
      </c>
      <c r="BO90" s="80">
        <f t="shared" ref="BO90:CB90" si="163">BN90+IF($G27=1,365,182.5)</f>
        <v>11862.5</v>
      </c>
      <c r="BP90" s="80">
        <f t="shared" si="163"/>
        <v>12045</v>
      </c>
      <c r="BQ90" s="80">
        <f t="shared" si="163"/>
        <v>12227.5</v>
      </c>
      <c r="BR90" s="80">
        <f t="shared" si="163"/>
        <v>12410</v>
      </c>
      <c r="BS90" s="80">
        <f t="shared" si="163"/>
        <v>12592.5</v>
      </c>
      <c r="BT90" s="80">
        <f t="shared" si="163"/>
        <v>12775</v>
      </c>
      <c r="BU90" s="80">
        <f t="shared" si="163"/>
        <v>12957.5</v>
      </c>
      <c r="BV90" s="80">
        <f t="shared" si="163"/>
        <v>13140</v>
      </c>
      <c r="BW90" s="80">
        <f t="shared" si="163"/>
        <v>13322.5</v>
      </c>
      <c r="BX90" s="80">
        <f t="shared" si="163"/>
        <v>13505</v>
      </c>
      <c r="BY90" s="80">
        <f t="shared" si="163"/>
        <v>13687.5</v>
      </c>
      <c r="BZ90" s="80">
        <f t="shared" si="163"/>
        <v>13870</v>
      </c>
      <c r="CA90" s="80">
        <f t="shared" si="163"/>
        <v>14052.5</v>
      </c>
      <c r="CB90" s="81">
        <f t="shared" si="163"/>
        <v>14235</v>
      </c>
      <c r="CF90" s="10"/>
      <c r="CG90" s="10"/>
      <c r="CH90" s="10"/>
      <c r="CI90" s="10"/>
      <c r="CJ90" s="10"/>
      <c r="CK90" s="10"/>
      <c r="CL90" s="10"/>
      <c r="CM90" s="10"/>
      <c r="CN90" s="10"/>
      <c r="CO90" s="10"/>
      <c r="CP90" s="10"/>
      <c r="CQ90" s="10"/>
      <c r="CR90" s="10"/>
      <c r="CS90" s="10"/>
      <c r="CT90" s="10"/>
      <c r="CU90" s="10"/>
      <c r="CV90" s="10"/>
      <c r="CW90" s="10"/>
      <c r="CX90" s="10"/>
      <c r="CY90" s="10"/>
      <c r="CZ90" s="10"/>
      <c r="DA90" s="10"/>
      <c r="DB90" s="10"/>
      <c r="DC90" s="10"/>
      <c r="DD90" s="10"/>
      <c r="DE90" s="10"/>
      <c r="DF90" s="10"/>
      <c r="DG90" s="10"/>
      <c r="DH90" s="10"/>
      <c r="DI90" s="10"/>
      <c r="DJ90" s="10"/>
      <c r="DK90" s="10"/>
    </row>
    <row r="91" spans="1:115">
      <c r="A91" s="222" t="s">
        <v>130</v>
      </c>
      <c r="B91" s="114">
        <f>(IF(B90=F27,100,0)+IF(G27=1,1,0.5)*J27*100)*IF(ISBLANK(F27)=TRUE,0,1)</f>
        <v>0</v>
      </c>
      <c r="C91" s="82">
        <f>IF(C90&gt;$F27+4,0,1)*(IF(D91=0,100,0)+IF($G27=1,1,0.5)*$J27*100)</f>
        <v>0</v>
      </c>
      <c r="D91" s="82">
        <f t="shared" ref="D91:AH91" si="164">IF(D90&gt;$F27+1,0,1)*(IF(E91=0,100,0)+IF($G27=1,1,0.5)*$J27*100)</f>
        <v>0</v>
      </c>
      <c r="E91" s="82">
        <f t="shared" si="164"/>
        <v>0</v>
      </c>
      <c r="F91" s="82">
        <f t="shared" si="164"/>
        <v>0</v>
      </c>
      <c r="G91" s="82">
        <f t="shared" si="164"/>
        <v>0</v>
      </c>
      <c r="H91" s="82">
        <f t="shared" si="164"/>
        <v>0</v>
      </c>
      <c r="I91" s="82">
        <f t="shared" si="164"/>
        <v>0</v>
      </c>
      <c r="J91" s="82">
        <f t="shared" si="164"/>
        <v>0</v>
      </c>
      <c r="K91" s="82">
        <f t="shared" si="164"/>
        <v>0</v>
      </c>
      <c r="L91" s="82">
        <f t="shared" si="164"/>
        <v>0</v>
      </c>
      <c r="M91" s="82">
        <f t="shared" si="164"/>
        <v>0</v>
      </c>
      <c r="N91" s="82">
        <f t="shared" si="164"/>
        <v>0</v>
      </c>
      <c r="O91" s="82">
        <f t="shared" si="164"/>
        <v>0</v>
      </c>
      <c r="P91" s="82">
        <f t="shared" si="164"/>
        <v>0</v>
      </c>
      <c r="Q91" s="82">
        <f t="shared" si="164"/>
        <v>0</v>
      </c>
      <c r="R91" s="82">
        <f t="shared" si="164"/>
        <v>0</v>
      </c>
      <c r="S91" s="82">
        <f t="shared" si="164"/>
        <v>0</v>
      </c>
      <c r="T91" s="82">
        <f t="shared" si="164"/>
        <v>0</v>
      </c>
      <c r="U91" s="82">
        <f t="shared" si="164"/>
        <v>0</v>
      </c>
      <c r="V91" s="82">
        <f t="shared" si="164"/>
        <v>0</v>
      </c>
      <c r="W91" s="82">
        <f t="shared" si="164"/>
        <v>0</v>
      </c>
      <c r="X91" s="82">
        <f t="shared" si="164"/>
        <v>0</v>
      </c>
      <c r="Y91" s="82">
        <f t="shared" si="164"/>
        <v>0</v>
      </c>
      <c r="Z91" s="82">
        <f t="shared" si="164"/>
        <v>0</v>
      </c>
      <c r="AA91" s="82">
        <f t="shared" si="164"/>
        <v>0</v>
      </c>
      <c r="AB91" s="82">
        <f t="shared" si="164"/>
        <v>0</v>
      </c>
      <c r="AC91" s="82">
        <f t="shared" si="164"/>
        <v>0</v>
      </c>
      <c r="AD91" s="82">
        <f t="shared" si="164"/>
        <v>0</v>
      </c>
      <c r="AE91" s="82">
        <f t="shared" si="164"/>
        <v>0</v>
      </c>
      <c r="AF91" s="82">
        <f t="shared" si="164"/>
        <v>0</v>
      </c>
      <c r="AG91" s="82">
        <f t="shared" si="164"/>
        <v>0</v>
      </c>
      <c r="AH91" s="82">
        <f t="shared" si="164"/>
        <v>0</v>
      </c>
      <c r="AI91" s="82">
        <f t="shared" ref="AI91:BN91" si="165">IF(AI90&gt;$F27+1,0,1)*(IF(AJ91=0,100,0)+IF($G27=1,1,0.5)*$J27*100)</f>
        <v>0</v>
      </c>
      <c r="AJ91" s="82">
        <f t="shared" si="165"/>
        <v>0</v>
      </c>
      <c r="AK91" s="82">
        <f t="shared" si="165"/>
        <v>0</v>
      </c>
      <c r="AL91" s="82">
        <f t="shared" si="165"/>
        <v>0</v>
      </c>
      <c r="AM91" s="82">
        <f t="shared" si="165"/>
        <v>0</v>
      </c>
      <c r="AN91" s="82">
        <f t="shared" si="165"/>
        <v>0</v>
      </c>
      <c r="AO91" s="82">
        <f t="shared" si="165"/>
        <v>0</v>
      </c>
      <c r="AP91" s="82">
        <f t="shared" si="165"/>
        <v>0</v>
      </c>
      <c r="AQ91" s="82">
        <f t="shared" si="165"/>
        <v>0</v>
      </c>
      <c r="AR91" s="82">
        <f t="shared" si="165"/>
        <v>0</v>
      </c>
      <c r="AS91" s="82">
        <f t="shared" si="165"/>
        <v>0</v>
      </c>
      <c r="AT91" s="82">
        <f t="shared" si="165"/>
        <v>0</v>
      </c>
      <c r="AU91" s="82">
        <f t="shared" si="165"/>
        <v>0</v>
      </c>
      <c r="AV91" s="82">
        <f t="shared" si="165"/>
        <v>0</v>
      </c>
      <c r="AW91" s="82">
        <f t="shared" si="165"/>
        <v>0</v>
      </c>
      <c r="AX91" s="82">
        <f t="shared" si="165"/>
        <v>0</v>
      </c>
      <c r="AY91" s="82">
        <f t="shared" si="165"/>
        <v>0</v>
      </c>
      <c r="AZ91" s="82">
        <f t="shared" si="165"/>
        <v>0</v>
      </c>
      <c r="BA91" s="82">
        <f t="shared" si="165"/>
        <v>0</v>
      </c>
      <c r="BB91" s="82">
        <f t="shared" si="165"/>
        <v>0</v>
      </c>
      <c r="BC91" s="82">
        <f t="shared" si="165"/>
        <v>0</v>
      </c>
      <c r="BD91" s="82">
        <f t="shared" si="165"/>
        <v>0</v>
      </c>
      <c r="BE91" s="82">
        <f t="shared" si="165"/>
        <v>0</v>
      </c>
      <c r="BF91" s="82">
        <f t="shared" si="165"/>
        <v>0</v>
      </c>
      <c r="BG91" s="82">
        <f t="shared" si="165"/>
        <v>0</v>
      </c>
      <c r="BH91" s="82">
        <f t="shared" si="165"/>
        <v>0</v>
      </c>
      <c r="BI91" s="82">
        <f t="shared" si="165"/>
        <v>0</v>
      </c>
      <c r="BJ91" s="82">
        <f t="shared" si="165"/>
        <v>0</v>
      </c>
      <c r="BK91" s="82">
        <f t="shared" si="165"/>
        <v>0</v>
      </c>
      <c r="BL91" s="82">
        <f t="shared" si="165"/>
        <v>0</v>
      </c>
      <c r="BM91" s="82">
        <f t="shared" si="165"/>
        <v>0</v>
      </c>
      <c r="BN91" s="82">
        <f t="shared" si="165"/>
        <v>0</v>
      </c>
      <c r="BO91" s="82">
        <f t="shared" ref="BO91:CB91" si="166">IF(BO90&gt;$F27+1,0,1)*(IF(BP91=0,100,0)+IF($G27=1,1,0.5)*$J27*100)</f>
        <v>0</v>
      </c>
      <c r="BP91" s="82">
        <f t="shared" si="166"/>
        <v>0</v>
      </c>
      <c r="BQ91" s="82">
        <f t="shared" si="166"/>
        <v>0</v>
      </c>
      <c r="BR91" s="82">
        <f t="shared" si="166"/>
        <v>0</v>
      </c>
      <c r="BS91" s="82">
        <f t="shared" si="166"/>
        <v>0</v>
      </c>
      <c r="BT91" s="82">
        <f t="shared" si="166"/>
        <v>0</v>
      </c>
      <c r="BU91" s="82">
        <f t="shared" si="166"/>
        <v>0</v>
      </c>
      <c r="BV91" s="82">
        <f t="shared" si="166"/>
        <v>0</v>
      </c>
      <c r="BW91" s="82">
        <f t="shared" si="166"/>
        <v>0</v>
      </c>
      <c r="BX91" s="82">
        <f t="shared" si="166"/>
        <v>0</v>
      </c>
      <c r="BY91" s="82">
        <f t="shared" si="166"/>
        <v>0</v>
      </c>
      <c r="BZ91" s="82">
        <f t="shared" si="166"/>
        <v>0</v>
      </c>
      <c r="CA91" s="82">
        <f t="shared" si="166"/>
        <v>0</v>
      </c>
      <c r="CB91" s="83">
        <f t="shared" si="166"/>
        <v>0</v>
      </c>
      <c r="CF91" s="10"/>
      <c r="CG91" s="10"/>
      <c r="CH91" s="10"/>
      <c r="CI91" s="10"/>
      <c r="CJ91" s="10"/>
      <c r="CK91" s="10"/>
      <c r="CL91" s="10"/>
      <c r="CM91" s="10"/>
      <c r="CN91" s="10"/>
      <c r="CO91" s="10"/>
      <c r="CP91" s="10"/>
      <c r="CQ91" s="10"/>
      <c r="CR91" s="10"/>
      <c r="CS91" s="10"/>
      <c r="CT91" s="10"/>
      <c r="CU91" s="10"/>
      <c r="CV91" s="10"/>
      <c r="CW91" s="10"/>
      <c r="CX91" s="10"/>
      <c r="CY91" s="10"/>
      <c r="CZ91" s="10"/>
      <c r="DA91" s="10"/>
      <c r="DB91" s="10"/>
      <c r="DC91" s="10"/>
      <c r="DD91" s="10"/>
      <c r="DE91" s="10"/>
      <c r="DF91" s="10"/>
      <c r="DG91" s="10"/>
      <c r="DH91" s="10"/>
      <c r="DI91" s="10"/>
      <c r="DJ91" s="10"/>
      <c r="DK91" s="10"/>
    </row>
    <row r="92" spans="1:115">
      <c r="A92" s="660" t="s">
        <v>49</v>
      </c>
      <c r="B92" s="661" t="str">
        <f>IF(E28=0,F28,E28)</f>
        <v>12/2/2019</v>
      </c>
      <c r="C92" s="662">
        <f>B92+IF($G28=1,365,182.5)</f>
        <v>43983.5</v>
      </c>
      <c r="D92" s="662">
        <f t="shared" ref="D92:F92" si="167">C92+IF($G28=1,365,182.5)</f>
        <v>44166</v>
      </c>
      <c r="E92" s="662">
        <f t="shared" si="167"/>
        <v>44348.5</v>
      </c>
      <c r="F92" s="662">
        <f t="shared" si="167"/>
        <v>44531</v>
      </c>
      <c r="G92" s="662">
        <f t="shared" ref="G92:BR92" si="168">F92+IF($G28=1,365,182.5)</f>
        <v>44713.5</v>
      </c>
      <c r="H92" s="662">
        <f t="shared" si="168"/>
        <v>44896</v>
      </c>
      <c r="I92" s="662">
        <f t="shared" si="168"/>
        <v>45078.5</v>
      </c>
      <c r="J92" s="662">
        <f t="shared" si="168"/>
        <v>45261</v>
      </c>
      <c r="K92" s="662">
        <f t="shared" si="168"/>
        <v>45443.5</v>
      </c>
      <c r="L92" s="662">
        <f t="shared" si="168"/>
        <v>45626</v>
      </c>
      <c r="M92" s="662">
        <f t="shared" si="168"/>
        <v>45808.5</v>
      </c>
      <c r="N92" s="662">
        <f t="shared" si="168"/>
        <v>45991</v>
      </c>
      <c r="O92" s="662">
        <f t="shared" si="168"/>
        <v>46173.5</v>
      </c>
      <c r="P92" s="662">
        <f t="shared" si="168"/>
        <v>46356</v>
      </c>
      <c r="Q92" s="662">
        <f t="shared" si="168"/>
        <v>46538.5</v>
      </c>
      <c r="R92" s="662">
        <f t="shared" si="168"/>
        <v>46721</v>
      </c>
      <c r="S92" s="662">
        <f t="shared" si="168"/>
        <v>46903.5</v>
      </c>
      <c r="T92" s="662">
        <f t="shared" si="168"/>
        <v>47086</v>
      </c>
      <c r="U92" s="662">
        <f t="shared" si="168"/>
        <v>47268.5</v>
      </c>
      <c r="V92" s="662">
        <f t="shared" si="168"/>
        <v>47451</v>
      </c>
      <c r="W92" s="662">
        <f t="shared" si="168"/>
        <v>47633.5</v>
      </c>
      <c r="X92" s="662">
        <f t="shared" si="168"/>
        <v>47816</v>
      </c>
      <c r="Y92" s="662">
        <f t="shared" si="168"/>
        <v>47998.5</v>
      </c>
      <c r="Z92" s="662">
        <f t="shared" si="168"/>
        <v>48181</v>
      </c>
      <c r="AA92" s="662">
        <f t="shared" si="168"/>
        <v>48363.5</v>
      </c>
      <c r="AB92" s="662">
        <f t="shared" si="168"/>
        <v>48546</v>
      </c>
      <c r="AC92" s="662">
        <f t="shared" si="168"/>
        <v>48728.5</v>
      </c>
      <c r="AD92" s="662">
        <f t="shared" si="168"/>
        <v>48911</v>
      </c>
      <c r="AE92" s="662">
        <f t="shared" si="168"/>
        <v>49093.5</v>
      </c>
      <c r="AF92" s="662">
        <f t="shared" si="168"/>
        <v>49276</v>
      </c>
      <c r="AG92" s="662">
        <f t="shared" si="168"/>
        <v>49458.5</v>
      </c>
      <c r="AH92" s="662">
        <f t="shared" si="168"/>
        <v>49641</v>
      </c>
      <c r="AI92" s="662">
        <f t="shared" si="168"/>
        <v>49823.5</v>
      </c>
      <c r="AJ92" s="662">
        <f t="shared" si="168"/>
        <v>50006</v>
      </c>
      <c r="AK92" s="662">
        <f t="shared" si="168"/>
        <v>50188.5</v>
      </c>
      <c r="AL92" s="662">
        <f t="shared" si="168"/>
        <v>50371</v>
      </c>
      <c r="AM92" s="662">
        <f t="shared" si="168"/>
        <v>50553.5</v>
      </c>
      <c r="AN92" s="662">
        <f t="shared" si="168"/>
        <v>50736</v>
      </c>
      <c r="AO92" s="662">
        <f t="shared" si="168"/>
        <v>50918.5</v>
      </c>
      <c r="AP92" s="662">
        <f t="shared" si="168"/>
        <v>51101</v>
      </c>
      <c r="AQ92" s="662">
        <f t="shared" si="168"/>
        <v>51283.5</v>
      </c>
      <c r="AR92" s="662">
        <f t="shared" si="168"/>
        <v>51466</v>
      </c>
      <c r="AS92" s="662">
        <f t="shared" si="168"/>
        <v>51648.5</v>
      </c>
      <c r="AT92" s="662">
        <f t="shared" si="168"/>
        <v>51831</v>
      </c>
      <c r="AU92" s="662">
        <f t="shared" si="168"/>
        <v>52013.5</v>
      </c>
      <c r="AV92" s="662">
        <f t="shared" si="168"/>
        <v>52196</v>
      </c>
      <c r="AW92" s="662">
        <f t="shared" si="168"/>
        <v>52378.5</v>
      </c>
      <c r="AX92" s="662">
        <f t="shared" si="168"/>
        <v>52561</v>
      </c>
      <c r="AY92" s="662">
        <f t="shared" si="168"/>
        <v>52743.5</v>
      </c>
      <c r="AZ92" s="662">
        <f t="shared" si="168"/>
        <v>52926</v>
      </c>
      <c r="BA92" s="662">
        <f t="shared" si="168"/>
        <v>53108.5</v>
      </c>
      <c r="BB92" s="662">
        <f t="shared" si="168"/>
        <v>53291</v>
      </c>
      <c r="BC92" s="662">
        <f t="shared" si="168"/>
        <v>53473.5</v>
      </c>
      <c r="BD92" s="662">
        <f t="shared" si="168"/>
        <v>53656</v>
      </c>
      <c r="BE92" s="662">
        <f t="shared" si="168"/>
        <v>53838.5</v>
      </c>
      <c r="BF92" s="662">
        <f t="shared" si="168"/>
        <v>54021</v>
      </c>
      <c r="BG92" s="662">
        <f t="shared" si="168"/>
        <v>54203.5</v>
      </c>
      <c r="BH92" s="662">
        <f t="shared" si="168"/>
        <v>54386</v>
      </c>
      <c r="BI92" s="662">
        <f t="shared" si="168"/>
        <v>54568.5</v>
      </c>
      <c r="BJ92" s="662">
        <f t="shared" si="168"/>
        <v>54751</v>
      </c>
      <c r="BK92" s="662">
        <f t="shared" si="168"/>
        <v>54933.5</v>
      </c>
      <c r="BL92" s="662">
        <f t="shared" si="168"/>
        <v>55116</v>
      </c>
      <c r="BM92" s="662">
        <f t="shared" si="168"/>
        <v>55298.5</v>
      </c>
      <c r="BN92" s="662">
        <f t="shared" si="168"/>
        <v>55481</v>
      </c>
      <c r="BO92" s="662">
        <f t="shared" si="168"/>
        <v>55663.5</v>
      </c>
      <c r="BP92" s="662">
        <f t="shared" si="168"/>
        <v>55846</v>
      </c>
      <c r="BQ92" s="662">
        <f t="shared" si="168"/>
        <v>56028.5</v>
      </c>
      <c r="BR92" s="662">
        <f t="shared" si="168"/>
        <v>56211</v>
      </c>
      <c r="BS92" s="662">
        <f t="shared" ref="BS92:CB92" si="169">BR92+IF($G28=1,365,182.5)</f>
        <v>56393.5</v>
      </c>
      <c r="BT92" s="662">
        <f t="shared" si="169"/>
        <v>56576</v>
      </c>
      <c r="BU92" s="662">
        <f t="shared" si="169"/>
        <v>56758.5</v>
      </c>
      <c r="BV92" s="662">
        <f t="shared" si="169"/>
        <v>56941</v>
      </c>
      <c r="BW92" s="662">
        <f t="shared" si="169"/>
        <v>57123.5</v>
      </c>
      <c r="BX92" s="662">
        <f t="shared" si="169"/>
        <v>57306</v>
      </c>
      <c r="BY92" s="662">
        <f t="shared" si="169"/>
        <v>57488.5</v>
      </c>
      <c r="BZ92" s="662">
        <f t="shared" si="169"/>
        <v>57671</v>
      </c>
      <c r="CA92" s="662">
        <f t="shared" si="169"/>
        <v>57853.5</v>
      </c>
      <c r="CB92" s="662">
        <f t="shared" si="169"/>
        <v>58036</v>
      </c>
      <c r="CF92" s="10"/>
      <c r="CG92" s="10"/>
      <c r="CH92" s="10"/>
      <c r="CI92" s="10"/>
      <c r="CJ92" s="10"/>
      <c r="CK92" s="10"/>
      <c r="CL92" s="10"/>
      <c r="CM92" s="10"/>
      <c r="CN92" s="10"/>
      <c r="CO92" s="10"/>
      <c r="CP92" s="10"/>
      <c r="CQ92" s="10"/>
      <c r="CR92" s="10"/>
      <c r="CS92" s="10"/>
      <c r="CT92" s="10"/>
      <c r="CU92" s="10"/>
      <c r="CV92" s="10"/>
      <c r="CW92" s="10"/>
      <c r="CX92" s="10"/>
      <c r="CY92" s="10"/>
      <c r="CZ92" s="10"/>
      <c r="DA92" s="10"/>
      <c r="DB92" s="10"/>
      <c r="DC92" s="10"/>
      <c r="DD92" s="10"/>
      <c r="DE92" s="10"/>
      <c r="DF92" s="10"/>
      <c r="DG92" s="10"/>
      <c r="DH92" s="10"/>
      <c r="DI92" s="10"/>
      <c r="DJ92" s="10"/>
      <c r="DK92" s="10"/>
    </row>
    <row r="93" spans="1:115">
      <c r="A93" s="663" t="s">
        <v>225</v>
      </c>
      <c r="B93" s="664">
        <f>(IF(B92=F28,100,0)+IF(G28=1,1,0.5)*J28*100)*IF(ISBLANK(F28)=TRUE,0,1)</f>
        <v>0.97</v>
      </c>
      <c r="C93" s="665">
        <f>IF(C92&gt;$F28+1,0,1)*(IF(D93=0,100,0)+IF($G28=1,1,0.5)*$J28*100)</f>
        <v>0.97</v>
      </c>
      <c r="D93" s="665">
        <f t="shared" ref="D93:F93" si="170">IF(D92&gt;$F28+1,0,1)*(IF(E93=0,100,0)+IF($G28=1,1,0.5)*$J28*100)</f>
        <v>0.97</v>
      </c>
      <c r="E93" s="665">
        <f t="shared" si="170"/>
        <v>0.97</v>
      </c>
      <c r="F93" s="665">
        <f t="shared" si="170"/>
        <v>0.97</v>
      </c>
      <c r="G93" s="665">
        <f t="shared" ref="G93" si="171">IF(G92&gt;$F28+1,0,1)*(IF(H93=0,100,0)+IF($G28=1,1,0.5)*$J28*100)</f>
        <v>0.97</v>
      </c>
      <c r="H93" s="665">
        <f t="shared" ref="H93:I93" si="172">IF(H92&gt;$F28+1,0,1)*(IF(I93=0,100,0)+IF($G28=1,1,0.5)*$J28*100)</f>
        <v>0.97</v>
      </c>
      <c r="I93" s="665">
        <f t="shared" si="172"/>
        <v>0.97</v>
      </c>
      <c r="J93" s="665">
        <f t="shared" ref="J93" si="173">IF(J92&gt;$F28+1,0,1)*(IF(K93=0,100,0)+IF($G28=1,1,0.5)*$J28*100)</f>
        <v>100.97</v>
      </c>
      <c r="K93" s="665">
        <f t="shared" ref="K93:L93" si="174">IF(K92&gt;$F28+1,0,1)*(IF(L93=0,100,0)+IF($G28=1,1,0.5)*$J28*100)</f>
        <v>0</v>
      </c>
      <c r="L93" s="665">
        <f t="shared" si="174"/>
        <v>0</v>
      </c>
      <c r="M93" s="665">
        <f t="shared" ref="M93" si="175">IF(M92&gt;$F28+1,0,1)*(IF(N93=0,100,0)+IF($G28=1,1,0.5)*$J28*100)</f>
        <v>0</v>
      </c>
      <c r="N93" s="665">
        <f t="shared" ref="N93:O93" si="176">IF(N92&gt;$F28+1,0,1)*(IF(O93=0,100,0)+IF($G28=1,1,0.5)*$J28*100)</f>
        <v>0</v>
      </c>
      <c r="O93" s="665">
        <f t="shared" si="176"/>
        <v>0</v>
      </c>
      <c r="P93" s="665">
        <f t="shared" ref="P93" si="177">IF(P92&gt;$F28+1,0,1)*(IF(Q93=0,100,0)+IF($G28=1,1,0.5)*$J28*100)</f>
        <v>0</v>
      </c>
      <c r="Q93" s="665">
        <f t="shared" ref="Q93:R93" si="178">IF(Q92&gt;$F28+1,0,1)*(IF(R93=0,100,0)+IF($G28=1,1,0.5)*$J28*100)</f>
        <v>0</v>
      </c>
      <c r="R93" s="665">
        <f t="shared" si="178"/>
        <v>0</v>
      </c>
      <c r="S93" s="665">
        <f t="shared" ref="S93" si="179">IF(S92&gt;$F28+1,0,1)*(IF(T93=0,100,0)+IF($G28=1,1,0.5)*$J28*100)</f>
        <v>0</v>
      </c>
      <c r="T93" s="665">
        <f t="shared" ref="T93:U93" si="180">IF(T92&gt;$F28+1,0,1)*(IF(U93=0,100,0)+IF($G28=1,1,0.5)*$J28*100)</f>
        <v>0</v>
      </c>
      <c r="U93" s="665">
        <f t="shared" si="180"/>
        <v>0</v>
      </c>
      <c r="V93" s="665">
        <f t="shared" ref="V93" si="181">IF(V92&gt;$F28+1,0,1)*(IF(W93=0,100,0)+IF($G28=1,1,0.5)*$J28*100)</f>
        <v>0</v>
      </c>
      <c r="W93" s="665">
        <f t="shared" ref="W93:X93" si="182">IF(W92&gt;$F28+1,0,1)*(IF(X93=0,100,0)+IF($G28=1,1,0.5)*$J28*100)</f>
        <v>0</v>
      </c>
      <c r="X93" s="665">
        <f t="shared" si="182"/>
        <v>0</v>
      </c>
      <c r="Y93" s="665">
        <f t="shared" ref="Y93" si="183">IF(Y92&gt;$F28+1,0,1)*(IF(Z93=0,100,0)+IF($G28=1,1,0.5)*$J28*100)</f>
        <v>0</v>
      </c>
      <c r="Z93" s="665">
        <f t="shared" ref="Z93:AA93" si="184">IF(Z92&gt;$F28+1,0,1)*(IF(AA93=0,100,0)+IF($G28=1,1,0.5)*$J28*100)</f>
        <v>0</v>
      </c>
      <c r="AA93" s="665">
        <f t="shared" si="184"/>
        <v>0</v>
      </c>
      <c r="AB93" s="665">
        <f t="shared" ref="AB93" si="185">IF(AB92&gt;$F28+1,0,1)*(IF(AC93=0,100,0)+IF($G28=1,1,0.5)*$J28*100)</f>
        <v>0</v>
      </c>
      <c r="AC93" s="665">
        <f t="shared" ref="AC93:AD93" si="186">IF(AC92&gt;$F28+1,0,1)*(IF(AD93=0,100,0)+IF($G28=1,1,0.5)*$J28*100)</f>
        <v>0</v>
      </c>
      <c r="AD93" s="665">
        <f t="shared" si="186"/>
        <v>0</v>
      </c>
      <c r="AE93" s="665">
        <f t="shared" ref="AE93" si="187">IF(AE92&gt;$F28+1,0,1)*(IF(AF93=0,100,0)+IF($G28=1,1,0.5)*$J28*100)</f>
        <v>0</v>
      </c>
      <c r="AF93" s="665">
        <f t="shared" ref="AF93:AG93" si="188">IF(AF92&gt;$F28+1,0,1)*(IF(AG93=0,100,0)+IF($G28=1,1,0.5)*$J28*100)</f>
        <v>0</v>
      </c>
      <c r="AG93" s="665">
        <f t="shared" si="188"/>
        <v>0</v>
      </c>
      <c r="AH93" s="665">
        <f t="shared" ref="AH93" si="189">IF(AH92&gt;$F28+1,0,1)*(IF(AI93=0,100,0)+IF($G28=1,1,0.5)*$J28*100)</f>
        <v>0</v>
      </c>
      <c r="AI93" s="665">
        <f t="shared" ref="AI93:AJ93" si="190">IF(AI92&gt;$F28+1,0,1)*(IF(AJ93=0,100,0)+IF($G28=1,1,0.5)*$J28*100)</f>
        <v>0</v>
      </c>
      <c r="AJ93" s="665">
        <f t="shared" si="190"/>
        <v>0</v>
      </c>
      <c r="AK93" s="665">
        <f t="shared" ref="AK93" si="191">IF(AK92&gt;$F28+1,0,1)*(IF(AL93=0,100,0)+IF($G28=1,1,0.5)*$J28*100)</f>
        <v>0</v>
      </c>
      <c r="AL93" s="665">
        <f t="shared" ref="AL93:AM93" si="192">IF(AL92&gt;$F28+1,0,1)*(IF(AM93=0,100,0)+IF($G28=1,1,0.5)*$J28*100)</f>
        <v>0</v>
      </c>
      <c r="AM93" s="665">
        <f t="shared" si="192"/>
        <v>0</v>
      </c>
      <c r="AN93" s="665">
        <f t="shared" ref="AN93" si="193">IF(AN92&gt;$F28+1,0,1)*(IF(AO93=0,100,0)+IF($G28=1,1,0.5)*$J28*100)</f>
        <v>0</v>
      </c>
      <c r="AO93" s="665">
        <f t="shared" ref="AO93:AP93" si="194">IF(AO92&gt;$F28+1,0,1)*(IF(AP93=0,100,0)+IF($G28=1,1,0.5)*$J28*100)</f>
        <v>0</v>
      </c>
      <c r="AP93" s="665">
        <f t="shared" si="194"/>
        <v>0</v>
      </c>
      <c r="AQ93" s="665">
        <f t="shared" ref="AQ93" si="195">IF(AQ92&gt;$F28+1,0,1)*(IF(AR93=0,100,0)+IF($G28=1,1,0.5)*$J28*100)</f>
        <v>0</v>
      </c>
      <c r="AR93" s="665">
        <f t="shared" ref="AR93:AS93" si="196">IF(AR92&gt;$F28+1,0,1)*(IF(AS93=0,100,0)+IF($G28=1,1,0.5)*$J28*100)</f>
        <v>0</v>
      </c>
      <c r="AS93" s="665">
        <f t="shared" si="196"/>
        <v>0</v>
      </c>
      <c r="AT93" s="665">
        <f t="shared" ref="AT93" si="197">IF(AT92&gt;$F28+1,0,1)*(IF(AU93=0,100,0)+IF($G28=1,1,0.5)*$J28*100)</f>
        <v>0</v>
      </c>
      <c r="AU93" s="665">
        <f t="shared" ref="AU93:AV93" si="198">IF(AU92&gt;$F28+1,0,1)*(IF(AV93=0,100,0)+IF($G28=1,1,0.5)*$J28*100)</f>
        <v>0</v>
      </c>
      <c r="AV93" s="665">
        <f t="shared" si="198"/>
        <v>0</v>
      </c>
      <c r="AW93" s="665">
        <f t="shared" ref="AW93" si="199">IF(AW92&gt;$F28+1,0,1)*(IF(AX93=0,100,0)+IF($G28=1,1,0.5)*$J28*100)</f>
        <v>0</v>
      </c>
      <c r="AX93" s="665">
        <f t="shared" ref="AX93:AY93" si="200">IF(AX92&gt;$F28+1,0,1)*(IF(AY93=0,100,0)+IF($G28=1,1,0.5)*$J28*100)</f>
        <v>0</v>
      </c>
      <c r="AY93" s="665">
        <f t="shared" si="200"/>
        <v>0</v>
      </c>
      <c r="AZ93" s="665">
        <f t="shared" ref="AZ93" si="201">IF(AZ92&gt;$F28+1,0,1)*(IF(BA93=0,100,0)+IF($G28=1,1,0.5)*$J28*100)</f>
        <v>0</v>
      </c>
      <c r="BA93" s="665">
        <f t="shared" ref="BA93:BB93" si="202">IF(BA92&gt;$F28+1,0,1)*(IF(BB93=0,100,0)+IF($G28=1,1,0.5)*$J28*100)</f>
        <v>0</v>
      </c>
      <c r="BB93" s="665">
        <f t="shared" si="202"/>
        <v>0</v>
      </c>
      <c r="BC93" s="665">
        <f t="shared" ref="BC93" si="203">IF(BC92&gt;$F28+1,0,1)*(IF(BD93=0,100,0)+IF($G28=1,1,0.5)*$J28*100)</f>
        <v>0</v>
      </c>
      <c r="BD93" s="665">
        <f t="shared" ref="BD93:BE93" si="204">IF(BD92&gt;$F28+1,0,1)*(IF(BE93=0,100,0)+IF($G28=1,1,0.5)*$J28*100)</f>
        <v>0</v>
      </c>
      <c r="BE93" s="665">
        <f t="shared" si="204"/>
        <v>0</v>
      </c>
      <c r="BF93" s="665">
        <f t="shared" ref="BF93" si="205">IF(BF92&gt;$F28+1,0,1)*(IF(BG93=0,100,0)+IF($G28=1,1,0.5)*$J28*100)</f>
        <v>0</v>
      </c>
      <c r="BG93" s="665">
        <f t="shared" ref="BG93:BH93" si="206">IF(BG92&gt;$F28+1,0,1)*(IF(BH93=0,100,0)+IF($G28=1,1,0.5)*$J28*100)</f>
        <v>0</v>
      </c>
      <c r="BH93" s="665">
        <f t="shared" si="206"/>
        <v>0</v>
      </c>
      <c r="BI93" s="665">
        <f t="shared" ref="BI93" si="207">IF(BI92&gt;$F28+1,0,1)*(IF(BJ93=0,100,0)+IF($G28=1,1,0.5)*$J28*100)</f>
        <v>0</v>
      </c>
      <c r="BJ93" s="665">
        <f t="shared" ref="BJ93:BK93" si="208">IF(BJ92&gt;$F28+1,0,1)*(IF(BK93=0,100,0)+IF($G28=1,1,0.5)*$J28*100)</f>
        <v>0</v>
      </c>
      <c r="BK93" s="665">
        <f t="shared" si="208"/>
        <v>0</v>
      </c>
      <c r="BL93" s="665">
        <f t="shared" ref="BL93" si="209">IF(BL92&gt;$F28+1,0,1)*(IF(BM93=0,100,0)+IF($G28=1,1,0.5)*$J28*100)</f>
        <v>0</v>
      </c>
      <c r="BM93" s="665">
        <f t="shared" ref="BM93:BN93" si="210">IF(BM92&gt;$F28+1,0,1)*(IF(BN93=0,100,0)+IF($G28=1,1,0.5)*$J28*100)</f>
        <v>0</v>
      </c>
      <c r="BN93" s="665">
        <f t="shared" si="210"/>
        <v>0</v>
      </c>
      <c r="BO93" s="665">
        <f t="shared" ref="BO93" si="211">IF(BO92&gt;$F28+1,0,1)*(IF(BP93=0,100,0)+IF($G28=1,1,0.5)*$J28*100)</f>
        <v>0</v>
      </c>
      <c r="BP93" s="665">
        <f t="shared" ref="BP93:BQ93" si="212">IF(BP92&gt;$F28+1,0,1)*(IF(BQ93=0,100,0)+IF($G28=1,1,0.5)*$J28*100)</f>
        <v>0</v>
      </c>
      <c r="BQ93" s="665">
        <f t="shared" si="212"/>
        <v>0</v>
      </c>
      <c r="BR93" s="665">
        <f t="shared" ref="BR93" si="213">IF(BR92&gt;$F28+1,0,1)*(IF(BS93=0,100,0)+IF($G28=1,1,0.5)*$J28*100)</f>
        <v>0</v>
      </c>
      <c r="BS93" s="665">
        <f t="shared" ref="BS93:BT93" si="214">IF(BS92&gt;$F28+1,0,1)*(IF(BT93=0,100,0)+IF($G28=1,1,0.5)*$J28*100)</f>
        <v>0</v>
      </c>
      <c r="BT93" s="665">
        <f t="shared" si="214"/>
        <v>0</v>
      </c>
      <c r="BU93" s="665">
        <f t="shared" ref="BU93" si="215">IF(BU92&gt;$F28+1,0,1)*(IF(BV93=0,100,0)+IF($G28=1,1,0.5)*$J28*100)</f>
        <v>0</v>
      </c>
      <c r="BV93" s="665">
        <f t="shared" ref="BV93:BW93" si="216">IF(BV92&gt;$F28+1,0,1)*(IF(BW93=0,100,0)+IF($G28=1,1,0.5)*$J28*100)</f>
        <v>0</v>
      </c>
      <c r="BW93" s="665">
        <f t="shared" si="216"/>
        <v>0</v>
      </c>
      <c r="BX93" s="665">
        <f t="shared" ref="BX93" si="217">IF(BX92&gt;$F28+1,0,1)*(IF(BY93=0,100,0)+IF($G28=1,1,0.5)*$J28*100)</f>
        <v>0</v>
      </c>
      <c r="BY93" s="665">
        <f t="shared" ref="BY93:BZ93" si="218">IF(BY92&gt;$F28+1,0,1)*(IF(BZ93=0,100,0)+IF($G28=1,1,0.5)*$J28*100)</f>
        <v>0</v>
      </c>
      <c r="BZ93" s="665">
        <f t="shared" si="218"/>
        <v>0</v>
      </c>
      <c r="CA93" s="665">
        <f t="shared" ref="CA93" si="219">IF(CA92&gt;$F28+1,0,1)*(IF(CB93=0,100,0)+IF($G28=1,1,0.5)*$J28*100)</f>
        <v>0</v>
      </c>
      <c r="CB93" s="665">
        <f t="shared" ref="CB93" si="220">IF(CB92&gt;$F28+1,0,1)*(IF(CC93=0,100,0)+IF($G28=1,1,0.5)*$J28*100)</f>
        <v>0</v>
      </c>
      <c r="CF93" s="10"/>
      <c r="CG93" s="10"/>
      <c r="CH93" s="10"/>
      <c r="CI93" s="10"/>
      <c r="CJ93" s="10"/>
      <c r="CK93" s="10"/>
      <c r="CL93" s="10"/>
      <c r="CM93" s="10"/>
      <c r="CN93" s="10"/>
      <c r="CO93" s="10"/>
      <c r="CP93" s="10"/>
      <c r="CQ93" s="10"/>
      <c r="CR93" s="10"/>
      <c r="CS93" s="10"/>
      <c r="CT93" s="10"/>
      <c r="CU93" s="10"/>
      <c r="CV93" s="10"/>
      <c r="CW93" s="10"/>
      <c r="CX93" s="10"/>
      <c r="CY93" s="10"/>
      <c r="CZ93" s="10"/>
      <c r="DA93" s="10"/>
      <c r="DB93" s="10"/>
      <c r="DC93" s="10"/>
      <c r="DD93" s="10"/>
      <c r="DE93" s="10"/>
      <c r="DF93" s="10"/>
      <c r="DG93" s="10"/>
      <c r="DH93" s="10"/>
      <c r="DI93" s="10"/>
      <c r="DJ93" s="10"/>
      <c r="DK93" s="10"/>
    </row>
    <row r="94" spans="1:115">
      <c r="A94" s="666" t="s">
        <v>49</v>
      </c>
      <c r="B94" s="667">
        <f>IF(E29=0,F29,E29)</f>
        <v>0</v>
      </c>
      <c r="C94" s="668">
        <f>B94+IF($G29=1,365,182.5)</f>
        <v>182.5</v>
      </c>
      <c r="D94" s="668">
        <f t="shared" ref="D94:F94" si="221">C94+IF($G29=1,365,182.5)</f>
        <v>365</v>
      </c>
      <c r="E94" s="668">
        <f t="shared" si="221"/>
        <v>547.5</v>
      </c>
      <c r="F94" s="668">
        <f t="shared" si="221"/>
        <v>730</v>
      </c>
      <c r="G94" s="668">
        <f t="shared" ref="G94:BR94" si="222">F94+IF($G29=1,365,182.5)</f>
        <v>912.5</v>
      </c>
      <c r="H94" s="668">
        <f t="shared" si="222"/>
        <v>1095</v>
      </c>
      <c r="I94" s="668">
        <f t="shared" si="222"/>
        <v>1277.5</v>
      </c>
      <c r="J94" s="668">
        <f t="shared" si="222"/>
        <v>1460</v>
      </c>
      <c r="K94" s="668">
        <f t="shared" si="222"/>
        <v>1642.5</v>
      </c>
      <c r="L94" s="668">
        <f t="shared" si="222"/>
        <v>1825</v>
      </c>
      <c r="M94" s="668">
        <f t="shared" si="222"/>
        <v>2007.5</v>
      </c>
      <c r="N94" s="668">
        <f t="shared" si="222"/>
        <v>2190</v>
      </c>
      <c r="O94" s="668">
        <f t="shared" si="222"/>
        <v>2372.5</v>
      </c>
      <c r="P94" s="668">
        <f t="shared" si="222"/>
        <v>2555</v>
      </c>
      <c r="Q94" s="668">
        <f t="shared" si="222"/>
        <v>2737.5</v>
      </c>
      <c r="R94" s="668">
        <f t="shared" si="222"/>
        <v>2920</v>
      </c>
      <c r="S94" s="668">
        <f t="shared" si="222"/>
        <v>3102.5</v>
      </c>
      <c r="T94" s="668">
        <f t="shared" si="222"/>
        <v>3285</v>
      </c>
      <c r="U94" s="668">
        <f t="shared" si="222"/>
        <v>3467.5</v>
      </c>
      <c r="V94" s="668">
        <f t="shared" si="222"/>
        <v>3650</v>
      </c>
      <c r="W94" s="668">
        <f t="shared" si="222"/>
        <v>3832.5</v>
      </c>
      <c r="X94" s="668">
        <f t="shared" si="222"/>
        <v>4015</v>
      </c>
      <c r="Y94" s="668">
        <f t="shared" si="222"/>
        <v>4197.5</v>
      </c>
      <c r="Z94" s="668">
        <f t="shared" si="222"/>
        <v>4380</v>
      </c>
      <c r="AA94" s="668">
        <f t="shared" si="222"/>
        <v>4562.5</v>
      </c>
      <c r="AB94" s="668">
        <f t="shared" si="222"/>
        <v>4745</v>
      </c>
      <c r="AC94" s="668">
        <f t="shared" si="222"/>
        <v>4927.5</v>
      </c>
      <c r="AD94" s="668">
        <f t="shared" si="222"/>
        <v>5110</v>
      </c>
      <c r="AE94" s="668">
        <f t="shared" si="222"/>
        <v>5292.5</v>
      </c>
      <c r="AF94" s="668">
        <f t="shared" si="222"/>
        <v>5475</v>
      </c>
      <c r="AG94" s="668">
        <f t="shared" si="222"/>
        <v>5657.5</v>
      </c>
      <c r="AH94" s="668">
        <f t="shared" si="222"/>
        <v>5840</v>
      </c>
      <c r="AI94" s="668">
        <f t="shared" si="222"/>
        <v>6022.5</v>
      </c>
      <c r="AJ94" s="668">
        <f t="shared" si="222"/>
        <v>6205</v>
      </c>
      <c r="AK94" s="668">
        <f t="shared" si="222"/>
        <v>6387.5</v>
      </c>
      <c r="AL94" s="668">
        <f t="shared" si="222"/>
        <v>6570</v>
      </c>
      <c r="AM94" s="668">
        <f t="shared" si="222"/>
        <v>6752.5</v>
      </c>
      <c r="AN94" s="668">
        <f t="shared" si="222"/>
        <v>6935</v>
      </c>
      <c r="AO94" s="668">
        <f t="shared" si="222"/>
        <v>7117.5</v>
      </c>
      <c r="AP94" s="668">
        <f t="shared" si="222"/>
        <v>7300</v>
      </c>
      <c r="AQ94" s="668">
        <f t="shared" si="222"/>
        <v>7482.5</v>
      </c>
      <c r="AR94" s="668">
        <f t="shared" si="222"/>
        <v>7665</v>
      </c>
      <c r="AS94" s="668">
        <f t="shared" si="222"/>
        <v>7847.5</v>
      </c>
      <c r="AT94" s="668">
        <f t="shared" si="222"/>
        <v>8030</v>
      </c>
      <c r="AU94" s="668">
        <f t="shared" si="222"/>
        <v>8212.5</v>
      </c>
      <c r="AV94" s="668">
        <f t="shared" si="222"/>
        <v>8395</v>
      </c>
      <c r="AW94" s="668">
        <f t="shared" si="222"/>
        <v>8577.5</v>
      </c>
      <c r="AX94" s="668">
        <f t="shared" si="222"/>
        <v>8760</v>
      </c>
      <c r="AY94" s="668">
        <f t="shared" si="222"/>
        <v>8942.5</v>
      </c>
      <c r="AZ94" s="668">
        <f t="shared" si="222"/>
        <v>9125</v>
      </c>
      <c r="BA94" s="668">
        <f t="shared" si="222"/>
        <v>9307.5</v>
      </c>
      <c r="BB94" s="668">
        <f t="shared" si="222"/>
        <v>9490</v>
      </c>
      <c r="BC94" s="668">
        <f t="shared" si="222"/>
        <v>9672.5</v>
      </c>
      <c r="BD94" s="668">
        <f t="shared" si="222"/>
        <v>9855</v>
      </c>
      <c r="BE94" s="668">
        <f t="shared" si="222"/>
        <v>10037.5</v>
      </c>
      <c r="BF94" s="668">
        <f t="shared" si="222"/>
        <v>10220</v>
      </c>
      <c r="BG94" s="668">
        <f t="shared" si="222"/>
        <v>10402.5</v>
      </c>
      <c r="BH94" s="668">
        <f t="shared" si="222"/>
        <v>10585</v>
      </c>
      <c r="BI94" s="668">
        <f t="shared" si="222"/>
        <v>10767.5</v>
      </c>
      <c r="BJ94" s="668">
        <f t="shared" si="222"/>
        <v>10950</v>
      </c>
      <c r="BK94" s="668">
        <f t="shared" si="222"/>
        <v>11132.5</v>
      </c>
      <c r="BL94" s="668">
        <f t="shared" si="222"/>
        <v>11315</v>
      </c>
      <c r="BM94" s="668">
        <f t="shared" si="222"/>
        <v>11497.5</v>
      </c>
      <c r="BN94" s="668">
        <f t="shared" si="222"/>
        <v>11680</v>
      </c>
      <c r="BO94" s="668">
        <f t="shared" si="222"/>
        <v>11862.5</v>
      </c>
      <c r="BP94" s="668">
        <f t="shared" si="222"/>
        <v>12045</v>
      </c>
      <c r="BQ94" s="668">
        <f t="shared" si="222"/>
        <v>12227.5</v>
      </c>
      <c r="BR94" s="668">
        <f t="shared" si="222"/>
        <v>12410</v>
      </c>
      <c r="BS94" s="668">
        <f t="shared" ref="BS94:CB94" si="223">BR94+IF($G29=1,365,182.5)</f>
        <v>12592.5</v>
      </c>
      <c r="BT94" s="668">
        <f t="shared" si="223"/>
        <v>12775</v>
      </c>
      <c r="BU94" s="668">
        <f t="shared" si="223"/>
        <v>12957.5</v>
      </c>
      <c r="BV94" s="668">
        <f t="shared" si="223"/>
        <v>13140</v>
      </c>
      <c r="BW94" s="668">
        <f t="shared" si="223"/>
        <v>13322.5</v>
      </c>
      <c r="BX94" s="668">
        <f t="shared" si="223"/>
        <v>13505</v>
      </c>
      <c r="BY94" s="668">
        <f t="shared" si="223"/>
        <v>13687.5</v>
      </c>
      <c r="BZ94" s="668">
        <f t="shared" si="223"/>
        <v>13870</v>
      </c>
      <c r="CA94" s="668">
        <f t="shared" si="223"/>
        <v>14052.5</v>
      </c>
      <c r="CB94" s="668">
        <f t="shared" si="223"/>
        <v>14235</v>
      </c>
      <c r="CF94" s="10"/>
      <c r="CG94" s="10"/>
      <c r="CH94" s="10"/>
      <c r="CI94" s="10"/>
      <c r="CJ94" s="10"/>
      <c r="CK94" s="10"/>
      <c r="CL94" s="10"/>
      <c r="CM94" s="10"/>
      <c r="CN94" s="10"/>
      <c r="CO94" s="10"/>
      <c r="CP94" s="10"/>
      <c r="CQ94" s="10"/>
      <c r="CR94" s="10"/>
      <c r="CS94" s="10"/>
      <c r="CT94" s="10"/>
      <c r="CU94" s="10"/>
      <c r="CV94" s="10"/>
      <c r="CW94" s="10"/>
      <c r="CX94" s="10"/>
      <c r="CY94" s="10"/>
      <c r="CZ94" s="10"/>
      <c r="DA94" s="10"/>
      <c r="DB94" s="10"/>
      <c r="DC94" s="10"/>
      <c r="DD94" s="10"/>
      <c r="DE94" s="10"/>
      <c r="DF94" s="10"/>
      <c r="DG94" s="10"/>
      <c r="DH94" s="10"/>
      <c r="DI94" s="10"/>
      <c r="DJ94" s="10"/>
      <c r="DK94" s="10"/>
    </row>
    <row r="95" spans="1:115">
      <c r="A95" s="669" t="s">
        <v>808</v>
      </c>
      <c r="B95" s="670">
        <f>(IF(B94=F29,100,0)+IF(G29=1,1,0.5)*J29*100)*IF(ISBLANK(F29)=TRUE,0,1)</f>
        <v>0</v>
      </c>
      <c r="C95" s="671">
        <f>IF(C94&gt;$F29+1,0,1)*(IF(D95=0,100,0)+IF($G29=1,1,0.5)*$J29*100)</f>
        <v>0</v>
      </c>
      <c r="D95" s="671">
        <f t="shared" ref="D95:F95" si="224">IF(D94&gt;$F29+1,0,1)*(IF(E95=0,100,0)+IF($G29=1,1,0.5)*$J29*100)</f>
        <v>0</v>
      </c>
      <c r="E95" s="671">
        <f t="shared" si="224"/>
        <v>0</v>
      </c>
      <c r="F95" s="671">
        <f t="shared" si="224"/>
        <v>0</v>
      </c>
      <c r="G95" s="671">
        <f t="shared" ref="G95" si="225">IF(G94&gt;$F29+1,0,1)*(IF(H95=0,100,0)+IF($G29=1,1,0.5)*$J29*100)</f>
        <v>0</v>
      </c>
      <c r="H95" s="671">
        <f t="shared" ref="H95:I95" si="226">IF(H94&gt;$F29+1,0,1)*(IF(I95=0,100,0)+IF($G29=1,1,0.5)*$J29*100)</f>
        <v>0</v>
      </c>
      <c r="I95" s="671">
        <f t="shared" si="226"/>
        <v>0</v>
      </c>
      <c r="J95" s="671">
        <f t="shared" ref="J95" si="227">IF(J94&gt;$F29+1,0,1)*(IF(K95=0,100,0)+IF($G29=1,1,0.5)*$J29*100)</f>
        <v>0</v>
      </c>
      <c r="K95" s="671">
        <f t="shared" ref="K95:L95" si="228">IF(K94&gt;$F29+1,0,1)*(IF(L95=0,100,0)+IF($G29=1,1,0.5)*$J29*100)</f>
        <v>0</v>
      </c>
      <c r="L95" s="671">
        <f t="shared" si="228"/>
        <v>0</v>
      </c>
      <c r="M95" s="671">
        <f t="shared" ref="M95" si="229">IF(M94&gt;$F29+1,0,1)*(IF(N95=0,100,0)+IF($G29=1,1,0.5)*$J29*100)</f>
        <v>0</v>
      </c>
      <c r="N95" s="671">
        <f t="shared" ref="N95:O95" si="230">IF(N94&gt;$F29+1,0,1)*(IF(O95=0,100,0)+IF($G29=1,1,0.5)*$J29*100)</f>
        <v>0</v>
      </c>
      <c r="O95" s="671">
        <f t="shared" si="230"/>
        <v>0</v>
      </c>
      <c r="P95" s="671">
        <f t="shared" ref="P95" si="231">IF(P94&gt;$F29+1,0,1)*(IF(Q95=0,100,0)+IF($G29=1,1,0.5)*$J29*100)</f>
        <v>0</v>
      </c>
      <c r="Q95" s="671">
        <f t="shared" ref="Q95:R95" si="232">IF(Q94&gt;$F29+1,0,1)*(IF(R95=0,100,0)+IF($G29=1,1,0.5)*$J29*100)</f>
        <v>0</v>
      </c>
      <c r="R95" s="671">
        <f t="shared" si="232"/>
        <v>0</v>
      </c>
      <c r="S95" s="671">
        <f t="shared" ref="S95" si="233">IF(S94&gt;$F29+1,0,1)*(IF(T95=0,100,0)+IF($G29=1,1,0.5)*$J29*100)</f>
        <v>0</v>
      </c>
      <c r="T95" s="671">
        <f t="shared" ref="T95:U95" si="234">IF(T94&gt;$F29+1,0,1)*(IF(U95=0,100,0)+IF($G29=1,1,0.5)*$J29*100)</f>
        <v>0</v>
      </c>
      <c r="U95" s="671">
        <f t="shared" si="234"/>
        <v>0</v>
      </c>
      <c r="V95" s="671">
        <f t="shared" ref="V95" si="235">IF(V94&gt;$F29+1,0,1)*(IF(W95=0,100,0)+IF($G29=1,1,0.5)*$J29*100)</f>
        <v>0</v>
      </c>
      <c r="W95" s="671">
        <f t="shared" ref="W95:X95" si="236">IF(W94&gt;$F29+1,0,1)*(IF(X95=0,100,0)+IF($G29=1,1,0.5)*$J29*100)</f>
        <v>0</v>
      </c>
      <c r="X95" s="671">
        <f t="shared" si="236"/>
        <v>0</v>
      </c>
      <c r="Y95" s="671">
        <f t="shared" ref="Y95" si="237">IF(Y94&gt;$F29+1,0,1)*(IF(Z95=0,100,0)+IF($G29=1,1,0.5)*$J29*100)</f>
        <v>0</v>
      </c>
      <c r="Z95" s="671">
        <f t="shared" ref="Z95:AA95" si="238">IF(Z94&gt;$F29+1,0,1)*(IF(AA95=0,100,0)+IF($G29=1,1,0.5)*$J29*100)</f>
        <v>0</v>
      </c>
      <c r="AA95" s="671">
        <f t="shared" si="238"/>
        <v>0</v>
      </c>
      <c r="AB95" s="671">
        <f t="shared" ref="AB95" si="239">IF(AB94&gt;$F29+1,0,1)*(IF(AC95=0,100,0)+IF($G29=1,1,0.5)*$J29*100)</f>
        <v>0</v>
      </c>
      <c r="AC95" s="671">
        <f t="shared" ref="AC95:AD95" si="240">IF(AC94&gt;$F29+1,0,1)*(IF(AD95=0,100,0)+IF($G29=1,1,0.5)*$J29*100)</f>
        <v>0</v>
      </c>
      <c r="AD95" s="671">
        <f t="shared" si="240"/>
        <v>0</v>
      </c>
      <c r="AE95" s="671">
        <f t="shared" ref="AE95" si="241">IF(AE94&gt;$F29+1,0,1)*(IF(AF95=0,100,0)+IF($G29=1,1,0.5)*$J29*100)</f>
        <v>0</v>
      </c>
      <c r="AF95" s="671">
        <f t="shared" ref="AF95:AG95" si="242">IF(AF94&gt;$F29+1,0,1)*(IF(AG95=0,100,0)+IF($G29=1,1,0.5)*$J29*100)</f>
        <v>0</v>
      </c>
      <c r="AG95" s="671">
        <f t="shared" si="242"/>
        <v>0</v>
      </c>
      <c r="AH95" s="671">
        <f t="shared" ref="AH95" si="243">IF(AH94&gt;$F29+1,0,1)*(IF(AI95=0,100,0)+IF($G29=1,1,0.5)*$J29*100)</f>
        <v>0</v>
      </c>
      <c r="AI95" s="671">
        <f t="shared" ref="AI95:AJ95" si="244">IF(AI94&gt;$F29+1,0,1)*(IF(AJ95=0,100,0)+IF($G29=1,1,0.5)*$J29*100)</f>
        <v>0</v>
      </c>
      <c r="AJ95" s="671">
        <f t="shared" si="244"/>
        <v>0</v>
      </c>
      <c r="AK95" s="671">
        <f t="shared" ref="AK95" si="245">IF(AK94&gt;$F29+1,0,1)*(IF(AL95=0,100,0)+IF($G29=1,1,0.5)*$J29*100)</f>
        <v>0</v>
      </c>
      <c r="AL95" s="671">
        <f t="shared" ref="AL95:AM95" si="246">IF(AL94&gt;$F29+1,0,1)*(IF(AM95=0,100,0)+IF($G29=1,1,0.5)*$J29*100)</f>
        <v>0</v>
      </c>
      <c r="AM95" s="671">
        <f t="shared" si="246"/>
        <v>0</v>
      </c>
      <c r="AN95" s="671">
        <f t="shared" ref="AN95" si="247">IF(AN94&gt;$F29+1,0,1)*(IF(AO95=0,100,0)+IF($G29=1,1,0.5)*$J29*100)</f>
        <v>0</v>
      </c>
      <c r="AO95" s="671">
        <f t="shared" ref="AO95:AP95" si="248">IF(AO94&gt;$F29+1,0,1)*(IF(AP95=0,100,0)+IF($G29=1,1,0.5)*$J29*100)</f>
        <v>0</v>
      </c>
      <c r="AP95" s="671">
        <f t="shared" si="248"/>
        <v>0</v>
      </c>
      <c r="AQ95" s="671">
        <f t="shared" ref="AQ95" si="249">IF(AQ94&gt;$F29+1,0,1)*(IF(AR95=0,100,0)+IF($G29=1,1,0.5)*$J29*100)</f>
        <v>0</v>
      </c>
      <c r="AR95" s="671">
        <f t="shared" ref="AR95:AS95" si="250">IF(AR94&gt;$F29+1,0,1)*(IF(AS95=0,100,0)+IF($G29=1,1,0.5)*$J29*100)</f>
        <v>0</v>
      </c>
      <c r="AS95" s="671">
        <f t="shared" si="250"/>
        <v>0</v>
      </c>
      <c r="AT95" s="671">
        <f t="shared" ref="AT95" si="251">IF(AT94&gt;$F29+1,0,1)*(IF(AU95=0,100,0)+IF($G29=1,1,0.5)*$J29*100)</f>
        <v>0</v>
      </c>
      <c r="AU95" s="671">
        <f t="shared" ref="AU95:AV95" si="252">IF(AU94&gt;$F29+1,0,1)*(IF(AV95=0,100,0)+IF($G29=1,1,0.5)*$J29*100)</f>
        <v>0</v>
      </c>
      <c r="AV95" s="671">
        <f t="shared" si="252"/>
        <v>0</v>
      </c>
      <c r="AW95" s="671">
        <f t="shared" ref="AW95" si="253">IF(AW94&gt;$F29+1,0,1)*(IF(AX95=0,100,0)+IF($G29=1,1,0.5)*$J29*100)</f>
        <v>0</v>
      </c>
      <c r="AX95" s="671">
        <f t="shared" ref="AX95:AY95" si="254">IF(AX94&gt;$F29+1,0,1)*(IF(AY95=0,100,0)+IF($G29=1,1,0.5)*$J29*100)</f>
        <v>0</v>
      </c>
      <c r="AY95" s="671">
        <f t="shared" si="254"/>
        <v>0</v>
      </c>
      <c r="AZ95" s="671">
        <f t="shared" ref="AZ95" si="255">IF(AZ94&gt;$F29+1,0,1)*(IF(BA95=0,100,0)+IF($G29=1,1,0.5)*$J29*100)</f>
        <v>0</v>
      </c>
      <c r="BA95" s="671">
        <f t="shared" ref="BA95:BB95" si="256">IF(BA94&gt;$F29+1,0,1)*(IF(BB95=0,100,0)+IF($G29=1,1,0.5)*$J29*100)</f>
        <v>0</v>
      </c>
      <c r="BB95" s="671">
        <f t="shared" si="256"/>
        <v>0</v>
      </c>
      <c r="BC95" s="671">
        <f t="shared" ref="BC95" si="257">IF(BC94&gt;$F29+1,0,1)*(IF(BD95=0,100,0)+IF($G29=1,1,0.5)*$J29*100)</f>
        <v>0</v>
      </c>
      <c r="BD95" s="671">
        <f t="shared" ref="BD95:BE95" si="258">IF(BD94&gt;$F29+1,0,1)*(IF(BE95=0,100,0)+IF($G29=1,1,0.5)*$J29*100)</f>
        <v>0</v>
      </c>
      <c r="BE95" s="671">
        <f t="shared" si="258"/>
        <v>0</v>
      </c>
      <c r="BF95" s="671">
        <f t="shared" ref="BF95" si="259">IF(BF94&gt;$F29+1,0,1)*(IF(BG95=0,100,0)+IF($G29=1,1,0.5)*$J29*100)</f>
        <v>0</v>
      </c>
      <c r="BG95" s="671">
        <f t="shared" ref="BG95:BH95" si="260">IF(BG94&gt;$F29+1,0,1)*(IF(BH95=0,100,0)+IF($G29=1,1,0.5)*$J29*100)</f>
        <v>0</v>
      </c>
      <c r="BH95" s="671">
        <f t="shared" si="260"/>
        <v>0</v>
      </c>
      <c r="BI95" s="671">
        <f t="shared" ref="BI95" si="261">IF(BI94&gt;$F29+1,0,1)*(IF(BJ95=0,100,0)+IF($G29=1,1,0.5)*$J29*100)</f>
        <v>0</v>
      </c>
      <c r="BJ95" s="671">
        <f t="shared" ref="BJ95:BK95" si="262">IF(BJ94&gt;$F29+1,0,1)*(IF(BK95=0,100,0)+IF($G29=1,1,0.5)*$J29*100)</f>
        <v>0</v>
      </c>
      <c r="BK95" s="671">
        <f t="shared" si="262"/>
        <v>0</v>
      </c>
      <c r="BL95" s="671">
        <f t="shared" ref="BL95" si="263">IF(BL94&gt;$F29+1,0,1)*(IF(BM95=0,100,0)+IF($G29=1,1,0.5)*$J29*100)</f>
        <v>0</v>
      </c>
      <c r="BM95" s="671">
        <f t="shared" ref="BM95:BN95" si="264">IF(BM94&gt;$F29+1,0,1)*(IF(BN95=0,100,0)+IF($G29=1,1,0.5)*$J29*100)</f>
        <v>0</v>
      </c>
      <c r="BN95" s="671">
        <f t="shared" si="264"/>
        <v>0</v>
      </c>
      <c r="BO95" s="671">
        <f t="shared" ref="BO95" si="265">IF(BO94&gt;$F29+1,0,1)*(IF(BP95=0,100,0)+IF($G29=1,1,0.5)*$J29*100)</f>
        <v>0</v>
      </c>
      <c r="BP95" s="671">
        <f t="shared" ref="BP95:BQ95" si="266">IF(BP94&gt;$F29+1,0,1)*(IF(BQ95=0,100,0)+IF($G29=1,1,0.5)*$J29*100)</f>
        <v>0</v>
      </c>
      <c r="BQ95" s="671">
        <f t="shared" si="266"/>
        <v>0</v>
      </c>
      <c r="BR95" s="671">
        <f t="shared" ref="BR95" si="267">IF(BR94&gt;$F29+1,0,1)*(IF(BS95=0,100,0)+IF($G29=1,1,0.5)*$J29*100)</f>
        <v>0</v>
      </c>
      <c r="BS95" s="671">
        <f t="shared" ref="BS95:BT95" si="268">IF(BS94&gt;$F29+1,0,1)*(IF(BT95=0,100,0)+IF($G29=1,1,0.5)*$J29*100)</f>
        <v>0</v>
      </c>
      <c r="BT95" s="671">
        <f t="shared" si="268"/>
        <v>0</v>
      </c>
      <c r="BU95" s="671">
        <f t="shared" ref="BU95" si="269">IF(BU94&gt;$F29+1,0,1)*(IF(BV95=0,100,0)+IF($G29=1,1,0.5)*$J29*100)</f>
        <v>0</v>
      </c>
      <c r="BV95" s="671">
        <f t="shared" ref="BV95:BW95" si="270">IF(BV94&gt;$F29+1,0,1)*(IF(BW95=0,100,0)+IF($G29=1,1,0.5)*$J29*100)</f>
        <v>0</v>
      </c>
      <c r="BW95" s="671">
        <f t="shared" si="270"/>
        <v>0</v>
      </c>
      <c r="BX95" s="671">
        <f t="shared" ref="BX95" si="271">IF(BX94&gt;$F29+1,0,1)*(IF(BY95=0,100,0)+IF($G29=1,1,0.5)*$J29*100)</f>
        <v>0</v>
      </c>
      <c r="BY95" s="671">
        <f t="shared" ref="BY95:BZ95" si="272">IF(BY94&gt;$F29+1,0,1)*(IF(BZ95=0,100,0)+IF($G29=1,1,0.5)*$J29*100)</f>
        <v>0</v>
      </c>
      <c r="BZ95" s="671">
        <f t="shared" si="272"/>
        <v>0</v>
      </c>
      <c r="CA95" s="671">
        <f t="shared" ref="CA95" si="273">IF(CA94&gt;$F29+1,0,1)*(IF(CB95=0,100,0)+IF($G29=1,1,0.5)*$J29*100)</f>
        <v>0</v>
      </c>
      <c r="CB95" s="671">
        <f t="shared" ref="CB95" si="274">IF(CB94&gt;$F29+1,0,1)*(IF(CC95=0,100,0)+IF($G29=1,1,0.5)*$J29*100)</f>
        <v>0</v>
      </c>
      <c r="CF95" s="10"/>
      <c r="CG95" s="10"/>
      <c r="CH95" s="10"/>
      <c r="CI95" s="10"/>
      <c r="CJ95" s="10"/>
      <c r="CK95" s="10"/>
      <c r="CL95" s="10"/>
      <c r="CM95" s="10"/>
      <c r="CN95" s="10"/>
      <c r="CO95" s="10"/>
      <c r="CP95" s="10"/>
      <c r="CQ95" s="10"/>
      <c r="CR95" s="10"/>
      <c r="CS95" s="10"/>
      <c r="CT95" s="10"/>
      <c r="CU95" s="10"/>
      <c r="CV95" s="10"/>
      <c r="CW95" s="10"/>
      <c r="CX95" s="10"/>
      <c r="CY95" s="10"/>
      <c r="CZ95" s="10"/>
      <c r="DA95" s="10"/>
      <c r="DB95" s="10"/>
      <c r="DC95" s="10"/>
      <c r="DD95" s="10"/>
      <c r="DE95" s="10"/>
      <c r="DF95" s="10"/>
      <c r="DG95" s="10"/>
      <c r="DH95" s="10"/>
      <c r="DI95" s="10"/>
      <c r="DJ95" s="10"/>
      <c r="DK95" s="10"/>
    </row>
    <row r="96" spans="1:115">
      <c r="A96" s="243" t="s">
        <v>49</v>
      </c>
      <c r="B96" s="37" t="str">
        <f>IF(E30=0,F30,E30)</f>
        <v>8/28/2019</v>
      </c>
      <c r="C96" s="38">
        <f>B96+IF($G30=1,365,182.5)</f>
        <v>43887.5</v>
      </c>
      <c r="D96" s="38">
        <f t="shared" ref="D96:F96" si="275">C96+IF($G30=1,365,182.5)</f>
        <v>44070</v>
      </c>
      <c r="E96" s="38">
        <f t="shared" si="275"/>
        <v>44252.5</v>
      </c>
      <c r="F96" s="38">
        <f t="shared" si="275"/>
        <v>44435</v>
      </c>
      <c r="G96" s="38">
        <f t="shared" ref="G96:BR96" si="276">F96+IF($G30=1,365,182.5)</f>
        <v>44617.5</v>
      </c>
      <c r="H96" s="38">
        <f t="shared" si="276"/>
        <v>44800</v>
      </c>
      <c r="I96" s="38">
        <f t="shared" si="276"/>
        <v>44982.5</v>
      </c>
      <c r="J96" s="38">
        <f t="shared" si="276"/>
        <v>45165</v>
      </c>
      <c r="K96" s="38">
        <f t="shared" si="276"/>
        <v>45347.5</v>
      </c>
      <c r="L96" s="38">
        <f t="shared" si="276"/>
        <v>45530</v>
      </c>
      <c r="M96" s="38">
        <f t="shared" si="276"/>
        <v>45712.5</v>
      </c>
      <c r="N96" s="38">
        <f t="shared" si="276"/>
        <v>45895</v>
      </c>
      <c r="O96" s="38">
        <f t="shared" si="276"/>
        <v>46077.5</v>
      </c>
      <c r="P96" s="38">
        <f t="shared" si="276"/>
        <v>46260</v>
      </c>
      <c r="Q96" s="38">
        <f t="shared" si="276"/>
        <v>46442.5</v>
      </c>
      <c r="R96" s="38">
        <f t="shared" si="276"/>
        <v>46625</v>
      </c>
      <c r="S96" s="38">
        <f t="shared" si="276"/>
        <v>46807.5</v>
      </c>
      <c r="T96" s="38">
        <f t="shared" si="276"/>
        <v>46990</v>
      </c>
      <c r="U96" s="38">
        <f t="shared" si="276"/>
        <v>47172.5</v>
      </c>
      <c r="V96" s="38">
        <f t="shared" si="276"/>
        <v>47355</v>
      </c>
      <c r="W96" s="38">
        <f t="shared" si="276"/>
        <v>47537.5</v>
      </c>
      <c r="X96" s="38">
        <f t="shared" si="276"/>
        <v>47720</v>
      </c>
      <c r="Y96" s="38">
        <f t="shared" si="276"/>
        <v>47902.5</v>
      </c>
      <c r="Z96" s="38">
        <f t="shared" si="276"/>
        <v>48085</v>
      </c>
      <c r="AA96" s="38">
        <f t="shared" si="276"/>
        <v>48267.5</v>
      </c>
      <c r="AB96" s="38">
        <f t="shared" si="276"/>
        <v>48450</v>
      </c>
      <c r="AC96" s="38">
        <f t="shared" si="276"/>
        <v>48632.5</v>
      </c>
      <c r="AD96" s="38">
        <f t="shared" si="276"/>
        <v>48815</v>
      </c>
      <c r="AE96" s="38">
        <f t="shared" si="276"/>
        <v>48997.5</v>
      </c>
      <c r="AF96" s="38">
        <f t="shared" si="276"/>
        <v>49180</v>
      </c>
      <c r="AG96" s="38">
        <f t="shared" si="276"/>
        <v>49362.5</v>
      </c>
      <c r="AH96" s="38">
        <f t="shared" si="276"/>
        <v>49545</v>
      </c>
      <c r="AI96" s="38">
        <f t="shared" si="276"/>
        <v>49727.5</v>
      </c>
      <c r="AJ96" s="38">
        <f t="shared" si="276"/>
        <v>49910</v>
      </c>
      <c r="AK96" s="38">
        <f t="shared" si="276"/>
        <v>50092.5</v>
      </c>
      <c r="AL96" s="38">
        <f t="shared" si="276"/>
        <v>50275</v>
      </c>
      <c r="AM96" s="38">
        <f t="shared" si="276"/>
        <v>50457.5</v>
      </c>
      <c r="AN96" s="38">
        <f t="shared" si="276"/>
        <v>50640</v>
      </c>
      <c r="AO96" s="38">
        <f t="shared" si="276"/>
        <v>50822.5</v>
      </c>
      <c r="AP96" s="38">
        <f t="shared" si="276"/>
        <v>51005</v>
      </c>
      <c r="AQ96" s="38">
        <f t="shared" si="276"/>
        <v>51187.5</v>
      </c>
      <c r="AR96" s="38">
        <f t="shared" si="276"/>
        <v>51370</v>
      </c>
      <c r="AS96" s="38">
        <f t="shared" si="276"/>
        <v>51552.5</v>
      </c>
      <c r="AT96" s="38">
        <f t="shared" si="276"/>
        <v>51735</v>
      </c>
      <c r="AU96" s="38">
        <f t="shared" si="276"/>
        <v>51917.5</v>
      </c>
      <c r="AV96" s="38">
        <f t="shared" si="276"/>
        <v>52100</v>
      </c>
      <c r="AW96" s="38">
        <f t="shared" si="276"/>
        <v>52282.5</v>
      </c>
      <c r="AX96" s="38">
        <f t="shared" si="276"/>
        <v>52465</v>
      </c>
      <c r="AY96" s="38">
        <f t="shared" si="276"/>
        <v>52647.5</v>
      </c>
      <c r="AZ96" s="38">
        <f t="shared" si="276"/>
        <v>52830</v>
      </c>
      <c r="BA96" s="38">
        <f t="shared" si="276"/>
        <v>53012.5</v>
      </c>
      <c r="BB96" s="38">
        <f t="shared" si="276"/>
        <v>53195</v>
      </c>
      <c r="BC96" s="38">
        <f t="shared" si="276"/>
        <v>53377.5</v>
      </c>
      <c r="BD96" s="38">
        <f t="shared" si="276"/>
        <v>53560</v>
      </c>
      <c r="BE96" s="38">
        <f t="shared" si="276"/>
        <v>53742.5</v>
      </c>
      <c r="BF96" s="38">
        <f t="shared" si="276"/>
        <v>53925</v>
      </c>
      <c r="BG96" s="38">
        <f t="shared" si="276"/>
        <v>54107.5</v>
      </c>
      <c r="BH96" s="38">
        <f t="shared" si="276"/>
        <v>54290</v>
      </c>
      <c r="BI96" s="38">
        <f t="shared" si="276"/>
        <v>54472.5</v>
      </c>
      <c r="BJ96" s="38">
        <f t="shared" si="276"/>
        <v>54655</v>
      </c>
      <c r="BK96" s="38">
        <f t="shared" si="276"/>
        <v>54837.5</v>
      </c>
      <c r="BL96" s="38">
        <f t="shared" si="276"/>
        <v>55020</v>
      </c>
      <c r="BM96" s="38">
        <f t="shared" si="276"/>
        <v>55202.5</v>
      </c>
      <c r="BN96" s="38">
        <f t="shared" si="276"/>
        <v>55385</v>
      </c>
      <c r="BO96" s="38">
        <f t="shared" si="276"/>
        <v>55567.5</v>
      </c>
      <c r="BP96" s="38">
        <f t="shared" si="276"/>
        <v>55750</v>
      </c>
      <c r="BQ96" s="38">
        <f t="shared" si="276"/>
        <v>55932.5</v>
      </c>
      <c r="BR96" s="38">
        <f t="shared" si="276"/>
        <v>56115</v>
      </c>
      <c r="BS96" s="38">
        <f t="shared" ref="BS96:CB96" si="277">BR96+IF($G30=1,365,182.5)</f>
        <v>56297.5</v>
      </c>
      <c r="BT96" s="38">
        <f t="shared" si="277"/>
        <v>56480</v>
      </c>
      <c r="BU96" s="38">
        <f t="shared" si="277"/>
        <v>56662.5</v>
      </c>
      <c r="BV96" s="38">
        <f t="shared" si="277"/>
        <v>56845</v>
      </c>
      <c r="BW96" s="38">
        <f t="shared" si="277"/>
        <v>57027.5</v>
      </c>
      <c r="BX96" s="38">
        <f t="shared" si="277"/>
        <v>57210</v>
      </c>
      <c r="BY96" s="38">
        <f t="shared" si="277"/>
        <v>57392.5</v>
      </c>
      <c r="BZ96" s="38">
        <f t="shared" si="277"/>
        <v>57575</v>
      </c>
      <c r="CA96" s="38">
        <f t="shared" si="277"/>
        <v>57757.5</v>
      </c>
      <c r="CB96" s="38">
        <f t="shared" si="277"/>
        <v>57940</v>
      </c>
      <c r="CF96" s="10"/>
      <c r="CG96" s="10"/>
      <c r="CH96" s="10"/>
      <c r="CI96" s="10"/>
      <c r="CJ96" s="10"/>
      <c r="CK96" s="10"/>
      <c r="CL96" s="10"/>
      <c r="CM96" s="10"/>
      <c r="CN96" s="10"/>
      <c r="CO96" s="10"/>
      <c r="CP96" s="10"/>
      <c r="CQ96" s="10"/>
      <c r="CR96" s="10"/>
      <c r="CS96" s="10"/>
      <c r="CT96" s="10"/>
      <c r="CU96" s="10"/>
      <c r="CV96" s="10"/>
      <c r="CW96" s="10"/>
      <c r="CX96" s="10"/>
      <c r="CY96" s="10"/>
      <c r="CZ96" s="10"/>
      <c r="DA96" s="10"/>
      <c r="DB96" s="10"/>
      <c r="DC96" s="10"/>
      <c r="DD96" s="10"/>
      <c r="DE96" s="10"/>
      <c r="DF96" s="10"/>
      <c r="DG96" s="10"/>
      <c r="DH96" s="10"/>
      <c r="DI96" s="10"/>
      <c r="DJ96" s="10"/>
      <c r="DK96" s="10"/>
    </row>
    <row r="97" spans="1:115">
      <c r="A97" s="672" t="s">
        <v>809</v>
      </c>
      <c r="B97" s="106">
        <f>(IF(B96=F30,100,0)+IF(G30=1,1,0.5)*J30*100)*IF(ISBLANK(F30)=TRUE,0,1)</f>
        <v>1.24</v>
      </c>
      <c r="C97" s="40">
        <f>IF(C96&gt;$F30+1,0,1)*(IF(D97=0,100,0)+IF($G30=1,1,0.5)*$J30*100)</f>
        <v>1.24</v>
      </c>
      <c r="D97" s="40">
        <f t="shared" ref="D97:F97" si="278">IF(D96&gt;$F30+1,0,1)*(IF(E97=0,100,0)+IF($G30=1,1,0.5)*$J30*100)</f>
        <v>1.24</v>
      </c>
      <c r="E97" s="40">
        <f t="shared" si="278"/>
        <v>1.24</v>
      </c>
      <c r="F97" s="40">
        <f t="shared" si="278"/>
        <v>1.24</v>
      </c>
      <c r="G97" s="40">
        <f t="shared" ref="G97" si="279">IF(G96&gt;$F30+1,0,1)*(IF(H97=0,100,0)+IF($G30=1,1,0.5)*$J30*100)</f>
        <v>1.24</v>
      </c>
      <c r="H97" s="40">
        <f t="shared" ref="H97:I97" si="280">IF(H96&gt;$F30+1,0,1)*(IF(I97=0,100,0)+IF($G30=1,1,0.5)*$J30*100)</f>
        <v>1.24</v>
      </c>
      <c r="I97" s="40">
        <f t="shared" si="280"/>
        <v>1.24</v>
      </c>
      <c r="J97" s="40">
        <f t="shared" ref="J97" si="281">IF(J96&gt;$F30+1,0,1)*(IF(K97=0,100,0)+IF($G30=1,1,0.5)*$J30*100)</f>
        <v>1.24</v>
      </c>
      <c r="K97" s="40">
        <f t="shared" ref="K97:L97" si="282">IF(K96&gt;$F30+1,0,1)*(IF(L97=0,100,0)+IF($G30=1,1,0.5)*$J30*100)</f>
        <v>1.24</v>
      </c>
      <c r="L97" s="40">
        <f t="shared" si="282"/>
        <v>1.24</v>
      </c>
      <c r="M97" s="40">
        <f t="shared" ref="M97" si="283">IF(M96&gt;$F30+1,0,1)*(IF(N97=0,100,0)+IF($G30=1,1,0.5)*$J30*100)</f>
        <v>1.24</v>
      </c>
      <c r="N97" s="40">
        <f t="shared" ref="N97:O97" si="284">IF(N96&gt;$F30+1,0,1)*(IF(O97=0,100,0)+IF($G30=1,1,0.5)*$J30*100)</f>
        <v>1.24</v>
      </c>
      <c r="O97" s="40">
        <f t="shared" si="284"/>
        <v>1.24</v>
      </c>
      <c r="P97" s="40">
        <f t="shared" ref="P97" si="285">IF(P96&gt;$F30+1,0,1)*(IF(Q97=0,100,0)+IF($G30=1,1,0.5)*$J30*100)</f>
        <v>1.24</v>
      </c>
      <c r="Q97" s="40">
        <f t="shared" ref="Q97:R97" si="286">IF(Q96&gt;$F30+1,0,1)*(IF(R97=0,100,0)+IF($G30=1,1,0.5)*$J30*100)</f>
        <v>1.24</v>
      </c>
      <c r="R97" s="40">
        <f t="shared" si="286"/>
        <v>1.24</v>
      </c>
      <c r="S97" s="40">
        <f t="shared" ref="S97" si="287">IF(S96&gt;$F30+1,0,1)*(IF(T97=0,100,0)+IF($G30=1,1,0.5)*$J30*100)</f>
        <v>1.24</v>
      </c>
      <c r="T97" s="40">
        <f t="shared" ref="T97:U97" si="288">IF(T96&gt;$F30+1,0,1)*(IF(U97=0,100,0)+IF($G30=1,1,0.5)*$J30*100)</f>
        <v>1.24</v>
      </c>
      <c r="U97" s="40">
        <f t="shared" si="288"/>
        <v>101.24</v>
      </c>
      <c r="V97" s="40">
        <f t="shared" ref="V97" si="289">IF(V96&gt;$F30+1,0,1)*(IF(W97=0,100,0)+IF($G30=1,1,0.5)*$J30*100)</f>
        <v>0</v>
      </c>
      <c r="W97" s="40">
        <f t="shared" ref="W97:X97" si="290">IF(W96&gt;$F30+1,0,1)*(IF(X97=0,100,0)+IF($G30=1,1,0.5)*$J30*100)</f>
        <v>0</v>
      </c>
      <c r="X97" s="40">
        <f t="shared" si="290"/>
        <v>0</v>
      </c>
      <c r="Y97" s="40">
        <f t="shared" ref="Y97" si="291">IF(Y96&gt;$F30+1,0,1)*(IF(Z97=0,100,0)+IF($G30=1,1,0.5)*$J30*100)</f>
        <v>0</v>
      </c>
      <c r="Z97" s="40">
        <f t="shared" ref="Z97:AA97" si="292">IF(Z96&gt;$F30+1,0,1)*(IF(AA97=0,100,0)+IF($G30=1,1,0.5)*$J30*100)</f>
        <v>0</v>
      </c>
      <c r="AA97" s="40">
        <f t="shared" si="292"/>
        <v>0</v>
      </c>
      <c r="AB97" s="40">
        <f t="shared" ref="AB97" si="293">IF(AB96&gt;$F30+1,0,1)*(IF(AC97=0,100,0)+IF($G30=1,1,0.5)*$J30*100)</f>
        <v>0</v>
      </c>
      <c r="AC97" s="40">
        <f t="shared" ref="AC97:AD97" si="294">IF(AC96&gt;$F30+1,0,1)*(IF(AD97=0,100,0)+IF($G30=1,1,0.5)*$J30*100)</f>
        <v>0</v>
      </c>
      <c r="AD97" s="40">
        <f t="shared" si="294"/>
        <v>0</v>
      </c>
      <c r="AE97" s="40">
        <f t="shared" ref="AE97" si="295">IF(AE96&gt;$F30+1,0,1)*(IF(AF97=0,100,0)+IF($G30=1,1,0.5)*$J30*100)</f>
        <v>0</v>
      </c>
      <c r="AF97" s="40">
        <f t="shared" ref="AF97:AG97" si="296">IF(AF96&gt;$F30+1,0,1)*(IF(AG97=0,100,0)+IF($G30=1,1,0.5)*$J30*100)</f>
        <v>0</v>
      </c>
      <c r="AG97" s="40">
        <f t="shared" si="296"/>
        <v>0</v>
      </c>
      <c r="AH97" s="40">
        <f t="shared" ref="AH97" si="297">IF(AH96&gt;$F30+1,0,1)*(IF(AI97=0,100,0)+IF($G30=1,1,0.5)*$J30*100)</f>
        <v>0</v>
      </c>
      <c r="AI97" s="40">
        <f t="shared" ref="AI97:AJ97" si="298">IF(AI96&gt;$F30+1,0,1)*(IF(AJ97=0,100,0)+IF($G30=1,1,0.5)*$J30*100)</f>
        <v>0</v>
      </c>
      <c r="AJ97" s="40">
        <f t="shared" si="298"/>
        <v>0</v>
      </c>
      <c r="AK97" s="40">
        <f t="shared" ref="AK97" si="299">IF(AK96&gt;$F30+1,0,1)*(IF(AL97=0,100,0)+IF($G30=1,1,0.5)*$J30*100)</f>
        <v>0</v>
      </c>
      <c r="AL97" s="40">
        <f t="shared" ref="AL97:AM97" si="300">IF(AL96&gt;$F30+1,0,1)*(IF(AM97=0,100,0)+IF($G30=1,1,0.5)*$J30*100)</f>
        <v>0</v>
      </c>
      <c r="AM97" s="40">
        <f t="shared" si="300"/>
        <v>0</v>
      </c>
      <c r="AN97" s="40">
        <f t="shared" ref="AN97" si="301">IF(AN96&gt;$F30+1,0,1)*(IF(AO97=0,100,0)+IF($G30=1,1,0.5)*$J30*100)</f>
        <v>0</v>
      </c>
      <c r="AO97" s="40">
        <f t="shared" ref="AO97:AP97" si="302">IF(AO96&gt;$F30+1,0,1)*(IF(AP97=0,100,0)+IF($G30=1,1,0.5)*$J30*100)</f>
        <v>0</v>
      </c>
      <c r="AP97" s="40">
        <f t="shared" si="302"/>
        <v>0</v>
      </c>
      <c r="AQ97" s="40">
        <f t="shared" ref="AQ97" si="303">IF(AQ96&gt;$F30+1,0,1)*(IF(AR97=0,100,0)+IF($G30=1,1,0.5)*$J30*100)</f>
        <v>0</v>
      </c>
      <c r="AR97" s="40">
        <f t="shared" ref="AR97:AS97" si="304">IF(AR96&gt;$F30+1,0,1)*(IF(AS97=0,100,0)+IF($G30=1,1,0.5)*$J30*100)</f>
        <v>0</v>
      </c>
      <c r="AS97" s="40">
        <f t="shared" si="304"/>
        <v>0</v>
      </c>
      <c r="AT97" s="40">
        <f t="shared" ref="AT97" si="305">IF(AT96&gt;$F30+1,0,1)*(IF(AU97=0,100,0)+IF($G30=1,1,0.5)*$J30*100)</f>
        <v>0</v>
      </c>
      <c r="AU97" s="40">
        <f t="shared" ref="AU97:AV97" si="306">IF(AU96&gt;$F30+1,0,1)*(IF(AV97=0,100,0)+IF($G30=1,1,0.5)*$J30*100)</f>
        <v>0</v>
      </c>
      <c r="AV97" s="40">
        <f t="shared" si="306"/>
        <v>0</v>
      </c>
      <c r="AW97" s="40">
        <f t="shared" ref="AW97" si="307">IF(AW96&gt;$F30+1,0,1)*(IF(AX97=0,100,0)+IF($G30=1,1,0.5)*$J30*100)</f>
        <v>0</v>
      </c>
      <c r="AX97" s="40">
        <f t="shared" ref="AX97:AY97" si="308">IF(AX96&gt;$F30+1,0,1)*(IF(AY97=0,100,0)+IF($G30=1,1,0.5)*$J30*100)</f>
        <v>0</v>
      </c>
      <c r="AY97" s="40">
        <f t="shared" si="308"/>
        <v>0</v>
      </c>
      <c r="AZ97" s="40">
        <f t="shared" ref="AZ97" si="309">IF(AZ96&gt;$F30+1,0,1)*(IF(BA97=0,100,0)+IF($G30=1,1,0.5)*$J30*100)</f>
        <v>0</v>
      </c>
      <c r="BA97" s="40">
        <f t="shared" ref="BA97:BB97" si="310">IF(BA96&gt;$F30+1,0,1)*(IF(BB97=0,100,0)+IF($G30=1,1,0.5)*$J30*100)</f>
        <v>0</v>
      </c>
      <c r="BB97" s="40">
        <f t="shared" si="310"/>
        <v>0</v>
      </c>
      <c r="BC97" s="40">
        <f t="shared" ref="BC97" si="311">IF(BC96&gt;$F30+1,0,1)*(IF(BD97=0,100,0)+IF($G30=1,1,0.5)*$J30*100)</f>
        <v>0</v>
      </c>
      <c r="BD97" s="40">
        <f t="shared" ref="BD97:BE97" si="312">IF(BD96&gt;$F30+1,0,1)*(IF(BE97=0,100,0)+IF($G30=1,1,0.5)*$J30*100)</f>
        <v>0</v>
      </c>
      <c r="BE97" s="40">
        <f t="shared" si="312"/>
        <v>0</v>
      </c>
      <c r="BF97" s="40">
        <f t="shared" ref="BF97" si="313">IF(BF96&gt;$F30+1,0,1)*(IF(BG97=0,100,0)+IF($G30=1,1,0.5)*$J30*100)</f>
        <v>0</v>
      </c>
      <c r="BG97" s="40">
        <f t="shared" ref="BG97:BH97" si="314">IF(BG96&gt;$F30+1,0,1)*(IF(BH97=0,100,0)+IF($G30=1,1,0.5)*$J30*100)</f>
        <v>0</v>
      </c>
      <c r="BH97" s="40">
        <f t="shared" si="314"/>
        <v>0</v>
      </c>
      <c r="BI97" s="40">
        <f t="shared" ref="BI97" si="315">IF(BI96&gt;$F30+1,0,1)*(IF(BJ97=0,100,0)+IF($G30=1,1,0.5)*$J30*100)</f>
        <v>0</v>
      </c>
      <c r="BJ97" s="40">
        <f t="shared" ref="BJ97:BK97" si="316">IF(BJ96&gt;$F30+1,0,1)*(IF(BK97=0,100,0)+IF($G30=1,1,0.5)*$J30*100)</f>
        <v>0</v>
      </c>
      <c r="BK97" s="40">
        <f t="shared" si="316"/>
        <v>0</v>
      </c>
      <c r="BL97" s="40">
        <f t="shared" ref="BL97" si="317">IF(BL96&gt;$F30+1,0,1)*(IF(BM97=0,100,0)+IF($G30=1,1,0.5)*$J30*100)</f>
        <v>0</v>
      </c>
      <c r="BM97" s="40">
        <f t="shared" ref="BM97:BN97" si="318">IF(BM96&gt;$F30+1,0,1)*(IF(BN97=0,100,0)+IF($G30=1,1,0.5)*$J30*100)</f>
        <v>0</v>
      </c>
      <c r="BN97" s="40">
        <f t="shared" si="318"/>
        <v>0</v>
      </c>
      <c r="BO97" s="40">
        <f t="shared" ref="BO97" si="319">IF(BO96&gt;$F30+1,0,1)*(IF(BP97=0,100,0)+IF($G30=1,1,0.5)*$J30*100)</f>
        <v>0</v>
      </c>
      <c r="BP97" s="40">
        <f t="shared" ref="BP97:BQ97" si="320">IF(BP96&gt;$F30+1,0,1)*(IF(BQ97=0,100,0)+IF($G30=1,1,0.5)*$J30*100)</f>
        <v>0</v>
      </c>
      <c r="BQ97" s="40">
        <f t="shared" si="320"/>
        <v>0</v>
      </c>
      <c r="BR97" s="40">
        <f t="shared" ref="BR97" si="321">IF(BR96&gt;$F30+1,0,1)*(IF(BS97=0,100,0)+IF($G30=1,1,0.5)*$J30*100)</f>
        <v>0</v>
      </c>
      <c r="BS97" s="40">
        <f t="shared" ref="BS97:BT97" si="322">IF(BS96&gt;$F30+1,0,1)*(IF(BT97=0,100,0)+IF($G30=1,1,0.5)*$J30*100)</f>
        <v>0</v>
      </c>
      <c r="BT97" s="40">
        <f t="shared" si="322"/>
        <v>0</v>
      </c>
      <c r="BU97" s="40">
        <f t="shared" ref="BU97" si="323">IF(BU96&gt;$F30+1,0,1)*(IF(BV97=0,100,0)+IF($G30=1,1,0.5)*$J30*100)</f>
        <v>0</v>
      </c>
      <c r="BV97" s="40">
        <f t="shared" ref="BV97:BW97" si="324">IF(BV96&gt;$F30+1,0,1)*(IF(BW97=0,100,0)+IF($G30=1,1,0.5)*$J30*100)</f>
        <v>0</v>
      </c>
      <c r="BW97" s="40">
        <f t="shared" si="324"/>
        <v>0</v>
      </c>
      <c r="BX97" s="40">
        <f t="shared" ref="BX97" si="325">IF(BX96&gt;$F30+1,0,1)*(IF(BY97=0,100,0)+IF($G30=1,1,0.5)*$J30*100)</f>
        <v>0</v>
      </c>
      <c r="BY97" s="40">
        <f t="shared" ref="BY97:BZ97" si="326">IF(BY96&gt;$F30+1,0,1)*(IF(BZ97=0,100,0)+IF($G30=1,1,0.5)*$J30*100)</f>
        <v>0</v>
      </c>
      <c r="BZ97" s="40">
        <f t="shared" si="326"/>
        <v>0</v>
      </c>
      <c r="CA97" s="40">
        <f t="shared" ref="CA97" si="327">IF(CA96&gt;$F30+1,0,1)*(IF(CB97=0,100,0)+IF($G30=1,1,0.5)*$J30*100)</f>
        <v>0</v>
      </c>
      <c r="CB97" s="40">
        <f t="shared" ref="CB97" si="328">IF(CB96&gt;$F30+1,0,1)*(IF(CC97=0,100,0)+IF($G30=1,1,0.5)*$J30*100)</f>
        <v>0</v>
      </c>
      <c r="CF97" s="10"/>
      <c r="CG97" s="10"/>
      <c r="CH97" s="10"/>
      <c r="CI97" s="10"/>
      <c r="CJ97" s="10"/>
      <c r="CK97" s="10"/>
      <c r="CL97" s="10"/>
      <c r="CM97" s="10"/>
      <c r="CN97" s="10"/>
      <c r="CO97" s="10"/>
      <c r="CP97" s="10"/>
      <c r="CQ97" s="10"/>
      <c r="CR97" s="10"/>
      <c r="CS97" s="10"/>
      <c r="CT97" s="10"/>
      <c r="CU97" s="10"/>
      <c r="CV97" s="10"/>
      <c r="CW97" s="10"/>
      <c r="CX97" s="10"/>
      <c r="CY97" s="10"/>
      <c r="CZ97" s="10"/>
      <c r="DA97" s="10"/>
      <c r="DB97" s="10"/>
      <c r="DC97" s="10"/>
      <c r="DD97" s="10"/>
      <c r="DE97" s="10"/>
      <c r="DF97" s="10"/>
      <c r="DG97" s="10"/>
      <c r="DH97" s="10"/>
      <c r="DI97" s="10"/>
      <c r="DJ97" s="10"/>
      <c r="DK97" s="10"/>
    </row>
    <row r="98" spans="1:115">
      <c r="A98" s="673" t="s">
        <v>49</v>
      </c>
      <c r="B98" s="674">
        <f>IF(E31=0,F31,E31)</f>
        <v>0</v>
      </c>
      <c r="C98" s="675">
        <f>B98+IF($G31=1,365,182.5)</f>
        <v>182.5</v>
      </c>
      <c r="D98" s="675">
        <f t="shared" ref="D98:F98" si="329">C98+IF($G31=1,365,182.5)</f>
        <v>365</v>
      </c>
      <c r="E98" s="675">
        <f t="shared" si="329"/>
        <v>547.5</v>
      </c>
      <c r="F98" s="675">
        <f t="shared" si="329"/>
        <v>730</v>
      </c>
      <c r="G98" s="675">
        <f t="shared" ref="G98:BR98" si="330">F98+IF($G31=1,365,182.5)</f>
        <v>912.5</v>
      </c>
      <c r="H98" s="675">
        <f t="shared" si="330"/>
        <v>1095</v>
      </c>
      <c r="I98" s="675">
        <f t="shared" si="330"/>
        <v>1277.5</v>
      </c>
      <c r="J98" s="675">
        <f t="shared" si="330"/>
        <v>1460</v>
      </c>
      <c r="K98" s="675">
        <f t="shared" si="330"/>
        <v>1642.5</v>
      </c>
      <c r="L98" s="675">
        <f t="shared" si="330"/>
        <v>1825</v>
      </c>
      <c r="M98" s="675">
        <f t="shared" si="330"/>
        <v>2007.5</v>
      </c>
      <c r="N98" s="675">
        <f t="shared" si="330"/>
        <v>2190</v>
      </c>
      <c r="O98" s="675">
        <f t="shared" si="330"/>
        <v>2372.5</v>
      </c>
      <c r="P98" s="675">
        <f t="shared" si="330"/>
        <v>2555</v>
      </c>
      <c r="Q98" s="675">
        <f t="shared" si="330"/>
        <v>2737.5</v>
      </c>
      <c r="R98" s="675">
        <f t="shared" si="330"/>
        <v>2920</v>
      </c>
      <c r="S98" s="675">
        <f t="shared" si="330"/>
        <v>3102.5</v>
      </c>
      <c r="T98" s="675">
        <f t="shared" si="330"/>
        <v>3285</v>
      </c>
      <c r="U98" s="675">
        <f t="shared" si="330"/>
        <v>3467.5</v>
      </c>
      <c r="V98" s="675">
        <f t="shared" si="330"/>
        <v>3650</v>
      </c>
      <c r="W98" s="675">
        <f t="shared" si="330"/>
        <v>3832.5</v>
      </c>
      <c r="X98" s="675">
        <f t="shared" si="330"/>
        <v>4015</v>
      </c>
      <c r="Y98" s="675">
        <f t="shared" si="330"/>
        <v>4197.5</v>
      </c>
      <c r="Z98" s="675">
        <f t="shared" si="330"/>
        <v>4380</v>
      </c>
      <c r="AA98" s="675">
        <f t="shared" si="330"/>
        <v>4562.5</v>
      </c>
      <c r="AB98" s="675">
        <f t="shared" si="330"/>
        <v>4745</v>
      </c>
      <c r="AC98" s="675">
        <f t="shared" si="330"/>
        <v>4927.5</v>
      </c>
      <c r="AD98" s="675">
        <f t="shared" si="330"/>
        <v>5110</v>
      </c>
      <c r="AE98" s="675">
        <f t="shared" si="330"/>
        <v>5292.5</v>
      </c>
      <c r="AF98" s="675">
        <f t="shared" si="330"/>
        <v>5475</v>
      </c>
      <c r="AG98" s="675">
        <f t="shared" si="330"/>
        <v>5657.5</v>
      </c>
      <c r="AH98" s="675">
        <f t="shared" si="330"/>
        <v>5840</v>
      </c>
      <c r="AI98" s="675">
        <f t="shared" si="330"/>
        <v>6022.5</v>
      </c>
      <c r="AJ98" s="675">
        <f t="shared" si="330"/>
        <v>6205</v>
      </c>
      <c r="AK98" s="675">
        <f t="shared" si="330"/>
        <v>6387.5</v>
      </c>
      <c r="AL98" s="675">
        <f t="shared" si="330"/>
        <v>6570</v>
      </c>
      <c r="AM98" s="675">
        <f t="shared" si="330"/>
        <v>6752.5</v>
      </c>
      <c r="AN98" s="675">
        <f t="shared" si="330"/>
        <v>6935</v>
      </c>
      <c r="AO98" s="675">
        <f t="shared" si="330"/>
        <v>7117.5</v>
      </c>
      <c r="AP98" s="675">
        <f t="shared" si="330"/>
        <v>7300</v>
      </c>
      <c r="AQ98" s="675">
        <f t="shared" si="330"/>
        <v>7482.5</v>
      </c>
      <c r="AR98" s="675">
        <f t="shared" si="330"/>
        <v>7665</v>
      </c>
      <c r="AS98" s="675">
        <f t="shared" si="330"/>
        <v>7847.5</v>
      </c>
      <c r="AT98" s="675">
        <f t="shared" si="330"/>
        <v>8030</v>
      </c>
      <c r="AU98" s="675">
        <f t="shared" si="330"/>
        <v>8212.5</v>
      </c>
      <c r="AV98" s="675">
        <f t="shared" si="330"/>
        <v>8395</v>
      </c>
      <c r="AW98" s="675">
        <f t="shared" si="330"/>
        <v>8577.5</v>
      </c>
      <c r="AX98" s="675">
        <f t="shared" si="330"/>
        <v>8760</v>
      </c>
      <c r="AY98" s="675">
        <f t="shared" si="330"/>
        <v>8942.5</v>
      </c>
      <c r="AZ98" s="675">
        <f t="shared" si="330"/>
        <v>9125</v>
      </c>
      <c r="BA98" s="675">
        <f t="shared" si="330"/>
        <v>9307.5</v>
      </c>
      <c r="BB98" s="675">
        <f t="shared" si="330"/>
        <v>9490</v>
      </c>
      <c r="BC98" s="675">
        <f t="shared" si="330"/>
        <v>9672.5</v>
      </c>
      <c r="BD98" s="675">
        <f t="shared" si="330"/>
        <v>9855</v>
      </c>
      <c r="BE98" s="675">
        <f t="shared" si="330"/>
        <v>10037.5</v>
      </c>
      <c r="BF98" s="675">
        <f t="shared" si="330"/>
        <v>10220</v>
      </c>
      <c r="BG98" s="675">
        <f t="shared" si="330"/>
        <v>10402.5</v>
      </c>
      <c r="BH98" s="675">
        <f t="shared" si="330"/>
        <v>10585</v>
      </c>
      <c r="BI98" s="675">
        <f t="shared" si="330"/>
        <v>10767.5</v>
      </c>
      <c r="BJ98" s="675">
        <f t="shared" si="330"/>
        <v>10950</v>
      </c>
      <c r="BK98" s="675">
        <f t="shared" si="330"/>
        <v>11132.5</v>
      </c>
      <c r="BL98" s="675">
        <f t="shared" si="330"/>
        <v>11315</v>
      </c>
      <c r="BM98" s="675">
        <f t="shared" si="330"/>
        <v>11497.5</v>
      </c>
      <c r="BN98" s="675">
        <f t="shared" si="330"/>
        <v>11680</v>
      </c>
      <c r="BO98" s="675">
        <f t="shared" si="330"/>
        <v>11862.5</v>
      </c>
      <c r="BP98" s="675">
        <f t="shared" si="330"/>
        <v>12045</v>
      </c>
      <c r="BQ98" s="675">
        <f t="shared" si="330"/>
        <v>12227.5</v>
      </c>
      <c r="BR98" s="675">
        <f t="shared" si="330"/>
        <v>12410</v>
      </c>
      <c r="BS98" s="675">
        <f t="shared" ref="BS98:CB98" si="331">BR98+IF($G31=1,365,182.5)</f>
        <v>12592.5</v>
      </c>
      <c r="BT98" s="675">
        <f t="shared" si="331"/>
        <v>12775</v>
      </c>
      <c r="BU98" s="675">
        <f t="shared" si="331"/>
        <v>12957.5</v>
      </c>
      <c r="BV98" s="675">
        <f t="shared" si="331"/>
        <v>13140</v>
      </c>
      <c r="BW98" s="675">
        <f t="shared" si="331"/>
        <v>13322.5</v>
      </c>
      <c r="BX98" s="675">
        <f t="shared" si="331"/>
        <v>13505</v>
      </c>
      <c r="BY98" s="675">
        <f t="shared" si="331"/>
        <v>13687.5</v>
      </c>
      <c r="BZ98" s="675">
        <f t="shared" si="331"/>
        <v>13870</v>
      </c>
      <c r="CA98" s="675">
        <f t="shared" si="331"/>
        <v>14052.5</v>
      </c>
      <c r="CB98" s="675">
        <f t="shared" si="331"/>
        <v>14235</v>
      </c>
      <c r="CF98" s="10"/>
      <c r="CG98" s="10"/>
      <c r="CH98" s="10"/>
      <c r="CI98" s="10"/>
      <c r="CJ98" s="10"/>
      <c r="CK98" s="10"/>
      <c r="CL98" s="10"/>
      <c r="CM98" s="10"/>
      <c r="CN98" s="10"/>
      <c r="CO98" s="10"/>
      <c r="CP98" s="10"/>
      <c r="CQ98" s="10"/>
      <c r="CR98" s="10"/>
      <c r="CS98" s="10"/>
      <c r="CT98" s="10"/>
      <c r="CU98" s="10"/>
      <c r="CV98" s="10"/>
      <c r="CW98" s="10"/>
      <c r="CX98" s="10"/>
      <c r="CY98" s="10"/>
      <c r="CZ98" s="10"/>
      <c r="DA98" s="10"/>
      <c r="DB98" s="10"/>
      <c r="DC98" s="10"/>
      <c r="DD98" s="10"/>
      <c r="DE98" s="10"/>
      <c r="DF98" s="10"/>
      <c r="DG98" s="10"/>
      <c r="DH98" s="10"/>
      <c r="DI98" s="10"/>
      <c r="DJ98" s="10"/>
      <c r="DK98" s="10"/>
    </row>
    <row r="99" spans="1:115">
      <c r="A99" s="676" t="s">
        <v>810</v>
      </c>
      <c r="B99" s="677">
        <f>(IF(B98=F31,100,0)+IF(G31=1,1,0.5)*J31*100)*IF(ISBLANK(F31)=TRUE,0,1)</f>
        <v>0</v>
      </c>
      <c r="C99" s="678">
        <f>IF(C98&gt;$F31+1,0,1)*(IF(D99=0,100,0)+IF($G31=1,1,0.5)*$J31*100)</f>
        <v>0</v>
      </c>
      <c r="D99" s="678">
        <f t="shared" ref="D99:F99" si="332">IF(D98&gt;$F31+1,0,1)*(IF(E99=0,100,0)+IF($G31=1,1,0.5)*$J31*100)</f>
        <v>0</v>
      </c>
      <c r="E99" s="678">
        <f t="shared" si="332"/>
        <v>0</v>
      </c>
      <c r="F99" s="678">
        <f t="shared" si="332"/>
        <v>0</v>
      </c>
      <c r="G99" s="678">
        <f t="shared" ref="G99" si="333">IF(G98&gt;$F31+1,0,1)*(IF(H99=0,100,0)+IF($G31=1,1,0.5)*$J31*100)</f>
        <v>0</v>
      </c>
      <c r="H99" s="678">
        <f t="shared" ref="H99:I99" si="334">IF(H98&gt;$F31+1,0,1)*(IF(I99=0,100,0)+IF($G31=1,1,0.5)*$J31*100)</f>
        <v>0</v>
      </c>
      <c r="I99" s="678">
        <f t="shared" si="334"/>
        <v>0</v>
      </c>
      <c r="J99" s="678">
        <f t="shared" ref="J99" si="335">IF(J98&gt;$F31+1,0,1)*(IF(K99=0,100,0)+IF($G31=1,1,0.5)*$J31*100)</f>
        <v>0</v>
      </c>
      <c r="K99" s="678">
        <f t="shared" ref="K99:L99" si="336">IF(K98&gt;$F31+1,0,1)*(IF(L99=0,100,0)+IF($G31=1,1,0.5)*$J31*100)</f>
        <v>0</v>
      </c>
      <c r="L99" s="678">
        <f t="shared" si="336"/>
        <v>0</v>
      </c>
      <c r="M99" s="678">
        <f t="shared" ref="M99" si="337">IF(M98&gt;$F31+1,0,1)*(IF(N99=0,100,0)+IF($G31=1,1,0.5)*$J31*100)</f>
        <v>0</v>
      </c>
      <c r="N99" s="678">
        <f t="shared" ref="N99:O99" si="338">IF(N98&gt;$F31+1,0,1)*(IF(O99=0,100,0)+IF($G31=1,1,0.5)*$J31*100)</f>
        <v>0</v>
      </c>
      <c r="O99" s="678">
        <f t="shared" si="338"/>
        <v>0</v>
      </c>
      <c r="P99" s="678">
        <f t="shared" ref="P99" si="339">IF(P98&gt;$F31+1,0,1)*(IF(Q99=0,100,0)+IF($G31=1,1,0.5)*$J31*100)</f>
        <v>0</v>
      </c>
      <c r="Q99" s="678">
        <f t="shared" ref="Q99:R99" si="340">IF(Q98&gt;$F31+1,0,1)*(IF(R99=0,100,0)+IF($G31=1,1,0.5)*$J31*100)</f>
        <v>0</v>
      </c>
      <c r="R99" s="678">
        <f t="shared" si="340"/>
        <v>0</v>
      </c>
      <c r="S99" s="678">
        <f t="shared" ref="S99" si="341">IF(S98&gt;$F31+1,0,1)*(IF(T99=0,100,0)+IF($G31=1,1,0.5)*$J31*100)</f>
        <v>0</v>
      </c>
      <c r="T99" s="678">
        <f t="shared" ref="T99:U99" si="342">IF(T98&gt;$F31+1,0,1)*(IF(U99=0,100,0)+IF($G31=1,1,0.5)*$J31*100)</f>
        <v>0</v>
      </c>
      <c r="U99" s="678">
        <f t="shared" si="342"/>
        <v>0</v>
      </c>
      <c r="V99" s="678">
        <f t="shared" ref="V99" si="343">IF(V98&gt;$F31+1,0,1)*(IF(W99=0,100,0)+IF($G31=1,1,0.5)*$J31*100)</f>
        <v>0</v>
      </c>
      <c r="W99" s="678">
        <f t="shared" ref="W99:X99" si="344">IF(W98&gt;$F31+1,0,1)*(IF(X99=0,100,0)+IF($G31=1,1,0.5)*$J31*100)</f>
        <v>0</v>
      </c>
      <c r="X99" s="678">
        <f t="shared" si="344"/>
        <v>0</v>
      </c>
      <c r="Y99" s="678">
        <f t="shared" ref="Y99" si="345">IF(Y98&gt;$F31+1,0,1)*(IF(Z99=0,100,0)+IF($G31=1,1,0.5)*$J31*100)</f>
        <v>0</v>
      </c>
      <c r="Z99" s="678">
        <f t="shared" ref="Z99:AA99" si="346">IF(Z98&gt;$F31+1,0,1)*(IF(AA99=0,100,0)+IF($G31=1,1,0.5)*$J31*100)</f>
        <v>0</v>
      </c>
      <c r="AA99" s="678">
        <f t="shared" si="346"/>
        <v>0</v>
      </c>
      <c r="AB99" s="678">
        <f t="shared" ref="AB99" si="347">IF(AB98&gt;$F31+1,0,1)*(IF(AC99=0,100,0)+IF($G31=1,1,0.5)*$J31*100)</f>
        <v>0</v>
      </c>
      <c r="AC99" s="678">
        <f t="shared" ref="AC99:AD99" si="348">IF(AC98&gt;$F31+1,0,1)*(IF(AD99=0,100,0)+IF($G31=1,1,0.5)*$J31*100)</f>
        <v>0</v>
      </c>
      <c r="AD99" s="678">
        <f t="shared" si="348"/>
        <v>0</v>
      </c>
      <c r="AE99" s="678">
        <f t="shared" ref="AE99" si="349">IF(AE98&gt;$F31+1,0,1)*(IF(AF99=0,100,0)+IF($G31=1,1,0.5)*$J31*100)</f>
        <v>0</v>
      </c>
      <c r="AF99" s="678">
        <f t="shared" ref="AF99:AG99" si="350">IF(AF98&gt;$F31+1,0,1)*(IF(AG99=0,100,0)+IF($G31=1,1,0.5)*$J31*100)</f>
        <v>0</v>
      </c>
      <c r="AG99" s="678">
        <f t="shared" si="350"/>
        <v>0</v>
      </c>
      <c r="AH99" s="678">
        <f t="shared" ref="AH99" si="351">IF(AH98&gt;$F31+1,0,1)*(IF(AI99=0,100,0)+IF($G31=1,1,0.5)*$J31*100)</f>
        <v>0</v>
      </c>
      <c r="AI99" s="678">
        <f t="shared" ref="AI99:AJ99" si="352">IF(AI98&gt;$F31+1,0,1)*(IF(AJ99=0,100,0)+IF($G31=1,1,0.5)*$J31*100)</f>
        <v>0</v>
      </c>
      <c r="AJ99" s="678">
        <f t="shared" si="352"/>
        <v>0</v>
      </c>
      <c r="AK99" s="678">
        <f t="shared" ref="AK99" si="353">IF(AK98&gt;$F31+1,0,1)*(IF(AL99=0,100,0)+IF($G31=1,1,0.5)*$J31*100)</f>
        <v>0</v>
      </c>
      <c r="AL99" s="678">
        <f t="shared" ref="AL99:AM99" si="354">IF(AL98&gt;$F31+1,0,1)*(IF(AM99=0,100,0)+IF($G31=1,1,0.5)*$J31*100)</f>
        <v>0</v>
      </c>
      <c r="AM99" s="678">
        <f t="shared" si="354"/>
        <v>0</v>
      </c>
      <c r="AN99" s="678">
        <f t="shared" ref="AN99" si="355">IF(AN98&gt;$F31+1,0,1)*(IF(AO99=0,100,0)+IF($G31=1,1,0.5)*$J31*100)</f>
        <v>0</v>
      </c>
      <c r="AO99" s="678">
        <f t="shared" ref="AO99:AP99" si="356">IF(AO98&gt;$F31+1,0,1)*(IF(AP99=0,100,0)+IF($G31=1,1,0.5)*$J31*100)</f>
        <v>0</v>
      </c>
      <c r="AP99" s="678">
        <f t="shared" si="356"/>
        <v>0</v>
      </c>
      <c r="AQ99" s="678">
        <f t="shared" ref="AQ99" si="357">IF(AQ98&gt;$F31+1,0,1)*(IF(AR99=0,100,0)+IF($G31=1,1,0.5)*$J31*100)</f>
        <v>0</v>
      </c>
      <c r="AR99" s="678">
        <f t="shared" ref="AR99:AS99" si="358">IF(AR98&gt;$F31+1,0,1)*(IF(AS99=0,100,0)+IF($G31=1,1,0.5)*$J31*100)</f>
        <v>0</v>
      </c>
      <c r="AS99" s="678">
        <f t="shared" si="358"/>
        <v>0</v>
      </c>
      <c r="AT99" s="678">
        <f t="shared" ref="AT99" si="359">IF(AT98&gt;$F31+1,0,1)*(IF(AU99=0,100,0)+IF($G31=1,1,0.5)*$J31*100)</f>
        <v>0</v>
      </c>
      <c r="AU99" s="678">
        <f t="shared" ref="AU99:AV99" si="360">IF(AU98&gt;$F31+1,0,1)*(IF(AV99=0,100,0)+IF($G31=1,1,0.5)*$J31*100)</f>
        <v>0</v>
      </c>
      <c r="AV99" s="678">
        <f t="shared" si="360"/>
        <v>0</v>
      </c>
      <c r="AW99" s="678">
        <f t="shared" ref="AW99" si="361">IF(AW98&gt;$F31+1,0,1)*(IF(AX99=0,100,0)+IF($G31=1,1,0.5)*$J31*100)</f>
        <v>0</v>
      </c>
      <c r="AX99" s="678">
        <f t="shared" ref="AX99:AY99" si="362">IF(AX98&gt;$F31+1,0,1)*(IF(AY99=0,100,0)+IF($G31=1,1,0.5)*$J31*100)</f>
        <v>0</v>
      </c>
      <c r="AY99" s="678">
        <f t="shared" si="362"/>
        <v>0</v>
      </c>
      <c r="AZ99" s="678">
        <f t="shared" ref="AZ99" si="363">IF(AZ98&gt;$F31+1,0,1)*(IF(BA99=0,100,0)+IF($G31=1,1,0.5)*$J31*100)</f>
        <v>0</v>
      </c>
      <c r="BA99" s="678">
        <f t="shared" ref="BA99:BB99" si="364">IF(BA98&gt;$F31+1,0,1)*(IF(BB99=0,100,0)+IF($G31=1,1,0.5)*$J31*100)</f>
        <v>0</v>
      </c>
      <c r="BB99" s="678">
        <f t="shared" si="364"/>
        <v>0</v>
      </c>
      <c r="BC99" s="678">
        <f t="shared" ref="BC99" si="365">IF(BC98&gt;$F31+1,0,1)*(IF(BD99=0,100,0)+IF($G31=1,1,0.5)*$J31*100)</f>
        <v>0</v>
      </c>
      <c r="BD99" s="678">
        <f t="shared" ref="BD99:BE99" si="366">IF(BD98&gt;$F31+1,0,1)*(IF(BE99=0,100,0)+IF($G31=1,1,0.5)*$J31*100)</f>
        <v>0</v>
      </c>
      <c r="BE99" s="678">
        <f t="shared" si="366"/>
        <v>0</v>
      </c>
      <c r="BF99" s="678">
        <f t="shared" ref="BF99" si="367">IF(BF98&gt;$F31+1,0,1)*(IF(BG99=0,100,0)+IF($G31=1,1,0.5)*$J31*100)</f>
        <v>0</v>
      </c>
      <c r="BG99" s="678">
        <f t="shared" ref="BG99:BH99" si="368">IF(BG98&gt;$F31+1,0,1)*(IF(BH99=0,100,0)+IF($G31=1,1,0.5)*$J31*100)</f>
        <v>0</v>
      </c>
      <c r="BH99" s="678">
        <f t="shared" si="368"/>
        <v>0</v>
      </c>
      <c r="BI99" s="678">
        <f t="shared" ref="BI99" si="369">IF(BI98&gt;$F31+1,0,1)*(IF(BJ99=0,100,0)+IF($G31=1,1,0.5)*$J31*100)</f>
        <v>0</v>
      </c>
      <c r="BJ99" s="678">
        <f t="shared" ref="BJ99:BK99" si="370">IF(BJ98&gt;$F31+1,0,1)*(IF(BK99=0,100,0)+IF($G31=1,1,0.5)*$J31*100)</f>
        <v>0</v>
      </c>
      <c r="BK99" s="678">
        <f t="shared" si="370"/>
        <v>0</v>
      </c>
      <c r="BL99" s="678">
        <f t="shared" ref="BL99" si="371">IF(BL98&gt;$F31+1,0,1)*(IF(BM99=0,100,0)+IF($G31=1,1,0.5)*$J31*100)</f>
        <v>0</v>
      </c>
      <c r="BM99" s="678">
        <f t="shared" ref="BM99:BN99" si="372">IF(BM98&gt;$F31+1,0,1)*(IF(BN99=0,100,0)+IF($G31=1,1,0.5)*$J31*100)</f>
        <v>0</v>
      </c>
      <c r="BN99" s="678">
        <f t="shared" si="372"/>
        <v>0</v>
      </c>
      <c r="BO99" s="678">
        <f t="shared" ref="BO99" si="373">IF(BO98&gt;$F31+1,0,1)*(IF(BP99=0,100,0)+IF($G31=1,1,0.5)*$J31*100)</f>
        <v>0</v>
      </c>
      <c r="BP99" s="678">
        <f t="shared" ref="BP99:BQ99" si="374">IF(BP98&gt;$F31+1,0,1)*(IF(BQ99=0,100,0)+IF($G31=1,1,0.5)*$J31*100)</f>
        <v>0</v>
      </c>
      <c r="BQ99" s="678">
        <f t="shared" si="374"/>
        <v>0</v>
      </c>
      <c r="BR99" s="678">
        <f t="shared" ref="BR99" si="375">IF(BR98&gt;$F31+1,0,1)*(IF(BS99=0,100,0)+IF($G31=1,1,0.5)*$J31*100)</f>
        <v>0</v>
      </c>
      <c r="BS99" s="678">
        <f t="shared" ref="BS99:BT99" si="376">IF(BS98&gt;$F31+1,0,1)*(IF(BT99=0,100,0)+IF($G31=1,1,0.5)*$J31*100)</f>
        <v>0</v>
      </c>
      <c r="BT99" s="678">
        <f t="shared" si="376"/>
        <v>0</v>
      </c>
      <c r="BU99" s="678">
        <f t="shared" ref="BU99" si="377">IF(BU98&gt;$F31+1,0,1)*(IF(BV99=0,100,0)+IF($G31=1,1,0.5)*$J31*100)</f>
        <v>0</v>
      </c>
      <c r="BV99" s="678">
        <f t="shared" ref="BV99:BW99" si="378">IF(BV98&gt;$F31+1,0,1)*(IF(BW99=0,100,0)+IF($G31=1,1,0.5)*$J31*100)</f>
        <v>0</v>
      </c>
      <c r="BW99" s="678">
        <f t="shared" si="378"/>
        <v>0</v>
      </c>
      <c r="BX99" s="678">
        <f t="shared" ref="BX99" si="379">IF(BX98&gt;$F31+1,0,1)*(IF(BY99=0,100,0)+IF($G31=1,1,0.5)*$J31*100)</f>
        <v>0</v>
      </c>
      <c r="BY99" s="678">
        <f t="shared" ref="BY99:BZ99" si="380">IF(BY98&gt;$F31+1,0,1)*(IF(BZ99=0,100,0)+IF($G31=1,1,0.5)*$J31*100)</f>
        <v>0</v>
      </c>
      <c r="BZ99" s="678">
        <f t="shared" si="380"/>
        <v>0</v>
      </c>
      <c r="CA99" s="678">
        <f t="shared" ref="CA99" si="381">IF(CA98&gt;$F31+1,0,1)*(IF(CB99=0,100,0)+IF($G31=1,1,0.5)*$J31*100)</f>
        <v>0</v>
      </c>
      <c r="CB99" s="678">
        <f t="shared" ref="CB99" si="382">IF(CB98&gt;$F31+1,0,1)*(IF(CC99=0,100,0)+IF($G31=1,1,0.5)*$J31*100)</f>
        <v>0</v>
      </c>
      <c r="CF99" s="10"/>
      <c r="CG99" s="10"/>
      <c r="CH99" s="10"/>
      <c r="CI99" s="10"/>
      <c r="CJ99" s="10"/>
      <c r="CK99" s="10"/>
      <c r="CL99" s="10"/>
      <c r="CM99" s="10"/>
      <c r="CN99" s="10"/>
      <c r="CO99" s="10"/>
      <c r="CP99" s="10"/>
      <c r="CQ99" s="10"/>
      <c r="CR99" s="10"/>
      <c r="CS99" s="10"/>
      <c r="CT99" s="10"/>
      <c r="CU99" s="10"/>
      <c r="CV99" s="10"/>
      <c r="CW99" s="10"/>
      <c r="CX99" s="10"/>
      <c r="CY99" s="10"/>
      <c r="CZ99" s="10"/>
      <c r="DA99" s="10"/>
      <c r="DB99" s="10"/>
      <c r="DC99" s="10"/>
      <c r="DD99" s="10"/>
      <c r="DE99" s="10"/>
      <c r="DF99" s="10"/>
      <c r="DG99" s="10"/>
      <c r="DH99" s="10"/>
      <c r="DI99" s="10"/>
      <c r="DJ99" s="10"/>
      <c r="DK99" s="10"/>
    </row>
    <row r="100" spans="1:115">
      <c r="A100" s="679" t="s">
        <v>49</v>
      </c>
      <c r="B100" s="138" t="str">
        <f>IF(E32=0,F32,E32)</f>
        <v>12/3/2019</v>
      </c>
      <c r="C100" s="70">
        <f>B100+IF($G32=1,365,182.5)</f>
        <v>43984.5</v>
      </c>
      <c r="D100" s="70">
        <f t="shared" ref="D100:F100" si="383">C100+IF($G32=1,365,182.5)</f>
        <v>44167</v>
      </c>
      <c r="E100" s="70">
        <f t="shared" si="383"/>
        <v>44349.5</v>
      </c>
      <c r="F100" s="70">
        <f t="shared" si="383"/>
        <v>44532</v>
      </c>
      <c r="G100" s="70">
        <f t="shared" ref="G100:BR100" si="384">F100+IF($G32=1,365,182.5)</f>
        <v>44714.5</v>
      </c>
      <c r="H100" s="70">
        <f t="shared" si="384"/>
        <v>44897</v>
      </c>
      <c r="I100" s="70">
        <f t="shared" si="384"/>
        <v>45079.5</v>
      </c>
      <c r="J100" s="70">
        <f t="shared" si="384"/>
        <v>45262</v>
      </c>
      <c r="K100" s="70">
        <f t="shared" si="384"/>
        <v>45444.5</v>
      </c>
      <c r="L100" s="70">
        <f t="shared" si="384"/>
        <v>45627</v>
      </c>
      <c r="M100" s="70">
        <f t="shared" si="384"/>
        <v>45809.5</v>
      </c>
      <c r="N100" s="70">
        <f t="shared" si="384"/>
        <v>45992</v>
      </c>
      <c r="O100" s="70">
        <f t="shared" si="384"/>
        <v>46174.5</v>
      </c>
      <c r="P100" s="70">
        <f t="shared" si="384"/>
        <v>46357</v>
      </c>
      <c r="Q100" s="70">
        <f t="shared" si="384"/>
        <v>46539.5</v>
      </c>
      <c r="R100" s="70">
        <f t="shared" si="384"/>
        <v>46722</v>
      </c>
      <c r="S100" s="70">
        <f t="shared" si="384"/>
        <v>46904.5</v>
      </c>
      <c r="T100" s="70">
        <f t="shared" si="384"/>
        <v>47087</v>
      </c>
      <c r="U100" s="70">
        <f t="shared" si="384"/>
        <v>47269.5</v>
      </c>
      <c r="V100" s="70">
        <f t="shared" si="384"/>
        <v>47452</v>
      </c>
      <c r="W100" s="70">
        <f t="shared" si="384"/>
        <v>47634.5</v>
      </c>
      <c r="X100" s="70">
        <f t="shared" si="384"/>
        <v>47817</v>
      </c>
      <c r="Y100" s="70">
        <f t="shared" si="384"/>
        <v>47999.5</v>
      </c>
      <c r="Z100" s="70">
        <f t="shared" si="384"/>
        <v>48182</v>
      </c>
      <c r="AA100" s="70">
        <f t="shared" si="384"/>
        <v>48364.5</v>
      </c>
      <c r="AB100" s="70">
        <f t="shared" si="384"/>
        <v>48547</v>
      </c>
      <c r="AC100" s="70">
        <f t="shared" si="384"/>
        <v>48729.5</v>
      </c>
      <c r="AD100" s="70">
        <f t="shared" si="384"/>
        <v>48912</v>
      </c>
      <c r="AE100" s="70">
        <f t="shared" si="384"/>
        <v>49094.5</v>
      </c>
      <c r="AF100" s="70">
        <f t="shared" si="384"/>
        <v>49277</v>
      </c>
      <c r="AG100" s="70">
        <f t="shared" si="384"/>
        <v>49459.5</v>
      </c>
      <c r="AH100" s="70">
        <f t="shared" si="384"/>
        <v>49642</v>
      </c>
      <c r="AI100" s="70">
        <f t="shared" si="384"/>
        <v>49824.5</v>
      </c>
      <c r="AJ100" s="70">
        <f t="shared" si="384"/>
        <v>50007</v>
      </c>
      <c r="AK100" s="70">
        <f t="shared" si="384"/>
        <v>50189.5</v>
      </c>
      <c r="AL100" s="70">
        <f t="shared" si="384"/>
        <v>50372</v>
      </c>
      <c r="AM100" s="70">
        <f t="shared" si="384"/>
        <v>50554.5</v>
      </c>
      <c r="AN100" s="70">
        <f t="shared" si="384"/>
        <v>50737</v>
      </c>
      <c r="AO100" s="70">
        <f t="shared" si="384"/>
        <v>50919.5</v>
      </c>
      <c r="AP100" s="70">
        <f t="shared" si="384"/>
        <v>51102</v>
      </c>
      <c r="AQ100" s="70">
        <f t="shared" si="384"/>
        <v>51284.5</v>
      </c>
      <c r="AR100" s="70">
        <f t="shared" si="384"/>
        <v>51467</v>
      </c>
      <c r="AS100" s="70">
        <f t="shared" si="384"/>
        <v>51649.5</v>
      </c>
      <c r="AT100" s="70">
        <f t="shared" si="384"/>
        <v>51832</v>
      </c>
      <c r="AU100" s="70">
        <f t="shared" si="384"/>
        <v>52014.5</v>
      </c>
      <c r="AV100" s="70">
        <f t="shared" si="384"/>
        <v>52197</v>
      </c>
      <c r="AW100" s="70">
        <f t="shared" si="384"/>
        <v>52379.5</v>
      </c>
      <c r="AX100" s="70">
        <f t="shared" si="384"/>
        <v>52562</v>
      </c>
      <c r="AY100" s="70">
        <f t="shared" si="384"/>
        <v>52744.5</v>
      </c>
      <c r="AZ100" s="70">
        <f t="shared" si="384"/>
        <v>52927</v>
      </c>
      <c r="BA100" s="70">
        <f t="shared" si="384"/>
        <v>53109.5</v>
      </c>
      <c r="BB100" s="70">
        <f t="shared" si="384"/>
        <v>53292</v>
      </c>
      <c r="BC100" s="70">
        <f t="shared" si="384"/>
        <v>53474.5</v>
      </c>
      <c r="BD100" s="70">
        <f t="shared" si="384"/>
        <v>53657</v>
      </c>
      <c r="BE100" s="70">
        <f t="shared" si="384"/>
        <v>53839.5</v>
      </c>
      <c r="BF100" s="70">
        <f t="shared" si="384"/>
        <v>54022</v>
      </c>
      <c r="BG100" s="70">
        <f t="shared" si="384"/>
        <v>54204.5</v>
      </c>
      <c r="BH100" s="70">
        <f t="shared" si="384"/>
        <v>54387</v>
      </c>
      <c r="BI100" s="70">
        <f t="shared" si="384"/>
        <v>54569.5</v>
      </c>
      <c r="BJ100" s="70">
        <f t="shared" si="384"/>
        <v>54752</v>
      </c>
      <c r="BK100" s="70">
        <f t="shared" si="384"/>
        <v>54934.5</v>
      </c>
      <c r="BL100" s="70">
        <f t="shared" si="384"/>
        <v>55117</v>
      </c>
      <c r="BM100" s="70">
        <f t="shared" si="384"/>
        <v>55299.5</v>
      </c>
      <c r="BN100" s="70">
        <f t="shared" si="384"/>
        <v>55482</v>
      </c>
      <c r="BO100" s="70">
        <f t="shared" si="384"/>
        <v>55664.5</v>
      </c>
      <c r="BP100" s="70">
        <f t="shared" si="384"/>
        <v>55847</v>
      </c>
      <c r="BQ100" s="70">
        <f t="shared" si="384"/>
        <v>56029.5</v>
      </c>
      <c r="BR100" s="70">
        <f t="shared" si="384"/>
        <v>56212</v>
      </c>
      <c r="BS100" s="70">
        <f t="shared" ref="BS100:CB100" si="385">BR100+IF($G32=1,365,182.5)</f>
        <v>56394.5</v>
      </c>
      <c r="BT100" s="70">
        <f t="shared" si="385"/>
        <v>56577</v>
      </c>
      <c r="BU100" s="70">
        <f t="shared" si="385"/>
        <v>56759.5</v>
      </c>
      <c r="BV100" s="70">
        <f t="shared" si="385"/>
        <v>56942</v>
      </c>
      <c r="BW100" s="70">
        <f t="shared" si="385"/>
        <v>57124.5</v>
      </c>
      <c r="BX100" s="70">
        <f t="shared" si="385"/>
        <v>57307</v>
      </c>
      <c r="BY100" s="70">
        <f t="shared" si="385"/>
        <v>57489.5</v>
      </c>
      <c r="BZ100" s="70">
        <f t="shared" si="385"/>
        <v>57672</v>
      </c>
      <c r="CA100" s="70">
        <f t="shared" si="385"/>
        <v>57854.5</v>
      </c>
      <c r="CB100" s="70">
        <f t="shared" si="385"/>
        <v>58037</v>
      </c>
      <c r="CF100" s="10"/>
      <c r="CG100" s="10"/>
      <c r="CH100" s="10"/>
      <c r="CI100" s="10"/>
      <c r="CJ100" s="10"/>
      <c r="CK100" s="10"/>
      <c r="CL100" s="10"/>
      <c r="CM100" s="10"/>
      <c r="CN100" s="10"/>
      <c r="CO100" s="10"/>
      <c r="CP100" s="10"/>
      <c r="CQ100" s="10"/>
      <c r="CR100" s="10"/>
      <c r="CS100" s="10"/>
      <c r="CT100" s="10"/>
      <c r="CU100" s="10"/>
      <c r="CV100" s="10"/>
      <c r="CW100" s="10"/>
      <c r="CX100" s="10"/>
      <c r="CY100" s="10"/>
      <c r="CZ100" s="10"/>
      <c r="DA100" s="10"/>
      <c r="DB100" s="10"/>
      <c r="DC100" s="10"/>
      <c r="DD100" s="10"/>
      <c r="DE100" s="10"/>
      <c r="DF100" s="10"/>
      <c r="DG100" s="10"/>
      <c r="DH100" s="10"/>
      <c r="DI100" s="10"/>
      <c r="DJ100" s="10"/>
      <c r="DK100" s="10"/>
    </row>
    <row r="101" spans="1:115">
      <c r="A101" s="680" t="s">
        <v>811</v>
      </c>
      <c r="B101" s="139">
        <f>(IF(B100=F32,100,0)+IF(G32=1,1,0.5)*J32*100)*IF(ISBLANK(F32)=TRUE,0,1)</f>
        <v>0.98</v>
      </c>
      <c r="C101" s="72">
        <f>IF(C100&gt;$F32+1,0,1)*(IF(D101=0,100,0)+IF($G32=1,1,0.5)*$J32*100)</f>
        <v>0.98</v>
      </c>
      <c r="D101" s="72">
        <f t="shared" ref="D101:F101" si="386">IF(D100&gt;$F32+1,0,1)*(IF(E101=0,100,0)+IF($G32=1,1,0.5)*$J32*100)</f>
        <v>0.98</v>
      </c>
      <c r="E101" s="72">
        <f t="shared" si="386"/>
        <v>0.98</v>
      </c>
      <c r="F101" s="72">
        <f t="shared" si="386"/>
        <v>0.98</v>
      </c>
      <c r="G101" s="72">
        <f t="shared" ref="G101" si="387">IF(G100&gt;$F32+1,0,1)*(IF(H101=0,100,0)+IF($G32=1,1,0.5)*$J32*100)</f>
        <v>0.98</v>
      </c>
      <c r="H101" s="72">
        <f t="shared" ref="H101:I101" si="388">IF(H100&gt;$F32+1,0,1)*(IF(I101=0,100,0)+IF($G32=1,1,0.5)*$J32*100)</f>
        <v>0.98</v>
      </c>
      <c r="I101" s="72">
        <f t="shared" si="388"/>
        <v>0.98</v>
      </c>
      <c r="J101" s="72">
        <f t="shared" ref="J101" si="389">IF(J100&gt;$F32+1,0,1)*(IF(K101=0,100,0)+IF($G32=1,1,0.5)*$J32*100)</f>
        <v>0.98</v>
      </c>
      <c r="K101" s="72">
        <f t="shared" ref="K101:L101" si="390">IF(K100&gt;$F32+1,0,1)*(IF(L101=0,100,0)+IF($G32=1,1,0.5)*$J32*100)</f>
        <v>100.98</v>
      </c>
      <c r="L101" s="72">
        <f t="shared" si="390"/>
        <v>0</v>
      </c>
      <c r="M101" s="72">
        <f t="shared" ref="M101" si="391">IF(M100&gt;$F32+1,0,1)*(IF(N101=0,100,0)+IF($G32=1,1,0.5)*$J32*100)</f>
        <v>0</v>
      </c>
      <c r="N101" s="72">
        <f t="shared" ref="N101:O101" si="392">IF(N100&gt;$F32+1,0,1)*(IF(O101=0,100,0)+IF($G32=1,1,0.5)*$J32*100)</f>
        <v>0</v>
      </c>
      <c r="O101" s="72">
        <f t="shared" si="392"/>
        <v>0</v>
      </c>
      <c r="P101" s="72">
        <f t="shared" ref="P101" si="393">IF(P100&gt;$F32+1,0,1)*(IF(Q101=0,100,0)+IF($G32=1,1,0.5)*$J32*100)</f>
        <v>0</v>
      </c>
      <c r="Q101" s="72">
        <f t="shared" ref="Q101:R101" si="394">IF(Q100&gt;$F32+1,0,1)*(IF(R101=0,100,0)+IF($G32=1,1,0.5)*$J32*100)</f>
        <v>0</v>
      </c>
      <c r="R101" s="72">
        <f t="shared" si="394"/>
        <v>0</v>
      </c>
      <c r="S101" s="72">
        <f t="shared" ref="S101" si="395">IF(S100&gt;$F32+1,0,1)*(IF(T101=0,100,0)+IF($G32=1,1,0.5)*$J32*100)</f>
        <v>0</v>
      </c>
      <c r="T101" s="72">
        <f t="shared" ref="T101:U101" si="396">IF(T100&gt;$F32+1,0,1)*(IF(U101=0,100,0)+IF($G32=1,1,0.5)*$J32*100)</f>
        <v>0</v>
      </c>
      <c r="U101" s="72">
        <f t="shared" si="396"/>
        <v>0</v>
      </c>
      <c r="V101" s="72">
        <f t="shared" ref="V101" si="397">IF(V100&gt;$F32+1,0,1)*(IF(W101=0,100,0)+IF($G32=1,1,0.5)*$J32*100)</f>
        <v>0</v>
      </c>
      <c r="W101" s="72">
        <f t="shared" ref="W101:X101" si="398">IF(W100&gt;$F32+1,0,1)*(IF(X101=0,100,0)+IF($G32=1,1,0.5)*$J32*100)</f>
        <v>0</v>
      </c>
      <c r="X101" s="72">
        <f t="shared" si="398"/>
        <v>0</v>
      </c>
      <c r="Y101" s="72">
        <f t="shared" ref="Y101" si="399">IF(Y100&gt;$F32+1,0,1)*(IF(Z101=0,100,0)+IF($G32=1,1,0.5)*$J32*100)</f>
        <v>0</v>
      </c>
      <c r="Z101" s="72">
        <f t="shared" ref="Z101:AA101" si="400">IF(Z100&gt;$F32+1,0,1)*(IF(AA101=0,100,0)+IF($G32=1,1,0.5)*$J32*100)</f>
        <v>0</v>
      </c>
      <c r="AA101" s="72">
        <f t="shared" si="400"/>
        <v>0</v>
      </c>
      <c r="AB101" s="72">
        <f t="shared" ref="AB101" si="401">IF(AB100&gt;$F32+1,0,1)*(IF(AC101=0,100,0)+IF($G32=1,1,0.5)*$J32*100)</f>
        <v>0</v>
      </c>
      <c r="AC101" s="72">
        <f t="shared" ref="AC101:AD101" si="402">IF(AC100&gt;$F32+1,0,1)*(IF(AD101=0,100,0)+IF($G32=1,1,0.5)*$J32*100)</f>
        <v>0</v>
      </c>
      <c r="AD101" s="72">
        <f t="shared" si="402"/>
        <v>0</v>
      </c>
      <c r="AE101" s="72">
        <f t="shared" ref="AE101" si="403">IF(AE100&gt;$F32+1,0,1)*(IF(AF101=0,100,0)+IF($G32=1,1,0.5)*$J32*100)</f>
        <v>0</v>
      </c>
      <c r="AF101" s="72">
        <f t="shared" ref="AF101:AG101" si="404">IF(AF100&gt;$F32+1,0,1)*(IF(AG101=0,100,0)+IF($G32=1,1,0.5)*$J32*100)</f>
        <v>0</v>
      </c>
      <c r="AG101" s="72">
        <f t="shared" si="404"/>
        <v>0</v>
      </c>
      <c r="AH101" s="72">
        <f t="shared" ref="AH101" si="405">IF(AH100&gt;$F32+1,0,1)*(IF(AI101=0,100,0)+IF($G32=1,1,0.5)*$J32*100)</f>
        <v>0</v>
      </c>
      <c r="AI101" s="72">
        <f t="shared" ref="AI101:AJ101" si="406">IF(AI100&gt;$F32+1,0,1)*(IF(AJ101=0,100,0)+IF($G32=1,1,0.5)*$J32*100)</f>
        <v>0</v>
      </c>
      <c r="AJ101" s="72">
        <f t="shared" si="406"/>
        <v>0</v>
      </c>
      <c r="AK101" s="72">
        <f t="shared" ref="AK101" si="407">IF(AK100&gt;$F32+1,0,1)*(IF(AL101=0,100,0)+IF($G32=1,1,0.5)*$J32*100)</f>
        <v>0</v>
      </c>
      <c r="AL101" s="72">
        <f t="shared" ref="AL101:AM101" si="408">IF(AL100&gt;$F32+1,0,1)*(IF(AM101=0,100,0)+IF($G32=1,1,0.5)*$J32*100)</f>
        <v>0</v>
      </c>
      <c r="AM101" s="72">
        <f t="shared" si="408"/>
        <v>0</v>
      </c>
      <c r="AN101" s="72">
        <f t="shared" ref="AN101" si="409">IF(AN100&gt;$F32+1,0,1)*(IF(AO101=0,100,0)+IF($G32=1,1,0.5)*$J32*100)</f>
        <v>0</v>
      </c>
      <c r="AO101" s="72">
        <f t="shared" ref="AO101:AP101" si="410">IF(AO100&gt;$F32+1,0,1)*(IF(AP101=0,100,0)+IF($G32=1,1,0.5)*$J32*100)</f>
        <v>0</v>
      </c>
      <c r="AP101" s="72">
        <f t="shared" si="410"/>
        <v>0</v>
      </c>
      <c r="AQ101" s="72">
        <f t="shared" ref="AQ101" si="411">IF(AQ100&gt;$F32+1,0,1)*(IF(AR101=0,100,0)+IF($G32=1,1,0.5)*$J32*100)</f>
        <v>0</v>
      </c>
      <c r="AR101" s="72">
        <f t="shared" ref="AR101:AS101" si="412">IF(AR100&gt;$F32+1,0,1)*(IF(AS101=0,100,0)+IF($G32=1,1,0.5)*$J32*100)</f>
        <v>0</v>
      </c>
      <c r="AS101" s="72">
        <f t="shared" si="412"/>
        <v>0</v>
      </c>
      <c r="AT101" s="72">
        <f t="shared" ref="AT101" si="413">IF(AT100&gt;$F32+1,0,1)*(IF(AU101=0,100,0)+IF($G32=1,1,0.5)*$J32*100)</f>
        <v>0</v>
      </c>
      <c r="AU101" s="72">
        <f t="shared" ref="AU101:AV101" si="414">IF(AU100&gt;$F32+1,0,1)*(IF(AV101=0,100,0)+IF($G32=1,1,0.5)*$J32*100)</f>
        <v>0</v>
      </c>
      <c r="AV101" s="72">
        <f t="shared" si="414"/>
        <v>0</v>
      </c>
      <c r="AW101" s="72">
        <f t="shared" ref="AW101" si="415">IF(AW100&gt;$F32+1,0,1)*(IF(AX101=0,100,0)+IF($G32=1,1,0.5)*$J32*100)</f>
        <v>0</v>
      </c>
      <c r="AX101" s="72">
        <f t="shared" ref="AX101:AY101" si="416">IF(AX100&gt;$F32+1,0,1)*(IF(AY101=0,100,0)+IF($G32=1,1,0.5)*$J32*100)</f>
        <v>0</v>
      </c>
      <c r="AY101" s="72">
        <f t="shared" si="416"/>
        <v>0</v>
      </c>
      <c r="AZ101" s="72">
        <f t="shared" ref="AZ101" si="417">IF(AZ100&gt;$F32+1,0,1)*(IF(BA101=0,100,0)+IF($G32=1,1,0.5)*$J32*100)</f>
        <v>0</v>
      </c>
      <c r="BA101" s="72">
        <f t="shared" ref="BA101:BB101" si="418">IF(BA100&gt;$F32+1,0,1)*(IF(BB101=0,100,0)+IF($G32=1,1,0.5)*$J32*100)</f>
        <v>0</v>
      </c>
      <c r="BB101" s="72">
        <f t="shared" si="418"/>
        <v>0</v>
      </c>
      <c r="BC101" s="72">
        <f t="shared" ref="BC101" si="419">IF(BC100&gt;$F32+1,0,1)*(IF(BD101=0,100,0)+IF($G32=1,1,0.5)*$J32*100)</f>
        <v>0</v>
      </c>
      <c r="BD101" s="72">
        <f t="shared" ref="BD101:BE101" si="420">IF(BD100&gt;$F32+1,0,1)*(IF(BE101=0,100,0)+IF($G32=1,1,0.5)*$J32*100)</f>
        <v>0</v>
      </c>
      <c r="BE101" s="72">
        <f t="shared" si="420"/>
        <v>0</v>
      </c>
      <c r="BF101" s="72">
        <f t="shared" ref="BF101" si="421">IF(BF100&gt;$F32+1,0,1)*(IF(BG101=0,100,0)+IF($G32=1,1,0.5)*$J32*100)</f>
        <v>0</v>
      </c>
      <c r="BG101" s="72">
        <f t="shared" ref="BG101:BH101" si="422">IF(BG100&gt;$F32+1,0,1)*(IF(BH101=0,100,0)+IF($G32=1,1,0.5)*$J32*100)</f>
        <v>0</v>
      </c>
      <c r="BH101" s="72">
        <f t="shared" si="422"/>
        <v>0</v>
      </c>
      <c r="BI101" s="72">
        <f t="shared" ref="BI101" si="423">IF(BI100&gt;$F32+1,0,1)*(IF(BJ101=0,100,0)+IF($G32=1,1,0.5)*$J32*100)</f>
        <v>0</v>
      </c>
      <c r="BJ101" s="72">
        <f t="shared" ref="BJ101:BK101" si="424">IF(BJ100&gt;$F32+1,0,1)*(IF(BK101=0,100,0)+IF($G32=1,1,0.5)*$J32*100)</f>
        <v>0</v>
      </c>
      <c r="BK101" s="72">
        <f t="shared" si="424"/>
        <v>0</v>
      </c>
      <c r="BL101" s="72">
        <f t="shared" ref="BL101" si="425">IF(BL100&gt;$F32+1,0,1)*(IF(BM101=0,100,0)+IF($G32=1,1,0.5)*$J32*100)</f>
        <v>0</v>
      </c>
      <c r="BM101" s="72">
        <f t="shared" ref="BM101:BN101" si="426">IF(BM100&gt;$F32+1,0,1)*(IF(BN101=0,100,0)+IF($G32=1,1,0.5)*$J32*100)</f>
        <v>0</v>
      </c>
      <c r="BN101" s="72">
        <f t="shared" si="426"/>
        <v>0</v>
      </c>
      <c r="BO101" s="72">
        <f t="shared" ref="BO101" si="427">IF(BO100&gt;$F32+1,0,1)*(IF(BP101=0,100,0)+IF($G32=1,1,0.5)*$J32*100)</f>
        <v>0</v>
      </c>
      <c r="BP101" s="72">
        <f t="shared" ref="BP101:BQ101" si="428">IF(BP100&gt;$F32+1,0,1)*(IF(BQ101=0,100,0)+IF($G32=1,1,0.5)*$J32*100)</f>
        <v>0</v>
      </c>
      <c r="BQ101" s="72">
        <f t="shared" si="428"/>
        <v>0</v>
      </c>
      <c r="BR101" s="72">
        <f t="shared" ref="BR101" si="429">IF(BR100&gt;$F32+1,0,1)*(IF(BS101=0,100,0)+IF($G32=1,1,0.5)*$J32*100)</f>
        <v>0</v>
      </c>
      <c r="BS101" s="72">
        <f t="shared" ref="BS101:BT101" si="430">IF(BS100&gt;$F32+1,0,1)*(IF(BT101=0,100,0)+IF($G32=1,1,0.5)*$J32*100)</f>
        <v>0</v>
      </c>
      <c r="BT101" s="72">
        <f t="shared" si="430"/>
        <v>0</v>
      </c>
      <c r="BU101" s="72">
        <f t="shared" ref="BU101" si="431">IF(BU100&gt;$F32+1,0,1)*(IF(BV101=0,100,0)+IF($G32=1,1,0.5)*$J32*100)</f>
        <v>0</v>
      </c>
      <c r="BV101" s="72">
        <f t="shared" ref="BV101:BW101" si="432">IF(BV100&gt;$F32+1,0,1)*(IF(BW101=0,100,0)+IF($G32=1,1,0.5)*$J32*100)</f>
        <v>0</v>
      </c>
      <c r="BW101" s="72">
        <f t="shared" si="432"/>
        <v>0</v>
      </c>
      <c r="BX101" s="72">
        <f t="shared" ref="BX101" si="433">IF(BX100&gt;$F32+1,0,1)*(IF(BY101=0,100,0)+IF($G32=1,1,0.5)*$J32*100)</f>
        <v>0</v>
      </c>
      <c r="BY101" s="72">
        <f t="shared" ref="BY101:BZ101" si="434">IF(BY100&gt;$F32+1,0,1)*(IF(BZ101=0,100,0)+IF($G32=1,1,0.5)*$J32*100)</f>
        <v>0</v>
      </c>
      <c r="BZ101" s="72">
        <f t="shared" si="434"/>
        <v>0</v>
      </c>
      <c r="CA101" s="72">
        <f t="shared" ref="CA101" si="435">IF(CA100&gt;$F32+1,0,1)*(IF(CB101=0,100,0)+IF($G32=1,1,0.5)*$J32*100)</f>
        <v>0</v>
      </c>
      <c r="CB101" s="72">
        <f t="shared" ref="CB101" si="436">IF(CB100&gt;$F32+1,0,1)*(IF(CC101=0,100,0)+IF($G32=1,1,0.5)*$J32*100)</f>
        <v>0</v>
      </c>
      <c r="CF101" s="10"/>
      <c r="CG101" s="10"/>
      <c r="CH101" s="10"/>
      <c r="CI101" s="10"/>
      <c r="CJ101" s="10"/>
      <c r="CK101" s="10"/>
      <c r="CL101" s="10"/>
      <c r="CM101" s="10"/>
      <c r="CN101" s="10"/>
      <c r="CO101" s="10"/>
      <c r="CP101" s="10"/>
      <c r="CQ101" s="10"/>
      <c r="CR101" s="10"/>
      <c r="CS101" s="10"/>
      <c r="CT101" s="10"/>
      <c r="CU101" s="10"/>
      <c r="CV101" s="10"/>
      <c r="CW101" s="10"/>
      <c r="CX101" s="10"/>
      <c r="CY101" s="10"/>
      <c r="CZ101" s="10"/>
      <c r="DA101" s="10"/>
      <c r="DB101" s="10"/>
      <c r="DC101" s="10"/>
      <c r="DD101" s="10"/>
      <c r="DE101" s="10"/>
      <c r="DF101" s="10"/>
      <c r="DG101" s="10"/>
      <c r="DH101" s="10"/>
      <c r="DI101" s="10"/>
      <c r="DJ101" s="10"/>
      <c r="DK101" s="10"/>
    </row>
    <row r="102" spans="1:115">
      <c r="A102" s="666" t="s">
        <v>49</v>
      </c>
      <c r="B102" s="667">
        <f>IF(E33=0,F33,E33)</f>
        <v>0</v>
      </c>
      <c r="C102" s="668">
        <f>B102+IF($G33=1,365,182.5)</f>
        <v>182.5</v>
      </c>
      <c r="D102" s="668">
        <f t="shared" ref="D102:F102" si="437">C102+IF($G33=1,365,182.5)</f>
        <v>365</v>
      </c>
      <c r="E102" s="668">
        <f t="shared" si="437"/>
        <v>547.5</v>
      </c>
      <c r="F102" s="668">
        <f t="shared" si="437"/>
        <v>730</v>
      </c>
      <c r="G102" s="668">
        <f t="shared" ref="G102:BR102" si="438">F102+IF($G33=1,365,182.5)</f>
        <v>912.5</v>
      </c>
      <c r="H102" s="668">
        <f t="shared" si="438"/>
        <v>1095</v>
      </c>
      <c r="I102" s="668">
        <f t="shared" si="438"/>
        <v>1277.5</v>
      </c>
      <c r="J102" s="668">
        <f t="shared" si="438"/>
        <v>1460</v>
      </c>
      <c r="K102" s="668">
        <f t="shared" si="438"/>
        <v>1642.5</v>
      </c>
      <c r="L102" s="668">
        <f t="shared" si="438"/>
        <v>1825</v>
      </c>
      <c r="M102" s="668">
        <f t="shared" si="438"/>
        <v>2007.5</v>
      </c>
      <c r="N102" s="668">
        <f t="shared" si="438"/>
        <v>2190</v>
      </c>
      <c r="O102" s="668">
        <f t="shared" si="438"/>
        <v>2372.5</v>
      </c>
      <c r="P102" s="668">
        <f t="shared" si="438"/>
        <v>2555</v>
      </c>
      <c r="Q102" s="668">
        <f t="shared" si="438"/>
        <v>2737.5</v>
      </c>
      <c r="R102" s="668">
        <f t="shared" si="438"/>
        <v>2920</v>
      </c>
      <c r="S102" s="668">
        <f t="shared" si="438"/>
        <v>3102.5</v>
      </c>
      <c r="T102" s="668">
        <f t="shared" si="438"/>
        <v>3285</v>
      </c>
      <c r="U102" s="668">
        <f t="shared" si="438"/>
        <v>3467.5</v>
      </c>
      <c r="V102" s="668">
        <f t="shared" si="438"/>
        <v>3650</v>
      </c>
      <c r="W102" s="668">
        <f t="shared" si="438"/>
        <v>3832.5</v>
      </c>
      <c r="X102" s="668">
        <f t="shared" si="438"/>
        <v>4015</v>
      </c>
      <c r="Y102" s="668">
        <f t="shared" si="438"/>
        <v>4197.5</v>
      </c>
      <c r="Z102" s="668">
        <f t="shared" si="438"/>
        <v>4380</v>
      </c>
      <c r="AA102" s="668">
        <f t="shared" si="438"/>
        <v>4562.5</v>
      </c>
      <c r="AB102" s="668">
        <f t="shared" si="438"/>
        <v>4745</v>
      </c>
      <c r="AC102" s="668">
        <f t="shared" si="438"/>
        <v>4927.5</v>
      </c>
      <c r="AD102" s="668">
        <f t="shared" si="438"/>
        <v>5110</v>
      </c>
      <c r="AE102" s="668">
        <f t="shared" si="438"/>
        <v>5292.5</v>
      </c>
      <c r="AF102" s="668">
        <f t="shared" si="438"/>
        <v>5475</v>
      </c>
      <c r="AG102" s="668">
        <f t="shared" si="438"/>
        <v>5657.5</v>
      </c>
      <c r="AH102" s="668">
        <f t="shared" si="438"/>
        <v>5840</v>
      </c>
      <c r="AI102" s="668">
        <f t="shared" si="438"/>
        <v>6022.5</v>
      </c>
      <c r="AJ102" s="668">
        <f t="shared" si="438"/>
        <v>6205</v>
      </c>
      <c r="AK102" s="668">
        <f t="shared" si="438"/>
        <v>6387.5</v>
      </c>
      <c r="AL102" s="668">
        <f t="shared" si="438"/>
        <v>6570</v>
      </c>
      <c r="AM102" s="668">
        <f t="shared" si="438"/>
        <v>6752.5</v>
      </c>
      <c r="AN102" s="668">
        <f t="shared" si="438"/>
        <v>6935</v>
      </c>
      <c r="AO102" s="668">
        <f t="shared" si="438"/>
        <v>7117.5</v>
      </c>
      <c r="AP102" s="668">
        <f t="shared" si="438"/>
        <v>7300</v>
      </c>
      <c r="AQ102" s="668">
        <f t="shared" si="438"/>
        <v>7482.5</v>
      </c>
      <c r="AR102" s="668">
        <f t="shared" si="438"/>
        <v>7665</v>
      </c>
      <c r="AS102" s="668">
        <f t="shared" si="438"/>
        <v>7847.5</v>
      </c>
      <c r="AT102" s="668">
        <f t="shared" si="438"/>
        <v>8030</v>
      </c>
      <c r="AU102" s="668">
        <f t="shared" si="438"/>
        <v>8212.5</v>
      </c>
      <c r="AV102" s="668">
        <f t="shared" si="438"/>
        <v>8395</v>
      </c>
      <c r="AW102" s="668">
        <f t="shared" si="438"/>
        <v>8577.5</v>
      </c>
      <c r="AX102" s="668">
        <f t="shared" si="438"/>
        <v>8760</v>
      </c>
      <c r="AY102" s="668">
        <f t="shared" si="438"/>
        <v>8942.5</v>
      </c>
      <c r="AZ102" s="668">
        <f t="shared" si="438"/>
        <v>9125</v>
      </c>
      <c r="BA102" s="668">
        <f t="shared" si="438"/>
        <v>9307.5</v>
      </c>
      <c r="BB102" s="668">
        <f t="shared" si="438"/>
        <v>9490</v>
      </c>
      <c r="BC102" s="668">
        <f t="shared" si="438"/>
        <v>9672.5</v>
      </c>
      <c r="BD102" s="668">
        <f t="shared" si="438"/>
        <v>9855</v>
      </c>
      <c r="BE102" s="668">
        <f t="shared" si="438"/>
        <v>10037.5</v>
      </c>
      <c r="BF102" s="668">
        <f t="shared" si="438"/>
        <v>10220</v>
      </c>
      <c r="BG102" s="668">
        <f t="shared" si="438"/>
        <v>10402.5</v>
      </c>
      <c r="BH102" s="668">
        <f t="shared" si="438"/>
        <v>10585</v>
      </c>
      <c r="BI102" s="668">
        <f t="shared" si="438"/>
        <v>10767.5</v>
      </c>
      <c r="BJ102" s="668">
        <f t="shared" si="438"/>
        <v>10950</v>
      </c>
      <c r="BK102" s="668">
        <f t="shared" si="438"/>
        <v>11132.5</v>
      </c>
      <c r="BL102" s="668">
        <f t="shared" si="438"/>
        <v>11315</v>
      </c>
      <c r="BM102" s="668">
        <f t="shared" si="438"/>
        <v>11497.5</v>
      </c>
      <c r="BN102" s="668">
        <f t="shared" si="438"/>
        <v>11680</v>
      </c>
      <c r="BO102" s="668">
        <f t="shared" si="438"/>
        <v>11862.5</v>
      </c>
      <c r="BP102" s="668">
        <f t="shared" si="438"/>
        <v>12045</v>
      </c>
      <c r="BQ102" s="668">
        <f t="shared" si="438"/>
        <v>12227.5</v>
      </c>
      <c r="BR102" s="668">
        <f t="shared" si="438"/>
        <v>12410</v>
      </c>
      <c r="BS102" s="668">
        <f t="shared" ref="BS102:CB102" si="439">BR102+IF($G33=1,365,182.5)</f>
        <v>12592.5</v>
      </c>
      <c r="BT102" s="668">
        <f t="shared" si="439"/>
        <v>12775</v>
      </c>
      <c r="BU102" s="668">
        <f t="shared" si="439"/>
        <v>12957.5</v>
      </c>
      <c r="BV102" s="668">
        <f t="shared" si="439"/>
        <v>13140</v>
      </c>
      <c r="BW102" s="668">
        <f t="shared" si="439"/>
        <v>13322.5</v>
      </c>
      <c r="BX102" s="668">
        <f t="shared" si="439"/>
        <v>13505</v>
      </c>
      <c r="BY102" s="668">
        <f t="shared" si="439"/>
        <v>13687.5</v>
      </c>
      <c r="BZ102" s="668">
        <f t="shared" si="439"/>
        <v>13870</v>
      </c>
      <c r="CA102" s="668">
        <f t="shared" si="439"/>
        <v>14052.5</v>
      </c>
      <c r="CB102" s="668">
        <f t="shared" si="439"/>
        <v>14235</v>
      </c>
      <c r="CF102" s="10"/>
      <c r="CG102" s="10"/>
      <c r="CH102" s="10"/>
      <c r="CI102" s="10"/>
      <c r="CJ102" s="10"/>
      <c r="CK102" s="10"/>
      <c r="CL102" s="10"/>
      <c r="CM102" s="10"/>
      <c r="CN102" s="10"/>
      <c r="CO102" s="10"/>
      <c r="CP102" s="10"/>
      <c r="CQ102" s="10"/>
      <c r="CR102" s="10"/>
      <c r="CS102" s="10"/>
      <c r="CT102" s="10"/>
      <c r="CU102" s="10"/>
      <c r="CV102" s="10"/>
      <c r="CW102" s="10"/>
      <c r="CX102" s="10"/>
      <c r="CY102" s="10"/>
      <c r="CZ102" s="10"/>
      <c r="DA102" s="10"/>
      <c r="DB102" s="10"/>
      <c r="DC102" s="10"/>
      <c r="DD102" s="10"/>
      <c r="DE102" s="10"/>
      <c r="DF102" s="10"/>
      <c r="DG102" s="10"/>
      <c r="DH102" s="10"/>
      <c r="DI102" s="10"/>
      <c r="DJ102" s="10"/>
      <c r="DK102" s="10"/>
    </row>
    <row r="103" spans="1:115">
      <c r="A103" s="669" t="s">
        <v>812</v>
      </c>
      <c r="B103" s="670">
        <f>(IF(B102=F33,100,0)+IF(G33=1,1,0.5)*J33*100)*IF(ISBLANK(F33)=TRUE,0,1)</f>
        <v>0</v>
      </c>
      <c r="C103" s="671">
        <f>IF(C102&gt;$F33+1,0,1)*(IF(D103=0,100,0)+IF($G33=1,1,0.5)*$J33*100)</f>
        <v>0</v>
      </c>
      <c r="D103" s="671">
        <f t="shared" ref="D103:F103" si="440">IF(D102&gt;$F33+1,0,1)*(IF(E103=0,100,0)+IF($G33=1,1,0.5)*$J33*100)</f>
        <v>0</v>
      </c>
      <c r="E103" s="671">
        <f t="shared" si="440"/>
        <v>0</v>
      </c>
      <c r="F103" s="671">
        <f t="shared" si="440"/>
        <v>0</v>
      </c>
      <c r="G103" s="671">
        <f t="shared" ref="G103" si="441">IF(G102&gt;$F33+1,0,1)*(IF(H103=0,100,0)+IF($G33=1,1,0.5)*$J33*100)</f>
        <v>0</v>
      </c>
      <c r="H103" s="671">
        <f t="shared" ref="H103:I103" si="442">IF(H102&gt;$F33+1,0,1)*(IF(I103=0,100,0)+IF($G33=1,1,0.5)*$J33*100)</f>
        <v>0</v>
      </c>
      <c r="I103" s="671">
        <f t="shared" si="442"/>
        <v>0</v>
      </c>
      <c r="J103" s="671">
        <f t="shared" ref="J103" si="443">IF(J102&gt;$F33+1,0,1)*(IF(K103=0,100,0)+IF($G33=1,1,0.5)*$J33*100)</f>
        <v>0</v>
      </c>
      <c r="K103" s="671">
        <f t="shared" ref="K103:L103" si="444">IF(K102&gt;$F33+1,0,1)*(IF(L103=0,100,0)+IF($G33=1,1,0.5)*$J33*100)</f>
        <v>0</v>
      </c>
      <c r="L103" s="671">
        <f t="shared" si="444"/>
        <v>0</v>
      </c>
      <c r="M103" s="671">
        <f t="shared" ref="M103" si="445">IF(M102&gt;$F33+1,0,1)*(IF(N103=0,100,0)+IF($G33=1,1,0.5)*$J33*100)</f>
        <v>0</v>
      </c>
      <c r="N103" s="671">
        <f t="shared" ref="N103:O103" si="446">IF(N102&gt;$F33+1,0,1)*(IF(O103=0,100,0)+IF($G33=1,1,0.5)*$J33*100)</f>
        <v>0</v>
      </c>
      <c r="O103" s="671">
        <f t="shared" si="446"/>
        <v>0</v>
      </c>
      <c r="P103" s="671">
        <f t="shared" ref="P103" si="447">IF(P102&gt;$F33+1,0,1)*(IF(Q103=0,100,0)+IF($G33=1,1,0.5)*$J33*100)</f>
        <v>0</v>
      </c>
      <c r="Q103" s="671">
        <f t="shared" ref="Q103:R103" si="448">IF(Q102&gt;$F33+1,0,1)*(IF(R103=0,100,0)+IF($G33=1,1,0.5)*$J33*100)</f>
        <v>0</v>
      </c>
      <c r="R103" s="671">
        <f t="shared" si="448"/>
        <v>0</v>
      </c>
      <c r="S103" s="671">
        <f t="shared" ref="S103" si="449">IF(S102&gt;$F33+1,0,1)*(IF(T103=0,100,0)+IF($G33=1,1,0.5)*$J33*100)</f>
        <v>0</v>
      </c>
      <c r="T103" s="671">
        <f t="shared" ref="T103:U103" si="450">IF(T102&gt;$F33+1,0,1)*(IF(U103=0,100,0)+IF($G33=1,1,0.5)*$J33*100)</f>
        <v>0</v>
      </c>
      <c r="U103" s="671">
        <f t="shared" si="450"/>
        <v>0</v>
      </c>
      <c r="V103" s="671">
        <f t="shared" ref="V103" si="451">IF(V102&gt;$F33+1,0,1)*(IF(W103=0,100,0)+IF($G33=1,1,0.5)*$J33*100)</f>
        <v>0</v>
      </c>
      <c r="W103" s="671">
        <f t="shared" ref="W103:X103" si="452">IF(W102&gt;$F33+1,0,1)*(IF(X103=0,100,0)+IF($G33=1,1,0.5)*$J33*100)</f>
        <v>0</v>
      </c>
      <c r="X103" s="671">
        <f t="shared" si="452"/>
        <v>0</v>
      </c>
      <c r="Y103" s="671">
        <f t="shared" ref="Y103" si="453">IF(Y102&gt;$F33+1,0,1)*(IF(Z103=0,100,0)+IF($G33=1,1,0.5)*$J33*100)</f>
        <v>0</v>
      </c>
      <c r="Z103" s="671">
        <f t="shared" ref="Z103:AA103" si="454">IF(Z102&gt;$F33+1,0,1)*(IF(AA103=0,100,0)+IF($G33=1,1,0.5)*$J33*100)</f>
        <v>0</v>
      </c>
      <c r="AA103" s="671">
        <f t="shared" si="454"/>
        <v>0</v>
      </c>
      <c r="AB103" s="671">
        <f t="shared" ref="AB103" si="455">IF(AB102&gt;$F33+1,0,1)*(IF(AC103=0,100,0)+IF($G33=1,1,0.5)*$J33*100)</f>
        <v>0</v>
      </c>
      <c r="AC103" s="671">
        <f t="shared" ref="AC103:AD103" si="456">IF(AC102&gt;$F33+1,0,1)*(IF(AD103=0,100,0)+IF($G33=1,1,0.5)*$J33*100)</f>
        <v>0</v>
      </c>
      <c r="AD103" s="671">
        <f t="shared" si="456"/>
        <v>0</v>
      </c>
      <c r="AE103" s="671">
        <f t="shared" ref="AE103" si="457">IF(AE102&gt;$F33+1,0,1)*(IF(AF103=0,100,0)+IF($G33=1,1,0.5)*$J33*100)</f>
        <v>0</v>
      </c>
      <c r="AF103" s="671">
        <f t="shared" ref="AF103:AG103" si="458">IF(AF102&gt;$F33+1,0,1)*(IF(AG103=0,100,0)+IF($G33=1,1,0.5)*$J33*100)</f>
        <v>0</v>
      </c>
      <c r="AG103" s="671">
        <f t="shared" si="458"/>
        <v>0</v>
      </c>
      <c r="AH103" s="671">
        <f t="shared" ref="AH103" si="459">IF(AH102&gt;$F33+1,0,1)*(IF(AI103=0,100,0)+IF($G33=1,1,0.5)*$J33*100)</f>
        <v>0</v>
      </c>
      <c r="AI103" s="671">
        <f t="shared" ref="AI103:AJ103" si="460">IF(AI102&gt;$F33+1,0,1)*(IF(AJ103=0,100,0)+IF($G33=1,1,0.5)*$J33*100)</f>
        <v>0</v>
      </c>
      <c r="AJ103" s="671">
        <f t="shared" si="460"/>
        <v>0</v>
      </c>
      <c r="AK103" s="671">
        <f t="shared" ref="AK103" si="461">IF(AK102&gt;$F33+1,0,1)*(IF(AL103=0,100,0)+IF($G33=1,1,0.5)*$J33*100)</f>
        <v>0</v>
      </c>
      <c r="AL103" s="671">
        <f t="shared" ref="AL103:AM103" si="462">IF(AL102&gt;$F33+1,0,1)*(IF(AM103=0,100,0)+IF($G33=1,1,0.5)*$J33*100)</f>
        <v>0</v>
      </c>
      <c r="AM103" s="671">
        <f t="shared" si="462"/>
        <v>0</v>
      </c>
      <c r="AN103" s="671">
        <f t="shared" ref="AN103" si="463">IF(AN102&gt;$F33+1,0,1)*(IF(AO103=0,100,0)+IF($G33=1,1,0.5)*$J33*100)</f>
        <v>0</v>
      </c>
      <c r="AO103" s="671">
        <f t="shared" ref="AO103:AP103" si="464">IF(AO102&gt;$F33+1,0,1)*(IF(AP103=0,100,0)+IF($G33=1,1,0.5)*$J33*100)</f>
        <v>0</v>
      </c>
      <c r="AP103" s="671">
        <f t="shared" si="464"/>
        <v>0</v>
      </c>
      <c r="AQ103" s="671">
        <f t="shared" ref="AQ103" si="465">IF(AQ102&gt;$F33+1,0,1)*(IF(AR103=0,100,0)+IF($G33=1,1,0.5)*$J33*100)</f>
        <v>0</v>
      </c>
      <c r="AR103" s="671">
        <f t="shared" ref="AR103:AS103" si="466">IF(AR102&gt;$F33+1,0,1)*(IF(AS103=0,100,0)+IF($G33=1,1,0.5)*$J33*100)</f>
        <v>0</v>
      </c>
      <c r="AS103" s="671">
        <f t="shared" si="466"/>
        <v>0</v>
      </c>
      <c r="AT103" s="671">
        <f t="shared" ref="AT103" si="467">IF(AT102&gt;$F33+1,0,1)*(IF(AU103=0,100,0)+IF($G33=1,1,0.5)*$J33*100)</f>
        <v>0</v>
      </c>
      <c r="AU103" s="671">
        <f t="shared" ref="AU103:AV103" si="468">IF(AU102&gt;$F33+1,0,1)*(IF(AV103=0,100,0)+IF($G33=1,1,0.5)*$J33*100)</f>
        <v>0</v>
      </c>
      <c r="AV103" s="671">
        <f t="shared" si="468"/>
        <v>0</v>
      </c>
      <c r="AW103" s="671">
        <f t="shared" ref="AW103" si="469">IF(AW102&gt;$F33+1,0,1)*(IF(AX103=0,100,0)+IF($G33=1,1,0.5)*$J33*100)</f>
        <v>0</v>
      </c>
      <c r="AX103" s="671">
        <f t="shared" ref="AX103:AY103" si="470">IF(AX102&gt;$F33+1,0,1)*(IF(AY103=0,100,0)+IF($G33=1,1,0.5)*$J33*100)</f>
        <v>0</v>
      </c>
      <c r="AY103" s="671">
        <f t="shared" si="470"/>
        <v>0</v>
      </c>
      <c r="AZ103" s="671">
        <f t="shared" ref="AZ103" si="471">IF(AZ102&gt;$F33+1,0,1)*(IF(BA103=0,100,0)+IF($G33=1,1,0.5)*$J33*100)</f>
        <v>0</v>
      </c>
      <c r="BA103" s="671">
        <f t="shared" ref="BA103:BB103" si="472">IF(BA102&gt;$F33+1,0,1)*(IF(BB103=0,100,0)+IF($G33=1,1,0.5)*$J33*100)</f>
        <v>0</v>
      </c>
      <c r="BB103" s="671">
        <f t="shared" si="472"/>
        <v>0</v>
      </c>
      <c r="BC103" s="671">
        <f t="shared" ref="BC103" si="473">IF(BC102&gt;$F33+1,0,1)*(IF(BD103=0,100,0)+IF($G33=1,1,0.5)*$J33*100)</f>
        <v>0</v>
      </c>
      <c r="BD103" s="671">
        <f t="shared" ref="BD103:BE103" si="474">IF(BD102&gt;$F33+1,0,1)*(IF(BE103=0,100,0)+IF($G33=1,1,0.5)*$J33*100)</f>
        <v>0</v>
      </c>
      <c r="BE103" s="671">
        <f t="shared" si="474"/>
        <v>0</v>
      </c>
      <c r="BF103" s="671">
        <f t="shared" ref="BF103" si="475">IF(BF102&gt;$F33+1,0,1)*(IF(BG103=0,100,0)+IF($G33=1,1,0.5)*$J33*100)</f>
        <v>0</v>
      </c>
      <c r="BG103" s="671">
        <f t="shared" ref="BG103:BH103" si="476">IF(BG102&gt;$F33+1,0,1)*(IF(BH103=0,100,0)+IF($G33=1,1,0.5)*$J33*100)</f>
        <v>0</v>
      </c>
      <c r="BH103" s="671">
        <f t="shared" si="476"/>
        <v>0</v>
      </c>
      <c r="BI103" s="671">
        <f t="shared" ref="BI103" si="477">IF(BI102&gt;$F33+1,0,1)*(IF(BJ103=0,100,0)+IF($G33=1,1,0.5)*$J33*100)</f>
        <v>0</v>
      </c>
      <c r="BJ103" s="671">
        <f t="shared" ref="BJ103:BK103" si="478">IF(BJ102&gt;$F33+1,0,1)*(IF(BK103=0,100,0)+IF($G33=1,1,0.5)*$J33*100)</f>
        <v>0</v>
      </c>
      <c r="BK103" s="671">
        <f t="shared" si="478"/>
        <v>0</v>
      </c>
      <c r="BL103" s="671">
        <f t="shared" ref="BL103" si="479">IF(BL102&gt;$F33+1,0,1)*(IF(BM103=0,100,0)+IF($G33=1,1,0.5)*$J33*100)</f>
        <v>0</v>
      </c>
      <c r="BM103" s="671">
        <f t="shared" ref="BM103:BN103" si="480">IF(BM102&gt;$F33+1,0,1)*(IF(BN103=0,100,0)+IF($G33=1,1,0.5)*$J33*100)</f>
        <v>0</v>
      </c>
      <c r="BN103" s="671">
        <f t="shared" si="480"/>
        <v>0</v>
      </c>
      <c r="BO103" s="671">
        <f t="shared" ref="BO103" si="481">IF(BO102&gt;$F33+1,0,1)*(IF(BP103=0,100,0)+IF($G33=1,1,0.5)*$J33*100)</f>
        <v>0</v>
      </c>
      <c r="BP103" s="671">
        <f t="shared" ref="BP103:BQ103" si="482">IF(BP102&gt;$F33+1,0,1)*(IF(BQ103=0,100,0)+IF($G33=1,1,0.5)*$J33*100)</f>
        <v>0</v>
      </c>
      <c r="BQ103" s="671">
        <f t="shared" si="482"/>
        <v>0</v>
      </c>
      <c r="BR103" s="671">
        <f t="shared" ref="BR103" si="483">IF(BR102&gt;$F33+1,0,1)*(IF(BS103=0,100,0)+IF($G33=1,1,0.5)*$J33*100)</f>
        <v>0</v>
      </c>
      <c r="BS103" s="671">
        <f t="shared" ref="BS103:BT103" si="484">IF(BS102&gt;$F33+1,0,1)*(IF(BT103=0,100,0)+IF($G33=1,1,0.5)*$J33*100)</f>
        <v>0</v>
      </c>
      <c r="BT103" s="671">
        <f t="shared" si="484"/>
        <v>0</v>
      </c>
      <c r="BU103" s="671">
        <f t="shared" ref="BU103" si="485">IF(BU102&gt;$F33+1,0,1)*(IF(BV103=0,100,0)+IF($G33=1,1,0.5)*$J33*100)</f>
        <v>0</v>
      </c>
      <c r="BV103" s="671">
        <f t="shared" ref="BV103:BW103" si="486">IF(BV102&gt;$F33+1,0,1)*(IF(BW103=0,100,0)+IF($G33=1,1,0.5)*$J33*100)</f>
        <v>0</v>
      </c>
      <c r="BW103" s="671">
        <f t="shared" si="486"/>
        <v>0</v>
      </c>
      <c r="BX103" s="671">
        <f t="shared" ref="BX103" si="487">IF(BX102&gt;$F33+1,0,1)*(IF(BY103=0,100,0)+IF($G33=1,1,0.5)*$J33*100)</f>
        <v>0</v>
      </c>
      <c r="BY103" s="671">
        <f t="shared" ref="BY103:BZ103" si="488">IF(BY102&gt;$F33+1,0,1)*(IF(BZ103=0,100,0)+IF($G33=1,1,0.5)*$J33*100)</f>
        <v>0</v>
      </c>
      <c r="BZ103" s="671">
        <f t="shared" si="488"/>
        <v>0</v>
      </c>
      <c r="CA103" s="671">
        <f t="shared" ref="CA103" si="489">IF(CA102&gt;$F33+1,0,1)*(IF(CB103=0,100,0)+IF($G33=1,1,0.5)*$J33*100)</f>
        <v>0</v>
      </c>
      <c r="CB103" s="671">
        <f t="shared" ref="CB103" si="490">IF(CB102&gt;$F33+1,0,1)*(IF(CC103=0,100,0)+IF($G33=1,1,0.5)*$J33*100)</f>
        <v>0</v>
      </c>
      <c r="CF103" s="10"/>
      <c r="CG103" s="10"/>
      <c r="CH103" s="10"/>
      <c r="CI103" s="10"/>
      <c r="CJ103" s="10"/>
      <c r="CK103" s="10"/>
      <c r="CL103" s="10"/>
      <c r="CM103" s="10"/>
      <c r="CN103" s="10"/>
      <c r="CO103" s="10"/>
      <c r="CP103" s="10"/>
      <c r="CQ103" s="10"/>
      <c r="CR103" s="10"/>
      <c r="CS103" s="10"/>
      <c r="CT103" s="10"/>
      <c r="CU103" s="10"/>
      <c r="CV103" s="10"/>
      <c r="CW103" s="10"/>
      <c r="CX103" s="10"/>
      <c r="CY103" s="10"/>
      <c r="CZ103" s="10"/>
      <c r="DA103" s="10"/>
      <c r="DB103" s="10"/>
      <c r="DC103" s="10"/>
      <c r="DD103" s="10"/>
      <c r="DE103" s="10"/>
      <c r="DF103" s="10"/>
      <c r="DG103" s="10"/>
      <c r="DH103" s="10"/>
      <c r="DI103" s="10"/>
      <c r="DJ103" s="10"/>
      <c r="DK103" s="10"/>
    </row>
    <row r="104" spans="1:115">
      <c r="A104" s="681" t="s">
        <v>49</v>
      </c>
      <c r="B104" s="682" t="str">
        <f>IF(E34=0,F34,E34)</f>
        <v>8/27/2019</v>
      </c>
      <c r="C104" s="683">
        <f>B104+IF($G34=1,365,182.5)</f>
        <v>43886.5</v>
      </c>
      <c r="D104" s="683">
        <f t="shared" ref="D104:F104" si="491">C104+IF($G34=1,365,182.5)</f>
        <v>44069</v>
      </c>
      <c r="E104" s="683">
        <f t="shared" si="491"/>
        <v>44251.5</v>
      </c>
      <c r="F104" s="683">
        <f t="shared" si="491"/>
        <v>44434</v>
      </c>
      <c r="G104" s="683">
        <f t="shared" ref="G104:BR104" si="492">F104+IF($G34=1,365,182.5)</f>
        <v>44616.5</v>
      </c>
      <c r="H104" s="683">
        <f t="shared" si="492"/>
        <v>44799</v>
      </c>
      <c r="I104" s="683">
        <f t="shared" si="492"/>
        <v>44981.5</v>
      </c>
      <c r="J104" s="683">
        <f t="shared" si="492"/>
        <v>45164</v>
      </c>
      <c r="K104" s="683">
        <f t="shared" si="492"/>
        <v>45346.5</v>
      </c>
      <c r="L104" s="683">
        <f t="shared" si="492"/>
        <v>45529</v>
      </c>
      <c r="M104" s="683">
        <f t="shared" si="492"/>
        <v>45711.5</v>
      </c>
      <c r="N104" s="683">
        <f t="shared" si="492"/>
        <v>45894</v>
      </c>
      <c r="O104" s="683">
        <f t="shared" si="492"/>
        <v>46076.5</v>
      </c>
      <c r="P104" s="683">
        <f t="shared" si="492"/>
        <v>46259</v>
      </c>
      <c r="Q104" s="683">
        <f t="shared" si="492"/>
        <v>46441.5</v>
      </c>
      <c r="R104" s="683">
        <f t="shared" si="492"/>
        <v>46624</v>
      </c>
      <c r="S104" s="683">
        <f t="shared" si="492"/>
        <v>46806.5</v>
      </c>
      <c r="T104" s="683">
        <f t="shared" si="492"/>
        <v>46989</v>
      </c>
      <c r="U104" s="683">
        <f t="shared" si="492"/>
        <v>47171.5</v>
      </c>
      <c r="V104" s="683">
        <f t="shared" si="492"/>
        <v>47354</v>
      </c>
      <c r="W104" s="683">
        <f t="shared" si="492"/>
        <v>47536.5</v>
      </c>
      <c r="X104" s="683">
        <f t="shared" si="492"/>
        <v>47719</v>
      </c>
      <c r="Y104" s="683">
        <f t="shared" si="492"/>
        <v>47901.5</v>
      </c>
      <c r="Z104" s="683">
        <f t="shared" si="492"/>
        <v>48084</v>
      </c>
      <c r="AA104" s="683">
        <f t="shared" si="492"/>
        <v>48266.5</v>
      </c>
      <c r="AB104" s="683">
        <f t="shared" si="492"/>
        <v>48449</v>
      </c>
      <c r="AC104" s="683">
        <f t="shared" si="492"/>
        <v>48631.5</v>
      </c>
      <c r="AD104" s="683">
        <f t="shared" si="492"/>
        <v>48814</v>
      </c>
      <c r="AE104" s="683">
        <f t="shared" si="492"/>
        <v>48996.5</v>
      </c>
      <c r="AF104" s="683">
        <f t="shared" si="492"/>
        <v>49179</v>
      </c>
      <c r="AG104" s="683">
        <f t="shared" si="492"/>
        <v>49361.5</v>
      </c>
      <c r="AH104" s="683">
        <f t="shared" si="492"/>
        <v>49544</v>
      </c>
      <c r="AI104" s="683">
        <f t="shared" si="492"/>
        <v>49726.5</v>
      </c>
      <c r="AJ104" s="683">
        <f t="shared" si="492"/>
        <v>49909</v>
      </c>
      <c r="AK104" s="683">
        <f t="shared" si="492"/>
        <v>50091.5</v>
      </c>
      <c r="AL104" s="683">
        <f t="shared" si="492"/>
        <v>50274</v>
      </c>
      <c r="AM104" s="683">
        <f t="shared" si="492"/>
        <v>50456.5</v>
      </c>
      <c r="AN104" s="683">
        <f t="shared" si="492"/>
        <v>50639</v>
      </c>
      <c r="AO104" s="683">
        <f t="shared" si="492"/>
        <v>50821.5</v>
      </c>
      <c r="AP104" s="683">
        <f t="shared" si="492"/>
        <v>51004</v>
      </c>
      <c r="AQ104" s="683">
        <f t="shared" si="492"/>
        <v>51186.5</v>
      </c>
      <c r="AR104" s="683">
        <f t="shared" si="492"/>
        <v>51369</v>
      </c>
      <c r="AS104" s="683">
        <f t="shared" si="492"/>
        <v>51551.5</v>
      </c>
      <c r="AT104" s="683">
        <f t="shared" si="492"/>
        <v>51734</v>
      </c>
      <c r="AU104" s="683">
        <f t="shared" si="492"/>
        <v>51916.5</v>
      </c>
      <c r="AV104" s="683">
        <f t="shared" si="492"/>
        <v>52099</v>
      </c>
      <c r="AW104" s="683">
        <f t="shared" si="492"/>
        <v>52281.5</v>
      </c>
      <c r="AX104" s="683">
        <f t="shared" si="492"/>
        <v>52464</v>
      </c>
      <c r="AY104" s="683">
        <f t="shared" si="492"/>
        <v>52646.5</v>
      </c>
      <c r="AZ104" s="683">
        <f t="shared" si="492"/>
        <v>52829</v>
      </c>
      <c r="BA104" s="683">
        <f t="shared" si="492"/>
        <v>53011.5</v>
      </c>
      <c r="BB104" s="683">
        <f t="shared" si="492"/>
        <v>53194</v>
      </c>
      <c r="BC104" s="683">
        <f t="shared" si="492"/>
        <v>53376.5</v>
      </c>
      <c r="BD104" s="683">
        <f t="shared" si="492"/>
        <v>53559</v>
      </c>
      <c r="BE104" s="683">
        <f t="shared" si="492"/>
        <v>53741.5</v>
      </c>
      <c r="BF104" s="683">
        <f t="shared" si="492"/>
        <v>53924</v>
      </c>
      <c r="BG104" s="683">
        <f t="shared" si="492"/>
        <v>54106.5</v>
      </c>
      <c r="BH104" s="683">
        <f t="shared" si="492"/>
        <v>54289</v>
      </c>
      <c r="BI104" s="683">
        <f t="shared" si="492"/>
        <v>54471.5</v>
      </c>
      <c r="BJ104" s="683">
        <f t="shared" si="492"/>
        <v>54654</v>
      </c>
      <c r="BK104" s="683">
        <f t="shared" si="492"/>
        <v>54836.5</v>
      </c>
      <c r="BL104" s="683">
        <f t="shared" si="492"/>
        <v>55019</v>
      </c>
      <c r="BM104" s="683">
        <f t="shared" si="492"/>
        <v>55201.5</v>
      </c>
      <c r="BN104" s="683">
        <f t="shared" si="492"/>
        <v>55384</v>
      </c>
      <c r="BO104" s="683">
        <f t="shared" si="492"/>
        <v>55566.5</v>
      </c>
      <c r="BP104" s="683">
        <f t="shared" si="492"/>
        <v>55749</v>
      </c>
      <c r="BQ104" s="683">
        <f t="shared" si="492"/>
        <v>55931.5</v>
      </c>
      <c r="BR104" s="683">
        <f t="shared" si="492"/>
        <v>56114</v>
      </c>
      <c r="BS104" s="683">
        <f t="shared" ref="BS104:CB104" si="493">BR104+IF($G34=1,365,182.5)</f>
        <v>56296.5</v>
      </c>
      <c r="BT104" s="683">
        <f t="shared" si="493"/>
        <v>56479</v>
      </c>
      <c r="BU104" s="683">
        <f t="shared" si="493"/>
        <v>56661.5</v>
      </c>
      <c r="BV104" s="683">
        <f t="shared" si="493"/>
        <v>56844</v>
      </c>
      <c r="BW104" s="683">
        <f t="shared" si="493"/>
        <v>57026.5</v>
      </c>
      <c r="BX104" s="683">
        <f t="shared" si="493"/>
        <v>57209</v>
      </c>
      <c r="BY104" s="683">
        <f t="shared" si="493"/>
        <v>57391.5</v>
      </c>
      <c r="BZ104" s="683">
        <f t="shared" si="493"/>
        <v>57574</v>
      </c>
      <c r="CA104" s="683">
        <f t="shared" si="493"/>
        <v>57756.5</v>
      </c>
      <c r="CB104" s="683">
        <f t="shared" si="493"/>
        <v>57939</v>
      </c>
      <c r="CF104" s="10"/>
      <c r="CG104" s="10"/>
      <c r="CH104" s="10"/>
      <c r="CI104" s="10"/>
      <c r="CJ104" s="10"/>
      <c r="CK104" s="10"/>
      <c r="CL104" s="10"/>
      <c r="CM104" s="10"/>
      <c r="CN104" s="10"/>
      <c r="CO104" s="10"/>
      <c r="CP104" s="10"/>
      <c r="CQ104" s="10"/>
      <c r="CR104" s="10"/>
      <c r="CS104" s="10"/>
      <c r="CT104" s="10"/>
      <c r="CU104" s="10"/>
      <c r="CV104" s="10"/>
      <c r="CW104" s="10"/>
      <c r="CX104" s="10"/>
      <c r="CY104" s="10"/>
      <c r="CZ104" s="10"/>
      <c r="DA104" s="10"/>
      <c r="DB104" s="10"/>
      <c r="DC104" s="10"/>
      <c r="DD104" s="10"/>
      <c r="DE104" s="10"/>
      <c r="DF104" s="10"/>
      <c r="DG104" s="10"/>
      <c r="DH104" s="10"/>
      <c r="DI104" s="10"/>
      <c r="DJ104" s="10"/>
      <c r="DK104" s="10"/>
    </row>
    <row r="105" spans="1:115">
      <c r="A105" s="684" t="s">
        <v>813</v>
      </c>
      <c r="B105" s="685">
        <f>(IF(B104=F34,100,0)+IF(G34=1,1,0.5)*J34*100)*IF(ISBLANK(F34)=TRUE,0,1)</f>
        <v>1.1200000000000001</v>
      </c>
      <c r="C105" s="686">
        <f>IF(C104&gt;$F34+1,0,1)*(IF(D105=0,100,0)+IF($G34=1,1,0.5)*$J34*100)</f>
        <v>1.1200000000000001</v>
      </c>
      <c r="D105" s="686">
        <f t="shared" ref="D105:F105" si="494">IF(D104&gt;$F34+1,0,1)*(IF(E105=0,100,0)+IF($G34=1,1,0.5)*$J34*100)</f>
        <v>1.1200000000000001</v>
      </c>
      <c r="E105" s="686">
        <f t="shared" si="494"/>
        <v>1.1200000000000001</v>
      </c>
      <c r="F105" s="686">
        <f t="shared" si="494"/>
        <v>1.1200000000000001</v>
      </c>
      <c r="G105" s="686">
        <f t="shared" ref="G105" si="495">IF(G104&gt;$F34+1,0,1)*(IF(H105=0,100,0)+IF($G34=1,1,0.5)*$J34*100)</f>
        <v>1.1200000000000001</v>
      </c>
      <c r="H105" s="686">
        <f t="shared" ref="H105:I105" si="496">IF(H104&gt;$F34+1,0,1)*(IF(I105=0,100,0)+IF($G34=1,1,0.5)*$J34*100)</f>
        <v>1.1200000000000001</v>
      </c>
      <c r="I105" s="686">
        <f t="shared" si="496"/>
        <v>1.1200000000000001</v>
      </c>
      <c r="J105" s="686">
        <f t="shared" ref="J105" si="497">IF(J104&gt;$F34+1,0,1)*(IF(K105=0,100,0)+IF($G34=1,1,0.5)*$J34*100)</f>
        <v>1.1200000000000001</v>
      </c>
      <c r="K105" s="686">
        <f t="shared" ref="K105:L105" si="498">IF(K104&gt;$F34+1,0,1)*(IF(L105=0,100,0)+IF($G34=1,1,0.5)*$J34*100)</f>
        <v>1.1200000000000001</v>
      </c>
      <c r="L105" s="686">
        <f t="shared" si="498"/>
        <v>1.1200000000000001</v>
      </c>
      <c r="M105" s="686">
        <f t="shared" ref="M105" si="499">IF(M104&gt;$F34+1,0,1)*(IF(N105=0,100,0)+IF($G34=1,1,0.5)*$J34*100)</f>
        <v>1.1200000000000001</v>
      </c>
      <c r="N105" s="686">
        <f t="shared" ref="N105:O105" si="500">IF(N104&gt;$F34+1,0,1)*(IF(O105=0,100,0)+IF($G34=1,1,0.5)*$J34*100)</f>
        <v>1.1200000000000001</v>
      </c>
      <c r="O105" s="686">
        <f t="shared" si="500"/>
        <v>1.1200000000000001</v>
      </c>
      <c r="P105" s="686">
        <f t="shared" ref="P105" si="501">IF(P104&gt;$F34+1,0,1)*(IF(Q105=0,100,0)+IF($G34=1,1,0.5)*$J34*100)</f>
        <v>1.1200000000000001</v>
      </c>
      <c r="Q105" s="686">
        <f t="shared" ref="Q105:R105" si="502">IF(Q104&gt;$F34+1,0,1)*(IF(R105=0,100,0)+IF($G34=1,1,0.5)*$J34*100)</f>
        <v>1.1200000000000001</v>
      </c>
      <c r="R105" s="686">
        <f t="shared" si="502"/>
        <v>1.1200000000000001</v>
      </c>
      <c r="S105" s="686">
        <f t="shared" ref="S105" si="503">IF(S104&gt;$F34+1,0,1)*(IF(T105=0,100,0)+IF($G34=1,1,0.5)*$J34*100)</f>
        <v>1.1200000000000001</v>
      </c>
      <c r="T105" s="686">
        <f t="shared" ref="T105:U105" si="504">IF(T104&gt;$F34+1,0,1)*(IF(U105=0,100,0)+IF($G34=1,1,0.5)*$J34*100)</f>
        <v>1.1200000000000001</v>
      </c>
      <c r="U105" s="686">
        <f t="shared" si="504"/>
        <v>1.1200000000000001</v>
      </c>
      <c r="V105" s="686">
        <f t="shared" ref="V105" si="505">IF(V104&gt;$F34+1,0,1)*(IF(W105=0,100,0)+IF($G34=1,1,0.5)*$J34*100)</f>
        <v>101.12</v>
      </c>
      <c r="W105" s="686">
        <f t="shared" ref="W105:X105" si="506">IF(W104&gt;$F34+1,0,1)*(IF(X105=0,100,0)+IF($G34=1,1,0.5)*$J34*100)</f>
        <v>0</v>
      </c>
      <c r="X105" s="686">
        <f t="shared" si="506"/>
        <v>0</v>
      </c>
      <c r="Y105" s="686">
        <f t="shared" ref="Y105" si="507">IF(Y104&gt;$F34+1,0,1)*(IF(Z105=0,100,0)+IF($G34=1,1,0.5)*$J34*100)</f>
        <v>0</v>
      </c>
      <c r="Z105" s="686">
        <f t="shared" ref="Z105:AA105" si="508">IF(Z104&gt;$F34+1,0,1)*(IF(AA105=0,100,0)+IF($G34=1,1,0.5)*$J34*100)</f>
        <v>0</v>
      </c>
      <c r="AA105" s="686">
        <f t="shared" si="508"/>
        <v>0</v>
      </c>
      <c r="AB105" s="686">
        <f t="shared" ref="AB105" si="509">IF(AB104&gt;$F34+1,0,1)*(IF(AC105=0,100,0)+IF($G34=1,1,0.5)*$J34*100)</f>
        <v>0</v>
      </c>
      <c r="AC105" s="686">
        <f t="shared" ref="AC105:AD105" si="510">IF(AC104&gt;$F34+1,0,1)*(IF(AD105=0,100,0)+IF($G34=1,1,0.5)*$J34*100)</f>
        <v>0</v>
      </c>
      <c r="AD105" s="686">
        <f t="shared" si="510"/>
        <v>0</v>
      </c>
      <c r="AE105" s="686">
        <f t="shared" ref="AE105" si="511">IF(AE104&gt;$F34+1,0,1)*(IF(AF105=0,100,0)+IF($G34=1,1,0.5)*$J34*100)</f>
        <v>0</v>
      </c>
      <c r="AF105" s="686">
        <f t="shared" ref="AF105:AG105" si="512">IF(AF104&gt;$F34+1,0,1)*(IF(AG105=0,100,0)+IF($G34=1,1,0.5)*$J34*100)</f>
        <v>0</v>
      </c>
      <c r="AG105" s="686">
        <f t="shared" si="512"/>
        <v>0</v>
      </c>
      <c r="AH105" s="686">
        <f t="shared" ref="AH105" si="513">IF(AH104&gt;$F34+1,0,1)*(IF(AI105=0,100,0)+IF($G34=1,1,0.5)*$J34*100)</f>
        <v>0</v>
      </c>
      <c r="AI105" s="686">
        <f t="shared" ref="AI105:AJ105" si="514">IF(AI104&gt;$F34+1,0,1)*(IF(AJ105=0,100,0)+IF($G34=1,1,0.5)*$J34*100)</f>
        <v>0</v>
      </c>
      <c r="AJ105" s="686">
        <f t="shared" si="514"/>
        <v>0</v>
      </c>
      <c r="AK105" s="686">
        <f t="shared" ref="AK105" si="515">IF(AK104&gt;$F34+1,0,1)*(IF(AL105=0,100,0)+IF($G34=1,1,0.5)*$J34*100)</f>
        <v>0</v>
      </c>
      <c r="AL105" s="686">
        <f t="shared" ref="AL105:AM105" si="516">IF(AL104&gt;$F34+1,0,1)*(IF(AM105=0,100,0)+IF($G34=1,1,0.5)*$J34*100)</f>
        <v>0</v>
      </c>
      <c r="AM105" s="686">
        <f t="shared" si="516"/>
        <v>0</v>
      </c>
      <c r="AN105" s="686">
        <f t="shared" ref="AN105" si="517">IF(AN104&gt;$F34+1,0,1)*(IF(AO105=0,100,0)+IF($G34=1,1,0.5)*$J34*100)</f>
        <v>0</v>
      </c>
      <c r="AO105" s="686">
        <f t="shared" ref="AO105:AP105" si="518">IF(AO104&gt;$F34+1,0,1)*(IF(AP105=0,100,0)+IF($G34=1,1,0.5)*$J34*100)</f>
        <v>0</v>
      </c>
      <c r="AP105" s="686">
        <f t="shared" si="518"/>
        <v>0</v>
      </c>
      <c r="AQ105" s="686">
        <f t="shared" ref="AQ105" si="519">IF(AQ104&gt;$F34+1,0,1)*(IF(AR105=0,100,0)+IF($G34=1,1,0.5)*$J34*100)</f>
        <v>0</v>
      </c>
      <c r="AR105" s="686">
        <f t="shared" ref="AR105:AS105" si="520">IF(AR104&gt;$F34+1,0,1)*(IF(AS105=0,100,0)+IF($G34=1,1,0.5)*$J34*100)</f>
        <v>0</v>
      </c>
      <c r="AS105" s="686">
        <f t="shared" si="520"/>
        <v>0</v>
      </c>
      <c r="AT105" s="686">
        <f t="shared" ref="AT105" si="521">IF(AT104&gt;$F34+1,0,1)*(IF(AU105=0,100,0)+IF($G34=1,1,0.5)*$J34*100)</f>
        <v>0</v>
      </c>
      <c r="AU105" s="686">
        <f t="shared" ref="AU105:AV105" si="522">IF(AU104&gt;$F34+1,0,1)*(IF(AV105=0,100,0)+IF($G34=1,1,0.5)*$J34*100)</f>
        <v>0</v>
      </c>
      <c r="AV105" s="686">
        <f t="shared" si="522"/>
        <v>0</v>
      </c>
      <c r="AW105" s="686">
        <f t="shared" ref="AW105" si="523">IF(AW104&gt;$F34+1,0,1)*(IF(AX105=0,100,0)+IF($G34=1,1,0.5)*$J34*100)</f>
        <v>0</v>
      </c>
      <c r="AX105" s="686">
        <f t="shared" ref="AX105:AY105" si="524">IF(AX104&gt;$F34+1,0,1)*(IF(AY105=0,100,0)+IF($G34=1,1,0.5)*$J34*100)</f>
        <v>0</v>
      </c>
      <c r="AY105" s="686">
        <f t="shared" si="524"/>
        <v>0</v>
      </c>
      <c r="AZ105" s="686">
        <f t="shared" ref="AZ105" si="525">IF(AZ104&gt;$F34+1,0,1)*(IF(BA105=0,100,0)+IF($G34=1,1,0.5)*$J34*100)</f>
        <v>0</v>
      </c>
      <c r="BA105" s="686">
        <f t="shared" ref="BA105:BB105" si="526">IF(BA104&gt;$F34+1,0,1)*(IF(BB105=0,100,0)+IF($G34=1,1,0.5)*$J34*100)</f>
        <v>0</v>
      </c>
      <c r="BB105" s="686">
        <f t="shared" si="526"/>
        <v>0</v>
      </c>
      <c r="BC105" s="686">
        <f t="shared" ref="BC105" si="527">IF(BC104&gt;$F34+1,0,1)*(IF(BD105=0,100,0)+IF($G34=1,1,0.5)*$J34*100)</f>
        <v>0</v>
      </c>
      <c r="BD105" s="686">
        <f t="shared" ref="BD105:BE105" si="528">IF(BD104&gt;$F34+1,0,1)*(IF(BE105=0,100,0)+IF($G34=1,1,0.5)*$J34*100)</f>
        <v>0</v>
      </c>
      <c r="BE105" s="686">
        <f t="shared" si="528"/>
        <v>0</v>
      </c>
      <c r="BF105" s="686">
        <f t="shared" ref="BF105" si="529">IF(BF104&gt;$F34+1,0,1)*(IF(BG105=0,100,0)+IF($G34=1,1,0.5)*$J34*100)</f>
        <v>0</v>
      </c>
      <c r="BG105" s="686">
        <f t="shared" ref="BG105:BH105" si="530">IF(BG104&gt;$F34+1,0,1)*(IF(BH105=0,100,0)+IF($G34=1,1,0.5)*$J34*100)</f>
        <v>0</v>
      </c>
      <c r="BH105" s="686">
        <f t="shared" si="530"/>
        <v>0</v>
      </c>
      <c r="BI105" s="686">
        <f t="shared" ref="BI105" si="531">IF(BI104&gt;$F34+1,0,1)*(IF(BJ105=0,100,0)+IF($G34=1,1,0.5)*$J34*100)</f>
        <v>0</v>
      </c>
      <c r="BJ105" s="686">
        <f t="shared" ref="BJ105:BK105" si="532">IF(BJ104&gt;$F34+1,0,1)*(IF(BK105=0,100,0)+IF($G34=1,1,0.5)*$J34*100)</f>
        <v>0</v>
      </c>
      <c r="BK105" s="686">
        <f t="shared" si="532"/>
        <v>0</v>
      </c>
      <c r="BL105" s="686">
        <f t="shared" ref="BL105" si="533">IF(BL104&gt;$F34+1,0,1)*(IF(BM105=0,100,0)+IF($G34=1,1,0.5)*$J34*100)</f>
        <v>0</v>
      </c>
      <c r="BM105" s="686">
        <f t="shared" ref="BM105:BN105" si="534">IF(BM104&gt;$F34+1,0,1)*(IF(BN105=0,100,0)+IF($G34=1,1,0.5)*$J34*100)</f>
        <v>0</v>
      </c>
      <c r="BN105" s="686">
        <f t="shared" si="534"/>
        <v>0</v>
      </c>
      <c r="BO105" s="686">
        <f t="shared" ref="BO105" si="535">IF(BO104&gt;$F34+1,0,1)*(IF(BP105=0,100,0)+IF($G34=1,1,0.5)*$J34*100)</f>
        <v>0</v>
      </c>
      <c r="BP105" s="686">
        <f t="shared" ref="BP105:BQ105" si="536">IF(BP104&gt;$F34+1,0,1)*(IF(BQ105=0,100,0)+IF($G34=1,1,0.5)*$J34*100)</f>
        <v>0</v>
      </c>
      <c r="BQ105" s="686">
        <f t="shared" si="536"/>
        <v>0</v>
      </c>
      <c r="BR105" s="686">
        <f t="shared" ref="BR105" si="537">IF(BR104&gt;$F34+1,0,1)*(IF(BS105=0,100,0)+IF($G34=1,1,0.5)*$J34*100)</f>
        <v>0</v>
      </c>
      <c r="BS105" s="686">
        <f t="shared" ref="BS105:BT105" si="538">IF(BS104&gt;$F34+1,0,1)*(IF(BT105=0,100,0)+IF($G34=1,1,0.5)*$J34*100)</f>
        <v>0</v>
      </c>
      <c r="BT105" s="686">
        <f t="shared" si="538"/>
        <v>0</v>
      </c>
      <c r="BU105" s="686">
        <f t="shared" ref="BU105" si="539">IF(BU104&gt;$F34+1,0,1)*(IF(BV105=0,100,0)+IF($G34=1,1,0.5)*$J34*100)</f>
        <v>0</v>
      </c>
      <c r="BV105" s="686">
        <f t="shared" ref="BV105:BW105" si="540">IF(BV104&gt;$F34+1,0,1)*(IF(BW105=0,100,0)+IF($G34=1,1,0.5)*$J34*100)</f>
        <v>0</v>
      </c>
      <c r="BW105" s="686">
        <f t="shared" si="540"/>
        <v>0</v>
      </c>
      <c r="BX105" s="686">
        <f t="shared" ref="BX105" si="541">IF(BX104&gt;$F34+1,0,1)*(IF(BY105=0,100,0)+IF($G34=1,1,0.5)*$J34*100)</f>
        <v>0</v>
      </c>
      <c r="BY105" s="686">
        <f t="shared" ref="BY105:BZ105" si="542">IF(BY104&gt;$F34+1,0,1)*(IF(BZ105=0,100,0)+IF($G34=1,1,0.5)*$J34*100)</f>
        <v>0</v>
      </c>
      <c r="BZ105" s="686">
        <f t="shared" si="542"/>
        <v>0</v>
      </c>
      <c r="CA105" s="686">
        <f t="shared" ref="CA105" si="543">IF(CA104&gt;$F34+1,0,1)*(IF(CB105=0,100,0)+IF($G34=1,1,0.5)*$J34*100)</f>
        <v>0</v>
      </c>
      <c r="CB105" s="686">
        <f t="shared" ref="CB105" si="544">IF(CB104&gt;$F34+1,0,1)*(IF(CC105=0,100,0)+IF($G34=1,1,0.5)*$J34*100)</f>
        <v>0</v>
      </c>
      <c r="CF105" s="10"/>
      <c r="CG105" s="10"/>
      <c r="CH105" s="10"/>
      <c r="CI105" s="10"/>
      <c r="CJ105" s="10"/>
      <c r="CK105" s="10"/>
      <c r="CL105" s="10"/>
      <c r="CM105" s="10"/>
      <c r="CN105" s="10"/>
      <c r="CO105" s="10"/>
      <c r="CP105" s="10"/>
      <c r="CQ105" s="10"/>
      <c r="CR105" s="10"/>
      <c r="CS105" s="10"/>
      <c r="CT105" s="10"/>
      <c r="CU105" s="10"/>
      <c r="CV105" s="10"/>
      <c r="CW105" s="10"/>
      <c r="CX105" s="10"/>
      <c r="CY105" s="10"/>
      <c r="CZ105" s="10"/>
      <c r="DA105" s="10"/>
      <c r="DB105" s="10"/>
      <c r="DC105" s="10"/>
      <c r="DD105" s="10"/>
      <c r="DE105" s="10"/>
      <c r="DF105" s="10"/>
      <c r="DG105" s="10"/>
      <c r="DH105" s="10"/>
      <c r="DI105" s="10"/>
      <c r="DJ105" s="10"/>
      <c r="DK105" s="10"/>
    </row>
    <row r="106" spans="1:115">
      <c r="A106" s="243" t="s">
        <v>49</v>
      </c>
      <c r="B106" s="37" t="str">
        <f>IF(E35=0,F35,E35)</f>
        <v>9/30/2019</v>
      </c>
      <c r="C106" s="38">
        <f>B106+IF($G35=1,365,182.5)</f>
        <v>43920.5</v>
      </c>
      <c r="D106" s="38">
        <f t="shared" ref="D106:F106" si="545">C106+IF($G35=1,365,182.5)</f>
        <v>44103</v>
      </c>
      <c r="E106" s="38">
        <f t="shared" si="545"/>
        <v>44285.5</v>
      </c>
      <c r="F106" s="38">
        <f t="shared" si="545"/>
        <v>44468</v>
      </c>
      <c r="G106" s="38">
        <f t="shared" ref="G106:BR106" si="546">F106+IF($G35=1,365,182.5)</f>
        <v>44650.5</v>
      </c>
      <c r="H106" s="38">
        <f t="shared" si="546"/>
        <v>44833</v>
      </c>
      <c r="I106" s="38">
        <f t="shared" si="546"/>
        <v>45015.5</v>
      </c>
      <c r="J106" s="38">
        <f t="shared" si="546"/>
        <v>45198</v>
      </c>
      <c r="K106" s="38">
        <f t="shared" si="546"/>
        <v>45380.5</v>
      </c>
      <c r="L106" s="38">
        <f t="shared" si="546"/>
        <v>45563</v>
      </c>
      <c r="M106" s="38">
        <f t="shared" si="546"/>
        <v>45745.5</v>
      </c>
      <c r="N106" s="38">
        <f t="shared" si="546"/>
        <v>45928</v>
      </c>
      <c r="O106" s="38">
        <f t="shared" si="546"/>
        <v>46110.5</v>
      </c>
      <c r="P106" s="38">
        <f t="shared" si="546"/>
        <v>46293</v>
      </c>
      <c r="Q106" s="38">
        <f t="shared" si="546"/>
        <v>46475.5</v>
      </c>
      <c r="R106" s="38">
        <f t="shared" si="546"/>
        <v>46658</v>
      </c>
      <c r="S106" s="38">
        <f t="shared" si="546"/>
        <v>46840.5</v>
      </c>
      <c r="T106" s="38">
        <f t="shared" si="546"/>
        <v>47023</v>
      </c>
      <c r="U106" s="38">
        <f t="shared" si="546"/>
        <v>47205.5</v>
      </c>
      <c r="V106" s="38">
        <f t="shared" si="546"/>
        <v>47388</v>
      </c>
      <c r="W106" s="38">
        <f t="shared" si="546"/>
        <v>47570.5</v>
      </c>
      <c r="X106" s="38">
        <f t="shared" si="546"/>
        <v>47753</v>
      </c>
      <c r="Y106" s="38">
        <f t="shared" si="546"/>
        <v>47935.5</v>
      </c>
      <c r="Z106" s="38">
        <f t="shared" si="546"/>
        <v>48118</v>
      </c>
      <c r="AA106" s="38">
        <f t="shared" si="546"/>
        <v>48300.5</v>
      </c>
      <c r="AB106" s="38">
        <f t="shared" si="546"/>
        <v>48483</v>
      </c>
      <c r="AC106" s="38">
        <f t="shared" si="546"/>
        <v>48665.5</v>
      </c>
      <c r="AD106" s="38">
        <f t="shared" si="546"/>
        <v>48848</v>
      </c>
      <c r="AE106" s="38">
        <f t="shared" si="546"/>
        <v>49030.5</v>
      </c>
      <c r="AF106" s="38">
        <f t="shared" si="546"/>
        <v>49213</v>
      </c>
      <c r="AG106" s="38">
        <f t="shared" si="546"/>
        <v>49395.5</v>
      </c>
      <c r="AH106" s="38">
        <f t="shared" si="546"/>
        <v>49578</v>
      </c>
      <c r="AI106" s="38">
        <f t="shared" si="546"/>
        <v>49760.5</v>
      </c>
      <c r="AJ106" s="38">
        <f t="shared" si="546"/>
        <v>49943</v>
      </c>
      <c r="AK106" s="38">
        <f t="shared" si="546"/>
        <v>50125.5</v>
      </c>
      <c r="AL106" s="38">
        <f t="shared" si="546"/>
        <v>50308</v>
      </c>
      <c r="AM106" s="38">
        <f t="shared" si="546"/>
        <v>50490.5</v>
      </c>
      <c r="AN106" s="38">
        <f t="shared" si="546"/>
        <v>50673</v>
      </c>
      <c r="AO106" s="38">
        <f t="shared" si="546"/>
        <v>50855.5</v>
      </c>
      <c r="AP106" s="38">
        <f t="shared" si="546"/>
        <v>51038</v>
      </c>
      <c r="AQ106" s="38">
        <f t="shared" si="546"/>
        <v>51220.5</v>
      </c>
      <c r="AR106" s="38">
        <f t="shared" si="546"/>
        <v>51403</v>
      </c>
      <c r="AS106" s="38">
        <f t="shared" si="546"/>
        <v>51585.5</v>
      </c>
      <c r="AT106" s="38">
        <f t="shared" si="546"/>
        <v>51768</v>
      </c>
      <c r="AU106" s="38">
        <f t="shared" si="546"/>
        <v>51950.5</v>
      </c>
      <c r="AV106" s="38">
        <f t="shared" si="546"/>
        <v>52133</v>
      </c>
      <c r="AW106" s="38">
        <f t="shared" si="546"/>
        <v>52315.5</v>
      </c>
      <c r="AX106" s="38">
        <f t="shared" si="546"/>
        <v>52498</v>
      </c>
      <c r="AY106" s="38">
        <f t="shared" si="546"/>
        <v>52680.5</v>
      </c>
      <c r="AZ106" s="38">
        <f t="shared" si="546"/>
        <v>52863</v>
      </c>
      <c r="BA106" s="38">
        <f t="shared" si="546"/>
        <v>53045.5</v>
      </c>
      <c r="BB106" s="38">
        <f t="shared" si="546"/>
        <v>53228</v>
      </c>
      <c r="BC106" s="38">
        <f t="shared" si="546"/>
        <v>53410.5</v>
      </c>
      <c r="BD106" s="38">
        <f t="shared" si="546"/>
        <v>53593</v>
      </c>
      <c r="BE106" s="38">
        <f t="shared" si="546"/>
        <v>53775.5</v>
      </c>
      <c r="BF106" s="38">
        <f t="shared" si="546"/>
        <v>53958</v>
      </c>
      <c r="BG106" s="38">
        <f t="shared" si="546"/>
        <v>54140.5</v>
      </c>
      <c r="BH106" s="38">
        <f t="shared" si="546"/>
        <v>54323</v>
      </c>
      <c r="BI106" s="38">
        <f t="shared" si="546"/>
        <v>54505.5</v>
      </c>
      <c r="BJ106" s="38">
        <f t="shared" si="546"/>
        <v>54688</v>
      </c>
      <c r="BK106" s="38">
        <f t="shared" si="546"/>
        <v>54870.5</v>
      </c>
      <c r="BL106" s="38">
        <f t="shared" si="546"/>
        <v>55053</v>
      </c>
      <c r="BM106" s="38">
        <f t="shared" si="546"/>
        <v>55235.5</v>
      </c>
      <c r="BN106" s="38">
        <f t="shared" si="546"/>
        <v>55418</v>
      </c>
      <c r="BO106" s="38">
        <f t="shared" si="546"/>
        <v>55600.5</v>
      </c>
      <c r="BP106" s="38">
        <f t="shared" si="546"/>
        <v>55783</v>
      </c>
      <c r="BQ106" s="38">
        <f t="shared" si="546"/>
        <v>55965.5</v>
      </c>
      <c r="BR106" s="38">
        <f t="shared" si="546"/>
        <v>56148</v>
      </c>
      <c r="BS106" s="38">
        <f t="shared" ref="BS106:CB106" si="547">BR106+IF($G35=1,365,182.5)</f>
        <v>56330.5</v>
      </c>
      <c r="BT106" s="38">
        <f t="shared" si="547"/>
        <v>56513</v>
      </c>
      <c r="BU106" s="38">
        <f t="shared" si="547"/>
        <v>56695.5</v>
      </c>
      <c r="BV106" s="38">
        <f t="shared" si="547"/>
        <v>56878</v>
      </c>
      <c r="BW106" s="38">
        <f t="shared" si="547"/>
        <v>57060.5</v>
      </c>
      <c r="BX106" s="38">
        <f t="shared" si="547"/>
        <v>57243</v>
      </c>
      <c r="BY106" s="38">
        <f t="shared" si="547"/>
        <v>57425.5</v>
      </c>
      <c r="BZ106" s="38">
        <f t="shared" si="547"/>
        <v>57608</v>
      </c>
      <c r="CA106" s="38">
        <f t="shared" si="547"/>
        <v>57790.5</v>
      </c>
      <c r="CB106" s="38">
        <f t="shared" si="547"/>
        <v>57973</v>
      </c>
      <c r="CF106" s="10"/>
      <c r="CG106" s="10"/>
      <c r="CH106" s="10"/>
      <c r="CI106" s="10"/>
      <c r="CJ106" s="10"/>
      <c r="CK106" s="10"/>
      <c r="CL106" s="10"/>
      <c r="CM106" s="10"/>
      <c r="CN106" s="10"/>
      <c r="CO106" s="10"/>
      <c r="CP106" s="10"/>
      <c r="CQ106" s="10"/>
      <c r="CR106" s="10"/>
      <c r="CS106" s="10"/>
      <c r="CT106" s="10"/>
      <c r="CU106" s="10"/>
      <c r="CV106" s="10"/>
      <c r="CW106" s="10"/>
      <c r="CX106" s="10"/>
      <c r="CY106" s="10"/>
      <c r="CZ106" s="10"/>
      <c r="DA106" s="10"/>
      <c r="DB106" s="10"/>
      <c r="DC106" s="10"/>
      <c r="DD106" s="10"/>
      <c r="DE106" s="10"/>
      <c r="DF106" s="10"/>
      <c r="DG106" s="10"/>
      <c r="DH106" s="10"/>
      <c r="DI106" s="10"/>
      <c r="DJ106" s="10"/>
      <c r="DK106" s="10"/>
    </row>
    <row r="107" spans="1:115">
      <c r="A107" s="672" t="s">
        <v>814</v>
      </c>
      <c r="B107" s="106">
        <f>(IF(B106=F35,100,0)+IF(G35=1,1,0.5)*J35*100)*IF(ISBLANK(F35)=TRUE,0,1)</f>
        <v>100.745</v>
      </c>
      <c r="C107" s="40">
        <f>IF(C106&gt;$F35+1,0,1)*(IF(D107=0,100,0)+IF($G35=1,1,0.5)*$J35*100)</f>
        <v>0</v>
      </c>
      <c r="D107" s="40">
        <f t="shared" ref="D107:F107" si="548">IF(D106&gt;$F35+1,0,1)*(IF(E107=0,100,0)+IF($G35=1,1,0.5)*$J35*100)</f>
        <v>0</v>
      </c>
      <c r="E107" s="40">
        <f t="shared" si="548"/>
        <v>0</v>
      </c>
      <c r="F107" s="40">
        <f t="shared" si="548"/>
        <v>0</v>
      </c>
      <c r="G107" s="40">
        <f t="shared" ref="G107" si="549">IF(G106&gt;$F35+1,0,1)*(IF(H107=0,100,0)+IF($G35=1,1,0.5)*$J35*100)</f>
        <v>0</v>
      </c>
      <c r="H107" s="40">
        <f t="shared" ref="H107:I107" si="550">IF(H106&gt;$F35+1,0,1)*(IF(I107=0,100,0)+IF($G35=1,1,0.5)*$J35*100)</f>
        <v>0</v>
      </c>
      <c r="I107" s="40">
        <f t="shared" si="550"/>
        <v>0</v>
      </c>
      <c r="J107" s="40">
        <f t="shared" ref="J107" si="551">IF(J106&gt;$F35+1,0,1)*(IF(K107=0,100,0)+IF($G35=1,1,0.5)*$J35*100)</f>
        <v>0</v>
      </c>
      <c r="K107" s="40">
        <f t="shared" ref="K107:L107" si="552">IF(K106&gt;$F35+1,0,1)*(IF(L107=0,100,0)+IF($G35=1,1,0.5)*$J35*100)</f>
        <v>0</v>
      </c>
      <c r="L107" s="40">
        <f t="shared" si="552"/>
        <v>0</v>
      </c>
      <c r="M107" s="40">
        <f t="shared" ref="M107" si="553">IF(M106&gt;$F35+1,0,1)*(IF(N107=0,100,0)+IF($G35=1,1,0.5)*$J35*100)</f>
        <v>0</v>
      </c>
      <c r="N107" s="40">
        <f t="shared" ref="N107:O107" si="554">IF(N106&gt;$F35+1,0,1)*(IF(O107=0,100,0)+IF($G35=1,1,0.5)*$J35*100)</f>
        <v>0</v>
      </c>
      <c r="O107" s="40">
        <f t="shared" si="554"/>
        <v>0</v>
      </c>
      <c r="P107" s="40">
        <f t="shared" ref="P107" si="555">IF(P106&gt;$F35+1,0,1)*(IF(Q107=0,100,0)+IF($G35=1,1,0.5)*$J35*100)</f>
        <v>0</v>
      </c>
      <c r="Q107" s="40">
        <f t="shared" ref="Q107:R107" si="556">IF(Q106&gt;$F35+1,0,1)*(IF(R107=0,100,0)+IF($G35=1,1,0.5)*$J35*100)</f>
        <v>0</v>
      </c>
      <c r="R107" s="40">
        <f t="shared" si="556"/>
        <v>0</v>
      </c>
      <c r="S107" s="40">
        <f t="shared" ref="S107" si="557">IF(S106&gt;$F35+1,0,1)*(IF(T107=0,100,0)+IF($G35=1,1,0.5)*$J35*100)</f>
        <v>0</v>
      </c>
      <c r="T107" s="40">
        <f t="shared" ref="T107:U107" si="558">IF(T106&gt;$F35+1,0,1)*(IF(U107=0,100,0)+IF($G35=1,1,0.5)*$J35*100)</f>
        <v>0</v>
      </c>
      <c r="U107" s="40">
        <f t="shared" si="558"/>
        <v>0</v>
      </c>
      <c r="V107" s="40">
        <f t="shared" ref="V107" si="559">IF(V106&gt;$F35+1,0,1)*(IF(W107=0,100,0)+IF($G35=1,1,0.5)*$J35*100)</f>
        <v>0</v>
      </c>
      <c r="W107" s="40">
        <f t="shared" ref="W107:X107" si="560">IF(W106&gt;$F35+1,0,1)*(IF(X107=0,100,0)+IF($G35=1,1,0.5)*$J35*100)</f>
        <v>0</v>
      </c>
      <c r="X107" s="40">
        <f t="shared" si="560"/>
        <v>0</v>
      </c>
      <c r="Y107" s="40">
        <f t="shared" ref="Y107" si="561">IF(Y106&gt;$F35+1,0,1)*(IF(Z107=0,100,0)+IF($G35=1,1,0.5)*$J35*100)</f>
        <v>0</v>
      </c>
      <c r="Z107" s="40">
        <f t="shared" ref="Z107:AA107" si="562">IF(Z106&gt;$F35+1,0,1)*(IF(AA107=0,100,0)+IF($G35=1,1,0.5)*$J35*100)</f>
        <v>0</v>
      </c>
      <c r="AA107" s="40">
        <f t="shared" si="562"/>
        <v>0</v>
      </c>
      <c r="AB107" s="40">
        <f t="shared" ref="AB107" si="563">IF(AB106&gt;$F35+1,0,1)*(IF(AC107=0,100,0)+IF($G35=1,1,0.5)*$J35*100)</f>
        <v>0</v>
      </c>
      <c r="AC107" s="40">
        <f t="shared" ref="AC107:AD107" si="564">IF(AC106&gt;$F35+1,0,1)*(IF(AD107=0,100,0)+IF($G35=1,1,0.5)*$J35*100)</f>
        <v>0</v>
      </c>
      <c r="AD107" s="40">
        <f t="shared" si="564"/>
        <v>0</v>
      </c>
      <c r="AE107" s="40">
        <f t="shared" ref="AE107" si="565">IF(AE106&gt;$F35+1,0,1)*(IF(AF107=0,100,0)+IF($G35=1,1,0.5)*$J35*100)</f>
        <v>0</v>
      </c>
      <c r="AF107" s="40">
        <f t="shared" ref="AF107:AG107" si="566">IF(AF106&gt;$F35+1,0,1)*(IF(AG107=0,100,0)+IF($G35=1,1,0.5)*$J35*100)</f>
        <v>0</v>
      </c>
      <c r="AG107" s="40">
        <f t="shared" si="566"/>
        <v>0</v>
      </c>
      <c r="AH107" s="40">
        <f t="shared" ref="AH107" si="567">IF(AH106&gt;$F35+1,0,1)*(IF(AI107=0,100,0)+IF($G35=1,1,0.5)*$J35*100)</f>
        <v>0</v>
      </c>
      <c r="AI107" s="40">
        <f t="shared" ref="AI107:AJ107" si="568">IF(AI106&gt;$F35+1,0,1)*(IF(AJ107=0,100,0)+IF($G35=1,1,0.5)*$J35*100)</f>
        <v>0</v>
      </c>
      <c r="AJ107" s="40">
        <f t="shared" si="568"/>
        <v>0</v>
      </c>
      <c r="AK107" s="40">
        <f t="shared" ref="AK107" si="569">IF(AK106&gt;$F35+1,0,1)*(IF(AL107=0,100,0)+IF($G35=1,1,0.5)*$J35*100)</f>
        <v>0</v>
      </c>
      <c r="AL107" s="40">
        <f t="shared" ref="AL107:AM107" si="570">IF(AL106&gt;$F35+1,0,1)*(IF(AM107=0,100,0)+IF($G35=1,1,0.5)*$J35*100)</f>
        <v>0</v>
      </c>
      <c r="AM107" s="40">
        <f t="shared" si="570"/>
        <v>0</v>
      </c>
      <c r="AN107" s="40">
        <f t="shared" ref="AN107" si="571">IF(AN106&gt;$F35+1,0,1)*(IF(AO107=0,100,0)+IF($G35=1,1,0.5)*$J35*100)</f>
        <v>0</v>
      </c>
      <c r="AO107" s="40">
        <f t="shared" ref="AO107:AP107" si="572">IF(AO106&gt;$F35+1,0,1)*(IF(AP107=0,100,0)+IF($G35=1,1,0.5)*$J35*100)</f>
        <v>0</v>
      </c>
      <c r="AP107" s="40">
        <f t="shared" si="572"/>
        <v>0</v>
      </c>
      <c r="AQ107" s="40">
        <f t="shared" ref="AQ107" si="573">IF(AQ106&gt;$F35+1,0,1)*(IF(AR107=0,100,0)+IF($G35=1,1,0.5)*$J35*100)</f>
        <v>0</v>
      </c>
      <c r="AR107" s="40">
        <f t="shared" ref="AR107:AS107" si="574">IF(AR106&gt;$F35+1,0,1)*(IF(AS107=0,100,0)+IF($G35=1,1,0.5)*$J35*100)</f>
        <v>0</v>
      </c>
      <c r="AS107" s="40">
        <f t="shared" si="574"/>
        <v>0</v>
      </c>
      <c r="AT107" s="40">
        <f t="shared" ref="AT107" si="575">IF(AT106&gt;$F35+1,0,1)*(IF(AU107=0,100,0)+IF($G35=1,1,0.5)*$J35*100)</f>
        <v>0</v>
      </c>
      <c r="AU107" s="40">
        <f t="shared" ref="AU107:AV107" si="576">IF(AU106&gt;$F35+1,0,1)*(IF(AV107=0,100,0)+IF($G35=1,1,0.5)*$J35*100)</f>
        <v>0</v>
      </c>
      <c r="AV107" s="40">
        <f t="shared" si="576"/>
        <v>0</v>
      </c>
      <c r="AW107" s="40">
        <f t="shared" ref="AW107" si="577">IF(AW106&gt;$F35+1,0,1)*(IF(AX107=0,100,0)+IF($G35=1,1,0.5)*$J35*100)</f>
        <v>0</v>
      </c>
      <c r="AX107" s="40">
        <f t="shared" ref="AX107:AY107" si="578">IF(AX106&gt;$F35+1,0,1)*(IF(AY107=0,100,0)+IF($G35=1,1,0.5)*$J35*100)</f>
        <v>0</v>
      </c>
      <c r="AY107" s="40">
        <f t="shared" si="578"/>
        <v>0</v>
      </c>
      <c r="AZ107" s="40">
        <f t="shared" ref="AZ107" si="579">IF(AZ106&gt;$F35+1,0,1)*(IF(BA107=0,100,0)+IF($G35=1,1,0.5)*$J35*100)</f>
        <v>0</v>
      </c>
      <c r="BA107" s="40">
        <f t="shared" ref="BA107:BB107" si="580">IF(BA106&gt;$F35+1,0,1)*(IF(BB107=0,100,0)+IF($G35=1,1,0.5)*$J35*100)</f>
        <v>0</v>
      </c>
      <c r="BB107" s="40">
        <f t="shared" si="580"/>
        <v>0</v>
      </c>
      <c r="BC107" s="40">
        <f t="shared" ref="BC107" si="581">IF(BC106&gt;$F35+1,0,1)*(IF(BD107=0,100,0)+IF($G35=1,1,0.5)*$J35*100)</f>
        <v>0</v>
      </c>
      <c r="BD107" s="40">
        <f t="shared" ref="BD107:BE107" si="582">IF(BD106&gt;$F35+1,0,1)*(IF(BE107=0,100,0)+IF($G35=1,1,0.5)*$J35*100)</f>
        <v>0</v>
      </c>
      <c r="BE107" s="40">
        <f t="shared" si="582"/>
        <v>0</v>
      </c>
      <c r="BF107" s="40">
        <f t="shared" ref="BF107" si="583">IF(BF106&gt;$F35+1,0,1)*(IF(BG107=0,100,0)+IF($G35=1,1,0.5)*$J35*100)</f>
        <v>0</v>
      </c>
      <c r="BG107" s="40">
        <f t="shared" ref="BG107:BH107" si="584">IF(BG106&gt;$F35+1,0,1)*(IF(BH107=0,100,0)+IF($G35=1,1,0.5)*$J35*100)</f>
        <v>0</v>
      </c>
      <c r="BH107" s="40">
        <f t="shared" si="584"/>
        <v>0</v>
      </c>
      <c r="BI107" s="40">
        <f t="shared" ref="BI107" si="585">IF(BI106&gt;$F35+1,0,1)*(IF(BJ107=0,100,0)+IF($G35=1,1,0.5)*$J35*100)</f>
        <v>0</v>
      </c>
      <c r="BJ107" s="40">
        <f t="shared" ref="BJ107:BK107" si="586">IF(BJ106&gt;$F35+1,0,1)*(IF(BK107=0,100,0)+IF($G35=1,1,0.5)*$J35*100)</f>
        <v>0</v>
      </c>
      <c r="BK107" s="40">
        <f t="shared" si="586"/>
        <v>0</v>
      </c>
      <c r="BL107" s="40">
        <f t="shared" ref="BL107" si="587">IF(BL106&gt;$F35+1,0,1)*(IF(BM107=0,100,0)+IF($G35=1,1,0.5)*$J35*100)</f>
        <v>0</v>
      </c>
      <c r="BM107" s="40">
        <f t="shared" ref="BM107:BN107" si="588">IF(BM106&gt;$F35+1,0,1)*(IF(BN107=0,100,0)+IF($G35=1,1,0.5)*$J35*100)</f>
        <v>0</v>
      </c>
      <c r="BN107" s="40">
        <f t="shared" si="588"/>
        <v>0</v>
      </c>
      <c r="BO107" s="40">
        <f t="shared" ref="BO107" si="589">IF(BO106&gt;$F35+1,0,1)*(IF(BP107=0,100,0)+IF($G35=1,1,0.5)*$J35*100)</f>
        <v>0</v>
      </c>
      <c r="BP107" s="40">
        <f t="shared" ref="BP107:BQ107" si="590">IF(BP106&gt;$F35+1,0,1)*(IF(BQ107=0,100,0)+IF($G35=1,1,0.5)*$J35*100)</f>
        <v>0</v>
      </c>
      <c r="BQ107" s="40">
        <f t="shared" si="590"/>
        <v>0</v>
      </c>
      <c r="BR107" s="40">
        <f t="shared" ref="BR107" si="591">IF(BR106&gt;$F35+1,0,1)*(IF(BS107=0,100,0)+IF($G35=1,1,0.5)*$J35*100)</f>
        <v>0</v>
      </c>
      <c r="BS107" s="40">
        <f t="shared" ref="BS107:BT107" si="592">IF(BS106&gt;$F35+1,0,1)*(IF(BT107=0,100,0)+IF($G35=1,1,0.5)*$J35*100)</f>
        <v>0</v>
      </c>
      <c r="BT107" s="40">
        <f t="shared" si="592"/>
        <v>0</v>
      </c>
      <c r="BU107" s="40">
        <f t="shared" ref="BU107" si="593">IF(BU106&gt;$F35+1,0,1)*(IF(BV107=0,100,0)+IF($G35=1,1,0.5)*$J35*100)</f>
        <v>0</v>
      </c>
      <c r="BV107" s="40">
        <f t="shared" ref="BV107:BW107" si="594">IF(BV106&gt;$F35+1,0,1)*(IF(BW107=0,100,0)+IF($G35=1,1,0.5)*$J35*100)</f>
        <v>0</v>
      </c>
      <c r="BW107" s="40">
        <f t="shared" si="594"/>
        <v>0</v>
      </c>
      <c r="BX107" s="40">
        <f t="shared" ref="BX107" si="595">IF(BX106&gt;$F35+1,0,1)*(IF(BY107=0,100,0)+IF($G35=1,1,0.5)*$J35*100)</f>
        <v>0</v>
      </c>
      <c r="BY107" s="40">
        <f t="shared" ref="BY107:BZ107" si="596">IF(BY106&gt;$F35+1,0,1)*(IF(BZ107=0,100,0)+IF($G35=1,1,0.5)*$J35*100)</f>
        <v>0</v>
      </c>
      <c r="BZ107" s="40">
        <f t="shared" si="596"/>
        <v>0</v>
      </c>
      <c r="CA107" s="40">
        <f t="shared" ref="CA107" si="597">IF(CA106&gt;$F35+1,0,1)*(IF(CB107=0,100,0)+IF($G35=1,1,0.5)*$J35*100)</f>
        <v>0</v>
      </c>
      <c r="CB107" s="40">
        <f t="shared" ref="CB107" si="598">IF(CB106&gt;$F35+1,0,1)*(IF(CC107=0,100,0)+IF($G35=1,1,0.5)*$J35*100)</f>
        <v>0</v>
      </c>
      <c r="CF107" s="10"/>
      <c r="CG107" s="10"/>
      <c r="CH107" s="10"/>
      <c r="CI107" s="10"/>
      <c r="CJ107" s="10"/>
      <c r="CK107" s="10"/>
      <c r="CL107" s="10"/>
      <c r="CM107" s="10"/>
      <c r="CN107" s="10"/>
      <c r="CO107" s="10"/>
      <c r="CP107" s="10"/>
      <c r="CQ107" s="10"/>
      <c r="CR107" s="10"/>
      <c r="CS107" s="10"/>
      <c r="CT107" s="10"/>
      <c r="CU107" s="10"/>
      <c r="CV107" s="10"/>
      <c r="CW107" s="10"/>
      <c r="CX107" s="10"/>
      <c r="CY107" s="10"/>
      <c r="CZ107" s="10"/>
      <c r="DA107" s="10"/>
      <c r="DB107" s="10"/>
      <c r="DC107" s="10"/>
      <c r="DD107" s="10"/>
      <c r="DE107" s="10"/>
      <c r="DF107" s="10"/>
      <c r="DG107" s="10"/>
      <c r="DH107" s="10"/>
      <c r="DI107" s="10"/>
      <c r="DJ107" s="10"/>
      <c r="DK107" s="10"/>
    </row>
    <row r="108" spans="1:115">
      <c r="A108" s="687" t="s">
        <v>49</v>
      </c>
      <c r="B108" s="688" t="str">
        <f>IF(E36=0,F36,E36)</f>
        <v>12/9/2019</v>
      </c>
      <c r="C108" s="689">
        <f>B108+IF($G36=1,365,182.5)</f>
        <v>43990.5</v>
      </c>
      <c r="D108" s="689">
        <f t="shared" ref="D108:F108" si="599">C108+IF($G36=1,365,182.5)</f>
        <v>44173</v>
      </c>
      <c r="E108" s="689">
        <f t="shared" si="599"/>
        <v>44355.5</v>
      </c>
      <c r="F108" s="689">
        <f t="shared" si="599"/>
        <v>44538</v>
      </c>
      <c r="G108" s="689">
        <f t="shared" ref="G108:BR108" si="600">F108+IF($G36=1,365,182.5)</f>
        <v>44720.5</v>
      </c>
      <c r="H108" s="689">
        <f t="shared" si="600"/>
        <v>44903</v>
      </c>
      <c r="I108" s="689">
        <f t="shared" si="600"/>
        <v>45085.5</v>
      </c>
      <c r="J108" s="689">
        <f t="shared" si="600"/>
        <v>45268</v>
      </c>
      <c r="K108" s="689">
        <f t="shared" si="600"/>
        <v>45450.5</v>
      </c>
      <c r="L108" s="689">
        <f t="shared" si="600"/>
        <v>45633</v>
      </c>
      <c r="M108" s="689">
        <f t="shared" si="600"/>
        <v>45815.5</v>
      </c>
      <c r="N108" s="689">
        <f t="shared" si="600"/>
        <v>45998</v>
      </c>
      <c r="O108" s="689">
        <f t="shared" si="600"/>
        <v>46180.5</v>
      </c>
      <c r="P108" s="689">
        <f t="shared" si="600"/>
        <v>46363</v>
      </c>
      <c r="Q108" s="689">
        <f t="shared" si="600"/>
        <v>46545.5</v>
      </c>
      <c r="R108" s="689">
        <f t="shared" si="600"/>
        <v>46728</v>
      </c>
      <c r="S108" s="689">
        <f t="shared" si="600"/>
        <v>46910.5</v>
      </c>
      <c r="T108" s="689">
        <f t="shared" si="600"/>
        <v>47093</v>
      </c>
      <c r="U108" s="689">
        <f t="shared" si="600"/>
        <v>47275.5</v>
      </c>
      <c r="V108" s="689">
        <f t="shared" si="600"/>
        <v>47458</v>
      </c>
      <c r="W108" s="689">
        <f t="shared" si="600"/>
        <v>47640.5</v>
      </c>
      <c r="X108" s="689">
        <f t="shared" si="600"/>
        <v>47823</v>
      </c>
      <c r="Y108" s="689">
        <f t="shared" si="600"/>
        <v>48005.5</v>
      </c>
      <c r="Z108" s="689">
        <f t="shared" si="600"/>
        <v>48188</v>
      </c>
      <c r="AA108" s="689">
        <f t="shared" si="600"/>
        <v>48370.5</v>
      </c>
      <c r="AB108" s="689">
        <f t="shared" si="600"/>
        <v>48553</v>
      </c>
      <c r="AC108" s="689">
        <f t="shared" si="600"/>
        <v>48735.5</v>
      </c>
      <c r="AD108" s="689">
        <f t="shared" si="600"/>
        <v>48918</v>
      </c>
      <c r="AE108" s="689">
        <f t="shared" si="600"/>
        <v>49100.5</v>
      </c>
      <c r="AF108" s="689">
        <f t="shared" si="600"/>
        <v>49283</v>
      </c>
      <c r="AG108" s="689">
        <f t="shared" si="600"/>
        <v>49465.5</v>
      </c>
      <c r="AH108" s="689">
        <f t="shared" si="600"/>
        <v>49648</v>
      </c>
      <c r="AI108" s="689">
        <f t="shared" si="600"/>
        <v>49830.5</v>
      </c>
      <c r="AJ108" s="689">
        <f t="shared" si="600"/>
        <v>50013</v>
      </c>
      <c r="AK108" s="689">
        <f t="shared" si="600"/>
        <v>50195.5</v>
      </c>
      <c r="AL108" s="689">
        <f t="shared" si="600"/>
        <v>50378</v>
      </c>
      <c r="AM108" s="689">
        <f t="shared" si="600"/>
        <v>50560.5</v>
      </c>
      <c r="AN108" s="689">
        <f t="shared" si="600"/>
        <v>50743</v>
      </c>
      <c r="AO108" s="689">
        <f t="shared" si="600"/>
        <v>50925.5</v>
      </c>
      <c r="AP108" s="689">
        <f t="shared" si="600"/>
        <v>51108</v>
      </c>
      <c r="AQ108" s="689">
        <f t="shared" si="600"/>
        <v>51290.5</v>
      </c>
      <c r="AR108" s="689">
        <f t="shared" si="600"/>
        <v>51473</v>
      </c>
      <c r="AS108" s="689">
        <f t="shared" si="600"/>
        <v>51655.5</v>
      </c>
      <c r="AT108" s="689">
        <f t="shared" si="600"/>
        <v>51838</v>
      </c>
      <c r="AU108" s="689">
        <f t="shared" si="600"/>
        <v>52020.5</v>
      </c>
      <c r="AV108" s="689">
        <f t="shared" si="600"/>
        <v>52203</v>
      </c>
      <c r="AW108" s="689">
        <f t="shared" si="600"/>
        <v>52385.5</v>
      </c>
      <c r="AX108" s="689">
        <f t="shared" si="600"/>
        <v>52568</v>
      </c>
      <c r="AY108" s="689">
        <f t="shared" si="600"/>
        <v>52750.5</v>
      </c>
      <c r="AZ108" s="689">
        <f t="shared" si="600"/>
        <v>52933</v>
      </c>
      <c r="BA108" s="689">
        <f t="shared" si="600"/>
        <v>53115.5</v>
      </c>
      <c r="BB108" s="689">
        <f t="shared" si="600"/>
        <v>53298</v>
      </c>
      <c r="BC108" s="689">
        <f t="shared" si="600"/>
        <v>53480.5</v>
      </c>
      <c r="BD108" s="689">
        <f t="shared" si="600"/>
        <v>53663</v>
      </c>
      <c r="BE108" s="689">
        <f t="shared" si="600"/>
        <v>53845.5</v>
      </c>
      <c r="BF108" s="689">
        <f t="shared" si="600"/>
        <v>54028</v>
      </c>
      <c r="BG108" s="689">
        <f t="shared" si="600"/>
        <v>54210.5</v>
      </c>
      <c r="BH108" s="689">
        <f t="shared" si="600"/>
        <v>54393</v>
      </c>
      <c r="BI108" s="689">
        <f t="shared" si="600"/>
        <v>54575.5</v>
      </c>
      <c r="BJ108" s="689">
        <f t="shared" si="600"/>
        <v>54758</v>
      </c>
      <c r="BK108" s="689">
        <f t="shared" si="600"/>
        <v>54940.5</v>
      </c>
      <c r="BL108" s="689">
        <f t="shared" si="600"/>
        <v>55123</v>
      </c>
      <c r="BM108" s="689">
        <f t="shared" si="600"/>
        <v>55305.5</v>
      </c>
      <c r="BN108" s="689">
        <f t="shared" si="600"/>
        <v>55488</v>
      </c>
      <c r="BO108" s="689">
        <f t="shared" si="600"/>
        <v>55670.5</v>
      </c>
      <c r="BP108" s="689">
        <f t="shared" si="600"/>
        <v>55853</v>
      </c>
      <c r="BQ108" s="689">
        <f t="shared" si="600"/>
        <v>56035.5</v>
      </c>
      <c r="BR108" s="689">
        <f t="shared" si="600"/>
        <v>56218</v>
      </c>
      <c r="BS108" s="689">
        <f t="shared" ref="BS108:CB108" si="601">BR108+IF($G36=1,365,182.5)</f>
        <v>56400.5</v>
      </c>
      <c r="BT108" s="689">
        <f t="shared" si="601"/>
        <v>56583</v>
      </c>
      <c r="BU108" s="689">
        <f t="shared" si="601"/>
        <v>56765.5</v>
      </c>
      <c r="BV108" s="689">
        <f t="shared" si="601"/>
        <v>56948</v>
      </c>
      <c r="BW108" s="689">
        <f t="shared" si="601"/>
        <v>57130.5</v>
      </c>
      <c r="BX108" s="689">
        <f t="shared" si="601"/>
        <v>57313</v>
      </c>
      <c r="BY108" s="689">
        <f t="shared" si="601"/>
        <v>57495.5</v>
      </c>
      <c r="BZ108" s="689">
        <f t="shared" si="601"/>
        <v>57678</v>
      </c>
      <c r="CA108" s="689">
        <f t="shared" si="601"/>
        <v>57860.5</v>
      </c>
      <c r="CB108" s="689">
        <f t="shared" si="601"/>
        <v>58043</v>
      </c>
      <c r="CF108" s="10"/>
      <c r="CG108" s="10"/>
      <c r="CH108" s="10"/>
      <c r="CI108" s="10"/>
      <c r="CJ108" s="10"/>
      <c r="CK108" s="10"/>
      <c r="CL108" s="10"/>
      <c r="CM108" s="10"/>
      <c r="CN108" s="10"/>
      <c r="CO108" s="10"/>
      <c r="CP108" s="10"/>
      <c r="CQ108" s="10"/>
      <c r="CR108" s="10"/>
      <c r="CS108" s="10"/>
      <c r="CT108" s="10"/>
      <c r="CU108" s="10"/>
      <c r="CV108" s="10"/>
      <c r="CW108" s="10"/>
      <c r="CX108" s="10"/>
      <c r="CY108" s="10"/>
      <c r="CZ108" s="10"/>
      <c r="DA108" s="10"/>
      <c r="DB108" s="10"/>
      <c r="DC108" s="10"/>
      <c r="DD108" s="10"/>
      <c r="DE108" s="10"/>
      <c r="DF108" s="10"/>
      <c r="DG108" s="10"/>
      <c r="DH108" s="10"/>
      <c r="DI108" s="10"/>
      <c r="DJ108" s="10"/>
      <c r="DK108" s="10"/>
    </row>
    <row r="109" spans="1:115">
      <c r="A109" s="690" t="s">
        <v>815</v>
      </c>
      <c r="B109" s="691">
        <f>(IF(B108=F36,100,0)+IF(G36=1,1,0.5)*J36*100)*IF(ISBLANK(F36)=TRUE,0,1)</f>
        <v>0.91999999999999993</v>
      </c>
      <c r="C109" s="692">
        <f>IF(C108&gt;$F36+1,0,1)*(IF(D109=0,100,0)+IF($G36=1,1,0.5)*$J36*100)</f>
        <v>0.91999999999999993</v>
      </c>
      <c r="D109" s="692">
        <f t="shared" ref="D109:F109" si="602">IF(D108&gt;$F36+1,0,1)*(IF(E109=0,100,0)+IF($G36=1,1,0.5)*$J36*100)</f>
        <v>0.91999999999999993</v>
      </c>
      <c r="E109" s="692">
        <f t="shared" si="602"/>
        <v>0.91999999999999993</v>
      </c>
      <c r="F109" s="692">
        <f t="shared" si="602"/>
        <v>0.91999999999999993</v>
      </c>
      <c r="G109" s="692">
        <f t="shared" ref="G109" si="603">IF(G108&gt;$F36+1,0,1)*(IF(H109=0,100,0)+IF($G36=1,1,0.5)*$J36*100)</f>
        <v>0.91999999999999993</v>
      </c>
      <c r="H109" s="692">
        <f t="shared" ref="H109:I109" si="604">IF(H108&gt;$F36+1,0,1)*(IF(I109=0,100,0)+IF($G36=1,1,0.5)*$J36*100)</f>
        <v>0.91999999999999993</v>
      </c>
      <c r="I109" s="692">
        <f t="shared" si="604"/>
        <v>0.91999999999999993</v>
      </c>
      <c r="J109" s="692">
        <f t="shared" ref="J109" si="605">IF(J108&gt;$F36+1,0,1)*(IF(K109=0,100,0)+IF($G36=1,1,0.5)*$J36*100)</f>
        <v>0.91999999999999993</v>
      </c>
      <c r="K109" s="692">
        <f t="shared" ref="K109:L109" si="606">IF(K108&gt;$F36+1,0,1)*(IF(L109=0,100,0)+IF($G36=1,1,0.5)*$J36*100)</f>
        <v>0.91999999999999993</v>
      </c>
      <c r="L109" s="692">
        <f t="shared" si="606"/>
        <v>100.92</v>
      </c>
      <c r="M109" s="692">
        <f t="shared" ref="M109" si="607">IF(M108&gt;$F36+1,0,1)*(IF(N109=0,100,0)+IF($G36=1,1,0.5)*$J36*100)</f>
        <v>0</v>
      </c>
      <c r="N109" s="692">
        <f t="shared" ref="N109:O109" si="608">IF(N108&gt;$F36+1,0,1)*(IF(O109=0,100,0)+IF($G36=1,1,0.5)*$J36*100)</f>
        <v>0</v>
      </c>
      <c r="O109" s="692">
        <f t="shared" si="608"/>
        <v>0</v>
      </c>
      <c r="P109" s="692">
        <f t="shared" ref="P109" si="609">IF(P108&gt;$F36+1,0,1)*(IF(Q109=0,100,0)+IF($G36=1,1,0.5)*$J36*100)</f>
        <v>0</v>
      </c>
      <c r="Q109" s="692">
        <f t="shared" ref="Q109:R109" si="610">IF(Q108&gt;$F36+1,0,1)*(IF(R109=0,100,0)+IF($G36=1,1,0.5)*$J36*100)</f>
        <v>0</v>
      </c>
      <c r="R109" s="692">
        <f t="shared" si="610"/>
        <v>0</v>
      </c>
      <c r="S109" s="692">
        <f t="shared" ref="S109" si="611">IF(S108&gt;$F36+1,0,1)*(IF(T109=0,100,0)+IF($G36=1,1,0.5)*$J36*100)</f>
        <v>0</v>
      </c>
      <c r="T109" s="692">
        <f t="shared" ref="T109:U109" si="612">IF(T108&gt;$F36+1,0,1)*(IF(U109=0,100,0)+IF($G36=1,1,0.5)*$J36*100)</f>
        <v>0</v>
      </c>
      <c r="U109" s="692">
        <f t="shared" si="612"/>
        <v>0</v>
      </c>
      <c r="V109" s="692">
        <f t="shared" ref="V109" si="613">IF(V108&gt;$F36+1,0,1)*(IF(W109=0,100,0)+IF($G36=1,1,0.5)*$J36*100)</f>
        <v>0</v>
      </c>
      <c r="W109" s="692">
        <f t="shared" ref="W109:X109" si="614">IF(W108&gt;$F36+1,0,1)*(IF(X109=0,100,0)+IF($G36=1,1,0.5)*$J36*100)</f>
        <v>0</v>
      </c>
      <c r="X109" s="692">
        <f t="shared" si="614"/>
        <v>0</v>
      </c>
      <c r="Y109" s="692">
        <f t="shared" ref="Y109" si="615">IF(Y108&gt;$F36+1,0,1)*(IF(Z109=0,100,0)+IF($G36=1,1,0.5)*$J36*100)</f>
        <v>0</v>
      </c>
      <c r="Z109" s="692">
        <f t="shared" ref="Z109:AA109" si="616">IF(Z108&gt;$F36+1,0,1)*(IF(AA109=0,100,0)+IF($G36=1,1,0.5)*$J36*100)</f>
        <v>0</v>
      </c>
      <c r="AA109" s="692">
        <f t="shared" si="616"/>
        <v>0</v>
      </c>
      <c r="AB109" s="692">
        <f t="shared" ref="AB109" si="617">IF(AB108&gt;$F36+1,0,1)*(IF(AC109=0,100,0)+IF($G36=1,1,0.5)*$J36*100)</f>
        <v>0</v>
      </c>
      <c r="AC109" s="692">
        <f t="shared" ref="AC109:AD109" si="618">IF(AC108&gt;$F36+1,0,1)*(IF(AD109=0,100,0)+IF($G36=1,1,0.5)*$J36*100)</f>
        <v>0</v>
      </c>
      <c r="AD109" s="692">
        <f t="shared" si="618"/>
        <v>0</v>
      </c>
      <c r="AE109" s="692">
        <f t="shared" ref="AE109" si="619">IF(AE108&gt;$F36+1,0,1)*(IF(AF109=0,100,0)+IF($G36=1,1,0.5)*$J36*100)</f>
        <v>0</v>
      </c>
      <c r="AF109" s="692">
        <f t="shared" ref="AF109:AG109" si="620">IF(AF108&gt;$F36+1,0,1)*(IF(AG109=0,100,0)+IF($G36=1,1,0.5)*$J36*100)</f>
        <v>0</v>
      </c>
      <c r="AG109" s="692">
        <f t="shared" si="620"/>
        <v>0</v>
      </c>
      <c r="AH109" s="692">
        <f t="shared" ref="AH109" si="621">IF(AH108&gt;$F36+1,0,1)*(IF(AI109=0,100,0)+IF($G36=1,1,0.5)*$J36*100)</f>
        <v>0</v>
      </c>
      <c r="AI109" s="692">
        <f t="shared" ref="AI109:AJ109" si="622">IF(AI108&gt;$F36+1,0,1)*(IF(AJ109=0,100,0)+IF($G36=1,1,0.5)*$J36*100)</f>
        <v>0</v>
      </c>
      <c r="AJ109" s="692">
        <f t="shared" si="622"/>
        <v>0</v>
      </c>
      <c r="AK109" s="692">
        <f t="shared" ref="AK109" si="623">IF(AK108&gt;$F36+1,0,1)*(IF(AL109=0,100,0)+IF($G36=1,1,0.5)*$J36*100)</f>
        <v>0</v>
      </c>
      <c r="AL109" s="692">
        <f t="shared" ref="AL109:AM109" si="624">IF(AL108&gt;$F36+1,0,1)*(IF(AM109=0,100,0)+IF($G36=1,1,0.5)*$J36*100)</f>
        <v>0</v>
      </c>
      <c r="AM109" s="692">
        <f t="shared" si="624"/>
        <v>0</v>
      </c>
      <c r="AN109" s="692">
        <f t="shared" ref="AN109" si="625">IF(AN108&gt;$F36+1,0,1)*(IF(AO109=0,100,0)+IF($G36=1,1,0.5)*$J36*100)</f>
        <v>0</v>
      </c>
      <c r="AO109" s="692">
        <f t="shared" ref="AO109:AP109" si="626">IF(AO108&gt;$F36+1,0,1)*(IF(AP109=0,100,0)+IF($G36=1,1,0.5)*$J36*100)</f>
        <v>0</v>
      </c>
      <c r="AP109" s="692">
        <f t="shared" si="626"/>
        <v>0</v>
      </c>
      <c r="AQ109" s="692">
        <f t="shared" ref="AQ109" si="627">IF(AQ108&gt;$F36+1,0,1)*(IF(AR109=0,100,0)+IF($G36=1,1,0.5)*$J36*100)</f>
        <v>0</v>
      </c>
      <c r="AR109" s="692">
        <f t="shared" ref="AR109:AS109" si="628">IF(AR108&gt;$F36+1,0,1)*(IF(AS109=0,100,0)+IF($G36=1,1,0.5)*$J36*100)</f>
        <v>0</v>
      </c>
      <c r="AS109" s="692">
        <f t="shared" si="628"/>
        <v>0</v>
      </c>
      <c r="AT109" s="692">
        <f t="shared" ref="AT109" si="629">IF(AT108&gt;$F36+1,0,1)*(IF(AU109=0,100,0)+IF($G36=1,1,0.5)*$J36*100)</f>
        <v>0</v>
      </c>
      <c r="AU109" s="692">
        <f t="shared" ref="AU109:AV109" si="630">IF(AU108&gt;$F36+1,0,1)*(IF(AV109=0,100,0)+IF($G36=1,1,0.5)*$J36*100)</f>
        <v>0</v>
      </c>
      <c r="AV109" s="692">
        <f t="shared" si="630"/>
        <v>0</v>
      </c>
      <c r="AW109" s="692">
        <f t="shared" ref="AW109" si="631">IF(AW108&gt;$F36+1,0,1)*(IF(AX109=0,100,0)+IF($G36=1,1,0.5)*$J36*100)</f>
        <v>0</v>
      </c>
      <c r="AX109" s="692">
        <f t="shared" ref="AX109:AY109" si="632">IF(AX108&gt;$F36+1,0,1)*(IF(AY109=0,100,0)+IF($G36=1,1,0.5)*$J36*100)</f>
        <v>0</v>
      </c>
      <c r="AY109" s="692">
        <f t="shared" si="632"/>
        <v>0</v>
      </c>
      <c r="AZ109" s="692">
        <f t="shared" ref="AZ109" si="633">IF(AZ108&gt;$F36+1,0,1)*(IF(BA109=0,100,0)+IF($G36=1,1,0.5)*$J36*100)</f>
        <v>0</v>
      </c>
      <c r="BA109" s="692">
        <f t="shared" ref="BA109:BB109" si="634">IF(BA108&gt;$F36+1,0,1)*(IF(BB109=0,100,0)+IF($G36=1,1,0.5)*$J36*100)</f>
        <v>0</v>
      </c>
      <c r="BB109" s="692">
        <f t="shared" si="634"/>
        <v>0</v>
      </c>
      <c r="BC109" s="692">
        <f t="shared" ref="BC109" si="635">IF(BC108&gt;$F36+1,0,1)*(IF(BD109=0,100,0)+IF($G36=1,1,0.5)*$J36*100)</f>
        <v>0</v>
      </c>
      <c r="BD109" s="692">
        <f t="shared" ref="BD109:BE109" si="636">IF(BD108&gt;$F36+1,0,1)*(IF(BE109=0,100,0)+IF($G36=1,1,0.5)*$J36*100)</f>
        <v>0</v>
      </c>
      <c r="BE109" s="692">
        <f t="shared" si="636"/>
        <v>0</v>
      </c>
      <c r="BF109" s="692">
        <f t="shared" ref="BF109" si="637">IF(BF108&gt;$F36+1,0,1)*(IF(BG109=0,100,0)+IF($G36=1,1,0.5)*$J36*100)</f>
        <v>0</v>
      </c>
      <c r="BG109" s="692">
        <f t="shared" ref="BG109:BH109" si="638">IF(BG108&gt;$F36+1,0,1)*(IF(BH109=0,100,0)+IF($G36=1,1,0.5)*$J36*100)</f>
        <v>0</v>
      </c>
      <c r="BH109" s="692">
        <f t="shared" si="638"/>
        <v>0</v>
      </c>
      <c r="BI109" s="692">
        <f t="shared" ref="BI109" si="639">IF(BI108&gt;$F36+1,0,1)*(IF(BJ109=0,100,0)+IF($G36=1,1,0.5)*$J36*100)</f>
        <v>0</v>
      </c>
      <c r="BJ109" s="692">
        <f t="shared" ref="BJ109:BK109" si="640">IF(BJ108&gt;$F36+1,0,1)*(IF(BK109=0,100,0)+IF($G36=1,1,0.5)*$J36*100)</f>
        <v>0</v>
      </c>
      <c r="BK109" s="692">
        <f t="shared" si="640"/>
        <v>0</v>
      </c>
      <c r="BL109" s="692">
        <f t="shared" ref="BL109" si="641">IF(BL108&gt;$F36+1,0,1)*(IF(BM109=0,100,0)+IF($G36=1,1,0.5)*$J36*100)</f>
        <v>0</v>
      </c>
      <c r="BM109" s="692">
        <f t="shared" ref="BM109:BN109" si="642">IF(BM108&gt;$F36+1,0,1)*(IF(BN109=0,100,0)+IF($G36=1,1,0.5)*$J36*100)</f>
        <v>0</v>
      </c>
      <c r="BN109" s="692">
        <f t="shared" si="642"/>
        <v>0</v>
      </c>
      <c r="BO109" s="692">
        <f t="shared" ref="BO109" si="643">IF(BO108&gt;$F36+1,0,1)*(IF(BP109=0,100,0)+IF($G36=1,1,0.5)*$J36*100)</f>
        <v>0</v>
      </c>
      <c r="BP109" s="692">
        <f t="shared" ref="BP109:BQ109" si="644">IF(BP108&gt;$F36+1,0,1)*(IF(BQ109=0,100,0)+IF($G36=1,1,0.5)*$J36*100)</f>
        <v>0</v>
      </c>
      <c r="BQ109" s="692">
        <f t="shared" si="644"/>
        <v>0</v>
      </c>
      <c r="BR109" s="692">
        <f t="shared" ref="BR109" si="645">IF(BR108&gt;$F36+1,0,1)*(IF(BS109=0,100,0)+IF($G36=1,1,0.5)*$J36*100)</f>
        <v>0</v>
      </c>
      <c r="BS109" s="692">
        <f t="shared" ref="BS109:BT109" si="646">IF(BS108&gt;$F36+1,0,1)*(IF(BT109=0,100,0)+IF($G36=1,1,0.5)*$J36*100)</f>
        <v>0</v>
      </c>
      <c r="BT109" s="692">
        <f t="shared" si="646"/>
        <v>0</v>
      </c>
      <c r="BU109" s="692">
        <f t="shared" ref="BU109" si="647">IF(BU108&gt;$F36+1,0,1)*(IF(BV109=0,100,0)+IF($G36=1,1,0.5)*$J36*100)</f>
        <v>0</v>
      </c>
      <c r="BV109" s="692">
        <f t="shared" ref="BV109:BW109" si="648">IF(BV108&gt;$F36+1,0,1)*(IF(BW109=0,100,0)+IF($G36=1,1,0.5)*$J36*100)</f>
        <v>0</v>
      </c>
      <c r="BW109" s="692">
        <f t="shared" si="648"/>
        <v>0</v>
      </c>
      <c r="BX109" s="692">
        <f t="shared" ref="BX109" si="649">IF(BX108&gt;$F36+1,0,1)*(IF(BY109=0,100,0)+IF($G36=1,1,0.5)*$J36*100)</f>
        <v>0</v>
      </c>
      <c r="BY109" s="692">
        <f t="shared" ref="BY109:BZ109" si="650">IF(BY108&gt;$F36+1,0,1)*(IF(BZ109=0,100,0)+IF($G36=1,1,0.5)*$J36*100)</f>
        <v>0</v>
      </c>
      <c r="BZ109" s="692">
        <f t="shared" si="650"/>
        <v>0</v>
      </c>
      <c r="CA109" s="692">
        <f t="shared" ref="CA109" si="651">IF(CA108&gt;$F36+1,0,1)*(IF(CB109=0,100,0)+IF($G36=1,1,0.5)*$J36*100)</f>
        <v>0</v>
      </c>
      <c r="CB109" s="692">
        <f t="shared" ref="CB109" si="652">IF(CB108&gt;$F36+1,0,1)*(IF(CC109=0,100,0)+IF($G36=1,1,0.5)*$J36*100)</f>
        <v>0</v>
      </c>
      <c r="CF109" s="10"/>
      <c r="CG109" s="10"/>
      <c r="CH109" s="10"/>
      <c r="CI109" s="10"/>
      <c r="CJ109" s="10"/>
      <c r="CK109" s="10"/>
      <c r="CL109" s="10"/>
      <c r="CM109" s="10"/>
      <c r="CN109" s="10"/>
      <c r="CO109" s="10"/>
      <c r="CP109" s="10"/>
      <c r="CQ109" s="10"/>
      <c r="CR109" s="10"/>
      <c r="CS109" s="10"/>
      <c r="CT109" s="10"/>
      <c r="CU109" s="10"/>
      <c r="CV109" s="10"/>
      <c r="CW109" s="10"/>
      <c r="CX109" s="10"/>
      <c r="CY109" s="10"/>
      <c r="CZ109" s="10"/>
      <c r="DA109" s="10"/>
      <c r="DB109" s="10"/>
      <c r="DC109" s="10"/>
      <c r="DD109" s="10"/>
      <c r="DE109" s="10"/>
      <c r="DF109" s="10"/>
      <c r="DG109" s="10"/>
      <c r="DH109" s="10"/>
      <c r="DI109" s="10"/>
      <c r="DJ109" s="10"/>
      <c r="DK109" s="10"/>
    </row>
    <row r="110" spans="1:115">
      <c r="A110" s="520" t="s">
        <v>49</v>
      </c>
      <c r="B110" s="79" t="str">
        <f>IF(E37=0,F37,E37)</f>
        <v>12/23/2019</v>
      </c>
      <c r="C110" s="80">
        <f>B110+IF($G37=1,365,182.5)</f>
        <v>44004.5</v>
      </c>
      <c r="D110" s="80">
        <f t="shared" ref="D110:F110" si="653">C110+IF($G37=1,365,182.5)</f>
        <v>44187</v>
      </c>
      <c r="E110" s="80">
        <f t="shared" si="653"/>
        <v>44369.5</v>
      </c>
      <c r="F110" s="80">
        <f t="shared" si="653"/>
        <v>44552</v>
      </c>
      <c r="G110" s="80">
        <f t="shared" ref="G110:BR110" si="654">F110+IF($G37=1,365,182.5)</f>
        <v>44734.5</v>
      </c>
      <c r="H110" s="80">
        <f t="shared" si="654"/>
        <v>44917</v>
      </c>
      <c r="I110" s="80">
        <f t="shared" si="654"/>
        <v>45099.5</v>
      </c>
      <c r="J110" s="80">
        <f t="shared" si="654"/>
        <v>45282</v>
      </c>
      <c r="K110" s="80">
        <f t="shared" si="654"/>
        <v>45464.5</v>
      </c>
      <c r="L110" s="80">
        <f t="shared" si="654"/>
        <v>45647</v>
      </c>
      <c r="M110" s="80">
        <f t="shared" si="654"/>
        <v>45829.5</v>
      </c>
      <c r="N110" s="80">
        <f t="shared" si="654"/>
        <v>46012</v>
      </c>
      <c r="O110" s="80">
        <f t="shared" si="654"/>
        <v>46194.5</v>
      </c>
      <c r="P110" s="80">
        <f t="shared" si="654"/>
        <v>46377</v>
      </c>
      <c r="Q110" s="80">
        <f t="shared" si="654"/>
        <v>46559.5</v>
      </c>
      <c r="R110" s="80">
        <f t="shared" si="654"/>
        <v>46742</v>
      </c>
      <c r="S110" s="80">
        <f t="shared" si="654"/>
        <v>46924.5</v>
      </c>
      <c r="T110" s="80">
        <f t="shared" si="654"/>
        <v>47107</v>
      </c>
      <c r="U110" s="80">
        <f t="shared" si="654"/>
        <v>47289.5</v>
      </c>
      <c r="V110" s="80">
        <f t="shared" si="654"/>
        <v>47472</v>
      </c>
      <c r="W110" s="80">
        <f t="shared" si="654"/>
        <v>47654.5</v>
      </c>
      <c r="X110" s="80">
        <f t="shared" si="654"/>
        <v>47837</v>
      </c>
      <c r="Y110" s="80">
        <f t="shared" si="654"/>
        <v>48019.5</v>
      </c>
      <c r="Z110" s="80">
        <f t="shared" si="654"/>
        <v>48202</v>
      </c>
      <c r="AA110" s="80">
        <f t="shared" si="654"/>
        <v>48384.5</v>
      </c>
      <c r="AB110" s="80">
        <f t="shared" si="654"/>
        <v>48567</v>
      </c>
      <c r="AC110" s="80">
        <f t="shared" si="654"/>
        <v>48749.5</v>
      </c>
      <c r="AD110" s="80">
        <f t="shared" si="654"/>
        <v>48932</v>
      </c>
      <c r="AE110" s="80">
        <f t="shared" si="654"/>
        <v>49114.5</v>
      </c>
      <c r="AF110" s="80">
        <f t="shared" si="654"/>
        <v>49297</v>
      </c>
      <c r="AG110" s="80">
        <f t="shared" si="654"/>
        <v>49479.5</v>
      </c>
      <c r="AH110" s="80">
        <f t="shared" si="654"/>
        <v>49662</v>
      </c>
      <c r="AI110" s="80">
        <f t="shared" si="654"/>
        <v>49844.5</v>
      </c>
      <c r="AJ110" s="80">
        <f t="shared" si="654"/>
        <v>50027</v>
      </c>
      <c r="AK110" s="80">
        <f t="shared" si="654"/>
        <v>50209.5</v>
      </c>
      <c r="AL110" s="80">
        <f t="shared" si="654"/>
        <v>50392</v>
      </c>
      <c r="AM110" s="80">
        <f t="shared" si="654"/>
        <v>50574.5</v>
      </c>
      <c r="AN110" s="80">
        <f t="shared" si="654"/>
        <v>50757</v>
      </c>
      <c r="AO110" s="80">
        <f t="shared" si="654"/>
        <v>50939.5</v>
      </c>
      <c r="AP110" s="80">
        <f t="shared" si="654"/>
        <v>51122</v>
      </c>
      <c r="AQ110" s="80">
        <f t="shared" si="654"/>
        <v>51304.5</v>
      </c>
      <c r="AR110" s="80">
        <f t="shared" si="654"/>
        <v>51487</v>
      </c>
      <c r="AS110" s="80">
        <f t="shared" si="654"/>
        <v>51669.5</v>
      </c>
      <c r="AT110" s="80">
        <f t="shared" si="654"/>
        <v>51852</v>
      </c>
      <c r="AU110" s="80">
        <f t="shared" si="654"/>
        <v>52034.5</v>
      </c>
      <c r="AV110" s="80">
        <f t="shared" si="654"/>
        <v>52217</v>
      </c>
      <c r="AW110" s="80">
        <f t="shared" si="654"/>
        <v>52399.5</v>
      </c>
      <c r="AX110" s="80">
        <f t="shared" si="654"/>
        <v>52582</v>
      </c>
      <c r="AY110" s="80">
        <f t="shared" si="654"/>
        <v>52764.5</v>
      </c>
      <c r="AZ110" s="80">
        <f t="shared" si="654"/>
        <v>52947</v>
      </c>
      <c r="BA110" s="80">
        <f t="shared" si="654"/>
        <v>53129.5</v>
      </c>
      <c r="BB110" s="80">
        <f t="shared" si="654"/>
        <v>53312</v>
      </c>
      <c r="BC110" s="80">
        <f t="shared" si="654"/>
        <v>53494.5</v>
      </c>
      <c r="BD110" s="80">
        <f t="shared" si="654"/>
        <v>53677</v>
      </c>
      <c r="BE110" s="80">
        <f t="shared" si="654"/>
        <v>53859.5</v>
      </c>
      <c r="BF110" s="80">
        <f t="shared" si="654"/>
        <v>54042</v>
      </c>
      <c r="BG110" s="80">
        <f t="shared" si="654"/>
        <v>54224.5</v>
      </c>
      <c r="BH110" s="80">
        <f t="shared" si="654"/>
        <v>54407</v>
      </c>
      <c r="BI110" s="80">
        <f t="shared" si="654"/>
        <v>54589.5</v>
      </c>
      <c r="BJ110" s="80">
        <f t="shared" si="654"/>
        <v>54772</v>
      </c>
      <c r="BK110" s="80">
        <f t="shared" si="654"/>
        <v>54954.5</v>
      </c>
      <c r="BL110" s="80">
        <f t="shared" si="654"/>
        <v>55137</v>
      </c>
      <c r="BM110" s="80">
        <f t="shared" si="654"/>
        <v>55319.5</v>
      </c>
      <c r="BN110" s="80">
        <f t="shared" si="654"/>
        <v>55502</v>
      </c>
      <c r="BO110" s="80">
        <f t="shared" si="654"/>
        <v>55684.5</v>
      </c>
      <c r="BP110" s="80">
        <f t="shared" si="654"/>
        <v>55867</v>
      </c>
      <c r="BQ110" s="80">
        <f t="shared" si="654"/>
        <v>56049.5</v>
      </c>
      <c r="BR110" s="80">
        <f t="shared" si="654"/>
        <v>56232</v>
      </c>
      <c r="BS110" s="80">
        <f t="shared" ref="BS110:CB110" si="655">BR110+IF($G37=1,365,182.5)</f>
        <v>56414.5</v>
      </c>
      <c r="BT110" s="80">
        <f t="shared" si="655"/>
        <v>56597</v>
      </c>
      <c r="BU110" s="80">
        <f t="shared" si="655"/>
        <v>56779.5</v>
      </c>
      <c r="BV110" s="80">
        <f t="shared" si="655"/>
        <v>56962</v>
      </c>
      <c r="BW110" s="80">
        <f t="shared" si="655"/>
        <v>57144.5</v>
      </c>
      <c r="BX110" s="80">
        <f t="shared" si="655"/>
        <v>57327</v>
      </c>
      <c r="BY110" s="80">
        <f t="shared" si="655"/>
        <v>57509.5</v>
      </c>
      <c r="BZ110" s="80">
        <f t="shared" si="655"/>
        <v>57692</v>
      </c>
      <c r="CA110" s="80">
        <f t="shared" si="655"/>
        <v>57874.5</v>
      </c>
      <c r="CB110" s="80">
        <f t="shared" si="655"/>
        <v>58057</v>
      </c>
      <c r="CF110" s="10"/>
      <c r="CG110" s="10"/>
      <c r="CH110" s="10"/>
      <c r="CI110" s="10"/>
      <c r="CJ110" s="10"/>
      <c r="CK110" s="10"/>
      <c r="CL110" s="10"/>
      <c r="CM110" s="10"/>
      <c r="CN110" s="10"/>
      <c r="CO110" s="10"/>
      <c r="CP110" s="10"/>
      <c r="CQ110" s="10"/>
      <c r="CR110" s="10"/>
      <c r="CS110" s="10"/>
      <c r="CT110" s="10"/>
      <c r="CU110" s="10"/>
      <c r="CV110" s="10"/>
      <c r="CW110" s="10"/>
      <c r="CX110" s="10"/>
      <c r="CY110" s="10"/>
      <c r="CZ110" s="10"/>
      <c r="DA110" s="10"/>
      <c r="DB110" s="10"/>
      <c r="DC110" s="10"/>
      <c r="DD110" s="10"/>
      <c r="DE110" s="10"/>
      <c r="DF110" s="10"/>
      <c r="DG110" s="10"/>
      <c r="DH110" s="10"/>
      <c r="DI110" s="10"/>
      <c r="DJ110" s="10"/>
      <c r="DK110" s="10"/>
    </row>
    <row r="111" spans="1:115">
      <c r="A111" s="222" t="s">
        <v>816</v>
      </c>
      <c r="B111" s="114">
        <f>(IF(B110=F37,100,0)+IF(G37=1,1,0.5)*J37*100)*IF(ISBLANK(F37)=TRUE,0,1)</f>
        <v>100.66</v>
      </c>
      <c r="C111" s="82">
        <f>IF(C110&gt;$F37+1,0,1)*(IF(D111=0,100,0)+IF($G37=1,1,0.5)*$J37*100)</f>
        <v>0</v>
      </c>
      <c r="D111" s="82">
        <f t="shared" ref="D111:F111" si="656">IF(D110&gt;$F37+1,0,1)*(IF(E111=0,100,0)+IF($G37=1,1,0.5)*$J37*100)</f>
        <v>0</v>
      </c>
      <c r="E111" s="82">
        <f t="shared" si="656"/>
        <v>0</v>
      </c>
      <c r="F111" s="82">
        <f t="shared" si="656"/>
        <v>0</v>
      </c>
      <c r="G111" s="82">
        <f t="shared" ref="G111" si="657">IF(G110&gt;$F37+1,0,1)*(IF(H111=0,100,0)+IF($G37=1,1,0.5)*$J37*100)</f>
        <v>0</v>
      </c>
      <c r="H111" s="82">
        <f t="shared" ref="H111:I111" si="658">IF(H110&gt;$F37+1,0,1)*(IF(I111=0,100,0)+IF($G37=1,1,0.5)*$J37*100)</f>
        <v>0</v>
      </c>
      <c r="I111" s="82">
        <f t="shared" si="658"/>
        <v>0</v>
      </c>
      <c r="J111" s="82">
        <f t="shared" ref="J111" si="659">IF(J110&gt;$F37+1,0,1)*(IF(K111=0,100,0)+IF($G37=1,1,0.5)*$J37*100)</f>
        <v>0</v>
      </c>
      <c r="K111" s="82">
        <f t="shared" ref="K111:L111" si="660">IF(K110&gt;$F37+1,0,1)*(IF(L111=0,100,0)+IF($G37=1,1,0.5)*$J37*100)</f>
        <v>0</v>
      </c>
      <c r="L111" s="82">
        <f t="shared" si="660"/>
        <v>0</v>
      </c>
      <c r="M111" s="82">
        <f t="shared" ref="M111" si="661">IF(M110&gt;$F37+1,0,1)*(IF(N111=0,100,0)+IF($G37=1,1,0.5)*$J37*100)</f>
        <v>0</v>
      </c>
      <c r="N111" s="82">
        <f t="shared" ref="N111:O111" si="662">IF(N110&gt;$F37+1,0,1)*(IF(O111=0,100,0)+IF($G37=1,1,0.5)*$J37*100)</f>
        <v>0</v>
      </c>
      <c r="O111" s="82">
        <f t="shared" si="662"/>
        <v>0</v>
      </c>
      <c r="P111" s="82">
        <f t="shared" ref="P111" si="663">IF(P110&gt;$F37+1,0,1)*(IF(Q111=0,100,0)+IF($G37=1,1,0.5)*$J37*100)</f>
        <v>0</v>
      </c>
      <c r="Q111" s="82">
        <f t="shared" ref="Q111:R111" si="664">IF(Q110&gt;$F37+1,0,1)*(IF(R111=0,100,0)+IF($G37=1,1,0.5)*$J37*100)</f>
        <v>0</v>
      </c>
      <c r="R111" s="82">
        <f t="shared" si="664"/>
        <v>0</v>
      </c>
      <c r="S111" s="82">
        <f t="shared" ref="S111" si="665">IF(S110&gt;$F37+1,0,1)*(IF(T111=0,100,0)+IF($G37=1,1,0.5)*$J37*100)</f>
        <v>0</v>
      </c>
      <c r="T111" s="82">
        <f t="shared" ref="T111:U111" si="666">IF(T110&gt;$F37+1,0,1)*(IF(U111=0,100,0)+IF($G37=1,1,0.5)*$J37*100)</f>
        <v>0</v>
      </c>
      <c r="U111" s="82">
        <f t="shared" si="666"/>
        <v>0</v>
      </c>
      <c r="V111" s="82">
        <f t="shared" ref="V111" si="667">IF(V110&gt;$F37+1,0,1)*(IF(W111=0,100,0)+IF($G37=1,1,0.5)*$J37*100)</f>
        <v>0</v>
      </c>
      <c r="W111" s="82">
        <f t="shared" ref="W111:X111" si="668">IF(W110&gt;$F37+1,0,1)*(IF(X111=0,100,0)+IF($G37=1,1,0.5)*$J37*100)</f>
        <v>0</v>
      </c>
      <c r="X111" s="82">
        <f t="shared" si="668"/>
        <v>0</v>
      </c>
      <c r="Y111" s="82">
        <f t="shared" ref="Y111" si="669">IF(Y110&gt;$F37+1,0,1)*(IF(Z111=0,100,0)+IF($G37=1,1,0.5)*$J37*100)</f>
        <v>0</v>
      </c>
      <c r="Z111" s="82">
        <f t="shared" ref="Z111:AA111" si="670">IF(Z110&gt;$F37+1,0,1)*(IF(AA111=0,100,0)+IF($G37=1,1,0.5)*$J37*100)</f>
        <v>0</v>
      </c>
      <c r="AA111" s="82">
        <f t="shared" si="670"/>
        <v>0</v>
      </c>
      <c r="AB111" s="82">
        <f t="shared" ref="AB111" si="671">IF(AB110&gt;$F37+1,0,1)*(IF(AC111=0,100,0)+IF($G37=1,1,0.5)*$J37*100)</f>
        <v>0</v>
      </c>
      <c r="AC111" s="82">
        <f t="shared" ref="AC111:AD111" si="672">IF(AC110&gt;$F37+1,0,1)*(IF(AD111=0,100,0)+IF($G37=1,1,0.5)*$J37*100)</f>
        <v>0</v>
      </c>
      <c r="AD111" s="82">
        <f t="shared" si="672"/>
        <v>0</v>
      </c>
      <c r="AE111" s="82">
        <f t="shared" ref="AE111" si="673">IF(AE110&gt;$F37+1,0,1)*(IF(AF111=0,100,0)+IF($G37=1,1,0.5)*$J37*100)</f>
        <v>0</v>
      </c>
      <c r="AF111" s="82">
        <f t="shared" ref="AF111:AG111" si="674">IF(AF110&gt;$F37+1,0,1)*(IF(AG111=0,100,0)+IF($G37=1,1,0.5)*$J37*100)</f>
        <v>0</v>
      </c>
      <c r="AG111" s="82">
        <f t="shared" si="674"/>
        <v>0</v>
      </c>
      <c r="AH111" s="82">
        <f t="shared" ref="AH111" si="675">IF(AH110&gt;$F37+1,0,1)*(IF(AI111=0,100,0)+IF($G37=1,1,0.5)*$J37*100)</f>
        <v>0</v>
      </c>
      <c r="AI111" s="82">
        <f t="shared" ref="AI111:AJ111" si="676">IF(AI110&gt;$F37+1,0,1)*(IF(AJ111=0,100,0)+IF($G37=1,1,0.5)*$J37*100)</f>
        <v>0</v>
      </c>
      <c r="AJ111" s="82">
        <f t="shared" si="676"/>
        <v>0</v>
      </c>
      <c r="AK111" s="82">
        <f t="shared" ref="AK111" si="677">IF(AK110&gt;$F37+1,0,1)*(IF(AL111=0,100,0)+IF($G37=1,1,0.5)*$J37*100)</f>
        <v>0</v>
      </c>
      <c r="AL111" s="82">
        <f t="shared" ref="AL111:AM111" si="678">IF(AL110&gt;$F37+1,0,1)*(IF(AM111=0,100,0)+IF($G37=1,1,0.5)*$J37*100)</f>
        <v>0</v>
      </c>
      <c r="AM111" s="82">
        <f t="shared" si="678"/>
        <v>0</v>
      </c>
      <c r="AN111" s="82">
        <f t="shared" ref="AN111" si="679">IF(AN110&gt;$F37+1,0,1)*(IF(AO111=0,100,0)+IF($G37=1,1,0.5)*$J37*100)</f>
        <v>0</v>
      </c>
      <c r="AO111" s="82">
        <f t="shared" ref="AO111:AP111" si="680">IF(AO110&gt;$F37+1,0,1)*(IF(AP111=0,100,0)+IF($G37=1,1,0.5)*$J37*100)</f>
        <v>0</v>
      </c>
      <c r="AP111" s="82">
        <f t="shared" si="680"/>
        <v>0</v>
      </c>
      <c r="AQ111" s="82">
        <f t="shared" ref="AQ111" si="681">IF(AQ110&gt;$F37+1,0,1)*(IF(AR111=0,100,0)+IF($G37=1,1,0.5)*$J37*100)</f>
        <v>0</v>
      </c>
      <c r="AR111" s="82">
        <f t="shared" ref="AR111:AS111" si="682">IF(AR110&gt;$F37+1,0,1)*(IF(AS111=0,100,0)+IF($G37=1,1,0.5)*$J37*100)</f>
        <v>0</v>
      </c>
      <c r="AS111" s="82">
        <f t="shared" si="682"/>
        <v>0</v>
      </c>
      <c r="AT111" s="82">
        <f t="shared" ref="AT111" si="683">IF(AT110&gt;$F37+1,0,1)*(IF(AU111=0,100,0)+IF($G37=1,1,0.5)*$J37*100)</f>
        <v>0</v>
      </c>
      <c r="AU111" s="82">
        <f t="shared" ref="AU111:AV111" si="684">IF(AU110&gt;$F37+1,0,1)*(IF(AV111=0,100,0)+IF($G37=1,1,0.5)*$J37*100)</f>
        <v>0</v>
      </c>
      <c r="AV111" s="82">
        <f t="shared" si="684"/>
        <v>0</v>
      </c>
      <c r="AW111" s="82">
        <f t="shared" ref="AW111" si="685">IF(AW110&gt;$F37+1,0,1)*(IF(AX111=0,100,0)+IF($G37=1,1,0.5)*$J37*100)</f>
        <v>0</v>
      </c>
      <c r="AX111" s="82">
        <f t="shared" ref="AX111:AY111" si="686">IF(AX110&gt;$F37+1,0,1)*(IF(AY111=0,100,0)+IF($G37=1,1,0.5)*$J37*100)</f>
        <v>0</v>
      </c>
      <c r="AY111" s="82">
        <f t="shared" si="686"/>
        <v>0</v>
      </c>
      <c r="AZ111" s="82">
        <f t="shared" ref="AZ111" si="687">IF(AZ110&gt;$F37+1,0,1)*(IF(BA111=0,100,0)+IF($G37=1,1,0.5)*$J37*100)</f>
        <v>0</v>
      </c>
      <c r="BA111" s="82">
        <f t="shared" ref="BA111:BB111" si="688">IF(BA110&gt;$F37+1,0,1)*(IF(BB111=0,100,0)+IF($G37=1,1,0.5)*$J37*100)</f>
        <v>0</v>
      </c>
      <c r="BB111" s="82">
        <f t="shared" si="688"/>
        <v>0</v>
      </c>
      <c r="BC111" s="82">
        <f t="shared" ref="BC111" si="689">IF(BC110&gt;$F37+1,0,1)*(IF(BD111=0,100,0)+IF($G37=1,1,0.5)*$J37*100)</f>
        <v>0</v>
      </c>
      <c r="BD111" s="82">
        <f t="shared" ref="BD111:BE111" si="690">IF(BD110&gt;$F37+1,0,1)*(IF(BE111=0,100,0)+IF($G37=1,1,0.5)*$J37*100)</f>
        <v>0</v>
      </c>
      <c r="BE111" s="82">
        <f t="shared" si="690"/>
        <v>0</v>
      </c>
      <c r="BF111" s="82">
        <f t="shared" ref="BF111" si="691">IF(BF110&gt;$F37+1,0,1)*(IF(BG111=0,100,0)+IF($G37=1,1,0.5)*$J37*100)</f>
        <v>0</v>
      </c>
      <c r="BG111" s="82">
        <f t="shared" ref="BG111:BH111" si="692">IF(BG110&gt;$F37+1,0,1)*(IF(BH111=0,100,0)+IF($G37=1,1,0.5)*$J37*100)</f>
        <v>0</v>
      </c>
      <c r="BH111" s="82">
        <f t="shared" si="692"/>
        <v>0</v>
      </c>
      <c r="BI111" s="82">
        <f t="shared" ref="BI111" si="693">IF(BI110&gt;$F37+1,0,1)*(IF(BJ111=0,100,0)+IF($G37=1,1,0.5)*$J37*100)</f>
        <v>0</v>
      </c>
      <c r="BJ111" s="82">
        <f t="shared" ref="BJ111:BK111" si="694">IF(BJ110&gt;$F37+1,0,1)*(IF(BK111=0,100,0)+IF($G37=1,1,0.5)*$J37*100)</f>
        <v>0</v>
      </c>
      <c r="BK111" s="82">
        <f t="shared" si="694"/>
        <v>0</v>
      </c>
      <c r="BL111" s="82">
        <f t="shared" ref="BL111" si="695">IF(BL110&gt;$F37+1,0,1)*(IF(BM111=0,100,0)+IF($G37=1,1,0.5)*$J37*100)</f>
        <v>0</v>
      </c>
      <c r="BM111" s="82">
        <f t="shared" ref="BM111:BN111" si="696">IF(BM110&gt;$F37+1,0,1)*(IF(BN111=0,100,0)+IF($G37=1,1,0.5)*$J37*100)</f>
        <v>0</v>
      </c>
      <c r="BN111" s="82">
        <f t="shared" si="696"/>
        <v>0</v>
      </c>
      <c r="BO111" s="82">
        <f t="shared" ref="BO111" si="697">IF(BO110&gt;$F37+1,0,1)*(IF(BP111=0,100,0)+IF($G37=1,1,0.5)*$J37*100)</f>
        <v>0</v>
      </c>
      <c r="BP111" s="82">
        <f t="shared" ref="BP111:BQ111" si="698">IF(BP110&gt;$F37+1,0,1)*(IF(BQ111=0,100,0)+IF($G37=1,1,0.5)*$J37*100)</f>
        <v>0</v>
      </c>
      <c r="BQ111" s="82">
        <f t="shared" si="698"/>
        <v>0</v>
      </c>
      <c r="BR111" s="82">
        <f t="shared" ref="BR111" si="699">IF(BR110&gt;$F37+1,0,1)*(IF(BS111=0,100,0)+IF($G37=1,1,0.5)*$J37*100)</f>
        <v>0</v>
      </c>
      <c r="BS111" s="82">
        <f t="shared" ref="BS111:BT111" si="700">IF(BS110&gt;$F37+1,0,1)*(IF(BT111=0,100,0)+IF($G37=1,1,0.5)*$J37*100)</f>
        <v>0</v>
      </c>
      <c r="BT111" s="82">
        <f t="shared" si="700"/>
        <v>0</v>
      </c>
      <c r="BU111" s="82">
        <f t="shared" ref="BU111" si="701">IF(BU110&gt;$F37+1,0,1)*(IF(BV111=0,100,0)+IF($G37=1,1,0.5)*$J37*100)</f>
        <v>0</v>
      </c>
      <c r="BV111" s="82">
        <f t="shared" ref="BV111:BW111" si="702">IF(BV110&gt;$F37+1,0,1)*(IF(BW111=0,100,0)+IF($G37=1,1,0.5)*$J37*100)</f>
        <v>0</v>
      </c>
      <c r="BW111" s="82">
        <f t="shared" si="702"/>
        <v>0</v>
      </c>
      <c r="BX111" s="82">
        <f t="shared" ref="BX111" si="703">IF(BX110&gt;$F37+1,0,1)*(IF(BY111=0,100,0)+IF($G37=1,1,0.5)*$J37*100)</f>
        <v>0</v>
      </c>
      <c r="BY111" s="82">
        <f t="shared" ref="BY111:BZ111" si="704">IF(BY110&gt;$F37+1,0,1)*(IF(BZ111=0,100,0)+IF($G37=1,1,0.5)*$J37*100)</f>
        <v>0</v>
      </c>
      <c r="BZ111" s="82">
        <f t="shared" si="704"/>
        <v>0</v>
      </c>
      <c r="CA111" s="82">
        <f t="shared" ref="CA111" si="705">IF(CA110&gt;$F37+1,0,1)*(IF(CB111=0,100,0)+IF($G37=1,1,0.5)*$J37*100)</f>
        <v>0</v>
      </c>
      <c r="CB111" s="82">
        <f t="shared" ref="CB111" si="706">IF(CB110&gt;$F37+1,0,1)*(IF(CC111=0,100,0)+IF($G37=1,1,0.5)*$J37*100)</f>
        <v>0</v>
      </c>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row>
    <row r="112" spans="1:11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row>
    <row r="113" spans="1:115">
      <c r="A113" s="16" t="s">
        <v>42</v>
      </c>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c r="BJ113" s="16"/>
      <c r="BK113" s="16"/>
      <c r="BL113" s="16"/>
      <c r="BM113" s="16"/>
      <c r="BN113" s="16"/>
      <c r="BO113" s="16"/>
      <c r="BP113" s="16"/>
      <c r="BQ113" s="16"/>
      <c r="BR113" s="16"/>
      <c r="BS113" s="16"/>
      <c r="BT113" s="16"/>
      <c r="BU113" s="16"/>
      <c r="BV113" s="16"/>
      <c r="BW113" s="16"/>
      <c r="BX113" s="16"/>
      <c r="BY113" s="16"/>
      <c r="BZ113" s="16"/>
      <c r="CA113" s="16"/>
      <c r="CB113" s="16"/>
      <c r="CC113" s="19"/>
      <c r="CD113" s="19"/>
      <c r="CE113" s="19"/>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row>
    <row r="114" spans="1:115">
      <c r="A114" s="16" t="s">
        <v>40</v>
      </c>
      <c r="B114" s="233">
        <f t="shared" ref="B114:AG114" si="707">DAYS360($B$3,B40)</f>
        <v>57</v>
      </c>
      <c r="C114" s="233">
        <f t="shared" si="707"/>
        <v>235</v>
      </c>
      <c r="D114" s="233">
        <f t="shared" si="707"/>
        <v>416</v>
      </c>
      <c r="E114" s="233">
        <f t="shared" si="707"/>
        <v>594</v>
      </c>
      <c r="F114" s="233">
        <f t="shared" si="707"/>
        <v>776</v>
      </c>
      <c r="G114" s="233">
        <f t="shared" si="707"/>
        <v>954</v>
      </c>
      <c r="H114" s="233">
        <f t="shared" si="707"/>
        <v>1136</v>
      </c>
      <c r="I114" s="233">
        <f t="shared" si="707"/>
        <v>1314</v>
      </c>
      <c r="J114" s="233">
        <f t="shared" si="707"/>
        <v>1496</v>
      </c>
      <c r="K114" s="233">
        <f t="shared" si="707"/>
        <v>1674</v>
      </c>
      <c r="L114" s="233">
        <f t="shared" si="707"/>
        <v>1855</v>
      </c>
      <c r="M114" s="233">
        <f t="shared" si="707"/>
        <v>2033</v>
      </c>
      <c r="N114" s="233">
        <f t="shared" si="707"/>
        <v>2215</v>
      </c>
      <c r="O114" s="233">
        <f t="shared" si="707"/>
        <v>2393</v>
      </c>
      <c r="P114" s="233">
        <f t="shared" si="707"/>
        <v>2575</v>
      </c>
      <c r="Q114" s="233">
        <f t="shared" si="707"/>
        <v>2753</v>
      </c>
      <c r="R114" s="233">
        <f t="shared" si="707"/>
        <v>2935</v>
      </c>
      <c r="S114" s="233">
        <f t="shared" si="707"/>
        <v>3113</v>
      </c>
      <c r="T114" s="233">
        <f t="shared" si="707"/>
        <v>3294</v>
      </c>
      <c r="U114" s="233">
        <f t="shared" si="707"/>
        <v>3472</v>
      </c>
      <c r="V114" s="233">
        <f t="shared" si="707"/>
        <v>3654</v>
      </c>
      <c r="W114" s="233">
        <f t="shared" si="707"/>
        <v>3832</v>
      </c>
      <c r="X114" s="233">
        <f t="shared" si="707"/>
        <v>4014</v>
      </c>
      <c r="Y114" s="233">
        <f t="shared" si="707"/>
        <v>4192</v>
      </c>
      <c r="Z114" s="233">
        <f t="shared" si="707"/>
        <v>4374</v>
      </c>
      <c r="AA114" s="233">
        <f t="shared" si="707"/>
        <v>4552</v>
      </c>
      <c r="AB114" s="233">
        <f t="shared" si="707"/>
        <v>4733</v>
      </c>
      <c r="AC114" s="233">
        <f t="shared" si="707"/>
        <v>4911</v>
      </c>
      <c r="AD114" s="233">
        <f t="shared" si="707"/>
        <v>5093</v>
      </c>
      <c r="AE114" s="233">
        <f t="shared" si="707"/>
        <v>5271</v>
      </c>
      <c r="AF114" s="233">
        <f t="shared" si="707"/>
        <v>5453</v>
      </c>
      <c r="AG114" s="233">
        <f t="shared" si="707"/>
        <v>5631</v>
      </c>
      <c r="AH114" s="233">
        <f t="shared" ref="AH114:BM114" si="708">DAYS360($B$3,AH40)</f>
        <v>5813</v>
      </c>
      <c r="AI114" s="233">
        <f t="shared" si="708"/>
        <v>5991</v>
      </c>
      <c r="AJ114" s="233">
        <f t="shared" si="708"/>
        <v>6172</v>
      </c>
      <c r="AK114" s="233">
        <f t="shared" si="708"/>
        <v>6350</v>
      </c>
      <c r="AL114" s="233">
        <f t="shared" si="708"/>
        <v>6532</v>
      </c>
      <c r="AM114" s="233">
        <f t="shared" si="708"/>
        <v>6710</v>
      </c>
      <c r="AN114" s="233">
        <f t="shared" si="708"/>
        <v>6892</v>
      </c>
      <c r="AO114" s="233">
        <f t="shared" si="708"/>
        <v>7070</v>
      </c>
      <c r="AP114" s="233">
        <f t="shared" si="708"/>
        <v>7252</v>
      </c>
      <c r="AQ114" s="233">
        <f t="shared" si="708"/>
        <v>7430</v>
      </c>
      <c r="AR114" s="233">
        <f t="shared" si="708"/>
        <v>7611</v>
      </c>
      <c r="AS114" s="233">
        <f t="shared" si="708"/>
        <v>7789</v>
      </c>
      <c r="AT114" s="233">
        <f t="shared" si="708"/>
        <v>7971</v>
      </c>
      <c r="AU114" s="233">
        <f t="shared" si="708"/>
        <v>8149</v>
      </c>
      <c r="AV114" s="233">
        <f t="shared" si="708"/>
        <v>8331</v>
      </c>
      <c r="AW114" s="233">
        <f t="shared" si="708"/>
        <v>8509</v>
      </c>
      <c r="AX114" s="233">
        <f t="shared" si="708"/>
        <v>8691</v>
      </c>
      <c r="AY114" s="233">
        <f t="shared" si="708"/>
        <v>8869</v>
      </c>
      <c r="AZ114" s="233">
        <f t="shared" si="708"/>
        <v>9050</v>
      </c>
      <c r="BA114" s="233">
        <f t="shared" si="708"/>
        <v>9228</v>
      </c>
      <c r="BB114" s="233">
        <f t="shared" si="708"/>
        <v>9410</v>
      </c>
      <c r="BC114" s="233">
        <f t="shared" si="708"/>
        <v>9588</v>
      </c>
      <c r="BD114" s="233">
        <f t="shared" si="708"/>
        <v>9770</v>
      </c>
      <c r="BE114" s="233">
        <f t="shared" si="708"/>
        <v>9948</v>
      </c>
      <c r="BF114" s="233">
        <f t="shared" si="708"/>
        <v>10130</v>
      </c>
      <c r="BG114" s="233">
        <f t="shared" si="708"/>
        <v>10308</v>
      </c>
      <c r="BH114" s="233">
        <f t="shared" si="708"/>
        <v>10489</v>
      </c>
      <c r="BI114" s="233">
        <f t="shared" si="708"/>
        <v>10667</v>
      </c>
      <c r="BJ114" s="233">
        <f t="shared" si="708"/>
        <v>10849</v>
      </c>
      <c r="BK114" s="233">
        <f t="shared" si="708"/>
        <v>11027</v>
      </c>
      <c r="BL114" s="233">
        <f t="shared" si="708"/>
        <v>11209</v>
      </c>
      <c r="BM114" s="233">
        <f t="shared" si="708"/>
        <v>11387</v>
      </c>
      <c r="BN114" s="233">
        <f t="shared" ref="BN114:CB114" si="709">DAYS360($B$3,BN40)</f>
        <v>11569</v>
      </c>
      <c r="BO114" s="233">
        <f t="shared" si="709"/>
        <v>11747</v>
      </c>
      <c r="BP114" s="233">
        <f t="shared" si="709"/>
        <v>11928</v>
      </c>
      <c r="BQ114" s="233">
        <f t="shared" si="709"/>
        <v>12106</v>
      </c>
      <c r="BR114" s="233">
        <f t="shared" si="709"/>
        <v>12288</v>
      </c>
      <c r="BS114" s="233">
        <f t="shared" si="709"/>
        <v>12466</v>
      </c>
      <c r="BT114" s="233">
        <f t="shared" si="709"/>
        <v>12648</v>
      </c>
      <c r="BU114" s="233">
        <f t="shared" si="709"/>
        <v>12826</v>
      </c>
      <c r="BV114" s="233">
        <f t="shared" si="709"/>
        <v>13008</v>
      </c>
      <c r="BW114" s="233">
        <f t="shared" si="709"/>
        <v>13186</v>
      </c>
      <c r="BX114" s="233">
        <f t="shared" si="709"/>
        <v>13367</v>
      </c>
      <c r="BY114" s="233">
        <f t="shared" si="709"/>
        <v>13545</v>
      </c>
      <c r="BZ114" s="233">
        <f t="shared" si="709"/>
        <v>13727</v>
      </c>
      <c r="CA114" s="233">
        <f t="shared" si="709"/>
        <v>13905</v>
      </c>
      <c r="CB114" s="233">
        <f t="shared" si="709"/>
        <v>14087</v>
      </c>
      <c r="CC114" s="19"/>
      <c r="CD114" s="19"/>
      <c r="CE114" s="19"/>
    </row>
    <row r="115" spans="1:115">
      <c r="A115" s="16" t="s">
        <v>41</v>
      </c>
      <c r="B115" s="233">
        <f>B114/360</f>
        <v>0.15833333333333333</v>
      </c>
      <c r="C115" s="233">
        <f t="shared" ref="C115:BN115" si="710">C114/360</f>
        <v>0.65277777777777779</v>
      </c>
      <c r="D115" s="233">
        <f t="shared" si="710"/>
        <v>1.1555555555555554</v>
      </c>
      <c r="E115" s="233">
        <f t="shared" si="710"/>
        <v>1.65</v>
      </c>
      <c r="F115" s="233">
        <f t="shared" si="710"/>
        <v>2.1555555555555554</v>
      </c>
      <c r="G115" s="233">
        <f t="shared" si="710"/>
        <v>2.65</v>
      </c>
      <c r="H115" s="233">
        <f t="shared" si="710"/>
        <v>3.1555555555555554</v>
      </c>
      <c r="I115" s="233">
        <f t="shared" si="710"/>
        <v>3.65</v>
      </c>
      <c r="J115" s="233">
        <f t="shared" si="710"/>
        <v>4.1555555555555559</v>
      </c>
      <c r="K115" s="233">
        <f t="shared" si="710"/>
        <v>4.6500000000000004</v>
      </c>
      <c r="L115" s="233">
        <f t="shared" si="710"/>
        <v>5.1527777777777777</v>
      </c>
      <c r="M115" s="233">
        <f t="shared" si="710"/>
        <v>5.6472222222222221</v>
      </c>
      <c r="N115" s="233">
        <f t="shared" si="710"/>
        <v>6.1527777777777777</v>
      </c>
      <c r="O115" s="233">
        <f t="shared" si="710"/>
        <v>6.6472222222222221</v>
      </c>
      <c r="P115" s="233">
        <f t="shared" si="710"/>
        <v>7.1527777777777777</v>
      </c>
      <c r="Q115" s="233">
        <f t="shared" si="710"/>
        <v>7.6472222222222221</v>
      </c>
      <c r="R115" s="233">
        <f t="shared" si="710"/>
        <v>8.1527777777777786</v>
      </c>
      <c r="S115" s="233">
        <f t="shared" si="710"/>
        <v>8.6472222222222221</v>
      </c>
      <c r="T115" s="233">
        <f t="shared" si="710"/>
        <v>9.15</v>
      </c>
      <c r="U115" s="233">
        <f t="shared" si="710"/>
        <v>9.6444444444444439</v>
      </c>
      <c r="V115" s="233">
        <f t="shared" si="710"/>
        <v>10.15</v>
      </c>
      <c r="W115" s="233">
        <f t="shared" si="710"/>
        <v>10.644444444444444</v>
      </c>
      <c r="X115" s="233">
        <f t="shared" si="710"/>
        <v>11.15</v>
      </c>
      <c r="Y115" s="233">
        <f t="shared" si="710"/>
        <v>11.644444444444444</v>
      </c>
      <c r="Z115" s="233">
        <f t="shared" si="710"/>
        <v>12.15</v>
      </c>
      <c r="AA115" s="233">
        <f t="shared" si="710"/>
        <v>12.644444444444444</v>
      </c>
      <c r="AB115" s="233">
        <f t="shared" si="710"/>
        <v>13.147222222222222</v>
      </c>
      <c r="AC115" s="233">
        <f t="shared" si="710"/>
        <v>13.641666666666667</v>
      </c>
      <c r="AD115" s="233">
        <f t="shared" si="710"/>
        <v>14.147222222222222</v>
      </c>
      <c r="AE115" s="233">
        <f t="shared" si="710"/>
        <v>14.641666666666667</v>
      </c>
      <c r="AF115" s="233">
        <f t="shared" si="710"/>
        <v>15.147222222222222</v>
      </c>
      <c r="AG115" s="233">
        <f t="shared" si="710"/>
        <v>15.641666666666667</v>
      </c>
      <c r="AH115" s="233">
        <f t="shared" si="710"/>
        <v>16.147222222222222</v>
      </c>
      <c r="AI115" s="233">
        <f t="shared" si="710"/>
        <v>16.641666666666666</v>
      </c>
      <c r="AJ115" s="233">
        <f t="shared" si="710"/>
        <v>17.144444444444446</v>
      </c>
      <c r="AK115" s="233">
        <f t="shared" si="710"/>
        <v>17.638888888888889</v>
      </c>
      <c r="AL115" s="233">
        <f t="shared" si="710"/>
        <v>18.144444444444446</v>
      </c>
      <c r="AM115" s="233">
        <f t="shared" si="710"/>
        <v>18.638888888888889</v>
      </c>
      <c r="AN115" s="233">
        <f t="shared" si="710"/>
        <v>19.144444444444446</v>
      </c>
      <c r="AO115" s="233">
        <f t="shared" si="710"/>
        <v>19.638888888888889</v>
      </c>
      <c r="AP115" s="233">
        <f t="shared" si="710"/>
        <v>20.144444444444446</v>
      </c>
      <c r="AQ115" s="233">
        <f t="shared" si="710"/>
        <v>20.638888888888889</v>
      </c>
      <c r="AR115" s="233">
        <f t="shared" si="710"/>
        <v>21.141666666666666</v>
      </c>
      <c r="AS115" s="233">
        <f t="shared" si="710"/>
        <v>21.636111111111113</v>
      </c>
      <c r="AT115" s="233">
        <f t="shared" si="710"/>
        <v>22.141666666666666</v>
      </c>
      <c r="AU115" s="233">
        <f t="shared" si="710"/>
        <v>22.636111111111113</v>
      </c>
      <c r="AV115" s="233">
        <f t="shared" si="710"/>
        <v>23.141666666666666</v>
      </c>
      <c r="AW115" s="233">
        <f t="shared" si="710"/>
        <v>23.636111111111113</v>
      </c>
      <c r="AX115" s="233">
        <f t="shared" si="710"/>
        <v>24.141666666666666</v>
      </c>
      <c r="AY115" s="233">
        <f t="shared" si="710"/>
        <v>24.636111111111113</v>
      </c>
      <c r="AZ115" s="233">
        <f t="shared" si="710"/>
        <v>25.138888888888889</v>
      </c>
      <c r="BA115" s="233">
        <f t="shared" si="710"/>
        <v>25.633333333333333</v>
      </c>
      <c r="BB115" s="233">
        <f t="shared" si="710"/>
        <v>26.138888888888889</v>
      </c>
      <c r="BC115" s="233">
        <f t="shared" si="710"/>
        <v>26.633333333333333</v>
      </c>
      <c r="BD115" s="233">
        <f t="shared" si="710"/>
        <v>27.138888888888889</v>
      </c>
      <c r="BE115" s="233">
        <f t="shared" si="710"/>
        <v>27.633333333333333</v>
      </c>
      <c r="BF115" s="233">
        <f t="shared" si="710"/>
        <v>28.138888888888889</v>
      </c>
      <c r="BG115" s="233">
        <f t="shared" si="710"/>
        <v>28.633333333333333</v>
      </c>
      <c r="BH115" s="233">
        <f t="shared" si="710"/>
        <v>29.136111111111113</v>
      </c>
      <c r="BI115" s="233">
        <f t="shared" si="710"/>
        <v>29.630555555555556</v>
      </c>
      <c r="BJ115" s="233">
        <f t="shared" si="710"/>
        <v>30.136111111111113</v>
      </c>
      <c r="BK115" s="233">
        <f t="shared" si="710"/>
        <v>30.630555555555556</v>
      </c>
      <c r="BL115" s="233">
        <f t="shared" si="710"/>
        <v>31.136111111111113</v>
      </c>
      <c r="BM115" s="233">
        <f t="shared" si="710"/>
        <v>31.630555555555556</v>
      </c>
      <c r="BN115" s="233">
        <f t="shared" si="710"/>
        <v>32.136111111111113</v>
      </c>
      <c r="BO115" s="233">
        <f t="shared" ref="BO115:CB115" si="711">BO114/360</f>
        <v>32.630555555555553</v>
      </c>
      <c r="BP115" s="233">
        <f t="shared" si="711"/>
        <v>33.133333333333333</v>
      </c>
      <c r="BQ115" s="233">
        <f t="shared" si="711"/>
        <v>33.62777777777778</v>
      </c>
      <c r="BR115" s="233">
        <f t="shared" si="711"/>
        <v>34.133333333333333</v>
      </c>
      <c r="BS115" s="233">
        <f t="shared" si="711"/>
        <v>34.62777777777778</v>
      </c>
      <c r="BT115" s="233">
        <f t="shared" si="711"/>
        <v>35.133333333333333</v>
      </c>
      <c r="BU115" s="233">
        <f t="shared" si="711"/>
        <v>35.62777777777778</v>
      </c>
      <c r="BV115" s="233">
        <f t="shared" si="711"/>
        <v>36.133333333333333</v>
      </c>
      <c r="BW115" s="233">
        <f t="shared" si="711"/>
        <v>36.62777777777778</v>
      </c>
      <c r="BX115" s="233">
        <f t="shared" si="711"/>
        <v>37.130555555555553</v>
      </c>
      <c r="BY115" s="233">
        <f t="shared" si="711"/>
        <v>37.625</v>
      </c>
      <c r="BZ115" s="233">
        <f t="shared" si="711"/>
        <v>38.130555555555553</v>
      </c>
      <c r="CA115" s="233">
        <f t="shared" si="711"/>
        <v>38.625</v>
      </c>
      <c r="CB115" s="233">
        <f t="shared" si="711"/>
        <v>39.130555555555553</v>
      </c>
      <c r="CC115" s="19"/>
      <c r="CD115" s="19"/>
      <c r="CE115" s="19"/>
    </row>
    <row r="116" spans="1:115">
      <c r="A116" s="16" t="s">
        <v>43</v>
      </c>
      <c r="B116" s="233">
        <f>IF(B114&lt;0,0,$B$5+$B$6*((1-EXP(-B115/$B$9))/(B115/$B$9))+$B$7*((1-EXP(-B115/$B$9))/(B115/$B$9)-EXP(-B115/$B$9))+$B$8*((1-EXP(-B115/$B$10))/(B115/$B$10)-EXP(-B115/$B$10)))</f>
        <v>1.9361809492175325E-2</v>
      </c>
      <c r="C116" s="233">
        <f t="shared" ref="C116:BN116" si="712">IF(C114&lt;0,0,$B$5+$B$6*((1-EXP(-C115/$B$9))/(C115/$B$9))+$B$7*((1-EXP(-C115/$B$9))/(C115/$B$9)-EXP(-C115/$B$9))+$B$8*((1-EXP(-C115/$B$10))/(C115/$B$10)-EXP(-C115/$B$10)))</f>
        <v>1.8423412329199671E-2</v>
      </c>
      <c r="D116" s="233">
        <f t="shared" si="712"/>
        <v>1.7585988364922138E-2</v>
      </c>
      <c r="E116" s="233">
        <f t="shared" si="712"/>
        <v>1.6869209224568554E-2</v>
      </c>
      <c r="F116" s="233">
        <f t="shared" si="712"/>
        <v>1.6237937902940366E-2</v>
      </c>
      <c r="G116" s="233">
        <f t="shared" si="712"/>
        <v>1.5712745944382212E-2</v>
      </c>
      <c r="H116" s="233">
        <f t="shared" si="712"/>
        <v>1.5263085847782826E-2</v>
      </c>
      <c r="I116" s="233">
        <f t="shared" si="712"/>
        <v>1.4902393925044069E-2</v>
      </c>
      <c r="J116" s="233">
        <f t="shared" si="712"/>
        <v>1.4608340247314139E-2</v>
      </c>
      <c r="K116" s="233">
        <f t="shared" si="712"/>
        <v>1.4388276617931822E-2</v>
      </c>
      <c r="L116" s="233">
        <f t="shared" si="712"/>
        <v>1.4227647798174134E-2</v>
      </c>
      <c r="M116" s="233">
        <f t="shared" si="712"/>
        <v>1.4126899281137029E-2</v>
      </c>
      <c r="N116" s="233">
        <f t="shared" si="712"/>
        <v>1.4077829701315756E-2</v>
      </c>
      <c r="O116" s="233">
        <f t="shared" si="712"/>
        <v>1.40782918016467E-2</v>
      </c>
      <c r="P116" s="233">
        <f t="shared" si="712"/>
        <v>1.4124154943672404E-2</v>
      </c>
      <c r="Q116" s="233">
        <f t="shared" si="712"/>
        <v>1.4209631264796088E-2</v>
      </c>
      <c r="R116" s="233">
        <f t="shared" si="712"/>
        <v>1.4334927808541106E-2</v>
      </c>
      <c r="S116" s="233">
        <f t="shared" si="712"/>
        <v>1.4491237978934923E-2</v>
      </c>
      <c r="T116" s="233">
        <f t="shared" si="712"/>
        <v>1.4681279801096458E-2</v>
      </c>
      <c r="U116" s="233">
        <f t="shared" si="712"/>
        <v>1.4895886980192327E-2</v>
      </c>
      <c r="V116" s="233">
        <f t="shared" si="712"/>
        <v>1.5140969574226351E-2</v>
      </c>
      <c r="W116" s="233">
        <f t="shared" si="712"/>
        <v>1.5403246559234043E-2</v>
      </c>
      <c r="X116" s="233">
        <f t="shared" si="712"/>
        <v>1.5692097093298635E-2</v>
      </c>
      <c r="Y116" s="233">
        <f t="shared" si="712"/>
        <v>1.5992646102324259E-2</v>
      </c>
      <c r="Z116" s="233">
        <f t="shared" si="712"/>
        <v>1.6316312475839631E-2</v>
      </c>
      <c r="AA116" s="233">
        <f t="shared" si="712"/>
        <v>1.6646982646195144E-2</v>
      </c>
      <c r="AB116" s="233">
        <f t="shared" si="712"/>
        <v>1.6995753130048918E-2</v>
      </c>
      <c r="AC116" s="233">
        <f t="shared" si="712"/>
        <v>1.7349441215514669E-2</v>
      </c>
      <c r="AD116" s="233">
        <f t="shared" si="712"/>
        <v>1.7720492481854005E-2</v>
      </c>
      <c r="AE116" s="233">
        <f t="shared" si="712"/>
        <v>1.8091195707192059E-2</v>
      </c>
      <c r="AF116" s="233">
        <f t="shared" si="712"/>
        <v>1.8476875039613067E-2</v>
      </c>
      <c r="AG116" s="233">
        <f t="shared" si="712"/>
        <v>1.8859377185738282E-2</v>
      </c>
      <c r="AH116" s="233">
        <f t="shared" si="712"/>
        <v>1.9254750822455979E-2</v>
      </c>
      <c r="AI116" s="233">
        <f t="shared" si="712"/>
        <v>1.9644593444437253E-2</v>
      </c>
      <c r="AJ116" s="233">
        <f t="shared" si="712"/>
        <v>2.0043247438426989E-2</v>
      </c>
      <c r="AK116" s="233">
        <f t="shared" si="712"/>
        <v>2.0436633666344919E-2</v>
      </c>
      <c r="AL116" s="233">
        <f t="shared" si="712"/>
        <v>2.0839413543202318E-2</v>
      </c>
      <c r="AM116" s="233">
        <f t="shared" si="712"/>
        <v>2.1233150711536919E-2</v>
      </c>
      <c r="AN116" s="233">
        <f t="shared" si="712"/>
        <v>2.1634851142439224E-2</v>
      </c>
      <c r="AO116" s="233">
        <f t="shared" si="712"/>
        <v>2.2026245580660797E-2</v>
      </c>
      <c r="AP116" s="233">
        <f t="shared" si="712"/>
        <v>2.2424349991872497E-2</v>
      </c>
      <c r="AQ116" s="233">
        <f t="shared" si="712"/>
        <v>2.281115781903259E-2</v>
      </c>
      <c r="AR116" s="233">
        <f t="shared" si="712"/>
        <v>2.3201432738923347E-2</v>
      </c>
      <c r="AS116" s="233">
        <f t="shared" si="712"/>
        <v>2.3581823109862982E-2</v>
      </c>
      <c r="AT116" s="233">
        <f t="shared" si="712"/>
        <v>2.396687341227724E-2</v>
      </c>
      <c r="AU116" s="233">
        <f t="shared" si="712"/>
        <v>2.4339321467999039E-2</v>
      </c>
      <c r="AV116" s="233">
        <f t="shared" si="712"/>
        <v>2.4715596314275709E-2</v>
      </c>
      <c r="AW116" s="233">
        <f t="shared" si="712"/>
        <v>2.5078890542536855E-2</v>
      </c>
      <c r="AX116" s="233">
        <f t="shared" si="712"/>
        <v>2.5445287974009884E-2</v>
      </c>
      <c r="AY116" s="233">
        <f t="shared" si="712"/>
        <v>2.5798475139898441E-2</v>
      </c>
      <c r="AZ116" s="233">
        <f t="shared" si="712"/>
        <v>2.615220002156389E-2</v>
      </c>
      <c r="BA116" s="233">
        <f t="shared" si="712"/>
        <v>2.6494581081804233E-2</v>
      </c>
      <c r="BB116" s="233">
        <f t="shared" si="712"/>
        <v>2.6838898995946978E-2</v>
      </c>
      <c r="BC116" s="233">
        <f t="shared" si="712"/>
        <v>2.7169906633068772E-2</v>
      </c>
      <c r="BD116" s="233">
        <f t="shared" si="712"/>
        <v>2.7502385420662551E-2</v>
      </c>
      <c r="BE116" s="233">
        <f t="shared" si="712"/>
        <v>2.7821646618310686E-2</v>
      </c>
      <c r="BF116" s="233">
        <f t="shared" si="712"/>
        <v>2.8141979872063516E-2</v>
      </c>
      <c r="BG116" s="233">
        <f t="shared" si="712"/>
        <v>2.8449262687320967E-2</v>
      </c>
      <c r="BH116" s="233">
        <f t="shared" si="712"/>
        <v>2.875560178352897E-2</v>
      </c>
      <c r="BI116" s="233">
        <f t="shared" si="712"/>
        <v>2.9050827836662768E-2</v>
      </c>
      <c r="BJ116" s="233">
        <f t="shared" si="712"/>
        <v>2.934649723702093E-2</v>
      </c>
      <c r="BK116" s="233">
        <f t="shared" si="712"/>
        <v>2.9629622111909462E-2</v>
      </c>
      <c r="BL116" s="233">
        <f t="shared" si="712"/>
        <v>2.9912946428628781E-2</v>
      </c>
      <c r="BM116" s="233">
        <f t="shared" si="712"/>
        <v>3.0184044285805622E-2</v>
      </c>
      <c r="BN116" s="233">
        <f t="shared" si="712"/>
        <v>3.04551372563589E-2</v>
      </c>
      <c r="BO116" s="233">
        <f t="shared" ref="BO116:CB116" si="713">IF(BO114&lt;0,0,$B$5+$B$6*((1-EXP(-BO115/$B$9))/(BO115/$B$9))+$B$7*((1-EXP(-BO115/$B$9))/(BO115/$B$9)-EXP(-BO115/$B$9))+$B$8*((1-EXP(-BO115/$B$10))/(BO115/$B$10)-EXP(-BO115/$B$10)))</f>
        <v>3.071435309419196E-2</v>
      </c>
      <c r="BP116" s="233">
        <f t="shared" si="713"/>
        <v>3.0971987469039217E-2</v>
      </c>
      <c r="BQ116" s="233">
        <f t="shared" si="713"/>
        <v>3.1219556783668875E-2</v>
      </c>
      <c r="BR116" s="233">
        <f t="shared" si="713"/>
        <v>3.1466812235186506E-2</v>
      </c>
      <c r="BS116" s="233">
        <f t="shared" si="713"/>
        <v>3.1702953077562962E-2</v>
      </c>
      <c r="BT116" s="233">
        <f t="shared" si="713"/>
        <v>3.1938666640902336E-2</v>
      </c>
      <c r="BU116" s="233">
        <f t="shared" si="713"/>
        <v>3.2163667938026302E-2</v>
      </c>
      <c r="BV116" s="233">
        <f t="shared" si="713"/>
        <v>3.2388151311797897E-2</v>
      </c>
      <c r="BW116" s="233">
        <f t="shared" si="713"/>
        <v>3.2602331940870879E-2</v>
      </c>
      <c r="BX116" s="233">
        <f t="shared" si="713"/>
        <v>3.281476487944264E-2</v>
      </c>
      <c r="BY116" s="233">
        <f t="shared" si="713"/>
        <v>3.3018495219757277E-2</v>
      </c>
      <c r="BZ116" s="233">
        <f t="shared" si="713"/>
        <v>3.3221582861021726E-2</v>
      </c>
      <c r="CA116" s="233">
        <f t="shared" si="713"/>
        <v>3.3415191841348557E-2</v>
      </c>
      <c r="CB116" s="233">
        <f t="shared" si="713"/>
        <v>3.3608118717594671E-2</v>
      </c>
      <c r="CC116" s="19"/>
      <c r="CD116" s="19"/>
      <c r="CE116" s="19"/>
    </row>
    <row r="117" spans="1:115">
      <c r="A117" s="16" t="s">
        <v>44</v>
      </c>
      <c r="B117" s="233">
        <f>EXP(-B116*B115)</f>
        <v>0.99693907437811169</v>
      </c>
      <c r="C117" s="233">
        <f t="shared" ref="C117:BN117" si="714">EXP(-C116*C115)</f>
        <v>0.98804563388387112</v>
      </c>
      <c r="D117" s="233">
        <f t="shared" si="714"/>
        <v>0.9798835052717878</v>
      </c>
      <c r="E117" s="233">
        <f t="shared" si="714"/>
        <v>0.97254960680676805</v>
      </c>
      <c r="F117" s="233">
        <f t="shared" si="714"/>
        <v>0.96560370012967245</v>
      </c>
      <c r="G117" s="233">
        <f t="shared" si="714"/>
        <v>0.9592162091937132</v>
      </c>
      <c r="H117" s="233">
        <f t="shared" si="714"/>
        <v>0.95297794782184331</v>
      </c>
      <c r="I117" s="233">
        <f t="shared" si="714"/>
        <v>0.94705914007382619</v>
      </c>
      <c r="J117" s="233">
        <f t="shared" si="714"/>
        <v>0.94110009942272443</v>
      </c>
      <c r="K117" s="233">
        <f t="shared" si="714"/>
        <v>0.93528359429747754</v>
      </c>
      <c r="L117" s="233">
        <f t="shared" si="714"/>
        <v>0.92931092585767494</v>
      </c>
      <c r="M117" s="233">
        <f t="shared" si="714"/>
        <v>0.9233215414422995</v>
      </c>
      <c r="N117" s="233">
        <f t="shared" si="714"/>
        <v>0.91702755532873304</v>
      </c>
      <c r="O117" s="233">
        <f t="shared" si="714"/>
        <v>0.9106637642352271</v>
      </c>
      <c r="P117" s="233">
        <f t="shared" si="714"/>
        <v>0.90390867980178813</v>
      </c>
      <c r="Q117" s="233">
        <f t="shared" si="714"/>
        <v>0.89703158298020935</v>
      </c>
      <c r="R117" s="233">
        <f t="shared" si="714"/>
        <v>0.88970130861433261</v>
      </c>
      <c r="S117" s="233">
        <f t="shared" si="714"/>
        <v>0.88222429279863579</v>
      </c>
      <c r="T117" s="233">
        <f t="shared" si="714"/>
        <v>0.87429825368826508</v>
      </c>
      <c r="U117" s="233">
        <f t="shared" si="714"/>
        <v>0.86617998734752932</v>
      </c>
      <c r="V117" s="233">
        <f t="shared" si="714"/>
        <v>0.8575456706059944</v>
      </c>
      <c r="W117" s="233">
        <f t="shared" si="714"/>
        <v>0.84877681909498059</v>
      </c>
      <c r="X117" s="233">
        <f t="shared" si="714"/>
        <v>0.83948482187165441</v>
      </c>
      <c r="Y117" s="233">
        <f t="shared" si="714"/>
        <v>0.83008640677801093</v>
      </c>
      <c r="Z117" s="233">
        <f t="shared" si="714"/>
        <v>0.82017036625226947</v>
      </c>
      <c r="AA117" s="233">
        <f t="shared" si="714"/>
        <v>0.81018566037773654</v>
      </c>
      <c r="AB117" s="233">
        <f t="shared" si="714"/>
        <v>0.79975732327848192</v>
      </c>
      <c r="AC117" s="233">
        <f t="shared" si="714"/>
        <v>0.78924751988762976</v>
      </c>
      <c r="AD117" s="233">
        <f t="shared" si="714"/>
        <v>0.77825912474866721</v>
      </c>
      <c r="AE117" s="233">
        <f t="shared" si="714"/>
        <v>0.76729398642673674</v>
      </c>
      <c r="AF117" s="233">
        <f t="shared" si="714"/>
        <v>0.75587948098503965</v>
      </c>
      <c r="AG117" s="233">
        <f t="shared" si="714"/>
        <v>0.74453747563195194</v>
      </c>
      <c r="AH117" s="233">
        <f t="shared" si="714"/>
        <v>0.73277928056235131</v>
      </c>
      <c r="AI117" s="233">
        <f t="shared" si="714"/>
        <v>0.72114231478009361</v>
      </c>
      <c r="AJ117" s="233">
        <f t="shared" si="714"/>
        <v>0.70919103760384139</v>
      </c>
      <c r="AK117" s="233">
        <f t="shared" si="714"/>
        <v>0.69734186314023083</v>
      </c>
      <c r="AL117" s="233">
        <f t="shared" si="714"/>
        <v>0.68514856481813347</v>
      </c>
      <c r="AM117" s="233">
        <f t="shared" si="714"/>
        <v>0.6731666638214675</v>
      </c>
      <c r="AN117" s="233">
        <f t="shared" si="714"/>
        <v>0.66087721966229851</v>
      </c>
      <c r="AO117" s="233">
        <f t="shared" si="714"/>
        <v>0.64883879069459216</v>
      </c>
      <c r="AP117" s="233">
        <f t="shared" si="714"/>
        <v>0.63652850843631936</v>
      </c>
      <c r="AQ117" s="233">
        <f t="shared" si="714"/>
        <v>0.62450437011802296</v>
      </c>
      <c r="AR117" s="233">
        <f t="shared" si="714"/>
        <v>0.61230977443282719</v>
      </c>
      <c r="AS117" s="233">
        <f>EXP(-AS116*AS115)</f>
        <v>0.60036411769512399</v>
      </c>
      <c r="AT117" s="233">
        <f t="shared" si="714"/>
        <v>0.58821278215156481</v>
      </c>
      <c r="AU117" s="233">
        <f t="shared" si="714"/>
        <v>0.57640336027083083</v>
      </c>
      <c r="AV117" s="233">
        <f t="shared" si="714"/>
        <v>0.56441804281911034</v>
      </c>
      <c r="AW117" s="233">
        <f t="shared" si="714"/>
        <v>0.55279533611345077</v>
      </c>
      <c r="AX117" s="233">
        <f t="shared" si="714"/>
        <v>0.54102398827151554</v>
      </c>
      <c r="AY117" s="233">
        <f t="shared" si="714"/>
        <v>0.52963133964476394</v>
      </c>
      <c r="AZ117" s="233">
        <f t="shared" si="714"/>
        <v>0.51817759367812133</v>
      </c>
      <c r="BA117" s="233">
        <f t="shared" si="714"/>
        <v>0.50705062495331032</v>
      </c>
      <c r="BB117" s="233">
        <f t="shared" si="714"/>
        <v>0.49582164741087625</v>
      </c>
      <c r="BC117" s="233">
        <f t="shared" si="714"/>
        <v>0.48499088599017087</v>
      </c>
      <c r="BD117" s="233">
        <f t="shared" si="714"/>
        <v>0.47407763579080126</v>
      </c>
      <c r="BE117" s="233">
        <f t="shared" si="714"/>
        <v>0.4635667761980708</v>
      </c>
      <c r="BF117" s="233">
        <f t="shared" si="714"/>
        <v>0.45299053636974318</v>
      </c>
      <c r="BG117" s="233">
        <f t="shared" si="714"/>
        <v>0.44281764882497732</v>
      </c>
      <c r="BH117" s="233">
        <f t="shared" si="714"/>
        <v>0.43264990624372729</v>
      </c>
      <c r="BI117" s="233">
        <f t="shared" si="714"/>
        <v>0.42282699953270081</v>
      </c>
      <c r="BJ117" s="233">
        <f t="shared" si="714"/>
        <v>0.41296629420054226</v>
      </c>
      <c r="BK117" s="233">
        <f t="shared" si="714"/>
        <v>0.40350282656096059</v>
      </c>
      <c r="BL117" s="233">
        <f t="shared" si="714"/>
        <v>0.39401242932859792</v>
      </c>
      <c r="BM117" s="233">
        <f t="shared" si="714"/>
        <v>0.38491294402702569</v>
      </c>
      <c r="BN117" s="233">
        <f t="shared" si="714"/>
        <v>0.37579568479916398</v>
      </c>
      <c r="BO117" s="233">
        <f t="shared" ref="BO117:CA117" si="715">EXP(-BO116*BO115)</f>
        <v>0.36706130363749939</v>
      </c>
      <c r="BP117" s="233">
        <f t="shared" si="715"/>
        <v>0.35836430982283929</v>
      </c>
      <c r="BQ117" s="233">
        <f t="shared" si="715"/>
        <v>0.34999223241605576</v>
      </c>
      <c r="BR117" s="233">
        <f t="shared" si="715"/>
        <v>0.34161626946546775</v>
      </c>
      <c r="BS117" s="233">
        <f t="shared" si="715"/>
        <v>0.3336032674373085</v>
      </c>
      <c r="BT117" s="233">
        <f t="shared" si="715"/>
        <v>0.32559147705510566</v>
      </c>
      <c r="BU117" s="233">
        <f t="shared" si="715"/>
        <v>0.31793128202514576</v>
      </c>
      <c r="BV117" s="233">
        <f t="shared" si="715"/>
        <v>0.31027636849166945</v>
      </c>
      <c r="BW117" s="233">
        <f t="shared" si="715"/>
        <v>0.30296106824521535</v>
      </c>
      <c r="BX117" s="233">
        <f t="shared" si="715"/>
        <v>0.29569390915283311</v>
      </c>
      <c r="BY117" s="233">
        <f t="shared" si="715"/>
        <v>0.28871336991127006</v>
      </c>
      <c r="BZ117" s="233">
        <f t="shared" si="715"/>
        <v>0.28174372130968878</v>
      </c>
      <c r="CA117" s="233">
        <f t="shared" si="715"/>
        <v>0.27508867331516906</v>
      </c>
      <c r="CB117" s="233">
        <f>EXP(-CB116*CB115)</f>
        <v>0.26844630763443567</v>
      </c>
      <c r="CC117" s="19"/>
      <c r="CD117" s="19"/>
      <c r="CE117" s="19"/>
    </row>
    <row r="118" spans="1:115">
      <c r="A118" s="130"/>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c r="AY118" s="7"/>
      <c r="AZ118" s="7"/>
      <c r="BA118" s="7"/>
      <c r="BB118" s="7"/>
      <c r="BC118" s="7"/>
      <c r="BD118" s="7"/>
      <c r="BE118" s="7"/>
      <c r="BF118" s="7"/>
      <c r="BG118" s="7"/>
      <c r="BH118" s="7"/>
      <c r="BI118" s="7"/>
      <c r="BJ118" s="7"/>
      <c r="BK118" s="7"/>
      <c r="BL118" s="7"/>
      <c r="BM118" s="7"/>
      <c r="BN118" s="7"/>
      <c r="BO118" s="7"/>
      <c r="BP118" s="7"/>
      <c r="BQ118" s="7"/>
      <c r="BR118" s="7"/>
      <c r="BS118" s="7"/>
      <c r="BT118" s="7"/>
      <c r="BU118" s="7"/>
      <c r="BV118" s="7"/>
      <c r="BW118" s="7"/>
      <c r="BX118" s="7"/>
      <c r="BY118" s="7"/>
      <c r="BZ118" s="7"/>
      <c r="CA118" s="7"/>
      <c r="CB118" s="7"/>
      <c r="CC118" s="19"/>
      <c r="CD118" s="19"/>
      <c r="CE118" s="19"/>
    </row>
    <row r="119" spans="1:115">
      <c r="A119" s="16" t="s">
        <v>40</v>
      </c>
      <c r="B119" s="233">
        <f t="shared" ref="B119:AG119" si="716">DAYS360($B$3,B42)</f>
        <v>48</v>
      </c>
      <c r="C119" s="233">
        <f t="shared" si="716"/>
        <v>226</v>
      </c>
      <c r="D119" s="233">
        <f t="shared" si="716"/>
        <v>407</v>
      </c>
      <c r="E119" s="233">
        <f t="shared" si="716"/>
        <v>585</v>
      </c>
      <c r="F119" s="233">
        <f t="shared" si="716"/>
        <v>767</v>
      </c>
      <c r="G119" s="233">
        <f t="shared" si="716"/>
        <v>945</v>
      </c>
      <c r="H119" s="233">
        <f t="shared" si="716"/>
        <v>1127</v>
      </c>
      <c r="I119" s="233">
        <f t="shared" si="716"/>
        <v>1305</v>
      </c>
      <c r="J119" s="233">
        <f t="shared" si="716"/>
        <v>1487</v>
      </c>
      <c r="K119" s="233">
        <f t="shared" si="716"/>
        <v>1665</v>
      </c>
      <c r="L119" s="233">
        <f t="shared" si="716"/>
        <v>1846</v>
      </c>
      <c r="M119" s="233">
        <f t="shared" si="716"/>
        <v>2024</v>
      </c>
      <c r="N119" s="233">
        <f t="shared" si="716"/>
        <v>2206</v>
      </c>
      <c r="O119" s="233">
        <f t="shared" si="716"/>
        <v>2384</v>
      </c>
      <c r="P119" s="233">
        <f t="shared" si="716"/>
        <v>2566</v>
      </c>
      <c r="Q119" s="233">
        <f t="shared" si="716"/>
        <v>2744</v>
      </c>
      <c r="R119" s="233">
        <f t="shared" si="716"/>
        <v>2926</v>
      </c>
      <c r="S119" s="233">
        <f t="shared" si="716"/>
        <v>3104</v>
      </c>
      <c r="T119" s="233">
        <f t="shared" si="716"/>
        <v>3285</v>
      </c>
      <c r="U119" s="233">
        <f t="shared" si="716"/>
        <v>3463</v>
      </c>
      <c r="V119" s="233">
        <f t="shared" si="716"/>
        <v>3645</v>
      </c>
      <c r="W119" s="233">
        <f t="shared" si="716"/>
        <v>3823</v>
      </c>
      <c r="X119" s="233">
        <f t="shared" si="716"/>
        <v>4005</v>
      </c>
      <c r="Y119" s="233">
        <f t="shared" si="716"/>
        <v>4183</v>
      </c>
      <c r="Z119" s="233">
        <f t="shared" si="716"/>
        <v>4365</v>
      </c>
      <c r="AA119" s="233">
        <f t="shared" si="716"/>
        <v>4543</v>
      </c>
      <c r="AB119" s="233">
        <f t="shared" si="716"/>
        <v>4724</v>
      </c>
      <c r="AC119" s="233">
        <f t="shared" si="716"/>
        <v>4902</v>
      </c>
      <c r="AD119" s="233">
        <f t="shared" si="716"/>
        <v>5084</v>
      </c>
      <c r="AE119" s="233">
        <f t="shared" si="716"/>
        <v>5262</v>
      </c>
      <c r="AF119" s="233">
        <f t="shared" si="716"/>
        <v>5444</v>
      </c>
      <c r="AG119" s="233">
        <f t="shared" si="716"/>
        <v>5622</v>
      </c>
      <c r="AH119" s="233">
        <f t="shared" ref="AH119:BM119" si="717">DAYS360($B$3,AH42)</f>
        <v>5804</v>
      </c>
      <c r="AI119" s="233">
        <f t="shared" si="717"/>
        <v>5982</v>
      </c>
      <c r="AJ119" s="233">
        <f t="shared" si="717"/>
        <v>6163</v>
      </c>
      <c r="AK119" s="233">
        <f t="shared" si="717"/>
        <v>6341</v>
      </c>
      <c r="AL119" s="233">
        <f t="shared" si="717"/>
        <v>6523</v>
      </c>
      <c r="AM119" s="233">
        <f t="shared" si="717"/>
        <v>6701</v>
      </c>
      <c r="AN119" s="233">
        <f t="shared" si="717"/>
        <v>6883</v>
      </c>
      <c r="AO119" s="233">
        <f t="shared" si="717"/>
        <v>7061</v>
      </c>
      <c r="AP119" s="233">
        <f t="shared" si="717"/>
        <v>7243</v>
      </c>
      <c r="AQ119" s="233">
        <f t="shared" si="717"/>
        <v>7421</v>
      </c>
      <c r="AR119" s="233">
        <f t="shared" si="717"/>
        <v>7602</v>
      </c>
      <c r="AS119" s="233">
        <f t="shared" si="717"/>
        <v>7780</v>
      </c>
      <c r="AT119" s="233">
        <f t="shared" si="717"/>
        <v>7962</v>
      </c>
      <c r="AU119" s="233">
        <f t="shared" si="717"/>
        <v>8140</v>
      </c>
      <c r="AV119" s="233">
        <f t="shared" si="717"/>
        <v>8322</v>
      </c>
      <c r="AW119" s="233">
        <f t="shared" si="717"/>
        <v>8500</v>
      </c>
      <c r="AX119" s="233">
        <f t="shared" si="717"/>
        <v>8682</v>
      </c>
      <c r="AY119" s="233">
        <f t="shared" si="717"/>
        <v>8860</v>
      </c>
      <c r="AZ119" s="233">
        <f t="shared" si="717"/>
        <v>9041</v>
      </c>
      <c r="BA119" s="233">
        <f t="shared" si="717"/>
        <v>9219</v>
      </c>
      <c r="BB119" s="233">
        <f t="shared" si="717"/>
        <v>9401</v>
      </c>
      <c r="BC119" s="233">
        <f t="shared" si="717"/>
        <v>9579</v>
      </c>
      <c r="BD119" s="233">
        <f t="shared" si="717"/>
        <v>9761</v>
      </c>
      <c r="BE119" s="233">
        <f t="shared" si="717"/>
        <v>9939</v>
      </c>
      <c r="BF119" s="233">
        <f t="shared" si="717"/>
        <v>10121</v>
      </c>
      <c r="BG119" s="233">
        <f t="shared" si="717"/>
        <v>10299</v>
      </c>
      <c r="BH119" s="233">
        <f t="shared" si="717"/>
        <v>10480</v>
      </c>
      <c r="BI119" s="233">
        <f t="shared" si="717"/>
        <v>10658</v>
      </c>
      <c r="BJ119" s="233">
        <f t="shared" si="717"/>
        <v>10840</v>
      </c>
      <c r="BK119" s="233">
        <f t="shared" si="717"/>
        <v>11018</v>
      </c>
      <c r="BL119" s="233">
        <f t="shared" si="717"/>
        <v>11200</v>
      </c>
      <c r="BM119" s="233">
        <f t="shared" si="717"/>
        <v>11378</v>
      </c>
      <c r="BN119" s="233">
        <f t="shared" ref="BN119:CB119" si="718">DAYS360($B$3,BN42)</f>
        <v>11560</v>
      </c>
      <c r="BO119" s="233">
        <f t="shared" si="718"/>
        <v>11738</v>
      </c>
      <c r="BP119" s="233">
        <f t="shared" si="718"/>
        <v>11919</v>
      </c>
      <c r="BQ119" s="233">
        <f t="shared" si="718"/>
        <v>12097</v>
      </c>
      <c r="BR119" s="233">
        <f t="shared" si="718"/>
        <v>12279</v>
      </c>
      <c r="BS119" s="233">
        <f t="shared" si="718"/>
        <v>12457</v>
      </c>
      <c r="BT119" s="233">
        <f t="shared" si="718"/>
        <v>12639</v>
      </c>
      <c r="BU119" s="233">
        <f t="shared" si="718"/>
        <v>12817</v>
      </c>
      <c r="BV119" s="233">
        <f t="shared" si="718"/>
        <v>12999</v>
      </c>
      <c r="BW119" s="233">
        <f t="shared" si="718"/>
        <v>13177</v>
      </c>
      <c r="BX119" s="233">
        <f t="shared" si="718"/>
        <v>13358</v>
      </c>
      <c r="BY119" s="233">
        <f t="shared" si="718"/>
        <v>13536</v>
      </c>
      <c r="BZ119" s="233">
        <f t="shared" si="718"/>
        <v>13718</v>
      </c>
      <c r="CA119" s="233">
        <f t="shared" si="718"/>
        <v>13896</v>
      </c>
      <c r="CB119" s="233">
        <f t="shared" si="718"/>
        <v>14078</v>
      </c>
      <c r="CC119" s="19"/>
      <c r="CD119" s="19"/>
      <c r="CE119" s="19"/>
    </row>
    <row r="120" spans="1:115">
      <c r="A120" s="16" t="s">
        <v>41</v>
      </c>
      <c r="B120" s="233">
        <f>B119/360</f>
        <v>0.13333333333333333</v>
      </c>
      <c r="C120" s="233">
        <f t="shared" ref="C120:BN120" si="719">C119/360</f>
        <v>0.62777777777777777</v>
      </c>
      <c r="D120" s="233">
        <f t="shared" si="719"/>
        <v>1.1305555555555555</v>
      </c>
      <c r="E120" s="233">
        <f t="shared" si="719"/>
        <v>1.625</v>
      </c>
      <c r="F120" s="233">
        <f t="shared" si="719"/>
        <v>2.1305555555555555</v>
      </c>
      <c r="G120" s="233">
        <f t="shared" si="719"/>
        <v>2.625</v>
      </c>
      <c r="H120" s="233">
        <f t="shared" si="719"/>
        <v>3.1305555555555555</v>
      </c>
      <c r="I120" s="233">
        <f t="shared" si="719"/>
        <v>3.625</v>
      </c>
      <c r="J120" s="233">
        <f t="shared" si="719"/>
        <v>4.1305555555555555</v>
      </c>
      <c r="K120" s="233">
        <f t="shared" si="719"/>
        <v>4.625</v>
      </c>
      <c r="L120" s="233">
        <f t="shared" si="719"/>
        <v>5.1277777777777782</v>
      </c>
      <c r="M120" s="233">
        <f t="shared" si="719"/>
        <v>5.6222222222222218</v>
      </c>
      <c r="N120" s="233">
        <f t="shared" si="719"/>
        <v>6.1277777777777782</v>
      </c>
      <c r="O120" s="233">
        <f t="shared" si="719"/>
        <v>6.6222222222222218</v>
      </c>
      <c r="P120" s="233">
        <f t="shared" si="719"/>
        <v>7.1277777777777782</v>
      </c>
      <c r="Q120" s="233">
        <f t="shared" si="719"/>
        <v>7.6222222222222218</v>
      </c>
      <c r="R120" s="233">
        <f t="shared" si="719"/>
        <v>8.1277777777777782</v>
      </c>
      <c r="S120" s="233">
        <f t="shared" si="719"/>
        <v>8.6222222222222218</v>
      </c>
      <c r="T120" s="233">
        <f t="shared" si="719"/>
        <v>9.125</v>
      </c>
      <c r="U120" s="233">
        <f t="shared" si="719"/>
        <v>9.6194444444444436</v>
      </c>
      <c r="V120" s="233">
        <f t="shared" si="719"/>
        <v>10.125</v>
      </c>
      <c r="W120" s="233">
        <f t="shared" si="719"/>
        <v>10.619444444444444</v>
      </c>
      <c r="X120" s="233">
        <f t="shared" si="719"/>
        <v>11.125</v>
      </c>
      <c r="Y120" s="233">
        <f t="shared" si="719"/>
        <v>11.619444444444444</v>
      </c>
      <c r="Z120" s="233">
        <f t="shared" si="719"/>
        <v>12.125</v>
      </c>
      <c r="AA120" s="233">
        <f t="shared" si="719"/>
        <v>12.619444444444444</v>
      </c>
      <c r="AB120" s="233">
        <f t="shared" si="719"/>
        <v>13.122222222222222</v>
      </c>
      <c r="AC120" s="233">
        <f t="shared" si="719"/>
        <v>13.616666666666667</v>
      </c>
      <c r="AD120" s="233">
        <f t="shared" si="719"/>
        <v>14.122222222222222</v>
      </c>
      <c r="AE120" s="233">
        <f t="shared" si="719"/>
        <v>14.616666666666667</v>
      </c>
      <c r="AF120" s="233">
        <f t="shared" si="719"/>
        <v>15.122222222222222</v>
      </c>
      <c r="AG120" s="233">
        <f t="shared" si="719"/>
        <v>15.616666666666667</v>
      </c>
      <c r="AH120" s="233">
        <f t="shared" si="719"/>
        <v>16.122222222222224</v>
      </c>
      <c r="AI120" s="233">
        <f t="shared" si="719"/>
        <v>16.616666666666667</v>
      </c>
      <c r="AJ120" s="233">
        <f t="shared" si="719"/>
        <v>17.119444444444444</v>
      </c>
      <c r="AK120" s="233">
        <f t="shared" si="719"/>
        <v>17.613888888888887</v>
      </c>
      <c r="AL120" s="233">
        <f t="shared" si="719"/>
        <v>18.119444444444444</v>
      </c>
      <c r="AM120" s="233">
        <f t="shared" si="719"/>
        <v>18.613888888888887</v>
      </c>
      <c r="AN120" s="233">
        <f t="shared" si="719"/>
        <v>19.119444444444444</v>
      </c>
      <c r="AO120" s="233">
        <f t="shared" si="719"/>
        <v>19.613888888888887</v>
      </c>
      <c r="AP120" s="233">
        <f t="shared" si="719"/>
        <v>20.119444444444444</v>
      </c>
      <c r="AQ120" s="233">
        <f t="shared" si="719"/>
        <v>20.613888888888887</v>
      </c>
      <c r="AR120" s="233">
        <f t="shared" si="719"/>
        <v>21.116666666666667</v>
      </c>
      <c r="AS120" s="233">
        <f t="shared" si="719"/>
        <v>21.611111111111111</v>
      </c>
      <c r="AT120" s="233">
        <f t="shared" si="719"/>
        <v>22.116666666666667</v>
      </c>
      <c r="AU120" s="233">
        <f t="shared" si="719"/>
        <v>22.611111111111111</v>
      </c>
      <c r="AV120" s="233">
        <f t="shared" si="719"/>
        <v>23.116666666666667</v>
      </c>
      <c r="AW120" s="233">
        <f t="shared" si="719"/>
        <v>23.611111111111111</v>
      </c>
      <c r="AX120" s="233">
        <f t="shared" si="719"/>
        <v>24.116666666666667</v>
      </c>
      <c r="AY120" s="233">
        <f t="shared" si="719"/>
        <v>24.611111111111111</v>
      </c>
      <c r="AZ120" s="233">
        <f t="shared" si="719"/>
        <v>25.113888888888887</v>
      </c>
      <c r="BA120" s="233">
        <f t="shared" si="719"/>
        <v>25.608333333333334</v>
      </c>
      <c r="BB120" s="233">
        <f t="shared" si="719"/>
        <v>26.113888888888887</v>
      </c>
      <c r="BC120" s="233">
        <f t="shared" si="719"/>
        <v>26.608333333333334</v>
      </c>
      <c r="BD120" s="233">
        <f t="shared" si="719"/>
        <v>27.113888888888887</v>
      </c>
      <c r="BE120" s="233">
        <f t="shared" si="719"/>
        <v>27.608333333333334</v>
      </c>
      <c r="BF120" s="233">
        <f t="shared" si="719"/>
        <v>28.113888888888887</v>
      </c>
      <c r="BG120" s="233">
        <f t="shared" si="719"/>
        <v>28.608333333333334</v>
      </c>
      <c r="BH120" s="233">
        <f t="shared" si="719"/>
        <v>29.111111111111111</v>
      </c>
      <c r="BI120" s="233">
        <f t="shared" si="719"/>
        <v>29.605555555555554</v>
      </c>
      <c r="BJ120" s="233">
        <f t="shared" si="719"/>
        <v>30.111111111111111</v>
      </c>
      <c r="BK120" s="233">
        <f t="shared" si="719"/>
        <v>30.605555555555554</v>
      </c>
      <c r="BL120" s="233">
        <f t="shared" si="719"/>
        <v>31.111111111111111</v>
      </c>
      <c r="BM120" s="233">
        <f t="shared" si="719"/>
        <v>31.605555555555554</v>
      </c>
      <c r="BN120" s="233">
        <f t="shared" si="719"/>
        <v>32.111111111111114</v>
      </c>
      <c r="BO120" s="233">
        <f t="shared" ref="BO120:CB120" si="720">BO119/360</f>
        <v>32.605555555555554</v>
      </c>
      <c r="BP120" s="233">
        <f t="shared" si="720"/>
        <v>33.108333333333334</v>
      </c>
      <c r="BQ120" s="233">
        <f t="shared" si="720"/>
        <v>33.602777777777774</v>
      </c>
      <c r="BR120" s="233">
        <f t="shared" si="720"/>
        <v>34.108333333333334</v>
      </c>
      <c r="BS120" s="233">
        <f t="shared" si="720"/>
        <v>34.602777777777774</v>
      </c>
      <c r="BT120" s="233">
        <f t="shared" si="720"/>
        <v>35.108333333333334</v>
      </c>
      <c r="BU120" s="233">
        <f t="shared" si="720"/>
        <v>35.602777777777774</v>
      </c>
      <c r="BV120" s="233">
        <f t="shared" si="720"/>
        <v>36.108333333333334</v>
      </c>
      <c r="BW120" s="233">
        <f t="shared" si="720"/>
        <v>36.602777777777774</v>
      </c>
      <c r="BX120" s="233">
        <f t="shared" si="720"/>
        <v>37.105555555555554</v>
      </c>
      <c r="BY120" s="233">
        <f t="shared" si="720"/>
        <v>37.6</v>
      </c>
      <c r="BZ120" s="233">
        <f t="shared" si="720"/>
        <v>38.105555555555554</v>
      </c>
      <c r="CA120" s="233">
        <f t="shared" si="720"/>
        <v>38.6</v>
      </c>
      <c r="CB120" s="233">
        <f t="shared" si="720"/>
        <v>39.105555555555554</v>
      </c>
      <c r="CC120" s="19"/>
      <c r="CD120" s="19"/>
      <c r="CE120" s="19"/>
    </row>
    <row r="121" spans="1:115">
      <c r="A121" s="16" t="s">
        <v>43</v>
      </c>
      <c r="B121" s="233">
        <f>IF(B119&lt;0,0,$B$5+$B$6*((1-EXP(-B120/$B$9))/(B120/$B$9))+$B$7*((1-EXP(-B120/$B$9))/(B120/$B$9)-EXP(-B120/$B$9))+$B$8*((1-EXP(-B120/$B$10))/(B120/$B$10)-EXP(-B120/$B$10)))</f>
        <v>1.9412434405821279E-2</v>
      </c>
      <c r="C121" s="233">
        <f t="shared" ref="C121:BN121" si="721">IF(C119&lt;0,0,$B$5+$B$6*((1-EXP(-C120/$B$9))/(C120/$B$9))+$B$7*((1-EXP(-C120/$B$9))/(C120/$B$9)-EXP(-C120/$B$9))+$B$8*((1-EXP(-C120/$B$10))/(C120/$B$10)-EXP(-C120/$B$10)))</f>
        <v>1.8468055349339131E-2</v>
      </c>
      <c r="D121" s="233">
        <f t="shared" si="721"/>
        <v>1.7624975706219823E-2</v>
      </c>
      <c r="E121" s="233">
        <f t="shared" si="721"/>
        <v>1.6903029516626943E-2</v>
      </c>
      <c r="F121" s="233">
        <f t="shared" si="721"/>
        <v>1.6266855462811071E-2</v>
      </c>
      <c r="G121" s="233">
        <f t="shared" si="721"/>
        <v>1.5737218128879446E-2</v>
      </c>
      <c r="H121" s="233">
        <f t="shared" si="721"/>
        <v>1.5283348372236487E-2</v>
      </c>
      <c r="I121" s="233">
        <f t="shared" si="721"/>
        <v>1.4918847520380897E-2</v>
      </c>
      <c r="J121" s="233">
        <f t="shared" si="721"/>
        <v>1.462119498745957E-2</v>
      </c>
      <c r="K121" s="233">
        <f t="shared" si="721"/>
        <v>1.4397882931313902E-2</v>
      </c>
      <c r="L121" s="233">
        <f t="shared" si="721"/>
        <v>1.4234208912601631E-2</v>
      </c>
      <c r="M121" s="233">
        <f t="shared" si="721"/>
        <v>1.4130703564150408E-2</v>
      </c>
      <c r="N121" s="233">
        <f t="shared" si="721"/>
        <v>1.4079043718814827E-2</v>
      </c>
      <c r="O121" s="233">
        <f t="shared" si="721"/>
        <v>1.4077181850825099E-2</v>
      </c>
      <c r="P121" s="233">
        <f t="shared" si="721"/>
        <v>1.4120869154201965E-2</v>
      </c>
      <c r="Q121" s="233">
        <f t="shared" si="721"/>
        <v>1.4204400852734916E-2</v>
      </c>
      <c r="R121" s="233">
        <f t="shared" si="721"/>
        <v>1.4327884403134497E-2</v>
      </c>
      <c r="S121" s="233">
        <f t="shared" si="721"/>
        <v>1.4482581752825976E-2</v>
      </c>
      <c r="T121" s="233">
        <f t="shared" si="721"/>
        <v>1.467113543798905E-2</v>
      </c>
      <c r="U121" s="233">
        <f t="shared" si="721"/>
        <v>1.4884418647518008E-2</v>
      </c>
      <c r="V121" s="233">
        <f t="shared" si="721"/>
        <v>1.5128280976351438E-2</v>
      </c>
      <c r="W121" s="233">
        <f t="shared" si="721"/>
        <v>1.5389486268826941E-2</v>
      </c>
      <c r="X121" s="233">
        <f t="shared" si="721"/>
        <v>1.5677357015624199E-2</v>
      </c>
      <c r="Y121" s="233">
        <f t="shared" si="721"/>
        <v>1.5977053445159248E-2</v>
      </c>
      <c r="Z121" s="233">
        <f t="shared" si="721"/>
        <v>1.6299948605308395E-2</v>
      </c>
      <c r="AA121" s="233">
        <f t="shared" si="721"/>
        <v>1.6629955959928652E-2</v>
      </c>
      <c r="AB121" s="233">
        <f t="shared" si="721"/>
        <v>1.6978138603878756E-2</v>
      </c>
      <c r="AC121" s="233">
        <f t="shared" si="721"/>
        <v>1.7331327271307276E-2</v>
      </c>
      <c r="AD121" s="233">
        <f t="shared" si="721"/>
        <v>1.7701942705185436E-2</v>
      </c>
      <c r="AE121" s="233">
        <f t="shared" si="721"/>
        <v>1.8072287485757593E-2</v>
      </c>
      <c r="AF121" s="233">
        <f t="shared" si="721"/>
        <v>1.8457664472098831E-2</v>
      </c>
      <c r="AG121" s="233">
        <f t="shared" si="721"/>
        <v>1.8839928941948345E-2</v>
      </c>
      <c r="AH121" s="233">
        <f t="shared" si="721"/>
        <v>1.9235114329831271E-2</v>
      </c>
      <c r="AI121" s="233">
        <f t="shared" si="721"/>
        <v>1.9624822253207927E-2</v>
      </c>
      <c r="AJ121" s="233">
        <f t="shared" si="721"/>
        <v>2.0023385415311609E-2</v>
      </c>
      <c r="AK121" s="233">
        <f t="shared" si="721"/>
        <v>2.0416724058005611E-2</v>
      </c>
      <c r="AL121" s="233">
        <f t="shared" si="721"/>
        <v>2.0819494564810012E-2</v>
      </c>
      <c r="AM121" s="233">
        <f t="shared" si="721"/>
        <v>2.1213257790408072E-2</v>
      </c>
      <c r="AN121" s="233">
        <f t="shared" si="721"/>
        <v>2.1615017792571259E-2</v>
      </c>
      <c r="AO121" s="233">
        <f t="shared" si="721"/>
        <v>2.2006499896713327E-2</v>
      </c>
      <c r="AP121" s="233">
        <f t="shared" si="721"/>
        <v>2.2404721311338041E-2</v>
      </c>
      <c r="AQ121" s="233">
        <f t="shared" si="721"/>
        <v>2.2791667889752246E-2</v>
      </c>
      <c r="AR121" s="233">
        <f t="shared" si="721"/>
        <v>2.3182106229895444E-2</v>
      </c>
      <c r="AS121" s="233">
        <f t="shared" si="721"/>
        <v>2.3562677149846653E-2</v>
      </c>
      <c r="AT121" s="233">
        <f t="shared" si="721"/>
        <v>2.3947930352548205E-2</v>
      </c>
      <c r="AU121" s="233">
        <f t="shared" si="721"/>
        <v>2.4320592886374684E-2</v>
      </c>
      <c r="AV121" s="233">
        <f t="shared" si="721"/>
        <v>2.4697101648365874E-2</v>
      </c>
      <c r="AW121" s="233">
        <f t="shared" si="721"/>
        <v>2.5060637339754194E-2</v>
      </c>
      <c r="AX121" s="233">
        <f t="shared" si="721"/>
        <v>2.5427293093255546E-2</v>
      </c>
      <c r="AY121" s="233">
        <f t="shared" si="721"/>
        <v>2.57807426951258E-2</v>
      </c>
      <c r="AZ121" s="233">
        <f t="shared" si="721"/>
        <v>2.6134743048200404E-2</v>
      </c>
      <c r="BA121" s="233">
        <f t="shared" si="721"/>
        <v>2.6477402291398847E-2</v>
      </c>
      <c r="BB121" s="233">
        <f t="shared" si="721"/>
        <v>2.6822010959903525E-2</v>
      </c>
      <c r="BC121" s="233">
        <f t="shared" si="721"/>
        <v>2.7153308114316849E-2</v>
      </c>
      <c r="BD121" s="233">
        <f t="shared" si="721"/>
        <v>2.7486087214735569E-2</v>
      </c>
      <c r="BE121" s="233">
        <f t="shared" si="721"/>
        <v>2.7805645441852586E-2</v>
      </c>
      <c r="BF121" s="233">
        <f t="shared" si="721"/>
        <v>2.81262849566392E-2</v>
      </c>
      <c r="BG121" s="233">
        <f t="shared" si="721"/>
        <v>2.8433869055865715E-2</v>
      </c>
      <c r="BH121" s="233">
        <f t="shared" si="721"/>
        <v>2.8740515591936217E-2</v>
      </c>
      <c r="BI121" s="233">
        <f t="shared" si="721"/>
        <v>2.9036044421302698E-2</v>
      </c>
      <c r="BJ121" s="233">
        <f t="shared" si="721"/>
        <v>2.933202324980512E-2</v>
      </c>
      <c r="BK121" s="233">
        <f t="shared" si="721"/>
        <v>2.9615450073755489E-2</v>
      </c>
      <c r="BL121" s="233">
        <f t="shared" si="721"/>
        <v>2.9899081932773991E-2</v>
      </c>
      <c r="BM121" s="233">
        <f t="shared" si="721"/>
        <v>3.0170478966180178E-2</v>
      </c>
      <c r="BN121" s="233">
        <f t="shared" si="721"/>
        <v>3.0441875780086933E-2</v>
      </c>
      <c r="BO121" s="233">
        <f t="shared" ref="BO121:CB121" si="722">IF(BO119&lt;0,0,$B$5+$B$6*((1-EXP(-BO120/$B$9))/(BO120/$B$9))+$B$7*((1-EXP(-BO120/$B$9))/(BO120/$B$9)-EXP(-BO120/$B$9))+$B$8*((1-EXP(-BO120/$B$10))/(BO120/$B$10)-EXP(-BO120/$B$10)))</f>
        <v>3.0701386409223902E-2</v>
      </c>
      <c r="BP121" s="233">
        <f t="shared" si="722"/>
        <v>3.0959317801304675E-2</v>
      </c>
      <c r="BQ121" s="233">
        <f t="shared" si="722"/>
        <v>3.1207176218649213E-2</v>
      </c>
      <c r="BR121" s="233">
        <f t="shared" si="722"/>
        <v>3.1454723929181236E-2</v>
      </c>
      <c r="BS121" s="233">
        <f t="shared" si="722"/>
        <v>3.1691147103035805E-2</v>
      </c>
      <c r="BT121" s="233">
        <f t="shared" si="722"/>
        <v>3.1927145542119839E-2</v>
      </c>
      <c r="BU121" s="233">
        <f t="shared" si="722"/>
        <v>3.215242155087665E-2</v>
      </c>
      <c r="BV121" s="233">
        <f t="shared" si="722"/>
        <v>3.2377181650281792E-2</v>
      </c>
      <c r="BW121" s="233">
        <f t="shared" si="722"/>
        <v>3.2591628712853871E-2</v>
      </c>
      <c r="BX121" s="233">
        <f t="shared" si="722"/>
        <v>3.2804328180901926E-2</v>
      </c>
      <c r="BY121" s="233">
        <f t="shared" si="722"/>
        <v>3.300831620738777E-2</v>
      </c>
      <c r="BZ121" s="233">
        <f t="shared" si="722"/>
        <v>3.3211662697628264E-2</v>
      </c>
      <c r="CA121" s="233">
        <f t="shared" si="722"/>
        <v>3.3405520239681061E-2</v>
      </c>
      <c r="CB121" s="233">
        <f t="shared" si="722"/>
        <v>3.3598696502338599E-2</v>
      </c>
      <c r="CC121" s="19"/>
      <c r="CD121" s="19"/>
      <c r="CE121" s="19"/>
    </row>
    <row r="122" spans="1:115">
      <c r="A122" s="16" t="s">
        <v>44</v>
      </c>
      <c r="B122" s="233">
        <f>EXP(-B121*B120)</f>
        <v>0.99741502223646383</v>
      </c>
      <c r="C122" s="233">
        <f t="shared" ref="C122:AR122" si="723">EXP(-C121*C120)</f>
        <v>0.98847311477131894</v>
      </c>
      <c r="D122" s="233">
        <f t="shared" si="723"/>
        <v>0.98027119677140417</v>
      </c>
      <c r="E122" s="233">
        <f t="shared" si="723"/>
        <v>0.97290637644275002</v>
      </c>
      <c r="F122" s="233">
        <f t="shared" si="723"/>
        <v>0.9659362514087344</v>
      </c>
      <c r="G122" s="233">
        <f t="shared" si="723"/>
        <v>0.95953143944032659</v>
      </c>
      <c r="H122" s="233">
        <f t="shared" si="723"/>
        <v>0.95328118045023735</v>
      </c>
      <c r="I122" s="233">
        <f t="shared" si="723"/>
        <v>0.9473555359907887</v>
      </c>
      <c r="J122" s="233">
        <f t="shared" si="723"/>
        <v>0.94139387322943613</v>
      </c>
      <c r="K122" s="233">
        <f t="shared" si="723"/>
        <v>0.93557851486145038</v>
      </c>
      <c r="L122" s="233">
        <f t="shared" si="723"/>
        <v>0.9296102560900118</v>
      </c>
      <c r="M122" s="233">
        <f t="shared" si="723"/>
        <v>0.92362793554290579</v>
      </c>
      <c r="N122" s="233">
        <f t="shared" si="723"/>
        <v>0.91734353171905492</v>
      </c>
      <c r="O122" s="233">
        <f t="shared" si="723"/>
        <v>0.91099103147086702</v>
      </c>
      <c r="P122" s="233">
        <f t="shared" si="723"/>
        <v>0.9042490874220479</v>
      </c>
      <c r="Q122" s="233">
        <f t="shared" si="723"/>
        <v>0.89738607749188837</v>
      </c>
      <c r="R122" s="233">
        <f t="shared" si="723"/>
        <v>0.89007116350834148</v>
      </c>
      <c r="S122" s="233">
        <f t="shared" si="723"/>
        <v>0.8826098356806471</v>
      </c>
      <c r="T122" s="233">
        <f t="shared" si="723"/>
        <v>0.87470017291480473</v>
      </c>
      <c r="U122" s="233">
        <f t="shared" si="723"/>
        <v>0.86659820736061244</v>
      </c>
      <c r="V122" s="233">
        <f t="shared" si="723"/>
        <v>0.85798055331457712</v>
      </c>
      <c r="W122" s="233">
        <f t="shared" si="723"/>
        <v>0.84922781574057593</v>
      </c>
      <c r="X122" s="233">
        <f t="shared" si="723"/>
        <v>0.83995194526521566</v>
      </c>
      <c r="Y122" s="233">
        <f t="shared" si="723"/>
        <v>0.83056882226453588</v>
      </c>
      <c r="Z122" s="233">
        <f t="shared" si="723"/>
        <v>0.8206678025246803</v>
      </c>
      <c r="AA122" s="233">
        <f t="shared" si="723"/>
        <v>0.81069708281366015</v>
      </c>
      <c r="AB122" s="233">
        <f t="shared" si="723"/>
        <v>0.80028216465639923</v>
      </c>
      <c r="AC122" s="233">
        <f t="shared" si="723"/>
        <v>0.78978469681387931</v>
      </c>
      <c r="AD122" s="233">
        <f t="shared" si="723"/>
        <v>0.7788079724890089</v>
      </c>
      <c r="AE122" s="233">
        <f t="shared" si="723"/>
        <v>0.7678532828168122</v>
      </c>
      <c r="AF122" s="233">
        <f t="shared" si="723"/>
        <v>0.75644844015707657</v>
      </c>
      <c r="AG122" s="233">
        <f t="shared" si="723"/>
        <v>0.74511486572211416</v>
      </c>
      <c r="AH122" s="233">
        <f t="shared" si="723"/>
        <v>0.73336423709734277</v>
      </c>
      <c r="AI122" s="233">
        <f t="shared" si="723"/>
        <v>0.72173363859288253</v>
      </c>
      <c r="AJ122" s="233">
        <f t="shared" si="723"/>
        <v>0.70978779478348131</v>
      </c>
      <c r="AK122" s="233">
        <f t="shared" si="723"/>
        <v>0.69794295282783514</v>
      </c>
      <c r="AL122" s="233">
        <f t="shared" si="723"/>
        <v>0.68575306807700676</v>
      </c>
      <c r="AM122" s="233">
        <f t="shared" si="723"/>
        <v>0.67377353670642803</v>
      </c>
      <c r="AN122" s="233">
        <f t="shared" si="723"/>
        <v>0.66148555536348708</v>
      </c>
      <c r="AO122" s="233">
        <f t="shared" si="723"/>
        <v>0.64944765180175512</v>
      </c>
      <c r="AP122" s="233">
        <f t="shared" si="723"/>
        <v>0.63713701922495991</v>
      </c>
      <c r="AQ122" s="233">
        <f t="shared" si="723"/>
        <v>0.62511170984078523</v>
      </c>
      <c r="AR122" s="233">
        <f t="shared" si="723"/>
        <v>0.61291512570210727</v>
      </c>
      <c r="AS122" s="233">
        <f>EXP(-AS121*AS120)</f>
        <v>0.60096677192088976</v>
      </c>
      <c r="AT122" s="233">
        <f t="shared" ref="AT122:CA122" si="724">EXP(-AT121*AT120)</f>
        <v>0.58881196371534983</v>
      </c>
      <c r="AU122" s="233">
        <f t="shared" si="724"/>
        <v>0.57699849081930754</v>
      </c>
      <c r="AV122" s="233">
        <f t="shared" si="724"/>
        <v>0.5650084080522273</v>
      </c>
      <c r="AW122" s="233">
        <f t="shared" si="724"/>
        <v>0.55338047577544303</v>
      </c>
      <c r="AX122" s="233">
        <f t="shared" si="724"/>
        <v>0.54160325265268827</v>
      </c>
      <c r="AY122" s="233">
        <f t="shared" si="724"/>
        <v>0.53020438059969011</v>
      </c>
      <c r="AZ122" s="233">
        <f t="shared" si="724"/>
        <v>0.51874386549852358</v>
      </c>
      <c r="BA122" s="233">
        <f t="shared" si="724"/>
        <v>0.50760984726293379</v>
      </c>
      <c r="BB122" s="233">
        <f t="shared" si="724"/>
        <v>0.49637330019017217</v>
      </c>
      <c r="BC122" s="233">
        <f t="shared" si="724"/>
        <v>0.48553482026104355</v>
      </c>
      <c r="BD122" s="233">
        <f t="shared" si="724"/>
        <v>0.4746133935195499</v>
      </c>
      <c r="BE122" s="233">
        <f t="shared" si="724"/>
        <v>0.46409429384568901</v>
      </c>
      <c r="BF122" s="233">
        <f t="shared" si="724"/>
        <v>0.45350941443970783</v>
      </c>
      <c r="BG122" s="233">
        <f t="shared" si="724"/>
        <v>0.4433278992206684</v>
      </c>
      <c r="BH122" s="233">
        <f t="shared" si="724"/>
        <v>0.43315123355167062</v>
      </c>
      <c r="BI122" s="233">
        <f t="shared" si="724"/>
        <v>0.42331943212852047</v>
      </c>
      <c r="BJ122" s="233">
        <f t="shared" si="724"/>
        <v>0.41344953678137492</v>
      </c>
      <c r="BK122" s="233">
        <f t="shared" si="724"/>
        <v>0.40397701244231576</v>
      </c>
      <c r="BL122" s="233">
        <f t="shared" si="724"/>
        <v>0.39447730844670625</v>
      </c>
      <c r="BM122" s="233">
        <f t="shared" si="724"/>
        <v>0.38536869673183693</v>
      </c>
      <c r="BN122" s="233">
        <f t="shared" si="724"/>
        <v>0.37624210158481147</v>
      </c>
      <c r="BO122" s="233">
        <f t="shared" si="724"/>
        <v>0.3674986035506918</v>
      </c>
      <c r="BP122" s="233">
        <f t="shared" si="724"/>
        <v>0.35879237029215916</v>
      </c>
      <c r="BQ122" s="233">
        <f t="shared" si="724"/>
        <v>0.35041125235605602</v>
      </c>
      <c r="BR122" s="233">
        <f t="shared" si="724"/>
        <v>0.34202610696278607</v>
      </c>
      <c r="BS122" s="233">
        <f t="shared" si="724"/>
        <v>0.33400419682862553</v>
      </c>
      <c r="BT122" s="233">
        <f t="shared" si="724"/>
        <v>0.32598338405377825</v>
      </c>
      <c r="BU122" s="233">
        <f t="shared" si="724"/>
        <v>0.3183144591698161</v>
      </c>
      <c r="BV122" s="233">
        <f t="shared" si="724"/>
        <v>0.31065072538418403</v>
      </c>
      <c r="BW122" s="233">
        <f t="shared" si="724"/>
        <v>0.30332691030190312</v>
      </c>
      <c r="BX122" s="233">
        <f t="shared" si="724"/>
        <v>0.29605121328206224</v>
      </c>
      <c r="BY122" s="233">
        <f t="shared" si="724"/>
        <v>0.28906240226151392</v>
      </c>
      <c r="BZ122" s="233">
        <f t="shared" si="724"/>
        <v>0.2820844293439968</v>
      </c>
      <c r="CA122" s="233">
        <f t="shared" si="724"/>
        <v>0.27542137501890734</v>
      </c>
      <c r="CB122" s="233">
        <f>EXP(-CB121*CB120)</f>
        <v>0.2687709651650399</v>
      </c>
      <c r="CC122" s="19"/>
      <c r="CD122" s="19"/>
      <c r="CE122" s="19"/>
    </row>
    <row r="123" spans="1:115">
      <c r="A123" s="130"/>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c r="AY123" s="7"/>
      <c r="AZ123" s="7"/>
      <c r="BA123" s="7"/>
      <c r="BB123" s="7"/>
      <c r="BC123" s="7"/>
      <c r="BD123" s="7"/>
      <c r="BE123" s="7"/>
      <c r="BF123" s="7"/>
      <c r="BG123" s="7"/>
      <c r="BH123" s="7"/>
      <c r="BI123" s="7"/>
      <c r="BJ123" s="7"/>
      <c r="BK123" s="7"/>
      <c r="BL123" s="7"/>
      <c r="BM123" s="7"/>
      <c r="BN123" s="7"/>
      <c r="BO123" s="7"/>
      <c r="BP123" s="7"/>
      <c r="BQ123" s="7"/>
      <c r="BR123" s="7"/>
      <c r="BS123" s="7"/>
      <c r="BT123" s="7"/>
      <c r="BU123" s="7"/>
      <c r="BV123" s="7"/>
      <c r="BW123" s="7"/>
      <c r="BX123" s="7"/>
      <c r="BY123" s="7"/>
      <c r="BZ123" s="7"/>
      <c r="CA123" s="7"/>
      <c r="CB123" s="7"/>
      <c r="CC123" s="19"/>
      <c r="CD123" s="19"/>
      <c r="CE123" s="19"/>
    </row>
    <row r="124" spans="1:115">
      <c r="A124" s="16" t="s">
        <v>40</v>
      </c>
      <c r="B124" s="233">
        <f t="shared" ref="B124:AG124" si="725">DAYS360($B$3,B44)</f>
        <v>-43022</v>
      </c>
      <c r="C124" s="233">
        <f t="shared" si="725"/>
        <v>-42842</v>
      </c>
      <c r="D124" s="233">
        <f t="shared" si="725"/>
        <v>-42662</v>
      </c>
      <c r="E124" s="233">
        <f t="shared" si="725"/>
        <v>-42482</v>
      </c>
      <c r="F124" s="233">
        <f t="shared" si="725"/>
        <v>-42302</v>
      </c>
      <c r="G124" s="233">
        <f t="shared" si="725"/>
        <v>-42122</v>
      </c>
      <c r="H124" s="233">
        <f t="shared" si="725"/>
        <v>-41942</v>
      </c>
      <c r="I124" s="233">
        <f t="shared" si="725"/>
        <v>-41762</v>
      </c>
      <c r="J124" s="233">
        <f t="shared" si="725"/>
        <v>-41582</v>
      </c>
      <c r="K124" s="233">
        <f t="shared" si="725"/>
        <v>-41403</v>
      </c>
      <c r="L124" s="233">
        <f t="shared" si="725"/>
        <v>-41223</v>
      </c>
      <c r="M124" s="233">
        <f t="shared" si="725"/>
        <v>-41043</v>
      </c>
      <c r="N124" s="233">
        <f t="shared" si="725"/>
        <v>-40863</v>
      </c>
      <c r="O124" s="233">
        <f t="shared" si="725"/>
        <v>-40683</v>
      </c>
      <c r="P124" s="233">
        <f t="shared" si="725"/>
        <v>-40503</v>
      </c>
      <c r="Q124" s="233">
        <f t="shared" si="725"/>
        <v>-40323</v>
      </c>
      <c r="R124" s="233">
        <f t="shared" si="725"/>
        <v>-40143</v>
      </c>
      <c r="S124" s="233">
        <f t="shared" si="725"/>
        <v>-39964</v>
      </c>
      <c r="T124" s="233">
        <f t="shared" si="725"/>
        <v>-39784</v>
      </c>
      <c r="U124" s="233">
        <f t="shared" si="725"/>
        <v>-39604</v>
      </c>
      <c r="V124" s="233">
        <f t="shared" si="725"/>
        <v>-39424</v>
      </c>
      <c r="W124" s="233">
        <f t="shared" si="725"/>
        <v>-39244</v>
      </c>
      <c r="X124" s="233">
        <f t="shared" si="725"/>
        <v>-39064</v>
      </c>
      <c r="Y124" s="233">
        <f t="shared" si="725"/>
        <v>-38884</v>
      </c>
      <c r="Z124" s="233">
        <f t="shared" si="725"/>
        <v>-38704</v>
      </c>
      <c r="AA124" s="233">
        <f t="shared" si="725"/>
        <v>-38525</v>
      </c>
      <c r="AB124" s="233">
        <f t="shared" si="725"/>
        <v>-38345</v>
      </c>
      <c r="AC124" s="233">
        <f t="shared" si="725"/>
        <v>-38165</v>
      </c>
      <c r="AD124" s="233">
        <f t="shared" si="725"/>
        <v>-37985</v>
      </c>
      <c r="AE124" s="233">
        <f t="shared" si="725"/>
        <v>-37805</v>
      </c>
      <c r="AF124" s="233">
        <f t="shared" si="725"/>
        <v>-37625</v>
      </c>
      <c r="AG124" s="233">
        <f t="shared" si="725"/>
        <v>-37445</v>
      </c>
      <c r="AH124" s="233">
        <f t="shared" ref="AH124:BM124" si="726">DAYS360($B$3,AH44)</f>
        <v>-37265</v>
      </c>
      <c r="AI124" s="233">
        <f t="shared" si="726"/>
        <v>-37086</v>
      </c>
      <c r="AJ124" s="233">
        <f t="shared" si="726"/>
        <v>-36906</v>
      </c>
      <c r="AK124" s="233">
        <f t="shared" si="726"/>
        <v>-36726</v>
      </c>
      <c r="AL124" s="233">
        <f t="shared" si="726"/>
        <v>-36546</v>
      </c>
      <c r="AM124" s="233">
        <f t="shared" si="726"/>
        <v>-36366</v>
      </c>
      <c r="AN124" s="233">
        <f t="shared" si="726"/>
        <v>-36186</v>
      </c>
      <c r="AO124" s="233">
        <f t="shared" si="726"/>
        <v>-36006</v>
      </c>
      <c r="AP124" s="233">
        <f t="shared" si="726"/>
        <v>-35826</v>
      </c>
      <c r="AQ124" s="233">
        <f t="shared" si="726"/>
        <v>-35647</v>
      </c>
      <c r="AR124" s="233">
        <f t="shared" si="726"/>
        <v>-35467</v>
      </c>
      <c r="AS124" s="233">
        <f t="shared" si="726"/>
        <v>-35287</v>
      </c>
      <c r="AT124" s="233">
        <f t="shared" si="726"/>
        <v>-35107</v>
      </c>
      <c r="AU124" s="233">
        <f t="shared" si="726"/>
        <v>-34927</v>
      </c>
      <c r="AV124" s="233">
        <f t="shared" si="726"/>
        <v>-34747</v>
      </c>
      <c r="AW124" s="233">
        <f t="shared" si="726"/>
        <v>-34567</v>
      </c>
      <c r="AX124" s="233">
        <f t="shared" si="726"/>
        <v>-34387</v>
      </c>
      <c r="AY124" s="233">
        <f t="shared" si="726"/>
        <v>-34208</v>
      </c>
      <c r="AZ124" s="233">
        <f t="shared" si="726"/>
        <v>-34028</v>
      </c>
      <c r="BA124" s="233">
        <f t="shared" si="726"/>
        <v>-33848</v>
      </c>
      <c r="BB124" s="233">
        <f t="shared" si="726"/>
        <v>-33668</v>
      </c>
      <c r="BC124" s="233">
        <f t="shared" si="726"/>
        <v>-33488</v>
      </c>
      <c r="BD124" s="233">
        <f t="shared" si="726"/>
        <v>-33308</v>
      </c>
      <c r="BE124" s="233">
        <f t="shared" si="726"/>
        <v>-33128</v>
      </c>
      <c r="BF124" s="233">
        <f t="shared" si="726"/>
        <v>-32948</v>
      </c>
      <c r="BG124" s="233">
        <f t="shared" si="726"/>
        <v>-32769</v>
      </c>
      <c r="BH124" s="233">
        <f t="shared" si="726"/>
        <v>-32589</v>
      </c>
      <c r="BI124" s="233">
        <f t="shared" si="726"/>
        <v>-32409</v>
      </c>
      <c r="BJ124" s="233">
        <f t="shared" si="726"/>
        <v>-32229</v>
      </c>
      <c r="BK124" s="233">
        <f t="shared" si="726"/>
        <v>-32049</v>
      </c>
      <c r="BL124" s="233">
        <f t="shared" si="726"/>
        <v>-31869</v>
      </c>
      <c r="BM124" s="233">
        <f t="shared" si="726"/>
        <v>-31689</v>
      </c>
      <c r="BN124" s="233">
        <f t="shared" ref="BN124:CB124" si="727">DAYS360($B$3,BN44)</f>
        <v>-31509</v>
      </c>
      <c r="BO124" s="233">
        <f t="shared" si="727"/>
        <v>-31330</v>
      </c>
      <c r="BP124" s="233">
        <f t="shared" si="727"/>
        <v>-31150</v>
      </c>
      <c r="BQ124" s="233">
        <f t="shared" si="727"/>
        <v>-30970</v>
      </c>
      <c r="BR124" s="233">
        <f t="shared" si="727"/>
        <v>-30790</v>
      </c>
      <c r="BS124" s="233">
        <f t="shared" si="727"/>
        <v>-30610</v>
      </c>
      <c r="BT124" s="233">
        <f t="shared" si="727"/>
        <v>-30430</v>
      </c>
      <c r="BU124" s="233">
        <f t="shared" si="727"/>
        <v>-30250</v>
      </c>
      <c r="BV124" s="233">
        <f t="shared" si="727"/>
        <v>-30070</v>
      </c>
      <c r="BW124" s="233">
        <f t="shared" si="727"/>
        <v>-29891</v>
      </c>
      <c r="BX124" s="233">
        <f t="shared" si="727"/>
        <v>-29711</v>
      </c>
      <c r="BY124" s="233">
        <f t="shared" si="727"/>
        <v>-29531</v>
      </c>
      <c r="BZ124" s="233">
        <f t="shared" si="727"/>
        <v>-29351</v>
      </c>
      <c r="CA124" s="233">
        <f t="shared" si="727"/>
        <v>-29171</v>
      </c>
      <c r="CB124" s="233">
        <f t="shared" si="727"/>
        <v>-28991</v>
      </c>
      <c r="CC124" s="19"/>
      <c r="CD124" s="19"/>
      <c r="CE124" s="19"/>
    </row>
    <row r="125" spans="1:115">
      <c r="A125" s="16" t="s">
        <v>41</v>
      </c>
      <c r="B125" s="233">
        <f>B124/360</f>
        <v>-119.50555555555556</v>
      </c>
      <c r="C125" s="233">
        <f t="shared" ref="C125:BN125" si="728">C124/360</f>
        <v>-119.00555555555556</v>
      </c>
      <c r="D125" s="233">
        <f t="shared" si="728"/>
        <v>-118.50555555555556</v>
      </c>
      <c r="E125" s="233">
        <f t="shared" si="728"/>
        <v>-118.00555555555556</v>
      </c>
      <c r="F125" s="233">
        <f t="shared" si="728"/>
        <v>-117.50555555555556</v>
      </c>
      <c r="G125" s="233">
        <f t="shared" si="728"/>
        <v>-117.00555555555556</v>
      </c>
      <c r="H125" s="233">
        <f t="shared" si="728"/>
        <v>-116.50555555555556</v>
      </c>
      <c r="I125" s="233">
        <f t="shared" si="728"/>
        <v>-116.00555555555556</v>
      </c>
      <c r="J125" s="233">
        <f t="shared" si="728"/>
        <v>-115.50555555555556</v>
      </c>
      <c r="K125" s="233">
        <f t="shared" si="728"/>
        <v>-115.00833333333334</v>
      </c>
      <c r="L125" s="233">
        <f t="shared" si="728"/>
        <v>-114.50833333333334</v>
      </c>
      <c r="M125" s="233">
        <f t="shared" si="728"/>
        <v>-114.00833333333334</v>
      </c>
      <c r="N125" s="233">
        <f t="shared" si="728"/>
        <v>-113.50833333333334</v>
      </c>
      <c r="O125" s="233">
        <f t="shared" si="728"/>
        <v>-113.00833333333334</v>
      </c>
      <c r="P125" s="233">
        <f t="shared" si="728"/>
        <v>-112.50833333333334</v>
      </c>
      <c r="Q125" s="233">
        <f t="shared" si="728"/>
        <v>-112.00833333333334</v>
      </c>
      <c r="R125" s="233">
        <f t="shared" si="728"/>
        <v>-111.50833333333334</v>
      </c>
      <c r="S125" s="233">
        <f t="shared" si="728"/>
        <v>-111.01111111111111</v>
      </c>
      <c r="T125" s="233">
        <f t="shared" si="728"/>
        <v>-110.51111111111111</v>
      </c>
      <c r="U125" s="233">
        <f t="shared" si="728"/>
        <v>-110.01111111111111</v>
      </c>
      <c r="V125" s="233">
        <f t="shared" si="728"/>
        <v>-109.51111111111111</v>
      </c>
      <c r="W125" s="233">
        <f t="shared" si="728"/>
        <v>-109.01111111111111</v>
      </c>
      <c r="X125" s="233">
        <f t="shared" si="728"/>
        <v>-108.51111111111111</v>
      </c>
      <c r="Y125" s="233">
        <f t="shared" si="728"/>
        <v>-108.01111111111111</v>
      </c>
      <c r="Z125" s="233">
        <f t="shared" si="728"/>
        <v>-107.51111111111111</v>
      </c>
      <c r="AA125" s="233">
        <f t="shared" si="728"/>
        <v>-107.01388888888889</v>
      </c>
      <c r="AB125" s="233">
        <f t="shared" si="728"/>
        <v>-106.51388888888889</v>
      </c>
      <c r="AC125" s="233">
        <f t="shared" si="728"/>
        <v>-106.01388888888889</v>
      </c>
      <c r="AD125" s="233">
        <f t="shared" si="728"/>
        <v>-105.51388888888889</v>
      </c>
      <c r="AE125" s="233">
        <f t="shared" si="728"/>
        <v>-105.01388888888889</v>
      </c>
      <c r="AF125" s="233">
        <f t="shared" si="728"/>
        <v>-104.51388888888889</v>
      </c>
      <c r="AG125" s="233">
        <f t="shared" si="728"/>
        <v>-104.01388888888889</v>
      </c>
      <c r="AH125" s="233">
        <f t="shared" si="728"/>
        <v>-103.51388888888889</v>
      </c>
      <c r="AI125" s="233">
        <f t="shared" si="728"/>
        <v>-103.01666666666667</v>
      </c>
      <c r="AJ125" s="233">
        <f t="shared" si="728"/>
        <v>-102.51666666666667</v>
      </c>
      <c r="AK125" s="233">
        <f t="shared" si="728"/>
        <v>-102.01666666666667</v>
      </c>
      <c r="AL125" s="233">
        <f t="shared" si="728"/>
        <v>-101.51666666666667</v>
      </c>
      <c r="AM125" s="233">
        <f t="shared" si="728"/>
        <v>-101.01666666666667</v>
      </c>
      <c r="AN125" s="233">
        <f t="shared" si="728"/>
        <v>-100.51666666666667</v>
      </c>
      <c r="AO125" s="233">
        <f t="shared" si="728"/>
        <v>-100.01666666666667</v>
      </c>
      <c r="AP125" s="233">
        <f t="shared" si="728"/>
        <v>-99.516666666666666</v>
      </c>
      <c r="AQ125" s="233">
        <f t="shared" si="728"/>
        <v>-99.019444444444446</v>
      </c>
      <c r="AR125" s="233">
        <f t="shared" si="728"/>
        <v>-98.519444444444446</v>
      </c>
      <c r="AS125" s="233">
        <f t="shared" si="728"/>
        <v>-98.019444444444446</v>
      </c>
      <c r="AT125" s="233">
        <f t="shared" si="728"/>
        <v>-97.519444444444446</v>
      </c>
      <c r="AU125" s="233">
        <f t="shared" si="728"/>
        <v>-97.019444444444446</v>
      </c>
      <c r="AV125" s="233">
        <f t="shared" si="728"/>
        <v>-96.519444444444446</v>
      </c>
      <c r="AW125" s="233">
        <f t="shared" si="728"/>
        <v>-96.019444444444446</v>
      </c>
      <c r="AX125" s="233">
        <f t="shared" si="728"/>
        <v>-95.519444444444446</v>
      </c>
      <c r="AY125" s="233">
        <f t="shared" si="728"/>
        <v>-95.022222222222226</v>
      </c>
      <c r="AZ125" s="233">
        <f t="shared" si="728"/>
        <v>-94.522222222222226</v>
      </c>
      <c r="BA125" s="233">
        <f t="shared" si="728"/>
        <v>-94.022222222222226</v>
      </c>
      <c r="BB125" s="233">
        <f t="shared" si="728"/>
        <v>-93.522222222222226</v>
      </c>
      <c r="BC125" s="233">
        <f t="shared" si="728"/>
        <v>-93.022222222222226</v>
      </c>
      <c r="BD125" s="233">
        <f t="shared" si="728"/>
        <v>-92.522222222222226</v>
      </c>
      <c r="BE125" s="233">
        <f t="shared" si="728"/>
        <v>-92.022222222222226</v>
      </c>
      <c r="BF125" s="233">
        <f t="shared" si="728"/>
        <v>-91.522222222222226</v>
      </c>
      <c r="BG125" s="233">
        <f t="shared" si="728"/>
        <v>-91.025000000000006</v>
      </c>
      <c r="BH125" s="233">
        <f t="shared" si="728"/>
        <v>-90.525000000000006</v>
      </c>
      <c r="BI125" s="233">
        <f t="shared" si="728"/>
        <v>-90.025000000000006</v>
      </c>
      <c r="BJ125" s="233">
        <f t="shared" si="728"/>
        <v>-89.525000000000006</v>
      </c>
      <c r="BK125" s="233">
        <f t="shared" si="728"/>
        <v>-89.025000000000006</v>
      </c>
      <c r="BL125" s="233">
        <f t="shared" si="728"/>
        <v>-88.525000000000006</v>
      </c>
      <c r="BM125" s="233">
        <f t="shared" si="728"/>
        <v>-88.025000000000006</v>
      </c>
      <c r="BN125" s="233">
        <f t="shared" si="728"/>
        <v>-87.525000000000006</v>
      </c>
      <c r="BO125" s="233">
        <f t="shared" ref="BO125:CB125" si="729">BO124/360</f>
        <v>-87.027777777777771</v>
      </c>
      <c r="BP125" s="233">
        <f t="shared" si="729"/>
        <v>-86.527777777777771</v>
      </c>
      <c r="BQ125" s="233">
        <f t="shared" si="729"/>
        <v>-86.027777777777771</v>
      </c>
      <c r="BR125" s="233">
        <f t="shared" si="729"/>
        <v>-85.527777777777771</v>
      </c>
      <c r="BS125" s="233">
        <f t="shared" si="729"/>
        <v>-85.027777777777771</v>
      </c>
      <c r="BT125" s="233">
        <f t="shared" si="729"/>
        <v>-84.527777777777771</v>
      </c>
      <c r="BU125" s="233">
        <f t="shared" si="729"/>
        <v>-84.027777777777771</v>
      </c>
      <c r="BV125" s="233">
        <f t="shared" si="729"/>
        <v>-83.527777777777771</v>
      </c>
      <c r="BW125" s="233">
        <f t="shared" si="729"/>
        <v>-83.030555555555551</v>
      </c>
      <c r="BX125" s="233">
        <f t="shared" si="729"/>
        <v>-82.530555555555551</v>
      </c>
      <c r="BY125" s="233">
        <f t="shared" si="729"/>
        <v>-82.030555555555551</v>
      </c>
      <c r="BZ125" s="233">
        <f t="shared" si="729"/>
        <v>-81.530555555555551</v>
      </c>
      <c r="CA125" s="233">
        <f t="shared" si="729"/>
        <v>-81.030555555555551</v>
      </c>
      <c r="CB125" s="233">
        <f t="shared" si="729"/>
        <v>-80.530555555555551</v>
      </c>
      <c r="CC125" s="19"/>
      <c r="CD125" s="19"/>
      <c r="CE125" s="19"/>
    </row>
    <row r="126" spans="1:115">
      <c r="A126" s="16" t="s">
        <v>43</v>
      </c>
      <c r="B126" s="233">
        <f>IF(B124&lt;0,0,$B$5+$B$6*((1-EXP(-B125/$B$9))/(B125/$B$9))+$B$7*((1-EXP(-B125/$B$9))/(B125/$B$9)-EXP(-B125/$B$9))+$B$8*((1-EXP(-B125/$B$10))/(B125/$B$10)-EXP(-B125/$B$10)))</f>
        <v>0</v>
      </c>
      <c r="C126" s="233">
        <f t="shared" ref="C126:BN126" si="730">IF(C124&lt;0,0,$B$5+$B$6*((1-EXP(-C125/$B$9))/(C125/$B$9))+$B$7*((1-EXP(-C125/$B$9))/(C125/$B$9)-EXP(-C125/$B$9))+$B$8*((1-EXP(-C125/$B$10))/(C125/$B$10)-EXP(-C125/$B$10)))</f>
        <v>0</v>
      </c>
      <c r="D126" s="233">
        <f t="shared" si="730"/>
        <v>0</v>
      </c>
      <c r="E126" s="233">
        <f t="shared" si="730"/>
        <v>0</v>
      </c>
      <c r="F126" s="233">
        <f t="shared" si="730"/>
        <v>0</v>
      </c>
      <c r="G126" s="233">
        <f t="shared" si="730"/>
        <v>0</v>
      </c>
      <c r="H126" s="233">
        <f t="shared" si="730"/>
        <v>0</v>
      </c>
      <c r="I126" s="233">
        <f t="shared" si="730"/>
        <v>0</v>
      </c>
      <c r="J126" s="233">
        <f t="shared" si="730"/>
        <v>0</v>
      </c>
      <c r="K126" s="233">
        <f t="shared" si="730"/>
        <v>0</v>
      </c>
      <c r="L126" s="233">
        <f t="shared" si="730"/>
        <v>0</v>
      </c>
      <c r="M126" s="233">
        <f t="shared" si="730"/>
        <v>0</v>
      </c>
      <c r="N126" s="233">
        <f t="shared" si="730"/>
        <v>0</v>
      </c>
      <c r="O126" s="233">
        <f t="shared" si="730"/>
        <v>0</v>
      </c>
      <c r="P126" s="233">
        <f t="shared" si="730"/>
        <v>0</v>
      </c>
      <c r="Q126" s="233">
        <f t="shared" si="730"/>
        <v>0</v>
      </c>
      <c r="R126" s="233">
        <f t="shared" si="730"/>
        <v>0</v>
      </c>
      <c r="S126" s="233">
        <f t="shared" si="730"/>
        <v>0</v>
      </c>
      <c r="T126" s="233">
        <f t="shared" si="730"/>
        <v>0</v>
      </c>
      <c r="U126" s="233">
        <f t="shared" si="730"/>
        <v>0</v>
      </c>
      <c r="V126" s="233">
        <f t="shared" si="730"/>
        <v>0</v>
      </c>
      <c r="W126" s="233">
        <f t="shared" si="730"/>
        <v>0</v>
      </c>
      <c r="X126" s="233">
        <f t="shared" si="730"/>
        <v>0</v>
      </c>
      <c r="Y126" s="233">
        <f t="shared" si="730"/>
        <v>0</v>
      </c>
      <c r="Z126" s="233">
        <f t="shared" si="730"/>
        <v>0</v>
      </c>
      <c r="AA126" s="233">
        <f t="shared" si="730"/>
        <v>0</v>
      </c>
      <c r="AB126" s="233">
        <f t="shared" si="730"/>
        <v>0</v>
      </c>
      <c r="AC126" s="233">
        <f t="shared" si="730"/>
        <v>0</v>
      </c>
      <c r="AD126" s="233">
        <f t="shared" si="730"/>
        <v>0</v>
      </c>
      <c r="AE126" s="233">
        <f t="shared" si="730"/>
        <v>0</v>
      </c>
      <c r="AF126" s="233">
        <f t="shared" si="730"/>
        <v>0</v>
      </c>
      <c r="AG126" s="233">
        <f t="shared" si="730"/>
        <v>0</v>
      </c>
      <c r="AH126" s="233">
        <f t="shared" si="730"/>
        <v>0</v>
      </c>
      <c r="AI126" s="233">
        <f t="shared" si="730"/>
        <v>0</v>
      </c>
      <c r="AJ126" s="233">
        <f t="shared" si="730"/>
        <v>0</v>
      </c>
      <c r="AK126" s="233">
        <f t="shared" si="730"/>
        <v>0</v>
      </c>
      <c r="AL126" s="233">
        <f t="shared" si="730"/>
        <v>0</v>
      </c>
      <c r="AM126" s="233">
        <f t="shared" si="730"/>
        <v>0</v>
      </c>
      <c r="AN126" s="233">
        <f t="shared" si="730"/>
        <v>0</v>
      </c>
      <c r="AO126" s="233">
        <f t="shared" si="730"/>
        <v>0</v>
      </c>
      <c r="AP126" s="233">
        <f t="shared" si="730"/>
        <v>0</v>
      </c>
      <c r="AQ126" s="233">
        <f t="shared" si="730"/>
        <v>0</v>
      </c>
      <c r="AR126" s="233">
        <f t="shared" si="730"/>
        <v>0</v>
      </c>
      <c r="AS126" s="233">
        <f t="shared" si="730"/>
        <v>0</v>
      </c>
      <c r="AT126" s="233">
        <f t="shared" si="730"/>
        <v>0</v>
      </c>
      <c r="AU126" s="233">
        <f t="shared" si="730"/>
        <v>0</v>
      </c>
      <c r="AV126" s="233">
        <f t="shared" si="730"/>
        <v>0</v>
      </c>
      <c r="AW126" s="233">
        <f t="shared" si="730"/>
        <v>0</v>
      </c>
      <c r="AX126" s="233">
        <f t="shared" si="730"/>
        <v>0</v>
      </c>
      <c r="AY126" s="233">
        <f t="shared" si="730"/>
        <v>0</v>
      </c>
      <c r="AZ126" s="233">
        <f t="shared" si="730"/>
        <v>0</v>
      </c>
      <c r="BA126" s="233">
        <f t="shared" si="730"/>
        <v>0</v>
      </c>
      <c r="BB126" s="233">
        <f t="shared" si="730"/>
        <v>0</v>
      </c>
      <c r="BC126" s="233">
        <f t="shared" si="730"/>
        <v>0</v>
      </c>
      <c r="BD126" s="233">
        <f t="shared" si="730"/>
        <v>0</v>
      </c>
      <c r="BE126" s="233">
        <f t="shared" si="730"/>
        <v>0</v>
      </c>
      <c r="BF126" s="233">
        <f t="shared" si="730"/>
        <v>0</v>
      </c>
      <c r="BG126" s="233">
        <f t="shared" si="730"/>
        <v>0</v>
      </c>
      <c r="BH126" s="233">
        <f t="shared" si="730"/>
        <v>0</v>
      </c>
      <c r="BI126" s="233">
        <f t="shared" si="730"/>
        <v>0</v>
      </c>
      <c r="BJ126" s="233">
        <f t="shared" si="730"/>
        <v>0</v>
      </c>
      <c r="BK126" s="233">
        <f t="shared" si="730"/>
        <v>0</v>
      </c>
      <c r="BL126" s="233">
        <f t="shared" si="730"/>
        <v>0</v>
      </c>
      <c r="BM126" s="233">
        <f t="shared" si="730"/>
        <v>0</v>
      </c>
      <c r="BN126" s="233">
        <f t="shared" si="730"/>
        <v>0</v>
      </c>
      <c r="BO126" s="233">
        <f t="shared" ref="BO126:CB126" si="731">IF(BO124&lt;0,0,$B$5+$B$6*((1-EXP(-BO125/$B$9))/(BO125/$B$9))+$B$7*((1-EXP(-BO125/$B$9))/(BO125/$B$9)-EXP(-BO125/$B$9))+$B$8*((1-EXP(-BO125/$B$10))/(BO125/$B$10)-EXP(-BO125/$B$10)))</f>
        <v>0</v>
      </c>
      <c r="BP126" s="233">
        <f t="shared" si="731"/>
        <v>0</v>
      </c>
      <c r="BQ126" s="233">
        <f t="shared" si="731"/>
        <v>0</v>
      </c>
      <c r="BR126" s="233">
        <f t="shared" si="731"/>
        <v>0</v>
      </c>
      <c r="BS126" s="233">
        <f t="shared" si="731"/>
        <v>0</v>
      </c>
      <c r="BT126" s="233">
        <f t="shared" si="731"/>
        <v>0</v>
      </c>
      <c r="BU126" s="233">
        <f t="shared" si="731"/>
        <v>0</v>
      </c>
      <c r="BV126" s="233">
        <f t="shared" si="731"/>
        <v>0</v>
      </c>
      <c r="BW126" s="233">
        <f t="shared" si="731"/>
        <v>0</v>
      </c>
      <c r="BX126" s="233">
        <f t="shared" si="731"/>
        <v>0</v>
      </c>
      <c r="BY126" s="233">
        <f t="shared" si="731"/>
        <v>0</v>
      </c>
      <c r="BZ126" s="233">
        <f t="shared" si="731"/>
        <v>0</v>
      </c>
      <c r="CA126" s="233">
        <f t="shared" si="731"/>
        <v>0</v>
      </c>
      <c r="CB126" s="233">
        <f t="shared" si="731"/>
        <v>0</v>
      </c>
      <c r="CC126" s="19"/>
      <c r="CD126" s="19"/>
      <c r="CE126" s="19"/>
    </row>
    <row r="127" spans="1:115">
      <c r="A127" s="16" t="s">
        <v>44</v>
      </c>
      <c r="B127" s="233">
        <f>EXP(-B126*B125)</f>
        <v>1</v>
      </c>
      <c r="C127" s="233">
        <f t="shared" ref="C127:AR127" si="732">EXP(-C126*C125)</f>
        <v>1</v>
      </c>
      <c r="D127" s="233">
        <f t="shared" si="732"/>
        <v>1</v>
      </c>
      <c r="E127" s="233">
        <f t="shared" si="732"/>
        <v>1</v>
      </c>
      <c r="F127" s="233">
        <f t="shared" si="732"/>
        <v>1</v>
      </c>
      <c r="G127" s="233">
        <f t="shared" si="732"/>
        <v>1</v>
      </c>
      <c r="H127" s="233">
        <f t="shared" si="732"/>
        <v>1</v>
      </c>
      <c r="I127" s="233">
        <f t="shared" si="732"/>
        <v>1</v>
      </c>
      <c r="J127" s="233">
        <f t="shared" si="732"/>
        <v>1</v>
      </c>
      <c r="K127" s="233">
        <f t="shared" si="732"/>
        <v>1</v>
      </c>
      <c r="L127" s="233">
        <f t="shared" si="732"/>
        <v>1</v>
      </c>
      <c r="M127" s="233">
        <f t="shared" si="732"/>
        <v>1</v>
      </c>
      <c r="N127" s="233">
        <f t="shared" si="732"/>
        <v>1</v>
      </c>
      <c r="O127" s="233">
        <f t="shared" si="732"/>
        <v>1</v>
      </c>
      <c r="P127" s="233">
        <f t="shared" si="732"/>
        <v>1</v>
      </c>
      <c r="Q127" s="233">
        <f t="shared" si="732"/>
        <v>1</v>
      </c>
      <c r="R127" s="233">
        <f t="shared" si="732"/>
        <v>1</v>
      </c>
      <c r="S127" s="233">
        <f t="shared" si="732"/>
        <v>1</v>
      </c>
      <c r="T127" s="233">
        <f t="shared" si="732"/>
        <v>1</v>
      </c>
      <c r="U127" s="233">
        <f t="shared" si="732"/>
        <v>1</v>
      </c>
      <c r="V127" s="233">
        <f t="shared" si="732"/>
        <v>1</v>
      </c>
      <c r="W127" s="233">
        <f t="shared" si="732"/>
        <v>1</v>
      </c>
      <c r="X127" s="233">
        <f t="shared" si="732"/>
        <v>1</v>
      </c>
      <c r="Y127" s="233">
        <f t="shared" si="732"/>
        <v>1</v>
      </c>
      <c r="Z127" s="233">
        <f t="shared" si="732"/>
        <v>1</v>
      </c>
      <c r="AA127" s="233">
        <f t="shared" si="732"/>
        <v>1</v>
      </c>
      <c r="AB127" s="233">
        <f t="shared" si="732"/>
        <v>1</v>
      </c>
      <c r="AC127" s="233">
        <f t="shared" si="732"/>
        <v>1</v>
      </c>
      <c r="AD127" s="233">
        <f t="shared" si="732"/>
        <v>1</v>
      </c>
      <c r="AE127" s="233">
        <f t="shared" si="732"/>
        <v>1</v>
      </c>
      <c r="AF127" s="233">
        <f t="shared" si="732"/>
        <v>1</v>
      </c>
      <c r="AG127" s="233">
        <f t="shared" si="732"/>
        <v>1</v>
      </c>
      <c r="AH127" s="233">
        <f t="shared" si="732"/>
        <v>1</v>
      </c>
      <c r="AI127" s="233">
        <f t="shared" si="732"/>
        <v>1</v>
      </c>
      <c r="AJ127" s="233">
        <f t="shared" si="732"/>
        <v>1</v>
      </c>
      <c r="AK127" s="233">
        <f t="shared" si="732"/>
        <v>1</v>
      </c>
      <c r="AL127" s="233">
        <f t="shared" si="732"/>
        <v>1</v>
      </c>
      <c r="AM127" s="233">
        <f t="shared" si="732"/>
        <v>1</v>
      </c>
      <c r="AN127" s="233">
        <f t="shared" si="732"/>
        <v>1</v>
      </c>
      <c r="AO127" s="233">
        <f t="shared" si="732"/>
        <v>1</v>
      </c>
      <c r="AP127" s="233">
        <f t="shared" si="732"/>
        <v>1</v>
      </c>
      <c r="AQ127" s="233">
        <f t="shared" si="732"/>
        <v>1</v>
      </c>
      <c r="AR127" s="233">
        <f t="shared" si="732"/>
        <v>1</v>
      </c>
      <c r="AS127" s="233">
        <f>EXP(-AS126*AS125)</f>
        <v>1</v>
      </c>
      <c r="AT127" s="233">
        <f t="shared" ref="AT127:CA127" si="733">EXP(-AT126*AT125)</f>
        <v>1</v>
      </c>
      <c r="AU127" s="233">
        <f t="shared" si="733"/>
        <v>1</v>
      </c>
      <c r="AV127" s="233">
        <f t="shared" si="733"/>
        <v>1</v>
      </c>
      <c r="AW127" s="233">
        <f t="shared" si="733"/>
        <v>1</v>
      </c>
      <c r="AX127" s="233">
        <f t="shared" si="733"/>
        <v>1</v>
      </c>
      <c r="AY127" s="233">
        <f t="shared" si="733"/>
        <v>1</v>
      </c>
      <c r="AZ127" s="233">
        <f t="shared" si="733"/>
        <v>1</v>
      </c>
      <c r="BA127" s="233">
        <f t="shared" si="733"/>
        <v>1</v>
      </c>
      <c r="BB127" s="233">
        <f t="shared" si="733"/>
        <v>1</v>
      </c>
      <c r="BC127" s="233">
        <f t="shared" si="733"/>
        <v>1</v>
      </c>
      <c r="BD127" s="233">
        <f t="shared" si="733"/>
        <v>1</v>
      </c>
      <c r="BE127" s="233">
        <f t="shared" si="733"/>
        <v>1</v>
      </c>
      <c r="BF127" s="233">
        <f t="shared" si="733"/>
        <v>1</v>
      </c>
      <c r="BG127" s="233">
        <f t="shared" si="733"/>
        <v>1</v>
      </c>
      <c r="BH127" s="233">
        <f t="shared" si="733"/>
        <v>1</v>
      </c>
      <c r="BI127" s="233">
        <f t="shared" si="733"/>
        <v>1</v>
      </c>
      <c r="BJ127" s="233">
        <f t="shared" si="733"/>
        <v>1</v>
      </c>
      <c r="BK127" s="233">
        <f t="shared" si="733"/>
        <v>1</v>
      </c>
      <c r="BL127" s="233">
        <f t="shared" si="733"/>
        <v>1</v>
      </c>
      <c r="BM127" s="233">
        <f t="shared" si="733"/>
        <v>1</v>
      </c>
      <c r="BN127" s="233">
        <f t="shared" si="733"/>
        <v>1</v>
      </c>
      <c r="BO127" s="233">
        <f t="shared" si="733"/>
        <v>1</v>
      </c>
      <c r="BP127" s="233">
        <f t="shared" si="733"/>
        <v>1</v>
      </c>
      <c r="BQ127" s="233">
        <f t="shared" si="733"/>
        <v>1</v>
      </c>
      <c r="BR127" s="233">
        <f t="shared" si="733"/>
        <v>1</v>
      </c>
      <c r="BS127" s="233">
        <f t="shared" si="733"/>
        <v>1</v>
      </c>
      <c r="BT127" s="233">
        <f t="shared" si="733"/>
        <v>1</v>
      </c>
      <c r="BU127" s="233">
        <f t="shared" si="733"/>
        <v>1</v>
      </c>
      <c r="BV127" s="233">
        <f t="shared" si="733"/>
        <v>1</v>
      </c>
      <c r="BW127" s="233">
        <f t="shared" si="733"/>
        <v>1</v>
      </c>
      <c r="BX127" s="233">
        <f t="shared" si="733"/>
        <v>1</v>
      </c>
      <c r="BY127" s="233">
        <f t="shared" si="733"/>
        <v>1</v>
      </c>
      <c r="BZ127" s="233">
        <f t="shared" si="733"/>
        <v>1</v>
      </c>
      <c r="CA127" s="233">
        <f t="shared" si="733"/>
        <v>1</v>
      </c>
      <c r="CB127" s="233">
        <f>EXP(-CB126*CB125)</f>
        <v>1</v>
      </c>
      <c r="CC127" s="19"/>
      <c r="CD127" s="19"/>
      <c r="CE127" s="19"/>
    </row>
    <row r="128" spans="1:115">
      <c r="A128" s="130"/>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c r="AY128" s="7"/>
      <c r="AZ128" s="7"/>
      <c r="BA128" s="7"/>
      <c r="BB128" s="7"/>
      <c r="BC128" s="7"/>
      <c r="BD128" s="7"/>
      <c r="BE128" s="7"/>
      <c r="BF128" s="7"/>
      <c r="BG128" s="7"/>
      <c r="BH128" s="7"/>
      <c r="BI128" s="7"/>
      <c r="BJ128" s="7"/>
      <c r="BK128" s="7"/>
      <c r="BL128" s="7"/>
      <c r="BM128" s="7"/>
      <c r="BN128" s="7"/>
      <c r="BO128" s="7"/>
      <c r="BP128" s="7"/>
      <c r="BQ128" s="7"/>
      <c r="BR128" s="7"/>
      <c r="BS128" s="7"/>
      <c r="BT128" s="7"/>
      <c r="BU128" s="7"/>
      <c r="BV128" s="7"/>
      <c r="BW128" s="7"/>
      <c r="BX128" s="7"/>
      <c r="BY128" s="7"/>
      <c r="BZ128" s="7"/>
      <c r="CA128" s="7"/>
      <c r="CB128" s="7"/>
      <c r="CC128" s="19"/>
      <c r="CD128" s="19"/>
      <c r="CE128" s="19"/>
    </row>
    <row r="129" spans="1:83">
      <c r="A129" s="16" t="s">
        <v>40</v>
      </c>
      <c r="B129" s="233">
        <f t="shared" ref="B129:AG129" si="734">DAYS360($B$3,B46)</f>
        <v>55</v>
      </c>
      <c r="C129" s="233">
        <f t="shared" si="734"/>
        <v>233</v>
      </c>
      <c r="D129" s="233">
        <f t="shared" si="734"/>
        <v>414</v>
      </c>
      <c r="E129" s="233">
        <f t="shared" si="734"/>
        <v>592</v>
      </c>
      <c r="F129" s="233">
        <f t="shared" si="734"/>
        <v>774</v>
      </c>
      <c r="G129" s="233">
        <f t="shared" si="734"/>
        <v>952</v>
      </c>
      <c r="H129" s="233">
        <f t="shared" si="734"/>
        <v>1134</v>
      </c>
      <c r="I129" s="233">
        <f t="shared" si="734"/>
        <v>1312</v>
      </c>
      <c r="J129" s="233">
        <f t="shared" si="734"/>
        <v>1494</v>
      </c>
      <c r="K129" s="233">
        <f t="shared" si="734"/>
        <v>1672</v>
      </c>
      <c r="L129" s="233">
        <f t="shared" si="734"/>
        <v>1853</v>
      </c>
      <c r="M129" s="233">
        <f t="shared" si="734"/>
        <v>2031</v>
      </c>
      <c r="N129" s="233">
        <f t="shared" si="734"/>
        <v>2213</v>
      </c>
      <c r="O129" s="233">
        <f t="shared" si="734"/>
        <v>2391</v>
      </c>
      <c r="P129" s="233">
        <f t="shared" si="734"/>
        <v>2573</v>
      </c>
      <c r="Q129" s="233">
        <f t="shared" si="734"/>
        <v>2751</v>
      </c>
      <c r="R129" s="233">
        <f t="shared" si="734"/>
        <v>2933</v>
      </c>
      <c r="S129" s="233">
        <f t="shared" si="734"/>
        <v>3111</v>
      </c>
      <c r="T129" s="233">
        <f t="shared" si="734"/>
        <v>3292</v>
      </c>
      <c r="U129" s="233">
        <f t="shared" si="734"/>
        <v>3470</v>
      </c>
      <c r="V129" s="233">
        <f t="shared" si="734"/>
        <v>3652</v>
      </c>
      <c r="W129" s="233">
        <f t="shared" si="734"/>
        <v>3830</v>
      </c>
      <c r="X129" s="233">
        <f t="shared" si="734"/>
        <v>4012</v>
      </c>
      <c r="Y129" s="233">
        <f t="shared" si="734"/>
        <v>4190</v>
      </c>
      <c r="Z129" s="233">
        <f t="shared" si="734"/>
        <v>4372</v>
      </c>
      <c r="AA129" s="233">
        <f t="shared" si="734"/>
        <v>4550</v>
      </c>
      <c r="AB129" s="233">
        <f t="shared" si="734"/>
        <v>4731</v>
      </c>
      <c r="AC129" s="233">
        <f t="shared" si="734"/>
        <v>4909</v>
      </c>
      <c r="AD129" s="233">
        <f t="shared" si="734"/>
        <v>5091</v>
      </c>
      <c r="AE129" s="233">
        <f t="shared" si="734"/>
        <v>5269</v>
      </c>
      <c r="AF129" s="233">
        <f t="shared" si="734"/>
        <v>5451</v>
      </c>
      <c r="AG129" s="233">
        <f t="shared" si="734"/>
        <v>5629</v>
      </c>
      <c r="AH129" s="233">
        <f t="shared" ref="AH129:BM129" si="735">DAYS360($B$3,AH46)</f>
        <v>5811</v>
      </c>
      <c r="AI129" s="233">
        <f t="shared" si="735"/>
        <v>5989</v>
      </c>
      <c r="AJ129" s="233">
        <f t="shared" si="735"/>
        <v>6170</v>
      </c>
      <c r="AK129" s="233">
        <f t="shared" si="735"/>
        <v>6348</v>
      </c>
      <c r="AL129" s="233">
        <f t="shared" si="735"/>
        <v>6530</v>
      </c>
      <c r="AM129" s="233">
        <f t="shared" si="735"/>
        <v>6708</v>
      </c>
      <c r="AN129" s="233">
        <f t="shared" si="735"/>
        <v>6890</v>
      </c>
      <c r="AO129" s="233">
        <f t="shared" si="735"/>
        <v>7068</v>
      </c>
      <c r="AP129" s="233">
        <f t="shared" si="735"/>
        <v>7250</v>
      </c>
      <c r="AQ129" s="233">
        <f t="shared" si="735"/>
        <v>7428</v>
      </c>
      <c r="AR129" s="233">
        <f t="shared" si="735"/>
        <v>7609</v>
      </c>
      <c r="AS129" s="233">
        <f t="shared" si="735"/>
        <v>7787</v>
      </c>
      <c r="AT129" s="233">
        <f t="shared" si="735"/>
        <v>7969</v>
      </c>
      <c r="AU129" s="233">
        <f t="shared" si="735"/>
        <v>8147</v>
      </c>
      <c r="AV129" s="233">
        <f t="shared" si="735"/>
        <v>8329</v>
      </c>
      <c r="AW129" s="233">
        <f t="shared" si="735"/>
        <v>8507</v>
      </c>
      <c r="AX129" s="233">
        <f t="shared" si="735"/>
        <v>8689</v>
      </c>
      <c r="AY129" s="233">
        <f t="shared" si="735"/>
        <v>8867</v>
      </c>
      <c r="AZ129" s="233">
        <f t="shared" si="735"/>
        <v>9048</v>
      </c>
      <c r="BA129" s="233">
        <f t="shared" si="735"/>
        <v>9226</v>
      </c>
      <c r="BB129" s="233">
        <f t="shared" si="735"/>
        <v>9408</v>
      </c>
      <c r="BC129" s="233">
        <f t="shared" si="735"/>
        <v>9586</v>
      </c>
      <c r="BD129" s="233">
        <f t="shared" si="735"/>
        <v>9768</v>
      </c>
      <c r="BE129" s="233">
        <f t="shared" si="735"/>
        <v>9946</v>
      </c>
      <c r="BF129" s="233">
        <f t="shared" si="735"/>
        <v>10128</v>
      </c>
      <c r="BG129" s="233">
        <f t="shared" si="735"/>
        <v>10306</v>
      </c>
      <c r="BH129" s="233">
        <f t="shared" si="735"/>
        <v>10487</v>
      </c>
      <c r="BI129" s="233">
        <f t="shared" si="735"/>
        <v>10665</v>
      </c>
      <c r="BJ129" s="233">
        <f t="shared" si="735"/>
        <v>10847</v>
      </c>
      <c r="BK129" s="233">
        <f t="shared" si="735"/>
        <v>11025</v>
      </c>
      <c r="BL129" s="233">
        <f t="shared" si="735"/>
        <v>11207</v>
      </c>
      <c r="BM129" s="233">
        <f t="shared" si="735"/>
        <v>11385</v>
      </c>
      <c r="BN129" s="233">
        <f t="shared" ref="BN129:CB129" si="736">DAYS360($B$3,BN46)</f>
        <v>11567</v>
      </c>
      <c r="BO129" s="233">
        <f t="shared" si="736"/>
        <v>11745</v>
      </c>
      <c r="BP129" s="233">
        <f t="shared" si="736"/>
        <v>11926</v>
      </c>
      <c r="BQ129" s="233">
        <f t="shared" si="736"/>
        <v>12104</v>
      </c>
      <c r="BR129" s="233">
        <f t="shared" si="736"/>
        <v>12286</v>
      </c>
      <c r="BS129" s="233">
        <f t="shared" si="736"/>
        <v>12464</v>
      </c>
      <c r="BT129" s="233">
        <f t="shared" si="736"/>
        <v>12646</v>
      </c>
      <c r="BU129" s="233">
        <f t="shared" si="736"/>
        <v>12824</v>
      </c>
      <c r="BV129" s="233">
        <f t="shared" si="736"/>
        <v>13006</v>
      </c>
      <c r="BW129" s="233">
        <f t="shared" si="736"/>
        <v>13184</v>
      </c>
      <c r="BX129" s="233">
        <f t="shared" si="736"/>
        <v>13365</v>
      </c>
      <c r="BY129" s="233">
        <f t="shared" si="736"/>
        <v>13543</v>
      </c>
      <c r="BZ129" s="233">
        <f t="shared" si="736"/>
        <v>13725</v>
      </c>
      <c r="CA129" s="233">
        <f t="shared" si="736"/>
        <v>13903</v>
      </c>
      <c r="CB129" s="233">
        <f t="shared" si="736"/>
        <v>14085</v>
      </c>
      <c r="CC129" s="19"/>
      <c r="CD129" s="19"/>
      <c r="CE129" s="19"/>
    </row>
    <row r="130" spans="1:83">
      <c r="A130" s="16" t="s">
        <v>41</v>
      </c>
      <c r="B130" s="233">
        <f>B129/360</f>
        <v>0.15277777777777779</v>
      </c>
      <c r="C130" s="233">
        <f t="shared" ref="C130:BN130" si="737">C129/360</f>
        <v>0.64722222222222225</v>
      </c>
      <c r="D130" s="233">
        <f t="shared" si="737"/>
        <v>1.1499999999999999</v>
      </c>
      <c r="E130" s="233">
        <f t="shared" si="737"/>
        <v>1.6444444444444444</v>
      </c>
      <c r="F130" s="233">
        <f t="shared" si="737"/>
        <v>2.15</v>
      </c>
      <c r="G130" s="233">
        <f t="shared" si="737"/>
        <v>2.6444444444444444</v>
      </c>
      <c r="H130" s="233">
        <f t="shared" si="737"/>
        <v>3.15</v>
      </c>
      <c r="I130" s="233">
        <f t="shared" si="737"/>
        <v>3.6444444444444444</v>
      </c>
      <c r="J130" s="233">
        <f t="shared" si="737"/>
        <v>4.1500000000000004</v>
      </c>
      <c r="K130" s="233">
        <f t="shared" si="737"/>
        <v>4.6444444444444448</v>
      </c>
      <c r="L130" s="233">
        <f t="shared" si="737"/>
        <v>5.1472222222222221</v>
      </c>
      <c r="M130" s="233">
        <f t="shared" si="737"/>
        <v>5.6416666666666666</v>
      </c>
      <c r="N130" s="233">
        <f t="shared" si="737"/>
        <v>6.1472222222222221</v>
      </c>
      <c r="O130" s="233">
        <f t="shared" si="737"/>
        <v>6.6416666666666666</v>
      </c>
      <c r="P130" s="233">
        <f t="shared" si="737"/>
        <v>7.1472222222222221</v>
      </c>
      <c r="Q130" s="233">
        <f t="shared" si="737"/>
        <v>7.6416666666666666</v>
      </c>
      <c r="R130" s="233">
        <f t="shared" si="737"/>
        <v>8.1472222222222221</v>
      </c>
      <c r="S130" s="233">
        <f t="shared" si="737"/>
        <v>8.6416666666666675</v>
      </c>
      <c r="T130" s="233">
        <f t="shared" si="737"/>
        <v>9.1444444444444439</v>
      </c>
      <c r="U130" s="233">
        <f t="shared" si="737"/>
        <v>9.6388888888888893</v>
      </c>
      <c r="V130" s="233">
        <f t="shared" si="737"/>
        <v>10.144444444444444</v>
      </c>
      <c r="W130" s="233">
        <f t="shared" si="737"/>
        <v>10.638888888888889</v>
      </c>
      <c r="X130" s="233">
        <f t="shared" si="737"/>
        <v>11.144444444444444</v>
      </c>
      <c r="Y130" s="233">
        <f t="shared" si="737"/>
        <v>11.638888888888889</v>
      </c>
      <c r="Z130" s="233">
        <f t="shared" si="737"/>
        <v>12.144444444444444</v>
      </c>
      <c r="AA130" s="233">
        <f t="shared" si="737"/>
        <v>12.638888888888889</v>
      </c>
      <c r="AB130" s="233">
        <f t="shared" si="737"/>
        <v>13.141666666666667</v>
      </c>
      <c r="AC130" s="233">
        <f t="shared" si="737"/>
        <v>13.636111111111111</v>
      </c>
      <c r="AD130" s="233">
        <f t="shared" si="737"/>
        <v>14.141666666666667</v>
      </c>
      <c r="AE130" s="233">
        <f t="shared" si="737"/>
        <v>14.636111111111111</v>
      </c>
      <c r="AF130" s="233">
        <f t="shared" si="737"/>
        <v>15.141666666666667</v>
      </c>
      <c r="AG130" s="233">
        <f t="shared" si="737"/>
        <v>15.636111111111111</v>
      </c>
      <c r="AH130" s="233">
        <f t="shared" si="737"/>
        <v>16.141666666666666</v>
      </c>
      <c r="AI130" s="233">
        <f t="shared" si="737"/>
        <v>16.636111111111113</v>
      </c>
      <c r="AJ130" s="233">
        <f t="shared" si="737"/>
        <v>17.138888888888889</v>
      </c>
      <c r="AK130" s="233">
        <f t="shared" si="737"/>
        <v>17.633333333333333</v>
      </c>
      <c r="AL130" s="233">
        <f t="shared" si="737"/>
        <v>18.138888888888889</v>
      </c>
      <c r="AM130" s="233">
        <f t="shared" si="737"/>
        <v>18.633333333333333</v>
      </c>
      <c r="AN130" s="233">
        <f t="shared" si="737"/>
        <v>19.138888888888889</v>
      </c>
      <c r="AO130" s="233">
        <f t="shared" si="737"/>
        <v>19.633333333333333</v>
      </c>
      <c r="AP130" s="233">
        <f t="shared" si="737"/>
        <v>20.138888888888889</v>
      </c>
      <c r="AQ130" s="233">
        <f t="shared" si="737"/>
        <v>20.633333333333333</v>
      </c>
      <c r="AR130" s="233">
        <f t="shared" si="737"/>
        <v>21.136111111111113</v>
      </c>
      <c r="AS130" s="233">
        <f t="shared" si="737"/>
        <v>21.630555555555556</v>
      </c>
      <c r="AT130" s="233">
        <f t="shared" si="737"/>
        <v>22.136111111111113</v>
      </c>
      <c r="AU130" s="233">
        <f t="shared" si="737"/>
        <v>22.630555555555556</v>
      </c>
      <c r="AV130" s="233">
        <f t="shared" si="737"/>
        <v>23.136111111111113</v>
      </c>
      <c r="AW130" s="233">
        <f t="shared" si="737"/>
        <v>23.630555555555556</v>
      </c>
      <c r="AX130" s="233">
        <f t="shared" si="737"/>
        <v>24.136111111111113</v>
      </c>
      <c r="AY130" s="233">
        <f t="shared" si="737"/>
        <v>24.630555555555556</v>
      </c>
      <c r="AZ130" s="233">
        <f t="shared" si="737"/>
        <v>25.133333333333333</v>
      </c>
      <c r="BA130" s="233">
        <f t="shared" si="737"/>
        <v>25.627777777777776</v>
      </c>
      <c r="BB130" s="233">
        <f t="shared" si="737"/>
        <v>26.133333333333333</v>
      </c>
      <c r="BC130" s="233">
        <f t="shared" si="737"/>
        <v>26.627777777777776</v>
      </c>
      <c r="BD130" s="233">
        <f t="shared" si="737"/>
        <v>27.133333333333333</v>
      </c>
      <c r="BE130" s="233">
        <f t="shared" si="737"/>
        <v>27.627777777777776</v>
      </c>
      <c r="BF130" s="233">
        <f t="shared" si="737"/>
        <v>28.133333333333333</v>
      </c>
      <c r="BG130" s="233">
        <f t="shared" si="737"/>
        <v>28.627777777777776</v>
      </c>
      <c r="BH130" s="233">
        <f t="shared" si="737"/>
        <v>29.130555555555556</v>
      </c>
      <c r="BI130" s="233">
        <f t="shared" si="737"/>
        <v>29.625</v>
      </c>
      <c r="BJ130" s="233">
        <f t="shared" si="737"/>
        <v>30.130555555555556</v>
      </c>
      <c r="BK130" s="233">
        <f t="shared" si="737"/>
        <v>30.625</v>
      </c>
      <c r="BL130" s="233">
        <f t="shared" si="737"/>
        <v>31.130555555555556</v>
      </c>
      <c r="BM130" s="233">
        <f t="shared" si="737"/>
        <v>31.625</v>
      </c>
      <c r="BN130" s="233">
        <f t="shared" si="737"/>
        <v>32.130555555555553</v>
      </c>
      <c r="BO130" s="233">
        <f t="shared" ref="BO130:CB130" si="738">BO129/360</f>
        <v>32.625</v>
      </c>
      <c r="BP130" s="233">
        <f t="shared" si="738"/>
        <v>33.12777777777778</v>
      </c>
      <c r="BQ130" s="233">
        <f t="shared" si="738"/>
        <v>33.62222222222222</v>
      </c>
      <c r="BR130" s="233">
        <f t="shared" si="738"/>
        <v>34.12777777777778</v>
      </c>
      <c r="BS130" s="233">
        <f t="shared" si="738"/>
        <v>34.62222222222222</v>
      </c>
      <c r="BT130" s="233">
        <f t="shared" si="738"/>
        <v>35.12777777777778</v>
      </c>
      <c r="BU130" s="233">
        <f t="shared" si="738"/>
        <v>35.62222222222222</v>
      </c>
      <c r="BV130" s="233">
        <f t="shared" si="738"/>
        <v>36.12777777777778</v>
      </c>
      <c r="BW130" s="233">
        <f t="shared" si="738"/>
        <v>36.62222222222222</v>
      </c>
      <c r="BX130" s="233">
        <f t="shared" si="738"/>
        <v>37.125</v>
      </c>
      <c r="BY130" s="233">
        <f t="shared" si="738"/>
        <v>37.619444444444447</v>
      </c>
      <c r="BZ130" s="233">
        <f t="shared" si="738"/>
        <v>38.125</v>
      </c>
      <c r="CA130" s="233">
        <f t="shared" si="738"/>
        <v>38.619444444444447</v>
      </c>
      <c r="CB130" s="233">
        <f t="shared" si="738"/>
        <v>39.125</v>
      </c>
      <c r="CC130" s="19"/>
      <c r="CD130" s="19"/>
      <c r="CE130" s="19"/>
    </row>
    <row r="131" spans="1:83">
      <c r="A131" s="16" t="s">
        <v>43</v>
      </c>
      <c r="B131" s="233">
        <f>IF(B129&lt;0,0,$B$5+$B$6*((1-EXP(-B130/$B$9))/(B130/$B$9))+$B$7*((1-EXP(-B130/$B$9))/(B130/$B$9)-EXP(-B130/$B$9))+$B$8*((1-EXP(-B130/$B$10))/(B130/$B$10)-EXP(-B130/$B$10)))</f>
        <v>1.9373032396222335E-2</v>
      </c>
      <c r="C131" s="233">
        <f t="shared" ref="C131:BN131" si="739">IF(C129&lt;0,0,$B$5+$B$6*((1-EXP(-C130/$B$9))/(C130/$B$9))+$B$7*((1-EXP(-C130/$B$9))/(C130/$B$9)-EXP(-C130/$B$9))+$B$8*((1-EXP(-C130/$B$10))/(C130/$B$10)-EXP(-C130/$B$10)))</f>
        <v>1.8433307799419242E-2</v>
      </c>
      <c r="D131" s="233">
        <f t="shared" si="739"/>
        <v>1.7594628811189797E-2</v>
      </c>
      <c r="E131" s="233">
        <f t="shared" si="739"/>
        <v>1.6876703095685241E-2</v>
      </c>
      <c r="F131" s="233">
        <f t="shared" si="739"/>
        <v>1.6244343870822062E-2</v>
      </c>
      <c r="G131" s="233">
        <f t="shared" si="739"/>
        <v>1.5718165514221186E-2</v>
      </c>
      <c r="H131" s="233">
        <f t="shared" si="739"/>
        <v>1.5267571342294922E-2</v>
      </c>
      <c r="I131" s="233">
        <f t="shared" si="739"/>
        <v>1.490603428032207E-2</v>
      </c>
      <c r="J131" s="233">
        <f t="shared" si="739"/>
        <v>1.4611182094045973E-2</v>
      </c>
      <c r="K131" s="233">
        <f t="shared" si="739"/>
        <v>1.439039772678951E-2</v>
      </c>
      <c r="L131" s="233">
        <f t="shared" si="739"/>
        <v>1.4229093278154324E-2</v>
      </c>
      <c r="M131" s="233">
        <f t="shared" si="739"/>
        <v>1.4127733129295564E-2</v>
      </c>
      <c r="N131" s="233">
        <f t="shared" si="739"/>
        <v>1.4078088890232432E-2</v>
      </c>
      <c r="O131" s="233">
        <f t="shared" si="739"/>
        <v>1.407803542800562E-2</v>
      </c>
      <c r="P131" s="233">
        <f t="shared" si="739"/>
        <v>1.4123415887522209E-2</v>
      </c>
      <c r="Q131" s="233">
        <f t="shared" si="739"/>
        <v>1.4208460836237197E-2</v>
      </c>
      <c r="R131" s="233">
        <f t="shared" si="739"/>
        <v>1.43333552248225E-2</v>
      </c>
      <c r="S131" s="233">
        <f t="shared" si="739"/>
        <v>1.4489307659856246E-2</v>
      </c>
      <c r="T131" s="233">
        <f t="shared" si="739"/>
        <v>1.4679019420620831E-2</v>
      </c>
      <c r="U131" s="233">
        <f t="shared" si="739"/>
        <v>1.4893332967926831E-2</v>
      </c>
      <c r="V131" s="233">
        <f t="shared" si="739"/>
        <v>1.5138144948639118E-2</v>
      </c>
      <c r="W131" s="233">
        <f t="shared" si="739"/>
        <v>1.540018428735053E-2</v>
      </c>
      <c r="X131" s="233">
        <f t="shared" si="739"/>
        <v>1.5688817574435396E-2</v>
      </c>
      <c r="Y131" s="233">
        <f t="shared" si="739"/>
        <v>1.5989177561596526E-2</v>
      </c>
      <c r="Z131" s="233">
        <f t="shared" si="739"/>
        <v>1.6312672973109857E-2</v>
      </c>
      <c r="AA131" s="233">
        <f t="shared" si="739"/>
        <v>1.6643196231750382E-2</v>
      </c>
      <c r="AB131" s="233">
        <f t="shared" si="739"/>
        <v>1.6991836444086084E-2</v>
      </c>
      <c r="AC131" s="233">
        <f t="shared" si="739"/>
        <v>1.7345413875943766E-2</v>
      </c>
      <c r="AD131" s="233">
        <f t="shared" si="739"/>
        <v>1.7716368601685004E-2</v>
      </c>
      <c r="AE131" s="233">
        <f t="shared" si="739"/>
        <v>1.8086992454355258E-2</v>
      </c>
      <c r="AF131" s="233">
        <f t="shared" si="739"/>
        <v>1.8472604865225214E-2</v>
      </c>
      <c r="AG131" s="233">
        <f t="shared" si="739"/>
        <v>1.8855054435193003E-2</v>
      </c>
      <c r="AH131" s="233">
        <f t="shared" si="739"/>
        <v>1.9250386466037897E-2</v>
      </c>
      <c r="AI131" s="233">
        <f t="shared" si="739"/>
        <v>1.9640199359774319E-2</v>
      </c>
      <c r="AJ131" s="233">
        <f t="shared" si="739"/>
        <v>2.003883336056668E-2</v>
      </c>
      <c r="AK131" s="233">
        <f t="shared" si="739"/>
        <v>2.0432209187213543E-2</v>
      </c>
      <c r="AL131" s="233">
        <f t="shared" si="739"/>
        <v>2.0834987144296158E-2</v>
      </c>
      <c r="AM131" s="233">
        <f t="shared" si="739"/>
        <v>2.1228730248601682E-2</v>
      </c>
      <c r="AN131" s="233">
        <f t="shared" si="739"/>
        <v>2.1630444053463399E-2</v>
      </c>
      <c r="AO131" s="233">
        <f t="shared" si="739"/>
        <v>2.2021858094173466E-2</v>
      </c>
      <c r="AP131" s="233">
        <f t="shared" si="739"/>
        <v>2.241998861882126E-2</v>
      </c>
      <c r="AQ131" s="233">
        <f t="shared" si="739"/>
        <v>2.2806827379543246E-2</v>
      </c>
      <c r="AR131" s="233">
        <f t="shared" si="739"/>
        <v>2.3197138706976553E-2</v>
      </c>
      <c r="AS131" s="233">
        <f t="shared" si="739"/>
        <v>2.3577569281418811E-2</v>
      </c>
      <c r="AT131" s="233">
        <f t="shared" si="739"/>
        <v>2.3962664747602849E-2</v>
      </c>
      <c r="AU131" s="233">
        <f t="shared" si="739"/>
        <v>2.4335160530536901E-2</v>
      </c>
      <c r="AV131" s="233">
        <f t="shared" si="739"/>
        <v>2.4711487417576811E-2</v>
      </c>
      <c r="AW131" s="233">
        <f t="shared" si="739"/>
        <v>2.5074835355771818E-2</v>
      </c>
      <c r="AX131" s="233">
        <f t="shared" si="739"/>
        <v>2.544129023836661E-2</v>
      </c>
      <c r="AY131" s="233">
        <f t="shared" si="739"/>
        <v>2.5794535762764734E-2</v>
      </c>
      <c r="AZ131" s="233">
        <f t="shared" si="739"/>
        <v>2.6148321894899865E-2</v>
      </c>
      <c r="BA131" s="233">
        <f t="shared" si="739"/>
        <v>2.6490764802616654E-2</v>
      </c>
      <c r="BB131" s="233">
        <f t="shared" si="739"/>
        <v>2.683514735379848E-2</v>
      </c>
      <c r="BC131" s="233">
        <f t="shared" si="739"/>
        <v>2.7166219348219584E-2</v>
      </c>
      <c r="BD131" s="233">
        <f t="shared" si="739"/>
        <v>2.749876488852207E-2</v>
      </c>
      <c r="BE131" s="233">
        <f t="shared" si="739"/>
        <v>2.7818092105223083E-2</v>
      </c>
      <c r="BF131" s="233">
        <f t="shared" si="739"/>
        <v>2.8138493426321368E-2</v>
      </c>
      <c r="BG131" s="233">
        <f t="shared" si="739"/>
        <v>2.8445843199599682E-2</v>
      </c>
      <c r="BH131" s="233">
        <f t="shared" si="739"/>
        <v>2.8752250619012459E-2</v>
      </c>
      <c r="BI131" s="233">
        <f t="shared" si="739"/>
        <v>2.9047543956322128E-2</v>
      </c>
      <c r="BJ131" s="233">
        <f t="shared" si="739"/>
        <v>2.9343282116617367E-2</v>
      </c>
      <c r="BK131" s="233">
        <f t="shared" si="739"/>
        <v>2.9626474087270427E-2</v>
      </c>
      <c r="BL131" s="233">
        <f t="shared" si="739"/>
        <v>2.9909866740558233E-2</v>
      </c>
      <c r="BM131" s="233">
        <f t="shared" si="739"/>
        <v>3.0181031073489309E-2</v>
      </c>
      <c r="BN131" s="233">
        <f t="shared" si="739"/>
        <v>3.0452191555067426E-2</v>
      </c>
      <c r="BO131" s="233">
        <f t="shared" ref="BO131:CB131" si="740">IF(BO129&lt;0,0,$B$5+$B$6*((1-EXP(-BO130/$B$9))/(BO130/$B$9))+$B$7*((1-EXP(-BO130/$B$9))/(BO130/$B$9)-EXP(-BO130/$B$9))+$B$8*((1-EXP(-BO130/$B$10))/(BO130/$B$10)-EXP(-BO130/$B$10)))</f>
        <v>3.0711472891074135E-2</v>
      </c>
      <c r="BP131" s="233">
        <f t="shared" si="740"/>
        <v>3.0969173257190091E-2</v>
      </c>
      <c r="BQ131" s="233">
        <f t="shared" si="740"/>
        <v>3.1216806803302313E-2</v>
      </c>
      <c r="BR131" s="233">
        <f t="shared" si="740"/>
        <v>3.146412718628476E-2</v>
      </c>
      <c r="BS131" s="233">
        <f t="shared" si="740"/>
        <v>3.1700330753365966E-2</v>
      </c>
      <c r="BT131" s="233">
        <f t="shared" si="740"/>
        <v>3.1936107605572694E-2</v>
      </c>
      <c r="BU131" s="233">
        <f t="shared" si="740"/>
        <v>3.2161169932485509E-2</v>
      </c>
      <c r="BV131" s="233">
        <f t="shared" si="740"/>
        <v>3.2385714782537739E-2</v>
      </c>
      <c r="BW131" s="233">
        <f t="shared" si="740"/>
        <v>3.2599954600579142E-2</v>
      </c>
      <c r="BX131" s="233">
        <f t="shared" si="740"/>
        <v>3.281244674863798E-2</v>
      </c>
      <c r="BY131" s="233">
        <f t="shared" si="740"/>
        <v>3.3016234333165903E-2</v>
      </c>
      <c r="BZ131" s="233">
        <f t="shared" si="740"/>
        <v>3.3219379476256264E-2</v>
      </c>
      <c r="CA131" s="233">
        <f t="shared" si="740"/>
        <v>3.3413043672516407E-2</v>
      </c>
      <c r="CB131" s="233">
        <f t="shared" si="740"/>
        <v>3.3606025947284818E-2</v>
      </c>
      <c r="CC131" s="19"/>
      <c r="CD131" s="19"/>
      <c r="CE131" s="19"/>
    </row>
    <row r="132" spans="1:83">
      <c r="A132" s="16" t="s">
        <v>44</v>
      </c>
      <c r="B132" s="233">
        <f>EXP(-B131*B130)</f>
        <v>0.99704460695929531</v>
      </c>
      <c r="C132" s="233">
        <f t="shared" ref="C132:AR132" si="741">EXP(-C131*C130)</f>
        <v>0.98814043916026317</v>
      </c>
      <c r="D132" s="233">
        <f t="shared" si="741"/>
        <v>0.97996950697536833</v>
      </c>
      <c r="E132" s="233">
        <f t="shared" si="741"/>
        <v>0.97262877028969519</v>
      </c>
      <c r="F132" s="233">
        <f t="shared" si="741"/>
        <v>0.96567751170368044</v>
      </c>
      <c r="G132" s="233">
        <f t="shared" si="741"/>
        <v>0.95928619739092014</v>
      </c>
      <c r="H132" s="233">
        <f t="shared" si="741"/>
        <v>0.95304529297279905</v>
      </c>
      <c r="I132" s="233">
        <f t="shared" si="741"/>
        <v>0.94712498570691905</v>
      </c>
      <c r="J132" s="233">
        <f t="shared" si="741"/>
        <v>0.94116537994877514</v>
      </c>
      <c r="K132" s="233">
        <f t="shared" si="741"/>
        <v>0.93534914454021545</v>
      </c>
      <c r="L132" s="233">
        <f t="shared" si="741"/>
        <v>0.92937746902210272</v>
      </c>
      <c r="M132" s="233">
        <f t="shared" si="741"/>
        <v>0.92338966521557231</v>
      </c>
      <c r="N132" s="233">
        <f t="shared" si="741"/>
        <v>0.91709781780421573</v>
      </c>
      <c r="O132" s="233">
        <f t="shared" si="741"/>
        <v>0.91073654327556497</v>
      </c>
      <c r="P132" s="233">
        <f t="shared" si="741"/>
        <v>0.90398438507615875</v>
      </c>
      <c r="Q132" s="233">
        <f t="shared" si="741"/>
        <v>0.89711042333984758</v>
      </c>
      <c r="R132" s="233">
        <f t="shared" si="741"/>
        <v>0.88978356590481522</v>
      </c>
      <c r="S132" s="233">
        <f t="shared" si="741"/>
        <v>0.88231003862548185</v>
      </c>
      <c r="T132" s="233">
        <f t="shared" si="741"/>
        <v>0.87438764003153224</v>
      </c>
      <c r="U132" s="233">
        <f t="shared" si="741"/>
        <v>0.86627299648369216</v>
      </c>
      <c r="V132" s="233">
        <f t="shared" si="741"/>
        <v>0.85764238213171251</v>
      </c>
      <c r="W132" s="233">
        <f t="shared" si="741"/>
        <v>0.84887711034547053</v>
      </c>
      <c r="X132" s="233">
        <f t="shared" si="741"/>
        <v>0.83958869501184441</v>
      </c>
      <c r="Y132" s="233">
        <f t="shared" si="741"/>
        <v>0.83019367580876868</v>
      </c>
      <c r="Z132" s="233">
        <f t="shared" si="741"/>
        <v>0.82028097033623582</v>
      </c>
      <c r="AA132" s="233">
        <f t="shared" si="741"/>
        <v>0.81029936925169743</v>
      </c>
      <c r="AB132" s="233">
        <f t="shared" si="741"/>
        <v>0.79987401049109885</v>
      </c>
      <c r="AC132" s="233">
        <f t="shared" si="741"/>
        <v>0.78936694446670552</v>
      </c>
      <c r="AD132" s="233">
        <f t="shared" si="741"/>
        <v>0.77838113866361502</v>
      </c>
      <c r="AE132" s="233">
        <f t="shared" si="741"/>
        <v>0.76741831801174132</v>
      </c>
      <c r="AF132" s="233">
        <f t="shared" si="741"/>
        <v>0.75600595538950577</v>
      </c>
      <c r="AG132" s="233">
        <f t="shared" si="741"/>
        <v>0.74466581913697594</v>
      </c>
      <c r="AH132" s="233">
        <f t="shared" si="741"/>
        <v>0.73290930093455608</v>
      </c>
      <c r="AI132" s="233">
        <f t="shared" si="741"/>
        <v>0.72127374564753632</v>
      </c>
      <c r="AJ132" s="233">
        <f t="shared" si="741"/>
        <v>0.70932367139885422</v>
      </c>
      <c r="AK132" s="233">
        <f t="shared" si="741"/>
        <v>0.69747545537344458</v>
      </c>
      <c r="AL132" s="233">
        <f t="shared" si="741"/>
        <v>0.68528291128344188</v>
      </c>
      <c r="AM132" s="233">
        <f t="shared" si="741"/>
        <v>0.67330153274582472</v>
      </c>
      <c r="AN132" s="233">
        <f t="shared" si="741"/>
        <v>0.66101240958102647</v>
      </c>
      <c r="AO132" s="233">
        <f t="shared" si="741"/>
        <v>0.64897409353763225</v>
      </c>
      <c r="AP132" s="233">
        <f t="shared" si="741"/>
        <v>0.63666372968234253</v>
      </c>
      <c r="AQ132" s="233">
        <f t="shared" si="741"/>
        <v>0.624639327637588</v>
      </c>
      <c r="AR132" s="233">
        <f t="shared" si="741"/>
        <v>0.61244428671206175</v>
      </c>
      <c r="AS132" s="233">
        <f>EXP(-AS131*AS130)</f>
        <v>0.60049802751411274</v>
      </c>
      <c r="AT132" s="233">
        <f t="shared" ref="AT132:CA132" si="742">EXP(-AT131*AT130)</f>
        <v>0.58834591727757379</v>
      </c>
      <c r="AU132" s="233">
        <f t="shared" si="742"/>
        <v>0.57653559244074626</v>
      </c>
      <c r="AV132" s="233">
        <f t="shared" si="742"/>
        <v>0.56454921343658859</v>
      </c>
      <c r="AW132" s="233">
        <f t="shared" si="742"/>
        <v>0.55292534314888764</v>
      </c>
      <c r="AX132" s="233">
        <f t="shared" si="742"/>
        <v>0.54115268748622558</v>
      </c>
      <c r="AY132" s="233">
        <f t="shared" si="742"/>
        <v>0.52975865390732801</v>
      </c>
      <c r="AZ132" s="233">
        <f t="shared" si="742"/>
        <v>0.51830340187044621</v>
      </c>
      <c r="BA132" s="233">
        <f t="shared" si="742"/>
        <v>0.50717486497477071</v>
      </c>
      <c r="BB132" s="233">
        <f t="shared" si="742"/>
        <v>0.49594420383854643</v>
      </c>
      <c r="BC132" s="233">
        <f t="shared" si="742"/>
        <v>0.48511172591304536</v>
      </c>
      <c r="BD132" s="233">
        <f t="shared" si="742"/>
        <v>0.47419665755408924</v>
      </c>
      <c r="BE132" s="233">
        <f t="shared" si="742"/>
        <v>0.46368396585575339</v>
      </c>
      <c r="BF132" s="233">
        <f t="shared" si="742"/>
        <v>0.45310580526700117</v>
      </c>
      <c r="BG132" s="233">
        <f t="shared" si="742"/>
        <v>0.44293099975917105</v>
      </c>
      <c r="BH132" s="233">
        <f t="shared" si="742"/>
        <v>0.43276127368308848</v>
      </c>
      <c r="BI132" s="233">
        <f t="shared" si="742"/>
        <v>0.42293638991048543</v>
      </c>
      <c r="BJ132" s="233">
        <f t="shared" si="742"/>
        <v>0.41307364199669117</v>
      </c>
      <c r="BK132" s="233">
        <f t="shared" si="742"/>
        <v>0.40360816151221768</v>
      </c>
      <c r="BL132" s="233">
        <f t="shared" si="742"/>
        <v>0.39411569595786866</v>
      </c>
      <c r="BM132" s="233">
        <f t="shared" si="742"/>
        <v>0.3850141825043914</v>
      </c>
      <c r="BN132" s="233">
        <f t="shared" si="742"/>
        <v>0.37589484865038381</v>
      </c>
      <c r="BO132" s="233">
        <f t="shared" si="742"/>
        <v>0.36715844161469968</v>
      </c>
      <c r="BP132" s="233">
        <f t="shared" si="742"/>
        <v>0.35845939475979721</v>
      </c>
      <c r="BQ132" s="233">
        <f t="shared" si="742"/>
        <v>0.35008530857626963</v>
      </c>
      <c r="BR132" s="233">
        <f t="shared" si="742"/>
        <v>0.34170730537657368</v>
      </c>
      <c r="BS132" s="233">
        <f t="shared" si="742"/>
        <v>0.33369232410859234</v>
      </c>
      <c r="BT132" s="233">
        <f t="shared" si="742"/>
        <v>0.32567852914504752</v>
      </c>
      <c r="BU132" s="233">
        <f t="shared" si="742"/>
        <v>0.31801639457561737</v>
      </c>
      <c r="BV132" s="233">
        <f t="shared" si="742"/>
        <v>0.31035952146198692</v>
      </c>
      <c r="BW132" s="233">
        <f t="shared" si="742"/>
        <v>0.30304232952824101</v>
      </c>
      <c r="BX132" s="233">
        <f t="shared" si="742"/>
        <v>0.29577327365486655</v>
      </c>
      <c r="BY132" s="233">
        <f t="shared" si="742"/>
        <v>0.2887908967926604</v>
      </c>
      <c r="BZ132" s="233">
        <f t="shared" si="742"/>
        <v>0.2818193989301282</v>
      </c>
      <c r="CA132" s="233">
        <f t="shared" si="742"/>
        <v>0.27516257234357233</v>
      </c>
      <c r="CB132" s="233">
        <f>EXP(-CB131*CB130)</f>
        <v>0.268518419690357</v>
      </c>
      <c r="CC132" s="19"/>
      <c r="CD132" s="19"/>
      <c r="CE132" s="19"/>
    </row>
    <row r="133" spans="1:83">
      <c r="A133" s="17"/>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19"/>
      <c r="CD133" s="19"/>
      <c r="CE133" s="19"/>
    </row>
    <row r="134" spans="1:83">
      <c r="A134" s="16" t="s">
        <v>40</v>
      </c>
      <c r="B134" s="233">
        <f t="shared" ref="B134:AG134" si="743">DAYS360($B$3,B48)</f>
        <v>-43022</v>
      </c>
      <c r="C134" s="233">
        <f t="shared" si="743"/>
        <v>-42842</v>
      </c>
      <c r="D134" s="233">
        <f t="shared" si="743"/>
        <v>-42662</v>
      </c>
      <c r="E134" s="233">
        <f t="shared" si="743"/>
        <v>-42482</v>
      </c>
      <c r="F134" s="233">
        <f t="shared" si="743"/>
        <v>-42302</v>
      </c>
      <c r="G134" s="233">
        <f t="shared" si="743"/>
        <v>-42122</v>
      </c>
      <c r="H134" s="233">
        <f t="shared" si="743"/>
        <v>-41942</v>
      </c>
      <c r="I134" s="233">
        <f t="shared" si="743"/>
        <v>-41762</v>
      </c>
      <c r="J134" s="233">
        <f t="shared" si="743"/>
        <v>-41582</v>
      </c>
      <c r="K134" s="233">
        <f t="shared" si="743"/>
        <v>-41403</v>
      </c>
      <c r="L134" s="233">
        <f t="shared" si="743"/>
        <v>-41223</v>
      </c>
      <c r="M134" s="233">
        <f t="shared" si="743"/>
        <v>-41043</v>
      </c>
      <c r="N134" s="233">
        <f t="shared" si="743"/>
        <v>-40863</v>
      </c>
      <c r="O134" s="233">
        <f t="shared" si="743"/>
        <v>-40683</v>
      </c>
      <c r="P134" s="233">
        <f t="shared" si="743"/>
        <v>-40503</v>
      </c>
      <c r="Q134" s="233">
        <f t="shared" si="743"/>
        <v>-40323</v>
      </c>
      <c r="R134" s="233">
        <f t="shared" si="743"/>
        <v>-40143</v>
      </c>
      <c r="S134" s="233">
        <f t="shared" si="743"/>
        <v>-39964</v>
      </c>
      <c r="T134" s="233">
        <f t="shared" si="743"/>
        <v>-39784</v>
      </c>
      <c r="U134" s="233">
        <f t="shared" si="743"/>
        <v>-39604</v>
      </c>
      <c r="V134" s="233">
        <f t="shared" si="743"/>
        <v>-39424</v>
      </c>
      <c r="W134" s="233">
        <f t="shared" si="743"/>
        <v>-39244</v>
      </c>
      <c r="X134" s="233">
        <f t="shared" si="743"/>
        <v>-39064</v>
      </c>
      <c r="Y134" s="233">
        <f t="shared" si="743"/>
        <v>-38884</v>
      </c>
      <c r="Z134" s="233">
        <f t="shared" si="743"/>
        <v>-38704</v>
      </c>
      <c r="AA134" s="233">
        <f t="shared" si="743"/>
        <v>-38525</v>
      </c>
      <c r="AB134" s="233">
        <f t="shared" si="743"/>
        <v>-38345</v>
      </c>
      <c r="AC134" s="233">
        <f t="shared" si="743"/>
        <v>-38165</v>
      </c>
      <c r="AD134" s="233">
        <f t="shared" si="743"/>
        <v>-37985</v>
      </c>
      <c r="AE134" s="233">
        <f t="shared" si="743"/>
        <v>-37805</v>
      </c>
      <c r="AF134" s="233">
        <f t="shared" si="743"/>
        <v>-37625</v>
      </c>
      <c r="AG134" s="233">
        <f t="shared" si="743"/>
        <v>-37445</v>
      </c>
      <c r="AH134" s="233">
        <f t="shared" ref="AH134:BM134" si="744">DAYS360($B$3,AH48)</f>
        <v>-37265</v>
      </c>
      <c r="AI134" s="233">
        <f t="shared" si="744"/>
        <v>-37086</v>
      </c>
      <c r="AJ134" s="233">
        <f t="shared" si="744"/>
        <v>-36906</v>
      </c>
      <c r="AK134" s="233">
        <f t="shared" si="744"/>
        <v>-36726</v>
      </c>
      <c r="AL134" s="233">
        <f t="shared" si="744"/>
        <v>-36546</v>
      </c>
      <c r="AM134" s="233">
        <f t="shared" si="744"/>
        <v>-36366</v>
      </c>
      <c r="AN134" s="233">
        <f t="shared" si="744"/>
        <v>-36186</v>
      </c>
      <c r="AO134" s="233">
        <f t="shared" si="744"/>
        <v>-36006</v>
      </c>
      <c r="AP134" s="233">
        <f t="shared" si="744"/>
        <v>-35826</v>
      </c>
      <c r="AQ134" s="233">
        <f t="shared" si="744"/>
        <v>-35647</v>
      </c>
      <c r="AR134" s="233">
        <f t="shared" si="744"/>
        <v>-35467</v>
      </c>
      <c r="AS134" s="233">
        <f t="shared" si="744"/>
        <v>-35287</v>
      </c>
      <c r="AT134" s="233">
        <f t="shared" si="744"/>
        <v>-35107</v>
      </c>
      <c r="AU134" s="233">
        <f t="shared" si="744"/>
        <v>-34927</v>
      </c>
      <c r="AV134" s="233">
        <f t="shared" si="744"/>
        <v>-34747</v>
      </c>
      <c r="AW134" s="233">
        <f t="shared" si="744"/>
        <v>-34567</v>
      </c>
      <c r="AX134" s="233">
        <f t="shared" si="744"/>
        <v>-34387</v>
      </c>
      <c r="AY134" s="233">
        <f t="shared" si="744"/>
        <v>-34208</v>
      </c>
      <c r="AZ134" s="233">
        <f t="shared" si="744"/>
        <v>-34028</v>
      </c>
      <c r="BA134" s="233">
        <f t="shared" si="744"/>
        <v>-33848</v>
      </c>
      <c r="BB134" s="233">
        <f t="shared" si="744"/>
        <v>-33668</v>
      </c>
      <c r="BC134" s="233">
        <f t="shared" si="744"/>
        <v>-33488</v>
      </c>
      <c r="BD134" s="233">
        <f t="shared" si="744"/>
        <v>-33308</v>
      </c>
      <c r="BE134" s="233">
        <f t="shared" si="744"/>
        <v>-33128</v>
      </c>
      <c r="BF134" s="233">
        <f t="shared" si="744"/>
        <v>-32948</v>
      </c>
      <c r="BG134" s="233">
        <f t="shared" si="744"/>
        <v>-32769</v>
      </c>
      <c r="BH134" s="233">
        <f t="shared" si="744"/>
        <v>-32589</v>
      </c>
      <c r="BI134" s="233">
        <f t="shared" si="744"/>
        <v>-32409</v>
      </c>
      <c r="BJ134" s="233">
        <f t="shared" si="744"/>
        <v>-32229</v>
      </c>
      <c r="BK134" s="233">
        <f t="shared" si="744"/>
        <v>-32049</v>
      </c>
      <c r="BL134" s="233">
        <f t="shared" si="744"/>
        <v>-31869</v>
      </c>
      <c r="BM134" s="233">
        <f t="shared" si="744"/>
        <v>-31689</v>
      </c>
      <c r="BN134" s="233">
        <f t="shared" ref="BN134:CB134" si="745">DAYS360($B$3,BN48)</f>
        <v>-31509</v>
      </c>
      <c r="BO134" s="233">
        <f t="shared" si="745"/>
        <v>-31330</v>
      </c>
      <c r="BP134" s="233">
        <f t="shared" si="745"/>
        <v>-31150</v>
      </c>
      <c r="BQ134" s="233">
        <f t="shared" si="745"/>
        <v>-30970</v>
      </c>
      <c r="BR134" s="233">
        <f t="shared" si="745"/>
        <v>-30790</v>
      </c>
      <c r="BS134" s="233">
        <f t="shared" si="745"/>
        <v>-30610</v>
      </c>
      <c r="BT134" s="233">
        <f t="shared" si="745"/>
        <v>-30430</v>
      </c>
      <c r="BU134" s="233">
        <f t="shared" si="745"/>
        <v>-30250</v>
      </c>
      <c r="BV134" s="233">
        <f t="shared" si="745"/>
        <v>-30070</v>
      </c>
      <c r="BW134" s="233">
        <f t="shared" si="745"/>
        <v>-29891</v>
      </c>
      <c r="BX134" s="233">
        <f t="shared" si="745"/>
        <v>-29711</v>
      </c>
      <c r="BY134" s="233">
        <f t="shared" si="745"/>
        <v>-29531</v>
      </c>
      <c r="BZ134" s="233">
        <f t="shared" si="745"/>
        <v>-29351</v>
      </c>
      <c r="CA134" s="233">
        <f t="shared" si="745"/>
        <v>-29171</v>
      </c>
      <c r="CB134" s="233">
        <f t="shared" si="745"/>
        <v>-28991</v>
      </c>
      <c r="CC134" s="19"/>
      <c r="CD134" s="19"/>
      <c r="CE134" s="19"/>
    </row>
    <row r="135" spans="1:83">
      <c r="A135" s="16" t="s">
        <v>41</v>
      </c>
      <c r="B135" s="233">
        <f>B134/360</f>
        <v>-119.50555555555556</v>
      </c>
      <c r="C135" s="233">
        <f t="shared" ref="C135:BN135" si="746">C134/360</f>
        <v>-119.00555555555556</v>
      </c>
      <c r="D135" s="233">
        <f t="shared" si="746"/>
        <v>-118.50555555555556</v>
      </c>
      <c r="E135" s="233">
        <f t="shared" si="746"/>
        <v>-118.00555555555556</v>
      </c>
      <c r="F135" s="233">
        <f t="shared" si="746"/>
        <v>-117.50555555555556</v>
      </c>
      <c r="G135" s="233">
        <f t="shared" si="746"/>
        <v>-117.00555555555556</v>
      </c>
      <c r="H135" s="233">
        <f t="shared" si="746"/>
        <v>-116.50555555555556</v>
      </c>
      <c r="I135" s="233">
        <f t="shared" si="746"/>
        <v>-116.00555555555556</v>
      </c>
      <c r="J135" s="233">
        <f t="shared" si="746"/>
        <v>-115.50555555555556</v>
      </c>
      <c r="K135" s="233">
        <f t="shared" si="746"/>
        <v>-115.00833333333334</v>
      </c>
      <c r="L135" s="233">
        <f t="shared" si="746"/>
        <v>-114.50833333333334</v>
      </c>
      <c r="M135" s="233">
        <f t="shared" si="746"/>
        <v>-114.00833333333334</v>
      </c>
      <c r="N135" s="233">
        <f t="shared" si="746"/>
        <v>-113.50833333333334</v>
      </c>
      <c r="O135" s="233">
        <f t="shared" si="746"/>
        <v>-113.00833333333334</v>
      </c>
      <c r="P135" s="233">
        <f t="shared" si="746"/>
        <v>-112.50833333333334</v>
      </c>
      <c r="Q135" s="233">
        <f t="shared" si="746"/>
        <v>-112.00833333333334</v>
      </c>
      <c r="R135" s="233">
        <f t="shared" si="746"/>
        <v>-111.50833333333334</v>
      </c>
      <c r="S135" s="233">
        <f t="shared" si="746"/>
        <v>-111.01111111111111</v>
      </c>
      <c r="T135" s="233">
        <f t="shared" si="746"/>
        <v>-110.51111111111111</v>
      </c>
      <c r="U135" s="233">
        <f t="shared" si="746"/>
        <v>-110.01111111111111</v>
      </c>
      <c r="V135" s="233">
        <f t="shared" si="746"/>
        <v>-109.51111111111111</v>
      </c>
      <c r="W135" s="233">
        <f t="shared" si="746"/>
        <v>-109.01111111111111</v>
      </c>
      <c r="X135" s="233">
        <f t="shared" si="746"/>
        <v>-108.51111111111111</v>
      </c>
      <c r="Y135" s="233">
        <f t="shared" si="746"/>
        <v>-108.01111111111111</v>
      </c>
      <c r="Z135" s="233">
        <f t="shared" si="746"/>
        <v>-107.51111111111111</v>
      </c>
      <c r="AA135" s="233">
        <f t="shared" si="746"/>
        <v>-107.01388888888889</v>
      </c>
      <c r="AB135" s="233">
        <f t="shared" si="746"/>
        <v>-106.51388888888889</v>
      </c>
      <c r="AC135" s="233">
        <f t="shared" si="746"/>
        <v>-106.01388888888889</v>
      </c>
      <c r="AD135" s="233">
        <f t="shared" si="746"/>
        <v>-105.51388888888889</v>
      </c>
      <c r="AE135" s="233">
        <f t="shared" si="746"/>
        <v>-105.01388888888889</v>
      </c>
      <c r="AF135" s="233">
        <f t="shared" si="746"/>
        <v>-104.51388888888889</v>
      </c>
      <c r="AG135" s="233">
        <f t="shared" si="746"/>
        <v>-104.01388888888889</v>
      </c>
      <c r="AH135" s="233">
        <f t="shared" si="746"/>
        <v>-103.51388888888889</v>
      </c>
      <c r="AI135" s="233">
        <f t="shared" si="746"/>
        <v>-103.01666666666667</v>
      </c>
      <c r="AJ135" s="233">
        <f t="shared" si="746"/>
        <v>-102.51666666666667</v>
      </c>
      <c r="AK135" s="233">
        <f t="shared" si="746"/>
        <v>-102.01666666666667</v>
      </c>
      <c r="AL135" s="233">
        <f t="shared" si="746"/>
        <v>-101.51666666666667</v>
      </c>
      <c r="AM135" s="233">
        <f t="shared" si="746"/>
        <v>-101.01666666666667</v>
      </c>
      <c r="AN135" s="233">
        <f t="shared" si="746"/>
        <v>-100.51666666666667</v>
      </c>
      <c r="AO135" s="233">
        <f t="shared" si="746"/>
        <v>-100.01666666666667</v>
      </c>
      <c r="AP135" s="233">
        <f t="shared" si="746"/>
        <v>-99.516666666666666</v>
      </c>
      <c r="AQ135" s="233">
        <f t="shared" si="746"/>
        <v>-99.019444444444446</v>
      </c>
      <c r="AR135" s="233">
        <f t="shared" si="746"/>
        <v>-98.519444444444446</v>
      </c>
      <c r="AS135" s="233">
        <f t="shared" si="746"/>
        <v>-98.019444444444446</v>
      </c>
      <c r="AT135" s="233">
        <f t="shared" si="746"/>
        <v>-97.519444444444446</v>
      </c>
      <c r="AU135" s="233">
        <f t="shared" si="746"/>
        <v>-97.019444444444446</v>
      </c>
      <c r="AV135" s="233">
        <f t="shared" si="746"/>
        <v>-96.519444444444446</v>
      </c>
      <c r="AW135" s="233">
        <f t="shared" si="746"/>
        <v>-96.019444444444446</v>
      </c>
      <c r="AX135" s="233">
        <f t="shared" si="746"/>
        <v>-95.519444444444446</v>
      </c>
      <c r="AY135" s="233">
        <f t="shared" si="746"/>
        <v>-95.022222222222226</v>
      </c>
      <c r="AZ135" s="233">
        <f t="shared" si="746"/>
        <v>-94.522222222222226</v>
      </c>
      <c r="BA135" s="233">
        <f t="shared" si="746"/>
        <v>-94.022222222222226</v>
      </c>
      <c r="BB135" s="233">
        <f t="shared" si="746"/>
        <v>-93.522222222222226</v>
      </c>
      <c r="BC135" s="233">
        <f t="shared" si="746"/>
        <v>-93.022222222222226</v>
      </c>
      <c r="BD135" s="233">
        <f t="shared" si="746"/>
        <v>-92.522222222222226</v>
      </c>
      <c r="BE135" s="233">
        <f t="shared" si="746"/>
        <v>-92.022222222222226</v>
      </c>
      <c r="BF135" s="233">
        <f t="shared" si="746"/>
        <v>-91.522222222222226</v>
      </c>
      <c r="BG135" s="233">
        <f t="shared" si="746"/>
        <v>-91.025000000000006</v>
      </c>
      <c r="BH135" s="233">
        <f t="shared" si="746"/>
        <v>-90.525000000000006</v>
      </c>
      <c r="BI135" s="233">
        <f t="shared" si="746"/>
        <v>-90.025000000000006</v>
      </c>
      <c r="BJ135" s="233">
        <f t="shared" si="746"/>
        <v>-89.525000000000006</v>
      </c>
      <c r="BK135" s="233">
        <f t="shared" si="746"/>
        <v>-89.025000000000006</v>
      </c>
      <c r="BL135" s="233">
        <f t="shared" si="746"/>
        <v>-88.525000000000006</v>
      </c>
      <c r="BM135" s="233">
        <f t="shared" si="746"/>
        <v>-88.025000000000006</v>
      </c>
      <c r="BN135" s="233">
        <f t="shared" si="746"/>
        <v>-87.525000000000006</v>
      </c>
      <c r="BO135" s="233">
        <f t="shared" ref="BO135:CB135" si="747">BO134/360</f>
        <v>-87.027777777777771</v>
      </c>
      <c r="BP135" s="233">
        <f t="shared" si="747"/>
        <v>-86.527777777777771</v>
      </c>
      <c r="BQ135" s="233">
        <f t="shared" si="747"/>
        <v>-86.027777777777771</v>
      </c>
      <c r="BR135" s="233">
        <f t="shared" si="747"/>
        <v>-85.527777777777771</v>
      </c>
      <c r="BS135" s="233">
        <f t="shared" si="747"/>
        <v>-85.027777777777771</v>
      </c>
      <c r="BT135" s="233">
        <f t="shared" si="747"/>
        <v>-84.527777777777771</v>
      </c>
      <c r="BU135" s="233">
        <f t="shared" si="747"/>
        <v>-84.027777777777771</v>
      </c>
      <c r="BV135" s="233">
        <f t="shared" si="747"/>
        <v>-83.527777777777771</v>
      </c>
      <c r="BW135" s="233">
        <f t="shared" si="747"/>
        <v>-83.030555555555551</v>
      </c>
      <c r="BX135" s="233">
        <f t="shared" si="747"/>
        <v>-82.530555555555551</v>
      </c>
      <c r="BY135" s="233">
        <f t="shared" si="747"/>
        <v>-82.030555555555551</v>
      </c>
      <c r="BZ135" s="233">
        <f t="shared" si="747"/>
        <v>-81.530555555555551</v>
      </c>
      <c r="CA135" s="233">
        <f t="shared" si="747"/>
        <v>-81.030555555555551</v>
      </c>
      <c r="CB135" s="233">
        <f t="shared" si="747"/>
        <v>-80.530555555555551</v>
      </c>
      <c r="CC135" s="19"/>
      <c r="CD135" s="19"/>
      <c r="CE135" s="19"/>
    </row>
    <row r="136" spans="1:83">
      <c r="A136" s="16" t="s">
        <v>43</v>
      </c>
      <c r="B136" s="233">
        <f>IF(B134&lt;0,0,$B$5+$B$6*((1-EXP(-B135/$B$9))/(B135/$B$9))+$B$7*((1-EXP(-B135/$B$9))/(B135/$B$9)-EXP(-B135/$B$9))+$B$8*((1-EXP(-B135/$B$10))/(B135/$B$10)-EXP(-B135/$B$10)))</f>
        <v>0</v>
      </c>
      <c r="C136" s="233">
        <f t="shared" ref="C136:BN136" si="748">IF(C134&lt;0,0,$B$5+$B$6*((1-EXP(-C135/$B$9))/(C135/$B$9))+$B$7*((1-EXP(-C135/$B$9))/(C135/$B$9)-EXP(-C135/$B$9))+$B$8*((1-EXP(-C135/$B$10))/(C135/$B$10)-EXP(-C135/$B$10)))</f>
        <v>0</v>
      </c>
      <c r="D136" s="233">
        <f t="shared" si="748"/>
        <v>0</v>
      </c>
      <c r="E136" s="233">
        <f t="shared" si="748"/>
        <v>0</v>
      </c>
      <c r="F136" s="233">
        <f t="shared" si="748"/>
        <v>0</v>
      </c>
      <c r="G136" s="233">
        <f t="shared" si="748"/>
        <v>0</v>
      </c>
      <c r="H136" s="233">
        <f t="shared" si="748"/>
        <v>0</v>
      </c>
      <c r="I136" s="233">
        <f t="shared" si="748"/>
        <v>0</v>
      </c>
      <c r="J136" s="233">
        <f t="shared" si="748"/>
        <v>0</v>
      </c>
      <c r="K136" s="233">
        <f t="shared" si="748"/>
        <v>0</v>
      </c>
      <c r="L136" s="233">
        <f t="shared" si="748"/>
        <v>0</v>
      </c>
      <c r="M136" s="233">
        <f t="shared" si="748"/>
        <v>0</v>
      </c>
      <c r="N136" s="233">
        <f t="shared" si="748"/>
        <v>0</v>
      </c>
      <c r="O136" s="233">
        <f t="shared" si="748"/>
        <v>0</v>
      </c>
      <c r="P136" s="233">
        <f t="shared" si="748"/>
        <v>0</v>
      </c>
      <c r="Q136" s="233">
        <f t="shared" si="748"/>
        <v>0</v>
      </c>
      <c r="R136" s="233">
        <f t="shared" si="748"/>
        <v>0</v>
      </c>
      <c r="S136" s="233">
        <f t="shared" si="748"/>
        <v>0</v>
      </c>
      <c r="T136" s="233">
        <f t="shared" si="748"/>
        <v>0</v>
      </c>
      <c r="U136" s="233">
        <f t="shared" si="748"/>
        <v>0</v>
      </c>
      <c r="V136" s="233">
        <f t="shared" si="748"/>
        <v>0</v>
      </c>
      <c r="W136" s="233">
        <f t="shared" si="748"/>
        <v>0</v>
      </c>
      <c r="X136" s="233">
        <f t="shared" si="748"/>
        <v>0</v>
      </c>
      <c r="Y136" s="233">
        <f t="shared" si="748"/>
        <v>0</v>
      </c>
      <c r="Z136" s="233">
        <f t="shared" si="748"/>
        <v>0</v>
      </c>
      <c r="AA136" s="233">
        <f t="shared" si="748"/>
        <v>0</v>
      </c>
      <c r="AB136" s="233">
        <f t="shared" si="748"/>
        <v>0</v>
      </c>
      <c r="AC136" s="233">
        <f t="shared" si="748"/>
        <v>0</v>
      </c>
      <c r="AD136" s="233">
        <f t="shared" si="748"/>
        <v>0</v>
      </c>
      <c r="AE136" s="233">
        <f t="shared" si="748"/>
        <v>0</v>
      </c>
      <c r="AF136" s="233">
        <f t="shared" si="748"/>
        <v>0</v>
      </c>
      <c r="AG136" s="233">
        <f t="shared" si="748"/>
        <v>0</v>
      </c>
      <c r="AH136" s="233">
        <f t="shared" si="748"/>
        <v>0</v>
      </c>
      <c r="AI136" s="233">
        <f t="shared" si="748"/>
        <v>0</v>
      </c>
      <c r="AJ136" s="233">
        <f t="shared" si="748"/>
        <v>0</v>
      </c>
      <c r="AK136" s="233">
        <f t="shared" si="748"/>
        <v>0</v>
      </c>
      <c r="AL136" s="233">
        <f t="shared" si="748"/>
        <v>0</v>
      </c>
      <c r="AM136" s="233">
        <f t="shared" si="748"/>
        <v>0</v>
      </c>
      <c r="AN136" s="233">
        <f t="shared" si="748"/>
        <v>0</v>
      </c>
      <c r="AO136" s="233">
        <f t="shared" si="748"/>
        <v>0</v>
      </c>
      <c r="AP136" s="233">
        <f t="shared" si="748"/>
        <v>0</v>
      </c>
      <c r="AQ136" s="233">
        <f t="shared" si="748"/>
        <v>0</v>
      </c>
      <c r="AR136" s="233">
        <f t="shared" si="748"/>
        <v>0</v>
      </c>
      <c r="AS136" s="233">
        <f t="shared" si="748"/>
        <v>0</v>
      </c>
      <c r="AT136" s="233">
        <f t="shared" si="748"/>
        <v>0</v>
      </c>
      <c r="AU136" s="233">
        <f t="shared" si="748"/>
        <v>0</v>
      </c>
      <c r="AV136" s="233">
        <f t="shared" si="748"/>
        <v>0</v>
      </c>
      <c r="AW136" s="233">
        <f t="shared" si="748"/>
        <v>0</v>
      </c>
      <c r="AX136" s="233">
        <f t="shared" si="748"/>
        <v>0</v>
      </c>
      <c r="AY136" s="233">
        <f t="shared" si="748"/>
        <v>0</v>
      </c>
      <c r="AZ136" s="233">
        <f t="shared" si="748"/>
        <v>0</v>
      </c>
      <c r="BA136" s="233">
        <f t="shared" si="748"/>
        <v>0</v>
      </c>
      <c r="BB136" s="233">
        <f t="shared" si="748"/>
        <v>0</v>
      </c>
      <c r="BC136" s="233">
        <f t="shared" si="748"/>
        <v>0</v>
      </c>
      <c r="BD136" s="233">
        <f t="shared" si="748"/>
        <v>0</v>
      </c>
      <c r="BE136" s="233">
        <f t="shared" si="748"/>
        <v>0</v>
      </c>
      <c r="BF136" s="233">
        <f t="shared" si="748"/>
        <v>0</v>
      </c>
      <c r="BG136" s="233">
        <f t="shared" si="748"/>
        <v>0</v>
      </c>
      <c r="BH136" s="233">
        <f t="shared" si="748"/>
        <v>0</v>
      </c>
      <c r="BI136" s="233">
        <f t="shared" si="748"/>
        <v>0</v>
      </c>
      <c r="BJ136" s="233">
        <f t="shared" si="748"/>
        <v>0</v>
      </c>
      <c r="BK136" s="233">
        <f t="shared" si="748"/>
        <v>0</v>
      </c>
      <c r="BL136" s="233">
        <f t="shared" si="748"/>
        <v>0</v>
      </c>
      <c r="BM136" s="233">
        <f t="shared" si="748"/>
        <v>0</v>
      </c>
      <c r="BN136" s="233">
        <f t="shared" si="748"/>
        <v>0</v>
      </c>
      <c r="BO136" s="233">
        <f t="shared" ref="BO136:CB136" si="749">IF(BO134&lt;0,0,$B$5+$B$6*((1-EXP(-BO135/$B$9))/(BO135/$B$9))+$B$7*((1-EXP(-BO135/$B$9))/(BO135/$B$9)-EXP(-BO135/$B$9))+$B$8*((1-EXP(-BO135/$B$10))/(BO135/$B$10)-EXP(-BO135/$B$10)))</f>
        <v>0</v>
      </c>
      <c r="BP136" s="233">
        <f t="shared" si="749"/>
        <v>0</v>
      </c>
      <c r="BQ136" s="233">
        <f t="shared" si="749"/>
        <v>0</v>
      </c>
      <c r="BR136" s="233">
        <f t="shared" si="749"/>
        <v>0</v>
      </c>
      <c r="BS136" s="233">
        <f t="shared" si="749"/>
        <v>0</v>
      </c>
      <c r="BT136" s="233">
        <f t="shared" si="749"/>
        <v>0</v>
      </c>
      <c r="BU136" s="233">
        <f t="shared" si="749"/>
        <v>0</v>
      </c>
      <c r="BV136" s="233">
        <f t="shared" si="749"/>
        <v>0</v>
      </c>
      <c r="BW136" s="233">
        <f t="shared" si="749"/>
        <v>0</v>
      </c>
      <c r="BX136" s="233">
        <f t="shared" si="749"/>
        <v>0</v>
      </c>
      <c r="BY136" s="233">
        <f t="shared" si="749"/>
        <v>0</v>
      </c>
      <c r="BZ136" s="233">
        <f t="shared" si="749"/>
        <v>0</v>
      </c>
      <c r="CA136" s="233">
        <f t="shared" si="749"/>
        <v>0</v>
      </c>
      <c r="CB136" s="233">
        <f t="shared" si="749"/>
        <v>0</v>
      </c>
      <c r="CC136" s="19"/>
      <c r="CD136" s="19"/>
      <c r="CE136" s="19"/>
    </row>
    <row r="137" spans="1:83">
      <c r="A137" s="16" t="s">
        <v>44</v>
      </c>
      <c r="B137" s="233">
        <f>EXP(-B136*B135)</f>
        <v>1</v>
      </c>
      <c r="C137" s="233">
        <f t="shared" ref="C137:AR137" si="750">EXP(-C136*C135)</f>
        <v>1</v>
      </c>
      <c r="D137" s="233">
        <f t="shared" si="750"/>
        <v>1</v>
      </c>
      <c r="E137" s="233">
        <f t="shared" si="750"/>
        <v>1</v>
      </c>
      <c r="F137" s="233">
        <f t="shared" si="750"/>
        <v>1</v>
      </c>
      <c r="G137" s="233">
        <f t="shared" si="750"/>
        <v>1</v>
      </c>
      <c r="H137" s="233">
        <f t="shared" si="750"/>
        <v>1</v>
      </c>
      <c r="I137" s="233">
        <f t="shared" si="750"/>
        <v>1</v>
      </c>
      <c r="J137" s="233">
        <f t="shared" si="750"/>
        <v>1</v>
      </c>
      <c r="K137" s="233">
        <f t="shared" si="750"/>
        <v>1</v>
      </c>
      <c r="L137" s="233">
        <f t="shared" si="750"/>
        <v>1</v>
      </c>
      <c r="M137" s="233">
        <f t="shared" si="750"/>
        <v>1</v>
      </c>
      <c r="N137" s="233">
        <f t="shared" si="750"/>
        <v>1</v>
      </c>
      <c r="O137" s="233">
        <f t="shared" si="750"/>
        <v>1</v>
      </c>
      <c r="P137" s="233">
        <f t="shared" si="750"/>
        <v>1</v>
      </c>
      <c r="Q137" s="233">
        <f t="shared" si="750"/>
        <v>1</v>
      </c>
      <c r="R137" s="233">
        <f t="shared" si="750"/>
        <v>1</v>
      </c>
      <c r="S137" s="233">
        <f t="shared" si="750"/>
        <v>1</v>
      </c>
      <c r="T137" s="233">
        <f t="shared" si="750"/>
        <v>1</v>
      </c>
      <c r="U137" s="233">
        <f t="shared" si="750"/>
        <v>1</v>
      </c>
      <c r="V137" s="233">
        <f t="shared" si="750"/>
        <v>1</v>
      </c>
      <c r="W137" s="233">
        <f t="shared" si="750"/>
        <v>1</v>
      </c>
      <c r="X137" s="233">
        <f t="shared" si="750"/>
        <v>1</v>
      </c>
      <c r="Y137" s="233">
        <f t="shared" si="750"/>
        <v>1</v>
      </c>
      <c r="Z137" s="233">
        <f t="shared" si="750"/>
        <v>1</v>
      </c>
      <c r="AA137" s="233">
        <f t="shared" si="750"/>
        <v>1</v>
      </c>
      <c r="AB137" s="233">
        <f t="shared" si="750"/>
        <v>1</v>
      </c>
      <c r="AC137" s="233">
        <f t="shared" si="750"/>
        <v>1</v>
      </c>
      <c r="AD137" s="233">
        <f t="shared" si="750"/>
        <v>1</v>
      </c>
      <c r="AE137" s="233">
        <f t="shared" si="750"/>
        <v>1</v>
      </c>
      <c r="AF137" s="233">
        <f t="shared" si="750"/>
        <v>1</v>
      </c>
      <c r="AG137" s="233">
        <f t="shared" si="750"/>
        <v>1</v>
      </c>
      <c r="AH137" s="233">
        <f t="shared" si="750"/>
        <v>1</v>
      </c>
      <c r="AI137" s="233">
        <f t="shared" si="750"/>
        <v>1</v>
      </c>
      <c r="AJ137" s="233">
        <f t="shared" si="750"/>
        <v>1</v>
      </c>
      <c r="AK137" s="233">
        <f t="shared" si="750"/>
        <v>1</v>
      </c>
      <c r="AL137" s="233">
        <f t="shared" si="750"/>
        <v>1</v>
      </c>
      <c r="AM137" s="233">
        <f t="shared" si="750"/>
        <v>1</v>
      </c>
      <c r="AN137" s="233">
        <f t="shared" si="750"/>
        <v>1</v>
      </c>
      <c r="AO137" s="233">
        <f t="shared" si="750"/>
        <v>1</v>
      </c>
      <c r="AP137" s="233">
        <f t="shared" si="750"/>
        <v>1</v>
      </c>
      <c r="AQ137" s="233">
        <f t="shared" si="750"/>
        <v>1</v>
      </c>
      <c r="AR137" s="233">
        <f t="shared" si="750"/>
        <v>1</v>
      </c>
      <c r="AS137" s="233">
        <f>EXP(-AS136*AS135)</f>
        <v>1</v>
      </c>
      <c r="AT137" s="233">
        <f t="shared" ref="AT137:CA137" si="751">EXP(-AT136*AT135)</f>
        <v>1</v>
      </c>
      <c r="AU137" s="233">
        <f t="shared" si="751"/>
        <v>1</v>
      </c>
      <c r="AV137" s="233">
        <f t="shared" si="751"/>
        <v>1</v>
      </c>
      <c r="AW137" s="233">
        <f t="shared" si="751"/>
        <v>1</v>
      </c>
      <c r="AX137" s="233">
        <f t="shared" si="751"/>
        <v>1</v>
      </c>
      <c r="AY137" s="233">
        <f t="shared" si="751"/>
        <v>1</v>
      </c>
      <c r="AZ137" s="233">
        <f t="shared" si="751"/>
        <v>1</v>
      </c>
      <c r="BA137" s="233">
        <f t="shared" si="751"/>
        <v>1</v>
      </c>
      <c r="BB137" s="233">
        <f t="shared" si="751"/>
        <v>1</v>
      </c>
      <c r="BC137" s="233">
        <f t="shared" si="751"/>
        <v>1</v>
      </c>
      <c r="BD137" s="233">
        <f t="shared" si="751"/>
        <v>1</v>
      </c>
      <c r="BE137" s="233">
        <f t="shared" si="751"/>
        <v>1</v>
      </c>
      <c r="BF137" s="233">
        <f t="shared" si="751"/>
        <v>1</v>
      </c>
      <c r="BG137" s="233">
        <f t="shared" si="751"/>
        <v>1</v>
      </c>
      <c r="BH137" s="233">
        <f t="shared" si="751"/>
        <v>1</v>
      </c>
      <c r="BI137" s="233">
        <f t="shared" si="751"/>
        <v>1</v>
      </c>
      <c r="BJ137" s="233">
        <f t="shared" si="751"/>
        <v>1</v>
      </c>
      <c r="BK137" s="233">
        <f t="shared" si="751"/>
        <v>1</v>
      </c>
      <c r="BL137" s="233">
        <f t="shared" si="751"/>
        <v>1</v>
      </c>
      <c r="BM137" s="233">
        <f t="shared" si="751"/>
        <v>1</v>
      </c>
      <c r="BN137" s="233">
        <f t="shared" si="751"/>
        <v>1</v>
      </c>
      <c r="BO137" s="233">
        <f t="shared" si="751"/>
        <v>1</v>
      </c>
      <c r="BP137" s="233">
        <f t="shared" si="751"/>
        <v>1</v>
      </c>
      <c r="BQ137" s="233">
        <f t="shared" si="751"/>
        <v>1</v>
      </c>
      <c r="BR137" s="233">
        <f t="shared" si="751"/>
        <v>1</v>
      </c>
      <c r="BS137" s="233">
        <f t="shared" si="751"/>
        <v>1</v>
      </c>
      <c r="BT137" s="233">
        <f t="shared" si="751"/>
        <v>1</v>
      </c>
      <c r="BU137" s="233">
        <f t="shared" si="751"/>
        <v>1</v>
      </c>
      <c r="BV137" s="233">
        <f t="shared" si="751"/>
        <v>1</v>
      </c>
      <c r="BW137" s="233">
        <f t="shared" si="751"/>
        <v>1</v>
      </c>
      <c r="BX137" s="233">
        <f t="shared" si="751"/>
        <v>1</v>
      </c>
      <c r="BY137" s="233">
        <f t="shared" si="751"/>
        <v>1</v>
      </c>
      <c r="BZ137" s="233">
        <f t="shared" si="751"/>
        <v>1</v>
      </c>
      <c r="CA137" s="233">
        <f t="shared" si="751"/>
        <v>1</v>
      </c>
      <c r="CB137" s="233">
        <f>EXP(-CB136*CB135)</f>
        <v>1</v>
      </c>
      <c r="CC137" s="19"/>
      <c r="CD137" s="19"/>
      <c r="CE137" s="19"/>
    </row>
    <row r="138" spans="1:83">
      <c r="A138" s="17"/>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19"/>
      <c r="CD138" s="19"/>
      <c r="CE138" s="19"/>
    </row>
    <row r="139" spans="1:83">
      <c r="A139" s="16" t="s">
        <v>40</v>
      </c>
      <c r="B139" s="233">
        <f t="shared" ref="B139:AG139" si="752">DAYS360($B$3,B50)</f>
        <v>48</v>
      </c>
      <c r="C139" s="233">
        <f t="shared" si="752"/>
        <v>226</v>
      </c>
      <c r="D139" s="233">
        <f t="shared" si="752"/>
        <v>407</v>
      </c>
      <c r="E139" s="233">
        <f t="shared" si="752"/>
        <v>585</v>
      </c>
      <c r="F139" s="233">
        <f t="shared" si="752"/>
        <v>767</v>
      </c>
      <c r="G139" s="233">
        <f t="shared" si="752"/>
        <v>945</v>
      </c>
      <c r="H139" s="233">
        <f t="shared" si="752"/>
        <v>1127</v>
      </c>
      <c r="I139" s="233">
        <f t="shared" si="752"/>
        <v>1305</v>
      </c>
      <c r="J139" s="233">
        <f t="shared" si="752"/>
        <v>1487</v>
      </c>
      <c r="K139" s="233">
        <f t="shared" si="752"/>
        <v>1665</v>
      </c>
      <c r="L139" s="233">
        <f t="shared" si="752"/>
        <v>1846</v>
      </c>
      <c r="M139" s="233">
        <f t="shared" si="752"/>
        <v>2024</v>
      </c>
      <c r="N139" s="233">
        <f t="shared" si="752"/>
        <v>2206</v>
      </c>
      <c r="O139" s="233">
        <f t="shared" si="752"/>
        <v>2384</v>
      </c>
      <c r="P139" s="233">
        <f t="shared" si="752"/>
        <v>2566</v>
      </c>
      <c r="Q139" s="233">
        <f t="shared" si="752"/>
        <v>2744</v>
      </c>
      <c r="R139" s="233">
        <f t="shared" si="752"/>
        <v>2926</v>
      </c>
      <c r="S139" s="233">
        <f t="shared" si="752"/>
        <v>3104</v>
      </c>
      <c r="T139" s="233">
        <f t="shared" si="752"/>
        <v>3285</v>
      </c>
      <c r="U139" s="233">
        <f t="shared" si="752"/>
        <v>3463</v>
      </c>
      <c r="V139" s="233">
        <f t="shared" si="752"/>
        <v>3645</v>
      </c>
      <c r="W139" s="233">
        <f t="shared" si="752"/>
        <v>3823</v>
      </c>
      <c r="X139" s="233">
        <f t="shared" si="752"/>
        <v>4005</v>
      </c>
      <c r="Y139" s="233">
        <f t="shared" si="752"/>
        <v>4183</v>
      </c>
      <c r="Z139" s="233">
        <f t="shared" si="752"/>
        <v>4365</v>
      </c>
      <c r="AA139" s="233">
        <f t="shared" si="752"/>
        <v>4543</v>
      </c>
      <c r="AB139" s="233">
        <f t="shared" si="752"/>
        <v>4724</v>
      </c>
      <c r="AC139" s="233">
        <f t="shared" si="752"/>
        <v>4902</v>
      </c>
      <c r="AD139" s="233">
        <f t="shared" si="752"/>
        <v>5084</v>
      </c>
      <c r="AE139" s="233">
        <f t="shared" si="752"/>
        <v>5262</v>
      </c>
      <c r="AF139" s="233">
        <f t="shared" si="752"/>
        <v>5444</v>
      </c>
      <c r="AG139" s="233">
        <f t="shared" si="752"/>
        <v>5622</v>
      </c>
      <c r="AH139" s="233">
        <f t="shared" ref="AH139:BM139" si="753">DAYS360($B$3,AH50)</f>
        <v>5804</v>
      </c>
      <c r="AI139" s="233">
        <f t="shared" si="753"/>
        <v>5982</v>
      </c>
      <c r="AJ139" s="233">
        <f t="shared" si="753"/>
        <v>6163</v>
      </c>
      <c r="AK139" s="233">
        <f t="shared" si="753"/>
        <v>6341</v>
      </c>
      <c r="AL139" s="233">
        <f t="shared" si="753"/>
        <v>6523</v>
      </c>
      <c r="AM139" s="233">
        <f t="shared" si="753"/>
        <v>6701</v>
      </c>
      <c r="AN139" s="233">
        <f t="shared" si="753"/>
        <v>6883</v>
      </c>
      <c r="AO139" s="233">
        <f t="shared" si="753"/>
        <v>7061</v>
      </c>
      <c r="AP139" s="233">
        <f t="shared" si="753"/>
        <v>7243</v>
      </c>
      <c r="AQ139" s="233">
        <f t="shared" si="753"/>
        <v>7421</v>
      </c>
      <c r="AR139" s="233">
        <f t="shared" si="753"/>
        <v>7602</v>
      </c>
      <c r="AS139" s="233">
        <f t="shared" si="753"/>
        <v>7780</v>
      </c>
      <c r="AT139" s="233">
        <f t="shared" si="753"/>
        <v>7962</v>
      </c>
      <c r="AU139" s="233">
        <f t="shared" si="753"/>
        <v>8140</v>
      </c>
      <c r="AV139" s="233">
        <f t="shared" si="753"/>
        <v>8322</v>
      </c>
      <c r="AW139" s="233">
        <f t="shared" si="753"/>
        <v>8500</v>
      </c>
      <c r="AX139" s="233">
        <f t="shared" si="753"/>
        <v>8682</v>
      </c>
      <c r="AY139" s="233">
        <f t="shared" si="753"/>
        <v>8860</v>
      </c>
      <c r="AZ139" s="233">
        <f t="shared" si="753"/>
        <v>9041</v>
      </c>
      <c r="BA139" s="233">
        <f t="shared" si="753"/>
        <v>9219</v>
      </c>
      <c r="BB139" s="233">
        <f t="shared" si="753"/>
        <v>9401</v>
      </c>
      <c r="BC139" s="233">
        <f t="shared" si="753"/>
        <v>9579</v>
      </c>
      <c r="BD139" s="233">
        <f t="shared" si="753"/>
        <v>9761</v>
      </c>
      <c r="BE139" s="233">
        <f t="shared" si="753"/>
        <v>9939</v>
      </c>
      <c r="BF139" s="233">
        <f t="shared" si="753"/>
        <v>10121</v>
      </c>
      <c r="BG139" s="233">
        <f t="shared" si="753"/>
        <v>10299</v>
      </c>
      <c r="BH139" s="233">
        <f t="shared" si="753"/>
        <v>10480</v>
      </c>
      <c r="BI139" s="233">
        <f t="shared" si="753"/>
        <v>10658</v>
      </c>
      <c r="BJ139" s="233">
        <f t="shared" si="753"/>
        <v>10840</v>
      </c>
      <c r="BK139" s="233">
        <f t="shared" si="753"/>
        <v>11018</v>
      </c>
      <c r="BL139" s="233">
        <f t="shared" si="753"/>
        <v>11200</v>
      </c>
      <c r="BM139" s="233">
        <f t="shared" si="753"/>
        <v>11378</v>
      </c>
      <c r="BN139" s="233">
        <f t="shared" ref="BN139:CB139" si="754">DAYS360($B$3,BN50)</f>
        <v>11560</v>
      </c>
      <c r="BO139" s="233">
        <f t="shared" si="754"/>
        <v>11738</v>
      </c>
      <c r="BP139" s="233">
        <f t="shared" si="754"/>
        <v>11919</v>
      </c>
      <c r="BQ139" s="233">
        <f t="shared" si="754"/>
        <v>12097</v>
      </c>
      <c r="BR139" s="233">
        <f t="shared" si="754"/>
        <v>12279</v>
      </c>
      <c r="BS139" s="233">
        <f t="shared" si="754"/>
        <v>12457</v>
      </c>
      <c r="BT139" s="233">
        <f t="shared" si="754"/>
        <v>12639</v>
      </c>
      <c r="BU139" s="233">
        <f t="shared" si="754"/>
        <v>12817</v>
      </c>
      <c r="BV139" s="233">
        <f t="shared" si="754"/>
        <v>12999</v>
      </c>
      <c r="BW139" s="233">
        <f t="shared" si="754"/>
        <v>13177</v>
      </c>
      <c r="BX139" s="233">
        <f t="shared" si="754"/>
        <v>13358</v>
      </c>
      <c r="BY139" s="233">
        <f t="shared" si="754"/>
        <v>13536</v>
      </c>
      <c r="BZ139" s="233">
        <f t="shared" si="754"/>
        <v>13718</v>
      </c>
      <c r="CA139" s="233">
        <f t="shared" si="754"/>
        <v>13896</v>
      </c>
      <c r="CB139" s="233">
        <f t="shared" si="754"/>
        <v>14078</v>
      </c>
      <c r="CC139" s="19"/>
      <c r="CD139" s="19"/>
      <c r="CE139" s="19"/>
    </row>
    <row r="140" spans="1:83">
      <c r="A140" s="16" t="s">
        <v>41</v>
      </c>
      <c r="B140" s="233">
        <f>B139/360</f>
        <v>0.13333333333333333</v>
      </c>
      <c r="C140" s="233">
        <f t="shared" ref="C140:BN140" si="755">C139/360</f>
        <v>0.62777777777777777</v>
      </c>
      <c r="D140" s="233">
        <f t="shared" si="755"/>
        <v>1.1305555555555555</v>
      </c>
      <c r="E140" s="233">
        <f t="shared" si="755"/>
        <v>1.625</v>
      </c>
      <c r="F140" s="233">
        <f t="shared" si="755"/>
        <v>2.1305555555555555</v>
      </c>
      <c r="G140" s="233">
        <f t="shared" si="755"/>
        <v>2.625</v>
      </c>
      <c r="H140" s="233">
        <f t="shared" si="755"/>
        <v>3.1305555555555555</v>
      </c>
      <c r="I140" s="233">
        <f t="shared" si="755"/>
        <v>3.625</v>
      </c>
      <c r="J140" s="233">
        <f t="shared" si="755"/>
        <v>4.1305555555555555</v>
      </c>
      <c r="K140" s="233">
        <f t="shared" si="755"/>
        <v>4.625</v>
      </c>
      <c r="L140" s="233">
        <f t="shared" si="755"/>
        <v>5.1277777777777782</v>
      </c>
      <c r="M140" s="233">
        <f t="shared" si="755"/>
        <v>5.6222222222222218</v>
      </c>
      <c r="N140" s="233">
        <f t="shared" si="755"/>
        <v>6.1277777777777782</v>
      </c>
      <c r="O140" s="233">
        <f t="shared" si="755"/>
        <v>6.6222222222222218</v>
      </c>
      <c r="P140" s="233">
        <f t="shared" si="755"/>
        <v>7.1277777777777782</v>
      </c>
      <c r="Q140" s="233">
        <f t="shared" si="755"/>
        <v>7.6222222222222218</v>
      </c>
      <c r="R140" s="233">
        <f t="shared" si="755"/>
        <v>8.1277777777777782</v>
      </c>
      <c r="S140" s="233">
        <f t="shared" si="755"/>
        <v>8.6222222222222218</v>
      </c>
      <c r="T140" s="233">
        <f t="shared" si="755"/>
        <v>9.125</v>
      </c>
      <c r="U140" s="233">
        <f t="shared" si="755"/>
        <v>9.6194444444444436</v>
      </c>
      <c r="V140" s="233">
        <f t="shared" si="755"/>
        <v>10.125</v>
      </c>
      <c r="W140" s="233">
        <f t="shared" si="755"/>
        <v>10.619444444444444</v>
      </c>
      <c r="X140" s="233">
        <f t="shared" si="755"/>
        <v>11.125</v>
      </c>
      <c r="Y140" s="233">
        <f t="shared" si="755"/>
        <v>11.619444444444444</v>
      </c>
      <c r="Z140" s="233">
        <f t="shared" si="755"/>
        <v>12.125</v>
      </c>
      <c r="AA140" s="233">
        <f t="shared" si="755"/>
        <v>12.619444444444444</v>
      </c>
      <c r="AB140" s="233">
        <f t="shared" si="755"/>
        <v>13.122222222222222</v>
      </c>
      <c r="AC140" s="233">
        <f t="shared" si="755"/>
        <v>13.616666666666667</v>
      </c>
      <c r="AD140" s="233">
        <f t="shared" si="755"/>
        <v>14.122222222222222</v>
      </c>
      <c r="AE140" s="233">
        <f t="shared" si="755"/>
        <v>14.616666666666667</v>
      </c>
      <c r="AF140" s="233">
        <f t="shared" si="755"/>
        <v>15.122222222222222</v>
      </c>
      <c r="AG140" s="233">
        <f t="shared" si="755"/>
        <v>15.616666666666667</v>
      </c>
      <c r="AH140" s="233">
        <f t="shared" si="755"/>
        <v>16.122222222222224</v>
      </c>
      <c r="AI140" s="233">
        <f t="shared" si="755"/>
        <v>16.616666666666667</v>
      </c>
      <c r="AJ140" s="233">
        <f t="shared" si="755"/>
        <v>17.119444444444444</v>
      </c>
      <c r="AK140" s="233">
        <f t="shared" si="755"/>
        <v>17.613888888888887</v>
      </c>
      <c r="AL140" s="233">
        <f t="shared" si="755"/>
        <v>18.119444444444444</v>
      </c>
      <c r="AM140" s="233">
        <f t="shared" si="755"/>
        <v>18.613888888888887</v>
      </c>
      <c r="AN140" s="233">
        <f t="shared" si="755"/>
        <v>19.119444444444444</v>
      </c>
      <c r="AO140" s="233">
        <f t="shared" si="755"/>
        <v>19.613888888888887</v>
      </c>
      <c r="AP140" s="233">
        <f t="shared" si="755"/>
        <v>20.119444444444444</v>
      </c>
      <c r="AQ140" s="233">
        <f t="shared" si="755"/>
        <v>20.613888888888887</v>
      </c>
      <c r="AR140" s="233">
        <f t="shared" si="755"/>
        <v>21.116666666666667</v>
      </c>
      <c r="AS140" s="233">
        <f t="shared" si="755"/>
        <v>21.611111111111111</v>
      </c>
      <c r="AT140" s="233">
        <f t="shared" si="755"/>
        <v>22.116666666666667</v>
      </c>
      <c r="AU140" s="233">
        <f t="shared" si="755"/>
        <v>22.611111111111111</v>
      </c>
      <c r="AV140" s="233">
        <f t="shared" si="755"/>
        <v>23.116666666666667</v>
      </c>
      <c r="AW140" s="233">
        <f t="shared" si="755"/>
        <v>23.611111111111111</v>
      </c>
      <c r="AX140" s="233">
        <f t="shared" si="755"/>
        <v>24.116666666666667</v>
      </c>
      <c r="AY140" s="233">
        <f t="shared" si="755"/>
        <v>24.611111111111111</v>
      </c>
      <c r="AZ140" s="233">
        <f t="shared" si="755"/>
        <v>25.113888888888887</v>
      </c>
      <c r="BA140" s="233">
        <f t="shared" si="755"/>
        <v>25.608333333333334</v>
      </c>
      <c r="BB140" s="233">
        <f t="shared" si="755"/>
        <v>26.113888888888887</v>
      </c>
      <c r="BC140" s="233">
        <f t="shared" si="755"/>
        <v>26.608333333333334</v>
      </c>
      <c r="BD140" s="233">
        <f t="shared" si="755"/>
        <v>27.113888888888887</v>
      </c>
      <c r="BE140" s="233">
        <f t="shared" si="755"/>
        <v>27.608333333333334</v>
      </c>
      <c r="BF140" s="233">
        <f t="shared" si="755"/>
        <v>28.113888888888887</v>
      </c>
      <c r="BG140" s="233">
        <f t="shared" si="755"/>
        <v>28.608333333333334</v>
      </c>
      <c r="BH140" s="233">
        <f t="shared" si="755"/>
        <v>29.111111111111111</v>
      </c>
      <c r="BI140" s="233">
        <f t="shared" si="755"/>
        <v>29.605555555555554</v>
      </c>
      <c r="BJ140" s="233">
        <f t="shared" si="755"/>
        <v>30.111111111111111</v>
      </c>
      <c r="BK140" s="233">
        <f t="shared" si="755"/>
        <v>30.605555555555554</v>
      </c>
      <c r="BL140" s="233">
        <f t="shared" si="755"/>
        <v>31.111111111111111</v>
      </c>
      <c r="BM140" s="233">
        <f t="shared" si="755"/>
        <v>31.605555555555554</v>
      </c>
      <c r="BN140" s="233">
        <f t="shared" si="755"/>
        <v>32.111111111111114</v>
      </c>
      <c r="BO140" s="233">
        <f t="shared" ref="BO140:CB140" si="756">BO139/360</f>
        <v>32.605555555555554</v>
      </c>
      <c r="BP140" s="233">
        <f t="shared" si="756"/>
        <v>33.108333333333334</v>
      </c>
      <c r="BQ140" s="233">
        <f t="shared" si="756"/>
        <v>33.602777777777774</v>
      </c>
      <c r="BR140" s="233">
        <f t="shared" si="756"/>
        <v>34.108333333333334</v>
      </c>
      <c r="BS140" s="233">
        <f t="shared" si="756"/>
        <v>34.602777777777774</v>
      </c>
      <c r="BT140" s="233">
        <f t="shared" si="756"/>
        <v>35.108333333333334</v>
      </c>
      <c r="BU140" s="233">
        <f t="shared" si="756"/>
        <v>35.602777777777774</v>
      </c>
      <c r="BV140" s="233">
        <f t="shared" si="756"/>
        <v>36.108333333333334</v>
      </c>
      <c r="BW140" s="233">
        <f t="shared" si="756"/>
        <v>36.602777777777774</v>
      </c>
      <c r="BX140" s="233">
        <f t="shared" si="756"/>
        <v>37.105555555555554</v>
      </c>
      <c r="BY140" s="233">
        <f t="shared" si="756"/>
        <v>37.6</v>
      </c>
      <c r="BZ140" s="233">
        <f t="shared" si="756"/>
        <v>38.105555555555554</v>
      </c>
      <c r="CA140" s="233">
        <f t="shared" si="756"/>
        <v>38.6</v>
      </c>
      <c r="CB140" s="233">
        <f t="shared" si="756"/>
        <v>39.105555555555554</v>
      </c>
      <c r="CC140" s="19"/>
      <c r="CD140" s="19"/>
      <c r="CE140" s="19"/>
    </row>
    <row r="141" spans="1:83">
      <c r="A141" s="16" t="s">
        <v>43</v>
      </c>
      <c r="B141" s="233">
        <f>IF(B139&lt;0,0,$B$5+$B$6*((1-EXP(-B140/$B$9))/(B140/$B$9))+$B$7*((1-EXP(-B140/$B$9))/(B140/$B$9)-EXP(-B140/$B$9))+$B$8*((1-EXP(-B140/$B$10))/(B140/$B$10)-EXP(-B140/$B$10)))</f>
        <v>1.9412434405821279E-2</v>
      </c>
      <c r="C141" s="233">
        <f t="shared" ref="C141:BN141" si="757">IF(C139&lt;0,0,$B$5+$B$6*((1-EXP(-C140/$B$9))/(C140/$B$9))+$B$7*((1-EXP(-C140/$B$9))/(C140/$B$9)-EXP(-C140/$B$9))+$B$8*((1-EXP(-C140/$B$10))/(C140/$B$10)-EXP(-C140/$B$10)))</f>
        <v>1.8468055349339131E-2</v>
      </c>
      <c r="D141" s="233">
        <f t="shared" si="757"/>
        <v>1.7624975706219823E-2</v>
      </c>
      <c r="E141" s="233">
        <f t="shared" si="757"/>
        <v>1.6903029516626943E-2</v>
      </c>
      <c r="F141" s="233">
        <f t="shared" si="757"/>
        <v>1.6266855462811071E-2</v>
      </c>
      <c r="G141" s="233">
        <f t="shared" si="757"/>
        <v>1.5737218128879446E-2</v>
      </c>
      <c r="H141" s="233">
        <f t="shared" si="757"/>
        <v>1.5283348372236487E-2</v>
      </c>
      <c r="I141" s="233">
        <f t="shared" si="757"/>
        <v>1.4918847520380897E-2</v>
      </c>
      <c r="J141" s="233">
        <f t="shared" si="757"/>
        <v>1.462119498745957E-2</v>
      </c>
      <c r="K141" s="233">
        <f t="shared" si="757"/>
        <v>1.4397882931313902E-2</v>
      </c>
      <c r="L141" s="233">
        <f t="shared" si="757"/>
        <v>1.4234208912601631E-2</v>
      </c>
      <c r="M141" s="233">
        <f t="shared" si="757"/>
        <v>1.4130703564150408E-2</v>
      </c>
      <c r="N141" s="233">
        <f t="shared" si="757"/>
        <v>1.4079043718814827E-2</v>
      </c>
      <c r="O141" s="233">
        <f t="shared" si="757"/>
        <v>1.4077181850825099E-2</v>
      </c>
      <c r="P141" s="233">
        <f t="shared" si="757"/>
        <v>1.4120869154201965E-2</v>
      </c>
      <c r="Q141" s="233">
        <f t="shared" si="757"/>
        <v>1.4204400852734916E-2</v>
      </c>
      <c r="R141" s="233">
        <f t="shared" si="757"/>
        <v>1.4327884403134497E-2</v>
      </c>
      <c r="S141" s="233">
        <f t="shared" si="757"/>
        <v>1.4482581752825976E-2</v>
      </c>
      <c r="T141" s="233">
        <f t="shared" si="757"/>
        <v>1.467113543798905E-2</v>
      </c>
      <c r="U141" s="233">
        <f t="shared" si="757"/>
        <v>1.4884418647518008E-2</v>
      </c>
      <c r="V141" s="233">
        <f t="shared" si="757"/>
        <v>1.5128280976351438E-2</v>
      </c>
      <c r="W141" s="233">
        <f t="shared" si="757"/>
        <v>1.5389486268826941E-2</v>
      </c>
      <c r="X141" s="233">
        <f t="shared" si="757"/>
        <v>1.5677357015624199E-2</v>
      </c>
      <c r="Y141" s="233">
        <f t="shared" si="757"/>
        <v>1.5977053445159248E-2</v>
      </c>
      <c r="Z141" s="233">
        <f t="shared" si="757"/>
        <v>1.6299948605308395E-2</v>
      </c>
      <c r="AA141" s="233">
        <f t="shared" si="757"/>
        <v>1.6629955959928652E-2</v>
      </c>
      <c r="AB141" s="233">
        <f t="shared" si="757"/>
        <v>1.6978138603878756E-2</v>
      </c>
      <c r="AC141" s="233">
        <f t="shared" si="757"/>
        <v>1.7331327271307276E-2</v>
      </c>
      <c r="AD141" s="233">
        <f t="shared" si="757"/>
        <v>1.7701942705185436E-2</v>
      </c>
      <c r="AE141" s="233">
        <f t="shared" si="757"/>
        <v>1.8072287485757593E-2</v>
      </c>
      <c r="AF141" s="233">
        <f t="shared" si="757"/>
        <v>1.8457664472098831E-2</v>
      </c>
      <c r="AG141" s="233">
        <f t="shared" si="757"/>
        <v>1.8839928941948345E-2</v>
      </c>
      <c r="AH141" s="233">
        <f t="shared" si="757"/>
        <v>1.9235114329831271E-2</v>
      </c>
      <c r="AI141" s="233">
        <f t="shared" si="757"/>
        <v>1.9624822253207927E-2</v>
      </c>
      <c r="AJ141" s="233">
        <f t="shared" si="757"/>
        <v>2.0023385415311609E-2</v>
      </c>
      <c r="AK141" s="233">
        <f t="shared" si="757"/>
        <v>2.0416724058005611E-2</v>
      </c>
      <c r="AL141" s="233">
        <f t="shared" si="757"/>
        <v>2.0819494564810012E-2</v>
      </c>
      <c r="AM141" s="233">
        <f t="shared" si="757"/>
        <v>2.1213257790408072E-2</v>
      </c>
      <c r="AN141" s="233">
        <f t="shared" si="757"/>
        <v>2.1615017792571259E-2</v>
      </c>
      <c r="AO141" s="233">
        <f t="shared" si="757"/>
        <v>2.2006499896713327E-2</v>
      </c>
      <c r="AP141" s="233">
        <f t="shared" si="757"/>
        <v>2.2404721311338041E-2</v>
      </c>
      <c r="AQ141" s="233">
        <f t="shared" si="757"/>
        <v>2.2791667889752246E-2</v>
      </c>
      <c r="AR141" s="233">
        <f t="shared" si="757"/>
        <v>2.3182106229895444E-2</v>
      </c>
      <c r="AS141" s="233">
        <f t="shared" si="757"/>
        <v>2.3562677149846653E-2</v>
      </c>
      <c r="AT141" s="233">
        <f t="shared" si="757"/>
        <v>2.3947930352548205E-2</v>
      </c>
      <c r="AU141" s="233">
        <f t="shared" si="757"/>
        <v>2.4320592886374684E-2</v>
      </c>
      <c r="AV141" s="233">
        <f t="shared" si="757"/>
        <v>2.4697101648365874E-2</v>
      </c>
      <c r="AW141" s="233">
        <f t="shared" si="757"/>
        <v>2.5060637339754194E-2</v>
      </c>
      <c r="AX141" s="233">
        <f t="shared" si="757"/>
        <v>2.5427293093255546E-2</v>
      </c>
      <c r="AY141" s="233">
        <f t="shared" si="757"/>
        <v>2.57807426951258E-2</v>
      </c>
      <c r="AZ141" s="233">
        <f t="shared" si="757"/>
        <v>2.6134743048200404E-2</v>
      </c>
      <c r="BA141" s="233">
        <f t="shared" si="757"/>
        <v>2.6477402291398847E-2</v>
      </c>
      <c r="BB141" s="233">
        <f t="shared" si="757"/>
        <v>2.6822010959903525E-2</v>
      </c>
      <c r="BC141" s="233">
        <f t="shared" si="757"/>
        <v>2.7153308114316849E-2</v>
      </c>
      <c r="BD141" s="233">
        <f t="shared" si="757"/>
        <v>2.7486087214735569E-2</v>
      </c>
      <c r="BE141" s="233">
        <f t="shared" si="757"/>
        <v>2.7805645441852586E-2</v>
      </c>
      <c r="BF141" s="233">
        <f t="shared" si="757"/>
        <v>2.81262849566392E-2</v>
      </c>
      <c r="BG141" s="233">
        <f t="shared" si="757"/>
        <v>2.8433869055865715E-2</v>
      </c>
      <c r="BH141" s="233">
        <f t="shared" si="757"/>
        <v>2.8740515591936217E-2</v>
      </c>
      <c r="BI141" s="233">
        <f t="shared" si="757"/>
        <v>2.9036044421302698E-2</v>
      </c>
      <c r="BJ141" s="233">
        <f t="shared" si="757"/>
        <v>2.933202324980512E-2</v>
      </c>
      <c r="BK141" s="233">
        <f t="shared" si="757"/>
        <v>2.9615450073755489E-2</v>
      </c>
      <c r="BL141" s="233">
        <f t="shared" si="757"/>
        <v>2.9899081932773991E-2</v>
      </c>
      <c r="BM141" s="233">
        <f t="shared" si="757"/>
        <v>3.0170478966180178E-2</v>
      </c>
      <c r="BN141" s="233">
        <f t="shared" si="757"/>
        <v>3.0441875780086933E-2</v>
      </c>
      <c r="BO141" s="233">
        <f t="shared" ref="BO141:CB141" si="758">IF(BO139&lt;0,0,$B$5+$B$6*((1-EXP(-BO140/$B$9))/(BO140/$B$9))+$B$7*((1-EXP(-BO140/$B$9))/(BO140/$B$9)-EXP(-BO140/$B$9))+$B$8*((1-EXP(-BO140/$B$10))/(BO140/$B$10)-EXP(-BO140/$B$10)))</f>
        <v>3.0701386409223902E-2</v>
      </c>
      <c r="BP141" s="233">
        <f t="shared" si="758"/>
        <v>3.0959317801304675E-2</v>
      </c>
      <c r="BQ141" s="233">
        <f t="shared" si="758"/>
        <v>3.1207176218649213E-2</v>
      </c>
      <c r="BR141" s="233">
        <f t="shared" si="758"/>
        <v>3.1454723929181236E-2</v>
      </c>
      <c r="BS141" s="233">
        <f t="shared" si="758"/>
        <v>3.1691147103035805E-2</v>
      </c>
      <c r="BT141" s="233">
        <f t="shared" si="758"/>
        <v>3.1927145542119839E-2</v>
      </c>
      <c r="BU141" s="233">
        <f t="shared" si="758"/>
        <v>3.215242155087665E-2</v>
      </c>
      <c r="BV141" s="233">
        <f t="shared" si="758"/>
        <v>3.2377181650281792E-2</v>
      </c>
      <c r="BW141" s="233">
        <f t="shared" si="758"/>
        <v>3.2591628712853871E-2</v>
      </c>
      <c r="BX141" s="233">
        <f t="shared" si="758"/>
        <v>3.2804328180901926E-2</v>
      </c>
      <c r="BY141" s="233">
        <f t="shared" si="758"/>
        <v>3.300831620738777E-2</v>
      </c>
      <c r="BZ141" s="233">
        <f t="shared" si="758"/>
        <v>3.3211662697628264E-2</v>
      </c>
      <c r="CA141" s="233">
        <f t="shared" si="758"/>
        <v>3.3405520239681061E-2</v>
      </c>
      <c r="CB141" s="233">
        <f t="shared" si="758"/>
        <v>3.3598696502338599E-2</v>
      </c>
      <c r="CC141" s="19"/>
      <c r="CD141" s="19"/>
      <c r="CE141" s="19"/>
    </row>
    <row r="142" spans="1:83">
      <c r="A142" s="16" t="s">
        <v>44</v>
      </c>
      <c r="B142" s="233">
        <f>EXP(-B141*B140)</f>
        <v>0.99741502223646383</v>
      </c>
      <c r="C142" s="233">
        <f t="shared" ref="C142:AR142" si="759">EXP(-C141*C140)</f>
        <v>0.98847311477131894</v>
      </c>
      <c r="D142" s="233">
        <f t="shared" si="759"/>
        <v>0.98027119677140417</v>
      </c>
      <c r="E142" s="233">
        <f t="shared" si="759"/>
        <v>0.97290637644275002</v>
      </c>
      <c r="F142" s="233">
        <f t="shared" si="759"/>
        <v>0.9659362514087344</v>
      </c>
      <c r="G142" s="233">
        <f t="shared" si="759"/>
        <v>0.95953143944032659</v>
      </c>
      <c r="H142" s="233">
        <f t="shared" si="759"/>
        <v>0.95328118045023735</v>
      </c>
      <c r="I142" s="233">
        <f t="shared" si="759"/>
        <v>0.9473555359907887</v>
      </c>
      <c r="J142" s="233">
        <f t="shared" si="759"/>
        <v>0.94139387322943613</v>
      </c>
      <c r="K142" s="233">
        <f t="shared" si="759"/>
        <v>0.93557851486145038</v>
      </c>
      <c r="L142" s="233">
        <f t="shared" si="759"/>
        <v>0.9296102560900118</v>
      </c>
      <c r="M142" s="233">
        <f t="shared" si="759"/>
        <v>0.92362793554290579</v>
      </c>
      <c r="N142" s="233">
        <f t="shared" si="759"/>
        <v>0.91734353171905492</v>
      </c>
      <c r="O142" s="233">
        <f t="shared" si="759"/>
        <v>0.91099103147086702</v>
      </c>
      <c r="P142" s="233">
        <f t="shared" si="759"/>
        <v>0.9042490874220479</v>
      </c>
      <c r="Q142" s="233">
        <f t="shared" si="759"/>
        <v>0.89738607749188837</v>
      </c>
      <c r="R142" s="233">
        <f t="shared" si="759"/>
        <v>0.89007116350834148</v>
      </c>
      <c r="S142" s="233">
        <f t="shared" si="759"/>
        <v>0.8826098356806471</v>
      </c>
      <c r="T142" s="233">
        <f t="shared" si="759"/>
        <v>0.87470017291480473</v>
      </c>
      <c r="U142" s="233">
        <f t="shared" si="759"/>
        <v>0.86659820736061244</v>
      </c>
      <c r="V142" s="233">
        <f t="shared" si="759"/>
        <v>0.85798055331457712</v>
      </c>
      <c r="W142" s="233">
        <f t="shared" si="759"/>
        <v>0.84922781574057593</v>
      </c>
      <c r="X142" s="233">
        <f t="shared" si="759"/>
        <v>0.83995194526521566</v>
      </c>
      <c r="Y142" s="233">
        <f t="shared" si="759"/>
        <v>0.83056882226453588</v>
      </c>
      <c r="Z142" s="233">
        <f t="shared" si="759"/>
        <v>0.8206678025246803</v>
      </c>
      <c r="AA142" s="233">
        <f t="shared" si="759"/>
        <v>0.81069708281366015</v>
      </c>
      <c r="AB142" s="233">
        <f t="shared" si="759"/>
        <v>0.80028216465639923</v>
      </c>
      <c r="AC142" s="233">
        <f t="shared" si="759"/>
        <v>0.78978469681387931</v>
      </c>
      <c r="AD142" s="233">
        <f t="shared" si="759"/>
        <v>0.7788079724890089</v>
      </c>
      <c r="AE142" s="233">
        <f t="shared" si="759"/>
        <v>0.7678532828168122</v>
      </c>
      <c r="AF142" s="233">
        <f t="shared" si="759"/>
        <v>0.75644844015707657</v>
      </c>
      <c r="AG142" s="233">
        <f t="shared" si="759"/>
        <v>0.74511486572211416</v>
      </c>
      <c r="AH142" s="233">
        <f t="shared" si="759"/>
        <v>0.73336423709734277</v>
      </c>
      <c r="AI142" s="233">
        <f t="shared" si="759"/>
        <v>0.72173363859288253</v>
      </c>
      <c r="AJ142" s="233">
        <f t="shared" si="759"/>
        <v>0.70978779478348131</v>
      </c>
      <c r="AK142" s="233">
        <f t="shared" si="759"/>
        <v>0.69794295282783514</v>
      </c>
      <c r="AL142" s="233">
        <f t="shared" si="759"/>
        <v>0.68575306807700676</v>
      </c>
      <c r="AM142" s="233">
        <f t="shared" si="759"/>
        <v>0.67377353670642803</v>
      </c>
      <c r="AN142" s="233">
        <f t="shared" si="759"/>
        <v>0.66148555536348708</v>
      </c>
      <c r="AO142" s="233">
        <f t="shared" si="759"/>
        <v>0.64944765180175512</v>
      </c>
      <c r="AP142" s="233">
        <f t="shared" si="759"/>
        <v>0.63713701922495991</v>
      </c>
      <c r="AQ142" s="233">
        <f t="shared" si="759"/>
        <v>0.62511170984078523</v>
      </c>
      <c r="AR142" s="233">
        <f t="shared" si="759"/>
        <v>0.61291512570210727</v>
      </c>
      <c r="AS142" s="233">
        <f>EXP(-AS141*AS140)</f>
        <v>0.60096677192088976</v>
      </c>
      <c r="AT142" s="233">
        <f t="shared" ref="AT142:CA142" si="760">EXP(-AT141*AT140)</f>
        <v>0.58881196371534983</v>
      </c>
      <c r="AU142" s="233">
        <f t="shared" si="760"/>
        <v>0.57699849081930754</v>
      </c>
      <c r="AV142" s="233">
        <f t="shared" si="760"/>
        <v>0.5650084080522273</v>
      </c>
      <c r="AW142" s="233">
        <f t="shared" si="760"/>
        <v>0.55338047577544303</v>
      </c>
      <c r="AX142" s="233">
        <f t="shared" si="760"/>
        <v>0.54160325265268827</v>
      </c>
      <c r="AY142" s="233">
        <f t="shared" si="760"/>
        <v>0.53020438059969011</v>
      </c>
      <c r="AZ142" s="233">
        <f t="shared" si="760"/>
        <v>0.51874386549852358</v>
      </c>
      <c r="BA142" s="233">
        <f t="shared" si="760"/>
        <v>0.50760984726293379</v>
      </c>
      <c r="BB142" s="233">
        <f t="shared" si="760"/>
        <v>0.49637330019017217</v>
      </c>
      <c r="BC142" s="233">
        <f t="shared" si="760"/>
        <v>0.48553482026104355</v>
      </c>
      <c r="BD142" s="233">
        <f t="shared" si="760"/>
        <v>0.4746133935195499</v>
      </c>
      <c r="BE142" s="233">
        <f t="shared" si="760"/>
        <v>0.46409429384568901</v>
      </c>
      <c r="BF142" s="233">
        <f t="shared" si="760"/>
        <v>0.45350941443970783</v>
      </c>
      <c r="BG142" s="233">
        <f t="shared" si="760"/>
        <v>0.4433278992206684</v>
      </c>
      <c r="BH142" s="233">
        <f t="shared" si="760"/>
        <v>0.43315123355167062</v>
      </c>
      <c r="BI142" s="233">
        <f t="shared" si="760"/>
        <v>0.42331943212852047</v>
      </c>
      <c r="BJ142" s="233">
        <f t="shared" si="760"/>
        <v>0.41344953678137492</v>
      </c>
      <c r="BK142" s="233">
        <f t="shared" si="760"/>
        <v>0.40397701244231576</v>
      </c>
      <c r="BL142" s="233">
        <f t="shared" si="760"/>
        <v>0.39447730844670625</v>
      </c>
      <c r="BM142" s="233">
        <f t="shared" si="760"/>
        <v>0.38536869673183693</v>
      </c>
      <c r="BN142" s="233">
        <f t="shared" si="760"/>
        <v>0.37624210158481147</v>
      </c>
      <c r="BO142" s="233">
        <f t="shared" si="760"/>
        <v>0.3674986035506918</v>
      </c>
      <c r="BP142" s="233">
        <f t="shared" si="760"/>
        <v>0.35879237029215916</v>
      </c>
      <c r="BQ142" s="233">
        <f t="shared" si="760"/>
        <v>0.35041125235605602</v>
      </c>
      <c r="BR142" s="233">
        <f t="shared" si="760"/>
        <v>0.34202610696278607</v>
      </c>
      <c r="BS142" s="233">
        <f t="shared" si="760"/>
        <v>0.33400419682862553</v>
      </c>
      <c r="BT142" s="233">
        <f t="shared" si="760"/>
        <v>0.32598338405377825</v>
      </c>
      <c r="BU142" s="233">
        <f t="shared" si="760"/>
        <v>0.3183144591698161</v>
      </c>
      <c r="BV142" s="233">
        <f t="shared" si="760"/>
        <v>0.31065072538418403</v>
      </c>
      <c r="BW142" s="233">
        <f t="shared" si="760"/>
        <v>0.30332691030190312</v>
      </c>
      <c r="BX142" s="233">
        <f t="shared" si="760"/>
        <v>0.29605121328206224</v>
      </c>
      <c r="BY142" s="233">
        <f t="shared" si="760"/>
        <v>0.28906240226151392</v>
      </c>
      <c r="BZ142" s="233">
        <f t="shared" si="760"/>
        <v>0.2820844293439968</v>
      </c>
      <c r="CA142" s="233">
        <f t="shared" si="760"/>
        <v>0.27542137501890734</v>
      </c>
      <c r="CB142" s="233">
        <f>EXP(-CB141*CB140)</f>
        <v>0.2687709651650399</v>
      </c>
      <c r="CC142" s="19"/>
      <c r="CD142" s="19"/>
      <c r="CE142" s="19"/>
    </row>
    <row r="143" spans="1:83">
      <c r="A143" s="17"/>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19"/>
      <c r="CD143" s="19"/>
      <c r="CE143" s="19"/>
    </row>
    <row r="144" spans="1:83">
      <c r="A144" s="16" t="s">
        <v>40</v>
      </c>
      <c r="B144" s="233">
        <f t="shared" ref="B144:AG144" si="761">DAYS360($B$3,B52)</f>
        <v>-43022</v>
      </c>
      <c r="C144" s="233">
        <f t="shared" si="761"/>
        <v>-42842</v>
      </c>
      <c r="D144" s="233">
        <f t="shared" si="761"/>
        <v>-42662</v>
      </c>
      <c r="E144" s="233">
        <f t="shared" si="761"/>
        <v>-42482</v>
      </c>
      <c r="F144" s="233">
        <f t="shared" si="761"/>
        <v>-42302</v>
      </c>
      <c r="G144" s="233">
        <f t="shared" si="761"/>
        <v>-42122</v>
      </c>
      <c r="H144" s="233">
        <f t="shared" si="761"/>
        <v>-41942</v>
      </c>
      <c r="I144" s="233">
        <f t="shared" si="761"/>
        <v>-41762</v>
      </c>
      <c r="J144" s="233">
        <f t="shared" si="761"/>
        <v>-41582</v>
      </c>
      <c r="K144" s="233">
        <f t="shared" si="761"/>
        <v>-41403</v>
      </c>
      <c r="L144" s="233">
        <f t="shared" si="761"/>
        <v>-41223</v>
      </c>
      <c r="M144" s="233">
        <f t="shared" si="761"/>
        <v>-41043</v>
      </c>
      <c r="N144" s="233">
        <f t="shared" si="761"/>
        <v>-40863</v>
      </c>
      <c r="O144" s="233">
        <f t="shared" si="761"/>
        <v>-40683</v>
      </c>
      <c r="P144" s="233">
        <f t="shared" si="761"/>
        <v>-40503</v>
      </c>
      <c r="Q144" s="233">
        <f t="shared" si="761"/>
        <v>-40323</v>
      </c>
      <c r="R144" s="233">
        <f t="shared" si="761"/>
        <v>-40143</v>
      </c>
      <c r="S144" s="233">
        <f t="shared" si="761"/>
        <v>-39964</v>
      </c>
      <c r="T144" s="233">
        <f t="shared" si="761"/>
        <v>-39784</v>
      </c>
      <c r="U144" s="233">
        <f t="shared" si="761"/>
        <v>-39604</v>
      </c>
      <c r="V144" s="233">
        <f t="shared" si="761"/>
        <v>-39424</v>
      </c>
      <c r="W144" s="233">
        <f t="shared" si="761"/>
        <v>-39244</v>
      </c>
      <c r="X144" s="233">
        <f t="shared" si="761"/>
        <v>-39064</v>
      </c>
      <c r="Y144" s="233">
        <f t="shared" si="761"/>
        <v>-38884</v>
      </c>
      <c r="Z144" s="233">
        <f t="shared" si="761"/>
        <v>-38704</v>
      </c>
      <c r="AA144" s="233">
        <f t="shared" si="761"/>
        <v>-38525</v>
      </c>
      <c r="AB144" s="233">
        <f t="shared" si="761"/>
        <v>-38345</v>
      </c>
      <c r="AC144" s="233">
        <f t="shared" si="761"/>
        <v>-38165</v>
      </c>
      <c r="AD144" s="233">
        <f t="shared" si="761"/>
        <v>-37985</v>
      </c>
      <c r="AE144" s="233">
        <f t="shared" si="761"/>
        <v>-37805</v>
      </c>
      <c r="AF144" s="233">
        <f t="shared" si="761"/>
        <v>-37625</v>
      </c>
      <c r="AG144" s="233">
        <f t="shared" si="761"/>
        <v>-37445</v>
      </c>
      <c r="AH144" s="233">
        <f t="shared" ref="AH144:BM144" si="762">DAYS360($B$3,AH52)</f>
        <v>-37265</v>
      </c>
      <c r="AI144" s="233">
        <f t="shared" si="762"/>
        <v>-37086</v>
      </c>
      <c r="AJ144" s="233">
        <f t="shared" si="762"/>
        <v>-36906</v>
      </c>
      <c r="AK144" s="233">
        <f t="shared" si="762"/>
        <v>-36726</v>
      </c>
      <c r="AL144" s="233">
        <f t="shared" si="762"/>
        <v>-36546</v>
      </c>
      <c r="AM144" s="233">
        <f t="shared" si="762"/>
        <v>-36366</v>
      </c>
      <c r="AN144" s="233">
        <f t="shared" si="762"/>
        <v>-36186</v>
      </c>
      <c r="AO144" s="233">
        <f t="shared" si="762"/>
        <v>-36006</v>
      </c>
      <c r="AP144" s="233">
        <f t="shared" si="762"/>
        <v>-35826</v>
      </c>
      <c r="AQ144" s="233">
        <f t="shared" si="762"/>
        <v>-35647</v>
      </c>
      <c r="AR144" s="233">
        <f t="shared" si="762"/>
        <v>-35467</v>
      </c>
      <c r="AS144" s="233">
        <f t="shared" si="762"/>
        <v>-35287</v>
      </c>
      <c r="AT144" s="233">
        <f t="shared" si="762"/>
        <v>-35107</v>
      </c>
      <c r="AU144" s="233">
        <f t="shared" si="762"/>
        <v>-34927</v>
      </c>
      <c r="AV144" s="233">
        <f t="shared" si="762"/>
        <v>-34747</v>
      </c>
      <c r="AW144" s="233">
        <f t="shared" si="762"/>
        <v>-34567</v>
      </c>
      <c r="AX144" s="233">
        <f t="shared" si="762"/>
        <v>-34387</v>
      </c>
      <c r="AY144" s="233">
        <f t="shared" si="762"/>
        <v>-34208</v>
      </c>
      <c r="AZ144" s="233">
        <f t="shared" si="762"/>
        <v>-34028</v>
      </c>
      <c r="BA144" s="233">
        <f t="shared" si="762"/>
        <v>-33848</v>
      </c>
      <c r="BB144" s="233">
        <f t="shared" si="762"/>
        <v>-33668</v>
      </c>
      <c r="BC144" s="233">
        <f t="shared" si="762"/>
        <v>-33488</v>
      </c>
      <c r="BD144" s="233">
        <f t="shared" si="762"/>
        <v>-33308</v>
      </c>
      <c r="BE144" s="233">
        <f t="shared" si="762"/>
        <v>-33128</v>
      </c>
      <c r="BF144" s="233">
        <f t="shared" si="762"/>
        <v>-32948</v>
      </c>
      <c r="BG144" s="233">
        <f t="shared" si="762"/>
        <v>-32769</v>
      </c>
      <c r="BH144" s="233">
        <f t="shared" si="762"/>
        <v>-32589</v>
      </c>
      <c r="BI144" s="233">
        <f t="shared" si="762"/>
        <v>-32409</v>
      </c>
      <c r="BJ144" s="233">
        <f t="shared" si="762"/>
        <v>-32229</v>
      </c>
      <c r="BK144" s="233">
        <f t="shared" si="762"/>
        <v>-32049</v>
      </c>
      <c r="BL144" s="233">
        <f t="shared" si="762"/>
        <v>-31869</v>
      </c>
      <c r="BM144" s="233">
        <f t="shared" si="762"/>
        <v>-31689</v>
      </c>
      <c r="BN144" s="233">
        <f t="shared" ref="BN144:CB144" si="763">DAYS360($B$3,BN52)</f>
        <v>-31509</v>
      </c>
      <c r="BO144" s="233">
        <f t="shared" si="763"/>
        <v>-31330</v>
      </c>
      <c r="BP144" s="233">
        <f t="shared" si="763"/>
        <v>-31150</v>
      </c>
      <c r="BQ144" s="233">
        <f t="shared" si="763"/>
        <v>-30970</v>
      </c>
      <c r="BR144" s="233">
        <f t="shared" si="763"/>
        <v>-30790</v>
      </c>
      <c r="BS144" s="233">
        <f t="shared" si="763"/>
        <v>-30610</v>
      </c>
      <c r="BT144" s="233">
        <f t="shared" si="763"/>
        <v>-30430</v>
      </c>
      <c r="BU144" s="233">
        <f t="shared" si="763"/>
        <v>-30250</v>
      </c>
      <c r="BV144" s="233">
        <f t="shared" si="763"/>
        <v>-30070</v>
      </c>
      <c r="BW144" s="233">
        <f t="shared" si="763"/>
        <v>-29891</v>
      </c>
      <c r="BX144" s="233">
        <f t="shared" si="763"/>
        <v>-29711</v>
      </c>
      <c r="BY144" s="233">
        <f t="shared" si="763"/>
        <v>-29531</v>
      </c>
      <c r="BZ144" s="233">
        <f t="shared" si="763"/>
        <v>-29351</v>
      </c>
      <c r="CA144" s="233">
        <f t="shared" si="763"/>
        <v>-29171</v>
      </c>
      <c r="CB144" s="233">
        <f t="shared" si="763"/>
        <v>-28991</v>
      </c>
      <c r="CC144" s="19"/>
      <c r="CD144" s="19"/>
      <c r="CE144" s="19"/>
    </row>
    <row r="145" spans="1:83">
      <c r="A145" s="16" t="s">
        <v>41</v>
      </c>
      <c r="B145" s="233">
        <f>B144/360</f>
        <v>-119.50555555555556</v>
      </c>
      <c r="C145" s="233">
        <f t="shared" ref="C145:BN145" si="764">C144/360</f>
        <v>-119.00555555555556</v>
      </c>
      <c r="D145" s="233">
        <f t="shared" si="764"/>
        <v>-118.50555555555556</v>
      </c>
      <c r="E145" s="233">
        <f t="shared" si="764"/>
        <v>-118.00555555555556</v>
      </c>
      <c r="F145" s="233">
        <f t="shared" si="764"/>
        <v>-117.50555555555556</v>
      </c>
      <c r="G145" s="233">
        <f t="shared" si="764"/>
        <v>-117.00555555555556</v>
      </c>
      <c r="H145" s="233">
        <f t="shared" si="764"/>
        <v>-116.50555555555556</v>
      </c>
      <c r="I145" s="233">
        <f t="shared" si="764"/>
        <v>-116.00555555555556</v>
      </c>
      <c r="J145" s="233">
        <f t="shared" si="764"/>
        <v>-115.50555555555556</v>
      </c>
      <c r="K145" s="233">
        <f t="shared" si="764"/>
        <v>-115.00833333333334</v>
      </c>
      <c r="L145" s="233">
        <f t="shared" si="764"/>
        <v>-114.50833333333334</v>
      </c>
      <c r="M145" s="233">
        <f t="shared" si="764"/>
        <v>-114.00833333333334</v>
      </c>
      <c r="N145" s="233">
        <f t="shared" si="764"/>
        <v>-113.50833333333334</v>
      </c>
      <c r="O145" s="233">
        <f t="shared" si="764"/>
        <v>-113.00833333333334</v>
      </c>
      <c r="P145" s="233">
        <f t="shared" si="764"/>
        <v>-112.50833333333334</v>
      </c>
      <c r="Q145" s="233">
        <f t="shared" si="764"/>
        <v>-112.00833333333334</v>
      </c>
      <c r="R145" s="233">
        <f t="shared" si="764"/>
        <v>-111.50833333333334</v>
      </c>
      <c r="S145" s="233">
        <f t="shared" si="764"/>
        <v>-111.01111111111111</v>
      </c>
      <c r="T145" s="233">
        <f t="shared" si="764"/>
        <v>-110.51111111111111</v>
      </c>
      <c r="U145" s="233">
        <f t="shared" si="764"/>
        <v>-110.01111111111111</v>
      </c>
      <c r="V145" s="233">
        <f t="shared" si="764"/>
        <v>-109.51111111111111</v>
      </c>
      <c r="W145" s="233">
        <f t="shared" si="764"/>
        <v>-109.01111111111111</v>
      </c>
      <c r="X145" s="233">
        <f t="shared" si="764"/>
        <v>-108.51111111111111</v>
      </c>
      <c r="Y145" s="233">
        <f t="shared" si="764"/>
        <v>-108.01111111111111</v>
      </c>
      <c r="Z145" s="233">
        <f t="shared" si="764"/>
        <v>-107.51111111111111</v>
      </c>
      <c r="AA145" s="233">
        <f t="shared" si="764"/>
        <v>-107.01388888888889</v>
      </c>
      <c r="AB145" s="233">
        <f t="shared" si="764"/>
        <v>-106.51388888888889</v>
      </c>
      <c r="AC145" s="233">
        <f t="shared" si="764"/>
        <v>-106.01388888888889</v>
      </c>
      <c r="AD145" s="233">
        <f t="shared" si="764"/>
        <v>-105.51388888888889</v>
      </c>
      <c r="AE145" s="233">
        <f t="shared" si="764"/>
        <v>-105.01388888888889</v>
      </c>
      <c r="AF145" s="233">
        <f t="shared" si="764"/>
        <v>-104.51388888888889</v>
      </c>
      <c r="AG145" s="233">
        <f t="shared" si="764"/>
        <v>-104.01388888888889</v>
      </c>
      <c r="AH145" s="233">
        <f t="shared" si="764"/>
        <v>-103.51388888888889</v>
      </c>
      <c r="AI145" s="233">
        <f t="shared" si="764"/>
        <v>-103.01666666666667</v>
      </c>
      <c r="AJ145" s="233">
        <f t="shared" si="764"/>
        <v>-102.51666666666667</v>
      </c>
      <c r="AK145" s="233">
        <f t="shared" si="764"/>
        <v>-102.01666666666667</v>
      </c>
      <c r="AL145" s="233">
        <f t="shared" si="764"/>
        <v>-101.51666666666667</v>
      </c>
      <c r="AM145" s="233">
        <f t="shared" si="764"/>
        <v>-101.01666666666667</v>
      </c>
      <c r="AN145" s="233">
        <f t="shared" si="764"/>
        <v>-100.51666666666667</v>
      </c>
      <c r="AO145" s="233">
        <f t="shared" si="764"/>
        <v>-100.01666666666667</v>
      </c>
      <c r="AP145" s="233">
        <f t="shared" si="764"/>
        <v>-99.516666666666666</v>
      </c>
      <c r="AQ145" s="233">
        <f t="shared" si="764"/>
        <v>-99.019444444444446</v>
      </c>
      <c r="AR145" s="233">
        <f t="shared" si="764"/>
        <v>-98.519444444444446</v>
      </c>
      <c r="AS145" s="233">
        <f t="shared" si="764"/>
        <v>-98.019444444444446</v>
      </c>
      <c r="AT145" s="233">
        <f t="shared" si="764"/>
        <v>-97.519444444444446</v>
      </c>
      <c r="AU145" s="233">
        <f t="shared" si="764"/>
        <v>-97.019444444444446</v>
      </c>
      <c r="AV145" s="233">
        <f t="shared" si="764"/>
        <v>-96.519444444444446</v>
      </c>
      <c r="AW145" s="233">
        <f t="shared" si="764"/>
        <v>-96.019444444444446</v>
      </c>
      <c r="AX145" s="233">
        <f t="shared" si="764"/>
        <v>-95.519444444444446</v>
      </c>
      <c r="AY145" s="233">
        <f t="shared" si="764"/>
        <v>-95.022222222222226</v>
      </c>
      <c r="AZ145" s="233">
        <f t="shared" si="764"/>
        <v>-94.522222222222226</v>
      </c>
      <c r="BA145" s="233">
        <f t="shared" si="764"/>
        <v>-94.022222222222226</v>
      </c>
      <c r="BB145" s="233">
        <f t="shared" si="764"/>
        <v>-93.522222222222226</v>
      </c>
      <c r="BC145" s="233">
        <f t="shared" si="764"/>
        <v>-93.022222222222226</v>
      </c>
      <c r="BD145" s="233">
        <f t="shared" si="764"/>
        <v>-92.522222222222226</v>
      </c>
      <c r="BE145" s="233">
        <f t="shared" si="764"/>
        <v>-92.022222222222226</v>
      </c>
      <c r="BF145" s="233">
        <f t="shared" si="764"/>
        <v>-91.522222222222226</v>
      </c>
      <c r="BG145" s="233">
        <f t="shared" si="764"/>
        <v>-91.025000000000006</v>
      </c>
      <c r="BH145" s="233">
        <f t="shared" si="764"/>
        <v>-90.525000000000006</v>
      </c>
      <c r="BI145" s="233">
        <f t="shared" si="764"/>
        <v>-90.025000000000006</v>
      </c>
      <c r="BJ145" s="233">
        <f t="shared" si="764"/>
        <v>-89.525000000000006</v>
      </c>
      <c r="BK145" s="233">
        <f t="shared" si="764"/>
        <v>-89.025000000000006</v>
      </c>
      <c r="BL145" s="233">
        <f t="shared" si="764"/>
        <v>-88.525000000000006</v>
      </c>
      <c r="BM145" s="233">
        <f t="shared" si="764"/>
        <v>-88.025000000000006</v>
      </c>
      <c r="BN145" s="233">
        <f t="shared" si="764"/>
        <v>-87.525000000000006</v>
      </c>
      <c r="BO145" s="233">
        <f t="shared" ref="BO145:CB145" si="765">BO144/360</f>
        <v>-87.027777777777771</v>
      </c>
      <c r="BP145" s="233">
        <f t="shared" si="765"/>
        <v>-86.527777777777771</v>
      </c>
      <c r="BQ145" s="233">
        <f t="shared" si="765"/>
        <v>-86.027777777777771</v>
      </c>
      <c r="BR145" s="233">
        <f t="shared" si="765"/>
        <v>-85.527777777777771</v>
      </c>
      <c r="BS145" s="233">
        <f t="shared" si="765"/>
        <v>-85.027777777777771</v>
      </c>
      <c r="BT145" s="233">
        <f t="shared" si="765"/>
        <v>-84.527777777777771</v>
      </c>
      <c r="BU145" s="233">
        <f t="shared" si="765"/>
        <v>-84.027777777777771</v>
      </c>
      <c r="BV145" s="233">
        <f t="shared" si="765"/>
        <v>-83.527777777777771</v>
      </c>
      <c r="BW145" s="233">
        <f t="shared" si="765"/>
        <v>-83.030555555555551</v>
      </c>
      <c r="BX145" s="233">
        <f t="shared" si="765"/>
        <v>-82.530555555555551</v>
      </c>
      <c r="BY145" s="233">
        <f t="shared" si="765"/>
        <v>-82.030555555555551</v>
      </c>
      <c r="BZ145" s="233">
        <f t="shared" si="765"/>
        <v>-81.530555555555551</v>
      </c>
      <c r="CA145" s="233">
        <f t="shared" si="765"/>
        <v>-81.030555555555551</v>
      </c>
      <c r="CB145" s="233">
        <f t="shared" si="765"/>
        <v>-80.530555555555551</v>
      </c>
      <c r="CC145" s="19"/>
      <c r="CD145" s="19"/>
      <c r="CE145" s="19"/>
    </row>
    <row r="146" spans="1:83">
      <c r="A146" s="16" t="s">
        <v>43</v>
      </c>
      <c r="B146" s="233">
        <f>IF(B144&lt;0,0,$B$5+$B$6*((1-EXP(-B145/$B$9))/(B145/$B$9))+$B$7*((1-EXP(-B145/$B$9))/(B145/$B$9)-EXP(-B145/$B$9))+$B$8*((1-EXP(-B145/$B$10))/(B145/$B$10)-EXP(-B145/$B$10)))</f>
        <v>0</v>
      </c>
      <c r="C146" s="233">
        <f t="shared" ref="C146:BN146" si="766">IF(C144&lt;0,0,$B$5+$B$6*((1-EXP(-C145/$B$9))/(C145/$B$9))+$B$7*((1-EXP(-C145/$B$9))/(C145/$B$9)-EXP(-C145/$B$9))+$B$8*((1-EXP(-C145/$B$10))/(C145/$B$10)-EXP(-C145/$B$10)))</f>
        <v>0</v>
      </c>
      <c r="D146" s="233">
        <f t="shared" si="766"/>
        <v>0</v>
      </c>
      <c r="E146" s="233">
        <f t="shared" si="766"/>
        <v>0</v>
      </c>
      <c r="F146" s="233">
        <f t="shared" si="766"/>
        <v>0</v>
      </c>
      <c r="G146" s="233">
        <f t="shared" si="766"/>
        <v>0</v>
      </c>
      <c r="H146" s="233">
        <f t="shared" si="766"/>
        <v>0</v>
      </c>
      <c r="I146" s="233">
        <f t="shared" si="766"/>
        <v>0</v>
      </c>
      <c r="J146" s="233">
        <f t="shared" si="766"/>
        <v>0</v>
      </c>
      <c r="K146" s="233">
        <f t="shared" si="766"/>
        <v>0</v>
      </c>
      <c r="L146" s="233">
        <f t="shared" si="766"/>
        <v>0</v>
      </c>
      <c r="M146" s="233">
        <f t="shared" si="766"/>
        <v>0</v>
      </c>
      <c r="N146" s="233">
        <f t="shared" si="766"/>
        <v>0</v>
      </c>
      <c r="O146" s="233">
        <f t="shared" si="766"/>
        <v>0</v>
      </c>
      <c r="P146" s="233">
        <f t="shared" si="766"/>
        <v>0</v>
      </c>
      <c r="Q146" s="233">
        <f t="shared" si="766"/>
        <v>0</v>
      </c>
      <c r="R146" s="233">
        <f t="shared" si="766"/>
        <v>0</v>
      </c>
      <c r="S146" s="233">
        <f t="shared" si="766"/>
        <v>0</v>
      </c>
      <c r="T146" s="233">
        <f t="shared" si="766"/>
        <v>0</v>
      </c>
      <c r="U146" s="233">
        <f t="shared" si="766"/>
        <v>0</v>
      </c>
      <c r="V146" s="233">
        <f t="shared" si="766"/>
        <v>0</v>
      </c>
      <c r="W146" s="233">
        <f t="shared" si="766"/>
        <v>0</v>
      </c>
      <c r="X146" s="233">
        <f t="shared" si="766"/>
        <v>0</v>
      </c>
      <c r="Y146" s="233">
        <f t="shared" si="766"/>
        <v>0</v>
      </c>
      <c r="Z146" s="233">
        <f t="shared" si="766"/>
        <v>0</v>
      </c>
      <c r="AA146" s="233">
        <f t="shared" si="766"/>
        <v>0</v>
      </c>
      <c r="AB146" s="233">
        <f t="shared" si="766"/>
        <v>0</v>
      </c>
      <c r="AC146" s="233">
        <f t="shared" si="766"/>
        <v>0</v>
      </c>
      <c r="AD146" s="233">
        <f t="shared" si="766"/>
        <v>0</v>
      </c>
      <c r="AE146" s="233">
        <f t="shared" si="766"/>
        <v>0</v>
      </c>
      <c r="AF146" s="233">
        <f t="shared" si="766"/>
        <v>0</v>
      </c>
      <c r="AG146" s="233">
        <f t="shared" si="766"/>
        <v>0</v>
      </c>
      <c r="AH146" s="233">
        <f t="shared" si="766"/>
        <v>0</v>
      </c>
      <c r="AI146" s="233">
        <f t="shared" si="766"/>
        <v>0</v>
      </c>
      <c r="AJ146" s="233">
        <f t="shared" si="766"/>
        <v>0</v>
      </c>
      <c r="AK146" s="233">
        <f t="shared" si="766"/>
        <v>0</v>
      </c>
      <c r="AL146" s="233">
        <f t="shared" si="766"/>
        <v>0</v>
      </c>
      <c r="AM146" s="233">
        <f t="shared" si="766"/>
        <v>0</v>
      </c>
      <c r="AN146" s="233">
        <f t="shared" si="766"/>
        <v>0</v>
      </c>
      <c r="AO146" s="233">
        <f t="shared" si="766"/>
        <v>0</v>
      </c>
      <c r="AP146" s="233">
        <f t="shared" si="766"/>
        <v>0</v>
      </c>
      <c r="AQ146" s="233">
        <f t="shared" si="766"/>
        <v>0</v>
      </c>
      <c r="AR146" s="233">
        <f t="shared" si="766"/>
        <v>0</v>
      </c>
      <c r="AS146" s="233">
        <f t="shared" si="766"/>
        <v>0</v>
      </c>
      <c r="AT146" s="233">
        <f t="shared" si="766"/>
        <v>0</v>
      </c>
      <c r="AU146" s="233">
        <f t="shared" si="766"/>
        <v>0</v>
      </c>
      <c r="AV146" s="233">
        <f t="shared" si="766"/>
        <v>0</v>
      </c>
      <c r="AW146" s="233">
        <f t="shared" si="766"/>
        <v>0</v>
      </c>
      <c r="AX146" s="233">
        <f t="shared" si="766"/>
        <v>0</v>
      </c>
      <c r="AY146" s="233">
        <f t="shared" si="766"/>
        <v>0</v>
      </c>
      <c r="AZ146" s="233">
        <f t="shared" si="766"/>
        <v>0</v>
      </c>
      <c r="BA146" s="233">
        <f t="shared" si="766"/>
        <v>0</v>
      </c>
      <c r="BB146" s="233">
        <f t="shared" si="766"/>
        <v>0</v>
      </c>
      <c r="BC146" s="233">
        <f t="shared" si="766"/>
        <v>0</v>
      </c>
      <c r="BD146" s="233">
        <f t="shared" si="766"/>
        <v>0</v>
      </c>
      <c r="BE146" s="233">
        <f t="shared" si="766"/>
        <v>0</v>
      </c>
      <c r="BF146" s="233">
        <f t="shared" si="766"/>
        <v>0</v>
      </c>
      <c r="BG146" s="233">
        <f t="shared" si="766"/>
        <v>0</v>
      </c>
      <c r="BH146" s="233">
        <f t="shared" si="766"/>
        <v>0</v>
      </c>
      <c r="BI146" s="233">
        <f t="shared" si="766"/>
        <v>0</v>
      </c>
      <c r="BJ146" s="233">
        <f t="shared" si="766"/>
        <v>0</v>
      </c>
      <c r="BK146" s="233">
        <f t="shared" si="766"/>
        <v>0</v>
      </c>
      <c r="BL146" s="233">
        <f t="shared" si="766"/>
        <v>0</v>
      </c>
      <c r="BM146" s="233">
        <f t="shared" si="766"/>
        <v>0</v>
      </c>
      <c r="BN146" s="233">
        <f t="shared" si="766"/>
        <v>0</v>
      </c>
      <c r="BO146" s="233">
        <f t="shared" ref="BO146:CB146" si="767">IF(BO144&lt;0,0,$B$5+$B$6*((1-EXP(-BO145/$B$9))/(BO145/$B$9))+$B$7*((1-EXP(-BO145/$B$9))/(BO145/$B$9)-EXP(-BO145/$B$9))+$B$8*((1-EXP(-BO145/$B$10))/(BO145/$B$10)-EXP(-BO145/$B$10)))</f>
        <v>0</v>
      </c>
      <c r="BP146" s="233">
        <f t="shared" si="767"/>
        <v>0</v>
      </c>
      <c r="BQ146" s="233">
        <f t="shared" si="767"/>
        <v>0</v>
      </c>
      <c r="BR146" s="233">
        <f t="shared" si="767"/>
        <v>0</v>
      </c>
      <c r="BS146" s="233">
        <f t="shared" si="767"/>
        <v>0</v>
      </c>
      <c r="BT146" s="233">
        <f t="shared" si="767"/>
        <v>0</v>
      </c>
      <c r="BU146" s="233">
        <f t="shared" si="767"/>
        <v>0</v>
      </c>
      <c r="BV146" s="233">
        <f t="shared" si="767"/>
        <v>0</v>
      </c>
      <c r="BW146" s="233">
        <f t="shared" si="767"/>
        <v>0</v>
      </c>
      <c r="BX146" s="233">
        <f t="shared" si="767"/>
        <v>0</v>
      </c>
      <c r="BY146" s="233">
        <f t="shared" si="767"/>
        <v>0</v>
      </c>
      <c r="BZ146" s="233">
        <f t="shared" si="767"/>
        <v>0</v>
      </c>
      <c r="CA146" s="233">
        <f t="shared" si="767"/>
        <v>0</v>
      </c>
      <c r="CB146" s="233">
        <f t="shared" si="767"/>
        <v>0</v>
      </c>
      <c r="CC146" s="19"/>
      <c r="CD146" s="19"/>
      <c r="CE146" s="19"/>
    </row>
    <row r="147" spans="1:83">
      <c r="A147" s="16" t="s">
        <v>44</v>
      </c>
      <c r="B147" s="233">
        <f>EXP(-B146*B145)</f>
        <v>1</v>
      </c>
      <c r="C147" s="233">
        <f t="shared" ref="C147:AR147" si="768">EXP(-C146*C145)</f>
        <v>1</v>
      </c>
      <c r="D147" s="233">
        <f t="shared" si="768"/>
        <v>1</v>
      </c>
      <c r="E147" s="233">
        <f t="shared" si="768"/>
        <v>1</v>
      </c>
      <c r="F147" s="233">
        <f t="shared" si="768"/>
        <v>1</v>
      </c>
      <c r="G147" s="233">
        <f t="shared" si="768"/>
        <v>1</v>
      </c>
      <c r="H147" s="233">
        <f t="shared" si="768"/>
        <v>1</v>
      </c>
      <c r="I147" s="233">
        <f t="shared" si="768"/>
        <v>1</v>
      </c>
      <c r="J147" s="233">
        <f t="shared" si="768"/>
        <v>1</v>
      </c>
      <c r="K147" s="233">
        <f t="shared" si="768"/>
        <v>1</v>
      </c>
      <c r="L147" s="233">
        <f t="shared" si="768"/>
        <v>1</v>
      </c>
      <c r="M147" s="233">
        <f t="shared" si="768"/>
        <v>1</v>
      </c>
      <c r="N147" s="233">
        <f t="shared" si="768"/>
        <v>1</v>
      </c>
      <c r="O147" s="233">
        <f t="shared" si="768"/>
        <v>1</v>
      </c>
      <c r="P147" s="233">
        <f t="shared" si="768"/>
        <v>1</v>
      </c>
      <c r="Q147" s="233">
        <f t="shared" si="768"/>
        <v>1</v>
      </c>
      <c r="R147" s="233">
        <f t="shared" si="768"/>
        <v>1</v>
      </c>
      <c r="S147" s="233">
        <f t="shared" si="768"/>
        <v>1</v>
      </c>
      <c r="T147" s="233">
        <f t="shared" si="768"/>
        <v>1</v>
      </c>
      <c r="U147" s="233">
        <f t="shared" si="768"/>
        <v>1</v>
      </c>
      <c r="V147" s="233">
        <f t="shared" si="768"/>
        <v>1</v>
      </c>
      <c r="W147" s="233">
        <f t="shared" si="768"/>
        <v>1</v>
      </c>
      <c r="X147" s="233">
        <f t="shared" si="768"/>
        <v>1</v>
      </c>
      <c r="Y147" s="233">
        <f t="shared" si="768"/>
        <v>1</v>
      </c>
      <c r="Z147" s="233">
        <f t="shared" si="768"/>
        <v>1</v>
      </c>
      <c r="AA147" s="233">
        <f t="shared" si="768"/>
        <v>1</v>
      </c>
      <c r="AB147" s="233">
        <f t="shared" si="768"/>
        <v>1</v>
      </c>
      <c r="AC147" s="233">
        <f t="shared" si="768"/>
        <v>1</v>
      </c>
      <c r="AD147" s="233">
        <f t="shared" si="768"/>
        <v>1</v>
      </c>
      <c r="AE147" s="233">
        <f t="shared" si="768"/>
        <v>1</v>
      </c>
      <c r="AF147" s="233">
        <f t="shared" si="768"/>
        <v>1</v>
      </c>
      <c r="AG147" s="233">
        <f t="shared" si="768"/>
        <v>1</v>
      </c>
      <c r="AH147" s="233">
        <f t="shared" si="768"/>
        <v>1</v>
      </c>
      <c r="AI147" s="233">
        <f t="shared" si="768"/>
        <v>1</v>
      </c>
      <c r="AJ147" s="233">
        <f t="shared" si="768"/>
        <v>1</v>
      </c>
      <c r="AK147" s="233">
        <f t="shared" si="768"/>
        <v>1</v>
      </c>
      <c r="AL147" s="233">
        <f t="shared" si="768"/>
        <v>1</v>
      </c>
      <c r="AM147" s="233">
        <f t="shared" si="768"/>
        <v>1</v>
      </c>
      <c r="AN147" s="233">
        <f t="shared" si="768"/>
        <v>1</v>
      </c>
      <c r="AO147" s="233">
        <f t="shared" si="768"/>
        <v>1</v>
      </c>
      <c r="AP147" s="233">
        <f t="shared" si="768"/>
        <v>1</v>
      </c>
      <c r="AQ147" s="233">
        <f t="shared" si="768"/>
        <v>1</v>
      </c>
      <c r="AR147" s="233">
        <f t="shared" si="768"/>
        <v>1</v>
      </c>
      <c r="AS147" s="233">
        <f>EXP(-AS146*AS145)</f>
        <v>1</v>
      </c>
      <c r="AT147" s="233">
        <f t="shared" ref="AT147:CA147" si="769">EXP(-AT146*AT145)</f>
        <v>1</v>
      </c>
      <c r="AU147" s="233">
        <f t="shared" si="769"/>
        <v>1</v>
      </c>
      <c r="AV147" s="233">
        <f t="shared" si="769"/>
        <v>1</v>
      </c>
      <c r="AW147" s="233">
        <f t="shared" si="769"/>
        <v>1</v>
      </c>
      <c r="AX147" s="233">
        <f t="shared" si="769"/>
        <v>1</v>
      </c>
      <c r="AY147" s="233">
        <f t="shared" si="769"/>
        <v>1</v>
      </c>
      <c r="AZ147" s="233">
        <f t="shared" si="769"/>
        <v>1</v>
      </c>
      <c r="BA147" s="233">
        <f t="shared" si="769"/>
        <v>1</v>
      </c>
      <c r="BB147" s="233">
        <f t="shared" si="769"/>
        <v>1</v>
      </c>
      <c r="BC147" s="233">
        <f t="shared" si="769"/>
        <v>1</v>
      </c>
      <c r="BD147" s="233">
        <f t="shared" si="769"/>
        <v>1</v>
      </c>
      <c r="BE147" s="233">
        <f t="shared" si="769"/>
        <v>1</v>
      </c>
      <c r="BF147" s="233">
        <f t="shared" si="769"/>
        <v>1</v>
      </c>
      <c r="BG147" s="233">
        <f t="shared" si="769"/>
        <v>1</v>
      </c>
      <c r="BH147" s="233">
        <f t="shared" si="769"/>
        <v>1</v>
      </c>
      <c r="BI147" s="233">
        <f t="shared" si="769"/>
        <v>1</v>
      </c>
      <c r="BJ147" s="233">
        <f t="shared" si="769"/>
        <v>1</v>
      </c>
      <c r="BK147" s="233">
        <f t="shared" si="769"/>
        <v>1</v>
      </c>
      <c r="BL147" s="233">
        <f t="shared" si="769"/>
        <v>1</v>
      </c>
      <c r="BM147" s="233">
        <f t="shared" si="769"/>
        <v>1</v>
      </c>
      <c r="BN147" s="233">
        <f t="shared" si="769"/>
        <v>1</v>
      </c>
      <c r="BO147" s="233">
        <f t="shared" si="769"/>
        <v>1</v>
      </c>
      <c r="BP147" s="233">
        <f t="shared" si="769"/>
        <v>1</v>
      </c>
      <c r="BQ147" s="233">
        <f t="shared" si="769"/>
        <v>1</v>
      </c>
      <c r="BR147" s="233">
        <f t="shared" si="769"/>
        <v>1</v>
      </c>
      <c r="BS147" s="233">
        <f t="shared" si="769"/>
        <v>1</v>
      </c>
      <c r="BT147" s="233">
        <f t="shared" si="769"/>
        <v>1</v>
      </c>
      <c r="BU147" s="233">
        <f t="shared" si="769"/>
        <v>1</v>
      </c>
      <c r="BV147" s="233">
        <f t="shared" si="769"/>
        <v>1</v>
      </c>
      <c r="BW147" s="233">
        <f t="shared" si="769"/>
        <v>1</v>
      </c>
      <c r="BX147" s="233">
        <f t="shared" si="769"/>
        <v>1</v>
      </c>
      <c r="BY147" s="233">
        <f t="shared" si="769"/>
        <v>1</v>
      </c>
      <c r="BZ147" s="233">
        <f t="shared" si="769"/>
        <v>1</v>
      </c>
      <c r="CA147" s="233">
        <f t="shared" si="769"/>
        <v>1</v>
      </c>
      <c r="CB147" s="233">
        <f>EXP(-CB146*CB145)</f>
        <v>1</v>
      </c>
      <c r="CC147" s="19"/>
      <c r="CD147" s="19"/>
      <c r="CE147" s="19"/>
    </row>
    <row r="148" spans="1:83">
      <c r="A148" s="17"/>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19"/>
      <c r="CD148" s="19"/>
      <c r="CE148" s="19"/>
    </row>
    <row r="149" spans="1:83">
      <c r="A149" s="16" t="s">
        <v>40</v>
      </c>
      <c r="B149" s="233">
        <f t="shared" ref="B149:AG149" si="770">DAYS360($B$3,B54)</f>
        <v>48</v>
      </c>
      <c r="C149" s="233">
        <f t="shared" si="770"/>
        <v>226</v>
      </c>
      <c r="D149" s="233">
        <f t="shared" si="770"/>
        <v>407</v>
      </c>
      <c r="E149" s="233">
        <f t="shared" si="770"/>
        <v>585</v>
      </c>
      <c r="F149" s="233">
        <f t="shared" si="770"/>
        <v>767</v>
      </c>
      <c r="G149" s="233">
        <f t="shared" si="770"/>
        <v>945</v>
      </c>
      <c r="H149" s="233">
        <f t="shared" si="770"/>
        <v>1127</v>
      </c>
      <c r="I149" s="233">
        <f t="shared" si="770"/>
        <v>1305</v>
      </c>
      <c r="J149" s="233">
        <f t="shared" si="770"/>
        <v>1487</v>
      </c>
      <c r="K149" s="233">
        <f t="shared" si="770"/>
        <v>1665</v>
      </c>
      <c r="L149" s="233">
        <f t="shared" si="770"/>
        <v>1846</v>
      </c>
      <c r="M149" s="233">
        <f t="shared" si="770"/>
        <v>2024</v>
      </c>
      <c r="N149" s="233">
        <f t="shared" si="770"/>
        <v>2206</v>
      </c>
      <c r="O149" s="233">
        <f t="shared" si="770"/>
        <v>2384</v>
      </c>
      <c r="P149" s="233">
        <f t="shared" si="770"/>
        <v>2566</v>
      </c>
      <c r="Q149" s="233">
        <f t="shared" si="770"/>
        <v>2744</v>
      </c>
      <c r="R149" s="233">
        <f t="shared" si="770"/>
        <v>2926</v>
      </c>
      <c r="S149" s="233">
        <f t="shared" si="770"/>
        <v>3104</v>
      </c>
      <c r="T149" s="233">
        <f t="shared" si="770"/>
        <v>3285</v>
      </c>
      <c r="U149" s="233">
        <f t="shared" si="770"/>
        <v>3463</v>
      </c>
      <c r="V149" s="233">
        <f t="shared" si="770"/>
        <v>3645</v>
      </c>
      <c r="W149" s="233">
        <f t="shared" si="770"/>
        <v>3823</v>
      </c>
      <c r="X149" s="233">
        <f t="shared" si="770"/>
        <v>4005</v>
      </c>
      <c r="Y149" s="233">
        <f t="shared" si="770"/>
        <v>4183</v>
      </c>
      <c r="Z149" s="233">
        <f t="shared" si="770"/>
        <v>4365</v>
      </c>
      <c r="AA149" s="233">
        <f t="shared" si="770"/>
        <v>4543</v>
      </c>
      <c r="AB149" s="233">
        <f t="shared" si="770"/>
        <v>4724</v>
      </c>
      <c r="AC149" s="233">
        <f t="shared" si="770"/>
        <v>4902</v>
      </c>
      <c r="AD149" s="233">
        <f t="shared" si="770"/>
        <v>5084</v>
      </c>
      <c r="AE149" s="233">
        <f t="shared" si="770"/>
        <v>5262</v>
      </c>
      <c r="AF149" s="233">
        <f t="shared" si="770"/>
        <v>5444</v>
      </c>
      <c r="AG149" s="233">
        <f t="shared" si="770"/>
        <v>5622</v>
      </c>
      <c r="AH149" s="233">
        <f t="shared" ref="AH149:BM149" si="771">DAYS360($B$3,AH54)</f>
        <v>5804</v>
      </c>
      <c r="AI149" s="233">
        <f t="shared" si="771"/>
        <v>5982</v>
      </c>
      <c r="AJ149" s="233">
        <f t="shared" si="771"/>
        <v>6163</v>
      </c>
      <c r="AK149" s="233">
        <f t="shared" si="771"/>
        <v>6341</v>
      </c>
      <c r="AL149" s="233">
        <f t="shared" si="771"/>
        <v>6523</v>
      </c>
      <c r="AM149" s="233">
        <f t="shared" si="771"/>
        <v>6701</v>
      </c>
      <c r="AN149" s="233">
        <f t="shared" si="771"/>
        <v>6883</v>
      </c>
      <c r="AO149" s="233">
        <f t="shared" si="771"/>
        <v>7061</v>
      </c>
      <c r="AP149" s="233">
        <f t="shared" si="771"/>
        <v>7243</v>
      </c>
      <c r="AQ149" s="233">
        <f t="shared" si="771"/>
        <v>7421</v>
      </c>
      <c r="AR149" s="233">
        <f t="shared" si="771"/>
        <v>7602</v>
      </c>
      <c r="AS149" s="233">
        <f t="shared" si="771"/>
        <v>7780</v>
      </c>
      <c r="AT149" s="233">
        <f t="shared" si="771"/>
        <v>7962</v>
      </c>
      <c r="AU149" s="233">
        <f t="shared" si="771"/>
        <v>8140</v>
      </c>
      <c r="AV149" s="233">
        <f t="shared" si="771"/>
        <v>8322</v>
      </c>
      <c r="AW149" s="233">
        <f t="shared" si="771"/>
        <v>8500</v>
      </c>
      <c r="AX149" s="233">
        <f t="shared" si="771"/>
        <v>8682</v>
      </c>
      <c r="AY149" s="233">
        <f t="shared" si="771"/>
        <v>8860</v>
      </c>
      <c r="AZ149" s="233">
        <f t="shared" si="771"/>
        <v>9041</v>
      </c>
      <c r="BA149" s="233">
        <f t="shared" si="771"/>
        <v>9219</v>
      </c>
      <c r="BB149" s="233">
        <f t="shared" si="771"/>
        <v>9401</v>
      </c>
      <c r="BC149" s="233">
        <f t="shared" si="771"/>
        <v>9579</v>
      </c>
      <c r="BD149" s="233">
        <f t="shared" si="771"/>
        <v>9761</v>
      </c>
      <c r="BE149" s="233">
        <f t="shared" si="771"/>
        <v>9939</v>
      </c>
      <c r="BF149" s="233">
        <f t="shared" si="771"/>
        <v>10121</v>
      </c>
      <c r="BG149" s="233">
        <f t="shared" si="771"/>
        <v>10299</v>
      </c>
      <c r="BH149" s="233">
        <f t="shared" si="771"/>
        <v>10480</v>
      </c>
      <c r="BI149" s="233">
        <f t="shared" si="771"/>
        <v>10658</v>
      </c>
      <c r="BJ149" s="233">
        <f t="shared" si="771"/>
        <v>10840</v>
      </c>
      <c r="BK149" s="233">
        <f t="shared" si="771"/>
        <v>11018</v>
      </c>
      <c r="BL149" s="233">
        <f t="shared" si="771"/>
        <v>11200</v>
      </c>
      <c r="BM149" s="233">
        <f t="shared" si="771"/>
        <v>11378</v>
      </c>
      <c r="BN149" s="233">
        <f t="shared" ref="BN149:CB149" si="772">DAYS360($B$3,BN54)</f>
        <v>11560</v>
      </c>
      <c r="BO149" s="233">
        <f t="shared" si="772"/>
        <v>11738</v>
      </c>
      <c r="BP149" s="233">
        <f t="shared" si="772"/>
        <v>11919</v>
      </c>
      <c r="BQ149" s="233">
        <f t="shared" si="772"/>
        <v>12097</v>
      </c>
      <c r="BR149" s="233">
        <f t="shared" si="772"/>
        <v>12279</v>
      </c>
      <c r="BS149" s="233">
        <f t="shared" si="772"/>
        <v>12457</v>
      </c>
      <c r="BT149" s="233">
        <f t="shared" si="772"/>
        <v>12639</v>
      </c>
      <c r="BU149" s="233">
        <f t="shared" si="772"/>
        <v>12817</v>
      </c>
      <c r="BV149" s="233">
        <f t="shared" si="772"/>
        <v>12999</v>
      </c>
      <c r="BW149" s="233">
        <f t="shared" si="772"/>
        <v>13177</v>
      </c>
      <c r="BX149" s="233">
        <f t="shared" si="772"/>
        <v>13358</v>
      </c>
      <c r="BY149" s="233">
        <f t="shared" si="772"/>
        <v>13536</v>
      </c>
      <c r="BZ149" s="233">
        <f t="shared" si="772"/>
        <v>13718</v>
      </c>
      <c r="CA149" s="233">
        <f t="shared" si="772"/>
        <v>13896</v>
      </c>
      <c r="CB149" s="233">
        <f t="shared" si="772"/>
        <v>14078</v>
      </c>
      <c r="CC149" s="19"/>
      <c r="CD149" s="19"/>
      <c r="CE149" s="19"/>
    </row>
    <row r="150" spans="1:83">
      <c r="A150" s="16" t="s">
        <v>41</v>
      </c>
      <c r="B150" s="233">
        <f>B149/360</f>
        <v>0.13333333333333333</v>
      </c>
      <c r="C150" s="233">
        <f t="shared" ref="C150:BN150" si="773">C149/360</f>
        <v>0.62777777777777777</v>
      </c>
      <c r="D150" s="233">
        <f t="shared" si="773"/>
        <v>1.1305555555555555</v>
      </c>
      <c r="E150" s="233">
        <f t="shared" si="773"/>
        <v>1.625</v>
      </c>
      <c r="F150" s="233">
        <f t="shared" si="773"/>
        <v>2.1305555555555555</v>
      </c>
      <c r="G150" s="233">
        <f t="shared" si="773"/>
        <v>2.625</v>
      </c>
      <c r="H150" s="233">
        <f t="shared" si="773"/>
        <v>3.1305555555555555</v>
      </c>
      <c r="I150" s="233">
        <f t="shared" si="773"/>
        <v>3.625</v>
      </c>
      <c r="J150" s="233">
        <f t="shared" si="773"/>
        <v>4.1305555555555555</v>
      </c>
      <c r="K150" s="233">
        <f t="shared" si="773"/>
        <v>4.625</v>
      </c>
      <c r="L150" s="233">
        <f t="shared" si="773"/>
        <v>5.1277777777777782</v>
      </c>
      <c r="M150" s="233">
        <f t="shared" si="773"/>
        <v>5.6222222222222218</v>
      </c>
      <c r="N150" s="233">
        <f t="shared" si="773"/>
        <v>6.1277777777777782</v>
      </c>
      <c r="O150" s="233">
        <f t="shared" si="773"/>
        <v>6.6222222222222218</v>
      </c>
      <c r="P150" s="233">
        <f t="shared" si="773"/>
        <v>7.1277777777777782</v>
      </c>
      <c r="Q150" s="233">
        <f t="shared" si="773"/>
        <v>7.6222222222222218</v>
      </c>
      <c r="R150" s="233">
        <f t="shared" si="773"/>
        <v>8.1277777777777782</v>
      </c>
      <c r="S150" s="233">
        <f t="shared" si="773"/>
        <v>8.6222222222222218</v>
      </c>
      <c r="T150" s="233">
        <f t="shared" si="773"/>
        <v>9.125</v>
      </c>
      <c r="U150" s="233">
        <f t="shared" si="773"/>
        <v>9.6194444444444436</v>
      </c>
      <c r="V150" s="233">
        <f t="shared" si="773"/>
        <v>10.125</v>
      </c>
      <c r="W150" s="233">
        <f t="shared" si="773"/>
        <v>10.619444444444444</v>
      </c>
      <c r="X150" s="233">
        <f t="shared" si="773"/>
        <v>11.125</v>
      </c>
      <c r="Y150" s="233">
        <f t="shared" si="773"/>
        <v>11.619444444444444</v>
      </c>
      <c r="Z150" s="233">
        <f t="shared" si="773"/>
        <v>12.125</v>
      </c>
      <c r="AA150" s="233">
        <f t="shared" si="773"/>
        <v>12.619444444444444</v>
      </c>
      <c r="AB150" s="233">
        <f t="shared" si="773"/>
        <v>13.122222222222222</v>
      </c>
      <c r="AC150" s="233">
        <f t="shared" si="773"/>
        <v>13.616666666666667</v>
      </c>
      <c r="AD150" s="233">
        <f t="shared" si="773"/>
        <v>14.122222222222222</v>
      </c>
      <c r="AE150" s="233">
        <f t="shared" si="773"/>
        <v>14.616666666666667</v>
      </c>
      <c r="AF150" s="233">
        <f t="shared" si="773"/>
        <v>15.122222222222222</v>
      </c>
      <c r="AG150" s="233">
        <f t="shared" si="773"/>
        <v>15.616666666666667</v>
      </c>
      <c r="AH150" s="233">
        <f t="shared" si="773"/>
        <v>16.122222222222224</v>
      </c>
      <c r="AI150" s="233">
        <f t="shared" si="773"/>
        <v>16.616666666666667</v>
      </c>
      <c r="AJ150" s="233">
        <f t="shared" si="773"/>
        <v>17.119444444444444</v>
      </c>
      <c r="AK150" s="233">
        <f t="shared" si="773"/>
        <v>17.613888888888887</v>
      </c>
      <c r="AL150" s="233">
        <f t="shared" si="773"/>
        <v>18.119444444444444</v>
      </c>
      <c r="AM150" s="233">
        <f t="shared" si="773"/>
        <v>18.613888888888887</v>
      </c>
      <c r="AN150" s="233">
        <f t="shared" si="773"/>
        <v>19.119444444444444</v>
      </c>
      <c r="AO150" s="233">
        <f t="shared" si="773"/>
        <v>19.613888888888887</v>
      </c>
      <c r="AP150" s="233">
        <f t="shared" si="773"/>
        <v>20.119444444444444</v>
      </c>
      <c r="AQ150" s="233">
        <f t="shared" si="773"/>
        <v>20.613888888888887</v>
      </c>
      <c r="AR150" s="233">
        <f t="shared" si="773"/>
        <v>21.116666666666667</v>
      </c>
      <c r="AS150" s="233">
        <f t="shared" si="773"/>
        <v>21.611111111111111</v>
      </c>
      <c r="AT150" s="233">
        <f t="shared" si="773"/>
        <v>22.116666666666667</v>
      </c>
      <c r="AU150" s="233">
        <f t="shared" si="773"/>
        <v>22.611111111111111</v>
      </c>
      <c r="AV150" s="233">
        <f t="shared" si="773"/>
        <v>23.116666666666667</v>
      </c>
      <c r="AW150" s="233">
        <f t="shared" si="773"/>
        <v>23.611111111111111</v>
      </c>
      <c r="AX150" s="233">
        <f t="shared" si="773"/>
        <v>24.116666666666667</v>
      </c>
      <c r="AY150" s="233">
        <f t="shared" si="773"/>
        <v>24.611111111111111</v>
      </c>
      <c r="AZ150" s="233">
        <f t="shared" si="773"/>
        <v>25.113888888888887</v>
      </c>
      <c r="BA150" s="233">
        <f t="shared" si="773"/>
        <v>25.608333333333334</v>
      </c>
      <c r="BB150" s="233">
        <f t="shared" si="773"/>
        <v>26.113888888888887</v>
      </c>
      <c r="BC150" s="233">
        <f t="shared" si="773"/>
        <v>26.608333333333334</v>
      </c>
      <c r="BD150" s="233">
        <f t="shared" si="773"/>
        <v>27.113888888888887</v>
      </c>
      <c r="BE150" s="233">
        <f t="shared" si="773"/>
        <v>27.608333333333334</v>
      </c>
      <c r="BF150" s="233">
        <f t="shared" si="773"/>
        <v>28.113888888888887</v>
      </c>
      <c r="BG150" s="233">
        <f t="shared" si="773"/>
        <v>28.608333333333334</v>
      </c>
      <c r="BH150" s="233">
        <f t="shared" si="773"/>
        <v>29.111111111111111</v>
      </c>
      <c r="BI150" s="233">
        <f t="shared" si="773"/>
        <v>29.605555555555554</v>
      </c>
      <c r="BJ150" s="233">
        <f t="shared" si="773"/>
        <v>30.111111111111111</v>
      </c>
      <c r="BK150" s="233">
        <f t="shared" si="773"/>
        <v>30.605555555555554</v>
      </c>
      <c r="BL150" s="233">
        <f t="shared" si="773"/>
        <v>31.111111111111111</v>
      </c>
      <c r="BM150" s="233">
        <f t="shared" si="773"/>
        <v>31.605555555555554</v>
      </c>
      <c r="BN150" s="233">
        <f t="shared" si="773"/>
        <v>32.111111111111114</v>
      </c>
      <c r="BO150" s="233">
        <f t="shared" ref="BO150:CB150" si="774">BO149/360</f>
        <v>32.605555555555554</v>
      </c>
      <c r="BP150" s="233">
        <f t="shared" si="774"/>
        <v>33.108333333333334</v>
      </c>
      <c r="BQ150" s="233">
        <f t="shared" si="774"/>
        <v>33.602777777777774</v>
      </c>
      <c r="BR150" s="233">
        <f t="shared" si="774"/>
        <v>34.108333333333334</v>
      </c>
      <c r="BS150" s="233">
        <f t="shared" si="774"/>
        <v>34.602777777777774</v>
      </c>
      <c r="BT150" s="233">
        <f t="shared" si="774"/>
        <v>35.108333333333334</v>
      </c>
      <c r="BU150" s="233">
        <f t="shared" si="774"/>
        <v>35.602777777777774</v>
      </c>
      <c r="BV150" s="233">
        <f t="shared" si="774"/>
        <v>36.108333333333334</v>
      </c>
      <c r="BW150" s="233">
        <f t="shared" si="774"/>
        <v>36.602777777777774</v>
      </c>
      <c r="BX150" s="233">
        <f t="shared" si="774"/>
        <v>37.105555555555554</v>
      </c>
      <c r="BY150" s="233">
        <f t="shared" si="774"/>
        <v>37.6</v>
      </c>
      <c r="BZ150" s="233">
        <f t="shared" si="774"/>
        <v>38.105555555555554</v>
      </c>
      <c r="CA150" s="233">
        <f t="shared" si="774"/>
        <v>38.6</v>
      </c>
      <c r="CB150" s="233">
        <f t="shared" si="774"/>
        <v>39.105555555555554</v>
      </c>
      <c r="CC150" s="19"/>
      <c r="CD150" s="19"/>
      <c r="CE150" s="19"/>
    </row>
    <row r="151" spans="1:83">
      <c r="A151" s="16" t="s">
        <v>43</v>
      </c>
      <c r="B151" s="233">
        <f>IF(B149&lt;0,0,$B$5+$B$6*((1-EXP(-B150/$B$9))/(B150/$B$9))+$B$7*((1-EXP(-B150/$B$9))/(B150/$B$9)-EXP(-B150/$B$9))+$B$8*((1-EXP(-B150/$B$10))/(B150/$B$10)-EXP(-B150/$B$10)))</f>
        <v>1.9412434405821279E-2</v>
      </c>
      <c r="C151" s="233">
        <f t="shared" ref="C151:BN151" si="775">IF(C149&lt;0,0,$B$5+$B$6*((1-EXP(-C150/$B$9))/(C150/$B$9))+$B$7*((1-EXP(-C150/$B$9))/(C150/$B$9)-EXP(-C150/$B$9))+$B$8*((1-EXP(-C150/$B$10))/(C150/$B$10)-EXP(-C150/$B$10)))</f>
        <v>1.8468055349339131E-2</v>
      </c>
      <c r="D151" s="233">
        <f t="shared" si="775"/>
        <v>1.7624975706219823E-2</v>
      </c>
      <c r="E151" s="233">
        <f t="shared" si="775"/>
        <v>1.6903029516626943E-2</v>
      </c>
      <c r="F151" s="233">
        <f t="shared" si="775"/>
        <v>1.6266855462811071E-2</v>
      </c>
      <c r="G151" s="233">
        <f t="shared" si="775"/>
        <v>1.5737218128879446E-2</v>
      </c>
      <c r="H151" s="233">
        <f t="shared" si="775"/>
        <v>1.5283348372236487E-2</v>
      </c>
      <c r="I151" s="233">
        <f t="shared" si="775"/>
        <v>1.4918847520380897E-2</v>
      </c>
      <c r="J151" s="233">
        <f t="shared" si="775"/>
        <v>1.462119498745957E-2</v>
      </c>
      <c r="K151" s="233">
        <f t="shared" si="775"/>
        <v>1.4397882931313902E-2</v>
      </c>
      <c r="L151" s="233">
        <f t="shared" si="775"/>
        <v>1.4234208912601631E-2</v>
      </c>
      <c r="M151" s="233">
        <f t="shared" si="775"/>
        <v>1.4130703564150408E-2</v>
      </c>
      <c r="N151" s="233">
        <f t="shared" si="775"/>
        <v>1.4079043718814827E-2</v>
      </c>
      <c r="O151" s="233">
        <f t="shared" si="775"/>
        <v>1.4077181850825099E-2</v>
      </c>
      <c r="P151" s="233">
        <f t="shared" si="775"/>
        <v>1.4120869154201965E-2</v>
      </c>
      <c r="Q151" s="233">
        <f t="shared" si="775"/>
        <v>1.4204400852734916E-2</v>
      </c>
      <c r="R151" s="233">
        <f t="shared" si="775"/>
        <v>1.4327884403134497E-2</v>
      </c>
      <c r="S151" s="233">
        <f t="shared" si="775"/>
        <v>1.4482581752825976E-2</v>
      </c>
      <c r="T151" s="233">
        <f t="shared" si="775"/>
        <v>1.467113543798905E-2</v>
      </c>
      <c r="U151" s="233">
        <f t="shared" si="775"/>
        <v>1.4884418647518008E-2</v>
      </c>
      <c r="V151" s="233">
        <f t="shared" si="775"/>
        <v>1.5128280976351438E-2</v>
      </c>
      <c r="W151" s="233">
        <f t="shared" si="775"/>
        <v>1.5389486268826941E-2</v>
      </c>
      <c r="X151" s="233">
        <f t="shared" si="775"/>
        <v>1.5677357015624199E-2</v>
      </c>
      <c r="Y151" s="233">
        <f t="shared" si="775"/>
        <v>1.5977053445159248E-2</v>
      </c>
      <c r="Z151" s="233">
        <f t="shared" si="775"/>
        <v>1.6299948605308395E-2</v>
      </c>
      <c r="AA151" s="233">
        <f t="shared" si="775"/>
        <v>1.6629955959928652E-2</v>
      </c>
      <c r="AB151" s="233">
        <f t="shared" si="775"/>
        <v>1.6978138603878756E-2</v>
      </c>
      <c r="AC151" s="233">
        <f t="shared" si="775"/>
        <v>1.7331327271307276E-2</v>
      </c>
      <c r="AD151" s="233">
        <f t="shared" si="775"/>
        <v>1.7701942705185436E-2</v>
      </c>
      <c r="AE151" s="233">
        <f t="shared" si="775"/>
        <v>1.8072287485757593E-2</v>
      </c>
      <c r="AF151" s="233">
        <f t="shared" si="775"/>
        <v>1.8457664472098831E-2</v>
      </c>
      <c r="AG151" s="233">
        <f t="shared" si="775"/>
        <v>1.8839928941948345E-2</v>
      </c>
      <c r="AH151" s="233">
        <f t="shared" si="775"/>
        <v>1.9235114329831271E-2</v>
      </c>
      <c r="AI151" s="233">
        <f t="shared" si="775"/>
        <v>1.9624822253207927E-2</v>
      </c>
      <c r="AJ151" s="233">
        <f t="shared" si="775"/>
        <v>2.0023385415311609E-2</v>
      </c>
      <c r="AK151" s="233">
        <f t="shared" si="775"/>
        <v>2.0416724058005611E-2</v>
      </c>
      <c r="AL151" s="233">
        <f t="shared" si="775"/>
        <v>2.0819494564810012E-2</v>
      </c>
      <c r="AM151" s="233">
        <f t="shared" si="775"/>
        <v>2.1213257790408072E-2</v>
      </c>
      <c r="AN151" s="233">
        <f t="shared" si="775"/>
        <v>2.1615017792571259E-2</v>
      </c>
      <c r="AO151" s="233">
        <f t="shared" si="775"/>
        <v>2.2006499896713327E-2</v>
      </c>
      <c r="AP151" s="233">
        <f t="shared" si="775"/>
        <v>2.2404721311338041E-2</v>
      </c>
      <c r="AQ151" s="233">
        <f t="shared" si="775"/>
        <v>2.2791667889752246E-2</v>
      </c>
      <c r="AR151" s="233">
        <f t="shared" si="775"/>
        <v>2.3182106229895444E-2</v>
      </c>
      <c r="AS151" s="233">
        <f t="shared" si="775"/>
        <v>2.3562677149846653E-2</v>
      </c>
      <c r="AT151" s="233">
        <f t="shared" si="775"/>
        <v>2.3947930352548205E-2</v>
      </c>
      <c r="AU151" s="233">
        <f t="shared" si="775"/>
        <v>2.4320592886374684E-2</v>
      </c>
      <c r="AV151" s="233">
        <f t="shared" si="775"/>
        <v>2.4697101648365874E-2</v>
      </c>
      <c r="AW151" s="233">
        <f t="shared" si="775"/>
        <v>2.5060637339754194E-2</v>
      </c>
      <c r="AX151" s="233">
        <f t="shared" si="775"/>
        <v>2.5427293093255546E-2</v>
      </c>
      <c r="AY151" s="233">
        <f t="shared" si="775"/>
        <v>2.57807426951258E-2</v>
      </c>
      <c r="AZ151" s="233">
        <f t="shared" si="775"/>
        <v>2.6134743048200404E-2</v>
      </c>
      <c r="BA151" s="233">
        <f t="shared" si="775"/>
        <v>2.6477402291398847E-2</v>
      </c>
      <c r="BB151" s="233">
        <f t="shared" si="775"/>
        <v>2.6822010959903525E-2</v>
      </c>
      <c r="BC151" s="233">
        <f t="shared" si="775"/>
        <v>2.7153308114316849E-2</v>
      </c>
      <c r="BD151" s="233">
        <f t="shared" si="775"/>
        <v>2.7486087214735569E-2</v>
      </c>
      <c r="BE151" s="233">
        <f t="shared" si="775"/>
        <v>2.7805645441852586E-2</v>
      </c>
      <c r="BF151" s="233">
        <f t="shared" si="775"/>
        <v>2.81262849566392E-2</v>
      </c>
      <c r="BG151" s="233">
        <f t="shared" si="775"/>
        <v>2.8433869055865715E-2</v>
      </c>
      <c r="BH151" s="233">
        <f t="shared" si="775"/>
        <v>2.8740515591936217E-2</v>
      </c>
      <c r="BI151" s="233">
        <f t="shared" si="775"/>
        <v>2.9036044421302698E-2</v>
      </c>
      <c r="BJ151" s="233">
        <f t="shared" si="775"/>
        <v>2.933202324980512E-2</v>
      </c>
      <c r="BK151" s="233">
        <f t="shared" si="775"/>
        <v>2.9615450073755489E-2</v>
      </c>
      <c r="BL151" s="233">
        <f t="shared" si="775"/>
        <v>2.9899081932773991E-2</v>
      </c>
      <c r="BM151" s="233">
        <f t="shared" si="775"/>
        <v>3.0170478966180178E-2</v>
      </c>
      <c r="BN151" s="233">
        <f t="shared" si="775"/>
        <v>3.0441875780086933E-2</v>
      </c>
      <c r="BO151" s="233">
        <f t="shared" ref="BO151:CB151" si="776">IF(BO149&lt;0,0,$B$5+$B$6*((1-EXP(-BO150/$B$9))/(BO150/$B$9))+$B$7*((1-EXP(-BO150/$B$9))/(BO150/$B$9)-EXP(-BO150/$B$9))+$B$8*((1-EXP(-BO150/$B$10))/(BO150/$B$10)-EXP(-BO150/$B$10)))</f>
        <v>3.0701386409223902E-2</v>
      </c>
      <c r="BP151" s="233">
        <f t="shared" si="776"/>
        <v>3.0959317801304675E-2</v>
      </c>
      <c r="BQ151" s="233">
        <f t="shared" si="776"/>
        <v>3.1207176218649213E-2</v>
      </c>
      <c r="BR151" s="233">
        <f t="shared" si="776"/>
        <v>3.1454723929181236E-2</v>
      </c>
      <c r="BS151" s="233">
        <f t="shared" si="776"/>
        <v>3.1691147103035805E-2</v>
      </c>
      <c r="BT151" s="233">
        <f t="shared" si="776"/>
        <v>3.1927145542119839E-2</v>
      </c>
      <c r="BU151" s="233">
        <f t="shared" si="776"/>
        <v>3.215242155087665E-2</v>
      </c>
      <c r="BV151" s="233">
        <f t="shared" si="776"/>
        <v>3.2377181650281792E-2</v>
      </c>
      <c r="BW151" s="233">
        <f t="shared" si="776"/>
        <v>3.2591628712853871E-2</v>
      </c>
      <c r="BX151" s="233">
        <f t="shared" si="776"/>
        <v>3.2804328180901926E-2</v>
      </c>
      <c r="BY151" s="233">
        <f t="shared" si="776"/>
        <v>3.300831620738777E-2</v>
      </c>
      <c r="BZ151" s="233">
        <f t="shared" si="776"/>
        <v>3.3211662697628264E-2</v>
      </c>
      <c r="CA151" s="233">
        <f t="shared" si="776"/>
        <v>3.3405520239681061E-2</v>
      </c>
      <c r="CB151" s="233">
        <f t="shared" si="776"/>
        <v>3.3598696502338599E-2</v>
      </c>
      <c r="CC151" s="19"/>
      <c r="CD151" s="19"/>
      <c r="CE151" s="19"/>
    </row>
    <row r="152" spans="1:83">
      <c r="A152" s="16" t="s">
        <v>44</v>
      </c>
      <c r="B152" s="233">
        <f>EXP(-B151*B150)</f>
        <v>0.99741502223646383</v>
      </c>
      <c r="C152" s="233">
        <f t="shared" ref="C152:AR152" si="777">EXP(-C151*C150)</f>
        <v>0.98847311477131894</v>
      </c>
      <c r="D152" s="233">
        <f t="shared" si="777"/>
        <v>0.98027119677140417</v>
      </c>
      <c r="E152" s="233">
        <f t="shared" si="777"/>
        <v>0.97290637644275002</v>
      </c>
      <c r="F152" s="233">
        <f t="shared" si="777"/>
        <v>0.9659362514087344</v>
      </c>
      <c r="G152" s="233">
        <f t="shared" si="777"/>
        <v>0.95953143944032659</v>
      </c>
      <c r="H152" s="233">
        <f t="shared" si="777"/>
        <v>0.95328118045023735</v>
      </c>
      <c r="I152" s="233">
        <f t="shared" si="777"/>
        <v>0.9473555359907887</v>
      </c>
      <c r="J152" s="233">
        <f t="shared" si="777"/>
        <v>0.94139387322943613</v>
      </c>
      <c r="K152" s="233">
        <f t="shared" si="777"/>
        <v>0.93557851486145038</v>
      </c>
      <c r="L152" s="233">
        <f t="shared" si="777"/>
        <v>0.9296102560900118</v>
      </c>
      <c r="M152" s="233">
        <f t="shared" si="777"/>
        <v>0.92362793554290579</v>
      </c>
      <c r="N152" s="233">
        <f t="shared" si="777"/>
        <v>0.91734353171905492</v>
      </c>
      <c r="O152" s="233">
        <f t="shared" si="777"/>
        <v>0.91099103147086702</v>
      </c>
      <c r="P152" s="233">
        <f t="shared" si="777"/>
        <v>0.9042490874220479</v>
      </c>
      <c r="Q152" s="233">
        <f t="shared" si="777"/>
        <v>0.89738607749188837</v>
      </c>
      <c r="R152" s="233">
        <f t="shared" si="777"/>
        <v>0.89007116350834148</v>
      </c>
      <c r="S152" s="233">
        <f t="shared" si="777"/>
        <v>0.8826098356806471</v>
      </c>
      <c r="T152" s="233">
        <f t="shared" si="777"/>
        <v>0.87470017291480473</v>
      </c>
      <c r="U152" s="233">
        <f t="shared" si="777"/>
        <v>0.86659820736061244</v>
      </c>
      <c r="V152" s="233">
        <f t="shared" si="777"/>
        <v>0.85798055331457712</v>
      </c>
      <c r="W152" s="233">
        <f t="shared" si="777"/>
        <v>0.84922781574057593</v>
      </c>
      <c r="X152" s="233">
        <f t="shared" si="777"/>
        <v>0.83995194526521566</v>
      </c>
      <c r="Y152" s="233">
        <f t="shared" si="777"/>
        <v>0.83056882226453588</v>
      </c>
      <c r="Z152" s="233">
        <f t="shared" si="777"/>
        <v>0.8206678025246803</v>
      </c>
      <c r="AA152" s="233">
        <f t="shared" si="777"/>
        <v>0.81069708281366015</v>
      </c>
      <c r="AB152" s="233">
        <f t="shared" si="777"/>
        <v>0.80028216465639923</v>
      </c>
      <c r="AC152" s="233">
        <f t="shared" si="777"/>
        <v>0.78978469681387931</v>
      </c>
      <c r="AD152" s="233">
        <f t="shared" si="777"/>
        <v>0.7788079724890089</v>
      </c>
      <c r="AE152" s="233">
        <f t="shared" si="777"/>
        <v>0.7678532828168122</v>
      </c>
      <c r="AF152" s="233">
        <f t="shared" si="777"/>
        <v>0.75644844015707657</v>
      </c>
      <c r="AG152" s="233">
        <f t="shared" si="777"/>
        <v>0.74511486572211416</v>
      </c>
      <c r="AH152" s="233">
        <f t="shared" si="777"/>
        <v>0.73336423709734277</v>
      </c>
      <c r="AI152" s="233">
        <f t="shared" si="777"/>
        <v>0.72173363859288253</v>
      </c>
      <c r="AJ152" s="233">
        <f t="shared" si="777"/>
        <v>0.70978779478348131</v>
      </c>
      <c r="AK152" s="233">
        <f t="shared" si="777"/>
        <v>0.69794295282783514</v>
      </c>
      <c r="AL152" s="233">
        <f t="shared" si="777"/>
        <v>0.68575306807700676</v>
      </c>
      <c r="AM152" s="233">
        <f t="shared" si="777"/>
        <v>0.67377353670642803</v>
      </c>
      <c r="AN152" s="233">
        <f t="shared" si="777"/>
        <v>0.66148555536348708</v>
      </c>
      <c r="AO152" s="233">
        <f t="shared" si="777"/>
        <v>0.64944765180175512</v>
      </c>
      <c r="AP152" s="233">
        <f t="shared" si="777"/>
        <v>0.63713701922495991</v>
      </c>
      <c r="AQ152" s="233">
        <f t="shared" si="777"/>
        <v>0.62511170984078523</v>
      </c>
      <c r="AR152" s="233">
        <f t="shared" si="777"/>
        <v>0.61291512570210727</v>
      </c>
      <c r="AS152" s="233">
        <f>EXP(-AS151*AS150)</f>
        <v>0.60096677192088976</v>
      </c>
      <c r="AT152" s="233">
        <f t="shared" ref="AT152:CA152" si="778">EXP(-AT151*AT150)</f>
        <v>0.58881196371534983</v>
      </c>
      <c r="AU152" s="233">
        <f t="shared" si="778"/>
        <v>0.57699849081930754</v>
      </c>
      <c r="AV152" s="233">
        <f t="shared" si="778"/>
        <v>0.5650084080522273</v>
      </c>
      <c r="AW152" s="233">
        <f t="shared" si="778"/>
        <v>0.55338047577544303</v>
      </c>
      <c r="AX152" s="233">
        <f t="shared" si="778"/>
        <v>0.54160325265268827</v>
      </c>
      <c r="AY152" s="233">
        <f t="shared" si="778"/>
        <v>0.53020438059969011</v>
      </c>
      <c r="AZ152" s="233">
        <f t="shared" si="778"/>
        <v>0.51874386549852358</v>
      </c>
      <c r="BA152" s="233">
        <f t="shared" si="778"/>
        <v>0.50760984726293379</v>
      </c>
      <c r="BB152" s="233">
        <f t="shared" si="778"/>
        <v>0.49637330019017217</v>
      </c>
      <c r="BC152" s="233">
        <f t="shared" si="778"/>
        <v>0.48553482026104355</v>
      </c>
      <c r="BD152" s="233">
        <f t="shared" si="778"/>
        <v>0.4746133935195499</v>
      </c>
      <c r="BE152" s="233">
        <f t="shared" si="778"/>
        <v>0.46409429384568901</v>
      </c>
      <c r="BF152" s="233">
        <f t="shared" si="778"/>
        <v>0.45350941443970783</v>
      </c>
      <c r="BG152" s="233">
        <f t="shared" si="778"/>
        <v>0.4433278992206684</v>
      </c>
      <c r="BH152" s="233">
        <f t="shared" si="778"/>
        <v>0.43315123355167062</v>
      </c>
      <c r="BI152" s="233">
        <f t="shared" si="778"/>
        <v>0.42331943212852047</v>
      </c>
      <c r="BJ152" s="233">
        <f t="shared" si="778"/>
        <v>0.41344953678137492</v>
      </c>
      <c r="BK152" s="233">
        <f t="shared" si="778"/>
        <v>0.40397701244231576</v>
      </c>
      <c r="BL152" s="233">
        <f t="shared" si="778"/>
        <v>0.39447730844670625</v>
      </c>
      <c r="BM152" s="233">
        <f t="shared" si="778"/>
        <v>0.38536869673183693</v>
      </c>
      <c r="BN152" s="233">
        <f t="shared" si="778"/>
        <v>0.37624210158481147</v>
      </c>
      <c r="BO152" s="233">
        <f t="shared" si="778"/>
        <v>0.3674986035506918</v>
      </c>
      <c r="BP152" s="233">
        <f t="shared" si="778"/>
        <v>0.35879237029215916</v>
      </c>
      <c r="BQ152" s="233">
        <f t="shared" si="778"/>
        <v>0.35041125235605602</v>
      </c>
      <c r="BR152" s="233">
        <f t="shared" si="778"/>
        <v>0.34202610696278607</v>
      </c>
      <c r="BS152" s="233">
        <f t="shared" si="778"/>
        <v>0.33400419682862553</v>
      </c>
      <c r="BT152" s="233">
        <f t="shared" si="778"/>
        <v>0.32598338405377825</v>
      </c>
      <c r="BU152" s="233">
        <f t="shared" si="778"/>
        <v>0.3183144591698161</v>
      </c>
      <c r="BV152" s="233">
        <f t="shared" si="778"/>
        <v>0.31065072538418403</v>
      </c>
      <c r="BW152" s="233">
        <f t="shared" si="778"/>
        <v>0.30332691030190312</v>
      </c>
      <c r="BX152" s="233">
        <f t="shared" si="778"/>
        <v>0.29605121328206224</v>
      </c>
      <c r="BY152" s="233">
        <f t="shared" si="778"/>
        <v>0.28906240226151392</v>
      </c>
      <c r="BZ152" s="233">
        <f t="shared" si="778"/>
        <v>0.2820844293439968</v>
      </c>
      <c r="CA152" s="233">
        <f t="shared" si="778"/>
        <v>0.27542137501890734</v>
      </c>
      <c r="CB152" s="233">
        <f>EXP(-CB151*CB150)</f>
        <v>0.2687709651650399</v>
      </c>
      <c r="CC152" s="19"/>
      <c r="CD152" s="19"/>
      <c r="CE152" s="19"/>
    </row>
    <row r="153" spans="1:83">
      <c r="A153" s="17"/>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19"/>
      <c r="CD153" s="19"/>
      <c r="CE153" s="19"/>
    </row>
    <row r="154" spans="1:83">
      <c r="A154" s="16" t="s">
        <v>40</v>
      </c>
      <c r="B154" s="233">
        <f t="shared" ref="B154:AG154" si="779">DAYS360($B$3,B56)</f>
        <v>157</v>
      </c>
      <c r="C154" s="233">
        <f t="shared" si="779"/>
        <v>336</v>
      </c>
      <c r="D154" s="233">
        <f t="shared" si="779"/>
        <v>516</v>
      </c>
      <c r="E154" s="233">
        <f t="shared" si="779"/>
        <v>696</v>
      </c>
      <c r="F154" s="233">
        <f t="shared" si="779"/>
        <v>876</v>
      </c>
      <c r="G154" s="233">
        <f t="shared" si="779"/>
        <v>1056</v>
      </c>
      <c r="H154" s="233">
        <f t="shared" si="779"/>
        <v>1236</v>
      </c>
      <c r="I154" s="233">
        <f t="shared" si="779"/>
        <v>1416</v>
      </c>
      <c r="J154" s="233">
        <f t="shared" si="779"/>
        <v>1596</v>
      </c>
      <c r="K154" s="233">
        <f t="shared" si="779"/>
        <v>1775</v>
      </c>
      <c r="L154" s="233">
        <f t="shared" si="779"/>
        <v>1955</v>
      </c>
      <c r="M154" s="233">
        <f t="shared" si="779"/>
        <v>2135</v>
      </c>
      <c r="N154" s="233">
        <f t="shared" si="779"/>
        <v>2315</v>
      </c>
      <c r="O154" s="233">
        <f t="shared" si="779"/>
        <v>2495</v>
      </c>
      <c r="P154" s="233">
        <f t="shared" si="779"/>
        <v>2675</v>
      </c>
      <c r="Q154" s="233">
        <f t="shared" si="779"/>
        <v>2855</v>
      </c>
      <c r="R154" s="233">
        <f t="shared" si="779"/>
        <v>3035</v>
      </c>
      <c r="S154" s="233">
        <f t="shared" si="779"/>
        <v>3214</v>
      </c>
      <c r="T154" s="233">
        <f t="shared" si="779"/>
        <v>3394</v>
      </c>
      <c r="U154" s="233">
        <f t="shared" si="779"/>
        <v>3574</v>
      </c>
      <c r="V154" s="233">
        <f t="shared" si="779"/>
        <v>3754</v>
      </c>
      <c r="W154" s="233">
        <f t="shared" si="779"/>
        <v>3934</v>
      </c>
      <c r="X154" s="233">
        <f t="shared" si="779"/>
        <v>4114</v>
      </c>
      <c r="Y154" s="233">
        <f t="shared" si="779"/>
        <v>4294</v>
      </c>
      <c r="Z154" s="233">
        <f t="shared" si="779"/>
        <v>4474</v>
      </c>
      <c r="AA154" s="233">
        <f t="shared" si="779"/>
        <v>4653</v>
      </c>
      <c r="AB154" s="233">
        <f t="shared" si="779"/>
        <v>4833</v>
      </c>
      <c r="AC154" s="233">
        <f t="shared" si="779"/>
        <v>5013</v>
      </c>
      <c r="AD154" s="233">
        <f t="shared" si="779"/>
        <v>5193</v>
      </c>
      <c r="AE154" s="233">
        <f t="shared" si="779"/>
        <v>5373</v>
      </c>
      <c r="AF154" s="233">
        <f t="shared" si="779"/>
        <v>5553</v>
      </c>
      <c r="AG154" s="233">
        <f t="shared" si="779"/>
        <v>5733</v>
      </c>
      <c r="AH154" s="233">
        <f t="shared" ref="AH154:BM154" si="780">DAYS360($B$3,AH56)</f>
        <v>5913</v>
      </c>
      <c r="AI154" s="233">
        <f t="shared" si="780"/>
        <v>6092</v>
      </c>
      <c r="AJ154" s="233">
        <f t="shared" si="780"/>
        <v>6272</v>
      </c>
      <c r="AK154" s="233">
        <f t="shared" si="780"/>
        <v>6452</v>
      </c>
      <c r="AL154" s="233">
        <f t="shared" si="780"/>
        <v>6632</v>
      </c>
      <c r="AM154" s="233">
        <f t="shared" si="780"/>
        <v>6812</v>
      </c>
      <c r="AN154" s="233">
        <f t="shared" si="780"/>
        <v>6992</v>
      </c>
      <c r="AO154" s="233">
        <f t="shared" si="780"/>
        <v>7172</v>
      </c>
      <c r="AP154" s="233">
        <f t="shared" si="780"/>
        <v>7352</v>
      </c>
      <c r="AQ154" s="233">
        <f t="shared" si="780"/>
        <v>7531</v>
      </c>
      <c r="AR154" s="233">
        <f t="shared" si="780"/>
        <v>7711</v>
      </c>
      <c r="AS154" s="233">
        <f t="shared" si="780"/>
        <v>7891</v>
      </c>
      <c r="AT154" s="233">
        <f t="shared" si="780"/>
        <v>8071</v>
      </c>
      <c r="AU154" s="233">
        <f t="shared" si="780"/>
        <v>8251</v>
      </c>
      <c r="AV154" s="233">
        <f t="shared" si="780"/>
        <v>8431</v>
      </c>
      <c r="AW154" s="233">
        <f t="shared" si="780"/>
        <v>8611</v>
      </c>
      <c r="AX154" s="233">
        <f t="shared" si="780"/>
        <v>8791</v>
      </c>
      <c r="AY154" s="233">
        <f t="shared" si="780"/>
        <v>8970</v>
      </c>
      <c r="AZ154" s="233">
        <f t="shared" si="780"/>
        <v>9150</v>
      </c>
      <c r="BA154" s="233">
        <f t="shared" si="780"/>
        <v>9330</v>
      </c>
      <c r="BB154" s="233">
        <f t="shared" si="780"/>
        <v>9510</v>
      </c>
      <c r="BC154" s="233">
        <f t="shared" si="780"/>
        <v>9690</v>
      </c>
      <c r="BD154" s="233">
        <f t="shared" si="780"/>
        <v>9870</v>
      </c>
      <c r="BE154" s="233">
        <f t="shared" si="780"/>
        <v>10050</v>
      </c>
      <c r="BF154" s="233">
        <f t="shared" si="780"/>
        <v>10230</v>
      </c>
      <c r="BG154" s="233">
        <f t="shared" si="780"/>
        <v>10409</v>
      </c>
      <c r="BH154" s="233">
        <f t="shared" si="780"/>
        <v>10589</v>
      </c>
      <c r="BI154" s="233">
        <f t="shared" si="780"/>
        <v>10769</v>
      </c>
      <c r="BJ154" s="233">
        <f t="shared" si="780"/>
        <v>10949</v>
      </c>
      <c r="BK154" s="233">
        <f t="shared" si="780"/>
        <v>11129</v>
      </c>
      <c r="BL154" s="233">
        <f t="shared" si="780"/>
        <v>11309</v>
      </c>
      <c r="BM154" s="233">
        <f t="shared" si="780"/>
        <v>11489</v>
      </c>
      <c r="BN154" s="233">
        <f t="shared" ref="BN154:CB154" si="781">DAYS360($B$3,BN56)</f>
        <v>11669</v>
      </c>
      <c r="BO154" s="233">
        <f t="shared" si="781"/>
        <v>11849</v>
      </c>
      <c r="BP154" s="233">
        <f t="shared" si="781"/>
        <v>12028</v>
      </c>
      <c r="BQ154" s="233">
        <f t="shared" si="781"/>
        <v>12209</v>
      </c>
      <c r="BR154" s="233">
        <f t="shared" si="781"/>
        <v>12388</v>
      </c>
      <c r="BS154" s="233">
        <f t="shared" si="781"/>
        <v>12569</v>
      </c>
      <c r="BT154" s="233">
        <f t="shared" si="781"/>
        <v>12748</v>
      </c>
      <c r="BU154" s="233">
        <f t="shared" si="781"/>
        <v>12929</v>
      </c>
      <c r="BV154" s="233">
        <f t="shared" si="781"/>
        <v>13108</v>
      </c>
      <c r="BW154" s="233">
        <f t="shared" si="781"/>
        <v>13288</v>
      </c>
      <c r="BX154" s="233">
        <f t="shared" si="781"/>
        <v>13467</v>
      </c>
      <c r="BY154" s="233">
        <f t="shared" si="781"/>
        <v>13648</v>
      </c>
      <c r="BZ154" s="233">
        <f t="shared" si="781"/>
        <v>13827</v>
      </c>
      <c r="CA154" s="233">
        <f t="shared" si="781"/>
        <v>14008</v>
      </c>
      <c r="CB154" s="233">
        <f t="shared" si="781"/>
        <v>14187</v>
      </c>
      <c r="CC154" s="19"/>
      <c r="CD154" s="19"/>
      <c r="CE154" s="19"/>
    </row>
    <row r="155" spans="1:83">
      <c r="A155" s="16" t="s">
        <v>41</v>
      </c>
      <c r="B155" s="233">
        <f>B154/360</f>
        <v>0.43611111111111112</v>
      </c>
      <c r="C155" s="233">
        <f t="shared" ref="C155:BN155" si="782">C154/360</f>
        <v>0.93333333333333335</v>
      </c>
      <c r="D155" s="233">
        <f t="shared" si="782"/>
        <v>1.4333333333333333</v>
      </c>
      <c r="E155" s="233">
        <f t="shared" si="782"/>
        <v>1.9333333333333333</v>
      </c>
      <c r="F155" s="233">
        <f t="shared" si="782"/>
        <v>2.4333333333333331</v>
      </c>
      <c r="G155" s="233">
        <f t="shared" si="782"/>
        <v>2.9333333333333331</v>
      </c>
      <c r="H155" s="233">
        <f t="shared" si="782"/>
        <v>3.4333333333333331</v>
      </c>
      <c r="I155" s="233">
        <f t="shared" si="782"/>
        <v>3.9333333333333331</v>
      </c>
      <c r="J155" s="233">
        <f t="shared" si="782"/>
        <v>4.4333333333333336</v>
      </c>
      <c r="K155" s="233">
        <f t="shared" si="782"/>
        <v>4.9305555555555554</v>
      </c>
      <c r="L155" s="233">
        <f t="shared" si="782"/>
        <v>5.4305555555555554</v>
      </c>
      <c r="M155" s="233">
        <f t="shared" si="782"/>
        <v>5.9305555555555554</v>
      </c>
      <c r="N155" s="233">
        <f t="shared" si="782"/>
        <v>6.4305555555555554</v>
      </c>
      <c r="O155" s="233">
        <f t="shared" si="782"/>
        <v>6.9305555555555554</v>
      </c>
      <c r="P155" s="233">
        <f t="shared" si="782"/>
        <v>7.4305555555555554</v>
      </c>
      <c r="Q155" s="233">
        <f t="shared" si="782"/>
        <v>7.9305555555555554</v>
      </c>
      <c r="R155" s="233">
        <f t="shared" si="782"/>
        <v>8.4305555555555554</v>
      </c>
      <c r="S155" s="233">
        <f t="shared" si="782"/>
        <v>8.9277777777777771</v>
      </c>
      <c r="T155" s="233">
        <f t="shared" si="782"/>
        <v>9.4277777777777771</v>
      </c>
      <c r="U155" s="233">
        <f t="shared" si="782"/>
        <v>9.9277777777777771</v>
      </c>
      <c r="V155" s="233">
        <f t="shared" si="782"/>
        <v>10.427777777777777</v>
      </c>
      <c r="W155" s="233">
        <f t="shared" si="782"/>
        <v>10.927777777777777</v>
      </c>
      <c r="X155" s="233">
        <f t="shared" si="782"/>
        <v>11.427777777777777</v>
      </c>
      <c r="Y155" s="233">
        <f t="shared" si="782"/>
        <v>11.927777777777777</v>
      </c>
      <c r="Z155" s="233">
        <f t="shared" si="782"/>
        <v>12.427777777777777</v>
      </c>
      <c r="AA155" s="233">
        <f t="shared" si="782"/>
        <v>12.925000000000001</v>
      </c>
      <c r="AB155" s="233">
        <f t="shared" si="782"/>
        <v>13.425000000000001</v>
      </c>
      <c r="AC155" s="233">
        <f t="shared" si="782"/>
        <v>13.925000000000001</v>
      </c>
      <c r="AD155" s="233">
        <f t="shared" si="782"/>
        <v>14.425000000000001</v>
      </c>
      <c r="AE155" s="233">
        <f t="shared" si="782"/>
        <v>14.925000000000001</v>
      </c>
      <c r="AF155" s="233">
        <f t="shared" si="782"/>
        <v>15.425000000000001</v>
      </c>
      <c r="AG155" s="233">
        <f t="shared" si="782"/>
        <v>15.925000000000001</v>
      </c>
      <c r="AH155" s="233">
        <f t="shared" si="782"/>
        <v>16.425000000000001</v>
      </c>
      <c r="AI155" s="233">
        <f t="shared" si="782"/>
        <v>16.922222222222221</v>
      </c>
      <c r="AJ155" s="233">
        <f t="shared" si="782"/>
        <v>17.422222222222221</v>
      </c>
      <c r="AK155" s="233">
        <f t="shared" si="782"/>
        <v>17.922222222222221</v>
      </c>
      <c r="AL155" s="233">
        <f t="shared" si="782"/>
        <v>18.422222222222221</v>
      </c>
      <c r="AM155" s="233">
        <f t="shared" si="782"/>
        <v>18.922222222222221</v>
      </c>
      <c r="AN155" s="233">
        <f t="shared" si="782"/>
        <v>19.422222222222221</v>
      </c>
      <c r="AO155" s="233">
        <f t="shared" si="782"/>
        <v>19.922222222222221</v>
      </c>
      <c r="AP155" s="233">
        <f t="shared" si="782"/>
        <v>20.422222222222221</v>
      </c>
      <c r="AQ155" s="233">
        <f t="shared" si="782"/>
        <v>20.919444444444444</v>
      </c>
      <c r="AR155" s="233">
        <f t="shared" si="782"/>
        <v>21.419444444444444</v>
      </c>
      <c r="AS155" s="233">
        <f t="shared" si="782"/>
        <v>21.919444444444444</v>
      </c>
      <c r="AT155" s="233">
        <f t="shared" si="782"/>
        <v>22.419444444444444</v>
      </c>
      <c r="AU155" s="233">
        <f t="shared" si="782"/>
        <v>22.919444444444444</v>
      </c>
      <c r="AV155" s="233">
        <f t="shared" si="782"/>
        <v>23.419444444444444</v>
      </c>
      <c r="AW155" s="233">
        <f t="shared" si="782"/>
        <v>23.919444444444444</v>
      </c>
      <c r="AX155" s="233">
        <f t="shared" si="782"/>
        <v>24.419444444444444</v>
      </c>
      <c r="AY155" s="233">
        <f t="shared" si="782"/>
        <v>24.916666666666668</v>
      </c>
      <c r="AZ155" s="233">
        <f t="shared" si="782"/>
        <v>25.416666666666668</v>
      </c>
      <c r="BA155" s="233">
        <f t="shared" si="782"/>
        <v>25.916666666666668</v>
      </c>
      <c r="BB155" s="233">
        <f t="shared" si="782"/>
        <v>26.416666666666668</v>
      </c>
      <c r="BC155" s="233">
        <f t="shared" si="782"/>
        <v>26.916666666666668</v>
      </c>
      <c r="BD155" s="233">
        <f t="shared" si="782"/>
        <v>27.416666666666668</v>
      </c>
      <c r="BE155" s="233">
        <f t="shared" si="782"/>
        <v>27.916666666666668</v>
      </c>
      <c r="BF155" s="233">
        <f t="shared" si="782"/>
        <v>28.416666666666668</v>
      </c>
      <c r="BG155" s="233">
        <f t="shared" si="782"/>
        <v>28.913888888888888</v>
      </c>
      <c r="BH155" s="233">
        <f t="shared" si="782"/>
        <v>29.413888888888888</v>
      </c>
      <c r="BI155" s="233">
        <f t="shared" si="782"/>
        <v>29.913888888888888</v>
      </c>
      <c r="BJ155" s="233">
        <f t="shared" si="782"/>
        <v>30.413888888888888</v>
      </c>
      <c r="BK155" s="233">
        <f t="shared" si="782"/>
        <v>30.913888888888888</v>
      </c>
      <c r="BL155" s="233">
        <f t="shared" si="782"/>
        <v>31.413888888888888</v>
      </c>
      <c r="BM155" s="233">
        <f t="shared" si="782"/>
        <v>31.913888888888888</v>
      </c>
      <c r="BN155" s="233">
        <f t="shared" si="782"/>
        <v>32.413888888888891</v>
      </c>
      <c r="BO155" s="233">
        <f t="shared" ref="BO155:CB155" si="783">BO154/360</f>
        <v>32.913888888888891</v>
      </c>
      <c r="BP155" s="233">
        <f t="shared" si="783"/>
        <v>33.411111111111111</v>
      </c>
      <c r="BQ155" s="233">
        <f t="shared" si="783"/>
        <v>33.913888888888891</v>
      </c>
      <c r="BR155" s="233">
        <f t="shared" si="783"/>
        <v>34.411111111111111</v>
      </c>
      <c r="BS155" s="233">
        <f t="shared" si="783"/>
        <v>34.913888888888891</v>
      </c>
      <c r="BT155" s="233">
        <f t="shared" si="783"/>
        <v>35.411111111111111</v>
      </c>
      <c r="BU155" s="233">
        <f t="shared" si="783"/>
        <v>35.913888888888891</v>
      </c>
      <c r="BV155" s="233">
        <f t="shared" si="783"/>
        <v>36.411111111111111</v>
      </c>
      <c r="BW155" s="233">
        <f t="shared" si="783"/>
        <v>36.911111111111111</v>
      </c>
      <c r="BX155" s="233">
        <f t="shared" si="783"/>
        <v>37.408333333333331</v>
      </c>
      <c r="BY155" s="233">
        <f t="shared" si="783"/>
        <v>37.911111111111111</v>
      </c>
      <c r="BZ155" s="233">
        <f t="shared" si="783"/>
        <v>38.408333333333331</v>
      </c>
      <c r="CA155" s="233">
        <f t="shared" si="783"/>
        <v>38.911111111111111</v>
      </c>
      <c r="CB155" s="233">
        <f t="shared" si="783"/>
        <v>39.408333333333331</v>
      </c>
      <c r="CC155" s="19"/>
      <c r="CD155" s="19"/>
      <c r="CE155" s="19"/>
    </row>
    <row r="156" spans="1:83">
      <c r="A156" s="16" t="s">
        <v>43</v>
      </c>
      <c r="B156" s="233">
        <f>IF(B154&lt;0,0,$B$5+$B$6*((1-EXP(-B155/$B$9))/(B155/$B$9))+$B$7*((1-EXP(-B155/$B$9))/(B155/$B$9)-EXP(-B155/$B$9))+$B$8*((1-EXP(-B155/$B$10))/(B155/$B$10)-EXP(-B155/$B$10)))</f>
        <v>1.8820106631771458E-2</v>
      </c>
      <c r="C156" s="233">
        <f t="shared" ref="C156:BN156" si="784">IF(C154&lt;0,0,$B$5+$B$6*((1-EXP(-C155/$B$9))/(C155/$B$9))+$B$7*((1-EXP(-C155/$B$9))/(C155/$B$9)-EXP(-C155/$B$9))+$B$8*((1-EXP(-C155/$B$10))/(C155/$B$10)-EXP(-C155/$B$10)))</f>
        <v>1.7942141184005583E-2</v>
      </c>
      <c r="D156" s="233">
        <f t="shared" si="784"/>
        <v>1.7170768010294234E-2</v>
      </c>
      <c r="E156" s="233">
        <f t="shared" si="784"/>
        <v>1.650325069894705E-2</v>
      </c>
      <c r="F156" s="233">
        <f t="shared" si="784"/>
        <v>1.5932102576684308E-2</v>
      </c>
      <c r="G156" s="233">
        <f t="shared" si="784"/>
        <v>1.5450290819918978E-2</v>
      </c>
      <c r="H156" s="233">
        <f t="shared" si="784"/>
        <v>1.5051211123046075E-2</v>
      </c>
      <c r="I156" s="233">
        <f t="shared" si="784"/>
        <v>1.4728663713920405E-2</v>
      </c>
      <c r="J156" s="233">
        <f t="shared" si="784"/>
        <v>1.4476830647108335E-2</v>
      </c>
      <c r="K156" s="233">
        <f t="shared" si="784"/>
        <v>1.4291120132358809E-2</v>
      </c>
      <c r="L156" s="233">
        <f t="shared" si="784"/>
        <v>1.4164362328443744E-2</v>
      </c>
      <c r="M156" s="233">
        <f t="shared" si="784"/>
        <v>1.4092972526124931E-2</v>
      </c>
      <c r="N156" s="233">
        <f t="shared" si="784"/>
        <v>1.4072454704225468E-2</v>
      </c>
      <c r="O156" s="233">
        <f t="shared" si="784"/>
        <v>1.4098598200123283E-2</v>
      </c>
      <c r="P156" s="233">
        <f t="shared" si="784"/>
        <v>1.4167461391088529E-2</v>
      </c>
      <c r="Q156" s="233">
        <f t="shared" si="784"/>
        <v>1.4275356256550242E-2</v>
      </c>
      <c r="R156" s="233">
        <f t="shared" si="784"/>
        <v>1.441883377544026E-2</v>
      </c>
      <c r="S156" s="233">
        <f t="shared" si="784"/>
        <v>1.4593609485581346E-2</v>
      </c>
      <c r="T156" s="233">
        <f t="shared" si="784"/>
        <v>1.4798637848303001E-2</v>
      </c>
      <c r="U156" s="233">
        <f t="shared" si="784"/>
        <v>1.5030216490925716E-2</v>
      </c>
      <c r="V156" s="233">
        <f t="shared" si="784"/>
        <v>1.5285720573751174E-2</v>
      </c>
      <c r="W156" s="233">
        <f t="shared" si="784"/>
        <v>1.5562702380851223E-2</v>
      </c>
      <c r="X156" s="233">
        <f t="shared" si="784"/>
        <v>1.5858880884246765E-2</v>
      </c>
      <c r="Y156" s="233">
        <f t="shared" si="784"/>
        <v>1.6172131881431726E-2</v>
      </c>
      <c r="Z156" s="233">
        <f t="shared" si="784"/>
        <v>1.6500478676053268E-2</v>
      </c>
      <c r="AA156" s="233">
        <f t="shared" si="784"/>
        <v>1.6840152041074544E-2</v>
      </c>
      <c r="AB156" s="233">
        <f t="shared" si="784"/>
        <v>1.719324715019116E-2</v>
      </c>
      <c r="AC156" s="233">
        <f t="shared" si="784"/>
        <v>1.7556315848817283E-2</v>
      </c>
      <c r="AD156" s="233">
        <f t="shared" si="784"/>
        <v>1.7927887543162394E-2</v>
      </c>
      <c r="AE156" s="233">
        <f t="shared" si="784"/>
        <v>1.8306599781475502E-2</v>
      </c>
      <c r="AF156" s="233">
        <f t="shared" si="784"/>
        <v>1.8691191638893601E-2</v>
      </c>
      <c r="AG156" s="233">
        <f t="shared" si="784"/>
        <v>1.9080497473419222E-2</v>
      </c>
      <c r="AH156" s="233">
        <f t="shared" si="784"/>
        <v>1.9473441033223154E-2</v>
      </c>
      <c r="AI156" s="233">
        <f t="shared" si="784"/>
        <v>1.9866826586443245E-2</v>
      </c>
      <c r="AJ156" s="233">
        <f t="shared" si="784"/>
        <v>2.026413968361232E-2</v>
      </c>
      <c r="AK156" s="233">
        <f t="shared" si="784"/>
        <v>2.0662348519931664E-2</v>
      </c>
      <c r="AL156" s="233">
        <f t="shared" si="784"/>
        <v>2.1060681495766703E-2</v>
      </c>
      <c r="AM156" s="233">
        <f t="shared" si="784"/>
        <v>2.145843160746369E-2</v>
      </c>
      <c r="AN156" s="233">
        <f t="shared" si="784"/>
        <v>2.1854952299189767E-2</v>
      </c>
      <c r="AO156" s="233">
        <f t="shared" si="784"/>
        <v>2.2249653553472123E-2</v>
      </c>
      <c r="AP156" s="233">
        <f t="shared" si="784"/>
        <v>2.264199820750136E-2</v>
      </c>
      <c r="AQ156" s="233">
        <f t="shared" si="784"/>
        <v>2.3029343281188386E-2</v>
      </c>
      <c r="AR156" s="233">
        <f t="shared" si="784"/>
        <v>2.3415576911254246E-2</v>
      </c>
      <c r="AS156" s="233">
        <f t="shared" si="784"/>
        <v>2.3798127978188297E-2</v>
      </c>
      <c r="AT156" s="233">
        <f t="shared" si="784"/>
        <v>2.4176637784944568E-2</v>
      </c>
      <c r="AU156" s="233">
        <f t="shared" si="784"/>
        <v>2.4550785064454045E-2</v>
      </c>
      <c r="AV156" s="233">
        <f t="shared" si="784"/>
        <v>2.4920283413493408E-2</v>
      </c>
      <c r="AW156" s="233">
        <f t="shared" si="784"/>
        <v>2.5284878878912898E-2</v>
      </c>
      <c r="AX156" s="233">
        <f t="shared" si="784"/>
        <v>2.5644347687813929E-2</v>
      </c>
      <c r="AY156" s="233">
        <f t="shared" si="784"/>
        <v>2.5996541658939401E-2</v>
      </c>
      <c r="AZ156" s="233">
        <f t="shared" si="784"/>
        <v>2.6345226951393491E-2</v>
      </c>
      <c r="BA156" s="233">
        <f t="shared" si="784"/>
        <v>2.6688275391907212E-2</v>
      </c>
      <c r="BB156" s="233">
        <f t="shared" si="784"/>
        <v>2.702556371962006E-2</v>
      </c>
      <c r="BC156" s="233">
        <f t="shared" si="784"/>
        <v>2.7356989408547541E-2</v>
      </c>
      <c r="BD156" s="233">
        <f t="shared" si="784"/>
        <v>2.7682469107664615E-2</v>
      </c>
      <c r="BE156" s="233">
        <f t="shared" si="784"/>
        <v>2.8001937177345768E-2</v>
      </c>
      <c r="BF156" s="233">
        <f t="shared" si="784"/>
        <v>2.8315344316725582E-2</v>
      </c>
      <c r="BG156" s="233">
        <f t="shared" si="784"/>
        <v>2.8620965868703857E-2</v>
      </c>
      <c r="BH156" s="233">
        <f t="shared" si="784"/>
        <v>2.8922196254487761E-2</v>
      </c>
      <c r="BI156" s="233">
        <f t="shared" si="784"/>
        <v>2.9217303380804097E-2</v>
      </c>
      <c r="BJ156" s="233">
        <f t="shared" si="784"/>
        <v>2.9506291157535253E-2</v>
      </c>
      <c r="BK156" s="233">
        <f t="shared" si="784"/>
        <v>2.9789174168581331E-2</v>
      </c>
      <c r="BL156" s="233">
        <f t="shared" si="784"/>
        <v>3.0065976745546924E-2</v>
      </c>
      <c r="BM156" s="233">
        <f t="shared" si="784"/>
        <v>3.0336732101679073E-2</v>
      </c>
      <c r="BN156" s="233">
        <f t="shared" si="784"/>
        <v>3.0601481522565394E-2</v>
      </c>
      <c r="BO156" s="233">
        <f t="shared" ref="BO156:CB156" si="785">IF(BO154&lt;0,0,$B$5+$B$6*((1-EXP(-BO155/$B$9))/(BO155/$B$9))+$B$7*((1-EXP(-BO155/$B$9))/(BO155/$B$9)-EXP(-BO155/$B$9))+$B$8*((1-EXP(-BO155/$B$10))/(BO155/$B$10)-EXP(-BO155/$B$10)))</f>
        <v>3.0860273610292505E-2</v>
      </c>
      <c r="BP156" s="233">
        <f t="shared" si="785"/>
        <v>3.1111774827622923E-2</v>
      </c>
      <c r="BQ156" s="233">
        <f t="shared" si="785"/>
        <v>3.1360212591496128E-2</v>
      </c>
      <c r="BR156" s="233">
        <f t="shared" si="785"/>
        <v>3.1600162564233022E-2</v>
      </c>
      <c r="BS156" s="233">
        <f t="shared" si="785"/>
        <v>3.1837058545541419E-2</v>
      </c>
      <c r="BT156" s="233">
        <f t="shared" si="785"/>
        <v>3.2065740204691412E-2</v>
      </c>
      <c r="BU156" s="233">
        <f t="shared" si="785"/>
        <v>3.2291397574078839E-2</v>
      </c>
      <c r="BV156" s="233">
        <f t="shared" si="785"/>
        <v>3.2509125662314828E-2</v>
      </c>
      <c r="BW156" s="233">
        <f t="shared" si="785"/>
        <v>3.272270423120037E-2</v>
      </c>
      <c r="BX156" s="233">
        <f t="shared" si="785"/>
        <v>3.2929846961440648E-2</v>
      </c>
      <c r="BY156" s="233">
        <f t="shared" si="785"/>
        <v>3.3134071825251785E-2</v>
      </c>
      <c r="BZ156" s="233">
        <f t="shared" si="785"/>
        <v>3.3330956555237351E-2</v>
      </c>
      <c r="CA156" s="233">
        <f t="shared" si="785"/>
        <v>3.3524994605140204E-2</v>
      </c>
      <c r="CB156" s="233">
        <f t="shared" si="785"/>
        <v>3.3711991394750465E-2</v>
      </c>
      <c r="CC156" s="19"/>
      <c r="CD156" s="19"/>
      <c r="CE156" s="19"/>
    </row>
    <row r="157" spans="1:83">
      <c r="A157" s="16" t="s">
        <v>44</v>
      </c>
      <c r="B157" s="233">
        <f>EXP(-B156*B155)</f>
        <v>0.99182593324376889</v>
      </c>
      <c r="C157" s="233">
        <f t="shared" ref="C157:AR157" si="786">EXP(-C156*C155)</f>
        <v>0.98339343638340326</v>
      </c>
      <c r="D157" s="233">
        <f t="shared" si="786"/>
        <v>0.97568895779252884</v>
      </c>
      <c r="E157" s="233">
        <f t="shared" si="786"/>
        <v>0.9685973502320907</v>
      </c>
      <c r="F157" s="233">
        <f t="shared" si="786"/>
        <v>0.96197374934689672</v>
      </c>
      <c r="G157" s="233">
        <f t="shared" si="786"/>
        <v>0.95569079630758413</v>
      </c>
      <c r="H157" s="233">
        <f t="shared" si="786"/>
        <v>0.94963666555284976</v>
      </c>
      <c r="I157" s="233">
        <f t="shared" si="786"/>
        <v>0.94371341574723233</v>
      </c>
      <c r="J157" s="233">
        <f t="shared" si="786"/>
        <v>0.93783559624167812</v>
      </c>
      <c r="K157" s="233">
        <f t="shared" si="786"/>
        <v>0.93196207073241755</v>
      </c>
      <c r="L157" s="233">
        <f t="shared" si="786"/>
        <v>0.92596359762048708</v>
      </c>
      <c r="M157" s="233">
        <f t="shared" si="786"/>
        <v>0.91981827418589057</v>
      </c>
      <c r="N157" s="233">
        <f t="shared" si="786"/>
        <v>0.91348008718270435</v>
      </c>
      <c r="O157" s="233">
        <f t="shared" si="786"/>
        <v>0.90691085606354604</v>
      </c>
      <c r="P157" s="233">
        <f t="shared" si="786"/>
        <v>0.90007956955632862</v>
      </c>
      <c r="Q157" s="233">
        <f t="shared" si="786"/>
        <v>0.89296177348648442</v>
      </c>
      <c r="R157" s="233">
        <f t="shared" si="786"/>
        <v>0.88553900055375534</v>
      </c>
      <c r="S157" s="233">
        <f t="shared" si="786"/>
        <v>0.87784213476608342</v>
      </c>
      <c r="T157" s="233">
        <f t="shared" si="786"/>
        <v>0.86977713305939419</v>
      </c>
      <c r="U157" s="233">
        <f t="shared" si="786"/>
        <v>0.86138247679412061</v>
      </c>
      <c r="V157" s="233">
        <f t="shared" si="786"/>
        <v>0.85265855630632525</v>
      </c>
      <c r="W157" s="233">
        <f t="shared" si="786"/>
        <v>0.84360934472527371</v>
      </c>
      <c r="X157" s="233">
        <f t="shared" si="786"/>
        <v>0.83424198690141294</v>
      </c>
      <c r="Y157" s="233">
        <f t="shared" si="786"/>
        <v>0.82456640931244662</v>
      </c>
      <c r="Z157" s="233">
        <f t="shared" si="786"/>
        <v>0.81459495076224908</v>
      </c>
      <c r="AA157" s="233">
        <f t="shared" si="786"/>
        <v>0.804399723248441</v>
      </c>
      <c r="AB157" s="233">
        <f t="shared" si="786"/>
        <v>0.79388287358625043</v>
      </c>
      <c r="AC157" s="233">
        <f t="shared" si="786"/>
        <v>0.78311815170912535</v>
      </c>
      <c r="AD157" s="233">
        <f t="shared" si="786"/>
        <v>0.77212426428564329</v>
      </c>
      <c r="AE157" s="233">
        <f t="shared" si="786"/>
        <v>0.76092079877137608</v>
      </c>
      <c r="AF157" s="233">
        <f t="shared" si="786"/>
        <v>0.74952797966420126</v>
      </c>
      <c r="AG157" s="233">
        <f t="shared" si="786"/>
        <v>0.73796644546552059</v>
      </c>
      <c r="AH157" s="233">
        <f t="shared" si="786"/>
        <v>0.72625704599934737</v>
      </c>
      <c r="AI157" s="233">
        <f t="shared" si="786"/>
        <v>0.7144867299048383</v>
      </c>
      <c r="AJ157" s="233">
        <f t="shared" si="786"/>
        <v>0.70254463339542705</v>
      </c>
      <c r="AK157" s="233">
        <f t="shared" si="786"/>
        <v>0.69051664423740478</v>
      </c>
      <c r="AL157" s="233">
        <f t="shared" si="786"/>
        <v>0.67842282164994583</v>
      </c>
      <c r="AM157" s="233">
        <f t="shared" si="786"/>
        <v>0.66628270840468484</v>
      </c>
      <c r="AN157" s="233">
        <f t="shared" si="786"/>
        <v>0.65411523665468163</v>
      </c>
      <c r="AO157" s="233">
        <f t="shared" si="786"/>
        <v>0.64193864881005802</v>
      </c>
      <c r="AP157" s="233">
        <f t="shared" si="786"/>
        <v>0.62977043244468189</v>
      </c>
      <c r="AQ157" s="233">
        <f t="shared" si="786"/>
        <v>0.61769463154162119</v>
      </c>
      <c r="AR157" s="233">
        <f t="shared" si="786"/>
        <v>0.60559208369315642</v>
      </c>
      <c r="AS157" s="233">
        <f>EXP(-AS156*AS155)</f>
        <v>0.59354529814280343</v>
      </c>
      <c r="AT157" s="233">
        <f t="shared" ref="AT157:CA157" si="787">EXP(-AT156*AT155)</f>
        <v>0.58156834151790249</v>
      </c>
      <c r="AU157" s="233">
        <f t="shared" si="787"/>
        <v>0.56967437441272017</v>
      </c>
      <c r="AV157" s="233">
        <f t="shared" si="787"/>
        <v>0.55787564885953689</v>
      </c>
      <c r="AW157" s="233">
        <f t="shared" si="787"/>
        <v>0.54618351282707456</v>
      </c>
      <c r="AX157" s="233">
        <f t="shared" si="787"/>
        <v>0.53460842087207061</v>
      </c>
      <c r="AY157" s="233">
        <f t="shared" si="787"/>
        <v>0.52322318655980671</v>
      </c>
      <c r="AZ157" s="233">
        <f t="shared" si="787"/>
        <v>0.51190928279550463</v>
      </c>
      <c r="BA157" s="233">
        <f t="shared" si="787"/>
        <v>0.50073856660389948</v>
      </c>
      <c r="BB157" s="233">
        <f t="shared" si="787"/>
        <v>0.48971812511862939</v>
      </c>
      <c r="BC157" s="233">
        <f t="shared" si="787"/>
        <v>0.47885427045175583</v>
      </c>
      <c r="BD157" s="233">
        <f t="shared" si="787"/>
        <v>0.46815257181816167</v>
      </c>
      <c r="BE157" s="233">
        <f t="shared" si="787"/>
        <v>0.45761788917634566</v>
      </c>
      <c r="BF157" s="233">
        <f t="shared" si="787"/>
        <v>0.44725440793570098</v>
      </c>
      <c r="BG157" s="233">
        <f t="shared" si="787"/>
        <v>0.43712179001853735</v>
      </c>
      <c r="BH157" s="233">
        <f t="shared" si="787"/>
        <v>0.42710975254801253</v>
      </c>
      <c r="BI157" s="233">
        <f t="shared" si="787"/>
        <v>0.41727776869195427</v>
      </c>
      <c r="BJ157" s="233">
        <f t="shared" si="787"/>
        <v>0.40762768384614595</v>
      </c>
      <c r="BK157" s="233">
        <f t="shared" si="787"/>
        <v>0.39816084572959032</v>
      </c>
      <c r="BL157" s="233">
        <f t="shared" si="787"/>
        <v>0.38887813860093895</v>
      </c>
      <c r="BM157" s="233">
        <f t="shared" si="787"/>
        <v>0.37978001661153643</v>
      </c>
      <c r="BN157" s="233">
        <f t="shared" si="787"/>
        <v>0.37086653615916682</v>
      </c>
      <c r="BO157" s="233">
        <f t="shared" si="787"/>
        <v>0.36213738713302623</v>
      </c>
      <c r="BP157" s="233">
        <f t="shared" si="787"/>
        <v>0.35363889198217618</v>
      </c>
      <c r="BQ157" s="233">
        <f t="shared" si="787"/>
        <v>0.34522918941737313</v>
      </c>
      <c r="BR157" s="233">
        <f t="shared" si="787"/>
        <v>0.33709290466413178</v>
      </c>
      <c r="BS157" s="233">
        <f t="shared" si="787"/>
        <v>0.3290467225045598</v>
      </c>
      <c r="BT157" s="233">
        <f t="shared" si="787"/>
        <v>0.32126675475660577</v>
      </c>
      <c r="BU157" s="233">
        <f t="shared" si="787"/>
        <v>0.31357721025026908</v>
      </c>
      <c r="BV157" s="233">
        <f t="shared" si="787"/>
        <v>0.30614593265360668</v>
      </c>
      <c r="BW157" s="233">
        <f t="shared" si="787"/>
        <v>0.29884466018933475</v>
      </c>
      <c r="BX157" s="233">
        <f t="shared" si="787"/>
        <v>0.29175213447013526</v>
      </c>
      <c r="BY157" s="233">
        <f t="shared" si="787"/>
        <v>0.2847483479206554</v>
      </c>
      <c r="BZ157" s="233">
        <f t="shared" si="787"/>
        <v>0.27798545419710119</v>
      </c>
      <c r="CA157" s="233">
        <f t="shared" si="787"/>
        <v>0.27130956871280282</v>
      </c>
      <c r="CB157" s="233">
        <f>EXP(-CB156*CB155)</f>
        <v>0.26486542975677774</v>
      </c>
      <c r="CC157" s="19"/>
      <c r="CD157" s="19"/>
      <c r="CE157" s="19"/>
    </row>
    <row r="158" spans="1:83">
      <c r="A158" s="17"/>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19"/>
      <c r="CD158" s="19"/>
      <c r="CE158" s="19"/>
    </row>
    <row r="159" spans="1:83">
      <c r="A159" s="16" t="s">
        <v>40</v>
      </c>
      <c r="B159" s="233">
        <f t="shared" ref="B159:AG159" si="788">DAYS360($B$3,B58)</f>
        <v>54</v>
      </c>
      <c r="C159" s="233">
        <f t="shared" si="788"/>
        <v>232</v>
      </c>
      <c r="D159" s="233">
        <f t="shared" si="788"/>
        <v>413</v>
      </c>
      <c r="E159" s="233">
        <f t="shared" si="788"/>
        <v>591</v>
      </c>
      <c r="F159" s="233">
        <f t="shared" si="788"/>
        <v>773</v>
      </c>
      <c r="G159" s="233">
        <f t="shared" si="788"/>
        <v>951</v>
      </c>
      <c r="H159" s="233">
        <f t="shared" si="788"/>
        <v>1133</v>
      </c>
      <c r="I159" s="233">
        <f t="shared" si="788"/>
        <v>1311</v>
      </c>
      <c r="J159" s="233">
        <f t="shared" si="788"/>
        <v>1493</v>
      </c>
      <c r="K159" s="233">
        <f t="shared" si="788"/>
        <v>1671</v>
      </c>
      <c r="L159" s="233">
        <f t="shared" si="788"/>
        <v>1852</v>
      </c>
      <c r="M159" s="233">
        <f t="shared" si="788"/>
        <v>2030</v>
      </c>
      <c r="N159" s="233">
        <f t="shared" si="788"/>
        <v>2212</v>
      </c>
      <c r="O159" s="233">
        <f t="shared" si="788"/>
        <v>2390</v>
      </c>
      <c r="P159" s="233">
        <f t="shared" si="788"/>
        <v>2572</v>
      </c>
      <c r="Q159" s="233">
        <f t="shared" si="788"/>
        <v>2750</v>
      </c>
      <c r="R159" s="233">
        <f t="shared" si="788"/>
        <v>2932</v>
      </c>
      <c r="S159" s="233">
        <f t="shared" si="788"/>
        <v>3110</v>
      </c>
      <c r="T159" s="233">
        <f t="shared" si="788"/>
        <v>3291</v>
      </c>
      <c r="U159" s="233">
        <f t="shared" si="788"/>
        <v>3469</v>
      </c>
      <c r="V159" s="233">
        <f t="shared" si="788"/>
        <v>3651</v>
      </c>
      <c r="W159" s="233">
        <f t="shared" si="788"/>
        <v>3829</v>
      </c>
      <c r="X159" s="233">
        <f t="shared" si="788"/>
        <v>4011</v>
      </c>
      <c r="Y159" s="233">
        <f t="shared" si="788"/>
        <v>4189</v>
      </c>
      <c r="Z159" s="233">
        <f t="shared" si="788"/>
        <v>4371</v>
      </c>
      <c r="AA159" s="233">
        <f t="shared" si="788"/>
        <v>4549</v>
      </c>
      <c r="AB159" s="233">
        <f t="shared" si="788"/>
        <v>4730</v>
      </c>
      <c r="AC159" s="233">
        <f t="shared" si="788"/>
        <v>4908</v>
      </c>
      <c r="AD159" s="233">
        <f t="shared" si="788"/>
        <v>5090</v>
      </c>
      <c r="AE159" s="233">
        <f t="shared" si="788"/>
        <v>5268</v>
      </c>
      <c r="AF159" s="233">
        <f t="shared" si="788"/>
        <v>5450</v>
      </c>
      <c r="AG159" s="233">
        <f t="shared" si="788"/>
        <v>5628</v>
      </c>
      <c r="AH159" s="233">
        <f t="shared" ref="AH159:BM159" si="789">DAYS360($B$3,AH58)</f>
        <v>5810</v>
      </c>
      <c r="AI159" s="233">
        <f t="shared" si="789"/>
        <v>5988</v>
      </c>
      <c r="AJ159" s="233">
        <f t="shared" si="789"/>
        <v>6169</v>
      </c>
      <c r="AK159" s="233">
        <f t="shared" si="789"/>
        <v>6347</v>
      </c>
      <c r="AL159" s="233">
        <f t="shared" si="789"/>
        <v>6529</v>
      </c>
      <c r="AM159" s="233">
        <f t="shared" si="789"/>
        <v>6707</v>
      </c>
      <c r="AN159" s="233">
        <f t="shared" si="789"/>
        <v>6889</v>
      </c>
      <c r="AO159" s="233">
        <f t="shared" si="789"/>
        <v>7067</v>
      </c>
      <c r="AP159" s="233">
        <f t="shared" si="789"/>
        <v>7249</v>
      </c>
      <c r="AQ159" s="233">
        <f t="shared" si="789"/>
        <v>7427</v>
      </c>
      <c r="AR159" s="233">
        <f t="shared" si="789"/>
        <v>7608</v>
      </c>
      <c r="AS159" s="233">
        <f t="shared" si="789"/>
        <v>7786</v>
      </c>
      <c r="AT159" s="233">
        <f t="shared" si="789"/>
        <v>7968</v>
      </c>
      <c r="AU159" s="233">
        <f t="shared" si="789"/>
        <v>8146</v>
      </c>
      <c r="AV159" s="233">
        <f t="shared" si="789"/>
        <v>8328</v>
      </c>
      <c r="AW159" s="233">
        <f t="shared" si="789"/>
        <v>8506</v>
      </c>
      <c r="AX159" s="233">
        <f t="shared" si="789"/>
        <v>8688</v>
      </c>
      <c r="AY159" s="233">
        <f t="shared" si="789"/>
        <v>8866</v>
      </c>
      <c r="AZ159" s="233">
        <f t="shared" si="789"/>
        <v>9047</v>
      </c>
      <c r="BA159" s="233">
        <f t="shared" si="789"/>
        <v>9225</v>
      </c>
      <c r="BB159" s="233">
        <f t="shared" si="789"/>
        <v>9407</v>
      </c>
      <c r="BC159" s="233">
        <f t="shared" si="789"/>
        <v>9585</v>
      </c>
      <c r="BD159" s="233">
        <f t="shared" si="789"/>
        <v>9767</v>
      </c>
      <c r="BE159" s="233">
        <f t="shared" si="789"/>
        <v>9945</v>
      </c>
      <c r="BF159" s="233">
        <f t="shared" si="789"/>
        <v>10127</v>
      </c>
      <c r="BG159" s="233">
        <f t="shared" si="789"/>
        <v>10305</v>
      </c>
      <c r="BH159" s="233">
        <f t="shared" si="789"/>
        <v>10486</v>
      </c>
      <c r="BI159" s="233">
        <f t="shared" si="789"/>
        <v>10664</v>
      </c>
      <c r="BJ159" s="233">
        <f t="shared" si="789"/>
        <v>10846</v>
      </c>
      <c r="BK159" s="233">
        <f t="shared" si="789"/>
        <v>11024</v>
      </c>
      <c r="BL159" s="233">
        <f t="shared" si="789"/>
        <v>11206</v>
      </c>
      <c r="BM159" s="233">
        <f t="shared" si="789"/>
        <v>11384</v>
      </c>
      <c r="BN159" s="233">
        <f t="shared" ref="BN159:CB159" si="790">DAYS360($B$3,BN58)</f>
        <v>11566</v>
      </c>
      <c r="BO159" s="233">
        <f t="shared" si="790"/>
        <v>11744</v>
      </c>
      <c r="BP159" s="233">
        <f t="shared" si="790"/>
        <v>11925</v>
      </c>
      <c r="BQ159" s="233">
        <f t="shared" si="790"/>
        <v>12103</v>
      </c>
      <c r="BR159" s="233">
        <f t="shared" si="790"/>
        <v>12285</v>
      </c>
      <c r="BS159" s="233">
        <f t="shared" si="790"/>
        <v>12463</v>
      </c>
      <c r="BT159" s="233">
        <f t="shared" si="790"/>
        <v>12645</v>
      </c>
      <c r="BU159" s="233">
        <f t="shared" si="790"/>
        <v>12823</v>
      </c>
      <c r="BV159" s="233">
        <f t="shared" si="790"/>
        <v>13005</v>
      </c>
      <c r="BW159" s="233">
        <f t="shared" si="790"/>
        <v>13183</v>
      </c>
      <c r="BX159" s="233">
        <f t="shared" si="790"/>
        <v>13364</v>
      </c>
      <c r="BY159" s="233">
        <f t="shared" si="790"/>
        <v>13542</v>
      </c>
      <c r="BZ159" s="233">
        <f t="shared" si="790"/>
        <v>13724</v>
      </c>
      <c r="CA159" s="233">
        <f t="shared" si="790"/>
        <v>13902</v>
      </c>
      <c r="CB159" s="233">
        <f t="shared" si="790"/>
        <v>14084</v>
      </c>
      <c r="CC159" s="19"/>
      <c r="CD159" s="19"/>
      <c r="CE159" s="19"/>
    </row>
    <row r="160" spans="1:83">
      <c r="A160" s="16" t="s">
        <v>41</v>
      </c>
      <c r="B160" s="233">
        <f>B159/360</f>
        <v>0.15</v>
      </c>
      <c r="C160" s="233">
        <f t="shared" ref="C160:BN160" si="791">C159/360</f>
        <v>0.64444444444444449</v>
      </c>
      <c r="D160" s="233">
        <f t="shared" si="791"/>
        <v>1.1472222222222221</v>
      </c>
      <c r="E160" s="233">
        <f t="shared" si="791"/>
        <v>1.6416666666666666</v>
      </c>
      <c r="F160" s="233">
        <f t="shared" si="791"/>
        <v>2.1472222222222221</v>
      </c>
      <c r="G160" s="233">
        <f t="shared" si="791"/>
        <v>2.6416666666666666</v>
      </c>
      <c r="H160" s="233">
        <f t="shared" si="791"/>
        <v>3.1472222222222221</v>
      </c>
      <c r="I160" s="233">
        <f t="shared" si="791"/>
        <v>3.6416666666666666</v>
      </c>
      <c r="J160" s="233">
        <f t="shared" si="791"/>
        <v>4.1472222222222221</v>
      </c>
      <c r="K160" s="233">
        <f t="shared" si="791"/>
        <v>4.6416666666666666</v>
      </c>
      <c r="L160" s="233">
        <f t="shared" si="791"/>
        <v>5.1444444444444448</v>
      </c>
      <c r="M160" s="233">
        <f t="shared" si="791"/>
        <v>5.6388888888888893</v>
      </c>
      <c r="N160" s="233">
        <f t="shared" si="791"/>
        <v>6.1444444444444448</v>
      </c>
      <c r="O160" s="233">
        <f t="shared" si="791"/>
        <v>6.6388888888888893</v>
      </c>
      <c r="P160" s="233">
        <f t="shared" si="791"/>
        <v>7.1444444444444448</v>
      </c>
      <c r="Q160" s="233">
        <f t="shared" si="791"/>
        <v>7.6388888888888893</v>
      </c>
      <c r="R160" s="233">
        <f t="shared" si="791"/>
        <v>8.1444444444444439</v>
      </c>
      <c r="S160" s="233">
        <f t="shared" si="791"/>
        <v>8.6388888888888893</v>
      </c>
      <c r="T160" s="233">
        <f t="shared" si="791"/>
        <v>9.1416666666666675</v>
      </c>
      <c r="U160" s="233">
        <f t="shared" si="791"/>
        <v>9.6361111111111111</v>
      </c>
      <c r="V160" s="233">
        <f t="shared" si="791"/>
        <v>10.141666666666667</v>
      </c>
      <c r="W160" s="233">
        <f t="shared" si="791"/>
        <v>10.636111111111111</v>
      </c>
      <c r="X160" s="233">
        <f t="shared" si="791"/>
        <v>11.141666666666667</v>
      </c>
      <c r="Y160" s="233">
        <f t="shared" si="791"/>
        <v>11.636111111111111</v>
      </c>
      <c r="Z160" s="233">
        <f t="shared" si="791"/>
        <v>12.141666666666667</v>
      </c>
      <c r="AA160" s="233">
        <f t="shared" si="791"/>
        <v>12.636111111111111</v>
      </c>
      <c r="AB160" s="233">
        <f t="shared" si="791"/>
        <v>13.138888888888889</v>
      </c>
      <c r="AC160" s="233">
        <f t="shared" si="791"/>
        <v>13.633333333333333</v>
      </c>
      <c r="AD160" s="233">
        <f t="shared" si="791"/>
        <v>14.138888888888889</v>
      </c>
      <c r="AE160" s="233">
        <f t="shared" si="791"/>
        <v>14.633333333333333</v>
      </c>
      <c r="AF160" s="233">
        <f t="shared" si="791"/>
        <v>15.138888888888889</v>
      </c>
      <c r="AG160" s="233">
        <f t="shared" si="791"/>
        <v>15.633333333333333</v>
      </c>
      <c r="AH160" s="233">
        <f t="shared" si="791"/>
        <v>16.138888888888889</v>
      </c>
      <c r="AI160" s="233">
        <f t="shared" si="791"/>
        <v>16.633333333333333</v>
      </c>
      <c r="AJ160" s="233">
        <f t="shared" si="791"/>
        <v>17.136111111111113</v>
      </c>
      <c r="AK160" s="233">
        <f t="shared" si="791"/>
        <v>17.630555555555556</v>
      </c>
      <c r="AL160" s="233">
        <f t="shared" si="791"/>
        <v>18.136111111111113</v>
      </c>
      <c r="AM160" s="233">
        <f t="shared" si="791"/>
        <v>18.630555555555556</v>
      </c>
      <c r="AN160" s="233">
        <f t="shared" si="791"/>
        <v>19.136111111111113</v>
      </c>
      <c r="AO160" s="233">
        <f t="shared" si="791"/>
        <v>19.630555555555556</v>
      </c>
      <c r="AP160" s="233">
        <f t="shared" si="791"/>
        <v>20.136111111111113</v>
      </c>
      <c r="AQ160" s="233">
        <f t="shared" si="791"/>
        <v>20.630555555555556</v>
      </c>
      <c r="AR160" s="233">
        <f t="shared" si="791"/>
        <v>21.133333333333333</v>
      </c>
      <c r="AS160" s="233">
        <f t="shared" si="791"/>
        <v>21.627777777777776</v>
      </c>
      <c r="AT160" s="233">
        <f t="shared" si="791"/>
        <v>22.133333333333333</v>
      </c>
      <c r="AU160" s="233">
        <f t="shared" si="791"/>
        <v>22.627777777777776</v>
      </c>
      <c r="AV160" s="233">
        <f t="shared" si="791"/>
        <v>23.133333333333333</v>
      </c>
      <c r="AW160" s="233">
        <f t="shared" si="791"/>
        <v>23.627777777777776</v>
      </c>
      <c r="AX160" s="233">
        <f t="shared" si="791"/>
        <v>24.133333333333333</v>
      </c>
      <c r="AY160" s="233">
        <f t="shared" si="791"/>
        <v>24.627777777777776</v>
      </c>
      <c r="AZ160" s="233">
        <f t="shared" si="791"/>
        <v>25.130555555555556</v>
      </c>
      <c r="BA160" s="233">
        <f t="shared" si="791"/>
        <v>25.625</v>
      </c>
      <c r="BB160" s="233">
        <f t="shared" si="791"/>
        <v>26.130555555555556</v>
      </c>
      <c r="BC160" s="233">
        <f t="shared" si="791"/>
        <v>26.625</v>
      </c>
      <c r="BD160" s="233">
        <f t="shared" si="791"/>
        <v>27.130555555555556</v>
      </c>
      <c r="BE160" s="233">
        <f t="shared" si="791"/>
        <v>27.625</v>
      </c>
      <c r="BF160" s="233">
        <f t="shared" si="791"/>
        <v>28.130555555555556</v>
      </c>
      <c r="BG160" s="233">
        <f t="shared" si="791"/>
        <v>28.625</v>
      </c>
      <c r="BH160" s="233">
        <f t="shared" si="791"/>
        <v>29.127777777777776</v>
      </c>
      <c r="BI160" s="233">
        <f t="shared" si="791"/>
        <v>29.622222222222224</v>
      </c>
      <c r="BJ160" s="233">
        <f t="shared" si="791"/>
        <v>30.127777777777776</v>
      </c>
      <c r="BK160" s="233">
        <f t="shared" si="791"/>
        <v>30.622222222222224</v>
      </c>
      <c r="BL160" s="233">
        <f t="shared" si="791"/>
        <v>31.127777777777776</v>
      </c>
      <c r="BM160" s="233">
        <f t="shared" si="791"/>
        <v>31.622222222222224</v>
      </c>
      <c r="BN160" s="233">
        <f t="shared" si="791"/>
        <v>32.12777777777778</v>
      </c>
      <c r="BO160" s="233">
        <f t="shared" ref="BO160:CB160" si="792">BO159/360</f>
        <v>32.62222222222222</v>
      </c>
      <c r="BP160" s="233">
        <f t="shared" si="792"/>
        <v>33.125</v>
      </c>
      <c r="BQ160" s="233">
        <f t="shared" si="792"/>
        <v>33.619444444444447</v>
      </c>
      <c r="BR160" s="233">
        <f t="shared" si="792"/>
        <v>34.125</v>
      </c>
      <c r="BS160" s="233">
        <f t="shared" si="792"/>
        <v>34.619444444444447</v>
      </c>
      <c r="BT160" s="233">
        <f t="shared" si="792"/>
        <v>35.125</v>
      </c>
      <c r="BU160" s="233">
        <f t="shared" si="792"/>
        <v>35.619444444444447</v>
      </c>
      <c r="BV160" s="233">
        <f t="shared" si="792"/>
        <v>36.125</v>
      </c>
      <c r="BW160" s="233">
        <f t="shared" si="792"/>
        <v>36.619444444444447</v>
      </c>
      <c r="BX160" s="233">
        <f t="shared" si="792"/>
        <v>37.12222222222222</v>
      </c>
      <c r="BY160" s="233">
        <f t="shared" si="792"/>
        <v>37.616666666666667</v>
      </c>
      <c r="BZ160" s="233">
        <f t="shared" si="792"/>
        <v>38.12222222222222</v>
      </c>
      <c r="CA160" s="233">
        <f t="shared" si="792"/>
        <v>38.616666666666667</v>
      </c>
      <c r="CB160" s="233">
        <f t="shared" si="792"/>
        <v>39.12222222222222</v>
      </c>
      <c r="CC160" s="19"/>
      <c r="CD160" s="19"/>
      <c r="CE160" s="19"/>
    </row>
    <row r="161" spans="1:83">
      <c r="A161" s="16" t="s">
        <v>43</v>
      </c>
      <c r="B161" s="233">
        <f>IF(B159&lt;0,0,$B$5+$B$6*((1-EXP(-B160/$B$9))/(B160/$B$9))+$B$7*((1-EXP(-B160/$B$9))/(B160/$B$9)-EXP(-B160/$B$9))+$B$8*((1-EXP(-B160/$B$10))/(B160/$B$10)-EXP(-B160/$B$10)))</f>
        <v>1.9378649645750395E-2</v>
      </c>
      <c r="C161" s="233">
        <f t="shared" ref="C161:BN161" si="793">IF(C159&lt;0,0,$B$5+$B$6*((1-EXP(-C160/$B$9))/(C160/$B$9))+$B$7*((1-EXP(-C160/$B$9))/(C160/$B$9)-EXP(-C160/$B$9))+$B$8*((1-EXP(-C160/$B$10))/(C160/$B$10)-EXP(-C160/$B$10)))</f>
        <v>1.8438260930347221E-2</v>
      </c>
      <c r="D161" s="233">
        <f t="shared" si="793"/>
        <v>1.7598954046069398E-2</v>
      </c>
      <c r="E161" s="233">
        <f t="shared" si="793"/>
        <v>1.6880454687946404E-2</v>
      </c>
      <c r="F161" s="233">
        <f t="shared" si="793"/>
        <v>1.6247551170386895E-2</v>
      </c>
      <c r="G161" s="233">
        <f t="shared" si="793"/>
        <v>1.5720879301451308E-2</v>
      </c>
      <c r="H161" s="233">
        <f t="shared" si="793"/>
        <v>1.5269817791069555E-2</v>
      </c>
      <c r="I161" s="233">
        <f t="shared" si="793"/>
        <v>1.4907857883362192E-2</v>
      </c>
      <c r="J161" s="233">
        <f t="shared" si="793"/>
        <v>1.4612606177918666E-2</v>
      </c>
      <c r="K161" s="233">
        <f t="shared" si="793"/>
        <v>1.4391461198740185E-2</v>
      </c>
      <c r="L161" s="233">
        <f t="shared" si="793"/>
        <v>1.4229818703975383E-2</v>
      </c>
      <c r="M161" s="233">
        <f t="shared" si="793"/>
        <v>1.4128152525635783E-2</v>
      </c>
      <c r="N161" s="233">
        <f t="shared" si="793"/>
        <v>1.4078220752390153E-2</v>
      </c>
      <c r="O161" s="233">
        <f t="shared" si="793"/>
        <v>1.4077909321554644E-2</v>
      </c>
      <c r="P161" s="233">
        <f t="shared" si="793"/>
        <v>1.4123048260551316E-2</v>
      </c>
      <c r="Q161" s="233">
        <f t="shared" si="793"/>
        <v>1.4207877359052823E-2</v>
      </c>
      <c r="R161" s="233">
        <f t="shared" si="793"/>
        <v>1.4332570513265114E-2</v>
      </c>
      <c r="S161" s="233">
        <f t="shared" si="793"/>
        <v>1.4488343937318612E-2</v>
      </c>
      <c r="T161" s="233">
        <f t="shared" si="793"/>
        <v>1.4677890531264184E-2</v>
      </c>
      <c r="U161" s="233">
        <f t="shared" si="793"/>
        <v>1.489205713769931E-2</v>
      </c>
      <c r="V161" s="233">
        <f t="shared" si="793"/>
        <v>1.5136733692545534E-2</v>
      </c>
      <c r="W161" s="233">
        <f t="shared" si="793"/>
        <v>1.5398654099422537E-2</v>
      </c>
      <c r="X161" s="233">
        <f t="shared" si="793"/>
        <v>1.5687178659487266E-2</v>
      </c>
      <c r="Y161" s="233">
        <f t="shared" si="793"/>
        <v>1.5987444041453372E-2</v>
      </c>
      <c r="Z161" s="233">
        <f t="shared" si="793"/>
        <v>1.6310853882306908E-2</v>
      </c>
      <c r="AA161" s="233">
        <f t="shared" si="793"/>
        <v>1.6641303603584262E-2</v>
      </c>
      <c r="AB161" s="233">
        <f t="shared" si="793"/>
        <v>1.6989878603173497E-2</v>
      </c>
      <c r="AC161" s="233">
        <f t="shared" si="793"/>
        <v>1.7343400637962136E-2</v>
      </c>
      <c r="AD161" s="233">
        <f t="shared" si="793"/>
        <v>1.7714307026805154E-2</v>
      </c>
      <c r="AE161" s="233">
        <f t="shared" si="793"/>
        <v>1.8084891132823855E-2</v>
      </c>
      <c r="AF161" s="233">
        <f t="shared" si="793"/>
        <v>1.8470470025868074E-2</v>
      </c>
      <c r="AG161" s="233">
        <f t="shared" si="793"/>
        <v>1.8852893256204373E-2</v>
      </c>
      <c r="AH161" s="233">
        <f t="shared" si="793"/>
        <v>1.9248204435470623E-2</v>
      </c>
      <c r="AI161" s="233">
        <f t="shared" si="793"/>
        <v>1.9638002421243722E-2</v>
      </c>
      <c r="AJ161" s="233">
        <f t="shared" si="793"/>
        <v>2.0036626384404302E-2</v>
      </c>
      <c r="AK161" s="233">
        <f t="shared" si="793"/>
        <v>2.0429996973331616E-2</v>
      </c>
      <c r="AL161" s="233">
        <f t="shared" si="793"/>
        <v>2.083277393574802E-2</v>
      </c>
      <c r="AM161" s="233">
        <f t="shared" si="793"/>
        <v>2.1226519976898145E-2</v>
      </c>
      <c r="AN161" s="233">
        <f t="shared" si="793"/>
        <v>2.1628240439647395E-2</v>
      </c>
      <c r="AO161" s="233">
        <f t="shared" si="793"/>
        <v>2.2019664255663068E-2</v>
      </c>
      <c r="AP161" s="233">
        <f t="shared" si="793"/>
        <v>2.2417807812909613E-2</v>
      </c>
      <c r="AQ161" s="233">
        <f t="shared" si="793"/>
        <v>2.280466201901829E-2</v>
      </c>
      <c r="AR161" s="233">
        <f t="shared" si="793"/>
        <v>2.3194991530545689E-2</v>
      </c>
      <c r="AS161" s="233">
        <f t="shared" si="793"/>
        <v>2.3575442189295567E-2</v>
      </c>
      <c r="AT161" s="233">
        <f t="shared" si="793"/>
        <v>2.3960560221351845E-2</v>
      </c>
      <c r="AU161" s="233">
        <f t="shared" si="793"/>
        <v>2.4333079853893103E-2</v>
      </c>
      <c r="AV161" s="233">
        <f t="shared" si="793"/>
        <v>2.4709432748583102E-2</v>
      </c>
      <c r="AW161" s="233">
        <f t="shared" si="793"/>
        <v>2.5072807530733029E-2</v>
      </c>
      <c r="AX161" s="233">
        <f t="shared" si="793"/>
        <v>2.543929112899769E-2</v>
      </c>
      <c r="AY161" s="233">
        <f t="shared" si="793"/>
        <v>2.5792565824220501E-2</v>
      </c>
      <c r="AZ161" s="233">
        <f t="shared" si="793"/>
        <v>2.6146382574188567E-2</v>
      </c>
      <c r="BA161" s="233">
        <f t="shared" si="793"/>
        <v>2.6488856399431882E-2</v>
      </c>
      <c r="BB161" s="233">
        <f t="shared" si="793"/>
        <v>2.6833271263795824E-2</v>
      </c>
      <c r="BC161" s="233">
        <f t="shared" si="793"/>
        <v>2.7164375432564183E-2</v>
      </c>
      <c r="BD161" s="233">
        <f t="shared" si="793"/>
        <v>2.7496954345689148E-2</v>
      </c>
      <c r="BE161" s="233">
        <f t="shared" si="793"/>
        <v>2.7816314569245493E-2</v>
      </c>
      <c r="BF161" s="233">
        <f t="shared" si="793"/>
        <v>2.8136749922023391E-2</v>
      </c>
      <c r="BG161" s="233">
        <f t="shared" si="793"/>
        <v>2.8444133173027547E-2</v>
      </c>
      <c r="BH161" s="233">
        <f t="shared" si="793"/>
        <v>2.8750574753356087E-2</v>
      </c>
      <c r="BI161" s="233">
        <f t="shared" si="793"/>
        <v>2.9045901732637824E-2</v>
      </c>
      <c r="BJ161" s="233">
        <f t="shared" si="793"/>
        <v>2.9341674273308457E-2</v>
      </c>
      <c r="BK161" s="233">
        <f t="shared" si="793"/>
        <v>2.9624899792711698E-2</v>
      </c>
      <c r="BL161" s="233">
        <f t="shared" si="793"/>
        <v>2.9908326615609424E-2</v>
      </c>
      <c r="BM161" s="233">
        <f t="shared" si="793"/>
        <v>3.0179524188104392E-2</v>
      </c>
      <c r="BN161" s="233">
        <f t="shared" si="793"/>
        <v>3.0450718427281698E-2</v>
      </c>
      <c r="BO161" s="233">
        <f t="shared" ref="BO161:CB161" si="794">IF(BO159&lt;0,0,$B$5+$B$6*((1-EXP(-BO160/$B$9))/(BO160/$B$9))+$B$7*((1-EXP(-BO160/$B$9))/(BO160/$B$9)-EXP(-BO160/$B$9))+$B$8*((1-EXP(-BO160/$B$10))/(BO160/$B$10)-EXP(-BO160/$B$10)))</f>
        <v>3.0710032514736821E-2</v>
      </c>
      <c r="BP161" s="233">
        <f t="shared" si="794"/>
        <v>3.0967765879181861E-2</v>
      </c>
      <c r="BQ161" s="233">
        <f t="shared" si="794"/>
        <v>3.1215431543944933E-2</v>
      </c>
      <c r="BR161" s="233">
        <f t="shared" si="794"/>
        <v>3.1462784395872884E-2</v>
      </c>
      <c r="BS161" s="233">
        <f t="shared" si="794"/>
        <v>3.1699019328656555E-2</v>
      </c>
      <c r="BT161" s="233">
        <f t="shared" si="794"/>
        <v>3.1934827828910467E-2</v>
      </c>
      <c r="BU161" s="233">
        <f t="shared" si="794"/>
        <v>3.2159920674413853E-2</v>
      </c>
      <c r="BV161" s="233">
        <f t="shared" si="794"/>
        <v>3.238449626653031E-2</v>
      </c>
      <c r="BW161" s="233">
        <f t="shared" si="794"/>
        <v>3.2598765683016298E-2</v>
      </c>
      <c r="BX161" s="233">
        <f t="shared" si="794"/>
        <v>3.2811287439952347E-2</v>
      </c>
      <c r="BY161" s="233">
        <f t="shared" si="794"/>
        <v>3.3015103650740715E-2</v>
      </c>
      <c r="BZ161" s="233">
        <f t="shared" si="794"/>
        <v>3.3218277549066672E-2</v>
      </c>
      <c r="CA161" s="233">
        <f t="shared" si="794"/>
        <v>3.3411969357581048E-2</v>
      </c>
      <c r="CB161" s="233">
        <f t="shared" si="794"/>
        <v>3.3604979336042534E-2</v>
      </c>
      <c r="CC161" s="19"/>
      <c r="CD161" s="19"/>
      <c r="CE161" s="19"/>
    </row>
    <row r="162" spans="1:83">
      <c r="A162" s="16" t="s">
        <v>44</v>
      </c>
      <c r="B162" s="233">
        <f>EXP(-B161*B160)</f>
        <v>0.99709742319832539</v>
      </c>
      <c r="C162" s="233">
        <f t="shared" ref="C162:AR162" si="795">EXP(-C161*C160)</f>
        <v>0.98818788251756728</v>
      </c>
      <c r="D162" s="233">
        <f t="shared" si="795"/>
        <v>0.98001254030527452</v>
      </c>
      <c r="E162" s="233">
        <f t="shared" si="795"/>
        <v>0.97266837738276579</v>
      </c>
      <c r="F162" s="233">
        <f t="shared" si="795"/>
        <v>0.96571443643399546</v>
      </c>
      <c r="G162" s="233">
        <f t="shared" si="795"/>
        <v>0.95932120492474893</v>
      </c>
      <c r="H162" s="233">
        <f t="shared" si="795"/>
        <v>0.95307897404267106</v>
      </c>
      <c r="I162" s="233">
        <f t="shared" si="795"/>
        <v>0.94715791279182238</v>
      </c>
      <c r="J162" s="233">
        <f t="shared" si="795"/>
        <v>0.9411980207180437</v>
      </c>
      <c r="K162" s="233">
        <f t="shared" si="795"/>
        <v>0.93538191698413775</v>
      </c>
      <c r="L162" s="233">
        <f t="shared" si="795"/>
        <v>0.92941073514701722</v>
      </c>
      <c r="M162" s="233">
        <f t="shared" si="795"/>
        <v>0.92342371932207401</v>
      </c>
      <c r="N162" s="233">
        <f t="shared" si="795"/>
        <v>0.91713293927210027</v>
      </c>
      <c r="O162" s="233">
        <f t="shared" si="795"/>
        <v>0.9107729214249507</v>
      </c>
      <c r="P162" s="233">
        <f t="shared" si="795"/>
        <v>0.90402222502844354</v>
      </c>
      <c r="Q162" s="233">
        <f t="shared" si="795"/>
        <v>0.89714982983820069</v>
      </c>
      <c r="R162" s="233">
        <f t="shared" si="795"/>
        <v>0.88982468011875704</v>
      </c>
      <c r="S162" s="233">
        <f t="shared" si="795"/>
        <v>0.88235289661368077</v>
      </c>
      <c r="T162" s="233">
        <f t="shared" si="795"/>
        <v>0.87443231799553922</v>
      </c>
      <c r="U162" s="233">
        <f t="shared" si="795"/>
        <v>0.86631948576137396</v>
      </c>
      <c r="V162" s="233">
        <f t="shared" si="795"/>
        <v>0.85769072269855162</v>
      </c>
      <c r="W162" s="233">
        <f t="shared" si="795"/>
        <v>0.84892724102277894</v>
      </c>
      <c r="X162" s="233">
        <f t="shared" si="795"/>
        <v>0.83964061702804982</v>
      </c>
      <c r="Y162" s="233">
        <f t="shared" si="795"/>
        <v>0.83024729627556593</v>
      </c>
      <c r="Z162" s="233">
        <f t="shared" si="795"/>
        <v>0.82033625895198259</v>
      </c>
      <c r="AA162" s="233">
        <f t="shared" si="795"/>
        <v>0.81035621095898125</v>
      </c>
      <c r="AB162" s="233">
        <f t="shared" si="795"/>
        <v>0.79993234215027365</v>
      </c>
      <c r="AC162" s="233">
        <f t="shared" si="795"/>
        <v>0.78942664563823883</v>
      </c>
      <c r="AD162" s="233">
        <f t="shared" si="795"/>
        <v>0.77844213539891671</v>
      </c>
      <c r="AE162" s="233">
        <f t="shared" si="795"/>
        <v>0.76748047449356915</v>
      </c>
      <c r="AF162" s="233">
        <f t="shared" si="795"/>
        <v>0.75606918423816272</v>
      </c>
      <c r="AG162" s="233">
        <f t="shared" si="795"/>
        <v>0.74472998348676978</v>
      </c>
      <c r="AH162" s="233">
        <f t="shared" si="795"/>
        <v>0.73297430469617619</v>
      </c>
      <c r="AI162" s="233">
        <f t="shared" si="795"/>
        <v>0.72133945561143675</v>
      </c>
      <c r="AJ162" s="233">
        <f t="shared" si="795"/>
        <v>0.70938998378796136</v>
      </c>
      <c r="AK162" s="233">
        <f t="shared" si="795"/>
        <v>0.69754224791173836</v>
      </c>
      <c r="AL162" s="233">
        <f t="shared" si="795"/>
        <v>0.68535008186736601</v>
      </c>
      <c r="AM162" s="233">
        <f t="shared" si="795"/>
        <v>0.67336896544279301</v>
      </c>
      <c r="AN162" s="233">
        <f t="shared" si="795"/>
        <v>0.66108000364823105</v>
      </c>
      <c r="AO162" s="233">
        <f t="shared" si="795"/>
        <v>0.64904174488787636</v>
      </c>
      <c r="AP162" s="233">
        <f t="shared" si="795"/>
        <v>0.63673134103689899</v>
      </c>
      <c r="AQ162" s="233">
        <f t="shared" si="795"/>
        <v>0.62470680787625588</v>
      </c>
      <c r="AR162" s="233">
        <f t="shared" si="795"/>
        <v>0.61251154505049388</v>
      </c>
      <c r="AS162" s="233">
        <f>EXP(-AS161*AS160)</f>
        <v>0.60056498528994606</v>
      </c>
      <c r="AT162" s="233">
        <f t="shared" ref="AT162:CA162" si="796">EXP(-AT161*AT160)</f>
        <v>0.58841248834722792</v>
      </c>
      <c r="AU162" s="233">
        <f t="shared" si="796"/>
        <v>0.57660171261699233</v>
      </c>
      <c r="AV162" s="233">
        <f t="shared" si="796"/>
        <v>0.56461480339188741</v>
      </c>
      <c r="AW162" s="233">
        <f t="shared" si="796"/>
        <v>0.55299035181499978</v>
      </c>
      <c r="AX162" s="233">
        <f t="shared" si="796"/>
        <v>0.5412170427135381</v>
      </c>
      <c r="AY162" s="233">
        <f t="shared" si="796"/>
        <v>0.52982231707995986</v>
      </c>
      <c r="AZ162" s="233">
        <f t="shared" si="796"/>
        <v>0.51836631239712372</v>
      </c>
      <c r="BA162" s="233">
        <f t="shared" si="796"/>
        <v>0.50723699176122961</v>
      </c>
      <c r="BB162" s="233">
        <f t="shared" si="796"/>
        <v>0.49600548914397841</v>
      </c>
      <c r="BC162" s="233">
        <f t="shared" si="796"/>
        <v>0.48517215324013685</v>
      </c>
      <c r="BD162" s="233">
        <f t="shared" si="796"/>
        <v>0.47425617604749387</v>
      </c>
      <c r="BE162" s="233">
        <f t="shared" si="796"/>
        <v>0.46374256850525308</v>
      </c>
      <c r="BF162" s="233">
        <f t="shared" si="796"/>
        <v>0.45316344771901451</v>
      </c>
      <c r="BG162" s="233">
        <f t="shared" si="796"/>
        <v>0.44298768337979705</v>
      </c>
      <c r="BH162" s="233">
        <f t="shared" si="796"/>
        <v>0.43281696568166922</v>
      </c>
      <c r="BI162" s="233">
        <f t="shared" si="796"/>
        <v>0.42299109347633734</v>
      </c>
      <c r="BJ162" s="233">
        <f t="shared" si="796"/>
        <v>0.413127324347769</v>
      </c>
      <c r="BK162" s="233">
        <f t="shared" si="796"/>
        <v>0.40366083749311421</v>
      </c>
      <c r="BL162" s="233">
        <f t="shared" si="796"/>
        <v>0.39416733781019864</v>
      </c>
      <c r="BM162" s="233">
        <f t="shared" si="796"/>
        <v>0.38506481029343548</v>
      </c>
      <c r="BN162" s="233">
        <f t="shared" si="796"/>
        <v>0.37594443912132941</v>
      </c>
      <c r="BO162" s="233">
        <f t="shared" si="796"/>
        <v>0.36720701912754122</v>
      </c>
      <c r="BP162" s="233">
        <f t="shared" si="796"/>
        <v>0.35850694571603436</v>
      </c>
      <c r="BQ162" s="233">
        <f t="shared" si="796"/>
        <v>0.35013185509475436</v>
      </c>
      <c r="BR162" s="233">
        <f t="shared" si="796"/>
        <v>0.34175283170743359</v>
      </c>
      <c r="BS162" s="233">
        <f t="shared" si="796"/>
        <v>0.33373686074671888</v>
      </c>
      <c r="BT162" s="233">
        <f t="shared" si="796"/>
        <v>0.32572206340779458</v>
      </c>
      <c r="BU162" s="233">
        <f t="shared" si="796"/>
        <v>0.31805895897680186</v>
      </c>
      <c r="BV162" s="233">
        <f t="shared" si="796"/>
        <v>0.31040110597103465</v>
      </c>
      <c r="BW162" s="233">
        <f t="shared" si="796"/>
        <v>0.30308296808675877</v>
      </c>
      <c r="BX162" s="233">
        <f t="shared" si="796"/>
        <v>0.29581296370791854</v>
      </c>
      <c r="BY162" s="233">
        <f t="shared" si="796"/>
        <v>0.28882966791695019</v>
      </c>
      <c r="BZ162" s="233">
        <f t="shared" si="796"/>
        <v>0.28185724529810063</v>
      </c>
      <c r="CA162" s="233">
        <f t="shared" si="796"/>
        <v>0.27519952928851449</v>
      </c>
      <c r="CB162" s="233">
        <f>EXP(-CB161*CB160)</f>
        <v>0.26855448301583568</v>
      </c>
      <c r="CC162" s="19"/>
      <c r="CD162" s="19"/>
      <c r="CE162" s="19"/>
    </row>
    <row r="163" spans="1:83">
      <c r="A163" s="17"/>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19"/>
      <c r="CD163" s="19"/>
      <c r="CE163" s="19"/>
    </row>
    <row r="164" spans="1:83">
      <c r="A164" s="16" t="s">
        <v>40</v>
      </c>
      <c r="B164" s="233">
        <f t="shared" ref="B164:AG164" si="797">DAYS360($B$3,B60)</f>
        <v>171</v>
      </c>
      <c r="C164" s="233">
        <f t="shared" si="797"/>
        <v>350</v>
      </c>
      <c r="D164" s="233">
        <f t="shared" si="797"/>
        <v>530</v>
      </c>
      <c r="E164" s="233">
        <f t="shared" si="797"/>
        <v>710</v>
      </c>
      <c r="F164" s="233">
        <f t="shared" si="797"/>
        <v>890</v>
      </c>
      <c r="G164" s="233">
        <f t="shared" si="797"/>
        <v>1070</v>
      </c>
      <c r="H164" s="233">
        <f t="shared" si="797"/>
        <v>1250</v>
      </c>
      <c r="I164" s="233">
        <f t="shared" si="797"/>
        <v>1430</v>
      </c>
      <c r="J164" s="233">
        <f t="shared" si="797"/>
        <v>1610</v>
      </c>
      <c r="K164" s="233">
        <f t="shared" si="797"/>
        <v>1789</v>
      </c>
      <c r="L164" s="233">
        <f t="shared" si="797"/>
        <v>1969</v>
      </c>
      <c r="M164" s="233">
        <f t="shared" si="797"/>
        <v>2149</v>
      </c>
      <c r="N164" s="233">
        <f t="shared" si="797"/>
        <v>2329</v>
      </c>
      <c r="O164" s="233">
        <f t="shared" si="797"/>
        <v>2509</v>
      </c>
      <c r="P164" s="233">
        <f t="shared" si="797"/>
        <v>2689</v>
      </c>
      <c r="Q164" s="233">
        <f t="shared" si="797"/>
        <v>2869</v>
      </c>
      <c r="R164" s="233">
        <f t="shared" si="797"/>
        <v>3049</v>
      </c>
      <c r="S164" s="233">
        <f t="shared" si="797"/>
        <v>3228</v>
      </c>
      <c r="T164" s="233">
        <f t="shared" si="797"/>
        <v>3408</v>
      </c>
      <c r="U164" s="233">
        <f t="shared" si="797"/>
        <v>3588</v>
      </c>
      <c r="V164" s="233">
        <f t="shared" si="797"/>
        <v>3768</v>
      </c>
      <c r="W164" s="233">
        <f t="shared" si="797"/>
        <v>3948</v>
      </c>
      <c r="X164" s="233">
        <f t="shared" si="797"/>
        <v>4128</v>
      </c>
      <c r="Y164" s="233">
        <f t="shared" si="797"/>
        <v>4308</v>
      </c>
      <c r="Z164" s="233">
        <f t="shared" si="797"/>
        <v>4488</v>
      </c>
      <c r="AA164" s="233">
        <f t="shared" si="797"/>
        <v>4667</v>
      </c>
      <c r="AB164" s="233">
        <f t="shared" si="797"/>
        <v>4847</v>
      </c>
      <c r="AC164" s="233">
        <f t="shared" si="797"/>
        <v>5027</v>
      </c>
      <c r="AD164" s="233">
        <f t="shared" si="797"/>
        <v>5207</v>
      </c>
      <c r="AE164" s="233">
        <f t="shared" si="797"/>
        <v>5387</v>
      </c>
      <c r="AF164" s="233">
        <f t="shared" si="797"/>
        <v>5567</v>
      </c>
      <c r="AG164" s="233">
        <f t="shared" si="797"/>
        <v>5747</v>
      </c>
      <c r="AH164" s="233">
        <f t="shared" ref="AH164:BM164" si="798">DAYS360($B$3,AH60)</f>
        <v>5927</v>
      </c>
      <c r="AI164" s="233">
        <f t="shared" si="798"/>
        <v>6106</v>
      </c>
      <c r="AJ164" s="233">
        <f t="shared" si="798"/>
        <v>6286</v>
      </c>
      <c r="AK164" s="233">
        <f t="shared" si="798"/>
        <v>6466</v>
      </c>
      <c r="AL164" s="233">
        <f t="shared" si="798"/>
        <v>6646</v>
      </c>
      <c r="AM164" s="233">
        <f t="shared" si="798"/>
        <v>6826</v>
      </c>
      <c r="AN164" s="233">
        <f t="shared" si="798"/>
        <v>7006</v>
      </c>
      <c r="AO164" s="233">
        <f t="shared" si="798"/>
        <v>7186</v>
      </c>
      <c r="AP164" s="233">
        <f t="shared" si="798"/>
        <v>7366</v>
      </c>
      <c r="AQ164" s="233">
        <f t="shared" si="798"/>
        <v>7545</v>
      </c>
      <c r="AR164" s="233">
        <f t="shared" si="798"/>
        <v>7725</v>
      </c>
      <c r="AS164" s="233">
        <f t="shared" si="798"/>
        <v>7905</v>
      </c>
      <c r="AT164" s="233">
        <f t="shared" si="798"/>
        <v>8085</v>
      </c>
      <c r="AU164" s="233">
        <f t="shared" si="798"/>
        <v>8265</v>
      </c>
      <c r="AV164" s="233">
        <f t="shared" si="798"/>
        <v>8445</v>
      </c>
      <c r="AW164" s="233">
        <f t="shared" si="798"/>
        <v>8625</v>
      </c>
      <c r="AX164" s="233">
        <f t="shared" si="798"/>
        <v>8805</v>
      </c>
      <c r="AY164" s="233">
        <f t="shared" si="798"/>
        <v>8984</v>
      </c>
      <c r="AZ164" s="233">
        <f t="shared" si="798"/>
        <v>9164</v>
      </c>
      <c r="BA164" s="233">
        <f t="shared" si="798"/>
        <v>9344</v>
      </c>
      <c r="BB164" s="233">
        <f t="shared" si="798"/>
        <v>9524</v>
      </c>
      <c r="BC164" s="233">
        <f t="shared" si="798"/>
        <v>9704</v>
      </c>
      <c r="BD164" s="233">
        <f t="shared" si="798"/>
        <v>9884</v>
      </c>
      <c r="BE164" s="233">
        <f t="shared" si="798"/>
        <v>10064</v>
      </c>
      <c r="BF164" s="233">
        <f t="shared" si="798"/>
        <v>10244</v>
      </c>
      <c r="BG164" s="233">
        <f t="shared" si="798"/>
        <v>10423</v>
      </c>
      <c r="BH164" s="233">
        <f t="shared" si="798"/>
        <v>10603</v>
      </c>
      <c r="BI164" s="233">
        <f t="shared" si="798"/>
        <v>10783</v>
      </c>
      <c r="BJ164" s="233">
        <f t="shared" si="798"/>
        <v>10963</v>
      </c>
      <c r="BK164" s="233">
        <f t="shared" si="798"/>
        <v>11143</v>
      </c>
      <c r="BL164" s="233">
        <f t="shared" si="798"/>
        <v>11323</v>
      </c>
      <c r="BM164" s="233">
        <f t="shared" si="798"/>
        <v>11503</v>
      </c>
      <c r="BN164" s="233">
        <f t="shared" ref="BN164:CB164" si="799">DAYS360($B$3,BN60)</f>
        <v>11683</v>
      </c>
      <c r="BO164" s="233">
        <f t="shared" si="799"/>
        <v>11862</v>
      </c>
      <c r="BP164" s="233">
        <f t="shared" si="799"/>
        <v>12042</v>
      </c>
      <c r="BQ164" s="233">
        <f t="shared" si="799"/>
        <v>12222</v>
      </c>
      <c r="BR164" s="233">
        <f t="shared" si="799"/>
        <v>12402</v>
      </c>
      <c r="BS164" s="233">
        <f t="shared" si="799"/>
        <v>12582</v>
      </c>
      <c r="BT164" s="233">
        <f t="shared" si="799"/>
        <v>12762</v>
      </c>
      <c r="BU164" s="233">
        <f t="shared" si="799"/>
        <v>12942</v>
      </c>
      <c r="BV164" s="233">
        <f t="shared" si="799"/>
        <v>13122</v>
      </c>
      <c r="BW164" s="233">
        <f t="shared" si="799"/>
        <v>13301</v>
      </c>
      <c r="BX164" s="233">
        <f t="shared" si="799"/>
        <v>13481</v>
      </c>
      <c r="BY164" s="233">
        <f t="shared" si="799"/>
        <v>13661</v>
      </c>
      <c r="BZ164" s="233">
        <f t="shared" si="799"/>
        <v>13841</v>
      </c>
      <c r="CA164" s="233">
        <f t="shared" si="799"/>
        <v>14021</v>
      </c>
      <c r="CB164" s="233">
        <f t="shared" si="799"/>
        <v>14201</v>
      </c>
      <c r="CC164" s="19"/>
      <c r="CD164" s="19"/>
      <c r="CE164" s="19"/>
    </row>
    <row r="165" spans="1:83">
      <c r="A165" s="16" t="s">
        <v>41</v>
      </c>
      <c r="B165" s="233">
        <f>B164/360</f>
        <v>0.47499999999999998</v>
      </c>
      <c r="C165" s="233">
        <f t="shared" ref="C165:BN165" si="800">C164/360</f>
        <v>0.97222222222222221</v>
      </c>
      <c r="D165" s="233">
        <f t="shared" si="800"/>
        <v>1.4722222222222223</v>
      </c>
      <c r="E165" s="233">
        <f t="shared" si="800"/>
        <v>1.9722222222222223</v>
      </c>
      <c r="F165" s="233">
        <f t="shared" si="800"/>
        <v>2.4722222222222223</v>
      </c>
      <c r="G165" s="233">
        <f t="shared" si="800"/>
        <v>2.9722222222222223</v>
      </c>
      <c r="H165" s="233">
        <f t="shared" si="800"/>
        <v>3.4722222222222223</v>
      </c>
      <c r="I165" s="233">
        <f t="shared" si="800"/>
        <v>3.9722222222222223</v>
      </c>
      <c r="J165" s="233">
        <f t="shared" si="800"/>
        <v>4.4722222222222223</v>
      </c>
      <c r="K165" s="233">
        <f t="shared" si="800"/>
        <v>4.9694444444444441</v>
      </c>
      <c r="L165" s="233">
        <f t="shared" si="800"/>
        <v>5.4694444444444441</v>
      </c>
      <c r="M165" s="233">
        <f t="shared" si="800"/>
        <v>5.9694444444444441</v>
      </c>
      <c r="N165" s="233">
        <f t="shared" si="800"/>
        <v>6.4694444444444441</v>
      </c>
      <c r="O165" s="233">
        <f t="shared" si="800"/>
        <v>6.9694444444444441</v>
      </c>
      <c r="P165" s="233">
        <f t="shared" si="800"/>
        <v>7.4694444444444441</v>
      </c>
      <c r="Q165" s="233">
        <f t="shared" si="800"/>
        <v>7.9694444444444441</v>
      </c>
      <c r="R165" s="233">
        <f t="shared" si="800"/>
        <v>8.469444444444445</v>
      </c>
      <c r="S165" s="233">
        <f t="shared" si="800"/>
        <v>8.9666666666666668</v>
      </c>
      <c r="T165" s="233">
        <f t="shared" si="800"/>
        <v>9.4666666666666668</v>
      </c>
      <c r="U165" s="233">
        <f t="shared" si="800"/>
        <v>9.9666666666666668</v>
      </c>
      <c r="V165" s="233">
        <f t="shared" si="800"/>
        <v>10.466666666666667</v>
      </c>
      <c r="W165" s="233">
        <f t="shared" si="800"/>
        <v>10.966666666666667</v>
      </c>
      <c r="X165" s="233">
        <f t="shared" si="800"/>
        <v>11.466666666666667</v>
      </c>
      <c r="Y165" s="233">
        <f t="shared" si="800"/>
        <v>11.966666666666667</v>
      </c>
      <c r="Z165" s="233">
        <f t="shared" si="800"/>
        <v>12.466666666666667</v>
      </c>
      <c r="AA165" s="233">
        <f t="shared" si="800"/>
        <v>12.963888888888889</v>
      </c>
      <c r="AB165" s="233">
        <f t="shared" si="800"/>
        <v>13.463888888888889</v>
      </c>
      <c r="AC165" s="233">
        <f t="shared" si="800"/>
        <v>13.963888888888889</v>
      </c>
      <c r="AD165" s="233">
        <f t="shared" si="800"/>
        <v>14.463888888888889</v>
      </c>
      <c r="AE165" s="233">
        <f t="shared" si="800"/>
        <v>14.963888888888889</v>
      </c>
      <c r="AF165" s="233">
        <f t="shared" si="800"/>
        <v>15.463888888888889</v>
      </c>
      <c r="AG165" s="233">
        <f t="shared" si="800"/>
        <v>15.963888888888889</v>
      </c>
      <c r="AH165" s="233">
        <f t="shared" si="800"/>
        <v>16.463888888888889</v>
      </c>
      <c r="AI165" s="233">
        <f t="shared" si="800"/>
        <v>16.961111111111112</v>
      </c>
      <c r="AJ165" s="233">
        <f t="shared" si="800"/>
        <v>17.461111111111112</v>
      </c>
      <c r="AK165" s="233">
        <f t="shared" si="800"/>
        <v>17.961111111111112</v>
      </c>
      <c r="AL165" s="233">
        <f t="shared" si="800"/>
        <v>18.461111111111112</v>
      </c>
      <c r="AM165" s="233">
        <f t="shared" si="800"/>
        <v>18.961111111111112</v>
      </c>
      <c r="AN165" s="233">
        <f t="shared" si="800"/>
        <v>19.461111111111112</v>
      </c>
      <c r="AO165" s="233">
        <f t="shared" si="800"/>
        <v>19.961111111111112</v>
      </c>
      <c r="AP165" s="233">
        <f t="shared" si="800"/>
        <v>20.461111111111112</v>
      </c>
      <c r="AQ165" s="233">
        <f t="shared" si="800"/>
        <v>20.958333333333332</v>
      </c>
      <c r="AR165" s="233">
        <f t="shared" si="800"/>
        <v>21.458333333333332</v>
      </c>
      <c r="AS165" s="233">
        <f t="shared" si="800"/>
        <v>21.958333333333332</v>
      </c>
      <c r="AT165" s="233">
        <f t="shared" si="800"/>
        <v>22.458333333333332</v>
      </c>
      <c r="AU165" s="233">
        <f t="shared" si="800"/>
        <v>22.958333333333332</v>
      </c>
      <c r="AV165" s="233">
        <f t="shared" si="800"/>
        <v>23.458333333333332</v>
      </c>
      <c r="AW165" s="233">
        <f t="shared" si="800"/>
        <v>23.958333333333332</v>
      </c>
      <c r="AX165" s="233">
        <f t="shared" si="800"/>
        <v>24.458333333333332</v>
      </c>
      <c r="AY165" s="233">
        <f t="shared" si="800"/>
        <v>24.955555555555556</v>
      </c>
      <c r="AZ165" s="233">
        <f t="shared" si="800"/>
        <v>25.455555555555556</v>
      </c>
      <c r="BA165" s="233">
        <f t="shared" si="800"/>
        <v>25.955555555555556</v>
      </c>
      <c r="BB165" s="233">
        <f t="shared" si="800"/>
        <v>26.455555555555556</v>
      </c>
      <c r="BC165" s="233">
        <f t="shared" si="800"/>
        <v>26.955555555555556</v>
      </c>
      <c r="BD165" s="233">
        <f t="shared" si="800"/>
        <v>27.455555555555556</v>
      </c>
      <c r="BE165" s="233">
        <f t="shared" si="800"/>
        <v>27.955555555555556</v>
      </c>
      <c r="BF165" s="233">
        <f t="shared" si="800"/>
        <v>28.455555555555556</v>
      </c>
      <c r="BG165" s="233">
        <f t="shared" si="800"/>
        <v>28.952777777777779</v>
      </c>
      <c r="BH165" s="233">
        <f t="shared" si="800"/>
        <v>29.452777777777779</v>
      </c>
      <c r="BI165" s="233">
        <f t="shared" si="800"/>
        <v>29.952777777777779</v>
      </c>
      <c r="BJ165" s="233">
        <f t="shared" si="800"/>
        <v>30.452777777777779</v>
      </c>
      <c r="BK165" s="233">
        <f t="shared" si="800"/>
        <v>30.952777777777779</v>
      </c>
      <c r="BL165" s="233">
        <f t="shared" si="800"/>
        <v>31.452777777777779</v>
      </c>
      <c r="BM165" s="233">
        <f t="shared" si="800"/>
        <v>31.952777777777779</v>
      </c>
      <c r="BN165" s="233">
        <f t="shared" si="800"/>
        <v>32.452777777777776</v>
      </c>
      <c r="BO165" s="233">
        <f t="shared" ref="BO165:CB165" si="801">BO164/360</f>
        <v>32.950000000000003</v>
      </c>
      <c r="BP165" s="233">
        <f t="shared" si="801"/>
        <v>33.450000000000003</v>
      </c>
      <c r="BQ165" s="233">
        <f t="shared" si="801"/>
        <v>33.950000000000003</v>
      </c>
      <c r="BR165" s="233">
        <f t="shared" si="801"/>
        <v>34.450000000000003</v>
      </c>
      <c r="BS165" s="233">
        <f t="shared" si="801"/>
        <v>34.950000000000003</v>
      </c>
      <c r="BT165" s="233">
        <f t="shared" si="801"/>
        <v>35.450000000000003</v>
      </c>
      <c r="BU165" s="233">
        <f t="shared" si="801"/>
        <v>35.950000000000003</v>
      </c>
      <c r="BV165" s="233">
        <f t="shared" si="801"/>
        <v>36.450000000000003</v>
      </c>
      <c r="BW165" s="233">
        <f t="shared" si="801"/>
        <v>36.947222222222223</v>
      </c>
      <c r="BX165" s="233">
        <f t="shared" si="801"/>
        <v>37.447222222222223</v>
      </c>
      <c r="BY165" s="233">
        <f t="shared" si="801"/>
        <v>37.947222222222223</v>
      </c>
      <c r="BZ165" s="233">
        <f t="shared" si="801"/>
        <v>38.447222222222223</v>
      </c>
      <c r="CA165" s="233">
        <f t="shared" si="801"/>
        <v>38.947222222222223</v>
      </c>
      <c r="CB165" s="233">
        <f t="shared" si="801"/>
        <v>39.447222222222223</v>
      </c>
      <c r="CC165" s="19"/>
      <c r="CD165" s="19"/>
      <c r="CE165" s="19"/>
    </row>
    <row r="166" spans="1:83">
      <c r="A166" s="16" t="s">
        <v>43</v>
      </c>
      <c r="B166" s="233">
        <f>IF(B164&lt;0,0,$B$5+$B$6*((1-EXP(-B165/$B$9))/(B165/$B$9))+$B$7*((1-EXP(-B165/$B$9))/(B165/$B$9)-EXP(-B165/$B$9))+$B$8*((1-EXP(-B165/$B$10))/(B165/$B$10)-EXP(-B165/$B$10)))</f>
        <v>1.8747263421134048E-2</v>
      </c>
      <c r="C166" s="233">
        <f t="shared" ref="C166:BN166" si="802">IF(C164&lt;0,0,$B$5+$B$6*((1-EXP(-C165/$B$9))/(C165/$B$9))+$B$7*((1-EXP(-C165/$B$9))/(C165/$B$9)-EXP(-C165/$B$9))+$B$8*((1-EXP(-C165/$B$10))/(C165/$B$10)-EXP(-C165/$B$10)))</f>
        <v>1.7878240776399469E-2</v>
      </c>
      <c r="D166" s="233">
        <f t="shared" si="802"/>
        <v>1.7115224657500521E-2</v>
      </c>
      <c r="E166" s="233">
        <f t="shared" si="802"/>
        <v>1.645546522151619E-2</v>
      </c>
      <c r="F166" s="233">
        <f t="shared" si="802"/>
        <v>1.5891512035260305E-2</v>
      </c>
      <c r="G166" s="233">
        <f t="shared" si="802"/>
        <v>1.5416366495022413E-2</v>
      </c>
      <c r="H166" s="233">
        <f t="shared" si="802"/>
        <v>1.5023456602212736E-2</v>
      </c>
      <c r="I166" s="233">
        <f t="shared" si="802"/>
        <v>1.4706613080664906E-2</v>
      </c>
      <c r="J166" s="233">
        <f t="shared" si="802"/>
        <v>1.446004676646348E-2</v>
      </c>
      <c r="K166" s="233">
        <f t="shared" si="802"/>
        <v>1.4279167130670387E-2</v>
      </c>
      <c r="L166" s="233">
        <f t="shared" si="802"/>
        <v>1.4156883816586564E-2</v>
      </c>
      <c r="M166" s="233">
        <f t="shared" si="802"/>
        <v>1.408960818899091E-2</v>
      </c>
      <c r="N166" s="233">
        <f t="shared" si="802"/>
        <v>1.4072867027562178E-2</v>
      </c>
      <c r="O166" s="233">
        <f t="shared" si="802"/>
        <v>1.4102471168615849E-2</v>
      </c>
      <c r="P166" s="233">
        <f t="shared" si="802"/>
        <v>1.4174499256658951E-2</v>
      </c>
      <c r="Q166" s="233">
        <f t="shared" si="802"/>
        <v>1.428528237322077E-2</v>
      </c>
      <c r="R166" s="233">
        <f t="shared" si="802"/>
        <v>1.4431389497293848E-2</v>
      </c>
      <c r="S166" s="233">
        <f t="shared" si="802"/>
        <v>1.4608540496175756E-2</v>
      </c>
      <c r="T166" s="233">
        <f t="shared" si="802"/>
        <v>1.4815732271766677E-2</v>
      </c>
      <c r="U166" s="233">
        <f t="shared" si="802"/>
        <v>1.504926357080609E-2</v>
      </c>
      <c r="V166" s="233">
        <f t="shared" si="802"/>
        <v>1.5306523717864853E-2</v>
      </c>
      <c r="W166" s="233">
        <f t="shared" si="802"/>
        <v>1.5585078328325189E-2</v>
      </c>
      <c r="X166" s="233">
        <f t="shared" si="802"/>
        <v>1.5882658918273507E-2</v>
      </c>
      <c r="Y166" s="233">
        <f t="shared" si="802"/>
        <v>1.6197153085331678E-2</v>
      </c>
      <c r="Z166" s="233">
        <f t="shared" si="802"/>
        <v>1.6526595230362998E-2</v>
      </c>
      <c r="AA166" s="233">
        <f t="shared" si="802"/>
        <v>1.6867221598693055E-2</v>
      </c>
      <c r="AB166" s="233">
        <f t="shared" si="802"/>
        <v>1.7221147774336573E-2</v>
      </c>
      <c r="AC166" s="233">
        <f t="shared" si="802"/>
        <v>1.7584929123028448E-2</v>
      </c>
      <c r="AD166" s="233">
        <f t="shared" si="802"/>
        <v>1.7957103708147723E-2</v>
      </c>
      <c r="AE166" s="233">
        <f t="shared" si="802"/>
        <v>1.8336317206817818E-2</v>
      </c>
      <c r="AF166" s="233">
        <f t="shared" si="802"/>
        <v>1.8721316324355641E-2</v>
      </c>
      <c r="AG166" s="233">
        <f t="shared" si="802"/>
        <v>1.9110942578270756E-2</v>
      </c>
      <c r="AH166" s="233">
        <f t="shared" si="802"/>
        <v>1.9504126432093677E-2</v>
      </c>
      <c r="AI166" s="233">
        <f t="shared" si="802"/>
        <v>1.9897677718403589E-2</v>
      </c>
      <c r="AJ166" s="233">
        <f t="shared" si="802"/>
        <v>2.0295089714296721E-2</v>
      </c>
      <c r="AK166" s="233">
        <f t="shared" si="802"/>
        <v>2.0693335019843773E-2</v>
      </c>
      <c r="AL166" s="233">
        <f t="shared" si="802"/>
        <v>2.1091647214023942E-2</v>
      </c>
      <c r="AM166" s="233">
        <f t="shared" si="802"/>
        <v>2.1489324140293059E-2</v>
      </c>
      <c r="AN166" s="233">
        <f t="shared" si="802"/>
        <v>2.188572377746871E-2</v>
      </c>
      <c r="AO166" s="233">
        <f t="shared" si="802"/>
        <v>2.2280260348284092E-2</v>
      </c>
      <c r="AP166" s="233">
        <f t="shared" si="802"/>
        <v>2.2672400652728283E-2</v>
      </c>
      <c r="AQ166" s="233">
        <f t="shared" si="802"/>
        <v>2.3059506840184443E-2</v>
      </c>
      <c r="AR166" s="233">
        <f t="shared" si="802"/>
        <v>2.3445467818364457E-2</v>
      </c>
      <c r="AS166" s="233">
        <f t="shared" si="802"/>
        <v>2.3827716930715143E-2</v>
      </c>
      <c r="AT166" s="233">
        <f t="shared" si="802"/>
        <v>2.4205898487091579E-2</v>
      </c>
      <c r="AU166" s="233">
        <f t="shared" si="802"/>
        <v>2.4579694022072607E-2</v>
      </c>
      <c r="AV166" s="233">
        <f t="shared" si="802"/>
        <v>2.4948819740991959E-2</v>
      </c>
      <c r="AW166" s="233">
        <f t="shared" si="802"/>
        <v>2.5313024117657693E-2</v>
      </c>
      <c r="AX166" s="233">
        <f t="shared" si="802"/>
        <v>2.5672085635386824E-2</v>
      </c>
      <c r="AY166" s="233">
        <f t="shared" si="802"/>
        <v>2.6023860585078759E-2</v>
      </c>
      <c r="AZ166" s="233">
        <f t="shared" si="802"/>
        <v>2.6372112380365506E-2</v>
      </c>
      <c r="BA166" s="233">
        <f t="shared" si="802"/>
        <v>2.6714716955577644E-2</v>
      </c>
      <c r="BB166" s="233">
        <f t="shared" si="802"/>
        <v>2.7051552720821756E-2</v>
      </c>
      <c r="BC166" s="233">
        <f t="shared" si="802"/>
        <v>2.7382518696167937E-2</v>
      </c>
      <c r="BD166" s="233">
        <f t="shared" si="802"/>
        <v>2.7707532959429709E-2</v>
      </c>
      <c r="BE166" s="233">
        <f t="shared" si="802"/>
        <v>2.8026531189866075E-2</v>
      </c>
      <c r="BF166" s="233">
        <f t="shared" si="802"/>
        <v>2.8339465302395228E-2</v>
      </c>
      <c r="BG166" s="233">
        <f t="shared" si="802"/>
        <v>2.8644614402266427E-2</v>
      </c>
      <c r="BH166" s="233">
        <f t="shared" si="802"/>
        <v>2.8945368655980477E-2</v>
      </c>
      <c r="BI166" s="233">
        <f t="shared" si="802"/>
        <v>2.9239999549167825E-2</v>
      </c>
      <c r="BJ166" s="233">
        <f t="shared" si="802"/>
        <v>2.952851185657962E-2</v>
      </c>
      <c r="BK166" s="233">
        <f t="shared" si="802"/>
        <v>2.981092095269347E-2</v>
      </c>
      <c r="BL166" s="233">
        <f t="shared" si="802"/>
        <v>3.008725189021659E-2</v>
      </c>
      <c r="BM166" s="233">
        <f t="shared" si="802"/>
        <v>3.0357538538560991E-2</v>
      </c>
      <c r="BN166" s="233">
        <f t="shared" si="802"/>
        <v>3.0621822778815408E-2</v>
      </c>
      <c r="BO166" s="233">
        <f t="shared" ref="BO166:CB166" si="803">IF(BO164&lt;0,0,$B$5+$B$6*((1-EXP(-BO165/$B$9))/(BO165/$B$9))+$B$7*((1-EXP(-BO165/$B$9))/(BO165/$B$9)-EXP(-BO165/$B$9))+$B$8*((1-EXP(-BO165/$B$10))/(BO165/$B$10)-EXP(-BO165/$B$10)))</f>
        <v>3.0878734925391976E-2</v>
      </c>
      <c r="BP166" s="233">
        <f t="shared" si="803"/>
        <v>3.1131200929738534E-2</v>
      </c>
      <c r="BQ166" s="233">
        <f t="shared" si="803"/>
        <v>3.1377830611341612E-2</v>
      </c>
      <c r="BR166" s="233">
        <f t="shared" si="803"/>
        <v>3.1618690838559185E-2</v>
      </c>
      <c r="BS166" s="233">
        <f t="shared" si="803"/>
        <v>3.1853853207868807E-2</v>
      </c>
      <c r="BT166" s="233">
        <f t="shared" si="803"/>
        <v>3.2083393514563852E-2</v>
      </c>
      <c r="BU166" s="233">
        <f t="shared" si="803"/>
        <v>3.2307391260410184E-2</v>
      </c>
      <c r="BV166" s="233">
        <f t="shared" si="803"/>
        <v>3.2525929196050157E-2</v>
      </c>
      <c r="BW166" s="233">
        <f t="shared" si="803"/>
        <v>3.273792333818426E-2</v>
      </c>
      <c r="BX166" s="233">
        <f t="shared" si="803"/>
        <v>3.2945829927729958E-2</v>
      </c>
      <c r="BY166" s="233">
        <f t="shared" si="803"/>
        <v>3.314853984895616E-2</v>
      </c>
      <c r="BZ166" s="233">
        <f t="shared" si="803"/>
        <v>3.3346144887519746E-2</v>
      </c>
      <c r="CA166" s="233">
        <f t="shared" si="803"/>
        <v>3.3538738243623453E-2</v>
      </c>
      <c r="CB166" s="233">
        <f t="shared" si="803"/>
        <v>3.3726414242732261E-2</v>
      </c>
      <c r="CC166" s="19"/>
      <c r="CD166" s="19"/>
      <c r="CE166" s="19"/>
    </row>
    <row r="167" spans="1:83">
      <c r="A167" s="16" t="s">
        <v>44</v>
      </c>
      <c r="B167" s="233">
        <f>EXP(-B166*B165)</f>
        <v>0.99113458151387612</v>
      </c>
      <c r="C167" s="233">
        <f t="shared" ref="C167:AR167" si="804">EXP(-C166*C165)</f>
        <v>0.98276856599660467</v>
      </c>
      <c r="D167" s="233">
        <f t="shared" si="804"/>
        <v>0.97511739112400819</v>
      </c>
      <c r="E167" s="233">
        <f t="shared" si="804"/>
        <v>0.96806714040640218</v>
      </c>
      <c r="F167" s="233">
        <f t="shared" si="804"/>
        <v>0.96147439055301043</v>
      </c>
      <c r="G167" s="233">
        <f t="shared" si="804"/>
        <v>0.95521305696770153</v>
      </c>
      <c r="H167" s="233">
        <f t="shared" si="804"/>
        <v>0.94917244944434176</v>
      </c>
      <c r="I167" s="233">
        <f t="shared" si="804"/>
        <v>0.94325564522201089</v>
      </c>
      <c r="J167" s="233">
        <f t="shared" si="804"/>
        <v>0.93737811291246509</v>
      </c>
      <c r="K167" s="233">
        <f t="shared" si="804"/>
        <v>0.93149959123151915</v>
      </c>
      <c r="L167" s="233">
        <f t="shared" si="804"/>
        <v>0.92549153858765498</v>
      </c>
      <c r="M167" s="233">
        <f t="shared" si="804"/>
        <v>0.9193327596408557</v>
      </c>
      <c r="N167" s="233">
        <f t="shared" si="804"/>
        <v>0.91297787551926146</v>
      </c>
      <c r="O167" s="233">
        <f t="shared" si="804"/>
        <v>0.90638928635122917</v>
      </c>
      <c r="P167" s="233">
        <f t="shared" si="804"/>
        <v>0.8995365122250979</v>
      </c>
      <c r="Q167" s="233">
        <f t="shared" si="804"/>
        <v>0.8923955845738345</v>
      </c>
      <c r="R167" s="233">
        <f t="shared" si="804"/>
        <v>0.88494847889783612</v>
      </c>
      <c r="S167" s="233">
        <f t="shared" si="804"/>
        <v>0.87722662282985808</v>
      </c>
      <c r="T167" s="233">
        <f t="shared" si="804"/>
        <v>0.8691360568383234</v>
      </c>
      <c r="U167" s="233">
        <f t="shared" si="804"/>
        <v>0.86071572834972365</v>
      </c>
      <c r="V167" s="233">
        <f t="shared" si="804"/>
        <v>0.85196632159342056</v>
      </c>
      <c r="W167" s="233">
        <f t="shared" si="804"/>
        <v>0.84289207085850815</v>
      </c>
      <c r="X167" s="233">
        <f t="shared" si="804"/>
        <v>0.8335003510661777</v>
      </c>
      <c r="Y167" s="233">
        <f t="shared" si="804"/>
        <v>0.82380128929663032</v>
      </c>
      <c r="Z167" s="233">
        <f t="shared" si="804"/>
        <v>0.81380739710345817</v>
      </c>
      <c r="AA167" s="233">
        <f t="shared" si="804"/>
        <v>0.80359104744091381</v>
      </c>
      <c r="AB167" s="233">
        <f t="shared" si="804"/>
        <v>0.7930542725364752</v>
      </c>
      <c r="AC167" s="233">
        <f t="shared" si="804"/>
        <v>0.78227104283946391</v>
      </c>
      <c r="AD167" s="233">
        <f t="shared" si="804"/>
        <v>0.77126014274585519</v>
      </c>
      <c r="AE167" s="233">
        <f t="shared" si="804"/>
        <v>0.76004121773217082</v>
      </c>
      <c r="AF167" s="233">
        <f t="shared" si="804"/>
        <v>0.74863453223089338</v>
      </c>
      <c r="AG167" s="233">
        <f t="shared" si="804"/>
        <v>0.73706074818915213</v>
      </c>
      <c r="AH167" s="233">
        <f t="shared" si="804"/>
        <v>0.72534072395303995</v>
      </c>
      <c r="AI167" s="233">
        <f t="shared" si="804"/>
        <v>0.71356144885946771</v>
      </c>
      <c r="AJ167" s="233">
        <f t="shared" si="804"/>
        <v>0.70161194232490021</v>
      </c>
      <c r="AK167" s="233">
        <f t="shared" si="804"/>
        <v>0.68957811939554126</v>
      </c>
      <c r="AL167" s="233">
        <f t="shared" si="804"/>
        <v>0.67748000286219268</v>
      </c>
      <c r="AM167" s="233">
        <f t="shared" si="804"/>
        <v>0.66533709118124851</v>
      </c>
      <c r="AN167" s="233">
        <f t="shared" si="804"/>
        <v>0.65316826550968676</v>
      </c>
      <c r="AO167" s="233">
        <f t="shared" si="804"/>
        <v>0.64099171170877667</v>
      </c>
      <c r="AP167" s="233">
        <f t="shared" si="804"/>
        <v>0.62882485629882567</v>
      </c>
      <c r="AQ167" s="233">
        <f t="shared" si="804"/>
        <v>0.61675166073347543</v>
      </c>
      <c r="AR167" s="233">
        <f t="shared" si="804"/>
        <v>0.60465292478888333</v>
      </c>
      <c r="AS167" s="233">
        <f>EXP(-AS166*AS165)</f>
        <v>0.59261107751946418</v>
      </c>
      <c r="AT167" s="233">
        <f t="shared" ref="AT167:CA167" si="805">EXP(-AT166*AT165)</f>
        <v>0.58064011535079296</v>
      </c>
      <c r="AU167" s="233">
        <f t="shared" si="805"/>
        <v>0.56875312820577328</v>
      </c>
      <c r="AV167" s="233">
        <f t="shared" si="805"/>
        <v>0.55696229755472793</v>
      </c>
      <c r="AW167" s="233">
        <f t="shared" si="805"/>
        <v>0.54527890142314162</v>
      </c>
      <c r="AX167" s="233">
        <f t="shared" si="805"/>
        <v>0.53371332548658701</v>
      </c>
      <c r="AY167" s="233">
        <f t="shared" si="805"/>
        <v>0.52233825723265437</v>
      </c>
      <c r="AZ167" s="233">
        <f t="shared" si="805"/>
        <v>0.51103521778146888</v>
      </c>
      <c r="BA167" s="233">
        <f t="shared" si="805"/>
        <v>0.49987594562628751</v>
      </c>
      <c r="BB167" s="233">
        <f t="shared" si="805"/>
        <v>0.48886746651224644</v>
      </c>
      <c r="BC167" s="233">
        <f t="shared" si="805"/>
        <v>0.47801603359589401</v>
      </c>
      <c r="BD167" s="233">
        <f t="shared" si="805"/>
        <v>0.46732715970482641</v>
      </c>
      <c r="BE167" s="233">
        <f t="shared" si="805"/>
        <v>0.45680565107693188</v>
      </c>
      <c r="BF167" s="233">
        <f t="shared" si="805"/>
        <v>0.44645564213318489</v>
      </c>
      <c r="BG167" s="233">
        <f t="shared" si="805"/>
        <v>0.43633666973462404</v>
      </c>
      <c r="BH167" s="233">
        <f t="shared" si="805"/>
        <v>0.42633855822997435</v>
      </c>
      <c r="BI167" s="233">
        <f t="shared" si="805"/>
        <v>0.41652066251802844</v>
      </c>
      <c r="BJ167" s="233">
        <f t="shared" si="805"/>
        <v>0.40688478804204897</v>
      </c>
      <c r="BK167" s="233">
        <f t="shared" si="805"/>
        <v>0.39743224525715987</v>
      </c>
      <c r="BL167" s="233">
        <f t="shared" si="805"/>
        <v>0.38816388378514705</v>
      </c>
      <c r="BM167" s="233">
        <f t="shared" si="805"/>
        <v>0.37908012569429778</v>
      </c>
      <c r="BN167" s="233">
        <f t="shared" si="805"/>
        <v>0.37018099777051516</v>
      </c>
      <c r="BO167" s="233">
        <f t="shared" si="805"/>
        <v>0.36151407042920214</v>
      </c>
      <c r="BP167" s="233">
        <f t="shared" si="805"/>
        <v>0.35298183895221574</v>
      </c>
      <c r="BQ167" s="233">
        <f t="shared" si="805"/>
        <v>0.34463225801096359</v>
      </c>
      <c r="BR167" s="233">
        <f t="shared" si="805"/>
        <v>0.33646407398421063</v>
      </c>
      <c r="BS167" s="233">
        <f t="shared" si="805"/>
        <v>0.3284757810616718</v>
      </c>
      <c r="BT167" s="233">
        <f t="shared" si="805"/>
        <v>0.3206656459520606</v>
      </c>
      <c r="BU167" s="233">
        <f t="shared" si="805"/>
        <v>0.3130317312415769</v>
      </c>
      <c r="BV167" s="233">
        <f t="shared" si="805"/>
        <v>0.30557191741246759</v>
      </c>
      <c r="BW167" s="233">
        <f t="shared" si="805"/>
        <v>0.29832394215826552</v>
      </c>
      <c r="BX167" s="233">
        <f t="shared" si="805"/>
        <v>0.29120441114858775</v>
      </c>
      <c r="BY167" s="233">
        <f t="shared" si="805"/>
        <v>0.28425174483445914</v>
      </c>
      <c r="BZ167" s="233">
        <f t="shared" si="805"/>
        <v>0.27746329002494735</v>
      </c>
      <c r="CA167" s="233">
        <f t="shared" si="805"/>
        <v>0.27083630222975402</v>
      </c>
      <c r="CB167" s="233">
        <f>EXP(-CB166*CB165)</f>
        <v>0.26436796026066045</v>
      </c>
      <c r="CC167" s="19"/>
      <c r="CD167" s="19"/>
      <c r="CE167" s="19"/>
    </row>
    <row r="168" spans="1:83">
      <c r="A168" s="17"/>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19"/>
      <c r="CD168" s="19"/>
      <c r="CE168" s="19"/>
    </row>
    <row r="169" spans="1:83">
      <c r="A169" s="16" t="s">
        <v>40</v>
      </c>
      <c r="B169" s="233">
        <f t="shared" ref="B169:AG169" si="806">DAYS360($B$3,B62)</f>
        <v>48</v>
      </c>
      <c r="C169" s="233">
        <f t="shared" si="806"/>
        <v>226</v>
      </c>
      <c r="D169" s="233">
        <f t="shared" si="806"/>
        <v>407</v>
      </c>
      <c r="E169" s="233">
        <f t="shared" si="806"/>
        <v>585</v>
      </c>
      <c r="F169" s="233">
        <f t="shared" si="806"/>
        <v>767</v>
      </c>
      <c r="G169" s="233">
        <f t="shared" si="806"/>
        <v>945</v>
      </c>
      <c r="H169" s="233">
        <f t="shared" si="806"/>
        <v>1127</v>
      </c>
      <c r="I169" s="233">
        <f t="shared" si="806"/>
        <v>1305</v>
      </c>
      <c r="J169" s="233">
        <f t="shared" si="806"/>
        <v>1487</v>
      </c>
      <c r="K169" s="233">
        <f t="shared" si="806"/>
        <v>1665</v>
      </c>
      <c r="L169" s="233">
        <f t="shared" si="806"/>
        <v>1846</v>
      </c>
      <c r="M169" s="233">
        <f t="shared" si="806"/>
        <v>2024</v>
      </c>
      <c r="N169" s="233">
        <f t="shared" si="806"/>
        <v>2206</v>
      </c>
      <c r="O169" s="233">
        <f t="shared" si="806"/>
        <v>2384</v>
      </c>
      <c r="P169" s="233">
        <f t="shared" si="806"/>
        <v>2566</v>
      </c>
      <c r="Q169" s="233">
        <f t="shared" si="806"/>
        <v>2744</v>
      </c>
      <c r="R169" s="233">
        <f t="shared" si="806"/>
        <v>2926</v>
      </c>
      <c r="S169" s="233">
        <f t="shared" si="806"/>
        <v>3104</v>
      </c>
      <c r="T169" s="233">
        <f t="shared" si="806"/>
        <v>3285</v>
      </c>
      <c r="U169" s="233">
        <f t="shared" si="806"/>
        <v>3463</v>
      </c>
      <c r="V169" s="233">
        <f t="shared" si="806"/>
        <v>3645</v>
      </c>
      <c r="W169" s="233">
        <f t="shared" si="806"/>
        <v>3823</v>
      </c>
      <c r="X169" s="233">
        <f t="shared" si="806"/>
        <v>4005</v>
      </c>
      <c r="Y169" s="233">
        <f t="shared" si="806"/>
        <v>4183</v>
      </c>
      <c r="Z169" s="233">
        <f t="shared" si="806"/>
        <v>4365</v>
      </c>
      <c r="AA169" s="233">
        <f t="shared" si="806"/>
        <v>4543</v>
      </c>
      <c r="AB169" s="233">
        <f t="shared" si="806"/>
        <v>4724</v>
      </c>
      <c r="AC169" s="233">
        <f t="shared" si="806"/>
        <v>4902</v>
      </c>
      <c r="AD169" s="233">
        <f t="shared" si="806"/>
        <v>5084</v>
      </c>
      <c r="AE169" s="233">
        <f t="shared" si="806"/>
        <v>5262</v>
      </c>
      <c r="AF169" s="233">
        <f t="shared" si="806"/>
        <v>5444</v>
      </c>
      <c r="AG169" s="233">
        <f t="shared" si="806"/>
        <v>5622</v>
      </c>
      <c r="AH169" s="233">
        <f t="shared" ref="AH169:BM169" si="807">DAYS360($B$3,AH62)</f>
        <v>5804</v>
      </c>
      <c r="AI169" s="233">
        <f t="shared" si="807"/>
        <v>5982</v>
      </c>
      <c r="AJ169" s="233">
        <f t="shared" si="807"/>
        <v>6163</v>
      </c>
      <c r="AK169" s="233">
        <f t="shared" si="807"/>
        <v>6341</v>
      </c>
      <c r="AL169" s="233">
        <f t="shared" si="807"/>
        <v>6523</v>
      </c>
      <c r="AM169" s="233">
        <f t="shared" si="807"/>
        <v>6701</v>
      </c>
      <c r="AN169" s="233">
        <f t="shared" si="807"/>
        <v>6883</v>
      </c>
      <c r="AO169" s="233">
        <f t="shared" si="807"/>
        <v>7061</v>
      </c>
      <c r="AP169" s="233">
        <f t="shared" si="807"/>
        <v>7243</v>
      </c>
      <c r="AQ169" s="233">
        <f t="shared" si="807"/>
        <v>7421</v>
      </c>
      <c r="AR169" s="233">
        <f t="shared" si="807"/>
        <v>7602</v>
      </c>
      <c r="AS169" s="233">
        <f t="shared" si="807"/>
        <v>7780</v>
      </c>
      <c r="AT169" s="233">
        <f t="shared" si="807"/>
        <v>7962</v>
      </c>
      <c r="AU169" s="233">
        <f t="shared" si="807"/>
        <v>8140</v>
      </c>
      <c r="AV169" s="233">
        <f t="shared" si="807"/>
        <v>8322</v>
      </c>
      <c r="AW169" s="233">
        <f t="shared" si="807"/>
        <v>8500</v>
      </c>
      <c r="AX169" s="233">
        <f t="shared" si="807"/>
        <v>8682</v>
      </c>
      <c r="AY169" s="233">
        <f t="shared" si="807"/>
        <v>8860</v>
      </c>
      <c r="AZ169" s="233">
        <f t="shared" si="807"/>
        <v>9041</v>
      </c>
      <c r="BA169" s="233">
        <f t="shared" si="807"/>
        <v>9219</v>
      </c>
      <c r="BB169" s="233">
        <f t="shared" si="807"/>
        <v>9401</v>
      </c>
      <c r="BC169" s="233">
        <f t="shared" si="807"/>
        <v>9579</v>
      </c>
      <c r="BD169" s="233">
        <f t="shared" si="807"/>
        <v>9761</v>
      </c>
      <c r="BE169" s="233">
        <f t="shared" si="807"/>
        <v>9939</v>
      </c>
      <c r="BF169" s="233">
        <f t="shared" si="807"/>
        <v>10121</v>
      </c>
      <c r="BG169" s="233">
        <f t="shared" si="807"/>
        <v>10299</v>
      </c>
      <c r="BH169" s="233">
        <f t="shared" si="807"/>
        <v>10480</v>
      </c>
      <c r="BI169" s="233">
        <f t="shared" si="807"/>
        <v>10658</v>
      </c>
      <c r="BJ169" s="233">
        <f t="shared" si="807"/>
        <v>10840</v>
      </c>
      <c r="BK169" s="233">
        <f t="shared" si="807"/>
        <v>11018</v>
      </c>
      <c r="BL169" s="233">
        <f t="shared" si="807"/>
        <v>11200</v>
      </c>
      <c r="BM169" s="233">
        <f t="shared" si="807"/>
        <v>11378</v>
      </c>
      <c r="BN169" s="233">
        <f t="shared" ref="BN169:CB169" si="808">DAYS360($B$3,BN62)</f>
        <v>11560</v>
      </c>
      <c r="BO169" s="233">
        <f t="shared" si="808"/>
        <v>11738</v>
      </c>
      <c r="BP169" s="233">
        <f t="shared" si="808"/>
        <v>11919</v>
      </c>
      <c r="BQ169" s="233">
        <f t="shared" si="808"/>
        <v>12097</v>
      </c>
      <c r="BR169" s="233">
        <f t="shared" si="808"/>
        <v>12279</v>
      </c>
      <c r="BS169" s="233">
        <f t="shared" si="808"/>
        <v>12457</v>
      </c>
      <c r="BT169" s="233">
        <f t="shared" si="808"/>
        <v>12639</v>
      </c>
      <c r="BU169" s="233">
        <f t="shared" si="808"/>
        <v>12817</v>
      </c>
      <c r="BV169" s="233">
        <f t="shared" si="808"/>
        <v>12999</v>
      </c>
      <c r="BW169" s="233">
        <f t="shared" si="808"/>
        <v>13177</v>
      </c>
      <c r="BX169" s="233">
        <f t="shared" si="808"/>
        <v>13358</v>
      </c>
      <c r="BY169" s="233">
        <f t="shared" si="808"/>
        <v>13536</v>
      </c>
      <c r="BZ169" s="233">
        <f t="shared" si="808"/>
        <v>13718</v>
      </c>
      <c r="CA169" s="233">
        <f t="shared" si="808"/>
        <v>13896</v>
      </c>
      <c r="CB169" s="233">
        <f t="shared" si="808"/>
        <v>14078</v>
      </c>
      <c r="CC169" s="19"/>
      <c r="CD169" s="19"/>
      <c r="CE169" s="19"/>
    </row>
    <row r="170" spans="1:83">
      <c r="A170" s="16" t="s">
        <v>41</v>
      </c>
      <c r="B170" s="233">
        <f>B169/360</f>
        <v>0.13333333333333333</v>
      </c>
      <c r="C170" s="233">
        <f t="shared" ref="C170:BN170" si="809">C169/360</f>
        <v>0.62777777777777777</v>
      </c>
      <c r="D170" s="233">
        <f t="shared" si="809"/>
        <v>1.1305555555555555</v>
      </c>
      <c r="E170" s="233">
        <f t="shared" si="809"/>
        <v>1.625</v>
      </c>
      <c r="F170" s="233">
        <f t="shared" si="809"/>
        <v>2.1305555555555555</v>
      </c>
      <c r="G170" s="233">
        <f t="shared" si="809"/>
        <v>2.625</v>
      </c>
      <c r="H170" s="233">
        <f t="shared" si="809"/>
        <v>3.1305555555555555</v>
      </c>
      <c r="I170" s="233">
        <f t="shared" si="809"/>
        <v>3.625</v>
      </c>
      <c r="J170" s="233">
        <f t="shared" si="809"/>
        <v>4.1305555555555555</v>
      </c>
      <c r="K170" s="233">
        <f t="shared" si="809"/>
        <v>4.625</v>
      </c>
      <c r="L170" s="233">
        <f t="shared" si="809"/>
        <v>5.1277777777777782</v>
      </c>
      <c r="M170" s="233">
        <f t="shared" si="809"/>
        <v>5.6222222222222218</v>
      </c>
      <c r="N170" s="233">
        <f t="shared" si="809"/>
        <v>6.1277777777777782</v>
      </c>
      <c r="O170" s="233">
        <f t="shared" si="809"/>
        <v>6.6222222222222218</v>
      </c>
      <c r="P170" s="233">
        <f t="shared" si="809"/>
        <v>7.1277777777777782</v>
      </c>
      <c r="Q170" s="233">
        <f t="shared" si="809"/>
        <v>7.6222222222222218</v>
      </c>
      <c r="R170" s="233">
        <f t="shared" si="809"/>
        <v>8.1277777777777782</v>
      </c>
      <c r="S170" s="233">
        <f t="shared" si="809"/>
        <v>8.6222222222222218</v>
      </c>
      <c r="T170" s="233">
        <f t="shared" si="809"/>
        <v>9.125</v>
      </c>
      <c r="U170" s="233">
        <f t="shared" si="809"/>
        <v>9.6194444444444436</v>
      </c>
      <c r="V170" s="233">
        <f t="shared" si="809"/>
        <v>10.125</v>
      </c>
      <c r="W170" s="233">
        <f t="shared" si="809"/>
        <v>10.619444444444444</v>
      </c>
      <c r="X170" s="233">
        <f t="shared" si="809"/>
        <v>11.125</v>
      </c>
      <c r="Y170" s="233">
        <f t="shared" si="809"/>
        <v>11.619444444444444</v>
      </c>
      <c r="Z170" s="233">
        <f t="shared" si="809"/>
        <v>12.125</v>
      </c>
      <c r="AA170" s="233">
        <f t="shared" si="809"/>
        <v>12.619444444444444</v>
      </c>
      <c r="AB170" s="233">
        <f t="shared" si="809"/>
        <v>13.122222222222222</v>
      </c>
      <c r="AC170" s="233">
        <f t="shared" si="809"/>
        <v>13.616666666666667</v>
      </c>
      <c r="AD170" s="233">
        <f t="shared" si="809"/>
        <v>14.122222222222222</v>
      </c>
      <c r="AE170" s="233">
        <f t="shared" si="809"/>
        <v>14.616666666666667</v>
      </c>
      <c r="AF170" s="233">
        <f t="shared" si="809"/>
        <v>15.122222222222222</v>
      </c>
      <c r="AG170" s="233">
        <f t="shared" si="809"/>
        <v>15.616666666666667</v>
      </c>
      <c r="AH170" s="233">
        <f t="shared" si="809"/>
        <v>16.122222222222224</v>
      </c>
      <c r="AI170" s="233">
        <f t="shared" si="809"/>
        <v>16.616666666666667</v>
      </c>
      <c r="AJ170" s="233">
        <f t="shared" si="809"/>
        <v>17.119444444444444</v>
      </c>
      <c r="AK170" s="233">
        <f t="shared" si="809"/>
        <v>17.613888888888887</v>
      </c>
      <c r="AL170" s="233">
        <f t="shared" si="809"/>
        <v>18.119444444444444</v>
      </c>
      <c r="AM170" s="233">
        <f t="shared" si="809"/>
        <v>18.613888888888887</v>
      </c>
      <c r="AN170" s="233">
        <f t="shared" si="809"/>
        <v>19.119444444444444</v>
      </c>
      <c r="AO170" s="233">
        <f t="shared" si="809"/>
        <v>19.613888888888887</v>
      </c>
      <c r="AP170" s="233">
        <f t="shared" si="809"/>
        <v>20.119444444444444</v>
      </c>
      <c r="AQ170" s="233">
        <f t="shared" si="809"/>
        <v>20.613888888888887</v>
      </c>
      <c r="AR170" s="233">
        <f t="shared" si="809"/>
        <v>21.116666666666667</v>
      </c>
      <c r="AS170" s="233">
        <f t="shared" si="809"/>
        <v>21.611111111111111</v>
      </c>
      <c r="AT170" s="233">
        <f t="shared" si="809"/>
        <v>22.116666666666667</v>
      </c>
      <c r="AU170" s="233">
        <f t="shared" si="809"/>
        <v>22.611111111111111</v>
      </c>
      <c r="AV170" s="233">
        <f t="shared" si="809"/>
        <v>23.116666666666667</v>
      </c>
      <c r="AW170" s="233">
        <f t="shared" si="809"/>
        <v>23.611111111111111</v>
      </c>
      <c r="AX170" s="233">
        <f t="shared" si="809"/>
        <v>24.116666666666667</v>
      </c>
      <c r="AY170" s="233">
        <f t="shared" si="809"/>
        <v>24.611111111111111</v>
      </c>
      <c r="AZ170" s="233">
        <f t="shared" si="809"/>
        <v>25.113888888888887</v>
      </c>
      <c r="BA170" s="233">
        <f t="shared" si="809"/>
        <v>25.608333333333334</v>
      </c>
      <c r="BB170" s="233">
        <f t="shared" si="809"/>
        <v>26.113888888888887</v>
      </c>
      <c r="BC170" s="233">
        <f t="shared" si="809"/>
        <v>26.608333333333334</v>
      </c>
      <c r="BD170" s="233">
        <f t="shared" si="809"/>
        <v>27.113888888888887</v>
      </c>
      <c r="BE170" s="233">
        <f t="shared" si="809"/>
        <v>27.608333333333334</v>
      </c>
      <c r="BF170" s="233">
        <f t="shared" si="809"/>
        <v>28.113888888888887</v>
      </c>
      <c r="BG170" s="233">
        <f t="shared" si="809"/>
        <v>28.608333333333334</v>
      </c>
      <c r="BH170" s="233">
        <f t="shared" si="809"/>
        <v>29.111111111111111</v>
      </c>
      <c r="BI170" s="233">
        <f t="shared" si="809"/>
        <v>29.605555555555554</v>
      </c>
      <c r="BJ170" s="233">
        <f t="shared" si="809"/>
        <v>30.111111111111111</v>
      </c>
      <c r="BK170" s="233">
        <f t="shared" si="809"/>
        <v>30.605555555555554</v>
      </c>
      <c r="BL170" s="233">
        <f t="shared" si="809"/>
        <v>31.111111111111111</v>
      </c>
      <c r="BM170" s="233">
        <f t="shared" si="809"/>
        <v>31.605555555555554</v>
      </c>
      <c r="BN170" s="233">
        <f t="shared" si="809"/>
        <v>32.111111111111114</v>
      </c>
      <c r="BO170" s="233">
        <f t="shared" ref="BO170:CB170" si="810">BO169/360</f>
        <v>32.605555555555554</v>
      </c>
      <c r="BP170" s="233">
        <f t="shared" si="810"/>
        <v>33.108333333333334</v>
      </c>
      <c r="BQ170" s="233">
        <f t="shared" si="810"/>
        <v>33.602777777777774</v>
      </c>
      <c r="BR170" s="233">
        <f t="shared" si="810"/>
        <v>34.108333333333334</v>
      </c>
      <c r="BS170" s="233">
        <f t="shared" si="810"/>
        <v>34.602777777777774</v>
      </c>
      <c r="BT170" s="233">
        <f t="shared" si="810"/>
        <v>35.108333333333334</v>
      </c>
      <c r="BU170" s="233">
        <f t="shared" si="810"/>
        <v>35.602777777777774</v>
      </c>
      <c r="BV170" s="233">
        <f t="shared" si="810"/>
        <v>36.108333333333334</v>
      </c>
      <c r="BW170" s="233">
        <f t="shared" si="810"/>
        <v>36.602777777777774</v>
      </c>
      <c r="BX170" s="233">
        <f t="shared" si="810"/>
        <v>37.105555555555554</v>
      </c>
      <c r="BY170" s="233">
        <f t="shared" si="810"/>
        <v>37.6</v>
      </c>
      <c r="BZ170" s="233">
        <f t="shared" si="810"/>
        <v>38.105555555555554</v>
      </c>
      <c r="CA170" s="233">
        <f t="shared" si="810"/>
        <v>38.6</v>
      </c>
      <c r="CB170" s="233">
        <f t="shared" si="810"/>
        <v>39.105555555555554</v>
      </c>
      <c r="CC170" s="19"/>
      <c r="CD170" s="19"/>
      <c r="CE170" s="19"/>
    </row>
    <row r="171" spans="1:83">
      <c r="A171" s="16" t="s">
        <v>43</v>
      </c>
      <c r="B171" s="233">
        <f>IF(B169&lt;0,0,$B$5+$B$6*((1-EXP(-B170/$B$9))/(B170/$B$9))+$B$7*((1-EXP(-B170/$B$9))/(B170/$B$9)-EXP(-B170/$B$9))+$B$8*((1-EXP(-B170/$B$10))/(B170/$B$10)-EXP(-B170/$B$10)))</f>
        <v>1.9412434405821279E-2</v>
      </c>
      <c r="C171" s="233">
        <f t="shared" ref="C171:BN171" si="811">IF(C169&lt;0,0,$B$5+$B$6*((1-EXP(-C170/$B$9))/(C170/$B$9))+$B$7*((1-EXP(-C170/$B$9))/(C170/$B$9)-EXP(-C170/$B$9))+$B$8*((1-EXP(-C170/$B$10))/(C170/$B$10)-EXP(-C170/$B$10)))</f>
        <v>1.8468055349339131E-2</v>
      </c>
      <c r="D171" s="233">
        <f t="shared" si="811"/>
        <v>1.7624975706219823E-2</v>
      </c>
      <c r="E171" s="233">
        <f t="shared" si="811"/>
        <v>1.6903029516626943E-2</v>
      </c>
      <c r="F171" s="233">
        <f t="shared" si="811"/>
        <v>1.6266855462811071E-2</v>
      </c>
      <c r="G171" s="233">
        <f t="shared" si="811"/>
        <v>1.5737218128879446E-2</v>
      </c>
      <c r="H171" s="233">
        <f t="shared" si="811"/>
        <v>1.5283348372236487E-2</v>
      </c>
      <c r="I171" s="233">
        <f t="shared" si="811"/>
        <v>1.4918847520380897E-2</v>
      </c>
      <c r="J171" s="233">
        <f t="shared" si="811"/>
        <v>1.462119498745957E-2</v>
      </c>
      <c r="K171" s="233">
        <f t="shared" si="811"/>
        <v>1.4397882931313902E-2</v>
      </c>
      <c r="L171" s="233">
        <f t="shared" si="811"/>
        <v>1.4234208912601631E-2</v>
      </c>
      <c r="M171" s="233">
        <f t="shared" si="811"/>
        <v>1.4130703564150408E-2</v>
      </c>
      <c r="N171" s="233">
        <f t="shared" si="811"/>
        <v>1.4079043718814827E-2</v>
      </c>
      <c r="O171" s="233">
        <f t="shared" si="811"/>
        <v>1.4077181850825099E-2</v>
      </c>
      <c r="P171" s="233">
        <f t="shared" si="811"/>
        <v>1.4120869154201965E-2</v>
      </c>
      <c r="Q171" s="233">
        <f t="shared" si="811"/>
        <v>1.4204400852734916E-2</v>
      </c>
      <c r="R171" s="233">
        <f t="shared" si="811"/>
        <v>1.4327884403134497E-2</v>
      </c>
      <c r="S171" s="233">
        <f t="shared" si="811"/>
        <v>1.4482581752825976E-2</v>
      </c>
      <c r="T171" s="233">
        <f t="shared" si="811"/>
        <v>1.467113543798905E-2</v>
      </c>
      <c r="U171" s="233">
        <f t="shared" si="811"/>
        <v>1.4884418647518008E-2</v>
      </c>
      <c r="V171" s="233">
        <f t="shared" si="811"/>
        <v>1.5128280976351438E-2</v>
      </c>
      <c r="W171" s="233">
        <f t="shared" si="811"/>
        <v>1.5389486268826941E-2</v>
      </c>
      <c r="X171" s="233">
        <f t="shared" si="811"/>
        <v>1.5677357015624199E-2</v>
      </c>
      <c r="Y171" s="233">
        <f t="shared" si="811"/>
        <v>1.5977053445159248E-2</v>
      </c>
      <c r="Z171" s="233">
        <f t="shared" si="811"/>
        <v>1.6299948605308395E-2</v>
      </c>
      <c r="AA171" s="233">
        <f t="shared" si="811"/>
        <v>1.6629955959928652E-2</v>
      </c>
      <c r="AB171" s="233">
        <f t="shared" si="811"/>
        <v>1.6978138603878756E-2</v>
      </c>
      <c r="AC171" s="233">
        <f t="shared" si="811"/>
        <v>1.7331327271307276E-2</v>
      </c>
      <c r="AD171" s="233">
        <f t="shared" si="811"/>
        <v>1.7701942705185436E-2</v>
      </c>
      <c r="AE171" s="233">
        <f t="shared" si="811"/>
        <v>1.8072287485757593E-2</v>
      </c>
      <c r="AF171" s="233">
        <f t="shared" si="811"/>
        <v>1.8457664472098831E-2</v>
      </c>
      <c r="AG171" s="233">
        <f t="shared" si="811"/>
        <v>1.8839928941948345E-2</v>
      </c>
      <c r="AH171" s="233">
        <f t="shared" si="811"/>
        <v>1.9235114329831271E-2</v>
      </c>
      <c r="AI171" s="233">
        <f t="shared" si="811"/>
        <v>1.9624822253207927E-2</v>
      </c>
      <c r="AJ171" s="233">
        <f t="shared" si="811"/>
        <v>2.0023385415311609E-2</v>
      </c>
      <c r="AK171" s="233">
        <f t="shared" si="811"/>
        <v>2.0416724058005611E-2</v>
      </c>
      <c r="AL171" s="233">
        <f t="shared" si="811"/>
        <v>2.0819494564810012E-2</v>
      </c>
      <c r="AM171" s="233">
        <f t="shared" si="811"/>
        <v>2.1213257790408072E-2</v>
      </c>
      <c r="AN171" s="233">
        <f t="shared" si="811"/>
        <v>2.1615017792571259E-2</v>
      </c>
      <c r="AO171" s="233">
        <f t="shared" si="811"/>
        <v>2.2006499896713327E-2</v>
      </c>
      <c r="AP171" s="233">
        <f t="shared" si="811"/>
        <v>2.2404721311338041E-2</v>
      </c>
      <c r="AQ171" s="233">
        <f t="shared" si="811"/>
        <v>2.2791667889752246E-2</v>
      </c>
      <c r="AR171" s="233">
        <f t="shared" si="811"/>
        <v>2.3182106229895444E-2</v>
      </c>
      <c r="AS171" s="233">
        <f t="shared" si="811"/>
        <v>2.3562677149846653E-2</v>
      </c>
      <c r="AT171" s="233">
        <f t="shared" si="811"/>
        <v>2.3947930352548205E-2</v>
      </c>
      <c r="AU171" s="233">
        <f t="shared" si="811"/>
        <v>2.4320592886374684E-2</v>
      </c>
      <c r="AV171" s="233">
        <f t="shared" si="811"/>
        <v>2.4697101648365874E-2</v>
      </c>
      <c r="AW171" s="233">
        <f t="shared" si="811"/>
        <v>2.5060637339754194E-2</v>
      </c>
      <c r="AX171" s="233">
        <f t="shared" si="811"/>
        <v>2.5427293093255546E-2</v>
      </c>
      <c r="AY171" s="233">
        <f t="shared" si="811"/>
        <v>2.57807426951258E-2</v>
      </c>
      <c r="AZ171" s="233">
        <f t="shared" si="811"/>
        <v>2.6134743048200404E-2</v>
      </c>
      <c r="BA171" s="233">
        <f t="shared" si="811"/>
        <v>2.6477402291398847E-2</v>
      </c>
      <c r="BB171" s="233">
        <f t="shared" si="811"/>
        <v>2.6822010959903525E-2</v>
      </c>
      <c r="BC171" s="233">
        <f t="shared" si="811"/>
        <v>2.7153308114316849E-2</v>
      </c>
      <c r="BD171" s="233">
        <f t="shared" si="811"/>
        <v>2.7486087214735569E-2</v>
      </c>
      <c r="BE171" s="233">
        <f t="shared" si="811"/>
        <v>2.7805645441852586E-2</v>
      </c>
      <c r="BF171" s="233">
        <f t="shared" si="811"/>
        <v>2.81262849566392E-2</v>
      </c>
      <c r="BG171" s="233">
        <f t="shared" si="811"/>
        <v>2.8433869055865715E-2</v>
      </c>
      <c r="BH171" s="233">
        <f t="shared" si="811"/>
        <v>2.8740515591936217E-2</v>
      </c>
      <c r="BI171" s="233">
        <f t="shared" si="811"/>
        <v>2.9036044421302698E-2</v>
      </c>
      <c r="BJ171" s="233">
        <f t="shared" si="811"/>
        <v>2.933202324980512E-2</v>
      </c>
      <c r="BK171" s="233">
        <f t="shared" si="811"/>
        <v>2.9615450073755489E-2</v>
      </c>
      <c r="BL171" s="233">
        <f t="shared" si="811"/>
        <v>2.9899081932773991E-2</v>
      </c>
      <c r="BM171" s="233">
        <f t="shared" si="811"/>
        <v>3.0170478966180178E-2</v>
      </c>
      <c r="BN171" s="233">
        <f t="shared" si="811"/>
        <v>3.0441875780086933E-2</v>
      </c>
      <c r="BO171" s="233">
        <f t="shared" ref="BO171:CB171" si="812">IF(BO169&lt;0,0,$B$5+$B$6*((1-EXP(-BO170/$B$9))/(BO170/$B$9))+$B$7*((1-EXP(-BO170/$B$9))/(BO170/$B$9)-EXP(-BO170/$B$9))+$B$8*((1-EXP(-BO170/$B$10))/(BO170/$B$10)-EXP(-BO170/$B$10)))</f>
        <v>3.0701386409223902E-2</v>
      </c>
      <c r="BP171" s="233">
        <f t="shared" si="812"/>
        <v>3.0959317801304675E-2</v>
      </c>
      <c r="BQ171" s="233">
        <f t="shared" si="812"/>
        <v>3.1207176218649213E-2</v>
      </c>
      <c r="BR171" s="233">
        <f t="shared" si="812"/>
        <v>3.1454723929181236E-2</v>
      </c>
      <c r="BS171" s="233">
        <f t="shared" si="812"/>
        <v>3.1691147103035805E-2</v>
      </c>
      <c r="BT171" s="233">
        <f t="shared" si="812"/>
        <v>3.1927145542119839E-2</v>
      </c>
      <c r="BU171" s="233">
        <f t="shared" si="812"/>
        <v>3.215242155087665E-2</v>
      </c>
      <c r="BV171" s="233">
        <f t="shared" si="812"/>
        <v>3.2377181650281792E-2</v>
      </c>
      <c r="BW171" s="233">
        <f t="shared" si="812"/>
        <v>3.2591628712853871E-2</v>
      </c>
      <c r="BX171" s="233">
        <f t="shared" si="812"/>
        <v>3.2804328180901926E-2</v>
      </c>
      <c r="BY171" s="233">
        <f t="shared" si="812"/>
        <v>3.300831620738777E-2</v>
      </c>
      <c r="BZ171" s="233">
        <f t="shared" si="812"/>
        <v>3.3211662697628264E-2</v>
      </c>
      <c r="CA171" s="233">
        <f t="shared" si="812"/>
        <v>3.3405520239681061E-2</v>
      </c>
      <c r="CB171" s="233">
        <f t="shared" si="812"/>
        <v>3.3598696502338599E-2</v>
      </c>
      <c r="CC171" s="19"/>
      <c r="CD171" s="19"/>
      <c r="CE171" s="19"/>
    </row>
    <row r="172" spans="1:83">
      <c r="A172" s="16" t="s">
        <v>44</v>
      </c>
      <c r="B172" s="233">
        <f>EXP(-B171*B170)</f>
        <v>0.99741502223646383</v>
      </c>
      <c r="C172" s="233">
        <f t="shared" ref="C172:AR172" si="813">EXP(-C171*C170)</f>
        <v>0.98847311477131894</v>
      </c>
      <c r="D172" s="233">
        <f t="shared" si="813"/>
        <v>0.98027119677140417</v>
      </c>
      <c r="E172" s="233">
        <f t="shared" si="813"/>
        <v>0.97290637644275002</v>
      </c>
      <c r="F172" s="233">
        <f t="shared" si="813"/>
        <v>0.9659362514087344</v>
      </c>
      <c r="G172" s="233">
        <f t="shared" si="813"/>
        <v>0.95953143944032659</v>
      </c>
      <c r="H172" s="233">
        <f t="shared" si="813"/>
        <v>0.95328118045023735</v>
      </c>
      <c r="I172" s="233">
        <f t="shared" si="813"/>
        <v>0.9473555359907887</v>
      </c>
      <c r="J172" s="233">
        <f t="shared" si="813"/>
        <v>0.94139387322943613</v>
      </c>
      <c r="K172" s="233">
        <f t="shared" si="813"/>
        <v>0.93557851486145038</v>
      </c>
      <c r="L172" s="233">
        <f t="shared" si="813"/>
        <v>0.9296102560900118</v>
      </c>
      <c r="M172" s="233">
        <f t="shared" si="813"/>
        <v>0.92362793554290579</v>
      </c>
      <c r="N172" s="233">
        <f t="shared" si="813"/>
        <v>0.91734353171905492</v>
      </c>
      <c r="O172" s="233">
        <f t="shared" si="813"/>
        <v>0.91099103147086702</v>
      </c>
      <c r="P172" s="233">
        <f t="shared" si="813"/>
        <v>0.9042490874220479</v>
      </c>
      <c r="Q172" s="233">
        <f t="shared" si="813"/>
        <v>0.89738607749188837</v>
      </c>
      <c r="R172" s="233">
        <f t="shared" si="813"/>
        <v>0.89007116350834148</v>
      </c>
      <c r="S172" s="233">
        <f t="shared" si="813"/>
        <v>0.8826098356806471</v>
      </c>
      <c r="T172" s="233">
        <f t="shared" si="813"/>
        <v>0.87470017291480473</v>
      </c>
      <c r="U172" s="233">
        <f t="shared" si="813"/>
        <v>0.86659820736061244</v>
      </c>
      <c r="V172" s="233">
        <f t="shared" si="813"/>
        <v>0.85798055331457712</v>
      </c>
      <c r="W172" s="233">
        <f t="shared" si="813"/>
        <v>0.84922781574057593</v>
      </c>
      <c r="X172" s="233">
        <f t="shared" si="813"/>
        <v>0.83995194526521566</v>
      </c>
      <c r="Y172" s="233">
        <f t="shared" si="813"/>
        <v>0.83056882226453588</v>
      </c>
      <c r="Z172" s="233">
        <f t="shared" si="813"/>
        <v>0.8206678025246803</v>
      </c>
      <c r="AA172" s="233">
        <f t="shared" si="813"/>
        <v>0.81069708281366015</v>
      </c>
      <c r="AB172" s="233">
        <f t="shared" si="813"/>
        <v>0.80028216465639923</v>
      </c>
      <c r="AC172" s="233">
        <f t="shared" si="813"/>
        <v>0.78978469681387931</v>
      </c>
      <c r="AD172" s="233">
        <f t="shared" si="813"/>
        <v>0.7788079724890089</v>
      </c>
      <c r="AE172" s="233">
        <f t="shared" si="813"/>
        <v>0.7678532828168122</v>
      </c>
      <c r="AF172" s="233">
        <f t="shared" si="813"/>
        <v>0.75644844015707657</v>
      </c>
      <c r="AG172" s="233">
        <f t="shared" si="813"/>
        <v>0.74511486572211416</v>
      </c>
      <c r="AH172" s="233">
        <f t="shared" si="813"/>
        <v>0.73336423709734277</v>
      </c>
      <c r="AI172" s="233">
        <f t="shared" si="813"/>
        <v>0.72173363859288253</v>
      </c>
      <c r="AJ172" s="233">
        <f t="shared" si="813"/>
        <v>0.70978779478348131</v>
      </c>
      <c r="AK172" s="233">
        <f t="shared" si="813"/>
        <v>0.69794295282783514</v>
      </c>
      <c r="AL172" s="233">
        <f t="shared" si="813"/>
        <v>0.68575306807700676</v>
      </c>
      <c r="AM172" s="233">
        <f t="shared" si="813"/>
        <v>0.67377353670642803</v>
      </c>
      <c r="AN172" s="233">
        <f t="shared" si="813"/>
        <v>0.66148555536348708</v>
      </c>
      <c r="AO172" s="233">
        <f t="shared" si="813"/>
        <v>0.64944765180175512</v>
      </c>
      <c r="AP172" s="233">
        <f t="shared" si="813"/>
        <v>0.63713701922495991</v>
      </c>
      <c r="AQ172" s="233">
        <f t="shared" si="813"/>
        <v>0.62511170984078523</v>
      </c>
      <c r="AR172" s="233">
        <f t="shared" si="813"/>
        <v>0.61291512570210727</v>
      </c>
      <c r="AS172" s="233">
        <f>EXP(-AS171*AS170)</f>
        <v>0.60096677192088976</v>
      </c>
      <c r="AT172" s="233">
        <f t="shared" ref="AT172:CA172" si="814">EXP(-AT171*AT170)</f>
        <v>0.58881196371534983</v>
      </c>
      <c r="AU172" s="233">
        <f t="shared" si="814"/>
        <v>0.57699849081930754</v>
      </c>
      <c r="AV172" s="233">
        <f t="shared" si="814"/>
        <v>0.5650084080522273</v>
      </c>
      <c r="AW172" s="233">
        <f t="shared" si="814"/>
        <v>0.55338047577544303</v>
      </c>
      <c r="AX172" s="233">
        <f t="shared" si="814"/>
        <v>0.54160325265268827</v>
      </c>
      <c r="AY172" s="233">
        <f t="shared" si="814"/>
        <v>0.53020438059969011</v>
      </c>
      <c r="AZ172" s="233">
        <f t="shared" si="814"/>
        <v>0.51874386549852358</v>
      </c>
      <c r="BA172" s="233">
        <f t="shared" si="814"/>
        <v>0.50760984726293379</v>
      </c>
      <c r="BB172" s="233">
        <f t="shared" si="814"/>
        <v>0.49637330019017217</v>
      </c>
      <c r="BC172" s="233">
        <f t="shared" si="814"/>
        <v>0.48553482026104355</v>
      </c>
      <c r="BD172" s="233">
        <f t="shared" si="814"/>
        <v>0.4746133935195499</v>
      </c>
      <c r="BE172" s="233">
        <f t="shared" si="814"/>
        <v>0.46409429384568901</v>
      </c>
      <c r="BF172" s="233">
        <f t="shared" si="814"/>
        <v>0.45350941443970783</v>
      </c>
      <c r="BG172" s="233">
        <f t="shared" si="814"/>
        <v>0.4433278992206684</v>
      </c>
      <c r="BH172" s="233">
        <f t="shared" si="814"/>
        <v>0.43315123355167062</v>
      </c>
      <c r="BI172" s="233">
        <f t="shared" si="814"/>
        <v>0.42331943212852047</v>
      </c>
      <c r="BJ172" s="233">
        <f t="shared" si="814"/>
        <v>0.41344953678137492</v>
      </c>
      <c r="BK172" s="233">
        <f t="shared" si="814"/>
        <v>0.40397701244231576</v>
      </c>
      <c r="BL172" s="233">
        <f t="shared" si="814"/>
        <v>0.39447730844670625</v>
      </c>
      <c r="BM172" s="233">
        <f t="shared" si="814"/>
        <v>0.38536869673183693</v>
      </c>
      <c r="BN172" s="233">
        <f t="shared" si="814"/>
        <v>0.37624210158481147</v>
      </c>
      <c r="BO172" s="233">
        <f t="shared" si="814"/>
        <v>0.3674986035506918</v>
      </c>
      <c r="BP172" s="233">
        <f t="shared" si="814"/>
        <v>0.35879237029215916</v>
      </c>
      <c r="BQ172" s="233">
        <f t="shared" si="814"/>
        <v>0.35041125235605602</v>
      </c>
      <c r="BR172" s="233">
        <f t="shared" si="814"/>
        <v>0.34202610696278607</v>
      </c>
      <c r="BS172" s="233">
        <f t="shared" si="814"/>
        <v>0.33400419682862553</v>
      </c>
      <c r="BT172" s="233">
        <f t="shared" si="814"/>
        <v>0.32598338405377825</v>
      </c>
      <c r="BU172" s="233">
        <f t="shared" si="814"/>
        <v>0.3183144591698161</v>
      </c>
      <c r="BV172" s="233">
        <f t="shared" si="814"/>
        <v>0.31065072538418403</v>
      </c>
      <c r="BW172" s="233">
        <f t="shared" si="814"/>
        <v>0.30332691030190312</v>
      </c>
      <c r="BX172" s="233">
        <f t="shared" si="814"/>
        <v>0.29605121328206224</v>
      </c>
      <c r="BY172" s="233">
        <f t="shared" si="814"/>
        <v>0.28906240226151392</v>
      </c>
      <c r="BZ172" s="233">
        <f t="shared" si="814"/>
        <v>0.2820844293439968</v>
      </c>
      <c r="CA172" s="233">
        <f t="shared" si="814"/>
        <v>0.27542137501890734</v>
      </c>
      <c r="CB172" s="233">
        <f>EXP(-CB171*CB170)</f>
        <v>0.2687709651650399</v>
      </c>
      <c r="CC172" s="19"/>
      <c r="CD172" s="19"/>
      <c r="CE172" s="19"/>
    </row>
    <row r="173" spans="1:83">
      <c r="A173" s="17"/>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19"/>
      <c r="CD173" s="19"/>
      <c r="CE173" s="19"/>
    </row>
    <row r="174" spans="1:83">
      <c r="A174" s="16" t="s">
        <v>40</v>
      </c>
      <c r="B174" s="233">
        <f t="shared" ref="B174:AG174" si="815">DAYS360($B$3,B64)</f>
        <v>154</v>
      </c>
      <c r="C174" s="233">
        <f t="shared" si="815"/>
        <v>333</v>
      </c>
      <c r="D174" s="233">
        <f t="shared" si="815"/>
        <v>513</v>
      </c>
      <c r="E174" s="233">
        <f t="shared" si="815"/>
        <v>693</v>
      </c>
      <c r="F174" s="233">
        <f t="shared" si="815"/>
        <v>873</v>
      </c>
      <c r="G174" s="233">
        <f t="shared" si="815"/>
        <v>1053</v>
      </c>
      <c r="H174" s="233">
        <f t="shared" si="815"/>
        <v>1233</v>
      </c>
      <c r="I174" s="233">
        <f t="shared" si="815"/>
        <v>1413</v>
      </c>
      <c r="J174" s="233">
        <f t="shared" si="815"/>
        <v>1593</v>
      </c>
      <c r="K174" s="233">
        <f t="shared" si="815"/>
        <v>1772</v>
      </c>
      <c r="L174" s="233">
        <f t="shared" si="815"/>
        <v>1952</v>
      </c>
      <c r="M174" s="233">
        <f t="shared" si="815"/>
        <v>2132</v>
      </c>
      <c r="N174" s="233">
        <f t="shared" si="815"/>
        <v>2312</v>
      </c>
      <c r="O174" s="233">
        <f t="shared" si="815"/>
        <v>2492</v>
      </c>
      <c r="P174" s="233">
        <f t="shared" si="815"/>
        <v>2672</v>
      </c>
      <c r="Q174" s="233">
        <f t="shared" si="815"/>
        <v>2852</v>
      </c>
      <c r="R174" s="233">
        <f t="shared" si="815"/>
        <v>3032</v>
      </c>
      <c r="S174" s="233">
        <f t="shared" si="815"/>
        <v>3211</v>
      </c>
      <c r="T174" s="233">
        <f t="shared" si="815"/>
        <v>3391</v>
      </c>
      <c r="U174" s="233">
        <f t="shared" si="815"/>
        <v>3571</v>
      </c>
      <c r="V174" s="233">
        <f t="shared" si="815"/>
        <v>3751</v>
      </c>
      <c r="W174" s="233">
        <f t="shared" si="815"/>
        <v>3931</v>
      </c>
      <c r="X174" s="233">
        <f t="shared" si="815"/>
        <v>4111</v>
      </c>
      <c r="Y174" s="233">
        <f t="shared" si="815"/>
        <v>4291</v>
      </c>
      <c r="Z174" s="233">
        <f t="shared" si="815"/>
        <v>4471</v>
      </c>
      <c r="AA174" s="233">
        <f t="shared" si="815"/>
        <v>4650</v>
      </c>
      <c r="AB174" s="233">
        <f t="shared" si="815"/>
        <v>4830</v>
      </c>
      <c r="AC174" s="233">
        <f t="shared" si="815"/>
        <v>5010</v>
      </c>
      <c r="AD174" s="233">
        <f t="shared" si="815"/>
        <v>5190</v>
      </c>
      <c r="AE174" s="233">
        <f t="shared" si="815"/>
        <v>5370</v>
      </c>
      <c r="AF174" s="233">
        <f t="shared" si="815"/>
        <v>5550</v>
      </c>
      <c r="AG174" s="233">
        <f t="shared" si="815"/>
        <v>5730</v>
      </c>
      <c r="AH174" s="233">
        <f t="shared" ref="AH174:BM174" si="816">DAYS360($B$3,AH64)</f>
        <v>5910</v>
      </c>
      <c r="AI174" s="233">
        <f t="shared" si="816"/>
        <v>6089</v>
      </c>
      <c r="AJ174" s="233">
        <f t="shared" si="816"/>
        <v>6269</v>
      </c>
      <c r="AK174" s="233">
        <f t="shared" si="816"/>
        <v>6449</v>
      </c>
      <c r="AL174" s="233">
        <f t="shared" si="816"/>
        <v>6629</v>
      </c>
      <c r="AM174" s="233">
        <f t="shared" si="816"/>
        <v>6809</v>
      </c>
      <c r="AN174" s="233">
        <f t="shared" si="816"/>
        <v>6989</v>
      </c>
      <c r="AO174" s="233">
        <f t="shared" si="816"/>
        <v>7169</v>
      </c>
      <c r="AP174" s="233">
        <f t="shared" si="816"/>
        <v>7349</v>
      </c>
      <c r="AQ174" s="233">
        <f t="shared" si="816"/>
        <v>7529</v>
      </c>
      <c r="AR174" s="233">
        <f t="shared" si="816"/>
        <v>7708</v>
      </c>
      <c r="AS174" s="233">
        <f t="shared" si="816"/>
        <v>7889</v>
      </c>
      <c r="AT174" s="233">
        <f t="shared" si="816"/>
        <v>8068</v>
      </c>
      <c r="AU174" s="233">
        <f t="shared" si="816"/>
        <v>8249</v>
      </c>
      <c r="AV174" s="233">
        <f t="shared" si="816"/>
        <v>8428</v>
      </c>
      <c r="AW174" s="233">
        <f t="shared" si="816"/>
        <v>8609</v>
      </c>
      <c r="AX174" s="233">
        <f t="shared" si="816"/>
        <v>8788</v>
      </c>
      <c r="AY174" s="233">
        <f t="shared" si="816"/>
        <v>8968</v>
      </c>
      <c r="AZ174" s="233">
        <f t="shared" si="816"/>
        <v>9147</v>
      </c>
      <c r="BA174" s="233">
        <f t="shared" si="816"/>
        <v>9328</v>
      </c>
      <c r="BB174" s="233">
        <f t="shared" si="816"/>
        <v>9507</v>
      </c>
      <c r="BC174" s="233">
        <f t="shared" si="816"/>
        <v>9688</v>
      </c>
      <c r="BD174" s="233">
        <f t="shared" si="816"/>
        <v>9867</v>
      </c>
      <c r="BE174" s="233">
        <f t="shared" si="816"/>
        <v>10048</v>
      </c>
      <c r="BF174" s="233">
        <f t="shared" si="816"/>
        <v>10227</v>
      </c>
      <c r="BG174" s="233">
        <f t="shared" si="816"/>
        <v>10407</v>
      </c>
      <c r="BH174" s="233">
        <f t="shared" si="816"/>
        <v>10586</v>
      </c>
      <c r="BI174" s="233">
        <f t="shared" si="816"/>
        <v>10767</v>
      </c>
      <c r="BJ174" s="233">
        <f t="shared" si="816"/>
        <v>10946</v>
      </c>
      <c r="BK174" s="233">
        <f t="shared" si="816"/>
        <v>11127</v>
      </c>
      <c r="BL174" s="233">
        <f t="shared" si="816"/>
        <v>11306</v>
      </c>
      <c r="BM174" s="233">
        <f t="shared" si="816"/>
        <v>11487</v>
      </c>
      <c r="BN174" s="233">
        <f t="shared" ref="BN174:CB174" si="817">DAYS360($B$3,BN64)</f>
        <v>11666</v>
      </c>
      <c r="BO174" s="233">
        <f t="shared" si="817"/>
        <v>11846</v>
      </c>
      <c r="BP174" s="233">
        <f t="shared" si="817"/>
        <v>12025</v>
      </c>
      <c r="BQ174" s="233">
        <f t="shared" si="817"/>
        <v>12206</v>
      </c>
      <c r="BR174" s="233">
        <f t="shared" si="817"/>
        <v>12385</v>
      </c>
      <c r="BS174" s="233">
        <f t="shared" si="817"/>
        <v>12566</v>
      </c>
      <c r="BT174" s="233">
        <f t="shared" si="817"/>
        <v>12745</v>
      </c>
      <c r="BU174" s="233">
        <f t="shared" si="817"/>
        <v>12926</v>
      </c>
      <c r="BV174" s="233">
        <f t="shared" si="817"/>
        <v>13105</v>
      </c>
      <c r="BW174" s="233">
        <f t="shared" si="817"/>
        <v>13285</v>
      </c>
      <c r="BX174" s="233">
        <f t="shared" si="817"/>
        <v>13464</v>
      </c>
      <c r="BY174" s="233">
        <f t="shared" si="817"/>
        <v>13645</v>
      </c>
      <c r="BZ174" s="233">
        <f t="shared" si="817"/>
        <v>13824</v>
      </c>
      <c r="CA174" s="233">
        <f t="shared" si="817"/>
        <v>14005</v>
      </c>
      <c r="CB174" s="233">
        <f t="shared" si="817"/>
        <v>14184</v>
      </c>
      <c r="CC174" s="19"/>
      <c r="CD174" s="19"/>
      <c r="CE174" s="19"/>
    </row>
    <row r="175" spans="1:83">
      <c r="A175" s="16" t="s">
        <v>41</v>
      </c>
      <c r="B175" s="233">
        <f>B174/360</f>
        <v>0.42777777777777776</v>
      </c>
      <c r="C175" s="233">
        <f t="shared" ref="C175:BN175" si="818">C174/360</f>
        <v>0.92500000000000004</v>
      </c>
      <c r="D175" s="233">
        <f t="shared" si="818"/>
        <v>1.425</v>
      </c>
      <c r="E175" s="233">
        <f t="shared" si="818"/>
        <v>1.925</v>
      </c>
      <c r="F175" s="233">
        <f t="shared" si="818"/>
        <v>2.4249999999999998</v>
      </c>
      <c r="G175" s="233">
        <f t="shared" si="818"/>
        <v>2.9249999999999998</v>
      </c>
      <c r="H175" s="233">
        <f t="shared" si="818"/>
        <v>3.4249999999999998</v>
      </c>
      <c r="I175" s="233">
        <f t="shared" si="818"/>
        <v>3.9249999999999998</v>
      </c>
      <c r="J175" s="233">
        <f t="shared" si="818"/>
        <v>4.4249999999999998</v>
      </c>
      <c r="K175" s="233">
        <f t="shared" si="818"/>
        <v>4.9222222222222225</v>
      </c>
      <c r="L175" s="233">
        <f t="shared" si="818"/>
        <v>5.4222222222222225</v>
      </c>
      <c r="M175" s="233">
        <f t="shared" si="818"/>
        <v>5.9222222222222225</v>
      </c>
      <c r="N175" s="233">
        <f t="shared" si="818"/>
        <v>6.4222222222222225</v>
      </c>
      <c r="O175" s="233">
        <f t="shared" si="818"/>
        <v>6.9222222222222225</v>
      </c>
      <c r="P175" s="233">
        <f t="shared" si="818"/>
        <v>7.4222222222222225</v>
      </c>
      <c r="Q175" s="233">
        <f t="shared" si="818"/>
        <v>7.9222222222222225</v>
      </c>
      <c r="R175" s="233">
        <f t="shared" si="818"/>
        <v>8.4222222222222225</v>
      </c>
      <c r="S175" s="233">
        <f t="shared" si="818"/>
        <v>8.9194444444444443</v>
      </c>
      <c r="T175" s="233">
        <f t="shared" si="818"/>
        <v>9.4194444444444443</v>
      </c>
      <c r="U175" s="233">
        <f t="shared" si="818"/>
        <v>9.9194444444444443</v>
      </c>
      <c r="V175" s="233">
        <f t="shared" si="818"/>
        <v>10.419444444444444</v>
      </c>
      <c r="W175" s="233">
        <f t="shared" si="818"/>
        <v>10.919444444444444</v>
      </c>
      <c r="X175" s="233">
        <f t="shared" si="818"/>
        <v>11.419444444444444</v>
      </c>
      <c r="Y175" s="233">
        <f t="shared" si="818"/>
        <v>11.919444444444444</v>
      </c>
      <c r="Z175" s="233">
        <f t="shared" si="818"/>
        <v>12.419444444444444</v>
      </c>
      <c r="AA175" s="233">
        <f t="shared" si="818"/>
        <v>12.916666666666666</v>
      </c>
      <c r="AB175" s="233">
        <f t="shared" si="818"/>
        <v>13.416666666666666</v>
      </c>
      <c r="AC175" s="233">
        <f t="shared" si="818"/>
        <v>13.916666666666666</v>
      </c>
      <c r="AD175" s="233">
        <f t="shared" si="818"/>
        <v>14.416666666666666</v>
      </c>
      <c r="AE175" s="233">
        <f t="shared" si="818"/>
        <v>14.916666666666666</v>
      </c>
      <c r="AF175" s="233">
        <f t="shared" si="818"/>
        <v>15.416666666666666</v>
      </c>
      <c r="AG175" s="233">
        <f t="shared" si="818"/>
        <v>15.916666666666666</v>
      </c>
      <c r="AH175" s="233">
        <f t="shared" si="818"/>
        <v>16.416666666666668</v>
      </c>
      <c r="AI175" s="233">
        <f t="shared" si="818"/>
        <v>16.913888888888888</v>
      </c>
      <c r="AJ175" s="233">
        <f t="shared" si="818"/>
        <v>17.413888888888888</v>
      </c>
      <c r="AK175" s="233">
        <f t="shared" si="818"/>
        <v>17.913888888888888</v>
      </c>
      <c r="AL175" s="233">
        <f t="shared" si="818"/>
        <v>18.413888888888888</v>
      </c>
      <c r="AM175" s="233">
        <f t="shared" si="818"/>
        <v>18.913888888888888</v>
      </c>
      <c r="AN175" s="233">
        <f t="shared" si="818"/>
        <v>19.413888888888888</v>
      </c>
      <c r="AO175" s="233">
        <f t="shared" si="818"/>
        <v>19.913888888888888</v>
      </c>
      <c r="AP175" s="233">
        <f t="shared" si="818"/>
        <v>20.413888888888888</v>
      </c>
      <c r="AQ175" s="233">
        <f t="shared" si="818"/>
        <v>20.913888888888888</v>
      </c>
      <c r="AR175" s="233">
        <f t="shared" si="818"/>
        <v>21.411111111111111</v>
      </c>
      <c r="AS175" s="233">
        <f t="shared" si="818"/>
        <v>21.913888888888888</v>
      </c>
      <c r="AT175" s="233">
        <f t="shared" si="818"/>
        <v>22.411111111111111</v>
      </c>
      <c r="AU175" s="233">
        <f t="shared" si="818"/>
        <v>22.913888888888888</v>
      </c>
      <c r="AV175" s="233">
        <f t="shared" si="818"/>
        <v>23.411111111111111</v>
      </c>
      <c r="AW175" s="233">
        <f t="shared" si="818"/>
        <v>23.913888888888888</v>
      </c>
      <c r="AX175" s="233">
        <f t="shared" si="818"/>
        <v>24.411111111111111</v>
      </c>
      <c r="AY175" s="233">
        <f t="shared" si="818"/>
        <v>24.911111111111111</v>
      </c>
      <c r="AZ175" s="233">
        <f t="shared" si="818"/>
        <v>25.408333333333335</v>
      </c>
      <c r="BA175" s="233">
        <f t="shared" si="818"/>
        <v>25.911111111111111</v>
      </c>
      <c r="BB175" s="233">
        <f t="shared" si="818"/>
        <v>26.408333333333335</v>
      </c>
      <c r="BC175" s="233">
        <f t="shared" si="818"/>
        <v>26.911111111111111</v>
      </c>
      <c r="BD175" s="233">
        <f t="shared" si="818"/>
        <v>27.408333333333335</v>
      </c>
      <c r="BE175" s="233">
        <f t="shared" si="818"/>
        <v>27.911111111111111</v>
      </c>
      <c r="BF175" s="233">
        <f t="shared" si="818"/>
        <v>28.408333333333335</v>
      </c>
      <c r="BG175" s="233">
        <f t="shared" si="818"/>
        <v>28.908333333333335</v>
      </c>
      <c r="BH175" s="233">
        <f t="shared" si="818"/>
        <v>29.405555555555555</v>
      </c>
      <c r="BI175" s="233">
        <f t="shared" si="818"/>
        <v>29.908333333333335</v>
      </c>
      <c r="BJ175" s="233">
        <f t="shared" si="818"/>
        <v>30.405555555555555</v>
      </c>
      <c r="BK175" s="233">
        <f t="shared" si="818"/>
        <v>30.908333333333335</v>
      </c>
      <c r="BL175" s="233">
        <f t="shared" si="818"/>
        <v>31.405555555555555</v>
      </c>
      <c r="BM175" s="233">
        <f t="shared" si="818"/>
        <v>31.908333333333335</v>
      </c>
      <c r="BN175" s="233">
        <f t="shared" si="818"/>
        <v>32.405555555555559</v>
      </c>
      <c r="BO175" s="233">
        <f t="shared" ref="BO175:CB175" si="819">BO174/360</f>
        <v>32.905555555555559</v>
      </c>
      <c r="BP175" s="233">
        <f t="shared" si="819"/>
        <v>33.402777777777779</v>
      </c>
      <c r="BQ175" s="233">
        <f t="shared" si="819"/>
        <v>33.905555555555559</v>
      </c>
      <c r="BR175" s="233">
        <f t="shared" si="819"/>
        <v>34.402777777777779</v>
      </c>
      <c r="BS175" s="233">
        <f t="shared" si="819"/>
        <v>34.905555555555559</v>
      </c>
      <c r="BT175" s="233">
        <f t="shared" si="819"/>
        <v>35.402777777777779</v>
      </c>
      <c r="BU175" s="233">
        <f t="shared" si="819"/>
        <v>35.905555555555559</v>
      </c>
      <c r="BV175" s="233">
        <f t="shared" si="819"/>
        <v>36.402777777777779</v>
      </c>
      <c r="BW175" s="233">
        <f t="shared" si="819"/>
        <v>36.902777777777779</v>
      </c>
      <c r="BX175" s="233">
        <f t="shared" si="819"/>
        <v>37.4</v>
      </c>
      <c r="BY175" s="233">
        <f t="shared" si="819"/>
        <v>37.902777777777779</v>
      </c>
      <c r="BZ175" s="233">
        <f t="shared" si="819"/>
        <v>38.4</v>
      </c>
      <c r="CA175" s="233">
        <f t="shared" si="819"/>
        <v>38.902777777777779</v>
      </c>
      <c r="CB175" s="233">
        <f t="shared" si="819"/>
        <v>39.4</v>
      </c>
      <c r="CC175" s="19"/>
      <c r="CD175" s="19"/>
      <c r="CE175" s="19"/>
    </row>
    <row r="176" spans="1:83">
      <c r="A176" s="16" t="s">
        <v>43</v>
      </c>
      <c r="B176" s="233">
        <f>IF(B174&lt;0,0,$B$5+$B$6*((1-EXP(-B175/$B$9))/(B175/$B$9))+$B$7*((1-EXP(-B175/$B$9))/(B175/$B$9)-EXP(-B175/$B$9))+$B$8*((1-EXP(-B175/$B$10))/(B175/$B$10)-EXP(-B175/$B$10)))</f>
        <v>1.8835810357793151E-2</v>
      </c>
      <c r="C176" s="233">
        <f t="shared" ref="C176:BN176" si="820">IF(C174&lt;0,0,$B$5+$B$6*((1-EXP(-C175/$B$9))/(C175/$B$9))+$B$7*((1-EXP(-C175/$B$9))/(C175/$B$9)-EXP(-C175/$B$9))+$B$8*((1-EXP(-C175/$B$10))/(C175/$B$10)-EXP(-C175/$B$10)))</f>
        <v>1.7955921972555328E-2</v>
      </c>
      <c r="D176" s="233">
        <f t="shared" si="820"/>
        <v>1.7182751740611707E-2</v>
      </c>
      <c r="E176" s="233">
        <f t="shared" si="820"/>
        <v>1.6513566144341664E-2</v>
      </c>
      <c r="F176" s="233">
        <f t="shared" si="820"/>
        <v>1.5940870723704995E-2</v>
      </c>
      <c r="G176" s="233">
        <f t="shared" si="820"/>
        <v>1.5457625302373552E-2</v>
      </c>
      <c r="H176" s="233">
        <f t="shared" si="820"/>
        <v>1.5057218632959342E-2</v>
      </c>
      <c r="I176" s="233">
        <f t="shared" si="820"/>
        <v>1.4733444390617911E-2</v>
      </c>
      <c r="J176" s="233">
        <f t="shared" si="820"/>
        <v>1.4480478445553141E-2</v>
      </c>
      <c r="K176" s="233">
        <f t="shared" si="820"/>
        <v>1.4293728742871922E-2</v>
      </c>
      <c r="L176" s="233">
        <f t="shared" si="820"/>
        <v>1.4166008349192266E-2</v>
      </c>
      <c r="M176" s="233">
        <f t="shared" si="820"/>
        <v>1.4093733405303344E-2</v>
      </c>
      <c r="N176" s="233">
        <f t="shared" si="820"/>
        <v>1.4072402990574814E-2</v>
      </c>
      <c r="O176" s="233">
        <f t="shared" si="820"/>
        <v>1.4097801822643738E-2</v>
      </c>
      <c r="P176" s="233">
        <f t="shared" si="820"/>
        <v>1.4165983923667233E-2</v>
      </c>
      <c r="Q176" s="233">
        <f t="shared" si="820"/>
        <v>1.427325716829049E-2</v>
      </c>
      <c r="R176" s="233">
        <f t="shared" si="820"/>
        <v>1.4416168667434462E-2</v>
      </c>
      <c r="S176" s="233">
        <f t="shared" si="820"/>
        <v>1.4590433033615541E-2</v>
      </c>
      <c r="T176" s="233">
        <f t="shared" si="820"/>
        <v>1.4794995597796151E-2</v>
      </c>
      <c r="U176" s="233">
        <f t="shared" si="820"/>
        <v>1.5026153751843588E-2</v>
      </c>
      <c r="V176" s="233">
        <f t="shared" si="820"/>
        <v>1.5281279612181842E-2</v>
      </c>
      <c r="W176" s="233">
        <f t="shared" si="820"/>
        <v>1.5557922597971285E-2</v>
      </c>
      <c r="X176" s="233">
        <f t="shared" si="820"/>
        <v>1.5853798985467626E-2</v>
      </c>
      <c r="Y176" s="233">
        <f t="shared" si="820"/>
        <v>1.6166782036241764E-2</v>
      </c>
      <c r="Z176" s="233">
        <f t="shared" si="820"/>
        <v>1.6494892669045802E-2</v>
      </c>
      <c r="AA176" s="233">
        <f t="shared" si="820"/>
        <v>1.683436048483801E-2</v>
      </c>
      <c r="AB176" s="233">
        <f t="shared" si="820"/>
        <v>1.7187276262619691E-2</v>
      </c>
      <c r="AC176" s="233">
        <f t="shared" si="820"/>
        <v>1.7550191095351025E-2</v>
      </c>
      <c r="AD176" s="233">
        <f t="shared" si="820"/>
        <v>1.7921632528626774E-2</v>
      </c>
      <c r="AE176" s="233">
        <f t="shared" si="820"/>
        <v>1.8300236363595096E-2</v>
      </c>
      <c r="AF176" s="233">
        <f t="shared" si="820"/>
        <v>1.8684740035447511E-2</v>
      </c>
      <c r="AG176" s="233">
        <f t="shared" si="820"/>
        <v>1.9073976363375295E-2</v>
      </c>
      <c r="AH176" s="233">
        <f t="shared" si="820"/>
        <v>1.9466867652173828E-2</v>
      </c>
      <c r="AI176" s="233">
        <f t="shared" si="820"/>
        <v>1.9860216977302336E-2</v>
      </c>
      <c r="AJ176" s="233">
        <f t="shared" si="820"/>
        <v>2.0257508221754247E-2</v>
      </c>
      <c r="AK176" s="233">
        <f t="shared" si="820"/>
        <v>2.0655708637318484E-2</v>
      </c>
      <c r="AL176" s="233">
        <f t="shared" si="820"/>
        <v>2.1054045511199215E-2</v>
      </c>
      <c r="AM176" s="233">
        <f t="shared" si="820"/>
        <v>2.1451810797816398E-2</v>
      </c>
      <c r="AN176" s="233">
        <f t="shared" si="820"/>
        <v>2.184835696655392E-2</v>
      </c>
      <c r="AO176" s="233">
        <f t="shared" si="820"/>
        <v>2.2243093088428659E-2</v>
      </c>
      <c r="AP176" s="233">
        <f t="shared" si="820"/>
        <v>2.2635481148733039E-2</v>
      </c>
      <c r="AQ176" s="233">
        <f t="shared" si="820"/>
        <v>2.3025032573380788E-2</v>
      </c>
      <c r="AR176" s="233">
        <f t="shared" si="820"/>
        <v>2.3409168809879463E-2</v>
      </c>
      <c r="AS176" s="233">
        <f t="shared" si="820"/>
        <v>2.3793898984031156E-2</v>
      </c>
      <c r="AT176" s="233">
        <f t="shared" si="820"/>
        <v>2.4170364193879065E-2</v>
      </c>
      <c r="AU176" s="233">
        <f t="shared" si="820"/>
        <v>2.4546652913311526E-2</v>
      </c>
      <c r="AV176" s="233">
        <f t="shared" si="820"/>
        <v>2.4914164621632345E-2</v>
      </c>
      <c r="AW176" s="233">
        <f t="shared" si="820"/>
        <v>2.5280855595395099E-2</v>
      </c>
      <c r="AX176" s="233">
        <f t="shared" si="820"/>
        <v>2.5638399648373181E-2</v>
      </c>
      <c r="AY176" s="233">
        <f t="shared" si="820"/>
        <v>2.5992636240789707E-2</v>
      </c>
      <c r="AZ176" s="233">
        <f t="shared" si="820"/>
        <v>2.6339461348021648E-2</v>
      </c>
      <c r="BA176" s="233">
        <f t="shared" si="820"/>
        <v>2.6684495179085735E-2</v>
      </c>
      <c r="BB176" s="233">
        <f t="shared" si="820"/>
        <v>2.7019990031085711E-2</v>
      </c>
      <c r="BC176" s="233">
        <f t="shared" si="820"/>
        <v>2.7353339429629517E-2</v>
      </c>
      <c r="BD176" s="233">
        <f t="shared" si="820"/>
        <v>2.7677093548929887E-2</v>
      </c>
      <c r="BE176" s="233">
        <f t="shared" si="820"/>
        <v>2.7998420752863018E-2</v>
      </c>
      <c r="BF176" s="233">
        <f t="shared" si="820"/>
        <v>2.8310170735613954E-2</v>
      </c>
      <c r="BG176" s="233">
        <f t="shared" si="820"/>
        <v>2.8617584486091571E-2</v>
      </c>
      <c r="BH176" s="233">
        <f t="shared" si="820"/>
        <v>2.8917225919862941E-2</v>
      </c>
      <c r="BI176" s="233">
        <f t="shared" si="820"/>
        <v>2.9214058048804351E-2</v>
      </c>
      <c r="BJ176" s="233">
        <f t="shared" si="820"/>
        <v>2.9501524774171894E-2</v>
      </c>
      <c r="BK176" s="233">
        <f t="shared" si="820"/>
        <v>2.9786064482408017E-2</v>
      </c>
      <c r="BL176" s="233">
        <f t="shared" si="820"/>
        <v>3.0061413026662084E-2</v>
      </c>
      <c r="BM176" s="233">
        <f t="shared" si="820"/>
        <v>3.0333756787855132E-2</v>
      </c>
      <c r="BN176" s="233">
        <f t="shared" si="820"/>
        <v>3.0597117993702447E-2</v>
      </c>
      <c r="BO176" s="233">
        <f t="shared" ref="BO176:CB176" si="821">IF(BO174&lt;0,0,$B$5+$B$6*((1-EXP(-BO175/$B$9))/(BO175/$B$9))+$B$7*((1-EXP(-BO175/$B$9))/(BO175/$B$9)-EXP(-BO175/$B$9))+$B$8*((1-EXP(-BO175/$B$10))/(BO175/$B$10)-EXP(-BO175/$B$10)))</f>
        <v>3.0856008935302118E-2</v>
      </c>
      <c r="BP176" s="233">
        <f t="shared" si="821"/>
        <v>3.1107607494805664E-2</v>
      </c>
      <c r="BQ176" s="233">
        <f t="shared" si="821"/>
        <v>3.1356142617893393E-2</v>
      </c>
      <c r="BR176" s="233">
        <f t="shared" si="821"/>
        <v>3.1596187731704931E-2</v>
      </c>
      <c r="BS176" s="233">
        <f t="shared" si="821"/>
        <v>3.18331786864266E-2</v>
      </c>
      <c r="BT176" s="233">
        <f t="shared" si="821"/>
        <v>3.2061952986496778E-2</v>
      </c>
      <c r="BU176" s="233">
        <f t="shared" si="821"/>
        <v>3.2287702675560387E-2</v>
      </c>
      <c r="BV176" s="233">
        <f t="shared" si="821"/>
        <v>3.2505520671282206E-2</v>
      </c>
      <c r="BW176" s="233">
        <f t="shared" si="821"/>
        <v>3.2719188209825376E-2</v>
      </c>
      <c r="BX176" s="233">
        <f t="shared" si="821"/>
        <v>3.2926417945900247E-2</v>
      </c>
      <c r="BY176" s="233">
        <f t="shared" si="821"/>
        <v>3.3130729265388389E-2</v>
      </c>
      <c r="BZ176" s="233">
        <f t="shared" si="821"/>
        <v>3.3327697963914202E-2</v>
      </c>
      <c r="CA176" s="233">
        <f t="shared" si="821"/>
        <v>3.3521819349949092E-2</v>
      </c>
      <c r="CB176" s="233">
        <f t="shared" si="821"/>
        <v>3.3708896984883607E-2</v>
      </c>
      <c r="CC176" s="19"/>
      <c r="CD176" s="19"/>
      <c r="CE176" s="19"/>
    </row>
    <row r="177" spans="1:83">
      <c r="A177" s="16" t="s">
        <v>44</v>
      </c>
      <c r="B177" s="233">
        <f>EXP(-B176*B175)</f>
        <v>0.99197483387419183</v>
      </c>
      <c r="C177" s="233">
        <f t="shared" ref="C177:AR177" si="822">EXP(-C176*C175)</f>
        <v>0.98352794490549289</v>
      </c>
      <c r="D177" s="233">
        <f t="shared" si="822"/>
        <v>0.97581191495181674</v>
      </c>
      <c r="E177" s="233">
        <f t="shared" si="822"/>
        <v>0.9687113316495205</v>
      </c>
      <c r="F177" s="233">
        <f t="shared" si="822"/>
        <v>0.96208101998418549</v>
      </c>
      <c r="G177" s="233">
        <f t="shared" si="822"/>
        <v>0.9557933465355688</v>
      </c>
      <c r="H177" s="233">
        <f t="shared" si="822"/>
        <v>0.94973624116307809</v>
      </c>
      <c r="I177" s="233">
        <f t="shared" si="822"/>
        <v>0.94381154317559846</v>
      </c>
      <c r="J177" s="233">
        <f t="shared" si="822"/>
        <v>0.93793360400738979</v>
      </c>
      <c r="K177" s="233">
        <f t="shared" si="822"/>
        <v>0.93206109929990921</v>
      </c>
      <c r="L177" s="233">
        <f t="shared" si="822"/>
        <v>0.92606463618973456</v>
      </c>
      <c r="M177" s="233">
        <f t="shared" si="822"/>
        <v>0.91992216004347338</v>
      </c>
      <c r="N177" s="233">
        <f t="shared" si="822"/>
        <v>0.91358752110794517</v>
      </c>
      <c r="O177" s="233">
        <f t="shared" si="822"/>
        <v>0.90702241388481319</v>
      </c>
      <c r="P177" s="233">
        <f t="shared" si="822"/>
        <v>0.90019571275857535</v>
      </c>
      <c r="Q177" s="233">
        <f t="shared" si="822"/>
        <v>0.89308285904817386</v>
      </c>
      <c r="R177" s="233">
        <f t="shared" si="822"/>
        <v>0.88566529014712259</v>
      </c>
      <c r="S177" s="233">
        <f t="shared" si="822"/>
        <v>0.8779737732000561</v>
      </c>
      <c r="T177" s="233">
        <f t="shared" si="822"/>
        <v>0.8699142467990032</v>
      </c>
      <c r="U177" s="233">
        <f t="shared" si="822"/>
        <v>0.86152509212069051</v>
      </c>
      <c r="V177" s="233">
        <f t="shared" si="822"/>
        <v>0.85280663618402774</v>
      </c>
      <c r="W177" s="233">
        <f t="shared" si="822"/>
        <v>0.84376279583230263</v>
      </c>
      <c r="X177" s="233">
        <f t="shared" si="822"/>
        <v>0.83440066630841447</v>
      </c>
      <c r="Y177" s="233">
        <f t="shared" si="822"/>
        <v>0.82473013081349456</v>
      </c>
      <c r="Z177" s="233">
        <f t="shared" si="822"/>
        <v>0.81476349085966038</v>
      </c>
      <c r="AA177" s="233">
        <f t="shared" si="822"/>
        <v>0.80457280219359739</v>
      </c>
      <c r="AB177" s="233">
        <f t="shared" si="822"/>
        <v>0.79406023608670961</v>
      </c>
      <c r="AC177" s="233">
        <f t="shared" si="822"/>
        <v>0.78329949492725948</v>
      </c>
      <c r="AD177" s="233">
        <f t="shared" si="822"/>
        <v>0.77230926851998694</v>
      </c>
      <c r="AE177" s="233">
        <f t="shared" si="822"/>
        <v>0.76110913169591932</v>
      </c>
      <c r="AF177" s="233">
        <f t="shared" si="822"/>
        <v>0.74971930022032818</v>
      </c>
      <c r="AG177" s="233">
        <f t="shared" si="822"/>
        <v>0.73816040741136846</v>
      </c>
      <c r="AH177" s="233">
        <f t="shared" si="822"/>
        <v>0.72645330112338236</v>
      </c>
      <c r="AI177" s="233">
        <f t="shared" si="822"/>
        <v>0.71468492105603887</v>
      </c>
      <c r="AJ177" s="233">
        <f t="shared" si="822"/>
        <v>0.70274442851897001</v>
      </c>
      <c r="AK177" s="233">
        <f t="shared" si="822"/>
        <v>0.69071770524187459</v>
      </c>
      <c r="AL177" s="233">
        <f t="shared" si="822"/>
        <v>0.67862481816360232</v>
      </c>
      <c r="AM177" s="233">
        <f t="shared" si="822"/>
        <v>0.66648531947810807</v>
      </c>
      <c r="AN177" s="233">
        <f t="shared" si="822"/>
        <v>0.65431815220421097</v>
      </c>
      <c r="AO177" s="233">
        <f t="shared" si="822"/>
        <v>0.64214157081869594</v>
      </c>
      <c r="AP177" s="233">
        <f t="shared" si="822"/>
        <v>0.62997307593760143</v>
      </c>
      <c r="AQ177" s="233">
        <f t="shared" si="822"/>
        <v>0.61782936201026117</v>
      </c>
      <c r="AR177" s="233">
        <f t="shared" si="822"/>
        <v>0.60579337620805607</v>
      </c>
      <c r="AS177" s="233">
        <f>EXP(-AS176*AS175)</f>
        <v>0.5936787929018148</v>
      </c>
      <c r="AT177" s="233">
        <f t="shared" ref="AT177:CA177" si="823">EXP(-AT176*AT175)</f>
        <v>0.5817673127040216</v>
      </c>
      <c r="AU177" s="233">
        <f t="shared" si="823"/>
        <v>0.56980602821308912</v>
      </c>
      <c r="AV177" s="233">
        <f t="shared" si="823"/>
        <v>0.55807145111924639</v>
      </c>
      <c r="AW177" s="233">
        <f t="shared" si="823"/>
        <v>0.54631280097298496</v>
      </c>
      <c r="AX177" s="233">
        <f t="shared" si="823"/>
        <v>0.53480032688421353</v>
      </c>
      <c r="AY177" s="233">
        <f t="shared" si="823"/>
        <v>0.52334967197282112</v>
      </c>
      <c r="AZ177" s="233">
        <f t="shared" si="823"/>
        <v>0.51209669530781554</v>
      </c>
      <c r="BA177" s="233">
        <f t="shared" si="823"/>
        <v>0.50086187248703273</v>
      </c>
      <c r="BB177" s="233">
        <f t="shared" si="823"/>
        <v>0.48990053248893894</v>
      </c>
      <c r="BC177" s="233">
        <f t="shared" si="823"/>
        <v>0.47897409873724434</v>
      </c>
      <c r="BD177" s="233">
        <f t="shared" si="823"/>
        <v>0.46832957740661096</v>
      </c>
      <c r="BE177" s="233">
        <f t="shared" si="823"/>
        <v>0.45773400780294066</v>
      </c>
      <c r="BF177" s="233">
        <f t="shared" si="823"/>
        <v>0.44742570966035544</v>
      </c>
      <c r="BG177" s="233">
        <f t="shared" si="823"/>
        <v>0.43723403785251064</v>
      </c>
      <c r="BH177" s="233">
        <f t="shared" si="823"/>
        <v>0.42727515025063384</v>
      </c>
      <c r="BI177" s="233">
        <f t="shared" si="823"/>
        <v>0.41738601658126601</v>
      </c>
      <c r="BJ177" s="233">
        <f t="shared" si="823"/>
        <v>0.40778702007412182</v>
      </c>
      <c r="BK177" s="233">
        <f t="shared" si="823"/>
        <v>0.39826502246510331</v>
      </c>
      <c r="BL177" s="233">
        <f t="shared" si="823"/>
        <v>0.38903133850957572</v>
      </c>
      <c r="BM177" s="233">
        <f t="shared" si="823"/>
        <v>0.37988009222281061</v>
      </c>
      <c r="BN177" s="233">
        <f t="shared" si="823"/>
        <v>0.37101358233226761</v>
      </c>
      <c r="BO177" s="233">
        <f t="shared" si="823"/>
        <v>0.36228136551997386</v>
      </c>
      <c r="BP177" s="233">
        <f t="shared" si="823"/>
        <v>0.35377983288124765</v>
      </c>
      <c r="BQ177" s="233">
        <f t="shared" si="823"/>
        <v>0.34536707725732713</v>
      </c>
      <c r="BR177" s="233">
        <f t="shared" si="823"/>
        <v>0.33722779576452561</v>
      </c>
      <c r="BS177" s="233">
        <f t="shared" si="823"/>
        <v>0.32917861027647943</v>
      </c>
      <c r="BT177" s="233">
        <f t="shared" si="823"/>
        <v>0.32139570258168787</v>
      </c>
      <c r="BU177" s="233">
        <f t="shared" si="823"/>
        <v>0.31370321908260451</v>
      </c>
      <c r="BV177" s="233">
        <f t="shared" si="823"/>
        <v>0.30626907126380554</v>
      </c>
      <c r="BW177" s="233">
        <f t="shared" si="823"/>
        <v>0.29896495148481694</v>
      </c>
      <c r="BX177" s="233">
        <f t="shared" si="823"/>
        <v>0.29186963520651488</v>
      </c>
      <c r="BY177" s="233">
        <f t="shared" si="823"/>
        <v>0.2848630703840343</v>
      </c>
      <c r="BZ177" s="233">
        <f t="shared" si="823"/>
        <v>0.27809747373102689</v>
      </c>
      <c r="CA177" s="233">
        <f t="shared" si="823"/>
        <v>0.27141890168790123</v>
      </c>
      <c r="CB177" s="233">
        <f>EXP(-CB176*CB175)</f>
        <v>0.2649721530879644</v>
      </c>
      <c r="CC177" s="19"/>
      <c r="CD177" s="19"/>
      <c r="CE177" s="19"/>
    </row>
    <row r="178" spans="1:83">
      <c r="A178" s="17"/>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19"/>
      <c r="CD178" s="19"/>
      <c r="CE178" s="19"/>
    </row>
    <row r="179" spans="1:83">
      <c r="A179" s="16" t="s">
        <v>40</v>
      </c>
      <c r="B179" s="233">
        <f t="shared" ref="B179:AG179" si="824">DAYS360($B$3,B66)</f>
        <v>54</v>
      </c>
      <c r="C179" s="233">
        <f t="shared" si="824"/>
        <v>232</v>
      </c>
      <c r="D179" s="233">
        <f t="shared" si="824"/>
        <v>413</v>
      </c>
      <c r="E179" s="233">
        <f t="shared" si="824"/>
        <v>591</v>
      </c>
      <c r="F179" s="233">
        <f t="shared" si="824"/>
        <v>773</v>
      </c>
      <c r="G179" s="233">
        <f t="shared" si="824"/>
        <v>951</v>
      </c>
      <c r="H179" s="233">
        <f t="shared" si="824"/>
        <v>1133</v>
      </c>
      <c r="I179" s="233">
        <f t="shared" si="824"/>
        <v>1311</v>
      </c>
      <c r="J179" s="233">
        <f t="shared" si="824"/>
        <v>1493</v>
      </c>
      <c r="K179" s="233">
        <f t="shared" si="824"/>
        <v>1671</v>
      </c>
      <c r="L179" s="233">
        <f t="shared" si="824"/>
        <v>1852</v>
      </c>
      <c r="M179" s="233">
        <f t="shared" si="824"/>
        <v>2030</v>
      </c>
      <c r="N179" s="233">
        <f t="shared" si="824"/>
        <v>2212</v>
      </c>
      <c r="O179" s="233">
        <f t="shared" si="824"/>
        <v>2390</v>
      </c>
      <c r="P179" s="233">
        <f t="shared" si="824"/>
        <v>2572</v>
      </c>
      <c r="Q179" s="233">
        <f t="shared" si="824"/>
        <v>2750</v>
      </c>
      <c r="R179" s="233">
        <f t="shared" si="824"/>
        <v>2932</v>
      </c>
      <c r="S179" s="233">
        <f t="shared" si="824"/>
        <v>3110</v>
      </c>
      <c r="T179" s="233">
        <f t="shared" si="824"/>
        <v>3291</v>
      </c>
      <c r="U179" s="233">
        <f t="shared" si="824"/>
        <v>3469</v>
      </c>
      <c r="V179" s="233">
        <f t="shared" si="824"/>
        <v>3651</v>
      </c>
      <c r="W179" s="233">
        <f t="shared" si="824"/>
        <v>3829</v>
      </c>
      <c r="X179" s="233">
        <f t="shared" si="824"/>
        <v>4011</v>
      </c>
      <c r="Y179" s="233">
        <f t="shared" si="824"/>
        <v>4189</v>
      </c>
      <c r="Z179" s="233">
        <f t="shared" si="824"/>
        <v>4371</v>
      </c>
      <c r="AA179" s="233">
        <f t="shared" si="824"/>
        <v>4549</v>
      </c>
      <c r="AB179" s="233">
        <f t="shared" si="824"/>
        <v>4730</v>
      </c>
      <c r="AC179" s="233">
        <f t="shared" si="824"/>
        <v>4908</v>
      </c>
      <c r="AD179" s="233">
        <f t="shared" si="824"/>
        <v>5090</v>
      </c>
      <c r="AE179" s="233">
        <f t="shared" si="824"/>
        <v>5268</v>
      </c>
      <c r="AF179" s="233">
        <f t="shared" si="824"/>
        <v>5450</v>
      </c>
      <c r="AG179" s="233">
        <f t="shared" si="824"/>
        <v>5628</v>
      </c>
      <c r="AH179" s="233">
        <f t="shared" ref="AH179:BM179" si="825">DAYS360($B$3,AH66)</f>
        <v>5810</v>
      </c>
      <c r="AI179" s="233">
        <f t="shared" si="825"/>
        <v>5988</v>
      </c>
      <c r="AJ179" s="233">
        <f t="shared" si="825"/>
        <v>6169</v>
      </c>
      <c r="AK179" s="233">
        <f t="shared" si="825"/>
        <v>6347</v>
      </c>
      <c r="AL179" s="233">
        <f t="shared" si="825"/>
        <v>6529</v>
      </c>
      <c r="AM179" s="233">
        <f t="shared" si="825"/>
        <v>6707</v>
      </c>
      <c r="AN179" s="233">
        <f t="shared" si="825"/>
        <v>6889</v>
      </c>
      <c r="AO179" s="233">
        <f t="shared" si="825"/>
        <v>7067</v>
      </c>
      <c r="AP179" s="233">
        <f t="shared" si="825"/>
        <v>7249</v>
      </c>
      <c r="AQ179" s="233">
        <f t="shared" si="825"/>
        <v>7427</v>
      </c>
      <c r="AR179" s="233">
        <f t="shared" si="825"/>
        <v>7608</v>
      </c>
      <c r="AS179" s="233">
        <f t="shared" si="825"/>
        <v>7786</v>
      </c>
      <c r="AT179" s="233">
        <f t="shared" si="825"/>
        <v>7968</v>
      </c>
      <c r="AU179" s="233">
        <f t="shared" si="825"/>
        <v>8146</v>
      </c>
      <c r="AV179" s="233">
        <f t="shared" si="825"/>
        <v>8328</v>
      </c>
      <c r="AW179" s="233">
        <f t="shared" si="825"/>
        <v>8506</v>
      </c>
      <c r="AX179" s="233">
        <f t="shared" si="825"/>
        <v>8688</v>
      </c>
      <c r="AY179" s="233">
        <f t="shared" si="825"/>
        <v>8866</v>
      </c>
      <c r="AZ179" s="233">
        <f t="shared" si="825"/>
        <v>9047</v>
      </c>
      <c r="BA179" s="233">
        <f t="shared" si="825"/>
        <v>9225</v>
      </c>
      <c r="BB179" s="233">
        <f t="shared" si="825"/>
        <v>9407</v>
      </c>
      <c r="BC179" s="233">
        <f t="shared" si="825"/>
        <v>9585</v>
      </c>
      <c r="BD179" s="233">
        <f t="shared" si="825"/>
        <v>9767</v>
      </c>
      <c r="BE179" s="233">
        <f t="shared" si="825"/>
        <v>9945</v>
      </c>
      <c r="BF179" s="233">
        <f t="shared" si="825"/>
        <v>10127</v>
      </c>
      <c r="BG179" s="233">
        <f t="shared" si="825"/>
        <v>10305</v>
      </c>
      <c r="BH179" s="233">
        <f t="shared" si="825"/>
        <v>10486</v>
      </c>
      <c r="BI179" s="233">
        <f t="shared" si="825"/>
        <v>10664</v>
      </c>
      <c r="BJ179" s="233">
        <f t="shared" si="825"/>
        <v>10846</v>
      </c>
      <c r="BK179" s="233">
        <f t="shared" si="825"/>
        <v>11024</v>
      </c>
      <c r="BL179" s="233">
        <f t="shared" si="825"/>
        <v>11206</v>
      </c>
      <c r="BM179" s="233">
        <f t="shared" si="825"/>
        <v>11384</v>
      </c>
      <c r="BN179" s="233">
        <f t="shared" ref="BN179:CB179" si="826">DAYS360($B$3,BN66)</f>
        <v>11566</v>
      </c>
      <c r="BO179" s="233">
        <f t="shared" si="826"/>
        <v>11744</v>
      </c>
      <c r="BP179" s="233">
        <f t="shared" si="826"/>
        <v>11925</v>
      </c>
      <c r="BQ179" s="233">
        <f t="shared" si="826"/>
        <v>12103</v>
      </c>
      <c r="BR179" s="233">
        <f t="shared" si="826"/>
        <v>12285</v>
      </c>
      <c r="BS179" s="233">
        <f t="shared" si="826"/>
        <v>12463</v>
      </c>
      <c r="BT179" s="233">
        <f t="shared" si="826"/>
        <v>12645</v>
      </c>
      <c r="BU179" s="233">
        <f t="shared" si="826"/>
        <v>12823</v>
      </c>
      <c r="BV179" s="233">
        <f t="shared" si="826"/>
        <v>13005</v>
      </c>
      <c r="BW179" s="233">
        <f t="shared" si="826"/>
        <v>13183</v>
      </c>
      <c r="BX179" s="233">
        <f t="shared" si="826"/>
        <v>13364</v>
      </c>
      <c r="BY179" s="233">
        <f t="shared" si="826"/>
        <v>13542</v>
      </c>
      <c r="BZ179" s="233">
        <f t="shared" si="826"/>
        <v>13724</v>
      </c>
      <c r="CA179" s="233">
        <f t="shared" si="826"/>
        <v>13902</v>
      </c>
      <c r="CB179" s="233">
        <f t="shared" si="826"/>
        <v>14084</v>
      </c>
      <c r="CC179" s="19"/>
      <c r="CD179" s="19"/>
      <c r="CE179" s="19"/>
    </row>
    <row r="180" spans="1:83">
      <c r="A180" s="16" t="s">
        <v>41</v>
      </c>
      <c r="B180" s="233">
        <f>B179/360</f>
        <v>0.15</v>
      </c>
      <c r="C180" s="233">
        <f t="shared" ref="C180:BN180" si="827">C179/360</f>
        <v>0.64444444444444449</v>
      </c>
      <c r="D180" s="233">
        <f t="shared" si="827"/>
        <v>1.1472222222222221</v>
      </c>
      <c r="E180" s="233">
        <f t="shared" si="827"/>
        <v>1.6416666666666666</v>
      </c>
      <c r="F180" s="233">
        <f t="shared" si="827"/>
        <v>2.1472222222222221</v>
      </c>
      <c r="G180" s="233">
        <f t="shared" si="827"/>
        <v>2.6416666666666666</v>
      </c>
      <c r="H180" s="233">
        <f t="shared" si="827"/>
        <v>3.1472222222222221</v>
      </c>
      <c r="I180" s="233">
        <f t="shared" si="827"/>
        <v>3.6416666666666666</v>
      </c>
      <c r="J180" s="233">
        <f t="shared" si="827"/>
        <v>4.1472222222222221</v>
      </c>
      <c r="K180" s="233">
        <f t="shared" si="827"/>
        <v>4.6416666666666666</v>
      </c>
      <c r="L180" s="233">
        <f t="shared" si="827"/>
        <v>5.1444444444444448</v>
      </c>
      <c r="M180" s="233">
        <f t="shared" si="827"/>
        <v>5.6388888888888893</v>
      </c>
      <c r="N180" s="233">
        <f t="shared" si="827"/>
        <v>6.1444444444444448</v>
      </c>
      <c r="O180" s="233">
        <f t="shared" si="827"/>
        <v>6.6388888888888893</v>
      </c>
      <c r="P180" s="233">
        <f t="shared" si="827"/>
        <v>7.1444444444444448</v>
      </c>
      <c r="Q180" s="233">
        <f t="shared" si="827"/>
        <v>7.6388888888888893</v>
      </c>
      <c r="R180" s="233">
        <f t="shared" si="827"/>
        <v>8.1444444444444439</v>
      </c>
      <c r="S180" s="233">
        <f t="shared" si="827"/>
        <v>8.6388888888888893</v>
      </c>
      <c r="T180" s="233">
        <f t="shared" si="827"/>
        <v>9.1416666666666675</v>
      </c>
      <c r="U180" s="233">
        <f t="shared" si="827"/>
        <v>9.6361111111111111</v>
      </c>
      <c r="V180" s="233">
        <f t="shared" si="827"/>
        <v>10.141666666666667</v>
      </c>
      <c r="W180" s="233">
        <f t="shared" si="827"/>
        <v>10.636111111111111</v>
      </c>
      <c r="X180" s="233">
        <f t="shared" si="827"/>
        <v>11.141666666666667</v>
      </c>
      <c r="Y180" s="233">
        <f t="shared" si="827"/>
        <v>11.636111111111111</v>
      </c>
      <c r="Z180" s="233">
        <f t="shared" si="827"/>
        <v>12.141666666666667</v>
      </c>
      <c r="AA180" s="233">
        <f t="shared" si="827"/>
        <v>12.636111111111111</v>
      </c>
      <c r="AB180" s="233">
        <f t="shared" si="827"/>
        <v>13.138888888888889</v>
      </c>
      <c r="AC180" s="233">
        <f t="shared" si="827"/>
        <v>13.633333333333333</v>
      </c>
      <c r="AD180" s="233">
        <f t="shared" si="827"/>
        <v>14.138888888888889</v>
      </c>
      <c r="AE180" s="233">
        <f t="shared" si="827"/>
        <v>14.633333333333333</v>
      </c>
      <c r="AF180" s="233">
        <f t="shared" si="827"/>
        <v>15.138888888888889</v>
      </c>
      <c r="AG180" s="233">
        <f t="shared" si="827"/>
        <v>15.633333333333333</v>
      </c>
      <c r="AH180" s="233">
        <f t="shared" si="827"/>
        <v>16.138888888888889</v>
      </c>
      <c r="AI180" s="233">
        <f t="shared" si="827"/>
        <v>16.633333333333333</v>
      </c>
      <c r="AJ180" s="233">
        <f t="shared" si="827"/>
        <v>17.136111111111113</v>
      </c>
      <c r="AK180" s="233">
        <f t="shared" si="827"/>
        <v>17.630555555555556</v>
      </c>
      <c r="AL180" s="233">
        <f t="shared" si="827"/>
        <v>18.136111111111113</v>
      </c>
      <c r="AM180" s="233">
        <f t="shared" si="827"/>
        <v>18.630555555555556</v>
      </c>
      <c r="AN180" s="233">
        <f t="shared" si="827"/>
        <v>19.136111111111113</v>
      </c>
      <c r="AO180" s="233">
        <f t="shared" si="827"/>
        <v>19.630555555555556</v>
      </c>
      <c r="AP180" s="233">
        <f t="shared" si="827"/>
        <v>20.136111111111113</v>
      </c>
      <c r="AQ180" s="233">
        <f t="shared" si="827"/>
        <v>20.630555555555556</v>
      </c>
      <c r="AR180" s="233">
        <f t="shared" si="827"/>
        <v>21.133333333333333</v>
      </c>
      <c r="AS180" s="233">
        <f t="shared" si="827"/>
        <v>21.627777777777776</v>
      </c>
      <c r="AT180" s="233">
        <f t="shared" si="827"/>
        <v>22.133333333333333</v>
      </c>
      <c r="AU180" s="233">
        <f t="shared" si="827"/>
        <v>22.627777777777776</v>
      </c>
      <c r="AV180" s="233">
        <f t="shared" si="827"/>
        <v>23.133333333333333</v>
      </c>
      <c r="AW180" s="233">
        <f t="shared" si="827"/>
        <v>23.627777777777776</v>
      </c>
      <c r="AX180" s="233">
        <f t="shared" si="827"/>
        <v>24.133333333333333</v>
      </c>
      <c r="AY180" s="233">
        <f t="shared" si="827"/>
        <v>24.627777777777776</v>
      </c>
      <c r="AZ180" s="233">
        <f t="shared" si="827"/>
        <v>25.130555555555556</v>
      </c>
      <c r="BA180" s="233">
        <f t="shared" si="827"/>
        <v>25.625</v>
      </c>
      <c r="BB180" s="233">
        <f t="shared" si="827"/>
        <v>26.130555555555556</v>
      </c>
      <c r="BC180" s="233">
        <f t="shared" si="827"/>
        <v>26.625</v>
      </c>
      <c r="BD180" s="233">
        <f t="shared" si="827"/>
        <v>27.130555555555556</v>
      </c>
      <c r="BE180" s="233">
        <f t="shared" si="827"/>
        <v>27.625</v>
      </c>
      <c r="BF180" s="233">
        <f t="shared" si="827"/>
        <v>28.130555555555556</v>
      </c>
      <c r="BG180" s="233">
        <f t="shared" si="827"/>
        <v>28.625</v>
      </c>
      <c r="BH180" s="233">
        <f t="shared" si="827"/>
        <v>29.127777777777776</v>
      </c>
      <c r="BI180" s="233">
        <f t="shared" si="827"/>
        <v>29.622222222222224</v>
      </c>
      <c r="BJ180" s="233">
        <f t="shared" si="827"/>
        <v>30.127777777777776</v>
      </c>
      <c r="BK180" s="233">
        <f t="shared" si="827"/>
        <v>30.622222222222224</v>
      </c>
      <c r="BL180" s="233">
        <f t="shared" si="827"/>
        <v>31.127777777777776</v>
      </c>
      <c r="BM180" s="233">
        <f t="shared" si="827"/>
        <v>31.622222222222224</v>
      </c>
      <c r="BN180" s="233">
        <f t="shared" si="827"/>
        <v>32.12777777777778</v>
      </c>
      <c r="BO180" s="233">
        <f t="shared" ref="BO180:CB180" si="828">BO179/360</f>
        <v>32.62222222222222</v>
      </c>
      <c r="BP180" s="233">
        <f t="shared" si="828"/>
        <v>33.125</v>
      </c>
      <c r="BQ180" s="233">
        <f t="shared" si="828"/>
        <v>33.619444444444447</v>
      </c>
      <c r="BR180" s="233">
        <f t="shared" si="828"/>
        <v>34.125</v>
      </c>
      <c r="BS180" s="233">
        <f t="shared" si="828"/>
        <v>34.619444444444447</v>
      </c>
      <c r="BT180" s="233">
        <f t="shared" si="828"/>
        <v>35.125</v>
      </c>
      <c r="BU180" s="233">
        <f t="shared" si="828"/>
        <v>35.619444444444447</v>
      </c>
      <c r="BV180" s="233">
        <f t="shared" si="828"/>
        <v>36.125</v>
      </c>
      <c r="BW180" s="233">
        <f t="shared" si="828"/>
        <v>36.619444444444447</v>
      </c>
      <c r="BX180" s="233">
        <f t="shared" si="828"/>
        <v>37.12222222222222</v>
      </c>
      <c r="BY180" s="233">
        <f t="shared" si="828"/>
        <v>37.616666666666667</v>
      </c>
      <c r="BZ180" s="233">
        <f t="shared" si="828"/>
        <v>38.12222222222222</v>
      </c>
      <c r="CA180" s="233">
        <f t="shared" si="828"/>
        <v>38.616666666666667</v>
      </c>
      <c r="CB180" s="233">
        <f t="shared" si="828"/>
        <v>39.12222222222222</v>
      </c>
      <c r="CC180" s="19"/>
      <c r="CD180" s="19"/>
      <c r="CE180" s="19"/>
    </row>
    <row r="181" spans="1:83">
      <c r="A181" s="16" t="s">
        <v>43</v>
      </c>
      <c r="B181" s="233">
        <f>IF(B179&lt;0,0,$B$5+$B$6*((1-EXP(-B180/$B$9))/(B180/$B$9))+$B$7*((1-EXP(-B180/$B$9))/(B180/$B$9)-EXP(-B180/$B$9))+$B$8*((1-EXP(-B180/$B$10))/(B180/$B$10)-EXP(-B180/$B$10)))</f>
        <v>1.9378649645750395E-2</v>
      </c>
      <c r="C181" s="233">
        <f t="shared" ref="C181:BN181" si="829">IF(C179&lt;0,0,$B$5+$B$6*((1-EXP(-C180/$B$9))/(C180/$B$9))+$B$7*((1-EXP(-C180/$B$9))/(C180/$B$9)-EXP(-C180/$B$9))+$B$8*((1-EXP(-C180/$B$10))/(C180/$B$10)-EXP(-C180/$B$10)))</f>
        <v>1.8438260930347221E-2</v>
      </c>
      <c r="D181" s="233">
        <f t="shared" si="829"/>
        <v>1.7598954046069398E-2</v>
      </c>
      <c r="E181" s="233">
        <f t="shared" si="829"/>
        <v>1.6880454687946404E-2</v>
      </c>
      <c r="F181" s="233">
        <f t="shared" si="829"/>
        <v>1.6247551170386895E-2</v>
      </c>
      <c r="G181" s="233">
        <f t="shared" si="829"/>
        <v>1.5720879301451308E-2</v>
      </c>
      <c r="H181" s="233">
        <f t="shared" si="829"/>
        <v>1.5269817791069555E-2</v>
      </c>
      <c r="I181" s="233">
        <f t="shared" si="829"/>
        <v>1.4907857883362192E-2</v>
      </c>
      <c r="J181" s="233">
        <f t="shared" si="829"/>
        <v>1.4612606177918666E-2</v>
      </c>
      <c r="K181" s="233">
        <f t="shared" si="829"/>
        <v>1.4391461198740185E-2</v>
      </c>
      <c r="L181" s="233">
        <f t="shared" si="829"/>
        <v>1.4229818703975383E-2</v>
      </c>
      <c r="M181" s="233">
        <f t="shared" si="829"/>
        <v>1.4128152525635783E-2</v>
      </c>
      <c r="N181" s="233">
        <f t="shared" si="829"/>
        <v>1.4078220752390153E-2</v>
      </c>
      <c r="O181" s="233">
        <f t="shared" si="829"/>
        <v>1.4077909321554644E-2</v>
      </c>
      <c r="P181" s="233">
        <f t="shared" si="829"/>
        <v>1.4123048260551316E-2</v>
      </c>
      <c r="Q181" s="233">
        <f t="shared" si="829"/>
        <v>1.4207877359052823E-2</v>
      </c>
      <c r="R181" s="233">
        <f t="shared" si="829"/>
        <v>1.4332570513265114E-2</v>
      </c>
      <c r="S181" s="233">
        <f t="shared" si="829"/>
        <v>1.4488343937318612E-2</v>
      </c>
      <c r="T181" s="233">
        <f t="shared" si="829"/>
        <v>1.4677890531264184E-2</v>
      </c>
      <c r="U181" s="233">
        <f t="shared" si="829"/>
        <v>1.489205713769931E-2</v>
      </c>
      <c r="V181" s="233">
        <f t="shared" si="829"/>
        <v>1.5136733692545534E-2</v>
      </c>
      <c r="W181" s="233">
        <f t="shared" si="829"/>
        <v>1.5398654099422537E-2</v>
      </c>
      <c r="X181" s="233">
        <f t="shared" si="829"/>
        <v>1.5687178659487266E-2</v>
      </c>
      <c r="Y181" s="233">
        <f t="shared" si="829"/>
        <v>1.5987444041453372E-2</v>
      </c>
      <c r="Z181" s="233">
        <f t="shared" si="829"/>
        <v>1.6310853882306908E-2</v>
      </c>
      <c r="AA181" s="233">
        <f t="shared" si="829"/>
        <v>1.6641303603584262E-2</v>
      </c>
      <c r="AB181" s="233">
        <f t="shared" si="829"/>
        <v>1.6989878603173497E-2</v>
      </c>
      <c r="AC181" s="233">
        <f t="shared" si="829"/>
        <v>1.7343400637962136E-2</v>
      </c>
      <c r="AD181" s="233">
        <f t="shared" si="829"/>
        <v>1.7714307026805154E-2</v>
      </c>
      <c r="AE181" s="233">
        <f t="shared" si="829"/>
        <v>1.8084891132823855E-2</v>
      </c>
      <c r="AF181" s="233">
        <f t="shared" si="829"/>
        <v>1.8470470025868074E-2</v>
      </c>
      <c r="AG181" s="233">
        <f t="shared" si="829"/>
        <v>1.8852893256204373E-2</v>
      </c>
      <c r="AH181" s="233">
        <f t="shared" si="829"/>
        <v>1.9248204435470623E-2</v>
      </c>
      <c r="AI181" s="233">
        <f t="shared" si="829"/>
        <v>1.9638002421243722E-2</v>
      </c>
      <c r="AJ181" s="233">
        <f t="shared" si="829"/>
        <v>2.0036626384404302E-2</v>
      </c>
      <c r="AK181" s="233">
        <f t="shared" si="829"/>
        <v>2.0429996973331616E-2</v>
      </c>
      <c r="AL181" s="233">
        <f t="shared" si="829"/>
        <v>2.083277393574802E-2</v>
      </c>
      <c r="AM181" s="233">
        <f t="shared" si="829"/>
        <v>2.1226519976898145E-2</v>
      </c>
      <c r="AN181" s="233">
        <f t="shared" si="829"/>
        <v>2.1628240439647395E-2</v>
      </c>
      <c r="AO181" s="233">
        <f t="shared" si="829"/>
        <v>2.2019664255663068E-2</v>
      </c>
      <c r="AP181" s="233">
        <f t="shared" si="829"/>
        <v>2.2417807812909613E-2</v>
      </c>
      <c r="AQ181" s="233">
        <f t="shared" si="829"/>
        <v>2.280466201901829E-2</v>
      </c>
      <c r="AR181" s="233">
        <f t="shared" si="829"/>
        <v>2.3194991530545689E-2</v>
      </c>
      <c r="AS181" s="233">
        <f t="shared" si="829"/>
        <v>2.3575442189295567E-2</v>
      </c>
      <c r="AT181" s="233">
        <f t="shared" si="829"/>
        <v>2.3960560221351845E-2</v>
      </c>
      <c r="AU181" s="233">
        <f t="shared" si="829"/>
        <v>2.4333079853893103E-2</v>
      </c>
      <c r="AV181" s="233">
        <f t="shared" si="829"/>
        <v>2.4709432748583102E-2</v>
      </c>
      <c r="AW181" s="233">
        <f t="shared" si="829"/>
        <v>2.5072807530733029E-2</v>
      </c>
      <c r="AX181" s="233">
        <f t="shared" si="829"/>
        <v>2.543929112899769E-2</v>
      </c>
      <c r="AY181" s="233">
        <f t="shared" si="829"/>
        <v>2.5792565824220501E-2</v>
      </c>
      <c r="AZ181" s="233">
        <f t="shared" si="829"/>
        <v>2.6146382574188567E-2</v>
      </c>
      <c r="BA181" s="233">
        <f t="shared" si="829"/>
        <v>2.6488856399431882E-2</v>
      </c>
      <c r="BB181" s="233">
        <f t="shared" si="829"/>
        <v>2.6833271263795824E-2</v>
      </c>
      <c r="BC181" s="233">
        <f t="shared" si="829"/>
        <v>2.7164375432564183E-2</v>
      </c>
      <c r="BD181" s="233">
        <f t="shared" si="829"/>
        <v>2.7496954345689148E-2</v>
      </c>
      <c r="BE181" s="233">
        <f t="shared" si="829"/>
        <v>2.7816314569245493E-2</v>
      </c>
      <c r="BF181" s="233">
        <f t="shared" si="829"/>
        <v>2.8136749922023391E-2</v>
      </c>
      <c r="BG181" s="233">
        <f t="shared" si="829"/>
        <v>2.8444133173027547E-2</v>
      </c>
      <c r="BH181" s="233">
        <f t="shared" si="829"/>
        <v>2.8750574753356087E-2</v>
      </c>
      <c r="BI181" s="233">
        <f t="shared" si="829"/>
        <v>2.9045901732637824E-2</v>
      </c>
      <c r="BJ181" s="233">
        <f t="shared" si="829"/>
        <v>2.9341674273308457E-2</v>
      </c>
      <c r="BK181" s="233">
        <f t="shared" si="829"/>
        <v>2.9624899792711698E-2</v>
      </c>
      <c r="BL181" s="233">
        <f t="shared" si="829"/>
        <v>2.9908326615609424E-2</v>
      </c>
      <c r="BM181" s="233">
        <f t="shared" si="829"/>
        <v>3.0179524188104392E-2</v>
      </c>
      <c r="BN181" s="233">
        <f t="shared" si="829"/>
        <v>3.0450718427281698E-2</v>
      </c>
      <c r="BO181" s="233">
        <f t="shared" ref="BO181:CB181" si="830">IF(BO179&lt;0,0,$B$5+$B$6*((1-EXP(-BO180/$B$9))/(BO180/$B$9))+$B$7*((1-EXP(-BO180/$B$9))/(BO180/$B$9)-EXP(-BO180/$B$9))+$B$8*((1-EXP(-BO180/$B$10))/(BO180/$B$10)-EXP(-BO180/$B$10)))</f>
        <v>3.0710032514736821E-2</v>
      </c>
      <c r="BP181" s="233">
        <f t="shared" si="830"/>
        <v>3.0967765879181861E-2</v>
      </c>
      <c r="BQ181" s="233">
        <f t="shared" si="830"/>
        <v>3.1215431543944933E-2</v>
      </c>
      <c r="BR181" s="233">
        <f t="shared" si="830"/>
        <v>3.1462784395872884E-2</v>
      </c>
      <c r="BS181" s="233">
        <f t="shared" si="830"/>
        <v>3.1699019328656555E-2</v>
      </c>
      <c r="BT181" s="233">
        <f t="shared" si="830"/>
        <v>3.1934827828910467E-2</v>
      </c>
      <c r="BU181" s="233">
        <f t="shared" si="830"/>
        <v>3.2159920674413853E-2</v>
      </c>
      <c r="BV181" s="233">
        <f t="shared" si="830"/>
        <v>3.238449626653031E-2</v>
      </c>
      <c r="BW181" s="233">
        <f t="shared" si="830"/>
        <v>3.2598765683016298E-2</v>
      </c>
      <c r="BX181" s="233">
        <f t="shared" si="830"/>
        <v>3.2811287439952347E-2</v>
      </c>
      <c r="BY181" s="233">
        <f t="shared" si="830"/>
        <v>3.3015103650740715E-2</v>
      </c>
      <c r="BZ181" s="233">
        <f t="shared" si="830"/>
        <v>3.3218277549066672E-2</v>
      </c>
      <c r="CA181" s="233">
        <f t="shared" si="830"/>
        <v>3.3411969357581048E-2</v>
      </c>
      <c r="CB181" s="233">
        <f t="shared" si="830"/>
        <v>3.3604979336042534E-2</v>
      </c>
      <c r="CC181" s="19"/>
      <c r="CD181" s="19"/>
      <c r="CE181" s="19"/>
    </row>
    <row r="182" spans="1:83">
      <c r="A182" s="16" t="s">
        <v>44</v>
      </c>
      <c r="B182" s="233">
        <f>EXP(-B181*B180)</f>
        <v>0.99709742319832539</v>
      </c>
      <c r="C182" s="233">
        <f t="shared" ref="C182:AR182" si="831">EXP(-C181*C180)</f>
        <v>0.98818788251756728</v>
      </c>
      <c r="D182" s="233">
        <f t="shared" si="831"/>
        <v>0.98001254030527452</v>
      </c>
      <c r="E182" s="233">
        <f t="shared" si="831"/>
        <v>0.97266837738276579</v>
      </c>
      <c r="F182" s="233">
        <f t="shared" si="831"/>
        <v>0.96571443643399546</v>
      </c>
      <c r="G182" s="233">
        <f t="shared" si="831"/>
        <v>0.95932120492474893</v>
      </c>
      <c r="H182" s="233">
        <f t="shared" si="831"/>
        <v>0.95307897404267106</v>
      </c>
      <c r="I182" s="233">
        <f t="shared" si="831"/>
        <v>0.94715791279182238</v>
      </c>
      <c r="J182" s="233">
        <f t="shared" si="831"/>
        <v>0.9411980207180437</v>
      </c>
      <c r="K182" s="233">
        <f t="shared" si="831"/>
        <v>0.93538191698413775</v>
      </c>
      <c r="L182" s="233">
        <f t="shared" si="831"/>
        <v>0.92941073514701722</v>
      </c>
      <c r="M182" s="233">
        <f t="shared" si="831"/>
        <v>0.92342371932207401</v>
      </c>
      <c r="N182" s="233">
        <f t="shared" si="831"/>
        <v>0.91713293927210027</v>
      </c>
      <c r="O182" s="233">
        <f t="shared" si="831"/>
        <v>0.9107729214249507</v>
      </c>
      <c r="P182" s="233">
        <f t="shared" si="831"/>
        <v>0.90402222502844354</v>
      </c>
      <c r="Q182" s="233">
        <f t="shared" si="831"/>
        <v>0.89714982983820069</v>
      </c>
      <c r="R182" s="233">
        <f t="shared" si="831"/>
        <v>0.88982468011875704</v>
      </c>
      <c r="S182" s="233">
        <f t="shared" si="831"/>
        <v>0.88235289661368077</v>
      </c>
      <c r="T182" s="233">
        <f t="shared" si="831"/>
        <v>0.87443231799553922</v>
      </c>
      <c r="U182" s="233">
        <f t="shared" si="831"/>
        <v>0.86631948576137396</v>
      </c>
      <c r="V182" s="233">
        <f t="shared" si="831"/>
        <v>0.85769072269855162</v>
      </c>
      <c r="W182" s="233">
        <f t="shared" si="831"/>
        <v>0.84892724102277894</v>
      </c>
      <c r="X182" s="233">
        <f t="shared" si="831"/>
        <v>0.83964061702804982</v>
      </c>
      <c r="Y182" s="233">
        <f t="shared" si="831"/>
        <v>0.83024729627556593</v>
      </c>
      <c r="Z182" s="233">
        <f t="shared" si="831"/>
        <v>0.82033625895198259</v>
      </c>
      <c r="AA182" s="233">
        <f t="shared" si="831"/>
        <v>0.81035621095898125</v>
      </c>
      <c r="AB182" s="233">
        <f t="shared" si="831"/>
        <v>0.79993234215027365</v>
      </c>
      <c r="AC182" s="233">
        <f t="shared" si="831"/>
        <v>0.78942664563823883</v>
      </c>
      <c r="AD182" s="233">
        <f t="shared" si="831"/>
        <v>0.77844213539891671</v>
      </c>
      <c r="AE182" s="233">
        <f t="shared" si="831"/>
        <v>0.76748047449356915</v>
      </c>
      <c r="AF182" s="233">
        <f t="shared" si="831"/>
        <v>0.75606918423816272</v>
      </c>
      <c r="AG182" s="233">
        <f t="shared" si="831"/>
        <v>0.74472998348676978</v>
      </c>
      <c r="AH182" s="233">
        <f t="shared" si="831"/>
        <v>0.73297430469617619</v>
      </c>
      <c r="AI182" s="233">
        <f t="shared" si="831"/>
        <v>0.72133945561143675</v>
      </c>
      <c r="AJ182" s="233">
        <f t="shared" si="831"/>
        <v>0.70938998378796136</v>
      </c>
      <c r="AK182" s="233">
        <f t="shared" si="831"/>
        <v>0.69754224791173836</v>
      </c>
      <c r="AL182" s="233">
        <f t="shared" si="831"/>
        <v>0.68535008186736601</v>
      </c>
      <c r="AM182" s="233">
        <f t="shared" si="831"/>
        <v>0.67336896544279301</v>
      </c>
      <c r="AN182" s="233">
        <f t="shared" si="831"/>
        <v>0.66108000364823105</v>
      </c>
      <c r="AO182" s="233">
        <f t="shared" si="831"/>
        <v>0.64904174488787636</v>
      </c>
      <c r="AP182" s="233">
        <f t="shared" si="831"/>
        <v>0.63673134103689899</v>
      </c>
      <c r="AQ182" s="233">
        <f t="shared" si="831"/>
        <v>0.62470680787625588</v>
      </c>
      <c r="AR182" s="233">
        <f t="shared" si="831"/>
        <v>0.61251154505049388</v>
      </c>
      <c r="AS182" s="233">
        <f>EXP(-AS181*AS180)</f>
        <v>0.60056498528994606</v>
      </c>
      <c r="AT182" s="233">
        <f t="shared" ref="AT182:CA182" si="832">EXP(-AT181*AT180)</f>
        <v>0.58841248834722792</v>
      </c>
      <c r="AU182" s="233">
        <f t="shared" si="832"/>
        <v>0.57660171261699233</v>
      </c>
      <c r="AV182" s="233">
        <f t="shared" si="832"/>
        <v>0.56461480339188741</v>
      </c>
      <c r="AW182" s="233">
        <f t="shared" si="832"/>
        <v>0.55299035181499978</v>
      </c>
      <c r="AX182" s="233">
        <f t="shared" si="832"/>
        <v>0.5412170427135381</v>
      </c>
      <c r="AY182" s="233">
        <f t="shared" si="832"/>
        <v>0.52982231707995986</v>
      </c>
      <c r="AZ182" s="233">
        <f t="shared" si="832"/>
        <v>0.51836631239712372</v>
      </c>
      <c r="BA182" s="233">
        <f t="shared" si="832"/>
        <v>0.50723699176122961</v>
      </c>
      <c r="BB182" s="233">
        <f t="shared" si="832"/>
        <v>0.49600548914397841</v>
      </c>
      <c r="BC182" s="233">
        <f t="shared" si="832"/>
        <v>0.48517215324013685</v>
      </c>
      <c r="BD182" s="233">
        <f t="shared" si="832"/>
        <v>0.47425617604749387</v>
      </c>
      <c r="BE182" s="233">
        <f t="shared" si="832"/>
        <v>0.46374256850525308</v>
      </c>
      <c r="BF182" s="233">
        <f t="shared" si="832"/>
        <v>0.45316344771901451</v>
      </c>
      <c r="BG182" s="233">
        <f t="shared" si="832"/>
        <v>0.44298768337979705</v>
      </c>
      <c r="BH182" s="233">
        <f t="shared" si="832"/>
        <v>0.43281696568166922</v>
      </c>
      <c r="BI182" s="233">
        <f t="shared" si="832"/>
        <v>0.42299109347633734</v>
      </c>
      <c r="BJ182" s="233">
        <f t="shared" si="832"/>
        <v>0.413127324347769</v>
      </c>
      <c r="BK182" s="233">
        <f t="shared" si="832"/>
        <v>0.40366083749311421</v>
      </c>
      <c r="BL182" s="233">
        <f t="shared" si="832"/>
        <v>0.39416733781019864</v>
      </c>
      <c r="BM182" s="233">
        <f t="shared" si="832"/>
        <v>0.38506481029343548</v>
      </c>
      <c r="BN182" s="233">
        <f t="shared" si="832"/>
        <v>0.37594443912132941</v>
      </c>
      <c r="BO182" s="233">
        <f t="shared" si="832"/>
        <v>0.36720701912754122</v>
      </c>
      <c r="BP182" s="233">
        <f t="shared" si="832"/>
        <v>0.35850694571603436</v>
      </c>
      <c r="BQ182" s="233">
        <f t="shared" si="832"/>
        <v>0.35013185509475436</v>
      </c>
      <c r="BR182" s="233">
        <f t="shared" si="832"/>
        <v>0.34175283170743359</v>
      </c>
      <c r="BS182" s="233">
        <f t="shared" si="832"/>
        <v>0.33373686074671888</v>
      </c>
      <c r="BT182" s="233">
        <f t="shared" si="832"/>
        <v>0.32572206340779458</v>
      </c>
      <c r="BU182" s="233">
        <f t="shared" si="832"/>
        <v>0.31805895897680186</v>
      </c>
      <c r="BV182" s="233">
        <f t="shared" si="832"/>
        <v>0.31040110597103465</v>
      </c>
      <c r="BW182" s="233">
        <f t="shared" si="832"/>
        <v>0.30308296808675877</v>
      </c>
      <c r="BX182" s="233">
        <f t="shared" si="832"/>
        <v>0.29581296370791854</v>
      </c>
      <c r="BY182" s="233">
        <f t="shared" si="832"/>
        <v>0.28882966791695019</v>
      </c>
      <c r="BZ182" s="233">
        <f t="shared" si="832"/>
        <v>0.28185724529810063</v>
      </c>
      <c r="CA182" s="233">
        <f t="shared" si="832"/>
        <v>0.27519952928851449</v>
      </c>
      <c r="CB182" s="233">
        <f>EXP(-CB181*CB180)</f>
        <v>0.26855448301583568</v>
      </c>
      <c r="CC182" s="19"/>
      <c r="CD182" s="19"/>
      <c r="CE182" s="19"/>
    </row>
    <row r="183" spans="1:83">
      <c r="A183" s="17"/>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19"/>
      <c r="CD183" s="19"/>
      <c r="CE183" s="19"/>
    </row>
    <row r="184" spans="1:83">
      <c r="A184" s="16" t="s">
        <v>40</v>
      </c>
      <c r="B184" s="233">
        <f t="shared" ref="B184:AG184" si="833">DAYS360($B$3,B68)</f>
        <v>168</v>
      </c>
      <c r="C184" s="233">
        <f t="shared" si="833"/>
        <v>347</v>
      </c>
      <c r="D184" s="233">
        <f t="shared" si="833"/>
        <v>527</v>
      </c>
      <c r="E184" s="233">
        <f t="shared" si="833"/>
        <v>707</v>
      </c>
      <c r="F184" s="233">
        <f t="shared" si="833"/>
        <v>887</v>
      </c>
      <c r="G184" s="233">
        <f t="shared" si="833"/>
        <v>1067</v>
      </c>
      <c r="H184" s="233">
        <f t="shared" si="833"/>
        <v>1247</v>
      </c>
      <c r="I184" s="233">
        <f t="shared" si="833"/>
        <v>1427</v>
      </c>
      <c r="J184" s="233">
        <f t="shared" si="833"/>
        <v>1607</v>
      </c>
      <c r="K184" s="233">
        <f t="shared" si="833"/>
        <v>1786</v>
      </c>
      <c r="L184" s="233">
        <f t="shared" si="833"/>
        <v>1966</v>
      </c>
      <c r="M184" s="233">
        <f t="shared" si="833"/>
        <v>2146</v>
      </c>
      <c r="N184" s="233">
        <f t="shared" si="833"/>
        <v>2326</v>
      </c>
      <c r="O184" s="233">
        <f t="shared" si="833"/>
        <v>2506</v>
      </c>
      <c r="P184" s="233">
        <f t="shared" si="833"/>
        <v>2686</v>
      </c>
      <c r="Q184" s="233">
        <f t="shared" si="833"/>
        <v>2866</v>
      </c>
      <c r="R184" s="233">
        <f t="shared" si="833"/>
        <v>3046</v>
      </c>
      <c r="S184" s="233">
        <f t="shared" si="833"/>
        <v>3225</v>
      </c>
      <c r="T184" s="233">
        <f t="shared" si="833"/>
        <v>3405</v>
      </c>
      <c r="U184" s="233">
        <f t="shared" si="833"/>
        <v>3585</v>
      </c>
      <c r="V184" s="233">
        <f t="shared" si="833"/>
        <v>3765</v>
      </c>
      <c r="W184" s="233">
        <f t="shared" si="833"/>
        <v>3945</v>
      </c>
      <c r="X184" s="233">
        <f t="shared" si="833"/>
        <v>4125</v>
      </c>
      <c r="Y184" s="233">
        <f t="shared" si="833"/>
        <v>4305</v>
      </c>
      <c r="Z184" s="233">
        <f t="shared" si="833"/>
        <v>4485</v>
      </c>
      <c r="AA184" s="233">
        <f t="shared" si="833"/>
        <v>4664</v>
      </c>
      <c r="AB184" s="233">
        <f t="shared" si="833"/>
        <v>4844</v>
      </c>
      <c r="AC184" s="233">
        <f t="shared" si="833"/>
        <v>5024</v>
      </c>
      <c r="AD184" s="233">
        <f t="shared" si="833"/>
        <v>5204</v>
      </c>
      <c r="AE184" s="233">
        <f t="shared" si="833"/>
        <v>5384</v>
      </c>
      <c r="AF184" s="233">
        <f t="shared" si="833"/>
        <v>5564</v>
      </c>
      <c r="AG184" s="233">
        <f t="shared" si="833"/>
        <v>5744</v>
      </c>
      <c r="AH184" s="233">
        <f t="shared" ref="AH184:BM184" si="834">DAYS360($B$3,AH68)</f>
        <v>5924</v>
      </c>
      <c r="AI184" s="233">
        <f t="shared" si="834"/>
        <v>6103</v>
      </c>
      <c r="AJ184" s="233">
        <f t="shared" si="834"/>
        <v>6283</v>
      </c>
      <c r="AK184" s="233">
        <f t="shared" si="834"/>
        <v>6463</v>
      </c>
      <c r="AL184" s="233">
        <f t="shared" si="834"/>
        <v>6643</v>
      </c>
      <c r="AM184" s="233">
        <f t="shared" si="834"/>
        <v>6823</v>
      </c>
      <c r="AN184" s="233">
        <f t="shared" si="834"/>
        <v>7003</v>
      </c>
      <c r="AO184" s="233">
        <f t="shared" si="834"/>
        <v>7183</v>
      </c>
      <c r="AP184" s="233">
        <f t="shared" si="834"/>
        <v>7363</v>
      </c>
      <c r="AQ184" s="233">
        <f t="shared" si="834"/>
        <v>7542</v>
      </c>
      <c r="AR184" s="233">
        <f t="shared" si="834"/>
        <v>7722</v>
      </c>
      <c r="AS184" s="233">
        <f t="shared" si="834"/>
        <v>7902</v>
      </c>
      <c r="AT184" s="233">
        <f t="shared" si="834"/>
        <v>8082</v>
      </c>
      <c r="AU184" s="233">
        <f t="shared" si="834"/>
        <v>8262</v>
      </c>
      <c r="AV184" s="233">
        <f t="shared" si="834"/>
        <v>8442</v>
      </c>
      <c r="AW184" s="233">
        <f t="shared" si="834"/>
        <v>8622</v>
      </c>
      <c r="AX184" s="233">
        <f t="shared" si="834"/>
        <v>8802</v>
      </c>
      <c r="AY184" s="233">
        <f t="shared" si="834"/>
        <v>8981</v>
      </c>
      <c r="AZ184" s="233">
        <f t="shared" si="834"/>
        <v>9161</v>
      </c>
      <c r="BA184" s="233">
        <f t="shared" si="834"/>
        <v>9341</v>
      </c>
      <c r="BB184" s="233">
        <f t="shared" si="834"/>
        <v>9521</v>
      </c>
      <c r="BC184" s="233">
        <f t="shared" si="834"/>
        <v>9701</v>
      </c>
      <c r="BD184" s="233">
        <f t="shared" si="834"/>
        <v>9881</v>
      </c>
      <c r="BE184" s="233">
        <f t="shared" si="834"/>
        <v>10061</v>
      </c>
      <c r="BF184" s="233">
        <f t="shared" si="834"/>
        <v>10241</v>
      </c>
      <c r="BG184" s="233">
        <f t="shared" si="834"/>
        <v>10420</v>
      </c>
      <c r="BH184" s="233">
        <f t="shared" si="834"/>
        <v>10600</v>
      </c>
      <c r="BI184" s="233">
        <f t="shared" si="834"/>
        <v>10780</v>
      </c>
      <c r="BJ184" s="233">
        <f t="shared" si="834"/>
        <v>10960</v>
      </c>
      <c r="BK184" s="233">
        <f t="shared" si="834"/>
        <v>11140</v>
      </c>
      <c r="BL184" s="233">
        <f t="shared" si="834"/>
        <v>11320</v>
      </c>
      <c r="BM184" s="233">
        <f t="shared" si="834"/>
        <v>11500</v>
      </c>
      <c r="BN184" s="233">
        <f t="shared" ref="BN184:CB184" si="835">DAYS360($B$3,BN68)</f>
        <v>11680</v>
      </c>
      <c r="BO184" s="233">
        <f t="shared" si="835"/>
        <v>11859</v>
      </c>
      <c r="BP184" s="233">
        <f t="shared" si="835"/>
        <v>12039</v>
      </c>
      <c r="BQ184" s="233">
        <f t="shared" si="835"/>
        <v>12219</v>
      </c>
      <c r="BR184" s="233">
        <f t="shared" si="835"/>
        <v>12399</v>
      </c>
      <c r="BS184" s="233">
        <f t="shared" si="835"/>
        <v>12579</v>
      </c>
      <c r="BT184" s="233">
        <f t="shared" si="835"/>
        <v>12759</v>
      </c>
      <c r="BU184" s="233">
        <f t="shared" si="835"/>
        <v>12939</v>
      </c>
      <c r="BV184" s="233">
        <f t="shared" si="835"/>
        <v>13119</v>
      </c>
      <c r="BW184" s="233">
        <f t="shared" si="835"/>
        <v>13298</v>
      </c>
      <c r="BX184" s="233">
        <f t="shared" si="835"/>
        <v>13478</v>
      </c>
      <c r="BY184" s="233">
        <f t="shared" si="835"/>
        <v>13658</v>
      </c>
      <c r="BZ184" s="233">
        <f t="shared" si="835"/>
        <v>13838</v>
      </c>
      <c r="CA184" s="233">
        <f t="shared" si="835"/>
        <v>14018</v>
      </c>
      <c r="CB184" s="233">
        <f t="shared" si="835"/>
        <v>14198</v>
      </c>
      <c r="CC184" s="19"/>
      <c r="CD184" s="19"/>
      <c r="CE184" s="19"/>
    </row>
    <row r="185" spans="1:83">
      <c r="A185" s="16" t="s">
        <v>41</v>
      </c>
      <c r="B185" s="233">
        <f>B184/360</f>
        <v>0.46666666666666667</v>
      </c>
      <c r="C185" s="233">
        <f t="shared" ref="C185:BN185" si="836">C184/360</f>
        <v>0.96388888888888891</v>
      </c>
      <c r="D185" s="233">
        <f t="shared" si="836"/>
        <v>1.4638888888888888</v>
      </c>
      <c r="E185" s="233">
        <f t="shared" si="836"/>
        <v>1.9638888888888888</v>
      </c>
      <c r="F185" s="233">
        <f t="shared" si="836"/>
        <v>2.463888888888889</v>
      </c>
      <c r="G185" s="233">
        <f t="shared" si="836"/>
        <v>2.963888888888889</v>
      </c>
      <c r="H185" s="233">
        <f t="shared" si="836"/>
        <v>3.463888888888889</v>
      </c>
      <c r="I185" s="233">
        <f t="shared" si="836"/>
        <v>3.963888888888889</v>
      </c>
      <c r="J185" s="233">
        <f t="shared" si="836"/>
        <v>4.4638888888888886</v>
      </c>
      <c r="K185" s="233">
        <f t="shared" si="836"/>
        <v>4.9611111111111112</v>
      </c>
      <c r="L185" s="233">
        <f t="shared" si="836"/>
        <v>5.4611111111111112</v>
      </c>
      <c r="M185" s="233">
        <f t="shared" si="836"/>
        <v>5.9611111111111112</v>
      </c>
      <c r="N185" s="233">
        <f t="shared" si="836"/>
        <v>6.4611111111111112</v>
      </c>
      <c r="O185" s="233">
        <f t="shared" si="836"/>
        <v>6.9611111111111112</v>
      </c>
      <c r="P185" s="233">
        <f t="shared" si="836"/>
        <v>7.4611111111111112</v>
      </c>
      <c r="Q185" s="233">
        <f t="shared" si="836"/>
        <v>7.9611111111111112</v>
      </c>
      <c r="R185" s="233">
        <f t="shared" si="836"/>
        <v>8.4611111111111104</v>
      </c>
      <c r="S185" s="233">
        <f t="shared" si="836"/>
        <v>8.9583333333333339</v>
      </c>
      <c r="T185" s="233">
        <f t="shared" si="836"/>
        <v>9.4583333333333339</v>
      </c>
      <c r="U185" s="233">
        <f t="shared" si="836"/>
        <v>9.9583333333333339</v>
      </c>
      <c r="V185" s="233">
        <f t="shared" si="836"/>
        <v>10.458333333333334</v>
      </c>
      <c r="W185" s="233">
        <f t="shared" si="836"/>
        <v>10.958333333333334</v>
      </c>
      <c r="X185" s="233">
        <f t="shared" si="836"/>
        <v>11.458333333333334</v>
      </c>
      <c r="Y185" s="233">
        <f t="shared" si="836"/>
        <v>11.958333333333334</v>
      </c>
      <c r="Z185" s="233">
        <f t="shared" si="836"/>
        <v>12.458333333333334</v>
      </c>
      <c r="AA185" s="233">
        <f t="shared" si="836"/>
        <v>12.955555555555556</v>
      </c>
      <c r="AB185" s="233">
        <f t="shared" si="836"/>
        <v>13.455555555555556</v>
      </c>
      <c r="AC185" s="233">
        <f t="shared" si="836"/>
        <v>13.955555555555556</v>
      </c>
      <c r="AD185" s="233">
        <f t="shared" si="836"/>
        <v>14.455555555555556</v>
      </c>
      <c r="AE185" s="233">
        <f t="shared" si="836"/>
        <v>14.955555555555556</v>
      </c>
      <c r="AF185" s="233">
        <f t="shared" si="836"/>
        <v>15.455555555555556</v>
      </c>
      <c r="AG185" s="233">
        <f t="shared" si="836"/>
        <v>15.955555555555556</v>
      </c>
      <c r="AH185" s="233">
        <f t="shared" si="836"/>
        <v>16.455555555555556</v>
      </c>
      <c r="AI185" s="233">
        <f t="shared" si="836"/>
        <v>16.952777777777779</v>
      </c>
      <c r="AJ185" s="233">
        <f t="shared" si="836"/>
        <v>17.452777777777779</v>
      </c>
      <c r="AK185" s="233">
        <f t="shared" si="836"/>
        <v>17.952777777777779</v>
      </c>
      <c r="AL185" s="233">
        <f t="shared" si="836"/>
        <v>18.452777777777779</v>
      </c>
      <c r="AM185" s="233">
        <f t="shared" si="836"/>
        <v>18.952777777777779</v>
      </c>
      <c r="AN185" s="233">
        <f t="shared" si="836"/>
        <v>19.452777777777779</v>
      </c>
      <c r="AO185" s="233">
        <f t="shared" si="836"/>
        <v>19.952777777777779</v>
      </c>
      <c r="AP185" s="233">
        <f t="shared" si="836"/>
        <v>20.452777777777779</v>
      </c>
      <c r="AQ185" s="233">
        <f t="shared" si="836"/>
        <v>20.95</v>
      </c>
      <c r="AR185" s="233">
        <f t="shared" si="836"/>
        <v>21.45</v>
      </c>
      <c r="AS185" s="233">
        <f t="shared" si="836"/>
        <v>21.95</v>
      </c>
      <c r="AT185" s="233">
        <f t="shared" si="836"/>
        <v>22.45</v>
      </c>
      <c r="AU185" s="233">
        <f t="shared" si="836"/>
        <v>22.95</v>
      </c>
      <c r="AV185" s="233">
        <f t="shared" si="836"/>
        <v>23.45</v>
      </c>
      <c r="AW185" s="233">
        <f t="shared" si="836"/>
        <v>23.95</v>
      </c>
      <c r="AX185" s="233">
        <f t="shared" si="836"/>
        <v>24.45</v>
      </c>
      <c r="AY185" s="233">
        <f t="shared" si="836"/>
        <v>24.947222222222223</v>
      </c>
      <c r="AZ185" s="233">
        <f t="shared" si="836"/>
        <v>25.447222222222223</v>
      </c>
      <c r="BA185" s="233">
        <f t="shared" si="836"/>
        <v>25.947222222222223</v>
      </c>
      <c r="BB185" s="233">
        <f t="shared" si="836"/>
        <v>26.447222222222223</v>
      </c>
      <c r="BC185" s="233">
        <f t="shared" si="836"/>
        <v>26.947222222222223</v>
      </c>
      <c r="BD185" s="233">
        <f t="shared" si="836"/>
        <v>27.447222222222223</v>
      </c>
      <c r="BE185" s="233">
        <f t="shared" si="836"/>
        <v>27.947222222222223</v>
      </c>
      <c r="BF185" s="233">
        <f t="shared" si="836"/>
        <v>28.447222222222223</v>
      </c>
      <c r="BG185" s="233">
        <f t="shared" si="836"/>
        <v>28.944444444444443</v>
      </c>
      <c r="BH185" s="233">
        <f t="shared" si="836"/>
        <v>29.444444444444443</v>
      </c>
      <c r="BI185" s="233">
        <f t="shared" si="836"/>
        <v>29.944444444444443</v>
      </c>
      <c r="BJ185" s="233">
        <f t="shared" si="836"/>
        <v>30.444444444444443</v>
      </c>
      <c r="BK185" s="233">
        <f t="shared" si="836"/>
        <v>30.944444444444443</v>
      </c>
      <c r="BL185" s="233">
        <f t="shared" si="836"/>
        <v>31.444444444444443</v>
      </c>
      <c r="BM185" s="233">
        <f t="shared" si="836"/>
        <v>31.944444444444443</v>
      </c>
      <c r="BN185" s="233">
        <f t="shared" si="836"/>
        <v>32.444444444444443</v>
      </c>
      <c r="BO185" s="233">
        <f t="shared" ref="BO185:CB185" si="837">BO184/360</f>
        <v>32.94166666666667</v>
      </c>
      <c r="BP185" s="233">
        <f t="shared" si="837"/>
        <v>33.44166666666667</v>
      </c>
      <c r="BQ185" s="233">
        <f t="shared" si="837"/>
        <v>33.94166666666667</v>
      </c>
      <c r="BR185" s="233">
        <f t="shared" si="837"/>
        <v>34.44166666666667</v>
      </c>
      <c r="BS185" s="233">
        <f t="shared" si="837"/>
        <v>34.94166666666667</v>
      </c>
      <c r="BT185" s="233">
        <f t="shared" si="837"/>
        <v>35.44166666666667</v>
      </c>
      <c r="BU185" s="233">
        <f t="shared" si="837"/>
        <v>35.94166666666667</v>
      </c>
      <c r="BV185" s="233">
        <f t="shared" si="837"/>
        <v>36.44166666666667</v>
      </c>
      <c r="BW185" s="233">
        <f t="shared" si="837"/>
        <v>36.93888888888889</v>
      </c>
      <c r="BX185" s="233">
        <f t="shared" si="837"/>
        <v>37.43888888888889</v>
      </c>
      <c r="BY185" s="233">
        <f t="shared" si="837"/>
        <v>37.93888888888889</v>
      </c>
      <c r="BZ185" s="233">
        <f t="shared" si="837"/>
        <v>38.43888888888889</v>
      </c>
      <c r="CA185" s="233">
        <f t="shared" si="837"/>
        <v>38.93888888888889</v>
      </c>
      <c r="CB185" s="233">
        <f t="shared" si="837"/>
        <v>39.43888888888889</v>
      </c>
      <c r="CC185" s="19"/>
      <c r="CD185" s="19"/>
      <c r="CE185" s="19"/>
    </row>
    <row r="186" spans="1:83">
      <c r="A186" s="16" t="s">
        <v>43</v>
      </c>
      <c r="B186" s="233">
        <f>IF(B184&lt;0,0,$B$5+$B$6*((1-EXP(-B185/$B$9))/(B185/$B$9))+$B$7*((1-EXP(-B185/$B$9))/(B185/$B$9)-EXP(-B185/$B$9))+$B$8*((1-EXP(-B185/$B$10))/(B185/$B$10)-EXP(-B185/$B$10)))</f>
        <v>1.8762811670217591E-2</v>
      </c>
      <c r="C186" s="233">
        <f t="shared" ref="C186:BN186" si="838">IF(C184&lt;0,0,$B$5+$B$6*((1-EXP(-C185/$B$9))/(C185/$B$9))+$B$7*((1-EXP(-C185/$B$9))/(C185/$B$9)-EXP(-C185/$B$9))+$B$8*((1-EXP(-C185/$B$10))/(C185/$B$10)-EXP(-C185/$B$10)))</f>
        <v>1.7891876988861244E-2</v>
      </c>
      <c r="D186" s="233">
        <f t="shared" si="838"/>
        <v>1.7127074117075022E-2</v>
      </c>
      <c r="E186" s="233">
        <f t="shared" si="838"/>
        <v>1.6465656079759521E-2</v>
      </c>
      <c r="F186" s="233">
        <f t="shared" si="838"/>
        <v>1.5900164691580024E-2</v>
      </c>
      <c r="G186" s="233">
        <f t="shared" si="838"/>
        <v>1.5423594028860593E-2</v>
      </c>
      <c r="H186" s="233">
        <f t="shared" si="838"/>
        <v>1.5029365182259696E-2</v>
      </c>
      <c r="I186" s="233">
        <f t="shared" si="838"/>
        <v>1.4711302352289873E-2</v>
      </c>
      <c r="J186" s="233">
        <f t="shared" si="838"/>
        <v>1.4463610218484045E-2</v>
      </c>
      <c r="K186" s="233">
        <f t="shared" si="838"/>
        <v>1.4281697977982337E-2</v>
      </c>
      <c r="L186" s="233">
        <f t="shared" si="838"/>
        <v>1.4158458280288999E-2</v>
      </c>
      <c r="M186" s="233">
        <f t="shared" si="838"/>
        <v>1.4090303325817941E-2</v>
      </c>
      <c r="N186" s="233">
        <f t="shared" si="838"/>
        <v>1.4072755017109223E-2</v>
      </c>
      <c r="O186" s="233">
        <f t="shared" si="838"/>
        <v>1.410161959185012E-2</v>
      </c>
      <c r="P186" s="233">
        <f t="shared" si="838"/>
        <v>1.4172971359408232E-2</v>
      </c>
      <c r="Q186" s="233">
        <f t="shared" si="838"/>
        <v>1.4283137315421121E-2</v>
      </c>
      <c r="R186" s="233">
        <f t="shared" si="838"/>
        <v>1.4428682588738931E-2</v>
      </c>
      <c r="S186" s="233">
        <f t="shared" si="838"/>
        <v>1.4605326117342027E-2</v>
      </c>
      <c r="T186" s="233">
        <f t="shared" si="838"/>
        <v>1.4812055731951074E-2</v>
      </c>
      <c r="U186" s="233">
        <f t="shared" si="838"/>
        <v>1.504516993657537E-2</v>
      </c>
      <c r="V186" s="233">
        <f t="shared" si="838"/>
        <v>1.5302055026191738E-2</v>
      </c>
      <c r="W186" s="233">
        <f t="shared" si="838"/>
        <v>1.5580273764772459E-2</v>
      </c>
      <c r="X186" s="233">
        <f t="shared" si="838"/>
        <v>1.5877554985398029E-2</v>
      </c>
      <c r="Y186" s="233">
        <f t="shared" si="838"/>
        <v>1.6191783761823841E-2</v>
      </c>
      <c r="Z186" s="233">
        <f t="shared" si="838"/>
        <v>1.6520992121409214E-2</v>
      </c>
      <c r="AA186" s="233">
        <f t="shared" si="838"/>
        <v>1.6861415136416702E-2</v>
      </c>
      <c r="AB186" s="233">
        <f t="shared" si="838"/>
        <v>1.7215164030820032E-2</v>
      </c>
      <c r="AC186" s="233">
        <f t="shared" si="838"/>
        <v>1.7578793414774321E-2</v>
      </c>
      <c r="AD186" s="233">
        <f t="shared" si="838"/>
        <v>1.7950839500108562E-2</v>
      </c>
      <c r="AE186" s="233">
        <f t="shared" si="838"/>
        <v>1.8329946225403695E-2</v>
      </c>
      <c r="AF186" s="233">
        <f t="shared" si="838"/>
        <v>1.8714858664108547E-2</v>
      </c>
      <c r="AG186" s="233">
        <f t="shared" si="838"/>
        <v>1.9104416802544613E-2</v>
      </c>
      <c r="AH186" s="233">
        <f t="shared" si="838"/>
        <v>1.9497549668059957E-2</v>
      </c>
      <c r="AI186" s="233">
        <f t="shared" si="838"/>
        <v>1.9891065901047958E-2</v>
      </c>
      <c r="AJ186" s="233">
        <f t="shared" si="838"/>
        <v>2.0288457130563528E-2</v>
      </c>
      <c r="AK186" s="233">
        <f t="shared" si="838"/>
        <v>2.0686695012463036E-2</v>
      </c>
      <c r="AL186" s="233">
        <f t="shared" si="838"/>
        <v>2.1085012018257132E-2</v>
      </c>
      <c r="AM186" s="233">
        <f t="shared" si="838"/>
        <v>2.1482704954841308E-2</v>
      </c>
      <c r="AN186" s="233">
        <f t="shared" si="838"/>
        <v>2.1879130831307367E-2</v>
      </c>
      <c r="AO186" s="233">
        <f t="shared" si="838"/>
        <v>2.227370296364313E-2</v>
      </c>
      <c r="AP186" s="233">
        <f t="shared" si="838"/>
        <v>2.2665887304428506E-2</v>
      </c>
      <c r="AQ186" s="233">
        <f t="shared" si="838"/>
        <v>2.3053044904351977E-2</v>
      </c>
      <c r="AR186" s="233">
        <f t="shared" si="838"/>
        <v>2.3439064509955324E-2</v>
      </c>
      <c r="AS186" s="233">
        <f t="shared" si="838"/>
        <v>2.3821378508501759E-2</v>
      </c>
      <c r="AT186" s="233">
        <f t="shared" si="838"/>
        <v>2.4199630566894934E-2</v>
      </c>
      <c r="AU186" s="233">
        <f t="shared" si="838"/>
        <v>2.4573501620663449E-2</v>
      </c>
      <c r="AV186" s="233">
        <f t="shared" si="838"/>
        <v>2.4942707317389831E-2</v>
      </c>
      <c r="AW186" s="233">
        <f t="shared" si="838"/>
        <v>2.5306995611972097E-2</v>
      </c>
      <c r="AX186" s="233">
        <f t="shared" si="838"/>
        <v>2.5666144505335775E-2</v>
      </c>
      <c r="AY186" s="233">
        <f t="shared" si="838"/>
        <v>2.6018009330637332E-2</v>
      </c>
      <c r="AZ186" s="233">
        <f t="shared" si="838"/>
        <v>2.6366354091729508E-2</v>
      </c>
      <c r="BA186" s="233">
        <f t="shared" si="838"/>
        <v>2.6709053843129271E-2</v>
      </c>
      <c r="BB186" s="233">
        <f t="shared" si="838"/>
        <v>2.7045986637722438E-2</v>
      </c>
      <c r="BC186" s="233">
        <f t="shared" si="838"/>
        <v>2.7377051165073621E-2</v>
      </c>
      <c r="BD186" s="233">
        <f t="shared" si="838"/>
        <v>2.7702165197559442E-2</v>
      </c>
      <c r="BE186" s="233">
        <f t="shared" si="838"/>
        <v>2.8021264132517529E-2</v>
      </c>
      <c r="BF186" s="233">
        <f t="shared" si="838"/>
        <v>2.8334299624994244E-2</v>
      </c>
      <c r="BG186" s="233">
        <f t="shared" si="838"/>
        <v>2.8639549974595793E-2</v>
      </c>
      <c r="BH186" s="233">
        <f t="shared" si="838"/>
        <v>2.8940406260228216E-2</v>
      </c>
      <c r="BI186" s="233">
        <f t="shared" si="838"/>
        <v>2.9235139201076302E-2</v>
      </c>
      <c r="BJ186" s="233">
        <f t="shared" si="838"/>
        <v>2.9523753387064713E-2</v>
      </c>
      <c r="BK186" s="233">
        <f t="shared" si="838"/>
        <v>2.9806264023731766E-2</v>
      </c>
      <c r="BL186" s="233">
        <f t="shared" si="838"/>
        <v>3.0082696009702203E-2</v>
      </c>
      <c r="BM186" s="233">
        <f t="shared" si="838"/>
        <v>3.0353083074191919E-2</v>
      </c>
      <c r="BN186" s="233">
        <f t="shared" si="838"/>
        <v>3.0617466971065876E-2</v>
      </c>
      <c r="BO186" s="233">
        <f t="shared" ref="BO186:CB186" si="839">IF(BO184&lt;0,0,$B$5+$B$6*((1-EXP(-BO185/$B$9))/(BO185/$B$9))+$B$7*((1-EXP(-BO185/$B$9))/(BO185/$B$9)-EXP(-BO185/$B$9))+$B$8*((1-EXP(-BO185/$B$10))/(BO185/$B$10)-EXP(-BO185/$B$10)))</f>
        <v>3.0874477353446533E-2</v>
      </c>
      <c r="BP186" s="233">
        <f t="shared" si="839"/>
        <v>3.1127041167027081E-2</v>
      </c>
      <c r="BQ186" s="233">
        <f t="shared" si="839"/>
        <v>3.1373767586630436E-2</v>
      </c>
      <c r="BR186" s="233">
        <f t="shared" si="839"/>
        <v>3.1614723397107788E-2</v>
      </c>
      <c r="BS186" s="233">
        <f t="shared" si="839"/>
        <v>3.1849980120577867E-2</v>
      </c>
      <c r="BT186" s="233">
        <f t="shared" si="839"/>
        <v>3.2079613486487801E-2</v>
      </c>
      <c r="BU186" s="233">
        <f t="shared" si="839"/>
        <v>3.2303702938672185E-2</v>
      </c>
      <c r="BV186" s="233">
        <f t="shared" si="839"/>
        <v>3.2522331177195496E-2</v>
      </c>
      <c r="BW186" s="233">
        <f t="shared" si="839"/>
        <v>3.2734413685432534E-2</v>
      </c>
      <c r="BX186" s="233">
        <f t="shared" si="839"/>
        <v>3.2942407654365291E-2</v>
      </c>
      <c r="BY186" s="233">
        <f t="shared" si="839"/>
        <v>3.3145203438950652E-2</v>
      </c>
      <c r="BZ186" s="233">
        <f t="shared" si="839"/>
        <v>3.3342892798685075E-2</v>
      </c>
      <c r="CA186" s="233">
        <f t="shared" si="839"/>
        <v>3.3535568912630306E-2</v>
      </c>
      <c r="CB186" s="233">
        <f t="shared" si="839"/>
        <v>3.3723326089744349E-2</v>
      </c>
      <c r="CC186" s="19"/>
      <c r="CD186" s="19"/>
      <c r="CE186" s="19"/>
    </row>
    <row r="187" spans="1:83">
      <c r="A187" s="16" t="s">
        <v>44</v>
      </c>
      <c r="B187" s="233">
        <f>EXP(-B186*B185)</f>
        <v>0.99128224316456304</v>
      </c>
      <c r="C187" s="233">
        <f t="shared" ref="C187:AR187" si="840">EXP(-C186*C185)</f>
        <v>0.98290207586598088</v>
      </c>
      <c r="D187" s="233">
        <f t="shared" si="840"/>
        <v>0.97523956204893569</v>
      </c>
      <c r="E187" s="233">
        <f t="shared" si="840"/>
        <v>0.96818052238714614</v>
      </c>
      <c r="F187" s="233">
        <f t="shared" si="840"/>
        <v>0.96158122598767171</v>
      </c>
      <c r="G187" s="233">
        <f t="shared" si="840"/>
        <v>0.95531531619672405</v>
      </c>
      <c r="H187" s="233">
        <f t="shared" si="840"/>
        <v>0.94927186034802702</v>
      </c>
      <c r="I187" s="233">
        <f t="shared" si="840"/>
        <v>0.9433537181168179</v>
      </c>
      <c r="J187" s="233">
        <f t="shared" si="840"/>
        <v>0.93747616173126047</v>
      </c>
      <c r="K187" s="233">
        <f t="shared" si="840"/>
        <v>0.93159874275806531</v>
      </c>
      <c r="L187" s="233">
        <f t="shared" si="840"/>
        <v>0.92559277041837962</v>
      </c>
      <c r="M187" s="233">
        <f t="shared" si="840"/>
        <v>0.91943689800515738</v>
      </c>
      <c r="N187" s="233">
        <f t="shared" si="840"/>
        <v>0.91308561107711061</v>
      </c>
      <c r="O187" s="233">
        <f t="shared" si="840"/>
        <v>0.9065011856680939</v>
      </c>
      <c r="P187" s="233">
        <f t="shared" si="840"/>
        <v>0.89965302831378513</v>
      </c>
      <c r="Q187" s="233">
        <f t="shared" si="840"/>
        <v>0.89251706667760389</v>
      </c>
      <c r="R187" s="233">
        <f t="shared" si="840"/>
        <v>0.88507518164567844</v>
      </c>
      <c r="S187" s="233">
        <f t="shared" si="840"/>
        <v>0.87735868460057675</v>
      </c>
      <c r="T187" s="233">
        <f t="shared" si="840"/>
        <v>0.86927359839722895</v>
      </c>
      <c r="U187" s="233">
        <f t="shared" si="840"/>
        <v>0.86085877079303352</v>
      </c>
      <c r="V187" s="233">
        <f t="shared" si="840"/>
        <v>0.85211482325993992</v>
      </c>
      <c r="W187" s="233">
        <f t="shared" si="840"/>
        <v>0.84304593433304531</v>
      </c>
      <c r="X187" s="233">
        <f t="shared" si="840"/>
        <v>0.83365942983082841</v>
      </c>
      <c r="Y187" s="233">
        <f t="shared" si="840"/>
        <v>0.82396539403482094</v>
      </c>
      <c r="Z187" s="233">
        <f t="shared" si="840"/>
        <v>0.81397630165781432</v>
      </c>
      <c r="AA187" s="233">
        <f t="shared" si="840"/>
        <v>0.80376446994921025</v>
      </c>
      <c r="AB187" s="233">
        <f t="shared" si="840"/>
        <v>0.79323195575413374</v>
      </c>
      <c r="AC187" s="233">
        <f t="shared" si="840"/>
        <v>0.78245268245715038</v>
      </c>
      <c r="AD187" s="233">
        <f t="shared" si="840"/>
        <v>0.77144541793265664</v>
      </c>
      <c r="AE187" s="233">
        <f t="shared" si="840"/>
        <v>0.7602297953477396</v>
      </c>
      <c r="AF187" s="233">
        <f t="shared" si="840"/>
        <v>0.74882607069055185</v>
      </c>
      <c r="AG187" s="233">
        <f t="shared" si="840"/>
        <v>0.73725490098686119</v>
      </c>
      <c r="AH187" s="233">
        <f t="shared" si="840"/>
        <v>0.72553714284920234</v>
      </c>
      <c r="AI187" s="233">
        <f t="shared" si="840"/>
        <v>0.71375977703467486</v>
      </c>
      <c r="AJ187" s="233">
        <f t="shared" si="840"/>
        <v>0.70181184794327967</v>
      </c>
      <c r="AK187" s="233">
        <f t="shared" si="840"/>
        <v>0.68977926489880648</v>
      </c>
      <c r="AL187" s="233">
        <f t="shared" si="840"/>
        <v>0.67768205855382702</v>
      </c>
      <c r="AM187" s="233">
        <f t="shared" si="840"/>
        <v>0.66553973690840951</v>
      </c>
      <c r="AN187" s="233">
        <f t="shared" si="840"/>
        <v>0.65337119208717198</v>
      </c>
      <c r="AO187" s="233">
        <f t="shared" si="840"/>
        <v>0.64119462210178291</v>
      </c>
      <c r="AP187" s="233">
        <f t="shared" si="840"/>
        <v>0.62902746658164832</v>
      </c>
      <c r="AQ187" s="233">
        <f t="shared" si="840"/>
        <v>0.616953704728885</v>
      </c>
      <c r="AR187" s="233">
        <f t="shared" si="840"/>
        <v>0.60485414434825413</v>
      </c>
      <c r="AS187" s="233">
        <f>EXP(-AS186*AS185)</f>
        <v>0.59281123173307149</v>
      </c>
      <c r="AT187" s="233">
        <f t="shared" ref="AT187:CA187" si="841">EXP(-AT186*AT185)</f>
        <v>0.58083897835724574</v>
      </c>
      <c r="AU187" s="233">
        <f t="shared" si="841"/>
        <v>0.56895048928861536</v>
      </c>
      <c r="AV187" s="233">
        <f t="shared" si="841"/>
        <v>0.55715796111544147</v>
      </c>
      <c r="AW187" s="233">
        <f t="shared" si="841"/>
        <v>0.54547268684545058</v>
      </c>
      <c r="AX187" s="233">
        <f t="shared" si="841"/>
        <v>0.53390506690617778</v>
      </c>
      <c r="AY187" s="233">
        <f t="shared" si="841"/>
        <v>0.52252781581464824</v>
      </c>
      <c r="AZ187" s="233">
        <f t="shared" si="841"/>
        <v>0.51122244429763775</v>
      </c>
      <c r="BA187" s="233">
        <f t="shared" si="841"/>
        <v>0.50006071625965154</v>
      </c>
      <c r="BB187" s="233">
        <f t="shared" si="841"/>
        <v>0.48904967058509646</v>
      </c>
      <c r="BC187" s="233">
        <f t="shared" si="841"/>
        <v>0.47819557304742155</v>
      </c>
      <c r="BD187" s="233">
        <f t="shared" si="841"/>
        <v>0.46750394854003385</v>
      </c>
      <c r="BE187" s="233">
        <f t="shared" si="841"/>
        <v>0.45697961479466875</v>
      </c>
      <c r="BF187" s="233">
        <f t="shared" si="841"/>
        <v>0.44662671714035007</v>
      </c>
      <c r="BG187" s="233">
        <f t="shared" si="841"/>
        <v>0.4365048192261991</v>
      </c>
      <c r="BH187" s="233">
        <f t="shared" si="841"/>
        <v>0.42650372238944728</v>
      </c>
      <c r="BI187" s="233">
        <f t="shared" si="841"/>
        <v>0.41668280686329523</v>
      </c>
      <c r="BJ187" s="233">
        <f t="shared" si="841"/>
        <v>0.40704388663448615</v>
      </c>
      <c r="BK187" s="233">
        <f t="shared" si="841"/>
        <v>0.3975882801258469</v>
      </c>
      <c r="BL187" s="233">
        <f t="shared" si="841"/>
        <v>0.38831684436437996</v>
      </c>
      <c r="BM187" s="233">
        <f t="shared" si="841"/>
        <v>0.37923000827685804</v>
      </c>
      <c r="BN187" s="233">
        <f t="shared" si="841"/>
        <v>0.37032780497869883</v>
      </c>
      <c r="BO187" s="233">
        <f t="shared" si="841"/>
        <v>0.3616578277103879</v>
      </c>
      <c r="BP187" s="233">
        <f t="shared" si="841"/>
        <v>0.35312254298390233</v>
      </c>
      <c r="BQ187" s="233">
        <f t="shared" si="841"/>
        <v>0.34476992740371931</v>
      </c>
      <c r="BR187" s="233">
        <f t="shared" si="841"/>
        <v>0.33659873176877797</v>
      </c>
      <c r="BS187" s="233">
        <f t="shared" si="841"/>
        <v>0.32860745426572296</v>
      </c>
      <c r="BT187" s="233">
        <f t="shared" si="841"/>
        <v>0.32079436519946786</v>
      </c>
      <c r="BU187" s="233">
        <f t="shared" si="841"/>
        <v>0.31315753037412508</v>
      </c>
      <c r="BV187" s="233">
        <f t="shared" si="841"/>
        <v>0.30569483313376711</v>
      </c>
      <c r="BW187" s="233">
        <f t="shared" si="841"/>
        <v>0.2984440293879142</v>
      </c>
      <c r="BX187" s="233">
        <f t="shared" si="841"/>
        <v>0.29132169540814024</v>
      </c>
      <c r="BY187" s="233">
        <f t="shared" si="841"/>
        <v>0.2843662694822473</v>
      </c>
      <c r="BZ187" s="233">
        <f t="shared" si="841"/>
        <v>0.2775751000710846</v>
      </c>
      <c r="CA187" s="233">
        <f t="shared" si="841"/>
        <v>0.2709454440832611</v>
      </c>
      <c r="CB187" s="233">
        <f>EXP(-CB186*CB185)</f>
        <v>0.26447448149518238</v>
      </c>
      <c r="CC187" s="19"/>
      <c r="CD187" s="19"/>
      <c r="CE187" s="19"/>
    </row>
    <row r="188" spans="1:83">
      <c r="A188" s="17"/>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19"/>
      <c r="CD188" s="19"/>
      <c r="CE188" s="19"/>
    </row>
    <row r="189" spans="1:83">
      <c r="A189" s="16" t="s">
        <v>40</v>
      </c>
      <c r="B189" s="233">
        <f t="shared" ref="B189:AG189" si="842">DAYS360($B$3,B70)</f>
        <v>54</v>
      </c>
      <c r="C189" s="233">
        <f t="shared" si="842"/>
        <v>232</v>
      </c>
      <c r="D189" s="233">
        <f t="shared" si="842"/>
        <v>413</v>
      </c>
      <c r="E189" s="233">
        <f t="shared" si="842"/>
        <v>591</v>
      </c>
      <c r="F189" s="233">
        <f t="shared" si="842"/>
        <v>773</v>
      </c>
      <c r="G189" s="233">
        <f t="shared" si="842"/>
        <v>951</v>
      </c>
      <c r="H189" s="233">
        <f t="shared" si="842"/>
        <v>1133</v>
      </c>
      <c r="I189" s="233">
        <f t="shared" si="842"/>
        <v>1311</v>
      </c>
      <c r="J189" s="233">
        <f t="shared" si="842"/>
        <v>1493</v>
      </c>
      <c r="K189" s="233">
        <f t="shared" si="842"/>
        <v>1671</v>
      </c>
      <c r="L189" s="233">
        <f t="shared" si="842"/>
        <v>1852</v>
      </c>
      <c r="M189" s="233">
        <f t="shared" si="842"/>
        <v>2030</v>
      </c>
      <c r="N189" s="233">
        <f t="shared" si="842"/>
        <v>2212</v>
      </c>
      <c r="O189" s="233">
        <f t="shared" si="842"/>
        <v>2390</v>
      </c>
      <c r="P189" s="233">
        <f t="shared" si="842"/>
        <v>2572</v>
      </c>
      <c r="Q189" s="233">
        <f t="shared" si="842"/>
        <v>2750</v>
      </c>
      <c r="R189" s="233">
        <f t="shared" si="842"/>
        <v>2932</v>
      </c>
      <c r="S189" s="233">
        <f t="shared" si="842"/>
        <v>3110</v>
      </c>
      <c r="T189" s="233">
        <f t="shared" si="842"/>
        <v>3291</v>
      </c>
      <c r="U189" s="233">
        <f t="shared" si="842"/>
        <v>3469</v>
      </c>
      <c r="V189" s="233">
        <f t="shared" si="842"/>
        <v>3651</v>
      </c>
      <c r="W189" s="233">
        <f t="shared" si="842"/>
        <v>3829</v>
      </c>
      <c r="X189" s="233">
        <f t="shared" si="842"/>
        <v>4011</v>
      </c>
      <c r="Y189" s="233">
        <f t="shared" si="842"/>
        <v>4189</v>
      </c>
      <c r="Z189" s="233">
        <f t="shared" si="842"/>
        <v>4371</v>
      </c>
      <c r="AA189" s="233">
        <f t="shared" si="842"/>
        <v>4549</v>
      </c>
      <c r="AB189" s="233">
        <f t="shared" si="842"/>
        <v>4730</v>
      </c>
      <c r="AC189" s="233">
        <f t="shared" si="842"/>
        <v>4908</v>
      </c>
      <c r="AD189" s="233">
        <f t="shared" si="842"/>
        <v>5090</v>
      </c>
      <c r="AE189" s="233">
        <f t="shared" si="842"/>
        <v>5268</v>
      </c>
      <c r="AF189" s="233">
        <f t="shared" si="842"/>
        <v>5450</v>
      </c>
      <c r="AG189" s="233">
        <f t="shared" si="842"/>
        <v>5628</v>
      </c>
      <c r="AH189" s="233">
        <f t="shared" ref="AH189:BM189" si="843">DAYS360($B$3,AH70)</f>
        <v>5810</v>
      </c>
      <c r="AI189" s="233">
        <f t="shared" si="843"/>
        <v>5988</v>
      </c>
      <c r="AJ189" s="233">
        <f t="shared" si="843"/>
        <v>6169</v>
      </c>
      <c r="AK189" s="233">
        <f t="shared" si="843"/>
        <v>6347</v>
      </c>
      <c r="AL189" s="233">
        <f t="shared" si="843"/>
        <v>6529</v>
      </c>
      <c r="AM189" s="233">
        <f t="shared" si="843"/>
        <v>6707</v>
      </c>
      <c r="AN189" s="233">
        <f t="shared" si="843"/>
        <v>6889</v>
      </c>
      <c r="AO189" s="233">
        <f t="shared" si="843"/>
        <v>7067</v>
      </c>
      <c r="AP189" s="233">
        <f t="shared" si="843"/>
        <v>7249</v>
      </c>
      <c r="AQ189" s="233">
        <f t="shared" si="843"/>
        <v>7427</v>
      </c>
      <c r="AR189" s="233">
        <f t="shared" si="843"/>
        <v>7608</v>
      </c>
      <c r="AS189" s="233">
        <f t="shared" si="843"/>
        <v>7786</v>
      </c>
      <c r="AT189" s="233">
        <f t="shared" si="843"/>
        <v>7968</v>
      </c>
      <c r="AU189" s="233">
        <f t="shared" si="843"/>
        <v>8146</v>
      </c>
      <c r="AV189" s="233">
        <f t="shared" si="843"/>
        <v>8328</v>
      </c>
      <c r="AW189" s="233">
        <f t="shared" si="843"/>
        <v>8506</v>
      </c>
      <c r="AX189" s="233">
        <f t="shared" si="843"/>
        <v>8688</v>
      </c>
      <c r="AY189" s="233">
        <f t="shared" si="843"/>
        <v>8866</v>
      </c>
      <c r="AZ189" s="233">
        <f t="shared" si="843"/>
        <v>9047</v>
      </c>
      <c r="BA189" s="233">
        <f t="shared" si="843"/>
        <v>9225</v>
      </c>
      <c r="BB189" s="233">
        <f t="shared" si="843"/>
        <v>9407</v>
      </c>
      <c r="BC189" s="233">
        <f t="shared" si="843"/>
        <v>9585</v>
      </c>
      <c r="BD189" s="233">
        <f t="shared" si="843"/>
        <v>9767</v>
      </c>
      <c r="BE189" s="233">
        <f t="shared" si="843"/>
        <v>9945</v>
      </c>
      <c r="BF189" s="233">
        <f t="shared" si="843"/>
        <v>10127</v>
      </c>
      <c r="BG189" s="233">
        <f t="shared" si="843"/>
        <v>10305</v>
      </c>
      <c r="BH189" s="233">
        <f t="shared" si="843"/>
        <v>10486</v>
      </c>
      <c r="BI189" s="233">
        <f t="shared" si="843"/>
        <v>10664</v>
      </c>
      <c r="BJ189" s="233">
        <f t="shared" si="843"/>
        <v>10846</v>
      </c>
      <c r="BK189" s="233">
        <f t="shared" si="843"/>
        <v>11024</v>
      </c>
      <c r="BL189" s="233">
        <f t="shared" si="843"/>
        <v>11206</v>
      </c>
      <c r="BM189" s="233">
        <f t="shared" si="843"/>
        <v>11384</v>
      </c>
      <c r="BN189" s="233">
        <f t="shared" ref="BN189:CB189" si="844">DAYS360($B$3,BN70)</f>
        <v>11566</v>
      </c>
      <c r="BO189" s="233">
        <f t="shared" si="844"/>
        <v>11744</v>
      </c>
      <c r="BP189" s="233">
        <f t="shared" si="844"/>
        <v>11925</v>
      </c>
      <c r="BQ189" s="233">
        <f t="shared" si="844"/>
        <v>12103</v>
      </c>
      <c r="BR189" s="233">
        <f t="shared" si="844"/>
        <v>12285</v>
      </c>
      <c r="BS189" s="233">
        <f t="shared" si="844"/>
        <v>12463</v>
      </c>
      <c r="BT189" s="233">
        <f t="shared" si="844"/>
        <v>12645</v>
      </c>
      <c r="BU189" s="233">
        <f t="shared" si="844"/>
        <v>12823</v>
      </c>
      <c r="BV189" s="233">
        <f t="shared" si="844"/>
        <v>13005</v>
      </c>
      <c r="BW189" s="233">
        <f t="shared" si="844"/>
        <v>13183</v>
      </c>
      <c r="BX189" s="233">
        <f t="shared" si="844"/>
        <v>13364</v>
      </c>
      <c r="BY189" s="233">
        <f t="shared" si="844"/>
        <v>13542</v>
      </c>
      <c r="BZ189" s="233">
        <f t="shared" si="844"/>
        <v>13724</v>
      </c>
      <c r="CA189" s="233">
        <f t="shared" si="844"/>
        <v>13902</v>
      </c>
      <c r="CB189" s="233">
        <f t="shared" si="844"/>
        <v>14084</v>
      </c>
      <c r="CC189" s="19"/>
      <c r="CD189" s="19"/>
      <c r="CE189" s="19"/>
    </row>
    <row r="190" spans="1:83">
      <c r="A190" s="16" t="s">
        <v>41</v>
      </c>
      <c r="B190" s="233">
        <f>B189/360</f>
        <v>0.15</v>
      </c>
      <c r="C190" s="233">
        <f t="shared" ref="C190:BN190" si="845">C189/360</f>
        <v>0.64444444444444449</v>
      </c>
      <c r="D190" s="233">
        <f t="shared" si="845"/>
        <v>1.1472222222222221</v>
      </c>
      <c r="E190" s="233">
        <f t="shared" si="845"/>
        <v>1.6416666666666666</v>
      </c>
      <c r="F190" s="233">
        <f t="shared" si="845"/>
        <v>2.1472222222222221</v>
      </c>
      <c r="G190" s="233">
        <f t="shared" si="845"/>
        <v>2.6416666666666666</v>
      </c>
      <c r="H190" s="233">
        <f t="shared" si="845"/>
        <v>3.1472222222222221</v>
      </c>
      <c r="I190" s="233">
        <f t="shared" si="845"/>
        <v>3.6416666666666666</v>
      </c>
      <c r="J190" s="233">
        <f t="shared" si="845"/>
        <v>4.1472222222222221</v>
      </c>
      <c r="K190" s="233">
        <f t="shared" si="845"/>
        <v>4.6416666666666666</v>
      </c>
      <c r="L190" s="233">
        <f t="shared" si="845"/>
        <v>5.1444444444444448</v>
      </c>
      <c r="M190" s="233">
        <f t="shared" si="845"/>
        <v>5.6388888888888893</v>
      </c>
      <c r="N190" s="233">
        <f t="shared" si="845"/>
        <v>6.1444444444444448</v>
      </c>
      <c r="O190" s="233">
        <f t="shared" si="845"/>
        <v>6.6388888888888893</v>
      </c>
      <c r="P190" s="233">
        <f t="shared" si="845"/>
        <v>7.1444444444444448</v>
      </c>
      <c r="Q190" s="233">
        <f t="shared" si="845"/>
        <v>7.6388888888888893</v>
      </c>
      <c r="R190" s="233">
        <f t="shared" si="845"/>
        <v>8.1444444444444439</v>
      </c>
      <c r="S190" s="233">
        <f t="shared" si="845"/>
        <v>8.6388888888888893</v>
      </c>
      <c r="T190" s="233">
        <f t="shared" si="845"/>
        <v>9.1416666666666675</v>
      </c>
      <c r="U190" s="233">
        <f t="shared" si="845"/>
        <v>9.6361111111111111</v>
      </c>
      <c r="V190" s="233">
        <f t="shared" si="845"/>
        <v>10.141666666666667</v>
      </c>
      <c r="W190" s="233">
        <f t="shared" si="845"/>
        <v>10.636111111111111</v>
      </c>
      <c r="X190" s="233">
        <f t="shared" si="845"/>
        <v>11.141666666666667</v>
      </c>
      <c r="Y190" s="233">
        <f t="shared" si="845"/>
        <v>11.636111111111111</v>
      </c>
      <c r="Z190" s="233">
        <f t="shared" si="845"/>
        <v>12.141666666666667</v>
      </c>
      <c r="AA190" s="233">
        <f t="shared" si="845"/>
        <v>12.636111111111111</v>
      </c>
      <c r="AB190" s="233">
        <f t="shared" si="845"/>
        <v>13.138888888888889</v>
      </c>
      <c r="AC190" s="233">
        <f t="shared" si="845"/>
        <v>13.633333333333333</v>
      </c>
      <c r="AD190" s="233">
        <f t="shared" si="845"/>
        <v>14.138888888888889</v>
      </c>
      <c r="AE190" s="233">
        <f t="shared" si="845"/>
        <v>14.633333333333333</v>
      </c>
      <c r="AF190" s="233">
        <f t="shared" si="845"/>
        <v>15.138888888888889</v>
      </c>
      <c r="AG190" s="233">
        <f t="shared" si="845"/>
        <v>15.633333333333333</v>
      </c>
      <c r="AH190" s="233">
        <f t="shared" si="845"/>
        <v>16.138888888888889</v>
      </c>
      <c r="AI190" s="233">
        <f t="shared" si="845"/>
        <v>16.633333333333333</v>
      </c>
      <c r="AJ190" s="233">
        <f t="shared" si="845"/>
        <v>17.136111111111113</v>
      </c>
      <c r="AK190" s="233">
        <f t="shared" si="845"/>
        <v>17.630555555555556</v>
      </c>
      <c r="AL190" s="233">
        <f t="shared" si="845"/>
        <v>18.136111111111113</v>
      </c>
      <c r="AM190" s="233">
        <f t="shared" si="845"/>
        <v>18.630555555555556</v>
      </c>
      <c r="AN190" s="233">
        <f t="shared" si="845"/>
        <v>19.136111111111113</v>
      </c>
      <c r="AO190" s="233">
        <f t="shared" si="845"/>
        <v>19.630555555555556</v>
      </c>
      <c r="AP190" s="233">
        <f t="shared" si="845"/>
        <v>20.136111111111113</v>
      </c>
      <c r="AQ190" s="233">
        <f t="shared" si="845"/>
        <v>20.630555555555556</v>
      </c>
      <c r="AR190" s="233">
        <f t="shared" si="845"/>
        <v>21.133333333333333</v>
      </c>
      <c r="AS190" s="233">
        <f t="shared" si="845"/>
        <v>21.627777777777776</v>
      </c>
      <c r="AT190" s="233">
        <f t="shared" si="845"/>
        <v>22.133333333333333</v>
      </c>
      <c r="AU190" s="233">
        <f t="shared" si="845"/>
        <v>22.627777777777776</v>
      </c>
      <c r="AV190" s="233">
        <f t="shared" si="845"/>
        <v>23.133333333333333</v>
      </c>
      <c r="AW190" s="233">
        <f t="shared" si="845"/>
        <v>23.627777777777776</v>
      </c>
      <c r="AX190" s="233">
        <f t="shared" si="845"/>
        <v>24.133333333333333</v>
      </c>
      <c r="AY190" s="233">
        <f t="shared" si="845"/>
        <v>24.627777777777776</v>
      </c>
      <c r="AZ190" s="233">
        <f t="shared" si="845"/>
        <v>25.130555555555556</v>
      </c>
      <c r="BA190" s="233">
        <f t="shared" si="845"/>
        <v>25.625</v>
      </c>
      <c r="BB190" s="233">
        <f t="shared" si="845"/>
        <v>26.130555555555556</v>
      </c>
      <c r="BC190" s="233">
        <f t="shared" si="845"/>
        <v>26.625</v>
      </c>
      <c r="BD190" s="233">
        <f t="shared" si="845"/>
        <v>27.130555555555556</v>
      </c>
      <c r="BE190" s="233">
        <f t="shared" si="845"/>
        <v>27.625</v>
      </c>
      <c r="BF190" s="233">
        <f t="shared" si="845"/>
        <v>28.130555555555556</v>
      </c>
      <c r="BG190" s="233">
        <f t="shared" si="845"/>
        <v>28.625</v>
      </c>
      <c r="BH190" s="233">
        <f t="shared" si="845"/>
        <v>29.127777777777776</v>
      </c>
      <c r="BI190" s="233">
        <f t="shared" si="845"/>
        <v>29.622222222222224</v>
      </c>
      <c r="BJ190" s="233">
        <f t="shared" si="845"/>
        <v>30.127777777777776</v>
      </c>
      <c r="BK190" s="233">
        <f t="shared" si="845"/>
        <v>30.622222222222224</v>
      </c>
      <c r="BL190" s="233">
        <f t="shared" si="845"/>
        <v>31.127777777777776</v>
      </c>
      <c r="BM190" s="233">
        <f t="shared" si="845"/>
        <v>31.622222222222224</v>
      </c>
      <c r="BN190" s="233">
        <f t="shared" si="845"/>
        <v>32.12777777777778</v>
      </c>
      <c r="BO190" s="233">
        <f t="shared" ref="BO190:CB190" si="846">BO189/360</f>
        <v>32.62222222222222</v>
      </c>
      <c r="BP190" s="233">
        <f t="shared" si="846"/>
        <v>33.125</v>
      </c>
      <c r="BQ190" s="233">
        <f t="shared" si="846"/>
        <v>33.619444444444447</v>
      </c>
      <c r="BR190" s="233">
        <f t="shared" si="846"/>
        <v>34.125</v>
      </c>
      <c r="BS190" s="233">
        <f t="shared" si="846"/>
        <v>34.619444444444447</v>
      </c>
      <c r="BT190" s="233">
        <f t="shared" si="846"/>
        <v>35.125</v>
      </c>
      <c r="BU190" s="233">
        <f t="shared" si="846"/>
        <v>35.619444444444447</v>
      </c>
      <c r="BV190" s="233">
        <f t="shared" si="846"/>
        <v>36.125</v>
      </c>
      <c r="BW190" s="233">
        <f t="shared" si="846"/>
        <v>36.619444444444447</v>
      </c>
      <c r="BX190" s="233">
        <f t="shared" si="846"/>
        <v>37.12222222222222</v>
      </c>
      <c r="BY190" s="233">
        <f t="shared" si="846"/>
        <v>37.616666666666667</v>
      </c>
      <c r="BZ190" s="233">
        <f t="shared" si="846"/>
        <v>38.12222222222222</v>
      </c>
      <c r="CA190" s="233">
        <f t="shared" si="846"/>
        <v>38.616666666666667</v>
      </c>
      <c r="CB190" s="233">
        <f t="shared" si="846"/>
        <v>39.12222222222222</v>
      </c>
      <c r="CC190" s="19"/>
      <c r="CD190" s="19"/>
      <c r="CE190" s="19"/>
    </row>
    <row r="191" spans="1:83">
      <c r="A191" s="16" t="s">
        <v>43</v>
      </c>
      <c r="B191" s="233">
        <f>IF(B189&lt;0,0,$B$5+$B$6*((1-EXP(-B190/$B$9))/(B190/$B$9))+$B$7*((1-EXP(-B190/$B$9))/(B190/$B$9)-EXP(-B190/$B$9))+$B$8*((1-EXP(-B190/$B$10))/(B190/$B$10)-EXP(-B190/$B$10)))</f>
        <v>1.9378649645750395E-2</v>
      </c>
      <c r="C191" s="233">
        <f t="shared" ref="C191:BN191" si="847">IF(C189&lt;0,0,$B$5+$B$6*((1-EXP(-C190/$B$9))/(C190/$B$9))+$B$7*((1-EXP(-C190/$B$9))/(C190/$B$9)-EXP(-C190/$B$9))+$B$8*((1-EXP(-C190/$B$10))/(C190/$B$10)-EXP(-C190/$B$10)))</f>
        <v>1.8438260930347221E-2</v>
      </c>
      <c r="D191" s="233">
        <f t="shared" si="847"/>
        <v>1.7598954046069398E-2</v>
      </c>
      <c r="E191" s="233">
        <f t="shared" si="847"/>
        <v>1.6880454687946404E-2</v>
      </c>
      <c r="F191" s="233">
        <f t="shared" si="847"/>
        <v>1.6247551170386895E-2</v>
      </c>
      <c r="G191" s="233">
        <f t="shared" si="847"/>
        <v>1.5720879301451308E-2</v>
      </c>
      <c r="H191" s="233">
        <f t="shared" si="847"/>
        <v>1.5269817791069555E-2</v>
      </c>
      <c r="I191" s="233">
        <f t="shared" si="847"/>
        <v>1.4907857883362192E-2</v>
      </c>
      <c r="J191" s="233">
        <f t="shared" si="847"/>
        <v>1.4612606177918666E-2</v>
      </c>
      <c r="K191" s="233">
        <f t="shared" si="847"/>
        <v>1.4391461198740185E-2</v>
      </c>
      <c r="L191" s="233">
        <f t="shared" si="847"/>
        <v>1.4229818703975383E-2</v>
      </c>
      <c r="M191" s="233">
        <f t="shared" si="847"/>
        <v>1.4128152525635783E-2</v>
      </c>
      <c r="N191" s="233">
        <f t="shared" si="847"/>
        <v>1.4078220752390153E-2</v>
      </c>
      <c r="O191" s="233">
        <f t="shared" si="847"/>
        <v>1.4077909321554644E-2</v>
      </c>
      <c r="P191" s="233">
        <f t="shared" si="847"/>
        <v>1.4123048260551316E-2</v>
      </c>
      <c r="Q191" s="233">
        <f t="shared" si="847"/>
        <v>1.4207877359052823E-2</v>
      </c>
      <c r="R191" s="233">
        <f t="shared" si="847"/>
        <v>1.4332570513265114E-2</v>
      </c>
      <c r="S191" s="233">
        <f t="shared" si="847"/>
        <v>1.4488343937318612E-2</v>
      </c>
      <c r="T191" s="233">
        <f t="shared" si="847"/>
        <v>1.4677890531264184E-2</v>
      </c>
      <c r="U191" s="233">
        <f t="shared" si="847"/>
        <v>1.489205713769931E-2</v>
      </c>
      <c r="V191" s="233">
        <f t="shared" si="847"/>
        <v>1.5136733692545534E-2</v>
      </c>
      <c r="W191" s="233">
        <f t="shared" si="847"/>
        <v>1.5398654099422537E-2</v>
      </c>
      <c r="X191" s="233">
        <f t="shared" si="847"/>
        <v>1.5687178659487266E-2</v>
      </c>
      <c r="Y191" s="233">
        <f t="shared" si="847"/>
        <v>1.5987444041453372E-2</v>
      </c>
      <c r="Z191" s="233">
        <f t="shared" si="847"/>
        <v>1.6310853882306908E-2</v>
      </c>
      <c r="AA191" s="233">
        <f t="shared" si="847"/>
        <v>1.6641303603584262E-2</v>
      </c>
      <c r="AB191" s="233">
        <f t="shared" si="847"/>
        <v>1.6989878603173497E-2</v>
      </c>
      <c r="AC191" s="233">
        <f t="shared" si="847"/>
        <v>1.7343400637962136E-2</v>
      </c>
      <c r="AD191" s="233">
        <f t="shared" si="847"/>
        <v>1.7714307026805154E-2</v>
      </c>
      <c r="AE191" s="233">
        <f t="shared" si="847"/>
        <v>1.8084891132823855E-2</v>
      </c>
      <c r="AF191" s="233">
        <f t="shared" si="847"/>
        <v>1.8470470025868074E-2</v>
      </c>
      <c r="AG191" s="233">
        <f t="shared" si="847"/>
        <v>1.8852893256204373E-2</v>
      </c>
      <c r="AH191" s="233">
        <f t="shared" si="847"/>
        <v>1.9248204435470623E-2</v>
      </c>
      <c r="AI191" s="233">
        <f t="shared" si="847"/>
        <v>1.9638002421243722E-2</v>
      </c>
      <c r="AJ191" s="233">
        <f t="shared" si="847"/>
        <v>2.0036626384404302E-2</v>
      </c>
      <c r="AK191" s="233">
        <f t="shared" si="847"/>
        <v>2.0429996973331616E-2</v>
      </c>
      <c r="AL191" s="233">
        <f t="shared" si="847"/>
        <v>2.083277393574802E-2</v>
      </c>
      <c r="AM191" s="233">
        <f t="shared" si="847"/>
        <v>2.1226519976898145E-2</v>
      </c>
      <c r="AN191" s="233">
        <f t="shared" si="847"/>
        <v>2.1628240439647395E-2</v>
      </c>
      <c r="AO191" s="233">
        <f t="shared" si="847"/>
        <v>2.2019664255663068E-2</v>
      </c>
      <c r="AP191" s="233">
        <f t="shared" si="847"/>
        <v>2.2417807812909613E-2</v>
      </c>
      <c r="AQ191" s="233">
        <f t="shared" si="847"/>
        <v>2.280466201901829E-2</v>
      </c>
      <c r="AR191" s="233">
        <f t="shared" si="847"/>
        <v>2.3194991530545689E-2</v>
      </c>
      <c r="AS191" s="233">
        <f t="shared" si="847"/>
        <v>2.3575442189295567E-2</v>
      </c>
      <c r="AT191" s="233">
        <f t="shared" si="847"/>
        <v>2.3960560221351845E-2</v>
      </c>
      <c r="AU191" s="233">
        <f t="shared" si="847"/>
        <v>2.4333079853893103E-2</v>
      </c>
      <c r="AV191" s="233">
        <f t="shared" si="847"/>
        <v>2.4709432748583102E-2</v>
      </c>
      <c r="AW191" s="233">
        <f t="shared" si="847"/>
        <v>2.5072807530733029E-2</v>
      </c>
      <c r="AX191" s="233">
        <f t="shared" si="847"/>
        <v>2.543929112899769E-2</v>
      </c>
      <c r="AY191" s="233">
        <f t="shared" si="847"/>
        <v>2.5792565824220501E-2</v>
      </c>
      <c r="AZ191" s="233">
        <f t="shared" si="847"/>
        <v>2.6146382574188567E-2</v>
      </c>
      <c r="BA191" s="233">
        <f t="shared" si="847"/>
        <v>2.6488856399431882E-2</v>
      </c>
      <c r="BB191" s="233">
        <f t="shared" si="847"/>
        <v>2.6833271263795824E-2</v>
      </c>
      <c r="BC191" s="233">
        <f t="shared" si="847"/>
        <v>2.7164375432564183E-2</v>
      </c>
      <c r="BD191" s="233">
        <f t="shared" si="847"/>
        <v>2.7496954345689148E-2</v>
      </c>
      <c r="BE191" s="233">
        <f t="shared" si="847"/>
        <v>2.7816314569245493E-2</v>
      </c>
      <c r="BF191" s="233">
        <f t="shared" si="847"/>
        <v>2.8136749922023391E-2</v>
      </c>
      <c r="BG191" s="233">
        <f t="shared" si="847"/>
        <v>2.8444133173027547E-2</v>
      </c>
      <c r="BH191" s="233">
        <f t="shared" si="847"/>
        <v>2.8750574753356087E-2</v>
      </c>
      <c r="BI191" s="233">
        <f t="shared" si="847"/>
        <v>2.9045901732637824E-2</v>
      </c>
      <c r="BJ191" s="233">
        <f t="shared" si="847"/>
        <v>2.9341674273308457E-2</v>
      </c>
      <c r="BK191" s="233">
        <f t="shared" si="847"/>
        <v>2.9624899792711698E-2</v>
      </c>
      <c r="BL191" s="233">
        <f t="shared" si="847"/>
        <v>2.9908326615609424E-2</v>
      </c>
      <c r="BM191" s="233">
        <f t="shared" si="847"/>
        <v>3.0179524188104392E-2</v>
      </c>
      <c r="BN191" s="233">
        <f t="shared" si="847"/>
        <v>3.0450718427281698E-2</v>
      </c>
      <c r="BO191" s="233">
        <f t="shared" ref="BO191:CB191" si="848">IF(BO189&lt;0,0,$B$5+$B$6*((1-EXP(-BO190/$B$9))/(BO190/$B$9))+$B$7*((1-EXP(-BO190/$B$9))/(BO190/$B$9)-EXP(-BO190/$B$9))+$B$8*((1-EXP(-BO190/$B$10))/(BO190/$B$10)-EXP(-BO190/$B$10)))</f>
        <v>3.0710032514736821E-2</v>
      </c>
      <c r="BP191" s="233">
        <f t="shared" si="848"/>
        <v>3.0967765879181861E-2</v>
      </c>
      <c r="BQ191" s="233">
        <f t="shared" si="848"/>
        <v>3.1215431543944933E-2</v>
      </c>
      <c r="BR191" s="233">
        <f t="shared" si="848"/>
        <v>3.1462784395872884E-2</v>
      </c>
      <c r="BS191" s="233">
        <f t="shared" si="848"/>
        <v>3.1699019328656555E-2</v>
      </c>
      <c r="BT191" s="233">
        <f t="shared" si="848"/>
        <v>3.1934827828910467E-2</v>
      </c>
      <c r="BU191" s="233">
        <f t="shared" si="848"/>
        <v>3.2159920674413853E-2</v>
      </c>
      <c r="BV191" s="233">
        <f t="shared" si="848"/>
        <v>3.238449626653031E-2</v>
      </c>
      <c r="BW191" s="233">
        <f t="shared" si="848"/>
        <v>3.2598765683016298E-2</v>
      </c>
      <c r="BX191" s="233">
        <f t="shared" si="848"/>
        <v>3.2811287439952347E-2</v>
      </c>
      <c r="BY191" s="233">
        <f t="shared" si="848"/>
        <v>3.3015103650740715E-2</v>
      </c>
      <c r="BZ191" s="233">
        <f t="shared" si="848"/>
        <v>3.3218277549066672E-2</v>
      </c>
      <c r="CA191" s="233">
        <f t="shared" si="848"/>
        <v>3.3411969357581048E-2</v>
      </c>
      <c r="CB191" s="233">
        <f t="shared" si="848"/>
        <v>3.3604979336042534E-2</v>
      </c>
      <c r="CC191" s="19"/>
      <c r="CD191" s="19"/>
      <c r="CE191" s="19"/>
    </row>
    <row r="192" spans="1:83">
      <c r="A192" s="16" t="s">
        <v>44</v>
      </c>
      <c r="B192" s="233">
        <f>EXP(-B191*B190)</f>
        <v>0.99709742319832539</v>
      </c>
      <c r="C192" s="233">
        <f t="shared" ref="C192:AR192" si="849">EXP(-C191*C190)</f>
        <v>0.98818788251756728</v>
      </c>
      <c r="D192" s="233">
        <f t="shared" si="849"/>
        <v>0.98001254030527452</v>
      </c>
      <c r="E192" s="233">
        <f t="shared" si="849"/>
        <v>0.97266837738276579</v>
      </c>
      <c r="F192" s="233">
        <f t="shared" si="849"/>
        <v>0.96571443643399546</v>
      </c>
      <c r="G192" s="233">
        <f t="shared" si="849"/>
        <v>0.95932120492474893</v>
      </c>
      <c r="H192" s="233">
        <f t="shared" si="849"/>
        <v>0.95307897404267106</v>
      </c>
      <c r="I192" s="233">
        <f t="shared" si="849"/>
        <v>0.94715791279182238</v>
      </c>
      <c r="J192" s="233">
        <f t="shared" si="849"/>
        <v>0.9411980207180437</v>
      </c>
      <c r="K192" s="233">
        <f t="shared" si="849"/>
        <v>0.93538191698413775</v>
      </c>
      <c r="L192" s="233">
        <f t="shared" si="849"/>
        <v>0.92941073514701722</v>
      </c>
      <c r="M192" s="233">
        <f t="shared" si="849"/>
        <v>0.92342371932207401</v>
      </c>
      <c r="N192" s="233">
        <f t="shared" si="849"/>
        <v>0.91713293927210027</v>
      </c>
      <c r="O192" s="233">
        <f t="shared" si="849"/>
        <v>0.9107729214249507</v>
      </c>
      <c r="P192" s="233">
        <f t="shared" si="849"/>
        <v>0.90402222502844354</v>
      </c>
      <c r="Q192" s="233">
        <f t="shared" si="849"/>
        <v>0.89714982983820069</v>
      </c>
      <c r="R192" s="233">
        <f t="shared" si="849"/>
        <v>0.88982468011875704</v>
      </c>
      <c r="S192" s="233">
        <f t="shared" si="849"/>
        <v>0.88235289661368077</v>
      </c>
      <c r="T192" s="233">
        <f t="shared" si="849"/>
        <v>0.87443231799553922</v>
      </c>
      <c r="U192" s="233">
        <f t="shared" si="849"/>
        <v>0.86631948576137396</v>
      </c>
      <c r="V192" s="233">
        <f t="shared" si="849"/>
        <v>0.85769072269855162</v>
      </c>
      <c r="W192" s="233">
        <f t="shared" si="849"/>
        <v>0.84892724102277894</v>
      </c>
      <c r="X192" s="233">
        <f t="shared" si="849"/>
        <v>0.83964061702804982</v>
      </c>
      <c r="Y192" s="233">
        <f t="shared" si="849"/>
        <v>0.83024729627556593</v>
      </c>
      <c r="Z192" s="233">
        <f t="shared" si="849"/>
        <v>0.82033625895198259</v>
      </c>
      <c r="AA192" s="233">
        <f t="shared" si="849"/>
        <v>0.81035621095898125</v>
      </c>
      <c r="AB192" s="233">
        <f t="shared" si="849"/>
        <v>0.79993234215027365</v>
      </c>
      <c r="AC192" s="233">
        <f t="shared" si="849"/>
        <v>0.78942664563823883</v>
      </c>
      <c r="AD192" s="233">
        <f t="shared" si="849"/>
        <v>0.77844213539891671</v>
      </c>
      <c r="AE192" s="233">
        <f t="shared" si="849"/>
        <v>0.76748047449356915</v>
      </c>
      <c r="AF192" s="233">
        <f t="shared" si="849"/>
        <v>0.75606918423816272</v>
      </c>
      <c r="AG192" s="233">
        <f t="shared" si="849"/>
        <v>0.74472998348676978</v>
      </c>
      <c r="AH192" s="233">
        <f t="shared" si="849"/>
        <v>0.73297430469617619</v>
      </c>
      <c r="AI192" s="233">
        <f t="shared" si="849"/>
        <v>0.72133945561143675</v>
      </c>
      <c r="AJ192" s="233">
        <f t="shared" si="849"/>
        <v>0.70938998378796136</v>
      </c>
      <c r="AK192" s="233">
        <f t="shared" si="849"/>
        <v>0.69754224791173836</v>
      </c>
      <c r="AL192" s="233">
        <f t="shared" si="849"/>
        <v>0.68535008186736601</v>
      </c>
      <c r="AM192" s="233">
        <f t="shared" si="849"/>
        <v>0.67336896544279301</v>
      </c>
      <c r="AN192" s="233">
        <f t="shared" si="849"/>
        <v>0.66108000364823105</v>
      </c>
      <c r="AO192" s="233">
        <f t="shared" si="849"/>
        <v>0.64904174488787636</v>
      </c>
      <c r="AP192" s="233">
        <f t="shared" si="849"/>
        <v>0.63673134103689899</v>
      </c>
      <c r="AQ192" s="233">
        <f t="shared" si="849"/>
        <v>0.62470680787625588</v>
      </c>
      <c r="AR192" s="233">
        <f t="shared" si="849"/>
        <v>0.61251154505049388</v>
      </c>
      <c r="AS192" s="233">
        <f>EXP(-AS191*AS190)</f>
        <v>0.60056498528994606</v>
      </c>
      <c r="AT192" s="233">
        <f t="shared" ref="AT192:CA192" si="850">EXP(-AT191*AT190)</f>
        <v>0.58841248834722792</v>
      </c>
      <c r="AU192" s="233">
        <f t="shared" si="850"/>
        <v>0.57660171261699233</v>
      </c>
      <c r="AV192" s="233">
        <f t="shared" si="850"/>
        <v>0.56461480339188741</v>
      </c>
      <c r="AW192" s="233">
        <f t="shared" si="850"/>
        <v>0.55299035181499978</v>
      </c>
      <c r="AX192" s="233">
        <f t="shared" si="850"/>
        <v>0.5412170427135381</v>
      </c>
      <c r="AY192" s="233">
        <f t="shared" si="850"/>
        <v>0.52982231707995986</v>
      </c>
      <c r="AZ192" s="233">
        <f t="shared" si="850"/>
        <v>0.51836631239712372</v>
      </c>
      <c r="BA192" s="233">
        <f t="shared" si="850"/>
        <v>0.50723699176122961</v>
      </c>
      <c r="BB192" s="233">
        <f t="shared" si="850"/>
        <v>0.49600548914397841</v>
      </c>
      <c r="BC192" s="233">
        <f t="shared" si="850"/>
        <v>0.48517215324013685</v>
      </c>
      <c r="BD192" s="233">
        <f t="shared" si="850"/>
        <v>0.47425617604749387</v>
      </c>
      <c r="BE192" s="233">
        <f t="shared" si="850"/>
        <v>0.46374256850525308</v>
      </c>
      <c r="BF192" s="233">
        <f t="shared" si="850"/>
        <v>0.45316344771901451</v>
      </c>
      <c r="BG192" s="233">
        <f t="shared" si="850"/>
        <v>0.44298768337979705</v>
      </c>
      <c r="BH192" s="233">
        <f t="shared" si="850"/>
        <v>0.43281696568166922</v>
      </c>
      <c r="BI192" s="233">
        <f t="shared" si="850"/>
        <v>0.42299109347633734</v>
      </c>
      <c r="BJ192" s="233">
        <f t="shared" si="850"/>
        <v>0.413127324347769</v>
      </c>
      <c r="BK192" s="233">
        <f t="shared" si="850"/>
        <v>0.40366083749311421</v>
      </c>
      <c r="BL192" s="233">
        <f t="shared" si="850"/>
        <v>0.39416733781019864</v>
      </c>
      <c r="BM192" s="233">
        <f t="shared" si="850"/>
        <v>0.38506481029343548</v>
      </c>
      <c r="BN192" s="233">
        <f t="shared" si="850"/>
        <v>0.37594443912132941</v>
      </c>
      <c r="BO192" s="233">
        <f t="shared" si="850"/>
        <v>0.36720701912754122</v>
      </c>
      <c r="BP192" s="233">
        <f t="shared" si="850"/>
        <v>0.35850694571603436</v>
      </c>
      <c r="BQ192" s="233">
        <f t="shared" si="850"/>
        <v>0.35013185509475436</v>
      </c>
      <c r="BR192" s="233">
        <f t="shared" si="850"/>
        <v>0.34175283170743359</v>
      </c>
      <c r="BS192" s="233">
        <f t="shared" si="850"/>
        <v>0.33373686074671888</v>
      </c>
      <c r="BT192" s="233">
        <f t="shared" si="850"/>
        <v>0.32572206340779458</v>
      </c>
      <c r="BU192" s="233">
        <f t="shared" si="850"/>
        <v>0.31805895897680186</v>
      </c>
      <c r="BV192" s="233">
        <f t="shared" si="850"/>
        <v>0.31040110597103465</v>
      </c>
      <c r="BW192" s="233">
        <f t="shared" si="850"/>
        <v>0.30308296808675877</v>
      </c>
      <c r="BX192" s="233">
        <f t="shared" si="850"/>
        <v>0.29581296370791854</v>
      </c>
      <c r="BY192" s="233">
        <f t="shared" si="850"/>
        <v>0.28882966791695019</v>
      </c>
      <c r="BZ192" s="233">
        <f t="shared" si="850"/>
        <v>0.28185724529810063</v>
      </c>
      <c r="CA192" s="233">
        <f t="shared" si="850"/>
        <v>0.27519952928851449</v>
      </c>
      <c r="CB192" s="233">
        <f>EXP(-CB191*CB190)</f>
        <v>0.26855448301583568</v>
      </c>
      <c r="CC192" s="19"/>
      <c r="CD192" s="19"/>
      <c r="CE192" s="19"/>
    </row>
    <row r="193" spans="1:83">
      <c r="A193" s="17"/>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5"/>
      <c r="AT193" s="5"/>
      <c r="AU193" s="5"/>
      <c r="AV193" s="5"/>
      <c r="AW193" s="5"/>
      <c r="AX193" s="5"/>
      <c r="AY193" s="5"/>
      <c r="AZ193" s="5"/>
      <c r="BA193" s="5"/>
      <c r="BB193" s="5"/>
      <c r="BC193" s="5"/>
      <c r="BD193" s="5"/>
      <c r="BE193" s="5"/>
      <c r="BF193" s="5"/>
      <c r="BG193" s="5"/>
      <c r="BH193" s="5"/>
      <c r="BI193" s="5"/>
      <c r="BJ193" s="5"/>
      <c r="BK193" s="5"/>
      <c r="BL193" s="5"/>
      <c r="BM193" s="5"/>
      <c r="BN193" s="5"/>
      <c r="BO193" s="5"/>
      <c r="BP193" s="5"/>
      <c r="BQ193" s="5"/>
      <c r="BR193" s="5"/>
      <c r="BS193" s="5"/>
      <c r="BT193" s="5"/>
      <c r="BU193" s="5"/>
      <c r="BV193" s="5"/>
      <c r="BW193" s="5"/>
      <c r="BX193" s="5"/>
      <c r="BY193" s="5"/>
      <c r="BZ193" s="5"/>
      <c r="CA193" s="5"/>
      <c r="CB193" s="5"/>
      <c r="CC193" s="19"/>
      <c r="CD193" s="19"/>
      <c r="CE193" s="19"/>
    </row>
    <row r="194" spans="1:83">
      <c r="A194" s="16" t="s">
        <v>40</v>
      </c>
      <c r="B194" s="233">
        <f t="shared" ref="B194:AG194" si="851">DAYS360($B$3,B72)</f>
        <v>153</v>
      </c>
      <c r="C194" s="233">
        <f t="shared" si="851"/>
        <v>332</v>
      </c>
      <c r="D194" s="233">
        <f t="shared" si="851"/>
        <v>512</v>
      </c>
      <c r="E194" s="233">
        <f t="shared" si="851"/>
        <v>692</v>
      </c>
      <c r="F194" s="233">
        <f t="shared" si="851"/>
        <v>872</v>
      </c>
      <c r="G194" s="233">
        <f t="shared" si="851"/>
        <v>1052</v>
      </c>
      <c r="H194" s="233">
        <f t="shared" si="851"/>
        <v>1232</v>
      </c>
      <c r="I194" s="233">
        <f t="shared" si="851"/>
        <v>1412</v>
      </c>
      <c r="J194" s="233">
        <f t="shared" si="851"/>
        <v>1592</v>
      </c>
      <c r="K194" s="233">
        <f t="shared" si="851"/>
        <v>1771</v>
      </c>
      <c r="L194" s="233">
        <f t="shared" si="851"/>
        <v>1951</v>
      </c>
      <c r="M194" s="233">
        <f t="shared" si="851"/>
        <v>2131</v>
      </c>
      <c r="N194" s="233">
        <f t="shared" si="851"/>
        <v>2311</v>
      </c>
      <c r="O194" s="233">
        <f t="shared" si="851"/>
        <v>2491</v>
      </c>
      <c r="P194" s="233">
        <f t="shared" si="851"/>
        <v>2671</v>
      </c>
      <c r="Q194" s="233">
        <f t="shared" si="851"/>
        <v>2851</v>
      </c>
      <c r="R194" s="233">
        <f t="shared" si="851"/>
        <v>3031</v>
      </c>
      <c r="S194" s="233">
        <f t="shared" si="851"/>
        <v>3210</v>
      </c>
      <c r="T194" s="233">
        <f t="shared" si="851"/>
        <v>3390</v>
      </c>
      <c r="U194" s="233">
        <f t="shared" si="851"/>
        <v>3570</v>
      </c>
      <c r="V194" s="233">
        <f t="shared" si="851"/>
        <v>3750</v>
      </c>
      <c r="W194" s="233">
        <f t="shared" si="851"/>
        <v>3930</v>
      </c>
      <c r="X194" s="233">
        <f t="shared" si="851"/>
        <v>4110</v>
      </c>
      <c r="Y194" s="233">
        <f t="shared" si="851"/>
        <v>4290</v>
      </c>
      <c r="Z194" s="233">
        <f t="shared" si="851"/>
        <v>4470</v>
      </c>
      <c r="AA194" s="233">
        <f t="shared" si="851"/>
        <v>4649</v>
      </c>
      <c r="AB194" s="233">
        <f t="shared" si="851"/>
        <v>4829</v>
      </c>
      <c r="AC194" s="233">
        <f t="shared" si="851"/>
        <v>5009</v>
      </c>
      <c r="AD194" s="233">
        <f t="shared" si="851"/>
        <v>5189</v>
      </c>
      <c r="AE194" s="233">
        <f t="shared" si="851"/>
        <v>5369</v>
      </c>
      <c r="AF194" s="233">
        <f t="shared" si="851"/>
        <v>5549</v>
      </c>
      <c r="AG194" s="233">
        <f t="shared" si="851"/>
        <v>5729</v>
      </c>
      <c r="AH194" s="233">
        <f t="shared" ref="AH194:BM194" si="852">DAYS360($B$3,AH72)</f>
        <v>5909</v>
      </c>
      <c r="AI194" s="233">
        <f t="shared" si="852"/>
        <v>6089</v>
      </c>
      <c r="AJ194" s="233">
        <f t="shared" si="852"/>
        <v>6268</v>
      </c>
      <c r="AK194" s="233">
        <f t="shared" si="852"/>
        <v>6449</v>
      </c>
      <c r="AL194" s="233">
        <f t="shared" si="852"/>
        <v>6628</v>
      </c>
      <c r="AM194" s="233">
        <f t="shared" si="852"/>
        <v>6809</v>
      </c>
      <c r="AN194" s="233">
        <f t="shared" si="852"/>
        <v>6988</v>
      </c>
      <c r="AO194" s="233">
        <f t="shared" si="852"/>
        <v>7169</v>
      </c>
      <c r="AP194" s="233">
        <f t="shared" si="852"/>
        <v>7348</v>
      </c>
      <c r="AQ194" s="233">
        <f t="shared" si="852"/>
        <v>7528</v>
      </c>
      <c r="AR194" s="233">
        <f t="shared" si="852"/>
        <v>7707</v>
      </c>
      <c r="AS194" s="233">
        <f t="shared" si="852"/>
        <v>7888</v>
      </c>
      <c r="AT194" s="233">
        <f t="shared" si="852"/>
        <v>8067</v>
      </c>
      <c r="AU194" s="233">
        <f t="shared" si="852"/>
        <v>8248</v>
      </c>
      <c r="AV194" s="233">
        <f t="shared" si="852"/>
        <v>8427</v>
      </c>
      <c r="AW194" s="233">
        <f t="shared" si="852"/>
        <v>8608</v>
      </c>
      <c r="AX194" s="233">
        <f t="shared" si="852"/>
        <v>8787</v>
      </c>
      <c r="AY194" s="233">
        <f t="shared" si="852"/>
        <v>8967</v>
      </c>
      <c r="AZ194" s="233">
        <f t="shared" si="852"/>
        <v>9146</v>
      </c>
      <c r="BA194" s="233">
        <f t="shared" si="852"/>
        <v>9327</v>
      </c>
      <c r="BB194" s="233">
        <f t="shared" si="852"/>
        <v>9506</v>
      </c>
      <c r="BC194" s="233">
        <f t="shared" si="852"/>
        <v>9687</v>
      </c>
      <c r="BD194" s="233">
        <f t="shared" si="852"/>
        <v>9866</v>
      </c>
      <c r="BE194" s="233">
        <f t="shared" si="852"/>
        <v>10047</v>
      </c>
      <c r="BF194" s="233">
        <f t="shared" si="852"/>
        <v>10226</v>
      </c>
      <c r="BG194" s="233">
        <f t="shared" si="852"/>
        <v>10406</v>
      </c>
      <c r="BH194" s="233">
        <f t="shared" si="852"/>
        <v>10585</v>
      </c>
      <c r="BI194" s="233">
        <f t="shared" si="852"/>
        <v>10766</v>
      </c>
      <c r="BJ194" s="233">
        <f t="shared" si="852"/>
        <v>10945</v>
      </c>
      <c r="BK194" s="233">
        <f t="shared" si="852"/>
        <v>11126</v>
      </c>
      <c r="BL194" s="233">
        <f t="shared" si="852"/>
        <v>11305</v>
      </c>
      <c r="BM194" s="233">
        <f t="shared" si="852"/>
        <v>11486</v>
      </c>
      <c r="BN194" s="233">
        <f t="shared" ref="BN194:CB194" si="853">DAYS360($B$3,BN72)</f>
        <v>11665</v>
      </c>
      <c r="BO194" s="233">
        <f t="shared" si="853"/>
        <v>11845</v>
      </c>
      <c r="BP194" s="233">
        <f t="shared" si="853"/>
        <v>12024</v>
      </c>
      <c r="BQ194" s="233">
        <f t="shared" si="853"/>
        <v>12205</v>
      </c>
      <c r="BR194" s="233">
        <f t="shared" si="853"/>
        <v>12384</v>
      </c>
      <c r="BS194" s="233">
        <f t="shared" si="853"/>
        <v>12565</v>
      </c>
      <c r="BT194" s="233">
        <f t="shared" si="853"/>
        <v>12744</v>
      </c>
      <c r="BU194" s="233">
        <f t="shared" si="853"/>
        <v>12925</v>
      </c>
      <c r="BV194" s="233">
        <f t="shared" si="853"/>
        <v>13104</v>
      </c>
      <c r="BW194" s="233">
        <f t="shared" si="853"/>
        <v>13284</v>
      </c>
      <c r="BX194" s="233">
        <f t="shared" si="853"/>
        <v>13463</v>
      </c>
      <c r="BY194" s="233">
        <f t="shared" si="853"/>
        <v>13644</v>
      </c>
      <c r="BZ194" s="233">
        <f t="shared" si="853"/>
        <v>13823</v>
      </c>
      <c r="CA194" s="233">
        <f t="shared" si="853"/>
        <v>14004</v>
      </c>
      <c r="CB194" s="233">
        <f t="shared" si="853"/>
        <v>14183</v>
      </c>
      <c r="CC194" s="19"/>
      <c r="CD194" s="19"/>
      <c r="CE194" s="19"/>
    </row>
    <row r="195" spans="1:83">
      <c r="A195" s="16" t="s">
        <v>41</v>
      </c>
      <c r="B195" s="233">
        <f>B194/360</f>
        <v>0.42499999999999999</v>
      </c>
      <c r="C195" s="233">
        <f t="shared" ref="C195:BN195" si="854">C194/360</f>
        <v>0.92222222222222228</v>
      </c>
      <c r="D195" s="233">
        <f t="shared" si="854"/>
        <v>1.4222222222222223</v>
      </c>
      <c r="E195" s="233">
        <f t="shared" si="854"/>
        <v>1.9222222222222223</v>
      </c>
      <c r="F195" s="233">
        <f t="shared" si="854"/>
        <v>2.4222222222222221</v>
      </c>
      <c r="G195" s="233">
        <f t="shared" si="854"/>
        <v>2.9222222222222221</v>
      </c>
      <c r="H195" s="233">
        <f t="shared" si="854"/>
        <v>3.4222222222222221</v>
      </c>
      <c r="I195" s="233">
        <f t="shared" si="854"/>
        <v>3.9222222222222221</v>
      </c>
      <c r="J195" s="233">
        <f t="shared" si="854"/>
        <v>4.4222222222222225</v>
      </c>
      <c r="K195" s="233">
        <f t="shared" si="854"/>
        <v>4.9194444444444443</v>
      </c>
      <c r="L195" s="233">
        <f t="shared" si="854"/>
        <v>5.4194444444444443</v>
      </c>
      <c r="M195" s="233">
        <f t="shared" si="854"/>
        <v>5.9194444444444443</v>
      </c>
      <c r="N195" s="233">
        <f t="shared" si="854"/>
        <v>6.4194444444444443</v>
      </c>
      <c r="O195" s="233">
        <f t="shared" si="854"/>
        <v>6.9194444444444443</v>
      </c>
      <c r="P195" s="233">
        <f t="shared" si="854"/>
        <v>7.4194444444444443</v>
      </c>
      <c r="Q195" s="233">
        <f t="shared" si="854"/>
        <v>7.9194444444444443</v>
      </c>
      <c r="R195" s="233">
        <f t="shared" si="854"/>
        <v>8.4194444444444443</v>
      </c>
      <c r="S195" s="233">
        <f t="shared" si="854"/>
        <v>8.9166666666666661</v>
      </c>
      <c r="T195" s="233">
        <f t="shared" si="854"/>
        <v>9.4166666666666661</v>
      </c>
      <c r="U195" s="233">
        <f t="shared" si="854"/>
        <v>9.9166666666666661</v>
      </c>
      <c r="V195" s="233">
        <f t="shared" si="854"/>
        <v>10.416666666666666</v>
      </c>
      <c r="W195" s="233">
        <f t="shared" si="854"/>
        <v>10.916666666666666</v>
      </c>
      <c r="X195" s="233">
        <f t="shared" si="854"/>
        <v>11.416666666666666</v>
      </c>
      <c r="Y195" s="233">
        <f t="shared" si="854"/>
        <v>11.916666666666666</v>
      </c>
      <c r="Z195" s="233">
        <f t="shared" si="854"/>
        <v>12.416666666666666</v>
      </c>
      <c r="AA195" s="233">
        <f t="shared" si="854"/>
        <v>12.91388888888889</v>
      </c>
      <c r="AB195" s="233">
        <f t="shared" si="854"/>
        <v>13.41388888888889</v>
      </c>
      <c r="AC195" s="233">
        <f t="shared" si="854"/>
        <v>13.91388888888889</v>
      </c>
      <c r="AD195" s="233">
        <f t="shared" si="854"/>
        <v>14.41388888888889</v>
      </c>
      <c r="AE195" s="233">
        <f t="shared" si="854"/>
        <v>14.91388888888889</v>
      </c>
      <c r="AF195" s="233">
        <f t="shared" si="854"/>
        <v>15.41388888888889</v>
      </c>
      <c r="AG195" s="233">
        <f t="shared" si="854"/>
        <v>15.91388888888889</v>
      </c>
      <c r="AH195" s="233">
        <f t="shared" si="854"/>
        <v>16.413888888888888</v>
      </c>
      <c r="AI195" s="233">
        <f t="shared" si="854"/>
        <v>16.913888888888888</v>
      </c>
      <c r="AJ195" s="233">
        <f t="shared" si="854"/>
        <v>17.411111111111111</v>
      </c>
      <c r="AK195" s="233">
        <f t="shared" si="854"/>
        <v>17.913888888888888</v>
      </c>
      <c r="AL195" s="233">
        <f t="shared" si="854"/>
        <v>18.411111111111111</v>
      </c>
      <c r="AM195" s="233">
        <f t="shared" si="854"/>
        <v>18.913888888888888</v>
      </c>
      <c r="AN195" s="233">
        <f t="shared" si="854"/>
        <v>19.411111111111111</v>
      </c>
      <c r="AO195" s="233">
        <f t="shared" si="854"/>
        <v>19.913888888888888</v>
      </c>
      <c r="AP195" s="233">
        <f t="shared" si="854"/>
        <v>20.411111111111111</v>
      </c>
      <c r="AQ195" s="233">
        <f t="shared" si="854"/>
        <v>20.911111111111111</v>
      </c>
      <c r="AR195" s="233">
        <f t="shared" si="854"/>
        <v>21.408333333333335</v>
      </c>
      <c r="AS195" s="233">
        <f t="shared" si="854"/>
        <v>21.911111111111111</v>
      </c>
      <c r="AT195" s="233">
        <f t="shared" si="854"/>
        <v>22.408333333333335</v>
      </c>
      <c r="AU195" s="233">
        <f t="shared" si="854"/>
        <v>22.911111111111111</v>
      </c>
      <c r="AV195" s="233">
        <f t="shared" si="854"/>
        <v>23.408333333333335</v>
      </c>
      <c r="AW195" s="233">
        <f t="shared" si="854"/>
        <v>23.911111111111111</v>
      </c>
      <c r="AX195" s="233">
        <f t="shared" si="854"/>
        <v>24.408333333333335</v>
      </c>
      <c r="AY195" s="233">
        <f t="shared" si="854"/>
        <v>24.908333333333335</v>
      </c>
      <c r="AZ195" s="233">
        <f t="shared" si="854"/>
        <v>25.405555555555555</v>
      </c>
      <c r="BA195" s="233">
        <f t="shared" si="854"/>
        <v>25.908333333333335</v>
      </c>
      <c r="BB195" s="233">
        <f t="shared" si="854"/>
        <v>26.405555555555555</v>
      </c>
      <c r="BC195" s="233">
        <f t="shared" si="854"/>
        <v>26.908333333333335</v>
      </c>
      <c r="BD195" s="233">
        <f t="shared" si="854"/>
        <v>27.405555555555555</v>
      </c>
      <c r="BE195" s="233">
        <f t="shared" si="854"/>
        <v>27.908333333333335</v>
      </c>
      <c r="BF195" s="233">
        <f t="shared" si="854"/>
        <v>28.405555555555555</v>
      </c>
      <c r="BG195" s="233">
        <f t="shared" si="854"/>
        <v>28.905555555555555</v>
      </c>
      <c r="BH195" s="233">
        <f t="shared" si="854"/>
        <v>29.402777777777779</v>
      </c>
      <c r="BI195" s="233">
        <f t="shared" si="854"/>
        <v>29.905555555555555</v>
      </c>
      <c r="BJ195" s="233">
        <f t="shared" si="854"/>
        <v>30.402777777777779</v>
      </c>
      <c r="BK195" s="233">
        <f t="shared" si="854"/>
        <v>30.905555555555555</v>
      </c>
      <c r="BL195" s="233">
        <f t="shared" si="854"/>
        <v>31.402777777777779</v>
      </c>
      <c r="BM195" s="233">
        <f t="shared" si="854"/>
        <v>31.905555555555555</v>
      </c>
      <c r="BN195" s="233">
        <f t="shared" si="854"/>
        <v>32.402777777777779</v>
      </c>
      <c r="BO195" s="233">
        <f t="shared" ref="BO195:CB195" si="855">BO194/360</f>
        <v>32.902777777777779</v>
      </c>
      <c r="BP195" s="233">
        <f t="shared" si="855"/>
        <v>33.4</v>
      </c>
      <c r="BQ195" s="233">
        <f t="shared" si="855"/>
        <v>33.902777777777779</v>
      </c>
      <c r="BR195" s="233">
        <f t="shared" si="855"/>
        <v>34.4</v>
      </c>
      <c r="BS195" s="233">
        <f t="shared" si="855"/>
        <v>34.902777777777779</v>
      </c>
      <c r="BT195" s="233">
        <f t="shared" si="855"/>
        <v>35.4</v>
      </c>
      <c r="BU195" s="233">
        <f t="shared" si="855"/>
        <v>35.902777777777779</v>
      </c>
      <c r="BV195" s="233">
        <f t="shared" si="855"/>
        <v>36.4</v>
      </c>
      <c r="BW195" s="233">
        <f t="shared" si="855"/>
        <v>36.9</v>
      </c>
      <c r="BX195" s="233">
        <f t="shared" si="855"/>
        <v>37.397222222222226</v>
      </c>
      <c r="BY195" s="233">
        <f t="shared" si="855"/>
        <v>37.9</v>
      </c>
      <c r="BZ195" s="233">
        <f t="shared" si="855"/>
        <v>38.397222222222226</v>
      </c>
      <c r="CA195" s="233">
        <f t="shared" si="855"/>
        <v>38.9</v>
      </c>
      <c r="CB195" s="233">
        <f t="shared" si="855"/>
        <v>39.397222222222226</v>
      </c>
      <c r="CC195" s="19"/>
      <c r="CD195" s="19"/>
      <c r="CE195" s="19"/>
    </row>
    <row r="196" spans="1:83">
      <c r="A196" s="16" t="s">
        <v>43</v>
      </c>
      <c r="B196" s="233">
        <f>IF(B194&lt;0,0,$B$5+$B$6*((1-EXP(-B195/$B$9))/(B195/$B$9))+$B$7*((1-EXP(-B195/$B$9))/(B195/$B$9)-EXP(-B195/$B$9))+$B$8*((1-EXP(-B195/$B$10))/(B195/$B$10)-EXP(-B195/$B$10)))</f>
        <v>1.8841052360241743E-2</v>
      </c>
      <c r="C196" s="233">
        <f t="shared" ref="C196:BN196" si="856">IF(C194&lt;0,0,$B$5+$B$6*((1-EXP(-C195/$B$9))/(C195/$B$9))+$B$7*((1-EXP(-C195/$B$9))/(C195/$B$9)-EXP(-C195/$B$9))+$B$8*((1-EXP(-C195/$B$10))/(C195/$B$10)-EXP(-C195/$B$10)))</f>
        <v>1.7960522475361201E-2</v>
      </c>
      <c r="D196" s="233">
        <f t="shared" si="856"/>
        <v>1.7186752731948845E-2</v>
      </c>
      <c r="E196" s="233">
        <f t="shared" si="856"/>
        <v>1.6517010578328231E-2</v>
      </c>
      <c r="F196" s="233">
        <f t="shared" si="856"/>
        <v>1.5943798957219209E-2</v>
      </c>
      <c r="G196" s="233">
        <f t="shared" si="856"/>
        <v>1.5460075239816025E-2</v>
      </c>
      <c r="H196" s="233">
        <f t="shared" si="856"/>
        <v>1.505922586332175E-2</v>
      </c>
      <c r="I196" s="233">
        <f t="shared" si="856"/>
        <v>1.4735042317256315E-2</v>
      </c>
      <c r="J196" s="233">
        <f t="shared" si="856"/>
        <v>1.4481698409042218E-2</v>
      </c>
      <c r="K196" s="233">
        <f t="shared" si="856"/>
        <v>1.4294601996015573E-2</v>
      </c>
      <c r="L196" s="233">
        <f t="shared" si="856"/>
        <v>1.4166560442713999E-2</v>
      </c>
      <c r="M196" s="233">
        <f t="shared" si="856"/>
        <v>1.4093990173956419E-2</v>
      </c>
      <c r="N196" s="233">
        <f t="shared" si="856"/>
        <v>1.4072388634896363E-2</v>
      </c>
      <c r="O196" s="233">
        <f t="shared" si="856"/>
        <v>1.4097539002249124E-2</v>
      </c>
      <c r="P196" s="233">
        <f t="shared" si="856"/>
        <v>1.4165493845514618E-2</v>
      </c>
      <c r="Q196" s="233">
        <f t="shared" si="856"/>
        <v>1.4272559670174462E-2</v>
      </c>
      <c r="R196" s="233">
        <f t="shared" si="856"/>
        <v>1.4415282296959972E-2</v>
      </c>
      <c r="S196" s="233">
        <f t="shared" si="856"/>
        <v>1.4589376030144097E-2</v>
      </c>
      <c r="T196" s="233">
        <f t="shared" si="856"/>
        <v>1.4793783154407006E-2</v>
      </c>
      <c r="U196" s="233">
        <f t="shared" si="856"/>
        <v>1.5024800983479566E-2</v>
      </c>
      <c r="V196" s="233">
        <f t="shared" si="856"/>
        <v>1.5279800618477932E-2</v>
      </c>
      <c r="W196" s="233">
        <f t="shared" si="856"/>
        <v>1.5556330522947651E-2</v>
      </c>
      <c r="X196" s="233">
        <f t="shared" si="856"/>
        <v>1.5852106073946923E-2</v>
      </c>
      <c r="Y196" s="233">
        <f t="shared" si="856"/>
        <v>1.616499968716327E-2</v>
      </c>
      <c r="Z196" s="233">
        <f t="shared" si="856"/>
        <v>1.6493031485840193E-2</v>
      </c>
      <c r="AA196" s="233">
        <f t="shared" si="856"/>
        <v>1.6832430680318422E-2</v>
      </c>
      <c r="AB196" s="233">
        <f t="shared" si="856"/>
        <v>1.7185286583046216E-2</v>
      </c>
      <c r="AC196" s="233">
        <f t="shared" si="856"/>
        <v>1.7548150036315324E-2</v>
      </c>
      <c r="AD196" s="233">
        <f t="shared" si="856"/>
        <v>1.7919547965082799E-2</v>
      </c>
      <c r="AE196" s="233">
        <f t="shared" si="856"/>
        <v>1.8298115587721445E-2</v>
      </c>
      <c r="AF196" s="233">
        <f t="shared" si="856"/>
        <v>1.8682589792388515E-2</v>
      </c>
      <c r="AG196" s="233">
        <f t="shared" si="856"/>
        <v>1.907180288497437E-2</v>
      </c>
      <c r="AH196" s="233">
        <f t="shared" si="856"/>
        <v>1.946467668880586E-2</v>
      </c>
      <c r="AI196" s="233">
        <f t="shared" si="856"/>
        <v>1.9860216977302336E-2</v>
      </c>
      <c r="AJ196" s="233">
        <f t="shared" si="856"/>
        <v>2.0255297790050572E-2</v>
      </c>
      <c r="AK196" s="233">
        <f t="shared" si="856"/>
        <v>2.0655708637318484E-2</v>
      </c>
      <c r="AL196" s="233">
        <f t="shared" si="856"/>
        <v>2.1051833480594431E-2</v>
      </c>
      <c r="AM196" s="233">
        <f t="shared" si="856"/>
        <v>2.1451810797816398E-2</v>
      </c>
      <c r="AN196" s="233">
        <f t="shared" si="856"/>
        <v>2.1846158410209829E-2</v>
      </c>
      <c r="AO196" s="233">
        <f t="shared" si="856"/>
        <v>2.2243093088428659E-2</v>
      </c>
      <c r="AP196" s="233">
        <f t="shared" si="856"/>
        <v>2.263330862036575E-2</v>
      </c>
      <c r="AQ196" s="233">
        <f t="shared" si="856"/>
        <v>2.3022877067467362E-2</v>
      </c>
      <c r="AR196" s="233">
        <f t="shared" si="856"/>
        <v>2.3407032548865461E-2</v>
      </c>
      <c r="AS196" s="233">
        <f t="shared" si="856"/>
        <v>2.379178429985844E-2</v>
      </c>
      <c r="AT196" s="233">
        <f t="shared" si="856"/>
        <v>2.4168272727628962E-2</v>
      </c>
      <c r="AU196" s="233">
        <f t="shared" si="856"/>
        <v>2.4544586622502529E-2</v>
      </c>
      <c r="AV196" s="233">
        <f t="shared" si="856"/>
        <v>2.4912124721733875E-2</v>
      </c>
      <c r="AW196" s="233">
        <f t="shared" si="856"/>
        <v>2.5278843716272592E-2</v>
      </c>
      <c r="AX196" s="233">
        <f t="shared" si="856"/>
        <v>2.5636416640029566E-2</v>
      </c>
      <c r="AY196" s="233">
        <f t="shared" si="856"/>
        <v>2.5990683277467216E-2</v>
      </c>
      <c r="AZ196" s="233">
        <f t="shared" si="856"/>
        <v>2.6337539132269452E-2</v>
      </c>
      <c r="BA196" s="233">
        <f t="shared" si="856"/>
        <v>2.6682604805971455E-2</v>
      </c>
      <c r="BB196" s="233">
        <f t="shared" si="856"/>
        <v>2.7018131772991935E-2</v>
      </c>
      <c r="BC196" s="233">
        <f t="shared" si="856"/>
        <v>2.7351514164856733E-2</v>
      </c>
      <c r="BD196" s="233">
        <f t="shared" si="856"/>
        <v>2.7675301324891891E-2</v>
      </c>
      <c r="BE196" s="233">
        <f t="shared" si="856"/>
        <v>2.7996662259982832E-2</v>
      </c>
      <c r="BF196" s="233">
        <f t="shared" si="856"/>
        <v>2.8308445832281634E-2</v>
      </c>
      <c r="BG196" s="233">
        <f t="shared" si="856"/>
        <v>2.8615893511617058E-2</v>
      </c>
      <c r="BH196" s="233">
        <f t="shared" si="856"/>
        <v>2.8915568763617117E-2</v>
      </c>
      <c r="BI196" s="233">
        <f t="shared" si="856"/>
        <v>2.9212435099456049E-2</v>
      </c>
      <c r="BJ196" s="233">
        <f t="shared" si="856"/>
        <v>2.9499935602814248E-2</v>
      </c>
      <c r="BK196" s="233">
        <f t="shared" si="856"/>
        <v>2.9784509357773173E-2</v>
      </c>
      <c r="BL196" s="233">
        <f t="shared" si="856"/>
        <v>3.0059891413677195E-2</v>
      </c>
      <c r="BM196" s="233">
        <f t="shared" si="856"/>
        <v>3.033226885284307E-2</v>
      </c>
      <c r="BN196" s="233">
        <f t="shared" si="856"/>
        <v>3.0595663116269239E-2</v>
      </c>
      <c r="BO196" s="233">
        <f t="shared" ref="BO196:CB196" si="857">IF(BO194&lt;0,0,$B$5+$B$6*((1-EXP(-BO195/$B$9))/(BO195/$B$9))+$B$7*((1-EXP(-BO195/$B$9))/(BO195/$B$9)-EXP(-BO195/$B$9))+$B$8*((1-EXP(-BO195/$B$10))/(BO195/$B$10)-EXP(-BO195/$B$10)))</f>
        <v>3.0854587012566326E-2</v>
      </c>
      <c r="BP196" s="233">
        <f t="shared" si="857"/>
        <v>3.1106218023213297E-2</v>
      </c>
      <c r="BQ196" s="233">
        <f t="shared" si="857"/>
        <v>3.1354785603498664E-2</v>
      </c>
      <c r="BR196" s="233">
        <f t="shared" si="857"/>
        <v>3.159486243537532E-2</v>
      </c>
      <c r="BS196" s="233">
        <f t="shared" si="857"/>
        <v>3.1831885052586953E-2</v>
      </c>
      <c r="BT196" s="233">
        <f t="shared" si="857"/>
        <v>3.2060690237827635E-2</v>
      </c>
      <c r="BU196" s="233">
        <f t="shared" si="857"/>
        <v>3.2286470705238587E-2</v>
      </c>
      <c r="BV196" s="233">
        <f t="shared" si="857"/>
        <v>3.2504318675363186E-2</v>
      </c>
      <c r="BW196" s="233">
        <f t="shared" si="857"/>
        <v>3.2718015875880524E-2</v>
      </c>
      <c r="BX196" s="233">
        <f t="shared" si="857"/>
        <v>3.2925274619419964E-2</v>
      </c>
      <c r="BY196" s="233">
        <f t="shared" si="857"/>
        <v>3.3129614763157345E-2</v>
      </c>
      <c r="BZ196" s="233">
        <f t="shared" si="857"/>
        <v>3.3326611456912306E-2</v>
      </c>
      <c r="CA196" s="233">
        <f t="shared" si="857"/>
        <v>3.3520760627508694E-2</v>
      </c>
      <c r="CB196" s="233">
        <f t="shared" si="857"/>
        <v>3.3707865216724794E-2</v>
      </c>
      <c r="CC196" s="19"/>
      <c r="CD196" s="19"/>
      <c r="CE196" s="19"/>
    </row>
    <row r="197" spans="1:83">
      <c r="A197" s="16" t="s">
        <v>44</v>
      </c>
      <c r="B197" s="233">
        <f>EXP(-B196*B195)</f>
        <v>0.99202452695181464</v>
      </c>
      <c r="C197" s="233">
        <f t="shared" ref="C197:AR197" si="858">EXP(-C196*C195)</f>
        <v>0.98357282910456423</v>
      </c>
      <c r="D197" s="233">
        <f t="shared" si="858"/>
        <v>0.97585293852464705</v>
      </c>
      <c r="E197" s="233">
        <f t="shared" si="858"/>
        <v>0.968749354363446</v>
      </c>
      <c r="F197" s="233">
        <f t="shared" si="858"/>
        <v>0.96211679790667082</v>
      </c>
      <c r="G197" s="233">
        <f t="shared" si="858"/>
        <v>0.95582754408218829</v>
      </c>
      <c r="H197" s="233">
        <f t="shared" si="858"/>
        <v>0.94976944112130046</v>
      </c>
      <c r="I197" s="233">
        <f t="shared" si="858"/>
        <v>0.94384425512841352</v>
      </c>
      <c r="J197" s="233">
        <f t="shared" si="858"/>
        <v>0.9379662714920759</v>
      </c>
      <c r="K197" s="233">
        <f t="shared" si="858"/>
        <v>0.93209410312545715</v>
      </c>
      <c r="L197" s="233">
        <f t="shared" si="858"/>
        <v>0.9260983066441465</v>
      </c>
      <c r="M197" s="233">
        <f t="shared" si="858"/>
        <v>0.91995677675085319</v>
      </c>
      <c r="N197" s="233">
        <f t="shared" si="858"/>
        <v>0.91362331814512943</v>
      </c>
      <c r="O197" s="233">
        <f t="shared" si="858"/>
        <v>0.90705958363738792</v>
      </c>
      <c r="P197" s="233">
        <f t="shared" si="858"/>
        <v>0.90023440945987299</v>
      </c>
      <c r="Q197" s="233">
        <f t="shared" si="858"/>
        <v>0.89312320206083939</v>
      </c>
      <c r="R197" s="233">
        <f t="shared" si="858"/>
        <v>0.88570736703202002</v>
      </c>
      <c r="S197" s="233">
        <f t="shared" si="858"/>
        <v>0.87801763253440879</v>
      </c>
      <c r="T197" s="233">
        <f t="shared" si="858"/>
        <v>0.86995993101041547</v>
      </c>
      <c r="U197" s="233">
        <f t="shared" si="858"/>
        <v>0.86157261021770404</v>
      </c>
      <c r="V197" s="233">
        <f t="shared" si="858"/>
        <v>0.85285597604275465</v>
      </c>
      <c r="W197" s="233">
        <f t="shared" si="858"/>
        <v>0.84381392654147169</v>
      </c>
      <c r="X197" s="233">
        <f t="shared" si="858"/>
        <v>0.83445354039680952</v>
      </c>
      <c r="Y197" s="233">
        <f t="shared" si="858"/>
        <v>0.8247846863615641</v>
      </c>
      <c r="Z197" s="233">
        <f t="shared" si="858"/>
        <v>0.81481965349573526</v>
      </c>
      <c r="AA197" s="233">
        <f t="shared" si="858"/>
        <v>0.80463047876965943</v>
      </c>
      <c r="AB197" s="233">
        <f t="shared" si="858"/>
        <v>0.79411934159900532</v>
      </c>
      <c r="AC197" s="233">
        <f t="shared" si="858"/>
        <v>0.78335992850073244</v>
      </c>
      <c r="AD197" s="233">
        <f t="shared" si="858"/>
        <v>0.77237092364194793</v>
      </c>
      <c r="AE197" s="233">
        <f t="shared" si="858"/>
        <v>0.76117189763043469</v>
      </c>
      <c r="AF197" s="233">
        <f t="shared" si="858"/>
        <v>0.74978306330681488</v>
      </c>
      <c r="AG197" s="233">
        <f t="shared" si="858"/>
        <v>0.73822505224896851</v>
      </c>
      <c r="AH197" s="233">
        <f t="shared" si="858"/>
        <v>0.72651871164338455</v>
      </c>
      <c r="AI197" s="233">
        <f t="shared" si="858"/>
        <v>0.71468492105603887</v>
      </c>
      <c r="AJ197" s="233">
        <f t="shared" si="858"/>
        <v>0.70281102157733044</v>
      </c>
      <c r="AK197" s="233">
        <f t="shared" si="858"/>
        <v>0.69071770524187459</v>
      </c>
      <c r="AL197" s="233">
        <f t="shared" si="858"/>
        <v>0.67869214746511008</v>
      </c>
      <c r="AM197" s="233">
        <f t="shared" si="858"/>
        <v>0.66648531947810807</v>
      </c>
      <c r="AN197" s="233">
        <f t="shared" si="858"/>
        <v>0.65438579014757958</v>
      </c>
      <c r="AO197" s="233">
        <f t="shared" si="858"/>
        <v>0.64214157081869594</v>
      </c>
      <c r="AP197" s="233">
        <f t="shared" si="858"/>
        <v>0.63004062530634608</v>
      </c>
      <c r="AQ197" s="233">
        <f t="shared" si="858"/>
        <v>0.61789672913025495</v>
      </c>
      <c r="AR197" s="233">
        <f t="shared" si="858"/>
        <v>0.60586047714813041</v>
      </c>
      <c r="AS197" s="233">
        <f>EXP(-AS196*AS195)</f>
        <v>0.59374554351180209</v>
      </c>
      <c r="AT197" s="233">
        <f t="shared" ref="AT197:CA197" si="859">EXP(-AT196*AT195)</f>
        <v>0.58183364155004458</v>
      </c>
      <c r="AU197" s="233">
        <f t="shared" si="859"/>
        <v>0.56987185952103614</v>
      </c>
      <c r="AV197" s="233">
        <f t="shared" si="859"/>
        <v>0.55813672511462387</v>
      </c>
      <c r="AW197" s="233">
        <f t="shared" si="859"/>
        <v>0.54637745046374153</v>
      </c>
      <c r="AX197" s="233">
        <f t="shared" si="859"/>
        <v>0.53486430336814028</v>
      </c>
      <c r="AY197" s="233">
        <f t="shared" si="859"/>
        <v>0.52341292094265335</v>
      </c>
      <c r="AZ197" s="233">
        <f t="shared" si="859"/>
        <v>0.51215917498214292</v>
      </c>
      <c r="BA197" s="233">
        <f t="shared" si="859"/>
        <v>0.50092353238588205</v>
      </c>
      <c r="BB197" s="233">
        <f t="shared" si="859"/>
        <v>0.48996134461063268</v>
      </c>
      <c r="BC197" s="233">
        <f t="shared" si="859"/>
        <v>0.47903402038771603</v>
      </c>
      <c r="BD197" s="233">
        <f t="shared" si="859"/>
        <v>0.46838858957891116</v>
      </c>
      <c r="BE197" s="233">
        <f t="shared" si="859"/>
        <v>0.45779207504303976</v>
      </c>
      <c r="BF197" s="233">
        <f t="shared" si="859"/>
        <v>0.44748282102264325</v>
      </c>
      <c r="BG197" s="233">
        <f t="shared" si="859"/>
        <v>0.43729016999627418</v>
      </c>
      <c r="BH197" s="233">
        <f t="shared" si="859"/>
        <v>0.42733029393364858</v>
      </c>
      <c r="BI197" s="233">
        <f t="shared" si="859"/>
        <v>0.41744014894841047</v>
      </c>
      <c r="BJ197" s="233">
        <f t="shared" si="859"/>
        <v>0.40784014346313491</v>
      </c>
      <c r="BK197" s="233">
        <f t="shared" si="859"/>
        <v>0.39831711935881681</v>
      </c>
      <c r="BL197" s="233">
        <f t="shared" si="859"/>
        <v>0.38908241654177711</v>
      </c>
      <c r="BM197" s="233">
        <f t="shared" si="859"/>
        <v>0.37993013857813734</v>
      </c>
      <c r="BN197" s="233">
        <f t="shared" si="859"/>
        <v>0.37106260910390093</v>
      </c>
      <c r="BO197" s="233">
        <f t="shared" si="859"/>
        <v>0.36232936965642082</v>
      </c>
      <c r="BP197" s="233">
        <f t="shared" si="859"/>
        <v>0.35382682446330238</v>
      </c>
      <c r="BQ197" s="233">
        <f t="shared" si="859"/>
        <v>0.34541305107651338</v>
      </c>
      <c r="BR197" s="233">
        <f t="shared" si="859"/>
        <v>0.3372727705792618</v>
      </c>
      <c r="BS197" s="233">
        <f t="shared" si="859"/>
        <v>0.32922258387519915</v>
      </c>
      <c r="BT197" s="233">
        <f t="shared" si="859"/>
        <v>0.32143869608013215</v>
      </c>
      <c r="BU197" s="233">
        <f t="shared" si="859"/>
        <v>0.31374523278607364</v>
      </c>
      <c r="BV197" s="233">
        <f t="shared" si="859"/>
        <v>0.30631012808726893</v>
      </c>
      <c r="BW197" s="233">
        <f t="shared" si="859"/>
        <v>0.29900505905446523</v>
      </c>
      <c r="BX197" s="233">
        <f t="shared" si="859"/>
        <v>0.29190881243403788</v>
      </c>
      <c r="BY197" s="233">
        <f t="shared" si="859"/>
        <v>0.28490132135633295</v>
      </c>
      <c r="BZ197" s="233">
        <f t="shared" si="859"/>
        <v>0.27813482355874974</v>
      </c>
      <c r="CA197" s="233">
        <f t="shared" si="859"/>
        <v>0.27145535582121438</v>
      </c>
      <c r="CB197" s="233">
        <f>EXP(-CB196*CB195)</f>
        <v>0.2650077371631599</v>
      </c>
      <c r="CC197" s="19"/>
      <c r="CD197" s="19"/>
      <c r="CE197" s="19"/>
    </row>
    <row r="198" spans="1:83">
      <c r="A198" s="17"/>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5"/>
      <c r="AT198" s="5"/>
      <c r="AU198" s="5"/>
      <c r="AV198" s="5"/>
      <c r="AW198" s="5"/>
      <c r="AX198" s="5"/>
      <c r="AY198" s="5"/>
      <c r="AZ198" s="5"/>
      <c r="BA198" s="5"/>
      <c r="BB198" s="5"/>
      <c r="BC198" s="5"/>
      <c r="BD198" s="5"/>
      <c r="BE198" s="5"/>
      <c r="BF198" s="5"/>
      <c r="BG198" s="5"/>
      <c r="BH198" s="5"/>
      <c r="BI198" s="5"/>
      <c r="BJ198" s="5"/>
      <c r="BK198" s="5"/>
      <c r="BL198" s="5"/>
      <c r="BM198" s="5"/>
      <c r="BN198" s="5"/>
      <c r="BO198" s="5"/>
      <c r="BP198" s="5"/>
      <c r="BQ198" s="5"/>
      <c r="BR198" s="5"/>
      <c r="BS198" s="5"/>
      <c r="BT198" s="5"/>
      <c r="BU198" s="5"/>
      <c r="BV198" s="5"/>
      <c r="BW198" s="5"/>
      <c r="BX198" s="5"/>
      <c r="BY198" s="5"/>
      <c r="BZ198" s="5"/>
      <c r="CA198" s="5"/>
      <c r="CB198" s="5"/>
      <c r="CC198" s="19"/>
      <c r="CD198" s="19"/>
      <c r="CE198" s="19"/>
    </row>
    <row r="199" spans="1:83">
      <c r="A199" s="16" t="s">
        <v>40</v>
      </c>
      <c r="B199" s="233">
        <f t="shared" ref="B199:AG199" si="860">DAYS360($B$3,B74)</f>
        <v>54</v>
      </c>
      <c r="C199" s="233">
        <f t="shared" si="860"/>
        <v>232</v>
      </c>
      <c r="D199" s="233">
        <f t="shared" si="860"/>
        <v>413</v>
      </c>
      <c r="E199" s="233">
        <f t="shared" si="860"/>
        <v>591</v>
      </c>
      <c r="F199" s="233">
        <f t="shared" si="860"/>
        <v>773</v>
      </c>
      <c r="G199" s="233">
        <f t="shared" si="860"/>
        <v>951</v>
      </c>
      <c r="H199" s="233">
        <f t="shared" si="860"/>
        <v>1133</v>
      </c>
      <c r="I199" s="233">
        <f t="shared" si="860"/>
        <v>1311</v>
      </c>
      <c r="J199" s="233">
        <f t="shared" si="860"/>
        <v>1493</v>
      </c>
      <c r="K199" s="233">
        <f t="shared" si="860"/>
        <v>1671</v>
      </c>
      <c r="L199" s="233">
        <f t="shared" si="860"/>
        <v>1852</v>
      </c>
      <c r="M199" s="233">
        <f t="shared" si="860"/>
        <v>2030</v>
      </c>
      <c r="N199" s="233">
        <f t="shared" si="860"/>
        <v>2212</v>
      </c>
      <c r="O199" s="233">
        <f t="shared" si="860"/>
        <v>2390</v>
      </c>
      <c r="P199" s="233">
        <f t="shared" si="860"/>
        <v>2572</v>
      </c>
      <c r="Q199" s="233">
        <f t="shared" si="860"/>
        <v>2750</v>
      </c>
      <c r="R199" s="233">
        <f t="shared" si="860"/>
        <v>2932</v>
      </c>
      <c r="S199" s="233">
        <f t="shared" si="860"/>
        <v>3110</v>
      </c>
      <c r="T199" s="233">
        <f t="shared" si="860"/>
        <v>3291</v>
      </c>
      <c r="U199" s="233">
        <f t="shared" si="860"/>
        <v>3469</v>
      </c>
      <c r="V199" s="233">
        <f t="shared" si="860"/>
        <v>3651</v>
      </c>
      <c r="W199" s="233">
        <f t="shared" si="860"/>
        <v>3829</v>
      </c>
      <c r="X199" s="233">
        <f t="shared" si="860"/>
        <v>4011</v>
      </c>
      <c r="Y199" s="233">
        <f t="shared" si="860"/>
        <v>4189</v>
      </c>
      <c r="Z199" s="233">
        <f t="shared" si="860"/>
        <v>4371</v>
      </c>
      <c r="AA199" s="233">
        <f t="shared" si="860"/>
        <v>4549</v>
      </c>
      <c r="AB199" s="233">
        <f t="shared" si="860"/>
        <v>4730</v>
      </c>
      <c r="AC199" s="233">
        <f t="shared" si="860"/>
        <v>4908</v>
      </c>
      <c r="AD199" s="233">
        <f t="shared" si="860"/>
        <v>5090</v>
      </c>
      <c r="AE199" s="233">
        <f t="shared" si="860"/>
        <v>5268</v>
      </c>
      <c r="AF199" s="233">
        <f t="shared" si="860"/>
        <v>5450</v>
      </c>
      <c r="AG199" s="233">
        <f t="shared" si="860"/>
        <v>5628</v>
      </c>
      <c r="AH199" s="233">
        <f t="shared" ref="AH199:BM199" si="861">DAYS360($B$3,AH74)</f>
        <v>5810</v>
      </c>
      <c r="AI199" s="233">
        <f t="shared" si="861"/>
        <v>5988</v>
      </c>
      <c r="AJ199" s="233">
        <f t="shared" si="861"/>
        <v>6169</v>
      </c>
      <c r="AK199" s="233">
        <f t="shared" si="861"/>
        <v>6347</v>
      </c>
      <c r="AL199" s="233">
        <f t="shared" si="861"/>
        <v>6529</v>
      </c>
      <c r="AM199" s="233">
        <f t="shared" si="861"/>
        <v>6707</v>
      </c>
      <c r="AN199" s="233">
        <f t="shared" si="861"/>
        <v>6889</v>
      </c>
      <c r="AO199" s="233">
        <f t="shared" si="861"/>
        <v>7067</v>
      </c>
      <c r="AP199" s="233">
        <f t="shared" si="861"/>
        <v>7249</v>
      </c>
      <c r="AQ199" s="233">
        <f t="shared" si="861"/>
        <v>7427</v>
      </c>
      <c r="AR199" s="233">
        <f t="shared" si="861"/>
        <v>7608</v>
      </c>
      <c r="AS199" s="233">
        <f t="shared" si="861"/>
        <v>7786</v>
      </c>
      <c r="AT199" s="233">
        <f t="shared" si="861"/>
        <v>7968</v>
      </c>
      <c r="AU199" s="233">
        <f t="shared" si="861"/>
        <v>8146</v>
      </c>
      <c r="AV199" s="233">
        <f t="shared" si="861"/>
        <v>8328</v>
      </c>
      <c r="AW199" s="233">
        <f t="shared" si="861"/>
        <v>8506</v>
      </c>
      <c r="AX199" s="233">
        <f t="shared" si="861"/>
        <v>8688</v>
      </c>
      <c r="AY199" s="233">
        <f t="shared" si="861"/>
        <v>8866</v>
      </c>
      <c r="AZ199" s="233">
        <f t="shared" si="861"/>
        <v>9047</v>
      </c>
      <c r="BA199" s="233">
        <f t="shared" si="861"/>
        <v>9225</v>
      </c>
      <c r="BB199" s="233">
        <f t="shared" si="861"/>
        <v>9407</v>
      </c>
      <c r="BC199" s="233">
        <f t="shared" si="861"/>
        <v>9585</v>
      </c>
      <c r="BD199" s="233">
        <f t="shared" si="861"/>
        <v>9767</v>
      </c>
      <c r="BE199" s="233">
        <f t="shared" si="861"/>
        <v>9945</v>
      </c>
      <c r="BF199" s="233">
        <f t="shared" si="861"/>
        <v>10127</v>
      </c>
      <c r="BG199" s="233">
        <f t="shared" si="861"/>
        <v>10305</v>
      </c>
      <c r="BH199" s="233">
        <f t="shared" si="861"/>
        <v>10486</v>
      </c>
      <c r="BI199" s="233">
        <f t="shared" si="861"/>
        <v>10664</v>
      </c>
      <c r="BJ199" s="233">
        <f t="shared" si="861"/>
        <v>10846</v>
      </c>
      <c r="BK199" s="233">
        <f t="shared" si="861"/>
        <v>11024</v>
      </c>
      <c r="BL199" s="233">
        <f t="shared" si="861"/>
        <v>11206</v>
      </c>
      <c r="BM199" s="233">
        <f t="shared" si="861"/>
        <v>11384</v>
      </c>
      <c r="BN199" s="233">
        <f t="shared" ref="BN199:CB199" si="862">DAYS360($B$3,BN74)</f>
        <v>11566</v>
      </c>
      <c r="BO199" s="233">
        <f t="shared" si="862"/>
        <v>11744</v>
      </c>
      <c r="BP199" s="233">
        <f t="shared" si="862"/>
        <v>11925</v>
      </c>
      <c r="BQ199" s="233">
        <f t="shared" si="862"/>
        <v>12103</v>
      </c>
      <c r="BR199" s="233">
        <f t="shared" si="862"/>
        <v>12285</v>
      </c>
      <c r="BS199" s="233">
        <f t="shared" si="862"/>
        <v>12463</v>
      </c>
      <c r="BT199" s="233">
        <f t="shared" si="862"/>
        <v>12645</v>
      </c>
      <c r="BU199" s="233">
        <f t="shared" si="862"/>
        <v>12823</v>
      </c>
      <c r="BV199" s="233">
        <f t="shared" si="862"/>
        <v>13005</v>
      </c>
      <c r="BW199" s="233">
        <f t="shared" si="862"/>
        <v>13183</v>
      </c>
      <c r="BX199" s="233">
        <f t="shared" si="862"/>
        <v>13364</v>
      </c>
      <c r="BY199" s="233">
        <f t="shared" si="862"/>
        <v>13542</v>
      </c>
      <c r="BZ199" s="233">
        <f t="shared" si="862"/>
        <v>13724</v>
      </c>
      <c r="CA199" s="233">
        <f t="shared" si="862"/>
        <v>13902</v>
      </c>
      <c r="CB199" s="233">
        <f t="shared" si="862"/>
        <v>14084</v>
      </c>
      <c r="CC199" s="19"/>
      <c r="CD199" s="19"/>
      <c r="CE199" s="19"/>
    </row>
    <row r="200" spans="1:83">
      <c r="A200" s="16" t="s">
        <v>41</v>
      </c>
      <c r="B200" s="233">
        <f>B199/360</f>
        <v>0.15</v>
      </c>
      <c r="C200" s="233">
        <f t="shared" ref="C200:BN200" si="863">C199/360</f>
        <v>0.64444444444444449</v>
      </c>
      <c r="D200" s="233">
        <f t="shared" si="863"/>
        <v>1.1472222222222221</v>
      </c>
      <c r="E200" s="233">
        <f t="shared" si="863"/>
        <v>1.6416666666666666</v>
      </c>
      <c r="F200" s="233">
        <f t="shared" si="863"/>
        <v>2.1472222222222221</v>
      </c>
      <c r="G200" s="233">
        <f t="shared" si="863"/>
        <v>2.6416666666666666</v>
      </c>
      <c r="H200" s="233">
        <f t="shared" si="863"/>
        <v>3.1472222222222221</v>
      </c>
      <c r="I200" s="233">
        <f t="shared" si="863"/>
        <v>3.6416666666666666</v>
      </c>
      <c r="J200" s="233">
        <f t="shared" si="863"/>
        <v>4.1472222222222221</v>
      </c>
      <c r="K200" s="233">
        <f t="shared" si="863"/>
        <v>4.6416666666666666</v>
      </c>
      <c r="L200" s="233">
        <f t="shared" si="863"/>
        <v>5.1444444444444448</v>
      </c>
      <c r="M200" s="233">
        <f t="shared" si="863"/>
        <v>5.6388888888888893</v>
      </c>
      <c r="N200" s="233">
        <f t="shared" si="863"/>
        <v>6.1444444444444448</v>
      </c>
      <c r="O200" s="233">
        <f t="shared" si="863"/>
        <v>6.6388888888888893</v>
      </c>
      <c r="P200" s="233">
        <f t="shared" si="863"/>
        <v>7.1444444444444448</v>
      </c>
      <c r="Q200" s="233">
        <f t="shared" si="863"/>
        <v>7.6388888888888893</v>
      </c>
      <c r="R200" s="233">
        <f t="shared" si="863"/>
        <v>8.1444444444444439</v>
      </c>
      <c r="S200" s="233">
        <f t="shared" si="863"/>
        <v>8.6388888888888893</v>
      </c>
      <c r="T200" s="233">
        <f t="shared" si="863"/>
        <v>9.1416666666666675</v>
      </c>
      <c r="U200" s="233">
        <f t="shared" si="863"/>
        <v>9.6361111111111111</v>
      </c>
      <c r="V200" s="233">
        <f t="shared" si="863"/>
        <v>10.141666666666667</v>
      </c>
      <c r="W200" s="233">
        <f t="shared" si="863"/>
        <v>10.636111111111111</v>
      </c>
      <c r="X200" s="233">
        <f t="shared" si="863"/>
        <v>11.141666666666667</v>
      </c>
      <c r="Y200" s="233">
        <f t="shared" si="863"/>
        <v>11.636111111111111</v>
      </c>
      <c r="Z200" s="233">
        <f t="shared" si="863"/>
        <v>12.141666666666667</v>
      </c>
      <c r="AA200" s="233">
        <f t="shared" si="863"/>
        <v>12.636111111111111</v>
      </c>
      <c r="AB200" s="233">
        <f t="shared" si="863"/>
        <v>13.138888888888889</v>
      </c>
      <c r="AC200" s="233">
        <f t="shared" si="863"/>
        <v>13.633333333333333</v>
      </c>
      <c r="AD200" s="233">
        <f t="shared" si="863"/>
        <v>14.138888888888889</v>
      </c>
      <c r="AE200" s="233">
        <f t="shared" si="863"/>
        <v>14.633333333333333</v>
      </c>
      <c r="AF200" s="233">
        <f t="shared" si="863"/>
        <v>15.138888888888889</v>
      </c>
      <c r="AG200" s="233">
        <f t="shared" si="863"/>
        <v>15.633333333333333</v>
      </c>
      <c r="AH200" s="233">
        <f t="shared" si="863"/>
        <v>16.138888888888889</v>
      </c>
      <c r="AI200" s="233">
        <f t="shared" si="863"/>
        <v>16.633333333333333</v>
      </c>
      <c r="AJ200" s="233">
        <f t="shared" si="863"/>
        <v>17.136111111111113</v>
      </c>
      <c r="AK200" s="233">
        <f t="shared" si="863"/>
        <v>17.630555555555556</v>
      </c>
      <c r="AL200" s="233">
        <f t="shared" si="863"/>
        <v>18.136111111111113</v>
      </c>
      <c r="AM200" s="233">
        <f t="shared" si="863"/>
        <v>18.630555555555556</v>
      </c>
      <c r="AN200" s="233">
        <f t="shared" si="863"/>
        <v>19.136111111111113</v>
      </c>
      <c r="AO200" s="233">
        <f t="shared" si="863"/>
        <v>19.630555555555556</v>
      </c>
      <c r="AP200" s="233">
        <f t="shared" si="863"/>
        <v>20.136111111111113</v>
      </c>
      <c r="AQ200" s="233">
        <f t="shared" si="863"/>
        <v>20.630555555555556</v>
      </c>
      <c r="AR200" s="233">
        <f t="shared" si="863"/>
        <v>21.133333333333333</v>
      </c>
      <c r="AS200" s="233">
        <f t="shared" si="863"/>
        <v>21.627777777777776</v>
      </c>
      <c r="AT200" s="233">
        <f t="shared" si="863"/>
        <v>22.133333333333333</v>
      </c>
      <c r="AU200" s="233">
        <f t="shared" si="863"/>
        <v>22.627777777777776</v>
      </c>
      <c r="AV200" s="233">
        <f t="shared" si="863"/>
        <v>23.133333333333333</v>
      </c>
      <c r="AW200" s="233">
        <f t="shared" si="863"/>
        <v>23.627777777777776</v>
      </c>
      <c r="AX200" s="233">
        <f t="shared" si="863"/>
        <v>24.133333333333333</v>
      </c>
      <c r="AY200" s="233">
        <f t="shared" si="863"/>
        <v>24.627777777777776</v>
      </c>
      <c r="AZ200" s="233">
        <f t="shared" si="863"/>
        <v>25.130555555555556</v>
      </c>
      <c r="BA200" s="233">
        <f t="shared" si="863"/>
        <v>25.625</v>
      </c>
      <c r="BB200" s="233">
        <f t="shared" si="863"/>
        <v>26.130555555555556</v>
      </c>
      <c r="BC200" s="233">
        <f t="shared" si="863"/>
        <v>26.625</v>
      </c>
      <c r="BD200" s="233">
        <f t="shared" si="863"/>
        <v>27.130555555555556</v>
      </c>
      <c r="BE200" s="233">
        <f t="shared" si="863"/>
        <v>27.625</v>
      </c>
      <c r="BF200" s="233">
        <f t="shared" si="863"/>
        <v>28.130555555555556</v>
      </c>
      <c r="BG200" s="233">
        <f t="shared" si="863"/>
        <v>28.625</v>
      </c>
      <c r="BH200" s="233">
        <f t="shared" si="863"/>
        <v>29.127777777777776</v>
      </c>
      <c r="BI200" s="233">
        <f t="shared" si="863"/>
        <v>29.622222222222224</v>
      </c>
      <c r="BJ200" s="233">
        <f t="shared" si="863"/>
        <v>30.127777777777776</v>
      </c>
      <c r="BK200" s="233">
        <f t="shared" si="863"/>
        <v>30.622222222222224</v>
      </c>
      <c r="BL200" s="233">
        <f t="shared" si="863"/>
        <v>31.127777777777776</v>
      </c>
      <c r="BM200" s="233">
        <f t="shared" si="863"/>
        <v>31.622222222222224</v>
      </c>
      <c r="BN200" s="233">
        <f t="shared" si="863"/>
        <v>32.12777777777778</v>
      </c>
      <c r="BO200" s="233">
        <f t="shared" ref="BO200:CB200" si="864">BO199/360</f>
        <v>32.62222222222222</v>
      </c>
      <c r="BP200" s="233">
        <f t="shared" si="864"/>
        <v>33.125</v>
      </c>
      <c r="BQ200" s="233">
        <f t="shared" si="864"/>
        <v>33.619444444444447</v>
      </c>
      <c r="BR200" s="233">
        <f t="shared" si="864"/>
        <v>34.125</v>
      </c>
      <c r="BS200" s="233">
        <f t="shared" si="864"/>
        <v>34.619444444444447</v>
      </c>
      <c r="BT200" s="233">
        <f t="shared" si="864"/>
        <v>35.125</v>
      </c>
      <c r="BU200" s="233">
        <f t="shared" si="864"/>
        <v>35.619444444444447</v>
      </c>
      <c r="BV200" s="233">
        <f t="shared" si="864"/>
        <v>36.125</v>
      </c>
      <c r="BW200" s="233">
        <f t="shared" si="864"/>
        <v>36.619444444444447</v>
      </c>
      <c r="BX200" s="233">
        <f t="shared" si="864"/>
        <v>37.12222222222222</v>
      </c>
      <c r="BY200" s="233">
        <f t="shared" si="864"/>
        <v>37.616666666666667</v>
      </c>
      <c r="BZ200" s="233">
        <f t="shared" si="864"/>
        <v>38.12222222222222</v>
      </c>
      <c r="CA200" s="233">
        <f t="shared" si="864"/>
        <v>38.616666666666667</v>
      </c>
      <c r="CB200" s="233">
        <f t="shared" si="864"/>
        <v>39.12222222222222</v>
      </c>
      <c r="CC200" s="19"/>
      <c r="CD200" s="19"/>
      <c r="CE200" s="19"/>
    </row>
    <row r="201" spans="1:83">
      <c r="A201" s="16" t="s">
        <v>43</v>
      </c>
      <c r="B201" s="233">
        <f>IF(B199&lt;0,0,$B$5+$B$6*((1-EXP(-B200/$B$9))/(B200/$B$9))+$B$7*((1-EXP(-B200/$B$9))/(B200/$B$9)-EXP(-B200/$B$9))+$B$8*((1-EXP(-B200/$B$10))/(B200/$B$10)-EXP(-B200/$B$10)))</f>
        <v>1.9378649645750395E-2</v>
      </c>
      <c r="C201" s="233">
        <f t="shared" ref="C201:BN201" si="865">IF(C199&lt;0,0,$B$5+$B$6*((1-EXP(-C200/$B$9))/(C200/$B$9))+$B$7*((1-EXP(-C200/$B$9))/(C200/$B$9)-EXP(-C200/$B$9))+$B$8*((1-EXP(-C200/$B$10))/(C200/$B$10)-EXP(-C200/$B$10)))</f>
        <v>1.8438260930347221E-2</v>
      </c>
      <c r="D201" s="233">
        <f t="shared" si="865"/>
        <v>1.7598954046069398E-2</v>
      </c>
      <c r="E201" s="233">
        <f t="shared" si="865"/>
        <v>1.6880454687946404E-2</v>
      </c>
      <c r="F201" s="233">
        <f t="shared" si="865"/>
        <v>1.6247551170386895E-2</v>
      </c>
      <c r="G201" s="233">
        <f t="shared" si="865"/>
        <v>1.5720879301451308E-2</v>
      </c>
      <c r="H201" s="233">
        <f t="shared" si="865"/>
        <v>1.5269817791069555E-2</v>
      </c>
      <c r="I201" s="233">
        <f t="shared" si="865"/>
        <v>1.4907857883362192E-2</v>
      </c>
      <c r="J201" s="233">
        <f t="shared" si="865"/>
        <v>1.4612606177918666E-2</v>
      </c>
      <c r="K201" s="233">
        <f t="shared" si="865"/>
        <v>1.4391461198740185E-2</v>
      </c>
      <c r="L201" s="233">
        <f t="shared" si="865"/>
        <v>1.4229818703975383E-2</v>
      </c>
      <c r="M201" s="233">
        <f t="shared" si="865"/>
        <v>1.4128152525635783E-2</v>
      </c>
      <c r="N201" s="233">
        <f t="shared" si="865"/>
        <v>1.4078220752390153E-2</v>
      </c>
      <c r="O201" s="233">
        <f t="shared" si="865"/>
        <v>1.4077909321554644E-2</v>
      </c>
      <c r="P201" s="233">
        <f t="shared" si="865"/>
        <v>1.4123048260551316E-2</v>
      </c>
      <c r="Q201" s="233">
        <f t="shared" si="865"/>
        <v>1.4207877359052823E-2</v>
      </c>
      <c r="R201" s="233">
        <f t="shared" si="865"/>
        <v>1.4332570513265114E-2</v>
      </c>
      <c r="S201" s="233">
        <f t="shared" si="865"/>
        <v>1.4488343937318612E-2</v>
      </c>
      <c r="T201" s="233">
        <f t="shared" si="865"/>
        <v>1.4677890531264184E-2</v>
      </c>
      <c r="U201" s="233">
        <f t="shared" si="865"/>
        <v>1.489205713769931E-2</v>
      </c>
      <c r="V201" s="233">
        <f t="shared" si="865"/>
        <v>1.5136733692545534E-2</v>
      </c>
      <c r="W201" s="233">
        <f t="shared" si="865"/>
        <v>1.5398654099422537E-2</v>
      </c>
      <c r="X201" s="233">
        <f t="shared" si="865"/>
        <v>1.5687178659487266E-2</v>
      </c>
      <c r="Y201" s="233">
        <f t="shared" si="865"/>
        <v>1.5987444041453372E-2</v>
      </c>
      <c r="Z201" s="233">
        <f t="shared" si="865"/>
        <v>1.6310853882306908E-2</v>
      </c>
      <c r="AA201" s="233">
        <f t="shared" si="865"/>
        <v>1.6641303603584262E-2</v>
      </c>
      <c r="AB201" s="233">
        <f t="shared" si="865"/>
        <v>1.6989878603173497E-2</v>
      </c>
      <c r="AC201" s="233">
        <f t="shared" si="865"/>
        <v>1.7343400637962136E-2</v>
      </c>
      <c r="AD201" s="233">
        <f t="shared" si="865"/>
        <v>1.7714307026805154E-2</v>
      </c>
      <c r="AE201" s="233">
        <f t="shared" si="865"/>
        <v>1.8084891132823855E-2</v>
      </c>
      <c r="AF201" s="233">
        <f t="shared" si="865"/>
        <v>1.8470470025868074E-2</v>
      </c>
      <c r="AG201" s="233">
        <f t="shared" si="865"/>
        <v>1.8852893256204373E-2</v>
      </c>
      <c r="AH201" s="233">
        <f t="shared" si="865"/>
        <v>1.9248204435470623E-2</v>
      </c>
      <c r="AI201" s="233">
        <f t="shared" si="865"/>
        <v>1.9638002421243722E-2</v>
      </c>
      <c r="AJ201" s="233">
        <f t="shared" si="865"/>
        <v>2.0036626384404302E-2</v>
      </c>
      <c r="AK201" s="233">
        <f t="shared" si="865"/>
        <v>2.0429996973331616E-2</v>
      </c>
      <c r="AL201" s="233">
        <f t="shared" si="865"/>
        <v>2.083277393574802E-2</v>
      </c>
      <c r="AM201" s="233">
        <f t="shared" si="865"/>
        <v>2.1226519976898145E-2</v>
      </c>
      <c r="AN201" s="233">
        <f t="shared" si="865"/>
        <v>2.1628240439647395E-2</v>
      </c>
      <c r="AO201" s="233">
        <f t="shared" si="865"/>
        <v>2.2019664255663068E-2</v>
      </c>
      <c r="AP201" s="233">
        <f t="shared" si="865"/>
        <v>2.2417807812909613E-2</v>
      </c>
      <c r="AQ201" s="233">
        <f t="shared" si="865"/>
        <v>2.280466201901829E-2</v>
      </c>
      <c r="AR201" s="233">
        <f t="shared" si="865"/>
        <v>2.3194991530545689E-2</v>
      </c>
      <c r="AS201" s="233">
        <f t="shared" si="865"/>
        <v>2.3575442189295567E-2</v>
      </c>
      <c r="AT201" s="233">
        <f t="shared" si="865"/>
        <v>2.3960560221351845E-2</v>
      </c>
      <c r="AU201" s="233">
        <f t="shared" si="865"/>
        <v>2.4333079853893103E-2</v>
      </c>
      <c r="AV201" s="233">
        <f t="shared" si="865"/>
        <v>2.4709432748583102E-2</v>
      </c>
      <c r="AW201" s="233">
        <f t="shared" si="865"/>
        <v>2.5072807530733029E-2</v>
      </c>
      <c r="AX201" s="233">
        <f t="shared" si="865"/>
        <v>2.543929112899769E-2</v>
      </c>
      <c r="AY201" s="233">
        <f t="shared" si="865"/>
        <v>2.5792565824220501E-2</v>
      </c>
      <c r="AZ201" s="233">
        <f t="shared" si="865"/>
        <v>2.6146382574188567E-2</v>
      </c>
      <c r="BA201" s="233">
        <f t="shared" si="865"/>
        <v>2.6488856399431882E-2</v>
      </c>
      <c r="BB201" s="233">
        <f t="shared" si="865"/>
        <v>2.6833271263795824E-2</v>
      </c>
      <c r="BC201" s="233">
        <f t="shared" si="865"/>
        <v>2.7164375432564183E-2</v>
      </c>
      <c r="BD201" s="233">
        <f t="shared" si="865"/>
        <v>2.7496954345689148E-2</v>
      </c>
      <c r="BE201" s="233">
        <f t="shared" si="865"/>
        <v>2.7816314569245493E-2</v>
      </c>
      <c r="BF201" s="233">
        <f t="shared" si="865"/>
        <v>2.8136749922023391E-2</v>
      </c>
      <c r="BG201" s="233">
        <f t="shared" si="865"/>
        <v>2.8444133173027547E-2</v>
      </c>
      <c r="BH201" s="233">
        <f t="shared" si="865"/>
        <v>2.8750574753356087E-2</v>
      </c>
      <c r="BI201" s="233">
        <f t="shared" si="865"/>
        <v>2.9045901732637824E-2</v>
      </c>
      <c r="BJ201" s="233">
        <f t="shared" si="865"/>
        <v>2.9341674273308457E-2</v>
      </c>
      <c r="BK201" s="233">
        <f t="shared" si="865"/>
        <v>2.9624899792711698E-2</v>
      </c>
      <c r="BL201" s="233">
        <f t="shared" si="865"/>
        <v>2.9908326615609424E-2</v>
      </c>
      <c r="BM201" s="233">
        <f t="shared" si="865"/>
        <v>3.0179524188104392E-2</v>
      </c>
      <c r="BN201" s="233">
        <f t="shared" si="865"/>
        <v>3.0450718427281698E-2</v>
      </c>
      <c r="BO201" s="233">
        <f t="shared" ref="BO201:CB201" si="866">IF(BO199&lt;0,0,$B$5+$B$6*((1-EXP(-BO200/$B$9))/(BO200/$B$9))+$B$7*((1-EXP(-BO200/$B$9))/(BO200/$B$9)-EXP(-BO200/$B$9))+$B$8*((1-EXP(-BO200/$B$10))/(BO200/$B$10)-EXP(-BO200/$B$10)))</f>
        <v>3.0710032514736821E-2</v>
      </c>
      <c r="BP201" s="233">
        <f t="shared" si="866"/>
        <v>3.0967765879181861E-2</v>
      </c>
      <c r="BQ201" s="233">
        <f t="shared" si="866"/>
        <v>3.1215431543944933E-2</v>
      </c>
      <c r="BR201" s="233">
        <f t="shared" si="866"/>
        <v>3.1462784395872884E-2</v>
      </c>
      <c r="BS201" s="233">
        <f t="shared" si="866"/>
        <v>3.1699019328656555E-2</v>
      </c>
      <c r="BT201" s="233">
        <f t="shared" si="866"/>
        <v>3.1934827828910467E-2</v>
      </c>
      <c r="BU201" s="233">
        <f t="shared" si="866"/>
        <v>3.2159920674413853E-2</v>
      </c>
      <c r="BV201" s="233">
        <f t="shared" si="866"/>
        <v>3.238449626653031E-2</v>
      </c>
      <c r="BW201" s="233">
        <f t="shared" si="866"/>
        <v>3.2598765683016298E-2</v>
      </c>
      <c r="BX201" s="233">
        <f t="shared" si="866"/>
        <v>3.2811287439952347E-2</v>
      </c>
      <c r="BY201" s="233">
        <f t="shared" si="866"/>
        <v>3.3015103650740715E-2</v>
      </c>
      <c r="BZ201" s="233">
        <f t="shared" si="866"/>
        <v>3.3218277549066672E-2</v>
      </c>
      <c r="CA201" s="233">
        <f t="shared" si="866"/>
        <v>3.3411969357581048E-2</v>
      </c>
      <c r="CB201" s="233">
        <f t="shared" si="866"/>
        <v>3.3604979336042534E-2</v>
      </c>
      <c r="CC201" s="19"/>
      <c r="CD201" s="19"/>
      <c r="CE201" s="19"/>
    </row>
    <row r="202" spans="1:83">
      <c r="A202" s="16" t="s">
        <v>44</v>
      </c>
      <c r="B202" s="233">
        <f>EXP(-B201*B200)</f>
        <v>0.99709742319832539</v>
      </c>
      <c r="C202" s="233">
        <f t="shared" ref="C202:AR202" si="867">EXP(-C201*C200)</f>
        <v>0.98818788251756728</v>
      </c>
      <c r="D202" s="233">
        <f t="shared" si="867"/>
        <v>0.98001254030527452</v>
      </c>
      <c r="E202" s="233">
        <f t="shared" si="867"/>
        <v>0.97266837738276579</v>
      </c>
      <c r="F202" s="233">
        <f t="shared" si="867"/>
        <v>0.96571443643399546</v>
      </c>
      <c r="G202" s="233">
        <f t="shared" si="867"/>
        <v>0.95932120492474893</v>
      </c>
      <c r="H202" s="233">
        <f t="shared" si="867"/>
        <v>0.95307897404267106</v>
      </c>
      <c r="I202" s="233">
        <f t="shared" si="867"/>
        <v>0.94715791279182238</v>
      </c>
      <c r="J202" s="233">
        <f t="shared" si="867"/>
        <v>0.9411980207180437</v>
      </c>
      <c r="K202" s="233">
        <f t="shared" si="867"/>
        <v>0.93538191698413775</v>
      </c>
      <c r="L202" s="233">
        <f t="shared" si="867"/>
        <v>0.92941073514701722</v>
      </c>
      <c r="M202" s="233">
        <f t="shared" si="867"/>
        <v>0.92342371932207401</v>
      </c>
      <c r="N202" s="233">
        <f t="shared" si="867"/>
        <v>0.91713293927210027</v>
      </c>
      <c r="O202" s="233">
        <f t="shared" si="867"/>
        <v>0.9107729214249507</v>
      </c>
      <c r="P202" s="233">
        <f t="shared" si="867"/>
        <v>0.90402222502844354</v>
      </c>
      <c r="Q202" s="233">
        <f t="shared" si="867"/>
        <v>0.89714982983820069</v>
      </c>
      <c r="R202" s="233">
        <f t="shared" si="867"/>
        <v>0.88982468011875704</v>
      </c>
      <c r="S202" s="233">
        <f t="shared" si="867"/>
        <v>0.88235289661368077</v>
      </c>
      <c r="T202" s="233">
        <f t="shared" si="867"/>
        <v>0.87443231799553922</v>
      </c>
      <c r="U202" s="233">
        <f t="shared" si="867"/>
        <v>0.86631948576137396</v>
      </c>
      <c r="V202" s="233">
        <f t="shared" si="867"/>
        <v>0.85769072269855162</v>
      </c>
      <c r="W202" s="233">
        <f t="shared" si="867"/>
        <v>0.84892724102277894</v>
      </c>
      <c r="X202" s="233">
        <f t="shared" si="867"/>
        <v>0.83964061702804982</v>
      </c>
      <c r="Y202" s="233">
        <f t="shared" si="867"/>
        <v>0.83024729627556593</v>
      </c>
      <c r="Z202" s="233">
        <f t="shared" si="867"/>
        <v>0.82033625895198259</v>
      </c>
      <c r="AA202" s="233">
        <f t="shared" si="867"/>
        <v>0.81035621095898125</v>
      </c>
      <c r="AB202" s="233">
        <f t="shared" si="867"/>
        <v>0.79993234215027365</v>
      </c>
      <c r="AC202" s="233">
        <f t="shared" si="867"/>
        <v>0.78942664563823883</v>
      </c>
      <c r="AD202" s="233">
        <f t="shared" si="867"/>
        <v>0.77844213539891671</v>
      </c>
      <c r="AE202" s="233">
        <f t="shared" si="867"/>
        <v>0.76748047449356915</v>
      </c>
      <c r="AF202" s="233">
        <f t="shared" si="867"/>
        <v>0.75606918423816272</v>
      </c>
      <c r="AG202" s="233">
        <f t="shared" si="867"/>
        <v>0.74472998348676978</v>
      </c>
      <c r="AH202" s="233">
        <f t="shared" si="867"/>
        <v>0.73297430469617619</v>
      </c>
      <c r="AI202" s="233">
        <f t="shared" si="867"/>
        <v>0.72133945561143675</v>
      </c>
      <c r="AJ202" s="233">
        <f t="shared" si="867"/>
        <v>0.70938998378796136</v>
      </c>
      <c r="AK202" s="233">
        <f t="shared" si="867"/>
        <v>0.69754224791173836</v>
      </c>
      <c r="AL202" s="233">
        <f t="shared" si="867"/>
        <v>0.68535008186736601</v>
      </c>
      <c r="AM202" s="233">
        <f t="shared" si="867"/>
        <v>0.67336896544279301</v>
      </c>
      <c r="AN202" s="233">
        <f t="shared" si="867"/>
        <v>0.66108000364823105</v>
      </c>
      <c r="AO202" s="233">
        <f t="shared" si="867"/>
        <v>0.64904174488787636</v>
      </c>
      <c r="AP202" s="233">
        <f t="shared" si="867"/>
        <v>0.63673134103689899</v>
      </c>
      <c r="AQ202" s="233">
        <f t="shared" si="867"/>
        <v>0.62470680787625588</v>
      </c>
      <c r="AR202" s="233">
        <f t="shared" si="867"/>
        <v>0.61251154505049388</v>
      </c>
      <c r="AS202" s="233">
        <f>EXP(-AS201*AS200)</f>
        <v>0.60056498528994606</v>
      </c>
      <c r="AT202" s="233">
        <f t="shared" ref="AT202:CA202" si="868">EXP(-AT201*AT200)</f>
        <v>0.58841248834722792</v>
      </c>
      <c r="AU202" s="233">
        <f t="shared" si="868"/>
        <v>0.57660171261699233</v>
      </c>
      <c r="AV202" s="233">
        <f t="shared" si="868"/>
        <v>0.56461480339188741</v>
      </c>
      <c r="AW202" s="233">
        <f t="shared" si="868"/>
        <v>0.55299035181499978</v>
      </c>
      <c r="AX202" s="233">
        <f t="shared" si="868"/>
        <v>0.5412170427135381</v>
      </c>
      <c r="AY202" s="233">
        <f t="shared" si="868"/>
        <v>0.52982231707995986</v>
      </c>
      <c r="AZ202" s="233">
        <f t="shared" si="868"/>
        <v>0.51836631239712372</v>
      </c>
      <c r="BA202" s="233">
        <f t="shared" si="868"/>
        <v>0.50723699176122961</v>
      </c>
      <c r="BB202" s="233">
        <f t="shared" si="868"/>
        <v>0.49600548914397841</v>
      </c>
      <c r="BC202" s="233">
        <f t="shared" si="868"/>
        <v>0.48517215324013685</v>
      </c>
      <c r="BD202" s="233">
        <f t="shared" si="868"/>
        <v>0.47425617604749387</v>
      </c>
      <c r="BE202" s="233">
        <f t="shared" si="868"/>
        <v>0.46374256850525308</v>
      </c>
      <c r="BF202" s="233">
        <f t="shared" si="868"/>
        <v>0.45316344771901451</v>
      </c>
      <c r="BG202" s="233">
        <f t="shared" si="868"/>
        <v>0.44298768337979705</v>
      </c>
      <c r="BH202" s="233">
        <f t="shared" si="868"/>
        <v>0.43281696568166922</v>
      </c>
      <c r="BI202" s="233">
        <f t="shared" si="868"/>
        <v>0.42299109347633734</v>
      </c>
      <c r="BJ202" s="233">
        <f t="shared" si="868"/>
        <v>0.413127324347769</v>
      </c>
      <c r="BK202" s="233">
        <f t="shared" si="868"/>
        <v>0.40366083749311421</v>
      </c>
      <c r="BL202" s="233">
        <f t="shared" si="868"/>
        <v>0.39416733781019864</v>
      </c>
      <c r="BM202" s="233">
        <f t="shared" si="868"/>
        <v>0.38506481029343548</v>
      </c>
      <c r="BN202" s="233">
        <f t="shared" si="868"/>
        <v>0.37594443912132941</v>
      </c>
      <c r="BO202" s="233">
        <f t="shared" si="868"/>
        <v>0.36720701912754122</v>
      </c>
      <c r="BP202" s="233">
        <f t="shared" si="868"/>
        <v>0.35850694571603436</v>
      </c>
      <c r="BQ202" s="233">
        <f t="shared" si="868"/>
        <v>0.35013185509475436</v>
      </c>
      <c r="BR202" s="233">
        <f t="shared" si="868"/>
        <v>0.34175283170743359</v>
      </c>
      <c r="BS202" s="233">
        <f t="shared" si="868"/>
        <v>0.33373686074671888</v>
      </c>
      <c r="BT202" s="233">
        <f t="shared" si="868"/>
        <v>0.32572206340779458</v>
      </c>
      <c r="BU202" s="233">
        <f t="shared" si="868"/>
        <v>0.31805895897680186</v>
      </c>
      <c r="BV202" s="233">
        <f t="shared" si="868"/>
        <v>0.31040110597103465</v>
      </c>
      <c r="BW202" s="233">
        <f t="shared" si="868"/>
        <v>0.30308296808675877</v>
      </c>
      <c r="BX202" s="233">
        <f t="shared" si="868"/>
        <v>0.29581296370791854</v>
      </c>
      <c r="BY202" s="233">
        <f t="shared" si="868"/>
        <v>0.28882966791695019</v>
      </c>
      <c r="BZ202" s="233">
        <f t="shared" si="868"/>
        <v>0.28185724529810063</v>
      </c>
      <c r="CA202" s="233">
        <f t="shared" si="868"/>
        <v>0.27519952928851449</v>
      </c>
      <c r="CB202" s="233">
        <f>EXP(-CB201*CB200)</f>
        <v>0.26855448301583568</v>
      </c>
      <c r="CC202" s="19"/>
      <c r="CD202" s="19"/>
      <c r="CE202" s="19"/>
    </row>
    <row r="203" spans="1:83">
      <c r="A203" s="17"/>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5"/>
      <c r="AS203" s="5"/>
      <c r="AT203" s="5"/>
      <c r="AU203" s="5"/>
      <c r="AV203" s="5"/>
      <c r="AW203" s="5"/>
      <c r="AX203" s="5"/>
      <c r="AY203" s="5"/>
      <c r="AZ203" s="5"/>
      <c r="BA203" s="5"/>
      <c r="BB203" s="5"/>
      <c r="BC203" s="5"/>
      <c r="BD203" s="5"/>
      <c r="BE203" s="5"/>
      <c r="BF203" s="5"/>
      <c r="BG203" s="5"/>
      <c r="BH203" s="5"/>
      <c r="BI203" s="5"/>
      <c r="BJ203" s="5"/>
      <c r="BK203" s="5"/>
      <c r="BL203" s="5"/>
      <c r="BM203" s="5"/>
      <c r="BN203" s="5"/>
      <c r="BO203" s="5"/>
      <c r="BP203" s="5"/>
      <c r="BQ203" s="5"/>
      <c r="BR203" s="5"/>
      <c r="BS203" s="5"/>
      <c r="BT203" s="5"/>
      <c r="BU203" s="5"/>
      <c r="BV203" s="5"/>
      <c r="BW203" s="5"/>
      <c r="BX203" s="5"/>
      <c r="BY203" s="5"/>
      <c r="BZ203" s="5"/>
      <c r="CA203" s="5"/>
      <c r="CB203" s="5"/>
      <c r="CC203" s="19"/>
      <c r="CD203" s="19"/>
      <c r="CE203" s="19"/>
    </row>
    <row r="204" spans="1:83">
      <c r="A204" s="16" t="s">
        <v>40</v>
      </c>
      <c r="B204" s="233">
        <f t="shared" ref="B204:AG204" si="869">DAYS360($B$3,B76)</f>
        <v>167</v>
      </c>
      <c r="C204" s="233">
        <f t="shared" si="869"/>
        <v>346</v>
      </c>
      <c r="D204" s="233">
        <f t="shared" si="869"/>
        <v>526</v>
      </c>
      <c r="E204" s="233">
        <f t="shared" si="869"/>
        <v>706</v>
      </c>
      <c r="F204" s="233">
        <f t="shared" si="869"/>
        <v>886</v>
      </c>
      <c r="G204" s="233">
        <f t="shared" si="869"/>
        <v>1066</v>
      </c>
      <c r="H204" s="233">
        <f t="shared" si="869"/>
        <v>1246</v>
      </c>
      <c r="I204" s="233">
        <f t="shared" si="869"/>
        <v>1426</v>
      </c>
      <c r="J204" s="233">
        <f t="shared" si="869"/>
        <v>1606</v>
      </c>
      <c r="K204" s="233">
        <f t="shared" si="869"/>
        <v>1785</v>
      </c>
      <c r="L204" s="233">
        <f t="shared" si="869"/>
        <v>1965</v>
      </c>
      <c r="M204" s="233">
        <f t="shared" si="869"/>
        <v>2145</v>
      </c>
      <c r="N204" s="233">
        <f t="shared" si="869"/>
        <v>2325</v>
      </c>
      <c r="O204" s="233">
        <f t="shared" si="869"/>
        <v>2505</v>
      </c>
      <c r="P204" s="233">
        <f t="shared" si="869"/>
        <v>2685</v>
      </c>
      <c r="Q204" s="233">
        <f t="shared" si="869"/>
        <v>2865</v>
      </c>
      <c r="R204" s="233">
        <f t="shared" si="869"/>
        <v>3045</v>
      </c>
      <c r="S204" s="233">
        <f t="shared" si="869"/>
        <v>3224</v>
      </c>
      <c r="T204" s="233">
        <f t="shared" si="869"/>
        <v>3404</v>
      </c>
      <c r="U204" s="233">
        <f t="shared" si="869"/>
        <v>3584</v>
      </c>
      <c r="V204" s="233">
        <f t="shared" si="869"/>
        <v>3764</v>
      </c>
      <c r="W204" s="233">
        <f t="shared" si="869"/>
        <v>3944</v>
      </c>
      <c r="X204" s="233">
        <f t="shared" si="869"/>
        <v>4124</v>
      </c>
      <c r="Y204" s="233">
        <f t="shared" si="869"/>
        <v>4304</v>
      </c>
      <c r="Z204" s="233">
        <f t="shared" si="869"/>
        <v>4484</v>
      </c>
      <c r="AA204" s="233">
        <f t="shared" si="869"/>
        <v>4663</v>
      </c>
      <c r="AB204" s="233">
        <f t="shared" si="869"/>
        <v>4843</v>
      </c>
      <c r="AC204" s="233">
        <f t="shared" si="869"/>
        <v>5023</v>
      </c>
      <c r="AD204" s="233">
        <f t="shared" si="869"/>
        <v>5203</v>
      </c>
      <c r="AE204" s="233">
        <f t="shared" si="869"/>
        <v>5383</v>
      </c>
      <c r="AF204" s="233">
        <f t="shared" si="869"/>
        <v>5563</v>
      </c>
      <c r="AG204" s="233">
        <f t="shared" si="869"/>
        <v>5743</v>
      </c>
      <c r="AH204" s="233">
        <f t="shared" ref="AH204:BM204" si="870">DAYS360($B$3,AH76)</f>
        <v>5923</v>
      </c>
      <c r="AI204" s="233">
        <f t="shared" si="870"/>
        <v>6102</v>
      </c>
      <c r="AJ204" s="233">
        <f t="shared" si="870"/>
        <v>6282</v>
      </c>
      <c r="AK204" s="233">
        <f t="shared" si="870"/>
        <v>6462</v>
      </c>
      <c r="AL204" s="233">
        <f t="shared" si="870"/>
        <v>6642</v>
      </c>
      <c r="AM204" s="233">
        <f t="shared" si="870"/>
        <v>6822</v>
      </c>
      <c r="AN204" s="233">
        <f t="shared" si="870"/>
        <v>7002</v>
      </c>
      <c r="AO204" s="233">
        <f t="shared" si="870"/>
        <v>7182</v>
      </c>
      <c r="AP204" s="233">
        <f t="shared" si="870"/>
        <v>7362</v>
      </c>
      <c r="AQ204" s="233">
        <f t="shared" si="870"/>
        <v>7541</v>
      </c>
      <c r="AR204" s="233">
        <f t="shared" si="870"/>
        <v>7721</v>
      </c>
      <c r="AS204" s="233">
        <f t="shared" si="870"/>
        <v>7901</v>
      </c>
      <c r="AT204" s="233">
        <f t="shared" si="870"/>
        <v>8081</v>
      </c>
      <c r="AU204" s="233">
        <f t="shared" si="870"/>
        <v>8261</v>
      </c>
      <c r="AV204" s="233">
        <f t="shared" si="870"/>
        <v>8441</v>
      </c>
      <c r="AW204" s="233">
        <f t="shared" si="870"/>
        <v>8621</v>
      </c>
      <c r="AX204" s="233">
        <f t="shared" si="870"/>
        <v>8801</v>
      </c>
      <c r="AY204" s="233">
        <f t="shared" si="870"/>
        <v>8980</v>
      </c>
      <c r="AZ204" s="233">
        <f t="shared" si="870"/>
        <v>9160</v>
      </c>
      <c r="BA204" s="233">
        <f t="shared" si="870"/>
        <v>9340</v>
      </c>
      <c r="BB204" s="233">
        <f t="shared" si="870"/>
        <v>9520</v>
      </c>
      <c r="BC204" s="233">
        <f t="shared" si="870"/>
        <v>9700</v>
      </c>
      <c r="BD204" s="233">
        <f t="shared" si="870"/>
        <v>9880</v>
      </c>
      <c r="BE204" s="233">
        <f t="shared" si="870"/>
        <v>10060</v>
      </c>
      <c r="BF204" s="233">
        <f t="shared" si="870"/>
        <v>10240</v>
      </c>
      <c r="BG204" s="233">
        <f t="shared" si="870"/>
        <v>10419</v>
      </c>
      <c r="BH204" s="233">
        <f t="shared" si="870"/>
        <v>10599</v>
      </c>
      <c r="BI204" s="233">
        <f t="shared" si="870"/>
        <v>10779</v>
      </c>
      <c r="BJ204" s="233">
        <f t="shared" si="870"/>
        <v>10959</v>
      </c>
      <c r="BK204" s="233">
        <f t="shared" si="870"/>
        <v>11139</v>
      </c>
      <c r="BL204" s="233">
        <f t="shared" si="870"/>
        <v>11319</v>
      </c>
      <c r="BM204" s="233">
        <f t="shared" si="870"/>
        <v>11499</v>
      </c>
      <c r="BN204" s="233">
        <f t="shared" ref="BN204:CB204" si="871">DAYS360($B$3,BN76)</f>
        <v>11679</v>
      </c>
      <c r="BO204" s="233">
        <f t="shared" si="871"/>
        <v>11858</v>
      </c>
      <c r="BP204" s="233">
        <f t="shared" si="871"/>
        <v>12038</v>
      </c>
      <c r="BQ204" s="233">
        <f t="shared" si="871"/>
        <v>12218</v>
      </c>
      <c r="BR204" s="233">
        <f t="shared" si="871"/>
        <v>12398</v>
      </c>
      <c r="BS204" s="233">
        <f t="shared" si="871"/>
        <v>12578</v>
      </c>
      <c r="BT204" s="233">
        <f t="shared" si="871"/>
        <v>12758</v>
      </c>
      <c r="BU204" s="233">
        <f t="shared" si="871"/>
        <v>12938</v>
      </c>
      <c r="BV204" s="233">
        <f t="shared" si="871"/>
        <v>13118</v>
      </c>
      <c r="BW204" s="233">
        <f t="shared" si="871"/>
        <v>13297</v>
      </c>
      <c r="BX204" s="233">
        <f t="shared" si="871"/>
        <v>13477</v>
      </c>
      <c r="BY204" s="233">
        <f t="shared" si="871"/>
        <v>13657</v>
      </c>
      <c r="BZ204" s="233">
        <f t="shared" si="871"/>
        <v>13837</v>
      </c>
      <c r="CA204" s="233">
        <f t="shared" si="871"/>
        <v>14017</v>
      </c>
      <c r="CB204" s="233">
        <f t="shared" si="871"/>
        <v>14197</v>
      </c>
      <c r="CC204" s="19"/>
      <c r="CD204" s="19"/>
      <c r="CE204" s="19"/>
    </row>
    <row r="205" spans="1:83">
      <c r="A205" s="16" t="s">
        <v>41</v>
      </c>
      <c r="B205" s="233">
        <f>B204/360</f>
        <v>0.46388888888888891</v>
      </c>
      <c r="C205" s="233">
        <f t="shared" ref="C205:BN205" si="872">C204/360</f>
        <v>0.96111111111111114</v>
      </c>
      <c r="D205" s="233">
        <f t="shared" si="872"/>
        <v>1.461111111111111</v>
      </c>
      <c r="E205" s="233">
        <f t="shared" si="872"/>
        <v>1.961111111111111</v>
      </c>
      <c r="F205" s="233">
        <f t="shared" si="872"/>
        <v>2.4611111111111112</v>
      </c>
      <c r="G205" s="233">
        <f t="shared" si="872"/>
        <v>2.9611111111111112</v>
      </c>
      <c r="H205" s="233">
        <f t="shared" si="872"/>
        <v>3.4611111111111112</v>
      </c>
      <c r="I205" s="233">
        <f t="shared" si="872"/>
        <v>3.9611111111111112</v>
      </c>
      <c r="J205" s="233">
        <f t="shared" si="872"/>
        <v>4.4611111111111112</v>
      </c>
      <c r="K205" s="233">
        <f t="shared" si="872"/>
        <v>4.958333333333333</v>
      </c>
      <c r="L205" s="233">
        <f t="shared" si="872"/>
        <v>5.458333333333333</v>
      </c>
      <c r="M205" s="233">
        <f t="shared" si="872"/>
        <v>5.958333333333333</v>
      </c>
      <c r="N205" s="233">
        <f t="shared" si="872"/>
        <v>6.458333333333333</v>
      </c>
      <c r="O205" s="233">
        <f t="shared" si="872"/>
        <v>6.958333333333333</v>
      </c>
      <c r="P205" s="233">
        <f t="shared" si="872"/>
        <v>7.458333333333333</v>
      </c>
      <c r="Q205" s="233">
        <f t="shared" si="872"/>
        <v>7.958333333333333</v>
      </c>
      <c r="R205" s="233">
        <f t="shared" si="872"/>
        <v>8.4583333333333339</v>
      </c>
      <c r="S205" s="233">
        <f t="shared" si="872"/>
        <v>8.9555555555555557</v>
      </c>
      <c r="T205" s="233">
        <f t="shared" si="872"/>
        <v>9.4555555555555557</v>
      </c>
      <c r="U205" s="233">
        <f t="shared" si="872"/>
        <v>9.9555555555555557</v>
      </c>
      <c r="V205" s="233">
        <f t="shared" si="872"/>
        <v>10.455555555555556</v>
      </c>
      <c r="W205" s="233">
        <f t="shared" si="872"/>
        <v>10.955555555555556</v>
      </c>
      <c r="X205" s="233">
        <f t="shared" si="872"/>
        <v>11.455555555555556</v>
      </c>
      <c r="Y205" s="233">
        <f t="shared" si="872"/>
        <v>11.955555555555556</v>
      </c>
      <c r="Z205" s="233">
        <f t="shared" si="872"/>
        <v>12.455555555555556</v>
      </c>
      <c r="AA205" s="233">
        <f t="shared" si="872"/>
        <v>12.952777777777778</v>
      </c>
      <c r="AB205" s="233">
        <f t="shared" si="872"/>
        <v>13.452777777777778</v>
      </c>
      <c r="AC205" s="233">
        <f t="shared" si="872"/>
        <v>13.952777777777778</v>
      </c>
      <c r="AD205" s="233">
        <f t="shared" si="872"/>
        <v>14.452777777777778</v>
      </c>
      <c r="AE205" s="233">
        <f t="shared" si="872"/>
        <v>14.952777777777778</v>
      </c>
      <c r="AF205" s="233">
        <f t="shared" si="872"/>
        <v>15.452777777777778</v>
      </c>
      <c r="AG205" s="233">
        <f t="shared" si="872"/>
        <v>15.952777777777778</v>
      </c>
      <c r="AH205" s="233">
        <f t="shared" si="872"/>
        <v>16.452777777777779</v>
      </c>
      <c r="AI205" s="233">
        <f t="shared" si="872"/>
        <v>16.95</v>
      </c>
      <c r="AJ205" s="233">
        <f t="shared" si="872"/>
        <v>17.45</v>
      </c>
      <c r="AK205" s="233">
        <f t="shared" si="872"/>
        <v>17.95</v>
      </c>
      <c r="AL205" s="233">
        <f t="shared" si="872"/>
        <v>18.45</v>
      </c>
      <c r="AM205" s="233">
        <f t="shared" si="872"/>
        <v>18.95</v>
      </c>
      <c r="AN205" s="233">
        <f t="shared" si="872"/>
        <v>19.45</v>
      </c>
      <c r="AO205" s="233">
        <f t="shared" si="872"/>
        <v>19.95</v>
      </c>
      <c r="AP205" s="233">
        <f t="shared" si="872"/>
        <v>20.45</v>
      </c>
      <c r="AQ205" s="233">
        <f t="shared" si="872"/>
        <v>20.947222222222223</v>
      </c>
      <c r="AR205" s="233">
        <f t="shared" si="872"/>
        <v>21.447222222222223</v>
      </c>
      <c r="AS205" s="233">
        <f t="shared" si="872"/>
        <v>21.947222222222223</v>
      </c>
      <c r="AT205" s="233">
        <f t="shared" si="872"/>
        <v>22.447222222222223</v>
      </c>
      <c r="AU205" s="233">
        <f t="shared" si="872"/>
        <v>22.947222222222223</v>
      </c>
      <c r="AV205" s="233">
        <f t="shared" si="872"/>
        <v>23.447222222222223</v>
      </c>
      <c r="AW205" s="233">
        <f t="shared" si="872"/>
        <v>23.947222222222223</v>
      </c>
      <c r="AX205" s="233">
        <f t="shared" si="872"/>
        <v>24.447222222222223</v>
      </c>
      <c r="AY205" s="233">
        <f t="shared" si="872"/>
        <v>24.944444444444443</v>
      </c>
      <c r="AZ205" s="233">
        <f t="shared" si="872"/>
        <v>25.444444444444443</v>
      </c>
      <c r="BA205" s="233">
        <f t="shared" si="872"/>
        <v>25.944444444444443</v>
      </c>
      <c r="BB205" s="233">
        <f t="shared" si="872"/>
        <v>26.444444444444443</v>
      </c>
      <c r="BC205" s="233">
        <f t="shared" si="872"/>
        <v>26.944444444444443</v>
      </c>
      <c r="BD205" s="233">
        <f t="shared" si="872"/>
        <v>27.444444444444443</v>
      </c>
      <c r="BE205" s="233">
        <f t="shared" si="872"/>
        <v>27.944444444444443</v>
      </c>
      <c r="BF205" s="233">
        <f t="shared" si="872"/>
        <v>28.444444444444443</v>
      </c>
      <c r="BG205" s="233">
        <f t="shared" si="872"/>
        <v>28.941666666666666</v>
      </c>
      <c r="BH205" s="233">
        <f t="shared" si="872"/>
        <v>29.441666666666666</v>
      </c>
      <c r="BI205" s="233">
        <f t="shared" si="872"/>
        <v>29.941666666666666</v>
      </c>
      <c r="BJ205" s="233">
        <f t="shared" si="872"/>
        <v>30.441666666666666</v>
      </c>
      <c r="BK205" s="233">
        <f t="shared" si="872"/>
        <v>30.941666666666666</v>
      </c>
      <c r="BL205" s="233">
        <f t="shared" si="872"/>
        <v>31.441666666666666</v>
      </c>
      <c r="BM205" s="233">
        <f t="shared" si="872"/>
        <v>31.941666666666666</v>
      </c>
      <c r="BN205" s="233">
        <f t="shared" si="872"/>
        <v>32.44166666666667</v>
      </c>
      <c r="BO205" s="233">
        <f t="shared" ref="BO205:CB205" si="873">BO204/360</f>
        <v>32.93888888888889</v>
      </c>
      <c r="BP205" s="233">
        <f t="shared" si="873"/>
        <v>33.43888888888889</v>
      </c>
      <c r="BQ205" s="233">
        <f t="shared" si="873"/>
        <v>33.93888888888889</v>
      </c>
      <c r="BR205" s="233">
        <f t="shared" si="873"/>
        <v>34.43888888888889</v>
      </c>
      <c r="BS205" s="233">
        <f t="shared" si="873"/>
        <v>34.93888888888889</v>
      </c>
      <c r="BT205" s="233">
        <f t="shared" si="873"/>
        <v>35.43888888888889</v>
      </c>
      <c r="BU205" s="233">
        <f t="shared" si="873"/>
        <v>35.93888888888889</v>
      </c>
      <c r="BV205" s="233">
        <f t="shared" si="873"/>
        <v>36.43888888888889</v>
      </c>
      <c r="BW205" s="233">
        <f t="shared" si="873"/>
        <v>36.93611111111111</v>
      </c>
      <c r="BX205" s="233">
        <f t="shared" si="873"/>
        <v>37.43611111111111</v>
      </c>
      <c r="BY205" s="233">
        <f t="shared" si="873"/>
        <v>37.93611111111111</v>
      </c>
      <c r="BZ205" s="233">
        <f t="shared" si="873"/>
        <v>38.43611111111111</v>
      </c>
      <c r="CA205" s="233">
        <f t="shared" si="873"/>
        <v>38.93611111111111</v>
      </c>
      <c r="CB205" s="233">
        <f t="shared" si="873"/>
        <v>39.43611111111111</v>
      </c>
      <c r="CC205" s="19"/>
      <c r="CD205" s="19"/>
      <c r="CE205" s="19"/>
    </row>
    <row r="206" spans="1:83">
      <c r="A206" s="16" t="s">
        <v>43</v>
      </c>
      <c r="B206" s="233">
        <f>IF(B204&lt;0,0,$B$5+$B$6*((1-EXP(-B205/$B$9))/(B205/$B$9))+$B$7*((1-EXP(-B205/$B$9))/(B205/$B$9)-EXP(-B205/$B$9))+$B$8*((1-EXP(-B205/$B$10))/(B205/$B$10)-EXP(-B205/$B$10)))</f>
        <v>1.8768001805150529E-2</v>
      </c>
      <c r="C206" s="233">
        <f t="shared" ref="C206:BN206" si="874">IF(C204&lt;0,0,$B$5+$B$6*((1-EXP(-C205/$B$9))/(C205/$B$9))+$B$7*((1-EXP(-C205/$B$9))/(C205/$B$9)-EXP(-C205/$B$9))+$B$8*((1-EXP(-C205/$B$10))/(C205/$B$10)-EXP(-C205/$B$10)))</f>
        <v>1.7896429260262137E-2</v>
      </c>
      <c r="D206" s="233">
        <f t="shared" si="874"/>
        <v>1.7131030314492691E-2</v>
      </c>
      <c r="E206" s="233">
        <f t="shared" si="874"/>
        <v>1.6469058949928513E-2</v>
      </c>
      <c r="F206" s="233">
        <f t="shared" si="874"/>
        <v>1.5903054395540461E-2</v>
      </c>
      <c r="G206" s="233">
        <f t="shared" si="874"/>
        <v>1.5426008286105741E-2</v>
      </c>
      <c r="H206" s="233">
        <f t="shared" si="874"/>
        <v>1.5031339407224786E-2</v>
      </c>
      <c r="I206" s="233">
        <f t="shared" si="874"/>
        <v>1.4712869783573307E-2</v>
      </c>
      <c r="J206" s="233">
        <f t="shared" si="874"/>
        <v>1.4464802041178074E-2</v>
      </c>
      <c r="K206" s="233">
        <f t="shared" si="874"/>
        <v>1.428254528631244E-2</v>
      </c>
      <c r="L206" s="233">
        <f t="shared" si="874"/>
        <v>1.4158986499208645E-2</v>
      </c>
      <c r="M206" s="233">
        <f t="shared" si="874"/>
        <v>1.4090538159508559E-2</v>
      </c>
      <c r="N206" s="233">
        <f t="shared" si="874"/>
        <v>1.4072720542978992E-2</v>
      </c>
      <c r="O206" s="233">
        <f t="shared" si="874"/>
        <v>1.4101338353427764E-2</v>
      </c>
      <c r="P206" s="233">
        <f t="shared" si="874"/>
        <v>1.4172464454226361E-2</v>
      </c>
      <c r="Q206" s="233">
        <f t="shared" si="874"/>
        <v>1.4282424478150743E-2</v>
      </c>
      <c r="R206" s="233">
        <f t="shared" si="874"/>
        <v>1.4427782269820943E-2</v>
      </c>
      <c r="S206" s="233">
        <f t="shared" si="874"/>
        <v>1.4604256457635342E-2</v>
      </c>
      <c r="T206" s="233">
        <f t="shared" si="874"/>
        <v>1.4810831845775613E-2</v>
      </c>
      <c r="U206" s="233">
        <f t="shared" si="874"/>
        <v>1.5043806857686429E-2</v>
      </c>
      <c r="V206" s="233">
        <f t="shared" si="874"/>
        <v>1.5300566777801256E-2</v>
      </c>
      <c r="W206" s="233">
        <f t="shared" si="874"/>
        <v>1.5578673418980574E-2</v>
      </c>
      <c r="X206" s="233">
        <f t="shared" si="874"/>
        <v>1.5875854719363397E-2</v>
      </c>
      <c r="Y206" s="233">
        <f t="shared" si="874"/>
        <v>1.6189994910842914E-2</v>
      </c>
      <c r="Z206" s="233">
        <f t="shared" si="874"/>
        <v>1.6519125229069329E-2</v>
      </c>
      <c r="AA206" s="233">
        <f t="shared" si="874"/>
        <v>1.6859480355334036E-2</v>
      </c>
      <c r="AB206" s="233">
        <f t="shared" si="874"/>
        <v>1.721317005861768E-2</v>
      </c>
      <c r="AC206" s="233">
        <f t="shared" si="874"/>
        <v>1.7576748697363337E-2</v>
      </c>
      <c r="AD206" s="233">
        <f t="shared" si="874"/>
        <v>1.7948751865786206E-2</v>
      </c>
      <c r="AE206" s="233">
        <f t="shared" si="874"/>
        <v>1.8327822922546144E-2</v>
      </c>
      <c r="AF206" s="233">
        <f t="shared" si="874"/>
        <v>1.8712706396752016E-2</v>
      </c>
      <c r="AG206" s="233">
        <f t="shared" si="874"/>
        <v>1.9102241763967215E-2</v>
      </c>
      <c r="AH206" s="233">
        <f t="shared" si="874"/>
        <v>1.9495357572470243E-2</v>
      </c>
      <c r="AI206" s="233">
        <f t="shared" si="874"/>
        <v>1.9888862065235755E-2</v>
      </c>
      <c r="AJ206" s="233">
        <f t="shared" si="874"/>
        <v>2.0286246321045268E-2</v>
      </c>
      <c r="AK206" s="233">
        <f t="shared" si="874"/>
        <v>2.0684481681055064E-2</v>
      </c>
      <c r="AL206" s="233">
        <f t="shared" si="874"/>
        <v>2.1082800247348946E-2</v>
      </c>
      <c r="AM206" s="233">
        <f t="shared" si="874"/>
        <v>2.1480498481047397E-2</v>
      </c>
      <c r="AN206" s="233">
        <f t="shared" si="874"/>
        <v>2.1876933067759771E-2</v>
      </c>
      <c r="AO206" s="233">
        <f t="shared" si="874"/>
        <v>2.2271517020999193E-2</v>
      </c>
      <c r="AP206" s="233">
        <f t="shared" si="874"/>
        <v>2.2663716010662416E-2</v>
      </c>
      <c r="AQ206" s="233">
        <f t="shared" si="874"/>
        <v>2.3050890721148423E-2</v>
      </c>
      <c r="AR206" s="233">
        <f t="shared" si="874"/>
        <v>2.3436929844786375E-2</v>
      </c>
      <c r="AS206" s="233">
        <f t="shared" si="874"/>
        <v>2.3819265450091623E-2</v>
      </c>
      <c r="AT206" s="233">
        <f t="shared" si="874"/>
        <v>2.419754098948311E-2</v>
      </c>
      <c r="AU206" s="233">
        <f t="shared" si="874"/>
        <v>2.4571437198648113E-2</v>
      </c>
      <c r="AV206" s="233">
        <f t="shared" si="874"/>
        <v>2.4940669539103941E-2</v>
      </c>
      <c r="AW206" s="233">
        <f t="shared" si="874"/>
        <v>2.5304985792638984E-2</v>
      </c>
      <c r="AX206" s="233">
        <f t="shared" si="874"/>
        <v>2.5664163799250378E-2</v>
      </c>
      <c r="AY206" s="233">
        <f t="shared" si="874"/>
        <v>2.6016058572777195E-2</v>
      </c>
      <c r="AZ206" s="233">
        <f t="shared" si="874"/>
        <v>2.6364434313581903E-2</v>
      </c>
      <c r="BA206" s="233">
        <f t="shared" si="874"/>
        <v>2.6707165782863321E-2</v>
      </c>
      <c r="BB206" s="233">
        <f t="shared" si="874"/>
        <v>2.7044130914331652E-2</v>
      </c>
      <c r="BC206" s="233">
        <f t="shared" si="874"/>
        <v>2.7375228287287043E-2</v>
      </c>
      <c r="BD206" s="233">
        <f t="shared" si="874"/>
        <v>2.7700375572203964E-2</v>
      </c>
      <c r="BE206" s="233">
        <f t="shared" si="874"/>
        <v>2.8019508072361837E-2</v>
      </c>
      <c r="BF206" s="233">
        <f t="shared" si="874"/>
        <v>2.8332577356104047E-2</v>
      </c>
      <c r="BG206" s="233">
        <f t="shared" si="874"/>
        <v>2.8637861454419475E-2</v>
      </c>
      <c r="BH206" s="233">
        <f t="shared" si="874"/>
        <v>2.893875175026675E-2</v>
      </c>
      <c r="BI206" s="233">
        <f t="shared" si="874"/>
        <v>2.9233518707292641E-2</v>
      </c>
      <c r="BJ206" s="233">
        <f t="shared" si="874"/>
        <v>2.9522166853752294E-2</v>
      </c>
      <c r="BK206" s="233">
        <f t="shared" si="874"/>
        <v>2.9804711338813891E-2</v>
      </c>
      <c r="BL206" s="233">
        <f t="shared" si="874"/>
        <v>3.0081177009688195E-2</v>
      </c>
      <c r="BM206" s="233">
        <f t="shared" si="874"/>
        <v>3.0351597548809395E-2</v>
      </c>
      <c r="BN206" s="233">
        <f t="shared" si="874"/>
        <v>3.0616014667587968E-2</v>
      </c>
      <c r="BO206" s="233">
        <f t="shared" ref="BO206:CB206" si="875">IF(BO204&lt;0,0,$B$5+$B$6*((1-EXP(-BO205/$B$9))/(BO205/$B$9))+$B$7*((1-EXP(-BO205/$B$9))/(BO205/$B$9)-EXP(-BO205/$B$9))+$B$8*((1-EXP(-BO205/$B$10))/(BO205/$B$10)-EXP(-BO205/$B$10)))</f>
        <v>3.0873057798653139E-2</v>
      </c>
      <c r="BP206" s="233">
        <f t="shared" si="875"/>
        <v>3.1125654219111051E-2</v>
      </c>
      <c r="BQ206" s="233">
        <f t="shared" si="875"/>
        <v>3.1372412888841142E-2</v>
      </c>
      <c r="BR206" s="233">
        <f t="shared" si="875"/>
        <v>3.1613400564823757E-2</v>
      </c>
      <c r="BS206" s="233">
        <f t="shared" si="875"/>
        <v>3.1848688744358755E-2</v>
      </c>
      <c r="BT206" s="233">
        <f t="shared" si="875"/>
        <v>3.2078353134914056E-2</v>
      </c>
      <c r="BU206" s="233">
        <f t="shared" si="875"/>
        <v>3.230247316098564E-2</v>
      </c>
      <c r="BV206" s="233">
        <f t="shared" si="875"/>
        <v>3.2521131505752393E-2</v>
      </c>
      <c r="BW206" s="233">
        <f t="shared" si="875"/>
        <v>3.2733243474758908E-2</v>
      </c>
      <c r="BX206" s="233">
        <f t="shared" si="875"/>
        <v>3.2941266575713404E-2</v>
      </c>
      <c r="BY206" s="233">
        <f t="shared" si="875"/>
        <v>3.3144090987084596E-2</v>
      </c>
      <c r="BZ206" s="233">
        <f t="shared" si="875"/>
        <v>3.3341808459629557E-2</v>
      </c>
      <c r="CA206" s="233">
        <f t="shared" si="875"/>
        <v>3.3534512165345101E-2</v>
      </c>
      <c r="CB206" s="233">
        <f t="shared" si="875"/>
        <v>3.3722296407670466E-2</v>
      </c>
      <c r="CC206" s="19"/>
      <c r="CD206" s="19"/>
      <c r="CE206" s="19"/>
    </row>
    <row r="207" spans="1:83">
      <c r="A207" s="16" t="s">
        <v>44</v>
      </c>
      <c r="B207" s="233">
        <f>EXP(-B206*B205)</f>
        <v>0.99133152229398525</v>
      </c>
      <c r="C207" s="233">
        <f t="shared" ref="C207:AR207" si="876">EXP(-C206*C205)</f>
        <v>0.98294662634177465</v>
      </c>
      <c r="D207" s="233">
        <f t="shared" si="876"/>
        <v>0.97528032280599075</v>
      </c>
      <c r="E207" s="233">
        <f t="shared" si="876"/>
        <v>0.96821834464010825</v>
      </c>
      <c r="F207" s="233">
        <f t="shared" si="876"/>
        <v>0.96161685827251375</v>
      </c>
      <c r="G207" s="233">
        <f t="shared" si="876"/>
        <v>0.95534941624366154</v>
      </c>
      <c r="H207" s="233">
        <f t="shared" si="876"/>
        <v>0.94930500496691217</v>
      </c>
      <c r="I207" s="233">
        <f t="shared" si="876"/>
        <v>0.94338641151137026</v>
      </c>
      <c r="J207" s="233">
        <f t="shared" si="876"/>
        <v>0.93750884257137257</v>
      </c>
      <c r="K207" s="233">
        <f t="shared" si="876"/>
        <v>0.93163178728765417</v>
      </c>
      <c r="L207" s="233">
        <f t="shared" si="876"/>
        <v>0.92562650505379895</v>
      </c>
      <c r="M207" s="233">
        <f t="shared" si="876"/>
        <v>0.91947159868113493</v>
      </c>
      <c r="N207" s="233">
        <f t="shared" si="876"/>
        <v>0.9131215084940526</v>
      </c>
      <c r="O207" s="233">
        <f t="shared" si="876"/>
        <v>0.90653846912090708</v>
      </c>
      <c r="P207" s="233">
        <f t="shared" si="876"/>
        <v>0.89969184920893286</v>
      </c>
      <c r="Q207" s="233">
        <f t="shared" si="876"/>
        <v>0.89255754179668589</v>
      </c>
      <c r="R207" s="233">
        <f t="shared" si="876"/>
        <v>0.88511739619932261</v>
      </c>
      <c r="S207" s="233">
        <f t="shared" si="876"/>
        <v>0.87740268502015695</v>
      </c>
      <c r="T207" s="233">
        <f t="shared" si="876"/>
        <v>0.86931942520833816</v>
      </c>
      <c r="U207" s="233">
        <f t="shared" si="876"/>
        <v>0.86090643127371913</v>
      </c>
      <c r="V207" s="233">
        <f t="shared" si="876"/>
        <v>0.85216430374250185</v>
      </c>
      <c r="W207" s="233">
        <f t="shared" si="876"/>
        <v>0.84309720253983156</v>
      </c>
      <c r="X207" s="233">
        <f t="shared" si="876"/>
        <v>0.83371243709261778</v>
      </c>
      <c r="Y207" s="233">
        <f t="shared" si="876"/>
        <v>0.82402007739345962</v>
      </c>
      <c r="Z207" s="233">
        <f t="shared" si="876"/>
        <v>0.81403258585344906</v>
      </c>
      <c r="AA207" s="233">
        <f t="shared" si="876"/>
        <v>0.80382226112772859</v>
      </c>
      <c r="AB207" s="233">
        <f t="shared" si="876"/>
        <v>0.79329116825969614</v>
      </c>
      <c r="AC207" s="233">
        <f t="shared" si="876"/>
        <v>0.78251321492281534</v>
      </c>
      <c r="AD207" s="233">
        <f t="shared" si="876"/>
        <v>0.77150716346803216</v>
      </c>
      <c r="AE207" s="233">
        <f t="shared" si="876"/>
        <v>0.76029264294432997</v>
      </c>
      <c r="AF207" s="233">
        <f t="shared" si="876"/>
        <v>0.74888990651140119</v>
      </c>
      <c r="AG207" s="233">
        <f t="shared" si="876"/>
        <v>0.73731960954212927</v>
      </c>
      <c r="AH207" s="233">
        <f t="shared" si="876"/>
        <v>0.72560260805999699</v>
      </c>
      <c r="AI207" s="233">
        <f t="shared" si="876"/>
        <v>0.71382587994508007</v>
      </c>
      <c r="AJ207" s="233">
        <f t="shared" si="876"/>
        <v>0.70187847793062552</v>
      </c>
      <c r="AK207" s="233">
        <f t="shared" si="876"/>
        <v>0.68984630941802683</v>
      </c>
      <c r="AL207" s="233">
        <f t="shared" si="876"/>
        <v>0.67774940767371572</v>
      </c>
      <c r="AM207" s="233">
        <f t="shared" si="876"/>
        <v>0.66560728387323809</v>
      </c>
      <c r="AN207" s="233">
        <f t="shared" si="876"/>
        <v>0.65343883379227308</v>
      </c>
      <c r="AO207" s="233">
        <f t="shared" si="876"/>
        <v>0.64126225948866122</v>
      </c>
      <c r="AP207" s="233">
        <f t="shared" si="876"/>
        <v>0.62909500495834825</v>
      </c>
      <c r="AQ207" s="233">
        <f t="shared" si="876"/>
        <v>0.61702105531191886</v>
      </c>
      <c r="AR207" s="233">
        <f t="shared" si="876"/>
        <v>0.6049212210394096</v>
      </c>
      <c r="AS207" s="233">
        <f>EXP(-AS206*AS205)</f>
        <v>0.59287795417372269</v>
      </c>
      <c r="AT207" s="233">
        <f t="shared" ref="AT207:CA207" si="877">EXP(-AT206*AT205)</f>
        <v>0.58090527120426838</v>
      </c>
      <c r="AU207" s="233">
        <f t="shared" si="877"/>
        <v>0.5690162822470779</v>
      </c>
      <c r="AV207" s="233">
        <f t="shared" si="877"/>
        <v>0.55722318893003053</v>
      </c>
      <c r="AW207" s="233">
        <f t="shared" si="877"/>
        <v>0.54553728925561928</v>
      </c>
      <c r="AX207" s="233">
        <f t="shared" si="877"/>
        <v>0.53396898856971131</v>
      </c>
      <c r="AY207" s="233">
        <f t="shared" si="877"/>
        <v>0.52259101039760159</v>
      </c>
      <c r="AZ207" s="233">
        <f t="shared" si="877"/>
        <v>0.51128486200907464</v>
      </c>
      <c r="BA207" s="233">
        <f t="shared" si="877"/>
        <v>0.50012231577765009</v>
      </c>
      <c r="BB207" s="233">
        <f t="shared" si="877"/>
        <v>0.4891104149693602</v>
      </c>
      <c r="BC207" s="233">
        <f t="shared" si="877"/>
        <v>0.47825542956528178</v>
      </c>
      <c r="BD207" s="233">
        <f t="shared" si="877"/>
        <v>0.46756288848284122</v>
      </c>
      <c r="BE207" s="233">
        <f t="shared" si="877"/>
        <v>0.45703761328720544</v>
      </c>
      <c r="BF207" s="233">
        <f t="shared" si="877"/>
        <v>0.44668375294560092</v>
      </c>
      <c r="BG207" s="233">
        <f t="shared" si="877"/>
        <v>0.43656088003781796</v>
      </c>
      <c r="BH207" s="233">
        <f t="shared" si="877"/>
        <v>0.42655878823477511</v>
      </c>
      <c r="BI207" s="233">
        <f t="shared" si="877"/>
        <v>0.41673686621556594</v>
      </c>
      <c r="BJ207" s="233">
        <f t="shared" si="877"/>
        <v>0.40709693081691234</v>
      </c>
      <c r="BK207" s="233">
        <f t="shared" si="877"/>
        <v>0.3976403031196532</v>
      </c>
      <c r="BL207" s="233">
        <f t="shared" si="877"/>
        <v>0.3883678426212519</v>
      </c>
      <c r="BM207" s="233">
        <f t="shared" si="877"/>
        <v>0.3792799805366357</v>
      </c>
      <c r="BN207" s="233">
        <f t="shared" si="877"/>
        <v>0.37037675209298626</v>
      </c>
      <c r="BO207" s="233">
        <f t="shared" si="877"/>
        <v>0.36170575814128275</v>
      </c>
      <c r="BP207" s="233">
        <f t="shared" si="877"/>
        <v>0.35316945560484836</v>
      </c>
      <c r="BQ207" s="233">
        <f t="shared" si="877"/>
        <v>0.34481582840104857</v>
      </c>
      <c r="BR207" s="233">
        <f t="shared" si="877"/>
        <v>0.33664362880382476</v>
      </c>
      <c r="BS207" s="233">
        <f t="shared" si="877"/>
        <v>0.32865135633365672</v>
      </c>
      <c r="BT207" s="233">
        <f t="shared" si="877"/>
        <v>0.32083728249563498</v>
      </c>
      <c r="BU207" s="233">
        <f t="shared" si="877"/>
        <v>0.31319947416786853</v>
      </c>
      <c r="BV207" s="233">
        <f t="shared" si="877"/>
        <v>0.30573581564965113</v>
      </c>
      <c r="BW207" s="233">
        <f t="shared" si="877"/>
        <v>0.29848406892455098</v>
      </c>
      <c r="BX207" s="233">
        <f t="shared" si="877"/>
        <v>0.29136080046424684</v>
      </c>
      <c r="BY207" s="233">
        <f t="shared" si="877"/>
        <v>0.2844044545039871</v>
      </c>
      <c r="BZ207" s="233">
        <f t="shared" si="877"/>
        <v>0.27761238005618627</v>
      </c>
      <c r="CA207" s="233">
        <f t="shared" si="877"/>
        <v>0.2709818344966583</v>
      </c>
      <c r="CB207" s="233">
        <f>EXP(-CB206*CB205)</f>
        <v>0.26450999819085108</v>
      </c>
      <c r="CC207" s="19"/>
      <c r="CD207" s="19"/>
      <c r="CE207" s="19"/>
    </row>
    <row r="208" spans="1:83">
      <c r="A208" s="17"/>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19"/>
      <c r="CD208" s="19"/>
      <c r="CE208" s="19"/>
    </row>
    <row r="209" spans="1:83">
      <c r="A209" s="16" t="s">
        <v>40</v>
      </c>
      <c r="B209" s="233">
        <f t="shared" ref="B209:AG209" si="878">DAYS360($B$3,B78)</f>
        <v>55</v>
      </c>
      <c r="C209" s="233">
        <f t="shared" si="878"/>
        <v>233</v>
      </c>
      <c r="D209" s="233">
        <f t="shared" si="878"/>
        <v>414</v>
      </c>
      <c r="E209" s="233">
        <f t="shared" si="878"/>
        <v>592</v>
      </c>
      <c r="F209" s="233">
        <f t="shared" si="878"/>
        <v>774</v>
      </c>
      <c r="G209" s="233">
        <f t="shared" si="878"/>
        <v>952</v>
      </c>
      <c r="H209" s="233">
        <f t="shared" si="878"/>
        <v>1134</v>
      </c>
      <c r="I209" s="233">
        <f t="shared" si="878"/>
        <v>1312</v>
      </c>
      <c r="J209" s="233">
        <f t="shared" si="878"/>
        <v>1494</v>
      </c>
      <c r="K209" s="233">
        <f t="shared" si="878"/>
        <v>1672</v>
      </c>
      <c r="L209" s="233">
        <f t="shared" si="878"/>
        <v>1853</v>
      </c>
      <c r="M209" s="233">
        <f t="shared" si="878"/>
        <v>2031</v>
      </c>
      <c r="N209" s="233">
        <f t="shared" si="878"/>
        <v>2213</v>
      </c>
      <c r="O209" s="233">
        <f t="shared" si="878"/>
        <v>2391</v>
      </c>
      <c r="P209" s="233">
        <f t="shared" si="878"/>
        <v>2573</v>
      </c>
      <c r="Q209" s="233">
        <f t="shared" si="878"/>
        <v>2751</v>
      </c>
      <c r="R209" s="233">
        <f t="shared" si="878"/>
        <v>2933</v>
      </c>
      <c r="S209" s="233">
        <f t="shared" si="878"/>
        <v>3111</v>
      </c>
      <c r="T209" s="233">
        <f t="shared" si="878"/>
        <v>3292</v>
      </c>
      <c r="U209" s="233">
        <f t="shared" si="878"/>
        <v>3470</v>
      </c>
      <c r="V209" s="233">
        <f t="shared" si="878"/>
        <v>3652</v>
      </c>
      <c r="W209" s="233">
        <f t="shared" si="878"/>
        <v>3830</v>
      </c>
      <c r="X209" s="233">
        <f t="shared" si="878"/>
        <v>4012</v>
      </c>
      <c r="Y209" s="233">
        <f t="shared" si="878"/>
        <v>4190</v>
      </c>
      <c r="Z209" s="233">
        <f t="shared" si="878"/>
        <v>4372</v>
      </c>
      <c r="AA209" s="233">
        <f t="shared" si="878"/>
        <v>4550</v>
      </c>
      <c r="AB209" s="233">
        <f t="shared" si="878"/>
        <v>4731</v>
      </c>
      <c r="AC209" s="233">
        <f t="shared" si="878"/>
        <v>4909</v>
      </c>
      <c r="AD209" s="233">
        <f t="shared" si="878"/>
        <v>5091</v>
      </c>
      <c r="AE209" s="233">
        <f t="shared" si="878"/>
        <v>5269</v>
      </c>
      <c r="AF209" s="233">
        <f t="shared" si="878"/>
        <v>5451</v>
      </c>
      <c r="AG209" s="233">
        <f t="shared" si="878"/>
        <v>5629</v>
      </c>
      <c r="AH209" s="233">
        <f t="shared" ref="AH209:BM209" si="879">DAYS360($B$3,AH78)</f>
        <v>5811</v>
      </c>
      <c r="AI209" s="233">
        <f t="shared" si="879"/>
        <v>5989</v>
      </c>
      <c r="AJ209" s="233">
        <f t="shared" si="879"/>
        <v>6170</v>
      </c>
      <c r="AK209" s="233">
        <f t="shared" si="879"/>
        <v>6348</v>
      </c>
      <c r="AL209" s="233">
        <f t="shared" si="879"/>
        <v>6530</v>
      </c>
      <c r="AM209" s="233">
        <f t="shared" si="879"/>
        <v>6708</v>
      </c>
      <c r="AN209" s="233">
        <f t="shared" si="879"/>
        <v>6890</v>
      </c>
      <c r="AO209" s="233">
        <f t="shared" si="879"/>
        <v>7068</v>
      </c>
      <c r="AP209" s="233">
        <f t="shared" si="879"/>
        <v>7250</v>
      </c>
      <c r="AQ209" s="233">
        <f t="shared" si="879"/>
        <v>7428</v>
      </c>
      <c r="AR209" s="233">
        <f t="shared" si="879"/>
        <v>7609</v>
      </c>
      <c r="AS209" s="233">
        <f t="shared" si="879"/>
        <v>7787</v>
      </c>
      <c r="AT209" s="233">
        <f t="shared" si="879"/>
        <v>7969</v>
      </c>
      <c r="AU209" s="233">
        <f t="shared" si="879"/>
        <v>8147</v>
      </c>
      <c r="AV209" s="233">
        <f t="shared" si="879"/>
        <v>8329</v>
      </c>
      <c r="AW209" s="233">
        <f t="shared" si="879"/>
        <v>8507</v>
      </c>
      <c r="AX209" s="233">
        <f t="shared" si="879"/>
        <v>8689</v>
      </c>
      <c r="AY209" s="233">
        <f t="shared" si="879"/>
        <v>8867</v>
      </c>
      <c r="AZ209" s="233">
        <f t="shared" si="879"/>
        <v>9048</v>
      </c>
      <c r="BA209" s="233">
        <f t="shared" si="879"/>
        <v>9226</v>
      </c>
      <c r="BB209" s="233">
        <f t="shared" si="879"/>
        <v>9408</v>
      </c>
      <c r="BC209" s="233">
        <f t="shared" si="879"/>
        <v>9586</v>
      </c>
      <c r="BD209" s="233">
        <f t="shared" si="879"/>
        <v>9768</v>
      </c>
      <c r="BE209" s="233">
        <f t="shared" si="879"/>
        <v>9946</v>
      </c>
      <c r="BF209" s="233">
        <f t="shared" si="879"/>
        <v>10128</v>
      </c>
      <c r="BG209" s="233">
        <f t="shared" si="879"/>
        <v>10306</v>
      </c>
      <c r="BH209" s="233">
        <f t="shared" si="879"/>
        <v>10487</v>
      </c>
      <c r="BI209" s="233">
        <f t="shared" si="879"/>
        <v>10665</v>
      </c>
      <c r="BJ209" s="233">
        <f t="shared" si="879"/>
        <v>10847</v>
      </c>
      <c r="BK209" s="233">
        <f t="shared" si="879"/>
        <v>11025</v>
      </c>
      <c r="BL209" s="233">
        <f t="shared" si="879"/>
        <v>11207</v>
      </c>
      <c r="BM209" s="233">
        <f t="shared" si="879"/>
        <v>11385</v>
      </c>
      <c r="BN209" s="233">
        <f t="shared" ref="BN209:CB209" si="880">DAYS360($B$3,BN78)</f>
        <v>11567</v>
      </c>
      <c r="BO209" s="233">
        <f t="shared" si="880"/>
        <v>11745</v>
      </c>
      <c r="BP209" s="233">
        <f t="shared" si="880"/>
        <v>11926</v>
      </c>
      <c r="BQ209" s="233">
        <f t="shared" si="880"/>
        <v>12104</v>
      </c>
      <c r="BR209" s="233">
        <f t="shared" si="880"/>
        <v>12286</v>
      </c>
      <c r="BS209" s="233">
        <f t="shared" si="880"/>
        <v>12464</v>
      </c>
      <c r="BT209" s="233">
        <f t="shared" si="880"/>
        <v>12646</v>
      </c>
      <c r="BU209" s="233">
        <f t="shared" si="880"/>
        <v>12824</v>
      </c>
      <c r="BV209" s="233">
        <f t="shared" si="880"/>
        <v>13006</v>
      </c>
      <c r="BW209" s="233">
        <f t="shared" si="880"/>
        <v>13184</v>
      </c>
      <c r="BX209" s="233">
        <f t="shared" si="880"/>
        <v>13365</v>
      </c>
      <c r="BY209" s="233">
        <f t="shared" si="880"/>
        <v>13543</v>
      </c>
      <c r="BZ209" s="233">
        <f t="shared" si="880"/>
        <v>13725</v>
      </c>
      <c r="CA209" s="233">
        <f t="shared" si="880"/>
        <v>13903</v>
      </c>
      <c r="CB209" s="233">
        <f t="shared" si="880"/>
        <v>14085</v>
      </c>
      <c r="CC209" s="19"/>
      <c r="CD209" s="19"/>
      <c r="CE209" s="19"/>
    </row>
    <row r="210" spans="1:83">
      <c r="A210" s="16" t="s">
        <v>41</v>
      </c>
      <c r="B210" s="233">
        <f>B209/360</f>
        <v>0.15277777777777779</v>
      </c>
      <c r="C210" s="233">
        <f t="shared" ref="C210:BN210" si="881">C209/360</f>
        <v>0.64722222222222225</v>
      </c>
      <c r="D210" s="233">
        <f t="shared" si="881"/>
        <v>1.1499999999999999</v>
      </c>
      <c r="E210" s="233">
        <f t="shared" si="881"/>
        <v>1.6444444444444444</v>
      </c>
      <c r="F210" s="233">
        <f t="shared" si="881"/>
        <v>2.15</v>
      </c>
      <c r="G210" s="233">
        <f t="shared" si="881"/>
        <v>2.6444444444444444</v>
      </c>
      <c r="H210" s="233">
        <f t="shared" si="881"/>
        <v>3.15</v>
      </c>
      <c r="I210" s="233">
        <f t="shared" si="881"/>
        <v>3.6444444444444444</v>
      </c>
      <c r="J210" s="233">
        <f t="shared" si="881"/>
        <v>4.1500000000000004</v>
      </c>
      <c r="K210" s="233">
        <f t="shared" si="881"/>
        <v>4.6444444444444448</v>
      </c>
      <c r="L210" s="233">
        <f t="shared" si="881"/>
        <v>5.1472222222222221</v>
      </c>
      <c r="M210" s="233">
        <f t="shared" si="881"/>
        <v>5.6416666666666666</v>
      </c>
      <c r="N210" s="233">
        <f t="shared" si="881"/>
        <v>6.1472222222222221</v>
      </c>
      <c r="O210" s="233">
        <f t="shared" si="881"/>
        <v>6.6416666666666666</v>
      </c>
      <c r="P210" s="233">
        <f t="shared" si="881"/>
        <v>7.1472222222222221</v>
      </c>
      <c r="Q210" s="233">
        <f t="shared" si="881"/>
        <v>7.6416666666666666</v>
      </c>
      <c r="R210" s="233">
        <f t="shared" si="881"/>
        <v>8.1472222222222221</v>
      </c>
      <c r="S210" s="233">
        <f t="shared" si="881"/>
        <v>8.6416666666666675</v>
      </c>
      <c r="T210" s="233">
        <f t="shared" si="881"/>
        <v>9.1444444444444439</v>
      </c>
      <c r="U210" s="233">
        <f t="shared" si="881"/>
        <v>9.6388888888888893</v>
      </c>
      <c r="V210" s="233">
        <f t="shared" si="881"/>
        <v>10.144444444444444</v>
      </c>
      <c r="W210" s="233">
        <f t="shared" si="881"/>
        <v>10.638888888888889</v>
      </c>
      <c r="X210" s="233">
        <f t="shared" si="881"/>
        <v>11.144444444444444</v>
      </c>
      <c r="Y210" s="233">
        <f t="shared" si="881"/>
        <v>11.638888888888889</v>
      </c>
      <c r="Z210" s="233">
        <f t="shared" si="881"/>
        <v>12.144444444444444</v>
      </c>
      <c r="AA210" s="233">
        <f t="shared" si="881"/>
        <v>12.638888888888889</v>
      </c>
      <c r="AB210" s="233">
        <f t="shared" si="881"/>
        <v>13.141666666666667</v>
      </c>
      <c r="AC210" s="233">
        <f t="shared" si="881"/>
        <v>13.636111111111111</v>
      </c>
      <c r="AD210" s="233">
        <f t="shared" si="881"/>
        <v>14.141666666666667</v>
      </c>
      <c r="AE210" s="233">
        <f t="shared" si="881"/>
        <v>14.636111111111111</v>
      </c>
      <c r="AF210" s="233">
        <f t="shared" si="881"/>
        <v>15.141666666666667</v>
      </c>
      <c r="AG210" s="233">
        <f t="shared" si="881"/>
        <v>15.636111111111111</v>
      </c>
      <c r="AH210" s="233">
        <f t="shared" si="881"/>
        <v>16.141666666666666</v>
      </c>
      <c r="AI210" s="233">
        <f t="shared" si="881"/>
        <v>16.636111111111113</v>
      </c>
      <c r="AJ210" s="233">
        <f t="shared" si="881"/>
        <v>17.138888888888889</v>
      </c>
      <c r="AK210" s="233">
        <f t="shared" si="881"/>
        <v>17.633333333333333</v>
      </c>
      <c r="AL210" s="233">
        <f t="shared" si="881"/>
        <v>18.138888888888889</v>
      </c>
      <c r="AM210" s="233">
        <f t="shared" si="881"/>
        <v>18.633333333333333</v>
      </c>
      <c r="AN210" s="233">
        <f t="shared" si="881"/>
        <v>19.138888888888889</v>
      </c>
      <c r="AO210" s="233">
        <f t="shared" si="881"/>
        <v>19.633333333333333</v>
      </c>
      <c r="AP210" s="233">
        <f t="shared" si="881"/>
        <v>20.138888888888889</v>
      </c>
      <c r="AQ210" s="233">
        <f t="shared" si="881"/>
        <v>20.633333333333333</v>
      </c>
      <c r="AR210" s="233">
        <f t="shared" si="881"/>
        <v>21.136111111111113</v>
      </c>
      <c r="AS210" s="233">
        <f t="shared" si="881"/>
        <v>21.630555555555556</v>
      </c>
      <c r="AT210" s="233">
        <f t="shared" si="881"/>
        <v>22.136111111111113</v>
      </c>
      <c r="AU210" s="233">
        <f t="shared" si="881"/>
        <v>22.630555555555556</v>
      </c>
      <c r="AV210" s="233">
        <f t="shared" si="881"/>
        <v>23.136111111111113</v>
      </c>
      <c r="AW210" s="233">
        <f t="shared" si="881"/>
        <v>23.630555555555556</v>
      </c>
      <c r="AX210" s="233">
        <f t="shared" si="881"/>
        <v>24.136111111111113</v>
      </c>
      <c r="AY210" s="233">
        <f t="shared" si="881"/>
        <v>24.630555555555556</v>
      </c>
      <c r="AZ210" s="233">
        <f t="shared" si="881"/>
        <v>25.133333333333333</v>
      </c>
      <c r="BA210" s="233">
        <f t="shared" si="881"/>
        <v>25.627777777777776</v>
      </c>
      <c r="BB210" s="233">
        <f t="shared" si="881"/>
        <v>26.133333333333333</v>
      </c>
      <c r="BC210" s="233">
        <f t="shared" si="881"/>
        <v>26.627777777777776</v>
      </c>
      <c r="BD210" s="233">
        <f t="shared" si="881"/>
        <v>27.133333333333333</v>
      </c>
      <c r="BE210" s="233">
        <f t="shared" si="881"/>
        <v>27.627777777777776</v>
      </c>
      <c r="BF210" s="233">
        <f t="shared" si="881"/>
        <v>28.133333333333333</v>
      </c>
      <c r="BG210" s="233">
        <f t="shared" si="881"/>
        <v>28.627777777777776</v>
      </c>
      <c r="BH210" s="233">
        <f t="shared" si="881"/>
        <v>29.130555555555556</v>
      </c>
      <c r="BI210" s="233">
        <f t="shared" si="881"/>
        <v>29.625</v>
      </c>
      <c r="BJ210" s="233">
        <f t="shared" si="881"/>
        <v>30.130555555555556</v>
      </c>
      <c r="BK210" s="233">
        <f t="shared" si="881"/>
        <v>30.625</v>
      </c>
      <c r="BL210" s="233">
        <f t="shared" si="881"/>
        <v>31.130555555555556</v>
      </c>
      <c r="BM210" s="233">
        <f t="shared" si="881"/>
        <v>31.625</v>
      </c>
      <c r="BN210" s="233">
        <f t="shared" si="881"/>
        <v>32.130555555555553</v>
      </c>
      <c r="BO210" s="233">
        <f t="shared" ref="BO210:CB210" si="882">BO209/360</f>
        <v>32.625</v>
      </c>
      <c r="BP210" s="233">
        <f t="shared" si="882"/>
        <v>33.12777777777778</v>
      </c>
      <c r="BQ210" s="233">
        <f t="shared" si="882"/>
        <v>33.62222222222222</v>
      </c>
      <c r="BR210" s="233">
        <f t="shared" si="882"/>
        <v>34.12777777777778</v>
      </c>
      <c r="BS210" s="233">
        <f t="shared" si="882"/>
        <v>34.62222222222222</v>
      </c>
      <c r="BT210" s="233">
        <f t="shared" si="882"/>
        <v>35.12777777777778</v>
      </c>
      <c r="BU210" s="233">
        <f t="shared" si="882"/>
        <v>35.62222222222222</v>
      </c>
      <c r="BV210" s="233">
        <f t="shared" si="882"/>
        <v>36.12777777777778</v>
      </c>
      <c r="BW210" s="233">
        <f t="shared" si="882"/>
        <v>36.62222222222222</v>
      </c>
      <c r="BX210" s="233">
        <f t="shared" si="882"/>
        <v>37.125</v>
      </c>
      <c r="BY210" s="233">
        <f t="shared" si="882"/>
        <v>37.619444444444447</v>
      </c>
      <c r="BZ210" s="233">
        <f t="shared" si="882"/>
        <v>38.125</v>
      </c>
      <c r="CA210" s="233">
        <f t="shared" si="882"/>
        <v>38.619444444444447</v>
      </c>
      <c r="CB210" s="233">
        <f t="shared" si="882"/>
        <v>39.125</v>
      </c>
      <c r="CC210" s="19"/>
      <c r="CD210" s="19"/>
      <c r="CE210" s="19"/>
    </row>
    <row r="211" spans="1:83">
      <c r="A211" s="16" t="s">
        <v>43</v>
      </c>
      <c r="B211" s="233">
        <f>IF(B209&lt;0,0,$B$5+$B$6*((1-EXP(-B210/$B$9))/(B210/$B$9))+$B$7*((1-EXP(-B210/$B$9))/(B210/$B$9)-EXP(-B210/$B$9))+$B$8*((1-EXP(-B210/$B$10))/(B210/$B$10)-EXP(-B210/$B$10)))</f>
        <v>1.9373032396222335E-2</v>
      </c>
      <c r="C211" s="233">
        <f t="shared" ref="C211:BN211" si="883">IF(C209&lt;0,0,$B$5+$B$6*((1-EXP(-C210/$B$9))/(C210/$B$9))+$B$7*((1-EXP(-C210/$B$9))/(C210/$B$9)-EXP(-C210/$B$9))+$B$8*((1-EXP(-C210/$B$10))/(C210/$B$10)-EXP(-C210/$B$10)))</f>
        <v>1.8433307799419242E-2</v>
      </c>
      <c r="D211" s="233">
        <f t="shared" si="883"/>
        <v>1.7594628811189797E-2</v>
      </c>
      <c r="E211" s="233">
        <f t="shared" si="883"/>
        <v>1.6876703095685241E-2</v>
      </c>
      <c r="F211" s="233">
        <f t="shared" si="883"/>
        <v>1.6244343870822062E-2</v>
      </c>
      <c r="G211" s="233">
        <f t="shared" si="883"/>
        <v>1.5718165514221186E-2</v>
      </c>
      <c r="H211" s="233">
        <f t="shared" si="883"/>
        <v>1.5267571342294922E-2</v>
      </c>
      <c r="I211" s="233">
        <f t="shared" si="883"/>
        <v>1.490603428032207E-2</v>
      </c>
      <c r="J211" s="233">
        <f t="shared" si="883"/>
        <v>1.4611182094045973E-2</v>
      </c>
      <c r="K211" s="233">
        <f t="shared" si="883"/>
        <v>1.439039772678951E-2</v>
      </c>
      <c r="L211" s="233">
        <f t="shared" si="883"/>
        <v>1.4229093278154324E-2</v>
      </c>
      <c r="M211" s="233">
        <f t="shared" si="883"/>
        <v>1.4127733129295564E-2</v>
      </c>
      <c r="N211" s="233">
        <f t="shared" si="883"/>
        <v>1.4078088890232432E-2</v>
      </c>
      <c r="O211" s="233">
        <f t="shared" si="883"/>
        <v>1.407803542800562E-2</v>
      </c>
      <c r="P211" s="233">
        <f t="shared" si="883"/>
        <v>1.4123415887522209E-2</v>
      </c>
      <c r="Q211" s="233">
        <f t="shared" si="883"/>
        <v>1.4208460836237197E-2</v>
      </c>
      <c r="R211" s="233">
        <f t="shared" si="883"/>
        <v>1.43333552248225E-2</v>
      </c>
      <c r="S211" s="233">
        <f t="shared" si="883"/>
        <v>1.4489307659856246E-2</v>
      </c>
      <c r="T211" s="233">
        <f t="shared" si="883"/>
        <v>1.4679019420620831E-2</v>
      </c>
      <c r="U211" s="233">
        <f t="shared" si="883"/>
        <v>1.4893332967926831E-2</v>
      </c>
      <c r="V211" s="233">
        <f t="shared" si="883"/>
        <v>1.5138144948639118E-2</v>
      </c>
      <c r="W211" s="233">
        <f t="shared" si="883"/>
        <v>1.540018428735053E-2</v>
      </c>
      <c r="X211" s="233">
        <f t="shared" si="883"/>
        <v>1.5688817574435396E-2</v>
      </c>
      <c r="Y211" s="233">
        <f t="shared" si="883"/>
        <v>1.5989177561596526E-2</v>
      </c>
      <c r="Z211" s="233">
        <f t="shared" si="883"/>
        <v>1.6312672973109857E-2</v>
      </c>
      <c r="AA211" s="233">
        <f t="shared" si="883"/>
        <v>1.6643196231750382E-2</v>
      </c>
      <c r="AB211" s="233">
        <f t="shared" si="883"/>
        <v>1.6991836444086084E-2</v>
      </c>
      <c r="AC211" s="233">
        <f t="shared" si="883"/>
        <v>1.7345413875943766E-2</v>
      </c>
      <c r="AD211" s="233">
        <f t="shared" si="883"/>
        <v>1.7716368601685004E-2</v>
      </c>
      <c r="AE211" s="233">
        <f t="shared" si="883"/>
        <v>1.8086992454355258E-2</v>
      </c>
      <c r="AF211" s="233">
        <f t="shared" si="883"/>
        <v>1.8472604865225214E-2</v>
      </c>
      <c r="AG211" s="233">
        <f t="shared" si="883"/>
        <v>1.8855054435193003E-2</v>
      </c>
      <c r="AH211" s="233">
        <f t="shared" si="883"/>
        <v>1.9250386466037897E-2</v>
      </c>
      <c r="AI211" s="233">
        <f t="shared" si="883"/>
        <v>1.9640199359774319E-2</v>
      </c>
      <c r="AJ211" s="233">
        <f t="shared" si="883"/>
        <v>2.003883336056668E-2</v>
      </c>
      <c r="AK211" s="233">
        <f t="shared" si="883"/>
        <v>2.0432209187213543E-2</v>
      </c>
      <c r="AL211" s="233">
        <f t="shared" si="883"/>
        <v>2.0834987144296158E-2</v>
      </c>
      <c r="AM211" s="233">
        <f t="shared" si="883"/>
        <v>2.1228730248601682E-2</v>
      </c>
      <c r="AN211" s="233">
        <f t="shared" si="883"/>
        <v>2.1630444053463399E-2</v>
      </c>
      <c r="AO211" s="233">
        <f t="shared" si="883"/>
        <v>2.2021858094173466E-2</v>
      </c>
      <c r="AP211" s="233">
        <f t="shared" si="883"/>
        <v>2.241998861882126E-2</v>
      </c>
      <c r="AQ211" s="233">
        <f t="shared" si="883"/>
        <v>2.2806827379543246E-2</v>
      </c>
      <c r="AR211" s="233">
        <f t="shared" si="883"/>
        <v>2.3197138706976553E-2</v>
      </c>
      <c r="AS211" s="233">
        <f t="shared" si="883"/>
        <v>2.3577569281418811E-2</v>
      </c>
      <c r="AT211" s="233">
        <f t="shared" si="883"/>
        <v>2.3962664747602849E-2</v>
      </c>
      <c r="AU211" s="233">
        <f t="shared" si="883"/>
        <v>2.4335160530536901E-2</v>
      </c>
      <c r="AV211" s="233">
        <f t="shared" si="883"/>
        <v>2.4711487417576811E-2</v>
      </c>
      <c r="AW211" s="233">
        <f t="shared" si="883"/>
        <v>2.5074835355771818E-2</v>
      </c>
      <c r="AX211" s="233">
        <f t="shared" si="883"/>
        <v>2.544129023836661E-2</v>
      </c>
      <c r="AY211" s="233">
        <f t="shared" si="883"/>
        <v>2.5794535762764734E-2</v>
      </c>
      <c r="AZ211" s="233">
        <f t="shared" si="883"/>
        <v>2.6148321894899865E-2</v>
      </c>
      <c r="BA211" s="233">
        <f t="shared" si="883"/>
        <v>2.6490764802616654E-2</v>
      </c>
      <c r="BB211" s="233">
        <f t="shared" si="883"/>
        <v>2.683514735379848E-2</v>
      </c>
      <c r="BC211" s="233">
        <f t="shared" si="883"/>
        <v>2.7166219348219584E-2</v>
      </c>
      <c r="BD211" s="233">
        <f t="shared" si="883"/>
        <v>2.749876488852207E-2</v>
      </c>
      <c r="BE211" s="233">
        <f t="shared" si="883"/>
        <v>2.7818092105223083E-2</v>
      </c>
      <c r="BF211" s="233">
        <f t="shared" si="883"/>
        <v>2.8138493426321368E-2</v>
      </c>
      <c r="BG211" s="233">
        <f t="shared" si="883"/>
        <v>2.8445843199599682E-2</v>
      </c>
      <c r="BH211" s="233">
        <f t="shared" si="883"/>
        <v>2.8752250619012459E-2</v>
      </c>
      <c r="BI211" s="233">
        <f t="shared" si="883"/>
        <v>2.9047543956322128E-2</v>
      </c>
      <c r="BJ211" s="233">
        <f t="shared" si="883"/>
        <v>2.9343282116617367E-2</v>
      </c>
      <c r="BK211" s="233">
        <f t="shared" si="883"/>
        <v>2.9626474087270427E-2</v>
      </c>
      <c r="BL211" s="233">
        <f t="shared" si="883"/>
        <v>2.9909866740558233E-2</v>
      </c>
      <c r="BM211" s="233">
        <f t="shared" si="883"/>
        <v>3.0181031073489309E-2</v>
      </c>
      <c r="BN211" s="233">
        <f t="shared" si="883"/>
        <v>3.0452191555067426E-2</v>
      </c>
      <c r="BO211" s="233">
        <f t="shared" ref="BO211:CB211" si="884">IF(BO209&lt;0,0,$B$5+$B$6*((1-EXP(-BO210/$B$9))/(BO210/$B$9))+$B$7*((1-EXP(-BO210/$B$9))/(BO210/$B$9)-EXP(-BO210/$B$9))+$B$8*((1-EXP(-BO210/$B$10))/(BO210/$B$10)-EXP(-BO210/$B$10)))</f>
        <v>3.0711472891074135E-2</v>
      </c>
      <c r="BP211" s="233">
        <f t="shared" si="884"/>
        <v>3.0969173257190091E-2</v>
      </c>
      <c r="BQ211" s="233">
        <f t="shared" si="884"/>
        <v>3.1216806803302313E-2</v>
      </c>
      <c r="BR211" s="233">
        <f t="shared" si="884"/>
        <v>3.146412718628476E-2</v>
      </c>
      <c r="BS211" s="233">
        <f t="shared" si="884"/>
        <v>3.1700330753365966E-2</v>
      </c>
      <c r="BT211" s="233">
        <f t="shared" si="884"/>
        <v>3.1936107605572694E-2</v>
      </c>
      <c r="BU211" s="233">
        <f t="shared" si="884"/>
        <v>3.2161169932485509E-2</v>
      </c>
      <c r="BV211" s="233">
        <f t="shared" si="884"/>
        <v>3.2385714782537739E-2</v>
      </c>
      <c r="BW211" s="233">
        <f t="shared" si="884"/>
        <v>3.2599954600579142E-2</v>
      </c>
      <c r="BX211" s="233">
        <f t="shared" si="884"/>
        <v>3.281244674863798E-2</v>
      </c>
      <c r="BY211" s="233">
        <f t="shared" si="884"/>
        <v>3.3016234333165903E-2</v>
      </c>
      <c r="BZ211" s="233">
        <f t="shared" si="884"/>
        <v>3.3219379476256264E-2</v>
      </c>
      <c r="CA211" s="233">
        <f t="shared" si="884"/>
        <v>3.3413043672516407E-2</v>
      </c>
      <c r="CB211" s="233">
        <f t="shared" si="884"/>
        <v>3.3606025947284818E-2</v>
      </c>
      <c r="CC211" s="19"/>
      <c r="CD211" s="19"/>
      <c r="CE211" s="19"/>
    </row>
    <row r="212" spans="1:83">
      <c r="A212" s="16" t="s">
        <v>44</v>
      </c>
      <c r="B212" s="233">
        <f>EXP(-B211*B210)</f>
        <v>0.99704460695929531</v>
      </c>
      <c r="C212" s="233">
        <f t="shared" ref="C212:AR212" si="885">EXP(-C211*C210)</f>
        <v>0.98814043916026317</v>
      </c>
      <c r="D212" s="233">
        <f t="shared" si="885"/>
        <v>0.97996950697536833</v>
      </c>
      <c r="E212" s="233">
        <f t="shared" si="885"/>
        <v>0.97262877028969519</v>
      </c>
      <c r="F212" s="233">
        <f t="shared" si="885"/>
        <v>0.96567751170368044</v>
      </c>
      <c r="G212" s="233">
        <f t="shared" si="885"/>
        <v>0.95928619739092014</v>
      </c>
      <c r="H212" s="233">
        <f t="shared" si="885"/>
        <v>0.95304529297279905</v>
      </c>
      <c r="I212" s="233">
        <f t="shared" si="885"/>
        <v>0.94712498570691905</v>
      </c>
      <c r="J212" s="233">
        <f t="shared" si="885"/>
        <v>0.94116537994877514</v>
      </c>
      <c r="K212" s="233">
        <f t="shared" si="885"/>
        <v>0.93534914454021545</v>
      </c>
      <c r="L212" s="233">
        <f t="shared" si="885"/>
        <v>0.92937746902210272</v>
      </c>
      <c r="M212" s="233">
        <f t="shared" si="885"/>
        <v>0.92338966521557231</v>
      </c>
      <c r="N212" s="233">
        <f t="shared" si="885"/>
        <v>0.91709781780421573</v>
      </c>
      <c r="O212" s="233">
        <f t="shared" si="885"/>
        <v>0.91073654327556497</v>
      </c>
      <c r="P212" s="233">
        <f t="shared" si="885"/>
        <v>0.90398438507615875</v>
      </c>
      <c r="Q212" s="233">
        <f t="shared" si="885"/>
        <v>0.89711042333984758</v>
      </c>
      <c r="R212" s="233">
        <f t="shared" si="885"/>
        <v>0.88978356590481522</v>
      </c>
      <c r="S212" s="233">
        <f t="shared" si="885"/>
        <v>0.88231003862548185</v>
      </c>
      <c r="T212" s="233">
        <f t="shared" si="885"/>
        <v>0.87438764003153224</v>
      </c>
      <c r="U212" s="233">
        <f t="shared" si="885"/>
        <v>0.86627299648369216</v>
      </c>
      <c r="V212" s="233">
        <f t="shared" si="885"/>
        <v>0.85764238213171251</v>
      </c>
      <c r="W212" s="233">
        <f t="shared" si="885"/>
        <v>0.84887711034547053</v>
      </c>
      <c r="X212" s="233">
        <f t="shared" si="885"/>
        <v>0.83958869501184441</v>
      </c>
      <c r="Y212" s="233">
        <f t="shared" si="885"/>
        <v>0.83019367580876868</v>
      </c>
      <c r="Z212" s="233">
        <f t="shared" si="885"/>
        <v>0.82028097033623582</v>
      </c>
      <c r="AA212" s="233">
        <f t="shared" si="885"/>
        <v>0.81029936925169743</v>
      </c>
      <c r="AB212" s="233">
        <f t="shared" si="885"/>
        <v>0.79987401049109885</v>
      </c>
      <c r="AC212" s="233">
        <f t="shared" si="885"/>
        <v>0.78936694446670552</v>
      </c>
      <c r="AD212" s="233">
        <f t="shared" si="885"/>
        <v>0.77838113866361502</v>
      </c>
      <c r="AE212" s="233">
        <f t="shared" si="885"/>
        <v>0.76741831801174132</v>
      </c>
      <c r="AF212" s="233">
        <f t="shared" si="885"/>
        <v>0.75600595538950577</v>
      </c>
      <c r="AG212" s="233">
        <f t="shared" si="885"/>
        <v>0.74466581913697594</v>
      </c>
      <c r="AH212" s="233">
        <f t="shared" si="885"/>
        <v>0.73290930093455608</v>
      </c>
      <c r="AI212" s="233">
        <f t="shared" si="885"/>
        <v>0.72127374564753632</v>
      </c>
      <c r="AJ212" s="233">
        <f t="shared" si="885"/>
        <v>0.70932367139885422</v>
      </c>
      <c r="AK212" s="233">
        <f t="shared" si="885"/>
        <v>0.69747545537344458</v>
      </c>
      <c r="AL212" s="233">
        <f t="shared" si="885"/>
        <v>0.68528291128344188</v>
      </c>
      <c r="AM212" s="233">
        <f t="shared" si="885"/>
        <v>0.67330153274582472</v>
      </c>
      <c r="AN212" s="233">
        <f t="shared" si="885"/>
        <v>0.66101240958102647</v>
      </c>
      <c r="AO212" s="233">
        <f t="shared" si="885"/>
        <v>0.64897409353763225</v>
      </c>
      <c r="AP212" s="233">
        <f t="shared" si="885"/>
        <v>0.63666372968234253</v>
      </c>
      <c r="AQ212" s="233">
        <f t="shared" si="885"/>
        <v>0.624639327637588</v>
      </c>
      <c r="AR212" s="233">
        <f t="shared" si="885"/>
        <v>0.61244428671206175</v>
      </c>
      <c r="AS212" s="233">
        <f>EXP(-AS211*AS210)</f>
        <v>0.60049802751411274</v>
      </c>
      <c r="AT212" s="233">
        <f t="shared" ref="AT212:CA212" si="886">EXP(-AT211*AT210)</f>
        <v>0.58834591727757379</v>
      </c>
      <c r="AU212" s="233">
        <f t="shared" si="886"/>
        <v>0.57653559244074626</v>
      </c>
      <c r="AV212" s="233">
        <f t="shared" si="886"/>
        <v>0.56454921343658859</v>
      </c>
      <c r="AW212" s="233">
        <f t="shared" si="886"/>
        <v>0.55292534314888764</v>
      </c>
      <c r="AX212" s="233">
        <f t="shared" si="886"/>
        <v>0.54115268748622558</v>
      </c>
      <c r="AY212" s="233">
        <f t="shared" si="886"/>
        <v>0.52975865390732801</v>
      </c>
      <c r="AZ212" s="233">
        <f t="shared" si="886"/>
        <v>0.51830340187044621</v>
      </c>
      <c r="BA212" s="233">
        <f t="shared" si="886"/>
        <v>0.50717486497477071</v>
      </c>
      <c r="BB212" s="233">
        <f t="shared" si="886"/>
        <v>0.49594420383854643</v>
      </c>
      <c r="BC212" s="233">
        <f t="shared" si="886"/>
        <v>0.48511172591304536</v>
      </c>
      <c r="BD212" s="233">
        <f t="shared" si="886"/>
        <v>0.47419665755408924</v>
      </c>
      <c r="BE212" s="233">
        <f t="shared" si="886"/>
        <v>0.46368396585575339</v>
      </c>
      <c r="BF212" s="233">
        <f t="shared" si="886"/>
        <v>0.45310580526700117</v>
      </c>
      <c r="BG212" s="233">
        <f t="shared" si="886"/>
        <v>0.44293099975917105</v>
      </c>
      <c r="BH212" s="233">
        <f t="shared" si="886"/>
        <v>0.43276127368308848</v>
      </c>
      <c r="BI212" s="233">
        <f t="shared" si="886"/>
        <v>0.42293638991048543</v>
      </c>
      <c r="BJ212" s="233">
        <f t="shared" si="886"/>
        <v>0.41307364199669117</v>
      </c>
      <c r="BK212" s="233">
        <f t="shared" si="886"/>
        <v>0.40360816151221768</v>
      </c>
      <c r="BL212" s="233">
        <f t="shared" si="886"/>
        <v>0.39411569595786866</v>
      </c>
      <c r="BM212" s="233">
        <f t="shared" si="886"/>
        <v>0.3850141825043914</v>
      </c>
      <c r="BN212" s="233">
        <f t="shared" si="886"/>
        <v>0.37589484865038381</v>
      </c>
      <c r="BO212" s="233">
        <f t="shared" si="886"/>
        <v>0.36715844161469968</v>
      </c>
      <c r="BP212" s="233">
        <f t="shared" si="886"/>
        <v>0.35845939475979721</v>
      </c>
      <c r="BQ212" s="233">
        <f t="shared" si="886"/>
        <v>0.35008530857626963</v>
      </c>
      <c r="BR212" s="233">
        <f t="shared" si="886"/>
        <v>0.34170730537657368</v>
      </c>
      <c r="BS212" s="233">
        <f t="shared" si="886"/>
        <v>0.33369232410859234</v>
      </c>
      <c r="BT212" s="233">
        <f t="shared" si="886"/>
        <v>0.32567852914504752</v>
      </c>
      <c r="BU212" s="233">
        <f t="shared" si="886"/>
        <v>0.31801639457561737</v>
      </c>
      <c r="BV212" s="233">
        <f t="shared" si="886"/>
        <v>0.31035952146198692</v>
      </c>
      <c r="BW212" s="233">
        <f t="shared" si="886"/>
        <v>0.30304232952824101</v>
      </c>
      <c r="BX212" s="233">
        <f t="shared" si="886"/>
        <v>0.29577327365486655</v>
      </c>
      <c r="BY212" s="233">
        <f t="shared" si="886"/>
        <v>0.2887908967926604</v>
      </c>
      <c r="BZ212" s="233">
        <f t="shared" si="886"/>
        <v>0.2818193989301282</v>
      </c>
      <c r="CA212" s="233">
        <f t="shared" si="886"/>
        <v>0.27516257234357233</v>
      </c>
      <c r="CB212" s="233">
        <f>EXP(-CB211*CB210)</f>
        <v>0.268518419690357</v>
      </c>
      <c r="CC212" s="19"/>
      <c r="CD212" s="19"/>
      <c r="CE212" s="19"/>
    </row>
    <row r="213" spans="1:83">
      <c r="A213" s="17"/>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19"/>
      <c r="CD213" s="19"/>
      <c r="CE213" s="19"/>
    </row>
    <row r="214" spans="1:83">
      <c r="A214" s="16" t="s">
        <v>40</v>
      </c>
      <c r="B214" s="233">
        <f t="shared" ref="B214:AG214" si="887">DAYS360($B$3,B80)</f>
        <v>152</v>
      </c>
      <c r="C214" s="233">
        <f t="shared" si="887"/>
        <v>331</v>
      </c>
      <c r="D214" s="233">
        <f t="shared" si="887"/>
        <v>511</v>
      </c>
      <c r="E214" s="233">
        <f t="shared" si="887"/>
        <v>691</v>
      </c>
      <c r="F214" s="233">
        <f t="shared" si="887"/>
        <v>871</v>
      </c>
      <c r="G214" s="233">
        <f t="shared" si="887"/>
        <v>1051</v>
      </c>
      <c r="H214" s="233">
        <f t="shared" si="887"/>
        <v>1231</v>
      </c>
      <c r="I214" s="233">
        <f t="shared" si="887"/>
        <v>1411</v>
      </c>
      <c r="J214" s="233">
        <f t="shared" si="887"/>
        <v>1591</v>
      </c>
      <c r="K214" s="233">
        <f t="shared" si="887"/>
        <v>1770</v>
      </c>
      <c r="L214" s="233">
        <f t="shared" si="887"/>
        <v>1950</v>
      </c>
      <c r="M214" s="233">
        <f t="shared" si="887"/>
        <v>2130</v>
      </c>
      <c r="N214" s="233">
        <f t="shared" si="887"/>
        <v>2310</v>
      </c>
      <c r="O214" s="233">
        <f t="shared" si="887"/>
        <v>2490</v>
      </c>
      <c r="P214" s="233">
        <f t="shared" si="887"/>
        <v>2670</v>
      </c>
      <c r="Q214" s="233">
        <f t="shared" si="887"/>
        <v>2850</v>
      </c>
      <c r="R214" s="233">
        <f t="shared" si="887"/>
        <v>3030</v>
      </c>
      <c r="S214" s="233">
        <f t="shared" si="887"/>
        <v>3209</v>
      </c>
      <c r="T214" s="233">
        <f t="shared" si="887"/>
        <v>3389</v>
      </c>
      <c r="U214" s="233">
        <f t="shared" si="887"/>
        <v>3569</v>
      </c>
      <c r="V214" s="233">
        <f t="shared" si="887"/>
        <v>3749</v>
      </c>
      <c r="W214" s="233">
        <f t="shared" si="887"/>
        <v>3929</v>
      </c>
      <c r="X214" s="233">
        <f t="shared" si="887"/>
        <v>4109</v>
      </c>
      <c r="Y214" s="233">
        <f t="shared" si="887"/>
        <v>4289</v>
      </c>
      <c r="Z214" s="233">
        <f t="shared" si="887"/>
        <v>4469</v>
      </c>
      <c r="AA214" s="233">
        <f t="shared" si="887"/>
        <v>4649</v>
      </c>
      <c r="AB214" s="233">
        <f t="shared" si="887"/>
        <v>4828</v>
      </c>
      <c r="AC214" s="233">
        <f t="shared" si="887"/>
        <v>5009</v>
      </c>
      <c r="AD214" s="233">
        <f t="shared" si="887"/>
        <v>5188</v>
      </c>
      <c r="AE214" s="233">
        <f t="shared" si="887"/>
        <v>5369</v>
      </c>
      <c r="AF214" s="233">
        <f t="shared" si="887"/>
        <v>5548</v>
      </c>
      <c r="AG214" s="233">
        <f t="shared" si="887"/>
        <v>5729</v>
      </c>
      <c r="AH214" s="233">
        <f t="shared" ref="AH214:BM214" si="888">DAYS360($B$3,AH80)</f>
        <v>5908</v>
      </c>
      <c r="AI214" s="233">
        <f t="shared" si="888"/>
        <v>6088</v>
      </c>
      <c r="AJ214" s="233">
        <f t="shared" si="888"/>
        <v>6267</v>
      </c>
      <c r="AK214" s="233">
        <f t="shared" si="888"/>
        <v>6448</v>
      </c>
      <c r="AL214" s="233">
        <f t="shared" si="888"/>
        <v>6627</v>
      </c>
      <c r="AM214" s="233">
        <f t="shared" si="888"/>
        <v>6808</v>
      </c>
      <c r="AN214" s="233">
        <f t="shared" si="888"/>
        <v>6987</v>
      </c>
      <c r="AO214" s="233">
        <f t="shared" si="888"/>
        <v>7168</v>
      </c>
      <c r="AP214" s="233">
        <f t="shared" si="888"/>
        <v>7347</v>
      </c>
      <c r="AQ214" s="233">
        <f t="shared" si="888"/>
        <v>7527</v>
      </c>
      <c r="AR214" s="233">
        <f t="shared" si="888"/>
        <v>7706</v>
      </c>
      <c r="AS214" s="233">
        <f t="shared" si="888"/>
        <v>7887</v>
      </c>
      <c r="AT214" s="233">
        <f t="shared" si="888"/>
        <v>8066</v>
      </c>
      <c r="AU214" s="233">
        <f t="shared" si="888"/>
        <v>8247</v>
      </c>
      <c r="AV214" s="233">
        <f t="shared" si="888"/>
        <v>8426</v>
      </c>
      <c r="AW214" s="233">
        <f t="shared" si="888"/>
        <v>8607</v>
      </c>
      <c r="AX214" s="233">
        <f t="shared" si="888"/>
        <v>8786</v>
      </c>
      <c r="AY214" s="233">
        <f t="shared" si="888"/>
        <v>8966</v>
      </c>
      <c r="AZ214" s="233">
        <f t="shared" si="888"/>
        <v>9145</v>
      </c>
      <c r="BA214" s="233">
        <f t="shared" si="888"/>
        <v>9326</v>
      </c>
      <c r="BB214" s="233">
        <f t="shared" si="888"/>
        <v>9505</v>
      </c>
      <c r="BC214" s="233">
        <f t="shared" si="888"/>
        <v>9686</v>
      </c>
      <c r="BD214" s="233">
        <f t="shared" si="888"/>
        <v>9865</v>
      </c>
      <c r="BE214" s="233">
        <f t="shared" si="888"/>
        <v>10046</v>
      </c>
      <c r="BF214" s="233">
        <f t="shared" si="888"/>
        <v>10225</v>
      </c>
      <c r="BG214" s="233">
        <f t="shared" si="888"/>
        <v>10405</v>
      </c>
      <c r="BH214" s="233">
        <f t="shared" si="888"/>
        <v>10584</v>
      </c>
      <c r="BI214" s="233">
        <f t="shared" si="888"/>
        <v>10765</v>
      </c>
      <c r="BJ214" s="233">
        <f t="shared" si="888"/>
        <v>10944</v>
      </c>
      <c r="BK214" s="233">
        <f t="shared" si="888"/>
        <v>11125</v>
      </c>
      <c r="BL214" s="233">
        <f t="shared" si="888"/>
        <v>11304</v>
      </c>
      <c r="BM214" s="233">
        <f t="shared" si="888"/>
        <v>11485</v>
      </c>
      <c r="BN214" s="233">
        <f t="shared" ref="BN214:CB214" si="889">DAYS360($B$3,BN80)</f>
        <v>11664</v>
      </c>
      <c r="BO214" s="233">
        <f t="shared" si="889"/>
        <v>11844</v>
      </c>
      <c r="BP214" s="233">
        <f t="shared" si="889"/>
        <v>12023</v>
      </c>
      <c r="BQ214" s="233">
        <f t="shared" si="889"/>
        <v>12204</v>
      </c>
      <c r="BR214" s="233">
        <f t="shared" si="889"/>
        <v>12383</v>
      </c>
      <c r="BS214" s="233">
        <f t="shared" si="889"/>
        <v>12564</v>
      </c>
      <c r="BT214" s="233">
        <f t="shared" si="889"/>
        <v>12743</v>
      </c>
      <c r="BU214" s="233">
        <f t="shared" si="889"/>
        <v>12924</v>
      </c>
      <c r="BV214" s="233">
        <f t="shared" si="889"/>
        <v>13103</v>
      </c>
      <c r="BW214" s="233">
        <f t="shared" si="889"/>
        <v>13283</v>
      </c>
      <c r="BX214" s="233">
        <f t="shared" si="889"/>
        <v>13462</v>
      </c>
      <c r="BY214" s="233">
        <f t="shared" si="889"/>
        <v>13643</v>
      </c>
      <c r="BZ214" s="233">
        <f t="shared" si="889"/>
        <v>13822</v>
      </c>
      <c r="CA214" s="233">
        <f t="shared" si="889"/>
        <v>14003</v>
      </c>
      <c r="CB214" s="233">
        <f t="shared" si="889"/>
        <v>14182</v>
      </c>
      <c r="CC214" s="19"/>
      <c r="CD214" s="19"/>
      <c r="CE214" s="19"/>
    </row>
    <row r="215" spans="1:83">
      <c r="A215" s="16" t="s">
        <v>41</v>
      </c>
      <c r="B215" s="233">
        <f>B214/360</f>
        <v>0.42222222222222222</v>
      </c>
      <c r="C215" s="233">
        <f t="shared" ref="C215:BN215" si="890">C214/360</f>
        <v>0.9194444444444444</v>
      </c>
      <c r="D215" s="233">
        <f t="shared" si="890"/>
        <v>1.4194444444444445</v>
      </c>
      <c r="E215" s="233">
        <f t="shared" si="890"/>
        <v>1.9194444444444445</v>
      </c>
      <c r="F215" s="233">
        <f t="shared" si="890"/>
        <v>2.4194444444444443</v>
      </c>
      <c r="G215" s="233">
        <f t="shared" si="890"/>
        <v>2.9194444444444443</v>
      </c>
      <c r="H215" s="233">
        <f t="shared" si="890"/>
        <v>3.4194444444444443</v>
      </c>
      <c r="I215" s="233">
        <f t="shared" si="890"/>
        <v>3.9194444444444443</v>
      </c>
      <c r="J215" s="233">
        <f t="shared" si="890"/>
        <v>4.4194444444444443</v>
      </c>
      <c r="K215" s="233">
        <f t="shared" si="890"/>
        <v>4.916666666666667</v>
      </c>
      <c r="L215" s="233">
        <f t="shared" si="890"/>
        <v>5.416666666666667</v>
      </c>
      <c r="M215" s="233">
        <f t="shared" si="890"/>
        <v>5.916666666666667</v>
      </c>
      <c r="N215" s="233">
        <f t="shared" si="890"/>
        <v>6.416666666666667</v>
      </c>
      <c r="O215" s="233">
        <f t="shared" si="890"/>
        <v>6.916666666666667</v>
      </c>
      <c r="P215" s="233">
        <f t="shared" si="890"/>
        <v>7.416666666666667</v>
      </c>
      <c r="Q215" s="233">
        <f t="shared" si="890"/>
        <v>7.916666666666667</v>
      </c>
      <c r="R215" s="233">
        <f t="shared" si="890"/>
        <v>8.4166666666666661</v>
      </c>
      <c r="S215" s="233">
        <f t="shared" si="890"/>
        <v>8.9138888888888896</v>
      </c>
      <c r="T215" s="233">
        <f t="shared" si="890"/>
        <v>9.4138888888888896</v>
      </c>
      <c r="U215" s="233">
        <f t="shared" si="890"/>
        <v>9.9138888888888896</v>
      </c>
      <c r="V215" s="233">
        <f t="shared" si="890"/>
        <v>10.41388888888889</v>
      </c>
      <c r="W215" s="233">
        <f t="shared" si="890"/>
        <v>10.91388888888889</v>
      </c>
      <c r="X215" s="233">
        <f t="shared" si="890"/>
        <v>11.41388888888889</v>
      </c>
      <c r="Y215" s="233">
        <f t="shared" si="890"/>
        <v>11.91388888888889</v>
      </c>
      <c r="Z215" s="233">
        <f t="shared" si="890"/>
        <v>12.41388888888889</v>
      </c>
      <c r="AA215" s="233">
        <f t="shared" si="890"/>
        <v>12.91388888888889</v>
      </c>
      <c r="AB215" s="233">
        <f t="shared" si="890"/>
        <v>13.411111111111111</v>
      </c>
      <c r="AC215" s="233">
        <f t="shared" si="890"/>
        <v>13.91388888888889</v>
      </c>
      <c r="AD215" s="233">
        <f t="shared" si="890"/>
        <v>14.411111111111111</v>
      </c>
      <c r="AE215" s="233">
        <f t="shared" si="890"/>
        <v>14.91388888888889</v>
      </c>
      <c r="AF215" s="233">
        <f t="shared" si="890"/>
        <v>15.411111111111111</v>
      </c>
      <c r="AG215" s="233">
        <f t="shared" si="890"/>
        <v>15.91388888888889</v>
      </c>
      <c r="AH215" s="233">
        <f t="shared" si="890"/>
        <v>16.411111111111111</v>
      </c>
      <c r="AI215" s="233">
        <f t="shared" si="890"/>
        <v>16.911111111111111</v>
      </c>
      <c r="AJ215" s="233">
        <f t="shared" si="890"/>
        <v>17.408333333333335</v>
      </c>
      <c r="AK215" s="233">
        <f t="shared" si="890"/>
        <v>17.911111111111111</v>
      </c>
      <c r="AL215" s="233">
        <f t="shared" si="890"/>
        <v>18.408333333333335</v>
      </c>
      <c r="AM215" s="233">
        <f t="shared" si="890"/>
        <v>18.911111111111111</v>
      </c>
      <c r="AN215" s="233">
        <f t="shared" si="890"/>
        <v>19.408333333333335</v>
      </c>
      <c r="AO215" s="233">
        <f t="shared" si="890"/>
        <v>19.911111111111111</v>
      </c>
      <c r="AP215" s="233">
        <f t="shared" si="890"/>
        <v>20.408333333333335</v>
      </c>
      <c r="AQ215" s="233">
        <f t="shared" si="890"/>
        <v>20.908333333333335</v>
      </c>
      <c r="AR215" s="233">
        <f t="shared" si="890"/>
        <v>21.405555555555555</v>
      </c>
      <c r="AS215" s="233">
        <f t="shared" si="890"/>
        <v>21.908333333333335</v>
      </c>
      <c r="AT215" s="233">
        <f t="shared" si="890"/>
        <v>22.405555555555555</v>
      </c>
      <c r="AU215" s="233">
        <f t="shared" si="890"/>
        <v>22.908333333333335</v>
      </c>
      <c r="AV215" s="233">
        <f t="shared" si="890"/>
        <v>23.405555555555555</v>
      </c>
      <c r="AW215" s="233">
        <f t="shared" si="890"/>
        <v>23.908333333333335</v>
      </c>
      <c r="AX215" s="233">
        <f t="shared" si="890"/>
        <v>24.405555555555555</v>
      </c>
      <c r="AY215" s="233">
        <f t="shared" si="890"/>
        <v>24.905555555555555</v>
      </c>
      <c r="AZ215" s="233">
        <f t="shared" si="890"/>
        <v>25.402777777777779</v>
      </c>
      <c r="BA215" s="233">
        <f t="shared" si="890"/>
        <v>25.905555555555555</v>
      </c>
      <c r="BB215" s="233">
        <f t="shared" si="890"/>
        <v>26.402777777777779</v>
      </c>
      <c r="BC215" s="233">
        <f t="shared" si="890"/>
        <v>26.905555555555555</v>
      </c>
      <c r="BD215" s="233">
        <f t="shared" si="890"/>
        <v>27.402777777777779</v>
      </c>
      <c r="BE215" s="233">
        <f t="shared" si="890"/>
        <v>27.905555555555555</v>
      </c>
      <c r="BF215" s="233">
        <f t="shared" si="890"/>
        <v>28.402777777777779</v>
      </c>
      <c r="BG215" s="233">
        <f t="shared" si="890"/>
        <v>28.902777777777779</v>
      </c>
      <c r="BH215" s="233">
        <f t="shared" si="890"/>
        <v>29.4</v>
      </c>
      <c r="BI215" s="233">
        <f t="shared" si="890"/>
        <v>29.902777777777779</v>
      </c>
      <c r="BJ215" s="233">
        <f t="shared" si="890"/>
        <v>30.4</v>
      </c>
      <c r="BK215" s="233">
        <f t="shared" si="890"/>
        <v>30.902777777777779</v>
      </c>
      <c r="BL215" s="233">
        <f t="shared" si="890"/>
        <v>31.4</v>
      </c>
      <c r="BM215" s="233">
        <f t="shared" si="890"/>
        <v>31.902777777777779</v>
      </c>
      <c r="BN215" s="233">
        <f t="shared" si="890"/>
        <v>32.4</v>
      </c>
      <c r="BO215" s="233">
        <f t="shared" ref="BO215:CB215" si="891">BO214/360</f>
        <v>32.9</v>
      </c>
      <c r="BP215" s="233">
        <f t="shared" si="891"/>
        <v>33.397222222222226</v>
      </c>
      <c r="BQ215" s="233">
        <f t="shared" si="891"/>
        <v>33.9</v>
      </c>
      <c r="BR215" s="233">
        <f t="shared" si="891"/>
        <v>34.397222222222226</v>
      </c>
      <c r="BS215" s="233">
        <f t="shared" si="891"/>
        <v>34.9</v>
      </c>
      <c r="BT215" s="233">
        <f t="shared" si="891"/>
        <v>35.397222222222226</v>
      </c>
      <c r="BU215" s="233">
        <f t="shared" si="891"/>
        <v>35.9</v>
      </c>
      <c r="BV215" s="233">
        <f t="shared" si="891"/>
        <v>36.397222222222226</v>
      </c>
      <c r="BW215" s="233">
        <f t="shared" si="891"/>
        <v>36.897222222222226</v>
      </c>
      <c r="BX215" s="233">
        <f t="shared" si="891"/>
        <v>37.394444444444446</v>
      </c>
      <c r="BY215" s="233">
        <f t="shared" si="891"/>
        <v>37.897222222222226</v>
      </c>
      <c r="BZ215" s="233">
        <f t="shared" si="891"/>
        <v>38.394444444444446</v>
      </c>
      <c r="CA215" s="233">
        <f t="shared" si="891"/>
        <v>38.897222222222226</v>
      </c>
      <c r="CB215" s="233">
        <f t="shared" si="891"/>
        <v>39.394444444444446</v>
      </c>
      <c r="CC215" s="19"/>
      <c r="CD215" s="19"/>
      <c r="CE215" s="19"/>
    </row>
    <row r="216" spans="1:83">
      <c r="A216" s="16" t="s">
        <v>43</v>
      </c>
      <c r="B216" s="233">
        <f>IF(B214&lt;0,0,$B$5+$B$6*((1-EXP(-B215/$B$9))/(B215/$B$9))+$B$7*((1-EXP(-B215/$B$9))/(B215/$B$9)-EXP(-B215/$B$9))+$B$8*((1-EXP(-B215/$B$10))/(B215/$B$10)-EXP(-B215/$B$10)))</f>
        <v>1.8846298078742565E-2</v>
      </c>
      <c r="C216" s="233">
        <f t="shared" ref="C216:BN216" si="892">IF(C214&lt;0,0,$B$5+$B$6*((1-EXP(-C215/$B$9))/(C215/$B$9))+$B$7*((1-EXP(-C215/$B$9))/(C215/$B$9)-EXP(-C215/$B$9))+$B$8*((1-EXP(-C215/$B$10))/(C215/$B$10)-EXP(-C215/$B$10)))</f>
        <v>1.7965126433827906E-2</v>
      </c>
      <c r="D216" s="233">
        <f t="shared" si="892"/>
        <v>1.7190756932776698E-2</v>
      </c>
      <c r="E216" s="233">
        <f t="shared" si="892"/>
        <v>1.6520457990483909E-2</v>
      </c>
      <c r="F216" s="233">
        <f t="shared" si="892"/>
        <v>1.5946729951602866E-2</v>
      </c>
      <c r="G216" s="233">
        <f t="shared" si="892"/>
        <v>1.5462527734067248E-2</v>
      </c>
      <c r="H216" s="233">
        <f t="shared" si="892"/>
        <v>1.5061235458930601E-2</v>
      </c>
      <c r="I216" s="233">
        <f t="shared" si="892"/>
        <v>1.4736642429375911E-2</v>
      </c>
      <c r="J216" s="233">
        <f t="shared" si="892"/>
        <v>1.4482920389379601E-2</v>
      </c>
      <c r="K216" s="233">
        <f t="shared" si="892"/>
        <v>1.4295477108729901E-2</v>
      </c>
      <c r="L216" s="233">
        <f t="shared" si="892"/>
        <v>1.4167114247533447E-2</v>
      </c>
      <c r="M216" s="233">
        <f t="shared" si="892"/>
        <v>1.4094248514983837E-2</v>
      </c>
      <c r="N216" s="233">
        <f t="shared" si="892"/>
        <v>1.407237572148537E-2</v>
      </c>
      <c r="O216" s="233">
        <f t="shared" si="892"/>
        <v>1.4097277502327518E-2</v>
      </c>
      <c r="P216" s="233">
        <f t="shared" si="892"/>
        <v>1.416500497387585E-2</v>
      </c>
      <c r="Q216" s="233">
        <f t="shared" si="892"/>
        <v>1.4271863271997379E-2</v>
      </c>
      <c r="R216" s="233">
        <f t="shared" si="892"/>
        <v>1.4414396926807127E-2</v>
      </c>
      <c r="S216" s="233">
        <f t="shared" si="892"/>
        <v>1.4588319934430452E-2</v>
      </c>
      <c r="T216" s="233">
        <f t="shared" si="892"/>
        <v>1.4792571531851442E-2</v>
      </c>
      <c r="U216" s="233">
        <f t="shared" si="892"/>
        <v>1.5023448954838828E-2</v>
      </c>
      <c r="V216" s="233">
        <f t="shared" si="892"/>
        <v>1.5278322288859544E-2</v>
      </c>
      <c r="W216" s="233">
        <f t="shared" si="892"/>
        <v>1.5554739041521826E-2</v>
      </c>
      <c r="X216" s="233">
        <f t="shared" si="892"/>
        <v>1.5850413690381773E-2</v>
      </c>
      <c r="Y216" s="233">
        <f t="shared" si="892"/>
        <v>1.6163217804955693E-2</v>
      </c>
      <c r="Z216" s="233">
        <f t="shared" si="892"/>
        <v>1.6491170712706324E-2</v>
      </c>
      <c r="AA216" s="233">
        <f t="shared" si="892"/>
        <v>1.6832430680318422E-2</v>
      </c>
      <c r="AB216" s="233">
        <f t="shared" si="892"/>
        <v>1.7183297212051377E-2</v>
      </c>
      <c r="AC216" s="233">
        <f t="shared" si="892"/>
        <v>1.7548150036315324E-2</v>
      </c>
      <c r="AD216" s="233">
        <f t="shared" si="892"/>
        <v>1.7917463622564259E-2</v>
      </c>
      <c r="AE216" s="233">
        <f t="shared" si="892"/>
        <v>1.8298115587721445E-2</v>
      </c>
      <c r="AF216" s="233">
        <f t="shared" si="892"/>
        <v>1.8680439695361345E-2</v>
      </c>
      <c r="AG216" s="233">
        <f t="shared" si="892"/>
        <v>1.907180288497437E-2</v>
      </c>
      <c r="AH216" s="233">
        <f t="shared" si="892"/>
        <v>1.9462485807534471E-2</v>
      </c>
      <c r="AI216" s="233">
        <f t="shared" si="892"/>
        <v>1.9858013881759382E-2</v>
      </c>
      <c r="AJ216" s="233">
        <f t="shared" si="892"/>
        <v>2.0253087386368371E-2</v>
      </c>
      <c r="AK216" s="233">
        <f t="shared" si="892"/>
        <v>2.0653495351036041E-2</v>
      </c>
      <c r="AL216" s="233">
        <f t="shared" si="892"/>
        <v>2.1049621432308568E-2</v>
      </c>
      <c r="AM216" s="233">
        <f t="shared" si="892"/>
        <v>2.1449603785580737E-2</v>
      </c>
      <c r="AN216" s="233">
        <f t="shared" si="892"/>
        <v>2.1843959797960791E-2</v>
      </c>
      <c r="AO216" s="233">
        <f t="shared" si="892"/>
        <v>2.2240906121434173E-2</v>
      </c>
      <c r="AP216" s="233">
        <f t="shared" si="892"/>
        <v>2.2631136004409011E-2</v>
      </c>
      <c r="AQ216" s="233">
        <f t="shared" si="892"/>
        <v>2.302072146031027E-2</v>
      </c>
      <c r="AR216" s="233">
        <f t="shared" si="892"/>
        <v>2.3404896174348488E-2</v>
      </c>
      <c r="AS216" s="233">
        <f t="shared" si="892"/>
        <v>2.3789669491033935E-2</v>
      </c>
      <c r="AT216" s="233">
        <f t="shared" si="892"/>
        <v>2.4166181126851635E-2</v>
      </c>
      <c r="AU216" s="233">
        <f t="shared" si="892"/>
        <v>2.4542520188263417E-2</v>
      </c>
      <c r="AV216" s="233">
        <f t="shared" si="892"/>
        <v>2.4910084670597979E-2</v>
      </c>
      <c r="AW216" s="233">
        <f t="shared" si="892"/>
        <v>2.5276831678955655E-2</v>
      </c>
      <c r="AX216" s="233">
        <f t="shared" si="892"/>
        <v>2.5634433467473086E-2</v>
      </c>
      <c r="AY216" s="233">
        <f t="shared" si="892"/>
        <v>2.5988730144682309E-2</v>
      </c>
      <c r="AZ216" s="233">
        <f t="shared" si="892"/>
        <v>2.6335616742574869E-2</v>
      </c>
      <c r="BA216" s="233">
        <f t="shared" si="892"/>
        <v>2.6680714255080562E-2</v>
      </c>
      <c r="BB216" s="233">
        <f t="shared" si="892"/>
        <v>2.701627333396682E-2</v>
      </c>
      <c r="BC216" s="233">
        <f t="shared" si="892"/>
        <v>2.7349688716558448E-2</v>
      </c>
      <c r="BD216" s="233">
        <f t="shared" si="892"/>
        <v>2.767350891530708E-2</v>
      </c>
      <c r="BE216" s="233">
        <f t="shared" si="892"/>
        <v>2.7994903580019534E-2</v>
      </c>
      <c r="BF216" s="233">
        <f t="shared" si="892"/>
        <v>2.8306720740809588E-2</v>
      </c>
      <c r="BG216" s="233">
        <f t="shared" si="892"/>
        <v>2.861420234836691E-2</v>
      </c>
      <c r="BH216" s="233">
        <f t="shared" si="892"/>
        <v>2.8913911418353075E-2</v>
      </c>
      <c r="BI216" s="233">
        <f t="shared" si="892"/>
        <v>2.9210811961206673E-2</v>
      </c>
      <c r="BJ216" s="233">
        <f t="shared" si="892"/>
        <v>2.9498346242999435E-2</v>
      </c>
      <c r="BK216" s="233">
        <f t="shared" si="892"/>
        <v>2.9782954045432894E-2</v>
      </c>
      <c r="BL216" s="233">
        <f t="shared" si="892"/>
        <v>3.0058369614003294E-2</v>
      </c>
      <c r="BM216" s="233">
        <f t="shared" si="892"/>
        <v>3.0330780732420654E-2</v>
      </c>
      <c r="BN216" s="233">
        <f t="shared" si="892"/>
        <v>3.059420805491507E-2</v>
      </c>
      <c r="BO216" s="233">
        <f t="shared" ref="BO216:CB216" si="893">IF(BO214&lt;0,0,$B$5+$B$6*((1-EXP(-BO215/$B$9))/(BO215/$B$9))+$B$7*((1-EXP(-BO215/$B$9))/(BO215/$B$9)-EXP(-BO215/$B$9))+$B$8*((1-EXP(-BO215/$B$10))/(BO215/$B$10)-EXP(-BO215/$B$10)))</f>
        <v>3.0853164907611086E-2</v>
      </c>
      <c r="BP216" s="233">
        <f t="shared" si="893"/>
        <v>3.1104828371276108E-2</v>
      </c>
      <c r="BQ216" s="233">
        <f t="shared" si="893"/>
        <v>3.1353428410820686E-2</v>
      </c>
      <c r="BR216" s="233">
        <f t="shared" si="893"/>
        <v>3.1593536962947866E-2</v>
      </c>
      <c r="BS216" s="233">
        <f t="shared" si="893"/>
        <v>3.1830591244991199E-2</v>
      </c>
      <c r="BT216" s="233">
        <f t="shared" si="893"/>
        <v>3.205942731783322E-2</v>
      </c>
      <c r="BU216" s="233">
        <f t="shared" si="893"/>
        <v>3.2285238566151689E-2</v>
      </c>
      <c r="BV216" s="233">
        <f t="shared" si="893"/>
        <v>3.2503116513298722E-2</v>
      </c>
      <c r="BW216" s="233">
        <f t="shared" si="893"/>
        <v>3.2716843378500282E-2</v>
      </c>
      <c r="BX216" s="233">
        <f t="shared" si="893"/>
        <v>3.292413113226364E-2</v>
      </c>
      <c r="BY216" s="233">
        <f t="shared" si="893"/>
        <v>3.3128500103094927E-2</v>
      </c>
      <c r="BZ216" s="233">
        <f t="shared" si="893"/>
        <v>3.3325524794936556E-2</v>
      </c>
      <c r="CA216" s="233">
        <f t="shared" si="893"/>
        <v>3.3519701753019576E-2</v>
      </c>
      <c r="CB216" s="233">
        <f t="shared" si="893"/>
        <v>3.3706833299437119E-2</v>
      </c>
      <c r="CC216" s="19"/>
      <c r="CD216" s="19"/>
      <c r="CE216" s="19"/>
    </row>
    <row r="217" spans="1:83">
      <c r="A217" s="16" t="s">
        <v>44</v>
      </c>
      <c r="B217" s="233">
        <f>EXP(-B216*B215)</f>
        <v>0.99207424985367254</v>
      </c>
      <c r="C217" s="233">
        <f t="shared" ref="C217:AR217" si="894">EXP(-C216*C215)</f>
        <v>0.98361773736637537</v>
      </c>
      <c r="D217" s="233">
        <f t="shared" si="894"/>
        <v>0.97589398106816028</v>
      </c>
      <c r="E217" s="233">
        <f t="shared" si="894"/>
        <v>0.9687873915702564</v>
      </c>
      <c r="F217" s="233">
        <f t="shared" si="894"/>
        <v>0.96215258638497292</v>
      </c>
      <c r="G217" s="233">
        <f t="shared" si="894"/>
        <v>0.95586174872738494</v>
      </c>
      <c r="H217" s="233">
        <f t="shared" si="894"/>
        <v>0.94980264514976853</v>
      </c>
      <c r="I217" s="233">
        <f t="shared" si="894"/>
        <v>0.94387696850902147</v>
      </c>
      <c r="J217" s="233">
        <f t="shared" si="894"/>
        <v>0.93799893811119084</v>
      </c>
      <c r="K217" s="233">
        <f t="shared" si="894"/>
        <v>0.93212710411944699</v>
      </c>
      <c r="L217" s="233">
        <f t="shared" si="894"/>
        <v>0.92613197257858237</v>
      </c>
      <c r="M217" s="233">
        <f t="shared" si="894"/>
        <v>0.91999138751434428</v>
      </c>
      <c r="N217" s="233">
        <f t="shared" si="894"/>
        <v>0.91365910805657535</v>
      </c>
      <c r="O217" s="233">
        <f t="shared" si="894"/>
        <v>0.9070967453039529</v>
      </c>
      <c r="P217" s="233">
        <f t="shared" si="894"/>
        <v>0.90027309731756722</v>
      </c>
      <c r="Q217" s="233">
        <f t="shared" si="894"/>
        <v>0.8931635356573765</v>
      </c>
      <c r="R217" s="233">
        <f t="shared" si="894"/>
        <v>0.88574943409680496</v>
      </c>
      <c r="S217" s="233">
        <f t="shared" si="894"/>
        <v>0.87806148179860499</v>
      </c>
      <c r="T217" s="233">
        <f t="shared" si="894"/>
        <v>0.87000560503804936</v>
      </c>
      <c r="U217" s="233">
        <f t="shared" si="894"/>
        <v>0.86162011814149242</v>
      </c>
      <c r="V217" s="233">
        <f t="shared" si="894"/>
        <v>0.85290530584962421</v>
      </c>
      <c r="W217" s="233">
        <f t="shared" si="894"/>
        <v>0.84386504741826618</v>
      </c>
      <c r="X217" s="233">
        <f t="shared" si="894"/>
        <v>0.8345064049583728</v>
      </c>
      <c r="Y217" s="233">
        <f t="shared" si="894"/>
        <v>0.82483923276299131</v>
      </c>
      <c r="Z217" s="233">
        <f t="shared" si="894"/>
        <v>0.81487580742923427</v>
      </c>
      <c r="AA217" s="233">
        <f t="shared" si="894"/>
        <v>0.80463047876965943</v>
      </c>
      <c r="AB217" s="233">
        <f t="shared" si="894"/>
        <v>0.79417843944550859</v>
      </c>
      <c r="AC217" s="233">
        <f t="shared" si="894"/>
        <v>0.78335992850073244</v>
      </c>
      <c r="AD217" s="233">
        <f t="shared" si="894"/>
        <v>0.77243257228013062</v>
      </c>
      <c r="AE217" s="233">
        <f t="shared" si="894"/>
        <v>0.76117189763043469</v>
      </c>
      <c r="AF217" s="233">
        <f t="shared" si="894"/>
        <v>0.74984682117125001</v>
      </c>
      <c r="AG217" s="233">
        <f t="shared" si="894"/>
        <v>0.73822505224896851</v>
      </c>
      <c r="AH217" s="233">
        <f t="shared" si="894"/>
        <v>0.72658411823009039</v>
      </c>
      <c r="AI217" s="233">
        <f t="shared" si="894"/>
        <v>0.71475097819272126</v>
      </c>
      <c r="AJ217" s="233">
        <f t="shared" si="894"/>
        <v>0.70287761197181386</v>
      </c>
      <c r="AK217" s="233">
        <f t="shared" si="894"/>
        <v>0.69078472149970538</v>
      </c>
      <c r="AL217" s="233">
        <f t="shared" si="894"/>
        <v>0.67875947532625569</v>
      </c>
      <c r="AM217" s="233">
        <f t="shared" si="894"/>
        <v>0.66655285480245285</v>
      </c>
      <c r="AN217" s="233">
        <f t="shared" si="894"/>
        <v>0.65445342779926341</v>
      </c>
      <c r="AO217" s="233">
        <f t="shared" si="894"/>
        <v>0.64220921199547421</v>
      </c>
      <c r="AP217" s="233">
        <f t="shared" si="894"/>
        <v>0.63010817543932385</v>
      </c>
      <c r="AQ217" s="233">
        <f t="shared" si="894"/>
        <v>0.61796409750383963</v>
      </c>
      <c r="AR217" s="233">
        <f t="shared" si="894"/>
        <v>0.60592757980160539</v>
      </c>
      <c r="AS217" s="233">
        <f>EXP(-AS216*AS215)</f>
        <v>0.59381229627232879</v>
      </c>
      <c r="AT217" s="233">
        <f t="shared" ref="AT217:CA217" si="895">EXP(-AT216*AT215)</f>
        <v>0.58189997295108931</v>
      </c>
      <c r="AU217" s="233">
        <f t="shared" si="895"/>
        <v>0.56993769376479186</v>
      </c>
      <c r="AV217" s="233">
        <f t="shared" si="895"/>
        <v>0.55820200239461915</v>
      </c>
      <c r="AW217" s="233">
        <f t="shared" si="895"/>
        <v>0.54644210356407374</v>
      </c>
      <c r="AX217" s="233">
        <f t="shared" si="895"/>
        <v>0.53492828375605694</v>
      </c>
      <c r="AY217" s="233">
        <f t="shared" si="895"/>
        <v>0.52347617408613534</v>
      </c>
      <c r="AZ217" s="233">
        <f t="shared" si="895"/>
        <v>0.51222165907277339</v>
      </c>
      <c r="BA217" s="233">
        <f t="shared" si="895"/>
        <v>0.50098519692138832</v>
      </c>
      <c r="BB217" s="233">
        <f t="shared" si="895"/>
        <v>0.4900221615630902</v>
      </c>
      <c r="BC217" s="233">
        <f t="shared" si="895"/>
        <v>0.47909394704214686</v>
      </c>
      <c r="BD217" s="233">
        <f t="shared" si="895"/>
        <v>0.46844760690466014</v>
      </c>
      <c r="BE217" s="233">
        <f t="shared" si="895"/>
        <v>0.45785014756679099</v>
      </c>
      <c r="BF217" s="233">
        <f t="shared" si="895"/>
        <v>0.44753993777770462</v>
      </c>
      <c r="BG217" s="233">
        <f t="shared" si="895"/>
        <v>0.43734630762394633</v>
      </c>
      <c r="BH217" s="233">
        <f t="shared" si="895"/>
        <v>0.42738544317379679</v>
      </c>
      <c r="BI217" s="233">
        <f t="shared" si="895"/>
        <v>0.41749428693018265</v>
      </c>
      <c r="BJ217" s="233">
        <f t="shared" si="895"/>
        <v>0.40789327250833984</v>
      </c>
      <c r="BK217" s="233">
        <f t="shared" si="895"/>
        <v>0.39836922193634972</v>
      </c>
      <c r="BL217" s="233">
        <f t="shared" si="895"/>
        <v>0.38913350027190097</v>
      </c>
      <c r="BM217" s="233">
        <f t="shared" si="895"/>
        <v>0.3799801906332867</v>
      </c>
      <c r="BN217" s="233">
        <f t="shared" si="895"/>
        <v>0.37111164156597126</v>
      </c>
      <c r="BO217" s="233">
        <f t="shared" si="895"/>
        <v>0.36237737946349546</v>
      </c>
      <c r="BP217" s="233">
        <f t="shared" si="895"/>
        <v>0.35387382168685128</v>
      </c>
      <c r="BQ217" s="233">
        <f t="shared" si="895"/>
        <v>0.3454590304990231</v>
      </c>
      <c r="BR217" s="233">
        <f t="shared" si="895"/>
        <v>0.33731775095175964</v>
      </c>
      <c r="BS217" s="233">
        <f t="shared" si="895"/>
        <v>0.32926656297847912</v>
      </c>
      <c r="BT217" s="233">
        <f t="shared" si="895"/>
        <v>0.3214816950241946</v>
      </c>
      <c r="BU217" s="233">
        <f t="shared" si="895"/>
        <v>0.31378725186984668</v>
      </c>
      <c r="BV217" s="233">
        <f t="shared" si="895"/>
        <v>0.3063511902214332</v>
      </c>
      <c r="BW217" s="233">
        <f t="shared" si="895"/>
        <v>0.29904517186039914</v>
      </c>
      <c r="BX217" s="233">
        <f t="shared" si="895"/>
        <v>0.2919479948200005</v>
      </c>
      <c r="BY217" s="233">
        <f t="shared" si="895"/>
        <v>0.28493957740498765</v>
      </c>
      <c r="BZ217" s="233">
        <f t="shared" si="895"/>
        <v>0.27817217837880709</v>
      </c>
      <c r="CA217" s="233">
        <f t="shared" si="895"/>
        <v>0.27149181485948193</v>
      </c>
      <c r="CB217" s="233">
        <f>EXP(-CB216*CB215)</f>
        <v>0.26504332605491948</v>
      </c>
      <c r="CC217" s="19"/>
      <c r="CD217" s="19"/>
      <c r="CE217" s="19"/>
    </row>
    <row r="218" spans="1:83">
      <c r="A218" s="17"/>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19"/>
      <c r="CD218" s="19"/>
      <c r="CE218" s="19"/>
    </row>
    <row r="219" spans="1:83">
      <c r="A219" s="16" t="s">
        <v>40</v>
      </c>
      <c r="B219" s="233">
        <f t="shared" ref="B219:AG219" si="896">DAYS360($B$3,B82)</f>
        <v>50</v>
      </c>
      <c r="C219" s="233">
        <f t="shared" si="896"/>
        <v>228</v>
      </c>
      <c r="D219" s="233">
        <f t="shared" si="896"/>
        <v>409</v>
      </c>
      <c r="E219" s="233">
        <f t="shared" si="896"/>
        <v>587</v>
      </c>
      <c r="F219" s="233">
        <f t="shared" si="896"/>
        <v>769</v>
      </c>
      <c r="G219" s="233">
        <f t="shared" si="896"/>
        <v>947</v>
      </c>
      <c r="H219" s="233">
        <f t="shared" si="896"/>
        <v>1129</v>
      </c>
      <c r="I219" s="233">
        <f t="shared" si="896"/>
        <v>1307</v>
      </c>
      <c r="J219" s="233">
        <f t="shared" si="896"/>
        <v>1489</v>
      </c>
      <c r="K219" s="233">
        <f t="shared" si="896"/>
        <v>1667</v>
      </c>
      <c r="L219" s="233">
        <f t="shared" si="896"/>
        <v>1848</v>
      </c>
      <c r="M219" s="233">
        <f t="shared" si="896"/>
        <v>2026</v>
      </c>
      <c r="N219" s="233">
        <f t="shared" si="896"/>
        <v>2208</v>
      </c>
      <c r="O219" s="233">
        <f t="shared" si="896"/>
        <v>2386</v>
      </c>
      <c r="P219" s="233">
        <f t="shared" si="896"/>
        <v>2568</v>
      </c>
      <c r="Q219" s="233">
        <f t="shared" si="896"/>
        <v>2746</v>
      </c>
      <c r="R219" s="233">
        <f t="shared" si="896"/>
        <v>2928</v>
      </c>
      <c r="S219" s="233">
        <f t="shared" si="896"/>
        <v>3106</v>
      </c>
      <c r="T219" s="233">
        <f t="shared" si="896"/>
        <v>3287</v>
      </c>
      <c r="U219" s="233">
        <f t="shared" si="896"/>
        <v>3465</v>
      </c>
      <c r="V219" s="233">
        <f t="shared" si="896"/>
        <v>3647</v>
      </c>
      <c r="W219" s="233">
        <f t="shared" si="896"/>
        <v>3825</v>
      </c>
      <c r="X219" s="233">
        <f t="shared" si="896"/>
        <v>4007</v>
      </c>
      <c r="Y219" s="233">
        <f t="shared" si="896"/>
        <v>4185</v>
      </c>
      <c r="Z219" s="233">
        <f t="shared" si="896"/>
        <v>4367</v>
      </c>
      <c r="AA219" s="233">
        <f t="shared" si="896"/>
        <v>4545</v>
      </c>
      <c r="AB219" s="233">
        <f t="shared" si="896"/>
        <v>4726</v>
      </c>
      <c r="AC219" s="233">
        <f t="shared" si="896"/>
        <v>4904</v>
      </c>
      <c r="AD219" s="233">
        <f t="shared" si="896"/>
        <v>5086</v>
      </c>
      <c r="AE219" s="233">
        <f t="shared" si="896"/>
        <v>5264</v>
      </c>
      <c r="AF219" s="233">
        <f t="shared" si="896"/>
        <v>5446</v>
      </c>
      <c r="AG219" s="233">
        <f t="shared" si="896"/>
        <v>5624</v>
      </c>
      <c r="AH219" s="233">
        <f t="shared" ref="AH219:BM219" si="897">DAYS360($B$3,AH82)</f>
        <v>5806</v>
      </c>
      <c r="AI219" s="233">
        <f t="shared" si="897"/>
        <v>5984</v>
      </c>
      <c r="AJ219" s="233">
        <f t="shared" si="897"/>
        <v>6165</v>
      </c>
      <c r="AK219" s="233">
        <f t="shared" si="897"/>
        <v>6343</v>
      </c>
      <c r="AL219" s="233">
        <f t="shared" si="897"/>
        <v>6525</v>
      </c>
      <c r="AM219" s="233">
        <f t="shared" si="897"/>
        <v>6703</v>
      </c>
      <c r="AN219" s="233">
        <f t="shared" si="897"/>
        <v>6885</v>
      </c>
      <c r="AO219" s="233">
        <f t="shared" si="897"/>
        <v>7063</v>
      </c>
      <c r="AP219" s="233">
        <f t="shared" si="897"/>
        <v>7245</v>
      </c>
      <c r="AQ219" s="233">
        <f t="shared" si="897"/>
        <v>7423</v>
      </c>
      <c r="AR219" s="233">
        <f t="shared" si="897"/>
        <v>7604</v>
      </c>
      <c r="AS219" s="233">
        <f t="shared" si="897"/>
        <v>7782</v>
      </c>
      <c r="AT219" s="233">
        <f t="shared" si="897"/>
        <v>7964</v>
      </c>
      <c r="AU219" s="233">
        <f t="shared" si="897"/>
        <v>8142</v>
      </c>
      <c r="AV219" s="233">
        <f t="shared" si="897"/>
        <v>8324</v>
      </c>
      <c r="AW219" s="233">
        <f t="shared" si="897"/>
        <v>8502</v>
      </c>
      <c r="AX219" s="233">
        <f t="shared" si="897"/>
        <v>8684</v>
      </c>
      <c r="AY219" s="233">
        <f t="shared" si="897"/>
        <v>8862</v>
      </c>
      <c r="AZ219" s="233">
        <f t="shared" si="897"/>
        <v>9043</v>
      </c>
      <c r="BA219" s="233">
        <f t="shared" si="897"/>
        <v>9221</v>
      </c>
      <c r="BB219" s="233">
        <f t="shared" si="897"/>
        <v>9403</v>
      </c>
      <c r="BC219" s="233">
        <f t="shared" si="897"/>
        <v>9581</v>
      </c>
      <c r="BD219" s="233">
        <f t="shared" si="897"/>
        <v>9763</v>
      </c>
      <c r="BE219" s="233">
        <f t="shared" si="897"/>
        <v>9941</v>
      </c>
      <c r="BF219" s="233">
        <f t="shared" si="897"/>
        <v>10123</v>
      </c>
      <c r="BG219" s="233">
        <f t="shared" si="897"/>
        <v>10301</v>
      </c>
      <c r="BH219" s="233">
        <f t="shared" si="897"/>
        <v>10482</v>
      </c>
      <c r="BI219" s="233">
        <f t="shared" si="897"/>
        <v>10660</v>
      </c>
      <c r="BJ219" s="233">
        <f t="shared" si="897"/>
        <v>10842</v>
      </c>
      <c r="BK219" s="233">
        <f t="shared" si="897"/>
        <v>11020</v>
      </c>
      <c r="BL219" s="233">
        <f t="shared" si="897"/>
        <v>11202</v>
      </c>
      <c r="BM219" s="233">
        <f t="shared" si="897"/>
        <v>11380</v>
      </c>
      <c r="BN219" s="233">
        <f t="shared" ref="BN219:CB219" si="898">DAYS360($B$3,BN82)</f>
        <v>11562</v>
      </c>
      <c r="BO219" s="233">
        <f t="shared" si="898"/>
        <v>11740</v>
      </c>
      <c r="BP219" s="233">
        <f t="shared" si="898"/>
        <v>11921</v>
      </c>
      <c r="BQ219" s="233">
        <f t="shared" si="898"/>
        <v>12099</v>
      </c>
      <c r="BR219" s="233">
        <f t="shared" si="898"/>
        <v>12281</v>
      </c>
      <c r="BS219" s="233">
        <f t="shared" si="898"/>
        <v>12459</v>
      </c>
      <c r="BT219" s="233">
        <f t="shared" si="898"/>
        <v>12641</v>
      </c>
      <c r="BU219" s="233">
        <f t="shared" si="898"/>
        <v>12819</v>
      </c>
      <c r="BV219" s="233">
        <f t="shared" si="898"/>
        <v>13001</v>
      </c>
      <c r="BW219" s="233">
        <f t="shared" si="898"/>
        <v>13179</v>
      </c>
      <c r="BX219" s="233">
        <f t="shared" si="898"/>
        <v>13360</v>
      </c>
      <c r="BY219" s="233">
        <f t="shared" si="898"/>
        <v>13538</v>
      </c>
      <c r="BZ219" s="233">
        <f t="shared" si="898"/>
        <v>13720</v>
      </c>
      <c r="CA219" s="233">
        <f t="shared" si="898"/>
        <v>13898</v>
      </c>
      <c r="CB219" s="233">
        <f t="shared" si="898"/>
        <v>14080</v>
      </c>
      <c r="CC219" s="19"/>
      <c r="CD219" s="19"/>
      <c r="CE219" s="19"/>
    </row>
    <row r="220" spans="1:83">
      <c r="A220" s="16" t="s">
        <v>41</v>
      </c>
      <c r="B220" s="233">
        <f>B219/360</f>
        <v>0.1388888888888889</v>
      </c>
      <c r="C220" s="233">
        <f t="shared" ref="C220:BN220" si="899">C219/360</f>
        <v>0.6333333333333333</v>
      </c>
      <c r="D220" s="233">
        <f t="shared" si="899"/>
        <v>1.1361111111111111</v>
      </c>
      <c r="E220" s="233">
        <f t="shared" si="899"/>
        <v>1.6305555555555555</v>
      </c>
      <c r="F220" s="233">
        <f t="shared" si="899"/>
        <v>2.1361111111111111</v>
      </c>
      <c r="G220" s="233">
        <f t="shared" si="899"/>
        <v>2.6305555555555555</v>
      </c>
      <c r="H220" s="233">
        <f t="shared" si="899"/>
        <v>3.1361111111111111</v>
      </c>
      <c r="I220" s="233">
        <f t="shared" si="899"/>
        <v>3.6305555555555555</v>
      </c>
      <c r="J220" s="233">
        <f t="shared" si="899"/>
        <v>4.1361111111111111</v>
      </c>
      <c r="K220" s="233">
        <f t="shared" si="899"/>
        <v>4.6305555555555555</v>
      </c>
      <c r="L220" s="233">
        <f t="shared" si="899"/>
        <v>5.1333333333333337</v>
      </c>
      <c r="M220" s="233">
        <f t="shared" si="899"/>
        <v>5.6277777777777782</v>
      </c>
      <c r="N220" s="233">
        <f t="shared" si="899"/>
        <v>6.1333333333333337</v>
      </c>
      <c r="O220" s="233">
        <f t="shared" si="899"/>
        <v>6.6277777777777782</v>
      </c>
      <c r="P220" s="233">
        <f t="shared" si="899"/>
        <v>7.1333333333333337</v>
      </c>
      <c r="Q220" s="233">
        <f t="shared" si="899"/>
        <v>7.6277777777777782</v>
      </c>
      <c r="R220" s="233">
        <f t="shared" si="899"/>
        <v>8.1333333333333329</v>
      </c>
      <c r="S220" s="233">
        <f t="shared" si="899"/>
        <v>8.6277777777777782</v>
      </c>
      <c r="T220" s="233">
        <f t="shared" si="899"/>
        <v>9.1305555555555564</v>
      </c>
      <c r="U220" s="233">
        <f t="shared" si="899"/>
        <v>9.625</v>
      </c>
      <c r="V220" s="233">
        <f t="shared" si="899"/>
        <v>10.130555555555556</v>
      </c>
      <c r="W220" s="233">
        <f t="shared" si="899"/>
        <v>10.625</v>
      </c>
      <c r="X220" s="233">
        <f t="shared" si="899"/>
        <v>11.130555555555556</v>
      </c>
      <c r="Y220" s="233">
        <f t="shared" si="899"/>
        <v>11.625</v>
      </c>
      <c r="Z220" s="233">
        <f t="shared" si="899"/>
        <v>12.130555555555556</v>
      </c>
      <c r="AA220" s="233">
        <f t="shared" si="899"/>
        <v>12.625</v>
      </c>
      <c r="AB220" s="233">
        <f t="shared" si="899"/>
        <v>13.127777777777778</v>
      </c>
      <c r="AC220" s="233">
        <f t="shared" si="899"/>
        <v>13.622222222222222</v>
      </c>
      <c r="AD220" s="233">
        <f t="shared" si="899"/>
        <v>14.127777777777778</v>
      </c>
      <c r="AE220" s="233">
        <f t="shared" si="899"/>
        <v>14.622222222222222</v>
      </c>
      <c r="AF220" s="233">
        <f t="shared" si="899"/>
        <v>15.127777777777778</v>
      </c>
      <c r="AG220" s="233">
        <f t="shared" si="899"/>
        <v>15.622222222222222</v>
      </c>
      <c r="AH220" s="233">
        <f t="shared" si="899"/>
        <v>16.127777777777776</v>
      </c>
      <c r="AI220" s="233">
        <f t="shared" si="899"/>
        <v>16.622222222222224</v>
      </c>
      <c r="AJ220" s="233">
        <f t="shared" si="899"/>
        <v>17.125</v>
      </c>
      <c r="AK220" s="233">
        <f t="shared" si="899"/>
        <v>17.619444444444444</v>
      </c>
      <c r="AL220" s="233">
        <f t="shared" si="899"/>
        <v>18.125</v>
      </c>
      <c r="AM220" s="233">
        <f t="shared" si="899"/>
        <v>18.619444444444444</v>
      </c>
      <c r="AN220" s="233">
        <f t="shared" si="899"/>
        <v>19.125</v>
      </c>
      <c r="AO220" s="233">
        <f t="shared" si="899"/>
        <v>19.619444444444444</v>
      </c>
      <c r="AP220" s="233">
        <f t="shared" si="899"/>
        <v>20.125</v>
      </c>
      <c r="AQ220" s="233">
        <f t="shared" si="899"/>
        <v>20.619444444444444</v>
      </c>
      <c r="AR220" s="233">
        <f t="shared" si="899"/>
        <v>21.122222222222224</v>
      </c>
      <c r="AS220" s="233">
        <f t="shared" si="899"/>
        <v>21.616666666666667</v>
      </c>
      <c r="AT220" s="233">
        <f t="shared" si="899"/>
        <v>22.122222222222224</v>
      </c>
      <c r="AU220" s="233">
        <f t="shared" si="899"/>
        <v>22.616666666666667</v>
      </c>
      <c r="AV220" s="233">
        <f t="shared" si="899"/>
        <v>23.122222222222224</v>
      </c>
      <c r="AW220" s="233">
        <f t="shared" si="899"/>
        <v>23.616666666666667</v>
      </c>
      <c r="AX220" s="233">
        <f t="shared" si="899"/>
        <v>24.122222222222224</v>
      </c>
      <c r="AY220" s="233">
        <f t="shared" si="899"/>
        <v>24.616666666666667</v>
      </c>
      <c r="AZ220" s="233">
        <f t="shared" si="899"/>
        <v>25.119444444444444</v>
      </c>
      <c r="BA220" s="233">
        <f t="shared" si="899"/>
        <v>25.613888888888887</v>
      </c>
      <c r="BB220" s="233">
        <f t="shared" si="899"/>
        <v>26.119444444444444</v>
      </c>
      <c r="BC220" s="233">
        <f t="shared" si="899"/>
        <v>26.613888888888887</v>
      </c>
      <c r="BD220" s="233">
        <f t="shared" si="899"/>
        <v>27.119444444444444</v>
      </c>
      <c r="BE220" s="233">
        <f t="shared" si="899"/>
        <v>27.613888888888887</v>
      </c>
      <c r="BF220" s="233">
        <f t="shared" si="899"/>
        <v>28.119444444444444</v>
      </c>
      <c r="BG220" s="233">
        <f t="shared" si="899"/>
        <v>28.613888888888887</v>
      </c>
      <c r="BH220" s="233">
        <f t="shared" si="899"/>
        <v>29.116666666666667</v>
      </c>
      <c r="BI220" s="233">
        <f t="shared" si="899"/>
        <v>29.611111111111111</v>
      </c>
      <c r="BJ220" s="233">
        <f t="shared" si="899"/>
        <v>30.116666666666667</v>
      </c>
      <c r="BK220" s="233">
        <f t="shared" si="899"/>
        <v>30.611111111111111</v>
      </c>
      <c r="BL220" s="233">
        <f t="shared" si="899"/>
        <v>31.116666666666667</v>
      </c>
      <c r="BM220" s="233">
        <f t="shared" si="899"/>
        <v>31.611111111111111</v>
      </c>
      <c r="BN220" s="233">
        <f t="shared" si="899"/>
        <v>32.116666666666667</v>
      </c>
      <c r="BO220" s="233">
        <f t="shared" ref="BO220:CB220" si="900">BO219/360</f>
        <v>32.611111111111114</v>
      </c>
      <c r="BP220" s="233">
        <f t="shared" si="900"/>
        <v>33.113888888888887</v>
      </c>
      <c r="BQ220" s="233">
        <f t="shared" si="900"/>
        <v>33.608333333333334</v>
      </c>
      <c r="BR220" s="233">
        <f t="shared" si="900"/>
        <v>34.113888888888887</v>
      </c>
      <c r="BS220" s="233">
        <f t="shared" si="900"/>
        <v>34.608333333333334</v>
      </c>
      <c r="BT220" s="233">
        <f t="shared" si="900"/>
        <v>35.113888888888887</v>
      </c>
      <c r="BU220" s="233">
        <f t="shared" si="900"/>
        <v>35.608333333333334</v>
      </c>
      <c r="BV220" s="233">
        <f t="shared" si="900"/>
        <v>36.113888888888887</v>
      </c>
      <c r="BW220" s="233">
        <f t="shared" si="900"/>
        <v>36.608333333333334</v>
      </c>
      <c r="BX220" s="233">
        <f t="shared" si="900"/>
        <v>37.111111111111114</v>
      </c>
      <c r="BY220" s="233">
        <f t="shared" si="900"/>
        <v>37.605555555555554</v>
      </c>
      <c r="BZ220" s="233">
        <f t="shared" si="900"/>
        <v>38.111111111111114</v>
      </c>
      <c r="CA220" s="233">
        <f t="shared" si="900"/>
        <v>38.605555555555554</v>
      </c>
      <c r="CB220" s="233">
        <f t="shared" si="900"/>
        <v>39.111111111111114</v>
      </c>
      <c r="CC220" s="19"/>
      <c r="CD220" s="19"/>
      <c r="CE220" s="19"/>
    </row>
    <row r="221" spans="1:83">
      <c r="A221" s="16" t="s">
        <v>43</v>
      </c>
      <c r="B221" s="233">
        <f>IF(B219&lt;0,0,$B$5+$B$6*((1-EXP(-B220/$B$9))/(B220/$B$9))+$B$7*((1-EXP(-B220/$B$9))/(B220/$B$9)-EXP(-B220/$B$9))+$B$8*((1-EXP(-B220/$B$10))/(B220/$B$10)-EXP(-B220/$B$10)))</f>
        <v>1.9401157330135164E-2</v>
      </c>
      <c r="C221" s="233">
        <f t="shared" ref="C221:BN221" si="901">IF(C219&lt;0,0,$B$5+$B$6*((1-EXP(-C220/$B$9))/(C220/$B$9))+$B$7*((1-EXP(-C220/$B$9))/(C220/$B$9)-EXP(-C220/$B$9))+$B$8*((1-EXP(-C220/$B$10))/(C220/$B$10)-EXP(-C220/$B$10)))</f>
        <v>1.8458109460235347E-2</v>
      </c>
      <c r="D221" s="233">
        <f t="shared" si="901"/>
        <v>1.7616288429233073E-2</v>
      </c>
      <c r="E221" s="233">
        <f t="shared" si="901"/>
        <v>1.6895492131772702E-2</v>
      </c>
      <c r="F221" s="233">
        <f t="shared" si="901"/>
        <v>1.6260409167727568E-2</v>
      </c>
      <c r="G221" s="233">
        <f t="shared" si="901"/>
        <v>1.5731761158992934E-2</v>
      </c>
      <c r="H221" s="233">
        <f t="shared" si="901"/>
        <v>1.5278828287864671E-2</v>
      </c>
      <c r="I221" s="233">
        <f t="shared" si="901"/>
        <v>1.4915175154919025E-2</v>
      </c>
      <c r="J221" s="233">
        <f t="shared" si="901"/>
        <v>1.4618323605379964E-2</v>
      </c>
      <c r="K221" s="233">
        <f t="shared" si="901"/>
        <v>1.4395734557263742E-2</v>
      </c>
      <c r="L221" s="233">
        <f t="shared" si="901"/>
        <v>1.4232738332079838E-2</v>
      </c>
      <c r="M221" s="233">
        <f t="shared" si="901"/>
        <v>1.4129846610814671E-2</v>
      </c>
      <c r="N221" s="233">
        <f t="shared" si="901"/>
        <v>1.4078763335934649E-2</v>
      </c>
      <c r="O221" s="233">
        <f t="shared" si="901"/>
        <v>1.4077418780731085E-2</v>
      </c>
      <c r="P221" s="233">
        <f t="shared" si="901"/>
        <v>1.4121590441513704E-2</v>
      </c>
      <c r="Q221" s="233">
        <f t="shared" si="901"/>
        <v>1.4205555044819976E-2</v>
      </c>
      <c r="R221" s="233">
        <f t="shared" si="901"/>
        <v>1.432944221533769E-2</v>
      </c>
      <c r="S221" s="233">
        <f t="shared" si="901"/>
        <v>1.4484498639291771E-2</v>
      </c>
      <c r="T221" s="233">
        <f t="shared" si="901"/>
        <v>1.4673383657683253E-2</v>
      </c>
      <c r="U221" s="233">
        <f t="shared" si="901"/>
        <v>1.4886961666714965E-2</v>
      </c>
      <c r="V221" s="233">
        <f t="shared" si="901"/>
        <v>1.5131095722675791E-2</v>
      </c>
      <c r="W221" s="233">
        <f t="shared" si="901"/>
        <v>1.5392539676978428E-2</v>
      </c>
      <c r="X221" s="233">
        <f t="shared" si="901"/>
        <v>1.5680628638122404E-2</v>
      </c>
      <c r="Y221" s="233">
        <f t="shared" si="901"/>
        <v>1.598051497030431E-2</v>
      </c>
      <c r="Z221" s="233">
        <f t="shared" si="901"/>
        <v>1.6303581930229433E-2</v>
      </c>
      <c r="AA221" s="233">
        <f t="shared" si="901"/>
        <v>1.6633736958165043E-2</v>
      </c>
      <c r="AB221" s="233">
        <f t="shared" si="901"/>
        <v>1.6982050593024225E-2</v>
      </c>
      <c r="AC221" s="233">
        <f t="shared" si="901"/>
        <v>1.7335350570645697E-2</v>
      </c>
      <c r="AD221" s="233">
        <f t="shared" si="901"/>
        <v>1.7706063167461636E-2</v>
      </c>
      <c r="AE221" s="233">
        <f t="shared" si="901"/>
        <v>1.8076487884352746E-2</v>
      </c>
      <c r="AF221" s="233">
        <f t="shared" si="901"/>
        <v>1.8461932325372049E-2</v>
      </c>
      <c r="AG221" s="233">
        <f t="shared" si="901"/>
        <v>1.8844249853142148E-2</v>
      </c>
      <c r="AH221" s="233">
        <f t="shared" si="901"/>
        <v>1.9239477301471519E-2</v>
      </c>
      <c r="AI221" s="233">
        <f t="shared" si="901"/>
        <v>1.9629215362806082E-2</v>
      </c>
      <c r="AJ221" s="233">
        <f t="shared" si="901"/>
        <v>2.0027798901588428E-2</v>
      </c>
      <c r="AK221" s="233">
        <f t="shared" si="901"/>
        <v>2.042114829213694E-2</v>
      </c>
      <c r="AL221" s="233">
        <f t="shared" si="901"/>
        <v>2.0823921043765917E-2</v>
      </c>
      <c r="AM221" s="233">
        <f t="shared" si="901"/>
        <v>2.1217678624449135E-2</v>
      </c>
      <c r="AN221" s="233">
        <f t="shared" si="901"/>
        <v>2.1619425524570787E-2</v>
      </c>
      <c r="AO221" s="233">
        <f t="shared" si="901"/>
        <v>2.2010888268675088E-2</v>
      </c>
      <c r="AP221" s="233">
        <f t="shared" si="901"/>
        <v>2.2409083795319473E-2</v>
      </c>
      <c r="AQ221" s="233">
        <f t="shared" si="901"/>
        <v>2.2795999640163239E-2</v>
      </c>
      <c r="AR221" s="233">
        <f t="shared" si="901"/>
        <v>2.3186401756712688E-2</v>
      </c>
      <c r="AS221" s="233">
        <f t="shared" si="901"/>
        <v>2.3566932636241295E-2</v>
      </c>
      <c r="AT221" s="233">
        <f t="shared" si="901"/>
        <v>2.395214082488327E-2</v>
      </c>
      <c r="AU221" s="233">
        <f t="shared" si="901"/>
        <v>2.4324755762389266E-2</v>
      </c>
      <c r="AV221" s="233">
        <f t="shared" si="901"/>
        <v>2.4701212602669984E-2</v>
      </c>
      <c r="AW221" s="233">
        <f t="shared" si="901"/>
        <v>2.5064694687106787E-2</v>
      </c>
      <c r="AX221" s="233">
        <f t="shared" si="901"/>
        <v>2.5431293081996542E-2</v>
      </c>
      <c r="AY221" s="233">
        <f t="shared" si="901"/>
        <v>2.5784684404214095E-2</v>
      </c>
      <c r="AZ221" s="233">
        <f t="shared" si="901"/>
        <v>2.6138623576069858E-2</v>
      </c>
      <c r="BA221" s="233">
        <f t="shared" si="901"/>
        <v>2.6481221029919094E-2</v>
      </c>
      <c r="BB221" s="233">
        <f t="shared" si="901"/>
        <v>2.6825765111344213E-2</v>
      </c>
      <c r="BC221" s="233">
        <f t="shared" si="901"/>
        <v>2.7156997948743156E-2</v>
      </c>
      <c r="BD221" s="233">
        <f t="shared" si="901"/>
        <v>2.7489710329540021E-2</v>
      </c>
      <c r="BE221" s="233">
        <f t="shared" si="901"/>
        <v>2.7809202562645213E-2</v>
      </c>
      <c r="BF221" s="233">
        <f t="shared" si="901"/>
        <v>2.8129774028792909E-2</v>
      </c>
      <c r="BG221" s="233">
        <f t="shared" si="901"/>
        <v>2.8437291182081562E-2</v>
      </c>
      <c r="BH221" s="233">
        <f t="shared" si="901"/>
        <v>2.8743869401443703E-2</v>
      </c>
      <c r="BI221" s="233">
        <f t="shared" si="901"/>
        <v>2.9039330947794789E-2</v>
      </c>
      <c r="BJ221" s="233">
        <f t="shared" si="901"/>
        <v>2.9335241012636362E-2</v>
      </c>
      <c r="BK221" s="233">
        <f t="shared" si="901"/>
        <v>2.9618600732787603E-2</v>
      </c>
      <c r="BL221" s="233">
        <f t="shared" si="901"/>
        <v>2.9902164242926424E-2</v>
      </c>
      <c r="BM221" s="233">
        <f t="shared" si="901"/>
        <v>3.0173494784889884E-2</v>
      </c>
      <c r="BN221" s="233">
        <f t="shared" si="901"/>
        <v>3.0444824068345963E-2</v>
      </c>
      <c r="BO221" s="233">
        <f t="shared" ref="BO221:CB221" si="902">IF(BO219&lt;0,0,$B$5+$B$6*((1-EXP(-BO220/$B$9))/(BO220/$B$9))+$B$7*((1-EXP(-BO220/$B$9))/(BO220/$B$9)-EXP(-BO220/$B$9))+$B$8*((1-EXP(-BO220/$B$10))/(BO220/$B$10)-EXP(-BO220/$B$10)))</f>
        <v>3.0704269177312504E-2</v>
      </c>
      <c r="BP221" s="233">
        <f t="shared" si="902"/>
        <v>3.0962134553014636E-2</v>
      </c>
      <c r="BQ221" s="233">
        <f t="shared" si="902"/>
        <v>3.1209928711756901E-2</v>
      </c>
      <c r="BR221" s="233">
        <f t="shared" si="902"/>
        <v>3.1457411460868195E-2</v>
      </c>
      <c r="BS221" s="233">
        <f t="shared" si="902"/>
        <v>3.1693771878779031E-2</v>
      </c>
      <c r="BT221" s="233">
        <f t="shared" si="902"/>
        <v>3.1929706995296028E-2</v>
      </c>
      <c r="BU221" s="233">
        <f t="shared" si="902"/>
        <v>3.2154921939789194E-2</v>
      </c>
      <c r="BV221" s="233">
        <f t="shared" si="902"/>
        <v>3.2379620526310368E-2</v>
      </c>
      <c r="BW221" s="233">
        <f t="shared" si="902"/>
        <v>3.2594008362967303E-2</v>
      </c>
      <c r="BX221" s="233">
        <f t="shared" si="902"/>
        <v>3.2806648582961645E-2</v>
      </c>
      <c r="BY221" s="233">
        <f t="shared" si="902"/>
        <v>3.3010579326477094E-2</v>
      </c>
      <c r="BZ221" s="233">
        <f t="shared" si="902"/>
        <v>3.3213868274557079E-2</v>
      </c>
      <c r="CA221" s="233">
        <f t="shared" si="902"/>
        <v>3.3407670560667332E-2</v>
      </c>
      <c r="CB221" s="233">
        <f t="shared" si="902"/>
        <v>3.3600791383443893E-2</v>
      </c>
      <c r="CC221" s="19"/>
      <c r="CD221" s="19"/>
      <c r="CE221" s="19"/>
    </row>
    <row r="222" spans="1:83">
      <c r="A222" s="16" t="s">
        <v>44</v>
      </c>
      <c r="B222" s="233">
        <f>EXP(-B221*B220)</f>
        <v>0.99730902200513016</v>
      </c>
      <c r="C222" s="233">
        <f t="shared" ref="C222:AR222" si="903">EXP(-C221*C220)</f>
        <v>0.98837792816368109</v>
      </c>
      <c r="D222" s="233">
        <f t="shared" si="903"/>
        <v>0.98018489080953397</v>
      </c>
      <c r="E222" s="233">
        <f t="shared" si="903"/>
        <v>0.97282697535039098</v>
      </c>
      <c r="F222" s="233">
        <f t="shared" si="903"/>
        <v>0.96586226215732651</v>
      </c>
      <c r="G222" s="233">
        <f t="shared" si="903"/>
        <v>0.95946132507971726</v>
      </c>
      <c r="H222" s="233">
        <f t="shared" si="903"/>
        <v>0.95321375534642416</v>
      </c>
      <c r="I222" s="233">
        <f t="shared" si="903"/>
        <v>0.94728964993240561</v>
      </c>
      <c r="J222" s="233">
        <f t="shared" si="903"/>
        <v>0.941328587469352</v>
      </c>
      <c r="K222" s="233">
        <f t="shared" si="903"/>
        <v>0.9355129891686047</v>
      </c>
      <c r="L222" s="233">
        <f t="shared" si="903"/>
        <v>0.9295437634852084</v>
      </c>
      <c r="M222" s="233">
        <f t="shared" si="903"/>
        <v>0.92355988406698231</v>
      </c>
      <c r="N222" s="233">
        <f t="shared" si="903"/>
        <v>0.91727336016586003</v>
      </c>
      <c r="O222" s="233">
        <f t="shared" si="903"/>
        <v>0.91091835834333079</v>
      </c>
      <c r="P222" s="233">
        <f t="shared" si="903"/>
        <v>0.90417350037095756</v>
      </c>
      <c r="Q222" s="233">
        <f t="shared" si="903"/>
        <v>0.89730736469736372</v>
      </c>
      <c r="R222" s="233">
        <f t="shared" si="903"/>
        <v>0.88998904081918029</v>
      </c>
      <c r="S222" s="233">
        <f t="shared" si="903"/>
        <v>0.88252422909859962</v>
      </c>
      <c r="T222" s="233">
        <f t="shared" si="903"/>
        <v>0.87461092848289734</v>
      </c>
      <c r="U222" s="233">
        <f t="shared" si="903"/>
        <v>0.86650534093559484</v>
      </c>
      <c r="V222" s="233">
        <f t="shared" si="903"/>
        <v>0.85788398364398566</v>
      </c>
      <c r="W222" s="233">
        <f t="shared" si="903"/>
        <v>0.84912766405131068</v>
      </c>
      <c r="X222" s="233">
        <f t="shared" si="903"/>
        <v>0.83984820802779758</v>
      </c>
      <c r="Y222" s="233">
        <f t="shared" si="903"/>
        <v>0.83046168443675117</v>
      </c>
      <c r="Z222" s="233">
        <f t="shared" si="903"/>
        <v>0.82055732384949431</v>
      </c>
      <c r="AA222" s="233">
        <f t="shared" si="903"/>
        <v>0.81058349285928055</v>
      </c>
      <c r="AB222" s="233">
        <f t="shared" si="903"/>
        <v>0.80016558906937973</v>
      </c>
      <c r="AC222" s="233">
        <f t="shared" si="903"/>
        <v>0.78966537612970089</v>
      </c>
      <c r="AD222" s="233">
        <f t="shared" si="903"/>
        <v>0.77868605411403824</v>
      </c>
      <c r="AE222" s="233">
        <f t="shared" si="903"/>
        <v>0.7677290382688664</v>
      </c>
      <c r="AF222" s="233">
        <f t="shared" si="903"/>
        <v>0.75632204385970159</v>
      </c>
      <c r="AG222" s="233">
        <f t="shared" si="903"/>
        <v>0.74498659145102109</v>
      </c>
      <c r="AH222" s="233">
        <f t="shared" si="903"/>
        <v>0.73323427682914466</v>
      </c>
      <c r="AI222" s="233">
        <f t="shared" si="903"/>
        <v>0.72160225891843366</v>
      </c>
      <c r="AJ222" s="233">
        <f t="shared" si="903"/>
        <v>0.70965520320634812</v>
      </c>
      <c r="AK222" s="233">
        <f t="shared" si="903"/>
        <v>0.69780939412902043</v>
      </c>
      <c r="AL222" s="233">
        <f t="shared" si="903"/>
        <v>0.68561874646646948</v>
      </c>
      <c r="AM222" s="233">
        <f t="shared" si="903"/>
        <v>0.67363868438659269</v>
      </c>
      <c r="AN222" s="233">
        <f t="shared" si="903"/>
        <v>0.6613503738960903</v>
      </c>
      <c r="AO222" s="233">
        <f t="shared" si="903"/>
        <v>0.64931234974341812</v>
      </c>
      <c r="AP222" s="233">
        <f t="shared" si="903"/>
        <v>0.63700179126509937</v>
      </c>
      <c r="AQ222" s="233">
        <f t="shared" si="903"/>
        <v>0.6249767386265177</v>
      </c>
      <c r="AR222" s="233">
        <f t="shared" si="903"/>
        <v>0.61278059300285248</v>
      </c>
      <c r="AS222" s="233">
        <f>EXP(-AS221*AS220)</f>
        <v>0.60083283544562371</v>
      </c>
      <c r="AT222" s="233">
        <f t="shared" ref="AT222:CA222" si="904">EXP(-AT221*AT220)</f>
        <v>0.58867879595059558</v>
      </c>
      <c r="AU222" s="233">
        <f t="shared" si="904"/>
        <v>0.57686622054790881</v>
      </c>
      <c r="AV222" s="233">
        <f t="shared" si="904"/>
        <v>0.56487719414449666</v>
      </c>
      <c r="AW222" s="233">
        <f t="shared" si="904"/>
        <v>0.55325042075995567</v>
      </c>
      <c r="AX222" s="233">
        <f t="shared" si="904"/>
        <v>0.54147450105061556</v>
      </c>
      <c r="AY222" s="233">
        <f t="shared" si="904"/>
        <v>0.53007701001099206</v>
      </c>
      <c r="AZ222" s="233">
        <f t="shared" si="904"/>
        <v>0.51861799734213909</v>
      </c>
      <c r="BA222" s="233">
        <f t="shared" si="904"/>
        <v>0.5074855440499878</v>
      </c>
      <c r="BB222" s="233">
        <f t="shared" si="904"/>
        <v>0.49625067761756325</v>
      </c>
      <c r="BC222" s="233">
        <f t="shared" si="904"/>
        <v>0.4854139116303523</v>
      </c>
      <c r="BD222" s="233">
        <f t="shared" si="904"/>
        <v>0.47449430074655274</v>
      </c>
      <c r="BE222" s="233">
        <f t="shared" si="904"/>
        <v>0.46397703122402539</v>
      </c>
      <c r="BF222" s="233">
        <f t="shared" si="904"/>
        <v>0.45339407086861105</v>
      </c>
      <c r="BG222" s="233">
        <f t="shared" si="904"/>
        <v>0.44321447220720728</v>
      </c>
      <c r="BH222" s="233">
        <f t="shared" si="904"/>
        <v>0.43303978885900535</v>
      </c>
      <c r="BI222" s="233">
        <f t="shared" si="904"/>
        <v>0.42320996357860713</v>
      </c>
      <c r="BJ222" s="233">
        <f t="shared" si="904"/>
        <v>0.41334211009991861</v>
      </c>
      <c r="BK222" s="233">
        <f t="shared" si="904"/>
        <v>0.40387159811481349</v>
      </c>
      <c r="BL222" s="233">
        <f t="shared" si="904"/>
        <v>0.39437396213556247</v>
      </c>
      <c r="BM222" s="233">
        <f t="shared" si="904"/>
        <v>0.38526737845168385</v>
      </c>
      <c r="BN222" s="233">
        <f t="shared" si="904"/>
        <v>0.37614285797517216</v>
      </c>
      <c r="BO222" s="233">
        <f t="shared" si="904"/>
        <v>0.36740138600967565</v>
      </c>
      <c r="BP222" s="233">
        <f t="shared" si="904"/>
        <v>0.3586972061297769</v>
      </c>
      <c r="BQ222" s="233">
        <f t="shared" si="904"/>
        <v>0.35031809742940168</v>
      </c>
      <c r="BR222" s="233">
        <f t="shared" si="904"/>
        <v>0.34193499287214213</v>
      </c>
      <c r="BS222" s="233">
        <f t="shared" si="904"/>
        <v>0.33391506265592469</v>
      </c>
      <c r="BT222" s="233">
        <f t="shared" si="904"/>
        <v>0.32589625525160143</v>
      </c>
      <c r="BU222" s="233">
        <f t="shared" si="904"/>
        <v>0.31822927076291435</v>
      </c>
      <c r="BV222" s="233">
        <f t="shared" si="904"/>
        <v>0.31056749750886448</v>
      </c>
      <c r="BW222" s="233">
        <f t="shared" si="904"/>
        <v>0.30324557511048345</v>
      </c>
      <c r="BX222" s="233">
        <f t="shared" si="904"/>
        <v>0.29597177594382207</v>
      </c>
      <c r="BY222" s="233">
        <f t="shared" si="904"/>
        <v>0.28898480364862961</v>
      </c>
      <c r="BZ222" s="233">
        <f t="shared" si="904"/>
        <v>0.28200868116594374</v>
      </c>
      <c r="CA222" s="233">
        <f t="shared" si="904"/>
        <v>0.27534740661780388</v>
      </c>
      <c r="CB222" s="233">
        <f>EXP(-CB221*CB220)</f>
        <v>0.26869878497938221</v>
      </c>
      <c r="CC222" s="19"/>
      <c r="CD222" s="19"/>
      <c r="CE222" s="19"/>
    </row>
    <row r="223" spans="1:83">
      <c r="A223" s="17"/>
      <c r="B223" s="17"/>
      <c r="C223" s="17"/>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c r="AN223" s="17"/>
      <c r="AO223" s="17"/>
      <c r="AP223" s="17"/>
      <c r="AQ223" s="17"/>
      <c r="AR223" s="17"/>
      <c r="AS223" s="17"/>
      <c r="AT223" s="17"/>
      <c r="AU223" s="17"/>
      <c r="AV223" s="17"/>
      <c r="AW223" s="17"/>
      <c r="AX223" s="17"/>
      <c r="AY223" s="17"/>
      <c r="AZ223" s="17"/>
      <c r="BA223" s="17"/>
      <c r="BB223" s="17"/>
      <c r="BC223" s="17"/>
      <c r="BD223" s="17"/>
      <c r="BE223" s="17"/>
      <c r="BF223" s="17"/>
      <c r="BG223" s="17"/>
      <c r="BH223" s="17"/>
      <c r="BI223" s="17"/>
      <c r="BJ223" s="17"/>
      <c r="BK223" s="17"/>
      <c r="BL223" s="17"/>
      <c r="BM223" s="17"/>
      <c r="BN223" s="17"/>
      <c r="BO223" s="17"/>
      <c r="BP223" s="17"/>
      <c r="BQ223" s="17"/>
      <c r="BR223" s="17"/>
      <c r="BS223" s="17"/>
      <c r="BT223" s="17"/>
      <c r="BU223" s="17"/>
      <c r="BV223" s="17"/>
      <c r="BW223" s="17"/>
      <c r="BX223" s="17"/>
      <c r="BY223" s="17"/>
      <c r="BZ223" s="17"/>
      <c r="CA223" s="17"/>
      <c r="CB223" s="17"/>
      <c r="CC223" s="19"/>
      <c r="CD223" s="19"/>
      <c r="CE223" s="19"/>
    </row>
    <row r="224" spans="1:83">
      <c r="A224" s="16" t="s">
        <v>40</v>
      </c>
      <c r="B224" s="233">
        <f t="shared" ref="B224:AG224" si="905">DAYS360($B$3,B84)</f>
        <v>153</v>
      </c>
      <c r="C224" s="233">
        <f t="shared" si="905"/>
        <v>332</v>
      </c>
      <c r="D224" s="233">
        <f t="shared" si="905"/>
        <v>512</v>
      </c>
      <c r="E224" s="233">
        <f t="shared" si="905"/>
        <v>692</v>
      </c>
      <c r="F224" s="233">
        <f t="shared" si="905"/>
        <v>872</v>
      </c>
      <c r="G224" s="233">
        <f t="shared" si="905"/>
        <v>1052</v>
      </c>
      <c r="H224" s="233">
        <f t="shared" si="905"/>
        <v>1232</v>
      </c>
      <c r="I224" s="233">
        <f t="shared" si="905"/>
        <v>1412</v>
      </c>
      <c r="J224" s="233">
        <f t="shared" si="905"/>
        <v>1592</v>
      </c>
      <c r="K224" s="233">
        <f t="shared" si="905"/>
        <v>1771</v>
      </c>
      <c r="L224" s="233">
        <f t="shared" si="905"/>
        <v>1951</v>
      </c>
      <c r="M224" s="233">
        <f t="shared" si="905"/>
        <v>2131</v>
      </c>
      <c r="N224" s="233">
        <f t="shared" si="905"/>
        <v>2311</v>
      </c>
      <c r="O224" s="233">
        <f t="shared" si="905"/>
        <v>2491</v>
      </c>
      <c r="P224" s="233">
        <f t="shared" si="905"/>
        <v>2671</v>
      </c>
      <c r="Q224" s="233">
        <f t="shared" si="905"/>
        <v>2851</v>
      </c>
      <c r="R224" s="233">
        <f t="shared" si="905"/>
        <v>3031</v>
      </c>
      <c r="S224" s="233">
        <f t="shared" si="905"/>
        <v>3210</v>
      </c>
      <c r="T224" s="233">
        <f t="shared" si="905"/>
        <v>3390</v>
      </c>
      <c r="U224" s="233">
        <f t="shared" si="905"/>
        <v>3570</v>
      </c>
      <c r="V224" s="233">
        <f t="shared" si="905"/>
        <v>3750</v>
      </c>
      <c r="W224" s="233">
        <f t="shared" si="905"/>
        <v>3930</v>
      </c>
      <c r="X224" s="233">
        <f t="shared" si="905"/>
        <v>4110</v>
      </c>
      <c r="Y224" s="233">
        <f t="shared" si="905"/>
        <v>4290</v>
      </c>
      <c r="Z224" s="233">
        <f t="shared" si="905"/>
        <v>4470</v>
      </c>
      <c r="AA224" s="233">
        <f t="shared" si="905"/>
        <v>4649</v>
      </c>
      <c r="AB224" s="233">
        <f t="shared" si="905"/>
        <v>4829</v>
      </c>
      <c r="AC224" s="233">
        <f t="shared" si="905"/>
        <v>5009</v>
      </c>
      <c r="AD224" s="233">
        <f t="shared" si="905"/>
        <v>5189</v>
      </c>
      <c r="AE224" s="233">
        <f t="shared" si="905"/>
        <v>5369</v>
      </c>
      <c r="AF224" s="233">
        <f t="shared" si="905"/>
        <v>5549</v>
      </c>
      <c r="AG224" s="233">
        <f t="shared" si="905"/>
        <v>5729</v>
      </c>
      <c r="AH224" s="233">
        <f t="shared" ref="AH224:BM224" si="906">DAYS360($B$3,AH84)</f>
        <v>5909</v>
      </c>
      <c r="AI224" s="233">
        <f t="shared" si="906"/>
        <v>6089</v>
      </c>
      <c r="AJ224" s="233">
        <f t="shared" si="906"/>
        <v>6268</v>
      </c>
      <c r="AK224" s="233">
        <f t="shared" si="906"/>
        <v>6449</v>
      </c>
      <c r="AL224" s="233">
        <f t="shared" si="906"/>
        <v>6628</v>
      </c>
      <c r="AM224" s="233">
        <f t="shared" si="906"/>
        <v>6809</v>
      </c>
      <c r="AN224" s="233">
        <f t="shared" si="906"/>
        <v>6988</v>
      </c>
      <c r="AO224" s="233">
        <f t="shared" si="906"/>
        <v>7169</v>
      </c>
      <c r="AP224" s="233">
        <f t="shared" si="906"/>
        <v>7348</v>
      </c>
      <c r="AQ224" s="233">
        <f t="shared" si="906"/>
        <v>7528</v>
      </c>
      <c r="AR224" s="233">
        <f t="shared" si="906"/>
        <v>7707</v>
      </c>
      <c r="AS224" s="233">
        <f t="shared" si="906"/>
        <v>7888</v>
      </c>
      <c r="AT224" s="233">
        <f t="shared" si="906"/>
        <v>8067</v>
      </c>
      <c r="AU224" s="233">
        <f t="shared" si="906"/>
        <v>8248</v>
      </c>
      <c r="AV224" s="233">
        <f t="shared" si="906"/>
        <v>8427</v>
      </c>
      <c r="AW224" s="233">
        <f t="shared" si="906"/>
        <v>8608</v>
      </c>
      <c r="AX224" s="233">
        <f t="shared" si="906"/>
        <v>8787</v>
      </c>
      <c r="AY224" s="233">
        <f t="shared" si="906"/>
        <v>8967</v>
      </c>
      <c r="AZ224" s="233">
        <f t="shared" si="906"/>
        <v>9146</v>
      </c>
      <c r="BA224" s="233">
        <f t="shared" si="906"/>
        <v>9327</v>
      </c>
      <c r="BB224" s="233">
        <f t="shared" si="906"/>
        <v>9506</v>
      </c>
      <c r="BC224" s="233">
        <f t="shared" si="906"/>
        <v>9687</v>
      </c>
      <c r="BD224" s="233">
        <f t="shared" si="906"/>
        <v>9866</v>
      </c>
      <c r="BE224" s="233">
        <f t="shared" si="906"/>
        <v>10047</v>
      </c>
      <c r="BF224" s="233">
        <f t="shared" si="906"/>
        <v>10226</v>
      </c>
      <c r="BG224" s="233">
        <f t="shared" si="906"/>
        <v>10406</v>
      </c>
      <c r="BH224" s="233">
        <f t="shared" si="906"/>
        <v>10585</v>
      </c>
      <c r="BI224" s="233">
        <f t="shared" si="906"/>
        <v>10766</v>
      </c>
      <c r="BJ224" s="233">
        <f t="shared" si="906"/>
        <v>10945</v>
      </c>
      <c r="BK224" s="233">
        <f t="shared" si="906"/>
        <v>11126</v>
      </c>
      <c r="BL224" s="233">
        <f t="shared" si="906"/>
        <v>11305</v>
      </c>
      <c r="BM224" s="233">
        <f t="shared" si="906"/>
        <v>11486</v>
      </c>
      <c r="BN224" s="233">
        <f t="shared" ref="BN224:CB224" si="907">DAYS360($B$3,BN84)</f>
        <v>11665</v>
      </c>
      <c r="BO224" s="233">
        <f t="shared" si="907"/>
        <v>11845</v>
      </c>
      <c r="BP224" s="233">
        <f t="shared" si="907"/>
        <v>12024</v>
      </c>
      <c r="BQ224" s="233">
        <f t="shared" si="907"/>
        <v>12205</v>
      </c>
      <c r="BR224" s="233">
        <f t="shared" si="907"/>
        <v>12384</v>
      </c>
      <c r="BS224" s="233">
        <f t="shared" si="907"/>
        <v>12565</v>
      </c>
      <c r="BT224" s="233">
        <f t="shared" si="907"/>
        <v>12744</v>
      </c>
      <c r="BU224" s="233">
        <f t="shared" si="907"/>
        <v>12925</v>
      </c>
      <c r="BV224" s="233">
        <f t="shared" si="907"/>
        <v>13104</v>
      </c>
      <c r="BW224" s="233">
        <f t="shared" si="907"/>
        <v>13284</v>
      </c>
      <c r="BX224" s="233">
        <f t="shared" si="907"/>
        <v>13463</v>
      </c>
      <c r="BY224" s="233">
        <f t="shared" si="907"/>
        <v>13644</v>
      </c>
      <c r="BZ224" s="233">
        <f t="shared" si="907"/>
        <v>13823</v>
      </c>
      <c r="CA224" s="233">
        <f t="shared" si="907"/>
        <v>14004</v>
      </c>
      <c r="CB224" s="233">
        <f t="shared" si="907"/>
        <v>14183</v>
      </c>
      <c r="CC224" s="19"/>
      <c r="CD224" s="19"/>
      <c r="CE224" s="19"/>
    </row>
    <row r="225" spans="1:83">
      <c r="A225" s="16" t="s">
        <v>41</v>
      </c>
      <c r="B225" s="233">
        <f>B224/360</f>
        <v>0.42499999999999999</v>
      </c>
      <c r="C225" s="233">
        <f t="shared" ref="C225:BN225" si="908">C224/360</f>
        <v>0.92222222222222228</v>
      </c>
      <c r="D225" s="233">
        <f t="shared" si="908"/>
        <v>1.4222222222222223</v>
      </c>
      <c r="E225" s="233">
        <f t="shared" si="908"/>
        <v>1.9222222222222223</v>
      </c>
      <c r="F225" s="233">
        <f t="shared" si="908"/>
        <v>2.4222222222222221</v>
      </c>
      <c r="G225" s="233">
        <f t="shared" si="908"/>
        <v>2.9222222222222221</v>
      </c>
      <c r="H225" s="233">
        <f t="shared" si="908"/>
        <v>3.4222222222222221</v>
      </c>
      <c r="I225" s="233">
        <f t="shared" si="908"/>
        <v>3.9222222222222221</v>
      </c>
      <c r="J225" s="233">
        <f t="shared" si="908"/>
        <v>4.4222222222222225</v>
      </c>
      <c r="K225" s="233">
        <f t="shared" si="908"/>
        <v>4.9194444444444443</v>
      </c>
      <c r="L225" s="233">
        <f t="shared" si="908"/>
        <v>5.4194444444444443</v>
      </c>
      <c r="M225" s="233">
        <f t="shared" si="908"/>
        <v>5.9194444444444443</v>
      </c>
      <c r="N225" s="233">
        <f t="shared" si="908"/>
        <v>6.4194444444444443</v>
      </c>
      <c r="O225" s="233">
        <f t="shared" si="908"/>
        <v>6.9194444444444443</v>
      </c>
      <c r="P225" s="233">
        <f t="shared" si="908"/>
        <v>7.4194444444444443</v>
      </c>
      <c r="Q225" s="233">
        <f t="shared" si="908"/>
        <v>7.9194444444444443</v>
      </c>
      <c r="R225" s="233">
        <f t="shared" si="908"/>
        <v>8.4194444444444443</v>
      </c>
      <c r="S225" s="233">
        <f t="shared" si="908"/>
        <v>8.9166666666666661</v>
      </c>
      <c r="T225" s="233">
        <f t="shared" si="908"/>
        <v>9.4166666666666661</v>
      </c>
      <c r="U225" s="233">
        <f t="shared" si="908"/>
        <v>9.9166666666666661</v>
      </c>
      <c r="V225" s="233">
        <f t="shared" si="908"/>
        <v>10.416666666666666</v>
      </c>
      <c r="W225" s="233">
        <f t="shared" si="908"/>
        <v>10.916666666666666</v>
      </c>
      <c r="X225" s="233">
        <f t="shared" si="908"/>
        <v>11.416666666666666</v>
      </c>
      <c r="Y225" s="233">
        <f t="shared" si="908"/>
        <v>11.916666666666666</v>
      </c>
      <c r="Z225" s="233">
        <f t="shared" si="908"/>
        <v>12.416666666666666</v>
      </c>
      <c r="AA225" s="233">
        <f t="shared" si="908"/>
        <v>12.91388888888889</v>
      </c>
      <c r="AB225" s="233">
        <f t="shared" si="908"/>
        <v>13.41388888888889</v>
      </c>
      <c r="AC225" s="233">
        <f t="shared" si="908"/>
        <v>13.91388888888889</v>
      </c>
      <c r="AD225" s="233">
        <f t="shared" si="908"/>
        <v>14.41388888888889</v>
      </c>
      <c r="AE225" s="233">
        <f t="shared" si="908"/>
        <v>14.91388888888889</v>
      </c>
      <c r="AF225" s="233">
        <f t="shared" si="908"/>
        <v>15.41388888888889</v>
      </c>
      <c r="AG225" s="233">
        <f t="shared" si="908"/>
        <v>15.91388888888889</v>
      </c>
      <c r="AH225" s="233">
        <f t="shared" si="908"/>
        <v>16.413888888888888</v>
      </c>
      <c r="AI225" s="233">
        <f t="shared" si="908"/>
        <v>16.913888888888888</v>
      </c>
      <c r="AJ225" s="233">
        <f t="shared" si="908"/>
        <v>17.411111111111111</v>
      </c>
      <c r="AK225" s="233">
        <f t="shared" si="908"/>
        <v>17.913888888888888</v>
      </c>
      <c r="AL225" s="233">
        <f t="shared" si="908"/>
        <v>18.411111111111111</v>
      </c>
      <c r="AM225" s="233">
        <f t="shared" si="908"/>
        <v>18.913888888888888</v>
      </c>
      <c r="AN225" s="233">
        <f t="shared" si="908"/>
        <v>19.411111111111111</v>
      </c>
      <c r="AO225" s="233">
        <f t="shared" si="908"/>
        <v>19.913888888888888</v>
      </c>
      <c r="AP225" s="233">
        <f t="shared" si="908"/>
        <v>20.411111111111111</v>
      </c>
      <c r="AQ225" s="233">
        <f t="shared" si="908"/>
        <v>20.911111111111111</v>
      </c>
      <c r="AR225" s="233">
        <f t="shared" si="908"/>
        <v>21.408333333333335</v>
      </c>
      <c r="AS225" s="233">
        <f t="shared" si="908"/>
        <v>21.911111111111111</v>
      </c>
      <c r="AT225" s="233">
        <f t="shared" si="908"/>
        <v>22.408333333333335</v>
      </c>
      <c r="AU225" s="233">
        <f t="shared" si="908"/>
        <v>22.911111111111111</v>
      </c>
      <c r="AV225" s="233">
        <f t="shared" si="908"/>
        <v>23.408333333333335</v>
      </c>
      <c r="AW225" s="233">
        <f t="shared" si="908"/>
        <v>23.911111111111111</v>
      </c>
      <c r="AX225" s="233">
        <f t="shared" si="908"/>
        <v>24.408333333333335</v>
      </c>
      <c r="AY225" s="233">
        <f t="shared" si="908"/>
        <v>24.908333333333335</v>
      </c>
      <c r="AZ225" s="233">
        <f t="shared" si="908"/>
        <v>25.405555555555555</v>
      </c>
      <c r="BA225" s="233">
        <f t="shared" si="908"/>
        <v>25.908333333333335</v>
      </c>
      <c r="BB225" s="233">
        <f t="shared" si="908"/>
        <v>26.405555555555555</v>
      </c>
      <c r="BC225" s="233">
        <f t="shared" si="908"/>
        <v>26.908333333333335</v>
      </c>
      <c r="BD225" s="233">
        <f t="shared" si="908"/>
        <v>27.405555555555555</v>
      </c>
      <c r="BE225" s="233">
        <f t="shared" si="908"/>
        <v>27.908333333333335</v>
      </c>
      <c r="BF225" s="233">
        <f t="shared" si="908"/>
        <v>28.405555555555555</v>
      </c>
      <c r="BG225" s="233">
        <f t="shared" si="908"/>
        <v>28.905555555555555</v>
      </c>
      <c r="BH225" s="233">
        <f t="shared" si="908"/>
        <v>29.402777777777779</v>
      </c>
      <c r="BI225" s="233">
        <f t="shared" si="908"/>
        <v>29.905555555555555</v>
      </c>
      <c r="BJ225" s="233">
        <f t="shared" si="908"/>
        <v>30.402777777777779</v>
      </c>
      <c r="BK225" s="233">
        <f t="shared" si="908"/>
        <v>30.905555555555555</v>
      </c>
      <c r="BL225" s="233">
        <f t="shared" si="908"/>
        <v>31.402777777777779</v>
      </c>
      <c r="BM225" s="233">
        <f t="shared" si="908"/>
        <v>31.905555555555555</v>
      </c>
      <c r="BN225" s="233">
        <f t="shared" si="908"/>
        <v>32.402777777777779</v>
      </c>
      <c r="BO225" s="233">
        <f t="shared" ref="BO225:CB225" si="909">BO224/360</f>
        <v>32.902777777777779</v>
      </c>
      <c r="BP225" s="233">
        <f t="shared" si="909"/>
        <v>33.4</v>
      </c>
      <c r="BQ225" s="233">
        <f t="shared" si="909"/>
        <v>33.902777777777779</v>
      </c>
      <c r="BR225" s="233">
        <f t="shared" si="909"/>
        <v>34.4</v>
      </c>
      <c r="BS225" s="233">
        <f t="shared" si="909"/>
        <v>34.902777777777779</v>
      </c>
      <c r="BT225" s="233">
        <f t="shared" si="909"/>
        <v>35.4</v>
      </c>
      <c r="BU225" s="233">
        <f t="shared" si="909"/>
        <v>35.902777777777779</v>
      </c>
      <c r="BV225" s="233">
        <f t="shared" si="909"/>
        <v>36.4</v>
      </c>
      <c r="BW225" s="233">
        <f t="shared" si="909"/>
        <v>36.9</v>
      </c>
      <c r="BX225" s="233">
        <f t="shared" si="909"/>
        <v>37.397222222222226</v>
      </c>
      <c r="BY225" s="233">
        <f t="shared" si="909"/>
        <v>37.9</v>
      </c>
      <c r="BZ225" s="233">
        <f t="shared" si="909"/>
        <v>38.397222222222226</v>
      </c>
      <c r="CA225" s="233">
        <f t="shared" si="909"/>
        <v>38.9</v>
      </c>
      <c r="CB225" s="233">
        <f t="shared" si="909"/>
        <v>39.397222222222226</v>
      </c>
      <c r="CC225" s="19"/>
      <c r="CD225" s="19"/>
      <c r="CE225" s="19"/>
    </row>
    <row r="226" spans="1:83">
      <c r="A226" s="16" t="s">
        <v>43</v>
      </c>
      <c r="B226" s="233">
        <f>IF(B224&lt;0,0,$B$5+$B$6*((1-EXP(-B225/$B$9))/(B225/$B$9))+$B$7*((1-EXP(-B225/$B$9))/(B225/$B$9)-EXP(-B225/$B$9))+$B$8*((1-EXP(-B225/$B$10))/(B225/$B$10)-EXP(-B225/$B$10)))</f>
        <v>1.8841052360241743E-2</v>
      </c>
      <c r="C226" s="233">
        <f t="shared" ref="C226:BN226" si="910">IF(C224&lt;0,0,$B$5+$B$6*((1-EXP(-C225/$B$9))/(C225/$B$9))+$B$7*((1-EXP(-C225/$B$9))/(C225/$B$9)-EXP(-C225/$B$9))+$B$8*((1-EXP(-C225/$B$10))/(C225/$B$10)-EXP(-C225/$B$10)))</f>
        <v>1.7960522475361201E-2</v>
      </c>
      <c r="D226" s="233">
        <f t="shared" si="910"/>
        <v>1.7186752731948845E-2</v>
      </c>
      <c r="E226" s="233">
        <f t="shared" si="910"/>
        <v>1.6517010578328231E-2</v>
      </c>
      <c r="F226" s="233">
        <f t="shared" si="910"/>
        <v>1.5943798957219209E-2</v>
      </c>
      <c r="G226" s="233">
        <f t="shared" si="910"/>
        <v>1.5460075239816025E-2</v>
      </c>
      <c r="H226" s="233">
        <f t="shared" si="910"/>
        <v>1.505922586332175E-2</v>
      </c>
      <c r="I226" s="233">
        <f t="shared" si="910"/>
        <v>1.4735042317256315E-2</v>
      </c>
      <c r="J226" s="233">
        <f t="shared" si="910"/>
        <v>1.4481698409042218E-2</v>
      </c>
      <c r="K226" s="233">
        <f t="shared" si="910"/>
        <v>1.4294601996015573E-2</v>
      </c>
      <c r="L226" s="233">
        <f t="shared" si="910"/>
        <v>1.4166560442713999E-2</v>
      </c>
      <c r="M226" s="233">
        <f t="shared" si="910"/>
        <v>1.4093990173956419E-2</v>
      </c>
      <c r="N226" s="233">
        <f t="shared" si="910"/>
        <v>1.4072388634896363E-2</v>
      </c>
      <c r="O226" s="233">
        <f t="shared" si="910"/>
        <v>1.4097539002249124E-2</v>
      </c>
      <c r="P226" s="233">
        <f t="shared" si="910"/>
        <v>1.4165493845514618E-2</v>
      </c>
      <c r="Q226" s="233">
        <f t="shared" si="910"/>
        <v>1.4272559670174462E-2</v>
      </c>
      <c r="R226" s="233">
        <f t="shared" si="910"/>
        <v>1.4415282296959972E-2</v>
      </c>
      <c r="S226" s="233">
        <f t="shared" si="910"/>
        <v>1.4589376030144097E-2</v>
      </c>
      <c r="T226" s="233">
        <f t="shared" si="910"/>
        <v>1.4793783154407006E-2</v>
      </c>
      <c r="U226" s="233">
        <f t="shared" si="910"/>
        <v>1.5024800983479566E-2</v>
      </c>
      <c r="V226" s="233">
        <f t="shared" si="910"/>
        <v>1.5279800618477932E-2</v>
      </c>
      <c r="W226" s="233">
        <f t="shared" si="910"/>
        <v>1.5556330522947651E-2</v>
      </c>
      <c r="X226" s="233">
        <f t="shared" si="910"/>
        <v>1.5852106073946923E-2</v>
      </c>
      <c r="Y226" s="233">
        <f t="shared" si="910"/>
        <v>1.616499968716327E-2</v>
      </c>
      <c r="Z226" s="233">
        <f t="shared" si="910"/>
        <v>1.6493031485840193E-2</v>
      </c>
      <c r="AA226" s="233">
        <f t="shared" si="910"/>
        <v>1.6832430680318422E-2</v>
      </c>
      <c r="AB226" s="233">
        <f t="shared" si="910"/>
        <v>1.7185286583046216E-2</v>
      </c>
      <c r="AC226" s="233">
        <f t="shared" si="910"/>
        <v>1.7548150036315324E-2</v>
      </c>
      <c r="AD226" s="233">
        <f t="shared" si="910"/>
        <v>1.7919547965082799E-2</v>
      </c>
      <c r="AE226" s="233">
        <f t="shared" si="910"/>
        <v>1.8298115587721445E-2</v>
      </c>
      <c r="AF226" s="233">
        <f t="shared" si="910"/>
        <v>1.8682589792388515E-2</v>
      </c>
      <c r="AG226" s="233">
        <f t="shared" si="910"/>
        <v>1.907180288497437E-2</v>
      </c>
      <c r="AH226" s="233">
        <f t="shared" si="910"/>
        <v>1.946467668880586E-2</v>
      </c>
      <c r="AI226" s="233">
        <f t="shared" si="910"/>
        <v>1.9860216977302336E-2</v>
      </c>
      <c r="AJ226" s="233">
        <f t="shared" si="910"/>
        <v>2.0255297790050572E-2</v>
      </c>
      <c r="AK226" s="233">
        <f t="shared" si="910"/>
        <v>2.0655708637318484E-2</v>
      </c>
      <c r="AL226" s="233">
        <f t="shared" si="910"/>
        <v>2.1051833480594431E-2</v>
      </c>
      <c r="AM226" s="233">
        <f t="shared" si="910"/>
        <v>2.1451810797816398E-2</v>
      </c>
      <c r="AN226" s="233">
        <f t="shared" si="910"/>
        <v>2.1846158410209829E-2</v>
      </c>
      <c r="AO226" s="233">
        <f t="shared" si="910"/>
        <v>2.2243093088428659E-2</v>
      </c>
      <c r="AP226" s="233">
        <f t="shared" si="910"/>
        <v>2.263330862036575E-2</v>
      </c>
      <c r="AQ226" s="233">
        <f t="shared" si="910"/>
        <v>2.3022877067467362E-2</v>
      </c>
      <c r="AR226" s="233">
        <f t="shared" si="910"/>
        <v>2.3407032548865461E-2</v>
      </c>
      <c r="AS226" s="233">
        <f t="shared" si="910"/>
        <v>2.379178429985844E-2</v>
      </c>
      <c r="AT226" s="233">
        <f t="shared" si="910"/>
        <v>2.4168272727628962E-2</v>
      </c>
      <c r="AU226" s="233">
        <f t="shared" si="910"/>
        <v>2.4544586622502529E-2</v>
      </c>
      <c r="AV226" s="233">
        <f t="shared" si="910"/>
        <v>2.4912124721733875E-2</v>
      </c>
      <c r="AW226" s="233">
        <f t="shared" si="910"/>
        <v>2.5278843716272592E-2</v>
      </c>
      <c r="AX226" s="233">
        <f t="shared" si="910"/>
        <v>2.5636416640029566E-2</v>
      </c>
      <c r="AY226" s="233">
        <f t="shared" si="910"/>
        <v>2.5990683277467216E-2</v>
      </c>
      <c r="AZ226" s="233">
        <f t="shared" si="910"/>
        <v>2.6337539132269452E-2</v>
      </c>
      <c r="BA226" s="233">
        <f t="shared" si="910"/>
        <v>2.6682604805971455E-2</v>
      </c>
      <c r="BB226" s="233">
        <f t="shared" si="910"/>
        <v>2.7018131772991935E-2</v>
      </c>
      <c r="BC226" s="233">
        <f t="shared" si="910"/>
        <v>2.7351514164856733E-2</v>
      </c>
      <c r="BD226" s="233">
        <f t="shared" si="910"/>
        <v>2.7675301324891891E-2</v>
      </c>
      <c r="BE226" s="233">
        <f t="shared" si="910"/>
        <v>2.7996662259982832E-2</v>
      </c>
      <c r="BF226" s="233">
        <f t="shared" si="910"/>
        <v>2.8308445832281634E-2</v>
      </c>
      <c r="BG226" s="233">
        <f t="shared" si="910"/>
        <v>2.8615893511617058E-2</v>
      </c>
      <c r="BH226" s="233">
        <f t="shared" si="910"/>
        <v>2.8915568763617117E-2</v>
      </c>
      <c r="BI226" s="233">
        <f t="shared" si="910"/>
        <v>2.9212435099456049E-2</v>
      </c>
      <c r="BJ226" s="233">
        <f t="shared" si="910"/>
        <v>2.9499935602814248E-2</v>
      </c>
      <c r="BK226" s="233">
        <f t="shared" si="910"/>
        <v>2.9784509357773173E-2</v>
      </c>
      <c r="BL226" s="233">
        <f t="shared" si="910"/>
        <v>3.0059891413677195E-2</v>
      </c>
      <c r="BM226" s="233">
        <f t="shared" si="910"/>
        <v>3.033226885284307E-2</v>
      </c>
      <c r="BN226" s="233">
        <f t="shared" si="910"/>
        <v>3.0595663116269239E-2</v>
      </c>
      <c r="BO226" s="233">
        <f t="shared" ref="BO226:CB226" si="911">IF(BO224&lt;0,0,$B$5+$B$6*((1-EXP(-BO225/$B$9))/(BO225/$B$9))+$B$7*((1-EXP(-BO225/$B$9))/(BO225/$B$9)-EXP(-BO225/$B$9))+$B$8*((1-EXP(-BO225/$B$10))/(BO225/$B$10)-EXP(-BO225/$B$10)))</f>
        <v>3.0854587012566326E-2</v>
      </c>
      <c r="BP226" s="233">
        <f t="shared" si="911"/>
        <v>3.1106218023213297E-2</v>
      </c>
      <c r="BQ226" s="233">
        <f t="shared" si="911"/>
        <v>3.1354785603498664E-2</v>
      </c>
      <c r="BR226" s="233">
        <f t="shared" si="911"/>
        <v>3.159486243537532E-2</v>
      </c>
      <c r="BS226" s="233">
        <f t="shared" si="911"/>
        <v>3.1831885052586953E-2</v>
      </c>
      <c r="BT226" s="233">
        <f t="shared" si="911"/>
        <v>3.2060690237827635E-2</v>
      </c>
      <c r="BU226" s="233">
        <f t="shared" si="911"/>
        <v>3.2286470705238587E-2</v>
      </c>
      <c r="BV226" s="233">
        <f t="shared" si="911"/>
        <v>3.2504318675363186E-2</v>
      </c>
      <c r="BW226" s="233">
        <f t="shared" si="911"/>
        <v>3.2718015875880524E-2</v>
      </c>
      <c r="BX226" s="233">
        <f t="shared" si="911"/>
        <v>3.2925274619419964E-2</v>
      </c>
      <c r="BY226" s="233">
        <f t="shared" si="911"/>
        <v>3.3129614763157345E-2</v>
      </c>
      <c r="BZ226" s="233">
        <f t="shared" si="911"/>
        <v>3.3326611456912306E-2</v>
      </c>
      <c r="CA226" s="233">
        <f t="shared" si="911"/>
        <v>3.3520760627508694E-2</v>
      </c>
      <c r="CB226" s="233">
        <f t="shared" si="911"/>
        <v>3.3707865216724794E-2</v>
      </c>
      <c r="CC226" s="19"/>
      <c r="CD226" s="19"/>
      <c r="CE226" s="19"/>
    </row>
    <row r="227" spans="1:83">
      <c r="A227" s="16" t="s">
        <v>44</v>
      </c>
      <c r="B227" s="233">
        <f>EXP(-B226*B225)</f>
        <v>0.99202452695181464</v>
      </c>
      <c r="C227" s="233">
        <f t="shared" ref="C227:BN227" si="912">EXP(-C226*C225)</f>
        <v>0.98357282910456423</v>
      </c>
      <c r="D227" s="233">
        <f t="shared" si="912"/>
        <v>0.97585293852464705</v>
      </c>
      <c r="E227" s="233">
        <f t="shared" si="912"/>
        <v>0.968749354363446</v>
      </c>
      <c r="F227" s="233">
        <f t="shared" si="912"/>
        <v>0.96211679790667082</v>
      </c>
      <c r="G227" s="233">
        <f t="shared" si="912"/>
        <v>0.95582754408218829</v>
      </c>
      <c r="H227" s="233">
        <f t="shared" si="912"/>
        <v>0.94976944112130046</v>
      </c>
      <c r="I227" s="233">
        <f t="shared" si="912"/>
        <v>0.94384425512841352</v>
      </c>
      <c r="J227" s="233">
        <f t="shared" si="912"/>
        <v>0.9379662714920759</v>
      </c>
      <c r="K227" s="233">
        <f t="shared" si="912"/>
        <v>0.93209410312545715</v>
      </c>
      <c r="L227" s="233">
        <f t="shared" si="912"/>
        <v>0.9260983066441465</v>
      </c>
      <c r="M227" s="233">
        <f t="shared" si="912"/>
        <v>0.91995677675085319</v>
      </c>
      <c r="N227" s="233">
        <f t="shared" si="912"/>
        <v>0.91362331814512943</v>
      </c>
      <c r="O227" s="233">
        <f t="shared" si="912"/>
        <v>0.90705958363738792</v>
      </c>
      <c r="P227" s="233">
        <f t="shared" si="912"/>
        <v>0.90023440945987299</v>
      </c>
      <c r="Q227" s="233">
        <f t="shared" si="912"/>
        <v>0.89312320206083939</v>
      </c>
      <c r="R227" s="233">
        <f t="shared" si="912"/>
        <v>0.88570736703202002</v>
      </c>
      <c r="S227" s="233">
        <f t="shared" si="912"/>
        <v>0.87801763253440879</v>
      </c>
      <c r="T227" s="233">
        <f t="shared" si="912"/>
        <v>0.86995993101041547</v>
      </c>
      <c r="U227" s="233">
        <f t="shared" si="912"/>
        <v>0.86157261021770404</v>
      </c>
      <c r="V227" s="233">
        <f t="shared" si="912"/>
        <v>0.85285597604275465</v>
      </c>
      <c r="W227" s="233">
        <f t="shared" si="912"/>
        <v>0.84381392654147169</v>
      </c>
      <c r="X227" s="233">
        <f t="shared" si="912"/>
        <v>0.83445354039680952</v>
      </c>
      <c r="Y227" s="233">
        <f t="shared" si="912"/>
        <v>0.8247846863615641</v>
      </c>
      <c r="Z227" s="233">
        <f t="shared" si="912"/>
        <v>0.81481965349573526</v>
      </c>
      <c r="AA227" s="233">
        <f t="shared" si="912"/>
        <v>0.80463047876965943</v>
      </c>
      <c r="AB227" s="233">
        <f t="shared" si="912"/>
        <v>0.79411934159900532</v>
      </c>
      <c r="AC227" s="233">
        <f t="shared" si="912"/>
        <v>0.78335992850073244</v>
      </c>
      <c r="AD227" s="233">
        <f t="shared" si="912"/>
        <v>0.77237092364194793</v>
      </c>
      <c r="AE227" s="233">
        <f t="shared" si="912"/>
        <v>0.76117189763043469</v>
      </c>
      <c r="AF227" s="233">
        <f t="shared" si="912"/>
        <v>0.74978306330681488</v>
      </c>
      <c r="AG227" s="233">
        <f t="shared" si="912"/>
        <v>0.73822505224896851</v>
      </c>
      <c r="AH227" s="233">
        <f t="shared" si="912"/>
        <v>0.72651871164338455</v>
      </c>
      <c r="AI227" s="233">
        <f t="shared" si="912"/>
        <v>0.71468492105603887</v>
      </c>
      <c r="AJ227" s="233">
        <f t="shared" si="912"/>
        <v>0.70281102157733044</v>
      </c>
      <c r="AK227" s="233">
        <f t="shared" si="912"/>
        <v>0.69071770524187459</v>
      </c>
      <c r="AL227" s="233">
        <f t="shared" si="912"/>
        <v>0.67869214746511008</v>
      </c>
      <c r="AM227" s="233">
        <f t="shared" si="912"/>
        <v>0.66648531947810807</v>
      </c>
      <c r="AN227" s="233">
        <f t="shared" si="912"/>
        <v>0.65438579014757958</v>
      </c>
      <c r="AO227" s="233">
        <f t="shared" si="912"/>
        <v>0.64214157081869594</v>
      </c>
      <c r="AP227" s="233">
        <f t="shared" si="912"/>
        <v>0.63004062530634608</v>
      </c>
      <c r="AQ227" s="233">
        <f t="shared" si="912"/>
        <v>0.61789672913025495</v>
      </c>
      <c r="AR227" s="233">
        <f t="shared" si="912"/>
        <v>0.60586047714813041</v>
      </c>
      <c r="AS227" s="233">
        <f t="shared" si="912"/>
        <v>0.59374554351180209</v>
      </c>
      <c r="AT227" s="233">
        <f t="shared" si="912"/>
        <v>0.58183364155004458</v>
      </c>
      <c r="AU227" s="233">
        <f t="shared" si="912"/>
        <v>0.56987185952103614</v>
      </c>
      <c r="AV227" s="233">
        <f t="shared" si="912"/>
        <v>0.55813672511462387</v>
      </c>
      <c r="AW227" s="233">
        <f t="shared" si="912"/>
        <v>0.54637745046374153</v>
      </c>
      <c r="AX227" s="233">
        <f t="shared" si="912"/>
        <v>0.53486430336814028</v>
      </c>
      <c r="AY227" s="233">
        <f t="shared" si="912"/>
        <v>0.52341292094265335</v>
      </c>
      <c r="AZ227" s="233">
        <f t="shared" si="912"/>
        <v>0.51215917498214292</v>
      </c>
      <c r="BA227" s="233">
        <f t="shared" si="912"/>
        <v>0.50092353238588205</v>
      </c>
      <c r="BB227" s="233">
        <f t="shared" si="912"/>
        <v>0.48996134461063268</v>
      </c>
      <c r="BC227" s="233">
        <f t="shared" si="912"/>
        <v>0.47903402038771603</v>
      </c>
      <c r="BD227" s="233">
        <f t="shared" si="912"/>
        <v>0.46838858957891116</v>
      </c>
      <c r="BE227" s="233">
        <f t="shared" si="912"/>
        <v>0.45779207504303976</v>
      </c>
      <c r="BF227" s="233">
        <f t="shared" si="912"/>
        <v>0.44748282102264325</v>
      </c>
      <c r="BG227" s="233">
        <f t="shared" si="912"/>
        <v>0.43729016999627418</v>
      </c>
      <c r="BH227" s="233">
        <f t="shared" si="912"/>
        <v>0.42733029393364858</v>
      </c>
      <c r="BI227" s="233">
        <f t="shared" si="912"/>
        <v>0.41744014894841047</v>
      </c>
      <c r="BJ227" s="233">
        <f t="shared" si="912"/>
        <v>0.40784014346313491</v>
      </c>
      <c r="BK227" s="233">
        <f t="shared" si="912"/>
        <v>0.39831711935881681</v>
      </c>
      <c r="BL227" s="233">
        <f t="shared" si="912"/>
        <v>0.38908241654177711</v>
      </c>
      <c r="BM227" s="233">
        <f t="shared" si="912"/>
        <v>0.37993013857813734</v>
      </c>
      <c r="BN227" s="233">
        <f t="shared" si="912"/>
        <v>0.37106260910390093</v>
      </c>
      <c r="BO227" s="233">
        <f t="shared" ref="BO227:CB227" si="913">EXP(-BO226*BO225)</f>
        <v>0.36232936965642082</v>
      </c>
      <c r="BP227" s="233">
        <f t="shared" si="913"/>
        <v>0.35382682446330238</v>
      </c>
      <c r="BQ227" s="233">
        <f t="shared" si="913"/>
        <v>0.34541305107651338</v>
      </c>
      <c r="BR227" s="233">
        <f t="shared" si="913"/>
        <v>0.3372727705792618</v>
      </c>
      <c r="BS227" s="233">
        <f t="shared" si="913"/>
        <v>0.32922258387519915</v>
      </c>
      <c r="BT227" s="233">
        <f t="shared" si="913"/>
        <v>0.32143869608013215</v>
      </c>
      <c r="BU227" s="233">
        <f t="shared" si="913"/>
        <v>0.31374523278607364</v>
      </c>
      <c r="BV227" s="233">
        <f t="shared" si="913"/>
        <v>0.30631012808726893</v>
      </c>
      <c r="BW227" s="233">
        <f t="shared" si="913"/>
        <v>0.29900505905446523</v>
      </c>
      <c r="BX227" s="233">
        <f t="shared" si="913"/>
        <v>0.29190881243403788</v>
      </c>
      <c r="BY227" s="233">
        <f t="shared" si="913"/>
        <v>0.28490132135633295</v>
      </c>
      <c r="BZ227" s="233">
        <f t="shared" si="913"/>
        <v>0.27813482355874974</v>
      </c>
      <c r="CA227" s="233">
        <f t="shared" si="913"/>
        <v>0.27145535582121438</v>
      </c>
      <c r="CB227" s="233">
        <f t="shared" si="913"/>
        <v>0.2650077371631599</v>
      </c>
      <c r="CC227" s="19"/>
      <c r="CD227" s="19"/>
      <c r="CE227" s="19"/>
    </row>
    <row r="228" spans="1:83">
      <c r="A228" s="17"/>
      <c r="B228" s="17"/>
      <c r="C228" s="17"/>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c r="AP228" s="17"/>
      <c r="AQ228" s="17"/>
      <c r="AR228" s="17"/>
      <c r="AS228" s="17"/>
      <c r="AT228" s="17"/>
      <c r="AU228" s="17"/>
      <c r="AV228" s="17"/>
      <c r="AW228" s="17"/>
      <c r="AX228" s="17"/>
      <c r="AY228" s="17"/>
      <c r="AZ228" s="17"/>
      <c r="BA228" s="17"/>
      <c r="BB228" s="17"/>
      <c r="BC228" s="17"/>
      <c r="BD228" s="17"/>
      <c r="BE228" s="17"/>
      <c r="BF228" s="17"/>
      <c r="BG228" s="17"/>
      <c r="BH228" s="17"/>
      <c r="BI228" s="17"/>
      <c r="BJ228" s="17"/>
      <c r="BK228" s="17"/>
      <c r="BL228" s="17"/>
      <c r="BM228" s="17"/>
      <c r="BN228" s="17"/>
      <c r="BO228" s="17"/>
      <c r="BP228" s="17"/>
      <c r="BQ228" s="17"/>
      <c r="BR228" s="17"/>
      <c r="BS228" s="17"/>
      <c r="BT228" s="17"/>
      <c r="BU228" s="17"/>
      <c r="BV228" s="17"/>
      <c r="BW228" s="17"/>
      <c r="BX228" s="17"/>
      <c r="BY228" s="17"/>
      <c r="BZ228" s="17"/>
      <c r="CA228" s="17"/>
      <c r="CB228" s="17"/>
      <c r="CC228" s="19"/>
      <c r="CD228" s="19"/>
      <c r="CE228" s="19"/>
    </row>
    <row r="229" spans="1:83">
      <c r="A229" s="16" t="s">
        <v>40</v>
      </c>
      <c r="B229" s="233">
        <f t="shared" ref="B229:AG229" si="914">DAYS360($B$3,B86)</f>
        <v>48</v>
      </c>
      <c r="C229" s="233">
        <f t="shared" si="914"/>
        <v>226</v>
      </c>
      <c r="D229" s="233">
        <f t="shared" si="914"/>
        <v>407</v>
      </c>
      <c r="E229" s="233">
        <f t="shared" si="914"/>
        <v>585</v>
      </c>
      <c r="F229" s="233">
        <f t="shared" si="914"/>
        <v>767</v>
      </c>
      <c r="G229" s="233">
        <f t="shared" si="914"/>
        <v>945</v>
      </c>
      <c r="H229" s="233">
        <f t="shared" si="914"/>
        <v>1127</v>
      </c>
      <c r="I229" s="233">
        <f t="shared" si="914"/>
        <v>1305</v>
      </c>
      <c r="J229" s="233">
        <f t="shared" si="914"/>
        <v>1487</v>
      </c>
      <c r="K229" s="233">
        <f t="shared" si="914"/>
        <v>1665</v>
      </c>
      <c r="L229" s="233">
        <f t="shared" si="914"/>
        <v>1846</v>
      </c>
      <c r="M229" s="233">
        <f t="shared" si="914"/>
        <v>2024</v>
      </c>
      <c r="N229" s="233">
        <f t="shared" si="914"/>
        <v>2206</v>
      </c>
      <c r="O229" s="233">
        <f t="shared" si="914"/>
        <v>2384</v>
      </c>
      <c r="P229" s="233">
        <f t="shared" si="914"/>
        <v>2566</v>
      </c>
      <c r="Q229" s="233">
        <f t="shared" si="914"/>
        <v>2744</v>
      </c>
      <c r="R229" s="233">
        <f t="shared" si="914"/>
        <v>2926</v>
      </c>
      <c r="S229" s="233">
        <f t="shared" si="914"/>
        <v>3104</v>
      </c>
      <c r="T229" s="233">
        <f t="shared" si="914"/>
        <v>3285</v>
      </c>
      <c r="U229" s="233">
        <f t="shared" si="914"/>
        <v>3463</v>
      </c>
      <c r="V229" s="233">
        <f t="shared" si="914"/>
        <v>3645</v>
      </c>
      <c r="W229" s="233">
        <f t="shared" si="914"/>
        <v>3823</v>
      </c>
      <c r="X229" s="233">
        <f t="shared" si="914"/>
        <v>4005</v>
      </c>
      <c r="Y229" s="233">
        <f t="shared" si="914"/>
        <v>4183</v>
      </c>
      <c r="Z229" s="233">
        <f t="shared" si="914"/>
        <v>4365</v>
      </c>
      <c r="AA229" s="233">
        <f t="shared" si="914"/>
        <v>4543</v>
      </c>
      <c r="AB229" s="233">
        <f t="shared" si="914"/>
        <v>4724</v>
      </c>
      <c r="AC229" s="233">
        <f t="shared" si="914"/>
        <v>4902</v>
      </c>
      <c r="AD229" s="233">
        <f t="shared" si="914"/>
        <v>5084</v>
      </c>
      <c r="AE229" s="233">
        <f t="shared" si="914"/>
        <v>5262</v>
      </c>
      <c r="AF229" s="233">
        <f t="shared" si="914"/>
        <v>5444</v>
      </c>
      <c r="AG229" s="233">
        <f t="shared" si="914"/>
        <v>5622</v>
      </c>
      <c r="AH229" s="233">
        <f t="shared" ref="AH229:BM229" si="915">DAYS360($B$3,AH86)</f>
        <v>5804</v>
      </c>
      <c r="AI229" s="233">
        <f t="shared" si="915"/>
        <v>5982</v>
      </c>
      <c r="AJ229" s="233">
        <f t="shared" si="915"/>
        <v>6163</v>
      </c>
      <c r="AK229" s="233">
        <f t="shared" si="915"/>
        <v>6341</v>
      </c>
      <c r="AL229" s="233">
        <f t="shared" si="915"/>
        <v>6523</v>
      </c>
      <c r="AM229" s="233">
        <f t="shared" si="915"/>
        <v>6701</v>
      </c>
      <c r="AN229" s="233">
        <f t="shared" si="915"/>
        <v>6883</v>
      </c>
      <c r="AO229" s="233">
        <f t="shared" si="915"/>
        <v>7061</v>
      </c>
      <c r="AP229" s="233">
        <f t="shared" si="915"/>
        <v>7243</v>
      </c>
      <c r="AQ229" s="233">
        <f t="shared" si="915"/>
        <v>7421</v>
      </c>
      <c r="AR229" s="233">
        <f t="shared" si="915"/>
        <v>7602</v>
      </c>
      <c r="AS229" s="233">
        <f t="shared" si="915"/>
        <v>7780</v>
      </c>
      <c r="AT229" s="233">
        <f t="shared" si="915"/>
        <v>7962</v>
      </c>
      <c r="AU229" s="233">
        <f t="shared" si="915"/>
        <v>8140</v>
      </c>
      <c r="AV229" s="233">
        <f t="shared" si="915"/>
        <v>8322</v>
      </c>
      <c r="AW229" s="233">
        <f t="shared" si="915"/>
        <v>8500</v>
      </c>
      <c r="AX229" s="233">
        <f t="shared" si="915"/>
        <v>8682</v>
      </c>
      <c r="AY229" s="233">
        <f t="shared" si="915"/>
        <v>8860</v>
      </c>
      <c r="AZ229" s="233">
        <f t="shared" si="915"/>
        <v>9041</v>
      </c>
      <c r="BA229" s="233">
        <f t="shared" si="915"/>
        <v>9219</v>
      </c>
      <c r="BB229" s="233">
        <f t="shared" si="915"/>
        <v>9401</v>
      </c>
      <c r="BC229" s="233">
        <f t="shared" si="915"/>
        <v>9579</v>
      </c>
      <c r="BD229" s="233">
        <f t="shared" si="915"/>
        <v>9761</v>
      </c>
      <c r="BE229" s="233">
        <f t="shared" si="915"/>
        <v>9939</v>
      </c>
      <c r="BF229" s="233">
        <f t="shared" si="915"/>
        <v>10121</v>
      </c>
      <c r="BG229" s="233">
        <f t="shared" si="915"/>
        <v>10299</v>
      </c>
      <c r="BH229" s="233">
        <f t="shared" si="915"/>
        <v>10480</v>
      </c>
      <c r="BI229" s="233">
        <f t="shared" si="915"/>
        <v>10658</v>
      </c>
      <c r="BJ229" s="233">
        <f t="shared" si="915"/>
        <v>10840</v>
      </c>
      <c r="BK229" s="233">
        <f t="shared" si="915"/>
        <v>11018</v>
      </c>
      <c r="BL229" s="233">
        <f t="shared" si="915"/>
        <v>11200</v>
      </c>
      <c r="BM229" s="233">
        <f t="shared" si="915"/>
        <v>11378</v>
      </c>
      <c r="BN229" s="233">
        <f t="shared" ref="BN229:CB229" si="916">DAYS360($B$3,BN86)</f>
        <v>11560</v>
      </c>
      <c r="BO229" s="233">
        <f t="shared" si="916"/>
        <v>11738</v>
      </c>
      <c r="BP229" s="233">
        <f t="shared" si="916"/>
        <v>11919</v>
      </c>
      <c r="BQ229" s="233">
        <f t="shared" si="916"/>
        <v>12097</v>
      </c>
      <c r="BR229" s="233">
        <f t="shared" si="916"/>
        <v>12279</v>
      </c>
      <c r="BS229" s="233">
        <f t="shared" si="916"/>
        <v>12457</v>
      </c>
      <c r="BT229" s="233">
        <f t="shared" si="916"/>
        <v>12639</v>
      </c>
      <c r="BU229" s="233">
        <f t="shared" si="916"/>
        <v>12817</v>
      </c>
      <c r="BV229" s="233">
        <f t="shared" si="916"/>
        <v>12999</v>
      </c>
      <c r="BW229" s="233">
        <f t="shared" si="916"/>
        <v>13177</v>
      </c>
      <c r="BX229" s="233">
        <f t="shared" si="916"/>
        <v>13358</v>
      </c>
      <c r="BY229" s="233">
        <f t="shared" si="916"/>
        <v>13536</v>
      </c>
      <c r="BZ229" s="233">
        <f t="shared" si="916"/>
        <v>13718</v>
      </c>
      <c r="CA229" s="233">
        <f t="shared" si="916"/>
        <v>13896</v>
      </c>
      <c r="CB229" s="233">
        <f t="shared" si="916"/>
        <v>14078</v>
      </c>
      <c r="CC229" s="19"/>
      <c r="CD229" s="19"/>
      <c r="CE229" s="19"/>
    </row>
    <row r="230" spans="1:83">
      <c r="A230" s="16" t="s">
        <v>41</v>
      </c>
      <c r="B230" s="233">
        <f>B229/360</f>
        <v>0.13333333333333333</v>
      </c>
      <c r="C230" s="233">
        <f t="shared" ref="C230:BN230" si="917">C229/360</f>
        <v>0.62777777777777777</v>
      </c>
      <c r="D230" s="233">
        <f t="shared" si="917"/>
        <v>1.1305555555555555</v>
      </c>
      <c r="E230" s="233">
        <f t="shared" si="917"/>
        <v>1.625</v>
      </c>
      <c r="F230" s="233">
        <f t="shared" si="917"/>
        <v>2.1305555555555555</v>
      </c>
      <c r="G230" s="233">
        <f t="shared" si="917"/>
        <v>2.625</v>
      </c>
      <c r="H230" s="233">
        <f t="shared" si="917"/>
        <v>3.1305555555555555</v>
      </c>
      <c r="I230" s="233">
        <f t="shared" si="917"/>
        <v>3.625</v>
      </c>
      <c r="J230" s="233">
        <f t="shared" si="917"/>
        <v>4.1305555555555555</v>
      </c>
      <c r="K230" s="233">
        <f t="shared" si="917"/>
        <v>4.625</v>
      </c>
      <c r="L230" s="233">
        <f t="shared" si="917"/>
        <v>5.1277777777777782</v>
      </c>
      <c r="M230" s="233">
        <f t="shared" si="917"/>
        <v>5.6222222222222218</v>
      </c>
      <c r="N230" s="233">
        <f t="shared" si="917"/>
        <v>6.1277777777777782</v>
      </c>
      <c r="O230" s="233">
        <f t="shared" si="917"/>
        <v>6.6222222222222218</v>
      </c>
      <c r="P230" s="233">
        <f t="shared" si="917"/>
        <v>7.1277777777777782</v>
      </c>
      <c r="Q230" s="233">
        <f t="shared" si="917"/>
        <v>7.6222222222222218</v>
      </c>
      <c r="R230" s="233">
        <f t="shared" si="917"/>
        <v>8.1277777777777782</v>
      </c>
      <c r="S230" s="233">
        <f t="shared" si="917"/>
        <v>8.6222222222222218</v>
      </c>
      <c r="T230" s="233">
        <f t="shared" si="917"/>
        <v>9.125</v>
      </c>
      <c r="U230" s="233">
        <f t="shared" si="917"/>
        <v>9.6194444444444436</v>
      </c>
      <c r="V230" s="233">
        <f t="shared" si="917"/>
        <v>10.125</v>
      </c>
      <c r="W230" s="233">
        <f t="shared" si="917"/>
        <v>10.619444444444444</v>
      </c>
      <c r="X230" s="233">
        <f t="shared" si="917"/>
        <v>11.125</v>
      </c>
      <c r="Y230" s="233">
        <f t="shared" si="917"/>
        <v>11.619444444444444</v>
      </c>
      <c r="Z230" s="233">
        <f t="shared" si="917"/>
        <v>12.125</v>
      </c>
      <c r="AA230" s="233">
        <f t="shared" si="917"/>
        <v>12.619444444444444</v>
      </c>
      <c r="AB230" s="233">
        <f t="shared" si="917"/>
        <v>13.122222222222222</v>
      </c>
      <c r="AC230" s="233">
        <f t="shared" si="917"/>
        <v>13.616666666666667</v>
      </c>
      <c r="AD230" s="233">
        <f t="shared" si="917"/>
        <v>14.122222222222222</v>
      </c>
      <c r="AE230" s="233">
        <f t="shared" si="917"/>
        <v>14.616666666666667</v>
      </c>
      <c r="AF230" s="233">
        <f t="shared" si="917"/>
        <v>15.122222222222222</v>
      </c>
      <c r="AG230" s="233">
        <f t="shared" si="917"/>
        <v>15.616666666666667</v>
      </c>
      <c r="AH230" s="233">
        <f t="shared" si="917"/>
        <v>16.122222222222224</v>
      </c>
      <c r="AI230" s="233">
        <f t="shared" si="917"/>
        <v>16.616666666666667</v>
      </c>
      <c r="AJ230" s="233">
        <f t="shared" si="917"/>
        <v>17.119444444444444</v>
      </c>
      <c r="AK230" s="233">
        <f t="shared" si="917"/>
        <v>17.613888888888887</v>
      </c>
      <c r="AL230" s="233">
        <f t="shared" si="917"/>
        <v>18.119444444444444</v>
      </c>
      <c r="AM230" s="233">
        <f t="shared" si="917"/>
        <v>18.613888888888887</v>
      </c>
      <c r="AN230" s="233">
        <f t="shared" si="917"/>
        <v>19.119444444444444</v>
      </c>
      <c r="AO230" s="233">
        <f t="shared" si="917"/>
        <v>19.613888888888887</v>
      </c>
      <c r="AP230" s="233">
        <f t="shared" si="917"/>
        <v>20.119444444444444</v>
      </c>
      <c r="AQ230" s="233">
        <f t="shared" si="917"/>
        <v>20.613888888888887</v>
      </c>
      <c r="AR230" s="233">
        <f t="shared" si="917"/>
        <v>21.116666666666667</v>
      </c>
      <c r="AS230" s="233">
        <f t="shared" si="917"/>
        <v>21.611111111111111</v>
      </c>
      <c r="AT230" s="233">
        <f t="shared" si="917"/>
        <v>22.116666666666667</v>
      </c>
      <c r="AU230" s="233">
        <f t="shared" si="917"/>
        <v>22.611111111111111</v>
      </c>
      <c r="AV230" s="233">
        <f t="shared" si="917"/>
        <v>23.116666666666667</v>
      </c>
      <c r="AW230" s="233">
        <f t="shared" si="917"/>
        <v>23.611111111111111</v>
      </c>
      <c r="AX230" s="233">
        <f t="shared" si="917"/>
        <v>24.116666666666667</v>
      </c>
      <c r="AY230" s="233">
        <f t="shared" si="917"/>
        <v>24.611111111111111</v>
      </c>
      <c r="AZ230" s="233">
        <f t="shared" si="917"/>
        <v>25.113888888888887</v>
      </c>
      <c r="BA230" s="233">
        <f t="shared" si="917"/>
        <v>25.608333333333334</v>
      </c>
      <c r="BB230" s="233">
        <f t="shared" si="917"/>
        <v>26.113888888888887</v>
      </c>
      <c r="BC230" s="233">
        <f t="shared" si="917"/>
        <v>26.608333333333334</v>
      </c>
      <c r="BD230" s="233">
        <f t="shared" si="917"/>
        <v>27.113888888888887</v>
      </c>
      <c r="BE230" s="233">
        <f t="shared" si="917"/>
        <v>27.608333333333334</v>
      </c>
      <c r="BF230" s="233">
        <f t="shared" si="917"/>
        <v>28.113888888888887</v>
      </c>
      <c r="BG230" s="233">
        <f t="shared" si="917"/>
        <v>28.608333333333334</v>
      </c>
      <c r="BH230" s="233">
        <f t="shared" si="917"/>
        <v>29.111111111111111</v>
      </c>
      <c r="BI230" s="233">
        <f t="shared" si="917"/>
        <v>29.605555555555554</v>
      </c>
      <c r="BJ230" s="233">
        <f t="shared" si="917"/>
        <v>30.111111111111111</v>
      </c>
      <c r="BK230" s="233">
        <f t="shared" si="917"/>
        <v>30.605555555555554</v>
      </c>
      <c r="BL230" s="233">
        <f t="shared" si="917"/>
        <v>31.111111111111111</v>
      </c>
      <c r="BM230" s="233">
        <f t="shared" si="917"/>
        <v>31.605555555555554</v>
      </c>
      <c r="BN230" s="233">
        <f t="shared" si="917"/>
        <v>32.111111111111114</v>
      </c>
      <c r="BO230" s="233">
        <f t="shared" ref="BO230:CB230" si="918">BO229/360</f>
        <v>32.605555555555554</v>
      </c>
      <c r="BP230" s="233">
        <f t="shared" si="918"/>
        <v>33.108333333333334</v>
      </c>
      <c r="BQ230" s="233">
        <f t="shared" si="918"/>
        <v>33.602777777777774</v>
      </c>
      <c r="BR230" s="233">
        <f t="shared" si="918"/>
        <v>34.108333333333334</v>
      </c>
      <c r="BS230" s="233">
        <f t="shared" si="918"/>
        <v>34.602777777777774</v>
      </c>
      <c r="BT230" s="233">
        <f t="shared" si="918"/>
        <v>35.108333333333334</v>
      </c>
      <c r="BU230" s="233">
        <f t="shared" si="918"/>
        <v>35.602777777777774</v>
      </c>
      <c r="BV230" s="233">
        <f t="shared" si="918"/>
        <v>36.108333333333334</v>
      </c>
      <c r="BW230" s="233">
        <f t="shared" si="918"/>
        <v>36.602777777777774</v>
      </c>
      <c r="BX230" s="233">
        <f t="shared" si="918"/>
        <v>37.105555555555554</v>
      </c>
      <c r="BY230" s="233">
        <f t="shared" si="918"/>
        <v>37.6</v>
      </c>
      <c r="BZ230" s="233">
        <f t="shared" si="918"/>
        <v>38.105555555555554</v>
      </c>
      <c r="CA230" s="233">
        <f t="shared" si="918"/>
        <v>38.6</v>
      </c>
      <c r="CB230" s="233">
        <f t="shared" si="918"/>
        <v>39.105555555555554</v>
      </c>
      <c r="CC230" s="19"/>
      <c r="CD230" s="19"/>
      <c r="CE230" s="19"/>
    </row>
    <row r="231" spans="1:83">
      <c r="A231" s="16" t="s">
        <v>43</v>
      </c>
      <c r="B231" s="233">
        <f>IF(B229&lt;0,0,$B$5+$B$6*((1-EXP(-B230/$B$9))/(B230/$B$9))+$B$7*((1-EXP(-B230/$B$9))/(B230/$B$9)-EXP(-B230/$B$9))+$B$8*((1-EXP(-B230/$B$10))/(B230/$B$10)-EXP(-B230/$B$10)))</f>
        <v>1.9412434405821279E-2</v>
      </c>
      <c r="C231" s="233">
        <f t="shared" ref="C231:BN231" si="919">IF(C229&lt;0,0,$B$5+$B$6*((1-EXP(-C230/$B$9))/(C230/$B$9))+$B$7*((1-EXP(-C230/$B$9))/(C230/$B$9)-EXP(-C230/$B$9))+$B$8*((1-EXP(-C230/$B$10))/(C230/$B$10)-EXP(-C230/$B$10)))</f>
        <v>1.8468055349339131E-2</v>
      </c>
      <c r="D231" s="233">
        <f t="shared" si="919"/>
        <v>1.7624975706219823E-2</v>
      </c>
      <c r="E231" s="233">
        <f t="shared" si="919"/>
        <v>1.6903029516626943E-2</v>
      </c>
      <c r="F231" s="233">
        <f t="shared" si="919"/>
        <v>1.6266855462811071E-2</v>
      </c>
      <c r="G231" s="233">
        <f t="shared" si="919"/>
        <v>1.5737218128879446E-2</v>
      </c>
      <c r="H231" s="233">
        <f t="shared" si="919"/>
        <v>1.5283348372236487E-2</v>
      </c>
      <c r="I231" s="233">
        <f t="shared" si="919"/>
        <v>1.4918847520380897E-2</v>
      </c>
      <c r="J231" s="233">
        <f t="shared" si="919"/>
        <v>1.462119498745957E-2</v>
      </c>
      <c r="K231" s="233">
        <f t="shared" si="919"/>
        <v>1.4397882931313902E-2</v>
      </c>
      <c r="L231" s="233">
        <f t="shared" si="919"/>
        <v>1.4234208912601631E-2</v>
      </c>
      <c r="M231" s="233">
        <f t="shared" si="919"/>
        <v>1.4130703564150408E-2</v>
      </c>
      <c r="N231" s="233">
        <f t="shared" si="919"/>
        <v>1.4079043718814827E-2</v>
      </c>
      <c r="O231" s="233">
        <f t="shared" si="919"/>
        <v>1.4077181850825099E-2</v>
      </c>
      <c r="P231" s="233">
        <f t="shared" si="919"/>
        <v>1.4120869154201965E-2</v>
      </c>
      <c r="Q231" s="233">
        <f t="shared" si="919"/>
        <v>1.4204400852734916E-2</v>
      </c>
      <c r="R231" s="233">
        <f t="shared" si="919"/>
        <v>1.4327884403134497E-2</v>
      </c>
      <c r="S231" s="233">
        <f t="shared" si="919"/>
        <v>1.4482581752825976E-2</v>
      </c>
      <c r="T231" s="233">
        <f t="shared" si="919"/>
        <v>1.467113543798905E-2</v>
      </c>
      <c r="U231" s="233">
        <f t="shared" si="919"/>
        <v>1.4884418647518008E-2</v>
      </c>
      <c r="V231" s="233">
        <f t="shared" si="919"/>
        <v>1.5128280976351438E-2</v>
      </c>
      <c r="W231" s="233">
        <f t="shared" si="919"/>
        <v>1.5389486268826941E-2</v>
      </c>
      <c r="X231" s="233">
        <f t="shared" si="919"/>
        <v>1.5677357015624199E-2</v>
      </c>
      <c r="Y231" s="233">
        <f t="shared" si="919"/>
        <v>1.5977053445159248E-2</v>
      </c>
      <c r="Z231" s="233">
        <f t="shared" si="919"/>
        <v>1.6299948605308395E-2</v>
      </c>
      <c r="AA231" s="233">
        <f t="shared" si="919"/>
        <v>1.6629955959928652E-2</v>
      </c>
      <c r="AB231" s="233">
        <f t="shared" si="919"/>
        <v>1.6978138603878756E-2</v>
      </c>
      <c r="AC231" s="233">
        <f t="shared" si="919"/>
        <v>1.7331327271307276E-2</v>
      </c>
      <c r="AD231" s="233">
        <f t="shared" si="919"/>
        <v>1.7701942705185436E-2</v>
      </c>
      <c r="AE231" s="233">
        <f t="shared" si="919"/>
        <v>1.8072287485757593E-2</v>
      </c>
      <c r="AF231" s="233">
        <f t="shared" si="919"/>
        <v>1.8457664472098831E-2</v>
      </c>
      <c r="AG231" s="233">
        <f t="shared" si="919"/>
        <v>1.8839928941948345E-2</v>
      </c>
      <c r="AH231" s="233">
        <f t="shared" si="919"/>
        <v>1.9235114329831271E-2</v>
      </c>
      <c r="AI231" s="233">
        <f t="shared" si="919"/>
        <v>1.9624822253207927E-2</v>
      </c>
      <c r="AJ231" s="233">
        <f t="shared" si="919"/>
        <v>2.0023385415311609E-2</v>
      </c>
      <c r="AK231" s="233">
        <f t="shared" si="919"/>
        <v>2.0416724058005611E-2</v>
      </c>
      <c r="AL231" s="233">
        <f t="shared" si="919"/>
        <v>2.0819494564810012E-2</v>
      </c>
      <c r="AM231" s="233">
        <f t="shared" si="919"/>
        <v>2.1213257790408072E-2</v>
      </c>
      <c r="AN231" s="233">
        <f t="shared" si="919"/>
        <v>2.1615017792571259E-2</v>
      </c>
      <c r="AO231" s="233">
        <f t="shared" si="919"/>
        <v>2.2006499896713327E-2</v>
      </c>
      <c r="AP231" s="233">
        <f t="shared" si="919"/>
        <v>2.2404721311338041E-2</v>
      </c>
      <c r="AQ231" s="233">
        <f t="shared" si="919"/>
        <v>2.2791667889752246E-2</v>
      </c>
      <c r="AR231" s="233">
        <f t="shared" si="919"/>
        <v>2.3182106229895444E-2</v>
      </c>
      <c r="AS231" s="233">
        <f t="shared" si="919"/>
        <v>2.3562677149846653E-2</v>
      </c>
      <c r="AT231" s="233">
        <f t="shared" si="919"/>
        <v>2.3947930352548205E-2</v>
      </c>
      <c r="AU231" s="233">
        <f t="shared" si="919"/>
        <v>2.4320592886374684E-2</v>
      </c>
      <c r="AV231" s="233">
        <f t="shared" si="919"/>
        <v>2.4697101648365874E-2</v>
      </c>
      <c r="AW231" s="233">
        <f t="shared" si="919"/>
        <v>2.5060637339754194E-2</v>
      </c>
      <c r="AX231" s="233">
        <f t="shared" si="919"/>
        <v>2.5427293093255546E-2</v>
      </c>
      <c r="AY231" s="233">
        <f t="shared" si="919"/>
        <v>2.57807426951258E-2</v>
      </c>
      <c r="AZ231" s="233">
        <f t="shared" si="919"/>
        <v>2.6134743048200404E-2</v>
      </c>
      <c r="BA231" s="233">
        <f t="shared" si="919"/>
        <v>2.6477402291398847E-2</v>
      </c>
      <c r="BB231" s="233">
        <f t="shared" si="919"/>
        <v>2.6822010959903525E-2</v>
      </c>
      <c r="BC231" s="233">
        <f t="shared" si="919"/>
        <v>2.7153308114316849E-2</v>
      </c>
      <c r="BD231" s="233">
        <f t="shared" si="919"/>
        <v>2.7486087214735569E-2</v>
      </c>
      <c r="BE231" s="233">
        <f t="shared" si="919"/>
        <v>2.7805645441852586E-2</v>
      </c>
      <c r="BF231" s="233">
        <f t="shared" si="919"/>
        <v>2.81262849566392E-2</v>
      </c>
      <c r="BG231" s="233">
        <f t="shared" si="919"/>
        <v>2.8433869055865715E-2</v>
      </c>
      <c r="BH231" s="233">
        <f t="shared" si="919"/>
        <v>2.8740515591936217E-2</v>
      </c>
      <c r="BI231" s="233">
        <f t="shared" si="919"/>
        <v>2.9036044421302698E-2</v>
      </c>
      <c r="BJ231" s="233">
        <f t="shared" si="919"/>
        <v>2.933202324980512E-2</v>
      </c>
      <c r="BK231" s="233">
        <f t="shared" si="919"/>
        <v>2.9615450073755489E-2</v>
      </c>
      <c r="BL231" s="233">
        <f t="shared" si="919"/>
        <v>2.9899081932773991E-2</v>
      </c>
      <c r="BM231" s="233">
        <f t="shared" si="919"/>
        <v>3.0170478966180178E-2</v>
      </c>
      <c r="BN231" s="233">
        <f t="shared" si="919"/>
        <v>3.0441875780086933E-2</v>
      </c>
      <c r="BO231" s="233">
        <f t="shared" ref="BO231:CB231" si="920">IF(BO229&lt;0,0,$B$5+$B$6*((1-EXP(-BO230/$B$9))/(BO230/$B$9))+$B$7*((1-EXP(-BO230/$B$9))/(BO230/$B$9)-EXP(-BO230/$B$9))+$B$8*((1-EXP(-BO230/$B$10))/(BO230/$B$10)-EXP(-BO230/$B$10)))</f>
        <v>3.0701386409223902E-2</v>
      </c>
      <c r="BP231" s="233">
        <f t="shared" si="920"/>
        <v>3.0959317801304675E-2</v>
      </c>
      <c r="BQ231" s="233">
        <f t="shared" si="920"/>
        <v>3.1207176218649213E-2</v>
      </c>
      <c r="BR231" s="233">
        <f t="shared" si="920"/>
        <v>3.1454723929181236E-2</v>
      </c>
      <c r="BS231" s="233">
        <f t="shared" si="920"/>
        <v>3.1691147103035805E-2</v>
      </c>
      <c r="BT231" s="233">
        <f t="shared" si="920"/>
        <v>3.1927145542119839E-2</v>
      </c>
      <c r="BU231" s="233">
        <f t="shared" si="920"/>
        <v>3.215242155087665E-2</v>
      </c>
      <c r="BV231" s="233">
        <f t="shared" si="920"/>
        <v>3.2377181650281792E-2</v>
      </c>
      <c r="BW231" s="233">
        <f t="shared" si="920"/>
        <v>3.2591628712853871E-2</v>
      </c>
      <c r="BX231" s="233">
        <f t="shared" si="920"/>
        <v>3.2804328180901926E-2</v>
      </c>
      <c r="BY231" s="233">
        <f t="shared" si="920"/>
        <v>3.300831620738777E-2</v>
      </c>
      <c r="BZ231" s="233">
        <f t="shared" si="920"/>
        <v>3.3211662697628264E-2</v>
      </c>
      <c r="CA231" s="233">
        <f t="shared" si="920"/>
        <v>3.3405520239681061E-2</v>
      </c>
      <c r="CB231" s="233">
        <f t="shared" si="920"/>
        <v>3.3598696502338599E-2</v>
      </c>
      <c r="CC231" s="19"/>
      <c r="CD231" s="19"/>
      <c r="CE231" s="19"/>
    </row>
    <row r="232" spans="1:83">
      <c r="A232" s="16" t="s">
        <v>44</v>
      </c>
      <c r="B232" s="233">
        <f>EXP(-B231*B230)</f>
        <v>0.99741502223646383</v>
      </c>
      <c r="C232" s="233">
        <f t="shared" ref="C232:BN232" si="921">EXP(-C231*C230)</f>
        <v>0.98847311477131894</v>
      </c>
      <c r="D232" s="233">
        <f t="shared" si="921"/>
        <v>0.98027119677140417</v>
      </c>
      <c r="E232" s="233">
        <f t="shared" si="921"/>
        <v>0.97290637644275002</v>
      </c>
      <c r="F232" s="233">
        <f t="shared" si="921"/>
        <v>0.9659362514087344</v>
      </c>
      <c r="G232" s="233">
        <f t="shared" si="921"/>
        <v>0.95953143944032659</v>
      </c>
      <c r="H232" s="233">
        <f t="shared" si="921"/>
        <v>0.95328118045023735</v>
      </c>
      <c r="I232" s="233">
        <f t="shared" si="921"/>
        <v>0.9473555359907887</v>
      </c>
      <c r="J232" s="233">
        <f t="shared" si="921"/>
        <v>0.94139387322943613</v>
      </c>
      <c r="K232" s="233">
        <f t="shared" si="921"/>
        <v>0.93557851486145038</v>
      </c>
      <c r="L232" s="233">
        <f t="shared" si="921"/>
        <v>0.9296102560900118</v>
      </c>
      <c r="M232" s="233">
        <f t="shared" si="921"/>
        <v>0.92362793554290579</v>
      </c>
      <c r="N232" s="233">
        <f t="shared" si="921"/>
        <v>0.91734353171905492</v>
      </c>
      <c r="O232" s="233">
        <f t="shared" si="921"/>
        <v>0.91099103147086702</v>
      </c>
      <c r="P232" s="233">
        <f t="shared" si="921"/>
        <v>0.9042490874220479</v>
      </c>
      <c r="Q232" s="233">
        <f t="shared" si="921"/>
        <v>0.89738607749188837</v>
      </c>
      <c r="R232" s="233">
        <f t="shared" si="921"/>
        <v>0.89007116350834148</v>
      </c>
      <c r="S232" s="233">
        <f t="shared" si="921"/>
        <v>0.8826098356806471</v>
      </c>
      <c r="T232" s="233">
        <f t="shared" si="921"/>
        <v>0.87470017291480473</v>
      </c>
      <c r="U232" s="233">
        <f t="shared" si="921"/>
        <v>0.86659820736061244</v>
      </c>
      <c r="V232" s="233">
        <f t="shared" si="921"/>
        <v>0.85798055331457712</v>
      </c>
      <c r="W232" s="233">
        <f t="shared" si="921"/>
        <v>0.84922781574057593</v>
      </c>
      <c r="X232" s="233">
        <f t="shared" si="921"/>
        <v>0.83995194526521566</v>
      </c>
      <c r="Y232" s="233">
        <f t="shared" si="921"/>
        <v>0.83056882226453588</v>
      </c>
      <c r="Z232" s="233">
        <f t="shared" si="921"/>
        <v>0.8206678025246803</v>
      </c>
      <c r="AA232" s="233">
        <f t="shared" si="921"/>
        <v>0.81069708281366015</v>
      </c>
      <c r="AB232" s="233">
        <f t="shared" si="921"/>
        <v>0.80028216465639923</v>
      </c>
      <c r="AC232" s="233">
        <f t="shared" si="921"/>
        <v>0.78978469681387931</v>
      </c>
      <c r="AD232" s="233">
        <f t="shared" si="921"/>
        <v>0.7788079724890089</v>
      </c>
      <c r="AE232" s="233">
        <f t="shared" si="921"/>
        <v>0.7678532828168122</v>
      </c>
      <c r="AF232" s="233">
        <f t="shared" si="921"/>
        <v>0.75644844015707657</v>
      </c>
      <c r="AG232" s="233">
        <f t="shared" si="921"/>
        <v>0.74511486572211416</v>
      </c>
      <c r="AH232" s="233">
        <f t="shared" si="921"/>
        <v>0.73336423709734277</v>
      </c>
      <c r="AI232" s="233">
        <f t="shared" si="921"/>
        <v>0.72173363859288253</v>
      </c>
      <c r="AJ232" s="233">
        <f t="shared" si="921"/>
        <v>0.70978779478348131</v>
      </c>
      <c r="AK232" s="233">
        <f t="shared" si="921"/>
        <v>0.69794295282783514</v>
      </c>
      <c r="AL232" s="233">
        <f t="shared" si="921"/>
        <v>0.68575306807700676</v>
      </c>
      <c r="AM232" s="233">
        <f t="shared" si="921"/>
        <v>0.67377353670642803</v>
      </c>
      <c r="AN232" s="233">
        <f t="shared" si="921"/>
        <v>0.66148555536348708</v>
      </c>
      <c r="AO232" s="233">
        <f t="shared" si="921"/>
        <v>0.64944765180175512</v>
      </c>
      <c r="AP232" s="233">
        <f t="shared" si="921"/>
        <v>0.63713701922495991</v>
      </c>
      <c r="AQ232" s="233">
        <f t="shared" si="921"/>
        <v>0.62511170984078523</v>
      </c>
      <c r="AR232" s="233">
        <f t="shared" si="921"/>
        <v>0.61291512570210727</v>
      </c>
      <c r="AS232" s="233">
        <f t="shared" si="921"/>
        <v>0.60096677192088976</v>
      </c>
      <c r="AT232" s="233">
        <f t="shared" si="921"/>
        <v>0.58881196371534983</v>
      </c>
      <c r="AU232" s="233">
        <f t="shared" si="921"/>
        <v>0.57699849081930754</v>
      </c>
      <c r="AV232" s="233">
        <f t="shared" si="921"/>
        <v>0.5650084080522273</v>
      </c>
      <c r="AW232" s="233">
        <f t="shared" si="921"/>
        <v>0.55338047577544303</v>
      </c>
      <c r="AX232" s="233">
        <f t="shared" si="921"/>
        <v>0.54160325265268827</v>
      </c>
      <c r="AY232" s="233">
        <f t="shared" si="921"/>
        <v>0.53020438059969011</v>
      </c>
      <c r="AZ232" s="233">
        <f t="shared" si="921"/>
        <v>0.51874386549852358</v>
      </c>
      <c r="BA232" s="233">
        <f t="shared" si="921"/>
        <v>0.50760984726293379</v>
      </c>
      <c r="BB232" s="233">
        <f t="shared" si="921"/>
        <v>0.49637330019017217</v>
      </c>
      <c r="BC232" s="233">
        <f t="shared" si="921"/>
        <v>0.48553482026104355</v>
      </c>
      <c r="BD232" s="233">
        <f t="shared" si="921"/>
        <v>0.4746133935195499</v>
      </c>
      <c r="BE232" s="233">
        <f t="shared" si="921"/>
        <v>0.46409429384568901</v>
      </c>
      <c r="BF232" s="233">
        <f t="shared" si="921"/>
        <v>0.45350941443970783</v>
      </c>
      <c r="BG232" s="233">
        <f t="shared" si="921"/>
        <v>0.4433278992206684</v>
      </c>
      <c r="BH232" s="233">
        <f t="shared" si="921"/>
        <v>0.43315123355167062</v>
      </c>
      <c r="BI232" s="233">
        <f t="shared" si="921"/>
        <v>0.42331943212852047</v>
      </c>
      <c r="BJ232" s="233">
        <f t="shared" si="921"/>
        <v>0.41344953678137492</v>
      </c>
      <c r="BK232" s="233">
        <f t="shared" si="921"/>
        <v>0.40397701244231576</v>
      </c>
      <c r="BL232" s="233">
        <f t="shared" si="921"/>
        <v>0.39447730844670625</v>
      </c>
      <c r="BM232" s="233">
        <f t="shared" si="921"/>
        <v>0.38536869673183693</v>
      </c>
      <c r="BN232" s="233">
        <f t="shared" si="921"/>
        <v>0.37624210158481147</v>
      </c>
      <c r="BO232" s="233">
        <f t="shared" ref="BO232:CB232" si="922">EXP(-BO231*BO230)</f>
        <v>0.3674986035506918</v>
      </c>
      <c r="BP232" s="233">
        <f t="shared" si="922"/>
        <v>0.35879237029215916</v>
      </c>
      <c r="BQ232" s="233">
        <f t="shared" si="922"/>
        <v>0.35041125235605602</v>
      </c>
      <c r="BR232" s="233">
        <f t="shared" si="922"/>
        <v>0.34202610696278607</v>
      </c>
      <c r="BS232" s="233">
        <f t="shared" si="922"/>
        <v>0.33400419682862553</v>
      </c>
      <c r="BT232" s="233">
        <f t="shared" si="922"/>
        <v>0.32598338405377825</v>
      </c>
      <c r="BU232" s="233">
        <f t="shared" si="922"/>
        <v>0.3183144591698161</v>
      </c>
      <c r="BV232" s="233">
        <f t="shared" si="922"/>
        <v>0.31065072538418403</v>
      </c>
      <c r="BW232" s="233">
        <f t="shared" si="922"/>
        <v>0.30332691030190312</v>
      </c>
      <c r="BX232" s="233">
        <f t="shared" si="922"/>
        <v>0.29605121328206224</v>
      </c>
      <c r="BY232" s="233">
        <f t="shared" si="922"/>
        <v>0.28906240226151392</v>
      </c>
      <c r="BZ232" s="233">
        <f t="shared" si="922"/>
        <v>0.2820844293439968</v>
      </c>
      <c r="CA232" s="233">
        <f t="shared" si="922"/>
        <v>0.27542137501890734</v>
      </c>
      <c r="CB232" s="233">
        <f t="shared" si="922"/>
        <v>0.2687709651650399</v>
      </c>
      <c r="CC232" s="19"/>
      <c r="CD232" s="19"/>
      <c r="CE232" s="19"/>
    </row>
    <row r="233" spans="1:83">
      <c r="A233" s="17"/>
      <c r="B233" s="17"/>
      <c r="C233" s="17"/>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c r="AN233" s="17"/>
      <c r="AO233" s="17"/>
      <c r="AP233" s="17"/>
      <c r="AQ233" s="17"/>
      <c r="AR233" s="17"/>
      <c r="AS233" s="17"/>
      <c r="AT233" s="17"/>
      <c r="AU233" s="17"/>
      <c r="AV233" s="17"/>
      <c r="AW233" s="17"/>
      <c r="AX233" s="17"/>
      <c r="AY233" s="17"/>
      <c r="AZ233" s="17"/>
      <c r="BA233" s="17"/>
      <c r="BB233" s="17"/>
      <c r="BC233" s="17"/>
      <c r="BD233" s="17"/>
      <c r="BE233" s="17"/>
      <c r="BF233" s="17"/>
      <c r="BG233" s="17"/>
      <c r="BH233" s="17"/>
      <c r="BI233" s="17"/>
      <c r="BJ233" s="17"/>
      <c r="BK233" s="17"/>
      <c r="BL233" s="17"/>
      <c r="BM233" s="17"/>
      <c r="BN233" s="17"/>
      <c r="BO233" s="17"/>
      <c r="BP233" s="17"/>
      <c r="BQ233" s="17"/>
      <c r="BR233" s="17"/>
      <c r="BS233" s="17"/>
      <c r="BT233" s="17"/>
      <c r="BU233" s="17"/>
      <c r="BV233" s="17"/>
      <c r="BW233" s="17"/>
      <c r="BX233" s="17"/>
      <c r="BY233" s="17"/>
      <c r="BZ233" s="17"/>
      <c r="CA233" s="17"/>
      <c r="CB233" s="17"/>
      <c r="CC233" s="19"/>
      <c r="CD233" s="19"/>
      <c r="CE233" s="19"/>
    </row>
    <row r="234" spans="1:83">
      <c r="A234" s="16" t="s">
        <v>40</v>
      </c>
      <c r="B234" s="233">
        <f t="shared" ref="B234:AG234" si="923">DAYS360($B$3,B88)</f>
        <v>50</v>
      </c>
      <c r="C234" s="233">
        <f t="shared" si="923"/>
        <v>228</v>
      </c>
      <c r="D234" s="233">
        <f t="shared" si="923"/>
        <v>409</v>
      </c>
      <c r="E234" s="233">
        <f t="shared" si="923"/>
        <v>587</v>
      </c>
      <c r="F234" s="233">
        <f t="shared" si="923"/>
        <v>769</v>
      </c>
      <c r="G234" s="233">
        <f t="shared" si="923"/>
        <v>947</v>
      </c>
      <c r="H234" s="233">
        <f t="shared" si="923"/>
        <v>1129</v>
      </c>
      <c r="I234" s="233">
        <f t="shared" si="923"/>
        <v>1307</v>
      </c>
      <c r="J234" s="233">
        <f t="shared" si="923"/>
        <v>1489</v>
      </c>
      <c r="K234" s="233">
        <f t="shared" si="923"/>
        <v>1667</v>
      </c>
      <c r="L234" s="233">
        <f t="shared" si="923"/>
        <v>1848</v>
      </c>
      <c r="M234" s="233">
        <f t="shared" si="923"/>
        <v>2026</v>
      </c>
      <c r="N234" s="233">
        <f t="shared" si="923"/>
        <v>2208</v>
      </c>
      <c r="O234" s="233">
        <f t="shared" si="923"/>
        <v>2386</v>
      </c>
      <c r="P234" s="233">
        <f t="shared" si="923"/>
        <v>2568</v>
      </c>
      <c r="Q234" s="233">
        <f t="shared" si="923"/>
        <v>2746</v>
      </c>
      <c r="R234" s="233">
        <f t="shared" si="923"/>
        <v>2928</v>
      </c>
      <c r="S234" s="233">
        <f t="shared" si="923"/>
        <v>3106</v>
      </c>
      <c r="T234" s="233">
        <f t="shared" si="923"/>
        <v>3287</v>
      </c>
      <c r="U234" s="233">
        <f t="shared" si="923"/>
        <v>3465</v>
      </c>
      <c r="V234" s="233">
        <f t="shared" si="923"/>
        <v>3647</v>
      </c>
      <c r="W234" s="233">
        <f t="shared" si="923"/>
        <v>3825</v>
      </c>
      <c r="X234" s="233">
        <f t="shared" si="923"/>
        <v>4007</v>
      </c>
      <c r="Y234" s="233">
        <f t="shared" si="923"/>
        <v>4185</v>
      </c>
      <c r="Z234" s="233">
        <f t="shared" si="923"/>
        <v>4367</v>
      </c>
      <c r="AA234" s="233">
        <f t="shared" si="923"/>
        <v>4545</v>
      </c>
      <c r="AB234" s="233">
        <f t="shared" si="923"/>
        <v>4726</v>
      </c>
      <c r="AC234" s="233">
        <f t="shared" si="923"/>
        <v>4904</v>
      </c>
      <c r="AD234" s="233">
        <f t="shared" si="923"/>
        <v>5086</v>
      </c>
      <c r="AE234" s="233">
        <f t="shared" si="923"/>
        <v>5264</v>
      </c>
      <c r="AF234" s="233">
        <f t="shared" si="923"/>
        <v>5446</v>
      </c>
      <c r="AG234" s="233">
        <f t="shared" si="923"/>
        <v>5624</v>
      </c>
      <c r="AH234" s="233">
        <f t="shared" ref="AH234:BM234" si="924">DAYS360($B$3,AH88)</f>
        <v>5806</v>
      </c>
      <c r="AI234" s="233">
        <f t="shared" si="924"/>
        <v>5984</v>
      </c>
      <c r="AJ234" s="233">
        <f t="shared" si="924"/>
        <v>6165</v>
      </c>
      <c r="AK234" s="233">
        <f t="shared" si="924"/>
        <v>6343</v>
      </c>
      <c r="AL234" s="233">
        <f t="shared" si="924"/>
        <v>6525</v>
      </c>
      <c r="AM234" s="233">
        <f t="shared" si="924"/>
        <v>6703</v>
      </c>
      <c r="AN234" s="233">
        <f t="shared" si="924"/>
        <v>6885</v>
      </c>
      <c r="AO234" s="233">
        <f t="shared" si="924"/>
        <v>7063</v>
      </c>
      <c r="AP234" s="233">
        <f t="shared" si="924"/>
        <v>7245</v>
      </c>
      <c r="AQ234" s="233">
        <f t="shared" si="924"/>
        <v>7423</v>
      </c>
      <c r="AR234" s="233">
        <f t="shared" si="924"/>
        <v>7604</v>
      </c>
      <c r="AS234" s="233">
        <f t="shared" si="924"/>
        <v>7782</v>
      </c>
      <c r="AT234" s="233">
        <f t="shared" si="924"/>
        <v>7964</v>
      </c>
      <c r="AU234" s="233">
        <f t="shared" si="924"/>
        <v>8142</v>
      </c>
      <c r="AV234" s="233">
        <f t="shared" si="924"/>
        <v>8324</v>
      </c>
      <c r="AW234" s="233">
        <f t="shared" si="924"/>
        <v>8502</v>
      </c>
      <c r="AX234" s="233">
        <f t="shared" si="924"/>
        <v>8684</v>
      </c>
      <c r="AY234" s="233">
        <f t="shared" si="924"/>
        <v>8862</v>
      </c>
      <c r="AZ234" s="233">
        <f t="shared" si="924"/>
        <v>9043</v>
      </c>
      <c r="BA234" s="233">
        <f t="shared" si="924"/>
        <v>9221</v>
      </c>
      <c r="BB234" s="233">
        <f t="shared" si="924"/>
        <v>9403</v>
      </c>
      <c r="BC234" s="233">
        <f t="shared" si="924"/>
        <v>9581</v>
      </c>
      <c r="BD234" s="233">
        <f t="shared" si="924"/>
        <v>9763</v>
      </c>
      <c r="BE234" s="233">
        <f t="shared" si="924"/>
        <v>9941</v>
      </c>
      <c r="BF234" s="233">
        <f t="shared" si="924"/>
        <v>10123</v>
      </c>
      <c r="BG234" s="233">
        <f t="shared" si="924"/>
        <v>10301</v>
      </c>
      <c r="BH234" s="233">
        <f t="shared" si="924"/>
        <v>10482</v>
      </c>
      <c r="BI234" s="233">
        <f t="shared" si="924"/>
        <v>10660</v>
      </c>
      <c r="BJ234" s="233">
        <f t="shared" si="924"/>
        <v>10842</v>
      </c>
      <c r="BK234" s="233">
        <f t="shared" si="924"/>
        <v>11020</v>
      </c>
      <c r="BL234" s="233">
        <f t="shared" si="924"/>
        <v>11202</v>
      </c>
      <c r="BM234" s="233">
        <f t="shared" si="924"/>
        <v>11380</v>
      </c>
      <c r="BN234" s="233">
        <f t="shared" ref="BN234:CB234" si="925">DAYS360($B$3,BN88)</f>
        <v>11562</v>
      </c>
      <c r="BO234" s="233">
        <f t="shared" si="925"/>
        <v>11740</v>
      </c>
      <c r="BP234" s="233">
        <f t="shared" si="925"/>
        <v>11921</v>
      </c>
      <c r="BQ234" s="233">
        <f t="shared" si="925"/>
        <v>12099</v>
      </c>
      <c r="BR234" s="233">
        <f t="shared" si="925"/>
        <v>12281</v>
      </c>
      <c r="BS234" s="233">
        <f t="shared" si="925"/>
        <v>12459</v>
      </c>
      <c r="BT234" s="233">
        <f t="shared" si="925"/>
        <v>12641</v>
      </c>
      <c r="BU234" s="233">
        <f t="shared" si="925"/>
        <v>12819</v>
      </c>
      <c r="BV234" s="233">
        <f t="shared" si="925"/>
        <v>13001</v>
      </c>
      <c r="BW234" s="233">
        <f t="shared" si="925"/>
        <v>13179</v>
      </c>
      <c r="BX234" s="233">
        <f t="shared" si="925"/>
        <v>13360</v>
      </c>
      <c r="BY234" s="233">
        <f t="shared" si="925"/>
        <v>13538</v>
      </c>
      <c r="BZ234" s="233">
        <f t="shared" si="925"/>
        <v>13720</v>
      </c>
      <c r="CA234" s="233">
        <f t="shared" si="925"/>
        <v>13898</v>
      </c>
      <c r="CB234" s="233">
        <f t="shared" si="925"/>
        <v>14080</v>
      </c>
      <c r="CC234" s="19"/>
      <c r="CD234" s="19"/>
      <c r="CE234" s="19"/>
    </row>
    <row r="235" spans="1:83">
      <c r="A235" s="16" t="s">
        <v>41</v>
      </c>
      <c r="B235" s="233">
        <f>B234/360</f>
        <v>0.1388888888888889</v>
      </c>
      <c r="C235" s="233">
        <f t="shared" ref="C235:BN235" si="926">C234/360</f>
        <v>0.6333333333333333</v>
      </c>
      <c r="D235" s="233">
        <f t="shared" si="926"/>
        <v>1.1361111111111111</v>
      </c>
      <c r="E235" s="233">
        <f t="shared" si="926"/>
        <v>1.6305555555555555</v>
      </c>
      <c r="F235" s="233">
        <f t="shared" si="926"/>
        <v>2.1361111111111111</v>
      </c>
      <c r="G235" s="233">
        <f t="shared" si="926"/>
        <v>2.6305555555555555</v>
      </c>
      <c r="H235" s="233">
        <f t="shared" si="926"/>
        <v>3.1361111111111111</v>
      </c>
      <c r="I235" s="233">
        <f t="shared" si="926"/>
        <v>3.6305555555555555</v>
      </c>
      <c r="J235" s="233">
        <f t="shared" si="926"/>
        <v>4.1361111111111111</v>
      </c>
      <c r="K235" s="233">
        <f t="shared" si="926"/>
        <v>4.6305555555555555</v>
      </c>
      <c r="L235" s="233">
        <f t="shared" si="926"/>
        <v>5.1333333333333337</v>
      </c>
      <c r="M235" s="233">
        <f t="shared" si="926"/>
        <v>5.6277777777777782</v>
      </c>
      <c r="N235" s="233">
        <f t="shared" si="926"/>
        <v>6.1333333333333337</v>
      </c>
      <c r="O235" s="233">
        <f t="shared" si="926"/>
        <v>6.6277777777777782</v>
      </c>
      <c r="P235" s="233">
        <f t="shared" si="926"/>
        <v>7.1333333333333337</v>
      </c>
      <c r="Q235" s="233">
        <f t="shared" si="926"/>
        <v>7.6277777777777782</v>
      </c>
      <c r="R235" s="233">
        <f t="shared" si="926"/>
        <v>8.1333333333333329</v>
      </c>
      <c r="S235" s="233">
        <f t="shared" si="926"/>
        <v>8.6277777777777782</v>
      </c>
      <c r="T235" s="233">
        <f t="shared" si="926"/>
        <v>9.1305555555555564</v>
      </c>
      <c r="U235" s="233">
        <f t="shared" si="926"/>
        <v>9.625</v>
      </c>
      <c r="V235" s="233">
        <f t="shared" si="926"/>
        <v>10.130555555555556</v>
      </c>
      <c r="W235" s="233">
        <f t="shared" si="926"/>
        <v>10.625</v>
      </c>
      <c r="X235" s="233">
        <f t="shared" si="926"/>
        <v>11.130555555555556</v>
      </c>
      <c r="Y235" s="233">
        <f t="shared" si="926"/>
        <v>11.625</v>
      </c>
      <c r="Z235" s="233">
        <f t="shared" si="926"/>
        <v>12.130555555555556</v>
      </c>
      <c r="AA235" s="233">
        <f t="shared" si="926"/>
        <v>12.625</v>
      </c>
      <c r="AB235" s="233">
        <f t="shared" si="926"/>
        <v>13.127777777777778</v>
      </c>
      <c r="AC235" s="233">
        <f t="shared" si="926"/>
        <v>13.622222222222222</v>
      </c>
      <c r="AD235" s="233">
        <f t="shared" si="926"/>
        <v>14.127777777777778</v>
      </c>
      <c r="AE235" s="233">
        <f t="shared" si="926"/>
        <v>14.622222222222222</v>
      </c>
      <c r="AF235" s="233">
        <f t="shared" si="926"/>
        <v>15.127777777777778</v>
      </c>
      <c r="AG235" s="233">
        <f t="shared" si="926"/>
        <v>15.622222222222222</v>
      </c>
      <c r="AH235" s="233">
        <f t="shared" si="926"/>
        <v>16.127777777777776</v>
      </c>
      <c r="AI235" s="233">
        <f t="shared" si="926"/>
        <v>16.622222222222224</v>
      </c>
      <c r="AJ235" s="233">
        <f t="shared" si="926"/>
        <v>17.125</v>
      </c>
      <c r="AK235" s="233">
        <f t="shared" si="926"/>
        <v>17.619444444444444</v>
      </c>
      <c r="AL235" s="233">
        <f t="shared" si="926"/>
        <v>18.125</v>
      </c>
      <c r="AM235" s="233">
        <f t="shared" si="926"/>
        <v>18.619444444444444</v>
      </c>
      <c r="AN235" s="233">
        <f t="shared" si="926"/>
        <v>19.125</v>
      </c>
      <c r="AO235" s="233">
        <f t="shared" si="926"/>
        <v>19.619444444444444</v>
      </c>
      <c r="AP235" s="233">
        <f t="shared" si="926"/>
        <v>20.125</v>
      </c>
      <c r="AQ235" s="233">
        <f t="shared" si="926"/>
        <v>20.619444444444444</v>
      </c>
      <c r="AR235" s="233">
        <f t="shared" si="926"/>
        <v>21.122222222222224</v>
      </c>
      <c r="AS235" s="233">
        <f t="shared" si="926"/>
        <v>21.616666666666667</v>
      </c>
      <c r="AT235" s="233">
        <f t="shared" si="926"/>
        <v>22.122222222222224</v>
      </c>
      <c r="AU235" s="233">
        <f t="shared" si="926"/>
        <v>22.616666666666667</v>
      </c>
      <c r="AV235" s="233">
        <f t="shared" si="926"/>
        <v>23.122222222222224</v>
      </c>
      <c r="AW235" s="233">
        <f t="shared" si="926"/>
        <v>23.616666666666667</v>
      </c>
      <c r="AX235" s="233">
        <f t="shared" si="926"/>
        <v>24.122222222222224</v>
      </c>
      <c r="AY235" s="233">
        <f t="shared" si="926"/>
        <v>24.616666666666667</v>
      </c>
      <c r="AZ235" s="233">
        <f t="shared" si="926"/>
        <v>25.119444444444444</v>
      </c>
      <c r="BA235" s="233">
        <f t="shared" si="926"/>
        <v>25.613888888888887</v>
      </c>
      <c r="BB235" s="233">
        <f t="shared" si="926"/>
        <v>26.119444444444444</v>
      </c>
      <c r="BC235" s="233">
        <f t="shared" si="926"/>
        <v>26.613888888888887</v>
      </c>
      <c r="BD235" s="233">
        <f t="shared" si="926"/>
        <v>27.119444444444444</v>
      </c>
      <c r="BE235" s="233">
        <f t="shared" si="926"/>
        <v>27.613888888888887</v>
      </c>
      <c r="BF235" s="233">
        <f t="shared" si="926"/>
        <v>28.119444444444444</v>
      </c>
      <c r="BG235" s="233">
        <f t="shared" si="926"/>
        <v>28.613888888888887</v>
      </c>
      <c r="BH235" s="233">
        <f t="shared" si="926"/>
        <v>29.116666666666667</v>
      </c>
      <c r="BI235" s="233">
        <f t="shared" si="926"/>
        <v>29.611111111111111</v>
      </c>
      <c r="BJ235" s="233">
        <f t="shared" si="926"/>
        <v>30.116666666666667</v>
      </c>
      <c r="BK235" s="233">
        <f t="shared" si="926"/>
        <v>30.611111111111111</v>
      </c>
      <c r="BL235" s="233">
        <f t="shared" si="926"/>
        <v>31.116666666666667</v>
      </c>
      <c r="BM235" s="233">
        <f t="shared" si="926"/>
        <v>31.611111111111111</v>
      </c>
      <c r="BN235" s="233">
        <f t="shared" si="926"/>
        <v>32.116666666666667</v>
      </c>
      <c r="BO235" s="233">
        <f t="shared" ref="BO235:CB235" si="927">BO234/360</f>
        <v>32.611111111111114</v>
      </c>
      <c r="BP235" s="233">
        <f t="shared" si="927"/>
        <v>33.113888888888887</v>
      </c>
      <c r="BQ235" s="233">
        <f t="shared" si="927"/>
        <v>33.608333333333334</v>
      </c>
      <c r="BR235" s="233">
        <f t="shared" si="927"/>
        <v>34.113888888888887</v>
      </c>
      <c r="BS235" s="233">
        <f t="shared" si="927"/>
        <v>34.608333333333334</v>
      </c>
      <c r="BT235" s="233">
        <f t="shared" si="927"/>
        <v>35.113888888888887</v>
      </c>
      <c r="BU235" s="233">
        <f t="shared" si="927"/>
        <v>35.608333333333334</v>
      </c>
      <c r="BV235" s="233">
        <f t="shared" si="927"/>
        <v>36.113888888888887</v>
      </c>
      <c r="BW235" s="233">
        <f t="shared" si="927"/>
        <v>36.608333333333334</v>
      </c>
      <c r="BX235" s="233">
        <f t="shared" si="927"/>
        <v>37.111111111111114</v>
      </c>
      <c r="BY235" s="233">
        <f t="shared" si="927"/>
        <v>37.605555555555554</v>
      </c>
      <c r="BZ235" s="233">
        <f t="shared" si="927"/>
        <v>38.111111111111114</v>
      </c>
      <c r="CA235" s="233">
        <f t="shared" si="927"/>
        <v>38.605555555555554</v>
      </c>
      <c r="CB235" s="233">
        <f t="shared" si="927"/>
        <v>39.111111111111114</v>
      </c>
      <c r="CC235" s="19"/>
      <c r="CD235" s="19"/>
      <c r="CE235" s="19"/>
    </row>
    <row r="236" spans="1:83">
      <c r="A236" s="16" t="s">
        <v>43</v>
      </c>
      <c r="B236" s="233">
        <f>IF(B234&lt;0,0,$B$5+$B$6*((1-EXP(-B235/$B$9))/(B235/$B$9))+$B$7*((1-EXP(-B235/$B$9))/(B235/$B$9)-EXP(-B235/$B$9))+$B$8*((1-EXP(-B235/$B$10))/(B235/$B$10)-EXP(-B235/$B$10)))</f>
        <v>1.9401157330135164E-2</v>
      </c>
      <c r="C236" s="233">
        <f t="shared" ref="C236:BN236" si="928">IF(C234&lt;0,0,$B$5+$B$6*((1-EXP(-C235/$B$9))/(C235/$B$9))+$B$7*((1-EXP(-C235/$B$9))/(C235/$B$9)-EXP(-C235/$B$9))+$B$8*((1-EXP(-C235/$B$10))/(C235/$B$10)-EXP(-C235/$B$10)))</f>
        <v>1.8458109460235347E-2</v>
      </c>
      <c r="D236" s="233">
        <f t="shared" si="928"/>
        <v>1.7616288429233073E-2</v>
      </c>
      <c r="E236" s="233">
        <f t="shared" si="928"/>
        <v>1.6895492131772702E-2</v>
      </c>
      <c r="F236" s="233">
        <f t="shared" si="928"/>
        <v>1.6260409167727568E-2</v>
      </c>
      <c r="G236" s="233">
        <f t="shared" si="928"/>
        <v>1.5731761158992934E-2</v>
      </c>
      <c r="H236" s="233">
        <f t="shared" si="928"/>
        <v>1.5278828287864671E-2</v>
      </c>
      <c r="I236" s="233">
        <f t="shared" si="928"/>
        <v>1.4915175154919025E-2</v>
      </c>
      <c r="J236" s="233">
        <f t="shared" si="928"/>
        <v>1.4618323605379964E-2</v>
      </c>
      <c r="K236" s="233">
        <f t="shared" si="928"/>
        <v>1.4395734557263742E-2</v>
      </c>
      <c r="L236" s="233">
        <f t="shared" si="928"/>
        <v>1.4232738332079838E-2</v>
      </c>
      <c r="M236" s="233">
        <f t="shared" si="928"/>
        <v>1.4129846610814671E-2</v>
      </c>
      <c r="N236" s="233">
        <f t="shared" si="928"/>
        <v>1.4078763335934649E-2</v>
      </c>
      <c r="O236" s="233">
        <f t="shared" si="928"/>
        <v>1.4077418780731085E-2</v>
      </c>
      <c r="P236" s="233">
        <f t="shared" si="928"/>
        <v>1.4121590441513704E-2</v>
      </c>
      <c r="Q236" s="233">
        <f t="shared" si="928"/>
        <v>1.4205555044819976E-2</v>
      </c>
      <c r="R236" s="233">
        <f t="shared" si="928"/>
        <v>1.432944221533769E-2</v>
      </c>
      <c r="S236" s="233">
        <f t="shared" si="928"/>
        <v>1.4484498639291771E-2</v>
      </c>
      <c r="T236" s="233">
        <f t="shared" si="928"/>
        <v>1.4673383657683253E-2</v>
      </c>
      <c r="U236" s="233">
        <f t="shared" si="928"/>
        <v>1.4886961666714965E-2</v>
      </c>
      <c r="V236" s="233">
        <f t="shared" si="928"/>
        <v>1.5131095722675791E-2</v>
      </c>
      <c r="W236" s="233">
        <f t="shared" si="928"/>
        <v>1.5392539676978428E-2</v>
      </c>
      <c r="X236" s="233">
        <f t="shared" si="928"/>
        <v>1.5680628638122404E-2</v>
      </c>
      <c r="Y236" s="233">
        <f t="shared" si="928"/>
        <v>1.598051497030431E-2</v>
      </c>
      <c r="Z236" s="233">
        <f t="shared" si="928"/>
        <v>1.6303581930229433E-2</v>
      </c>
      <c r="AA236" s="233">
        <f t="shared" si="928"/>
        <v>1.6633736958165043E-2</v>
      </c>
      <c r="AB236" s="233">
        <f t="shared" si="928"/>
        <v>1.6982050593024225E-2</v>
      </c>
      <c r="AC236" s="233">
        <f t="shared" si="928"/>
        <v>1.7335350570645697E-2</v>
      </c>
      <c r="AD236" s="233">
        <f t="shared" si="928"/>
        <v>1.7706063167461636E-2</v>
      </c>
      <c r="AE236" s="233">
        <f t="shared" si="928"/>
        <v>1.8076487884352746E-2</v>
      </c>
      <c r="AF236" s="233">
        <f t="shared" si="928"/>
        <v>1.8461932325372049E-2</v>
      </c>
      <c r="AG236" s="233">
        <f t="shared" si="928"/>
        <v>1.8844249853142148E-2</v>
      </c>
      <c r="AH236" s="233">
        <f t="shared" si="928"/>
        <v>1.9239477301471519E-2</v>
      </c>
      <c r="AI236" s="233">
        <f t="shared" si="928"/>
        <v>1.9629215362806082E-2</v>
      </c>
      <c r="AJ236" s="233">
        <f t="shared" si="928"/>
        <v>2.0027798901588428E-2</v>
      </c>
      <c r="AK236" s="233">
        <f t="shared" si="928"/>
        <v>2.042114829213694E-2</v>
      </c>
      <c r="AL236" s="233">
        <f t="shared" si="928"/>
        <v>2.0823921043765917E-2</v>
      </c>
      <c r="AM236" s="233">
        <f t="shared" si="928"/>
        <v>2.1217678624449135E-2</v>
      </c>
      <c r="AN236" s="233">
        <f t="shared" si="928"/>
        <v>2.1619425524570787E-2</v>
      </c>
      <c r="AO236" s="233">
        <f t="shared" si="928"/>
        <v>2.2010888268675088E-2</v>
      </c>
      <c r="AP236" s="233">
        <f t="shared" si="928"/>
        <v>2.2409083795319473E-2</v>
      </c>
      <c r="AQ236" s="233">
        <f t="shared" si="928"/>
        <v>2.2795999640163239E-2</v>
      </c>
      <c r="AR236" s="233">
        <f t="shared" si="928"/>
        <v>2.3186401756712688E-2</v>
      </c>
      <c r="AS236" s="233">
        <f t="shared" si="928"/>
        <v>2.3566932636241295E-2</v>
      </c>
      <c r="AT236" s="233">
        <f t="shared" si="928"/>
        <v>2.395214082488327E-2</v>
      </c>
      <c r="AU236" s="233">
        <f t="shared" si="928"/>
        <v>2.4324755762389266E-2</v>
      </c>
      <c r="AV236" s="233">
        <f t="shared" si="928"/>
        <v>2.4701212602669984E-2</v>
      </c>
      <c r="AW236" s="233">
        <f t="shared" si="928"/>
        <v>2.5064694687106787E-2</v>
      </c>
      <c r="AX236" s="233">
        <f t="shared" si="928"/>
        <v>2.5431293081996542E-2</v>
      </c>
      <c r="AY236" s="233">
        <f t="shared" si="928"/>
        <v>2.5784684404214095E-2</v>
      </c>
      <c r="AZ236" s="233">
        <f t="shared" si="928"/>
        <v>2.6138623576069858E-2</v>
      </c>
      <c r="BA236" s="233">
        <f t="shared" si="928"/>
        <v>2.6481221029919094E-2</v>
      </c>
      <c r="BB236" s="233">
        <f t="shared" si="928"/>
        <v>2.6825765111344213E-2</v>
      </c>
      <c r="BC236" s="233">
        <f t="shared" si="928"/>
        <v>2.7156997948743156E-2</v>
      </c>
      <c r="BD236" s="233">
        <f t="shared" si="928"/>
        <v>2.7489710329540021E-2</v>
      </c>
      <c r="BE236" s="233">
        <f t="shared" si="928"/>
        <v>2.7809202562645213E-2</v>
      </c>
      <c r="BF236" s="233">
        <f t="shared" si="928"/>
        <v>2.8129774028792909E-2</v>
      </c>
      <c r="BG236" s="233">
        <f t="shared" si="928"/>
        <v>2.8437291182081562E-2</v>
      </c>
      <c r="BH236" s="233">
        <f t="shared" si="928"/>
        <v>2.8743869401443703E-2</v>
      </c>
      <c r="BI236" s="233">
        <f t="shared" si="928"/>
        <v>2.9039330947794789E-2</v>
      </c>
      <c r="BJ236" s="233">
        <f t="shared" si="928"/>
        <v>2.9335241012636362E-2</v>
      </c>
      <c r="BK236" s="233">
        <f t="shared" si="928"/>
        <v>2.9618600732787603E-2</v>
      </c>
      <c r="BL236" s="233">
        <f t="shared" si="928"/>
        <v>2.9902164242926424E-2</v>
      </c>
      <c r="BM236" s="233">
        <f t="shared" si="928"/>
        <v>3.0173494784889884E-2</v>
      </c>
      <c r="BN236" s="233">
        <f t="shared" si="928"/>
        <v>3.0444824068345963E-2</v>
      </c>
      <c r="BO236" s="233">
        <f t="shared" ref="BO236:CB236" si="929">IF(BO234&lt;0,0,$B$5+$B$6*((1-EXP(-BO235/$B$9))/(BO235/$B$9))+$B$7*((1-EXP(-BO235/$B$9))/(BO235/$B$9)-EXP(-BO235/$B$9))+$B$8*((1-EXP(-BO235/$B$10))/(BO235/$B$10)-EXP(-BO235/$B$10)))</f>
        <v>3.0704269177312504E-2</v>
      </c>
      <c r="BP236" s="233">
        <f t="shared" si="929"/>
        <v>3.0962134553014636E-2</v>
      </c>
      <c r="BQ236" s="233">
        <f t="shared" si="929"/>
        <v>3.1209928711756901E-2</v>
      </c>
      <c r="BR236" s="233">
        <f t="shared" si="929"/>
        <v>3.1457411460868195E-2</v>
      </c>
      <c r="BS236" s="233">
        <f t="shared" si="929"/>
        <v>3.1693771878779031E-2</v>
      </c>
      <c r="BT236" s="233">
        <f t="shared" si="929"/>
        <v>3.1929706995296028E-2</v>
      </c>
      <c r="BU236" s="233">
        <f t="shared" si="929"/>
        <v>3.2154921939789194E-2</v>
      </c>
      <c r="BV236" s="233">
        <f t="shared" si="929"/>
        <v>3.2379620526310368E-2</v>
      </c>
      <c r="BW236" s="233">
        <f t="shared" si="929"/>
        <v>3.2594008362967303E-2</v>
      </c>
      <c r="BX236" s="233">
        <f t="shared" si="929"/>
        <v>3.2806648582961645E-2</v>
      </c>
      <c r="BY236" s="233">
        <f t="shared" si="929"/>
        <v>3.3010579326477094E-2</v>
      </c>
      <c r="BZ236" s="233">
        <f t="shared" si="929"/>
        <v>3.3213868274557079E-2</v>
      </c>
      <c r="CA236" s="233">
        <f t="shared" si="929"/>
        <v>3.3407670560667332E-2</v>
      </c>
      <c r="CB236" s="233">
        <f t="shared" si="929"/>
        <v>3.3600791383443893E-2</v>
      </c>
      <c r="CC236" s="19"/>
      <c r="CD236" s="19"/>
      <c r="CE236" s="19"/>
    </row>
    <row r="237" spans="1:83">
      <c r="A237" s="16" t="s">
        <v>44</v>
      </c>
      <c r="B237" s="233">
        <f>EXP(-B236*B235)</f>
        <v>0.99730902200513016</v>
      </c>
      <c r="C237" s="233">
        <f t="shared" ref="C237:BN237" si="930">EXP(-C236*C235)</f>
        <v>0.98837792816368109</v>
      </c>
      <c r="D237" s="233">
        <f t="shared" si="930"/>
        <v>0.98018489080953397</v>
      </c>
      <c r="E237" s="233">
        <f t="shared" si="930"/>
        <v>0.97282697535039098</v>
      </c>
      <c r="F237" s="233">
        <f t="shared" si="930"/>
        <v>0.96586226215732651</v>
      </c>
      <c r="G237" s="233">
        <f t="shared" si="930"/>
        <v>0.95946132507971726</v>
      </c>
      <c r="H237" s="233">
        <f t="shared" si="930"/>
        <v>0.95321375534642416</v>
      </c>
      <c r="I237" s="233">
        <f t="shared" si="930"/>
        <v>0.94728964993240561</v>
      </c>
      <c r="J237" s="233">
        <f t="shared" si="930"/>
        <v>0.941328587469352</v>
      </c>
      <c r="K237" s="233">
        <f t="shared" si="930"/>
        <v>0.9355129891686047</v>
      </c>
      <c r="L237" s="233">
        <f t="shared" si="930"/>
        <v>0.9295437634852084</v>
      </c>
      <c r="M237" s="233">
        <f t="shared" si="930"/>
        <v>0.92355988406698231</v>
      </c>
      <c r="N237" s="233">
        <f t="shared" si="930"/>
        <v>0.91727336016586003</v>
      </c>
      <c r="O237" s="233">
        <f t="shared" si="930"/>
        <v>0.91091835834333079</v>
      </c>
      <c r="P237" s="233">
        <f t="shared" si="930"/>
        <v>0.90417350037095756</v>
      </c>
      <c r="Q237" s="233">
        <f t="shared" si="930"/>
        <v>0.89730736469736372</v>
      </c>
      <c r="R237" s="233">
        <f t="shared" si="930"/>
        <v>0.88998904081918029</v>
      </c>
      <c r="S237" s="233">
        <f t="shared" si="930"/>
        <v>0.88252422909859962</v>
      </c>
      <c r="T237" s="233">
        <f t="shared" si="930"/>
        <v>0.87461092848289734</v>
      </c>
      <c r="U237" s="233">
        <f t="shared" si="930"/>
        <v>0.86650534093559484</v>
      </c>
      <c r="V237" s="233">
        <f t="shared" si="930"/>
        <v>0.85788398364398566</v>
      </c>
      <c r="W237" s="233">
        <f t="shared" si="930"/>
        <v>0.84912766405131068</v>
      </c>
      <c r="X237" s="233">
        <f t="shared" si="930"/>
        <v>0.83984820802779758</v>
      </c>
      <c r="Y237" s="233">
        <f t="shared" si="930"/>
        <v>0.83046168443675117</v>
      </c>
      <c r="Z237" s="233">
        <f t="shared" si="930"/>
        <v>0.82055732384949431</v>
      </c>
      <c r="AA237" s="233">
        <f t="shared" si="930"/>
        <v>0.81058349285928055</v>
      </c>
      <c r="AB237" s="233">
        <f t="shared" si="930"/>
        <v>0.80016558906937973</v>
      </c>
      <c r="AC237" s="233">
        <f t="shared" si="930"/>
        <v>0.78966537612970089</v>
      </c>
      <c r="AD237" s="233">
        <f t="shared" si="930"/>
        <v>0.77868605411403824</v>
      </c>
      <c r="AE237" s="233">
        <f t="shared" si="930"/>
        <v>0.7677290382688664</v>
      </c>
      <c r="AF237" s="233">
        <f t="shared" si="930"/>
        <v>0.75632204385970159</v>
      </c>
      <c r="AG237" s="233">
        <f t="shared" si="930"/>
        <v>0.74498659145102109</v>
      </c>
      <c r="AH237" s="233">
        <f t="shared" si="930"/>
        <v>0.73323427682914466</v>
      </c>
      <c r="AI237" s="233">
        <f t="shared" si="930"/>
        <v>0.72160225891843366</v>
      </c>
      <c r="AJ237" s="233">
        <f t="shared" si="930"/>
        <v>0.70965520320634812</v>
      </c>
      <c r="AK237" s="233">
        <f t="shared" si="930"/>
        <v>0.69780939412902043</v>
      </c>
      <c r="AL237" s="233">
        <f t="shared" si="930"/>
        <v>0.68561874646646948</v>
      </c>
      <c r="AM237" s="233">
        <f t="shared" si="930"/>
        <v>0.67363868438659269</v>
      </c>
      <c r="AN237" s="233">
        <f t="shared" si="930"/>
        <v>0.6613503738960903</v>
      </c>
      <c r="AO237" s="233">
        <f t="shared" si="930"/>
        <v>0.64931234974341812</v>
      </c>
      <c r="AP237" s="233">
        <f t="shared" si="930"/>
        <v>0.63700179126509937</v>
      </c>
      <c r="AQ237" s="233">
        <f t="shared" si="930"/>
        <v>0.6249767386265177</v>
      </c>
      <c r="AR237" s="233">
        <f t="shared" si="930"/>
        <v>0.61278059300285248</v>
      </c>
      <c r="AS237" s="233">
        <f t="shared" si="930"/>
        <v>0.60083283544562371</v>
      </c>
      <c r="AT237" s="233">
        <f t="shared" si="930"/>
        <v>0.58867879595059558</v>
      </c>
      <c r="AU237" s="233">
        <f t="shared" si="930"/>
        <v>0.57686622054790881</v>
      </c>
      <c r="AV237" s="233">
        <f t="shared" si="930"/>
        <v>0.56487719414449666</v>
      </c>
      <c r="AW237" s="233">
        <f t="shared" si="930"/>
        <v>0.55325042075995567</v>
      </c>
      <c r="AX237" s="233">
        <f t="shared" si="930"/>
        <v>0.54147450105061556</v>
      </c>
      <c r="AY237" s="233">
        <f t="shared" si="930"/>
        <v>0.53007701001099206</v>
      </c>
      <c r="AZ237" s="233">
        <f t="shared" si="930"/>
        <v>0.51861799734213909</v>
      </c>
      <c r="BA237" s="233">
        <f t="shared" si="930"/>
        <v>0.5074855440499878</v>
      </c>
      <c r="BB237" s="233">
        <f t="shared" si="930"/>
        <v>0.49625067761756325</v>
      </c>
      <c r="BC237" s="233">
        <f t="shared" si="930"/>
        <v>0.4854139116303523</v>
      </c>
      <c r="BD237" s="233">
        <f t="shared" si="930"/>
        <v>0.47449430074655274</v>
      </c>
      <c r="BE237" s="233">
        <f t="shared" si="930"/>
        <v>0.46397703122402539</v>
      </c>
      <c r="BF237" s="233">
        <f t="shared" si="930"/>
        <v>0.45339407086861105</v>
      </c>
      <c r="BG237" s="233">
        <f t="shared" si="930"/>
        <v>0.44321447220720728</v>
      </c>
      <c r="BH237" s="233">
        <f t="shared" si="930"/>
        <v>0.43303978885900535</v>
      </c>
      <c r="BI237" s="233">
        <f t="shared" si="930"/>
        <v>0.42320996357860713</v>
      </c>
      <c r="BJ237" s="233">
        <f t="shared" si="930"/>
        <v>0.41334211009991861</v>
      </c>
      <c r="BK237" s="233">
        <f t="shared" si="930"/>
        <v>0.40387159811481349</v>
      </c>
      <c r="BL237" s="233">
        <f t="shared" si="930"/>
        <v>0.39437396213556247</v>
      </c>
      <c r="BM237" s="233">
        <f t="shared" si="930"/>
        <v>0.38526737845168385</v>
      </c>
      <c r="BN237" s="233">
        <f t="shared" si="930"/>
        <v>0.37614285797517216</v>
      </c>
      <c r="BO237" s="233">
        <f t="shared" ref="BO237:CB237" si="931">EXP(-BO236*BO235)</f>
        <v>0.36740138600967565</v>
      </c>
      <c r="BP237" s="233">
        <f t="shared" si="931"/>
        <v>0.3586972061297769</v>
      </c>
      <c r="BQ237" s="233">
        <f t="shared" si="931"/>
        <v>0.35031809742940168</v>
      </c>
      <c r="BR237" s="233">
        <f t="shared" si="931"/>
        <v>0.34193499287214213</v>
      </c>
      <c r="BS237" s="233">
        <f t="shared" si="931"/>
        <v>0.33391506265592469</v>
      </c>
      <c r="BT237" s="233">
        <f t="shared" si="931"/>
        <v>0.32589625525160143</v>
      </c>
      <c r="BU237" s="233">
        <f t="shared" si="931"/>
        <v>0.31822927076291435</v>
      </c>
      <c r="BV237" s="233">
        <f t="shared" si="931"/>
        <v>0.31056749750886448</v>
      </c>
      <c r="BW237" s="233">
        <f t="shared" si="931"/>
        <v>0.30324557511048345</v>
      </c>
      <c r="BX237" s="233">
        <f t="shared" si="931"/>
        <v>0.29597177594382207</v>
      </c>
      <c r="BY237" s="233">
        <f t="shared" si="931"/>
        <v>0.28898480364862961</v>
      </c>
      <c r="BZ237" s="233">
        <f t="shared" si="931"/>
        <v>0.28200868116594374</v>
      </c>
      <c r="CA237" s="233">
        <f t="shared" si="931"/>
        <v>0.27534740661780388</v>
      </c>
      <c r="CB237" s="233">
        <f t="shared" si="931"/>
        <v>0.26869878497938221</v>
      </c>
      <c r="CC237" s="19"/>
      <c r="CD237" s="19"/>
      <c r="CE237" s="19"/>
    </row>
    <row r="238" spans="1:83">
      <c r="A238" s="17"/>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7"/>
      <c r="AB238" s="17"/>
      <c r="AC238" s="17"/>
      <c r="AD238" s="17"/>
      <c r="AE238" s="17"/>
      <c r="AF238" s="17"/>
      <c r="AG238" s="17"/>
      <c r="AH238" s="17"/>
      <c r="AI238" s="17"/>
      <c r="AJ238" s="17"/>
      <c r="AK238" s="17"/>
      <c r="AL238" s="17"/>
      <c r="AM238" s="17"/>
      <c r="AN238" s="17"/>
      <c r="AO238" s="17"/>
      <c r="AP238" s="17"/>
      <c r="AQ238" s="17"/>
      <c r="AR238" s="17"/>
      <c r="AS238" s="17"/>
      <c r="AT238" s="17"/>
      <c r="AU238" s="17"/>
      <c r="AV238" s="17"/>
      <c r="AW238" s="17"/>
      <c r="AX238" s="17"/>
      <c r="AY238" s="17"/>
      <c r="AZ238" s="17"/>
      <c r="BA238" s="17"/>
      <c r="BB238" s="17"/>
      <c r="BC238" s="17"/>
      <c r="BD238" s="17"/>
      <c r="BE238" s="17"/>
      <c r="BF238" s="17"/>
      <c r="BG238" s="17"/>
      <c r="BH238" s="17"/>
      <c r="BI238" s="17"/>
      <c r="BJ238" s="17"/>
      <c r="BK238" s="17"/>
      <c r="BL238" s="17"/>
      <c r="BM238" s="17"/>
      <c r="BN238" s="17"/>
      <c r="BO238" s="17"/>
      <c r="BP238" s="17"/>
      <c r="BQ238" s="17"/>
      <c r="BR238" s="17"/>
      <c r="BS238" s="17"/>
      <c r="BT238" s="17"/>
      <c r="BU238" s="17"/>
      <c r="BV238" s="17"/>
      <c r="BW238" s="17"/>
      <c r="BX238" s="17"/>
      <c r="BY238" s="17"/>
      <c r="BZ238" s="17"/>
      <c r="CA238" s="17"/>
      <c r="CB238" s="17"/>
      <c r="CC238" s="19"/>
      <c r="CD238" s="19"/>
      <c r="CE238" s="19"/>
    </row>
    <row r="239" spans="1:83">
      <c r="A239" s="16" t="s">
        <v>40</v>
      </c>
      <c r="B239" s="233">
        <f t="shared" ref="B239:AG239" si="932">DAYS360($B$3,B90)</f>
        <v>-43022</v>
      </c>
      <c r="C239" s="233">
        <f t="shared" si="932"/>
        <v>-42842</v>
      </c>
      <c r="D239" s="233">
        <f t="shared" si="932"/>
        <v>-42662</v>
      </c>
      <c r="E239" s="233">
        <f t="shared" si="932"/>
        <v>-42482</v>
      </c>
      <c r="F239" s="233">
        <f t="shared" si="932"/>
        <v>-42302</v>
      </c>
      <c r="G239" s="233">
        <f t="shared" si="932"/>
        <v>-42122</v>
      </c>
      <c r="H239" s="233">
        <f t="shared" si="932"/>
        <v>-41942</v>
      </c>
      <c r="I239" s="233">
        <f t="shared" si="932"/>
        <v>-41762</v>
      </c>
      <c r="J239" s="233">
        <f t="shared" si="932"/>
        <v>-41582</v>
      </c>
      <c r="K239" s="233">
        <f t="shared" si="932"/>
        <v>-41403</v>
      </c>
      <c r="L239" s="233">
        <f t="shared" si="932"/>
        <v>-41223</v>
      </c>
      <c r="M239" s="233">
        <f t="shared" si="932"/>
        <v>-41043</v>
      </c>
      <c r="N239" s="233">
        <f t="shared" si="932"/>
        <v>-40863</v>
      </c>
      <c r="O239" s="233">
        <f t="shared" si="932"/>
        <v>-40683</v>
      </c>
      <c r="P239" s="233">
        <f t="shared" si="932"/>
        <v>-40503</v>
      </c>
      <c r="Q239" s="233">
        <f t="shared" si="932"/>
        <v>-40323</v>
      </c>
      <c r="R239" s="233">
        <f t="shared" si="932"/>
        <v>-40143</v>
      </c>
      <c r="S239" s="233">
        <f t="shared" si="932"/>
        <v>-39964</v>
      </c>
      <c r="T239" s="233">
        <f t="shared" si="932"/>
        <v>-39784</v>
      </c>
      <c r="U239" s="233">
        <f t="shared" si="932"/>
        <v>-39604</v>
      </c>
      <c r="V239" s="233">
        <f t="shared" si="932"/>
        <v>-39424</v>
      </c>
      <c r="W239" s="233">
        <f t="shared" si="932"/>
        <v>-39244</v>
      </c>
      <c r="X239" s="233">
        <f t="shared" si="932"/>
        <v>-39064</v>
      </c>
      <c r="Y239" s="233">
        <f t="shared" si="932"/>
        <v>-38884</v>
      </c>
      <c r="Z239" s="233">
        <f t="shared" si="932"/>
        <v>-38704</v>
      </c>
      <c r="AA239" s="233">
        <f t="shared" si="932"/>
        <v>-38525</v>
      </c>
      <c r="AB239" s="233">
        <f t="shared" si="932"/>
        <v>-38345</v>
      </c>
      <c r="AC239" s="233">
        <f t="shared" si="932"/>
        <v>-38165</v>
      </c>
      <c r="AD239" s="233">
        <f t="shared" si="932"/>
        <v>-37985</v>
      </c>
      <c r="AE239" s="233">
        <f t="shared" si="932"/>
        <v>-37805</v>
      </c>
      <c r="AF239" s="233">
        <f t="shared" si="932"/>
        <v>-37625</v>
      </c>
      <c r="AG239" s="233">
        <f t="shared" si="932"/>
        <v>-37445</v>
      </c>
      <c r="AH239" s="233">
        <f t="shared" ref="AH239:BM239" si="933">DAYS360($B$3,AH90)</f>
        <v>-37265</v>
      </c>
      <c r="AI239" s="233">
        <f t="shared" si="933"/>
        <v>-37086</v>
      </c>
      <c r="AJ239" s="233">
        <f t="shared" si="933"/>
        <v>-36906</v>
      </c>
      <c r="AK239" s="233">
        <f t="shared" si="933"/>
        <v>-36726</v>
      </c>
      <c r="AL239" s="233">
        <f t="shared" si="933"/>
        <v>-36546</v>
      </c>
      <c r="AM239" s="233">
        <f t="shared" si="933"/>
        <v>-36366</v>
      </c>
      <c r="AN239" s="233">
        <f t="shared" si="933"/>
        <v>-36186</v>
      </c>
      <c r="AO239" s="233">
        <f t="shared" si="933"/>
        <v>-36006</v>
      </c>
      <c r="AP239" s="233">
        <f t="shared" si="933"/>
        <v>-35826</v>
      </c>
      <c r="AQ239" s="233">
        <f t="shared" si="933"/>
        <v>-35647</v>
      </c>
      <c r="AR239" s="233">
        <f t="shared" si="933"/>
        <v>-35467</v>
      </c>
      <c r="AS239" s="233">
        <f t="shared" si="933"/>
        <v>-35287</v>
      </c>
      <c r="AT239" s="233">
        <f t="shared" si="933"/>
        <v>-35107</v>
      </c>
      <c r="AU239" s="233">
        <f t="shared" si="933"/>
        <v>-34927</v>
      </c>
      <c r="AV239" s="233">
        <f t="shared" si="933"/>
        <v>-34747</v>
      </c>
      <c r="AW239" s="233">
        <f t="shared" si="933"/>
        <v>-34567</v>
      </c>
      <c r="AX239" s="233">
        <f t="shared" si="933"/>
        <v>-34387</v>
      </c>
      <c r="AY239" s="233">
        <f t="shared" si="933"/>
        <v>-34208</v>
      </c>
      <c r="AZ239" s="233">
        <f t="shared" si="933"/>
        <v>-34028</v>
      </c>
      <c r="BA239" s="233">
        <f t="shared" si="933"/>
        <v>-33848</v>
      </c>
      <c r="BB239" s="233">
        <f t="shared" si="933"/>
        <v>-33668</v>
      </c>
      <c r="BC239" s="233">
        <f t="shared" si="933"/>
        <v>-33488</v>
      </c>
      <c r="BD239" s="233">
        <f t="shared" si="933"/>
        <v>-33308</v>
      </c>
      <c r="BE239" s="233">
        <f t="shared" si="933"/>
        <v>-33128</v>
      </c>
      <c r="BF239" s="233">
        <f t="shared" si="933"/>
        <v>-32948</v>
      </c>
      <c r="BG239" s="233">
        <f t="shared" si="933"/>
        <v>-32769</v>
      </c>
      <c r="BH239" s="233">
        <f t="shared" si="933"/>
        <v>-32589</v>
      </c>
      <c r="BI239" s="233">
        <f t="shared" si="933"/>
        <v>-32409</v>
      </c>
      <c r="BJ239" s="233">
        <f t="shared" si="933"/>
        <v>-32229</v>
      </c>
      <c r="BK239" s="233">
        <f t="shared" si="933"/>
        <v>-32049</v>
      </c>
      <c r="BL239" s="233">
        <f t="shared" si="933"/>
        <v>-31869</v>
      </c>
      <c r="BM239" s="233">
        <f t="shared" si="933"/>
        <v>-31689</v>
      </c>
      <c r="BN239" s="233">
        <f t="shared" ref="BN239:CB239" si="934">DAYS360($B$3,BN90)</f>
        <v>-31509</v>
      </c>
      <c r="BO239" s="233">
        <f t="shared" si="934"/>
        <v>-31330</v>
      </c>
      <c r="BP239" s="233">
        <f t="shared" si="934"/>
        <v>-31150</v>
      </c>
      <c r="BQ239" s="233">
        <f t="shared" si="934"/>
        <v>-30970</v>
      </c>
      <c r="BR239" s="233">
        <f t="shared" si="934"/>
        <v>-30790</v>
      </c>
      <c r="BS239" s="233">
        <f t="shared" si="934"/>
        <v>-30610</v>
      </c>
      <c r="BT239" s="233">
        <f t="shared" si="934"/>
        <v>-30430</v>
      </c>
      <c r="BU239" s="233">
        <f t="shared" si="934"/>
        <v>-30250</v>
      </c>
      <c r="BV239" s="233">
        <f t="shared" si="934"/>
        <v>-30070</v>
      </c>
      <c r="BW239" s="233">
        <f t="shared" si="934"/>
        <v>-29891</v>
      </c>
      <c r="BX239" s="233">
        <f t="shared" si="934"/>
        <v>-29711</v>
      </c>
      <c r="BY239" s="233">
        <f t="shared" si="934"/>
        <v>-29531</v>
      </c>
      <c r="BZ239" s="233">
        <f t="shared" si="934"/>
        <v>-29351</v>
      </c>
      <c r="CA239" s="233">
        <f t="shared" si="934"/>
        <v>-29171</v>
      </c>
      <c r="CB239" s="233">
        <f t="shared" si="934"/>
        <v>-28991</v>
      </c>
      <c r="CC239" s="19"/>
      <c r="CD239" s="19"/>
      <c r="CE239" s="19"/>
    </row>
    <row r="240" spans="1:83">
      <c r="A240" s="16" t="s">
        <v>41</v>
      </c>
      <c r="B240" s="233">
        <f>B239/360</f>
        <v>-119.50555555555556</v>
      </c>
      <c r="C240" s="233">
        <f t="shared" ref="C240:BN240" si="935">C239/360</f>
        <v>-119.00555555555556</v>
      </c>
      <c r="D240" s="233">
        <f t="shared" si="935"/>
        <v>-118.50555555555556</v>
      </c>
      <c r="E240" s="233">
        <f t="shared" si="935"/>
        <v>-118.00555555555556</v>
      </c>
      <c r="F240" s="233">
        <f t="shared" si="935"/>
        <v>-117.50555555555556</v>
      </c>
      <c r="G240" s="233">
        <f t="shared" si="935"/>
        <v>-117.00555555555556</v>
      </c>
      <c r="H240" s="233">
        <f t="shared" si="935"/>
        <v>-116.50555555555556</v>
      </c>
      <c r="I240" s="233">
        <f t="shared" si="935"/>
        <v>-116.00555555555556</v>
      </c>
      <c r="J240" s="233">
        <f t="shared" si="935"/>
        <v>-115.50555555555556</v>
      </c>
      <c r="K240" s="233">
        <f t="shared" si="935"/>
        <v>-115.00833333333334</v>
      </c>
      <c r="L240" s="233">
        <f t="shared" si="935"/>
        <v>-114.50833333333334</v>
      </c>
      <c r="M240" s="233">
        <f t="shared" si="935"/>
        <v>-114.00833333333334</v>
      </c>
      <c r="N240" s="233">
        <f t="shared" si="935"/>
        <v>-113.50833333333334</v>
      </c>
      <c r="O240" s="233">
        <f t="shared" si="935"/>
        <v>-113.00833333333334</v>
      </c>
      <c r="P240" s="233">
        <f t="shared" si="935"/>
        <v>-112.50833333333334</v>
      </c>
      <c r="Q240" s="233">
        <f t="shared" si="935"/>
        <v>-112.00833333333334</v>
      </c>
      <c r="R240" s="233">
        <f t="shared" si="935"/>
        <v>-111.50833333333334</v>
      </c>
      <c r="S240" s="233">
        <f t="shared" si="935"/>
        <v>-111.01111111111111</v>
      </c>
      <c r="T240" s="233">
        <f t="shared" si="935"/>
        <v>-110.51111111111111</v>
      </c>
      <c r="U240" s="233">
        <f t="shared" si="935"/>
        <v>-110.01111111111111</v>
      </c>
      <c r="V240" s="233">
        <f t="shared" si="935"/>
        <v>-109.51111111111111</v>
      </c>
      <c r="W240" s="233">
        <f t="shared" si="935"/>
        <v>-109.01111111111111</v>
      </c>
      <c r="X240" s="233">
        <f t="shared" si="935"/>
        <v>-108.51111111111111</v>
      </c>
      <c r="Y240" s="233">
        <f t="shared" si="935"/>
        <v>-108.01111111111111</v>
      </c>
      <c r="Z240" s="233">
        <f t="shared" si="935"/>
        <v>-107.51111111111111</v>
      </c>
      <c r="AA240" s="233">
        <f t="shared" si="935"/>
        <v>-107.01388888888889</v>
      </c>
      <c r="AB240" s="233">
        <f t="shared" si="935"/>
        <v>-106.51388888888889</v>
      </c>
      <c r="AC240" s="233">
        <f t="shared" si="935"/>
        <v>-106.01388888888889</v>
      </c>
      <c r="AD240" s="233">
        <f t="shared" si="935"/>
        <v>-105.51388888888889</v>
      </c>
      <c r="AE240" s="233">
        <f t="shared" si="935"/>
        <v>-105.01388888888889</v>
      </c>
      <c r="AF240" s="233">
        <f t="shared" si="935"/>
        <v>-104.51388888888889</v>
      </c>
      <c r="AG240" s="233">
        <f t="shared" si="935"/>
        <v>-104.01388888888889</v>
      </c>
      <c r="AH240" s="233">
        <f t="shared" si="935"/>
        <v>-103.51388888888889</v>
      </c>
      <c r="AI240" s="233">
        <f t="shared" si="935"/>
        <v>-103.01666666666667</v>
      </c>
      <c r="AJ240" s="233">
        <f t="shared" si="935"/>
        <v>-102.51666666666667</v>
      </c>
      <c r="AK240" s="233">
        <f t="shared" si="935"/>
        <v>-102.01666666666667</v>
      </c>
      <c r="AL240" s="233">
        <f t="shared" si="935"/>
        <v>-101.51666666666667</v>
      </c>
      <c r="AM240" s="233">
        <f t="shared" si="935"/>
        <v>-101.01666666666667</v>
      </c>
      <c r="AN240" s="233">
        <f t="shared" si="935"/>
        <v>-100.51666666666667</v>
      </c>
      <c r="AO240" s="233">
        <f t="shared" si="935"/>
        <v>-100.01666666666667</v>
      </c>
      <c r="AP240" s="233">
        <f t="shared" si="935"/>
        <v>-99.516666666666666</v>
      </c>
      <c r="AQ240" s="233">
        <f t="shared" si="935"/>
        <v>-99.019444444444446</v>
      </c>
      <c r="AR240" s="233">
        <f t="shared" si="935"/>
        <v>-98.519444444444446</v>
      </c>
      <c r="AS240" s="233">
        <f t="shared" si="935"/>
        <v>-98.019444444444446</v>
      </c>
      <c r="AT240" s="233">
        <f t="shared" si="935"/>
        <v>-97.519444444444446</v>
      </c>
      <c r="AU240" s="233">
        <f t="shared" si="935"/>
        <v>-97.019444444444446</v>
      </c>
      <c r="AV240" s="233">
        <f t="shared" si="935"/>
        <v>-96.519444444444446</v>
      </c>
      <c r="AW240" s="233">
        <f t="shared" si="935"/>
        <v>-96.019444444444446</v>
      </c>
      <c r="AX240" s="233">
        <f t="shared" si="935"/>
        <v>-95.519444444444446</v>
      </c>
      <c r="AY240" s="233">
        <f t="shared" si="935"/>
        <v>-95.022222222222226</v>
      </c>
      <c r="AZ240" s="233">
        <f t="shared" si="935"/>
        <v>-94.522222222222226</v>
      </c>
      <c r="BA240" s="233">
        <f t="shared" si="935"/>
        <v>-94.022222222222226</v>
      </c>
      <c r="BB240" s="233">
        <f t="shared" si="935"/>
        <v>-93.522222222222226</v>
      </c>
      <c r="BC240" s="233">
        <f t="shared" si="935"/>
        <v>-93.022222222222226</v>
      </c>
      <c r="BD240" s="233">
        <f t="shared" si="935"/>
        <v>-92.522222222222226</v>
      </c>
      <c r="BE240" s="233">
        <f t="shared" si="935"/>
        <v>-92.022222222222226</v>
      </c>
      <c r="BF240" s="233">
        <f t="shared" si="935"/>
        <v>-91.522222222222226</v>
      </c>
      <c r="BG240" s="233">
        <f t="shared" si="935"/>
        <v>-91.025000000000006</v>
      </c>
      <c r="BH240" s="233">
        <f t="shared" si="935"/>
        <v>-90.525000000000006</v>
      </c>
      <c r="BI240" s="233">
        <f t="shared" si="935"/>
        <v>-90.025000000000006</v>
      </c>
      <c r="BJ240" s="233">
        <f t="shared" si="935"/>
        <v>-89.525000000000006</v>
      </c>
      <c r="BK240" s="233">
        <f t="shared" si="935"/>
        <v>-89.025000000000006</v>
      </c>
      <c r="BL240" s="233">
        <f t="shared" si="935"/>
        <v>-88.525000000000006</v>
      </c>
      <c r="BM240" s="233">
        <f t="shared" si="935"/>
        <v>-88.025000000000006</v>
      </c>
      <c r="BN240" s="233">
        <f t="shared" si="935"/>
        <v>-87.525000000000006</v>
      </c>
      <c r="BO240" s="233">
        <f t="shared" ref="BO240:CB240" si="936">BO239/360</f>
        <v>-87.027777777777771</v>
      </c>
      <c r="BP240" s="233">
        <f t="shared" si="936"/>
        <v>-86.527777777777771</v>
      </c>
      <c r="BQ240" s="233">
        <f t="shared" si="936"/>
        <v>-86.027777777777771</v>
      </c>
      <c r="BR240" s="233">
        <f t="shared" si="936"/>
        <v>-85.527777777777771</v>
      </c>
      <c r="BS240" s="233">
        <f t="shared" si="936"/>
        <v>-85.027777777777771</v>
      </c>
      <c r="BT240" s="233">
        <f t="shared" si="936"/>
        <v>-84.527777777777771</v>
      </c>
      <c r="BU240" s="233">
        <f t="shared" si="936"/>
        <v>-84.027777777777771</v>
      </c>
      <c r="BV240" s="233">
        <f t="shared" si="936"/>
        <v>-83.527777777777771</v>
      </c>
      <c r="BW240" s="233">
        <f t="shared" si="936"/>
        <v>-83.030555555555551</v>
      </c>
      <c r="BX240" s="233">
        <f t="shared" si="936"/>
        <v>-82.530555555555551</v>
      </c>
      <c r="BY240" s="233">
        <f t="shared" si="936"/>
        <v>-82.030555555555551</v>
      </c>
      <c r="BZ240" s="233">
        <f t="shared" si="936"/>
        <v>-81.530555555555551</v>
      </c>
      <c r="CA240" s="233">
        <f t="shared" si="936"/>
        <v>-81.030555555555551</v>
      </c>
      <c r="CB240" s="233">
        <f t="shared" si="936"/>
        <v>-80.530555555555551</v>
      </c>
      <c r="CC240" s="19"/>
      <c r="CD240" s="19"/>
      <c r="CE240" s="19"/>
    </row>
    <row r="241" spans="1:83">
      <c r="A241" s="16" t="s">
        <v>43</v>
      </c>
      <c r="B241" s="233">
        <f>IF(B239&lt;0,0,$B$5+$B$6*((1-EXP(-B240/$B$9))/(B240/$B$9))+$B$7*((1-EXP(-B240/$B$9))/(B240/$B$9)-EXP(-B240/$B$9))+$B$8*((1-EXP(-B240/$B$10))/(B240/$B$10)-EXP(-B240/$B$10)))</f>
        <v>0</v>
      </c>
      <c r="C241" s="233">
        <f t="shared" ref="C241:BN241" si="937">IF(C239&lt;0,0,$B$5+$B$6*((1-EXP(-C240/$B$9))/(C240/$B$9))+$B$7*((1-EXP(-C240/$B$9))/(C240/$B$9)-EXP(-C240/$B$9))+$B$8*((1-EXP(-C240/$B$10))/(C240/$B$10)-EXP(-C240/$B$10)))</f>
        <v>0</v>
      </c>
      <c r="D241" s="233">
        <f t="shared" si="937"/>
        <v>0</v>
      </c>
      <c r="E241" s="233">
        <f t="shared" si="937"/>
        <v>0</v>
      </c>
      <c r="F241" s="233">
        <f t="shared" si="937"/>
        <v>0</v>
      </c>
      <c r="G241" s="233">
        <f t="shared" si="937"/>
        <v>0</v>
      </c>
      <c r="H241" s="233">
        <f t="shared" si="937"/>
        <v>0</v>
      </c>
      <c r="I241" s="233">
        <f t="shared" si="937"/>
        <v>0</v>
      </c>
      <c r="J241" s="233">
        <f t="shared" si="937"/>
        <v>0</v>
      </c>
      <c r="K241" s="233">
        <f t="shared" si="937"/>
        <v>0</v>
      </c>
      <c r="L241" s="233">
        <f t="shared" si="937"/>
        <v>0</v>
      </c>
      <c r="M241" s="233">
        <f t="shared" si="937"/>
        <v>0</v>
      </c>
      <c r="N241" s="233">
        <f t="shared" si="937"/>
        <v>0</v>
      </c>
      <c r="O241" s="233">
        <f t="shared" si="937"/>
        <v>0</v>
      </c>
      <c r="P241" s="233">
        <f t="shared" si="937"/>
        <v>0</v>
      </c>
      <c r="Q241" s="233">
        <f t="shared" si="937"/>
        <v>0</v>
      </c>
      <c r="R241" s="233">
        <f t="shared" si="937"/>
        <v>0</v>
      </c>
      <c r="S241" s="233">
        <f t="shared" si="937"/>
        <v>0</v>
      </c>
      <c r="T241" s="233">
        <f t="shared" si="937"/>
        <v>0</v>
      </c>
      <c r="U241" s="233">
        <f t="shared" si="937"/>
        <v>0</v>
      </c>
      <c r="V241" s="233">
        <f t="shared" si="937"/>
        <v>0</v>
      </c>
      <c r="W241" s="233">
        <f t="shared" si="937"/>
        <v>0</v>
      </c>
      <c r="X241" s="233">
        <f t="shared" si="937"/>
        <v>0</v>
      </c>
      <c r="Y241" s="233">
        <f t="shared" si="937"/>
        <v>0</v>
      </c>
      <c r="Z241" s="233">
        <f t="shared" si="937"/>
        <v>0</v>
      </c>
      <c r="AA241" s="233">
        <f t="shared" si="937"/>
        <v>0</v>
      </c>
      <c r="AB241" s="233">
        <f t="shared" si="937"/>
        <v>0</v>
      </c>
      <c r="AC241" s="233">
        <f t="shared" si="937"/>
        <v>0</v>
      </c>
      <c r="AD241" s="233">
        <f t="shared" si="937"/>
        <v>0</v>
      </c>
      <c r="AE241" s="233">
        <f t="shared" si="937"/>
        <v>0</v>
      </c>
      <c r="AF241" s="233">
        <f t="shared" si="937"/>
        <v>0</v>
      </c>
      <c r="AG241" s="233">
        <f t="shared" si="937"/>
        <v>0</v>
      </c>
      <c r="AH241" s="233">
        <f t="shared" si="937"/>
        <v>0</v>
      </c>
      <c r="AI241" s="233">
        <f t="shared" si="937"/>
        <v>0</v>
      </c>
      <c r="AJ241" s="233">
        <f t="shared" si="937"/>
        <v>0</v>
      </c>
      <c r="AK241" s="233">
        <f t="shared" si="937"/>
        <v>0</v>
      </c>
      <c r="AL241" s="233">
        <f t="shared" si="937"/>
        <v>0</v>
      </c>
      <c r="AM241" s="233">
        <f t="shared" si="937"/>
        <v>0</v>
      </c>
      <c r="AN241" s="233">
        <f t="shared" si="937"/>
        <v>0</v>
      </c>
      <c r="AO241" s="233">
        <f t="shared" si="937"/>
        <v>0</v>
      </c>
      <c r="AP241" s="233">
        <f t="shared" si="937"/>
        <v>0</v>
      </c>
      <c r="AQ241" s="233">
        <f t="shared" si="937"/>
        <v>0</v>
      </c>
      <c r="AR241" s="233">
        <f t="shared" si="937"/>
        <v>0</v>
      </c>
      <c r="AS241" s="233">
        <f t="shared" si="937"/>
        <v>0</v>
      </c>
      <c r="AT241" s="233">
        <f t="shared" si="937"/>
        <v>0</v>
      </c>
      <c r="AU241" s="233">
        <f t="shared" si="937"/>
        <v>0</v>
      </c>
      <c r="AV241" s="233">
        <f t="shared" si="937"/>
        <v>0</v>
      </c>
      <c r="AW241" s="233">
        <f t="shared" si="937"/>
        <v>0</v>
      </c>
      <c r="AX241" s="233">
        <f t="shared" si="937"/>
        <v>0</v>
      </c>
      <c r="AY241" s="233">
        <f t="shared" si="937"/>
        <v>0</v>
      </c>
      <c r="AZ241" s="233">
        <f t="shared" si="937"/>
        <v>0</v>
      </c>
      <c r="BA241" s="233">
        <f t="shared" si="937"/>
        <v>0</v>
      </c>
      <c r="BB241" s="233">
        <f t="shared" si="937"/>
        <v>0</v>
      </c>
      <c r="BC241" s="233">
        <f t="shared" si="937"/>
        <v>0</v>
      </c>
      <c r="BD241" s="233">
        <f t="shared" si="937"/>
        <v>0</v>
      </c>
      <c r="BE241" s="233">
        <f t="shared" si="937"/>
        <v>0</v>
      </c>
      <c r="BF241" s="233">
        <f t="shared" si="937"/>
        <v>0</v>
      </c>
      <c r="BG241" s="233">
        <f t="shared" si="937"/>
        <v>0</v>
      </c>
      <c r="BH241" s="233">
        <f t="shared" si="937"/>
        <v>0</v>
      </c>
      <c r="BI241" s="233">
        <f t="shared" si="937"/>
        <v>0</v>
      </c>
      <c r="BJ241" s="233">
        <f t="shared" si="937"/>
        <v>0</v>
      </c>
      <c r="BK241" s="233">
        <f t="shared" si="937"/>
        <v>0</v>
      </c>
      <c r="BL241" s="233">
        <f t="shared" si="937"/>
        <v>0</v>
      </c>
      <c r="BM241" s="233">
        <f t="shared" si="937"/>
        <v>0</v>
      </c>
      <c r="BN241" s="233">
        <f t="shared" si="937"/>
        <v>0</v>
      </c>
      <c r="BO241" s="233">
        <f t="shared" ref="BO241:CB241" si="938">IF(BO239&lt;0,0,$B$5+$B$6*((1-EXP(-BO240/$B$9))/(BO240/$B$9))+$B$7*((1-EXP(-BO240/$B$9))/(BO240/$B$9)-EXP(-BO240/$B$9))+$B$8*((1-EXP(-BO240/$B$10))/(BO240/$B$10)-EXP(-BO240/$B$10)))</f>
        <v>0</v>
      </c>
      <c r="BP241" s="233">
        <f t="shared" si="938"/>
        <v>0</v>
      </c>
      <c r="BQ241" s="233">
        <f t="shared" si="938"/>
        <v>0</v>
      </c>
      <c r="BR241" s="233">
        <f t="shared" si="938"/>
        <v>0</v>
      </c>
      <c r="BS241" s="233">
        <f t="shared" si="938"/>
        <v>0</v>
      </c>
      <c r="BT241" s="233">
        <f t="shared" si="938"/>
        <v>0</v>
      </c>
      <c r="BU241" s="233">
        <f t="shared" si="938"/>
        <v>0</v>
      </c>
      <c r="BV241" s="233">
        <f t="shared" si="938"/>
        <v>0</v>
      </c>
      <c r="BW241" s="233">
        <f t="shared" si="938"/>
        <v>0</v>
      </c>
      <c r="BX241" s="233">
        <f t="shared" si="938"/>
        <v>0</v>
      </c>
      <c r="BY241" s="233">
        <f t="shared" si="938"/>
        <v>0</v>
      </c>
      <c r="BZ241" s="233">
        <f t="shared" si="938"/>
        <v>0</v>
      </c>
      <c r="CA241" s="233">
        <f t="shared" si="938"/>
        <v>0</v>
      </c>
      <c r="CB241" s="233">
        <f t="shared" si="938"/>
        <v>0</v>
      </c>
      <c r="CC241" s="19"/>
      <c r="CD241" s="19"/>
      <c r="CE241" s="19"/>
    </row>
    <row r="242" spans="1:83">
      <c r="A242" s="16" t="s">
        <v>44</v>
      </c>
      <c r="B242" s="233">
        <f>EXP(-B241*B240)</f>
        <v>1</v>
      </c>
      <c r="C242" s="233">
        <f t="shared" ref="C242:BN242" si="939">EXP(-C241*C240)</f>
        <v>1</v>
      </c>
      <c r="D242" s="233">
        <f t="shared" si="939"/>
        <v>1</v>
      </c>
      <c r="E242" s="233">
        <f t="shared" si="939"/>
        <v>1</v>
      </c>
      <c r="F242" s="233">
        <f t="shared" si="939"/>
        <v>1</v>
      </c>
      <c r="G242" s="233">
        <f t="shared" si="939"/>
        <v>1</v>
      </c>
      <c r="H242" s="233">
        <f t="shared" si="939"/>
        <v>1</v>
      </c>
      <c r="I242" s="233">
        <f t="shared" si="939"/>
        <v>1</v>
      </c>
      <c r="J242" s="233">
        <f t="shared" si="939"/>
        <v>1</v>
      </c>
      <c r="K242" s="233">
        <f t="shared" si="939"/>
        <v>1</v>
      </c>
      <c r="L242" s="233">
        <f t="shared" si="939"/>
        <v>1</v>
      </c>
      <c r="M242" s="233">
        <f t="shared" si="939"/>
        <v>1</v>
      </c>
      <c r="N242" s="233">
        <f t="shared" si="939"/>
        <v>1</v>
      </c>
      <c r="O242" s="233">
        <f t="shared" si="939"/>
        <v>1</v>
      </c>
      <c r="P242" s="233">
        <f t="shared" si="939"/>
        <v>1</v>
      </c>
      <c r="Q242" s="233">
        <f t="shared" si="939"/>
        <v>1</v>
      </c>
      <c r="R242" s="233">
        <f t="shared" si="939"/>
        <v>1</v>
      </c>
      <c r="S242" s="233">
        <f t="shared" si="939"/>
        <v>1</v>
      </c>
      <c r="T242" s="233">
        <f t="shared" si="939"/>
        <v>1</v>
      </c>
      <c r="U242" s="233">
        <f t="shared" si="939"/>
        <v>1</v>
      </c>
      <c r="V242" s="233">
        <f t="shared" si="939"/>
        <v>1</v>
      </c>
      <c r="W242" s="233">
        <f t="shared" si="939"/>
        <v>1</v>
      </c>
      <c r="X242" s="233">
        <f t="shared" si="939"/>
        <v>1</v>
      </c>
      <c r="Y242" s="233">
        <f t="shared" si="939"/>
        <v>1</v>
      </c>
      <c r="Z242" s="233">
        <f t="shared" si="939"/>
        <v>1</v>
      </c>
      <c r="AA242" s="233">
        <f t="shared" si="939"/>
        <v>1</v>
      </c>
      <c r="AB242" s="233">
        <f t="shared" si="939"/>
        <v>1</v>
      </c>
      <c r="AC242" s="233">
        <f t="shared" si="939"/>
        <v>1</v>
      </c>
      <c r="AD242" s="233">
        <f t="shared" si="939"/>
        <v>1</v>
      </c>
      <c r="AE242" s="233">
        <f t="shared" si="939"/>
        <v>1</v>
      </c>
      <c r="AF242" s="233">
        <f t="shared" si="939"/>
        <v>1</v>
      </c>
      <c r="AG242" s="233">
        <f t="shared" si="939"/>
        <v>1</v>
      </c>
      <c r="AH242" s="233">
        <f t="shared" si="939"/>
        <v>1</v>
      </c>
      <c r="AI242" s="233">
        <f t="shared" si="939"/>
        <v>1</v>
      </c>
      <c r="AJ242" s="233">
        <f t="shared" si="939"/>
        <v>1</v>
      </c>
      <c r="AK242" s="233">
        <f t="shared" si="939"/>
        <v>1</v>
      </c>
      <c r="AL242" s="233">
        <f t="shared" si="939"/>
        <v>1</v>
      </c>
      <c r="AM242" s="233">
        <f t="shared" si="939"/>
        <v>1</v>
      </c>
      <c r="AN242" s="233">
        <f t="shared" si="939"/>
        <v>1</v>
      </c>
      <c r="AO242" s="233">
        <f t="shared" si="939"/>
        <v>1</v>
      </c>
      <c r="AP242" s="233">
        <f t="shared" si="939"/>
        <v>1</v>
      </c>
      <c r="AQ242" s="233">
        <f t="shared" si="939"/>
        <v>1</v>
      </c>
      <c r="AR242" s="233">
        <f t="shared" si="939"/>
        <v>1</v>
      </c>
      <c r="AS242" s="233">
        <f t="shared" si="939"/>
        <v>1</v>
      </c>
      <c r="AT242" s="233">
        <f t="shared" si="939"/>
        <v>1</v>
      </c>
      <c r="AU242" s="233">
        <f t="shared" si="939"/>
        <v>1</v>
      </c>
      <c r="AV242" s="233">
        <f t="shared" si="939"/>
        <v>1</v>
      </c>
      <c r="AW242" s="233">
        <f t="shared" si="939"/>
        <v>1</v>
      </c>
      <c r="AX242" s="233">
        <f t="shared" si="939"/>
        <v>1</v>
      </c>
      <c r="AY242" s="233">
        <f t="shared" si="939"/>
        <v>1</v>
      </c>
      <c r="AZ242" s="233">
        <f t="shared" si="939"/>
        <v>1</v>
      </c>
      <c r="BA242" s="233">
        <f t="shared" si="939"/>
        <v>1</v>
      </c>
      <c r="BB242" s="233">
        <f t="shared" si="939"/>
        <v>1</v>
      </c>
      <c r="BC242" s="233">
        <f t="shared" si="939"/>
        <v>1</v>
      </c>
      <c r="BD242" s="233">
        <f t="shared" si="939"/>
        <v>1</v>
      </c>
      <c r="BE242" s="233">
        <f t="shared" si="939"/>
        <v>1</v>
      </c>
      <c r="BF242" s="233">
        <f t="shared" si="939"/>
        <v>1</v>
      </c>
      <c r="BG242" s="233">
        <f t="shared" si="939"/>
        <v>1</v>
      </c>
      <c r="BH242" s="233">
        <f t="shared" si="939"/>
        <v>1</v>
      </c>
      <c r="BI242" s="233">
        <f t="shared" si="939"/>
        <v>1</v>
      </c>
      <c r="BJ242" s="233">
        <f t="shared" si="939"/>
        <v>1</v>
      </c>
      <c r="BK242" s="233">
        <f t="shared" si="939"/>
        <v>1</v>
      </c>
      <c r="BL242" s="233">
        <f t="shared" si="939"/>
        <v>1</v>
      </c>
      <c r="BM242" s="233">
        <f t="shared" si="939"/>
        <v>1</v>
      </c>
      <c r="BN242" s="233">
        <f t="shared" si="939"/>
        <v>1</v>
      </c>
      <c r="BO242" s="233">
        <f t="shared" ref="BO242:CB242" si="940">EXP(-BO241*BO240)</f>
        <v>1</v>
      </c>
      <c r="BP242" s="233">
        <f t="shared" si="940"/>
        <v>1</v>
      </c>
      <c r="BQ242" s="233">
        <f t="shared" si="940"/>
        <v>1</v>
      </c>
      <c r="BR242" s="233">
        <f t="shared" si="940"/>
        <v>1</v>
      </c>
      <c r="BS242" s="233">
        <f t="shared" si="940"/>
        <v>1</v>
      </c>
      <c r="BT242" s="233">
        <f t="shared" si="940"/>
        <v>1</v>
      </c>
      <c r="BU242" s="233">
        <f t="shared" si="940"/>
        <v>1</v>
      </c>
      <c r="BV242" s="233">
        <f t="shared" si="940"/>
        <v>1</v>
      </c>
      <c r="BW242" s="233">
        <f t="shared" si="940"/>
        <v>1</v>
      </c>
      <c r="BX242" s="233">
        <f t="shared" si="940"/>
        <v>1</v>
      </c>
      <c r="BY242" s="233">
        <f t="shared" si="940"/>
        <v>1</v>
      </c>
      <c r="BZ242" s="233">
        <f t="shared" si="940"/>
        <v>1</v>
      </c>
      <c r="CA242" s="233">
        <f t="shared" si="940"/>
        <v>1</v>
      </c>
      <c r="CB242" s="233">
        <f t="shared" si="940"/>
        <v>1</v>
      </c>
      <c r="CC242" s="19"/>
      <c r="CD242" s="19"/>
      <c r="CE242" s="19"/>
    </row>
    <row r="243" spans="1:83">
      <c r="A243" s="17"/>
      <c r="B243" s="17"/>
      <c r="C243" s="17"/>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7"/>
      <c r="AB243" s="17"/>
      <c r="AC243" s="17"/>
      <c r="AD243" s="17"/>
      <c r="AE243" s="17"/>
      <c r="AF243" s="17"/>
      <c r="AG243" s="17"/>
      <c r="AH243" s="17"/>
      <c r="AI243" s="17"/>
      <c r="AJ243" s="17"/>
      <c r="AK243" s="17"/>
      <c r="AL243" s="17"/>
      <c r="AM243" s="17"/>
      <c r="AN243" s="17"/>
      <c r="AO243" s="17"/>
      <c r="AP243" s="17"/>
      <c r="AQ243" s="17"/>
      <c r="AR243" s="17"/>
      <c r="AS243" s="17"/>
      <c r="AT243" s="17"/>
      <c r="AU243" s="17"/>
      <c r="AV243" s="17"/>
      <c r="AW243" s="17"/>
      <c r="AX243" s="17"/>
      <c r="AY243" s="17"/>
      <c r="AZ243" s="17"/>
      <c r="BA243" s="17"/>
      <c r="BB243" s="17"/>
      <c r="BC243" s="17"/>
      <c r="BD243" s="17"/>
      <c r="BE243" s="17"/>
      <c r="BF243" s="17"/>
      <c r="BG243" s="17"/>
      <c r="BH243" s="17"/>
      <c r="BI243" s="17"/>
      <c r="BJ243" s="17"/>
      <c r="BK243" s="17"/>
      <c r="BL243" s="17"/>
      <c r="BM243" s="17"/>
      <c r="BN243" s="17"/>
      <c r="BO243" s="17"/>
      <c r="BP243" s="17"/>
      <c r="BQ243" s="17"/>
      <c r="BR243" s="17"/>
      <c r="BS243" s="17"/>
      <c r="BT243" s="17"/>
      <c r="BU243" s="17"/>
      <c r="BV243" s="17"/>
      <c r="BW243" s="17"/>
      <c r="BX243" s="17"/>
      <c r="BY243" s="17"/>
      <c r="BZ243" s="17"/>
      <c r="CA243" s="17"/>
      <c r="CB243" s="17"/>
      <c r="CC243" s="19"/>
      <c r="CD243" s="19"/>
      <c r="CE243" s="19"/>
    </row>
    <row r="244" spans="1:83">
      <c r="A244" s="16" t="s">
        <v>40</v>
      </c>
      <c r="B244" s="695">
        <f>DAYS360($B$3,B92)</f>
        <v>150</v>
      </c>
      <c r="C244" s="695">
        <f t="shared" ref="C244:BN244" si="941">DAYS360($B$3,C92)</f>
        <v>329</v>
      </c>
      <c r="D244" s="695">
        <f t="shared" si="941"/>
        <v>509</v>
      </c>
      <c r="E244" s="695">
        <f t="shared" si="941"/>
        <v>689</v>
      </c>
      <c r="F244" s="695">
        <f t="shared" si="941"/>
        <v>869</v>
      </c>
      <c r="G244" s="695">
        <f t="shared" si="941"/>
        <v>1049</v>
      </c>
      <c r="H244" s="695">
        <f t="shared" si="941"/>
        <v>1229</v>
      </c>
      <c r="I244" s="695">
        <f t="shared" si="941"/>
        <v>1409</v>
      </c>
      <c r="J244" s="695">
        <f t="shared" si="941"/>
        <v>1589</v>
      </c>
      <c r="K244" s="695">
        <f t="shared" si="941"/>
        <v>1769</v>
      </c>
      <c r="L244" s="695">
        <f t="shared" si="941"/>
        <v>1948</v>
      </c>
      <c r="M244" s="695">
        <f t="shared" si="941"/>
        <v>2129</v>
      </c>
      <c r="N244" s="695">
        <f t="shared" si="941"/>
        <v>2308</v>
      </c>
      <c r="O244" s="695">
        <f t="shared" si="941"/>
        <v>2489</v>
      </c>
      <c r="P244" s="695">
        <f t="shared" si="941"/>
        <v>2668</v>
      </c>
      <c r="Q244" s="695">
        <f t="shared" si="941"/>
        <v>2849</v>
      </c>
      <c r="R244" s="695">
        <f t="shared" si="941"/>
        <v>3028</v>
      </c>
      <c r="S244" s="695">
        <f t="shared" si="941"/>
        <v>3208</v>
      </c>
      <c r="T244" s="695">
        <f t="shared" si="941"/>
        <v>3387</v>
      </c>
      <c r="U244" s="695">
        <f t="shared" si="941"/>
        <v>3568</v>
      </c>
      <c r="V244" s="695">
        <f t="shared" si="941"/>
        <v>3747</v>
      </c>
      <c r="W244" s="695">
        <f t="shared" si="941"/>
        <v>3928</v>
      </c>
      <c r="X244" s="695">
        <f t="shared" si="941"/>
        <v>4107</v>
      </c>
      <c r="Y244" s="695">
        <f t="shared" si="941"/>
        <v>4288</v>
      </c>
      <c r="Z244" s="695">
        <f t="shared" si="941"/>
        <v>4467</v>
      </c>
      <c r="AA244" s="695">
        <f t="shared" si="941"/>
        <v>4647</v>
      </c>
      <c r="AB244" s="695">
        <f t="shared" si="941"/>
        <v>4826</v>
      </c>
      <c r="AC244" s="695">
        <f t="shared" si="941"/>
        <v>5007</v>
      </c>
      <c r="AD244" s="695">
        <f t="shared" si="941"/>
        <v>5186</v>
      </c>
      <c r="AE244" s="695">
        <f t="shared" si="941"/>
        <v>5367</v>
      </c>
      <c r="AF244" s="695">
        <f t="shared" si="941"/>
        <v>5546</v>
      </c>
      <c r="AG244" s="695">
        <f t="shared" si="941"/>
        <v>5727</v>
      </c>
      <c r="AH244" s="695">
        <f t="shared" si="941"/>
        <v>5906</v>
      </c>
      <c r="AI244" s="695">
        <f t="shared" si="941"/>
        <v>6086</v>
      </c>
      <c r="AJ244" s="695">
        <f t="shared" si="941"/>
        <v>6265</v>
      </c>
      <c r="AK244" s="695">
        <f t="shared" si="941"/>
        <v>6446</v>
      </c>
      <c r="AL244" s="695">
        <f t="shared" si="941"/>
        <v>6625</v>
      </c>
      <c r="AM244" s="695">
        <f t="shared" si="941"/>
        <v>6806</v>
      </c>
      <c r="AN244" s="695">
        <f t="shared" si="941"/>
        <v>6985</v>
      </c>
      <c r="AO244" s="695">
        <f t="shared" si="941"/>
        <v>7166</v>
      </c>
      <c r="AP244" s="695">
        <f t="shared" si="941"/>
        <v>7345</v>
      </c>
      <c r="AQ244" s="695">
        <f t="shared" si="941"/>
        <v>7525</v>
      </c>
      <c r="AR244" s="695">
        <f t="shared" si="941"/>
        <v>7704</v>
      </c>
      <c r="AS244" s="695">
        <f t="shared" si="941"/>
        <v>7885</v>
      </c>
      <c r="AT244" s="695">
        <f t="shared" si="941"/>
        <v>8064</v>
      </c>
      <c r="AU244" s="695">
        <f t="shared" si="941"/>
        <v>8245</v>
      </c>
      <c r="AV244" s="695">
        <f t="shared" si="941"/>
        <v>8424</v>
      </c>
      <c r="AW244" s="695">
        <f t="shared" si="941"/>
        <v>8605</v>
      </c>
      <c r="AX244" s="695">
        <f t="shared" si="941"/>
        <v>8784</v>
      </c>
      <c r="AY244" s="695">
        <f t="shared" si="941"/>
        <v>8964</v>
      </c>
      <c r="AZ244" s="695">
        <f t="shared" si="941"/>
        <v>9143</v>
      </c>
      <c r="BA244" s="695">
        <f t="shared" si="941"/>
        <v>9324</v>
      </c>
      <c r="BB244" s="695">
        <f t="shared" si="941"/>
        <v>9503</v>
      </c>
      <c r="BC244" s="695">
        <f t="shared" si="941"/>
        <v>9684</v>
      </c>
      <c r="BD244" s="695">
        <f t="shared" si="941"/>
        <v>9863</v>
      </c>
      <c r="BE244" s="695">
        <f t="shared" si="941"/>
        <v>10044</v>
      </c>
      <c r="BF244" s="695">
        <f t="shared" si="941"/>
        <v>10223</v>
      </c>
      <c r="BG244" s="695">
        <f t="shared" si="941"/>
        <v>10403</v>
      </c>
      <c r="BH244" s="695">
        <f t="shared" si="941"/>
        <v>10582</v>
      </c>
      <c r="BI244" s="695">
        <f t="shared" si="941"/>
        <v>10763</v>
      </c>
      <c r="BJ244" s="695">
        <f t="shared" si="941"/>
        <v>10942</v>
      </c>
      <c r="BK244" s="695">
        <f t="shared" si="941"/>
        <v>11123</v>
      </c>
      <c r="BL244" s="695">
        <f t="shared" si="941"/>
        <v>11302</v>
      </c>
      <c r="BM244" s="695">
        <f t="shared" si="941"/>
        <v>11483</v>
      </c>
      <c r="BN244" s="695">
        <f t="shared" si="941"/>
        <v>11662</v>
      </c>
      <c r="BO244" s="695">
        <f t="shared" ref="BO244:CB244" si="942">DAYS360($B$3,BO92)</f>
        <v>11842</v>
      </c>
      <c r="BP244" s="695">
        <f t="shared" si="942"/>
        <v>12021</v>
      </c>
      <c r="BQ244" s="695">
        <f t="shared" si="942"/>
        <v>12202</v>
      </c>
      <c r="BR244" s="695">
        <f t="shared" si="942"/>
        <v>12381</v>
      </c>
      <c r="BS244" s="695">
        <f t="shared" si="942"/>
        <v>12562</v>
      </c>
      <c r="BT244" s="695">
        <f t="shared" si="942"/>
        <v>12741</v>
      </c>
      <c r="BU244" s="695">
        <f t="shared" si="942"/>
        <v>12922</v>
      </c>
      <c r="BV244" s="695">
        <f t="shared" si="942"/>
        <v>13101</v>
      </c>
      <c r="BW244" s="695">
        <f t="shared" si="942"/>
        <v>13281</v>
      </c>
      <c r="BX244" s="695">
        <f t="shared" si="942"/>
        <v>13460</v>
      </c>
      <c r="BY244" s="695">
        <f t="shared" si="942"/>
        <v>13641</v>
      </c>
      <c r="BZ244" s="695">
        <f t="shared" si="942"/>
        <v>13820</v>
      </c>
      <c r="CA244" s="695">
        <f t="shared" si="942"/>
        <v>14001</v>
      </c>
      <c r="CB244" s="695">
        <f t="shared" si="942"/>
        <v>14180</v>
      </c>
      <c r="CC244" s="19"/>
      <c r="CD244" s="19"/>
      <c r="CE244" s="19"/>
    </row>
    <row r="245" spans="1:83">
      <c r="A245" s="16" t="s">
        <v>41</v>
      </c>
      <c r="B245" s="233">
        <f>B244/360</f>
        <v>0.41666666666666669</v>
      </c>
      <c r="C245" s="233">
        <f t="shared" ref="C245:BN245" si="943">C244/360</f>
        <v>0.91388888888888886</v>
      </c>
      <c r="D245" s="233">
        <f t="shared" si="943"/>
        <v>1.413888888888889</v>
      </c>
      <c r="E245" s="233">
        <f t="shared" si="943"/>
        <v>1.913888888888889</v>
      </c>
      <c r="F245" s="233">
        <f t="shared" si="943"/>
        <v>2.4138888888888888</v>
      </c>
      <c r="G245" s="233">
        <f t="shared" si="943"/>
        <v>2.9138888888888888</v>
      </c>
      <c r="H245" s="233">
        <f t="shared" si="943"/>
        <v>3.4138888888888888</v>
      </c>
      <c r="I245" s="233">
        <f t="shared" si="943"/>
        <v>3.9138888888888888</v>
      </c>
      <c r="J245" s="233">
        <f t="shared" si="943"/>
        <v>4.4138888888888888</v>
      </c>
      <c r="K245" s="233">
        <f t="shared" si="943"/>
        <v>4.9138888888888888</v>
      </c>
      <c r="L245" s="233">
        <f t="shared" si="943"/>
        <v>5.4111111111111114</v>
      </c>
      <c r="M245" s="233">
        <f t="shared" si="943"/>
        <v>5.9138888888888888</v>
      </c>
      <c r="N245" s="233">
        <f t="shared" si="943"/>
        <v>6.4111111111111114</v>
      </c>
      <c r="O245" s="233">
        <f t="shared" si="943"/>
        <v>6.9138888888888888</v>
      </c>
      <c r="P245" s="233">
        <f t="shared" si="943"/>
        <v>7.4111111111111114</v>
      </c>
      <c r="Q245" s="233">
        <f t="shared" si="943"/>
        <v>7.9138888888888888</v>
      </c>
      <c r="R245" s="233">
        <f t="shared" si="943"/>
        <v>8.4111111111111114</v>
      </c>
      <c r="S245" s="233">
        <f t="shared" si="943"/>
        <v>8.9111111111111114</v>
      </c>
      <c r="T245" s="233">
        <f t="shared" si="943"/>
        <v>9.4083333333333332</v>
      </c>
      <c r="U245" s="233">
        <f t="shared" si="943"/>
        <v>9.9111111111111114</v>
      </c>
      <c r="V245" s="233">
        <f t="shared" si="943"/>
        <v>10.408333333333333</v>
      </c>
      <c r="W245" s="233">
        <f t="shared" si="943"/>
        <v>10.911111111111111</v>
      </c>
      <c r="X245" s="233">
        <f t="shared" si="943"/>
        <v>11.408333333333333</v>
      </c>
      <c r="Y245" s="233">
        <f t="shared" si="943"/>
        <v>11.911111111111111</v>
      </c>
      <c r="Z245" s="233">
        <f t="shared" si="943"/>
        <v>12.408333333333333</v>
      </c>
      <c r="AA245" s="233">
        <f t="shared" si="943"/>
        <v>12.908333333333333</v>
      </c>
      <c r="AB245" s="233">
        <f t="shared" si="943"/>
        <v>13.405555555555555</v>
      </c>
      <c r="AC245" s="233">
        <f t="shared" si="943"/>
        <v>13.908333333333333</v>
      </c>
      <c r="AD245" s="233">
        <f t="shared" si="943"/>
        <v>14.405555555555555</v>
      </c>
      <c r="AE245" s="233">
        <f t="shared" si="943"/>
        <v>14.908333333333333</v>
      </c>
      <c r="AF245" s="233">
        <f t="shared" si="943"/>
        <v>15.405555555555555</v>
      </c>
      <c r="AG245" s="233">
        <f t="shared" si="943"/>
        <v>15.908333333333333</v>
      </c>
      <c r="AH245" s="233">
        <f t="shared" si="943"/>
        <v>16.405555555555555</v>
      </c>
      <c r="AI245" s="233">
        <f t="shared" si="943"/>
        <v>16.905555555555555</v>
      </c>
      <c r="AJ245" s="233">
        <f t="shared" si="943"/>
        <v>17.402777777777779</v>
      </c>
      <c r="AK245" s="233">
        <f t="shared" si="943"/>
        <v>17.905555555555555</v>
      </c>
      <c r="AL245" s="233">
        <f t="shared" si="943"/>
        <v>18.402777777777779</v>
      </c>
      <c r="AM245" s="233">
        <f t="shared" si="943"/>
        <v>18.905555555555555</v>
      </c>
      <c r="AN245" s="233">
        <f t="shared" si="943"/>
        <v>19.402777777777779</v>
      </c>
      <c r="AO245" s="233">
        <f t="shared" si="943"/>
        <v>19.905555555555555</v>
      </c>
      <c r="AP245" s="233">
        <f t="shared" si="943"/>
        <v>20.402777777777779</v>
      </c>
      <c r="AQ245" s="233">
        <f t="shared" si="943"/>
        <v>20.902777777777779</v>
      </c>
      <c r="AR245" s="233">
        <f t="shared" si="943"/>
        <v>21.4</v>
      </c>
      <c r="AS245" s="233">
        <f t="shared" si="943"/>
        <v>21.902777777777779</v>
      </c>
      <c r="AT245" s="233">
        <f t="shared" si="943"/>
        <v>22.4</v>
      </c>
      <c r="AU245" s="233">
        <f t="shared" si="943"/>
        <v>22.902777777777779</v>
      </c>
      <c r="AV245" s="233">
        <f t="shared" si="943"/>
        <v>23.4</v>
      </c>
      <c r="AW245" s="233">
        <f t="shared" si="943"/>
        <v>23.902777777777779</v>
      </c>
      <c r="AX245" s="233">
        <f t="shared" si="943"/>
        <v>24.4</v>
      </c>
      <c r="AY245" s="233">
        <f t="shared" si="943"/>
        <v>24.9</v>
      </c>
      <c r="AZ245" s="233">
        <f t="shared" si="943"/>
        <v>25.397222222222222</v>
      </c>
      <c r="BA245" s="233">
        <f t="shared" si="943"/>
        <v>25.9</v>
      </c>
      <c r="BB245" s="233">
        <f t="shared" si="943"/>
        <v>26.397222222222222</v>
      </c>
      <c r="BC245" s="233">
        <f t="shared" si="943"/>
        <v>26.9</v>
      </c>
      <c r="BD245" s="233">
        <f t="shared" si="943"/>
        <v>27.397222222222222</v>
      </c>
      <c r="BE245" s="233">
        <f t="shared" si="943"/>
        <v>27.9</v>
      </c>
      <c r="BF245" s="233">
        <f t="shared" si="943"/>
        <v>28.397222222222222</v>
      </c>
      <c r="BG245" s="233">
        <f t="shared" si="943"/>
        <v>28.897222222222222</v>
      </c>
      <c r="BH245" s="233">
        <f t="shared" si="943"/>
        <v>29.394444444444446</v>
      </c>
      <c r="BI245" s="233">
        <f t="shared" si="943"/>
        <v>29.897222222222222</v>
      </c>
      <c r="BJ245" s="233">
        <f t="shared" si="943"/>
        <v>30.394444444444446</v>
      </c>
      <c r="BK245" s="233">
        <f t="shared" si="943"/>
        <v>30.897222222222222</v>
      </c>
      <c r="BL245" s="233">
        <f t="shared" si="943"/>
        <v>31.394444444444446</v>
      </c>
      <c r="BM245" s="233">
        <f t="shared" si="943"/>
        <v>31.897222222222222</v>
      </c>
      <c r="BN245" s="233">
        <f t="shared" si="943"/>
        <v>32.394444444444446</v>
      </c>
      <c r="BO245" s="233">
        <f t="shared" ref="BO245:CB245" si="944">BO244/360</f>
        <v>32.894444444444446</v>
      </c>
      <c r="BP245" s="233">
        <f t="shared" si="944"/>
        <v>33.391666666666666</v>
      </c>
      <c r="BQ245" s="233">
        <f t="shared" si="944"/>
        <v>33.894444444444446</v>
      </c>
      <c r="BR245" s="233">
        <f t="shared" si="944"/>
        <v>34.391666666666666</v>
      </c>
      <c r="BS245" s="233">
        <f t="shared" si="944"/>
        <v>34.894444444444446</v>
      </c>
      <c r="BT245" s="233">
        <f t="shared" si="944"/>
        <v>35.391666666666666</v>
      </c>
      <c r="BU245" s="233">
        <f t="shared" si="944"/>
        <v>35.894444444444446</v>
      </c>
      <c r="BV245" s="233">
        <f t="shared" si="944"/>
        <v>36.391666666666666</v>
      </c>
      <c r="BW245" s="233">
        <f t="shared" si="944"/>
        <v>36.891666666666666</v>
      </c>
      <c r="BX245" s="233">
        <f t="shared" si="944"/>
        <v>37.388888888888886</v>
      </c>
      <c r="BY245" s="233">
        <f t="shared" si="944"/>
        <v>37.891666666666666</v>
      </c>
      <c r="BZ245" s="233">
        <f t="shared" si="944"/>
        <v>38.388888888888886</v>
      </c>
      <c r="CA245" s="233">
        <f t="shared" si="944"/>
        <v>38.891666666666666</v>
      </c>
      <c r="CB245" s="233">
        <f t="shared" si="944"/>
        <v>39.388888888888886</v>
      </c>
      <c r="CC245" s="19"/>
      <c r="CD245" s="19"/>
      <c r="CE245" s="19"/>
    </row>
    <row r="246" spans="1:83">
      <c r="A246" s="16" t="s">
        <v>43</v>
      </c>
      <c r="B246" s="233">
        <f>IF(B244&lt;0,0,$B$5+$B$6*((1-EXP(-B245/$B$9))/(B245/$B$9))+$B$7*((1-EXP(-B245/$B$9))/(B245/$B$9)-EXP(-B245/$B$9))+$B$8*((1-EXP(-B245/$B$10))/(B245/$B$10)-EXP(-B245/$B$10)))</f>
        <v>1.8856800669901166E-2</v>
      </c>
      <c r="C246" s="233">
        <f t="shared" ref="C246:BN246" si="945">IF(C244&lt;0,0,$B$5+$B$6*((1-EXP(-C245/$B$9))/(C245/$B$9))+$B$7*((1-EXP(-C245/$B$9))/(C245/$B$9)-EXP(-C245/$B$9))+$B$8*((1-EXP(-C245/$B$10))/(C245/$B$10)-EXP(-C245/$B$10)))</f>
        <v>1.7974344723387829E-2</v>
      </c>
      <c r="D246" s="233">
        <f t="shared" si="945"/>
        <v>1.7198774968210106E-2</v>
      </c>
      <c r="E246" s="233">
        <f t="shared" si="945"/>
        <v>1.6527361754285829E-2</v>
      </c>
      <c r="F246" s="233">
        <f t="shared" si="945"/>
        <v>1.5952600227657869E-2</v>
      </c>
      <c r="G246" s="233">
        <f t="shared" si="945"/>
        <v>1.5467440397390085E-2</v>
      </c>
      <c r="H246" s="233">
        <f t="shared" si="945"/>
        <v>1.5065261750012125E-2</v>
      </c>
      <c r="I246" s="233">
        <f t="shared" si="945"/>
        <v>1.4739849213927583E-2</v>
      </c>
      <c r="J246" s="233">
        <f t="shared" si="945"/>
        <v>1.4485370404228676E-2</v>
      </c>
      <c r="K246" s="233">
        <f t="shared" si="945"/>
        <v>1.4296354081865324E-2</v>
      </c>
      <c r="L246" s="233">
        <f t="shared" si="945"/>
        <v>1.416822699425542E-2</v>
      </c>
      <c r="M246" s="233">
        <f t="shared" si="945"/>
        <v>1.4094508429132721E-2</v>
      </c>
      <c r="N246" s="233">
        <f t="shared" si="945"/>
        <v>1.4072354224263728E-2</v>
      </c>
      <c r="O246" s="233">
        <f t="shared" si="945"/>
        <v>1.4097017323533495E-2</v>
      </c>
      <c r="P246" s="233">
        <f t="shared" si="945"/>
        <v>1.4164030852589063E-2</v>
      </c>
      <c r="Q246" s="233">
        <f t="shared" si="945"/>
        <v>1.4271167974331672E-2</v>
      </c>
      <c r="R246" s="233">
        <f t="shared" si="945"/>
        <v>1.4412629189605911E-2</v>
      </c>
      <c r="S246" s="233">
        <f t="shared" si="945"/>
        <v>1.4587264746974457E-2</v>
      </c>
      <c r="T246" s="233">
        <f t="shared" si="945"/>
        <v>1.4790150751107803E-2</v>
      </c>
      <c r="U246" s="233">
        <f t="shared" si="945"/>
        <v>1.5022097666356399E-2</v>
      </c>
      <c r="V246" s="233">
        <f t="shared" si="945"/>
        <v>1.5275367623501734E-2</v>
      </c>
      <c r="W246" s="233">
        <f t="shared" si="945"/>
        <v>1.5553148154071633E-2</v>
      </c>
      <c r="X246" s="233">
        <f t="shared" si="945"/>
        <v>1.5847030508525539E-2</v>
      </c>
      <c r="Y246" s="233">
        <f t="shared" si="945"/>
        <v>1.6161436389946243E-2</v>
      </c>
      <c r="Z246" s="233">
        <f t="shared" si="945"/>
        <v>1.6487450397870862E-2</v>
      </c>
      <c r="AA246" s="233">
        <f t="shared" si="945"/>
        <v>1.6828572144312992E-2</v>
      </c>
      <c r="AB246" s="233">
        <f t="shared" si="945"/>
        <v>1.717931939684636E-2</v>
      </c>
      <c r="AC246" s="233">
        <f t="shared" si="945"/>
        <v>1.7544068707881014E-2</v>
      </c>
      <c r="AD246" s="233">
        <f t="shared" si="945"/>
        <v>1.7913295601504065E-2</v>
      </c>
      <c r="AE246" s="233">
        <f t="shared" si="945"/>
        <v>1.8293874582352154E-2</v>
      </c>
      <c r="AF246" s="233">
        <f t="shared" si="945"/>
        <v>1.8676139940172004E-2</v>
      </c>
      <c r="AG246" s="233">
        <f t="shared" si="945"/>
        <v>1.9067456266657207E-2</v>
      </c>
      <c r="AH246" s="233">
        <f t="shared" si="945"/>
        <v>1.9458104291935785E-2</v>
      </c>
      <c r="AI246" s="233">
        <f t="shared" si="945"/>
        <v>1.9853607852832342E-2</v>
      </c>
      <c r="AJ246" s="233">
        <f t="shared" si="945"/>
        <v>2.0248666663622045E-2</v>
      </c>
      <c r="AK246" s="233">
        <f t="shared" si="945"/>
        <v>2.0649068791114708E-2</v>
      </c>
      <c r="AL246" s="233">
        <f t="shared" si="945"/>
        <v>2.1045197283158235E-2</v>
      </c>
      <c r="AM246" s="233">
        <f t="shared" si="945"/>
        <v>2.1445189648215957E-2</v>
      </c>
      <c r="AN246" s="233">
        <f t="shared" si="945"/>
        <v>2.1839562406134522E-2</v>
      </c>
      <c r="AO246" s="233">
        <f t="shared" si="945"/>
        <v>2.2236531970002429E-2</v>
      </c>
      <c r="AP246" s="233">
        <f t="shared" si="945"/>
        <v>2.2626790510046124E-2</v>
      </c>
      <c r="AQ246" s="233">
        <f t="shared" si="945"/>
        <v>2.3016409942553606E-2</v>
      </c>
      <c r="AR246" s="233">
        <f t="shared" si="945"/>
        <v>2.3400623085065783E-2</v>
      </c>
      <c r="AS246" s="233">
        <f t="shared" si="945"/>
        <v>2.3785439499663025E-2</v>
      </c>
      <c r="AT246" s="233">
        <f t="shared" si="945"/>
        <v>2.4161997521923675E-2</v>
      </c>
      <c r="AU246" s="233">
        <f t="shared" si="945"/>
        <v>2.4538386889680255E-2</v>
      </c>
      <c r="AV246" s="233">
        <f t="shared" si="945"/>
        <v>2.490600411477778E-2</v>
      </c>
      <c r="AW246" s="233">
        <f t="shared" si="945"/>
        <v>2.5272807129882169E-2</v>
      </c>
      <c r="AX246" s="233">
        <f t="shared" si="945"/>
        <v>2.563046662984704E-2</v>
      </c>
      <c r="AY246" s="233">
        <f t="shared" si="945"/>
        <v>2.5984823370833479E-2</v>
      </c>
      <c r="AZ246" s="233">
        <f t="shared" si="945"/>
        <v>2.6331771441450935E-2</v>
      </c>
      <c r="BA246" s="233">
        <f t="shared" si="945"/>
        <v>2.6676932620046445E-2</v>
      </c>
      <c r="BB246" s="233">
        <f t="shared" si="945"/>
        <v>2.7012555913186603E-2</v>
      </c>
      <c r="BC246" s="233">
        <f t="shared" si="945"/>
        <v>2.7346037269436435E-2</v>
      </c>
      <c r="BD246" s="233">
        <f t="shared" si="945"/>
        <v>2.7669923539536609E-2</v>
      </c>
      <c r="BE246" s="233">
        <f t="shared" si="945"/>
        <v>2.7991385658872533E-2</v>
      </c>
      <c r="BF246" s="233">
        <f t="shared" si="945"/>
        <v>2.8303269993465011E-2</v>
      </c>
      <c r="BG246" s="233">
        <f t="shared" si="945"/>
        <v>2.8610819455549261E-2</v>
      </c>
      <c r="BH246" s="233">
        <f t="shared" si="945"/>
        <v>2.8910596160771601E-2</v>
      </c>
      <c r="BI246" s="233">
        <f t="shared" si="945"/>
        <v>2.9207565117998338E-2</v>
      </c>
      <c r="BJ246" s="233">
        <f t="shared" si="945"/>
        <v>2.9495166957985E-2</v>
      </c>
      <c r="BK246" s="233">
        <f t="shared" si="945"/>
        <v>2.977984285761634E-2</v>
      </c>
      <c r="BL246" s="233">
        <f t="shared" si="945"/>
        <v>3.0055325454563006E-2</v>
      </c>
      <c r="BM246" s="233">
        <f t="shared" si="945"/>
        <v>3.0327803935313938E-2</v>
      </c>
      <c r="BN246" s="233">
        <f t="shared" si="945"/>
        <v>3.0591297380408278E-2</v>
      </c>
      <c r="BO246" s="233">
        <f t="shared" ref="BO246:CB246" si="946">IF(BO244&lt;0,0,$B$5+$B$6*((1-EXP(-BO245/$B$9))/(BO245/$B$9))+$B$7*((1-EXP(-BO245/$B$9))/(BO245/$B$9)-EXP(-BO245/$B$9))+$B$8*((1-EXP(-BO245/$B$10))/(BO245/$B$10)-EXP(-BO245/$B$10)))</f>
        <v>3.0850320151002239E-2</v>
      </c>
      <c r="BP246" s="233">
        <f t="shared" si="946"/>
        <v>3.1102048526323312E-2</v>
      </c>
      <c r="BQ246" s="233">
        <f t="shared" si="946"/>
        <v>3.1350713490567519E-2</v>
      </c>
      <c r="BR246" s="233">
        <f t="shared" si="946"/>
        <v>3.159088548974924E-2</v>
      </c>
      <c r="BS246" s="233">
        <f t="shared" si="946"/>
        <v>3.1828003108478095E-2</v>
      </c>
      <c r="BT246" s="233">
        <f t="shared" si="946"/>
        <v>3.2056900963813126E-2</v>
      </c>
      <c r="BU246" s="233">
        <f t="shared" si="946"/>
        <v>3.228277378162478E-2</v>
      </c>
      <c r="BV246" s="233">
        <f t="shared" si="946"/>
        <v>3.2500711690673839E-2</v>
      </c>
      <c r="BW246" s="233">
        <f t="shared" si="946"/>
        <v>3.2714497893372871E-2</v>
      </c>
      <c r="BX246" s="233">
        <f t="shared" si="946"/>
        <v>3.2921843675860582E-2</v>
      </c>
      <c r="BY246" s="233">
        <f t="shared" si="946"/>
        <v>3.3126270309412564E-2</v>
      </c>
      <c r="BZ246" s="233">
        <f t="shared" si="946"/>
        <v>3.3323351005999119E-2</v>
      </c>
      <c r="CA246" s="233">
        <f t="shared" si="946"/>
        <v>3.3517583547830049E-2</v>
      </c>
      <c r="CB246" s="233">
        <f t="shared" si="946"/>
        <v>3.3704769017409569E-2</v>
      </c>
      <c r="CC246" s="19"/>
      <c r="CD246" s="19"/>
      <c r="CE246" s="19"/>
    </row>
    <row r="247" spans="1:83">
      <c r="A247" s="16" t="s">
        <v>44</v>
      </c>
      <c r="B247" s="233">
        <f>EXP(-B246*B245)</f>
        <v>0.99217378526745514</v>
      </c>
      <c r="C247" s="233">
        <f t="shared" ref="C247:BN247" si="947">EXP(-C246*C245)</f>
        <v>0.98370762619889185</v>
      </c>
      <c r="D247" s="233">
        <f t="shared" si="947"/>
        <v>0.97597612317332183</v>
      </c>
      <c r="E247" s="233">
        <f t="shared" si="947"/>
        <v>0.96886350955583378</v>
      </c>
      <c r="F247" s="233">
        <f t="shared" si="947"/>
        <v>0.96222419509102708</v>
      </c>
      <c r="G247" s="233">
        <f t="shared" si="947"/>
        <v>0.95593017938543912</v>
      </c>
      <c r="H247" s="233">
        <f t="shared" si="947"/>
        <v>0.94986906548033956</v>
      </c>
      <c r="I247" s="233">
        <f t="shared" si="947"/>
        <v>0.94394239960836768</v>
      </c>
      <c r="J247" s="233">
        <f t="shared" si="947"/>
        <v>0.93806426880006522</v>
      </c>
      <c r="K247" s="233">
        <f t="shared" si="947"/>
        <v>0.93216010229204482</v>
      </c>
      <c r="L247" s="233">
        <f t="shared" si="947"/>
        <v>0.92619929092204412</v>
      </c>
      <c r="M247" s="233">
        <f t="shared" si="947"/>
        <v>0.92002599234116811</v>
      </c>
      <c r="N247" s="233">
        <f t="shared" si="947"/>
        <v>0.91373066652600043</v>
      </c>
      <c r="O247" s="233">
        <f t="shared" si="947"/>
        <v>0.90713389888926632</v>
      </c>
      <c r="P247" s="233">
        <f t="shared" si="947"/>
        <v>0.9003504465168799</v>
      </c>
      <c r="Q247" s="233">
        <f t="shared" si="947"/>
        <v>0.89320385984048567</v>
      </c>
      <c r="R247" s="233">
        <f t="shared" si="947"/>
        <v>0.8858335387732772</v>
      </c>
      <c r="S247" s="233">
        <f t="shared" si="947"/>
        <v>0.87810532099364835</v>
      </c>
      <c r="T247" s="233">
        <f t="shared" si="947"/>
        <v>0.87009692254308424</v>
      </c>
      <c r="U247" s="233">
        <f t="shared" si="947"/>
        <v>0.86166761589168028</v>
      </c>
      <c r="V247" s="233">
        <f t="shared" si="947"/>
        <v>0.85300393530397267</v>
      </c>
      <c r="W247" s="233">
        <f t="shared" si="947"/>
        <v>0.84391615846121915</v>
      </c>
      <c r="X247" s="233">
        <f t="shared" si="947"/>
        <v>0.83461210549335096</v>
      </c>
      <c r="Y247" s="233">
        <f t="shared" si="947"/>
        <v>0.82489377001547859</v>
      </c>
      <c r="Z247" s="233">
        <f t="shared" si="947"/>
        <v>0.81498808917800636</v>
      </c>
      <c r="AA247" s="233">
        <f t="shared" si="947"/>
        <v>0.80474580729591716</v>
      </c>
      <c r="AB247" s="233">
        <f t="shared" si="947"/>
        <v>0.79429661212867664</v>
      </c>
      <c r="AC247" s="233">
        <f t="shared" si="947"/>
        <v>0.78348077437907382</v>
      </c>
      <c r="AD247" s="233">
        <f t="shared" si="947"/>
        <v>0.77255585009147687</v>
      </c>
      <c r="AE247" s="233">
        <f t="shared" si="947"/>
        <v>0.76129741191790201</v>
      </c>
      <c r="AF247" s="233">
        <f t="shared" si="947"/>
        <v>0.7499743212197082</v>
      </c>
      <c r="AG247" s="233">
        <f t="shared" si="947"/>
        <v>0.738354328186138</v>
      </c>
      <c r="AH247" s="233">
        <f t="shared" si="947"/>
        <v>0.72671491958930934</v>
      </c>
      <c r="AI247" s="233">
        <f t="shared" si="947"/>
        <v>0.71488308257427069</v>
      </c>
      <c r="AJ247" s="233">
        <f t="shared" si="947"/>
        <v>0.70301078475522083</v>
      </c>
      <c r="AK247" s="233">
        <f t="shared" si="947"/>
        <v>0.69091874787947183</v>
      </c>
      <c r="AL247" s="233">
        <f t="shared" si="947"/>
        <v>0.67889412671423999</v>
      </c>
      <c r="AM247" s="233">
        <f t="shared" si="947"/>
        <v>0.66668792288179124</v>
      </c>
      <c r="AN247" s="233">
        <f t="shared" si="947"/>
        <v>0.65458870221530374</v>
      </c>
      <c r="AO247" s="233">
        <f t="shared" si="947"/>
        <v>0.64234449509227709</v>
      </c>
      <c r="AP247" s="233">
        <f t="shared" si="947"/>
        <v>0.63024327798680835</v>
      </c>
      <c r="AQ247" s="233">
        <f t="shared" si="947"/>
        <v>0.61809883800120125</v>
      </c>
      <c r="AR247" s="233">
        <f t="shared" si="947"/>
        <v>0.60606179023878204</v>
      </c>
      <c r="AS247" s="233">
        <f t="shared" si="947"/>
        <v>0.59394580823564735</v>
      </c>
      <c r="AT247" s="233">
        <f t="shared" si="947"/>
        <v>0.58203264340951544</v>
      </c>
      <c r="AU247" s="233">
        <f t="shared" si="947"/>
        <v>0.57006937105162436</v>
      </c>
      <c r="AV247" s="233">
        <f t="shared" si="947"/>
        <v>0.55833256680097409</v>
      </c>
      <c r="AW247" s="233">
        <f t="shared" si="947"/>
        <v>0.54657142058658903</v>
      </c>
      <c r="AX247" s="233">
        <f t="shared" si="947"/>
        <v>0.5350562562375728</v>
      </c>
      <c r="AY247" s="233">
        <f t="shared" si="947"/>
        <v>0.52360269288834227</v>
      </c>
      <c r="AZ247" s="233">
        <f t="shared" si="947"/>
        <v>0.51234664049779621</v>
      </c>
      <c r="BA247" s="233">
        <f t="shared" si="947"/>
        <v>0.50110853989776949</v>
      </c>
      <c r="BB247" s="233">
        <f t="shared" si="947"/>
        <v>0.49014380995621154</v>
      </c>
      <c r="BC247" s="233">
        <f t="shared" si="947"/>
        <v>0.47921381535930602</v>
      </c>
      <c r="BD247" s="233">
        <f t="shared" si="947"/>
        <v>0.46856565701339492</v>
      </c>
      <c r="BE247" s="233">
        <f t="shared" si="947"/>
        <v>0.45796630846259145</v>
      </c>
      <c r="BF247" s="233">
        <f t="shared" si="947"/>
        <v>0.44765418746391905</v>
      </c>
      <c r="BG247" s="233">
        <f t="shared" si="947"/>
        <v>0.43745859932919057</v>
      </c>
      <c r="BH247" s="233">
        <f t="shared" si="947"/>
        <v>0.42749575832404235</v>
      </c>
      <c r="BI247" s="233">
        <f t="shared" si="947"/>
        <v>0.41760257973651399</v>
      </c>
      <c r="BJ247" s="233">
        <f t="shared" si="947"/>
        <v>0.40799954756655665</v>
      </c>
      <c r="BK247" s="233">
        <f t="shared" si="947"/>
        <v>0.39847344414241376</v>
      </c>
      <c r="BL247" s="233">
        <f t="shared" si="947"/>
        <v>0.38923568482573828</v>
      </c>
      <c r="BM247" s="233">
        <f t="shared" si="947"/>
        <v>0.38008031184314045</v>
      </c>
      <c r="BN247" s="233">
        <f t="shared" si="947"/>
        <v>0.37120972356174958</v>
      </c>
      <c r="BO247" s="233">
        <f t="shared" ref="BO247:CB247" si="948">EXP(-BO246*BO245)</f>
        <v>0.36247341609007772</v>
      </c>
      <c r="BP247" s="233">
        <f t="shared" si="948"/>
        <v>0.353967833059183</v>
      </c>
      <c r="BQ247" s="233">
        <f t="shared" si="948"/>
        <v>0.34555100615494883</v>
      </c>
      <c r="BR247" s="233">
        <f t="shared" si="948"/>
        <v>0.33740772837113725</v>
      </c>
      <c r="BS247" s="233">
        <f t="shared" si="948"/>
        <v>0.32935453769997103</v>
      </c>
      <c r="BT247" s="233">
        <f t="shared" si="948"/>
        <v>0.32156770925055561</v>
      </c>
      <c r="BU247" s="233">
        <f t="shared" si="948"/>
        <v>0.31387130617980846</v>
      </c>
      <c r="BV247" s="233">
        <f t="shared" si="948"/>
        <v>0.30643333042347276</v>
      </c>
      <c r="BW247" s="233">
        <f t="shared" si="948"/>
        <v>0.2991254131828201</v>
      </c>
      <c r="BX247" s="233">
        <f t="shared" si="948"/>
        <v>0.29202637506902251</v>
      </c>
      <c r="BY247" s="233">
        <f t="shared" si="948"/>
        <v>0.28501610473321337</v>
      </c>
      <c r="BZ247" s="233">
        <f t="shared" si="948"/>
        <v>0.27824690299783172</v>
      </c>
      <c r="CA247" s="233">
        <f t="shared" si="948"/>
        <v>0.2715647476528365</v>
      </c>
      <c r="CB247" s="233">
        <f t="shared" si="948"/>
        <v>0.26511451829012639</v>
      </c>
      <c r="CC247" s="19"/>
      <c r="CD247" s="19"/>
      <c r="CE247" s="19"/>
    </row>
    <row r="248" spans="1:83">
      <c r="A248" s="17"/>
      <c r="B248" s="5"/>
      <c r="C248" s="5"/>
      <c r="D248" s="5"/>
      <c r="E248" s="5"/>
      <c r="F248" s="5"/>
      <c r="G248" s="5"/>
      <c r="H248" s="5"/>
      <c r="I248" s="5"/>
      <c r="J248" s="5"/>
      <c r="K248" s="5"/>
      <c r="L248" s="5"/>
      <c r="M248" s="5"/>
      <c r="N248" s="5"/>
      <c r="O248" s="5"/>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
      <c r="AR248" s="5"/>
      <c r="AS248" s="5"/>
      <c r="AT248" s="5"/>
      <c r="AU248" s="5"/>
      <c r="AV248" s="5"/>
      <c r="AW248" s="5"/>
      <c r="AX248" s="5"/>
      <c r="AY248" s="5"/>
      <c r="AZ248" s="5"/>
      <c r="BA248" s="5"/>
      <c r="BB248" s="5"/>
      <c r="BC248" s="5"/>
      <c r="BD248" s="5"/>
      <c r="BE248" s="5"/>
      <c r="BF248" s="5"/>
      <c r="BG248" s="5"/>
      <c r="BH248" s="5"/>
      <c r="BI248" s="5"/>
      <c r="BJ248" s="5"/>
      <c r="BK248" s="5"/>
      <c r="BL248" s="5"/>
      <c r="BM248" s="5"/>
      <c r="BN248" s="5"/>
      <c r="BO248" s="5"/>
      <c r="BP248" s="5"/>
      <c r="BQ248" s="5"/>
      <c r="BR248" s="5"/>
      <c r="BS248" s="5"/>
      <c r="BT248" s="5"/>
      <c r="BU248" s="5"/>
      <c r="BV248" s="5"/>
      <c r="BW248" s="5"/>
      <c r="BX248" s="5"/>
      <c r="BY248" s="5"/>
      <c r="BZ248" s="5"/>
      <c r="CA248" s="5"/>
      <c r="CB248" s="5"/>
      <c r="CC248" s="19"/>
      <c r="CD248" s="19"/>
      <c r="CE248" s="19"/>
    </row>
    <row r="249" spans="1:83">
      <c r="A249" s="16" t="s">
        <v>40</v>
      </c>
      <c r="B249" s="695">
        <f>DAYS360($B$3,B94)</f>
        <v>-43022</v>
      </c>
      <c r="C249" s="695">
        <f t="shared" ref="C249:BN249" si="949">DAYS360($B$3,C94)</f>
        <v>-42842</v>
      </c>
      <c r="D249" s="695">
        <f t="shared" si="949"/>
        <v>-42662</v>
      </c>
      <c r="E249" s="695">
        <f t="shared" si="949"/>
        <v>-42482</v>
      </c>
      <c r="F249" s="695">
        <f t="shared" si="949"/>
        <v>-42302</v>
      </c>
      <c r="G249" s="695">
        <f t="shared" si="949"/>
        <v>-42122</v>
      </c>
      <c r="H249" s="695">
        <f t="shared" si="949"/>
        <v>-41942</v>
      </c>
      <c r="I249" s="695">
        <f t="shared" si="949"/>
        <v>-41762</v>
      </c>
      <c r="J249" s="695">
        <f t="shared" si="949"/>
        <v>-41582</v>
      </c>
      <c r="K249" s="695">
        <f t="shared" si="949"/>
        <v>-41403</v>
      </c>
      <c r="L249" s="695">
        <f t="shared" si="949"/>
        <v>-41223</v>
      </c>
      <c r="M249" s="695">
        <f t="shared" si="949"/>
        <v>-41043</v>
      </c>
      <c r="N249" s="695">
        <f t="shared" si="949"/>
        <v>-40863</v>
      </c>
      <c r="O249" s="695">
        <f t="shared" si="949"/>
        <v>-40683</v>
      </c>
      <c r="P249" s="695">
        <f t="shared" si="949"/>
        <v>-40503</v>
      </c>
      <c r="Q249" s="695">
        <f t="shared" si="949"/>
        <v>-40323</v>
      </c>
      <c r="R249" s="695">
        <f t="shared" si="949"/>
        <v>-40143</v>
      </c>
      <c r="S249" s="695">
        <f t="shared" si="949"/>
        <v>-39964</v>
      </c>
      <c r="T249" s="695">
        <f t="shared" si="949"/>
        <v>-39784</v>
      </c>
      <c r="U249" s="695">
        <f t="shared" si="949"/>
        <v>-39604</v>
      </c>
      <c r="V249" s="695">
        <f t="shared" si="949"/>
        <v>-39424</v>
      </c>
      <c r="W249" s="695">
        <f t="shared" si="949"/>
        <v>-39244</v>
      </c>
      <c r="X249" s="695">
        <f t="shared" si="949"/>
        <v>-39064</v>
      </c>
      <c r="Y249" s="695">
        <f t="shared" si="949"/>
        <v>-38884</v>
      </c>
      <c r="Z249" s="695">
        <f t="shared" si="949"/>
        <v>-38704</v>
      </c>
      <c r="AA249" s="695">
        <f t="shared" si="949"/>
        <v>-38525</v>
      </c>
      <c r="AB249" s="695">
        <f t="shared" si="949"/>
        <v>-38345</v>
      </c>
      <c r="AC249" s="695">
        <f t="shared" si="949"/>
        <v>-38165</v>
      </c>
      <c r="AD249" s="695">
        <f t="shared" si="949"/>
        <v>-37985</v>
      </c>
      <c r="AE249" s="695">
        <f t="shared" si="949"/>
        <v>-37805</v>
      </c>
      <c r="AF249" s="695">
        <f t="shared" si="949"/>
        <v>-37625</v>
      </c>
      <c r="AG249" s="695">
        <f t="shared" si="949"/>
        <v>-37445</v>
      </c>
      <c r="AH249" s="695">
        <f t="shared" si="949"/>
        <v>-37265</v>
      </c>
      <c r="AI249" s="695">
        <f t="shared" si="949"/>
        <v>-37086</v>
      </c>
      <c r="AJ249" s="695">
        <f t="shared" si="949"/>
        <v>-36906</v>
      </c>
      <c r="AK249" s="695">
        <f t="shared" si="949"/>
        <v>-36726</v>
      </c>
      <c r="AL249" s="695">
        <f t="shared" si="949"/>
        <v>-36546</v>
      </c>
      <c r="AM249" s="695">
        <f t="shared" si="949"/>
        <v>-36366</v>
      </c>
      <c r="AN249" s="695">
        <f t="shared" si="949"/>
        <v>-36186</v>
      </c>
      <c r="AO249" s="695">
        <f t="shared" si="949"/>
        <v>-36006</v>
      </c>
      <c r="AP249" s="695">
        <f t="shared" si="949"/>
        <v>-35826</v>
      </c>
      <c r="AQ249" s="695">
        <f t="shared" si="949"/>
        <v>-35647</v>
      </c>
      <c r="AR249" s="695">
        <f t="shared" si="949"/>
        <v>-35467</v>
      </c>
      <c r="AS249" s="695">
        <f t="shared" si="949"/>
        <v>-35287</v>
      </c>
      <c r="AT249" s="695">
        <f t="shared" si="949"/>
        <v>-35107</v>
      </c>
      <c r="AU249" s="695">
        <f t="shared" si="949"/>
        <v>-34927</v>
      </c>
      <c r="AV249" s="695">
        <f t="shared" si="949"/>
        <v>-34747</v>
      </c>
      <c r="AW249" s="695">
        <f t="shared" si="949"/>
        <v>-34567</v>
      </c>
      <c r="AX249" s="695">
        <f t="shared" si="949"/>
        <v>-34387</v>
      </c>
      <c r="AY249" s="695">
        <f t="shared" si="949"/>
        <v>-34208</v>
      </c>
      <c r="AZ249" s="695">
        <f t="shared" si="949"/>
        <v>-34028</v>
      </c>
      <c r="BA249" s="695">
        <f t="shared" si="949"/>
        <v>-33848</v>
      </c>
      <c r="BB249" s="695">
        <f t="shared" si="949"/>
        <v>-33668</v>
      </c>
      <c r="BC249" s="695">
        <f t="shared" si="949"/>
        <v>-33488</v>
      </c>
      <c r="BD249" s="695">
        <f t="shared" si="949"/>
        <v>-33308</v>
      </c>
      <c r="BE249" s="695">
        <f t="shared" si="949"/>
        <v>-33128</v>
      </c>
      <c r="BF249" s="695">
        <f t="shared" si="949"/>
        <v>-32948</v>
      </c>
      <c r="BG249" s="695">
        <f t="shared" si="949"/>
        <v>-32769</v>
      </c>
      <c r="BH249" s="695">
        <f t="shared" si="949"/>
        <v>-32589</v>
      </c>
      <c r="BI249" s="695">
        <f t="shared" si="949"/>
        <v>-32409</v>
      </c>
      <c r="BJ249" s="695">
        <f t="shared" si="949"/>
        <v>-32229</v>
      </c>
      <c r="BK249" s="695">
        <f t="shared" si="949"/>
        <v>-32049</v>
      </c>
      <c r="BL249" s="695">
        <f t="shared" si="949"/>
        <v>-31869</v>
      </c>
      <c r="BM249" s="695">
        <f t="shared" si="949"/>
        <v>-31689</v>
      </c>
      <c r="BN249" s="695">
        <f t="shared" si="949"/>
        <v>-31509</v>
      </c>
      <c r="BO249" s="695">
        <f t="shared" ref="BO249:CB249" si="950">DAYS360($B$3,BO94)</f>
        <v>-31330</v>
      </c>
      <c r="BP249" s="695">
        <f t="shared" si="950"/>
        <v>-31150</v>
      </c>
      <c r="BQ249" s="695">
        <f t="shared" si="950"/>
        <v>-30970</v>
      </c>
      <c r="BR249" s="695">
        <f t="shared" si="950"/>
        <v>-30790</v>
      </c>
      <c r="BS249" s="695">
        <f t="shared" si="950"/>
        <v>-30610</v>
      </c>
      <c r="BT249" s="695">
        <f t="shared" si="950"/>
        <v>-30430</v>
      </c>
      <c r="BU249" s="695">
        <f t="shared" si="950"/>
        <v>-30250</v>
      </c>
      <c r="BV249" s="695">
        <f t="shared" si="950"/>
        <v>-30070</v>
      </c>
      <c r="BW249" s="695">
        <f t="shared" si="950"/>
        <v>-29891</v>
      </c>
      <c r="BX249" s="695">
        <f t="shared" si="950"/>
        <v>-29711</v>
      </c>
      <c r="BY249" s="695">
        <f t="shared" si="950"/>
        <v>-29531</v>
      </c>
      <c r="BZ249" s="695">
        <f t="shared" si="950"/>
        <v>-29351</v>
      </c>
      <c r="CA249" s="695">
        <f t="shared" si="950"/>
        <v>-29171</v>
      </c>
      <c r="CB249" s="695">
        <f t="shared" si="950"/>
        <v>-28991</v>
      </c>
      <c r="CC249" s="19"/>
      <c r="CD249" s="19"/>
      <c r="CE249" s="19"/>
    </row>
    <row r="250" spans="1:83">
      <c r="A250" s="16" t="s">
        <v>41</v>
      </c>
      <c r="B250" s="233">
        <f>B249/360</f>
        <v>-119.50555555555556</v>
      </c>
      <c r="C250" s="233">
        <f t="shared" ref="C250:BN250" si="951">C249/360</f>
        <v>-119.00555555555556</v>
      </c>
      <c r="D250" s="233">
        <f t="shared" si="951"/>
        <v>-118.50555555555556</v>
      </c>
      <c r="E250" s="233">
        <f t="shared" si="951"/>
        <v>-118.00555555555556</v>
      </c>
      <c r="F250" s="233">
        <f t="shared" si="951"/>
        <v>-117.50555555555556</v>
      </c>
      <c r="G250" s="233">
        <f t="shared" si="951"/>
        <v>-117.00555555555556</v>
      </c>
      <c r="H250" s="233">
        <f t="shared" si="951"/>
        <v>-116.50555555555556</v>
      </c>
      <c r="I250" s="233">
        <f t="shared" si="951"/>
        <v>-116.00555555555556</v>
      </c>
      <c r="J250" s="233">
        <f t="shared" si="951"/>
        <v>-115.50555555555556</v>
      </c>
      <c r="K250" s="233">
        <f t="shared" si="951"/>
        <v>-115.00833333333334</v>
      </c>
      <c r="L250" s="233">
        <f t="shared" si="951"/>
        <v>-114.50833333333334</v>
      </c>
      <c r="M250" s="233">
        <f t="shared" si="951"/>
        <v>-114.00833333333334</v>
      </c>
      <c r="N250" s="233">
        <f t="shared" si="951"/>
        <v>-113.50833333333334</v>
      </c>
      <c r="O250" s="233">
        <f t="shared" si="951"/>
        <v>-113.00833333333334</v>
      </c>
      <c r="P250" s="233">
        <f t="shared" si="951"/>
        <v>-112.50833333333334</v>
      </c>
      <c r="Q250" s="233">
        <f t="shared" si="951"/>
        <v>-112.00833333333334</v>
      </c>
      <c r="R250" s="233">
        <f t="shared" si="951"/>
        <v>-111.50833333333334</v>
      </c>
      <c r="S250" s="233">
        <f t="shared" si="951"/>
        <v>-111.01111111111111</v>
      </c>
      <c r="T250" s="233">
        <f t="shared" si="951"/>
        <v>-110.51111111111111</v>
      </c>
      <c r="U250" s="233">
        <f t="shared" si="951"/>
        <v>-110.01111111111111</v>
      </c>
      <c r="V250" s="233">
        <f t="shared" si="951"/>
        <v>-109.51111111111111</v>
      </c>
      <c r="W250" s="233">
        <f t="shared" si="951"/>
        <v>-109.01111111111111</v>
      </c>
      <c r="X250" s="233">
        <f t="shared" si="951"/>
        <v>-108.51111111111111</v>
      </c>
      <c r="Y250" s="233">
        <f t="shared" si="951"/>
        <v>-108.01111111111111</v>
      </c>
      <c r="Z250" s="233">
        <f t="shared" si="951"/>
        <v>-107.51111111111111</v>
      </c>
      <c r="AA250" s="233">
        <f t="shared" si="951"/>
        <v>-107.01388888888889</v>
      </c>
      <c r="AB250" s="233">
        <f t="shared" si="951"/>
        <v>-106.51388888888889</v>
      </c>
      <c r="AC250" s="233">
        <f t="shared" si="951"/>
        <v>-106.01388888888889</v>
      </c>
      <c r="AD250" s="233">
        <f t="shared" si="951"/>
        <v>-105.51388888888889</v>
      </c>
      <c r="AE250" s="233">
        <f t="shared" si="951"/>
        <v>-105.01388888888889</v>
      </c>
      <c r="AF250" s="233">
        <f t="shared" si="951"/>
        <v>-104.51388888888889</v>
      </c>
      <c r="AG250" s="233">
        <f t="shared" si="951"/>
        <v>-104.01388888888889</v>
      </c>
      <c r="AH250" s="233">
        <f t="shared" si="951"/>
        <v>-103.51388888888889</v>
      </c>
      <c r="AI250" s="233">
        <f t="shared" si="951"/>
        <v>-103.01666666666667</v>
      </c>
      <c r="AJ250" s="233">
        <f t="shared" si="951"/>
        <v>-102.51666666666667</v>
      </c>
      <c r="AK250" s="233">
        <f t="shared" si="951"/>
        <v>-102.01666666666667</v>
      </c>
      <c r="AL250" s="233">
        <f t="shared" si="951"/>
        <v>-101.51666666666667</v>
      </c>
      <c r="AM250" s="233">
        <f t="shared" si="951"/>
        <v>-101.01666666666667</v>
      </c>
      <c r="AN250" s="233">
        <f t="shared" si="951"/>
        <v>-100.51666666666667</v>
      </c>
      <c r="AO250" s="233">
        <f t="shared" si="951"/>
        <v>-100.01666666666667</v>
      </c>
      <c r="AP250" s="233">
        <f t="shared" si="951"/>
        <v>-99.516666666666666</v>
      </c>
      <c r="AQ250" s="233">
        <f t="shared" si="951"/>
        <v>-99.019444444444446</v>
      </c>
      <c r="AR250" s="233">
        <f t="shared" si="951"/>
        <v>-98.519444444444446</v>
      </c>
      <c r="AS250" s="233">
        <f t="shared" si="951"/>
        <v>-98.019444444444446</v>
      </c>
      <c r="AT250" s="233">
        <f t="shared" si="951"/>
        <v>-97.519444444444446</v>
      </c>
      <c r="AU250" s="233">
        <f t="shared" si="951"/>
        <v>-97.019444444444446</v>
      </c>
      <c r="AV250" s="233">
        <f t="shared" si="951"/>
        <v>-96.519444444444446</v>
      </c>
      <c r="AW250" s="233">
        <f t="shared" si="951"/>
        <v>-96.019444444444446</v>
      </c>
      <c r="AX250" s="233">
        <f t="shared" si="951"/>
        <v>-95.519444444444446</v>
      </c>
      <c r="AY250" s="233">
        <f t="shared" si="951"/>
        <v>-95.022222222222226</v>
      </c>
      <c r="AZ250" s="233">
        <f t="shared" si="951"/>
        <v>-94.522222222222226</v>
      </c>
      <c r="BA250" s="233">
        <f t="shared" si="951"/>
        <v>-94.022222222222226</v>
      </c>
      <c r="BB250" s="233">
        <f t="shared" si="951"/>
        <v>-93.522222222222226</v>
      </c>
      <c r="BC250" s="233">
        <f t="shared" si="951"/>
        <v>-93.022222222222226</v>
      </c>
      <c r="BD250" s="233">
        <f t="shared" si="951"/>
        <v>-92.522222222222226</v>
      </c>
      <c r="BE250" s="233">
        <f t="shared" si="951"/>
        <v>-92.022222222222226</v>
      </c>
      <c r="BF250" s="233">
        <f t="shared" si="951"/>
        <v>-91.522222222222226</v>
      </c>
      <c r="BG250" s="233">
        <f t="shared" si="951"/>
        <v>-91.025000000000006</v>
      </c>
      <c r="BH250" s="233">
        <f t="shared" si="951"/>
        <v>-90.525000000000006</v>
      </c>
      <c r="BI250" s="233">
        <f t="shared" si="951"/>
        <v>-90.025000000000006</v>
      </c>
      <c r="BJ250" s="233">
        <f t="shared" si="951"/>
        <v>-89.525000000000006</v>
      </c>
      <c r="BK250" s="233">
        <f t="shared" si="951"/>
        <v>-89.025000000000006</v>
      </c>
      <c r="BL250" s="233">
        <f t="shared" si="951"/>
        <v>-88.525000000000006</v>
      </c>
      <c r="BM250" s="233">
        <f t="shared" si="951"/>
        <v>-88.025000000000006</v>
      </c>
      <c r="BN250" s="233">
        <f t="shared" si="951"/>
        <v>-87.525000000000006</v>
      </c>
      <c r="BO250" s="233">
        <f t="shared" ref="BO250:CB250" si="952">BO249/360</f>
        <v>-87.027777777777771</v>
      </c>
      <c r="BP250" s="233">
        <f t="shared" si="952"/>
        <v>-86.527777777777771</v>
      </c>
      <c r="BQ250" s="233">
        <f t="shared" si="952"/>
        <v>-86.027777777777771</v>
      </c>
      <c r="BR250" s="233">
        <f t="shared" si="952"/>
        <v>-85.527777777777771</v>
      </c>
      <c r="BS250" s="233">
        <f t="shared" si="952"/>
        <v>-85.027777777777771</v>
      </c>
      <c r="BT250" s="233">
        <f t="shared" si="952"/>
        <v>-84.527777777777771</v>
      </c>
      <c r="BU250" s="233">
        <f t="shared" si="952"/>
        <v>-84.027777777777771</v>
      </c>
      <c r="BV250" s="233">
        <f t="shared" si="952"/>
        <v>-83.527777777777771</v>
      </c>
      <c r="BW250" s="233">
        <f t="shared" si="952"/>
        <v>-83.030555555555551</v>
      </c>
      <c r="BX250" s="233">
        <f t="shared" si="952"/>
        <v>-82.530555555555551</v>
      </c>
      <c r="BY250" s="233">
        <f t="shared" si="952"/>
        <v>-82.030555555555551</v>
      </c>
      <c r="BZ250" s="233">
        <f t="shared" si="952"/>
        <v>-81.530555555555551</v>
      </c>
      <c r="CA250" s="233">
        <f t="shared" si="952"/>
        <v>-81.030555555555551</v>
      </c>
      <c r="CB250" s="233">
        <f t="shared" si="952"/>
        <v>-80.530555555555551</v>
      </c>
      <c r="CC250" s="19"/>
      <c r="CD250" s="19"/>
      <c r="CE250" s="19"/>
    </row>
    <row r="251" spans="1:83">
      <c r="A251" s="16" t="s">
        <v>43</v>
      </c>
      <c r="B251" s="233">
        <f>IF(B249&lt;0,0,$B$5+$B$6*((1-EXP(-B250/$B$9))/(B250/$B$9))+$B$7*((1-EXP(-B250/$B$9))/(B250/$B$9)-EXP(-B250/$B$9))+$B$8*((1-EXP(-B250/$B$10))/(B250/$B$10)-EXP(-B250/$B$10)))</f>
        <v>0</v>
      </c>
      <c r="C251" s="233">
        <f t="shared" ref="C251:BN251" si="953">IF(C249&lt;0,0,$B$5+$B$6*((1-EXP(-C250/$B$9))/(C250/$B$9))+$B$7*((1-EXP(-C250/$B$9))/(C250/$B$9)-EXP(-C250/$B$9))+$B$8*((1-EXP(-C250/$B$10))/(C250/$B$10)-EXP(-C250/$B$10)))</f>
        <v>0</v>
      </c>
      <c r="D251" s="233">
        <f t="shared" si="953"/>
        <v>0</v>
      </c>
      <c r="E251" s="233">
        <f t="shared" si="953"/>
        <v>0</v>
      </c>
      <c r="F251" s="233">
        <f t="shared" si="953"/>
        <v>0</v>
      </c>
      <c r="G251" s="233">
        <f t="shared" si="953"/>
        <v>0</v>
      </c>
      <c r="H251" s="233">
        <f t="shared" si="953"/>
        <v>0</v>
      </c>
      <c r="I251" s="233">
        <f t="shared" si="953"/>
        <v>0</v>
      </c>
      <c r="J251" s="233">
        <f t="shared" si="953"/>
        <v>0</v>
      </c>
      <c r="K251" s="233">
        <f t="shared" si="953"/>
        <v>0</v>
      </c>
      <c r="L251" s="233">
        <f t="shared" si="953"/>
        <v>0</v>
      </c>
      <c r="M251" s="233">
        <f t="shared" si="953"/>
        <v>0</v>
      </c>
      <c r="N251" s="233">
        <f t="shared" si="953"/>
        <v>0</v>
      </c>
      <c r="O251" s="233">
        <f t="shared" si="953"/>
        <v>0</v>
      </c>
      <c r="P251" s="233">
        <f t="shared" si="953"/>
        <v>0</v>
      </c>
      <c r="Q251" s="233">
        <f t="shared" si="953"/>
        <v>0</v>
      </c>
      <c r="R251" s="233">
        <f t="shared" si="953"/>
        <v>0</v>
      </c>
      <c r="S251" s="233">
        <f t="shared" si="953"/>
        <v>0</v>
      </c>
      <c r="T251" s="233">
        <f t="shared" si="953"/>
        <v>0</v>
      </c>
      <c r="U251" s="233">
        <f t="shared" si="953"/>
        <v>0</v>
      </c>
      <c r="V251" s="233">
        <f t="shared" si="953"/>
        <v>0</v>
      </c>
      <c r="W251" s="233">
        <f t="shared" si="953"/>
        <v>0</v>
      </c>
      <c r="X251" s="233">
        <f t="shared" si="953"/>
        <v>0</v>
      </c>
      <c r="Y251" s="233">
        <f t="shared" si="953"/>
        <v>0</v>
      </c>
      <c r="Z251" s="233">
        <f t="shared" si="953"/>
        <v>0</v>
      </c>
      <c r="AA251" s="233">
        <f t="shared" si="953"/>
        <v>0</v>
      </c>
      <c r="AB251" s="233">
        <f t="shared" si="953"/>
        <v>0</v>
      </c>
      <c r="AC251" s="233">
        <f t="shared" si="953"/>
        <v>0</v>
      </c>
      <c r="AD251" s="233">
        <f t="shared" si="953"/>
        <v>0</v>
      </c>
      <c r="AE251" s="233">
        <f t="shared" si="953"/>
        <v>0</v>
      </c>
      <c r="AF251" s="233">
        <f t="shared" si="953"/>
        <v>0</v>
      </c>
      <c r="AG251" s="233">
        <f t="shared" si="953"/>
        <v>0</v>
      </c>
      <c r="AH251" s="233">
        <f t="shared" si="953"/>
        <v>0</v>
      </c>
      <c r="AI251" s="233">
        <f t="shared" si="953"/>
        <v>0</v>
      </c>
      <c r="AJ251" s="233">
        <f t="shared" si="953"/>
        <v>0</v>
      </c>
      <c r="AK251" s="233">
        <f t="shared" si="953"/>
        <v>0</v>
      </c>
      <c r="AL251" s="233">
        <f t="shared" si="953"/>
        <v>0</v>
      </c>
      <c r="AM251" s="233">
        <f t="shared" si="953"/>
        <v>0</v>
      </c>
      <c r="AN251" s="233">
        <f t="shared" si="953"/>
        <v>0</v>
      </c>
      <c r="AO251" s="233">
        <f t="shared" si="953"/>
        <v>0</v>
      </c>
      <c r="AP251" s="233">
        <f t="shared" si="953"/>
        <v>0</v>
      </c>
      <c r="AQ251" s="233">
        <f t="shared" si="953"/>
        <v>0</v>
      </c>
      <c r="AR251" s="233">
        <f t="shared" si="953"/>
        <v>0</v>
      </c>
      <c r="AS251" s="233">
        <f t="shared" si="953"/>
        <v>0</v>
      </c>
      <c r="AT251" s="233">
        <f t="shared" si="953"/>
        <v>0</v>
      </c>
      <c r="AU251" s="233">
        <f t="shared" si="953"/>
        <v>0</v>
      </c>
      <c r="AV251" s="233">
        <f t="shared" si="953"/>
        <v>0</v>
      </c>
      <c r="AW251" s="233">
        <f t="shared" si="953"/>
        <v>0</v>
      </c>
      <c r="AX251" s="233">
        <f t="shared" si="953"/>
        <v>0</v>
      </c>
      <c r="AY251" s="233">
        <f t="shared" si="953"/>
        <v>0</v>
      </c>
      <c r="AZ251" s="233">
        <f t="shared" si="953"/>
        <v>0</v>
      </c>
      <c r="BA251" s="233">
        <f t="shared" si="953"/>
        <v>0</v>
      </c>
      <c r="BB251" s="233">
        <f t="shared" si="953"/>
        <v>0</v>
      </c>
      <c r="BC251" s="233">
        <f t="shared" si="953"/>
        <v>0</v>
      </c>
      <c r="BD251" s="233">
        <f t="shared" si="953"/>
        <v>0</v>
      </c>
      <c r="BE251" s="233">
        <f t="shared" si="953"/>
        <v>0</v>
      </c>
      <c r="BF251" s="233">
        <f t="shared" si="953"/>
        <v>0</v>
      </c>
      <c r="BG251" s="233">
        <f t="shared" si="953"/>
        <v>0</v>
      </c>
      <c r="BH251" s="233">
        <f t="shared" si="953"/>
        <v>0</v>
      </c>
      <c r="BI251" s="233">
        <f t="shared" si="953"/>
        <v>0</v>
      </c>
      <c r="BJ251" s="233">
        <f t="shared" si="953"/>
        <v>0</v>
      </c>
      <c r="BK251" s="233">
        <f t="shared" si="953"/>
        <v>0</v>
      </c>
      <c r="BL251" s="233">
        <f t="shared" si="953"/>
        <v>0</v>
      </c>
      <c r="BM251" s="233">
        <f t="shared" si="953"/>
        <v>0</v>
      </c>
      <c r="BN251" s="233">
        <f t="shared" si="953"/>
        <v>0</v>
      </c>
      <c r="BO251" s="233">
        <f t="shared" ref="BO251:CB251" si="954">IF(BO249&lt;0,0,$B$5+$B$6*((1-EXP(-BO250/$B$9))/(BO250/$B$9))+$B$7*((1-EXP(-BO250/$B$9))/(BO250/$B$9)-EXP(-BO250/$B$9))+$B$8*((1-EXP(-BO250/$B$10))/(BO250/$B$10)-EXP(-BO250/$B$10)))</f>
        <v>0</v>
      </c>
      <c r="BP251" s="233">
        <f t="shared" si="954"/>
        <v>0</v>
      </c>
      <c r="BQ251" s="233">
        <f t="shared" si="954"/>
        <v>0</v>
      </c>
      <c r="BR251" s="233">
        <f t="shared" si="954"/>
        <v>0</v>
      </c>
      <c r="BS251" s="233">
        <f t="shared" si="954"/>
        <v>0</v>
      </c>
      <c r="BT251" s="233">
        <f t="shared" si="954"/>
        <v>0</v>
      </c>
      <c r="BU251" s="233">
        <f t="shared" si="954"/>
        <v>0</v>
      </c>
      <c r="BV251" s="233">
        <f t="shared" si="954"/>
        <v>0</v>
      </c>
      <c r="BW251" s="233">
        <f t="shared" si="954"/>
        <v>0</v>
      </c>
      <c r="BX251" s="233">
        <f t="shared" si="954"/>
        <v>0</v>
      </c>
      <c r="BY251" s="233">
        <f t="shared" si="954"/>
        <v>0</v>
      </c>
      <c r="BZ251" s="233">
        <f t="shared" si="954"/>
        <v>0</v>
      </c>
      <c r="CA251" s="233">
        <f t="shared" si="954"/>
        <v>0</v>
      </c>
      <c r="CB251" s="233">
        <f t="shared" si="954"/>
        <v>0</v>
      </c>
      <c r="CC251" s="19"/>
      <c r="CD251" s="19"/>
      <c r="CE251" s="19"/>
    </row>
    <row r="252" spans="1:83">
      <c r="A252" s="16" t="s">
        <v>44</v>
      </c>
      <c r="B252" s="233">
        <f>EXP(-B251*B250)</f>
        <v>1</v>
      </c>
      <c r="C252" s="233">
        <f t="shared" ref="C252:BN252" si="955">EXP(-C251*C250)</f>
        <v>1</v>
      </c>
      <c r="D252" s="233">
        <f t="shared" si="955"/>
        <v>1</v>
      </c>
      <c r="E252" s="233">
        <f t="shared" si="955"/>
        <v>1</v>
      </c>
      <c r="F252" s="233">
        <f t="shared" si="955"/>
        <v>1</v>
      </c>
      <c r="G252" s="233">
        <f t="shared" si="955"/>
        <v>1</v>
      </c>
      <c r="H252" s="233">
        <f t="shared" si="955"/>
        <v>1</v>
      </c>
      <c r="I252" s="233">
        <f t="shared" si="955"/>
        <v>1</v>
      </c>
      <c r="J252" s="233">
        <f t="shared" si="955"/>
        <v>1</v>
      </c>
      <c r="K252" s="233">
        <f t="shared" si="955"/>
        <v>1</v>
      </c>
      <c r="L252" s="233">
        <f t="shared" si="955"/>
        <v>1</v>
      </c>
      <c r="M252" s="233">
        <f t="shared" si="955"/>
        <v>1</v>
      </c>
      <c r="N252" s="233">
        <f t="shared" si="955"/>
        <v>1</v>
      </c>
      <c r="O252" s="233">
        <f t="shared" si="955"/>
        <v>1</v>
      </c>
      <c r="P252" s="233">
        <f t="shared" si="955"/>
        <v>1</v>
      </c>
      <c r="Q252" s="233">
        <f t="shared" si="955"/>
        <v>1</v>
      </c>
      <c r="R252" s="233">
        <f t="shared" si="955"/>
        <v>1</v>
      </c>
      <c r="S252" s="233">
        <f t="shared" si="955"/>
        <v>1</v>
      </c>
      <c r="T252" s="233">
        <f t="shared" si="955"/>
        <v>1</v>
      </c>
      <c r="U252" s="233">
        <f t="shared" si="955"/>
        <v>1</v>
      </c>
      <c r="V252" s="233">
        <f t="shared" si="955"/>
        <v>1</v>
      </c>
      <c r="W252" s="233">
        <f t="shared" si="955"/>
        <v>1</v>
      </c>
      <c r="X252" s="233">
        <f t="shared" si="955"/>
        <v>1</v>
      </c>
      <c r="Y252" s="233">
        <f t="shared" si="955"/>
        <v>1</v>
      </c>
      <c r="Z252" s="233">
        <f t="shared" si="955"/>
        <v>1</v>
      </c>
      <c r="AA252" s="233">
        <f t="shared" si="955"/>
        <v>1</v>
      </c>
      <c r="AB252" s="233">
        <f t="shared" si="955"/>
        <v>1</v>
      </c>
      <c r="AC252" s="233">
        <f t="shared" si="955"/>
        <v>1</v>
      </c>
      <c r="AD252" s="233">
        <f t="shared" si="955"/>
        <v>1</v>
      </c>
      <c r="AE252" s="233">
        <f t="shared" si="955"/>
        <v>1</v>
      </c>
      <c r="AF252" s="233">
        <f t="shared" si="955"/>
        <v>1</v>
      </c>
      <c r="AG252" s="233">
        <f t="shared" si="955"/>
        <v>1</v>
      </c>
      <c r="AH252" s="233">
        <f t="shared" si="955"/>
        <v>1</v>
      </c>
      <c r="AI252" s="233">
        <f t="shared" si="955"/>
        <v>1</v>
      </c>
      <c r="AJ252" s="233">
        <f t="shared" si="955"/>
        <v>1</v>
      </c>
      <c r="AK252" s="233">
        <f t="shared" si="955"/>
        <v>1</v>
      </c>
      <c r="AL252" s="233">
        <f t="shared" si="955"/>
        <v>1</v>
      </c>
      <c r="AM252" s="233">
        <f t="shared" si="955"/>
        <v>1</v>
      </c>
      <c r="AN252" s="233">
        <f t="shared" si="955"/>
        <v>1</v>
      </c>
      <c r="AO252" s="233">
        <f t="shared" si="955"/>
        <v>1</v>
      </c>
      <c r="AP252" s="233">
        <f t="shared" si="955"/>
        <v>1</v>
      </c>
      <c r="AQ252" s="233">
        <f t="shared" si="955"/>
        <v>1</v>
      </c>
      <c r="AR252" s="233">
        <f t="shared" si="955"/>
        <v>1</v>
      </c>
      <c r="AS252" s="233">
        <f t="shared" si="955"/>
        <v>1</v>
      </c>
      <c r="AT252" s="233">
        <f t="shared" si="955"/>
        <v>1</v>
      </c>
      <c r="AU252" s="233">
        <f t="shared" si="955"/>
        <v>1</v>
      </c>
      <c r="AV252" s="233">
        <f t="shared" si="955"/>
        <v>1</v>
      </c>
      <c r="AW252" s="233">
        <f t="shared" si="955"/>
        <v>1</v>
      </c>
      <c r="AX252" s="233">
        <f t="shared" si="955"/>
        <v>1</v>
      </c>
      <c r="AY252" s="233">
        <f t="shared" si="955"/>
        <v>1</v>
      </c>
      <c r="AZ252" s="233">
        <f t="shared" si="955"/>
        <v>1</v>
      </c>
      <c r="BA252" s="233">
        <f t="shared" si="955"/>
        <v>1</v>
      </c>
      <c r="BB252" s="233">
        <f t="shared" si="955"/>
        <v>1</v>
      </c>
      <c r="BC252" s="233">
        <f t="shared" si="955"/>
        <v>1</v>
      </c>
      <c r="BD252" s="233">
        <f t="shared" si="955"/>
        <v>1</v>
      </c>
      <c r="BE252" s="233">
        <f t="shared" si="955"/>
        <v>1</v>
      </c>
      <c r="BF252" s="233">
        <f t="shared" si="955"/>
        <v>1</v>
      </c>
      <c r="BG252" s="233">
        <f t="shared" si="955"/>
        <v>1</v>
      </c>
      <c r="BH252" s="233">
        <f t="shared" si="955"/>
        <v>1</v>
      </c>
      <c r="BI252" s="233">
        <f t="shared" si="955"/>
        <v>1</v>
      </c>
      <c r="BJ252" s="233">
        <f t="shared" si="955"/>
        <v>1</v>
      </c>
      <c r="BK252" s="233">
        <f t="shared" si="955"/>
        <v>1</v>
      </c>
      <c r="BL252" s="233">
        <f t="shared" si="955"/>
        <v>1</v>
      </c>
      <c r="BM252" s="233">
        <f t="shared" si="955"/>
        <v>1</v>
      </c>
      <c r="BN252" s="233">
        <f t="shared" si="955"/>
        <v>1</v>
      </c>
      <c r="BO252" s="233">
        <f t="shared" ref="BO252:CB252" si="956">EXP(-BO251*BO250)</f>
        <v>1</v>
      </c>
      <c r="BP252" s="233">
        <f t="shared" si="956"/>
        <v>1</v>
      </c>
      <c r="BQ252" s="233">
        <f t="shared" si="956"/>
        <v>1</v>
      </c>
      <c r="BR252" s="233">
        <f t="shared" si="956"/>
        <v>1</v>
      </c>
      <c r="BS252" s="233">
        <f t="shared" si="956"/>
        <v>1</v>
      </c>
      <c r="BT252" s="233">
        <f t="shared" si="956"/>
        <v>1</v>
      </c>
      <c r="BU252" s="233">
        <f t="shared" si="956"/>
        <v>1</v>
      </c>
      <c r="BV252" s="233">
        <f t="shared" si="956"/>
        <v>1</v>
      </c>
      <c r="BW252" s="233">
        <f t="shared" si="956"/>
        <v>1</v>
      </c>
      <c r="BX252" s="233">
        <f t="shared" si="956"/>
        <v>1</v>
      </c>
      <c r="BY252" s="233">
        <f t="shared" si="956"/>
        <v>1</v>
      </c>
      <c r="BZ252" s="233">
        <f t="shared" si="956"/>
        <v>1</v>
      </c>
      <c r="CA252" s="233">
        <f t="shared" si="956"/>
        <v>1</v>
      </c>
      <c r="CB252" s="233">
        <f t="shared" si="956"/>
        <v>1</v>
      </c>
      <c r="CC252" s="19"/>
      <c r="CD252" s="19"/>
      <c r="CE252" s="19"/>
    </row>
    <row r="253" spans="1:83">
      <c r="A253" s="17"/>
      <c r="B253" s="5"/>
      <c r="C253" s="5"/>
      <c r="D253" s="5"/>
      <c r="E253" s="5"/>
      <c r="F253" s="5"/>
      <c r="G253" s="5"/>
      <c r="H253" s="5"/>
      <c r="I253" s="5"/>
      <c r="J253" s="5"/>
      <c r="K253" s="5"/>
      <c r="L253" s="5"/>
      <c r="M253" s="5"/>
      <c r="N253" s="5"/>
      <c r="O253" s="5"/>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
      <c r="AR253" s="5"/>
      <c r="AS253" s="5"/>
      <c r="AT253" s="5"/>
      <c r="AU253" s="5"/>
      <c r="AV253" s="5"/>
      <c r="AW253" s="5"/>
      <c r="AX253" s="5"/>
      <c r="AY253" s="5"/>
      <c r="AZ253" s="5"/>
      <c r="BA253" s="5"/>
      <c r="BB253" s="5"/>
      <c r="BC253" s="5"/>
      <c r="BD253" s="5"/>
      <c r="BE253" s="5"/>
      <c r="BF253" s="5"/>
      <c r="BG253" s="5"/>
      <c r="BH253" s="5"/>
      <c r="BI253" s="5"/>
      <c r="BJ253" s="5"/>
      <c r="BK253" s="5"/>
      <c r="BL253" s="5"/>
      <c r="BM253" s="5"/>
      <c r="BN253" s="5"/>
      <c r="BO253" s="5"/>
      <c r="BP253" s="5"/>
      <c r="BQ253" s="5"/>
      <c r="BR253" s="5"/>
      <c r="BS253" s="5"/>
      <c r="BT253" s="5"/>
      <c r="BU253" s="5"/>
      <c r="BV253" s="5"/>
      <c r="BW253" s="5"/>
      <c r="BX253" s="5"/>
      <c r="BY253" s="5"/>
      <c r="BZ253" s="5"/>
      <c r="CA253" s="5"/>
      <c r="CB253" s="5"/>
      <c r="CC253" s="19"/>
      <c r="CD253" s="19"/>
      <c r="CE253" s="19"/>
    </row>
    <row r="254" spans="1:83">
      <c r="A254" s="16" t="s">
        <v>40</v>
      </c>
      <c r="B254" s="695">
        <f>DAYS360($B$3,B96)</f>
        <v>56</v>
      </c>
      <c r="C254" s="695">
        <f t="shared" ref="C254:BN254" si="957">DAYS360($B$3,C96)</f>
        <v>234</v>
      </c>
      <c r="D254" s="695">
        <f t="shared" si="957"/>
        <v>415</v>
      </c>
      <c r="E254" s="695">
        <f t="shared" si="957"/>
        <v>593</v>
      </c>
      <c r="F254" s="695">
        <f t="shared" si="957"/>
        <v>775</v>
      </c>
      <c r="G254" s="695">
        <f t="shared" si="957"/>
        <v>953</v>
      </c>
      <c r="H254" s="695">
        <f t="shared" si="957"/>
        <v>1135</v>
      </c>
      <c r="I254" s="695">
        <f t="shared" si="957"/>
        <v>1313</v>
      </c>
      <c r="J254" s="695">
        <f t="shared" si="957"/>
        <v>1495</v>
      </c>
      <c r="K254" s="695">
        <f t="shared" si="957"/>
        <v>1673</v>
      </c>
      <c r="L254" s="695">
        <f t="shared" si="957"/>
        <v>1854</v>
      </c>
      <c r="M254" s="695">
        <f t="shared" si="957"/>
        <v>2032</v>
      </c>
      <c r="N254" s="695">
        <f t="shared" si="957"/>
        <v>2214</v>
      </c>
      <c r="O254" s="695">
        <f t="shared" si="957"/>
        <v>2392</v>
      </c>
      <c r="P254" s="695">
        <f t="shared" si="957"/>
        <v>2574</v>
      </c>
      <c r="Q254" s="695">
        <f t="shared" si="957"/>
        <v>2752</v>
      </c>
      <c r="R254" s="695">
        <f t="shared" si="957"/>
        <v>2934</v>
      </c>
      <c r="S254" s="695">
        <f t="shared" si="957"/>
        <v>3112</v>
      </c>
      <c r="T254" s="695">
        <f t="shared" si="957"/>
        <v>3293</v>
      </c>
      <c r="U254" s="695">
        <f t="shared" si="957"/>
        <v>3471</v>
      </c>
      <c r="V254" s="695">
        <f t="shared" si="957"/>
        <v>3653</v>
      </c>
      <c r="W254" s="695">
        <f t="shared" si="957"/>
        <v>3831</v>
      </c>
      <c r="X254" s="695">
        <f t="shared" si="957"/>
        <v>4013</v>
      </c>
      <c r="Y254" s="695">
        <f t="shared" si="957"/>
        <v>4191</v>
      </c>
      <c r="Z254" s="695">
        <f t="shared" si="957"/>
        <v>4373</v>
      </c>
      <c r="AA254" s="695">
        <f t="shared" si="957"/>
        <v>4551</v>
      </c>
      <c r="AB254" s="695">
        <f t="shared" si="957"/>
        <v>4732</v>
      </c>
      <c r="AC254" s="695">
        <f t="shared" si="957"/>
        <v>4910</v>
      </c>
      <c r="AD254" s="695">
        <f t="shared" si="957"/>
        <v>5092</v>
      </c>
      <c r="AE254" s="695">
        <f t="shared" si="957"/>
        <v>5270</v>
      </c>
      <c r="AF254" s="695">
        <f t="shared" si="957"/>
        <v>5452</v>
      </c>
      <c r="AG254" s="695">
        <f t="shared" si="957"/>
        <v>5630</v>
      </c>
      <c r="AH254" s="695">
        <f t="shared" si="957"/>
        <v>5812</v>
      </c>
      <c r="AI254" s="695">
        <f t="shared" si="957"/>
        <v>5990</v>
      </c>
      <c r="AJ254" s="695">
        <f t="shared" si="957"/>
        <v>6171</v>
      </c>
      <c r="AK254" s="695">
        <f t="shared" si="957"/>
        <v>6349</v>
      </c>
      <c r="AL254" s="695">
        <f t="shared" si="957"/>
        <v>6531</v>
      </c>
      <c r="AM254" s="695">
        <f t="shared" si="957"/>
        <v>6709</v>
      </c>
      <c r="AN254" s="695">
        <f t="shared" si="957"/>
        <v>6891</v>
      </c>
      <c r="AO254" s="695">
        <f t="shared" si="957"/>
        <v>7069</v>
      </c>
      <c r="AP254" s="695">
        <f t="shared" si="957"/>
        <v>7251</v>
      </c>
      <c r="AQ254" s="695">
        <f t="shared" si="957"/>
        <v>7429</v>
      </c>
      <c r="AR254" s="695">
        <f t="shared" si="957"/>
        <v>7610</v>
      </c>
      <c r="AS254" s="695">
        <f t="shared" si="957"/>
        <v>7788</v>
      </c>
      <c r="AT254" s="695">
        <f t="shared" si="957"/>
        <v>7970</v>
      </c>
      <c r="AU254" s="695">
        <f t="shared" si="957"/>
        <v>8148</v>
      </c>
      <c r="AV254" s="695">
        <f t="shared" si="957"/>
        <v>8330</v>
      </c>
      <c r="AW254" s="695">
        <f t="shared" si="957"/>
        <v>8508</v>
      </c>
      <c r="AX254" s="695">
        <f t="shared" si="957"/>
        <v>8690</v>
      </c>
      <c r="AY254" s="695">
        <f t="shared" si="957"/>
        <v>8868</v>
      </c>
      <c r="AZ254" s="695">
        <f t="shared" si="957"/>
        <v>9049</v>
      </c>
      <c r="BA254" s="695">
        <f t="shared" si="957"/>
        <v>9227</v>
      </c>
      <c r="BB254" s="695">
        <f t="shared" si="957"/>
        <v>9409</v>
      </c>
      <c r="BC254" s="695">
        <f t="shared" si="957"/>
        <v>9587</v>
      </c>
      <c r="BD254" s="695">
        <f t="shared" si="957"/>
        <v>9769</v>
      </c>
      <c r="BE254" s="695">
        <f t="shared" si="957"/>
        <v>9947</v>
      </c>
      <c r="BF254" s="695">
        <f t="shared" si="957"/>
        <v>10129</v>
      </c>
      <c r="BG254" s="695">
        <f t="shared" si="957"/>
        <v>10307</v>
      </c>
      <c r="BH254" s="695">
        <f t="shared" si="957"/>
        <v>10488</v>
      </c>
      <c r="BI254" s="695">
        <f t="shared" si="957"/>
        <v>10666</v>
      </c>
      <c r="BJ254" s="695">
        <f t="shared" si="957"/>
        <v>10848</v>
      </c>
      <c r="BK254" s="695">
        <f t="shared" si="957"/>
        <v>11026</v>
      </c>
      <c r="BL254" s="695">
        <f t="shared" si="957"/>
        <v>11208</v>
      </c>
      <c r="BM254" s="695">
        <f t="shared" si="957"/>
        <v>11386</v>
      </c>
      <c r="BN254" s="695">
        <f t="shared" si="957"/>
        <v>11568</v>
      </c>
      <c r="BO254" s="695">
        <f t="shared" ref="BO254:CB254" si="958">DAYS360($B$3,BO96)</f>
        <v>11746</v>
      </c>
      <c r="BP254" s="695">
        <f t="shared" si="958"/>
        <v>11927</v>
      </c>
      <c r="BQ254" s="695">
        <f t="shared" si="958"/>
        <v>12105</v>
      </c>
      <c r="BR254" s="695">
        <f t="shared" si="958"/>
        <v>12287</v>
      </c>
      <c r="BS254" s="695">
        <f t="shared" si="958"/>
        <v>12465</v>
      </c>
      <c r="BT254" s="695">
        <f t="shared" si="958"/>
        <v>12647</v>
      </c>
      <c r="BU254" s="695">
        <f t="shared" si="958"/>
        <v>12825</v>
      </c>
      <c r="BV254" s="695">
        <f t="shared" si="958"/>
        <v>13007</v>
      </c>
      <c r="BW254" s="695">
        <f t="shared" si="958"/>
        <v>13185</v>
      </c>
      <c r="BX254" s="695">
        <f t="shared" si="958"/>
        <v>13366</v>
      </c>
      <c r="BY254" s="695">
        <f t="shared" si="958"/>
        <v>13544</v>
      </c>
      <c r="BZ254" s="695">
        <f t="shared" si="958"/>
        <v>13726</v>
      </c>
      <c r="CA254" s="695">
        <f t="shared" si="958"/>
        <v>13904</v>
      </c>
      <c r="CB254" s="695">
        <f t="shared" si="958"/>
        <v>14086</v>
      </c>
      <c r="CC254" s="19"/>
      <c r="CD254" s="19"/>
      <c r="CE254" s="19"/>
    </row>
    <row r="255" spans="1:83">
      <c r="A255" s="16" t="s">
        <v>41</v>
      </c>
      <c r="B255" s="233">
        <f>B254/360</f>
        <v>0.15555555555555556</v>
      </c>
      <c r="C255" s="233">
        <f t="shared" ref="C255:BN255" si="959">C254/360</f>
        <v>0.65</v>
      </c>
      <c r="D255" s="233">
        <f t="shared" si="959"/>
        <v>1.1527777777777777</v>
      </c>
      <c r="E255" s="233">
        <f t="shared" si="959"/>
        <v>1.6472222222222221</v>
      </c>
      <c r="F255" s="233">
        <f t="shared" si="959"/>
        <v>2.1527777777777777</v>
      </c>
      <c r="G255" s="233">
        <f t="shared" si="959"/>
        <v>2.6472222222222221</v>
      </c>
      <c r="H255" s="233">
        <f t="shared" si="959"/>
        <v>3.1527777777777777</v>
      </c>
      <c r="I255" s="233">
        <f t="shared" si="959"/>
        <v>3.6472222222222221</v>
      </c>
      <c r="J255" s="233">
        <f t="shared" si="959"/>
        <v>4.1527777777777777</v>
      </c>
      <c r="K255" s="233">
        <f t="shared" si="959"/>
        <v>4.6472222222222221</v>
      </c>
      <c r="L255" s="233">
        <f t="shared" si="959"/>
        <v>5.15</v>
      </c>
      <c r="M255" s="233">
        <f t="shared" si="959"/>
        <v>5.6444444444444448</v>
      </c>
      <c r="N255" s="233">
        <f t="shared" si="959"/>
        <v>6.15</v>
      </c>
      <c r="O255" s="233">
        <f t="shared" si="959"/>
        <v>6.6444444444444448</v>
      </c>
      <c r="P255" s="233">
        <f t="shared" si="959"/>
        <v>7.15</v>
      </c>
      <c r="Q255" s="233">
        <f t="shared" si="959"/>
        <v>7.6444444444444448</v>
      </c>
      <c r="R255" s="233">
        <f t="shared" si="959"/>
        <v>8.15</v>
      </c>
      <c r="S255" s="233">
        <f t="shared" si="959"/>
        <v>8.6444444444444439</v>
      </c>
      <c r="T255" s="233">
        <f t="shared" si="959"/>
        <v>9.1472222222222221</v>
      </c>
      <c r="U255" s="233">
        <f t="shared" si="959"/>
        <v>9.6416666666666675</v>
      </c>
      <c r="V255" s="233">
        <f t="shared" si="959"/>
        <v>10.147222222222222</v>
      </c>
      <c r="W255" s="233">
        <f t="shared" si="959"/>
        <v>10.641666666666667</v>
      </c>
      <c r="X255" s="233">
        <f t="shared" si="959"/>
        <v>11.147222222222222</v>
      </c>
      <c r="Y255" s="233">
        <f t="shared" si="959"/>
        <v>11.641666666666667</v>
      </c>
      <c r="Z255" s="233">
        <f t="shared" si="959"/>
        <v>12.147222222222222</v>
      </c>
      <c r="AA255" s="233">
        <f t="shared" si="959"/>
        <v>12.641666666666667</v>
      </c>
      <c r="AB255" s="233">
        <f t="shared" si="959"/>
        <v>13.144444444444444</v>
      </c>
      <c r="AC255" s="233">
        <f t="shared" si="959"/>
        <v>13.638888888888889</v>
      </c>
      <c r="AD255" s="233">
        <f t="shared" si="959"/>
        <v>14.144444444444444</v>
      </c>
      <c r="AE255" s="233">
        <f t="shared" si="959"/>
        <v>14.638888888888889</v>
      </c>
      <c r="AF255" s="233">
        <f t="shared" si="959"/>
        <v>15.144444444444444</v>
      </c>
      <c r="AG255" s="233">
        <f t="shared" si="959"/>
        <v>15.638888888888889</v>
      </c>
      <c r="AH255" s="233">
        <f t="shared" si="959"/>
        <v>16.144444444444446</v>
      </c>
      <c r="AI255" s="233">
        <f t="shared" si="959"/>
        <v>16.638888888888889</v>
      </c>
      <c r="AJ255" s="233">
        <f t="shared" si="959"/>
        <v>17.141666666666666</v>
      </c>
      <c r="AK255" s="233">
        <f t="shared" si="959"/>
        <v>17.636111111111113</v>
      </c>
      <c r="AL255" s="233">
        <f t="shared" si="959"/>
        <v>18.141666666666666</v>
      </c>
      <c r="AM255" s="233">
        <f t="shared" si="959"/>
        <v>18.636111111111113</v>
      </c>
      <c r="AN255" s="233">
        <f t="shared" si="959"/>
        <v>19.141666666666666</v>
      </c>
      <c r="AO255" s="233">
        <f t="shared" si="959"/>
        <v>19.636111111111113</v>
      </c>
      <c r="AP255" s="233">
        <f t="shared" si="959"/>
        <v>20.141666666666666</v>
      </c>
      <c r="AQ255" s="233">
        <f t="shared" si="959"/>
        <v>20.636111111111113</v>
      </c>
      <c r="AR255" s="233">
        <f t="shared" si="959"/>
        <v>21.138888888888889</v>
      </c>
      <c r="AS255" s="233">
        <f t="shared" si="959"/>
        <v>21.633333333333333</v>
      </c>
      <c r="AT255" s="233">
        <f t="shared" si="959"/>
        <v>22.138888888888889</v>
      </c>
      <c r="AU255" s="233">
        <f t="shared" si="959"/>
        <v>22.633333333333333</v>
      </c>
      <c r="AV255" s="233">
        <f t="shared" si="959"/>
        <v>23.138888888888889</v>
      </c>
      <c r="AW255" s="233">
        <f t="shared" si="959"/>
        <v>23.633333333333333</v>
      </c>
      <c r="AX255" s="233">
        <f t="shared" si="959"/>
        <v>24.138888888888889</v>
      </c>
      <c r="AY255" s="233">
        <f t="shared" si="959"/>
        <v>24.633333333333333</v>
      </c>
      <c r="AZ255" s="233">
        <f t="shared" si="959"/>
        <v>25.136111111111113</v>
      </c>
      <c r="BA255" s="233">
        <f t="shared" si="959"/>
        <v>25.630555555555556</v>
      </c>
      <c r="BB255" s="233">
        <f t="shared" si="959"/>
        <v>26.136111111111113</v>
      </c>
      <c r="BC255" s="233">
        <f t="shared" si="959"/>
        <v>26.630555555555556</v>
      </c>
      <c r="BD255" s="233">
        <f t="shared" si="959"/>
        <v>27.136111111111113</v>
      </c>
      <c r="BE255" s="233">
        <f t="shared" si="959"/>
        <v>27.630555555555556</v>
      </c>
      <c r="BF255" s="233">
        <f t="shared" si="959"/>
        <v>28.136111111111113</v>
      </c>
      <c r="BG255" s="233">
        <f t="shared" si="959"/>
        <v>28.630555555555556</v>
      </c>
      <c r="BH255" s="233">
        <f t="shared" si="959"/>
        <v>29.133333333333333</v>
      </c>
      <c r="BI255" s="233">
        <f t="shared" si="959"/>
        <v>29.627777777777776</v>
      </c>
      <c r="BJ255" s="233">
        <f t="shared" si="959"/>
        <v>30.133333333333333</v>
      </c>
      <c r="BK255" s="233">
        <f t="shared" si="959"/>
        <v>30.627777777777776</v>
      </c>
      <c r="BL255" s="233">
        <f t="shared" si="959"/>
        <v>31.133333333333333</v>
      </c>
      <c r="BM255" s="233">
        <f t="shared" si="959"/>
        <v>31.627777777777776</v>
      </c>
      <c r="BN255" s="233">
        <f t="shared" si="959"/>
        <v>32.133333333333333</v>
      </c>
      <c r="BO255" s="233">
        <f t="shared" ref="BO255:CB255" si="960">BO254/360</f>
        <v>32.62777777777778</v>
      </c>
      <c r="BP255" s="233">
        <f t="shared" si="960"/>
        <v>33.130555555555553</v>
      </c>
      <c r="BQ255" s="233">
        <f t="shared" si="960"/>
        <v>33.625</v>
      </c>
      <c r="BR255" s="233">
        <f t="shared" si="960"/>
        <v>34.130555555555553</v>
      </c>
      <c r="BS255" s="233">
        <f t="shared" si="960"/>
        <v>34.625</v>
      </c>
      <c r="BT255" s="233">
        <f t="shared" si="960"/>
        <v>35.130555555555553</v>
      </c>
      <c r="BU255" s="233">
        <f t="shared" si="960"/>
        <v>35.625</v>
      </c>
      <c r="BV255" s="233">
        <f t="shared" si="960"/>
        <v>36.130555555555553</v>
      </c>
      <c r="BW255" s="233">
        <f t="shared" si="960"/>
        <v>36.625</v>
      </c>
      <c r="BX255" s="233">
        <f t="shared" si="960"/>
        <v>37.12777777777778</v>
      </c>
      <c r="BY255" s="233">
        <f t="shared" si="960"/>
        <v>37.62222222222222</v>
      </c>
      <c r="BZ255" s="233">
        <f t="shared" si="960"/>
        <v>38.12777777777778</v>
      </c>
      <c r="CA255" s="233">
        <f t="shared" si="960"/>
        <v>38.62222222222222</v>
      </c>
      <c r="CB255" s="233">
        <f t="shared" si="960"/>
        <v>39.12777777777778</v>
      </c>
      <c r="CC255" s="19"/>
      <c r="CD255" s="19"/>
      <c r="CE255" s="19"/>
    </row>
    <row r="256" spans="1:83">
      <c r="A256" s="16" t="s">
        <v>43</v>
      </c>
      <c r="B256" s="233">
        <f>IF(B254&lt;0,0,$B$5+$B$6*((1-EXP(-B255/$B$9))/(B255/$B$9))+$B$7*((1-EXP(-B255/$B$9))/(B255/$B$9)-EXP(-B255/$B$9))+$B$8*((1-EXP(-B255/$B$10))/(B255/$B$10)-EXP(-B255/$B$10)))</f>
        <v>1.9367419012212689E-2</v>
      </c>
      <c r="C256" s="233">
        <f t="shared" ref="C256:BN256" si="961">IF(C254&lt;0,0,$B$5+$B$6*((1-EXP(-C255/$B$9))/(C255/$B$9))+$B$7*((1-EXP(-C255/$B$9))/(C255/$B$9)-EXP(-C255/$B$9))+$B$8*((1-EXP(-C255/$B$10))/(C255/$B$10)-EXP(-C255/$B$10)))</f>
        <v>1.8428358266189951E-2</v>
      </c>
      <c r="D256" s="233">
        <f t="shared" si="961"/>
        <v>1.7590306917931099E-2</v>
      </c>
      <c r="E256" s="233">
        <f t="shared" si="961"/>
        <v>1.6872954608322516E-2</v>
      </c>
      <c r="F256" s="233">
        <f t="shared" si="961"/>
        <v>1.6241139448743353E-2</v>
      </c>
      <c r="G256" s="233">
        <f t="shared" si="961"/>
        <v>1.5715454395577325E-2</v>
      </c>
      <c r="H256" s="233">
        <f t="shared" si="961"/>
        <v>1.5265327361555031E-2</v>
      </c>
      <c r="I256" s="233">
        <f t="shared" si="961"/>
        <v>1.490421296121687E-2</v>
      </c>
      <c r="J256" s="233">
        <f t="shared" si="961"/>
        <v>1.4609760117490975E-2</v>
      </c>
      <c r="K256" s="233">
        <f t="shared" si="961"/>
        <v>1.4389336200147117E-2</v>
      </c>
      <c r="L256" s="233">
        <f t="shared" si="961"/>
        <v>1.4228369643162382E-2</v>
      </c>
      <c r="M256" s="233">
        <f t="shared" si="961"/>
        <v>1.4127315381387416E-2</v>
      </c>
      <c r="N256" s="233">
        <f t="shared" si="961"/>
        <v>1.4077958540115787E-2</v>
      </c>
      <c r="O256" s="233">
        <f t="shared" si="961"/>
        <v>1.4078162921595846E-2</v>
      </c>
      <c r="P256" s="233">
        <f t="shared" si="961"/>
        <v>1.4123784782107615E-2</v>
      </c>
      <c r="Q256" s="233">
        <f t="shared" si="961"/>
        <v>1.4209045471682918E-2</v>
      </c>
      <c r="R256" s="233">
        <f t="shared" si="961"/>
        <v>1.4334140990099456E-2</v>
      </c>
      <c r="S256" s="233">
        <f t="shared" si="961"/>
        <v>1.4490272340567961E-2</v>
      </c>
      <c r="T256" s="233">
        <f t="shared" si="961"/>
        <v>1.4680149177392951E-2</v>
      </c>
      <c r="U256" s="233">
        <f t="shared" si="961"/>
        <v>1.4894609582241869E-2</v>
      </c>
      <c r="V256" s="233">
        <f t="shared" si="961"/>
        <v>1.513955690933988E-2</v>
      </c>
      <c r="W256" s="233">
        <f t="shared" si="961"/>
        <v>1.5401715107418584E-2</v>
      </c>
      <c r="X256" s="233">
        <f t="shared" si="961"/>
        <v>1.5690457052494458E-2</v>
      </c>
      <c r="Y256" s="233">
        <f t="shared" si="961"/>
        <v>1.5990911582000333E-2</v>
      </c>
      <c r="Z256" s="233">
        <f t="shared" si="961"/>
        <v>1.6314492504392972E-2</v>
      </c>
      <c r="AA256" s="233">
        <f t="shared" si="961"/>
        <v>1.6645089246052083E-2</v>
      </c>
      <c r="AB256" s="233">
        <f t="shared" si="961"/>
        <v>1.6993794619802202E-2</v>
      </c>
      <c r="AC256" s="233">
        <f t="shared" si="961"/>
        <v>1.7347427401879098E-2</v>
      </c>
      <c r="AD256" s="233">
        <f t="shared" si="961"/>
        <v>1.7718430420112827E-2</v>
      </c>
      <c r="AE256" s="233">
        <f t="shared" si="961"/>
        <v>1.8089093979217097E-2</v>
      </c>
      <c r="AF256" s="233">
        <f t="shared" si="961"/>
        <v>1.8474739869873774E-2</v>
      </c>
      <c r="AG256" s="233">
        <f t="shared" si="961"/>
        <v>1.8857215745099506E-2</v>
      </c>
      <c r="AH256" s="233">
        <f t="shared" si="961"/>
        <v>1.9252568595089961E-2</v>
      </c>
      <c r="AI256" s="233">
        <f t="shared" si="961"/>
        <v>1.9642396367558018E-2</v>
      </c>
      <c r="AJ256" s="233">
        <f t="shared" si="961"/>
        <v>2.004104037862256E-2</v>
      </c>
      <c r="AK256" s="233">
        <f t="shared" si="961"/>
        <v>2.0434421418262266E-2</v>
      </c>
      <c r="AL256" s="233">
        <f t="shared" si="961"/>
        <v>2.0837200346821544E-2</v>
      </c>
      <c r="AM256" s="233">
        <f t="shared" si="961"/>
        <v>2.1230940493518438E-2</v>
      </c>
      <c r="AN256" s="233">
        <f t="shared" si="961"/>
        <v>2.1632647621094597E-2</v>
      </c>
      <c r="AO256" s="233">
        <f t="shared" si="961"/>
        <v>2.2024051869203601E-2</v>
      </c>
      <c r="AP256" s="233">
        <f t="shared" si="961"/>
        <v>2.2422169345170301E-2</v>
      </c>
      <c r="AQ256" s="233">
        <f t="shared" si="961"/>
        <v>2.2808992646240145E-2</v>
      </c>
      <c r="AR256" s="233">
        <f t="shared" si="961"/>
        <v>2.3199285776458689E-2</v>
      </c>
      <c r="AS256" s="233">
        <f t="shared" si="961"/>
        <v>2.3579696254961924E-2</v>
      </c>
      <c r="AT256" s="233">
        <f t="shared" si="961"/>
        <v>2.3964769144596443E-2</v>
      </c>
      <c r="AU256" s="233">
        <f t="shared" si="961"/>
        <v>2.4337241068588672E-2</v>
      </c>
      <c r="AV256" s="233">
        <f t="shared" si="961"/>
        <v>2.4713541939488992E-2</v>
      </c>
      <c r="AW256" s="233">
        <f t="shared" si="961"/>
        <v>2.5076863026385995E-2</v>
      </c>
      <c r="AX256" s="233">
        <f t="shared" si="961"/>
        <v>2.544328918671529E-2</v>
      </c>
      <c r="AY256" s="233">
        <f t="shared" si="961"/>
        <v>2.5796505534667155E-2</v>
      </c>
      <c r="AZ256" s="233">
        <f t="shared" si="961"/>
        <v>2.6150261044033354E-2</v>
      </c>
      <c r="BA256" s="233">
        <f t="shared" si="961"/>
        <v>2.6492673030081224E-2</v>
      </c>
      <c r="BB256" s="233">
        <f t="shared" si="961"/>
        <v>2.6837023264521462E-2</v>
      </c>
      <c r="BC256" s="233">
        <f t="shared" si="961"/>
        <v>2.7168063081725924E-2</v>
      </c>
      <c r="BD256" s="233">
        <f t="shared" si="961"/>
        <v>2.7500575246850317E-2</v>
      </c>
      <c r="BE256" s="233">
        <f t="shared" si="961"/>
        <v>2.7819869454914367E-2</v>
      </c>
      <c r="BF256" s="233">
        <f t="shared" si="961"/>
        <v>2.814023674300338E-2</v>
      </c>
      <c r="BG256" s="233">
        <f t="shared" si="961"/>
        <v>2.844755303769872E-2</v>
      </c>
      <c r="BH256" s="233">
        <f t="shared" si="961"/>
        <v>2.8753926295737267E-2</v>
      </c>
      <c r="BI256" s="233">
        <f t="shared" si="961"/>
        <v>2.9049185990996929E-2</v>
      </c>
      <c r="BJ256" s="233">
        <f t="shared" si="961"/>
        <v>2.9344889771187391E-2</v>
      </c>
      <c r="BK256" s="233">
        <f t="shared" si="961"/>
        <v>2.9628048193668294E-2</v>
      </c>
      <c r="BL256" s="233">
        <f t="shared" si="961"/>
        <v>2.9911406678229474E-2</v>
      </c>
      <c r="BM256" s="233">
        <f t="shared" si="961"/>
        <v>3.018253777272073E-2</v>
      </c>
      <c r="BN256" s="233">
        <f t="shared" si="961"/>
        <v>3.0453664498090408E-2</v>
      </c>
      <c r="BO256" s="233">
        <f t="shared" ref="BO256:CB256" si="962">IF(BO254&lt;0,0,$B$5+$B$6*((1-EXP(-BO255/$B$9))/(BO255/$B$9))+$B$7*((1-EXP(-BO255/$B$9))/(BO255/$B$9)-EXP(-BO255/$B$9))+$B$8*((1-EXP(-BO255/$B$10))/(BO255/$B$10)-EXP(-BO255/$B$10)))</f>
        <v>3.0712913084222707E-2</v>
      </c>
      <c r="BP256" s="233">
        <f t="shared" si="962"/>
        <v>3.0970580453805727E-2</v>
      </c>
      <c r="BQ256" s="233">
        <f t="shared" si="962"/>
        <v>3.1218181883206506E-2</v>
      </c>
      <c r="BR256" s="233">
        <f t="shared" si="962"/>
        <v>3.1465469799385207E-2</v>
      </c>
      <c r="BS256" s="233">
        <f t="shared" si="962"/>
        <v>3.1701642002997119E-2</v>
      </c>
      <c r="BT256" s="233">
        <f t="shared" si="962"/>
        <v>3.1937387209565488E-2</v>
      </c>
      <c r="BU256" s="233">
        <f t="shared" si="962"/>
        <v>3.2162419020351635E-2</v>
      </c>
      <c r="BV256" s="233">
        <f t="shared" si="962"/>
        <v>3.2386933130955406E-2</v>
      </c>
      <c r="BW256" s="233">
        <f t="shared" si="962"/>
        <v>3.2601143353192363E-2</v>
      </c>
      <c r="BX256" s="233">
        <f t="shared" si="962"/>
        <v>3.2813605895129619E-2</v>
      </c>
      <c r="BY256" s="233">
        <f t="shared" si="962"/>
        <v>3.3017364856166201E-2</v>
      </c>
      <c r="BZ256" s="233">
        <f t="shared" si="962"/>
        <v>3.3220481246902633E-2</v>
      </c>
      <c r="CA256" s="233">
        <f t="shared" si="962"/>
        <v>3.341411783376684E-2</v>
      </c>
      <c r="CB256" s="233">
        <f t="shared" si="962"/>
        <v>3.360707240779677E-2</v>
      </c>
      <c r="CC256" s="19"/>
      <c r="CD256" s="19"/>
      <c r="CE256" s="19"/>
    </row>
    <row r="257" spans="1:83">
      <c r="A257" s="16" t="s">
        <v>44</v>
      </c>
      <c r="B257" s="233">
        <f>EXP(-B256*B255)</f>
        <v>0.99699182403151221</v>
      </c>
      <c r="C257" s="233">
        <f t="shared" ref="C257:BN257" si="963">EXP(-C256*C255)</f>
        <v>0.98809302295982171</v>
      </c>
      <c r="D257" s="233">
        <f t="shared" si="963"/>
        <v>0.97992649530701281</v>
      </c>
      <c r="E257" s="233">
        <f t="shared" si="963"/>
        <v>0.97258918010603856</v>
      </c>
      <c r="F257" s="233">
        <f t="shared" si="963"/>
        <v>0.96564059960956483</v>
      </c>
      <c r="G257" s="233">
        <f t="shared" si="963"/>
        <v>0.95925119882035081</v>
      </c>
      <c r="H257" s="233">
        <f t="shared" si="963"/>
        <v>0.95301161757149244</v>
      </c>
      <c r="I257" s="233">
        <f t="shared" si="963"/>
        <v>0.94709206147251279</v>
      </c>
      <c r="J257" s="233">
        <f t="shared" si="963"/>
        <v>0.94113273952127185</v>
      </c>
      <c r="K257" s="233">
        <f t="shared" si="963"/>
        <v>0.93531637031501591</v>
      </c>
      <c r="L257" s="233">
        <f t="shared" si="963"/>
        <v>0.92934419926213541</v>
      </c>
      <c r="M257" s="233">
        <f t="shared" si="963"/>
        <v>0.92335560592497412</v>
      </c>
      <c r="N257" s="233">
        <f t="shared" si="963"/>
        <v>0.91706268982529859</v>
      </c>
      <c r="O257" s="233">
        <f t="shared" si="963"/>
        <v>0.91070015754745526</v>
      </c>
      <c r="P257" s="233">
        <f t="shared" si="963"/>
        <v>0.9039465366686894</v>
      </c>
      <c r="Q257" s="233">
        <f t="shared" si="963"/>
        <v>0.89707100772159376</v>
      </c>
      <c r="R257" s="233">
        <f t="shared" si="963"/>
        <v>0.88974244207076647</v>
      </c>
      <c r="S257" s="233">
        <f t="shared" si="963"/>
        <v>0.8822671706876114</v>
      </c>
      <c r="T257" s="233">
        <f t="shared" si="963"/>
        <v>0.87434295192932743</v>
      </c>
      <c r="U257" s="233">
        <f t="shared" si="963"/>
        <v>0.86622649701240173</v>
      </c>
      <c r="V257" s="233">
        <f t="shared" si="963"/>
        <v>0.85759403143397539</v>
      </c>
      <c r="W257" s="233">
        <f t="shared" si="963"/>
        <v>0.84882696970247362</v>
      </c>
      <c r="X257" s="233">
        <f t="shared" si="963"/>
        <v>0.83953676329248506</v>
      </c>
      <c r="Y257" s="233">
        <f t="shared" si="963"/>
        <v>0.83014004597555235</v>
      </c>
      <c r="Z257" s="233">
        <f t="shared" si="963"/>
        <v>0.82022567276884562</v>
      </c>
      <c r="AA257" s="233">
        <f t="shared" si="963"/>
        <v>0.81024251905703149</v>
      </c>
      <c r="AB257" s="233">
        <f t="shared" si="963"/>
        <v>0.79981567086616767</v>
      </c>
      <c r="AC257" s="233">
        <f t="shared" si="963"/>
        <v>0.78930723588210228</v>
      </c>
      <c r="AD257" s="233">
        <f t="shared" si="963"/>
        <v>0.77832013511241338</v>
      </c>
      <c r="AE257" s="233">
        <f t="shared" si="963"/>
        <v>0.76735615532164203</v>
      </c>
      <c r="AF257" s="233">
        <f t="shared" si="963"/>
        <v>0.75594272097061843</v>
      </c>
      <c r="AG257" s="233">
        <f t="shared" si="963"/>
        <v>0.74460164985084387</v>
      </c>
      <c r="AH257" s="233">
        <f t="shared" si="963"/>
        <v>0.73284429288875352</v>
      </c>
      <c r="AI257" s="233">
        <f t="shared" si="963"/>
        <v>0.721208032035901</v>
      </c>
      <c r="AJ257" s="233">
        <f t="shared" si="963"/>
        <v>0.70925735600297513</v>
      </c>
      <c r="AK257" s="233">
        <f t="shared" si="963"/>
        <v>0.69740866044846028</v>
      </c>
      <c r="AL257" s="233">
        <f t="shared" si="963"/>
        <v>0.68521573893257781</v>
      </c>
      <c r="AM257" s="233">
        <f t="shared" si="963"/>
        <v>0.67323409887096419</v>
      </c>
      <c r="AN257" s="233">
        <f t="shared" si="963"/>
        <v>0.66094481491800294</v>
      </c>
      <c r="AO257" s="233">
        <f t="shared" si="963"/>
        <v>0.64890644213886761</v>
      </c>
      <c r="AP257" s="233">
        <f t="shared" si="963"/>
        <v>0.63659611881452538</v>
      </c>
      <c r="AQ257" s="233">
        <f t="shared" si="963"/>
        <v>0.62457184838393409</v>
      </c>
      <c r="AR257" s="233">
        <f t="shared" si="963"/>
        <v>0.61237702983864772</v>
      </c>
      <c r="AS257" s="233">
        <f t="shared" si="963"/>
        <v>0.60043107164836418</v>
      </c>
      <c r="AT257" s="233">
        <f t="shared" si="963"/>
        <v>0.58827934854493069</v>
      </c>
      <c r="AU257" s="233">
        <f t="shared" si="963"/>
        <v>0.57646947499132206</v>
      </c>
      <c r="AV257" s="233">
        <f t="shared" si="963"/>
        <v>0.56448362657834394</v>
      </c>
      <c r="AW257" s="233">
        <f t="shared" si="963"/>
        <v>0.55286033791443678</v>
      </c>
      <c r="AX257" s="233">
        <f t="shared" si="963"/>
        <v>0.54108833600500084</v>
      </c>
      <c r="AY257" s="233">
        <f t="shared" si="963"/>
        <v>0.52969499476176118</v>
      </c>
      <c r="AZ257" s="233">
        <f t="shared" si="963"/>
        <v>0.51824049563032493</v>
      </c>
      <c r="BA257" s="233">
        <f t="shared" si="963"/>
        <v>0.50711274270505602</v>
      </c>
      <c r="BB257" s="233">
        <f t="shared" si="963"/>
        <v>0.49588292326048228</v>
      </c>
      <c r="BC257" s="233">
        <f t="shared" si="963"/>
        <v>0.48505130349606912</v>
      </c>
      <c r="BD257" s="233">
        <f t="shared" si="963"/>
        <v>0.47413714413491193</v>
      </c>
      <c r="BE257" s="233">
        <f t="shared" si="963"/>
        <v>0.46362536841978402</v>
      </c>
      <c r="BF257" s="233">
        <f t="shared" si="963"/>
        <v>0.45304816815037308</v>
      </c>
      <c r="BG257" s="233">
        <f t="shared" si="963"/>
        <v>0.44287432157406043</v>
      </c>
      <c r="BH257" s="233">
        <f t="shared" si="963"/>
        <v>0.43270558720363644</v>
      </c>
      <c r="BI257" s="233">
        <f t="shared" si="963"/>
        <v>0.4228816919291658</v>
      </c>
      <c r="BJ257" s="233">
        <f t="shared" si="963"/>
        <v>0.41301996528087032</v>
      </c>
      <c r="BK257" s="233">
        <f t="shared" si="963"/>
        <v>0.40355549120144801</v>
      </c>
      <c r="BL257" s="233">
        <f t="shared" si="963"/>
        <v>0.39406405979730791</v>
      </c>
      <c r="BM257" s="233">
        <f t="shared" si="963"/>
        <v>0.38496356041558338</v>
      </c>
      <c r="BN257" s="233">
        <f t="shared" si="963"/>
        <v>0.3758452638763452</v>
      </c>
      <c r="BO257" s="233">
        <f t="shared" ref="BO257:CB257" si="964">EXP(-BO256*BO255)</f>
        <v>0.3671098697847216</v>
      </c>
      <c r="BP257" s="233">
        <f t="shared" si="964"/>
        <v>0.35841184946211913</v>
      </c>
      <c r="BQ257" s="233">
        <f t="shared" si="964"/>
        <v>0.35003876768343961</v>
      </c>
      <c r="BR257" s="233">
        <f t="shared" si="964"/>
        <v>0.34166178462933644</v>
      </c>
      <c r="BS257" s="233">
        <f t="shared" si="964"/>
        <v>0.33364779300555303</v>
      </c>
      <c r="BT257" s="233">
        <f t="shared" si="964"/>
        <v>0.32563500036092696</v>
      </c>
      <c r="BU257" s="233">
        <f t="shared" si="964"/>
        <v>0.31797383559185161</v>
      </c>
      <c r="BV257" s="233">
        <f t="shared" si="964"/>
        <v>0.31031794230232779</v>
      </c>
      <c r="BW257" s="233">
        <f t="shared" si="964"/>
        <v>0.30300169624786349</v>
      </c>
      <c r="BX257" s="233">
        <f t="shared" si="964"/>
        <v>0.29573358880331602</v>
      </c>
      <c r="BY257" s="233">
        <f t="shared" si="964"/>
        <v>0.28875213079091788</v>
      </c>
      <c r="BZ257" s="233">
        <f t="shared" si="964"/>
        <v>0.2817815576008138</v>
      </c>
      <c r="CA257" s="233">
        <f t="shared" si="964"/>
        <v>0.27512562035261812</v>
      </c>
      <c r="CB257" s="233">
        <f t="shared" si="964"/>
        <v>0.2684823612300547</v>
      </c>
      <c r="CC257" s="19"/>
      <c r="CD257" s="19"/>
      <c r="CE257" s="19"/>
    </row>
    <row r="258" spans="1:83">
      <c r="A258" s="17"/>
      <c r="B258" s="5"/>
      <c r="C258" s="5"/>
      <c r="D258" s="5"/>
      <c r="E258" s="5"/>
      <c r="F258" s="5"/>
      <c r="G258" s="5"/>
      <c r="H258" s="5"/>
      <c r="I258" s="5"/>
      <c r="J258" s="5"/>
      <c r="K258" s="5"/>
      <c r="L258" s="5"/>
      <c r="M258" s="5"/>
      <c r="N258" s="5"/>
      <c r="O258" s="5"/>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
      <c r="AR258" s="5"/>
      <c r="AS258" s="5"/>
      <c r="AT258" s="5"/>
      <c r="AU258" s="5"/>
      <c r="AV258" s="5"/>
      <c r="AW258" s="5"/>
      <c r="AX258" s="5"/>
      <c r="AY258" s="5"/>
      <c r="AZ258" s="5"/>
      <c r="BA258" s="5"/>
      <c r="BB258" s="5"/>
      <c r="BC258" s="5"/>
      <c r="BD258" s="5"/>
      <c r="BE258" s="5"/>
      <c r="BF258" s="5"/>
      <c r="BG258" s="5"/>
      <c r="BH258" s="5"/>
      <c r="BI258" s="5"/>
      <c r="BJ258" s="5"/>
      <c r="BK258" s="5"/>
      <c r="BL258" s="5"/>
      <c r="BM258" s="5"/>
      <c r="BN258" s="5"/>
      <c r="BO258" s="5"/>
      <c r="BP258" s="5"/>
      <c r="BQ258" s="5"/>
      <c r="BR258" s="5"/>
      <c r="BS258" s="5"/>
      <c r="BT258" s="5"/>
      <c r="BU258" s="5"/>
      <c r="BV258" s="5"/>
      <c r="BW258" s="5"/>
      <c r="BX258" s="5"/>
      <c r="BY258" s="5"/>
      <c r="BZ258" s="5"/>
      <c r="CA258" s="5"/>
      <c r="CB258" s="5"/>
      <c r="CC258" s="19"/>
      <c r="CD258" s="19"/>
      <c r="CE258" s="19"/>
    </row>
    <row r="259" spans="1:83">
      <c r="A259" s="16" t="s">
        <v>40</v>
      </c>
      <c r="B259" s="695">
        <f>DAYS360($B$3,B98)</f>
        <v>-43022</v>
      </c>
      <c r="C259" s="695">
        <f t="shared" ref="C259:BN259" si="965">DAYS360($B$3,C98)</f>
        <v>-42842</v>
      </c>
      <c r="D259" s="695">
        <f t="shared" si="965"/>
        <v>-42662</v>
      </c>
      <c r="E259" s="695">
        <f t="shared" si="965"/>
        <v>-42482</v>
      </c>
      <c r="F259" s="695">
        <f t="shared" si="965"/>
        <v>-42302</v>
      </c>
      <c r="G259" s="695">
        <f t="shared" si="965"/>
        <v>-42122</v>
      </c>
      <c r="H259" s="695">
        <f t="shared" si="965"/>
        <v>-41942</v>
      </c>
      <c r="I259" s="695">
        <f t="shared" si="965"/>
        <v>-41762</v>
      </c>
      <c r="J259" s="695">
        <f t="shared" si="965"/>
        <v>-41582</v>
      </c>
      <c r="K259" s="695">
        <f t="shared" si="965"/>
        <v>-41403</v>
      </c>
      <c r="L259" s="695">
        <f t="shared" si="965"/>
        <v>-41223</v>
      </c>
      <c r="M259" s="695">
        <f t="shared" si="965"/>
        <v>-41043</v>
      </c>
      <c r="N259" s="695">
        <f t="shared" si="965"/>
        <v>-40863</v>
      </c>
      <c r="O259" s="695">
        <f t="shared" si="965"/>
        <v>-40683</v>
      </c>
      <c r="P259" s="695">
        <f t="shared" si="965"/>
        <v>-40503</v>
      </c>
      <c r="Q259" s="695">
        <f t="shared" si="965"/>
        <v>-40323</v>
      </c>
      <c r="R259" s="695">
        <f t="shared" si="965"/>
        <v>-40143</v>
      </c>
      <c r="S259" s="695">
        <f t="shared" si="965"/>
        <v>-39964</v>
      </c>
      <c r="T259" s="695">
        <f t="shared" si="965"/>
        <v>-39784</v>
      </c>
      <c r="U259" s="695">
        <f t="shared" si="965"/>
        <v>-39604</v>
      </c>
      <c r="V259" s="695">
        <f t="shared" si="965"/>
        <v>-39424</v>
      </c>
      <c r="W259" s="695">
        <f t="shared" si="965"/>
        <v>-39244</v>
      </c>
      <c r="X259" s="695">
        <f t="shared" si="965"/>
        <v>-39064</v>
      </c>
      <c r="Y259" s="695">
        <f t="shared" si="965"/>
        <v>-38884</v>
      </c>
      <c r="Z259" s="695">
        <f t="shared" si="965"/>
        <v>-38704</v>
      </c>
      <c r="AA259" s="695">
        <f t="shared" si="965"/>
        <v>-38525</v>
      </c>
      <c r="AB259" s="695">
        <f t="shared" si="965"/>
        <v>-38345</v>
      </c>
      <c r="AC259" s="695">
        <f t="shared" si="965"/>
        <v>-38165</v>
      </c>
      <c r="AD259" s="695">
        <f t="shared" si="965"/>
        <v>-37985</v>
      </c>
      <c r="AE259" s="695">
        <f t="shared" si="965"/>
        <v>-37805</v>
      </c>
      <c r="AF259" s="695">
        <f t="shared" si="965"/>
        <v>-37625</v>
      </c>
      <c r="AG259" s="695">
        <f t="shared" si="965"/>
        <v>-37445</v>
      </c>
      <c r="AH259" s="695">
        <f t="shared" si="965"/>
        <v>-37265</v>
      </c>
      <c r="AI259" s="695">
        <f t="shared" si="965"/>
        <v>-37086</v>
      </c>
      <c r="AJ259" s="695">
        <f t="shared" si="965"/>
        <v>-36906</v>
      </c>
      <c r="AK259" s="695">
        <f t="shared" si="965"/>
        <v>-36726</v>
      </c>
      <c r="AL259" s="695">
        <f t="shared" si="965"/>
        <v>-36546</v>
      </c>
      <c r="AM259" s="695">
        <f t="shared" si="965"/>
        <v>-36366</v>
      </c>
      <c r="AN259" s="695">
        <f t="shared" si="965"/>
        <v>-36186</v>
      </c>
      <c r="AO259" s="695">
        <f t="shared" si="965"/>
        <v>-36006</v>
      </c>
      <c r="AP259" s="695">
        <f t="shared" si="965"/>
        <v>-35826</v>
      </c>
      <c r="AQ259" s="695">
        <f t="shared" si="965"/>
        <v>-35647</v>
      </c>
      <c r="AR259" s="695">
        <f t="shared" si="965"/>
        <v>-35467</v>
      </c>
      <c r="AS259" s="695">
        <f t="shared" si="965"/>
        <v>-35287</v>
      </c>
      <c r="AT259" s="695">
        <f t="shared" si="965"/>
        <v>-35107</v>
      </c>
      <c r="AU259" s="695">
        <f t="shared" si="965"/>
        <v>-34927</v>
      </c>
      <c r="AV259" s="695">
        <f t="shared" si="965"/>
        <v>-34747</v>
      </c>
      <c r="AW259" s="695">
        <f t="shared" si="965"/>
        <v>-34567</v>
      </c>
      <c r="AX259" s="695">
        <f t="shared" si="965"/>
        <v>-34387</v>
      </c>
      <c r="AY259" s="695">
        <f t="shared" si="965"/>
        <v>-34208</v>
      </c>
      <c r="AZ259" s="695">
        <f t="shared" si="965"/>
        <v>-34028</v>
      </c>
      <c r="BA259" s="695">
        <f t="shared" si="965"/>
        <v>-33848</v>
      </c>
      <c r="BB259" s="695">
        <f t="shared" si="965"/>
        <v>-33668</v>
      </c>
      <c r="BC259" s="695">
        <f t="shared" si="965"/>
        <v>-33488</v>
      </c>
      <c r="BD259" s="695">
        <f t="shared" si="965"/>
        <v>-33308</v>
      </c>
      <c r="BE259" s="695">
        <f t="shared" si="965"/>
        <v>-33128</v>
      </c>
      <c r="BF259" s="695">
        <f t="shared" si="965"/>
        <v>-32948</v>
      </c>
      <c r="BG259" s="695">
        <f t="shared" si="965"/>
        <v>-32769</v>
      </c>
      <c r="BH259" s="695">
        <f t="shared" si="965"/>
        <v>-32589</v>
      </c>
      <c r="BI259" s="695">
        <f t="shared" si="965"/>
        <v>-32409</v>
      </c>
      <c r="BJ259" s="695">
        <f t="shared" si="965"/>
        <v>-32229</v>
      </c>
      <c r="BK259" s="695">
        <f t="shared" si="965"/>
        <v>-32049</v>
      </c>
      <c r="BL259" s="695">
        <f t="shared" si="965"/>
        <v>-31869</v>
      </c>
      <c r="BM259" s="695">
        <f t="shared" si="965"/>
        <v>-31689</v>
      </c>
      <c r="BN259" s="695">
        <f t="shared" si="965"/>
        <v>-31509</v>
      </c>
      <c r="BO259" s="695">
        <f t="shared" ref="BO259:CB259" si="966">DAYS360($B$3,BO98)</f>
        <v>-31330</v>
      </c>
      <c r="BP259" s="695">
        <f t="shared" si="966"/>
        <v>-31150</v>
      </c>
      <c r="BQ259" s="695">
        <f t="shared" si="966"/>
        <v>-30970</v>
      </c>
      <c r="BR259" s="695">
        <f t="shared" si="966"/>
        <v>-30790</v>
      </c>
      <c r="BS259" s="695">
        <f t="shared" si="966"/>
        <v>-30610</v>
      </c>
      <c r="BT259" s="695">
        <f t="shared" si="966"/>
        <v>-30430</v>
      </c>
      <c r="BU259" s="695">
        <f t="shared" si="966"/>
        <v>-30250</v>
      </c>
      <c r="BV259" s="695">
        <f t="shared" si="966"/>
        <v>-30070</v>
      </c>
      <c r="BW259" s="695">
        <f t="shared" si="966"/>
        <v>-29891</v>
      </c>
      <c r="BX259" s="695">
        <f t="shared" si="966"/>
        <v>-29711</v>
      </c>
      <c r="BY259" s="695">
        <f t="shared" si="966"/>
        <v>-29531</v>
      </c>
      <c r="BZ259" s="695">
        <f t="shared" si="966"/>
        <v>-29351</v>
      </c>
      <c r="CA259" s="695">
        <f t="shared" si="966"/>
        <v>-29171</v>
      </c>
      <c r="CB259" s="695">
        <f t="shared" si="966"/>
        <v>-28991</v>
      </c>
      <c r="CC259" s="19"/>
      <c r="CD259" s="19"/>
      <c r="CE259" s="19"/>
    </row>
    <row r="260" spans="1:83">
      <c r="A260" s="16" t="s">
        <v>41</v>
      </c>
      <c r="B260" s="233">
        <f>B259/360</f>
        <v>-119.50555555555556</v>
      </c>
      <c r="C260" s="233">
        <f t="shared" ref="C260:BN260" si="967">C259/360</f>
        <v>-119.00555555555556</v>
      </c>
      <c r="D260" s="233">
        <f t="shared" si="967"/>
        <v>-118.50555555555556</v>
      </c>
      <c r="E260" s="233">
        <f t="shared" si="967"/>
        <v>-118.00555555555556</v>
      </c>
      <c r="F260" s="233">
        <f t="shared" si="967"/>
        <v>-117.50555555555556</v>
      </c>
      <c r="G260" s="233">
        <f t="shared" si="967"/>
        <v>-117.00555555555556</v>
      </c>
      <c r="H260" s="233">
        <f t="shared" si="967"/>
        <v>-116.50555555555556</v>
      </c>
      <c r="I260" s="233">
        <f t="shared" si="967"/>
        <v>-116.00555555555556</v>
      </c>
      <c r="J260" s="233">
        <f t="shared" si="967"/>
        <v>-115.50555555555556</v>
      </c>
      <c r="K260" s="233">
        <f t="shared" si="967"/>
        <v>-115.00833333333334</v>
      </c>
      <c r="L260" s="233">
        <f t="shared" si="967"/>
        <v>-114.50833333333334</v>
      </c>
      <c r="M260" s="233">
        <f t="shared" si="967"/>
        <v>-114.00833333333334</v>
      </c>
      <c r="N260" s="233">
        <f t="shared" si="967"/>
        <v>-113.50833333333334</v>
      </c>
      <c r="O260" s="233">
        <f t="shared" si="967"/>
        <v>-113.00833333333334</v>
      </c>
      <c r="P260" s="233">
        <f t="shared" si="967"/>
        <v>-112.50833333333334</v>
      </c>
      <c r="Q260" s="233">
        <f t="shared" si="967"/>
        <v>-112.00833333333334</v>
      </c>
      <c r="R260" s="233">
        <f t="shared" si="967"/>
        <v>-111.50833333333334</v>
      </c>
      <c r="S260" s="233">
        <f t="shared" si="967"/>
        <v>-111.01111111111111</v>
      </c>
      <c r="T260" s="233">
        <f t="shared" si="967"/>
        <v>-110.51111111111111</v>
      </c>
      <c r="U260" s="233">
        <f t="shared" si="967"/>
        <v>-110.01111111111111</v>
      </c>
      <c r="V260" s="233">
        <f t="shared" si="967"/>
        <v>-109.51111111111111</v>
      </c>
      <c r="W260" s="233">
        <f t="shared" si="967"/>
        <v>-109.01111111111111</v>
      </c>
      <c r="X260" s="233">
        <f t="shared" si="967"/>
        <v>-108.51111111111111</v>
      </c>
      <c r="Y260" s="233">
        <f t="shared" si="967"/>
        <v>-108.01111111111111</v>
      </c>
      <c r="Z260" s="233">
        <f t="shared" si="967"/>
        <v>-107.51111111111111</v>
      </c>
      <c r="AA260" s="233">
        <f t="shared" si="967"/>
        <v>-107.01388888888889</v>
      </c>
      <c r="AB260" s="233">
        <f t="shared" si="967"/>
        <v>-106.51388888888889</v>
      </c>
      <c r="AC260" s="233">
        <f t="shared" si="967"/>
        <v>-106.01388888888889</v>
      </c>
      <c r="AD260" s="233">
        <f t="shared" si="967"/>
        <v>-105.51388888888889</v>
      </c>
      <c r="AE260" s="233">
        <f t="shared" si="967"/>
        <v>-105.01388888888889</v>
      </c>
      <c r="AF260" s="233">
        <f t="shared" si="967"/>
        <v>-104.51388888888889</v>
      </c>
      <c r="AG260" s="233">
        <f t="shared" si="967"/>
        <v>-104.01388888888889</v>
      </c>
      <c r="AH260" s="233">
        <f t="shared" si="967"/>
        <v>-103.51388888888889</v>
      </c>
      <c r="AI260" s="233">
        <f t="shared" si="967"/>
        <v>-103.01666666666667</v>
      </c>
      <c r="AJ260" s="233">
        <f t="shared" si="967"/>
        <v>-102.51666666666667</v>
      </c>
      <c r="AK260" s="233">
        <f t="shared" si="967"/>
        <v>-102.01666666666667</v>
      </c>
      <c r="AL260" s="233">
        <f t="shared" si="967"/>
        <v>-101.51666666666667</v>
      </c>
      <c r="AM260" s="233">
        <f t="shared" si="967"/>
        <v>-101.01666666666667</v>
      </c>
      <c r="AN260" s="233">
        <f t="shared" si="967"/>
        <v>-100.51666666666667</v>
      </c>
      <c r="AO260" s="233">
        <f t="shared" si="967"/>
        <v>-100.01666666666667</v>
      </c>
      <c r="AP260" s="233">
        <f t="shared" si="967"/>
        <v>-99.516666666666666</v>
      </c>
      <c r="AQ260" s="233">
        <f t="shared" si="967"/>
        <v>-99.019444444444446</v>
      </c>
      <c r="AR260" s="233">
        <f t="shared" si="967"/>
        <v>-98.519444444444446</v>
      </c>
      <c r="AS260" s="233">
        <f t="shared" si="967"/>
        <v>-98.019444444444446</v>
      </c>
      <c r="AT260" s="233">
        <f t="shared" si="967"/>
        <v>-97.519444444444446</v>
      </c>
      <c r="AU260" s="233">
        <f t="shared" si="967"/>
        <v>-97.019444444444446</v>
      </c>
      <c r="AV260" s="233">
        <f t="shared" si="967"/>
        <v>-96.519444444444446</v>
      </c>
      <c r="AW260" s="233">
        <f t="shared" si="967"/>
        <v>-96.019444444444446</v>
      </c>
      <c r="AX260" s="233">
        <f t="shared" si="967"/>
        <v>-95.519444444444446</v>
      </c>
      <c r="AY260" s="233">
        <f t="shared" si="967"/>
        <v>-95.022222222222226</v>
      </c>
      <c r="AZ260" s="233">
        <f t="shared" si="967"/>
        <v>-94.522222222222226</v>
      </c>
      <c r="BA260" s="233">
        <f t="shared" si="967"/>
        <v>-94.022222222222226</v>
      </c>
      <c r="BB260" s="233">
        <f t="shared" si="967"/>
        <v>-93.522222222222226</v>
      </c>
      <c r="BC260" s="233">
        <f t="shared" si="967"/>
        <v>-93.022222222222226</v>
      </c>
      <c r="BD260" s="233">
        <f t="shared" si="967"/>
        <v>-92.522222222222226</v>
      </c>
      <c r="BE260" s="233">
        <f t="shared" si="967"/>
        <v>-92.022222222222226</v>
      </c>
      <c r="BF260" s="233">
        <f t="shared" si="967"/>
        <v>-91.522222222222226</v>
      </c>
      <c r="BG260" s="233">
        <f t="shared" si="967"/>
        <v>-91.025000000000006</v>
      </c>
      <c r="BH260" s="233">
        <f t="shared" si="967"/>
        <v>-90.525000000000006</v>
      </c>
      <c r="BI260" s="233">
        <f t="shared" si="967"/>
        <v>-90.025000000000006</v>
      </c>
      <c r="BJ260" s="233">
        <f t="shared" si="967"/>
        <v>-89.525000000000006</v>
      </c>
      <c r="BK260" s="233">
        <f t="shared" si="967"/>
        <v>-89.025000000000006</v>
      </c>
      <c r="BL260" s="233">
        <f t="shared" si="967"/>
        <v>-88.525000000000006</v>
      </c>
      <c r="BM260" s="233">
        <f t="shared" si="967"/>
        <v>-88.025000000000006</v>
      </c>
      <c r="BN260" s="233">
        <f t="shared" si="967"/>
        <v>-87.525000000000006</v>
      </c>
      <c r="BO260" s="233">
        <f t="shared" ref="BO260:CB260" si="968">BO259/360</f>
        <v>-87.027777777777771</v>
      </c>
      <c r="BP260" s="233">
        <f t="shared" si="968"/>
        <v>-86.527777777777771</v>
      </c>
      <c r="BQ260" s="233">
        <f t="shared" si="968"/>
        <v>-86.027777777777771</v>
      </c>
      <c r="BR260" s="233">
        <f t="shared" si="968"/>
        <v>-85.527777777777771</v>
      </c>
      <c r="BS260" s="233">
        <f t="shared" si="968"/>
        <v>-85.027777777777771</v>
      </c>
      <c r="BT260" s="233">
        <f t="shared" si="968"/>
        <v>-84.527777777777771</v>
      </c>
      <c r="BU260" s="233">
        <f t="shared" si="968"/>
        <v>-84.027777777777771</v>
      </c>
      <c r="BV260" s="233">
        <f t="shared" si="968"/>
        <v>-83.527777777777771</v>
      </c>
      <c r="BW260" s="233">
        <f t="shared" si="968"/>
        <v>-83.030555555555551</v>
      </c>
      <c r="BX260" s="233">
        <f t="shared" si="968"/>
        <v>-82.530555555555551</v>
      </c>
      <c r="BY260" s="233">
        <f t="shared" si="968"/>
        <v>-82.030555555555551</v>
      </c>
      <c r="BZ260" s="233">
        <f t="shared" si="968"/>
        <v>-81.530555555555551</v>
      </c>
      <c r="CA260" s="233">
        <f t="shared" si="968"/>
        <v>-81.030555555555551</v>
      </c>
      <c r="CB260" s="233">
        <f t="shared" si="968"/>
        <v>-80.530555555555551</v>
      </c>
      <c r="CC260" s="19"/>
      <c r="CD260" s="19"/>
      <c r="CE260" s="19"/>
    </row>
    <row r="261" spans="1:83">
      <c r="A261" s="16" t="s">
        <v>43</v>
      </c>
      <c r="B261" s="233">
        <f>IF(B259&lt;0,0,$B$5+$B$6*((1-EXP(-B260/$B$9))/(B260/$B$9))+$B$7*((1-EXP(-B260/$B$9))/(B260/$B$9)-EXP(-B260/$B$9))+$B$8*((1-EXP(-B260/$B$10))/(B260/$B$10)-EXP(-B260/$B$10)))</f>
        <v>0</v>
      </c>
      <c r="C261" s="233">
        <f t="shared" ref="C261:BN261" si="969">IF(C259&lt;0,0,$B$5+$B$6*((1-EXP(-C260/$B$9))/(C260/$B$9))+$B$7*((1-EXP(-C260/$B$9))/(C260/$B$9)-EXP(-C260/$B$9))+$B$8*((1-EXP(-C260/$B$10))/(C260/$B$10)-EXP(-C260/$B$10)))</f>
        <v>0</v>
      </c>
      <c r="D261" s="233">
        <f t="shared" si="969"/>
        <v>0</v>
      </c>
      <c r="E261" s="233">
        <f t="shared" si="969"/>
        <v>0</v>
      </c>
      <c r="F261" s="233">
        <f t="shared" si="969"/>
        <v>0</v>
      </c>
      <c r="G261" s="233">
        <f t="shared" si="969"/>
        <v>0</v>
      </c>
      <c r="H261" s="233">
        <f t="shared" si="969"/>
        <v>0</v>
      </c>
      <c r="I261" s="233">
        <f t="shared" si="969"/>
        <v>0</v>
      </c>
      <c r="J261" s="233">
        <f t="shared" si="969"/>
        <v>0</v>
      </c>
      <c r="K261" s="233">
        <f t="shared" si="969"/>
        <v>0</v>
      </c>
      <c r="L261" s="233">
        <f t="shared" si="969"/>
        <v>0</v>
      </c>
      <c r="M261" s="233">
        <f t="shared" si="969"/>
        <v>0</v>
      </c>
      <c r="N261" s="233">
        <f t="shared" si="969"/>
        <v>0</v>
      </c>
      <c r="O261" s="233">
        <f t="shared" si="969"/>
        <v>0</v>
      </c>
      <c r="P261" s="233">
        <f t="shared" si="969"/>
        <v>0</v>
      </c>
      <c r="Q261" s="233">
        <f t="shared" si="969"/>
        <v>0</v>
      </c>
      <c r="R261" s="233">
        <f t="shared" si="969"/>
        <v>0</v>
      </c>
      <c r="S261" s="233">
        <f t="shared" si="969"/>
        <v>0</v>
      </c>
      <c r="T261" s="233">
        <f t="shared" si="969"/>
        <v>0</v>
      </c>
      <c r="U261" s="233">
        <f t="shared" si="969"/>
        <v>0</v>
      </c>
      <c r="V261" s="233">
        <f t="shared" si="969"/>
        <v>0</v>
      </c>
      <c r="W261" s="233">
        <f t="shared" si="969"/>
        <v>0</v>
      </c>
      <c r="X261" s="233">
        <f t="shared" si="969"/>
        <v>0</v>
      </c>
      <c r="Y261" s="233">
        <f t="shared" si="969"/>
        <v>0</v>
      </c>
      <c r="Z261" s="233">
        <f t="shared" si="969"/>
        <v>0</v>
      </c>
      <c r="AA261" s="233">
        <f t="shared" si="969"/>
        <v>0</v>
      </c>
      <c r="AB261" s="233">
        <f t="shared" si="969"/>
        <v>0</v>
      </c>
      <c r="AC261" s="233">
        <f t="shared" si="969"/>
        <v>0</v>
      </c>
      <c r="AD261" s="233">
        <f t="shared" si="969"/>
        <v>0</v>
      </c>
      <c r="AE261" s="233">
        <f t="shared" si="969"/>
        <v>0</v>
      </c>
      <c r="AF261" s="233">
        <f t="shared" si="969"/>
        <v>0</v>
      </c>
      <c r="AG261" s="233">
        <f t="shared" si="969"/>
        <v>0</v>
      </c>
      <c r="AH261" s="233">
        <f t="shared" si="969"/>
        <v>0</v>
      </c>
      <c r="AI261" s="233">
        <f t="shared" si="969"/>
        <v>0</v>
      </c>
      <c r="AJ261" s="233">
        <f t="shared" si="969"/>
        <v>0</v>
      </c>
      <c r="AK261" s="233">
        <f t="shared" si="969"/>
        <v>0</v>
      </c>
      <c r="AL261" s="233">
        <f t="shared" si="969"/>
        <v>0</v>
      </c>
      <c r="AM261" s="233">
        <f t="shared" si="969"/>
        <v>0</v>
      </c>
      <c r="AN261" s="233">
        <f t="shared" si="969"/>
        <v>0</v>
      </c>
      <c r="AO261" s="233">
        <f t="shared" si="969"/>
        <v>0</v>
      </c>
      <c r="AP261" s="233">
        <f t="shared" si="969"/>
        <v>0</v>
      </c>
      <c r="AQ261" s="233">
        <f t="shared" si="969"/>
        <v>0</v>
      </c>
      <c r="AR261" s="233">
        <f t="shared" si="969"/>
        <v>0</v>
      </c>
      <c r="AS261" s="233">
        <f t="shared" si="969"/>
        <v>0</v>
      </c>
      <c r="AT261" s="233">
        <f t="shared" si="969"/>
        <v>0</v>
      </c>
      <c r="AU261" s="233">
        <f t="shared" si="969"/>
        <v>0</v>
      </c>
      <c r="AV261" s="233">
        <f t="shared" si="969"/>
        <v>0</v>
      </c>
      <c r="AW261" s="233">
        <f t="shared" si="969"/>
        <v>0</v>
      </c>
      <c r="AX261" s="233">
        <f t="shared" si="969"/>
        <v>0</v>
      </c>
      <c r="AY261" s="233">
        <f t="shared" si="969"/>
        <v>0</v>
      </c>
      <c r="AZ261" s="233">
        <f t="shared" si="969"/>
        <v>0</v>
      </c>
      <c r="BA261" s="233">
        <f t="shared" si="969"/>
        <v>0</v>
      </c>
      <c r="BB261" s="233">
        <f t="shared" si="969"/>
        <v>0</v>
      </c>
      <c r="BC261" s="233">
        <f t="shared" si="969"/>
        <v>0</v>
      </c>
      <c r="BD261" s="233">
        <f t="shared" si="969"/>
        <v>0</v>
      </c>
      <c r="BE261" s="233">
        <f t="shared" si="969"/>
        <v>0</v>
      </c>
      <c r="BF261" s="233">
        <f t="shared" si="969"/>
        <v>0</v>
      </c>
      <c r="BG261" s="233">
        <f t="shared" si="969"/>
        <v>0</v>
      </c>
      <c r="BH261" s="233">
        <f t="shared" si="969"/>
        <v>0</v>
      </c>
      <c r="BI261" s="233">
        <f t="shared" si="969"/>
        <v>0</v>
      </c>
      <c r="BJ261" s="233">
        <f t="shared" si="969"/>
        <v>0</v>
      </c>
      <c r="BK261" s="233">
        <f t="shared" si="969"/>
        <v>0</v>
      </c>
      <c r="BL261" s="233">
        <f t="shared" si="969"/>
        <v>0</v>
      </c>
      <c r="BM261" s="233">
        <f t="shared" si="969"/>
        <v>0</v>
      </c>
      <c r="BN261" s="233">
        <f t="shared" si="969"/>
        <v>0</v>
      </c>
      <c r="BO261" s="233">
        <f t="shared" ref="BO261:CB261" si="970">IF(BO259&lt;0,0,$B$5+$B$6*((1-EXP(-BO260/$B$9))/(BO260/$B$9))+$B$7*((1-EXP(-BO260/$B$9))/(BO260/$B$9)-EXP(-BO260/$B$9))+$B$8*((1-EXP(-BO260/$B$10))/(BO260/$B$10)-EXP(-BO260/$B$10)))</f>
        <v>0</v>
      </c>
      <c r="BP261" s="233">
        <f t="shared" si="970"/>
        <v>0</v>
      </c>
      <c r="BQ261" s="233">
        <f t="shared" si="970"/>
        <v>0</v>
      </c>
      <c r="BR261" s="233">
        <f t="shared" si="970"/>
        <v>0</v>
      </c>
      <c r="BS261" s="233">
        <f t="shared" si="970"/>
        <v>0</v>
      </c>
      <c r="BT261" s="233">
        <f t="shared" si="970"/>
        <v>0</v>
      </c>
      <c r="BU261" s="233">
        <f t="shared" si="970"/>
        <v>0</v>
      </c>
      <c r="BV261" s="233">
        <f t="shared" si="970"/>
        <v>0</v>
      </c>
      <c r="BW261" s="233">
        <f t="shared" si="970"/>
        <v>0</v>
      </c>
      <c r="BX261" s="233">
        <f t="shared" si="970"/>
        <v>0</v>
      </c>
      <c r="BY261" s="233">
        <f t="shared" si="970"/>
        <v>0</v>
      </c>
      <c r="BZ261" s="233">
        <f t="shared" si="970"/>
        <v>0</v>
      </c>
      <c r="CA261" s="233">
        <f t="shared" si="970"/>
        <v>0</v>
      </c>
      <c r="CB261" s="233">
        <f t="shared" si="970"/>
        <v>0</v>
      </c>
      <c r="CC261" s="19"/>
      <c r="CD261" s="19"/>
      <c r="CE261" s="19"/>
    </row>
    <row r="262" spans="1:83">
      <c r="A262" s="16" t="s">
        <v>44</v>
      </c>
      <c r="B262" s="233">
        <f>EXP(-B261*B260)</f>
        <v>1</v>
      </c>
      <c r="C262" s="233">
        <f t="shared" ref="C262:BN262" si="971">EXP(-C261*C260)</f>
        <v>1</v>
      </c>
      <c r="D262" s="233">
        <f t="shared" si="971"/>
        <v>1</v>
      </c>
      <c r="E262" s="233">
        <f t="shared" si="971"/>
        <v>1</v>
      </c>
      <c r="F262" s="233">
        <f t="shared" si="971"/>
        <v>1</v>
      </c>
      <c r="G262" s="233">
        <f t="shared" si="971"/>
        <v>1</v>
      </c>
      <c r="H262" s="233">
        <f t="shared" si="971"/>
        <v>1</v>
      </c>
      <c r="I262" s="233">
        <f t="shared" si="971"/>
        <v>1</v>
      </c>
      <c r="J262" s="233">
        <f t="shared" si="971"/>
        <v>1</v>
      </c>
      <c r="K262" s="233">
        <f t="shared" si="971"/>
        <v>1</v>
      </c>
      <c r="L262" s="233">
        <f t="shared" si="971"/>
        <v>1</v>
      </c>
      <c r="M262" s="233">
        <f t="shared" si="971"/>
        <v>1</v>
      </c>
      <c r="N262" s="233">
        <f t="shared" si="971"/>
        <v>1</v>
      </c>
      <c r="O262" s="233">
        <f t="shared" si="971"/>
        <v>1</v>
      </c>
      <c r="P262" s="233">
        <f t="shared" si="971"/>
        <v>1</v>
      </c>
      <c r="Q262" s="233">
        <f t="shared" si="971"/>
        <v>1</v>
      </c>
      <c r="R262" s="233">
        <f t="shared" si="971"/>
        <v>1</v>
      </c>
      <c r="S262" s="233">
        <f t="shared" si="971"/>
        <v>1</v>
      </c>
      <c r="T262" s="233">
        <f t="shared" si="971"/>
        <v>1</v>
      </c>
      <c r="U262" s="233">
        <f t="shared" si="971"/>
        <v>1</v>
      </c>
      <c r="V262" s="233">
        <f t="shared" si="971"/>
        <v>1</v>
      </c>
      <c r="W262" s="233">
        <f t="shared" si="971"/>
        <v>1</v>
      </c>
      <c r="X262" s="233">
        <f t="shared" si="971"/>
        <v>1</v>
      </c>
      <c r="Y262" s="233">
        <f t="shared" si="971"/>
        <v>1</v>
      </c>
      <c r="Z262" s="233">
        <f t="shared" si="971"/>
        <v>1</v>
      </c>
      <c r="AA262" s="233">
        <f t="shared" si="971"/>
        <v>1</v>
      </c>
      <c r="AB262" s="233">
        <f t="shared" si="971"/>
        <v>1</v>
      </c>
      <c r="AC262" s="233">
        <f t="shared" si="971"/>
        <v>1</v>
      </c>
      <c r="AD262" s="233">
        <f t="shared" si="971"/>
        <v>1</v>
      </c>
      <c r="AE262" s="233">
        <f t="shared" si="971"/>
        <v>1</v>
      </c>
      <c r="AF262" s="233">
        <f t="shared" si="971"/>
        <v>1</v>
      </c>
      <c r="AG262" s="233">
        <f t="shared" si="971"/>
        <v>1</v>
      </c>
      <c r="AH262" s="233">
        <f t="shared" si="971"/>
        <v>1</v>
      </c>
      <c r="AI262" s="233">
        <f t="shared" si="971"/>
        <v>1</v>
      </c>
      <c r="AJ262" s="233">
        <f t="shared" si="971"/>
        <v>1</v>
      </c>
      <c r="AK262" s="233">
        <f t="shared" si="971"/>
        <v>1</v>
      </c>
      <c r="AL262" s="233">
        <f t="shared" si="971"/>
        <v>1</v>
      </c>
      <c r="AM262" s="233">
        <f t="shared" si="971"/>
        <v>1</v>
      </c>
      <c r="AN262" s="233">
        <f t="shared" si="971"/>
        <v>1</v>
      </c>
      <c r="AO262" s="233">
        <f t="shared" si="971"/>
        <v>1</v>
      </c>
      <c r="AP262" s="233">
        <f t="shared" si="971"/>
        <v>1</v>
      </c>
      <c r="AQ262" s="233">
        <f t="shared" si="971"/>
        <v>1</v>
      </c>
      <c r="AR262" s="233">
        <f t="shared" si="971"/>
        <v>1</v>
      </c>
      <c r="AS262" s="233">
        <f t="shared" si="971"/>
        <v>1</v>
      </c>
      <c r="AT262" s="233">
        <f t="shared" si="971"/>
        <v>1</v>
      </c>
      <c r="AU262" s="233">
        <f t="shared" si="971"/>
        <v>1</v>
      </c>
      <c r="AV262" s="233">
        <f t="shared" si="971"/>
        <v>1</v>
      </c>
      <c r="AW262" s="233">
        <f t="shared" si="971"/>
        <v>1</v>
      </c>
      <c r="AX262" s="233">
        <f t="shared" si="971"/>
        <v>1</v>
      </c>
      <c r="AY262" s="233">
        <f t="shared" si="971"/>
        <v>1</v>
      </c>
      <c r="AZ262" s="233">
        <f t="shared" si="971"/>
        <v>1</v>
      </c>
      <c r="BA262" s="233">
        <f t="shared" si="971"/>
        <v>1</v>
      </c>
      <c r="BB262" s="233">
        <f t="shared" si="971"/>
        <v>1</v>
      </c>
      <c r="BC262" s="233">
        <f t="shared" si="971"/>
        <v>1</v>
      </c>
      <c r="BD262" s="233">
        <f t="shared" si="971"/>
        <v>1</v>
      </c>
      <c r="BE262" s="233">
        <f t="shared" si="971"/>
        <v>1</v>
      </c>
      <c r="BF262" s="233">
        <f t="shared" si="971"/>
        <v>1</v>
      </c>
      <c r="BG262" s="233">
        <f t="shared" si="971"/>
        <v>1</v>
      </c>
      <c r="BH262" s="233">
        <f t="shared" si="971"/>
        <v>1</v>
      </c>
      <c r="BI262" s="233">
        <f t="shared" si="971"/>
        <v>1</v>
      </c>
      <c r="BJ262" s="233">
        <f t="shared" si="971"/>
        <v>1</v>
      </c>
      <c r="BK262" s="233">
        <f t="shared" si="971"/>
        <v>1</v>
      </c>
      <c r="BL262" s="233">
        <f t="shared" si="971"/>
        <v>1</v>
      </c>
      <c r="BM262" s="233">
        <f t="shared" si="971"/>
        <v>1</v>
      </c>
      <c r="BN262" s="233">
        <f t="shared" si="971"/>
        <v>1</v>
      </c>
      <c r="BO262" s="233">
        <f t="shared" ref="BO262:CB262" si="972">EXP(-BO261*BO260)</f>
        <v>1</v>
      </c>
      <c r="BP262" s="233">
        <f t="shared" si="972"/>
        <v>1</v>
      </c>
      <c r="BQ262" s="233">
        <f t="shared" si="972"/>
        <v>1</v>
      </c>
      <c r="BR262" s="233">
        <f t="shared" si="972"/>
        <v>1</v>
      </c>
      <c r="BS262" s="233">
        <f t="shared" si="972"/>
        <v>1</v>
      </c>
      <c r="BT262" s="233">
        <f t="shared" si="972"/>
        <v>1</v>
      </c>
      <c r="BU262" s="233">
        <f t="shared" si="972"/>
        <v>1</v>
      </c>
      <c r="BV262" s="233">
        <f t="shared" si="972"/>
        <v>1</v>
      </c>
      <c r="BW262" s="233">
        <f t="shared" si="972"/>
        <v>1</v>
      </c>
      <c r="BX262" s="233">
        <f t="shared" si="972"/>
        <v>1</v>
      </c>
      <c r="BY262" s="233">
        <f t="shared" si="972"/>
        <v>1</v>
      </c>
      <c r="BZ262" s="233">
        <f t="shared" si="972"/>
        <v>1</v>
      </c>
      <c r="CA262" s="233">
        <f t="shared" si="972"/>
        <v>1</v>
      </c>
      <c r="CB262" s="233">
        <f t="shared" si="972"/>
        <v>1</v>
      </c>
      <c r="CC262" s="19"/>
      <c r="CD262" s="19"/>
      <c r="CE262" s="19"/>
    </row>
    <row r="263" spans="1:83">
      <c r="A263" s="17"/>
      <c r="B263" s="5"/>
      <c r="C263" s="5"/>
      <c r="D263" s="5"/>
      <c r="E263" s="5"/>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19"/>
      <c r="CD263" s="19"/>
      <c r="CE263" s="19"/>
    </row>
    <row r="264" spans="1:83">
      <c r="A264" s="16" t="s">
        <v>40</v>
      </c>
      <c r="B264" s="695">
        <f>DAYS360($B$3,B100)</f>
        <v>151</v>
      </c>
      <c r="C264" s="695">
        <f t="shared" ref="C264:BN264" si="973">DAYS360($B$3,C100)</f>
        <v>330</v>
      </c>
      <c r="D264" s="695">
        <f t="shared" si="973"/>
        <v>510</v>
      </c>
      <c r="E264" s="695">
        <f t="shared" si="973"/>
        <v>690</v>
      </c>
      <c r="F264" s="695">
        <f t="shared" si="973"/>
        <v>870</v>
      </c>
      <c r="G264" s="695">
        <f t="shared" si="973"/>
        <v>1050</v>
      </c>
      <c r="H264" s="695">
        <f t="shared" si="973"/>
        <v>1230</v>
      </c>
      <c r="I264" s="695">
        <f t="shared" si="973"/>
        <v>1410</v>
      </c>
      <c r="J264" s="695">
        <f t="shared" si="973"/>
        <v>1590</v>
      </c>
      <c r="K264" s="695">
        <f t="shared" si="973"/>
        <v>1769</v>
      </c>
      <c r="L264" s="695">
        <f t="shared" si="973"/>
        <v>1949</v>
      </c>
      <c r="M264" s="695">
        <f t="shared" si="973"/>
        <v>2129</v>
      </c>
      <c r="N264" s="695">
        <f t="shared" si="973"/>
        <v>2309</v>
      </c>
      <c r="O264" s="695">
        <f t="shared" si="973"/>
        <v>2489</v>
      </c>
      <c r="P264" s="695">
        <f t="shared" si="973"/>
        <v>2669</v>
      </c>
      <c r="Q264" s="695">
        <f t="shared" si="973"/>
        <v>2849</v>
      </c>
      <c r="R264" s="695">
        <f t="shared" si="973"/>
        <v>3029</v>
      </c>
      <c r="S264" s="695">
        <f t="shared" si="973"/>
        <v>3209</v>
      </c>
      <c r="T264" s="695">
        <f t="shared" si="973"/>
        <v>3388</v>
      </c>
      <c r="U264" s="695">
        <f t="shared" si="973"/>
        <v>3569</v>
      </c>
      <c r="V264" s="695">
        <f t="shared" si="973"/>
        <v>3748</v>
      </c>
      <c r="W264" s="695">
        <f t="shared" si="973"/>
        <v>3929</v>
      </c>
      <c r="X264" s="695">
        <f t="shared" si="973"/>
        <v>4108</v>
      </c>
      <c r="Y264" s="695">
        <f t="shared" si="973"/>
        <v>4289</v>
      </c>
      <c r="Z264" s="695">
        <f t="shared" si="973"/>
        <v>4468</v>
      </c>
      <c r="AA264" s="695">
        <f t="shared" si="973"/>
        <v>4648</v>
      </c>
      <c r="AB264" s="695">
        <f t="shared" si="973"/>
        <v>4827</v>
      </c>
      <c r="AC264" s="695">
        <f t="shared" si="973"/>
        <v>5008</v>
      </c>
      <c r="AD264" s="695">
        <f t="shared" si="973"/>
        <v>5187</v>
      </c>
      <c r="AE264" s="695">
        <f t="shared" si="973"/>
        <v>5368</v>
      </c>
      <c r="AF264" s="695">
        <f t="shared" si="973"/>
        <v>5547</v>
      </c>
      <c r="AG264" s="695">
        <f t="shared" si="973"/>
        <v>5728</v>
      </c>
      <c r="AH264" s="695">
        <f t="shared" si="973"/>
        <v>5907</v>
      </c>
      <c r="AI264" s="695">
        <f t="shared" si="973"/>
        <v>6087</v>
      </c>
      <c r="AJ264" s="695">
        <f t="shared" si="973"/>
        <v>6266</v>
      </c>
      <c r="AK264" s="695">
        <f t="shared" si="973"/>
        <v>6447</v>
      </c>
      <c r="AL264" s="695">
        <f t="shared" si="973"/>
        <v>6626</v>
      </c>
      <c r="AM264" s="695">
        <f t="shared" si="973"/>
        <v>6807</v>
      </c>
      <c r="AN264" s="695">
        <f t="shared" si="973"/>
        <v>6986</v>
      </c>
      <c r="AO264" s="695">
        <f t="shared" si="973"/>
        <v>7167</v>
      </c>
      <c r="AP264" s="695">
        <f t="shared" si="973"/>
        <v>7346</v>
      </c>
      <c r="AQ264" s="695">
        <f t="shared" si="973"/>
        <v>7526</v>
      </c>
      <c r="AR264" s="695">
        <f t="shared" si="973"/>
        <v>7705</v>
      </c>
      <c r="AS264" s="695">
        <f t="shared" si="973"/>
        <v>7886</v>
      </c>
      <c r="AT264" s="695">
        <f t="shared" si="973"/>
        <v>8065</v>
      </c>
      <c r="AU264" s="695">
        <f t="shared" si="973"/>
        <v>8246</v>
      </c>
      <c r="AV264" s="695">
        <f t="shared" si="973"/>
        <v>8425</v>
      </c>
      <c r="AW264" s="695">
        <f t="shared" si="973"/>
        <v>8606</v>
      </c>
      <c r="AX264" s="695">
        <f t="shared" si="973"/>
        <v>8785</v>
      </c>
      <c r="AY264" s="695">
        <f t="shared" si="973"/>
        <v>8965</v>
      </c>
      <c r="AZ264" s="695">
        <f t="shared" si="973"/>
        <v>9144</v>
      </c>
      <c r="BA264" s="695">
        <f t="shared" si="973"/>
        <v>9325</v>
      </c>
      <c r="BB264" s="695">
        <f t="shared" si="973"/>
        <v>9504</v>
      </c>
      <c r="BC264" s="695">
        <f t="shared" si="973"/>
        <v>9685</v>
      </c>
      <c r="BD264" s="695">
        <f t="shared" si="973"/>
        <v>9864</v>
      </c>
      <c r="BE264" s="695">
        <f t="shared" si="973"/>
        <v>10045</v>
      </c>
      <c r="BF264" s="695">
        <f t="shared" si="973"/>
        <v>10224</v>
      </c>
      <c r="BG264" s="695">
        <f t="shared" si="973"/>
        <v>10404</v>
      </c>
      <c r="BH264" s="695">
        <f t="shared" si="973"/>
        <v>10583</v>
      </c>
      <c r="BI264" s="695">
        <f t="shared" si="973"/>
        <v>10764</v>
      </c>
      <c r="BJ264" s="695">
        <f t="shared" si="973"/>
        <v>10943</v>
      </c>
      <c r="BK264" s="695">
        <f t="shared" si="973"/>
        <v>11124</v>
      </c>
      <c r="BL264" s="695">
        <f t="shared" si="973"/>
        <v>11303</v>
      </c>
      <c r="BM264" s="695">
        <f t="shared" si="973"/>
        <v>11484</v>
      </c>
      <c r="BN264" s="695">
        <f t="shared" si="973"/>
        <v>11663</v>
      </c>
      <c r="BO264" s="695">
        <f t="shared" ref="BO264:CB264" si="974">DAYS360($B$3,BO100)</f>
        <v>11843</v>
      </c>
      <c r="BP264" s="695">
        <f t="shared" si="974"/>
        <v>12022</v>
      </c>
      <c r="BQ264" s="695">
        <f t="shared" si="974"/>
        <v>12203</v>
      </c>
      <c r="BR264" s="695">
        <f t="shared" si="974"/>
        <v>12382</v>
      </c>
      <c r="BS264" s="695">
        <f t="shared" si="974"/>
        <v>12563</v>
      </c>
      <c r="BT264" s="695">
        <f t="shared" si="974"/>
        <v>12742</v>
      </c>
      <c r="BU264" s="695">
        <f t="shared" si="974"/>
        <v>12923</v>
      </c>
      <c r="BV264" s="695">
        <f t="shared" si="974"/>
        <v>13102</v>
      </c>
      <c r="BW264" s="695">
        <f t="shared" si="974"/>
        <v>13282</v>
      </c>
      <c r="BX264" s="695">
        <f t="shared" si="974"/>
        <v>13461</v>
      </c>
      <c r="BY264" s="695">
        <f t="shared" si="974"/>
        <v>13642</v>
      </c>
      <c r="BZ264" s="695">
        <f t="shared" si="974"/>
        <v>13821</v>
      </c>
      <c r="CA264" s="695">
        <f t="shared" si="974"/>
        <v>14002</v>
      </c>
      <c r="CB264" s="695">
        <f t="shared" si="974"/>
        <v>14181</v>
      </c>
      <c r="CC264" s="19"/>
      <c r="CD264" s="19"/>
      <c r="CE264" s="19"/>
    </row>
    <row r="265" spans="1:83">
      <c r="A265" s="16" t="s">
        <v>41</v>
      </c>
      <c r="B265" s="233">
        <f>B264/360</f>
        <v>0.41944444444444445</v>
      </c>
      <c r="C265" s="233">
        <f t="shared" ref="C265:BN265" si="975">C264/360</f>
        <v>0.91666666666666663</v>
      </c>
      <c r="D265" s="233">
        <f t="shared" si="975"/>
        <v>1.4166666666666667</v>
      </c>
      <c r="E265" s="233">
        <f t="shared" si="975"/>
        <v>1.9166666666666667</v>
      </c>
      <c r="F265" s="233">
        <f t="shared" si="975"/>
        <v>2.4166666666666665</v>
      </c>
      <c r="G265" s="233">
        <f t="shared" si="975"/>
        <v>2.9166666666666665</v>
      </c>
      <c r="H265" s="233">
        <f t="shared" si="975"/>
        <v>3.4166666666666665</v>
      </c>
      <c r="I265" s="233">
        <f t="shared" si="975"/>
        <v>3.9166666666666665</v>
      </c>
      <c r="J265" s="233">
        <f t="shared" si="975"/>
        <v>4.416666666666667</v>
      </c>
      <c r="K265" s="233">
        <f t="shared" si="975"/>
        <v>4.9138888888888888</v>
      </c>
      <c r="L265" s="233">
        <f t="shared" si="975"/>
        <v>5.4138888888888888</v>
      </c>
      <c r="M265" s="233">
        <f t="shared" si="975"/>
        <v>5.9138888888888888</v>
      </c>
      <c r="N265" s="233">
        <f t="shared" si="975"/>
        <v>6.4138888888888888</v>
      </c>
      <c r="O265" s="233">
        <f t="shared" si="975"/>
        <v>6.9138888888888888</v>
      </c>
      <c r="P265" s="233">
        <f t="shared" si="975"/>
        <v>7.4138888888888888</v>
      </c>
      <c r="Q265" s="233">
        <f t="shared" si="975"/>
        <v>7.9138888888888888</v>
      </c>
      <c r="R265" s="233">
        <f t="shared" si="975"/>
        <v>8.4138888888888896</v>
      </c>
      <c r="S265" s="233">
        <f t="shared" si="975"/>
        <v>8.9138888888888896</v>
      </c>
      <c r="T265" s="233">
        <f t="shared" si="975"/>
        <v>9.4111111111111114</v>
      </c>
      <c r="U265" s="233">
        <f t="shared" si="975"/>
        <v>9.9138888888888896</v>
      </c>
      <c r="V265" s="233">
        <f t="shared" si="975"/>
        <v>10.411111111111111</v>
      </c>
      <c r="W265" s="233">
        <f t="shared" si="975"/>
        <v>10.91388888888889</v>
      </c>
      <c r="X265" s="233">
        <f t="shared" si="975"/>
        <v>11.411111111111111</v>
      </c>
      <c r="Y265" s="233">
        <f t="shared" si="975"/>
        <v>11.91388888888889</v>
      </c>
      <c r="Z265" s="233">
        <f t="shared" si="975"/>
        <v>12.411111111111111</v>
      </c>
      <c r="AA265" s="233">
        <f t="shared" si="975"/>
        <v>12.911111111111111</v>
      </c>
      <c r="AB265" s="233">
        <f t="shared" si="975"/>
        <v>13.408333333333333</v>
      </c>
      <c r="AC265" s="233">
        <f t="shared" si="975"/>
        <v>13.911111111111111</v>
      </c>
      <c r="AD265" s="233">
        <f t="shared" si="975"/>
        <v>14.408333333333333</v>
      </c>
      <c r="AE265" s="233">
        <f t="shared" si="975"/>
        <v>14.911111111111111</v>
      </c>
      <c r="AF265" s="233">
        <f t="shared" si="975"/>
        <v>15.408333333333333</v>
      </c>
      <c r="AG265" s="233">
        <f t="shared" si="975"/>
        <v>15.911111111111111</v>
      </c>
      <c r="AH265" s="233">
        <f t="shared" si="975"/>
        <v>16.408333333333335</v>
      </c>
      <c r="AI265" s="233">
        <f t="shared" si="975"/>
        <v>16.908333333333335</v>
      </c>
      <c r="AJ265" s="233">
        <f t="shared" si="975"/>
        <v>17.405555555555555</v>
      </c>
      <c r="AK265" s="233">
        <f t="shared" si="975"/>
        <v>17.908333333333335</v>
      </c>
      <c r="AL265" s="233">
        <f t="shared" si="975"/>
        <v>18.405555555555555</v>
      </c>
      <c r="AM265" s="233">
        <f t="shared" si="975"/>
        <v>18.908333333333335</v>
      </c>
      <c r="AN265" s="233">
        <f t="shared" si="975"/>
        <v>19.405555555555555</v>
      </c>
      <c r="AO265" s="233">
        <f t="shared" si="975"/>
        <v>19.908333333333335</v>
      </c>
      <c r="AP265" s="233">
        <f t="shared" si="975"/>
        <v>20.405555555555555</v>
      </c>
      <c r="AQ265" s="233">
        <f t="shared" si="975"/>
        <v>20.905555555555555</v>
      </c>
      <c r="AR265" s="233">
        <f t="shared" si="975"/>
        <v>21.402777777777779</v>
      </c>
      <c r="AS265" s="233">
        <f t="shared" si="975"/>
        <v>21.905555555555555</v>
      </c>
      <c r="AT265" s="233">
        <f t="shared" si="975"/>
        <v>22.402777777777779</v>
      </c>
      <c r="AU265" s="233">
        <f t="shared" si="975"/>
        <v>22.905555555555555</v>
      </c>
      <c r="AV265" s="233">
        <f t="shared" si="975"/>
        <v>23.402777777777779</v>
      </c>
      <c r="AW265" s="233">
        <f t="shared" si="975"/>
        <v>23.905555555555555</v>
      </c>
      <c r="AX265" s="233">
        <f t="shared" si="975"/>
        <v>24.402777777777779</v>
      </c>
      <c r="AY265" s="233">
        <f t="shared" si="975"/>
        <v>24.902777777777779</v>
      </c>
      <c r="AZ265" s="233">
        <f t="shared" si="975"/>
        <v>25.4</v>
      </c>
      <c r="BA265" s="233">
        <f t="shared" si="975"/>
        <v>25.902777777777779</v>
      </c>
      <c r="BB265" s="233">
        <f t="shared" si="975"/>
        <v>26.4</v>
      </c>
      <c r="BC265" s="233">
        <f t="shared" si="975"/>
        <v>26.902777777777779</v>
      </c>
      <c r="BD265" s="233">
        <f t="shared" si="975"/>
        <v>27.4</v>
      </c>
      <c r="BE265" s="233">
        <f t="shared" si="975"/>
        <v>27.902777777777779</v>
      </c>
      <c r="BF265" s="233">
        <f t="shared" si="975"/>
        <v>28.4</v>
      </c>
      <c r="BG265" s="233">
        <f t="shared" si="975"/>
        <v>28.9</v>
      </c>
      <c r="BH265" s="233">
        <f t="shared" si="975"/>
        <v>29.397222222222222</v>
      </c>
      <c r="BI265" s="233">
        <f t="shared" si="975"/>
        <v>29.9</v>
      </c>
      <c r="BJ265" s="233">
        <f t="shared" si="975"/>
        <v>30.397222222222222</v>
      </c>
      <c r="BK265" s="233">
        <f t="shared" si="975"/>
        <v>30.9</v>
      </c>
      <c r="BL265" s="233">
        <f t="shared" si="975"/>
        <v>31.397222222222222</v>
      </c>
      <c r="BM265" s="233">
        <f t="shared" si="975"/>
        <v>31.9</v>
      </c>
      <c r="BN265" s="233">
        <f t="shared" si="975"/>
        <v>32.397222222222226</v>
      </c>
      <c r="BO265" s="233">
        <f t="shared" ref="BO265:CB265" si="976">BO264/360</f>
        <v>32.897222222222226</v>
      </c>
      <c r="BP265" s="233">
        <f t="shared" si="976"/>
        <v>33.394444444444446</v>
      </c>
      <c r="BQ265" s="233">
        <f t="shared" si="976"/>
        <v>33.897222222222226</v>
      </c>
      <c r="BR265" s="233">
        <f t="shared" si="976"/>
        <v>34.394444444444446</v>
      </c>
      <c r="BS265" s="233">
        <f t="shared" si="976"/>
        <v>34.897222222222226</v>
      </c>
      <c r="BT265" s="233">
        <f t="shared" si="976"/>
        <v>35.394444444444446</v>
      </c>
      <c r="BU265" s="233">
        <f t="shared" si="976"/>
        <v>35.897222222222226</v>
      </c>
      <c r="BV265" s="233">
        <f t="shared" si="976"/>
        <v>36.394444444444446</v>
      </c>
      <c r="BW265" s="233">
        <f t="shared" si="976"/>
        <v>36.894444444444446</v>
      </c>
      <c r="BX265" s="233">
        <f t="shared" si="976"/>
        <v>37.391666666666666</v>
      </c>
      <c r="BY265" s="233">
        <f t="shared" si="976"/>
        <v>37.894444444444446</v>
      </c>
      <c r="BZ265" s="233">
        <f t="shared" si="976"/>
        <v>38.391666666666666</v>
      </c>
      <c r="CA265" s="233">
        <f t="shared" si="976"/>
        <v>38.894444444444446</v>
      </c>
      <c r="CB265" s="233">
        <f t="shared" si="976"/>
        <v>39.391666666666666</v>
      </c>
      <c r="CC265" s="19"/>
      <c r="CD265" s="19"/>
      <c r="CE265" s="19"/>
    </row>
    <row r="266" spans="1:83">
      <c r="A266" s="16" t="s">
        <v>43</v>
      </c>
      <c r="B266" s="233">
        <f>IF(B264&lt;0,0,$B$5+$B$6*((1-EXP(-B265/$B$9))/(B265/$B$9))+$B$7*((1-EXP(-B265/$B$9))/(B265/$B$9)-EXP(-B265/$B$9))+$B$8*((1-EXP(-B265/$B$10))/(B265/$B$10)-EXP(-B265/$B$10)))</f>
        <v>1.8851547514795806E-2</v>
      </c>
      <c r="C266" s="233">
        <f t="shared" ref="C266:BN266" si="977">IF(C264&lt;0,0,$B$5+$B$6*((1-EXP(-C265/$B$9))/(C265/$B$9))+$B$7*((1-EXP(-C265/$B$9))/(C265/$B$9)-EXP(-C265/$B$9))+$B$8*((1-EXP(-C265/$B$10))/(C265/$B$10)-EXP(-C265/$B$10)))</f>
        <v>1.7969733849366197E-2</v>
      </c>
      <c r="D266" s="233">
        <f t="shared" si="977"/>
        <v>1.7194764344421926E-2</v>
      </c>
      <c r="E266" s="233">
        <f t="shared" si="977"/>
        <v>1.6523908382054534E-2</v>
      </c>
      <c r="F266" s="233">
        <f t="shared" si="977"/>
        <v>1.5949663708025481E-2</v>
      </c>
      <c r="G266" s="233">
        <f t="shared" si="977"/>
        <v>1.5464982786225628E-2</v>
      </c>
      <c r="H266" s="233">
        <f t="shared" si="977"/>
        <v>1.5063247420816994E-2</v>
      </c>
      <c r="I266" s="233">
        <f t="shared" si="977"/>
        <v>1.4738244727943613E-2</v>
      </c>
      <c r="J266" s="233">
        <f t="shared" si="977"/>
        <v>1.4484144387472642E-2</v>
      </c>
      <c r="K266" s="233">
        <f t="shared" si="977"/>
        <v>1.4296354081865324E-2</v>
      </c>
      <c r="L266" s="233">
        <f t="shared" si="977"/>
        <v>1.4167669764447902E-2</v>
      </c>
      <c r="M266" s="233">
        <f t="shared" si="977"/>
        <v>1.4094508429132721E-2</v>
      </c>
      <c r="N266" s="233">
        <f t="shared" si="977"/>
        <v>1.4072364251041275E-2</v>
      </c>
      <c r="O266" s="233">
        <f t="shared" si="977"/>
        <v>1.4097017323533495E-2</v>
      </c>
      <c r="P266" s="233">
        <f t="shared" si="977"/>
        <v>1.4164517309363092E-2</v>
      </c>
      <c r="Q266" s="233">
        <f t="shared" si="977"/>
        <v>1.4271167974331672E-2</v>
      </c>
      <c r="R266" s="233">
        <f t="shared" si="977"/>
        <v>1.4413512557510694E-2</v>
      </c>
      <c r="S266" s="233">
        <f t="shared" si="977"/>
        <v>1.4588319934430452E-2</v>
      </c>
      <c r="T266" s="233">
        <f t="shared" si="977"/>
        <v>1.4791360730596143E-2</v>
      </c>
      <c r="U266" s="233">
        <f t="shared" si="977"/>
        <v>1.5023448954838828E-2</v>
      </c>
      <c r="V266" s="233">
        <f t="shared" si="977"/>
        <v>1.5276844623732147E-2</v>
      </c>
      <c r="W266" s="233">
        <f t="shared" si="977"/>
        <v>1.5554739041521826E-2</v>
      </c>
      <c r="X266" s="233">
        <f t="shared" si="977"/>
        <v>1.5848721835124008E-2</v>
      </c>
      <c r="Y266" s="233">
        <f t="shared" si="977"/>
        <v>1.6163217804955693E-2</v>
      </c>
      <c r="Z266" s="233">
        <f t="shared" si="977"/>
        <v>1.6489310349948438E-2</v>
      </c>
      <c r="AA266" s="233">
        <f t="shared" si="977"/>
        <v>1.6830501233382547E-2</v>
      </c>
      <c r="AB266" s="233">
        <f t="shared" si="977"/>
        <v>1.7181308149897323E-2</v>
      </c>
      <c r="AC266" s="233">
        <f t="shared" si="977"/>
        <v>1.7546109240410959E-2</v>
      </c>
      <c r="AD266" s="233">
        <f t="shared" si="977"/>
        <v>1.7915379501296361E-2</v>
      </c>
      <c r="AE266" s="233">
        <f t="shared" si="977"/>
        <v>1.8295994993904358E-2</v>
      </c>
      <c r="AF266" s="233">
        <f t="shared" si="977"/>
        <v>1.8678289744558388E-2</v>
      </c>
      <c r="AG266" s="233">
        <f t="shared" si="977"/>
        <v>1.9069629519342518E-2</v>
      </c>
      <c r="AH266" s="233">
        <f t="shared" si="977"/>
        <v>1.9460295008523212E-2</v>
      </c>
      <c r="AI266" s="233">
        <f t="shared" si="977"/>
        <v>1.9855810840219174E-2</v>
      </c>
      <c r="AJ266" s="233">
        <f t="shared" si="977"/>
        <v>2.0250877010846102E-2</v>
      </c>
      <c r="AK266" s="233">
        <f t="shared" si="977"/>
        <v>2.0651282068925803E-2</v>
      </c>
      <c r="AL266" s="233">
        <f t="shared" si="977"/>
        <v>2.1047409366457756E-2</v>
      </c>
      <c r="AM266" s="233">
        <f t="shared" si="977"/>
        <v>2.1447396735678581E-2</v>
      </c>
      <c r="AN266" s="233">
        <f t="shared" si="977"/>
        <v>2.1841761129903367E-2</v>
      </c>
      <c r="AO266" s="233">
        <f t="shared" si="977"/>
        <v>2.2238719081929426E-2</v>
      </c>
      <c r="AP266" s="233">
        <f t="shared" si="977"/>
        <v>2.2628963300942523E-2</v>
      </c>
      <c r="AQ266" s="233">
        <f t="shared" si="977"/>
        <v>2.3018565751981634E-2</v>
      </c>
      <c r="AR266" s="233">
        <f t="shared" si="977"/>
        <v>2.3402759686393576E-2</v>
      </c>
      <c r="AS266" s="233">
        <f t="shared" si="977"/>
        <v>2.3787554557616025E-2</v>
      </c>
      <c r="AT266" s="233">
        <f t="shared" si="977"/>
        <v>2.4164089391599114E-2</v>
      </c>
      <c r="AU266" s="233">
        <f t="shared" si="977"/>
        <v>2.4540453610640528E-2</v>
      </c>
      <c r="AV266" s="233">
        <f t="shared" si="977"/>
        <v>2.4908044468265583E-2</v>
      </c>
      <c r="AW266" s="233">
        <f t="shared" si="977"/>
        <v>2.527481948348019E-2</v>
      </c>
      <c r="AX266" s="233">
        <f t="shared" si="977"/>
        <v>2.5632450130735118E-2</v>
      </c>
      <c r="AY266" s="233">
        <f t="shared" si="977"/>
        <v>2.598677684246202E-2</v>
      </c>
      <c r="AZ266" s="233">
        <f t="shared" si="977"/>
        <v>2.6333694178961031E-2</v>
      </c>
      <c r="BA266" s="233">
        <f t="shared" si="977"/>
        <v>2.6678823526432444E-2</v>
      </c>
      <c r="BB266" s="233">
        <f t="shared" si="977"/>
        <v>2.7014414714026408E-2</v>
      </c>
      <c r="BC266" s="233">
        <f t="shared" si="977"/>
        <v>2.7347863084747417E-2</v>
      </c>
      <c r="BD266" s="233">
        <f t="shared" si="977"/>
        <v>2.7671716320185363E-2</v>
      </c>
      <c r="BE266" s="233">
        <f t="shared" si="977"/>
        <v>2.7993144712980381E-2</v>
      </c>
      <c r="BF266" s="233">
        <f t="shared" si="977"/>
        <v>2.8304995461202478E-2</v>
      </c>
      <c r="BG266" s="233">
        <f t="shared" si="977"/>
        <v>2.8612510996343501E-2</v>
      </c>
      <c r="BH266" s="233">
        <f t="shared" si="977"/>
        <v>2.8912253884071107E-2</v>
      </c>
      <c r="BI266" s="233">
        <f t="shared" si="977"/>
        <v>2.9209188634054639E-2</v>
      </c>
      <c r="BJ266" s="233">
        <f t="shared" si="977"/>
        <v>2.9496756694724124E-2</v>
      </c>
      <c r="BK266" s="233">
        <f t="shared" si="977"/>
        <v>2.9781398545382282E-2</v>
      </c>
      <c r="BL266" s="233">
        <f t="shared" si="977"/>
        <v>3.005684762763404E-2</v>
      </c>
      <c r="BM266" s="233">
        <f t="shared" si="977"/>
        <v>3.0329292426580196E-2</v>
      </c>
      <c r="BN266" s="233">
        <f t="shared" si="977"/>
        <v>3.0592752809631085E-2</v>
      </c>
      <c r="BO266" s="233">
        <f t="shared" ref="BO266:CB266" si="978">IF(BO264&lt;0,0,$B$5+$B$6*((1-EXP(-BO265/$B$9))/(BO265/$B$9))+$B$7*((1-EXP(-BO265/$B$9))/(BO265/$B$9)-EXP(-BO265/$B$9))+$B$8*((1-EXP(-BO265/$B$10))/(BO265/$B$10)-EXP(-BO265/$B$10)))</f>
        <v>3.0851742620426392E-2</v>
      </c>
      <c r="BP266" s="233">
        <f t="shared" si="978"/>
        <v>3.1103438538983078E-2</v>
      </c>
      <c r="BQ266" s="233">
        <f t="shared" si="978"/>
        <v>3.1352071039847565E-2</v>
      </c>
      <c r="BR266" s="233">
        <f t="shared" si="978"/>
        <v>3.1592211314410049E-2</v>
      </c>
      <c r="BS266" s="233">
        <f t="shared" si="978"/>
        <v>3.1829297263626002E-2</v>
      </c>
      <c r="BT266" s="233">
        <f t="shared" si="978"/>
        <v>3.2058164226499666E-2</v>
      </c>
      <c r="BU266" s="233">
        <f t="shared" si="978"/>
        <v>3.2284006258285161E-2</v>
      </c>
      <c r="BV266" s="233">
        <f t="shared" si="978"/>
        <v>3.2501914185073907E-2</v>
      </c>
      <c r="BW266" s="233">
        <f t="shared" si="978"/>
        <v>3.2715670717669509E-2</v>
      </c>
      <c r="BX266" s="233">
        <f t="shared" si="978"/>
        <v>3.2922987484415703E-2</v>
      </c>
      <c r="BY266" s="233">
        <f t="shared" si="978"/>
        <v>3.312738528518526E-2</v>
      </c>
      <c r="BZ266" s="233">
        <f t="shared" si="978"/>
        <v>3.3324437977970855E-2</v>
      </c>
      <c r="CA266" s="233">
        <f t="shared" si="978"/>
        <v>3.3518642726465417E-2</v>
      </c>
      <c r="CB266" s="233">
        <f t="shared" si="978"/>
        <v>3.3705801233004151E-2</v>
      </c>
      <c r="CC266" s="19"/>
      <c r="CD266" s="19"/>
      <c r="CE266" s="19"/>
    </row>
    <row r="267" spans="1:83">
      <c r="A267" s="16" t="s">
        <v>44</v>
      </c>
      <c r="B267" s="233">
        <f>EXP(-B266*B265)</f>
        <v>0.99212400261409961</v>
      </c>
      <c r="C267" s="233">
        <f t="shared" ref="C267:BN267" si="979">EXP(-C266*C265)</f>
        <v>0.98366266972108962</v>
      </c>
      <c r="D267" s="233">
        <f t="shared" si="979"/>
        <v>0.97593504260887265</v>
      </c>
      <c r="E267" s="233">
        <f t="shared" si="979"/>
        <v>0.9688254432932728</v>
      </c>
      <c r="F267" s="233">
        <f t="shared" si="979"/>
        <v>0.96218838543958851</v>
      </c>
      <c r="G267" s="233">
        <f t="shared" si="979"/>
        <v>0.95589596048913783</v>
      </c>
      <c r="H267" s="233">
        <f t="shared" si="979"/>
        <v>0.94983585326420361</v>
      </c>
      <c r="I267" s="233">
        <f t="shared" si="979"/>
        <v>0.94390968333110836</v>
      </c>
      <c r="J267" s="233">
        <f t="shared" si="979"/>
        <v>0.93803160387657136</v>
      </c>
      <c r="K267" s="233">
        <f t="shared" si="979"/>
        <v>0.93216010229204482</v>
      </c>
      <c r="L267" s="233">
        <f t="shared" si="979"/>
        <v>0.92616563400167029</v>
      </c>
      <c r="M267" s="233">
        <f t="shared" si="979"/>
        <v>0.92002599234116811</v>
      </c>
      <c r="N267" s="233">
        <f t="shared" si="979"/>
        <v>0.9136948908482182</v>
      </c>
      <c r="O267" s="233">
        <f t="shared" si="979"/>
        <v>0.90713389888926632</v>
      </c>
      <c r="P267" s="233">
        <f t="shared" si="979"/>
        <v>0.90031177633534076</v>
      </c>
      <c r="Q267" s="233">
        <f t="shared" si="979"/>
        <v>0.89320385984048567</v>
      </c>
      <c r="R267" s="233">
        <f t="shared" si="979"/>
        <v>0.88579149134328661</v>
      </c>
      <c r="S267" s="233">
        <f t="shared" si="979"/>
        <v>0.87806148179860499</v>
      </c>
      <c r="T267" s="233">
        <f t="shared" si="979"/>
        <v>0.8700512688821791</v>
      </c>
      <c r="U267" s="233">
        <f t="shared" si="979"/>
        <v>0.86162011814149242</v>
      </c>
      <c r="V267" s="233">
        <f t="shared" si="979"/>
        <v>0.85295462560368196</v>
      </c>
      <c r="W267" s="233">
        <f t="shared" si="979"/>
        <v>0.84386504741826618</v>
      </c>
      <c r="X267" s="233">
        <f t="shared" si="979"/>
        <v>0.83455925999119029</v>
      </c>
      <c r="Y267" s="233">
        <f t="shared" si="979"/>
        <v>0.82483923276299131</v>
      </c>
      <c r="Z267" s="233">
        <f t="shared" si="979"/>
        <v>0.81493195265753227</v>
      </c>
      <c r="AA267" s="233">
        <f t="shared" si="979"/>
        <v>0.80468814713806436</v>
      </c>
      <c r="AB267" s="233">
        <f t="shared" si="979"/>
        <v>0.79423752962310401</v>
      </c>
      <c r="AC267" s="233">
        <f t="shared" si="979"/>
        <v>0.78342035498576734</v>
      </c>
      <c r="AD267" s="233">
        <f t="shared" si="979"/>
        <v>0.77249421443111277</v>
      </c>
      <c r="AE267" s="233">
        <f t="shared" si="979"/>
        <v>0.76123465770559973</v>
      </c>
      <c r="AF267" s="233">
        <f t="shared" si="979"/>
        <v>0.74991057381006898</v>
      </c>
      <c r="AG267" s="233">
        <f t="shared" si="979"/>
        <v>0.73828969250841991</v>
      </c>
      <c r="AH267" s="233">
        <f t="shared" si="979"/>
        <v>0.72664952087992407</v>
      </c>
      <c r="AI267" s="233">
        <f t="shared" si="979"/>
        <v>0.71481703203331215</v>
      </c>
      <c r="AJ267" s="233">
        <f t="shared" si="979"/>
        <v>0.7029441996989374</v>
      </c>
      <c r="AK267" s="233">
        <f t="shared" si="979"/>
        <v>0.69085173571337199</v>
      </c>
      <c r="AL267" s="233">
        <f t="shared" si="979"/>
        <v>0.67882680174373444</v>
      </c>
      <c r="AM267" s="233">
        <f t="shared" si="979"/>
        <v>0.66662038927141132</v>
      </c>
      <c r="AN267" s="233">
        <f t="shared" si="979"/>
        <v>0.65452106515619568</v>
      </c>
      <c r="AO267" s="233">
        <f t="shared" si="979"/>
        <v>0.64227685342097984</v>
      </c>
      <c r="AP267" s="233">
        <f t="shared" si="979"/>
        <v>0.63017572633374264</v>
      </c>
      <c r="AQ267" s="233">
        <f t="shared" si="979"/>
        <v>0.61803146712837032</v>
      </c>
      <c r="AR267" s="233">
        <f t="shared" si="979"/>
        <v>0.60599468416598734</v>
      </c>
      <c r="AS267" s="233">
        <f t="shared" si="979"/>
        <v>0.59387905118105666</v>
      </c>
      <c r="AT267" s="233">
        <f t="shared" si="979"/>
        <v>0.58196630690497442</v>
      </c>
      <c r="AU267" s="233">
        <f t="shared" si="979"/>
        <v>0.57000353094233036</v>
      </c>
      <c r="AV267" s="233">
        <f t="shared" si="979"/>
        <v>0.55826728295736061</v>
      </c>
      <c r="AW267" s="233">
        <f t="shared" si="979"/>
        <v>0.54650676027226297</v>
      </c>
      <c r="AX267" s="233">
        <f t="shared" si="979"/>
        <v>0.53499226804639188</v>
      </c>
      <c r="AY267" s="233">
        <f t="shared" si="979"/>
        <v>0.52353943140184089</v>
      </c>
      <c r="AZ267" s="233">
        <f t="shared" si="979"/>
        <v>0.51228414757841978</v>
      </c>
      <c r="BA267" s="233">
        <f t="shared" si="979"/>
        <v>0.50104686609240079</v>
      </c>
      <c r="BB267" s="233">
        <f t="shared" si="979"/>
        <v>0.49008298334528994</v>
      </c>
      <c r="BC267" s="233">
        <f t="shared" si="979"/>
        <v>0.47915387869964216</v>
      </c>
      <c r="BD267" s="233">
        <f t="shared" si="979"/>
        <v>0.46850662938308052</v>
      </c>
      <c r="BE267" s="233">
        <f t="shared" si="979"/>
        <v>0.45790822537352949</v>
      </c>
      <c r="BF267" s="233">
        <f t="shared" si="979"/>
        <v>0.44759705992498255</v>
      </c>
      <c r="BG267" s="233">
        <f t="shared" si="979"/>
        <v>0.437402450735071</v>
      </c>
      <c r="BH267" s="233">
        <f t="shared" si="979"/>
        <v>0.42744059797071599</v>
      </c>
      <c r="BI267" s="233">
        <f t="shared" si="979"/>
        <v>0.41754843052630852</v>
      </c>
      <c r="BJ267" s="233">
        <f t="shared" si="979"/>
        <v>0.40794640720954456</v>
      </c>
      <c r="BK267" s="233">
        <f t="shared" si="979"/>
        <v>0.39842133019758685</v>
      </c>
      <c r="BL267" s="233">
        <f t="shared" si="979"/>
        <v>0.38918458969990266</v>
      </c>
      <c r="BM267" s="233">
        <f t="shared" si="979"/>
        <v>0.38003024838828042</v>
      </c>
      <c r="BN267" s="233">
        <f t="shared" si="979"/>
        <v>0.37116067971855982</v>
      </c>
      <c r="BO267" s="233">
        <f t="shared" ref="BO267:CB267" si="980">EXP(-BO266*BO265)</f>
        <v>0.3624253949413353</v>
      </c>
      <c r="BP267" s="233">
        <f t="shared" si="980"/>
        <v>0.35392082455208268</v>
      </c>
      <c r="BQ267" s="233">
        <f t="shared" si="980"/>
        <v>0.34550501552509055</v>
      </c>
      <c r="BR267" s="233">
        <f t="shared" si="980"/>
        <v>0.33736273688229312</v>
      </c>
      <c r="BS267" s="233">
        <f t="shared" si="980"/>
        <v>0.32931054758663236</v>
      </c>
      <c r="BT267" s="233">
        <f t="shared" si="980"/>
        <v>0.32152469941422074</v>
      </c>
      <c r="BU267" s="233">
        <f t="shared" si="980"/>
        <v>0.31382927633430047</v>
      </c>
      <c r="BV267" s="233">
        <f t="shared" si="980"/>
        <v>0.30639225766670047</v>
      </c>
      <c r="BW267" s="233">
        <f t="shared" si="980"/>
        <v>0.29908528990304228</v>
      </c>
      <c r="BX267" s="233">
        <f t="shared" si="980"/>
        <v>0.29198718236484728</v>
      </c>
      <c r="BY267" s="233">
        <f t="shared" si="980"/>
        <v>0.28497783853046083</v>
      </c>
      <c r="BZ267" s="233">
        <f t="shared" si="980"/>
        <v>0.2782095381916756</v>
      </c>
      <c r="CA267" s="233">
        <f t="shared" si="980"/>
        <v>0.27152827880319341</v>
      </c>
      <c r="CB267" s="233">
        <f t="shared" si="980"/>
        <v>0.26507891976374237</v>
      </c>
      <c r="CC267" s="19"/>
      <c r="CD267" s="19"/>
      <c r="CE267" s="19"/>
    </row>
    <row r="268" spans="1:83">
      <c r="A268" s="17"/>
      <c r="B268" s="5"/>
      <c r="C268" s="5"/>
      <c r="D268" s="5"/>
      <c r="E268" s="5"/>
      <c r="F268" s="5"/>
      <c r="G268" s="5"/>
      <c r="H268" s="5"/>
      <c r="I268" s="5"/>
      <c r="J268" s="5"/>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5"/>
      <c r="AT268" s="5"/>
      <c r="AU268" s="5"/>
      <c r="AV268" s="5"/>
      <c r="AW268" s="5"/>
      <c r="AX268" s="5"/>
      <c r="AY268" s="5"/>
      <c r="AZ268" s="5"/>
      <c r="BA268" s="5"/>
      <c r="BB268" s="5"/>
      <c r="BC268" s="5"/>
      <c r="BD268" s="5"/>
      <c r="BE268" s="5"/>
      <c r="BF268" s="5"/>
      <c r="BG268" s="5"/>
      <c r="BH268" s="5"/>
      <c r="BI268" s="5"/>
      <c r="BJ268" s="5"/>
      <c r="BK268" s="5"/>
      <c r="BL268" s="5"/>
      <c r="BM268" s="5"/>
      <c r="BN268" s="5"/>
      <c r="BO268" s="5"/>
      <c r="BP268" s="5"/>
      <c r="BQ268" s="5"/>
      <c r="BR268" s="5"/>
      <c r="BS268" s="5"/>
      <c r="BT268" s="5"/>
      <c r="BU268" s="5"/>
      <c r="BV268" s="5"/>
      <c r="BW268" s="5"/>
      <c r="BX268" s="5"/>
      <c r="BY268" s="5"/>
      <c r="BZ268" s="5"/>
      <c r="CA268" s="5"/>
      <c r="CB268" s="5"/>
      <c r="CC268" s="19"/>
      <c r="CD268" s="19"/>
      <c r="CE268" s="19"/>
    </row>
    <row r="269" spans="1:83">
      <c r="A269" s="16" t="s">
        <v>40</v>
      </c>
      <c r="B269" s="695">
        <f>DAYS360($B$3,B102)</f>
        <v>-43022</v>
      </c>
      <c r="C269" s="695">
        <f t="shared" ref="C269:BN269" si="981">DAYS360($B$3,C102)</f>
        <v>-42842</v>
      </c>
      <c r="D269" s="695">
        <f t="shared" si="981"/>
        <v>-42662</v>
      </c>
      <c r="E269" s="695">
        <f t="shared" si="981"/>
        <v>-42482</v>
      </c>
      <c r="F269" s="695">
        <f t="shared" si="981"/>
        <v>-42302</v>
      </c>
      <c r="G269" s="695">
        <f t="shared" si="981"/>
        <v>-42122</v>
      </c>
      <c r="H269" s="695">
        <f t="shared" si="981"/>
        <v>-41942</v>
      </c>
      <c r="I269" s="695">
        <f t="shared" si="981"/>
        <v>-41762</v>
      </c>
      <c r="J269" s="695">
        <f t="shared" si="981"/>
        <v>-41582</v>
      </c>
      <c r="K269" s="695">
        <f t="shared" si="981"/>
        <v>-41403</v>
      </c>
      <c r="L269" s="695">
        <f t="shared" si="981"/>
        <v>-41223</v>
      </c>
      <c r="M269" s="695">
        <f t="shared" si="981"/>
        <v>-41043</v>
      </c>
      <c r="N269" s="695">
        <f t="shared" si="981"/>
        <v>-40863</v>
      </c>
      <c r="O269" s="695">
        <f t="shared" si="981"/>
        <v>-40683</v>
      </c>
      <c r="P269" s="695">
        <f t="shared" si="981"/>
        <v>-40503</v>
      </c>
      <c r="Q269" s="695">
        <f t="shared" si="981"/>
        <v>-40323</v>
      </c>
      <c r="R269" s="695">
        <f t="shared" si="981"/>
        <v>-40143</v>
      </c>
      <c r="S269" s="695">
        <f t="shared" si="981"/>
        <v>-39964</v>
      </c>
      <c r="T269" s="695">
        <f t="shared" si="981"/>
        <v>-39784</v>
      </c>
      <c r="U269" s="695">
        <f t="shared" si="981"/>
        <v>-39604</v>
      </c>
      <c r="V269" s="695">
        <f t="shared" si="981"/>
        <v>-39424</v>
      </c>
      <c r="W269" s="695">
        <f t="shared" si="981"/>
        <v>-39244</v>
      </c>
      <c r="X269" s="695">
        <f t="shared" si="981"/>
        <v>-39064</v>
      </c>
      <c r="Y269" s="695">
        <f t="shared" si="981"/>
        <v>-38884</v>
      </c>
      <c r="Z269" s="695">
        <f t="shared" si="981"/>
        <v>-38704</v>
      </c>
      <c r="AA269" s="695">
        <f t="shared" si="981"/>
        <v>-38525</v>
      </c>
      <c r="AB269" s="695">
        <f t="shared" si="981"/>
        <v>-38345</v>
      </c>
      <c r="AC269" s="695">
        <f t="shared" si="981"/>
        <v>-38165</v>
      </c>
      <c r="AD269" s="695">
        <f t="shared" si="981"/>
        <v>-37985</v>
      </c>
      <c r="AE269" s="695">
        <f t="shared" si="981"/>
        <v>-37805</v>
      </c>
      <c r="AF269" s="695">
        <f t="shared" si="981"/>
        <v>-37625</v>
      </c>
      <c r="AG269" s="695">
        <f t="shared" si="981"/>
        <v>-37445</v>
      </c>
      <c r="AH269" s="695">
        <f t="shared" si="981"/>
        <v>-37265</v>
      </c>
      <c r="AI269" s="695">
        <f t="shared" si="981"/>
        <v>-37086</v>
      </c>
      <c r="AJ269" s="695">
        <f t="shared" si="981"/>
        <v>-36906</v>
      </c>
      <c r="AK269" s="695">
        <f t="shared" si="981"/>
        <v>-36726</v>
      </c>
      <c r="AL269" s="695">
        <f t="shared" si="981"/>
        <v>-36546</v>
      </c>
      <c r="AM269" s="695">
        <f t="shared" si="981"/>
        <v>-36366</v>
      </c>
      <c r="AN269" s="695">
        <f t="shared" si="981"/>
        <v>-36186</v>
      </c>
      <c r="AO269" s="695">
        <f t="shared" si="981"/>
        <v>-36006</v>
      </c>
      <c r="AP269" s="695">
        <f t="shared" si="981"/>
        <v>-35826</v>
      </c>
      <c r="AQ269" s="695">
        <f t="shared" si="981"/>
        <v>-35647</v>
      </c>
      <c r="AR269" s="695">
        <f t="shared" si="981"/>
        <v>-35467</v>
      </c>
      <c r="AS269" s="695">
        <f t="shared" si="981"/>
        <v>-35287</v>
      </c>
      <c r="AT269" s="695">
        <f t="shared" si="981"/>
        <v>-35107</v>
      </c>
      <c r="AU269" s="695">
        <f t="shared" si="981"/>
        <v>-34927</v>
      </c>
      <c r="AV269" s="695">
        <f t="shared" si="981"/>
        <v>-34747</v>
      </c>
      <c r="AW269" s="695">
        <f t="shared" si="981"/>
        <v>-34567</v>
      </c>
      <c r="AX269" s="695">
        <f t="shared" si="981"/>
        <v>-34387</v>
      </c>
      <c r="AY269" s="695">
        <f t="shared" si="981"/>
        <v>-34208</v>
      </c>
      <c r="AZ269" s="695">
        <f t="shared" si="981"/>
        <v>-34028</v>
      </c>
      <c r="BA269" s="695">
        <f t="shared" si="981"/>
        <v>-33848</v>
      </c>
      <c r="BB269" s="695">
        <f t="shared" si="981"/>
        <v>-33668</v>
      </c>
      <c r="BC269" s="695">
        <f t="shared" si="981"/>
        <v>-33488</v>
      </c>
      <c r="BD269" s="695">
        <f t="shared" si="981"/>
        <v>-33308</v>
      </c>
      <c r="BE269" s="695">
        <f t="shared" si="981"/>
        <v>-33128</v>
      </c>
      <c r="BF269" s="695">
        <f t="shared" si="981"/>
        <v>-32948</v>
      </c>
      <c r="BG269" s="695">
        <f t="shared" si="981"/>
        <v>-32769</v>
      </c>
      <c r="BH269" s="695">
        <f t="shared" si="981"/>
        <v>-32589</v>
      </c>
      <c r="BI269" s="695">
        <f t="shared" si="981"/>
        <v>-32409</v>
      </c>
      <c r="BJ269" s="695">
        <f t="shared" si="981"/>
        <v>-32229</v>
      </c>
      <c r="BK269" s="695">
        <f t="shared" si="981"/>
        <v>-32049</v>
      </c>
      <c r="BL269" s="695">
        <f t="shared" si="981"/>
        <v>-31869</v>
      </c>
      <c r="BM269" s="695">
        <f t="shared" si="981"/>
        <v>-31689</v>
      </c>
      <c r="BN269" s="695">
        <f t="shared" si="981"/>
        <v>-31509</v>
      </c>
      <c r="BO269" s="695">
        <f t="shared" ref="BO269:CB269" si="982">DAYS360($B$3,BO102)</f>
        <v>-31330</v>
      </c>
      <c r="BP269" s="695">
        <f t="shared" si="982"/>
        <v>-31150</v>
      </c>
      <c r="BQ269" s="695">
        <f t="shared" si="982"/>
        <v>-30970</v>
      </c>
      <c r="BR269" s="695">
        <f t="shared" si="982"/>
        <v>-30790</v>
      </c>
      <c r="BS269" s="695">
        <f t="shared" si="982"/>
        <v>-30610</v>
      </c>
      <c r="BT269" s="695">
        <f t="shared" si="982"/>
        <v>-30430</v>
      </c>
      <c r="BU269" s="695">
        <f t="shared" si="982"/>
        <v>-30250</v>
      </c>
      <c r="BV269" s="695">
        <f t="shared" si="982"/>
        <v>-30070</v>
      </c>
      <c r="BW269" s="695">
        <f t="shared" si="982"/>
        <v>-29891</v>
      </c>
      <c r="BX269" s="695">
        <f t="shared" si="982"/>
        <v>-29711</v>
      </c>
      <c r="BY269" s="695">
        <f t="shared" si="982"/>
        <v>-29531</v>
      </c>
      <c r="BZ269" s="695">
        <f t="shared" si="982"/>
        <v>-29351</v>
      </c>
      <c r="CA269" s="695">
        <f t="shared" si="982"/>
        <v>-29171</v>
      </c>
      <c r="CB269" s="695">
        <f t="shared" si="982"/>
        <v>-28991</v>
      </c>
      <c r="CC269" s="19"/>
      <c r="CD269" s="19"/>
      <c r="CE269" s="19"/>
    </row>
    <row r="270" spans="1:83">
      <c r="A270" s="16" t="s">
        <v>41</v>
      </c>
      <c r="B270" s="233">
        <f>B269/360</f>
        <v>-119.50555555555556</v>
      </c>
      <c r="C270" s="233">
        <f t="shared" ref="C270:BN270" si="983">C269/360</f>
        <v>-119.00555555555556</v>
      </c>
      <c r="D270" s="233">
        <f t="shared" si="983"/>
        <v>-118.50555555555556</v>
      </c>
      <c r="E270" s="233">
        <f t="shared" si="983"/>
        <v>-118.00555555555556</v>
      </c>
      <c r="F270" s="233">
        <f t="shared" si="983"/>
        <v>-117.50555555555556</v>
      </c>
      <c r="G270" s="233">
        <f t="shared" si="983"/>
        <v>-117.00555555555556</v>
      </c>
      <c r="H270" s="233">
        <f t="shared" si="983"/>
        <v>-116.50555555555556</v>
      </c>
      <c r="I270" s="233">
        <f t="shared" si="983"/>
        <v>-116.00555555555556</v>
      </c>
      <c r="J270" s="233">
        <f t="shared" si="983"/>
        <v>-115.50555555555556</v>
      </c>
      <c r="K270" s="233">
        <f t="shared" si="983"/>
        <v>-115.00833333333334</v>
      </c>
      <c r="L270" s="233">
        <f t="shared" si="983"/>
        <v>-114.50833333333334</v>
      </c>
      <c r="M270" s="233">
        <f t="shared" si="983"/>
        <v>-114.00833333333334</v>
      </c>
      <c r="N270" s="233">
        <f t="shared" si="983"/>
        <v>-113.50833333333334</v>
      </c>
      <c r="O270" s="233">
        <f t="shared" si="983"/>
        <v>-113.00833333333334</v>
      </c>
      <c r="P270" s="233">
        <f t="shared" si="983"/>
        <v>-112.50833333333334</v>
      </c>
      <c r="Q270" s="233">
        <f t="shared" si="983"/>
        <v>-112.00833333333334</v>
      </c>
      <c r="R270" s="233">
        <f t="shared" si="983"/>
        <v>-111.50833333333334</v>
      </c>
      <c r="S270" s="233">
        <f t="shared" si="983"/>
        <v>-111.01111111111111</v>
      </c>
      <c r="T270" s="233">
        <f t="shared" si="983"/>
        <v>-110.51111111111111</v>
      </c>
      <c r="U270" s="233">
        <f t="shared" si="983"/>
        <v>-110.01111111111111</v>
      </c>
      <c r="V270" s="233">
        <f t="shared" si="983"/>
        <v>-109.51111111111111</v>
      </c>
      <c r="W270" s="233">
        <f t="shared" si="983"/>
        <v>-109.01111111111111</v>
      </c>
      <c r="X270" s="233">
        <f t="shared" si="983"/>
        <v>-108.51111111111111</v>
      </c>
      <c r="Y270" s="233">
        <f t="shared" si="983"/>
        <v>-108.01111111111111</v>
      </c>
      <c r="Z270" s="233">
        <f t="shared" si="983"/>
        <v>-107.51111111111111</v>
      </c>
      <c r="AA270" s="233">
        <f t="shared" si="983"/>
        <v>-107.01388888888889</v>
      </c>
      <c r="AB270" s="233">
        <f t="shared" si="983"/>
        <v>-106.51388888888889</v>
      </c>
      <c r="AC270" s="233">
        <f t="shared" si="983"/>
        <v>-106.01388888888889</v>
      </c>
      <c r="AD270" s="233">
        <f t="shared" si="983"/>
        <v>-105.51388888888889</v>
      </c>
      <c r="AE270" s="233">
        <f t="shared" si="983"/>
        <v>-105.01388888888889</v>
      </c>
      <c r="AF270" s="233">
        <f t="shared" si="983"/>
        <v>-104.51388888888889</v>
      </c>
      <c r="AG270" s="233">
        <f t="shared" si="983"/>
        <v>-104.01388888888889</v>
      </c>
      <c r="AH270" s="233">
        <f t="shared" si="983"/>
        <v>-103.51388888888889</v>
      </c>
      <c r="AI270" s="233">
        <f t="shared" si="983"/>
        <v>-103.01666666666667</v>
      </c>
      <c r="AJ270" s="233">
        <f t="shared" si="983"/>
        <v>-102.51666666666667</v>
      </c>
      <c r="AK270" s="233">
        <f t="shared" si="983"/>
        <v>-102.01666666666667</v>
      </c>
      <c r="AL270" s="233">
        <f t="shared" si="983"/>
        <v>-101.51666666666667</v>
      </c>
      <c r="AM270" s="233">
        <f t="shared" si="983"/>
        <v>-101.01666666666667</v>
      </c>
      <c r="AN270" s="233">
        <f t="shared" si="983"/>
        <v>-100.51666666666667</v>
      </c>
      <c r="AO270" s="233">
        <f t="shared" si="983"/>
        <v>-100.01666666666667</v>
      </c>
      <c r="AP270" s="233">
        <f t="shared" si="983"/>
        <v>-99.516666666666666</v>
      </c>
      <c r="AQ270" s="233">
        <f t="shared" si="983"/>
        <v>-99.019444444444446</v>
      </c>
      <c r="AR270" s="233">
        <f t="shared" si="983"/>
        <v>-98.519444444444446</v>
      </c>
      <c r="AS270" s="233">
        <f t="shared" si="983"/>
        <v>-98.019444444444446</v>
      </c>
      <c r="AT270" s="233">
        <f t="shared" si="983"/>
        <v>-97.519444444444446</v>
      </c>
      <c r="AU270" s="233">
        <f t="shared" si="983"/>
        <v>-97.019444444444446</v>
      </c>
      <c r="AV270" s="233">
        <f t="shared" si="983"/>
        <v>-96.519444444444446</v>
      </c>
      <c r="AW270" s="233">
        <f t="shared" si="983"/>
        <v>-96.019444444444446</v>
      </c>
      <c r="AX270" s="233">
        <f t="shared" si="983"/>
        <v>-95.519444444444446</v>
      </c>
      <c r="AY270" s="233">
        <f t="shared" si="983"/>
        <v>-95.022222222222226</v>
      </c>
      <c r="AZ270" s="233">
        <f t="shared" si="983"/>
        <v>-94.522222222222226</v>
      </c>
      <c r="BA270" s="233">
        <f t="shared" si="983"/>
        <v>-94.022222222222226</v>
      </c>
      <c r="BB270" s="233">
        <f t="shared" si="983"/>
        <v>-93.522222222222226</v>
      </c>
      <c r="BC270" s="233">
        <f t="shared" si="983"/>
        <v>-93.022222222222226</v>
      </c>
      <c r="BD270" s="233">
        <f t="shared" si="983"/>
        <v>-92.522222222222226</v>
      </c>
      <c r="BE270" s="233">
        <f t="shared" si="983"/>
        <v>-92.022222222222226</v>
      </c>
      <c r="BF270" s="233">
        <f t="shared" si="983"/>
        <v>-91.522222222222226</v>
      </c>
      <c r="BG270" s="233">
        <f t="shared" si="983"/>
        <v>-91.025000000000006</v>
      </c>
      <c r="BH270" s="233">
        <f t="shared" si="983"/>
        <v>-90.525000000000006</v>
      </c>
      <c r="BI270" s="233">
        <f t="shared" si="983"/>
        <v>-90.025000000000006</v>
      </c>
      <c r="BJ270" s="233">
        <f t="shared" si="983"/>
        <v>-89.525000000000006</v>
      </c>
      <c r="BK270" s="233">
        <f t="shared" si="983"/>
        <v>-89.025000000000006</v>
      </c>
      <c r="BL270" s="233">
        <f t="shared" si="983"/>
        <v>-88.525000000000006</v>
      </c>
      <c r="BM270" s="233">
        <f t="shared" si="983"/>
        <v>-88.025000000000006</v>
      </c>
      <c r="BN270" s="233">
        <f t="shared" si="983"/>
        <v>-87.525000000000006</v>
      </c>
      <c r="BO270" s="233">
        <f t="shared" ref="BO270:CB270" si="984">BO269/360</f>
        <v>-87.027777777777771</v>
      </c>
      <c r="BP270" s="233">
        <f t="shared" si="984"/>
        <v>-86.527777777777771</v>
      </c>
      <c r="BQ270" s="233">
        <f t="shared" si="984"/>
        <v>-86.027777777777771</v>
      </c>
      <c r="BR270" s="233">
        <f t="shared" si="984"/>
        <v>-85.527777777777771</v>
      </c>
      <c r="BS270" s="233">
        <f t="shared" si="984"/>
        <v>-85.027777777777771</v>
      </c>
      <c r="BT270" s="233">
        <f t="shared" si="984"/>
        <v>-84.527777777777771</v>
      </c>
      <c r="BU270" s="233">
        <f t="shared" si="984"/>
        <v>-84.027777777777771</v>
      </c>
      <c r="BV270" s="233">
        <f t="shared" si="984"/>
        <v>-83.527777777777771</v>
      </c>
      <c r="BW270" s="233">
        <f t="shared" si="984"/>
        <v>-83.030555555555551</v>
      </c>
      <c r="BX270" s="233">
        <f t="shared" si="984"/>
        <v>-82.530555555555551</v>
      </c>
      <c r="BY270" s="233">
        <f t="shared" si="984"/>
        <v>-82.030555555555551</v>
      </c>
      <c r="BZ270" s="233">
        <f t="shared" si="984"/>
        <v>-81.530555555555551</v>
      </c>
      <c r="CA270" s="233">
        <f t="shared" si="984"/>
        <v>-81.030555555555551</v>
      </c>
      <c r="CB270" s="233">
        <f t="shared" si="984"/>
        <v>-80.530555555555551</v>
      </c>
      <c r="CC270" s="19"/>
      <c r="CD270" s="19"/>
      <c r="CE270" s="19"/>
    </row>
    <row r="271" spans="1:83">
      <c r="A271" s="16" t="s">
        <v>43</v>
      </c>
      <c r="B271" s="233">
        <f>IF(B269&lt;0,0,$B$5+$B$6*((1-EXP(-B270/$B$9))/(B270/$B$9))+$B$7*((1-EXP(-B270/$B$9))/(B270/$B$9)-EXP(-B270/$B$9))+$B$8*((1-EXP(-B270/$B$10))/(B270/$B$10)-EXP(-B270/$B$10)))</f>
        <v>0</v>
      </c>
      <c r="C271" s="233">
        <f t="shared" ref="C271:BN271" si="985">IF(C269&lt;0,0,$B$5+$B$6*((1-EXP(-C270/$B$9))/(C270/$B$9))+$B$7*((1-EXP(-C270/$B$9))/(C270/$B$9)-EXP(-C270/$B$9))+$B$8*((1-EXP(-C270/$B$10))/(C270/$B$10)-EXP(-C270/$B$10)))</f>
        <v>0</v>
      </c>
      <c r="D271" s="233">
        <f t="shared" si="985"/>
        <v>0</v>
      </c>
      <c r="E271" s="233">
        <f t="shared" si="985"/>
        <v>0</v>
      </c>
      <c r="F271" s="233">
        <f t="shared" si="985"/>
        <v>0</v>
      </c>
      <c r="G271" s="233">
        <f t="shared" si="985"/>
        <v>0</v>
      </c>
      <c r="H271" s="233">
        <f t="shared" si="985"/>
        <v>0</v>
      </c>
      <c r="I271" s="233">
        <f t="shared" si="985"/>
        <v>0</v>
      </c>
      <c r="J271" s="233">
        <f t="shared" si="985"/>
        <v>0</v>
      </c>
      <c r="K271" s="233">
        <f t="shared" si="985"/>
        <v>0</v>
      </c>
      <c r="L271" s="233">
        <f t="shared" si="985"/>
        <v>0</v>
      </c>
      <c r="M271" s="233">
        <f t="shared" si="985"/>
        <v>0</v>
      </c>
      <c r="N271" s="233">
        <f t="shared" si="985"/>
        <v>0</v>
      </c>
      <c r="O271" s="233">
        <f t="shared" si="985"/>
        <v>0</v>
      </c>
      <c r="P271" s="233">
        <f t="shared" si="985"/>
        <v>0</v>
      </c>
      <c r="Q271" s="233">
        <f t="shared" si="985"/>
        <v>0</v>
      </c>
      <c r="R271" s="233">
        <f t="shared" si="985"/>
        <v>0</v>
      </c>
      <c r="S271" s="233">
        <f t="shared" si="985"/>
        <v>0</v>
      </c>
      <c r="T271" s="233">
        <f t="shared" si="985"/>
        <v>0</v>
      </c>
      <c r="U271" s="233">
        <f t="shared" si="985"/>
        <v>0</v>
      </c>
      <c r="V271" s="233">
        <f t="shared" si="985"/>
        <v>0</v>
      </c>
      <c r="W271" s="233">
        <f t="shared" si="985"/>
        <v>0</v>
      </c>
      <c r="X271" s="233">
        <f t="shared" si="985"/>
        <v>0</v>
      </c>
      <c r="Y271" s="233">
        <f t="shared" si="985"/>
        <v>0</v>
      </c>
      <c r="Z271" s="233">
        <f t="shared" si="985"/>
        <v>0</v>
      </c>
      <c r="AA271" s="233">
        <f t="shared" si="985"/>
        <v>0</v>
      </c>
      <c r="AB271" s="233">
        <f t="shared" si="985"/>
        <v>0</v>
      </c>
      <c r="AC271" s="233">
        <f t="shared" si="985"/>
        <v>0</v>
      </c>
      <c r="AD271" s="233">
        <f t="shared" si="985"/>
        <v>0</v>
      </c>
      <c r="AE271" s="233">
        <f t="shared" si="985"/>
        <v>0</v>
      </c>
      <c r="AF271" s="233">
        <f t="shared" si="985"/>
        <v>0</v>
      </c>
      <c r="AG271" s="233">
        <f t="shared" si="985"/>
        <v>0</v>
      </c>
      <c r="AH271" s="233">
        <f t="shared" si="985"/>
        <v>0</v>
      </c>
      <c r="AI271" s="233">
        <f t="shared" si="985"/>
        <v>0</v>
      </c>
      <c r="AJ271" s="233">
        <f t="shared" si="985"/>
        <v>0</v>
      </c>
      <c r="AK271" s="233">
        <f t="shared" si="985"/>
        <v>0</v>
      </c>
      <c r="AL271" s="233">
        <f t="shared" si="985"/>
        <v>0</v>
      </c>
      <c r="AM271" s="233">
        <f t="shared" si="985"/>
        <v>0</v>
      </c>
      <c r="AN271" s="233">
        <f t="shared" si="985"/>
        <v>0</v>
      </c>
      <c r="AO271" s="233">
        <f t="shared" si="985"/>
        <v>0</v>
      </c>
      <c r="AP271" s="233">
        <f t="shared" si="985"/>
        <v>0</v>
      </c>
      <c r="AQ271" s="233">
        <f t="shared" si="985"/>
        <v>0</v>
      </c>
      <c r="AR271" s="233">
        <f t="shared" si="985"/>
        <v>0</v>
      </c>
      <c r="AS271" s="233">
        <f t="shared" si="985"/>
        <v>0</v>
      </c>
      <c r="AT271" s="233">
        <f t="shared" si="985"/>
        <v>0</v>
      </c>
      <c r="AU271" s="233">
        <f t="shared" si="985"/>
        <v>0</v>
      </c>
      <c r="AV271" s="233">
        <f t="shared" si="985"/>
        <v>0</v>
      </c>
      <c r="AW271" s="233">
        <f t="shared" si="985"/>
        <v>0</v>
      </c>
      <c r="AX271" s="233">
        <f t="shared" si="985"/>
        <v>0</v>
      </c>
      <c r="AY271" s="233">
        <f t="shared" si="985"/>
        <v>0</v>
      </c>
      <c r="AZ271" s="233">
        <f t="shared" si="985"/>
        <v>0</v>
      </c>
      <c r="BA271" s="233">
        <f t="shared" si="985"/>
        <v>0</v>
      </c>
      <c r="BB271" s="233">
        <f t="shared" si="985"/>
        <v>0</v>
      </c>
      <c r="BC271" s="233">
        <f t="shared" si="985"/>
        <v>0</v>
      </c>
      <c r="BD271" s="233">
        <f t="shared" si="985"/>
        <v>0</v>
      </c>
      <c r="BE271" s="233">
        <f t="shared" si="985"/>
        <v>0</v>
      </c>
      <c r="BF271" s="233">
        <f t="shared" si="985"/>
        <v>0</v>
      </c>
      <c r="BG271" s="233">
        <f t="shared" si="985"/>
        <v>0</v>
      </c>
      <c r="BH271" s="233">
        <f t="shared" si="985"/>
        <v>0</v>
      </c>
      <c r="BI271" s="233">
        <f t="shared" si="985"/>
        <v>0</v>
      </c>
      <c r="BJ271" s="233">
        <f t="shared" si="985"/>
        <v>0</v>
      </c>
      <c r="BK271" s="233">
        <f t="shared" si="985"/>
        <v>0</v>
      </c>
      <c r="BL271" s="233">
        <f t="shared" si="985"/>
        <v>0</v>
      </c>
      <c r="BM271" s="233">
        <f t="shared" si="985"/>
        <v>0</v>
      </c>
      <c r="BN271" s="233">
        <f t="shared" si="985"/>
        <v>0</v>
      </c>
      <c r="BO271" s="233">
        <f t="shared" ref="BO271:CB271" si="986">IF(BO269&lt;0,0,$B$5+$B$6*((1-EXP(-BO270/$B$9))/(BO270/$B$9))+$B$7*((1-EXP(-BO270/$B$9))/(BO270/$B$9)-EXP(-BO270/$B$9))+$B$8*((1-EXP(-BO270/$B$10))/(BO270/$B$10)-EXP(-BO270/$B$10)))</f>
        <v>0</v>
      </c>
      <c r="BP271" s="233">
        <f t="shared" si="986"/>
        <v>0</v>
      </c>
      <c r="BQ271" s="233">
        <f t="shared" si="986"/>
        <v>0</v>
      </c>
      <c r="BR271" s="233">
        <f t="shared" si="986"/>
        <v>0</v>
      </c>
      <c r="BS271" s="233">
        <f t="shared" si="986"/>
        <v>0</v>
      </c>
      <c r="BT271" s="233">
        <f t="shared" si="986"/>
        <v>0</v>
      </c>
      <c r="BU271" s="233">
        <f t="shared" si="986"/>
        <v>0</v>
      </c>
      <c r="BV271" s="233">
        <f t="shared" si="986"/>
        <v>0</v>
      </c>
      <c r="BW271" s="233">
        <f t="shared" si="986"/>
        <v>0</v>
      </c>
      <c r="BX271" s="233">
        <f t="shared" si="986"/>
        <v>0</v>
      </c>
      <c r="BY271" s="233">
        <f t="shared" si="986"/>
        <v>0</v>
      </c>
      <c r="BZ271" s="233">
        <f t="shared" si="986"/>
        <v>0</v>
      </c>
      <c r="CA271" s="233">
        <f t="shared" si="986"/>
        <v>0</v>
      </c>
      <c r="CB271" s="233">
        <f t="shared" si="986"/>
        <v>0</v>
      </c>
      <c r="CC271" s="19"/>
      <c r="CD271" s="19"/>
      <c r="CE271" s="19"/>
    </row>
    <row r="272" spans="1:83">
      <c r="A272" s="16" t="s">
        <v>44</v>
      </c>
      <c r="B272" s="233">
        <f>EXP(-B271*B270)</f>
        <v>1</v>
      </c>
      <c r="C272" s="233">
        <f t="shared" ref="C272:BN272" si="987">EXP(-C271*C270)</f>
        <v>1</v>
      </c>
      <c r="D272" s="233">
        <f t="shared" si="987"/>
        <v>1</v>
      </c>
      <c r="E272" s="233">
        <f t="shared" si="987"/>
        <v>1</v>
      </c>
      <c r="F272" s="233">
        <f t="shared" si="987"/>
        <v>1</v>
      </c>
      <c r="G272" s="233">
        <f t="shared" si="987"/>
        <v>1</v>
      </c>
      <c r="H272" s="233">
        <f t="shared" si="987"/>
        <v>1</v>
      </c>
      <c r="I272" s="233">
        <f t="shared" si="987"/>
        <v>1</v>
      </c>
      <c r="J272" s="233">
        <f t="shared" si="987"/>
        <v>1</v>
      </c>
      <c r="K272" s="233">
        <f t="shared" si="987"/>
        <v>1</v>
      </c>
      <c r="L272" s="233">
        <f t="shared" si="987"/>
        <v>1</v>
      </c>
      <c r="M272" s="233">
        <f t="shared" si="987"/>
        <v>1</v>
      </c>
      <c r="N272" s="233">
        <f t="shared" si="987"/>
        <v>1</v>
      </c>
      <c r="O272" s="233">
        <f t="shared" si="987"/>
        <v>1</v>
      </c>
      <c r="P272" s="233">
        <f t="shared" si="987"/>
        <v>1</v>
      </c>
      <c r="Q272" s="233">
        <f t="shared" si="987"/>
        <v>1</v>
      </c>
      <c r="R272" s="233">
        <f t="shared" si="987"/>
        <v>1</v>
      </c>
      <c r="S272" s="233">
        <f t="shared" si="987"/>
        <v>1</v>
      </c>
      <c r="T272" s="233">
        <f t="shared" si="987"/>
        <v>1</v>
      </c>
      <c r="U272" s="233">
        <f t="shared" si="987"/>
        <v>1</v>
      </c>
      <c r="V272" s="233">
        <f t="shared" si="987"/>
        <v>1</v>
      </c>
      <c r="W272" s="233">
        <f t="shared" si="987"/>
        <v>1</v>
      </c>
      <c r="X272" s="233">
        <f t="shared" si="987"/>
        <v>1</v>
      </c>
      <c r="Y272" s="233">
        <f t="shared" si="987"/>
        <v>1</v>
      </c>
      <c r="Z272" s="233">
        <f t="shared" si="987"/>
        <v>1</v>
      </c>
      <c r="AA272" s="233">
        <f t="shared" si="987"/>
        <v>1</v>
      </c>
      <c r="AB272" s="233">
        <f t="shared" si="987"/>
        <v>1</v>
      </c>
      <c r="AC272" s="233">
        <f t="shared" si="987"/>
        <v>1</v>
      </c>
      <c r="AD272" s="233">
        <f t="shared" si="987"/>
        <v>1</v>
      </c>
      <c r="AE272" s="233">
        <f t="shared" si="987"/>
        <v>1</v>
      </c>
      <c r="AF272" s="233">
        <f t="shared" si="987"/>
        <v>1</v>
      </c>
      <c r="AG272" s="233">
        <f t="shared" si="987"/>
        <v>1</v>
      </c>
      <c r="AH272" s="233">
        <f t="shared" si="987"/>
        <v>1</v>
      </c>
      <c r="AI272" s="233">
        <f t="shared" si="987"/>
        <v>1</v>
      </c>
      <c r="AJ272" s="233">
        <f t="shared" si="987"/>
        <v>1</v>
      </c>
      <c r="AK272" s="233">
        <f t="shared" si="987"/>
        <v>1</v>
      </c>
      <c r="AL272" s="233">
        <f t="shared" si="987"/>
        <v>1</v>
      </c>
      <c r="AM272" s="233">
        <f t="shared" si="987"/>
        <v>1</v>
      </c>
      <c r="AN272" s="233">
        <f t="shared" si="987"/>
        <v>1</v>
      </c>
      <c r="AO272" s="233">
        <f t="shared" si="987"/>
        <v>1</v>
      </c>
      <c r="AP272" s="233">
        <f t="shared" si="987"/>
        <v>1</v>
      </c>
      <c r="AQ272" s="233">
        <f t="shared" si="987"/>
        <v>1</v>
      </c>
      <c r="AR272" s="233">
        <f t="shared" si="987"/>
        <v>1</v>
      </c>
      <c r="AS272" s="233">
        <f t="shared" si="987"/>
        <v>1</v>
      </c>
      <c r="AT272" s="233">
        <f t="shared" si="987"/>
        <v>1</v>
      </c>
      <c r="AU272" s="233">
        <f t="shared" si="987"/>
        <v>1</v>
      </c>
      <c r="AV272" s="233">
        <f t="shared" si="987"/>
        <v>1</v>
      </c>
      <c r="AW272" s="233">
        <f t="shared" si="987"/>
        <v>1</v>
      </c>
      <c r="AX272" s="233">
        <f t="shared" si="987"/>
        <v>1</v>
      </c>
      <c r="AY272" s="233">
        <f t="shared" si="987"/>
        <v>1</v>
      </c>
      <c r="AZ272" s="233">
        <f t="shared" si="987"/>
        <v>1</v>
      </c>
      <c r="BA272" s="233">
        <f t="shared" si="987"/>
        <v>1</v>
      </c>
      <c r="BB272" s="233">
        <f t="shared" si="987"/>
        <v>1</v>
      </c>
      <c r="BC272" s="233">
        <f t="shared" si="987"/>
        <v>1</v>
      </c>
      <c r="BD272" s="233">
        <f t="shared" si="987"/>
        <v>1</v>
      </c>
      <c r="BE272" s="233">
        <f t="shared" si="987"/>
        <v>1</v>
      </c>
      <c r="BF272" s="233">
        <f t="shared" si="987"/>
        <v>1</v>
      </c>
      <c r="BG272" s="233">
        <f t="shared" si="987"/>
        <v>1</v>
      </c>
      <c r="BH272" s="233">
        <f t="shared" si="987"/>
        <v>1</v>
      </c>
      <c r="BI272" s="233">
        <f t="shared" si="987"/>
        <v>1</v>
      </c>
      <c r="BJ272" s="233">
        <f t="shared" si="987"/>
        <v>1</v>
      </c>
      <c r="BK272" s="233">
        <f t="shared" si="987"/>
        <v>1</v>
      </c>
      <c r="BL272" s="233">
        <f t="shared" si="987"/>
        <v>1</v>
      </c>
      <c r="BM272" s="233">
        <f t="shared" si="987"/>
        <v>1</v>
      </c>
      <c r="BN272" s="233">
        <f t="shared" si="987"/>
        <v>1</v>
      </c>
      <c r="BO272" s="233">
        <f t="shared" ref="BO272:CB272" si="988">EXP(-BO271*BO270)</f>
        <v>1</v>
      </c>
      <c r="BP272" s="233">
        <f t="shared" si="988"/>
        <v>1</v>
      </c>
      <c r="BQ272" s="233">
        <f t="shared" si="988"/>
        <v>1</v>
      </c>
      <c r="BR272" s="233">
        <f t="shared" si="988"/>
        <v>1</v>
      </c>
      <c r="BS272" s="233">
        <f t="shared" si="988"/>
        <v>1</v>
      </c>
      <c r="BT272" s="233">
        <f t="shared" si="988"/>
        <v>1</v>
      </c>
      <c r="BU272" s="233">
        <f t="shared" si="988"/>
        <v>1</v>
      </c>
      <c r="BV272" s="233">
        <f t="shared" si="988"/>
        <v>1</v>
      </c>
      <c r="BW272" s="233">
        <f t="shared" si="988"/>
        <v>1</v>
      </c>
      <c r="BX272" s="233">
        <f t="shared" si="988"/>
        <v>1</v>
      </c>
      <c r="BY272" s="233">
        <f t="shared" si="988"/>
        <v>1</v>
      </c>
      <c r="BZ272" s="233">
        <f t="shared" si="988"/>
        <v>1</v>
      </c>
      <c r="CA272" s="233">
        <f t="shared" si="988"/>
        <v>1</v>
      </c>
      <c r="CB272" s="233">
        <f t="shared" si="988"/>
        <v>1</v>
      </c>
      <c r="CC272" s="19"/>
      <c r="CD272" s="19"/>
      <c r="CE272" s="19"/>
    </row>
    <row r="273" spans="1:83">
      <c r="A273" s="17"/>
      <c r="B273" s="5"/>
      <c r="C273" s="5"/>
      <c r="D273" s="5"/>
      <c r="E273" s="5"/>
      <c r="F273" s="5"/>
      <c r="G273" s="5"/>
      <c r="H273" s="5"/>
      <c r="I273" s="5"/>
      <c r="J273" s="5"/>
      <c r="K273" s="5"/>
      <c r="L273" s="5"/>
      <c r="M273" s="5"/>
      <c r="N273" s="5"/>
      <c r="O273" s="5"/>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
      <c r="AR273" s="5"/>
      <c r="AS273" s="5"/>
      <c r="AT273" s="5"/>
      <c r="AU273" s="5"/>
      <c r="AV273" s="5"/>
      <c r="AW273" s="5"/>
      <c r="AX273" s="5"/>
      <c r="AY273" s="5"/>
      <c r="AZ273" s="5"/>
      <c r="BA273" s="5"/>
      <c r="BB273" s="5"/>
      <c r="BC273" s="5"/>
      <c r="BD273" s="5"/>
      <c r="BE273" s="5"/>
      <c r="BF273" s="5"/>
      <c r="BG273" s="5"/>
      <c r="BH273" s="5"/>
      <c r="BI273" s="5"/>
      <c r="BJ273" s="5"/>
      <c r="BK273" s="5"/>
      <c r="BL273" s="5"/>
      <c r="BM273" s="5"/>
      <c r="BN273" s="5"/>
      <c r="BO273" s="5"/>
      <c r="BP273" s="5"/>
      <c r="BQ273" s="5"/>
      <c r="BR273" s="5"/>
      <c r="BS273" s="5"/>
      <c r="BT273" s="5"/>
      <c r="BU273" s="5"/>
      <c r="BV273" s="5"/>
      <c r="BW273" s="5"/>
      <c r="BX273" s="5"/>
      <c r="BY273" s="5"/>
      <c r="BZ273" s="5"/>
      <c r="CA273" s="5"/>
      <c r="CB273" s="5"/>
      <c r="CC273" s="19"/>
      <c r="CD273" s="19"/>
      <c r="CE273" s="19"/>
    </row>
    <row r="274" spans="1:83">
      <c r="A274" s="16" t="s">
        <v>40</v>
      </c>
      <c r="B274" s="695">
        <f>DAYS360($B$3,B104)</f>
        <v>55</v>
      </c>
      <c r="C274" s="695">
        <f t="shared" ref="C274:BN274" si="989">DAYS360($B$3,C104)</f>
        <v>233</v>
      </c>
      <c r="D274" s="695">
        <f t="shared" si="989"/>
        <v>414</v>
      </c>
      <c r="E274" s="695">
        <f t="shared" si="989"/>
        <v>592</v>
      </c>
      <c r="F274" s="695">
        <f t="shared" si="989"/>
        <v>774</v>
      </c>
      <c r="G274" s="695">
        <f t="shared" si="989"/>
        <v>952</v>
      </c>
      <c r="H274" s="695">
        <f t="shared" si="989"/>
        <v>1134</v>
      </c>
      <c r="I274" s="695">
        <f t="shared" si="989"/>
        <v>1312</v>
      </c>
      <c r="J274" s="695">
        <f t="shared" si="989"/>
        <v>1494</v>
      </c>
      <c r="K274" s="695">
        <f t="shared" si="989"/>
        <v>1672</v>
      </c>
      <c r="L274" s="695">
        <f t="shared" si="989"/>
        <v>1853</v>
      </c>
      <c r="M274" s="695">
        <f t="shared" si="989"/>
        <v>2031</v>
      </c>
      <c r="N274" s="695">
        <f t="shared" si="989"/>
        <v>2213</v>
      </c>
      <c r="O274" s="695">
        <f t="shared" si="989"/>
        <v>2391</v>
      </c>
      <c r="P274" s="695">
        <f t="shared" si="989"/>
        <v>2573</v>
      </c>
      <c r="Q274" s="695">
        <f t="shared" si="989"/>
        <v>2751</v>
      </c>
      <c r="R274" s="695">
        <f t="shared" si="989"/>
        <v>2933</v>
      </c>
      <c r="S274" s="695">
        <f t="shared" si="989"/>
        <v>3111</v>
      </c>
      <c r="T274" s="695">
        <f t="shared" si="989"/>
        <v>3292</v>
      </c>
      <c r="U274" s="695">
        <f t="shared" si="989"/>
        <v>3470</v>
      </c>
      <c r="V274" s="695">
        <f t="shared" si="989"/>
        <v>3652</v>
      </c>
      <c r="W274" s="695">
        <f t="shared" si="989"/>
        <v>3830</v>
      </c>
      <c r="X274" s="695">
        <f t="shared" si="989"/>
        <v>4012</v>
      </c>
      <c r="Y274" s="695">
        <f t="shared" si="989"/>
        <v>4190</v>
      </c>
      <c r="Z274" s="695">
        <f t="shared" si="989"/>
        <v>4372</v>
      </c>
      <c r="AA274" s="695">
        <f t="shared" si="989"/>
        <v>4550</v>
      </c>
      <c r="AB274" s="695">
        <f t="shared" si="989"/>
        <v>4731</v>
      </c>
      <c r="AC274" s="695">
        <f t="shared" si="989"/>
        <v>4909</v>
      </c>
      <c r="AD274" s="695">
        <f t="shared" si="989"/>
        <v>5091</v>
      </c>
      <c r="AE274" s="695">
        <f t="shared" si="989"/>
        <v>5269</v>
      </c>
      <c r="AF274" s="695">
        <f t="shared" si="989"/>
        <v>5451</v>
      </c>
      <c r="AG274" s="695">
        <f t="shared" si="989"/>
        <v>5629</v>
      </c>
      <c r="AH274" s="695">
        <f t="shared" si="989"/>
        <v>5811</v>
      </c>
      <c r="AI274" s="695">
        <f t="shared" si="989"/>
        <v>5989</v>
      </c>
      <c r="AJ274" s="695">
        <f t="shared" si="989"/>
        <v>6170</v>
      </c>
      <c r="AK274" s="695">
        <f t="shared" si="989"/>
        <v>6348</v>
      </c>
      <c r="AL274" s="695">
        <f t="shared" si="989"/>
        <v>6530</v>
      </c>
      <c r="AM274" s="695">
        <f t="shared" si="989"/>
        <v>6708</v>
      </c>
      <c r="AN274" s="695">
        <f t="shared" si="989"/>
        <v>6890</v>
      </c>
      <c r="AO274" s="695">
        <f t="shared" si="989"/>
        <v>7068</v>
      </c>
      <c r="AP274" s="695">
        <f t="shared" si="989"/>
        <v>7250</v>
      </c>
      <c r="AQ274" s="695">
        <f t="shared" si="989"/>
        <v>7428</v>
      </c>
      <c r="AR274" s="695">
        <f t="shared" si="989"/>
        <v>7609</v>
      </c>
      <c r="AS274" s="695">
        <f t="shared" si="989"/>
        <v>7787</v>
      </c>
      <c r="AT274" s="695">
        <f t="shared" si="989"/>
        <v>7969</v>
      </c>
      <c r="AU274" s="695">
        <f t="shared" si="989"/>
        <v>8147</v>
      </c>
      <c r="AV274" s="695">
        <f t="shared" si="989"/>
        <v>8329</v>
      </c>
      <c r="AW274" s="695">
        <f t="shared" si="989"/>
        <v>8507</v>
      </c>
      <c r="AX274" s="695">
        <f t="shared" si="989"/>
        <v>8689</v>
      </c>
      <c r="AY274" s="695">
        <f t="shared" si="989"/>
        <v>8867</v>
      </c>
      <c r="AZ274" s="695">
        <f t="shared" si="989"/>
        <v>9048</v>
      </c>
      <c r="BA274" s="695">
        <f t="shared" si="989"/>
        <v>9226</v>
      </c>
      <c r="BB274" s="695">
        <f t="shared" si="989"/>
        <v>9408</v>
      </c>
      <c r="BC274" s="695">
        <f t="shared" si="989"/>
        <v>9586</v>
      </c>
      <c r="BD274" s="695">
        <f t="shared" si="989"/>
        <v>9768</v>
      </c>
      <c r="BE274" s="695">
        <f t="shared" si="989"/>
        <v>9946</v>
      </c>
      <c r="BF274" s="695">
        <f t="shared" si="989"/>
        <v>10128</v>
      </c>
      <c r="BG274" s="695">
        <f t="shared" si="989"/>
        <v>10306</v>
      </c>
      <c r="BH274" s="695">
        <f t="shared" si="989"/>
        <v>10487</v>
      </c>
      <c r="BI274" s="695">
        <f t="shared" si="989"/>
        <v>10665</v>
      </c>
      <c r="BJ274" s="695">
        <f t="shared" si="989"/>
        <v>10847</v>
      </c>
      <c r="BK274" s="695">
        <f t="shared" si="989"/>
        <v>11025</v>
      </c>
      <c r="BL274" s="695">
        <f t="shared" si="989"/>
        <v>11207</v>
      </c>
      <c r="BM274" s="695">
        <f t="shared" si="989"/>
        <v>11385</v>
      </c>
      <c r="BN274" s="695">
        <f t="shared" si="989"/>
        <v>11567</v>
      </c>
      <c r="BO274" s="695">
        <f t="shared" ref="BO274:CB274" si="990">DAYS360($B$3,BO104)</f>
        <v>11745</v>
      </c>
      <c r="BP274" s="695">
        <f t="shared" si="990"/>
        <v>11926</v>
      </c>
      <c r="BQ274" s="695">
        <f t="shared" si="990"/>
        <v>12104</v>
      </c>
      <c r="BR274" s="695">
        <f t="shared" si="990"/>
        <v>12286</v>
      </c>
      <c r="BS274" s="695">
        <f t="shared" si="990"/>
        <v>12464</v>
      </c>
      <c r="BT274" s="695">
        <f t="shared" si="990"/>
        <v>12646</v>
      </c>
      <c r="BU274" s="695">
        <f t="shared" si="990"/>
        <v>12824</v>
      </c>
      <c r="BV274" s="695">
        <f t="shared" si="990"/>
        <v>13006</v>
      </c>
      <c r="BW274" s="695">
        <f t="shared" si="990"/>
        <v>13184</v>
      </c>
      <c r="BX274" s="695">
        <f t="shared" si="990"/>
        <v>13365</v>
      </c>
      <c r="BY274" s="695">
        <f t="shared" si="990"/>
        <v>13543</v>
      </c>
      <c r="BZ274" s="695">
        <f t="shared" si="990"/>
        <v>13725</v>
      </c>
      <c r="CA274" s="695">
        <f t="shared" si="990"/>
        <v>13903</v>
      </c>
      <c r="CB274" s="695">
        <f t="shared" si="990"/>
        <v>14085</v>
      </c>
      <c r="CC274" s="19"/>
      <c r="CD274" s="19"/>
      <c r="CE274" s="19"/>
    </row>
    <row r="275" spans="1:83">
      <c r="A275" s="16" t="s">
        <v>41</v>
      </c>
      <c r="B275" s="233">
        <f>B274/360</f>
        <v>0.15277777777777779</v>
      </c>
      <c r="C275" s="233">
        <f t="shared" ref="C275:BN275" si="991">C274/360</f>
        <v>0.64722222222222225</v>
      </c>
      <c r="D275" s="233">
        <f t="shared" si="991"/>
        <v>1.1499999999999999</v>
      </c>
      <c r="E275" s="233">
        <f t="shared" si="991"/>
        <v>1.6444444444444444</v>
      </c>
      <c r="F275" s="233">
        <f t="shared" si="991"/>
        <v>2.15</v>
      </c>
      <c r="G275" s="233">
        <f t="shared" si="991"/>
        <v>2.6444444444444444</v>
      </c>
      <c r="H275" s="233">
        <f t="shared" si="991"/>
        <v>3.15</v>
      </c>
      <c r="I275" s="233">
        <f t="shared" si="991"/>
        <v>3.6444444444444444</v>
      </c>
      <c r="J275" s="233">
        <f t="shared" si="991"/>
        <v>4.1500000000000004</v>
      </c>
      <c r="K275" s="233">
        <f t="shared" si="991"/>
        <v>4.6444444444444448</v>
      </c>
      <c r="L275" s="233">
        <f t="shared" si="991"/>
        <v>5.1472222222222221</v>
      </c>
      <c r="M275" s="233">
        <f t="shared" si="991"/>
        <v>5.6416666666666666</v>
      </c>
      <c r="N275" s="233">
        <f t="shared" si="991"/>
        <v>6.1472222222222221</v>
      </c>
      <c r="O275" s="233">
        <f t="shared" si="991"/>
        <v>6.6416666666666666</v>
      </c>
      <c r="P275" s="233">
        <f t="shared" si="991"/>
        <v>7.1472222222222221</v>
      </c>
      <c r="Q275" s="233">
        <f t="shared" si="991"/>
        <v>7.6416666666666666</v>
      </c>
      <c r="R275" s="233">
        <f t="shared" si="991"/>
        <v>8.1472222222222221</v>
      </c>
      <c r="S275" s="233">
        <f t="shared" si="991"/>
        <v>8.6416666666666675</v>
      </c>
      <c r="T275" s="233">
        <f t="shared" si="991"/>
        <v>9.1444444444444439</v>
      </c>
      <c r="U275" s="233">
        <f t="shared" si="991"/>
        <v>9.6388888888888893</v>
      </c>
      <c r="V275" s="233">
        <f t="shared" si="991"/>
        <v>10.144444444444444</v>
      </c>
      <c r="W275" s="233">
        <f t="shared" si="991"/>
        <v>10.638888888888889</v>
      </c>
      <c r="X275" s="233">
        <f t="shared" si="991"/>
        <v>11.144444444444444</v>
      </c>
      <c r="Y275" s="233">
        <f t="shared" si="991"/>
        <v>11.638888888888889</v>
      </c>
      <c r="Z275" s="233">
        <f t="shared" si="991"/>
        <v>12.144444444444444</v>
      </c>
      <c r="AA275" s="233">
        <f t="shared" si="991"/>
        <v>12.638888888888889</v>
      </c>
      <c r="AB275" s="233">
        <f t="shared" si="991"/>
        <v>13.141666666666667</v>
      </c>
      <c r="AC275" s="233">
        <f t="shared" si="991"/>
        <v>13.636111111111111</v>
      </c>
      <c r="AD275" s="233">
        <f t="shared" si="991"/>
        <v>14.141666666666667</v>
      </c>
      <c r="AE275" s="233">
        <f t="shared" si="991"/>
        <v>14.636111111111111</v>
      </c>
      <c r="AF275" s="233">
        <f t="shared" si="991"/>
        <v>15.141666666666667</v>
      </c>
      <c r="AG275" s="233">
        <f t="shared" si="991"/>
        <v>15.636111111111111</v>
      </c>
      <c r="AH275" s="233">
        <f t="shared" si="991"/>
        <v>16.141666666666666</v>
      </c>
      <c r="AI275" s="233">
        <f t="shared" si="991"/>
        <v>16.636111111111113</v>
      </c>
      <c r="AJ275" s="233">
        <f t="shared" si="991"/>
        <v>17.138888888888889</v>
      </c>
      <c r="AK275" s="233">
        <f t="shared" si="991"/>
        <v>17.633333333333333</v>
      </c>
      <c r="AL275" s="233">
        <f t="shared" si="991"/>
        <v>18.138888888888889</v>
      </c>
      <c r="AM275" s="233">
        <f t="shared" si="991"/>
        <v>18.633333333333333</v>
      </c>
      <c r="AN275" s="233">
        <f t="shared" si="991"/>
        <v>19.138888888888889</v>
      </c>
      <c r="AO275" s="233">
        <f t="shared" si="991"/>
        <v>19.633333333333333</v>
      </c>
      <c r="AP275" s="233">
        <f t="shared" si="991"/>
        <v>20.138888888888889</v>
      </c>
      <c r="AQ275" s="233">
        <f t="shared" si="991"/>
        <v>20.633333333333333</v>
      </c>
      <c r="AR275" s="233">
        <f t="shared" si="991"/>
        <v>21.136111111111113</v>
      </c>
      <c r="AS275" s="233">
        <f t="shared" si="991"/>
        <v>21.630555555555556</v>
      </c>
      <c r="AT275" s="233">
        <f t="shared" si="991"/>
        <v>22.136111111111113</v>
      </c>
      <c r="AU275" s="233">
        <f t="shared" si="991"/>
        <v>22.630555555555556</v>
      </c>
      <c r="AV275" s="233">
        <f t="shared" si="991"/>
        <v>23.136111111111113</v>
      </c>
      <c r="AW275" s="233">
        <f t="shared" si="991"/>
        <v>23.630555555555556</v>
      </c>
      <c r="AX275" s="233">
        <f t="shared" si="991"/>
        <v>24.136111111111113</v>
      </c>
      <c r="AY275" s="233">
        <f t="shared" si="991"/>
        <v>24.630555555555556</v>
      </c>
      <c r="AZ275" s="233">
        <f t="shared" si="991"/>
        <v>25.133333333333333</v>
      </c>
      <c r="BA275" s="233">
        <f t="shared" si="991"/>
        <v>25.627777777777776</v>
      </c>
      <c r="BB275" s="233">
        <f t="shared" si="991"/>
        <v>26.133333333333333</v>
      </c>
      <c r="BC275" s="233">
        <f t="shared" si="991"/>
        <v>26.627777777777776</v>
      </c>
      <c r="BD275" s="233">
        <f t="shared" si="991"/>
        <v>27.133333333333333</v>
      </c>
      <c r="BE275" s="233">
        <f t="shared" si="991"/>
        <v>27.627777777777776</v>
      </c>
      <c r="BF275" s="233">
        <f t="shared" si="991"/>
        <v>28.133333333333333</v>
      </c>
      <c r="BG275" s="233">
        <f t="shared" si="991"/>
        <v>28.627777777777776</v>
      </c>
      <c r="BH275" s="233">
        <f t="shared" si="991"/>
        <v>29.130555555555556</v>
      </c>
      <c r="BI275" s="233">
        <f t="shared" si="991"/>
        <v>29.625</v>
      </c>
      <c r="BJ275" s="233">
        <f t="shared" si="991"/>
        <v>30.130555555555556</v>
      </c>
      <c r="BK275" s="233">
        <f t="shared" si="991"/>
        <v>30.625</v>
      </c>
      <c r="BL275" s="233">
        <f t="shared" si="991"/>
        <v>31.130555555555556</v>
      </c>
      <c r="BM275" s="233">
        <f t="shared" si="991"/>
        <v>31.625</v>
      </c>
      <c r="BN275" s="233">
        <f t="shared" si="991"/>
        <v>32.130555555555553</v>
      </c>
      <c r="BO275" s="233">
        <f t="shared" ref="BO275:CB275" si="992">BO274/360</f>
        <v>32.625</v>
      </c>
      <c r="BP275" s="233">
        <f t="shared" si="992"/>
        <v>33.12777777777778</v>
      </c>
      <c r="BQ275" s="233">
        <f t="shared" si="992"/>
        <v>33.62222222222222</v>
      </c>
      <c r="BR275" s="233">
        <f t="shared" si="992"/>
        <v>34.12777777777778</v>
      </c>
      <c r="BS275" s="233">
        <f t="shared" si="992"/>
        <v>34.62222222222222</v>
      </c>
      <c r="BT275" s="233">
        <f t="shared" si="992"/>
        <v>35.12777777777778</v>
      </c>
      <c r="BU275" s="233">
        <f t="shared" si="992"/>
        <v>35.62222222222222</v>
      </c>
      <c r="BV275" s="233">
        <f t="shared" si="992"/>
        <v>36.12777777777778</v>
      </c>
      <c r="BW275" s="233">
        <f t="shared" si="992"/>
        <v>36.62222222222222</v>
      </c>
      <c r="BX275" s="233">
        <f t="shared" si="992"/>
        <v>37.125</v>
      </c>
      <c r="BY275" s="233">
        <f t="shared" si="992"/>
        <v>37.619444444444447</v>
      </c>
      <c r="BZ275" s="233">
        <f t="shared" si="992"/>
        <v>38.125</v>
      </c>
      <c r="CA275" s="233">
        <f t="shared" si="992"/>
        <v>38.619444444444447</v>
      </c>
      <c r="CB275" s="233">
        <f t="shared" si="992"/>
        <v>39.125</v>
      </c>
      <c r="CC275" s="19"/>
      <c r="CD275" s="19"/>
      <c r="CE275" s="19"/>
    </row>
    <row r="276" spans="1:83">
      <c r="A276" s="16" t="s">
        <v>43</v>
      </c>
      <c r="B276" s="233">
        <f>IF(B274&lt;0,0,$B$5+$B$6*((1-EXP(-B275/$B$9))/(B275/$B$9))+$B$7*((1-EXP(-B275/$B$9))/(B275/$B$9)-EXP(-B275/$B$9))+$B$8*((1-EXP(-B275/$B$10))/(B275/$B$10)-EXP(-B275/$B$10)))</f>
        <v>1.9373032396222335E-2</v>
      </c>
      <c r="C276" s="233">
        <f t="shared" ref="C276:BN276" si="993">IF(C274&lt;0,0,$B$5+$B$6*((1-EXP(-C275/$B$9))/(C275/$B$9))+$B$7*((1-EXP(-C275/$B$9))/(C275/$B$9)-EXP(-C275/$B$9))+$B$8*((1-EXP(-C275/$B$10))/(C275/$B$10)-EXP(-C275/$B$10)))</f>
        <v>1.8433307799419242E-2</v>
      </c>
      <c r="D276" s="233">
        <f t="shared" si="993"/>
        <v>1.7594628811189797E-2</v>
      </c>
      <c r="E276" s="233">
        <f t="shared" si="993"/>
        <v>1.6876703095685241E-2</v>
      </c>
      <c r="F276" s="233">
        <f t="shared" si="993"/>
        <v>1.6244343870822062E-2</v>
      </c>
      <c r="G276" s="233">
        <f t="shared" si="993"/>
        <v>1.5718165514221186E-2</v>
      </c>
      <c r="H276" s="233">
        <f t="shared" si="993"/>
        <v>1.5267571342294922E-2</v>
      </c>
      <c r="I276" s="233">
        <f t="shared" si="993"/>
        <v>1.490603428032207E-2</v>
      </c>
      <c r="J276" s="233">
        <f t="shared" si="993"/>
        <v>1.4611182094045973E-2</v>
      </c>
      <c r="K276" s="233">
        <f t="shared" si="993"/>
        <v>1.439039772678951E-2</v>
      </c>
      <c r="L276" s="233">
        <f t="shared" si="993"/>
        <v>1.4229093278154324E-2</v>
      </c>
      <c r="M276" s="233">
        <f t="shared" si="993"/>
        <v>1.4127733129295564E-2</v>
      </c>
      <c r="N276" s="233">
        <f t="shared" si="993"/>
        <v>1.4078088890232432E-2</v>
      </c>
      <c r="O276" s="233">
        <f t="shared" si="993"/>
        <v>1.407803542800562E-2</v>
      </c>
      <c r="P276" s="233">
        <f t="shared" si="993"/>
        <v>1.4123415887522209E-2</v>
      </c>
      <c r="Q276" s="233">
        <f t="shared" si="993"/>
        <v>1.4208460836237197E-2</v>
      </c>
      <c r="R276" s="233">
        <f t="shared" si="993"/>
        <v>1.43333552248225E-2</v>
      </c>
      <c r="S276" s="233">
        <f t="shared" si="993"/>
        <v>1.4489307659856246E-2</v>
      </c>
      <c r="T276" s="233">
        <f t="shared" si="993"/>
        <v>1.4679019420620831E-2</v>
      </c>
      <c r="U276" s="233">
        <f t="shared" si="993"/>
        <v>1.4893332967926831E-2</v>
      </c>
      <c r="V276" s="233">
        <f t="shared" si="993"/>
        <v>1.5138144948639118E-2</v>
      </c>
      <c r="W276" s="233">
        <f t="shared" si="993"/>
        <v>1.540018428735053E-2</v>
      </c>
      <c r="X276" s="233">
        <f t="shared" si="993"/>
        <v>1.5688817574435396E-2</v>
      </c>
      <c r="Y276" s="233">
        <f t="shared" si="993"/>
        <v>1.5989177561596526E-2</v>
      </c>
      <c r="Z276" s="233">
        <f t="shared" si="993"/>
        <v>1.6312672973109857E-2</v>
      </c>
      <c r="AA276" s="233">
        <f t="shared" si="993"/>
        <v>1.6643196231750382E-2</v>
      </c>
      <c r="AB276" s="233">
        <f t="shared" si="993"/>
        <v>1.6991836444086084E-2</v>
      </c>
      <c r="AC276" s="233">
        <f t="shared" si="993"/>
        <v>1.7345413875943766E-2</v>
      </c>
      <c r="AD276" s="233">
        <f t="shared" si="993"/>
        <v>1.7716368601685004E-2</v>
      </c>
      <c r="AE276" s="233">
        <f t="shared" si="993"/>
        <v>1.8086992454355258E-2</v>
      </c>
      <c r="AF276" s="233">
        <f t="shared" si="993"/>
        <v>1.8472604865225214E-2</v>
      </c>
      <c r="AG276" s="233">
        <f t="shared" si="993"/>
        <v>1.8855054435193003E-2</v>
      </c>
      <c r="AH276" s="233">
        <f t="shared" si="993"/>
        <v>1.9250386466037897E-2</v>
      </c>
      <c r="AI276" s="233">
        <f t="shared" si="993"/>
        <v>1.9640199359774319E-2</v>
      </c>
      <c r="AJ276" s="233">
        <f t="shared" si="993"/>
        <v>2.003883336056668E-2</v>
      </c>
      <c r="AK276" s="233">
        <f t="shared" si="993"/>
        <v>2.0432209187213543E-2</v>
      </c>
      <c r="AL276" s="233">
        <f t="shared" si="993"/>
        <v>2.0834987144296158E-2</v>
      </c>
      <c r="AM276" s="233">
        <f t="shared" si="993"/>
        <v>2.1228730248601682E-2</v>
      </c>
      <c r="AN276" s="233">
        <f t="shared" si="993"/>
        <v>2.1630444053463399E-2</v>
      </c>
      <c r="AO276" s="233">
        <f t="shared" si="993"/>
        <v>2.2021858094173466E-2</v>
      </c>
      <c r="AP276" s="233">
        <f t="shared" si="993"/>
        <v>2.241998861882126E-2</v>
      </c>
      <c r="AQ276" s="233">
        <f t="shared" si="993"/>
        <v>2.2806827379543246E-2</v>
      </c>
      <c r="AR276" s="233">
        <f t="shared" si="993"/>
        <v>2.3197138706976553E-2</v>
      </c>
      <c r="AS276" s="233">
        <f t="shared" si="993"/>
        <v>2.3577569281418811E-2</v>
      </c>
      <c r="AT276" s="233">
        <f t="shared" si="993"/>
        <v>2.3962664747602849E-2</v>
      </c>
      <c r="AU276" s="233">
        <f t="shared" si="993"/>
        <v>2.4335160530536901E-2</v>
      </c>
      <c r="AV276" s="233">
        <f t="shared" si="993"/>
        <v>2.4711487417576811E-2</v>
      </c>
      <c r="AW276" s="233">
        <f t="shared" si="993"/>
        <v>2.5074835355771818E-2</v>
      </c>
      <c r="AX276" s="233">
        <f t="shared" si="993"/>
        <v>2.544129023836661E-2</v>
      </c>
      <c r="AY276" s="233">
        <f t="shared" si="993"/>
        <v>2.5794535762764734E-2</v>
      </c>
      <c r="AZ276" s="233">
        <f t="shared" si="993"/>
        <v>2.6148321894899865E-2</v>
      </c>
      <c r="BA276" s="233">
        <f t="shared" si="993"/>
        <v>2.6490764802616654E-2</v>
      </c>
      <c r="BB276" s="233">
        <f t="shared" si="993"/>
        <v>2.683514735379848E-2</v>
      </c>
      <c r="BC276" s="233">
        <f t="shared" si="993"/>
        <v>2.7166219348219584E-2</v>
      </c>
      <c r="BD276" s="233">
        <f t="shared" si="993"/>
        <v>2.749876488852207E-2</v>
      </c>
      <c r="BE276" s="233">
        <f t="shared" si="993"/>
        <v>2.7818092105223083E-2</v>
      </c>
      <c r="BF276" s="233">
        <f t="shared" si="993"/>
        <v>2.8138493426321368E-2</v>
      </c>
      <c r="BG276" s="233">
        <f t="shared" si="993"/>
        <v>2.8445843199599682E-2</v>
      </c>
      <c r="BH276" s="233">
        <f t="shared" si="993"/>
        <v>2.8752250619012459E-2</v>
      </c>
      <c r="BI276" s="233">
        <f t="shared" si="993"/>
        <v>2.9047543956322128E-2</v>
      </c>
      <c r="BJ276" s="233">
        <f t="shared" si="993"/>
        <v>2.9343282116617367E-2</v>
      </c>
      <c r="BK276" s="233">
        <f t="shared" si="993"/>
        <v>2.9626474087270427E-2</v>
      </c>
      <c r="BL276" s="233">
        <f t="shared" si="993"/>
        <v>2.9909866740558233E-2</v>
      </c>
      <c r="BM276" s="233">
        <f t="shared" si="993"/>
        <v>3.0181031073489309E-2</v>
      </c>
      <c r="BN276" s="233">
        <f t="shared" si="993"/>
        <v>3.0452191555067426E-2</v>
      </c>
      <c r="BO276" s="233">
        <f t="shared" ref="BO276:CB276" si="994">IF(BO274&lt;0,0,$B$5+$B$6*((1-EXP(-BO275/$B$9))/(BO275/$B$9))+$B$7*((1-EXP(-BO275/$B$9))/(BO275/$B$9)-EXP(-BO275/$B$9))+$B$8*((1-EXP(-BO275/$B$10))/(BO275/$B$10)-EXP(-BO275/$B$10)))</f>
        <v>3.0711472891074135E-2</v>
      </c>
      <c r="BP276" s="233">
        <f t="shared" si="994"/>
        <v>3.0969173257190091E-2</v>
      </c>
      <c r="BQ276" s="233">
        <f t="shared" si="994"/>
        <v>3.1216806803302313E-2</v>
      </c>
      <c r="BR276" s="233">
        <f t="shared" si="994"/>
        <v>3.146412718628476E-2</v>
      </c>
      <c r="BS276" s="233">
        <f t="shared" si="994"/>
        <v>3.1700330753365966E-2</v>
      </c>
      <c r="BT276" s="233">
        <f t="shared" si="994"/>
        <v>3.1936107605572694E-2</v>
      </c>
      <c r="BU276" s="233">
        <f t="shared" si="994"/>
        <v>3.2161169932485509E-2</v>
      </c>
      <c r="BV276" s="233">
        <f t="shared" si="994"/>
        <v>3.2385714782537739E-2</v>
      </c>
      <c r="BW276" s="233">
        <f t="shared" si="994"/>
        <v>3.2599954600579142E-2</v>
      </c>
      <c r="BX276" s="233">
        <f t="shared" si="994"/>
        <v>3.281244674863798E-2</v>
      </c>
      <c r="BY276" s="233">
        <f t="shared" si="994"/>
        <v>3.3016234333165903E-2</v>
      </c>
      <c r="BZ276" s="233">
        <f t="shared" si="994"/>
        <v>3.3219379476256264E-2</v>
      </c>
      <c r="CA276" s="233">
        <f t="shared" si="994"/>
        <v>3.3413043672516407E-2</v>
      </c>
      <c r="CB276" s="233">
        <f t="shared" si="994"/>
        <v>3.3606025947284818E-2</v>
      </c>
      <c r="CC276" s="19"/>
      <c r="CD276" s="19"/>
      <c r="CE276" s="19"/>
    </row>
    <row r="277" spans="1:83">
      <c r="A277" s="16" t="s">
        <v>44</v>
      </c>
      <c r="B277" s="233">
        <f>EXP(-B276*B275)</f>
        <v>0.99704460695929531</v>
      </c>
      <c r="C277" s="233">
        <f t="shared" ref="C277:BN277" si="995">EXP(-C276*C275)</f>
        <v>0.98814043916026317</v>
      </c>
      <c r="D277" s="233">
        <f t="shared" si="995"/>
        <v>0.97996950697536833</v>
      </c>
      <c r="E277" s="233">
        <f t="shared" si="995"/>
        <v>0.97262877028969519</v>
      </c>
      <c r="F277" s="233">
        <f t="shared" si="995"/>
        <v>0.96567751170368044</v>
      </c>
      <c r="G277" s="233">
        <f t="shared" si="995"/>
        <v>0.95928619739092014</v>
      </c>
      <c r="H277" s="233">
        <f t="shared" si="995"/>
        <v>0.95304529297279905</v>
      </c>
      <c r="I277" s="233">
        <f t="shared" si="995"/>
        <v>0.94712498570691905</v>
      </c>
      <c r="J277" s="233">
        <f t="shared" si="995"/>
        <v>0.94116537994877514</v>
      </c>
      <c r="K277" s="233">
        <f t="shared" si="995"/>
        <v>0.93534914454021545</v>
      </c>
      <c r="L277" s="233">
        <f t="shared" si="995"/>
        <v>0.92937746902210272</v>
      </c>
      <c r="M277" s="233">
        <f t="shared" si="995"/>
        <v>0.92338966521557231</v>
      </c>
      <c r="N277" s="233">
        <f t="shared" si="995"/>
        <v>0.91709781780421573</v>
      </c>
      <c r="O277" s="233">
        <f t="shared" si="995"/>
        <v>0.91073654327556497</v>
      </c>
      <c r="P277" s="233">
        <f t="shared" si="995"/>
        <v>0.90398438507615875</v>
      </c>
      <c r="Q277" s="233">
        <f t="shared" si="995"/>
        <v>0.89711042333984758</v>
      </c>
      <c r="R277" s="233">
        <f t="shared" si="995"/>
        <v>0.88978356590481522</v>
      </c>
      <c r="S277" s="233">
        <f t="shared" si="995"/>
        <v>0.88231003862548185</v>
      </c>
      <c r="T277" s="233">
        <f t="shared" si="995"/>
        <v>0.87438764003153224</v>
      </c>
      <c r="U277" s="233">
        <f t="shared" si="995"/>
        <v>0.86627299648369216</v>
      </c>
      <c r="V277" s="233">
        <f t="shared" si="995"/>
        <v>0.85764238213171251</v>
      </c>
      <c r="W277" s="233">
        <f t="shared" si="995"/>
        <v>0.84887711034547053</v>
      </c>
      <c r="X277" s="233">
        <f t="shared" si="995"/>
        <v>0.83958869501184441</v>
      </c>
      <c r="Y277" s="233">
        <f t="shared" si="995"/>
        <v>0.83019367580876868</v>
      </c>
      <c r="Z277" s="233">
        <f t="shared" si="995"/>
        <v>0.82028097033623582</v>
      </c>
      <c r="AA277" s="233">
        <f t="shared" si="995"/>
        <v>0.81029936925169743</v>
      </c>
      <c r="AB277" s="233">
        <f t="shared" si="995"/>
        <v>0.79987401049109885</v>
      </c>
      <c r="AC277" s="233">
        <f t="shared" si="995"/>
        <v>0.78936694446670552</v>
      </c>
      <c r="AD277" s="233">
        <f t="shared" si="995"/>
        <v>0.77838113866361502</v>
      </c>
      <c r="AE277" s="233">
        <f t="shared" si="995"/>
        <v>0.76741831801174132</v>
      </c>
      <c r="AF277" s="233">
        <f t="shared" si="995"/>
        <v>0.75600595538950577</v>
      </c>
      <c r="AG277" s="233">
        <f t="shared" si="995"/>
        <v>0.74466581913697594</v>
      </c>
      <c r="AH277" s="233">
        <f t="shared" si="995"/>
        <v>0.73290930093455608</v>
      </c>
      <c r="AI277" s="233">
        <f t="shared" si="995"/>
        <v>0.72127374564753632</v>
      </c>
      <c r="AJ277" s="233">
        <f t="shared" si="995"/>
        <v>0.70932367139885422</v>
      </c>
      <c r="AK277" s="233">
        <f t="shared" si="995"/>
        <v>0.69747545537344458</v>
      </c>
      <c r="AL277" s="233">
        <f t="shared" si="995"/>
        <v>0.68528291128344188</v>
      </c>
      <c r="AM277" s="233">
        <f t="shared" si="995"/>
        <v>0.67330153274582472</v>
      </c>
      <c r="AN277" s="233">
        <f t="shared" si="995"/>
        <v>0.66101240958102647</v>
      </c>
      <c r="AO277" s="233">
        <f t="shared" si="995"/>
        <v>0.64897409353763225</v>
      </c>
      <c r="AP277" s="233">
        <f t="shared" si="995"/>
        <v>0.63666372968234253</v>
      </c>
      <c r="AQ277" s="233">
        <f t="shared" si="995"/>
        <v>0.624639327637588</v>
      </c>
      <c r="AR277" s="233">
        <f t="shared" si="995"/>
        <v>0.61244428671206175</v>
      </c>
      <c r="AS277" s="233">
        <f t="shared" si="995"/>
        <v>0.60049802751411274</v>
      </c>
      <c r="AT277" s="233">
        <f t="shared" si="995"/>
        <v>0.58834591727757379</v>
      </c>
      <c r="AU277" s="233">
        <f t="shared" si="995"/>
        <v>0.57653559244074626</v>
      </c>
      <c r="AV277" s="233">
        <f t="shared" si="995"/>
        <v>0.56454921343658859</v>
      </c>
      <c r="AW277" s="233">
        <f t="shared" si="995"/>
        <v>0.55292534314888764</v>
      </c>
      <c r="AX277" s="233">
        <f t="shared" si="995"/>
        <v>0.54115268748622558</v>
      </c>
      <c r="AY277" s="233">
        <f t="shared" si="995"/>
        <v>0.52975865390732801</v>
      </c>
      <c r="AZ277" s="233">
        <f t="shared" si="995"/>
        <v>0.51830340187044621</v>
      </c>
      <c r="BA277" s="233">
        <f t="shared" si="995"/>
        <v>0.50717486497477071</v>
      </c>
      <c r="BB277" s="233">
        <f t="shared" si="995"/>
        <v>0.49594420383854643</v>
      </c>
      <c r="BC277" s="233">
        <f t="shared" si="995"/>
        <v>0.48511172591304536</v>
      </c>
      <c r="BD277" s="233">
        <f t="shared" si="995"/>
        <v>0.47419665755408924</v>
      </c>
      <c r="BE277" s="233">
        <f t="shared" si="995"/>
        <v>0.46368396585575339</v>
      </c>
      <c r="BF277" s="233">
        <f t="shared" si="995"/>
        <v>0.45310580526700117</v>
      </c>
      <c r="BG277" s="233">
        <f t="shared" si="995"/>
        <v>0.44293099975917105</v>
      </c>
      <c r="BH277" s="233">
        <f t="shared" si="995"/>
        <v>0.43276127368308848</v>
      </c>
      <c r="BI277" s="233">
        <f t="shared" si="995"/>
        <v>0.42293638991048543</v>
      </c>
      <c r="BJ277" s="233">
        <f t="shared" si="995"/>
        <v>0.41307364199669117</v>
      </c>
      <c r="BK277" s="233">
        <f t="shared" si="995"/>
        <v>0.40360816151221768</v>
      </c>
      <c r="BL277" s="233">
        <f t="shared" si="995"/>
        <v>0.39411569595786866</v>
      </c>
      <c r="BM277" s="233">
        <f t="shared" si="995"/>
        <v>0.3850141825043914</v>
      </c>
      <c r="BN277" s="233">
        <f t="shared" si="995"/>
        <v>0.37589484865038381</v>
      </c>
      <c r="BO277" s="233">
        <f t="shared" ref="BO277:CB277" si="996">EXP(-BO276*BO275)</f>
        <v>0.36715844161469968</v>
      </c>
      <c r="BP277" s="233">
        <f t="shared" si="996"/>
        <v>0.35845939475979721</v>
      </c>
      <c r="BQ277" s="233">
        <f t="shared" si="996"/>
        <v>0.35008530857626963</v>
      </c>
      <c r="BR277" s="233">
        <f t="shared" si="996"/>
        <v>0.34170730537657368</v>
      </c>
      <c r="BS277" s="233">
        <f t="shared" si="996"/>
        <v>0.33369232410859234</v>
      </c>
      <c r="BT277" s="233">
        <f t="shared" si="996"/>
        <v>0.32567852914504752</v>
      </c>
      <c r="BU277" s="233">
        <f t="shared" si="996"/>
        <v>0.31801639457561737</v>
      </c>
      <c r="BV277" s="233">
        <f t="shared" si="996"/>
        <v>0.31035952146198692</v>
      </c>
      <c r="BW277" s="233">
        <f t="shared" si="996"/>
        <v>0.30304232952824101</v>
      </c>
      <c r="BX277" s="233">
        <f t="shared" si="996"/>
        <v>0.29577327365486655</v>
      </c>
      <c r="BY277" s="233">
        <f t="shared" si="996"/>
        <v>0.2887908967926604</v>
      </c>
      <c r="BZ277" s="233">
        <f t="shared" si="996"/>
        <v>0.2818193989301282</v>
      </c>
      <c r="CA277" s="233">
        <f t="shared" si="996"/>
        <v>0.27516257234357233</v>
      </c>
      <c r="CB277" s="233">
        <f t="shared" si="996"/>
        <v>0.268518419690357</v>
      </c>
      <c r="CC277" s="19"/>
      <c r="CD277" s="19"/>
      <c r="CE277" s="19"/>
    </row>
    <row r="278" spans="1:83">
      <c r="A278" s="17"/>
      <c r="B278" s="5"/>
      <c r="C278" s="5"/>
      <c r="D278" s="5"/>
      <c r="E278" s="5"/>
      <c r="F278" s="5"/>
      <c r="G278" s="5"/>
      <c r="H278" s="5"/>
      <c r="I278" s="5"/>
      <c r="J278" s="5"/>
      <c r="K278" s="5"/>
      <c r="L278" s="5"/>
      <c r="M278" s="5"/>
      <c r="N278" s="5"/>
      <c r="O278" s="5"/>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
      <c r="AR278" s="5"/>
      <c r="AS278" s="5"/>
      <c r="AT278" s="5"/>
      <c r="AU278" s="5"/>
      <c r="AV278" s="5"/>
      <c r="AW278" s="5"/>
      <c r="AX278" s="5"/>
      <c r="AY278" s="5"/>
      <c r="AZ278" s="5"/>
      <c r="BA278" s="5"/>
      <c r="BB278" s="5"/>
      <c r="BC278" s="5"/>
      <c r="BD278" s="5"/>
      <c r="BE278" s="5"/>
      <c r="BF278" s="5"/>
      <c r="BG278" s="5"/>
      <c r="BH278" s="5"/>
      <c r="BI278" s="5"/>
      <c r="BJ278" s="5"/>
      <c r="BK278" s="5"/>
      <c r="BL278" s="5"/>
      <c r="BM278" s="5"/>
      <c r="BN278" s="5"/>
      <c r="BO278" s="5"/>
      <c r="BP278" s="5"/>
      <c r="BQ278" s="5"/>
      <c r="BR278" s="5"/>
      <c r="BS278" s="5"/>
      <c r="BT278" s="5"/>
      <c r="BU278" s="5"/>
      <c r="BV278" s="5"/>
      <c r="BW278" s="5"/>
      <c r="BX278" s="5"/>
      <c r="BY278" s="5"/>
      <c r="BZ278" s="5"/>
      <c r="CA278" s="5"/>
      <c r="CB278" s="5"/>
      <c r="CC278" s="19"/>
      <c r="CD278" s="19"/>
      <c r="CE278" s="19"/>
    </row>
    <row r="279" spans="1:83">
      <c r="A279" s="16" t="s">
        <v>40</v>
      </c>
      <c r="B279" s="695">
        <f>DAYS360($B$3,B106)</f>
        <v>88</v>
      </c>
      <c r="C279" s="695">
        <f t="shared" ref="C279:BN279" si="997">DAYS360($B$3,C106)</f>
        <v>268</v>
      </c>
      <c r="D279" s="695">
        <f t="shared" si="997"/>
        <v>447</v>
      </c>
      <c r="E279" s="695">
        <f t="shared" si="997"/>
        <v>628</v>
      </c>
      <c r="F279" s="695">
        <f t="shared" si="997"/>
        <v>807</v>
      </c>
      <c r="G279" s="695">
        <f t="shared" si="997"/>
        <v>988</v>
      </c>
      <c r="H279" s="695">
        <f t="shared" si="997"/>
        <v>1167</v>
      </c>
      <c r="I279" s="695">
        <f t="shared" si="997"/>
        <v>1348</v>
      </c>
      <c r="J279" s="695">
        <f t="shared" si="997"/>
        <v>1527</v>
      </c>
      <c r="K279" s="695">
        <f t="shared" si="997"/>
        <v>1707</v>
      </c>
      <c r="L279" s="695">
        <f t="shared" si="997"/>
        <v>1886</v>
      </c>
      <c r="M279" s="695">
        <f t="shared" si="997"/>
        <v>2067</v>
      </c>
      <c r="N279" s="695">
        <f t="shared" si="997"/>
        <v>2246</v>
      </c>
      <c r="O279" s="695">
        <f t="shared" si="997"/>
        <v>2427</v>
      </c>
      <c r="P279" s="695">
        <f t="shared" si="997"/>
        <v>2606</v>
      </c>
      <c r="Q279" s="695">
        <f t="shared" si="997"/>
        <v>2787</v>
      </c>
      <c r="R279" s="695">
        <f t="shared" si="997"/>
        <v>2966</v>
      </c>
      <c r="S279" s="695">
        <f t="shared" si="997"/>
        <v>3146</v>
      </c>
      <c r="T279" s="695">
        <f t="shared" si="997"/>
        <v>3325</v>
      </c>
      <c r="U279" s="695">
        <f t="shared" si="997"/>
        <v>3506</v>
      </c>
      <c r="V279" s="695">
        <f t="shared" si="997"/>
        <v>3685</v>
      </c>
      <c r="W279" s="695">
        <f t="shared" si="997"/>
        <v>3866</v>
      </c>
      <c r="X279" s="695">
        <f t="shared" si="997"/>
        <v>4045</v>
      </c>
      <c r="Y279" s="695">
        <f t="shared" si="997"/>
        <v>4226</v>
      </c>
      <c r="Z279" s="695">
        <f t="shared" si="997"/>
        <v>4405</v>
      </c>
      <c r="AA279" s="695">
        <f t="shared" si="997"/>
        <v>4585</v>
      </c>
      <c r="AB279" s="695">
        <f t="shared" si="997"/>
        <v>4764</v>
      </c>
      <c r="AC279" s="695">
        <f t="shared" si="997"/>
        <v>4945</v>
      </c>
      <c r="AD279" s="695">
        <f t="shared" si="997"/>
        <v>5124</v>
      </c>
      <c r="AE279" s="695">
        <f t="shared" si="997"/>
        <v>5305</v>
      </c>
      <c r="AF279" s="695">
        <f t="shared" si="997"/>
        <v>5484</v>
      </c>
      <c r="AG279" s="695">
        <f t="shared" si="997"/>
        <v>5665</v>
      </c>
      <c r="AH279" s="695">
        <f t="shared" si="997"/>
        <v>5844</v>
      </c>
      <c r="AI279" s="695">
        <f t="shared" si="997"/>
        <v>6024</v>
      </c>
      <c r="AJ279" s="695">
        <f t="shared" si="997"/>
        <v>6203</v>
      </c>
      <c r="AK279" s="695">
        <f t="shared" si="997"/>
        <v>6384</v>
      </c>
      <c r="AL279" s="695">
        <f t="shared" si="997"/>
        <v>6563</v>
      </c>
      <c r="AM279" s="695">
        <f t="shared" si="997"/>
        <v>6744</v>
      </c>
      <c r="AN279" s="695">
        <f t="shared" si="997"/>
        <v>6923</v>
      </c>
      <c r="AO279" s="695">
        <f t="shared" si="997"/>
        <v>7104</v>
      </c>
      <c r="AP279" s="695">
        <f t="shared" si="997"/>
        <v>7283</v>
      </c>
      <c r="AQ279" s="695">
        <f t="shared" si="997"/>
        <v>7463</v>
      </c>
      <c r="AR279" s="695">
        <f t="shared" si="997"/>
        <v>7642</v>
      </c>
      <c r="AS279" s="695">
        <f t="shared" si="997"/>
        <v>7823</v>
      </c>
      <c r="AT279" s="695">
        <f t="shared" si="997"/>
        <v>8002</v>
      </c>
      <c r="AU279" s="695">
        <f t="shared" si="997"/>
        <v>8183</v>
      </c>
      <c r="AV279" s="695">
        <f t="shared" si="997"/>
        <v>8362</v>
      </c>
      <c r="AW279" s="695">
        <f t="shared" si="997"/>
        <v>8543</v>
      </c>
      <c r="AX279" s="695">
        <f t="shared" si="997"/>
        <v>8722</v>
      </c>
      <c r="AY279" s="695">
        <f t="shared" si="997"/>
        <v>8902</v>
      </c>
      <c r="AZ279" s="695">
        <f t="shared" si="997"/>
        <v>9081</v>
      </c>
      <c r="BA279" s="695">
        <f t="shared" si="997"/>
        <v>9262</v>
      </c>
      <c r="BB279" s="695">
        <f t="shared" si="997"/>
        <v>9441</v>
      </c>
      <c r="BC279" s="695">
        <f t="shared" si="997"/>
        <v>9622</v>
      </c>
      <c r="BD279" s="695">
        <f t="shared" si="997"/>
        <v>9801</v>
      </c>
      <c r="BE279" s="695">
        <f t="shared" si="997"/>
        <v>9982</v>
      </c>
      <c r="BF279" s="695">
        <f t="shared" si="997"/>
        <v>10161</v>
      </c>
      <c r="BG279" s="695">
        <f t="shared" si="997"/>
        <v>10341</v>
      </c>
      <c r="BH279" s="695">
        <f t="shared" si="997"/>
        <v>10520</v>
      </c>
      <c r="BI279" s="695">
        <f t="shared" si="997"/>
        <v>10701</v>
      </c>
      <c r="BJ279" s="695">
        <f t="shared" si="997"/>
        <v>10880</v>
      </c>
      <c r="BK279" s="695">
        <f t="shared" si="997"/>
        <v>11061</v>
      </c>
      <c r="BL279" s="695">
        <f t="shared" si="997"/>
        <v>11240</v>
      </c>
      <c r="BM279" s="695">
        <f t="shared" si="997"/>
        <v>11421</v>
      </c>
      <c r="BN279" s="695">
        <f t="shared" si="997"/>
        <v>11600</v>
      </c>
      <c r="BO279" s="695">
        <f t="shared" ref="BO279:CB279" si="998">DAYS360($B$3,BO106)</f>
        <v>11780</v>
      </c>
      <c r="BP279" s="695">
        <f t="shared" si="998"/>
        <v>11959</v>
      </c>
      <c r="BQ279" s="695">
        <f t="shared" si="998"/>
        <v>12140</v>
      </c>
      <c r="BR279" s="695">
        <f t="shared" si="998"/>
        <v>12319</v>
      </c>
      <c r="BS279" s="695">
        <f t="shared" si="998"/>
        <v>12500</v>
      </c>
      <c r="BT279" s="695">
        <f t="shared" si="998"/>
        <v>12679</v>
      </c>
      <c r="BU279" s="695">
        <f t="shared" si="998"/>
        <v>12860</v>
      </c>
      <c r="BV279" s="695">
        <f t="shared" si="998"/>
        <v>13039</v>
      </c>
      <c r="BW279" s="695">
        <f t="shared" si="998"/>
        <v>13219</v>
      </c>
      <c r="BX279" s="695">
        <f t="shared" si="998"/>
        <v>13398</v>
      </c>
      <c r="BY279" s="695">
        <f t="shared" si="998"/>
        <v>13579</v>
      </c>
      <c r="BZ279" s="695">
        <f t="shared" si="998"/>
        <v>13758</v>
      </c>
      <c r="CA279" s="695">
        <f t="shared" si="998"/>
        <v>13939</v>
      </c>
      <c r="CB279" s="695">
        <f t="shared" si="998"/>
        <v>14118</v>
      </c>
      <c r="CC279" s="19"/>
      <c r="CD279" s="19"/>
      <c r="CE279" s="19"/>
    </row>
    <row r="280" spans="1:83">
      <c r="A280" s="16" t="s">
        <v>41</v>
      </c>
      <c r="B280" s="233">
        <f>B279/360</f>
        <v>0.24444444444444444</v>
      </c>
      <c r="C280" s="233">
        <f t="shared" ref="C280:BN280" si="999">C279/360</f>
        <v>0.74444444444444446</v>
      </c>
      <c r="D280" s="233">
        <f t="shared" si="999"/>
        <v>1.2416666666666667</v>
      </c>
      <c r="E280" s="233">
        <f t="shared" si="999"/>
        <v>1.7444444444444445</v>
      </c>
      <c r="F280" s="233">
        <f t="shared" si="999"/>
        <v>2.2416666666666667</v>
      </c>
      <c r="G280" s="233">
        <f t="shared" si="999"/>
        <v>2.7444444444444445</v>
      </c>
      <c r="H280" s="233">
        <f t="shared" si="999"/>
        <v>3.2416666666666667</v>
      </c>
      <c r="I280" s="233">
        <f t="shared" si="999"/>
        <v>3.7444444444444445</v>
      </c>
      <c r="J280" s="233">
        <f t="shared" si="999"/>
        <v>4.2416666666666663</v>
      </c>
      <c r="K280" s="233">
        <f t="shared" si="999"/>
        <v>4.7416666666666663</v>
      </c>
      <c r="L280" s="233">
        <f t="shared" si="999"/>
        <v>5.2388888888888889</v>
      </c>
      <c r="M280" s="233">
        <f t="shared" si="999"/>
        <v>5.7416666666666663</v>
      </c>
      <c r="N280" s="233">
        <f t="shared" si="999"/>
        <v>6.2388888888888889</v>
      </c>
      <c r="O280" s="233">
        <f t="shared" si="999"/>
        <v>6.7416666666666663</v>
      </c>
      <c r="P280" s="233">
        <f t="shared" si="999"/>
        <v>7.2388888888888889</v>
      </c>
      <c r="Q280" s="233">
        <f t="shared" si="999"/>
        <v>7.7416666666666663</v>
      </c>
      <c r="R280" s="233">
        <f t="shared" si="999"/>
        <v>8.2388888888888889</v>
      </c>
      <c r="S280" s="233">
        <f t="shared" si="999"/>
        <v>8.7388888888888889</v>
      </c>
      <c r="T280" s="233">
        <f t="shared" si="999"/>
        <v>9.2361111111111107</v>
      </c>
      <c r="U280" s="233">
        <f t="shared" si="999"/>
        <v>9.7388888888888889</v>
      </c>
      <c r="V280" s="233">
        <f t="shared" si="999"/>
        <v>10.236111111111111</v>
      </c>
      <c r="W280" s="233">
        <f t="shared" si="999"/>
        <v>10.738888888888889</v>
      </c>
      <c r="X280" s="233">
        <f t="shared" si="999"/>
        <v>11.236111111111111</v>
      </c>
      <c r="Y280" s="233">
        <f t="shared" si="999"/>
        <v>11.738888888888889</v>
      </c>
      <c r="Z280" s="233">
        <f t="shared" si="999"/>
        <v>12.236111111111111</v>
      </c>
      <c r="AA280" s="233">
        <f t="shared" si="999"/>
        <v>12.736111111111111</v>
      </c>
      <c r="AB280" s="233">
        <f t="shared" si="999"/>
        <v>13.233333333333333</v>
      </c>
      <c r="AC280" s="233">
        <f t="shared" si="999"/>
        <v>13.736111111111111</v>
      </c>
      <c r="AD280" s="233">
        <f t="shared" si="999"/>
        <v>14.233333333333333</v>
      </c>
      <c r="AE280" s="233">
        <f t="shared" si="999"/>
        <v>14.736111111111111</v>
      </c>
      <c r="AF280" s="233">
        <f t="shared" si="999"/>
        <v>15.233333333333333</v>
      </c>
      <c r="AG280" s="233">
        <f t="shared" si="999"/>
        <v>15.736111111111111</v>
      </c>
      <c r="AH280" s="233">
        <f t="shared" si="999"/>
        <v>16.233333333333334</v>
      </c>
      <c r="AI280" s="233">
        <f t="shared" si="999"/>
        <v>16.733333333333334</v>
      </c>
      <c r="AJ280" s="233">
        <f t="shared" si="999"/>
        <v>17.230555555555554</v>
      </c>
      <c r="AK280" s="233">
        <f t="shared" si="999"/>
        <v>17.733333333333334</v>
      </c>
      <c r="AL280" s="233">
        <f t="shared" si="999"/>
        <v>18.230555555555554</v>
      </c>
      <c r="AM280" s="233">
        <f t="shared" si="999"/>
        <v>18.733333333333334</v>
      </c>
      <c r="AN280" s="233">
        <f t="shared" si="999"/>
        <v>19.230555555555554</v>
      </c>
      <c r="AO280" s="233">
        <f t="shared" si="999"/>
        <v>19.733333333333334</v>
      </c>
      <c r="AP280" s="233">
        <f t="shared" si="999"/>
        <v>20.230555555555554</v>
      </c>
      <c r="AQ280" s="233">
        <f t="shared" si="999"/>
        <v>20.730555555555554</v>
      </c>
      <c r="AR280" s="233">
        <f t="shared" si="999"/>
        <v>21.227777777777778</v>
      </c>
      <c r="AS280" s="233">
        <f t="shared" si="999"/>
        <v>21.730555555555554</v>
      </c>
      <c r="AT280" s="233">
        <f t="shared" si="999"/>
        <v>22.227777777777778</v>
      </c>
      <c r="AU280" s="233">
        <f t="shared" si="999"/>
        <v>22.730555555555554</v>
      </c>
      <c r="AV280" s="233">
        <f t="shared" si="999"/>
        <v>23.227777777777778</v>
      </c>
      <c r="AW280" s="233">
        <f t="shared" si="999"/>
        <v>23.730555555555554</v>
      </c>
      <c r="AX280" s="233">
        <f t="shared" si="999"/>
        <v>24.227777777777778</v>
      </c>
      <c r="AY280" s="233">
        <f t="shared" si="999"/>
        <v>24.727777777777778</v>
      </c>
      <c r="AZ280" s="233">
        <f t="shared" si="999"/>
        <v>25.225000000000001</v>
      </c>
      <c r="BA280" s="233">
        <f t="shared" si="999"/>
        <v>25.727777777777778</v>
      </c>
      <c r="BB280" s="233">
        <f t="shared" si="999"/>
        <v>26.225000000000001</v>
      </c>
      <c r="BC280" s="233">
        <f t="shared" si="999"/>
        <v>26.727777777777778</v>
      </c>
      <c r="BD280" s="233">
        <f t="shared" si="999"/>
        <v>27.225000000000001</v>
      </c>
      <c r="BE280" s="233">
        <f t="shared" si="999"/>
        <v>27.727777777777778</v>
      </c>
      <c r="BF280" s="233">
        <f t="shared" si="999"/>
        <v>28.225000000000001</v>
      </c>
      <c r="BG280" s="233">
        <f t="shared" si="999"/>
        <v>28.725000000000001</v>
      </c>
      <c r="BH280" s="233">
        <f t="shared" si="999"/>
        <v>29.222222222222221</v>
      </c>
      <c r="BI280" s="233">
        <f t="shared" si="999"/>
        <v>29.725000000000001</v>
      </c>
      <c r="BJ280" s="233">
        <f t="shared" si="999"/>
        <v>30.222222222222221</v>
      </c>
      <c r="BK280" s="233">
        <f t="shared" si="999"/>
        <v>30.725000000000001</v>
      </c>
      <c r="BL280" s="233">
        <f t="shared" si="999"/>
        <v>31.222222222222221</v>
      </c>
      <c r="BM280" s="233">
        <f t="shared" si="999"/>
        <v>31.725000000000001</v>
      </c>
      <c r="BN280" s="233">
        <f t="shared" si="999"/>
        <v>32.222222222222221</v>
      </c>
      <c r="BO280" s="233">
        <f t="shared" ref="BO280:CB280" si="1000">BO279/360</f>
        <v>32.722222222222221</v>
      </c>
      <c r="BP280" s="233">
        <f t="shared" si="1000"/>
        <v>33.219444444444441</v>
      </c>
      <c r="BQ280" s="233">
        <f t="shared" si="1000"/>
        <v>33.722222222222221</v>
      </c>
      <c r="BR280" s="233">
        <f t="shared" si="1000"/>
        <v>34.219444444444441</v>
      </c>
      <c r="BS280" s="233">
        <f t="shared" si="1000"/>
        <v>34.722222222222221</v>
      </c>
      <c r="BT280" s="233">
        <f t="shared" si="1000"/>
        <v>35.219444444444441</v>
      </c>
      <c r="BU280" s="233">
        <f t="shared" si="1000"/>
        <v>35.722222222222221</v>
      </c>
      <c r="BV280" s="233">
        <f t="shared" si="1000"/>
        <v>36.219444444444441</v>
      </c>
      <c r="BW280" s="233">
        <f t="shared" si="1000"/>
        <v>36.719444444444441</v>
      </c>
      <c r="BX280" s="233">
        <f t="shared" si="1000"/>
        <v>37.216666666666669</v>
      </c>
      <c r="BY280" s="233">
        <f t="shared" si="1000"/>
        <v>37.719444444444441</v>
      </c>
      <c r="BZ280" s="233">
        <f t="shared" si="1000"/>
        <v>38.216666666666669</v>
      </c>
      <c r="CA280" s="233">
        <f t="shared" si="1000"/>
        <v>38.719444444444441</v>
      </c>
      <c r="CB280" s="233">
        <f t="shared" si="1000"/>
        <v>39.216666666666669</v>
      </c>
      <c r="CC280" s="19"/>
      <c r="CD280" s="19"/>
      <c r="CE280" s="19"/>
    </row>
    <row r="281" spans="1:83">
      <c r="A281" s="16" t="s">
        <v>43</v>
      </c>
      <c r="B281" s="233">
        <f>IF(B279&lt;0,0,$B$5+$B$6*((1-EXP(-B280/$B$9))/(B280/$B$9))+$B$7*((1-EXP(-B280/$B$9))/(B280/$B$9)-EXP(-B280/$B$9))+$B$8*((1-EXP(-B280/$B$10))/(B280/$B$10)-EXP(-B280/$B$10)))</f>
        <v>1.9189822465553053E-2</v>
      </c>
      <c r="C281" s="233">
        <f t="shared" ref="C281:BN281" si="1001">IF(C279&lt;0,0,$B$5+$B$6*((1-EXP(-C280/$B$9))/(C280/$B$9))+$B$7*((1-EXP(-C280/$B$9))/(C280/$B$9)-EXP(-C280/$B$9))+$B$8*((1-EXP(-C280/$B$10))/(C280/$B$10)-EXP(-C280/$B$10)))</f>
        <v>1.8262204379018369E-2</v>
      </c>
      <c r="D281" s="233">
        <f t="shared" si="1001"/>
        <v>1.7453762527610321E-2</v>
      </c>
      <c r="E281" s="233">
        <f t="shared" si="1001"/>
        <v>1.6743703649155447E-2</v>
      </c>
      <c r="F281" s="233">
        <f t="shared" si="1001"/>
        <v>1.6140110032601889E-2</v>
      </c>
      <c r="G281" s="233">
        <f t="shared" si="1001"/>
        <v>1.56222376419431E-2</v>
      </c>
      <c r="H281" s="233">
        <f t="shared" si="1001"/>
        <v>1.5194816733287E-2</v>
      </c>
      <c r="I281" s="233">
        <f t="shared" si="1001"/>
        <v>1.4841897909893466E-2</v>
      </c>
      <c r="J281" s="233">
        <f t="shared" si="1001"/>
        <v>1.4565363926619904E-2</v>
      </c>
      <c r="K281" s="233">
        <f t="shared" si="1001"/>
        <v>1.4354395478478728E-2</v>
      </c>
      <c r="L281" s="233">
        <f t="shared" si="1001"/>
        <v>1.4206153953264793E-2</v>
      </c>
      <c r="M281" s="233">
        <f t="shared" si="1001"/>
        <v>1.4113726718749678E-2</v>
      </c>
      <c r="N281" s="233">
        <f t="shared" si="1001"/>
        <v>1.407458136984216E-2</v>
      </c>
      <c r="O281" s="233">
        <f t="shared" si="1001"/>
        <v>1.4083493836496666E-2</v>
      </c>
      <c r="P281" s="233">
        <f t="shared" si="1001"/>
        <v>1.4136254921644054E-2</v>
      </c>
      <c r="Q281" s="233">
        <f t="shared" si="1001"/>
        <v>1.4230232815563015E-2</v>
      </c>
      <c r="R281" s="233">
        <f t="shared" si="1001"/>
        <v>1.4359838532067279E-2</v>
      </c>
      <c r="S281" s="233">
        <f t="shared" si="1001"/>
        <v>1.4523637905696052E-2</v>
      </c>
      <c r="T281" s="233">
        <f t="shared" si="1001"/>
        <v>1.4716756500509076E-2</v>
      </c>
      <c r="U281" s="233">
        <f t="shared" si="1001"/>
        <v>1.4939781556420548E-2</v>
      </c>
      <c r="V281" s="233">
        <f t="shared" si="1001"/>
        <v>1.5185109170486585E-2</v>
      </c>
      <c r="W281" s="233">
        <f t="shared" si="1001"/>
        <v>1.5455689014772372E-2</v>
      </c>
      <c r="X281" s="233">
        <f t="shared" si="1001"/>
        <v>1.5743215491292817E-2</v>
      </c>
      <c r="Y281" s="233">
        <f t="shared" si="1001"/>
        <v>1.6051914822957217E-2</v>
      </c>
      <c r="Z281" s="233">
        <f t="shared" si="1001"/>
        <v>1.6372948191221939E-2</v>
      </c>
      <c r="AA281" s="233">
        <f t="shared" si="1001"/>
        <v>1.6709679389069476E-2</v>
      </c>
      <c r="AB281" s="233">
        <f t="shared" si="1001"/>
        <v>1.7056631390353433E-2</v>
      </c>
      <c r="AC281" s="233">
        <f t="shared" si="1001"/>
        <v>1.7418080258214647E-2</v>
      </c>
      <c r="AD281" s="233">
        <f t="shared" si="1001"/>
        <v>1.7784535803783336E-2</v>
      </c>
      <c r="AE281" s="233">
        <f t="shared" si="1001"/>
        <v>1.8162773765011228E-2</v>
      </c>
      <c r="AF281" s="233">
        <f t="shared" si="1001"/>
        <v>1.8543146095263988E-2</v>
      </c>
      <c r="AG281" s="233">
        <f t="shared" si="1001"/>
        <v>1.8932942633900066E-2</v>
      </c>
      <c r="AH281" s="233">
        <f t="shared" si="1001"/>
        <v>1.9322447705392709E-2</v>
      </c>
      <c r="AI281" s="233">
        <f t="shared" si="1001"/>
        <v>1.9717134717036025E-2</v>
      </c>
      <c r="AJ281" s="233">
        <f t="shared" si="1001"/>
        <v>2.0111686212732516E-2</v>
      </c>
      <c r="AK281" s="233">
        <f t="shared" si="1001"/>
        <v>2.0511859290375759E-2</v>
      </c>
      <c r="AL281" s="233">
        <f t="shared" si="1001"/>
        <v>2.090801892136171E-2</v>
      </c>
      <c r="AM281" s="233">
        <f t="shared" si="1001"/>
        <v>2.1308281327023906E-2</v>
      </c>
      <c r="AN281" s="233">
        <f t="shared" si="1001"/>
        <v>2.1703136793609371E-2</v>
      </c>
      <c r="AO281" s="233">
        <f t="shared" si="1001"/>
        <v>2.2100793285740883E-2</v>
      </c>
      <c r="AP281" s="233">
        <f t="shared" si="1001"/>
        <v>2.2491910078145883E-2</v>
      </c>
      <c r="AQ281" s="233">
        <f t="shared" si="1001"/>
        <v>2.2882555344349173E-2</v>
      </c>
      <c r="AR281" s="233">
        <f t="shared" si="1001"/>
        <v>2.3267935121214167E-2</v>
      </c>
      <c r="AS281" s="233">
        <f t="shared" si="1001"/>
        <v>2.3654065144605149E-2</v>
      </c>
      <c r="AT281" s="233">
        <f t="shared" si="1001"/>
        <v>2.4032041270389062E-2</v>
      </c>
      <c r="AU281" s="233">
        <f t="shared" si="1001"/>
        <v>2.4409972205039682E-2</v>
      </c>
      <c r="AV281" s="233">
        <f t="shared" si="1001"/>
        <v>2.4779208720642945E-2</v>
      </c>
      <c r="AW281" s="233">
        <f t="shared" si="1001"/>
        <v>2.5147733911519116E-2</v>
      </c>
      <c r="AX281" s="233">
        <f t="shared" si="1001"/>
        <v>2.5507170314027341E-2</v>
      </c>
      <c r="AY281" s="233">
        <f t="shared" si="1001"/>
        <v>2.5863378419134816E-2</v>
      </c>
      <c r="AZ281" s="233">
        <f t="shared" si="1001"/>
        <v>2.6212223073498839E-2</v>
      </c>
      <c r="BA281" s="233">
        <f t="shared" si="1001"/>
        <v>2.6559350122872763E-2</v>
      </c>
      <c r="BB281" s="233">
        <f t="shared" si="1001"/>
        <v>2.6896957642551927E-2</v>
      </c>
      <c r="BC281" s="233">
        <f t="shared" si="1001"/>
        <v>2.7232478889083381E-2</v>
      </c>
      <c r="BD281" s="233">
        <f t="shared" si="1001"/>
        <v>2.7558409227369698E-2</v>
      </c>
      <c r="BE281" s="233">
        <f t="shared" si="1001"/>
        <v>2.7881959267682305E-2</v>
      </c>
      <c r="BF281" s="233">
        <f t="shared" si="1001"/>
        <v>2.8195923780321874E-2</v>
      </c>
      <c r="BG281" s="233">
        <f t="shared" si="1001"/>
        <v>2.8505575366294097E-2</v>
      </c>
      <c r="BH281" s="233">
        <f t="shared" si="1001"/>
        <v>2.8807448186958448E-2</v>
      </c>
      <c r="BI281" s="233">
        <f t="shared" si="1001"/>
        <v>2.910653813357883E-2</v>
      </c>
      <c r="BJ281" s="233">
        <f t="shared" si="1001"/>
        <v>2.9396235078169478E-2</v>
      </c>
      <c r="BK281" s="233">
        <f t="shared" si="1001"/>
        <v>2.9683023408495657E-2</v>
      </c>
      <c r="BL281" s="233">
        <f t="shared" si="1001"/>
        <v>2.9960585835156039E-2</v>
      </c>
      <c r="BM281" s="233">
        <f t="shared" si="1001"/>
        <v>3.0235155023951923E-2</v>
      </c>
      <c r="BN281" s="233">
        <f t="shared" si="1001"/>
        <v>3.0500701169900571E-2</v>
      </c>
      <c r="BO281" s="233">
        <f t="shared" ref="BO281:CB281" si="1002">IF(BO279&lt;0,0,$B$5+$B$6*((1-EXP(-BO280/$B$9))/(BO280/$B$9))+$B$7*((1-EXP(-BO280/$B$9))/(BO280/$B$9)-EXP(-BO280/$B$9))+$B$8*((1-EXP(-BO280/$B$10))/(BO280/$B$10)-EXP(-BO280/$B$10)))</f>
        <v>3.0761770721449075E-2</v>
      </c>
      <c r="BP281" s="233">
        <f t="shared" si="1002"/>
        <v>3.1015515032906754E-2</v>
      </c>
      <c r="BQ281" s="233">
        <f t="shared" si="1002"/>
        <v>3.1266196712827918E-2</v>
      </c>
      <c r="BR281" s="233">
        <f t="shared" si="1002"/>
        <v>3.1508339871265958E-2</v>
      </c>
      <c r="BS281" s="233">
        <f t="shared" si="1002"/>
        <v>3.1747425541320512E-2</v>
      </c>
      <c r="BT281" s="233">
        <f t="shared" si="1002"/>
        <v>3.1978243449144239E-2</v>
      </c>
      <c r="BU281" s="233">
        <f t="shared" si="1002"/>
        <v>3.2206029976048822E-2</v>
      </c>
      <c r="BV281" s="233">
        <f t="shared" si="1002"/>
        <v>3.2425831880499356E-2</v>
      </c>
      <c r="BW281" s="233">
        <f t="shared" si="1002"/>
        <v>3.2641462904481888E-2</v>
      </c>
      <c r="BX281" s="233">
        <f t="shared" si="1002"/>
        <v>3.2850613036680118E-2</v>
      </c>
      <c r="BY281" s="233">
        <f t="shared" si="1002"/>
        <v>3.3056832845611742E-2</v>
      </c>
      <c r="BZ281" s="233">
        <f t="shared" si="1002"/>
        <v>3.3255655348304713E-2</v>
      </c>
      <c r="CA281" s="233">
        <f t="shared" si="1002"/>
        <v>3.3451616781608809E-2</v>
      </c>
      <c r="CB281" s="233">
        <f t="shared" si="1002"/>
        <v>3.364047965618322E-2</v>
      </c>
      <c r="CC281" s="19"/>
      <c r="CD281" s="19"/>
      <c r="CE281" s="19"/>
    </row>
    <row r="282" spans="1:83">
      <c r="A282" s="16" t="s">
        <v>44</v>
      </c>
      <c r="B282" s="233">
        <f>EXP(-B281*B280)</f>
        <v>0.99532013934136987</v>
      </c>
      <c r="C282" s="233">
        <f t="shared" ref="C282:BN282" si="1003">EXP(-C281*C280)</f>
        <v>0.98649680071288193</v>
      </c>
      <c r="D282" s="233">
        <f t="shared" si="1003"/>
        <v>0.97856139008758924</v>
      </c>
      <c r="E282" s="233">
        <f t="shared" si="1003"/>
        <v>0.97121398330881326</v>
      </c>
      <c r="F282" s="233">
        <f t="shared" si="1003"/>
        <v>0.96446595373157007</v>
      </c>
      <c r="G282" s="233">
        <f t="shared" si="1003"/>
        <v>0.95803174644744193</v>
      </c>
      <c r="H282" s="233">
        <f t="shared" si="1003"/>
        <v>0.95193689713437291</v>
      </c>
      <c r="I282" s="233">
        <f t="shared" si="1003"/>
        <v>0.94594139499306762</v>
      </c>
      <c r="J282" s="233">
        <f t="shared" si="1003"/>
        <v>0.94008835011064451</v>
      </c>
      <c r="K282" s="233">
        <f t="shared" si="1003"/>
        <v>0.93420090837324588</v>
      </c>
      <c r="L282" s="233">
        <f t="shared" si="1003"/>
        <v>0.92827759155093648</v>
      </c>
      <c r="M282" s="233">
        <f t="shared" si="1003"/>
        <v>0.92216020328640635</v>
      </c>
      <c r="N282" s="233">
        <f t="shared" si="1003"/>
        <v>0.9159351174232917</v>
      </c>
      <c r="O282" s="233">
        <f t="shared" si="1003"/>
        <v>0.90942184099788237</v>
      </c>
      <c r="P282" s="233">
        <f t="shared" si="1003"/>
        <v>0.90273089814008889</v>
      </c>
      <c r="Q282" s="233">
        <f t="shared" si="1003"/>
        <v>0.89568569081760074</v>
      </c>
      <c r="R282" s="233">
        <f t="shared" si="1003"/>
        <v>0.88842138656294412</v>
      </c>
      <c r="S282" s="233">
        <f t="shared" si="1003"/>
        <v>0.88080373077135787</v>
      </c>
      <c r="T282" s="233">
        <f t="shared" si="1003"/>
        <v>0.87290757593805501</v>
      </c>
      <c r="U282" s="233">
        <f t="shared" si="1003"/>
        <v>0.86459259399465749</v>
      </c>
      <c r="V282" s="233">
        <f t="shared" si="1003"/>
        <v>0.85604146404943493</v>
      </c>
      <c r="W282" s="233">
        <f t="shared" si="1003"/>
        <v>0.84706577828648966</v>
      </c>
      <c r="X282" s="233">
        <f t="shared" si="1003"/>
        <v>0.83786983518490254</v>
      </c>
      <c r="Y282" s="233">
        <f t="shared" si="1003"/>
        <v>0.82825711738287666</v>
      </c>
      <c r="Z282" s="233">
        <f t="shared" si="1003"/>
        <v>0.81845143892436145</v>
      </c>
      <c r="AA282" s="233">
        <f t="shared" si="1003"/>
        <v>0.80830458219464352</v>
      </c>
      <c r="AB282" s="233">
        <f t="shared" si="1003"/>
        <v>0.79794461497646962</v>
      </c>
      <c r="AC282" s="233">
        <f t="shared" si="1003"/>
        <v>0.78721279011622802</v>
      </c>
      <c r="AD282" s="233">
        <f t="shared" si="1003"/>
        <v>0.77636444279163008</v>
      </c>
      <c r="AE282" s="233">
        <f t="shared" si="1003"/>
        <v>0.76517657691990593</v>
      </c>
      <c r="AF282" s="233">
        <f t="shared" si="1003"/>
        <v>0.75391629968013241</v>
      </c>
      <c r="AG282" s="233">
        <f t="shared" si="1003"/>
        <v>0.74235264274753399</v>
      </c>
      <c r="AH282" s="233">
        <f t="shared" si="1003"/>
        <v>0.73076179481908254</v>
      </c>
      <c r="AI282" s="233">
        <f t="shared" si="1003"/>
        <v>0.71897162426341921</v>
      </c>
      <c r="AJ282" s="233">
        <f t="shared" si="1003"/>
        <v>0.70713369678192006</v>
      </c>
      <c r="AK282" s="233">
        <f t="shared" si="1003"/>
        <v>0.69506936121850904</v>
      </c>
      <c r="AL282" s="233">
        <f t="shared" si="1003"/>
        <v>0.68306531083717414</v>
      </c>
      <c r="AM282" s="233">
        <f t="shared" si="1003"/>
        <v>0.67087319643922383</v>
      </c>
      <c r="AN282" s="233">
        <f t="shared" si="1003"/>
        <v>0.65878148985058982</v>
      </c>
      <c r="AO282" s="233">
        <f t="shared" si="1003"/>
        <v>0.64653863595021188</v>
      </c>
      <c r="AP282" s="233">
        <f t="shared" si="1003"/>
        <v>0.63443284518149301</v>
      </c>
      <c r="AQ282" s="233">
        <f t="shared" si="1003"/>
        <v>0.622278159263704</v>
      </c>
      <c r="AR282" s="233">
        <f t="shared" si="1003"/>
        <v>0.61022559879225469</v>
      </c>
      <c r="AS282" s="233">
        <f t="shared" si="1003"/>
        <v>0.59808883847681449</v>
      </c>
      <c r="AT282" s="233">
        <f t="shared" si="1003"/>
        <v>0.58615039656560664</v>
      </c>
      <c r="AU282" s="233">
        <f t="shared" si="1003"/>
        <v>0.57415709851509134</v>
      </c>
      <c r="AV282" s="233">
        <f t="shared" si="1003"/>
        <v>0.56238649402123919</v>
      </c>
      <c r="AW282" s="233">
        <f t="shared" si="1003"/>
        <v>0.55058733061401699</v>
      </c>
      <c r="AX282" s="233">
        <f t="shared" si="1003"/>
        <v>0.53903107638294068</v>
      </c>
      <c r="AY282" s="233">
        <f t="shared" si="1003"/>
        <v>0.52753299061836256</v>
      </c>
      <c r="AZ282" s="233">
        <f t="shared" si="1003"/>
        <v>0.51622976736019344</v>
      </c>
      <c r="BA282" s="233">
        <f t="shared" si="1003"/>
        <v>0.50494131828048627</v>
      </c>
      <c r="BB282" s="233">
        <f t="shared" si="1003"/>
        <v>0.49392444730156526</v>
      </c>
      <c r="BC282" s="233">
        <f t="shared" si="1003"/>
        <v>0.48293961971532223</v>
      </c>
      <c r="BD282" s="233">
        <f t="shared" si="1003"/>
        <v>0.47223539890996868</v>
      </c>
      <c r="BE282" s="233">
        <f t="shared" si="1003"/>
        <v>0.46157774827972853</v>
      </c>
      <c r="BF282" s="233">
        <f t="shared" si="1003"/>
        <v>0.45120660114882238</v>
      </c>
      <c r="BG282" s="233">
        <f t="shared" si="1003"/>
        <v>0.44095050103022893</v>
      </c>
      <c r="BH282" s="233">
        <f t="shared" si="1003"/>
        <v>0.43092653640861234</v>
      </c>
      <c r="BI282" s="233">
        <f t="shared" si="1003"/>
        <v>0.42097078331035298</v>
      </c>
      <c r="BJ282" s="233">
        <f t="shared" si="1003"/>
        <v>0.41130528717893516</v>
      </c>
      <c r="BK282" s="233">
        <f t="shared" si="1003"/>
        <v>0.40171560369316128</v>
      </c>
      <c r="BL282" s="233">
        <f t="shared" si="1003"/>
        <v>0.39241470838421416</v>
      </c>
      <c r="BM282" s="233">
        <f t="shared" si="1003"/>
        <v>0.38319537854028141</v>
      </c>
      <c r="BN282" s="233">
        <f t="shared" si="1003"/>
        <v>0.37426155875960521</v>
      </c>
      <c r="BO282" s="233">
        <f t="shared" ref="BO282:CB282" si="1004">EXP(-BO281*BO280)</f>
        <v>0.3654618080847058</v>
      </c>
      <c r="BP282" s="233">
        <f t="shared" si="1004"/>
        <v>0.35689338668091197</v>
      </c>
      <c r="BQ282" s="233">
        <f t="shared" si="1004"/>
        <v>0.34841337895975327</v>
      </c>
      <c r="BR282" s="233">
        <f t="shared" si="1004"/>
        <v>0.34020806734633458</v>
      </c>
      <c r="BS282" s="233">
        <f t="shared" si="1004"/>
        <v>0.33209268922119073</v>
      </c>
      <c r="BT282" s="233">
        <f t="shared" si="1004"/>
        <v>0.32424497001281344</v>
      </c>
      <c r="BU282" s="233">
        <f t="shared" si="1004"/>
        <v>0.31648768133113503</v>
      </c>
      <c r="BV282" s="233">
        <f t="shared" si="1004"/>
        <v>0.30899023134305398</v>
      </c>
      <c r="BW282" s="233">
        <f t="shared" si="1004"/>
        <v>0.30162330225731726</v>
      </c>
      <c r="BX282" s="233">
        <f t="shared" si="1004"/>
        <v>0.29446641734362478</v>
      </c>
      <c r="BY282" s="233">
        <f t="shared" si="1004"/>
        <v>0.28739854441116908</v>
      </c>
      <c r="BZ282" s="233">
        <f t="shared" si="1004"/>
        <v>0.28057329266482423</v>
      </c>
      <c r="CA282" s="233">
        <f t="shared" si="1004"/>
        <v>0.27383541793053578</v>
      </c>
      <c r="CB282" s="233">
        <f t="shared" si="1004"/>
        <v>0.26733105635820753</v>
      </c>
      <c r="CC282" s="19"/>
      <c r="CD282" s="19"/>
      <c r="CE282" s="19"/>
    </row>
    <row r="283" spans="1:83">
      <c r="A283" s="17"/>
      <c r="B283" s="5"/>
      <c r="C283" s="5"/>
      <c r="D283" s="5"/>
      <c r="E283" s="5"/>
      <c r="F283" s="5"/>
      <c r="G283" s="5"/>
      <c r="H283" s="5"/>
      <c r="I283" s="5"/>
      <c r="J283" s="5"/>
      <c r="K283" s="5"/>
      <c r="L283" s="5"/>
      <c r="M283" s="5"/>
      <c r="N283" s="5"/>
      <c r="O283" s="5"/>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
      <c r="AR283" s="5"/>
      <c r="AS283" s="5"/>
      <c r="AT283" s="5"/>
      <c r="AU283" s="5"/>
      <c r="AV283" s="5"/>
      <c r="AW283" s="5"/>
      <c r="AX283" s="5"/>
      <c r="AY283" s="5"/>
      <c r="AZ283" s="5"/>
      <c r="BA283" s="5"/>
      <c r="BB283" s="5"/>
      <c r="BC283" s="5"/>
      <c r="BD283" s="5"/>
      <c r="BE283" s="5"/>
      <c r="BF283" s="5"/>
      <c r="BG283" s="5"/>
      <c r="BH283" s="5"/>
      <c r="BI283" s="5"/>
      <c r="BJ283" s="5"/>
      <c r="BK283" s="5"/>
      <c r="BL283" s="5"/>
      <c r="BM283" s="5"/>
      <c r="BN283" s="5"/>
      <c r="BO283" s="5"/>
      <c r="BP283" s="5"/>
      <c r="BQ283" s="5"/>
      <c r="BR283" s="5"/>
      <c r="BS283" s="5"/>
      <c r="BT283" s="5"/>
      <c r="BU283" s="5"/>
      <c r="BV283" s="5"/>
      <c r="BW283" s="5"/>
      <c r="BX283" s="5"/>
      <c r="BY283" s="5"/>
      <c r="BZ283" s="5"/>
      <c r="CA283" s="5"/>
      <c r="CB283" s="5"/>
      <c r="CC283" s="19"/>
      <c r="CD283" s="19"/>
      <c r="CE283" s="19"/>
    </row>
    <row r="284" spans="1:83">
      <c r="A284" s="16" t="s">
        <v>40</v>
      </c>
      <c r="B284" s="695">
        <f>DAYS360($B$3,B108)</f>
        <v>157</v>
      </c>
      <c r="C284" s="695">
        <f t="shared" ref="C284:BN284" si="1005">DAYS360($B$3,C108)</f>
        <v>336</v>
      </c>
      <c r="D284" s="695">
        <f t="shared" si="1005"/>
        <v>516</v>
      </c>
      <c r="E284" s="695">
        <f t="shared" si="1005"/>
        <v>696</v>
      </c>
      <c r="F284" s="695">
        <f t="shared" si="1005"/>
        <v>876</v>
      </c>
      <c r="G284" s="695">
        <f t="shared" si="1005"/>
        <v>1056</v>
      </c>
      <c r="H284" s="695">
        <f t="shared" si="1005"/>
        <v>1236</v>
      </c>
      <c r="I284" s="695">
        <f t="shared" si="1005"/>
        <v>1416</v>
      </c>
      <c r="J284" s="695">
        <f t="shared" si="1005"/>
        <v>1596</v>
      </c>
      <c r="K284" s="695">
        <f t="shared" si="1005"/>
        <v>1775</v>
      </c>
      <c r="L284" s="695">
        <f t="shared" si="1005"/>
        <v>1955</v>
      </c>
      <c r="M284" s="695">
        <f t="shared" si="1005"/>
        <v>2135</v>
      </c>
      <c r="N284" s="695">
        <f t="shared" si="1005"/>
        <v>2315</v>
      </c>
      <c r="O284" s="695">
        <f t="shared" si="1005"/>
        <v>2495</v>
      </c>
      <c r="P284" s="695">
        <f t="shared" si="1005"/>
        <v>2675</v>
      </c>
      <c r="Q284" s="695">
        <f t="shared" si="1005"/>
        <v>2855</v>
      </c>
      <c r="R284" s="695">
        <f t="shared" si="1005"/>
        <v>3035</v>
      </c>
      <c r="S284" s="695">
        <f t="shared" si="1005"/>
        <v>3214</v>
      </c>
      <c r="T284" s="695">
        <f t="shared" si="1005"/>
        <v>3394</v>
      </c>
      <c r="U284" s="695">
        <f t="shared" si="1005"/>
        <v>3574</v>
      </c>
      <c r="V284" s="695">
        <f t="shared" si="1005"/>
        <v>3754</v>
      </c>
      <c r="W284" s="695">
        <f t="shared" si="1005"/>
        <v>3934</v>
      </c>
      <c r="X284" s="695">
        <f t="shared" si="1005"/>
        <v>4114</v>
      </c>
      <c r="Y284" s="695">
        <f t="shared" si="1005"/>
        <v>4294</v>
      </c>
      <c r="Z284" s="695">
        <f t="shared" si="1005"/>
        <v>4474</v>
      </c>
      <c r="AA284" s="695">
        <f t="shared" si="1005"/>
        <v>4653</v>
      </c>
      <c r="AB284" s="695">
        <f t="shared" si="1005"/>
        <v>4833</v>
      </c>
      <c r="AC284" s="695">
        <f t="shared" si="1005"/>
        <v>5013</v>
      </c>
      <c r="AD284" s="695">
        <f t="shared" si="1005"/>
        <v>5193</v>
      </c>
      <c r="AE284" s="695">
        <f t="shared" si="1005"/>
        <v>5373</v>
      </c>
      <c r="AF284" s="695">
        <f t="shared" si="1005"/>
        <v>5553</v>
      </c>
      <c r="AG284" s="695">
        <f t="shared" si="1005"/>
        <v>5733</v>
      </c>
      <c r="AH284" s="695">
        <f t="shared" si="1005"/>
        <v>5913</v>
      </c>
      <c r="AI284" s="695">
        <f t="shared" si="1005"/>
        <v>6092</v>
      </c>
      <c r="AJ284" s="695">
        <f t="shared" si="1005"/>
        <v>6272</v>
      </c>
      <c r="AK284" s="695">
        <f t="shared" si="1005"/>
        <v>6452</v>
      </c>
      <c r="AL284" s="695">
        <f t="shared" si="1005"/>
        <v>6632</v>
      </c>
      <c r="AM284" s="695">
        <f t="shared" si="1005"/>
        <v>6812</v>
      </c>
      <c r="AN284" s="695">
        <f t="shared" si="1005"/>
        <v>6992</v>
      </c>
      <c r="AO284" s="695">
        <f t="shared" si="1005"/>
        <v>7172</v>
      </c>
      <c r="AP284" s="695">
        <f t="shared" si="1005"/>
        <v>7352</v>
      </c>
      <c r="AQ284" s="695">
        <f t="shared" si="1005"/>
        <v>7531</v>
      </c>
      <c r="AR284" s="695">
        <f t="shared" si="1005"/>
        <v>7711</v>
      </c>
      <c r="AS284" s="695">
        <f t="shared" si="1005"/>
        <v>7891</v>
      </c>
      <c r="AT284" s="695">
        <f t="shared" si="1005"/>
        <v>8071</v>
      </c>
      <c r="AU284" s="695">
        <f t="shared" si="1005"/>
        <v>8251</v>
      </c>
      <c r="AV284" s="695">
        <f t="shared" si="1005"/>
        <v>8431</v>
      </c>
      <c r="AW284" s="695">
        <f t="shared" si="1005"/>
        <v>8611</v>
      </c>
      <c r="AX284" s="695">
        <f t="shared" si="1005"/>
        <v>8791</v>
      </c>
      <c r="AY284" s="695">
        <f t="shared" si="1005"/>
        <v>8970</v>
      </c>
      <c r="AZ284" s="695">
        <f t="shared" si="1005"/>
        <v>9150</v>
      </c>
      <c r="BA284" s="695">
        <f t="shared" si="1005"/>
        <v>9330</v>
      </c>
      <c r="BB284" s="695">
        <f t="shared" si="1005"/>
        <v>9510</v>
      </c>
      <c r="BC284" s="695">
        <f t="shared" si="1005"/>
        <v>9690</v>
      </c>
      <c r="BD284" s="695">
        <f t="shared" si="1005"/>
        <v>9870</v>
      </c>
      <c r="BE284" s="695">
        <f t="shared" si="1005"/>
        <v>10050</v>
      </c>
      <c r="BF284" s="695">
        <f t="shared" si="1005"/>
        <v>10230</v>
      </c>
      <c r="BG284" s="695">
        <f t="shared" si="1005"/>
        <v>10409</v>
      </c>
      <c r="BH284" s="695">
        <f t="shared" si="1005"/>
        <v>10589</v>
      </c>
      <c r="BI284" s="695">
        <f t="shared" si="1005"/>
        <v>10769</v>
      </c>
      <c r="BJ284" s="695">
        <f t="shared" si="1005"/>
        <v>10949</v>
      </c>
      <c r="BK284" s="695">
        <f t="shared" si="1005"/>
        <v>11129</v>
      </c>
      <c r="BL284" s="695">
        <f t="shared" si="1005"/>
        <v>11309</v>
      </c>
      <c r="BM284" s="695">
        <f t="shared" si="1005"/>
        <v>11489</v>
      </c>
      <c r="BN284" s="695">
        <f t="shared" si="1005"/>
        <v>11669</v>
      </c>
      <c r="BO284" s="695">
        <f t="shared" ref="BO284:CB284" si="1006">DAYS360($B$3,BO108)</f>
        <v>11849</v>
      </c>
      <c r="BP284" s="695">
        <f t="shared" si="1006"/>
        <v>12028</v>
      </c>
      <c r="BQ284" s="695">
        <f t="shared" si="1006"/>
        <v>12209</v>
      </c>
      <c r="BR284" s="695">
        <f t="shared" si="1006"/>
        <v>12388</v>
      </c>
      <c r="BS284" s="695">
        <f t="shared" si="1006"/>
        <v>12569</v>
      </c>
      <c r="BT284" s="695">
        <f t="shared" si="1006"/>
        <v>12748</v>
      </c>
      <c r="BU284" s="695">
        <f t="shared" si="1006"/>
        <v>12929</v>
      </c>
      <c r="BV284" s="695">
        <f t="shared" si="1006"/>
        <v>13108</v>
      </c>
      <c r="BW284" s="695">
        <f t="shared" si="1006"/>
        <v>13288</v>
      </c>
      <c r="BX284" s="695">
        <f t="shared" si="1006"/>
        <v>13467</v>
      </c>
      <c r="BY284" s="695">
        <f t="shared" si="1006"/>
        <v>13648</v>
      </c>
      <c r="BZ284" s="695">
        <f t="shared" si="1006"/>
        <v>13827</v>
      </c>
      <c r="CA284" s="695">
        <f t="shared" si="1006"/>
        <v>14008</v>
      </c>
      <c r="CB284" s="695">
        <f t="shared" si="1006"/>
        <v>14187</v>
      </c>
      <c r="CC284" s="19"/>
      <c r="CD284" s="19"/>
      <c r="CE284" s="19"/>
    </row>
    <row r="285" spans="1:83">
      <c r="A285" s="16" t="s">
        <v>41</v>
      </c>
      <c r="B285" s="233">
        <f>B284/360</f>
        <v>0.43611111111111112</v>
      </c>
      <c r="C285" s="233">
        <f t="shared" ref="C285:BN285" si="1007">C284/360</f>
        <v>0.93333333333333335</v>
      </c>
      <c r="D285" s="233">
        <f t="shared" si="1007"/>
        <v>1.4333333333333333</v>
      </c>
      <c r="E285" s="233">
        <f t="shared" si="1007"/>
        <v>1.9333333333333333</v>
      </c>
      <c r="F285" s="233">
        <f t="shared" si="1007"/>
        <v>2.4333333333333331</v>
      </c>
      <c r="G285" s="233">
        <f t="shared" si="1007"/>
        <v>2.9333333333333331</v>
      </c>
      <c r="H285" s="233">
        <f t="shared" si="1007"/>
        <v>3.4333333333333331</v>
      </c>
      <c r="I285" s="233">
        <f t="shared" si="1007"/>
        <v>3.9333333333333331</v>
      </c>
      <c r="J285" s="233">
        <f t="shared" si="1007"/>
        <v>4.4333333333333336</v>
      </c>
      <c r="K285" s="233">
        <f t="shared" si="1007"/>
        <v>4.9305555555555554</v>
      </c>
      <c r="L285" s="233">
        <f t="shared" si="1007"/>
        <v>5.4305555555555554</v>
      </c>
      <c r="M285" s="233">
        <f t="shared" si="1007"/>
        <v>5.9305555555555554</v>
      </c>
      <c r="N285" s="233">
        <f t="shared" si="1007"/>
        <v>6.4305555555555554</v>
      </c>
      <c r="O285" s="233">
        <f t="shared" si="1007"/>
        <v>6.9305555555555554</v>
      </c>
      <c r="P285" s="233">
        <f t="shared" si="1007"/>
        <v>7.4305555555555554</v>
      </c>
      <c r="Q285" s="233">
        <f t="shared" si="1007"/>
        <v>7.9305555555555554</v>
      </c>
      <c r="R285" s="233">
        <f t="shared" si="1007"/>
        <v>8.4305555555555554</v>
      </c>
      <c r="S285" s="233">
        <f t="shared" si="1007"/>
        <v>8.9277777777777771</v>
      </c>
      <c r="T285" s="233">
        <f t="shared" si="1007"/>
        <v>9.4277777777777771</v>
      </c>
      <c r="U285" s="233">
        <f t="shared" si="1007"/>
        <v>9.9277777777777771</v>
      </c>
      <c r="V285" s="233">
        <f t="shared" si="1007"/>
        <v>10.427777777777777</v>
      </c>
      <c r="W285" s="233">
        <f t="shared" si="1007"/>
        <v>10.927777777777777</v>
      </c>
      <c r="X285" s="233">
        <f t="shared" si="1007"/>
        <v>11.427777777777777</v>
      </c>
      <c r="Y285" s="233">
        <f t="shared" si="1007"/>
        <v>11.927777777777777</v>
      </c>
      <c r="Z285" s="233">
        <f t="shared" si="1007"/>
        <v>12.427777777777777</v>
      </c>
      <c r="AA285" s="233">
        <f t="shared" si="1007"/>
        <v>12.925000000000001</v>
      </c>
      <c r="AB285" s="233">
        <f t="shared" si="1007"/>
        <v>13.425000000000001</v>
      </c>
      <c r="AC285" s="233">
        <f t="shared" si="1007"/>
        <v>13.925000000000001</v>
      </c>
      <c r="AD285" s="233">
        <f t="shared" si="1007"/>
        <v>14.425000000000001</v>
      </c>
      <c r="AE285" s="233">
        <f t="shared" si="1007"/>
        <v>14.925000000000001</v>
      </c>
      <c r="AF285" s="233">
        <f t="shared" si="1007"/>
        <v>15.425000000000001</v>
      </c>
      <c r="AG285" s="233">
        <f t="shared" si="1007"/>
        <v>15.925000000000001</v>
      </c>
      <c r="AH285" s="233">
        <f t="shared" si="1007"/>
        <v>16.425000000000001</v>
      </c>
      <c r="AI285" s="233">
        <f t="shared" si="1007"/>
        <v>16.922222222222221</v>
      </c>
      <c r="AJ285" s="233">
        <f t="shared" si="1007"/>
        <v>17.422222222222221</v>
      </c>
      <c r="AK285" s="233">
        <f t="shared" si="1007"/>
        <v>17.922222222222221</v>
      </c>
      <c r="AL285" s="233">
        <f t="shared" si="1007"/>
        <v>18.422222222222221</v>
      </c>
      <c r="AM285" s="233">
        <f t="shared" si="1007"/>
        <v>18.922222222222221</v>
      </c>
      <c r="AN285" s="233">
        <f t="shared" si="1007"/>
        <v>19.422222222222221</v>
      </c>
      <c r="AO285" s="233">
        <f t="shared" si="1007"/>
        <v>19.922222222222221</v>
      </c>
      <c r="AP285" s="233">
        <f t="shared" si="1007"/>
        <v>20.422222222222221</v>
      </c>
      <c r="AQ285" s="233">
        <f t="shared" si="1007"/>
        <v>20.919444444444444</v>
      </c>
      <c r="AR285" s="233">
        <f t="shared" si="1007"/>
        <v>21.419444444444444</v>
      </c>
      <c r="AS285" s="233">
        <f t="shared" si="1007"/>
        <v>21.919444444444444</v>
      </c>
      <c r="AT285" s="233">
        <f t="shared" si="1007"/>
        <v>22.419444444444444</v>
      </c>
      <c r="AU285" s="233">
        <f t="shared" si="1007"/>
        <v>22.919444444444444</v>
      </c>
      <c r="AV285" s="233">
        <f t="shared" si="1007"/>
        <v>23.419444444444444</v>
      </c>
      <c r="AW285" s="233">
        <f t="shared" si="1007"/>
        <v>23.919444444444444</v>
      </c>
      <c r="AX285" s="233">
        <f t="shared" si="1007"/>
        <v>24.419444444444444</v>
      </c>
      <c r="AY285" s="233">
        <f t="shared" si="1007"/>
        <v>24.916666666666668</v>
      </c>
      <c r="AZ285" s="233">
        <f t="shared" si="1007"/>
        <v>25.416666666666668</v>
      </c>
      <c r="BA285" s="233">
        <f t="shared" si="1007"/>
        <v>25.916666666666668</v>
      </c>
      <c r="BB285" s="233">
        <f t="shared" si="1007"/>
        <v>26.416666666666668</v>
      </c>
      <c r="BC285" s="233">
        <f t="shared" si="1007"/>
        <v>26.916666666666668</v>
      </c>
      <c r="BD285" s="233">
        <f t="shared" si="1007"/>
        <v>27.416666666666668</v>
      </c>
      <c r="BE285" s="233">
        <f t="shared" si="1007"/>
        <v>27.916666666666668</v>
      </c>
      <c r="BF285" s="233">
        <f t="shared" si="1007"/>
        <v>28.416666666666668</v>
      </c>
      <c r="BG285" s="233">
        <f t="shared" si="1007"/>
        <v>28.913888888888888</v>
      </c>
      <c r="BH285" s="233">
        <f t="shared" si="1007"/>
        <v>29.413888888888888</v>
      </c>
      <c r="BI285" s="233">
        <f t="shared" si="1007"/>
        <v>29.913888888888888</v>
      </c>
      <c r="BJ285" s="233">
        <f t="shared" si="1007"/>
        <v>30.413888888888888</v>
      </c>
      <c r="BK285" s="233">
        <f t="shared" si="1007"/>
        <v>30.913888888888888</v>
      </c>
      <c r="BL285" s="233">
        <f t="shared" si="1007"/>
        <v>31.413888888888888</v>
      </c>
      <c r="BM285" s="233">
        <f t="shared" si="1007"/>
        <v>31.913888888888888</v>
      </c>
      <c r="BN285" s="233">
        <f t="shared" si="1007"/>
        <v>32.413888888888891</v>
      </c>
      <c r="BO285" s="233">
        <f t="shared" ref="BO285:CB285" si="1008">BO284/360</f>
        <v>32.913888888888891</v>
      </c>
      <c r="BP285" s="233">
        <f t="shared" si="1008"/>
        <v>33.411111111111111</v>
      </c>
      <c r="BQ285" s="233">
        <f t="shared" si="1008"/>
        <v>33.913888888888891</v>
      </c>
      <c r="BR285" s="233">
        <f t="shared" si="1008"/>
        <v>34.411111111111111</v>
      </c>
      <c r="BS285" s="233">
        <f t="shared" si="1008"/>
        <v>34.913888888888891</v>
      </c>
      <c r="BT285" s="233">
        <f t="shared" si="1008"/>
        <v>35.411111111111111</v>
      </c>
      <c r="BU285" s="233">
        <f t="shared" si="1008"/>
        <v>35.913888888888891</v>
      </c>
      <c r="BV285" s="233">
        <f t="shared" si="1008"/>
        <v>36.411111111111111</v>
      </c>
      <c r="BW285" s="233">
        <f t="shared" si="1008"/>
        <v>36.911111111111111</v>
      </c>
      <c r="BX285" s="233">
        <f t="shared" si="1008"/>
        <v>37.408333333333331</v>
      </c>
      <c r="BY285" s="233">
        <f t="shared" si="1008"/>
        <v>37.911111111111111</v>
      </c>
      <c r="BZ285" s="233">
        <f t="shared" si="1008"/>
        <v>38.408333333333331</v>
      </c>
      <c r="CA285" s="233">
        <f t="shared" si="1008"/>
        <v>38.911111111111111</v>
      </c>
      <c r="CB285" s="233">
        <f t="shared" si="1008"/>
        <v>39.408333333333331</v>
      </c>
      <c r="CC285" s="19"/>
      <c r="CD285" s="19"/>
      <c r="CE285" s="19"/>
    </row>
    <row r="286" spans="1:83">
      <c r="A286" s="16" t="s">
        <v>43</v>
      </c>
      <c r="B286" s="233">
        <f>IF(B284&lt;0,0,$B$5+$B$6*((1-EXP(-B285/$B$9))/(B285/$B$9))+$B$7*((1-EXP(-B285/$B$9))/(B285/$B$9)-EXP(-B285/$B$9))+$B$8*((1-EXP(-B285/$B$10))/(B285/$B$10)-EXP(-B285/$B$10)))</f>
        <v>1.8820106631771458E-2</v>
      </c>
      <c r="C286" s="233">
        <f t="shared" ref="C286:BN286" si="1009">IF(C284&lt;0,0,$B$5+$B$6*((1-EXP(-C285/$B$9))/(C285/$B$9))+$B$7*((1-EXP(-C285/$B$9))/(C285/$B$9)-EXP(-C285/$B$9))+$B$8*((1-EXP(-C285/$B$10))/(C285/$B$10)-EXP(-C285/$B$10)))</f>
        <v>1.7942141184005583E-2</v>
      </c>
      <c r="D286" s="233">
        <f t="shared" si="1009"/>
        <v>1.7170768010294234E-2</v>
      </c>
      <c r="E286" s="233">
        <f t="shared" si="1009"/>
        <v>1.650325069894705E-2</v>
      </c>
      <c r="F286" s="233">
        <f t="shared" si="1009"/>
        <v>1.5932102576684308E-2</v>
      </c>
      <c r="G286" s="233">
        <f t="shared" si="1009"/>
        <v>1.5450290819918978E-2</v>
      </c>
      <c r="H286" s="233">
        <f t="shared" si="1009"/>
        <v>1.5051211123046075E-2</v>
      </c>
      <c r="I286" s="233">
        <f t="shared" si="1009"/>
        <v>1.4728663713920405E-2</v>
      </c>
      <c r="J286" s="233">
        <f t="shared" si="1009"/>
        <v>1.4476830647108335E-2</v>
      </c>
      <c r="K286" s="233">
        <f t="shared" si="1009"/>
        <v>1.4291120132358809E-2</v>
      </c>
      <c r="L286" s="233">
        <f t="shared" si="1009"/>
        <v>1.4164362328443744E-2</v>
      </c>
      <c r="M286" s="233">
        <f t="shared" si="1009"/>
        <v>1.4092972526124931E-2</v>
      </c>
      <c r="N286" s="233">
        <f t="shared" si="1009"/>
        <v>1.4072454704225468E-2</v>
      </c>
      <c r="O286" s="233">
        <f t="shared" si="1009"/>
        <v>1.4098598200123283E-2</v>
      </c>
      <c r="P286" s="233">
        <f t="shared" si="1009"/>
        <v>1.4167461391088529E-2</v>
      </c>
      <c r="Q286" s="233">
        <f t="shared" si="1009"/>
        <v>1.4275356256550242E-2</v>
      </c>
      <c r="R286" s="233">
        <f t="shared" si="1009"/>
        <v>1.441883377544026E-2</v>
      </c>
      <c r="S286" s="233">
        <f t="shared" si="1009"/>
        <v>1.4593609485581346E-2</v>
      </c>
      <c r="T286" s="233">
        <f t="shared" si="1009"/>
        <v>1.4798637848303001E-2</v>
      </c>
      <c r="U286" s="233">
        <f t="shared" si="1009"/>
        <v>1.5030216490925716E-2</v>
      </c>
      <c r="V286" s="233">
        <f t="shared" si="1009"/>
        <v>1.5285720573751174E-2</v>
      </c>
      <c r="W286" s="233">
        <f t="shared" si="1009"/>
        <v>1.5562702380851223E-2</v>
      </c>
      <c r="X286" s="233">
        <f t="shared" si="1009"/>
        <v>1.5858880884246765E-2</v>
      </c>
      <c r="Y286" s="233">
        <f t="shared" si="1009"/>
        <v>1.6172131881431726E-2</v>
      </c>
      <c r="Z286" s="233">
        <f t="shared" si="1009"/>
        <v>1.6500478676053268E-2</v>
      </c>
      <c r="AA286" s="233">
        <f t="shared" si="1009"/>
        <v>1.6840152041074544E-2</v>
      </c>
      <c r="AB286" s="233">
        <f t="shared" si="1009"/>
        <v>1.719324715019116E-2</v>
      </c>
      <c r="AC286" s="233">
        <f t="shared" si="1009"/>
        <v>1.7556315848817283E-2</v>
      </c>
      <c r="AD286" s="233">
        <f t="shared" si="1009"/>
        <v>1.7927887543162394E-2</v>
      </c>
      <c r="AE286" s="233">
        <f t="shared" si="1009"/>
        <v>1.8306599781475502E-2</v>
      </c>
      <c r="AF286" s="233">
        <f t="shared" si="1009"/>
        <v>1.8691191638893601E-2</v>
      </c>
      <c r="AG286" s="233">
        <f t="shared" si="1009"/>
        <v>1.9080497473419222E-2</v>
      </c>
      <c r="AH286" s="233">
        <f t="shared" si="1009"/>
        <v>1.9473441033223154E-2</v>
      </c>
      <c r="AI286" s="233">
        <f t="shared" si="1009"/>
        <v>1.9866826586443245E-2</v>
      </c>
      <c r="AJ286" s="233">
        <f t="shared" si="1009"/>
        <v>2.026413968361232E-2</v>
      </c>
      <c r="AK286" s="233">
        <f t="shared" si="1009"/>
        <v>2.0662348519931664E-2</v>
      </c>
      <c r="AL286" s="233">
        <f t="shared" si="1009"/>
        <v>2.1060681495766703E-2</v>
      </c>
      <c r="AM286" s="233">
        <f t="shared" si="1009"/>
        <v>2.145843160746369E-2</v>
      </c>
      <c r="AN286" s="233">
        <f t="shared" si="1009"/>
        <v>2.1854952299189767E-2</v>
      </c>
      <c r="AO286" s="233">
        <f t="shared" si="1009"/>
        <v>2.2249653553472123E-2</v>
      </c>
      <c r="AP286" s="233">
        <f t="shared" si="1009"/>
        <v>2.264199820750136E-2</v>
      </c>
      <c r="AQ286" s="233">
        <f t="shared" si="1009"/>
        <v>2.3029343281188386E-2</v>
      </c>
      <c r="AR286" s="233">
        <f t="shared" si="1009"/>
        <v>2.3415576911254246E-2</v>
      </c>
      <c r="AS286" s="233">
        <f t="shared" si="1009"/>
        <v>2.3798127978188297E-2</v>
      </c>
      <c r="AT286" s="233">
        <f t="shared" si="1009"/>
        <v>2.4176637784944568E-2</v>
      </c>
      <c r="AU286" s="233">
        <f t="shared" si="1009"/>
        <v>2.4550785064454045E-2</v>
      </c>
      <c r="AV286" s="233">
        <f t="shared" si="1009"/>
        <v>2.4920283413493408E-2</v>
      </c>
      <c r="AW286" s="233">
        <f t="shared" si="1009"/>
        <v>2.5284878878912898E-2</v>
      </c>
      <c r="AX286" s="233">
        <f t="shared" si="1009"/>
        <v>2.5644347687813929E-2</v>
      </c>
      <c r="AY286" s="233">
        <f t="shared" si="1009"/>
        <v>2.5996541658939401E-2</v>
      </c>
      <c r="AZ286" s="233">
        <f t="shared" si="1009"/>
        <v>2.6345226951393491E-2</v>
      </c>
      <c r="BA286" s="233">
        <f t="shared" si="1009"/>
        <v>2.6688275391907212E-2</v>
      </c>
      <c r="BB286" s="233">
        <f t="shared" si="1009"/>
        <v>2.702556371962006E-2</v>
      </c>
      <c r="BC286" s="233">
        <f t="shared" si="1009"/>
        <v>2.7356989408547541E-2</v>
      </c>
      <c r="BD286" s="233">
        <f t="shared" si="1009"/>
        <v>2.7682469107664615E-2</v>
      </c>
      <c r="BE286" s="233">
        <f t="shared" si="1009"/>
        <v>2.8001937177345768E-2</v>
      </c>
      <c r="BF286" s="233">
        <f t="shared" si="1009"/>
        <v>2.8315344316725582E-2</v>
      </c>
      <c r="BG286" s="233">
        <f t="shared" si="1009"/>
        <v>2.8620965868703857E-2</v>
      </c>
      <c r="BH286" s="233">
        <f t="shared" si="1009"/>
        <v>2.8922196254487761E-2</v>
      </c>
      <c r="BI286" s="233">
        <f t="shared" si="1009"/>
        <v>2.9217303380804097E-2</v>
      </c>
      <c r="BJ286" s="233">
        <f t="shared" si="1009"/>
        <v>2.9506291157535253E-2</v>
      </c>
      <c r="BK286" s="233">
        <f t="shared" si="1009"/>
        <v>2.9789174168581331E-2</v>
      </c>
      <c r="BL286" s="233">
        <f t="shared" si="1009"/>
        <v>3.0065976745546924E-2</v>
      </c>
      <c r="BM286" s="233">
        <f t="shared" si="1009"/>
        <v>3.0336732101679073E-2</v>
      </c>
      <c r="BN286" s="233">
        <f t="shared" si="1009"/>
        <v>3.0601481522565394E-2</v>
      </c>
      <c r="BO286" s="233">
        <f t="shared" ref="BO286:CB286" si="1010">IF(BO284&lt;0,0,$B$5+$B$6*((1-EXP(-BO285/$B$9))/(BO285/$B$9))+$B$7*((1-EXP(-BO285/$B$9))/(BO285/$B$9)-EXP(-BO285/$B$9))+$B$8*((1-EXP(-BO285/$B$10))/(BO285/$B$10)-EXP(-BO285/$B$10)))</f>
        <v>3.0860273610292505E-2</v>
      </c>
      <c r="BP286" s="233">
        <f t="shared" si="1010"/>
        <v>3.1111774827622923E-2</v>
      </c>
      <c r="BQ286" s="233">
        <f t="shared" si="1010"/>
        <v>3.1360212591496128E-2</v>
      </c>
      <c r="BR286" s="233">
        <f t="shared" si="1010"/>
        <v>3.1600162564233022E-2</v>
      </c>
      <c r="BS286" s="233">
        <f t="shared" si="1010"/>
        <v>3.1837058545541419E-2</v>
      </c>
      <c r="BT286" s="233">
        <f t="shared" si="1010"/>
        <v>3.2065740204691412E-2</v>
      </c>
      <c r="BU286" s="233">
        <f t="shared" si="1010"/>
        <v>3.2291397574078839E-2</v>
      </c>
      <c r="BV286" s="233">
        <f t="shared" si="1010"/>
        <v>3.2509125662314828E-2</v>
      </c>
      <c r="BW286" s="233">
        <f t="shared" si="1010"/>
        <v>3.272270423120037E-2</v>
      </c>
      <c r="BX286" s="233">
        <f t="shared" si="1010"/>
        <v>3.2929846961440648E-2</v>
      </c>
      <c r="BY286" s="233">
        <f t="shared" si="1010"/>
        <v>3.3134071825251785E-2</v>
      </c>
      <c r="BZ286" s="233">
        <f t="shared" si="1010"/>
        <v>3.3330956555237351E-2</v>
      </c>
      <c r="CA286" s="233">
        <f t="shared" si="1010"/>
        <v>3.3524994605140204E-2</v>
      </c>
      <c r="CB286" s="233">
        <f t="shared" si="1010"/>
        <v>3.3711991394750465E-2</v>
      </c>
      <c r="CC286" s="19"/>
      <c r="CD286" s="19"/>
      <c r="CE286" s="19"/>
    </row>
    <row r="287" spans="1:83">
      <c r="A287" s="16" t="s">
        <v>44</v>
      </c>
      <c r="B287" s="233">
        <f>EXP(-B286*B285)</f>
        <v>0.99182593324376889</v>
      </c>
      <c r="C287" s="233">
        <f t="shared" ref="C287:BN287" si="1011">EXP(-C286*C285)</f>
        <v>0.98339343638340326</v>
      </c>
      <c r="D287" s="233">
        <f t="shared" si="1011"/>
        <v>0.97568895779252884</v>
      </c>
      <c r="E287" s="233">
        <f t="shared" si="1011"/>
        <v>0.9685973502320907</v>
      </c>
      <c r="F287" s="233">
        <f t="shared" si="1011"/>
        <v>0.96197374934689672</v>
      </c>
      <c r="G287" s="233">
        <f t="shared" si="1011"/>
        <v>0.95569079630758413</v>
      </c>
      <c r="H287" s="233">
        <f t="shared" si="1011"/>
        <v>0.94963666555284976</v>
      </c>
      <c r="I287" s="233">
        <f t="shared" si="1011"/>
        <v>0.94371341574723233</v>
      </c>
      <c r="J287" s="233">
        <f t="shared" si="1011"/>
        <v>0.93783559624167812</v>
      </c>
      <c r="K287" s="233">
        <f t="shared" si="1011"/>
        <v>0.93196207073241755</v>
      </c>
      <c r="L287" s="233">
        <f t="shared" si="1011"/>
        <v>0.92596359762048708</v>
      </c>
      <c r="M287" s="233">
        <f t="shared" si="1011"/>
        <v>0.91981827418589057</v>
      </c>
      <c r="N287" s="233">
        <f t="shared" si="1011"/>
        <v>0.91348008718270435</v>
      </c>
      <c r="O287" s="233">
        <f t="shared" si="1011"/>
        <v>0.90691085606354604</v>
      </c>
      <c r="P287" s="233">
        <f t="shared" si="1011"/>
        <v>0.90007956955632862</v>
      </c>
      <c r="Q287" s="233">
        <f t="shared" si="1011"/>
        <v>0.89296177348648442</v>
      </c>
      <c r="R287" s="233">
        <f t="shared" si="1011"/>
        <v>0.88553900055375534</v>
      </c>
      <c r="S287" s="233">
        <f t="shared" si="1011"/>
        <v>0.87784213476608342</v>
      </c>
      <c r="T287" s="233">
        <f t="shared" si="1011"/>
        <v>0.86977713305939419</v>
      </c>
      <c r="U287" s="233">
        <f t="shared" si="1011"/>
        <v>0.86138247679412061</v>
      </c>
      <c r="V287" s="233">
        <f t="shared" si="1011"/>
        <v>0.85265855630632525</v>
      </c>
      <c r="W287" s="233">
        <f t="shared" si="1011"/>
        <v>0.84360934472527371</v>
      </c>
      <c r="X287" s="233">
        <f t="shared" si="1011"/>
        <v>0.83424198690141294</v>
      </c>
      <c r="Y287" s="233">
        <f t="shared" si="1011"/>
        <v>0.82456640931244662</v>
      </c>
      <c r="Z287" s="233">
        <f t="shared" si="1011"/>
        <v>0.81459495076224908</v>
      </c>
      <c r="AA287" s="233">
        <f t="shared" si="1011"/>
        <v>0.804399723248441</v>
      </c>
      <c r="AB287" s="233">
        <f t="shared" si="1011"/>
        <v>0.79388287358625043</v>
      </c>
      <c r="AC287" s="233">
        <f t="shared" si="1011"/>
        <v>0.78311815170912535</v>
      </c>
      <c r="AD287" s="233">
        <f t="shared" si="1011"/>
        <v>0.77212426428564329</v>
      </c>
      <c r="AE287" s="233">
        <f t="shared" si="1011"/>
        <v>0.76092079877137608</v>
      </c>
      <c r="AF287" s="233">
        <f t="shared" si="1011"/>
        <v>0.74952797966420126</v>
      </c>
      <c r="AG287" s="233">
        <f t="shared" si="1011"/>
        <v>0.73796644546552059</v>
      </c>
      <c r="AH287" s="233">
        <f t="shared" si="1011"/>
        <v>0.72625704599934737</v>
      </c>
      <c r="AI287" s="233">
        <f t="shared" si="1011"/>
        <v>0.7144867299048383</v>
      </c>
      <c r="AJ287" s="233">
        <f t="shared" si="1011"/>
        <v>0.70254463339542705</v>
      </c>
      <c r="AK287" s="233">
        <f t="shared" si="1011"/>
        <v>0.69051664423740478</v>
      </c>
      <c r="AL287" s="233">
        <f t="shared" si="1011"/>
        <v>0.67842282164994583</v>
      </c>
      <c r="AM287" s="233">
        <f t="shared" si="1011"/>
        <v>0.66628270840468484</v>
      </c>
      <c r="AN287" s="233">
        <f t="shared" si="1011"/>
        <v>0.65411523665468163</v>
      </c>
      <c r="AO287" s="233">
        <f t="shared" si="1011"/>
        <v>0.64193864881005802</v>
      </c>
      <c r="AP287" s="233">
        <f t="shared" si="1011"/>
        <v>0.62977043244468189</v>
      </c>
      <c r="AQ287" s="233">
        <f t="shared" si="1011"/>
        <v>0.61769463154162119</v>
      </c>
      <c r="AR287" s="233">
        <f t="shared" si="1011"/>
        <v>0.60559208369315642</v>
      </c>
      <c r="AS287" s="233">
        <f t="shared" si="1011"/>
        <v>0.59354529814280343</v>
      </c>
      <c r="AT287" s="233">
        <f t="shared" si="1011"/>
        <v>0.58156834151790249</v>
      </c>
      <c r="AU287" s="233">
        <f t="shared" si="1011"/>
        <v>0.56967437441272017</v>
      </c>
      <c r="AV287" s="233">
        <f t="shared" si="1011"/>
        <v>0.55787564885953689</v>
      </c>
      <c r="AW287" s="233">
        <f t="shared" si="1011"/>
        <v>0.54618351282707456</v>
      </c>
      <c r="AX287" s="233">
        <f t="shared" si="1011"/>
        <v>0.53460842087207061</v>
      </c>
      <c r="AY287" s="233">
        <f t="shared" si="1011"/>
        <v>0.52322318655980671</v>
      </c>
      <c r="AZ287" s="233">
        <f t="shared" si="1011"/>
        <v>0.51190928279550463</v>
      </c>
      <c r="BA287" s="233">
        <f t="shared" si="1011"/>
        <v>0.50073856660389948</v>
      </c>
      <c r="BB287" s="233">
        <f t="shared" si="1011"/>
        <v>0.48971812511862939</v>
      </c>
      <c r="BC287" s="233">
        <f t="shared" si="1011"/>
        <v>0.47885427045175583</v>
      </c>
      <c r="BD287" s="233">
        <f t="shared" si="1011"/>
        <v>0.46815257181816167</v>
      </c>
      <c r="BE287" s="233">
        <f t="shared" si="1011"/>
        <v>0.45761788917634566</v>
      </c>
      <c r="BF287" s="233">
        <f t="shared" si="1011"/>
        <v>0.44725440793570098</v>
      </c>
      <c r="BG287" s="233">
        <f t="shared" si="1011"/>
        <v>0.43712179001853735</v>
      </c>
      <c r="BH287" s="233">
        <f t="shared" si="1011"/>
        <v>0.42710975254801253</v>
      </c>
      <c r="BI287" s="233">
        <f t="shared" si="1011"/>
        <v>0.41727776869195427</v>
      </c>
      <c r="BJ287" s="233">
        <f t="shared" si="1011"/>
        <v>0.40762768384614595</v>
      </c>
      <c r="BK287" s="233">
        <f t="shared" si="1011"/>
        <v>0.39816084572959032</v>
      </c>
      <c r="BL287" s="233">
        <f t="shared" si="1011"/>
        <v>0.38887813860093895</v>
      </c>
      <c r="BM287" s="233">
        <f t="shared" si="1011"/>
        <v>0.37978001661153643</v>
      </c>
      <c r="BN287" s="233">
        <f t="shared" si="1011"/>
        <v>0.37086653615916682</v>
      </c>
      <c r="BO287" s="233">
        <f t="shared" ref="BO287:CB287" si="1012">EXP(-BO286*BO285)</f>
        <v>0.36213738713302623</v>
      </c>
      <c r="BP287" s="233">
        <f t="shared" si="1012"/>
        <v>0.35363889198217618</v>
      </c>
      <c r="BQ287" s="233">
        <f t="shared" si="1012"/>
        <v>0.34522918941737313</v>
      </c>
      <c r="BR287" s="233">
        <f t="shared" si="1012"/>
        <v>0.33709290466413178</v>
      </c>
      <c r="BS287" s="233">
        <f t="shared" si="1012"/>
        <v>0.3290467225045598</v>
      </c>
      <c r="BT287" s="233">
        <f t="shared" si="1012"/>
        <v>0.32126675475660577</v>
      </c>
      <c r="BU287" s="233">
        <f t="shared" si="1012"/>
        <v>0.31357721025026908</v>
      </c>
      <c r="BV287" s="233">
        <f t="shared" si="1012"/>
        <v>0.30614593265360668</v>
      </c>
      <c r="BW287" s="233">
        <f t="shared" si="1012"/>
        <v>0.29884466018933475</v>
      </c>
      <c r="BX287" s="233">
        <f t="shared" si="1012"/>
        <v>0.29175213447013526</v>
      </c>
      <c r="BY287" s="233">
        <f t="shared" si="1012"/>
        <v>0.2847483479206554</v>
      </c>
      <c r="BZ287" s="233">
        <f t="shared" si="1012"/>
        <v>0.27798545419710119</v>
      </c>
      <c r="CA287" s="233">
        <f t="shared" si="1012"/>
        <v>0.27130956871280282</v>
      </c>
      <c r="CB287" s="233">
        <f t="shared" si="1012"/>
        <v>0.26486542975677774</v>
      </c>
      <c r="CC287" s="19"/>
      <c r="CD287" s="19"/>
      <c r="CE287" s="19"/>
    </row>
    <row r="288" spans="1:83">
      <c r="A288" s="17"/>
      <c r="B288" s="5"/>
      <c r="C288" s="5"/>
      <c r="D288" s="5"/>
      <c r="E288" s="5"/>
      <c r="F288" s="5"/>
      <c r="G288" s="5"/>
      <c r="H288" s="5"/>
      <c r="I288" s="5"/>
      <c r="J288" s="5"/>
      <c r="K288" s="5"/>
      <c r="L288" s="5"/>
      <c r="M288" s="5"/>
      <c r="N288" s="5"/>
      <c r="O288" s="5"/>
      <c r="P288" s="5"/>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c r="AQ288" s="5"/>
      <c r="AR288" s="5"/>
      <c r="AS288" s="5"/>
      <c r="AT288" s="5"/>
      <c r="AU288" s="5"/>
      <c r="AV288" s="5"/>
      <c r="AW288" s="5"/>
      <c r="AX288" s="5"/>
      <c r="AY288" s="5"/>
      <c r="AZ288" s="5"/>
      <c r="BA288" s="5"/>
      <c r="BB288" s="5"/>
      <c r="BC288" s="5"/>
      <c r="BD288" s="5"/>
      <c r="BE288" s="5"/>
      <c r="BF288" s="5"/>
      <c r="BG288" s="5"/>
      <c r="BH288" s="5"/>
      <c r="BI288" s="5"/>
      <c r="BJ288" s="5"/>
      <c r="BK288" s="5"/>
      <c r="BL288" s="5"/>
      <c r="BM288" s="5"/>
      <c r="BN288" s="5"/>
      <c r="BO288" s="5"/>
      <c r="BP288" s="5"/>
      <c r="BQ288" s="5"/>
      <c r="BR288" s="5"/>
      <c r="BS288" s="5"/>
      <c r="BT288" s="5"/>
      <c r="BU288" s="5"/>
      <c r="BV288" s="5"/>
      <c r="BW288" s="5"/>
      <c r="BX288" s="5"/>
      <c r="BY288" s="5"/>
      <c r="BZ288" s="5"/>
      <c r="CA288" s="5"/>
      <c r="CB288" s="5"/>
      <c r="CC288" s="19"/>
      <c r="CD288" s="19"/>
      <c r="CE288" s="19"/>
    </row>
    <row r="289" spans="1:134">
      <c r="A289" s="16" t="s">
        <v>40</v>
      </c>
      <c r="B289" s="695">
        <f>DAYS360($B$3,B110)</f>
        <v>171</v>
      </c>
      <c r="C289" s="695">
        <f t="shared" ref="C289:BN289" si="1013">DAYS360($B$3,C110)</f>
        <v>350</v>
      </c>
      <c r="D289" s="695">
        <f t="shared" si="1013"/>
        <v>530</v>
      </c>
      <c r="E289" s="695">
        <f t="shared" si="1013"/>
        <v>710</v>
      </c>
      <c r="F289" s="695">
        <f t="shared" si="1013"/>
        <v>890</v>
      </c>
      <c r="G289" s="695">
        <f t="shared" si="1013"/>
        <v>1070</v>
      </c>
      <c r="H289" s="695">
        <f t="shared" si="1013"/>
        <v>1250</v>
      </c>
      <c r="I289" s="695">
        <f t="shared" si="1013"/>
        <v>1430</v>
      </c>
      <c r="J289" s="695">
        <f t="shared" si="1013"/>
        <v>1610</v>
      </c>
      <c r="K289" s="695">
        <f t="shared" si="1013"/>
        <v>1789</v>
      </c>
      <c r="L289" s="695">
        <f t="shared" si="1013"/>
        <v>1969</v>
      </c>
      <c r="M289" s="695">
        <f t="shared" si="1013"/>
        <v>2149</v>
      </c>
      <c r="N289" s="695">
        <f t="shared" si="1013"/>
        <v>2329</v>
      </c>
      <c r="O289" s="695">
        <f t="shared" si="1013"/>
        <v>2509</v>
      </c>
      <c r="P289" s="695">
        <f t="shared" si="1013"/>
        <v>2689</v>
      </c>
      <c r="Q289" s="695">
        <f t="shared" si="1013"/>
        <v>2869</v>
      </c>
      <c r="R289" s="695">
        <f t="shared" si="1013"/>
        <v>3049</v>
      </c>
      <c r="S289" s="695">
        <f t="shared" si="1013"/>
        <v>3228</v>
      </c>
      <c r="T289" s="695">
        <f t="shared" si="1013"/>
        <v>3408</v>
      </c>
      <c r="U289" s="695">
        <f t="shared" si="1013"/>
        <v>3588</v>
      </c>
      <c r="V289" s="695">
        <f t="shared" si="1013"/>
        <v>3768</v>
      </c>
      <c r="W289" s="695">
        <f t="shared" si="1013"/>
        <v>3948</v>
      </c>
      <c r="X289" s="695">
        <f t="shared" si="1013"/>
        <v>4128</v>
      </c>
      <c r="Y289" s="695">
        <f t="shared" si="1013"/>
        <v>4308</v>
      </c>
      <c r="Z289" s="695">
        <f t="shared" si="1013"/>
        <v>4488</v>
      </c>
      <c r="AA289" s="695">
        <f t="shared" si="1013"/>
        <v>4667</v>
      </c>
      <c r="AB289" s="695">
        <f t="shared" si="1013"/>
        <v>4847</v>
      </c>
      <c r="AC289" s="695">
        <f t="shared" si="1013"/>
        <v>5027</v>
      </c>
      <c r="AD289" s="695">
        <f t="shared" si="1013"/>
        <v>5207</v>
      </c>
      <c r="AE289" s="695">
        <f t="shared" si="1013"/>
        <v>5387</v>
      </c>
      <c r="AF289" s="695">
        <f t="shared" si="1013"/>
        <v>5567</v>
      </c>
      <c r="AG289" s="695">
        <f t="shared" si="1013"/>
        <v>5747</v>
      </c>
      <c r="AH289" s="695">
        <f t="shared" si="1013"/>
        <v>5927</v>
      </c>
      <c r="AI289" s="695">
        <f t="shared" si="1013"/>
        <v>6106</v>
      </c>
      <c r="AJ289" s="695">
        <f t="shared" si="1013"/>
        <v>6286</v>
      </c>
      <c r="AK289" s="695">
        <f t="shared" si="1013"/>
        <v>6466</v>
      </c>
      <c r="AL289" s="695">
        <f t="shared" si="1013"/>
        <v>6646</v>
      </c>
      <c r="AM289" s="695">
        <f t="shared" si="1013"/>
        <v>6826</v>
      </c>
      <c r="AN289" s="695">
        <f t="shared" si="1013"/>
        <v>7006</v>
      </c>
      <c r="AO289" s="695">
        <f t="shared" si="1013"/>
        <v>7186</v>
      </c>
      <c r="AP289" s="695">
        <f t="shared" si="1013"/>
        <v>7366</v>
      </c>
      <c r="AQ289" s="695">
        <f t="shared" si="1013"/>
        <v>7545</v>
      </c>
      <c r="AR289" s="695">
        <f t="shared" si="1013"/>
        <v>7725</v>
      </c>
      <c r="AS289" s="695">
        <f t="shared" si="1013"/>
        <v>7905</v>
      </c>
      <c r="AT289" s="695">
        <f t="shared" si="1013"/>
        <v>8085</v>
      </c>
      <c r="AU289" s="695">
        <f t="shared" si="1013"/>
        <v>8265</v>
      </c>
      <c r="AV289" s="695">
        <f t="shared" si="1013"/>
        <v>8445</v>
      </c>
      <c r="AW289" s="695">
        <f t="shared" si="1013"/>
        <v>8625</v>
      </c>
      <c r="AX289" s="695">
        <f t="shared" si="1013"/>
        <v>8805</v>
      </c>
      <c r="AY289" s="695">
        <f t="shared" si="1013"/>
        <v>8984</v>
      </c>
      <c r="AZ289" s="695">
        <f t="shared" si="1013"/>
        <v>9164</v>
      </c>
      <c r="BA289" s="695">
        <f t="shared" si="1013"/>
        <v>9344</v>
      </c>
      <c r="BB289" s="695">
        <f t="shared" si="1013"/>
        <v>9524</v>
      </c>
      <c r="BC289" s="695">
        <f t="shared" si="1013"/>
        <v>9704</v>
      </c>
      <c r="BD289" s="695">
        <f t="shared" si="1013"/>
        <v>9884</v>
      </c>
      <c r="BE289" s="695">
        <f t="shared" si="1013"/>
        <v>10064</v>
      </c>
      <c r="BF289" s="695">
        <f t="shared" si="1013"/>
        <v>10244</v>
      </c>
      <c r="BG289" s="695">
        <f t="shared" si="1013"/>
        <v>10423</v>
      </c>
      <c r="BH289" s="695">
        <f t="shared" si="1013"/>
        <v>10603</v>
      </c>
      <c r="BI289" s="695">
        <f t="shared" si="1013"/>
        <v>10783</v>
      </c>
      <c r="BJ289" s="695">
        <f t="shared" si="1013"/>
        <v>10963</v>
      </c>
      <c r="BK289" s="695">
        <f t="shared" si="1013"/>
        <v>11143</v>
      </c>
      <c r="BL289" s="695">
        <f t="shared" si="1013"/>
        <v>11323</v>
      </c>
      <c r="BM289" s="695">
        <f t="shared" si="1013"/>
        <v>11503</v>
      </c>
      <c r="BN289" s="695">
        <f t="shared" si="1013"/>
        <v>11683</v>
      </c>
      <c r="BO289" s="695">
        <f t="shared" ref="BO289:CB289" si="1014">DAYS360($B$3,BO110)</f>
        <v>11862</v>
      </c>
      <c r="BP289" s="695">
        <f t="shared" si="1014"/>
        <v>12042</v>
      </c>
      <c r="BQ289" s="695">
        <f t="shared" si="1014"/>
        <v>12222</v>
      </c>
      <c r="BR289" s="695">
        <f t="shared" si="1014"/>
        <v>12402</v>
      </c>
      <c r="BS289" s="695">
        <f t="shared" si="1014"/>
        <v>12582</v>
      </c>
      <c r="BT289" s="695">
        <f t="shared" si="1014"/>
        <v>12762</v>
      </c>
      <c r="BU289" s="695">
        <f t="shared" si="1014"/>
        <v>12942</v>
      </c>
      <c r="BV289" s="695">
        <f t="shared" si="1014"/>
        <v>13122</v>
      </c>
      <c r="BW289" s="695">
        <f t="shared" si="1014"/>
        <v>13301</v>
      </c>
      <c r="BX289" s="695">
        <f t="shared" si="1014"/>
        <v>13481</v>
      </c>
      <c r="BY289" s="695">
        <f t="shared" si="1014"/>
        <v>13661</v>
      </c>
      <c r="BZ289" s="695">
        <f t="shared" si="1014"/>
        <v>13841</v>
      </c>
      <c r="CA289" s="695">
        <f t="shared" si="1014"/>
        <v>14021</v>
      </c>
      <c r="CB289" s="695">
        <f t="shared" si="1014"/>
        <v>14201</v>
      </c>
      <c r="CC289" s="19"/>
      <c r="CD289" s="19"/>
      <c r="CE289" s="19"/>
    </row>
    <row r="290" spans="1:134">
      <c r="A290" s="16" t="s">
        <v>41</v>
      </c>
      <c r="B290" s="233">
        <f>B289/360</f>
        <v>0.47499999999999998</v>
      </c>
      <c r="C290" s="233">
        <f t="shared" ref="C290:BN290" si="1015">C289/360</f>
        <v>0.97222222222222221</v>
      </c>
      <c r="D290" s="233">
        <f t="shared" si="1015"/>
        <v>1.4722222222222223</v>
      </c>
      <c r="E290" s="233">
        <f t="shared" si="1015"/>
        <v>1.9722222222222223</v>
      </c>
      <c r="F290" s="233">
        <f t="shared" si="1015"/>
        <v>2.4722222222222223</v>
      </c>
      <c r="G290" s="233">
        <f t="shared" si="1015"/>
        <v>2.9722222222222223</v>
      </c>
      <c r="H290" s="233">
        <f t="shared" si="1015"/>
        <v>3.4722222222222223</v>
      </c>
      <c r="I290" s="233">
        <f t="shared" si="1015"/>
        <v>3.9722222222222223</v>
      </c>
      <c r="J290" s="233">
        <f t="shared" si="1015"/>
        <v>4.4722222222222223</v>
      </c>
      <c r="K290" s="233">
        <f t="shared" si="1015"/>
        <v>4.9694444444444441</v>
      </c>
      <c r="L290" s="233">
        <f t="shared" si="1015"/>
        <v>5.4694444444444441</v>
      </c>
      <c r="M290" s="233">
        <f t="shared" si="1015"/>
        <v>5.9694444444444441</v>
      </c>
      <c r="N290" s="233">
        <f t="shared" si="1015"/>
        <v>6.4694444444444441</v>
      </c>
      <c r="O290" s="233">
        <f t="shared" si="1015"/>
        <v>6.9694444444444441</v>
      </c>
      <c r="P290" s="233">
        <f t="shared" si="1015"/>
        <v>7.4694444444444441</v>
      </c>
      <c r="Q290" s="233">
        <f t="shared" si="1015"/>
        <v>7.9694444444444441</v>
      </c>
      <c r="R290" s="233">
        <f t="shared" si="1015"/>
        <v>8.469444444444445</v>
      </c>
      <c r="S290" s="233">
        <f t="shared" si="1015"/>
        <v>8.9666666666666668</v>
      </c>
      <c r="T290" s="233">
        <f t="shared" si="1015"/>
        <v>9.4666666666666668</v>
      </c>
      <c r="U290" s="233">
        <f t="shared" si="1015"/>
        <v>9.9666666666666668</v>
      </c>
      <c r="V290" s="233">
        <f t="shared" si="1015"/>
        <v>10.466666666666667</v>
      </c>
      <c r="W290" s="233">
        <f t="shared" si="1015"/>
        <v>10.966666666666667</v>
      </c>
      <c r="X290" s="233">
        <f t="shared" si="1015"/>
        <v>11.466666666666667</v>
      </c>
      <c r="Y290" s="233">
        <f t="shared" si="1015"/>
        <v>11.966666666666667</v>
      </c>
      <c r="Z290" s="233">
        <f t="shared" si="1015"/>
        <v>12.466666666666667</v>
      </c>
      <c r="AA290" s="233">
        <f t="shared" si="1015"/>
        <v>12.963888888888889</v>
      </c>
      <c r="AB290" s="233">
        <f t="shared" si="1015"/>
        <v>13.463888888888889</v>
      </c>
      <c r="AC290" s="233">
        <f t="shared" si="1015"/>
        <v>13.963888888888889</v>
      </c>
      <c r="AD290" s="233">
        <f t="shared" si="1015"/>
        <v>14.463888888888889</v>
      </c>
      <c r="AE290" s="233">
        <f t="shared" si="1015"/>
        <v>14.963888888888889</v>
      </c>
      <c r="AF290" s="233">
        <f t="shared" si="1015"/>
        <v>15.463888888888889</v>
      </c>
      <c r="AG290" s="233">
        <f t="shared" si="1015"/>
        <v>15.963888888888889</v>
      </c>
      <c r="AH290" s="233">
        <f t="shared" si="1015"/>
        <v>16.463888888888889</v>
      </c>
      <c r="AI290" s="233">
        <f t="shared" si="1015"/>
        <v>16.961111111111112</v>
      </c>
      <c r="AJ290" s="233">
        <f t="shared" si="1015"/>
        <v>17.461111111111112</v>
      </c>
      <c r="AK290" s="233">
        <f t="shared" si="1015"/>
        <v>17.961111111111112</v>
      </c>
      <c r="AL290" s="233">
        <f t="shared" si="1015"/>
        <v>18.461111111111112</v>
      </c>
      <c r="AM290" s="233">
        <f t="shared" si="1015"/>
        <v>18.961111111111112</v>
      </c>
      <c r="AN290" s="233">
        <f t="shared" si="1015"/>
        <v>19.461111111111112</v>
      </c>
      <c r="AO290" s="233">
        <f t="shared" si="1015"/>
        <v>19.961111111111112</v>
      </c>
      <c r="AP290" s="233">
        <f t="shared" si="1015"/>
        <v>20.461111111111112</v>
      </c>
      <c r="AQ290" s="233">
        <f t="shared" si="1015"/>
        <v>20.958333333333332</v>
      </c>
      <c r="AR290" s="233">
        <f t="shared" si="1015"/>
        <v>21.458333333333332</v>
      </c>
      <c r="AS290" s="233">
        <f t="shared" si="1015"/>
        <v>21.958333333333332</v>
      </c>
      <c r="AT290" s="233">
        <f t="shared" si="1015"/>
        <v>22.458333333333332</v>
      </c>
      <c r="AU290" s="233">
        <f t="shared" si="1015"/>
        <v>22.958333333333332</v>
      </c>
      <c r="AV290" s="233">
        <f t="shared" si="1015"/>
        <v>23.458333333333332</v>
      </c>
      <c r="AW290" s="233">
        <f t="shared" si="1015"/>
        <v>23.958333333333332</v>
      </c>
      <c r="AX290" s="233">
        <f t="shared" si="1015"/>
        <v>24.458333333333332</v>
      </c>
      <c r="AY290" s="233">
        <f t="shared" si="1015"/>
        <v>24.955555555555556</v>
      </c>
      <c r="AZ290" s="233">
        <f t="shared" si="1015"/>
        <v>25.455555555555556</v>
      </c>
      <c r="BA290" s="233">
        <f t="shared" si="1015"/>
        <v>25.955555555555556</v>
      </c>
      <c r="BB290" s="233">
        <f t="shared" si="1015"/>
        <v>26.455555555555556</v>
      </c>
      <c r="BC290" s="233">
        <f t="shared" si="1015"/>
        <v>26.955555555555556</v>
      </c>
      <c r="BD290" s="233">
        <f t="shared" si="1015"/>
        <v>27.455555555555556</v>
      </c>
      <c r="BE290" s="233">
        <f t="shared" si="1015"/>
        <v>27.955555555555556</v>
      </c>
      <c r="BF290" s="233">
        <f t="shared" si="1015"/>
        <v>28.455555555555556</v>
      </c>
      <c r="BG290" s="233">
        <f t="shared" si="1015"/>
        <v>28.952777777777779</v>
      </c>
      <c r="BH290" s="233">
        <f t="shared" si="1015"/>
        <v>29.452777777777779</v>
      </c>
      <c r="BI290" s="233">
        <f t="shared" si="1015"/>
        <v>29.952777777777779</v>
      </c>
      <c r="BJ290" s="233">
        <f t="shared" si="1015"/>
        <v>30.452777777777779</v>
      </c>
      <c r="BK290" s="233">
        <f t="shared" si="1015"/>
        <v>30.952777777777779</v>
      </c>
      <c r="BL290" s="233">
        <f t="shared" si="1015"/>
        <v>31.452777777777779</v>
      </c>
      <c r="BM290" s="233">
        <f t="shared" si="1015"/>
        <v>31.952777777777779</v>
      </c>
      <c r="BN290" s="233">
        <f t="shared" si="1015"/>
        <v>32.452777777777776</v>
      </c>
      <c r="BO290" s="233">
        <f t="shared" ref="BO290:CB290" si="1016">BO289/360</f>
        <v>32.950000000000003</v>
      </c>
      <c r="BP290" s="233">
        <f t="shared" si="1016"/>
        <v>33.450000000000003</v>
      </c>
      <c r="BQ290" s="233">
        <f t="shared" si="1016"/>
        <v>33.950000000000003</v>
      </c>
      <c r="BR290" s="233">
        <f t="shared" si="1016"/>
        <v>34.450000000000003</v>
      </c>
      <c r="BS290" s="233">
        <f t="shared" si="1016"/>
        <v>34.950000000000003</v>
      </c>
      <c r="BT290" s="233">
        <f t="shared" si="1016"/>
        <v>35.450000000000003</v>
      </c>
      <c r="BU290" s="233">
        <f t="shared" si="1016"/>
        <v>35.950000000000003</v>
      </c>
      <c r="BV290" s="233">
        <f t="shared" si="1016"/>
        <v>36.450000000000003</v>
      </c>
      <c r="BW290" s="233">
        <f t="shared" si="1016"/>
        <v>36.947222222222223</v>
      </c>
      <c r="BX290" s="233">
        <f t="shared" si="1016"/>
        <v>37.447222222222223</v>
      </c>
      <c r="BY290" s="233">
        <f t="shared" si="1016"/>
        <v>37.947222222222223</v>
      </c>
      <c r="BZ290" s="233">
        <f t="shared" si="1016"/>
        <v>38.447222222222223</v>
      </c>
      <c r="CA290" s="233">
        <f t="shared" si="1016"/>
        <v>38.947222222222223</v>
      </c>
      <c r="CB290" s="233">
        <f t="shared" si="1016"/>
        <v>39.447222222222223</v>
      </c>
      <c r="CC290" s="19"/>
      <c r="CD290" s="19"/>
      <c r="CE290" s="19"/>
    </row>
    <row r="291" spans="1:134">
      <c r="A291" s="16" t="s">
        <v>43</v>
      </c>
      <c r="B291" s="233">
        <f>IF(B289&lt;0,0,$B$5+$B$6*((1-EXP(-B290/$B$9))/(B290/$B$9))+$B$7*((1-EXP(-B290/$B$9))/(B290/$B$9)-EXP(-B290/$B$9))+$B$8*((1-EXP(-B290/$B$10))/(B290/$B$10)-EXP(-B290/$B$10)))</f>
        <v>1.8747263421134048E-2</v>
      </c>
      <c r="C291" s="233">
        <f t="shared" ref="C291:BN291" si="1017">IF(C289&lt;0,0,$B$5+$B$6*((1-EXP(-C290/$B$9))/(C290/$B$9))+$B$7*((1-EXP(-C290/$B$9))/(C290/$B$9)-EXP(-C290/$B$9))+$B$8*((1-EXP(-C290/$B$10))/(C290/$B$10)-EXP(-C290/$B$10)))</f>
        <v>1.7878240776399469E-2</v>
      </c>
      <c r="D291" s="233">
        <f t="shared" si="1017"/>
        <v>1.7115224657500521E-2</v>
      </c>
      <c r="E291" s="233">
        <f t="shared" si="1017"/>
        <v>1.645546522151619E-2</v>
      </c>
      <c r="F291" s="233">
        <f t="shared" si="1017"/>
        <v>1.5891512035260305E-2</v>
      </c>
      <c r="G291" s="233">
        <f t="shared" si="1017"/>
        <v>1.5416366495022413E-2</v>
      </c>
      <c r="H291" s="233">
        <f t="shared" si="1017"/>
        <v>1.5023456602212736E-2</v>
      </c>
      <c r="I291" s="233">
        <f t="shared" si="1017"/>
        <v>1.4706613080664906E-2</v>
      </c>
      <c r="J291" s="233">
        <f t="shared" si="1017"/>
        <v>1.446004676646348E-2</v>
      </c>
      <c r="K291" s="233">
        <f t="shared" si="1017"/>
        <v>1.4279167130670387E-2</v>
      </c>
      <c r="L291" s="233">
        <f t="shared" si="1017"/>
        <v>1.4156883816586564E-2</v>
      </c>
      <c r="M291" s="233">
        <f t="shared" si="1017"/>
        <v>1.408960818899091E-2</v>
      </c>
      <c r="N291" s="233">
        <f t="shared" si="1017"/>
        <v>1.4072867027562178E-2</v>
      </c>
      <c r="O291" s="233">
        <f t="shared" si="1017"/>
        <v>1.4102471168615849E-2</v>
      </c>
      <c r="P291" s="233">
        <f t="shared" si="1017"/>
        <v>1.4174499256658951E-2</v>
      </c>
      <c r="Q291" s="233">
        <f t="shared" si="1017"/>
        <v>1.428528237322077E-2</v>
      </c>
      <c r="R291" s="233">
        <f t="shared" si="1017"/>
        <v>1.4431389497293848E-2</v>
      </c>
      <c r="S291" s="233">
        <f t="shared" si="1017"/>
        <v>1.4608540496175756E-2</v>
      </c>
      <c r="T291" s="233">
        <f t="shared" si="1017"/>
        <v>1.4815732271766677E-2</v>
      </c>
      <c r="U291" s="233">
        <f t="shared" si="1017"/>
        <v>1.504926357080609E-2</v>
      </c>
      <c r="V291" s="233">
        <f t="shared" si="1017"/>
        <v>1.5306523717864853E-2</v>
      </c>
      <c r="W291" s="233">
        <f t="shared" si="1017"/>
        <v>1.5585078328325189E-2</v>
      </c>
      <c r="X291" s="233">
        <f t="shared" si="1017"/>
        <v>1.5882658918273507E-2</v>
      </c>
      <c r="Y291" s="233">
        <f t="shared" si="1017"/>
        <v>1.6197153085331678E-2</v>
      </c>
      <c r="Z291" s="233">
        <f t="shared" si="1017"/>
        <v>1.6526595230362998E-2</v>
      </c>
      <c r="AA291" s="233">
        <f t="shared" si="1017"/>
        <v>1.6867221598693055E-2</v>
      </c>
      <c r="AB291" s="233">
        <f t="shared" si="1017"/>
        <v>1.7221147774336573E-2</v>
      </c>
      <c r="AC291" s="233">
        <f t="shared" si="1017"/>
        <v>1.7584929123028448E-2</v>
      </c>
      <c r="AD291" s="233">
        <f t="shared" si="1017"/>
        <v>1.7957103708147723E-2</v>
      </c>
      <c r="AE291" s="233">
        <f t="shared" si="1017"/>
        <v>1.8336317206817818E-2</v>
      </c>
      <c r="AF291" s="233">
        <f t="shared" si="1017"/>
        <v>1.8721316324355641E-2</v>
      </c>
      <c r="AG291" s="233">
        <f t="shared" si="1017"/>
        <v>1.9110942578270756E-2</v>
      </c>
      <c r="AH291" s="233">
        <f t="shared" si="1017"/>
        <v>1.9504126432093677E-2</v>
      </c>
      <c r="AI291" s="233">
        <f t="shared" si="1017"/>
        <v>1.9897677718403589E-2</v>
      </c>
      <c r="AJ291" s="233">
        <f t="shared" si="1017"/>
        <v>2.0295089714296721E-2</v>
      </c>
      <c r="AK291" s="233">
        <f t="shared" si="1017"/>
        <v>2.0693335019843773E-2</v>
      </c>
      <c r="AL291" s="233">
        <f t="shared" si="1017"/>
        <v>2.1091647214023942E-2</v>
      </c>
      <c r="AM291" s="233">
        <f t="shared" si="1017"/>
        <v>2.1489324140293059E-2</v>
      </c>
      <c r="AN291" s="233">
        <f t="shared" si="1017"/>
        <v>2.188572377746871E-2</v>
      </c>
      <c r="AO291" s="233">
        <f t="shared" si="1017"/>
        <v>2.2280260348284092E-2</v>
      </c>
      <c r="AP291" s="233">
        <f t="shared" si="1017"/>
        <v>2.2672400652728283E-2</v>
      </c>
      <c r="AQ291" s="233">
        <f t="shared" si="1017"/>
        <v>2.3059506840184443E-2</v>
      </c>
      <c r="AR291" s="233">
        <f t="shared" si="1017"/>
        <v>2.3445467818364457E-2</v>
      </c>
      <c r="AS291" s="233">
        <f t="shared" si="1017"/>
        <v>2.3827716930715143E-2</v>
      </c>
      <c r="AT291" s="233">
        <f t="shared" si="1017"/>
        <v>2.4205898487091579E-2</v>
      </c>
      <c r="AU291" s="233">
        <f t="shared" si="1017"/>
        <v>2.4579694022072607E-2</v>
      </c>
      <c r="AV291" s="233">
        <f t="shared" si="1017"/>
        <v>2.4948819740991959E-2</v>
      </c>
      <c r="AW291" s="233">
        <f t="shared" si="1017"/>
        <v>2.5313024117657693E-2</v>
      </c>
      <c r="AX291" s="233">
        <f t="shared" si="1017"/>
        <v>2.5672085635386824E-2</v>
      </c>
      <c r="AY291" s="233">
        <f t="shared" si="1017"/>
        <v>2.6023860585078759E-2</v>
      </c>
      <c r="AZ291" s="233">
        <f t="shared" si="1017"/>
        <v>2.6372112380365506E-2</v>
      </c>
      <c r="BA291" s="233">
        <f t="shared" si="1017"/>
        <v>2.6714716955577644E-2</v>
      </c>
      <c r="BB291" s="233">
        <f t="shared" si="1017"/>
        <v>2.7051552720821756E-2</v>
      </c>
      <c r="BC291" s="233">
        <f t="shared" si="1017"/>
        <v>2.7382518696167937E-2</v>
      </c>
      <c r="BD291" s="233">
        <f t="shared" si="1017"/>
        <v>2.7707532959429709E-2</v>
      </c>
      <c r="BE291" s="233">
        <f t="shared" si="1017"/>
        <v>2.8026531189866075E-2</v>
      </c>
      <c r="BF291" s="233">
        <f t="shared" si="1017"/>
        <v>2.8339465302395228E-2</v>
      </c>
      <c r="BG291" s="233">
        <f t="shared" si="1017"/>
        <v>2.8644614402266427E-2</v>
      </c>
      <c r="BH291" s="233">
        <f t="shared" si="1017"/>
        <v>2.8945368655980477E-2</v>
      </c>
      <c r="BI291" s="233">
        <f t="shared" si="1017"/>
        <v>2.9239999549167825E-2</v>
      </c>
      <c r="BJ291" s="233">
        <f t="shared" si="1017"/>
        <v>2.952851185657962E-2</v>
      </c>
      <c r="BK291" s="233">
        <f t="shared" si="1017"/>
        <v>2.981092095269347E-2</v>
      </c>
      <c r="BL291" s="233">
        <f t="shared" si="1017"/>
        <v>3.008725189021659E-2</v>
      </c>
      <c r="BM291" s="233">
        <f t="shared" si="1017"/>
        <v>3.0357538538560991E-2</v>
      </c>
      <c r="BN291" s="233">
        <f t="shared" si="1017"/>
        <v>3.0621822778815408E-2</v>
      </c>
      <c r="BO291" s="233">
        <f t="shared" ref="BO291:CB291" si="1018">IF(BO289&lt;0,0,$B$5+$B$6*((1-EXP(-BO290/$B$9))/(BO290/$B$9))+$B$7*((1-EXP(-BO290/$B$9))/(BO290/$B$9)-EXP(-BO290/$B$9))+$B$8*((1-EXP(-BO290/$B$10))/(BO290/$B$10)-EXP(-BO290/$B$10)))</f>
        <v>3.0878734925391976E-2</v>
      </c>
      <c r="BP291" s="233">
        <f t="shared" si="1018"/>
        <v>3.1131200929738534E-2</v>
      </c>
      <c r="BQ291" s="233">
        <f t="shared" si="1018"/>
        <v>3.1377830611341612E-2</v>
      </c>
      <c r="BR291" s="233">
        <f t="shared" si="1018"/>
        <v>3.1618690838559185E-2</v>
      </c>
      <c r="BS291" s="233">
        <f t="shared" si="1018"/>
        <v>3.1853853207868807E-2</v>
      </c>
      <c r="BT291" s="233">
        <f t="shared" si="1018"/>
        <v>3.2083393514563852E-2</v>
      </c>
      <c r="BU291" s="233">
        <f t="shared" si="1018"/>
        <v>3.2307391260410184E-2</v>
      </c>
      <c r="BV291" s="233">
        <f t="shared" si="1018"/>
        <v>3.2525929196050157E-2</v>
      </c>
      <c r="BW291" s="233">
        <f t="shared" si="1018"/>
        <v>3.273792333818426E-2</v>
      </c>
      <c r="BX291" s="233">
        <f t="shared" si="1018"/>
        <v>3.2945829927729958E-2</v>
      </c>
      <c r="BY291" s="233">
        <f t="shared" si="1018"/>
        <v>3.314853984895616E-2</v>
      </c>
      <c r="BZ291" s="233">
        <f t="shared" si="1018"/>
        <v>3.3346144887519746E-2</v>
      </c>
      <c r="CA291" s="233">
        <f t="shared" si="1018"/>
        <v>3.3538738243623453E-2</v>
      </c>
      <c r="CB291" s="233">
        <f t="shared" si="1018"/>
        <v>3.3726414242732261E-2</v>
      </c>
      <c r="CC291" s="19"/>
      <c r="CD291" s="19"/>
      <c r="CE291" s="19"/>
    </row>
    <row r="292" spans="1:134">
      <c r="A292" s="16" t="s">
        <v>44</v>
      </c>
      <c r="B292" s="233">
        <f>EXP(-B291*B290)</f>
        <v>0.99113458151387612</v>
      </c>
      <c r="C292" s="233">
        <f t="shared" ref="C292:BN292" si="1019">EXP(-C291*C290)</f>
        <v>0.98276856599660467</v>
      </c>
      <c r="D292" s="233">
        <f t="shared" si="1019"/>
        <v>0.97511739112400819</v>
      </c>
      <c r="E292" s="233">
        <f t="shared" si="1019"/>
        <v>0.96806714040640218</v>
      </c>
      <c r="F292" s="233">
        <f t="shared" si="1019"/>
        <v>0.96147439055301043</v>
      </c>
      <c r="G292" s="233">
        <f t="shared" si="1019"/>
        <v>0.95521305696770153</v>
      </c>
      <c r="H292" s="233">
        <f t="shared" si="1019"/>
        <v>0.94917244944434176</v>
      </c>
      <c r="I292" s="233">
        <f t="shared" si="1019"/>
        <v>0.94325564522201089</v>
      </c>
      <c r="J292" s="233">
        <f t="shared" si="1019"/>
        <v>0.93737811291246509</v>
      </c>
      <c r="K292" s="233">
        <f t="shared" si="1019"/>
        <v>0.93149959123151915</v>
      </c>
      <c r="L292" s="233">
        <f t="shared" si="1019"/>
        <v>0.92549153858765498</v>
      </c>
      <c r="M292" s="233">
        <f t="shared" si="1019"/>
        <v>0.9193327596408557</v>
      </c>
      <c r="N292" s="233">
        <f t="shared" si="1019"/>
        <v>0.91297787551926146</v>
      </c>
      <c r="O292" s="233">
        <f t="shared" si="1019"/>
        <v>0.90638928635122917</v>
      </c>
      <c r="P292" s="233">
        <f t="shared" si="1019"/>
        <v>0.8995365122250979</v>
      </c>
      <c r="Q292" s="233">
        <f t="shared" si="1019"/>
        <v>0.8923955845738345</v>
      </c>
      <c r="R292" s="233">
        <f t="shared" si="1019"/>
        <v>0.88494847889783612</v>
      </c>
      <c r="S292" s="233">
        <f t="shared" si="1019"/>
        <v>0.87722662282985808</v>
      </c>
      <c r="T292" s="233">
        <f t="shared" si="1019"/>
        <v>0.8691360568383234</v>
      </c>
      <c r="U292" s="233">
        <f t="shared" si="1019"/>
        <v>0.86071572834972365</v>
      </c>
      <c r="V292" s="233">
        <f t="shared" si="1019"/>
        <v>0.85196632159342056</v>
      </c>
      <c r="W292" s="233">
        <f t="shared" si="1019"/>
        <v>0.84289207085850815</v>
      </c>
      <c r="X292" s="233">
        <f t="shared" si="1019"/>
        <v>0.8335003510661777</v>
      </c>
      <c r="Y292" s="233">
        <f t="shared" si="1019"/>
        <v>0.82380128929663032</v>
      </c>
      <c r="Z292" s="233">
        <f t="shared" si="1019"/>
        <v>0.81380739710345817</v>
      </c>
      <c r="AA292" s="233">
        <f t="shared" si="1019"/>
        <v>0.80359104744091381</v>
      </c>
      <c r="AB292" s="233">
        <f t="shared" si="1019"/>
        <v>0.7930542725364752</v>
      </c>
      <c r="AC292" s="233">
        <f t="shared" si="1019"/>
        <v>0.78227104283946391</v>
      </c>
      <c r="AD292" s="233">
        <f t="shared" si="1019"/>
        <v>0.77126014274585519</v>
      </c>
      <c r="AE292" s="233">
        <f t="shared" si="1019"/>
        <v>0.76004121773217082</v>
      </c>
      <c r="AF292" s="233">
        <f t="shared" si="1019"/>
        <v>0.74863453223089338</v>
      </c>
      <c r="AG292" s="233">
        <f t="shared" si="1019"/>
        <v>0.73706074818915213</v>
      </c>
      <c r="AH292" s="233">
        <f t="shared" si="1019"/>
        <v>0.72534072395303995</v>
      </c>
      <c r="AI292" s="233">
        <f t="shared" si="1019"/>
        <v>0.71356144885946771</v>
      </c>
      <c r="AJ292" s="233">
        <f t="shared" si="1019"/>
        <v>0.70161194232490021</v>
      </c>
      <c r="AK292" s="233">
        <f t="shared" si="1019"/>
        <v>0.68957811939554126</v>
      </c>
      <c r="AL292" s="233">
        <f t="shared" si="1019"/>
        <v>0.67748000286219268</v>
      </c>
      <c r="AM292" s="233">
        <f t="shared" si="1019"/>
        <v>0.66533709118124851</v>
      </c>
      <c r="AN292" s="233">
        <f t="shared" si="1019"/>
        <v>0.65316826550968676</v>
      </c>
      <c r="AO292" s="233">
        <f t="shared" si="1019"/>
        <v>0.64099171170877667</v>
      </c>
      <c r="AP292" s="233">
        <f t="shared" si="1019"/>
        <v>0.62882485629882567</v>
      </c>
      <c r="AQ292" s="233">
        <f t="shared" si="1019"/>
        <v>0.61675166073347543</v>
      </c>
      <c r="AR292" s="233">
        <f t="shared" si="1019"/>
        <v>0.60465292478888333</v>
      </c>
      <c r="AS292" s="233">
        <f t="shared" si="1019"/>
        <v>0.59261107751946418</v>
      </c>
      <c r="AT292" s="233">
        <f t="shared" si="1019"/>
        <v>0.58064011535079296</v>
      </c>
      <c r="AU292" s="233">
        <f t="shared" si="1019"/>
        <v>0.56875312820577328</v>
      </c>
      <c r="AV292" s="233">
        <f t="shared" si="1019"/>
        <v>0.55696229755472793</v>
      </c>
      <c r="AW292" s="233">
        <f t="shared" si="1019"/>
        <v>0.54527890142314162</v>
      </c>
      <c r="AX292" s="233">
        <f t="shared" si="1019"/>
        <v>0.53371332548658701</v>
      </c>
      <c r="AY292" s="233">
        <f t="shared" si="1019"/>
        <v>0.52233825723265437</v>
      </c>
      <c r="AZ292" s="233">
        <f t="shared" si="1019"/>
        <v>0.51103521778146888</v>
      </c>
      <c r="BA292" s="233">
        <f t="shared" si="1019"/>
        <v>0.49987594562628751</v>
      </c>
      <c r="BB292" s="233">
        <f t="shared" si="1019"/>
        <v>0.48886746651224644</v>
      </c>
      <c r="BC292" s="233">
        <f t="shared" si="1019"/>
        <v>0.47801603359589401</v>
      </c>
      <c r="BD292" s="233">
        <f t="shared" si="1019"/>
        <v>0.46732715970482641</v>
      </c>
      <c r="BE292" s="233">
        <f t="shared" si="1019"/>
        <v>0.45680565107693188</v>
      </c>
      <c r="BF292" s="233">
        <f t="shared" si="1019"/>
        <v>0.44645564213318489</v>
      </c>
      <c r="BG292" s="233">
        <f t="shared" si="1019"/>
        <v>0.43633666973462404</v>
      </c>
      <c r="BH292" s="233">
        <f t="shared" si="1019"/>
        <v>0.42633855822997435</v>
      </c>
      <c r="BI292" s="233">
        <f t="shared" si="1019"/>
        <v>0.41652066251802844</v>
      </c>
      <c r="BJ292" s="233">
        <f t="shared" si="1019"/>
        <v>0.40688478804204897</v>
      </c>
      <c r="BK292" s="233">
        <f t="shared" si="1019"/>
        <v>0.39743224525715987</v>
      </c>
      <c r="BL292" s="233">
        <f t="shared" si="1019"/>
        <v>0.38816388378514705</v>
      </c>
      <c r="BM292" s="233">
        <f t="shared" si="1019"/>
        <v>0.37908012569429778</v>
      </c>
      <c r="BN292" s="233">
        <f t="shared" si="1019"/>
        <v>0.37018099777051516</v>
      </c>
      <c r="BO292" s="233">
        <f t="shared" ref="BO292:CB292" si="1020">EXP(-BO291*BO290)</f>
        <v>0.36151407042920214</v>
      </c>
      <c r="BP292" s="233">
        <f t="shared" si="1020"/>
        <v>0.35298183895221574</v>
      </c>
      <c r="BQ292" s="233">
        <f t="shared" si="1020"/>
        <v>0.34463225801096359</v>
      </c>
      <c r="BR292" s="233">
        <f t="shared" si="1020"/>
        <v>0.33646407398421063</v>
      </c>
      <c r="BS292" s="233">
        <f t="shared" si="1020"/>
        <v>0.3284757810616718</v>
      </c>
      <c r="BT292" s="233">
        <f t="shared" si="1020"/>
        <v>0.3206656459520606</v>
      </c>
      <c r="BU292" s="233">
        <f t="shared" si="1020"/>
        <v>0.3130317312415769</v>
      </c>
      <c r="BV292" s="233">
        <f t="shared" si="1020"/>
        <v>0.30557191741246759</v>
      </c>
      <c r="BW292" s="233">
        <f t="shared" si="1020"/>
        <v>0.29832394215826552</v>
      </c>
      <c r="BX292" s="233">
        <f t="shared" si="1020"/>
        <v>0.29120441114858775</v>
      </c>
      <c r="BY292" s="233">
        <f t="shared" si="1020"/>
        <v>0.28425174483445914</v>
      </c>
      <c r="BZ292" s="233">
        <f t="shared" si="1020"/>
        <v>0.27746329002494735</v>
      </c>
      <c r="CA292" s="233">
        <f t="shared" si="1020"/>
        <v>0.27083630222975402</v>
      </c>
      <c r="CB292" s="233">
        <f t="shared" si="1020"/>
        <v>0.26436796026066045</v>
      </c>
      <c r="CC292" s="19"/>
      <c r="CD292" s="19"/>
      <c r="CE292" s="19"/>
    </row>
    <row r="293" spans="1:134">
      <c r="A293" s="17"/>
      <c r="B293" s="17"/>
      <c r="C293" s="17"/>
      <c r="D293" s="17"/>
      <c r="E293" s="17"/>
      <c r="F293" s="17"/>
      <c r="G293" s="17"/>
      <c r="H293" s="17"/>
      <c r="I293" s="17"/>
      <c r="J293" s="17"/>
      <c r="K293" s="17"/>
      <c r="L293" s="17"/>
      <c r="M293" s="17"/>
      <c r="N293" s="17"/>
      <c r="O293" s="17"/>
      <c r="P293" s="17"/>
      <c r="Q293" s="17"/>
      <c r="R293" s="17"/>
      <c r="S293" s="17"/>
      <c r="T293" s="17"/>
      <c r="U293" s="17"/>
      <c r="V293" s="17"/>
      <c r="W293" s="17"/>
      <c r="X293" s="17"/>
      <c r="Y293" s="17"/>
      <c r="Z293" s="17"/>
      <c r="AA293" s="17"/>
      <c r="AB293" s="17"/>
      <c r="AC293" s="17"/>
      <c r="AD293" s="17"/>
      <c r="AE293" s="17"/>
      <c r="AF293" s="17"/>
      <c r="AG293" s="17"/>
      <c r="AH293" s="17"/>
      <c r="AI293" s="17"/>
      <c r="AJ293" s="17"/>
      <c r="AK293" s="17"/>
      <c r="AL293" s="17"/>
      <c r="AM293" s="17"/>
      <c r="AN293" s="17"/>
      <c r="AO293" s="17"/>
      <c r="AP293" s="17"/>
      <c r="AQ293" s="17"/>
      <c r="AR293" s="17"/>
      <c r="AS293" s="17"/>
      <c r="AT293" s="17"/>
      <c r="AU293" s="17"/>
      <c r="AV293" s="17"/>
      <c r="AW293" s="17"/>
      <c r="AX293" s="17"/>
      <c r="AY293" s="17"/>
      <c r="AZ293" s="17"/>
      <c r="BA293" s="17"/>
      <c r="BB293" s="17"/>
      <c r="BC293" s="17"/>
      <c r="BD293" s="17"/>
      <c r="BE293" s="17"/>
      <c r="BF293" s="17"/>
      <c r="BG293" s="17"/>
      <c r="BH293" s="17"/>
      <c r="BI293" s="17"/>
      <c r="BJ293" s="17"/>
      <c r="BK293" s="17"/>
      <c r="BL293" s="17"/>
      <c r="BM293" s="17"/>
      <c r="BN293" s="17"/>
      <c r="BO293" s="17"/>
      <c r="BP293" s="17"/>
      <c r="BQ293" s="17"/>
      <c r="BR293" s="17"/>
      <c r="BS293" s="17"/>
      <c r="BT293" s="17"/>
      <c r="BU293" s="17"/>
      <c r="BV293" s="17"/>
      <c r="BW293" s="17"/>
      <c r="BX293" s="17"/>
      <c r="BY293" s="17"/>
      <c r="BZ293" s="17"/>
      <c r="CA293" s="17"/>
      <c r="CB293" s="17"/>
      <c r="CC293" s="19"/>
      <c r="CD293" s="19"/>
      <c r="CE293" s="19"/>
    </row>
    <row r="294" spans="1:134">
      <c r="A294" s="17"/>
      <c r="B294" s="17"/>
      <c r="C294" s="17"/>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c r="AF294" s="17"/>
      <c r="AG294" s="17"/>
      <c r="AH294" s="17"/>
      <c r="AI294" s="17"/>
      <c r="AJ294" s="17"/>
      <c r="AK294" s="17"/>
      <c r="AL294" s="17"/>
      <c r="AM294" s="17"/>
      <c r="AN294" s="17"/>
      <c r="AO294" s="17"/>
      <c r="AP294" s="17"/>
      <c r="AQ294" s="17"/>
      <c r="AR294" s="17"/>
      <c r="AS294" s="17"/>
      <c r="AT294" s="17"/>
      <c r="AU294" s="17"/>
      <c r="AV294" s="17"/>
      <c r="AW294" s="17"/>
      <c r="AX294" s="17"/>
      <c r="AY294" s="17"/>
      <c r="AZ294" s="17"/>
      <c r="BA294" s="17"/>
      <c r="BB294" s="17"/>
      <c r="BC294" s="17"/>
      <c r="BD294" s="17"/>
      <c r="BE294" s="17"/>
      <c r="BF294" s="17"/>
      <c r="BG294" s="17"/>
      <c r="BH294" s="17"/>
      <c r="BI294" s="17"/>
      <c r="BJ294" s="17"/>
      <c r="BK294" s="17"/>
      <c r="BL294" s="17"/>
      <c r="BM294" s="17"/>
      <c r="BN294" s="17"/>
      <c r="BO294" s="17"/>
      <c r="BP294" s="17"/>
      <c r="BQ294" s="17"/>
      <c r="BR294" s="17"/>
      <c r="BS294" s="17"/>
      <c r="BT294" s="17"/>
      <c r="BU294" s="17"/>
      <c r="BV294" s="17"/>
      <c r="BW294" s="17"/>
      <c r="BX294" s="17"/>
      <c r="BY294" s="17"/>
      <c r="BZ294" s="17"/>
      <c r="CA294" s="17"/>
      <c r="CB294" s="17"/>
      <c r="CC294" s="19"/>
      <c r="CD294" s="19"/>
      <c r="CE294" s="19"/>
    </row>
    <row r="295" spans="1:134">
      <c r="A295" s="17"/>
      <c r="B295" s="17"/>
      <c r="C295" s="17"/>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c r="AF295" s="17"/>
      <c r="AG295" s="17"/>
      <c r="AH295" s="17"/>
      <c r="AI295" s="17"/>
      <c r="AJ295" s="17"/>
      <c r="AK295" s="17"/>
      <c r="AL295" s="17"/>
      <c r="AM295" s="17"/>
      <c r="AN295" s="17"/>
      <c r="AO295" s="17"/>
      <c r="AP295" s="17"/>
      <c r="AQ295" s="17"/>
      <c r="AR295" s="17"/>
      <c r="AS295" s="17"/>
      <c r="AT295" s="17"/>
      <c r="AU295" s="17"/>
      <c r="AV295" s="17"/>
      <c r="AW295" s="17"/>
      <c r="AX295" s="17"/>
      <c r="AY295" s="17"/>
      <c r="AZ295" s="17"/>
      <c r="BA295" s="17"/>
      <c r="BB295" s="17"/>
      <c r="BC295" s="17"/>
      <c r="BD295" s="17"/>
      <c r="BE295" s="17"/>
      <c r="BF295" s="17"/>
      <c r="BG295" s="17"/>
      <c r="BH295" s="17"/>
      <c r="BI295" s="17"/>
      <c r="BJ295" s="17"/>
      <c r="BK295" s="17"/>
      <c r="BL295" s="17"/>
      <c r="BM295" s="17"/>
      <c r="BN295" s="17"/>
      <c r="BO295" s="17"/>
      <c r="BP295" s="17"/>
      <c r="BQ295" s="17"/>
      <c r="BR295" s="17"/>
      <c r="BS295" s="17"/>
      <c r="BT295" s="17"/>
      <c r="BU295" s="17"/>
      <c r="BV295" s="17"/>
      <c r="BW295" s="17"/>
      <c r="BX295" s="17"/>
      <c r="BY295" s="17"/>
      <c r="BZ295" s="17"/>
      <c r="CA295" s="17"/>
      <c r="CB295" s="17"/>
      <c r="CC295" s="19"/>
      <c r="CD295" s="19"/>
      <c r="CE295" s="19"/>
    </row>
    <row r="296" spans="1:134">
      <c r="A296" s="16" t="s">
        <v>45</v>
      </c>
      <c r="B296" s="230"/>
      <c r="C296" s="230"/>
      <c r="D296" s="230"/>
      <c r="E296" s="230"/>
      <c r="F296" s="230"/>
      <c r="G296" s="230"/>
      <c r="H296" s="230"/>
      <c r="I296" s="230"/>
      <c r="J296" s="230"/>
      <c r="K296" s="230"/>
      <c r="L296" s="230"/>
      <c r="M296" s="230"/>
      <c r="N296" s="230"/>
      <c r="O296" s="230"/>
      <c r="P296" s="230"/>
      <c r="Q296" s="230"/>
      <c r="R296" s="230"/>
      <c r="S296" s="230"/>
      <c r="T296" s="230"/>
      <c r="U296" s="230"/>
      <c r="V296" s="230"/>
      <c r="W296" s="230"/>
      <c r="X296" s="230"/>
      <c r="Y296" s="230"/>
      <c r="Z296" s="230"/>
      <c r="AA296" s="230"/>
      <c r="AB296" s="230"/>
      <c r="AC296" s="230"/>
      <c r="AD296" s="230"/>
      <c r="AE296" s="230"/>
      <c r="AF296" s="230"/>
      <c r="AG296" s="230"/>
      <c r="AH296" s="230"/>
      <c r="AI296" s="230"/>
      <c r="AJ296" s="230"/>
      <c r="AK296" s="230"/>
      <c r="AL296" s="230"/>
      <c r="AM296" s="230"/>
      <c r="AN296" s="230"/>
      <c r="AO296" s="230"/>
      <c r="AP296" s="230"/>
      <c r="AQ296" s="230"/>
      <c r="AR296" s="230"/>
      <c r="AS296" s="230"/>
      <c r="AT296" s="230"/>
      <c r="AU296" s="230"/>
      <c r="AV296" s="230"/>
      <c r="AW296" s="230"/>
      <c r="AX296" s="230"/>
      <c r="AY296" s="230"/>
      <c r="AZ296" s="230"/>
      <c r="BA296" s="230"/>
      <c r="BB296" s="230"/>
      <c r="BC296" s="230"/>
      <c r="BD296" s="230"/>
      <c r="BE296" s="230"/>
      <c r="BF296" s="230"/>
      <c r="BG296" s="230"/>
      <c r="BH296" s="230"/>
      <c r="BI296" s="230"/>
      <c r="BJ296" s="230"/>
      <c r="BK296" s="230"/>
      <c r="BL296" s="230"/>
      <c r="BM296" s="230"/>
      <c r="BN296" s="230"/>
      <c r="BO296" s="230"/>
      <c r="BP296" s="230"/>
      <c r="BQ296" s="230"/>
      <c r="BR296" s="230"/>
      <c r="BS296" s="230"/>
      <c r="BT296" s="230"/>
      <c r="BU296" s="230"/>
      <c r="BV296" s="230"/>
      <c r="BW296" s="230"/>
      <c r="BX296" s="230"/>
      <c r="BY296" s="230"/>
      <c r="BZ296" s="230"/>
      <c r="CA296" s="230"/>
      <c r="CB296" s="230"/>
      <c r="CC296" s="19"/>
      <c r="CD296" s="19"/>
      <c r="CE296" s="19"/>
    </row>
    <row r="297" spans="1:134">
      <c r="A297" s="230" t="str">
        <f>A41</f>
        <v>Bond 1</v>
      </c>
      <c r="B297" s="230">
        <f t="shared" ref="B297:AG297" si="1021">B41*B117</f>
        <v>2.3178833479291097</v>
      </c>
      <c r="C297" s="230">
        <f t="shared" si="1021"/>
        <v>2.2972060987800007</v>
      </c>
      <c r="D297" s="230">
        <f t="shared" si="1021"/>
        <v>2.2782291497569069</v>
      </c>
      <c r="E297" s="230">
        <f t="shared" si="1021"/>
        <v>2.2611778358257357</v>
      </c>
      <c r="F297" s="230">
        <f t="shared" si="1021"/>
        <v>2.2450286028014887</v>
      </c>
      <c r="G297" s="230">
        <f t="shared" si="1021"/>
        <v>2.2301776863753835</v>
      </c>
      <c r="H297" s="230">
        <f t="shared" si="1021"/>
        <v>97.513468510870126</v>
      </c>
      <c r="I297" s="230">
        <f t="shared" si="1021"/>
        <v>0</v>
      </c>
      <c r="J297" s="230">
        <f t="shared" si="1021"/>
        <v>0</v>
      </c>
      <c r="K297" s="230">
        <f t="shared" si="1021"/>
        <v>0</v>
      </c>
      <c r="L297" s="230">
        <f t="shared" si="1021"/>
        <v>0</v>
      </c>
      <c r="M297" s="230">
        <f t="shared" si="1021"/>
        <v>0</v>
      </c>
      <c r="N297" s="230">
        <f t="shared" si="1021"/>
        <v>0</v>
      </c>
      <c r="O297" s="230">
        <f t="shared" si="1021"/>
        <v>0</v>
      </c>
      <c r="P297" s="230">
        <f t="shared" si="1021"/>
        <v>0</v>
      </c>
      <c r="Q297" s="230">
        <f t="shared" si="1021"/>
        <v>0</v>
      </c>
      <c r="R297" s="230">
        <f t="shared" si="1021"/>
        <v>0</v>
      </c>
      <c r="S297" s="230">
        <f t="shared" si="1021"/>
        <v>0</v>
      </c>
      <c r="T297" s="230">
        <f t="shared" si="1021"/>
        <v>0</v>
      </c>
      <c r="U297" s="230">
        <f t="shared" si="1021"/>
        <v>0</v>
      </c>
      <c r="V297" s="230">
        <f t="shared" si="1021"/>
        <v>0</v>
      </c>
      <c r="W297" s="230">
        <f t="shared" si="1021"/>
        <v>0</v>
      </c>
      <c r="X297" s="230">
        <f t="shared" si="1021"/>
        <v>0</v>
      </c>
      <c r="Y297" s="230">
        <f t="shared" si="1021"/>
        <v>0</v>
      </c>
      <c r="Z297" s="230">
        <f t="shared" si="1021"/>
        <v>0</v>
      </c>
      <c r="AA297" s="230">
        <f t="shared" si="1021"/>
        <v>0</v>
      </c>
      <c r="AB297" s="230">
        <f t="shared" si="1021"/>
        <v>0</v>
      </c>
      <c r="AC297" s="230">
        <f t="shared" si="1021"/>
        <v>0</v>
      </c>
      <c r="AD297" s="230">
        <f t="shared" si="1021"/>
        <v>0</v>
      </c>
      <c r="AE297" s="230">
        <f t="shared" si="1021"/>
        <v>0</v>
      </c>
      <c r="AF297" s="230">
        <f t="shared" si="1021"/>
        <v>0</v>
      </c>
      <c r="AG297" s="230">
        <f t="shared" si="1021"/>
        <v>0</v>
      </c>
      <c r="AH297" s="230">
        <f t="shared" ref="AH297:BM297" si="1022">AH41*AH117</f>
        <v>0</v>
      </c>
      <c r="AI297" s="230">
        <f t="shared" si="1022"/>
        <v>0</v>
      </c>
      <c r="AJ297" s="230">
        <f t="shared" si="1022"/>
        <v>0</v>
      </c>
      <c r="AK297" s="230">
        <f t="shared" si="1022"/>
        <v>0</v>
      </c>
      <c r="AL297" s="230">
        <f t="shared" si="1022"/>
        <v>0</v>
      </c>
      <c r="AM297" s="230">
        <f t="shared" si="1022"/>
        <v>0</v>
      </c>
      <c r="AN297" s="230">
        <f t="shared" si="1022"/>
        <v>0</v>
      </c>
      <c r="AO297" s="230">
        <f t="shared" si="1022"/>
        <v>0</v>
      </c>
      <c r="AP297" s="230">
        <f t="shared" si="1022"/>
        <v>0</v>
      </c>
      <c r="AQ297" s="230">
        <f t="shared" si="1022"/>
        <v>0</v>
      </c>
      <c r="AR297" s="230">
        <f t="shared" si="1022"/>
        <v>0</v>
      </c>
      <c r="AS297" s="230">
        <f t="shared" si="1022"/>
        <v>0</v>
      </c>
      <c r="AT297" s="230">
        <f t="shared" si="1022"/>
        <v>0</v>
      </c>
      <c r="AU297" s="230">
        <f t="shared" si="1022"/>
        <v>0</v>
      </c>
      <c r="AV297" s="230">
        <f t="shared" si="1022"/>
        <v>0</v>
      </c>
      <c r="AW297" s="230">
        <f t="shared" si="1022"/>
        <v>0</v>
      </c>
      <c r="AX297" s="230">
        <f t="shared" si="1022"/>
        <v>0</v>
      </c>
      <c r="AY297" s="230">
        <f t="shared" si="1022"/>
        <v>0</v>
      </c>
      <c r="AZ297" s="230">
        <f t="shared" si="1022"/>
        <v>0</v>
      </c>
      <c r="BA297" s="230">
        <f t="shared" si="1022"/>
        <v>0</v>
      </c>
      <c r="BB297" s="230">
        <f t="shared" si="1022"/>
        <v>0</v>
      </c>
      <c r="BC297" s="230">
        <f t="shared" si="1022"/>
        <v>0</v>
      </c>
      <c r="BD297" s="230">
        <f t="shared" si="1022"/>
        <v>0</v>
      </c>
      <c r="BE297" s="230">
        <f t="shared" si="1022"/>
        <v>0</v>
      </c>
      <c r="BF297" s="230">
        <f t="shared" si="1022"/>
        <v>0</v>
      </c>
      <c r="BG297" s="230">
        <f t="shared" si="1022"/>
        <v>0</v>
      </c>
      <c r="BH297" s="230">
        <f t="shared" si="1022"/>
        <v>0</v>
      </c>
      <c r="BI297" s="230">
        <f t="shared" si="1022"/>
        <v>0</v>
      </c>
      <c r="BJ297" s="230">
        <f t="shared" si="1022"/>
        <v>0</v>
      </c>
      <c r="BK297" s="230">
        <f t="shared" si="1022"/>
        <v>0</v>
      </c>
      <c r="BL297" s="230">
        <f t="shared" si="1022"/>
        <v>0</v>
      </c>
      <c r="BM297" s="230">
        <f t="shared" si="1022"/>
        <v>0</v>
      </c>
      <c r="BN297" s="230">
        <f t="shared" ref="BN297:CB297" si="1023">BN41*BN117</f>
        <v>0</v>
      </c>
      <c r="BO297" s="230">
        <f t="shared" si="1023"/>
        <v>0</v>
      </c>
      <c r="BP297" s="230">
        <f t="shared" si="1023"/>
        <v>0</v>
      </c>
      <c r="BQ297" s="230">
        <f t="shared" si="1023"/>
        <v>0</v>
      </c>
      <c r="BR297" s="230">
        <f t="shared" si="1023"/>
        <v>0</v>
      </c>
      <c r="BS297" s="230">
        <f t="shared" si="1023"/>
        <v>0</v>
      </c>
      <c r="BT297" s="230">
        <f t="shared" si="1023"/>
        <v>0</v>
      </c>
      <c r="BU297" s="230">
        <f t="shared" si="1023"/>
        <v>0</v>
      </c>
      <c r="BV297" s="230">
        <f t="shared" si="1023"/>
        <v>0</v>
      </c>
      <c r="BW297" s="230">
        <f t="shared" si="1023"/>
        <v>0</v>
      </c>
      <c r="BX297" s="230">
        <f t="shared" si="1023"/>
        <v>0</v>
      </c>
      <c r="BY297" s="230">
        <f t="shared" si="1023"/>
        <v>0</v>
      </c>
      <c r="BZ297" s="230">
        <f t="shared" si="1023"/>
        <v>0</v>
      </c>
      <c r="CA297" s="230">
        <f t="shared" si="1023"/>
        <v>0</v>
      </c>
      <c r="CB297" s="230">
        <f t="shared" si="1023"/>
        <v>0</v>
      </c>
      <c r="CC297" s="19"/>
      <c r="CD297" s="19"/>
      <c r="CE297" s="19"/>
    </row>
    <row r="298" spans="1:134">
      <c r="A298" s="230" t="str">
        <f>A43</f>
        <v>Bond 2</v>
      </c>
      <c r="B298" s="230">
        <f t="shared" ref="B298:AG298" si="1024">B43*B122</f>
        <v>1.3514973551304086</v>
      </c>
      <c r="C298" s="230">
        <f t="shared" si="1024"/>
        <v>1.3393810705151372</v>
      </c>
      <c r="D298" s="230">
        <f t="shared" si="1024"/>
        <v>1.3282674716252527</v>
      </c>
      <c r="E298" s="230">
        <f t="shared" si="1024"/>
        <v>1.3182881400799262</v>
      </c>
      <c r="F298" s="230">
        <f t="shared" si="1024"/>
        <v>1.3088436206588352</v>
      </c>
      <c r="G298" s="230">
        <f t="shared" si="1024"/>
        <v>1.3001651004416426</v>
      </c>
      <c r="H298" s="230">
        <f t="shared" si="1024"/>
        <v>1.2916959995100716</v>
      </c>
      <c r="I298" s="230">
        <f t="shared" si="1024"/>
        <v>96.019220350346387</v>
      </c>
      <c r="J298" s="230">
        <f t="shared" si="1024"/>
        <v>0</v>
      </c>
      <c r="K298" s="230">
        <f t="shared" si="1024"/>
        <v>0</v>
      </c>
      <c r="L298" s="230">
        <f t="shared" si="1024"/>
        <v>0</v>
      </c>
      <c r="M298" s="230">
        <f t="shared" si="1024"/>
        <v>0</v>
      </c>
      <c r="N298" s="230">
        <f t="shared" si="1024"/>
        <v>0</v>
      </c>
      <c r="O298" s="230">
        <f t="shared" si="1024"/>
        <v>0</v>
      </c>
      <c r="P298" s="230">
        <f t="shared" si="1024"/>
        <v>0</v>
      </c>
      <c r="Q298" s="230">
        <f t="shared" si="1024"/>
        <v>0</v>
      </c>
      <c r="R298" s="230">
        <f t="shared" si="1024"/>
        <v>0</v>
      </c>
      <c r="S298" s="230">
        <f t="shared" si="1024"/>
        <v>0</v>
      </c>
      <c r="T298" s="230">
        <f t="shared" si="1024"/>
        <v>0</v>
      </c>
      <c r="U298" s="230">
        <f t="shared" si="1024"/>
        <v>0</v>
      </c>
      <c r="V298" s="230">
        <f t="shared" si="1024"/>
        <v>0</v>
      </c>
      <c r="W298" s="230">
        <f t="shared" si="1024"/>
        <v>0</v>
      </c>
      <c r="X298" s="230">
        <f t="shared" si="1024"/>
        <v>0</v>
      </c>
      <c r="Y298" s="230">
        <f t="shared" si="1024"/>
        <v>0</v>
      </c>
      <c r="Z298" s="230">
        <f t="shared" si="1024"/>
        <v>0</v>
      </c>
      <c r="AA298" s="230">
        <f t="shared" si="1024"/>
        <v>0</v>
      </c>
      <c r="AB298" s="230">
        <f t="shared" si="1024"/>
        <v>0</v>
      </c>
      <c r="AC298" s="230">
        <f t="shared" si="1024"/>
        <v>0</v>
      </c>
      <c r="AD298" s="230">
        <f t="shared" si="1024"/>
        <v>0</v>
      </c>
      <c r="AE298" s="230">
        <f t="shared" si="1024"/>
        <v>0</v>
      </c>
      <c r="AF298" s="230">
        <f t="shared" si="1024"/>
        <v>0</v>
      </c>
      <c r="AG298" s="230">
        <f t="shared" si="1024"/>
        <v>0</v>
      </c>
      <c r="AH298" s="230">
        <f t="shared" ref="AH298:BM298" si="1025">AH43*AH122</f>
        <v>0</v>
      </c>
      <c r="AI298" s="230">
        <f t="shared" si="1025"/>
        <v>0</v>
      </c>
      <c r="AJ298" s="230">
        <f t="shared" si="1025"/>
        <v>0</v>
      </c>
      <c r="AK298" s="230">
        <f t="shared" si="1025"/>
        <v>0</v>
      </c>
      <c r="AL298" s="230">
        <f t="shared" si="1025"/>
        <v>0</v>
      </c>
      <c r="AM298" s="230">
        <f t="shared" si="1025"/>
        <v>0</v>
      </c>
      <c r="AN298" s="230">
        <f t="shared" si="1025"/>
        <v>0</v>
      </c>
      <c r="AO298" s="230">
        <f t="shared" si="1025"/>
        <v>0</v>
      </c>
      <c r="AP298" s="230">
        <f t="shared" si="1025"/>
        <v>0</v>
      </c>
      <c r="AQ298" s="230">
        <f t="shared" si="1025"/>
        <v>0</v>
      </c>
      <c r="AR298" s="230">
        <f t="shared" si="1025"/>
        <v>0</v>
      </c>
      <c r="AS298" s="230">
        <f t="shared" si="1025"/>
        <v>0</v>
      </c>
      <c r="AT298" s="230">
        <f t="shared" si="1025"/>
        <v>0</v>
      </c>
      <c r="AU298" s="230">
        <f t="shared" si="1025"/>
        <v>0</v>
      </c>
      <c r="AV298" s="230">
        <f t="shared" si="1025"/>
        <v>0</v>
      </c>
      <c r="AW298" s="230">
        <f t="shared" si="1025"/>
        <v>0</v>
      </c>
      <c r="AX298" s="230">
        <f t="shared" si="1025"/>
        <v>0</v>
      </c>
      <c r="AY298" s="230">
        <f t="shared" si="1025"/>
        <v>0</v>
      </c>
      <c r="AZ298" s="230">
        <f t="shared" si="1025"/>
        <v>0</v>
      </c>
      <c r="BA298" s="230">
        <f t="shared" si="1025"/>
        <v>0</v>
      </c>
      <c r="BB298" s="230">
        <f t="shared" si="1025"/>
        <v>0</v>
      </c>
      <c r="BC298" s="230">
        <f t="shared" si="1025"/>
        <v>0</v>
      </c>
      <c r="BD298" s="230">
        <f t="shared" si="1025"/>
        <v>0</v>
      </c>
      <c r="BE298" s="230">
        <f t="shared" si="1025"/>
        <v>0</v>
      </c>
      <c r="BF298" s="230">
        <f t="shared" si="1025"/>
        <v>0</v>
      </c>
      <c r="BG298" s="230">
        <f t="shared" si="1025"/>
        <v>0</v>
      </c>
      <c r="BH298" s="230">
        <f t="shared" si="1025"/>
        <v>0</v>
      </c>
      <c r="BI298" s="230">
        <f t="shared" si="1025"/>
        <v>0</v>
      </c>
      <c r="BJ298" s="230">
        <f t="shared" si="1025"/>
        <v>0</v>
      </c>
      <c r="BK298" s="230">
        <f t="shared" si="1025"/>
        <v>0</v>
      </c>
      <c r="BL298" s="230">
        <f t="shared" si="1025"/>
        <v>0</v>
      </c>
      <c r="BM298" s="230">
        <f t="shared" si="1025"/>
        <v>0</v>
      </c>
      <c r="BN298" s="230">
        <f t="shared" ref="BN298:CB298" si="1026">BN43*BN122</f>
        <v>0</v>
      </c>
      <c r="BO298" s="230">
        <f t="shared" si="1026"/>
        <v>0</v>
      </c>
      <c r="BP298" s="230">
        <f t="shared" si="1026"/>
        <v>0</v>
      </c>
      <c r="BQ298" s="230">
        <f t="shared" si="1026"/>
        <v>0</v>
      </c>
      <c r="BR298" s="230">
        <f t="shared" si="1026"/>
        <v>0</v>
      </c>
      <c r="BS298" s="230">
        <f t="shared" si="1026"/>
        <v>0</v>
      </c>
      <c r="BT298" s="230">
        <f t="shared" si="1026"/>
        <v>0</v>
      </c>
      <c r="BU298" s="230">
        <f t="shared" si="1026"/>
        <v>0</v>
      </c>
      <c r="BV298" s="230">
        <f t="shared" si="1026"/>
        <v>0</v>
      </c>
      <c r="BW298" s="230">
        <f t="shared" si="1026"/>
        <v>0</v>
      </c>
      <c r="BX298" s="230">
        <f t="shared" si="1026"/>
        <v>0</v>
      </c>
      <c r="BY298" s="230">
        <f t="shared" si="1026"/>
        <v>0</v>
      </c>
      <c r="BZ298" s="230">
        <f t="shared" si="1026"/>
        <v>0</v>
      </c>
      <c r="CA298" s="230">
        <f t="shared" si="1026"/>
        <v>0</v>
      </c>
      <c r="CB298" s="230">
        <f t="shared" si="1026"/>
        <v>0</v>
      </c>
      <c r="CC298" s="19"/>
      <c r="CD298" s="19"/>
      <c r="CE298" s="19"/>
      <c r="CH298" s="693"/>
      <c r="CI298" s="693"/>
      <c r="CJ298" s="693"/>
      <c r="CK298" s="693"/>
      <c r="CL298" s="693"/>
      <c r="CM298" s="693"/>
      <c r="CN298" s="693"/>
      <c r="CO298" s="693"/>
      <c r="CP298" s="693"/>
      <c r="CQ298" s="693"/>
      <c r="CR298" s="693"/>
      <c r="CS298" s="693"/>
      <c r="CT298" s="693"/>
      <c r="CU298" s="693"/>
      <c r="CV298" s="693"/>
      <c r="CW298" s="693"/>
      <c r="CX298" s="693"/>
      <c r="CY298" s="693"/>
      <c r="CZ298" s="693"/>
      <c r="DA298" s="693"/>
      <c r="DB298" s="693"/>
      <c r="DC298" s="693"/>
      <c r="DD298" s="693"/>
      <c r="DE298" s="693"/>
      <c r="DF298" s="693"/>
      <c r="DG298" s="693"/>
      <c r="DH298" s="693"/>
      <c r="DI298" s="693"/>
      <c r="DJ298" s="693"/>
      <c r="DK298" s="693"/>
      <c r="DL298" s="693"/>
      <c r="DM298" s="693"/>
      <c r="DN298" s="693"/>
      <c r="DO298" s="693"/>
      <c r="DP298" s="693"/>
      <c r="DQ298" s="693"/>
      <c r="DR298" s="693"/>
      <c r="DS298" s="693"/>
      <c r="DT298" s="693"/>
      <c r="DU298" s="693"/>
      <c r="DV298" s="693"/>
      <c r="DW298" s="693"/>
      <c r="DX298" s="693"/>
      <c r="DY298" s="693"/>
      <c r="DZ298" s="693"/>
      <c r="EA298" s="693"/>
      <c r="EB298" s="693"/>
      <c r="EC298" s="693"/>
      <c r="ED298" s="693"/>
    </row>
    <row r="299" spans="1:134">
      <c r="A299" s="230" t="str">
        <f>A45</f>
        <v>Bond 3</v>
      </c>
      <c r="B299" s="230">
        <f t="shared" ref="B299:AG299" si="1027">B45*B127</f>
        <v>0</v>
      </c>
      <c r="C299" s="230">
        <f t="shared" si="1027"/>
        <v>0</v>
      </c>
      <c r="D299" s="230">
        <f t="shared" si="1027"/>
        <v>0</v>
      </c>
      <c r="E299" s="230">
        <f t="shared" si="1027"/>
        <v>0</v>
      </c>
      <c r="F299" s="230">
        <f t="shared" si="1027"/>
        <v>0</v>
      </c>
      <c r="G299" s="230">
        <f t="shared" si="1027"/>
        <v>0</v>
      </c>
      <c r="H299" s="230">
        <f t="shared" si="1027"/>
        <v>0</v>
      </c>
      <c r="I299" s="230">
        <f t="shared" si="1027"/>
        <v>0</v>
      </c>
      <c r="J299" s="230">
        <f t="shared" si="1027"/>
        <v>0</v>
      </c>
      <c r="K299" s="230">
        <f t="shared" si="1027"/>
        <v>0</v>
      </c>
      <c r="L299" s="230">
        <f t="shared" si="1027"/>
        <v>0</v>
      </c>
      <c r="M299" s="230">
        <f t="shared" si="1027"/>
        <v>0</v>
      </c>
      <c r="N299" s="230">
        <f t="shared" si="1027"/>
        <v>0</v>
      </c>
      <c r="O299" s="230">
        <f t="shared" si="1027"/>
        <v>0</v>
      </c>
      <c r="P299" s="230">
        <f t="shared" si="1027"/>
        <v>0</v>
      </c>
      <c r="Q299" s="230">
        <f t="shared" si="1027"/>
        <v>0</v>
      </c>
      <c r="R299" s="230">
        <f t="shared" si="1027"/>
        <v>0</v>
      </c>
      <c r="S299" s="230">
        <f t="shared" si="1027"/>
        <v>0</v>
      </c>
      <c r="T299" s="230">
        <f t="shared" si="1027"/>
        <v>0</v>
      </c>
      <c r="U299" s="230">
        <f t="shared" si="1027"/>
        <v>0</v>
      </c>
      <c r="V299" s="230">
        <f t="shared" si="1027"/>
        <v>0</v>
      </c>
      <c r="W299" s="230">
        <f t="shared" si="1027"/>
        <v>0</v>
      </c>
      <c r="X299" s="230">
        <f t="shared" si="1027"/>
        <v>0</v>
      </c>
      <c r="Y299" s="230">
        <f t="shared" si="1027"/>
        <v>0</v>
      </c>
      <c r="Z299" s="230">
        <f t="shared" si="1027"/>
        <v>0</v>
      </c>
      <c r="AA299" s="230">
        <f t="shared" si="1027"/>
        <v>0</v>
      </c>
      <c r="AB299" s="230">
        <f t="shared" si="1027"/>
        <v>0</v>
      </c>
      <c r="AC299" s="230">
        <f t="shared" si="1027"/>
        <v>0</v>
      </c>
      <c r="AD299" s="230">
        <f t="shared" si="1027"/>
        <v>0</v>
      </c>
      <c r="AE299" s="230">
        <f t="shared" si="1027"/>
        <v>0</v>
      </c>
      <c r="AF299" s="230">
        <f t="shared" si="1027"/>
        <v>0</v>
      </c>
      <c r="AG299" s="230">
        <f t="shared" si="1027"/>
        <v>0</v>
      </c>
      <c r="AH299" s="230">
        <f t="shared" ref="AH299:BM299" si="1028">AH45*AH127</f>
        <v>0</v>
      </c>
      <c r="AI299" s="230">
        <f t="shared" si="1028"/>
        <v>0</v>
      </c>
      <c r="AJ299" s="230">
        <f t="shared" si="1028"/>
        <v>0</v>
      </c>
      <c r="AK299" s="230">
        <f t="shared" si="1028"/>
        <v>0</v>
      </c>
      <c r="AL299" s="230">
        <f t="shared" si="1028"/>
        <v>0</v>
      </c>
      <c r="AM299" s="230">
        <f t="shared" si="1028"/>
        <v>0</v>
      </c>
      <c r="AN299" s="230">
        <f t="shared" si="1028"/>
        <v>0</v>
      </c>
      <c r="AO299" s="230">
        <f t="shared" si="1028"/>
        <v>0</v>
      </c>
      <c r="AP299" s="230">
        <f t="shared" si="1028"/>
        <v>0</v>
      </c>
      <c r="AQ299" s="230">
        <f t="shared" si="1028"/>
        <v>0</v>
      </c>
      <c r="AR299" s="230">
        <f t="shared" si="1028"/>
        <v>0</v>
      </c>
      <c r="AS299" s="230">
        <f t="shared" si="1028"/>
        <v>0</v>
      </c>
      <c r="AT299" s="230">
        <f t="shared" si="1028"/>
        <v>0</v>
      </c>
      <c r="AU299" s="230">
        <f t="shared" si="1028"/>
        <v>0</v>
      </c>
      <c r="AV299" s="230">
        <f t="shared" si="1028"/>
        <v>0</v>
      </c>
      <c r="AW299" s="230">
        <f t="shared" si="1028"/>
        <v>0</v>
      </c>
      <c r="AX299" s="230">
        <f t="shared" si="1028"/>
        <v>0</v>
      </c>
      <c r="AY299" s="230">
        <f t="shared" si="1028"/>
        <v>0</v>
      </c>
      <c r="AZ299" s="230">
        <f t="shared" si="1028"/>
        <v>0</v>
      </c>
      <c r="BA299" s="230">
        <f t="shared" si="1028"/>
        <v>0</v>
      </c>
      <c r="BB299" s="230">
        <f t="shared" si="1028"/>
        <v>0</v>
      </c>
      <c r="BC299" s="230">
        <f t="shared" si="1028"/>
        <v>0</v>
      </c>
      <c r="BD299" s="230">
        <f t="shared" si="1028"/>
        <v>0</v>
      </c>
      <c r="BE299" s="230">
        <f t="shared" si="1028"/>
        <v>0</v>
      </c>
      <c r="BF299" s="230">
        <f t="shared" si="1028"/>
        <v>0</v>
      </c>
      <c r="BG299" s="230">
        <f t="shared" si="1028"/>
        <v>0</v>
      </c>
      <c r="BH299" s="230">
        <f t="shared" si="1028"/>
        <v>0</v>
      </c>
      <c r="BI299" s="230">
        <f t="shared" si="1028"/>
        <v>0</v>
      </c>
      <c r="BJ299" s="230">
        <f t="shared" si="1028"/>
        <v>0</v>
      </c>
      <c r="BK299" s="230">
        <f t="shared" si="1028"/>
        <v>0</v>
      </c>
      <c r="BL299" s="230">
        <f t="shared" si="1028"/>
        <v>0</v>
      </c>
      <c r="BM299" s="230">
        <f t="shared" si="1028"/>
        <v>0</v>
      </c>
      <c r="BN299" s="230">
        <f t="shared" ref="BN299:CB299" si="1029">BN45*BN127</f>
        <v>0</v>
      </c>
      <c r="BO299" s="230">
        <f t="shared" si="1029"/>
        <v>0</v>
      </c>
      <c r="BP299" s="230">
        <f t="shared" si="1029"/>
        <v>0</v>
      </c>
      <c r="BQ299" s="230">
        <f t="shared" si="1029"/>
        <v>0</v>
      </c>
      <c r="BR299" s="230">
        <f t="shared" si="1029"/>
        <v>0</v>
      </c>
      <c r="BS299" s="230">
        <f t="shared" si="1029"/>
        <v>0</v>
      </c>
      <c r="BT299" s="230">
        <f t="shared" si="1029"/>
        <v>0</v>
      </c>
      <c r="BU299" s="230">
        <f t="shared" si="1029"/>
        <v>0</v>
      </c>
      <c r="BV299" s="230">
        <f t="shared" si="1029"/>
        <v>0</v>
      </c>
      <c r="BW299" s="230">
        <f t="shared" si="1029"/>
        <v>0</v>
      </c>
      <c r="BX299" s="230">
        <f t="shared" si="1029"/>
        <v>0</v>
      </c>
      <c r="BY299" s="230">
        <f t="shared" si="1029"/>
        <v>0</v>
      </c>
      <c r="BZ299" s="230">
        <f t="shared" si="1029"/>
        <v>0</v>
      </c>
      <c r="CA299" s="230">
        <f t="shared" si="1029"/>
        <v>0</v>
      </c>
      <c r="CB299" s="230">
        <f t="shared" si="1029"/>
        <v>0</v>
      </c>
      <c r="CC299" s="19"/>
      <c r="CD299" s="19"/>
      <c r="CE299" s="19"/>
      <c r="CH299" s="693"/>
      <c r="CI299" s="693"/>
      <c r="CJ299" s="693"/>
      <c r="CK299" s="693"/>
      <c r="CL299" s="693"/>
      <c r="CM299" s="693"/>
      <c r="CN299" s="693"/>
      <c r="CO299" s="693"/>
      <c r="CP299" s="693"/>
      <c r="CQ299" s="693"/>
      <c r="CR299" s="693"/>
      <c r="CS299" s="693"/>
      <c r="CT299" s="693"/>
      <c r="CU299" s="693"/>
      <c r="CV299" s="693"/>
      <c r="CW299" s="693"/>
      <c r="CX299" s="693"/>
      <c r="CY299" s="693"/>
      <c r="CZ299" s="693"/>
      <c r="DA299" s="693"/>
      <c r="DB299" s="693"/>
      <c r="DC299" s="693"/>
      <c r="DD299" s="693"/>
      <c r="DE299" s="693"/>
      <c r="DF299" s="693"/>
      <c r="DG299" s="693"/>
      <c r="DH299" s="693"/>
      <c r="DI299" s="693"/>
      <c r="DJ299" s="693"/>
      <c r="DK299" s="693"/>
      <c r="DL299" s="693"/>
      <c r="DM299" s="693"/>
      <c r="DN299" s="693"/>
      <c r="DO299" s="693"/>
      <c r="DP299" s="693"/>
      <c r="DQ299" s="693"/>
      <c r="DR299" s="693"/>
      <c r="DS299" s="693"/>
      <c r="DT299" s="693"/>
      <c r="DU299" s="693"/>
      <c r="DV299" s="693"/>
      <c r="DW299" s="693"/>
      <c r="DX299" s="693"/>
      <c r="DY299" s="693"/>
      <c r="DZ299" s="693"/>
      <c r="EA299" s="693"/>
      <c r="EB299" s="693"/>
      <c r="EC299" s="693"/>
      <c r="ED299" s="693"/>
    </row>
    <row r="300" spans="1:134">
      <c r="A300" s="230" t="str">
        <f>A47</f>
        <v>Bond 4</v>
      </c>
      <c r="B300" s="230">
        <f t="shared" ref="B300:AG300" si="1030">B47*B132</f>
        <v>1.6301679323784479</v>
      </c>
      <c r="C300" s="230">
        <f t="shared" si="1030"/>
        <v>1.6156096180270303</v>
      </c>
      <c r="D300" s="230">
        <f t="shared" si="1030"/>
        <v>1.6022501439047272</v>
      </c>
      <c r="E300" s="230">
        <f t="shared" si="1030"/>
        <v>1.5902480394236516</v>
      </c>
      <c r="F300" s="230">
        <f t="shared" si="1030"/>
        <v>1.5788827316355176</v>
      </c>
      <c r="G300" s="230">
        <f t="shared" si="1030"/>
        <v>1.5684329327341544</v>
      </c>
      <c r="H300" s="230">
        <f t="shared" si="1030"/>
        <v>1.5582290540105264</v>
      </c>
      <c r="I300" s="230">
        <f t="shared" si="1030"/>
        <v>1.5485493516308126</v>
      </c>
      <c r="J300" s="230">
        <f t="shared" si="1030"/>
        <v>95.655343391093766</v>
      </c>
      <c r="K300" s="230">
        <f t="shared" si="1030"/>
        <v>0</v>
      </c>
      <c r="L300" s="230">
        <f t="shared" si="1030"/>
        <v>0</v>
      </c>
      <c r="M300" s="230">
        <f t="shared" si="1030"/>
        <v>0</v>
      </c>
      <c r="N300" s="230">
        <f t="shared" si="1030"/>
        <v>0</v>
      </c>
      <c r="O300" s="230">
        <f t="shared" si="1030"/>
        <v>0</v>
      </c>
      <c r="P300" s="230">
        <f t="shared" si="1030"/>
        <v>0</v>
      </c>
      <c r="Q300" s="230">
        <f t="shared" si="1030"/>
        <v>0</v>
      </c>
      <c r="R300" s="230">
        <f t="shared" si="1030"/>
        <v>0</v>
      </c>
      <c r="S300" s="230">
        <f t="shared" si="1030"/>
        <v>0</v>
      </c>
      <c r="T300" s="230">
        <f t="shared" si="1030"/>
        <v>0</v>
      </c>
      <c r="U300" s="230">
        <f t="shared" si="1030"/>
        <v>0</v>
      </c>
      <c r="V300" s="230">
        <f t="shared" si="1030"/>
        <v>0</v>
      </c>
      <c r="W300" s="230">
        <f t="shared" si="1030"/>
        <v>0</v>
      </c>
      <c r="X300" s="230">
        <f t="shared" si="1030"/>
        <v>0</v>
      </c>
      <c r="Y300" s="230">
        <f t="shared" si="1030"/>
        <v>0</v>
      </c>
      <c r="Z300" s="230">
        <f t="shared" si="1030"/>
        <v>0</v>
      </c>
      <c r="AA300" s="230">
        <f t="shared" si="1030"/>
        <v>0</v>
      </c>
      <c r="AB300" s="230">
        <f t="shared" si="1030"/>
        <v>0</v>
      </c>
      <c r="AC300" s="230">
        <f t="shared" si="1030"/>
        <v>0</v>
      </c>
      <c r="AD300" s="230">
        <f t="shared" si="1030"/>
        <v>0</v>
      </c>
      <c r="AE300" s="230">
        <f t="shared" si="1030"/>
        <v>0</v>
      </c>
      <c r="AF300" s="230">
        <f t="shared" si="1030"/>
        <v>0</v>
      </c>
      <c r="AG300" s="230">
        <f t="shared" si="1030"/>
        <v>0</v>
      </c>
      <c r="AH300" s="230">
        <f t="shared" ref="AH300:BM300" si="1031">AH47*AH132</f>
        <v>0</v>
      </c>
      <c r="AI300" s="230">
        <f t="shared" si="1031"/>
        <v>0</v>
      </c>
      <c r="AJ300" s="230">
        <f t="shared" si="1031"/>
        <v>0</v>
      </c>
      <c r="AK300" s="230">
        <f t="shared" si="1031"/>
        <v>0</v>
      </c>
      <c r="AL300" s="230">
        <f t="shared" si="1031"/>
        <v>0</v>
      </c>
      <c r="AM300" s="230">
        <f t="shared" si="1031"/>
        <v>0</v>
      </c>
      <c r="AN300" s="230">
        <f t="shared" si="1031"/>
        <v>0</v>
      </c>
      <c r="AO300" s="230">
        <f t="shared" si="1031"/>
        <v>0</v>
      </c>
      <c r="AP300" s="230">
        <f t="shared" si="1031"/>
        <v>0</v>
      </c>
      <c r="AQ300" s="230">
        <f t="shared" si="1031"/>
        <v>0</v>
      </c>
      <c r="AR300" s="230">
        <f t="shared" si="1031"/>
        <v>0</v>
      </c>
      <c r="AS300" s="230">
        <f t="shared" si="1031"/>
        <v>0</v>
      </c>
      <c r="AT300" s="230">
        <f t="shared" si="1031"/>
        <v>0</v>
      </c>
      <c r="AU300" s="230">
        <f t="shared" si="1031"/>
        <v>0</v>
      </c>
      <c r="AV300" s="230">
        <f t="shared" si="1031"/>
        <v>0</v>
      </c>
      <c r="AW300" s="230">
        <f t="shared" si="1031"/>
        <v>0</v>
      </c>
      <c r="AX300" s="230">
        <f t="shared" si="1031"/>
        <v>0</v>
      </c>
      <c r="AY300" s="230">
        <f t="shared" si="1031"/>
        <v>0</v>
      </c>
      <c r="AZ300" s="230">
        <f t="shared" si="1031"/>
        <v>0</v>
      </c>
      <c r="BA300" s="230">
        <f t="shared" si="1031"/>
        <v>0</v>
      </c>
      <c r="BB300" s="230">
        <f t="shared" si="1031"/>
        <v>0</v>
      </c>
      <c r="BC300" s="230">
        <f t="shared" si="1031"/>
        <v>0</v>
      </c>
      <c r="BD300" s="230">
        <f t="shared" si="1031"/>
        <v>0</v>
      </c>
      <c r="BE300" s="230">
        <f t="shared" si="1031"/>
        <v>0</v>
      </c>
      <c r="BF300" s="230">
        <f t="shared" si="1031"/>
        <v>0</v>
      </c>
      <c r="BG300" s="230">
        <f t="shared" si="1031"/>
        <v>0</v>
      </c>
      <c r="BH300" s="230">
        <f t="shared" si="1031"/>
        <v>0</v>
      </c>
      <c r="BI300" s="230">
        <f t="shared" si="1031"/>
        <v>0</v>
      </c>
      <c r="BJ300" s="230">
        <f t="shared" si="1031"/>
        <v>0</v>
      </c>
      <c r="BK300" s="230">
        <f t="shared" si="1031"/>
        <v>0</v>
      </c>
      <c r="BL300" s="230">
        <f t="shared" si="1031"/>
        <v>0</v>
      </c>
      <c r="BM300" s="230">
        <f t="shared" si="1031"/>
        <v>0</v>
      </c>
      <c r="BN300" s="230">
        <f t="shared" ref="BN300:CB300" si="1032">BN47*BN132</f>
        <v>0</v>
      </c>
      <c r="BO300" s="230">
        <f t="shared" si="1032"/>
        <v>0</v>
      </c>
      <c r="BP300" s="230">
        <f t="shared" si="1032"/>
        <v>0</v>
      </c>
      <c r="BQ300" s="230">
        <f t="shared" si="1032"/>
        <v>0</v>
      </c>
      <c r="BR300" s="230">
        <f t="shared" si="1032"/>
        <v>0</v>
      </c>
      <c r="BS300" s="230">
        <f t="shared" si="1032"/>
        <v>0</v>
      </c>
      <c r="BT300" s="230">
        <f t="shared" si="1032"/>
        <v>0</v>
      </c>
      <c r="BU300" s="230">
        <f t="shared" si="1032"/>
        <v>0</v>
      </c>
      <c r="BV300" s="230">
        <f t="shared" si="1032"/>
        <v>0</v>
      </c>
      <c r="BW300" s="230">
        <f t="shared" si="1032"/>
        <v>0</v>
      </c>
      <c r="BX300" s="230">
        <f t="shared" si="1032"/>
        <v>0</v>
      </c>
      <c r="BY300" s="230">
        <f t="shared" si="1032"/>
        <v>0</v>
      </c>
      <c r="BZ300" s="230">
        <f t="shared" si="1032"/>
        <v>0</v>
      </c>
      <c r="CA300" s="230">
        <f t="shared" si="1032"/>
        <v>0</v>
      </c>
      <c r="CB300" s="230">
        <f t="shared" si="1032"/>
        <v>0</v>
      </c>
      <c r="CC300" s="19"/>
      <c r="CD300" s="19"/>
      <c r="CE300" s="19"/>
      <c r="CH300" s="7"/>
      <c r="CI300" s="693"/>
      <c r="CJ300" s="693"/>
      <c r="CK300" s="693"/>
      <c r="CL300" s="693"/>
      <c r="CM300" s="693"/>
      <c r="CN300" s="693"/>
      <c r="CO300" s="693"/>
      <c r="CP300" s="693"/>
      <c r="CQ300" s="693"/>
      <c r="CR300" s="693"/>
      <c r="CS300" s="693"/>
      <c r="CT300" s="693"/>
      <c r="CU300" s="693"/>
      <c r="CV300" s="693"/>
      <c r="CW300" s="693"/>
      <c r="CX300" s="693"/>
      <c r="CY300" s="693"/>
      <c r="CZ300" s="693"/>
      <c r="DA300" s="693"/>
      <c r="DB300" s="693"/>
      <c r="DC300" s="693"/>
      <c r="DD300" s="693"/>
      <c r="DE300" s="693"/>
      <c r="DF300" s="693"/>
      <c r="DG300" s="693"/>
      <c r="DH300" s="693"/>
      <c r="DI300" s="693"/>
      <c r="DJ300" s="693"/>
      <c r="DK300" s="693"/>
      <c r="DL300" s="693"/>
      <c r="DM300" s="693"/>
      <c r="DN300" s="693"/>
      <c r="DO300" s="693"/>
      <c r="DP300" s="693"/>
      <c r="DQ300" s="693"/>
      <c r="DR300" s="693"/>
      <c r="DS300" s="693"/>
      <c r="DT300" s="693"/>
      <c r="DU300" s="693"/>
      <c r="DV300" s="693"/>
      <c r="DW300" s="693"/>
      <c r="DX300" s="693"/>
      <c r="DY300" s="693"/>
      <c r="DZ300" s="693"/>
      <c r="EA300" s="693"/>
      <c r="EB300" s="693"/>
      <c r="EC300" s="693"/>
      <c r="ED300" s="693"/>
    </row>
    <row r="301" spans="1:134">
      <c r="A301" s="230" t="str">
        <f>A49</f>
        <v>Bond 5</v>
      </c>
      <c r="B301" s="230">
        <f t="shared" ref="B301:AG301" si="1033">B49*B137</f>
        <v>0</v>
      </c>
      <c r="C301" s="230">
        <f t="shared" si="1033"/>
        <v>0</v>
      </c>
      <c r="D301" s="230">
        <f t="shared" si="1033"/>
        <v>0</v>
      </c>
      <c r="E301" s="230">
        <f t="shared" si="1033"/>
        <v>0</v>
      </c>
      <c r="F301" s="230">
        <f t="shared" si="1033"/>
        <v>0</v>
      </c>
      <c r="G301" s="230">
        <f t="shared" si="1033"/>
        <v>0</v>
      </c>
      <c r="H301" s="230">
        <f t="shared" si="1033"/>
        <v>0</v>
      </c>
      <c r="I301" s="230">
        <f t="shared" si="1033"/>
        <v>0</v>
      </c>
      <c r="J301" s="230">
        <f t="shared" si="1033"/>
        <v>0</v>
      </c>
      <c r="K301" s="230">
        <f t="shared" si="1033"/>
        <v>0</v>
      </c>
      <c r="L301" s="230">
        <f t="shared" si="1033"/>
        <v>0</v>
      </c>
      <c r="M301" s="230">
        <f t="shared" si="1033"/>
        <v>0</v>
      </c>
      <c r="N301" s="230">
        <f t="shared" si="1033"/>
        <v>0</v>
      </c>
      <c r="O301" s="230">
        <f t="shared" si="1033"/>
        <v>0</v>
      </c>
      <c r="P301" s="230">
        <f t="shared" si="1033"/>
        <v>0</v>
      </c>
      <c r="Q301" s="230">
        <f t="shared" si="1033"/>
        <v>0</v>
      </c>
      <c r="R301" s="230">
        <f t="shared" si="1033"/>
        <v>0</v>
      </c>
      <c r="S301" s="230">
        <f t="shared" si="1033"/>
        <v>0</v>
      </c>
      <c r="T301" s="230">
        <f t="shared" si="1033"/>
        <v>0</v>
      </c>
      <c r="U301" s="230">
        <f t="shared" si="1033"/>
        <v>0</v>
      </c>
      <c r="V301" s="230">
        <f t="shared" si="1033"/>
        <v>0</v>
      </c>
      <c r="W301" s="230">
        <f t="shared" si="1033"/>
        <v>0</v>
      </c>
      <c r="X301" s="230">
        <f t="shared" si="1033"/>
        <v>0</v>
      </c>
      <c r="Y301" s="230">
        <f t="shared" si="1033"/>
        <v>0</v>
      </c>
      <c r="Z301" s="230">
        <f t="shared" si="1033"/>
        <v>0</v>
      </c>
      <c r="AA301" s="230">
        <f t="shared" si="1033"/>
        <v>0</v>
      </c>
      <c r="AB301" s="230">
        <f t="shared" si="1033"/>
        <v>0</v>
      </c>
      <c r="AC301" s="230">
        <f t="shared" si="1033"/>
        <v>0</v>
      </c>
      <c r="AD301" s="230">
        <f t="shared" si="1033"/>
        <v>0</v>
      </c>
      <c r="AE301" s="230">
        <f t="shared" si="1033"/>
        <v>0</v>
      </c>
      <c r="AF301" s="230">
        <f t="shared" si="1033"/>
        <v>0</v>
      </c>
      <c r="AG301" s="230">
        <f t="shared" si="1033"/>
        <v>0</v>
      </c>
      <c r="AH301" s="230">
        <f t="shared" ref="AH301:BM301" si="1034">AH49*AH137</f>
        <v>0</v>
      </c>
      <c r="AI301" s="230">
        <f t="shared" si="1034"/>
        <v>0</v>
      </c>
      <c r="AJ301" s="230">
        <f t="shared" si="1034"/>
        <v>0</v>
      </c>
      <c r="AK301" s="230">
        <f t="shared" si="1034"/>
        <v>0</v>
      </c>
      <c r="AL301" s="230">
        <f t="shared" si="1034"/>
        <v>0</v>
      </c>
      <c r="AM301" s="230">
        <f t="shared" si="1034"/>
        <v>0</v>
      </c>
      <c r="AN301" s="230">
        <f t="shared" si="1034"/>
        <v>0</v>
      </c>
      <c r="AO301" s="230">
        <f t="shared" si="1034"/>
        <v>0</v>
      </c>
      <c r="AP301" s="230">
        <f t="shared" si="1034"/>
        <v>0</v>
      </c>
      <c r="AQ301" s="230">
        <f t="shared" si="1034"/>
        <v>0</v>
      </c>
      <c r="AR301" s="230">
        <f t="shared" si="1034"/>
        <v>0</v>
      </c>
      <c r="AS301" s="230">
        <f t="shared" si="1034"/>
        <v>0</v>
      </c>
      <c r="AT301" s="230">
        <f t="shared" si="1034"/>
        <v>0</v>
      </c>
      <c r="AU301" s="230">
        <f t="shared" si="1034"/>
        <v>0</v>
      </c>
      <c r="AV301" s="230">
        <f t="shared" si="1034"/>
        <v>0</v>
      </c>
      <c r="AW301" s="230">
        <f t="shared" si="1034"/>
        <v>0</v>
      </c>
      <c r="AX301" s="230">
        <f t="shared" si="1034"/>
        <v>0</v>
      </c>
      <c r="AY301" s="230">
        <f t="shared" si="1034"/>
        <v>0</v>
      </c>
      <c r="AZ301" s="230">
        <f t="shared" si="1034"/>
        <v>0</v>
      </c>
      <c r="BA301" s="230">
        <f t="shared" si="1034"/>
        <v>0</v>
      </c>
      <c r="BB301" s="230">
        <f t="shared" si="1034"/>
        <v>0</v>
      </c>
      <c r="BC301" s="230">
        <f t="shared" si="1034"/>
        <v>0</v>
      </c>
      <c r="BD301" s="230">
        <f t="shared" si="1034"/>
        <v>0</v>
      </c>
      <c r="BE301" s="230">
        <f t="shared" si="1034"/>
        <v>0</v>
      </c>
      <c r="BF301" s="230">
        <f t="shared" si="1034"/>
        <v>0</v>
      </c>
      <c r="BG301" s="230">
        <f t="shared" si="1034"/>
        <v>0</v>
      </c>
      <c r="BH301" s="230">
        <f t="shared" si="1034"/>
        <v>0</v>
      </c>
      <c r="BI301" s="230">
        <f t="shared" si="1034"/>
        <v>0</v>
      </c>
      <c r="BJ301" s="230">
        <f t="shared" si="1034"/>
        <v>0</v>
      </c>
      <c r="BK301" s="230">
        <f t="shared" si="1034"/>
        <v>0</v>
      </c>
      <c r="BL301" s="230">
        <f t="shared" si="1034"/>
        <v>0</v>
      </c>
      <c r="BM301" s="230">
        <f t="shared" si="1034"/>
        <v>0</v>
      </c>
      <c r="BN301" s="230">
        <f t="shared" ref="BN301:CB301" si="1035">BN49*BN137</f>
        <v>0</v>
      </c>
      <c r="BO301" s="230">
        <f t="shared" si="1035"/>
        <v>0</v>
      </c>
      <c r="BP301" s="230">
        <f t="shared" si="1035"/>
        <v>0</v>
      </c>
      <c r="BQ301" s="230">
        <f t="shared" si="1035"/>
        <v>0</v>
      </c>
      <c r="BR301" s="230">
        <f t="shared" si="1035"/>
        <v>0</v>
      </c>
      <c r="BS301" s="230">
        <f t="shared" si="1035"/>
        <v>0</v>
      </c>
      <c r="BT301" s="230">
        <f t="shared" si="1035"/>
        <v>0</v>
      </c>
      <c r="BU301" s="230">
        <f t="shared" si="1035"/>
        <v>0</v>
      </c>
      <c r="BV301" s="230">
        <f t="shared" si="1035"/>
        <v>0</v>
      </c>
      <c r="BW301" s="230">
        <f t="shared" si="1035"/>
        <v>0</v>
      </c>
      <c r="BX301" s="230">
        <f t="shared" si="1035"/>
        <v>0</v>
      </c>
      <c r="BY301" s="230">
        <f t="shared" si="1035"/>
        <v>0</v>
      </c>
      <c r="BZ301" s="230">
        <f t="shared" si="1035"/>
        <v>0</v>
      </c>
      <c r="CA301" s="230">
        <f t="shared" si="1035"/>
        <v>0</v>
      </c>
      <c r="CB301" s="230">
        <f t="shared" si="1035"/>
        <v>0</v>
      </c>
      <c r="CC301" s="19"/>
      <c r="CD301" s="19"/>
      <c r="CE301" s="19"/>
      <c r="CH301" s="693"/>
      <c r="CI301" s="693"/>
      <c r="CJ301" s="693"/>
      <c r="CK301" s="693"/>
      <c r="CL301" s="693"/>
      <c r="CM301" s="693"/>
      <c r="CN301" s="693"/>
      <c r="CO301" s="693"/>
      <c r="CP301" s="693"/>
      <c r="CQ301" s="693"/>
      <c r="CR301" s="693"/>
      <c r="CS301" s="693"/>
      <c r="CT301" s="693"/>
      <c r="CU301" s="693"/>
      <c r="CV301" s="693"/>
      <c r="CW301" s="693"/>
      <c r="CX301" s="693"/>
      <c r="CY301" s="693"/>
      <c r="CZ301" s="693"/>
      <c r="DA301" s="693"/>
      <c r="DB301" s="693"/>
      <c r="DC301" s="693"/>
      <c r="DD301" s="693"/>
      <c r="DE301" s="693"/>
      <c r="DF301" s="693"/>
      <c r="DG301" s="693"/>
      <c r="DH301" s="693"/>
      <c r="DI301" s="693"/>
      <c r="DJ301" s="693"/>
      <c r="DK301" s="693"/>
      <c r="DL301" s="693"/>
      <c r="DM301" s="693"/>
      <c r="DN301" s="693"/>
      <c r="DO301" s="693"/>
      <c r="DP301" s="693"/>
      <c r="DQ301" s="693"/>
      <c r="DR301" s="693"/>
      <c r="DS301" s="693"/>
      <c r="DT301" s="693"/>
      <c r="DU301" s="693"/>
      <c r="DV301" s="693"/>
      <c r="DW301" s="693"/>
      <c r="DX301" s="693"/>
      <c r="DY301" s="693"/>
      <c r="DZ301" s="693"/>
      <c r="EA301" s="693"/>
      <c r="EB301" s="693"/>
      <c r="EC301" s="693"/>
      <c r="ED301" s="693"/>
    </row>
    <row r="302" spans="1:134">
      <c r="A302" s="230" t="str">
        <f>A51</f>
        <v>Bond 6</v>
      </c>
      <c r="B302" s="230">
        <f t="shared" ref="B302:AG302" si="1036">B51*B142</f>
        <v>0.8627639942345412</v>
      </c>
      <c r="C302" s="230">
        <f t="shared" si="1036"/>
        <v>0.85502924427719085</v>
      </c>
      <c r="D302" s="230">
        <f t="shared" si="1036"/>
        <v>0.84793458520726461</v>
      </c>
      <c r="E302" s="230">
        <f t="shared" si="1036"/>
        <v>0.84156401562297878</v>
      </c>
      <c r="F302" s="230">
        <f t="shared" si="1036"/>
        <v>0.83553485746855527</v>
      </c>
      <c r="G302" s="230">
        <f t="shared" si="1036"/>
        <v>0.82999469511588253</v>
      </c>
      <c r="H302" s="230">
        <f t="shared" si="1036"/>
        <v>0.82458822108945529</v>
      </c>
      <c r="I302" s="230">
        <f t="shared" si="1036"/>
        <v>0.81946253863203222</v>
      </c>
      <c r="J302" s="230">
        <f t="shared" si="1036"/>
        <v>0.81430570034346228</v>
      </c>
      <c r="K302" s="230">
        <f t="shared" si="1036"/>
        <v>94.367126901500185</v>
      </c>
      <c r="L302" s="230">
        <f t="shared" si="1036"/>
        <v>0</v>
      </c>
      <c r="M302" s="230">
        <f t="shared" si="1036"/>
        <v>0</v>
      </c>
      <c r="N302" s="230">
        <f t="shared" si="1036"/>
        <v>0</v>
      </c>
      <c r="O302" s="230">
        <f t="shared" si="1036"/>
        <v>0</v>
      </c>
      <c r="P302" s="230">
        <f t="shared" si="1036"/>
        <v>0</v>
      </c>
      <c r="Q302" s="230">
        <f t="shared" si="1036"/>
        <v>0</v>
      </c>
      <c r="R302" s="230">
        <f t="shared" si="1036"/>
        <v>0</v>
      </c>
      <c r="S302" s="230">
        <f t="shared" si="1036"/>
        <v>0</v>
      </c>
      <c r="T302" s="230">
        <f t="shared" si="1036"/>
        <v>0</v>
      </c>
      <c r="U302" s="230">
        <f t="shared" si="1036"/>
        <v>0</v>
      </c>
      <c r="V302" s="230">
        <f t="shared" si="1036"/>
        <v>0</v>
      </c>
      <c r="W302" s="230">
        <f t="shared" si="1036"/>
        <v>0</v>
      </c>
      <c r="X302" s="230">
        <f t="shared" si="1036"/>
        <v>0</v>
      </c>
      <c r="Y302" s="230">
        <f t="shared" si="1036"/>
        <v>0</v>
      </c>
      <c r="Z302" s="230">
        <f t="shared" si="1036"/>
        <v>0</v>
      </c>
      <c r="AA302" s="230">
        <f t="shared" si="1036"/>
        <v>0</v>
      </c>
      <c r="AB302" s="230">
        <f t="shared" si="1036"/>
        <v>0</v>
      </c>
      <c r="AC302" s="230">
        <f t="shared" si="1036"/>
        <v>0</v>
      </c>
      <c r="AD302" s="230">
        <f t="shared" si="1036"/>
        <v>0</v>
      </c>
      <c r="AE302" s="230">
        <f t="shared" si="1036"/>
        <v>0</v>
      </c>
      <c r="AF302" s="230">
        <f t="shared" si="1036"/>
        <v>0</v>
      </c>
      <c r="AG302" s="230">
        <f t="shared" si="1036"/>
        <v>0</v>
      </c>
      <c r="AH302" s="230">
        <f t="shared" ref="AH302:BM302" si="1037">AH51*AH142</f>
        <v>0</v>
      </c>
      <c r="AI302" s="230">
        <f t="shared" si="1037"/>
        <v>0</v>
      </c>
      <c r="AJ302" s="230">
        <f t="shared" si="1037"/>
        <v>0</v>
      </c>
      <c r="AK302" s="230">
        <f t="shared" si="1037"/>
        <v>0</v>
      </c>
      <c r="AL302" s="230">
        <f t="shared" si="1037"/>
        <v>0</v>
      </c>
      <c r="AM302" s="230">
        <f t="shared" si="1037"/>
        <v>0</v>
      </c>
      <c r="AN302" s="230">
        <f t="shared" si="1037"/>
        <v>0</v>
      </c>
      <c r="AO302" s="230">
        <f t="shared" si="1037"/>
        <v>0</v>
      </c>
      <c r="AP302" s="230">
        <f t="shared" si="1037"/>
        <v>0</v>
      </c>
      <c r="AQ302" s="230">
        <f t="shared" si="1037"/>
        <v>0</v>
      </c>
      <c r="AR302" s="230">
        <f t="shared" si="1037"/>
        <v>0</v>
      </c>
      <c r="AS302" s="230">
        <f t="shared" si="1037"/>
        <v>0</v>
      </c>
      <c r="AT302" s="230">
        <f t="shared" si="1037"/>
        <v>0</v>
      </c>
      <c r="AU302" s="230">
        <f t="shared" si="1037"/>
        <v>0</v>
      </c>
      <c r="AV302" s="230">
        <f t="shared" si="1037"/>
        <v>0</v>
      </c>
      <c r="AW302" s="230">
        <f t="shared" si="1037"/>
        <v>0</v>
      </c>
      <c r="AX302" s="230">
        <f t="shared" si="1037"/>
        <v>0</v>
      </c>
      <c r="AY302" s="230">
        <f t="shared" si="1037"/>
        <v>0</v>
      </c>
      <c r="AZ302" s="230">
        <f t="shared" si="1037"/>
        <v>0</v>
      </c>
      <c r="BA302" s="230">
        <f t="shared" si="1037"/>
        <v>0</v>
      </c>
      <c r="BB302" s="230">
        <f t="shared" si="1037"/>
        <v>0</v>
      </c>
      <c r="BC302" s="230">
        <f t="shared" si="1037"/>
        <v>0</v>
      </c>
      <c r="BD302" s="230">
        <f t="shared" si="1037"/>
        <v>0</v>
      </c>
      <c r="BE302" s="230">
        <f t="shared" si="1037"/>
        <v>0</v>
      </c>
      <c r="BF302" s="230">
        <f t="shared" si="1037"/>
        <v>0</v>
      </c>
      <c r="BG302" s="230">
        <f t="shared" si="1037"/>
        <v>0</v>
      </c>
      <c r="BH302" s="230">
        <f t="shared" si="1037"/>
        <v>0</v>
      </c>
      <c r="BI302" s="230">
        <f t="shared" si="1037"/>
        <v>0</v>
      </c>
      <c r="BJ302" s="230">
        <f t="shared" si="1037"/>
        <v>0</v>
      </c>
      <c r="BK302" s="230">
        <f t="shared" si="1037"/>
        <v>0</v>
      </c>
      <c r="BL302" s="230">
        <f t="shared" si="1037"/>
        <v>0</v>
      </c>
      <c r="BM302" s="230">
        <f t="shared" si="1037"/>
        <v>0</v>
      </c>
      <c r="BN302" s="230">
        <f t="shared" ref="BN302:CB302" si="1038">BN51*BN142</f>
        <v>0</v>
      </c>
      <c r="BO302" s="230">
        <f t="shared" si="1038"/>
        <v>0</v>
      </c>
      <c r="BP302" s="230">
        <f t="shared" si="1038"/>
        <v>0</v>
      </c>
      <c r="BQ302" s="230">
        <f t="shared" si="1038"/>
        <v>0</v>
      </c>
      <c r="BR302" s="230">
        <f t="shared" si="1038"/>
        <v>0</v>
      </c>
      <c r="BS302" s="230">
        <f t="shared" si="1038"/>
        <v>0</v>
      </c>
      <c r="BT302" s="230">
        <f t="shared" si="1038"/>
        <v>0</v>
      </c>
      <c r="BU302" s="230">
        <f t="shared" si="1038"/>
        <v>0</v>
      </c>
      <c r="BV302" s="230">
        <f t="shared" si="1038"/>
        <v>0</v>
      </c>
      <c r="BW302" s="230">
        <f t="shared" si="1038"/>
        <v>0</v>
      </c>
      <c r="BX302" s="230">
        <f t="shared" si="1038"/>
        <v>0</v>
      </c>
      <c r="BY302" s="230">
        <f t="shared" si="1038"/>
        <v>0</v>
      </c>
      <c r="BZ302" s="230">
        <f t="shared" si="1038"/>
        <v>0</v>
      </c>
      <c r="CA302" s="230">
        <f t="shared" si="1038"/>
        <v>0</v>
      </c>
      <c r="CB302" s="230">
        <f t="shared" si="1038"/>
        <v>0</v>
      </c>
      <c r="CC302" s="19"/>
      <c r="CD302" s="19"/>
      <c r="CE302" s="19"/>
      <c r="CH302" s="7"/>
      <c r="CI302" s="693"/>
      <c r="CJ302" s="693"/>
      <c r="CK302" s="693"/>
      <c r="CL302" s="693"/>
      <c r="CM302" s="693"/>
      <c r="CN302" s="693"/>
      <c r="CO302" s="693"/>
      <c r="CP302" s="693"/>
      <c r="CQ302" s="693"/>
      <c r="CR302" s="693"/>
      <c r="CS302" s="693"/>
      <c r="CT302" s="693"/>
      <c r="CU302" s="693"/>
      <c r="CV302" s="693"/>
      <c r="CW302" s="693"/>
      <c r="CX302" s="693"/>
      <c r="CY302" s="693"/>
      <c r="CZ302" s="693"/>
      <c r="DA302" s="693"/>
      <c r="DB302" s="693"/>
      <c r="DC302" s="693"/>
      <c r="DD302" s="693"/>
      <c r="DE302" s="693"/>
      <c r="DF302" s="693"/>
      <c r="DG302" s="693"/>
      <c r="DH302" s="693"/>
      <c r="DI302" s="693"/>
      <c r="DJ302" s="693"/>
      <c r="DK302" s="693"/>
      <c r="DL302" s="693"/>
      <c r="DM302" s="693"/>
      <c r="DN302" s="693"/>
      <c r="DO302" s="693"/>
      <c r="DP302" s="693"/>
      <c r="DQ302" s="693"/>
      <c r="DR302" s="693"/>
      <c r="DS302" s="693"/>
      <c r="DT302" s="693"/>
      <c r="DU302" s="693"/>
      <c r="DV302" s="693"/>
      <c r="DW302" s="693"/>
      <c r="DX302" s="693"/>
      <c r="DY302" s="693"/>
      <c r="DZ302" s="693"/>
      <c r="EA302" s="693"/>
      <c r="EB302" s="693"/>
      <c r="EC302" s="693"/>
      <c r="ED302" s="693"/>
    </row>
    <row r="303" spans="1:134">
      <c r="A303" s="230" t="str">
        <f>A53</f>
        <v>Bond 7</v>
      </c>
      <c r="B303" s="230">
        <f t="shared" ref="B303:AG303" si="1039">B53*B147</f>
        <v>0</v>
      </c>
      <c r="C303" s="230">
        <f t="shared" si="1039"/>
        <v>0</v>
      </c>
      <c r="D303" s="230">
        <f t="shared" si="1039"/>
        <v>0</v>
      </c>
      <c r="E303" s="230">
        <f t="shared" si="1039"/>
        <v>0</v>
      </c>
      <c r="F303" s="230">
        <f t="shared" si="1039"/>
        <v>0</v>
      </c>
      <c r="G303" s="230">
        <f t="shared" si="1039"/>
        <v>0</v>
      </c>
      <c r="H303" s="230">
        <f t="shared" si="1039"/>
        <v>0</v>
      </c>
      <c r="I303" s="230">
        <f t="shared" si="1039"/>
        <v>0</v>
      </c>
      <c r="J303" s="230">
        <f t="shared" si="1039"/>
        <v>0</v>
      </c>
      <c r="K303" s="230">
        <f t="shared" si="1039"/>
        <v>0</v>
      </c>
      <c r="L303" s="230">
        <f t="shared" si="1039"/>
        <v>0</v>
      </c>
      <c r="M303" s="230">
        <f t="shared" si="1039"/>
        <v>0</v>
      </c>
      <c r="N303" s="230">
        <f t="shared" si="1039"/>
        <v>0</v>
      </c>
      <c r="O303" s="230">
        <f t="shared" si="1039"/>
        <v>0</v>
      </c>
      <c r="P303" s="230">
        <f t="shared" si="1039"/>
        <v>0</v>
      </c>
      <c r="Q303" s="230">
        <f t="shared" si="1039"/>
        <v>0</v>
      </c>
      <c r="R303" s="230">
        <f t="shared" si="1039"/>
        <v>0</v>
      </c>
      <c r="S303" s="230">
        <f t="shared" si="1039"/>
        <v>0</v>
      </c>
      <c r="T303" s="230">
        <f t="shared" si="1039"/>
        <v>0</v>
      </c>
      <c r="U303" s="230">
        <f t="shared" si="1039"/>
        <v>0</v>
      </c>
      <c r="V303" s="230">
        <f t="shared" si="1039"/>
        <v>0</v>
      </c>
      <c r="W303" s="230">
        <f t="shared" si="1039"/>
        <v>0</v>
      </c>
      <c r="X303" s="230">
        <f t="shared" si="1039"/>
        <v>0</v>
      </c>
      <c r="Y303" s="230">
        <f t="shared" si="1039"/>
        <v>0</v>
      </c>
      <c r="Z303" s="230">
        <f t="shared" si="1039"/>
        <v>0</v>
      </c>
      <c r="AA303" s="230">
        <f t="shared" si="1039"/>
        <v>0</v>
      </c>
      <c r="AB303" s="230">
        <f t="shared" si="1039"/>
        <v>0</v>
      </c>
      <c r="AC303" s="230">
        <f t="shared" si="1039"/>
        <v>0</v>
      </c>
      <c r="AD303" s="230">
        <f t="shared" si="1039"/>
        <v>0</v>
      </c>
      <c r="AE303" s="230">
        <f t="shared" si="1039"/>
        <v>0</v>
      </c>
      <c r="AF303" s="230">
        <f t="shared" si="1039"/>
        <v>0</v>
      </c>
      <c r="AG303" s="230">
        <f t="shared" si="1039"/>
        <v>0</v>
      </c>
      <c r="AH303" s="230">
        <f t="shared" ref="AH303:BM303" si="1040">AH53*AH147</f>
        <v>0</v>
      </c>
      <c r="AI303" s="230">
        <f t="shared" si="1040"/>
        <v>0</v>
      </c>
      <c r="AJ303" s="230">
        <f t="shared" si="1040"/>
        <v>0</v>
      </c>
      <c r="AK303" s="230">
        <f t="shared" si="1040"/>
        <v>0</v>
      </c>
      <c r="AL303" s="230">
        <f t="shared" si="1040"/>
        <v>0</v>
      </c>
      <c r="AM303" s="230">
        <f t="shared" si="1040"/>
        <v>0</v>
      </c>
      <c r="AN303" s="230">
        <f t="shared" si="1040"/>
        <v>0</v>
      </c>
      <c r="AO303" s="230">
        <f t="shared" si="1040"/>
        <v>0</v>
      </c>
      <c r="AP303" s="230">
        <f t="shared" si="1040"/>
        <v>0</v>
      </c>
      <c r="AQ303" s="230">
        <f t="shared" si="1040"/>
        <v>0</v>
      </c>
      <c r="AR303" s="230">
        <f t="shared" si="1040"/>
        <v>0</v>
      </c>
      <c r="AS303" s="230">
        <f t="shared" si="1040"/>
        <v>0</v>
      </c>
      <c r="AT303" s="230">
        <f t="shared" si="1040"/>
        <v>0</v>
      </c>
      <c r="AU303" s="230">
        <f t="shared" si="1040"/>
        <v>0</v>
      </c>
      <c r="AV303" s="230">
        <f t="shared" si="1040"/>
        <v>0</v>
      </c>
      <c r="AW303" s="230">
        <f t="shared" si="1040"/>
        <v>0</v>
      </c>
      <c r="AX303" s="230">
        <f t="shared" si="1040"/>
        <v>0</v>
      </c>
      <c r="AY303" s="230">
        <f t="shared" si="1040"/>
        <v>0</v>
      </c>
      <c r="AZ303" s="230">
        <f t="shared" si="1040"/>
        <v>0</v>
      </c>
      <c r="BA303" s="230">
        <f t="shared" si="1040"/>
        <v>0</v>
      </c>
      <c r="BB303" s="230">
        <f t="shared" si="1040"/>
        <v>0</v>
      </c>
      <c r="BC303" s="230">
        <f t="shared" si="1040"/>
        <v>0</v>
      </c>
      <c r="BD303" s="230">
        <f t="shared" si="1040"/>
        <v>0</v>
      </c>
      <c r="BE303" s="230">
        <f t="shared" si="1040"/>
        <v>0</v>
      </c>
      <c r="BF303" s="230">
        <f t="shared" si="1040"/>
        <v>0</v>
      </c>
      <c r="BG303" s="230">
        <f t="shared" si="1040"/>
        <v>0</v>
      </c>
      <c r="BH303" s="230">
        <f t="shared" si="1040"/>
        <v>0</v>
      </c>
      <c r="BI303" s="230">
        <f t="shared" si="1040"/>
        <v>0</v>
      </c>
      <c r="BJ303" s="230">
        <f t="shared" si="1040"/>
        <v>0</v>
      </c>
      <c r="BK303" s="230">
        <f t="shared" si="1040"/>
        <v>0</v>
      </c>
      <c r="BL303" s="230">
        <f t="shared" si="1040"/>
        <v>0</v>
      </c>
      <c r="BM303" s="230">
        <f t="shared" si="1040"/>
        <v>0</v>
      </c>
      <c r="BN303" s="230">
        <f t="shared" ref="BN303:CB303" si="1041">BN53*BN147</f>
        <v>0</v>
      </c>
      <c r="BO303" s="230">
        <f t="shared" si="1041"/>
        <v>0</v>
      </c>
      <c r="BP303" s="230">
        <f t="shared" si="1041"/>
        <v>0</v>
      </c>
      <c r="BQ303" s="230">
        <f t="shared" si="1041"/>
        <v>0</v>
      </c>
      <c r="BR303" s="230">
        <f t="shared" si="1041"/>
        <v>0</v>
      </c>
      <c r="BS303" s="230">
        <f t="shared" si="1041"/>
        <v>0</v>
      </c>
      <c r="BT303" s="230">
        <f t="shared" si="1041"/>
        <v>0</v>
      </c>
      <c r="BU303" s="230">
        <f t="shared" si="1041"/>
        <v>0</v>
      </c>
      <c r="BV303" s="230">
        <f t="shared" si="1041"/>
        <v>0</v>
      </c>
      <c r="BW303" s="230">
        <f t="shared" si="1041"/>
        <v>0</v>
      </c>
      <c r="BX303" s="230">
        <f t="shared" si="1041"/>
        <v>0</v>
      </c>
      <c r="BY303" s="230">
        <f t="shared" si="1041"/>
        <v>0</v>
      </c>
      <c r="BZ303" s="230">
        <f t="shared" si="1041"/>
        <v>0</v>
      </c>
      <c r="CA303" s="230">
        <f t="shared" si="1041"/>
        <v>0</v>
      </c>
      <c r="CB303" s="230">
        <f t="shared" si="1041"/>
        <v>0</v>
      </c>
      <c r="CC303" s="19"/>
      <c r="CD303" s="19"/>
      <c r="CE303" s="19"/>
      <c r="CH303" s="7"/>
      <c r="CI303" s="693"/>
      <c r="CJ303" s="693"/>
      <c r="CK303" s="693"/>
      <c r="CL303" s="693"/>
      <c r="CM303" s="693"/>
      <c r="CN303" s="693"/>
      <c r="CO303" s="693"/>
      <c r="CP303" s="693"/>
      <c r="CQ303" s="693"/>
      <c r="CR303" s="693"/>
      <c r="CS303" s="693"/>
      <c r="CT303" s="693"/>
      <c r="CU303" s="693"/>
      <c r="CV303" s="693"/>
      <c r="CW303" s="693"/>
      <c r="CX303" s="693"/>
      <c r="CY303" s="693"/>
      <c r="CZ303" s="693"/>
      <c r="DA303" s="693"/>
      <c r="DB303" s="693"/>
      <c r="DC303" s="693"/>
      <c r="DD303" s="693"/>
      <c r="DE303" s="693"/>
      <c r="DF303" s="693"/>
      <c r="DG303" s="693"/>
      <c r="DH303" s="693"/>
      <c r="DI303" s="693"/>
      <c r="DJ303" s="693"/>
      <c r="DK303" s="693"/>
      <c r="DL303" s="693"/>
      <c r="DM303" s="693"/>
      <c r="DN303" s="693"/>
      <c r="DO303" s="693"/>
      <c r="DP303" s="693"/>
      <c r="DQ303" s="693"/>
      <c r="DR303" s="693"/>
      <c r="DS303" s="693"/>
      <c r="DT303" s="693"/>
      <c r="DU303" s="693"/>
      <c r="DV303" s="693"/>
      <c r="DW303" s="693"/>
      <c r="DX303" s="693"/>
      <c r="DY303" s="693"/>
      <c r="DZ303" s="693"/>
      <c r="EA303" s="693"/>
      <c r="EB303" s="693"/>
      <c r="EC303" s="693"/>
      <c r="ED303" s="693"/>
    </row>
    <row r="304" spans="1:134">
      <c r="A304" s="230" t="str">
        <f>A55</f>
        <v>Bond 8</v>
      </c>
      <c r="B304" s="230">
        <f t="shared" ref="B304:AG304" si="1042">B55*B152</f>
        <v>1.2966395289074031</v>
      </c>
      <c r="C304" s="230">
        <f t="shared" si="1042"/>
        <v>1.2850150492027146</v>
      </c>
      <c r="D304" s="230">
        <f t="shared" si="1042"/>
        <v>1.2743525558028255</v>
      </c>
      <c r="E304" s="230">
        <f t="shared" si="1042"/>
        <v>1.264778289375575</v>
      </c>
      <c r="F304" s="230">
        <f t="shared" si="1042"/>
        <v>1.2557171268313547</v>
      </c>
      <c r="G304" s="230">
        <f t="shared" si="1042"/>
        <v>1.2473908712724247</v>
      </c>
      <c r="H304" s="230">
        <f t="shared" si="1042"/>
        <v>1.2392655345853085</v>
      </c>
      <c r="I304" s="230">
        <f t="shared" si="1042"/>
        <v>1.2315621967880253</v>
      </c>
      <c r="J304" s="230">
        <f t="shared" si="1042"/>
        <v>1.2238120351982671</v>
      </c>
      <c r="K304" s="230">
        <f t="shared" si="1042"/>
        <v>1.2162520693198855</v>
      </c>
      <c r="L304" s="230">
        <f t="shared" si="1042"/>
        <v>94.169518941918199</v>
      </c>
      <c r="M304" s="230">
        <f t="shared" si="1042"/>
        <v>0</v>
      </c>
      <c r="N304" s="230">
        <f t="shared" si="1042"/>
        <v>0</v>
      </c>
      <c r="O304" s="230">
        <f t="shared" si="1042"/>
        <v>0</v>
      </c>
      <c r="P304" s="230">
        <f t="shared" si="1042"/>
        <v>0</v>
      </c>
      <c r="Q304" s="230">
        <f t="shared" si="1042"/>
        <v>0</v>
      </c>
      <c r="R304" s="230">
        <f t="shared" si="1042"/>
        <v>0</v>
      </c>
      <c r="S304" s="230">
        <f t="shared" si="1042"/>
        <v>0</v>
      </c>
      <c r="T304" s="230">
        <f t="shared" si="1042"/>
        <v>0</v>
      </c>
      <c r="U304" s="230">
        <f t="shared" si="1042"/>
        <v>0</v>
      </c>
      <c r="V304" s="230">
        <f t="shared" si="1042"/>
        <v>0</v>
      </c>
      <c r="W304" s="230">
        <f t="shared" si="1042"/>
        <v>0</v>
      </c>
      <c r="X304" s="230">
        <f t="shared" si="1042"/>
        <v>0</v>
      </c>
      <c r="Y304" s="230">
        <f t="shared" si="1042"/>
        <v>0</v>
      </c>
      <c r="Z304" s="230">
        <f t="shared" si="1042"/>
        <v>0</v>
      </c>
      <c r="AA304" s="230">
        <f t="shared" si="1042"/>
        <v>0</v>
      </c>
      <c r="AB304" s="230">
        <f t="shared" si="1042"/>
        <v>0</v>
      </c>
      <c r="AC304" s="230">
        <f t="shared" si="1042"/>
        <v>0</v>
      </c>
      <c r="AD304" s="230">
        <f t="shared" si="1042"/>
        <v>0</v>
      </c>
      <c r="AE304" s="230">
        <f t="shared" si="1042"/>
        <v>0</v>
      </c>
      <c r="AF304" s="230">
        <f t="shared" si="1042"/>
        <v>0</v>
      </c>
      <c r="AG304" s="230">
        <f t="shared" si="1042"/>
        <v>0</v>
      </c>
      <c r="AH304" s="230">
        <f t="shared" ref="AH304:BM304" si="1043">AH55*AH152</f>
        <v>0</v>
      </c>
      <c r="AI304" s="230">
        <f t="shared" si="1043"/>
        <v>0</v>
      </c>
      <c r="AJ304" s="230">
        <f t="shared" si="1043"/>
        <v>0</v>
      </c>
      <c r="AK304" s="230">
        <f t="shared" si="1043"/>
        <v>0</v>
      </c>
      <c r="AL304" s="230">
        <f t="shared" si="1043"/>
        <v>0</v>
      </c>
      <c r="AM304" s="230">
        <f t="shared" si="1043"/>
        <v>0</v>
      </c>
      <c r="AN304" s="230">
        <f t="shared" si="1043"/>
        <v>0</v>
      </c>
      <c r="AO304" s="230">
        <f t="shared" si="1043"/>
        <v>0</v>
      </c>
      <c r="AP304" s="230">
        <f t="shared" si="1043"/>
        <v>0</v>
      </c>
      <c r="AQ304" s="230">
        <f t="shared" si="1043"/>
        <v>0</v>
      </c>
      <c r="AR304" s="230">
        <f t="shared" si="1043"/>
        <v>0</v>
      </c>
      <c r="AS304" s="230">
        <f t="shared" si="1043"/>
        <v>0</v>
      </c>
      <c r="AT304" s="230">
        <f t="shared" si="1043"/>
        <v>0</v>
      </c>
      <c r="AU304" s="230">
        <f t="shared" si="1043"/>
        <v>0</v>
      </c>
      <c r="AV304" s="230">
        <f t="shared" si="1043"/>
        <v>0</v>
      </c>
      <c r="AW304" s="230">
        <f t="shared" si="1043"/>
        <v>0</v>
      </c>
      <c r="AX304" s="230">
        <f t="shared" si="1043"/>
        <v>0</v>
      </c>
      <c r="AY304" s="230">
        <f t="shared" si="1043"/>
        <v>0</v>
      </c>
      <c r="AZ304" s="230">
        <f t="shared" si="1043"/>
        <v>0</v>
      </c>
      <c r="BA304" s="230">
        <f t="shared" si="1043"/>
        <v>0</v>
      </c>
      <c r="BB304" s="230">
        <f t="shared" si="1043"/>
        <v>0</v>
      </c>
      <c r="BC304" s="230">
        <f t="shared" si="1043"/>
        <v>0</v>
      </c>
      <c r="BD304" s="230">
        <f t="shared" si="1043"/>
        <v>0</v>
      </c>
      <c r="BE304" s="230">
        <f t="shared" si="1043"/>
        <v>0</v>
      </c>
      <c r="BF304" s="230">
        <f t="shared" si="1043"/>
        <v>0</v>
      </c>
      <c r="BG304" s="230">
        <f t="shared" si="1043"/>
        <v>0</v>
      </c>
      <c r="BH304" s="230">
        <f t="shared" si="1043"/>
        <v>0</v>
      </c>
      <c r="BI304" s="230">
        <f t="shared" si="1043"/>
        <v>0</v>
      </c>
      <c r="BJ304" s="230">
        <f t="shared" si="1043"/>
        <v>0</v>
      </c>
      <c r="BK304" s="230">
        <f t="shared" si="1043"/>
        <v>0</v>
      </c>
      <c r="BL304" s="230">
        <f t="shared" si="1043"/>
        <v>0</v>
      </c>
      <c r="BM304" s="230">
        <f t="shared" si="1043"/>
        <v>0</v>
      </c>
      <c r="BN304" s="230">
        <f t="shared" ref="BN304:CB304" si="1044">BN55*BN152</f>
        <v>0</v>
      </c>
      <c r="BO304" s="230">
        <f t="shared" si="1044"/>
        <v>0</v>
      </c>
      <c r="BP304" s="230">
        <f t="shared" si="1044"/>
        <v>0</v>
      </c>
      <c r="BQ304" s="230">
        <f t="shared" si="1044"/>
        <v>0</v>
      </c>
      <c r="BR304" s="230">
        <f t="shared" si="1044"/>
        <v>0</v>
      </c>
      <c r="BS304" s="230">
        <f t="shared" si="1044"/>
        <v>0</v>
      </c>
      <c r="BT304" s="230">
        <f t="shared" si="1044"/>
        <v>0</v>
      </c>
      <c r="BU304" s="230">
        <f t="shared" si="1044"/>
        <v>0</v>
      </c>
      <c r="BV304" s="230">
        <f t="shared" si="1044"/>
        <v>0</v>
      </c>
      <c r="BW304" s="230">
        <f t="shared" si="1044"/>
        <v>0</v>
      </c>
      <c r="BX304" s="230">
        <f t="shared" si="1044"/>
        <v>0</v>
      </c>
      <c r="BY304" s="230">
        <f t="shared" si="1044"/>
        <v>0</v>
      </c>
      <c r="BZ304" s="230">
        <f t="shared" si="1044"/>
        <v>0</v>
      </c>
      <c r="CA304" s="230">
        <f t="shared" si="1044"/>
        <v>0</v>
      </c>
      <c r="CB304" s="230">
        <f t="shared" si="1044"/>
        <v>0</v>
      </c>
      <c r="CC304" s="19"/>
      <c r="CD304" s="19"/>
      <c r="CE304" s="19"/>
      <c r="CH304" s="7"/>
      <c r="CI304" s="693"/>
      <c r="CJ304" s="693"/>
      <c r="CK304" s="693"/>
      <c r="CL304" s="693"/>
      <c r="CM304" s="693"/>
      <c r="CN304" s="693"/>
      <c r="CO304" s="693"/>
      <c r="CP304" s="693"/>
      <c r="CQ304" s="693"/>
      <c r="CR304" s="693"/>
      <c r="CS304" s="693"/>
      <c r="CT304" s="693"/>
      <c r="CU304" s="693"/>
      <c r="CV304" s="693"/>
      <c r="CW304" s="693"/>
      <c r="CX304" s="693"/>
      <c r="CY304" s="693"/>
      <c r="CZ304" s="693"/>
      <c r="DA304" s="693"/>
      <c r="DB304" s="693"/>
      <c r="DC304" s="693"/>
      <c r="DD304" s="693"/>
      <c r="DE304" s="693"/>
      <c r="DF304" s="693"/>
      <c r="DG304" s="693"/>
      <c r="DH304" s="693"/>
      <c r="DI304" s="693"/>
      <c r="DJ304" s="693"/>
      <c r="DK304" s="693"/>
      <c r="DL304" s="693"/>
      <c r="DM304" s="693"/>
      <c r="DN304" s="693"/>
      <c r="DO304" s="693"/>
      <c r="DP304" s="693"/>
      <c r="DQ304" s="693"/>
      <c r="DR304" s="693"/>
      <c r="DS304" s="693"/>
      <c r="DT304" s="693"/>
      <c r="DU304" s="693"/>
      <c r="DV304" s="693"/>
      <c r="DW304" s="693"/>
      <c r="DX304" s="693"/>
      <c r="DY304" s="693"/>
      <c r="DZ304" s="693"/>
      <c r="EA304" s="693"/>
      <c r="EB304" s="693"/>
      <c r="EC304" s="693"/>
      <c r="ED304" s="693"/>
    </row>
    <row r="305" spans="1:256">
      <c r="A305" s="230" t="str">
        <f>A57</f>
        <v>Bond 9</v>
      </c>
      <c r="B305" s="230">
        <f t="shared" ref="B305:AG305" si="1045">B57*B157</f>
        <v>100.25376533228015</v>
      </c>
      <c r="C305" s="230">
        <f t="shared" si="1045"/>
        <v>0</v>
      </c>
      <c r="D305" s="230">
        <f t="shared" si="1045"/>
        <v>0</v>
      </c>
      <c r="E305" s="230">
        <f t="shared" si="1045"/>
        <v>0</v>
      </c>
      <c r="F305" s="230">
        <f t="shared" si="1045"/>
        <v>0</v>
      </c>
      <c r="G305" s="230">
        <f t="shared" si="1045"/>
        <v>0</v>
      </c>
      <c r="H305" s="230">
        <f t="shared" si="1045"/>
        <v>0</v>
      </c>
      <c r="I305" s="230">
        <f t="shared" si="1045"/>
        <v>0</v>
      </c>
      <c r="J305" s="230">
        <f t="shared" si="1045"/>
        <v>0</v>
      </c>
      <c r="K305" s="230">
        <f t="shared" si="1045"/>
        <v>0</v>
      </c>
      <c r="L305" s="230">
        <f t="shared" si="1045"/>
        <v>0</v>
      </c>
      <c r="M305" s="230">
        <f t="shared" si="1045"/>
        <v>0</v>
      </c>
      <c r="N305" s="230">
        <f t="shared" si="1045"/>
        <v>0</v>
      </c>
      <c r="O305" s="230">
        <f t="shared" si="1045"/>
        <v>0</v>
      </c>
      <c r="P305" s="230">
        <f t="shared" si="1045"/>
        <v>0</v>
      </c>
      <c r="Q305" s="230">
        <f t="shared" si="1045"/>
        <v>0</v>
      </c>
      <c r="R305" s="230">
        <f t="shared" si="1045"/>
        <v>0</v>
      </c>
      <c r="S305" s="230">
        <f t="shared" si="1045"/>
        <v>0</v>
      </c>
      <c r="T305" s="230">
        <f t="shared" si="1045"/>
        <v>0</v>
      </c>
      <c r="U305" s="230">
        <f t="shared" si="1045"/>
        <v>0</v>
      </c>
      <c r="V305" s="230">
        <f t="shared" si="1045"/>
        <v>0</v>
      </c>
      <c r="W305" s="230">
        <f t="shared" si="1045"/>
        <v>0</v>
      </c>
      <c r="X305" s="230">
        <f t="shared" si="1045"/>
        <v>0</v>
      </c>
      <c r="Y305" s="230">
        <f t="shared" si="1045"/>
        <v>0</v>
      </c>
      <c r="Z305" s="230">
        <f t="shared" si="1045"/>
        <v>0</v>
      </c>
      <c r="AA305" s="230">
        <f t="shared" si="1045"/>
        <v>0</v>
      </c>
      <c r="AB305" s="230">
        <f t="shared" si="1045"/>
        <v>0</v>
      </c>
      <c r="AC305" s="230">
        <f t="shared" si="1045"/>
        <v>0</v>
      </c>
      <c r="AD305" s="230">
        <f t="shared" si="1045"/>
        <v>0</v>
      </c>
      <c r="AE305" s="230">
        <f t="shared" si="1045"/>
        <v>0</v>
      </c>
      <c r="AF305" s="230">
        <f t="shared" si="1045"/>
        <v>0</v>
      </c>
      <c r="AG305" s="230">
        <f t="shared" si="1045"/>
        <v>0</v>
      </c>
      <c r="AH305" s="230">
        <f t="shared" ref="AH305:BM305" si="1046">AH57*AH157</f>
        <v>0</v>
      </c>
      <c r="AI305" s="230">
        <f t="shared" si="1046"/>
        <v>0</v>
      </c>
      <c r="AJ305" s="230">
        <f t="shared" si="1046"/>
        <v>0</v>
      </c>
      <c r="AK305" s="230">
        <f t="shared" si="1046"/>
        <v>0</v>
      </c>
      <c r="AL305" s="230">
        <f t="shared" si="1046"/>
        <v>0</v>
      </c>
      <c r="AM305" s="230">
        <f t="shared" si="1046"/>
        <v>0</v>
      </c>
      <c r="AN305" s="230">
        <f t="shared" si="1046"/>
        <v>0</v>
      </c>
      <c r="AO305" s="230">
        <f t="shared" si="1046"/>
        <v>0</v>
      </c>
      <c r="AP305" s="230">
        <f t="shared" si="1046"/>
        <v>0</v>
      </c>
      <c r="AQ305" s="230">
        <f t="shared" si="1046"/>
        <v>0</v>
      </c>
      <c r="AR305" s="230">
        <f t="shared" si="1046"/>
        <v>0</v>
      </c>
      <c r="AS305" s="230">
        <f t="shared" si="1046"/>
        <v>0</v>
      </c>
      <c r="AT305" s="230">
        <f t="shared" si="1046"/>
        <v>0</v>
      </c>
      <c r="AU305" s="230">
        <f t="shared" si="1046"/>
        <v>0</v>
      </c>
      <c r="AV305" s="230">
        <f t="shared" si="1046"/>
        <v>0</v>
      </c>
      <c r="AW305" s="230">
        <f t="shared" si="1046"/>
        <v>0</v>
      </c>
      <c r="AX305" s="230">
        <f t="shared" si="1046"/>
        <v>0</v>
      </c>
      <c r="AY305" s="230">
        <f t="shared" si="1046"/>
        <v>0</v>
      </c>
      <c r="AZ305" s="230">
        <f t="shared" si="1046"/>
        <v>0</v>
      </c>
      <c r="BA305" s="230">
        <f t="shared" si="1046"/>
        <v>0</v>
      </c>
      <c r="BB305" s="230">
        <f t="shared" si="1046"/>
        <v>0</v>
      </c>
      <c r="BC305" s="230">
        <f t="shared" si="1046"/>
        <v>0</v>
      </c>
      <c r="BD305" s="230">
        <f t="shared" si="1046"/>
        <v>0</v>
      </c>
      <c r="BE305" s="230">
        <f t="shared" si="1046"/>
        <v>0</v>
      </c>
      <c r="BF305" s="230">
        <f t="shared" si="1046"/>
        <v>0</v>
      </c>
      <c r="BG305" s="230">
        <f t="shared" si="1046"/>
        <v>0</v>
      </c>
      <c r="BH305" s="230">
        <f t="shared" si="1046"/>
        <v>0</v>
      </c>
      <c r="BI305" s="230">
        <f t="shared" si="1046"/>
        <v>0</v>
      </c>
      <c r="BJ305" s="230">
        <f t="shared" si="1046"/>
        <v>0</v>
      </c>
      <c r="BK305" s="230">
        <f t="shared" si="1046"/>
        <v>0</v>
      </c>
      <c r="BL305" s="230">
        <f t="shared" si="1046"/>
        <v>0</v>
      </c>
      <c r="BM305" s="230">
        <f t="shared" si="1046"/>
        <v>0</v>
      </c>
      <c r="BN305" s="230">
        <f t="shared" ref="BN305:CB305" si="1047">BN57*BN157</f>
        <v>0</v>
      </c>
      <c r="BO305" s="230">
        <f t="shared" si="1047"/>
        <v>0</v>
      </c>
      <c r="BP305" s="230">
        <f t="shared" si="1047"/>
        <v>0</v>
      </c>
      <c r="BQ305" s="230">
        <f t="shared" si="1047"/>
        <v>0</v>
      </c>
      <c r="BR305" s="230">
        <f t="shared" si="1047"/>
        <v>0</v>
      </c>
      <c r="BS305" s="230">
        <f t="shared" si="1047"/>
        <v>0</v>
      </c>
      <c r="BT305" s="230">
        <f t="shared" si="1047"/>
        <v>0</v>
      </c>
      <c r="BU305" s="230">
        <f t="shared" si="1047"/>
        <v>0</v>
      </c>
      <c r="BV305" s="230">
        <f t="shared" si="1047"/>
        <v>0</v>
      </c>
      <c r="BW305" s="230">
        <f t="shared" si="1047"/>
        <v>0</v>
      </c>
      <c r="BX305" s="230">
        <f t="shared" si="1047"/>
        <v>0</v>
      </c>
      <c r="BY305" s="230">
        <f t="shared" si="1047"/>
        <v>0</v>
      </c>
      <c r="BZ305" s="230">
        <f t="shared" si="1047"/>
        <v>0</v>
      </c>
      <c r="CA305" s="230">
        <f t="shared" si="1047"/>
        <v>0</v>
      </c>
      <c r="CB305" s="230">
        <f t="shared" si="1047"/>
        <v>0</v>
      </c>
      <c r="CC305" s="19"/>
      <c r="CD305" s="19"/>
      <c r="CE305" s="19"/>
      <c r="CH305" s="7"/>
      <c r="CI305" s="693"/>
      <c r="CJ305" s="693"/>
      <c r="CK305" s="693"/>
      <c r="CL305" s="693"/>
      <c r="CM305" s="693"/>
      <c r="CN305" s="693"/>
      <c r="CO305" s="693"/>
      <c r="CP305" s="693"/>
      <c r="CQ305" s="693"/>
      <c r="CR305" s="693"/>
      <c r="CS305" s="693"/>
      <c r="CT305" s="693"/>
      <c r="CU305" s="693"/>
      <c r="CV305" s="693"/>
      <c r="CW305" s="693"/>
      <c r="CX305" s="693"/>
      <c r="CY305" s="693"/>
      <c r="CZ305" s="693"/>
      <c r="DA305" s="693"/>
      <c r="DB305" s="693"/>
      <c r="DC305" s="693"/>
      <c r="DD305" s="693"/>
      <c r="DE305" s="693"/>
      <c r="DF305" s="693"/>
      <c r="DG305" s="693"/>
      <c r="DH305" s="693"/>
      <c r="DI305" s="693"/>
      <c r="DJ305" s="693"/>
      <c r="DK305" s="693"/>
      <c r="DL305" s="693"/>
      <c r="DM305" s="693"/>
      <c r="DN305" s="693"/>
      <c r="DO305" s="693"/>
      <c r="DP305" s="693"/>
      <c r="DQ305" s="693"/>
      <c r="DR305" s="693"/>
      <c r="DS305" s="693"/>
      <c r="DT305" s="693"/>
      <c r="DU305" s="693"/>
      <c r="DV305" s="693"/>
      <c r="DW305" s="693"/>
      <c r="DX305" s="693"/>
      <c r="DY305" s="693"/>
      <c r="DZ305" s="693"/>
      <c r="EA305" s="693"/>
      <c r="EB305" s="693"/>
      <c r="EC305" s="693"/>
      <c r="ED305" s="693"/>
    </row>
    <row r="306" spans="1:256">
      <c r="A306" s="230" t="str">
        <f>A59</f>
        <v>Bond 10</v>
      </c>
      <c r="B306" s="230">
        <f t="shared" ref="B306:AG306" si="1048">B59*B162</f>
        <v>1.4707186992175301</v>
      </c>
      <c r="C306" s="230">
        <f t="shared" si="1048"/>
        <v>1.4575771267134119</v>
      </c>
      <c r="D306" s="230">
        <f t="shared" si="1048"/>
        <v>1.4455184969502799</v>
      </c>
      <c r="E306" s="230">
        <f t="shared" si="1048"/>
        <v>1.4346858566395797</v>
      </c>
      <c r="F306" s="230">
        <f t="shared" si="1048"/>
        <v>1.4244287937401434</v>
      </c>
      <c r="G306" s="230">
        <f t="shared" si="1048"/>
        <v>1.4149987772640047</v>
      </c>
      <c r="H306" s="230">
        <f t="shared" si="1048"/>
        <v>1.40579148671294</v>
      </c>
      <c r="I306" s="230">
        <f t="shared" si="1048"/>
        <v>1.3970579213679382</v>
      </c>
      <c r="J306" s="230">
        <f t="shared" si="1048"/>
        <v>1.3882670805591146</v>
      </c>
      <c r="K306" s="230">
        <f t="shared" si="1048"/>
        <v>1.3796883275516032</v>
      </c>
      <c r="L306" s="230">
        <f t="shared" si="1048"/>
        <v>1.3708808343418504</v>
      </c>
      <c r="M306" s="230">
        <f t="shared" si="1048"/>
        <v>93.704421918207458</v>
      </c>
      <c r="N306" s="230">
        <f t="shared" si="1048"/>
        <v>0</v>
      </c>
      <c r="O306" s="230">
        <f t="shared" si="1048"/>
        <v>0</v>
      </c>
      <c r="P306" s="230">
        <f t="shared" si="1048"/>
        <v>0</v>
      </c>
      <c r="Q306" s="230">
        <f t="shared" si="1048"/>
        <v>0</v>
      </c>
      <c r="R306" s="230">
        <f t="shared" si="1048"/>
        <v>0</v>
      </c>
      <c r="S306" s="230">
        <f t="shared" si="1048"/>
        <v>0</v>
      </c>
      <c r="T306" s="230">
        <f t="shared" si="1048"/>
        <v>0</v>
      </c>
      <c r="U306" s="230">
        <f t="shared" si="1048"/>
        <v>0</v>
      </c>
      <c r="V306" s="230">
        <f t="shared" si="1048"/>
        <v>0</v>
      </c>
      <c r="W306" s="230">
        <f t="shared" si="1048"/>
        <v>0</v>
      </c>
      <c r="X306" s="230">
        <f t="shared" si="1048"/>
        <v>0</v>
      </c>
      <c r="Y306" s="230">
        <f t="shared" si="1048"/>
        <v>0</v>
      </c>
      <c r="Z306" s="230">
        <f t="shared" si="1048"/>
        <v>0</v>
      </c>
      <c r="AA306" s="230">
        <f t="shared" si="1048"/>
        <v>0</v>
      </c>
      <c r="AB306" s="230">
        <f t="shared" si="1048"/>
        <v>0</v>
      </c>
      <c r="AC306" s="230">
        <f t="shared" si="1048"/>
        <v>0</v>
      </c>
      <c r="AD306" s="230">
        <f t="shared" si="1048"/>
        <v>0</v>
      </c>
      <c r="AE306" s="230">
        <f t="shared" si="1048"/>
        <v>0</v>
      </c>
      <c r="AF306" s="230">
        <f t="shared" si="1048"/>
        <v>0</v>
      </c>
      <c r="AG306" s="230">
        <f t="shared" si="1048"/>
        <v>0</v>
      </c>
      <c r="AH306" s="230">
        <f t="shared" ref="AH306:BM306" si="1049">AH59*AH162</f>
        <v>0</v>
      </c>
      <c r="AI306" s="230">
        <f t="shared" si="1049"/>
        <v>0</v>
      </c>
      <c r="AJ306" s="230">
        <f t="shared" si="1049"/>
        <v>0</v>
      </c>
      <c r="AK306" s="230">
        <f t="shared" si="1049"/>
        <v>0</v>
      </c>
      <c r="AL306" s="230">
        <f t="shared" si="1049"/>
        <v>0</v>
      </c>
      <c r="AM306" s="230">
        <f t="shared" si="1049"/>
        <v>0</v>
      </c>
      <c r="AN306" s="230">
        <f t="shared" si="1049"/>
        <v>0</v>
      </c>
      <c r="AO306" s="230">
        <f t="shared" si="1049"/>
        <v>0</v>
      </c>
      <c r="AP306" s="230">
        <f t="shared" si="1049"/>
        <v>0</v>
      </c>
      <c r="AQ306" s="230">
        <f t="shared" si="1049"/>
        <v>0</v>
      </c>
      <c r="AR306" s="230">
        <f t="shared" si="1049"/>
        <v>0</v>
      </c>
      <c r="AS306" s="230">
        <f t="shared" si="1049"/>
        <v>0</v>
      </c>
      <c r="AT306" s="230">
        <f t="shared" si="1049"/>
        <v>0</v>
      </c>
      <c r="AU306" s="230">
        <f t="shared" si="1049"/>
        <v>0</v>
      </c>
      <c r="AV306" s="230">
        <f t="shared" si="1049"/>
        <v>0</v>
      </c>
      <c r="AW306" s="230">
        <f t="shared" si="1049"/>
        <v>0</v>
      </c>
      <c r="AX306" s="230">
        <f t="shared" si="1049"/>
        <v>0</v>
      </c>
      <c r="AY306" s="230">
        <f t="shared" si="1049"/>
        <v>0</v>
      </c>
      <c r="AZ306" s="230">
        <f t="shared" si="1049"/>
        <v>0</v>
      </c>
      <c r="BA306" s="230">
        <f t="shared" si="1049"/>
        <v>0</v>
      </c>
      <c r="BB306" s="230">
        <f t="shared" si="1049"/>
        <v>0</v>
      </c>
      <c r="BC306" s="230">
        <f t="shared" si="1049"/>
        <v>0</v>
      </c>
      <c r="BD306" s="230">
        <f t="shared" si="1049"/>
        <v>0</v>
      </c>
      <c r="BE306" s="230">
        <f t="shared" si="1049"/>
        <v>0</v>
      </c>
      <c r="BF306" s="230">
        <f t="shared" si="1049"/>
        <v>0</v>
      </c>
      <c r="BG306" s="230">
        <f t="shared" si="1049"/>
        <v>0</v>
      </c>
      <c r="BH306" s="230">
        <f t="shared" si="1049"/>
        <v>0</v>
      </c>
      <c r="BI306" s="230">
        <f t="shared" si="1049"/>
        <v>0</v>
      </c>
      <c r="BJ306" s="230">
        <f t="shared" si="1049"/>
        <v>0</v>
      </c>
      <c r="BK306" s="230">
        <f t="shared" si="1049"/>
        <v>0</v>
      </c>
      <c r="BL306" s="230">
        <f t="shared" si="1049"/>
        <v>0</v>
      </c>
      <c r="BM306" s="230">
        <f t="shared" si="1049"/>
        <v>0</v>
      </c>
      <c r="BN306" s="230">
        <f t="shared" ref="BN306:CB306" si="1050">BN59*BN162</f>
        <v>0</v>
      </c>
      <c r="BO306" s="230">
        <f t="shared" si="1050"/>
        <v>0</v>
      </c>
      <c r="BP306" s="230">
        <f t="shared" si="1050"/>
        <v>0</v>
      </c>
      <c r="BQ306" s="230">
        <f t="shared" si="1050"/>
        <v>0</v>
      </c>
      <c r="BR306" s="230">
        <f t="shared" si="1050"/>
        <v>0</v>
      </c>
      <c r="BS306" s="230">
        <f t="shared" si="1050"/>
        <v>0</v>
      </c>
      <c r="BT306" s="230">
        <f t="shared" si="1050"/>
        <v>0</v>
      </c>
      <c r="BU306" s="230">
        <f t="shared" si="1050"/>
        <v>0</v>
      </c>
      <c r="BV306" s="230">
        <f t="shared" si="1050"/>
        <v>0</v>
      </c>
      <c r="BW306" s="230">
        <f t="shared" si="1050"/>
        <v>0</v>
      </c>
      <c r="BX306" s="230">
        <f t="shared" si="1050"/>
        <v>0</v>
      </c>
      <c r="BY306" s="230">
        <f t="shared" si="1050"/>
        <v>0</v>
      </c>
      <c r="BZ306" s="230">
        <f t="shared" si="1050"/>
        <v>0</v>
      </c>
      <c r="CA306" s="230">
        <f t="shared" si="1050"/>
        <v>0</v>
      </c>
      <c r="CB306" s="230">
        <f t="shared" si="1050"/>
        <v>0</v>
      </c>
      <c r="CC306" s="19"/>
      <c r="CD306" s="19"/>
      <c r="CE306" s="19"/>
      <c r="CH306" s="7"/>
      <c r="CI306" s="693"/>
      <c r="CJ306" s="693"/>
      <c r="CK306" s="693"/>
      <c r="CL306" s="693"/>
      <c r="CM306" s="693"/>
      <c r="CN306" s="693"/>
      <c r="CO306" s="693"/>
      <c r="CP306" s="693"/>
      <c r="CQ306" s="693"/>
      <c r="CR306" s="693"/>
      <c r="CS306" s="693"/>
      <c r="CT306" s="693"/>
      <c r="CU306" s="693"/>
      <c r="CV306" s="693"/>
      <c r="CW306" s="693"/>
      <c r="CX306" s="693"/>
      <c r="CY306" s="693"/>
      <c r="CZ306" s="693"/>
      <c r="DA306" s="693"/>
      <c r="DB306" s="693"/>
      <c r="DC306" s="693"/>
      <c r="DD306" s="693"/>
      <c r="DE306" s="693"/>
      <c r="DF306" s="693"/>
      <c r="DG306" s="693"/>
      <c r="DH306" s="693"/>
      <c r="DI306" s="693"/>
      <c r="DJ306" s="693"/>
      <c r="DK306" s="693"/>
      <c r="DL306" s="693"/>
      <c r="DM306" s="693"/>
      <c r="DN306" s="693"/>
      <c r="DO306" s="693"/>
      <c r="DP306" s="693"/>
      <c r="DQ306" s="693"/>
      <c r="DR306" s="693"/>
      <c r="DS306" s="693"/>
      <c r="DT306" s="693"/>
      <c r="DU306" s="693"/>
      <c r="DV306" s="693"/>
      <c r="DW306" s="693"/>
      <c r="DX306" s="693"/>
      <c r="DY306" s="693"/>
      <c r="DZ306" s="693"/>
      <c r="EA306" s="693"/>
      <c r="EB306" s="693"/>
      <c r="EC306" s="693"/>
      <c r="ED306" s="693"/>
    </row>
    <row r="307" spans="1:256">
      <c r="A307" s="230" t="str">
        <f>A61</f>
        <v>Bond 11</v>
      </c>
      <c r="B307" s="230">
        <f t="shared" ref="B307:AG307" si="1051">B61*B167</f>
        <v>1.2537852456150531</v>
      </c>
      <c r="C307" s="230">
        <f t="shared" si="1051"/>
        <v>99.520058835646168</v>
      </c>
      <c r="D307" s="230">
        <f t="shared" si="1051"/>
        <v>0</v>
      </c>
      <c r="E307" s="230">
        <f t="shared" si="1051"/>
        <v>0</v>
      </c>
      <c r="F307" s="230">
        <f t="shared" si="1051"/>
        <v>0</v>
      </c>
      <c r="G307" s="230">
        <f t="shared" si="1051"/>
        <v>0</v>
      </c>
      <c r="H307" s="230">
        <f t="shared" si="1051"/>
        <v>0</v>
      </c>
      <c r="I307" s="230">
        <f t="shared" si="1051"/>
        <v>0</v>
      </c>
      <c r="J307" s="230">
        <f t="shared" si="1051"/>
        <v>0</v>
      </c>
      <c r="K307" s="230">
        <f t="shared" si="1051"/>
        <v>0</v>
      </c>
      <c r="L307" s="230">
        <f t="shared" si="1051"/>
        <v>0</v>
      </c>
      <c r="M307" s="230">
        <f t="shared" si="1051"/>
        <v>0</v>
      </c>
      <c r="N307" s="230">
        <f t="shared" si="1051"/>
        <v>0</v>
      </c>
      <c r="O307" s="230">
        <f t="shared" si="1051"/>
        <v>0</v>
      </c>
      <c r="P307" s="230">
        <f t="shared" si="1051"/>
        <v>0</v>
      </c>
      <c r="Q307" s="230">
        <f t="shared" si="1051"/>
        <v>0</v>
      </c>
      <c r="R307" s="230">
        <f t="shared" si="1051"/>
        <v>0</v>
      </c>
      <c r="S307" s="230">
        <f t="shared" si="1051"/>
        <v>0</v>
      </c>
      <c r="T307" s="230">
        <f t="shared" si="1051"/>
        <v>0</v>
      </c>
      <c r="U307" s="230">
        <f t="shared" si="1051"/>
        <v>0</v>
      </c>
      <c r="V307" s="230">
        <f t="shared" si="1051"/>
        <v>0</v>
      </c>
      <c r="W307" s="230">
        <f t="shared" si="1051"/>
        <v>0</v>
      </c>
      <c r="X307" s="230">
        <f t="shared" si="1051"/>
        <v>0</v>
      </c>
      <c r="Y307" s="230">
        <f t="shared" si="1051"/>
        <v>0</v>
      </c>
      <c r="Z307" s="230">
        <f t="shared" si="1051"/>
        <v>0</v>
      </c>
      <c r="AA307" s="230">
        <f t="shared" si="1051"/>
        <v>0</v>
      </c>
      <c r="AB307" s="230">
        <f t="shared" si="1051"/>
        <v>0</v>
      </c>
      <c r="AC307" s="230">
        <f t="shared" si="1051"/>
        <v>0</v>
      </c>
      <c r="AD307" s="230">
        <f t="shared" si="1051"/>
        <v>0</v>
      </c>
      <c r="AE307" s="230">
        <f t="shared" si="1051"/>
        <v>0</v>
      </c>
      <c r="AF307" s="230">
        <f t="shared" si="1051"/>
        <v>0</v>
      </c>
      <c r="AG307" s="230">
        <f t="shared" si="1051"/>
        <v>0</v>
      </c>
      <c r="AH307" s="230">
        <f t="shared" ref="AH307:BM307" si="1052">AH61*AH167</f>
        <v>0</v>
      </c>
      <c r="AI307" s="230">
        <f t="shared" si="1052"/>
        <v>0</v>
      </c>
      <c r="AJ307" s="230">
        <f t="shared" si="1052"/>
        <v>0</v>
      </c>
      <c r="AK307" s="230">
        <f t="shared" si="1052"/>
        <v>0</v>
      </c>
      <c r="AL307" s="230">
        <f t="shared" si="1052"/>
        <v>0</v>
      </c>
      <c r="AM307" s="230">
        <f t="shared" si="1052"/>
        <v>0</v>
      </c>
      <c r="AN307" s="230">
        <f t="shared" si="1052"/>
        <v>0</v>
      </c>
      <c r="AO307" s="230">
        <f t="shared" si="1052"/>
        <v>0</v>
      </c>
      <c r="AP307" s="230">
        <f t="shared" si="1052"/>
        <v>0</v>
      </c>
      <c r="AQ307" s="230">
        <f t="shared" si="1052"/>
        <v>0</v>
      </c>
      <c r="AR307" s="230">
        <f t="shared" si="1052"/>
        <v>0</v>
      </c>
      <c r="AS307" s="230">
        <f t="shared" si="1052"/>
        <v>0</v>
      </c>
      <c r="AT307" s="230">
        <f t="shared" si="1052"/>
        <v>0</v>
      </c>
      <c r="AU307" s="230">
        <f t="shared" si="1052"/>
        <v>0</v>
      </c>
      <c r="AV307" s="230">
        <f t="shared" si="1052"/>
        <v>0</v>
      </c>
      <c r="AW307" s="230">
        <f t="shared" si="1052"/>
        <v>0</v>
      </c>
      <c r="AX307" s="230">
        <f t="shared" si="1052"/>
        <v>0</v>
      </c>
      <c r="AY307" s="230">
        <f t="shared" si="1052"/>
        <v>0</v>
      </c>
      <c r="AZ307" s="230">
        <f t="shared" si="1052"/>
        <v>0</v>
      </c>
      <c r="BA307" s="230">
        <f t="shared" si="1052"/>
        <v>0</v>
      </c>
      <c r="BB307" s="230">
        <f t="shared" si="1052"/>
        <v>0</v>
      </c>
      <c r="BC307" s="230">
        <f t="shared" si="1052"/>
        <v>0</v>
      </c>
      <c r="BD307" s="230">
        <f t="shared" si="1052"/>
        <v>0</v>
      </c>
      <c r="BE307" s="230">
        <f t="shared" si="1052"/>
        <v>0</v>
      </c>
      <c r="BF307" s="230">
        <f t="shared" si="1052"/>
        <v>0</v>
      </c>
      <c r="BG307" s="230">
        <f t="shared" si="1052"/>
        <v>0</v>
      </c>
      <c r="BH307" s="230">
        <f t="shared" si="1052"/>
        <v>0</v>
      </c>
      <c r="BI307" s="230">
        <f t="shared" si="1052"/>
        <v>0</v>
      </c>
      <c r="BJ307" s="230">
        <f t="shared" si="1052"/>
        <v>0</v>
      </c>
      <c r="BK307" s="230">
        <f t="shared" si="1052"/>
        <v>0</v>
      </c>
      <c r="BL307" s="230">
        <f t="shared" si="1052"/>
        <v>0</v>
      </c>
      <c r="BM307" s="230">
        <f t="shared" si="1052"/>
        <v>0</v>
      </c>
      <c r="BN307" s="230">
        <f t="shared" ref="BN307:CB307" si="1053">BN61*BN167</f>
        <v>0</v>
      </c>
      <c r="BO307" s="230">
        <f t="shared" si="1053"/>
        <v>0</v>
      </c>
      <c r="BP307" s="230">
        <f t="shared" si="1053"/>
        <v>0</v>
      </c>
      <c r="BQ307" s="230">
        <f t="shared" si="1053"/>
        <v>0</v>
      </c>
      <c r="BR307" s="230">
        <f t="shared" si="1053"/>
        <v>0</v>
      </c>
      <c r="BS307" s="230">
        <f t="shared" si="1053"/>
        <v>0</v>
      </c>
      <c r="BT307" s="230">
        <f t="shared" si="1053"/>
        <v>0</v>
      </c>
      <c r="BU307" s="230">
        <f t="shared" si="1053"/>
        <v>0</v>
      </c>
      <c r="BV307" s="230">
        <f t="shared" si="1053"/>
        <v>0</v>
      </c>
      <c r="BW307" s="230">
        <f t="shared" si="1053"/>
        <v>0</v>
      </c>
      <c r="BX307" s="230">
        <f t="shared" si="1053"/>
        <v>0</v>
      </c>
      <c r="BY307" s="230">
        <f t="shared" si="1053"/>
        <v>0</v>
      </c>
      <c r="BZ307" s="230">
        <f t="shared" si="1053"/>
        <v>0</v>
      </c>
      <c r="CA307" s="230">
        <f t="shared" si="1053"/>
        <v>0</v>
      </c>
      <c r="CB307" s="230">
        <f t="shared" si="1053"/>
        <v>0</v>
      </c>
      <c r="CC307" s="19"/>
      <c r="CD307" s="19"/>
      <c r="CE307" s="19"/>
      <c r="CH307" s="7"/>
      <c r="CI307" s="693"/>
      <c r="CJ307" s="693"/>
      <c r="CK307" s="693"/>
      <c r="CL307" s="693"/>
      <c r="CM307" s="693"/>
      <c r="CN307" s="693"/>
      <c r="CO307" s="693"/>
      <c r="CP307" s="693"/>
      <c r="CQ307" s="693"/>
      <c r="CR307" s="693"/>
      <c r="CS307" s="693"/>
      <c r="CT307" s="693"/>
      <c r="CU307" s="693"/>
      <c r="CV307" s="693"/>
      <c r="CW307" s="693"/>
      <c r="CX307" s="693"/>
      <c r="CY307" s="693"/>
      <c r="CZ307" s="693"/>
      <c r="DA307" s="693"/>
      <c r="DB307" s="693"/>
      <c r="DC307" s="693"/>
      <c r="DD307" s="693"/>
      <c r="DE307" s="693"/>
      <c r="DF307" s="693"/>
      <c r="DG307" s="693"/>
      <c r="DH307" s="693"/>
      <c r="DI307" s="693"/>
      <c r="DJ307" s="693"/>
      <c r="DK307" s="693"/>
      <c r="DL307" s="693"/>
      <c r="DM307" s="693"/>
      <c r="DN307" s="693"/>
      <c r="DO307" s="693"/>
      <c r="DP307" s="693"/>
      <c r="DQ307" s="693"/>
      <c r="DR307" s="693"/>
      <c r="DS307" s="693"/>
      <c r="DT307" s="693"/>
      <c r="DU307" s="693"/>
      <c r="DV307" s="693"/>
      <c r="DW307" s="693"/>
      <c r="DX307" s="693"/>
      <c r="DY307" s="693"/>
      <c r="DZ307" s="693"/>
      <c r="EA307" s="693"/>
      <c r="EB307" s="693"/>
      <c r="EC307" s="693"/>
      <c r="ED307" s="693"/>
    </row>
    <row r="308" spans="1:256">
      <c r="A308" s="230" t="str">
        <f>A63</f>
        <v>Bond 12</v>
      </c>
      <c r="B308" s="230">
        <f t="shared" ref="B308:AG308" si="1054">B63*B172</f>
        <v>1.1919109515725743</v>
      </c>
      <c r="C308" s="230">
        <f t="shared" si="1054"/>
        <v>1.1812253721517263</v>
      </c>
      <c r="D308" s="230">
        <f t="shared" si="1054"/>
        <v>1.1714240801418281</v>
      </c>
      <c r="E308" s="230">
        <f t="shared" si="1054"/>
        <v>1.1626231198490864</v>
      </c>
      <c r="F308" s="230">
        <f t="shared" si="1054"/>
        <v>1.1542938204334376</v>
      </c>
      <c r="G308" s="230">
        <f t="shared" si="1054"/>
        <v>1.1466400701311903</v>
      </c>
      <c r="H308" s="230">
        <f t="shared" si="1054"/>
        <v>1.1391710106380337</v>
      </c>
      <c r="I308" s="230">
        <f t="shared" si="1054"/>
        <v>1.1320898655089926</v>
      </c>
      <c r="J308" s="230">
        <f t="shared" si="1054"/>
        <v>1.1249656785091762</v>
      </c>
      <c r="K308" s="230">
        <f t="shared" si="1054"/>
        <v>1.1180163252594333</v>
      </c>
      <c r="L308" s="230">
        <f t="shared" si="1054"/>
        <v>1.1108842560275642</v>
      </c>
      <c r="M308" s="230">
        <f t="shared" si="1054"/>
        <v>1.1037353829737724</v>
      </c>
      <c r="N308" s="230">
        <f t="shared" si="1054"/>
        <v>92.830578692309757</v>
      </c>
      <c r="O308" s="230">
        <f t="shared" si="1054"/>
        <v>0</v>
      </c>
      <c r="P308" s="230">
        <f t="shared" si="1054"/>
        <v>0</v>
      </c>
      <c r="Q308" s="230">
        <f t="shared" si="1054"/>
        <v>0</v>
      </c>
      <c r="R308" s="230">
        <f t="shared" si="1054"/>
        <v>0</v>
      </c>
      <c r="S308" s="230">
        <f t="shared" si="1054"/>
        <v>0</v>
      </c>
      <c r="T308" s="230">
        <f t="shared" si="1054"/>
        <v>0</v>
      </c>
      <c r="U308" s="230">
        <f t="shared" si="1054"/>
        <v>0</v>
      </c>
      <c r="V308" s="230">
        <f t="shared" si="1054"/>
        <v>0</v>
      </c>
      <c r="W308" s="230">
        <f t="shared" si="1054"/>
        <v>0</v>
      </c>
      <c r="X308" s="230">
        <f t="shared" si="1054"/>
        <v>0</v>
      </c>
      <c r="Y308" s="230">
        <f t="shared" si="1054"/>
        <v>0</v>
      </c>
      <c r="Z308" s="230">
        <f t="shared" si="1054"/>
        <v>0</v>
      </c>
      <c r="AA308" s="230">
        <f t="shared" si="1054"/>
        <v>0</v>
      </c>
      <c r="AB308" s="230">
        <f t="shared" si="1054"/>
        <v>0</v>
      </c>
      <c r="AC308" s="230">
        <f t="shared" si="1054"/>
        <v>0</v>
      </c>
      <c r="AD308" s="230">
        <f t="shared" si="1054"/>
        <v>0</v>
      </c>
      <c r="AE308" s="230">
        <f t="shared" si="1054"/>
        <v>0</v>
      </c>
      <c r="AF308" s="230">
        <f t="shared" si="1054"/>
        <v>0</v>
      </c>
      <c r="AG308" s="230">
        <f t="shared" si="1054"/>
        <v>0</v>
      </c>
      <c r="AH308" s="230">
        <f t="shared" ref="AH308:BM308" si="1055">AH63*AH172</f>
        <v>0</v>
      </c>
      <c r="AI308" s="230">
        <f t="shared" si="1055"/>
        <v>0</v>
      </c>
      <c r="AJ308" s="230">
        <f t="shared" si="1055"/>
        <v>0</v>
      </c>
      <c r="AK308" s="230">
        <f t="shared" si="1055"/>
        <v>0</v>
      </c>
      <c r="AL308" s="230">
        <f t="shared" si="1055"/>
        <v>0</v>
      </c>
      <c r="AM308" s="230">
        <f t="shared" si="1055"/>
        <v>0</v>
      </c>
      <c r="AN308" s="230">
        <f t="shared" si="1055"/>
        <v>0</v>
      </c>
      <c r="AO308" s="230">
        <f t="shared" si="1055"/>
        <v>0</v>
      </c>
      <c r="AP308" s="230">
        <f t="shared" si="1055"/>
        <v>0</v>
      </c>
      <c r="AQ308" s="230">
        <f t="shared" si="1055"/>
        <v>0</v>
      </c>
      <c r="AR308" s="230">
        <f t="shared" si="1055"/>
        <v>0</v>
      </c>
      <c r="AS308" s="230">
        <f t="shared" si="1055"/>
        <v>0</v>
      </c>
      <c r="AT308" s="230">
        <f t="shared" si="1055"/>
        <v>0</v>
      </c>
      <c r="AU308" s="230">
        <f t="shared" si="1055"/>
        <v>0</v>
      </c>
      <c r="AV308" s="230">
        <f t="shared" si="1055"/>
        <v>0</v>
      </c>
      <c r="AW308" s="230">
        <f t="shared" si="1055"/>
        <v>0</v>
      </c>
      <c r="AX308" s="230">
        <f t="shared" si="1055"/>
        <v>0</v>
      </c>
      <c r="AY308" s="230">
        <f t="shared" si="1055"/>
        <v>0</v>
      </c>
      <c r="AZ308" s="230">
        <f t="shared" si="1055"/>
        <v>0</v>
      </c>
      <c r="BA308" s="230">
        <f t="shared" si="1055"/>
        <v>0</v>
      </c>
      <c r="BB308" s="230">
        <f t="shared" si="1055"/>
        <v>0</v>
      </c>
      <c r="BC308" s="230">
        <f t="shared" si="1055"/>
        <v>0</v>
      </c>
      <c r="BD308" s="230">
        <f t="shared" si="1055"/>
        <v>0</v>
      </c>
      <c r="BE308" s="230">
        <f t="shared" si="1055"/>
        <v>0</v>
      </c>
      <c r="BF308" s="230">
        <f t="shared" si="1055"/>
        <v>0</v>
      </c>
      <c r="BG308" s="230">
        <f t="shared" si="1055"/>
        <v>0</v>
      </c>
      <c r="BH308" s="230">
        <f t="shared" si="1055"/>
        <v>0</v>
      </c>
      <c r="BI308" s="230">
        <f t="shared" si="1055"/>
        <v>0</v>
      </c>
      <c r="BJ308" s="230">
        <f t="shared" si="1055"/>
        <v>0</v>
      </c>
      <c r="BK308" s="230">
        <f t="shared" si="1055"/>
        <v>0</v>
      </c>
      <c r="BL308" s="230">
        <f t="shared" si="1055"/>
        <v>0</v>
      </c>
      <c r="BM308" s="230">
        <f t="shared" si="1055"/>
        <v>0</v>
      </c>
      <c r="BN308" s="230">
        <f t="shared" ref="BN308:CB308" si="1056">BN63*BN172</f>
        <v>0</v>
      </c>
      <c r="BO308" s="230">
        <f t="shared" si="1056"/>
        <v>0</v>
      </c>
      <c r="BP308" s="230">
        <f t="shared" si="1056"/>
        <v>0</v>
      </c>
      <c r="BQ308" s="230">
        <f t="shared" si="1056"/>
        <v>0</v>
      </c>
      <c r="BR308" s="230">
        <f t="shared" si="1056"/>
        <v>0</v>
      </c>
      <c r="BS308" s="230">
        <f t="shared" si="1056"/>
        <v>0</v>
      </c>
      <c r="BT308" s="230">
        <f t="shared" si="1056"/>
        <v>0</v>
      </c>
      <c r="BU308" s="230">
        <f t="shared" si="1056"/>
        <v>0</v>
      </c>
      <c r="BV308" s="230">
        <f t="shared" si="1056"/>
        <v>0</v>
      </c>
      <c r="BW308" s="230">
        <f t="shared" si="1056"/>
        <v>0</v>
      </c>
      <c r="BX308" s="230">
        <f t="shared" si="1056"/>
        <v>0</v>
      </c>
      <c r="BY308" s="230">
        <f t="shared" si="1056"/>
        <v>0</v>
      </c>
      <c r="BZ308" s="230">
        <f t="shared" si="1056"/>
        <v>0</v>
      </c>
      <c r="CA308" s="230">
        <f t="shared" si="1056"/>
        <v>0</v>
      </c>
      <c r="CB308" s="230">
        <f t="shared" si="1056"/>
        <v>0</v>
      </c>
      <c r="CC308" s="19"/>
      <c r="CD308" s="19"/>
      <c r="CE308" s="19"/>
      <c r="CH308" s="7"/>
      <c r="CI308" s="693"/>
      <c r="CJ308" s="693"/>
      <c r="CK308" s="693"/>
      <c r="CL308" s="693"/>
      <c r="CM308" s="693"/>
      <c r="CN308" s="693"/>
      <c r="CO308" s="693"/>
      <c r="CP308" s="693"/>
      <c r="CQ308" s="693"/>
      <c r="CR308" s="693"/>
      <c r="CS308" s="693"/>
      <c r="CT308" s="693"/>
      <c r="CU308" s="693"/>
      <c r="CV308" s="693"/>
      <c r="CW308" s="693"/>
      <c r="CX308" s="693"/>
      <c r="CY308" s="693"/>
      <c r="CZ308" s="693"/>
      <c r="DA308" s="693"/>
      <c r="DB308" s="693"/>
      <c r="DC308" s="693"/>
      <c r="DD308" s="693"/>
      <c r="DE308" s="693"/>
      <c r="DF308" s="693"/>
      <c r="DG308" s="693"/>
      <c r="DH308" s="693"/>
      <c r="DI308" s="693"/>
      <c r="DJ308" s="693"/>
      <c r="DK308" s="693"/>
      <c r="DL308" s="693"/>
      <c r="DM308" s="693"/>
      <c r="DN308" s="693"/>
      <c r="DO308" s="693"/>
      <c r="DP308" s="693"/>
      <c r="DQ308" s="693"/>
      <c r="DR308" s="693"/>
      <c r="DS308" s="693"/>
      <c r="DT308" s="693"/>
      <c r="DU308" s="693"/>
      <c r="DV308" s="693"/>
      <c r="DW308" s="693"/>
      <c r="DX308" s="693"/>
      <c r="DY308" s="693"/>
      <c r="DZ308" s="693"/>
      <c r="EA308" s="693"/>
      <c r="EB308" s="693"/>
      <c r="EC308" s="693"/>
      <c r="ED308" s="693"/>
    </row>
    <row r="309" spans="1:256">
      <c r="A309" s="230" t="str">
        <f>A65</f>
        <v>Bond 13</v>
      </c>
      <c r="B309" s="230">
        <f t="shared" ref="B309:AG309" si="1057">B65*B177</f>
        <v>1.2102092973265139</v>
      </c>
      <c r="C309" s="230">
        <f t="shared" si="1057"/>
        <v>1.1999040927847013</v>
      </c>
      <c r="D309" s="230">
        <f t="shared" si="1057"/>
        <v>98.771682031422884</v>
      </c>
      <c r="E309" s="230">
        <f t="shared" si="1057"/>
        <v>0</v>
      </c>
      <c r="F309" s="230">
        <f t="shared" si="1057"/>
        <v>0</v>
      </c>
      <c r="G309" s="230">
        <f t="shared" si="1057"/>
        <v>0</v>
      </c>
      <c r="H309" s="230">
        <f t="shared" si="1057"/>
        <v>0</v>
      </c>
      <c r="I309" s="230">
        <f t="shared" si="1057"/>
        <v>0</v>
      </c>
      <c r="J309" s="230">
        <f t="shared" si="1057"/>
        <v>0</v>
      </c>
      <c r="K309" s="230">
        <f t="shared" si="1057"/>
        <v>0</v>
      </c>
      <c r="L309" s="230">
        <f t="shared" si="1057"/>
        <v>0</v>
      </c>
      <c r="M309" s="230">
        <f t="shared" si="1057"/>
        <v>0</v>
      </c>
      <c r="N309" s="230">
        <f t="shared" si="1057"/>
        <v>0</v>
      </c>
      <c r="O309" s="230">
        <f t="shared" si="1057"/>
        <v>0</v>
      </c>
      <c r="P309" s="230">
        <f t="shared" si="1057"/>
        <v>0</v>
      </c>
      <c r="Q309" s="230">
        <f t="shared" si="1057"/>
        <v>0</v>
      </c>
      <c r="R309" s="230">
        <f t="shared" si="1057"/>
        <v>0</v>
      </c>
      <c r="S309" s="230">
        <f t="shared" si="1057"/>
        <v>0</v>
      </c>
      <c r="T309" s="230">
        <f t="shared" si="1057"/>
        <v>0</v>
      </c>
      <c r="U309" s="230">
        <f t="shared" si="1057"/>
        <v>0</v>
      </c>
      <c r="V309" s="230">
        <f t="shared" si="1057"/>
        <v>0</v>
      </c>
      <c r="W309" s="230">
        <f t="shared" si="1057"/>
        <v>0</v>
      </c>
      <c r="X309" s="230">
        <f t="shared" si="1057"/>
        <v>0</v>
      </c>
      <c r="Y309" s="230">
        <f t="shared" si="1057"/>
        <v>0</v>
      </c>
      <c r="Z309" s="230">
        <f t="shared" si="1057"/>
        <v>0</v>
      </c>
      <c r="AA309" s="230">
        <f t="shared" si="1057"/>
        <v>0</v>
      </c>
      <c r="AB309" s="230">
        <f t="shared" si="1057"/>
        <v>0</v>
      </c>
      <c r="AC309" s="230">
        <f t="shared" si="1057"/>
        <v>0</v>
      </c>
      <c r="AD309" s="230">
        <f t="shared" si="1057"/>
        <v>0</v>
      </c>
      <c r="AE309" s="230">
        <f t="shared" si="1057"/>
        <v>0</v>
      </c>
      <c r="AF309" s="230">
        <f t="shared" si="1057"/>
        <v>0</v>
      </c>
      <c r="AG309" s="230">
        <f t="shared" si="1057"/>
        <v>0</v>
      </c>
      <c r="AH309" s="230">
        <f t="shared" ref="AH309:BM309" si="1058">AH65*AH177</f>
        <v>0</v>
      </c>
      <c r="AI309" s="230">
        <f t="shared" si="1058"/>
        <v>0</v>
      </c>
      <c r="AJ309" s="230">
        <f t="shared" si="1058"/>
        <v>0</v>
      </c>
      <c r="AK309" s="230">
        <f t="shared" si="1058"/>
        <v>0</v>
      </c>
      <c r="AL309" s="230">
        <f t="shared" si="1058"/>
        <v>0</v>
      </c>
      <c r="AM309" s="230">
        <f t="shared" si="1058"/>
        <v>0</v>
      </c>
      <c r="AN309" s="230">
        <f t="shared" si="1058"/>
        <v>0</v>
      </c>
      <c r="AO309" s="230">
        <f t="shared" si="1058"/>
        <v>0</v>
      </c>
      <c r="AP309" s="230">
        <f t="shared" si="1058"/>
        <v>0</v>
      </c>
      <c r="AQ309" s="230">
        <f t="shared" si="1058"/>
        <v>0</v>
      </c>
      <c r="AR309" s="230">
        <f t="shared" si="1058"/>
        <v>0</v>
      </c>
      <c r="AS309" s="230">
        <f t="shared" si="1058"/>
        <v>0</v>
      </c>
      <c r="AT309" s="230">
        <f t="shared" si="1058"/>
        <v>0</v>
      </c>
      <c r="AU309" s="230">
        <f t="shared" si="1058"/>
        <v>0</v>
      </c>
      <c r="AV309" s="230">
        <f t="shared" si="1058"/>
        <v>0</v>
      </c>
      <c r="AW309" s="230">
        <f t="shared" si="1058"/>
        <v>0</v>
      </c>
      <c r="AX309" s="230">
        <f t="shared" si="1058"/>
        <v>0</v>
      </c>
      <c r="AY309" s="230">
        <f t="shared" si="1058"/>
        <v>0</v>
      </c>
      <c r="AZ309" s="230">
        <f t="shared" si="1058"/>
        <v>0</v>
      </c>
      <c r="BA309" s="230">
        <f t="shared" si="1058"/>
        <v>0</v>
      </c>
      <c r="BB309" s="230">
        <f t="shared" si="1058"/>
        <v>0</v>
      </c>
      <c r="BC309" s="230">
        <f t="shared" si="1058"/>
        <v>0</v>
      </c>
      <c r="BD309" s="230">
        <f t="shared" si="1058"/>
        <v>0</v>
      </c>
      <c r="BE309" s="230">
        <f t="shared" si="1058"/>
        <v>0</v>
      </c>
      <c r="BF309" s="230">
        <f t="shared" si="1058"/>
        <v>0</v>
      </c>
      <c r="BG309" s="230">
        <f t="shared" si="1058"/>
        <v>0</v>
      </c>
      <c r="BH309" s="230">
        <f t="shared" si="1058"/>
        <v>0</v>
      </c>
      <c r="BI309" s="230">
        <f t="shared" si="1058"/>
        <v>0</v>
      </c>
      <c r="BJ309" s="230">
        <f t="shared" si="1058"/>
        <v>0</v>
      </c>
      <c r="BK309" s="230">
        <f t="shared" si="1058"/>
        <v>0</v>
      </c>
      <c r="BL309" s="230">
        <f t="shared" si="1058"/>
        <v>0</v>
      </c>
      <c r="BM309" s="230">
        <f t="shared" si="1058"/>
        <v>0</v>
      </c>
      <c r="BN309" s="230">
        <f t="shared" ref="BN309:CB309" si="1059">BN65*BN177</f>
        <v>0</v>
      </c>
      <c r="BO309" s="230">
        <f t="shared" si="1059"/>
        <v>0</v>
      </c>
      <c r="BP309" s="230">
        <f t="shared" si="1059"/>
        <v>0</v>
      </c>
      <c r="BQ309" s="230">
        <f t="shared" si="1059"/>
        <v>0</v>
      </c>
      <c r="BR309" s="230">
        <f t="shared" si="1059"/>
        <v>0</v>
      </c>
      <c r="BS309" s="230">
        <f t="shared" si="1059"/>
        <v>0</v>
      </c>
      <c r="BT309" s="230">
        <f t="shared" si="1059"/>
        <v>0</v>
      </c>
      <c r="BU309" s="230">
        <f t="shared" si="1059"/>
        <v>0</v>
      </c>
      <c r="BV309" s="230">
        <f t="shared" si="1059"/>
        <v>0</v>
      </c>
      <c r="BW309" s="230">
        <f t="shared" si="1059"/>
        <v>0</v>
      </c>
      <c r="BX309" s="230">
        <f t="shared" si="1059"/>
        <v>0</v>
      </c>
      <c r="BY309" s="230">
        <f t="shared" si="1059"/>
        <v>0</v>
      </c>
      <c r="BZ309" s="230">
        <f t="shared" si="1059"/>
        <v>0</v>
      </c>
      <c r="CA309" s="230">
        <f t="shared" si="1059"/>
        <v>0</v>
      </c>
      <c r="CB309" s="230">
        <f t="shared" si="1059"/>
        <v>0</v>
      </c>
      <c r="CC309" s="19"/>
      <c r="CD309" s="19"/>
      <c r="CE309" s="19"/>
      <c r="CH309" s="7"/>
      <c r="CI309" s="693"/>
      <c r="CJ309" s="693"/>
      <c r="CK309" s="693"/>
      <c r="CL309" s="693"/>
      <c r="CM309" s="693"/>
      <c r="CN309" s="693"/>
      <c r="CO309" s="693"/>
      <c r="CP309" s="693"/>
      <c r="CQ309" s="693"/>
      <c r="CR309" s="693"/>
      <c r="CS309" s="693"/>
      <c r="CT309" s="693"/>
      <c r="CU309" s="693"/>
      <c r="CV309" s="693"/>
      <c r="CW309" s="693"/>
      <c r="CX309" s="693"/>
      <c r="CY309" s="693"/>
      <c r="CZ309" s="693"/>
      <c r="DA309" s="693"/>
      <c r="DB309" s="693"/>
      <c r="DC309" s="693"/>
      <c r="DD309" s="693"/>
      <c r="DE309" s="693"/>
      <c r="DF309" s="693"/>
      <c r="DG309" s="693"/>
      <c r="DH309" s="693"/>
      <c r="DI309" s="693"/>
      <c r="DJ309" s="693"/>
      <c r="DK309" s="693"/>
      <c r="DL309" s="693"/>
      <c r="DM309" s="693"/>
      <c r="DN309" s="693"/>
      <c r="DO309" s="693"/>
      <c r="DP309" s="693"/>
      <c r="DQ309" s="693"/>
      <c r="DR309" s="693"/>
      <c r="DS309" s="693"/>
      <c r="DT309" s="693"/>
      <c r="DU309" s="693"/>
      <c r="DV309" s="693"/>
      <c r="DW309" s="693"/>
      <c r="DX309" s="693"/>
      <c r="DY309" s="693"/>
      <c r="DZ309" s="693"/>
      <c r="EA309" s="693"/>
      <c r="EB309" s="693"/>
      <c r="EC309" s="693"/>
      <c r="ED309" s="693"/>
    </row>
    <row r="310" spans="1:256">
      <c r="A310" s="230" t="str">
        <f>A67</f>
        <v>Bond 14</v>
      </c>
      <c r="B310" s="230">
        <f t="shared" ref="B310:AG310" si="1060">B67*B182</f>
        <v>1.65518172250922</v>
      </c>
      <c r="C310" s="230">
        <f t="shared" si="1060"/>
        <v>1.6403918849791617</v>
      </c>
      <c r="D310" s="230">
        <f t="shared" si="1060"/>
        <v>1.6268208169067555</v>
      </c>
      <c r="E310" s="230">
        <f t="shared" si="1060"/>
        <v>1.6146295064553911</v>
      </c>
      <c r="F310" s="230">
        <f t="shared" si="1060"/>
        <v>1.6030859644804323</v>
      </c>
      <c r="G310" s="230">
        <f t="shared" si="1060"/>
        <v>1.5924732001750832</v>
      </c>
      <c r="H310" s="230">
        <f t="shared" si="1060"/>
        <v>1.5821110969108338</v>
      </c>
      <c r="I310" s="230">
        <f t="shared" si="1060"/>
        <v>1.5722821352344252</v>
      </c>
      <c r="J310" s="230">
        <f t="shared" si="1060"/>
        <v>1.5623887143919524</v>
      </c>
      <c r="K310" s="230">
        <f t="shared" si="1060"/>
        <v>1.5527339821936685</v>
      </c>
      <c r="L310" s="230">
        <f t="shared" si="1060"/>
        <v>1.5428218203440485</v>
      </c>
      <c r="M310" s="230">
        <f t="shared" si="1060"/>
        <v>1.5328833740746428</v>
      </c>
      <c r="N310" s="230">
        <f t="shared" si="1060"/>
        <v>1.5224406791916865</v>
      </c>
      <c r="O310" s="230">
        <f t="shared" si="1060"/>
        <v>92.58917519206048</v>
      </c>
      <c r="P310" s="230">
        <f t="shared" si="1060"/>
        <v>0</v>
      </c>
      <c r="Q310" s="230">
        <f t="shared" si="1060"/>
        <v>0</v>
      </c>
      <c r="R310" s="230">
        <f t="shared" si="1060"/>
        <v>0</v>
      </c>
      <c r="S310" s="230">
        <f t="shared" si="1060"/>
        <v>0</v>
      </c>
      <c r="T310" s="230">
        <f t="shared" si="1060"/>
        <v>0</v>
      </c>
      <c r="U310" s="230">
        <f t="shared" si="1060"/>
        <v>0</v>
      </c>
      <c r="V310" s="230">
        <f t="shared" si="1060"/>
        <v>0</v>
      </c>
      <c r="W310" s="230">
        <f t="shared" si="1060"/>
        <v>0</v>
      </c>
      <c r="X310" s="230">
        <f t="shared" si="1060"/>
        <v>0</v>
      </c>
      <c r="Y310" s="230">
        <f t="shared" si="1060"/>
        <v>0</v>
      </c>
      <c r="Z310" s="230">
        <f t="shared" si="1060"/>
        <v>0</v>
      </c>
      <c r="AA310" s="230">
        <f t="shared" si="1060"/>
        <v>0</v>
      </c>
      <c r="AB310" s="230">
        <f t="shared" si="1060"/>
        <v>0</v>
      </c>
      <c r="AC310" s="230">
        <f t="shared" si="1060"/>
        <v>0</v>
      </c>
      <c r="AD310" s="230">
        <f t="shared" si="1060"/>
        <v>0</v>
      </c>
      <c r="AE310" s="230">
        <f t="shared" si="1060"/>
        <v>0</v>
      </c>
      <c r="AF310" s="230">
        <f t="shared" si="1060"/>
        <v>0</v>
      </c>
      <c r="AG310" s="230">
        <f t="shared" si="1060"/>
        <v>0</v>
      </c>
      <c r="AH310" s="230">
        <f t="shared" ref="AH310:BM310" si="1061">AH67*AH182</f>
        <v>0</v>
      </c>
      <c r="AI310" s="230">
        <f t="shared" si="1061"/>
        <v>0</v>
      </c>
      <c r="AJ310" s="230">
        <f t="shared" si="1061"/>
        <v>0</v>
      </c>
      <c r="AK310" s="230">
        <f t="shared" si="1061"/>
        <v>0</v>
      </c>
      <c r="AL310" s="230">
        <f t="shared" si="1061"/>
        <v>0</v>
      </c>
      <c r="AM310" s="230">
        <f t="shared" si="1061"/>
        <v>0</v>
      </c>
      <c r="AN310" s="230">
        <f t="shared" si="1061"/>
        <v>0</v>
      </c>
      <c r="AO310" s="230">
        <f t="shared" si="1061"/>
        <v>0</v>
      </c>
      <c r="AP310" s="230">
        <f t="shared" si="1061"/>
        <v>0</v>
      </c>
      <c r="AQ310" s="230">
        <f t="shared" si="1061"/>
        <v>0</v>
      </c>
      <c r="AR310" s="230">
        <f t="shared" si="1061"/>
        <v>0</v>
      </c>
      <c r="AS310" s="230">
        <f t="shared" si="1061"/>
        <v>0</v>
      </c>
      <c r="AT310" s="230">
        <f t="shared" si="1061"/>
        <v>0</v>
      </c>
      <c r="AU310" s="230">
        <f t="shared" si="1061"/>
        <v>0</v>
      </c>
      <c r="AV310" s="230">
        <f t="shared" si="1061"/>
        <v>0</v>
      </c>
      <c r="AW310" s="230">
        <f t="shared" si="1061"/>
        <v>0</v>
      </c>
      <c r="AX310" s="230">
        <f t="shared" si="1061"/>
        <v>0</v>
      </c>
      <c r="AY310" s="230">
        <f t="shared" si="1061"/>
        <v>0</v>
      </c>
      <c r="AZ310" s="230">
        <f t="shared" si="1061"/>
        <v>0</v>
      </c>
      <c r="BA310" s="230">
        <f t="shared" si="1061"/>
        <v>0</v>
      </c>
      <c r="BB310" s="230">
        <f t="shared" si="1061"/>
        <v>0</v>
      </c>
      <c r="BC310" s="230">
        <f t="shared" si="1061"/>
        <v>0</v>
      </c>
      <c r="BD310" s="230">
        <f t="shared" si="1061"/>
        <v>0</v>
      </c>
      <c r="BE310" s="230">
        <f t="shared" si="1061"/>
        <v>0</v>
      </c>
      <c r="BF310" s="230">
        <f t="shared" si="1061"/>
        <v>0</v>
      </c>
      <c r="BG310" s="230">
        <f t="shared" si="1061"/>
        <v>0</v>
      </c>
      <c r="BH310" s="230">
        <f t="shared" si="1061"/>
        <v>0</v>
      </c>
      <c r="BI310" s="230">
        <f t="shared" si="1061"/>
        <v>0</v>
      </c>
      <c r="BJ310" s="230">
        <f t="shared" si="1061"/>
        <v>0</v>
      </c>
      <c r="BK310" s="230">
        <f t="shared" si="1061"/>
        <v>0</v>
      </c>
      <c r="BL310" s="230">
        <f t="shared" si="1061"/>
        <v>0</v>
      </c>
      <c r="BM310" s="230">
        <f t="shared" si="1061"/>
        <v>0</v>
      </c>
      <c r="BN310" s="230">
        <f t="shared" ref="BN310:CB310" si="1062">BN67*BN182</f>
        <v>0</v>
      </c>
      <c r="BO310" s="230">
        <f t="shared" si="1062"/>
        <v>0</v>
      </c>
      <c r="BP310" s="230">
        <f t="shared" si="1062"/>
        <v>0</v>
      </c>
      <c r="BQ310" s="230">
        <f t="shared" si="1062"/>
        <v>0</v>
      </c>
      <c r="BR310" s="230">
        <f t="shared" si="1062"/>
        <v>0</v>
      </c>
      <c r="BS310" s="230">
        <f t="shared" si="1062"/>
        <v>0</v>
      </c>
      <c r="BT310" s="230">
        <f t="shared" si="1062"/>
        <v>0</v>
      </c>
      <c r="BU310" s="230">
        <f t="shared" si="1062"/>
        <v>0</v>
      </c>
      <c r="BV310" s="230">
        <f t="shared" si="1062"/>
        <v>0</v>
      </c>
      <c r="BW310" s="230">
        <f t="shared" si="1062"/>
        <v>0</v>
      </c>
      <c r="BX310" s="230">
        <f t="shared" si="1062"/>
        <v>0</v>
      </c>
      <c r="BY310" s="230">
        <f t="shared" si="1062"/>
        <v>0</v>
      </c>
      <c r="BZ310" s="230">
        <f t="shared" si="1062"/>
        <v>0</v>
      </c>
      <c r="CA310" s="230">
        <f t="shared" si="1062"/>
        <v>0</v>
      </c>
      <c r="CB310" s="230">
        <f t="shared" si="1062"/>
        <v>0</v>
      </c>
      <c r="CC310" s="19"/>
      <c r="CD310" s="19"/>
      <c r="CE310" s="19"/>
      <c r="CH310" s="7"/>
      <c r="CI310" s="693"/>
      <c r="CJ310" s="693"/>
      <c r="CK310" s="693"/>
      <c r="CL310" s="693"/>
      <c r="CM310" s="693"/>
      <c r="CN310" s="693"/>
      <c r="CO310" s="693"/>
      <c r="CP310" s="693"/>
      <c r="CQ310" s="693"/>
      <c r="CR310" s="693"/>
      <c r="CS310" s="693"/>
      <c r="CT310" s="693"/>
      <c r="CU310" s="693"/>
      <c r="CV310" s="693"/>
      <c r="CW310" s="693"/>
      <c r="CX310" s="693"/>
      <c r="CY310" s="693"/>
      <c r="CZ310" s="693"/>
      <c r="DA310" s="693"/>
      <c r="DB310" s="693"/>
      <c r="DC310" s="693"/>
      <c r="DD310" s="693"/>
      <c r="DE310" s="693"/>
      <c r="DF310" s="693"/>
      <c r="DG310" s="693"/>
      <c r="DH310" s="693"/>
      <c r="DI310" s="693"/>
      <c r="DJ310" s="693"/>
      <c r="DK310" s="693"/>
      <c r="DL310" s="693"/>
      <c r="DM310" s="693"/>
      <c r="DN310" s="693"/>
      <c r="DO310" s="693"/>
      <c r="DP310" s="693"/>
      <c r="DQ310" s="693"/>
      <c r="DR310" s="693"/>
      <c r="DS310" s="693"/>
      <c r="DT310" s="693"/>
      <c r="DU310" s="693"/>
      <c r="DV310" s="693"/>
      <c r="DW310" s="693"/>
      <c r="DX310" s="693"/>
      <c r="DY310" s="693"/>
      <c r="DZ310" s="693"/>
      <c r="EA310" s="693"/>
      <c r="EB310" s="693"/>
      <c r="EC310" s="693"/>
      <c r="ED310" s="693"/>
    </row>
    <row r="311" spans="1:256">
      <c r="A311" s="230" t="str">
        <f>A69</f>
        <v>Bond 15</v>
      </c>
      <c r="B311" s="230">
        <f t="shared" ref="B311:AG311" si="1063">B69*B187</f>
        <v>1.1449309908550704</v>
      </c>
      <c r="C311" s="230">
        <f t="shared" si="1063"/>
        <v>1.135251897625208</v>
      </c>
      <c r="D311" s="230">
        <f t="shared" si="1063"/>
        <v>1.1264016941665207</v>
      </c>
      <c r="E311" s="230">
        <f t="shared" si="1063"/>
        <v>97.936300742071765</v>
      </c>
      <c r="F311" s="230">
        <f t="shared" si="1063"/>
        <v>0</v>
      </c>
      <c r="G311" s="230">
        <f t="shared" si="1063"/>
        <v>0</v>
      </c>
      <c r="H311" s="230">
        <f t="shared" si="1063"/>
        <v>0</v>
      </c>
      <c r="I311" s="230">
        <f t="shared" si="1063"/>
        <v>0</v>
      </c>
      <c r="J311" s="230">
        <f t="shared" si="1063"/>
        <v>0</v>
      </c>
      <c r="K311" s="230">
        <f t="shared" si="1063"/>
        <v>0</v>
      </c>
      <c r="L311" s="230">
        <f t="shared" si="1063"/>
        <v>0</v>
      </c>
      <c r="M311" s="230">
        <f t="shared" si="1063"/>
        <v>0</v>
      </c>
      <c r="N311" s="230">
        <f t="shared" si="1063"/>
        <v>0</v>
      </c>
      <c r="O311" s="230">
        <f t="shared" si="1063"/>
        <v>0</v>
      </c>
      <c r="P311" s="230">
        <f t="shared" si="1063"/>
        <v>0</v>
      </c>
      <c r="Q311" s="230">
        <f t="shared" si="1063"/>
        <v>0</v>
      </c>
      <c r="R311" s="230">
        <f t="shared" si="1063"/>
        <v>0</v>
      </c>
      <c r="S311" s="230">
        <f t="shared" si="1063"/>
        <v>0</v>
      </c>
      <c r="T311" s="230">
        <f t="shared" si="1063"/>
        <v>0</v>
      </c>
      <c r="U311" s="230">
        <f t="shared" si="1063"/>
        <v>0</v>
      </c>
      <c r="V311" s="230">
        <f t="shared" si="1063"/>
        <v>0</v>
      </c>
      <c r="W311" s="230">
        <f t="shared" si="1063"/>
        <v>0</v>
      </c>
      <c r="X311" s="230">
        <f t="shared" si="1063"/>
        <v>0</v>
      </c>
      <c r="Y311" s="230">
        <f t="shared" si="1063"/>
        <v>0</v>
      </c>
      <c r="Z311" s="230">
        <f t="shared" si="1063"/>
        <v>0</v>
      </c>
      <c r="AA311" s="230">
        <f t="shared" si="1063"/>
        <v>0</v>
      </c>
      <c r="AB311" s="230">
        <f t="shared" si="1063"/>
        <v>0</v>
      </c>
      <c r="AC311" s="230">
        <f t="shared" si="1063"/>
        <v>0</v>
      </c>
      <c r="AD311" s="230">
        <f t="shared" si="1063"/>
        <v>0</v>
      </c>
      <c r="AE311" s="230">
        <f t="shared" si="1063"/>
        <v>0</v>
      </c>
      <c r="AF311" s="230">
        <f t="shared" si="1063"/>
        <v>0</v>
      </c>
      <c r="AG311" s="230">
        <f t="shared" si="1063"/>
        <v>0</v>
      </c>
      <c r="AH311" s="230">
        <f t="shared" ref="AH311:BM311" si="1064">AH69*AH187</f>
        <v>0</v>
      </c>
      <c r="AI311" s="230">
        <f t="shared" si="1064"/>
        <v>0</v>
      </c>
      <c r="AJ311" s="230">
        <f t="shared" si="1064"/>
        <v>0</v>
      </c>
      <c r="AK311" s="230">
        <f t="shared" si="1064"/>
        <v>0</v>
      </c>
      <c r="AL311" s="230">
        <f t="shared" si="1064"/>
        <v>0</v>
      </c>
      <c r="AM311" s="230">
        <f t="shared" si="1064"/>
        <v>0</v>
      </c>
      <c r="AN311" s="230">
        <f t="shared" si="1064"/>
        <v>0</v>
      </c>
      <c r="AO311" s="230">
        <f t="shared" si="1064"/>
        <v>0</v>
      </c>
      <c r="AP311" s="230">
        <f t="shared" si="1064"/>
        <v>0</v>
      </c>
      <c r="AQ311" s="230">
        <f t="shared" si="1064"/>
        <v>0</v>
      </c>
      <c r="AR311" s="230">
        <f t="shared" si="1064"/>
        <v>0</v>
      </c>
      <c r="AS311" s="230">
        <f t="shared" si="1064"/>
        <v>0</v>
      </c>
      <c r="AT311" s="230">
        <f t="shared" si="1064"/>
        <v>0</v>
      </c>
      <c r="AU311" s="230">
        <f t="shared" si="1064"/>
        <v>0</v>
      </c>
      <c r="AV311" s="230">
        <f t="shared" si="1064"/>
        <v>0</v>
      </c>
      <c r="AW311" s="230">
        <f t="shared" si="1064"/>
        <v>0</v>
      </c>
      <c r="AX311" s="230">
        <f t="shared" si="1064"/>
        <v>0</v>
      </c>
      <c r="AY311" s="230">
        <f t="shared" si="1064"/>
        <v>0</v>
      </c>
      <c r="AZ311" s="230">
        <f t="shared" si="1064"/>
        <v>0</v>
      </c>
      <c r="BA311" s="230">
        <f t="shared" si="1064"/>
        <v>0</v>
      </c>
      <c r="BB311" s="230">
        <f t="shared" si="1064"/>
        <v>0</v>
      </c>
      <c r="BC311" s="230">
        <f t="shared" si="1064"/>
        <v>0</v>
      </c>
      <c r="BD311" s="230">
        <f t="shared" si="1064"/>
        <v>0</v>
      </c>
      <c r="BE311" s="230">
        <f t="shared" si="1064"/>
        <v>0</v>
      </c>
      <c r="BF311" s="230">
        <f t="shared" si="1064"/>
        <v>0</v>
      </c>
      <c r="BG311" s="230">
        <f t="shared" si="1064"/>
        <v>0</v>
      </c>
      <c r="BH311" s="230">
        <f t="shared" si="1064"/>
        <v>0</v>
      </c>
      <c r="BI311" s="230">
        <f t="shared" si="1064"/>
        <v>0</v>
      </c>
      <c r="BJ311" s="230">
        <f t="shared" si="1064"/>
        <v>0</v>
      </c>
      <c r="BK311" s="230">
        <f t="shared" si="1064"/>
        <v>0</v>
      </c>
      <c r="BL311" s="230">
        <f t="shared" si="1064"/>
        <v>0</v>
      </c>
      <c r="BM311" s="230">
        <f t="shared" si="1064"/>
        <v>0</v>
      </c>
      <c r="BN311" s="230">
        <f t="shared" ref="BN311:CB311" si="1065">BN69*BN187</f>
        <v>0</v>
      </c>
      <c r="BO311" s="230">
        <f t="shared" si="1065"/>
        <v>0</v>
      </c>
      <c r="BP311" s="230">
        <f t="shared" si="1065"/>
        <v>0</v>
      </c>
      <c r="BQ311" s="230">
        <f t="shared" si="1065"/>
        <v>0</v>
      </c>
      <c r="BR311" s="230">
        <f t="shared" si="1065"/>
        <v>0</v>
      </c>
      <c r="BS311" s="230">
        <f t="shared" si="1065"/>
        <v>0</v>
      </c>
      <c r="BT311" s="230">
        <f t="shared" si="1065"/>
        <v>0</v>
      </c>
      <c r="BU311" s="230">
        <f t="shared" si="1065"/>
        <v>0</v>
      </c>
      <c r="BV311" s="230">
        <f t="shared" si="1065"/>
        <v>0</v>
      </c>
      <c r="BW311" s="230">
        <f t="shared" si="1065"/>
        <v>0</v>
      </c>
      <c r="BX311" s="230">
        <f t="shared" si="1065"/>
        <v>0</v>
      </c>
      <c r="BY311" s="230">
        <f t="shared" si="1065"/>
        <v>0</v>
      </c>
      <c r="BZ311" s="230">
        <f t="shared" si="1065"/>
        <v>0</v>
      </c>
      <c r="CA311" s="230">
        <f t="shared" si="1065"/>
        <v>0</v>
      </c>
      <c r="CB311" s="230">
        <f t="shared" si="1065"/>
        <v>0</v>
      </c>
      <c r="CC311" s="19"/>
      <c r="CD311" s="19"/>
      <c r="CE311" s="19"/>
      <c r="CH311" s="7"/>
      <c r="CI311" s="693"/>
      <c r="CJ311" s="693"/>
      <c r="CK311" s="693"/>
      <c r="CL311" s="693"/>
      <c r="CM311" s="693"/>
      <c r="CN311" s="693"/>
      <c r="CO311" s="693"/>
      <c r="CP311" s="693"/>
      <c r="CQ311" s="693"/>
      <c r="CR311" s="693"/>
      <c r="CS311" s="693"/>
      <c r="CT311" s="693"/>
      <c r="CU311" s="693"/>
      <c r="CV311" s="693"/>
      <c r="CW311" s="693"/>
      <c r="CX311" s="693"/>
      <c r="CY311" s="693"/>
      <c r="CZ311" s="693"/>
      <c r="DA311" s="693"/>
      <c r="DB311" s="693"/>
      <c r="DC311" s="693"/>
      <c r="DD311" s="693"/>
      <c r="DE311" s="693"/>
      <c r="DF311" s="693"/>
      <c r="DG311" s="693"/>
      <c r="DH311" s="693"/>
      <c r="DI311" s="693"/>
      <c r="DJ311" s="693"/>
      <c r="DK311" s="693"/>
      <c r="DL311" s="693"/>
      <c r="DM311" s="693"/>
      <c r="DN311" s="693"/>
      <c r="DO311" s="693"/>
      <c r="DP311" s="693"/>
      <c r="DQ311" s="693"/>
      <c r="DR311" s="693"/>
      <c r="DS311" s="693"/>
      <c r="DT311" s="693"/>
      <c r="DU311" s="693"/>
      <c r="DV311" s="693"/>
      <c r="DW311" s="693"/>
      <c r="DX311" s="693"/>
      <c r="DY311" s="693"/>
      <c r="DZ311" s="693"/>
      <c r="EA311" s="693"/>
      <c r="EB311" s="693"/>
      <c r="EC311" s="693"/>
      <c r="ED311" s="693"/>
    </row>
    <row r="312" spans="1:256">
      <c r="A312" s="230" t="str">
        <f>A71</f>
        <v>Bond 16</v>
      </c>
      <c r="B312" s="230">
        <f t="shared" ref="B312:AG312" si="1066">B71*B192</f>
        <v>1.0319958330102668</v>
      </c>
      <c r="C312" s="230">
        <f t="shared" si="1066"/>
        <v>1.0227744584056822</v>
      </c>
      <c r="D312" s="230">
        <f t="shared" si="1066"/>
        <v>1.0143129792159591</v>
      </c>
      <c r="E312" s="230">
        <f t="shared" si="1066"/>
        <v>1.0067117705911626</v>
      </c>
      <c r="F312" s="230">
        <f t="shared" si="1066"/>
        <v>0.99951444170918524</v>
      </c>
      <c r="G312" s="230">
        <f t="shared" si="1066"/>
        <v>0.99289744709711503</v>
      </c>
      <c r="H312" s="230">
        <f t="shared" si="1066"/>
        <v>0.98643673813416444</v>
      </c>
      <c r="I312" s="230">
        <f t="shared" si="1066"/>
        <v>0.98030843973953607</v>
      </c>
      <c r="J312" s="230">
        <f t="shared" si="1066"/>
        <v>0.97413995144317511</v>
      </c>
      <c r="K312" s="230">
        <f t="shared" si="1066"/>
        <v>0.96812028407858253</v>
      </c>
      <c r="L312" s="230">
        <f t="shared" si="1066"/>
        <v>0.9619401108771628</v>
      </c>
      <c r="M312" s="230">
        <f t="shared" si="1066"/>
        <v>0.9557435494983465</v>
      </c>
      <c r="N312" s="230">
        <f t="shared" si="1066"/>
        <v>0.9492325921466237</v>
      </c>
      <c r="O312" s="230">
        <f t="shared" si="1066"/>
        <v>0.94264997367482395</v>
      </c>
      <c r="P312" s="230">
        <f t="shared" si="1066"/>
        <v>91.337885505748787</v>
      </c>
      <c r="Q312" s="230">
        <f t="shared" si="1066"/>
        <v>0</v>
      </c>
      <c r="R312" s="230">
        <f t="shared" si="1066"/>
        <v>0</v>
      </c>
      <c r="S312" s="230">
        <f t="shared" si="1066"/>
        <v>0</v>
      </c>
      <c r="T312" s="230">
        <f t="shared" si="1066"/>
        <v>0</v>
      </c>
      <c r="U312" s="230">
        <f t="shared" si="1066"/>
        <v>0</v>
      </c>
      <c r="V312" s="230">
        <f t="shared" si="1066"/>
        <v>0</v>
      </c>
      <c r="W312" s="230">
        <f t="shared" si="1066"/>
        <v>0</v>
      </c>
      <c r="X312" s="230">
        <f t="shared" si="1066"/>
        <v>0</v>
      </c>
      <c r="Y312" s="230">
        <f t="shared" si="1066"/>
        <v>0</v>
      </c>
      <c r="Z312" s="230">
        <f t="shared" si="1066"/>
        <v>0</v>
      </c>
      <c r="AA312" s="230">
        <f t="shared" si="1066"/>
        <v>0</v>
      </c>
      <c r="AB312" s="230">
        <f t="shared" si="1066"/>
        <v>0</v>
      </c>
      <c r="AC312" s="230">
        <f t="shared" si="1066"/>
        <v>0</v>
      </c>
      <c r="AD312" s="230">
        <f t="shared" si="1066"/>
        <v>0</v>
      </c>
      <c r="AE312" s="230">
        <f t="shared" si="1066"/>
        <v>0</v>
      </c>
      <c r="AF312" s="230">
        <f t="shared" si="1066"/>
        <v>0</v>
      </c>
      <c r="AG312" s="230">
        <f t="shared" si="1066"/>
        <v>0</v>
      </c>
      <c r="AH312" s="230">
        <f t="shared" ref="AH312:BM312" si="1067">AH71*AH192</f>
        <v>0</v>
      </c>
      <c r="AI312" s="230">
        <f t="shared" si="1067"/>
        <v>0</v>
      </c>
      <c r="AJ312" s="230">
        <f t="shared" si="1067"/>
        <v>0</v>
      </c>
      <c r="AK312" s="230">
        <f t="shared" si="1067"/>
        <v>0</v>
      </c>
      <c r="AL312" s="230">
        <f t="shared" si="1067"/>
        <v>0</v>
      </c>
      <c r="AM312" s="230">
        <f t="shared" si="1067"/>
        <v>0</v>
      </c>
      <c r="AN312" s="230">
        <f t="shared" si="1067"/>
        <v>0</v>
      </c>
      <c r="AO312" s="230">
        <f t="shared" si="1067"/>
        <v>0</v>
      </c>
      <c r="AP312" s="230">
        <f t="shared" si="1067"/>
        <v>0</v>
      </c>
      <c r="AQ312" s="230">
        <f t="shared" si="1067"/>
        <v>0</v>
      </c>
      <c r="AR312" s="230">
        <f t="shared" si="1067"/>
        <v>0</v>
      </c>
      <c r="AS312" s="230">
        <f t="shared" si="1067"/>
        <v>0</v>
      </c>
      <c r="AT312" s="230">
        <f t="shared" si="1067"/>
        <v>0</v>
      </c>
      <c r="AU312" s="230">
        <f t="shared" si="1067"/>
        <v>0</v>
      </c>
      <c r="AV312" s="230">
        <f t="shared" si="1067"/>
        <v>0</v>
      </c>
      <c r="AW312" s="230">
        <f t="shared" si="1067"/>
        <v>0</v>
      </c>
      <c r="AX312" s="230">
        <f t="shared" si="1067"/>
        <v>0</v>
      </c>
      <c r="AY312" s="230">
        <f t="shared" si="1067"/>
        <v>0</v>
      </c>
      <c r="AZ312" s="230">
        <f t="shared" si="1067"/>
        <v>0</v>
      </c>
      <c r="BA312" s="230">
        <f t="shared" si="1067"/>
        <v>0</v>
      </c>
      <c r="BB312" s="230">
        <f t="shared" si="1067"/>
        <v>0</v>
      </c>
      <c r="BC312" s="230">
        <f t="shared" si="1067"/>
        <v>0</v>
      </c>
      <c r="BD312" s="230">
        <f t="shared" si="1067"/>
        <v>0</v>
      </c>
      <c r="BE312" s="230">
        <f t="shared" si="1067"/>
        <v>0</v>
      </c>
      <c r="BF312" s="230">
        <f t="shared" si="1067"/>
        <v>0</v>
      </c>
      <c r="BG312" s="230">
        <f t="shared" si="1067"/>
        <v>0</v>
      </c>
      <c r="BH312" s="230">
        <f t="shared" si="1067"/>
        <v>0</v>
      </c>
      <c r="BI312" s="230">
        <f t="shared" si="1067"/>
        <v>0</v>
      </c>
      <c r="BJ312" s="230">
        <f t="shared" si="1067"/>
        <v>0</v>
      </c>
      <c r="BK312" s="230">
        <f t="shared" si="1067"/>
        <v>0</v>
      </c>
      <c r="BL312" s="230">
        <f t="shared" si="1067"/>
        <v>0</v>
      </c>
      <c r="BM312" s="230">
        <f t="shared" si="1067"/>
        <v>0</v>
      </c>
      <c r="BN312" s="230">
        <f t="shared" ref="BN312:CB312" si="1068">BN71*BN192</f>
        <v>0</v>
      </c>
      <c r="BO312" s="230">
        <f t="shared" si="1068"/>
        <v>0</v>
      </c>
      <c r="BP312" s="230">
        <f t="shared" si="1068"/>
        <v>0</v>
      </c>
      <c r="BQ312" s="230">
        <f t="shared" si="1068"/>
        <v>0</v>
      </c>
      <c r="BR312" s="230">
        <f t="shared" si="1068"/>
        <v>0</v>
      </c>
      <c r="BS312" s="230">
        <f t="shared" si="1068"/>
        <v>0</v>
      </c>
      <c r="BT312" s="230">
        <f t="shared" si="1068"/>
        <v>0</v>
      </c>
      <c r="BU312" s="230">
        <f t="shared" si="1068"/>
        <v>0</v>
      </c>
      <c r="BV312" s="230">
        <f t="shared" si="1068"/>
        <v>0</v>
      </c>
      <c r="BW312" s="230">
        <f t="shared" si="1068"/>
        <v>0</v>
      </c>
      <c r="BX312" s="230">
        <f t="shared" si="1068"/>
        <v>0</v>
      </c>
      <c r="BY312" s="230">
        <f t="shared" si="1068"/>
        <v>0</v>
      </c>
      <c r="BZ312" s="230">
        <f t="shared" si="1068"/>
        <v>0</v>
      </c>
      <c r="CA312" s="230">
        <f t="shared" si="1068"/>
        <v>0</v>
      </c>
      <c r="CB312" s="230">
        <f t="shared" si="1068"/>
        <v>0</v>
      </c>
      <c r="CC312" s="19"/>
      <c r="CD312" s="19"/>
      <c r="CE312" s="19"/>
      <c r="CH312" s="7"/>
      <c r="CI312" s="693"/>
      <c r="CJ312" s="693"/>
      <c r="CK312" s="693"/>
      <c r="CL312" s="693"/>
      <c r="CM312" s="693"/>
      <c r="CN312" s="693"/>
      <c r="CO312" s="693"/>
      <c r="CP312" s="693"/>
      <c r="CQ312" s="693"/>
      <c r="CR312" s="693"/>
      <c r="CS312" s="693"/>
      <c r="CT312" s="693"/>
      <c r="CU312" s="693"/>
      <c r="CV312" s="693"/>
      <c r="CW312" s="693"/>
      <c r="CX312" s="693"/>
      <c r="CY312" s="693"/>
      <c r="CZ312" s="693"/>
      <c r="DA312" s="693"/>
      <c r="DB312" s="693"/>
      <c r="DC312" s="693"/>
      <c r="DD312" s="693"/>
      <c r="DE312" s="693"/>
      <c r="DF312" s="693"/>
      <c r="DG312" s="693"/>
      <c r="DH312" s="693"/>
      <c r="DI312" s="693"/>
      <c r="DJ312" s="693"/>
      <c r="DK312" s="693"/>
      <c r="DL312" s="693"/>
      <c r="DM312" s="693"/>
      <c r="DN312" s="693"/>
      <c r="DO312" s="693"/>
      <c r="DP312" s="693"/>
      <c r="DQ312" s="693"/>
      <c r="DR312" s="693"/>
      <c r="DS312" s="693"/>
      <c r="DT312" s="693"/>
      <c r="DU312" s="693"/>
      <c r="DV312" s="693"/>
      <c r="DW312" s="693"/>
      <c r="DX312" s="693"/>
      <c r="DY312" s="693"/>
      <c r="DZ312" s="693"/>
      <c r="EA312" s="693"/>
      <c r="EB312" s="693"/>
      <c r="EC312" s="693"/>
      <c r="ED312" s="693"/>
      <c r="EE312" s="693"/>
      <c r="EF312" s="693"/>
      <c r="EG312" s="693"/>
      <c r="EH312" s="693"/>
      <c r="EI312" s="693"/>
      <c r="EJ312" s="693"/>
      <c r="EK312" s="693"/>
      <c r="EL312" s="693"/>
      <c r="EM312" s="693"/>
      <c r="EN312" s="693"/>
      <c r="EO312" s="693"/>
      <c r="EP312" s="693"/>
      <c r="EQ312" s="693"/>
      <c r="ER312" s="693"/>
      <c r="ES312" s="693"/>
      <c r="ET312" s="693"/>
      <c r="EU312" s="693"/>
      <c r="EV312" s="693"/>
      <c r="EW312" s="693"/>
      <c r="EX312" s="693"/>
      <c r="EY312" s="693"/>
      <c r="EZ312" s="693"/>
      <c r="FA312" s="693"/>
      <c r="FB312" s="693"/>
      <c r="FC312" s="693"/>
      <c r="FD312" s="693"/>
      <c r="FE312" s="693"/>
      <c r="FF312" s="693"/>
      <c r="FG312" s="693"/>
      <c r="FH312" s="693"/>
      <c r="FI312" s="693"/>
      <c r="FJ312" s="693"/>
      <c r="FK312" s="693"/>
      <c r="FL312" s="693"/>
    </row>
    <row r="313" spans="1:256">
      <c r="A313" s="230" t="str">
        <f>A73</f>
        <v>Bond 17</v>
      </c>
      <c r="B313" s="230">
        <f t="shared" ref="B313:AG313" si="1069">B73*B197</f>
        <v>0.5902545935363297</v>
      </c>
      <c r="C313" s="230">
        <f t="shared" si="1069"/>
        <v>0.58522583331721567</v>
      </c>
      <c r="D313" s="230">
        <f t="shared" si="1069"/>
        <v>0.58063249842216502</v>
      </c>
      <c r="E313" s="230">
        <f t="shared" si="1069"/>
        <v>0.57640586584625031</v>
      </c>
      <c r="F313" s="230">
        <f t="shared" si="1069"/>
        <v>96.784139285421546</v>
      </c>
      <c r="G313" s="230">
        <f t="shared" si="1069"/>
        <v>0</v>
      </c>
      <c r="H313" s="230">
        <f t="shared" si="1069"/>
        <v>0</v>
      </c>
      <c r="I313" s="230">
        <f t="shared" si="1069"/>
        <v>0</v>
      </c>
      <c r="J313" s="230">
        <f t="shared" si="1069"/>
        <v>0</v>
      </c>
      <c r="K313" s="230">
        <f t="shared" si="1069"/>
        <v>0</v>
      </c>
      <c r="L313" s="230">
        <f t="shared" si="1069"/>
        <v>0</v>
      </c>
      <c r="M313" s="230">
        <f t="shared" si="1069"/>
        <v>0</v>
      </c>
      <c r="N313" s="230">
        <f t="shared" si="1069"/>
        <v>0</v>
      </c>
      <c r="O313" s="230">
        <f t="shared" si="1069"/>
        <v>0</v>
      </c>
      <c r="P313" s="230">
        <f t="shared" si="1069"/>
        <v>0</v>
      </c>
      <c r="Q313" s="230">
        <f t="shared" si="1069"/>
        <v>0</v>
      </c>
      <c r="R313" s="230">
        <f t="shared" si="1069"/>
        <v>0</v>
      </c>
      <c r="S313" s="230">
        <f t="shared" si="1069"/>
        <v>0</v>
      </c>
      <c r="T313" s="230">
        <f t="shared" si="1069"/>
        <v>0</v>
      </c>
      <c r="U313" s="230">
        <f t="shared" si="1069"/>
        <v>0</v>
      </c>
      <c r="V313" s="230">
        <f t="shared" si="1069"/>
        <v>0</v>
      </c>
      <c r="W313" s="230">
        <f t="shared" si="1069"/>
        <v>0</v>
      </c>
      <c r="X313" s="230">
        <f t="shared" si="1069"/>
        <v>0</v>
      </c>
      <c r="Y313" s="230">
        <f t="shared" si="1069"/>
        <v>0</v>
      </c>
      <c r="Z313" s="230">
        <f t="shared" si="1069"/>
        <v>0</v>
      </c>
      <c r="AA313" s="230">
        <f t="shared" si="1069"/>
        <v>0</v>
      </c>
      <c r="AB313" s="230">
        <f t="shared" si="1069"/>
        <v>0</v>
      </c>
      <c r="AC313" s="230">
        <f t="shared" si="1069"/>
        <v>0</v>
      </c>
      <c r="AD313" s="230">
        <f t="shared" si="1069"/>
        <v>0</v>
      </c>
      <c r="AE313" s="230">
        <f t="shared" si="1069"/>
        <v>0</v>
      </c>
      <c r="AF313" s="230">
        <f t="shared" si="1069"/>
        <v>0</v>
      </c>
      <c r="AG313" s="230">
        <f t="shared" si="1069"/>
        <v>0</v>
      </c>
      <c r="AH313" s="230">
        <f t="shared" ref="AH313:BM313" si="1070">AH73*AH197</f>
        <v>0</v>
      </c>
      <c r="AI313" s="230">
        <f t="shared" si="1070"/>
        <v>0</v>
      </c>
      <c r="AJ313" s="230">
        <f t="shared" si="1070"/>
        <v>0</v>
      </c>
      <c r="AK313" s="230">
        <f t="shared" si="1070"/>
        <v>0</v>
      </c>
      <c r="AL313" s="230">
        <f t="shared" si="1070"/>
        <v>0</v>
      </c>
      <c r="AM313" s="230">
        <f t="shared" si="1070"/>
        <v>0</v>
      </c>
      <c r="AN313" s="230">
        <f t="shared" si="1070"/>
        <v>0</v>
      </c>
      <c r="AO313" s="230">
        <f t="shared" si="1070"/>
        <v>0</v>
      </c>
      <c r="AP313" s="230">
        <f t="shared" si="1070"/>
        <v>0</v>
      </c>
      <c r="AQ313" s="230">
        <f t="shared" si="1070"/>
        <v>0</v>
      </c>
      <c r="AR313" s="230">
        <f t="shared" si="1070"/>
        <v>0</v>
      </c>
      <c r="AS313" s="230">
        <f t="shared" si="1070"/>
        <v>0</v>
      </c>
      <c r="AT313" s="230">
        <f t="shared" si="1070"/>
        <v>0</v>
      </c>
      <c r="AU313" s="230">
        <f t="shared" si="1070"/>
        <v>0</v>
      </c>
      <c r="AV313" s="230">
        <f t="shared" si="1070"/>
        <v>0</v>
      </c>
      <c r="AW313" s="230">
        <f t="shared" si="1070"/>
        <v>0</v>
      </c>
      <c r="AX313" s="230">
        <f t="shared" si="1070"/>
        <v>0</v>
      </c>
      <c r="AY313" s="230">
        <f t="shared" si="1070"/>
        <v>0</v>
      </c>
      <c r="AZ313" s="230">
        <f t="shared" si="1070"/>
        <v>0</v>
      </c>
      <c r="BA313" s="230">
        <f t="shared" si="1070"/>
        <v>0</v>
      </c>
      <c r="BB313" s="230">
        <f t="shared" si="1070"/>
        <v>0</v>
      </c>
      <c r="BC313" s="230">
        <f t="shared" si="1070"/>
        <v>0</v>
      </c>
      <c r="BD313" s="230">
        <f t="shared" si="1070"/>
        <v>0</v>
      </c>
      <c r="BE313" s="230">
        <f t="shared" si="1070"/>
        <v>0</v>
      </c>
      <c r="BF313" s="230">
        <f t="shared" si="1070"/>
        <v>0</v>
      </c>
      <c r="BG313" s="230">
        <f t="shared" si="1070"/>
        <v>0</v>
      </c>
      <c r="BH313" s="230">
        <f t="shared" si="1070"/>
        <v>0</v>
      </c>
      <c r="BI313" s="230">
        <f t="shared" si="1070"/>
        <v>0</v>
      </c>
      <c r="BJ313" s="230">
        <f t="shared" si="1070"/>
        <v>0</v>
      </c>
      <c r="BK313" s="230">
        <f t="shared" si="1070"/>
        <v>0</v>
      </c>
      <c r="BL313" s="230">
        <f t="shared" si="1070"/>
        <v>0</v>
      </c>
      <c r="BM313" s="230">
        <f t="shared" si="1070"/>
        <v>0</v>
      </c>
      <c r="BN313" s="230">
        <f t="shared" ref="BN313:CB313" si="1071">BN73*BN197</f>
        <v>0</v>
      </c>
      <c r="BO313" s="230">
        <f t="shared" si="1071"/>
        <v>0</v>
      </c>
      <c r="BP313" s="230">
        <f t="shared" si="1071"/>
        <v>0</v>
      </c>
      <c r="BQ313" s="230">
        <f t="shared" si="1071"/>
        <v>0</v>
      </c>
      <c r="BR313" s="230">
        <f t="shared" si="1071"/>
        <v>0</v>
      </c>
      <c r="BS313" s="230">
        <f t="shared" si="1071"/>
        <v>0</v>
      </c>
      <c r="BT313" s="230">
        <f t="shared" si="1071"/>
        <v>0</v>
      </c>
      <c r="BU313" s="230">
        <f t="shared" si="1071"/>
        <v>0</v>
      </c>
      <c r="BV313" s="230">
        <f t="shared" si="1071"/>
        <v>0</v>
      </c>
      <c r="BW313" s="230">
        <f t="shared" si="1071"/>
        <v>0</v>
      </c>
      <c r="BX313" s="230">
        <f t="shared" si="1071"/>
        <v>0</v>
      </c>
      <c r="BY313" s="230">
        <f t="shared" si="1071"/>
        <v>0</v>
      </c>
      <c r="BZ313" s="230">
        <f t="shared" si="1071"/>
        <v>0</v>
      </c>
      <c r="CA313" s="230">
        <f t="shared" si="1071"/>
        <v>0</v>
      </c>
      <c r="CB313" s="230">
        <f t="shared" si="1071"/>
        <v>0</v>
      </c>
      <c r="CC313" s="19"/>
      <c r="CD313" s="19"/>
      <c r="CE313" s="19"/>
      <c r="CH313" s="7"/>
      <c r="CI313" s="693"/>
      <c r="CJ313" s="693"/>
      <c r="CK313" s="693"/>
      <c r="CL313" s="693"/>
      <c r="CM313" s="693"/>
      <c r="CN313" s="693"/>
      <c r="CO313" s="693"/>
      <c r="CP313" s="693"/>
      <c r="CQ313" s="693"/>
      <c r="CR313" s="693"/>
      <c r="CS313" s="693"/>
      <c r="CT313" s="693"/>
      <c r="CU313" s="693"/>
      <c r="CV313" s="693"/>
      <c r="CW313" s="693"/>
      <c r="CX313" s="693"/>
      <c r="CY313" s="693"/>
      <c r="CZ313" s="693"/>
      <c r="DA313" s="693"/>
      <c r="DB313" s="693"/>
      <c r="DC313" s="693"/>
      <c r="DD313" s="693"/>
      <c r="DE313" s="693"/>
      <c r="DF313" s="693"/>
      <c r="DG313" s="693"/>
      <c r="DH313" s="693"/>
      <c r="DI313" s="693"/>
      <c r="DJ313" s="693"/>
      <c r="DK313" s="693"/>
      <c r="DL313" s="693"/>
      <c r="DM313" s="693"/>
      <c r="DN313" s="693"/>
      <c r="DO313" s="693"/>
      <c r="DP313" s="693"/>
      <c r="DQ313" s="693"/>
      <c r="DR313" s="693"/>
      <c r="DS313" s="693"/>
      <c r="DT313" s="693"/>
      <c r="DU313" s="693"/>
      <c r="DV313" s="693"/>
      <c r="DW313" s="693"/>
      <c r="DX313" s="693"/>
      <c r="DY313" s="693"/>
      <c r="DZ313" s="693"/>
      <c r="EA313" s="693"/>
      <c r="EB313" s="693"/>
      <c r="EC313" s="693"/>
      <c r="ED313" s="693"/>
      <c r="EE313" s="693"/>
      <c r="EF313" s="693"/>
      <c r="EG313" s="693"/>
      <c r="EH313" s="693"/>
      <c r="EI313" s="693"/>
      <c r="EJ313" s="693"/>
      <c r="EK313" s="693"/>
      <c r="EL313" s="693"/>
      <c r="EM313" s="693"/>
    </row>
    <row r="314" spans="1:256">
      <c r="A314" s="230" t="str">
        <f>A75</f>
        <v>Bond 18</v>
      </c>
      <c r="B314" s="230">
        <f t="shared" ref="B314:AG314" si="1072">B75*B202</f>
        <v>0.75280855451473572</v>
      </c>
      <c r="C314" s="230">
        <f t="shared" si="1072"/>
        <v>0.74608185130076332</v>
      </c>
      <c r="D314" s="230">
        <f t="shared" si="1072"/>
        <v>0.73990946793048229</v>
      </c>
      <c r="E314" s="230">
        <f t="shared" si="1072"/>
        <v>0.73436462492398813</v>
      </c>
      <c r="F314" s="230">
        <f t="shared" si="1072"/>
        <v>0.72911439950766654</v>
      </c>
      <c r="G314" s="230">
        <f t="shared" si="1072"/>
        <v>0.72428750971818545</v>
      </c>
      <c r="H314" s="230">
        <f t="shared" si="1072"/>
        <v>0.71957462540221662</v>
      </c>
      <c r="I314" s="230">
        <f t="shared" si="1072"/>
        <v>0.71510422415782593</v>
      </c>
      <c r="J314" s="230">
        <f t="shared" si="1072"/>
        <v>0.71060450564212296</v>
      </c>
      <c r="K314" s="230">
        <f t="shared" si="1072"/>
        <v>0.70621334732302399</v>
      </c>
      <c r="L314" s="230">
        <f t="shared" si="1072"/>
        <v>0.70170510503599803</v>
      </c>
      <c r="M314" s="230">
        <f t="shared" si="1072"/>
        <v>0.69718490808816591</v>
      </c>
      <c r="N314" s="230">
        <f t="shared" si="1072"/>
        <v>0.69243536915043569</v>
      </c>
      <c r="O314" s="230">
        <f t="shared" si="1072"/>
        <v>0.68763355567583773</v>
      </c>
      <c r="P314" s="230">
        <f t="shared" si="1072"/>
        <v>0.68253677989647488</v>
      </c>
      <c r="Q314" s="230">
        <f t="shared" si="1072"/>
        <v>90.392331105347907</v>
      </c>
      <c r="R314" s="230">
        <f t="shared" si="1072"/>
        <v>0</v>
      </c>
      <c r="S314" s="230">
        <f t="shared" si="1072"/>
        <v>0</v>
      </c>
      <c r="T314" s="230">
        <f t="shared" si="1072"/>
        <v>0</v>
      </c>
      <c r="U314" s="230">
        <f t="shared" si="1072"/>
        <v>0</v>
      </c>
      <c r="V314" s="230">
        <f t="shared" si="1072"/>
        <v>0</v>
      </c>
      <c r="W314" s="230">
        <f t="shared" si="1072"/>
        <v>0</v>
      </c>
      <c r="X314" s="230">
        <f t="shared" si="1072"/>
        <v>0</v>
      </c>
      <c r="Y314" s="230">
        <f t="shared" si="1072"/>
        <v>0</v>
      </c>
      <c r="Z314" s="230">
        <f t="shared" si="1072"/>
        <v>0</v>
      </c>
      <c r="AA314" s="230">
        <f t="shared" si="1072"/>
        <v>0</v>
      </c>
      <c r="AB314" s="230">
        <f t="shared" si="1072"/>
        <v>0</v>
      </c>
      <c r="AC314" s="230">
        <f t="shared" si="1072"/>
        <v>0</v>
      </c>
      <c r="AD314" s="230">
        <f t="shared" si="1072"/>
        <v>0</v>
      </c>
      <c r="AE314" s="230">
        <f t="shared" si="1072"/>
        <v>0</v>
      </c>
      <c r="AF314" s="230">
        <f t="shared" si="1072"/>
        <v>0</v>
      </c>
      <c r="AG314" s="230">
        <f t="shared" si="1072"/>
        <v>0</v>
      </c>
      <c r="AH314" s="230">
        <f t="shared" ref="AH314:BM314" si="1073">AH75*AH202</f>
        <v>0</v>
      </c>
      <c r="AI314" s="230">
        <f t="shared" si="1073"/>
        <v>0</v>
      </c>
      <c r="AJ314" s="230">
        <f t="shared" si="1073"/>
        <v>0</v>
      </c>
      <c r="AK314" s="230">
        <f t="shared" si="1073"/>
        <v>0</v>
      </c>
      <c r="AL314" s="230">
        <f t="shared" si="1073"/>
        <v>0</v>
      </c>
      <c r="AM314" s="230">
        <f t="shared" si="1073"/>
        <v>0</v>
      </c>
      <c r="AN314" s="230">
        <f t="shared" si="1073"/>
        <v>0</v>
      </c>
      <c r="AO314" s="230">
        <f t="shared" si="1073"/>
        <v>0</v>
      </c>
      <c r="AP314" s="230">
        <f t="shared" si="1073"/>
        <v>0</v>
      </c>
      <c r="AQ314" s="230">
        <f t="shared" si="1073"/>
        <v>0</v>
      </c>
      <c r="AR314" s="230">
        <f t="shared" si="1073"/>
        <v>0</v>
      </c>
      <c r="AS314" s="230">
        <f t="shared" si="1073"/>
        <v>0</v>
      </c>
      <c r="AT314" s="230">
        <f t="shared" si="1073"/>
        <v>0</v>
      </c>
      <c r="AU314" s="230">
        <f t="shared" si="1073"/>
        <v>0</v>
      </c>
      <c r="AV314" s="230">
        <f t="shared" si="1073"/>
        <v>0</v>
      </c>
      <c r="AW314" s="230">
        <f t="shared" si="1073"/>
        <v>0</v>
      </c>
      <c r="AX314" s="230">
        <f t="shared" si="1073"/>
        <v>0</v>
      </c>
      <c r="AY314" s="230">
        <f t="shared" si="1073"/>
        <v>0</v>
      </c>
      <c r="AZ314" s="230">
        <f t="shared" si="1073"/>
        <v>0</v>
      </c>
      <c r="BA314" s="230">
        <f t="shared" si="1073"/>
        <v>0</v>
      </c>
      <c r="BB314" s="230">
        <f t="shared" si="1073"/>
        <v>0</v>
      </c>
      <c r="BC314" s="230">
        <f t="shared" si="1073"/>
        <v>0</v>
      </c>
      <c r="BD314" s="230">
        <f t="shared" si="1073"/>
        <v>0</v>
      </c>
      <c r="BE314" s="230">
        <f t="shared" si="1073"/>
        <v>0</v>
      </c>
      <c r="BF314" s="230">
        <f t="shared" si="1073"/>
        <v>0</v>
      </c>
      <c r="BG314" s="230">
        <f t="shared" si="1073"/>
        <v>0</v>
      </c>
      <c r="BH314" s="230">
        <f t="shared" si="1073"/>
        <v>0</v>
      </c>
      <c r="BI314" s="230">
        <f t="shared" si="1073"/>
        <v>0</v>
      </c>
      <c r="BJ314" s="230">
        <f t="shared" si="1073"/>
        <v>0</v>
      </c>
      <c r="BK314" s="230">
        <f t="shared" si="1073"/>
        <v>0</v>
      </c>
      <c r="BL314" s="230">
        <f t="shared" si="1073"/>
        <v>0</v>
      </c>
      <c r="BM314" s="230">
        <f t="shared" si="1073"/>
        <v>0</v>
      </c>
      <c r="BN314" s="230">
        <f t="shared" ref="BN314:CB314" si="1074">BN75*BN202</f>
        <v>0</v>
      </c>
      <c r="BO314" s="230">
        <f t="shared" si="1074"/>
        <v>0</v>
      </c>
      <c r="BP314" s="230">
        <f t="shared" si="1074"/>
        <v>0</v>
      </c>
      <c r="BQ314" s="230">
        <f t="shared" si="1074"/>
        <v>0</v>
      </c>
      <c r="BR314" s="230">
        <f t="shared" si="1074"/>
        <v>0</v>
      </c>
      <c r="BS314" s="230">
        <f t="shared" si="1074"/>
        <v>0</v>
      </c>
      <c r="BT314" s="230">
        <f t="shared" si="1074"/>
        <v>0</v>
      </c>
      <c r="BU314" s="230">
        <f t="shared" si="1074"/>
        <v>0</v>
      </c>
      <c r="BV314" s="230">
        <f t="shared" si="1074"/>
        <v>0</v>
      </c>
      <c r="BW314" s="230">
        <f t="shared" si="1074"/>
        <v>0</v>
      </c>
      <c r="BX314" s="230">
        <f t="shared" si="1074"/>
        <v>0</v>
      </c>
      <c r="BY314" s="230">
        <f t="shared" si="1074"/>
        <v>0</v>
      </c>
      <c r="BZ314" s="230">
        <f t="shared" si="1074"/>
        <v>0</v>
      </c>
      <c r="CA314" s="230">
        <f t="shared" si="1074"/>
        <v>0</v>
      </c>
      <c r="CB314" s="230">
        <f t="shared" si="1074"/>
        <v>0</v>
      </c>
      <c r="CC314" s="19"/>
      <c r="CD314" s="19"/>
      <c r="CE314" s="19"/>
      <c r="CH314" s="7"/>
      <c r="CI314" s="693"/>
      <c r="CJ314" s="693"/>
      <c r="CK314" s="693"/>
      <c r="CL314" s="693"/>
      <c r="CM314" s="693"/>
      <c r="CN314" s="693"/>
      <c r="CO314" s="693"/>
      <c r="CP314" s="693"/>
      <c r="CQ314" s="693"/>
      <c r="CR314" s="693"/>
      <c r="CS314" s="693"/>
      <c r="CT314" s="693"/>
      <c r="CU314" s="693"/>
      <c r="CV314" s="693"/>
      <c r="CW314" s="693"/>
      <c r="CX314" s="693"/>
      <c r="CY314" s="693"/>
      <c r="CZ314" s="693"/>
      <c r="DA314" s="693"/>
      <c r="DB314" s="693"/>
      <c r="DC314" s="693"/>
      <c r="DD314" s="693"/>
      <c r="DE314" s="693"/>
      <c r="DF314" s="693"/>
      <c r="DG314" s="693"/>
      <c r="DH314" s="693"/>
      <c r="DI314" s="693"/>
      <c r="DJ314" s="693"/>
      <c r="DK314" s="693"/>
      <c r="DL314" s="693"/>
      <c r="DM314" s="693"/>
      <c r="DN314" s="693"/>
      <c r="DO314" s="693"/>
      <c r="DP314" s="693"/>
      <c r="DQ314" s="693"/>
      <c r="DR314" s="693"/>
      <c r="DS314" s="693"/>
      <c r="DT314" s="693"/>
      <c r="DU314" s="693"/>
      <c r="DV314" s="693"/>
      <c r="DW314" s="693"/>
      <c r="DX314" s="693"/>
      <c r="DY314" s="693"/>
      <c r="DZ314" s="693"/>
      <c r="EA314" s="693"/>
      <c r="EB314" s="693"/>
      <c r="EC314" s="693"/>
      <c r="ED314" s="693"/>
      <c r="EE314" s="693"/>
      <c r="EF314" s="693"/>
    </row>
    <row r="315" spans="1:256">
      <c r="A315" s="230" t="str">
        <f>A77</f>
        <v>Bond 19</v>
      </c>
      <c r="B315" s="230">
        <f t="shared" ref="B315:AG315" si="1075">B77*B207</f>
        <v>0.48079578831258285</v>
      </c>
      <c r="C315" s="230">
        <f t="shared" si="1075"/>
        <v>0.47672911377576072</v>
      </c>
      <c r="D315" s="230">
        <f t="shared" si="1075"/>
        <v>0.47301095656090553</v>
      </c>
      <c r="E315" s="230">
        <f t="shared" si="1075"/>
        <v>0.46958589715045251</v>
      </c>
      <c r="F315" s="230">
        <f t="shared" si="1075"/>
        <v>0.46638417626216916</v>
      </c>
      <c r="G315" s="230">
        <f t="shared" si="1075"/>
        <v>95.998286091244324</v>
      </c>
      <c r="H315" s="230">
        <f t="shared" si="1075"/>
        <v>0</v>
      </c>
      <c r="I315" s="230">
        <f t="shared" si="1075"/>
        <v>0</v>
      </c>
      <c r="J315" s="230">
        <f t="shared" si="1075"/>
        <v>0</v>
      </c>
      <c r="K315" s="230">
        <f t="shared" si="1075"/>
        <v>0</v>
      </c>
      <c r="L315" s="230">
        <f t="shared" si="1075"/>
        <v>0</v>
      </c>
      <c r="M315" s="230">
        <f t="shared" si="1075"/>
        <v>0</v>
      </c>
      <c r="N315" s="230">
        <f t="shared" si="1075"/>
        <v>0</v>
      </c>
      <c r="O315" s="230">
        <f t="shared" si="1075"/>
        <v>0</v>
      </c>
      <c r="P315" s="230">
        <f t="shared" si="1075"/>
        <v>0</v>
      </c>
      <c r="Q315" s="230">
        <f t="shared" si="1075"/>
        <v>0</v>
      </c>
      <c r="R315" s="230">
        <f t="shared" si="1075"/>
        <v>0</v>
      </c>
      <c r="S315" s="230">
        <f t="shared" si="1075"/>
        <v>0</v>
      </c>
      <c r="T315" s="230">
        <f t="shared" si="1075"/>
        <v>0</v>
      </c>
      <c r="U315" s="230">
        <f t="shared" si="1075"/>
        <v>0</v>
      </c>
      <c r="V315" s="230">
        <f t="shared" si="1075"/>
        <v>0</v>
      </c>
      <c r="W315" s="230">
        <f t="shared" si="1075"/>
        <v>0</v>
      </c>
      <c r="X315" s="230">
        <f t="shared" si="1075"/>
        <v>0</v>
      </c>
      <c r="Y315" s="230">
        <f t="shared" si="1075"/>
        <v>0</v>
      </c>
      <c r="Z315" s="230">
        <f t="shared" si="1075"/>
        <v>0</v>
      </c>
      <c r="AA315" s="230">
        <f t="shared" si="1075"/>
        <v>0</v>
      </c>
      <c r="AB315" s="230">
        <f t="shared" si="1075"/>
        <v>0</v>
      </c>
      <c r="AC315" s="230">
        <f t="shared" si="1075"/>
        <v>0</v>
      </c>
      <c r="AD315" s="230">
        <f t="shared" si="1075"/>
        <v>0</v>
      </c>
      <c r="AE315" s="230">
        <f t="shared" si="1075"/>
        <v>0</v>
      </c>
      <c r="AF315" s="230">
        <f t="shared" si="1075"/>
        <v>0</v>
      </c>
      <c r="AG315" s="230">
        <f t="shared" si="1075"/>
        <v>0</v>
      </c>
      <c r="AH315" s="230">
        <f t="shared" ref="AH315:BM315" si="1076">AH77*AH207</f>
        <v>0</v>
      </c>
      <c r="AI315" s="230">
        <f t="shared" si="1076"/>
        <v>0</v>
      </c>
      <c r="AJ315" s="230">
        <f t="shared" si="1076"/>
        <v>0</v>
      </c>
      <c r="AK315" s="230">
        <f t="shared" si="1076"/>
        <v>0</v>
      </c>
      <c r="AL315" s="230">
        <f t="shared" si="1076"/>
        <v>0</v>
      </c>
      <c r="AM315" s="230">
        <f t="shared" si="1076"/>
        <v>0</v>
      </c>
      <c r="AN315" s="230">
        <f t="shared" si="1076"/>
        <v>0</v>
      </c>
      <c r="AO315" s="230">
        <f t="shared" si="1076"/>
        <v>0</v>
      </c>
      <c r="AP315" s="230">
        <f t="shared" si="1076"/>
        <v>0</v>
      </c>
      <c r="AQ315" s="230">
        <f t="shared" si="1076"/>
        <v>0</v>
      </c>
      <c r="AR315" s="230">
        <f t="shared" si="1076"/>
        <v>0</v>
      </c>
      <c r="AS315" s="230">
        <f t="shared" si="1076"/>
        <v>0</v>
      </c>
      <c r="AT315" s="230">
        <f t="shared" si="1076"/>
        <v>0</v>
      </c>
      <c r="AU315" s="230">
        <f t="shared" si="1076"/>
        <v>0</v>
      </c>
      <c r="AV315" s="230">
        <f t="shared" si="1076"/>
        <v>0</v>
      </c>
      <c r="AW315" s="230">
        <f t="shared" si="1076"/>
        <v>0</v>
      </c>
      <c r="AX315" s="230">
        <f t="shared" si="1076"/>
        <v>0</v>
      </c>
      <c r="AY315" s="230">
        <f t="shared" si="1076"/>
        <v>0</v>
      </c>
      <c r="AZ315" s="230">
        <f t="shared" si="1076"/>
        <v>0</v>
      </c>
      <c r="BA315" s="230">
        <f t="shared" si="1076"/>
        <v>0</v>
      </c>
      <c r="BB315" s="230">
        <f t="shared" si="1076"/>
        <v>0</v>
      </c>
      <c r="BC315" s="230">
        <f t="shared" si="1076"/>
        <v>0</v>
      </c>
      <c r="BD315" s="230">
        <f t="shared" si="1076"/>
        <v>0</v>
      </c>
      <c r="BE315" s="230">
        <f t="shared" si="1076"/>
        <v>0</v>
      </c>
      <c r="BF315" s="230">
        <f t="shared" si="1076"/>
        <v>0</v>
      </c>
      <c r="BG315" s="230">
        <f t="shared" si="1076"/>
        <v>0</v>
      </c>
      <c r="BH315" s="230">
        <f t="shared" si="1076"/>
        <v>0</v>
      </c>
      <c r="BI315" s="230">
        <f t="shared" si="1076"/>
        <v>0</v>
      </c>
      <c r="BJ315" s="230">
        <f t="shared" si="1076"/>
        <v>0</v>
      </c>
      <c r="BK315" s="230">
        <f t="shared" si="1076"/>
        <v>0</v>
      </c>
      <c r="BL315" s="230">
        <f t="shared" si="1076"/>
        <v>0</v>
      </c>
      <c r="BM315" s="230">
        <f t="shared" si="1076"/>
        <v>0</v>
      </c>
      <c r="BN315" s="230">
        <f t="shared" ref="BN315:CB315" si="1077">BN77*BN207</f>
        <v>0</v>
      </c>
      <c r="BO315" s="230">
        <f t="shared" si="1077"/>
        <v>0</v>
      </c>
      <c r="BP315" s="230">
        <f t="shared" si="1077"/>
        <v>0</v>
      </c>
      <c r="BQ315" s="230">
        <f t="shared" si="1077"/>
        <v>0</v>
      </c>
      <c r="BR315" s="230">
        <f t="shared" si="1077"/>
        <v>0</v>
      </c>
      <c r="BS315" s="230">
        <f t="shared" si="1077"/>
        <v>0</v>
      </c>
      <c r="BT315" s="230">
        <f t="shared" si="1077"/>
        <v>0</v>
      </c>
      <c r="BU315" s="230">
        <f t="shared" si="1077"/>
        <v>0</v>
      </c>
      <c r="BV315" s="230">
        <f t="shared" si="1077"/>
        <v>0</v>
      </c>
      <c r="BW315" s="230">
        <f t="shared" si="1077"/>
        <v>0</v>
      </c>
      <c r="BX315" s="230">
        <f t="shared" si="1077"/>
        <v>0</v>
      </c>
      <c r="BY315" s="230">
        <f t="shared" si="1077"/>
        <v>0</v>
      </c>
      <c r="BZ315" s="230">
        <f t="shared" si="1077"/>
        <v>0</v>
      </c>
      <c r="CA315" s="230">
        <f t="shared" si="1077"/>
        <v>0</v>
      </c>
      <c r="CB315" s="230">
        <f t="shared" si="1077"/>
        <v>0</v>
      </c>
      <c r="CC315" s="19"/>
      <c r="CD315" s="19"/>
      <c r="CE315" s="19"/>
      <c r="CH315" s="7"/>
      <c r="CI315" s="693"/>
      <c r="CJ315" s="693"/>
      <c r="CK315" s="693"/>
      <c r="CL315" s="693"/>
      <c r="CM315" s="693"/>
      <c r="CN315" s="693"/>
      <c r="CO315" s="693"/>
      <c r="CP315" s="693"/>
      <c r="CQ315" s="693"/>
      <c r="CR315" s="693"/>
      <c r="CS315" s="693"/>
      <c r="CT315" s="693"/>
      <c r="CU315" s="693"/>
      <c r="CV315" s="693"/>
      <c r="CW315" s="693"/>
      <c r="CX315" s="693"/>
      <c r="CY315" s="693"/>
      <c r="CZ315" s="693"/>
      <c r="DA315" s="693"/>
      <c r="DB315" s="693"/>
      <c r="DC315" s="693"/>
      <c r="DD315" s="693"/>
      <c r="DE315" s="693"/>
      <c r="DF315" s="693"/>
      <c r="DG315" s="693"/>
      <c r="DH315" s="693"/>
      <c r="DI315" s="693"/>
      <c r="DJ315" s="693"/>
      <c r="DK315" s="693"/>
      <c r="DL315" s="693"/>
      <c r="DM315" s="693"/>
      <c r="DN315" s="693"/>
      <c r="DO315" s="693"/>
      <c r="DP315" s="693"/>
      <c r="DQ315" s="693"/>
      <c r="DR315" s="693"/>
      <c r="DS315" s="693"/>
      <c r="DT315" s="693"/>
      <c r="DU315" s="693"/>
      <c r="DV315" s="693"/>
      <c r="DW315" s="693"/>
      <c r="DX315" s="693"/>
      <c r="DY315" s="693"/>
      <c r="DZ315" s="693"/>
      <c r="EA315" s="693"/>
      <c r="EB315" s="693"/>
      <c r="EC315" s="693"/>
      <c r="ED315" s="693"/>
      <c r="EE315" s="693"/>
      <c r="EF315" s="693"/>
      <c r="EG315" s="693"/>
      <c r="EH315" s="693"/>
      <c r="EI315" s="693"/>
      <c r="EJ315" s="693"/>
      <c r="EK315" s="693"/>
      <c r="EL315" s="693"/>
      <c r="EM315" s="693"/>
      <c r="EN315" s="693"/>
      <c r="EO315" s="693"/>
      <c r="EP315" s="693"/>
      <c r="EQ315" s="693"/>
      <c r="ER315" s="693"/>
      <c r="ES315" s="693"/>
      <c r="ET315" s="693"/>
      <c r="EU315" s="693"/>
      <c r="EV315" s="693"/>
      <c r="EW315" s="693"/>
      <c r="EX315" s="693"/>
      <c r="EY315" s="693"/>
      <c r="EZ315" s="693"/>
      <c r="FA315" s="693"/>
      <c r="FB315" s="693"/>
      <c r="FC315" s="693"/>
      <c r="FD315" s="693"/>
    </row>
    <row r="316" spans="1:256">
      <c r="A316" s="230" t="str">
        <f>A79</f>
        <v>Bond 20</v>
      </c>
      <c r="B316" s="230">
        <f t="shared" ref="B316:AG316" si="1078">B79*B212</f>
        <v>0.39881784278371812</v>
      </c>
      <c r="C316" s="230">
        <f t="shared" si="1078"/>
        <v>0.39525617566410531</v>
      </c>
      <c r="D316" s="230">
        <f t="shared" si="1078"/>
        <v>0.39198780279014733</v>
      </c>
      <c r="E316" s="230">
        <f t="shared" si="1078"/>
        <v>0.38905150811587808</v>
      </c>
      <c r="F316" s="230">
        <f t="shared" si="1078"/>
        <v>0.38627100468147219</v>
      </c>
      <c r="G316" s="230">
        <f t="shared" si="1078"/>
        <v>0.38371447895636807</v>
      </c>
      <c r="H316" s="230">
        <f t="shared" si="1078"/>
        <v>0.38121811718911963</v>
      </c>
      <c r="I316" s="230">
        <f t="shared" si="1078"/>
        <v>0.37884999428276767</v>
      </c>
      <c r="J316" s="230">
        <f t="shared" si="1078"/>
        <v>0.37646615197951006</v>
      </c>
      <c r="K316" s="230">
        <f t="shared" si="1078"/>
        <v>0.37413965781608621</v>
      </c>
      <c r="L316" s="230">
        <f t="shared" si="1078"/>
        <v>0.37175098760884112</v>
      </c>
      <c r="M316" s="230">
        <f t="shared" si="1078"/>
        <v>0.36935586608622895</v>
      </c>
      <c r="N316" s="230">
        <f t="shared" si="1078"/>
        <v>0.36683912712168631</v>
      </c>
      <c r="O316" s="230">
        <f t="shared" si="1078"/>
        <v>0.364294617310226</v>
      </c>
      <c r="P316" s="230">
        <f t="shared" si="1078"/>
        <v>0.36159375403046351</v>
      </c>
      <c r="Q316" s="230">
        <f t="shared" si="1078"/>
        <v>0.35884416933593904</v>
      </c>
      <c r="R316" s="230">
        <f t="shared" si="1078"/>
        <v>89.334270016843448</v>
      </c>
      <c r="S316" s="230">
        <f t="shared" si="1078"/>
        <v>0</v>
      </c>
      <c r="T316" s="230">
        <f t="shared" si="1078"/>
        <v>0</v>
      </c>
      <c r="U316" s="230">
        <f t="shared" si="1078"/>
        <v>0</v>
      </c>
      <c r="V316" s="230">
        <f t="shared" si="1078"/>
        <v>0</v>
      </c>
      <c r="W316" s="230">
        <f t="shared" si="1078"/>
        <v>0</v>
      </c>
      <c r="X316" s="230">
        <f t="shared" si="1078"/>
        <v>0</v>
      </c>
      <c r="Y316" s="230">
        <f t="shared" si="1078"/>
        <v>0</v>
      </c>
      <c r="Z316" s="230">
        <f t="shared" si="1078"/>
        <v>0</v>
      </c>
      <c r="AA316" s="230">
        <f t="shared" si="1078"/>
        <v>0</v>
      </c>
      <c r="AB316" s="230">
        <f t="shared" si="1078"/>
        <v>0</v>
      </c>
      <c r="AC316" s="230">
        <f t="shared" si="1078"/>
        <v>0</v>
      </c>
      <c r="AD316" s="230">
        <f t="shared" si="1078"/>
        <v>0</v>
      </c>
      <c r="AE316" s="230">
        <f t="shared" si="1078"/>
        <v>0</v>
      </c>
      <c r="AF316" s="230">
        <f t="shared" si="1078"/>
        <v>0</v>
      </c>
      <c r="AG316" s="230">
        <f t="shared" si="1078"/>
        <v>0</v>
      </c>
      <c r="AH316" s="230">
        <f t="shared" ref="AH316:BM316" si="1079">AH79*AH212</f>
        <v>0</v>
      </c>
      <c r="AI316" s="230">
        <f t="shared" si="1079"/>
        <v>0</v>
      </c>
      <c r="AJ316" s="230">
        <f t="shared" si="1079"/>
        <v>0</v>
      </c>
      <c r="AK316" s="230">
        <f t="shared" si="1079"/>
        <v>0</v>
      </c>
      <c r="AL316" s="230">
        <f t="shared" si="1079"/>
        <v>0</v>
      </c>
      <c r="AM316" s="230">
        <f t="shared" si="1079"/>
        <v>0</v>
      </c>
      <c r="AN316" s="230">
        <f t="shared" si="1079"/>
        <v>0</v>
      </c>
      <c r="AO316" s="230">
        <f t="shared" si="1079"/>
        <v>0</v>
      </c>
      <c r="AP316" s="230">
        <f t="shared" si="1079"/>
        <v>0</v>
      </c>
      <c r="AQ316" s="230">
        <f t="shared" si="1079"/>
        <v>0</v>
      </c>
      <c r="AR316" s="230">
        <f t="shared" si="1079"/>
        <v>0</v>
      </c>
      <c r="AS316" s="230">
        <f t="shared" si="1079"/>
        <v>0</v>
      </c>
      <c r="AT316" s="230">
        <f t="shared" si="1079"/>
        <v>0</v>
      </c>
      <c r="AU316" s="230">
        <f t="shared" si="1079"/>
        <v>0</v>
      </c>
      <c r="AV316" s="230">
        <f t="shared" si="1079"/>
        <v>0</v>
      </c>
      <c r="AW316" s="230">
        <f t="shared" si="1079"/>
        <v>0</v>
      </c>
      <c r="AX316" s="230">
        <f t="shared" si="1079"/>
        <v>0</v>
      </c>
      <c r="AY316" s="230">
        <f t="shared" si="1079"/>
        <v>0</v>
      </c>
      <c r="AZ316" s="230">
        <f t="shared" si="1079"/>
        <v>0</v>
      </c>
      <c r="BA316" s="230">
        <f t="shared" si="1079"/>
        <v>0</v>
      </c>
      <c r="BB316" s="230">
        <f t="shared" si="1079"/>
        <v>0</v>
      </c>
      <c r="BC316" s="230">
        <f t="shared" si="1079"/>
        <v>0</v>
      </c>
      <c r="BD316" s="230">
        <f t="shared" si="1079"/>
        <v>0</v>
      </c>
      <c r="BE316" s="230">
        <f t="shared" si="1079"/>
        <v>0</v>
      </c>
      <c r="BF316" s="230">
        <f t="shared" si="1079"/>
        <v>0</v>
      </c>
      <c r="BG316" s="230">
        <f t="shared" si="1079"/>
        <v>0</v>
      </c>
      <c r="BH316" s="230">
        <f t="shared" si="1079"/>
        <v>0</v>
      </c>
      <c r="BI316" s="230">
        <f t="shared" si="1079"/>
        <v>0</v>
      </c>
      <c r="BJ316" s="230">
        <f t="shared" si="1079"/>
        <v>0</v>
      </c>
      <c r="BK316" s="230">
        <f t="shared" si="1079"/>
        <v>0</v>
      </c>
      <c r="BL316" s="230">
        <f t="shared" si="1079"/>
        <v>0</v>
      </c>
      <c r="BM316" s="230">
        <f t="shared" si="1079"/>
        <v>0</v>
      </c>
      <c r="BN316" s="230">
        <f t="shared" ref="BN316:CB316" si="1080">BN79*BN212</f>
        <v>0</v>
      </c>
      <c r="BO316" s="230">
        <f t="shared" si="1080"/>
        <v>0</v>
      </c>
      <c r="BP316" s="230">
        <f t="shared" si="1080"/>
        <v>0</v>
      </c>
      <c r="BQ316" s="230">
        <f t="shared" si="1080"/>
        <v>0</v>
      </c>
      <c r="BR316" s="230">
        <f t="shared" si="1080"/>
        <v>0</v>
      </c>
      <c r="BS316" s="230">
        <f t="shared" si="1080"/>
        <v>0</v>
      </c>
      <c r="BT316" s="230">
        <f t="shared" si="1080"/>
        <v>0</v>
      </c>
      <c r="BU316" s="230">
        <f t="shared" si="1080"/>
        <v>0</v>
      </c>
      <c r="BV316" s="230">
        <f t="shared" si="1080"/>
        <v>0</v>
      </c>
      <c r="BW316" s="230">
        <f t="shared" si="1080"/>
        <v>0</v>
      </c>
      <c r="BX316" s="230">
        <f t="shared" si="1080"/>
        <v>0</v>
      </c>
      <c r="BY316" s="230">
        <f t="shared" si="1080"/>
        <v>0</v>
      </c>
      <c r="BZ316" s="230">
        <f t="shared" si="1080"/>
        <v>0</v>
      </c>
      <c r="CA316" s="230">
        <f t="shared" si="1080"/>
        <v>0</v>
      </c>
      <c r="CB316" s="230">
        <f t="shared" si="1080"/>
        <v>0</v>
      </c>
      <c r="CC316" s="19"/>
      <c r="CD316" s="19"/>
      <c r="CE316" s="19"/>
      <c r="CH316" s="7"/>
      <c r="CI316" s="693"/>
      <c r="CJ316" s="693"/>
      <c r="CK316" s="693"/>
      <c r="CL316" s="693"/>
      <c r="CM316" s="693"/>
      <c r="CN316" s="693"/>
      <c r="CO316" s="693"/>
      <c r="CP316" s="693"/>
      <c r="CQ316" s="693"/>
      <c r="CR316" s="693"/>
      <c r="CS316" s="693"/>
      <c r="CT316" s="693"/>
      <c r="CU316" s="693"/>
      <c r="CV316" s="693"/>
      <c r="CW316" s="693"/>
      <c r="CX316" s="693"/>
      <c r="CY316" s="693"/>
      <c r="CZ316" s="693"/>
      <c r="DA316" s="693"/>
      <c r="DB316" s="693"/>
      <c r="DC316" s="693"/>
      <c r="DD316" s="693"/>
      <c r="DE316" s="693"/>
      <c r="DF316" s="693"/>
      <c r="DG316" s="693"/>
      <c r="DH316" s="693"/>
      <c r="DI316" s="693"/>
      <c r="DJ316" s="693"/>
      <c r="DK316" s="693"/>
      <c r="DL316" s="693"/>
      <c r="DM316" s="693"/>
      <c r="DN316" s="693"/>
      <c r="DO316" s="693"/>
      <c r="DP316" s="693"/>
      <c r="DQ316" s="693"/>
      <c r="DR316" s="693"/>
      <c r="DS316" s="693"/>
      <c r="DT316" s="693"/>
      <c r="DU316" s="693"/>
      <c r="DV316" s="693"/>
      <c r="DW316" s="693"/>
      <c r="DX316" s="693"/>
      <c r="DY316" s="693"/>
      <c r="DZ316" s="693"/>
      <c r="EA316" s="693"/>
      <c r="EB316" s="693"/>
      <c r="EC316" s="693"/>
      <c r="ED316" s="693"/>
    </row>
    <row r="317" spans="1:256">
      <c r="A317" s="230" t="str">
        <f>A81</f>
        <v>Bond 21</v>
      </c>
      <c r="B317" s="230">
        <f t="shared" ref="B317:AG317" si="1081">B81*B217</f>
        <v>0.27282041870975998</v>
      </c>
      <c r="C317" s="230">
        <f t="shared" si="1081"/>
        <v>0.27049487777575326</v>
      </c>
      <c r="D317" s="230">
        <f t="shared" si="1081"/>
        <v>0.26837084479374412</v>
      </c>
      <c r="E317" s="230">
        <f t="shared" si="1081"/>
        <v>0.26641653268182053</v>
      </c>
      <c r="F317" s="230">
        <f t="shared" si="1081"/>
        <v>0.26459196125586759</v>
      </c>
      <c r="G317" s="230">
        <f t="shared" si="1081"/>
        <v>0.26286198090003088</v>
      </c>
      <c r="H317" s="230">
        <f t="shared" si="1081"/>
        <v>95.241460242393046</v>
      </c>
      <c r="I317" s="230">
        <f t="shared" si="1081"/>
        <v>0</v>
      </c>
      <c r="J317" s="230">
        <f t="shared" si="1081"/>
        <v>0</v>
      </c>
      <c r="K317" s="230">
        <f t="shared" si="1081"/>
        <v>0</v>
      </c>
      <c r="L317" s="230">
        <f t="shared" si="1081"/>
        <v>0</v>
      </c>
      <c r="M317" s="230">
        <f t="shared" si="1081"/>
        <v>0</v>
      </c>
      <c r="N317" s="230">
        <f t="shared" si="1081"/>
        <v>0</v>
      </c>
      <c r="O317" s="230">
        <f t="shared" si="1081"/>
        <v>0</v>
      </c>
      <c r="P317" s="230">
        <f t="shared" si="1081"/>
        <v>0</v>
      </c>
      <c r="Q317" s="230">
        <f t="shared" si="1081"/>
        <v>0</v>
      </c>
      <c r="R317" s="230">
        <f t="shared" si="1081"/>
        <v>0</v>
      </c>
      <c r="S317" s="230">
        <f t="shared" si="1081"/>
        <v>0</v>
      </c>
      <c r="T317" s="230">
        <f t="shared" si="1081"/>
        <v>0</v>
      </c>
      <c r="U317" s="230">
        <f t="shared" si="1081"/>
        <v>0</v>
      </c>
      <c r="V317" s="230">
        <f t="shared" si="1081"/>
        <v>0</v>
      </c>
      <c r="W317" s="230">
        <f t="shared" si="1081"/>
        <v>0</v>
      </c>
      <c r="X317" s="230">
        <f t="shared" si="1081"/>
        <v>0</v>
      </c>
      <c r="Y317" s="230">
        <f t="shared" si="1081"/>
        <v>0</v>
      </c>
      <c r="Z317" s="230">
        <f t="shared" si="1081"/>
        <v>0</v>
      </c>
      <c r="AA317" s="230">
        <f t="shared" si="1081"/>
        <v>0</v>
      </c>
      <c r="AB317" s="230">
        <f t="shared" si="1081"/>
        <v>0</v>
      </c>
      <c r="AC317" s="230">
        <f t="shared" si="1081"/>
        <v>0</v>
      </c>
      <c r="AD317" s="230">
        <f t="shared" si="1081"/>
        <v>0</v>
      </c>
      <c r="AE317" s="230">
        <f t="shared" si="1081"/>
        <v>0</v>
      </c>
      <c r="AF317" s="230">
        <f t="shared" si="1081"/>
        <v>0</v>
      </c>
      <c r="AG317" s="230">
        <f t="shared" si="1081"/>
        <v>0</v>
      </c>
      <c r="AH317" s="230">
        <f t="shared" ref="AH317:BM317" si="1082">AH81*AH217</f>
        <v>0</v>
      </c>
      <c r="AI317" s="230">
        <f t="shared" si="1082"/>
        <v>0</v>
      </c>
      <c r="AJ317" s="230">
        <f t="shared" si="1082"/>
        <v>0</v>
      </c>
      <c r="AK317" s="230">
        <f t="shared" si="1082"/>
        <v>0</v>
      </c>
      <c r="AL317" s="230">
        <f t="shared" si="1082"/>
        <v>0</v>
      </c>
      <c r="AM317" s="230">
        <f t="shared" si="1082"/>
        <v>0</v>
      </c>
      <c r="AN317" s="230">
        <f t="shared" si="1082"/>
        <v>0</v>
      </c>
      <c r="AO317" s="230">
        <f t="shared" si="1082"/>
        <v>0</v>
      </c>
      <c r="AP317" s="230">
        <f t="shared" si="1082"/>
        <v>0</v>
      </c>
      <c r="AQ317" s="230">
        <f t="shared" si="1082"/>
        <v>0</v>
      </c>
      <c r="AR317" s="230">
        <f t="shared" si="1082"/>
        <v>0</v>
      </c>
      <c r="AS317" s="230">
        <f t="shared" si="1082"/>
        <v>0</v>
      </c>
      <c r="AT317" s="230">
        <f t="shared" si="1082"/>
        <v>0</v>
      </c>
      <c r="AU317" s="230">
        <f t="shared" si="1082"/>
        <v>0</v>
      </c>
      <c r="AV317" s="230">
        <f t="shared" si="1082"/>
        <v>0</v>
      </c>
      <c r="AW317" s="230">
        <f t="shared" si="1082"/>
        <v>0</v>
      </c>
      <c r="AX317" s="230">
        <f t="shared" si="1082"/>
        <v>0</v>
      </c>
      <c r="AY317" s="230">
        <f t="shared" si="1082"/>
        <v>0</v>
      </c>
      <c r="AZ317" s="230">
        <f t="shared" si="1082"/>
        <v>0</v>
      </c>
      <c r="BA317" s="230">
        <f t="shared" si="1082"/>
        <v>0</v>
      </c>
      <c r="BB317" s="230">
        <f t="shared" si="1082"/>
        <v>0</v>
      </c>
      <c r="BC317" s="230">
        <f t="shared" si="1082"/>
        <v>0</v>
      </c>
      <c r="BD317" s="230">
        <f t="shared" si="1082"/>
        <v>0</v>
      </c>
      <c r="BE317" s="230">
        <f t="shared" si="1082"/>
        <v>0</v>
      </c>
      <c r="BF317" s="230">
        <f t="shared" si="1082"/>
        <v>0</v>
      </c>
      <c r="BG317" s="230">
        <f t="shared" si="1082"/>
        <v>0</v>
      </c>
      <c r="BH317" s="230">
        <f t="shared" si="1082"/>
        <v>0</v>
      </c>
      <c r="BI317" s="230">
        <f t="shared" si="1082"/>
        <v>0</v>
      </c>
      <c r="BJ317" s="230">
        <f t="shared" si="1082"/>
        <v>0</v>
      </c>
      <c r="BK317" s="230">
        <f t="shared" si="1082"/>
        <v>0</v>
      </c>
      <c r="BL317" s="230">
        <f t="shared" si="1082"/>
        <v>0</v>
      </c>
      <c r="BM317" s="230">
        <f t="shared" si="1082"/>
        <v>0</v>
      </c>
      <c r="BN317" s="230">
        <f t="shared" ref="BN317:CB317" si="1083">BN81*BN217</f>
        <v>0</v>
      </c>
      <c r="BO317" s="230">
        <f t="shared" si="1083"/>
        <v>0</v>
      </c>
      <c r="BP317" s="230">
        <f t="shared" si="1083"/>
        <v>0</v>
      </c>
      <c r="BQ317" s="230">
        <f t="shared" si="1083"/>
        <v>0</v>
      </c>
      <c r="BR317" s="230">
        <f t="shared" si="1083"/>
        <v>0</v>
      </c>
      <c r="BS317" s="230">
        <f t="shared" si="1083"/>
        <v>0</v>
      </c>
      <c r="BT317" s="230">
        <f t="shared" si="1083"/>
        <v>0</v>
      </c>
      <c r="BU317" s="230">
        <f t="shared" si="1083"/>
        <v>0</v>
      </c>
      <c r="BV317" s="230">
        <f t="shared" si="1083"/>
        <v>0</v>
      </c>
      <c r="BW317" s="230">
        <f t="shared" si="1083"/>
        <v>0</v>
      </c>
      <c r="BX317" s="230">
        <f t="shared" si="1083"/>
        <v>0</v>
      </c>
      <c r="BY317" s="230">
        <f t="shared" si="1083"/>
        <v>0</v>
      </c>
      <c r="BZ317" s="230">
        <f t="shared" si="1083"/>
        <v>0</v>
      </c>
      <c r="CA317" s="230">
        <f t="shared" si="1083"/>
        <v>0</v>
      </c>
      <c r="CB317" s="230">
        <f t="shared" si="1083"/>
        <v>0</v>
      </c>
      <c r="CC317" s="19"/>
      <c r="CD317" s="19"/>
      <c r="CE317" s="19"/>
      <c r="CH317" s="7"/>
      <c r="CI317" s="7"/>
      <c r="CJ317" s="7"/>
      <c r="CK317" s="7"/>
      <c r="CL317" s="7"/>
      <c r="CM317" s="7"/>
      <c r="CN317" s="7"/>
      <c r="CO317" s="7"/>
      <c r="CP317" s="7"/>
      <c r="CQ317" s="7"/>
      <c r="CR317" s="7"/>
      <c r="CS317" s="7"/>
      <c r="CT317" s="7"/>
      <c r="CU317" s="7"/>
      <c r="CV317" s="7"/>
      <c r="CW317" s="7"/>
      <c r="CX317" s="7"/>
      <c r="CY317" s="7"/>
      <c r="CZ317" s="7"/>
      <c r="DA317" s="7"/>
      <c r="DB317" s="7"/>
      <c r="DC317" s="7"/>
      <c r="DD317" s="7"/>
      <c r="DE317" s="7"/>
      <c r="DF317" s="7"/>
      <c r="DG317" s="7"/>
      <c r="DH317" s="7"/>
      <c r="DI317" s="7"/>
      <c r="DJ317" s="7"/>
      <c r="DK317" s="7"/>
      <c r="DL317" s="7"/>
      <c r="DM317" s="7"/>
      <c r="DN317" s="7"/>
      <c r="DO317" s="7"/>
      <c r="DP317" s="7"/>
      <c r="DQ317" s="7"/>
      <c r="DR317" s="7"/>
      <c r="DS317" s="7"/>
      <c r="DT317" s="7"/>
      <c r="DU317" s="7"/>
      <c r="DV317" s="7"/>
      <c r="DW317" s="7"/>
      <c r="DX317" s="7"/>
      <c r="DY317" s="7"/>
      <c r="DZ317" s="7"/>
      <c r="EA317" s="7"/>
      <c r="EB317" s="7"/>
      <c r="EC317" s="7"/>
      <c r="ED317" s="7"/>
      <c r="EE317" s="7"/>
      <c r="EF317" s="7"/>
      <c r="EG317" s="7"/>
      <c r="EH317" s="7"/>
      <c r="EI317" s="7"/>
      <c r="EJ317" s="7"/>
      <c r="EK317" s="7"/>
      <c r="EL317" s="7"/>
      <c r="EM317" s="7"/>
      <c r="EN317" s="7"/>
      <c r="EO317" s="7"/>
      <c r="EP317" s="7"/>
      <c r="EQ317" s="7"/>
      <c r="ER317" s="7"/>
      <c r="ES317" s="7"/>
      <c r="ET317" s="7"/>
      <c r="EU317" s="7"/>
      <c r="EV317" s="7"/>
      <c r="EW317" s="7"/>
      <c r="EX317" s="7"/>
      <c r="EY317" s="7"/>
      <c r="EZ317" s="7"/>
      <c r="FA317" s="7"/>
      <c r="FB317" s="7"/>
      <c r="FC317" s="7"/>
      <c r="FD317" s="7"/>
      <c r="FE317" s="7"/>
      <c r="FF317" s="7"/>
      <c r="FG317" s="7"/>
      <c r="FH317" s="7"/>
      <c r="FI317" s="7"/>
      <c r="FJ317" s="7"/>
      <c r="FK317" s="7"/>
      <c r="FL317" s="7"/>
      <c r="FM317" s="7"/>
      <c r="FN317" s="7"/>
      <c r="FO317" s="7"/>
      <c r="FP317" s="7"/>
      <c r="FQ317" s="7"/>
      <c r="FR317" s="7"/>
      <c r="FS317" s="7"/>
      <c r="FT317" s="7"/>
      <c r="FU317" s="7"/>
      <c r="FV317" s="7"/>
      <c r="FW317" s="7"/>
      <c r="FX317" s="7"/>
      <c r="FY317" s="7"/>
      <c r="FZ317" s="7"/>
      <c r="GA317" s="7"/>
      <c r="GB317" s="7"/>
      <c r="GC317" s="7"/>
      <c r="GD317" s="7"/>
      <c r="GE317" s="7"/>
      <c r="GF317" s="7"/>
      <c r="GG317" s="7"/>
      <c r="GH317" s="7"/>
      <c r="GI317" s="7"/>
      <c r="GJ317" s="7"/>
      <c r="GK317" s="7"/>
      <c r="GL317" s="7"/>
      <c r="GM317" s="7"/>
      <c r="GN317" s="7"/>
      <c r="GO317" s="7"/>
      <c r="GP317" s="7"/>
      <c r="GQ317" s="7"/>
      <c r="GR317" s="7"/>
      <c r="GS317" s="7"/>
    </row>
    <row r="318" spans="1:256">
      <c r="A318" s="230" t="str">
        <f>A83</f>
        <v>Bond 22</v>
      </c>
      <c r="B318" s="230">
        <f t="shared" ref="B318:AG318" si="1084">B83*B222</f>
        <v>0.74299522139382201</v>
      </c>
      <c r="C318" s="230">
        <f t="shared" si="1084"/>
        <v>0.73634155648194244</v>
      </c>
      <c r="D318" s="230">
        <f t="shared" si="1084"/>
        <v>0.73023774365310279</v>
      </c>
      <c r="E318" s="230">
        <f t="shared" si="1084"/>
        <v>0.72475609663604124</v>
      </c>
      <c r="F318" s="230">
        <f t="shared" si="1084"/>
        <v>0.71956738530720821</v>
      </c>
      <c r="G318" s="230">
        <f t="shared" si="1084"/>
        <v>0.71479868718438933</v>
      </c>
      <c r="H318" s="230">
        <f t="shared" si="1084"/>
        <v>0.71014424773308604</v>
      </c>
      <c r="I318" s="230">
        <f t="shared" si="1084"/>
        <v>0.70573078919964216</v>
      </c>
      <c r="J318" s="230">
        <f t="shared" si="1084"/>
        <v>0.70128979766466726</v>
      </c>
      <c r="K318" s="230">
        <f t="shared" si="1084"/>
        <v>0.69695717693061054</v>
      </c>
      <c r="L318" s="230">
        <f t="shared" si="1084"/>
        <v>0.69251010379648026</v>
      </c>
      <c r="M318" s="230">
        <f t="shared" si="1084"/>
        <v>0.68805211362990182</v>
      </c>
      <c r="N318" s="230">
        <f t="shared" si="1084"/>
        <v>0.68336865332356567</v>
      </c>
      <c r="O318" s="230">
        <f t="shared" si="1084"/>
        <v>0.67863417696578143</v>
      </c>
      <c r="P318" s="230">
        <f t="shared" si="1084"/>
        <v>0.67360925777636338</v>
      </c>
      <c r="Q318" s="230">
        <f t="shared" si="1084"/>
        <v>0.66849398669953597</v>
      </c>
      <c r="R318" s="230">
        <f t="shared" si="1084"/>
        <v>0.66304183541028927</v>
      </c>
      <c r="S318" s="230">
        <f t="shared" si="1084"/>
        <v>88.909903460538416</v>
      </c>
      <c r="T318" s="230">
        <f t="shared" si="1084"/>
        <v>0</v>
      </c>
      <c r="U318" s="230">
        <f t="shared" si="1084"/>
        <v>0</v>
      </c>
      <c r="V318" s="230">
        <f t="shared" si="1084"/>
        <v>0</v>
      </c>
      <c r="W318" s="230">
        <f t="shared" si="1084"/>
        <v>0</v>
      </c>
      <c r="X318" s="230">
        <f t="shared" si="1084"/>
        <v>0</v>
      </c>
      <c r="Y318" s="230">
        <f t="shared" si="1084"/>
        <v>0</v>
      </c>
      <c r="Z318" s="230">
        <f t="shared" si="1084"/>
        <v>0</v>
      </c>
      <c r="AA318" s="230">
        <f t="shared" si="1084"/>
        <v>0</v>
      </c>
      <c r="AB318" s="230">
        <f t="shared" si="1084"/>
        <v>0</v>
      </c>
      <c r="AC318" s="230">
        <f t="shared" si="1084"/>
        <v>0</v>
      </c>
      <c r="AD318" s="230">
        <f t="shared" si="1084"/>
        <v>0</v>
      </c>
      <c r="AE318" s="230">
        <f t="shared" si="1084"/>
        <v>0</v>
      </c>
      <c r="AF318" s="230">
        <f t="shared" si="1084"/>
        <v>0</v>
      </c>
      <c r="AG318" s="230">
        <f t="shared" si="1084"/>
        <v>0</v>
      </c>
      <c r="AH318" s="230">
        <f t="shared" ref="AH318:BM318" si="1085">AH83*AH222</f>
        <v>0</v>
      </c>
      <c r="AI318" s="230">
        <f t="shared" si="1085"/>
        <v>0</v>
      </c>
      <c r="AJ318" s="230">
        <f t="shared" si="1085"/>
        <v>0</v>
      </c>
      <c r="AK318" s="230">
        <f t="shared" si="1085"/>
        <v>0</v>
      </c>
      <c r="AL318" s="230">
        <f t="shared" si="1085"/>
        <v>0</v>
      </c>
      <c r="AM318" s="230">
        <f t="shared" si="1085"/>
        <v>0</v>
      </c>
      <c r="AN318" s="230">
        <f t="shared" si="1085"/>
        <v>0</v>
      </c>
      <c r="AO318" s="230">
        <f t="shared" si="1085"/>
        <v>0</v>
      </c>
      <c r="AP318" s="230">
        <f t="shared" si="1085"/>
        <v>0</v>
      </c>
      <c r="AQ318" s="230">
        <f t="shared" si="1085"/>
        <v>0</v>
      </c>
      <c r="AR318" s="230">
        <f t="shared" si="1085"/>
        <v>0</v>
      </c>
      <c r="AS318" s="230">
        <f t="shared" si="1085"/>
        <v>0</v>
      </c>
      <c r="AT318" s="230">
        <f t="shared" si="1085"/>
        <v>0</v>
      </c>
      <c r="AU318" s="230">
        <f t="shared" si="1085"/>
        <v>0</v>
      </c>
      <c r="AV318" s="230">
        <f t="shared" si="1085"/>
        <v>0</v>
      </c>
      <c r="AW318" s="230">
        <f t="shared" si="1085"/>
        <v>0</v>
      </c>
      <c r="AX318" s="230">
        <f t="shared" si="1085"/>
        <v>0</v>
      </c>
      <c r="AY318" s="230">
        <f t="shared" si="1085"/>
        <v>0</v>
      </c>
      <c r="AZ318" s="230">
        <f t="shared" si="1085"/>
        <v>0</v>
      </c>
      <c r="BA318" s="230">
        <f t="shared" si="1085"/>
        <v>0</v>
      </c>
      <c r="BB318" s="230">
        <f t="shared" si="1085"/>
        <v>0</v>
      </c>
      <c r="BC318" s="230">
        <f t="shared" si="1085"/>
        <v>0</v>
      </c>
      <c r="BD318" s="230">
        <f t="shared" si="1085"/>
        <v>0</v>
      </c>
      <c r="BE318" s="230">
        <f t="shared" si="1085"/>
        <v>0</v>
      </c>
      <c r="BF318" s="230">
        <f t="shared" si="1085"/>
        <v>0</v>
      </c>
      <c r="BG318" s="230">
        <f t="shared" si="1085"/>
        <v>0</v>
      </c>
      <c r="BH318" s="230">
        <f t="shared" si="1085"/>
        <v>0</v>
      </c>
      <c r="BI318" s="230">
        <f t="shared" si="1085"/>
        <v>0</v>
      </c>
      <c r="BJ318" s="230">
        <f t="shared" si="1085"/>
        <v>0</v>
      </c>
      <c r="BK318" s="230">
        <f t="shared" si="1085"/>
        <v>0</v>
      </c>
      <c r="BL318" s="230">
        <f t="shared" si="1085"/>
        <v>0</v>
      </c>
      <c r="BM318" s="230">
        <f t="shared" si="1085"/>
        <v>0</v>
      </c>
      <c r="BN318" s="230">
        <f t="shared" ref="BN318:CB318" si="1086">BN83*BN222</f>
        <v>0</v>
      </c>
      <c r="BO318" s="230">
        <f t="shared" si="1086"/>
        <v>0</v>
      </c>
      <c r="BP318" s="230">
        <f t="shared" si="1086"/>
        <v>0</v>
      </c>
      <c r="BQ318" s="230">
        <f t="shared" si="1086"/>
        <v>0</v>
      </c>
      <c r="BR318" s="230">
        <f t="shared" si="1086"/>
        <v>0</v>
      </c>
      <c r="BS318" s="230">
        <f t="shared" si="1086"/>
        <v>0</v>
      </c>
      <c r="BT318" s="230">
        <f t="shared" si="1086"/>
        <v>0</v>
      </c>
      <c r="BU318" s="230">
        <f t="shared" si="1086"/>
        <v>0</v>
      </c>
      <c r="BV318" s="230">
        <f t="shared" si="1086"/>
        <v>0</v>
      </c>
      <c r="BW318" s="230">
        <f t="shared" si="1086"/>
        <v>0</v>
      </c>
      <c r="BX318" s="230">
        <f t="shared" si="1086"/>
        <v>0</v>
      </c>
      <c r="BY318" s="230">
        <f t="shared" si="1086"/>
        <v>0</v>
      </c>
      <c r="BZ318" s="230">
        <f t="shared" si="1086"/>
        <v>0</v>
      </c>
      <c r="CA318" s="230">
        <f t="shared" si="1086"/>
        <v>0</v>
      </c>
      <c r="CB318" s="230">
        <f t="shared" si="1086"/>
        <v>0</v>
      </c>
      <c r="CC318" s="19"/>
      <c r="CD318" s="19"/>
      <c r="CE318" s="19"/>
      <c r="CH318" s="7"/>
      <c r="CI318" s="7"/>
      <c r="CJ318" s="7"/>
      <c r="CK318" s="7"/>
      <c r="CL318" s="7"/>
      <c r="CM318" s="7"/>
      <c r="CN318" s="7"/>
      <c r="CO318" s="7"/>
      <c r="CP318" s="7"/>
      <c r="CQ318" s="7"/>
      <c r="CR318" s="7"/>
      <c r="CS318" s="7"/>
      <c r="CT318" s="7"/>
      <c r="CU318" s="7"/>
      <c r="CV318" s="7"/>
      <c r="CW318" s="7"/>
      <c r="CX318" s="7"/>
      <c r="CY318" s="7"/>
      <c r="CZ318" s="7"/>
      <c r="DA318" s="7"/>
      <c r="DB318" s="7"/>
      <c r="DC318" s="7"/>
      <c r="DD318" s="7"/>
      <c r="DE318" s="7"/>
      <c r="DF318" s="7"/>
      <c r="DG318" s="7"/>
      <c r="DH318" s="7"/>
      <c r="DI318" s="7"/>
      <c r="DJ318" s="7"/>
      <c r="DK318" s="7"/>
      <c r="DL318" s="7"/>
      <c r="DM318" s="7"/>
      <c r="DN318" s="7"/>
      <c r="DO318" s="7"/>
      <c r="DP318" s="7"/>
      <c r="DQ318" s="7"/>
      <c r="DR318" s="7"/>
      <c r="DS318" s="7"/>
      <c r="DT318" s="7"/>
      <c r="DU318" s="7"/>
      <c r="DV318" s="7"/>
      <c r="DW318" s="7"/>
      <c r="DX318" s="7"/>
      <c r="DY318" s="7"/>
      <c r="DZ318" s="7"/>
      <c r="EA318" s="7"/>
      <c r="EB318" s="7"/>
      <c r="EC318" s="7"/>
      <c r="ED318" s="7"/>
      <c r="EE318" s="7"/>
      <c r="EF318" s="7"/>
      <c r="EG318" s="7"/>
      <c r="EH318" s="7"/>
      <c r="EI318" s="7"/>
      <c r="EJ318" s="7"/>
      <c r="EK318" s="7"/>
      <c r="EL318" s="7"/>
      <c r="EM318" s="7"/>
      <c r="EN318" s="7"/>
      <c r="EO318" s="7"/>
      <c r="EP318" s="7"/>
      <c r="EQ318" s="7"/>
      <c r="ER318" s="7"/>
      <c r="ES318" s="7"/>
      <c r="ET318" s="7"/>
      <c r="EU318" s="7"/>
      <c r="EV318" s="7"/>
      <c r="EW318" s="7"/>
      <c r="EX318" s="7"/>
      <c r="EY318" s="7"/>
      <c r="EZ318" s="7"/>
      <c r="FA318" s="7"/>
      <c r="FB318" s="7"/>
      <c r="FC318" s="7"/>
      <c r="FD318" s="7"/>
      <c r="FE318" s="7"/>
      <c r="FF318" s="7"/>
      <c r="FG318" s="7"/>
      <c r="FH318" s="7"/>
      <c r="FI318" s="7"/>
      <c r="FJ318" s="7"/>
      <c r="FK318" s="7"/>
      <c r="FL318" s="7"/>
      <c r="FM318" s="7"/>
      <c r="FN318" s="7"/>
      <c r="FO318" s="7"/>
      <c r="FP318" s="7"/>
      <c r="FQ318" s="7"/>
      <c r="FR318" s="7"/>
      <c r="FS318" s="7"/>
      <c r="FT318" s="7"/>
      <c r="FU318" s="7"/>
      <c r="FV318" s="7"/>
      <c r="FW318" s="7"/>
      <c r="FX318" s="7"/>
      <c r="FY318" s="7"/>
      <c r="FZ318" s="7"/>
      <c r="GA318" s="7"/>
      <c r="GB318" s="7"/>
      <c r="GC318" s="7"/>
      <c r="GD318" s="7"/>
      <c r="GE318" s="7"/>
      <c r="GF318" s="7"/>
      <c r="GG318" s="7"/>
      <c r="GH318" s="7"/>
      <c r="GI318" s="7"/>
      <c r="GJ318" s="7"/>
      <c r="GK318" s="7"/>
      <c r="GL318" s="7"/>
      <c r="GM318" s="7"/>
      <c r="GN318" s="7"/>
      <c r="GO318" s="7"/>
      <c r="GP318" s="7"/>
      <c r="GQ318" s="7"/>
      <c r="GR318" s="7"/>
      <c r="GS318" s="7"/>
      <c r="GT318" s="7"/>
      <c r="GU318" s="7"/>
      <c r="GV318" s="7"/>
      <c r="GW318" s="7"/>
      <c r="GX318" s="7"/>
      <c r="GY318" s="7"/>
      <c r="GZ318" s="7"/>
      <c r="HA318" s="7"/>
      <c r="HB318" s="7"/>
      <c r="HC318" s="7"/>
      <c r="HD318" s="7"/>
      <c r="HE318" s="7"/>
      <c r="HF318" s="7"/>
      <c r="HG318" s="7"/>
      <c r="HH318" s="7"/>
      <c r="HI318" s="7"/>
      <c r="HJ318" s="7"/>
      <c r="HK318" s="7"/>
      <c r="HL318" s="7"/>
      <c r="HM318" s="7"/>
      <c r="HN318" s="7"/>
      <c r="HO318" s="7"/>
      <c r="HP318" s="7"/>
      <c r="HQ318" s="7"/>
      <c r="HR318" s="7"/>
      <c r="HS318" s="7"/>
      <c r="HT318" s="7"/>
      <c r="HU318" s="7"/>
      <c r="HV318" s="7"/>
      <c r="HW318" s="7"/>
      <c r="HX318" s="7"/>
      <c r="HY318" s="7"/>
      <c r="HZ318" s="7"/>
      <c r="IA318" s="7"/>
      <c r="IB318" s="7"/>
      <c r="IC318" s="7"/>
      <c r="ID318" s="7"/>
      <c r="IE318" s="7"/>
      <c r="IF318" s="7"/>
      <c r="IG318" s="7"/>
      <c r="IH318" s="7"/>
      <c r="II318" s="7"/>
      <c r="IJ318" s="7"/>
      <c r="IK318" s="7"/>
      <c r="IL318" s="7"/>
      <c r="IM318" s="7"/>
      <c r="IN318" s="7"/>
      <c r="IO318" s="7"/>
      <c r="IP318" s="7"/>
      <c r="IQ318" s="7"/>
      <c r="IR318" s="7"/>
      <c r="IS318" s="7"/>
      <c r="IT318" s="7"/>
      <c r="IU318" s="7"/>
      <c r="IV318" s="7"/>
    </row>
    <row r="319" spans="1:256">
      <c r="A319" s="230" t="str">
        <f>A85</f>
        <v>Bond 23</v>
      </c>
      <c r="B319" s="230">
        <f t="shared" ref="B319:AG319" si="1087">B85*B227</f>
        <v>0.54065336718873902</v>
      </c>
      <c r="C319" s="230">
        <f t="shared" si="1087"/>
        <v>0.53604719186198757</v>
      </c>
      <c r="D319" s="230">
        <f t="shared" si="1087"/>
        <v>0.53183985149593271</v>
      </c>
      <c r="E319" s="230">
        <f t="shared" si="1087"/>
        <v>0.52796839812807816</v>
      </c>
      <c r="F319" s="230">
        <f t="shared" si="1087"/>
        <v>0.52435365485913565</v>
      </c>
      <c r="G319" s="230">
        <f t="shared" si="1087"/>
        <v>0.52092601152479268</v>
      </c>
      <c r="H319" s="230">
        <f t="shared" si="1087"/>
        <v>0.5176243454111088</v>
      </c>
      <c r="I319" s="230">
        <f t="shared" si="1087"/>
        <v>94.898820631886338</v>
      </c>
      <c r="J319" s="230">
        <f t="shared" si="1087"/>
        <v>0</v>
      </c>
      <c r="K319" s="230">
        <f t="shared" si="1087"/>
        <v>0</v>
      </c>
      <c r="L319" s="230">
        <f t="shared" si="1087"/>
        <v>0</v>
      </c>
      <c r="M319" s="230">
        <f t="shared" si="1087"/>
        <v>0</v>
      </c>
      <c r="N319" s="230">
        <f t="shared" si="1087"/>
        <v>0</v>
      </c>
      <c r="O319" s="230">
        <f t="shared" si="1087"/>
        <v>0</v>
      </c>
      <c r="P319" s="230">
        <f t="shared" si="1087"/>
        <v>0</v>
      </c>
      <c r="Q319" s="230">
        <f t="shared" si="1087"/>
        <v>0</v>
      </c>
      <c r="R319" s="230">
        <f t="shared" si="1087"/>
        <v>0</v>
      </c>
      <c r="S319" s="230">
        <f t="shared" si="1087"/>
        <v>0</v>
      </c>
      <c r="T319" s="230">
        <f t="shared" si="1087"/>
        <v>0</v>
      </c>
      <c r="U319" s="230">
        <f t="shared" si="1087"/>
        <v>0</v>
      </c>
      <c r="V319" s="230">
        <f t="shared" si="1087"/>
        <v>0</v>
      </c>
      <c r="W319" s="230">
        <f t="shared" si="1087"/>
        <v>0</v>
      </c>
      <c r="X319" s="230">
        <f t="shared" si="1087"/>
        <v>0</v>
      </c>
      <c r="Y319" s="230">
        <f t="shared" si="1087"/>
        <v>0</v>
      </c>
      <c r="Z319" s="230">
        <f t="shared" si="1087"/>
        <v>0</v>
      </c>
      <c r="AA319" s="230">
        <f t="shared" si="1087"/>
        <v>0</v>
      </c>
      <c r="AB319" s="230">
        <f t="shared" si="1087"/>
        <v>0</v>
      </c>
      <c r="AC319" s="230">
        <f t="shared" si="1087"/>
        <v>0</v>
      </c>
      <c r="AD319" s="230">
        <f t="shared" si="1087"/>
        <v>0</v>
      </c>
      <c r="AE319" s="230">
        <f t="shared" si="1087"/>
        <v>0</v>
      </c>
      <c r="AF319" s="230">
        <f t="shared" si="1087"/>
        <v>0</v>
      </c>
      <c r="AG319" s="230">
        <f t="shared" si="1087"/>
        <v>0</v>
      </c>
      <c r="AH319" s="230">
        <f t="shared" ref="AH319:BM319" si="1088">AH85*AH227</f>
        <v>0</v>
      </c>
      <c r="AI319" s="230">
        <f t="shared" si="1088"/>
        <v>0</v>
      </c>
      <c r="AJ319" s="230">
        <f t="shared" si="1088"/>
        <v>0</v>
      </c>
      <c r="AK319" s="230">
        <f t="shared" si="1088"/>
        <v>0</v>
      </c>
      <c r="AL319" s="230">
        <f t="shared" si="1088"/>
        <v>0</v>
      </c>
      <c r="AM319" s="230">
        <f t="shared" si="1088"/>
        <v>0</v>
      </c>
      <c r="AN319" s="230">
        <f t="shared" si="1088"/>
        <v>0</v>
      </c>
      <c r="AO319" s="230">
        <f t="shared" si="1088"/>
        <v>0</v>
      </c>
      <c r="AP319" s="230">
        <f t="shared" si="1088"/>
        <v>0</v>
      </c>
      <c r="AQ319" s="230">
        <f t="shared" si="1088"/>
        <v>0</v>
      </c>
      <c r="AR319" s="230">
        <f t="shared" si="1088"/>
        <v>0</v>
      </c>
      <c r="AS319" s="230">
        <f t="shared" si="1088"/>
        <v>0</v>
      </c>
      <c r="AT319" s="230">
        <f t="shared" si="1088"/>
        <v>0</v>
      </c>
      <c r="AU319" s="230">
        <f t="shared" si="1088"/>
        <v>0</v>
      </c>
      <c r="AV319" s="230">
        <f t="shared" si="1088"/>
        <v>0</v>
      </c>
      <c r="AW319" s="230">
        <f t="shared" si="1088"/>
        <v>0</v>
      </c>
      <c r="AX319" s="230">
        <f t="shared" si="1088"/>
        <v>0</v>
      </c>
      <c r="AY319" s="230">
        <f t="shared" si="1088"/>
        <v>0</v>
      </c>
      <c r="AZ319" s="230">
        <f t="shared" si="1088"/>
        <v>0</v>
      </c>
      <c r="BA319" s="230">
        <f t="shared" si="1088"/>
        <v>0</v>
      </c>
      <c r="BB319" s="230">
        <f t="shared" si="1088"/>
        <v>0</v>
      </c>
      <c r="BC319" s="230">
        <f t="shared" si="1088"/>
        <v>0</v>
      </c>
      <c r="BD319" s="230">
        <f t="shared" si="1088"/>
        <v>0</v>
      </c>
      <c r="BE319" s="230">
        <f t="shared" si="1088"/>
        <v>0</v>
      </c>
      <c r="BF319" s="230">
        <f t="shared" si="1088"/>
        <v>0</v>
      </c>
      <c r="BG319" s="230">
        <f t="shared" si="1088"/>
        <v>0</v>
      </c>
      <c r="BH319" s="230">
        <f t="shared" si="1088"/>
        <v>0</v>
      </c>
      <c r="BI319" s="230">
        <f t="shared" si="1088"/>
        <v>0</v>
      </c>
      <c r="BJ319" s="230">
        <f t="shared" si="1088"/>
        <v>0</v>
      </c>
      <c r="BK319" s="230">
        <f t="shared" si="1088"/>
        <v>0</v>
      </c>
      <c r="BL319" s="230">
        <f t="shared" si="1088"/>
        <v>0</v>
      </c>
      <c r="BM319" s="230">
        <f t="shared" si="1088"/>
        <v>0</v>
      </c>
      <c r="BN319" s="230">
        <f t="shared" ref="BN319:CB319" si="1089">BN85*BN227</f>
        <v>0</v>
      </c>
      <c r="BO319" s="230">
        <f t="shared" si="1089"/>
        <v>0</v>
      </c>
      <c r="BP319" s="230">
        <f t="shared" si="1089"/>
        <v>0</v>
      </c>
      <c r="BQ319" s="230">
        <f t="shared" si="1089"/>
        <v>0</v>
      </c>
      <c r="BR319" s="230">
        <f t="shared" si="1089"/>
        <v>0</v>
      </c>
      <c r="BS319" s="230">
        <f t="shared" si="1089"/>
        <v>0</v>
      </c>
      <c r="BT319" s="230">
        <f t="shared" si="1089"/>
        <v>0</v>
      </c>
      <c r="BU319" s="230">
        <f t="shared" si="1089"/>
        <v>0</v>
      </c>
      <c r="BV319" s="230">
        <f t="shared" si="1089"/>
        <v>0</v>
      </c>
      <c r="BW319" s="230">
        <f t="shared" si="1089"/>
        <v>0</v>
      </c>
      <c r="BX319" s="230">
        <f t="shared" si="1089"/>
        <v>0</v>
      </c>
      <c r="BY319" s="230">
        <f t="shared" si="1089"/>
        <v>0</v>
      </c>
      <c r="BZ319" s="230">
        <f t="shared" si="1089"/>
        <v>0</v>
      </c>
      <c r="CA319" s="230">
        <f t="shared" si="1089"/>
        <v>0</v>
      </c>
      <c r="CB319" s="230">
        <f t="shared" si="1089"/>
        <v>0</v>
      </c>
      <c r="CC319" s="19"/>
      <c r="CD319" s="19"/>
      <c r="CE319" s="19"/>
      <c r="CH319" s="7"/>
      <c r="CI319" s="7"/>
      <c r="CJ319" s="7"/>
      <c r="CK319" s="7"/>
      <c r="CL319" s="7"/>
      <c r="CM319" s="7"/>
      <c r="CN319" s="7"/>
      <c r="CO319" s="7"/>
      <c r="CP319" s="7"/>
      <c r="CQ319" s="7"/>
      <c r="CR319" s="7"/>
      <c r="CS319" s="7"/>
      <c r="CT319" s="7"/>
      <c r="CU319" s="7"/>
      <c r="CV319" s="7"/>
      <c r="CW319" s="7"/>
      <c r="CX319" s="7"/>
      <c r="CY319" s="7"/>
      <c r="CZ319" s="7"/>
      <c r="DA319" s="7"/>
      <c r="DB319" s="7"/>
      <c r="DC319" s="7"/>
      <c r="DD319" s="7"/>
      <c r="DE319" s="7"/>
      <c r="DF319" s="7"/>
      <c r="DG319" s="7"/>
      <c r="DH319" s="7"/>
      <c r="DI319" s="7"/>
      <c r="DJ319" s="7"/>
      <c r="DK319" s="7"/>
      <c r="DL319" s="7"/>
      <c r="DM319" s="7"/>
      <c r="DN319" s="7"/>
      <c r="DO319" s="7"/>
      <c r="DP319" s="7"/>
      <c r="DQ319" s="7"/>
      <c r="DR319" s="7"/>
      <c r="DS319" s="7"/>
      <c r="DT319" s="7"/>
      <c r="DU319" s="7"/>
      <c r="DV319" s="7"/>
      <c r="DW319" s="7"/>
      <c r="DX319" s="7"/>
      <c r="DY319" s="7"/>
      <c r="DZ319" s="7"/>
      <c r="EA319" s="7"/>
      <c r="EB319" s="7"/>
      <c r="EC319" s="7"/>
      <c r="ED319" s="7"/>
      <c r="EE319" s="7"/>
      <c r="EF319" s="7"/>
      <c r="EG319" s="7"/>
      <c r="EH319" s="7"/>
      <c r="EI319" s="7"/>
      <c r="EJ319" s="7"/>
      <c r="EK319" s="7"/>
      <c r="EL319" s="7"/>
      <c r="EM319" s="7"/>
      <c r="EN319" s="7"/>
      <c r="EO319" s="7"/>
      <c r="EP319" s="7"/>
      <c r="EQ319" s="7"/>
      <c r="ER319" s="7"/>
      <c r="ES319" s="7"/>
      <c r="ET319" s="7"/>
      <c r="EU319" s="7"/>
      <c r="EV319" s="7"/>
      <c r="EW319" s="7"/>
      <c r="EX319" s="7"/>
      <c r="EY319" s="7"/>
      <c r="EZ319" s="7"/>
      <c r="FA319" s="7"/>
      <c r="FB319" s="7"/>
      <c r="FC319" s="7"/>
      <c r="FD319" s="7"/>
      <c r="FE319" s="7"/>
      <c r="FF319" s="7"/>
      <c r="FG319" s="7"/>
      <c r="FH319" s="7"/>
      <c r="FI319" s="7"/>
      <c r="FJ319" s="7"/>
      <c r="FK319" s="7"/>
      <c r="FL319" s="7"/>
      <c r="FM319" s="7"/>
      <c r="FN319" s="7"/>
      <c r="FO319" s="7"/>
      <c r="FP319" s="7"/>
      <c r="FQ319" s="7"/>
      <c r="FR319" s="7"/>
      <c r="FS319" s="7"/>
      <c r="FT319" s="7"/>
      <c r="FU319" s="7"/>
      <c r="FV319" s="7"/>
      <c r="FW319" s="7"/>
      <c r="FX319" s="7"/>
      <c r="FY319" s="7"/>
      <c r="FZ319" s="7"/>
      <c r="GA319" s="7"/>
      <c r="GB319" s="7"/>
      <c r="GC319" s="7"/>
      <c r="GD319" s="7"/>
      <c r="GE319" s="7"/>
      <c r="GF319" s="7"/>
      <c r="GG319" s="7"/>
      <c r="GH319" s="7"/>
      <c r="GI319" s="7"/>
      <c r="GJ319" s="7"/>
      <c r="GK319" s="7"/>
      <c r="GL319" s="7"/>
      <c r="GM319" s="7"/>
      <c r="GN319" s="7"/>
      <c r="GO319" s="7"/>
      <c r="GP319" s="7"/>
      <c r="GQ319" s="7"/>
      <c r="GR319" s="7"/>
      <c r="GS319" s="7"/>
      <c r="GT319" s="7"/>
      <c r="GU319" s="7"/>
      <c r="GV319" s="7"/>
      <c r="GW319" s="7"/>
      <c r="GX319" s="7"/>
      <c r="GY319" s="7"/>
      <c r="GZ319" s="7"/>
      <c r="HA319" s="7"/>
      <c r="HB319" s="7"/>
      <c r="HC319" s="7"/>
      <c r="HD319" s="7"/>
      <c r="HE319" s="7"/>
      <c r="HF319" s="7"/>
      <c r="HG319" s="7"/>
      <c r="HH319" s="7"/>
      <c r="HI319" s="7"/>
      <c r="HJ319" s="7"/>
      <c r="HK319" s="7"/>
      <c r="HL319" s="7"/>
      <c r="HM319" s="7"/>
      <c r="HN319" s="7"/>
      <c r="HO319" s="7"/>
      <c r="HP319" s="7"/>
      <c r="HQ319" s="7"/>
      <c r="HR319" s="7"/>
      <c r="HS319" s="7"/>
      <c r="HT319" s="7"/>
      <c r="HU319" s="7"/>
      <c r="HV319" s="7"/>
      <c r="HW319" s="7"/>
      <c r="HX319" s="7"/>
      <c r="HY319" s="7"/>
      <c r="HZ319" s="7"/>
      <c r="IA319" s="7"/>
      <c r="IB319" s="7"/>
      <c r="IC319" s="7"/>
      <c r="ID319" s="7"/>
      <c r="IE319" s="7"/>
      <c r="IF319" s="7"/>
      <c r="IG319" s="7"/>
      <c r="IH319" s="7"/>
      <c r="II319" s="7"/>
      <c r="IJ319" s="7"/>
      <c r="IK319" s="7"/>
      <c r="IL319" s="7"/>
      <c r="IM319" s="7"/>
      <c r="IN319" s="7"/>
      <c r="IO319" s="7"/>
      <c r="IP319" s="7"/>
      <c r="IQ319" s="7"/>
      <c r="IR319" s="7"/>
      <c r="IS319" s="7"/>
      <c r="IT319" s="7"/>
      <c r="IU319" s="7"/>
      <c r="IV319" s="7"/>
    </row>
    <row r="320" spans="1:256">
      <c r="A320" s="230" t="str">
        <f>A87</f>
        <v>Bond 24</v>
      </c>
      <c r="B320" s="230">
        <f t="shared" ref="B320:AG320" si="1090">B87*B232</f>
        <v>0.65330683956488389</v>
      </c>
      <c r="C320" s="230">
        <f t="shared" si="1090"/>
        <v>99.494761367307106</v>
      </c>
      <c r="D320" s="230">
        <f t="shared" si="1090"/>
        <v>0</v>
      </c>
      <c r="E320" s="230">
        <f t="shared" si="1090"/>
        <v>0</v>
      </c>
      <c r="F320" s="230">
        <f t="shared" si="1090"/>
        <v>0</v>
      </c>
      <c r="G320" s="230">
        <f t="shared" si="1090"/>
        <v>0</v>
      </c>
      <c r="H320" s="230">
        <f t="shared" si="1090"/>
        <v>0</v>
      </c>
      <c r="I320" s="230">
        <f t="shared" si="1090"/>
        <v>0</v>
      </c>
      <c r="J320" s="230">
        <f t="shared" si="1090"/>
        <v>0</v>
      </c>
      <c r="K320" s="230">
        <f t="shared" si="1090"/>
        <v>0</v>
      </c>
      <c r="L320" s="230">
        <f t="shared" si="1090"/>
        <v>0</v>
      </c>
      <c r="M320" s="230">
        <f t="shared" si="1090"/>
        <v>0</v>
      </c>
      <c r="N320" s="230">
        <f t="shared" si="1090"/>
        <v>0</v>
      </c>
      <c r="O320" s="230">
        <f t="shared" si="1090"/>
        <v>0</v>
      </c>
      <c r="P320" s="230">
        <f t="shared" si="1090"/>
        <v>0</v>
      </c>
      <c r="Q320" s="230">
        <f t="shared" si="1090"/>
        <v>0</v>
      </c>
      <c r="R320" s="230">
        <f t="shared" si="1090"/>
        <v>0</v>
      </c>
      <c r="S320" s="230">
        <f t="shared" si="1090"/>
        <v>0</v>
      </c>
      <c r="T320" s="230">
        <f t="shared" si="1090"/>
        <v>0</v>
      </c>
      <c r="U320" s="230">
        <f t="shared" si="1090"/>
        <v>0</v>
      </c>
      <c r="V320" s="230">
        <f t="shared" si="1090"/>
        <v>0</v>
      </c>
      <c r="W320" s="230">
        <f t="shared" si="1090"/>
        <v>0</v>
      </c>
      <c r="X320" s="230">
        <f t="shared" si="1090"/>
        <v>0</v>
      </c>
      <c r="Y320" s="230">
        <f t="shared" si="1090"/>
        <v>0</v>
      </c>
      <c r="Z320" s="230">
        <f t="shared" si="1090"/>
        <v>0</v>
      </c>
      <c r="AA320" s="230">
        <f t="shared" si="1090"/>
        <v>0</v>
      </c>
      <c r="AB320" s="230">
        <f t="shared" si="1090"/>
        <v>0</v>
      </c>
      <c r="AC320" s="230">
        <f t="shared" si="1090"/>
        <v>0</v>
      </c>
      <c r="AD320" s="230">
        <f t="shared" si="1090"/>
        <v>0</v>
      </c>
      <c r="AE320" s="230">
        <f t="shared" si="1090"/>
        <v>0</v>
      </c>
      <c r="AF320" s="230">
        <f t="shared" si="1090"/>
        <v>0</v>
      </c>
      <c r="AG320" s="230">
        <f t="shared" si="1090"/>
        <v>0</v>
      </c>
      <c r="AH320" s="230">
        <f t="shared" ref="AH320:BM320" si="1091">AH87*AH232</f>
        <v>0</v>
      </c>
      <c r="AI320" s="230">
        <f t="shared" si="1091"/>
        <v>0</v>
      </c>
      <c r="AJ320" s="230">
        <f t="shared" si="1091"/>
        <v>0</v>
      </c>
      <c r="AK320" s="230">
        <f t="shared" si="1091"/>
        <v>0</v>
      </c>
      <c r="AL320" s="230">
        <f t="shared" si="1091"/>
        <v>0</v>
      </c>
      <c r="AM320" s="230">
        <f t="shared" si="1091"/>
        <v>0</v>
      </c>
      <c r="AN320" s="230">
        <f t="shared" si="1091"/>
        <v>0</v>
      </c>
      <c r="AO320" s="230">
        <f t="shared" si="1091"/>
        <v>0</v>
      </c>
      <c r="AP320" s="230">
        <f t="shared" si="1091"/>
        <v>0</v>
      </c>
      <c r="AQ320" s="230">
        <f t="shared" si="1091"/>
        <v>0</v>
      </c>
      <c r="AR320" s="230">
        <f t="shared" si="1091"/>
        <v>0</v>
      </c>
      <c r="AS320" s="230">
        <f t="shared" si="1091"/>
        <v>0</v>
      </c>
      <c r="AT320" s="230">
        <f t="shared" si="1091"/>
        <v>0</v>
      </c>
      <c r="AU320" s="230">
        <f t="shared" si="1091"/>
        <v>0</v>
      </c>
      <c r="AV320" s="230">
        <f t="shared" si="1091"/>
        <v>0</v>
      </c>
      <c r="AW320" s="230">
        <f t="shared" si="1091"/>
        <v>0</v>
      </c>
      <c r="AX320" s="230">
        <f t="shared" si="1091"/>
        <v>0</v>
      </c>
      <c r="AY320" s="230">
        <f t="shared" si="1091"/>
        <v>0</v>
      </c>
      <c r="AZ320" s="230">
        <f t="shared" si="1091"/>
        <v>0</v>
      </c>
      <c r="BA320" s="230">
        <f t="shared" si="1091"/>
        <v>0</v>
      </c>
      <c r="BB320" s="230">
        <f t="shared" si="1091"/>
        <v>0</v>
      </c>
      <c r="BC320" s="230">
        <f t="shared" si="1091"/>
        <v>0</v>
      </c>
      <c r="BD320" s="230">
        <f t="shared" si="1091"/>
        <v>0</v>
      </c>
      <c r="BE320" s="230">
        <f t="shared" si="1091"/>
        <v>0</v>
      </c>
      <c r="BF320" s="230">
        <f t="shared" si="1091"/>
        <v>0</v>
      </c>
      <c r="BG320" s="230">
        <f t="shared" si="1091"/>
        <v>0</v>
      </c>
      <c r="BH320" s="230">
        <f t="shared" si="1091"/>
        <v>0</v>
      </c>
      <c r="BI320" s="230">
        <f t="shared" si="1091"/>
        <v>0</v>
      </c>
      <c r="BJ320" s="230">
        <f t="shared" si="1091"/>
        <v>0</v>
      </c>
      <c r="BK320" s="230">
        <f t="shared" si="1091"/>
        <v>0</v>
      </c>
      <c r="BL320" s="230">
        <f t="shared" si="1091"/>
        <v>0</v>
      </c>
      <c r="BM320" s="230">
        <f t="shared" si="1091"/>
        <v>0</v>
      </c>
      <c r="BN320" s="230">
        <f t="shared" ref="BN320:CB320" si="1092">BN87*BN232</f>
        <v>0</v>
      </c>
      <c r="BO320" s="230">
        <f t="shared" si="1092"/>
        <v>0</v>
      </c>
      <c r="BP320" s="230">
        <f t="shared" si="1092"/>
        <v>0</v>
      </c>
      <c r="BQ320" s="230">
        <f t="shared" si="1092"/>
        <v>0</v>
      </c>
      <c r="BR320" s="230">
        <f t="shared" si="1092"/>
        <v>0</v>
      </c>
      <c r="BS320" s="230">
        <f t="shared" si="1092"/>
        <v>0</v>
      </c>
      <c r="BT320" s="230">
        <f t="shared" si="1092"/>
        <v>0</v>
      </c>
      <c r="BU320" s="230">
        <f t="shared" si="1092"/>
        <v>0</v>
      </c>
      <c r="BV320" s="230">
        <f t="shared" si="1092"/>
        <v>0</v>
      </c>
      <c r="BW320" s="230">
        <f t="shared" si="1092"/>
        <v>0</v>
      </c>
      <c r="BX320" s="230">
        <f t="shared" si="1092"/>
        <v>0</v>
      </c>
      <c r="BY320" s="230">
        <f t="shared" si="1092"/>
        <v>0</v>
      </c>
      <c r="BZ320" s="230">
        <f t="shared" si="1092"/>
        <v>0</v>
      </c>
      <c r="CA320" s="230">
        <f t="shared" si="1092"/>
        <v>0</v>
      </c>
      <c r="CB320" s="230">
        <f t="shared" si="1092"/>
        <v>0</v>
      </c>
      <c r="CC320" s="19"/>
      <c r="CD320" s="19"/>
      <c r="CE320" s="19"/>
      <c r="CH320" s="7"/>
      <c r="CI320" s="7"/>
      <c r="CJ320" s="7"/>
      <c r="CK320" s="7"/>
      <c r="CL320" s="7"/>
      <c r="CM320" s="7"/>
      <c r="CN320" s="7"/>
      <c r="CO320" s="7"/>
      <c r="CP320" s="7"/>
      <c r="CQ320" s="7"/>
      <c r="CR320" s="7"/>
      <c r="CS320" s="7"/>
      <c r="CT320" s="7"/>
      <c r="CU320" s="7"/>
      <c r="CV320" s="7"/>
      <c r="CW320" s="7"/>
      <c r="CX320" s="7"/>
      <c r="CY320" s="7"/>
      <c r="CZ320" s="7"/>
      <c r="DA320" s="7"/>
      <c r="DB320" s="7"/>
      <c r="DC320" s="7"/>
      <c r="DD320" s="7"/>
      <c r="DE320" s="7"/>
      <c r="DF320" s="7"/>
      <c r="DG320" s="7"/>
      <c r="DH320" s="7"/>
      <c r="DI320" s="7"/>
      <c r="DJ320" s="7"/>
      <c r="DK320" s="7"/>
      <c r="DL320" s="7"/>
      <c r="DM320" s="7"/>
      <c r="DN320" s="7"/>
      <c r="DO320" s="7"/>
      <c r="DP320" s="7"/>
      <c r="DQ320" s="7"/>
      <c r="DR320" s="7"/>
      <c r="DS320" s="7"/>
      <c r="DT320" s="7"/>
      <c r="DU320" s="7"/>
      <c r="DV320" s="7"/>
      <c r="DW320" s="7"/>
      <c r="DX320" s="7"/>
      <c r="DY320" s="7"/>
      <c r="DZ320" s="7"/>
      <c r="EA320" s="7"/>
      <c r="EB320" s="7"/>
      <c r="EC320" s="7"/>
      <c r="ED320" s="7"/>
      <c r="EE320" s="7"/>
      <c r="EF320" s="7"/>
      <c r="EG320" s="7"/>
      <c r="EH320" s="7"/>
      <c r="EI320" s="7"/>
      <c r="EJ320" s="7"/>
      <c r="EK320" s="7"/>
      <c r="EL320" s="7"/>
      <c r="EM320" s="7"/>
      <c r="EN320" s="7"/>
      <c r="EO320" s="7"/>
      <c r="EP320" s="7"/>
      <c r="EQ320" s="7"/>
      <c r="ER320" s="7"/>
      <c r="ES320" s="7"/>
      <c r="ET320" s="7"/>
      <c r="EU320" s="7"/>
      <c r="EV320" s="7"/>
      <c r="EW320" s="7"/>
      <c r="EX320" s="7"/>
      <c r="EY320" s="7"/>
      <c r="EZ320" s="7"/>
      <c r="FA320" s="7"/>
      <c r="FB320" s="7"/>
      <c r="FC320" s="7"/>
      <c r="FD320" s="7"/>
      <c r="FE320" s="7"/>
      <c r="FF320" s="7"/>
      <c r="FG320" s="7"/>
      <c r="FH320" s="7"/>
      <c r="FI320" s="7"/>
      <c r="FJ320" s="7"/>
      <c r="FK320" s="7"/>
      <c r="FL320" s="7"/>
      <c r="FM320" s="7"/>
      <c r="FN320" s="7"/>
      <c r="FO320" s="7"/>
      <c r="FP320" s="7"/>
      <c r="FQ320" s="7"/>
      <c r="FR320" s="7"/>
      <c r="FS320" s="7"/>
      <c r="FT320" s="7"/>
      <c r="FU320" s="7"/>
      <c r="FV320" s="7"/>
      <c r="FW320" s="7"/>
      <c r="FX320" s="7"/>
      <c r="FY320" s="7"/>
      <c r="FZ320" s="7"/>
      <c r="GA320" s="7"/>
      <c r="GB320" s="7"/>
      <c r="GC320" s="7"/>
      <c r="GD320" s="7"/>
      <c r="GE320" s="7"/>
      <c r="GF320" s="7"/>
      <c r="GG320" s="7"/>
      <c r="GH320" s="7"/>
      <c r="GI320" s="7"/>
      <c r="GJ320" s="7"/>
      <c r="GK320" s="7"/>
      <c r="GL320" s="7"/>
      <c r="GM320" s="7"/>
      <c r="GN320" s="7"/>
      <c r="GO320" s="7"/>
      <c r="GP320" s="7"/>
      <c r="GQ320" s="7"/>
      <c r="GR320" s="7"/>
      <c r="GS320" s="7"/>
      <c r="GT320" s="7"/>
      <c r="GU320" s="7"/>
      <c r="GV320" s="7"/>
      <c r="GW320" s="7"/>
      <c r="GX320" s="7"/>
      <c r="GY320" s="7"/>
      <c r="GZ320" s="7"/>
      <c r="HA320" s="7"/>
      <c r="HB320" s="7"/>
      <c r="HC320" s="7"/>
      <c r="HD320" s="7"/>
      <c r="HE320" s="7"/>
      <c r="HF320" s="7"/>
      <c r="HG320" s="7"/>
      <c r="HH320" s="7"/>
      <c r="HI320" s="7"/>
      <c r="HJ320" s="7"/>
      <c r="HK320" s="7"/>
      <c r="HL320" s="7"/>
      <c r="HM320" s="7"/>
      <c r="HN320" s="7"/>
      <c r="HO320" s="7"/>
      <c r="HP320" s="7"/>
      <c r="HQ320" s="7"/>
      <c r="HR320" s="7"/>
      <c r="HS320" s="7"/>
      <c r="HT320" s="7"/>
      <c r="HU320" s="7"/>
      <c r="HV320" s="7"/>
      <c r="HW320" s="7"/>
      <c r="HX320" s="7"/>
      <c r="HY320" s="7"/>
      <c r="HZ320" s="7"/>
      <c r="IA320" s="7"/>
      <c r="IB320" s="7"/>
      <c r="IC320" s="7"/>
      <c r="ID320" s="7"/>
      <c r="IE320" s="7"/>
      <c r="IF320" s="7"/>
      <c r="IG320" s="7"/>
      <c r="IH320" s="7"/>
      <c r="II320" s="7"/>
      <c r="IJ320" s="7"/>
      <c r="IK320" s="7"/>
      <c r="IL320" s="7"/>
      <c r="IM320" s="7"/>
      <c r="IN320" s="7"/>
      <c r="IO320" s="7"/>
      <c r="IP320" s="7"/>
      <c r="IQ320" s="7"/>
      <c r="IR320" s="7"/>
      <c r="IS320" s="7"/>
      <c r="IT320" s="7"/>
      <c r="IU320" s="7"/>
      <c r="IV320" s="7"/>
    </row>
    <row r="321" spans="1:256">
      <c r="A321" s="230" t="str">
        <f>A89</f>
        <v>Bond 25</v>
      </c>
      <c r="B321" s="230">
        <f t="shared" ref="B321:AG321" si="1093">B89*B237</f>
        <v>1.2416497323963871</v>
      </c>
      <c r="C321" s="230">
        <f t="shared" si="1093"/>
        <v>1.2305305205637831</v>
      </c>
      <c r="D321" s="230">
        <f t="shared" si="1093"/>
        <v>1.2203301890578699</v>
      </c>
      <c r="E321" s="230">
        <f t="shared" si="1093"/>
        <v>1.2111695843112369</v>
      </c>
      <c r="F321" s="230">
        <f t="shared" si="1093"/>
        <v>1.2024985163858717</v>
      </c>
      <c r="G321" s="230">
        <f t="shared" si="1093"/>
        <v>1.1945293497242482</v>
      </c>
      <c r="H321" s="230">
        <f t="shared" si="1093"/>
        <v>1.1867511254062981</v>
      </c>
      <c r="I321" s="230">
        <f t="shared" si="1093"/>
        <v>1.1793756141658451</v>
      </c>
      <c r="J321" s="230">
        <f t="shared" si="1093"/>
        <v>1.1719540913993434</v>
      </c>
      <c r="K321" s="230">
        <f t="shared" si="1093"/>
        <v>1.1647136715149129</v>
      </c>
      <c r="L321" s="230">
        <f t="shared" si="1093"/>
        <v>1.1572819855390846</v>
      </c>
      <c r="M321" s="230">
        <f t="shared" si="1093"/>
        <v>1.149832055663393</v>
      </c>
      <c r="N321" s="230">
        <f t="shared" si="1093"/>
        <v>1.1420053334064959</v>
      </c>
      <c r="O321" s="230">
        <f t="shared" si="1093"/>
        <v>1.1340933561374469</v>
      </c>
      <c r="P321" s="230">
        <f t="shared" si="1093"/>
        <v>1.1256960079618423</v>
      </c>
      <c r="Q321" s="230">
        <f t="shared" si="1093"/>
        <v>1.1171476690482178</v>
      </c>
      <c r="R321" s="230">
        <f t="shared" si="1093"/>
        <v>1.1080363558198796</v>
      </c>
      <c r="S321" s="230">
        <f t="shared" si="1093"/>
        <v>1.0987426652277565</v>
      </c>
      <c r="T321" s="230">
        <f t="shared" si="1093"/>
        <v>88.549983454250949</v>
      </c>
      <c r="U321" s="230">
        <f t="shared" si="1093"/>
        <v>0</v>
      </c>
      <c r="V321" s="230">
        <f t="shared" si="1093"/>
        <v>0</v>
      </c>
      <c r="W321" s="230">
        <f t="shared" si="1093"/>
        <v>0</v>
      </c>
      <c r="X321" s="230">
        <f t="shared" si="1093"/>
        <v>0</v>
      </c>
      <c r="Y321" s="230">
        <f t="shared" si="1093"/>
        <v>0</v>
      </c>
      <c r="Z321" s="230">
        <f t="shared" si="1093"/>
        <v>0</v>
      </c>
      <c r="AA321" s="230">
        <f t="shared" si="1093"/>
        <v>0</v>
      </c>
      <c r="AB321" s="230">
        <f t="shared" si="1093"/>
        <v>0</v>
      </c>
      <c r="AC321" s="230">
        <f t="shared" si="1093"/>
        <v>0</v>
      </c>
      <c r="AD321" s="230">
        <f t="shared" si="1093"/>
        <v>0</v>
      </c>
      <c r="AE321" s="230">
        <f t="shared" si="1093"/>
        <v>0</v>
      </c>
      <c r="AF321" s="230">
        <f t="shared" si="1093"/>
        <v>0</v>
      </c>
      <c r="AG321" s="230">
        <f t="shared" si="1093"/>
        <v>0</v>
      </c>
      <c r="AH321" s="230">
        <f t="shared" ref="AH321:BM321" si="1094">AH89*AH237</f>
        <v>0</v>
      </c>
      <c r="AI321" s="230">
        <f t="shared" si="1094"/>
        <v>0</v>
      </c>
      <c r="AJ321" s="230">
        <f t="shared" si="1094"/>
        <v>0</v>
      </c>
      <c r="AK321" s="230">
        <f t="shared" si="1094"/>
        <v>0</v>
      </c>
      <c r="AL321" s="230">
        <f t="shared" si="1094"/>
        <v>0</v>
      </c>
      <c r="AM321" s="230">
        <f t="shared" si="1094"/>
        <v>0</v>
      </c>
      <c r="AN321" s="230">
        <f t="shared" si="1094"/>
        <v>0</v>
      </c>
      <c r="AO321" s="230">
        <f t="shared" si="1094"/>
        <v>0</v>
      </c>
      <c r="AP321" s="230">
        <f t="shared" si="1094"/>
        <v>0</v>
      </c>
      <c r="AQ321" s="230">
        <f t="shared" si="1094"/>
        <v>0</v>
      </c>
      <c r="AR321" s="230">
        <f t="shared" si="1094"/>
        <v>0</v>
      </c>
      <c r="AS321" s="230">
        <f t="shared" si="1094"/>
        <v>0</v>
      </c>
      <c r="AT321" s="230">
        <f t="shared" si="1094"/>
        <v>0</v>
      </c>
      <c r="AU321" s="230">
        <f t="shared" si="1094"/>
        <v>0</v>
      </c>
      <c r="AV321" s="230">
        <f t="shared" si="1094"/>
        <v>0</v>
      </c>
      <c r="AW321" s="230">
        <f t="shared" si="1094"/>
        <v>0</v>
      </c>
      <c r="AX321" s="230">
        <f t="shared" si="1094"/>
        <v>0</v>
      </c>
      <c r="AY321" s="230">
        <f t="shared" si="1094"/>
        <v>0</v>
      </c>
      <c r="AZ321" s="230">
        <f t="shared" si="1094"/>
        <v>0</v>
      </c>
      <c r="BA321" s="230">
        <f t="shared" si="1094"/>
        <v>0</v>
      </c>
      <c r="BB321" s="230">
        <f t="shared" si="1094"/>
        <v>0</v>
      </c>
      <c r="BC321" s="230">
        <f t="shared" si="1094"/>
        <v>0</v>
      </c>
      <c r="BD321" s="230">
        <f t="shared" si="1094"/>
        <v>0</v>
      </c>
      <c r="BE321" s="230">
        <f t="shared" si="1094"/>
        <v>0</v>
      </c>
      <c r="BF321" s="230">
        <f t="shared" si="1094"/>
        <v>0</v>
      </c>
      <c r="BG321" s="230">
        <f t="shared" si="1094"/>
        <v>0</v>
      </c>
      <c r="BH321" s="230">
        <f t="shared" si="1094"/>
        <v>0</v>
      </c>
      <c r="BI321" s="230">
        <f t="shared" si="1094"/>
        <v>0</v>
      </c>
      <c r="BJ321" s="230">
        <f t="shared" si="1094"/>
        <v>0</v>
      </c>
      <c r="BK321" s="230">
        <f t="shared" si="1094"/>
        <v>0</v>
      </c>
      <c r="BL321" s="230">
        <f t="shared" si="1094"/>
        <v>0</v>
      </c>
      <c r="BM321" s="230">
        <f t="shared" si="1094"/>
        <v>0</v>
      </c>
      <c r="BN321" s="230">
        <f t="shared" ref="BN321:CB321" si="1095">BN89*BN237</f>
        <v>0</v>
      </c>
      <c r="BO321" s="230">
        <f t="shared" si="1095"/>
        <v>0</v>
      </c>
      <c r="BP321" s="230">
        <f t="shared" si="1095"/>
        <v>0</v>
      </c>
      <c r="BQ321" s="230">
        <f t="shared" si="1095"/>
        <v>0</v>
      </c>
      <c r="BR321" s="230">
        <f t="shared" si="1095"/>
        <v>0</v>
      </c>
      <c r="BS321" s="230">
        <f t="shared" si="1095"/>
        <v>0</v>
      </c>
      <c r="BT321" s="230">
        <f t="shared" si="1095"/>
        <v>0</v>
      </c>
      <c r="BU321" s="230">
        <f t="shared" si="1095"/>
        <v>0</v>
      </c>
      <c r="BV321" s="230">
        <f t="shared" si="1095"/>
        <v>0</v>
      </c>
      <c r="BW321" s="230">
        <f t="shared" si="1095"/>
        <v>0</v>
      </c>
      <c r="BX321" s="230">
        <f t="shared" si="1095"/>
        <v>0</v>
      </c>
      <c r="BY321" s="230">
        <f t="shared" si="1095"/>
        <v>0</v>
      </c>
      <c r="BZ321" s="230">
        <f t="shared" si="1095"/>
        <v>0</v>
      </c>
      <c r="CA321" s="230">
        <f t="shared" si="1095"/>
        <v>0</v>
      </c>
      <c r="CB321" s="230">
        <f t="shared" si="1095"/>
        <v>0</v>
      </c>
      <c r="CC321" s="19"/>
      <c r="CD321" s="19"/>
      <c r="CE321" s="19"/>
      <c r="CH321" s="7"/>
      <c r="CI321" s="7"/>
      <c r="CJ321" s="7"/>
      <c r="CK321" s="7"/>
      <c r="CL321" s="7"/>
      <c r="CM321" s="7"/>
      <c r="CN321" s="7"/>
      <c r="CO321" s="7"/>
      <c r="CP321" s="7"/>
      <c r="CQ321" s="7"/>
      <c r="CR321" s="7"/>
      <c r="CS321" s="7"/>
      <c r="CT321" s="7"/>
      <c r="CU321" s="7"/>
      <c r="CV321" s="7"/>
      <c r="CW321" s="7"/>
      <c r="CX321" s="7"/>
      <c r="CY321" s="7"/>
      <c r="CZ321" s="7"/>
      <c r="DA321" s="7"/>
      <c r="DB321" s="7"/>
      <c r="DC321" s="7"/>
      <c r="DD321" s="7"/>
      <c r="DE321" s="7"/>
      <c r="DF321" s="7"/>
      <c r="DG321" s="7"/>
      <c r="DH321" s="7"/>
      <c r="DI321" s="7"/>
      <c r="DJ321" s="7"/>
      <c r="DK321" s="7"/>
      <c r="DL321" s="7"/>
      <c r="DM321" s="7"/>
      <c r="DN321" s="7"/>
      <c r="DO321" s="7"/>
      <c r="DP321" s="7"/>
      <c r="DQ321" s="7"/>
      <c r="DR321" s="7"/>
      <c r="DS321" s="7"/>
      <c r="DT321" s="7"/>
      <c r="DU321" s="7"/>
      <c r="DV321" s="7"/>
      <c r="DW321" s="7"/>
      <c r="DX321" s="7"/>
      <c r="DY321" s="7"/>
      <c r="DZ321" s="7"/>
      <c r="EA321" s="7"/>
      <c r="EB321" s="7"/>
      <c r="EC321" s="7"/>
      <c r="ED321" s="7"/>
      <c r="EE321" s="7"/>
      <c r="EF321" s="7"/>
      <c r="EG321" s="7"/>
      <c r="EH321" s="7"/>
      <c r="EI321" s="7"/>
      <c r="EJ321" s="7"/>
      <c r="EK321" s="7"/>
      <c r="EL321" s="7"/>
      <c r="EM321" s="7"/>
      <c r="EN321" s="7"/>
      <c r="EO321" s="7"/>
      <c r="EP321" s="7"/>
      <c r="EQ321" s="7"/>
      <c r="ER321" s="7"/>
      <c r="ES321" s="7"/>
      <c r="ET321" s="7"/>
      <c r="EU321" s="7"/>
      <c r="EV321" s="7"/>
      <c r="EW321" s="7"/>
      <c r="EX321" s="7"/>
      <c r="EY321" s="7"/>
      <c r="EZ321" s="7"/>
      <c r="FA321" s="7"/>
      <c r="FB321" s="7"/>
      <c r="FC321" s="7"/>
      <c r="FD321" s="7"/>
      <c r="FE321" s="7"/>
      <c r="FF321" s="7"/>
      <c r="FG321" s="7"/>
      <c r="FH321" s="7"/>
      <c r="FI321" s="7"/>
      <c r="FJ321" s="7"/>
      <c r="FK321" s="7"/>
      <c r="FL321" s="7"/>
      <c r="FM321" s="7"/>
      <c r="FN321" s="7"/>
      <c r="FO321" s="7"/>
      <c r="FP321" s="7"/>
      <c r="FQ321" s="7"/>
      <c r="FR321" s="7"/>
      <c r="FS321" s="7"/>
      <c r="FT321" s="7"/>
      <c r="FU321" s="7"/>
      <c r="FV321" s="7"/>
      <c r="FW321" s="7"/>
      <c r="FX321" s="7"/>
      <c r="FY321" s="7"/>
      <c r="FZ321" s="7"/>
      <c r="GA321" s="7"/>
      <c r="GB321" s="7"/>
      <c r="GC321" s="7"/>
      <c r="GD321" s="7"/>
      <c r="GE321" s="7"/>
      <c r="GF321" s="7"/>
      <c r="GG321" s="7"/>
      <c r="GH321" s="7"/>
      <c r="GI321" s="7"/>
      <c r="GJ321" s="7"/>
      <c r="GK321" s="7"/>
      <c r="GL321" s="7"/>
      <c r="GM321" s="7"/>
      <c r="GN321" s="7"/>
      <c r="GO321" s="7"/>
      <c r="GP321" s="7"/>
      <c r="GQ321" s="7"/>
      <c r="GR321" s="7"/>
      <c r="GS321" s="7"/>
      <c r="GT321" s="7"/>
      <c r="GU321" s="7"/>
      <c r="GV321" s="7"/>
      <c r="GW321" s="7"/>
      <c r="GX321" s="7"/>
      <c r="GY321" s="7"/>
      <c r="GZ321" s="7"/>
      <c r="HA321" s="7"/>
      <c r="HB321" s="7"/>
      <c r="HC321" s="7"/>
      <c r="HD321" s="7"/>
      <c r="HE321" s="7"/>
      <c r="HF321" s="7"/>
      <c r="HG321" s="7"/>
      <c r="HH321" s="7"/>
      <c r="HI321" s="7"/>
      <c r="HJ321" s="7"/>
      <c r="HK321" s="7"/>
      <c r="HL321" s="7"/>
      <c r="HM321" s="7"/>
      <c r="HN321" s="7"/>
      <c r="HO321" s="7"/>
      <c r="HP321" s="7"/>
      <c r="HQ321" s="7"/>
      <c r="HR321" s="7"/>
      <c r="HS321" s="7"/>
      <c r="HT321" s="7"/>
      <c r="HU321" s="7"/>
      <c r="HV321" s="7"/>
      <c r="HW321" s="7"/>
      <c r="HX321" s="7"/>
      <c r="HY321" s="7"/>
      <c r="HZ321" s="7"/>
      <c r="IA321" s="7"/>
      <c r="IB321" s="7"/>
      <c r="IC321" s="7"/>
      <c r="ID321" s="7"/>
      <c r="IE321" s="7"/>
      <c r="IF321" s="7"/>
      <c r="IG321" s="7"/>
      <c r="IH321" s="7"/>
      <c r="II321" s="7"/>
      <c r="IJ321" s="7"/>
      <c r="IK321" s="7"/>
      <c r="IL321" s="7"/>
      <c r="IM321" s="7"/>
      <c r="IN321" s="7"/>
      <c r="IO321" s="7"/>
      <c r="IP321" s="7"/>
      <c r="IQ321" s="7"/>
      <c r="IR321" s="7"/>
      <c r="IS321" s="7"/>
      <c r="IT321" s="7"/>
      <c r="IU321" s="7"/>
      <c r="IV321" s="7"/>
    </row>
    <row r="322" spans="1:256">
      <c r="A322" s="233" t="str">
        <f>A91</f>
        <v>Bond 26</v>
      </c>
      <c r="B322" s="230">
        <f t="shared" ref="B322:AG322" si="1096">B91*B242</f>
        <v>0</v>
      </c>
      <c r="C322" s="230">
        <f t="shared" si="1096"/>
        <v>0</v>
      </c>
      <c r="D322" s="230">
        <f t="shared" si="1096"/>
        <v>0</v>
      </c>
      <c r="E322" s="230">
        <f t="shared" si="1096"/>
        <v>0</v>
      </c>
      <c r="F322" s="230">
        <f t="shared" si="1096"/>
        <v>0</v>
      </c>
      <c r="G322" s="230">
        <f t="shared" si="1096"/>
        <v>0</v>
      </c>
      <c r="H322" s="230">
        <f t="shared" si="1096"/>
        <v>0</v>
      </c>
      <c r="I322" s="230">
        <f t="shared" si="1096"/>
        <v>0</v>
      </c>
      <c r="J322" s="230">
        <f t="shared" si="1096"/>
        <v>0</v>
      </c>
      <c r="K322" s="230">
        <f t="shared" si="1096"/>
        <v>0</v>
      </c>
      <c r="L322" s="230">
        <f t="shared" si="1096"/>
        <v>0</v>
      </c>
      <c r="M322" s="230">
        <f t="shared" si="1096"/>
        <v>0</v>
      </c>
      <c r="N322" s="230">
        <f t="shared" si="1096"/>
        <v>0</v>
      </c>
      <c r="O322" s="230">
        <f t="shared" si="1096"/>
        <v>0</v>
      </c>
      <c r="P322" s="230">
        <f t="shared" si="1096"/>
        <v>0</v>
      </c>
      <c r="Q322" s="230">
        <f t="shared" si="1096"/>
        <v>0</v>
      </c>
      <c r="R322" s="230">
        <f t="shared" si="1096"/>
        <v>0</v>
      </c>
      <c r="S322" s="230">
        <f t="shared" si="1096"/>
        <v>0</v>
      </c>
      <c r="T322" s="230">
        <f t="shared" si="1096"/>
        <v>0</v>
      </c>
      <c r="U322" s="230">
        <f t="shared" si="1096"/>
        <v>0</v>
      </c>
      <c r="V322" s="230">
        <f t="shared" si="1096"/>
        <v>0</v>
      </c>
      <c r="W322" s="230">
        <f t="shared" si="1096"/>
        <v>0</v>
      </c>
      <c r="X322" s="230">
        <f t="shared" si="1096"/>
        <v>0</v>
      </c>
      <c r="Y322" s="230">
        <f t="shared" si="1096"/>
        <v>0</v>
      </c>
      <c r="Z322" s="230">
        <f t="shared" si="1096"/>
        <v>0</v>
      </c>
      <c r="AA322" s="230">
        <f t="shared" si="1096"/>
        <v>0</v>
      </c>
      <c r="AB322" s="230">
        <f t="shared" si="1096"/>
        <v>0</v>
      </c>
      <c r="AC322" s="230">
        <f t="shared" si="1096"/>
        <v>0</v>
      </c>
      <c r="AD322" s="230">
        <f t="shared" si="1096"/>
        <v>0</v>
      </c>
      <c r="AE322" s="230">
        <f t="shared" si="1096"/>
        <v>0</v>
      </c>
      <c r="AF322" s="230">
        <f t="shared" si="1096"/>
        <v>0</v>
      </c>
      <c r="AG322" s="230">
        <f t="shared" si="1096"/>
        <v>0</v>
      </c>
      <c r="AH322" s="230">
        <f t="shared" ref="AH322:BM322" si="1097">AH91*AH242</f>
        <v>0</v>
      </c>
      <c r="AI322" s="230">
        <f t="shared" si="1097"/>
        <v>0</v>
      </c>
      <c r="AJ322" s="230">
        <f t="shared" si="1097"/>
        <v>0</v>
      </c>
      <c r="AK322" s="230">
        <f t="shared" si="1097"/>
        <v>0</v>
      </c>
      <c r="AL322" s="230">
        <f t="shared" si="1097"/>
        <v>0</v>
      </c>
      <c r="AM322" s="230">
        <f t="shared" si="1097"/>
        <v>0</v>
      </c>
      <c r="AN322" s="230">
        <f t="shared" si="1097"/>
        <v>0</v>
      </c>
      <c r="AO322" s="230">
        <f t="shared" si="1097"/>
        <v>0</v>
      </c>
      <c r="AP322" s="230">
        <f t="shared" si="1097"/>
        <v>0</v>
      </c>
      <c r="AQ322" s="230">
        <f t="shared" si="1097"/>
        <v>0</v>
      </c>
      <c r="AR322" s="230">
        <f t="shared" si="1097"/>
        <v>0</v>
      </c>
      <c r="AS322" s="230">
        <f t="shared" si="1097"/>
        <v>0</v>
      </c>
      <c r="AT322" s="230">
        <f t="shared" si="1097"/>
        <v>0</v>
      </c>
      <c r="AU322" s="230">
        <f t="shared" si="1097"/>
        <v>0</v>
      </c>
      <c r="AV322" s="230">
        <f t="shared" si="1097"/>
        <v>0</v>
      </c>
      <c r="AW322" s="230">
        <f t="shared" si="1097"/>
        <v>0</v>
      </c>
      <c r="AX322" s="230">
        <f t="shared" si="1097"/>
        <v>0</v>
      </c>
      <c r="AY322" s="230">
        <f t="shared" si="1097"/>
        <v>0</v>
      </c>
      <c r="AZ322" s="230">
        <f t="shared" si="1097"/>
        <v>0</v>
      </c>
      <c r="BA322" s="230">
        <f t="shared" si="1097"/>
        <v>0</v>
      </c>
      <c r="BB322" s="230">
        <f t="shared" si="1097"/>
        <v>0</v>
      </c>
      <c r="BC322" s="230">
        <f t="shared" si="1097"/>
        <v>0</v>
      </c>
      <c r="BD322" s="230">
        <f t="shared" si="1097"/>
        <v>0</v>
      </c>
      <c r="BE322" s="230">
        <f t="shared" si="1097"/>
        <v>0</v>
      </c>
      <c r="BF322" s="230">
        <f t="shared" si="1097"/>
        <v>0</v>
      </c>
      <c r="BG322" s="230">
        <f t="shared" si="1097"/>
        <v>0</v>
      </c>
      <c r="BH322" s="230">
        <f t="shared" si="1097"/>
        <v>0</v>
      </c>
      <c r="BI322" s="230">
        <f t="shared" si="1097"/>
        <v>0</v>
      </c>
      <c r="BJ322" s="230">
        <f t="shared" si="1097"/>
        <v>0</v>
      </c>
      <c r="BK322" s="230">
        <f t="shared" si="1097"/>
        <v>0</v>
      </c>
      <c r="BL322" s="230">
        <f t="shared" si="1097"/>
        <v>0</v>
      </c>
      <c r="BM322" s="230">
        <f t="shared" si="1097"/>
        <v>0</v>
      </c>
      <c r="BN322" s="230">
        <f t="shared" ref="BN322:CB322" si="1098">BN91*BN242</f>
        <v>0</v>
      </c>
      <c r="BO322" s="230">
        <f t="shared" si="1098"/>
        <v>0</v>
      </c>
      <c r="BP322" s="230">
        <f t="shared" si="1098"/>
        <v>0</v>
      </c>
      <c r="BQ322" s="230">
        <f t="shared" si="1098"/>
        <v>0</v>
      </c>
      <c r="BR322" s="230">
        <f t="shared" si="1098"/>
        <v>0</v>
      </c>
      <c r="BS322" s="230">
        <f t="shared" si="1098"/>
        <v>0</v>
      </c>
      <c r="BT322" s="230">
        <f t="shared" si="1098"/>
        <v>0</v>
      </c>
      <c r="BU322" s="230">
        <f t="shared" si="1098"/>
        <v>0</v>
      </c>
      <c r="BV322" s="230">
        <f t="shared" si="1098"/>
        <v>0</v>
      </c>
      <c r="BW322" s="230">
        <f t="shared" si="1098"/>
        <v>0</v>
      </c>
      <c r="BX322" s="230">
        <f t="shared" si="1098"/>
        <v>0</v>
      </c>
      <c r="BY322" s="230">
        <f t="shared" si="1098"/>
        <v>0</v>
      </c>
      <c r="BZ322" s="230">
        <f t="shared" si="1098"/>
        <v>0</v>
      </c>
      <c r="CA322" s="230">
        <f t="shared" si="1098"/>
        <v>0</v>
      </c>
      <c r="CB322" s="230">
        <f t="shared" si="1098"/>
        <v>0</v>
      </c>
      <c r="CC322" s="19"/>
      <c r="CD322" s="19"/>
      <c r="CE322" s="19"/>
      <c r="CH322" s="7"/>
      <c r="CI322" s="7"/>
      <c r="CJ322" s="7"/>
      <c r="CK322" s="7"/>
      <c r="CL322" s="7"/>
      <c r="CM322" s="7"/>
      <c r="CN322" s="7"/>
      <c r="CO322" s="7"/>
      <c r="CP322" s="7"/>
      <c r="CQ322" s="7"/>
      <c r="CR322" s="7"/>
      <c r="CS322" s="7"/>
      <c r="CT322" s="7"/>
      <c r="CU322" s="7"/>
      <c r="CV322" s="7"/>
      <c r="CW322" s="7"/>
      <c r="CX322" s="7"/>
      <c r="CY322" s="7"/>
      <c r="CZ322" s="7"/>
      <c r="DA322" s="7"/>
      <c r="DB322" s="7"/>
      <c r="DC322" s="7"/>
      <c r="DD322" s="7"/>
      <c r="DE322" s="7"/>
      <c r="DF322" s="7"/>
      <c r="DG322" s="7"/>
      <c r="DH322" s="7"/>
      <c r="DI322" s="7"/>
      <c r="DJ322" s="7"/>
      <c r="DK322" s="7"/>
      <c r="DL322" s="7"/>
      <c r="DM322" s="7"/>
      <c r="DN322" s="7"/>
      <c r="DO322" s="7"/>
      <c r="DP322" s="7"/>
      <c r="DQ322" s="7"/>
      <c r="DR322" s="7"/>
      <c r="DS322" s="7"/>
      <c r="DT322" s="7"/>
      <c r="DU322" s="7"/>
      <c r="DV322" s="7"/>
      <c r="DW322" s="7"/>
      <c r="DX322" s="7"/>
      <c r="DY322" s="7"/>
      <c r="DZ322" s="7"/>
      <c r="EA322" s="7"/>
      <c r="EB322" s="7"/>
      <c r="EC322" s="7"/>
      <c r="ED322" s="7"/>
      <c r="EE322" s="7"/>
      <c r="EF322" s="7"/>
      <c r="EG322" s="7"/>
      <c r="EH322" s="7"/>
      <c r="EI322" s="7"/>
      <c r="EJ322" s="7"/>
      <c r="EK322" s="7"/>
      <c r="EL322" s="7"/>
      <c r="EM322" s="7"/>
      <c r="EN322" s="7"/>
      <c r="EO322" s="7"/>
      <c r="EP322" s="7"/>
      <c r="EQ322" s="7"/>
      <c r="ER322" s="7"/>
      <c r="ES322" s="7"/>
      <c r="ET322" s="7"/>
      <c r="EU322" s="7"/>
      <c r="EV322" s="7"/>
      <c r="EW322" s="7"/>
      <c r="EX322" s="7"/>
      <c r="EY322" s="7"/>
      <c r="EZ322" s="7"/>
      <c r="FA322" s="7"/>
      <c r="FB322" s="7"/>
      <c r="FC322" s="7"/>
      <c r="FD322" s="7"/>
      <c r="FE322" s="7"/>
      <c r="FF322" s="7"/>
      <c r="FG322" s="7"/>
      <c r="FH322" s="7"/>
      <c r="FI322" s="7"/>
      <c r="FJ322" s="7"/>
      <c r="FK322" s="7"/>
      <c r="FL322" s="7"/>
      <c r="FM322" s="7"/>
      <c r="FN322" s="7"/>
      <c r="FO322" s="7"/>
      <c r="FP322" s="7"/>
      <c r="FQ322" s="7"/>
      <c r="FR322" s="7"/>
      <c r="FS322" s="7"/>
      <c r="FT322" s="7"/>
      <c r="FU322" s="7"/>
      <c r="FV322" s="7"/>
      <c r="FW322" s="7"/>
      <c r="FX322" s="7"/>
      <c r="FY322" s="7"/>
      <c r="FZ322" s="7"/>
      <c r="GA322" s="7"/>
      <c r="GB322" s="7"/>
      <c r="GC322" s="7"/>
      <c r="GD322" s="7"/>
      <c r="GE322" s="7"/>
      <c r="GF322" s="7"/>
      <c r="GG322" s="7"/>
      <c r="GH322" s="7"/>
      <c r="GI322" s="7"/>
      <c r="GJ322" s="7"/>
      <c r="GK322" s="7"/>
      <c r="GL322" s="7"/>
      <c r="GM322" s="7"/>
      <c r="GN322" s="7"/>
      <c r="GO322" s="7"/>
      <c r="GP322" s="7"/>
      <c r="GQ322" s="7"/>
      <c r="GR322" s="7"/>
      <c r="GS322" s="7"/>
      <c r="GT322" s="7"/>
      <c r="GU322" s="7"/>
      <c r="GV322" s="7"/>
      <c r="GW322" s="7"/>
      <c r="GX322" s="7"/>
      <c r="GY322" s="7"/>
      <c r="GZ322" s="7"/>
      <c r="HA322" s="7"/>
      <c r="HB322" s="7"/>
      <c r="HC322" s="7"/>
      <c r="HD322" s="7"/>
      <c r="HE322" s="7"/>
      <c r="HF322" s="7"/>
      <c r="HG322" s="7"/>
      <c r="HH322" s="7"/>
      <c r="HI322" s="7"/>
      <c r="HJ322" s="7"/>
      <c r="HK322" s="7"/>
      <c r="HL322" s="7"/>
      <c r="HM322" s="7"/>
      <c r="HN322" s="7"/>
      <c r="HO322" s="7"/>
      <c r="HP322" s="7"/>
      <c r="HQ322" s="7"/>
      <c r="HR322" s="7"/>
      <c r="HS322" s="7"/>
      <c r="HT322" s="7"/>
      <c r="HU322" s="7"/>
      <c r="HV322" s="7"/>
      <c r="HW322" s="7"/>
      <c r="HX322" s="7"/>
      <c r="HY322" s="7"/>
      <c r="HZ322" s="7"/>
      <c r="IA322" s="7"/>
      <c r="IB322" s="7"/>
      <c r="IC322" s="7"/>
      <c r="ID322" s="7"/>
      <c r="IE322" s="7"/>
      <c r="IF322" s="7"/>
      <c r="IG322" s="7"/>
      <c r="IH322" s="7"/>
      <c r="II322" s="7"/>
      <c r="IJ322" s="7"/>
      <c r="IK322" s="7"/>
      <c r="IL322" s="7"/>
      <c r="IM322" s="7"/>
      <c r="IN322" s="7"/>
      <c r="IO322" s="7"/>
      <c r="IP322" s="7"/>
      <c r="IQ322" s="7"/>
      <c r="IR322" s="7"/>
      <c r="IS322" s="7"/>
      <c r="IT322" s="7"/>
      <c r="IU322" s="7"/>
      <c r="IV322" s="7"/>
    </row>
    <row r="323" spans="1:256">
      <c r="A323" s="233" t="str">
        <f>A93</f>
        <v>Bond 27</v>
      </c>
      <c r="B323" s="694">
        <f>B247*B93</f>
        <v>0.9624085717094315</v>
      </c>
      <c r="C323" s="694">
        <f t="shared" ref="C323:BN323" si="1099">C247*C93</f>
        <v>0.95419639741292506</v>
      </c>
      <c r="D323" s="694">
        <f t="shared" si="1099"/>
        <v>0.94669683947812211</v>
      </c>
      <c r="E323" s="694">
        <f t="shared" si="1099"/>
        <v>0.9397976042691587</v>
      </c>
      <c r="F323" s="694">
        <f t="shared" si="1099"/>
        <v>0.93335746923829621</v>
      </c>
      <c r="G323" s="694">
        <f t="shared" si="1099"/>
        <v>0.92725227400387589</v>
      </c>
      <c r="H323" s="694">
        <f t="shared" si="1099"/>
        <v>0.92137299351592938</v>
      </c>
      <c r="I323" s="694">
        <f t="shared" si="1099"/>
        <v>0.91562412762011658</v>
      </c>
      <c r="J323" s="694">
        <f t="shared" si="1099"/>
        <v>94.716349220742586</v>
      </c>
      <c r="K323" s="694">
        <f t="shared" si="1099"/>
        <v>0</v>
      </c>
      <c r="L323" s="694">
        <f t="shared" si="1099"/>
        <v>0</v>
      </c>
      <c r="M323" s="694">
        <f t="shared" si="1099"/>
        <v>0</v>
      </c>
      <c r="N323" s="694">
        <f t="shared" si="1099"/>
        <v>0</v>
      </c>
      <c r="O323" s="694">
        <f t="shared" si="1099"/>
        <v>0</v>
      </c>
      <c r="P323" s="694">
        <f t="shared" si="1099"/>
        <v>0</v>
      </c>
      <c r="Q323" s="694">
        <f t="shared" si="1099"/>
        <v>0</v>
      </c>
      <c r="R323" s="694">
        <f t="shared" si="1099"/>
        <v>0</v>
      </c>
      <c r="S323" s="694">
        <f t="shared" si="1099"/>
        <v>0</v>
      </c>
      <c r="T323" s="694">
        <f t="shared" si="1099"/>
        <v>0</v>
      </c>
      <c r="U323" s="694">
        <f t="shared" si="1099"/>
        <v>0</v>
      </c>
      <c r="V323" s="694">
        <f t="shared" si="1099"/>
        <v>0</v>
      </c>
      <c r="W323" s="694">
        <f t="shared" si="1099"/>
        <v>0</v>
      </c>
      <c r="X323" s="694">
        <f t="shared" si="1099"/>
        <v>0</v>
      </c>
      <c r="Y323" s="694">
        <f t="shared" si="1099"/>
        <v>0</v>
      </c>
      <c r="Z323" s="694">
        <f t="shared" si="1099"/>
        <v>0</v>
      </c>
      <c r="AA323" s="694">
        <f t="shared" si="1099"/>
        <v>0</v>
      </c>
      <c r="AB323" s="694">
        <f t="shared" si="1099"/>
        <v>0</v>
      </c>
      <c r="AC323" s="694">
        <f t="shared" si="1099"/>
        <v>0</v>
      </c>
      <c r="AD323" s="694">
        <f t="shared" si="1099"/>
        <v>0</v>
      </c>
      <c r="AE323" s="694">
        <f t="shared" si="1099"/>
        <v>0</v>
      </c>
      <c r="AF323" s="694">
        <f t="shared" si="1099"/>
        <v>0</v>
      </c>
      <c r="AG323" s="694">
        <f t="shared" si="1099"/>
        <v>0</v>
      </c>
      <c r="AH323" s="694">
        <f t="shared" si="1099"/>
        <v>0</v>
      </c>
      <c r="AI323" s="694">
        <f t="shared" si="1099"/>
        <v>0</v>
      </c>
      <c r="AJ323" s="694">
        <f t="shared" si="1099"/>
        <v>0</v>
      </c>
      <c r="AK323" s="694">
        <f t="shared" si="1099"/>
        <v>0</v>
      </c>
      <c r="AL323" s="694">
        <f t="shared" si="1099"/>
        <v>0</v>
      </c>
      <c r="AM323" s="694">
        <f t="shared" si="1099"/>
        <v>0</v>
      </c>
      <c r="AN323" s="694">
        <f t="shared" si="1099"/>
        <v>0</v>
      </c>
      <c r="AO323" s="694">
        <f t="shared" si="1099"/>
        <v>0</v>
      </c>
      <c r="AP323" s="694">
        <f t="shared" si="1099"/>
        <v>0</v>
      </c>
      <c r="AQ323" s="694">
        <f t="shared" si="1099"/>
        <v>0</v>
      </c>
      <c r="AR323" s="694">
        <f t="shared" si="1099"/>
        <v>0</v>
      </c>
      <c r="AS323" s="694">
        <f t="shared" si="1099"/>
        <v>0</v>
      </c>
      <c r="AT323" s="694">
        <f t="shared" si="1099"/>
        <v>0</v>
      </c>
      <c r="AU323" s="694">
        <f t="shared" si="1099"/>
        <v>0</v>
      </c>
      <c r="AV323" s="694">
        <f t="shared" si="1099"/>
        <v>0</v>
      </c>
      <c r="AW323" s="694">
        <f t="shared" si="1099"/>
        <v>0</v>
      </c>
      <c r="AX323" s="694">
        <f t="shared" si="1099"/>
        <v>0</v>
      </c>
      <c r="AY323" s="694">
        <f t="shared" si="1099"/>
        <v>0</v>
      </c>
      <c r="AZ323" s="694">
        <f t="shared" si="1099"/>
        <v>0</v>
      </c>
      <c r="BA323" s="694">
        <f t="shared" si="1099"/>
        <v>0</v>
      </c>
      <c r="BB323" s="694">
        <f t="shared" si="1099"/>
        <v>0</v>
      </c>
      <c r="BC323" s="694">
        <f t="shared" si="1099"/>
        <v>0</v>
      </c>
      <c r="BD323" s="694">
        <f t="shared" si="1099"/>
        <v>0</v>
      </c>
      <c r="BE323" s="694">
        <f t="shared" si="1099"/>
        <v>0</v>
      </c>
      <c r="BF323" s="694">
        <f t="shared" si="1099"/>
        <v>0</v>
      </c>
      <c r="BG323" s="694">
        <f t="shared" si="1099"/>
        <v>0</v>
      </c>
      <c r="BH323" s="694">
        <f t="shared" si="1099"/>
        <v>0</v>
      </c>
      <c r="BI323" s="694">
        <f t="shared" si="1099"/>
        <v>0</v>
      </c>
      <c r="BJ323" s="694">
        <f t="shared" si="1099"/>
        <v>0</v>
      </c>
      <c r="BK323" s="694">
        <f t="shared" si="1099"/>
        <v>0</v>
      </c>
      <c r="BL323" s="694">
        <f t="shared" si="1099"/>
        <v>0</v>
      </c>
      <c r="BM323" s="694">
        <f t="shared" si="1099"/>
        <v>0</v>
      </c>
      <c r="BN323" s="694">
        <f t="shared" si="1099"/>
        <v>0</v>
      </c>
      <c r="BO323" s="694">
        <f t="shared" ref="BO323:CB323" si="1100">BO247*BO93</f>
        <v>0</v>
      </c>
      <c r="BP323" s="694">
        <f t="shared" si="1100"/>
        <v>0</v>
      </c>
      <c r="BQ323" s="694">
        <f t="shared" si="1100"/>
        <v>0</v>
      </c>
      <c r="BR323" s="694">
        <f t="shared" si="1100"/>
        <v>0</v>
      </c>
      <c r="BS323" s="694">
        <f t="shared" si="1100"/>
        <v>0</v>
      </c>
      <c r="BT323" s="694">
        <f t="shared" si="1100"/>
        <v>0</v>
      </c>
      <c r="BU323" s="694">
        <f t="shared" si="1100"/>
        <v>0</v>
      </c>
      <c r="BV323" s="694">
        <f t="shared" si="1100"/>
        <v>0</v>
      </c>
      <c r="BW323" s="694">
        <f t="shared" si="1100"/>
        <v>0</v>
      </c>
      <c r="BX323" s="694">
        <f t="shared" si="1100"/>
        <v>0</v>
      </c>
      <c r="BY323" s="694">
        <f t="shared" si="1100"/>
        <v>0</v>
      </c>
      <c r="BZ323" s="694">
        <f t="shared" si="1100"/>
        <v>0</v>
      </c>
      <c r="CA323" s="694">
        <f t="shared" si="1100"/>
        <v>0</v>
      </c>
      <c r="CB323" s="694">
        <f t="shared" si="1100"/>
        <v>0</v>
      </c>
      <c r="CC323" s="19"/>
      <c r="CD323" s="19"/>
      <c r="CE323" s="19"/>
      <c r="CH323" s="693"/>
      <c r="CI323" s="693"/>
      <c r="CJ323" s="693"/>
      <c r="CK323" s="693"/>
      <c r="CL323" s="693"/>
      <c r="CM323" s="693"/>
      <c r="CN323" s="693"/>
      <c r="CO323" s="693"/>
      <c r="CP323" s="693"/>
      <c r="CQ323" s="693"/>
      <c r="CR323" s="693"/>
      <c r="CS323" s="693"/>
      <c r="CT323" s="693"/>
      <c r="CU323" s="693"/>
      <c r="CV323" s="693"/>
      <c r="CW323" s="693"/>
      <c r="CX323" s="693"/>
      <c r="CY323" s="693"/>
      <c r="CZ323" s="693"/>
      <c r="DA323" s="693"/>
      <c r="DB323" s="693"/>
      <c r="DC323" s="693"/>
      <c r="DD323" s="693"/>
      <c r="DE323" s="693"/>
      <c r="DF323" s="693"/>
      <c r="DG323" s="693"/>
      <c r="DH323" s="693"/>
      <c r="DI323" s="7"/>
      <c r="DJ323" s="7"/>
      <c r="DK323" s="7"/>
      <c r="DL323" s="7"/>
      <c r="DM323" s="7"/>
      <c r="DN323" s="7"/>
      <c r="DO323" s="7"/>
      <c r="DP323" s="7"/>
      <c r="DQ323" s="7"/>
      <c r="DR323" s="7"/>
      <c r="DS323" s="7"/>
      <c r="DT323" s="7"/>
      <c r="DU323" s="7"/>
      <c r="DV323" s="7"/>
      <c r="DW323" s="7"/>
      <c r="DX323" s="7"/>
      <c r="DY323" s="7"/>
      <c r="DZ323" s="7"/>
      <c r="EA323" s="7"/>
      <c r="EB323" s="7"/>
      <c r="EC323" s="7"/>
      <c r="ED323" s="7"/>
      <c r="EE323" s="7"/>
      <c r="EF323" s="7"/>
      <c r="EG323" s="7"/>
      <c r="EH323" s="7"/>
      <c r="EI323" s="7"/>
      <c r="EJ323" s="7"/>
      <c r="EK323" s="7"/>
      <c r="EL323" s="7"/>
      <c r="EM323" s="7"/>
      <c r="EN323" s="7"/>
      <c r="EO323" s="7"/>
      <c r="EP323" s="7"/>
      <c r="EQ323" s="7"/>
      <c r="ER323" s="7"/>
      <c r="ES323" s="7"/>
      <c r="ET323" s="7"/>
      <c r="EU323" s="7"/>
      <c r="EV323" s="7"/>
      <c r="EW323" s="7"/>
      <c r="EX323" s="7"/>
      <c r="EY323" s="7"/>
      <c r="EZ323" s="7"/>
      <c r="FA323" s="7"/>
      <c r="FB323" s="7"/>
      <c r="FC323" s="7"/>
      <c r="FD323" s="7"/>
      <c r="FE323" s="7"/>
      <c r="FF323" s="7"/>
      <c r="FG323" s="7"/>
      <c r="FH323" s="7"/>
      <c r="FI323" s="7"/>
      <c r="FJ323" s="7"/>
      <c r="FK323" s="7"/>
      <c r="FL323" s="7"/>
      <c r="FM323" s="7"/>
      <c r="FN323" s="7"/>
      <c r="FO323" s="7"/>
      <c r="FP323" s="7"/>
      <c r="FQ323" s="7"/>
      <c r="FR323" s="7"/>
      <c r="FS323" s="7"/>
      <c r="FT323" s="7"/>
      <c r="FU323" s="7"/>
      <c r="FV323" s="7"/>
      <c r="FW323" s="7"/>
      <c r="FX323" s="7"/>
      <c r="FY323" s="7"/>
      <c r="FZ323" s="7"/>
      <c r="GA323" s="7"/>
      <c r="GB323" s="7"/>
      <c r="GC323" s="7"/>
      <c r="GD323" s="7"/>
      <c r="GE323" s="7"/>
      <c r="GF323" s="7"/>
      <c r="GG323" s="7"/>
      <c r="GH323" s="7"/>
      <c r="GI323" s="7"/>
      <c r="GJ323" s="7"/>
      <c r="GK323" s="7"/>
      <c r="GL323" s="7"/>
      <c r="GM323" s="7"/>
      <c r="GN323" s="7"/>
      <c r="GO323" s="7"/>
      <c r="GP323" s="7"/>
      <c r="GQ323" s="7"/>
      <c r="GR323" s="7"/>
      <c r="GS323" s="7"/>
      <c r="GT323" s="7"/>
      <c r="GU323" s="7"/>
      <c r="GV323" s="7"/>
      <c r="GW323" s="7"/>
      <c r="GX323" s="7"/>
      <c r="GY323" s="7"/>
      <c r="GZ323" s="7"/>
      <c r="HA323" s="7"/>
      <c r="HB323" s="7"/>
      <c r="HC323" s="7"/>
      <c r="HD323" s="7"/>
      <c r="HE323" s="7"/>
      <c r="HF323" s="7"/>
      <c r="HG323" s="7"/>
      <c r="HH323" s="7"/>
      <c r="HI323" s="7"/>
      <c r="HJ323" s="7"/>
      <c r="HK323" s="7"/>
      <c r="HL323" s="7"/>
      <c r="HM323" s="7"/>
      <c r="HN323" s="7"/>
      <c r="HO323" s="7"/>
      <c r="HP323" s="7"/>
      <c r="HQ323" s="7"/>
      <c r="HR323" s="7"/>
      <c r="HS323" s="7"/>
      <c r="HT323" s="7"/>
      <c r="HU323" s="7"/>
      <c r="HV323" s="7"/>
      <c r="HW323" s="7"/>
      <c r="HX323" s="7"/>
      <c r="HY323" s="7"/>
      <c r="HZ323" s="7"/>
      <c r="IA323" s="7"/>
      <c r="IB323" s="7"/>
      <c r="IC323" s="7"/>
      <c r="ID323" s="7"/>
      <c r="IE323" s="7"/>
      <c r="IF323" s="7"/>
      <c r="IG323" s="7"/>
      <c r="IH323" s="7"/>
      <c r="II323" s="7"/>
      <c r="IJ323" s="7"/>
      <c r="IK323" s="7"/>
      <c r="IL323" s="7"/>
      <c r="IM323" s="7"/>
      <c r="IN323" s="7"/>
      <c r="IO323" s="7"/>
      <c r="IP323" s="7"/>
      <c r="IQ323" s="7"/>
      <c r="IR323" s="7"/>
      <c r="IS323" s="7"/>
      <c r="IT323" s="7"/>
      <c r="IU323" s="7"/>
      <c r="IV323" s="7"/>
    </row>
    <row r="324" spans="1:256">
      <c r="A324" s="233" t="str">
        <f>A95</f>
        <v>Bond 28</v>
      </c>
      <c r="B324" s="694">
        <f>B252*B95</f>
        <v>0</v>
      </c>
      <c r="C324" s="694">
        <f t="shared" ref="C324:BN324" si="1101">C252*C95</f>
        <v>0</v>
      </c>
      <c r="D324" s="694">
        <f t="shared" si="1101"/>
        <v>0</v>
      </c>
      <c r="E324" s="694">
        <f t="shared" si="1101"/>
        <v>0</v>
      </c>
      <c r="F324" s="694">
        <f t="shared" si="1101"/>
        <v>0</v>
      </c>
      <c r="G324" s="694">
        <f t="shared" si="1101"/>
        <v>0</v>
      </c>
      <c r="H324" s="694">
        <f t="shared" si="1101"/>
        <v>0</v>
      </c>
      <c r="I324" s="694">
        <f t="shared" si="1101"/>
        <v>0</v>
      </c>
      <c r="J324" s="694">
        <f t="shared" si="1101"/>
        <v>0</v>
      </c>
      <c r="K324" s="694">
        <f t="shared" si="1101"/>
        <v>0</v>
      </c>
      <c r="L324" s="694">
        <f t="shared" si="1101"/>
        <v>0</v>
      </c>
      <c r="M324" s="694">
        <f t="shared" si="1101"/>
        <v>0</v>
      </c>
      <c r="N324" s="694">
        <f t="shared" si="1101"/>
        <v>0</v>
      </c>
      <c r="O324" s="694">
        <f t="shared" si="1101"/>
        <v>0</v>
      </c>
      <c r="P324" s="694">
        <f t="shared" si="1101"/>
        <v>0</v>
      </c>
      <c r="Q324" s="694">
        <f t="shared" si="1101"/>
        <v>0</v>
      </c>
      <c r="R324" s="694">
        <f t="shared" si="1101"/>
        <v>0</v>
      </c>
      <c r="S324" s="694">
        <f t="shared" si="1101"/>
        <v>0</v>
      </c>
      <c r="T324" s="694">
        <f t="shared" si="1101"/>
        <v>0</v>
      </c>
      <c r="U324" s="694">
        <f t="shared" si="1101"/>
        <v>0</v>
      </c>
      <c r="V324" s="694">
        <f t="shared" si="1101"/>
        <v>0</v>
      </c>
      <c r="W324" s="694">
        <f t="shared" si="1101"/>
        <v>0</v>
      </c>
      <c r="X324" s="694">
        <f t="shared" si="1101"/>
        <v>0</v>
      </c>
      <c r="Y324" s="694">
        <f t="shared" si="1101"/>
        <v>0</v>
      </c>
      <c r="Z324" s="694">
        <f t="shared" si="1101"/>
        <v>0</v>
      </c>
      <c r="AA324" s="694">
        <f t="shared" si="1101"/>
        <v>0</v>
      </c>
      <c r="AB324" s="694">
        <f t="shared" si="1101"/>
        <v>0</v>
      </c>
      <c r="AC324" s="694">
        <f t="shared" si="1101"/>
        <v>0</v>
      </c>
      <c r="AD324" s="694">
        <f t="shared" si="1101"/>
        <v>0</v>
      </c>
      <c r="AE324" s="694">
        <f t="shared" si="1101"/>
        <v>0</v>
      </c>
      <c r="AF324" s="694">
        <f t="shared" si="1101"/>
        <v>0</v>
      </c>
      <c r="AG324" s="694">
        <f t="shared" si="1101"/>
        <v>0</v>
      </c>
      <c r="AH324" s="694">
        <f t="shared" si="1101"/>
        <v>0</v>
      </c>
      <c r="AI324" s="694">
        <f t="shared" si="1101"/>
        <v>0</v>
      </c>
      <c r="AJ324" s="694">
        <f t="shared" si="1101"/>
        <v>0</v>
      </c>
      <c r="AK324" s="694">
        <f t="shared" si="1101"/>
        <v>0</v>
      </c>
      <c r="AL324" s="694">
        <f t="shared" si="1101"/>
        <v>0</v>
      </c>
      <c r="AM324" s="694">
        <f t="shared" si="1101"/>
        <v>0</v>
      </c>
      <c r="AN324" s="694">
        <f t="shared" si="1101"/>
        <v>0</v>
      </c>
      <c r="AO324" s="694">
        <f t="shared" si="1101"/>
        <v>0</v>
      </c>
      <c r="AP324" s="694">
        <f t="shared" si="1101"/>
        <v>0</v>
      </c>
      <c r="AQ324" s="694">
        <f t="shared" si="1101"/>
        <v>0</v>
      </c>
      <c r="AR324" s="694">
        <f t="shared" si="1101"/>
        <v>0</v>
      </c>
      <c r="AS324" s="694">
        <f t="shared" si="1101"/>
        <v>0</v>
      </c>
      <c r="AT324" s="694">
        <f t="shared" si="1101"/>
        <v>0</v>
      </c>
      <c r="AU324" s="694">
        <f t="shared" si="1101"/>
        <v>0</v>
      </c>
      <c r="AV324" s="694">
        <f t="shared" si="1101"/>
        <v>0</v>
      </c>
      <c r="AW324" s="694">
        <f t="shared" si="1101"/>
        <v>0</v>
      </c>
      <c r="AX324" s="694">
        <f t="shared" si="1101"/>
        <v>0</v>
      </c>
      <c r="AY324" s="694">
        <f t="shared" si="1101"/>
        <v>0</v>
      </c>
      <c r="AZ324" s="694">
        <f t="shared" si="1101"/>
        <v>0</v>
      </c>
      <c r="BA324" s="694">
        <f t="shared" si="1101"/>
        <v>0</v>
      </c>
      <c r="BB324" s="694">
        <f t="shared" si="1101"/>
        <v>0</v>
      </c>
      <c r="BC324" s="694">
        <f t="shared" si="1101"/>
        <v>0</v>
      </c>
      <c r="BD324" s="694">
        <f t="shared" si="1101"/>
        <v>0</v>
      </c>
      <c r="BE324" s="694">
        <f t="shared" si="1101"/>
        <v>0</v>
      </c>
      <c r="BF324" s="694">
        <f t="shared" si="1101"/>
        <v>0</v>
      </c>
      <c r="BG324" s="694">
        <f t="shared" si="1101"/>
        <v>0</v>
      </c>
      <c r="BH324" s="694">
        <f t="shared" si="1101"/>
        <v>0</v>
      </c>
      <c r="BI324" s="694">
        <f t="shared" si="1101"/>
        <v>0</v>
      </c>
      <c r="BJ324" s="694">
        <f t="shared" si="1101"/>
        <v>0</v>
      </c>
      <c r="BK324" s="694">
        <f t="shared" si="1101"/>
        <v>0</v>
      </c>
      <c r="BL324" s="694">
        <f t="shared" si="1101"/>
        <v>0</v>
      </c>
      <c r="BM324" s="694">
        <f t="shared" si="1101"/>
        <v>0</v>
      </c>
      <c r="BN324" s="694">
        <f t="shared" si="1101"/>
        <v>0</v>
      </c>
      <c r="BO324" s="694">
        <f t="shared" ref="BO324:CB324" si="1102">BO252*BO95</f>
        <v>0</v>
      </c>
      <c r="BP324" s="694">
        <f t="shared" si="1102"/>
        <v>0</v>
      </c>
      <c r="BQ324" s="694">
        <f t="shared" si="1102"/>
        <v>0</v>
      </c>
      <c r="BR324" s="694">
        <f t="shared" si="1102"/>
        <v>0</v>
      </c>
      <c r="BS324" s="694">
        <f t="shared" si="1102"/>
        <v>0</v>
      </c>
      <c r="BT324" s="694">
        <f t="shared" si="1102"/>
        <v>0</v>
      </c>
      <c r="BU324" s="694">
        <f t="shared" si="1102"/>
        <v>0</v>
      </c>
      <c r="BV324" s="694">
        <f t="shared" si="1102"/>
        <v>0</v>
      </c>
      <c r="BW324" s="694">
        <f t="shared" si="1102"/>
        <v>0</v>
      </c>
      <c r="BX324" s="694">
        <f t="shared" si="1102"/>
        <v>0</v>
      </c>
      <c r="BY324" s="694">
        <f t="shared" si="1102"/>
        <v>0</v>
      </c>
      <c r="BZ324" s="694">
        <f t="shared" si="1102"/>
        <v>0</v>
      </c>
      <c r="CA324" s="694">
        <f t="shared" si="1102"/>
        <v>0</v>
      </c>
      <c r="CB324" s="694">
        <f t="shared" si="1102"/>
        <v>0</v>
      </c>
      <c r="CC324" s="19"/>
      <c r="CD324" s="19"/>
      <c r="CE324" s="19"/>
      <c r="CH324" s="693"/>
      <c r="CI324" s="693"/>
      <c r="CJ324" s="693"/>
      <c r="CK324" s="693"/>
      <c r="CL324" s="693"/>
      <c r="CM324" s="693"/>
      <c r="CN324" s="693"/>
      <c r="CO324" s="693"/>
      <c r="CP324" s="693"/>
      <c r="CQ324" s="693"/>
      <c r="CR324" s="693"/>
      <c r="CS324" s="693"/>
      <c r="CT324" s="693"/>
      <c r="CU324" s="693"/>
      <c r="CV324" s="693"/>
      <c r="CW324" s="693"/>
      <c r="CX324" s="693"/>
      <c r="CY324" s="693"/>
      <c r="CZ324" s="693"/>
      <c r="DA324" s="693"/>
      <c r="DB324" s="693"/>
      <c r="DC324" s="693"/>
      <c r="DD324" s="693"/>
      <c r="DE324" s="693"/>
      <c r="DF324" s="693"/>
      <c r="DG324" s="693"/>
      <c r="DH324" s="693"/>
      <c r="DI324" s="7"/>
      <c r="DJ324" s="7"/>
      <c r="DK324" s="7"/>
      <c r="DL324" s="7"/>
      <c r="DM324" s="7"/>
      <c r="DN324" s="7"/>
      <c r="DO324" s="7"/>
      <c r="DP324" s="7"/>
      <c r="DQ324" s="7"/>
      <c r="DR324" s="7"/>
      <c r="DS324" s="7"/>
      <c r="DT324" s="7"/>
      <c r="DU324" s="7"/>
      <c r="DV324" s="7"/>
      <c r="DW324" s="7"/>
      <c r="DX324" s="7"/>
      <c r="DY324" s="7"/>
      <c r="DZ324" s="7"/>
      <c r="EA324" s="7"/>
      <c r="EB324" s="7"/>
      <c r="EC324" s="7"/>
      <c r="ED324" s="7"/>
      <c r="EE324" s="7"/>
      <c r="EF324" s="7"/>
      <c r="EG324" s="7"/>
      <c r="EH324" s="7"/>
      <c r="EI324" s="7"/>
      <c r="EJ324" s="7"/>
      <c r="EK324" s="7"/>
      <c r="EL324" s="7"/>
      <c r="EM324" s="7"/>
      <c r="EN324" s="7"/>
      <c r="EO324" s="7"/>
      <c r="EP324" s="7"/>
      <c r="EQ324" s="7"/>
      <c r="ER324" s="7"/>
      <c r="ES324" s="7"/>
      <c r="ET324" s="7"/>
      <c r="EU324" s="7"/>
      <c r="EV324" s="7"/>
      <c r="EW324" s="7"/>
      <c r="EX324" s="7"/>
      <c r="EY324" s="7"/>
      <c r="EZ324" s="7"/>
      <c r="FA324" s="7"/>
      <c r="FB324" s="7"/>
      <c r="FC324" s="7"/>
      <c r="FD324" s="7"/>
      <c r="FE324" s="7"/>
      <c r="FF324" s="7"/>
      <c r="FG324" s="7"/>
      <c r="FH324" s="7"/>
      <c r="FI324" s="7"/>
      <c r="FJ324" s="7"/>
      <c r="FK324" s="7"/>
      <c r="FL324" s="7"/>
      <c r="FM324" s="7"/>
      <c r="FN324" s="7"/>
      <c r="FO324" s="7"/>
      <c r="FP324" s="7"/>
      <c r="FQ324" s="7"/>
      <c r="FR324" s="7"/>
      <c r="FS324" s="7"/>
      <c r="FT324" s="7"/>
      <c r="FU324" s="7"/>
      <c r="FV324" s="7"/>
      <c r="FW324" s="7"/>
      <c r="FX324" s="7"/>
      <c r="FY324" s="7"/>
      <c r="FZ324" s="7"/>
      <c r="GA324" s="7"/>
      <c r="GB324" s="7"/>
      <c r="GC324" s="7"/>
      <c r="GD324" s="7"/>
      <c r="GE324" s="7"/>
      <c r="GF324" s="7"/>
      <c r="GG324" s="7"/>
      <c r="GH324" s="7"/>
      <c r="GI324" s="7"/>
      <c r="GJ324" s="7"/>
      <c r="GK324" s="7"/>
      <c r="GL324" s="7"/>
      <c r="GM324" s="7"/>
      <c r="GN324" s="7"/>
      <c r="GO324" s="7"/>
      <c r="GP324" s="7"/>
      <c r="GQ324" s="7"/>
      <c r="GR324" s="7"/>
      <c r="GS324" s="7"/>
      <c r="GT324" s="7"/>
      <c r="GU324" s="7"/>
      <c r="GV324" s="7"/>
      <c r="GW324" s="7"/>
      <c r="GX324" s="7"/>
      <c r="GY324" s="7"/>
      <c r="GZ324" s="7"/>
      <c r="HA324" s="7"/>
      <c r="HB324" s="7"/>
      <c r="HC324" s="7"/>
      <c r="HD324" s="7"/>
      <c r="HE324" s="7"/>
      <c r="HF324" s="7"/>
      <c r="HG324" s="7"/>
      <c r="HH324" s="7"/>
      <c r="HI324" s="7"/>
      <c r="HJ324" s="7"/>
      <c r="HK324" s="7"/>
      <c r="HL324" s="7"/>
      <c r="HM324" s="7"/>
      <c r="HN324" s="7"/>
      <c r="HO324" s="7"/>
      <c r="HP324" s="7"/>
      <c r="HQ324" s="7"/>
      <c r="HR324" s="7"/>
      <c r="HS324" s="7"/>
      <c r="HT324" s="7"/>
      <c r="HU324" s="7"/>
      <c r="HV324" s="7"/>
      <c r="HW324" s="7"/>
      <c r="HX324" s="7"/>
      <c r="HY324" s="7"/>
      <c r="HZ324" s="7"/>
      <c r="IA324" s="7"/>
      <c r="IB324" s="7"/>
      <c r="IC324" s="7"/>
      <c r="ID324" s="7"/>
      <c r="IE324" s="7"/>
      <c r="IF324" s="7"/>
      <c r="IG324" s="7"/>
      <c r="IH324" s="7"/>
      <c r="II324" s="7"/>
      <c r="IJ324" s="7"/>
      <c r="IK324" s="7"/>
      <c r="IL324" s="7"/>
      <c r="IM324" s="7"/>
      <c r="IN324" s="7"/>
      <c r="IO324" s="7"/>
      <c r="IP324" s="7"/>
      <c r="IQ324" s="7"/>
      <c r="IR324" s="7"/>
      <c r="IS324" s="7"/>
      <c r="IT324" s="7"/>
      <c r="IU324" s="7"/>
      <c r="IV324" s="7"/>
    </row>
    <row r="325" spans="1:256">
      <c r="A325" s="233" t="str">
        <f>A97</f>
        <v>Bond 29</v>
      </c>
      <c r="B325" s="694">
        <f>B257*B97</f>
        <v>1.2362698617990751</v>
      </c>
      <c r="C325" s="694">
        <f t="shared" ref="C325:BN325" si="1103">C257*C97</f>
        <v>1.225235348470179</v>
      </c>
      <c r="D325" s="694">
        <f t="shared" si="1103"/>
        <v>1.2151088541806958</v>
      </c>
      <c r="E325" s="694">
        <f t="shared" si="1103"/>
        <v>1.2060105833314878</v>
      </c>
      <c r="F325" s="694">
        <f t="shared" si="1103"/>
        <v>1.1973943435158605</v>
      </c>
      <c r="G325" s="694">
        <f t="shared" si="1103"/>
        <v>1.1894714865372351</v>
      </c>
      <c r="H325" s="694">
        <f t="shared" si="1103"/>
        <v>1.1817344057886505</v>
      </c>
      <c r="I325" s="694">
        <f t="shared" si="1103"/>
        <v>1.1743941562259159</v>
      </c>
      <c r="J325" s="694">
        <f t="shared" si="1103"/>
        <v>1.1670045970063772</v>
      </c>
      <c r="K325" s="694">
        <f t="shared" si="1103"/>
        <v>1.1597922991906198</v>
      </c>
      <c r="L325" s="694">
        <f t="shared" si="1103"/>
        <v>1.1523868070850478</v>
      </c>
      <c r="M325" s="694">
        <f t="shared" si="1103"/>
        <v>1.1449609513469678</v>
      </c>
      <c r="N325" s="694">
        <f t="shared" si="1103"/>
        <v>1.1371577353833702</v>
      </c>
      <c r="O325" s="694">
        <f t="shared" si="1103"/>
        <v>1.1292681953588446</v>
      </c>
      <c r="P325" s="694">
        <f t="shared" si="1103"/>
        <v>1.1208937054691748</v>
      </c>
      <c r="Q325" s="694">
        <f t="shared" si="1103"/>
        <v>1.1123680495747763</v>
      </c>
      <c r="R325" s="694">
        <f t="shared" si="1103"/>
        <v>1.1032806281677505</v>
      </c>
      <c r="S325" s="694">
        <f t="shared" si="1103"/>
        <v>1.0940112916526381</v>
      </c>
      <c r="T325" s="694">
        <f t="shared" si="1103"/>
        <v>1.0841852603923661</v>
      </c>
      <c r="U325" s="694">
        <f t="shared" si="1103"/>
        <v>87.696770557535544</v>
      </c>
      <c r="V325" s="694">
        <f t="shared" si="1103"/>
        <v>0</v>
      </c>
      <c r="W325" s="694">
        <f t="shared" si="1103"/>
        <v>0</v>
      </c>
      <c r="X325" s="694">
        <f t="shared" si="1103"/>
        <v>0</v>
      </c>
      <c r="Y325" s="694">
        <f t="shared" si="1103"/>
        <v>0</v>
      </c>
      <c r="Z325" s="694">
        <f t="shared" si="1103"/>
        <v>0</v>
      </c>
      <c r="AA325" s="694">
        <f t="shared" si="1103"/>
        <v>0</v>
      </c>
      <c r="AB325" s="694">
        <f t="shared" si="1103"/>
        <v>0</v>
      </c>
      <c r="AC325" s="694">
        <f t="shared" si="1103"/>
        <v>0</v>
      </c>
      <c r="AD325" s="694">
        <f t="shared" si="1103"/>
        <v>0</v>
      </c>
      <c r="AE325" s="694">
        <f t="shared" si="1103"/>
        <v>0</v>
      </c>
      <c r="AF325" s="694">
        <f t="shared" si="1103"/>
        <v>0</v>
      </c>
      <c r="AG325" s="694">
        <f t="shared" si="1103"/>
        <v>0</v>
      </c>
      <c r="AH325" s="694">
        <f t="shared" si="1103"/>
        <v>0</v>
      </c>
      <c r="AI325" s="694">
        <f t="shared" si="1103"/>
        <v>0</v>
      </c>
      <c r="AJ325" s="694">
        <f t="shared" si="1103"/>
        <v>0</v>
      </c>
      <c r="AK325" s="694">
        <f t="shared" si="1103"/>
        <v>0</v>
      </c>
      <c r="AL325" s="694">
        <f t="shared" si="1103"/>
        <v>0</v>
      </c>
      <c r="AM325" s="694">
        <f t="shared" si="1103"/>
        <v>0</v>
      </c>
      <c r="AN325" s="694">
        <f t="shared" si="1103"/>
        <v>0</v>
      </c>
      <c r="AO325" s="694">
        <f t="shared" si="1103"/>
        <v>0</v>
      </c>
      <c r="AP325" s="694">
        <f t="shared" si="1103"/>
        <v>0</v>
      </c>
      <c r="AQ325" s="694">
        <f t="shared" si="1103"/>
        <v>0</v>
      </c>
      <c r="AR325" s="694">
        <f t="shared" si="1103"/>
        <v>0</v>
      </c>
      <c r="AS325" s="694">
        <f t="shared" si="1103"/>
        <v>0</v>
      </c>
      <c r="AT325" s="694">
        <f t="shared" si="1103"/>
        <v>0</v>
      </c>
      <c r="AU325" s="694">
        <f t="shared" si="1103"/>
        <v>0</v>
      </c>
      <c r="AV325" s="694">
        <f t="shared" si="1103"/>
        <v>0</v>
      </c>
      <c r="AW325" s="694">
        <f t="shared" si="1103"/>
        <v>0</v>
      </c>
      <c r="AX325" s="694">
        <f t="shared" si="1103"/>
        <v>0</v>
      </c>
      <c r="AY325" s="694">
        <f t="shared" si="1103"/>
        <v>0</v>
      </c>
      <c r="AZ325" s="694">
        <f t="shared" si="1103"/>
        <v>0</v>
      </c>
      <c r="BA325" s="694">
        <f t="shared" si="1103"/>
        <v>0</v>
      </c>
      <c r="BB325" s="694">
        <f t="shared" si="1103"/>
        <v>0</v>
      </c>
      <c r="BC325" s="694">
        <f t="shared" si="1103"/>
        <v>0</v>
      </c>
      <c r="BD325" s="694">
        <f t="shared" si="1103"/>
        <v>0</v>
      </c>
      <c r="BE325" s="694">
        <f t="shared" si="1103"/>
        <v>0</v>
      </c>
      <c r="BF325" s="694">
        <f t="shared" si="1103"/>
        <v>0</v>
      </c>
      <c r="BG325" s="694">
        <f t="shared" si="1103"/>
        <v>0</v>
      </c>
      <c r="BH325" s="694">
        <f t="shared" si="1103"/>
        <v>0</v>
      </c>
      <c r="BI325" s="694">
        <f t="shared" si="1103"/>
        <v>0</v>
      </c>
      <c r="BJ325" s="694">
        <f t="shared" si="1103"/>
        <v>0</v>
      </c>
      <c r="BK325" s="694">
        <f t="shared" si="1103"/>
        <v>0</v>
      </c>
      <c r="BL325" s="694">
        <f t="shared" si="1103"/>
        <v>0</v>
      </c>
      <c r="BM325" s="694">
        <f t="shared" si="1103"/>
        <v>0</v>
      </c>
      <c r="BN325" s="694">
        <f t="shared" si="1103"/>
        <v>0</v>
      </c>
      <c r="BO325" s="694">
        <f t="shared" ref="BO325:CB325" si="1104">BO257*BO97</f>
        <v>0</v>
      </c>
      <c r="BP325" s="694">
        <f t="shared" si="1104"/>
        <v>0</v>
      </c>
      <c r="BQ325" s="694">
        <f t="shared" si="1104"/>
        <v>0</v>
      </c>
      <c r="BR325" s="694">
        <f t="shared" si="1104"/>
        <v>0</v>
      </c>
      <c r="BS325" s="694">
        <f t="shared" si="1104"/>
        <v>0</v>
      </c>
      <c r="BT325" s="694">
        <f t="shared" si="1104"/>
        <v>0</v>
      </c>
      <c r="BU325" s="694">
        <f t="shared" si="1104"/>
        <v>0</v>
      </c>
      <c r="BV325" s="694">
        <f t="shared" si="1104"/>
        <v>0</v>
      </c>
      <c r="BW325" s="694">
        <f t="shared" si="1104"/>
        <v>0</v>
      </c>
      <c r="BX325" s="694">
        <f t="shared" si="1104"/>
        <v>0</v>
      </c>
      <c r="BY325" s="694">
        <f t="shared" si="1104"/>
        <v>0</v>
      </c>
      <c r="BZ325" s="694">
        <f t="shared" si="1104"/>
        <v>0</v>
      </c>
      <c r="CA325" s="694">
        <f t="shared" si="1104"/>
        <v>0</v>
      </c>
      <c r="CB325" s="694">
        <f t="shared" si="1104"/>
        <v>0</v>
      </c>
      <c r="CC325" s="19"/>
      <c r="CD325" s="19"/>
      <c r="CE325" s="19"/>
      <c r="CH325" s="693"/>
      <c r="CI325" s="693"/>
      <c r="CJ325" s="693"/>
      <c r="CK325" s="693"/>
      <c r="CL325" s="693"/>
      <c r="CM325" s="693"/>
      <c r="CN325" s="693"/>
      <c r="CO325" s="693"/>
      <c r="CP325" s="693"/>
      <c r="CQ325" s="693"/>
      <c r="CR325" s="693"/>
      <c r="CS325" s="693"/>
      <c r="CT325" s="693"/>
      <c r="CU325" s="693"/>
      <c r="CV325" s="693"/>
      <c r="CW325" s="693"/>
      <c r="CX325" s="693"/>
      <c r="CY325" s="693"/>
      <c r="CZ325" s="693"/>
      <c r="DA325" s="693"/>
      <c r="DB325" s="693"/>
      <c r="DC325" s="693"/>
      <c r="DD325" s="693"/>
      <c r="DE325" s="693"/>
      <c r="DF325" s="693"/>
      <c r="DG325" s="693"/>
      <c r="DH325" s="693"/>
      <c r="DI325" s="7"/>
      <c r="DJ325" s="7"/>
      <c r="DK325" s="7"/>
      <c r="DL325" s="7"/>
      <c r="DM325" s="7"/>
      <c r="DN325" s="7"/>
      <c r="DO325" s="7"/>
      <c r="DP325" s="7"/>
      <c r="DQ325" s="7"/>
      <c r="DR325" s="7"/>
      <c r="DS325" s="7"/>
      <c r="DT325" s="7"/>
      <c r="DU325" s="7"/>
      <c r="DV325" s="7"/>
      <c r="DW325" s="7"/>
      <c r="DX325" s="7"/>
      <c r="DY325" s="7"/>
      <c r="DZ325" s="7"/>
      <c r="EA325" s="7"/>
      <c r="EB325" s="7"/>
      <c r="EC325" s="7"/>
      <c r="ED325" s="7"/>
      <c r="EE325" s="7"/>
      <c r="EF325" s="7"/>
      <c r="EG325" s="7"/>
      <c r="EH325" s="7"/>
      <c r="EI325" s="7"/>
      <c r="EJ325" s="7"/>
      <c r="EK325" s="7"/>
      <c r="EL325" s="7"/>
      <c r="EM325" s="7"/>
      <c r="EN325" s="7"/>
      <c r="EO325" s="7"/>
      <c r="EP325" s="7"/>
      <c r="EQ325" s="7"/>
      <c r="ER325" s="7"/>
      <c r="ES325" s="7"/>
      <c r="ET325" s="7"/>
      <c r="EU325" s="7"/>
      <c r="EV325" s="7"/>
      <c r="EW325" s="7"/>
      <c r="EX325" s="7"/>
      <c r="EY325" s="7"/>
      <c r="EZ325" s="7"/>
      <c r="FA325" s="7"/>
      <c r="FB325" s="7"/>
      <c r="FC325" s="7"/>
      <c r="FD325" s="7"/>
      <c r="FE325" s="7"/>
      <c r="FF325" s="7"/>
      <c r="FG325" s="7"/>
      <c r="FH325" s="7"/>
      <c r="FI325" s="7"/>
      <c r="FJ325" s="7"/>
      <c r="FK325" s="7"/>
      <c r="FL325" s="7"/>
      <c r="FM325" s="7"/>
      <c r="FN325" s="7"/>
      <c r="FO325" s="7"/>
      <c r="FP325" s="7"/>
      <c r="FQ325" s="7"/>
      <c r="FR325" s="7"/>
      <c r="FS325" s="7"/>
      <c r="FT325" s="7"/>
      <c r="FU325" s="7"/>
      <c r="FV325" s="7"/>
      <c r="FW325" s="7"/>
      <c r="FX325" s="7"/>
      <c r="FY325" s="7"/>
      <c r="FZ325" s="7"/>
      <c r="GA325" s="7"/>
      <c r="GB325" s="7"/>
      <c r="GC325" s="7"/>
      <c r="GD325" s="7"/>
      <c r="GE325" s="7"/>
      <c r="GF325" s="7"/>
      <c r="GG325" s="7"/>
      <c r="GH325" s="7"/>
      <c r="GI325" s="7"/>
      <c r="GJ325" s="7"/>
      <c r="GK325" s="7"/>
      <c r="GL325" s="7"/>
      <c r="GM325" s="7"/>
      <c r="GN325" s="7"/>
      <c r="GO325" s="7"/>
      <c r="GP325" s="7"/>
      <c r="GQ325" s="7"/>
      <c r="GR325" s="7"/>
      <c r="GS325" s="7"/>
      <c r="GT325" s="7"/>
      <c r="GU325" s="7"/>
      <c r="GV325" s="7"/>
      <c r="GW325" s="7"/>
      <c r="GX325" s="7"/>
      <c r="GY325" s="7"/>
      <c r="GZ325" s="7"/>
      <c r="HA325" s="7"/>
      <c r="HB325" s="7"/>
      <c r="HC325" s="7"/>
      <c r="HD325" s="7"/>
      <c r="HE325" s="7"/>
      <c r="HF325" s="7"/>
      <c r="HG325" s="7"/>
      <c r="HH325" s="7"/>
      <c r="HI325" s="7"/>
      <c r="HJ325" s="7"/>
      <c r="HK325" s="7"/>
      <c r="HL325" s="7"/>
      <c r="HM325" s="7"/>
      <c r="HN325" s="7"/>
      <c r="HO325" s="7"/>
      <c r="HP325" s="7"/>
      <c r="HQ325" s="7"/>
      <c r="HR325" s="7"/>
      <c r="HS325" s="7"/>
      <c r="HT325" s="7"/>
      <c r="HU325" s="7"/>
      <c r="HV325" s="7"/>
      <c r="HW325" s="7"/>
      <c r="HX325" s="7"/>
      <c r="HY325" s="7"/>
      <c r="HZ325" s="7"/>
      <c r="IA325" s="7"/>
      <c r="IB325" s="7"/>
      <c r="IC325" s="7"/>
      <c r="ID325" s="7"/>
      <c r="IE325" s="7"/>
      <c r="IF325" s="7"/>
      <c r="IG325" s="7"/>
      <c r="IH325" s="7"/>
      <c r="II325" s="7"/>
      <c r="IJ325" s="7"/>
      <c r="IK325" s="7"/>
      <c r="IL325" s="7"/>
      <c r="IM325" s="7"/>
      <c r="IN325" s="7"/>
      <c r="IO325" s="7"/>
      <c r="IP325" s="7"/>
      <c r="IQ325" s="7"/>
      <c r="IR325" s="7"/>
      <c r="IS325" s="7"/>
      <c r="IT325" s="7"/>
      <c r="IU325" s="7"/>
      <c r="IV325" s="7"/>
    </row>
    <row r="326" spans="1:256">
      <c r="A326" s="233" t="str">
        <f>A99</f>
        <v>Bond 30</v>
      </c>
      <c r="B326" s="694">
        <f>B262*B99</f>
        <v>0</v>
      </c>
      <c r="C326" s="694">
        <f t="shared" ref="C326:BN326" si="1105">C262*C99</f>
        <v>0</v>
      </c>
      <c r="D326" s="694">
        <f t="shared" si="1105"/>
        <v>0</v>
      </c>
      <c r="E326" s="694">
        <f t="shared" si="1105"/>
        <v>0</v>
      </c>
      <c r="F326" s="694">
        <f t="shared" si="1105"/>
        <v>0</v>
      </c>
      <c r="G326" s="694">
        <f t="shared" si="1105"/>
        <v>0</v>
      </c>
      <c r="H326" s="694">
        <f t="shared" si="1105"/>
        <v>0</v>
      </c>
      <c r="I326" s="694">
        <f t="shared" si="1105"/>
        <v>0</v>
      </c>
      <c r="J326" s="694">
        <f t="shared" si="1105"/>
        <v>0</v>
      </c>
      <c r="K326" s="694">
        <f t="shared" si="1105"/>
        <v>0</v>
      </c>
      <c r="L326" s="694">
        <f t="shared" si="1105"/>
        <v>0</v>
      </c>
      <c r="M326" s="694">
        <f t="shared" si="1105"/>
        <v>0</v>
      </c>
      <c r="N326" s="694">
        <f t="shared" si="1105"/>
        <v>0</v>
      </c>
      <c r="O326" s="694">
        <f t="shared" si="1105"/>
        <v>0</v>
      </c>
      <c r="P326" s="694">
        <f t="shared" si="1105"/>
        <v>0</v>
      </c>
      <c r="Q326" s="694">
        <f t="shared" si="1105"/>
        <v>0</v>
      </c>
      <c r="R326" s="694">
        <f t="shared" si="1105"/>
        <v>0</v>
      </c>
      <c r="S326" s="694">
        <f t="shared" si="1105"/>
        <v>0</v>
      </c>
      <c r="T326" s="694">
        <f t="shared" si="1105"/>
        <v>0</v>
      </c>
      <c r="U326" s="694">
        <f t="shared" si="1105"/>
        <v>0</v>
      </c>
      <c r="V326" s="694">
        <f t="shared" si="1105"/>
        <v>0</v>
      </c>
      <c r="W326" s="694">
        <f t="shared" si="1105"/>
        <v>0</v>
      </c>
      <c r="X326" s="694">
        <f t="shared" si="1105"/>
        <v>0</v>
      </c>
      <c r="Y326" s="694">
        <f t="shared" si="1105"/>
        <v>0</v>
      </c>
      <c r="Z326" s="694">
        <f t="shared" si="1105"/>
        <v>0</v>
      </c>
      <c r="AA326" s="694">
        <f t="shared" si="1105"/>
        <v>0</v>
      </c>
      <c r="AB326" s="694">
        <f t="shared" si="1105"/>
        <v>0</v>
      </c>
      <c r="AC326" s="694">
        <f t="shared" si="1105"/>
        <v>0</v>
      </c>
      <c r="AD326" s="694">
        <f t="shared" si="1105"/>
        <v>0</v>
      </c>
      <c r="AE326" s="694">
        <f t="shared" si="1105"/>
        <v>0</v>
      </c>
      <c r="AF326" s="694">
        <f t="shared" si="1105"/>
        <v>0</v>
      </c>
      <c r="AG326" s="694">
        <f t="shared" si="1105"/>
        <v>0</v>
      </c>
      <c r="AH326" s="694">
        <f t="shared" si="1105"/>
        <v>0</v>
      </c>
      <c r="AI326" s="694">
        <f t="shared" si="1105"/>
        <v>0</v>
      </c>
      <c r="AJ326" s="694">
        <f t="shared" si="1105"/>
        <v>0</v>
      </c>
      <c r="AK326" s="694">
        <f t="shared" si="1105"/>
        <v>0</v>
      </c>
      <c r="AL326" s="694">
        <f t="shared" si="1105"/>
        <v>0</v>
      </c>
      <c r="AM326" s="694">
        <f t="shared" si="1105"/>
        <v>0</v>
      </c>
      <c r="AN326" s="694">
        <f t="shared" si="1105"/>
        <v>0</v>
      </c>
      <c r="AO326" s="694">
        <f t="shared" si="1105"/>
        <v>0</v>
      </c>
      <c r="AP326" s="694">
        <f t="shared" si="1105"/>
        <v>0</v>
      </c>
      <c r="AQ326" s="694">
        <f t="shared" si="1105"/>
        <v>0</v>
      </c>
      <c r="AR326" s="694">
        <f t="shared" si="1105"/>
        <v>0</v>
      </c>
      <c r="AS326" s="694">
        <f t="shared" si="1105"/>
        <v>0</v>
      </c>
      <c r="AT326" s="694">
        <f t="shared" si="1105"/>
        <v>0</v>
      </c>
      <c r="AU326" s="694">
        <f t="shared" si="1105"/>
        <v>0</v>
      </c>
      <c r="AV326" s="694">
        <f t="shared" si="1105"/>
        <v>0</v>
      </c>
      <c r="AW326" s="694">
        <f t="shared" si="1105"/>
        <v>0</v>
      </c>
      <c r="AX326" s="694">
        <f t="shared" si="1105"/>
        <v>0</v>
      </c>
      <c r="AY326" s="694">
        <f t="shared" si="1105"/>
        <v>0</v>
      </c>
      <c r="AZ326" s="694">
        <f t="shared" si="1105"/>
        <v>0</v>
      </c>
      <c r="BA326" s="694">
        <f t="shared" si="1105"/>
        <v>0</v>
      </c>
      <c r="BB326" s="694">
        <f t="shared" si="1105"/>
        <v>0</v>
      </c>
      <c r="BC326" s="694">
        <f t="shared" si="1105"/>
        <v>0</v>
      </c>
      <c r="BD326" s="694">
        <f t="shared" si="1105"/>
        <v>0</v>
      </c>
      <c r="BE326" s="694">
        <f t="shared" si="1105"/>
        <v>0</v>
      </c>
      <c r="BF326" s="694">
        <f t="shared" si="1105"/>
        <v>0</v>
      </c>
      <c r="BG326" s="694">
        <f t="shared" si="1105"/>
        <v>0</v>
      </c>
      <c r="BH326" s="694">
        <f t="shared" si="1105"/>
        <v>0</v>
      </c>
      <c r="BI326" s="694">
        <f t="shared" si="1105"/>
        <v>0</v>
      </c>
      <c r="BJ326" s="694">
        <f t="shared" si="1105"/>
        <v>0</v>
      </c>
      <c r="BK326" s="694">
        <f t="shared" si="1105"/>
        <v>0</v>
      </c>
      <c r="BL326" s="694">
        <f t="shared" si="1105"/>
        <v>0</v>
      </c>
      <c r="BM326" s="694">
        <f t="shared" si="1105"/>
        <v>0</v>
      </c>
      <c r="BN326" s="694">
        <f t="shared" si="1105"/>
        <v>0</v>
      </c>
      <c r="BO326" s="694">
        <f t="shared" ref="BO326:CB326" si="1106">BO262*BO99</f>
        <v>0</v>
      </c>
      <c r="BP326" s="694">
        <f t="shared" si="1106"/>
        <v>0</v>
      </c>
      <c r="BQ326" s="694">
        <f t="shared" si="1106"/>
        <v>0</v>
      </c>
      <c r="BR326" s="694">
        <f t="shared" si="1106"/>
        <v>0</v>
      </c>
      <c r="BS326" s="694">
        <f t="shared" si="1106"/>
        <v>0</v>
      </c>
      <c r="BT326" s="694">
        <f t="shared" si="1106"/>
        <v>0</v>
      </c>
      <c r="BU326" s="694">
        <f t="shared" si="1106"/>
        <v>0</v>
      </c>
      <c r="BV326" s="694">
        <f t="shared" si="1106"/>
        <v>0</v>
      </c>
      <c r="BW326" s="694">
        <f t="shared" si="1106"/>
        <v>0</v>
      </c>
      <c r="BX326" s="694">
        <f t="shared" si="1106"/>
        <v>0</v>
      </c>
      <c r="BY326" s="694">
        <f t="shared" si="1106"/>
        <v>0</v>
      </c>
      <c r="BZ326" s="694">
        <f t="shared" si="1106"/>
        <v>0</v>
      </c>
      <c r="CA326" s="694">
        <f t="shared" si="1106"/>
        <v>0</v>
      </c>
      <c r="CB326" s="694">
        <f t="shared" si="1106"/>
        <v>0</v>
      </c>
      <c r="CC326" s="19"/>
      <c r="CD326" s="19"/>
      <c r="CE326" s="19"/>
      <c r="CH326" s="693"/>
      <c r="CI326" s="693"/>
      <c r="CJ326" s="693"/>
      <c r="CK326" s="693"/>
      <c r="CL326" s="693"/>
      <c r="CM326" s="693"/>
      <c r="CN326" s="693"/>
      <c r="CO326" s="693"/>
      <c r="CP326" s="693"/>
      <c r="CQ326" s="693"/>
      <c r="CR326" s="693"/>
      <c r="CS326" s="693"/>
      <c r="CT326" s="693"/>
      <c r="CU326" s="693"/>
      <c r="CV326" s="693"/>
      <c r="CW326" s="693"/>
      <c r="CX326" s="693"/>
      <c r="CY326" s="693"/>
      <c r="CZ326" s="693"/>
      <c r="DA326" s="693"/>
      <c r="DB326" s="693"/>
      <c r="DC326" s="693"/>
      <c r="DD326" s="693"/>
      <c r="DE326" s="693"/>
      <c r="DF326" s="693"/>
      <c r="DG326" s="693"/>
      <c r="DH326" s="693"/>
      <c r="DI326" s="7"/>
      <c r="DJ326" s="7"/>
      <c r="DK326" s="7"/>
      <c r="DL326" s="7"/>
      <c r="DM326" s="7"/>
      <c r="DN326" s="7"/>
      <c r="DO326" s="7"/>
      <c r="DP326" s="7"/>
      <c r="DQ326" s="7"/>
      <c r="DR326" s="7"/>
      <c r="DS326" s="7"/>
      <c r="DT326" s="7"/>
      <c r="DU326" s="7"/>
      <c r="DV326" s="7"/>
      <c r="DW326" s="7"/>
      <c r="DX326" s="7"/>
      <c r="DY326" s="7"/>
      <c r="DZ326" s="7"/>
      <c r="EA326" s="7"/>
      <c r="EB326" s="7"/>
      <c r="EC326" s="7"/>
      <c r="ED326" s="7"/>
      <c r="EE326" s="7"/>
      <c r="EF326" s="7"/>
      <c r="EG326" s="7"/>
      <c r="EH326" s="7"/>
      <c r="EI326" s="7"/>
      <c r="EJ326" s="7"/>
      <c r="EK326" s="7"/>
      <c r="EL326" s="7"/>
      <c r="EM326" s="7"/>
      <c r="EN326" s="7"/>
      <c r="EO326" s="7"/>
      <c r="EP326" s="7"/>
      <c r="EQ326" s="7"/>
      <c r="ER326" s="7"/>
      <c r="ES326" s="7"/>
      <c r="ET326" s="7"/>
      <c r="EU326" s="7"/>
      <c r="EV326" s="7"/>
      <c r="EW326" s="7"/>
      <c r="EX326" s="7"/>
      <c r="EY326" s="7"/>
      <c r="EZ326" s="7"/>
      <c r="FA326" s="7"/>
      <c r="FB326" s="7"/>
      <c r="FC326" s="7"/>
      <c r="FD326" s="7"/>
      <c r="FE326" s="7"/>
      <c r="FF326" s="7"/>
      <c r="FG326" s="7"/>
      <c r="FH326" s="7"/>
      <c r="FI326" s="7"/>
      <c r="FJ326" s="7"/>
      <c r="FK326" s="7"/>
      <c r="FL326" s="7"/>
      <c r="FM326" s="7"/>
      <c r="FN326" s="7"/>
      <c r="FO326" s="7"/>
      <c r="FP326" s="7"/>
      <c r="FQ326" s="7"/>
      <c r="FR326" s="7"/>
      <c r="FS326" s="7"/>
      <c r="FT326" s="7"/>
      <c r="FU326" s="7"/>
      <c r="FV326" s="7"/>
      <c r="FW326" s="7"/>
      <c r="FX326" s="7"/>
      <c r="FY326" s="7"/>
      <c r="FZ326" s="7"/>
      <c r="GA326" s="7"/>
      <c r="GB326" s="7"/>
      <c r="GC326" s="7"/>
      <c r="GD326" s="7"/>
      <c r="GE326" s="7"/>
      <c r="GF326" s="7"/>
      <c r="GG326" s="7"/>
      <c r="GH326" s="7"/>
      <c r="GI326" s="7"/>
      <c r="GJ326" s="7"/>
      <c r="GK326" s="7"/>
      <c r="GL326" s="7"/>
      <c r="GM326" s="7"/>
      <c r="GN326" s="7"/>
      <c r="GO326" s="7"/>
      <c r="GP326" s="7"/>
      <c r="GQ326" s="7"/>
      <c r="GR326" s="7"/>
      <c r="GS326" s="7"/>
      <c r="GT326" s="7"/>
      <c r="GU326" s="7"/>
      <c r="GV326" s="7"/>
      <c r="GW326" s="7"/>
      <c r="GX326" s="7"/>
      <c r="GY326" s="7"/>
      <c r="GZ326" s="7"/>
      <c r="HA326" s="7"/>
      <c r="HB326" s="7"/>
      <c r="HC326" s="7"/>
      <c r="HD326" s="7"/>
      <c r="HE326" s="7"/>
      <c r="HF326" s="7"/>
      <c r="HG326" s="7"/>
      <c r="HH326" s="7"/>
      <c r="HI326" s="7"/>
      <c r="HJ326" s="7"/>
      <c r="HK326" s="7"/>
      <c r="HL326" s="7"/>
      <c r="HM326" s="7"/>
      <c r="HN326" s="7"/>
      <c r="HO326" s="7"/>
      <c r="HP326" s="7"/>
      <c r="HQ326" s="7"/>
      <c r="HR326" s="7"/>
      <c r="HS326" s="7"/>
      <c r="HT326" s="7"/>
      <c r="HU326" s="7"/>
      <c r="HV326" s="7"/>
      <c r="HW326" s="7"/>
      <c r="HX326" s="7"/>
      <c r="HY326" s="7"/>
      <c r="HZ326" s="7"/>
      <c r="IA326" s="7"/>
      <c r="IB326" s="7"/>
      <c r="IC326" s="7"/>
      <c r="ID326" s="7"/>
      <c r="IE326" s="7"/>
      <c r="IF326" s="7"/>
      <c r="IG326" s="7"/>
      <c r="IH326" s="7"/>
      <c r="II326" s="7"/>
      <c r="IJ326" s="7"/>
      <c r="IK326" s="7"/>
      <c r="IL326" s="7"/>
      <c r="IM326" s="7"/>
      <c r="IN326" s="7"/>
      <c r="IO326" s="7"/>
      <c r="IP326" s="7"/>
      <c r="IQ326" s="7"/>
      <c r="IR326" s="7"/>
      <c r="IS326" s="7"/>
      <c r="IT326" s="7"/>
      <c r="IU326" s="7"/>
      <c r="IV326" s="7"/>
    </row>
    <row r="327" spans="1:256">
      <c r="A327" s="233" t="str">
        <f>A101</f>
        <v>Bond 31</v>
      </c>
      <c r="B327" s="694">
        <f>B267*B101</f>
        <v>0.97228152256181755</v>
      </c>
      <c r="C327" s="694">
        <f t="shared" ref="C327:BN327" si="1107">C267*C101</f>
        <v>0.96398941632666779</v>
      </c>
      <c r="D327" s="694">
        <f t="shared" si="1107"/>
        <v>0.95641634175669521</v>
      </c>
      <c r="E327" s="694">
        <f t="shared" si="1107"/>
        <v>0.9494489344274073</v>
      </c>
      <c r="F327" s="694">
        <f t="shared" si="1107"/>
        <v>0.94294461773079674</v>
      </c>
      <c r="G327" s="694">
        <f t="shared" si="1107"/>
        <v>0.93677804127935504</v>
      </c>
      <c r="H327" s="694">
        <f t="shared" si="1107"/>
        <v>0.93083913619891956</v>
      </c>
      <c r="I327" s="694">
        <f t="shared" si="1107"/>
        <v>0.92503148966448623</v>
      </c>
      <c r="J327" s="694">
        <f t="shared" si="1107"/>
        <v>0.91927097179903994</v>
      </c>
      <c r="K327" s="694">
        <f t="shared" si="1107"/>
        <v>94.129527129450693</v>
      </c>
      <c r="L327" s="694">
        <f t="shared" si="1107"/>
        <v>0</v>
      </c>
      <c r="M327" s="694">
        <f t="shared" si="1107"/>
        <v>0</v>
      </c>
      <c r="N327" s="694">
        <f t="shared" si="1107"/>
        <v>0</v>
      </c>
      <c r="O327" s="694">
        <f t="shared" si="1107"/>
        <v>0</v>
      </c>
      <c r="P327" s="694">
        <f t="shared" si="1107"/>
        <v>0</v>
      </c>
      <c r="Q327" s="694">
        <f t="shared" si="1107"/>
        <v>0</v>
      </c>
      <c r="R327" s="694">
        <f t="shared" si="1107"/>
        <v>0</v>
      </c>
      <c r="S327" s="694">
        <f t="shared" si="1107"/>
        <v>0</v>
      </c>
      <c r="T327" s="694">
        <f t="shared" si="1107"/>
        <v>0</v>
      </c>
      <c r="U327" s="694">
        <f t="shared" si="1107"/>
        <v>0</v>
      </c>
      <c r="V327" s="694">
        <f t="shared" si="1107"/>
        <v>0</v>
      </c>
      <c r="W327" s="694">
        <f t="shared" si="1107"/>
        <v>0</v>
      </c>
      <c r="X327" s="694">
        <f t="shared" si="1107"/>
        <v>0</v>
      </c>
      <c r="Y327" s="694">
        <f t="shared" si="1107"/>
        <v>0</v>
      </c>
      <c r="Z327" s="694">
        <f t="shared" si="1107"/>
        <v>0</v>
      </c>
      <c r="AA327" s="694">
        <f t="shared" si="1107"/>
        <v>0</v>
      </c>
      <c r="AB327" s="694">
        <f t="shared" si="1107"/>
        <v>0</v>
      </c>
      <c r="AC327" s="694">
        <f t="shared" si="1107"/>
        <v>0</v>
      </c>
      <c r="AD327" s="694">
        <f t="shared" si="1107"/>
        <v>0</v>
      </c>
      <c r="AE327" s="694">
        <f t="shared" si="1107"/>
        <v>0</v>
      </c>
      <c r="AF327" s="694">
        <f t="shared" si="1107"/>
        <v>0</v>
      </c>
      <c r="AG327" s="694">
        <f t="shared" si="1107"/>
        <v>0</v>
      </c>
      <c r="AH327" s="694">
        <f t="shared" si="1107"/>
        <v>0</v>
      </c>
      <c r="AI327" s="694">
        <f t="shared" si="1107"/>
        <v>0</v>
      </c>
      <c r="AJ327" s="694">
        <f t="shared" si="1107"/>
        <v>0</v>
      </c>
      <c r="AK327" s="694">
        <f t="shared" si="1107"/>
        <v>0</v>
      </c>
      <c r="AL327" s="694">
        <f t="shared" si="1107"/>
        <v>0</v>
      </c>
      <c r="AM327" s="694">
        <f t="shared" si="1107"/>
        <v>0</v>
      </c>
      <c r="AN327" s="694">
        <f t="shared" si="1107"/>
        <v>0</v>
      </c>
      <c r="AO327" s="694">
        <f t="shared" si="1107"/>
        <v>0</v>
      </c>
      <c r="AP327" s="694">
        <f t="shared" si="1107"/>
        <v>0</v>
      </c>
      <c r="AQ327" s="694">
        <f t="shared" si="1107"/>
        <v>0</v>
      </c>
      <c r="AR327" s="694">
        <f t="shared" si="1107"/>
        <v>0</v>
      </c>
      <c r="AS327" s="694">
        <f t="shared" si="1107"/>
        <v>0</v>
      </c>
      <c r="AT327" s="694">
        <f t="shared" si="1107"/>
        <v>0</v>
      </c>
      <c r="AU327" s="694">
        <f t="shared" si="1107"/>
        <v>0</v>
      </c>
      <c r="AV327" s="694">
        <f t="shared" si="1107"/>
        <v>0</v>
      </c>
      <c r="AW327" s="694">
        <f t="shared" si="1107"/>
        <v>0</v>
      </c>
      <c r="AX327" s="694">
        <f t="shared" si="1107"/>
        <v>0</v>
      </c>
      <c r="AY327" s="694">
        <f t="shared" si="1107"/>
        <v>0</v>
      </c>
      <c r="AZ327" s="694">
        <f t="shared" si="1107"/>
        <v>0</v>
      </c>
      <c r="BA327" s="694">
        <f t="shared" si="1107"/>
        <v>0</v>
      </c>
      <c r="BB327" s="694">
        <f t="shared" si="1107"/>
        <v>0</v>
      </c>
      <c r="BC327" s="694">
        <f t="shared" si="1107"/>
        <v>0</v>
      </c>
      <c r="BD327" s="694">
        <f t="shared" si="1107"/>
        <v>0</v>
      </c>
      <c r="BE327" s="694">
        <f t="shared" si="1107"/>
        <v>0</v>
      </c>
      <c r="BF327" s="694">
        <f t="shared" si="1107"/>
        <v>0</v>
      </c>
      <c r="BG327" s="694">
        <f t="shared" si="1107"/>
        <v>0</v>
      </c>
      <c r="BH327" s="694">
        <f t="shared" si="1107"/>
        <v>0</v>
      </c>
      <c r="BI327" s="694">
        <f t="shared" si="1107"/>
        <v>0</v>
      </c>
      <c r="BJ327" s="694">
        <f t="shared" si="1107"/>
        <v>0</v>
      </c>
      <c r="BK327" s="694">
        <f t="shared" si="1107"/>
        <v>0</v>
      </c>
      <c r="BL327" s="694">
        <f t="shared" si="1107"/>
        <v>0</v>
      </c>
      <c r="BM327" s="694">
        <f t="shared" si="1107"/>
        <v>0</v>
      </c>
      <c r="BN327" s="694">
        <f t="shared" si="1107"/>
        <v>0</v>
      </c>
      <c r="BO327" s="694">
        <f t="shared" ref="BO327:CB327" si="1108">BO267*BO101</f>
        <v>0</v>
      </c>
      <c r="BP327" s="694">
        <f t="shared" si="1108"/>
        <v>0</v>
      </c>
      <c r="BQ327" s="694">
        <f t="shared" si="1108"/>
        <v>0</v>
      </c>
      <c r="BR327" s="694">
        <f t="shared" si="1108"/>
        <v>0</v>
      </c>
      <c r="BS327" s="694">
        <f t="shared" si="1108"/>
        <v>0</v>
      </c>
      <c r="BT327" s="694">
        <f t="shared" si="1108"/>
        <v>0</v>
      </c>
      <c r="BU327" s="694">
        <f t="shared" si="1108"/>
        <v>0</v>
      </c>
      <c r="BV327" s="694">
        <f t="shared" si="1108"/>
        <v>0</v>
      </c>
      <c r="BW327" s="694">
        <f t="shared" si="1108"/>
        <v>0</v>
      </c>
      <c r="BX327" s="694">
        <f t="shared" si="1108"/>
        <v>0</v>
      </c>
      <c r="BY327" s="694">
        <f t="shared" si="1108"/>
        <v>0</v>
      </c>
      <c r="BZ327" s="694">
        <f t="shared" si="1108"/>
        <v>0</v>
      </c>
      <c r="CA327" s="694">
        <f t="shared" si="1108"/>
        <v>0</v>
      </c>
      <c r="CB327" s="694">
        <f t="shared" si="1108"/>
        <v>0</v>
      </c>
      <c r="CC327" s="19"/>
      <c r="CD327" s="19"/>
      <c r="CE327" s="19"/>
      <c r="CH327" s="693"/>
      <c r="CI327" s="693"/>
      <c r="CJ327" s="693"/>
      <c r="CK327" s="693"/>
      <c r="CL327" s="693"/>
      <c r="CM327" s="693"/>
      <c r="CN327" s="693"/>
      <c r="CO327" s="693"/>
      <c r="CP327" s="693"/>
      <c r="CQ327" s="693"/>
      <c r="CR327" s="693"/>
      <c r="CS327" s="693"/>
      <c r="CT327" s="693"/>
      <c r="CU327" s="693"/>
      <c r="CV327" s="693"/>
      <c r="CW327" s="693"/>
      <c r="CX327" s="693"/>
      <c r="CY327" s="693"/>
      <c r="CZ327" s="693"/>
      <c r="DA327" s="693"/>
      <c r="DB327" s="693"/>
      <c r="DC327" s="693"/>
      <c r="DD327" s="693"/>
      <c r="DE327" s="693"/>
      <c r="DF327" s="693"/>
      <c r="DG327" s="693"/>
      <c r="DH327" s="693"/>
      <c r="DI327" s="7"/>
      <c r="DJ327" s="7"/>
      <c r="DK327" s="7"/>
      <c r="DL327" s="7"/>
      <c r="DM327" s="7"/>
      <c r="DN327" s="7"/>
      <c r="DO327" s="7"/>
      <c r="DP327" s="7"/>
      <c r="DQ327" s="7"/>
      <c r="DR327" s="7"/>
      <c r="DS327" s="7"/>
      <c r="DT327" s="7"/>
      <c r="DU327" s="7"/>
      <c r="DV327" s="7"/>
      <c r="DW327" s="7"/>
      <c r="DX327" s="7"/>
      <c r="DY327" s="7"/>
      <c r="DZ327" s="7"/>
      <c r="EA327" s="7"/>
      <c r="EB327" s="7"/>
      <c r="EC327" s="7"/>
      <c r="ED327" s="7"/>
      <c r="EE327" s="7"/>
      <c r="EF327" s="7"/>
      <c r="EG327" s="7"/>
      <c r="EH327" s="7"/>
      <c r="EI327" s="7"/>
      <c r="EJ327" s="7"/>
      <c r="EK327" s="7"/>
      <c r="EL327" s="7"/>
      <c r="EM327" s="7"/>
      <c r="EN327" s="7"/>
      <c r="EO327" s="7"/>
      <c r="EP327" s="7"/>
      <c r="EQ327" s="7"/>
      <c r="ER327" s="7"/>
      <c r="ES327" s="7"/>
      <c r="ET327" s="7"/>
      <c r="EU327" s="7"/>
      <c r="EV327" s="7"/>
      <c r="EW327" s="7"/>
      <c r="EX327" s="7"/>
      <c r="EY327" s="7"/>
      <c r="EZ327" s="7"/>
      <c r="FA327" s="7"/>
      <c r="FB327" s="7"/>
      <c r="FC327" s="7"/>
      <c r="FD327" s="7"/>
      <c r="FE327" s="7"/>
      <c r="FF327" s="7"/>
      <c r="FG327" s="7"/>
      <c r="FH327" s="7"/>
      <c r="FI327" s="7"/>
      <c r="FJ327" s="7"/>
      <c r="FK327" s="7"/>
      <c r="FL327" s="7"/>
      <c r="FM327" s="7"/>
      <c r="FN327" s="7"/>
      <c r="FO327" s="7"/>
      <c r="FP327" s="7"/>
      <c r="FQ327" s="7"/>
      <c r="FR327" s="7"/>
      <c r="FS327" s="7"/>
      <c r="FT327" s="7"/>
      <c r="FU327" s="7"/>
      <c r="FV327" s="7"/>
      <c r="FW327" s="7"/>
      <c r="FX327" s="7"/>
      <c r="FY327" s="7"/>
      <c r="FZ327" s="7"/>
      <c r="GA327" s="7"/>
      <c r="GB327" s="7"/>
      <c r="GC327" s="7"/>
      <c r="GD327" s="7"/>
      <c r="GE327" s="7"/>
      <c r="GF327" s="7"/>
      <c r="GG327" s="7"/>
      <c r="GH327" s="7"/>
      <c r="GI327" s="7"/>
      <c r="GJ327" s="7"/>
      <c r="GK327" s="7"/>
      <c r="GL327" s="7"/>
      <c r="GM327" s="7"/>
      <c r="GN327" s="7"/>
      <c r="GO327" s="7"/>
      <c r="GP327" s="7"/>
      <c r="GQ327" s="7"/>
      <c r="GR327" s="7"/>
      <c r="GS327" s="7"/>
      <c r="GT327" s="7"/>
      <c r="GU327" s="7"/>
      <c r="GV327" s="7"/>
      <c r="GW327" s="7"/>
      <c r="GX327" s="7"/>
      <c r="GY327" s="7"/>
      <c r="GZ327" s="7"/>
      <c r="HA327" s="7"/>
      <c r="HB327" s="7"/>
      <c r="HC327" s="7"/>
      <c r="HD327" s="7"/>
      <c r="HE327" s="7"/>
      <c r="HF327" s="7"/>
      <c r="HG327" s="7"/>
      <c r="HH327" s="7"/>
      <c r="HI327" s="7"/>
      <c r="HJ327" s="7"/>
      <c r="HK327" s="7"/>
      <c r="HL327" s="7"/>
      <c r="HM327" s="7"/>
      <c r="HN327" s="7"/>
      <c r="HO327" s="7"/>
      <c r="HP327" s="7"/>
      <c r="HQ327" s="7"/>
      <c r="HR327" s="7"/>
      <c r="HS327" s="7"/>
      <c r="HT327" s="7"/>
      <c r="HU327" s="7"/>
      <c r="HV327" s="7"/>
      <c r="HW327" s="7"/>
      <c r="HX327" s="7"/>
      <c r="HY327" s="7"/>
      <c r="HZ327" s="7"/>
      <c r="IA327" s="7"/>
      <c r="IB327" s="7"/>
      <c r="IC327" s="7"/>
      <c r="ID327" s="7"/>
      <c r="IE327" s="7"/>
      <c r="IF327" s="7"/>
      <c r="IG327" s="7"/>
      <c r="IH327" s="7"/>
      <c r="II327" s="7"/>
      <c r="IJ327" s="7"/>
      <c r="IK327" s="7"/>
      <c r="IL327" s="7"/>
      <c r="IM327" s="7"/>
      <c r="IN327" s="7"/>
      <c r="IO327" s="7"/>
      <c r="IP327" s="7"/>
      <c r="IQ327" s="7"/>
      <c r="IR327" s="7"/>
      <c r="IS327" s="7"/>
      <c r="IT327" s="7"/>
      <c r="IU327" s="7"/>
      <c r="IV327" s="7"/>
    </row>
    <row r="328" spans="1:256">
      <c r="A328" s="233" t="str">
        <f>A103</f>
        <v>Bond 32</v>
      </c>
      <c r="B328" s="694">
        <f>B272*B103</f>
        <v>0</v>
      </c>
      <c r="C328" s="694">
        <f t="shared" ref="C328:BN328" si="1109">C272*C103</f>
        <v>0</v>
      </c>
      <c r="D328" s="694">
        <f t="shared" si="1109"/>
        <v>0</v>
      </c>
      <c r="E328" s="694">
        <f t="shared" si="1109"/>
        <v>0</v>
      </c>
      <c r="F328" s="694">
        <f t="shared" si="1109"/>
        <v>0</v>
      </c>
      <c r="G328" s="694">
        <f t="shared" si="1109"/>
        <v>0</v>
      </c>
      <c r="H328" s="694">
        <f t="shared" si="1109"/>
        <v>0</v>
      </c>
      <c r="I328" s="694">
        <f t="shared" si="1109"/>
        <v>0</v>
      </c>
      <c r="J328" s="694">
        <f t="shared" si="1109"/>
        <v>0</v>
      </c>
      <c r="K328" s="694">
        <f t="shared" si="1109"/>
        <v>0</v>
      </c>
      <c r="L328" s="694">
        <f t="shared" si="1109"/>
        <v>0</v>
      </c>
      <c r="M328" s="694">
        <f t="shared" si="1109"/>
        <v>0</v>
      </c>
      <c r="N328" s="694">
        <f t="shared" si="1109"/>
        <v>0</v>
      </c>
      <c r="O328" s="694">
        <f t="shared" si="1109"/>
        <v>0</v>
      </c>
      <c r="P328" s="694">
        <f t="shared" si="1109"/>
        <v>0</v>
      </c>
      <c r="Q328" s="694">
        <f t="shared" si="1109"/>
        <v>0</v>
      </c>
      <c r="R328" s="694">
        <f t="shared" si="1109"/>
        <v>0</v>
      </c>
      <c r="S328" s="694">
        <f t="shared" si="1109"/>
        <v>0</v>
      </c>
      <c r="T328" s="694">
        <f t="shared" si="1109"/>
        <v>0</v>
      </c>
      <c r="U328" s="694">
        <f t="shared" si="1109"/>
        <v>0</v>
      </c>
      <c r="V328" s="694">
        <f t="shared" si="1109"/>
        <v>0</v>
      </c>
      <c r="W328" s="694">
        <f t="shared" si="1109"/>
        <v>0</v>
      </c>
      <c r="X328" s="694">
        <f t="shared" si="1109"/>
        <v>0</v>
      </c>
      <c r="Y328" s="694">
        <f t="shared" si="1109"/>
        <v>0</v>
      </c>
      <c r="Z328" s="694">
        <f t="shared" si="1109"/>
        <v>0</v>
      </c>
      <c r="AA328" s="694">
        <f t="shared" si="1109"/>
        <v>0</v>
      </c>
      <c r="AB328" s="694">
        <f t="shared" si="1109"/>
        <v>0</v>
      </c>
      <c r="AC328" s="694">
        <f t="shared" si="1109"/>
        <v>0</v>
      </c>
      <c r="AD328" s="694">
        <f t="shared" si="1109"/>
        <v>0</v>
      </c>
      <c r="AE328" s="694">
        <f t="shared" si="1109"/>
        <v>0</v>
      </c>
      <c r="AF328" s="694">
        <f t="shared" si="1109"/>
        <v>0</v>
      </c>
      <c r="AG328" s="694">
        <f t="shared" si="1109"/>
        <v>0</v>
      </c>
      <c r="AH328" s="694">
        <f t="shared" si="1109"/>
        <v>0</v>
      </c>
      <c r="AI328" s="694">
        <f t="shared" si="1109"/>
        <v>0</v>
      </c>
      <c r="AJ328" s="694">
        <f t="shared" si="1109"/>
        <v>0</v>
      </c>
      <c r="AK328" s="694">
        <f t="shared" si="1109"/>
        <v>0</v>
      </c>
      <c r="AL328" s="694">
        <f t="shared" si="1109"/>
        <v>0</v>
      </c>
      <c r="AM328" s="694">
        <f t="shared" si="1109"/>
        <v>0</v>
      </c>
      <c r="AN328" s="694">
        <f t="shared" si="1109"/>
        <v>0</v>
      </c>
      <c r="AO328" s="694">
        <f t="shared" si="1109"/>
        <v>0</v>
      </c>
      <c r="AP328" s="694">
        <f t="shared" si="1109"/>
        <v>0</v>
      </c>
      <c r="AQ328" s="694">
        <f t="shared" si="1109"/>
        <v>0</v>
      </c>
      <c r="AR328" s="694">
        <f t="shared" si="1109"/>
        <v>0</v>
      </c>
      <c r="AS328" s="694">
        <f t="shared" si="1109"/>
        <v>0</v>
      </c>
      <c r="AT328" s="694">
        <f t="shared" si="1109"/>
        <v>0</v>
      </c>
      <c r="AU328" s="694">
        <f t="shared" si="1109"/>
        <v>0</v>
      </c>
      <c r="AV328" s="694">
        <f t="shared" si="1109"/>
        <v>0</v>
      </c>
      <c r="AW328" s="694">
        <f t="shared" si="1109"/>
        <v>0</v>
      </c>
      <c r="AX328" s="694">
        <f t="shared" si="1109"/>
        <v>0</v>
      </c>
      <c r="AY328" s="694">
        <f t="shared" si="1109"/>
        <v>0</v>
      </c>
      <c r="AZ328" s="694">
        <f t="shared" si="1109"/>
        <v>0</v>
      </c>
      <c r="BA328" s="694">
        <f t="shared" si="1109"/>
        <v>0</v>
      </c>
      <c r="BB328" s="694">
        <f t="shared" si="1109"/>
        <v>0</v>
      </c>
      <c r="BC328" s="694">
        <f t="shared" si="1109"/>
        <v>0</v>
      </c>
      <c r="BD328" s="694">
        <f t="shared" si="1109"/>
        <v>0</v>
      </c>
      <c r="BE328" s="694">
        <f t="shared" si="1109"/>
        <v>0</v>
      </c>
      <c r="BF328" s="694">
        <f t="shared" si="1109"/>
        <v>0</v>
      </c>
      <c r="BG328" s="694">
        <f t="shared" si="1109"/>
        <v>0</v>
      </c>
      <c r="BH328" s="694">
        <f t="shared" si="1109"/>
        <v>0</v>
      </c>
      <c r="BI328" s="694">
        <f t="shared" si="1109"/>
        <v>0</v>
      </c>
      <c r="BJ328" s="694">
        <f t="shared" si="1109"/>
        <v>0</v>
      </c>
      <c r="BK328" s="694">
        <f t="shared" si="1109"/>
        <v>0</v>
      </c>
      <c r="BL328" s="694">
        <f t="shared" si="1109"/>
        <v>0</v>
      </c>
      <c r="BM328" s="694">
        <f t="shared" si="1109"/>
        <v>0</v>
      </c>
      <c r="BN328" s="694">
        <f t="shared" si="1109"/>
        <v>0</v>
      </c>
      <c r="BO328" s="694">
        <f t="shared" ref="BO328:CB328" si="1110">BO272*BO103</f>
        <v>0</v>
      </c>
      <c r="BP328" s="694">
        <f t="shared" si="1110"/>
        <v>0</v>
      </c>
      <c r="BQ328" s="694">
        <f t="shared" si="1110"/>
        <v>0</v>
      </c>
      <c r="BR328" s="694">
        <f t="shared" si="1110"/>
        <v>0</v>
      </c>
      <c r="BS328" s="694">
        <f t="shared" si="1110"/>
        <v>0</v>
      </c>
      <c r="BT328" s="694">
        <f t="shared" si="1110"/>
        <v>0</v>
      </c>
      <c r="BU328" s="694">
        <f t="shared" si="1110"/>
        <v>0</v>
      </c>
      <c r="BV328" s="694">
        <f t="shared" si="1110"/>
        <v>0</v>
      </c>
      <c r="BW328" s="694">
        <f t="shared" si="1110"/>
        <v>0</v>
      </c>
      <c r="BX328" s="694">
        <f t="shared" si="1110"/>
        <v>0</v>
      </c>
      <c r="BY328" s="694">
        <f t="shared" si="1110"/>
        <v>0</v>
      </c>
      <c r="BZ328" s="694">
        <f t="shared" si="1110"/>
        <v>0</v>
      </c>
      <c r="CA328" s="694">
        <f t="shared" si="1110"/>
        <v>0</v>
      </c>
      <c r="CB328" s="694">
        <f t="shared" si="1110"/>
        <v>0</v>
      </c>
      <c r="CC328" s="19"/>
      <c r="CD328" s="19"/>
      <c r="CE328" s="19"/>
      <c r="CH328" s="693"/>
      <c r="CI328" s="693"/>
      <c r="CJ328" s="693"/>
      <c r="CK328" s="693"/>
      <c r="CL328" s="693"/>
      <c r="CM328" s="693"/>
      <c r="CN328" s="693"/>
      <c r="CO328" s="693"/>
      <c r="CP328" s="693"/>
      <c r="CQ328" s="693"/>
      <c r="CR328" s="693"/>
      <c r="CS328" s="693"/>
      <c r="CT328" s="693"/>
      <c r="CU328" s="693"/>
      <c r="CV328" s="693"/>
      <c r="CW328" s="693"/>
      <c r="CX328" s="693"/>
      <c r="CY328" s="693"/>
      <c r="CZ328" s="693"/>
      <c r="DA328" s="693"/>
      <c r="DB328" s="693"/>
      <c r="DC328" s="693"/>
      <c r="DD328" s="693"/>
      <c r="DE328" s="693"/>
      <c r="DF328" s="693"/>
      <c r="DG328" s="693"/>
      <c r="DH328" s="693"/>
      <c r="DI328" s="7"/>
      <c r="DJ328" s="7"/>
      <c r="DK328" s="7"/>
      <c r="DL328" s="7"/>
      <c r="DM328" s="7"/>
      <c r="DN328" s="7"/>
      <c r="DO328" s="7"/>
      <c r="DP328" s="7"/>
      <c r="DQ328" s="7"/>
      <c r="DR328" s="7"/>
      <c r="DS328" s="7"/>
      <c r="DT328" s="7"/>
      <c r="DU328" s="7"/>
      <c r="DV328" s="7"/>
      <c r="DW328" s="7"/>
      <c r="DX328" s="7"/>
      <c r="DY328" s="7"/>
      <c r="DZ328" s="7"/>
      <c r="EA328" s="7"/>
      <c r="EB328" s="7"/>
      <c r="EC328" s="7"/>
      <c r="ED328" s="7"/>
      <c r="EE328" s="7"/>
      <c r="EF328" s="7"/>
      <c r="EG328" s="7"/>
      <c r="EH328" s="7"/>
      <c r="EI328" s="7"/>
      <c r="EJ328" s="7"/>
      <c r="EK328" s="7"/>
      <c r="EL328" s="7"/>
      <c r="EM328" s="7"/>
      <c r="EN328" s="7"/>
      <c r="EO328" s="7"/>
      <c r="EP328" s="7"/>
      <c r="EQ328" s="7"/>
      <c r="ER328" s="7"/>
      <c r="ES328" s="7"/>
      <c r="ET328" s="7"/>
      <c r="EU328" s="7"/>
      <c r="EV328" s="7"/>
      <c r="EW328" s="7"/>
      <c r="EX328" s="7"/>
      <c r="EY328" s="7"/>
      <c r="EZ328" s="7"/>
      <c r="FA328" s="7"/>
      <c r="FB328" s="7"/>
      <c r="FC328" s="7"/>
      <c r="FD328" s="7"/>
      <c r="FE328" s="7"/>
      <c r="FF328" s="7"/>
      <c r="FG328" s="7"/>
      <c r="FH328" s="7"/>
      <c r="FI328" s="7"/>
      <c r="FJ328" s="7"/>
      <c r="FK328" s="7"/>
      <c r="FL328" s="7"/>
      <c r="FM328" s="7"/>
      <c r="FN328" s="7"/>
      <c r="FO328" s="7"/>
      <c r="FP328" s="7"/>
      <c r="FQ328" s="7"/>
      <c r="FR328" s="7"/>
      <c r="FS328" s="7"/>
      <c r="FT328" s="7"/>
      <c r="FU328" s="7"/>
      <c r="FV328" s="7"/>
      <c r="FW328" s="7"/>
      <c r="FX328" s="7"/>
      <c r="FY328" s="7"/>
      <c r="FZ328" s="7"/>
      <c r="GA328" s="7"/>
      <c r="GB328" s="7"/>
      <c r="GC328" s="7"/>
      <c r="GD328" s="7"/>
      <c r="GE328" s="7"/>
      <c r="GF328" s="7"/>
      <c r="GG328" s="7"/>
      <c r="GH328" s="7"/>
      <c r="GI328" s="7"/>
      <c r="GJ328" s="7"/>
      <c r="GK328" s="7"/>
      <c r="GL328" s="7"/>
      <c r="GM328" s="7"/>
      <c r="GN328" s="7"/>
      <c r="GO328" s="7"/>
      <c r="GP328" s="7"/>
      <c r="GQ328" s="7"/>
      <c r="GR328" s="7"/>
      <c r="GS328" s="7"/>
      <c r="GT328" s="7"/>
      <c r="GU328" s="7"/>
      <c r="GV328" s="7"/>
      <c r="GW328" s="7"/>
      <c r="GX328" s="7"/>
      <c r="GY328" s="7"/>
      <c r="GZ328" s="7"/>
      <c r="HA328" s="7"/>
      <c r="HB328" s="7"/>
      <c r="HC328" s="7"/>
      <c r="HD328" s="7"/>
      <c r="HE328" s="7"/>
      <c r="HF328" s="7"/>
      <c r="HG328" s="7"/>
      <c r="HH328" s="7"/>
      <c r="HI328" s="7"/>
      <c r="HJ328" s="7"/>
      <c r="HK328" s="7"/>
      <c r="HL328" s="7"/>
      <c r="HM328" s="7"/>
      <c r="HN328" s="7"/>
      <c r="HO328" s="7"/>
      <c r="HP328" s="7"/>
      <c r="HQ328" s="7"/>
      <c r="HR328" s="7"/>
      <c r="HS328" s="7"/>
      <c r="HT328" s="7"/>
      <c r="HU328" s="7"/>
      <c r="HV328" s="7"/>
      <c r="HW328" s="7"/>
      <c r="HX328" s="7"/>
      <c r="HY328" s="7"/>
      <c r="HZ328" s="7"/>
      <c r="IA328" s="7"/>
      <c r="IB328" s="7"/>
      <c r="IC328" s="7"/>
      <c r="ID328" s="7"/>
      <c r="IE328" s="7"/>
      <c r="IF328" s="7"/>
      <c r="IG328" s="7"/>
      <c r="IH328" s="7"/>
      <c r="II328" s="7"/>
      <c r="IJ328" s="7"/>
      <c r="IK328" s="7"/>
      <c r="IL328" s="7"/>
      <c r="IM328" s="7"/>
      <c r="IN328" s="7"/>
      <c r="IO328" s="7"/>
      <c r="IP328" s="7"/>
      <c r="IQ328" s="7"/>
      <c r="IR328" s="7"/>
      <c r="IS328" s="7"/>
      <c r="IT328" s="7"/>
      <c r="IU328" s="7"/>
      <c r="IV328" s="7"/>
    </row>
    <row r="329" spans="1:256">
      <c r="A329" s="233" t="str">
        <f>A105</f>
        <v>Bond 33</v>
      </c>
      <c r="B329" s="694">
        <f>B277*B105</f>
        <v>1.1166899597944109</v>
      </c>
      <c r="C329" s="694">
        <f t="shared" ref="C329:BN329" si="1111">C277*C105</f>
        <v>1.106717291859495</v>
      </c>
      <c r="D329" s="694">
        <f t="shared" si="1111"/>
        <v>1.0975658478124126</v>
      </c>
      <c r="E329" s="694">
        <f t="shared" si="1111"/>
        <v>1.0893442227244587</v>
      </c>
      <c r="F329" s="694">
        <f t="shared" si="1111"/>
        <v>1.0815588131081222</v>
      </c>
      <c r="G329" s="694">
        <f t="shared" si="1111"/>
        <v>1.0744005410778306</v>
      </c>
      <c r="H329" s="694">
        <f t="shared" si="1111"/>
        <v>1.0674107281295351</v>
      </c>
      <c r="I329" s="694">
        <f t="shared" si="1111"/>
        <v>1.0607799839917493</v>
      </c>
      <c r="J329" s="694">
        <f t="shared" si="1111"/>
        <v>1.0541052255426282</v>
      </c>
      <c r="K329" s="694">
        <f t="shared" si="1111"/>
        <v>1.0475910418850414</v>
      </c>
      <c r="L329" s="694">
        <f t="shared" si="1111"/>
        <v>1.0409027653047551</v>
      </c>
      <c r="M329" s="694">
        <f t="shared" si="1111"/>
        <v>1.034196425041441</v>
      </c>
      <c r="N329" s="694">
        <f t="shared" si="1111"/>
        <v>1.0271495559407218</v>
      </c>
      <c r="O329" s="694">
        <f t="shared" si="1111"/>
        <v>1.0200249284686329</v>
      </c>
      <c r="P329" s="694">
        <f t="shared" si="1111"/>
        <v>1.0124625112852979</v>
      </c>
      <c r="Q329" s="694">
        <f t="shared" si="1111"/>
        <v>1.0047636741406294</v>
      </c>
      <c r="R329" s="694">
        <f t="shared" si="1111"/>
        <v>0.99655759381339315</v>
      </c>
      <c r="S329" s="694">
        <f t="shared" si="1111"/>
        <v>0.98818724326053975</v>
      </c>
      <c r="T329" s="694">
        <f t="shared" si="1111"/>
        <v>0.9793141568353162</v>
      </c>
      <c r="U329" s="694">
        <f t="shared" si="1111"/>
        <v>0.97022575606173533</v>
      </c>
      <c r="V329" s="694">
        <f t="shared" si="1111"/>
        <v>86.724797681158776</v>
      </c>
      <c r="W329" s="694">
        <f t="shared" si="1111"/>
        <v>0</v>
      </c>
      <c r="X329" s="694">
        <f t="shared" si="1111"/>
        <v>0</v>
      </c>
      <c r="Y329" s="694">
        <f t="shared" si="1111"/>
        <v>0</v>
      </c>
      <c r="Z329" s="694">
        <f t="shared" si="1111"/>
        <v>0</v>
      </c>
      <c r="AA329" s="694">
        <f t="shared" si="1111"/>
        <v>0</v>
      </c>
      <c r="AB329" s="694">
        <f t="shared" si="1111"/>
        <v>0</v>
      </c>
      <c r="AC329" s="694">
        <f t="shared" si="1111"/>
        <v>0</v>
      </c>
      <c r="AD329" s="694">
        <f t="shared" si="1111"/>
        <v>0</v>
      </c>
      <c r="AE329" s="694">
        <f t="shared" si="1111"/>
        <v>0</v>
      </c>
      <c r="AF329" s="694">
        <f t="shared" si="1111"/>
        <v>0</v>
      </c>
      <c r="AG329" s="694">
        <f t="shared" si="1111"/>
        <v>0</v>
      </c>
      <c r="AH329" s="694">
        <f t="shared" si="1111"/>
        <v>0</v>
      </c>
      <c r="AI329" s="694">
        <f t="shared" si="1111"/>
        <v>0</v>
      </c>
      <c r="AJ329" s="694">
        <f t="shared" si="1111"/>
        <v>0</v>
      </c>
      <c r="AK329" s="694">
        <f t="shared" si="1111"/>
        <v>0</v>
      </c>
      <c r="AL329" s="694">
        <f t="shared" si="1111"/>
        <v>0</v>
      </c>
      <c r="AM329" s="694">
        <f t="shared" si="1111"/>
        <v>0</v>
      </c>
      <c r="AN329" s="694">
        <f t="shared" si="1111"/>
        <v>0</v>
      </c>
      <c r="AO329" s="694">
        <f t="shared" si="1111"/>
        <v>0</v>
      </c>
      <c r="AP329" s="694">
        <f t="shared" si="1111"/>
        <v>0</v>
      </c>
      <c r="AQ329" s="694">
        <f t="shared" si="1111"/>
        <v>0</v>
      </c>
      <c r="AR329" s="694">
        <f t="shared" si="1111"/>
        <v>0</v>
      </c>
      <c r="AS329" s="694">
        <f t="shared" si="1111"/>
        <v>0</v>
      </c>
      <c r="AT329" s="694">
        <f t="shared" si="1111"/>
        <v>0</v>
      </c>
      <c r="AU329" s="694">
        <f t="shared" si="1111"/>
        <v>0</v>
      </c>
      <c r="AV329" s="694">
        <f t="shared" si="1111"/>
        <v>0</v>
      </c>
      <c r="AW329" s="694">
        <f t="shared" si="1111"/>
        <v>0</v>
      </c>
      <c r="AX329" s="694">
        <f t="shared" si="1111"/>
        <v>0</v>
      </c>
      <c r="AY329" s="694">
        <f t="shared" si="1111"/>
        <v>0</v>
      </c>
      <c r="AZ329" s="694">
        <f t="shared" si="1111"/>
        <v>0</v>
      </c>
      <c r="BA329" s="694">
        <f t="shared" si="1111"/>
        <v>0</v>
      </c>
      <c r="BB329" s="694">
        <f t="shared" si="1111"/>
        <v>0</v>
      </c>
      <c r="BC329" s="694">
        <f t="shared" si="1111"/>
        <v>0</v>
      </c>
      <c r="BD329" s="694">
        <f t="shared" si="1111"/>
        <v>0</v>
      </c>
      <c r="BE329" s="694">
        <f t="shared" si="1111"/>
        <v>0</v>
      </c>
      <c r="BF329" s="694">
        <f t="shared" si="1111"/>
        <v>0</v>
      </c>
      <c r="BG329" s="694">
        <f t="shared" si="1111"/>
        <v>0</v>
      </c>
      <c r="BH329" s="694">
        <f t="shared" si="1111"/>
        <v>0</v>
      </c>
      <c r="BI329" s="694">
        <f t="shared" si="1111"/>
        <v>0</v>
      </c>
      <c r="BJ329" s="694">
        <f t="shared" si="1111"/>
        <v>0</v>
      </c>
      <c r="BK329" s="694">
        <f t="shared" si="1111"/>
        <v>0</v>
      </c>
      <c r="BL329" s="694">
        <f t="shared" si="1111"/>
        <v>0</v>
      </c>
      <c r="BM329" s="694">
        <f t="shared" si="1111"/>
        <v>0</v>
      </c>
      <c r="BN329" s="694">
        <f t="shared" si="1111"/>
        <v>0</v>
      </c>
      <c r="BO329" s="694">
        <f t="shared" ref="BO329:CB329" si="1112">BO277*BO105</f>
        <v>0</v>
      </c>
      <c r="BP329" s="694">
        <f t="shared" si="1112"/>
        <v>0</v>
      </c>
      <c r="BQ329" s="694">
        <f t="shared" si="1112"/>
        <v>0</v>
      </c>
      <c r="BR329" s="694">
        <f t="shared" si="1112"/>
        <v>0</v>
      </c>
      <c r="BS329" s="694">
        <f t="shared" si="1112"/>
        <v>0</v>
      </c>
      <c r="BT329" s="694">
        <f t="shared" si="1112"/>
        <v>0</v>
      </c>
      <c r="BU329" s="694">
        <f t="shared" si="1112"/>
        <v>0</v>
      </c>
      <c r="BV329" s="694">
        <f t="shared" si="1112"/>
        <v>0</v>
      </c>
      <c r="BW329" s="694">
        <f t="shared" si="1112"/>
        <v>0</v>
      </c>
      <c r="BX329" s="694">
        <f t="shared" si="1112"/>
        <v>0</v>
      </c>
      <c r="BY329" s="694">
        <f t="shared" si="1112"/>
        <v>0</v>
      </c>
      <c r="BZ329" s="694">
        <f t="shared" si="1112"/>
        <v>0</v>
      </c>
      <c r="CA329" s="694">
        <f t="shared" si="1112"/>
        <v>0</v>
      </c>
      <c r="CB329" s="694">
        <f t="shared" si="1112"/>
        <v>0</v>
      </c>
      <c r="CC329" s="19"/>
      <c r="CD329" s="19"/>
      <c r="CE329" s="19"/>
      <c r="CH329" s="693"/>
      <c r="CI329" s="693"/>
      <c r="CJ329" s="693"/>
      <c r="CK329" s="693"/>
      <c r="CL329" s="693"/>
      <c r="CM329" s="693"/>
      <c r="CN329" s="693"/>
      <c r="CO329" s="693"/>
      <c r="CP329" s="693"/>
      <c r="CQ329" s="693"/>
      <c r="CR329" s="693"/>
      <c r="CS329" s="693"/>
      <c r="CT329" s="693"/>
      <c r="CU329" s="693"/>
      <c r="CV329" s="693"/>
      <c r="CW329" s="693"/>
      <c r="CX329" s="693"/>
      <c r="CY329" s="693"/>
      <c r="CZ329" s="693"/>
      <c r="DA329" s="693"/>
      <c r="DB329" s="693"/>
      <c r="DC329" s="693"/>
      <c r="DD329" s="693"/>
      <c r="DE329" s="693"/>
      <c r="DF329" s="693"/>
      <c r="DG329" s="693"/>
      <c r="DH329" s="693"/>
      <c r="DI329" s="7"/>
      <c r="DJ329" s="7"/>
      <c r="DK329" s="7"/>
      <c r="DL329" s="7"/>
      <c r="DM329" s="7"/>
      <c r="DN329" s="7"/>
      <c r="DO329" s="7"/>
      <c r="DP329" s="7"/>
      <c r="DQ329" s="7"/>
      <c r="DR329" s="7"/>
      <c r="DS329" s="7"/>
      <c r="DT329" s="7"/>
      <c r="DU329" s="7"/>
      <c r="DV329" s="7"/>
      <c r="DW329" s="7"/>
      <c r="DX329" s="7"/>
      <c r="DY329" s="7"/>
      <c r="DZ329" s="7"/>
      <c r="EA329" s="7"/>
      <c r="EB329" s="7"/>
      <c r="EC329" s="7"/>
      <c r="ED329" s="7"/>
      <c r="EE329" s="7"/>
      <c r="EF329" s="7"/>
      <c r="EG329" s="7"/>
      <c r="EH329" s="7"/>
      <c r="EI329" s="7"/>
      <c r="EJ329" s="7"/>
      <c r="EK329" s="7"/>
      <c r="EL329" s="7"/>
      <c r="EM329" s="7"/>
      <c r="EN329" s="7"/>
      <c r="EO329" s="7"/>
      <c r="EP329" s="7"/>
      <c r="EQ329" s="7"/>
      <c r="ER329" s="7"/>
      <c r="ES329" s="7"/>
      <c r="ET329" s="7"/>
      <c r="EU329" s="7"/>
      <c r="EV329" s="7"/>
      <c r="EW329" s="7"/>
      <c r="EX329" s="7"/>
      <c r="EY329" s="7"/>
      <c r="EZ329" s="7"/>
      <c r="FA329" s="7"/>
      <c r="FB329" s="7"/>
      <c r="FC329" s="7"/>
      <c r="FD329" s="7"/>
      <c r="FE329" s="7"/>
      <c r="FF329" s="7"/>
      <c r="FG329" s="7"/>
      <c r="FH329" s="7"/>
      <c r="FI329" s="7"/>
      <c r="FJ329" s="7"/>
      <c r="FK329" s="7"/>
      <c r="FL329" s="7"/>
      <c r="FM329" s="7"/>
      <c r="FN329" s="7"/>
      <c r="FO329" s="7"/>
      <c r="FP329" s="7"/>
      <c r="FQ329" s="7"/>
      <c r="FR329" s="7"/>
      <c r="FS329" s="7"/>
      <c r="FT329" s="7"/>
      <c r="FU329" s="7"/>
      <c r="FV329" s="7"/>
      <c r="FW329" s="7"/>
      <c r="FX329" s="7"/>
      <c r="FY329" s="7"/>
      <c r="FZ329" s="7"/>
      <c r="GA329" s="7"/>
      <c r="GB329" s="7"/>
      <c r="GC329" s="7"/>
      <c r="GD329" s="7"/>
      <c r="GE329" s="7"/>
      <c r="GF329" s="7"/>
      <c r="GG329" s="7"/>
      <c r="GH329" s="7"/>
      <c r="GI329" s="7"/>
      <c r="GJ329" s="7"/>
      <c r="GK329" s="7"/>
      <c r="GL329" s="7"/>
      <c r="GM329" s="7"/>
      <c r="GN329" s="7"/>
      <c r="GO329" s="7"/>
      <c r="GP329" s="7"/>
      <c r="GQ329" s="7"/>
      <c r="GR329" s="7"/>
      <c r="GS329" s="7"/>
      <c r="GT329" s="7"/>
      <c r="GU329" s="7"/>
      <c r="GV329" s="7"/>
      <c r="GW329" s="7"/>
      <c r="GX329" s="7"/>
      <c r="GY329" s="7"/>
      <c r="GZ329" s="7"/>
      <c r="HA329" s="7"/>
      <c r="HB329" s="7"/>
      <c r="HC329" s="7"/>
      <c r="HD329" s="7"/>
      <c r="HE329" s="7"/>
      <c r="HF329" s="7"/>
      <c r="HG329" s="7"/>
      <c r="HH329" s="7"/>
      <c r="HI329" s="7"/>
      <c r="HJ329" s="7"/>
      <c r="HK329" s="7"/>
      <c r="HL329" s="7"/>
      <c r="HM329" s="7"/>
      <c r="HN329" s="7"/>
      <c r="HO329" s="7"/>
      <c r="HP329" s="7"/>
      <c r="HQ329" s="7"/>
      <c r="HR329" s="7"/>
      <c r="HS329" s="7"/>
      <c r="HT329" s="7"/>
      <c r="HU329" s="7"/>
      <c r="HV329" s="7"/>
      <c r="HW329" s="7"/>
      <c r="HX329" s="7"/>
      <c r="HY329" s="7"/>
      <c r="HZ329" s="7"/>
      <c r="IA329" s="7"/>
      <c r="IB329" s="7"/>
      <c r="IC329" s="7"/>
      <c r="ID329" s="7"/>
      <c r="IE329" s="7"/>
      <c r="IF329" s="7"/>
      <c r="IG329" s="7"/>
      <c r="IH329" s="7"/>
      <c r="II329" s="7"/>
      <c r="IJ329" s="7"/>
      <c r="IK329" s="7"/>
      <c r="IL329" s="7"/>
      <c r="IM329" s="7"/>
      <c r="IN329" s="7"/>
      <c r="IO329" s="7"/>
      <c r="IP329" s="7"/>
      <c r="IQ329" s="7"/>
      <c r="IR329" s="7"/>
      <c r="IS329" s="7"/>
      <c r="IT329" s="7"/>
      <c r="IU329" s="7"/>
      <c r="IV329" s="7"/>
    </row>
    <row r="330" spans="1:256">
      <c r="A330" s="233" t="str">
        <f>A107</f>
        <v>Bond 34</v>
      </c>
      <c r="B330" s="694">
        <f>B282*B107</f>
        <v>100.27352743794631</v>
      </c>
      <c r="C330" s="694">
        <f t="shared" ref="C330:BN330" si="1113">C282*C107</f>
        <v>0</v>
      </c>
      <c r="D330" s="694">
        <f t="shared" si="1113"/>
        <v>0</v>
      </c>
      <c r="E330" s="694">
        <f t="shared" si="1113"/>
        <v>0</v>
      </c>
      <c r="F330" s="694">
        <f t="shared" si="1113"/>
        <v>0</v>
      </c>
      <c r="G330" s="694">
        <f t="shared" si="1113"/>
        <v>0</v>
      </c>
      <c r="H330" s="694">
        <f t="shared" si="1113"/>
        <v>0</v>
      </c>
      <c r="I330" s="694">
        <f t="shared" si="1113"/>
        <v>0</v>
      </c>
      <c r="J330" s="694">
        <f t="shared" si="1113"/>
        <v>0</v>
      </c>
      <c r="K330" s="694">
        <f t="shared" si="1113"/>
        <v>0</v>
      </c>
      <c r="L330" s="694">
        <f t="shared" si="1113"/>
        <v>0</v>
      </c>
      <c r="M330" s="694">
        <f t="shared" si="1113"/>
        <v>0</v>
      </c>
      <c r="N330" s="694">
        <f t="shared" si="1113"/>
        <v>0</v>
      </c>
      <c r="O330" s="694">
        <f t="shared" si="1113"/>
        <v>0</v>
      </c>
      <c r="P330" s="694">
        <f t="shared" si="1113"/>
        <v>0</v>
      </c>
      <c r="Q330" s="694">
        <f t="shared" si="1113"/>
        <v>0</v>
      </c>
      <c r="R330" s="694">
        <f t="shared" si="1113"/>
        <v>0</v>
      </c>
      <c r="S330" s="694">
        <f t="shared" si="1113"/>
        <v>0</v>
      </c>
      <c r="T330" s="694">
        <f t="shared" si="1113"/>
        <v>0</v>
      </c>
      <c r="U330" s="694">
        <f t="shared" si="1113"/>
        <v>0</v>
      </c>
      <c r="V330" s="694">
        <f t="shared" si="1113"/>
        <v>0</v>
      </c>
      <c r="W330" s="694">
        <f t="shared" si="1113"/>
        <v>0</v>
      </c>
      <c r="X330" s="694">
        <f t="shared" si="1113"/>
        <v>0</v>
      </c>
      <c r="Y330" s="694">
        <f t="shared" si="1113"/>
        <v>0</v>
      </c>
      <c r="Z330" s="694">
        <f t="shared" si="1113"/>
        <v>0</v>
      </c>
      <c r="AA330" s="694">
        <f t="shared" si="1113"/>
        <v>0</v>
      </c>
      <c r="AB330" s="694">
        <f t="shared" si="1113"/>
        <v>0</v>
      </c>
      <c r="AC330" s="694">
        <f t="shared" si="1113"/>
        <v>0</v>
      </c>
      <c r="AD330" s="694">
        <f t="shared" si="1113"/>
        <v>0</v>
      </c>
      <c r="AE330" s="694">
        <f t="shared" si="1113"/>
        <v>0</v>
      </c>
      <c r="AF330" s="694">
        <f t="shared" si="1113"/>
        <v>0</v>
      </c>
      <c r="AG330" s="694">
        <f t="shared" si="1113"/>
        <v>0</v>
      </c>
      <c r="AH330" s="694">
        <f t="shared" si="1113"/>
        <v>0</v>
      </c>
      <c r="AI330" s="694">
        <f t="shared" si="1113"/>
        <v>0</v>
      </c>
      <c r="AJ330" s="694">
        <f t="shared" si="1113"/>
        <v>0</v>
      </c>
      <c r="AK330" s="694">
        <f t="shared" si="1113"/>
        <v>0</v>
      </c>
      <c r="AL330" s="694">
        <f t="shared" si="1113"/>
        <v>0</v>
      </c>
      <c r="AM330" s="694">
        <f t="shared" si="1113"/>
        <v>0</v>
      </c>
      <c r="AN330" s="694">
        <f t="shared" si="1113"/>
        <v>0</v>
      </c>
      <c r="AO330" s="694">
        <f t="shared" si="1113"/>
        <v>0</v>
      </c>
      <c r="AP330" s="694">
        <f t="shared" si="1113"/>
        <v>0</v>
      </c>
      <c r="AQ330" s="694">
        <f t="shared" si="1113"/>
        <v>0</v>
      </c>
      <c r="AR330" s="694">
        <f t="shared" si="1113"/>
        <v>0</v>
      </c>
      <c r="AS330" s="694">
        <f t="shared" si="1113"/>
        <v>0</v>
      </c>
      <c r="AT330" s="694">
        <f t="shared" si="1113"/>
        <v>0</v>
      </c>
      <c r="AU330" s="694">
        <f t="shared" si="1113"/>
        <v>0</v>
      </c>
      <c r="AV330" s="694">
        <f t="shared" si="1113"/>
        <v>0</v>
      </c>
      <c r="AW330" s="694">
        <f t="shared" si="1113"/>
        <v>0</v>
      </c>
      <c r="AX330" s="694">
        <f t="shared" si="1113"/>
        <v>0</v>
      </c>
      <c r="AY330" s="694">
        <f t="shared" si="1113"/>
        <v>0</v>
      </c>
      <c r="AZ330" s="694">
        <f t="shared" si="1113"/>
        <v>0</v>
      </c>
      <c r="BA330" s="694">
        <f t="shared" si="1113"/>
        <v>0</v>
      </c>
      <c r="BB330" s="694">
        <f t="shared" si="1113"/>
        <v>0</v>
      </c>
      <c r="BC330" s="694">
        <f t="shared" si="1113"/>
        <v>0</v>
      </c>
      <c r="BD330" s="694">
        <f t="shared" si="1113"/>
        <v>0</v>
      </c>
      <c r="BE330" s="694">
        <f t="shared" si="1113"/>
        <v>0</v>
      </c>
      <c r="BF330" s="694">
        <f t="shared" si="1113"/>
        <v>0</v>
      </c>
      <c r="BG330" s="694">
        <f t="shared" si="1113"/>
        <v>0</v>
      </c>
      <c r="BH330" s="694">
        <f t="shared" si="1113"/>
        <v>0</v>
      </c>
      <c r="BI330" s="694">
        <f t="shared" si="1113"/>
        <v>0</v>
      </c>
      <c r="BJ330" s="694">
        <f t="shared" si="1113"/>
        <v>0</v>
      </c>
      <c r="BK330" s="694">
        <f t="shared" si="1113"/>
        <v>0</v>
      </c>
      <c r="BL330" s="694">
        <f t="shared" si="1113"/>
        <v>0</v>
      </c>
      <c r="BM330" s="694">
        <f t="shared" si="1113"/>
        <v>0</v>
      </c>
      <c r="BN330" s="694">
        <f t="shared" si="1113"/>
        <v>0</v>
      </c>
      <c r="BO330" s="694">
        <f t="shared" ref="BO330:CB330" si="1114">BO282*BO107</f>
        <v>0</v>
      </c>
      <c r="BP330" s="694">
        <f t="shared" si="1114"/>
        <v>0</v>
      </c>
      <c r="BQ330" s="694">
        <f t="shared" si="1114"/>
        <v>0</v>
      </c>
      <c r="BR330" s="694">
        <f t="shared" si="1114"/>
        <v>0</v>
      </c>
      <c r="BS330" s="694">
        <f t="shared" si="1114"/>
        <v>0</v>
      </c>
      <c r="BT330" s="694">
        <f t="shared" si="1114"/>
        <v>0</v>
      </c>
      <c r="BU330" s="694">
        <f t="shared" si="1114"/>
        <v>0</v>
      </c>
      <c r="BV330" s="694">
        <f t="shared" si="1114"/>
        <v>0</v>
      </c>
      <c r="BW330" s="694">
        <f t="shared" si="1114"/>
        <v>0</v>
      </c>
      <c r="BX330" s="694">
        <f t="shared" si="1114"/>
        <v>0</v>
      </c>
      <c r="BY330" s="694">
        <f t="shared" si="1114"/>
        <v>0</v>
      </c>
      <c r="BZ330" s="694">
        <f t="shared" si="1114"/>
        <v>0</v>
      </c>
      <c r="CA330" s="694">
        <f t="shared" si="1114"/>
        <v>0</v>
      </c>
      <c r="CB330" s="694">
        <f t="shared" si="1114"/>
        <v>0</v>
      </c>
      <c r="CC330" s="19"/>
      <c r="CD330" s="19"/>
      <c r="CE330" s="19"/>
      <c r="CH330" s="693"/>
      <c r="CI330" s="693"/>
      <c r="CJ330" s="693"/>
      <c r="CK330" s="693"/>
      <c r="CL330" s="693"/>
      <c r="CM330" s="693"/>
      <c r="CN330" s="693"/>
      <c r="CO330" s="693"/>
      <c r="CP330" s="693"/>
      <c r="CQ330" s="693"/>
      <c r="CR330" s="693"/>
      <c r="CS330" s="693"/>
      <c r="CT330" s="693"/>
      <c r="CU330" s="693"/>
      <c r="CV330" s="693"/>
      <c r="CW330" s="693"/>
      <c r="CX330" s="693"/>
      <c r="CY330" s="693"/>
      <c r="CZ330" s="693"/>
      <c r="DA330" s="693"/>
      <c r="DB330" s="693"/>
      <c r="DC330" s="693"/>
      <c r="DD330" s="693"/>
      <c r="DE330" s="693"/>
      <c r="DF330" s="693"/>
      <c r="DG330" s="693"/>
      <c r="DH330" s="693"/>
      <c r="DI330" s="7"/>
      <c r="DJ330" s="7"/>
      <c r="DK330" s="7"/>
      <c r="DL330" s="7"/>
      <c r="DM330" s="7"/>
      <c r="DN330" s="7"/>
      <c r="DO330" s="7"/>
      <c r="DP330" s="7"/>
      <c r="DQ330" s="7"/>
      <c r="DR330" s="7"/>
      <c r="DS330" s="7"/>
      <c r="DT330" s="7"/>
      <c r="DU330" s="7"/>
      <c r="DV330" s="7"/>
      <c r="DW330" s="7"/>
      <c r="DX330" s="7"/>
      <c r="DY330" s="7"/>
      <c r="DZ330" s="7"/>
      <c r="EA330" s="7"/>
      <c r="EB330" s="7"/>
      <c r="EC330" s="7"/>
      <c r="ED330" s="7"/>
      <c r="EE330" s="7"/>
      <c r="EF330" s="7"/>
      <c r="EG330" s="7"/>
      <c r="EH330" s="7"/>
      <c r="EI330" s="7"/>
      <c r="EJ330" s="7"/>
      <c r="EK330" s="7"/>
      <c r="EL330" s="7"/>
      <c r="EM330" s="7"/>
      <c r="EN330" s="7"/>
      <c r="EO330" s="7"/>
      <c r="EP330" s="7"/>
      <c r="EQ330" s="7"/>
      <c r="ER330" s="7"/>
      <c r="ES330" s="7"/>
      <c r="ET330" s="7"/>
      <c r="EU330" s="7"/>
      <c r="EV330" s="7"/>
      <c r="EW330" s="7"/>
      <c r="EX330" s="7"/>
      <c r="EY330" s="7"/>
      <c r="EZ330" s="7"/>
      <c r="FA330" s="7"/>
      <c r="FB330" s="7"/>
      <c r="FC330" s="7"/>
      <c r="FD330" s="7"/>
      <c r="FE330" s="7"/>
      <c r="FF330" s="7"/>
      <c r="FG330" s="7"/>
      <c r="FH330" s="7"/>
      <c r="FI330" s="7"/>
      <c r="FJ330" s="7"/>
      <c r="FK330" s="7"/>
      <c r="FL330" s="7"/>
      <c r="FM330" s="7"/>
      <c r="FN330" s="7"/>
      <c r="FO330" s="7"/>
      <c r="FP330" s="7"/>
      <c r="FQ330" s="7"/>
      <c r="FR330" s="7"/>
      <c r="FS330" s="7"/>
      <c r="FT330" s="7"/>
      <c r="FU330" s="7"/>
      <c r="FV330" s="7"/>
      <c r="FW330" s="7"/>
      <c r="FX330" s="7"/>
      <c r="FY330" s="7"/>
      <c r="FZ330" s="7"/>
      <c r="GA330" s="7"/>
      <c r="GB330" s="7"/>
      <c r="GC330" s="7"/>
      <c r="GD330" s="7"/>
      <c r="GE330" s="7"/>
      <c r="GF330" s="7"/>
      <c r="GG330" s="7"/>
      <c r="GH330" s="7"/>
      <c r="GI330" s="7"/>
      <c r="GJ330" s="7"/>
      <c r="GK330" s="7"/>
      <c r="GL330" s="7"/>
      <c r="GM330" s="7"/>
      <c r="GN330" s="7"/>
      <c r="GO330" s="7"/>
      <c r="GP330" s="7"/>
      <c r="GQ330" s="7"/>
      <c r="GR330" s="7"/>
      <c r="GS330" s="7"/>
      <c r="GT330" s="7"/>
      <c r="GU330" s="7"/>
      <c r="GV330" s="7"/>
      <c r="GW330" s="7"/>
      <c r="GX330" s="7"/>
      <c r="GY330" s="7"/>
      <c r="GZ330" s="7"/>
      <c r="HA330" s="7"/>
      <c r="HB330" s="7"/>
      <c r="HC330" s="7"/>
      <c r="HD330" s="7"/>
      <c r="HE330" s="7"/>
      <c r="HF330" s="7"/>
      <c r="HG330" s="7"/>
      <c r="HH330" s="7"/>
      <c r="HI330" s="7"/>
      <c r="HJ330" s="7"/>
      <c r="HK330" s="7"/>
      <c r="HL330" s="7"/>
      <c r="HM330" s="7"/>
      <c r="HN330" s="7"/>
      <c r="HO330" s="7"/>
      <c r="HP330" s="7"/>
      <c r="HQ330" s="7"/>
      <c r="HR330" s="7"/>
      <c r="HS330" s="7"/>
      <c r="HT330" s="7"/>
      <c r="HU330" s="7"/>
      <c r="HV330" s="7"/>
      <c r="HW330" s="7"/>
      <c r="HX330" s="7"/>
      <c r="HY330" s="7"/>
      <c r="HZ330" s="7"/>
      <c r="IA330" s="7"/>
      <c r="IB330" s="7"/>
      <c r="IC330" s="7"/>
      <c r="ID330" s="7"/>
      <c r="IE330" s="7"/>
      <c r="IF330" s="7"/>
      <c r="IG330" s="7"/>
      <c r="IH330" s="7"/>
      <c r="II330" s="7"/>
      <c r="IJ330" s="7"/>
      <c r="IK330" s="7"/>
      <c r="IL330" s="7"/>
      <c r="IM330" s="7"/>
      <c r="IN330" s="7"/>
      <c r="IO330" s="7"/>
      <c r="IP330" s="7"/>
      <c r="IQ330" s="7"/>
      <c r="IR330" s="7"/>
      <c r="IS330" s="7"/>
      <c r="IT330" s="7"/>
      <c r="IU330" s="7"/>
      <c r="IV330" s="7"/>
    </row>
    <row r="331" spans="1:256">
      <c r="A331" s="233" t="str">
        <f>A109</f>
        <v>Bond 35</v>
      </c>
      <c r="B331" s="694">
        <f>B287*B109</f>
        <v>0.91247985858426728</v>
      </c>
      <c r="C331" s="694">
        <f t="shared" ref="C331:BN331" si="1115">C287*C109</f>
        <v>0.90472196147273098</v>
      </c>
      <c r="D331" s="694">
        <f t="shared" si="1115"/>
        <v>0.89763384116912648</v>
      </c>
      <c r="E331" s="694">
        <f t="shared" si="1115"/>
        <v>0.89110956221352333</v>
      </c>
      <c r="F331" s="694">
        <f t="shared" si="1115"/>
        <v>0.8850158493991449</v>
      </c>
      <c r="G331" s="694">
        <f t="shared" si="1115"/>
        <v>0.87923553260297738</v>
      </c>
      <c r="H331" s="694">
        <f t="shared" si="1115"/>
        <v>0.87366573230862166</v>
      </c>
      <c r="I331" s="694">
        <f t="shared" si="1115"/>
        <v>0.86821634248745372</v>
      </c>
      <c r="J331" s="694">
        <f t="shared" si="1115"/>
        <v>0.8628087485423438</v>
      </c>
      <c r="K331" s="694">
        <f t="shared" si="1115"/>
        <v>0.85740510507382406</v>
      </c>
      <c r="L331" s="694">
        <f t="shared" si="1115"/>
        <v>93.44824627185956</v>
      </c>
      <c r="M331" s="694">
        <f t="shared" si="1115"/>
        <v>0</v>
      </c>
      <c r="N331" s="694">
        <f t="shared" si="1115"/>
        <v>0</v>
      </c>
      <c r="O331" s="694">
        <f t="shared" si="1115"/>
        <v>0</v>
      </c>
      <c r="P331" s="694">
        <f t="shared" si="1115"/>
        <v>0</v>
      </c>
      <c r="Q331" s="694">
        <f t="shared" si="1115"/>
        <v>0</v>
      </c>
      <c r="R331" s="694">
        <f t="shared" si="1115"/>
        <v>0</v>
      </c>
      <c r="S331" s="694">
        <f t="shared" si="1115"/>
        <v>0</v>
      </c>
      <c r="T331" s="694">
        <f t="shared" si="1115"/>
        <v>0</v>
      </c>
      <c r="U331" s="694">
        <f t="shared" si="1115"/>
        <v>0</v>
      </c>
      <c r="V331" s="694">
        <f t="shared" si="1115"/>
        <v>0</v>
      </c>
      <c r="W331" s="694">
        <f t="shared" si="1115"/>
        <v>0</v>
      </c>
      <c r="X331" s="694">
        <f t="shared" si="1115"/>
        <v>0</v>
      </c>
      <c r="Y331" s="694">
        <f t="shared" si="1115"/>
        <v>0</v>
      </c>
      <c r="Z331" s="694">
        <f t="shared" si="1115"/>
        <v>0</v>
      </c>
      <c r="AA331" s="694">
        <f t="shared" si="1115"/>
        <v>0</v>
      </c>
      <c r="AB331" s="694">
        <f t="shared" si="1115"/>
        <v>0</v>
      </c>
      <c r="AC331" s="694">
        <f t="shared" si="1115"/>
        <v>0</v>
      </c>
      <c r="AD331" s="694">
        <f t="shared" si="1115"/>
        <v>0</v>
      </c>
      <c r="AE331" s="694">
        <f t="shared" si="1115"/>
        <v>0</v>
      </c>
      <c r="AF331" s="694">
        <f t="shared" si="1115"/>
        <v>0</v>
      </c>
      <c r="AG331" s="694">
        <f t="shared" si="1115"/>
        <v>0</v>
      </c>
      <c r="AH331" s="694">
        <f t="shared" si="1115"/>
        <v>0</v>
      </c>
      <c r="AI331" s="694">
        <f t="shared" si="1115"/>
        <v>0</v>
      </c>
      <c r="AJ331" s="694">
        <f t="shared" si="1115"/>
        <v>0</v>
      </c>
      <c r="AK331" s="694">
        <f t="shared" si="1115"/>
        <v>0</v>
      </c>
      <c r="AL331" s="694">
        <f t="shared" si="1115"/>
        <v>0</v>
      </c>
      <c r="AM331" s="694">
        <f t="shared" si="1115"/>
        <v>0</v>
      </c>
      <c r="AN331" s="694">
        <f t="shared" si="1115"/>
        <v>0</v>
      </c>
      <c r="AO331" s="694">
        <f t="shared" si="1115"/>
        <v>0</v>
      </c>
      <c r="AP331" s="694">
        <f t="shared" si="1115"/>
        <v>0</v>
      </c>
      <c r="AQ331" s="694">
        <f t="shared" si="1115"/>
        <v>0</v>
      </c>
      <c r="AR331" s="694">
        <f t="shared" si="1115"/>
        <v>0</v>
      </c>
      <c r="AS331" s="694">
        <f t="shared" si="1115"/>
        <v>0</v>
      </c>
      <c r="AT331" s="694">
        <f t="shared" si="1115"/>
        <v>0</v>
      </c>
      <c r="AU331" s="694">
        <f t="shared" si="1115"/>
        <v>0</v>
      </c>
      <c r="AV331" s="694">
        <f t="shared" si="1115"/>
        <v>0</v>
      </c>
      <c r="AW331" s="694">
        <f t="shared" si="1115"/>
        <v>0</v>
      </c>
      <c r="AX331" s="694">
        <f t="shared" si="1115"/>
        <v>0</v>
      </c>
      <c r="AY331" s="694">
        <f t="shared" si="1115"/>
        <v>0</v>
      </c>
      <c r="AZ331" s="694">
        <f t="shared" si="1115"/>
        <v>0</v>
      </c>
      <c r="BA331" s="694">
        <f t="shared" si="1115"/>
        <v>0</v>
      </c>
      <c r="BB331" s="694">
        <f t="shared" si="1115"/>
        <v>0</v>
      </c>
      <c r="BC331" s="694">
        <f t="shared" si="1115"/>
        <v>0</v>
      </c>
      <c r="BD331" s="694">
        <f t="shared" si="1115"/>
        <v>0</v>
      </c>
      <c r="BE331" s="694">
        <f t="shared" si="1115"/>
        <v>0</v>
      </c>
      <c r="BF331" s="694">
        <f t="shared" si="1115"/>
        <v>0</v>
      </c>
      <c r="BG331" s="694">
        <f t="shared" si="1115"/>
        <v>0</v>
      </c>
      <c r="BH331" s="694">
        <f t="shared" si="1115"/>
        <v>0</v>
      </c>
      <c r="BI331" s="694">
        <f t="shared" si="1115"/>
        <v>0</v>
      </c>
      <c r="BJ331" s="694">
        <f t="shared" si="1115"/>
        <v>0</v>
      </c>
      <c r="BK331" s="694">
        <f t="shared" si="1115"/>
        <v>0</v>
      </c>
      <c r="BL331" s="694">
        <f t="shared" si="1115"/>
        <v>0</v>
      </c>
      <c r="BM331" s="694">
        <f t="shared" si="1115"/>
        <v>0</v>
      </c>
      <c r="BN331" s="694">
        <f t="shared" si="1115"/>
        <v>0</v>
      </c>
      <c r="BO331" s="694">
        <f t="shared" ref="BO331:CB331" si="1116">BO287*BO109</f>
        <v>0</v>
      </c>
      <c r="BP331" s="694">
        <f t="shared" si="1116"/>
        <v>0</v>
      </c>
      <c r="BQ331" s="694">
        <f t="shared" si="1116"/>
        <v>0</v>
      </c>
      <c r="BR331" s="694">
        <f t="shared" si="1116"/>
        <v>0</v>
      </c>
      <c r="BS331" s="694">
        <f t="shared" si="1116"/>
        <v>0</v>
      </c>
      <c r="BT331" s="694">
        <f t="shared" si="1116"/>
        <v>0</v>
      </c>
      <c r="BU331" s="694">
        <f t="shared" si="1116"/>
        <v>0</v>
      </c>
      <c r="BV331" s="694">
        <f t="shared" si="1116"/>
        <v>0</v>
      </c>
      <c r="BW331" s="694">
        <f t="shared" si="1116"/>
        <v>0</v>
      </c>
      <c r="BX331" s="694">
        <f t="shared" si="1116"/>
        <v>0</v>
      </c>
      <c r="BY331" s="694">
        <f t="shared" si="1116"/>
        <v>0</v>
      </c>
      <c r="BZ331" s="694">
        <f t="shared" si="1116"/>
        <v>0</v>
      </c>
      <c r="CA331" s="694">
        <f t="shared" si="1116"/>
        <v>0</v>
      </c>
      <c r="CB331" s="694">
        <f t="shared" si="1116"/>
        <v>0</v>
      </c>
      <c r="CC331" s="19"/>
      <c r="CD331" s="19"/>
      <c r="CE331" s="19"/>
      <c r="CH331" s="693"/>
      <c r="CI331" s="693"/>
      <c r="CJ331" s="693"/>
      <c r="CK331" s="693"/>
      <c r="CL331" s="693"/>
      <c r="CM331" s="693"/>
      <c r="CN331" s="693"/>
      <c r="CO331" s="693"/>
      <c r="CP331" s="693"/>
      <c r="CQ331" s="693"/>
      <c r="CR331" s="693"/>
      <c r="CS331" s="693"/>
      <c r="CT331" s="693"/>
      <c r="CU331" s="693"/>
      <c r="CV331" s="693"/>
      <c r="CW331" s="693"/>
      <c r="CX331" s="693"/>
      <c r="CY331" s="693"/>
      <c r="CZ331" s="693"/>
      <c r="DA331" s="693"/>
      <c r="DB331" s="693"/>
      <c r="DC331" s="693"/>
      <c r="DD331" s="693"/>
      <c r="DE331" s="693"/>
      <c r="DF331" s="693"/>
      <c r="DG331" s="693"/>
      <c r="DH331" s="693"/>
      <c r="DI331" s="7"/>
      <c r="DJ331" s="7"/>
      <c r="DK331" s="7"/>
      <c r="DL331" s="7"/>
      <c r="DM331" s="7"/>
      <c r="DN331" s="7"/>
      <c r="DO331" s="7"/>
      <c r="DP331" s="7"/>
      <c r="DQ331" s="7"/>
      <c r="DR331" s="7"/>
      <c r="DS331" s="7"/>
      <c r="DT331" s="7"/>
      <c r="DU331" s="7"/>
      <c r="DV331" s="7"/>
      <c r="DW331" s="7"/>
      <c r="DX331" s="7"/>
      <c r="DY331" s="7"/>
      <c r="DZ331" s="7"/>
      <c r="EA331" s="7"/>
      <c r="EB331" s="7"/>
      <c r="EC331" s="7"/>
      <c r="ED331" s="7"/>
      <c r="EE331" s="7"/>
      <c r="EF331" s="7"/>
      <c r="EG331" s="7"/>
      <c r="EH331" s="7"/>
      <c r="EI331" s="7"/>
      <c r="EJ331" s="7"/>
      <c r="EK331" s="7"/>
      <c r="EL331" s="7"/>
      <c r="EM331" s="7"/>
      <c r="EN331" s="7"/>
      <c r="EO331" s="7"/>
      <c r="EP331" s="7"/>
      <c r="EQ331" s="7"/>
      <c r="ER331" s="7"/>
      <c r="ES331" s="7"/>
      <c r="ET331" s="7"/>
      <c r="EU331" s="7"/>
      <c r="EV331" s="7"/>
      <c r="EW331" s="7"/>
      <c r="EX331" s="7"/>
      <c r="EY331" s="7"/>
      <c r="EZ331" s="7"/>
      <c r="FA331" s="7"/>
      <c r="FB331" s="7"/>
      <c r="FC331" s="7"/>
      <c r="FD331" s="7"/>
      <c r="FE331" s="7"/>
      <c r="FF331" s="7"/>
      <c r="FG331" s="7"/>
      <c r="FH331" s="7"/>
      <c r="FI331" s="7"/>
      <c r="FJ331" s="7"/>
      <c r="FK331" s="7"/>
      <c r="FL331" s="7"/>
      <c r="FM331" s="7"/>
      <c r="FN331" s="7"/>
      <c r="FO331" s="7"/>
      <c r="FP331" s="7"/>
      <c r="FQ331" s="7"/>
      <c r="FR331" s="7"/>
      <c r="FS331" s="7"/>
      <c r="FT331" s="7"/>
      <c r="FU331" s="7"/>
      <c r="FV331" s="7"/>
      <c r="FW331" s="7"/>
      <c r="FX331" s="7"/>
      <c r="FY331" s="7"/>
      <c r="FZ331" s="7"/>
      <c r="GA331" s="7"/>
      <c r="GB331" s="7"/>
      <c r="GC331" s="7"/>
      <c r="GD331" s="7"/>
      <c r="GE331" s="7"/>
      <c r="GF331" s="7"/>
      <c r="GG331" s="7"/>
      <c r="GH331" s="7"/>
      <c r="GI331" s="7"/>
      <c r="GJ331" s="7"/>
      <c r="GK331" s="7"/>
      <c r="GL331" s="7"/>
      <c r="GM331" s="7"/>
      <c r="GN331" s="7"/>
      <c r="GO331" s="7"/>
      <c r="GP331" s="7"/>
      <c r="GQ331" s="7"/>
      <c r="GR331" s="7"/>
      <c r="GS331" s="7"/>
      <c r="GT331" s="7"/>
      <c r="GU331" s="7"/>
      <c r="GV331" s="7"/>
      <c r="GW331" s="7"/>
      <c r="GX331" s="7"/>
      <c r="GY331" s="7"/>
      <c r="GZ331" s="7"/>
      <c r="HA331" s="7"/>
      <c r="HB331" s="7"/>
      <c r="HC331" s="7"/>
      <c r="HD331" s="7"/>
      <c r="HE331" s="7"/>
      <c r="HF331" s="7"/>
      <c r="HG331" s="7"/>
      <c r="HH331" s="7"/>
      <c r="HI331" s="7"/>
      <c r="HJ331" s="7"/>
      <c r="HK331" s="7"/>
      <c r="HL331" s="7"/>
      <c r="HM331" s="7"/>
      <c r="HN331" s="7"/>
      <c r="HO331" s="7"/>
      <c r="HP331" s="7"/>
      <c r="HQ331" s="7"/>
      <c r="HR331" s="7"/>
      <c r="HS331" s="7"/>
      <c r="HT331" s="7"/>
      <c r="HU331" s="7"/>
      <c r="HV331" s="7"/>
      <c r="HW331" s="7"/>
      <c r="HX331" s="7"/>
      <c r="HY331" s="7"/>
      <c r="HZ331" s="7"/>
      <c r="IA331" s="7"/>
      <c r="IB331" s="7"/>
      <c r="IC331" s="7"/>
      <c r="ID331" s="7"/>
      <c r="IE331" s="7"/>
      <c r="IF331" s="7"/>
      <c r="IG331" s="7"/>
      <c r="IH331" s="7"/>
      <c r="II331" s="7"/>
      <c r="IJ331" s="7"/>
      <c r="IK331" s="7"/>
      <c r="IL331" s="7"/>
      <c r="IM331" s="7"/>
      <c r="IN331" s="7"/>
      <c r="IO331" s="7"/>
      <c r="IP331" s="7"/>
      <c r="IQ331" s="7"/>
      <c r="IR331" s="7"/>
      <c r="IS331" s="7"/>
      <c r="IT331" s="7"/>
      <c r="IU331" s="7"/>
      <c r="IV331" s="7"/>
    </row>
    <row r="332" spans="1:256">
      <c r="A332" s="233" t="str">
        <f>A111</f>
        <v>Bond 36</v>
      </c>
      <c r="B332" s="694">
        <f>B292*B111</f>
        <v>99.767606975186766</v>
      </c>
      <c r="C332" s="694">
        <f t="shared" ref="C332:BN332" si="1117">C292*C111</f>
        <v>0</v>
      </c>
      <c r="D332" s="694">
        <f t="shared" si="1117"/>
        <v>0</v>
      </c>
      <c r="E332" s="694">
        <f t="shared" si="1117"/>
        <v>0</v>
      </c>
      <c r="F332" s="694">
        <f t="shared" si="1117"/>
        <v>0</v>
      </c>
      <c r="G332" s="694">
        <f t="shared" si="1117"/>
        <v>0</v>
      </c>
      <c r="H332" s="694">
        <f t="shared" si="1117"/>
        <v>0</v>
      </c>
      <c r="I332" s="694">
        <f t="shared" si="1117"/>
        <v>0</v>
      </c>
      <c r="J332" s="694">
        <f t="shared" si="1117"/>
        <v>0</v>
      </c>
      <c r="K332" s="694">
        <f t="shared" si="1117"/>
        <v>0</v>
      </c>
      <c r="L332" s="694">
        <f t="shared" si="1117"/>
        <v>0</v>
      </c>
      <c r="M332" s="694">
        <f t="shared" si="1117"/>
        <v>0</v>
      </c>
      <c r="N332" s="694">
        <f t="shared" si="1117"/>
        <v>0</v>
      </c>
      <c r="O332" s="694">
        <f t="shared" si="1117"/>
        <v>0</v>
      </c>
      <c r="P332" s="694">
        <f t="shared" si="1117"/>
        <v>0</v>
      </c>
      <c r="Q332" s="694">
        <f t="shared" si="1117"/>
        <v>0</v>
      </c>
      <c r="R332" s="694">
        <f t="shared" si="1117"/>
        <v>0</v>
      </c>
      <c r="S332" s="694">
        <f t="shared" si="1117"/>
        <v>0</v>
      </c>
      <c r="T332" s="694">
        <f t="shared" si="1117"/>
        <v>0</v>
      </c>
      <c r="U332" s="694">
        <f t="shared" si="1117"/>
        <v>0</v>
      </c>
      <c r="V332" s="694">
        <f t="shared" si="1117"/>
        <v>0</v>
      </c>
      <c r="W332" s="694">
        <f t="shared" si="1117"/>
        <v>0</v>
      </c>
      <c r="X332" s="694">
        <f t="shared" si="1117"/>
        <v>0</v>
      </c>
      <c r="Y332" s="694">
        <f t="shared" si="1117"/>
        <v>0</v>
      </c>
      <c r="Z332" s="694">
        <f t="shared" si="1117"/>
        <v>0</v>
      </c>
      <c r="AA332" s="694">
        <f t="shared" si="1117"/>
        <v>0</v>
      </c>
      <c r="AB332" s="694">
        <f t="shared" si="1117"/>
        <v>0</v>
      </c>
      <c r="AC332" s="694">
        <f t="shared" si="1117"/>
        <v>0</v>
      </c>
      <c r="AD332" s="694">
        <f t="shared" si="1117"/>
        <v>0</v>
      </c>
      <c r="AE332" s="694">
        <f t="shared" si="1117"/>
        <v>0</v>
      </c>
      <c r="AF332" s="694">
        <f t="shared" si="1117"/>
        <v>0</v>
      </c>
      <c r="AG332" s="694">
        <f t="shared" si="1117"/>
        <v>0</v>
      </c>
      <c r="AH332" s="694">
        <f t="shared" si="1117"/>
        <v>0</v>
      </c>
      <c r="AI332" s="694">
        <f t="shared" si="1117"/>
        <v>0</v>
      </c>
      <c r="AJ332" s="694">
        <f t="shared" si="1117"/>
        <v>0</v>
      </c>
      <c r="AK332" s="694">
        <f t="shared" si="1117"/>
        <v>0</v>
      </c>
      <c r="AL332" s="694">
        <f t="shared" si="1117"/>
        <v>0</v>
      </c>
      <c r="AM332" s="694">
        <f t="shared" si="1117"/>
        <v>0</v>
      </c>
      <c r="AN332" s="694">
        <f t="shared" si="1117"/>
        <v>0</v>
      </c>
      <c r="AO332" s="694">
        <f t="shared" si="1117"/>
        <v>0</v>
      </c>
      <c r="AP332" s="694">
        <f t="shared" si="1117"/>
        <v>0</v>
      </c>
      <c r="AQ332" s="694">
        <f t="shared" si="1117"/>
        <v>0</v>
      </c>
      <c r="AR332" s="694">
        <f t="shared" si="1117"/>
        <v>0</v>
      </c>
      <c r="AS332" s="694">
        <f t="shared" si="1117"/>
        <v>0</v>
      </c>
      <c r="AT332" s="694">
        <f t="shared" si="1117"/>
        <v>0</v>
      </c>
      <c r="AU332" s="694">
        <f t="shared" si="1117"/>
        <v>0</v>
      </c>
      <c r="AV332" s="694">
        <f t="shared" si="1117"/>
        <v>0</v>
      </c>
      <c r="AW332" s="694">
        <f t="shared" si="1117"/>
        <v>0</v>
      </c>
      <c r="AX332" s="694">
        <f t="shared" si="1117"/>
        <v>0</v>
      </c>
      <c r="AY332" s="694">
        <f t="shared" si="1117"/>
        <v>0</v>
      </c>
      <c r="AZ332" s="694">
        <f t="shared" si="1117"/>
        <v>0</v>
      </c>
      <c r="BA332" s="694">
        <f t="shared" si="1117"/>
        <v>0</v>
      </c>
      <c r="BB332" s="694">
        <f t="shared" si="1117"/>
        <v>0</v>
      </c>
      <c r="BC332" s="694">
        <f t="shared" si="1117"/>
        <v>0</v>
      </c>
      <c r="BD332" s="694">
        <f t="shared" si="1117"/>
        <v>0</v>
      </c>
      <c r="BE332" s="694">
        <f t="shared" si="1117"/>
        <v>0</v>
      </c>
      <c r="BF332" s="694">
        <f t="shared" si="1117"/>
        <v>0</v>
      </c>
      <c r="BG332" s="694">
        <f t="shared" si="1117"/>
        <v>0</v>
      </c>
      <c r="BH332" s="694">
        <f t="shared" si="1117"/>
        <v>0</v>
      </c>
      <c r="BI332" s="694">
        <f t="shared" si="1117"/>
        <v>0</v>
      </c>
      <c r="BJ332" s="694">
        <f t="shared" si="1117"/>
        <v>0</v>
      </c>
      <c r="BK332" s="694">
        <f t="shared" si="1117"/>
        <v>0</v>
      </c>
      <c r="BL332" s="694">
        <f t="shared" si="1117"/>
        <v>0</v>
      </c>
      <c r="BM332" s="694">
        <f t="shared" si="1117"/>
        <v>0</v>
      </c>
      <c r="BN332" s="694">
        <f t="shared" si="1117"/>
        <v>0</v>
      </c>
      <c r="BO332" s="694">
        <f t="shared" ref="BO332:CB332" si="1118">BO292*BO111</f>
        <v>0</v>
      </c>
      <c r="BP332" s="694">
        <f t="shared" si="1118"/>
        <v>0</v>
      </c>
      <c r="BQ332" s="694">
        <f t="shared" si="1118"/>
        <v>0</v>
      </c>
      <c r="BR332" s="694">
        <f t="shared" si="1118"/>
        <v>0</v>
      </c>
      <c r="BS332" s="694">
        <f t="shared" si="1118"/>
        <v>0</v>
      </c>
      <c r="BT332" s="694">
        <f t="shared" si="1118"/>
        <v>0</v>
      </c>
      <c r="BU332" s="694">
        <f t="shared" si="1118"/>
        <v>0</v>
      </c>
      <c r="BV332" s="694">
        <f t="shared" si="1118"/>
        <v>0</v>
      </c>
      <c r="BW332" s="694">
        <f t="shared" si="1118"/>
        <v>0</v>
      </c>
      <c r="BX332" s="694">
        <f t="shared" si="1118"/>
        <v>0</v>
      </c>
      <c r="BY332" s="694">
        <f t="shared" si="1118"/>
        <v>0</v>
      </c>
      <c r="BZ332" s="694">
        <f t="shared" si="1118"/>
        <v>0</v>
      </c>
      <c r="CA332" s="694">
        <f t="shared" si="1118"/>
        <v>0</v>
      </c>
      <c r="CB332" s="694">
        <f t="shared" si="1118"/>
        <v>0</v>
      </c>
      <c r="CC332" s="19"/>
      <c r="CD332" s="19"/>
      <c r="CE332" s="19"/>
      <c r="CH332" s="693"/>
      <c r="CI332" s="693"/>
      <c r="CJ332" s="693"/>
      <c r="CK332" s="693"/>
      <c r="CL332" s="693"/>
      <c r="CM332" s="693"/>
      <c r="CN332" s="693"/>
      <c r="CO332" s="693"/>
      <c r="CP332" s="693"/>
      <c r="CQ332" s="693"/>
      <c r="CR332" s="693"/>
      <c r="CS332" s="693"/>
      <c r="CT332" s="693"/>
      <c r="CU332" s="693"/>
      <c r="CV332" s="693"/>
      <c r="CW332" s="693"/>
      <c r="CX332" s="693"/>
      <c r="CY332" s="693"/>
      <c r="CZ332" s="693"/>
      <c r="DA332" s="693"/>
      <c r="DB332" s="693"/>
      <c r="DC332" s="693"/>
      <c r="DD332" s="693"/>
      <c r="DE332" s="693"/>
      <c r="DF332" s="693"/>
      <c r="DG332" s="693"/>
      <c r="DH332" s="693"/>
      <c r="DI332" s="7"/>
      <c r="DJ332" s="7"/>
      <c r="DK332" s="7"/>
      <c r="DL332" s="7"/>
      <c r="DM332" s="7"/>
      <c r="DN332" s="7"/>
      <c r="DO332" s="7"/>
      <c r="DP332" s="7"/>
      <c r="DQ332" s="7"/>
      <c r="DR332" s="7"/>
      <c r="DS332" s="7"/>
      <c r="DT332" s="7"/>
      <c r="DU332" s="7"/>
      <c r="DV332" s="7"/>
      <c r="DW332" s="7"/>
      <c r="DX332" s="7"/>
      <c r="DY332" s="7"/>
      <c r="DZ332" s="7"/>
      <c r="EA332" s="7"/>
      <c r="EB332" s="7"/>
      <c r="EC332" s="7"/>
      <c r="ED332" s="7"/>
      <c r="EE332" s="7"/>
      <c r="EF332" s="7"/>
      <c r="EG332" s="7"/>
      <c r="EH332" s="7"/>
      <c r="EI332" s="7"/>
      <c r="EJ332" s="7"/>
      <c r="EK332" s="7"/>
      <c r="EL332" s="7"/>
      <c r="EM332" s="7"/>
      <c r="EN332" s="7"/>
      <c r="EO332" s="7"/>
      <c r="EP332" s="7"/>
      <c r="EQ332" s="7"/>
      <c r="ER332" s="7"/>
      <c r="ES332" s="7"/>
      <c r="ET332" s="7"/>
      <c r="EU332" s="7"/>
      <c r="EV332" s="7"/>
      <c r="EW332" s="7"/>
      <c r="EX332" s="7"/>
      <c r="EY332" s="7"/>
      <c r="EZ332" s="7"/>
      <c r="FA332" s="7"/>
      <c r="FB332" s="7"/>
      <c r="FC332" s="7"/>
      <c r="FD332" s="7"/>
      <c r="FE332" s="7"/>
      <c r="FF332" s="7"/>
      <c r="FG332" s="7"/>
      <c r="FH332" s="7"/>
      <c r="FI332" s="7"/>
      <c r="FJ332" s="7"/>
      <c r="FK332" s="7"/>
      <c r="FL332" s="7"/>
      <c r="FM332" s="7"/>
      <c r="FN332" s="7"/>
      <c r="FO332" s="7"/>
      <c r="FP332" s="7"/>
      <c r="FQ332" s="7"/>
      <c r="FR332" s="7"/>
      <c r="FS332" s="7"/>
      <c r="FT332" s="7"/>
      <c r="FU332" s="7"/>
      <c r="FV332" s="7"/>
      <c r="FW332" s="7"/>
      <c r="FX332" s="7"/>
      <c r="FY332" s="7"/>
      <c r="FZ332" s="7"/>
      <c r="GA332" s="7"/>
      <c r="GB332" s="7"/>
      <c r="GC332" s="7"/>
      <c r="GD332" s="7"/>
      <c r="GE332" s="7"/>
      <c r="GF332" s="7"/>
      <c r="GG332" s="7"/>
      <c r="GH332" s="7"/>
      <c r="GI332" s="7"/>
      <c r="GJ332" s="7"/>
      <c r="GK332" s="7"/>
      <c r="GL332" s="7"/>
      <c r="GM332" s="7"/>
      <c r="GN332" s="7"/>
      <c r="GO332" s="7"/>
      <c r="GP332" s="7"/>
      <c r="GQ332" s="7"/>
      <c r="GR332" s="7"/>
      <c r="GS332" s="7"/>
      <c r="GT332" s="7"/>
      <c r="GU332" s="7"/>
      <c r="GV332" s="7"/>
      <c r="GW332" s="7"/>
      <c r="GX332" s="7"/>
      <c r="GY332" s="7"/>
      <c r="GZ332" s="7"/>
      <c r="HA332" s="7"/>
      <c r="HB332" s="7"/>
      <c r="HC332" s="7"/>
      <c r="HD332" s="7"/>
      <c r="HE332" s="7"/>
      <c r="HF332" s="7"/>
      <c r="HG332" s="7"/>
      <c r="HH332" s="7"/>
      <c r="HI332" s="7"/>
      <c r="HJ332" s="7"/>
      <c r="HK332" s="7"/>
      <c r="HL332" s="7"/>
      <c r="HM332" s="7"/>
      <c r="HN332" s="7"/>
      <c r="HO332" s="7"/>
      <c r="HP332" s="7"/>
      <c r="HQ332" s="7"/>
      <c r="HR332" s="7"/>
      <c r="HS332" s="7"/>
      <c r="HT332" s="7"/>
      <c r="HU332" s="7"/>
      <c r="HV332" s="7"/>
      <c r="HW332" s="7"/>
      <c r="HX332" s="7"/>
      <c r="HY332" s="7"/>
      <c r="HZ332" s="7"/>
      <c r="IA332" s="7"/>
      <c r="IB332" s="7"/>
      <c r="IC332" s="7"/>
      <c r="ID332" s="7"/>
      <c r="IE332" s="7"/>
      <c r="IF332" s="7"/>
      <c r="IG332" s="7"/>
      <c r="IH332" s="7"/>
      <c r="II332" s="7"/>
      <c r="IJ332" s="7"/>
      <c r="IK332" s="7"/>
      <c r="IL332" s="7"/>
      <c r="IM332" s="7"/>
      <c r="IN332" s="7"/>
      <c r="IO332" s="7"/>
      <c r="IP332" s="7"/>
      <c r="IQ332" s="7"/>
      <c r="IR332" s="7"/>
      <c r="IS332" s="7"/>
      <c r="IT332" s="7"/>
      <c r="IU332" s="7"/>
      <c r="IV332" s="7"/>
    </row>
    <row r="333" spans="1:256">
      <c r="A333" s="550"/>
      <c r="B333" s="17"/>
      <c r="C333" s="17"/>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7"/>
      <c r="AB333" s="17"/>
      <c r="AC333" s="17"/>
      <c r="AD333" s="17"/>
      <c r="AE333" s="17"/>
      <c r="AF333" s="17"/>
      <c r="AG333" s="17"/>
      <c r="AH333" s="17"/>
      <c r="AI333" s="17"/>
      <c r="AJ333" s="17"/>
      <c r="AK333" s="17"/>
      <c r="AL333" s="17"/>
      <c r="AM333" s="17"/>
      <c r="AN333" s="17"/>
      <c r="AO333" s="17"/>
      <c r="AP333" s="17"/>
      <c r="AQ333" s="17"/>
      <c r="AR333" s="17"/>
      <c r="AS333" s="17"/>
      <c r="AT333" s="17"/>
      <c r="AU333" s="17"/>
      <c r="AV333" s="17"/>
      <c r="AW333" s="17"/>
      <c r="AX333" s="17"/>
      <c r="AY333" s="17"/>
      <c r="AZ333" s="17"/>
      <c r="BA333" s="17"/>
      <c r="BB333" s="17"/>
      <c r="BC333" s="17"/>
      <c r="BD333" s="17"/>
      <c r="BE333" s="17"/>
      <c r="BF333" s="17"/>
      <c r="BG333" s="17"/>
      <c r="BH333" s="17"/>
      <c r="BI333" s="17"/>
      <c r="BJ333" s="17"/>
      <c r="BK333" s="17"/>
      <c r="BL333" s="17"/>
      <c r="BM333" s="17"/>
      <c r="BN333" s="17"/>
      <c r="BO333" s="17"/>
      <c r="BP333" s="17"/>
      <c r="BQ333" s="17"/>
      <c r="BR333" s="17"/>
      <c r="BS333" s="17"/>
      <c r="BT333" s="17"/>
      <c r="BU333" s="17"/>
      <c r="BV333" s="17"/>
      <c r="BW333" s="17"/>
      <c r="BX333" s="17"/>
      <c r="BY333" s="17"/>
      <c r="BZ333" s="17"/>
      <c r="CA333" s="17"/>
      <c r="CB333" s="17"/>
      <c r="CC333" s="19"/>
      <c r="CD333" s="19"/>
      <c r="CE333" s="19"/>
      <c r="CH333" s="693"/>
      <c r="CI333" s="693"/>
      <c r="CJ333" s="693"/>
      <c r="CK333" s="693"/>
      <c r="CL333" s="693"/>
      <c r="CM333" s="693"/>
      <c r="CN333" s="693"/>
      <c r="CO333" s="693"/>
      <c r="CP333" s="693"/>
      <c r="CQ333" s="693"/>
      <c r="CR333" s="693"/>
      <c r="CS333" s="693"/>
      <c r="CT333" s="693"/>
      <c r="CU333" s="693"/>
      <c r="CV333" s="693"/>
      <c r="CW333" s="693"/>
      <c r="CX333" s="693"/>
      <c r="CY333" s="693"/>
      <c r="CZ333" s="693"/>
      <c r="DA333" s="693"/>
      <c r="DB333" s="693"/>
      <c r="DC333" s="693"/>
      <c r="DD333" s="693"/>
      <c r="DE333" s="693"/>
      <c r="DF333" s="693"/>
      <c r="DG333" s="693"/>
      <c r="DH333" s="693"/>
      <c r="DI333" s="7"/>
      <c r="DJ333" s="7"/>
      <c r="DK333" s="7"/>
      <c r="DL333" s="7"/>
      <c r="DM333" s="7"/>
      <c r="DN333" s="7"/>
      <c r="DO333" s="7"/>
      <c r="DP333" s="7"/>
      <c r="DQ333" s="7"/>
      <c r="DR333" s="7"/>
      <c r="DS333" s="7"/>
      <c r="DT333" s="7"/>
      <c r="DU333" s="7"/>
      <c r="DV333" s="7"/>
      <c r="DW333" s="7"/>
      <c r="DX333" s="7"/>
      <c r="DY333" s="7"/>
      <c r="DZ333" s="7"/>
      <c r="EA333" s="7"/>
      <c r="EB333" s="7"/>
      <c r="EC333" s="7"/>
      <c r="ED333" s="7"/>
      <c r="EE333" s="7"/>
      <c r="EF333" s="7"/>
      <c r="EG333" s="7"/>
      <c r="EH333" s="7"/>
      <c r="EI333" s="7"/>
      <c r="EJ333" s="7"/>
      <c r="EK333" s="7"/>
      <c r="EL333" s="7"/>
      <c r="EM333" s="7"/>
      <c r="EN333" s="7"/>
      <c r="EO333" s="7"/>
      <c r="EP333" s="7"/>
      <c r="EQ333" s="7"/>
      <c r="ER333" s="7"/>
      <c r="ES333" s="7"/>
      <c r="ET333" s="7"/>
      <c r="EU333" s="7"/>
      <c r="EV333" s="7"/>
      <c r="EW333" s="7"/>
      <c r="EX333" s="7"/>
      <c r="EY333" s="7"/>
      <c r="EZ333" s="7"/>
      <c r="FA333" s="7"/>
      <c r="FB333" s="7"/>
      <c r="FC333" s="7"/>
      <c r="FD333" s="7"/>
      <c r="FE333" s="7"/>
      <c r="FF333" s="7"/>
      <c r="FG333" s="7"/>
      <c r="FH333" s="7"/>
      <c r="FI333" s="7"/>
      <c r="FJ333" s="7"/>
      <c r="FK333" s="7"/>
      <c r="FL333" s="7"/>
      <c r="FM333" s="7"/>
      <c r="FN333" s="7"/>
      <c r="FO333" s="7"/>
      <c r="FP333" s="7"/>
      <c r="FQ333" s="7"/>
      <c r="FR333" s="7"/>
      <c r="FS333" s="7"/>
      <c r="FT333" s="7"/>
      <c r="FU333" s="7"/>
      <c r="FV333" s="7"/>
      <c r="FW333" s="7"/>
      <c r="FX333" s="7"/>
      <c r="FY333" s="7"/>
      <c r="FZ333" s="7"/>
      <c r="GA333" s="7"/>
      <c r="GB333" s="7"/>
      <c r="GC333" s="7"/>
      <c r="GD333" s="7"/>
      <c r="GE333" s="7"/>
      <c r="GF333" s="7"/>
      <c r="GG333" s="7"/>
      <c r="GH333" s="7"/>
      <c r="GI333" s="7"/>
      <c r="GJ333" s="7"/>
      <c r="GK333" s="7"/>
      <c r="GL333" s="7"/>
      <c r="GM333" s="7"/>
      <c r="GN333" s="7"/>
      <c r="GO333" s="7"/>
      <c r="GP333" s="7"/>
      <c r="GQ333" s="7"/>
      <c r="GR333" s="7"/>
      <c r="GS333" s="7"/>
      <c r="GT333" s="7"/>
      <c r="GU333" s="7"/>
      <c r="GV333" s="7"/>
      <c r="GW333" s="7"/>
      <c r="GX333" s="7"/>
      <c r="GY333" s="7"/>
      <c r="GZ333" s="7"/>
      <c r="HA333" s="7"/>
      <c r="HB333" s="7"/>
      <c r="HC333" s="7"/>
      <c r="HD333" s="7"/>
      <c r="HE333" s="7"/>
      <c r="HF333" s="7"/>
      <c r="HG333" s="7"/>
      <c r="HH333" s="7"/>
      <c r="HI333" s="7"/>
      <c r="HJ333" s="7"/>
      <c r="HK333" s="7"/>
      <c r="HL333" s="7"/>
      <c r="HM333" s="7"/>
      <c r="HN333" s="7"/>
      <c r="HO333" s="7"/>
      <c r="HP333" s="7"/>
      <c r="HQ333" s="7"/>
      <c r="HR333" s="7"/>
      <c r="HS333" s="7"/>
      <c r="HT333" s="7"/>
      <c r="HU333" s="7"/>
      <c r="HV333" s="7"/>
      <c r="HW333" s="7"/>
      <c r="HX333" s="7"/>
      <c r="HY333" s="7"/>
      <c r="HZ333" s="7"/>
      <c r="IA333" s="7"/>
      <c r="IB333" s="7"/>
      <c r="IC333" s="7"/>
      <c r="ID333" s="7"/>
      <c r="IE333" s="7"/>
      <c r="IF333" s="7"/>
      <c r="IG333" s="7"/>
      <c r="IH333" s="7"/>
      <c r="II333" s="7"/>
      <c r="IJ333" s="7"/>
      <c r="IK333" s="7"/>
      <c r="IL333" s="7"/>
      <c r="IM333" s="7"/>
      <c r="IN333" s="7"/>
      <c r="IO333" s="7"/>
      <c r="IP333" s="7"/>
      <c r="IQ333" s="7"/>
      <c r="IR333" s="7"/>
      <c r="IS333" s="7"/>
      <c r="IT333" s="7"/>
      <c r="IU333" s="7"/>
      <c r="IV333" s="7"/>
    </row>
    <row r="334" spans="1:256">
      <c r="A334" s="17"/>
      <c r="B334" s="17"/>
      <c r="C334" s="17"/>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7"/>
      <c r="AB334" s="17"/>
      <c r="AC334" s="17"/>
      <c r="AD334" s="17"/>
      <c r="AE334" s="17"/>
      <c r="AF334" s="17"/>
      <c r="AG334" s="17"/>
      <c r="AH334" s="17"/>
      <c r="AI334" s="17"/>
      <c r="AJ334" s="17"/>
      <c r="AK334" s="17"/>
      <c r="AL334" s="17"/>
      <c r="AM334" s="17"/>
      <c r="AN334" s="17"/>
      <c r="AO334" s="17"/>
      <c r="AP334" s="17"/>
      <c r="AQ334" s="17"/>
      <c r="AR334" s="17"/>
      <c r="AS334" s="17"/>
      <c r="AT334" s="17"/>
      <c r="AU334" s="17"/>
      <c r="AV334" s="17"/>
      <c r="AW334" s="17"/>
      <c r="AX334" s="17"/>
      <c r="AY334" s="17"/>
      <c r="AZ334" s="17"/>
      <c r="BA334" s="17"/>
      <c r="BB334" s="17"/>
      <c r="BC334" s="17"/>
      <c r="BD334" s="17"/>
      <c r="BE334" s="17"/>
      <c r="BF334" s="17"/>
      <c r="BG334" s="17"/>
      <c r="BH334" s="17"/>
      <c r="BI334" s="17"/>
      <c r="BJ334" s="17"/>
      <c r="BK334" s="17"/>
      <c r="BL334" s="17"/>
      <c r="BM334" s="17"/>
      <c r="BN334" s="17"/>
      <c r="BO334" s="17"/>
      <c r="BP334" s="17"/>
      <c r="BQ334" s="17"/>
      <c r="BR334" s="17"/>
      <c r="BS334" s="17"/>
      <c r="BT334" s="17"/>
      <c r="BU334" s="17"/>
      <c r="BV334" s="17"/>
      <c r="BW334" s="17"/>
      <c r="BX334" s="17"/>
      <c r="BY334" s="17"/>
      <c r="BZ334" s="17"/>
      <c r="CA334" s="17"/>
      <c r="CB334" s="17"/>
      <c r="CC334" s="19"/>
      <c r="CD334" s="19"/>
      <c r="CE334" s="19"/>
      <c r="CH334" s="693"/>
      <c r="CI334" s="693"/>
      <c r="CJ334" s="693"/>
      <c r="CK334" s="693"/>
      <c r="CL334" s="693"/>
      <c r="CM334" s="693"/>
      <c r="CN334" s="693"/>
      <c r="CO334" s="693"/>
      <c r="CP334" s="693"/>
      <c r="CQ334" s="693"/>
      <c r="CR334" s="693"/>
      <c r="CS334" s="693"/>
      <c r="CT334" s="693"/>
      <c r="CU334" s="693"/>
      <c r="CV334" s="693"/>
      <c r="CW334" s="693"/>
      <c r="CX334" s="693"/>
      <c r="CY334" s="693"/>
      <c r="CZ334" s="693"/>
      <c r="DA334" s="693"/>
      <c r="DB334" s="693"/>
      <c r="DC334" s="693"/>
      <c r="DD334" s="693"/>
      <c r="DE334" s="693"/>
      <c r="DF334" s="693"/>
      <c r="DG334" s="693"/>
      <c r="DH334" s="693"/>
      <c r="DI334" s="7"/>
      <c r="DJ334" s="7"/>
      <c r="DK334" s="7"/>
      <c r="DL334" s="7"/>
      <c r="DM334" s="7"/>
      <c r="DN334" s="7"/>
      <c r="DO334" s="7"/>
      <c r="DP334" s="7"/>
      <c r="DQ334" s="7"/>
      <c r="DR334" s="7"/>
      <c r="DS334" s="7"/>
      <c r="DT334" s="7"/>
      <c r="DU334" s="7"/>
      <c r="DV334" s="7"/>
      <c r="DW334" s="7"/>
      <c r="DX334" s="7"/>
      <c r="DY334" s="7"/>
      <c r="DZ334" s="7"/>
      <c r="EA334" s="7"/>
      <c r="EB334" s="7"/>
      <c r="EC334" s="7"/>
      <c r="ED334" s="7"/>
      <c r="EE334" s="7"/>
      <c r="EF334" s="7"/>
      <c r="EG334" s="7"/>
      <c r="EH334" s="7"/>
      <c r="EI334" s="7"/>
      <c r="EJ334" s="7"/>
      <c r="EK334" s="7"/>
      <c r="EL334" s="7"/>
      <c r="EM334" s="7"/>
      <c r="EN334" s="7"/>
      <c r="EO334" s="7"/>
      <c r="EP334" s="7"/>
      <c r="EQ334" s="7"/>
      <c r="ER334" s="7"/>
      <c r="ES334" s="7"/>
      <c r="ET334" s="7"/>
      <c r="EU334" s="7"/>
      <c r="EV334" s="7"/>
      <c r="EW334" s="7"/>
      <c r="EX334" s="7"/>
      <c r="EY334" s="7"/>
      <c r="EZ334" s="7"/>
      <c r="FA334" s="7"/>
      <c r="FB334" s="7"/>
      <c r="FC334" s="7"/>
      <c r="FD334" s="7"/>
      <c r="FE334" s="7"/>
      <c r="FF334" s="7"/>
      <c r="FG334" s="7"/>
      <c r="FH334" s="7"/>
      <c r="FI334" s="7"/>
      <c r="FJ334" s="7"/>
      <c r="FK334" s="7"/>
      <c r="FL334" s="7"/>
      <c r="FM334" s="7"/>
      <c r="FN334" s="7"/>
      <c r="FO334" s="7"/>
      <c r="FP334" s="7"/>
      <c r="FQ334" s="7"/>
      <c r="FR334" s="7"/>
      <c r="FS334" s="7"/>
      <c r="FT334" s="7"/>
      <c r="FU334" s="7"/>
      <c r="FV334" s="7"/>
      <c r="FW334" s="7"/>
      <c r="FX334" s="7"/>
      <c r="FY334" s="7"/>
      <c r="FZ334" s="7"/>
      <c r="GA334" s="7"/>
      <c r="GB334" s="7"/>
      <c r="GC334" s="7"/>
      <c r="GD334" s="7"/>
      <c r="GE334" s="7"/>
      <c r="GF334" s="7"/>
      <c r="GG334" s="7"/>
      <c r="GH334" s="7"/>
      <c r="GI334" s="7"/>
      <c r="GJ334" s="7"/>
      <c r="GK334" s="7"/>
      <c r="GL334" s="7"/>
      <c r="GM334" s="7"/>
      <c r="GN334" s="7"/>
      <c r="GO334" s="7"/>
      <c r="GP334" s="7"/>
      <c r="GQ334" s="7"/>
      <c r="GR334" s="7"/>
      <c r="GS334" s="7"/>
      <c r="GT334" s="7"/>
      <c r="GU334" s="7"/>
      <c r="GV334" s="7"/>
      <c r="GW334" s="7"/>
      <c r="GX334" s="7"/>
      <c r="GY334" s="7"/>
      <c r="GZ334" s="7"/>
      <c r="HA334" s="7"/>
      <c r="HB334" s="7"/>
      <c r="HC334" s="7"/>
      <c r="HD334" s="7"/>
      <c r="HE334" s="7"/>
      <c r="HF334" s="7"/>
      <c r="HG334" s="7"/>
      <c r="HH334" s="7"/>
      <c r="HI334" s="7"/>
      <c r="HJ334" s="7"/>
      <c r="HK334" s="7"/>
      <c r="HL334" s="7"/>
      <c r="HM334" s="7"/>
      <c r="HN334" s="7"/>
      <c r="HO334" s="7"/>
      <c r="HP334" s="7"/>
      <c r="HQ334" s="7"/>
      <c r="HR334" s="7"/>
      <c r="HS334" s="7"/>
      <c r="HT334" s="7"/>
      <c r="HU334" s="7"/>
      <c r="HV334" s="7"/>
      <c r="HW334" s="7"/>
      <c r="HX334" s="7"/>
      <c r="HY334" s="7"/>
      <c r="HZ334" s="7"/>
      <c r="IA334" s="7"/>
      <c r="IB334" s="7"/>
      <c r="IC334" s="7"/>
      <c r="ID334" s="7"/>
      <c r="IE334" s="7"/>
      <c r="IF334" s="7"/>
      <c r="IG334" s="7"/>
      <c r="IH334" s="7"/>
      <c r="II334" s="7"/>
      <c r="IJ334" s="7"/>
      <c r="IK334" s="7"/>
      <c r="IL334" s="7"/>
      <c r="IM334" s="7"/>
      <c r="IN334" s="7"/>
      <c r="IO334" s="7"/>
      <c r="IP334" s="7"/>
      <c r="IQ334" s="7"/>
      <c r="IR334" s="7"/>
      <c r="IS334" s="7"/>
      <c r="IT334" s="7"/>
      <c r="IU334" s="7"/>
      <c r="IV334" s="7"/>
    </row>
    <row r="335" spans="1:256">
      <c r="A335" s="190"/>
      <c r="B335" s="230" t="s">
        <v>13</v>
      </c>
      <c r="C335" s="230" t="s">
        <v>47</v>
      </c>
      <c r="D335" s="230" t="s">
        <v>14</v>
      </c>
      <c r="E335" s="17"/>
      <c r="F335" s="17"/>
      <c r="G335" s="17"/>
      <c r="H335" s="17"/>
      <c r="I335" s="17"/>
      <c r="J335" s="17"/>
      <c r="K335" s="17"/>
      <c r="L335" s="17"/>
      <c r="M335" s="17"/>
      <c r="N335" s="17"/>
      <c r="O335" s="17"/>
      <c r="P335" s="17"/>
      <c r="Q335" s="17"/>
      <c r="R335" s="17"/>
      <c r="S335" s="17"/>
      <c r="T335" s="17"/>
      <c r="U335" s="17"/>
      <c r="V335" s="17"/>
      <c r="W335" s="17"/>
      <c r="X335" s="17"/>
      <c r="Y335" s="17"/>
      <c r="Z335" s="17"/>
      <c r="AA335" s="17"/>
      <c r="AB335" s="17"/>
      <c r="AC335" s="17"/>
      <c r="AD335" s="17"/>
      <c r="AE335" s="17"/>
      <c r="AF335" s="17"/>
      <c r="AG335" s="17"/>
      <c r="AH335" s="17"/>
      <c r="AI335" s="17"/>
      <c r="AJ335" s="17"/>
      <c r="AK335" s="17"/>
      <c r="AL335" s="17"/>
      <c r="AM335" s="17"/>
      <c r="AN335" s="17"/>
      <c r="AO335" s="17"/>
      <c r="AP335" s="17"/>
      <c r="AQ335" s="17"/>
      <c r="AR335" s="17"/>
      <c r="AS335" s="17"/>
      <c r="AT335" s="17"/>
      <c r="AU335" s="17"/>
      <c r="AV335" s="17"/>
      <c r="AW335" s="17"/>
      <c r="AX335" s="17"/>
      <c r="AY335" s="17"/>
      <c r="AZ335" s="17"/>
      <c r="BA335" s="17"/>
      <c r="BB335" s="17"/>
      <c r="BC335" s="17"/>
      <c r="BD335" s="17"/>
      <c r="BE335" s="17"/>
      <c r="BF335" s="17"/>
      <c r="BG335" s="17"/>
      <c r="BH335" s="17"/>
      <c r="BI335" s="17"/>
      <c r="BJ335" s="17"/>
      <c r="BK335" s="17"/>
      <c r="BL335" s="17"/>
      <c r="BM335" s="17"/>
      <c r="BN335" s="17"/>
      <c r="BO335" s="17"/>
      <c r="BP335" s="17"/>
      <c r="BQ335" s="17"/>
      <c r="BR335" s="17"/>
      <c r="BS335" s="17"/>
      <c r="BT335" s="17"/>
      <c r="BU335" s="17"/>
      <c r="BV335" s="17"/>
      <c r="BW335" s="17"/>
      <c r="BX335" s="17"/>
      <c r="BY335" s="17"/>
      <c r="BZ335" s="17"/>
      <c r="CA335" s="17"/>
      <c r="CB335" s="17"/>
      <c r="CC335" s="19"/>
      <c r="CD335" s="19"/>
      <c r="CE335" s="19"/>
      <c r="CH335" s="7"/>
    </row>
    <row r="336" spans="1:256">
      <c r="A336" s="230" t="str">
        <f t="shared" ref="A336:A371" si="1119">A297</f>
        <v>Bond 1</v>
      </c>
      <c r="B336" s="230">
        <f t="shared" ref="B336" si="1120">SUM(B297:CB297)</f>
        <v>111.14317123233874</v>
      </c>
      <c r="C336" s="230">
        <f>K2</f>
        <v>111.09422602742541</v>
      </c>
      <c r="D336" s="230">
        <f t="shared" ref="D336:D360" si="1121">P2*(B336-K2)^2</f>
        <v>4.7713360012903958E-5</v>
      </c>
      <c r="E336" s="19"/>
      <c r="F336" s="19"/>
      <c r="G336" s="19"/>
      <c r="H336" s="19"/>
      <c r="I336" s="19"/>
      <c r="J336" s="19"/>
      <c r="K336" s="19"/>
      <c r="L336" s="19"/>
      <c r="M336" s="19"/>
      <c r="N336" s="19"/>
      <c r="O336" s="19"/>
      <c r="P336" s="19"/>
      <c r="Q336" s="19"/>
      <c r="R336" s="19"/>
      <c r="S336" s="19"/>
      <c r="T336" s="19"/>
      <c r="U336" s="19"/>
      <c r="V336" s="19"/>
      <c r="W336" s="19"/>
      <c r="X336" s="19"/>
      <c r="Y336" s="19"/>
      <c r="Z336" s="19"/>
      <c r="AA336" s="19"/>
      <c r="AB336" s="19"/>
      <c r="AC336" s="19"/>
      <c r="AD336" s="19"/>
      <c r="AE336" s="19"/>
      <c r="AF336" s="19"/>
      <c r="AG336" s="19"/>
      <c r="AH336" s="19"/>
      <c r="AI336" s="19"/>
      <c r="AJ336" s="19"/>
      <c r="AK336" s="19"/>
      <c r="AL336" s="19"/>
      <c r="AM336" s="19"/>
      <c r="AN336" s="19"/>
      <c r="AO336" s="19"/>
      <c r="AP336" s="19"/>
      <c r="AQ336" s="19"/>
      <c r="AR336" s="19"/>
      <c r="AS336" s="19"/>
      <c r="AT336" s="19"/>
      <c r="AU336" s="19"/>
      <c r="AV336" s="19"/>
      <c r="AW336" s="19"/>
      <c r="AX336" s="19"/>
      <c r="AY336" s="19"/>
      <c r="AZ336" s="19"/>
      <c r="BA336" s="19"/>
      <c r="BB336" s="19"/>
      <c r="BC336" s="19"/>
      <c r="BD336" s="19"/>
      <c r="BE336" s="19"/>
      <c r="BF336" s="19"/>
      <c r="BG336" s="19"/>
      <c r="BH336" s="19"/>
      <c r="BI336" s="19"/>
      <c r="BJ336" s="19"/>
      <c r="BK336" s="19"/>
      <c r="BL336" s="19"/>
      <c r="BM336" s="19"/>
      <c r="BN336" s="19"/>
      <c r="BO336" s="19"/>
      <c r="BP336" s="19"/>
      <c r="BQ336" s="19"/>
      <c r="BR336" s="19"/>
      <c r="BS336" s="19"/>
      <c r="BT336" s="19"/>
      <c r="BU336" s="19"/>
      <c r="BV336" s="19"/>
      <c r="BW336" s="19"/>
      <c r="BX336" s="19"/>
      <c r="BY336" s="19"/>
      <c r="BZ336" s="19"/>
      <c r="CA336" s="19"/>
      <c r="CB336" s="19"/>
      <c r="CC336" s="19"/>
      <c r="CD336" s="19"/>
      <c r="CE336" s="19"/>
      <c r="CF336" s="7"/>
      <c r="CH336" s="7"/>
    </row>
    <row r="337" spans="1:84">
      <c r="A337" s="230" t="str">
        <f t="shared" si="1119"/>
        <v>Bond 2</v>
      </c>
      <c r="B337" s="230">
        <f t="shared" ref="B337:B371" si="1122">SUM(B298:CB298)</f>
        <v>105.25735910830767</v>
      </c>
      <c r="C337" s="230">
        <f t="shared" ref="C337:C371" si="1123">K3</f>
        <v>105.19147945205481</v>
      </c>
      <c r="D337" s="230">
        <f t="shared" si="1121"/>
        <v>7.3638137711921485E-5</v>
      </c>
      <c r="E337" s="19"/>
      <c r="F337" s="19"/>
      <c r="G337" s="19"/>
      <c r="H337" s="19"/>
      <c r="I337" s="19"/>
      <c r="J337" s="19"/>
      <c r="K337" s="19"/>
      <c r="L337" s="19"/>
      <c r="M337" s="19"/>
      <c r="N337" s="19"/>
      <c r="O337" s="19"/>
      <c r="P337" s="19"/>
      <c r="Q337" s="19"/>
      <c r="R337" s="19"/>
      <c r="S337" s="19"/>
      <c r="T337" s="19"/>
      <c r="U337" s="19"/>
      <c r="V337" s="19"/>
      <c r="W337" s="19"/>
      <c r="X337" s="19"/>
      <c r="Y337" s="19"/>
      <c r="Z337" s="19"/>
      <c r="AA337" s="19"/>
      <c r="AB337" s="19"/>
      <c r="AC337" s="19"/>
      <c r="AD337" s="19"/>
      <c r="AE337" s="19"/>
      <c r="AF337" s="19"/>
      <c r="AG337" s="19"/>
      <c r="AH337" s="19"/>
      <c r="AI337" s="19"/>
      <c r="AJ337" s="19"/>
      <c r="AK337" s="19"/>
      <c r="AL337" s="19"/>
      <c r="AM337" s="19"/>
      <c r="AN337" s="19"/>
      <c r="AO337" s="19"/>
      <c r="AP337" s="19"/>
      <c r="AQ337" s="19"/>
      <c r="AR337" s="19"/>
      <c r="AS337" s="19"/>
      <c r="AT337" s="19"/>
      <c r="AU337" s="19"/>
      <c r="AV337" s="19"/>
      <c r="AW337" s="19"/>
      <c r="AX337" s="19"/>
      <c r="AY337" s="19"/>
      <c r="AZ337" s="19"/>
      <c r="BA337" s="19"/>
      <c r="BB337" s="19"/>
      <c r="BC337" s="19"/>
      <c r="BD337" s="19"/>
      <c r="BE337" s="19"/>
      <c r="BF337" s="19"/>
      <c r="BG337" s="19"/>
      <c r="BH337" s="19"/>
      <c r="BI337" s="19"/>
      <c r="BJ337" s="19"/>
      <c r="BK337" s="19"/>
      <c r="BL337" s="19"/>
      <c r="BM337" s="19"/>
      <c r="BN337" s="19"/>
      <c r="BO337" s="19"/>
      <c r="BP337" s="19"/>
      <c r="BQ337" s="19"/>
      <c r="BR337" s="19"/>
      <c r="BS337" s="19"/>
      <c r="BT337" s="19"/>
      <c r="BU337" s="19"/>
      <c r="BV337" s="19"/>
      <c r="BW337" s="19"/>
      <c r="BX337" s="19"/>
      <c r="BY337" s="19"/>
      <c r="BZ337" s="19"/>
      <c r="CA337" s="19"/>
      <c r="CB337" s="19"/>
      <c r="CC337" s="19"/>
      <c r="CD337" s="19"/>
      <c r="CE337" s="19"/>
      <c r="CF337" s="7"/>
    </row>
    <row r="338" spans="1:84">
      <c r="A338" s="230" t="str">
        <f t="shared" si="1119"/>
        <v>Bond 3</v>
      </c>
      <c r="B338" s="230">
        <f t="shared" si="1122"/>
        <v>0</v>
      </c>
      <c r="C338" s="230">
        <f t="shared" si="1123"/>
        <v>0</v>
      </c>
      <c r="D338" s="230">
        <f t="shared" si="1121"/>
        <v>0</v>
      </c>
      <c r="E338" s="19"/>
      <c r="F338" s="19"/>
      <c r="G338" s="19"/>
      <c r="H338" s="19"/>
      <c r="I338" s="19"/>
      <c r="J338" s="19"/>
      <c r="K338" s="19"/>
      <c r="L338" s="19"/>
      <c r="M338" s="19"/>
      <c r="N338" s="19"/>
      <c r="O338" s="19"/>
      <c r="P338" s="19"/>
      <c r="Q338" s="19"/>
      <c r="R338" s="19"/>
      <c r="S338" s="19"/>
      <c r="T338" s="19"/>
      <c r="U338" s="19"/>
      <c r="V338" s="19"/>
      <c r="W338" s="19"/>
      <c r="X338" s="19"/>
      <c r="Y338" s="19"/>
      <c r="Z338" s="19"/>
      <c r="AA338" s="19"/>
      <c r="AB338" s="19"/>
      <c r="AC338" s="19"/>
      <c r="AD338" s="19"/>
      <c r="AE338" s="19"/>
      <c r="AF338" s="19"/>
      <c r="AG338" s="19"/>
      <c r="AH338" s="19"/>
      <c r="AI338" s="19"/>
      <c r="AJ338" s="19"/>
      <c r="AK338" s="19"/>
      <c r="AL338" s="19"/>
      <c r="AM338" s="19"/>
      <c r="AN338" s="19"/>
      <c r="AO338" s="19"/>
      <c r="AP338" s="19"/>
      <c r="AQ338" s="19"/>
      <c r="AR338" s="19"/>
      <c r="AS338" s="19"/>
      <c r="AT338" s="19"/>
      <c r="AU338" s="19"/>
      <c r="AV338" s="19"/>
      <c r="AW338" s="19"/>
      <c r="AX338" s="19"/>
      <c r="AY338" s="19"/>
      <c r="AZ338" s="19"/>
      <c r="BA338" s="19"/>
      <c r="BB338" s="19"/>
      <c r="BC338" s="19"/>
      <c r="BD338" s="19"/>
      <c r="BE338" s="19"/>
      <c r="BF338" s="19"/>
      <c r="BG338" s="19"/>
      <c r="BH338" s="19"/>
      <c r="BI338" s="19"/>
      <c r="BJ338" s="19"/>
      <c r="BK338" s="19"/>
      <c r="BL338" s="19"/>
      <c r="BM338" s="19"/>
      <c r="BN338" s="19"/>
      <c r="BO338" s="19"/>
      <c r="BP338" s="19"/>
      <c r="BQ338" s="19"/>
      <c r="BR338" s="19"/>
      <c r="BS338" s="19"/>
      <c r="BT338" s="19"/>
      <c r="BU338" s="19"/>
      <c r="BV338" s="19"/>
      <c r="BW338" s="19"/>
      <c r="BX338" s="19"/>
      <c r="BY338" s="19"/>
      <c r="BZ338" s="19"/>
      <c r="CA338" s="19"/>
      <c r="CB338" s="19"/>
      <c r="CC338" s="19"/>
      <c r="CD338" s="19"/>
      <c r="CE338" s="19"/>
      <c r="CF338" s="12"/>
    </row>
    <row r="339" spans="1:84">
      <c r="A339" s="230" t="str">
        <f t="shared" si="1119"/>
        <v>Bond 4</v>
      </c>
      <c r="B339" s="230">
        <f t="shared" si="1122"/>
        <v>108.34771319483863</v>
      </c>
      <c r="C339" s="230">
        <f t="shared" si="1123"/>
        <v>108.32082191792266</v>
      </c>
      <c r="D339" s="230">
        <f t="shared" si="1121"/>
        <v>1.0885883179698416E-5</v>
      </c>
      <c r="E339" s="19"/>
      <c r="F339" s="19"/>
      <c r="G339" s="19"/>
      <c r="H339" s="19"/>
      <c r="I339" s="19"/>
      <c r="J339" s="19"/>
      <c r="K339" s="19"/>
      <c r="L339" s="19"/>
      <c r="M339" s="19"/>
      <c r="N339" s="19"/>
      <c r="O339" s="19"/>
      <c r="P339" s="19"/>
      <c r="Q339" s="19"/>
      <c r="R339" s="19"/>
      <c r="S339" s="19"/>
      <c r="T339" s="19"/>
      <c r="U339" s="19"/>
      <c r="V339" s="19"/>
      <c r="W339" s="19"/>
      <c r="X339" s="19"/>
      <c r="Y339" s="19"/>
      <c r="Z339" s="19"/>
      <c r="AA339" s="19"/>
      <c r="AB339" s="19"/>
      <c r="AC339" s="19"/>
      <c r="AD339" s="19"/>
      <c r="AE339" s="19"/>
      <c r="AF339" s="19"/>
      <c r="AG339" s="19"/>
      <c r="AH339" s="19"/>
      <c r="AI339" s="19"/>
      <c r="AJ339" s="19"/>
      <c r="AK339" s="19"/>
      <c r="AL339" s="19"/>
      <c r="AM339" s="19"/>
      <c r="AN339" s="19"/>
      <c r="AO339" s="19"/>
      <c r="AP339" s="19"/>
      <c r="AQ339" s="19"/>
      <c r="AR339" s="19"/>
      <c r="AS339" s="19"/>
      <c r="AT339" s="19"/>
      <c r="AU339" s="19"/>
      <c r="AV339" s="19"/>
      <c r="AW339" s="19"/>
      <c r="AX339" s="19"/>
      <c r="AY339" s="19"/>
      <c r="AZ339" s="19"/>
      <c r="BA339" s="19"/>
      <c r="BB339" s="19"/>
      <c r="BC339" s="19"/>
      <c r="BD339" s="19"/>
      <c r="BE339" s="19"/>
      <c r="BF339" s="19"/>
      <c r="BG339" s="19"/>
      <c r="BH339" s="19"/>
      <c r="BI339" s="19"/>
      <c r="BJ339" s="19"/>
      <c r="BK339" s="19"/>
      <c r="BL339" s="19"/>
      <c r="BM339" s="19"/>
      <c r="BN339" s="19"/>
      <c r="BO339" s="19"/>
      <c r="BP339" s="19"/>
      <c r="BQ339" s="19"/>
      <c r="BR339" s="19"/>
      <c r="BS339" s="19"/>
      <c r="BT339" s="19"/>
      <c r="BU339" s="19"/>
      <c r="BV339" s="19"/>
      <c r="BW339" s="19"/>
      <c r="BX339" s="19"/>
      <c r="BY339" s="19"/>
      <c r="BZ339" s="19"/>
      <c r="CA339" s="19"/>
      <c r="CB339" s="19"/>
      <c r="CC339" s="19"/>
      <c r="CD339" s="19"/>
      <c r="CE339" s="19"/>
    </row>
    <row r="340" spans="1:84">
      <c r="A340" s="230" t="str">
        <f t="shared" si="1119"/>
        <v>Bond 5</v>
      </c>
      <c r="B340" s="230">
        <f t="shared" si="1122"/>
        <v>0</v>
      </c>
      <c r="C340" s="230">
        <f t="shared" si="1123"/>
        <v>0</v>
      </c>
      <c r="D340" s="230">
        <f t="shared" si="1121"/>
        <v>0</v>
      </c>
      <c r="E340" s="19"/>
      <c r="F340" s="19"/>
      <c r="G340" s="19"/>
      <c r="H340" s="19"/>
      <c r="I340" s="19"/>
      <c r="J340" s="19"/>
      <c r="K340" s="19"/>
      <c r="L340" s="19"/>
      <c r="M340" s="19"/>
      <c r="N340" s="19"/>
      <c r="O340" s="19"/>
      <c r="P340" s="19"/>
      <c r="Q340" s="19"/>
      <c r="R340" s="19"/>
      <c r="S340" s="19"/>
      <c r="T340" s="19"/>
      <c r="U340" s="19"/>
      <c r="V340" s="19"/>
      <c r="W340" s="19"/>
      <c r="X340" s="19"/>
      <c r="Y340" s="19"/>
      <c r="Z340" s="19"/>
      <c r="AA340" s="19"/>
      <c r="AB340" s="19"/>
      <c r="AC340" s="19"/>
      <c r="AD340" s="19"/>
      <c r="AE340" s="19"/>
      <c r="AF340" s="19"/>
      <c r="AG340" s="19"/>
      <c r="AH340" s="19"/>
      <c r="AI340" s="19"/>
      <c r="AJ340" s="19"/>
      <c r="AK340" s="19"/>
      <c r="AL340" s="19"/>
      <c r="AM340" s="19"/>
      <c r="AN340" s="19"/>
      <c r="AO340" s="19"/>
      <c r="AP340" s="19"/>
      <c r="AQ340" s="19"/>
      <c r="AR340" s="19"/>
      <c r="AS340" s="19"/>
      <c r="AT340" s="19"/>
      <c r="AU340" s="19"/>
      <c r="AV340" s="19"/>
      <c r="AW340" s="19"/>
      <c r="AX340" s="19"/>
      <c r="AY340" s="19"/>
      <c r="AZ340" s="19"/>
      <c r="BA340" s="19"/>
      <c r="BB340" s="19"/>
      <c r="BC340" s="19"/>
      <c r="BD340" s="19"/>
      <c r="BE340" s="19"/>
      <c r="BF340" s="19"/>
      <c r="BG340" s="19"/>
      <c r="BH340" s="19"/>
      <c r="BI340" s="19"/>
      <c r="BJ340" s="19"/>
      <c r="BK340" s="19"/>
      <c r="BL340" s="19"/>
      <c r="BM340" s="19"/>
      <c r="BN340" s="19"/>
      <c r="BO340" s="19"/>
      <c r="BP340" s="19"/>
      <c r="BQ340" s="19"/>
      <c r="BR340" s="19"/>
      <c r="BS340" s="19"/>
      <c r="BT340" s="19"/>
      <c r="BU340" s="19"/>
      <c r="BV340" s="19"/>
      <c r="BW340" s="19"/>
      <c r="BX340" s="19"/>
      <c r="BY340" s="19"/>
      <c r="BZ340" s="19"/>
      <c r="CA340" s="19"/>
      <c r="CB340" s="19"/>
      <c r="CC340" s="19"/>
      <c r="CD340" s="19"/>
      <c r="CE340" s="19"/>
    </row>
    <row r="341" spans="1:84">
      <c r="A341" s="230" t="str">
        <f t="shared" si="1119"/>
        <v>Bond 6</v>
      </c>
      <c r="B341" s="230">
        <f t="shared" si="1122"/>
        <v>101.89830475349154</v>
      </c>
      <c r="C341" s="230">
        <f t="shared" si="1123"/>
        <v>101.92188356164384</v>
      </c>
      <c r="D341" s="230">
        <f t="shared" si="1121"/>
        <v>7.3292378438904758E-6</v>
      </c>
      <c r="E341" s="19"/>
      <c r="F341" s="19"/>
      <c r="G341" s="19"/>
      <c r="H341" s="19"/>
      <c r="I341" s="19"/>
      <c r="J341" s="19"/>
      <c r="K341" s="19"/>
      <c r="L341" s="19"/>
      <c r="M341" s="19"/>
      <c r="N341" s="19"/>
      <c r="O341" s="19"/>
      <c r="P341" s="19"/>
      <c r="Q341" s="19"/>
      <c r="R341" s="19"/>
      <c r="S341" s="19"/>
      <c r="T341" s="19"/>
      <c r="U341" s="19"/>
      <c r="V341" s="19"/>
      <c r="W341" s="19"/>
      <c r="X341" s="19"/>
      <c r="Y341" s="19"/>
      <c r="Z341" s="19"/>
      <c r="AA341" s="19"/>
      <c r="AB341" s="19"/>
      <c r="AC341" s="19"/>
      <c r="AD341" s="19"/>
      <c r="AE341" s="19"/>
      <c r="AF341" s="19"/>
      <c r="AG341" s="19"/>
      <c r="AH341" s="19"/>
      <c r="AI341" s="19"/>
      <c r="AJ341" s="19"/>
      <c r="AK341" s="19"/>
      <c r="AL341" s="19"/>
      <c r="AM341" s="19"/>
      <c r="AN341" s="19"/>
      <c r="AO341" s="19"/>
      <c r="AP341" s="19"/>
      <c r="AQ341" s="19"/>
      <c r="AR341" s="19"/>
      <c r="AS341" s="19"/>
      <c r="AT341" s="19"/>
      <c r="AU341" s="19"/>
      <c r="AV341" s="19"/>
      <c r="AW341" s="19"/>
      <c r="AX341" s="19"/>
      <c r="AY341" s="19"/>
      <c r="AZ341" s="19"/>
      <c r="BA341" s="19"/>
      <c r="BB341" s="19"/>
      <c r="BC341" s="19"/>
      <c r="BD341" s="19"/>
      <c r="BE341" s="19"/>
      <c r="BF341" s="19"/>
      <c r="BG341" s="19"/>
      <c r="BH341" s="19"/>
      <c r="BI341" s="19"/>
      <c r="BJ341" s="19"/>
      <c r="BK341" s="19"/>
      <c r="BL341" s="19"/>
      <c r="BM341" s="19"/>
      <c r="BN341" s="19"/>
      <c r="BO341" s="19"/>
      <c r="BP341" s="19"/>
      <c r="BQ341" s="19"/>
      <c r="BR341" s="19"/>
      <c r="BS341" s="19"/>
      <c r="BT341" s="19"/>
      <c r="BU341" s="19"/>
      <c r="BV341" s="19"/>
      <c r="BW341" s="19"/>
      <c r="BX341" s="19"/>
      <c r="BY341" s="19"/>
      <c r="BZ341" s="19"/>
      <c r="CA341" s="19"/>
      <c r="CB341" s="19"/>
      <c r="CC341" s="19"/>
      <c r="CD341" s="19"/>
      <c r="CE341" s="19"/>
      <c r="CF341" s="12"/>
    </row>
    <row r="342" spans="1:84">
      <c r="A342" s="230" t="str">
        <f t="shared" si="1119"/>
        <v>Bond 7</v>
      </c>
      <c r="B342" s="230">
        <f t="shared" si="1122"/>
        <v>0</v>
      </c>
      <c r="C342" s="230">
        <f t="shared" si="1123"/>
        <v>0</v>
      </c>
      <c r="D342" s="230">
        <f t="shared" si="1121"/>
        <v>0</v>
      </c>
      <c r="E342" s="19"/>
      <c r="F342" s="19"/>
      <c r="G342" s="19"/>
      <c r="H342" s="19"/>
      <c r="I342" s="19"/>
      <c r="J342" s="19"/>
      <c r="K342" s="19"/>
      <c r="L342" s="19"/>
      <c r="M342" s="19"/>
      <c r="N342" s="19"/>
      <c r="O342" s="19"/>
      <c r="P342" s="19"/>
      <c r="Q342" s="19"/>
      <c r="R342" s="19"/>
      <c r="S342" s="19"/>
      <c r="T342" s="19"/>
      <c r="U342" s="19"/>
      <c r="V342" s="19"/>
      <c r="W342" s="19"/>
      <c r="X342" s="19"/>
      <c r="Y342" s="19"/>
      <c r="Z342" s="19"/>
      <c r="AA342" s="19"/>
      <c r="AB342" s="19"/>
      <c r="AC342" s="19"/>
      <c r="AD342" s="19"/>
      <c r="AE342" s="19"/>
      <c r="AF342" s="19"/>
      <c r="AG342" s="19"/>
      <c r="AH342" s="19"/>
      <c r="AI342" s="19"/>
      <c r="AJ342" s="19"/>
      <c r="AK342" s="19"/>
      <c r="AL342" s="19"/>
      <c r="AM342" s="19"/>
      <c r="AN342" s="19"/>
      <c r="AO342" s="19"/>
      <c r="AP342" s="19"/>
      <c r="AQ342" s="19"/>
      <c r="AR342" s="19"/>
      <c r="AS342" s="19"/>
      <c r="AT342" s="19"/>
      <c r="AU342" s="19"/>
      <c r="AV342" s="19"/>
      <c r="AW342" s="19"/>
      <c r="AX342" s="19"/>
      <c r="AY342" s="19"/>
      <c r="AZ342" s="19"/>
      <c r="BA342" s="19"/>
      <c r="BB342" s="19"/>
      <c r="BC342" s="19"/>
      <c r="BD342" s="19"/>
      <c r="BE342" s="19"/>
      <c r="BF342" s="19"/>
      <c r="BG342" s="19"/>
      <c r="BH342" s="19"/>
      <c r="BI342" s="19"/>
      <c r="BJ342" s="19"/>
      <c r="BK342" s="19"/>
      <c r="BL342" s="19"/>
      <c r="BM342" s="19"/>
      <c r="BN342" s="19"/>
      <c r="BO342" s="19"/>
      <c r="BP342" s="19"/>
      <c r="BQ342" s="19"/>
      <c r="BR342" s="19"/>
      <c r="BS342" s="19"/>
      <c r="BT342" s="19"/>
      <c r="BU342" s="19"/>
      <c r="BV342" s="19"/>
      <c r="BW342" s="19"/>
      <c r="BX342" s="19"/>
      <c r="BY342" s="19"/>
      <c r="BZ342" s="19"/>
      <c r="CA342" s="19"/>
      <c r="CB342" s="19"/>
      <c r="CC342" s="19"/>
      <c r="CD342" s="19"/>
      <c r="CE342" s="19"/>
      <c r="CF342" s="12"/>
    </row>
    <row r="343" spans="1:84">
      <c r="A343" s="230" t="str">
        <f t="shared" si="1119"/>
        <v>Bond 8</v>
      </c>
      <c r="B343" s="230">
        <f t="shared" si="1122"/>
        <v>106.70430419920199</v>
      </c>
      <c r="C343" s="230">
        <f t="shared" si="1123"/>
        <v>106.75639726027397</v>
      </c>
      <c r="D343" s="230">
        <f t="shared" si="1121"/>
        <v>3.3093753748282109E-5</v>
      </c>
      <c r="E343" s="19"/>
      <c r="F343" s="19"/>
      <c r="G343" s="19"/>
      <c r="H343" s="19"/>
      <c r="I343" s="19"/>
      <c r="J343" s="19"/>
      <c r="K343" s="19"/>
      <c r="L343" s="19"/>
      <c r="M343" s="19"/>
      <c r="N343" s="19"/>
      <c r="O343" s="19"/>
      <c r="P343" s="19"/>
      <c r="Q343" s="19"/>
      <c r="R343" s="19"/>
      <c r="S343" s="19"/>
      <c r="T343" s="19"/>
      <c r="U343" s="19"/>
      <c r="V343" s="19"/>
      <c r="W343" s="19"/>
      <c r="X343" s="19"/>
      <c r="Y343" s="19"/>
      <c r="Z343" s="19"/>
      <c r="AA343" s="19"/>
      <c r="AB343" s="19"/>
      <c r="AC343" s="19"/>
      <c r="AD343" s="19"/>
      <c r="AE343" s="19"/>
      <c r="AF343" s="19"/>
      <c r="AG343" s="19"/>
      <c r="AH343" s="19"/>
      <c r="AI343" s="19"/>
      <c r="AJ343" s="19"/>
      <c r="AK343" s="19"/>
      <c r="AL343" s="19"/>
      <c r="AM343" s="19"/>
      <c r="AN343" s="19"/>
      <c r="AO343" s="19"/>
      <c r="AP343" s="19"/>
      <c r="AQ343" s="19"/>
      <c r="AR343" s="19"/>
      <c r="AS343" s="19"/>
      <c r="AT343" s="19"/>
      <c r="AU343" s="19"/>
      <c r="AV343" s="19"/>
      <c r="AW343" s="19"/>
      <c r="AX343" s="19"/>
      <c r="AY343" s="19"/>
      <c r="AZ343" s="19"/>
      <c r="BA343" s="19"/>
      <c r="BB343" s="19"/>
      <c r="BC343" s="19"/>
      <c r="BD343" s="19"/>
      <c r="BE343" s="19"/>
      <c r="BF343" s="19"/>
      <c r="BG343" s="19"/>
      <c r="BH343" s="19"/>
      <c r="BI343" s="19"/>
      <c r="BJ343" s="19"/>
      <c r="BK343" s="19"/>
      <c r="BL343" s="19"/>
      <c r="BM343" s="19"/>
      <c r="BN343" s="19"/>
      <c r="BO343" s="19"/>
      <c r="BP343" s="19"/>
      <c r="BQ343" s="19"/>
      <c r="BR343" s="19"/>
      <c r="BS343" s="19"/>
      <c r="BT343" s="19"/>
      <c r="BU343" s="19"/>
      <c r="BV343" s="19"/>
      <c r="BW343" s="19"/>
      <c r="BX343" s="19"/>
      <c r="BY343" s="19"/>
      <c r="BZ343" s="19"/>
      <c r="CA343" s="19"/>
      <c r="CB343" s="19"/>
      <c r="CC343" s="19"/>
      <c r="CD343" s="19"/>
      <c r="CE343" s="19"/>
      <c r="CF343" s="12"/>
    </row>
    <row r="344" spans="1:84">
      <c r="A344" s="230" t="str">
        <f t="shared" si="1119"/>
        <v>Bond 9</v>
      </c>
      <c r="B344" s="230">
        <f t="shared" si="1122"/>
        <v>100.25376533228015</v>
      </c>
      <c r="C344" s="230">
        <f t="shared" si="1123"/>
        <v>100.23260958904109</v>
      </c>
      <c r="D344" s="230">
        <f t="shared" si="1121"/>
        <v>6.0303131627763853E-5</v>
      </c>
      <c r="E344" s="19"/>
      <c r="F344" s="19"/>
      <c r="G344" s="19"/>
      <c r="H344" s="19"/>
      <c r="I344" s="19"/>
      <c r="J344" s="19"/>
      <c r="K344" s="19"/>
      <c r="L344" s="19"/>
      <c r="M344" s="19"/>
      <c r="N344" s="19"/>
      <c r="O344" s="19"/>
      <c r="P344" s="19"/>
      <c r="Q344" s="19"/>
      <c r="R344" s="19"/>
      <c r="S344" s="19"/>
      <c r="T344" s="19"/>
      <c r="U344" s="19"/>
      <c r="V344" s="19"/>
      <c r="W344" s="19"/>
      <c r="X344" s="19"/>
      <c r="Y344" s="19"/>
      <c r="Z344" s="19"/>
      <c r="AA344" s="19"/>
      <c r="AB344" s="19"/>
      <c r="AC344" s="19"/>
      <c r="AD344" s="19"/>
      <c r="AE344" s="19"/>
      <c r="AF344" s="19"/>
      <c r="AG344" s="19"/>
      <c r="AH344" s="19"/>
      <c r="AI344" s="19"/>
      <c r="AJ344" s="19"/>
      <c r="AK344" s="19"/>
      <c r="AL344" s="19"/>
      <c r="AM344" s="19"/>
      <c r="AN344" s="19"/>
      <c r="AO344" s="19"/>
      <c r="AP344" s="19"/>
      <c r="AQ344" s="19"/>
      <c r="AR344" s="19"/>
      <c r="AS344" s="19"/>
      <c r="AT344" s="19"/>
      <c r="AU344" s="19"/>
      <c r="AV344" s="19"/>
      <c r="AW344" s="19"/>
      <c r="AX344" s="19"/>
      <c r="AY344" s="19"/>
      <c r="AZ344" s="19"/>
      <c r="BA344" s="19"/>
      <c r="BB344" s="19"/>
      <c r="BC344" s="19"/>
      <c r="BD344" s="19"/>
      <c r="BE344" s="19"/>
      <c r="BF344" s="19"/>
      <c r="BG344" s="19"/>
      <c r="BH344" s="19"/>
      <c r="BI344" s="19"/>
      <c r="BJ344" s="19"/>
      <c r="BK344" s="19"/>
      <c r="BL344" s="19"/>
      <c r="BM344" s="19"/>
      <c r="BN344" s="19"/>
      <c r="BO344" s="19"/>
      <c r="BP344" s="19"/>
      <c r="BQ344" s="19"/>
      <c r="BR344" s="19"/>
      <c r="BS344" s="19"/>
      <c r="BT344" s="19"/>
      <c r="BU344" s="19"/>
      <c r="BV344" s="19"/>
      <c r="BW344" s="19"/>
      <c r="BX344" s="19"/>
      <c r="BY344" s="19"/>
      <c r="BZ344" s="19"/>
      <c r="CA344" s="19"/>
      <c r="CB344" s="19"/>
      <c r="CC344" s="19"/>
      <c r="CD344" s="19"/>
      <c r="CE344" s="19"/>
    </row>
    <row r="345" spans="1:84">
      <c r="A345" s="230" t="str">
        <f t="shared" si="1119"/>
        <v>Bond 10</v>
      </c>
      <c r="B345" s="230">
        <f t="shared" si="1122"/>
        <v>109.29403531926586</v>
      </c>
      <c r="C345" s="230">
        <f t="shared" si="1123"/>
        <v>109.29652054794521</v>
      </c>
      <c r="D345" s="230">
        <f t="shared" si="1121"/>
        <v>6.947709287061495E-8</v>
      </c>
      <c r="E345" s="19"/>
      <c r="F345" s="19"/>
      <c r="G345" s="19"/>
      <c r="H345" s="19"/>
      <c r="I345" s="19"/>
      <c r="J345" s="19"/>
      <c r="K345" s="19"/>
      <c r="L345" s="19"/>
      <c r="M345" s="19"/>
      <c r="N345" s="19"/>
      <c r="O345" s="19"/>
      <c r="P345" s="19"/>
      <c r="Q345" s="19"/>
      <c r="R345" s="19"/>
      <c r="S345" s="19"/>
      <c r="T345" s="19"/>
      <c r="U345" s="19"/>
      <c r="V345" s="19"/>
      <c r="W345" s="19"/>
      <c r="X345" s="19"/>
      <c r="Y345" s="19"/>
      <c r="Z345" s="19"/>
      <c r="AA345" s="19"/>
      <c r="AB345" s="19"/>
      <c r="AC345" s="19"/>
      <c r="AD345" s="19"/>
      <c r="AE345" s="19"/>
      <c r="AF345" s="19"/>
      <c r="AG345" s="19"/>
      <c r="AH345" s="19"/>
      <c r="AI345" s="19"/>
      <c r="AJ345" s="19"/>
      <c r="AK345" s="19"/>
      <c r="AL345" s="19"/>
      <c r="AM345" s="19"/>
      <c r="AN345" s="19"/>
      <c r="AO345" s="19"/>
      <c r="AP345" s="19"/>
      <c r="AQ345" s="19"/>
      <c r="AR345" s="19"/>
      <c r="AS345" s="19"/>
      <c r="AT345" s="19"/>
      <c r="AU345" s="19"/>
      <c r="AV345" s="19"/>
      <c r="AW345" s="19"/>
      <c r="AX345" s="19"/>
      <c r="AY345" s="19"/>
      <c r="AZ345" s="19"/>
      <c r="BA345" s="19"/>
      <c r="BB345" s="19"/>
      <c r="BC345" s="19"/>
      <c r="BD345" s="19"/>
      <c r="BE345" s="19"/>
      <c r="BF345" s="19"/>
      <c r="BG345" s="19"/>
      <c r="BH345" s="19"/>
      <c r="BI345" s="19"/>
      <c r="BJ345" s="19"/>
      <c r="BK345" s="19"/>
      <c r="BL345" s="19"/>
      <c r="BM345" s="19"/>
      <c r="BN345" s="19"/>
      <c r="BO345" s="19"/>
      <c r="BP345" s="19"/>
      <c r="BQ345" s="19"/>
      <c r="BR345" s="19"/>
      <c r="BS345" s="19"/>
      <c r="BT345" s="19"/>
      <c r="BU345" s="19"/>
      <c r="BV345" s="19"/>
      <c r="BW345" s="19"/>
      <c r="BX345" s="19"/>
      <c r="BY345" s="19"/>
      <c r="BZ345" s="19"/>
      <c r="CA345" s="19"/>
      <c r="CB345" s="19"/>
      <c r="CC345" s="19"/>
      <c r="CD345" s="19"/>
      <c r="CE345" s="19"/>
    </row>
    <row r="346" spans="1:84">
      <c r="A346" s="230" t="str">
        <f t="shared" si="1119"/>
        <v>Bond 11</v>
      </c>
      <c r="B346" s="230">
        <f t="shared" si="1122"/>
        <v>100.77384408126122</v>
      </c>
      <c r="C346" s="230">
        <f t="shared" si="1123"/>
        <v>100.81367808219179</v>
      </c>
      <c r="D346" s="230">
        <f t="shared" si="1121"/>
        <v>9.6439512015968662E-5</v>
      </c>
      <c r="E346" s="19"/>
      <c r="F346" s="19"/>
      <c r="G346" s="19"/>
      <c r="H346" s="19"/>
      <c r="I346" s="19"/>
      <c r="J346" s="19"/>
      <c r="K346" s="19"/>
      <c r="L346" s="19"/>
      <c r="M346" s="19"/>
      <c r="N346" s="19"/>
      <c r="O346" s="19"/>
      <c r="P346" s="19"/>
      <c r="Q346" s="19"/>
      <c r="R346" s="19"/>
      <c r="S346" s="19"/>
      <c r="T346" s="19"/>
      <c r="U346" s="19"/>
      <c r="V346" s="19"/>
      <c r="W346" s="19"/>
      <c r="X346" s="19"/>
      <c r="Y346" s="19"/>
      <c r="Z346" s="19"/>
      <c r="AA346" s="19"/>
      <c r="AB346" s="19"/>
      <c r="AC346" s="19"/>
      <c r="AD346" s="19"/>
      <c r="AE346" s="19"/>
      <c r="AF346" s="19"/>
      <c r="AG346" s="19"/>
      <c r="AH346" s="19"/>
      <c r="AI346" s="19"/>
      <c r="AJ346" s="19"/>
      <c r="AK346" s="19"/>
      <c r="AL346" s="19"/>
      <c r="AM346" s="19"/>
      <c r="AN346" s="19"/>
      <c r="AO346" s="19"/>
      <c r="AP346" s="19"/>
      <c r="AQ346" s="19"/>
      <c r="AR346" s="19"/>
      <c r="AS346" s="19"/>
      <c r="AT346" s="19"/>
      <c r="AU346" s="19"/>
      <c r="AV346" s="19"/>
      <c r="AW346" s="19"/>
      <c r="AX346" s="19"/>
      <c r="AY346" s="19"/>
      <c r="AZ346" s="19"/>
      <c r="BA346" s="19"/>
      <c r="BB346" s="19"/>
      <c r="BC346" s="19"/>
      <c r="BD346" s="19"/>
      <c r="BE346" s="19"/>
      <c r="BF346" s="19"/>
      <c r="BG346" s="19"/>
      <c r="BH346" s="19"/>
      <c r="BI346" s="19"/>
      <c r="BJ346" s="19"/>
      <c r="BK346" s="19"/>
      <c r="BL346" s="19"/>
      <c r="BM346" s="19"/>
      <c r="BN346" s="19"/>
      <c r="BO346" s="19"/>
      <c r="BP346" s="19"/>
      <c r="BQ346" s="19"/>
      <c r="BR346" s="19"/>
      <c r="BS346" s="19"/>
      <c r="BT346" s="19"/>
      <c r="BU346" s="19"/>
      <c r="BV346" s="19"/>
      <c r="BW346" s="19"/>
      <c r="BX346" s="19"/>
      <c r="BY346" s="19"/>
      <c r="BZ346" s="19"/>
      <c r="CA346" s="19"/>
      <c r="CB346" s="19"/>
      <c r="CC346" s="19"/>
      <c r="CD346" s="19"/>
      <c r="CE346" s="19"/>
      <c r="CF346" s="12"/>
    </row>
    <row r="347" spans="1:84">
      <c r="A347" s="230" t="str">
        <f t="shared" si="1119"/>
        <v>Bond 12</v>
      </c>
      <c r="B347" s="230">
        <f t="shared" si="1122"/>
        <v>106.56755862550656</v>
      </c>
      <c r="C347" s="230">
        <f t="shared" si="1123"/>
        <v>106.53987671232878</v>
      </c>
      <c r="D347" s="230">
        <f t="shared" si="1121"/>
        <v>7.8685857029253076E-6</v>
      </c>
      <c r="E347" s="19"/>
      <c r="F347" s="19"/>
      <c r="G347" s="19"/>
      <c r="H347" s="19"/>
      <c r="I347" s="19"/>
      <c r="J347" s="19"/>
      <c r="K347" s="19"/>
      <c r="L347" s="19"/>
      <c r="M347" s="19"/>
      <c r="N347" s="19"/>
      <c r="O347" s="19"/>
      <c r="P347" s="19"/>
      <c r="Q347" s="19"/>
      <c r="R347" s="19"/>
      <c r="S347" s="19"/>
      <c r="T347" s="19"/>
      <c r="U347" s="19"/>
      <c r="V347" s="19"/>
      <c r="W347" s="19"/>
      <c r="X347" s="19"/>
      <c r="Y347" s="19"/>
      <c r="Z347" s="19"/>
      <c r="AA347" s="19"/>
      <c r="AB347" s="19"/>
      <c r="AC347" s="19"/>
      <c r="AD347" s="19"/>
      <c r="AE347" s="19"/>
      <c r="AF347" s="19"/>
      <c r="AG347" s="19"/>
      <c r="AH347" s="19"/>
      <c r="AI347" s="19"/>
      <c r="AJ347" s="19"/>
      <c r="AK347" s="19"/>
      <c r="AL347" s="19"/>
      <c r="AM347" s="19"/>
      <c r="AN347" s="19"/>
      <c r="AO347" s="19"/>
      <c r="AP347" s="19"/>
      <c r="AQ347" s="19"/>
      <c r="AR347" s="19"/>
      <c r="AS347" s="19"/>
      <c r="AT347" s="19"/>
      <c r="AU347" s="19"/>
      <c r="AV347" s="19"/>
      <c r="AW347" s="19"/>
      <c r="AX347" s="19"/>
      <c r="AY347" s="19"/>
      <c r="AZ347" s="19"/>
      <c r="BA347" s="19"/>
      <c r="BB347" s="19"/>
      <c r="BC347" s="19"/>
      <c r="BD347" s="19"/>
      <c r="BE347" s="19"/>
      <c r="BF347" s="19"/>
      <c r="BG347" s="19"/>
      <c r="BH347" s="19"/>
      <c r="BI347" s="19"/>
      <c r="BJ347" s="19"/>
      <c r="BK347" s="19"/>
      <c r="BL347" s="19"/>
      <c r="BM347" s="19"/>
      <c r="BN347" s="19"/>
      <c r="BO347" s="19"/>
      <c r="BP347" s="19"/>
      <c r="BQ347" s="19"/>
      <c r="BR347" s="19"/>
      <c r="BS347" s="19"/>
      <c r="BT347" s="19"/>
      <c r="BU347" s="19"/>
      <c r="BV347" s="19"/>
      <c r="BW347" s="19"/>
      <c r="BX347" s="19"/>
      <c r="BY347" s="19"/>
      <c r="BZ347" s="19"/>
      <c r="CA347" s="19"/>
      <c r="CB347" s="19"/>
      <c r="CC347" s="19"/>
      <c r="CD347" s="19"/>
      <c r="CE347" s="19"/>
      <c r="CF347" s="12"/>
    </row>
    <row r="348" spans="1:84">
      <c r="A348" s="230" t="str">
        <f t="shared" si="1119"/>
        <v>Bond 13</v>
      </c>
      <c r="B348" s="230">
        <f t="shared" si="1122"/>
        <v>101.1817954215341</v>
      </c>
      <c r="C348" s="230">
        <f t="shared" si="1123"/>
        <v>101.21099315068493</v>
      </c>
      <c r="D348" s="230">
        <f t="shared" si="1121"/>
        <v>3.5420463216667893E-5</v>
      </c>
      <c r="E348" s="19"/>
      <c r="F348" s="19"/>
      <c r="G348" s="19"/>
      <c r="H348" s="19"/>
      <c r="I348" s="19"/>
      <c r="J348" s="19"/>
      <c r="K348" s="19"/>
      <c r="L348" s="19"/>
      <c r="M348" s="19"/>
      <c r="N348" s="19"/>
      <c r="O348" s="19"/>
      <c r="P348" s="19"/>
      <c r="Q348" s="19"/>
      <c r="R348" s="19"/>
      <c r="S348" s="19"/>
      <c r="T348" s="19"/>
      <c r="U348" s="19"/>
      <c r="V348" s="19"/>
      <c r="W348" s="19"/>
      <c r="X348" s="19"/>
      <c r="Y348" s="19"/>
      <c r="Z348" s="19"/>
      <c r="AA348" s="19"/>
      <c r="AB348" s="19"/>
      <c r="AC348" s="19"/>
      <c r="AD348" s="19"/>
      <c r="AE348" s="19"/>
      <c r="AF348" s="19"/>
      <c r="AG348" s="19"/>
      <c r="AH348" s="19"/>
      <c r="AI348" s="19"/>
      <c r="AJ348" s="19"/>
      <c r="AK348" s="19"/>
      <c r="AL348" s="19"/>
      <c r="AM348" s="19"/>
      <c r="AN348" s="19"/>
      <c r="AO348" s="19"/>
      <c r="AP348" s="19"/>
      <c r="AQ348" s="19"/>
      <c r="AR348" s="19"/>
      <c r="AS348" s="19"/>
      <c r="AT348" s="19"/>
      <c r="AU348" s="19"/>
      <c r="AV348" s="19"/>
      <c r="AW348" s="19"/>
      <c r="AX348" s="19"/>
      <c r="AY348" s="19"/>
      <c r="AZ348" s="19"/>
      <c r="BA348" s="19"/>
      <c r="BB348" s="19"/>
      <c r="BC348" s="19"/>
      <c r="BD348" s="19"/>
      <c r="BE348" s="19"/>
      <c r="BF348" s="19"/>
      <c r="BG348" s="19"/>
      <c r="BH348" s="19"/>
      <c r="BI348" s="19"/>
      <c r="BJ348" s="19"/>
      <c r="BK348" s="19"/>
      <c r="BL348" s="19"/>
      <c r="BM348" s="19"/>
      <c r="BN348" s="19"/>
      <c r="BO348" s="19"/>
      <c r="BP348" s="19"/>
      <c r="BQ348" s="19"/>
      <c r="BR348" s="19"/>
      <c r="BS348" s="19"/>
      <c r="BT348" s="19"/>
      <c r="BU348" s="19"/>
      <c r="BV348" s="19"/>
      <c r="BW348" s="19"/>
      <c r="BX348" s="19"/>
      <c r="BY348" s="19"/>
      <c r="BZ348" s="19"/>
      <c r="CA348" s="19"/>
      <c r="CB348" s="19"/>
      <c r="CC348" s="19"/>
      <c r="CD348" s="19"/>
      <c r="CE348" s="19"/>
      <c r="CF348" s="12"/>
    </row>
    <row r="349" spans="1:84">
      <c r="A349" s="230" t="str">
        <f t="shared" si="1119"/>
        <v>Bond 14</v>
      </c>
      <c r="B349" s="230">
        <f t="shared" si="1122"/>
        <v>113.18942008990778</v>
      </c>
      <c r="C349" s="230">
        <f t="shared" si="1123"/>
        <v>113.17377397260275</v>
      </c>
      <c r="D349" s="230">
        <f t="shared" si="1121"/>
        <v>2.3914291014645147E-6</v>
      </c>
      <c r="E349" s="19"/>
      <c r="F349" s="19"/>
      <c r="G349" s="19"/>
      <c r="H349" s="19"/>
      <c r="I349" s="19"/>
      <c r="J349" s="19"/>
      <c r="K349" s="19"/>
      <c r="L349" s="19"/>
      <c r="M349" s="19"/>
      <c r="N349" s="19"/>
      <c r="O349" s="19"/>
      <c r="P349" s="19"/>
      <c r="Q349" s="19"/>
      <c r="R349" s="19"/>
      <c r="S349" s="19"/>
      <c r="T349" s="19"/>
      <c r="U349" s="19"/>
      <c r="V349" s="19"/>
      <c r="W349" s="19"/>
      <c r="X349" s="19"/>
      <c r="Y349" s="19"/>
      <c r="Z349" s="19"/>
      <c r="AA349" s="19"/>
      <c r="AB349" s="19"/>
      <c r="AC349" s="19"/>
      <c r="AD349" s="19"/>
      <c r="AE349" s="19"/>
      <c r="AF349" s="19"/>
      <c r="AG349" s="19"/>
      <c r="AH349" s="19"/>
      <c r="AI349" s="19"/>
      <c r="AJ349" s="19"/>
      <c r="AK349" s="19"/>
      <c r="AL349" s="19"/>
      <c r="AM349" s="19"/>
      <c r="AN349" s="19"/>
      <c r="AO349" s="19"/>
      <c r="AP349" s="19"/>
      <c r="AQ349" s="19"/>
      <c r="AR349" s="19"/>
      <c r="AS349" s="19"/>
      <c r="AT349" s="19"/>
      <c r="AU349" s="19"/>
      <c r="AV349" s="19"/>
      <c r="AW349" s="19"/>
      <c r="AX349" s="19"/>
      <c r="AY349" s="19"/>
      <c r="AZ349" s="19"/>
      <c r="BA349" s="19"/>
      <c r="BB349" s="19"/>
      <c r="BC349" s="19"/>
      <c r="BD349" s="19"/>
      <c r="BE349" s="19"/>
      <c r="BF349" s="19"/>
      <c r="BG349" s="19"/>
      <c r="BH349" s="19"/>
      <c r="BI349" s="19"/>
      <c r="BJ349" s="19"/>
      <c r="BK349" s="19"/>
      <c r="BL349" s="19"/>
      <c r="BM349" s="19"/>
      <c r="BN349" s="19"/>
      <c r="BO349" s="19"/>
      <c r="BP349" s="19"/>
      <c r="BQ349" s="19"/>
      <c r="BR349" s="19"/>
      <c r="BS349" s="19"/>
      <c r="BT349" s="19"/>
      <c r="BU349" s="19"/>
      <c r="BV349" s="19"/>
      <c r="BW349" s="19"/>
      <c r="BX349" s="19"/>
      <c r="BY349" s="19"/>
      <c r="BZ349" s="19"/>
      <c r="CA349" s="19"/>
      <c r="CB349" s="19"/>
      <c r="CC349" s="19"/>
      <c r="CD349" s="19"/>
      <c r="CE349" s="19"/>
    </row>
    <row r="350" spans="1:84">
      <c r="A350" s="230" t="str">
        <f t="shared" si="1119"/>
        <v>Bond 15</v>
      </c>
      <c r="B350" s="230">
        <f t="shared" si="1122"/>
        <v>101.34288532471857</v>
      </c>
      <c r="C350" s="230">
        <f t="shared" si="1123"/>
        <v>101.37377397260273</v>
      </c>
      <c r="D350" s="230">
        <f t="shared" si="1121"/>
        <v>2.8920615669596096E-5</v>
      </c>
      <c r="E350" s="19"/>
      <c r="F350" s="19"/>
      <c r="G350" s="19"/>
      <c r="H350" s="19"/>
      <c r="I350" s="19"/>
      <c r="J350" s="19"/>
      <c r="K350" s="19"/>
      <c r="L350" s="19"/>
      <c r="M350" s="19"/>
      <c r="N350" s="19"/>
      <c r="O350" s="19"/>
      <c r="P350" s="19"/>
      <c r="Q350" s="19"/>
      <c r="R350" s="19"/>
      <c r="S350" s="19"/>
      <c r="T350" s="19"/>
      <c r="U350" s="19"/>
      <c r="V350" s="19"/>
      <c r="W350" s="19"/>
      <c r="X350" s="19"/>
      <c r="Y350" s="19"/>
      <c r="Z350" s="19"/>
      <c r="AA350" s="19"/>
      <c r="AB350" s="19"/>
      <c r="AC350" s="19"/>
      <c r="AD350" s="19"/>
      <c r="AE350" s="19"/>
      <c r="AF350" s="19"/>
      <c r="AG350" s="19"/>
      <c r="AH350" s="19"/>
      <c r="AI350" s="19"/>
      <c r="AJ350" s="19"/>
      <c r="AK350" s="19"/>
      <c r="AL350" s="19"/>
      <c r="AM350" s="19"/>
      <c r="AN350" s="19"/>
      <c r="AO350" s="19"/>
      <c r="AP350" s="19"/>
      <c r="AQ350" s="19"/>
      <c r="AR350" s="19"/>
      <c r="AS350" s="19"/>
      <c r="AT350" s="19"/>
      <c r="AU350" s="19"/>
      <c r="AV350" s="19"/>
      <c r="AW350" s="19"/>
      <c r="AX350" s="19"/>
      <c r="AY350" s="19"/>
      <c r="AZ350" s="19"/>
      <c r="BA350" s="19"/>
      <c r="BB350" s="19"/>
      <c r="BC350" s="19"/>
      <c r="BD350" s="19"/>
      <c r="BE350" s="19"/>
      <c r="BF350" s="19"/>
      <c r="BG350" s="19"/>
      <c r="BH350" s="19"/>
      <c r="BI350" s="19"/>
      <c r="BJ350" s="19"/>
      <c r="BK350" s="19"/>
      <c r="BL350" s="19"/>
      <c r="BM350" s="19"/>
      <c r="BN350" s="19"/>
      <c r="BO350" s="19"/>
      <c r="BP350" s="19"/>
      <c r="BQ350" s="19"/>
      <c r="BR350" s="19"/>
      <c r="BS350" s="19"/>
      <c r="BT350" s="19"/>
      <c r="BU350" s="19"/>
      <c r="BV350" s="19"/>
      <c r="BW350" s="19"/>
      <c r="BX350" s="19"/>
      <c r="BY350" s="19"/>
      <c r="BZ350" s="19"/>
      <c r="CA350" s="19"/>
      <c r="CB350" s="19"/>
      <c r="CC350" s="19"/>
      <c r="CD350" s="19"/>
      <c r="CE350" s="19"/>
    </row>
    <row r="351" spans="1:84">
      <c r="A351" s="230" t="str">
        <f t="shared" si="1119"/>
        <v>Bond 16</v>
      </c>
      <c r="B351" s="230">
        <f t="shared" si="1122"/>
        <v>105.12466407537057</v>
      </c>
      <c r="C351" s="230">
        <f t="shared" si="1123"/>
        <v>105.16824657534248</v>
      </c>
      <c r="D351" s="230">
        <f t="shared" si="1121"/>
        <v>1.6740772833569261E-5</v>
      </c>
      <c r="E351" s="19"/>
      <c r="F351" s="19"/>
      <c r="G351" s="19"/>
      <c r="H351" s="19"/>
      <c r="I351" s="19"/>
      <c r="J351" s="19"/>
      <c r="K351" s="19"/>
      <c r="L351" s="19"/>
      <c r="M351" s="19"/>
      <c r="N351" s="19"/>
      <c r="O351" s="19"/>
      <c r="P351" s="19"/>
      <c r="Q351" s="19"/>
      <c r="R351" s="19"/>
      <c r="S351" s="19"/>
      <c r="T351" s="19"/>
      <c r="U351" s="19"/>
      <c r="V351" s="19"/>
      <c r="W351" s="19"/>
      <c r="X351" s="19"/>
      <c r="Y351" s="19"/>
      <c r="Z351" s="19"/>
      <c r="AA351" s="19"/>
      <c r="AB351" s="19"/>
      <c r="AC351" s="19"/>
      <c r="AD351" s="19"/>
      <c r="AE351" s="19"/>
      <c r="AF351" s="19"/>
      <c r="AG351" s="19"/>
      <c r="AH351" s="19"/>
      <c r="AI351" s="19"/>
      <c r="AJ351" s="19"/>
      <c r="AK351" s="19"/>
      <c r="AL351" s="19"/>
      <c r="AM351" s="19"/>
      <c r="AN351" s="19"/>
      <c r="AO351" s="19"/>
      <c r="AP351" s="19"/>
      <c r="AQ351" s="19"/>
      <c r="AR351" s="19"/>
      <c r="AS351" s="19"/>
      <c r="AT351" s="19"/>
      <c r="AU351" s="19"/>
      <c r="AV351" s="19"/>
      <c r="AW351" s="19"/>
      <c r="AX351" s="19"/>
      <c r="AY351" s="19"/>
      <c r="AZ351" s="19"/>
      <c r="BA351" s="19"/>
      <c r="BB351" s="19"/>
      <c r="BC351" s="19"/>
      <c r="BD351" s="19"/>
      <c r="BE351" s="19"/>
      <c r="BF351" s="19"/>
      <c r="BG351" s="19"/>
      <c r="BH351" s="19"/>
      <c r="BI351" s="19"/>
      <c r="BJ351" s="19"/>
      <c r="BK351" s="19"/>
      <c r="BL351" s="19"/>
      <c r="BM351" s="19"/>
      <c r="BN351" s="19"/>
      <c r="BO351" s="19"/>
      <c r="BP351" s="19"/>
      <c r="BQ351" s="19"/>
      <c r="BR351" s="19"/>
      <c r="BS351" s="19"/>
      <c r="BT351" s="19"/>
      <c r="BU351" s="19"/>
      <c r="BV351" s="19"/>
      <c r="BW351" s="19"/>
      <c r="BX351" s="19"/>
      <c r="BY351" s="19"/>
      <c r="BZ351" s="19"/>
      <c r="CA351" s="19"/>
      <c r="CB351" s="19"/>
      <c r="CC351" s="19"/>
      <c r="CD351" s="19"/>
      <c r="CE351" s="19"/>
    </row>
    <row r="352" spans="1:84">
      <c r="A352" s="230" t="str">
        <f t="shared" si="1119"/>
        <v>Bond 17</v>
      </c>
      <c r="B352" s="230">
        <f t="shared" si="1122"/>
        <v>99.116658076543501</v>
      </c>
      <c r="C352" s="230">
        <f t="shared" si="1123"/>
        <v>99.102287671232872</v>
      </c>
      <c r="D352" s="230">
        <f t="shared" si="1121"/>
        <v>5.0515992144737328E-6</v>
      </c>
      <c r="E352" s="19"/>
      <c r="F352" s="19"/>
      <c r="G352" s="19"/>
      <c r="H352" s="19"/>
      <c r="I352" s="19"/>
      <c r="J352" s="19"/>
      <c r="K352" s="19"/>
      <c r="L352" s="19"/>
      <c r="M352" s="19"/>
      <c r="N352" s="19"/>
      <c r="O352" s="19"/>
      <c r="P352" s="19"/>
      <c r="Q352" s="19"/>
      <c r="R352" s="19"/>
      <c r="S352" s="19"/>
      <c r="T352" s="19"/>
      <c r="U352" s="19"/>
      <c r="V352" s="19"/>
      <c r="W352" s="19"/>
      <c r="X352" s="19"/>
      <c r="Y352" s="19"/>
      <c r="Z352" s="19"/>
      <c r="AA352" s="19"/>
      <c r="AB352" s="19"/>
      <c r="AC352" s="19"/>
      <c r="AD352" s="19"/>
      <c r="AE352" s="19"/>
      <c r="AF352" s="19"/>
      <c r="AG352" s="19"/>
      <c r="AH352" s="19"/>
      <c r="AI352" s="19"/>
      <c r="AJ352" s="19"/>
      <c r="AK352" s="19"/>
      <c r="AL352" s="19"/>
      <c r="AM352" s="19"/>
      <c r="AN352" s="19"/>
      <c r="AO352" s="19"/>
      <c r="AP352" s="19"/>
      <c r="AQ352" s="19"/>
      <c r="AR352" s="19"/>
      <c r="AS352" s="19"/>
      <c r="AT352" s="19"/>
      <c r="AU352" s="19"/>
      <c r="AV352" s="19"/>
      <c r="AW352" s="19"/>
      <c r="AX352" s="19"/>
      <c r="AY352" s="19"/>
      <c r="AZ352" s="19"/>
      <c r="BA352" s="19"/>
      <c r="BB352" s="19"/>
      <c r="BC352" s="19"/>
      <c r="BD352" s="19"/>
      <c r="BE352" s="19"/>
      <c r="BF352" s="19"/>
      <c r="BG352" s="19"/>
      <c r="BH352" s="19"/>
      <c r="BI352" s="19"/>
      <c r="BJ352" s="19"/>
      <c r="BK352" s="19"/>
      <c r="BL352" s="19"/>
      <c r="BM352" s="19"/>
      <c r="BN352" s="19"/>
      <c r="BO352" s="19"/>
      <c r="BP352" s="19"/>
      <c r="BQ352" s="19"/>
      <c r="BR352" s="19"/>
      <c r="BS352" s="19"/>
      <c r="BT352" s="19"/>
      <c r="BU352" s="19"/>
      <c r="BV352" s="19"/>
      <c r="BW352" s="19"/>
      <c r="BX352" s="19"/>
      <c r="BY352" s="19"/>
      <c r="BZ352" s="19"/>
      <c r="CA352" s="19"/>
      <c r="CB352" s="19"/>
      <c r="CC352" s="19"/>
      <c r="CD352" s="19"/>
      <c r="CE352" s="19"/>
    </row>
    <row r="353" spans="1:83">
      <c r="A353" s="230" t="str">
        <f t="shared" si="1119"/>
        <v>Bond 18</v>
      </c>
      <c r="B353" s="230">
        <f t="shared" si="1122"/>
        <v>101.13188993361584</v>
      </c>
      <c r="C353" s="230">
        <f t="shared" si="1123"/>
        <v>101.07103424657534</v>
      </c>
      <c r="D353" s="230">
        <f t="shared" si="1121"/>
        <v>3.010011000844681E-5</v>
      </c>
      <c r="E353" s="19"/>
      <c r="F353" s="19"/>
      <c r="G353" s="19"/>
      <c r="H353" s="19"/>
      <c r="I353" s="19"/>
      <c r="J353" s="19"/>
      <c r="K353" s="19"/>
      <c r="L353" s="19"/>
      <c r="M353" s="19"/>
      <c r="N353" s="19"/>
      <c r="O353" s="19"/>
      <c r="P353" s="19"/>
      <c r="Q353" s="19"/>
      <c r="R353" s="19"/>
      <c r="S353" s="19"/>
      <c r="T353" s="19"/>
      <c r="U353" s="19"/>
      <c r="V353" s="19"/>
      <c r="W353" s="19"/>
      <c r="X353" s="19"/>
      <c r="Y353" s="19"/>
      <c r="Z353" s="19"/>
      <c r="AA353" s="19"/>
      <c r="AB353" s="19"/>
      <c r="AC353" s="19"/>
      <c r="AD353" s="19"/>
      <c r="AE353" s="19"/>
      <c r="AF353" s="19"/>
      <c r="AG353" s="19"/>
      <c r="AH353" s="19"/>
      <c r="AI353" s="19"/>
      <c r="AJ353" s="19"/>
      <c r="AK353" s="19"/>
      <c r="AL353" s="19"/>
      <c r="AM353" s="19"/>
      <c r="AN353" s="19"/>
      <c r="AO353" s="19"/>
      <c r="AP353" s="19"/>
      <c r="AQ353" s="19"/>
      <c r="AR353" s="19"/>
      <c r="AS353" s="19"/>
      <c r="AT353" s="19"/>
      <c r="AU353" s="19"/>
      <c r="AV353" s="19"/>
      <c r="AW353" s="19"/>
      <c r="AX353" s="19"/>
      <c r="AY353" s="19"/>
      <c r="AZ353" s="19"/>
      <c r="BA353" s="19"/>
      <c r="BB353" s="19"/>
      <c r="BC353" s="19"/>
      <c r="BD353" s="19"/>
      <c r="BE353" s="19"/>
      <c r="BF353" s="19"/>
      <c r="BG353" s="19"/>
      <c r="BH353" s="19"/>
      <c r="BI353" s="19"/>
      <c r="BJ353" s="19"/>
      <c r="BK353" s="19"/>
      <c r="BL353" s="19"/>
      <c r="BM353" s="19"/>
      <c r="BN353" s="19"/>
      <c r="BO353" s="19"/>
      <c r="BP353" s="19"/>
      <c r="BQ353" s="19"/>
      <c r="BR353" s="19"/>
      <c r="BS353" s="19"/>
      <c r="BT353" s="19"/>
      <c r="BU353" s="19"/>
      <c r="BV353" s="19"/>
      <c r="BW353" s="19"/>
      <c r="BX353" s="19"/>
      <c r="BY353" s="19"/>
      <c r="BZ353" s="19"/>
      <c r="CA353" s="19"/>
      <c r="CB353" s="19"/>
      <c r="CC353" s="19"/>
      <c r="CD353" s="19"/>
      <c r="CE353" s="19"/>
    </row>
    <row r="354" spans="1:83">
      <c r="A354" s="230" t="str">
        <f t="shared" si="1119"/>
        <v>Bond 19</v>
      </c>
      <c r="B354" s="230">
        <f t="shared" si="1122"/>
        <v>98.364792023306194</v>
      </c>
      <c r="C354" s="230">
        <f t="shared" si="1123"/>
        <v>98.343705479452055</v>
      </c>
      <c r="D354" s="230">
        <f t="shared" si="1121"/>
        <v>8.8994416124307828E-6</v>
      </c>
      <c r="E354" s="19"/>
      <c r="F354" s="19"/>
      <c r="G354" s="19"/>
      <c r="H354" s="19"/>
      <c r="I354" s="19"/>
      <c r="J354" s="19"/>
      <c r="K354" s="19"/>
      <c r="L354" s="19"/>
      <c r="M354" s="19"/>
      <c r="N354" s="19"/>
      <c r="O354" s="19"/>
      <c r="P354" s="19"/>
      <c r="Q354" s="19"/>
      <c r="R354" s="19"/>
      <c r="S354" s="19"/>
      <c r="T354" s="19"/>
      <c r="U354" s="19"/>
      <c r="V354" s="19"/>
      <c r="W354" s="19"/>
      <c r="X354" s="19"/>
      <c r="Y354" s="19"/>
      <c r="Z354" s="19"/>
      <c r="AA354" s="19"/>
      <c r="AB354" s="19"/>
      <c r="AC354" s="19"/>
      <c r="AD354" s="19"/>
      <c r="AE354" s="19"/>
      <c r="AF354" s="19"/>
      <c r="AG354" s="19"/>
      <c r="AH354" s="19"/>
      <c r="AI354" s="19"/>
      <c r="AJ354" s="19"/>
      <c r="AK354" s="19"/>
      <c r="AL354" s="19"/>
      <c r="AM354" s="19"/>
      <c r="AN354" s="19"/>
      <c r="AO354" s="19"/>
      <c r="AP354" s="19"/>
      <c r="AQ354" s="19"/>
      <c r="AR354" s="19"/>
      <c r="AS354" s="19"/>
      <c r="AT354" s="19"/>
      <c r="AU354" s="19"/>
      <c r="AV354" s="19"/>
      <c r="AW354" s="19"/>
      <c r="AX354" s="19"/>
      <c r="AY354" s="19"/>
      <c r="AZ354" s="19"/>
      <c r="BA354" s="19"/>
      <c r="BB354" s="19"/>
      <c r="BC354" s="19"/>
      <c r="BD354" s="19"/>
      <c r="BE354" s="19"/>
      <c r="BF354" s="19"/>
      <c r="BG354" s="19"/>
      <c r="BH354" s="19"/>
      <c r="BI354" s="19"/>
      <c r="BJ354" s="19"/>
      <c r="BK354" s="19"/>
      <c r="BL354" s="19"/>
      <c r="BM354" s="19"/>
      <c r="BN354" s="19"/>
      <c r="BO354" s="19"/>
      <c r="BP354" s="19"/>
      <c r="BQ354" s="19"/>
      <c r="BR354" s="19"/>
      <c r="BS354" s="19"/>
      <c r="BT354" s="19"/>
      <c r="BU354" s="19"/>
      <c r="BV354" s="19"/>
      <c r="BW354" s="19"/>
      <c r="BX354" s="19"/>
      <c r="BY354" s="19"/>
      <c r="BZ354" s="19"/>
      <c r="CA354" s="19"/>
      <c r="CB354" s="19"/>
      <c r="CC354" s="19"/>
      <c r="CD354" s="19"/>
      <c r="CE354" s="19"/>
    </row>
    <row r="355" spans="1:83">
      <c r="A355" s="230" t="str">
        <f t="shared" si="1119"/>
        <v>Bond 20</v>
      </c>
      <c r="B355" s="230">
        <f t="shared" si="1122"/>
        <v>95.382721272596001</v>
      </c>
      <c r="C355" s="230">
        <f t="shared" si="1123"/>
        <v>95.304164383723744</v>
      </c>
      <c r="D355" s="230">
        <f t="shared" si="1121"/>
        <v>4.5918525782078272E-5</v>
      </c>
      <c r="E355" s="19"/>
      <c r="F355" s="19"/>
      <c r="G355" s="19"/>
      <c r="H355" s="19"/>
      <c r="I355" s="19"/>
      <c r="J355" s="19"/>
      <c r="K355" s="19"/>
      <c r="L355" s="19"/>
      <c r="M355" s="19"/>
      <c r="N355" s="19"/>
      <c r="O355" s="19"/>
      <c r="P355" s="19"/>
      <c r="Q355" s="19"/>
      <c r="R355" s="19"/>
      <c r="S355" s="19"/>
      <c r="T355" s="19"/>
      <c r="U355" s="19"/>
      <c r="V355" s="19"/>
      <c r="W355" s="19"/>
      <c r="X355" s="19"/>
      <c r="Y355" s="19"/>
      <c r="Z355" s="19"/>
      <c r="AA355" s="19"/>
      <c r="AB355" s="19"/>
      <c r="AC355" s="19"/>
      <c r="AD355" s="19"/>
      <c r="AE355" s="19"/>
      <c r="AF355" s="19"/>
      <c r="AG355" s="19"/>
      <c r="AH355" s="19"/>
      <c r="AI355" s="19"/>
      <c r="AJ355" s="19"/>
      <c r="AK355" s="19"/>
      <c r="AL355" s="19"/>
      <c r="AM355" s="19"/>
      <c r="AN355" s="19"/>
      <c r="AO355" s="19"/>
      <c r="AP355" s="19"/>
      <c r="AQ355" s="19"/>
      <c r="AR355" s="19"/>
      <c r="AS355" s="19"/>
      <c r="AT355" s="19"/>
      <c r="AU355" s="19"/>
      <c r="AV355" s="19"/>
      <c r="AW355" s="19"/>
      <c r="AX355" s="19"/>
      <c r="AY355" s="19"/>
      <c r="AZ355" s="19"/>
      <c r="BA355" s="19"/>
      <c r="BB355" s="19"/>
      <c r="BC355" s="19"/>
      <c r="BD355" s="19"/>
      <c r="BE355" s="19"/>
      <c r="BF355" s="19"/>
      <c r="BG355" s="19"/>
      <c r="BH355" s="19"/>
      <c r="BI355" s="19"/>
      <c r="BJ355" s="19"/>
      <c r="BK355" s="19"/>
      <c r="BL355" s="19"/>
      <c r="BM355" s="19"/>
      <c r="BN355" s="19"/>
      <c r="BO355" s="19"/>
      <c r="BP355" s="19"/>
      <c r="BQ355" s="19"/>
      <c r="BR355" s="19"/>
      <c r="BS355" s="19"/>
      <c r="BT355" s="19"/>
      <c r="BU355" s="19"/>
      <c r="BV355" s="19"/>
      <c r="BW355" s="19"/>
      <c r="BX355" s="19"/>
      <c r="BY355" s="19"/>
      <c r="BZ355" s="19"/>
      <c r="CA355" s="19"/>
      <c r="CB355" s="19"/>
      <c r="CC355" s="19"/>
      <c r="CD355" s="19"/>
      <c r="CE355" s="19"/>
    </row>
    <row r="356" spans="1:83">
      <c r="A356" s="230" t="str">
        <f t="shared" si="1119"/>
        <v>Bond 21</v>
      </c>
      <c r="B356" s="230">
        <f t="shared" si="1122"/>
        <v>96.847016858510017</v>
      </c>
      <c r="C356" s="230">
        <f t="shared" si="1123"/>
        <v>96.94019863013699</v>
      </c>
      <c r="D356" s="230">
        <f t="shared" si="1121"/>
        <v>1.4991090284698127E-4</v>
      </c>
      <c r="E356" s="20"/>
      <c r="F356" s="19"/>
      <c r="G356" s="19"/>
      <c r="H356" s="19"/>
      <c r="I356" s="19"/>
      <c r="J356" s="19"/>
      <c r="K356" s="19"/>
      <c r="L356" s="19"/>
      <c r="M356" s="19"/>
      <c r="N356" s="19"/>
      <c r="O356" s="19"/>
      <c r="P356" s="19"/>
      <c r="Q356" s="19"/>
      <c r="R356" s="19"/>
      <c r="S356" s="19"/>
      <c r="T356" s="19"/>
      <c r="U356" s="19"/>
      <c r="V356" s="19"/>
      <c r="W356" s="19"/>
      <c r="X356" s="19"/>
      <c r="Y356" s="19"/>
      <c r="Z356" s="19"/>
      <c r="AA356" s="19"/>
      <c r="AB356" s="19"/>
      <c r="AC356" s="19"/>
      <c r="AD356" s="19"/>
      <c r="AE356" s="19"/>
      <c r="AF356" s="19"/>
      <c r="AG356" s="19"/>
      <c r="AH356" s="19"/>
      <c r="AI356" s="19"/>
      <c r="AJ356" s="19"/>
      <c r="AK356" s="19"/>
      <c r="AL356" s="19"/>
      <c r="AM356" s="19"/>
      <c r="AN356" s="19"/>
      <c r="AO356" s="19"/>
      <c r="AP356" s="19"/>
      <c r="AQ356" s="19"/>
      <c r="AR356" s="19"/>
      <c r="AS356" s="19"/>
      <c r="AT356" s="19"/>
      <c r="AU356" s="19"/>
      <c r="AV356" s="19"/>
      <c r="AW356" s="19"/>
      <c r="AX356" s="19"/>
      <c r="AY356" s="19"/>
      <c r="AZ356" s="19"/>
      <c r="BA356" s="19"/>
      <c r="BB356" s="19"/>
      <c r="BC356" s="19"/>
      <c r="BD356" s="19"/>
      <c r="BE356" s="19"/>
      <c r="BF356" s="19"/>
      <c r="BG356" s="19"/>
      <c r="BH356" s="19"/>
      <c r="BI356" s="19"/>
      <c r="BJ356" s="19"/>
      <c r="BK356" s="19"/>
      <c r="BL356" s="19"/>
      <c r="BM356" s="19"/>
      <c r="BN356" s="19"/>
      <c r="BO356" s="19"/>
      <c r="BP356" s="19"/>
      <c r="BQ356" s="19"/>
      <c r="BR356" s="19"/>
      <c r="BS356" s="19"/>
      <c r="BT356" s="19"/>
      <c r="BU356" s="19"/>
      <c r="BV356" s="19"/>
      <c r="BW356" s="19"/>
      <c r="BX356" s="19"/>
      <c r="BY356" s="19"/>
      <c r="BZ356" s="19"/>
      <c r="CA356" s="19"/>
      <c r="CB356" s="19"/>
      <c r="CC356" s="19"/>
      <c r="CD356" s="19"/>
      <c r="CE356" s="19"/>
    </row>
    <row r="357" spans="1:83">
      <c r="A357" s="230" t="str">
        <f t="shared" si="1119"/>
        <v>Bond 22</v>
      </c>
      <c r="B357" s="230">
        <f t="shared" si="1122"/>
        <v>100.84043229032486</v>
      </c>
      <c r="C357" s="230">
        <f t="shared" si="1123"/>
        <v>100.75576712328767</v>
      </c>
      <c r="D357" s="230">
        <f t="shared" si="1121"/>
        <v>5.1906473681567942E-5</v>
      </c>
      <c r="E357" s="20"/>
      <c r="F357" s="19"/>
      <c r="G357" s="19"/>
      <c r="H357" s="19"/>
      <c r="I357" s="19"/>
      <c r="J357" s="19"/>
      <c r="K357" s="19"/>
      <c r="L357" s="19"/>
      <c r="M357" s="19"/>
      <c r="N357" s="19"/>
      <c r="O357" s="19"/>
      <c r="P357" s="19"/>
      <c r="Q357" s="19"/>
      <c r="R357" s="19"/>
      <c r="S357" s="19"/>
      <c r="T357" s="19"/>
      <c r="U357" s="19"/>
      <c r="V357" s="19"/>
      <c r="W357" s="19"/>
      <c r="X357" s="19"/>
      <c r="Y357" s="19"/>
      <c r="Z357" s="19"/>
      <c r="AA357" s="19"/>
      <c r="AB357" s="19"/>
      <c r="AC357" s="19"/>
      <c r="AD357" s="19"/>
      <c r="AE357" s="19"/>
      <c r="AF357" s="19"/>
      <c r="AG357" s="19"/>
      <c r="AH357" s="19"/>
      <c r="AI357" s="19"/>
      <c r="AJ357" s="19"/>
      <c r="AK357" s="19"/>
      <c r="AL357" s="19"/>
      <c r="AM357" s="19"/>
      <c r="AN357" s="19"/>
      <c r="AO357" s="19"/>
      <c r="AP357" s="19"/>
      <c r="AQ357" s="19"/>
      <c r="AR357" s="19"/>
      <c r="AS357" s="19"/>
      <c r="AT357" s="19"/>
      <c r="AU357" s="19"/>
      <c r="AV357" s="19"/>
      <c r="AW357" s="19"/>
      <c r="AX357" s="19"/>
      <c r="AY357" s="19"/>
      <c r="AZ357" s="19"/>
      <c r="BA357" s="19"/>
      <c r="BB357" s="19"/>
      <c r="BC357" s="19"/>
      <c r="BD357" s="19"/>
      <c r="BE357" s="19"/>
      <c r="BF357" s="19"/>
      <c r="BG357" s="19"/>
      <c r="BH357" s="19"/>
      <c r="BI357" s="19"/>
      <c r="BJ357" s="19"/>
      <c r="BK357" s="19"/>
      <c r="BL357" s="19"/>
      <c r="BM357" s="19"/>
      <c r="BN357" s="19"/>
      <c r="BO357" s="19"/>
      <c r="BP357" s="19"/>
      <c r="BQ357" s="19"/>
      <c r="BR357" s="19"/>
      <c r="BS357" s="19"/>
      <c r="BT357" s="19"/>
      <c r="BU357" s="19"/>
      <c r="BV357" s="19"/>
      <c r="BW357" s="19"/>
      <c r="BX357" s="19"/>
      <c r="BY357" s="19"/>
      <c r="BZ357" s="19"/>
      <c r="CA357" s="19"/>
      <c r="CB357" s="19"/>
      <c r="CC357" s="19"/>
      <c r="CD357" s="19"/>
      <c r="CE357" s="19"/>
    </row>
    <row r="358" spans="1:83">
      <c r="A358" s="230" t="str">
        <f t="shared" si="1119"/>
        <v>Bond 23</v>
      </c>
      <c r="B358" s="230">
        <f t="shared" si="1122"/>
        <v>98.598233452356112</v>
      </c>
      <c r="C358" s="230">
        <f t="shared" si="1123"/>
        <v>98.543616438356167</v>
      </c>
      <c r="D358" s="230">
        <f t="shared" si="1121"/>
        <v>4.543830406617827E-5</v>
      </c>
      <c r="E358" s="20"/>
      <c r="F358" s="19"/>
      <c r="G358" s="19"/>
      <c r="H358" s="19"/>
      <c r="I358" s="19"/>
      <c r="J358" s="19"/>
      <c r="K358" s="19"/>
      <c r="L358" s="19"/>
      <c r="M358" s="19"/>
      <c r="N358" s="19"/>
      <c r="O358" s="19"/>
      <c r="P358" s="19"/>
      <c r="Q358" s="19"/>
      <c r="R358" s="19"/>
      <c r="S358" s="19"/>
      <c r="T358" s="19"/>
      <c r="U358" s="19"/>
      <c r="V358" s="19"/>
      <c r="W358" s="19"/>
      <c r="X358" s="19"/>
      <c r="Y358" s="19"/>
      <c r="Z358" s="19"/>
      <c r="AA358" s="19"/>
      <c r="AB358" s="19"/>
      <c r="AC358" s="19"/>
      <c r="AD358" s="19"/>
      <c r="AE358" s="19"/>
      <c r="AF358" s="19"/>
      <c r="AG358" s="19"/>
      <c r="AH358" s="19"/>
      <c r="AI358" s="19"/>
      <c r="AJ358" s="19"/>
      <c r="AK358" s="19"/>
      <c r="AL358" s="19"/>
      <c r="AM358" s="19"/>
      <c r="AN358" s="19"/>
      <c r="AO358" s="19"/>
      <c r="AP358" s="19"/>
      <c r="AQ358" s="19"/>
      <c r="AR358" s="19"/>
      <c r="AS358" s="19"/>
      <c r="AT358" s="19"/>
      <c r="AU358" s="19"/>
      <c r="AV358" s="19"/>
      <c r="AW358" s="19"/>
      <c r="AX358" s="19"/>
      <c r="AY358" s="19"/>
      <c r="AZ358" s="19"/>
      <c r="BA358" s="19"/>
      <c r="BB358" s="19"/>
      <c r="BC358" s="19"/>
      <c r="BD358" s="19"/>
      <c r="BE358" s="19"/>
      <c r="BF358" s="19"/>
      <c r="BG358" s="19"/>
      <c r="BH358" s="19"/>
      <c r="BI358" s="19"/>
      <c r="BJ358" s="19"/>
      <c r="BK358" s="19"/>
      <c r="BL358" s="19"/>
      <c r="BM358" s="19"/>
      <c r="BN358" s="19"/>
      <c r="BO358" s="19"/>
      <c r="BP358" s="19"/>
      <c r="BQ358" s="19"/>
      <c r="BR358" s="19"/>
      <c r="BS358" s="19"/>
      <c r="BT358" s="19"/>
      <c r="BU358" s="19"/>
      <c r="BV358" s="19"/>
      <c r="BW358" s="19"/>
      <c r="BX358" s="19"/>
      <c r="BY358" s="19"/>
      <c r="BZ358" s="19"/>
      <c r="CA358" s="19"/>
      <c r="CB358" s="19"/>
      <c r="CC358" s="19"/>
      <c r="CD358" s="19"/>
      <c r="CE358" s="19"/>
    </row>
    <row r="359" spans="1:83">
      <c r="A359" s="230" t="str">
        <f t="shared" si="1119"/>
        <v>Bond 24</v>
      </c>
      <c r="B359" s="230">
        <f t="shared" si="1122"/>
        <v>100.14806820687198</v>
      </c>
      <c r="C359" s="230">
        <f t="shared" si="1123"/>
        <v>100.16984246575342</v>
      </c>
      <c r="D359" s="230">
        <f t="shared" si="1121"/>
        <v>4.4186290265195072E-5</v>
      </c>
      <c r="E359" s="20"/>
      <c r="F359" s="19"/>
      <c r="G359" s="19"/>
      <c r="H359" s="19"/>
      <c r="I359" s="19"/>
      <c r="J359" s="19"/>
      <c r="K359" s="19"/>
      <c r="L359" s="19"/>
      <c r="M359" s="19"/>
      <c r="N359" s="19"/>
      <c r="O359" s="19"/>
      <c r="P359" s="19"/>
      <c r="Q359" s="19"/>
      <c r="R359" s="19"/>
      <c r="S359" s="19"/>
      <c r="T359" s="19"/>
      <c r="U359" s="19"/>
      <c r="V359" s="19"/>
      <c r="W359" s="19"/>
      <c r="X359" s="19"/>
      <c r="Y359" s="19"/>
      <c r="Z359" s="19"/>
      <c r="AA359" s="19"/>
      <c r="AB359" s="19"/>
      <c r="AC359" s="19"/>
      <c r="AD359" s="19"/>
      <c r="AE359" s="19"/>
      <c r="AF359" s="19"/>
      <c r="AG359" s="19"/>
      <c r="AH359" s="19"/>
      <c r="AI359" s="19"/>
      <c r="AJ359" s="19"/>
      <c r="AK359" s="19"/>
      <c r="AL359" s="19"/>
      <c r="AM359" s="19"/>
      <c r="AN359" s="19"/>
      <c r="AO359" s="19"/>
      <c r="AP359" s="19"/>
      <c r="AQ359" s="19"/>
      <c r="AR359" s="19"/>
      <c r="AS359" s="19"/>
      <c r="AT359" s="19"/>
      <c r="AU359" s="19"/>
      <c r="AV359" s="19"/>
      <c r="AW359" s="19"/>
      <c r="AX359" s="19"/>
      <c r="AY359" s="19"/>
      <c r="AZ359" s="19"/>
      <c r="BA359" s="19"/>
      <c r="BB359" s="19"/>
      <c r="BC359" s="19"/>
      <c r="BD359" s="19"/>
      <c r="BE359" s="19"/>
      <c r="BF359" s="19"/>
      <c r="BG359" s="19"/>
      <c r="BH359" s="19"/>
      <c r="BI359" s="19"/>
      <c r="BJ359" s="19"/>
      <c r="BK359" s="19"/>
      <c r="BL359" s="19"/>
      <c r="BM359" s="19"/>
      <c r="BN359" s="19"/>
      <c r="BO359" s="19"/>
      <c r="BP359" s="19"/>
      <c r="BQ359" s="19"/>
      <c r="BR359" s="19"/>
      <c r="BS359" s="19"/>
      <c r="BT359" s="19"/>
      <c r="BU359" s="19"/>
      <c r="BV359" s="19"/>
      <c r="BW359" s="19"/>
      <c r="BX359" s="19"/>
      <c r="BY359" s="19"/>
      <c r="BZ359" s="19"/>
      <c r="CA359" s="19"/>
      <c r="CB359" s="19"/>
      <c r="CC359" s="19"/>
      <c r="CD359" s="19"/>
      <c r="CE359" s="19"/>
    </row>
    <row r="360" spans="1:83">
      <c r="A360" s="230" t="str">
        <f t="shared" si="1119"/>
        <v>Bond 25</v>
      </c>
      <c r="B360" s="230">
        <f t="shared" si="1122"/>
        <v>109.58632127798086</v>
      </c>
      <c r="C360" s="230">
        <f t="shared" si="1123"/>
        <v>109.53367123287671</v>
      </c>
      <c r="D360" s="230">
        <f t="shared" si="1121"/>
        <v>1.979900034796343E-5</v>
      </c>
      <c r="E360" s="20"/>
      <c r="F360" s="19"/>
      <c r="G360" s="19"/>
      <c r="H360" s="19"/>
      <c r="I360" s="19"/>
      <c r="J360" s="19"/>
      <c r="K360" s="19"/>
      <c r="L360" s="19"/>
      <c r="M360" s="19"/>
      <c r="N360" s="19"/>
      <c r="O360" s="19"/>
      <c r="P360" s="19"/>
      <c r="Q360" s="19"/>
      <c r="R360" s="19"/>
      <c r="S360" s="19"/>
      <c r="T360" s="19"/>
      <c r="U360" s="19"/>
      <c r="V360" s="19"/>
      <c r="W360" s="19"/>
      <c r="X360" s="19"/>
      <c r="Y360" s="19"/>
      <c r="Z360" s="19"/>
      <c r="AA360" s="19"/>
      <c r="AB360" s="19"/>
      <c r="AC360" s="19"/>
      <c r="AD360" s="19"/>
      <c r="AE360" s="19"/>
      <c r="AF360" s="19"/>
      <c r="AG360" s="19"/>
      <c r="AH360" s="19"/>
      <c r="AI360" s="19"/>
      <c r="AJ360" s="19"/>
      <c r="AK360" s="19"/>
      <c r="AL360" s="19"/>
      <c r="AM360" s="19"/>
      <c r="AN360" s="19"/>
      <c r="AO360" s="19"/>
      <c r="AP360" s="19"/>
      <c r="AQ360" s="19"/>
      <c r="AR360" s="19"/>
      <c r="AS360" s="19"/>
      <c r="AT360" s="19"/>
      <c r="AU360" s="19"/>
      <c r="AV360" s="19"/>
      <c r="AW360" s="19"/>
      <c r="AX360" s="19"/>
      <c r="AY360" s="19"/>
      <c r="AZ360" s="19"/>
      <c r="BA360" s="19"/>
      <c r="BB360" s="19"/>
      <c r="BC360" s="19"/>
      <c r="BD360" s="19"/>
      <c r="BE360" s="19"/>
      <c r="BF360" s="19"/>
      <c r="BG360" s="19"/>
      <c r="BH360" s="19"/>
      <c r="BI360" s="19"/>
      <c r="BJ360" s="19"/>
      <c r="BK360" s="19"/>
      <c r="BL360" s="19"/>
      <c r="BM360" s="19"/>
      <c r="BN360" s="19"/>
      <c r="BO360" s="19"/>
      <c r="BP360" s="19"/>
      <c r="BQ360" s="19"/>
      <c r="BR360" s="19"/>
      <c r="BS360" s="19"/>
      <c r="BT360" s="19"/>
      <c r="BU360" s="19"/>
      <c r="BV360" s="19"/>
      <c r="BW360" s="19"/>
      <c r="BX360" s="19"/>
      <c r="BY360" s="19"/>
      <c r="BZ360" s="19"/>
      <c r="CA360" s="19"/>
      <c r="CB360" s="19"/>
      <c r="CC360" s="19"/>
      <c r="CD360" s="19"/>
      <c r="CE360" s="19"/>
    </row>
    <row r="361" spans="1:83">
      <c r="A361" s="230" t="str">
        <f t="shared" si="1119"/>
        <v>Bond 26</v>
      </c>
      <c r="B361" s="230">
        <f t="shared" si="1122"/>
        <v>0</v>
      </c>
      <c r="C361" s="230">
        <f t="shared" si="1123"/>
        <v>0</v>
      </c>
      <c r="D361" s="230"/>
      <c r="E361" s="20"/>
      <c r="F361" s="19"/>
      <c r="G361" s="19"/>
      <c r="H361" s="19"/>
      <c r="I361" s="19"/>
      <c r="J361" s="19"/>
      <c r="K361" s="19"/>
      <c r="L361" s="19"/>
      <c r="M361" s="19"/>
      <c r="N361" s="19"/>
      <c r="O361" s="19"/>
      <c r="P361" s="19"/>
      <c r="Q361" s="19"/>
      <c r="R361" s="19"/>
      <c r="S361" s="19"/>
      <c r="T361" s="19"/>
      <c r="U361" s="19"/>
      <c r="V361" s="19"/>
      <c r="W361" s="19"/>
      <c r="X361" s="19"/>
      <c r="Y361" s="19"/>
      <c r="Z361" s="19"/>
      <c r="AA361" s="19"/>
      <c r="AB361" s="19"/>
      <c r="AC361" s="19"/>
      <c r="AD361" s="19"/>
      <c r="AE361" s="19"/>
      <c r="AF361" s="19"/>
      <c r="AG361" s="19"/>
      <c r="AH361" s="19"/>
      <c r="AI361" s="19"/>
      <c r="AJ361" s="19"/>
      <c r="AK361" s="19"/>
      <c r="AL361" s="19"/>
      <c r="AM361" s="19"/>
      <c r="AN361" s="19"/>
      <c r="AO361" s="19"/>
      <c r="AP361" s="19"/>
      <c r="AQ361" s="19"/>
      <c r="AR361" s="19"/>
      <c r="AS361" s="19"/>
      <c r="AT361" s="19"/>
      <c r="AU361" s="19"/>
      <c r="AV361" s="19"/>
      <c r="AW361" s="19"/>
      <c r="AX361" s="19"/>
      <c r="AY361" s="19"/>
      <c r="AZ361" s="19"/>
      <c r="BA361" s="19"/>
      <c r="BB361" s="19"/>
      <c r="BC361" s="19"/>
      <c r="BD361" s="19"/>
      <c r="BE361" s="19"/>
      <c r="BF361" s="19"/>
      <c r="BG361" s="19"/>
      <c r="BH361" s="19"/>
      <c r="BI361" s="19"/>
      <c r="BJ361" s="19"/>
      <c r="BK361" s="19"/>
      <c r="BL361" s="19"/>
      <c r="BM361" s="19"/>
      <c r="BN361" s="19"/>
      <c r="BO361" s="19"/>
      <c r="BP361" s="19"/>
      <c r="BQ361" s="19"/>
      <c r="BR361" s="19"/>
      <c r="BS361" s="19"/>
      <c r="BT361" s="19"/>
      <c r="BU361" s="19"/>
      <c r="BV361" s="19"/>
      <c r="BW361" s="19"/>
      <c r="BX361" s="19"/>
      <c r="BY361" s="19"/>
      <c r="BZ361" s="19"/>
      <c r="CA361" s="19"/>
      <c r="CB361" s="19"/>
      <c r="CC361" s="19"/>
      <c r="CD361" s="19"/>
      <c r="CE361" s="19"/>
    </row>
    <row r="362" spans="1:83">
      <c r="A362" s="230" t="str">
        <f t="shared" si="1119"/>
        <v>Bond 27</v>
      </c>
      <c r="B362" s="230">
        <f t="shared" si="1122"/>
        <v>102.21705549799044</v>
      </c>
      <c r="C362" s="230">
        <f t="shared" si="1123"/>
        <v>102.20945205479451</v>
      </c>
      <c r="D362" s="230">
        <f t="shared" ref="D362:D371" si="1124">P28*(B362-K28)^2</f>
        <v>7.9643830097489038E-7</v>
      </c>
      <c r="E362" s="20"/>
      <c r="F362" s="19"/>
      <c r="G362" s="19"/>
      <c r="H362" s="19"/>
      <c r="I362" s="19"/>
      <c r="J362" s="19"/>
      <c r="K362" s="19"/>
      <c r="L362" s="19"/>
      <c r="M362" s="19"/>
      <c r="N362" s="19"/>
      <c r="O362" s="19"/>
      <c r="P362" s="19"/>
      <c r="Q362" s="19"/>
      <c r="R362" s="19"/>
      <c r="S362" s="19"/>
      <c r="T362" s="19"/>
      <c r="U362" s="19"/>
      <c r="V362" s="19"/>
      <c r="W362" s="19"/>
      <c r="X362" s="19"/>
      <c r="Y362" s="19"/>
      <c r="Z362" s="19"/>
      <c r="AA362" s="19"/>
      <c r="AB362" s="19"/>
      <c r="AC362" s="19"/>
      <c r="AD362" s="19"/>
      <c r="AE362" s="19"/>
      <c r="AF362" s="19"/>
      <c r="AG362" s="19"/>
      <c r="AH362" s="19"/>
      <c r="AI362" s="19"/>
      <c r="AJ362" s="19"/>
      <c r="AK362" s="19"/>
      <c r="AL362" s="19"/>
      <c r="AM362" s="19"/>
      <c r="AN362" s="19"/>
      <c r="AO362" s="19"/>
      <c r="AP362" s="19"/>
      <c r="AQ362" s="19"/>
      <c r="AR362" s="19"/>
      <c r="AS362" s="19"/>
      <c r="AT362" s="19"/>
      <c r="AU362" s="19"/>
      <c r="AV362" s="19"/>
      <c r="AW362" s="19"/>
      <c r="AX362" s="19"/>
      <c r="AY362" s="19"/>
      <c r="AZ362" s="19"/>
      <c r="BA362" s="19"/>
      <c r="BB362" s="19"/>
      <c r="BC362" s="19"/>
      <c r="BD362" s="19"/>
      <c r="BE362" s="19"/>
      <c r="BF362" s="19"/>
      <c r="BG362" s="19"/>
      <c r="BH362" s="19"/>
      <c r="BI362" s="19"/>
      <c r="BJ362" s="19"/>
      <c r="BK362" s="19"/>
      <c r="BL362" s="19"/>
      <c r="BM362" s="19"/>
      <c r="BN362" s="19"/>
      <c r="BO362" s="19"/>
      <c r="BP362" s="19"/>
      <c r="BQ362" s="19"/>
      <c r="BR362" s="19"/>
      <c r="BS362" s="19"/>
      <c r="BT362" s="19"/>
      <c r="BU362" s="19"/>
      <c r="BV362" s="19"/>
      <c r="BW362" s="19"/>
      <c r="BX362" s="19"/>
      <c r="BY362" s="19"/>
      <c r="BZ362" s="19"/>
      <c r="CA362" s="19"/>
      <c r="CB362" s="19"/>
      <c r="CC362" s="19"/>
      <c r="CD362" s="19"/>
      <c r="CE362" s="19"/>
    </row>
    <row r="363" spans="1:83">
      <c r="A363" s="230" t="str">
        <f t="shared" si="1119"/>
        <v>Bond 28</v>
      </c>
      <c r="B363" s="230">
        <f t="shared" si="1122"/>
        <v>0</v>
      </c>
      <c r="C363" s="230">
        <f t="shared" si="1123"/>
        <v>0</v>
      </c>
      <c r="D363" s="230">
        <f t="shared" si="1124"/>
        <v>0</v>
      </c>
      <c r="E363" s="20"/>
      <c r="F363" s="19"/>
      <c r="G363" s="19"/>
      <c r="H363" s="19"/>
      <c r="I363" s="19"/>
      <c r="J363" s="19"/>
      <c r="K363" s="19"/>
      <c r="L363" s="19"/>
      <c r="M363" s="19"/>
      <c r="N363" s="19"/>
      <c r="O363" s="19"/>
      <c r="P363" s="19"/>
      <c r="Q363" s="19"/>
      <c r="R363" s="19"/>
      <c r="S363" s="19"/>
      <c r="T363" s="19"/>
      <c r="U363" s="19"/>
      <c r="V363" s="19"/>
      <c r="W363" s="19"/>
      <c r="X363" s="19"/>
      <c r="Y363" s="19"/>
      <c r="Z363" s="19"/>
      <c r="AA363" s="19"/>
      <c r="AB363" s="19"/>
      <c r="AC363" s="19"/>
      <c r="AD363" s="19"/>
      <c r="AE363" s="19"/>
      <c r="AF363" s="19"/>
      <c r="AG363" s="19"/>
      <c r="AH363" s="19"/>
      <c r="AI363" s="19"/>
      <c r="AJ363" s="19"/>
      <c r="AK363" s="19"/>
      <c r="AL363" s="19"/>
      <c r="AM363" s="19"/>
      <c r="AN363" s="19"/>
      <c r="AO363" s="19"/>
      <c r="AP363" s="19"/>
      <c r="AQ363" s="19"/>
      <c r="AR363" s="19"/>
      <c r="AS363" s="19"/>
      <c r="AT363" s="19"/>
      <c r="AU363" s="19"/>
      <c r="AV363" s="19"/>
      <c r="AW363" s="19"/>
      <c r="AX363" s="19"/>
      <c r="AY363" s="19"/>
      <c r="AZ363" s="19"/>
      <c r="BA363" s="19"/>
      <c r="BB363" s="19"/>
      <c r="BC363" s="19"/>
      <c r="BD363" s="19"/>
      <c r="BE363" s="19"/>
      <c r="BF363" s="19"/>
      <c r="BG363" s="19"/>
      <c r="BH363" s="19"/>
      <c r="BI363" s="19"/>
      <c r="BJ363" s="19"/>
      <c r="BK363" s="19"/>
      <c r="BL363" s="19"/>
      <c r="BM363" s="19"/>
      <c r="BN363" s="19"/>
      <c r="BO363" s="19"/>
      <c r="BP363" s="19"/>
      <c r="BQ363" s="19"/>
      <c r="BR363" s="19"/>
      <c r="BS363" s="19"/>
      <c r="BT363" s="19"/>
      <c r="BU363" s="19"/>
      <c r="BV363" s="19"/>
      <c r="BW363" s="19"/>
      <c r="BX363" s="19"/>
      <c r="BY363" s="19"/>
      <c r="BZ363" s="19"/>
      <c r="CA363" s="19"/>
      <c r="CB363" s="19"/>
      <c r="CC363" s="19"/>
      <c r="CD363" s="19"/>
      <c r="CE363" s="19"/>
    </row>
    <row r="364" spans="1:83">
      <c r="A364" s="230" t="str">
        <f t="shared" si="1119"/>
        <v>Bond 29</v>
      </c>
      <c r="B364" s="230">
        <f t="shared" si="1122"/>
        <v>109.72769911801258</v>
      </c>
      <c r="C364" s="230">
        <f t="shared" si="1123"/>
        <v>109.75931506837016</v>
      </c>
      <c r="D364" s="230">
        <f t="shared" si="1124"/>
        <v>6.7858245665146012E-6</v>
      </c>
      <c r="E364" s="20"/>
      <c r="F364" s="19"/>
      <c r="G364" s="19"/>
      <c r="H364" s="19"/>
      <c r="I364" s="19"/>
      <c r="J364" s="19"/>
      <c r="K364" s="19"/>
      <c r="L364" s="19"/>
      <c r="M364" s="19"/>
      <c r="N364" s="19"/>
      <c r="O364" s="19"/>
      <c r="P364" s="19"/>
      <c r="Q364" s="19"/>
      <c r="R364" s="19"/>
      <c r="S364" s="19"/>
      <c r="T364" s="19"/>
      <c r="U364" s="19"/>
      <c r="V364" s="19"/>
      <c r="W364" s="19"/>
      <c r="X364" s="19"/>
      <c r="Y364" s="19"/>
      <c r="Z364" s="19"/>
      <c r="AA364" s="19"/>
      <c r="AB364" s="19"/>
      <c r="AC364" s="19"/>
      <c r="AD364" s="19"/>
      <c r="AE364" s="19"/>
      <c r="AF364" s="19"/>
      <c r="AG364" s="19"/>
      <c r="AH364" s="19"/>
      <c r="AI364" s="19"/>
      <c r="AJ364" s="19"/>
      <c r="AK364" s="19"/>
      <c r="AL364" s="19"/>
      <c r="AM364" s="19"/>
      <c r="AN364" s="19"/>
      <c r="AO364" s="19"/>
      <c r="AP364" s="19"/>
      <c r="AQ364" s="19"/>
      <c r="AR364" s="19"/>
      <c r="AS364" s="19"/>
      <c r="AT364" s="19"/>
      <c r="AU364" s="19"/>
      <c r="AV364" s="19"/>
      <c r="AW364" s="19"/>
      <c r="AX364" s="19"/>
      <c r="AY364" s="19"/>
      <c r="AZ364" s="19"/>
      <c r="BA364" s="19"/>
      <c r="BB364" s="19"/>
      <c r="BC364" s="19"/>
      <c r="BD364" s="19"/>
      <c r="BE364" s="19"/>
      <c r="BF364" s="19"/>
      <c r="BG364" s="19"/>
      <c r="BH364" s="19"/>
      <c r="BI364" s="19"/>
      <c r="BJ364" s="19"/>
      <c r="BK364" s="19"/>
      <c r="BL364" s="19"/>
      <c r="BM364" s="19"/>
      <c r="BN364" s="19"/>
      <c r="BO364" s="19"/>
      <c r="BP364" s="19"/>
      <c r="BQ364" s="19"/>
      <c r="BR364" s="19"/>
      <c r="BS364" s="19"/>
      <c r="BT364" s="19"/>
      <c r="BU364" s="19"/>
      <c r="BV364" s="19"/>
      <c r="BW364" s="19"/>
      <c r="BX364" s="19"/>
      <c r="BY364" s="19"/>
      <c r="BZ364" s="19"/>
      <c r="CA364" s="19"/>
      <c r="CB364" s="19"/>
      <c r="CC364" s="19"/>
      <c r="CD364" s="19"/>
      <c r="CE364" s="19"/>
    </row>
    <row r="365" spans="1:83">
      <c r="A365" s="230" t="str">
        <f t="shared" si="1119"/>
        <v>Bond 30</v>
      </c>
      <c r="B365" s="230">
        <f t="shared" si="1122"/>
        <v>0</v>
      </c>
      <c r="C365" s="230">
        <f t="shared" si="1123"/>
        <v>0</v>
      </c>
      <c r="D365" s="230">
        <f t="shared" si="1124"/>
        <v>0</v>
      </c>
      <c r="E365" s="20"/>
      <c r="F365" s="19"/>
      <c r="G365" s="19"/>
      <c r="H365" s="19"/>
      <c r="I365" s="19"/>
      <c r="J365" s="19"/>
      <c r="K365" s="19"/>
      <c r="L365" s="19"/>
      <c r="M365" s="19"/>
      <c r="N365" s="19"/>
      <c r="O365" s="19"/>
      <c r="P365" s="19"/>
      <c r="Q365" s="19"/>
      <c r="R365" s="19"/>
      <c r="S365" s="19"/>
      <c r="T365" s="19"/>
      <c r="U365" s="19"/>
      <c r="V365" s="19"/>
      <c r="W365" s="19"/>
      <c r="X365" s="19"/>
      <c r="Y365" s="19"/>
      <c r="Z365" s="19"/>
      <c r="AA365" s="19"/>
      <c r="AB365" s="19"/>
      <c r="AC365" s="19"/>
      <c r="AD365" s="19"/>
      <c r="AE365" s="19"/>
      <c r="AF365" s="19"/>
      <c r="AG365" s="19"/>
      <c r="AH365" s="19"/>
      <c r="AI365" s="19"/>
      <c r="AJ365" s="19"/>
      <c r="AK365" s="19"/>
      <c r="AL365" s="19"/>
      <c r="AM365" s="19"/>
      <c r="AN365" s="19"/>
      <c r="AO365" s="19"/>
      <c r="AP365" s="19"/>
      <c r="AQ365" s="19"/>
      <c r="AR365" s="19"/>
      <c r="AS365" s="19"/>
      <c r="AT365" s="19"/>
      <c r="AU365" s="19"/>
      <c r="AV365" s="19"/>
      <c r="AW365" s="19"/>
      <c r="AX365" s="19"/>
      <c r="AY365" s="19"/>
      <c r="AZ365" s="19"/>
      <c r="BA365" s="19"/>
      <c r="BB365" s="19"/>
      <c r="BC365" s="19"/>
      <c r="BD365" s="19"/>
      <c r="BE365" s="19"/>
      <c r="BF365" s="19"/>
      <c r="BG365" s="19"/>
      <c r="BH365" s="19"/>
      <c r="BI365" s="19"/>
      <c r="BJ365" s="19"/>
      <c r="BK365" s="19"/>
      <c r="BL365" s="19"/>
      <c r="BM365" s="19"/>
      <c r="BN365" s="19"/>
      <c r="BO365" s="19"/>
      <c r="BP365" s="19"/>
      <c r="BQ365" s="19"/>
      <c r="BR365" s="19"/>
      <c r="BS365" s="19"/>
      <c r="BT365" s="19"/>
      <c r="BU365" s="19"/>
      <c r="BV365" s="19"/>
      <c r="BW365" s="19"/>
      <c r="BX365" s="19"/>
      <c r="BY365" s="19"/>
      <c r="BZ365" s="19"/>
      <c r="CA365" s="19"/>
      <c r="CB365" s="19"/>
      <c r="CC365" s="19"/>
      <c r="CD365" s="19"/>
      <c r="CE365" s="19"/>
    </row>
    <row r="366" spans="1:83">
      <c r="A366" s="230" t="str">
        <f t="shared" si="1119"/>
        <v>Bond 31</v>
      </c>
      <c r="B366" s="230">
        <f t="shared" si="1122"/>
        <v>102.62652760119587</v>
      </c>
      <c r="C366" s="230">
        <f t="shared" si="1123"/>
        <v>102.75559589041096</v>
      </c>
      <c r="D366" s="230">
        <f t="shared" si="1124"/>
        <v>2.0728573939185176E-4</v>
      </c>
      <c r="E366" s="20"/>
      <c r="F366" s="19"/>
      <c r="G366" s="19"/>
      <c r="H366" s="19"/>
      <c r="I366" s="19"/>
      <c r="J366" s="19"/>
      <c r="K366" s="19"/>
      <c r="L366" s="19"/>
      <c r="M366" s="19"/>
      <c r="N366" s="19"/>
      <c r="O366" s="19"/>
      <c r="P366" s="19"/>
      <c r="Q366" s="19"/>
      <c r="R366" s="19"/>
      <c r="S366" s="19"/>
      <c r="T366" s="19"/>
      <c r="U366" s="19"/>
      <c r="V366" s="19"/>
      <c r="W366" s="19"/>
      <c r="X366" s="19"/>
      <c r="Y366" s="19"/>
      <c r="Z366" s="19"/>
      <c r="AA366" s="19"/>
      <c r="AB366" s="19"/>
      <c r="AC366" s="19"/>
      <c r="AD366" s="19"/>
      <c r="AE366" s="19"/>
      <c r="AF366" s="19"/>
      <c r="AG366" s="19"/>
      <c r="AH366" s="19"/>
      <c r="AI366" s="19"/>
      <c r="AJ366" s="19"/>
      <c r="AK366" s="19"/>
      <c r="AL366" s="19"/>
      <c r="AM366" s="19"/>
      <c r="AN366" s="19"/>
      <c r="AO366" s="19"/>
      <c r="AP366" s="19"/>
      <c r="AQ366" s="19"/>
      <c r="AR366" s="19"/>
      <c r="AS366" s="19"/>
      <c r="AT366" s="19"/>
      <c r="AU366" s="19"/>
      <c r="AV366" s="19"/>
      <c r="AW366" s="19"/>
      <c r="AX366" s="19"/>
      <c r="AY366" s="19"/>
      <c r="AZ366" s="19"/>
      <c r="BA366" s="19"/>
      <c r="BB366" s="19"/>
      <c r="BC366" s="19"/>
      <c r="BD366" s="19"/>
      <c r="BE366" s="19"/>
      <c r="BF366" s="19"/>
      <c r="BG366" s="19"/>
      <c r="BH366" s="19"/>
      <c r="BI366" s="19"/>
      <c r="BJ366" s="19"/>
      <c r="BK366" s="19"/>
      <c r="BL366" s="19"/>
      <c r="BM366" s="19"/>
      <c r="BN366" s="19"/>
      <c r="BO366" s="19"/>
      <c r="BP366" s="19"/>
      <c r="BQ366" s="19"/>
      <c r="BR366" s="19"/>
      <c r="BS366" s="19"/>
      <c r="BT366" s="19"/>
      <c r="BU366" s="19"/>
      <c r="BV366" s="19"/>
      <c r="BW366" s="19"/>
      <c r="BX366" s="19"/>
      <c r="BY366" s="19"/>
      <c r="BZ366" s="19"/>
      <c r="CA366" s="19"/>
      <c r="CB366" s="19"/>
      <c r="CC366" s="19"/>
      <c r="CD366" s="19"/>
      <c r="CE366" s="19"/>
    </row>
    <row r="367" spans="1:83">
      <c r="A367" s="230" t="str">
        <f t="shared" si="1119"/>
        <v>Bond 32</v>
      </c>
      <c r="B367" s="230">
        <f t="shared" si="1122"/>
        <v>0</v>
      </c>
      <c r="C367" s="230">
        <f t="shared" si="1123"/>
        <v>0</v>
      </c>
      <c r="D367" s="230">
        <f t="shared" si="1124"/>
        <v>0</v>
      </c>
      <c r="E367" s="20"/>
      <c r="F367" s="19"/>
      <c r="G367" s="19"/>
      <c r="H367" s="19"/>
      <c r="I367" s="19"/>
      <c r="J367" s="19"/>
      <c r="K367" s="19"/>
      <c r="L367" s="19"/>
      <c r="M367" s="19"/>
      <c r="N367" s="19"/>
      <c r="O367" s="19"/>
      <c r="P367" s="19"/>
      <c r="Q367" s="19"/>
      <c r="R367" s="19"/>
      <c r="S367" s="19"/>
      <c r="T367" s="19"/>
      <c r="U367" s="19"/>
      <c r="V367" s="19"/>
      <c r="W367" s="19"/>
      <c r="X367" s="19"/>
      <c r="Y367" s="19"/>
      <c r="Z367" s="19"/>
      <c r="AA367" s="19"/>
      <c r="AB367" s="19"/>
      <c r="AC367" s="19"/>
      <c r="AD367" s="19"/>
      <c r="AE367" s="19"/>
      <c r="AF367" s="19"/>
      <c r="AG367" s="19"/>
      <c r="AH367" s="19"/>
      <c r="AI367" s="19"/>
      <c r="AJ367" s="19"/>
      <c r="AK367" s="19"/>
      <c r="AL367" s="19"/>
      <c r="AM367" s="19"/>
      <c r="AN367" s="19"/>
      <c r="AO367" s="19"/>
      <c r="AP367" s="19"/>
      <c r="AQ367" s="19"/>
      <c r="AR367" s="19"/>
      <c r="AS367" s="19"/>
      <c r="AT367" s="19"/>
      <c r="AU367" s="19"/>
      <c r="AV367" s="19"/>
      <c r="AW367" s="19"/>
      <c r="AX367" s="19"/>
      <c r="AY367" s="19"/>
      <c r="AZ367" s="19"/>
      <c r="BA367" s="19"/>
      <c r="BB367" s="19"/>
      <c r="BC367" s="19"/>
      <c r="BD367" s="19"/>
      <c r="BE367" s="19"/>
      <c r="BF367" s="19"/>
      <c r="BG367" s="19"/>
      <c r="BH367" s="19"/>
      <c r="BI367" s="19"/>
      <c r="BJ367" s="19"/>
      <c r="BK367" s="19"/>
      <c r="BL367" s="19"/>
      <c r="BM367" s="19"/>
      <c r="BN367" s="19"/>
      <c r="BO367" s="19"/>
      <c r="BP367" s="19"/>
      <c r="BQ367" s="19"/>
      <c r="BR367" s="19"/>
      <c r="BS367" s="19"/>
      <c r="BT367" s="19"/>
      <c r="BU367" s="19"/>
      <c r="BV367" s="19"/>
      <c r="BW367" s="19"/>
      <c r="BX367" s="19"/>
      <c r="BY367" s="19"/>
      <c r="BZ367" s="19"/>
      <c r="CA367" s="19"/>
      <c r="CB367" s="19"/>
      <c r="CC367" s="19"/>
      <c r="CD367" s="19"/>
      <c r="CE367" s="19"/>
    </row>
    <row r="368" spans="1:83">
      <c r="A368" s="230" t="str">
        <f t="shared" si="1119"/>
        <v>Bond 33</v>
      </c>
      <c r="B368" s="230">
        <f t="shared" si="1122"/>
        <v>107.59474594723693</v>
      </c>
      <c r="C368" s="230">
        <f t="shared" si="1123"/>
        <v>107.72076027397259</v>
      </c>
      <c r="D368" s="230">
        <f t="shared" si="1124"/>
        <v>1.0216704022288244E-4</v>
      </c>
      <c r="E368" s="20"/>
      <c r="F368" s="19"/>
      <c r="G368" s="19"/>
      <c r="H368" s="19"/>
      <c r="I368" s="19"/>
      <c r="J368" s="19"/>
      <c r="K368" s="19"/>
      <c r="L368" s="19"/>
      <c r="M368" s="19"/>
      <c r="N368" s="19"/>
      <c r="O368" s="19"/>
      <c r="P368" s="19"/>
      <c r="Q368" s="19"/>
      <c r="R368" s="19"/>
      <c r="S368" s="19"/>
      <c r="T368" s="19"/>
      <c r="U368" s="19"/>
      <c r="V368" s="19"/>
      <c r="W368" s="19"/>
      <c r="X368" s="19"/>
      <c r="Y368" s="19"/>
      <c r="Z368" s="19"/>
      <c r="AA368" s="19"/>
      <c r="AB368" s="19"/>
      <c r="AC368" s="19"/>
      <c r="AD368" s="19"/>
      <c r="AE368" s="19"/>
      <c r="AF368" s="19"/>
      <c r="AG368" s="19"/>
      <c r="AH368" s="19"/>
      <c r="AI368" s="19"/>
      <c r="AJ368" s="19"/>
      <c r="AK368" s="19"/>
      <c r="AL368" s="19"/>
      <c r="AM368" s="19"/>
      <c r="AN368" s="19"/>
      <c r="AO368" s="19"/>
      <c r="AP368" s="19"/>
      <c r="AQ368" s="19"/>
      <c r="AR368" s="19"/>
      <c r="AS368" s="19"/>
      <c r="AT368" s="19"/>
      <c r="AU368" s="19"/>
      <c r="AV368" s="19"/>
      <c r="AW368" s="19"/>
      <c r="AX368" s="19"/>
      <c r="AY368" s="19"/>
      <c r="AZ368" s="19"/>
      <c r="BA368" s="19"/>
      <c r="BB368" s="19"/>
      <c r="BC368" s="19"/>
      <c r="BD368" s="19"/>
      <c r="BE368" s="19"/>
      <c r="BF368" s="19"/>
      <c r="BG368" s="19"/>
      <c r="BH368" s="19"/>
      <c r="BI368" s="19"/>
      <c r="BJ368" s="19"/>
      <c r="BK368" s="19"/>
      <c r="BL368" s="19"/>
      <c r="BM368" s="19"/>
      <c r="BN368" s="19"/>
      <c r="BO368" s="19"/>
      <c r="BP368" s="19"/>
      <c r="BQ368" s="19"/>
      <c r="BR368" s="19"/>
      <c r="BS368" s="19"/>
      <c r="BT368" s="19"/>
      <c r="BU368" s="19"/>
      <c r="BV368" s="19"/>
      <c r="BW368" s="19"/>
      <c r="BX368" s="19"/>
      <c r="BY368" s="19"/>
      <c r="BZ368" s="19"/>
      <c r="CA368" s="19"/>
      <c r="CB368" s="19"/>
      <c r="CC368" s="19"/>
      <c r="CD368" s="19"/>
      <c r="CE368" s="19"/>
    </row>
    <row r="369" spans="1:83">
      <c r="A369" s="230" t="str">
        <f t="shared" si="1119"/>
        <v>Bond 34</v>
      </c>
      <c r="B369" s="230">
        <f t="shared" si="1122"/>
        <v>100.27352743794631</v>
      </c>
      <c r="C369" s="230">
        <f t="shared" si="1123"/>
        <v>100.21839041095889</v>
      </c>
      <c r="D369" s="230">
        <f t="shared" si="1124"/>
        <v>7.3172516941830449E-4</v>
      </c>
      <c r="E369" s="20"/>
      <c r="F369" s="19"/>
      <c r="G369" s="19"/>
      <c r="H369" s="19"/>
      <c r="I369" s="19"/>
      <c r="J369" s="19"/>
      <c r="K369" s="19"/>
      <c r="L369" s="19"/>
      <c r="M369" s="19"/>
      <c r="N369" s="19"/>
      <c r="O369" s="19"/>
      <c r="P369" s="19"/>
      <c r="Q369" s="19"/>
      <c r="R369" s="19"/>
      <c r="S369" s="19"/>
      <c r="T369" s="19"/>
      <c r="U369" s="19"/>
      <c r="V369" s="19"/>
      <c r="W369" s="19"/>
      <c r="X369" s="19"/>
      <c r="Y369" s="19"/>
      <c r="Z369" s="19"/>
      <c r="AA369" s="19"/>
      <c r="AB369" s="19"/>
      <c r="AC369" s="19"/>
      <c r="AD369" s="19"/>
      <c r="AE369" s="19"/>
      <c r="AF369" s="19"/>
      <c r="AG369" s="19"/>
      <c r="AH369" s="19"/>
      <c r="AI369" s="19"/>
      <c r="AJ369" s="19"/>
      <c r="AK369" s="19"/>
      <c r="AL369" s="19"/>
      <c r="AM369" s="19"/>
      <c r="AN369" s="19"/>
      <c r="AO369" s="19"/>
      <c r="AP369" s="19"/>
      <c r="AQ369" s="19"/>
      <c r="AR369" s="19"/>
      <c r="AS369" s="19"/>
      <c r="AT369" s="19"/>
      <c r="AU369" s="19"/>
      <c r="AV369" s="19"/>
      <c r="AW369" s="19"/>
      <c r="AX369" s="19"/>
      <c r="AY369" s="19"/>
      <c r="AZ369" s="19"/>
      <c r="BA369" s="19"/>
      <c r="BB369" s="19"/>
      <c r="BC369" s="19"/>
      <c r="BD369" s="19"/>
      <c r="BE369" s="19"/>
      <c r="BF369" s="19"/>
      <c r="BG369" s="19"/>
      <c r="BH369" s="19"/>
      <c r="BI369" s="19"/>
      <c r="BJ369" s="19"/>
      <c r="BK369" s="19"/>
      <c r="BL369" s="19"/>
      <c r="BM369" s="19"/>
      <c r="BN369" s="19"/>
      <c r="BO369" s="19"/>
      <c r="BP369" s="19"/>
      <c r="BQ369" s="19"/>
      <c r="BR369" s="19"/>
      <c r="BS369" s="19"/>
      <c r="BT369" s="19"/>
      <c r="BU369" s="19"/>
      <c r="BV369" s="19"/>
      <c r="BW369" s="19"/>
      <c r="BX369" s="19"/>
      <c r="BY369" s="19"/>
      <c r="BZ369" s="19"/>
      <c r="CA369" s="19"/>
      <c r="CB369" s="19"/>
      <c r="CC369" s="19"/>
      <c r="CD369" s="19"/>
      <c r="CE369" s="19"/>
    </row>
    <row r="370" spans="1:83">
      <c r="A370" s="230" t="str">
        <f t="shared" si="1119"/>
        <v>Bond 35</v>
      </c>
      <c r="B370" s="230">
        <f t="shared" si="1122"/>
        <v>102.28053880571358</v>
      </c>
      <c r="C370" s="230">
        <f t="shared" si="1123"/>
        <v>102.28844520547946</v>
      </c>
      <c r="D370" s="230">
        <f t="shared" si="1124"/>
        <v>7.0520516011816429E-7</v>
      </c>
      <c r="E370" s="20"/>
      <c r="F370" s="19"/>
      <c r="G370" s="19"/>
      <c r="H370" s="19"/>
      <c r="I370" s="19"/>
      <c r="J370" s="19"/>
      <c r="K370" s="19"/>
      <c r="L370" s="19"/>
      <c r="M370" s="19"/>
      <c r="N370" s="19"/>
      <c r="O370" s="19"/>
      <c r="P370" s="19"/>
      <c r="Q370" s="19"/>
      <c r="R370" s="19"/>
      <c r="S370" s="19"/>
      <c r="T370" s="19"/>
      <c r="U370" s="19"/>
      <c r="V370" s="19"/>
      <c r="W370" s="19"/>
      <c r="X370" s="19"/>
      <c r="Y370" s="19"/>
      <c r="Z370" s="19"/>
      <c r="AA370" s="19"/>
      <c r="AB370" s="19"/>
      <c r="AC370" s="19"/>
      <c r="AD370" s="19"/>
      <c r="AE370" s="19"/>
      <c r="AF370" s="19"/>
      <c r="AG370" s="19"/>
      <c r="AH370" s="19"/>
      <c r="AI370" s="19"/>
      <c r="AJ370" s="19"/>
      <c r="AK370" s="19"/>
      <c r="AL370" s="19"/>
      <c r="AM370" s="19"/>
      <c r="AN370" s="19"/>
      <c r="AO370" s="19"/>
      <c r="AP370" s="19"/>
      <c r="AQ370" s="19"/>
      <c r="AR370" s="19"/>
      <c r="AS370" s="19"/>
      <c r="AT370" s="19"/>
      <c r="AU370" s="19"/>
      <c r="AV370" s="19"/>
      <c r="AW370" s="19"/>
      <c r="AX370" s="19"/>
      <c r="AY370" s="19"/>
      <c r="AZ370" s="19"/>
      <c r="BA370" s="19"/>
      <c r="BB370" s="19"/>
      <c r="BC370" s="19"/>
      <c r="BD370" s="19"/>
      <c r="BE370" s="19"/>
      <c r="BF370" s="19"/>
      <c r="BG370" s="19"/>
      <c r="BH370" s="19"/>
      <c r="BI370" s="19"/>
      <c r="BJ370" s="19"/>
      <c r="BK370" s="19"/>
      <c r="BL370" s="19"/>
      <c r="BM370" s="19"/>
      <c r="BN370" s="19"/>
      <c r="BO370" s="19"/>
      <c r="BP370" s="19"/>
      <c r="BQ370" s="19"/>
      <c r="BR370" s="19"/>
      <c r="BS370" s="19"/>
      <c r="BT370" s="19"/>
      <c r="BU370" s="19"/>
      <c r="BV370" s="19"/>
      <c r="BW370" s="19"/>
      <c r="BX370" s="19"/>
      <c r="BY370" s="19"/>
      <c r="BZ370" s="19"/>
      <c r="CA370" s="19"/>
      <c r="CB370" s="19"/>
      <c r="CC370" s="19"/>
      <c r="CD370" s="19"/>
      <c r="CE370" s="19"/>
    </row>
    <row r="371" spans="1:83">
      <c r="A371" s="230" t="str">
        <f t="shared" si="1119"/>
        <v>Bond 36</v>
      </c>
      <c r="B371" s="230">
        <f t="shared" si="1122"/>
        <v>99.767606975186766</v>
      </c>
      <c r="C371" s="230">
        <f t="shared" si="1123"/>
        <v>99.768047945205481</v>
      </c>
      <c r="D371" s="230">
        <f t="shared" si="1124"/>
        <v>2.4048665023596096E-8</v>
      </c>
      <c r="E371" s="20"/>
      <c r="F371" s="19"/>
      <c r="G371" s="19"/>
      <c r="H371" s="19"/>
      <c r="I371" s="19"/>
      <c r="J371" s="19"/>
      <c r="K371" s="19"/>
      <c r="L371" s="19"/>
      <c r="M371" s="19"/>
      <c r="N371" s="19"/>
      <c r="O371" s="19"/>
      <c r="P371" s="19"/>
      <c r="Q371" s="19"/>
      <c r="R371" s="19"/>
      <c r="S371" s="19"/>
      <c r="T371" s="19"/>
      <c r="U371" s="19"/>
      <c r="V371" s="19"/>
      <c r="W371" s="19"/>
      <c r="X371" s="19"/>
      <c r="Y371" s="19"/>
      <c r="Z371" s="19"/>
      <c r="AA371" s="19"/>
      <c r="AB371" s="19"/>
      <c r="AC371" s="19"/>
      <c r="AD371" s="19"/>
      <c r="AE371" s="19"/>
      <c r="AF371" s="19"/>
      <c r="AG371" s="19"/>
      <c r="AH371" s="19"/>
      <c r="AI371" s="19"/>
      <c r="AJ371" s="19"/>
      <c r="AK371" s="19"/>
      <c r="AL371" s="19"/>
      <c r="AM371" s="19"/>
      <c r="AN371" s="19"/>
      <c r="AO371" s="19"/>
      <c r="AP371" s="19"/>
      <c r="AQ371" s="19"/>
      <c r="AR371" s="19"/>
      <c r="AS371" s="19"/>
      <c r="AT371" s="19"/>
      <c r="AU371" s="19"/>
      <c r="AV371" s="19"/>
      <c r="AW371" s="19"/>
      <c r="AX371" s="19"/>
      <c r="AY371" s="19"/>
      <c r="AZ371" s="19"/>
      <c r="BA371" s="19"/>
      <c r="BB371" s="19"/>
      <c r="BC371" s="19"/>
      <c r="BD371" s="19"/>
      <c r="BE371" s="19"/>
      <c r="BF371" s="19"/>
      <c r="BG371" s="19"/>
      <c r="BH371" s="19"/>
      <c r="BI371" s="19"/>
      <c r="BJ371" s="19"/>
      <c r="BK371" s="19"/>
      <c r="BL371" s="19"/>
      <c r="BM371" s="19"/>
      <c r="BN371" s="19"/>
      <c r="BO371" s="19"/>
      <c r="BP371" s="19"/>
      <c r="BQ371" s="19"/>
      <c r="BR371" s="19"/>
      <c r="BS371" s="19"/>
      <c r="BT371" s="19"/>
      <c r="BU371" s="19"/>
      <c r="BV371" s="19"/>
      <c r="BW371" s="19"/>
      <c r="BX371" s="19"/>
      <c r="BY371" s="19"/>
      <c r="BZ371" s="19"/>
      <c r="CA371" s="19"/>
      <c r="CB371" s="19"/>
      <c r="CC371" s="19"/>
      <c r="CD371" s="19"/>
      <c r="CE371" s="19"/>
    </row>
    <row r="372" spans="1:83">
      <c r="A372" s="17"/>
      <c r="B372" s="17"/>
      <c r="C372" s="21" t="s">
        <v>15</v>
      </c>
      <c r="D372" s="21">
        <f>SUM(D336:D371)</f>
        <v>1.8715144733085084E-3</v>
      </c>
      <c r="E372" s="20"/>
      <c r="F372" s="19"/>
      <c r="G372" s="19"/>
      <c r="H372" s="19"/>
      <c r="I372" s="19"/>
      <c r="J372" s="19"/>
      <c r="K372" s="19"/>
      <c r="L372" s="19"/>
      <c r="M372" s="19"/>
      <c r="N372" s="19"/>
      <c r="O372" s="19"/>
      <c r="P372" s="19"/>
      <c r="Q372" s="19"/>
      <c r="R372" s="19"/>
      <c r="S372" s="19"/>
      <c r="T372" s="19"/>
      <c r="U372" s="19"/>
      <c r="V372" s="19"/>
      <c r="W372" s="19"/>
      <c r="X372" s="19"/>
      <c r="Y372" s="19"/>
      <c r="Z372" s="19"/>
      <c r="AA372" s="19"/>
      <c r="AB372" s="19"/>
      <c r="AC372" s="19"/>
      <c r="AD372" s="19"/>
      <c r="AE372" s="19"/>
      <c r="AF372" s="19"/>
      <c r="AG372" s="19"/>
      <c r="AH372" s="19"/>
      <c r="AI372" s="19"/>
      <c r="AJ372" s="19"/>
      <c r="AK372" s="19"/>
      <c r="AL372" s="19"/>
      <c r="AM372" s="19"/>
      <c r="AN372" s="19"/>
      <c r="AO372" s="19"/>
      <c r="AP372" s="19"/>
      <c r="AQ372" s="19"/>
      <c r="AR372" s="19"/>
      <c r="AS372" s="19"/>
      <c r="AT372" s="19"/>
      <c r="AU372" s="19"/>
      <c r="AV372" s="19"/>
      <c r="AW372" s="19"/>
      <c r="AX372" s="19"/>
      <c r="AY372" s="19"/>
      <c r="AZ372" s="19"/>
      <c r="BA372" s="19"/>
      <c r="BB372" s="19"/>
      <c r="BC372" s="19"/>
      <c r="BD372" s="19"/>
      <c r="BE372" s="19"/>
      <c r="BF372" s="19"/>
      <c r="BG372" s="19"/>
      <c r="BH372" s="19"/>
      <c r="BI372" s="19"/>
      <c r="BJ372" s="19"/>
      <c r="BK372" s="19"/>
      <c r="BL372" s="19"/>
      <c r="BM372" s="19"/>
      <c r="BN372" s="19"/>
      <c r="BO372" s="19"/>
      <c r="BP372" s="19"/>
      <c r="BQ372" s="19"/>
      <c r="BR372" s="19"/>
      <c r="BS372" s="19"/>
      <c r="BT372" s="19"/>
      <c r="BU372" s="19"/>
      <c r="BV372" s="19"/>
      <c r="BW372" s="19"/>
      <c r="BX372" s="19"/>
      <c r="BY372" s="19"/>
      <c r="BZ372" s="19"/>
      <c r="CA372" s="19"/>
      <c r="CB372" s="19"/>
      <c r="CC372" s="19"/>
      <c r="CD372" s="19"/>
      <c r="CE372" s="19"/>
    </row>
    <row r="373" spans="1:83">
      <c r="A373" s="17"/>
      <c r="B373" s="17"/>
      <c r="C373" s="17"/>
      <c r="D373" s="19"/>
      <c r="E373" s="20"/>
      <c r="F373" s="19"/>
      <c r="G373" s="19"/>
      <c r="H373" s="19"/>
      <c r="I373" s="19"/>
      <c r="J373" s="19"/>
      <c r="K373" s="19"/>
      <c r="L373" s="19"/>
      <c r="M373" s="19"/>
      <c r="N373" s="19"/>
      <c r="O373" s="19"/>
      <c r="P373" s="19"/>
      <c r="Q373" s="19"/>
      <c r="R373" s="19"/>
      <c r="S373" s="19"/>
      <c r="T373" s="19"/>
      <c r="U373" s="19"/>
      <c r="V373" s="19"/>
      <c r="W373" s="19"/>
      <c r="X373" s="19"/>
      <c r="Y373" s="19"/>
      <c r="Z373" s="19"/>
      <c r="AA373" s="19"/>
      <c r="AB373" s="19"/>
      <c r="AC373" s="19"/>
      <c r="AD373" s="19"/>
      <c r="AE373" s="19"/>
      <c r="AF373" s="19"/>
      <c r="AG373" s="19"/>
      <c r="AH373" s="19"/>
      <c r="AI373" s="19"/>
      <c r="AJ373" s="19"/>
      <c r="AK373" s="19"/>
      <c r="AL373" s="19"/>
      <c r="AM373" s="19"/>
      <c r="AN373" s="19"/>
      <c r="AO373" s="19"/>
      <c r="AP373" s="19"/>
      <c r="AQ373" s="19"/>
      <c r="AR373" s="19"/>
      <c r="AS373" s="19"/>
      <c r="AT373" s="19"/>
      <c r="AU373" s="19"/>
      <c r="AV373" s="19"/>
      <c r="AW373" s="19"/>
      <c r="AX373" s="19"/>
      <c r="AY373" s="19"/>
      <c r="AZ373" s="19"/>
      <c r="BA373" s="19"/>
      <c r="BB373" s="19"/>
      <c r="BC373" s="19"/>
      <c r="BD373" s="19"/>
      <c r="BE373" s="19"/>
      <c r="BF373" s="19"/>
      <c r="BG373" s="19"/>
      <c r="BH373" s="19"/>
      <c r="BI373" s="19"/>
      <c r="BJ373" s="19"/>
      <c r="BK373" s="19"/>
      <c r="BL373" s="19"/>
      <c r="BM373" s="19"/>
      <c r="BN373" s="19"/>
      <c r="BO373" s="19"/>
      <c r="BP373" s="19"/>
      <c r="BQ373" s="19"/>
      <c r="BR373" s="19"/>
      <c r="BS373" s="19"/>
      <c r="BT373" s="19"/>
      <c r="BU373" s="19"/>
      <c r="BV373" s="19"/>
      <c r="BW373" s="19"/>
      <c r="BX373" s="19"/>
      <c r="BY373" s="19"/>
      <c r="BZ373" s="19"/>
      <c r="CA373" s="19"/>
      <c r="CB373" s="19"/>
      <c r="CC373" s="19"/>
      <c r="CD373" s="19"/>
      <c r="CE373" s="19"/>
    </row>
    <row r="374" spans="1:83">
      <c r="A374" s="17"/>
      <c r="B374" s="17"/>
      <c r="C374" s="17"/>
      <c r="D374" s="19"/>
      <c r="E374" s="20"/>
      <c r="F374" s="19"/>
      <c r="G374" s="19"/>
      <c r="H374" s="19"/>
      <c r="I374" s="19"/>
      <c r="J374" s="19"/>
      <c r="K374" s="19"/>
      <c r="L374" s="19"/>
      <c r="M374" s="19"/>
      <c r="N374" s="19"/>
      <c r="O374" s="19"/>
      <c r="P374" s="19"/>
      <c r="Q374" s="19"/>
      <c r="R374" s="19"/>
      <c r="S374" s="19"/>
      <c r="T374" s="19"/>
      <c r="U374" s="19"/>
      <c r="V374" s="19"/>
      <c r="W374" s="19"/>
      <c r="X374" s="19"/>
      <c r="Y374" s="19"/>
      <c r="Z374" s="19"/>
      <c r="AA374" s="19"/>
      <c r="AB374" s="19"/>
      <c r="AC374" s="19"/>
      <c r="AD374" s="19"/>
      <c r="AE374" s="19"/>
      <c r="AF374" s="19"/>
      <c r="AG374" s="19"/>
      <c r="AH374" s="19"/>
      <c r="AI374" s="19"/>
      <c r="AJ374" s="19"/>
      <c r="AK374" s="19"/>
      <c r="AL374" s="19"/>
      <c r="AM374" s="19"/>
      <c r="AN374" s="19"/>
      <c r="AO374" s="19"/>
      <c r="AP374" s="19"/>
      <c r="AQ374" s="19"/>
      <c r="AR374" s="19"/>
      <c r="AS374" s="19"/>
      <c r="AT374" s="19"/>
      <c r="AU374" s="19"/>
      <c r="AV374" s="19"/>
      <c r="AW374" s="19"/>
      <c r="AX374" s="19"/>
      <c r="AY374" s="19"/>
      <c r="AZ374" s="19"/>
      <c r="BA374" s="19"/>
      <c r="BB374" s="19"/>
      <c r="BC374" s="19"/>
      <c r="BD374" s="19"/>
      <c r="BE374" s="19"/>
      <c r="BF374" s="19"/>
      <c r="BG374" s="19"/>
      <c r="BH374" s="19"/>
      <c r="BI374" s="19"/>
      <c r="BJ374" s="19"/>
      <c r="BK374" s="19"/>
      <c r="BL374" s="19"/>
      <c r="BM374" s="19"/>
      <c r="BN374" s="19"/>
      <c r="BO374" s="19"/>
      <c r="BP374" s="19"/>
      <c r="BQ374" s="19"/>
      <c r="BR374" s="19"/>
      <c r="BS374" s="19"/>
      <c r="BT374" s="19"/>
      <c r="BU374" s="19"/>
      <c r="BV374" s="19"/>
      <c r="BW374" s="19"/>
      <c r="BX374" s="19"/>
      <c r="BY374" s="19"/>
      <c r="BZ374" s="19"/>
      <c r="CA374" s="19"/>
      <c r="CB374" s="19"/>
      <c r="CC374" s="19"/>
      <c r="CD374" s="19"/>
      <c r="CE374" s="19"/>
    </row>
    <row r="375" spans="1:83">
      <c r="A375" s="17"/>
      <c r="B375" s="17"/>
      <c r="C375" s="17"/>
      <c r="D375" s="19"/>
      <c r="E375" s="20"/>
      <c r="F375" s="19"/>
      <c r="G375" s="19"/>
      <c r="H375" s="19"/>
      <c r="I375" s="19"/>
      <c r="J375" s="19"/>
      <c r="K375" s="19"/>
      <c r="L375" s="19"/>
      <c r="M375" s="19"/>
      <c r="N375" s="19"/>
      <c r="O375" s="19"/>
      <c r="P375" s="19"/>
      <c r="Q375" s="19"/>
      <c r="R375" s="19"/>
      <c r="S375" s="19"/>
      <c r="T375" s="19"/>
      <c r="U375" s="19"/>
      <c r="V375" s="19"/>
      <c r="W375" s="19"/>
      <c r="X375" s="19"/>
      <c r="Y375" s="19"/>
      <c r="Z375" s="19"/>
      <c r="AA375" s="19"/>
      <c r="AB375" s="19"/>
      <c r="AC375" s="19"/>
      <c r="AD375" s="19"/>
      <c r="AE375" s="19"/>
      <c r="AF375" s="19"/>
      <c r="AG375" s="19"/>
      <c r="AH375" s="19"/>
      <c r="AI375" s="19"/>
      <c r="AJ375" s="19"/>
      <c r="AK375" s="19"/>
      <c r="AL375" s="19"/>
      <c r="AM375" s="19"/>
      <c r="AN375" s="19"/>
      <c r="AO375" s="19"/>
      <c r="AP375" s="19"/>
      <c r="AQ375" s="19"/>
      <c r="AR375" s="19"/>
      <c r="AS375" s="19"/>
      <c r="AT375" s="19"/>
      <c r="AU375" s="19"/>
      <c r="AV375" s="19"/>
      <c r="AW375" s="19"/>
      <c r="AX375" s="19"/>
      <c r="AY375" s="19"/>
      <c r="AZ375" s="19"/>
      <c r="BA375" s="19"/>
      <c r="BB375" s="19"/>
      <c r="BC375" s="19"/>
      <c r="BD375" s="19"/>
      <c r="BE375" s="19"/>
      <c r="BF375" s="19"/>
      <c r="BG375" s="19"/>
      <c r="BH375" s="19"/>
      <c r="BI375" s="19"/>
      <c r="BJ375" s="19"/>
      <c r="BK375" s="19"/>
      <c r="BL375" s="19"/>
      <c r="BM375" s="19"/>
      <c r="BN375" s="19"/>
      <c r="BO375" s="19"/>
      <c r="BP375" s="19"/>
      <c r="BQ375" s="19"/>
      <c r="BR375" s="19"/>
      <c r="BS375" s="19"/>
      <c r="BT375" s="19"/>
      <c r="BU375" s="19"/>
      <c r="BV375" s="19"/>
      <c r="BW375" s="19"/>
      <c r="BX375" s="19"/>
      <c r="BY375" s="19"/>
      <c r="BZ375" s="19"/>
      <c r="CA375" s="19"/>
      <c r="CB375" s="19"/>
      <c r="CC375" s="19"/>
      <c r="CD375" s="19"/>
      <c r="CE375" s="19"/>
    </row>
    <row r="376" spans="1:83">
      <c r="A376" s="17"/>
      <c r="B376" s="17"/>
      <c r="C376" s="17"/>
      <c r="D376" s="19"/>
      <c r="E376" s="20"/>
      <c r="F376" s="19"/>
      <c r="G376" s="19"/>
      <c r="H376" s="19"/>
      <c r="I376" s="19"/>
      <c r="J376" s="19"/>
      <c r="K376" s="19"/>
      <c r="L376" s="19"/>
      <c r="M376" s="19"/>
      <c r="N376" s="19"/>
      <c r="O376" s="19"/>
      <c r="P376" s="19"/>
      <c r="Q376" s="19"/>
      <c r="R376" s="19"/>
      <c r="S376" s="19"/>
      <c r="T376" s="19"/>
      <c r="U376" s="19"/>
      <c r="V376" s="19"/>
      <c r="W376" s="19"/>
      <c r="X376" s="19"/>
      <c r="Y376" s="19"/>
      <c r="Z376" s="19"/>
      <c r="AA376" s="19"/>
      <c r="AB376" s="19"/>
      <c r="AC376" s="19"/>
      <c r="AD376" s="19"/>
      <c r="AE376" s="19"/>
      <c r="AF376" s="19"/>
      <c r="AG376" s="19"/>
      <c r="AH376" s="19"/>
      <c r="AI376" s="19"/>
      <c r="AJ376" s="19"/>
      <c r="AK376" s="19"/>
      <c r="AL376" s="19"/>
      <c r="AM376" s="19"/>
      <c r="AN376" s="19"/>
      <c r="AO376" s="19"/>
      <c r="AP376" s="19"/>
      <c r="AQ376" s="19"/>
      <c r="AR376" s="19"/>
      <c r="AS376" s="19"/>
      <c r="AT376" s="19"/>
      <c r="AU376" s="19"/>
      <c r="AV376" s="19"/>
      <c r="AW376" s="19"/>
      <c r="AX376" s="19"/>
      <c r="AY376" s="19"/>
      <c r="AZ376" s="19"/>
      <c r="BA376" s="19"/>
      <c r="BB376" s="19"/>
      <c r="BC376" s="19"/>
      <c r="BD376" s="19"/>
      <c r="BE376" s="19"/>
      <c r="BF376" s="19"/>
      <c r="BG376" s="19"/>
      <c r="BH376" s="19"/>
      <c r="BI376" s="19"/>
      <c r="BJ376" s="19"/>
      <c r="BK376" s="19"/>
      <c r="BL376" s="19"/>
      <c r="BM376" s="19"/>
      <c r="BN376" s="19"/>
      <c r="BO376" s="19"/>
      <c r="BP376" s="19"/>
      <c r="BQ376" s="19"/>
      <c r="BR376" s="19"/>
      <c r="BS376" s="19"/>
      <c r="BT376" s="19"/>
      <c r="BU376" s="19"/>
      <c r="BV376" s="19"/>
      <c r="BW376" s="19"/>
      <c r="BX376" s="19"/>
      <c r="BY376" s="19"/>
      <c r="BZ376" s="19"/>
      <c r="CA376" s="19"/>
      <c r="CB376" s="19"/>
      <c r="CC376" s="19"/>
      <c r="CD376" s="19"/>
      <c r="CE376" s="19"/>
    </row>
    <row r="377" spans="1:83">
      <c r="A377" s="17"/>
      <c r="B377" s="17"/>
      <c r="C377" s="17"/>
      <c r="D377" s="19"/>
      <c r="E377" s="19"/>
      <c r="F377" s="19"/>
      <c r="G377" s="19"/>
      <c r="H377" s="19"/>
      <c r="I377" s="19"/>
      <c r="J377" s="19"/>
      <c r="K377" s="19"/>
      <c r="L377" s="19"/>
      <c r="M377" s="19"/>
      <c r="N377" s="19"/>
      <c r="O377" s="19"/>
      <c r="P377" s="19"/>
      <c r="Q377" s="19"/>
      <c r="R377" s="19"/>
      <c r="S377" s="19"/>
      <c r="T377" s="19"/>
      <c r="U377" s="19"/>
      <c r="V377" s="19"/>
      <c r="W377" s="19"/>
      <c r="X377" s="19"/>
      <c r="Y377" s="19"/>
      <c r="Z377" s="19"/>
      <c r="AA377" s="19"/>
      <c r="AB377" s="19"/>
      <c r="AC377" s="19"/>
      <c r="AD377" s="19"/>
      <c r="AE377" s="19"/>
      <c r="AF377" s="19"/>
      <c r="AG377" s="19"/>
      <c r="AH377" s="19"/>
      <c r="AI377" s="19"/>
      <c r="AJ377" s="19"/>
      <c r="AK377" s="19"/>
      <c r="AL377" s="19"/>
      <c r="AM377" s="19"/>
      <c r="AN377" s="19"/>
      <c r="AO377" s="19"/>
      <c r="AP377" s="19"/>
      <c r="AQ377" s="19"/>
      <c r="AR377" s="19"/>
      <c r="AS377" s="19"/>
      <c r="AT377" s="19"/>
      <c r="AU377" s="19"/>
      <c r="AV377" s="19"/>
      <c r="AW377" s="19"/>
      <c r="AX377" s="19"/>
      <c r="AY377" s="19"/>
      <c r="AZ377" s="19"/>
      <c r="BA377" s="19"/>
      <c r="BB377" s="19"/>
      <c r="BC377" s="19"/>
      <c r="BD377" s="19"/>
      <c r="BE377" s="19"/>
      <c r="BF377" s="19"/>
      <c r="BG377" s="19"/>
      <c r="BH377" s="19"/>
      <c r="BI377" s="19"/>
      <c r="BJ377" s="19"/>
      <c r="BK377" s="19"/>
      <c r="BL377" s="19"/>
      <c r="BM377" s="19"/>
      <c r="BN377" s="19"/>
      <c r="BO377" s="19"/>
      <c r="BP377" s="19"/>
      <c r="BQ377" s="19"/>
      <c r="BR377" s="19"/>
      <c r="BS377" s="19"/>
      <c r="BT377" s="19"/>
      <c r="BU377" s="19"/>
      <c r="BV377" s="19"/>
      <c r="BW377" s="19"/>
      <c r="BX377" s="19"/>
      <c r="BY377" s="19"/>
      <c r="BZ377" s="19"/>
      <c r="CA377" s="19"/>
      <c r="CB377" s="19"/>
      <c r="CC377" s="19"/>
      <c r="CD377" s="19"/>
      <c r="CE377" s="19"/>
    </row>
    <row r="378" spans="1:83">
      <c r="A378" s="17"/>
      <c r="B378" s="17"/>
      <c r="C378" s="17"/>
      <c r="D378" s="19"/>
      <c r="E378" s="19"/>
      <c r="F378" s="19"/>
      <c r="G378" s="19"/>
      <c r="H378" s="19"/>
      <c r="I378" s="19"/>
      <c r="J378" s="19"/>
      <c r="K378" s="19"/>
      <c r="L378" s="19"/>
      <c r="M378" s="19"/>
      <c r="N378" s="19"/>
      <c r="O378" s="19"/>
      <c r="P378" s="19"/>
      <c r="Q378" s="19"/>
      <c r="R378" s="19"/>
      <c r="S378" s="19"/>
      <c r="T378" s="19"/>
      <c r="U378" s="19"/>
      <c r="V378" s="19"/>
      <c r="W378" s="19"/>
      <c r="X378" s="19"/>
      <c r="Y378" s="19"/>
      <c r="Z378" s="19"/>
      <c r="AA378" s="19"/>
      <c r="AB378" s="19"/>
      <c r="AC378" s="19"/>
      <c r="AD378" s="19"/>
      <c r="AE378" s="19"/>
      <c r="AF378" s="19"/>
      <c r="AG378" s="19"/>
      <c r="AH378" s="19"/>
      <c r="AI378" s="19"/>
      <c r="AJ378" s="19"/>
      <c r="AK378" s="19"/>
      <c r="AL378" s="19"/>
      <c r="AM378" s="19"/>
      <c r="AN378" s="19"/>
      <c r="AO378" s="19"/>
      <c r="AP378" s="19"/>
      <c r="AQ378" s="19"/>
      <c r="AR378" s="19"/>
      <c r="AS378" s="19"/>
      <c r="AT378" s="19"/>
      <c r="AU378" s="19"/>
      <c r="AV378" s="19"/>
      <c r="AW378" s="19"/>
      <c r="AX378" s="19"/>
      <c r="AY378" s="19"/>
      <c r="AZ378" s="19"/>
      <c r="BA378" s="19"/>
      <c r="BB378" s="19"/>
      <c r="BC378" s="19"/>
      <c r="BD378" s="19"/>
      <c r="BE378" s="19"/>
      <c r="BF378" s="19"/>
      <c r="BG378" s="19"/>
      <c r="BH378" s="19"/>
      <c r="BI378" s="19"/>
      <c r="BJ378" s="19"/>
      <c r="BK378" s="19"/>
      <c r="BL378" s="19"/>
      <c r="BM378" s="19"/>
      <c r="BN378" s="19"/>
      <c r="BO378" s="19"/>
      <c r="BP378" s="19"/>
      <c r="BQ378" s="19"/>
      <c r="BR378" s="19"/>
      <c r="BS378" s="19"/>
      <c r="BT378" s="19"/>
      <c r="BU378" s="19"/>
      <c r="BV378" s="19"/>
      <c r="BW378" s="19"/>
      <c r="BX378" s="19"/>
      <c r="BY378" s="19"/>
      <c r="BZ378" s="19"/>
      <c r="CA378" s="19"/>
      <c r="CB378" s="19"/>
      <c r="CC378" s="19"/>
      <c r="CD378" s="19"/>
      <c r="CE378" s="19"/>
    </row>
    <row r="379" spans="1:83">
      <c r="A379" s="17"/>
      <c r="B379" s="17"/>
      <c r="C379" s="17"/>
      <c r="D379" s="19"/>
      <c r="E379" s="19"/>
      <c r="F379" s="19"/>
      <c r="G379" s="19"/>
      <c r="H379" s="19"/>
      <c r="I379" s="19"/>
      <c r="J379" s="19"/>
      <c r="K379" s="19"/>
      <c r="L379" s="19"/>
      <c r="M379" s="19"/>
      <c r="N379" s="19"/>
      <c r="O379" s="19"/>
      <c r="P379" s="19"/>
      <c r="Q379" s="19"/>
      <c r="R379" s="19"/>
      <c r="S379" s="19"/>
      <c r="T379" s="19"/>
      <c r="U379" s="19"/>
      <c r="V379" s="19"/>
      <c r="W379" s="19"/>
      <c r="X379" s="19"/>
      <c r="Y379" s="19"/>
      <c r="Z379" s="19"/>
      <c r="AA379" s="19"/>
      <c r="AB379" s="19"/>
      <c r="AC379" s="19"/>
      <c r="AD379" s="19"/>
      <c r="AE379" s="19"/>
      <c r="AF379" s="19"/>
      <c r="AG379" s="19"/>
      <c r="AH379" s="19"/>
      <c r="AI379" s="19"/>
      <c r="AJ379" s="19"/>
      <c r="AK379" s="19"/>
      <c r="AL379" s="19"/>
      <c r="AM379" s="19"/>
      <c r="AN379" s="19"/>
      <c r="AO379" s="19"/>
      <c r="AP379" s="19"/>
      <c r="AQ379" s="19"/>
      <c r="AR379" s="19"/>
      <c r="AS379" s="19"/>
      <c r="AT379" s="19"/>
      <c r="AU379" s="19"/>
      <c r="AV379" s="19"/>
      <c r="AW379" s="19"/>
      <c r="AX379" s="19"/>
      <c r="AY379" s="19"/>
      <c r="AZ379" s="19"/>
      <c r="BA379" s="19"/>
      <c r="BB379" s="19"/>
      <c r="BC379" s="19"/>
      <c r="BD379" s="19"/>
      <c r="BE379" s="19"/>
      <c r="BF379" s="19"/>
      <c r="BG379" s="19"/>
      <c r="BH379" s="19"/>
      <c r="BI379" s="19"/>
      <c r="BJ379" s="19"/>
      <c r="BK379" s="19"/>
      <c r="BL379" s="19"/>
      <c r="BM379" s="19"/>
      <c r="BN379" s="19"/>
      <c r="BO379" s="19"/>
      <c r="BP379" s="19"/>
      <c r="BQ379" s="19"/>
      <c r="BR379" s="19"/>
      <c r="BS379" s="19"/>
      <c r="BT379" s="19"/>
      <c r="BU379" s="19"/>
      <c r="BV379" s="19"/>
      <c r="BW379" s="19"/>
      <c r="BX379" s="19"/>
      <c r="BY379" s="19"/>
      <c r="BZ379" s="19"/>
      <c r="CA379" s="19"/>
      <c r="CB379" s="19"/>
      <c r="CC379" s="19"/>
      <c r="CD379" s="19"/>
      <c r="CE379" s="19"/>
    </row>
    <row r="380" spans="1:83">
      <c r="A380" s="17"/>
      <c r="B380" s="17"/>
      <c r="C380" s="17"/>
      <c r="D380" s="19"/>
      <c r="E380" s="19"/>
      <c r="F380" s="19"/>
      <c r="G380" s="19"/>
      <c r="H380" s="19"/>
      <c r="I380" s="19"/>
      <c r="J380" s="19"/>
      <c r="K380" s="19"/>
      <c r="L380" s="19"/>
      <c r="M380" s="19"/>
      <c r="N380" s="19"/>
      <c r="O380" s="19"/>
      <c r="P380" s="19"/>
      <c r="Q380" s="19"/>
      <c r="R380" s="19"/>
      <c r="S380" s="19"/>
      <c r="T380" s="19"/>
      <c r="U380" s="19"/>
      <c r="V380" s="19"/>
      <c r="W380" s="19"/>
      <c r="X380" s="19"/>
      <c r="Y380" s="19"/>
      <c r="Z380" s="19"/>
      <c r="AA380" s="19"/>
      <c r="AB380" s="19"/>
      <c r="AC380" s="19"/>
      <c r="AD380" s="19"/>
      <c r="AE380" s="19"/>
      <c r="AF380" s="19"/>
      <c r="AG380" s="19"/>
      <c r="AH380" s="19"/>
      <c r="AI380" s="19"/>
      <c r="AJ380" s="19"/>
      <c r="AK380" s="19"/>
      <c r="AL380" s="19"/>
      <c r="AM380" s="19"/>
      <c r="AN380" s="19"/>
      <c r="AO380" s="19"/>
      <c r="AP380" s="19"/>
      <c r="AQ380" s="19"/>
      <c r="AR380" s="19"/>
      <c r="AS380" s="19"/>
      <c r="AT380" s="19"/>
      <c r="AU380" s="19"/>
      <c r="AV380" s="19"/>
      <c r="AW380" s="19"/>
      <c r="AX380" s="19"/>
      <c r="AY380" s="19"/>
      <c r="AZ380" s="19"/>
      <c r="BA380" s="19"/>
      <c r="BB380" s="19"/>
      <c r="BC380" s="19"/>
      <c r="BD380" s="19"/>
      <c r="BE380" s="19"/>
      <c r="BF380" s="19"/>
      <c r="BG380" s="19"/>
      <c r="BH380" s="19"/>
      <c r="BI380" s="19"/>
      <c r="BJ380" s="19"/>
      <c r="BK380" s="19"/>
      <c r="BL380" s="19"/>
      <c r="BM380" s="19"/>
      <c r="BN380" s="19"/>
      <c r="BO380" s="19"/>
      <c r="BP380" s="19"/>
      <c r="BQ380" s="19"/>
      <c r="BR380" s="19"/>
      <c r="BS380" s="19"/>
      <c r="BT380" s="19"/>
      <c r="BU380" s="19"/>
      <c r="BV380" s="19"/>
      <c r="BW380" s="19"/>
      <c r="BX380" s="19"/>
      <c r="BY380" s="19"/>
      <c r="BZ380" s="19"/>
      <c r="CA380" s="19"/>
      <c r="CB380" s="19"/>
      <c r="CC380" s="19"/>
      <c r="CD380" s="19"/>
      <c r="CE380" s="19"/>
    </row>
    <row r="381" spans="1:83">
      <c r="A381" s="17"/>
      <c r="B381" s="17"/>
      <c r="C381" s="17"/>
      <c r="D381" s="19"/>
      <c r="E381" s="19"/>
      <c r="F381" s="19"/>
      <c r="G381" s="19"/>
      <c r="H381" s="19"/>
      <c r="I381" s="19"/>
      <c r="J381" s="19"/>
      <c r="K381" s="19"/>
      <c r="L381" s="19"/>
      <c r="M381" s="19"/>
      <c r="N381" s="19"/>
      <c r="O381" s="19"/>
      <c r="P381" s="19"/>
      <c r="Q381" s="19"/>
      <c r="R381" s="19"/>
      <c r="S381" s="19"/>
      <c r="T381" s="19"/>
      <c r="U381" s="19"/>
      <c r="V381" s="19"/>
      <c r="W381" s="19"/>
      <c r="X381" s="19"/>
      <c r="Y381" s="19"/>
      <c r="Z381" s="19"/>
      <c r="AA381" s="19"/>
      <c r="AB381" s="19"/>
      <c r="AC381" s="19"/>
      <c r="AD381" s="19"/>
      <c r="AE381" s="19"/>
      <c r="AF381" s="19"/>
      <c r="AG381" s="19"/>
      <c r="AH381" s="19"/>
      <c r="AI381" s="19"/>
      <c r="AJ381" s="19"/>
      <c r="AK381" s="19"/>
      <c r="AL381" s="19"/>
      <c r="AM381" s="19"/>
      <c r="AN381" s="19"/>
      <c r="AO381" s="19"/>
      <c r="AP381" s="19"/>
      <c r="AQ381" s="19"/>
      <c r="AR381" s="19"/>
      <c r="AS381" s="19"/>
      <c r="AT381" s="19"/>
      <c r="AU381" s="19"/>
      <c r="AV381" s="19"/>
      <c r="AW381" s="19"/>
      <c r="AX381" s="19"/>
      <c r="AY381" s="19"/>
      <c r="AZ381" s="19"/>
      <c r="BA381" s="19"/>
      <c r="BB381" s="19"/>
      <c r="BC381" s="19"/>
      <c r="BD381" s="19"/>
      <c r="BE381" s="19"/>
      <c r="BF381" s="19"/>
      <c r="BG381" s="19"/>
      <c r="BH381" s="19"/>
      <c r="BI381" s="19"/>
      <c r="BJ381" s="19"/>
      <c r="BK381" s="19"/>
      <c r="BL381" s="19"/>
      <c r="BM381" s="19"/>
      <c r="BN381" s="19"/>
      <c r="BO381" s="19"/>
      <c r="BP381" s="19"/>
      <c r="BQ381" s="19"/>
      <c r="BR381" s="19"/>
      <c r="BS381" s="19"/>
      <c r="BT381" s="19"/>
      <c r="BU381" s="19"/>
      <c r="BV381" s="19"/>
      <c r="BW381" s="19"/>
      <c r="BX381" s="19"/>
      <c r="BY381" s="19"/>
      <c r="BZ381" s="19"/>
      <c r="CA381" s="19"/>
      <c r="CB381" s="19"/>
      <c r="CC381" s="19"/>
      <c r="CD381" s="19"/>
      <c r="CE381" s="19"/>
    </row>
    <row r="382" spans="1:83">
      <c r="A382" s="17"/>
      <c r="B382" s="17"/>
      <c r="C382" s="17"/>
      <c r="D382" s="19"/>
      <c r="E382" s="19"/>
      <c r="F382" s="19"/>
      <c r="G382" s="19"/>
      <c r="H382" s="19"/>
      <c r="I382" s="19"/>
      <c r="J382" s="19"/>
      <c r="K382" s="19"/>
      <c r="L382" s="19"/>
      <c r="M382" s="19"/>
      <c r="N382" s="19"/>
      <c r="O382" s="19"/>
      <c r="P382" s="19"/>
      <c r="Q382" s="19"/>
      <c r="R382" s="19"/>
      <c r="S382" s="19"/>
      <c r="T382" s="19"/>
      <c r="U382" s="19"/>
      <c r="V382" s="19"/>
      <c r="W382" s="19"/>
      <c r="X382" s="19"/>
      <c r="Y382" s="19"/>
      <c r="Z382" s="19"/>
      <c r="AA382" s="19"/>
      <c r="AB382" s="19"/>
      <c r="AC382" s="19"/>
      <c r="AD382" s="19"/>
      <c r="AE382" s="19"/>
      <c r="AF382" s="19"/>
      <c r="AG382" s="19"/>
      <c r="AH382" s="19"/>
      <c r="AI382" s="19"/>
      <c r="AJ382" s="19"/>
      <c r="AK382" s="19"/>
      <c r="AL382" s="19"/>
      <c r="AM382" s="19"/>
      <c r="AN382" s="19"/>
      <c r="AO382" s="19"/>
      <c r="AP382" s="19"/>
      <c r="AQ382" s="19"/>
      <c r="AR382" s="19"/>
      <c r="AS382" s="19"/>
      <c r="AT382" s="19"/>
      <c r="AU382" s="19"/>
      <c r="AV382" s="19"/>
      <c r="AW382" s="19"/>
      <c r="AX382" s="19"/>
      <c r="AY382" s="19"/>
      <c r="AZ382" s="19"/>
      <c r="BA382" s="19"/>
      <c r="BB382" s="19"/>
      <c r="BC382" s="19"/>
      <c r="BD382" s="19"/>
      <c r="BE382" s="19"/>
      <c r="BF382" s="19"/>
      <c r="BG382" s="19"/>
      <c r="BH382" s="19"/>
      <c r="BI382" s="19"/>
      <c r="BJ382" s="19"/>
      <c r="BK382" s="19"/>
      <c r="BL382" s="19"/>
      <c r="BM382" s="19"/>
      <c r="BN382" s="19"/>
      <c r="BO382" s="19"/>
      <c r="BP382" s="19"/>
      <c r="BQ382" s="19"/>
      <c r="BR382" s="19"/>
      <c r="BS382" s="19"/>
      <c r="BT382" s="19"/>
      <c r="BU382" s="19"/>
      <c r="BV382" s="19"/>
      <c r="BW382" s="19"/>
      <c r="BX382" s="19"/>
      <c r="BY382" s="19"/>
      <c r="BZ382" s="19"/>
      <c r="CA382" s="19"/>
      <c r="CB382" s="19"/>
      <c r="CC382" s="19"/>
      <c r="CD382" s="19"/>
      <c r="CE382" s="19"/>
    </row>
    <row r="383" spans="1:83">
      <c r="A383" s="17"/>
      <c r="B383" s="17"/>
      <c r="C383" s="17"/>
      <c r="D383" s="19"/>
      <c r="E383" s="19"/>
      <c r="F383" s="19"/>
      <c r="G383" s="19"/>
      <c r="H383" s="19"/>
      <c r="I383" s="19"/>
      <c r="J383" s="19"/>
      <c r="K383" s="19"/>
      <c r="L383" s="19"/>
      <c r="M383" s="19"/>
      <c r="N383" s="19"/>
      <c r="O383" s="19"/>
      <c r="P383" s="19"/>
      <c r="Q383" s="19"/>
      <c r="R383" s="19"/>
      <c r="S383" s="19"/>
      <c r="T383" s="19"/>
      <c r="U383" s="19"/>
      <c r="V383" s="19"/>
      <c r="W383" s="19"/>
      <c r="X383" s="19"/>
      <c r="Y383" s="19"/>
      <c r="Z383" s="19"/>
      <c r="AA383" s="19"/>
      <c r="AB383" s="19"/>
      <c r="AC383" s="19"/>
      <c r="AD383" s="19"/>
      <c r="AE383" s="19"/>
      <c r="AF383" s="19"/>
      <c r="AG383" s="19"/>
      <c r="AH383" s="19"/>
      <c r="AI383" s="19"/>
      <c r="AJ383" s="19"/>
      <c r="AK383" s="19"/>
      <c r="AL383" s="19"/>
      <c r="AM383" s="19"/>
      <c r="AN383" s="19"/>
      <c r="AO383" s="19"/>
      <c r="AP383" s="19"/>
      <c r="AQ383" s="19"/>
      <c r="AR383" s="19"/>
      <c r="AS383" s="19"/>
      <c r="AT383" s="19"/>
      <c r="AU383" s="19"/>
      <c r="AV383" s="19"/>
      <c r="AW383" s="19"/>
      <c r="AX383" s="19"/>
      <c r="AY383" s="19"/>
      <c r="AZ383" s="19"/>
      <c r="BA383" s="19"/>
      <c r="BB383" s="19"/>
      <c r="BC383" s="19"/>
      <c r="BD383" s="19"/>
      <c r="BE383" s="19"/>
      <c r="BF383" s="19"/>
      <c r="BG383" s="19"/>
      <c r="BH383" s="19"/>
      <c r="BI383" s="19"/>
      <c r="BJ383" s="19"/>
      <c r="BK383" s="19"/>
      <c r="BL383" s="19"/>
      <c r="BM383" s="19"/>
      <c r="BN383" s="19"/>
      <c r="BO383" s="19"/>
      <c r="BP383" s="19"/>
      <c r="BQ383" s="19"/>
      <c r="BR383" s="19"/>
      <c r="BS383" s="19"/>
      <c r="BT383" s="19"/>
      <c r="BU383" s="19"/>
      <c r="BV383" s="19"/>
      <c r="BW383" s="19"/>
      <c r="BX383" s="19"/>
      <c r="BY383" s="19"/>
      <c r="BZ383" s="19"/>
      <c r="CA383" s="19"/>
      <c r="CB383" s="19"/>
      <c r="CC383" s="19"/>
      <c r="CD383" s="19"/>
      <c r="CE383" s="19"/>
    </row>
    <row r="384" spans="1:83">
      <c r="A384" s="17"/>
      <c r="B384" s="17"/>
      <c r="C384" s="17"/>
      <c r="D384" s="19"/>
      <c r="E384" s="19"/>
      <c r="F384" s="19"/>
      <c r="G384" s="19"/>
      <c r="H384" s="19"/>
      <c r="I384" s="19"/>
      <c r="J384" s="19"/>
      <c r="K384" s="19"/>
      <c r="L384" s="19"/>
      <c r="M384" s="19"/>
      <c r="N384" s="19"/>
      <c r="O384" s="19"/>
      <c r="P384" s="19"/>
      <c r="Q384" s="19"/>
      <c r="R384" s="19"/>
      <c r="S384" s="19"/>
      <c r="T384" s="19"/>
      <c r="U384" s="19"/>
      <c r="V384" s="19"/>
      <c r="W384" s="19"/>
      <c r="X384" s="19"/>
      <c r="Y384" s="19"/>
      <c r="Z384" s="19"/>
      <c r="AA384" s="19"/>
      <c r="AB384" s="19"/>
      <c r="AC384" s="19"/>
      <c r="AD384" s="19"/>
      <c r="AE384" s="19"/>
      <c r="AF384" s="19"/>
      <c r="AG384" s="19"/>
      <c r="AH384" s="19"/>
      <c r="AI384" s="19"/>
      <c r="AJ384" s="19"/>
      <c r="AK384" s="19"/>
      <c r="AL384" s="19"/>
      <c r="AM384" s="19"/>
      <c r="AN384" s="19"/>
      <c r="AO384" s="19"/>
      <c r="AP384" s="19"/>
      <c r="AQ384" s="19"/>
      <c r="AR384" s="19"/>
      <c r="AS384" s="19"/>
      <c r="AT384" s="19"/>
      <c r="AU384" s="19"/>
      <c r="AV384" s="19"/>
      <c r="AW384" s="19"/>
      <c r="AX384" s="19"/>
      <c r="AY384" s="19"/>
      <c r="AZ384" s="19"/>
      <c r="BA384" s="19"/>
      <c r="BB384" s="19"/>
      <c r="BC384" s="19"/>
      <c r="BD384" s="19"/>
      <c r="BE384" s="19"/>
      <c r="BF384" s="19"/>
      <c r="BG384" s="19"/>
      <c r="BH384" s="19"/>
      <c r="BI384" s="19"/>
      <c r="BJ384" s="19"/>
      <c r="BK384" s="19"/>
      <c r="BL384" s="19"/>
      <c r="BM384" s="19"/>
      <c r="BN384" s="19"/>
      <c r="BO384" s="19"/>
      <c r="BP384" s="19"/>
      <c r="BQ384" s="19"/>
      <c r="BR384" s="19"/>
      <c r="BS384" s="19"/>
      <c r="BT384" s="19"/>
      <c r="BU384" s="19"/>
      <c r="BV384" s="19"/>
      <c r="BW384" s="19"/>
      <c r="BX384" s="19"/>
      <c r="BY384" s="19"/>
      <c r="BZ384" s="19"/>
      <c r="CA384" s="19"/>
      <c r="CB384" s="19"/>
      <c r="CC384" s="19"/>
      <c r="CD384" s="19"/>
      <c r="CE384" s="19"/>
    </row>
    <row r="385" spans="1:83">
      <c r="A385" s="17"/>
      <c r="B385" s="17"/>
      <c r="C385" s="17"/>
      <c r="D385" s="19"/>
      <c r="E385" s="19"/>
      <c r="F385" s="19"/>
      <c r="G385" s="19"/>
      <c r="H385" s="19"/>
      <c r="I385" s="19"/>
      <c r="J385" s="19"/>
      <c r="K385" s="19"/>
      <c r="L385" s="19"/>
      <c r="M385" s="19"/>
      <c r="N385" s="19"/>
      <c r="O385" s="19"/>
      <c r="P385" s="19"/>
      <c r="Q385" s="19"/>
      <c r="R385" s="19"/>
      <c r="S385" s="19"/>
      <c r="T385" s="19"/>
      <c r="U385" s="19"/>
      <c r="V385" s="19"/>
      <c r="W385" s="19"/>
      <c r="X385" s="19"/>
      <c r="Y385" s="19"/>
      <c r="Z385" s="19"/>
      <c r="AA385" s="19"/>
      <c r="AB385" s="19"/>
      <c r="AC385" s="19"/>
      <c r="AD385" s="19"/>
      <c r="AE385" s="19"/>
      <c r="AF385" s="19"/>
      <c r="AG385" s="19"/>
      <c r="AH385" s="19"/>
      <c r="AI385" s="19"/>
      <c r="AJ385" s="19"/>
      <c r="AK385" s="19"/>
      <c r="AL385" s="19"/>
      <c r="AM385" s="19"/>
      <c r="AN385" s="19"/>
      <c r="AO385" s="19"/>
      <c r="AP385" s="19"/>
      <c r="AQ385" s="19"/>
      <c r="AR385" s="19"/>
      <c r="AS385" s="19"/>
      <c r="AT385" s="19"/>
      <c r="AU385" s="19"/>
      <c r="AV385" s="19"/>
      <c r="AW385" s="19"/>
      <c r="AX385" s="19"/>
      <c r="AY385" s="19"/>
      <c r="AZ385" s="19"/>
      <c r="BA385" s="19"/>
      <c r="BB385" s="19"/>
      <c r="BC385" s="19"/>
      <c r="BD385" s="19"/>
      <c r="BE385" s="19"/>
      <c r="BF385" s="19"/>
      <c r="BG385" s="19"/>
      <c r="BH385" s="19"/>
      <c r="BI385" s="19"/>
      <c r="BJ385" s="19"/>
      <c r="BK385" s="19"/>
      <c r="BL385" s="19"/>
      <c r="BM385" s="19"/>
      <c r="BN385" s="19"/>
      <c r="BO385" s="19"/>
      <c r="BP385" s="19"/>
      <c r="BQ385" s="19"/>
      <c r="BR385" s="19"/>
      <c r="BS385" s="19"/>
      <c r="BT385" s="19"/>
      <c r="BU385" s="19"/>
      <c r="BV385" s="19"/>
      <c r="BW385" s="19"/>
      <c r="BX385" s="19"/>
      <c r="BY385" s="19"/>
      <c r="BZ385" s="19"/>
      <c r="CA385" s="19"/>
      <c r="CB385" s="19"/>
      <c r="CC385" s="19"/>
      <c r="CD385" s="19"/>
      <c r="CE385" s="19"/>
    </row>
    <row r="386" spans="1:83">
      <c r="A386" s="17"/>
      <c r="B386" s="17"/>
      <c r="C386" s="17"/>
      <c r="D386" s="19"/>
      <c r="E386" s="19"/>
      <c r="F386" s="19"/>
      <c r="G386" s="19"/>
      <c r="H386" s="19"/>
      <c r="I386" s="19"/>
      <c r="J386" s="19"/>
      <c r="K386" s="19"/>
      <c r="L386" s="19"/>
      <c r="M386" s="19"/>
      <c r="N386" s="19"/>
      <c r="O386" s="19"/>
      <c r="P386" s="19"/>
      <c r="Q386" s="19"/>
      <c r="R386" s="19"/>
      <c r="S386" s="19"/>
      <c r="T386" s="19"/>
      <c r="U386" s="19"/>
      <c r="V386" s="19"/>
      <c r="W386" s="19"/>
      <c r="X386" s="19"/>
      <c r="Y386" s="19"/>
      <c r="Z386" s="19"/>
      <c r="AA386" s="19"/>
      <c r="AB386" s="19"/>
      <c r="AC386" s="19"/>
      <c r="AD386" s="19"/>
      <c r="AE386" s="19"/>
      <c r="AF386" s="19"/>
      <c r="AG386" s="19"/>
      <c r="AH386" s="19"/>
      <c r="AI386" s="19"/>
      <c r="AJ386" s="19"/>
      <c r="AK386" s="19"/>
      <c r="AL386" s="19"/>
      <c r="AM386" s="19"/>
      <c r="AN386" s="19"/>
      <c r="AO386" s="19"/>
      <c r="AP386" s="19"/>
      <c r="AQ386" s="19"/>
      <c r="AR386" s="19"/>
      <c r="AS386" s="19"/>
      <c r="AT386" s="19"/>
      <c r="AU386" s="19"/>
      <c r="AV386" s="19"/>
      <c r="AW386" s="19"/>
      <c r="AX386" s="19"/>
      <c r="AY386" s="19"/>
      <c r="AZ386" s="19"/>
      <c r="BA386" s="19"/>
      <c r="BB386" s="19"/>
      <c r="BC386" s="19"/>
      <c r="BD386" s="19"/>
      <c r="BE386" s="19"/>
      <c r="BF386" s="19"/>
      <c r="BG386" s="19"/>
      <c r="BH386" s="19"/>
      <c r="BI386" s="19"/>
      <c r="BJ386" s="19"/>
      <c r="BK386" s="19"/>
      <c r="BL386" s="19"/>
      <c r="BM386" s="19"/>
      <c r="BN386" s="19"/>
      <c r="BO386" s="19"/>
      <c r="BP386" s="19"/>
      <c r="BQ386" s="19"/>
      <c r="BR386" s="19"/>
      <c r="BS386" s="19"/>
      <c r="BT386" s="19"/>
      <c r="BU386" s="19"/>
      <c r="BV386" s="19"/>
      <c r="BW386" s="19"/>
      <c r="BX386" s="19"/>
      <c r="BY386" s="19"/>
      <c r="BZ386" s="19"/>
      <c r="CA386" s="19"/>
      <c r="CB386" s="19"/>
      <c r="CC386" s="19"/>
      <c r="CD386" s="19"/>
      <c r="CE386" s="19"/>
    </row>
    <row r="387" spans="1:83">
      <c r="A387" s="17"/>
      <c r="B387" s="17"/>
      <c r="C387" s="17"/>
      <c r="D387" s="19"/>
      <c r="E387" s="19"/>
      <c r="F387" s="19"/>
      <c r="G387" s="19"/>
      <c r="H387" s="19"/>
      <c r="I387" s="19"/>
      <c r="J387" s="19"/>
      <c r="K387" s="19"/>
      <c r="L387" s="19"/>
      <c r="M387" s="19"/>
      <c r="N387" s="19"/>
      <c r="O387" s="19"/>
      <c r="P387" s="19"/>
      <c r="Q387" s="19"/>
      <c r="R387" s="19"/>
      <c r="S387" s="19"/>
      <c r="T387" s="19"/>
      <c r="U387" s="19"/>
      <c r="V387" s="19"/>
      <c r="W387" s="19"/>
      <c r="X387" s="19"/>
      <c r="Y387" s="19"/>
      <c r="Z387" s="19"/>
      <c r="AA387" s="19"/>
      <c r="AB387" s="19"/>
      <c r="AC387" s="19"/>
      <c r="AD387" s="19"/>
      <c r="AE387" s="19"/>
      <c r="AF387" s="19"/>
      <c r="AG387" s="19"/>
      <c r="AH387" s="19"/>
      <c r="AI387" s="19"/>
      <c r="AJ387" s="19"/>
      <c r="AK387" s="19"/>
      <c r="AL387" s="19"/>
      <c r="AM387" s="19"/>
      <c r="AN387" s="19"/>
      <c r="AO387" s="19"/>
      <c r="AP387" s="19"/>
      <c r="AQ387" s="19"/>
      <c r="AR387" s="19"/>
      <c r="AS387" s="19"/>
      <c r="AT387" s="19"/>
      <c r="AU387" s="19"/>
      <c r="AV387" s="19"/>
      <c r="AW387" s="19"/>
      <c r="AX387" s="19"/>
      <c r="AY387" s="19"/>
      <c r="AZ387" s="19"/>
      <c r="BA387" s="19"/>
      <c r="BB387" s="19"/>
      <c r="BC387" s="19"/>
      <c r="BD387" s="19"/>
      <c r="BE387" s="19"/>
      <c r="BF387" s="19"/>
      <c r="BG387" s="19"/>
      <c r="BH387" s="19"/>
      <c r="BI387" s="19"/>
      <c r="BJ387" s="19"/>
      <c r="BK387" s="19"/>
      <c r="BL387" s="19"/>
      <c r="BM387" s="19"/>
      <c r="BN387" s="19"/>
      <c r="BO387" s="19"/>
      <c r="BP387" s="19"/>
      <c r="BQ387" s="19"/>
      <c r="BR387" s="19"/>
      <c r="BS387" s="19"/>
      <c r="BT387" s="19"/>
      <c r="BU387" s="19"/>
      <c r="BV387" s="19"/>
      <c r="BW387" s="19"/>
      <c r="BX387" s="19"/>
      <c r="BY387" s="19"/>
      <c r="BZ387" s="19"/>
      <c r="CA387" s="19"/>
      <c r="CB387" s="19"/>
      <c r="CC387" s="19"/>
      <c r="CD387" s="19"/>
      <c r="CE387" s="19"/>
    </row>
    <row r="388" spans="1:83">
      <c r="A388" s="17"/>
      <c r="B388" s="17"/>
      <c r="C388" s="17"/>
      <c r="D388" s="19"/>
      <c r="E388" s="19"/>
      <c r="F388" s="19"/>
      <c r="G388" s="19"/>
      <c r="H388" s="19"/>
      <c r="I388" s="19"/>
      <c r="J388" s="19"/>
      <c r="K388" s="19"/>
      <c r="L388" s="19"/>
      <c r="M388" s="19"/>
      <c r="N388" s="19"/>
      <c r="O388" s="19"/>
      <c r="P388" s="19"/>
      <c r="Q388" s="19"/>
      <c r="R388" s="19"/>
      <c r="S388" s="19"/>
      <c r="T388" s="19"/>
      <c r="U388" s="19"/>
      <c r="V388" s="19"/>
      <c r="W388" s="19"/>
      <c r="X388" s="19"/>
      <c r="Y388" s="19"/>
      <c r="Z388" s="19"/>
      <c r="AA388" s="19"/>
      <c r="AB388" s="19"/>
      <c r="AC388" s="19"/>
      <c r="AD388" s="19"/>
      <c r="AE388" s="19"/>
      <c r="AF388" s="19"/>
      <c r="AG388" s="19"/>
      <c r="AH388" s="19"/>
      <c r="AI388" s="19"/>
      <c r="AJ388" s="19"/>
      <c r="AK388" s="19"/>
      <c r="AL388" s="19"/>
      <c r="AM388" s="19"/>
      <c r="AN388" s="19"/>
      <c r="AO388" s="19"/>
      <c r="AP388" s="19"/>
      <c r="AQ388" s="19"/>
      <c r="AR388" s="19"/>
      <c r="AS388" s="19"/>
      <c r="AT388" s="19"/>
      <c r="AU388" s="19"/>
      <c r="AV388" s="19"/>
      <c r="AW388" s="19"/>
      <c r="AX388" s="19"/>
      <c r="AY388" s="19"/>
      <c r="AZ388" s="19"/>
      <c r="BA388" s="19"/>
      <c r="BB388" s="19"/>
      <c r="BC388" s="19"/>
      <c r="BD388" s="19"/>
      <c r="BE388" s="19"/>
      <c r="BF388" s="19"/>
      <c r="BG388" s="19"/>
      <c r="BH388" s="19"/>
      <c r="BI388" s="19"/>
      <c r="BJ388" s="19"/>
      <c r="BK388" s="19"/>
      <c r="BL388" s="19"/>
      <c r="BM388" s="19"/>
      <c r="BN388" s="19"/>
      <c r="BO388" s="19"/>
      <c r="BP388" s="19"/>
      <c r="BQ388" s="19"/>
      <c r="BR388" s="19"/>
      <c r="BS388" s="19"/>
      <c r="BT388" s="19"/>
      <c r="BU388" s="19"/>
      <c r="BV388" s="19"/>
      <c r="BW388" s="19"/>
      <c r="BX388" s="19"/>
      <c r="BY388" s="19"/>
      <c r="BZ388" s="19"/>
      <c r="CA388" s="19"/>
      <c r="CB388" s="19"/>
      <c r="CC388" s="19"/>
      <c r="CD388" s="19"/>
      <c r="CE388" s="19"/>
    </row>
    <row r="389" spans="1:83">
      <c r="A389" s="17"/>
      <c r="B389" s="17"/>
      <c r="C389" s="17"/>
      <c r="D389" s="19"/>
      <c r="E389" s="19"/>
      <c r="F389" s="19"/>
      <c r="G389" s="19"/>
      <c r="H389" s="19"/>
      <c r="I389" s="19"/>
      <c r="J389" s="19"/>
      <c r="K389" s="19"/>
      <c r="L389" s="19"/>
      <c r="M389" s="19"/>
      <c r="N389" s="19"/>
      <c r="O389" s="19"/>
      <c r="P389" s="19"/>
      <c r="Q389" s="19"/>
      <c r="R389" s="19"/>
      <c r="S389" s="19"/>
      <c r="T389" s="19"/>
      <c r="U389" s="19"/>
      <c r="V389" s="19"/>
      <c r="W389" s="19"/>
      <c r="X389" s="19"/>
      <c r="Y389" s="19"/>
      <c r="Z389" s="19"/>
      <c r="AA389" s="19"/>
      <c r="AB389" s="19"/>
      <c r="AC389" s="19"/>
      <c r="AD389" s="19"/>
      <c r="AE389" s="19"/>
      <c r="AF389" s="19"/>
      <c r="AG389" s="19"/>
      <c r="AH389" s="19"/>
      <c r="AI389" s="19"/>
      <c r="AJ389" s="19"/>
      <c r="AK389" s="19"/>
      <c r="AL389" s="19"/>
      <c r="AM389" s="19"/>
      <c r="AN389" s="19"/>
      <c r="AO389" s="19"/>
      <c r="AP389" s="19"/>
      <c r="AQ389" s="19"/>
      <c r="AR389" s="19"/>
      <c r="AS389" s="19"/>
      <c r="AT389" s="19"/>
      <c r="AU389" s="19"/>
      <c r="AV389" s="19"/>
      <c r="AW389" s="19"/>
      <c r="AX389" s="19"/>
      <c r="AY389" s="19"/>
      <c r="AZ389" s="19"/>
      <c r="BA389" s="19"/>
      <c r="BB389" s="19"/>
      <c r="BC389" s="19"/>
      <c r="BD389" s="19"/>
      <c r="BE389" s="19"/>
      <c r="BF389" s="19"/>
      <c r="BG389" s="19"/>
      <c r="BH389" s="19"/>
      <c r="BI389" s="19"/>
      <c r="BJ389" s="19"/>
      <c r="BK389" s="19"/>
      <c r="BL389" s="19"/>
      <c r="BM389" s="19"/>
      <c r="BN389" s="19"/>
      <c r="BO389" s="19"/>
      <c r="BP389" s="19"/>
      <c r="BQ389" s="19"/>
      <c r="BR389" s="19"/>
      <c r="BS389" s="19"/>
      <c r="BT389" s="19"/>
      <c r="BU389" s="19"/>
      <c r="BV389" s="19"/>
      <c r="BW389" s="19"/>
      <c r="BX389" s="19"/>
      <c r="BY389" s="19"/>
      <c r="BZ389" s="19"/>
      <c r="CA389" s="19"/>
      <c r="CB389" s="19"/>
      <c r="CC389" s="19"/>
      <c r="CD389" s="19"/>
      <c r="CE389" s="19"/>
    </row>
    <row r="390" spans="1:83">
      <c r="A390" s="17"/>
      <c r="B390" s="17"/>
      <c r="C390" s="17"/>
      <c r="D390" s="19"/>
      <c r="E390" s="19"/>
      <c r="F390" s="19"/>
      <c r="G390" s="19"/>
      <c r="H390" s="19"/>
      <c r="I390" s="19"/>
      <c r="J390" s="19"/>
      <c r="K390" s="19"/>
      <c r="L390" s="19"/>
      <c r="M390" s="19"/>
      <c r="N390" s="19"/>
      <c r="O390" s="19"/>
      <c r="P390" s="19"/>
      <c r="Q390" s="19"/>
      <c r="R390" s="19"/>
      <c r="S390" s="19"/>
      <c r="T390" s="19"/>
      <c r="U390" s="19"/>
      <c r="V390" s="19"/>
      <c r="W390" s="19"/>
      <c r="X390" s="19"/>
      <c r="Y390" s="19"/>
      <c r="Z390" s="19"/>
      <c r="AA390" s="19"/>
      <c r="AB390" s="19"/>
      <c r="AC390" s="19"/>
      <c r="AD390" s="19"/>
      <c r="AE390" s="19"/>
      <c r="AF390" s="19"/>
      <c r="AG390" s="19"/>
      <c r="AH390" s="19"/>
      <c r="AI390" s="19"/>
      <c r="AJ390" s="19"/>
      <c r="AK390" s="19"/>
      <c r="AL390" s="19"/>
      <c r="AM390" s="19"/>
      <c r="AN390" s="19"/>
      <c r="AO390" s="19"/>
      <c r="AP390" s="19"/>
      <c r="AQ390" s="19"/>
      <c r="AR390" s="19"/>
      <c r="AS390" s="19"/>
      <c r="AT390" s="19"/>
      <c r="AU390" s="19"/>
      <c r="AV390" s="19"/>
      <c r="AW390" s="19"/>
      <c r="AX390" s="19"/>
      <c r="AY390" s="19"/>
      <c r="AZ390" s="19"/>
      <c r="BA390" s="19"/>
      <c r="BB390" s="19"/>
      <c r="BC390" s="19"/>
      <c r="BD390" s="19"/>
      <c r="BE390" s="19"/>
      <c r="BF390" s="19"/>
      <c r="BG390" s="19"/>
      <c r="BH390" s="19"/>
      <c r="BI390" s="19"/>
      <c r="BJ390" s="19"/>
      <c r="BK390" s="19"/>
      <c r="BL390" s="19"/>
      <c r="BM390" s="19"/>
      <c r="BN390" s="19"/>
      <c r="BO390" s="19"/>
      <c r="BP390" s="19"/>
      <c r="BQ390" s="19"/>
      <c r="BR390" s="19"/>
      <c r="BS390" s="19"/>
      <c r="BT390" s="19"/>
      <c r="BU390" s="19"/>
      <c r="BV390" s="19"/>
      <c r="BW390" s="19"/>
      <c r="BX390" s="19"/>
      <c r="BY390" s="19"/>
      <c r="BZ390" s="19"/>
      <c r="CA390" s="19"/>
      <c r="CB390" s="19"/>
      <c r="CC390" s="19"/>
      <c r="CD390" s="19"/>
      <c r="CE390" s="19"/>
    </row>
    <row r="391" spans="1:83">
      <c r="A391" s="17"/>
      <c r="B391" s="17"/>
      <c r="C391" s="17"/>
      <c r="D391" s="19"/>
      <c r="E391" s="19"/>
      <c r="F391" s="19"/>
      <c r="G391" s="19"/>
      <c r="H391" s="19"/>
      <c r="I391" s="19"/>
      <c r="J391" s="19"/>
      <c r="K391" s="19"/>
      <c r="L391" s="19"/>
      <c r="M391" s="19"/>
      <c r="N391" s="19"/>
      <c r="O391" s="19"/>
      <c r="P391" s="19"/>
      <c r="Q391" s="19"/>
      <c r="R391" s="19"/>
      <c r="S391" s="19"/>
      <c r="T391" s="19"/>
      <c r="U391" s="19"/>
      <c r="V391" s="19"/>
      <c r="W391" s="19"/>
      <c r="X391" s="19"/>
      <c r="Y391" s="19"/>
      <c r="Z391" s="19"/>
      <c r="AA391" s="19"/>
      <c r="AB391" s="19"/>
      <c r="AC391" s="19"/>
      <c r="AD391" s="19"/>
      <c r="AE391" s="19"/>
      <c r="AF391" s="19"/>
      <c r="AG391" s="19"/>
      <c r="AH391" s="19"/>
      <c r="AI391" s="19"/>
      <c r="AJ391" s="19"/>
      <c r="AK391" s="19"/>
      <c r="AL391" s="19"/>
      <c r="AM391" s="19"/>
      <c r="AN391" s="19"/>
      <c r="AO391" s="19"/>
      <c r="AP391" s="19"/>
      <c r="AQ391" s="19"/>
      <c r="AR391" s="19"/>
      <c r="AS391" s="19"/>
      <c r="AT391" s="19"/>
      <c r="AU391" s="19"/>
      <c r="AV391" s="19"/>
      <c r="AW391" s="19"/>
      <c r="AX391" s="19"/>
      <c r="AY391" s="19"/>
      <c r="AZ391" s="19"/>
      <c r="BA391" s="19"/>
      <c r="BB391" s="19"/>
      <c r="BC391" s="19"/>
      <c r="BD391" s="19"/>
      <c r="BE391" s="19"/>
      <c r="BF391" s="19"/>
      <c r="BG391" s="19"/>
      <c r="BH391" s="19"/>
      <c r="BI391" s="19"/>
      <c r="BJ391" s="19"/>
      <c r="BK391" s="19"/>
      <c r="BL391" s="19"/>
      <c r="BM391" s="19"/>
      <c r="BN391" s="19"/>
      <c r="BO391" s="19"/>
      <c r="BP391" s="19"/>
      <c r="BQ391" s="19"/>
      <c r="BR391" s="19"/>
      <c r="BS391" s="19"/>
      <c r="BT391" s="19"/>
      <c r="BU391" s="19"/>
      <c r="BV391" s="19"/>
      <c r="BW391" s="19"/>
      <c r="BX391" s="19"/>
      <c r="BY391" s="19"/>
      <c r="BZ391" s="19"/>
      <c r="CA391" s="19"/>
      <c r="CB391" s="19"/>
      <c r="CC391" s="19"/>
      <c r="CD391" s="19"/>
      <c r="CE391" s="19"/>
    </row>
    <row r="392" spans="1:83">
      <c r="A392" s="17"/>
      <c r="B392" s="17"/>
      <c r="C392" s="17"/>
      <c r="D392" s="19"/>
      <c r="E392" s="19"/>
      <c r="F392" s="19"/>
      <c r="G392" s="19"/>
      <c r="H392" s="19"/>
      <c r="I392" s="19"/>
      <c r="J392" s="19"/>
      <c r="K392" s="19"/>
      <c r="L392" s="19"/>
      <c r="M392" s="19"/>
      <c r="N392" s="19"/>
      <c r="O392" s="19"/>
      <c r="P392" s="19"/>
      <c r="Q392" s="19"/>
      <c r="R392" s="19"/>
      <c r="S392" s="19"/>
      <c r="T392" s="19"/>
      <c r="U392" s="19"/>
      <c r="V392" s="19"/>
      <c r="W392" s="19"/>
      <c r="X392" s="19"/>
      <c r="Y392" s="19"/>
      <c r="Z392" s="19"/>
      <c r="AA392" s="19"/>
      <c r="AB392" s="19"/>
      <c r="AC392" s="19"/>
      <c r="AD392" s="19"/>
      <c r="AE392" s="19"/>
      <c r="AF392" s="19"/>
      <c r="AG392" s="19"/>
      <c r="AH392" s="19"/>
      <c r="AI392" s="19"/>
      <c r="AJ392" s="19"/>
      <c r="AK392" s="19"/>
      <c r="AL392" s="19"/>
      <c r="AM392" s="19"/>
      <c r="AN392" s="19"/>
      <c r="AO392" s="19"/>
      <c r="AP392" s="19"/>
      <c r="AQ392" s="19"/>
      <c r="AR392" s="19"/>
      <c r="AS392" s="19"/>
      <c r="AT392" s="19"/>
      <c r="AU392" s="19"/>
      <c r="AV392" s="19"/>
      <c r="AW392" s="19"/>
      <c r="AX392" s="19"/>
      <c r="AY392" s="19"/>
      <c r="AZ392" s="19"/>
      <c r="BA392" s="19"/>
      <c r="BB392" s="19"/>
      <c r="BC392" s="19"/>
      <c r="BD392" s="19"/>
      <c r="BE392" s="19"/>
      <c r="BF392" s="19"/>
      <c r="BG392" s="19"/>
      <c r="BH392" s="19"/>
      <c r="BI392" s="19"/>
      <c r="BJ392" s="19"/>
      <c r="BK392" s="19"/>
      <c r="BL392" s="19"/>
      <c r="BM392" s="19"/>
      <c r="BN392" s="19"/>
      <c r="BO392" s="19"/>
      <c r="BP392" s="19"/>
      <c r="BQ392" s="19"/>
      <c r="BR392" s="19"/>
      <c r="BS392" s="19"/>
      <c r="BT392" s="19"/>
      <c r="BU392" s="19"/>
      <c r="BV392" s="19"/>
      <c r="BW392" s="19"/>
      <c r="BX392" s="19"/>
      <c r="BY392" s="19"/>
      <c r="BZ392" s="19"/>
      <c r="CA392" s="19"/>
      <c r="CB392" s="19"/>
      <c r="CC392" s="19"/>
      <c r="CD392" s="19"/>
      <c r="CE392" s="19"/>
    </row>
    <row r="393" spans="1:83">
      <c r="A393" s="17"/>
      <c r="B393" s="17"/>
      <c r="C393" s="17"/>
      <c r="D393" s="19"/>
      <c r="E393" s="19"/>
      <c r="F393" s="19"/>
      <c r="G393" s="19"/>
      <c r="H393" s="19"/>
      <c r="I393" s="19"/>
      <c r="J393" s="19"/>
      <c r="K393" s="19"/>
      <c r="L393" s="19"/>
      <c r="M393" s="19"/>
      <c r="N393" s="19"/>
      <c r="O393" s="19"/>
      <c r="P393" s="19"/>
      <c r="Q393" s="19"/>
      <c r="R393" s="19"/>
      <c r="S393" s="19"/>
      <c r="T393" s="19"/>
      <c r="U393" s="19"/>
      <c r="V393" s="19"/>
      <c r="W393" s="19"/>
      <c r="X393" s="19"/>
      <c r="Y393" s="19"/>
      <c r="Z393" s="19"/>
      <c r="AA393" s="19"/>
      <c r="AB393" s="19"/>
      <c r="AC393" s="19"/>
      <c r="AD393" s="19"/>
      <c r="AE393" s="19"/>
      <c r="AF393" s="19"/>
      <c r="AG393" s="19"/>
      <c r="AH393" s="19"/>
      <c r="AI393" s="19"/>
      <c r="AJ393" s="19"/>
      <c r="AK393" s="19"/>
      <c r="AL393" s="19"/>
      <c r="AM393" s="19"/>
      <c r="AN393" s="19"/>
      <c r="AO393" s="19"/>
      <c r="AP393" s="19"/>
      <c r="AQ393" s="19"/>
      <c r="AR393" s="19"/>
      <c r="AS393" s="19"/>
      <c r="AT393" s="19"/>
      <c r="AU393" s="19"/>
      <c r="AV393" s="19"/>
      <c r="AW393" s="19"/>
      <c r="AX393" s="19"/>
      <c r="AY393" s="19"/>
      <c r="AZ393" s="19"/>
      <c r="BA393" s="19"/>
      <c r="BB393" s="19"/>
      <c r="BC393" s="19"/>
      <c r="BD393" s="19"/>
      <c r="BE393" s="19"/>
      <c r="BF393" s="19"/>
      <c r="BG393" s="19"/>
      <c r="BH393" s="19"/>
      <c r="BI393" s="19"/>
      <c r="BJ393" s="19"/>
      <c r="BK393" s="19"/>
      <c r="BL393" s="19"/>
      <c r="BM393" s="19"/>
      <c r="BN393" s="19"/>
      <c r="BO393" s="19"/>
      <c r="BP393" s="19"/>
      <c r="BQ393" s="19"/>
      <c r="BR393" s="19"/>
      <c r="BS393" s="19"/>
      <c r="BT393" s="19"/>
      <c r="BU393" s="19"/>
      <c r="BV393" s="19"/>
      <c r="BW393" s="19"/>
      <c r="BX393" s="19"/>
      <c r="BY393" s="19"/>
      <c r="BZ393" s="19"/>
      <c r="CA393" s="19"/>
      <c r="CB393" s="19"/>
      <c r="CC393" s="19"/>
      <c r="CD393" s="19"/>
      <c r="CE393" s="19"/>
    </row>
    <row r="394" spans="1:83">
      <c r="A394" s="17"/>
      <c r="B394" s="17"/>
      <c r="C394" s="17"/>
      <c r="D394" s="19"/>
      <c r="E394" s="19"/>
      <c r="F394" s="19"/>
      <c r="G394" s="19"/>
      <c r="H394" s="19"/>
      <c r="I394" s="19"/>
      <c r="J394" s="19"/>
      <c r="K394" s="19"/>
      <c r="L394" s="19"/>
      <c r="M394" s="19"/>
      <c r="N394" s="19"/>
      <c r="O394" s="19"/>
      <c r="P394" s="19"/>
      <c r="Q394" s="19"/>
      <c r="R394" s="19"/>
      <c r="S394" s="19"/>
      <c r="T394" s="19"/>
      <c r="U394" s="19"/>
      <c r="V394" s="19"/>
      <c r="W394" s="19"/>
      <c r="X394" s="19"/>
      <c r="Y394" s="19"/>
      <c r="Z394" s="19"/>
      <c r="AA394" s="19"/>
      <c r="AB394" s="19"/>
      <c r="AC394" s="19"/>
      <c r="AD394" s="19"/>
      <c r="AE394" s="19"/>
      <c r="AF394" s="19"/>
      <c r="AG394" s="19"/>
      <c r="AH394" s="19"/>
      <c r="AI394" s="19"/>
      <c r="AJ394" s="19"/>
      <c r="AK394" s="19"/>
      <c r="AL394" s="19"/>
      <c r="AM394" s="19"/>
      <c r="AN394" s="19"/>
      <c r="AO394" s="19"/>
      <c r="AP394" s="19"/>
      <c r="AQ394" s="19"/>
      <c r="AR394" s="19"/>
      <c r="AS394" s="19"/>
      <c r="AT394" s="19"/>
      <c r="AU394" s="19"/>
      <c r="AV394" s="19"/>
      <c r="AW394" s="19"/>
      <c r="AX394" s="19"/>
      <c r="AY394" s="19"/>
      <c r="AZ394" s="19"/>
      <c r="BA394" s="19"/>
      <c r="BB394" s="19"/>
      <c r="BC394" s="19"/>
      <c r="BD394" s="19"/>
      <c r="BE394" s="19"/>
      <c r="BF394" s="19"/>
      <c r="BG394" s="19"/>
      <c r="BH394" s="19"/>
      <c r="BI394" s="19"/>
      <c r="BJ394" s="19"/>
      <c r="BK394" s="19"/>
      <c r="BL394" s="19"/>
      <c r="BM394" s="19"/>
      <c r="BN394" s="19"/>
      <c r="BO394" s="19"/>
      <c r="BP394" s="19"/>
      <c r="BQ394" s="19"/>
      <c r="BR394" s="19"/>
      <c r="BS394" s="19"/>
      <c r="BT394" s="19"/>
      <c r="BU394" s="19"/>
      <c r="BV394" s="19"/>
      <c r="BW394" s="19"/>
      <c r="BX394" s="19"/>
      <c r="BY394" s="19"/>
      <c r="BZ394" s="19"/>
      <c r="CA394" s="19"/>
      <c r="CB394" s="19"/>
      <c r="CC394" s="19"/>
      <c r="CD394" s="19"/>
      <c r="CE394" s="19"/>
    </row>
    <row r="395" spans="1:83">
      <c r="A395" s="17"/>
      <c r="B395" s="17"/>
      <c r="C395" s="17"/>
      <c r="D395" s="19"/>
      <c r="E395" s="19"/>
      <c r="F395" s="19"/>
      <c r="G395" s="19"/>
      <c r="H395" s="19"/>
      <c r="I395" s="19"/>
      <c r="J395" s="19"/>
      <c r="K395" s="19"/>
      <c r="L395" s="19"/>
      <c r="M395" s="19"/>
      <c r="N395" s="19"/>
      <c r="O395" s="19"/>
      <c r="P395" s="19"/>
      <c r="Q395" s="19"/>
      <c r="R395" s="19"/>
      <c r="S395" s="19"/>
      <c r="T395" s="19"/>
      <c r="U395" s="19"/>
      <c r="V395" s="19"/>
      <c r="W395" s="19"/>
      <c r="X395" s="19"/>
      <c r="Y395" s="19"/>
      <c r="Z395" s="19"/>
      <c r="AA395" s="19"/>
      <c r="AB395" s="19"/>
      <c r="AC395" s="19"/>
      <c r="AD395" s="19"/>
      <c r="AE395" s="19"/>
      <c r="AF395" s="19"/>
      <c r="AG395" s="19"/>
      <c r="AH395" s="19"/>
      <c r="AI395" s="19"/>
      <c r="AJ395" s="19"/>
      <c r="AK395" s="19"/>
      <c r="AL395" s="19"/>
      <c r="AM395" s="19"/>
      <c r="AN395" s="19"/>
      <c r="AO395" s="19"/>
      <c r="AP395" s="19"/>
      <c r="AQ395" s="19"/>
      <c r="AR395" s="19"/>
      <c r="AS395" s="19"/>
      <c r="AT395" s="19"/>
      <c r="AU395" s="19"/>
      <c r="AV395" s="19"/>
      <c r="AW395" s="19"/>
      <c r="AX395" s="19"/>
      <c r="AY395" s="19"/>
      <c r="AZ395" s="19"/>
      <c r="BA395" s="19"/>
      <c r="BB395" s="19"/>
      <c r="BC395" s="19"/>
      <c r="BD395" s="19"/>
      <c r="BE395" s="19"/>
      <c r="BF395" s="19"/>
      <c r="BG395" s="19"/>
      <c r="BH395" s="19"/>
      <c r="BI395" s="19"/>
      <c r="BJ395" s="19"/>
      <c r="BK395" s="19"/>
      <c r="BL395" s="19"/>
      <c r="BM395" s="19"/>
      <c r="BN395" s="19"/>
      <c r="BO395" s="19"/>
      <c r="BP395" s="19"/>
      <c r="BQ395" s="19"/>
      <c r="BR395" s="19"/>
      <c r="BS395" s="19"/>
      <c r="BT395" s="19"/>
      <c r="BU395" s="19"/>
      <c r="BV395" s="19"/>
      <c r="BW395" s="19"/>
      <c r="BX395" s="19"/>
      <c r="BY395" s="19"/>
      <c r="BZ395" s="19"/>
      <c r="CA395" s="19"/>
      <c r="CB395" s="19"/>
      <c r="CC395" s="19"/>
      <c r="CD395" s="19"/>
      <c r="CE395" s="19"/>
    </row>
    <row r="396" spans="1:83">
      <c r="A396" s="17"/>
      <c r="B396" s="17"/>
      <c r="C396" s="17"/>
      <c r="D396" s="19"/>
      <c r="E396" s="19"/>
      <c r="F396" s="19"/>
      <c r="G396" s="19"/>
      <c r="H396" s="19"/>
      <c r="I396" s="19"/>
      <c r="J396" s="19"/>
      <c r="K396" s="19"/>
      <c r="L396" s="19"/>
      <c r="M396" s="19"/>
      <c r="N396" s="19"/>
      <c r="O396" s="19"/>
      <c r="P396" s="19"/>
      <c r="Q396" s="19"/>
      <c r="R396" s="19"/>
      <c r="S396" s="19"/>
      <c r="T396" s="19"/>
      <c r="U396" s="19"/>
      <c r="V396" s="19"/>
      <c r="W396" s="19"/>
      <c r="X396" s="19"/>
      <c r="Y396" s="19"/>
      <c r="Z396" s="19"/>
      <c r="AA396" s="19"/>
      <c r="AB396" s="19"/>
      <c r="AC396" s="19"/>
      <c r="AD396" s="19"/>
      <c r="AE396" s="19"/>
      <c r="AF396" s="19"/>
      <c r="AG396" s="19"/>
      <c r="AH396" s="19"/>
      <c r="AI396" s="19"/>
      <c r="AJ396" s="19"/>
      <c r="AK396" s="19"/>
      <c r="AL396" s="19"/>
      <c r="AM396" s="19"/>
      <c r="AN396" s="19"/>
      <c r="AO396" s="19"/>
      <c r="AP396" s="19"/>
      <c r="AQ396" s="19"/>
      <c r="AR396" s="19"/>
      <c r="AS396" s="19"/>
      <c r="AT396" s="19"/>
      <c r="AU396" s="19"/>
      <c r="AV396" s="19"/>
      <c r="AW396" s="19"/>
      <c r="AX396" s="19"/>
      <c r="AY396" s="19"/>
      <c r="AZ396" s="19"/>
      <c r="BA396" s="19"/>
      <c r="BB396" s="19"/>
      <c r="BC396" s="19"/>
      <c r="BD396" s="19"/>
      <c r="BE396" s="19"/>
      <c r="BF396" s="19"/>
      <c r="BG396" s="19"/>
      <c r="BH396" s="19"/>
      <c r="BI396" s="19"/>
      <c r="BJ396" s="19"/>
      <c r="BK396" s="19"/>
      <c r="BL396" s="19"/>
      <c r="BM396" s="19"/>
      <c r="BN396" s="19"/>
      <c r="BO396" s="19"/>
      <c r="BP396" s="19"/>
      <c r="BQ396" s="19"/>
      <c r="BR396" s="19"/>
      <c r="BS396" s="19"/>
      <c r="BT396" s="19"/>
      <c r="BU396" s="19"/>
      <c r="BV396" s="19"/>
      <c r="BW396" s="19"/>
      <c r="BX396" s="19"/>
      <c r="BY396" s="19"/>
      <c r="BZ396" s="19"/>
      <c r="CA396" s="19"/>
      <c r="CB396" s="19"/>
      <c r="CC396" s="19"/>
      <c r="CD396" s="19"/>
      <c r="CE396" s="19"/>
    </row>
    <row r="397" spans="1:83">
      <c r="A397" s="17"/>
      <c r="B397" s="17"/>
      <c r="C397" s="17"/>
      <c r="D397" s="19"/>
      <c r="E397" s="19"/>
      <c r="F397" s="19"/>
      <c r="G397" s="19"/>
      <c r="H397" s="19"/>
      <c r="I397" s="19"/>
      <c r="J397" s="19"/>
      <c r="K397" s="19"/>
      <c r="L397" s="19"/>
      <c r="M397" s="19"/>
      <c r="N397" s="19"/>
      <c r="O397" s="19"/>
      <c r="P397" s="19"/>
      <c r="Q397" s="19"/>
      <c r="R397" s="19"/>
      <c r="S397" s="19"/>
      <c r="T397" s="19"/>
      <c r="U397" s="19"/>
      <c r="V397" s="19"/>
      <c r="W397" s="19"/>
      <c r="X397" s="19"/>
      <c r="Y397" s="19"/>
      <c r="Z397" s="19"/>
      <c r="AA397" s="19"/>
      <c r="AB397" s="19"/>
      <c r="AC397" s="19"/>
      <c r="AD397" s="19"/>
      <c r="AE397" s="19"/>
      <c r="AF397" s="19"/>
      <c r="AG397" s="19"/>
      <c r="AH397" s="19"/>
      <c r="AI397" s="19"/>
      <c r="AJ397" s="19"/>
      <c r="AK397" s="19"/>
      <c r="AL397" s="19"/>
      <c r="AM397" s="19"/>
      <c r="AN397" s="19"/>
      <c r="AO397" s="19"/>
      <c r="AP397" s="19"/>
      <c r="AQ397" s="19"/>
      <c r="AR397" s="19"/>
      <c r="AS397" s="19"/>
      <c r="AT397" s="19"/>
      <c r="AU397" s="19"/>
      <c r="AV397" s="19"/>
      <c r="AW397" s="19"/>
      <c r="AX397" s="19"/>
      <c r="AY397" s="19"/>
      <c r="AZ397" s="19"/>
      <c r="BA397" s="19"/>
      <c r="BB397" s="19"/>
      <c r="BC397" s="19"/>
      <c r="BD397" s="19"/>
      <c r="BE397" s="19"/>
      <c r="BF397" s="19"/>
      <c r="BG397" s="19"/>
      <c r="BH397" s="19"/>
      <c r="BI397" s="19"/>
      <c r="BJ397" s="19"/>
      <c r="BK397" s="19"/>
      <c r="BL397" s="19"/>
      <c r="BM397" s="19"/>
      <c r="BN397" s="19"/>
      <c r="BO397" s="19"/>
      <c r="BP397" s="19"/>
      <c r="BQ397" s="19"/>
      <c r="BR397" s="19"/>
      <c r="BS397" s="19"/>
      <c r="BT397" s="19"/>
      <c r="BU397" s="19"/>
      <c r="BV397" s="19"/>
      <c r="BW397" s="19"/>
      <c r="BX397" s="19"/>
      <c r="BY397" s="19"/>
      <c r="BZ397" s="19"/>
      <c r="CA397" s="19"/>
      <c r="CB397" s="19"/>
      <c r="CC397" s="19"/>
      <c r="CD397" s="19"/>
      <c r="CE397" s="19"/>
    </row>
    <row r="398" spans="1:83">
      <c r="A398" s="17"/>
      <c r="B398" s="17"/>
      <c r="C398" s="17"/>
      <c r="D398" s="19"/>
      <c r="E398" s="19"/>
      <c r="F398" s="19"/>
      <c r="G398" s="19"/>
      <c r="H398" s="19"/>
      <c r="I398" s="19"/>
      <c r="J398" s="19"/>
      <c r="K398" s="19"/>
      <c r="L398" s="19"/>
      <c r="M398" s="19"/>
      <c r="N398" s="19"/>
      <c r="O398" s="19"/>
      <c r="P398" s="19"/>
      <c r="Q398" s="19"/>
      <c r="R398" s="19"/>
      <c r="S398" s="19"/>
      <c r="T398" s="19"/>
      <c r="U398" s="19"/>
      <c r="V398" s="19"/>
      <c r="W398" s="19"/>
      <c r="X398" s="19"/>
      <c r="Y398" s="19"/>
      <c r="Z398" s="19"/>
      <c r="AA398" s="19"/>
      <c r="AB398" s="19"/>
      <c r="AC398" s="19"/>
      <c r="AD398" s="19"/>
      <c r="AE398" s="19"/>
      <c r="AF398" s="19"/>
      <c r="AG398" s="19"/>
      <c r="AH398" s="19"/>
      <c r="AI398" s="19"/>
      <c r="AJ398" s="19"/>
      <c r="AK398" s="19"/>
      <c r="AL398" s="19"/>
      <c r="AM398" s="19"/>
      <c r="AN398" s="19"/>
      <c r="AO398" s="19"/>
      <c r="AP398" s="19"/>
      <c r="AQ398" s="19"/>
      <c r="AR398" s="19"/>
      <c r="AS398" s="19"/>
      <c r="AT398" s="19"/>
      <c r="AU398" s="19"/>
      <c r="AV398" s="19"/>
      <c r="AW398" s="19"/>
      <c r="AX398" s="19"/>
      <c r="AY398" s="19"/>
      <c r="AZ398" s="19"/>
      <c r="BA398" s="19"/>
      <c r="BB398" s="19"/>
      <c r="BC398" s="19"/>
      <c r="BD398" s="19"/>
      <c r="BE398" s="19"/>
      <c r="BF398" s="19"/>
      <c r="BG398" s="19"/>
      <c r="BH398" s="19"/>
      <c r="BI398" s="19"/>
      <c r="BJ398" s="19"/>
      <c r="BK398" s="19"/>
      <c r="BL398" s="19"/>
      <c r="BM398" s="19"/>
      <c r="BN398" s="19"/>
      <c r="BO398" s="19"/>
      <c r="BP398" s="19"/>
      <c r="BQ398" s="19"/>
      <c r="BR398" s="19"/>
      <c r="BS398" s="19"/>
      <c r="BT398" s="19"/>
      <c r="BU398" s="19"/>
      <c r="BV398" s="19"/>
      <c r="BW398" s="19"/>
      <c r="BX398" s="19"/>
      <c r="BY398" s="19"/>
      <c r="BZ398" s="19"/>
      <c r="CA398" s="19"/>
      <c r="CB398" s="19"/>
      <c r="CC398" s="19"/>
      <c r="CD398" s="19"/>
      <c r="CE398" s="19"/>
    </row>
    <row r="399" spans="1:83">
      <c r="A399" s="17"/>
      <c r="B399" s="17"/>
      <c r="C399" s="17"/>
      <c r="D399" s="19"/>
      <c r="E399" s="19"/>
      <c r="F399" s="19"/>
      <c r="G399" s="19"/>
      <c r="H399" s="19"/>
      <c r="I399" s="19"/>
      <c r="J399" s="19"/>
      <c r="K399" s="19"/>
      <c r="L399" s="19"/>
      <c r="M399" s="19"/>
      <c r="N399" s="19"/>
      <c r="O399" s="19"/>
      <c r="P399" s="19"/>
      <c r="Q399" s="19"/>
      <c r="R399" s="19"/>
      <c r="S399" s="19"/>
      <c r="T399" s="19"/>
      <c r="U399" s="19"/>
      <c r="V399" s="19"/>
      <c r="W399" s="19"/>
      <c r="X399" s="19"/>
      <c r="Y399" s="19"/>
      <c r="Z399" s="19"/>
      <c r="AA399" s="19"/>
      <c r="AB399" s="19"/>
      <c r="AC399" s="19"/>
      <c r="AD399" s="19"/>
      <c r="AE399" s="19"/>
      <c r="AF399" s="19"/>
      <c r="AG399" s="19"/>
      <c r="AH399" s="19"/>
      <c r="AI399" s="19"/>
      <c r="AJ399" s="19"/>
      <c r="AK399" s="19"/>
      <c r="AL399" s="19"/>
      <c r="AM399" s="19"/>
      <c r="AN399" s="19"/>
      <c r="AO399" s="19"/>
      <c r="AP399" s="19"/>
      <c r="AQ399" s="19"/>
      <c r="AR399" s="19"/>
      <c r="AS399" s="19"/>
      <c r="AT399" s="19"/>
      <c r="AU399" s="19"/>
      <c r="AV399" s="19"/>
      <c r="AW399" s="19"/>
      <c r="AX399" s="19"/>
      <c r="AY399" s="19"/>
      <c r="AZ399" s="19"/>
      <c r="BA399" s="19"/>
      <c r="BB399" s="19"/>
      <c r="BC399" s="19"/>
      <c r="BD399" s="19"/>
      <c r="BE399" s="19"/>
      <c r="BF399" s="19"/>
      <c r="BG399" s="19"/>
      <c r="BH399" s="19"/>
      <c r="BI399" s="19"/>
      <c r="BJ399" s="19"/>
      <c r="BK399" s="19"/>
      <c r="BL399" s="19"/>
      <c r="BM399" s="19"/>
      <c r="BN399" s="19"/>
      <c r="BO399" s="19"/>
      <c r="BP399" s="19"/>
      <c r="BQ399" s="19"/>
      <c r="BR399" s="19"/>
      <c r="BS399" s="19"/>
      <c r="BT399" s="19"/>
      <c r="BU399" s="19"/>
      <c r="BV399" s="19"/>
      <c r="BW399" s="19"/>
      <c r="BX399" s="19"/>
      <c r="BY399" s="19"/>
      <c r="BZ399" s="19"/>
      <c r="CA399" s="19"/>
      <c r="CB399" s="19"/>
      <c r="CC399" s="19"/>
      <c r="CD399" s="19"/>
      <c r="CE399" s="19"/>
    </row>
    <row r="400" spans="1:83">
      <c r="A400" s="17"/>
      <c r="B400" s="17"/>
      <c r="C400" s="17"/>
      <c r="D400" s="19"/>
      <c r="E400" s="19"/>
      <c r="F400" s="19"/>
      <c r="G400" s="19"/>
      <c r="H400" s="19"/>
      <c r="I400" s="19"/>
      <c r="J400" s="19"/>
      <c r="K400" s="19"/>
      <c r="L400" s="19"/>
      <c r="M400" s="19"/>
      <c r="N400" s="19"/>
      <c r="O400" s="19"/>
      <c r="P400" s="19"/>
      <c r="Q400" s="19"/>
      <c r="R400" s="19"/>
      <c r="S400" s="19"/>
      <c r="T400" s="19"/>
      <c r="U400" s="19"/>
      <c r="V400" s="19"/>
      <c r="W400" s="19"/>
      <c r="X400" s="19"/>
      <c r="Y400" s="19"/>
      <c r="Z400" s="19"/>
      <c r="AA400" s="19"/>
      <c r="AB400" s="19"/>
      <c r="AC400" s="19"/>
      <c r="AD400" s="19"/>
      <c r="AE400" s="19"/>
      <c r="AF400" s="19"/>
      <c r="AG400" s="19"/>
      <c r="AH400" s="19"/>
      <c r="AI400" s="19"/>
      <c r="AJ400" s="19"/>
      <c r="AK400" s="19"/>
      <c r="AL400" s="19"/>
      <c r="AM400" s="19"/>
      <c r="AN400" s="19"/>
      <c r="AO400" s="19"/>
      <c r="AP400" s="19"/>
      <c r="AQ400" s="19"/>
      <c r="AR400" s="19"/>
      <c r="AS400" s="19"/>
      <c r="AT400" s="19"/>
      <c r="AU400" s="19"/>
      <c r="AV400" s="19"/>
      <c r="AW400" s="19"/>
      <c r="AX400" s="19"/>
      <c r="AY400" s="19"/>
      <c r="AZ400" s="19"/>
      <c r="BA400" s="19"/>
      <c r="BB400" s="19"/>
      <c r="BC400" s="19"/>
      <c r="BD400" s="19"/>
      <c r="BE400" s="19"/>
      <c r="BF400" s="19"/>
      <c r="BG400" s="19"/>
      <c r="BH400" s="19"/>
      <c r="BI400" s="19"/>
      <c r="BJ400" s="19"/>
      <c r="BK400" s="19"/>
      <c r="BL400" s="19"/>
      <c r="BM400" s="19"/>
      <c r="BN400" s="19"/>
      <c r="BO400" s="19"/>
      <c r="BP400" s="19"/>
      <c r="BQ400" s="19"/>
      <c r="BR400" s="19"/>
      <c r="BS400" s="19"/>
      <c r="BT400" s="19"/>
      <c r="BU400" s="19"/>
      <c r="BV400" s="19"/>
      <c r="BW400" s="19"/>
      <c r="BX400" s="19"/>
      <c r="BY400" s="19"/>
      <c r="BZ400" s="19"/>
      <c r="CA400" s="19"/>
      <c r="CB400" s="19"/>
      <c r="CC400" s="19"/>
      <c r="CD400" s="19"/>
      <c r="CE400" s="19"/>
    </row>
    <row r="401" spans="1:83">
      <c r="A401" s="17"/>
      <c r="B401" s="17"/>
      <c r="C401" s="17"/>
      <c r="D401" s="19"/>
      <c r="E401" s="19"/>
      <c r="F401" s="19"/>
      <c r="G401" s="19"/>
      <c r="H401" s="19"/>
      <c r="I401" s="19"/>
      <c r="J401" s="19"/>
      <c r="K401" s="19"/>
      <c r="L401" s="19"/>
      <c r="M401" s="19"/>
      <c r="N401" s="19"/>
      <c r="O401" s="19"/>
      <c r="P401" s="19"/>
      <c r="Q401" s="19"/>
      <c r="R401" s="19"/>
      <c r="S401" s="19"/>
      <c r="T401" s="19"/>
      <c r="U401" s="19"/>
      <c r="V401" s="19"/>
      <c r="W401" s="19"/>
      <c r="X401" s="19"/>
      <c r="Y401" s="19"/>
      <c r="Z401" s="19"/>
      <c r="AA401" s="19"/>
      <c r="AB401" s="19"/>
      <c r="AC401" s="19"/>
      <c r="AD401" s="19"/>
      <c r="AE401" s="19"/>
      <c r="AF401" s="19"/>
      <c r="AG401" s="19"/>
      <c r="AH401" s="19"/>
      <c r="AI401" s="19"/>
      <c r="AJ401" s="19"/>
      <c r="AK401" s="19"/>
      <c r="AL401" s="19"/>
      <c r="AM401" s="19"/>
      <c r="AN401" s="19"/>
      <c r="AO401" s="19"/>
      <c r="AP401" s="19"/>
      <c r="AQ401" s="19"/>
      <c r="AR401" s="19"/>
      <c r="AS401" s="19"/>
      <c r="AT401" s="19"/>
      <c r="AU401" s="19"/>
      <c r="AV401" s="19"/>
      <c r="AW401" s="19"/>
      <c r="AX401" s="19"/>
      <c r="AY401" s="19"/>
      <c r="AZ401" s="19"/>
      <c r="BA401" s="19"/>
      <c r="BB401" s="19"/>
      <c r="BC401" s="19"/>
      <c r="BD401" s="19"/>
      <c r="BE401" s="19"/>
      <c r="BF401" s="19"/>
      <c r="BG401" s="19"/>
      <c r="BH401" s="19"/>
      <c r="BI401" s="19"/>
      <c r="BJ401" s="19"/>
      <c r="BK401" s="19"/>
      <c r="BL401" s="19"/>
      <c r="BM401" s="19"/>
      <c r="BN401" s="19"/>
      <c r="BO401" s="19"/>
      <c r="BP401" s="19"/>
      <c r="BQ401" s="19"/>
      <c r="BR401" s="19"/>
      <c r="BS401" s="19"/>
      <c r="BT401" s="19"/>
      <c r="BU401" s="19"/>
      <c r="BV401" s="19"/>
      <c r="BW401" s="19"/>
      <c r="BX401" s="19"/>
      <c r="BY401" s="19"/>
      <c r="BZ401" s="19"/>
      <c r="CA401" s="19"/>
      <c r="CB401" s="19"/>
      <c r="CC401" s="19"/>
      <c r="CD401" s="19"/>
      <c r="CE401" s="19"/>
    </row>
    <row r="402" spans="1:83">
      <c r="A402" s="17"/>
      <c r="B402" s="17"/>
      <c r="C402" s="17"/>
      <c r="D402" s="19"/>
      <c r="E402" s="19"/>
      <c r="F402" s="19"/>
      <c r="G402" s="19"/>
      <c r="H402" s="19"/>
      <c r="I402" s="19"/>
      <c r="J402" s="19"/>
      <c r="K402" s="19"/>
      <c r="L402" s="19"/>
      <c r="M402" s="19"/>
      <c r="N402" s="19"/>
      <c r="O402" s="19"/>
      <c r="P402" s="19"/>
      <c r="Q402" s="19"/>
      <c r="R402" s="19"/>
      <c r="S402" s="19"/>
      <c r="T402" s="19"/>
      <c r="U402" s="19"/>
      <c r="V402" s="19"/>
      <c r="W402" s="19"/>
      <c r="X402" s="19"/>
      <c r="Y402" s="19"/>
      <c r="Z402" s="19"/>
      <c r="AA402" s="19"/>
      <c r="AB402" s="19"/>
      <c r="AC402" s="19"/>
      <c r="AD402" s="19"/>
      <c r="AE402" s="19"/>
      <c r="AF402" s="19"/>
      <c r="AG402" s="19"/>
      <c r="AH402" s="19"/>
      <c r="AI402" s="19"/>
      <c r="AJ402" s="19"/>
      <c r="AK402" s="19"/>
      <c r="AL402" s="19"/>
      <c r="AM402" s="19"/>
      <c r="AN402" s="19"/>
      <c r="AO402" s="19"/>
      <c r="AP402" s="19"/>
      <c r="AQ402" s="19"/>
      <c r="AR402" s="19"/>
      <c r="AS402" s="19"/>
      <c r="AT402" s="19"/>
      <c r="AU402" s="19"/>
      <c r="AV402" s="19"/>
      <c r="AW402" s="19"/>
      <c r="AX402" s="19"/>
      <c r="AY402" s="19"/>
      <c r="AZ402" s="19"/>
      <c r="BA402" s="19"/>
      <c r="BB402" s="19"/>
      <c r="BC402" s="19"/>
      <c r="BD402" s="19"/>
      <c r="BE402" s="19"/>
      <c r="BF402" s="19"/>
      <c r="BG402" s="19"/>
      <c r="BH402" s="19"/>
      <c r="BI402" s="19"/>
      <c r="BJ402" s="19"/>
      <c r="BK402" s="19"/>
      <c r="BL402" s="19"/>
      <c r="BM402" s="19"/>
      <c r="BN402" s="19"/>
      <c r="BO402" s="19"/>
      <c r="BP402" s="19"/>
      <c r="BQ402" s="19"/>
      <c r="BR402" s="19"/>
      <c r="BS402" s="19"/>
      <c r="BT402" s="19"/>
      <c r="BU402" s="19"/>
      <c r="BV402" s="19"/>
      <c r="BW402" s="19"/>
      <c r="BX402" s="19"/>
      <c r="BY402" s="19"/>
      <c r="BZ402" s="19"/>
      <c r="CA402" s="19"/>
      <c r="CB402" s="19"/>
      <c r="CC402" s="19"/>
      <c r="CD402" s="19"/>
      <c r="CE402" s="19"/>
    </row>
    <row r="403" spans="1:83">
      <c r="A403" s="17"/>
      <c r="B403" s="17"/>
      <c r="C403" s="17"/>
      <c r="D403" s="19"/>
      <c r="E403" s="19"/>
      <c r="F403" s="19"/>
      <c r="G403" s="19"/>
      <c r="H403" s="19"/>
      <c r="I403" s="19"/>
      <c r="J403" s="19"/>
      <c r="K403" s="19"/>
      <c r="L403" s="19"/>
      <c r="M403" s="19"/>
      <c r="N403" s="19"/>
      <c r="O403" s="19"/>
      <c r="P403" s="19"/>
      <c r="Q403" s="19"/>
      <c r="R403" s="19"/>
      <c r="S403" s="19"/>
      <c r="T403" s="19"/>
      <c r="U403" s="19"/>
      <c r="V403" s="19"/>
      <c r="W403" s="19"/>
      <c r="X403" s="19"/>
      <c r="Y403" s="19"/>
      <c r="Z403" s="19"/>
      <c r="AA403" s="19"/>
      <c r="AB403" s="19"/>
      <c r="AC403" s="19"/>
      <c r="AD403" s="19"/>
      <c r="AE403" s="19"/>
      <c r="AF403" s="19"/>
      <c r="AG403" s="19"/>
      <c r="AH403" s="19"/>
      <c r="AI403" s="19"/>
      <c r="AJ403" s="19"/>
      <c r="AK403" s="19"/>
      <c r="AL403" s="19"/>
      <c r="AM403" s="19"/>
      <c r="AN403" s="19"/>
      <c r="AO403" s="19"/>
      <c r="AP403" s="19"/>
      <c r="AQ403" s="19"/>
      <c r="AR403" s="19"/>
      <c r="AS403" s="19"/>
      <c r="AT403" s="19"/>
      <c r="AU403" s="19"/>
      <c r="AV403" s="19"/>
      <c r="AW403" s="19"/>
      <c r="AX403" s="19"/>
      <c r="AY403" s="19"/>
      <c r="AZ403" s="19"/>
      <c r="BA403" s="19"/>
      <c r="BB403" s="19"/>
      <c r="BC403" s="19"/>
      <c r="BD403" s="19"/>
      <c r="BE403" s="19"/>
      <c r="BF403" s="19"/>
      <c r="BG403" s="19"/>
      <c r="BH403" s="19"/>
      <c r="BI403" s="19"/>
      <c r="BJ403" s="19"/>
      <c r="BK403" s="19"/>
      <c r="BL403" s="19"/>
      <c r="BM403" s="19"/>
      <c r="BN403" s="19"/>
      <c r="BO403" s="19"/>
      <c r="BP403" s="19"/>
      <c r="BQ403" s="19"/>
      <c r="BR403" s="19"/>
      <c r="BS403" s="19"/>
      <c r="BT403" s="19"/>
      <c r="BU403" s="19"/>
      <c r="BV403" s="19"/>
      <c r="BW403" s="19"/>
      <c r="BX403" s="19"/>
      <c r="BY403" s="19"/>
      <c r="BZ403" s="19"/>
      <c r="CA403" s="19"/>
      <c r="CB403" s="19"/>
      <c r="CC403" s="19"/>
      <c r="CD403" s="19"/>
      <c r="CE403" s="19"/>
    </row>
    <row r="404" spans="1:83">
      <c r="A404" s="17"/>
      <c r="B404" s="17"/>
      <c r="C404" s="17"/>
      <c r="D404" s="19"/>
      <c r="E404" s="19"/>
      <c r="F404" s="19"/>
      <c r="G404" s="19"/>
      <c r="H404" s="19"/>
      <c r="I404" s="19"/>
      <c r="J404" s="19"/>
      <c r="K404" s="19"/>
      <c r="L404" s="19"/>
      <c r="M404" s="19"/>
      <c r="N404" s="19"/>
      <c r="O404" s="19"/>
      <c r="P404" s="19"/>
      <c r="Q404" s="19"/>
      <c r="R404" s="19"/>
      <c r="S404" s="19"/>
      <c r="T404" s="19"/>
      <c r="U404" s="19"/>
      <c r="V404" s="19"/>
      <c r="W404" s="19"/>
      <c r="X404" s="19"/>
      <c r="Y404" s="19"/>
      <c r="Z404" s="19"/>
      <c r="AA404" s="19"/>
      <c r="AB404" s="19"/>
      <c r="AC404" s="19"/>
      <c r="AD404" s="19"/>
      <c r="AE404" s="19"/>
      <c r="AF404" s="19"/>
      <c r="AG404" s="19"/>
      <c r="AH404" s="19"/>
      <c r="AI404" s="19"/>
      <c r="AJ404" s="19"/>
      <c r="AK404" s="19"/>
      <c r="AL404" s="19"/>
      <c r="AM404" s="19"/>
      <c r="AN404" s="19"/>
      <c r="AO404" s="19"/>
      <c r="AP404" s="19"/>
      <c r="AQ404" s="19"/>
      <c r="AR404" s="19"/>
      <c r="AS404" s="19"/>
      <c r="AT404" s="19"/>
      <c r="AU404" s="19"/>
      <c r="AV404" s="19"/>
      <c r="AW404" s="19"/>
      <c r="AX404" s="19"/>
      <c r="AY404" s="19"/>
      <c r="AZ404" s="19"/>
      <c r="BA404" s="19"/>
      <c r="BB404" s="19"/>
      <c r="BC404" s="19"/>
      <c r="BD404" s="19"/>
      <c r="BE404" s="19"/>
      <c r="BF404" s="19"/>
      <c r="BG404" s="19"/>
      <c r="BH404" s="19"/>
      <c r="BI404" s="19"/>
      <c r="BJ404" s="19"/>
      <c r="BK404" s="19"/>
      <c r="BL404" s="19"/>
      <c r="BM404" s="19"/>
      <c r="BN404" s="19"/>
      <c r="BO404" s="19"/>
      <c r="BP404" s="19"/>
      <c r="BQ404" s="19"/>
      <c r="BR404" s="19"/>
      <c r="BS404" s="19"/>
      <c r="BT404" s="19"/>
      <c r="BU404" s="19"/>
      <c r="BV404" s="19"/>
      <c r="BW404" s="19"/>
      <c r="BX404" s="19"/>
      <c r="BY404" s="19"/>
      <c r="BZ404" s="19"/>
      <c r="CA404" s="19"/>
      <c r="CB404" s="19"/>
      <c r="CC404" s="19"/>
      <c r="CD404" s="19"/>
      <c r="CE404" s="19"/>
    </row>
    <row r="405" spans="1:83">
      <c r="A405" s="17"/>
      <c r="B405" s="17"/>
      <c r="C405" s="17"/>
      <c r="D405" s="19"/>
      <c r="E405" s="19"/>
      <c r="F405" s="19"/>
      <c r="G405" s="19"/>
      <c r="H405" s="19"/>
      <c r="I405" s="19"/>
      <c r="J405" s="19"/>
      <c r="K405" s="19"/>
      <c r="L405" s="19"/>
      <c r="M405" s="19"/>
      <c r="N405" s="19"/>
      <c r="O405" s="19"/>
      <c r="P405" s="19"/>
      <c r="Q405" s="19"/>
      <c r="R405" s="19"/>
      <c r="S405" s="19"/>
      <c r="T405" s="19"/>
      <c r="U405" s="19"/>
      <c r="V405" s="19"/>
      <c r="W405" s="19"/>
      <c r="X405" s="19"/>
      <c r="Y405" s="19"/>
      <c r="Z405" s="19"/>
      <c r="AA405" s="19"/>
      <c r="AB405" s="19"/>
      <c r="AC405" s="19"/>
      <c r="AD405" s="19"/>
      <c r="AE405" s="19"/>
      <c r="AF405" s="19"/>
      <c r="AG405" s="19"/>
      <c r="AH405" s="19"/>
      <c r="AI405" s="19"/>
      <c r="AJ405" s="19"/>
      <c r="AK405" s="19"/>
      <c r="AL405" s="19"/>
      <c r="AM405" s="19"/>
      <c r="AN405" s="19"/>
      <c r="AO405" s="19"/>
      <c r="AP405" s="19"/>
      <c r="AQ405" s="19"/>
      <c r="AR405" s="19"/>
      <c r="AS405" s="19"/>
      <c r="AT405" s="19"/>
      <c r="AU405" s="19"/>
      <c r="AV405" s="19"/>
      <c r="AW405" s="19"/>
      <c r="AX405" s="19"/>
      <c r="AY405" s="19"/>
      <c r="AZ405" s="19"/>
      <c r="BA405" s="19"/>
      <c r="BB405" s="19"/>
      <c r="BC405" s="19"/>
      <c r="BD405" s="19"/>
      <c r="BE405" s="19"/>
      <c r="BF405" s="19"/>
      <c r="BG405" s="19"/>
      <c r="BH405" s="19"/>
      <c r="BI405" s="19"/>
      <c r="BJ405" s="19"/>
      <c r="BK405" s="19"/>
      <c r="BL405" s="19"/>
      <c r="BM405" s="19"/>
      <c r="BN405" s="19"/>
      <c r="BO405" s="19"/>
      <c r="BP405" s="19"/>
      <c r="BQ405" s="19"/>
      <c r="BR405" s="19"/>
      <c r="BS405" s="19"/>
      <c r="BT405" s="19"/>
      <c r="BU405" s="19"/>
      <c r="BV405" s="19"/>
      <c r="BW405" s="19"/>
      <c r="BX405" s="19"/>
      <c r="BY405" s="19"/>
      <c r="BZ405" s="19"/>
      <c r="CA405" s="19"/>
      <c r="CB405" s="19"/>
      <c r="CC405" s="19"/>
      <c r="CD405" s="19"/>
      <c r="CE405" s="19"/>
    </row>
    <row r="406" spans="1:83">
      <c r="A406" s="17"/>
      <c r="B406" s="17"/>
      <c r="C406" s="17"/>
      <c r="D406" s="19"/>
      <c r="E406" s="19"/>
      <c r="F406" s="19"/>
      <c r="G406" s="19"/>
      <c r="H406" s="19"/>
      <c r="I406" s="19"/>
      <c r="J406" s="19"/>
      <c r="K406" s="19"/>
      <c r="L406" s="19"/>
      <c r="M406" s="19"/>
      <c r="N406" s="19"/>
      <c r="O406" s="19"/>
      <c r="P406" s="19"/>
      <c r="Q406" s="19"/>
      <c r="R406" s="19"/>
      <c r="S406" s="19"/>
      <c r="T406" s="19"/>
      <c r="U406" s="19"/>
      <c r="V406" s="19"/>
      <c r="W406" s="19"/>
      <c r="X406" s="19"/>
      <c r="Y406" s="19"/>
      <c r="Z406" s="19"/>
      <c r="AA406" s="19"/>
      <c r="AB406" s="19"/>
      <c r="AC406" s="19"/>
      <c r="AD406" s="19"/>
      <c r="AE406" s="19"/>
      <c r="AF406" s="19"/>
      <c r="AG406" s="19"/>
      <c r="AH406" s="19"/>
      <c r="AI406" s="19"/>
      <c r="AJ406" s="19"/>
      <c r="AK406" s="19"/>
      <c r="AL406" s="19"/>
      <c r="AM406" s="19"/>
      <c r="AN406" s="19"/>
      <c r="AO406" s="19"/>
      <c r="AP406" s="19"/>
      <c r="AQ406" s="19"/>
      <c r="AR406" s="19"/>
      <c r="AS406" s="19"/>
      <c r="AT406" s="19"/>
      <c r="AU406" s="19"/>
      <c r="AV406" s="19"/>
      <c r="AW406" s="19"/>
      <c r="AX406" s="19"/>
      <c r="AY406" s="19"/>
      <c r="AZ406" s="19"/>
      <c r="BA406" s="19"/>
      <c r="BB406" s="19"/>
      <c r="BC406" s="19"/>
      <c r="BD406" s="19"/>
      <c r="BE406" s="19"/>
      <c r="BF406" s="19"/>
      <c r="BG406" s="19"/>
      <c r="BH406" s="19"/>
      <c r="BI406" s="19"/>
      <c r="BJ406" s="19"/>
      <c r="BK406" s="19"/>
      <c r="BL406" s="19"/>
      <c r="BM406" s="19"/>
      <c r="BN406" s="19"/>
      <c r="BO406" s="19"/>
      <c r="BP406" s="19"/>
      <c r="BQ406" s="19"/>
      <c r="BR406" s="19"/>
      <c r="BS406" s="19"/>
      <c r="BT406" s="19"/>
      <c r="BU406" s="19"/>
      <c r="BV406" s="19"/>
      <c r="BW406" s="19"/>
      <c r="BX406" s="19"/>
      <c r="BY406" s="19"/>
      <c r="BZ406" s="19"/>
      <c r="CA406" s="19"/>
      <c r="CB406" s="19"/>
      <c r="CC406" s="19"/>
      <c r="CD406" s="19"/>
      <c r="CE406" s="19"/>
    </row>
    <row r="407" spans="1:83">
      <c r="A407" s="17"/>
      <c r="B407" s="17"/>
      <c r="C407" s="17"/>
      <c r="D407" s="19"/>
      <c r="E407" s="19"/>
      <c r="F407" s="19"/>
      <c r="G407" s="19"/>
      <c r="H407" s="19"/>
      <c r="I407" s="19"/>
      <c r="J407" s="19"/>
      <c r="K407" s="19"/>
      <c r="L407" s="19"/>
      <c r="M407" s="19"/>
      <c r="N407" s="19"/>
      <c r="O407" s="19"/>
      <c r="P407" s="19"/>
      <c r="Q407" s="19"/>
      <c r="R407" s="19"/>
      <c r="S407" s="19"/>
      <c r="T407" s="19"/>
      <c r="U407" s="19"/>
      <c r="V407" s="19"/>
      <c r="W407" s="19"/>
      <c r="X407" s="19"/>
      <c r="Y407" s="19"/>
      <c r="Z407" s="19"/>
      <c r="AA407" s="19"/>
      <c r="AB407" s="19"/>
      <c r="AC407" s="19"/>
      <c r="AD407" s="19"/>
      <c r="AE407" s="19"/>
      <c r="AF407" s="19"/>
      <c r="AG407" s="19"/>
      <c r="AH407" s="19"/>
      <c r="AI407" s="19"/>
      <c r="AJ407" s="19"/>
      <c r="AK407" s="19"/>
      <c r="AL407" s="19"/>
      <c r="AM407" s="19"/>
      <c r="AN407" s="19"/>
      <c r="AO407" s="19"/>
      <c r="AP407" s="19"/>
      <c r="AQ407" s="19"/>
      <c r="AR407" s="19"/>
      <c r="AS407" s="19"/>
      <c r="AT407" s="19"/>
      <c r="AU407" s="19"/>
      <c r="AV407" s="19"/>
      <c r="AW407" s="19"/>
      <c r="AX407" s="19"/>
      <c r="AY407" s="19"/>
      <c r="AZ407" s="19"/>
      <c r="BA407" s="19"/>
      <c r="BB407" s="19"/>
      <c r="BC407" s="19"/>
      <c r="BD407" s="19"/>
      <c r="BE407" s="19"/>
      <c r="BF407" s="19"/>
      <c r="BG407" s="19"/>
      <c r="BH407" s="19"/>
      <c r="BI407" s="19"/>
      <c r="BJ407" s="19"/>
      <c r="BK407" s="19"/>
      <c r="BL407" s="19"/>
      <c r="BM407" s="19"/>
      <c r="BN407" s="19"/>
      <c r="BO407" s="19"/>
      <c r="BP407" s="19"/>
      <c r="BQ407" s="19"/>
      <c r="BR407" s="19"/>
      <c r="BS407" s="19"/>
      <c r="BT407" s="19"/>
      <c r="BU407" s="19"/>
      <c r="BV407" s="19"/>
      <c r="BW407" s="19"/>
      <c r="BX407" s="19"/>
      <c r="BY407" s="19"/>
      <c r="BZ407" s="19"/>
      <c r="CA407" s="19"/>
      <c r="CB407" s="19"/>
      <c r="CC407" s="19"/>
      <c r="CD407" s="19"/>
      <c r="CE407" s="19"/>
    </row>
    <row r="408" spans="1:83">
      <c r="A408" s="17"/>
      <c r="B408" s="17"/>
      <c r="C408" s="17"/>
      <c r="D408" s="19"/>
      <c r="E408" s="19"/>
      <c r="F408" s="19"/>
      <c r="G408" s="19"/>
      <c r="H408" s="19"/>
      <c r="I408" s="19"/>
      <c r="J408" s="19"/>
      <c r="K408" s="19"/>
      <c r="L408" s="19"/>
      <c r="M408" s="19"/>
      <c r="N408" s="19"/>
      <c r="O408" s="19"/>
      <c r="P408" s="19"/>
      <c r="Q408" s="19"/>
      <c r="R408" s="19"/>
      <c r="S408" s="19"/>
      <c r="T408" s="19"/>
      <c r="U408" s="19"/>
      <c r="V408" s="19"/>
      <c r="W408" s="19"/>
      <c r="X408" s="19"/>
      <c r="Y408" s="19"/>
      <c r="Z408" s="19"/>
      <c r="AA408" s="19"/>
      <c r="AB408" s="19"/>
      <c r="AC408" s="19"/>
      <c r="AD408" s="19"/>
      <c r="AE408" s="19"/>
      <c r="AF408" s="19"/>
      <c r="AG408" s="19"/>
      <c r="AH408" s="19"/>
      <c r="AI408" s="19"/>
      <c r="AJ408" s="19"/>
      <c r="AK408" s="19"/>
      <c r="AL408" s="19"/>
      <c r="AM408" s="19"/>
      <c r="AN408" s="19"/>
      <c r="AO408" s="19"/>
      <c r="AP408" s="19"/>
      <c r="AQ408" s="19"/>
      <c r="AR408" s="19"/>
      <c r="AS408" s="19"/>
      <c r="AT408" s="19"/>
      <c r="AU408" s="19"/>
      <c r="AV408" s="19"/>
      <c r="AW408" s="19"/>
      <c r="AX408" s="19"/>
      <c r="AY408" s="19"/>
      <c r="AZ408" s="19"/>
      <c r="BA408" s="19"/>
      <c r="BB408" s="19"/>
      <c r="BC408" s="19"/>
      <c r="BD408" s="19"/>
      <c r="BE408" s="19"/>
      <c r="BF408" s="19"/>
      <c r="BG408" s="19"/>
      <c r="BH408" s="19"/>
      <c r="BI408" s="19"/>
      <c r="BJ408" s="19"/>
      <c r="BK408" s="19"/>
      <c r="BL408" s="19"/>
      <c r="BM408" s="19"/>
      <c r="BN408" s="19"/>
      <c r="BO408" s="19"/>
      <c r="BP408" s="19"/>
      <c r="BQ408" s="19"/>
      <c r="BR408" s="19"/>
      <c r="BS408" s="19"/>
      <c r="BT408" s="19"/>
      <c r="BU408" s="19"/>
      <c r="BV408" s="19"/>
      <c r="BW408" s="19"/>
      <c r="BX408" s="19"/>
      <c r="BY408" s="19"/>
      <c r="BZ408" s="19"/>
      <c r="CA408" s="19"/>
      <c r="CB408" s="19"/>
      <c r="CC408" s="19"/>
      <c r="CD408" s="19"/>
      <c r="CE408" s="19"/>
    </row>
    <row r="409" spans="1:83">
      <c r="A409" s="17"/>
      <c r="B409" s="17"/>
      <c r="C409" s="17"/>
      <c r="D409" s="19"/>
      <c r="E409" s="19"/>
      <c r="F409" s="19"/>
      <c r="G409" s="19"/>
      <c r="H409" s="19"/>
      <c r="I409" s="19"/>
      <c r="J409" s="19"/>
      <c r="K409" s="19"/>
      <c r="L409" s="19"/>
      <c r="M409" s="19"/>
      <c r="N409" s="19"/>
      <c r="O409" s="19"/>
      <c r="P409" s="19"/>
      <c r="Q409" s="19"/>
      <c r="R409" s="19"/>
      <c r="S409" s="19"/>
      <c r="T409" s="19"/>
      <c r="U409" s="19"/>
      <c r="V409" s="19"/>
      <c r="W409" s="19"/>
      <c r="X409" s="19"/>
      <c r="Y409" s="19"/>
      <c r="Z409" s="19"/>
      <c r="AA409" s="19"/>
      <c r="AB409" s="19"/>
      <c r="AC409" s="19"/>
      <c r="AD409" s="19"/>
      <c r="AE409" s="19"/>
      <c r="AF409" s="19"/>
      <c r="AG409" s="19"/>
      <c r="AH409" s="19"/>
      <c r="AI409" s="19"/>
      <c r="AJ409" s="19"/>
      <c r="AK409" s="19"/>
      <c r="AL409" s="19"/>
      <c r="AM409" s="19"/>
      <c r="AN409" s="19"/>
      <c r="AO409" s="19"/>
      <c r="AP409" s="19"/>
      <c r="AQ409" s="19"/>
      <c r="AR409" s="19"/>
      <c r="AS409" s="19"/>
      <c r="AT409" s="19"/>
      <c r="AU409" s="19"/>
      <c r="AV409" s="19"/>
      <c r="AW409" s="19"/>
      <c r="AX409" s="19"/>
      <c r="AY409" s="19"/>
      <c r="AZ409" s="19"/>
      <c r="BA409" s="19"/>
      <c r="BB409" s="19"/>
      <c r="BC409" s="19"/>
      <c r="BD409" s="19"/>
      <c r="BE409" s="19"/>
      <c r="BF409" s="19"/>
      <c r="BG409" s="19"/>
      <c r="BH409" s="19"/>
      <c r="BI409" s="19"/>
      <c r="BJ409" s="19"/>
      <c r="BK409" s="19"/>
      <c r="BL409" s="19"/>
      <c r="BM409" s="19"/>
      <c r="BN409" s="19"/>
      <c r="BO409" s="19"/>
      <c r="BP409" s="19"/>
      <c r="BQ409" s="19"/>
      <c r="BR409" s="19"/>
      <c r="BS409" s="19"/>
      <c r="BT409" s="19"/>
      <c r="BU409" s="19"/>
      <c r="BV409" s="19"/>
      <c r="BW409" s="19"/>
      <c r="BX409" s="19"/>
      <c r="BY409" s="19"/>
      <c r="BZ409" s="19"/>
      <c r="CA409" s="19"/>
      <c r="CB409" s="19"/>
      <c r="CC409" s="19"/>
      <c r="CD409" s="19"/>
      <c r="CE409" s="19"/>
    </row>
    <row r="410" spans="1:83">
      <c r="A410" s="17"/>
      <c r="B410" s="17"/>
      <c r="C410" s="17"/>
      <c r="D410" s="19"/>
      <c r="E410" s="19"/>
      <c r="F410" s="19"/>
      <c r="G410" s="19"/>
      <c r="H410" s="19"/>
      <c r="I410" s="19"/>
      <c r="J410" s="19"/>
      <c r="K410" s="19"/>
      <c r="L410" s="19"/>
      <c r="M410" s="19"/>
      <c r="N410" s="19"/>
      <c r="O410" s="19"/>
      <c r="P410" s="19"/>
      <c r="Q410" s="19"/>
      <c r="R410" s="19"/>
      <c r="S410" s="19"/>
      <c r="T410" s="19"/>
      <c r="U410" s="19"/>
      <c r="V410" s="19"/>
      <c r="W410" s="19"/>
      <c r="X410" s="19"/>
      <c r="Y410" s="19"/>
      <c r="Z410" s="19"/>
      <c r="AA410" s="19"/>
      <c r="AB410" s="19"/>
      <c r="AC410" s="19"/>
      <c r="AD410" s="19"/>
      <c r="AE410" s="19"/>
      <c r="AF410" s="19"/>
      <c r="AG410" s="19"/>
      <c r="AH410" s="19"/>
      <c r="AI410" s="19"/>
      <c r="AJ410" s="19"/>
      <c r="AK410" s="19"/>
      <c r="AL410" s="19"/>
      <c r="AM410" s="19"/>
      <c r="AN410" s="19"/>
      <c r="AO410" s="19"/>
      <c r="AP410" s="19"/>
      <c r="AQ410" s="19"/>
      <c r="AR410" s="19"/>
      <c r="AS410" s="19"/>
      <c r="AT410" s="19"/>
      <c r="AU410" s="19"/>
      <c r="AV410" s="19"/>
      <c r="AW410" s="19"/>
      <c r="AX410" s="19"/>
      <c r="AY410" s="19"/>
      <c r="AZ410" s="19"/>
      <c r="BA410" s="19"/>
      <c r="BB410" s="19"/>
      <c r="BC410" s="19"/>
      <c r="BD410" s="19"/>
      <c r="BE410" s="19"/>
      <c r="BF410" s="19"/>
      <c r="BG410" s="19"/>
      <c r="BH410" s="19"/>
      <c r="BI410" s="19"/>
      <c r="BJ410" s="19"/>
      <c r="BK410" s="19"/>
      <c r="BL410" s="19"/>
      <c r="BM410" s="19"/>
      <c r="BN410" s="19"/>
      <c r="BO410" s="19"/>
      <c r="BP410" s="19"/>
      <c r="BQ410" s="19"/>
      <c r="BR410" s="19"/>
      <c r="BS410" s="19"/>
      <c r="BT410" s="19"/>
      <c r="BU410" s="19"/>
      <c r="BV410" s="19"/>
      <c r="BW410" s="19"/>
      <c r="BX410" s="19"/>
      <c r="BY410" s="19"/>
      <c r="BZ410" s="19"/>
      <c r="CA410" s="19"/>
      <c r="CB410" s="19"/>
      <c r="CC410" s="19"/>
      <c r="CD410" s="19"/>
      <c r="CE410" s="19"/>
    </row>
    <row r="411" spans="1:83">
      <c r="A411" s="17"/>
      <c r="B411" s="17"/>
      <c r="C411" s="17"/>
      <c r="D411" s="19"/>
      <c r="E411" s="19"/>
      <c r="F411" s="19"/>
      <c r="G411" s="19"/>
      <c r="H411" s="19"/>
      <c r="I411" s="19"/>
      <c r="J411" s="19"/>
      <c r="K411" s="19"/>
      <c r="L411" s="19"/>
      <c r="M411" s="19"/>
      <c r="N411" s="19"/>
      <c r="O411" s="19"/>
      <c r="P411" s="19"/>
      <c r="Q411" s="19"/>
      <c r="R411" s="19"/>
      <c r="S411" s="19"/>
      <c r="T411" s="19"/>
      <c r="U411" s="19"/>
      <c r="V411" s="19"/>
      <c r="W411" s="19"/>
      <c r="X411" s="19"/>
      <c r="Y411" s="19"/>
      <c r="Z411" s="19"/>
      <c r="AA411" s="19"/>
      <c r="AB411" s="19"/>
      <c r="AC411" s="19"/>
      <c r="AD411" s="19"/>
      <c r="AE411" s="19"/>
      <c r="AF411" s="19"/>
      <c r="AG411" s="19"/>
      <c r="AH411" s="19"/>
      <c r="AI411" s="19"/>
      <c r="AJ411" s="19"/>
      <c r="AK411" s="19"/>
      <c r="AL411" s="19"/>
      <c r="AM411" s="19"/>
      <c r="AN411" s="19"/>
      <c r="AO411" s="19"/>
      <c r="AP411" s="19"/>
      <c r="AQ411" s="19"/>
      <c r="AR411" s="19"/>
      <c r="AS411" s="19"/>
      <c r="AT411" s="19"/>
      <c r="AU411" s="19"/>
      <c r="AV411" s="19"/>
      <c r="AW411" s="19"/>
      <c r="AX411" s="19"/>
      <c r="AY411" s="19"/>
      <c r="AZ411" s="19"/>
      <c r="BA411" s="19"/>
      <c r="BB411" s="19"/>
      <c r="BC411" s="19"/>
      <c r="BD411" s="19"/>
      <c r="BE411" s="19"/>
      <c r="BF411" s="19"/>
      <c r="BG411" s="19"/>
      <c r="BH411" s="19"/>
      <c r="BI411" s="19"/>
      <c r="BJ411" s="19"/>
      <c r="BK411" s="19"/>
      <c r="BL411" s="19"/>
      <c r="BM411" s="19"/>
      <c r="BN411" s="19"/>
      <c r="BO411" s="19"/>
      <c r="BP411" s="19"/>
      <c r="BQ411" s="19"/>
      <c r="BR411" s="19"/>
      <c r="BS411" s="19"/>
      <c r="BT411" s="19"/>
      <c r="BU411" s="19"/>
      <c r="BV411" s="19"/>
      <c r="BW411" s="19"/>
      <c r="BX411" s="19"/>
      <c r="BY411" s="19"/>
      <c r="BZ411" s="19"/>
      <c r="CA411" s="19"/>
      <c r="CB411" s="19"/>
      <c r="CC411" s="19"/>
      <c r="CD411" s="19"/>
      <c r="CE411" s="19"/>
    </row>
    <row r="412" spans="1:83">
      <c r="A412" s="17"/>
      <c r="B412" s="17"/>
      <c r="C412" s="17"/>
      <c r="D412" s="19"/>
      <c r="E412" s="19"/>
      <c r="F412" s="19"/>
      <c r="G412" s="19"/>
      <c r="H412" s="19"/>
      <c r="I412" s="19"/>
      <c r="J412" s="19"/>
      <c r="K412" s="19"/>
      <c r="L412" s="19"/>
      <c r="M412" s="19"/>
      <c r="N412" s="19"/>
      <c r="O412" s="19"/>
      <c r="P412" s="19"/>
      <c r="Q412" s="19"/>
      <c r="R412" s="19"/>
      <c r="S412" s="19"/>
      <c r="T412" s="19"/>
      <c r="U412" s="19"/>
      <c r="V412" s="19"/>
      <c r="W412" s="19"/>
      <c r="X412" s="19"/>
      <c r="Y412" s="19"/>
      <c r="Z412" s="19"/>
      <c r="AA412" s="19"/>
      <c r="AB412" s="19"/>
      <c r="AC412" s="19"/>
      <c r="AD412" s="19"/>
      <c r="AE412" s="19"/>
      <c r="AF412" s="19"/>
      <c r="AG412" s="19"/>
      <c r="AH412" s="19"/>
      <c r="AI412" s="19"/>
      <c r="AJ412" s="19"/>
      <c r="AK412" s="19"/>
      <c r="AL412" s="19"/>
      <c r="AM412" s="19"/>
      <c r="AN412" s="19"/>
      <c r="AO412" s="19"/>
      <c r="AP412" s="19"/>
      <c r="AQ412" s="19"/>
      <c r="AR412" s="19"/>
      <c r="AS412" s="19"/>
      <c r="AT412" s="19"/>
      <c r="AU412" s="19"/>
      <c r="AV412" s="19"/>
      <c r="AW412" s="19"/>
      <c r="AX412" s="19"/>
      <c r="AY412" s="19"/>
      <c r="AZ412" s="19"/>
      <c r="BA412" s="19"/>
      <c r="BB412" s="19"/>
      <c r="BC412" s="19"/>
      <c r="BD412" s="19"/>
      <c r="BE412" s="19"/>
      <c r="BF412" s="19"/>
      <c r="BG412" s="19"/>
      <c r="BH412" s="19"/>
      <c r="BI412" s="19"/>
      <c r="BJ412" s="19"/>
      <c r="BK412" s="19"/>
      <c r="BL412" s="19"/>
      <c r="BM412" s="19"/>
      <c r="BN412" s="19"/>
      <c r="BO412" s="19"/>
      <c r="BP412" s="19"/>
      <c r="BQ412" s="19"/>
      <c r="BR412" s="19"/>
      <c r="BS412" s="19"/>
      <c r="BT412" s="19"/>
      <c r="BU412" s="19"/>
      <c r="BV412" s="19"/>
      <c r="BW412" s="19"/>
      <c r="BX412" s="19"/>
      <c r="BY412" s="19"/>
      <c r="BZ412" s="19"/>
      <c r="CA412" s="19"/>
      <c r="CB412" s="19"/>
      <c r="CC412" s="19"/>
      <c r="CD412" s="19"/>
      <c r="CE412" s="19"/>
    </row>
    <row r="413" spans="1:83">
      <c r="A413" s="17"/>
      <c r="B413" s="17"/>
      <c r="C413" s="17"/>
      <c r="D413" s="19"/>
      <c r="E413" s="19"/>
      <c r="F413" s="19"/>
      <c r="G413" s="19"/>
      <c r="H413" s="19"/>
      <c r="I413" s="19"/>
      <c r="J413" s="19"/>
      <c r="K413" s="19"/>
      <c r="L413" s="19"/>
      <c r="M413" s="19"/>
      <c r="N413" s="19"/>
      <c r="O413" s="19"/>
      <c r="P413" s="19"/>
      <c r="Q413" s="19"/>
      <c r="R413" s="19"/>
      <c r="S413" s="19"/>
      <c r="T413" s="19"/>
      <c r="U413" s="19"/>
      <c r="V413" s="19"/>
      <c r="W413" s="19"/>
      <c r="X413" s="19"/>
      <c r="Y413" s="19"/>
      <c r="Z413" s="19"/>
      <c r="AA413" s="19"/>
      <c r="AB413" s="19"/>
      <c r="AC413" s="19"/>
      <c r="AD413" s="19"/>
      <c r="AE413" s="19"/>
      <c r="AF413" s="19"/>
      <c r="AG413" s="19"/>
      <c r="AH413" s="19"/>
      <c r="AI413" s="19"/>
      <c r="AJ413" s="19"/>
      <c r="AK413" s="19"/>
      <c r="AL413" s="19"/>
      <c r="AM413" s="19"/>
      <c r="AN413" s="19"/>
      <c r="AO413" s="19"/>
      <c r="AP413" s="19"/>
      <c r="AQ413" s="19"/>
      <c r="AR413" s="19"/>
      <c r="AS413" s="19"/>
      <c r="AT413" s="19"/>
      <c r="AU413" s="19"/>
      <c r="AV413" s="19"/>
      <c r="AW413" s="19"/>
      <c r="AX413" s="19"/>
      <c r="AY413" s="19"/>
      <c r="AZ413" s="19"/>
      <c r="BA413" s="19"/>
      <c r="BB413" s="19"/>
      <c r="BC413" s="19"/>
      <c r="BD413" s="19"/>
      <c r="BE413" s="19"/>
      <c r="BF413" s="19"/>
      <c r="BG413" s="19"/>
      <c r="BH413" s="19"/>
      <c r="BI413" s="19"/>
      <c r="BJ413" s="19"/>
      <c r="BK413" s="19"/>
      <c r="BL413" s="19"/>
      <c r="BM413" s="19"/>
      <c r="BN413" s="19"/>
      <c r="BO413" s="19"/>
      <c r="BP413" s="19"/>
      <c r="BQ413" s="19"/>
      <c r="BR413" s="19"/>
      <c r="BS413" s="19"/>
      <c r="BT413" s="19"/>
      <c r="BU413" s="19"/>
      <c r="BV413" s="19"/>
      <c r="BW413" s="19"/>
      <c r="BX413" s="19"/>
      <c r="BY413" s="19"/>
      <c r="BZ413" s="19"/>
      <c r="CA413" s="19"/>
      <c r="CB413" s="19"/>
      <c r="CC413" s="19"/>
      <c r="CD413" s="19"/>
      <c r="CE413" s="19"/>
    </row>
    <row r="414" spans="1:83">
      <c r="A414" s="17"/>
      <c r="B414" s="17"/>
      <c r="C414" s="17"/>
      <c r="D414" s="19"/>
      <c r="E414" s="19"/>
      <c r="F414" s="19"/>
      <c r="G414" s="19"/>
      <c r="H414" s="19"/>
      <c r="I414" s="19"/>
      <c r="J414" s="19"/>
      <c r="K414" s="19"/>
      <c r="L414" s="19"/>
      <c r="M414" s="19"/>
      <c r="N414" s="19"/>
      <c r="O414" s="19"/>
      <c r="P414" s="19"/>
      <c r="Q414" s="19"/>
      <c r="R414" s="19"/>
      <c r="S414" s="19"/>
      <c r="T414" s="19"/>
      <c r="U414" s="19"/>
      <c r="V414" s="19"/>
      <c r="W414" s="19"/>
      <c r="X414" s="19"/>
      <c r="Y414" s="19"/>
      <c r="Z414" s="19"/>
      <c r="AA414" s="19"/>
      <c r="AB414" s="19"/>
      <c r="AC414" s="19"/>
      <c r="AD414" s="19"/>
      <c r="AE414" s="19"/>
      <c r="AF414" s="19"/>
      <c r="AG414" s="19"/>
      <c r="AH414" s="19"/>
      <c r="AI414" s="19"/>
      <c r="AJ414" s="19"/>
      <c r="AK414" s="19"/>
      <c r="AL414" s="19"/>
      <c r="AM414" s="19"/>
      <c r="AN414" s="19"/>
      <c r="AO414" s="19"/>
      <c r="AP414" s="19"/>
      <c r="AQ414" s="19"/>
      <c r="AR414" s="19"/>
      <c r="AS414" s="19"/>
      <c r="AT414" s="19"/>
      <c r="AU414" s="19"/>
      <c r="AV414" s="19"/>
      <c r="AW414" s="19"/>
      <c r="AX414" s="19"/>
      <c r="AY414" s="19"/>
      <c r="AZ414" s="19"/>
      <c r="BA414" s="19"/>
      <c r="BB414" s="19"/>
      <c r="BC414" s="19"/>
      <c r="BD414" s="19"/>
      <c r="BE414" s="19"/>
      <c r="BF414" s="19"/>
      <c r="BG414" s="19"/>
      <c r="BH414" s="19"/>
      <c r="BI414" s="19"/>
      <c r="BJ414" s="19"/>
      <c r="BK414" s="19"/>
      <c r="BL414" s="19"/>
      <c r="BM414" s="19"/>
      <c r="BN414" s="19"/>
      <c r="BO414" s="19"/>
      <c r="BP414" s="19"/>
      <c r="BQ414" s="19"/>
      <c r="BR414" s="19"/>
      <c r="BS414" s="19"/>
      <c r="BT414" s="19"/>
      <c r="BU414" s="19"/>
      <c r="BV414" s="19"/>
      <c r="BW414" s="19"/>
      <c r="BX414" s="19"/>
      <c r="BY414" s="19"/>
      <c r="BZ414" s="19"/>
      <c r="CA414" s="19"/>
      <c r="CB414" s="19"/>
      <c r="CC414" s="19"/>
      <c r="CD414" s="19"/>
      <c r="CE414" s="19"/>
    </row>
    <row r="415" spans="1:83">
      <c r="A415" s="17"/>
      <c r="B415" s="17"/>
      <c r="C415" s="17"/>
      <c r="D415" s="19"/>
      <c r="E415" s="19"/>
      <c r="F415" s="19"/>
      <c r="G415" s="19"/>
      <c r="H415" s="19"/>
      <c r="I415" s="19"/>
      <c r="J415" s="19"/>
      <c r="K415" s="19"/>
      <c r="L415" s="19"/>
      <c r="M415" s="19"/>
      <c r="N415" s="19"/>
      <c r="O415" s="19"/>
      <c r="P415" s="19"/>
      <c r="Q415" s="19"/>
      <c r="R415" s="19"/>
      <c r="S415" s="19"/>
      <c r="T415" s="19"/>
      <c r="U415" s="19"/>
      <c r="V415" s="19"/>
      <c r="W415" s="19"/>
      <c r="X415" s="19"/>
      <c r="Y415" s="19"/>
      <c r="Z415" s="19"/>
      <c r="AA415" s="19"/>
      <c r="AB415" s="19"/>
      <c r="AC415" s="19"/>
      <c r="AD415" s="19"/>
      <c r="AE415" s="19"/>
      <c r="AF415" s="19"/>
      <c r="AG415" s="19"/>
      <c r="AH415" s="19"/>
      <c r="AI415" s="19"/>
      <c r="AJ415" s="19"/>
      <c r="AK415" s="19"/>
      <c r="AL415" s="19"/>
      <c r="AM415" s="19"/>
      <c r="AN415" s="19"/>
      <c r="AO415" s="19"/>
      <c r="AP415" s="19"/>
      <c r="AQ415" s="19"/>
      <c r="AR415" s="19"/>
      <c r="AS415" s="19"/>
      <c r="AT415" s="19"/>
      <c r="AU415" s="19"/>
      <c r="AV415" s="19"/>
      <c r="AW415" s="19"/>
      <c r="AX415" s="19"/>
      <c r="AY415" s="19"/>
      <c r="AZ415" s="19"/>
      <c r="BA415" s="19"/>
      <c r="BB415" s="19"/>
      <c r="BC415" s="19"/>
      <c r="BD415" s="19"/>
      <c r="BE415" s="19"/>
      <c r="BF415" s="19"/>
      <c r="BG415" s="19"/>
      <c r="BH415" s="19"/>
      <c r="BI415" s="19"/>
      <c r="BJ415" s="19"/>
      <c r="BK415" s="19"/>
      <c r="BL415" s="19"/>
      <c r="BM415" s="19"/>
      <c r="BN415" s="19"/>
      <c r="BO415" s="19"/>
      <c r="BP415" s="19"/>
      <c r="BQ415" s="19"/>
      <c r="BR415" s="19"/>
      <c r="BS415" s="19"/>
      <c r="BT415" s="19"/>
      <c r="BU415" s="19"/>
      <c r="BV415" s="19"/>
      <c r="BW415" s="19"/>
      <c r="BX415" s="19"/>
      <c r="BY415" s="19"/>
      <c r="BZ415" s="19"/>
      <c r="CA415" s="19"/>
      <c r="CB415" s="19"/>
      <c r="CC415" s="19"/>
      <c r="CD415" s="19"/>
      <c r="CE415" s="19"/>
    </row>
    <row r="416" spans="1:83">
      <c r="A416" s="17"/>
      <c r="B416" s="17"/>
      <c r="C416" s="17"/>
      <c r="D416" s="19"/>
      <c r="E416" s="19"/>
      <c r="F416" s="19"/>
      <c r="G416" s="19"/>
      <c r="H416" s="19"/>
      <c r="I416" s="19"/>
      <c r="J416" s="19"/>
      <c r="K416" s="19"/>
      <c r="L416" s="19"/>
      <c r="M416" s="19"/>
      <c r="N416" s="19"/>
      <c r="O416" s="19"/>
      <c r="P416" s="19"/>
      <c r="Q416" s="19"/>
      <c r="R416" s="19"/>
      <c r="S416" s="19"/>
      <c r="T416" s="19"/>
      <c r="U416" s="19"/>
      <c r="V416" s="19"/>
      <c r="W416" s="19"/>
      <c r="X416" s="19"/>
      <c r="Y416" s="19"/>
      <c r="Z416" s="19"/>
      <c r="AA416" s="19"/>
      <c r="AB416" s="19"/>
      <c r="AC416" s="19"/>
      <c r="AD416" s="19"/>
      <c r="AE416" s="19"/>
      <c r="AF416" s="19"/>
      <c r="AG416" s="19"/>
      <c r="AH416" s="19"/>
      <c r="AI416" s="19"/>
      <c r="AJ416" s="19"/>
      <c r="AK416" s="19"/>
      <c r="AL416" s="19"/>
      <c r="AM416" s="19"/>
      <c r="AN416" s="19"/>
      <c r="AO416" s="19"/>
      <c r="AP416" s="19"/>
      <c r="AQ416" s="19"/>
      <c r="AR416" s="19"/>
      <c r="AS416" s="19"/>
      <c r="AT416" s="19"/>
      <c r="AU416" s="19"/>
      <c r="AV416" s="19"/>
      <c r="AW416" s="19"/>
      <c r="AX416" s="19"/>
      <c r="AY416" s="19"/>
      <c r="AZ416" s="19"/>
      <c r="BA416" s="19"/>
      <c r="BB416" s="19"/>
      <c r="BC416" s="19"/>
      <c r="BD416" s="19"/>
      <c r="BE416" s="19"/>
      <c r="BF416" s="19"/>
      <c r="BG416" s="19"/>
      <c r="BH416" s="19"/>
      <c r="BI416" s="19"/>
      <c r="BJ416" s="19"/>
      <c r="BK416" s="19"/>
      <c r="BL416" s="19"/>
      <c r="BM416" s="19"/>
      <c r="BN416" s="19"/>
      <c r="BO416" s="19"/>
      <c r="BP416" s="19"/>
      <c r="BQ416" s="19"/>
      <c r="BR416" s="19"/>
      <c r="BS416" s="19"/>
      <c r="BT416" s="19"/>
      <c r="BU416" s="19"/>
      <c r="BV416" s="19"/>
      <c r="BW416" s="19"/>
      <c r="BX416" s="19"/>
      <c r="BY416" s="19"/>
      <c r="BZ416" s="19"/>
      <c r="CA416" s="19"/>
      <c r="CB416" s="19"/>
      <c r="CC416" s="19"/>
      <c r="CD416" s="19"/>
      <c r="CE416" s="19"/>
    </row>
    <row r="417" spans="1:83">
      <c r="A417" s="17"/>
      <c r="B417" s="17"/>
      <c r="C417" s="17"/>
      <c r="D417" s="19"/>
      <c r="E417" s="19"/>
      <c r="F417" s="19"/>
      <c r="G417" s="19"/>
      <c r="H417" s="19"/>
      <c r="I417" s="19"/>
      <c r="J417" s="19"/>
      <c r="K417" s="19"/>
      <c r="L417" s="19"/>
      <c r="M417" s="19"/>
      <c r="N417" s="19"/>
      <c r="O417" s="19"/>
      <c r="P417" s="19"/>
      <c r="Q417" s="19"/>
      <c r="R417" s="19"/>
      <c r="S417" s="19"/>
      <c r="T417" s="19"/>
      <c r="U417" s="19"/>
      <c r="V417" s="19"/>
      <c r="W417" s="19"/>
      <c r="X417" s="19"/>
      <c r="Y417" s="19"/>
      <c r="Z417" s="19"/>
      <c r="AA417" s="19"/>
      <c r="AB417" s="19"/>
      <c r="AC417" s="19"/>
      <c r="AD417" s="19"/>
      <c r="AE417" s="19"/>
      <c r="AF417" s="19"/>
      <c r="AG417" s="19"/>
      <c r="AH417" s="19"/>
      <c r="AI417" s="19"/>
      <c r="AJ417" s="19"/>
      <c r="AK417" s="19"/>
      <c r="AL417" s="19"/>
      <c r="AM417" s="19"/>
      <c r="AN417" s="19"/>
      <c r="AO417" s="19"/>
      <c r="AP417" s="19"/>
      <c r="AQ417" s="19"/>
      <c r="AR417" s="19"/>
      <c r="AS417" s="19"/>
      <c r="AT417" s="19"/>
      <c r="AU417" s="19"/>
      <c r="AV417" s="19"/>
      <c r="AW417" s="19"/>
      <c r="AX417" s="19"/>
      <c r="AY417" s="19"/>
      <c r="AZ417" s="19"/>
      <c r="BA417" s="19"/>
      <c r="BB417" s="19"/>
      <c r="BC417" s="19"/>
      <c r="BD417" s="19"/>
      <c r="BE417" s="19"/>
      <c r="BF417" s="19"/>
      <c r="BG417" s="19"/>
      <c r="BH417" s="19"/>
      <c r="BI417" s="19"/>
      <c r="BJ417" s="19"/>
      <c r="BK417" s="19"/>
      <c r="BL417" s="19"/>
      <c r="BM417" s="19"/>
      <c r="BN417" s="19"/>
      <c r="BO417" s="19"/>
      <c r="BP417" s="19"/>
      <c r="BQ417" s="19"/>
      <c r="BR417" s="19"/>
      <c r="BS417" s="19"/>
      <c r="BT417" s="19"/>
      <c r="BU417" s="19"/>
      <c r="BV417" s="19"/>
      <c r="BW417" s="19"/>
      <c r="BX417" s="19"/>
      <c r="BY417" s="19"/>
      <c r="BZ417" s="19"/>
      <c r="CA417" s="19"/>
      <c r="CB417" s="19"/>
      <c r="CC417" s="19"/>
      <c r="CD417" s="19"/>
      <c r="CE417" s="19"/>
    </row>
    <row r="418" spans="1:83">
      <c r="A418" s="17"/>
      <c r="B418" s="17"/>
      <c r="C418" s="17"/>
      <c r="D418" s="19"/>
      <c r="E418" s="19"/>
      <c r="F418" s="19"/>
      <c r="G418" s="19"/>
      <c r="H418" s="19"/>
      <c r="I418" s="19"/>
      <c r="J418" s="19"/>
      <c r="K418" s="19"/>
      <c r="L418" s="19"/>
      <c r="M418" s="19"/>
      <c r="N418" s="19"/>
      <c r="O418" s="19"/>
      <c r="P418" s="19"/>
      <c r="Q418" s="19"/>
      <c r="R418" s="19"/>
      <c r="S418" s="19"/>
      <c r="T418" s="19"/>
      <c r="U418" s="19"/>
      <c r="V418" s="19"/>
      <c r="W418" s="19"/>
      <c r="X418" s="19"/>
      <c r="Y418" s="19"/>
      <c r="Z418" s="19"/>
      <c r="AA418" s="19"/>
      <c r="AB418" s="19"/>
      <c r="AC418" s="19"/>
      <c r="AD418" s="19"/>
      <c r="AE418" s="19"/>
      <c r="AF418" s="19"/>
      <c r="AG418" s="19"/>
      <c r="AH418" s="19"/>
      <c r="AI418" s="19"/>
      <c r="AJ418" s="19"/>
      <c r="AK418" s="19"/>
      <c r="AL418" s="19"/>
      <c r="AM418" s="19"/>
      <c r="AN418" s="19"/>
      <c r="AO418" s="19"/>
      <c r="AP418" s="19"/>
      <c r="AQ418" s="19"/>
      <c r="AR418" s="19"/>
      <c r="AS418" s="19"/>
      <c r="AT418" s="19"/>
      <c r="AU418" s="19"/>
      <c r="AV418" s="19"/>
      <c r="AW418" s="19"/>
      <c r="AX418" s="19"/>
      <c r="AY418" s="19"/>
      <c r="AZ418" s="19"/>
      <c r="BA418" s="19"/>
      <c r="BB418" s="19"/>
      <c r="BC418" s="19"/>
      <c r="BD418" s="19"/>
      <c r="BE418" s="19"/>
      <c r="BF418" s="19"/>
      <c r="BG418" s="19"/>
      <c r="BH418" s="19"/>
      <c r="BI418" s="19"/>
      <c r="BJ418" s="19"/>
      <c r="BK418" s="19"/>
      <c r="BL418" s="19"/>
      <c r="BM418" s="19"/>
      <c r="BN418" s="19"/>
      <c r="BO418" s="19"/>
      <c r="BP418" s="19"/>
      <c r="BQ418" s="19"/>
      <c r="BR418" s="19"/>
      <c r="BS418" s="19"/>
      <c r="BT418" s="19"/>
      <c r="BU418" s="19"/>
      <c r="BV418" s="19"/>
      <c r="BW418" s="19"/>
      <c r="BX418" s="19"/>
      <c r="BY418" s="19"/>
      <c r="BZ418" s="19"/>
      <c r="CA418" s="19"/>
      <c r="CB418" s="19"/>
      <c r="CC418" s="19"/>
      <c r="CD418" s="19"/>
      <c r="CE418" s="19"/>
    </row>
    <row r="419" spans="1:83">
      <c r="A419" s="17"/>
      <c r="B419" s="17"/>
      <c r="C419" s="17"/>
      <c r="D419" s="19"/>
      <c r="E419" s="19"/>
      <c r="F419" s="19"/>
      <c r="G419" s="19"/>
      <c r="H419" s="19"/>
      <c r="I419" s="19"/>
      <c r="J419" s="19"/>
      <c r="K419" s="19"/>
      <c r="L419" s="19"/>
      <c r="M419" s="19"/>
      <c r="N419" s="19"/>
      <c r="O419" s="19"/>
      <c r="P419" s="19"/>
      <c r="Q419" s="19"/>
      <c r="R419" s="19"/>
      <c r="S419" s="19"/>
      <c r="T419" s="19"/>
      <c r="U419" s="19"/>
      <c r="V419" s="19"/>
      <c r="W419" s="19"/>
      <c r="X419" s="19"/>
      <c r="Y419" s="19"/>
      <c r="Z419" s="19"/>
      <c r="AA419" s="19"/>
      <c r="AB419" s="19"/>
      <c r="AC419" s="19"/>
      <c r="AD419" s="19"/>
      <c r="AE419" s="19"/>
      <c r="AF419" s="19"/>
      <c r="AG419" s="19"/>
      <c r="AH419" s="19"/>
      <c r="AI419" s="19"/>
      <c r="AJ419" s="19"/>
      <c r="AK419" s="19"/>
      <c r="AL419" s="19"/>
      <c r="AM419" s="19"/>
      <c r="AN419" s="19"/>
      <c r="AO419" s="19"/>
      <c r="AP419" s="19"/>
      <c r="AQ419" s="19"/>
      <c r="AR419" s="19"/>
      <c r="AS419" s="19"/>
      <c r="AT419" s="19"/>
      <c r="AU419" s="19"/>
      <c r="AV419" s="19"/>
      <c r="AW419" s="19"/>
      <c r="AX419" s="19"/>
      <c r="AY419" s="19"/>
      <c r="AZ419" s="19"/>
      <c r="BA419" s="19"/>
      <c r="BB419" s="19"/>
      <c r="BC419" s="19"/>
      <c r="BD419" s="19"/>
      <c r="BE419" s="19"/>
      <c r="BF419" s="19"/>
      <c r="BG419" s="19"/>
      <c r="BH419" s="19"/>
      <c r="BI419" s="19"/>
      <c r="BJ419" s="19"/>
      <c r="BK419" s="19"/>
      <c r="BL419" s="19"/>
      <c r="BM419" s="19"/>
      <c r="BN419" s="19"/>
      <c r="BO419" s="19"/>
      <c r="BP419" s="19"/>
      <c r="BQ419" s="19"/>
      <c r="BR419" s="19"/>
      <c r="BS419" s="19"/>
      <c r="BT419" s="19"/>
      <c r="BU419" s="19"/>
      <c r="BV419" s="19"/>
      <c r="BW419" s="19"/>
      <c r="BX419" s="19"/>
      <c r="BY419" s="19"/>
      <c r="BZ419" s="19"/>
      <c r="CA419" s="19"/>
      <c r="CB419" s="19"/>
      <c r="CC419" s="19"/>
      <c r="CD419" s="19"/>
      <c r="CE419" s="19"/>
    </row>
    <row r="420" spans="1:83">
      <c r="A420" s="17"/>
      <c r="B420" s="17"/>
      <c r="C420" s="17"/>
      <c r="D420" s="19"/>
      <c r="E420" s="19"/>
      <c r="F420" s="19"/>
      <c r="G420" s="19"/>
      <c r="H420" s="19"/>
      <c r="I420" s="19"/>
      <c r="J420" s="19"/>
      <c r="K420" s="19"/>
      <c r="L420" s="19"/>
      <c r="M420" s="19"/>
      <c r="N420" s="19"/>
      <c r="O420" s="19"/>
      <c r="P420" s="19"/>
      <c r="Q420" s="19"/>
      <c r="R420" s="19"/>
      <c r="S420" s="19"/>
      <c r="T420" s="19"/>
      <c r="U420" s="19"/>
      <c r="V420" s="19"/>
      <c r="W420" s="19"/>
      <c r="X420" s="19"/>
      <c r="Y420" s="19"/>
      <c r="Z420" s="19"/>
      <c r="AA420" s="19"/>
      <c r="AB420" s="19"/>
      <c r="AC420" s="19"/>
      <c r="AD420" s="19"/>
      <c r="AE420" s="19"/>
      <c r="AF420" s="19"/>
      <c r="AG420" s="19"/>
      <c r="AH420" s="19"/>
      <c r="AI420" s="19"/>
      <c r="AJ420" s="19"/>
      <c r="AK420" s="19"/>
      <c r="AL420" s="19"/>
      <c r="AM420" s="19"/>
      <c r="AN420" s="19"/>
      <c r="AO420" s="19"/>
      <c r="AP420" s="19"/>
      <c r="AQ420" s="19"/>
      <c r="AR420" s="19"/>
      <c r="AS420" s="19"/>
      <c r="AT420" s="19"/>
      <c r="AU420" s="19"/>
      <c r="AV420" s="19"/>
      <c r="AW420" s="19"/>
      <c r="AX420" s="19"/>
      <c r="AY420" s="19"/>
      <c r="AZ420" s="19"/>
      <c r="BA420" s="19"/>
      <c r="BB420" s="19"/>
      <c r="BC420" s="19"/>
      <c r="BD420" s="19"/>
      <c r="BE420" s="19"/>
      <c r="BF420" s="19"/>
      <c r="BG420" s="19"/>
      <c r="BH420" s="19"/>
      <c r="BI420" s="19"/>
      <c r="BJ420" s="19"/>
      <c r="BK420" s="19"/>
      <c r="BL420" s="19"/>
      <c r="BM420" s="19"/>
      <c r="BN420" s="19"/>
      <c r="BO420" s="19"/>
      <c r="BP420" s="19"/>
      <c r="BQ420" s="19"/>
      <c r="BR420" s="19"/>
      <c r="BS420" s="19"/>
      <c r="BT420" s="19"/>
      <c r="BU420" s="19"/>
      <c r="BV420" s="19"/>
      <c r="BW420" s="19"/>
      <c r="BX420" s="19"/>
      <c r="BY420" s="19"/>
      <c r="BZ420" s="19"/>
      <c r="CA420" s="19"/>
      <c r="CB420" s="19"/>
      <c r="CC420" s="19"/>
      <c r="CD420" s="19"/>
      <c r="CE420" s="19"/>
    </row>
    <row r="421" spans="1:83">
      <c r="A421" s="17"/>
      <c r="B421" s="17"/>
      <c r="C421" s="17"/>
      <c r="D421" s="19"/>
      <c r="E421" s="19"/>
      <c r="F421" s="19"/>
      <c r="G421" s="19"/>
      <c r="H421" s="19"/>
      <c r="I421" s="19"/>
      <c r="J421" s="19"/>
      <c r="K421" s="19"/>
      <c r="L421" s="19"/>
      <c r="M421" s="19"/>
      <c r="N421" s="19"/>
      <c r="O421" s="19"/>
      <c r="P421" s="19"/>
      <c r="Q421" s="19"/>
      <c r="R421" s="19"/>
      <c r="S421" s="19"/>
      <c r="T421" s="19"/>
      <c r="U421" s="19"/>
      <c r="V421" s="19"/>
      <c r="W421" s="19"/>
      <c r="X421" s="19"/>
      <c r="Y421" s="19"/>
      <c r="Z421" s="19"/>
      <c r="AA421" s="19"/>
      <c r="AB421" s="19"/>
      <c r="AC421" s="19"/>
      <c r="AD421" s="19"/>
      <c r="AE421" s="19"/>
      <c r="AF421" s="19"/>
      <c r="AG421" s="19"/>
      <c r="AH421" s="19"/>
      <c r="AI421" s="19"/>
      <c r="AJ421" s="19"/>
      <c r="AK421" s="19"/>
      <c r="AL421" s="19"/>
      <c r="AM421" s="19"/>
      <c r="AN421" s="19"/>
      <c r="AO421" s="19"/>
      <c r="AP421" s="19"/>
      <c r="AQ421" s="19"/>
      <c r="AR421" s="19"/>
      <c r="AS421" s="19"/>
      <c r="AT421" s="19"/>
      <c r="AU421" s="19"/>
      <c r="AV421" s="19"/>
      <c r="AW421" s="19"/>
      <c r="AX421" s="19"/>
      <c r="AY421" s="19"/>
      <c r="AZ421" s="19"/>
      <c r="BA421" s="19"/>
      <c r="BB421" s="19"/>
      <c r="BC421" s="19"/>
      <c r="BD421" s="19"/>
      <c r="BE421" s="19"/>
      <c r="BF421" s="19"/>
      <c r="BG421" s="19"/>
      <c r="BH421" s="19"/>
      <c r="BI421" s="19"/>
      <c r="BJ421" s="19"/>
      <c r="BK421" s="19"/>
      <c r="BL421" s="19"/>
      <c r="BM421" s="19"/>
      <c r="BN421" s="19"/>
      <c r="BO421" s="19"/>
      <c r="BP421" s="19"/>
      <c r="BQ421" s="19"/>
      <c r="BR421" s="19"/>
      <c r="BS421" s="19"/>
      <c r="BT421" s="19"/>
      <c r="BU421" s="19"/>
      <c r="BV421" s="19"/>
      <c r="BW421" s="19"/>
      <c r="BX421" s="19"/>
      <c r="BY421" s="19"/>
      <c r="BZ421" s="19"/>
      <c r="CA421" s="19"/>
      <c r="CB421" s="19"/>
      <c r="CC421" s="19"/>
      <c r="CD421" s="19"/>
      <c r="CE421" s="19"/>
    </row>
    <row r="422" spans="1:83">
      <c r="A422" s="17"/>
      <c r="B422" s="17"/>
      <c r="C422" s="17"/>
      <c r="D422" s="19"/>
      <c r="E422" s="19"/>
      <c r="F422" s="19"/>
      <c r="G422" s="19"/>
      <c r="H422" s="19"/>
      <c r="I422" s="19"/>
      <c r="J422" s="19"/>
      <c r="K422" s="19"/>
      <c r="L422" s="19"/>
      <c r="M422" s="19"/>
      <c r="N422" s="19"/>
      <c r="O422" s="19"/>
      <c r="P422" s="19"/>
      <c r="Q422" s="19"/>
      <c r="R422" s="19"/>
      <c r="S422" s="19"/>
      <c r="T422" s="19"/>
      <c r="U422" s="19"/>
      <c r="V422" s="19"/>
      <c r="W422" s="19"/>
      <c r="X422" s="19"/>
      <c r="Y422" s="19"/>
      <c r="Z422" s="19"/>
      <c r="AA422" s="19"/>
      <c r="AB422" s="19"/>
      <c r="AC422" s="19"/>
      <c r="AD422" s="19"/>
      <c r="AE422" s="19"/>
      <c r="AF422" s="19"/>
      <c r="AG422" s="19"/>
      <c r="AH422" s="19"/>
      <c r="AI422" s="19"/>
      <c r="AJ422" s="19"/>
      <c r="AK422" s="19"/>
      <c r="AL422" s="19"/>
      <c r="AM422" s="19"/>
      <c r="AN422" s="19"/>
      <c r="AO422" s="19"/>
      <c r="AP422" s="19"/>
      <c r="AQ422" s="19"/>
      <c r="AR422" s="19"/>
      <c r="AS422" s="19"/>
      <c r="AT422" s="19"/>
      <c r="AU422" s="19"/>
      <c r="AV422" s="19"/>
      <c r="AW422" s="19"/>
      <c r="AX422" s="19"/>
      <c r="AY422" s="19"/>
      <c r="AZ422" s="19"/>
      <c r="BA422" s="19"/>
      <c r="BB422" s="19"/>
      <c r="BC422" s="19"/>
      <c r="BD422" s="19"/>
      <c r="BE422" s="19"/>
      <c r="BF422" s="19"/>
      <c r="BG422" s="19"/>
      <c r="BH422" s="19"/>
      <c r="BI422" s="19"/>
      <c r="BJ422" s="19"/>
      <c r="BK422" s="19"/>
      <c r="BL422" s="19"/>
      <c r="BM422" s="19"/>
      <c r="BN422" s="19"/>
      <c r="BO422" s="19"/>
      <c r="BP422" s="19"/>
      <c r="BQ422" s="19"/>
      <c r="BR422" s="19"/>
      <c r="BS422" s="19"/>
      <c r="BT422" s="19"/>
      <c r="BU422" s="19"/>
      <c r="BV422" s="19"/>
      <c r="BW422" s="19"/>
      <c r="BX422" s="19"/>
      <c r="BY422" s="19"/>
      <c r="BZ422" s="19"/>
      <c r="CA422" s="19"/>
      <c r="CB422" s="19"/>
      <c r="CC422" s="19"/>
      <c r="CD422" s="19"/>
      <c r="CE422" s="19"/>
    </row>
    <row r="423" spans="1:83">
      <c r="A423" s="17"/>
      <c r="B423" s="17"/>
      <c r="C423" s="17"/>
      <c r="D423" s="19"/>
      <c r="E423" s="19"/>
      <c r="F423" s="19"/>
      <c r="G423" s="19"/>
      <c r="H423" s="19"/>
      <c r="I423" s="19"/>
      <c r="J423" s="19"/>
      <c r="K423" s="19"/>
      <c r="L423" s="19"/>
      <c r="M423" s="19"/>
      <c r="N423" s="19"/>
      <c r="O423" s="19"/>
      <c r="P423" s="19"/>
      <c r="Q423" s="19"/>
      <c r="R423" s="19"/>
      <c r="S423" s="19"/>
      <c r="T423" s="19"/>
      <c r="U423" s="19"/>
      <c r="V423" s="19"/>
      <c r="W423" s="19"/>
      <c r="X423" s="19"/>
      <c r="Y423" s="19"/>
      <c r="Z423" s="19"/>
      <c r="AA423" s="19"/>
      <c r="AB423" s="19"/>
      <c r="AC423" s="19"/>
      <c r="AD423" s="19"/>
      <c r="AE423" s="19"/>
      <c r="AF423" s="19"/>
      <c r="AG423" s="19"/>
      <c r="AH423" s="19"/>
      <c r="AI423" s="19"/>
      <c r="AJ423" s="19"/>
      <c r="AK423" s="19"/>
      <c r="AL423" s="19"/>
      <c r="AM423" s="19"/>
      <c r="AN423" s="19"/>
      <c r="AO423" s="19"/>
      <c r="AP423" s="19"/>
      <c r="AQ423" s="19"/>
      <c r="AR423" s="19"/>
      <c r="AS423" s="19"/>
      <c r="AT423" s="19"/>
      <c r="AU423" s="19"/>
      <c r="AV423" s="19"/>
      <c r="AW423" s="19"/>
      <c r="AX423" s="19"/>
      <c r="AY423" s="19"/>
      <c r="AZ423" s="19"/>
      <c r="BA423" s="19"/>
      <c r="BB423" s="19"/>
      <c r="BC423" s="19"/>
      <c r="BD423" s="19"/>
      <c r="BE423" s="19"/>
      <c r="BF423" s="19"/>
      <c r="BG423" s="19"/>
      <c r="BH423" s="19"/>
      <c r="BI423" s="19"/>
      <c r="BJ423" s="19"/>
      <c r="BK423" s="19"/>
      <c r="BL423" s="19"/>
      <c r="BM423" s="19"/>
      <c r="BN423" s="19"/>
      <c r="BO423" s="19"/>
      <c r="BP423" s="19"/>
      <c r="BQ423" s="19"/>
      <c r="BR423" s="19"/>
      <c r="BS423" s="19"/>
      <c r="BT423" s="19"/>
      <c r="BU423" s="19"/>
      <c r="BV423" s="19"/>
      <c r="BW423" s="19"/>
      <c r="BX423" s="19"/>
      <c r="BY423" s="19"/>
      <c r="BZ423" s="19"/>
      <c r="CA423" s="19"/>
      <c r="CB423" s="19"/>
      <c r="CC423" s="19"/>
      <c r="CD423" s="19"/>
      <c r="CE423" s="19"/>
    </row>
    <row r="424" spans="1:83">
      <c r="A424" s="17"/>
      <c r="B424" s="17"/>
      <c r="C424" s="17"/>
      <c r="D424" s="19"/>
      <c r="E424" s="19"/>
      <c r="F424" s="19"/>
      <c r="G424" s="19"/>
      <c r="H424" s="19"/>
      <c r="I424" s="19"/>
      <c r="J424" s="19"/>
      <c r="K424" s="19"/>
      <c r="L424" s="19"/>
      <c r="M424" s="19"/>
      <c r="N424" s="19"/>
      <c r="O424" s="19"/>
      <c r="P424" s="19"/>
      <c r="Q424" s="19"/>
      <c r="R424" s="19"/>
      <c r="S424" s="19"/>
      <c r="T424" s="19"/>
      <c r="U424" s="19"/>
      <c r="V424" s="19"/>
      <c r="W424" s="19"/>
      <c r="X424" s="19"/>
      <c r="Y424" s="19"/>
      <c r="Z424" s="19"/>
      <c r="AA424" s="19"/>
      <c r="AB424" s="19"/>
      <c r="AC424" s="19"/>
      <c r="AD424" s="19"/>
      <c r="AE424" s="19"/>
      <c r="AF424" s="19"/>
      <c r="AG424" s="19"/>
      <c r="AH424" s="19"/>
      <c r="AI424" s="19"/>
      <c r="AJ424" s="19"/>
      <c r="AK424" s="19"/>
      <c r="AL424" s="19"/>
      <c r="AM424" s="19"/>
      <c r="AN424" s="19"/>
      <c r="AO424" s="19"/>
      <c r="AP424" s="19"/>
      <c r="AQ424" s="19"/>
      <c r="AR424" s="19"/>
      <c r="AS424" s="19"/>
      <c r="AT424" s="19"/>
      <c r="AU424" s="19"/>
      <c r="AV424" s="19"/>
      <c r="AW424" s="19"/>
      <c r="AX424" s="19"/>
      <c r="AY424" s="19"/>
      <c r="AZ424" s="19"/>
      <c r="BA424" s="19"/>
      <c r="BB424" s="19"/>
      <c r="BC424" s="19"/>
      <c r="BD424" s="19"/>
      <c r="BE424" s="19"/>
      <c r="BF424" s="19"/>
      <c r="BG424" s="19"/>
      <c r="BH424" s="19"/>
      <c r="BI424" s="19"/>
      <c r="BJ424" s="19"/>
      <c r="BK424" s="19"/>
      <c r="BL424" s="19"/>
      <c r="BM424" s="19"/>
      <c r="BN424" s="19"/>
      <c r="BO424" s="19"/>
      <c r="BP424" s="19"/>
      <c r="BQ424" s="19"/>
      <c r="BR424" s="19"/>
      <c r="BS424" s="19"/>
      <c r="BT424" s="19"/>
      <c r="BU424" s="19"/>
      <c r="BV424" s="19"/>
      <c r="BW424" s="19"/>
      <c r="BX424" s="19"/>
      <c r="BY424" s="19"/>
      <c r="BZ424" s="19"/>
      <c r="CA424" s="19"/>
      <c r="CB424" s="19"/>
      <c r="CC424" s="19"/>
      <c r="CD424" s="19"/>
      <c r="CE424" s="19"/>
    </row>
    <row r="425" spans="1:83">
      <c r="A425" s="17"/>
      <c r="B425" s="17"/>
      <c r="C425" s="17"/>
      <c r="D425" s="19"/>
      <c r="E425" s="19"/>
      <c r="F425" s="19"/>
      <c r="G425" s="19"/>
      <c r="H425" s="19"/>
      <c r="I425" s="19"/>
      <c r="J425" s="19"/>
      <c r="K425" s="19"/>
      <c r="L425" s="19"/>
      <c r="M425" s="19"/>
      <c r="N425" s="19"/>
      <c r="O425" s="19"/>
      <c r="P425" s="19"/>
      <c r="Q425" s="19"/>
      <c r="R425" s="19"/>
      <c r="S425" s="19"/>
      <c r="T425" s="19"/>
      <c r="U425" s="19"/>
      <c r="V425" s="19"/>
      <c r="W425" s="19"/>
      <c r="X425" s="19"/>
      <c r="Y425" s="19"/>
      <c r="Z425" s="19"/>
      <c r="AA425" s="19"/>
      <c r="AB425" s="19"/>
      <c r="AC425" s="19"/>
      <c r="AD425" s="19"/>
      <c r="AE425" s="19"/>
      <c r="AF425" s="19"/>
      <c r="AG425" s="19"/>
      <c r="AH425" s="19"/>
      <c r="AI425" s="19"/>
      <c r="AJ425" s="19"/>
      <c r="AK425" s="19"/>
      <c r="AL425" s="19"/>
      <c r="AM425" s="19"/>
      <c r="AN425" s="19"/>
      <c r="AO425" s="19"/>
      <c r="AP425" s="19"/>
      <c r="AQ425" s="19"/>
      <c r="AR425" s="19"/>
      <c r="AS425" s="19"/>
      <c r="AT425" s="19"/>
      <c r="AU425" s="19"/>
      <c r="AV425" s="19"/>
      <c r="AW425" s="19"/>
      <c r="AX425" s="19"/>
      <c r="AY425" s="19"/>
      <c r="AZ425" s="19"/>
      <c r="BA425" s="19"/>
      <c r="BB425" s="19"/>
      <c r="BC425" s="19"/>
      <c r="BD425" s="19"/>
      <c r="BE425" s="19"/>
      <c r="BF425" s="19"/>
      <c r="BG425" s="19"/>
      <c r="BH425" s="19"/>
      <c r="BI425" s="19"/>
      <c r="BJ425" s="19"/>
      <c r="BK425" s="19"/>
      <c r="BL425" s="19"/>
      <c r="BM425" s="19"/>
      <c r="BN425" s="19"/>
      <c r="BO425" s="19"/>
      <c r="BP425" s="19"/>
      <c r="BQ425" s="19"/>
      <c r="BR425" s="19"/>
      <c r="BS425" s="19"/>
      <c r="BT425" s="19"/>
      <c r="BU425" s="19"/>
      <c r="BV425" s="19"/>
      <c r="BW425" s="19"/>
      <c r="BX425" s="19"/>
      <c r="BY425" s="19"/>
      <c r="BZ425" s="19"/>
      <c r="CA425" s="19"/>
      <c r="CB425" s="19"/>
      <c r="CC425" s="19"/>
      <c r="CD425" s="19"/>
      <c r="CE425" s="19"/>
    </row>
    <row r="426" spans="1:83">
      <c r="D426" s="550"/>
      <c r="E426" s="550"/>
      <c r="F426" s="550"/>
      <c r="G426" s="550"/>
      <c r="H426" s="550"/>
      <c r="I426" s="550"/>
      <c r="J426" s="550"/>
      <c r="K426" s="550"/>
      <c r="L426" s="550"/>
      <c r="M426" s="550"/>
      <c r="N426" s="550"/>
      <c r="O426" s="550"/>
      <c r="P426" s="550"/>
      <c r="Q426" s="550"/>
      <c r="R426" s="550"/>
      <c r="S426" s="550"/>
      <c r="T426" s="550"/>
      <c r="U426" s="550"/>
      <c r="V426" s="550"/>
      <c r="W426" s="550"/>
      <c r="X426" s="550"/>
      <c r="Y426" s="550"/>
      <c r="Z426" s="550"/>
      <c r="AA426" s="550"/>
      <c r="AB426" s="550"/>
      <c r="AC426" s="550"/>
      <c r="AD426" s="550"/>
      <c r="AE426" s="550"/>
      <c r="AF426" s="550"/>
      <c r="AG426" s="550"/>
      <c r="AH426" s="550"/>
      <c r="AI426" s="550"/>
      <c r="AJ426" s="550"/>
      <c r="AK426" s="550"/>
      <c r="AL426" s="550"/>
      <c r="AM426" s="550"/>
      <c r="AN426" s="550"/>
      <c r="AO426" s="550"/>
      <c r="AP426" s="550"/>
      <c r="AQ426" s="550"/>
      <c r="AR426" s="550"/>
      <c r="AS426" s="550"/>
      <c r="AT426" s="550"/>
      <c r="AU426" s="550"/>
      <c r="AV426" s="550"/>
      <c r="AW426" s="550"/>
      <c r="AX426" s="550"/>
      <c r="AY426" s="550"/>
      <c r="AZ426" s="550"/>
      <c r="BA426" s="550"/>
      <c r="BB426" s="550"/>
      <c r="BC426" s="550"/>
      <c r="BD426" s="550"/>
      <c r="BE426" s="550"/>
      <c r="BF426" s="550"/>
      <c r="BG426" s="550"/>
      <c r="BH426" s="550"/>
      <c r="BI426" s="550"/>
      <c r="BJ426" s="550"/>
      <c r="BK426" s="550"/>
      <c r="BL426" s="550"/>
      <c r="BM426" s="550"/>
      <c r="BN426" s="550"/>
      <c r="BO426" s="550"/>
      <c r="BP426" s="550"/>
      <c r="BQ426" s="550"/>
      <c r="BR426" s="550"/>
      <c r="BS426" s="550"/>
      <c r="BT426" s="550"/>
      <c r="BU426" s="550"/>
      <c r="BV426" s="550"/>
      <c r="BW426" s="550"/>
      <c r="BX426" s="550"/>
      <c r="BY426" s="550"/>
      <c r="BZ426" s="550"/>
      <c r="CA426" s="550"/>
      <c r="CB426" s="550"/>
    </row>
    <row r="427" spans="1:83">
      <c r="D427" s="550"/>
      <c r="E427" s="550"/>
      <c r="F427" s="550"/>
      <c r="G427" s="550"/>
      <c r="H427" s="550"/>
      <c r="I427" s="550"/>
      <c r="J427" s="550"/>
      <c r="K427" s="550"/>
      <c r="L427" s="550"/>
      <c r="M427" s="550"/>
      <c r="N427" s="550"/>
      <c r="O427" s="550"/>
      <c r="P427" s="550"/>
      <c r="Q427" s="550"/>
      <c r="R427" s="550"/>
      <c r="S427" s="550"/>
      <c r="T427" s="550"/>
      <c r="U427" s="550"/>
      <c r="V427" s="550"/>
      <c r="W427" s="550"/>
      <c r="X427" s="550"/>
      <c r="Y427" s="550"/>
      <c r="Z427" s="550"/>
      <c r="AA427" s="550"/>
      <c r="AB427" s="550"/>
      <c r="AC427" s="550"/>
      <c r="AD427" s="550"/>
      <c r="AE427" s="550"/>
      <c r="AF427" s="550"/>
      <c r="AG427" s="550"/>
      <c r="AH427" s="550"/>
      <c r="AI427" s="550"/>
      <c r="AJ427" s="550"/>
      <c r="AK427" s="550"/>
      <c r="AL427" s="550"/>
      <c r="AM427" s="550"/>
      <c r="AN427" s="550"/>
      <c r="AO427" s="550"/>
      <c r="AP427" s="550"/>
      <c r="AQ427" s="550"/>
      <c r="AR427" s="550"/>
      <c r="AS427" s="550"/>
      <c r="AT427" s="550"/>
      <c r="AU427" s="550"/>
      <c r="AV427" s="550"/>
      <c r="AW427" s="550"/>
      <c r="AX427" s="550"/>
      <c r="AY427" s="550"/>
      <c r="AZ427" s="550"/>
      <c r="BA427" s="550"/>
      <c r="BB427" s="550"/>
      <c r="BC427" s="550"/>
      <c r="BD427" s="550"/>
      <c r="BE427" s="550"/>
      <c r="BF427" s="550"/>
      <c r="BG427" s="550"/>
      <c r="BH427" s="550"/>
      <c r="BI427" s="550"/>
      <c r="BJ427" s="550"/>
      <c r="BK427" s="550"/>
      <c r="BL427" s="550"/>
      <c r="BM427" s="550"/>
      <c r="BN427" s="550"/>
      <c r="BO427" s="550"/>
      <c r="BP427" s="550"/>
      <c r="BQ427" s="550"/>
      <c r="BR427" s="550"/>
      <c r="BS427" s="550"/>
      <c r="BT427" s="550"/>
      <c r="BU427" s="550"/>
      <c r="BV427" s="550"/>
      <c r="BW427" s="550"/>
      <c r="BX427" s="550"/>
      <c r="BY427" s="550"/>
      <c r="BZ427" s="550"/>
      <c r="CA427" s="550"/>
      <c r="CB427" s="550"/>
    </row>
    <row r="428" spans="1:83">
      <c r="D428" s="550"/>
      <c r="E428" s="550"/>
      <c r="F428" s="550"/>
      <c r="G428" s="550"/>
      <c r="H428" s="550"/>
      <c r="I428" s="550"/>
      <c r="J428" s="550"/>
      <c r="K428" s="550"/>
      <c r="L428" s="550"/>
      <c r="M428" s="550"/>
      <c r="N428" s="550"/>
      <c r="O428" s="550"/>
      <c r="P428" s="550"/>
      <c r="Q428" s="550"/>
      <c r="R428" s="550"/>
      <c r="S428" s="550"/>
      <c r="T428" s="550"/>
      <c r="U428" s="550"/>
      <c r="V428" s="550"/>
      <c r="W428" s="550"/>
      <c r="X428" s="550"/>
      <c r="Y428" s="550"/>
      <c r="Z428" s="550"/>
      <c r="AA428" s="550"/>
      <c r="AB428" s="550"/>
      <c r="AC428" s="550"/>
      <c r="AD428" s="550"/>
      <c r="AE428" s="550"/>
      <c r="AF428" s="550"/>
      <c r="AG428" s="550"/>
      <c r="AH428" s="550"/>
      <c r="AI428" s="550"/>
      <c r="AJ428" s="550"/>
      <c r="AK428" s="550"/>
      <c r="AL428" s="550"/>
      <c r="AM428" s="550"/>
      <c r="AN428" s="550"/>
      <c r="AO428" s="550"/>
      <c r="AP428" s="550"/>
      <c r="AQ428" s="550"/>
      <c r="AR428" s="550"/>
      <c r="AS428" s="550"/>
      <c r="AT428" s="550"/>
      <c r="AU428" s="550"/>
      <c r="AV428" s="550"/>
      <c r="AW428" s="550"/>
      <c r="AX428" s="550"/>
      <c r="AY428" s="550"/>
      <c r="AZ428" s="550"/>
      <c r="BA428" s="550"/>
      <c r="BB428" s="550"/>
      <c r="BC428" s="550"/>
      <c r="BD428" s="550"/>
      <c r="BE428" s="550"/>
      <c r="BF428" s="550"/>
      <c r="BG428" s="550"/>
      <c r="BH428" s="550"/>
      <c r="BI428" s="550"/>
      <c r="BJ428" s="550"/>
      <c r="BK428" s="550"/>
      <c r="BL428" s="550"/>
      <c r="BM428" s="550"/>
      <c r="BN428" s="550"/>
      <c r="BO428" s="550"/>
      <c r="BP428" s="550"/>
      <c r="BQ428" s="550"/>
      <c r="BR428" s="550"/>
      <c r="BS428" s="550"/>
      <c r="BT428" s="550"/>
      <c r="BU428" s="550"/>
      <c r="BV428" s="550"/>
      <c r="BW428" s="550"/>
      <c r="BX428" s="550"/>
      <c r="BY428" s="550"/>
      <c r="BZ428" s="550"/>
      <c r="CA428" s="550"/>
      <c r="CB428" s="550"/>
    </row>
    <row r="429" spans="1:83">
      <c r="D429" s="550"/>
      <c r="E429" s="550"/>
      <c r="F429" s="550"/>
      <c r="G429" s="550"/>
      <c r="H429" s="550"/>
      <c r="I429" s="550"/>
      <c r="J429" s="550"/>
      <c r="K429" s="550"/>
      <c r="L429" s="550"/>
      <c r="M429" s="550"/>
      <c r="N429" s="550"/>
      <c r="O429" s="550"/>
      <c r="P429" s="550"/>
      <c r="Q429" s="550"/>
      <c r="R429" s="550"/>
      <c r="S429" s="550"/>
      <c r="T429" s="550"/>
      <c r="U429" s="550"/>
      <c r="V429" s="550"/>
      <c r="W429" s="550"/>
      <c r="X429" s="550"/>
      <c r="Y429" s="550"/>
      <c r="Z429" s="550"/>
      <c r="AA429" s="550"/>
      <c r="AB429" s="550"/>
      <c r="AC429" s="550"/>
      <c r="AD429" s="550"/>
      <c r="AE429" s="550"/>
      <c r="AF429" s="550"/>
      <c r="AG429" s="550"/>
      <c r="AH429" s="550"/>
      <c r="AI429" s="550"/>
      <c r="AJ429" s="550"/>
      <c r="AK429" s="550"/>
      <c r="AL429" s="550"/>
      <c r="AM429" s="550"/>
      <c r="AN429" s="550"/>
      <c r="AO429" s="550"/>
      <c r="AP429" s="550"/>
      <c r="AQ429" s="550"/>
      <c r="AR429" s="550"/>
      <c r="AS429" s="550"/>
      <c r="AT429" s="550"/>
      <c r="AU429" s="550"/>
      <c r="AV429" s="550"/>
      <c r="AW429" s="550"/>
      <c r="AX429" s="550"/>
      <c r="AY429" s="550"/>
      <c r="AZ429" s="550"/>
      <c r="BA429" s="550"/>
      <c r="BB429" s="550"/>
      <c r="BC429" s="550"/>
      <c r="BD429" s="550"/>
      <c r="BE429" s="550"/>
      <c r="BF429" s="550"/>
      <c r="BG429" s="550"/>
      <c r="BH429" s="550"/>
      <c r="BI429" s="550"/>
      <c r="BJ429" s="550"/>
      <c r="BK429" s="550"/>
      <c r="BL429" s="550"/>
      <c r="BM429" s="550"/>
      <c r="BN429" s="550"/>
      <c r="BO429" s="550"/>
      <c r="BP429" s="550"/>
      <c r="BQ429" s="550"/>
      <c r="BR429" s="550"/>
      <c r="BS429" s="550"/>
      <c r="BT429" s="550"/>
      <c r="BU429" s="550"/>
      <c r="BV429" s="550"/>
      <c r="BW429" s="550"/>
      <c r="BX429" s="550"/>
      <c r="BY429" s="550"/>
      <c r="BZ429" s="550"/>
      <c r="CA429" s="550"/>
      <c r="CB429" s="550"/>
    </row>
    <row r="430" spans="1:83">
      <c r="D430" s="550"/>
      <c r="E430" s="550"/>
      <c r="F430" s="550"/>
      <c r="G430" s="550"/>
      <c r="H430" s="550"/>
      <c r="I430" s="550"/>
      <c r="J430" s="550"/>
      <c r="K430" s="550"/>
      <c r="L430" s="550"/>
      <c r="M430" s="550"/>
      <c r="N430" s="550"/>
      <c r="O430" s="550"/>
      <c r="P430" s="550"/>
      <c r="Q430" s="550"/>
      <c r="R430" s="550"/>
      <c r="S430" s="550"/>
      <c r="T430" s="550"/>
      <c r="U430" s="550"/>
      <c r="V430" s="550"/>
      <c r="W430" s="550"/>
      <c r="X430" s="550"/>
      <c r="Y430" s="550"/>
      <c r="Z430" s="550"/>
      <c r="AA430" s="550"/>
      <c r="AB430" s="550"/>
      <c r="AC430" s="550"/>
      <c r="AD430" s="550"/>
      <c r="AE430" s="550"/>
      <c r="AF430" s="550"/>
      <c r="AG430" s="550"/>
      <c r="AH430" s="550"/>
      <c r="AI430" s="550"/>
      <c r="AJ430" s="550"/>
      <c r="AK430" s="550"/>
      <c r="AL430" s="550"/>
      <c r="AM430" s="550"/>
      <c r="AN430" s="550"/>
      <c r="AO430" s="550"/>
      <c r="AP430" s="550"/>
      <c r="AQ430" s="550"/>
      <c r="AR430" s="550"/>
      <c r="AS430" s="550"/>
      <c r="AT430" s="550"/>
      <c r="AU430" s="550"/>
      <c r="AV430" s="550"/>
      <c r="AW430" s="550"/>
      <c r="AX430" s="550"/>
      <c r="AY430" s="550"/>
      <c r="AZ430" s="550"/>
      <c r="BA430" s="550"/>
      <c r="BB430" s="550"/>
      <c r="BC430" s="550"/>
      <c r="BD430" s="550"/>
      <c r="BE430" s="550"/>
      <c r="BF430" s="550"/>
      <c r="BG430" s="550"/>
      <c r="BH430" s="550"/>
      <c r="BI430" s="550"/>
      <c r="BJ430" s="550"/>
      <c r="BK430" s="550"/>
      <c r="BL430" s="550"/>
      <c r="BM430" s="550"/>
      <c r="BN430" s="550"/>
      <c r="BO430" s="550"/>
      <c r="BP430" s="550"/>
      <c r="BQ430" s="550"/>
      <c r="BR430" s="550"/>
      <c r="BS430" s="550"/>
      <c r="BT430" s="550"/>
      <c r="BU430" s="550"/>
      <c r="BV430" s="550"/>
      <c r="BW430" s="550"/>
      <c r="BX430" s="550"/>
      <c r="BY430" s="550"/>
      <c r="BZ430" s="550"/>
      <c r="CA430" s="550"/>
      <c r="CB430" s="550"/>
    </row>
    <row r="431" spans="1:83">
      <c r="D431" s="550"/>
      <c r="E431" s="550"/>
      <c r="F431" s="550"/>
      <c r="G431" s="550"/>
      <c r="H431" s="550"/>
      <c r="I431" s="550"/>
      <c r="J431" s="550"/>
      <c r="K431" s="550"/>
      <c r="L431" s="550"/>
      <c r="M431" s="550"/>
      <c r="N431" s="550"/>
      <c r="O431" s="550"/>
      <c r="P431" s="550"/>
      <c r="Q431" s="550"/>
      <c r="R431" s="550"/>
      <c r="S431" s="550"/>
      <c r="T431" s="550"/>
      <c r="U431" s="550"/>
      <c r="V431" s="550"/>
      <c r="W431" s="550"/>
      <c r="X431" s="550"/>
      <c r="Y431" s="550"/>
      <c r="Z431" s="550"/>
      <c r="AA431" s="550"/>
      <c r="AB431" s="550"/>
      <c r="AC431" s="550"/>
      <c r="AD431" s="550"/>
      <c r="AE431" s="550"/>
      <c r="AF431" s="550"/>
      <c r="AG431" s="550"/>
      <c r="AH431" s="550"/>
      <c r="AI431" s="550"/>
      <c r="AJ431" s="550"/>
      <c r="AK431" s="550"/>
      <c r="AL431" s="550"/>
      <c r="AM431" s="550"/>
      <c r="AN431" s="550"/>
      <c r="AO431" s="550"/>
      <c r="AP431" s="550"/>
      <c r="AQ431" s="550"/>
      <c r="AR431" s="550"/>
      <c r="AS431" s="550"/>
      <c r="AT431" s="550"/>
      <c r="AU431" s="550"/>
      <c r="AV431" s="550"/>
      <c r="AW431" s="550"/>
      <c r="AX431" s="550"/>
      <c r="AY431" s="550"/>
      <c r="AZ431" s="550"/>
      <c r="BA431" s="550"/>
      <c r="BB431" s="550"/>
      <c r="BC431" s="550"/>
      <c r="BD431" s="550"/>
      <c r="BE431" s="550"/>
      <c r="BF431" s="550"/>
      <c r="BG431" s="550"/>
      <c r="BH431" s="550"/>
      <c r="BI431" s="550"/>
      <c r="BJ431" s="550"/>
      <c r="BK431" s="550"/>
      <c r="BL431" s="550"/>
      <c r="BM431" s="550"/>
      <c r="BN431" s="550"/>
      <c r="BO431" s="550"/>
      <c r="BP431" s="550"/>
      <c r="BQ431" s="550"/>
      <c r="BR431" s="550"/>
      <c r="BS431" s="550"/>
      <c r="BT431" s="550"/>
      <c r="BU431" s="550"/>
      <c r="BV431" s="550"/>
      <c r="BW431" s="550"/>
      <c r="BX431" s="550"/>
      <c r="BY431" s="550"/>
      <c r="BZ431" s="550"/>
      <c r="CA431" s="550"/>
      <c r="CB431" s="550"/>
    </row>
    <row r="432" spans="1:83">
      <c r="D432" s="550"/>
      <c r="E432" s="550"/>
      <c r="F432" s="550"/>
      <c r="G432" s="550"/>
      <c r="H432" s="550"/>
      <c r="I432" s="550"/>
      <c r="J432" s="550"/>
      <c r="K432" s="550"/>
      <c r="L432" s="550"/>
      <c r="M432" s="550"/>
      <c r="N432" s="550"/>
      <c r="O432" s="550"/>
      <c r="P432" s="550"/>
      <c r="Q432" s="550"/>
      <c r="R432" s="550"/>
      <c r="S432" s="550"/>
      <c r="T432" s="550"/>
      <c r="U432" s="550"/>
      <c r="V432" s="550"/>
      <c r="W432" s="550"/>
      <c r="X432" s="550"/>
      <c r="Y432" s="550"/>
      <c r="Z432" s="550"/>
      <c r="AA432" s="550"/>
      <c r="AB432" s="550"/>
      <c r="AC432" s="550"/>
      <c r="AD432" s="550"/>
      <c r="AE432" s="550"/>
      <c r="AF432" s="550"/>
      <c r="AG432" s="550"/>
      <c r="AH432" s="550"/>
      <c r="AI432" s="550"/>
      <c r="AJ432" s="550"/>
      <c r="AK432" s="550"/>
      <c r="AL432" s="550"/>
      <c r="AM432" s="550"/>
      <c r="AN432" s="550"/>
      <c r="AO432" s="550"/>
      <c r="AP432" s="550"/>
      <c r="AQ432" s="550"/>
      <c r="AR432" s="550"/>
      <c r="AS432" s="550"/>
      <c r="AT432" s="550"/>
      <c r="AU432" s="550"/>
      <c r="AV432" s="550"/>
      <c r="AW432" s="550"/>
      <c r="AX432" s="550"/>
      <c r="AY432" s="550"/>
      <c r="AZ432" s="550"/>
      <c r="BA432" s="550"/>
      <c r="BB432" s="550"/>
      <c r="BC432" s="550"/>
      <c r="BD432" s="550"/>
      <c r="BE432" s="550"/>
      <c r="BF432" s="550"/>
      <c r="BG432" s="550"/>
      <c r="BH432" s="550"/>
      <c r="BI432" s="550"/>
      <c r="BJ432" s="550"/>
      <c r="BK432" s="550"/>
      <c r="BL432" s="550"/>
      <c r="BM432" s="550"/>
      <c r="BN432" s="550"/>
      <c r="BO432" s="550"/>
      <c r="BP432" s="550"/>
      <c r="BQ432" s="550"/>
      <c r="BR432" s="550"/>
      <c r="BS432" s="550"/>
      <c r="BT432" s="550"/>
      <c r="BU432" s="550"/>
      <c r="BV432" s="550"/>
      <c r="BW432" s="550"/>
      <c r="BX432" s="550"/>
      <c r="BY432" s="550"/>
      <c r="BZ432" s="550"/>
      <c r="CA432" s="550"/>
      <c r="CB432" s="550"/>
    </row>
    <row r="433" spans="4:80">
      <c r="D433" s="550"/>
      <c r="E433" s="550"/>
      <c r="F433" s="550"/>
      <c r="G433" s="550"/>
      <c r="H433" s="550"/>
      <c r="I433" s="550"/>
      <c r="J433" s="550"/>
      <c r="K433" s="550"/>
      <c r="L433" s="550"/>
      <c r="M433" s="550"/>
      <c r="N433" s="550"/>
      <c r="O433" s="550"/>
      <c r="P433" s="550"/>
      <c r="Q433" s="550"/>
      <c r="R433" s="550"/>
      <c r="S433" s="550"/>
      <c r="T433" s="550"/>
      <c r="U433" s="550"/>
      <c r="V433" s="550"/>
      <c r="W433" s="550"/>
      <c r="X433" s="550"/>
      <c r="Y433" s="550"/>
      <c r="Z433" s="550"/>
      <c r="AA433" s="550"/>
      <c r="AB433" s="550"/>
      <c r="AC433" s="550"/>
      <c r="AD433" s="550"/>
      <c r="AE433" s="550"/>
      <c r="AF433" s="550"/>
      <c r="AG433" s="550"/>
      <c r="AH433" s="550"/>
      <c r="AI433" s="550"/>
      <c r="AJ433" s="550"/>
      <c r="AK433" s="550"/>
      <c r="AL433" s="550"/>
      <c r="AM433" s="550"/>
      <c r="AN433" s="550"/>
      <c r="AO433" s="550"/>
      <c r="AP433" s="550"/>
      <c r="AQ433" s="550"/>
      <c r="AR433" s="550"/>
      <c r="AS433" s="550"/>
      <c r="AT433" s="550"/>
      <c r="AU433" s="550"/>
      <c r="AV433" s="550"/>
      <c r="AW433" s="550"/>
      <c r="AX433" s="550"/>
      <c r="AY433" s="550"/>
      <c r="AZ433" s="550"/>
      <c r="BA433" s="550"/>
      <c r="BB433" s="550"/>
      <c r="BC433" s="550"/>
      <c r="BD433" s="550"/>
      <c r="BE433" s="550"/>
      <c r="BF433" s="550"/>
      <c r="BG433" s="550"/>
      <c r="BH433" s="550"/>
      <c r="BI433" s="550"/>
      <c r="BJ433" s="550"/>
      <c r="BK433" s="550"/>
      <c r="BL433" s="550"/>
      <c r="BM433" s="550"/>
      <c r="BN433" s="550"/>
      <c r="BO433" s="550"/>
      <c r="BP433" s="550"/>
      <c r="BQ433" s="550"/>
      <c r="BR433" s="550"/>
      <c r="BS433" s="550"/>
      <c r="BT433" s="550"/>
      <c r="BU433" s="550"/>
      <c r="BV433" s="550"/>
      <c r="BW433" s="550"/>
      <c r="BX433" s="550"/>
      <c r="BY433" s="550"/>
      <c r="BZ433" s="550"/>
      <c r="CA433" s="550"/>
      <c r="CB433" s="550"/>
    </row>
    <row r="434" spans="4:80">
      <c r="D434" s="550"/>
      <c r="E434" s="550"/>
      <c r="F434" s="550"/>
      <c r="G434" s="550"/>
      <c r="H434" s="550"/>
      <c r="I434" s="550"/>
      <c r="J434" s="550"/>
      <c r="K434" s="550"/>
      <c r="L434" s="550"/>
      <c r="M434" s="550"/>
      <c r="N434" s="550"/>
      <c r="O434" s="550"/>
      <c r="P434" s="550"/>
      <c r="Q434" s="550"/>
      <c r="R434" s="550"/>
      <c r="S434" s="550"/>
      <c r="T434" s="550"/>
      <c r="U434" s="550"/>
      <c r="V434" s="550"/>
      <c r="W434" s="550"/>
      <c r="X434" s="550"/>
      <c r="Y434" s="550"/>
      <c r="Z434" s="550"/>
      <c r="AA434" s="550"/>
      <c r="AB434" s="550"/>
      <c r="AC434" s="550"/>
      <c r="AD434" s="550"/>
      <c r="AE434" s="550"/>
      <c r="AF434" s="550"/>
      <c r="AG434" s="550"/>
      <c r="AH434" s="550"/>
      <c r="AI434" s="550"/>
      <c r="AJ434" s="550"/>
      <c r="AK434" s="550"/>
      <c r="AL434" s="550"/>
      <c r="AM434" s="550"/>
      <c r="AN434" s="550"/>
      <c r="AO434" s="550"/>
      <c r="AP434" s="550"/>
      <c r="AQ434" s="550"/>
      <c r="AR434" s="550"/>
      <c r="AS434" s="550"/>
      <c r="AT434" s="550"/>
      <c r="AU434" s="550"/>
      <c r="AV434" s="550"/>
      <c r="AW434" s="550"/>
      <c r="AX434" s="550"/>
      <c r="AY434" s="550"/>
      <c r="AZ434" s="550"/>
      <c r="BA434" s="550"/>
      <c r="BB434" s="550"/>
      <c r="BC434" s="550"/>
      <c r="BD434" s="550"/>
      <c r="BE434" s="550"/>
      <c r="BF434" s="550"/>
      <c r="BG434" s="550"/>
      <c r="BH434" s="550"/>
      <c r="BI434" s="550"/>
      <c r="BJ434" s="550"/>
      <c r="BK434" s="550"/>
      <c r="BL434" s="550"/>
      <c r="BM434" s="550"/>
      <c r="BN434" s="550"/>
      <c r="BO434" s="550"/>
      <c r="BP434" s="550"/>
      <c r="BQ434" s="550"/>
      <c r="BR434" s="550"/>
      <c r="BS434" s="550"/>
      <c r="BT434" s="550"/>
      <c r="BU434" s="550"/>
      <c r="BV434" s="550"/>
      <c r="BW434" s="550"/>
      <c r="BX434" s="550"/>
      <c r="BY434" s="550"/>
      <c r="BZ434" s="550"/>
      <c r="CA434" s="550"/>
      <c r="CB434" s="550"/>
    </row>
    <row r="435" spans="4:80">
      <c r="D435" s="550"/>
      <c r="E435" s="550"/>
      <c r="F435" s="550"/>
      <c r="G435" s="550"/>
      <c r="H435" s="550"/>
      <c r="I435" s="550"/>
      <c r="J435" s="550"/>
      <c r="K435" s="550"/>
      <c r="L435" s="550"/>
      <c r="M435" s="550"/>
      <c r="N435" s="550"/>
      <c r="O435" s="550"/>
      <c r="P435" s="550"/>
      <c r="Q435" s="550"/>
      <c r="R435" s="550"/>
      <c r="S435" s="550"/>
      <c r="T435" s="550"/>
      <c r="U435" s="550"/>
      <c r="V435" s="550"/>
      <c r="W435" s="550"/>
      <c r="X435" s="550"/>
      <c r="Y435" s="550"/>
      <c r="Z435" s="550"/>
      <c r="AA435" s="550"/>
      <c r="AB435" s="550"/>
      <c r="AC435" s="550"/>
      <c r="AD435" s="550"/>
      <c r="AE435" s="550"/>
      <c r="AF435" s="550"/>
      <c r="AG435" s="550"/>
      <c r="AH435" s="550"/>
      <c r="AI435" s="550"/>
      <c r="AJ435" s="550"/>
      <c r="AK435" s="550"/>
      <c r="AL435" s="550"/>
      <c r="AM435" s="550"/>
      <c r="AN435" s="550"/>
      <c r="AO435" s="550"/>
      <c r="AP435" s="550"/>
      <c r="AQ435" s="550"/>
      <c r="AR435" s="550"/>
      <c r="AS435" s="550"/>
      <c r="AT435" s="550"/>
      <c r="AU435" s="550"/>
      <c r="AV435" s="550"/>
      <c r="AW435" s="550"/>
      <c r="AX435" s="550"/>
      <c r="AY435" s="550"/>
      <c r="AZ435" s="550"/>
      <c r="BA435" s="550"/>
      <c r="BB435" s="550"/>
      <c r="BC435" s="550"/>
      <c r="BD435" s="550"/>
      <c r="BE435" s="550"/>
      <c r="BF435" s="550"/>
      <c r="BG435" s="550"/>
      <c r="BH435" s="550"/>
      <c r="BI435" s="550"/>
      <c r="BJ435" s="550"/>
      <c r="BK435" s="550"/>
      <c r="BL435" s="550"/>
      <c r="BM435" s="550"/>
      <c r="BN435" s="550"/>
      <c r="BO435" s="550"/>
      <c r="BP435" s="550"/>
      <c r="BQ435" s="550"/>
      <c r="BR435" s="550"/>
      <c r="BS435" s="550"/>
      <c r="BT435" s="550"/>
      <c r="BU435" s="550"/>
      <c r="BV435" s="550"/>
      <c r="BW435" s="550"/>
      <c r="BX435" s="550"/>
      <c r="BY435" s="550"/>
      <c r="BZ435" s="550"/>
      <c r="CA435" s="550"/>
      <c r="CB435" s="550"/>
    </row>
    <row r="436" spans="4:80">
      <c r="D436" s="550"/>
      <c r="E436" s="550"/>
      <c r="F436" s="550"/>
      <c r="G436" s="550"/>
      <c r="H436" s="550"/>
      <c r="I436" s="550"/>
      <c r="J436" s="550"/>
      <c r="K436" s="550"/>
      <c r="L436" s="550"/>
      <c r="M436" s="550"/>
      <c r="N436" s="550"/>
      <c r="O436" s="550"/>
      <c r="P436" s="550"/>
      <c r="Q436" s="550"/>
      <c r="R436" s="550"/>
      <c r="S436" s="550"/>
      <c r="T436" s="550"/>
      <c r="U436" s="550"/>
      <c r="V436" s="550"/>
      <c r="W436" s="550"/>
      <c r="X436" s="550"/>
      <c r="Y436" s="550"/>
      <c r="Z436" s="550"/>
      <c r="AA436" s="550"/>
      <c r="AB436" s="550"/>
      <c r="AC436" s="550"/>
      <c r="AD436" s="550"/>
      <c r="AE436" s="550"/>
      <c r="AF436" s="550"/>
      <c r="AG436" s="550"/>
      <c r="AH436" s="550"/>
      <c r="AI436" s="550"/>
      <c r="AJ436" s="550"/>
      <c r="AK436" s="550"/>
      <c r="AL436" s="550"/>
      <c r="AM436" s="550"/>
      <c r="AN436" s="550"/>
      <c r="AO436" s="550"/>
      <c r="AP436" s="550"/>
      <c r="AQ436" s="550"/>
      <c r="AR436" s="550"/>
      <c r="AS436" s="550"/>
      <c r="AT436" s="550"/>
      <c r="AU436" s="550"/>
      <c r="AV436" s="550"/>
      <c r="AW436" s="550"/>
      <c r="AX436" s="550"/>
      <c r="AY436" s="550"/>
      <c r="AZ436" s="550"/>
      <c r="BA436" s="550"/>
      <c r="BB436" s="550"/>
      <c r="BC436" s="550"/>
      <c r="BD436" s="550"/>
      <c r="BE436" s="550"/>
      <c r="BF436" s="550"/>
      <c r="BG436" s="550"/>
      <c r="BH436" s="550"/>
      <c r="BI436" s="550"/>
      <c r="BJ436" s="550"/>
      <c r="BK436" s="550"/>
      <c r="BL436" s="550"/>
      <c r="BM436" s="550"/>
      <c r="BN436" s="550"/>
      <c r="BO436" s="550"/>
      <c r="BP436" s="550"/>
      <c r="BQ436" s="550"/>
      <c r="BR436" s="550"/>
      <c r="BS436" s="550"/>
      <c r="BT436" s="550"/>
      <c r="BU436" s="550"/>
      <c r="BV436" s="550"/>
      <c r="BW436" s="550"/>
      <c r="BX436" s="550"/>
      <c r="BY436" s="550"/>
      <c r="BZ436" s="550"/>
      <c r="CA436" s="550"/>
      <c r="CB436" s="550"/>
    </row>
    <row r="437" spans="4:80">
      <c r="D437" s="550"/>
      <c r="E437" s="550"/>
      <c r="F437" s="550"/>
      <c r="G437" s="550"/>
      <c r="H437" s="550"/>
      <c r="I437" s="550"/>
      <c r="J437" s="550"/>
      <c r="K437" s="550"/>
      <c r="L437" s="550"/>
      <c r="M437" s="550"/>
      <c r="N437" s="550"/>
      <c r="O437" s="550"/>
      <c r="P437" s="550"/>
      <c r="Q437" s="550"/>
      <c r="R437" s="550"/>
      <c r="S437" s="550"/>
      <c r="T437" s="550"/>
      <c r="U437" s="550"/>
      <c r="V437" s="550"/>
      <c r="W437" s="550"/>
      <c r="X437" s="550"/>
      <c r="Y437" s="550"/>
      <c r="Z437" s="550"/>
      <c r="AA437" s="550"/>
      <c r="AB437" s="550"/>
      <c r="AC437" s="550"/>
      <c r="AD437" s="550"/>
      <c r="AE437" s="550"/>
      <c r="AF437" s="550"/>
      <c r="AG437" s="550"/>
      <c r="AH437" s="550"/>
      <c r="AI437" s="550"/>
      <c r="AJ437" s="550"/>
      <c r="AK437" s="550"/>
      <c r="AL437" s="550"/>
      <c r="AM437" s="550"/>
      <c r="AN437" s="550"/>
      <c r="AO437" s="550"/>
      <c r="AP437" s="550"/>
      <c r="AQ437" s="550"/>
      <c r="AR437" s="550"/>
      <c r="AS437" s="550"/>
      <c r="AT437" s="550"/>
      <c r="AU437" s="550"/>
      <c r="AV437" s="550"/>
      <c r="AW437" s="550"/>
      <c r="AX437" s="550"/>
      <c r="AY437" s="550"/>
      <c r="AZ437" s="550"/>
      <c r="BA437" s="550"/>
      <c r="BB437" s="550"/>
      <c r="BC437" s="550"/>
      <c r="BD437" s="550"/>
      <c r="BE437" s="550"/>
      <c r="BF437" s="550"/>
      <c r="BG437" s="550"/>
      <c r="BH437" s="550"/>
      <c r="BI437" s="550"/>
      <c r="BJ437" s="550"/>
      <c r="BK437" s="550"/>
      <c r="BL437" s="550"/>
      <c r="BM437" s="550"/>
      <c r="BN437" s="550"/>
      <c r="BO437" s="550"/>
      <c r="BP437" s="550"/>
      <c r="BQ437" s="550"/>
      <c r="BR437" s="550"/>
      <c r="BS437" s="550"/>
      <c r="BT437" s="550"/>
      <c r="BU437" s="550"/>
      <c r="BV437" s="550"/>
      <c r="BW437" s="550"/>
      <c r="BX437" s="550"/>
      <c r="BY437" s="550"/>
      <c r="BZ437" s="550"/>
      <c r="CA437" s="550"/>
      <c r="CB437" s="550"/>
    </row>
    <row r="438" spans="4:80">
      <c r="D438" s="550"/>
      <c r="E438" s="550"/>
      <c r="F438" s="550"/>
      <c r="G438" s="550"/>
      <c r="H438" s="550"/>
      <c r="I438" s="550"/>
      <c r="J438" s="550"/>
      <c r="K438" s="550"/>
      <c r="L438" s="550"/>
      <c r="M438" s="550"/>
      <c r="N438" s="550"/>
      <c r="O438" s="550"/>
      <c r="P438" s="550"/>
      <c r="Q438" s="550"/>
      <c r="R438" s="550"/>
      <c r="S438" s="550"/>
      <c r="T438" s="550"/>
      <c r="U438" s="550"/>
      <c r="V438" s="550"/>
      <c r="W438" s="550"/>
      <c r="X438" s="550"/>
      <c r="Y438" s="550"/>
      <c r="Z438" s="550"/>
      <c r="AA438" s="550"/>
      <c r="AB438" s="550"/>
      <c r="AC438" s="550"/>
      <c r="AD438" s="550"/>
      <c r="AE438" s="550"/>
      <c r="AF438" s="550"/>
      <c r="AG438" s="550"/>
      <c r="AH438" s="550"/>
      <c r="AI438" s="550"/>
      <c r="AJ438" s="550"/>
      <c r="AK438" s="550"/>
      <c r="AL438" s="550"/>
      <c r="AM438" s="550"/>
      <c r="AN438" s="550"/>
      <c r="AO438" s="550"/>
      <c r="AP438" s="550"/>
      <c r="AQ438" s="550"/>
      <c r="AR438" s="550"/>
      <c r="AS438" s="550"/>
      <c r="AT438" s="550"/>
      <c r="AU438" s="550"/>
      <c r="AV438" s="550"/>
      <c r="AW438" s="550"/>
      <c r="AX438" s="550"/>
      <c r="AY438" s="550"/>
      <c r="AZ438" s="550"/>
      <c r="BA438" s="550"/>
      <c r="BB438" s="550"/>
      <c r="BC438" s="550"/>
      <c r="BD438" s="550"/>
      <c r="BE438" s="550"/>
      <c r="BF438" s="550"/>
      <c r="BG438" s="550"/>
      <c r="BH438" s="550"/>
      <c r="BI438" s="550"/>
      <c r="BJ438" s="550"/>
      <c r="BK438" s="550"/>
      <c r="BL438" s="550"/>
      <c r="BM438" s="550"/>
      <c r="BN438" s="550"/>
      <c r="BO438" s="550"/>
      <c r="BP438" s="550"/>
      <c r="BQ438" s="550"/>
      <c r="BR438" s="550"/>
      <c r="BS438" s="550"/>
      <c r="BT438" s="550"/>
      <c r="BU438" s="550"/>
      <c r="BV438" s="550"/>
      <c r="BW438" s="550"/>
      <c r="BX438" s="550"/>
      <c r="BY438" s="550"/>
      <c r="BZ438" s="550"/>
      <c r="CA438" s="550"/>
      <c r="CB438" s="550"/>
    </row>
    <row r="439" spans="4:80">
      <c r="D439" s="550"/>
      <c r="E439" s="550"/>
      <c r="F439" s="550"/>
      <c r="G439" s="550"/>
      <c r="H439" s="550"/>
      <c r="I439" s="550"/>
      <c r="J439" s="550"/>
      <c r="K439" s="550"/>
      <c r="L439" s="550"/>
      <c r="M439" s="550"/>
      <c r="N439" s="550"/>
      <c r="O439" s="550"/>
      <c r="P439" s="550"/>
      <c r="Q439" s="550"/>
      <c r="R439" s="550"/>
      <c r="S439" s="550"/>
      <c r="T439" s="550"/>
      <c r="U439" s="550"/>
      <c r="V439" s="550"/>
      <c r="W439" s="550"/>
      <c r="X439" s="550"/>
      <c r="Y439" s="550"/>
      <c r="Z439" s="550"/>
      <c r="AA439" s="550"/>
      <c r="AB439" s="550"/>
      <c r="AC439" s="550"/>
      <c r="AD439" s="550"/>
      <c r="AE439" s="550"/>
      <c r="AF439" s="550"/>
      <c r="AG439" s="550"/>
      <c r="AH439" s="550"/>
      <c r="AI439" s="550"/>
      <c r="AJ439" s="550"/>
      <c r="AK439" s="550"/>
      <c r="AL439" s="550"/>
      <c r="AM439" s="550"/>
      <c r="AN439" s="550"/>
      <c r="AO439" s="550"/>
      <c r="AP439" s="550"/>
      <c r="AQ439" s="550"/>
      <c r="AR439" s="550"/>
      <c r="AS439" s="550"/>
      <c r="AT439" s="550"/>
      <c r="AU439" s="550"/>
      <c r="AV439" s="550"/>
      <c r="AW439" s="550"/>
      <c r="AX439" s="550"/>
      <c r="AY439" s="550"/>
      <c r="AZ439" s="550"/>
      <c r="BA439" s="550"/>
      <c r="BB439" s="550"/>
      <c r="BC439" s="550"/>
      <c r="BD439" s="550"/>
      <c r="BE439" s="550"/>
      <c r="BF439" s="550"/>
      <c r="BG439" s="550"/>
      <c r="BH439" s="550"/>
      <c r="BI439" s="550"/>
      <c r="BJ439" s="550"/>
      <c r="BK439" s="550"/>
      <c r="BL439" s="550"/>
      <c r="BM439" s="550"/>
      <c r="BN439" s="550"/>
      <c r="BO439" s="550"/>
      <c r="BP439" s="550"/>
      <c r="BQ439" s="550"/>
      <c r="BR439" s="550"/>
      <c r="BS439" s="550"/>
      <c r="BT439" s="550"/>
      <c r="BU439" s="550"/>
      <c r="BV439" s="550"/>
      <c r="BW439" s="550"/>
      <c r="BX439" s="550"/>
      <c r="BY439" s="550"/>
      <c r="BZ439" s="550"/>
      <c r="CA439" s="550"/>
      <c r="CB439" s="550"/>
    </row>
    <row r="440" spans="4:80">
      <c r="D440" s="550"/>
      <c r="E440" s="550"/>
      <c r="F440" s="550"/>
      <c r="G440" s="550"/>
      <c r="H440" s="550"/>
      <c r="I440" s="550"/>
      <c r="J440" s="550"/>
      <c r="K440" s="550"/>
      <c r="L440" s="550"/>
      <c r="M440" s="550"/>
      <c r="N440" s="550"/>
      <c r="O440" s="550"/>
      <c r="P440" s="550"/>
      <c r="Q440" s="550"/>
      <c r="R440" s="550"/>
      <c r="S440" s="550"/>
      <c r="T440" s="550"/>
      <c r="U440" s="550"/>
      <c r="V440" s="550"/>
      <c r="W440" s="550"/>
      <c r="X440" s="550"/>
      <c r="Y440" s="550"/>
      <c r="Z440" s="550"/>
      <c r="AA440" s="550"/>
      <c r="AB440" s="550"/>
      <c r="AC440" s="550"/>
      <c r="AD440" s="550"/>
      <c r="AE440" s="550"/>
      <c r="AF440" s="550"/>
      <c r="AG440" s="550"/>
      <c r="AH440" s="550"/>
      <c r="AI440" s="550"/>
      <c r="AJ440" s="550"/>
      <c r="AK440" s="550"/>
      <c r="AL440" s="550"/>
      <c r="AM440" s="550"/>
      <c r="AN440" s="550"/>
      <c r="AO440" s="550"/>
      <c r="AP440" s="550"/>
      <c r="AQ440" s="550"/>
      <c r="AR440" s="550"/>
      <c r="AS440" s="550"/>
      <c r="AT440" s="550"/>
      <c r="AU440" s="550"/>
      <c r="AV440" s="550"/>
      <c r="AW440" s="550"/>
      <c r="AX440" s="550"/>
      <c r="AY440" s="550"/>
      <c r="AZ440" s="550"/>
      <c r="BA440" s="550"/>
      <c r="BB440" s="550"/>
      <c r="BC440" s="550"/>
      <c r="BD440" s="550"/>
      <c r="BE440" s="550"/>
      <c r="BF440" s="550"/>
      <c r="BG440" s="550"/>
      <c r="BH440" s="550"/>
      <c r="BI440" s="550"/>
      <c r="BJ440" s="550"/>
      <c r="BK440" s="550"/>
      <c r="BL440" s="550"/>
      <c r="BM440" s="550"/>
      <c r="BN440" s="550"/>
      <c r="BO440" s="550"/>
      <c r="BP440" s="550"/>
      <c r="BQ440" s="550"/>
      <c r="BR440" s="550"/>
      <c r="BS440" s="550"/>
      <c r="BT440" s="550"/>
      <c r="BU440" s="550"/>
      <c r="BV440" s="550"/>
      <c r="BW440" s="550"/>
      <c r="BX440" s="550"/>
      <c r="BY440" s="550"/>
      <c r="BZ440" s="550"/>
      <c r="CA440" s="550"/>
      <c r="CB440" s="550"/>
    </row>
    <row r="441" spans="4:80">
      <c r="D441" s="550"/>
      <c r="E441" s="550"/>
      <c r="F441" s="550"/>
      <c r="G441" s="550"/>
      <c r="H441" s="550"/>
      <c r="I441" s="550"/>
      <c r="J441" s="550"/>
      <c r="K441" s="550"/>
      <c r="L441" s="550"/>
      <c r="M441" s="550"/>
      <c r="N441" s="550"/>
      <c r="O441" s="550"/>
      <c r="P441" s="550"/>
      <c r="Q441" s="550"/>
      <c r="R441" s="550"/>
      <c r="S441" s="550"/>
      <c r="T441" s="550"/>
      <c r="U441" s="550"/>
      <c r="V441" s="550"/>
      <c r="W441" s="550"/>
      <c r="X441" s="550"/>
      <c r="Y441" s="550"/>
      <c r="Z441" s="550"/>
      <c r="AA441" s="550"/>
      <c r="AB441" s="550"/>
      <c r="AC441" s="550"/>
      <c r="AD441" s="550"/>
      <c r="AE441" s="550"/>
      <c r="AF441" s="550"/>
      <c r="AG441" s="550"/>
      <c r="AH441" s="550"/>
      <c r="AI441" s="550"/>
      <c r="AJ441" s="550"/>
      <c r="AK441" s="550"/>
      <c r="AL441" s="550"/>
      <c r="AM441" s="550"/>
      <c r="AN441" s="550"/>
      <c r="AO441" s="550"/>
      <c r="AP441" s="550"/>
      <c r="AQ441" s="550"/>
      <c r="AR441" s="550"/>
      <c r="AS441" s="550"/>
      <c r="AT441" s="550"/>
      <c r="AU441" s="550"/>
      <c r="AV441" s="550"/>
      <c r="AW441" s="550"/>
      <c r="AX441" s="550"/>
      <c r="AY441" s="550"/>
      <c r="AZ441" s="550"/>
      <c r="BA441" s="550"/>
      <c r="BB441" s="550"/>
      <c r="BC441" s="550"/>
      <c r="BD441" s="550"/>
      <c r="BE441" s="550"/>
      <c r="BF441" s="550"/>
      <c r="BG441" s="550"/>
      <c r="BH441" s="550"/>
      <c r="BI441" s="550"/>
      <c r="BJ441" s="550"/>
      <c r="BK441" s="550"/>
      <c r="BL441" s="550"/>
      <c r="BM441" s="550"/>
      <c r="BN441" s="550"/>
      <c r="BO441" s="550"/>
      <c r="BP441" s="550"/>
      <c r="BQ441" s="550"/>
      <c r="BR441" s="550"/>
      <c r="BS441" s="550"/>
      <c r="BT441" s="550"/>
      <c r="BU441" s="550"/>
      <c r="BV441" s="550"/>
      <c r="BW441" s="550"/>
      <c r="BX441" s="550"/>
      <c r="BY441" s="550"/>
      <c r="BZ441" s="550"/>
      <c r="CA441" s="550"/>
      <c r="CB441" s="550"/>
    </row>
    <row r="442" spans="4:80">
      <c r="D442" s="550"/>
      <c r="E442" s="550"/>
      <c r="F442" s="550"/>
      <c r="G442" s="550"/>
      <c r="H442" s="550"/>
      <c r="I442" s="550"/>
      <c r="J442" s="550"/>
      <c r="K442" s="550"/>
      <c r="L442" s="550"/>
      <c r="M442" s="550"/>
      <c r="N442" s="550"/>
      <c r="O442" s="550"/>
      <c r="P442" s="550"/>
      <c r="Q442" s="550"/>
      <c r="R442" s="550"/>
      <c r="S442" s="550"/>
      <c r="T442" s="550"/>
      <c r="U442" s="550"/>
      <c r="V442" s="550"/>
      <c r="W442" s="550"/>
      <c r="X442" s="550"/>
      <c r="Y442" s="550"/>
      <c r="Z442" s="550"/>
      <c r="AA442" s="550"/>
      <c r="AB442" s="550"/>
      <c r="AC442" s="550"/>
      <c r="AD442" s="550"/>
      <c r="AE442" s="550"/>
      <c r="AF442" s="550"/>
      <c r="AG442" s="550"/>
      <c r="AH442" s="550"/>
      <c r="AI442" s="550"/>
      <c r="AJ442" s="550"/>
      <c r="AK442" s="550"/>
      <c r="AL442" s="550"/>
      <c r="AM442" s="550"/>
      <c r="AN442" s="550"/>
      <c r="AO442" s="550"/>
      <c r="AP442" s="550"/>
      <c r="AQ442" s="550"/>
      <c r="AR442" s="550"/>
      <c r="AS442" s="550"/>
      <c r="AT442" s="550"/>
      <c r="AU442" s="550"/>
      <c r="AV442" s="550"/>
      <c r="AW442" s="550"/>
      <c r="AX442" s="550"/>
      <c r="AY442" s="550"/>
      <c r="AZ442" s="550"/>
      <c r="BA442" s="550"/>
      <c r="BB442" s="550"/>
      <c r="BC442" s="550"/>
      <c r="BD442" s="550"/>
      <c r="BE442" s="550"/>
      <c r="BF442" s="550"/>
      <c r="BG442" s="550"/>
      <c r="BH442" s="550"/>
      <c r="BI442" s="550"/>
      <c r="BJ442" s="550"/>
      <c r="BK442" s="550"/>
      <c r="BL442" s="550"/>
      <c r="BM442" s="550"/>
      <c r="BN442" s="550"/>
      <c r="BO442" s="550"/>
      <c r="BP442" s="550"/>
      <c r="BQ442" s="550"/>
      <c r="BR442" s="550"/>
      <c r="BS442" s="550"/>
      <c r="BT442" s="550"/>
      <c r="BU442" s="550"/>
      <c r="BV442" s="550"/>
      <c r="BW442" s="550"/>
      <c r="BX442" s="550"/>
      <c r="BY442" s="550"/>
      <c r="BZ442" s="550"/>
      <c r="CA442" s="550"/>
      <c r="CB442" s="550"/>
    </row>
    <row r="443" spans="4:80">
      <c r="D443" s="550"/>
      <c r="E443" s="550"/>
      <c r="F443" s="550"/>
      <c r="G443" s="550"/>
      <c r="H443" s="550"/>
      <c r="I443" s="550"/>
      <c r="J443" s="550"/>
      <c r="K443" s="550"/>
      <c r="L443" s="550"/>
      <c r="M443" s="550"/>
      <c r="N443" s="550"/>
      <c r="O443" s="550"/>
      <c r="P443" s="550"/>
      <c r="Q443" s="550"/>
      <c r="R443" s="550"/>
      <c r="S443" s="550"/>
      <c r="T443" s="550"/>
      <c r="U443" s="550"/>
      <c r="V443" s="550"/>
      <c r="W443" s="550"/>
      <c r="X443" s="550"/>
      <c r="Y443" s="550"/>
      <c r="Z443" s="550"/>
      <c r="AA443" s="550"/>
      <c r="AB443" s="550"/>
      <c r="AC443" s="550"/>
      <c r="AD443" s="550"/>
      <c r="AE443" s="550"/>
      <c r="AF443" s="550"/>
      <c r="AG443" s="550"/>
      <c r="AH443" s="550"/>
      <c r="AI443" s="550"/>
      <c r="AJ443" s="550"/>
      <c r="AK443" s="550"/>
      <c r="AL443" s="550"/>
      <c r="AM443" s="550"/>
      <c r="AN443" s="550"/>
      <c r="AO443" s="550"/>
      <c r="AP443" s="550"/>
      <c r="AQ443" s="550"/>
      <c r="AR443" s="550"/>
      <c r="AS443" s="550"/>
      <c r="AT443" s="550"/>
      <c r="AU443" s="550"/>
      <c r="AV443" s="550"/>
      <c r="AW443" s="550"/>
      <c r="AX443" s="550"/>
      <c r="AY443" s="550"/>
      <c r="AZ443" s="550"/>
      <c r="BA443" s="550"/>
      <c r="BB443" s="550"/>
      <c r="BC443" s="550"/>
      <c r="BD443" s="550"/>
      <c r="BE443" s="550"/>
      <c r="BF443" s="550"/>
      <c r="BG443" s="550"/>
      <c r="BH443" s="550"/>
      <c r="BI443" s="550"/>
      <c r="BJ443" s="550"/>
      <c r="BK443" s="550"/>
      <c r="BL443" s="550"/>
      <c r="BM443" s="550"/>
      <c r="BN443" s="550"/>
      <c r="BO443" s="550"/>
      <c r="BP443" s="550"/>
      <c r="BQ443" s="550"/>
      <c r="BR443" s="550"/>
      <c r="BS443" s="550"/>
      <c r="BT443" s="550"/>
      <c r="BU443" s="550"/>
      <c r="BV443" s="550"/>
      <c r="BW443" s="550"/>
      <c r="BX443" s="550"/>
      <c r="BY443" s="550"/>
      <c r="BZ443" s="550"/>
      <c r="CA443" s="550"/>
      <c r="CB443" s="550"/>
    </row>
    <row r="444" spans="4:80">
      <c r="D444" s="550"/>
      <c r="E444" s="550"/>
      <c r="F444" s="550"/>
      <c r="G444" s="550"/>
      <c r="H444" s="550"/>
      <c r="I444" s="550"/>
      <c r="J444" s="550"/>
      <c r="K444" s="550"/>
      <c r="L444" s="550"/>
      <c r="M444" s="550"/>
      <c r="N444" s="550"/>
      <c r="O444" s="550"/>
      <c r="P444" s="550"/>
      <c r="Q444" s="550"/>
      <c r="R444" s="550"/>
      <c r="S444" s="550"/>
      <c r="T444" s="550"/>
      <c r="U444" s="550"/>
      <c r="V444" s="550"/>
      <c r="W444" s="550"/>
      <c r="X444" s="550"/>
      <c r="Y444" s="550"/>
      <c r="Z444" s="550"/>
      <c r="AA444" s="550"/>
      <c r="AB444" s="550"/>
      <c r="AC444" s="550"/>
      <c r="AD444" s="550"/>
      <c r="AE444" s="550"/>
      <c r="AF444" s="550"/>
      <c r="AG444" s="550"/>
      <c r="AH444" s="550"/>
      <c r="AI444" s="550"/>
      <c r="AJ444" s="550"/>
      <c r="AK444" s="550"/>
      <c r="AL444" s="550"/>
      <c r="AM444" s="550"/>
      <c r="AN444" s="550"/>
      <c r="AO444" s="550"/>
      <c r="AP444" s="550"/>
      <c r="AQ444" s="550"/>
      <c r="AR444" s="550"/>
      <c r="AS444" s="550"/>
      <c r="AT444" s="550"/>
      <c r="AU444" s="550"/>
      <c r="AV444" s="550"/>
      <c r="AW444" s="550"/>
      <c r="AX444" s="550"/>
      <c r="AY444" s="550"/>
      <c r="AZ444" s="550"/>
      <c r="BA444" s="550"/>
      <c r="BB444" s="550"/>
      <c r="BC444" s="550"/>
      <c r="BD444" s="550"/>
      <c r="BE444" s="550"/>
      <c r="BF444" s="550"/>
      <c r="BG444" s="550"/>
      <c r="BH444" s="550"/>
      <c r="BI444" s="550"/>
      <c r="BJ444" s="550"/>
      <c r="BK444" s="550"/>
      <c r="BL444" s="550"/>
      <c r="BM444" s="550"/>
      <c r="BN444" s="550"/>
      <c r="BO444" s="550"/>
      <c r="BP444" s="550"/>
      <c r="BQ444" s="550"/>
      <c r="BR444" s="550"/>
      <c r="BS444" s="550"/>
      <c r="BT444" s="550"/>
      <c r="BU444" s="550"/>
      <c r="BV444" s="550"/>
      <c r="BW444" s="550"/>
      <c r="BX444" s="550"/>
      <c r="BY444" s="550"/>
      <c r="BZ444" s="550"/>
      <c r="CA444" s="550"/>
      <c r="CB444" s="550"/>
    </row>
    <row r="445" spans="4:80">
      <c r="D445" s="550"/>
      <c r="E445" s="550"/>
      <c r="F445" s="550"/>
      <c r="G445" s="550"/>
      <c r="H445" s="550"/>
      <c r="I445" s="550"/>
      <c r="J445" s="550"/>
      <c r="K445" s="550"/>
      <c r="L445" s="550"/>
      <c r="M445" s="550"/>
      <c r="N445" s="550"/>
      <c r="O445" s="550"/>
      <c r="P445" s="550"/>
      <c r="Q445" s="550"/>
      <c r="R445" s="550"/>
      <c r="S445" s="550"/>
      <c r="T445" s="550"/>
      <c r="U445" s="550"/>
      <c r="V445" s="550"/>
      <c r="W445" s="550"/>
      <c r="X445" s="550"/>
      <c r="Y445" s="550"/>
      <c r="Z445" s="550"/>
      <c r="AA445" s="550"/>
      <c r="AB445" s="550"/>
      <c r="AC445" s="550"/>
      <c r="AD445" s="550"/>
      <c r="AE445" s="550"/>
      <c r="AF445" s="550"/>
      <c r="AG445" s="550"/>
      <c r="AH445" s="550"/>
      <c r="AI445" s="550"/>
      <c r="AJ445" s="550"/>
      <c r="AK445" s="550"/>
      <c r="AL445" s="550"/>
      <c r="AM445" s="550"/>
      <c r="AN445" s="550"/>
      <c r="AO445" s="550"/>
      <c r="AP445" s="550"/>
      <c r="AQ445" s="550"/>
      <c r="AR445" s="550"/>
      <c r="AS445" s="550"/>
      <c r="AT445" s="550"/>
      <c r="AU445" s="550"/>
      <c r="AV445" s="550"/>
      <c r="AW445" s="550"/>
      <c r="AX445" s="550"/>
      <c r="AY445" s="550"/>
      <c r="AZ445" s="550"/>
      <c r="BA445" s="550"/>
      <c r="BB445" s="550"/>
      <c r="BC445" s="550"/>
      <c r="BD445" s="550"/>
      <c r="BE445" s="550"/>
      <c r="BF445" s="550"/>
      <c r="BG445" s="550"/>
      <c r="BH445" s="550"/>
      <c r="BI445" s="550"/>
      <c r="BJ445" s="550"/>
      <c r="BK445" s="550"/>
      <c r="BL445" s="550"/>
      <c r="BM445" s="550"/>
      <c r="BN445" s="550"/>
      <c r="BO445" s="550"/>
      <c r="BP445" s="550"/>
      <c r="BQ445" s="550"/>
      <c r="BR445" s="550"/>
      <c r="BS445" s="550"/>
      <c r="BT445" s="550"/>
      <c r="BU445" s="550"/>
      <c r="BV445" s="550"/>
      <c r="BW445" s="550"/>
      <c r="BX445" s="550"/>
      <c r="BY445" s="550"/>
      <c r="BZ445" s="550"/>
      <c r="CA445" s="550"/>
      <c r="CB445" s="550"/>
    </row>
    <row r="446" spans="4:80">
      <c r="D446" s="550"/>
      <c r="E446" s="550"/>
      <c r="F446" s="550"/>
      <c r="G446" s="550"/>
      <c r="H446" s="550"/>
      <c r="I446" s="550"/>
      <c r="J446" s="550"/>
      <c r="K446" s="550"/>
      <c r="L446" s="550"/>
      <c r="M446" s="550"/>
      <c r="N446" s="550"/>
      <c r="O446" s="550"/>
      <c r="P446" s="550"/>
      <c r="Q446" s="550"/>
      <c r="R446" s="550"/>
      <c r="S446" s="550"/>
      <c r="T446" s="550"/>
      <c r="U446" s="550"/>
      <c r="V446" s="550"/>
      <c r="W446" s="550"/>
      <c r="X446" s="550"/>
      <c r="Y446" s="550"/>
      <c r="Z446" s="550"/>
      <c r="AA446" s="550"/>
      <c r="AB446" s="550"/>
      <c r="AC446" s="550"/>
      <c r="AD446" s="550"/>
      <c r="AE446" s="550"/>
      <c r="AF446" s="550"/>
      <c r="AG446" s="550"/>
      <c r="AH446" s="550"/>
      <c r="AI446" s="550"/>
      <c r="AJ446" s="550"/>
      <c r="AK446" s="550"/>
      <c r="AL446" s="550"/>
      <c r="AM446" s="550"/>
      <c r="AN446" s="550"/>
      <c r="AO446" s="550"/>
      <c r="AP446" s="550"/>
      <c r="AQ446" s="550"/>
      <c r="AR446" s="550"/>
      <c r="AS446" s="550"/>
      <c r="AT446" s="550"/>
      <c r="AU446" s="550"/>
      <c r="AV446" s="550"/>
      <c r="AW446" s="550"/>
      <c r="AX446" s="550"/>
      <c r="AY446" s="550"/>
      <c r="AZ446" s="550"/>
      <c r="BA446" s="550"/>
      <c r="BB446" s="550"/>
      <c r="BC446" s="550"/>
      <c r="BD446" s="550"/>
      <c r="BE446" s="550"/>
      <c r="BF446" s="550"/>
      <c r="BG446" s="550"/>
      <c r="BH446" s="550"/>
      <c r="BI446" s="550"/>
      <c r="BJ446" s="550"/>
      <c r="BK446" s="550"/>
      <c r="BL446" s="550"/>
      <c r="BM446" s="550"/>
      <c r="BN446" s="550"/>
      <c r="BO446" s="550"/>
      <c r="BP446" s="550"/>
      <c r="BQ446" s="550"/>
      <c r="BR446" s="550"/>
      <c r="BS446" s="550"/>
      <c r="BT446" s="550"/>
      <c r="BU446" s="550"/>
      <c r="BV446" s="550"/>
      <c r="BW446" s="550"/>
      <c r="BX446" s="550"/>
      <c r="BY446" s="550"/>
      <c r="BZ446" s="550"/>
      <c r="CA446" s="550"/>
      <c r="CB446" s="550"/>
    </row>
    <row r="447" spans="4:80">
      <c r="D447" s="550"/>
      <c r="E447" s="550"/>
      <c r="F447" s="550"/>
      <c r="G447" s="550"/>
      <c r="H447" s="550"/>
      <c r="I447" s="550"/>
      <c r="J447" s="550"/>
      <c r="K447" s="550"/>
      <c r="L447" s="550"/>
      <c r="M447" s="550"/>
      <c r="N447" s="550"/>
      <c r="O447" s="550"/>
      <c r="P447" s="550"/>
      <c r="Q447" s="550"/>
      <c r="R447" s="550"/>
      <c r="S447" s="550"/>
      <c r="T447" s="550"/>
      <c r="U447" s="550"/>
      <c r="V447" s="550"/>
      <c r="W447" s="550"/>
      <c r="X447" s="550"/>
      <c r="Y447" s="550"/>
      <c r="Z447" s="550"/>
      <c r="AA447" s="550"/>
      <c r="AB447" s="550"/>
      <c r="AC447" s="550"/>
      <c r="AD447" s="550"/>
      <c r="AE447" s="550"/>
      <c r="AF447" s="550"/>
      <c r="AG447" s="550"/>
      <c r="AH447" s="550"/>
      <c r="AI447" s="550"/>
      <c r="AJ447" s="550"/>
      <c r="AK447" s="550"/>
      <c r="AL447" s="550"/>
      <c r="AM447" s="550"/>
      <c r="AN447" s="550"/>
      <c r="AO447" s="550"/>
      <c r="AP447" s="550"/>
      <c r="AQ447" s="550"/>
      <c r="AR447" s="550"/>
      <c r="AS447" s="550"/>
      <c r="AT447" s="550"/>
      <c r="AU447" s="550"/>
      <c r="AV447" s="550"/>
      <c r="AW447" s="550"/>
      <c r="AX447" s="550"/>
      <c r="AY447" s="550"/>
      <c r="AZ447" s="550"/>
      <c r="BA447" s="550"/>
      <c r="BB447" s="550"/>
      <c r="BC447" s="550"/>
      <c r="BD447" s="550"/>
      <c r="BE447" s="550"/>
      <c r="BF447" s="550"/>
      <c r="BG447" s="550"/>
      <c r="BH447" s="550"/>
      <c r="BI447" s="550"/>
      <c r="BJ447" s="550"/>
      <c r="BK447" s="550"/>
      <c r="BL447" s="550"/>
      <c r="BM447" s="550"/>
      <c r="BN447" s="550"/>
      <c r="BO447" s="550"/>
      <c r="BP447" s="550"/>
      <c r="BQ447" s="550"/>
      <c r="BR447" s="550"/>
      <c r="BS447" s="550"/>
      <c r="BT447" s="550"/>
      <c r="BU447" s="550"/>
      <c r="BV447" s="550"/>
      <c r="BW447" s="550"/>
      <c r="BX447" s="550"/>
      <c r="BY447" s="550"/>
      <c r="BZ447" s="550"/>
      <c r="CA447" s="550"/>
      <c r="CB447" s="550"/>
    </row>
    <row r="448" spans="4:80">
      <c r="D448" s="550"/>
      <c r="E448" s="550"/>
      <c r="F448" s="550"/>
      <c r="G448" s="550"/>
      <c r="H448" s="550"/>
      <c r="I448" s="550"/>
      <c r="J448" s="550"/>
      <c r="K448" s="550"/>
      <c r="L448" s="550"/>
      <c r="M448" s="550"/>
      <c r="N448" s="550"/>
      <c r="O448" s="550"/>
      <c r="P448" s="550"/>
      <c r="Q448" s="550"/>
      <c r="R448" s="550"/>
      <c r="S448" s="550"/>
      <c r="T448" s="550"/>
      <c r="U448" s="550"/>
      <c r="V448" s="550"/>
      <c r="W448" s="550"/>
      <c r="X448" s="550"/>
      <c r="Y448" s="550"/>
      <c r="Z448" s="550"/>
      <c r="AA448" s="550"/>
      <c r="AB448" s="550"/>
      <c r="AC448" s="550"/>
      <c r="AD448" s="550"/>
      <c r="AE448" s="550"/>
      <c r="AF448" s="550"/>
      <c r="AG448" s="550"/>
      <c r="AH448" s="550"/>
      <c r="AI448" s="550"/>
      <c r="AJ448" s="550"/>
      <c r="AK448" s="550"/>
      <c r="AL448" s="550"/>
      <c r="AM448" s="550"/>
      <c r="AN448" s="550"/>
      <c r="AO448" s="550"/>
      <c r="AP448" s="550"/>
      <c r="AQ448" s="550"/>
      <c r="AR448" s="550"/>
      <c r="AS448" s="550"/>
      <c r="AT448" s="550"/>
      <c r="AU448" s="550"/>
      <c r="AV448" s="550"/>
      <c r="AW448" s="550"/>
      <c r="AX448" s="550"/>
      <c r="AY448" s="550"/>
      <c r="AZ448" s="550"/>
      <c r="BA448" s="550"/>
      <c r="BB448" s="550"/>
      <c r="BC448" s="550"/>
      <c r="BD448" s="550"/>
      <c r="BE448" s="550"/>
      <c r="BF448" s="550"/>
      <c r="BG448" s="550"/>
      <c r="BH448" s="550"/>
      <c r="BI448" s="550"/>
      <c r="BJ448" s="550"/>
      <c r="BK448" s="550"/>
      <c r="BL448" s="550"/>
      <c r="BM448" s="550"/>
      <c r="BN448" s="550"/>
      <c r="BO448" s="550"/>
      <c r="BP448" s="550"/>
      <c r="BQ448" s="550"/>
      <c r="BR448" s="550"/>
      <c r="BS448" s="550"/>
      <c r="BT448" s="550"/>
      <c r="BU448" s="550"/>
      <c r="BV448" s="550"/>
      <c r="BW448" s="550"/>
      <c r="BX448" s="550"/>
      <c r="BY448" s="550"/>
      <c r="BZ448" s="550"/>
      <c r="CA448" s="550"/>
      <c r="CB448" s="550"/>
    </row>
    <row r="449" spans="4:80">
      <c r="D449" s="550"/>
      <c r="E449" s="550"/>
      <c r="F449" s="550"/>
      <c r="G449" s="550"/>
      <c r="H449" s="550"/>
      <c r="I449" s="550"/>
      <c r="J449" s="550"/>
      <c r="K449" s="550"/>
      <c r="L449" s="550"/>
      <c r="M449" s="550"/>
      <c r="N449" s="550"/>
      <c r="O449" s="550"/>
      <c r="P449" s="550"/>
      <c r="Q449" s="550"/>
      <c r="R449" s="550"/>
      <c r="S449" s="550"/>
      <c r="T449" s="550"/>
      <c r="U449" s="550"/>
      <c r="V449" s="550"/>
      <c r="W449" s="550"/>
      <c r="X449" s="550"/>
      <c r="Y449" s="550"/>
      <c r="Z449" s="550"/>
      <c r="AA449" s="550"/>
      <c r="AB449" s="550"/>
      <c r="AC449" s="550"/>
      <c r="AD449" s="550"/>
      <c r="AE449" s="550"/>
      <c r="AF449" s="550"/>
      <c r="AG449" s="550"/>
      <c r="AH449" s="550"/>
      <c r="AI449" s="550"/>
      <c r="AJ449" s="550"/>
      <c r="AK449" s="550"/>
      <c r="AL449" s="550"/>
      <c r="AM449" s="550"/>
      <c r="AN449" s="550"/>
      <c r="AO449" s="550"/>
      <c r="AP449" s="550"/>
      <c r="AQ449" s="550"/>
      <c r="AR449" s="550"/>
      <c r="AS449" s="550"/>
      <c r="AT449" s="550"/>
      <c r="AU449" s="550"/>
      <c r="AV449" s="550"/>
      <c r="AW449" s="550"/>
      <c r="AX449" s="550"/>
      <c r="AY449" s="550"/>
      <c r="AZ449" s="550"/>
      <c r="BA449" s="550"/>
      <c r="BB449" s="550"/>
      <c r="BC449" s="550"/>
      <c r="BD449" s="550"/>
      <c r="BE449" s="550"/>
      <c r="BF449" s="550"/>
      <c r="BG449" s="550"/>
      <c r="BH449" s="550"/>
      <c r="BI449" s="550"/>
      <c r="BJ449" s="550"/>
      <c r="BK449" s="550"/>
      <c r="BL449" s="550"/>
      <c r="BM449" s="550"/>
      <c r="BN449" s="550"/>
      <c r="BO449" s="550"/>
      <c r="BP449" s="550"/>
      <c r="BQ449" s="550"/>
      <c r="BR449" s="550"/>
      <c r="BS449" s="550"/>
      <c r="BT449" s="550"/>
      <c r="BU449" s="550"/>
      <c r="BV449" s="550"/>
      <c r="BW449" s="550"/>
      <c r="BX449" s="550"/>
      <c r="BY449" s="550"/>
      <c r="BZ449" s="550"/>
      <c r="CA449" s="550"/>
      <c r="CB449" s="550"/>
    </row>
    <row r="450" spans="4:80">
      <c r="D450" s="550"/>
      <c r="E450" s="550"/>
      <c r="F450" s="550"/>
      <c r="G450" s="550"/>
      <c r="H450" s="550"/>
      <c r="I450" s="550"/>
      <c r="J450" s="550"/>
      <c r="K450" s="550"/>
      <c r="L450" s="550"/>
      <c r="M450" s="550"/>
      <c r="N450" s="550"/>
      <c r="O450" s="550"/>
      <c r="P450" s="550"/>
      <c r="Q450" s="550"/>
      <c r="R450" s="550"/>
      <c r="S450" s="550"/>
      <c r="T450" s="550"/>
      <c r="U450" s="550"/>
      <c r="V450" s="550"/>
      <c r="W450" s="550"/>
      <c r="X450" s="550"/>
      <c r="Y450" s="550"/>
      <c r="Z450" s="550"/>
      <c r="AA450" s="550"/>
      <c r="AB450" s="550"/>
      <c r="AC450" s="550"/>
      <c r="AD450" s="550"/>
      <c r="AE450" s="550"/>
      <c r="AF450" s="550"/>
      <c r="AG450" s="550"/>
      <c r="AH450" s="550"/>
      <c r="AI450" s="550"/>
      <c r="AJ450" s="550"/>
      <c r="AK450" s="550"/>
      <c r="AL450" s="550"/>
      <c r="AM450" s="550"/>
      <c r="AN450" s="550"/>
      <c r="AO450" s="550"/>
      <c r="AP450" s="550"/>
      <c r="AQ450" s="550"/>
      <c r="AR450" s="550"/>
      <c r="AS450" s="550"/>
      <c r="AT450" s="550"/>
      <c r="AU450" s="550"/>
      <c r="AV450" s="550"/>
      <c r="AW450" s="550"/>
      <c r="AX450" s="550"/>
      <c r="AY450" s="550"/>
      <c r="AZ450" s="550"/>
      <c r="BA450" s="550"/>
      <c r="BB450" s="550"/>
      <c r="BC450" s="550"/>
      <c r="BD450" s="550"/>
      <c r="BE450" s="550"/>
      <c r="BF450" s="550"/>
      <c r="BG450" s="550"/>
      <c r="BH450" s="550"/>
      <c r="BI450" s="550"/>
      <c r="BJ450" s="550"/>
      <c r="BK450" s="550"/>
      <c r="BL450" s="550"/>
      <c r="BM450" s="550"/>
      <c r="BN450" s="550"/>
      <c r="BO450" s="550"/>
      <c r="BP450" s="550"/>
      <c r="BQ450" s="550"/>
      <c r="BR450" s="550"/>
      <c r="BS450" s="550"/>
      <c r="BT450" s="550"/>
      <c r="BU450" s="550"/>
      <c r="BV450" s="550"/>
      <c r="BW450" s="550"/>
      <c r="BX450" s="550"/>
      <c r="BY450" s="550"/>
      <c r="BZ450" s="550"/>
      <c r="CA450" s="550"/>
      <c r="CB450" s="550"/>
    </row>
    <row r="451" spans="4:80">
      <c r="D451" s="550"/>
      <c r="E451" s="550"/>
      <c r="F451" s="550"/>
      <c r="G451" s="550"/>
      <c r="H451" s="550"/>
      <c r="I451" s="550"/>
      <c r="J451" s="550"/>
      <c r="K451" s="550"/>
      <c r="L451" s="550"/>
      <c r="M451" s="550"/>
      <c r="N451" s="550"/>
      <c r="O451" s="550"/>
      <c r="P451" s="550"/>
      <c r="Q451" s="550"/>
      <c r="R451" s="550"/>
      <c r="S451" s="550"/>
      <c r="T451" s="550"/>
      <c r="U451" s="550"/>
      <c r="V451" s="550"/>
      <c r="W451" s="550"/>
      <c r="X451" s="550"/>
      <c r="Y451" s="550"/>
      <c r="Z451" s="550"/>
      <c r="AA451" s="550"/>
      <c r="AB451" s="550"/>
      <c r="AC451" s="550"/>
      <c r="AD451" s="550"/>
      <c r="AE451" s="550"/>
      <c r="AF451" s="550"/>
      <c r="AG451" s="550"/>
      <c r="AH451" s="550"/>
      <c r="AI451" s="550"/>
      <c r="AJ451" s="550"/>
      <c r="AK451" s="550"/>
      <c r="AL451" s="550"/>
      <c r="AM451" s="550"/>
      <c r="AN451" s="550"/>
      <c r="AO451" s="550"/>
      <c r="AP451" s="550"/>
      <c r="AQ451" s="550"/>
      <c r="AR451" s="550"/>
      <c r="AS451" s="550"/>
      <c r="AT451" s="550"/>
      <c r="AU451" s="550"/>
      <c r="AV451" s="550"/>
      <c r="AW451" s="550"/>
      <c r="AX451" s="550"/>
      <c r="AY451" s="550"/>
      <c r="AZ451" s="550"/>
      <c r="BA451" s="550"/>
      <c r="BB451" s="550"/>
      <c r="BC451" s="550"/>
      <c r="BD451" s="550"/>
      <c r="BE451" s="550"/>
      <c r="BF451" s="550"/>
      <c r="BG451" s="550"/>
      <c r="BH451" s="550"/>
      <c r="BI451" s="550"/>
      <c r="BJ451" s="550"/>
      <c r="BK451" s="550"/>
      <c r="BL451" s="550"/>
      <c r="BM451" s="550"/>
      <c r="BN451" s="550"/>
      <c r="BO451" s="550"/>
      <c r="BP451" s="550"/>
      <c r="BQ451" s="550"/>
      <c r="BR451" s="550"/>
      <c r="BS451" s="550"/>
      <c r="BT451" s="550"/>
      <c r="BU451" s="550"/>
      <c r="BV451" s="550"/>
      <c r="BW451" s="550"/>
      <c r="BX451" s="550"/>
      <c r="BY451" s="550"/>
      <c r="BZ451" s="550"/>
      <c r="CA451" s="550"/>
      <c r="CB451" s="550"/>
    </row>
    <row r="452" spans="4:80">
      <c r="D452" s="550"/>
      <c r="E452" s="550"/>
      <c r="F452" s="550"/>
      <c r="G452" s="550"/>
      <c r="H452" s="550"/>
      <c r="I452" s="550"/>
      <c r="J452" s="550"/>
      <c r="K452" s="550"/>
      <c r="L452" s="550"/>
      <c r="M452" s="550"/>
      <c r="N452" s="550"/>
      <c r="O452" s="550"/>
      <c r="P452" s="550"/>
      <c r="Q452" s="550"/>
      <c r="R452" s="550"/>
      <c r="S452" s="550"/>
      <c r="T452" s="550"/>
      <c r="U452" s="550"/>
      <c r="V452" s="550"/>
      <c r="W452" s="550"/>
      <c r="X452" s="550"/>
      <c r="Y452" s="550"/>
      <c r="Z452" s="550"/>
      <c r="AA452" s="550"/>
      <c r="AB452" s="550"/>
      <c r="AC452" s="550"/>
      <c r="AD452" s="550"/>
      <c r="AE452" s="550"/>
      <c r="AF452" s="550"/>
      <c r="AG452" s="550"/>
      <c r="AH452" s="550"/>
      <c r="AI452" s="550"/>
      <c r="AJ452" s="550"/>
      <c r="AK452" s="550"/>
      <c r="AL452" s="550"/>
      <c r="AM452" s="550"/>
      <c r="AN452" s="550"/>
      <c r="AO452" s="550"/>
      <c r="AP452" s="550"/>
      <c r="AQ452" s="550"/>
      <c r="AR452" s="550"/>
      <c r="AS452" s="550"/>
      <c r="AT452" s="550"/>
      <c r="AU452" s="550"/>
      <c r="AV452" s="550"/>
      <c r="AW452" s="550"/>
      <c r="AX452" s="550"/>
      <c r="AY452" s="550"/>
      <c r="AZ452" s="550"/>
      <c r="BA452" s="550"/>
      <c r="BB452" s="550"/>
      <c r="BC452" s="550"/>
      <c r="BD452" s="550"/>
      <c r="BE452" s="550"/>
      <c r="BF452" s="550"/>
      <c r="BG452" s="550"/>
      <c r="BH452" s="550"/>
      <c r="BI452" s="550"/>
      <c r="BJ452" s="550"/>
      <c r="BK452" s="550"/>
      <c r="BL452" s="550"/>
      <c r="BM452" s="550"/>
      <c r="BN452" s="550"/>
      <c r="BO452" s="550"/>
      <c r="BP452" s="550"/>
      <c r="BQ452" s="550"/>
      <c r="BR452" s="550"/>
      <c r="BS452" s="550"/>
      <c r="BT452" s="550"/>
      <c r="BU452" s="550"/>
      <c r="BV452" s="550"/>
      <c r="BW452" s="550"/>
      <c r="BX452" s="550"/>
      <c r="BY452" s="550"/>
      <c r="BZ452" s="550"/>
      <c r="CA452" s="550"/>
      <c r="CB452" s="550"/>
    </row>
    <row r="453" spans="4:80">
      <c r="D453" s="550"/>
      <c r="E453" s="550"/>
      <c r="F453" s="550"/>
      <c r="G453" s="550"/>
      <c r="H453" s="550"/>
      <c r="I453" s="550"/>
      <c r="J453" s="550"/>
      <c r="K453" s="550"/>
      <c r="L453" s="550"/>
      <c r="M453" s="550"/>
      <c r="N453" s="550"/>
      <c r="O453" s="550"/>
      <c r="P453" s="550"/>
      <c r="Q453" s="550"/>
      <c r="R453" s="550"/>
      <c r="S453" s="550"/>
      <c r="T453" s="550"/>
      <c r="U453" s="550"/>
      <c r="V453" s="550"/>
      <c r="W453" s="550"/>
      <c r="X453" s="550"/>
      <c r="Y453" s="550"/>
      <c r="Z453" s="550"/>
      <c r="AA453" s="550"/>
      <c r="AB453" s="550"/>
      <c r="AC453" s="550"/>
      <c r="AD453" s="550"/>
      <c r="AE453" s="550"/>
      <c r="AF453" s="550"/>
      <c r="AG453" s="550"/>
      <c r="AH453" s="550"/>
      <c r="AI453" s="550"/>
      <c r="AJ453" s="550"/>
      <c r="AK453" s="550"/>
      <c r="AL453" s="550"/>
      <c r="AM453" s="550"/>
      <c r="AN453" s="550"/>
      <c r="AO453" s="550"/>
      <c r="AP453" s="550"/>
      <c r="AQ453" s="550"/>
      <c r="AR453" s="550"/>
      <c r="AS453" s="550"/>
      <c r="AT453" s="550"/>
      <c r="AU453" s="550"/>
      <c r="AV453" s="550"/>
      <c r="AW453" s="550"/>
      <c r="AX453" s="550"/>
      <c r="AY453" s="550"/>
      <c r="AZ453" s="550"/>
      <c r="BA453" s="550"/>
      <c r="BB453" s="550"/>
      <c r="BC453" s="550"/>
      <c r="BD453" s="550"/>
      <c r="BE453" s="550"/>
      <c r="BF453" s="550"/>
      <c r="BG453" s="550"/>
      <c r="BH453" s="550"/>
      <c r="BI453" s="550"/>
      <c r="BJ453" s="550"/>
      <c r="BK453" s="550"/>
      <c r="BL453" s="550"/>
      <c r="BM453" s="550"/>
      <c r="BN453" s="550"/>
      <c r="BO453" s="550"/>
      <c r="BP453" s="550"/>
      <c r="BQ453" s="550"/>
      <c r="BR453" s="550"/>
      <c r="BS453" s="550"/>
      <c r="BT453" s="550"/>
      <c r="BU453" s="550"/>
      <c r="BV453" s="550"/>
      <c r="BW453" s="550"/>
      <c r="BX453" s="550"/>
      <c r="BY453" s="550"/>
      <c r="BZ453" s="550"/>
      <c r="CA453" s="550"/>
      <c r="CB453" s="550"/>
    </row>
    <row r="454" spans="4:80">
      <c r="D454" s="550"/>
      <c r="E454" s="550"/>
      <c r="F454" s="550"/>
      <c r="G454" s="550"/>
      <c r="H454" s="550"/>
      <c r="I454" s="550"/>
      <c r="J454" s="550"/>
      <c r="K454" s="550"/>
      <c r="L454" s="550"/>
      <c r="M454" s="550"/>
      <c r="N454" s="550"/>
      <c r="O454" s="550"/>
      <c r="P454" s="550"/>
      <c r="Q454" s="550"/>
      <c r="R454" s="550"/>
      <c r="S454" s="550"/>
      <c r="T454" s="550"/>
      <c r="U454" s="550"/>
      <c r="V454" s="550"/>
      <c r="W454" s="550"/>
      <c r="X454" s="550"/>
      <c r="Y454" s="550"/>
      <c r="Z454" s="550"/>
      <c r="AA454" s="550"/>
      <c r="AB454" s="550"/>
      <c r="AC454" s="550"/>
      <c r="AD454" s="550"/>
      <c r="AE454" s="550"/>
      <c r="AF454" s="550"/>
      <c r="AG454" s="550"/>
      <c r="AH454" s="550"/>
      <c r="AI454" s="550"/>
      <c r="AJ454" s="550"/>
      <c r="AK454" s="550"/>
      <c r="AL454" s="550"/>
      <c r="AM454" s="550"/>
      <c r="AN454" s="550"/>
      <c r="AO454" s="550"/>
      <c r="AP454" s="550"/>
      <c r="AQ454" s="550"/>
      <c r="AR454" s="550"/>
      <c r="AS454" s="550"/>
      <c r="AT454" s="550"/>
      <c r="AU454" s="550"/>
      <c r="AV454" s="550"/>
      <c r="AW454" s="550"/>
      <c r="AX454" s="550"/>
      <c r="AY454" s="550"/>
      <c r="AZ454" s="550"/>
      <c r="BA454" s="550"/>
      <c r="BB454" s="550"/>
      <c r="BC454" s="550"/>
      <c r="BD454" s="550"/>
      <c r="BE454" s="550"/>
      <c r="BF454" s="550"/>
      <c r="BG454" s="550"/>
      <c r="BH454" s="550"/>
      <c r="BI454" s="550"/>
      <c r="BJ454" s="550"/>
      <c r="BK454" s="550"/>
      <c r="BL454" s="550"/>
      <c r="BM454" s="550"/>
      <c r="BN454" s="550"/>
      <c r="BO454" s="550"/>
      <c r="BP454" s="550"/>
      <c r="BQ454" s="550"/>
      <c r="BR454" s="550"/>
      <c r="BS454" s="550"/>
      <c r="BT454" s="550"/>
      <c r="BU454" s="550"/>
      <c r="BV454" s="550"/>
      <c r="BW454" s="550"/>
      <c r="BX454" s="550"/>
      <c r="BY454" s="550"/>
      <c r="BZ454" s="550"/>
      <c r="CA454" s="550"/>
      <c r="CB454" s="550"/>
    </row>
    <row r="455" spans="4:80">
      <c r="D455" s="550"/>
      <c r="E455" s="550"/>
      <c r="F455" s="550"/>
      <c r="G455" s="550"/>
      <c r="H455" s="550"/>
      <c r="I455" s="550"/>
      <c r="J455" s="550"/>
      <c r="K455" s="550"/>
      <c r="L455" s="550"/>
      <c r="M455" s="550"/>
      <c r="N455" s="550"/>
      <c r="O455" s="550"/>
      <c r="P455" s="550"/>
      <c r="Q455" s="550"/>
      <c r="R455" s="550"/>
      <c r="S455" s="550"/>
      <c r="T455" s="550"/>
      <c r="U455" s="550"/>
      <c r="V455" s="550"/>
      <c r="W455" s="550"/>
      <c r="X455" s="550"/>
      <c r="Y455" s="550"/>
      <c r="Z455" s="550"/>
      <c r="AA455" s="550"/>
      <c r="AB455" s="550"/>
      <c r="AC455" s="550"/>
      <c r="AD455" s="550"/>
      <c r="AE455" s="550"/>
      <c r="AF455" s="550"/>
      <c r="AG455" s="550"/>
      <c r="AH455" s="550"/>
      <c r="AI455" s="550"/>
      <c r="AJ455" s="550"/>
      <c r="AK455" s="550"/>
      <c r="AL455" s="550"/>
      <c r="AM455" s="550"/>
      <c r="AN455" s="550"/>
      <c r="AO455" s="550"/>
      <c r="AP455" s="550"/>
      <c r="AQ455" s="550"/>
      <c r="AR455" s="550"/>
      <c r="AS455" s="550"/>
      <c r="AT455" s="550"/>
      <c r="AU455" s="550"/>
      <c r="AV455" s="550"/>
      <c r="AW455" s="550"/>
      <c r="AX455" s="550"/>
      <c r="AY455" s="550"/>
      <c r="AZ455" s="550"/>
      <c r="BA455" s="550"/>
      <c r="BB455" s="550"/>
      <c r="BC455" s="550"/>
      <c r="BD455" s="550"/>
      <c r="BE455" s="550"/>
      <c r="BF455" s="550"/>
      <c r="BG455" s="550"/>
      <c r="BH455" s="550"/>
      <c r="BI455" s="550"/>
      <c r="BJ455" s="550"/>
      <c r="BK455" s="550"/>
      <c r="BL455" s="550"/>
      <c r="BM455" s="550"/>
      <c r="BN455" s="550"/>
      <c r="BO455" s="550"/>
      <c r="BP455" s="550"/>
      <c r="BQ455" s="550"/>
      <c r="BR455" s="550"/>
      <c r="BS455" s="550"/>
      <c r="BT455" s="550"/>
      <c r="BU455" s="550"/>
      <c r="BV455" s="550"/>
      <c r="BW455" s="550"/>
      <c r="BX455" s="550"/>
      <c r="BY455" s="550"/>
      <c r="BZ455" s="550"/>
      <c r="CA455" s="550"/>
      <c r="CB455" s="550"/>
    </row>
    <row r="456" spans="4:80">
      <c r="D456" s="550"/>
      <c r="E456" s="550"/>
      <c r="F456" s="550"/>
      <c r="G456" s="550"/>
      <c r="H456" s="550"/>
      <c r="I456" s="550"/>
      <c r="J456" s="550"/>
      <c r="K456" s="550"/>
      <c r="L456" s="550"/>
      <c r="M456" s="550"/>
      <c r="N456" s="550"/>
      <c r="O456" s="550"/>
      <c r="P456" s="550"/>
      <c r="Q456" s="550"/>
      <c r="R456" s="550"/>
      <c r="S456" s="550"/>
      <c r="T456" s="550"/>
      <c r="U456" s="550"/>
      <c r="V456" s="550"/>
      <c r="W456" s="550"/>
      <c r="X456" s="550"/>
      <c r="Y456" s="550"/>
      <c r="Z456" s="550"/>
      <c r="AA456" s="550"/>
      <c r="AB456" s="550"/>
      <c r="AC456" s="550"/>
      <c r="AD456" s="550"/>
      <c r="AE456" s="550"/>
      <c r="AF456" s="550"/>
      <c r="AG456" s="550"/>
      <c r="AH456" s="550"/>
      <c r="AI456" s="550"/>
      <c r="AJ456" s="550"/>
      <c r="AK456" s="550"/>
      <c r="AL456" s="550"/>
      <c r="AM456" s="550"/>
      <c r="AN456" s="550"/>
      <c r="AO456" s="550"/>
      <c r="AP456" s="550"/>
      <c r="AQ456" s="550"/>
      <c r="AR456" s="550"/>
      <c r="AS456" s="550"/>
      <c r="AT456" s="550"/>
      <c r="AU456" s="550"/>
      <c r="AV456" s="550"/>
      <c r="AW456" s="550"/>
      <c r="AX456" s="550"/>
      <c r="AY456" s="550"/>
      <c r="AZ456" s="550"/>
      <c r="BA456" s="550"/>
      <c r="BB456" s="550"/>
      <c r="BC456" s="550"/>
      <c r="BD456" s="550"/>
      <c r="BE456" s="550"/>
      <c r="BF456" s="550"/>
      <c r="BG456" s="550"/>
      <c r="BH456" s="550"/>
      <c r="BI456" s="550"/>
      <c r="BJ456" s="550"/>
      <c r="BK456" s="550"/>
      <c r="BL456" s="550"/>
      <c r="BM456" s="550"/>
      <c r="BN456" s="550"/>
      <c r="BO456" s="550"/>
      <c r="BP456" s="550"/>
      <c r="BQ456" s="550"/>
      <c r="BR456" s="550"/>
      <c r="BS456" s="550"/>
      <c r="BT456" s="550"/>
      <c r="BU456" s="550"/>
      <c r="BV456" s="550"/>
      <c r="BW456" s="550"/>
      <c r="BX456" s="550"/>
      <c r="BY456" s="550"/>
      <c r="BZ456" s="550"/>
      <c r="CA456" s="550"/>
      <c r="CB456" s="550"/>
    </row>
    <row r="457" spans="4:80">
      <c r="D457" s="550"/>
      <c r="E457" s="550"/>
      <c r="F457" s="550"/>
      <c r="G457" s="550"/>
      <c r="H457" s="550"/>
      <c r="I457" s="550"/>
      <c r="J457" s="550"/>
      <c r="K457" s="550"/>
      <c r="L457" s="550"/>
      <c r="M457" s="550"/>
      <c r="N457" s="550"/>
      <c r="O457" s="550"/>
      <c r="P457" s="550"/>
      <c r="Q457" s="550"/>
      <c r="R457" s="550"/>
      <c r="S457" s="550"/>
      <c r="T457" s="550"/>
      <c r="U457" s="550"/>
      <c r="V457" s="550"/>
      <c r="W457" s="550"/>
      <c r="X457" s="550"/>
      <c r="Y457" s="550"/>
      <c r="Z457" s="550"/>
      <c r="AA457" s="550"/>
      <c r="AB457" s="550"/>
      <c r="AC457" s="550"/>
      <c r="AD457" s="550"/>
      <c r="AE457" s="550"/>
      <c r="AF457" s="550"/>
      <c r="AG457" s="550"/>
      <c r="AH457" s="550"/>
      <c r="AI457" s="550"/>
      <c r="AJ457" s="550"/>
      <c r="AK457" s="550"/>
      <c r="AL457" s="550"/>
      <c r="AM457" s="550"/>
      <c r="AN457" s="550"/>
      <c r="AO457" s="550"/>
      <c r="AP457" s="550"/>
      <c r="AQ457" s="550"/>
      <c r="AR457" s="550"/>
      <c r="AS457" s="550"/>
      <c r="AT457" s="550"/>
      <c r="AU457" s="550"/>
      <c r="AV457" s="550"/>
      <c r="AW457" s="550"/>
      <c r="AX457" s="550"/>
      <c r="AY457" s="550"/>
      <c r="AZ457" s="550"/>
      <c r="BA457" s="550"/>
      <c r="BB457" s="550"/>
      <c r="BC457" s="550"/>
      <c r="BD457" s="550"/>
      <c r="BE457" s="550"/>
      <c r="BF457" s="550"/>
      <c r="BG457" s="550"/>
      <c r="BH457" s="550"/>
      <c r="BI457" s="550"/>
      <c r="BJ457" s="550"/>
      <c r="BK457" s="550"/>
      <c r="BL457" s="550"/>
      <c r="BM457" s="550"/>
      <c r="BN457" s="550"/>
      <c r="BO457" s="550"/>
      <c r="BP457" s="550"/>
      <c r="BQ457" s="550"/>
      <c r="BR457" s="550"/>
      <c r="BS457" s="550"/>
      <c r="BT457" s="550"/>
      <c r="BU457" s="550"/>
      <c r="BV457" s="550"/>
      <c r="BW457" s="550"/>
      <c r="BX457" s="550"/>
      <c r="BY457" s="550"/>
      <c r="BZ457" s="550"/>
      <c r="CA457" s="550"/>
      <c r="CB457" s="550"/>
    </row>
    <row r="458" spans="4:80">
      <c r="D458" s="550"/>
      <c r="E458" s="550"/>
      <c r="F458" s="550"/>
      <c r="G458" s="550"/>
      <c r="H458" s="550"/>
      <c r="I458" s="550"/>
      <c r="J458" s="550"/>
      <c r="K458" s="550"/>
      <c r="L458" s="550"/>
      <c r="M458" s="550"/>
      <c r="N458" s="550"/>
      <c r="O458" s="550"/>
      <c r="P458" s="550"/>
      <c r="Q458" s="550"/>
      <c r="R458" s="550"/>
      <c r="S458" s="550"/>
      <c r="T458" s="550"/>
      <c r="U458" s="550"/>
      <c r="V458" s="550"/>
      <c r="W458" s="550"/>
      <c r="X458" s="550"/>
      <c r="Y458" s="550"/>
      <c r="Z458" s="550"/>
      <c r="AA458" s="550"/>
      <c r="AB458" s="550"/>
      <c r="AC458" s="550"/>
      <c r="AD458" s="550"/>
      <c r="AE458" s="550"/>
      <c r="AF458" s="550"/>
      <c r="AG458" s="550"/>
      <c r="AH458" s="550"/>
      <c r="AI458" s="550"/>
      <c r="AJ458" s="550"/>
      <c r="AK458" s="550"/>
      <c r="AL458" s="550"/>
      <c r="AM458" s="550"/>
      <c r="AN458" s="550"/>
      <c r="AO458" s="550"/>
      <c r="AP458" s="550"/>
      <c r="AQ458" s="550"/>
      <c r="AR458" s="550"/>
      <c r="AS458" s="550"/>
      <c r="AT458" s="550"/>
      <c r="AU458" s="550"/>
      <c r="AV458" s="550"/>
      <c r="AW458" s="550"/>
      <c r="AX458" s="550"/>
      <c r="AY458" s="550"/>
      <c r="AZ458" s="550"/>
      <c r="BA458" s="550"/>
      <c r="BB458" s="550"/>
      <c r="BC458" s="550"/>
      <c r="BD458" s="550"/>
      <c r="BE458" s="550"/>
      <c r="BF458" s="550"/>
      <c r="BG458" s="550"/>
      <c r="BH458" s="550"/>
      <c r="BI458" s="550"/>
      <c r="BJ458" s="550"/>
      <c r="BK458" s="550"/>
      <c r="BL458" s="550"/>
      <c r="BM458" s="550"/>
      <c r="BN458" s="550"/>
      <c r="BO458" s="550"/>
      <c r="BP458" s="550"/>
      <c r="BQ458" s="550"/>
      <c r="BR458" s="550"/>
      <c r="BS458" s="550"/>
      <c r="BT458" s="550"/>
      <c r="BU458" s="550"/>
      <c r="BV458" s="550"/>
      <c r="BW458" s="550"/>
      <c r="BX458" s="550"/>
      <c r="BY458" s="550"/>
      <c r="BZ458" s="550"/>
      <c r="CA458" s="550"/>
      <c r="CB458" s="550"/>
    </row>
    <row r="459" spans="4:80">
      <c r="D459" s="550"/>
      <c r="E459" s="550"/>
      <c r="F459" s="550"/>
      <c r="G459" s="550"/>
      <c r="H459" s="550"/>
      <c r="I459" s="550"/>
      <c r="J459" s="550"/>
      <c r="K459" s="550"/>
      <c r="L459" s="550"/>
      <c r="M459" s="550"/>
      <c r="N459" s="550"/>
      <c r="O459" s="550"/>
      <c r="P459" s="550"/>
      <c r="Q459" s="550"/>
      <c r="R459" s="550"/>
      <c r="S459" s="550"/>
      <c r="T459" s="550"/>
      <c r="U459" s="550"/>
      <c r="V459" s="550"/>
      <c r="W459" s="550"/>
      <c r="X459" s="550"/>
      <c r="Y459" s="550"/>
      <c r="Z459" s="550"/>
      <c r="AA459" s="550"/>
      <c r="AB459" s="550"/>
      <c r="AC459" s="550"/>
      <c r="AD459" s="550"/>
      <c r="AE459" s="550"/>
      <c r="AF459" s="550"/>
      <c r="AG459" s="550"/>
      <c r="AH459" s="550"/>
      <c r="AI459" s="550"/>
      <c r="AJ459" s="550"/>
      <c r="AK459" s="550"/>
      <c r="AL459" s="550"/>
      <c r="AM459" s="550"/>
      <c r="AN459" s="550"/>
      <c r="AO459" s="550"/>
      <c r="AP459" s="550"/>
      <c r="AQ459" s="550"/>
      <c r="AR459" s="550"/>
      <c r="AS459" s="550"/>
      <c r="AT459" s="550"/>
      <c r="AU459" s="550"/>
      <c r="AV459" s="550"/>
      <c r="AW459" s="550"/>
      <c r="AX459" s="550"/>
      <c r="AY459" s="550"/>
      <c r="AZ459" s="550"/>
      <c r="BA459" s="550"/>
      <c r="BB459" s="550"/>
      <c r="BC459" s="550"/>
      <c r="BD459" s="550"/>
      <c r="BE459" s="550"/>
      <c r="BF459" s="550"/>
      <c r="BG459" s="550"/>
      <c r="BH459" s="550"/>
      <c r="BI459" s="550"/>
      <c r="BJ459" s="550"/>
      <c r="BK459" s="550"/>
      <c r="BL459" s="550"/>
      <c r="BM459" s="550"/>
      <c r="BN459" s="550"/>
      <c r="BO459" s="550"/>
      <c r="BP459" s="550"/>
      <c r="BQ459" s="550"/>
      <c r="BR459" s="550"/>
      <c r="BS459" s="550"/>
      <c r="BT459" s="550"/>
      <c r="BU459" s="550"/>
      <c r="BV459" s="550"/>
      <c r="BW459" s="550"/>
      <c r="BX459" s="550"/>
      <c r="BY459" s="550"/>
      <c r="BZ459" s="550"/>
      <c r="CA459" s="550"/>
      <c r="CB459" s="550"/>
    </row>
    <row r="460" spans="4:80">
      <c r="D460" s="550"/>
      <c r="E460" s="550"/>
      <c r="F460" s="550"/>
      <c r="G460" s="550"/>
      <c r="H460" s="550"/>
      <c r="I460" s="550"/>
      <c r="J460" s="550"/>
      <c r="K460" s="550"/>
      <c r="L460" s="550"/>
      <c r="M460" s="550"/>
      <c r="N460" s="550"/>
      <c r="O460" s="550"/>
      <c r="P460" s="550"/>
      <c r="Q460" s="550"/>
      <c r="R460" s="550"/>
      <c r="S460" s="550"/>
      <c r="T460" s="550"/>
      <c r="U460" s="550"/>
      <c r="V460" s="550"/>
      <c r="W460" s="550"/>
      <c r="X460" s="550"/>
      <c r="Y460" s="550"/>
      <c r="Z460" s="550"/>
      <c r="AA460" s="550"/>
      <c r="AB460" s="550"/>
      <c r="AC460" s="550"/>
      <c r="AD460" s="550"/>
      <c r="AE460" s="550"/>
      <c r="AF460" s="550"/>
      <c r="AG460" s="550"/>
      <c r="AH460" s="550"/>
      <c r="AI460" s="550"/>
      <c r="AJ460" s="550"/>
      <c r="AK460" s="550"/>
      <c r="AL460" s="550"/>
      <c r="AM460" s="550"/>
      <c r="AN460" s="550"/>
      <c r="AO460" s="550"/>
      <c r="AP460" s="550"/>
      <c r="AQ460" s="550"/>
      <c r="AR460" s="550"/>
      <c r="AS460" s="550"/>
      <c r="AT460" s="550"/>
      <c r="AU460" s="550"/>
      <c r="AV460" s="550"/>
      <c r="AW460" s="550"/>
      <c r="AX460" s="550"/>
      <c r="AY460" s="550"/>
      <c r="AZ460" s="550"/>
      <c r="BA460" s="550"/>
      <c r="BB460" s="550"/>
      <c r="BC460" s="550"/>
      <c r="BD460" s="550"/>
      <c r="BE460" s="550"/>
      <c r="BF460" s="550"/>
      <c r="BG460" s="550"/>
      <c r="BH460" s="550"/>
      <c r="BI460" s="550"/>
      <c r="BJ460" s="550"/>
      <c r="BK460" s="550"/>
      <c r="BL460" s="550"/>
      <c r="BM460" s="550"/>
      <c r="BN460" s="550"/>
      <c r="BO460" s="550"/>
      <c r="BP460" s="550"/>
      <c r="BQ460" s="550"/>
      <c r="BR460" s="550"/>
      <c r="BS460" s="550"/>
      <c r="BT460" s="550"/>
      <c r="BU460" s="550"/>
      <c r="BV460" s="550"/>
      <c r="BW460" s="550"/>
      <c r="BX460" s="550"/>
      <c r="BY460" s="550"/>
      <c r="BZ460" s="550"/>
      <c r="CA460" s="550"/>
      <c r="CB460" s="550"/>
    </row>
    <row r="461" spans="4:80">
      <c r="D461" s="550"/>
      <c r="E461" s="550"/>
      <c r="F461" s="550"/>
      <c r="G461" s="550"/>
      <c r="H461" s="550"/>
      <c r="I461" s="550"/>
      <c r="J461" s="550"/>
      <c r="K461" s="550"/>
      <c r="L461" s="550"/>
      <c r="M461" s="550"/>
      <c r="N461" s="550"/>
      <c r="O461" s="550"/>
      <c r="P461" s="550"/>
      <c r="Q461" s="550"/>
      <c r="R461" s="550"/>
      <c r="S461" s="550"/>
      <c r="T461" s="550"/>
      <c r="U461" s="550"/>
      <c r="V461" s="550"/>
      <c r="W461" s="550"/>
      <c r="X461" s="550"/>
      <c r="Y461" s="550"/>
      <c r="Z461" s="550"/>
      <c r="AA461" s="550"/>
      <c r="AB461" s="550"/>
      <c r="AC461" s="550"/>
      <c r="AD461" s="550"/>
      <c r="AE461" s="550"/>
      <c r="AF461" s="550"/>
      <c r="AG461" s="550"/>
      <c r="AH461" s="550"/>
      <c r="AI461" s="550"/>
      <c r="AJ461" s="550"/>
      <c r="AK461" s="550"/>
      <c r="AL461" s="550"/>
      <c r="AM461" s="550"/>
      <c r="AN461" s="550"/>
      <c r="AO461" s="550"/>
      <c r="AP461" s="550"/>
      <c r="AQ461" s="550"/>
      <c r="AR461" s="550"/>
      <c r="AS461" s="550"/>
      <c r="AT461" s="550"/>
      <c r="AU461" s="550"/>
      <c r="AV461" s="550"/>
      <c r="AW461" s="550"/>
      <c r="AX461" s="550"/>
      <c r="AY461" s="550"/>
      <c r="AZ461" s="550"/>
      <c r="BA461" s="550"/>
      <c r="BB461" s="550"/>
      <c r="BC461" s="550"/>
      <c r="BD461" s="550"/>
      <c r="BE461" s="550"/>
      <c r="BF461" s="550"/>
      <c r="BG461" s="550"/>
      <c r="BH461" s="550"/>
      <c r="BI461" s="550"/>
      <c r="BJ461" s="550"/>
      <c r="BK461" s="550"/>
      <c r="BL461" s="550"/>
      <c r="BM461" s="550"/>
      <c r="BN461" s="550"/>
      <c r="BO461" s="550"/>
      <c r="BP461" s="550"/>
      <c r="BQ461" s="550"/>
      <c r="BR461" s="550"/>
      <c r="BS461" s="550"/>
      <c r="BT461" s="550"/>
      <c r="BU461" s="550"/>
      <c r="BV461" s="550"/>
      <c r="BW461" s="550"/>
      <c r="BX461" s="550"/>
      <c r="BY461" s="550"/>
      <c r="BZ461" s="550"/>
      <c r="CA461" s="550"/>
      <c r="CB461" s="550"/>
    </row>
    <row r="462" spans="4:80">
      <c r="D462" s="550"/>
      <c r="E462" s="550"/>
      <c r="F462" s="550"/>
      <c r="G462" s="550"/>
      <c r="H462" s="550"/>
      <c r="I462" s="550"/>
      <c r="J462" s="550"/>
      <c r="K462" s="550"/>
      <c r="L462" s="550"/>
      <c r="M462" s="550"/>
      <c r="N462" s="550"/>
      <c r="O462" s="550"/>
      <c r="P462" s="550"/>
      <c r="Q462" s="550"/>
      <c r="R462" s="550"/>
      <c r="S462" s="550"/>
      <c r="T462" s="550"/>
      <c r="U462" s="550"/>
      <c r="V462" s="550"/>
      <c r="W462" s="550"/>
      <c r="X462" s="550"/>
      <c r="Y462" s="550"/>
      <c r="Z462" s="550"/>
      <c r="AA462" s="550"/>
      <c r="AB462" s="550"/>
      <c r="AC462" s="550"/>
      <c r="AD462" s="550"/>
      <c r="AE462" s="550"/>
      <c r="AF462" s="550"/>
      <c r="AG462" s="550"/>
      <c r="AH462" s="550"/>
      <c r="AI462" s="550"/>
      <c r="AJ462" s="550"/>
      <c r="AK462" s="550"/>
      <c r="AL462" s="550"/>
      <c r="AM462" s="550"/>
      <c r="AN462" s="550"/>
      <c r="AO462" s="550"/>
      <c r="AP462" s="550"/>
      <c r="AQ462" s="550"/>
      <c r="AR462" s="550"/>
      <c r="AS462" s="550"/>
      <c r="AT462" s="550"/>
      <c r="AU462" s="550"/>
      <c r="AV462" s="550"/>
      <c r="AW462" s="550"/>
      <c r="AX462" s="550"/>
      <c r="AY462" s="550"/>
      <c r="AZ462" s="550"/>
      <c r="BA462" s="550"/>
      <c r="BB462" s="550"/>
      <c r="BC462" s="550"/>
      <c r="BD462" s="550"/>
      <c r="BE462" s="550"/>
      <c r="BF462" s="550"/>
      <c r="BG462" s="550"/>
      <c r="BH462" s="550"/>
      <c r="BI462" s="550"/>
      <c r="BJ462" s="550"/>
      <c r="BK462" s="550"/>
      <c r="BL462" s="550"/>
      <c r="BM462" s="550"/>
      <c r="BN462" s="550"/>
      <c r="BO462" s="550"/>
      <c r="BP462" s="550"/>
      <c r="BQ462" s="550"/>
      <c r="BR462" s="550"/>
      <c r="BS462" s="550"/>
      <c r="BT462" s="550"/>
      <c r="BU462" s="550"/>
      <c r="BV462" s="550"/>
      <c r="BW462" s="550"/>
      <c r="BX462" s="550"/>
      <c r="BY462" s="550"/>
      <c r="BZ462" s="550"/>
      <c r="CA462" s="550"/>
      <c r="CB462" s="550"/>
    </row>
    <row r="463" spans="4:80">
      <c r="D463" s="550"/>
      <c r="E463" s="550"/>
      <c r="F463" s="550"/>
      <c r="G463" s="550"/>
      <c r="H463" s="550"/>
      <c r="I463" s="550"/>
      <c r="J463" s="550"/>
      <c r="K463" s="550"/>
      <c r="L463" s="550"/>
      <c r="M463" s="550"/>
      <c r="N463" s="550"/>
      <c r="O463" s="550"/>
      <c r="P463" s="550"/>
      <c r="Q463" s="550"/>
      <c r="R463" s="550"/>
      <c r="S463" s="550"/>
      <c r="T463" s="550"/>
      <c r="U463" s="550"/>
      <c r="V463" s="550"/>
      <c r="W463" s="550"/>
      <c r="X463" s="550"/>
      <c r="Y463" s="550"/>
      <c r="Z463" s="550"/>
      <c r="AA463" s="550"/>
      <c r="AB463" s="550"/>
      <c r="AC463" s="550"/>
      <c r="AD463" s="550"/>
      <c r="AE463" s="550"/>
      <c r="AF463" s="550"/>
      <c r="AG463" s="550"/>
      <c r="AH463" s="550"/>
      <c r="AI463" s="550"/>
      <c r="AJ463" s="550"/>
      <c r="AK463" s="550"/>
      <c r="AL463" s="550"/>
      <c r="AM463" s="550"/>
      <c r="AN463" s="550"/>
      <c r="AO463" s="550"/>
      <c r="AP463" s="550"/>
      <c r="AQ463" s="550"/>
      <c r="AR463" s="550"/>
      <c r="AS463" s="550"/>
      <c r="AT463" s="550"/>
      <c r="AU463" s="550"/>
      <c r="AV463" s="550"/>
      <c r="AW463" s="550"/>
      <c r="AX463" s="550"/>
      <c r="AY463" s="550"/>
      <c r="AZ463" s="550"/>
      <c r="BA463" s="550"/>
      <c r="BB463" s="550"/>
      <c r="BC463" s="550"/>
      <c r="BD463" s="550"/>
      <c r="BE463" s="550"/>
      <c r="BF463" s="550"/>
      <c r="BG463" s="550"/>
      <c r="BH463" s="550"/>
      <c r="BI463" s="550"/>
      <c r="BJ463" s="550"/>
      <c r="BK463" s="550"/>
      <c r="BL463" s="550"/>
      <c r="BM463" s="550"/>
      <c r="BN463" s="550"/>
      <c r="BO463" s="550"/>
      <c r="BP463" s="550"/>
      <c r="BQ463" s="550"/>
      <c r="BR463" s="550"/>
      <c r="BS463" s="550"/>
      <c r="BT463" s="550"/>
      <c r="BU463" s="550"/>
      <c r="BV463" s="550"/>
      <c r="BW463" s="550"/>
      <c r="BX463" s="550"/>
      <c r="BY463" s="550"/>
      <c r="BZ463" s="550"/>
      <c r="CA463" s="550"/>
      <c r="CB463" s="550"/>
    </row>
    <row r="464" spans="4:80">
      <c r="D464" s="550"/>
      <c r="E464" s="550"/>
      <c r="F464" s="550"/>
      <c r="G464" s="550"/>
      <c r="H464" s="550"/>
      <c r="I464" s="550"/>
      <c r="J464" s="550"/>
      <c r="K464" s="550"/>
      <c r="L464" s="550"/>
      <c r="M464" s="550"/>
      <c r="N464" s="550"/>
      <c r="O464" s="550"/>
      <c r="P464" s="550"/>
      <c r="Q464" s="550"/>
      <c r="R464" s="550"/>
      <c r="S464" s="550"/>
      <c r="T464" s="550"/>
      <c r="U464" s="550"/>
      <c r="V464" s="550"/>
      <c r="W464" s="550"/>
      <c r="X464" s="550"/>
      <c r="Y464" s="550"/>
      <c r="Z464" s="550"/>
      <c r="AA464" s="550"/>
      <c r="AB464" s="550"/>
      <c r="AC464" s="550"/>
      <c r="AD464" s="550"/>
      <c r="AE464" s="550"/>
      <c r="AF464" s="550"/>
      <c r="AG464" s="550"/>
      <c r="AH464" s="550"/>
      <c r="AI464" s="550"/>
      <c r="AJ464" s="550"/>
      <c r="AK464" s="550"/>
      <c r="AL464" s="550"/>
      <c r="AM464" s="550"/>
      <c r="AN464" s="550"/>
      <c r="AO464" s="550"/>
      <c r="AP464" s="550"/>
      <c r="AQ464" s="550"/>
      <c r="AR464" s="550"/>
      <c r="AS464" s="550"/>
      <c r="AT464" s="550"/>
      <c r="AU464" s="550"/>
      <c r="AV464" s="550"/>
      <c r="AW464" s="550"/>
      <c r="AX464" s="550"/>
      <c r="AY464" s="550"/>
      <c r="AZ464" s="550"/>
      <c r="BA464" s="550"/>
      <c r="BB464" s="550"/>
      <c r="BC464" s="550"/>
      <c r="BD464" s="550"/>
      <c r="BE464" s="550"/>
      <c r="BF464" s="550"/>
      <c r="BG464" s="550"/>
      <c r="BH464" s="550"/>
      <c r="BI464" s="550"/>
      <c r="BJ464" s="550"/>
      <c r="BK464" s="550"/>
      <c r="BL464" s="550"/>
      <c r="BM464" s="550"/>
      <c r="BN464" s="550"/>
      <c r="BO464" s="550"/>
      <c r="BP464" s="550"/>
      <c r="BQ464" s="550"/>
      <c r="BR464" s="550"/>
      <c r="BS464" s="550"/>
      <c r="BT464" s="550"/>
      <c r="BU464" s="550"/>
      <c r="BV464" s="550"/>
      <c r="BW464" s="550"/>
      <c r="BX464" s="550"/>
      <c r="BY464" s="550"/>
      <c r="BZ464" s="550"/>
      <c r="CA464" s="550"/>
      <c r="CB464" s="550"/>
    </row>
    <row r="465" spans="4:80">
      <c r="D465" s="550"/>
      <c r="E465" s="550"/>
      <c r="F465" s="550"/>
      <c r="G465" s="550"/>
      <c r="H465" s="550"/>
      <c r="I465" s="550"/>
      <c r="J465" s="550"/>
      <c r="K465" s="550"/>
      <c r="L465" s="550"/>
      <c r="M465" s="550"/>
      <c r="N465" s="550"/>
      <c r="O465" s="550"/>
      <c r="P465" s="550"/>
      <c r="Q465" s="550"/>
      <c r="R465" s="550"/>
      <c r="S465" s="550"/>
      <c r="T465" s="550"/>
      <c r="U465" s="550"/>
      <c r="V465" s="550"/>
      <c r="W465" s="550"/>
      <c r="X465" s="550"/>
      <c r="Y465" s="550"/>
      <c r="Z465" s="550"/>
      <c r="AA465" s="550"/>
      <c r="AB465" s="550"/>
      <c r="AC465" s="550"/>
      <c r="AD465" s="550"/>
      <c r="AE465" s="550"/>
      <c r="AF465" s="550"/>
      <c r="AG465" s="550"/>
      <c r="AH465" s="550"/>
      <c r="AI465" s="550"/>
      <c r="AJ465" s="550"/>
      <c r="AK465" s="550"/>
      <c r="AL465" s="550"/>
      <c r="AM465" s="550"/>
      <c r="AN465" s="550"/>
      <c r="AO465" s="550"/>
      <c r="AP465" s="550"/>
      <c r="AQ465" s="550"/>
      <c r="AR465" s="550"/>
      <c r="AS465" s="550"/>
      <c r="AT465" s="550"/>
      <c r="AU465" s="550"/>
      <c r="AV465" s="550"/>
      <c r="AW465" s="550"/>
      <c r="AX465" s="550"/>
      <c r="AY465" s="550"/>
      <c r="AZ465" s="550"/>
      <c r="BA465" s="550"/>
      <c r="BB465" s="550"/>
      <c r="BC465" s="550"/>
      <c r="BD465" s="550"/>
      <c r="BE465" s="550"/>
      <c r="BF465" s="550"/>
      <c r="BG465" s="550"/>
      <c r="BH465" s="550"/>
      <c r="BI465" s="550"/>
      <c r="BJ465" s="550"/>
      <c r="BK465" s="550"/>
      <c r="BL465" s="550"/>
      <c r="BM465" s="550"/>
      <c r="BN465" s="550"/>
      <c r="BO465" s="550"/>
      <c r="BP465" s="550"/>
      <c r="BQ465" s="550"/>
      <c r="BR465" s="550"/>
      <c r="BS465" s="550"/>
      <c r="BT465" s="550"/>
      <c r="BU465" s="550"/>
      <c r="BV465" s="550"/>
      <c r="BW465" s="550"/>
      <c r="BX465" s="550"/>
      <c r="BY465" s="550"/>
      <c r="BZ465" s="550"/>
      <c r="CA465" s="550"/>
      <c r="CB465" s="550"/>
    </row>
    <row r="466" spans="4:80">
      <c r="D466" s="550"/>
      <c r="E466" s="550"/>
      <c r="F466" s="550"/>
      <c r="G466" s="550"/>
      <c r="H466" s="550"/>
      <c r="I466" s="550"/>
      <c r="J466" s="550"/>
      <c r="K466" s="550"/>
      <c r="L466" s="550"/>
      <c r="M466" s="550"/>
      <c r="N466" s="550"/>
      <c r="O466" s="550"/>
      <c r="P466" s="550"/>
      <c r="Q466" s="550"/>
      <c r="R466" s="550"/>
      <c r="S466" s="550"/>
      <c r="T466" s="550"/>
      <c r="U466" s="550"/>
      <c r="V466" s="550"/>
      <c r="W466" s="550"/>
      <c r="X466" s="550"/>
      <c r="Y466" s="550"/>
      <c r="Z466" s="550"/>
      <c r="AA466" s="550"/>
      <c r="AB466" s="550"/>
      <c r="AC466" s="550"/>
      <c r="AD466" s="550"/>
      <c r="AE466" s="550"/>
      <c r="AF466" s="550"/>
      <c r="AG466" s="550"/>
      <c r="AH466" s="550"/>
      <c r="AI466" s="550"/>
      <c r="AJ466" s="550"/>
      <c r="AK466" s="550"/>
      <c r="AL466" s="550"/>
      <c r="AM466" s="550"/>
      <c r="AN466" s="550"/>
      <c r="AO466" s="550"/>
      <c r="AP466" s="550"/>
      <c r="AQ466" s="550"/>
      <c r="AR466" s="550"/>
      <c r="AS466" s="550"/>
      <c r="AT466" s="550"/>
      <c r="AU466" s="550"/>
      <c r="AV466" s="550"/>
      <c r="AW466" s="550"/>
      <c r="AX466" s="550"/>
      <c r="AY466" s="550"/>
      <c r="AZ466" s="550"/>
      <c r="BA466" s="550"/>
      <c r="BB466" s="550"/>
      <c r="BC466" s="550"/>
      <c r="BD466" s="550"/>
      <c r="BE466" s="550"/>
      <c r="BF466" s="550"/>
      <c r="BG466" s="550"/>
      <c r="BH466" s="550"/>
      <c r="BI466" s="550"/>
      <c r="BJ466" s="550"/>
      <c r="BK466" s="550"/>
      <c r="BL466" s="550"/>
      <c r="BM466" s="550"/>
      <c r="BN466" s="550"/>
      <c r="BO466" s="550"/>
      <c r="BP466" s="550"/>
      <c r="BQ466" s="550"/>
      <c r="BR466" s="550"/>
      <c r="BS466" s="550"/>
      <c r="BT466" s="550"/>
      <c r="BU466" s="550"/>
      <c r="BV466" s="550"/>
      <c r="BW466" s="550"/>
      <c r="BX466" s="550"/>
      <c r="BY466" s="550"/>
      <c r="BZ466" s="550"/>
      <c r="CA466" s="550"/>
      <c r="CB466" s="550"/>
    </row>
    <row r="467" spans="4:80">
      <c r="D467" s="550"/>
      <c r="E467" s="550"/>
      <c r="F467" s="550"/>
      <c r="G467" s="550"/>
      <c r="H467" s="550"/>
      <c r="I467" s="550"/>
      <c r="J467" s="550"/>
      <c r="K467" s="550"/>
      <c r="L467" s="550"/>
      <c r="M467" s="550"/>
      <c r="N467" s="550"/>
      <c r="O467" s="550"/>
      <c r="P467" s="550"/>
      <c r="Q467" s="550"/>
      <c r="R467" s="550"/>
      <c r="S467" s="550"/>
      <c r="T467" s="550"/>
      <c r="U467" s="550"/>
      <c r="V467" s="550"/>
      <c r="W467" s="550"/>
      <c r="X467" s="550"/>
      <c r="Y467" s="550"/>
      <c r="Z467" s="550"/>
      <c r="AA467" s="550"/>
      <c r="AB467" s="550"/>
      <c r="AC467" s="550"/>
      <c r="AD467" s="550"/>
      <c r="AE467" s="550"/>
      <c r="AF467" s="550"/>
      <c r="AG467" s="550"/>
      <c r="AH467" s="550"/>
      <c r="AI467" s="550"/>
      <c r="AJ467" s="550"/>
      <c r="AK467" s="550"/>
      <c r="AL467" s="550"/>
      <c r="AM467" s="550"/>
      <c r="AN467" s="550"/>
      <c r="AO467" s="550"/>
      <c r="AP467" s="550"/>
      <c r="AQ467" s="550"/>
      <c r="AR467" s="550"/>
      <c r="AS467" s="550"/>
      <c r="AT467" s="550"/>
      <c r="AU467" s="550"/>
      <c r="AV467" s="550"/>
      <c r="AW467" s="550"/>
      <c r="AX467" s="550"/>
      <c r="AY467" s="550"/>
      <c r="AZ467" s="550"/>
      <c r="BA467" s="550"/>
      <c r="BB467" s="550"/>
      <c r="BC467" s="550"/>
      <c r="BD467" s="550"/>
      <c r="BE467" s="550"/>
      <c r="BF467" s="550"/>
      <c r="BG467" s="550"/>
      <c r="BH467" s="550"/>
      <c r="BI467" s="550"/>
      <c r="BJ467" s="550"/>
      <c r="BK467" s="550"/>
      <c r="BL467" s="550"/>
      <c r="BM467" s="550"/>
      <c r="BN467" s="550"/>
      <c r="BO467" s="550"/>
      <c r="BP467" s="550"/>
      <c r="BQ467" s="550"/>
      <c r="BR467" s="550"/>
      <c r="BS467" s="550"/>
      <c r="BT467" s="550"/>
      <c r="BU467" s="550"/>
      <c r="BV467" s="550"/>
      <c r="BW467" s="550"/>
      <c r="BX467" s="550"/>
      <c r="BY467" s="550"/>
      <c r="BZ467" s="550"/>
      <c r="CA467" s="550"/>
      <c r="CB467" s="550"/>
    </row>
    <row r="468" spans="4:80">
      <c r="D468" s="550"/>
      <c r="E468" s="550"/>
      <c r="F468" s="550"/>
      <c r="G468" s="550"/>
      <c r="H468" s="550"/>
      <c r="I468" s="550"/>
      <c r="J468" s="550"/>
      <c r="K468" s="550"/>
      <c r="L468" s="550"/>
      <c r="M468" s="550"/>
      <c r="N468" s="550"/>
      <c r="O468" s="550"/>
      <c r="P468" s="550"/>
      <c r="Q468" s="550"/>
      <c r="R468" s="550"/>
      <c r="S468" s="550"/>
      <c r="T468" s="550"/>
      <c r="U468" s="550"/>
      <c r="V468" s="550"/>
      <c r="W468" s="550"/>
      <c r="X468" s="550"/>
      <c r="Y468" s="550"/>
      <c r="Z468" s="550"/>
      <c r="AA468" s="550"/>
      <c r="AB468" s="550"/>
      <c r="AC468" s="550"/>
      <c r="AD468" s="550"/>
      <c r="AE468" s="550"/>
      <c r="AF468" s="550"/>
      <c r="AG468" s="550"/>
      <c r="AH468" s="550"/>
      <c r="AI468" s="550"/>
      <c r="AJ468" s="550"/>
      <c r="AK468" s="550"/>
      <c r="AL468" s="550"/>
      <c r="AM468" s="550"/>
      <c r="AN468" s="550"/>
      <c r="AO468" s="550"/>
      <c r="AP468" s="550"/>
      <c r="AQ468" s="550"/>
      <c r="AR468" s="550"/>
      <c r="AS468" s="550"/>
      <c r="AT468" s="550"/>
      <c r="AU468" s="550"/>
      <c r="AV468" s="550"/>
      <c r="AW468" s="550"/>
      <c r="AX468" s="550"/>
      <c r="AY468" s="550"/>
      <c r="AZ468" s="550"/>
      <c r="BA468" s="550"/>
      <c r="BB468" s="550"/>
      <c r="BC468" s="550"/>
      <c r="BD468" s="550"/>
      <c r="BE468" s="550"/>
      <c r="BF468" s="550"/>
      <c r="BG468" s="550"/>
      <c r="BH468" s="550"/>
      <c r="BI468" s="550"/>
      <c r="BJ468" s="550"/>
      <c r="BK468" s="550"/>
      <c r="BL468" s="550"/>
      <c r="BM468" s="550"/>
      <c r="BN468" s="550"/>
      <c r="BO468" s="550"/>
      <c r="BP468" s="550"/>
      <c r="BQ468" s="550"/>
      <c r="BR468" s="550"/>
      <c r="BS468" s="550"/>
      <c r="BT468" s="550"/>
      <c r="BU468" s="550"/>
      <c r="BV468" s="550"/>
      <c r="BW468" s="550"/>
      <c r="BX468" s="550"/>
      <c r="BY468" s="550"/>
      <c r="BZ468" s="550"/>
      <c r="CA468" s="550"/>
      <c r="CB468" s="550"/>
    </row>
    <row r="469" spans="4:80">
      <c r="D469" s="550"/>
      <c r="E469" s="550"/>
      <c r="F469" s="550"/>
      <c r="G469" s="550"/>
      <c r="H469" s="550"/>
      <c r="I469" s="550"/>
      <c r="J469" s="550"/>
      <c r="K469" s="550"/>
      <c r="L469" s="550"/>
      <c r="M469" s="550"/>
      <c r="N469" s="550"/>
      <c r="O469" s="550"/>
      <c r="P469" s="550"/>
      <c r="Q469" s="550"/>
      <c r="R469" s="550"/>
      <c r="S469" s="550"/>
      <c r="T469" s="550"/>
      <c r="U469" s="550"/>
      <c r="V469" s="550"/>
      <c r="W469" s="550"/>
      <c r="X469" s="550"/>
      <c r="Y469" s="550"/>
      <c r="Z469" s="550"/>
      <c r="AA469" s="550"/>
      <c r="AB469" s="550"/>
      <c r="AC469" s="550"/>
      <c r="AD469" s="550"/>
      <c r="AE469" s="550"/>
      <c r="AF469" s="550"/>
      <c r="AG469" s="550"/>
      <c r="AH469" s="550"/>
      <c r="AI469" s="550"/>
      <c r="AJ469" s="550"/>
      <c r="AK469" s="550"/>
      <c r="AL469" s="550"/>
      <c r="AM469" s="550"/>
      <c r="AN469" s="550"/>
      <c r="AO469" s="550"/>
      <c r="AP469" s="550"/>
      <c r="AQ469" s="550"/>
      <c r="AR469" s="550"/>
      <c r="AS469" s="550"/>
      <c r="AT469" s="550"/>
      <c r="AU469" s="550"/>
      <c r="AV469" s="550"/>
      <c r="AW469" s="550"/>
      <c r="AX469" s="550"/>
      <c r="AY469" s="550"/>
      <c r="AZ469" s="550"/>
      <c r="BA469" s="550"/>
      <c r="BB469" s="550"/>
      <c r="BC469" s="550"/>
      <c r="BD469" s="550"/>
      <c r="BE469" s="550"/>
      <c r="BF469" s="550"/>
      <c r="BG469" s="550"/>
      <c r="BH469" s="550"/>
      <c r="BI469" s="550"/>
      <c r="BJ469" s="550"/>
      <c r="BK469" s="550"/>
      <c r="BL469" s="550"/>
      <c r="BM469" s="550"/>
      <c r="BN469" s="550"/>
      <c r="BO469" s="550"/>
      <c r="BP469" s="550"/>
      <c r="BQ469" s="550"/>
      <c r="BR469" s="550"/>
      <c r="BS469" s="550"/>
      <c r="BT469" s="550"/>
      <c r="BU469" s="550"/>
      <c r="BV469" s="550"/>
      <c r="BW469" s="550"/>
      <c r="BX469" s="550"/>
      <c r="BY469" s="550"/>
      <c r="BZ469" s="550"/>
      <c r="CA469" s="550"/>
      <c r="CB469" s="550"/>
    </row>
    <row r="470" spans="4:80">
      <c r="D470" s="550"/>
      <c r="E470" s="550"/>
      <c r="F470" s="550"/>
      <c r="G470" s="550"/>
      <c r="H470" s="550"/>
      <c r="I470" s="550"/>
      <c r="J470" s="550"/>
      <c r="K470" s="550"/>
      <c r="L470" s="550"/>
      <c r="M470" s="550"/>
      <c r="N470" s="550"/>
      <c r="O470" s="550"/>
      <c r="P470" s="550"/>
      <c r="Q470" s="550"/>
      <c r="R470" s="550"/>
      <c r="S470" s="550"/>
      <c r="T470" s="550"/>
      <c r="U470" s="550"/>
      <c r="V470" s="550"/>
      <c r="W470" s="550"/>
      <c r="X470" s="550"/>
      <c r="Y470" s="550"/>
      <c r="Z470" s="550"/>
      <c r="AA470" s="550"/>
      <c r="AB470" s="550"/>
      <c r="AC470" s="550"/>
      <c r="AD470" s="550"/>
      <c r="AE470" s="550"/>
      <c r="AF470" s="550"/>
      <c r="AG470" s="550"/>
      <c r="AH470" s="550"/>
      <c r="AI470" s="550"/>
      <c r="AJ470" s="550"/>
      <c r="AK470" s="550"/>
      <c r="AL470" s="550"/>
      <c r="AM470" s="550"/>
      <c r="AN470" s="550"/>
      <c r="AO470" s="550"/>
      <c r="AP470" s="550"/>
      <c r="AQ470" s="550"/>
      <c r="AR470" s="550"/>
      <c r="AS470" s="550"/>
      <c r="AT470" s="550"/>
      <c r="AU470" s="550"/>
      <c r="AV470" s="550"/>
      <c r="AW470" s="550"/>
      <c r="AX470" s="550"/>
      <c r="AY470" s="550"/>
      <c r="AZ470" s="550"/>
      <c r="BA470" s="550"/>
      <c r="BB470" s="550"/>
      <c r="BC470" s="550"/>
      <c r="BD470" s="550"/>
      <c r="BE470" s="550"/>
      <c r="BF470" s="550"/>
      <c r="BG470" s="550"/>
      <c r="BH470" s="550"/>
      <c r="BI470" s="550"/>
      <c r="BJ470" s="550"/>
      <c r="BK470" s="550"/>
      <c r="BL470" s="550"/>
      <c r="BM470" s="550"/>
      <c r="BN470" s="550"/>
      <c r="BO470" s="550"/>
      <c r="BP470" s="550"/>
      <c r="BQ470" s="550"/>
      <c r="BR470" s="550"/>
      <c r="BS470" s="550"/>
      <c r="BT470" s="550"/>
      <c r="BU470" s="550"/>
      <c r="BV470" s="550"/>
      <c r="BW470" s="550"/>
      <c r="BX470" s="550"/>
      <c r="BY470" s="550"/>
      <c r="BZ470" s="550"/>
      <c r="CA470" s="550"/>
      <c r="CB470" s="550"/>
    </row>
    <row r="471" spans="4:80">
      <c r="D471" s="550"/>
      <c r="E471" s="550"/>
      <c r="F471" s="550"/>
      <c r="G471" s="550"/>
      <c r="H471" s="550"/>
      <c r="I471" s="550"/>
      <c r="J471" s="550"/>
      <c r="K471" s="550"/>
      <c r="L471" s="550"/>
      <c r="M471" s="550"/>
      <c r="N471" s="550"/>
      <c r="O471" s="550"/>
      <c r="P471" s="550"/>
      <c r="Q471" s="550"/>
      <c r="R471" s="550"/>
      <c r="S471" s="550"/>
      <c r="T471" s="550"/>
      <c r="U471" s="550"/>
      <c r="V471" s="550"/>
      <c r="W471" s="550"/>
      <c r="X471" s="550"/>
      <c r="Y471" s="550"/>
      <c r="Z471" s="550"/>
      <c r="AA471" s="550"/>
      <c r="AB471" s="550"/>
      <c r="AC471" s="550"/>
      <c r="AD471" s="550"/>
      <c r="AE471" s="550"/>
      <c r="AF471" s="550"/>
      <c r="AG471" s="550"/>
      <c r="AH471" s="550"/>
      <c r="AI471" s="550"/>
      <c r="AJ471" s="550"/>
      <c r="AK471" s="550"/>
      <c r="AL471" s="550"/>
      <c r="AM471" s="550"/>
      <c r="AN471" s="550"/>
      <c r="AO471" s="550"/>
      <c r="AP471" s="550"/>
      <c r="AQ471" s="550"/>
      <c r="AR471" s="550"/>
      <c r="AS471" s="550"/>
      <c r="AT471" s="550"/>
      <c r="AU471" s="550"/>
      <c r="AV471" s="550"/>
      <c r="AW471" s="550"/>
      <c r="AX471" s="550"/>
      <c r="AY471" s="550"/>
      <c r="AZ471" s="550"/>
      <c r="BA471" s="550"/>
      <c r="BB471" s="550"/>
      <c r="BC471" s="550"/>
      <c r="BD471" s="550"/>
      <c r="BE471" s="550"/>
      <c r="BF471" s="550"/>
      <c r="BG471" s="550"/>
      <c r="BH471" s="550"/>
      <c r="BI471" s="550"/>
      <c r="BJ471" s="550"/>
      <c r="BK471" s="550"/>
      <c r="BL471" s="550"/>
      <c r="BM471" s="550"/>
      <c r="BN471" s="550"/>
      <c r="BO471" s="550"/>
      <c r="BP471" s="550"/>
      <c r="BQ471" s="550"/>
      <c r="BR471" s="550"/>
      <c r="BS471" s="550"/>
      <c r="BT471" s="550"/>
      <c r="BU471" s="550"/>
      <c r="BV471" s="550"/>
      <c r="BW471" s="550"/>
      <c r="BX471" s="550"/>
      <c r="BY471" s="550"/>
      <c r="BZ471" s="550"/>
      <c r="CA471" s="550"/>
      <c r="CB471" s="550"/>
    </row>
    <row r="472" spans="4:80">
      <c r="D472" s="550"/>
      <c r="E472" s="550"/>
      <c r="F472" s="550"/>
      <c r="G472" s="550"/>
      <c r="H472" s="550"/>
      <c r="I472" s="550"/>
      <c r="J472" s="550"/>
      <c r="K472" s="550"/>
      <c r="L472" s="550"/>
      <c r="M472" s="550"/>
      <c r="N472" s="550"/>
      <c r="O472" s="550"/>
      <c r="P472" s="550"/>
      <c r="Q472" s="550"/>
      <c r="R472" s="550"/>
      <c r="S472" s="550"/>
      <c r="T472" s="550"/>
      <c r="U472" s="550"/>
      <c r="V472" s="550"/>
      <c r="W472" s="550"/>
      <c r="X472" s="550"/>
      <c r="Y472" s="550"/>
      <c r="Z472" s="550"/>
      <c r="AA472" s="550"/>
      <c r="AB472" s="550"/>
      <c r="AC472" s="550"/>
      <c r="AD472" s="550"/>
      <c r="AE472" s="550"/>
      <c r="AF472" s="550"/>
      <c r="AG472" s="550"/>
      <c r="AH472" s="550"/>
      <c r="AI472" s="550"/>
      <c r="AJ472" s="550"/>
      <c r="AK472" s="550"/>
      <c r="AL472" s="550"/>
      <c r="AM472" s="550"/>
      <c r="AN472" s="550"/>
      <c r="AO472" s="550"/>
      <c r="AP472" s="550"/>
      <c r="AQ472" s="550"/>
      <c r="AR472" s="550"/>
      <c r="AS472" s="550"/>
      <c r="AT472" s="550"/>
      <c r="AU472" s="550"/>
      <c r="AV472" s="550"/>
      <c r="AW472" s="550"/>
      <c r="AX472" s="550"/>
      <c r="AY472" s="550"/>
      <c r="AZ472" s="550"/>
      <c r="BA472" s="550"/>
      <c r="BB472" s="550"/>
      <c r="BC472" s="550"/>
      <c r="BD472" s="550"/>
      <c r="BE472" s="550"/>
      <c r="BF472" s="550"/>
      <c r="BG472" s="550"/>
      <c r="BH472" s="550"/>
      <c r="BI472" s="550"/>
      <c r="BJ472" s="550"/>
      <c r="BK472" s="550"/>
      <c r="BL472" s="550"/>
      <c r="BM472" s="550"/>
      <c r="BN472" s="550"/>
      <c r="BO472" s="550"/>
      <c r="BP472" s="550"/>
      <c r="BQ472" s="550"/>
      <c r="BR472" s="550"/>
      <c r="BS472" s="550"/>
      <c r="BT472" s="550"/>
      <c r="BU472" s="550"/>
      <c r="BV472" s="550"/>
      <c r="BW472" s="550"/>
      <c r="BX472" s="550"/>
      <c r="BY472" s="550"/>
      <c r="BZ472" s="550"/>
      <c r="CA472" s="550"/>
      <c r="CB472" s="550"/>
    </row>
    <row r="473" spans="4:80">
      <c r="D473" s="550"/>
      <c r="E473" s="550"/>
      <c r="F473" s="550"/>
      <c r="G473" s="550"/>
      <c r="H473" s="550"/>
      <c r="I473" s="550"/>
      <c r="J473" s="550"/>
      <c r="K473" s="550"/>
      <c r="L473" s="550"/>
      <c r="M473" s="550"/>
      <c r="N473" s="550"/>
      <c r="O473" s="550"/>
      <c r="P473" s="550"/>
      <c r="Q473" s="550"/>
      <c r="R473" s="550"/>
      <c r="S473" s="550"/>
      <c r="T473" s="550"/>
      <c r="U473" s="550"/>
      <c r="V473" s="550"/>
      <c r="W473" s="550"/>
      <c r="X473" s="550"/>
      <c r="Y473" s="550"/>
      <c r="Z473" s="550"/>
      <c r="AA473" s="550"/>
      <c r="AB473" s="550"/>
      <c r="AC473" s="550"/>
      <c r="AD473" s="550"/>
      <c r="AE473" s="550"/>
      <c r="AF473" s="550"/>
      <c r="AG473" s="550"/>
      <c r="AH473" s="550"/>
      <c r="AI473" s="550"/>
      <c r="AJ473" s="550"/>
      <c r="AK473" s="550"/>
      <c r="AL473" s="550"/>
      <c r="AM473" s="550"/>
      <c r="AN473" s="550"/>
      <c r="AO473" s="550"/>
      <c r="AP473" s="550"/>
      <c r="AQ473" s="550"/>
      <c r="AR473" s="550"/>
      <c r="AS473" s="550"/>
      <c r="AT473" s="550"/>
      <c r="AU473" s="550"/>
      <c r="AV473" s="550"/>
      <c r="AW473" s="550"/>
      <c r="AX473" s="550"/>
      <c r="AY473" s="550"/>
      <c r="AZ473" s="550"/>
      <c r="BA473" s="550"/>
      <c r="BB473" s="550"/>
      <c r="BC473" s="550"/>
      <c r="BD473" s="550"/>
      <c r="BE473" s="550"/>
      <c r="BF473" s="550"/>
      <c r="BG473" s="550"/>
      <c r="BH473" s="550"/>
      <c r="BI473" s="550"/>
      <c r="BJ473" s="550"/>
      <c r="BK473" s="550"/>
      <c r="BL473" s="550"/>
      <c r="BM473" s="550"/>
      <c r="BN473" s="550"/>
      <c r="BO473" s="550"/>
      <c r="BP473" s="550"/>
      <c r="BQ473" s="550"/>
      <c r="BR473" s="550"/>
      <c r="BS473" s="550"/>
      <c r="BT473" s="550"/>
      <c r="BU473" s="550"/>
      <c r="BV473" s="550"/>
      <c r="BW473" s="550"/>
      <c r="BX473" s="550"/>
      <c r="BY473" s="550"/>
      <c r="BZ473" s="550"/>
      <c r="CA473" s="550"/>
      <c r="CB473" s="550"/>
    </row>
    <row r="474" spans="4:80">
      <c r="D474" s="550"/>
      <c r="E474" s="550"/>
      <c r="F474" s="550"/>
      <c r="G474" s="550"/>
      <c r="H474" s="550"/>
      <c r="I474" s="550"/>
      <c r="J474" s="550"/>
      <c r="K474" s="550"/>
      <c r="L474" s="550"/>
      <c r="M474" s="550"/>
      <c r="N474" s="550"/>
      <c r="O474" s="550"/>
      <c r="P474" s="550"/>
      <c r="Q474" s="550"/>
      <c r="R474" s="550"/>
      <c r="S474" s="550"/>
      <c r="T474" s="550"/>
      <c r="U474" s="550"/>
      <c r="V474" s="550"/>
      <c r="W474" s="550"/>
      <c r="X474" s="550"/>
      <c r="Y474" s="550"/>
      <c r="Z474" s="550"/>
      <c r="AA474" s="550"/>
      <c r="AB474" s="550"/>
      <c r="AC474" s="550"/>
      <c r="AD474" s="550"/>
      <c r="AE474" s="550"/>
      <c r="AF474" s="550"/>
      <c r="AG474" s="550"/>
      <c r="AH474" s="550"/>
      <c r="AI474" s="550"/>
      <c r="AJ474" s="550"/>
      <c r="AK474" s="550"/>
      <c r="AL474" s="550"/>
      <c r="AM474" s="550"/>
      <c r="AN474" s="550"/>
      <c r="AO474" s="550"/>
      <c r="AP474" s="550"/>
      <c r="AQ474" s="550"/>
      <c r="AR474" s="550"/>
      <c r="AS474" s="550"/>
      <c r="AT474" s="550"/>
      <c r="AU474" s="550"/>
      <c r="AV474" s="550"/>
      <c r="AW474" s="550"/>
      <c r="AX474" s="550"/>
      <c r="AY474" s="550"/>
      <c r="AZ474" s="550"/>
      <c r="BA474" s="550"/>
      <c r="BB474" s="550"/>
      <c r="BC474" s="550"/>
      <c r="BD474" s="550"/>
      <c r="BE474" s="550"/>
      <c r="BF474" s="550"/>
      <c r="BG474" s="550"/>
      <c r="BH474" s="550"/>
      <c r="BI474" s="550"/>
      <c r="BJ474" s="550"/>
      <c r="BK474" s="550"/>
      <c r="BL474" s="550"/>
      <c r="BM474" s="550"/>
      <c r="BN474" s="550"/>
      <c r="BO474" s="550"/>
      <c r="BP474" s="550"/>
      <c r="BQ474" s="550"/>
      <c r="BR474" s="550"/>
      <c r="BS474" s="550"/>
      <c r="BT474" s="550"/>
      <c r="BU474" s="550"/>
      <c r="BV474" s="550"/>
      <c r="BW474" s="550"/>
      <c r="BX474" s="550"/>
      <c r="BY474" s="550"/>
      <c r="BZ474" s="550"/>
      <c r="CA474" s="550"/>
      <c r="CB474" s="550"/>
    </row>
    <row r="475" spans="4:80">
      <c r="D475" s="550"/>
      <c r="E475" s="550"/>
      <c r="F475" s="550"/>
      <c r="G475" s="550"/>
      <c r="H475" s="550"/>
      <c r="I475" s="550"/>
      <c r="J475" s="550"/>
      <c r="K475" s="550"/>
      <c r="L475" s="550"/>
      <c r="M475" s="550"/>
      <c r="N475" s="550"/>
      <c r="O475" s="550"/>
      <c r="P475" s="550"/>
      <c r="Q475" s="550"/>
      <c r="R475" s="550"/>
      <c r="S475" s="550"/>
      <c r="T475" s="550"/>
      <c r="U475" s="550"/>
      <c r="V475" s="550"/>
      <c r="W475" s="550"/>
      <c r="X475" s="550"/>
      <c r="Y475" s="550"/>
      <c r="Z475" s="550"/>
      <c r="AA475" s="550"/>
      <c r="AB475" s="550"/>
      <c r="AC475" s="550"/>
      <c r="AD475" s="550"/>
      <c r="AE475" s="550"/>
      <c r="AF475" s="550"/>
      <c r="AG475" s="550"/>
      <c r="AH475" s="550"/>
      <c r="AI475" s="550"/>
      <c r="AJ475" s="550"/>
      <c r="AK475" s="550"/>
      <c r="AL475" s="550"/>
      <c r="AM475" s="550"/>
      <c r="AN475" s="550"/>
      <c r="AO475" s="550"/>
      <c r="AP475" s="550"/>
      <c r="AQ475" s="550"/>
      <c r="AR475" s="550"/>
      <c r="AS475" s="550"/>
      <c r="AT475" s="550"/>
      <c r="AU475" s="550"/>
      <c r="AV475" s="550"/>
      <c r="AW475" s="550"/>
      <c r="AX475" s="550"/>
      <c r="AY475" s="550"/>
      <c r="AZ475" s="550"/>
      <c r="BA475" s="550"/>
      <c r="BB475" s="550"/>
      <c r="BC475" s="550"/>
      <c r="BD475" s="550"/>
      <c r="BE475" s="550"/>
      <c r="BF475" s="550"/>
      <c r="BG475" s="550"/>
      <c r="BH475" s="550"/>
      <c r="BI475" s="550"/>
      <c r="BJ475" s="550"/>
      <c r="BK475" s="550"/>
      <c r="BL475" s="550"/>
      <c r="BM475" s="550"/>
      <c r="BN475" s="550"/>
      <c r="BO475" s="550"/>
      <c r="BP475" s="550"/>
      <c r="BQ475" s="550"/>
      <c r="BR475" s="550"/>
      <c r="BS475" s="550"/>
      <c r="BT475" s="550"/>
      <c r="BU475" s="550"/>
      <c r="BV475" s="550"/>
      <c r="BW475" s="550"/>
      <c r="BX475" s="550"/>
      <c r="BY475" s="550"/>
      <c r="BZ475" s="550"/>
      <c r="CA475" s="550"/>
      <c r="CB475" s="550"/>
    </row>
    <row r="476" spans="4:80">
      <c r="D476" s="550"/>
      <c r="E476" s="550"/>
      <c r="F476" s="550"/>
      <c r="G476" s="550"/>
      <c r="H476" s="550"/>
      <c r="I476" s="550"/>
      <c r="J476" s="550"/>
      <c r="K476" s="550"/>
      <c r="L476" s="550"/>
      <c r="M476" s="550"/>
      <c r="N476" s="550"/>
      <c r="O476" s="550"/>
      <c r="P476" s="550"/>
      <c r="Q476" s="550"/>
      <c r="R476" s="550"/>
      <c r="S476" s="550"/>
      <c r="T476" s="550"/>
      <c r="U476" s="550"/>
      <c r="V476" s="550"/>
      <c r="W476" s="550"/>
      <c r="X476" s="550"/>
      <c r="Y476" s="550"/>
      <c r="Z476" s="550"/>
      <c r="AA476" s="550"/>
      <c r="AB476" s="550"/>
      <c r="AC476" s="550"/>
      <c r="AD476" s="550"/>
      <c r="AE476" s="550"/>
      <c r="AF476" s="550"/>
      <c r="AG476" s="550"/>
      <c r="AH476" s="550"/>
      <c r="AI476" s="550"/>
      <c r="AJ476" s="550"/>
      <c r="AK476" s="550"/>
      <c r="AL476" s="550"/>
      <c r="AM476" s="550"/>
      <c r="AN476" s="550"/>
      <c r="AO476" s="550"/>
      <c r="AP476" s="550"/>
      <c r="AQ476" s="550"/>
      <c r="AR476" s="550"/>
      <c r="AS476" s="550"/>
      <c r="AT476" s="550"/>
      <c r="AU476" s="550"/>
      <c r="AV476" s="550"/>
      <c r="AW476" s="550"/>
      <c r="AX476" s="550"/>
      <c r="AY476" s="550"/>
      <c r="AZ476" s="550"/>
      <c r="BA476" s="550"/>
      <c r="BB476" s="550"/>
      <c r="BC476" s="550"/>
      <c r="BD476" s="550"/>
      <c r="BE476" s="550"/>
      <c r="BF476" s="550"/>
      <c r="BG476" s="550"/>
      <c r="BH476" s="550"/>
      <c r="BI476" s="550"/>
      <c r="BJ476" s="550"/>
      <c r="BK476" s="550"/>
      <c r="BL476" s="550"/>
      <c r="BM476" s="550"/>
      <c r="BN476" s="550"/>
      <c r="BO476" s="550"/>
      <c r="BP476" s="550"/>
      <c r="BQ476" s="550"/>
      <c r="BR476" s="550"/>
      <c r="BS476" s="550"/>
      <c r="BT476" s="550"/>
      <c r="BU476" s="550"/>
      <c r="BV476" s="550"/>
      <c r="BW476" s="550"/>
      <c r="BX476" s="550"/>
      <c r="BY476" s="550"/>
      <c r="BZ476" s="550"/>
      <c r="CA476" s="550"/>
      <c r="CB476" s="550"/>
    </row>
    <row r="477" spans="4:80">
      <c r="D477" s="550"/>
      <c r="E477" s="550"/>
      <c r="F477" s="550"/>
      <c r="G477" s="550"/>
      <c r="H477" s="550"/>
      <c r="I477" s="550"/>
      <c r="J477" s="550"/>
      <c r="K477" s="550"/>
      <c r="L477" s="550"/>
      <c r="M477" s="550"/>
      <c r="N477" s="550"/>
      <c r="O477" s="550"/>
      <c r="P477" s="550"/>
      <c r="Q477" s="550"/>
      <c r="R477" s="550"/>
      <c r="S477" s="550"/>
      <c r="T477" s="550"/>
      <c r="U477" s="550"/>
      <c r="V477" s="550"/>
      <c r="W477" s="550"/>
      <c r="X477" s="550"/>
      <c r="Y477" s="550"/>
      <c r="Z477" s="550"/>
      <c r="AA477" s="550"/>
      <c r="AB477" s="550"/>
      <c r="AC477" s="550"/>
      <c r="AD477" s="550"/>
      <c r="AE477" s="550"/>
      <c r="AF477" s="550"/>
      <c r="AG477" s="550"/>
      <c r="AH477" s="550"/>
      <c r="AI477" s="550"/>
      <c r="AJ477" s="550"/>
      <c r="AK477" s="550"/>
      <c r="AL477" s="550"/>
      <c r="AM477" s="550"/>
      <c r="AN477" s="550"/>
      <c r="AO477" s="550"/>
      <c r="AP477" s="550"/>
      <c r="AQ477" s="550"/>
      <c r="AR477" s="550"/>
      <c r="AS477" s="550"/>
      <c r="AT477" s="550"/>
      <c r="AU477" s="550"/>
      <c r="AV477" s="550"/>
      <c r="AW477" s="550"/>
      <c r="AX477" s="550"/>
      <c r="AY477" s="550"/>
      <c r="AZ477" s="550"/>
      <c r="BA477" s="550"/>
      <c r="BB477" s="550"/>
      <c r="BC477" s="550"/>
      <c r="BD477" s="550"/>
      <c r="BE477" s="550"/>
      <c r="BF477" s="550"/>
      <c r="BG477" s="550"/>
      <c r="BH477" s="550"/>
      <c r="BI477" s="550"/>
      <c r="BJ477" s="550"/>
      <c r="BK477" s="550"/>
      <c r="BL477" s="550"/>
      <c r="BM477" s="550"/>
      <c r="BN477" s="550"/>
      <c r="BO477" s="550"/>
      <c r="BP477" s="550"/>
      <c r="BQ477" s="550"/>
      <c r="BR477" s="550"/>
      <c r="BS477" s="550"/>
      <c r="BT477" s="550"/>
      <c r="BU477" s="550"/>
      <c r="BV477" s="550"/>
      <c r="BW477" s="550"/>
      <c r="BX477" s="550"/>
      <c r="BY477" s="550"/>
      <c r="BZ477" s="550"/>
      <c r="CA477" s="550"/>
      <c r="CB477" s="550"/>
    </row>
    <row r="478" spans="4:80">
      <c r="D478" s="550"/>
      <c r="E478" s="550"/>
      <c r="F478" s="550"/>
      <c r="G478" s="550"/>
      <c r="H478" s="550"/>
      <c r="I478" s="550"/>
      <c r="J478" s="550"/>
      <c r="K478" s="550"/>
      <c r="L478" s="550"/>
      <c r="M478" s="550"/>
      <c r="N478" s="550"/>
      <c r="O478" s="550"/>
      <c r="P478" s="550"/>
      <c r="Q478" s="550"/>
      <c r="R478" s="550"/>
      <c r="S478" s="550"/>
      <c r="T478" s="550"/>
      <c r="U478" s="550"/>
      <c r="V478" s="550"/>
      <c r="W478" s="550"/>
      <c r="X478" s="550"/>
      <c r="Y478" s="550"/>
      <c r="Z478" s="550"/>
      <c r="AA478" s="550"/>
      <c r="AB478" s="550"/>
      <c r="AC478" s="550"/>
      <c r="AD478" s="550"/>
      <c r="AE478" s="550"/>
      <c r="AF478" s="550"/>
      <c r="AG478" s="550"/>
      <c r="AH478" s="550"/>
      <c r="AI478" s="550"/>
      <c r="AJ478" s="550"/>
      <c r="AK478" s="550"/>
      <c r="AL478" s="550"/>
      <c r="AM478" s="550"/>
      <c r="AN478" s="550"/>
      <c r="AO478" s="550"/>
      <c r="AP478" s="550"/>
      <c r="AQ478" s="550"/>
      <c r="AR478" s="550"/>
      <c r="AS478" s="550"/>
      <c r="AT478" s="550"/>
      <c r="AU478" s="550"/>
      <c r="AV478" s="550"/>
      <c r="AW478" s="550"/>
      <c r="AX478" s="550"/>
      <c r="AY478" s="550"/>
      <c r="AZ478" s="550"/>
      <c r="BA478" s="550"/>
      <c r="BB478" s="550"/>
      <c r="BC478" s="550"/>
      <c r="BD478" s="550"/>
      <c r="BE478" s="550"/>
      <c r="BF478" s="550"/>
      <c r="BG478" s="550"/>
      <c r="BH478" s="550"/>
      <c r="BI478" s="550"/>
      <c r="BJ478" s="550"/>
      <c r="BK478" s="550"/>
      <c r="BL478" s="550"/>
      <c r="BM478" s="550"/>
      <c r="BN478" s="550"/>
      <c r="BO478" s="550"/>
      <c r="BP478" s="550"/>
      <c r="BQ478" s="550"/>
      <c r="BR478" s="550"/>
      <c r="BS478" s="550"/>
      <c r="BT478" s="550"/>
      <c r="BU478" s="550"/>
      <c r="BV478" s="550"/>
      <c r="BW478" s="550"/>
      <c r="BX478" s="550"/>
      <c r="BY478" s="550"/>
      <c r="BZ478" s="550"/>
      <c r="CA478" s="550"/>
      <c r="CB478" s="550"/>
    </row>
    <row r="479" spans="4:80">
      <c r="D479" s="550"/>
      <c r="E479" s="550"/>
      <c r="F479" s="550"/>
      <c r="G479" s="550"/>
      <c r="H479" s="550"/>
      <c r="I479" s="550"/>
      <c r="J479" s="550"/>
      <c r="K479" s="550"/>
      <c r="L479" s="550"/>
      <c r="M479" s="550"/>
      <c r="N479" s="550"/>
      <c r="O479" s="550"/>
      <c r="P479" s="550"/>
      <c r="Q479" s="550"/>
      <c r="R479" s="550"/>
      <c r="S479" s="550"/>
      <c r="T479" s="550"/>
      <c r="U479" s="550"/>
      <c r="V479" s="550"/>
      <c r="W479" s="550"/>
      <c r="X479" s="550"/>
      <c r="Y479" s="550"/>
      <c r="Z479" s="550"/>
      <c r="AA479" s="550"/>
      <c r="AB479" s="550"/>
      <c r="AC479" s="550"/>
      <c r="AD479" s="550"/>
      <c r="AE479" s="550"/>
      <c r="AF479" s="550"/>
      <c r="AG479" s="550"/>
      <c r="AH479" s="550"/>
      <c r="AI479" s="550"/>
      <c r="AJ479" s="550"/>
      <c r="AK479" s="550"/>
      <c r="AL479" s="550"/>
      <c r="AM479" s="550"/>
      <c r="AN479" s="550"/>
      <c r="AO479" s="550"/>
      <c r="AP479" s="550"/>
      <c r="AQ479" s="550"/>
      <c r="AR479" s="550"/>
      <c r="AS479" s="550"/>
      <c r="AT479" s="550"/>
      <c r="AU479" s="550"/>
      <c r="AV479" s="550"/>
      <c r="AW479" s="550"/>
      <c r="AX479" s="550"/>
      <c r="AY479" s="550"/>
      <c r="AZ479" s="550"/>
      <c r="BA479" s="550"/>
      <c r="BB479" s="550"/>
      <c r="BC479" s="550"/>
      <c r="BD479" s="550"/>
      <c r="BE479" s="550"/>
      <c r="BF479" s="550"/>
      <c r="BG479" s="550"/>
      <c r="BH479" s="550"/>
      <c r="BI479" s="550"/>
      <c r="BJ479" s="550"/>
      <c r="BK479" s="550"/>
      <c r="BL479" s="550"/>
      <c r="BM479" s="550"/>
      <c r="BN479" s="550"/>
      <c r="BO479" s="550"/>
      <c r="BP479" s="550"/>
      <c r="BQ479" s="550"/>
      <c r="BR479" s="550"/>
      <c r="BS479" s="550"/>
      <c r="BT479" s="550"/>
      <c r="BU479" s="550"/>
      <c r="BV479" s="550"/>
      <c r="BW479" s="550"/>
      <c r="BX479" s="550"/>
      <c r="BY479" s="550"/>
      <c r="BZ479" s="550"/>
      <c r="CA479" s="550"/>
      <c r="CB479" s="550"/>
    </row>
    <row r="480" spans="4:80">
      <c r="D480" s="550"/>
      <c r="E480" s="550"/>
      <c r="F480" s="550"/>
      <c r="G480" s="550"/>
      <c r="H480" s="550"/>
      <c r="I480" s="550"/>
      <c r="J480" s="550"/>
      <c r="K480" s="550"/>
      <c r="L480" s="550"/>
      <c r="M480" s="550"/>
      <c r="N480" s="550"/>
      <c r="O480" s="550"/>
      <c r="P480" s="550"/>
      <c r="Q480" s="550"/>
      <c r="R480" s="550"/>
      <c r="S480" s="550"/>
      <c r="T480" s="550"/>
      <c r="U480" s="550"/>
      <c r="V480" s="550"/>
      <c r="W480" s="550"/>
      <c r="X480" s="550"/>
      <c r="Y480" s="550"/>
      <c r="Z480" s="550"/>
      <c r="AA480" s="550"/>
      <c r="AB480" s="550"/>
      <c r="AC480" s="550"/>
      <c r="AD480" s="550"/>
      <c r="AE480" s="550"/>
      <c r="AF480" s="550"/>
      <c r="AG480" s="550"/>
      <c r="AH480" s="550"/>
      <c r="AI480" s="550"/>
      <c r="AJ480" s="550"/>
      <c r="AK480" s="550"/>
      <c r="AL480" s="550"/>
      <c r="AM480" s="550"/>
      <c r="AN480" s="550"/>
      <c r="AO480" s="550"/>
      <c r="AP480" s="550"/>
      <c r="AQ480" s="550"/>
      <c r="AR480" s="550"/>
      <c r="AS480" s="550"/>
      <c r="AT480" s="550"/>
      <c r="AU480" s="550"/>
      <c r="AV480" s="550"/>
      <c r="AW480" s="550"/>
      <c r="AX480" s="550"/>
      <c r="AY480" s="550"/>
      <c r="AZ480" s="550"/>
      <c r="BA480" s="550"/>
      <c r="BB480" s="550"/>
      <c r="BC480" s="550"/>
      <c r="BD480" s="550"/>
      <c r="BE480" s="550"/>
      <c r="BF480" s="550"/>
      <c r="BG480" s="550"/>
      <c r="BH480" s="550"/>
      <c r="BI480" s="550"/>
      <c r="BJ480" s="550"/>
      <c r="BK480" s="550"/>
      <c r="BL480" s="550"/>
      <c r="BM480" s="550"/>
      <c r="BN480" s="550"/>
      <c r="BO480" s="550"/>
      <c r="BP480" s="550"/>
      <c r="BQ480" s="550"/>
      <c r="BR480" s="550"/>
      <c r="BS480" s="550"/>
      <c r="BT480" s="550"/>
      <c r="BU480" s="550"/>
      <c r="BV480" s="550"/>
      <c r="BW480" s="550"/>
      <c r="BX480" s="550"/>
      <c r="BY480" s="550"/>
      <c r="BZ480" s="550"/>
      <c r="CA480" s="550"/>
      <c r="CB480" s="550"/>
    </row>
    <row r="481" spans="4:80">
      <c r="D481" s="550"/>
      <c r="E481" s="550"/>
      <c r="F481" s="550"/>
      <c r="G481" s="550"/>
      <c r="H481" s="550"/>
      <c r="I481" s="550"/>
      <c r="J481" s="550"/>
      <c r="K481" s="550"/>
      <c r="L481" s="550"/>
      <c r="M481" s="550"/>
      <c r="N481" s="550"/>
      <c r="O481" s="550"/>
      <c r="P481" s="550"/>
      <c r="Q481" s="550"/>
      <c r="R481" s="550"/>
      <c r="S481" s="550"/>
      <c r="T481" s="550"/>
      <c r="U481" s="550"/>
      <c r="V481" s="550"/>
      <c r="W481" s="550"/>
      <c r="X481" s="550"/>
      <c r="Y481" s="550"/>
      <c r="Z481" s="550"/>
      <c r="AA481" s="550"/>
      <c r="AB481" s="550"/>
      <c r="AC481" s="550"/>
      <c r="AD481" s="550"/>
      <c r="AE481" s="550"/>
      <c r="AF481" s="550"/>
      <c r="AG481" s="550"/>
      <c r="AH481" s="550"/>
      <c r="AI481" s="550"/>
      <c r="AJ481" s="550"/>
      <c r="AK481" s="550"/>
      <c r="AL481" s="550"/>
      <c r="AM481" s="550"/>
      <c r="AN481" s="550"/>
      <c r="AO481" s="550"/>
      <c r="AP481" s="550"/>
      <c r="AQ481" s="550"/>
      <c r="AR481" s="550"/>
      <c r="AS481" s="550"/>
      <c r="AT481" s="550"/>
      <c r="AU481" s="550"/>
      <c r="AV481" s="550"/>
      <c r="AW481" s="550"/>
      <c r="AX481" s="550"/>
      <c r="AY481" s="550"/>
      <c r="AZ481" s="550"/>
      <c r="BA481" s="550"/>
      <c r="BB481" s="550"/>
      <c r="BC481" s="550"/>
      <c r="BD481" s="550"/>
      <c r="BE481" s="550"/>
      <c r="BF481" s="550"/>
      <c r="BG481" s="550"/>
      <c r="BH481" s="550"/>
      <c r="BI481" s="550"/>
      <c r="BJ481" s="550"/>
      <c r="BK481" s="550"/>
      <c r="BL481" s="550"/>
      <c r="BM481" s="550"/>
      <c r="BN481" s="550"/>
      <c r="BO481" s="550"/>
      <c r="BP481" s="550"/>
      <c r="BQ481" s="550"/>
      <c r="BR481" s="550"/>
      <c r="BS481" s="550"/>
      <c r="BT481" s="550"/>
      <c r="BU481" s="550"/>
      <c r="BV481" s="550"/>
      <c r="BW481" s="550"/>
      <c r="BX481" s="550"/>
      <c r="BY481" s="550"/>
      <c r="BZ481" s="550"/>
      <c r="CA481" s="550"/>
      <c r="CB481" s="550"/>
    </row>
    <row r="482" spans="4:80">
      <c r="D482" s="550"/>
      <c r="E482" s="550"/>
      <c r="F482" s="550"/>
      <c r="G482" s="550"/>
      <c r="H482" s="550"/>
      <c r="I482" s="550"/>
      <c r="J482" s="550"/>
      <c r="K482" s="550"/>
      <c r="L482" s="550"/>
      <c r="M482" s="550"/>
      <c r="N482" s="550"/>
      <c r="O482" s="550"/>
      <c r="P482" s="550"/>
      <c r="Q482" s="550"/>
      <c r="R482" s="550"/>
      <c r="S482" s="550"/>
      <c r="T482" s="550"/>
      <c r="U482" s="550"/>
      <c r="V482" s="550"/>
      <c r="W482" s="550"/>
      <c r="X482" s="550"/>
      <c r="Y482" s="550"/>
      <c r="Z482" s="550"/>
      <c r="AA482" s="550"/>
      <c r="AB482" s="550"/>
      <c r="AC482" s="550"/>
      <c r="AD482" s="550"/>
      <c r="AE482" s="550"/>
      <c r="AF482" s="550"/>
      <c r="AG482" s="550"/>
      <c r="AH482" s="550"/>
      <c r="AI482" s="550"/>
      <c r="AJ482" s="550"/>
      <c r="AK482" s="550"/>
      <c r="AL482" s="550"/>
      <c r="AM482" s="550"/>
      <c r="AN482" s="550"/>
      <c r="AO482" s="550"/>
      <c r="AP482" s="550"/>
      <c r="AQ482" s="550"/>
      <c r="AR482" s="550"/>
      <c r="AS482" s="550"/>
      <c r="AT482" s="550"/>
      <c r="AU482" s="550"/>
      <c r="AV482" s="550"/>
      <c r="AW482" s="550"/>
      <c r="AX482" s="550"/>
      <c r="AY482" s="550"/>
      <c r="AZ482" s="550"/>
      <c r="BA482" s="550"/>
      <c r="BB482" s="550"/>
      <c r="BC482" s="550"/>
      <c r="BD482" s="550"/>
      <c r="BE482" s="550"/>
      <c r="BF482" s="550"/>
      <c r="BG482" s="550"/>
      <c r="BH482" s="550"/>
      <c r="BI482" s="550"/>
      <c r="BJ482" s="550"/>
      <c r="BK482" s="550"/>
      <c r="BL482" s="550"/>
      <c r="BM482" s="550"/>
      <c r="BN482" s="550"/>
      <c r="BO482" s="550"/>
      <c r="BP482" s="550"/>
      <c r="BQ482" s="550"/>
      <c r="BR482" s="550"/>
      <c r="BS482" s="550"/>
      <c r="BT482" s="550"/>
      <c r="BU482" s="550"/>
      <c r="BV482" s="550"/>
      <c r="BW482" s="550"/>
      <c r="BX482" s="550"/>
      <c r="BY482" s="550"/>
      <c r="BZ482" s="550"/>
      <c r="CA482" s="550"/>
      <c r="CB482" s="550"/>
    </row>
    <row r="483" spans="4:80">
      <c r="D483" s="550"/>
      <c r="E483" s="550"/>
      <c r="F483" s="550"/>
      <c r="G483" s="550"/>
      <c r="H483" s="550"/>
      <c r="I483" s="550"/>
      <c r="J483" s="550"/>
      <c r="K483" s="550"/>
      <c r="L483" s="550"/>
      <c r="M483" s="550"/>
      <c r="N483" s="550"/>
      <c r="O483" s="550"/>
      <c r="P483" s="550"/>
      <c r="Q483" s="550"/>
      <c r="R483" s="550"/>
      <c r="S483" s="550"/>
      <c r="T483" s="550"/>
      <c r="U483" s="550"/>
      <c r="V483" s="550"/>
      <c r="W483" s="550"/>
      <c r="X483" s="550"/>
      <c r="Y483" s="550"/>
      <c r="Z483" s="550"/>
      <c r="AA483" s="550"/>
      <c r="AB483" s="550"/>
      <c r="AC483" s="550"/>
      <c r="AD483" s="550"/>
      <c r="AE483" s="550"/>
      <c r="AF483" s="550"/>
      <c r="AG483" s="550"/>
      <c r="AH483" s="550"/>
      <c r="AI483" s="550"/>
      <c r="AJ483" s="550"/>
      <c r="AK483" s="550"/>
      <c r="AL483" s="550"/>
      <c r="AM483" s="550"/>
      <c r="AN483" s="550"/>
      <c r="AO483" s="550"/>
      <c r="AP483" s="550"/>
      <c r="AQ483" s="550"/>
      <c r="AR483" s="550"/>
      <c r="AS483" s="550"/>
      <c r="AT483" s="550"/>
      <c r="AU483" s="550"/>
      <c r="AV483" s="550"/>
      <c r="AW483" s="550"/>
      <c r="AX483" s="550"/>
      <c r="AY483" s="550"/>
      <c r="AZ483" s="550"/>
      <c r="BA483" s="550"/>
      <c r="BB483" s="550"/>
      <c r="BC483" s="550"/>
      <c r="BD483" s="550"/>
      <c r="BE483" s="550"/>
      <c r="BF483" s="550"/>
      <c r="BG483" s="550"/>
      <c r="BH483" s="550"/>
      <c r="BI483" s="550"/>
      <c r="BJ483" s="550"/>
      <c r="BK483" s="550"/>
      <c r="BL483" s="550"/>
      <c r="BM483" s="550"/>
      <c r="BN483" s="550"/>
      <c r="BO483" s="550"/>
      <c r="BP483" s="550"/>
      <c r="BQ483" s="550"/>
      <c r="BR483" s="550"/>
      <c r="BS483" s="550"/>
      <c r="BT483" s="550"/>
      <c r="BU483" s="550"/>
      <c r="BV483" s="550"/>
      <c r="BW483" s="550"/>
      <c r="BX483" s="550"/>
      <c r="BY483" s="550"/>
      <c r="BZ483" s="550"/>
      <c r="CA483" s="550"/>
      <c r="CB483" s="550"/>
    </row>
    <row r="484" spans="4:80">
      <c r="D484" s="550"/>
      <c r="E484" s="550"/>
      <c r="F484" s="550"/>
      <c r="G484" s="550"/>
      <c r="H484" s="550"/>
      <c r="I484" s="550"/>
      <c r="J484" s="550"/>
      <c r="K484" s="550"/>
      <c r="L484" s="550"/>
      <c r="M484" s="550"/>
      <c r="N484" s="550"/>
      <c r="O484" s="550"/>
      <c r="P484" s="550"/>
      <c r="Q484" s="550"/>
      <c r="R484" s="550"/>
      <c r="S484" s="550"/>
      <c r="T484" s="550"/>
      <c r="U484" s="550"/>
      <c r="V484" s="550"/>
      <c r="W484" s="550"/>
      <c r="X484" s="550"/>
      <c r="Y484" s="550"/>
      <c r="Z484" s="550"/>
      <c r="AA484" s="550"/>
      <c r="AB484" s="550"/>
      <c r="AC484" s="550"/>
      <c r="AD484" s="550"/>
      <c r="AE484" s="550"/>
      <c r="AF484" s="550"/>
      <c r="AG484" s="550"/>
      <c r="AH484" s="550"/>
      <c r="AI484" s="550"/>
      <c r="AJ484" s="550"/>
      <c r="AK484" s="550"/>
      <c r="AL484" s="550"/>
      <c r="AM484" s="550"/>
      <c r="AN484" s="550"/>
      <c r="AO484" s="550"/>
      <c r="AP484" s="550"/>
      <c r="AQ484" s="550"/>
      <c r="AR484" s="550"/>
      <c r="AS484" s="550"/>
      <c r="AT484" s="550"/>
      <c r="AU484" s="550"/>
      <c r="AV484" s="550"/>
      <c r="AW484" s="550"/>
      <c r="AX484" s="550"/>
      <c r="AY484" s="550"/>
      <c r="AZ484" s="550"/>
      <c r="BA484" s="550"/>
      <c r="BB484" s="550"/>
      <c r="BC484" s="550"/>
      <c r="BD484" s="550"/>
      <c r="BE484" s="550"/>
      <c r="BF484" s="550"/>
      <c r="BG484" s="550"/>
      <c r="BH484" s="550"/>
      <c r="BI484" s="550"/>
      <c r="BJ484" s="550"/>
      <c r="BK484" s="550"/>
      <c r="BL484" s="550"/>
      <c r="BM484" s="550"/>
      <c r="BN484" s="550"/>
      <c r="BO484" s="550"/>
      <c r="BP484" s="550"/>
      <c r="BQ484" s="550"/>
      <c r="BR484" s="550"/>
      <c r="BS484" s="550"/>
      <c r="BT484" s="550"/>
      <c r="BU484" s="550"/>
      <c r="BV484" s="550"/>
      <c r="BW484" s="550"/>
      <c r="BX484" s="550"/>
      <c r="BY484" s="550"/>
      <c r="BZ484" s="550"/>
      <c r="CA484" s="550"/>
      <c r="CB484" s="550"/>
    </row>
    <row r="485" spans="4:80">
      <c r="D485" s="550"/>
      <c r="E485" s="550"/>
      <c r="F485" s="550"/>
      <c r="G485" s="550"/>
      <c r="H485" s="550"/>
      <c r="I485" s="550"/>
      <c r="J485" s="550"/>
      <c r="K485" s="550"/>
      <c r="L485" s="550"/>
      <c r="M485" s="550"/>
      <c r="N485" s="550"/>
      <c r="O485" s="550"/>
      <c r="P485" s="550"/>
      <c r="Q485" s="550"/>
      <c r="R485" s="550"/>
      <c r="S485" s="550"/>
      <c r="T485" s="550"/>
      <c r="U485" s="550"/>
      <c r="V485" s="550"/>
      <c r="W485" s="550"/>
      <c r="X485" s="550"/>
      <c r="Y485" s="550"/>
      <c r="Z485" s="550"/>
      <c r="AA485" s="550"/>
      <c r="AB485" s="550"/>
      <c r="AC485" s="550"/>
      <c r="AD485" s="550"/>
      <c r="AE485" s="550"/>
      <c r="AF485" s="550"/>
      <c r="AG485" s="550"/>
      <c r="AH485" s="550"/>
      <c r="AI485" s="550"/>
      <c r="AJ485" s="550"/>
      <c r="AK485" s="550"/>
      <c r="AL485" s="550"/>
      <c r="AM485" s="550"/>
      <c r="AN485" s="550"/>
      <c r="AO485" s="550"/>
      <c r="AP485" s="550"/>
      <c r="AQ485" s="550"/>
      <c r="AR485" s="550"/>
      <c r="AS485" s="550"/>
      <c r="AT485" s="550"/>
      <c r="AU485" s="550"/>
      <c r="AV485" s="550"/>
      <c r="AW485" s="550"/>
      <c r="AX485" s="550"/>
      <c r="AY485" s="550"/>
      <c r="AZ485" s="550"/>
      <c r="BA485" s="550"/>
      <c r="BB485" s="550"/>
      <c r="BC485" s="550"/>
      <c r="BD485" s="550"/>
      <c r="BE485" s="550"/>
      <c r="BF485" s="550"/>
      <c r="BG485" s="550"/>
      <c r="BH485" s="550"/>
      <c r="BI485" s="550"/>
      <c r="BJ485" s="550"/>
      <c r="BK485" s="550"/>
      <c r="BL485" s="550"/>
      <c r="BM485" s="550"/>
      <c r="BN485" s="550"/>
      <c r="BO485" s="550"/>
      <c r="BP485" s="550"/>
      <c r="BQ485" s="550"/>
      <c r="BR485" s="550"/>
      <c r="BS485" s="550"/>
      <c r="BT485" s="550"/>
      <c r="BU485" s="550"/>
      <c r="BV485" s="550"/>
      <c r="BW485" s="550"/>
      <c r="BX485" s="550"/>
      <c r="BY485" s="550"/>
      <c r="BZ485" s="550"/>
      <c r="CA485" s="550"/>
      <c r="CB485" s="550"/>
    </row>
    <row r="486" spans="4:80">
      <c r="D486" s="550"/>
      <c r="E486" s="550"/>
      <c r="F486" s="550"/>
      <c r="G486" s="550"/>
      <c r="H486" s="550"/>
      <c r="I486" s="550"/>
      <c r="J486" s="550"/>
      <c r="K486" s="550"/>
      <c r="L486" s="550"/>
      <c r="M486" s="550"/>
      <c r="N486" s="550"/>
      <c r="O486" s="550"/>
      <c r="P486" s="550"/>
      <c r="Q486" s="550"/>
      <c r="R486" s="550"/>
      <c r="S486" s="550"/>
      <c r="T486" s="550"/>
      <c r="U486" s="550"/>
      <c r="V486" s="550"/>
      <c r="W486" s="550"/>
      <c r="X486" s="550"/>
      <c r="Y486" s="550"/>
      <c r="Z486" s="550"/>
      <c r="AA486" s="550"/>
      <c r="AB486" s="550"/>
      <c r="AC486" s="550"/>
      <c r="AD486" s="550"/>
      <c r="AE486" s="550"/>
      <c r="AF486" s="550"/>
      <c r="AG486" s="550"/>
      <c r="AH486" s="550"/>
      <c r="AI486" s="550"/>
      <c r="AJ486" s="550"/>
      <c r="AK486" s="550"/>
      <c r="AL486" s="550"/>
      <c r="AM486" s="550"/>
      <c r="AN486" s="550"/>
      <c r="AO486" s="550"/>
      <c r="AP486" s="550"/>
      <c r="AQ486" s="550"/>
      <c r="AR486" s="550"/>
      <c r="AS486" s="550"/>
      <c r="AT486" s="550"/>
      <c r="AU486" s="550"/>
      <c r="AV486" s="550"/>
      <c r="AW486" s="550"/>
      <c r="AX486" s="550"/>
      <c r="AY486" s="550"/>
      <c r="AZ486" s="550"/>
      <c r="BA486" s="550"/>
      <c r="BB486" s="550"/>
      <c r="BC486" s="550"/>
      <c r="BD486" s="550"/>
      <c r="BE486" s="550"/>
      <c r="BF486" s="550"/>
      <c r="BG486" s="550"/>
      <c r="BH486" s="550"/>
      <c r="BI486" s="550"/>
      <c r="BJ486" s="550"/>
      <c r="BK486" s="550"/>
      <c r="BL486" s="550"/>
      <c r="BM486" s="550"/>
      <c r="BN486" s="550"/>
      <c r="BO486" s="550"/>
      <c r="BP486" s="550"/>
      <c r="BQ486" s="550"/>
      <c r="BR486" s="550"/>
      <c r="BS486" s="550"/>
      <c r="BT486" s="550"/>
      <c r="BU486" s="550"/>
      <c r="BV486" s="550"/>
      <c r="BW486" s="550"/>
      <c r="BX486" s="550"/>
      <c r="BY486" s="550"/>
      <c r="BZ486" s="550"/>
      <c r="CA486" s="550"/>
      <c r="CB486" s="550"/>
    </row>
    <row r="487" spans="4:80">
      <c r="D487" s="550"/>
      <c r="E487" s="550"/>
      <c r="F487" s="550"/>
      <c r="G487" s="550"/>
      <c r="H487" s="550"/>
      <c r="I487" s="550"/>
      <c r="J487" s="550"/>
      <c r="K487" s="550"/>
      <c r="L487" s="550"/>
      <c r="M487" s="550"/>
      <c r="N487" s="550"/>
      <c r="O487" s="550"/>
      <c r="P487" s="550"/>
      <c r="Q487" s="550"/>
      <c r="R487" s="550"/>
      <c r="S487" s="550"/>
      <c r="T487" s="550"/>
      <c r="U487" s="550"/>
      <c r="V487" s="550"/>
      <c r="W487" s="550"/>
      <c r="X487" s="550"/>
      <c r="Y487" s="550"/>
      <c r="Z487" s="550"/>
      <c r="AA487" s="550"/>
      <c r="AB487" s="550"/>
      <c r="AC487" s="550"/>
      <c r="AD487" s="550"/>
      <c r="AE487" s="550"/>
      <c r="AF487" s="550"/>
      <c r="AG487" s="550"/>
      <c r="AH487" s="550"/>
      <c r="AI487" s="550"/>
      <c r="AJ487" s="550"/>
      <c r="AK487" s="550"/>
      <c r="AL487" s="550"/>
      <c r="AM487" s="550"/>
      <c r="AN487" s="550"/>
      <c r="AO487" s="550"/>
      <c r="AP487" s="550"/>
      <c r="AQ487" s="550"/>
      <c r="AR487" s="550"/>
      <c r="AS487" s="550"/>
      <c r="AT487" s="550"/>
      <c r="AU487" s="550"/>
      <c r="AV487" s="550"/>
      <c r="AW487" s="550"/>
      <c r="AX487" s="550"/>
      <c r="AY487" s="550"/>
      <c r="AZ487" s="550"/>
      <c r="BA487" s="550"/>
      <c r="BB487" s="550"/>
      <c r="BC487" s="550"/>
      <c r="BD487" s="550"/>
      <c r="BE487" s="550"/>
      <c r="BF487" s="550"/>
      <c r="BG487" s="550"/>
      <c r="BH487" s="550"/>
      <c r="BI487" s="550"/>
      <c r="BJ487" s="550"/>
      <c r="BK487" s="550"/>
      <c r="BL487" s="550"/>
      <c r="BM487" s="550"/>
      <c r="BN487" s="550"/>
      <c r="BO487" s="550"/>
      <c r="BP487" s="550"/>
      <c r="BQ487" s="550"/>
      <c r="BR487" s="550"/>
      <c r="BS487" s="550"/>
      <c r="BT487" s="550"/>
      <c r="BU487" s="550"/>
      <c r="BV487" s="550"/>
      <c r="BW487" s="550"/>
      <c r="BX487" s="550"/>
      <c r="BY487" s="550"/>
      <c r="BZ487" s="550"/>
      <c r="CA487" s="550"/>
      <c r="CB487" s="550"/>
    </row>
    <row r="488" spans="4:80">
      <c r="D488" s="550"/>
      <c r="E488" s="550"/>
      <c r="F488" s="550"/>
      <c r="G488" s="550"/>
      <c r="H488" s="550"/>
      <c r="I488" s="550"/>
      <c r="J488" s="550"/>
      <c r="K488" s="550"/>
      <c r="L488" s="550"/>
      <c r="M488" s="550"/>
      <c r="N488" s="550"/>
      <c r="O488" s="550"/>
      <c r="P488" s="550"/>
      <c r="Q488" s="550"/>
      <c r="R488" s="550"/>
      <c r="S488" s="550"/>
      <c r="T488" s="550"/>
      <c r="U488" s="550"/>
      <c r="V488" s="550"/>
      <c r="W488" s="550"/>
      <c r="X488" s="550"/>
      <c r="Y488" s="550"/>
      <c r="Z488" s="550"/>
      <c r="AA488" s="550"/>
      <c r="AB488" s="550"/>
      <c r="AC488" s="550"/>
      <c r="AD488" s="550"/>
      <c r="AE488" s="550"/>
      <c r="AF488" s="550"/>
      <c r="AG488" s="550"/>
      <c r="AH488" s="550"/>
      <c r="AI488" s="550"/>
      <c r="AJ488" s="550"/>
      <c r="AK488" s="550"/>
      <c r="AL488" s="550"/>
      <c r="AM488" s="550"/>
      <c r="AN488" s="550"/>
      <c r="AO488" s="550"/>
      <c r="AP488" s="550"/>
      <c r="AQ488" s="550"/>
      <c r="AR488" s="550"/>
      <c r="AS488" s="550"/>
      <c r="AT488" s="550"/>
      <c r="AU488" s="550"/>
      <c r="AV488" s="550"/>
      <c r="AW488" s="550"/>
      <c r="AX488" s="550"/>
      <c r="AY488" s="550"/>
      <c r="AZ488" s="550"/>
      <c r="BA488" s="550"/>
      <c r="BB488" s="550"/>
      <c r="BC488" s="550"/>
      <c r="BD488" s="550"/>
      <c r="BE488" s="550"/>
      <c r="BF488" s="550"/>
      <c r="BG488" s="550"/>
      <c r="BH488" s="550"/>
      <c r="BI488" s="550"/>
      <c r="BJ488" s="550"/>
      <c r="BK488" s="550"/>
      <c r="BL488" s="550"/>
      <c r="BM488" s="550"/>
      <c r="BN488" s="550"/>
      <c r="BO488" s="550"/>
      <c r="BP488" s="550"/>
      <c r="BQ488" s="550"/>
      <c r="BR488" s="550"/>
      <c r="BS488" s="550"/>
      <c r="BT488" s="550"/>
      <c r="BU488" s="550"/>
      <c r="BV488" s="550"/>
      <c r="BW488" s="550"/>
      <c r="BX488" s="550"/>
      <c r="BY488" s="550"/>
      <c r="BZ488" s="550"/>
      <c r="CA488" s="550"/>
      <c r="CB488" s="550"/>
    </row>
    <row r="489" spans="4:80">
      <c r="D489" s="550"/>
      <c r="E489" s="550"/>
      <c r="F489" s="550"/>
      <c r="G489" s="550"/>
      <c r="H489" s="550"/>
      <c r="I489" s="550"/>
      <c r="J489" s="550"/>
      <c r="K489" s="550"/>
      <c r="L489" s="550"/>
      <c r="M489" s="550"/>
      <c r="N489" s="550"/>
      <c r="O489" s="550"/>
      <c r="P489" s="550"/>
      <c r="Q489" s="550"/>
      <c r="R489" s="550"/>
      <c r="S489" s="550"/>
      <c r="T489" s="550"/>
      <c r="U489" s="550"/>
      <c r="V489" s="550"/>
      <c r="W489" s="550"/>
      <c r="X489" s="550"/>
      <c r="Y489" s="550"/>
      <c r="Z489" s="550"/>
      <c r="AA489" s="550"/>
      <c r="AB489" s="550"/>
      <c r="AC489" s="550"/>
      <c r="AD489" s="550"/>
      <c r="AE489" s="550"/>
      <c r="AF489" s="550"/>
      <c r="AG489" s="550"/>
      <c r="AH489" s="550"/>
      <c r="AI489" s="550"/>
      <c r="AJ489" s="550"/>
      <c r="AK489" s="550"/>
      <c r="AL489" s="550"/>
      <c r="AM489" s="550"/>
      <c r="AN489" s="550"/>
      <c r="AO489" s="550"/>
      <c r="AP489" s="550"/>
      <c r="AQ489" s="550"/>
      <c r="AR489" s="550"/>
      <c r="AS489" s="550"/>
      <c r="AT489" s="550"/>
      <c r="AU489" s="550"/>
      <c r="AV489" s="550"/>
      <c r="AW489" s="550"/>
      <c r="AX489" s="550"/>
      <c r="AY489" s="550"/>
      <c r="AZ489" s="550"/>
      <c r="BA489" s="550"/>
      <c r="BB489" s="550"/>
      <c r="BC489" s="550"/>
      <c r="BD489" s="550"/>
      <c r="BE489" s="550"/>
      <c r="BF489" s="550"/>
      <c r="BG489" s="550"/>
      <c r="BH489" s="550"/>
      <c r="BI489" s="550"/>
      <c r="BJ489" s="550"/>
      <c r="BK489" s="550"/>
      <c r="BL489" s="550"/>
      <c r="BM489" s="550"/>
      <c r="BN489" s="550"/>
      <c r="BO489" s="550"/>
      <c r="BP489" s="550"/>
      <c r="BQ489" s="550"/>
      <c r="BR489" s="550"/>
      <c r="BS489" s="550"/>
      <c r="BT489" s="550"/>
      <c r="BU489" s="550"/>
      <c r="BV489" s="550"/>
      <c r="BW489" s="550"/>
      <c r="BX489" s="550"/>
      <c r="BY489" s="550"/>
      <c r="BZ489" s="550"/>
      <c r="CA489" s="550"/>
      <c r="CB489" s="550"/>
    </row>
    <row r="490" spans="4:80">
      <c r="D490" s="550"/>
      <c r="E490" s="550"/>
      <c r="F490" s="550"/>
      <c r="G490" s="550"/>
      <c r="H490" s="550"/>
      <c r="I490" s="550"/>
      <c r="J490" s="550"/>
      <c r="K490" s="550"/>
      <c r="L490" s="550"/>
      <c r="M490" s="550"/>
      <c r="N490" s="550"/>
      <c r="O490" s="550"/>
      <c r="P490" s="550"/>
      <c r="Q490" s="550"/>
      <c r="R490" s="550"/>
      <c r="S490" s="550"/>
      <c r="T490" s="550"/>
      <c r="U490" s="550"/>
      <c r="V490" s="550"/>
      <c r="W490" s="550"/>
      <c r="X490" s="550"/>
      <c r="Y490" s="550"/>
      <c r="Z490" s="550"/>
      <c r="AA490" s="550"/>
      <c r="AB490" s="550"/>
      <c r="AC490" s="550"/>
      <c r="AD490" s="550"/>
      <c r="AE490" s="550"/>
      <c r="AF490" s="550"/>
      <c r="AG490" s="550"/>
      <c r="AH490" s="550"/>
      <c r="AI490" s="550"/>
      <c r="AJ490" s="550"/>
      <c r="AK490" s="550"/>
      <c r="AL490" s="550"/>
      <c r="AM490" s="550"/>
      <c r="AN490" s="550"/>
      <c r="AO490" s="550"/>
      <c r="AP490" s="550"/>
      <c r="AQ490" s="550"/>
      <c r="AR490" s="550"/>
      <c r="AS490" s="550"/>
      <c r="AT490" s="550"/>
      <c r="AU490" s="550"/>
      <c r="AV490" s="550"/>
      <c r="AW490" s="550"/>
      <c r="AX490" s="550"/>
      <c r="AY490" s="550"/>
      <c r="AZ490" s="550"/>
      <c r="BA490" s="550"/>
      <c r="BB490" s="550"/>
      <c r="BC490" s="550"/>
      <c r="BD490" s="550"/>
      <c r="BE490" s="550"/>
      <c r="BF490" s="550"/>
      <c r="BG490" s="550"/>
      <c r="BH490" s="550"/>
      <c r="BI490" s="550"/>
      <c r="BJ490" s="550"/>
      <c r="BK490" s="550"/>
      <c r="BL490" s="550"/>
      <c r="BM490" s="550"/>
      <c r="BN490" s="550"/>
      <c r="BO490" s="550"/>
      <c r="BP490" s="550"/>
      <c r="BQ490" s="550"/>
      <c r="BR490" s="550"/>
      <c r="BS490" s="550"/>
      <c r="BT490" s="550"/>
      <c r="BU490" s="550"/>
      <c r="BV490" s="550"/>
      <c r="BW490" s="550"/>
      <c r="BX490" s="550"/>
      <c r="BY490" s="550"/>
      <c r="BZ490" s="550"/>
      <c r="CA490" s="550"/>
      <c r="CB490" s="550"/>
    </row>
  </sheetData>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
  <DocSecurity>0</DocSecurity>
  <ScaleCrop>false</ScaleCrop>
  <HeadingPairs>
    <vt:vector baseType="variant" size="2">
      <vt:variant>
        <vt:lpstr>Worksheets</vt:lpstr>
      </vt:variant>
      <vt:variant>
        <vt:i4>27</vt:i4>
      </vt:variant>
    </vt:vector>
  </HeadingPairs>
  <TitlesOfParts>
    <vt:vector baseType="lpstr" size="27">
      <vt:lpstr>Instructions &amp; Dashboard</vt:lpstr>
      <vt:lpstr>Results</vt:lpstr>
      <vt:lpstr>Charts</vt:lpstr>
      <vt:lpstr>All Curves</vt:lpstr>
      <vt:lpstr>Quick Check Base Case</vt:lpstr>
      <vt:lpstr>Quick Check</vt:lpstr>
      <vt:lpstr>Bond Data</vt:lpstr>
      <vt:lpstr>Swap and Yield Curves</vt:lpstr>
      <vt:lpstr>Splines</vt:lpstr>
      <vt:lpstr>Interpolations USD</vt:lpstr>
      <vt:lpstr>Interpolations Euro</vt:lpstr>
      <vt:lpstr>Interpolations GBP</vt:lpstr>
      <vt:lpstr>Interpolations CHF</vt:lpstr>
      <vt:lpstr>Interpolations CAD</vt:lpstr>
      <vt:lpstr>Interpolations JPY</vt:lpstr>
      <vt:lpstr>Interpolations AUD</vt:lpstr>
      <vt:lpstr>Interpolations NZD</vt:lpstr>
      <vt:lpstr>Interpolations HKD</vt:lpstr>
      <vt:lpstr>USD Yield Curve</vt:lpstr>
      <vt:lpstr>Euro Yield Curve</vt:lpstr>
      <vt:lpstr>GBP Yield Curve</vt:lpstr>
      <vt:lpstr>CHF Yield Curve</vt:lpstr>
      <vt:lpstr>CAD Yield Curve</vt:lpstr>
      <vt:lpstr>JPY Yield Curve</vt:lpstr>
      <vt:lpstr>Australia Yield Curve</vt:lpstr>
      <vt:lpstr>NZ Yield Curve</vt:lpstr>
      <vt:lpstr>Hong Kong Yield Curve</vt:lpstr>
    </vt:vector>
  </TitlesOfParts>
  <LinksUpToDate>false</LinksUpToDate>
  <SharedDoc>false</SharedDoc>
  <HyperlinksChanged>false</HyperlinksChanged>
  <AppVersion>16.0300</AppVersion>
  <Company/>
  <Template/>
  <Manager/>
  <TotalTime>0</TotalTime>
</Properties>
</file>

<file path=docProps/core.xml><?xml version="1.0" encoding="utf-8"?>
<cp:coreProperties xmlns:cp="http://schemas.openxmlformats.org/package/2006/metadata/core-properties" xmlns:dc="http://purl.org/dc/elements/1.1/" xmlns:dcterms="http://purl.org/dc/terms/" xmlns:xsi="http://www.w3.org/2001/XMLSchema-instance">
  <cp:revision>0</cp:revision>
</cp:coreProperties>
</file>